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ashboard - Consolidado" sheetId="1" state="visible" r:id="rId1"/>
    <sheet xmlns:r="http://schemas.openxmlformats.org/officeDocument/2006/relationships" name="Administración" sheetId="2" state="visible" r:id="rId2"/>
    <sheet xmlns:r="http://schemas.openxmlformats.org/officeDocument/2006/relationships" name="Historial mensual" sheetId="3" state="visible" r:id="rId3"/>
    <sheet xmlns:r="http://schemas.openxmlformats.org/officeDocument/2006/relationships" name="Cronograma R. Operacional" sheetId="4" state="visible" r:id="rId4"/>
    <sheet xmlns:r="http://schemas.openxmlformats.org/officeDocument/2006/relationships" name="Actividades R. Operacional" sheetId="5" state="visible" r:id="rId5"/>
    <sheet xmlns:r="http://schemas.openxmlformats.org/officeDocument/2006/relationships" name="Cronograma R. Normativo" sheetId="6" state="visible" r:id="rId6"/>
    <sheet xmlns:r="http://schemas.openxmlformats.org/officeDocument/2006/relationships" name="Actividades R. Normativo" sheetId="7" state="visible" r:id="rId7"/>
    <sheet xmlns:r="http://schemas.openxmlformats.org/officeDocument/2006/relationships" name="Cronograma R. Financiero" sheetId="8" state="visible" r:id="rId8"/>
    <sheet xmlns:r="http://schemas.openxmlformats.org/officeDocument/2006/relationships" name="Actividades R. Financiero" sheetId="9" state="visible" r:id="rId9"/>
    <sheet xmlns:r="http://schemas.openxmlformats.org/officeDocument/2006/relationships" name="Cronograma Asistente Técnico" sheetId="10" state="visible" r:id="rId10"/>
    <sheet xmlns:r="http://schemas.openxmlformats.org/officeDocument/2006/relationships" name="Actividades Asistente Técnico" sheetId="11" state="visible" r:id="rId11"/>
    <sheet xmlns:r="http://schemas.openxmlformats.org/officeDocument/2006/relationships" name="Instrucciones" sheetId="12" state="visible" r:id="rId12"/>
    <sheet xmlns:r="http://schemas.openxmlformats.org/officeDocument/2006/relationships" name="Configuración" sheetId="13" state="visible" r:id="rId13"/>
    <sheet xmlns:r="http://schemas.openxmlformats.org/officeDocument/2006/relationships" name="Calculos" sheetId="14" state="hidden" r:id="rId14"/>
  </sheets>
  <definedNames>
    <definedName name="MesEntrada">'Configuración'!$C$4</definedName>
    <definedName name="InicioCiclo">'Configuración'!$C$5</definedName>
    <definedName name="FechaRef">'Configuración'!$C$6</definedName>
    <definedName name="SemanaActual">'Configuración'!$C$7</definedName>
    <definedName name="SemanaManual">'Configuración'!$C$8</definedName>
    <definedName name="DiasAlerta">'Configuración'!$C$9</definedName>
    <definedName name="ObsObligatoria">'Configuración'!$C$10</definedName>
    <definedName name="MetaFinal">'Configuración'!$C$11</definedName>
    <definedName name="HistInicio">'Configuración'!$C$12</definedName>
    <definedName name="PlanRef">'Configuración'!$C$15:$C$18</definedName>
    <definedName name="ListaPuestos">'Configuración'!$B$22:$B$25</definedName>
    <definedName name="ListaEstados">'Configuración'!$B$28:$B$30</definedName>
    <definedName name="ListaSemanas">'Configuración'!$B$33:$B$36</definedName>
    <definedName name="ListaSiNo">'Configuración'!$B$39:$B$40</definedName>
    <definedName name="rFLim_RO">'Cronograma R. Operacional'!$AN$5:$AN$1000</definedName>
    <definedName name="rIni_RO">'Cronograma R. Operacional'!$E$5:$E$1000</definedName>
    <definedName name="rLim_RO">'Cronograma R. Operacional'!$F$5:$F$1000</definedName>
    <definedName name="rDname_RO">'Cronograma R. Operacional'!$AK$5:$AK$1000</definedName>
    <definedName name="rPeso_RO">'Cronograma R. Operacional'!$AG$5:$AG$1000</definedName>
    <definedName name="rPesoEscrito_RO">'Cronograma R. Operacional'!$H$5:$H$1000</definedName>
    <definedName name="rS1_RO">'Cronograma R. Operacional'!$I$5:$I$1000</definedName>
    <definedName name="rS2_RO">'Cronograma R. Operacional'!$J$5:$J$1000</definedName>
    <definedName name="rS3_RO">'Cronograma R. Operacional'!$K$5:$K$1000</definedName>
    <definedName name="rS4_RO">'Cronograma R. Operacional'!$L$5:$L$1000</definedName>
    <definedName name="rAvance_RO">'Cronograma R. Operacional'!$M$5:$M$1000</definedName>
    <definedName name="rEstado_RO">'Cronograma R. Operacional'!$N$5:$N$1000</definedName>
    <definedName name="rAlerta_RO">'Cronograma R. Operacional'!$O$5:$O$1000</definedName>
    <definedName name="rValid_RO">'Cronograma R. Operacional'!$R$5:$R$1000</definedName>
    <definedName name="rMes_RO">'Cronograma R. Operacional'!$S$5:$S$1000</definedName>
    <definedName name="rOrden_RO">'Cronograma R. Operacional'!$T$5:$T$1000</definedName>
    <definedName name="rTipo_RO">'Cronograma R. Operacional'!$V$5:$V$1000</definedName>
    <definedName name="rEf1_RO">'Cronograma R. Operacional'!$AC$5:$AC$1000</definedName>
    <definedName name="rEf2_RO">'Cronograma R. Operacional'!$AD$5:$AD$1000</definedName>
    <definedName name="rEf3_RO">'Cronograma R. Operacional'!$AE$5:$AE$1000</definedName>
    <definedName name="rEf4_RO">'Cronograma R. Operacional'!$AF$5:$AF$1000</definedName>
    <definedName name="rAct_RO">'Cronograma R. Operacional'!$C$5:$C$1000</definedName>
    <definedName name="rDeleg_RO">'Cronograma R. Operacional'!$D$5:$D$1000</definedName>
    <definedName name="rDkey_RO">'Cronograma R. Operacional'!$AJ$5:$AJ$1000</definedName>
    <definedName name="rFLim_RN">'Cronograma R. Normativo'!$AN$5:$AN$1000</definedName>
    <definedName name="rIni_RN">'Cronograma R. Normativo'!$E$5:$E$1000</definedName>
    <definedName name="rLim_RN">'Cronograma R. Normativo'!$F$5:$F$1000</definedName>
    <definedName name="rDname_RN">'Cronograma R. Normativo'!$AK$5:$AK$1000</definedName>
    <definedName name="rPeso_RN">'Cronograma R. Normativo'!$AG$5:$AG$1000</definedName>
    <definedName name="rPesoEscrito_RN">'Cronograma R. Normativo'!$H$5:$H$1000</definedName>
    <definedName name="rS1_RN">'Cronograma R. Normativo'!$I$5:$I$1000</definedName>
    <definedName name="rS2_RN">'Cronograma R. Normativo'!$J$5:$J$1000</definedName>
    <definedName name="rS3_RN">'Cronograma R. Normativo'!$K$5:$K$1000</definedName>
    <definedName name="rS4_RN">'Cronograma R. Normativo'!$L$5:$L$1000</definedName>
    <definedName name="rAvance_RN">'Cronograma R. Normativo'!$M$5:$M$1000</definedName>
    <definedName name="rEstado_RN">'Cronograma R. Normativo'!$N$5:$N$1000</definedName>
    <definedName name="rAlerta_RN">'Cronograma R. Normativo'!$O$5:$O$1000</definedName>
    <definedName name="rValid_RN">'Cronograma R. Normativo'!$R$5:$R$1000</definedName>
    <definedName name="rMes_RN">'Cronograma R. Normativo'!$S$5:$S$1000</definedName>
    <definedName name="rOrden_RN">'Cronograma R. Normativo'!$T$5:$T$1000</definedName>
    <definedName name="rTipo_RN">'Cronograma R. Normativo'!$V$5:$V$1000</definedName>
    <definedName name="rEf1_RN">'Cronograma R. Normativo'!$AC$5:$AC$1000</definedName>
    <definedName name="rEf2_RN">'Cronograma R. Normativo'!$AD$5:$AD$1000</definedName>
    <definedName name="rEf3_RN">'Cronograma R. Normativo'!$AE$5:$AE$1000</definedName>
    <definedName name="rEf4_RN">'Cronograma R. Normativo'!$AF$5:$AF$1000</definedName>
    <definedName name="rAct_RN">'Cronograma R. Normativo'!$C$5:$C$1000</definedName>
    <definedName name="rDeleg_RN">'Cronograma R. Normativo'!$D$5:$D$1000</definedName>
    <definedName name="rDkey_RN">'Cronograma R. Normativo'!$AJ$5:$AJ$1000</definedName>
    <definedName name="rFLim_RF">'Cronograma R. Financiero'!$AN$5:$AN$1000</definedName>
    <definedName name="rIni_RF">'Cronograma R. Financiero'!$E$5:$E$1000</definedName>
    <definedName name="rLim_RF">'Cronograma R. Financiero'!$F$5:$F$1000</definedName>
    <definedName name="rDname_RF">'Cronograma R. Financiero'!$AK$5:$AK$1000</definedName>
    <definedName name="rPeso_RF">'Cronograma R. Financiero'!$AG$5:$AG$1000</definedName>
    <definedName name="rPesoEscrito_RF">'Cronograma R. Financiero'!$H$5:$H$1000</definedName>
    <definedName name="rS1_RF">'Cronograma R. Financiero'!$I$5:$I$1000</definedName>
    <definedName name="rS2_RF">'Cronograma R. Financiero'!$J$5:$J$1000</definedName>
    <definedName name="rS3_RF">'Cronograma R. Financiero'!$K$5:$K$1000</definedName>
    <definedName name="rS4_RF">'Cronograma R. Financiero'!$L$5:$L$1000</definedName>
    <definedName name="rAvance_RF">'Cronograma R. Financiero'!$M$5:$M$1000</definedName>
    <definedName name="rEstado_RF">'Cronograma R. Financiero'!$N$5:$N$1000</definedName>
    <definedName name="rAlerta_RF">'Cronograma R. Financiero'!$O$5:$O$1000</definedName>
    <definedName name="rValid_RF">'Cronograma R. Financiero'!$R$5:$R$1000</definedName>
    <definedName name="rMes_RF">'Cronograma R. Financiero'!$S$5:$S$1000</definedName>
    <definedName name="rOrden_RF">'Cronograma R. Financiero'!$T$5:$T$1000</definedName>
    <definedName name="rTipo_RF">'Cronograma R. Financiero'!$V$5:$V$1000</definedName>
    <definedName name="rEf1_RF">'Cronograma R. Financiero'!$AC$5:$AC$1000</definedName>
    <definedName name="rEf2_RF">'Cronograma R. Financiero'!$AD$5:$AD$1000</definedName>
    <definedName name="rEf3_RF">'Cronograma R. Financiero'!$AE$5:$AE$1000</definedName>
    <definedName name="rEf4_RF">'Cronograma R. Financiero'!$AF$5:$AF$1000</definedName>
    <definedName name="rAct_RF">'Cronograma R. Financiero'!$C$5:$C$1000</definedName>
    <definedName name="rDeleg_RF">'Cronograma R. Financiero'!$D$5:$D$1000</definedName>
    <definedName name="rDkey_RF">'Cronograma R. Financiero'!$AJ$5:$AJ$1000</definedName>
    <definedName name="rFLim_ATR">'Cronograma Asistente Técnico'!$AN$5:$AN$1000</definedName>
    <definedName name="rIni_ATR">'Cronograma Asistente Técnico'!$E$5:$E$1000</definedName>
    <definedName name="rLim_ATR">'Cronograma Asistente Técnico'!$F$5:$F$1000</definedName>
    <definedName name="rDname_ATR">'Cronograma Asistente Técnico'!$AK$5:$AK$1000</definedName>
    <definedName name="rPeso_ATR">'Cronograma Asistente Técnico'!$AG$5:$AG$1000</definedName>
    <definedName name="rPesoEscrito_ATR">'Cronograma Asistente Técnico'!$H$5:$H$1000</definedName>
    <definedName name="rS1_ATR">'Cronograma Asistente Técnico'!$I$5:$I$1000</definedName>
    <definedName name="rS2_ATR">'Cronograma Asistente Técnico'!$J$5:$J$1000</definedName>
    <definedName name="rS3_ATR">'Cronograma Asistente Técnico'!$K$5:$K$1000</definedName>
    <definedName name="rS4_ATR">'Cronograma Asistente Técnico'!$L$5:$L$1000</definedName>
    <definedName name="rAvance_ATR">'Cronograma Asistente Técnico'!$M$5:$M$1000</definedName>
    <definedName name="rEstado_ATR">'Cronograma Asistente Técnico'!$N$5:$N$1000</definedName>
    <definedName name="rAlerta_ATR">'Cronograma Asistente Técnico'!$O$5:$O$1000</definedName>
    <definedName name="rValid_ATR">'Cronograma Asistente Técnico'!$R$5:$R$1000</definedName>
    <definedName name="rMes_ATR">'Cronograma Asistente Técnico'!$S$5:$S$1000</definedName>
    <definedName name="rOrden_ATR">'Cronograma Asistente Técnico'!$T$5:$T$1000</definedName>
    <definedName name="rTipo_ATR">'Cronograma Asistente Técnico'!$V$5:$V$1000</definedName>
    <definedName name="rEf1_ATR">'Cronograma Asistente Técnico'!$AC$5:$AC$1000</definedName>
    <definedName name="rEf2_ATR">'Cronograma Asistente Técnico'!$AD$5:$AD$1000</definedName>
    <definedName name="rEf3_ATR">'Cronograma Asistente Técnico'!$AE$5:$AE$1000</definedName>
    <definedName name="rEf4_ATR">'Cronograma Asistente Técnico'!$AF$5:$AF$1000</definedName>
    <definedName name="rAct_ATR">'Cronograma Asistente Técnico'!$C$5:$C$1000</definedName>
    <definedName name="rDeleg_ATR">'Cronograma Asistente Técnico'!$D$5:$D$1000</definedName>
    <definedName name="rDkey_ATR">'Cronograma Asistente Técnico'!$AJ$5:$AJ$1000</definedName>
    <definedName name="rFLim_ADM">'Administración'!$AN$5:$AN$1000</definedName>
    <definedName name="rIni_ADM">'Administración'!$E$5:$E$1000</definedName>
    <definedName name="rLim_ADM">'Administración'!$F$5:$F$1000</definedName>
    <definedName name="rDname_ADM">'Administración'!$AK$5:$AK$1000</definedName>
    <definedName name="rPeso_ADM">'Administración'!$AG$5:$AG$1000</definedName>
    <definedName name="rPesoEscrito_ADM">'Administración'!$H$5:$H$1000</definedName>
    <definedName name="rS1_ADM">'Administración'!$I$5:$I$1000</definedName>
    <definedName name="rS2_ADM">'Administración'!$J$5:$J$1000</definedName>
    <definedName name="rS3_ADM">'Administración'!$K$5:$K$1000</definedName>
    <definedName name="rS4_ADM">'Administración'!$L$5:$L$1000</definedName>
    <definedName name="rAvance_ADM">'Administración'!$M$5:$M$1000</definedName>
    <definedName name="rEstado_ADM">'Administración'!$N$5:$N$1000</definedName>
    <definedName name="rAlerta_ADM">'Administración'!$O$5:$O$1000</definedName>
    <definedName name="rValid_ADM">'Administración'!$R$5:$R$1000</definedName>
    <definedName name="rMes_ADM">'Administración'!$S$5:$S$1000</definedName>
    <definedName name="rOrden_ADM">'Administración'!$T$5:$T$1000</definedName>
    <definedName name="rTipo_ADM">'Administración'!$V$5:$V$1000</definedName>
    <definedName name="rEf1_ADM">'Administración'!$AC$5:$AC$1000</definedName>
    <definedName name="rEf2_ADM">'Administración'!$AD$5:$AD$1000</definedName>
    <definedName name="rEf3_ADM">'Administración'!$AE$5:$AE$1000</definedName>
    <definedName name="rEf4_ADM">'Administración'!$AF$5:$AF$1000</definedName>
    <definedName name="rAct_ADM">'Administración'!$C$5:$C$1000</definedName>
    <definedName name="rDeleg_ADM">'Administración'!$D$5:$D$1000</definedName>
    <definedName name="rDkey_ADM">'Administración'!$AJ$5:$AJ$1000</definedName>
    <definedName name="hSemana_RO">'Actividades R. Operacional'!$E$5:$E$104</definedName>
    <definedName name="hEstado_RO">'Actividades R. Operacional'!$K$5:$K$104</definedName>
    <definedName name="hTipo_RO">'Actividades R. Operacional'!$O$5:$O$104</definedName>
    <definedName name="hAlertaN_RO">'Actividades R. Operacional'!$Q$5:$Q$104</definedName>
    <definedName name="hN_RO">'Actividades R. Operacional'!$A$5:$A$104</definedName>
    <definedName name="hAct_RO">'Actividades R. Operacional'!$B$5:$B$104</definedName>
    <definedName name="hLim_RO">'Actividades R. Operacional'!$D$5:$D$104</definedName>
    <definedName name="hAlerta_RO">'Actividades R. Operacional'!$L$5:$L$104</definedName>
    <definedName name="hObs_RO">'Actividades R. Operacional'!$M$5:$M$104</definedName>
    <definedName name="hSemana_RN">'Actividades R. Normativo'!$E$5:$E$104</definedName>
    <definedName name="hEstado_RN">'Actividades R. Normativo'!$K$5:$K$104</definedName>
    <definedName name="hTipo_RN">'Actividades R. Normativo'!$O$5:$O$104</definedName>
    <definedName name="hAlertaN_RN">'Actividades R. Normativo'!$Q$5:$Q$104</definedName>
    <definedName name="hN_RN">'Actividades R. Normativo'!$A$5:$A$104</definedName>
    <definedName name="hAct_RN">'Actividades R. Normativo'!$B$5:$B$104</definedName>
    <definedName name="hLim_RN">'Actividades R. Normativo'!$D$5:$D$104</definedName>
    <definedName name="hAlerta_RN">'Actividades R. Normativo'!$L$5:$L$104</definedName>
    <definedName name="hObs_RN">'Actividades R. Normativo'!$M$5:$M$104</definedName>
    <definedName name="hSemana_RF">'Actividades R. Financiero'!$E$5:$E$104</definedName>
    <definedName name="hEstado_RF">'Actividades R. Financiero'!$K$5:$K$104</definedName>
    <definedName name="hTipo_RF">'Actividades R. Financiero'!$O$5:$O$104</definedName>
    <definedName name="hAlertaN_RF">'Actividades R. Financiero'!$Q$5:$Q$104</definedName>
    <definedName name="hN_RF">'Actividades R. Financiero'!$A$5:$A$104</definedName>
    <definedName name="hAct_RF">'Actividades R. Financiero'!$B$5:$B$104</definedName>
    <definedName name="hLim_RF">'Actividades R. Financiero'!$D$5:$D$104</definedName>
    <definedName name="hAlerta_RF">'Actividades R. Financiero'!$L$5:$L$104</definedName>
    <definedName name="hObs_RF">'Actividades R. Financiero'!$M$5:$M$104</definedName>
    <definedName name="hSemana_ATR">'Actividades Asistente Técnico'!$E$5:$E$104</definedName>
    <definedName name="hEstado_ATR">'Actividades Asistente Técnico'!$K$5:$K$104</definedName>
    <definedName name="hTipo_ATR">'Actividades Asistente Técnico'!$O$5:$O$104</definedName>
    <definedName name="hAlertaN_ATR">'Actividades Asistente Técnico'!$Q$5:$Q$104</definedName>
    <definedName name="hN_ATR">'Actividades Asistente Técnico'!$A$5:$A$104</definedName>
    <definedName name="hAct_ATR">'Actividades Asistente Técnico'!$B$5:$B$104</definedName>
    <definedName name="hLim_ATR">'Actividades Asistente Técnico'!$D$5:$D$104</definedName>
    <definedName name="hAlerta_ATR">'Actividades Asistente Técnico'!$L$5:$L$104</definedName>
    <definedName name="hObs_ATR">'Actividades Asistente Técnico'!$M$5:$M$104</definedName>
    <definedName name="ListaDeleg_RO">OFFSET('Calculos'!$B$21,0,0,MAX(1,COUNTIF('Calculos'!$B$21:$B$60,"?*")),1)</definedName>
    <definedName name="ListaDeleg_RN">OFFSET('Calculos'!$C$21,0,0,MAX(1,COUNTIF('Calculos'!$C$21:$C$60,"?*")),1)</definedName>
    <definedName name="ListaDeleg_RF">OFFSET('Calculos'!$D$21,0,0,MAX(1,COUNTIF('Calculos'!$D$21:$D$60,"?*")),1)</definedName>
    <definedName name="ListaDeleg_ATR">OFFSET('Calculos'!$E$21,0,0,MAX(1,COUNTIF('Calculos'!$E$21:$E$60,"?*")),1)</definedName>
    <definedName name="MesCiclo">'Calculos'!$B$15</definedName>
    <definedName name="_xlnm.Print_Titles" localSheetId="0">'Dashboard - Consolidado'!$1:$2</definedName>
    <definedName name="_xlnm.Print_Area" localSheetId="0">'Dashboard - Consolidado'!$A$1:$N$91</definedName>
    <definedName name="_xlnm.Print_Titles" localSheetId="1">'Administración'!$4:$4</definedName>
    <definedName name="_xlnm.Print_Area" localSheetId="1">'Administración'!$A$1:$S$304</definedName>
    <definedName name="_xlnm.Print_Titles" localSheetId="3">'Cronograma R. Operacional'!$4:$4</definedName>
    <definedName name="_xlnm.Print_Area" localSheetId="3">'Cronograma R. Operacional'!$A$1:$S$304</definedName>
    <definedName name="_xlnm.Print_Titles" localSheetId="4">'Actividades R. Operacional'!$4:$4</definedName>
    <definedName name="_xlnm.Print_Area" localSheetId="4">'Actividades R. Operacional'!$A$1:$M$104</definedName>
    <definedName name="_xlnm.Print_Titles" localSheetId="5">'Cronograma R. Normativo'!$4:$4</definedName>
    <definedName name="_xlnm.Print_Area" localSheetId="5">'Cronograma R. Normativo'!$A$1:$S$304</definedName>
    <definedName name="_xlnm.Print_Titles" localSheetId="6">'Actividades R. Normativo'!$4:$4</definedName>
    <definedName name="_xlnm.Print_Area" localSheetId="6">'Actividades R. Normativo'!$A$1:$M$104</definedName>
    <definedName name="_xlnm.Print_Titles" localSheetId="7">'Cronograma R. Financiero'!$4:$4</definedName>
    <definedName name="_xlnm.Print_Area" localSheetId="7">'Cronograma R. Financiero'!$A$1:$S$304</definedName>
    <definedName name="_xlnm.Print_Titles" localSheetId="8">'Actividades R. Financiero'!$4:$4</definedName>
    <definedName name="_xlnm.Print_Area" localSheetId="8">'Actividades R. Financiero'!$A$1:$M$104</definedName>
    <definedName name="_xlnm.Print_Titles" localSheetId="9">'Cronograma Asistente Técnico'!$4:$4</definedName>
    <definedName name="_xlnm.Print_Area" localSheetId="9">'Cronograma Asistente Técnico'!$A$1:$S$304</definedName>
    <definedName name="_xlnm.Print_Titles" localSheetId="10">'Actividades Asistente Técnico'!$4:$4</definedName>
    <definedName name="_xlnm.Print_Area" localSheetId="10">'Actividades Asistente Técnico'!$A$1:$M$104</definedName>
  </definedNames>
  <calcPr calcId="124519" fullCalcOnLoad="1"/>
</workbook>
</file>

<file path=xl/styles.xml><?xml version="1.0" encoding="utf-8"?>
<styleSheet xmlns="http://schemas.openxmlformats.org/spreadsheetml/2006/main">
  <numFmts count="9">
    <numFmt numFmtId="164" formatCode="[$-440A]mmmm yyyy"/>
    <numFmt numFmtId="165" formatCode="dd/mm/yyyy"/>
    <numFmt numFmtId="166" formatCode="&quot;Semana &quot;0"/>
    <numFmt numFmtId="167" formatCode="yyyy-mm-dd"/>
    <numFmt numFmtId="168" formatCode="dd/mm"/>
    <numFmt numFmtId="169" formatCode="0.0%"/>
    <numFmt numFmtId="170" formatCode="0&quot; de 4&quot;"/>
    <numFmt numFmtId="171" formatCode="0%;;&quot;&quot;"/>
    <numFmt numFmtId="172" formatCode="+0%;-0%;0%"/>
  </numFmts>
  <fonts count="28">
    <font>
      <name val="Calibri"/>
      <family val="2"/>
      <color theme="1"/>
      <sz val="11"/>
      <scheme val="minor"/>
    </font>
    <font>
      <name val="Arial"/>
      <b val="1"/>
      <color rgb="00FFFFFF"/>
      <sz val="14"/>
    </font>
    <font>
      <name val="Arial"/>
      <i val="1"/>
      <color rgb="001A1A1A"/>
      <sz val="9"/>
    </font>
    <font>
      <name val="Arial"/>
      <b val="1"/>
      <color rgb="00FFFFFF"/>
      <sz val="10"/>
    </font>
    <font>
      <name val="Arial"/>
      <b val="1"/>
      <color rgb="001A1A1A"/>
      <sz val="10"/>
    </font>
    <font>
      <name val="Arial"/>
      <b val="1"/>
      <color rgb="001F3864"/>
      <sz val="10"/>
    </font>
    <font>
      <name val="Arial"/>
      <color rgb="001A1A1A"/>
      <sz val="9"/>
    </font>
    <font>
      <name val="Arial"/>
      <b val="1"/>
      <color rgb="002E75B6"/>
      <sz val="10"/>
    </font>
    <font>
      <name val="Arial"/>
      <color rgb="001A1A1A"/>
      <sz val="10"/>
    </font>
    <font>
      <name val="Arial"/>
      <color rgb="001F3864"/>
      <sz val="9"/>
    </font>
    <font>
      <name val="Arial"/>
      <color rgb="001A1A1A"/>
      <sz val="8"/>
    </font>
    <font>
      <name val="Arial"/>
      <b val="1"/>
      <color rgb="001A1A1A"/>
      <sz val="8"/>
    </font>
    <font>
      <name val="Arial"/>
      <i val="1"/>
      <color rgb="001F3864"/>
      <sz val="8"/>
    </font>
    <font>
      <name val="Arial"/>
      <b val="1"/>
      <color rgb="001F3864"/>
      <sz val="9"/>
    </font>
    <font>
      <name val="Arial"/>
      <b val="1"/>
      <color rgb="001A1A1A"/>
      <sz val="9"/>
    </font>
    <font>
      <name val="Arial"/>
      <b val="1"/>
      <color rgb="001F3864"/>
      <sz val="8"/>
    </font>
    <font>
      <name val="Arial"/>
      <b val="1"/>
      <color rgb="00FFFFFF"/>
      <sz val="9"/>
    </font>
    <font>
      <name val="Arial"/>
      <i val="1"/>
      <color rgb="001A1A1A"/>
      <sz val="8"/>
    </font>
    <font>
      <name val="Arial"/>
      <b val="1"/>
      <color rgb="00FFFFFF"/>
      <sz val="16"/>
    </font>
    <font>
      <name val="Arial"/>
      <b val="1"/>
      <color rgb="001F3864"/>
      <sz val="11"/>
    </font>
    <font>
      <name val="Arial"/>
      <b val="1"/>
      <color rgb="001F3864"/>
      <sz val="24"/>
    </font>
    <font>
      <name val="Arial"/>
      <b val="1"/>
      <color rgb="00FFFFFF"/>
      <sz val="12"/>
    </font>
    <font>
      <name val="Arial"/>
      <color rgb="00FFFFFF"/>
      <sz val="9"/>
    </font>
    <font>
      <name val="Arial"/>
      <color rgb="00DDEBF7"/>
      <sz val="9"/>
    </font>
    <font>
      <name val="Arial"/>
      <i val="1"/>
      <color rgb="00404040"/>
      <sz val="9"/>
    </font>
    <font>
      <name val="Arial"/>
      <color rgb="00404040"/>
      <sz val="9"/>
    </font>
    <font>
      <name val="Arial"/>
      <i val="1"/>
      <color rgb="00404040"/>
      <sz val="8"/>
    </font>
    <font>
      <name val="Arial"/>
      <b val="1"/>
      <color rgb="00FFFFFF"/>
      <sz val="11"/>
    </font>
  </fonts>
  <fills count="17">
    <fill>
      <patternFill/>
    </fill>
    <fill>
      <patternFill patternType="gray125"/>
    </fill>
    <fill>
      <patternFill patternType="solid">
        <fgColor rgb="001F3864"/>
        <bgColor rgb="001F3864"/>
      </patternFill>
    </fill>
    <fill>
      <patternFill patternType="solid">
        <fgColor rgb="002E75B6"/>
        <bgColor rgb="002E75B6"/>
      </patternFill>
    </fill>
    <fill>
      <patternFill patternType="solid">
        <fgColor rgb="00EDEDED"/>
        <bgColor rgb="00EDEDED"/>
      </patternFill>
    </fill>
    <fill>
      <patternFill patternType="solid">
        <fgColor rgb="00EAF3FB"/>
        <bgColor rgb="00EAF3FB"/>
      </patternFill>
    </fill>
    <fill>
      <patternFill patternType="solid">
        <fgColor rgb="00C55A11"/>
        <bgColor rgb="00C55A11"/>
      </patternFill>
    </fill>
    <fill>
      <patternFill patternType="solid">
        <fgColor rgb="00DDEBF7"/>
        <bgColor rgb="00DDEBF7"/>
      </patternFill>
    </fill>
    <fill>
      <patternFill patternType="solid">
        <fgColor rgb="00F3DECF"/>
        <bgColor rgb="00F3DECF"/>
      </patternFill>
    </fill>
    <fill>
      <patternFill patternType="solid">
        <fgColor rgb="007030A0"/>
        <bgColor rgb="007030A0"/>
      </patternFill>
    </fill>
    <fill>
      <patternFill patternType="solid">
        <fgColor rgb="00E2D5EC"/>
        <bgColor rgb="00E2D5EC"/>
      </patternFill>
    </fill>
    <fill>
      <patternFill patternType="solid">
        <fgColor rgb="00548235"/>
        <bgColor rgb="00548235"/>
      </patternFill>
    </fill>
    <fill>
      <patternFill patternType="solid">
        <fgColor rgb="00DCE6D6"/>
        <bgColor rgb="00DCE6D6"/>
      </patternFill>
    </fill>
    <fill>
      <patternFill patternType="solid">
        <fgColor rgb="00D5E3F0"/>
        <bgColor rgb="00D5E3F0"/>
      </patternFill>
    </fill>
    <fill>
      <patternFill patternType="solid">
        <fgColor rgb="00595959"/>
        <bgColor rgb="00595959"/>
      </patternFill>
    </fill>
    <fill>
      <patternFill patternType="solid">
        <fgColor rgb="00DDDDDD"/>
        <bgColor rgb="00DDDDDD"/>
      </patternFill>
    </fill>
    <fill>
      <patternFill patternType="solid">
        <fgColor rgb="00FFFFFF"/>
        <bgColor rgb="00FFFFFF"/>
      </patternFill>
    </fill>
  </fills>
  <borders count="5">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style="thin">
        <color rgb="00BFBFBF"/>
      </right>
      <top style="thin">
        <color rgb="00BFBFBF"/>
      </top>
      <bottom style="thin">
        <color rgb="00BFBFBF"/>
      </bottom>
      <diagonal/>
    </border>
  </borders>
  <cellStyleXfs count="1">
    <xf numFmtId="0" fontId="0" fillId="0" borderId="0"/>
  </cellStyleXfs>
  <cellXfs count="110">
    <xf numFmtId="0" fontId="0" fillId="0" borderId="0" pivotButton="0" quotePrefix="0" xfId="0"/>
    <xf numFmtId="0" fontId="18" fillId="2" borderId="0" applyAlignment="1" pivotButton="0" quotePrefix="0" xfId="0">
      <alignment horizontal="left" vertical="center" wrapText="1"/>
    </xf>
    <xf numFmtId="0" fontId="5" fillId="0" borderId="0" applyAlignment="1" pivotButton="0" quotePrefix="0" xfId="0">
      <alignment horizontal="right" vertical="center"/>
    </xf>
    <xf numFmtId="164" fontId="19" fillId="7" borderId="1" applyAlignment="1" pivotButton="0" quotePrefix="0" xfId="0">
      <alignment horizontal="center" vertical="center" wrapText="1"/>
    </xf>
    <xf numFmtId="170" fontId="19" fillId="7" borderId="1" applyAlignment="1" pivotButton="0" quotePrefix="0" xfId="0">
      <alignment horizontal="center" vertical="center" wrapText="1"/>
    </xf>
    <xf numFmtId="165" fontId="19" fillId="7" borderId="1" applyAlignment="1" pivotButton="0" quotePrefix="0" xfId="0">
      <alignment horizontal="center" vertical="center" wrapText="1"/>
    </xf>
    <xf numFmtId="0" fontId="12" fillId="0" borderId="0" applyAlignment="1" pivotButton="0" quotePrefix="0" xfId="0">
      <alignment horizontal="left" vertical="center" wrapText="1"/>
    </xf>
    <xf numFmtId="0" fontId="3" fillId="3" borderId="1" applyAlignment="1" pivotButton="0" quotePrefix="0" xfId="0">
      <alignment horizontal="center" vertical="center" wrapText="1"/>
    </xf>
    <xf numFmtId="9" fontId="20" fillId="16" borderId="1" applyAlignment="1" pivotButton="0" quotePrefix="0" xfId="0">
      <alignment horizontal="center" vertical="center" wrapText="1"/>
    </xf>
    <xf numFmtId="0" fontId="20" fillId="16" borderId="1" applyAlignment="1" pivotButton="0" quotePrefix="0" xfId="0">
      <alignment horizontal="center" vertical="center" wrapText="1"/>
    </xf>
    <xf numFmtId="1" fontId="20" fillId="16" borderId="1" applyAlignment="1" pivotButton="0" quotePrefix="0" xfId="0">
      <alignment horizontal="center" vertical="center" wrapText="1"/>
    </xf>
    <xf numFmtId="0" fontId="9" fillId="7" borderId="1" applyAlignment="1" pivotButton="0" quotePrefix="0" xfId="0">
      <alignment horizontal="center" vertical="center" wrapText="1"/>
    </xf>
    <xf numFmtId="170" fontId="20" fillId="16" borderId="1" applyAlignment="1" pivotButton="0" quotePrefix="0" xfId="0">
      <alignment horizontal="center" vertical="center" wrapText="1"/>
    </xf>
    <xf numFmtId="0" fontId="5" fillId="0" borderId="0" pivotButton="0" quotePrefix="0" xfId="0"/>
    <xf numFmtId="9" fontId="5" fillId="0" borderId="0" applyAlignment="1" pivotButton="0" quotePrefix="0" xfId="0">
      <alignment horizontal="left" vertical="center" wrapText="1"/>
    </xf>
    <xf numFmtId="0" fontId="5" fillId="0" borderId="0" applyAlignment="1" pivotButton="0" quotePrefix="0" xfId="0">
      <alignment horizontal="left" vertical="center" wrapText="1"/>
    </xf>
    <xf numFmtId="0" fontId="19" fillId="0" borderId="1" applyAlignment="1" pivotButton="0" quotePrefix="0" xfId="0">
      <alignment horizontal="center" vertical="center" wrapText="1"/>
    </xf>
    <xf numFmtId="0" fontId="21" fillId="2" borderId="0" applyAlignment="1" pivotButton="0" quotePrefix="0" xfId="0">
      <alignment horizontal="left" vertical="center" wrapText="1"/>
    </xf>
    <xf numFmtId="0" fontId="0" fillId="0" borderId="1" pivotButton="0" quotePrefix="0" xfId="0"/>
    <xf numFmtId="0" fontId="3" fillId="6" borderId="1" applyAlignment="1" pivotButton="0" quotePrefix="0" xfId="0">
      <alignment horizontal="left" vertical="center" wrapText="1"/>
    </xf>
    <xf numFmtId="9" fontId="8" fillId="0" borderId="1" applyAlignment="1" pivotButton="0" quotePrefix="0" xfId="0">
      <alignment horizontal="center" vertical="center" wrapText="1"/>
    </xf>
    <xf numFmtId="171" fontId="22" fillId="0" borderId="1" applyAlignment="1" pivotButton="0" quotePrefix="0" xfId="0">
      <alignment horizontal="center" vertical="center" wrapText="1"/>
    </xf>
    <xf numFmtId="0" fontId="8" fillId="0" borderId="1" applyAlignment="1" pivotButton="0" quotePrefix="0" xfId="0">
      <alignment horizontal="center" vertical="center" wrapText="1"/>
    </xf>
    <xf numFmtId="0" fontId="3" fillId="9" borderId="1" applyAlignment="1" pivotButton="0" quotePrefix="0" xfId="0">
      <alignment horizontal="left" vertical="center" wrapText="1"/>
    </xf>
    <xf numFmtId="0" fontId="3" fillId="11" borderId="1" applyAlignment="1" pivotButton="0" quotePrefix="0" xfId="0">
      <alignment horizontal="left" vertical="center" wrapText="1"/>
    </xf>
    <xf numFmtId="0" fontId="3" fillId="3" borderId="1" applyAlignment="1" pivotButton="0" quotePrefix="0" xfId="0">
      <alignment horizontal="left" vertical="center" wrapText="1"/>
    </xf>
    <xf numFmtId="0" fontId="5" fillId="7" borderId="1" applyAlignment="1" pivotButton="0" quotePrefix="0" xfId="0">
      <alignment horizontal="left" vertical="center" wrapText="1"/>
    </xf>
    <xf numFmtId="9" fontId="5" fillId="7" borderId="1" applyAlignment="1" pivotButton="0" quotePrefix="0" xfId="0">
      <alignment horizontal="center" vertical="center" wrapText="1"/>
    </xf>
    <xf numFmtId="171" fontId="23" fillId="7" borderId="1" applyAlignment="1" pivotButton="0" quotePrefix="0" xfId="0">
      <alignment horizontal="center" vertical="center" wrapText="1"/>
    </xf>
    <xf numFmtId="0" fontId="5" fillId="7" borderId="1" applyAlignment="1" pivotButton="0" quotePrefix="0" xfId="0">
      <alignment horizontal="center" vertical="center" wrapText="1"/>
    </xf>
    <xf numFmtId="0" fontId="16" fillId="3" borderId="1" applyAlignment="1" pivotButton="0" quotePrefix="0" xfId="0">
      <alignment horizontal="center" vertical="center" wrapText="1"/>
    </xf>
    <xf numFmtId="0" fontId="13" fillId="7" borderId="1" applyAlignment="1" pivotButton="0" quotePrefix="0" xfId="0">
      <alignment horizontal="center" vertical="center" wrapText="1"/>
    </xf>
    <xf numFmtId="172" fontId="8" fillId="0" borderId="1" applyAlignment="1" pivotButton="0" quotePrefix="0" xfId="0">
      <alignment horizontal="center" vertical="center" wrapText="1"/>
    </xf>
    <xf numFmtId="172" fontId="5" fillId="7" borderId="1" applyAlignment="1" pivotButton="0" quotePrefix="0" xfId="0">
      <alignment horizontal="center" vertical="center" wrapText="1"/>
    </xf>
    <xf numFmtId="0" fontId="24" fillId="16" borderId="1" applyAlignment="1" pivotButton="0" quotePrefix="0" xfId="0">
      <alignment horizontal="left" vertical="center" wrapText="1"/>
    </xf>
    <xf numFmtId="9" fontId="24" fillId="16" borderId="1" applyAlignment="1" pivotButton="0" quotePrefix="0" xfId="0">
      <alignment horizontal="center" vertical="center" wrapText="1"/>
    </xf>
    <xf numFmtId="172" fontId="5" fillId="16" borderId="1" applyAlignment="1" pivotButton="0" quotePrefix="0" xfId="0">
      <alignment horizontal="center" vertical="center" wrapText="1"/>
    </xf>
    <xf numFmtId="0" fontId="5" fillId="16" borderId="1" applyAlignment="1" pivotButton="0" quotePrefix="0" xfId="0">
      <alignment horizontal="center" vertical="center" wrapText="1"/>
    </xf>
    <xf numFmtId="0" fontId="25" fillId="16" borderId="1" applyAlignment="1" pivotButton="0" quotePrefix="0" xfId="0">
      <alignment horizontal="left" vertical="center" wrapText="1"/>
    </xf>
    <xf numFmtId="9" fontId="25" fillId="16" borderId="1" applyAlignment="1" pivotButton="0" quotePrefix="0" xfId="0">
      <alignment horizontal="center" vertical="center" wrapText="1"/>
    </xf>
    <xf numFmtId="0" fontId="26" fillId="0" borderId="0" applyAlignment="1" pivotButton="0" quotePrefix="0" xfId="0">
      <alignment horizontal="left" vertical="center" wrapText="1"/>
    </xf>
    <xf numFmtId="0" fontId="8" fillId="0" borderId="1" applyAlignment="1" pivotButton="0" quotePrefix="0" xfId="0">
      <alignment horizontal="left" vertical="center" wrapText="1"/>
    </xf>
    <xf numFmtId="1" fontId="4" fillId="0" borderId="1" applyAlignment="1" pivotButton="0" quotePrefix="0" xfId="0">
      <alignment horizontal="center" vertical="center" wrapText="1"/>
    </xf>
    <xf numFmtId="0" fontId="4" fillId="0" borderId="1" applyAlignment="1" pivotButton="0" quotePrefix="0" xfId="0">
      <alignment horizontal="center" vertical="center" wrapText="1"/>
    </xf>
    <xf numFmtId="0" fontId="6" fillId="0" borderId="1" applyAlignment="1" pivotButton="0" quotePrefix="0" xfId="0">
      <alignment horizontal="left" vertical="center" wrapText="1"/>
    </xf>
    <xf numFmtId="0" fontId="14" fillId="0" borderId="1" applyAlignment="1" pivotButton="0" quotePrefix="0" xfId="0">
      <alignment horizontal="left" vertical="center" wrapText="1"/>
    </xf>
    <xf numFmtId="0" fontId="3" fillId="14" borderId="1" applyAlignment="1" pivotButton="0" quotePrefix="0" xfId="0">
      <alignment horizontal="left" vertical="center" wrapText="1"/>
    </xf>
    <xf numFmtId="0" fontId="1" fillId="14" borderId="0" applyAlignment="1" pivotButton="0" quotePrefix="0" xfId="0">
      <alignment horizontal="left" vertical="center" wrapText="1"/>
    </xf>
    <xf numFmtId="0" fontId="9" fillId="7" borderId="0" applyAlignment="1" pivotButton="0" quotePrefix="0" xfId="0">
      <alignment horizontal="left" vertical="center" wrapText="1"/>
    </xf>
    <xf numFmtId="0" fontId="10" fillId="4" borderId="1" pivotButton="0" quotePrefix="0" xfId="0"/>
    <xf numFmtId="0" fontId="10" fillId="5" borderId="1" pivotButton="0" quotePrefix="0" xfId="0"/>
    <xf numFmtId="0" fontId="11" fillId="15" borderId="1" pivotButton="0" quotePrefix="0" xfId="0"/>
    <xf numFmtId="0" fontId="13" fillId="0" borderId="0" applyAlignment="1" pivotButton="0" quotePrefix="0" xfId="0">
      <alignment horizontal="right" vertical="center"/>
    </xf>
    <xf numFmtId="0" fontId="13" fillId="7" borderId="1" applyAlignment="1" pivotButton="0" quotePrefix="0" xfId="0">
      <alignment horizontal="left" vertical="center" wrapText="1"/>
    </xf>
    <xf numFmtId="0" fontId="3" fillId="2" borderId="1" applyAlignment="1" pivotButton="0" quotePrefix="0" xfId="0">
      <alignment horizontal="center" vertical="center" wrapText="1"/>
    </xf>
    <xf numFmtId="0" fontId="3" fillId="14" borderId="1" applyAlignment="1" pivotButton="0" quotePrefix="0" xfId="0">
      <alignment horizontal="center" vertical="center" wrapText="1"/>
    </xf>
    <xf numFmtId="0" fontId="8" fillId="5" borderId="1" applyAlignment="1" pivotButton="0" quotePrefix="0" xfId="0">
      <alignment horizontal="center" vertical="center" wrapText="1"/>
    </xf>
    <xf numFmtId="0" fontId="8" fillId="4" borderId="1" applyAlignment="1" applyProtection="1" pivotButton="0" quotePrefix="0" xfId="0">
      <alignment horizontal="center" vertical="center" wrapText="1"/>
      <protection locked="0" hidden="0"/>
    </xf>
    <xf numFmtId="0" fontId="8" fillId="4" borderId="1" applyAlignment="1" applyProtection="1" pivotButton="0" quotePrefix="0" xfId="0">
      <alignment horizontal="left" vertical="center" wrapText="1"/>
      <protection locked="0" hidden="0"/>
    </xf>
    <xf numFmtId="165" fontId="8" fillId="4" borderId="1" applyAlignment="1" applyProtection="1" pivotButton="0" quotePrefix="0" xfId="0">
      <alignment horizontal="center" vertical="center" wrapText="1"/>
      <protection locked="0" hidden="0"/>
    </xf>
    <xf numFmtId="9" fontId="8" fillId="4" borderId="1" applyAlignment="1" applyProtection="1" pivotButton="0" quotePrefix="0" xfId="0">
      <alignment horizontal="center" vertical="center" wrapText="1"/>
      <protection locked="0" hidden="0"/>
    </xf>
    <xf numFmtId="9" fontId="8" fillId="5" borderId="1" applyAlignment="1" pivotButton="0" quotePrefix="0" xfId="0">
      <alignment horizontal="center" vertical="center" wrapText="1"/>
    </xf>
    <xf numFmtId="0" fontId="8" fillId="5" borderId="1" applyAlignment="1" pivotButton="0" quotePrefix="0" xfId="0">
      <alignment horizontal="left" vertical="center" wrapText="1"/>
    </xf>
    <xf numFmtId="0" fontId="6" fillId="5" borderId="1" applyAlignment="1" pivotButton="0" quotePrefix="0" xfId="0">
      <alignment horizontal="left" vertical="center" wrapText="1"/>
    </xf>
    <xf numFmtId="164" fontId="8" fillId="5" borderId="1" applyAlignment="1" pivotButton="0" quotePrefix="0" xfId="0">
      <alignment horizontal="center" vertical="center" wrapText="1"/>
    </xf>
    <xf numFmtId="0" fontId="1" fillId="2" borderId="0" applyAlignment="1" pivotButton="0" quotePrefix="0" xfId="0">
      <alignment horizontal="left" vertical="center" wrapText="1"/>
    </xf>
    <xf numFmtId="0" fontId="16" fillId="2" borderId="1" applyAlignment="1" pivotButton="0" quotePrefix="0" xfId="0">
      <alignment horizontal="center" vertical="center" wrapText="1"/>
    </xf>
    <xf numFmtId="0" fontId="3" fillId="6" borderId="1" applyAlignment="1" pivotButton="0" quotePrefix="0" xfId="0">
      <alignment horizontal="center" vertical="center" wrapText="1"/>
    </xf>
    <xf numFmtId="0" fontId="3" fillId="9" borderId="1" applyAlignment="1" pivotButton="0" quotePrefix="0" xfId="0">
      <alignment horizontal="center" vertical="center" wrapText="1"/>
    </xf>
    <xf numFmtId="0" fontId="3" fillId="11" borderId="1" applyAlignment="1" pivotButton="0" quotePrefix="0" xfId="0">
      <alignment horizontal="center" vertical="center" wrapText="1"/>
    </xf>
    <xf numFmtId="164" fontId="4" fillId="0" borderId="1" applyAlignment="1" pivotButton="0" quotePrefix="0" xfId="0">
      <alignment horizontal="center" vertical="center" wrapText="1"/>
    </xf>
    <xf numFmtId="9" fontId="4" fillId="0" borderId="1" applyAlignment="1" pivotButton="0" quotePrefix="0" xfId="0">
      <alignment horizontal="center" vertical="center" wrapText="1"/>
    </xf>
    <xf numFmtId="0" fontId="1" fillId="6" borderId="0" applyAlignment="1" pivotButton="0" quotePrefix="0" xfId="0">
      <alignment horizontal="left" vertical="center" wrapText="1"/>
    </xf>
    <xf numFmtId="0" fontId="11" fillId="8" borderId="1" pivotButton="0" quotePrefix="0" xfId="0"/>
    <xf numFmtId="0" fontId="13" fillId="7" borderId="0" applyAlignment="1" pivotButton="0" quotePrefix="0" xfId="0">
      <alignment horizontal="left" vertical="center" wrapText="1"/>
    </xf>
    <xf numFmtId="0" fontId="13" fillId="0" borderId="0" pivotButton="0" quotePrefix="0" xfId="0"/>
    <xf numFmtId="164" fontId="5" fillId="7" borderId="0" applyAlignment="1" pivotButton="0" quotePrefix="0" xfId="0">
      <alignment horizontal="left" vertical="center" wrapText="1"/>
    </xf>
    <xf numFmtId="0" fontId="15" fillId="0" borderId="0" applyAlignment="1" pivotButton="0" quotePrefix="0" xfId="0">
      <alignment horizontal="right" vertical="center"/>
    </xf>
    <xf numFmtId="168" fontId="15" fillId="7" borderId="1" applyAlignment="1" pivotButton="0" quotePrefix="0" xfId="0">
      <alignment horizontal="center" vertical="center" wrapText="1"/>
    </xf>
    <xf numFmtId="165" fontId="8" fillId="5" borderId="1" applyAlignment="1" pivotButton="0" quotePrefix="0" xfId="0">
      <alignment horizontal="center" vertical="center" wrapText="1"/>
    </xf>
    <xf numFmtId="0" fontId="1" fillId="9" borderId="0" applyAlignment="1" pivotButton="0" quotePrefix="0" xfId="0">
      <alignment horizontal="left" vertical="center" wrapText="1"/>
    </xf>
    <xf numFmtId="0" fontId="11" fillId="10" borderId="1" pivotButton="0" quotePrefix="0" xfId="0"/>
    <xf numFmtId="0" fontId="1" fillId="11" borderId="0" applyAlignment="1" pivotButton="0" quotePrefix="0" xfId="0">
      <alignment horizontal="left" vertical="center" wrapText="1"/>
    </xf>
    <xf numFmtId="0" fontId="11" fillId="12" borderId="1" pivotButton="0" quotePrefix="0" xfId="0"/>
    <xf numFmtId="0" fontId="1" fillId="3" borderId="0" applyAlignment="1" pivotButton="0" quotePrefix="0" xfId="0">
      <alignment horizontal="left" vertical="center" wrapText="1"/>
    </xf>
    <xf numFmtId="0" fontId="11" fillId="13" borderId="1" pivotButton="0" quotePrefix="0" xfId="0"/>
    <xf numFmtId="0" fontId="27" fillId="3" borderId="0" applyAlignment="1" pivotButton="0" quotePrefix="0" xfId="0">
      <alignment horizontal="left" vertical="center" wrapText="1"/>
    </xf>
    <xf numFmtId="0" fontId="8" fillId="0" borderId="0" applyAlignment="1" pivotButton="0" quotePrefix="0" xfId="0">
      <alignment horizontal="left" vertical="top" wrapText="1"/>
    </xf>
    <xf numFmtId="0" fontId="2" fillId="0" borderId="0" pivotButton="0" quotePrefix="0" xfId="0"/>
    <xf numFmtId="0" fontId="4" fillId="0" borderId="1" applyAlignment="1" pivotButton="0" quotePrefix="0" xfId="0">
      <alignment horizontal="left" vertical="center" wrapText="1"/>
    </xf>
    <xf numFmtId="164" fontId="5" fillId="4" borderId="1" applyAlignment="1" applyProtection="1" pivotButton="0" quotePrefix="0" xfId="0">
      <alignment horizontal="center" vertical="center" wrapText="1"/>
      <protection locked="0" hidden="0"/>
    </xf>
    <xf numFmtId="165" fontId="5" fillId="4" borderId="1" applyAlignment="1" applyProtection="1" pivotButton="0" quotePrefix="0" xfId="0">
      <alignment horizontal="center" vertical="center" wrapText="1"/>
      <protection locked="0" hidden="0"/>
    </xf>
    <xf numFmtId="166" fontId="5" fillId="5" borderId="1" applyAlignment="1" pivotButton="0" quotePrefix="0" xfId="0">
      <alignment horizontal="center" vertical="center" wrapText="1"/>
    </xf>
    <xf numFmtId="1" fontId="5" fillId="4" borderId="1" applyAlignment="1" applyProtection="1" pivotButton="0" quotePrefix="0" xfId="0">
      <alignment horizontal="center" vertical="center" wrapText="1"/>
      <protection locked="0" hidden="0"/>
    </xf>
    <xf numFmtId="49" fontId="5" fillId="4" borderId="1" applyAlignment="1" applyProtection="1" pivotButton="0" quotePrefix="0" xfId="0">
      <alignment horizontal="center" vertical="center" wrapText="1"/>
      <protection locked="0" hidden="0"/>
    </xf>
    <xf numFmtId="9" fontId="5" fillId="5" borderId="1" applyAlignment="1" pivotButton="0" quotePrefix="0" xfId="0">
      <alignment horizontal="center" vertical="center" wrapText="1"/>
    </xf>
    <xf numFmtId="0" fontId="3" fillId="3" borderId="0" applyAlignment="1" pivotButton="0" quotePrefix="0" xfId="0">
      <alignment horizontal="left" vertical="center" wrapText="1"/>
    </xf>
    <xf numFmtId="0" fontId="4" fillId="0" borderId="1" pivotButton="0" quotePrefix="0" xfId="0"/>
    <xf numFmtId="9" fontId="5" fillId="4" borderId="1" applyAlignment="1" applyProtection="1" pivotButton="0" quotePrefix="0" xfId="0">
      <alignment horizontal="center" vertical="center" wrapText="1"/>
      <protection locked="0" hidden="0"/>
    </xf>
    <xf numFmtId="0" fontId="6" fillId="0" borderId="1" pivotButton="0" quotePrefix="0" xfId="0"/>
    <xf numFmtId="0" fontId="3" fillId="2" borderId="0" applyAlignment="1" pivotButton="0" quotePrefix="0" xfId="0">
      <alignment horizontal="left" vertical="center" wrapText="1"/>
    </xf>
    <xf numFmtId="0" fontId="7" fillId="0" borderId="0" pivotButton="0" quotePrefix="0" xfId="0"/>
    <xf numFmtId="0" fontId="8" fillId="0" borderId="1" pivotButton="0" quotePrefix="0" xfId="0"/>
    <xf numFmtId="0" fontId="6" fillId="0" borderId="0" applyAlignment="1" pivotButton="0" quotePrefix="0" xfId="0">
      <alignment horizontal="left" vertical="top" wrapText="1"/>
    </xf>
    <xf numFmtId="0" fontId="14" fillId="0" borderId="0" pivotButton="0" quotePrefix="0" xfId="0"/>
    <xf numFmtId="0" fontId="16" fillId="2" borderId="0" applyAlignment="1" pivotButton="0" quotePrefix="0" xfId="0">
      <alignment horizontal="center" vertical="center" wrapText="1"/>
    </xf>
    <xf numFmtId="169" fontId="0" fillId="0" borderId="0" pivotButton="0" quotePrefix="0" xfId="0"/>
    <xf numFmtId="1" fontId="0" fillId="0" borderId="0" pivotButton="0" quotePrefix="0" xfId="0"/>
    <xf numFmtId="0" fontId="17" fillId="0" borderId="0" pivotButton="0" quotePrefix="0" xfId="0"/>
    <xf numFmtId="164" fontId="0" fillId="0" borderId="0" pivotButton="0" quotePrefix="0" xfId="0"/>
  </cellXfs>
  <cellStyles count="1">
    <cellStyle name="Normal" xfId="0" builtinId="0" hidden="0"/>
  </cellStyles>
  <dxfs count="27">
    <dxf>
      <font>
        <b val="1"/>
        <color rgb="00006100"/>
      </font>
      <fill>
        <patternFill patternType="solid">
          <fgColor rgb="00C6EFCE"/>
          <bgColor rgb="00C6EFCE"/>
        </patternFill>
      </fill>
    </dxf>
    <dxf>
      <font>
        <b val="1"/>
        <color rgb="007F6000"/>
      </font>
      <fill>
        <patternFill patternType="solid">
          <fgColor rgb="00FFE699"/>
          <bgColor rgb="00FFE699"/>
        </patternFill>
      </fill>
    </dxf>
    <dxf>
      <font>
        <b val="1"/>
        <color rgb="009C0006"/>
      </font>
      <fill>
        <patternFill patternType="solid">
          <fgColor rgb="00FFC7CE"/>
          <bgColor rgb="00FFC7CE"/>
        </patternFill>
      </fill>
    </dxf>
    <dxf>
      <font>
        <b val="1"/>
        <color rgb="00FFFFFF"/>
      </font>
      <fill>
        <patternFill patternType="solid">
          <fgColor rgb="001E7B34"/>
          <bgColor rgb="001E7B34"/>
        </patternFill>
      </fill>
    </dxf>
    <dxf>
      <font>
        <b val="1"/>
        <color rgb="001F3864"/>
      </font>
      <fill>
        <patternFill patternType="solid">
          <fgColor rgb="00BDD7EE"/>
          <bgColor rgb="00BDD7EE"/>
        </patternFill>
      </fill>
    </dxf>
    <dxf>
      <font>
        <color rgb="009C0006"/>
      </font>
      <fill>
        <patternFill patternType="solid">
          <fgColor rgb="00FFC7CE"/>
          <bgColor rgb="00FFC7CE"/>
        </patternFill>
      </fill>
    </dxf>
    <dxf>
      <font>
        <b val="1"/>
        <color rgb="00833C0B"/>
      </font>
      <fill>
        <patternFill patternType="solid">
          <fgColor rgb="00F8CBAD"/>
          <bgColor rgb="00F8CBAD"/>
        </patternFill>
      </fill>
    </dxf>
    <dxf>
      <font>
        <color rgb="007F6000"/>
      </font>
      <fill>
        <patternFill patternType="solid">
          <fgColor rgb="00FFE699"/>
          <bgColor rgb="00FFE699"/>
        </patternFill>
      </fill>
    </dxf>
    <dxf>
      <font>
        <b val="1"/>
        <color rgb="00FFFFFF"/>
      </font>
      <fill>
        <patternFill patternType="solid">
          <fgColor rgb="00C00000"/>
          <bgColor rgb="00C00000"/>
        </patternFill>
      </fill>
    </dxf>
    <dxf>
      <font>
        <b val="1"/>
        <color rgb="003F2F00"/>
      </font>
      <fill>
        <patternFill patternType="solid">
          <fgColor rgb="00FFC000"/>
          <bgColor rgb="00FFC000"/>
        </patternFill>
      </fill>
    </dxf>
    <dxf>
      <font>
        <b val="1"/>
        <color rgb="007F6000"/>
      </font>
      <fill>
        <patternFill patternType="solid">
          <fgColor rgb="00FFF2CC"/>
          <bgColor rgb="00FFF2CC"/>
        </patternFill>
      </fill>
    </dxf>
    <dxf>
      <font>
        <color rgb="00404040"/>
      </font>
      <numFmt numFmtId="200" formatCode="&quot;      ↳  &quot;@"/>
    </dxf>
    <dxf>
      <font>
        <b val="1"/>
      </font>
      <fill>
        <patternFill patternType="solid">
          <fgColor rgb="00DDDDDD"/>
          <bgColor rgb="00DDDDDD"/>
        </patternFill>
      </fill>
      <border>
        <top style="medium">
          <color rgb="00595959"/>
        </top>
      </border>
    </dxf>
    <dxf>
      <font>
        <color rgb="00375623"/>
      </font>
      <fill>
        <patternFill patternType="solid">
          <fgColor rgb="00E2EFDA"/>
          <bgColor rgb="00E2EFDA"/>
        </patternFill>
      </fill>
    </dxf>
    <dxf>
      <font>
        <i val="1"/>
        <color rgb="00006100"/>
      </font>
      <numFmt numFmtId="201" formatCode="&quot;aporta &quot;0.0%"/>
    </dxf>
    <dxf>
      <fill>
        <patternFill patternType="solid">
          <fgColor rgb="00EAF3FB"/>
          <bgColor rgb="00EAF3FB"/>
        </patternFill>
      </fill>
    </dxf>
    <dxf>
      <font>
        <b val="1"/>
        <color rgb="00006100"/>
      </font>
    </dxf>
    <dxf>
      <font>
        <color rgb="001F3864"/>
      </font>
      <fill>
        <patternFill patternType="solid">
          <fgColor rgb="00BDD7EE"/>
          <bgColor rgb="00BDD7EE"/>
        </patternFill>
      </fill>
    </dxf>
    <dxf>
      <font>
        <i val="1"/>
        <color rgb="007F7F7F"/>
      </font>
    </dxf>
    <dxf>
      <font>
        <b val="1"/>
      </font>
      <fill>
        <patternFill patternType="solid">
          <fgColor rgb="00F3DECF"/>
          <bgColor rgb="00F3DECF"/>
        </patternFill>
      </fill>
      <border>
        <top style="medium">
          <color rgb="00C55A11"/>
        </top>
      </border>
    </dxf>
    <dxf>
      <font>
        <b val="1"/>
        <color rgb="00FFFFFF"/>
      </font>
      <fill>
        <patternFill patternType="solid">
          <fgColor rgb="00C55A11"/>
          <bgColor rgb="00C55A11"/>
        </patternFill>
      </fill>
    </dxf>
    <dxf>
      <font>
        <b val="1"/>
      </font>
      <fill>
        <patternFill patternType="solid">
          <fgColor rgb="00E2D5EC"/>
          <bgColor rgb="00E2D5EC"/>
        </patternFill>
      </fill>
      <border>
        <top style="medium">
          <color rgb="007030A0"/>
        </top>
      </border>
    </dxf>
    <dxf>
      <font>
        <b val="1"/>
        <color rgb="00FFFFFF"/>
      </font>
      <fill>
        <patternFill patternType="solid">
          <fgColor rgb="007030A0"/>
          <bgColor rgb="007030A0"/>
        </patternFill>
      </fill>
    </dxf>
    <dxf>
      <font>
        <b val="1"/>
      </font>
      <fill>
        <patternFill patternType="solid">
          <fgColor rgb="00DCE6D6"/>
          <bgColor rgb="00DCE6D6"/>
        </patternFill>
      </fill>
      <border>
        <top style="medium">
          <color rgb="00548235"/>
        </top>
      </border>
    </dxf>
    <dxf>
      <font>
        <b val="1"/>
        <color rgb="00FFFFFF"/>
      </font>
      <fill>
        <patternFill patternType="solid">
          <fgColor rgb="00548235"/>
          <bgColor rgb="00548235"/>
        </patternFill>
      </fill>
    </dxf>
    <dxf>
      <font>
        <b val="1"/>
      </font>
      <fill>
        <patternFill patternType="solid">
          <fgColor rgb="00D5E3F0"/>
          <bgColor rgb="00D5E3F0"/>
        </patternFill>
      </fill>
      <border>
        <top style="medium">
          <color rgb="002E75B6"/>
        </top>
      </border>
    </dxf>
    <dxf>
      <font>
        <b val="1"/>
        <color rgb="00FFFFFF"/>
      </font>
      <fill>
        <patternFill patternType="solid">
          <fgColor rgb="002E75B6"/>
          <bgColor rgb="002E75B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Avance ponderado de cada puesto en el mes</a:t>
            </a:r>
          </a:p>
        </rich>
      </tx>
    </title>
    <plotArea>
      <barChart>
        <barDir val="bar"/>
        <grouping val="clustered"/>
        <ser>
          <idx val="0"/>
          <order val="0"/>
          <spPr>
            <a:ln xmlns:a="http://schemas.openxmlformats.org/drawingml/2006/main">
              <a:prstDash val="solid"/>
            </a:ln>
          </spPr>
          <dPt>
            <idx val="0"/>
            <spPr>
              <a:solidFill xmlns:a="http://schemas.openxmlformats.org/drawingml/2006/main">
                <a:srgbClr val="C55A11"/>
              </a:solidFill>
              <a:ln xmlns:a="http://schemas.openxmlformats.org/drawingml/2006/main">
                <a:solidFill>
                  <a:srgbClr val="C55A11"/>
                </a:solidFill>
                <a:prstDash val="solid"/>
              </a:ln>
            </spPr>
          </dPt>
          <dPt>
            <idx val="1"/>
            <spPr>
              <a:solidFill xmlns:a="http://schemas.openxmlformats.org/drawingml/2006/main">
                <a:srgbClr val="7030A0"/>
              </a:solidFill>
              <a:ln xmlns:a="http://schemas.openxmlformats.org/drawingml/2006/main">
                <a:solidFill>
                  <a:srgbClr val="7030A0"/>
                </a:solidFill>
                <a:prstDash val="solid"/>
              </a:ln>
            </spPr>
          </dPt>
          <dPt>
            <idx val="2"/>
            <spPr>
              <a:solidFill xmlns:a="http://schemas.openxmlformats.org/drawingml/2006/main">
                <a:srgbClr val="548235"/>
              </a:solidFill>
              <a:ln xmlns:a="http://schemas.openxmlformats.org/drawingml/2006/main">
                <a:solidFill>
                  <a:srgbClr val="548235"/>
                </a:solidFill>
                <a:prstDash val="solid"/>
              </a:ln>
            </spPr>
          </dPt>
          <dPt>
            <idx val="3"/>
            <spPr>
              <a:solidFill xmlns:a="http://schemas.openxmlformats.org/drawingml/2006/main">
                <a:srgbClr val="2E75B6"/>
              </a:solidFill>
              <a:ln xmlns:a="http://schemas.openxmlformats.org/drawingml/2006/main">
                <a:solidFill>
                  <a:srgbClr val="2E75B6"/>
                </a:solidFill>
                <a:prstDash val="solid"/>
              </a:ln>
            </spPr>
          </dPt>
          <cat>
            <numRef>
              <f>'Dashboard - Consolidado'!$P$16:$P$19</f>
            </numRef>
          </cat>
          <val>
            <numRef>
              <f>'Dashboard - Consolidado'!$D$16:$D$19</f>
            </numRef>
          </val>
        </ser>
        <dLbls>
          <numFmt formatCode="0%"/>
          <dLblPos val="outEnd"/>
          <showLegendKey val="0"/>
          <showVal val="1"/>
          <showCatName val="0"/>
          <showSerName val="0"/>
          <showPercent val="0"/>
        </dLbls>
        <gapWidth val="60"/>
        <axId val="10"/>
        <axId val="100"/>
      </barChart>
      <catAx>
        <axId val="10"/>
        <scaling>
          <orientation val="maxMin"/>
        </scaling>
        <delete val="0"/>
        <axPos val="l"/>
        <majorTickMark val="none"/>
        <minorTickMark val="none"/>
        <crossAx val="100"/>
        <lblOffset val="100"/>
      </catAx>
      <valAx>
        <axId val="100"/>
        <scaling>
          <orientation val="minMax"/>
          <max val="1"/>
          <min val="0"/>
        </scaling>
        <delete val="0"/>
        <axPos val="l"/>
        <numFmt formatCode="0%" sourceLinked="0"/>
        <majorTickMark val="none"/>
        <minorTickMark val="none"/>
        <crossAx val="10"/>
        <majorUnit val="0.25"/>
      </valAx>
    </plotArea>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Avance acumulado por semana de cada puesto vs plan de referencia</a:t>
            </a:r>
          </a:p>
        </rich>
      </tx>
    </title>
    <plotArea>
      <barChart>
        <barDir val="col"/>
        <grouping val="clustered"/>
        <ser>
          <idx val="0"/>
          <order val="0"/>
          <tx>
            <v>R. Operacional</v>
          </tx>
          <spPr>
            <a:solidFill xmlns:a="http://schemas.openxmlformats.org/drawingml/2006/main">
              <a:srgbClr val="C55A11"/>
            </a:solidFill>
            <a:ln xmlns:a="http://schemas.openxmlformats.org/drawingml/2006/main">
              <a:solidFill>
                <a:srgbClr val="C55A11"/>
              </a:solidFill>
              <a:prstDash val="solid"/>
            </a:ln>
          </spPr>
          <cat>
            <numRef>
              <f>'Dashboard - Consolidado'!$C$24:$F$24</f>
            </numRef>
          </cat>
          <val>
            <numRef>
              <f>'Dashboard - Consolidado'!$C$25:$F$25</f>
            </numRef>
          </val>
        </ser>
        <ser>
          <idx val="1"/>
          <order val="1"/>
          <tx>
            <v>R. Normativo</v>
          </tx>
          <spPr>
            <a:solidFill xmlns:a="http://schemas.openxmlformats.org/drawingml/2006/main">
              <a:srgbClr val="7030A0"/>
            </a:solidFill>
            <a:ln xmlns:a="http://schemas.openxmlformats.org/drawingml/2006/main">
              <a:solidFill>
                <a:srgbClr val="7030A0"/>
              </a:solidFill>
              <a:prstDash val="solid"/>
            </a:ln>
          </spPr>
          <cat>
            <numRef>
              <f>'Dashboard - Consolidado'!$C$24:$F$24</f>
            </numRef>
          </cat>
          <val>
            <numRef>
              <f>'Dashboard - Consolidado'!$C$26:$F$26</f>
            </numRef>
          </val>
        </ser>
        <ser>
          <idx val="2"/>
          <order val="2"/>
          <tx>
            <v>R. Financiero</v>
          </tx>
          <spPr>
            <a:solidFill xmlns:a="http://schemas.openxmlformats.org/drawingml/2006/main">
              <a:srgbClr val="548235"/>
            </a:solidFill>
            <a:ln xmlns:a="http://schemas.openxmlformats.org/drawingml/2006/main">
              <a:solidFill>
                <a:srgbClr val="548235"/>
              </a:solidFill>
              <a:prstDash val="solid"/>
            </a:ln>
          </spPr>
          <cat>
            <numRef>
              <f>'Dashboard - Consolidado'!$C$24:$F$24</f>
            </numRef>
          </cat>
          <val>
            <numRef>
              <f>'Dashboard - Consolidado'!$C$27:$F$27</f>
            </numRef>
          </val>
        </ser>
        <ser>
          <idx val="3"/>
          <order val="3"/>
          <tx>
            <v>Asistente Técnico</v>
          </tx>
          <spPr>
            <a:solidFill xmlns:a="http://schemas.openxmlformats.org/drawingml/2006/main">
              <a:srgbClr val="2E75B6"/>
            </a:solidFill>
            <a:ln xmlns:a="http://schemas.openxmlformats.org/drawingml/2006/main">
              <a:solidFill>
                <a:srgbClr val="2E75B6"/>
              </a:solidFill>
              <a:prstDash val="solid"/>
            </a:ln>
          </spPr>
          <cat>
            <numRef>
              <f>'Dashboard - Consolidado'!$C$24:$F$24</f>
            </numRef>
          </cat>
          <val>
            <numRef>
              <f>'Dashboard - Consolidado'!$C$28:$F$28</f>
            </numRef>
          </val>
        </ser>
        <gapWidth val="80"/>
        <overlap val="-10"/>
        <axId val="10"/>
        <axId val="100"/>
      </barChart>
      <lineChart>
        <grouping val="standard"/>
        <ser>
          <idx val="4"/>
          <order val="4"/>
          <tx>
            <v>Plan de referencia</v>
          </tx>
          <spPr>
            <a:ln xmlns:a="http://schemas.openxmlformats.org/drawingml/2006/main" w="22000">
              <a:solidFill>
                <a:srgbClr val="7F7F7F"/>
              </a:solidFill>
              <a:prstDash val="dash"/>
            </a:ln>
          </spPr>
          <marker>
            <symbol val="circle"/>
            <size val="6"/>
            <spPr>
              <a:ln xmlns:a="http://schemas.openxmlformats.org/drawingml/2006/main">
                <a:prstDash val="solid"/>
              </a:ln>
            </spPr>
          </marker>
          <val>
            <numRef>
              <f>'Dashboard - Consolidado'!$C$30:$F$30</f>
            </numRef>
          </val>
        </ser>
        <axId val="10"/>
        <axId val="100"/>
      </lineChart>
      <catAx>
        <axId val="10"/>
        <scaling>
          <orientation val="minMax"/>
        </scaling>
        <delete val="0"/>
        <axPos val="l"/>
        <majorTickMark val="none"/>
        <minorTickMark val="none"/>
        <crossAx val="100"/>
        <lblOffset val="100"/>
      </catAx>
      <valAx>
        <axId val="100"/>
        <scaling>
          <orientation val="minMax"/>
          <max val="1"/>
          <min val="0"/>
        </scaling>
        <delete val="0"/>
        <axPos val="l"/>
        <majorGridlines/>
        <numFmt formatCode="0%" sourceLinked="0"/>
        <majorTickMark val="none"/>
        <minorTickMark val="none"/>
        <crossAx val="10"/>
        <majorUnit val="0.25"/>
      </valAx>
    </plotArea>
    <legend>
      <legendPos val="b"/>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Avance por puesto – últimos 6 meses</a:t>
            </a:r>
          </a:p>
        </rich>
      </tx>
    </title>
    <plotArea>
      <barChart>
        <barDir val="col"/>
        <grouping val="clustered"/>
        <ser>
          <idx val="0"/>
          <order val="0"/>
          <tx>
            <strRef>
              <f>'Historial mensual'!N5</f>
            </strRef>
          </tx>
          <spPr>
            <a:solidFill xmlns:a="http://schemas.openxmlformats.org/drawingml/2006/main">
              <a:srgbClr val="C55A11"/>
            </a:solidFill>
            <a:ln xmlns:a="http://schemas.openxmlformats.org/drawingml/2006/main">
              <a:solidFill>
                <a:srgbClr val="C55A11"/>
              </a:solidFill>
              <a:prstDash val="solid"/>
            </a:ln>
          </spPr>
          <cat>
            <numRef>
              <f>'Historial mensual'!$M$6:$M$11</f>
            </numRef>
          </cat>
          <val>
            <numRef>
              <f>'Historial mensual'!$N$6:$N$11</f>
            </numRef>
          </val>
        </ser>
        <ser>
          <idx val="1"/>
          <order val="1"/>
          <tx>
            <strRef>
              <f>'Historial mensual'!O5</f>
            </strRef>
          </tx>
          <spPr>
            <a:solidFill xmlns:a="http://schemas.openxmlformats.org/drawingml/2006/main">
              <a:srgbClr val="7030A0"/>
            </a:solidFill>
            <a:ln xmlns:a="http://schemas.openxmlformats.org/drawingml/2006/main">
              <a:solidFill>
                <a:srgbClr val="7030A0"/>
              </a:solidFill>
              <a:prstDash val="solid"/>
            </a:ln>
          </spPr>
          <cat>
            <numRef>
              <f>'Historial mensual'!$M$6:$M$11</f>
            </numRef>
          </cat>
          <val>
            <numRef>
              <f>'Historial mensual'!$O$6:$O$11</f>
            </numRef>
          </val>
        </ser>
        <ser>
          <idx val="2"/>
          <order val="2"/>
          <tx>
            <strRef>
              <f>'Historial mensual'!P5</f>
            </strRef>
          </tx>
          <spPr>
            <a:solidFill xmlns:a="http://schemas.openxmlformats.org/drawingml/2006/main">
              <a:srgbClr val="548235"/>
            </a:solidFill>
            <a:ln xmlns:a="http://schemas.openxmlformats.org/drawingml/2006/main">
              <a:solidFill>
                <a:srgbClr val="548235"/>
              </a:solidFill>
              <a:prstDash val="solid"/>
            </a:ln>
          </spPr>
          <cat>
            <numRef>
              <f>'Historial mensual'!$M$6:$M$11</f>
            </numRef>
          </cat>
          <val>
            <numRef>
              <f>'Historial mensual'!$P$6:$P$11</f>
            </numRef>
          </val>
        </ser>
        <ser>
          <idx val="3"/>
          <order val="3"/>
          <tx>
            <strRef>
              <f>'Historial mensual'!Q5</f>
            </strRef>
          </tx>
          <spPr>
            <a:solidFill xmlns:a="http://schemas.openxmlformats.org/drawingml/2006/main">
              <a:srgbClr val="2E75B6"/>
            </a:solidFill>
            <a:ln xmlns:a="http://schemas.openxmlformats.org/drawingml/2006/main">
              <a:solidFill>
                <a:srgbClr val="2E75B6"/>
              </a:solidFill>
              <a:prstDash val="solid"/>
            </a:ln>
          </spPr>
          <cat>
            <numRef>
              <f>'Historial mensual'!$M$6:$M$11</f>
            </numRef>
          </cat>
          <val>
            <numRef>
              <f>'Historial mensual'!$Q$6:$Q$11</f>
            </numRef>
          </val>
        </ser>
        <gapWidth val="120"/>
        <overlap val="-10"/>
        <axId val="10"/>
        <axId val="100"/>
      </barChart>
      <catAx>
        <axId val="10"/>
        <scaling>
          <orientation val="minMax"/>
        </scaling>
        <delete val="0"/>
        <axPos val="l"/>
        <majorTickMark val="none"/>
        <minorTickMark val="none"/>
        <crossAx val="100"/>
        <lblOffset val="100"/>
      </catAx>
      <valAx>
        <axId val="100"/>
        <scaling>
          <orientation val="minMax"/>
          <max val="1"/>
          <min val="0"/>
        </scaling>
        <delete val="0"/>
        <axPos val="l"/>
        <majorGridlines/>
        <numFmt formatCode="0%" sourceLinked="0"/>
        <majorTickMark val="none"/>
        <minorTickMark val="none"/>
        <crossAx val="10"/>
        <majorUnit val="0.25"/>
      </valAx>
    </plotArea>
    <legend>
      <legendPos val="b"/>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s>
</file>

<file path=xl/drawings/_rels/drawing2.xml.rels><Relationships xmlns="http://schemas.openxmlformats.org/package/2006/relationships"><Relationship Type="http://schemas.openxmlformats.org/officeDocument/2006/relationships/chart" Target="/xl/charts/chart3.xml" Id="rId1"/></Relationships>
</file>

<file path=xl/drawings/drawing1.xml><?xml version="1.0" encoding="utf-8"?>
<wsDr xmlns="http://schemas.openxmlformats.org/drawingml/2006/spreadsheetDrawing">
  <oneCellAnchor>
    <from>
      <col>1</col>
      <colOff>0</colOff>
      <row>34</row>
      <rowOff>0</rowOff>
    </from>
    <ext cx="11160000" cy="270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col>
      <colOff>0</colOff>
      <row>50</row>
      <rowOff>0</rowOff>
    </from>
    <ext cx="11160000" cy="28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drawings/drawing2.xml><?xml version="1.0" encoding="utf-8"?>
<wsDr xmlns="http://schemas.openxmlformats.org/drawingml/2006/spreadsheetDrawing">
  <oneCellAnchor>
    <from>
      <col>1</col>
      <colOff>0</colOff>
      <row>30</row>
      <rowOff>0</rowOff>
    </from>
    <ext cx="9360000" cy="30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ables/table1.xml><?xml version="1.0" encoding="utf-8"?>
<table xmlns="http://schemas.openxmlformats.org/spreadsheetml/2006/main" id="1" name="tblAct_ADM" displayName="tblAct_ADM" ref="A4:AN304" headerRowCount="1">
  <autoFilter ref="A4:AN304"/>
  <tableColumns count="40">
    <tableColumn id="1" name="N°">
      <calculatedColumnFormula>IF(NOT((COUNTA(tblAct_ADM[[#This Row],[Tipo]:[Delegar a]])+COUNTA(tblAct_ADM[[#This Row],[Fecha de cumplimiento]:[Avance Semana 4 (%)]])+COUNTA(tblAct_ADM[[#This Row],[Observaciones]]))&gt;0),"",IF(tblAct_ADM[[#This Row],[Tipo (aux)]]="Macro",COUNTIFS(INDEX(tblAct_ADM[Tipo (aux)],1):tblAct_ADM[[#This Row],[Tipo (aux)]],"Macro",INDEX(tblAct_ADM[Mes],1):tblAct_ADM[[#This Row],[Mes]],tblAct_ADM[[#This Row],[Mes]]),IF(N(tblAct_ADM[[#This Row],[Grupo (aux)]])=0,"?",COUNTIFS(INDEX($V$5:$V$1000,1):INDEX($V$5:$V$1000,tblAct_ADM[[#This Row],[Grupo (aux)]]-4),"Macro",INDEX($S$5:$S$1000,1):INDEX($S$5:$S$1000,tblAct_ADM[[#This Row],[Grupo (aux)]]-4),INDEX($S$5:$S$1000,tblAct_ADM[[#This Row],[Grupo (aux)]]-4))&amp;"."&amp;COUNTIFS(INDEX(tblAct_ADM[Grupo (aux)],1):tblAct_ADM[[#This Row],[Grupo (aux)]],tblAct_ADM[[#This Row],[Grupo (aux)]],INDEX(tblAct_ADM[Tipo (aux)],1):tblAct_ADM[[#This Row],[Tipo (aux)]],"Sub"))))</calculatedColumnFormula>
    </tableColumn>
    <tableColumn id="2" name="Tipo"/>
    <tableColumn id="3" name="Actividad"/>
    <tableColumn id="4" name="Delegar a"/>
    <tableColumn id="5" name="Fecha de inicio"/>
    <tableColumn id="6" name="Fecha límite"/>
    <tableColumn id="7" name="Fecha de cumplimiento"/>
    <tableColumn id="8" name="Peso (%)"/>
    <tableColumn id="9" name="Avance Semana 1 (%)"/>
    <tableColumn id="10" name="Avance Semana 2 (%)"/>
    <tableColumn id="11" name="Avance Semana 3 (%)"/>
    <tableColumn id="12" name="Avance Semana 4 (%)"/>
    <tableColumn id="13" name="% de Avance Total Actual">
      <calculatedColumnFormula>IF(NOT((COUNTA(tblAct_ADM[[#This Row],[Tipo]:[Delegar a]])+COUNTA(tblAct_ADM[[#This Row],[Fecha de cumplimiento]:[Avance Semana 4 (%)]])+COUNTA(tblAct_ADM[[#This Row],[Observaciones]]))&gt;0),"",IF(AND(tblAct_ADM[[#This Row],[Delegar a]]&lt;&gt;"",tblAct_ADM[[#This Row],[Tipo (aux)]]="Macro"),IF(N(tblAct_ADM[[#This Row],[Fila en el puesto (aux)]])&gt;0,N(CHOOSE(MATCH(tblAct_ADM[[#This Row],[Delegar a]],ListaPuestos,0),INDEX('Cronograma R. Operacional'!$M$5:$M$1000,tblAct_ADM[[#This Row],[Fila en el puesto (aux)]]),INDEX('Cronograma R. Normativo'!$M$5:$M$1000,tblAct_ADM[[#This Row],[Fila en el puesto (aux)]]),INDEX('Cronograma R. Financiero'!$M$5:$M$1000,tblAct_ADM[[#This Row],[Fila en el puesto (aux)]]),INDEX('Cronograma Asistente Técnico'!$M$5:$M$1000,tblAct_ADM[[#This Row],[Fila en el puesto (aux)]]))),0),IF(ISNUMBER(tblAct_ADM[[#This Row],[Fecha de cumplimiento]]),1,IF(N(tblAct_ADM[[#This Row],[N subactividades (aux)]])&gt;0,AVERAGEIFS($X$5:$X$1000,$U$5:$U$1000,ROW(),$V$5:$V$1000,"Sub"),tblAct_ADM[[#This Row],[Avance propio (aux)]]))))</calculatedColumnFormula>
    </tableColumn>
    <tableColumn id="14" name="Estado">
      <calculatedColumnFormula>IF(OR(tblAct_ADM[[#This Row],[% de Avance Total Actual]]="",tblAct_ADM[[#This Row],[Tipo (aux)]]="Sub"),"",IF(tblAct_ADM[[#This Row],[% de Avance Total Actual]]&gt;=1,"Completado",IF(tblAct_ADM[[#This Row],[% de Avance Total Actual]]&gt;0,"En curso","Pendiente")))</calculatedColumnFormula>
    </tableColumn>
    <tableColumn id="15" name="Alerta de plazo">
      <calculatedColumnFormula>IF(NOT((COUNTA(tblAct_ADM[[#This Row],[Tipo]:[Delegar a]])+COUNTA(tblAct_ADM[[#This Row],[Fecha de cumplimiento]:[Avance Semana 4 (%)]])+COUNTA(tblAct_ADM[[#This Row],[Observaciones]]))&gt;0),"",IF(AND(AND(tblAct_ADM[[#This Row],[Delegar a]]&lt;&gt;"",tblAct_ADM[[#This Row],[Tipo (aux)]]="Macro"),N(tblAct_ADM[[#This Row],[Fila en el puesto (aux)]])&gt;0),CHOOSE(MATCH(tblAct_ADM[[#This Row],[Delegar a]],ListaPuestos,0),INDEX('Cronograma R. Operacional'!$O$5:$O$1000,tblAct_ADM[[#This Row],[Fila en el puesto (aux)]]),INDEX('Cronograma R. Normativo'!$O$5:$O$1000,tblAct_ADM[[#This Row],[Fila en el puesto (aux)]]),INDEX('Cronograma R. Financiero'!$O$5:$O$1000,tblAct_ADM[[#This Row],[Fila en el puesto (aux)]]),INDEX('Cronograma Asistente Técnico'!$O$5:$O$1000,tblAct_ADM[[#This Row],[Fila en el puesto (aux)]]))&amp;"",IF(ISNUMBER(tblAct_ADM[[#This Row],[Fecha de cumplimiento]]),IF(AND(ISNUMBER(tblAct_ADM[[#This Row],[Límite efectivo (aux)]]),tblAct_ADM[[#This Row],[Fecha de cumplimiento]]&gt;tblAct_ADM[[#This Row],[Límite efectivo (aux)]]),"Cumplida con "&amp;(tblAct_ADM[[#This Row],[Fecha de cumplimiento]]-tblAct_ADM[[#This Row],[Límite efectivo (aux)]])&amp;IF(tblAct_ADM[[#This Row],[Fecha de cumplimiento]]-tblAct_ADM[[#This Row],[Límite efectivo (aux)]]=1," día"," días")&amp;" de retraso","Cumplida"),IF(N(tblAct_ADM[[#This Row],[% de Avance Total Actual]])&gt;=1,"Cumplida",IF(NOT(ISNUMBER(tblAct_ADM[[#This Row],[Límite efectivo (aux)]])),"Sin fecha límite",IF(tblAct_ADM[[#This Row],[Límite efectivo (aux)]]&lt;FechaRef,"Vencida hace "&amp;(FechaRef-tblAct_ADM[[#This Row],[Límite efectivo (aux)]])&amp;IF(FechaRef-tblAct_ADM[[#This Row],[Límite efectivo (aux)]]=1," día"," días"),IF(tblAct_ADM[[#This Row],[Límite efectivo (aux)]]=FechaRef,"Vence hoy",IF(tblAct_ADM[[#This Row],[Límite efectivo (aux)]]-FechaRef&lt;=DiasAlerta,"Vence en "&amp;(tblAct_ADM[[#This Row],[Límite efectivo (aux)]]-FechaRef)&amp;IF(tblAct_ADM[[#This Row],[Límite efectivo (aux)]]-FechaRef=1," día"," días"),"En plazo"))))))))</calculatedColumnFormula>
    </tableColumn>
    <tableColumn id="16" name="Seguimiento de la delegación">
      <calculatedColumnFormula>IF(NOT((COUNTA(tblAct_ADM[[#This Row],[Tipo]:[Delegar a]])+COUNTA(tblAct_ADM[[#This Row],[Fecha de cumplimiento]:[Avance Semana 4 (%)]])+COUNTA(tblAct_ADM[[#This Row],[Observaciones]]))&gt;0),"",IF(tblAct_ADM[[#This Row],[Delegar a]]="","Propia",IF(tblAct_ADM[[#This Row],[Tipo (aux)]]&lt;&gt;"Macro","Solo se delegan macroactividades",IF(N(tblAct_ADM[[#This Row],[Fila en el puesto (aux)]])&gt;0,"✔ Recibida por "&amp;tblAct_ADM[[#This Row],[Delegar a]],"⚠ "&amp;tblAct_ADM[[#This Row],[Delegar a]]&amp;" aún no la agrega"))))</calculatedColumnFormula>
    </tableColumn>
    <tableColumn id="17" name="Observaciones"/>
    <tableColumn id="18" name="Revisión automática (alertas)">
      <calculatedColumnFormula>IF(NOT((COUNTA(tblAct_ADM[[#This Row],[Tipo]:[Delegar a]])+COUNTA(tblAct_ADM[[#This Row],[Fecha de cumplimiento]:[Avance Semana 4 (%)]])+COUNTA(tblAct_ADM[[#This Row],[Observaciones]]))&gt;0),"",IF((IF(tblAct_ADM[[#This Row],[Actividad]]="","Falta el nombre de la actividad"&amp;" · ","")&amp;IF(AND(tblAct_ADM[[#This Row],[Tipo (aux)]]="Sub",N(tblAct_ADM[[#This Row],[Grupo (aux)]])=0),"Subactividad sin macroactividad arriba"&amp;" · ","")&amp;IF(tblAct_ADM[[#This Row],[Inicio efectivo (aux)]]="","Sin fecha de inicio"&amp;" · ","")&amp;IF(tblAct_ADM[[#This Row],[Límite efectivo (aux)]]="","Sin fecha límite"&amp;" · ","")&amp;IF(AND(LEFT(tblAct_ADM[[#This Row],[Actividad]],11)="[Jefatura] ",N(tblAct_ADM[[#This Row],[Fila en Administración (aux)]])=0),"No se encuentra en la hoja de la jefatura (elíjala de nuevo en la lista)"&amp;" · ","")&amp;IF(OR(AND(tblAct_ADM[[#This Row],[Fecha de inicio]]&lt;&gt;"",NOT(ISNUMBER(tblAct_ADM[[#This Row],[Fecha de inicio]]))),AND(tblAct_ADM[[#This Row],[Fecha límite]]&lt;&gt;"",NOT(ISNUMBER(tblAct_ADM[[#This Row],[Fecha límite]]))),AND(tblAct_ADM[[#This Row],[Fecha de cumplimiento]]&lt;&gt;"",NOT(ISNUMBER(tblAct_ADM[[#This Row],[Fecha de cumplimiento]])))),"Fecha no válida"&amp;" · ","")&amp;IF(AND(ISNUMBER(tblAct_ADM[[#This Row],[Inicio efectivo (aux)]]),ISNUMBER(tblAct_ADM[[#This Row],[Límite efectivo (aux)]]),tblAct_ADM[[#This Row],[Inicio efectivo (aux)]]&gt;tblAct_ADM[[#This Row],[Límite efectivo (aux)]]),"Inicio posterior a fecha límite"&amp;" · ","")&amp;IF(AND(tblAct_ADM[[#This Row],[Tipo (aux)]]="Macro",tblAct_ADM[[#This Row],[Peso (%)]]&lt;&gt;"",OR(NOT(ISNUMBER(tblAct_ADM[[#This Row],[Peso (%)]])),tblAct_ADM[[#This Row],[Peso (%)]]&lt;0,tblAct_ADM[[#This Row],[Peso (%)]]&gt;1)),"Peso fuera de rango"&amp;" · ","")&amp;IF(AND(tblAct_ADM[[#This Row],[Tipo (aux)]]="Sub",tblAct_ADM[[#This Row],[Peso (%)]]&lt;&gt;""),"Las subactividades no llevan peso (valen igual dentro de su macroactividad)"&amp;" · ","")&amp;IF(AND(N(tblAct_ADM[[#This Row],[N subactividades (aux)]])&gt;0,COUNT(tblAct_ADM[[#This Row],[Avance Semana 1 (%)]:[Avance Semana 4 (%)]])&gt;0),"Con subactividades: deje vacías las semanas (se calculan solas)"&amp;" · ","")&amp;IF((COUNTIF(tblAct_ADM[[#This Row],[Avance Semana 1 (%)]:[Avance Semana 4 (%)]],"&gt;1")+COUNTIF(tblAct_ADM[[#This Row],[Avance Semana 1 (%)]:[Avance Semana 4 (%)]],"&lt;0")+COUNTA(tblAct_ADM[[#This Row],[Avance Semana 1 (%)]:[Avance Semana 4 (%)]])-COUNT(tblAct_ADM[[#This Row],[Avance Semana 1 (%)]:[Avance Semana 4 (%)]]))&gt;0,"Avance fuera de rango 0-100%"&amp;" · ","")&amp;IF(OR(AND(tblAct_ADM[[#This Row],[Avance Semana 2 (%)]]&lt;&gt;"",tblAct_ADM[[#This Row],[Avance Semana 2 (%)]]&lt;tblAct_ADM[[#This Row],[Avance Semana 1 (%)]]),AND(tblAct_ADM[[#This Row],[Avance Semana 3 (%)]]&lt;&gt;"",tblAct_ADM[[#This Row],[Avance Semana 3 (%)]]&lt;MAX(tblAct_ADM[[#This Row],[Avance Semana 1 (%)]:[Avance Semana 2 (%)]])),AND(tblAct_ADM[[#This Row],[Avance Semana 4 (%)]]&lt;&gt;"",tblAct_ADM[[#This Row],[Avance Semana 4 (%)]]&lt;MAX(tblAct_ADM[[#This Row],[Avance Semana 1 (%)]:[Avance Semana 3 (%)]]))),"Avance semanal decreciente"&amp;" · ","")&amp;IF(AND(ISNUMBER(tblAct_ADM[[#This Row],[Límite efectivo (aux)]]),tblAct_ADM[[#This Row],[Límite efectivo (aux)]]&lt;FechaRef,IF(tblAct_ADM[[#This Row],[Tipo (aux)]]="Sub",N(tblAct_ADM[[#This Row],[Avance propio (aux)]]),N(tblAct_ADM[[#This Row],[% de Avance Total Actual]]))&lt;1),"Vencida"&amp;" · ","")&amp;IF(AND(ObsObligatoria="Sí",ISNUMBER(tblAct_ADM[[#This Row],[Límite efectivo (aux)]]),tblAct_ADM[[#This Row],[Límite efectivo (aux)]]&lt;FechaRef,IF(tblAct_ADM[[#This Row],[Tipo (aux)]]="Sub",N(tblAct_ADM[[#This Row],[Avance propio (aux)]]),N(tblAct_ADM[[#This Row],[% de Avance Total Actual]]))&lt;1,tblAct_ADM[[#This Row],[Observaciones]]=""),"Vencida sin observación"&amp;" · ",""))="","✔ OK","⚠ "&amp;LEFT(IF(tblAct_ADM[[#This Row],[Actividad]]="","Falta el nombre de la actividad"&amp;" · ","")&amp;IF(AND(tblAct_ADM[[#This Row],[Tipo (aux)]]="Sub",N(tblAct_ADM[[#This Row],[Grupo (aux)]])=0),"Subactividad sin macroactividad arriba"&amp;" · ","")&amp;IF(tblAct_ADM[[#This Row],[Inicio efectivo (aux)]]="","Sin fecha de inicio"&amp;" · ","")&amp;IF(tblAct_ADM[[#This Row],[Límite efectivo (aux)]]="","Sin fecha límite"&amp;" · ","")&amp;IF(AND(LEFT(tblAct_ADM[[#This Row],[Actividad]],11)="[Jefatura] ",N(tblAct_ADM[[#This Row],[Fila en Administración (aux)]])=0),"No se encuentra en la hoja de la jefatura (elíjala de nuevo en la lista)"&amp;" · ","")&amp;IF(OR(AND(tblAct_ADM[[#This Row],[Fecha de inicio]]&lt;&gt;"",NOT(ISNUMBER(tblAct_ADM[[#This Row],[Fecha de inicio]]))),AND(tblAct_ADM[[#This Row],[Fecha límite]]&lt;&gt;"",NOT(ISNUMBER(tblAct_ADM[[#This Row],[Fecha límite]]))),AND(tblAct_ADM[[#This Row],[Fecha de cumplimiento]]&lt;&gt;"",NOT(ISNUMBER(tblAct_ADM[[#This Row],[Fecha de cumplimiento]])))),"Fecha no válida"&amp;" · ","")&amp;IF(AND(ISNUMBER(tblAct_ADM[[#This Row],[Inicio efectivo (aux)]]),ISNUMBER(tblAct_ADM[[#This Row],[Límite efectivo (aux)]]),tblAct_ADM[[#This Row],[Inicio efectivo (aux)]]&gt;tblAct_ADM[[#This Row],[Límite efectivo (aux)]]),"Inicio posterior a fecha límite"&amp;" · ","")&amp;IF(AND(tblAct_ADM[[#This Row],[Tipo (aux)]]="Macro",tblAct_ADM[[#This Row],[Peso (%)]]&lt;&gt;"",OR(NOT(ISNUMBER(tblAct_ADM[[#This Row],[Peso (%)]])),tblAct_ADM[[#This Row],[Peso (%)]]&lt;0,tblAct_ADM[[#This Row],[Peso (%)]]&gt;1)),"Peso fuera de rango"&amp;" · ","")&amp;IF(AND(tblAct_ADM[[#This Row],[Tipo (aux)]]="Sub",tblAct_ADM[[#This Row],[Peso (%)]]&lt;&gt;""),"Las subactividades no llevan peso (valen igual dentro de su macroactividad)"&amp;" · ","")&amp;IF(AND(N(tblAct_ADM[[#This Row],[N subactividades (aux)]])&gt;0,COUNT(tblAct_ADM[[#This Row],[Avance Semana 1 (%)]:[Avance Semana 4 (%)]])&gt;0),"Con subactividades: deje vacías las semanas (se calculan solas)"&amp;" · ","")&amp;IF((COUNTIF(tblAct_ADM[[#This Row],[Avance Semana 1 (%)]:[Avance Semana 4 (%)]],"&gt;1")+COUNTIF(tblAct_ADM[[#This Row],[Avance Semana 1 (%)]:[Avance Semana 4 (%)]],"&lt;0")+COUNTA(tblAct_ADM[[#This Row],[Avance Semana 1 (%)]:[Avance Semana 4 (%)]])-COUNT(tblAct_ADM[[#This Row],[Avance Semana 1 (%)]:[Avance Semana 4 (%)]]))&gt;0,"Avance fuera de rango 0-100%"&amp;" · ","")&amp;IF(OR(AND(tblAct_ADM[[#This Row],[Avance Semana 2 (%)]]&lt;&gt;"",tblAct_ADM[[#This Row],[Avance Semana 2 (%)]]&lt;tblAct_ADM[[#This Row],[Avance Semana 1 (%)]]),AND(tblAct_ADM[[#This Row],[Avance Semana 3 (%)]]&lt;&gt;"",tblAct_ADM[[#This Row],[Avance Semana 3 (%)]]&lt;MAX(tblAct_ADM[[#This Row],[Avance Semana 1 (%)]:[Avance Semana 2 (%)]])),AND(tblAct_ADM[[#This Row],[Avance Semana 4 (%)]]&lt;&gt;"",tblAct_ADM[[#This Row],[Avance Semana 4 (%)]]&lt;MAX(tblAct_ADM[[#This Row],[Avance Semana 1 (%)]:[Avance Semana 3 (%)]]))),"Avance semanal decreciente"&amp;" · ","")&amp;IF(AND(ISNUMBER(tblAct_ADM[[#This Row],[Límite efectivo (aux)]]),tblAct_ADM[[#This Row],[Límite efectivo (aux)]]&lt;FechaRef,IF(tblAct_ADM[[#This Row],[Tipo (aux)]]="Sub",N(tblAct_ADM[[#This Row],[Avance propio (aux)]]),N(tblAct_ADM[[#This Row],[% de Avance Total Actual]]))&lt;1),"Vencida"&amp;" · ","")&amp;IF(AND(ObsObligatoria="Sí",ISNUMBER(tblAct_ADM[[#This Row],[Límite efectivo (aux)]]),tblAct_ADM[[#This Row],[Límite efectivo (aux)]]&lt;FechaRef,IF(tblAct_ADM[[#This Row],[Tipo (aux)]]="Sub",N(tblAct_ADM[[#This Row],[Avance propio (aux)]]),N(tblAct_ADM[[#This Row],[% de Avance Total Actual]]))&lt;1,tblAct_ADM[[#This Row],[Observaciones]]=""),"Vencida sin observación"&amp;" · ",""),LEN(IF(tblAct_ADM[[#This Row],[Actividad]]="","Falta el nombre de la actividad"&amp;" · ","")&amp;IF(AND(tblAct_ADM[[#This Row],[Tipo (aux)]]="Sub",N(tblAct_ADM[[#This Row],[Grupo (aux)]])=0),"Subactividad sin macroactividad arriba"&amp;" · ","")&amp;IF(tblAct_ADM[[#This Row],[Inicio efectivo (aux)]]="","Sin fecha de inicio"&amp;" · ","")&amp;IF(tblAct_ADM[[#This Row],[Límite efectivo (aux)]]="","Sin fecha límite"&amp;" · ","")&amp;IF(AND(LEFT(tblAct_ADM[[#This Row],[Actividad]],11)="[Jefatura] ",N(tblAct_ADM[[#This Row],[Fila en Administración (aux)]])=0),"No se encuentra en la hoja de la jefatura (elíjala de nuevo en la lista)"&amp;" · ","")&amp;IF(OR(AND(tblAct_ADM[[#This Row],[Fecha de inicio]]&lt;&gt;"",NOT(ISNUMBER(tblAct_ADM[[#This Row],[Fecha de inicio]]))),AND(tblAct_ADM[[#This Row],[Fecha límite]]&lt;&gt;"",NOT(ISNUMBER(tblAct_ADM[[#This Row],[Fecha límite]]))),AND(tblAct_ADM[[#This Row],[Fecha de cumplimiento]]&lt;&gt;"",NOT(ISNUMBER(tblAct_ADM[[#This Row],[Fecha de cumplimiento]])))),"Fecha no válida"&amp;" · ","")&amp;IF(AND(ISNUMBER(tblAct_ADM[[#This Row],[Inicio efectivo (aux)]]),ISNUMBER(tblAct_ADM[[#This Row],[Límite efectivo (aux)]]),tblAct_ADM[[#This Row],[Inicio efectivo (aux)]]&gt;tblAct_ADM[[#This Row],[Límite efectivo (aux)]]),"Inicio posterior a fecha límite"&amp;" · ","")&amp;IF(AND(tblAct_ADM[[#This Row],[Tipo (aux)]]="Macro",tblAct_ADM[[#This Row],[Peso (%)]]&lt;&gt;"",OR(NOT(ISNUMBER(tblAct_ADM[[#This Row],[Peso (%)]])),tblAct_ADM[[#This Row],[Peso (%)]]&lt;0,tblAct_ADM[[#This Row],[Peso (%)]]&gt;1)),"Peso fuera de rango"&amp;" · ","")&amp;IF(AND(tblAct_ADM[[#This Row],[Tipo (aux)]]="Sub",tblAct_ADM[[#This Row],[Peso (%)]]&lt;&gt;""),"Las subactividades no llevan peso (valen igual dentro de su macroactividad)"&amp;" · ","")&amp;IF(AND(N(tblAct_ADM[[#This Row],[N subactividades (aux)]])&gt;0,COUNT(tblAct_ADM[[#This Row],[Avance Semana 1 (%)]:[Avance Semana 4 (%)]])&gt;0),"Con subactividades: deje vacías las semanas (se calculan solas)"&amp;" · ","")&amp;IF((COUNTIF(tblAct_ADM[[#This Row],[Avance Semana 1 (%)]:[Avance Semana 4 (%)]],"&gt;1")+COUNTIF(tblAct_ADM[[#This Row],[Avance Semana 1 (%)]:[Avance Semana 4 (%)]],"&lt;0")+COUNTA(tblAct_ADM[[#This Row],[Avance Semana 1 (%)]:[Avance Semana 4 (%)]])-COUNT(tblAct_ADM[[#This Row],[Avance Semana 1 (%)]:[Avance Semana 4 (%)]]))&gt;0,"Avance fuera de rango 0-100%"&amp;" · ","")&amp;IF(OR(AND(tblAct_ADM[[#This Row],[Avance Semana 2 (%)]]&lt;&gt;"",tblAct_ADM[[#This Row],[Avance Semana 2 (%)]]&lt;tblAct_ADM[[#This Row],[Avance Semana 1 (%)]]),AND(tblAct_ADM[[#This Row],[Avance Semana 3 (%)]]&lt;&gt;"",tblAct_ADM[[#This Row],[Avance Semana 3 (%)]]&lt;MAX(tblAct_ADM[[#This Row],[Avance Semana 1 (%)]:[Avance Semana 2 (%)]])),AND(tblAct_ADM[[#This Row],[Avance Semana 4 (%)]]&lt;&gt;"",tblAct_ADM[[#This Row],[Avance Semana 4 (%)]]&lt;MAX(tblAct_ADM[[#This Row],[Avance Semana 1 (%)]:[Avance Semana 3 (%)]]))),"Avance semanal decreciente"&amp;" · ","")&amp;IF(AND(ISNUMBER(tblAct_ADM[[#This Row],[Límite efectivo (aux)]]),tblAct_ADM[[#This Row],[Límite efectivo (aux)]]&lt;FechaRef,IF(tblAct_ADM[[#This Row],[Tipo (aux)]]="Sub",N(tblAct_ADM[[#This Row],[Avance propio (aux)]]),N(tblAct_ADM[[#This Row],[% de Avance Total Actual]]))&lt;1),"Vencida"&amp;" · ","")&amp;IF(AND(ObsObligatoria="Sí",ISNUMBER(tblAct_ADM[[#This Row],[Límite efectivo (aux)]]),tblAct_ADM[[#This Row],[Límite efectivo (aux)]]&lt;FechaRef,IF(tblAct_ADM[[#This Row],[Tipo (aux)]]="Sub",N(tblAct_ADM[[#This Row],[Avance propio (aux)]]),N(tblAct_ADM[[#This Row],[% de Avance Total Actual]]))&lt;1,tblAct_ADM[[#This Row],[Observaciones]]=""),"Vencida sin observación"&amp;" · ",""))-3)))</calculatedColumnFormula>
    </tableColumn>
    <tableColumn id="19" name="Mes">
      <calculatedColumnFormula>IF(NOT((COUNTA(tblAct_ADM[[#This Row],[Tipo]:[Delegar a]])+COUNTA(tblAct_ADM[[#This Row],[Fecha de cumplimiento]:[Avance Semana 4 (%)]])+COUNTA(tblAct_ADM[[#This Row],[Observaciones]]))&gt;0),"",IF(AND(tblAct_ADM[[#This Row],[Tipo (aux)]]="Sub",N(tblAct_ADM[[#This Row],[Grupo (aux)]])&gt;0),IF(ISNUMBER(INDEX($AM$5:$AM$1000,tblAct_ADM[[#This Row],[Grupo (aux)]]-4)),DATE(YEAR(INDEX($AM$5:$AM$1000,tblAct_ADM[[#This Row],[Grupo (aux)]]-4)),MONTH(INDEX($AM$5:$AM$1000,tblAct_ADM[[#This Row],[Grupo (aux)]]-4)),1),IF(ISNUMBER(INDEX($AN$5:$AN$1000,tblAct_ADM[[#This Row],[Grupo (aux)]]-4)),DATE(YEAR(INDEX($AN$5:$AN$1000,tblAct_ADM[[#This Row],[Grupo (aux)]]-4)),MONTH(INDEX($AN$5:$AN$1000,tblAct_ADM[[#This Row],[Grupo (aux)]]-4)),1),MesCiclo)),IF(ISNUMBER(tblAct_ADM[[#This Row],[Inicio efectivo (aux)]]),DATE(YEAR(tblAct_ADM[[#This Row],[Inicio efectivo (aux)]]),MONTH(tblAct_ADM[[#This Row],[Inicio efectivo (aux)]]),1),IF(ISNUMBER(tblAct_ADM[[#This Row],[Límite efectivo (aux)]]),DATE(YEAR(tblAct_ADM[[#This Row],[Límite efectivo (aux)]]),MONTH(tblAct_ADM[[#This Row],[Límite efectivo (aux)]]),1),MesCiclo))))</calculatedColumnFormula>
    </tableColumn>
    <tableColumn id="20" name="Orden en el mes (aux)">
      <calculatedColumnFormula>IF(OR(tblAct_ADM[[#This Row],[Mes]]="",tblAct_ADM[[#This Row],[Mes]]&lt;&gt;MesCiclo,tblAct_ADM[[#This Row],[Tipo (aux)]]&lt;&gt;"Macro"),"",COUNTIFS(INDEX(tblAct_ADM[Mes],1):tblAct_ADM[[#This Row],[Mes]],MesCiclo,INDEX(tblAct_ADM[Tipo (aux)],1):tblAct_ADM[[#This Row],[Tipo (aux)]],"Macro"))</calculatedColumnFormula>
    </tableColumn>
    <tableColumn id="21" name="Grupo (aux)">
      <calculatedColumnFormula>IF(tblAct_ADM[[#This Row],[Tipo (aux)]]="","",IF(tblAct_ADM[[#This Row],[Tipo (aux)]]="Macro",ROW(),IFERROR(LOOKUP(2,1/(INDEX(tblAct_ADM[Tipo (aux)],1):tblAct_ADM[[#This Row],[Tipo (aux)]]="Macro"),ROW(INDEX(tblAct_ADM[Tipo (aux)],1):tblAct_ADM[[#This Row],[Tipo (aux)]])),0)))</calculatedColumnFormula>
    </tableColumn>
    <tableColumn id="22" name="Tipo (aux)">
      <calculatedColumnFormula>IF(NOT((COUNTA(tblAct_ADM[[#This Row],[Tipo]:[Delegar a]])+COUNTA(tblAct_ADM[[#This Row],[Fecha de cumplimiento]:[Avance Semana 4 (%)]])+COUNTA(tblAct_ADM[[#This Row],[Observaciones]]))&gt;0),"",IF(tblAct_ADM[[#This Row],[Tipo]]="Subactividad","Sub","Macro"))</calculatedColumnFormula>
    </tableColumn>
    <tableColumn id="23" name="N subactividades (aux)">
      <calculatedColumnFormula>IF(tblAct_ADM[[#This Row],[Tipo (aux)]]="Macro",COUNTIFS($U$5:$U$1000,ROW(),$V$5:$V$1000,"Sub"),"")</calculatedColumnFormula>
    </tableColumn>
    <tableColumn id="24" name="Avance propio (aux)">
      <calculatedColumnFormula>IF(tblAct_ADM[[#This Row],[Tipo (aux)]]="","",IF(ISNUMBER(tblAct_ADM[[#This Row],[Fecha de cumplimiento]]),1,IFERROR(LOOKUP(2,1/(tblAct_ADM[[#This Row],[Avance Semana 1 (%)]:[Avance Semana 4 (%)]]&lt;&gt;""),tblAct_ADM[[#This Row],[Avance Semana 1 (%)]:[Avance Semana 4 (%)]]),0)))</calculatedColumnFormula>
    </tableColumn>
    <tableColumn id="25" name="Propio S1 (aux)">
      <calculatedColumnFormula>IF(tblAct_ADM[[#This Row],[Tipo (aux)]]="","",IF(AND(ISNUMBER(tblAct_ADM[[#This Row],[Fecha de cumplimiento]]),tblAct_ADM[[#This Row],[Fecha de cumplimiento]]&lt;=IF(tblAct_ADM[[#This Row],[Mes]]=MesCiclo,InicioCiclo,tblAct_ADM[[#This Row],[Mes]]+MOD(2-WEEKDAY(tblAct_ADM[[#This Row],[Mes]]),7))+6),1,IF(ISNUMBER(tblAct_ADM[[#This Row],[Avance Semana 1 (%)]]),tblAct_ADM[[#This Row],[Avance Semana 1 (%)]],0)))</calculatedColumnFormula>
    </tableColumn>
    <tableColumn id="26" name="Propio S2 (aux)">
      <calculatedColumnFormula>IF(tblAct_ADM[[#This Row],[Tipo (aux)]]="","",IF(AND(ISNUMBER(tblAct_ADM[[#This Row],[Fecha de cumplimiento]]),tblAct_ADM[[#This Row],[Fecha de cumplimiento]]&lt;=IF(tblAct_ADM[[#This Row],[Mes]]=MesCiclo,InicioCiclo,tblAct_ADM[[#This Row],[Mes]]+MOD(2-WEEKDAY(tblAct_ADM[[#This Row],[Mes]]),7))+13),1,IF(ISNUMBER(tblAct_ADM[[#This Row],[Avance Semana 2 (%)]]),tblAct_ADM[[#This Row],[Avance Semana 2 (%)]],tblAct_ADM[[#This Row],[Propio S1 (aux)]])))</calculatedColumnFormula>
    </tableColumn>
    <tableColumn id="27" name="Propio S3 (aux)">
      <calculatedColumnFormula>IF(tblAct_ADM[[#This Row],[Tipo (aux)]]="","",IF(AND(ISNUMBER(tblAct_ADM[[#This Row],[Fecha de cumplimiento]]),tblAct_ADM[[#This Row],[Fecha de cumplimiento]]&lt;=IF(tblAct_ADM[[#This Row],[Mes]]=MesCiclo,InicioCiclo,tblAct_ADM[[#This Row],[Mes]]+MOD(2-WEEKDAY(tblAct_ADM[[#This Row],[Mes]]),7))+20),1,IF(ISNUMBER(tblAct_ADM[[#This Row],[Avance Semana 3 (%)]]),tblAct_ADM[[#This Row],[Avance Semana 3 (%)]],tblAct_ADM[[#This Row],[Propio S2 (aux)]])))</calculatedColumnFormula>
    </tableColumn>
    <tableColumn id="28" name="Propio S4 (aux)">
      <calculatedColumnFormula>IF(tblAct_ADM[[#This Row],[Tipo (aux)]]="","",IF(AND(ISNUMBER(tblAct_ADM[[#This Row],[Fecha de cumplimiento]]),tblAct_ADM[[#This Row],[Fecha de cumplimiento]]&lt;=IF(tblAct_ADM[[#This Row],[Mes]]=MesCiclo,InicioCiclo,tblAct_ADM[[#This Row],[Mes]]+MOD(2-WEEKDAY(tblAct_ADM[[#This Row],[Mes]]),7))+27),1,IF(ISNUMBER(tblAct_ADM[[#This Row],[Avance Semana 4 (%)]]),tblAct_ADM[[#This Row],[Avance Semana 4 (%)]],tblAct_ADM[[#This Row],[Propio S3 (aux)]])))</calculatedColumnFormula>
    </tableColumn>
    <tableColumn id="29" name="Efectivo S1 (aux)">
      <calculatedColumnFormula>IF(tblAct_ADM[[#This Row],[Tipo (aux)]]="","",IF(AND(ISNUMBER(tblAct_ADM[[#This Row],[Fecha de cumplimiento]]),tblAct_ADM[[#This Row],[Fecha de cumplimiento]]&lt;=IF(tblAct_ADM[[#This Row],[Mes]]=MesCiclo,InicioCiclo,tblAct_ADM[[#This Row],[Mes]]+MOD(2-WEEKDAY(tblAct_ADM[[#This Row],[Mes]]),7))+6),1,IF(N(tblAct_ADM[[#This Row],[N subactividades (aux)]])&gt;0,AVERAGEIFS($Y$5:$Y$1000,$U$5:$U$1000,ROW(),$V$5:$V$1000,"Sub"),tblAct_ADM[[#This Row],[Propio S1 (aux)]])))</calculatedColumnFormula>
    </tableColumn>
    <tableColumn id="30" name="Efectivo S2 (aux)">
      <calculatedColumnFormula>IF(tblAct_ADM[[#This Row],[Tipo (aux)]]="","",IF(AND(ISNUMBER(tblAct_ADM[[#This Row],[Fecha de cumplimiento]]),tblAct_ADM[[#This Row],[Fecha de cumplimiento]]&lt;=IF(tblAct_ADM[[#This Row],[Mes]]=MesCiclo,InicioCiclo,tblAct_ADM[[#This Row],[Mes]]+MOD(2-WEEKDAY(tblAct_ADM[[#This Row],[Mes]]),7))+13),1,IF(N(tblAct_ADM[[#This Row],[N subactividades (aux)]])&gt;0,AVERAGEIFS($Z$5:$Z$1000,$U$5:$U$1000,ROW(),$V$5:$V$1000,"Sub"),tblAct_ADM[[#This Row],[Propio S2 (aux)]])))</calculatedColumnFormula>
    </tableColumn>
    <tableColumn id="31" name="Efectivo S3 (aux)">
      <calculatedColumnFormula>IF(tblAct_ADM[[#This Row],[Tipo (aux)]]="","",IF(AND(ISNUMBER(tblAct_ADM[[#This Row],[Fecha de cumplimiento]]),tblAct_ADM[[#This Row],[Fecha de cumplimiento]]&lt;=IF(tblAct_ADM[[#This Row],[Mes]]=MesCiclo,InicioCiclo,tblAct_ADM[[#This Row],[Mes]]+MOD(2-WEEKDAY(tblAct_ADM[[#This Row],[Mes]]),7))+20),1,IF(N(tblAct_ADM[[#This Row],[N subactividades (aux)]])&gt;0,AVERAGEIFS($AA$5:$AA$1000,$U$5:$U$1000,ROW(),$V$5:$V$1000,"Sub"),tblAct_ADM[[#This Row],[Propio S3 (aux)]])))</calculatedColumnFormula>
    </tableColumn>
    <tableColumn id="32" name="Efectivo S4 (aux)">
      <calculatedColumnFormula>IF(tblAct_ADM[[#This Row],[Tipo (aux)]]="","",IF(AND(ISNUMBER(tblAct_ADM[[#This Row],[Fecha de cumplimiento]]),tblAct_ADM[[#This Row],[Fecha de cumplimiento]]&lt;=IF(tblAct_ADM[[#This Row],[Mes]]=MesCiclo,InicioCiclo,tblAct_ADM[[#This Row],[Mes]]+MOD(2-WEEKDAY(tblAct_ADM[[#This Row],[Mes]]),7))+27),1,IF(N(tblAct_ADM[[#This Row],[N subactividades (aux)]])&gt;0,AVERAGEIFS($AB$5:$AB$1000,$U$5:$U$1000,ROW(),$V$5:$V$1000,"Sub"),tblAct_ADM[[#This Row],[Propio S4 (aux)]])))</calculatedColumnFormula>
    </tableColumn>
    <tableColumn id="33" name="Peso efectivo (aux)">
      <calculatedColumnFormula>IF(tblAct_ADM[[#This Row],[Tipo (aux)]]&lt;&gt;"Macro","",IF(COUNTIFS($S$5:$S$1000,tblAct_ADM[[#This Row],[Mes]],$V$5:$V$1000,"Macro",$H$5:$H$1000,"&gt;0")=0,1/COUNTIFS($S$5:$S$1000,tblAct_ADM[[#This Row],[Mes]],$V$5:$V$1000,"Macro"),IF(AND(ISNUMBER(tblAct_ADM[[#This Row],[Peso (%)]]),N(tblAct_ADM[[#This Row],[Peso (%)]])&gt;0),tblAct_ADM[[#This Row],[Peso (%)]],SUMIFS($H$5:$H$1000,$S$5:$S$1000,tblAct_ADM[[#This Row],[Mes]],$V$5:$V$1000,"Macro")/COUNTIFS($S$5:$S$1000,tblAct_ADM[[#This Row],[Mes]],$V$5:$V$1000,"Macro",$H$5:$H$1000,"&gt;0"))/(COUNTIFS($S$5:$S$1000,tblAct_ADM[[#This Row],[Mes]],$V$5:$V$1000,"Macro")*SUMIFS($H$5:$H$1000,$S$5:$S$1000,tblAct_ADM[[#This Row],[Mes]],$V$5:$V$1000,"Macro")/COUNTIFS($S$5:$S$1000,tblAct_ADM[[#This Row],[Mes]],$V$5:$V$1000,"Macro",$H$5:$H$1000,"&gt;0"))))</calculatedColumnFormula>
    </tableColumn>
    <tableColumn id="34" name="Fila en el puesto (aux)">
      <calculatedColumnFormula>IF(NOT(AND(tblAct_ADM[[#This Row],[Delegar a]]&lt;&gt;"",tblAct_ADM[[#This Row],[Tipo (aux)]]="Macro")),"",IFERROR(CHOOSE(MATCH(tblAct_ADM[[#This Row],[Delegar a]],ListaPuestos,0),MATCH("[Jefatura] "&amp;tblAct_ADM[[#This Row],[Actividad]],'Cronograma R. Operacional'!$C$5:$C$1000,0),MATCH("[Jefatura] "&amp;tblAct_ADM[[#This Row],[Actividad]],'Cronograma R. Normativo'!$C$5:$C$1000,0),MATCH("[Jefatura] "&amp;tblAct_ADM[[#This Row],[Actividad]],'Cronograma R. Financiero'!$C$5:$C$1000,0),MATCH("[Jefatura] "&amp;tblAct_ADM[[#This Row],[Actividad]],'Cronograma Asistente Técnico'!$C$5:$C$1000,0)),0))</calculatedColumnFormula>
    </tableColumn>
    <tableColumn id="35" name="N° delegada en el mes (aux)">
      <calculatedColumnFormula>IF(AND(AND(tblAct_ADM[[#This Row],[Delegar a]]&lt;&gt;"",tblAct_ADM[[#This Row],[Tipo (aux)]]="Macro"),tblAct_ADM[[#This Row],[Mes]]=MesCiclo),COUNTIFS(INDEX(tblAct_ADM[Delegar a],1):tblAct_ADM[[#This Row],[Delegar a]],tblAct_ADM[[#This Row],[Delegar a]],INDEX(tblAct_ADM[Mes],1):tblAct_ADM[[#This Row],[Mes]],MesCiclo,INDEX(tblAct_ADM[Tipo (aux)],1):tblAct_ADM[[#This Row],[Tipo (aux)]],"Macro"),"")</calculatedColumnFormula>
    </tableColumn>
    <tableColumn id="36" name="Clave delegada (aux)">
      <calculatedColumnFormula>IF(tblAct_ADM[[#This Row],[N° delegada en el mes (aux)]]="","",tblAct_ADM[[#This Row],[Delegar a]]&amp;"|"&amp;tblAct_ADM[[#This Row],[N° delegada en el mes (aux)]])</calculatedColumnFormula>
    </tableColumn>
    <tableColumn id="37" name="Clave puesto-actividad (aux)">
      <calculatedColumnFormula>IF(AND(tblAct_ADM[[#This Row],[Delegar a]]&lt;&gt;"",tblAct_ADM[[#This Row],[Tipo (aux)]]="Macro"),tblAct_ADM[[#This Row],[Delegar a]]&amp;"|"&amp;tblAct_ADM[[#This Row],[Actividad]],"")</calculatedColumnFormula>
    </tableColumn>
    <tableColumn id="38" name="Fila en Administración (aux)">
      <calculatedColumnFormula>""</calculatedColumnFormula>
    </tableColumn>
    <tableColumn id="39" name="Inicio efectivo (aux)">
      <calculatedColumnFormula>IF(N(tblAct_ADM[[#This Row],[Fila en Administración (aux)]])&gt;0,INDEX(rIni_ADM,tblAct_ADM[[#This Row],[Fila en Administración (aux)]]),IF(ISNUMBER(tblAct_ADM[[#This Row],[Fecha de inicio]]),tblAct_ADM[[#This Row],[Fecha de inicio]],""))</calculatedColumnFormula>
    </tableColumn>
    <tableColumn id="40" name="Límite efectivo (aux)">
      <calculatedColumnFormula>IF(N(tblAct_ADM[[#This Row],[Fila en Administración (aux)]])&gt;0,INDEX(rLim_ADM,tblAct_ADM[[#This Row],[Fila en Administración (aux)]]),IF(ISNUMBER(tblAct_ADM[[#This Row],[Fecha límite]]),tblAct_ADM[[#This Row],[Fecha límite]],""))</calculatedColumnFormula>
    </tableColumn>
  </tableColumns>
  <tableStyleInfo name="TableStyleLight1" showRowStripes="0"/>
</table>
</file>

<file path=xl/tables/table2.xml><?xml version="1.0" encoding="utf-8"?>
<table xmlns="http://schemas.openxmlformats.org/spreadsheetml/2006/main" id="2" name="tblAct_RO" displayName="tblAct_RO" ref="A4:AN304" headerRowCount="1">
  <autoFilter ref="A4:AN304"/>
  <tableColumns count="40">
    <tableColumn id="1" name="N°">
      <calculatedColumnFormula>IF(NOT((COUNTA(tblAct_RO[[#This Row],[Tipo]:[Delegar a]])+COUNTA(tblAct_RO[[#This Row],[Fecha de cumplimiento]:[Avance Semana 4 (%)]])+COUNTA(tblAct_RO[[#This Row],[Observaciones]]))&gt;0),"",IF(tblAct_RO[[#This Row],[Tipo (aux)]]="Macro",COUNTIFS(INDEX(tblAct_RO[Tipo (aux)],1):tblAct_RO[[#This Row],[Tipo (aux)]],"Macro",INDEX(tblAct_RO[Mes],1):tblAct_RO[[#This Row],[Mes]],tblAct_RO[[#This Row],[Mes]]),IF(N(tblAct_RO[[#This Row],[Grupo (aux)]])=0,"?",COUNTIFS(INDEX($V$5:$V$1000,1):INDEX($V$5:$V$1000,tblAct_RO[[#This Row],[Grupo (aux)]]-4),"Macro",INDEX($S$5:$S$1000,1):INDEX($S$5:$S$1000,tblAct_RO[[#This Row],[Grupo (aux)]]-4),INDEX($S$5:$S$1000,tblAct_RO[[#This Row],[Grupo (aux)]]-4))&amp;"."&amp;COUNTIFS(INDEX(tblAct_RO[Grupo (aux)],1):tblAct_RO[[#This Row],[Grupo (aux)]],tblAct_RO[[#This Row],[Grupo (aux)]],INDEX(tblAct_RO[Tipo (aux)],1):tblAct_RO[[#This Row],[Tipo (aux)]],"Sub"))))</calculatedColumnFormula>
    </tableColumn>
    <tableColumn id="2" name="Tipo"/>
    <tableColumn id="3" name="Actividad"/>
    <tableColumn id="4" name="Delegar a"/>
    <tableColumn id="5" name="Fecha de inicio"/>
    <tableColumn id="6" name="Fecha límite"/>
    <tableColumn id="7" name="Fecha de cumplimiento"/>
    <tableColumn id="8" name="Peso (%)"/>
    <tableColumn id="9" name="Avance Semana 1 (%)"/>
    <tableColumn id="10" name="Avance Semana 2 (%)"/>
    <tableColumn id="11" name="Avance Semana 3 (%)"/>
    <tableColumn id="12" name="Avance Semana 4 (%)"/>
    <tableColumn id="13" name="% de Avance Total Actual">
      <calculatedColumnFormula>IF(NOT((COUNTA(tblAct_RO[[#This Row],[Tipo]:[Delegar a]])+COUNTA(tblAct_RO[[#This Row],[Fecha de cumplimiento]:[Avance Semana 4 (%)]])+COUNTA(tblAct_RO[[#This Row],[Observaciones]]))&gt;0),"",IF(tblAct_RO[[#This Row],[Tipo (aux)]]="Sub",IFERROR(tblAct_RO[[#This Row],[Avance propio (aux)]]/INDEX($W$5:$W$1000,tblAct_RO[[#This Row],[Grupo (aux)]]-4),""),IF(ISNUMBER(tblAct_RO[[#This Row],[Fecha de cumplimiento]]),1,IF(N(tblAct_RO[[#This Row],[N subactividades (aux)]])&gt;0,AVERAGEIFS($X$5:$X$1000,$U$5:$U$1000,ROW(),$V$5:$V$1000,"Sub"),tblAct_RO[[#This Row],[Avance propio (aux)]]))))</calculatedColumnFormula>
    </tableColumn>
    <tableColumn id="14" name="Estado">
      <calculatedColumnFormula>IF(OR(tblAct_RO[[#This Row],[% de Avance Total Actual]]="",tblAct_RO[[#This Row],[Tipo (aux)]]="Sub"),"",IF(tblAct_RO[[#This Row],[% de Avance Total Actual]]&gt;=1,"Completado",IF(tblAct_RO[[#This Row],[% de Avance Total Actual]]&gt;0,"En curso","Pendiente")))</calculatedColumnFormula>
    </tableColumn>
    <tableColumn id="15" name="Alerta de plazo">
      <calculatedColumnFormula>IF(OR(NOT((COUNTA(tblAct_RO[[#This Row],[Tipo]:[Delegar a]])+COUNTA(tblAct_RO[[#This Row],[Fecha de cumplimiento]:[Avance Semana 4 (%)]])+COUNTA(tblAct_RO[[#This Row],[Observaciones]]))&gt;0),tblAct_RO[[#This Row],[Tipo (aux)]]="Sub"),"",IF(ISNUMBER(tblAct_RO[[#This Row],[Fecha de cumplimiento]]),IF(AND(ISNUMBER(tblAct_RO[[#This Row],[Límite efectivo (aux)]]),tblAct_RO[[#This Row],[Fecha de cumplimiento]]&gt;tblAct_RO[[#This Row],[Límite efectivo (aux)]]),"Cumplida con "&amp;(tblAct_RO[[#This Row],[Fecha de cumplimiento]]-tblAct_RO[[#This Row],[Límite efectivo (aux)]])&amp;IF(tblAct_RO[[#This Row],[Fecha de cumplimiento]]-tblAct_RO[[#This Row],[Límite efectivo (aux)]]=1," día"," días")&amp;" de retraso","Cumplida"),IF(N(tblAct_RO[[#This Row],[% de Avance Total Actual]])&gt;=1,"Cumplida",IF(NOT(ISNUMBER(tblAct_RO[[#This Row],[Límite efectivo (aux)]])),"Sin fecha límite",IF(tblAct_RO[[#This Row],[Límite efectivo (aux)]]&lt;FechaRef,"Vencida hace "&amp;(FechaRef-tblAct_RO[[#This Row],[Límite efectivo (aux)]])&amp;IF(FechaRef-tblAct_RO[[#This Row],[Límite efectivo (aux)]]=1," día"," días"),IF(tblAct_RO[[#This Row],[Límite efectivo (aux)]]=FechaRef,"Vence hoy",IF(tblAct_RO[[#This Row],[Límite efectivo (aux)]]-FechaRef&lt;=DiasAlerta,"Vence en "&amp;(tblAct_RO[[#This Row],[Límite efectivo (aux)]]-FechaRef)&amp;IF(tblAct_RO[[#This Row],[Límite efectivo (aux)]]-FechaRef=1," día"," días"),"En plazo")))))))</calculatedColumnFormula>
    </tableColumn>
    <tableColumn id="16" name="Seguimiento de la delegación"/>
    <tableColumn id="17" name="Observaciones"/>
    <tableColumn id="18" name="Revisión automática (alertas)">
      <calculatedColumnFormula>IF(NOT((COUNTA(tblAct_RO[[#This Row],[Tipo]:[Delegar a]])+COUNTA(tblAct_RO[[#This Row],[Fecha de cumplimiento]:[Avance Semana 4 (%)]])+COUNTA(tblAct_RO[[#This Row],[Observaciones]]))&gt;0),"",IF((IF(tblAct_RO[[#This Row],[Actividad]]="","Falta el nombre de la actividad"&amp;" · ","")&amp;IF(AND(tblAct_RO[[#This Row],[Tipo (aux)]]="Sub",N(tblAct_RO[[#This Row],[Grupo (aux)]])=0),"Subactividad sin macroactividad arriba"&amp;" · ","")&amp;IF(tblAct_RO[[#This Row],[Inicio efectivo (aux)]]="","Sin fecha de inicio"&amp;" · ","")&amp;IF(tblAct_RO[[#This Row],[Límite efectivo (aux)]]="","Sin fecha límite"&amp;" · ","")&amp;IF(AND(LEFT(tblAct_RO[[#This Row],[Actividad]],11)="[Jefatura] ",N(tblAct_RO[[#This Row],[Fila en Administración (aux)]])=0),"No se encuentra en la hoja de la jefatura (elíjala de nuevo en la lista)"&amp;" · ","")&amp;IF(OR(AND(tblAct_RO[[#This Row],[Fecha de inicio]]&lt;&gt;"",NOT(ISNUMBER(tblAct_RO[[#This Row],[Fecha de inicio]]))),AND(tblAct_RO[[#This Row],[Fecha límite]]&lt;&gt;"",NOT(ISNUMBER(tblAct_RO[[#This Row],[Fecha límite]]))),AND(tblAct_RO[[#This Row],[Fecha de cumplimiento]]&lt;&gt;"",NOT(ISNUMBER(tblAct_RO[[#This Row],[Fecha de cumplimiento]])))),"Fecha no válida"&amp;" · ","")&amp;IF(AND(ISNUMBER(tblAct_RO[[#This Row],[Inicio efectivo (aux)]]),ISNUMBER(tblAct_RO[[#This Row],[Límite efectivo (aux)]]),tblAct_RO[[#This Row],[Inicio efectivo (aux)]]&gt;tblAct_RO[[#This Row],[Límite efectivo (aux)]]),"Inicio posterior a fecha límite"&amp;" · ","")&amp;IF(AND(tblAct_RO[[#This Row],[Tipo (aux)]]="Macro",tblAct_RO[[#This Row],[Peso (%)]]&lt;&gt;"",OR(NOT(ISNUMBER(tblAct_RO[[#This Row],[Peso (%)]])),tblAct_RO[[#This Row],[Peso (%)]]&lt;0,tblAct_RO[[#This Row],[Peso (%)]]&gt;1)),"Peso fuera de rango"&amp;" · ","")&amp;IF(AND(tblAct_RO[[#This Row],[Tipo (aux)]]="Sub",tblAct_RO[[#This Row],[Peso (%)]]&lt;&gt;""),"Las subactividades no llevan peso (valen igual dentro de su macroactividad)"&amp;" · ","")&amp;IF(AND(N(tblAct_RO[[#This Row],[N subactividades (aux)]])&gt;0,COUNT(tblAct_RO[[#This Row],[Avance Semana 1 (%)]:[Avance Semana 4 (%)]])&gt;0),"Con subactividades: deje vacías las semanas (se calculan solas)"&amp;" · ","")&amp;IF((COUNTIF(tblAct_RO[[#This Row],[Avance Semana 1 (%)]:[Avance Semana 4 (%)]],"&gt;1")+COUNTIF(tblAct_RO[[#This Row],[Avance Semana 1 (%)]:[Avance Semana 4 (%)]],"&lt;0")+COUNTA(tblAct_RO[[#This Row],[Avance Semana 1 (%)]:[Avance Semana 4 (%)]])-COUNT(tblAct_RO[[#This Row],[Avance Semana 1 (%)]:[Avance Semana 4 (%)]]))&gt;0,"Avance fuera de rango 0-100%"&amp;" · ","")&amp;IF(OR(AND(tblAct_RO[[#This Row],[Avance Semana 2 (%)]]&lt;&gt;"",tblAct_RO[[#This Row],[Avance Semana 2 (%)]]&lt;tblAct_RO[[#This Row],[Avance Semana 1 (%)]]),AND(tblAct_RO[[#This Row],[Avance Semana 3 (%)]]&lt;&gt;"",tblAct_RO[[#This Row],[Avance Semana 3 (%)]]&lt;MAX(tblAct_RO[[#This Row],[Avance Semana 1 (%)]:[Avance Semana 2 (%)]])),AND(tblAct_RO[[#This Row],[Avance Semana 4 (%)]]&lt;&gt;"",tblAct_RO[[#This Row],[Avance Semana 4 (%)]]&lt;MAX(tblAct_RO[[#This Row],[Avance Semana 1 (%)]:[Avance Semana 3 (%)]]))),"Avance semanal decreciente"&amp;" · ","")&amp;IF(AND(ISNUMBER(tblAct_RO[[#This Row],[Límite efectivo (aux)]]),tblAct_RO[[#This Row],[Límite efectivo (aux)]]&lt;FechaRef,IF(tblAct_RO[[#This Row],[Tipo (aux)]]="Sub",N(tblAct_RO[[#This Row],[Avance propio (aux)]]),N(tblAct_RO[[#This Row],[% de Avance Total Actual]]))&lt;1),"Vencida"&amp;" · ","")&amp;IF(AND(ObsObligatoria="Sí",ISNUMBER(tblAct_RO[[#This Row],[Límite efectivo (aux)]]),tblAct_RO[[#This Row],[Límite efectivo (aux)]]&lt;FechaRef,IF(tblAct_RO[[#This Row],[Tipo (aux)]]="Sub",N(tblAct_RO[[#This Row],[Avance propio (aux)]]),N(tblAct_RO[[#This Row],[% de Avance Total Actual]]))&lt;1,tblAct_RO[[#This Row],[Observaciones]]=""),"Vencida sin observación"&amp;" · ",""))="","✔ OK","⚠ "&amp;LEFT(IF(tblAct_RO[[#This Row],[Actividad]]="","Falta el nombre de la actividad"&amp;" · ","")&amp;IF(AND(tblAct_RO[[#This Row],[Tipo (aux)]]="Sub",N(tblAct_RO[[#This Row],[Grupo (aux)]])=0),"Subactividad sin macroactividad arriba"&amp;" · ","")&amp;IF(tblAct_RO[[#This Row],[Inicio efectivo (aux)]]="","Sin fecha de inicio"&amp;" · ","")&amp;IF(tblAct_RO[[#This Row],[Límite efectivo (aux)]]="","Sin fecha límite"&amp;" · ","")&amp;IF(AND(LEFT(tblAct_RO[[#This Row],[Actividad]],11)="[Jefatura] ",N(tblAct_RO[[#This Row],[Fila en Administración (aux)]])=0),"No se encuentra en la hoja de la jefatura (elíjala de nuevo en la lista)"&amp;" · ","")&amp;IF(OR(AND(tblAct_RO[[#This Row],[Fecha de inicio]]&lt;&gt;"",NOT(ISNUMBER(tblAct_RO[[#This Row],[Fecha de inicio]]))),AND(tblAct_RO[[#This Row],[Fecha límite]]&lt;&gt;"",NOT(ISNUMBER(tblAct_RO[[#This Row],[Fecha límite]]))),AND(tblAct_RO[[#This Row],[Fecha de cumplimiento]]&lt;&gt;"",NOT(ISNUMBER(tblAct_RO[[#This Row],[Fecha de cumplimiento]])))),"Fecha no válida"&amp;" · ","")&amp;IF(AND(ISNUMBER(tblAct_RO[[#This Row],[Inicio efectivo (aux)]]),ISNUMBER(tblAct_RO[[#This Row],[Límite efectivo (aux)]]),tblAct_RO[[#This Row],[Inicio efectivo (aux)]]&gt;tblAct_RO[[#This Row],[Límite efectivo (aux)]]),"Inicio posterior a fecha límite"&amp;" · ","")&amp;IF(AND(tblAct_RO[[#This Row],[Tipo (aux)]]="Macro",tblAct_RO[[#This Row],[Peso (%)]]&lt;&gt;"",OR(NOT(ISNUMBER(tblAct_RO[[#This Row],[Peso (%)]])),tblAct_RO[[#This Row],[Peso (%)]]&lt;0,tblAct_RO[[#This Row],[Peso (%)]]&gt;1)),"Peso fuera de rango"&amp;" · ","")&amp;IF(AND(tblAct_RO[[#This Row],[Tipo (aux)]]="Sub",tblAct_RO[[#This Row],[Peso (%)]]&lt;&gt;""),"Las subactividades no llevan peso (valen igual dentro de su macroactividad)"&amp;" · ","")&amp;IF(AND(N(tblAct_RO[[#This Row],[N subactividades (aux)]])&gt;0,COUNT(tblAct_RO[[#This Row],[Avance Semana 1 (%)]:[Avance Semana 4 (%)]])&gt;0),"Con subactividades: deje vacías las semanas (se calculan solas)"&amp;" · ","")&amp;IF((COUNTIF(tblAct_RO[[#This Row],[Avance Semana 1 (%)]:[Avance Semana 4 (%)]],"&gt;1")+COUNTIF(tblAct_RO[[#This Row],[Avance Semana 1 (%)]:[Avance Semana 4 (%)]],"&lt;0")+COUNTA(tblAct_RO[[#This Row],[Avance Semana 1 (%)]:[Avance Semana 4 (%)]])-COUNT(tblAct_RO[[#This Row],[Avance Semana 1 (%)]:[Avance Semana 4 (%)]]))&gt;0,"Avance fuera de rango 0-100%"&amp;" · ","")&amp;IF(OR(AND(tblAct_RO[[#This Row],[Avance Semana 2 (%)]]&lt;&gt;"",tblAct_RO[[#This Row],[Avance Semana 2 (%)]]&lt;tblAct_RO[[#This Row],[Avance Semana 1 (%)]]),AND(tblAct_RO[[#This Row],[Avance Semana 3 (%)]]&lt;&gt;"",tblAct_RO[[#This Row],[Avance Semana 3 (%)]]&lt;MAX(tblAct_RO[[#This Row],[Avance Semana 1 (%)]:[Avance Semana 2 (%)]])),AND(tblAct_RO[[#This Row],[Avance Semana 4 (%)]]&lt;&gt;"",tblAct_RO[[#This Row],[Avance Semana 4 (%)]]&lt;MAX(tblAct_RO[[#This Row],[Avance Semana 1 (%)]:[Avance Semana 3 (%)]]))),"Avance semanal decreciente"&amp;" · ","")&amp;IF(AND(ISNUMBER(tblAct_RO[[#This Row],[Límite efectivo (aux)]]),tblAct_RO[[#This Row],[Límite efectivo (aux)]]&lt;FechaRef,IF(tblAct_RO[[#This Row],[Tipo (aux)]]="Sub",N(tblAct_RO[[#This Row],[Avance propio (aux)]]),N(tblAct_RO[[#This Row],[% de Avance Total Actual]]))&lt;1),"Vencida"&amp;" · ","")&amp;IF(AND(ObsObligatoria="Sí",ISNUMBER(tblAct_RO[[#This Row],[Límite efectivo (aux)]]),tblAct_RO[[#This Row],[Límite efectivo (aux)]]&lt;FechaRef,IF(tblAct_RO[[#This Row],[Tipo (aux)]]="Sub",N(tblAct_RO[[#This Row],[Avance propio (aux)]]),N(tblAct_RO[[#This Row],[% de Avance Total Actual]]))&lt;1,tblAct_RO[[#This Row],[Observaciones]]=""),"Vencida sin observación"&amp;" · ",""),LEN(IF(tblAct_RO[[#This Row],[Actividad]]="","Falta el nombre de la actividad"&amp;" · ","")&amp;IF(AND(tblAct_RO[[#This Row],[Tipo (aux)]]="Sub",N(tblAct_RO[[#This Row],[Grupo (aux)]])=0),"Subactividad sin macroactividad arriba"&amp;" · ","")&amp;IF(tblAct_RO[[#This Row],[Inicio efectivo (aux)]]="","Sin fecha de inicio"&amp;" · ","")&amp;IF(tblAct_RO[[#This Row],[Límite efectivo (aux)]]="","Sin fecha límite"&amp;" · ","")&amp;IF(AND(LEFT(tblAct_RO[[#This Row],[Actividad]],11)="[Jefatura] ",N(tblAct_RO[[#This Row],[Fila en Administración (aux)]])=0),"No se encuentra en la hoja de la jefatura (elíjala de nuevo en la lista)"&amp;" · ","")&amp;IF(OR(AND(tblAct_RO[[#This Row],[Fecha de inicio]]&lt;&gt;"",NOT(ISNUMBER(tblAct_RO[[#This Row],[Fecha de inicio]]))),AND(tblAct_RO[[#This Row],[Fecha límite]]&lt;&gt;"",NOT(ISNUMBER(tblAct_RO[[#This Row],[Fecha límite]]))),AND(tblAct_RO[[#This Row],[Fecha de cumplimiento]]&lt;&gt;"",NOT(ISNUMBER(tblAct_RO[[#This Row],[Fecha de cumplimiento]])))),"Fecha no válida"&amp;" · ","")&amp;IF(AND(ISNUMBER(tblAct_RO[[#This Row],[Inicio efectivo (aux)]]),ISNUMBER(tblAct_RO[[#This Row],[Límite efectivo (aux)]]),tblAct_RO[[#This Row],[Inicio efectivo (aux)]]&gt;tblAct_RO[[#This Row],[Límite efectivo (aux)]]),"Inicio posterior a fecha límite"&amp;" · ","")&amp;IF(AND(tblAct_RO[[#This Row],[Tipo (aux)]]="Macro",tblAct_RO[[#This Row],[Peso (%)]]&lt;&gt;"",OR(NOT(ISNUMBER(tblAct_RO[[#This Row],[Peso (%)]])),tblAct_RO[[#This Row],[Peso (%)]]&lt;0,tblAct_RO[[#This Row],[Peso (%)]]&gt;1)),"Peso fuera de rango"&amp;" · ","")&amp;IF(AND(tblAct_RO[[#This Row],[Tipo (aux)]]="Sub",tblAct_RO[[#This Row],[Peso (%)]]&lt;&gt;""),"Las subactividades no llevan peso (valen igual dentro de su macroactividad)"&amp;" · ","")&amp;IF(AND(N(tblAct_RO[[#This Row],[N subactividades (aux)]])&gt;0,COUNT(tblAct_RO[[#This Row],[Avance Semana 1 (%)]:[Avance Semana 4 (%)]])&gt;0),"Con subactividades: deje vacías las semanas (se calculan solas)"&amp;" · ","")&amp;IF((COUNTIF(tblAct_RO[[#This Row],[Avance Semana 1 (%)]:[Avance Semana 4 (%)]],"&gt;1")+COUNTIF(tblAct_RO[[#This Row],[Avance Semana 1 (%)]:[Avance Semana 4 (%)]],"&lt;0")+COUNTA(tblAct_RO[[#This Row],[Avance Semana 1 (%)]:[Avance Semana 4 (%)]])-COUNT(tblAct_RO[[#This Row],[Avance Semana 1 (%)]:[Avance Semana 4 (%)]]))&gt;0,"Avance fuera de rango 0-100%"&amp;" · ","")&amp;IF(OR(AND(tblAct_RO[[#This Row],[Avance Semana 2 (%)]]&lt;&gt;"",tblAct_RO[[#This Row],[Avance Semana 2 (%)]]&lt;tblAct_RO[[#This Row],[Avance Semana 1 (%)]]),AND(tblAct_RO[[#This Row],[Avance Semana 3 (%)]]&lt;&gt;"",tblAct_RO[[#This Row],[Avance Semana 3 (%)]]&lt;MAX(tblAct_RO[[#This Row],[Avance Semana 1 (%)]:[Avance Semana 2 (%)]])),AND(tblAct_RO[[#This Row],[Avance Semana 4 (%)]]&lt;&gt;"",tblAct_RO[[#This Row],[Avance Semana 4 (%)]]&lt;MAX(tblAct_RO[[#This Row],[Avance Semana 1 (%)]:[Avance Semana 3 (%)]]))),"Avance semanal decreciente"&amp;" · ","")&amp;IF(AND(ISNUMBER(tblAct_RO[[#This Row],[Límite efectivo (aux)]]),tblAct_RO[[#This Row],[Límite efectivo (aux)]]&lt;FechaRef,IF(tblAct_RO[[#This Row],[Tipo (aux)]]="Sub",N(tblAct_RO[[#This Row],[Avance propio (aux)]]),N(tblAct_RO[[#This Row],[% de Avance Total Actual]]))&lt;1),"Vencida"&amp;" · ","")&amp;IF(AND(ObsObligatoria="Sí",ISNUMBER(tblAct_RO[[#This Row],[Límite efectivo (aux)]]),tblAct_RO[[#This Row],[Límite efectivo (aux)]]&lt;FechaRef,IF(tblAct_RO[[#This Row],[Tipo (aux)]]="Sub",N(tblAct_RO[[#This Row],[Avance propio (aux)]]),N(tblAct_RO[[#This Row],[% de Avance Total Actual]]))&lt;1,tblAct_RO[[#This Row],[Observaciones]]=""),"Vencida sin observación"&amp;" · ",""))-3)))</calculatedColumnFormula>
    </tableColumn>
    <tableColumn id="19" name="Mes">
      <calculatedColumnFormula>IF(NOT((COUNTA(tblAct_RO[[#This Row],[Tipo]:[Delegar a]])+COUNTA(tblAct_RO[[#This Row],[Fecha de cumplimiento]:[Avance Semana 4 (%)]])+COUNTA(tblAct_RO[[#This Row],[Observaciones]]))&gt;0),"",IF(AND(tblAct_RO[[#This Row],[Tipo (aux)]]="Sub",N(tblAct_RO[[#This Row],[Grupo (aux)]])&gt;0),IF(ISNUMBER(INDEX($AM$5:$AM$1000,tblAct_RO[[#This Row],[Grupo (aux)]]-4)),DATE(YEAR(INDEX($AM$5:$AM$1000,tblAct_RO[[#This Row],[Grupo (aux)]]-4)),MONTH(INDEX($AM$5:$AM$1000,tblAct_RO[[#This Row],[Grupo (aux)]]-4)),1),IF(ISNUMBER(INDEX($AN$5:$AN$1000,tblAct_RO[[#This Row],[Grupo (aux)]]-4)),DATE(YEAR(INDEX($AN$5:$AN$1000,tblAct_RO[[#This Row],[Grupo (aux)]]-4)),MONTH(INDEX($AN$5:$AN$1000,tblAct_RO[[#This Row],[Grupo (aux)]]-4)),1),MesCiclo)),IF(ISNUMBER(tblAct_RO[[#This Row],[Inicio efectivo (aux)]]),DATE(YEAR(tblAct_RO[[#This Row],[Inicio efectivo (aux)]]),MONTH(tblAct_RO[[#This Row],[Inicio efectivo (aux)]]),1),IF(ISNUMBER(tblAct_RO[[#This Row],[Límite efectivo (aux)]]),DATE(YEAR(tblAct_RO[[#This Row],[Límite efectivo (aux)]]),MONTH(tblAct_RO[[#This Row],[Límite efectivo (aux)]]),1),MesCiclo))))</calculatedColumnFormula>
    </tableColumn>
    <tableColumn id="20" name="Orden en el mes (aux)">
      <calculatedColumnFormula>IF(OR(tblAct_RO[[#This Row],[Mes]]="",tblAct_RO[[#This Row],[Mes]]&lt;&gt;MesCiclo,tblAct_RO[[#This Row],[Tipo (aux)]]&lt;&gt;"Macro"),"",COUNTIFS(INDEX(tblAct_RO[Mes],1):tblAct_RO[[#This Row],[Mes]],MesCiclo,INDEX(tblAct_RO[Tipo (aux)],1):tblAct_RO[[#This Row],[Tipo (aux)]],"Macro"))</calculatedColumnFormula>
    </tableColumn>
    <tableColumn id="21" name="Grupo (aux)">
      <calculatedColumnFormula>IF(tblAct_RO[[#This Row],[Tipo (aux)]]="","",IF(tblAct_RO[[#This Row],[Tipo (aux)]]="Macro",ROW(),IFERROR(LOOKUP(2,1/(INDEX(tblAct_RO[Tipo (aux)],1):tblAct_RO[[#This Row],[Tipo (aux)]]="Macro"),ROW(INDEX(tblAct_RO[Tipo (aux)],1):tblAct_RO[[#This Row],[Tipo (aux)]])),0)))</calculatedColumnFormula>
    </tableColumn>
    <tableColumn id="22" name="Tipo (aux)">
      <calculatedColumnFormula>IF(NOT((COUNTA(tblAct_RO[[#This Row],[Tipo]:[Delegar a]])+COUNTA(tblAct_RO[[#This Row],[Fecha de cumplimiento]:[Avance Semana 4 (%)]])+COUNTA(tblAct_RO[[#This Row],[Observaciones]]))&gt;0),"",IF(tblAct_RO[[#This Row],[Tipo]]="Subactividad","Sub","Macro"))</calculatedColumnFormula>
    </tableColumn>
    <tableColumn id="23" name="N subactividades (aux)">
      <calculatedColumnFormula>IF(tblAct_RO[[#This Row],[Tipo (aux)]]="Macro",COUNTIFS($U$5:$U$1000,ROW(),$V$5:$V$1000,"Sub"),"")</calculatedColumnFormula>
    </tableColumn>
    <tableColumn id="24" name="Avance propio (aux)">
      <calculatedColumnFormula>IF(tblAct_RO[[#This Row],[Tipo (aux)]]="","",IF(ISNUMBER(tblAct_RO[[#This Row],[Fecha de cumplimiento]]),1,IFERROR(LOOKUP(2,1/(tblAct_RO[[#This Row],[Avance Semana 1 (%)]:[Avance Semana 4 (%)]]&lt;&gt;""),tblAct_RO[[#This Row],[Avance Semana 1 (%)]:[Avance Semana 4 (%)]]),0)))</calculatedColumnFormula>
    </tableColumn>
    <tableColumn id="25" name="Propio S1 (aux)">
      <calculatedColumnFormula>IF(tblAct_RO[[#This Row],[Tipo (aux)]]="","",IF(AND(ISNUMBER(tblAct_RO[[#This Row],[Fecha de cumplimiento]]),tblAct_RO[[#This Row],[Fecha de cumplimiento]]&lt;=IF(tblAct_RO[[#This Row],[Mes]]=MesCiclo,InicioCiclo,tblAct_RO[[#This Row],[Mes]]+MOD(2-WEEKDAY(tblAct_RO[[#This Row],[Mes]]),7))+6),1,IF(ISNUMBER(tblAct_RO[[#This Row],[Avance Semana 1 (%)]]),tblAct_RO[[#This Row],[Avance Semana 1 (%)]],0)))</calculatedColumnFormula>
    </tableColumn>
    <tableColumn id="26" name="Propio S2 (aux)">
      <calculatedColumnFormula>IF(tblAct_RO[[#This Row],[Tipo (aux)]]="","",IF(AND(ISNUMBER(tblAct_RO[[#This Row],[Fecha de cumplimiento]]),tblAct_RO[[#This Row],[Fecha de cumplimiento]]&lt;=IF(tblAct_RO[[#This Row],[Mes]]=MesCiclo,InicioCiclo,tblAct_RO[[#This Row],[Mes]]+MOD(2-WEEKDAY(tblAct_RO[[#This Row],[Mes]]),7))+13),1,IF(ISNUMBER(tblAct_RO[[#This Row],[Avance Semana 2 (%)]]),tblAct_RO[[#This Row],[Avance Semana 2 (%)]],tblAct_RO[[#This Row],[Propio S1 (aux)]])))</calculatedColumnFormula>
    </tableColumn>
    <tableColumn id="27" name="Propio S3 (aux)">
      <calculatedColumnFormula>IF(tblAct_RO[[#This Row],[Tipo (aux)]]="","",IF(AND(ISNUMBER(tblAct_RO[[#This Row],[Fecha de cumplimiento]]),tblAct_RO[[#This Row],[Fecha de cumplimiento]]&lt;=IF(tblAct_RO[[#This Row],[Mes]]=MesCiclo,InicioCiclo,tblAct_RO[[#This Row],[Mes]]+MOD(2-WEEKDAY(tblAct_RO[[#This Row],[Mes]]),7))+20),1,IF(ISNUMBER(tblAct_RO[[#This Row],[Avance Semana 3 (%)]]),tblAct_RO[[#This Row],[Avance Semana 3 (%)]],tblAct_RO[[#This Row],[Propio S2 (aux)]])))</calculatedColumnFormula>
    </tableColumn>
    <tableColumn id="28" name="Propio S4 (aux)">
      <calculatedColumnFormula>IF(tblAct_RO[[#This Row],[Tipo (aux)]]="","",IF(AND(ISNUMBER(tblAct_RO[[#This Row],[Fecha de cumplimiento]]),tblAct_RO[[#This Row],[Fecha de cumplimiento]]&lt;=IF(tblAct_RO[[#This Row],[Mes]]=MesCiclo,InicioCiclo,tblAct_RO[[#This Row],[Mes]]+MOD(2-WEEKDAY(tblAct_RO[[#This Row],[Mes]]),7))+27),1,IF(ISNUMBER(tblAct_RO[[#This Row],[Avance Semana 4 (%)]]),tblAct_RO[[#This Row],[Avance Semana 4 (%)]],tblAct_RO[[#This Row],[Propio S3 (aux)]])))</calculatedColumnFormula>
    </tableColumn>
    <tableColumn id="29" name="Efectivo S1 (aux)">
      <calculatedColumnFormula>IF(tblAct_RO[[#This Row],[Tipo (aux)]]="","",IF(AND(ISNUMBER(tblAct_RO[[#This Row],[Fecha de cumplimiento]]),tblAct_RO[[#This Row],[Fecha de cumplimiento]]&lt;=IF(tblAct_RO[[#This Row],[Mes]]=MesCiclo,InicioCiclo,tblAct_RO[[#This Row],[Mes]]+MOD(2-WEEKDAY(tblAct_RO[[#This Row],[Mes]]),7))+6),1,IF(N(tblAct_RO[[#This Row],[N subactividades (aux)]])&gt;0,AVERAGEIFS($Y$5:$Y$1000,$U$5:$U$1000,ROW(),$V$5:$V$1000,"Sub"),tblAct_RO[[#This Row],[Propio S1 (aux)]])))</calculatedColumnFormula>
    </tableColumn>
    <tableColumn id="30" name="Efectivo S2 (aux)">
      <calculatedColumnFormula>IF(tblAct_RO[[#This Row],[Tipo (aux)]]="","",IF(AND(ISNUMBER(tblAct_RO[[#This Row],[Fecha de cumplimiento]]),tblAct_RO[[#This Row],[Fecha de cumplimiento]]&lt;=IF(tblAct_RO[[#This Row],[Mes]]=MesCiclo,InicioCiclo,tblAct_RO[[#This Row],[Mes]]+MOD(2-WEEKDAY(tblAct_RO[[#This Row],[Mes]]),7))+13),1,IF(N(tblAct_RO[[#This Row],[N subactividades (aux)]])&gt;0,AVERAGEIFS($Z$5:$Z$1000,$U$5:$U$1000,ROW(),$V$5:$V$1000,"Sub"),tblAct_RO[[#This Row],[Propio S2 (aux)]])))</calculatedColumnFormula>
    </tableColumn>
    <tableColumn id="31" name="Efectivo S3 (aux)">
      <calculatedColumnFormula>IF(tblAct_RO[[#This Row],[Tipo (aux)]]="","",IF(AND(ISNUMBER(tblAct_RO[[#This Row],[Fecha de cumplimiento]]),tblAct_RO[[#This Row],[Fecha de cumplimiento]]&lt;=IF(tblAct_RO[[#This Row],[Mes]]=MesCiclo,InicioCiclo,tblAct_RO[[#This Row],[Mes]]+MOD(2-WEEKDAY(tblAct_RO[[#This Row],[Mes]]),7))+20),1,IF(N(tblAct_RO[[#This Row],[N subactividades (aux)]])&gt;0,AVERAGEIFS($AA$5:$AA$1000,$U$5:$U$1000,ROW(),$V$5:$V$1000,"Sub"),tblAct_RO[[#This Row],[Propio S3 (aux)]])))</calculatedColumnFormula>
    </tableColumn>
    <tableColumn id="32" name="Efectivo S4 (aux)">
      <calculatedColumnFormula>IF(tblAct_RO[[#This Row],[Tipo (aux)]]="","",IF(AND(ISNUMBER(tblAct_RO[[#This Row],[Fecha de cumplimiento]]),tblAct_RO[[#This Row],[Fecha de cumplimiento]]&lt;=IF(tblAct_RO[[#This Row],[Mes]]=MesCiclo,InicioCiclo,tblAct_RO[[#This Row],[Mes]]+MOD(2-WEEKDAY(tblAct_RO[[#This Row],[Mes]]),7))+27),1,IF(N(tblAct_RO[[#This Row],[N subactividades (aux)]])&gt;0,AVERAGEIFS($AB$5:$AB$1000,$U$5:$U$1000,ROW(),$V$5:$V$1000,"Sub"),tblAct_RO[[#This Row],[Propio S4 (aux)]])))</calculatedColumnFormula>
    </tableColumn>
    <tableColumn id="33" name="Peso efectivo (aux)">
      <calculatedColumnFormula>IF(tblAct_RO[[#This Row],[Tipo (aux)]]&lt;&gt;"Macro","",IF(COUNTIFS($S$5:$S$1000,tblAct_RO[[#This Row],[Mes]],$V$5:$V$1000,"Macro",$H$5:$H$1000,"&gt;0")=0,1/COUNTIFS($S$5:$S$1000,tblAct_RO[[#This Row],[Mes]],$V$5:$V$1000,"Macro"),IF(AND(ISNUMBER(tblAct_RO[[#This Row],[Peso (%)]]),N(tblAct_RO[[#This Row],[Peso (%)]])&gt;0),tblAct_RO[[#This Row],[Peso (%)]],SUMIFS($H$5:$H$1000,$S$5:$S$1000,tblAct_RO[[#This Row],[Mes]],$V$5:$V$1000,"Macro")/COUNTIFS($S$5:$S$1000,tblAct_RO[[#This Row],[Mes]],$V$5:$V$1000,"Macro",$H$5:$H$1000,"&gt;0"))/(COUNTIFS($S$5:$S$1000,tblAct_RO[[#This Row],[Mes]],$V$5:$V$1000,"Macro")*SUMIFS($H$5:$H$1000,$S$5:$S$1000,tblAct_RO[[#This Row],[Mes]],$V$5:$V$1000,"Macro")/COUNTIFS($S$5:$S$1000,tblAct_RO[[#This Row],[Mes]],$V$5:$V$1000,"Macro",$H$5:$H$1000,"&gt;0"))))</calculatedColumnFormula>
    </tableColumn>
    <tableColumn id="34" name="Fila en el puesto (aux)"/>
    <tableColumn id="35" name="N° delegada en el mes (aux)"/>
    <tableColumn id="36" name="Clave delegada (aux)"/>
    <tableColumn id="37" name="Clave puesto-actividad (aux)"/>
    <tableColumn id="38" name="Fila en Administración (aux)">
      <calculatedColumnFormula>IF(LEFT(tblAct_RO[[#This Row],[Actividad]],11)="[Jefatura] ",IFERROR(MATCH("Riesgo Operacional|"&amp;MID(tblAct_RO[[#This Row],[Actividad]],12,500),rDname_ADM,0),0),"")</calculatedColumnFormula>
    </tableColumn>
    <tableColumn id="39" name="Inicio efectivo (aux)">
      <calculatedColumnFormula>IF(N(tblAct_RO[[#This Row],[Fila en Administración (aux)]])&gt;0,INDEX(rIni_ADM,tblAct_RO[[#This Row],[Fila en Administración (aux)]]),IF(ISNUMBER(tblAct_RO[[#This Row],[Fecha de inicio]]),tblAct_RO[[#This Row],[Fecha de inicio]],""))</calculatedColumnFormula>
    </tableColumn>
    <tableColumn id="40" name="Límite efectivo (aux)">
      <calculatedColumnFormula>IF(N(tblAct_RO[[#This Row],[Fila en Administración (aux)]])&gt;0,INDEX(rLim_ADM,tblAct_RO[[#This Row],[Fila en Administración (aux)]]),IF(ISNUMBER(tblAct_RO[[#This Row],[Fecha límite]]),tblAct_RO[[#This Row],[Fecha límite]],""))</calculatedColumnFormula>
    </tableColumn>
  </tableColumns>
  <tableStyleInfo name="TableStyleLight1" showRowStripes="0"/>
</table>
</file>

<file path=xl/tables/table3.xml><?xml version="1.0" encoding="utf-8"?>
<table xmlns="http://schemas.openxmlformats.org/spreadsheetml/2006/main" id="3" name="tblSem_RO" displayName="tblSem_RO" ref="A4:M104" headerRowCount="1">
  <autoFilter ref="A4:M104"/>
  <tableColumns count="13">
    <tableColumn id="1" name="N°"/>
    <tableColumn id="2" name="Actividad"/>
    <tableColumn id="3" name="Fecha de inicio"/>
    <tableColumn id="4" name="Fecha límite"/>
    <tableColumn id="5" name="Semana de entrega"/>
    <tableColumn id="6" name="Semana 1"/>
    <tableColumn id="7" name="Semana 2"/>
    <tableColumn id="8" name="Semana 3"/>
    <tableColumn id="9" name="Semana 4"/>
    <tableColumn id="10" name="% Avance actual"/>
    <tableColumn id="11" name="Estado"/>
    <tableColumn id="12" name="Alerta de plazo"/>
    <tableColumn id="13" name="Observaciones"/>
  </tableColumns>
  <tableStyleInfo name="TableStyleLight1" showRowStripes="0"/>
</table>
</file>

<file path=xl/tables/table4.xml><?xml version="1.0" encoding="utf-8"?>
<table xmlns="http://schemas.openxmlformats.org/spreadsheetml/2006/main" id="4" name="tblAct_RN" displayName="tblAct_RN" ref="A4:AN304" headerRowCount="1">
  <autoFilter ref="A4:AN304"/>
  <tableColumns count="40">
    <tableColumn id="1" name="N°">
      <calculatedColumnFormula>IF(NOT((COUNTA(tblAct_RN[[#This Row],[Tipo]:[Delegar a]])+COUNTA(tblAct_RN[[#This Row],[Fecha de cumplimiento]:[Avance Semana 4 (%)]])+COUNTA(tblAct_RN[[#This Row],[Observaciones]]))&gt;0),"",IF(tblAct_RN[[#This Row],[Tipo (aux)]]="Macro",COUNTIFS(INDEX(tblAct_RN[Tipo (aux)],1):tblAct_RN[[#This Row],[Tipo (aux)]],"Macro",INDEX(tblAct_RN[Mes],1):tblAct_RN[[#This Row],[Mes]],tblAct_RN[[#This Row],[Mes]]),IF(N(tblAct_RN[[#This Row],[Grupo (aux)]])=0,"?",COUNTIFS(INDEX($V$5:$V$1000,1):INDEX($V$5:$V$1000,tblAct_RN[[#This Row],[Grupo (aux)]]-4),"Macro",INDEX($S$5:$S$1000,1):INDEX($S$5:$S$1000,tblAct_RN[[#This Row],[Grupo (aux)]]-4),INDEX($S$5:$S$1000,tblAct_RN[[#This Row],[Grupo (aux)]]-4))&amp;"."&amp;COUNTIFS(INDEX(tblAct_RN[Grupo (aux)],1):tblAct_RN[[#This Row],[Grupo (aux)]],tblAct_RN[[#This Row],[Grupo (aux)]],INDEX(tblAct_RN[Tipo (aux)],1):tblAct_RN[[#This Row],[Tipo (aux)]],"Sub"))))</calculatedColumnFormula>
    </tableColumn>
    <tableColumn id="2" name="Tipo"/>
    <tableColumn id="3" name="Actividad"/>
    <tableColumn id="4" name="Delegar a"/>
    <tableColumn id="5" name="Fecha de inicio"/>
    <tableColumn id="6" name="Fecha límite"/>
    <tableColumn id="7" name="Fecha de cumplimiento"/>
    <tableColumn id="8" name="Peso (%)"/>
    <tableColumn id="9" name="Avance Semana 1 (%)"/>
    <tableColumn id="10" name="Avance Semana 2 (%)"/>
    <tableColumn id="11" name="Avance Semana 3 (%)"/>
    <tableColumn id="12" name="Avance Semana 4 (%)"/>
    <tableColumn id="13" name="% de Avance Total Actual">
      <calculatedColumnFormula>IF(NOT((COUNTA(tblAct_RN[[#This Row],[Tipo]:[Delegar a]])+COUNTA(tblAct_RN[[#This Row],[Fecha de cumplimiento]:[Avance Semana 4 (%)]])+COUNTA(tblAct_RN[[#This Row],[Observaciones]]))&gt;0),"",IF(tblAct_RN[[#This Row],[Tipo (aux)]]="Sub",IFERROR(tblAct_RN[[#This Row],[Avance propio (aux)]]/INDEX($W$5:$W$1000,tblAct_RN[[#This Row],[Grupo (aux)]]-4),""),IF(ISNUMBER(tblAct_RN[[#This Row],[Fecha de cumplimiento]]),1,IF(N(tblAct_RN[[#This Row],[N subactividades (aux)]])&gt;0,AVERAGEIFS($X$5:$X$1000,$U$5:$U$1000,ROW(),$V$5:$V$1000,"Sub"),tblAct_RN[[#This Row],[Avance propio (aux)]]))))</calculatedColumnFormula>
    </tableColumn>
    <tableColumn id="14" name="Estado">
      <calculatedColumnFormula>IF(OR(tblAct_RN[[#This Row],[% de Avance Total Actual]]="",tblAct_RN[[#This Row],[Tipo (aux)]]="Sub"),"",IF(tblAct_RN[[#This Row],[% de Avance Total Actual]]&gt;=1,"Completado",IF(tblAct_RN[[#This Row],[% de Avance Total Actual]]&gt;0,"En curso","Pendiente")))</calculatedColumnFormula>
    </tableColumn>
    <tableColumn id="15" name="Alerta de plazo">
      <calculatedColumnFormula>IF(OR(NOT((COUNTA(tblAct_RN[[#This Row],[Tipo]:[Delegar a]])+COUNTA(tblAct_RN[[#This Row],[Fecha de cumplimiento]:[Avance Semana 4 (%)]])+COUNTA(tblAct_RN[[#This Row],[Observaciones]]))&gt;0),tblAct_RN[[#This Row],[Tipo (aux)]]="Sub"),"",IF(ISNUMBER(tblAct_RN[[#This Row],[Fecha de cumplimiento]]),IF(AND(ISNUMBER(tblAct_RN[[#This Row],[Límite efectivo (aux)]]),tblAct_RN[[#This Row],[Fecha de cumplimiento]]&gt;tblAct_RN[[#This Row],[Límite efectivo (aux)]]),"Cumplida con "&amp;(tblAct_RN[[#This Row],[Fecha de cumplimiento]]-tblAct_RN[[#This Row],[Límite efectivo (aux)]])&amp;IF(tblAct_RN[[#This Row],[Fecha de cumplimiento]]-tblAct_RN[[#This Row],[Límite efectivo (aux)]]=1," día"," días")&amp;" de retraso","Cumplida"),IF(N(tblAct_RN[[#This Row],[% de Avance Total Actual]])&gt;=1,"Cumplida",IF(NOT(ISNUMBER(tblAct_RN[[#This Row],[Límite efectivo (aux)]])),"Sin fecha límite",IF(tblAct_RN[[#This Row],[Límite efectivo (aux)]]&lt;FechaRef,"Vencida hace "&amp;(FechaRef-tblAct_RN[[#This Row],[Límite efectivo (aux)]])&amp;IF(FechaRef-tblAct_RN[[#This Row],[Límite efectivo (aux)]]=1," día"," días"),IF(tblAct_RN[[#This Row],[Límite efectivo (aux)]]=FechaRef,"Vence hoy",IF(tblAct_RN[[#This Row],[Límite efectivo (aux)]]-FechaRef&lt;=DiasAlerta,"Vence en "&amp;(tblAct_RN[[#This Row],[Límite efectivo (aux)]]-FechaRef)&amp;IF(tblAct_RN[[#This Row],[Límite efectivo (aux)]]-FechaRef=1," día"," días"),"En plazo")))))))</calculatedColumnFormula>
    </tableColumn>
    <tableColumn id="16" name="Seguimiento de la delegación"/>
    <tableColumn id="17" name="Observaciones"/>
    <tableColumn id="18" name="Revisión automática (alertas)">
      <calculatedColumnFormula>IF(NOT((COUNTA(tblAct_RN[[#This Row],[Tipo]:[Delegar a]])+COUNTA(tblAct_RN[[#This Row],[Fecha de cumplimiento]:[Avance Semana 4 (%)]])+COUNTA(tblAct_RN[[#This Row],[Observaciones]]))&gt;0),"",IF((IF(tblAct_RN[[#This Row],[Actividad]]="","Falta el nombre de la actividad"&amp;" · ","")&amp;IF(AND(tblAct_RN[[#This Row],[Tipo (aux)]]="Sub",N(tblAct_RN[[#This Row],[Grupo (aux)]])=0),"Subactividad sin macroactividad arriba"&amp;" · ","")&amp;IF(tblAct_RN[[#This Row],[Inicio efectivo (aux)]]="","Sin fecha de inicio"&amp;" · ","")&amp;IF(tblAct_RN[[#This Row],[Límite efectivo (aux)]]="","Sin fecha límite"&amp;" · ","")&amp;IF(AND(LEFT(tblAct_RN[[#This Row],[Actividad]],11)="[Jefatura] ",N(tblAct_RN[[#This Row],[Fila en Administración (aux)]])=0),"No se encuentra en la hoja de la jefatura (elíjala de nuevo en la lista)"&amp;" · ","")&amp;IF(OR(AND(tblAct_RN[[#This Row],[Fecha de inicio]]&lt;&gt;"",NOT(ISNUMBER(tblAct_RN[[#This Row],[Fecha de inicio]]))),AND(tblAct_RN[[#This Row],[Fecha límite]]&lt;&gt;"",NOT(ISNUMBER(tblAct_RN[[#This Row],[Fecha límite]]))),AND(tblAct_RN[[#This Row],[Fecha de cumplimiento]]&lt;&gt;"",NOT(ISNUMBER(tblAct_RN[[#This Row],[Fecha de cumplimiento]])))),"Fecha no válida"&amp;" · ","")&amp;IF(AND(ISNUMBER(tblAct_RN[[#This Row],[Inicio efectivo (aux)]]),ISNUMBER(tblAct_RN[[#This Row],[Límite efectivo (aux)]]),tblAct_RN[[#This Row],[Inicio efectivo (aux)]]&gt;tblAct_RN[[#This Row],[Límite efectivo (aux)]]),"Inicio posterior a fecha límite"&amp;" · ","")&amp;IF(AND(tblAct_RN[[#This Row],[Tipo (aux)]]="Macro",tblAct_RN[[#This Row],[Peso (%)]]&lt;&gt;"",OR(NOT(ISNUMBER(tblAct_RN[[#This Row],[Peso (%)]])),tblAct_RN[[#This Row],[Peso (%)]]&lt;0,tblAct_RN[[#This Row],[Peso (%)]]&gt;1)),"Peso fuera de rango"&amp;" · ","")&amp;IF(AND(tblAct_RN[[#This Row],[Tipo (aux)]]="Sub",tblAct_RN[[#This Row],[Peso (%)]]&lt;&gt;""),"Las subactividades no llevan peso (valen igual dentro de su macroactividad)"&amp;" · ","")&amp;IF(AND(N(tblAct_RN[[#This Row],[N subactividades (aux)]])&gt;0,COUNT(tblAct_RN[[#This Row],[Avance Semana 1 (%)]:[Avance Semana 4 (%)]])&gt;0),"Con subactividades: deje vacías las semanas (se calculan solas)"&amp;" · ","")&amp;IF((COUNTIF(tblAct_RN[[#This Row],[Avance Semana 1 (%)]:[Avance Semana 4 (%)]],"&gt;1")+COUNTIF(tblAct_RN[[#This Row],[Avance Semana 1 (%)]:[Avance Semana 4 (%)]],"&lt;0")+COUNTA(tblAct_RN[[#This Row],[Avance Semana 1 (%)]:[Avance Semana 4 (%)]])-COUNT(tblAct_RN[[#This Row],[Avance Semana 1 (%)]:[Avance Semana 4 (%)]]))&gt;0,"Avance fuera de rango 0-100%"&amp;" · ","")&amp;IF(OR(AND(tblAct_RN[[#This Row],[Avance Semana 2 (%)]]&lt;&gt;"",tblAct_RN[[#This Row],[Avance Semana 2 (%)]]&lt;tblAct_RN[[#This Row],[Avance Semana 1 (%)]]),AND(tblAct_RN[[#This Row],[Avance Semana 3 (%)]]&lt;&gt;"",tblAct_RN[[#This Row],[Avance Semana 3 (%)]]&lt;MAX(tblAct_RN[[#This Row],[Avance Semana 1 (%)]:[Avance Semana 2 (%)]])),AND(tblAct_RN[[#This Row],[Avance Semana 4 (%)]]&lt;&gt;"",tblAct_RN[[#This Row],[Avance Semana 4 (%)]]&lt;MAX(tblAct_RN[[#This Row],[Avance Semana 1 (%)]:[Avance Semana 3 (%)]]))),"Avance semanal decreciente"&amp;" · ","")&amp;IF(AND(ISNUMBER(tblAct_RN[[#This Row],[Límite efectivo (aux)]]),tblAct_RN[[#This Row],[Límite efectivo (aux)]]&lt;FechaRef,IF(tblAct_RN[[#This Row],[Tipo (aux)]]="Sub",N(tblAct_RN[[#This Row],[Avance propio (aux)]]),N(tblAct_RN[[#This Row],[% de Avance Total Actual]]))&lt;1),"Vencida"&amp;" · ","")&amp;IF(AND(ObsObligatoria="Sí",ISNUMBER(tblAct_RN[[#This Row],[Límite efectivo (aux)]]),tblAct_RN[[#This Row],[Límite efectivo (aux)]]&lt;FechaRef,IF(tblAct_RN[[#This Row],[Tipo (aux)]]="Sub",N(tblAct_RN[[#This Row],[Avance propio (aux)]]),N(tblAct_RN[[#This Row],[% de Avance Total Actual]]))&lt;1,tblAct_RN[[#This Row],[Observaciones]]=""),"Vencida sin observación"&amp;" · ",""))="","✔ OK","⚠ "&amp;LEFT(IF(tblAct_RN[[#This Row],[Actividad]]="","Falta el nombre de la actividad"&amp;" · ","")&amp;IF(AND(tblAct_RN[[#This Row],[Tipo (aux)]]="Sub",N(tblAct_RN[[#This Row],[Grupo (aux)]])=0),"Subactividad sin macroactividad arriba"&amp;" · ","")&amp;IF(tblAct_RN[[#This Row],[Inicio efectivo (aux)]]="","Sin fecha de inicio"&amp;" · ","")&amp;IF(tblAct_RN[[#This Row],[Límite efectivo (aux)]]="","Sin fecha límite"&amp;" · ","")&amp;IF(AND(LEFT(tblAct_RN[[#This Row],[Actividad]],11)="[Jefatura] ",N(tblAct_RN[[#This Row],[Fila en Administración (aux)]])=0),"No se encuentra en la hoja de la jefatura (elíjala de nuevo en la lista)"&amp;" · ","")&amp;IF(OR(AND(tblAct_RN[[#This Row],[Fecha de inicio]]&lt;&gt;"",NOT(ISNUMBER(tblAct_RN[[#This Row],[Fecha de inicio]]))),AND(tblAct_RN[[#This Row],[Fecha límite]]&lt;&gt;"",NOT(ISNUMBER(tblAct_RN[[#This Row],[Fecha límite]]))),AND(tblAct_RN[[#This Row],[Fecha de cumplimiento]]&lt;&gt;"",NOT(ISNUMBER(tblAct_RN[[#This Row],[Fecha de cumplimiento]])))),"Fecha no válida"&amp;" · ","")&amp;IF(AND(ISNUMBER(tblAct_RN[[#This Row],[Inicio efectivo (aux)]]),ISNUMBER(tblAct_RN[[#This Row],[Límite efectivo (aux)]]),tblAct_RN[[#This Row],[Inicio efectivo (aux)]]&gt;tblAct_RN[[#This Row],[Límite efectivo (aux)]]),"Inicio posterior a fecha límite"&amp;" · ","")&amp;IF(AND(tblAct_RN[[#This Row],[Tipo (aux)]]="Macro",tblAct_RN[[#This Row],[Peso (%)]]&lt;&gt;"",OR(NOT(ISNUMBER(tblAct_RN[[#This Row],[Peso (%)]])),tblAct_RN[[#This Row],[Peso (%)]]&lt;0,tblAct_RN[[#This Row],[Peso (%)]]&gt;1)),"Peso fuera de rango"&amp;" · ","")&amp;IF(AND(tblAct_RN[[#This Row],[Tipo (aux)]]="Sub",tblAct_RN[[#This Row],[Peso (%)]]&lt;&gt;""),"Las subactividades no llevan peso (valen igual dentro de su macroactividad)"&amp;" · ","")&amp;IF(AND(N(tblAct_RN[[#This Row],[N subactividades (aux)]])&gt;0,COUNT(tblAct_RN[[#This Row],[Avance Semana 1 (%)]:[Avance Semana 4 (%)]])&gt;0),"Con subactividades: deje vacías las semanas (se calculan solas)"&amp;" · ","")&amp;IF((COUNTIF(tblAct_RN[[#This Row],[Avance Semana 1 (%)]:[Avance Semana 4 (%)]],"&gt;1")+COUNTIF(tblAct_RN[[#This Row],[Avance Semana 1 (%)]:[Avance Semana 4 (%)]],"&lt;0")+COUNTA(tblAct_RN[[#This Row],[Avance Semana 1 (%)]:[Avance Semana 4 (%)]])-COUNT(tblAct_RN[[#This Row],[Avance Semana 1 (%)]:[Avance Semana 4 (%)]]))&gt;0,"Avance fuera de rango 0-100%"&amp;" · ","")&amp;IF(OR(AND(tblAct_RN[[#This Row],[Avance Semana 2 (%)]]&lt;&gt;"",tblAct_RN[[#This Row],[Avance Semana 2 (%)]]&lt;tblAct_RN[[#This Row],[Avance Semana 1 (%)]]),AND(tblAct_RN[[#This Row],[Avance Semana 3 (%)]]&lt;&gt;"",tblAct_RN[[#This Row],[Avance Semana 3 (%)]]&lt;MAX(tblAct_RN[[#This Row],[Avance Semana 1 (%)]:[Avance Semana 2 (%)]])),AND(tblAct_RN[[#This Row],[Avance Semana 4 (%)]]&lt;&gt;"",tblAct_RN[[#This Row],[Avance Semana 4 (%)]]&lt;MAX(tblAct_RN[[#This Row],[Avance Semana 1 (%)]:[Avance Semana 3 (%)]]))),"Avance semanal decreciente"&amp;" · ","")&amp;IF(AND(ISNUMBER(tblAct_RN[[#This Row],[Límite efectivo (aux)]]),tblAct_RN[[#This Row],[Límite efectivo (aux)]]&lt;FechaRef,IF(tblAct_RN[[#This Row],[Tipo (aux)]]="Sub",N(tblAct_RN[[#This Row],[Avance propio (aux)]]),N(tblAct_RN[[#This Row],[% de Avance Total Actual]]))&lt;1),"Vencida"&amp;" · ","")&amp;IF(AND(ObsObligatoria="Sí",ISNUMBER(tblAct_RN[[#This Row],[Límite efectivo (aux)]]),tblAct_RN[[#This Row],[Límite efectivo (aux)]]&lt;FechaRef,IF(tblAct_RN[[#This Row],[Tipo (aux)]]="Sub",N(tblAct_RN[[#This Row],[Avance propio (aux)]]),N(tblAct_RN[[#This Row],[% de Avance Total Actual]]))&lt;1,tblAct_RN[[#This Row],[Observaciones]]=""),"Vencida sin observación"&amp;" · ",""),LEN(IF(tblAct_RN[[#This Row],[Actividad]]="","Falta el nombre de la actividad"&amp;" · ","")&amp;IF(AND(tblAct_RN[[#This Row],[Tipo (aux)]]="Sub",N(tblAct_RN[[#This Row],[Grupo (aux)]])=0),"Subactividad sin macroactividad arriba"&amp;" · ","")&amp;IF(tblAct_RN[[#This Row],[Inicio efectivo (aux)]]="","Sin fecha de inicio"&amp;" · ","")&amp;IF(tblAct_RN[[#This Row],[Límite efectivo (aux)]]="","Sin fecha límite"&amp;" · ","")&amp;IF(AND(LEFT(tblAct_RN[[#This Row],[Actividad]],11)="[Jefatura] ",N(tblAct_RN[[#This Row],[Fila en Administración (aux)]])=0),"No se encuentra en la hoja de la jefatura (elíjala de nuevo en la lista)"&amp;" · ","")&amp;IF(OR(AND(tblAct_RN[[#This Row],[Fecha de inicio]]&lt;&gt;"",NOT(ISNUMBER(tblAct_RN[[#This Row],[Fecha de inicio]]))),AND(tblAct_RN[[#This Row],[Fecha límite]]&lt;&gt;"",NOT(ISNUMBER(tblAct_RN[[#This Row],[Fecha límite]]))),AND(tblAct_RN[[#This Row],[Fecha de cumplimiento]]&lt;&gt;"",NOT(ISNUMBER(tblAct_RN[[#This Row],[Fecha de cumplimiento]])))),"Fecha no válida"&amp;" · ","")&amp;IF(AND(ISNUMBER(tblAct_RN[[#This Row],[Inicio efectivo (aux)]]),ISNUMBER(tblAct_RN[[#This Row],[Límite efectivo (aux)]]),tblAct_RN[[#This Row],[Inicio efectivo (aux)]]&gt;tblAct_RN[[#This Row],[Límite efectivo (aux)]]),"Inicio posterior a fecha límite"&amp;" · ","")&amp;IF(AND(tblAct_RN[[#This Row],[Tipo (aux)]]="Macro",tblAct_RN[[#This Row],[Peso (%)]]&lt;&gt;"",OR(NOT(ISNUMBER(tblAct_RN[[#This Row],[Peso (%)]])),tblAct_RN[[#This Row],[Peso (%)]]&lt;0,tblAct_RN[[#This Row],[Peso (%)]]&gt;1)),"Peso fuera de rango"&amp;" · ","")&amp;IF(AND(tblAct_RN[[#This Row],[Tipo (aux)]]="Sub",tblAct_RN[[#This Row],[Peso (%)]]&lt;&gt;""),"Las subactividades no llevan peso (valen igual dentro de su macroactividad)"&amp;" · ","")&amp;IF(AND(N(tblAct_RN[[#This Row],[N subactividades (aux)]])&gt;0,COUNT(tblAct_RN[[#This Row],[Avance Semana 1 (%)]:[Avance Semana 4 (%)]])&gt;0),"Con subactividades: deje vacías las semanas (se calculan solas)"&amp;" · ","")&amp;IF((COUNTIF(tblAct_RN[[#This Row],[Avance Semana 1 (%)]:[Avance Semana 4 (%)]],"&gt;1")+COUNTIF(tblAct_RN[[#This Row],[Avance Semana 1 (%)]:[Avance Semana 4 (%)]],"&lt;0")+COUNTA(tblAct_RN[[#This Row],[Avance Semana 1 (%)]:[Avance Semana 4 (%)]])-COUNT(tblAct_RN[[#This Row],[Avance Semana 1 (%)]:[Avance Semana 4 (%)]]))&gt;0,"Avance fuera de rango 0-100%"&amp;" · ","")&amp;IF(OR(AND(tblAct_RN[[#This Row],[Avance Semana 2 (%)]]&lt;&gt;"",tblAct_RN[[#This Row],[Avance Semana 2 (%)]]&lt;tblAct_RN[[#This Row],[Avance Semana 1 (%)]]),AND(tblAct_RN[[#This Row],[Avance Semana 3 (%)]]&lt;&gt;"",tblAct_RN[[#This Row],[Avance Semana 3 (%)]]&lt;MAX(tblAct_RN[[#This Row],[Avance Semana 1 (%)]:[Avance Semana 2 (%)]])),AND(tblAct_RN[[#This Row],[Avance Semana 4 (%)]]&lt;&gt;"",tblAct_RN[[#This Row],[Avance Semana 4 (%)]]&lt;MAX(tblAct_RN[[#This Row],[Avance Semana 1 (%)]:[Avance Semana 3 (%)]]))),"Avance semanal decreciente"&amp;" · ","")&amp;IF(AND(ISNUMBER(tblAct_RN[[#This Row],[Límite efectivo (aux)]]),tblAct_RN[[#This Row],[Límite efectivo (aux)]]&lt;FechaRef,IF(tblAct_RN[[#This Row],[Tipo (aux)]]="Sub",N(tblAct_RN[[#This Row],[Avance propio (aux)]]),N(tblAct_RN[[#This Row],[% de Avance Total Actual]]))&lt;1),"Vencida"&amp;" · ","")&amp;IF(AND(ObsObligatoria="Sí",ISNUMBER(tblAct_RN[[#This Row],[Límite efectivo (aux)]]),tblAct_RN[[#This Row],[Límite efectivo (aux)]]&lt;FechaRef,IF(tblAct_RN[[#This Row],[Tipo (aux)]]="Sub",N(tblAct_RN[[#This Row],[Avance propio (aux)]]),N(tblAct_RN[[#This Row],[% de Avance Total Actual]]))&lt;1,tblAct_RN[[#This Row],[Observaciones]]=""),"Vencida sin observación"&amp;" · ",""))-3)))</calculatedColumnFormula>
    </tableColumn>
    <tableColumn id="19" name="Mes">
      <calculatedColumnFormula>IF(NOT((COUNTA(tblAct_RN[[#This Row],[Tipo]:[Delegar a]])+COUNTA(tblAct_RN[[#This Row],[Fecha de cumplimiento]:[Avance Semana 4 (%)]])+COUNTA(tblAct_RN[[#This Row],[Observaciones]]))&gt;0),"",IF(AND(tblAct_RN[[#This Row],[Tipo (aux)]]="Sub",N(tblAct_RN[[#This Row],[Grupo (aux)]])&gt;0),IF(ISNUMBER(INDEX($AM$5:$AM$1000,tblAct_RN[[#This Row],[Grupo (aux)]]-4)),DATE(YEAR(INDEX($AM$5:$AM$1000,tblAct_RN[[#This Row],[Grupo (aux)]]-4)),MONTH(INDEX($AM$5:$AM$1000,tblAct_RN[[#This Row],[Grupo (aux)]]-4)),1),IF(ISNUMBER(INDEX($AN$5:$AN$1000,tblAct_RN[[#This Row],[Grupo (aux)]]-4)),DATE(YEAR(INDEX($AN$5:$AN$1000,tblAct_RN[[#This Row],[Grupo (aux)]]-4)),MONTH(INDEX($AN$5:$AN$1000,tblAct_RN[[#This Row],[Grupo (aux)]]-4)),1),MesCiclo)),IF(ISNUMBER(tblAct_RN[[#This Row],[Inicio efectivo (aux)]]),DATE(YEAR(tblAct_RN[[#This Row],[Inicio efectivo (aux)]]),MONTH(tblAct_RN[[#This Row],[Inicio efectivo (aux)]]),1),IF(ISNUMBER(tblAct_RN[[#This Row],[Límite efectivo (aux)]]),DATE(YEAR(tblAct_RN[[#This Row],[Límite efectivo (aux)]]),MONTH(tblAct_RN[[#This Row],[Límite efectivo (aux)]]),1),MesCiclo))))</calculatedColumnFormula>
    </tableColumn>
    <tableColumn id="20" name="Orden en el mes (aux)">
      <calculatedColumnFormula>IF(OR(tblAct_RN[[#This Row],[Mes]]="",tblAct_RN[[#This Row],[Mes]]&lt;&gt;MesCiclo,tblAct_RN[[#This Row],[Tipo (aux)]]&lt;&gt;"Macro"),"",COUNTIFS(INDEX(tblAct_RN[Mes],1):tblAct_RN[[#This Row],[Mes]],MesCiclo,INDEX(tblAct_RN[Tipo (aux)],1):tblAct_RN[[#This Row],[Tipo (aux)]],"Macro"))</calculatedColumnFormula>
    </tableColumn>
    <tableColumn id="21" name="Grupo (aux)">
      <calculatedColumnFormula>IF(tblAct_RN[[#This Row],[Tipo (aux)]]="","",IF(tblAct_RN[[#This Row],[Tipo (aux)]]="Macro",ROW(),IFERROR(LOOKUP(2,1/(INDEX(tblAct_RN[Tipo (aux)],1):tblAct_RN[[#This Row],[Tipo (aux)]]="Macro"),ROW(INDEX(tblAct_RN[Tipo (aux)],1):tblAct_RN[[#This Row],[Tipo (aux)]])),0)))</calculatedColumnFormula>
    </tableColumn>
    <tableColumn id="22" name="Tipo (aux)">
      <calculatedColumnFormula>IF(NOT((COUNTA(tblAct_RN[[#This Row],[Tipo]:[Delegar a]])+COUNTA(tblAct_RN[[#This Row],[Fecha de cumplimiento]:[Avance Semana 4 (%)]])+COUNTA(tblAct_RN[[#This Row],[Observaciones]]))&gt;0),"",IF(tblAct_RN[[#This Row],[Tipo]]="Subactividad","Sub","Macro"))</calculatedColumnFormula>
    </tableColumn>
    <tableColumn id="23" name="N subactividades (aux)">
      <calculatedColumnFormula>IF(tblAct_RN[[#This Row],[Tipo (aux)]]="Macro",COUNTIFS($U$5:$U$1000,ROW(),$V$5:$V$1000,"Sub"),"")</calculatedColumnFormula>
    </tableColumn>
    <tableColumn id="24" name="Avance propio (aux)">
      <calculatedColumnFormula>IF(tblAct_RN[[#This Row],[Tipo (aux)]]="","",IF(ISNUMBER(tblAct_RN[[#This Row],[Fecha de cumplimiento]]),1,IFERROR(LOOKUP(2,1/(tblAct_RN[[#This Row],[Avance Semana 1 (%)]:[Avance Semana 4 (%)]]&lt;&gt;""),tblAct_RN[[#This Row],[Avance Semana 1 (%)]:[Avance Semana 4 (%)]]),0)))</calculatedColumnFormula>
    </tableColumn>
    <tableColumn id="25" name="Propio S1 (aux)">
      <calculatedColumnFormula>IF(tblAct_RN[[#This Row],[Tipo (aux)]]="","",IF(AND(ISNUMBER(tblAct_RN[[#This Row],[Fecha de cumplimiento]]),tblAct_RN[[#This Row],[Fecha de cumplimiento]]&lt;=IF(tblAct_RN[[#This Row],[Mes]]=MesCiclo,InicioCiclo,tblAct_RN[[#This Row],[Mes]]+MOD(2-WEEKDAY(tblAct_RN[[#This Row],[Mes]]),7))+6),1,IF(ISNUMBER(tblAct_RN[[#This Row],[Avance Semana 1 (%)]]),tblAct_RN[[#This Row],[Avance Semana 1 (%)]],0)))</calculatedColumnFormula>
    </tableColumn>
    <tableColumn id="26" name="Propio S2 (aux)">
      <calculatedColumnFormula>IF(tblAct_RN[[#This Row],[Tipo (aux)]]="","",IF(AND(ISNUMBER(tblAct_RN[[#This Row],[Fecha de cumplimiento]]),tblAct_RN[[#This Row],[Fecha de cumplimiento]]&lt;=IF(tblAct_RN[[#This Row],[Mes]]=MesCiclo,InicioCiclo,tblAct_RN[[#This Row],[Mes]]+MOD(2-WEEKDAY(tblAct_RN[[#This Row],[Mes]]),7))+13),1,IF(ISNUMBER(tblAct_RN[[#This Row],[Avance Semana 2 (%)]]),tblAct_RN[[#This Row],[Avance Semana 2 (%)]],tblAct_RN[[#This Row],[Propio S1 (aux)]])))</calculatedColumnFormula>
    </tableColumn>
    <tableColumn id="27" name="Propio S3 (aux)">
      <calculatedColumnFormula>IF(tblAct_RN[[#This Row],[Tipo (aux)]]="","",IF(AND(ISNUMBER(tblAct_RN[[#This Row],[Fecha de cumplimiento]]),tblAct_RN[[#This Row],[Fecha de cumplimiento]]&lt;=IF(tblAct_RN[[#This Row],[Mes]]=MesCiclo,InicioCiclo,tblAct_RN[[#This Row],[Mes]]+MOD(2-WEEKDAY(tblAct_RN[[#This Row],[Mes]]),7))+20),1,IF(ISNUMBER(tblAct_RN[[#This Row],[Avance Semana 3 (%)]]),tblAct_RN[[#This Row],[Avance Semana 3 (%)]],tblAct_RN[[#This Row],[Propio S2 (aux)]])))</calculatedColumnFormula>
    </tableColumn>
    <tableColumn id="28" name="Propio S4 (aux)">
      <calculatedColumnFormula>IF(tblAct_RN[[#This Row],[Tipo (aux)]]="","",IF(AND(ISNUMBER(tblAct_RN[[#This Row],[Fecha de cumplimiento]]),tblAct_RN[[#This Row],[Fecha de cumplimiento]]&lt;=IF(tblAct_RN[[#This Row],[Mes]]=MesCiclo,InicioCiclo,tblAct_RN[[#This Row],[Mes]]+MOD(2-WEEKDAY(tblAct_RN[[#This Row],[Mes]]),7))+27),1,IF(ISNUMBER(tblAct_RN[[#This Row],[Avance Semana 4 (%)]]),tblAct_RN[[#This Row],[Avance Semana 4 (%)]],tblAct_RN[[#This Row],[Propio S3 (aux)]])))</calculatedColumnFormula>
    </tableColumn>
    <tableColumn id="29" name="Efectivo S1 (aux)">
      <calculatedColumnFormula>IF(tblAct_RN[[#This Row],[Tipo (aux)]]="","",IF(AND(ISNUMBER(tblAct_RN[[#This Row],[Fecha de cumplimiento]]),tblAct_RN[[#This Row],[Fecha de cumplimiento]]&lt;=IF(tblAct_RN[[#This Row],[Mes]]=MesCiclo,InicioCiclo,tblAct_RN[[#This Row],[Mes]]+MOD(2-WEEKDAY(tblAct_RN[[#This Row],[Mes]]),7))+6),1,IF(N(tblAct_RN[[#This Row],[N subactividades (aux)]])&gt;0,AVERAGEIFS($Y$5:$Y$1000,$U$5:$U$1000,ROW(),$V$5:$V$1000,"Sub"),tblAct_RN[[#This Row],[Propio S1 (aux)]])))</calculatedColumnFormula>
    </tableColumn>
    <tableColumn id="30" name="Efectivo S2 (aux)">
      <calculatedColumnFormula>IF(tblAct_RN[[#This Row],[Tipo (aux)]]="","",IF(AND(ISNUMBER(tblAct_RN[[#This Row],[Fecha de cumplimiento]]),tblAct_RN[[#This Row],[Fecha de cumplimiento]]&lt;=IF(tblAct_RN[[#This Row],[Mes]]=MesCiclo,InicioCiclo,tblAct_RN[[#This Row],[Mes]]+MOD(2-WEEKDAY(tblAct_RN[[#This Row],[Mes]]),7))+13),1,IF(N(tblAct_RN[[#This Row],[N subactividades (aux)]])&gt;0,AVERAGEIFS($Z$5:$Z$1000,$U$5:$U$1000,ROW(),$V$5:$V$1000,"Sub"),tblAct_RN[[#This Row],[Propio S2 (aux)]])))</calculatedColumnFormula>
    </tableColumn>
    <tableColumn id="31" name="Efectivo S3 (aux)">
      <calculatedColumnFormula>IF(tblAct_RN[[#This Row],[Tipo (aux)]]="","",IF(AND(ISNUMBER(tblAct_RN[[#This Row],[Fecha de cumplimiento]]),tblAct_RN[[#This Row],[Fecha de cumplimiento]]&lt;=IF(tblAct_RN[[#This Row],[Mes]]=MesCiclo,InicioCiclo,tblAct_RN[[#This Row],[Mes]]+MOD(2-WEEKDAY(tblAct_RN[[#This Row],[Mes]]),7))+20),1,IF(N(tblAct_RN[[#This Row],[N subactividades (aux)]])&gt;0,AVERAGEIFS($AA$5:$AA$1000,$U$5:$U$1000,ROW(),$V$5:$V$1000,"Sub"),tblAct_RN[[#This Row],[Propio S3 (aux)]])))</calculatedColumnFormula>
    </tableColumn>
    <tableColumn id="32" name="Efectivo S4 (aux)">
      <calculatedColumnFormula>IF(tblAct_RN[[#This Row],[Tipo (aux)]]="","",IF(AND(ISNUMBER(tblAct_RN[[#This Row],[Fecha de cumplimiento]]),tblAct_RN[[#This Row],[Fecha de cumplimiento]]&lt;=IF(tblAct_RN[[#This Row],[Mes]]=MesCiclo,InicioCiclo,tblAct_RN[[#This Row],[Mes]]+MOD(2-WEEKDAY(tblAct_RN[[#This Row],[Mes]]),7))+27),1,IF(N(tblAct_RN[[#This Row],[N subactividades (aux)]])&gt;0,AVERAGEIFS($AB$5:$AB$1000,$U$5:$U$1000,ROW(),$V$5:$V$1000,"Sub"),tblAct_RN[[#This Row],[Propio S4 (aux)]])))</calculatedColumnFormula>
    </tableColumn>
    <tableColumn id="33" name="Peso efectivo (aux)">
      <calculatedColumnFormula>IF(tblAct_RN[[#This Row],[Tipo (aux)]]&lt;&gt;"Macro","",IF(COUNTIFS($S$5:$S$1000,tblAct_RN[[#This Row],[Mes]],$V$5:$V$1000,"Macro",$H$5:$H$1000,"&gt;0")=0,1/COUNTIFS($S$5:$S$1000,tblAct_RN[[#This Row],[Mes]],$V$5:$V$1000,"Macro"),IF(AND(ISNUMBER(tblAct_RN[[#This Row],[Peso (%)]]),N(tblAct_RN[[#This Row],[Peso (%)]])&gt;0),tblAct_RN[[#This Row],[Peso (%)]],SUMIFS($H$5:$H$1000,$S$5:$S$1000,tblAct_RN[[#This Row],[Mes]],$V$5:$V$1000,"Macro")/COUNTIFS($S$5:$S$1000,tblAct_RN[[#This Row],[Mes]],$V$5:$V$1000,"Macro",$H$5:$H$1000,"&gt;0"))/(COUNTIFS($S$5:$S$1000,tblAct_RN[[#This Row],[Mes]],$V$5:$V$1000,"Macro")*SUMIFS($H$5:$H$1000,$S$5:$S$1000,tblAct_RN[[#This Row],[Mes]],$V$5:$V$1000,"Macro")/COUNTIFS($S$5:$S$1000,tblAct_RN[[#This Row],[Mes]],$V$5:$V$1000,"Macro",$H$5:$H$1000,"&gt;0"))))</calculatedColumnFormula>
    </tableColumn>
    <tableColumn id="34" name="Fila en el puesto (aux)"/>
    <tableColumn id="35" name="N° delegada en el mes (aux)"/>
    <tableColumn id="36" name="Clave delegada (aux)"/>
    <tableColumn id="37" name="Clave puesto-actividad (aux)"/>
    <tableColumn id="38" name="Fila en Administración (aux)">
      <calculatedColumnFormula>IF(LEFT(tblAct_RN[[#This Row],[Actividad]],11)="[Jefatura] ",IFERROR(MATCH("Riesgo Normativo|"&amp;MID(tblAct_RN[[#This Row],[Actividad]],12,500),rDname_ADM,0),0),"")</calculatedColumnFormula>
    </tableColumn>
    <tableColumn id="39" name="Inicio efectivo (aux)">
      <calculatedColumnFormula>IF(N(tblAct_RN[[#This Row],[Fila en Administración (aux)]])&gt;0,INDEX(rIni_ADM,tblAct_RN[[#This Row],[Fila en Administración (aux)]]),IF(ISNUMBER(tblAct_RN[[#This Row],[Fecha de inicio]]),tblAct_RN[[#This Row],[Fecha de inicio]],""))</calculatedColumnFormula>
    </tableColumn>
    <tableColumn id="40" name="Límite efectivo (aux)">
      <calculatedColumnFormula>IF(N(tblAct_RN[[#This Row],[Fila en Administración (aux)]])&gt;0,INDEX(rLim_ADM,tblAct_RN[[#This Row],[Fila en Administración (aux)]]),IF(ISNUMBER(tblAct_RN[[#This Row],[Fecha límite]]),tblAct_RN[[#This Row],[Fecha límite]],""))</calculatedColumnFormula>
    </tableColumn>
  </tableColumns>
  <tableStyleInfo name="TableStyleLight1" showRowStripes="0"/>
</table>
</file>

<file path=xl/tables/table5.xml><?xml version="1.0" encoding="utf-8"?>
<table xmlns="http://schemas.openxmlformats.org/spreadsheetml/2006/main" id="5" name="tblSem_RN" displayName="tblSem_RN" ref="A4:M104" headerRowCount="1">
  <autoFilter ref="A4:M104"/>
  <tableColumns count="13">
    <tableColumn id="1" name="N°"/>
    <tableColumn id="2" name="Actividad"/>
    <tableColumn id="3" name="Fecha de inicio"/>
    <tableColumn id="4" name="Fecha límite"/>
    <tableColumn id="5" name="Semana de entrega"/>
    <tableColumn id="6" name="Semana 1"/>
    <tableColumn id="7" name="Semana 2"/>
    <tableColumn id="8" name="Semana 3"/>
    <tableColumn id="9" name="Semana 4"/>
    <tableColumn id="10" name="% Avance actual"/>
    <tableColumn id="11" name="Estado"/>
    <tableColumn id="12" name="Alerta de plazo"/>
    <tableColumn id="13" name="Observaciones"/>
  </tableColumns>
  <tableStyleInfo name="TableStyleLight1" showRowStripes="0"/>
</table>
</file>

<file path=xl/tables/table6.xml><?xml version="1.0" encoding="utf-8"?>
<table xmlns="http://schemas.openxmlformats.org/spreadsheetml/2006/main" id="6" name="tblAct_RF" displayName="tblAct_RF" ref="A4:AN304" headerRowCount="1">
  <autoFilter ref="A4:AN304"/>
  <tableColumns count="40">
    <tableColumn id="1" name="N°">
      <calculatedColumnFormula>IF(NOT((COUNTA(tblAct_RF[[#This Row],[Tipo]:[Delegar a]])+COUNTA(tblAct_RF[[#This Row],[Fecha de cumplimiento]:[Avance Semana 4 (%)]])+COUNTA(tblAct_RF[[#This Row],[Observaciones]]))&gt;0),"",IF(tblAct_RF[[#This Row],[Tipo (aux)]]="Macro",COUNTIFS(INDEX(tblAct_RF[Tipo (aux)],1):tblAct_RF[[#This Row],[Tipo (aux)]],"Macro",INDEX(tblAct_RF[Mes],1):tblAct_RF[[#This Row],[Mes]],tblAct_RF[[#This Row],[Mes]]),IF(N(tblAct_RF[[#This Row],[Grupo (aux)]])=0,"?",COUNTIFS(INDEX($V$5:$V$1000,1):INDEX($V$5:$V$1000,tblAct_RF[[#This Row],[Grupo (aux)]]-4),"Macro",INDEX($S$5:$S$1000,1):INDEX($S$5:$S$1000,tblAct_RF[[#This Row],[Grupo (aux)]]-4),INDEX($S$5:$S$1000,tblAct_RF[[#This Row],[Grupo (aux)]]-4))&amp;"."&amp;COUNTIFS(INDEX(tblAct_RF[Grupo (aux)],1):tblAct_RF[[#This Row],[Grupo (aux)]],tblAct_RF[[#This Row],[Grupo (aux)]],INDEX(tblAct_RF[Tipo (aux)],1):tblAct_RF[[#This Row],[Tipo (aux)]],"Sub"))))</calculatedColumnFormula>
    </tableColumn>
    <tableColumn id="2" name="Tipo"/>
    <tableColumn id="3" name="Actividad"/>
    <tableColumn id="4" name="Delegar a"/>
    <tableColumn id="5" name="Fecha de inicio"/>
    <tableColumn id="6" name="Fecha límite"/>
    <tableColumn id="7" name="Fecha de cumplimiento"/>
    <tableColumn id="8" name="Peso (%)"/>
    <tableColumn id="9" name="Avance Semana 1 (%)"/>
    <tableColumn id="10" name="Avance Semana 2 (%)"/>
    <tableColumn id="11" name="Avance Semana 3 (%)"/>
    <tableColumn id="12" name="Avance Semana 4 (%)"/>
    <tableColumn id="13" name="% de Avance Total Actual">
      <calculatedColumnFormula>IF(NOT((COUNTA(tblAct_RF[[#This Row],[Tipo]:[Delegar a]])+COUNTA(tblAct_RF[[#This Row],[Fecha de cumplimiento]:[Avance Semana 4 (%)]])+COUNTA(tblAct_RF[[#This Row],[Observaciones]]))&gt;0),"",IF(tblAct_RF[[#This Row],[Tipo (aux)]]="Sub",IFERROR(tblAct_RF[[#This Row],[Avance propio (aux)]]/INDEX($W$5:$W$1000,tblAct_RF[[#This Row],[Grupo (aux)]]-4),""),IF(ISNUMBER(tblAct_RF[[#This Row],[Fecha de cumplimiento]]),1,IF(N(tblAct_RF[[#This Row],[N subactividades (aux)]])&gt;0,AVERAGEIFS($X$5:$X$1000,$U$5:$U$1000,ROW(),$V$5:$V$1000,"Sub"),tblAct_RF[[#This Row],[Avance propio (aux)]]))))</calculatedColumnFormula>
    </tableColumn>
    <tableColumn id="14" name="Estado">
      <calculatedColumnFormula>IF(OR(tblAct_RF[[#This Row],[% de Avance Total Actual]]="",tblAct_RF[[#This Row],[Tipo (aux)]]="Sub"),"",IF(tblAct_RF[[#This Row],[% de Avance Total Actual]]&gt;=1,"Completado",IF(tblAct_RF[[#This Row],[% de Avance Total Actual]]&gt;0,"En curso","Pendiente")))</calculatedColumnFormula>
    </tableColumn>
    <tableColumn id="15" name="Alerta de plazo">
      <calculatedColumnFormula>IF(OR(NOT((COUNTA(tblAct_RF[[#This Row],[Tipo]:[Delegar a]])+COUNTA(tblAct_RF[[#This Row],[Fecha de cumplimiento]:[Avance Semana 4 (%)]])+COUNTA(tblAct_RF[[#This Row],[Observaciones]]))&gt;0),tblAct_RF[[#This Row],[Tipo (aux)]]="Sub"),"",IF(ISNUMBER(tblAct_RF[[#This Row],[Fecha de cumplimiento]]),IF(AND(ISNUMBER(tblAct_RF[[#This Row],[Límite efectivo (aux)]]),tblAct_RF[[#This Row],[Fecha de cumplimiento]]&gt;tblAct_RF[[#This Row],[Límite efectivo (aux)]]),"Cumplida con "&amp;(tblAct_RF[[#This Row],[Fecha de cumplimiento]]-tblAct_RF[[#This Row],[Límite efectivo (aux)]])&amp;IF(tblAct_RF[[#This Row],[Fecha de cumplimiento]]-tblAct_RF[[#This Row],[Límite efectivo (aux)]]=1," día"," días")&amp;" de retraso","Cumplida"),IF(N(tblAct_RF[[#This Row],[% de Avance Total Actual]])&gt;=1,"Cumplida",IF(NOT(ISNUMBER(tblAct_RF[[#This Row],[Límite efectivo (aux)]])),"Sin fecha límite",IF(tblAct_RF[[#This Row],[Límite efectivo (aux)]]&lt;FechaRef,"Vencida hace "&amp;(FechaRef-tblAct_RF[[#This Row],[Límite efectivo (aux)]])&amp;IF(FechaRef-tblAct_RF[[#This Row],[Límite efectivo (aux)]]=1," día"," días"),IF(tblAct_RF[[#This Row],[Límite efectivo (aux)]]=FechaRef,"Vence hoy",IF(tblAct_RF[[#This Row],[Límite efectivo (aux)]]-FechaRef&lt;=DiasAlerta,"Vence en "&amp;(tblAct_RF[[#This Row],[Límite efectivo (aux)]]-FechaRef)&amp;IF(tblAct_RF[[#This Row],[Límite efectivo (aux)]]-FechaRef=1," día"," días"),"En plazo")))))))</calculatedColumnFormula>
    </tableColumn>
    <tableColumn id="16" name="Seguimiento de la delegación"/>
    <tableColumn id="17" name="Observaciones"/>
    <tableColumn id="18" name="Revisión automática (alertas)">
      <calculatedColumnFormula>IF(NOT((COUNTA(tblAct_RF[[#This Row],[Tipo]:[Delegar a]])+COUNTA(tblAct_RF[[#This Row],[Fecha de cumplimiento]:[Avance Semana 4 (%)]])+COUNTA(tblAct_RF[[#This Row],[Observaciones]]))&gt;0),"",IF((IF(tblAct_RF[[#This Row],[Actividad]]="","Falta el nombre de la actividad"&amp;" · ","")&amp;IF(AND(tblAct_RF[[#This Row],[Tipo (aux)]]="Sub",N(tblAct_RF[[#This Row],[Grupo (aux)]])=0),"Subactividad sin macroactividad arriba"&amp;" · ","")&amp;IF(tblAct_RF[[#This Row],[Inicio efectivo (aux)]]="","Sin fecha de inicio"&amp;" · ","")&amp;IF(tblAct_RF[[#This Row],[Límite efectivo (aux)]]="","Sin fecha límite"&amp;" · ","")&amp;IF(AND(LEFT(tblAct_RF[[#This Row],[Actividad]],11)="[Jefatura] ",N(tblAct_RF[[#This Row],[Fila en Administración (aux)]])=0),"No se encuentra en la hoja de la jefatura (elíjala de nuevo en la lista)"&amp;" · ","")&amp;IF(OR(AND(tblAct_RF[[#This Row],[Fecha de inicio]]&lt;&gt;"",NOT(ISNUMBER(tblAct_RF[[#This Row],[Fecha de inicio]]))),AND(tblAct_RF[[#This Row],[Fecha límite]]&lt;&gt;"",NOT(ISNUMBER(tblAct_RF[[#This Row],[Fecha límite]]))),AND(tblAct_RF[[#This Row],[Fecha de cumplimiento]]&lt;&gt;"",NOT(ISNUMBER(tblAct_RF[[#This Row],[Fecha de cumplimiento]])))),"Fecha no válida"&amp;" · ","")&amp;IF(AND(ISNUMBER(tblAct_RF[[#This Row],[Inicio efectivo (aux)]]),ISNUMBER(tblAct_RF[[#This Row],[Límite efectivo (aux)]]),tblAct_RF[[#This Row],[Inicio efectivo (aux)]]&gt;tblAct_RF[[#This Row],[Límite efectivo (aux)]]),"Inicio posterior a fecha límite"&amp;" · ","")&amp;IF(AND(tblAct_RF[[#This Row],[Tipo (aux)]]="Macro",tblAct_RF[[#This Row],[Peso (%)]]&lt;&gt;"",OR(NOT(ISNUMBER(tblAct_RF[[#This Row],[Peso (%)]])),tblAct_RF[[#This Row],[Peso (%)]]&lt;0,tblAct_RF[[#This Row],[Peso (%)]]&gt;1)),"Peso fuera de rango"&amp;" · ","")&amp;IF(AND(tblAct_RF[[#This Row],[Tipo (aux)]]="Sub",tblAct_RF[[#This Row],[Peso (%)]]&lt;&gt;""),"Las subactividades no llevan peso (valen igual dentro de su macroactividad)"&amp;" · ","")&amp;IF(AND(N(tblAct_RF[[#This Row],[N subactividades (aux)]])&gt;0,COUNT(tblAct_RF[[#This Row],[Avance Semana 1 (%)]:[Avance Semana 4 (%)]])&gt;0),"Con subactividades: deje vacías las semanas (se calculan solas)"&amp;" · ","")&amp;IF((COUNTIF(tblAct_RF[[#This Row],[Avance Semana 1 (%)]:[Avance Semana 4 (%)]],"&gt;1")+COUNTIF(tblAct_RF[[#This Row],[Avance Semana 1 (%)]:[Avance Semana 4 (%)]],"&lt;0")+COUNTA(tblAct_RF[[#This Row],[Avance Semana 1 (%)]:[Avance Semana 4 (%)]])-COUNT(tblAct_RF[[#This Row],[Avance Semana 1 (%)]:[Avance Semana 4 (%)]]))&gt;0,"Avance fuera de rango 0-100%"&amp;" · ","")&amp;IF(OR(AND(tblAct_RF[[#This Row],[Avance Semana 2 (%)]]&lt;&gt;"",tblAct_RF[[#This Row],[Avance Semana 2 (%)]]&lt;tblAct_RF[[#This Row],[Avance Semana 1 (%)]]),AND(tblAct_RF[[#This Row],[Avance Semana 3 (%)]]&lt;&gt;"",tblAct_RF[[#This Row],[Avance Semana 3 (%)]]&lt;MAX(tblAct_RF[[#This Row],[Avance Semana 1 (%)]:[Avance Semana 2 (%)]])),AND(tblAct_RF[[#This Row],[Avance Semana 4 (%)]]&lt;&gt;"",tblAct_RF[[#This Row],[Avance Semana 4 (%)]]&lt;MAX(tblAct_RF[[#This Row],[Avance Semana 1 (%)]:[Avance Semana 3 (%)]]))),"Avance semanal decreciente"&amp;" · ","")&amp;IF(AND(ISNUMBER(tblAct_RF[[#This Row],[Límite efectivo (aux)]]),tblAct_RF[[#This Row],[Límite efectivo (aux)]]&lt;FechaRef,IF(tblAct_RF[[#This Row],[Tipo (aux)]]="Sub",N(tblAct_RF[[#This Row],[Avance propio (aux)]]),N(tblAct_RF[[#This Row],[% de Avance Total Actual]]))&lt;1),"Vencida"&amp;" · ","")&amp;IF(AND(ObsObligatoria="Sí",ISNUMBER(tblAct_RF[[#This Row],[Límite efectivo (aux)]]),tblAct_RF[[#This Row],[Límite efectivo (aux)]]&lt;FechaRef,IF(tblAct_RF[[#This Row],[Tipo (aux)]]="Sub",N(tblAct_RF[[#This Row],[Avance propio (aux)]]),N(tblAct_RF[[#This Row],[% de Avance Total Actual]]))&lt;1,tblAct_RF[[#This Row],[Observaciones]]=""),"Vencida sin observación"&amp;" · ",""))="","✔ OK","⚠ "&amp;LEFT(IF(tblAct_RF[[#This Row],[Actividad]]="","Falta el nombre de la actividad"&amp;" · ","")&amp;IF(AND(tblAct_RF[[#This Row],[Tipo (aux)]]="Sub",N(tblAct_RF[[#This Row],[Grupo (aux)]])=0),"Subactividad sin macroactividad arriba"&amp;" · ","")&amp;IF(tblAct_RF[[#This Row],[Inicio efectivo (aux)]]="","Sin fecha de inicio"&amp;" · ","")&amp;IF(tblAct_RF[[#This Row],[Límite efectivo (aux)]]="","Sin fecha límite"&amp;" · ","")&amp;IF(AND(LEFT(tblAct_RF[[#This Row],[Actividad]],11)="[Jefatura] ",N(tblAct_RF[[#This Row],[Fila en Administración (aux)]])=0),"No se encuentra en la hoja de la jefatura (elíjala de nuevo en la lista)"&amp;" · ","")&amp;IF(OR(AND(tblAct_RF[[#This Row],[Fecha de inicio]]&lt;&gt;"",NOT(ISNUMBER(tblAct_RF[[#This Row],[Fecha de inicio]]))),AND(tblAct_RF[[#This Row],[Fecha límite]]&lt;&gt;"",NOT(ISNUMBER(tblAct_RF[[#This Row],[Fecha límite]]))),AND(tblAct_RF[[#This Row],[Fecha de cumplimiento]]&lt;&gt;"",NOT(ISNUMBER(tblAct_RF[[#This Row],[Fecha de cumplimiento]])))),"Fecha no válida"&amp;" · ","")&amp;IF(AND(ISNUMBER(tblAct_RF[[#This Row],[Inicio efectivo (aux)]]),ISNUMBER(tblAct_RF[[#This Row],[Límite efectivo (aux)]]),tblAct_RF[[#This Row],[Inicio efectivo (aux)]]&gt;tblAct_RF[[#This Row],[Límite efectivo (aux)]]),"Inicio posterior a fecha límite"&amp;" · ","")&amp;IF(AND(tblAct_RF[[#This Row],[Tipo (aux)]]="Macro",tblAct_RF[[#This Row],[Peso (%)]]&lt;&gt;"",OR(NOT(ISNUMBER(tblAct_RF[[#This Row],[Peso (%)]])),tblAct_RF[[#This Row],[Peso (%)]]&lt;0,tblAct_RF[[#This Row],[Peso (%)]]&gt;1)),"Peso fuera de rango"&amp;" · ","")&amp;IF(AND(tblAct_RF[[#This Row],[Tipo (aux)]]="Sub",tblAct_RF[[#This Row],[Peso (%)]]&lt;&gt;""),"Las subactividades no llevan peso (valen igual dentro de su macroactividad)"&amp;" · ","")&amp;IF(AND(N(tblAct_RF[[#This Row],[N subactividades (aux)]])&gt;0,COUNT(tblAct_RF[[#This Row],[Avance Semana 1 (%)]:[Avance Semana 4 (%)]])&gt;0),"Con subactividades: deje vacías las semanas (se calculan solas)"&amp;" · ","")&amp;IF((COUNTIF(tblAct_RF[[#This Row],[Avance Semana 1 (%)]:[Avance Semana 4 (%)]],"&gt;1")+COUNTIF(tblAct_RF[[#This Row],[Avance Semana 1 (%)]:[Avance Semana 4 (%)]],"&lt;0")+COUNTA(tblAct_RF[[#This Row],[Avance Semana 1 (%)]:[Avance Semana 4 (%)]])-COUNT(tblAct_RF[[#This Row],[Avance Semana 1 (%)]:[Avance Semana 4 (%)]]))&gt;0,"Avance fuera de rango 0-100%"&amp;" · ","")&amp;IF(OR(AND(tblAct_RF[[#This Row],[Avance Semana 2 (%)]]&lt;&gt;"",tblAct_RF[[#This Row],[Avance Semana 2 (%)]]&lt;tblAct_RF[[#This Row],[Avance Semana 1 (%)]]),AND(tblAct_RF[[#This Row],[Avance Semana 3 (%)]]&lt;&gt;"",tblAct_RF[[#This Row],[Avance Semana 3 (%)]]&lt;MAX(tblAct_RF[[#This Row],[Avance Semana 1 (%)]:[Avance Semana 2 (%)]])),AND(tblAct_RF[[#This Row],[Avance Semana 4 (%)]]&lt;&gt;"",tblAct_RF[[#This Row],[Avance Semana 4 (%)]]&lt;MAX(tblAct_RF[[#This Row],[Avance Semana 1 (%)]:[Avance Semana 3 (%)]]))),"Avance semanal decreciente"&amp;" · ","")&amp;IF(AND(ISNUMBER(tblAct_RF[[#This Row],[Límite efectivo (aux)]]),tblAct_RF[[#This Row],[Límite efectivo (aux)]]&lt;FechaRef,IF(tblAct_RF[[#This Row],[Tipo (aux)]]="Sub",N(tblAct_RF[[#This Row],[Avance propio (aux)]]),N(tblAct_RF[[#This Row],[% de Avance Total Actual]]))&lt;1),"Vencida"&amp;" · ","")&amp;IF(AND(ObsObligatoria="Sí",ISNUMBER(tblAct_RF[[#This Row],[Límite efectivo (aux)]]),tblAct_RF[[#This Row],[Límite efectivo (aux)]]&lt;FechaRef,IF(tblAct_RF[[#This Row],[Tipo (aux)]]="Sub",N(tblAct_RF[[#This Row],[Avance propio (aux)]]),N(tblAct_RF[[#This Row],[% de Avance Total Actual]]))&lt;1,tblAct_RF[[#This Row],[Observaciones]]=""),"Vencida sin observación"&amp;" · ",""),LEN(IF(tblAct_RF[[#This Row],[Actividad]]="","Falta el nombre de la actividad"&amp;" · ","")&amp;IF(AND(tblAct_RF[[#This Row],[Tipo (aux)]]="Sub",N(tblAct_RF[[#This Row],[Grupo (aux)]])=0),"Subactividad sin macroactividad arriba"&amp;" · ","")&amp;IF(tblAct_RF[[#This Row],[Inicio efectivo (aux)]]="","Sin fecha de inicio"&amp;" · ","")&amp;IF(tblAct_RF[[#This Row],[Límite efectivo (aux)]]="","Sin fecha límite"&amp;" · ","")&amp;IF(AND(LEFT(tblAct_RF[[#This Row],[Actividad]],11)="[Jefatura] ",N(tblAct_RF[[#This Row],[Fila en Administración (aux)]])=0),"No se encuentra en la hoja de la jefatura (elíjala de nuevo en la lista)"&amp;" · ","")&amp;IF(OR(AND(tblAct_RF[[#This Row],[Fecha de inicio]]&lt;&gt;"",NOT(ISNUMBER(tblAct_RF[[#This Row],[Fecha de inicio]]))),AND(tblAct_RF[[#This Row],[Fecha límite]]&lt;&gt;"",NOT(ISNUMBER(tblAct_RF[[#This Row],[Fecha límite]]))),AND(tblAct_RF[[#This Row],[Fecha de cumplimiento]]&lt;&gt;"",NOT(ISNUMBER(tblAct_RF[[#This Row],[Fecha de cumplimiento]])))),"Fecha no válida"&amp;" · ","")&amp;IF(AND(ISNUMBER(tblAct_RF[[#This Row],[Inicio efectivo (aux)]]),ISNUMBER(tblAct_RF[[#This Row],[Límite efectivo (aux)]]),tblAct_RF[[#This Row],[Inicio efectivo (aux)]]&gt;tblAct_RF[[#This Row],[Límite efectivo (aux)]]),"Inicio posterior a fecha límite"&amp;" · ","")&amp;IF(AND(tblAct_RF[[#This Row],[Tipo (aux)]]="Macro",tblAct_RF[[#This Row],[Peso (%)]]&lt;&gt;"",OR(NOT(ISNUMBER(tblAct_RF[[#This Row],[Peso (%)]])),tblAct_RF[[#This Row],[Peso (%)]]&lt;0,tblAct_RF[[#This Row],[Peso (%)]]&gt;1)),"Peso fuera de rango"&amp;" · ","")&amp;IF(AND(tblAct_RF[[#This Row],[Tipo (aux)]]="Sub",tblAct_RF[[#This Row],[Peso (%)]]&lt;&gt;""),"Las subactividades no llevan peso (valen igual dentro de su macroactividad)"&amp;" · ","")&amp;IF(AND(N(tblAct_RF[[#This Row],[N subactividades (aux)]])&gt;0,COUNT(tblAct_RF[[#This Row],[Avance Semana 1 (%)]:[Avance Semana 4 (%)]])&gt;0),"Con subactividades: deje vacías las semanas (se calculan solas)"&amp;" · ","")&amp;IF((COUNTIF(tblAct_RF[[#This Row],[Avance Semana 1 (%)]:[Avance Semana 4 (%)]],"&gt;1")+COUNTIF(tblAct_RF[[#This Row],[Avance Semana 1 (%)]:[Avance Semana 4 (%)]],"&lt;0")+COUNTA(tblAct_RF[[#This Row],[Avance Semana 1 (%)]:[Avance Semana 4 (%)]])-COUNT(tblAct_RF[[#This Row],[Avance Semana 1 (%)]:[Avance Semana 4 (%)]]))&gt;0,"Avance fuera de rango 0-100%"&amp;" · ","")&amp;IF(OR(AND(tblAct_RF[[#This Row],[Avance Semana 2 (%)]]&lt;&gt;"",tblAct_RF[[#This Row],[Avance Semana 2 (%)]]&lt;tblAct_RF[[#This Row],[Avance Semana 1 (%)]]),AND(tblAct_RF[[#This Row],[Avance Semana 3 (%)]]&lt;&gt;"",tblAct_RF[[#This Row],[Avance Semana 3 (%)]]&lt;MAX(tblAct_RF[[#This Row],[Avance Semana 1 (%)]:[Avance Semana 2 (%)]])),AND(tblAct_RF[[#This Row],[Avance Semana 4 (%)]]&lt;&gt;"",tblAct_RF[[#This Row],[Avance Semana 4 (%)]]&lt;MAX(tblAct_RF[[#This Row],[Avance Semana 1 (%)]:[Avance Semana 3 (%)]]))),"Avance semanal decreciente"&amp;" · ","")&amp;IF(AND(ISNUMBER(tblAct_RF[[#This Row],[Límite efectivo (aux)]]),tblAct_RF[[#This Row],[Límite efectivo (aux)]]&lt;FechaRef,IF(tblAct_RF[[#This Row],[Tipo (aux)]]="Sub",N(tblAct_RF[[#This Row],[Avance propio (aux)]]),N(tblAct_RF[[#This Row],[% de Avance Total Actual]]))&lt;1),"Vencida"&amp;" · ","")&amp;IF(AND(ObsObligatoria="Sí",ISNUMBER(tblAct_RF[[#This Row],[Límite efectivo (aux)]]),tblAct_RF[[#This Row],[Límite efectivo (aux)]]&lt;FechaRef,IF(tblAct_RF[[#This Row],[Tipo (aux)]]="Sub",N(tblAct_RF[[#This Row],[Avance propio (aux)]]),N(tblAct_RF[[#This Row],[% de Avance Total Actual]]))&lt;1,tblAct_RF[[#This Row],[Observaciones]]=""),"Vencida sin observación"&amp;" · ",""))-3)))</calculatedColumnFormula>
    </tableColumn>
    <tableColumn id="19" name="Mes">
      <calculatedColumnFormula>IF(NOT((COUNTA(tblAct_RF[[#This Row],[Tipo]:[Delegar a]])+COUNTA(tblAct_RF[[#This Row],[Fecha de cumplimiento]:[Avance Semana 4 (%)]])+COUNTA(tblAct_RF[[#This Row],[Observaciones]]))&gt;0),"",IF(AND(tblAct_RF[[#This Row],[Tipo (aux)]]="Sub",N(tblAct_RF[[#This Row],[Grupo (aux)]])&gt;0),IF(ISNUMBER(INDEX($AM$5:$AM$1000,tblAct_RF[[#This Row],[Grupo (aux)]]-4)),DATE(YEAR(INDEX($AM$5:$AM$1000,tblAct_RF[[#This Row],[Grupo (aux)]]-4)),MONTH(INDEX($AM$5:$AM$1000,tblAct_RF[[#This Row],[Grupo (aux)]]-4)),1),IF(ISNUMBER(INDEX($AN$5:$AN$1000,tblAct_RF[[#This Row],[Grupo (aux)]]-4)),DATE(YEAR(INDEX($AN$5:$AN$1000,tblAct_RF[[#This Row],[Grupo (aux)]]-4)),MONTH(INDEX($AN$5:$AN$1000,tblAct_RF[[#This Row],[Grupo (aux)]]-4)),1),MesCiclo)),IF(ISNUMBER(tblAct_RF[[#This Row],[Inicio efectivo (aux)]]),DATE(YEAR(tblAct_RF[[#This Row],[Inicio efectivo (aux)]]),MONTH(tblAct_RF[[#This Row],[Inicio efectivo (aux)]]),1),IF(ISNUMBER(tblAct_RF[[#This Row],[Límite efectivo (aux)]]),DATE(YEAR(tblAct_RF[[#This Row],[Límite efectivo (aux)]]),MONTH(tblAct_RF[[#This Row],[Límite efectivo (aux)]]),1),MesCiclo))))</calculatedColumnFormula>
    </tableColumn>
    <tableColumn id="20" name="Orden en el mes (aux)">
      <calculatedColumnFormula>IF(OR(tblAct_RF[[#This Row],[Mes]]="",tblAct_RF[[#This Row],[Mes]]&lt;&gt;MesCiclo,tblAct_RF[[#This Row],[Tipo (aux)]]&lt;&gt;"Macro"),"",COUNTIFS(INDEX(tblAct_RF[Mes],1):tblAct_RF[[#This Row],[Mes]],MesCiclo,INDEX(tblAct_RF[Tipo (aux)],1):tblAct_RF[[#This Row],[Tipo (aux)]],"Macro"))</calculatedColumnFormula>
    </tableColumn>
    <tableColumn id="21" name="Grupo (aux)">
      <calculatedColumnFormula>IF(tblAct_RF[[#This Row],[Tipo (aux)]]="","",IF(tblAct_RF[[#This Row],[Tipo (aux)]]="Macro",ROW(),IFERROR(LOOKUP(2,1/(INDEX(tblAct_RF[Tipo (aux)],1):tblAct_RF[[#This Row],[Tipo (aux)]]="Macro"),ROW(INDEX(tblAct_RF[Tipo (aux)],1):tblAct_RF[[#This Row],[Tipo (aux)]])),0)))</calculatedColumnFormula>
    </tableColumn>
    <tableColumn id="22" name="Tipo (aux)">
      <calculatedColumnFormula>IF(NOT((COUNTA(tblAct_RF[[#This Row],[Tipo]:[Delegar a]])+COUNTA(tblAct_RF[[#This Row],[Fecha de cumplimiento]:[Avance Semana 4 (%)]])+COUNTA(tblAct_RF[[#This Row],[Observaciones]]))&gt;0),"",IF(tblAct_RF[[#This Row],[Tipo]]="Subactividad","Sub","Macro"))</calculatedColumnFormula>
    </tableColumn>
    <tableColumn id="23" name="N subactividades (aux)">
      <calculatedColumnFormula>IF(tblAct_RF[[#This Row],[Tipo (aux)]]="Macro",COUNTIFS($U$5:$U$1000,ROW(),$V$5:$V$1000,"Sub"),"")</calculatedColumnFormula>
    </tableColumn>
    <tableColumn id="24" name="Avance propio (aux)">
      <calculatedColumnFormula>IF(tblAct_RF[[#This Row],[Tipo (aux)]]="","",IF(ISNUMBER(tblAct_RF[[#This Row],[Fecha de cumplimiento]]),1,IFERROR(LOOKUP(2,1/(tblAct_RF[[#This Row],[Avance Semana 1 (%)]:[Avance Semana 4 (%)]]&lt;&gt;""),tblAct_RF[[#This Row],[Avance Semana 1 (%)]:[Avance Semana 4 (%)]]),0)))</calculatedColumnFormula>
    </tableColumn>
    <tableColumn id="25" name="Propio S1 (aux)">
      <calculatedColumnFormula>IF(tblAct_RF[[#This Row],[Tipo (aux)]]="","",IF(AND(ISNUMBER(tblAct_RF[[#This Row],[Fecha de cumplimiento]]),tblAct_RF[[#This Row],[Fecha de cumplimiento]]&lt;=IF(tblAct_RF[[#This Row],[Mes]]=MesCiclo,InicioCiclo,tblAct_RF[[#This Row],[Mes]]+MOD(2-WEEKDAY(tblAct_RF[[#This Row],[Mes]]),7))+6),1,IF(ISNUMBER(tblAct_RF[[#This Row],[Avance Semana 1 (%)]]),tblAct_RF[[#This Row],[Avance Semana 1 (%)]],0)))</calculatedColumnFormula>
    </tableColumn>
    <tableColumn id="26" name="Propio S2 (aux)">
      <calculatedColumnFormula>IF(tblAct_RF[[#This Row],[Tipo (aux)]]="","",IF(AND(ISNUMBER(tblAct_RF[[#This Row],[Fecha de cumplimiento]]),tblAct_RF[[#This Row],[Fecha de cumplimiento]]&lt;=IF(tblAct_RF[[#This Row],[Mes]]=MesCiclo,InicioCiclo,tblAct_RF[[#This Row],[Mes]]+MOD(2-WEEKDAY(tblAct_RF[[#This Row],[Mes]]),7))+13),1,IF(ISNUMBER(tblAct_RF[[#This Row],[Avance Semana 2 (%)]]),tblAct_RF[[#This Row],[Avance Semana 2 (%)]],tblAct_RF[[#This Row],[Propio S1 (aux)]])))</calculatedColumnFormula>
    </tableColumn>
    <tableColumn id="27" name="Propio S3 (aux)">
      <calculatedColumnFormula>IF(tblAct_RF[[#This Row],[Tipo (aux)]]="","",IF(AND(ISNUMBER(tblAct_RF[[#This Row],[Fecha de cumplimiento]]),tblAct_RF[[#This Row],[Fecha de cumplimiento]]&lt;=IF(tblAct_RF[[#This Row],[Mes]]=MesCiclo,InicioCiclo,tblAct_RF[[#This Row],[Mes]]+MOD(2-WEEKDAY(tblAct_RF[[#This Row],[Mes]]),7))+20),1,IF(ISNUMBER(tblAct_RF[[#This Row],[Avance Semana 3 (%)]]),tblAct_RF[[#This Row],[Avance Semana 3 (%)]],tblAct_RF[[#This Row],[Propio S2 (aux)]])))</calculatedColumnFormula>
    </tableColumn>
    <tableColumn id="28" name="Propio S4 (aux)">
      <calculatedColumnFormula>IF(tblAct_RF[[#This Row],[Tipo (aux)]]="","",IF(AND(ISNUMBER(tblAct_RF[[#This Row],[Fecha de cumplimiento]]),tblAct_RF[[#This Row],[Fecha de cumplimiento]]&lt;=IF(tblAct_RF[[#This Row],[Mes]]=MesCiclo,InicioCiclo,tblAct_RF[[#This Row],[Mes]]+MOD(2-WEEKDAY(tblAct_RF[[#This Row],[Mes]]),7))+27),1,IF(ISNUMBER(tblAct_RF[[#This Row],[Avance Semana 4 (%)]]),tblAct_RF[[#This Row],[Avance Semana 4 (%)]],tblAct_RF[[#This Row],[Propio S3 (aux)]])))</calculatedColumnFormula>
    </tableColumn>
    <tableColumn id="29" name="Efectivo S1 (aux)">
      <calculatedColumnFormula>IF(tblAct_RF[[#This Row],[Tipo (aux)]]="","",IF(AND(ISNUMBER(tblAct_RF[[#This Row],[Fecha de cumplimiento]]),tblAct_RF[[#This Row],[Fecha de cumplimiento]]&lt;=IF(tblAct_RF[[#This Row],[Mes]]=MesCiclo,InicioCiclo,tblAct_RF[[#This Row],[Mes]]+MOD(2-WEEKDAY(tblAct_RF[[#This Row],[Mes]]),7))+6),1,IF(N(tblAct_RF[[#This Row],[N subactividades (aux)]])&gt;0,AVERAGEIFS($Y$5:$Y$1000,$U$5:$U$1000,ROW(),$V$5:$V$1000,"Sub"),tblAct_RF[[#This Row],[Propio S1 (aux)]])))</calculatedColumnFormula>
    </tableColumn>
    <tableColumn id="30" name="Efectivo S2 (aux)">
      <calculatedColumnFormula>IF(tblAct_RF[[#This Row],[Tipo (aux)]]="","",IF(AND(ISNUMBER(tblAct_RF[[#This Row],[Fecha de cumplimiento]]),tblAct_RF[[#This Row],[Fecha de cumplimiento]]&lt;=IF(tblAct_RF[[#This Row],[Mes]]=MesCiclo,InicioCiclo,tblAct_RF[[#This Row],[Mes]]+MOD(2-WEEKDAY(tblAct_RF[[#This Row],[Mes]]),7))+13),1,IF(N(tblAct_RF[[#This Row],[N subactividades (aux)]])&gt;0,AVERAGEIFS($Z$5:$Z$1000,$U$5:$U$1000,ROW(),$V$5:$V$1000,"Sub"),tblAct_RF[[#This Row],[Propio S2 (aux)]])))</calculatedColumnFormula>
    </tableColumn>
    <tableColumn id="31" name="Efectivo S3 (aux)">
      <calculatedColumnFormula>IF(tblAct_RF[[#This Row],[Tipo (aux)]]="","",IF(AND(ISNUMBER(tblAct_RF[[#This Row],[Fecha de cumplimiento]]),tblAct_RF[[#This Row],[Fecha de cumplimiento]]&lt;=IF(tblAct_RF[[#This Row],[Mes]]=MesCiclo,InicioCiclo,tblAct_RF[[#This Row],[Mes]]+MOD(2-WEEKDAY(tblAct_RF[[#This Row],[Mes]]),7))+20),1,IF(N(tblAct_RF[[#This Row],[N subactividades (aux)]])&gt;0,AVERAGEIFS($AA$5:$AA$1000,$U$5:$U$1000,ROW(),$V$5:$V$1000,"Sub"),tblAct_RF[[#This Row],[Propio S3 (aux)]])))</calculatedColumnFormula>
    </tableColumn>
    <tableColumn id="32" name="Efectivo S4 (aux)">
      <calculatedColumnFormula>IF(tblAct_RF[[#This Row],[Tipo (aux)]]="","",IF(AND(ISNUMBER(tblAct_RF[[#This Row],[Fecha de cumplimiento]]),tblAct_RF[[#This Row],[Fecha de cumplimiento]]&lt;=IF(tblAct_RF[[#This Row],[Mes]]=MesCiclo,InicioCiclo,tblAct_RF[[#This Row],[Mes]]+MOD(2-WEEKDAY(tblAct_RF[[#This Row],[Mes]]),7))+27),1,IF(N(tblAct_RF[[#This Row],[N subactividades (aux)]])&gt;0,AVERAGEIFS($AB$5:$AB$1000,$U$5:$U$1000,ROW(),$V$5:$V$1000,"Sub"),tblAct_RF[[#This Row],[Propio S4 (aux)]])))</calculatedColumnFormula>
    </tableColumn>
    <tableColumn id="33" name="Peso efectivo (aux)">
      <calculatedColumnFormula>IF(tblAct_RF[[#This Row],[Tipo (aux)]]&lt;&gt;"Macro","",IF(COUNTIFS($S$5:$S$1000,tblAct_RF[[#This Row],[Mes]],$V$5:$V$1000,"Macro",$H$5:$H$1000,"&gt;0")=0,1/COUNTIFS($S$5:$S$1000,tblAct_RF[[#This Row],[Mes]],$V$5:$V$1000,"Macro"),IF(AND(ISNUMBER(tblAct_RF[[#This Row],[Peso (%)]]),N(tblAct_RF[[#This Row],[Peso (%)]])&gt;0),tblAct_RF[[#This Row],[Peso (%)]],SUMIFS($H$5:$H$1000,$S$5:$S$1000,tblAct_RF[[#This Row],[Mes]],$V$5:$V$1000,"Macro")/COUNTIFS($S$5:$S$1000,tblAct_RF[[#This Row],[Mes]],$V$5:$V$1000,"Macro",$H$5:$H$1000,"&gt;0"))/(COUNTIFS($S$5:$S$1000,tblAct_RF[[#This Row],[Mes]],$V$5:$V$1000,"Macro")*SUMIFS($H$5:$H$1000,$S$5:$S$1000,tblAct_RF[[#This Row],[Mes]],$V$5:$V$1000,"Macro")/COUNTIFS($S$5:$S$1000,tblAct_RF[[#This Row],[Mes]],$V$5:$V$1000,"Macro",$H$5:$H$1000,"&gt;0"))))</calculatedColumnFormula>
    </tableColumn>
    <tableColumn id="34" name="Fila en el puesto (aux)"/>
    <tableColumn id="35" name="N° delegada en el mes (aux)"/>
    <tableColumn id="36" name="Clave delegada (aux)"/>
    <tableColumn id="37" name="Clave puesto-actividad (aux)"/>
    <tableColumn id="38" name="Fila en Administración (aux)">
      <calculatedColumnFormula>IF(LEFT(tblAct_RF[[#This Row],[Actividad]],11)="[Jefatura] ",IFERROR(MATCH("Riesgo Financiero|"&amp;MID(tblAct_RF[[#This Row],[Actividad]],12,500),rDname_ADM,0),0),"")</calculatedColumnFormula>
    </tableColumn>
    <tableColumn id="39" name="Inicio efectivo (aux)">
      <calculatedColumnFormula>IF(N(tblAct_RF[[#This Row],[Fila en Administración (aux)]])&gt;0,INDEX(rIni_ADM,tblAct_RF[[#This Row],[Fila en Administración (aux)]]),IF(ISNUMBER(tblAct_RF[[#This Row],[Fecha de inicio]]),tblAct_RF[[#This Row],[Fecha de inicio]],""))</calculatedColumnFormula>
    </tableColumn>
    <tableColumn id="40" name="Límite efectivo (aux)">
      <calculatedColumnFormula>IF(N(tblAct_RF[[#This Row],[Fila en Administración (aux)]])&gt;0,INDEX(rLim_ADM,tblAct_RF[[#This Row],[Fila en Administración (aux)]]),IF(ISNUMBER(tblAct_RF[[#This Row],[Fecha límite]]),tblAct_RF[[#This Row],[Fecha límite]],""))</calculatedColumnFormula>
    </tableColumn>
  </tableColumns>
  <tableStyleInfo name="TableStyleLight1" showRowStripes="0"/>
</table>
</file>

<file path=xl/tables/table7.xml><?xml version="1.0" encoding="utf-8"?>
<table xmlns="http://schemas.openxmlformats.org/spreadsheetml/2006/main" id="7" name="tblSem_RF" displayName="tblSem_RF" ref="A4:M104" headerRowCount="1">
  <autoFilter ref="A4:M104"/>
  <tableColumns count="13">
    <tableColumn id="1" name="N°"/>
    <tableColumn id="2" name="Actividad"/>
    <tableColumn id="3" name="Fecha de inicio"/>
    <tableColumn id="4" name="Fecha límite"/>
    <tableColumn id="5" name="Semana de entrega"/>
    <tableColumn id="6" name="Semana 1"/>
    <tableColumn id="7" name="Semana 2"/>
    <tableColumn id="8" name="Semana 3"/>
    <tableColumn id="9" name="Semana 4"/>
    <tableColumn id="10" name="% Avance actual"/>
    <tableColumn id="11" name="Estado"/>
    <tableColumn id="12" name="Alerta de plazo"/>
    <tableColumn id="13" name="Observaciones"/>
  </tableColumns>
  <tableStyleInfo name="TableStyleLight1" showRowStripes="0"/>
</table>
</file>

<file path=xl/tables/table8.xml><?xml version="1.0" encoding="utf-8"?>
<table xmlns="http://schemas.openxmlformats.org/spreadsheetml/2006/main" id="8" name="tblAct_ATR" displayName="tblAct_ATR" ref="A4:AN304" headerRowCount="1">
  <autoFilter ref="A4:AN304"/>
  <tableColumns count="40">
    <tableColumn id="1" name="N°">
      <calculatedColumnFormula>IF(NOT((COUNTA(tblAct_ATR[[#This Row],[Tipo]:[Delegar a]])+COUNTA(tblAct_ATR[[#This Row],[Fecha de cumplimiento]:[Avance Semana 4 (%)]])+COUNTA(tblAct_ATR[[#This Row],[Observaciones]]))&gt;0),"",IF(tblAct_ATR[[#This Row],[Tipo (aux)]]="Macro",COUNTIFS(INDEX(tblAct_ATR[Tipo (aux)],1):tblAct_ATR[[#This Row],[Tipo (aux)]],"Macro",INDEX(tblAct_ATR[Mes],1):tblAct_ATR[[#This Row],[Mes]],tblAct_ATR[[#This Row],[Mes]]),IF(N(tblAct_ATR[[#This Row],[Grupo (aux)]])=0,"?",COUNTIFS(INDEX($V$5:$V$1000,1):INDEX($V$5:$V$1000,tblAct_ATR[[#This Row],[Grupo (aux)]]-4),"Macro",INDEX($S$5:$S$1000,1):INDEX($S$5:$S$1000,tblAct_ATR[[#This Row],[Grupo (aux)]]-4),INDEX($S$5:$S$1000,tblAct_ATR[[#This Row],[Grupo (aux)]]-4))&amp;"."&amp;COUNTIFS(INDEX(tblAct_ATR[Grupo (aux)],1):tblAct_ATR[[#This Row],[Grupo (aux)]],tblAct_ATR[[#This Row],[Grupo (aux)]],INDEX(tblAct_ATR[Tipo (aux)],1):tblAct_ATR[[#This Row],[Tipo (aux)]],"Sub"))))</calculatedColumnFormula>
    </tableColumn>
    <tableColumn id="2" name="Tipo"/>
    <tableColumn id="3" name="Actividad"/>
    <tableColumn id="4" name="Delegar a"/>
    <tableColumn id="5" name="Fecha de inicio"/>
    <tableColumn id="6" name="Fecha límite"/>
    <tableColumn id="7" name="Fecha de cumplimiento"/>
    <tableColumn id="8" name="Peso (%)"/>
    <tableColumn id="9" name="Avance Semana 1 (%)"/>
    <tableColumn id="10" name="Avance Semana 2 (%)"/>
    <tableColumn id="11" name="Avance Semana 3 (%)"/>
    <tableColumn id="12" name="Avance Semana 4 (%)"/>
    <tableColumn id="13" name="% de Avance Total Actual">
      <calculatedColumnFormula>IF(NOT((COUNTA(tblAct_ATR[[#This Row],[Tipo]:[Delegar a]])+COUNTA(tblAct_ATR[[#This Row],[Fecha de cumplimiento]:[Avance Semana 4 (%)]])+COUNTA(tblAct_ATR[[#This Row],[Observaciones]]))&gt;0),"",IF(tblAct_ATR[[#This Row],[Tipo (aux)]]="Sub",IFERROR(tblAct_ATR[[#This Row],[Avance propio (aux)]]/INDEX($W$5:$W$1000,tblAct_ATR[[#This Row],[Grupo (aux)]]-4),""),IF(ISNUMBER(tblAct_ATR[[#This Row],[Fecha de cumplimiento]]),1,IF(N(tblAct_ATR[[#This Row],[N subactividades (aux)]])&gt;0,AVERAGEIFS($X$5:$X$1000,$U$5:$U$1000,ROW(),$V$5:$V$1000,"Sub"),tblAct_ATR[[#This Row],[Avance propio (aux)]]))))</calculatedColumnFormula>
    </tableColumn>
    <tableColumn id="14" name="Estado">
      <calculatedColumnFormula>IF(OR(tblAct_ATR[[#This Row],[% de Avance Total Actual]]="",tblAct_ATR[[#This Row],[Tipo (aux)]]="Sub"),"",IF(tblAct_ATR[[#This Row],[% de Avance Total Actual]]&gt;=1,"Completado",IF(tblAct_ATR[[#This Row],[% de Avance Total Actual]]&gt;0,"En curso","Pendiente")))</calculatedColumnFormula>
    </tableColumn>
    <tableColumn id="15" name="Alerta de plazo">
      <calculatedColumnFormula>IF(OR(NOT((COUNTA(tblAct_ATR[[#This Row],[Tipo]:[Delegar a]])+COUNTA(tblAct_ATR[[#This Row],[Fecha de cumplimiento]:[Avance Semana 4 (%)]])+COUNTA(tblAct_ATR[[#This Row],[Observaciones]]))&gt;0),tblAct_ATR[[#This Row],[Tipo (aux)]]="Sub"),"",IF(ISNUMBER(tblAct_ATR[[#This Row],[Fecha de cumplimiento]]),IF(AND(ISNUMBER(tblAct_ATR[[#This Row],[Límite efectivo (aux)]]),tblAct_ATR[[#This Row],[Fecha de cumplimiento]]&gt;tblAct_ATR[[#This Row],[Límite efectivo (aux)]]),"Cumplida con "&amp;(tblAct_ATR[[#This Row],[Fecha de cumplimiento]]-tblAct_ATR[[#This Row],[Límite efectivo (aux)]])&amp;IF(tblAct_ATR[[#This Row],[Fecha de cumplimiento]]-tblAct_ATR[[#This Row],[Límite efectivo (aux)]]=1," día"," días")&amp;" de retraso","Cumplida"),IF(N(tblAct_ATR[[#This Row],[% de Avance Total Actual]])&gt;=1,"Cumplida",IF(NOT(ISNUMBER(tblAct_ATR[[#This Row],[Límite efectivo (aux)]])),"Sin fecha límite",IF(tblAct_ATR[[#This Row],[Límite efectivo (aux)]]&lt;FechaRef,"Vencida hace "&amp;(FechaRef-tblAct_ATR[[#This Row],[Límite efectivo (aux)]])&amp;IF(FechaRef-tblAct_ATR[[#This Row],[Límite efectivo (aux)]]=1," día"," días"),IF(tblAct_ATR[[#This Row],[Límite efectivo (aux)]]=FechaRef,"Vence hoy",IF(tblAct_ATR[[#This Row],[Límite efectivo (aux)]]-FechaRef&lt;=DiasAlerta,"Vence en "&amp;(tblAct_ATR[[#This Row],[Límite efectivo (aux)]]-FechaRef)&amp;IF(tblAct_ATR[[#This Row],[Límite efectivo (aux)]]-FechaRef=1," día"," días"),"En plazo")))))))</calculatedColumnFormula>
    </tableColumn>
    <tableColumn id="16" name="Seguimiento de la delegación"/>
    <tableColumn id="17" name="Observaciones"/>
    <tableColumn id="18" name="Revisión automática (alertas)">
      <calculatedColumnFormula>IF(NOT((COUNTA(tblAct_ATR[[#This Row],[Tipo]:[Delegar a]])+COUNTA(tblAct_ATR[[#This Row],[Fecha de cumplimiento]:[Avance Semana 4 (%)]])+COUNTA(tblAct_ATR[[#This Row],[Observaciones]]))&gt;0),"",IF((IF(tblAct_ATR[[#This Row],[Actividad]]="","Falta el nombre de la actividad"&amp;" · ","")&amp;IF(AND(tblAct_ATR[[#This Row],[Tipo (aux)]]="Sub",N(tblAct_ATR[[#This Row],[Grupo (aux)]])=0),"Subactividad sin macroactividad arriba"&amp;" · ","")&amp;IF(tblAct_ATR[[#This Row],[Inicio efectivo (aux)]]="","Sin fecha de inicio"&amp;" · ","")&amp;IF(tblAct_ATR[[#This Row],[Límite efectivo (aux)]]="","Sin fecha límite"&amp;" · ","")&amp;IF(AND(LEFT(tblAct_ATR[[#This Row],[Actividad]],11)="[Jefatura] ",N(tblAct_ATR[[#This Row],[Fila en Administración (aux)]])=0),"No se encuentra en la hoja de la jefatura (elíjala de nuevo en la lista)"&amp;" · ","")&amp;IF(OR(AND(tblAct_ATR[[#This Row],[Fecha de inicio]]&lt;&gt;"",NOT(ISNUMBER(tblAct_ATR[[#This Row],[Fecha de inicio]]))),AND(tblAct_ATR[[#This Row],[Fecha límite]]&lt;&gt;"",NOT(ISNUMBER(tblAct_ATR[[#This Row],[Fecha límite]]))),AND(tblAct_ATR[[#This Row],[Fecha de cumplimiento]]&lt;&gt;"",NOT(ISNUMBER(tblAct_ATR[[#This Row],[Fecha de cumplimiento]])))),"Fecha no válida"&amp;" · ","")&amp;IF(AND(ISNUMBER(tblAct_ATR[[#This Row],[Inicio efectivo (aux)]]),ISNUMBER(tblAct_ATR[[#This Row],[Límite efectivo (aux)]]),tblAct_ATR[[#This Row],[Inicio efectivo (aux)]]&gt;tblAct_ATR[[#This Row],[Límite efectivo (aux)]]),"Inicio posterior a fecha límite"&amp;" · ","")&amp;IF(AND(tblAct_ATR[[#This Row],[Tipo (aux)]]="Macro",tblAct_ATR[[#This Row],[Peso (%)]]&lt;&gt;"",OR(NOT(ISNUMBER(tblAct_ATR[[#This Row],[Peso (%)]])),tblAct_ATR[[#This Row],[Peso (%)]]&lt;0,tblAct_ATR[[#This Row],[Peso (%)]]&gt;1)),"Peso fuera de rango"&amp;" · ","")&amp;IF(AND(tblAct_ATR[[#This Row],[Tipo (aux)]]="Sub",tblAct_ATR[[#This Row],[Peso (%)]]&lt;&gt;""),"Las subactividades no llevan peso (valen igual dentro de su macroactividad)"&amp;" · ","")&amp;IF(AND(N(tblAct_ATR[[#This Row],[N subactividades (aux)]])&gt;0,COUNT(tblAct_ATR[[#This Row],[Avance Semana 1 (%)]:[Avance Semana 4 (%)]])&gt;0),"Con subactividades: deje vacías las semanas (se calculan solas)"&amp;" · ","")&amp;IF((COUNTIF(tblAct_ATR[[#This Row],[Avance Semana 1 (%)]:[Avance Semana 4 (%)]],"&gt;1")+COUNTIF(tblAct_ATR[[#This Row],[Avance Semana 1 (%)]:[Avance Semana 4 (%)]],"&lt;0")+COUNTA(tblAct_ATR[[#This Row],[Avance Semana 1 (%)]:[Avance Semana 4 (%)]])-COUNT(tblAct_ATR[[#This Row],[Avance Semana 1 (%)]:[Avance Semana 4 (%)]]))&gt;0,"Avance fuera de rango 0-100%"&amp;" · ","")&amp;IF(OR(AND(tblAct_ATR[[#This Row],[Avance Semana 2 (%)]]&lt;&gt;"",tblAct_ATR[[#This Row],[Avance Semana 2 (%)]]&lt;tblAct_ATR[[#This Row],[Avance Semana 1 (%)]]),AND(tblAct_ATR[[#This Row],[Avance Semana 3 (%)]]&lt;&gt;"",tblAct_ATR[[#This Row],[Avance Semana 3 (%)]]&lt;MAX(tblAct_ATR[[#This Row],[Avance Semana 1 (%)]:[Avance Semana 2 (%)]])),AND(tblAct_ATR[[#This Row],[Avance Semana 4 (%)]]&lt;&gt;"",tblAct_ATR[[#This Row],[Avance Semana 4 (%)]]&lt;MAX(tblAct_ATR[[#This Row],[Avance Semana 1 (%)]:[Avance Semana 3 (%)]]))),"Avance semanal decreciente"&amp;" · ","")&amp;IF(AND(ISNUMBER(tblAct_ATR[[#This Row],[Límite efectivo (aux)]]),tblAct_ATR[[#This Row],[Límite efectivo (aux)]]&lt;FechaRef,IF(tblAct_ATR[[#This Row],[Tipo (aux)]]="Sub",N(tblAct_ATR[[#This Row],[Avance propio (aux)]]),N(tblAct_ATR[[#This Row],[% de Avance Total Actual]]))&lt;1),"Vencida"&amp;" · ","")&amp;IF(AND(ObsObligatoria="Sí",ISNUMBER(tblAct_ATR[[#This Row],[Límite efectivo (aux)]]),tblAct_ATR[[#This Row],[Límite efectivo (aux)]]&lt;FechaRef,IF(tblAct_ATR[[#This Row],[Tipo (aux)]]="Sub",N(tblAct_ATR[[#This Row],[Avance propio (aux)]]),N(tblAct_ATR[[#This Row],[% de Avance Total Actual]]))&lt;1,tblAct_ATR[[#This Row],[Observaciones]]=""),"Vencida sin observación"&amp;" · ",""))="","✔ OK","⚠ "&amp;LEFT(IF(tblAct_ATR[[#This Row],[Actividad]]="","Falta el nombre de la actividad"&amp;" · ","")&amp;IF(AND(tblAct_ATR[[#This Row],[Tipo (aux)]]="Sub",N(tblAct_ATR[[#This Row],[Grupo (aux)]])=0),"Subactividad sin macroactividad arriba"&amp;" · ","")&amp;IF(tblAct_ATR[[#This Row],[Inicio efectivo (aux)]]="","Sin fecha de inicio"&amp;" · ","")&amp;IF(tblAct_ATR[[#This Row],[Límite efectivo (aux)]]="","Sin fecha límite"&amp;" · ","")&amp;IF(AND(LEFT(tblAct_ATR[[#This Row],[Actividad]],11)="[Jefatura] ",N(tblAct_ATR[[#This Row],[Fila en Administración (aux)]])=0),"No se encuentra en la hoja de la jefatura (elíjala de nuevo en la lista)"&amp;" · ","")&amp;IF(OR(AND(tblAct_ATR[[#This Row],[Fecha de inicio]]&lt;&gt;"",NOT(ISNUMBER(tblAct_ATR[[#This Row],[Fecha de inicio]]))),AND(tblAct_ATR[[#This Row],[Fecha límite]]&lt;&gt;"",NOT(ISNUMBER(tblAct_ATR[[#This Row],[Fecha límite]]))),AND(tblAct_ATR[[#This Row],[Fecha de cumplimiento]]&lt;&gt;"",NOT(ISNUMBER(tblAct_ATR[[#This Row],[Fecha de cumplimiento]])))),"Fecha no válida"&amp;" · ","")&amp;IF(AND(ISNUMBER(tblAct_ATR[[#This Row],[Inicio efectivo (aux)]]),ISNUMBER(tblAct_ATR[[#This Row],[Límite efectivo (aux)]]),tblAct_ATR[[#This Row],[Inicio efectivo (aux)]]&gt;tblAct_ATR[[#This Row],[Límite efectivo (aux)]]),"Inicio posterior a fecha límite"&amp;" · ","")&amp;IF(AND(tblAct_ATR[[#This Row],[Tipo (aux)]]="Macro",tblAct_ATR[[#This Row],[Peso (%)]]&lt;&gt;"",OR(NOT(ISNUMBER(tblAct_ATR[[#This Row],[Peso (%)]])),tblAct_ATR[[#This Row],[Peso (%)]]&lt;0,tblAct_ATR[[#This Row],[Peso (%)]]&gt;1)),"Peso fuera de rango"&amp;" · ","")&amp;IF(AND(tblAct_ATR[[#This Row],[Tipo (aux)]]="Sub",tblAct_ATR[[#This Row],[Peso (%)]]&lt;&gt;""),"Las subactividades no llevan peso (valen igual dentro de su macroactividad)"&amp;" · ","")&amp;IF(AND(N(tblAct_ATR[[#This Row],[N subactividades (aux)]])&gt;0,COUNT(tblAct_ATR[[#This Row],[Avance Semana 1 (%)]:[Avance Semana 4 (%)]])&gt;0),"Con subactividades: deje vacías las semanas (se calculan solas)"&amp;" · ","")&amp;IF((COUNTIF(tblAct_ATR[[#This Row],[Avance Semana 1 (%)]:[Avance Semana 4 (%)]],"&gt;1")+COUNTIF(tblAct_ATR[[#This Row],[Avance Semana 1 (%)]:[Avance Semana 4 (%)]],"&lt;0")+COUNTA(tblAct_ATR[[#This Row],[Avance Semana 1 (%)]:[Avance Semana 4 (%)]])-COUNT(tblAct_ATR[[#This Row],[Avance Semana 1 (%)]:[Avance Semana 4 (%)]]))&gt;0,"Avance fuera de rango 0-100%"&amp;" · ","")&amp;IF(OR(AND(tblAct_ATR[[#This Row],[Avance Semana 2 (%)]]&lt;&gt;"",tblAct_ATR[[#This Row],[Avance Semana 2 (%)]]&lt;tblAct_ATR[[#This Row],[Avance Semana 1 (%)]]),AND(tblAct_ATR[[#This Row],[Avance Semana 3 (%)]]&lt;&gt;"",tblAct_ATR[[#This Row],[Avance Semana 3 (%)]]&lt;MAX(tblAct_ATR[[#This Row],[Avance Semana 1 (%)]:[Avance Semana 2 (%)]])),AND(tblAct_ATR[[#This Row],[Avance Semana 4 (%)]]&lt;&gt;"",tblAct_ATR[[#This Row],[Avance Semana 4 (%)]]&lt;MAX(tblAct_ATR[[#This Row],[Avance Semana 1 (%)]:[Avance Semana 3 (%)]]))),"Avance semanal decreciente"&amp;" · ","")&amp;IF(AND(ISNUMBER(tblAct_ATR[[#This Row],[Límite efectivo (aux)]]),tblAct_ATR[[#This Row],[Límite efectivo (aux)]]&lt;FechaRef,IF(tblAct_ATR[[#This Row],[Tipo (aux)]]="Sub",N(tblAct_ATR[[#This Row],[Avance propio (aux)]]),N(tblAct_ATR[[#This Row],[% de Avance Total Actual]]))&lt;1),"Vencida"&amp;" · ","")&amp;IF(AND(ObsObligatoria="Sí",ISNUMBER(tblAct_ATR[[#This Row],[Límite efectivo (aux)]]),tblAct_ATR[[#This Row],[Límite efectivo (aux)]]&lt;FechaRef,IF(tblAct_ATR[[#This Row],[Tipo (aux)]]="Sub",N(tblAct_ATR[[#This Row],[Avance propio (aux)]]),N(tblAct_ATR[[#This Row],[% de Avance Total Actual]]))&lt;1,tblAct_ATR[[#This Row],[Observaciones]]=""),"Vencida sin observación"&amp;" · ",""),LEN(IF(tblAct_ATR[[#This Row],[Actividad]]="","Falta el nombre de la actividad"&amp;" · ","")&amp;IF(AND(tblAct_ATR[[#This Row],[Tipo (aux)]]="Sub",N(tblAct_ATR[[#This Row],[Grupo (aux)]])=0),"Subactividad sin macroactividad arriba"&amp;" · ","")&amp;IF(tblAct_ATR[[#This Row],[Inicio efectivo (aux)]]="","Sin fecha de inicio"&amp;" · ","")&amp;IF(tblAct_ATR[[#This Row],[Límite efectivo (aux)]]="","Sin fecha límite"&amp;" · ","")&amp;IF(AND(LEFT(tblAct_ATR[[#This Row],[Actividad]],11)="[Jefatura] ",N(tblAct_ATR[[#This Row],[Fila en Administración (aux)]])=0),"No se encuentra en la hoja de la jefatura (elíjala de nuevo en la lista)"&amp;" · ","")&amp;IF(OR(AND(tblAct_ATR[[#This Row],[Fecha de inicio]]&lt;&gt;"",NOT(ISNUMBER(tblAct_ATR[[#This Row],[Fecha de inicio]]))),AND(tblAct_ATR[[#This Row],[Fecha límite]]&lt;&gt;"",NOT(ISNUMBER(tblAct_ATR[[#This Row],[Fecha límite]]))),AND(tblAct_ATR[[#This Row],[Fecha de cumplimiento]]&lt;&gt;"",NOT(ISNUMBER(tblAct_ATR[[#This Row],[Fecha de cumplimiento]])))),"Fecha no válida"&amp;" · ","")&amp;IF(AND(ISNUMBER(tblAct_ATR[[#This Row],[Inicio efectivo (aux)]]),ISNUMBER(tblAct_ATR[[#This Row],[Límite efectivo (aux)]]),tblAct_ATR[[#This Row],[Inicio efectivo (aux)]]&gt;tblAct_ATR[[#This Row],[Límite efectivo (aux)]]),"Inicio posterior a fecha límite"&amp;" · ","")&amp;IF(AND(tblAct_ATR[[#This Row],[Tipo (aux)]]="Macro",tblAct_ATR[[#This Row],[Peso (%)]]&lt;&gt;"",OR(NOT(ISNUMBER(tblAct_ATR[[#This Row],[Peso (%)]])),tblAct_ATR[[#This Row],[Peso (%)]]&lt;0,tblAct_ATR[[#This Row],[Peso (%)]]&gt;1)),"Peso fuera de rango"&amp;" · ","")&amp;IF(AND(tblAct_ATR[[#This Row],[Tipo (aux)]]="Sub",tblAct_ATR[[#This Row],[Peso (%)]]&lt;&gt;""),"Las subactividades no llevan peso (valen igual dentro de su macroactividad)"&amp;" · ","")&amp;IF(AND(N(tblAct_ATR[[#This Row],[N subactividades (aux)]])&gt;0,COUNT(tblAct_ATR[[#This Row],[Avance Semana 1 (%)]:[Avance Semana 4 (%)]])&gt;0),"Con subactividades: deje vacías las semanas (se calculan solas)"&amp;" · ","")&amp;IF((COUNTIF(tblAct_ATR[[#This Row],[Avance Semana 1 (%)]:[Avance Semana 4 (%)]],"&gt;1")+COUNTIF(tblAct_ATR[[#This Row],[Avance Semana 1 (%)]:[Avance Semana 4 (%)]],"&lt;0")+COUNTA(tblAct_ATR[[#This Row],[Avance Semana 1 (%)]:[Avance Semana 4 (%)]])-COUNT(tblAct_ATR[[#This Row],[Avance Semana 1 (%)]:[Avance Semana 4 (%)]]))&gt;0,"Avance fuera de rango 0-100%"&amp;" · ","")&amp;IF(OR(AND(tblAct_ATR[[#This Row],[Avance Semana 2 (%)]]&lt;&gt;"",tblAct_ATR[[#This Row],[Avance Semana 2 (%)]]&lt;tblAct_ATR[[#This Row],[Avance Semana 1 (%)]]),AND(tblAct_ATR[[#This Row],[Avance Semana 3 (%)]]&lt;&gt;"",tblAct_ATR[[#This Row],[Avance Semana 3 (%)]]&lt;MAX(tblAct_ATR[[#This Row],[Avance Semana 1 (%)]:[Avance Semana 2 (%)]])),AND(tblAct_ATR[[#This Row],[Avance Semana 4 (%)]]&lt;&gt;"",tblAct_ATR[[#This Row],[Avance Semana 4 (%)]]&lt;MAX(tblAct_ATR[[#This Row],[Avance Semana 1 (%)]:[Avance Semana 3 (%)]]))),"Avance semanal decreciente"&amp;" · ","")&amp;IF(AND(ISNUMBER(tblAct_ATR[[#This Row],[Límite efectivo (aux)]]),tblAct_ATR[[#This Row],[Límite efectivo (aux)]]&lt;FechaRef,IF(tblAct_ATR[[#This Row],[Tipo (aux)]]="Sub",N(tblAct_ATR[[#This Row],[Avance propio (aux)]]),N(tblAct_ATR[[#This Row],[% de Avance Total Actual]]))&lt;1),"Vencida"&amp;" · ","")&amp;IF(AND(ObsObligatoria="Sí",ISNUMBER(tblAct_ATR[[#This Row],[Límite efectivo (aux)]]),tblAct_ATR[[#This Row],[Límite efectivo (aux)]]&lt;FechaRef,IF(tblAct_ATR[[#This Row],[Tipo (aux)]]="Sub",N(tblAct_ATR[[#This Row],[Avance propio (aux)]]),N(tblAct_ATR[[#This Row],[% de Avance Total Actual]]))&lt;1,tblAct_ATR[[#This Row],[Observaciones]]=""),"Vencida sin observación"&amp;" · ",""))-3)))</calculatedColumnFormula>
    </tableColumn>
    <tableColumn id="19" name="Mes">
      <calculatedColumnFormula>IF(NOT((COUNTA(tblAct_ATR[[#This Row],[Tipo]:[Delegar a]])+COUNTA(tblAct_ATR[[#This Row],[Fecha de cumplimiento]:[Avance Semana 4 (%)]])+COUNTA(tblAct_ATR[[#This Row],[Observaciones]]))&gt;0),"",IF(AND(tblAct_ATR[[#This Row],[Tipo (aux)]]="Sub",N(tblAct_ATR[[#This Row],[Grupo (aux)]])&gt;0),IF(ISNUMBER(INDEX($AM$5:$AM$1000,tblAct_ATR[[#This Row],[Grupo (aux)]]-4)),DATE(YEAR(INDEX($AM$5:$AM$1000,tblAct_ATR[[#This Row],[Grupo (aux)]]-4)),MONTH(INDEX($AM$5:$AM$1000,tblAct_ATR[[#This Row],[Grupo (aux)]]-4)),1),IF(ISNUMBER(INDEX($AN$5:$AN$1000,tblAct_ATR[[#This Row],[Grupo (aux)]]-4)),DATE(YEAR(INDEX($AN$5:$AN$1000,tblAct_ATR[[#This Row],[Grupo (aux)]]-4)),MONTH(INDEX($AN$5:$AN$1000,tblAct_ATR[[#This Row],[Grupo (aux)]]-4)),1),MesCiclo)),IF(ISNUMBER(tblAct_ATR[[#This Row],[Inicio efectivo (aux)]]),DATE(YEAR(tblAct_ATR[[#This Row],[Inicio efectivo (aux)]]),MONTH(tblAct_ATR[[#This Row],[Inicio efectivo (aux)]]),1),IF(ISNUMBER(tblAct_ATR[[#This Row],[Límite efectivo (aux)]]),DATE(YEAR(tblAct_ATR[[#This Row],[Límite efectivo (aux)]]),MONTH(tblAct_ATR[[#This Row],[Límite efectivo (aux)]]),1),MesCiclo))))</calculatedColumnFormula>
    </tableColumn>
    <tableColumn id="20" name="Orden en el mes (aux)">
      <calculatedColumnFormula>IF(OR(tblAct_ATR[[#This Row],[Mes]]="",tblAct_ATR[[#This Row],[Mes]]&lt;&gt;MesCiclo,tblAct_ATR[[#This Row],[Tipo (aux)]]&lt;&gt;"Macro"),"",COUNTIFS(INDEX(tblAct_ATR[Mes],1):tblAct_ATR[[#This Row],[Mes]],MesCiclo,INDEX(tblAct_ATR[Tipo (aux)],1):tblAct_ATR[[#This Row],[Tipo (aux)]],"Macro"))</calculatedColumnFormula>
    </tableColumn>
    <tableColumn id="21" name="Grupo (aux)">
      <calculatedColumnFormula>IF(tblAct_ATR[[#This Row],[Tipo (aux)]]="","",IF(tblAct_ATR[[#This Row],[Tipo (aux)]]="Macro",ROW(),IFERROR(LOOKUP(2,1/(INDEX(tblAct_ATR[Tipo (aux)],1):tblAct_ATR[[#This Row],[Tipo (aux)]]="Macro"),ROW(INDEX(tblAct_ATR[Tipo (aux)],1):tblAct_ATR[[#This Row],[Tipo (aux)]])),0)))</calculatedColumnFormula>
    </tableColumn>
    <tableColumn id="22" name="Tipo (aux)">
      <calculatedColumnFormula>IF(NOT((COUNTA(tblAct_ATR[[#This Row],[Tipo]:[Delegar a]])+COUNTA(tblAct_ATR[[#This Row],[Fecha de cumplimiento]:[Avance Semana 4 (%)]])+COUNTA(tblAct_ATR[[#This Row],[Observaciones]]))&gt;0),"",IF(tblAct_ATR[[#This Row],[Tipo]]="Subactividad","Sub","Macro"))</calculatedColumnFormula>
    </tableColumn>
    <tableColumn id="23" name="N subactividades (aux)">
      <calculatedColumnFormula>IF(tblAct_ATR[[#This Row],[Tipo (aux)]]="Macro",COUNTIFS($U$5:$U$1000,ROW(),$V$5:$V$1000,"Sub"),"")</calculatedColumnFormula>
    </tableColumn>
    <tableColumn id="24" name="Avance propio (aux)">
      <calculatedColumnFormula>IF(tblAct_ATR[[#This Row],[Tipo (aux)]]="","",IF(ISNUMBER(tblAct_ATR[[#This Row],[Fecha de cumplimiento]]),1,IFERROR(LOOKUP(2,1/(tblAct_ATR[[#This Row],[Avance Semana 1 (%)]:[Avance Semana 4 (%)]]&lt;&gt;""),tblAct_ATR[[#This Row],[Avance Semana 1 (%)]:[Avance Semana 4 (%)]]),0)))</calculatedColumnFormula>
    </tableColumn>
    <tableColumn id="25" name="Propio S1 (aux)">
      <calculatedColumnFormula>IF(tblAct_ATR[[#This Row],[Tipo (aux)]]="","",IF(AND(ISNUMBER(tblAct_ATR[[#This Row],[Fecha de cumplimiento]]),tblAct_ATR[[#This Row],[Fecha de cumplimiento]]&lt;=IF(tblAct_ATR[[#This Row],[Mes]]=MesCiclo,InicioCiclo,tblAct_ATR[[#This Row],[Mes]]+MOD(2-WEEKDAY(tblAct_ATR[[#This Row],[Mes]]),7))+6),1,IF(ISNUMBER(tblAct_ATR[[#This Row],[Avance Semana 1 (%)]]),tblAct_ATR[[#This Row],[Avance Semana 1 (%)]],0)))</calculatedColumnFormula>
    </tableColumn>
    <tableColumn id="26" name="Propio S2 (aux)">
      <calculatedColumnFormula>IF(tblAct_ATR[[#This Row],[Tipo (aux)]]="","",IF(AND(ISNUMBER(tblAct_ATR[[#This Row],[Fecha de cumplimiento]]),tblAct_ATR[[#This Row],[Fecha de cumplimiento]]&lt;=IF(tblAct_ATR[[#This Row],[Mes]]=MesCiclo,InicioCiclo,tblAct_ATR[[#This Row],[Mes]]+MOD(2-WEEKDAY(tblAct_ATR[[#This Row],[Mes]]),7))+13),1,IF(ISNUMBER(tblAct_ATR[[#This Row],[Avance Semana 2 (%)]]),tblAct_ATR[[#This Row],[Avance Semana 2 (%)]],tblAct_ATR[[#This Row],[Propio S1 (aux)]])))</calculatedColumnFormula>
    </tableColumn>
    <tableColumn id="27" name="Propio S3 (aux)">
      <calculatedColumnFormula>IF(tblAct_ATR[[#This Row],[Tipo (aux)]]="","",IF(AND(ISNUMBER(tblAct_ATR[[#This Row],[Fecha de cumplimiento]]),tblAct_ATR[[#This Row],[Fecha de cumplimiento]]&lt;=IF(tblAct_ATR[[#This Row],[Mes]]=MesCiclo,InicioCiclo,tblAct_ATR[[#This Row],[Mes]]+MOD(2-WEEKDAY(tblAct_ATR[[#This Row],[Mes]]),7))+20),1,IF(ISNUMBER(tblAct_ATR[[#This Row],[Avance Semana 3 (%)]]),tblAct_ATR[[#This Row],[Avance Semana 3 (%)]],tblAct_ATR[[#This Row],[Propio S2 (aux)]])))</calculatedColumnFormula>
    </tableColumn>
    <tableColumn id="28" name="Propio S4 (aux)">
      <calculatedColumnFormula>IF(tblAct_ATR[[#This Row],[Tipo (aux)]]="","",IF(AND(ISNUMBER(tblAct_ATR[[#This Row],[Fecha de cumplimiento]]),tblAct_ATR[[#This Row],[Fecha de cumplimiento]]&lt;=IF(tblAct_ATR[[#This Row],[Mes]]=MesCiclo,InicioCiclo,tblAct_ATR[[#This Row],[Mes]]+MOD(2-WEEKDAY(tblAct_ATR[[#This Row],[Mes]]),7))+27),1,IF(ISNUMBER(tblAct_ATR[[#This Row],[Avance Semana 4 (%)]]),tblAct_ATR[[#This Row],[Avance Semana 4 (%)]],tblAct_ATR[[#This Row],[Propio S3 (aux)]])))</calculatedColumnFormula>
    </tableColumn>
    <tableColumn id="29" name="Efectivo S1 (aux)">
      <calculatedColumnFormula>IF(tblAct_ATR[[#This Row],[Tipo (aux)]]="","",IF(AND(ISNUMBER(tblAct_ATR[[#This Row],[Fecha de cumplimiento]]),tblAct_ATR[[#This Row],[Fecha de cumplimiento]]&lt;=IF(tblAct_ATR[[#This Row],[Mes]]=MesCiclo,InicioCiclo,tblAct_ATR[[#This Row],[Mes]]+MOD(2-WEEKDAY(tblAct_ATR[[#This Row],[Mes]]),7))+6),1,IF(N(tblAct_ATR[[#This Row],[N subactividades (aux)]])&gt;0,AVERAGEIFS($Y$5:$Y$1000,$U$5:$U$1000,ROW(),$V$5:$V$1000,"Sub"),tblAct_ATR[[#This Row],[Propio S1 (aux)]])))</calculatedColumnFormula>
    </tableColumn>
    <tableColumn id="30" name="Efectivo S2 (aux)">
      <calculatedColumnFormula>IF(tblAct_ATR[[#This Row],[Tipo (aux)]]="","",IF(AND(ISNUMBER(tblAct_ATR[[#This Row],[Fecha de cumplimiento]]),tblAct_ATR[[#This Row],[Fecha de cumplimiento]]&lt;=IF(tblAct_ATR[[#This Row],[Mes]]=MesCiclo,InicioCiclo,tblAct_ATR[[#This Row],[Mes]]+MOD(2-WEEKDAY(tblAct_ATR[[#This Row],[Mes]]),7))+13),1,IF(N(tblAct_ATR[[#This Row],[N subactividades (aux)]])&gt;0,AVERAGEIFS($Z$5:$Z$1000,$U$5:$U$1000,ROW(),$V$5:$V$1000,"Sub"),tblAct_ATR[[#This Row],[Propio S2 (aux)]])))</calculatedColumnFormula>
    </tableColumn>
    <tableColumn id="31" name="Efectivo S3 (aux)">
      <calculatedColumnFormula>IF(tblAct_ATR[[#This Row],[Tipo (aux)]]="","",IF(AND(ISNUMBER(tblAct_ATR[[#This Row],[Fecha de cumplimiento]]),tblAct_ATR[[#This Row],[Fecha de cumplimiento]]&lt;=IF(tblAct_ATR[[#This Row],[Mes]]=MesCiclo,InicioCiclo,tblAct_ATR[[#This Row],[Mes]]+MOD(2-WEEKDAY(tblAct_ATR[[#This Row],[Mes]]),7))+20),1,IF(N(tblAct_ATR[[#This Row],[N subactividades (aux)]])&gt;0,AVERAGEIFS($AA$5:$AA$1000,$U$5:$U$1000,ROW(),$V$5:$V$1000,"Sub"),tblAct_ATR[[#This Row],[Propio S3 (aux)]])))</calculatedColumnFormula>
    </tableColumn>
    <tableColumn id="32" name="Efectivo S4 (aux)">
      <calculatedColumnFormula>IF(tblAct_ATR[[#This Row],[Tipo (aux)]]="","",IF(AND(ISNUMBER(tblAct_ATR[[#This Row],[Fecha de cumplimiento]]),tblAct_ATR[[#This Row],[Fecha de cumplimiento]]&lt;=IF(tblAct_ATR[[#This Row],[Mes]]=MesCiclo,InicioCiclo,tblAct_ATR[[#This Row],[Mes]]+MOD(2-WEEKDAY(tblAct_ATR[[#This Row],[Mes]]),7))+27),1,IF(N(tblAct_ATR[[#This Row],[N subactividades (aux)]])&gt;0,AVERAGEIFS($AB$5:$AB$1000,$U$5:$U$1000,ROW(),$V$5:$V$1000,"Sub"),tblAct_ATR[[#This Row],[Propio S4 (aux)]])))</calculatedColumnFormula>
    </tableColumn>
    <tableColumn id="33" name="Peso efectivo (aux)">
      <calculatedColumnFormula>IF(tblAct_ATR[[#This Row],[Tipo (aux)]]&lt;&gt;"Macro","",IF(COUNTIFS($S$5:$S$1000,tblAct_ATR[[#This Row],[Mes]],$V$5:$V$1000,"Macro",$H$5:$H$1000,"&gt;0")=0,1/COUNTIFS($S$5:$S$1000,tblAct_ATR[[#This Row],[Mes]],$V$5:$V$1000,"Macro"),IF(AND(ISNUMBER(tblAct_ATR[[#This Row],[Peso (%)]]),N(tblAct_ATR[[#This Row],[Peso (%)]])&gt;0),tblAct_ATR[[#This Row],[Peso (%)]],SUMIFS($H$5:$H$1000,$S$5:$S$1000,tblAct_ATR[[#This Row],[Mes]],$V$5:$V$1000,"Macro")/COUNTIFS($S$5:$S$1000,tblAct_ATR[[#This Row],[Mes]],$V$5:$V$1000,"Macro",$H$5:$H$1000,"&gt;0"))/(COUNTIFS($S$5:$S$1000,tblAct_ATR[[#This Row],[Mes]],$V$5:$V$1000,"Macro")*SUMIFS($H$5:$H$1000,$S$5:$S$1000,tblAct_ATR[[#This Row],[Mes]],$V$5:$V$1000,"Macro")/COUNTIFS($S$5:$S$1000,tblAct_ATR[[#This Row],[Mes]],$V$5:$V$1000,"Macro",$H$5:$H$1000,"&gt;0"))))</calculatedColumnFormula>
    </tableColumn>
    <tableColumn id="34" name="Fila en el puesto (aux)"/>
    <tableColumn id="35" name="N° delegada en el mes (aux)"/>
    <tableColumn id="36" name="Clave delegada (aux)"/>
    <tableColumn id="37" name="Clave puesto-actividad (aux)"/>
    <tableColumn id="38" name="Fila en Administración (aux)">
      <calculatedColumnFormula>IF(LEFT(tblAct_ATR[[#This Row],[Actividad]],11)="[Jefatura] ",IFERROR(MATCH("Asistente Técnico de Riesgo|"&amp;MID(tblAct_ATR[[#This Row],[Actividad]],12,500),rDname_ADM,0),0),"")</calculatedColumnFormula>
    </tableColumn>
    <tableColumn id="39" name="Inicio efectivo (aux)">
      <calculatedColumnFormula>IF(N(tblAct_ATR[[#This Row],[Fila en Administración (aux)]])&gt;0,INDEX(rIni_ADM,tblAct_ATR[[#This Row],[Fila en Administración (aux)]]),IF(ISNUMBER(tblAct_ATR[[#This Row],[Fecha de inicio]]),tblAct_ATR[[#This Row],[Fecha de inicio]],""))</calculatedColumnFormula>
    </tableColumn>
    <tableColumn id="40" name="Límite efectivo (aux)">
      <calculatedColumnFormula>IF(N(tblAct_ATR[[#This Row],[Fila en Administración (aux)]])&gt;0,INDEX(rLim_ADM,tblAct_ATR[[#This Row],[Fila en Administración (aux)]]),IF(ISNUMBER(tblAct_ATR[[#This Row],[Fecha límite]]),tblAct_ATR[[#This Row],[Fecha límite]],""))</calculatedColumnFormula>
    </tableColumn>
  </tableColumns>
  <tableStyleInfo name="TableStyleLight1" showRowStripes="0"/>
</table>
</file>

<file path=xl/tables/table9.xml><?xml version="1.0" encoding="utf-8"?>
<table xmlns="http://schemas.openxmlformats.org/spreadsheetml/2006/main" id="9" name="tblSem_ATR" displayName="tblSem_ATR" ref="A4:M104" headerRowCount="1">
  <autoFilter ref="A4:M104"/>
  <tableColumns count="13">
    <tableColumn id="1" name="N°"/>
    <tableColumn id="2" name="Actividad"/>
    <tableColumn id="3" name="Fecha de inicio"/>
    <tableColumn id="4" name="Fecha límite"/>
    <tableColumn id="5" name="Semana de entrega"/>
    <tableColumn id="6" name="Semana 1"/>
    <tableColumn id="7" name="Semana 2"/>
    <tableColumn id="8" name="Semana 3"/>
    <tableColumn id="9" name="Semana 4"/>
    <tableColumn id="10" name="% Avance actual"/>
    <tableColumn id="11" name="Estado"/>
    <tableColumn id="12" name="Alerta de plazo"/>
    <tableColumn id="13" name="Observaciones"/>
  </tableColumns>
  <tableStyleInfo name="TableStyleLight1" showRow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Cronograma R. Operacional'!A1" TargetMode="External" Id="rId1"/><Relationship Type="http://schemas.openxmlformats.org/officeDocument/2006/relationships/hyperlink" Target="#'Cronograma R. Normativo'!A1" TargetMode="External" Id="rId2"/><Relationship Type="http://schemas.openxmlformats.org/officeDocument/2006/relationships/hyperlink" Target="#'Cronograma R. Financiero'!A1" TargetMode="External" Id="rId3"/><Relationship Type="http://schemas.openxmlformats.org/officeDocument/2006/relationships/hyperlink" Target="#'Cronograma Asistente T&#233;cnico'!A1" TargetMode="External" Id="rId4"/><Relationship Type="http://schemas.openxmlformats.org/officeDocument/2006/relationships/hyperlink" Target="#'Actividades R. Operacional'!A1" TargetMode="External" Id="rId5"/><Relationship Type="http://schemas.openxmlformats.org/officeDocument/2006/relationships/hyperlink" Target="#'Actividades R. Normativo'!A1" TargetMode="External" Id="rId6"/><Relationship Type="http://schemas.openxmlformats.org/officeDocument/2006/relationships/hyperlink" Target="#'Actividades R. Financiero'!A1" TargetMode="External" Id="rId7"/><Relationship Type="http://schemas.openxmlformats.org/officeDocument/2006/relationships/hyperlink" Target="#'Actividades Asistente T&#233;cnico'!A1" TargetMode="External" Id="rId8"/><Relationship Type="http://schemas.openxmlformats.org/officeDocument/2006/relationships/hyperlink" Target="#'Administraci&#243;n'!A1" TargetMode="External" Id="rId9"/><Relationship Type="http://schemas.openxmlformats.org/officeDocument/2006/relationships/drawing" Target="/xl/drawings/drawing1.xml" Id="rId10"/></Relationships>
</file>

<file path=xl/worksheets/_rels/sheet2.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drawing" Target="/xl/drawings/drawing2.xml" Id="rId1"/></Relationships>
</file>

<file path=xl/worksheets/_rels/sheet4.xml.rels><Relationships xmlns="http://schemas.openxmlformats.org/package/2006/relationships"><Relationship Type="http://schemas.openxmlformats.org/officeDocument/2006/relationships/table" Target="/xl/tables/table2.xml" Id="rId1"/></Relationships>
</file>

<file path=xl/worksheets/_rels/sheet5.xml.rels><Relationships xmlns="http://schemas.openxmlformats.org/package/2006/relationships"><Relationship Type="http://schemas.openxmlformats.org/officeDocument/2006/relationships/table" Target="/xl/tables/table3.xml" Id="rId1"/></Relationships>
</file>

<file path=xl/worksheets/_rels/sheet6.xml.rels><Relationships xmlns="http://schemas.openxmlformats.org/package/2006/relationships"><Relationship Type="http://schemas.openxmlformats.org/officeDocument/2006/relationships/table" Target="/xl/tables/table4.xml" Id="rId1"/></Relationships>
</file>

<file path=xl/worksheets/_rels/sheet7.xml.rels><Relationships xmlns="http://schemas.openxmlformats.org/package/2006/relationships"><Relationship Type="http://schemas.openxmlformats.org/officeDocument/2006/relationships/table" Target="/xl/tables/table5.xml" Id="rId1"/></Relationships>
</file>

<file path=xl/worksheets/_rels/sheet8.xml.rels><Relationships xmlns="http://schemas.openxmlformats.org/package/2006/relationships"><Relationship Type="http://schemas.openxmlformats.org/officeDocument/2006/relationships/table" Target="/xl/tables/table6.xml" Id="rId1"/></Relationships>
</file>

<file path=xl/worksheets/_rels/sheet9.xml.rels><Relationships xmlns="http://schemas.openxmlformats.org/package/2006/relationships"><Relationship Type="http://schemas.openxmlformats.org/officeDocument/2006/relationships/table" Target="/xl/tables/table7.xml" Id="rId1"/></Relationships>
</file>

<file path=xl/worksheets/_rels/sheet10.xml.rels><Relationships xmlns="http://schemas.openxmlformats.org/package/2006/relationships"><Relationship Type="http://schemas.openxmlformats.org/officeDocument/2006/relationships/table" Target="/xl/tables/table8.xml" Id="rId1"/></Relationships>
</file>

<file path=xl/worksheets/_rels/sheet11.xml.rels><Relationships xmlns="http://schemas.openxmlformats.org/package/2006/relationships"><Relationship Type="http://schemas.openxmlformats.org/officeDocument/2006/relationships/table" Target="/xl/tables/table9.xml" Id="rId1"/></Relationships>
</file>

<file path=xl/worksheets/sheet1.xml><?xml version="1.0" encoding="utf-8"?>
<worksheet xmlns="http://schemas.openxmlformats.org/spreadsheetml/2006/main">
  <sheetPr>
    <outlinePr summaryBelow="1" summaryRight="1"/>
    <pageSetUpPr fitToPage="1"/>
  </sheetPr>
  <dimension ref="B1:P90"/>
  <sheetViews>
    <sheetView showGridLines="0" zoomScale="90" workbookViewId="0">
      <pane ySplit="2" topLeftCell="A3" activePane="bottomLeft" state="frozen"/>
      <selection pane="bottomLeft" activeCell="A1" sqref="A1"/>
    </sheetView>
  </sheetViews>
  <sheetFormatPr baseColWidth="8" defaultRowHeight="15"/>
  <cols>
    <col width="2" customWidth="1" min="1" max="1"/>
    <col width="30" customWidth="1" min="2" max="2"/>
    <col width="18" customWidth="1" min="3" max="3"/>
    <col width="16" customWidth="1" min="4" max="4"/>
    <col width="13" customWidth="1" min="5" max="5"/>
    <col width="13" customWidth="1" min="6" max="6"/>
    <col width="13" customWidth="1" min="7" max="7"/>
    <col width="13" customWidth="1" min="8" max="8"/>
    <col width="13" customWidth="1" min="9" max="9"/>
    <col width="13" customWidth="1" min="10" max="10"/>
    <col width="22" customWidth="1" min="11" max="11"/>
    <col width="20" customWidth="1" min="12" max="12"/>
    <col width="24" customWidth="1" min="13" max="13"/>
    <col width="2" customWidth="1" min="14" max="14"/>
    <col hidden="1" width="13" customWidth="1" min="16" max="16"/>
  </cols>
  <sheetData>
    <row r="1" ht="34" customHeight="1">
      <c r="B1" s="1" t="inlineStr">
        <is>
          <t>Dashboard Consolidado – Gestión de Riesgos · Ciclo mensual de 4 semanas</t>
        </is>
      </c>
      <c r="C1" s="1" t="n"/>
      <c r="D1" s="1" t="n"/>
      <c r="E1" s="1" t="n"/>
      <c r="F1" s="1" t="n"/>
      <c r="G1" s="1" t="n"/>
      <c r="H1" s="1" t="n"/>
      <c r="I1" s="1" t="n"/>
      <c r="J1" s="1" t="n"/>
      <c r="K1" s="1" t="n"/>
      <c r="L1" s="1" t="n"/>
      <c r="M1" s="1" t="n"/>
    </row>
    <row r="2" ht="22" customHeight="1">
      <c r="B2" s="2" t="inlineStr">
        <is>
          <t>Período:</t>
        </is>
      </c>
      <c r="C2" s="3">
        <f>MesCiclo</f>
        <v/>
      </c>
      <c r="D2" s="2" t="inlineStr">
        <is>
          <t>Semana actual:</t>
        </is>
      </c>
      <c r="E2" s="4">
        <f>SemanaActual</f>
        <v/>
      </c>
      <c r="F2" s="2" t="inlineStr">
        <is>
          <t>Fecha de corte:</t>
        </is>
      </c>
      <c r="G2" s="5">
        <f>FechaRef</f>
        <v/>
      </c>
      <c r="H2" s="6" t="inlineStr">
        <is>
          <t>Se actualiza solo con las hojas «Cronograma …» y «Actividades …» de cada puesto. El período y la semana se calculan con la fecha de hoy (ver Configuración).</t>
        </is>
      </c>
      <c r="I2" s="6" t="n"/>
      <c r="J2" s="6" t="n"/>
      <c r="K2" s="6" t="n"/>
      <c r="L2" s="6" t="n"/>
      <c r="M2" s="6" t="n"/>
    </row>
    <row r="4" ht="20" customHeight="1">
      <c r="B4" s="7" t="inlineStr">
        <is>
          <t>Avance general de las actividades</t>
        </is>
      </c>
      <c r="C4" s="7" t="n"/>
      <c r="D4" s="7" t="n"/>
      <c r="E4" s="7" t="inlineStr">
        <is>
          <t>Meta de cumplimiento</t>
        </is>
      </c>
      <c r="F4" s="7" t="n"/>
      <c r="G4" s="7" t="n"/>
      <c r="H4" s="7" t="inlineStr">
        <is>
          <t>Macroactividades registradas</t>
        </is>
      </c>
      <c r="I4" s="7" t="n"/>
      <c r="J4" s="7" t="n"/>
      <c r="K4" s="7" t="inlineStr">
        <is>
          <t>Actividades completadas</t>
        </is>
      </c>
      <c r="L4" s="7" t="n"/>
      <c r="M4" s="7" t="n"/>
    </row>
    <row r="5" ht="38" customHeight="1">
      <c r="B5" s="8">
        <f>IF('Calculos'!$E$8,'Calculos'!$F$8,"No definitivo")</f>
        <v/>
      </c>
      <c r="C5" s="9" t="n"/>
      <c r="D5" s="9" t="n"/>
      <c r="E5" s="8">
        <f>MetaFinal</f>
        <v/>
      </c>
      <c r="F5" s="9" t="n"/>
      <c r="G5" s="9" t="n"/>
      <c r="H5" s="10">
        <f>'Calculos'!$B$11</f>
        <v/>
      </c>
      <c r="I5" s="9" t="n"/>
      <c r="J5" s="9" t="n"/>
      <c r="K5" s="10">
        <f>'Calculos'!$N$8</f>
        <v/>
      </c>
      <c r="L5" s="9" t="n"/>
      <c r="M5" s="9" t="n"/>
    </row>
    <row r="6" ht="18" customHeight="1">
      <c r="B6" s="11">
        <f>IF('Calculos'!$E$8,"Promedio simple de los 4 puestos",IF('Calculos'!$C$8=0,"Ningún puesto con datos válidos","Provisional "&amp;TEXT('Calculos'!$D$8,"0%")&amp;" ("&amp;'Calculos'!$C$8&amp;" de 4 puestos válidos)"))</f>
        <v/>
      </c>
      <c r="C6" s="11" t="n"/>
      <c r="D6" s="11" t="n"/>
      <c r="E6" s="11" t="inlineStr">
        <is>
          <t>Al cierre de la Semana 4</t>
        </is>
      </c>
      <c r="F6" s="11" t="n"/>
      <c r="G6" s="11" t="n"/>
      <c r="H6" s="11">
        <f>"En los 4 cronogramas · "&amp;'Calculos'!$U$8&amp;" delegada(s) por la jefatura"</f>
        <v/>
      </c>
      <c r="I6" s="11" t="n"/>
      <c r="J6" s="11" t="n"/>
      <c r="K6" s="11">
        <f>IF('Calculos'!$B$11=0,"—",TEXT('Calculos'!$N$8/'Calculos'!$B$11,"0%")&amp;" del total")</f>
        <v/>
      </c>
      <c r="L6" s="11" t="n"/>
      <c r="M6" s="11" t="n"/>
    </row>
    <row r="7" ht="8" customHeight="1"/>
    <row r="8" ht="20" customHeight="1">
      <c r="B8" s="7" t="inlineStr">
        <is>
          <t>Actividades en curso</t>
        </is>
      </c>
      <c r="C8" s="7" t="n"/>
      <c r="D8" s="7" t="n"/>
      <c r="E8" s="7" t="inlineStr">
        <is>
          <t>Actividades pendientes</t>
        </is>
      </c>
      <c r="F8" s="7" t="n"/>
      <c r="G8" s="7" t="n"/>
      <c r="H8" s="7" t="inlineStr">
        <is>
          <t>Puestos que alcanzaron el 100%</t>
        </is>
      </c>
      <c r="I8" s="7" t="n"/>
      <c r="J8" s="7" t="n"/>
      <c r="K8" s="7" t="inlineStr">
        <is>
          <t>Actividades con alertas</t>
        </is>
      </c>
      <c r="L8" s="7" t="n"/>
      <c r="M8" s="7" t="n"/>
    </row>
    <row r="9" ht="38" customHeight="1">
      <c r="B9" s="10">
        <f>'Calculos'!$O$8</f>
        <v/>
      </c>
      <c r="C9" s="9" t="n"/>
      <c r="D9" s="9" t="n"/>
      <c r="E9" s="10">
        <f>'Calculos'!$P$8</f>
        <v/>
      </c>
      <c r="F9" s="9" t="n"/>
      <c r="G9" s="9" t="n"/>
      <c r="H9" s="12">
        <f>'Calculos'!$B$12</f>
        <v/>
      </c>
      <c r="I9" s="9" t="n"/>
      <c r="J9" s="9" t="n"/>
      <c r="K9" s="10">
        <f>'Calculos'!$R$8</f>
        <v/>
      </c>
      <c r="L9" s="9" t="n"/>
      <c r="M9" s="9" t="n"/>
    </row>
    <row r="10" ht="18" customHeight="1">
      <c r="B10" s="11" t="inlineStr">
        <is>
          <t>Avance &gt; 0% y &lt; 100%</t>
        </is>
      </c>
      <c r="C10" s="11" t="n"/>
      <c r="D10" s="11" t="n"/>
      <c r="E10" s="11">
        <f>"De todas las actividades, vencidas: "&amp;'Calculos'!$Q$8</f>
        <v/>
      </c>
      <c r="F10" s="11" t="n"/>
      <c r="G10" s="11" t="n"/>
      <c r="H10" s="11" t="inlineStr">
        <is>
          <t>Con ponderación válida</t>
        </is>
      </c>
      <c r="I10" s="11" t="n"/>
      <c r="J10" s="11" t="n"/>
      <c r="K10" s="11">
        <f>"Próximas a vencer: "&amp;'Calculos'!$B$13</f>
        <v/>
      </c>
      <c r="L10" s="11" t="n"/>
      <c r="M10" s="11" t="n"/>
    </row>
    <row r="12" ht="30" customHeight="1">
      <c r="B12" s="13">
        <f>IF('Calculos'!$E$8,"Avance general vs meta 100%","Avance PROVISIONAL vs meta")</f>
        <v/>
      </c>
      <c r="C12" s="14">
        <f>IF('Calculos'!$E$8,'Calculos'!$F$8,N('Calculos'!$D$8))</f>
        <v/>
      </c>
      <c r="D12" s="15" t="n"/>
      <c r="E12" s="15" t="n"/>
      <c r="F12" s="15" t="n"/>
      <c r="G12" s="16">
        <f>IF('Calculos'!$B$11=0,"⚠ No hay actividades registradas en este mes. Cada puesto registra sus actividades y pesos en su hoja «Cronograma …».",IF(NOT('Calculos'!$E$8),"⚠ Avance general NO definitivo: "&amp;(4-'Calculos'!$C$8)&amp;" puesto(s) sin actividades válidas o con pesos que no suman 100%.",IF('Calculos'!$M$8,"Actividades del mes: ¡Enhorabuena, completado anticipadamente!",IF('Calculos'!$L$8,"Actividades del mes completadas: meta del 100% alcanzada.","Actividades del mes en ejecución – Semana "&amp;SemanaActual&amp;" de 4."))))</f>
        <v/>
      </c>
      <c r="H12" s="16" t="n"/>
      <c r="I12" s="16" t="n"/>
      <c r="J12" s="16" t="n"/>
      <c r="K12" s="16" t="n"/>
      <c r="L12" s="16" t="n"/>
      <c r="M12" s="16" t="n"/>
    </row>
    <row r="14" ht="24" customHeight="1">
      <c r="B14" s="17" t="inlineStr">
        <is>
          <t>Avance individual por puesto (ponderado por el peso de cada actividad)</t>
        </is>
      </c>
      <c r="C14" s="17" t="n"/>
      <c r="D14" s="17" t="n"/>
      <c r="E14" s="17" t="n"/>
      <c r="F14" s="17" t="n"/>
      <c r="G14" s="17" t="n"/>
      <c r="H14" s="17" t="n"/>
      <c r="I14" s="17" t="n"/>
      <c r="J14" s="17" t="n"/>
      <c r="K14" s="17" t="n"/>
      <c r="L14" s="17" t="n"/>
      <c r="M14" s="17" t="n"/>
    </row>
    <row r="15" ht="30" customHeight="1">
      <c r="B15" s="7" t="inlineStr">
        <is>
          <t>Puesto</t>
        </is>
      </c>
      <c r="C15" s="7" t="inlineStr">
        <is>
          <t>Avance ponderado</t>
        </is>
      </c>
      <c r="D15" s="7" t="inlineStr">
        <is>
          <t>Progreso</t>
        </is>
      </c>
      <c r="E15" s="7" t="inlineStr">
        <is>
          <t>Total actividades</t>
        </is>
      </c>
      <c r="F15" s="7" t="inlineStr">
        <is>
          <t>Completadas</t>
        </is>
      </c>
      <c r="G15" s="7" t="inlineStr">
        <is>
          <t>En curso</t>
        </is>
      </c>
      <c r="H15" s="7" t="inlineStr">
        <is>
          <t>Pendientes</t>
        </is>
      </c>
      <c r="I15" s="7" t="inlineStr">
        <is>
          <t>Vencidas</t>
        </is>
      </c>
      <c r="J15" s="7" t="inlineStr">
        <is>
          <t>Con alertas</t>
        </is>
      </c>
      <c r="K15" s="7" t="inlineStr">
        <is>
          <t>Estado general</t>
        </is>
      </c>
      <c r="L15" s="7" t="inlineStr">
        <is>
          <t>Mensaje de finalización</t>
        </is>
      </c>
      <c r="M15" s="18" t="n"/>
    </row>
    <row r="16" ht="28" customHeight="1">
      <c r="B16" s="19">
        <f>'Calculos'!A4</f>
        <v/>
      </c>
      <c r="C16" s="20">
        <f>IF('Calculos'!B4=0,"Sin actividades",IF(NOT('Calculos'!E4),"Revisar pesos",'Calculos'!F4))</f>
        <v/>
      </c>
      <c r="D16" s="21">
        <f>IF(ISNUMBER(C16),C16,0)</f>
        <v/>
      </c>
      <c r="E16" s="22">
        <f>'Calculos'!B4</f>
        <v/>
      </c>
      <c r="F16" s="22">
        <f>'Calculos'!N4</f>
        <v/>
      </c>
      <c r="G16" s="22">
        <f>'Calculos'!O4</f>
        <v/>
      </c>
      <c r="H16" s="22">
        <f>'Calculos'!P4</f>
        <v/>
      </c>
      <c r="I16" s="22">
        <f>'Calculos'!Q4</f>
        <v/>
      </c>
      <c r="J16" s="22">
        <f>'Calculos'!R4</f>
        <v/>
      </c>
      <c r="K16" s="22">
        <f>IF('Calculos'!B4=0,"Sin actividades",IF(NOT('Calculos'!E4),"Pesos no válidos",IF('Calculos'!L4,"Completado",IF('Calculos'!F4&gt;0,"En curso","Pendiente"))))</f>
        <v/>
      </c>
      <c r="L16" s="22">
        <f>IF('Calculos'!B4=0,"⚠ Registrar actividades",IF(NOT('Calculos'!E4),"⚠ Corregir pesos no válidos",IF('Calculos'!M4,"¡Enhorabuena, completado anticipadamente!",IF('Calculos'!L4,"Completado","En ejecución"))))</f>
        <v/>
      </c>
      <c r="M16" s="22" t="n"/>
      <c r="P16" t="inlineStr">
        <is>
          <t>R. Operacional</t>
        </is>
      </c>
    </row>
    <row r="17" ht="28" customHeight="1">
      <c r="B17" s="23">
        <f>'Calculos'!A5</f>
        <v/>
      </c>
      <c r="C17" s="20">
        <f>IF('Calculos'!B5=0,"Sin actividades",IF(NOT('Calculos'!E5),"Revisar pesos",'Calculos'!F5))</f>
        <v/>
      </c>
      <c r="D17" s="21">
        <f>IF(ISNUMBER(C17),C17,0)</f>
        <v/>
      </c>
      <c r="E17" s="22">
        <f>'Calculos'!B5</f>
        <v/>
      </c>
      <c r="F17" s="22">
        <f>'Calculos'!N5</f>
        <v/>
      </c>
      <c r="G17" s="22">
        <f>'Calculos'!O5</f>
        <v/>
      </c>
      <c r="H17" s="22">
        <f>'Calculos'!P5</f>
        <v/>
      </c>
      <c r="I17" s="22">
        <f>'Calculos'!Q5</f>
        <v/>
      </c>
      <c r="J17" s="22">
        <f>'Calculos'!R5</f>
        <v/>
      </c>
      <c r="K17" s="22">
        <f>IF('Calculos'!B5=0,"Sin actividades",IF(NOT('Calculos'!E5),"Pesos no válidos",IF('Calculos'!L5,"Completado",IF('Calculos'!F5&gt;0,"En curso","Pendiente"))))</f>
        <v/>
      </c>
      <c r="L17" s="22">
        <f>IF('Calculos'!B5=0,"⚠ Registrar actividades",IF(NOT('Calculos'!E5),"⚠ Corregir pesos no válidos",IF('Calculos'!M5,"¡Enhorabuena, completado anticipadamente!",IF('Calculos'!L5,"Completado","En ejecución"))))</f>
        <v/>
      </c>
      <c r="M17" s="22" t="n"/>
      <c r="P17" t="inlineStr">
        <is>
          <t>R. Normativo</t>
        </is>
      </c>
    </row>
    <row r="18" ht="28" customHeight="1">
      <c r="B18" s="24">
        <f>'Calculos'!A6</f>
        <v/>
      </c>
      <c r="C18" s="20">
        <f>IF('Calculos'!B6=0,"Sin actividades",IF(NOT('Calculos'!E6),"Revisar pesos",'Calculos'!F6))</f>
        <v/>
      </c>
      <c r="D18" s="21">
        <f>IF(ISNUMBER(C18),C18,0)</f>
        <v/>
      </c>
      <c r="E18" s="22">
        <f>'Calculos'!B6</f>
        <v/>
      </c>
      <c r="F18" s="22">
        <f>'Calculos'!N6</f>
        <v/>
      </c>
      <c r="G18" s="22">
        <f>'Calculos'!O6</f>
        <v/>
      </c>
      <c r="H18" s="22">
        <f>'Calculos'!P6</f>
        <v/>
      </c>
      <c r="I18" s="22">
        <f>'Calculos'!Q6</f>
        <v/>
      </c>
      <c r="J18" s="22">
        <f>'Calculos'!R6</f>
        <v/>
      </c>
      <c r="K18" s="22">
        <f>IF('Calculos'!B6=0,"Sin actividades",IF(NOT('Calculos'!E6),"Pesos no válidos",IF('Calculos'!L6,"Completado",IF('Calculos'!F6&gt;0,"En curso","Pendiente"))))</f>
        <v/>
      </c>
      <c r="L18" s="22">
        <f>IF('Calculos'!B6=0,"⚠ Registrar actividades",IF(NOT('Calculos'!E6),"⚠ Corregir pesos no válidos",IF('Calculos'!M6,"¡Enhorabuena, completado anticipadamente!",IF('Calculos'!L6,"Completado","En ejecución"))))</f>
        <v/>
      </c>
      <c r="M18" s="22" t="n"/>
      <c r="P18" t="inlineStr">
        <is>
          <t>R. Financiero</t>
        </is>
      </c>
    </row>
    <row r="19" ht="28" customHeight="1">
      <c r="B19" s="25">
        <f>'Calculos'!A7</f>
        <v/>
      </c>
      <c r="C19" s="20">
        <f>IF('Calculos'!B7=0,"Sin actividades",IF(NOT('Calculos'!E7),"Revisar pesos",'Calculos'!F7))</f>
        <v/>
      </c>
      <c r="D19" s="21">
        <f>IF(ISNUMBER(C19),C19,0)</f>
        <v/>
      </c>
      <c r="E19" s="22">
        <f>'Calculos'!B7</f>
        <v/>
      </c>
      <c r="F19" s="22">
        <f>'Calculos'!N7</f>
        <v/>
      </c>
      <c r="G19" s="22">
        <f>'Calculos'!O7</f>
        <v/>
      </c>
      <c r="H19" s="22">
        <f>'Calculos'!P7</f>
        <v/>
      </c>
      <c r="I19" s="22">
        <f>'Calculos'!Q7</f>
        <v/>
      </c>
      <c r="J19" s="22">
        <f>'Calculos'!R7</f>
        <v/>
      </c>
      <c r="K19" s="22">
        <f>IF('Calculos'!B7=0,"Sin actividades",IF(NOT('Calculos'!E7),"Pesos no válidos",IF('Calculos'!L7,"Completado",IF('Calculos'!F7&gt;0,"En curso","Pendiente"))))</f>
        <v/>
      </c>
      <c r="L19" s="22">
        <f>IF('Calculos'!B7=0,"⚠ Registrar actividades",IF(NOT('Calculos'!E7),"⚠ Corregir pesos no válidos",IF('Calculos'!M7,"¡Enhorabuena, completado anticipadamente!",IF('Calculos'!L7,"Completado","En ejecución"))))</f>
        <v/>
      </c>
      <c r="M19" s="22" t="n"/>
      <c r="P19" t="inlineStr">
        <is>
          <t>Asistente Técnico</t>
        </is>
      </c>
    </row>
    <row r="20" ht="28" customHeight="1">
      <c r="B20" s="26" t="inlineStr">
        <is>
          <t>Total actividades</t>
        </is>
      </c>
      <c r="C20" s="27">
        <f>IF('Calculos'!$E$8,'Calculos'!$F$8,"No definitivo")</f>
        <v/>
      </c>
      <c r="D20" s="28">
        <f>IF(ISNUMBER(C20),C20,0)</f>
        <v/>
      </c>
      <c r="E20" s="29">
        <f>'Calculos'!B11</f>
        <v/>
      </c>
      <c r="F20" s="29">
        <f>'Calculos'!N8</f>
        <v/>
      </c>
      <c r="G20" s="29">
        <f>'Calculos'!O8</f>
        <v/>
      </c>
      <c r="H20" s="29">
        <f>'Calculos'!P8</f>
        <v/>
      </c>
      <c r="I20" s="29">
        <f>'Calculos'!Q8</f>
        <v/>
      </c>
      <c r="J20" s="29">
        <f>'Calculos'!R8</f>
        <v/>
      </c>
      <c r="K20" s="29">
        <f>IF('Calculos'!$E$8,"Promedio 4 puestos","No definitivo")</f>
        <v/>
      </c>
      <c r="L20" s="29">
        <f>IF(NOT('Calculos'!$E$8),"⚠ Completar configuración de todos los puestos",IF('Calculos'!$M$8,"¡Enhorabuena, completado anticipadamente!",IF('Calculos'!$L$8,"Completado","En ejecución")))</f>
        <v/>
      </c>
      <c r="M20" s="29" t="n"/>
    </row>
    <row r="22" ht="24" customHeight="1">
      <c r="B22" s="17" t="inlineStr">
        <is>
          <t>Seguimiento semanal: avance acumulado ponderado e incremento semanal</t>
        </is>
      </c>
      <c r="C22" s="17" t="n"/>
      <c r="D22" s="17" t="n"/>
      <c r="E22" s="17" t="n"/>
      <c r="F22" s="17" t="n"/>
      <c r="G22" s="17" t="n"/>
      <c r="H22" s="17" t="n"/>
      <c r="I22" s="17" t="n"/>
      <c r="J22" s="17" t="n"/>
      <c r="K22" s="17" t="n"/>
      <c r="L22" s="17" t="n"/>
      <c r="M22" s="17" t="n"/>
    </row>
    <row r="23">
      <c r="C23" s="30" t="inlineStr">
        <is>
          <t>Avance ACUMULADO ponderado al cierre de cada semana</t>
        </is>
      </c>
      <c r="D23" s="30" t="n"/>
      <c r="E23" s="30" t="n"/>
      <c r="F23" s="30" t="n"/>
      <c r="H23" s="30" t="inlineStr">
        <is>
          <t>INCREMENTO respecto a la semana anterior (puntos %)</t>
        </is>
      </c>
      <c r="I23" s="30" t="n"/>
      <c r="J23" s="30" t="n"/>
      <c r="K23" s="30" t="n"/>
      <c r="L23" s="30" t="inlineStr">
        <is>
          <t>Brecha vs meta 100%</t>
        </is>
      </c>
      <c r="M23" s="30" t="n"/>
    </row>
    <row r="24">
      <c r="B24" s="31" t="inlineStr">
        <is>
          <t>Puesto / Indicador</t>
        </is>
      </c>
      <c r="C24" s="31" t="inlineStr">
        <is>
          <t>Semana 1</t>
        </is>
      </c>
      <c r="D24" s="31" t="inlineStr">
        <is>
          <t>Semana 2</t>
        </is>
      </c>
      <c r="E24" s="31" t="inlineStr">
        <is>
          <t>Semana 3</t>
        </is>
      </c>
      <c r="F24" s="31" t="inlineStr">
        <is>
          <t>Semana 4</t>
        </is>
      </c>
      <c r="H24" s="31" t="inlineStr">
        <is>
          <t>Semana 1</t>
        </is>
      </c>
      <c r="I24" s="31" t="inlineStr">
        <is>
          <t>Semana 2</t>
        </is>
      </c>
      <c r="J24" s="31" t="inlineStr">
        <is>
          <t>Semana 3</t>
        </is>
      </c>
      <c r="K24" s="31" t="inlineStr">
        <is>
          <t>Semana 4</t>
        </is>
      </c>
      <c r="L24" s="31" t="inlineStr">
        <is>
          <t>Pendiente para la meta</t>
        </is>
      </c>
      <c r="M24" s="31" t="n"/>
    </row>
    <row r="25">
      <c r="B25" s="19">
        <f>'Calculos'!A4</f>
        <v/>
      </c>
      <c r="C25" s="20">
        <f>IF(NOT('Calculos'!G$10),"",IF('Calculos'!$E4,'Calculos'!G4,"–"))</f>
        <v/>
      </c>
      <c r="D25" s="20">
        <f>IF(NOT('Calculos'!H$10),"",IF('Calculos'!$E4,'Calculos'!H4,"–"))</f>
        <v/>
      </c>
      <c r="E25" s="20">
        <f>IF(NOT('Calculos'!I$10),"",IF('Calculos'!$E4,'Calculos'!I4,"–"))</f>
        <v/>
      </c>
      <c r="F25" s="20">
        <f>IF(NOT('Calculos'!J$10),"",IF('Calculos'!$E4,'Calculos'!J4,"–"))</f>
        <v/>
      </c>
      <c r="H25" s="32">
        <f>IF(ISNUMBER(C25),C25,"")</f>
        <v/>
      </c>
      <c r="I25" s="32">
        <f>IF(AND(ISNUMBER(D25),ISNUMBER(C25)),D25-C25,"")</f>
        <v/>
      </c>
      <c r="J25" s="32">
        <f>IF(AND(ISNUMBER(E25),ISNUMBER(D25)),E25-D25,"")</f>
        <v/>
      </c>
      <c r="K25" s="32">
        <f>IF(AND(ISNUMBER(F25),ISNUMBER(E25)),F25-E25,"")</f>
        <v/>
      </c>
      <c r="L25" s="20">
        <f>IFERROR(MetaFinal-LOOKUP(2,1/ISNUMBER(C25:F25),C25:F25),"")</f>
        <v/>
      </c>
      <c r="M25" s="22" t="n"/>
      <c r="P25" t="inlineStr">
        <is>
          <t>R. Operacional</t>
        </is>
      </c>
    </row>
    <row r="26">
      <c r="B26" s="23">
        <f>'Calculos'!A5</f>
        <v/>
      </c>
      <c r="C26" s="20">
        <f>IF(NOT('Calculos'!G$10),"",IF('Calculos'!$E5,'Calculos'!G5,"–"))</f>
        <v/>
      </c>
      <c r="D26" s="20">
        <f>IF(NOT('Calculos'!H$10),"",IF('Calculos'!$E5,'Calculos'!H5,"–"))</f>
        <v/>
      </c>
      <c r="E26" s="20">
        <f>IF(NOT('Calculos'!I$10),"",IF('Calculos'!$E5,'Calculos'!I5,"–"))</f>
        <v/>
      </c>
      <c r="F26" s="20">
        <f>IF(NOT('Calculos'!J$10),"",IF('Calculos'!$E5,'Calculos'!J5,"–"))</f>
        <v/>
      </c>
      <c r="H26" s="32">
        <f>IF(ISNUMBER(C26),C26,"")</f>
        <v/>
      </c>
      <c r="I26" s="32">
        <f>IF(AND(ISNUMBER(D26),ISNUMBER(C26)),D26-C26,"")</f>
        <v/>
      </c>
      <c r="J26" s="32">
        <f>IF(AND(ISNUMBER(E26),ISNUMBER(D26)),E26-D26,"")</f>
        <v/>
      </c>
      <c r="K26" s="32">
        <f>IF(AND(ISNUMBER(F26),ISNUMBER(E26)),F26-E26,"")</f>
        <v/>
      </c>
      <c r="L26" s="20">
        <f>IFERROR(MetaFinal-LOOKUP(2,1/ISNUMBER(C26:F26),C26:F26),"")</f>
        <v/>
      </c>
      <c r="M26" s="22" t="n"/>
      <c r="P26" t="inlineStr">
        <is>
          <t>R. Normativo</t>
        </is>
      </c>
    </row>
    <row r="27">
      <c r="B27" s="24">
        <f>'Calculos'!A6</f>
        <v/>
      </c>
      <c r="C27" s="20">
        <f>IF(NOT('Calculos'!G$10),"",IF('Calculos'!$E6,'Calculos'!G6,"–"))</f>
        <v/>
      </c>
      <c r="D27" s="20">
        <f>IF(NOT('Calculos'!H$10),"",IF('Calculos'!$E6,'Calculos'!H6,"–"))</f>
        <v/>
      </c>
      <c r="E27" s="20">
        <f>IF(NOT('Calculos'!I$10),"",IF('Calculos'!$E6,'Calculos'!I6,"–"))</f>
        <v/>
      </c>
      <c r="F27" s="20">
        <f>IF(NOT('Calculos'!J$10),"",IF('Calculos'!$E6,'Calculos'!J6,"–"))</f>
        <v/>
      </c>
      <c r="H27" s="32">
        <f>IF(ISNUMBER(C27),C27,"")</f>
        <v/>
      </c>
      <c r="I27" s="32">
        <f>IF(AND(ISNUMBER(D27),ISNUMBER(C27)),D27-C27,"")</f>
        <v/>
      </c>
      <c r="J27" s="32">
        <f>IF(AND(ISNUMBER(E27),ISNUMBER(D27)),E27-D27,"")</f>
        <v/>
      </c>
      <c r="K27" s="32">
        <f>IF(AND(ISNUMBER(F27),ISNUMBER(E27)),F27-E27,"")</f>
        <v/>
      </c>
      <c r="L27" s="20">
        <f>IFERROR(MetaFinal-LOOKUP(2,1/ISNUMBER(C27:F27),C27:F27),"")</f>
        <v/>
      </c>
      <c r="M27" s="22" t="n"/>
      <c r="P27" t="inlineStr">
        <is>
          <t>R. Financiero</t>
        </is>
      </c>
    </row>
    <row r="28">
      <c r="B28" s="25">
        <f>'Calculos'!A7</f>
        <v/>
      </c>
      <c r="C28" s="20">
        <f>IF(NOT('Calculos'!G$10),"",IF('Calculos'!$E7,'Calculos'!G7,"–"))</f>
        <v/>
      </c>
      <c r="D28" s="20">
        <f>IF(NOT('Calculos'!H$10),"",IF('Calculos'!$E7,'Calculos'!H7,"–"))</f>
        <v/>
      </c>
      <c r="E28" s="20">
        <f>IF(NOT('Calculos'!I$10),"",IF('Calculos'!$E7,'Calculos'!I7,"–"))</f>
        <v/>
      </c>
      <c r="F28" s="20">
        <f>IF(NOT('Calculos'!J$10),"",IF('Calculos'!$E7,'Calculos'!J7,"–"))</f>
        <v/>
      </c>
      <c r="H28" s="32">
        <f>IF(ISNUMBER(C28),C28,"")</f>
        <v/>
      </c>
      <c r="I28" s="32">
        <f>IF(AND(ISNUMBER(D28),ISNUMBER(C28)),D28-C28,"")</f>
        <v/>
      </c>
      <c r="J28" s="32">
        <f>IF(AND(ISNUMBER(E28),ISNUMBER(D28)),E28-D28,"")</f>
        <v/>
      </c>
      <c r="K28" s="32">
        <f>IF(AND(ISNUMBER(F28),ISNUMBER(E28)),F28-E28,"")</f>
        <v/>
      </c>
      <c r="L28" s="20">
        <f>IFERROR(MetaFinal-LOOKUP(2,1/ISNUMBER(C28:F28),C28:F28),"")</f>
        <v/>
      </c>
      <c r="M28" s="22" t="n"/>
      <c r="P28" t="inlineStr">
        <is>
          <t>Asistente Técnico</t>
        </is>
      </c>
    </row>
    <row r="29">
      <c r="B29" s="26" t="inlineStr">
        <is>
          <t>Avance general de las actividades</t>
        </is>
      </c>
      <c r="C29" s="27">
        <f>IF(NOT('Calculos'!G$10),"",IF('Calculos'!$E$8,'Calculos'!G8,"n/d"))</f>
        <v/>
      </c>
      <c r="D29" s="27">
        <f>IF(NOT('Calculos'!H$10),"",IF('Calculos'!$E$8,'Calculos'!H8,"n/d"))</f>
        <v/>
      </c>
      <c r="E29" s="27">
        <f>IF(NOT('Calculos'!I$10),"",IF('Calculos'!$E$8,'Calculos'!I8,"n/d"))</f>
        <v/>
      </c>
      <c r="F29" s="27">
        <f>IF(NOT('Calculos'!J$10),"",IF('Calculos'!$E$8,'Calculos'!J8,"n/d"))</f>
        <v/>
      </c>
      <c r="H29" s="33">
        <f>IF(ISNUMBER(C29),C29,"")</f>
        <v/>
      </c>
      <c r="I29" s="33">
        <f>IF(AND(ISNUMBER(D29),ISNUMBER(C29)),D29-C29,"")</f>
        <v/>
      </c>
      <c r="J29" s="33">
        <f>IF(AND(ISNUMBER(E29),ISNUMBER(D29)),E29-D29,"")</f>
        <v/>
      </c>
      <c r="K29" s="33">
        <f>IF(AND(ISNUMBER(F29),ISNUMBER(E29)),F29-E29,"")</f>
        <v/>
      </c>
      <c r="L29" s="27">
        <f>IFERROR(MetaFinal-LOOKUP(2,1/ISNUMBER(C29:F29),C29:F29),"")</f>
        <v/>
      </c>
      <c r="M29" s="29" t="n"/>
    </row>
    <row r="30">
      <c r="B30" s="34" t="inlineStr">
        <is>
          <t>Plan de referencia (supuesto)</t>
        </is>
      </c>
      <c r="C30" s="35">
        <f>INDEX(PlanRef,1)</f>
        <v/>
      </c>
      <c r="D30" s="35">
        <f>INDEX(PlanRef,2)</f>
        <v/>
      </c>
      <c r="E30" s="35">
        <f>INDEX(PlanRef,3)</f>
        <v/>
      </c>
      <c r="F30" s="35">
        <f>INDEX(PlanRef,4)</f>
        <v/>
      </c>
      <c r="H30" s="36" t="n"/>
      <c r="I30" s="36" t="n"/>
      <c r="J30" s="36" t="n"/>
      <c r="K30" s="36" t="n"/>
      <c r="L30" s="37" t="n"/>
      <c r="M30" s="37" t="n"/>
      <c r="P30" t="inlineStr">
        <is>
          <t>Plan de referencia</t>
        </is>
      </c>
    </row>
    <row r="31">
      <c r="B31" s="38" t="inlineStr">
        <is>
          <t>Meta final</t>
        </is>
      </c>
      <c r="C31" s="39">
        <f>MetaFinal</f>
        <v/>
      </c>
      <c r="D31" s="39">
        <f>MetaFinal</f>
        <v/>
      </c>
      <c r="E31" s="39">
        <f>MetaFinal</f>
        <v/>
      </c>
      <c r="F31" s="39">
        <f>MetaFinal</f>
        <v/>
      </c>
      <c r="H31" s="36" t="n"/>
      <c r="I31" s="36" t="n"/>
      <c r="J31" s="36" t="n"/>
      <c r="K31" s="36" t="n"/>
      <c r="L31" s="37" t="n"/>
      <c r="M31" s="37" t="n"/>
    </row>
    <row r="33" ht="26" customHeight="1">
      <c r="B33" s="40" t="inlineStr">
        <is>
          <t>Lectura: el acumulado NO se suma entre semanas; el incremento es la diferencia entre semanas consecutivas. «–» = puesto sin configuración válida; «n/d» = avance general no definitivo; celda vacía = semana aún no alcanzada. Ámbar = acumulado por debajo del plan de referencia.</t>
        </is>
      </c>
      <c r="C33" s="40" t="n"/>
      <c r="D33" s="40" t="n"/>
      <c r="E33" s="40" t="n"/>
      <c r="F33" s="40" t="n"/>
      <c r="G33" s="40" t="n"/>
      <c r="H33" s="40" t="n"/>
      <c r="I33" s="40" t="n"/>
      <c r="J33" s="40" t="n"/>
      <c r="K33" s="40" t="n"/>
      <c r="L33" s="40" t="n"/>
      <c r="M33" s="40" t="n"/>
    </row>
    <row r="68" ht="24" customHeight="1">
      <c r="B68" s="17" t="inlineStr">
        <is>
          <t>Control de calidad de datos</t>
        </is>
      </c>
      <c r="C68" s="17" t="n"/>
      <c r="D68" s="17" t="n"/>
      <c r="E68" s="17" t="n"/>
      <c r="F68" s="17" t="n"/>
      <c r="G68" s="17" t="n"/>
      <c r="H68" s="17" t="n"/>
      <c r="I68" s="17" t="n"/>
      <c r="J68" s="17" t="n"/>
      <c r="K68" s="17" t="n"/>
      <c r="L68" s="17" t="n"/>
      <c r="M68" s="17" t="n"/>
    </row>
    <row r="69">
      <c r="B69" s="7" t="inlineStr">
        <is>
          <t>Verificación</t>
        </is>
      </c>
      <c r="C69" s="7" t="n"/>
      <c r="D69" s="7" t="n"/>
      <c r="E69" s="7" t="n"/>
      <c r="F69" s="7" t="n"/>
      <c r="G69" s="7" t="inlineStr">
        <is>
          <t>Casos</t>
        </is>
      </c>
      <c r="H69" s="7" t="inlineStr">
        <is>
          <t>Resultado</t>
        </is>
      </c>
      <c r="I69" s="7" t="inlineStr">
        <is>
          <t>Acción sugerida</t>
        </is>
      </c>
      <c r="J69" s="7" t="n"/>
      <c r="K69" s="7" t="n"/>
      <c r="L69" s="7" t="n"/>
      <c r="M69" s="7" t="n"/>
    </row>
    <row r="70" ht="20" customHeight="1">
      <c r="B70" s="41" t="inlineStr">
        <is>
          <t>Puestos sin actividades registradas</t>
        </is>
      </c>
      <c r="C70" s="41" t="n"/>
      <c r="D70" s="41" t="n"/>
      <c r="E70" s="41" t="n"/>
      <c r="F70" s="41" t="n"/>
      <c r="G70" s="42">
        <f>COUNTIF('Calculos'!B4:B7,0)</f>
        <v/>
      </c>
      <c r="H70" s="43">
        <f>IF(G70=0,"✔ OK",IF("crit"="warn","● Atención","⚠ Revisar"))</f>
        <v/>
      </c>
      <c r="I70" s="44" t="inlineStr">
        <is>
          <t>Registrar al menos una macroactividad por puesto.</t>
        </is>
      </c>
      <c r="J70" s="44" t="n"/>
      <c r="K70" s="44" t="n"/>
      <c r="L70" s="44" t="n"/>
      <c r="M70" s="44" t="n"/>
    </row>
    <row r="71" ht="20" customHeight="1">
      <c r="B71" s="41" t="inlineStr">
        <is>
          <t>Puestos con pesos no válidos (fuera de 0–100%)</t>
        </is>
      </c>
      <c r="C71" s="41" t="n"/>
      <c r="D71" s="41" t="n"/>
      <c r="E71" s="41" t="n"/>
      <c r="F71" s="41" t="n"/>
      <c r="G71" s="42">
        <f>COUNTIFS('Calculos'!B4:B7,"&gt;0",'Calculos'!E4:E7,FALSE)</f>
        <v/>
      </c>
      <c r="H71" s="43">
        <f>IF(G71=0,"✔ OK",IF("crit"="warn","● Atención","⚠ Revisar"))</f>
        <v/>
      </c>
      <c r="I71" s="44" t="inlineStr">
        <is>
          <t>Corregir el peso (los pesos se ajustan solos a 100%).</t>
        </is>
      </c>
      <c r="J71" s="44" t="n"/>
      <c r="K71" s="44" t="n"/>
      <c r="L71" s="44" t="n"/>
      <c r="M71" s="44" t="n"/>
    </row>
    <row r="72" ht="20" customHeight="1">
      <c r="B72" s="41" t="inlineStr">
        <is>
          <t>Actividades con peso vacío o fuera de rango</t>
        </is>
      </c>
      <c r="C72" s="41" t="n"/>
      <c r="D72" s="41" t="n"/>
      <c r="E72" s="41" t="n"/>
      <c r="F72" s="41" t="n"/>
      <c r="G72" s="42">
        <f>SUMPRODUCT((rMes_RO=MesCiclo)*((ISNUMBER(SEARCH("Peso vacío",rValid_RO))+ISNUMBER(SEARCH("Peso fuera de rango",rValid_RO)))&gt;0))+SUMPRODUCT((rMes_RN=MesCiclo)*((ISNUMBER(SEARCH("Peso vacío",rValid_RN))+ISNUMBER(SEARCH("Peso fuera de rango",rValid_RN)))&gt;0))+SUMPRODUCT((rMes_RF=MesCiclo)*((ISNUMBER(SEARCH("Peso vacío",rValid_RF))+ISNUMBER(SEARCH("Peso fuera de rango",rValid_RF)))&gt;0))+SUMPRODUCT((rMes_ATR=MesCiclo)*((ISNUMBER(SEARCH("Peso vacío",rValid_ATR))+ISNUMBER(SEARCH("Peso fuera de rango",rValid_ATR)))&gt;0))</f>
        <v/>
      </c>
      <c r="H72" s="43">
        <f>IF(G72=0,"✔ OK",IF("crit"="warn","● Atención","⚠ Revisar"))</f>
        <v/>
      </c>
      <c r="I72" s="44" t="inlineStr">
        <is>
          <t>Ingresar un peso entre 0% y 100% (mayor que 0).</t>
        </is>
      </c>
      <c r="J72" s="44" t="n"/>
      <c r="K72" s="44" t="n"/>
      <c r="L72" s="44" t="n"/>
      <c r="M72" s="44" t="n"/>
    </row>
    <row r="73" ht="20" customHeight="1">
      <c r="B73" s="41" t="inlineStr">
        <is>
          <t>Actividades sin fecha límite</t>
        </is>
      </c>
      <c r="C73" s="41" t="n"/>
      <c r="D73" s="41" t="n"/>
      <c r="E73" s="41" t="n"/>
      <c r="F73" s="41" t="n"/>
      <c r="G73" s="42">
        <f>SUMPRODUCT((rMes_RO=MesCiclo)*((ISNUMBER(SEARCH("Sin fecha límite",rValid_RO)))&gt;0))+SUMPRODUCT((rMes_RN=MesCiclo)*((ISNUMBER(SEARCH("Sin fecha límite",rValid_RN)))&gt;0))+SUMPRODUCT((rMes_RF=MesCiclo)*((ISNUMBER(SEARCH("Sin fecha límite",rValid_RF)))&gt;0))+SUMPRODUCT((rMes_ATR=MesCiclo)*((ISNUMBER(SEARCH("Sin fecha límite",rValid_ATR)))&gt;0))</f>
        <v/>
      </c>
      <c r="H73" s="43">
        <f>IF(G73=0,"✔ OK",IF("crit"="warn","● Atención","⚠ Revisar"))</f>
        <v/>
      </c>
      <c r="I73" s="44" t="inlineStr">
        <is>
          <t>Registrar la fecha límite.</t>
        </is>
      </c>
      <c r="J73" s="44" t="n"/>
      <c r="K73" s="44" t="n"/>
      <c r="L73" s="44" t="n"/>
      <c r="M73" s="44" t="n"/>
    </row>
    <row r="74" ht="20" customHeight="1">
      <c r="B74" s="41" t="inlineStr">
        <is>
          <t>Fechas incoherentes o no válidas (incluye sin fecha de inicio)</t>
        </is>
      </c>
      <c r="C74" s="41" t="n"/>
      <c r="D74" s="41" t="n"/>
      <c r="E74" s="41" t="n"/>
      <c r="F74" s="41" t="n"/>
      <c r="G74" s="42">
        <f>SUMPRODUCT((rMes_RO=MesCiclo)*((ISNUMBER(SEARCH("Inicio posterior",rValid_RO))+ISNUMBER(SEARCH("Fecha no válida",rValid_RO))+ISNUMBER(SEARCH("Sin fecha de inicio",rValid_RO)))&gt;0))+SUMPRODUCT((rMes_RN=MesCiclo)*((ISNUMBER(SEARCH("Inicio posterior",rValid_RN))+ISNUMBER(SEARCH("Fecha no válida",rValid_RN))+ISNUMBER(SEARCH("Sin fecha de inicio",rValid_RN)))&gt;0))+SUMPRODUCT((rMes_RF=MesCiclo)*((ISNUMBER(SEARCH("Inicio posterior",rValid_RF))+ISNUMBER(SEARCH("Fecha no válida",rValid_RF))+ISNUMBER(SEARCH("Sin fecha de inicio",rValid_RF)))&gt;0))+SUMPRODUCT((rMes_ATR=MesCiclo)*((ISNUMBER(SEARCH("Inicio posterior",rValid_ATR))+ISNUMBER(SEARCH("Fecha no válida",rValid_ATR))+ISNUMBER(SEARCH("Sin fecha de inicio",rValid_ATR)))&gt;0))</f>
        <v/>
      </c>
      <c r="H74" s="43">
        <f>IF(G74=0,"✔ OK",IF("crit"="warn","● Atención","⚠ Revisar"))</f>
        <v/>
      </c>
      <c r="I74" s="44" t="inlineStr">
        <is>
          <t>La fecha de inicio debe ser anterior o igual a la fecha límite.</t>
        </is>
      </c>
      <c r="J74" s="44" t="n"/>
      <c r="K74" s="44" t="n"/>
      <c r="L74" s="44" t="n"/>
      <c r="M74" s="44" t="n"/>
    </row>
    <row r="75" ht="20" customHeight="1">
      <c r="B75" s="41" t="inlineStr">
        <is>
          <t>Porcentajes de avance &gt; 100%, &lt; 0% o no numéricos</t>
        </is>
      </c>
      <c r="C75" s="41" t="n"/>
      <c r="D75" s="41" t="n"/>
      <c r="E75" s="41" t="n"/>
      <c r="F75" s="41" t="n"/>
      <c r="G75" s="42">
        <f>SUMPRODUCT((rMes_RO=MesCiclo)*((ISNUMBER(SEARCH("Avance fuera de rango",rValid_RO)))&gt;0))+SUMPRODUCT((rMes_RN=MesCiclo)*((ISNUMBER(SEARCH("Avance fuera de rango",rValid_RN)))&gt;0))+SUMPRODUCT((rMes_RF=MesCiclo)*((ISNUMBER(SEARCH("Avance fuera de rango",rValid_RF)))&gt;0))+SUMPRODUCT((rMes_ATR=MesCiclo)*((ISNUMBER(SEARCH("Avance fuera de rango",rValid_ATR)))&gt;0))</f>
        <v/>
      </c>
      <c r="H75" s="43">
        <f>IF(G75=0,"✔ OK",IF("crit"="warn","● Atención","⚠ Revisar"))</f>
        <v/>
      </c>
      <c r="I75" s="44" t="inlineStr">
        <is>
          <t>Corregir: los avances deben estar entre 0% y 100%.</t>
        </is>
      </c>
      <c r="J75" s="44" t="n"/>
      <c r="K75" s="44" t="n"/>
      <c r="L75" s="44" t="n"/>
      <c r="M75" s="44" t="n"/>
    </row>
    <row r="76" ht="20" customHeight="1">
      <c r="B76" s="41" t="inlineStr">
        <is>
          <t>Avance semanal menor que el de una semana anterior</t>
        </is>
      </c>
      <c r="C76" s="41" t="n"/>
      <c r="D76" s="41" t="n"/>
      <c r="E76" s="41" t="n"/>
      <c r="F76" s="41" t="n"/>
      <c r="G76" s="42">
        <f>SUMPRODUCT((rMes_RO=MesCiclo)*((ISNUMBER(SEARCH("decreciente",rValid_RO)))&gt;0))+SUMPRODUCT((rMes_RN=MesCiclo)*((ISNUMBER(SEARCH("decreciente",rValid_RN)))&gt;0))+SUMPRODUCT((rMes_RF=MesCiclo)*((ISNUMBER(SEARCH("decreciente",rValid_RF)))&gt;0))+SUMPRODUCT((rMes_ATR=MesCiclo)*((ISNUMBER(SEARCH("decreciente",rValid_ATR)))&gt;0))</f>
        <v/>
      </c>
      <c r="H76" s="43">
        <f>IF(G76=0,"✔ OK",IF("crit"="warn","● Atención","⚠ Revisar"))</f>
        <v/>
      </c>
      <c r="I76" s="44" t="inlineStr">
        <is>
          <t>Revisar: el avance es acumulado y no debería disminuir.</t>
        </is>
      </c>
      <c r="J76" s="44" t="n"/>
      <c r="K76" s="44" t="n"/>
      <c r="L76" s="44" t="n"/>
      <c r="M76" s="44" t="n"/>
    </row>
    <row r="77" ht="20" customHeight="1">
      <c r="B77" s="41" t="inlineStr">
        <is>
          <t>Actividades vencidas no completadas</t>
        </is>
      </c>
      <c r="C77" s="41" t="n"/>
      <c r="D77" s="41" t="n"/>
      <c r="E77" s="41" t="n"/>
      <c r="F77" s="41" t="n"/>
      <c r="G77" s="42">
        <f>'Calculos'!Q8</f>
        <v/>
      </c>
      <c r="H77" s="43">
        <f>IF(G77=0,"✔ OK",IF("crit"="warn","● Atención","⚠ Revisar"))</f>
        <v/>
      </c>
      <c r="I77" s="44" t="inlineStr">
        <is>
          <t>Actualizar avance o reprogramar con justificación en Observaciones.</t>
        </is>
      </c>
      <c r="J77" s="44" t="n"/>
      <c r="K77" s="44" t="n"/>
      <c r="L77" s="44" t="n"/>
      <c r="M77" s="44" t="n"/>
    </row>
    <row r="78" ht="20" customHeight="1">
      <c r="B78" s="41" t="inlineStr">
        <is>
          <t>Actividades próximas a vencer (no completadas)</t>
        </is>
      </c>
      <c r="C78" s="41" t="n"/>
      <c r="D78" s="41" t="n"/>
      <c r="E78" s="41" t="n"/>
      <c r="F78" s="41" t="n"/>
      <c r="G78" s="42">
        <f>'Calculos'!B13</f>
        <v/>
      </c>
      <c r="H78" s="43">
        <f>IF(G78=0,"✔ OK",IF("warn"="warn","● Atención","⚠ Revisar"))</f>
        <v/>
      </c>
      <c r="I78" s="44" t="inlineStr">
        <is>
          <t>Alerta preventiva: priorizar seguimiento.</t>
        </is>
      </c>
      <c r="J78" s="44" t="n"/>
      <c r="K78" s="44" t="n"/>
      <c r="L78" s="44" t="n"/>
      <c r="M78" s="44" t="n"/>
    </row>
    <row r="79" ht="20" customHeight="1">
      <c r="B79" s="41" t="inlineStr">
        <is>
          <t>Filas con datos pero sin nombre de macroactividad</t>
        </is>
      </c>
      <c r="C79" s="41" t="n"/>
      <c r="D79" s="41" t="n"/>
      <c r="E79" s="41" t="n"/>
      <c r="F79" s="41" t="n"/>
      <c r="G79" s="42">
        <f>SUMPRODUCT((rMes_RO=MesCiclo)*((ISNUMBER(SEARCH("Macroactividad vacía",rValid_RO)))&gt;0))+SUMPRODUCT((rMes_RN=MesCiclo)*((ISNUMBER(SEARCH("Macroactividad vacía",rValid_RN)))&gt;0))+SUMPRODUCT((rMes_RF=MesCiclo)*((ISNUMBER(SEARCH("Macroactividad vacía",rValid_RF)))&gt;0))+SUMPRODUCT((rMes_ATR=MesCiclo)*((ISNUMBER(SEARCH("Macroactividad vacía",rValid_ATR)))&gt;0))</f>
        <v/>
      </c>
      <c r="H79" s="43">
        <f>IF(G79=0,"✔ OK",IF("crit"="warn","● Atención","⚠ Revisar"))</f>
        <v/>
      </c>
      <c r="I79" s="44" t="inlineStr">
        <is>
          <t>Escribir el nombre de la actividad.</t>
        </is>
      </c>
      <c r="J79" s="44" t="n"/>
      <c r="K79" s="44" t="n"/>
      <c r="L79" s="44" t="n"/>
      <c r="M79" s="44" t="n"/>
    </row>
    <row r="80" ht="20" customHeight="1">
      <c r="B80" s="41" t="inlineStr">
        <is>
          <t>Actividades vencidas sin observación que explique el incumplimiento</t>
        </is>
      </c>
      <c r="C80" s="41" t="n"/>
      <c r="D80" s="41" t="n"/>
      <c r="E80" s="41" t="n"/>
      <c r="F80" s="41" t="n"/>
      <c r="G80" s="42">
        <f>SUMPRODUCT((rMes_RO=MesCiclo)*((ISNUMBER(SEARCH("sin observación",rValid_RO)))&gt;0))+SUMPRODUCT((rMes_RN=MesCiclo)*((ISNUMBER(SEARCH("sin observación",rValid_RN)))&gt;0))+SUMPRODUCT((rMes_RF=MesCiclo)*((ISNUMBER(SEARCH("sin observación",rValid_RF)))&gt;0))+SUMPRODUCT((rMes_ATR=MesCiclo)*((ISNUMBER(SEARCH("sin observación",rValid_ATR)))&gt;0))</f>
        <v/>
      </c>
      <c r="H80" s="43">
        <f>IF(G80=0,"✔ OK",IF("crit"="warn","● Atención","⚠ Revisar"))</f>
        <v/>
      </c>
      <c r="I80" s="44" t="inlineStr">
        <is>
          <t>Escribir en Observaciones por qué no se cumplió y la nueva fecha prevista.</t>
        </is>
      </c>
      <c r="J80" s="44" t="n"/>
      <c r="K80" s="44" t="n"/>
      <c r="L80" s="44" t="n"/>
      <c r="M80" s="44" t="n"/>
    </row>
    <row r="81" ht="20" customHeight="1">
      <c r="B81" s="41" t="inlineStr">
        <is>
          <t>Avance general no definitivo (puestos no válidos)</t>
        </is>
      </c>
      <c r="C81" s="41" t="n"/>
      <c r="D81" s="41" t="n"/>
      <c r="E81" s="41" t="n"/>
      <c r="F81" s="41" t="n"/>
      <c r="G81" s="42">
        <f>4-'Calculos'!C8</f>
        <v/>
      </c>
      <c r="H81" s="43">
        <f>IF(G81=0,"✔ OK",IF("crit"="warn","● Atención","⚠ Revisar"))</f>
        <v/>
      </c>
      <c r="I81" s="44" t="inlineStr">
        <is>
          <t>El avance general solo es definitivo con los 4 puestos válidos.</t>
        </is>
      </c>
      <c r="J81" s="44" t="n"/>
      <c r="K81" s="44" t="n"/>
      <c r="L81" s="44" t="n"/>
      <c r="M81" s="44" t="n"/>
    </row>
    <row r="82" ht="26" customHeight="1">
      <c r="B82" s="40" t="inlineStr">
        <is>
          <t>Detalle por actividad: columna «Revisión automática (alertas)» de la hoja «Cronograma …» de cada puesto (filtrar por «⚠»). Pendiente normal = sin avance y dentro de plazo; Vencida = fecha límite anterior a la fecha de corte sin llegar a 100%.</t>
        </is>
      </c>
      <c r="C82" s="40" t="n"/>
      <c r="D82" s="40" t="n"/>
      <c r="E82" s="40" t="n"/>
      <c r="F82" s="40" t="n"/>
      <c r="G82" s="40" t="n"/>
      <c r="H82" s="40" t="n"/>
      <c r="I82" s="40" t="n"/>
      <c r="J82" s="40" t="n"/>
      <c r="K82" s="40" t="n"/>
      <c r="L82" s="40" t="n"/>
      <c r="M82" s="40" t="n"/>
    </row>
    <row r="84" ht="24" customHeight="1">
      <c r="B84" s="17" t="inlineStr">
        <is>
          <t>Entregas por semana y alertas de plazo (macroactividades completadas / programadas)</t>
        </is>
      </c>
      <c r="C84" s="17" t="n"/>
      <c r="D84" s="17" t="n"/>
      <c r="E84" s="17" t="n"/>
      <c r="F84" s="17" t="n"/>
      <c r="G84" s="17" t="n"/>
      <c r="H84" s="17" t="n"/>
      <c r="I84" s="17" t="n"/>
      <c r="J84" s="17" t="n"/>
      <c r="K84" s="17" t="n"/>
      <c r="L84" s="17" t="n"/>
      <c r="M84" s="17" t="n"/>
    </row>
    <row r="85">
      <c r="B85" s="7" t="inlineStr">
        <is>
          <t>Puesto</t>
        </is>
      </c>
      <c r="C85" s="7" t="inlineStr">
        <is>
          <t>Semana 1</t>
        </is>
      </c>
      <c r="D85" s="7" t="inlineStr">
        <is>
          <t>Semana 2</t>
        </is>
      </c>
      <c r="E85" s="7" t="inlineStr">
        <is>
          <t>Semana 3</t>
        </is>
      </c>
      <c r="F85" s="7" t="inlineStr">
        <is>
          <t>Semana 4</t>
        </is>
      </c>
      <c r="G85" s="7" t="inlineStr">
        <is>
          <t>Total</t>
        </is>
      </c>
      <c r="H85" s="7" t="inlineStr">
        <is>
          <t>Vencidas</t>
        </is>
      </c>
      <c r="I85" s="7" t="inlineStr">
        <is>
          <t>Por vencer</t>
        </is>
      </c>
      <c r="J85" s="7" t="inlineStr">
        <is>
          <t>Alerta de plazo (actividades y subactividades del mes)</t>
        </is>
      </c>
      <c r="K85" s="7" t="n"/>
      <c r="L85" s="7" t="n"/>
      <c r="M85" s="7" t="n"/>
    </row>
    <row r="86">
      <c r="B86" s="19">
        <f>'Calculos'!A4</f>
        <v/>
      </c>
      <c r="C86" s="22">
        <f>COUNTIFS(hSemana_RO,"Semana 1",hEstado_RO,"Completado",hTipo_RO,"Macro")&amp;" / "&amp;COUNTIFS(hSemana_RO,"Semana 1",hTipo_RO,"Macro")</f>
        <v/>
      </c>
      <c r="D86" s="22">
        <f>COUNTIFS(hSemana_RO,"Semana 2",hEstado_RO,"Completado",hTipo_RO,"Macro")&amp;" / "&amp;COUNTIFS(hSemana_RO,"Semana 2",hTipo_RO,"Macro")</f>
        <v/>
      </c>
      <c r="E86" s="22">
        <f>COUNTIFS(hSemana_RO,"Semana 3",hEstado_RO,"Completado",hTipo_RO,"Macro")&amp;" / "&amp;COUNTIFS(hSemana_RO,"Semana 3",hTipo_RO,"Macro")</f>
        <v/>
      </c>
      <c r="F86" s="22">
        <f>COUNTIFS(hSemana_RO,"Semana 4",hEstado_RO,"Completado",hTipo_RO,"Macro")&amp;" / "&amp;COUNTIFS(hSemana_RO,"Semana 4",hTipo_RO,"Macro")</f>
        <v/>
      </c>
      <c r="G86" s="22">
        <f>COUNTIFS(hEstado_RO,"Completado",hTipo_RO,"Macro")&amp;" / "&amp;COUNTIFS(hEstado_RO,"?*",hTipo_RO,"Macro")</f>
        <v/>
      </c>
      <c r="H86" s="22">
        <f>COUNTIFS(rMes_RO,MesCiclo,rAlerta_RO,"Vencida*")</f>
        <v/>
      </c>
      <c r="I86" s="22">
        <f>COUNTIFS(rMes_RO,MesCiclo,rAlerta_RO,"Vence*")</f>
        <v/>
      </c>
      <c r="J86" s="45">
        <f>IF(H86+I86=0,"✔ Sin vencidas ni por vencer",IF(H86&gt;0,"⚠ "&amp;H86&amp;" vencida(s) sin cumplir","")&amp;IF(AND(H86&gt;0,I86&gt;0),"  ·  ","")&amp;IF(I86&gt;0,I86&amp;" por vencer (≤ "&amp;DiasAlerta&amp;" días)",""))</f>
        <v/>
      </c>
      <c r="K86" s="45" t="n"/>
      <c r="L86" s="45" t="n"/>
      <c r="M86" s="45" t="n"/>
    </row>
    <row r="87">
      <c r="B87" s="23">
        <f>'Calculos'!A5</f>
        <v/>
      </c>
      <c r="C87" s="22">
        <f>COUNTIFS(hSemana_RN,"Semana 1",hEstado_RN,"Completado",hTipo_RN,"Macro")&amp;" / "&amp;COUNTIFS(hSemana_RN,"Semana 1",hTipo_RN,"Macro")</f>
        <v/>
      </c>
      <c r="D87" s="22">
        <f>COUNTIFS(hSemana_RN,"Semana 2",hEstado_RN,"Completado",hTipo_RN,"Macro")&amp;" / "&amp;COUNTIFS(hSemana_RN,"Semana 2",hTipo_RN,"Macro")</f>
        <v/>
      </c>
      <c r="E87" s="22">
        <f>COUNTIFS(hSemana_RN,"Semana 3",hEstado_RN,"Completado",hTipo_RN,"Macro")&amp;" / "&amp;COUNTIFS(hSemana_RN,"Semana 3",hTipo_RN,"Macro")</f>
        <v/>
      </c>
      <c r="F87" s="22">
        <f>COUNTIFS(hSemana_RN,"Semana 4",hEstado_RN,"Completado",hTipo_RN,"Macro")&amp;" / "&amp;COUNTIFS(hSemana_RN,"Semana 4",hTipo_RN,"Macro")</f>
        <v/>
      </c>
      <c r="G87" s="22">
        <f>COUNTIFS(hEstado_RN,"Completado",hTipo_RN,"Macro")&amp;" / "&amp;COUNTIFS(hEstado_RN,"?*",hTipo_RN,"Macro")</f>
        <v/>
      </c>
      <c r="H87" s="22">
        <f>COUNTIFS(rMes_RN,MesCiclo,rAlerta_RN,"Vencida*")</f>
        <v/>
      </c>
      <c r="I87" s="22">
        <f>COUNTIFS(rMes_RN,MesCiclo,rAlerta_RN,"Vence*")</f>
        <v/>
      </c>
      <c r="J87" s="45">
        <f>IF(H87+I87=0,"✔ Sin vencidas ni por vencer",IF(H87&gt;0,"⚠ "&amp;H87&amp;" vencida(s) sin cumplir","")&amp;IF(AND(H87&gt;0,I87&gt;0),"  ·  ","")&amp;IF(I87&gt;0,I87&amp;" por vencer (≤ "&amp;DiasAlerta&amp;" días)",""))</f>
        <v/>
      </c>
      <c r="K87" s="45" t="n"/>
      <c r="L87" s="45" t="n"/>
      <c r="M87" s="45" t="n"/>
    </row>
    <row r="88">
      <c r="B88" s="24">
        <f>'Calculos'!A6</f>
        <v/>
      </c>
      <c r="C88" s="22">
        <f>COUNTIFS(hSemana_RF,"Semana 1",hEstado_RF,"Completado",hTipo_RF,"Macro")&amp;" / "&amp;COUNTIFS(hSemana_RF,"Semana 1",hTipo_RF,"Macro")</f>
        <v/>
      </c>
      <c r="D88" s="22">
        <f>COUNTIFS(hSemana_RF,"Semana 2",hEstado_RF,"Completado",hTipo_RF,"Macro")&amp;" / "&amp;COUNTIFS(hSemana_RF,"Semana 2",hTipo_RF,"Macro")</f>
        <v/>
      </c>
      <c r="E88" s="22">
        <f>COUNTIFS(hSemana_RF,"Semana 3",hEstado_RF,"Completado",hTipo_RF,"Macro")&amp;" / "&amp;COUNTIFS(hSemana_RF,"Semana 3",hTipo_RF,"Macro")</f>
        <v/>
      </c>
      <c r="F88" s="22">
        <f>COUNTIFS(hSemana_RF,"Semana 4",hEstado_RF,"Completado",hTipo_RF,"Macro")&amp;" / "&amp;COUNTIFS(hSemana_RF,"Semana 4",hTipo_RF,"Macro")</f>
        <v/>
      </c>
      <c r="G88" s="22">
        <f>COUNTIFS(hEstado_RF,"Completado",hTipo_RF,"Macro")&amp;" / "&amp;COUNTIFS(hEstado_RF,"?*",hTipo_RF,"Macro")</f>
        <v/>
      </c>
      <c r="H88" s="22">
        <f>COUNTIFS(rMes_RF,MesCiclo,rAlerta_RF,"Vencida*")</f>
        <v/>
      </c>
      <c r="I88" s="22">
        <f>COUNTIFS(rMes_RF,MesCiclo,rAlerta_RF,"Vence*")</f>
        <v/>
      </c>
      <c r="J88" s="45">
        <f>IF(H88+I88=0,"✔ Sin vencidas ni por vencer",IF(H88&gt;0,"⚠ "&amp;H88&amp;" vencida(s) sin cumplir","")&amp;IF(AND(H88&gt;0,I88&gt;0),"  ·  ","")&amp;IF(I88&gt;0,I88&amp;" por vencer (≤ "&amp;DiasAlerta&amp;" días)",""))</f>
        <v/>
      </c>
      <c r="K88" s="45" t="n"/>
      <c r="L88" s="45" t="n"/>
      <c r="M88" s="45" t="n"/>
    </row>
    <row r="89">
      <c r="B89" s="25">
        <f>'Calculos'!A7</f>
        <v/>
      </c>
      <c r="C89" s="22">
        <f>COUNTIFS(hSemana_ATR,"Semana 1",hEstado_ATR,"Completado",hTipo_ATR,"Macro")&amp;" / "&amp;COUNTIFS(hSemana_ATR,"Semana 1",hTipo_ATR,"Macro")</f>
        <v/>
      </c>
      <c r="D89" s="22">
        <f>COUNTIFS(hSemana_ATR,"Semana 2",hEstado_ATR,"Completado",hTipo_ATR,"Macro")&amp;" / "&amp;COUNTIFS(hSemana_ATR,"Semana 2",hTipo_ATR,"Macro")</f>
        <v/>
      </c>
      <c r="E89" s="22">
        <f>COUNTIFS(hSemana_ATR,"Semana 3",hEstado_ATR,"Completado",hTipo_ATR,"Macro")&amp;" / "&amp;COUNTIFS(hSemana_ATR,"Semana 3",hTipo_ATR,"Macro")</f>
        <v/>
      </c>
      <c r="F89" s="22">
        <f>COUNTIFS(hSemana_ATR,"Semana 4",hEstado_ATR,"Completado",hTipo_ATR,"Macro")&amp;" / "&amp;COUNTIFS(hSemana_ATR,"Semana 4",hTipo_ATR,"Macro")</f>
        <v/>
      </c>
      <c r="G89" s="22">
        <f>COUNTIFS(hEstado_ATR,"Completado",hTipo_ATR,"Macro")&amp;" / "&amp;COUNTIFS(hEstado_ATR,"?*",hTipo_ATR,"Macro")</f>
        <v/>
      </c>
      <c r="H89" s="22">
        <f>COUNTIFS(rMes_ATR,MesCiclo,rAlerta_ATR,"Vencida*")</f>
        <v/>
      </c>
      <c r="I89" s="22">
        <f>COUNTIFS(rMes_ATR,MesCiclo,rAlerta_ATR,"Vence*")</f>
        <v/>
      </c>
      <c r="J89" s="45">
        <f>IF(H89+I89=0,"✔ Sin vencidas ni por vencer",IF(H89&gt;0,"⚠ "&amp;H89&amp;" vencida(s) sin cumplir","")&amp;IF(AND(H89&gt;0,I89&gt;0),"  ·  ","")&amp;IF(I89&gt;0,I89&amp;" por vencer (≤ "&amp;DiasAlerta&amp;" días)",""))</f>
        <v/>
      </c>
      <c r="K89" s="45" t="n"/>
      <c r="L89" s="45" t="n"/>
      <c r="M89" s="45" t="n"/>
    </row>
    <row r="90">
      <c r="B90" s="46" t="inlineStr">
        <is>
          <t>Administración (jefatura)</t>
        </is>
      </c>
      <c r="C90" s="22" t="inlineStr">
        <is>
          <t>—</t>
        </is>
      </c>
      <c r="D90" s="22" t="inlineStr">
        <is>
          <t>—</t>
        </is>
      </c>
      <c r="E90" s="22" t="inlineStr">
        <is>
          <t>—</t>
        </is>
      </c>
      <c r="F90" s="22" t="inlineStr">
        <is>
          <t>—</t>
        </is>
      </c>
      <c r="G90" s="22">
        <f>COUNTIFS(rMes_ADM,MesCiclo,rTipo_ADM,"Macro",rEstado_ADM,"Completado")&amp;" / "&amp;COUNTIFS(rMes_ADM,MesCiclo,rTipo_ADM,"Macro")</f>
        <v/>
      </c>
      <c r="H90" s="22">
        <f>COUNTIFS(rMes_ADM,MesCiclo,rAlerta_ADM,"Vencida*")</f>
        <v/>
      </c>
      <c r="I90" s="22">
        <f>COUNTIFS(rMes_ADM,MesCiclo,rAlerta_ADM,"Vence*")</f>
        <v/>
      </c>
      <c r="J90" s="45">
        <f>IF(H90+I90=0,"✔ Sin vencidas ni por vencer",IF(H90&gt;0,"⚠ "&amp;H90&amp;" vencida(s) sin cumplir","")&amp;IF(AND(H90&gt;0,I90&gt;0),"  ·  ","")&amp;IF(I90&gt;0,I90&amp;" por vencer (≤ "&amp;DiasAlerta&amp;" días)",""))</f>
        <v/>
      </c>
      <c r="K90" s="45" t="n"/>
      <c r="L90" s="45" t="n"/>
      <c r="M90" s="45" t="n"/>
    </row>
  </sheetData>
  <sheetProtection selectLockedCells="0" selectUnlockedCells="0" sheet="1" objects="0" insertRows="1" insertHyperlinks="1" autoFilter="1" scenarios="0" formatColumns="1" deleteColumns="1" insertColumns="1" pivotTables="1" deleteRows="1" formatCells="1" formatRows="1" sort="1"/>
  <mergeCells count="83">
    <mergeCell ref="L17:M17"/>
    <mergeCell ref="B81:F81"/>
    <mergeCell ref="I77:M77"/>
    <mergeCell ref="I80:M80"/>
    <mergeCell ref="L19:M19"/>
    <mergeCell ref="B71:F71"/>
    <mergeCell ref="L28:M28"/>
    <mergeCell ref="I70:M70"/>
    <mergeCell ref="I72:M72"/>
    <mergeCell ref="B84:M84"/>
    <mergeCell ref="G12:M12"/>
    <mergeCell ref="B6:D6"/>
    <mergeCell ref="L29:M29"/>
    <mergeCell ref="K10:M10"/>
    <mergeCell ref="H5:J5"/>
    <mergeCell ref="B4:D4"/>
    <mergeCell ref="L31:M31"/>
    <mergeCell ref="I79:M79"/>
    <mergeCell ref="I73:M73"/>
    <mergeCell ref="K9:M9"/>
    <mergeCell ref="K5:M5"/>
    <mergeCell ref="J86:M86"/>
    <mergeCell ref="B80:F80"/>
    <mergeCell ref="I74:M74"/>
    <mergeCell ref="L16:M16"/>
    <mergeCell ref="B8:D8"/>
    <mergeCell ref="B72:F72"/>
    <mergeCell ref="J90:M90"/>
    <mergeCell ref="B82:M82"/>
    <mergeCell ref="E6:G6"/>
    <mergeCell ref="H23:K23"/>
    <mergeCell ref="B10:D10"/>
    <mergeCell ref="B70:F70"/>
    <mergeCell ref="K8:M8"/>
    <mergeCell ref="B9:D9"/>
    <mergeCell ref="B68:M68"/>
    <mergeCell ref="L30:M30"/>
    <mergeCell ref="B5:D5"/>
    <mergeCell ref="L20:M20"/>
    <mergeCell ref="K4:M4"/>
    <mergeCell ref="B74:F74"/>
    <mergeCell ref="I78:M78"/>
    <mergeCell ref="E8:G8"/>
    <mergeCell ref="H4:J4"/>
    <mergeCell ref="B76:F76"/>
    <mergeCell ref="J85:M85"/>
    <mergeCell ref="H6:J6"/>
    <mergeCell ref="E10:G10"/>
    <mergeCell ref="B75:F75"/>
    <mergeCell ref="E9:G9"/>
    <mergeCell ref="I76:M76"/>
    <mergeCell ref="L24:M24"/>
    <mergeCell ref="L18:M18"/>
    <mergeCell ref="I75:M75"/>
    <mergeCell ref="L26:M26"/>
    <mergeCell ref="B73:F73"/>
    <mergeCell ref="J88:M88"/>
    <mergeCell ref="H8:J8"/>
    <mergeCell ref="L25:M25"/>
    <mergeCell ref="H10:J10"/>
    <mergeCell ref="C12:F12"/>
    <mergeCell ref="B22:M22"/>
    <mergeCell ref="E4:G4"/>
    <mergeCell ref="H9:J9"/>
    <mergeCell ref="C23:F23"/>
    <mergeCell ref="I81:M81"/>
    <mergeCell ref="B14:M14"/>
    <mergeCell ref="B1:M1"/>
    <mergeCell ref="H2:M2"/>
    <mergeCell ref="B77:F77"/>
    <mergeCell ref="L15:M15"/>
    <mergeCell ref="L23:M23"/>
    <mergeCell ref="I71:M71"/>
    <mergeCell ref="B33:M33"/>
    <mergeCell ref="B69:F69"/>
    <mergeCell ref="B78:F78"/>
    <mergeCell ref="K6:M6"/>
    <mergeCell ref="J87:M87"/>
    <mergeCell ref="J89:M89"/>
    <mergeCell ref="E5:G5"/>
    <mergeCell ref="L27:M27"/>
    <mergeCell ref="B79:F79"/>
    <mergeCell ref="I69:M69"/>
  </mergeCells>
  <conditionalFormatting sqref="B5">
    <cfRule type="expression" priority="1" dxfId="0">
      <formula>AND(ISNUMBER($B$5),$B$5&gt;=1)</formula>
    </cfRule>
    <cfRule type="expression" priority="2" dxfId="1">
      <formula>NOT(ISNUMBER($B$5))</formula>
    </cfRule>
  </conditionalFormatting>
  <conditionalFormatting sqref="K9">
    <cfRule type="expression" priority="3" dxfId="2">
      <formula>$K$9&gt;0</formula>
    </cfRule>
    <cfRule type="expression" priority="4" dxfId="0">
      <formula>$K$9=0</formula>
    </cfRule>
  </conditionalFormatting>
  <conditionalFormatting sqref="H9">
    <cfRule type="expression" priority="5" dxfId="0">
      <formula>$H$9=4</formula>
    </cfRule>
  </conditionalFormatting>
  <conditionalFormatting sqref="E9">
    <cfRule type="expression" priority="6" dxfId="0">
      <formula>$E$9&gt;0</formula>
    </cfRule>
  </conditionalFormatting>
  <conditionalFormatting sqref="C12:F12">
    <cfRule type="dataBar" priority="7">
      <dataBar showValue="1">
        <cfvo type="num" val="0"/>
        <cfvo type="num" val="1"/>
        <color rgb="002E75B6"/>
      </dataBar>
    </cfRule>
  </conditionalFormatting>
  <conditionalFormatting sqref="G12:M12">
    <cfRule type="expression" priority="8" dxfId="3" stopIfTrue="1">
      <formula>ISNUMBER(SEARCH("Enhorabuena",$G$12))</formula>
    </cfRule>
    <cfRule type="expression" priority="9" dxfId="0" stopIfTrue="1">
      <formula>ISNUMBER(SEARCH("ompletad",$G$12))</formula>
    </cfRule>
    <cfRule type="expression" priority="10" dxfId="2" stopIfTrue="1">
      <formula>LEFT($G$12,1)="⚠"</formula>
    </cfRule>
    <cfRule type="expression" priority="11" dxfId="4">
      <formula>ISNUMBER(SEARCH("ejecución",$G$12))</formula>
    </cfRule>
  </conditionalFormatting>
  <conditionalFormatting sqref="D16:D20">
    <cfRule type="dataBar" priority="12">
      <dataBar showValue="0">
        <cfvo type="num" val="0"/>
        <cfvo type="num" val="1"/>
        <color rgb="002E75B6"/>
      </dataBar>
    </cfRule>
  </conditionalFormatting>
  <conditionalFormatting sqref="C16:C20">
    <cfRule type="expression" priority="13" dxfId="0">
      <formula>AND(ISNUMBER(C16),C16&gt;=1)</formula>
    </cfRule>
    <cfRule type="expression" priority="14" dxfId="4">
      <formula>AND(ISNUMBER(C16),C16&gt;0,C16&lt;1)</formula>
    </cfRule>
    <cfRule type="expression" priority="15" dxfId="2">
      <formula>OR(NOT(ISNUMBER(C16)),C16=0)</formula>
    </cfRule>
  </conditionalFormatting>
  <conditionalFormatting sqref="K16:K20">
    <cfRule type="expression" priority="16" dxfId="0">
      <formula>K16="Completado"</formula>
    </cfRule>
    <cfRule type="expression" priority="17" dxfId="4">
      <formula>K16="En curso"</formula>
    </cfRule>
    <cfRule type="expression" priority="18" dxfId="1">
      <formula>OR(K16="Sin actividades",K16="Pesos no válidos",K16="No definitivo")</formula>
    </cfRule>
    <cfRule type="expression" priority="19" dxfId="5">
      <formula>K16="Pendiente"</formula>
    </cfRule>
  </conditionalFormatting>
  <conditionalFormatting sqref="I16:J20">
    <cfRule type="expression" priority="20" dxfId="6">
      <formula>I16&gt;0</formula>
    </cfRule>
  </conditionalFormatting>
  <conditionalFormatting sqref="L16:M20">
    <cfRule type="expression" priority="21" dxfId="3" stopIfTrue="1">
      <formula>ISNUMBER(SEARCH("Enhorabuena",$L16))</formula>
    </cfRule>
    <cfRule type="expression" priority="22" dxfId="0" stopIfTrue="1">
      <formula>ISNUMBER(SEARCH("ompletad",$L16))</formula>
    </cfRule>
    <cfRule type="expression" priority="23" dxfId="2" stopIfTrue="1">
      <formula>LEFT($L16,1)="⚠"</formula>
    </cfRule>
    <cfRule type="expression" priority="24" dxfId="4">
      <formula>ISNUMBER(SEARCH("ejecución",$L16))</formula>
    </cfRule>
  </conditionalFormatting>
  <conditionalFormatting sqref="C25:F29">
    <cfRule type="expression" priority="25" dxfId="0">
      <formula>AND(ISNUMBER(C25),C25&gt;=1)</formula>
    </cfRule>
    <cfRule type="expression" priority="26" dxfId="7">
      <formula>AND(ISNUMBER(C25),C25&lt;INDEX(PlanRef,COLUMN(C25)-2))</formula>
    </cfRule>
  </conditionalFormatting>
  <conditionalFormatting sqref="H25:K29">
    <cfRule type="expression" priority="27" dxfId="2">
      <formula>AND(ISNUMBER(H25),H25&lt;0)</formula>
    </cfRule>
  </conditionalFormatting>
  <conditionalFormatting sqref="H70:H81">
    <cfRule type="expression" priority="28" dxfId="0">
      <formula>LEFT(H70,1)="✔"</formula>
    </cfRule>
    <cfRule type="expression" priority="29" dxfId="1">
      <formula>LEFT(H70,1)="●"</formula>
    </cfRule>
    <cfRule type="expression" priority="30" dxfId="2">
      <formula>LEFT(H70,1)="⚠"</formula>
    </cfRule>
  </conditionalFormatting>
  <conditionalFormatting sqref="H86:H90">
    <cfRule type="expression" priority="31" dxfId="8">
      <formula>H86&gt;0</formula>
    </cfRule>
  </conditionalFormatting>
  <conditionalFormatting sqref="I86:I90">
    <cfRule type="expression" priority="32" dxfId="9">
      <formula>I86&gt;0</formula>
    </cfRule>
  </conditionalFormatting>
  <conditionalFormatting sqref="J86:M90">
    <cfRule type="expression" priority="33" dxfId="8" stopIfTrue="1">
      <formula>$H86&gt;0</formula>
    </cfRule>
    <cfRule type="expression" priority="34" dxfId="9" stopIfTrue="1">
      <formula>$I86&gt;0</formula>
    </cfRule>
    <cfRule type="expression" priority="35" dxfId="0">
      <formula>LEFT($J86,1)="✔"</formula>
    </cfRule>
  </conditionalFormatting>
  <hyperlinks>
    <hyperlink xmlns:r="http://schemas.openxmlformats.org/officeDocument/2006/relationships" ref="B16" r:id="rId1"/>
    <hyperlink xmlns:r="http://schemas.openxmlformats.org/officeDocument/2006/relationships" ref="B17" r:id="rId2"/>
    <hyperlink xmlns:r="http://schemas.openxmlformats.org/officeDocument/2006/relationships" ref="B18" r:id="rId3"/>
    <hyperlink xmlns:r="http://schemas.openxmlformats.org/officeDocument/2006/relationships" ref="B19" r:id="rId4"/>
    <hyperlink xmlns:r="http://schemas.openxmlformats.org/officeDocument/2006/relationships" ref="B86" r:id="rId5"/>
    <hyperlink xmlns:r="http://schemas.openxmlformats.org/officeDocument/2006/relationships" ref="B87" r:id="rId6"/>
    <hyperlink xmlns:r="http://schemas.openxmlformats.org/officeDocument/2006/relationships" ref="B88" r:id="rId7"/>
    <hyperlink xmlns:r="http://schemas.openxmlformats.org/officeDocument/2006/relationships" ref="B89" r:id="rId8"/>
    <hyperlink xmlns:r="http://schemas.openxmlformats.org/officeDocument/2006/relationships" ref="B90" r:id="rId9"/>
  </hyperlinks>
  <pageMargins left="0.3" right="0.3" top="0.4" bottom="0.4" header="0.5" footer="0.5"/>
  <pageSetup orientation="landscape" paperSize="1" fitToHeight="0" fitToWidth="1"/>
  <headerFooter>
    <oddHeader/>
    <oddFooter>&amp;CPágina &amp;P de &amp;N</oddFooter>
    <evenHeader/>
    <evenFooter/>
    <firstHeader/>
    <firstFooter/>
  </headerFooter>
  <rowBreaks count="2" manualBreakCount="2">
    <brk id="34" min="0" max="16383" man="1"/>
    <brk id="66" min="0" max="16383" man="1"/>
  </rowBreaks>
  <drawing xmlns:r="http://schemas.openxmlformats.org/officeDocument/2006/relationships" r:id="rId10"/>
</worksheet>
</file>

<file path=xl/worksheets/sheet2.xml><?xml version="1.0" encoding="utf-8"?>
<worksheet xmlns="http://schemas.openxmlformats.org/spreadsheetml/2006/main">
  <sheetPr>
    <tabColor rgb="00595959"/>
    <outlinePr summaryBelow="1" summaryRight="1"/>
    <pageSetUpPr fitToPage="1"/>
  </sheetPr>
  <dimension ref="A1:AN304"/>
  <sheetViews>
    <sheetView showGridLines="0" zoomScale="90" workbookViewId="0">
      <pane xSplit="3" ySplit="4" topLeftCell="D5" activePane="bottomRight" state="frozen"/>
      <selection pane="topRight"/>
      <selection pane="bottomLeft"/>
      <selection pane="bottomRight" activeCell="A1" sqref="A1"/>
    </sheetView>
  </sheetViews>
  <sheetFormatPr baseColWidth="8" defaultRowHeight="15"/>
  <cols>
    <col width="7" customWidth="1" min="1" max="1"/>
    <col width="15" customWidth="1" min="2" max="2"/>
    <col width="48" customWidth="1" min="3" max="3"/>
    <col width="22" customWidth="1" min="4" max="4"/>
    <col width="12" customWidth="1" min="5" max="5"/>
    <col width="12" customWidth="1" min="6" max="6"/>
    <col width="14" customWidth="1" min="7" max="7"/>
    <col width="12" customWidth="1" min="8" max="8"/>
    <col width="10" customWidth="1" min="9" max="9"/>
    <col width="10" customWidth="1" min="10" max="10"/>
    <col width="10" customWidth="1" min="11" max="11"/>
    <col width="10" customWidth="1" min="12" max="12"/>
    <col width="12" customWidth="1" min="13" max="13"/>
    <col width="12" customWidth="1" min="14" max="14"/>
    <col width="24" customWidth="1" min="15" max="15"/>
    <col width="30" customWidth="1" min="16" max="16"/>
    <col width="36" customWidth="1" min="17" max="17"/>
    <col width="44" customWidth="1" min="18" max="18"/>
    <col width="14"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s>
  <sheetData>
    <row r="1" ht="28" customHeight="1">
      <c r="A1" s="47" t="inlineStr">
        <is>
          <t>Administración (jefatura) – Actividades de la jefatura</t>
        </is>
      </c>
      <c r="B1" s="47" t="n"/>
      <c r="C1" s="47" t="n"/>
      <c r="D1" s="47" t="n"/>
      <c r="E1" s="47" t="n"/>
      <c r="F1" s="47" t="n"/>
      <c r="G1" s="47" t="n"/>
      <c r="H1" s="47" t="n"/>
      <c r="I1" s="47" t="n"/>
      <c r="J1" s="47" t="n"/>
      <c r="K1" s="47" t="n"/>
      <c r="L1" s="47" t="n"/>
      <c r="M1" s="47" t="n"/>
      <c r="N1" s="47" t="n"/>
      <c r="O1" s="47" t="n"/>
      <c r="P1" s="47" t="n"/>
      <c r="Q1" s="47" t="n"/>
      <c r="R1" s="47" t="n"/>
      <c r="S1" s="47" t="n"/>
    </row>
    <row r="2" ht="44" customHeight="1">
      <c r="A2" s="48" t="inlineStr">
        <is>
          <t>Llene solo las celdas GRIS SUAVE; las AZUL CLARO son automáticas. En «Tipo» elija Macroactividad o Subactividad: las subactividades van en las filas de ABAJO de su macroactividad (se ven con ↳) y su promedio da el % de la macroactividad. Cuando termine algo, escriba la FECHA DE CUMPLIMIENTO: queda al 100% y ya no aparece vencido. Si quiere registrar avances parciales, escriba en cada semana el % total logrado hasta esa semana. Cada mes agregue sus actividades debajo de las anteriores (no borre los meses pasados: quedan como historial).</t>
        </is>
      </c>
      <c r="B2" s="48" t="n"/>
      <c r="C2" s="48" t="n"/>
      <c r="D2" s="48" t="n"/>
      <c r="E2" s="48" t="n"/>
      <c r="F2" s="48" t="n"/>
      <c r="G2" s="48" t="n"/>
      <c r="H2" s="48" t="n"/>
      <c r="I2" s="48" t="n"/>
      <c r="J2" s="48" t="n"/>
      <c r="K2" s="48" t="n"/>
      <c r="L2" s="48" t="n"/>
      <c r="M2" s="48" t="n"/>
      <c r="N2" s="48" t="n"/>
      <c r="O2" s="48" t="n"/>
      <c r="P2" s="48" t="n"/>
      <c r="Q2" s="48" t="n"/>
      <c r="R2" s="48" t="n"/>
      <c r="S2" s="48" t="n"/>
    </row>
    <row r="3" ht="22" customHeight="1">
      <c r="A3" s="49" t="inlineStr">
        <is>
          <t>Llenar</t>
        </is>
      </c>
      <c r="B3" s="50" t="inlineStr">
        <is>
          <t>Automático</t>
        </is>
      </c>
      <c r="C3" s="51" t="inlineStr">
        <is>
          <t>Macroactividad (fila resaltada)</t>
        </is>
      </c>
      <c r="E3" s="6" t="inlineStr">
        <is>
          <t>Peso: solo macroactividades. Si lo deja vacío valen igual; si lo escribe, se ajusta solo a 100%.</t>
        </is>
      </c>
      <c r="F3" s="6" t="n"/>
      <c r="G3" s="6" t="n"/>
      <c r="H3" s="6" t="n"/>
      <c r="I3" s="6" t="n"/>
      <c r="J3" s="6" t="n"/>
      <c r="K3" s="52" t="inlineStr">
        <is>
          <t>Plazos del mes:</t>
        </is>
      </c>
      <c r="M3" s="43">
        <f>COUNTIFS($S$5:$S$1000,MesCiclo,$O$5:$O$1000,"Vencida*")&amp;" vencida(s)  ·  "&amp;COUNTIFS($S$5:$S$1000,MesCiclo,$O$5:$O$1000,"Vence*")&amp;" por vencer"</f>
        <v/>
      </c>
      <c r="N3" s="43" t="n"/>
      <c r="O3" s="43" t="n"/>
      <c r="Q3" s="53" t="inlineStr">
        <is>
          <t>En «Delegar a» elija el puesto: la actividad le llega a su Cronograma y aquí verá su avance.</t>
        </is>
      </c>
      <c r="R3" s="53" t="n"/>
      <c r="S3" s="53" t="n"/>
    </row>
    <row r="4" ht="42" customHeight="1">
      <c r="A4" s="54" t="inlineStr">
        <is>
          <t>N°</t>
        </is>
      </c>
      <c r="B4" s="55" t="inlineStr">
        <is>
          <t>Tipo</t>
        </is>
      </c>
      <c r="C4" s="55" t="inlineStr">
        <is>
          <t>Actividad</t>
        </is>
      </c>
      <c r="D4" s="55" t="inlineStr">
        <is>
          <t>Delegar a</t>
        </is>
      </c>
      <c r="E4" s="55" t="inlineStr">
        <is>
          <t>Fecha de inicio</t>
        </is>
      </c>
      <c r="F4" s="55" t="inlineStr">
        <is>
          <t>Fecha límite</t>
        </is>
      </c>
      <c r="G4" s="55" t="inlineStr">
        <is>
          <t>Fecha de cumplimiento</t>
        </is>
      </c>
      <c r="H4" s="55" t="inlineStr">
        <is>
          <t>Peso (%)</t>
        </is>
      </c>
      <c r="I4" s="55" t="inlineStr">
        <is>
          <t>Avance Semana 1 (%)</t>
        </is>
      </c>
      <c r="J4" s="55" t="inlineStr">
        <is>
          <t>Avance Semana 2 (%)</t>
        </is>
      </c>
      <c r="K4" s="55" t="inlineStr">
        <is>
          <t>Avance Semana 3 (%)</t>
        </is>
      </c>
      <c r="L4" s="55" t="inlineStr">
        <is>
          <t>Avance Semana 4 (%)</t>
        </is>
      </c>
      <c r="M4" s="54" t="inlineStr">
        <is>
          <t>% de Avance Total Actual</t>
        </is>
      </c>
      <c r="N4" s="54" t="inlineStr">
        <is>
          <t>Estado</t>
        </is>
      </c>
      <c r="O4" s="54" t="inlineStr">
        <is>
          <t>Alerta de plazo</t>
        </is>
      </c>
      <c r="P4" s="54" t="inlineStr">
        <is>
          <t>Seguimiento de la delegación</t>
        </is>
      </c>
      <c r="Q4" s="55" t="inlineStr">
        <is>
          <t>Observaciones</t>
        </is>
      </c>
      <c r="R4" s="54" t="inlineStr">
        <is>
          <t>Revisión automática (alertas)</t>
        </is>
      </c>
      <c r="S4" s="54" t="inlineStr">
        <is>
          <t>Mes</t>
        </is>
      </c>
      <c r="T4" s="54" t="inlineStr">
        <is>
          <t>Orden en el mes (aux)</t>
        </is>
      </c>
      <c r="U4" s="54" t="inlineStr">
        <is>
          <t>Grupo (aux)</t>
        </is>
      </c>
      <c r="V4" s="54" t="inlineStr">
        <is>
          <t>Tipo (aux)</t>
        </is>
      </c>
      <c r="W4" s="54" t="inlineStr">
        <is>
          <t>N subactividades (aux)</t>
        </is>
      </c>
      <c r="X4" s="54" t="inlineStr">
        <is>
          <t>Avance propio (aux)</t>
        </is>
      </c>
      <c r="Y4" s="54" t="inlineStr">
        <is>
          <t>Propio S1 (aux)</t>
        </is>
      </c>
      <c r="Z4" s="54" t="inlineStr">
        <is>
          <t>Propio S2 (aux)</t>
        </is>
      </c>
      <c r="AA4" s="54" t="inlineStr">
        <is>
          <t>Propio S3 (aux)</t>
        </is>
      </c>
      <c r="AB4" s="54" t="inlineStr">
        <is>
          <t>Propio S4 (aux)</t>
        </is>
      </c>
      <c r="AC4" s="54" t="inlineStr">
        <is>
          <t>Efectivo S1 (aux)</t>
        </is>
      </c>
      <c r="AD4" s="54" t="inlineStr">
        <is>
          <t>Efectivo S2 (aux)</t>
        </is>
      </c>
      <c r="AE4" s="54" t="inlineStr">
        <is>
          <t>Efectivo S3 (aux)</t>
        </is>
      </c>
      <c r="AF4" s="54" t="inlineStr">
        <is>
          <t>Efectivo S4 (aux)</t>
        </is>
      </c>
      <c r="AG4" s="54" t="inlineStr">
        <is>
          <t>Peso efectivo (aux)</t>
        </is>
      </c>
      <c r="AH4" s="54" t="inlineStr">
        <is>
          <t>Fila en el puesto (aux)</t>
        </is>
      </c>
      <c r="AI4" s="54" t="inlineStr">
        <is>
          <t>N° delegada en el mes (aux)</t>
        </is>
      </c>
      <c r="AJ4" s="54" t="inlineStr">
        <is>
          <t>Clave delegada (aux)</t>
        </is>
      </c>
      <c r="AK4" s="54" t="inlineStr">
        <is>
          <t>Clave puesto-actividad (aux)</t>
        </is>
      </c>
      <c r="AL4" s="54" t="inlineStr">
        <is>
          <t>Fila en Administración (aux)</t>
        </is>
      </c>
      <c r="AM4" s="54" t="inlineStr">
        <is>
          <t>Inicio efectivo (aux)</t>
        </is>
      </c>
      <c r="AN4" s="54" t="inlineStr">
        <is>
          <t>Límite efectivo (aux)</t>
        </is>
      </c>
    </row>
    <row r="5">
      <c r="A5" s="56">
        <f>IF(NOT((COUNTA($B5:$D5)+COUNTA($G5:$L5)+COUNTA($Q5))&gt;0),"",IF($V5="Macro",COUNTIFS($V$5:$V5,"Macro",$S$5:$S5,$S5),IF(N($U5)=0,"?",COUNTIFS(INDEX($V$5:$V$1000,1):INDEX($V$5:$V$1000,$U5-4),"Macro",INDEX($S$5:$S$1000,1):INDEX($S$5:$S$1000,$U5-4),INDEX($S$5:$S$1000,$U5-4))&amp;"."&amp;COUNTIFS($U$5:$U5,$U5,$V$5:$V5,"Sub"))))</f>
        <v/>
      </c>
      <c r="B5" s="57" t="n"/>
      <c r="C5" s="58" t="n"/>
      <c r="D5" s="58" t="n"/>
      <c r="E5" s="59" t="n"/>
      <c r="F5" s="59" t="n"/>
      <c r="G5" s="59" t="n"/>
      <c r="H5" s="60" t="n"/>
      <c r="I5" s="60" t="n"/>
      <c r="J5" s="60" t="n"/>
      <c r="K5" s="60" t="n"/>
      <c r="L5" s="60" t="n"/>
      <c r="M5" s="61">
        <f>IF(NOT((COUNTA($B5:$D5)+COUNTA($G5:$L5)+COUNTA($Q5))&gt;0),"",IF(AND($D5&lt;&gt;"",$V5="Macro"),IF(N($AH5)&gt;0,N(CHOOSE(MATCH($D5,ListaPuestos,0),INDEX('Cronograma R. Operacional'!$M$5:$M$1000,$AH5),INDEX('Cronograma R. Normativo'!$M$5:$M$1000,$AH5),INDEX('Cronograma R. Financiero'!$M$5:$M$1000,$AH5),INDEX('Cronograma Asistente Técnico'!$M$5:$M$1000,$AH5))),0),IF(ISNUMBER($G5),1,IF(N($W5)&gt;0,AVERAGEIFS($X$5:$X$1000,$U$5:$U$1000,ROW(),$V$5:$V$1000,"Sub"),$X5))))</f>
        <v/>
      </c>
      <c r="N5" s="56">
        <f>IF(OR($M5="",$V5="Sub"),"",IF($M5&gt;=1,"Completado",IF($M5&gt;0,"En curso","Pendiente")))</f>
        <v/>
      </c>
      <c r="O5" s="56">
        <f>IF(NOT((COUNTA($B5:$D5)+COUNTA($G5:$L5)+COUNTA($Q5))&gt;0),"",IF(AND(AND($D5&lt;&gt;"",$V5="Macro"),N($AH5)&gt;0),CHOOSE(MATCH($D5,ListaPuestos,0),INDEX('Cronograma R. Operacional'!$O$5:$O$1000,$AH5),INDEX('Cronograma R. Normativo'!$O$5:$O$1000,$AH5),INDEX('Cronograma R. Financiero'!$O$5:$O$1000,$AH5),INDEX('Cronograma Asistente Técnico'!$O$5:$O$1000,$AH5))&amp;"",IF(ISNUMBER($G5),IF(AND(ISNUMBER($AN5),$G5&gt;$AN5),"Cumplida con "&amp;($G5-$AN5)&amp;IF($G5-$AN5=1," día"," días")&amp;" de retraso","Cumplida"),IF(N($M5)&gt;=1,"Cumplida",IF(NOT(ISNUMBER($AN5)),"Sin fecha límite",IF($AN5&lt;FechaRef,"Vencida hace "&amp;(FechaRef-$AN5)&amp;IF(FechaRef-$AN5=1," día"," días"),IF($AN5=FechaRef,"Vence hoy",IF($AN5-FechaRef&lt;=DiasAlerta,"Vence en "&amp;($AN5-FechaRef)&amp;IF($AN5-FechaRef=1," día"," días"),"En plazo"))))))))</f>
        <v/>
      </c>
      <c r="P5" s="62">
        <f>IF(NOT((COUNTA($B5:$D5)+COUNTA($G5:$L5)+COUNTA($Q5))&gt;0),"",IF($D5="","Propia",IF($V5&lt;&gt;"Macro","Solo se delegan macroactividades",IF(N($AH5)&gt;0,"✔ Recibida por "&amp;$D5,"⚠ "&amp;$D5&amp;" aún no la agrega"))))</f>
        <v/>
      </c>
      <c r="Q5" s="58" t="n"/>
      <c r="R5" s="63">
        <f>IF(NOT((COUNTA($B5:$D5)+COUNTA($G5:$L5)+COUNTA($Q5))&gt;0),"",IF((IF($C5="","Falta el nombre de la actividad"&amp;" · ","")&amp;IF(AND($V5="Sub",N($U5)=0),"Subactividad sin macroactividad arriba"&amp;" · ","")&amp;IF($AM5="","Sin fecha de inicio"&amp;" · ","")&amp;IF($AN5="","Sin fecha límite"&amp;" · ","")&amp;IF(AND(LEFT($C5,11)="[Jefatura] ",N($AL5)=0),"No se encuentra en la hoja de la jefatura (elíjala de nuevo en la lista)"&amp;" · ","")&amp;IF(OR(AND($E5&lt;&gt;"",NOT(ISNUMBER($E5))),AND($F5&lt;&gt;"",NOT(ISNUMBER($F5))),AND($G5&lt;&gt;"",NOT(ISNUMBER($G5)))),"Fecha no válida"&amp;" · ","")&amp;IF(AND(ISNUMBER($AM5),ISNUMBER($AN5),$AM5&gt;$AN5),"Inicio posterior a fecha límite"&amp;" · ","")&amp;IF(AND($V5="Macro",$H5&lt;&gt;"",OR(NOT(ISNUMBER($H5)),$H5&lt;0,$H5&gt;1)),"Peso fuera de rango"&amp;" · ","")&amp;IF(AND($V5="Sub",$H5&lt;&gt;""),"Las subactividades no llevan peso (valen igual dentro de su macroactividad)"&amp;" · ","")&amp;IF(AND(N($W5)&gt;0,COUNT($I5:$L5)&gt;0),"Con subactividades: deje vacías las semanas (se calculan solas)"&amp;" · ","")&amp;IF((COUNTIF($I5:$L5,"&gt;1")+COUNTIF($I5:$L5,"&lt;0")+COUNTA($I5:$L5)-COUNT($I5:$L5))&gt;0,"Avance fuera de rango 0-100%"&amp;" · ","")&amp;IF(OR(AND($J5&lt;&gt;"",$J5&lt;$I5),AND($K5&lt;&gt;"",$K5&lt;MAX($I5:$J5)),AND($L5&lt;&gt;"",$L5&lt;MAX($I5:$K5))),"Avance semanal decreciente"&amp;" · ","")&amp;IF(AND(ISNUMBER($AN5),$AN5&lt;FechaRef,IF($V5="Sub",N($X5),N($M5))&lt;1),"Vencida"&amp;" · ","")&amp;IF(AND(ObsObligatoria="Sí",ISNUMBER($AN5),$AN5&lt;FechaRef,IF($V5="Sub",N($X5),N($M5))&lt;1,$Q5=""),"Vencida sin observación"&amp;" · ",""))="","✔ OK","⚠ "&amp;LEFT(IF($C5="","Falta el nombre de la actividad"&amp;" · ","")&amp;IF(AND($V5="Sub",N($U5)=0),"Subactividad sin macroactividad arriba"&amp;" · ","")&amp;IF($AM5="","Sin fecha de inicio"&amp;" · ","")&amp;IF($AN5="","Sin fecha límite"&amp;" · ","")&amp;IF(AND(LEFT($C5,11)="[Jefatura] ",N($AL5)=0),"No se encuentra en la hoja de la jefatura (elíjala de nuevo en la lista)"&amp;" · ","")&amp;IF(OR(AND($E5&lt;&gt;"",NOT(ISNUMBER($E5))),AND($F5&lt;&gt;"",NOT(ISNUMBER($F5))),AND($G5&lt;&gt;"",NOT(ISNUMBER($G5)))),"Fecha no válida"&amp;" · ","")&amp;IF(AND(ISNUMBER($AM5),ISNUMBER($AN5),$AM5&gt;$AN5),"Inicio posterior a fecha límite"&amp;" · ","")&amp;IF(AND($V5="Macro",$H5&lt;&gt;"",OR(NOT(ISNUMBER($H5)),$H5&lt;0,$H5&gt;1)),"Peso fuera de rango"&amp;" · ","")&amp;IF(AND($V5="Sub",$H5&lt;&gt;""),"Las subactividades no llevan peso (valen igual dentro de su macroactividad)"&amp;" · ","")&amp;IF(AND(N($W5)&gt;0,COUNT($I5:$L5)&gt;0),"Con subactividades: deje vacías las semanas (se calculan solas)"&amp;" · ","")&amp;IF((COUNTIF($I5:$L5,"&gt;1")+COUNTIF($I5:$L5,"&lt;0")+COUNTA($I5:$L5)-COUNT($I5:$L5))&gt;0,"Avance fuera de rango 0-100%"&amp;" · ","")&amp;IF(OR(AND($J5&lt;&gt;"",$J5&lt;$I5),AND($K5&lt;&gt;"",$K5&lt;MAX($I5:$J5)),AND($L5&lt;&gt;"",$L5&lt;MAX($I5:$K5))),"Avance semanal decreciente"&amp;" · ","")&amp;IF(AND(ISNUMBER($AN5),$AN5&lt;FechaRef,IF($V5="Sub",N($X5),N($M5))&lt;1),"Vencida"&amp;" · ","")&amp;IF(AND(ObsObligatoria="Sí",ISNUMBER($AN5),$AN5&lt;FechaRef,IF($V5="Sub",N($X5),N($M5))&lt;1,$Q5=""),"Vencida sin observación"&amp;" · ",""),LEN(IF($C5="","Falta el nombre de la actividad"&amp;" · ","")&amp;IF(AND($V5="Sub",N($U5)=0),"Subactividad sin macroactividad arriba"&amp;" · ","")&amp;IF($AM5="","Sin fecha de inicio"&amp;" · ","")&amp;IF($AN5="","Sin fecha límite"&amp;" · ","")&amp;IF(AND(LEFT($C5,11)="[Jefatura] ",N($AL5)=0),"No se encuentra en la hoja de la jefatura (elíjala de nuevo en la lista)"&amp;" · ","")&amp;IF(OR(AND($E5&lt;&gt;"",NOT(ISNUMBER($E5))),AND($F5&lt;&gt;"",NOT(ISNUMBER($F5))),AND($G5&lt;&gt;"",NOT(ISNUMBER($G5)))),"Fecha no válida"&amp;" · ","")&amp;IF(AND(ISNUMBER($AM5),ISNUMBER($AN5),$AM5&gt;$AN5),"Inicio posterior a fecha límite"&amp;" · ","")&amp;IF(AND($V5="Macro",$H5&lt;&gt;"",OR(NOT(ISNUMBER($H5)),$H5&lt;0,$H5&gt;1)),"Peso fuera de rango"&amp;" · ","")&amp;IF(AND($V5="Sub",$H5&lt;&gt;""),"Las subactividades no llevan peso (valen igual dentro de su macroactividad)"&amp;" · ","")&amp;IF(AND(N($W5)&gt;0,COUNT($I5:$L5)&gt;0),"Con subactividades: deje vacías las semanas (se calculan solas)"&amp;" · ","")&amp;IF((COUNTIF($I5:$L5,"&gt;1")+COUNTIF($I5:$L5,"&lt;0")+COUNTA($I5:$L5)-COUNT($I5:$L5))&gt;0,"Avance fuera de rango 0-100%"&amp;" · ","")&amp;IF(OR(AND($J5&lt;&gt;"",$J5&lt;$I5),AND($K5&lt;&gt;"",$K5&lt;MAX($I5:$J5)),AND($L5&lt;&gt;"",$L5&lt;MAX($I5:$K5))),"Avance semanal decreciente"&amp;" · ","")&amp;IF(AND(ISNUMBER($AN5),$AN5&lt;FechaRef,IF($V5="Sub",N($X5),N($M5))&lt;1),"Vencida"&amp;" · ","")&amp;IF(AND(ObsObligatoria="Sí",ISNUMBER($AN5),$AN5&lt;FechaRef,IF($V5="Sub",N($X5),N($M5))&lt;1,$Q5=""),"Vencida sin observación"&amp;" · ",""))-3)))</f>
        <v/>
      </c>
      <c r="S5" s="64">
        <f>IF(NOT((COUNTA($B5:$D5)+COUNTA($G5:$L5)+COUNTA($Q5))&gt;0),"",IF(AND($V5="Sub",N($U5)&gt;0),IF(ISNUMBER(INDEX($AM$5:$AM$1000,$U5-4)),DATE(YEAR(INDEX($AM$5:$AM$1000,$U5-4)),MONTH(INDEX($AM$5:$AM$1000,$U5-4)),1),IF(ISNUMBER(INDEX($AN$5:$AN$1000,$U5-4)),DATE(YEAR(INDEX($AN$5:$AN$1000,$U5-4)),MONTH(INDEX($AN$5:$AN$1000,$U5-4)),1),MesCiclo)),IF(ISNUMBER($AM5),DATE(YEAR($AM5),MONTH($AM5),1),IF(ISNUMBER($AN5),DATE(YEAR($AN5),MONTH($AN5),1),MesCiclo))))</f>
        <v/>
      </c>
      <c r="T5" s="62">
        <f>IF(OR($S5="",$S5&lt;&gt;MesCiclo,$V5&lt;&gt;"Macro"),"",COUNTIFS($S$5:$S5,MesCiclo,$V$5:$V5,"Macro"))</f>
        <v/>
      </c>
      <c r="U5" s="62">
        <f>IF($V5="","",IF($V5="Macro",ROW(),IFERROR(LOOKUP(2,1/($V$5:$V5="Macro"),ROW($V$5:$V5)),0)))</f>
        <v/>
      </c>
      <c r="V5" s="62">
        <f>IF(NOT((COUNTA($B5:$D5)+COUNTA($G5:$L5)+COUNTA($Q5))&gt;0),"",IF($B5="Subactividad","Sub","Macro"))</f>
        <v/>
      </c>
      <c r="W5" s="62">
        <f>IF($V5="Macro",COUNTIFS($U$5:$U$1000,ROW(),$V$5:$V$1000,"Sub"),"")</f>
        <v/>
      </c>
      <c r="X5" s="62">
        <f>IF($V5="","",IF(ISNUMBER($G5),1,IFERROR(LOOKUP(2,1/($I5:$L5&lt;&gt;""),$I5:$L5),0)))</f>
        <v/>
      </c>
      <c r="Y5" s="62">
        <f>IF($V5="","",IF(AND(ISNUMBER($G5),$G5&lt;=IF($S5=MesCiclo,InicioCiclo,$S5+MOD(2-WEEKDAY($S5),7))+6),1,IF(ISNUMBER($I5),$I5,0)))</f>
        <v/>
      </c>
      <c r="Z5" s="62">
        <f>IF($V5="","",IF(AND(ISNUMBER($G5),$G5&lt;=IF($S5=MesCiclo,InicioCiclo,$S5+MOD(2-WEEKDAY($S5),7))+13),1,IF(ISNUMBER($J5),$J5,$Y5)))</f>
        <v/>
      </c>
      <c r="AA5" s="62">
        <f>IF($V5="","",IF(AND(ISNUMBER($G5),$G5&lt;=IF($S5=MesCiclo,InicioCiclo,$S5+MOD(2-WEEKDAY($S5),7))+20),1,IF(ISNUMBER($K5),$K5,$Z5)))</f>
        <v/>
      </c>
      <c r="AB5" s="62">
        <f>IF($V5="","",IF(AND(ISNUMBER($G5),$G5&lt;=IF($S5=MesCiclo,InicioCiclo,$S5+MOD(2-WEEKDAY($S5),7))+27),1,IF(ISNUMBER($L5),$L5,$AA5)))</f>
        <v/>
      </c>
      <c r="AC5" s="62">
        <f>IF($V5="","",IF(AND(ISNUMBER($G5),$G5&lt;=IF($S5=MesCiclo,InicioCiclo,$S5+MOD(2-WEEKDAY($S5),7))+6),1,IF(N($W5)&gt;0,AVERAGEIFS($Y$5:$Y$1000,$U$5:$U$1000,ROW(),$V$5:$V$1000,"Sub"),$Y5)))</f>
        <v/>
      </c>
      <c r="AD5" s="62">
        <f>IF($V5="","",IF(AND(ISNUMBER($G5),$G5&lt;=IF($S5=MesCiclo,InicioCiclo,$S5+MOD(2-WEEKDAY($S5),7))+13),1,IF(N($W5)&gt;0,AVERAGEIFS($Z$5:$Z$1000,$U$5:$U$1000,ROW(),$V$5:$V$1000,"Sub"),$Z5)))</f>
        <v/>
      </c>
      <c r="AE5" s="62">
        <f>IF($V5="","",IF(AND(ISNUMBER($G5),$G5&lt;=IF($S5=MesCiclo,InicioCiclo,$S5+MOD(2-WEEKDAY($S5),7))+20),1,IF(N($W5)&gt;0,AVERAGEIFS($AA$5:$AA$1000,$U$5:$U$1000,ROW(),$V$5:$V$1000,"Sub"),$AA5)))</f>
        <v/>
      </c>
      <c r="AF5" s="62">
        <f>IF($V5="","",IF(AND(ISNUMBER($G5),$G5&lt;=IF($S5=MesCiclo,InicioCiclo,$S5+MOD(2-WEEKDAY($S5),7))+27),1,IF(N($W5)&gt;0,AVERAGEIFS($AB$5:$AB$1000,$U$5:$U$1000,ROW(),$V$5:$V$1000,"Sub"),$AB5)))</f>
        <v/>
      </c>
      <c r="AG5" s="62">
        <f>IF($V5&lt;&gt;"Macro","",IF(COUNTIFS($S$5:$S$1000,$S5,$V$5:$V$1000,"Macro",$H$5:$H$1000,"&gt;0")=0,1/COUNTIFS($S$5:$S$1000,$S5,$V$5:$V$1000,"Macro"),IF(AND(ISNUMBER($H5),N($H5)&gt;0),$H5,SUMIFS($H$5:$H$1000,$S$5:$S$1000,$S5,$V$5:$V$1000,"Macro")/COUNTIFS($S$5:$S$1000,$S5,$V$5:$V$1000,"Macro",$H$5:$H$1000,"&gt;0"))/(COUNTIFS($S$5:$S$1000,$S5,$V$5:$V$1000,"Macro")*SUMIFS($H$5:$H$1000,$S$5:$S$1000,$S5,$V$5:$V$1000,"Macro")/COUNTIFS($S$5:$S$1000,$S5,$V$5:$V$1000,"Macro",$H$5:$H$1000,"&gt;0"))))</f>
        <v/>
      </c>
      <c r="AH5" s="62">
        <f>IF(NOT(AND($D5&lt;&gt;"",$V5="Macro")),"",IFERROR(CHOOSE(MATCH($D5,ListaPuestos,0),MATCH("[Jefatura] "&amp;$C5,'Cronograma R. Operacional'!$C$5:$C$1000,0),MATCH("[Jefatura] "&amp;$C5,'Cronograma R. Normativo'!$C$5:$C$1000,0),MATCH("[Jefatura] "&amp;$C5,'Cronograma R. Financiero'!$C$5:$C$1000,0),MATCH("[Jefatura] "&amp;$C5,'Cronograma Asistente Técnico'!$C$5:$C$1000,0)),0))</f>
        <v/>
      </c>
      <c r="AI5" s="62">
        <f>IF(AND(AND($D5&lt;&gt;"",$V5="Macro"),$S5=MesCiclo),COUNTIFS($D$5:$D5,$D5,$S$5:$S5,MesCiclo,$V$5:$V5,"Macro"),"")</f>
        <v/>
      </c>
      <c r="AJ5" s="62">
        <f>IF($AI5="","",$D5&amp;"|"&amp;$AI5)</f>
        <v/>
      </c>
      <c r="AK5" s="62">
        <f>IF(AND($D5&lt;&gt;"",$V5="Macro"),$D5&amp;"|"&amp;$C5,"")</f>
        <v/>
      </c>
      <c r="AL5" s="62">
        <f>""</f>
        <v/>
      </c>
      <c r="AM5" s="62">
        <f>IF(N($AL5)&gt;0,INDEX(rIni_ADM,$AL5),IF(ISNUMBER($E5),$E5,""))</f>
        <v/>
      </c>
      <c r="AN5" s="62">
        <f>IF(N($AL5)&gt;0,INDEX(rLim_ADM,$AL5),IF(ISNUMBER($F5),$F5,""))</f>
        <v/>
      </c>
    </row>
    <row r="6">
      <c r="A6" s="56">
        <f>IF(NOT((COUNTA($B6:$D6)+COUNTA($G6:$L6)+COUNTA($Q6))&gt;0),"",IF($V6="Macro",COUNTIFS($V$5:$V6,"Macro",$S$5:$S6,$S6),IF(N($U6)=0,"?",COUNTIFS(INDEX($V$5:$V$1000,1):INDEX($V$5:$V$1000,$U6-4),"Macro",INDEX($S$5:$S$1000,1):INDEX($S$5:$S$1000,$U6-4),INDEX($S$5:$S$1000,$U6-4))&amp;"."&amp;COUNTIFS($U$5:$U6,$U6,$V$5:$V6,"Sub"))))</f>
        <v/>
      </c>
      <c r="B6" s="57" t="n"/>
      <c r="C6" s="58" t="n"/>
      <c r="D6" s="58" t="n"/>
      <c r="E6" s="59" t="n"/>
      <c r="F6" s="59" t="n"/>
      <c r="G6" s="59" t="n"/>
      <c r="H6" s="60" t="n"/>
      <c r="I6" s="60" t="n"/>
      <c r="J6" s="60" t="n"/>
      <c r="K6" s="60" t="n"/>
      <c r="L6" s="60" t="n"/>
      <c r="M6" s="61">
        <f>IF(NOT((COUNTA($B6:$D6)+COUNTA($G6:$L6)+COUNTA($Q6))&gt;0),"",IF(AND($D6&lt;&gt;"",$V6="Macro"),IF(N($AH6)&gt;0,N(CHOOSE(MATCH($D6,ListaPuestos,0),INDEX('Cronograma R. Operacional'!$M$5:$M$1000,$AH6),INDEX('Cronograma R. Normativo'!$M$5:$M$1000,$AH6),INDEX('Cronograma R. Financiero'!$M$5:$M$1000,$AH6),INDEX('Cronograma Asistente Técnico'!$M$5:$M$1000,$AH6))),0),IF(ISNUMBER($G6),1,IF(N($W6)&gt;0,AVERAGEIFS($X$5:$X$1000,$U$5:$U$1000,ROW(),$V$5:$V$1000,"Sub"),$X6))))</f>
        <v/>
      </c>
      <c r="N6" s="56">
        <f>IF(OR($M6="",$V6="Sub"),"",IF($M6&gt;=1,"Completado",IF($M6&gt;0,"En curso","Pendiente")))</f>
        <v/>
      </c>
      <c r="O6" s="56">
        <f>IF(NOT((COUNTA($B6:$D6)+COUNTA($G6:$L6)+COUNTA($Q6))&gt;0),"",IF(AND(AND($D6&lt;&gt;"",$V6="Macro"),N($AH6)&gt;0),CHOOSE(MATCH($D6,ListaPuestos,0),INDEX('Cronograma R. Operacional'!$O$5:$O$1000,$AH6),INDEX('Cronograma R. Normativo'!$O$5:$O$1000,$AH6),INDEX('Cronograma R. Financiero'!$O$5:$O$1000,$AH6),INDEX('Cronograma Asistente Técnico'!$O$5:$O$1000,$AH6))&amp;"",IF(ISNUMBER($G6),IF(AND(ISNUMBER($AN6),$G6&gt;$AN6),"Cumplida con "&amp;($G6-$AN6)&amp;IF($G6-$AN6=1," día"," días")&amp;" de retraso","Cumplida"),IF(N($M6)&gt;=1,"Cumplida",IF(NOT(ISNUMBER($AN6)),"Sin fecha límite",IF($AN6&lt;FechaRef,"Vencida hace "&amp;(FechaRef-$AN6)&amp;IF(FechaRef-$AN6=1," día"," días"),IF($AN6=FechaRef,"Vence hoy",IF($AN6-FechaRef&lt;=DiasAlerta,"Vence en "&amp;($AN6-FechaRef)&amp;IF($AN6-FechaRef=1," día"," días"),"En plazo"))))))))</f>
        <v/>
      </c>
      <c r="P6" s="62">
        <f>IF(NOT((COUNTA($B6:$D6)+COUNTA($G6:$L6)+COUNTA($Q6))&gt;0),"",IF($D6="","Propia",IF($V6&lt;&gt;"Macro","Solo se delegan macroactividades",IF(N($AH6)&gt;0,"✔ Recibida por "&amp;$D6,"⚠ "&amp;$D6&amp;" aún no la agrega"))))</f>
        <v/>
      </c>
      <c r="Q6" s="58" t="n"/>
      <c r="R6" s="63">
        <f>IF(NOT((COUNTA($B6:$D6)+COUNTA($G6:$L6)+COUNTA($Q6))&gt;0),"",IF((IF($C6="","Falta el nombre de la actividad"&amp;" · ","")&amp;IF(AND($V6="Sub",N($U6)=0),"Subactividad sin macroactividad arriba"&amp;" · ","")&amp;IF($AM6="","Sin fecha de inicio"&amp;" · ","")&amp;IF($AN6="","Sin fecha límite"&amp;" · ","")&amp;IF(AND(LEFT($C6,11)="[Jefatura] ",N($AL6)=0),"No se encuentra en la hoja de la jefatura (elíjala de nuevo en la lista)"&amp;" · ","")&amp;IF(OR(AND($E6&lt;&gt;"",NOT(ISNUMBER($E6))),AND($F6&lt;&gt;"",NOT(ISNUMBER($F6))),AND($G6&lt;&gt;"",NOT(ISNUMBER($G6)))),"Fecha no válida"&amp;" · ","")&amp;IF(AND(ISNUMBER($AM6),ISNUMBER($AN6),$AM6&gt;$AN6),"Inicio posterior a fecha límite"&amp;" · ","")&amp;IF(AND($V6="Macro",$H6&lt;&gt;"",OR(NOT(ISNUMBER($H6)),$H6&lt;0,$H6&gt;1)),"Peso fuera de rango"&amp;" · ","")&amp;IF(AND($V6="Sub",$H6&lt;&gt;""),"Las subactividades no llevan peso (valen igual dentro de su macroactividad)"&amp;" · ","")&amp;IF(AND(N($W6)&gt;0,COUNT($I6:$L6)&gt;0),"Con subactividades: deje vacías las semanas (se calculan solas)"&amp;" · ","")&amp;IF((COUNTIF($I6:$L6,"&gt;1")+COUNTIF($I6:$L6,"&lt;0")+COUNTA($I6:$L6)-COUNT($I6:$L6))&gt;0,"Avance fuera de rango 0-100%"&amp;" · ","")&amp;IF(OR(AND($J6&lt;&gt;"",$J6&lt;$I6),AND($K6&lt;&gt;"",$K6&lt;MAX($I6:$J6)),AND($L6&lt;&gt;"",$L6&lt;MAX($I6:$K6))),"Avance semanal decreciente"&amp;" · ","")&amp;IF(AND(ISNUMBER($AN6),$AN6&lt;FechaRef,IF($V6="Sub",N($X6),N($M6))&lt;1),"Vencida"&amp;" · ","")&amp;IF(AND(ObsObligatoria="Sí",ISNUMBER($AN6),$AN6&lt;FechaRef,IF($V6="Sub",N($X6),N($M6))&lt;1,$Q6=""),"Vencida sin observación"&amp;" · ",""))="","✔ OK","⚠ "&amp;LEFT(IF($C6="","Falta el nombre de la actividad"&amp;" · ","")&amp;IF(AND($V6="Sub",N($U6)=0),"Subactividad sin macroactividad arriba"&amp;" · ","")&amp;IF($AM6="","Sin fecha de inicio"&amp;" · ","")&amp;IF($AN6="","Sin fecha límite"&amp;" · ","")&amp;IF(AND(LEFT($C6,11)="[Jefatura] ",N($AL6)=0),"No se encuentra en la hoja de la jefatura (elíjala de nuevo en la lista)"&amp;" · ","")&amp;IF(OR(AND($E6&lt;&gt;"",NOT(ISNUMBER($E6))),AND($F6&lt;&gt;"",NOT(ISNUMBER($F6))),AND($G6&lt;&gt;"",NOT(ISNUMBER($G6)))),"Fecha no válida"&amp;" · ","")&amp;IF(AND(ISNUMBER($AM6),ISNUMBER($AN6),$AM6&gt;$AN6),"Inicio posterior a fecha límite"&amp;" · ","")&amp;IF(AND($V6="Macro",$H6&lt;&gt;"",OR(NOT(ISNUMBER($H6)),$H6&lt;0,$H6&gt;1)),"Peso fuera de rango"&amp;" · ","")&amp;IF(AND($V6="Sub",$H6&lt;&gt;""),"Las subactividades no llevan peso (valen igual dentro de su macroactividad)"&amp;" · ","")&amp;IF(AND(N($W6)&gt;0,COUNT($I6:$L6)&gt;0),"Con subactividades: deje vacías las semanas (se calculan solas)"&amp;" · ","")&amp;IF((COUNTIF($I6:$L6,"&gt;1")+COUNTIF($I6:$L6,"&lt;0")+COUNTA($I6:$L6)-COUNT($I6:$L6))&gt;0,"Avance fuera de rango 0-100%"&amp;" · ","")&amp;IF(OR(AND($J6&lt;&gt;"",$J6&lt;$I6),AND($K6&lt;&gt;"",$K6&lt;MAX($I6:$J6)),AND($L6&lt;&gt;"",$L6&lt;MAX($I6:$K6))),"Avance semanal decreciente"&amp;" · ","")&amp;IF(AND(ISNUMBER($AN6),$AN6&lt;FechaRef,IF($V6="Sub",N($X6),N($M6))&lt;1),"Vencida"&amp;" · ","")&amp;IF(AND(ObsObligatoria="Sí",ISNUMBER($AN6),$AN6&lt;FechaRef,IF($V6="Sub",N($X6),N($M6))&lt;1,$Q6=""),"Vencida sin observación"&amp;" · ",""),LEN(IF($C6="","Falta el nombre de la actividad"&amp;" · ","")&amp;IF(AND($V6="Sub",N($U6)=0),"Subactividad sin macroactividad arriba"&amp;" · ","")&amp;IF($AM6="","Sin fecha de inicio"&amp;" · ","")&amp;IF($AN6="","Sin fecha límite"&amp;" · ","")&amp;IF(AND(LEFT($C6,11)="[Jefatura] ",N($AL6)=0),"No se encuentra en la hoja de la jefatura (elíjala de nuevo en la lista)"&amp;" · ","")&amp;IF(OR(AND($E6&lt;&gt;"",NOT(ISNUMBER($E6))),AND($F6&lt;&gt;"",NOT(ISNUMBER($F6))),AND($G6&lt;&gt;"",NOT(ISNUMBER($G6)))),"Fecha no válida"&amp;" · ","")&amp;IF(AND(ISNUMBER($AM6),ISNUMBER($AN6),$AM6&gt;$AN6),"Inicio posterior a fecha límite"&amp;" · ","")&amp;IF(AND($V6="Macro",$H6&lt;&gt;"",OR(NOT(ISNUMBER($H6)),$H6&lt;0,$H6&gt;1)),"Peso fuera de rango"&amp;" · ","")&amp;IF(AND($V6="Sub",$H6&lt;&gt;""),"Las subactividades no llevan peso (valen igual dentro de su macroactividad)"&amp;" · ","")&amp;IF(AND(N($W6)&gt;0,COUNT($I6:$L6)&gt;0),"Con subactividades: deje vacías las semanas (se calculan solas)"&amp;" · ","")&amp;IF((COUNTIF($I6:$L6,"&gt;1")+COUNTIF($I6:$L6,"&lt;0")+COUNTA($I6:$L6)-COUNT($I6:$L6))&gt;0,"Avance fuera de rango 0-100%"&amp;" · ","")&amp;IF(OR(AND($J6&lt;&gt;"",$J6&lt;$I6),AND($K6&lt;&gt;"",$K6&lt;MAX($I6:$J6)),AND($L6&lt;&gt;"",$L6&lt;MAX($I6:$K6))),"Avance semanal decreciente"&amp;" · ","")&amp;IF(AND(ISNUMBER($AN6),$AN6&lt;FechaRef,IF($V6="Sub",N($X6),N($M6))&lt;1),"Vencida"&amp;" · ","")&amp;IF(AND(ObsObligatoria="Sí",ISNUMBER($AN6),$AN6&lt;FechaRef,IF($V6="Sub",N($X6),N($M6))&lt;1,$Q6=""),"Vencida sin observación"&amp;" · ",""))-3)))</f>
        <v/>
      </c>
      <c r="S6" s="64">
        <f>IF(NOT((COUNTA($B6:$D6)+COUNTA($G6:$L6)+COUNTA($Q6))&gt;0),"",IF(AND($V6="Sub",N($U6)&gt;0),IF(ISNUMBER(INDEX($AM$5:$AM$1000,$U6-4)),DATE(YEAR(INDEX($AM$5:$AM$1000,$U6-4)),MONTH(INDEX($AM$5:$AM$1000,$U6-4)),1),IF(ISNUMBER(INDEX($AN$5:$AN$1000,$U6-4)),DATE(YEAR(INDEX($AN$5:$AN$1000,$U6-4)),MONTH(INDEX($AN$5:$AN$1000,$U6-4)),1),MesCiclo)),IF(ISNUMBER($AM6),DATE(YEAR($AM6),MONTH($AM6),1),IF(ISNUMBER($AN6),DATE(YEAR($AN6),MONTH($AN6),1),MesCiclo))))</f>
        <v/>
      </c>
      <c r="T6" s="62">
        <f>IF(OR($S6="",$S6&lt;&gt;MesCiclo,$V6&lt;&gt;"Macro"),"",COUNTIFS($S$5:$S6,MesCiclo,$V$5:$V6,"Macro"))</f>
        <v/>
      </c>
      <c r="U6" s="62">
        <f>IF($V6="","",IF($V6="Macro",ROW(),IFERROR(LOOKUP(2,1/($V$5:$V6="Macro"),ROW($V$5:$V6)),0)))</f>
        <v/>
      </c>
      <c r="V6" s="62">
        <f>IF(NOT((COUNTA($B6:$D6)+COUNTA($G6:$L6)+COUNTA($Q6))&gt;0),"",IF($B6="Subactividad","Sub","Macro"))</f>
        <v/>
      </c>
      <c r="W6" s="62">
        <f>IF($V6="Macro",COUNTIFS($U$5:$U$1000,ROW(),$V$5:$V$1000,"Sub"),"")</f>
        <v/>
      </c>
      <c r="X6" s="62">
        <f>IF($V6="","",IF(ISNUMBER($G6),1,IFERROR(LOOKUP(2,1/($I6:$L6&lt;&gt;""),$I6:$L6),0)))</f>
        <v/>
      </c>
      <c r="Y6" s="62">
        <f>IF($V6="","",IF(AND(ISNUMBER($G6),$G6&lt;=IF($S6=MesCiclo,InicioCiclo,$S6+MOD(2-WEEKDAY($S6),7))+6),1,IF(ISNUMBER($I6),$I6,0)))</f>
        <v/>
      </c>
      <c r="Z6" s="62">
        <f>IF($V6="","",IF(AND(ISNUMBER($G6),$G6&lt;=IF($S6=MesCiclo,InicioCiclo,$S6+MOD(2-WEEKDAY($S6),7))+13),1,IF(ISNUMBER($J6),$J6,$Y6)))</f>
        <v/>
      </c>
      <c r="AA6" s="62">
        <f>IF($V6="","",IF(AND(ISNUMBER($G6),$G6&lt;=IF($S6=MesCiclo,InicioCiclo,$S6+MOD(2-WEEKDAY($S6),7))+20),1,IF(ISNUMBER($K6),$K6,$Z6)))</f>
        <v/>
      </c>
      <c r="AB6" s="62">
        <f>IF($V6="","",IF(AND(ISNUMBER($G6),$G6&lt;=IF($S6=MesCiclo,InicioCiclo,$S6+MOD(2-WEEKDAY($S6),7))+27),1,IF(ISNUMBER($L6),$L6,$AA6)))</f>
        <v/>
      </c>
      <c r="AC6" s="62">
        <f>IF($V6="","",IF(AND(ISNUMBER($G6),$G6&lt;=IF($S6=MesCiclo,InicioCiclo,$S6+MOD(2-WEEKDAY($S6),7))+6),1,IF(N($W6)&gt;0,AVERAGEIFS($Y$5:$Y$1000,$U$5:$U$1000,ROW(),$V$5:$V$1000,"Sub"),$Y6)))</f>
        <v/>
      </c>
      <c r="AD6" s="62">
        <f>IF($V6="","",IF(AND(ISNUMBER($G6),$G6&lt;=IF($S6=MesCiclo,InicioCiclo,$S6+MOD(2-WEEKDAY($S6),7))+13),1,IF(N($W6)&gt;0,AVERAGEIFS($Z$5:$Z$1000,$U$5:$U$1000,ROW(),$V$5:$V$1000,"Sub"),$Z6)))</f>
        <v/>
      </c>
      <c r="AE6" s="62">
        <f>IF($V6="","",IF(AND(ISNUMBER($G6),$G6&lt;=IF($S6=MesCiclo,InicioCiclo,$S6+MOD(2-WEEKDAY($S6),7))+20),1,IF(N($W6)&gt;0,AVERAGEIFS($AA$5:$AA$1000,$U$5:$U$1000,ROW(),$V$5:$V$1000,"Sub"),$AA6)))</f>
        <v/>
      </c>
      <c r="AF6" s="62">
        <f>IF($V6="","",IF(AND(ISNUMBER($G6),$G6&lt;=IF($S6=MesCiclo,InicioCiclo,$S6+MOD(2-WEEKDAY($S6),7))+27),1,IF(N($W6)&gt;0,AVERAGEIFS($AB$5:$AB$1000,$U$5:$U$1000,ROW(),$V$5:$V$1000,"Sub"),$AB6)))</f>
        <v/>
      </c>
      <c r="AG6" s="62">
        <f>IF($V6&lt;&gt;"Macro","",IF(COUNTIFS($S$5:$S$1000,$S6,$V$5:$V$1000,"Macro",$H$5:$H$1000,"&gt;0")=0,1/COUNTIFS($S$5:$S$1000,$S6,$V$5:$V$1000,"Macro"),IF(AND(ISNUMBER($H6),N($H6)&gt;0),$H6,SUMIFS($H$5:$H$1000,$S$5:$S$1000,$S6,$V$5:$V$1000,"Macro")/COUNTIFS($S$5:$S$1000,$S6,$V$5:$V$1000,"Macro",$H$5:$H$1000,"&gt;0"))/(COUNTIFS($S$5:$S$1000,$S6,$V$5:$V$1000,"Macro")*SUMIFS($H$5:$H$1000,$S$5:$S$1000,$S6,$V$5:$V$1000,"Macro")/COUNTIFS($S$5:$S$1000,$S6,$V$5:$V$1000,"Macro",$H$5:$H$1000,"&gt;0"))))</f>
        <v/>
      </c>
      <c r="AH6" s="62">
        <f>IF(NOT(AND($D6&lt;&gt;"",$V6="Macro")),"",IFERROR(CHOOSE(MATCH($D6,ListaPuestos,0),MATCH("[Jefatura] "&amp;$C6,'Cronograma R. Operacional'!$C$5:$C$1000,0),MATCH("[Jefatura] "&amp;$C6,'Cronograma R. Normativo'!$C$5:$C$1000,0),MATCH("[Jefatura] "&amp;$C6,'Cronograma R. Financiero'!$C$5:$C$1000,0),MATCH("[Jefatura] "&amp;$C6,'Cronograma Asistente Técnico'!$C$5:$C$1000,0)),0))</f>
        <v/>
      </c>
      <c r="AI6" s="62">
        <f>IF(AND(AND($D6&lt;&gt;"",$V6="Macro"),$S6=MesCiclo),COUNTIFS($D$5:$D6,$D6,$S$5:$S6,MesCiclo,$V$5:$V6,"Macro"),"")</f>
        <v/>
      </c>
      <c r="AJ6" s="62">
        <f>IF($AI6="","",$D6&amp;"|"&amp;$AI6)</f>
        <v/>
      </c>
      <c r="AK6" s="62">
        <f>IF(AND($D6&lt;&gt;"",$V6="Macro"),$D6&amp;"|"&amp;$C6,"")</f>
        <v/>
      </c>
      <c r="AL6" s="62">
        <f>""</f>
        <v/>
      </c>
      <c r="AM6" s="62">
        <f>IF(N($AL6)&gt;0,INDEX(rIni_ADM,$AL6),IF(ISNUMBER($E6),$E6,""))</f>
        <v/>
      </c>
      <c r="AN6" s="62">
        <f>IF(N($AL6)&gt;0,INDEX(rLim_ADM,$AL6),IF(ISNUMBER($F6),$F6,""))</f>
        <v/>
      </c>
    </row>
    <row r="7">
      <c r="A7" s="56">
        <f>IF(NOT((COUNTA($B7:$D7)+COUNTA($G7:$L7)+COUNTA($Q7))&gt;0),"",IF($V7="Macro",COUNTIFS($V$5:$V7,"Macro",$S$5:$S7,$S7),IF(N($U7)=0,"?",COUNTIFS(INDEX($V$5:$V$1000,1):INDEX($V$5:$V$1000,$U7-4),"Macro",INDEX($S$5:$S$1000,1):INDEX($S$5:$S$1000,$U7-4),INDEX($S$5:$S$1000,$U7-4))&amp;"."&amp;COUNTIFS($U$5:$U7,$U7,$V$5:$V7,"Sub"))))</f>
        <v/>
      </c>
      <c r="B7" s="57" t="n"/>
      <c r="C7" s="58" t="n"/>
      <c r="D7" s="58" t="n"/>
      <c r="E7" s="59" t="n"/>
      <c r="F7" s="59" t="n"/>
      <c r="G7" s="59" t="n"/>
      <c r="H7" s="60" t="n"/>
      <c r="I7" s="60" t="n"/>
      <c r="J7" s="60" t="n"/>
      <c r="K7" s="60" t="n"/>
      <c r="L7" s="60" t="n"/>
      <c r="M7" s="61">
        <f>IF(NOT((COUNTA($B7:$D7)+COUNTA($G7:$L7)+COUNTA($Q7))&gt;0),"",IF(AND($D7&lt;&gt;"",$V7="Macro"),IF(N($AH7)&gt;0,N(CHOOSE(MATCH($D7,ListaPuestos,0),INDEX('Cronograma R. Operacional'!$M$5:$M$1000,$AH7),INDEX('Cronograma R. Normativo'!$M$5:$M$1000,$AH7),INDEX('Cronograma R. Financiero'!$M$5:$M$1000,$AH7),INDEX('Cronograma Asistente Técnico'!$M$5:$M$1000,$AH7))),0),IF(ISNUMBER($G7),1,IF(N($W7)&gt;0,AVERAGEIFS($X$5:$X$1000,$U$5:$U$1000,ROW(),$V$5:$V$1000,"Sub"),$X7))))</f>
        <v/>
      </c>
      <c r="N7" s="56">
        <f>IF(OR($M7="",$V7="Sub"),"",IF($M7&gt;=1,"Completado",IF($M7&gt;0,"En curso","Pendiente")))</f>
        <v/>
      </c>
      <c r="O7" s="56">
        <f>IF(NOT((COUNTA($B7:$D7)+COUNTA($G7:$L7)+COUNTA($Q7))&gt;0),"",IF(AND(AND($D7&lt;&gt;"",$V7="Macro"),N($AH7)&gt;0),CHOOSE(MATCH($D7,ListaPuestos,0),INDEX('Cronograma R. Operacional'!$O$5:$O$1000,$AH7),INDEX('Cronograma R. Normativo'!$O$5:$O$1000,$AH7),INDEX('Cronograma R. Financiero'!$O$5:$O$1000,$AH7),INDEX('Cronograma Asistente Técnico'!$O$5:$O$1000,$AH7))&amp;"",IF(ISNUMBER($G7),IF(AND(ISNUMBER($AN7),$G7&gt;$AN7),"Cumplida con "&amp;($G7-$AN7)&amp;IF($G7-$AN7=1," día"," días")&amp;" de retraso","Cumplida"),IF(N($M7)&gt;=1,"Cumplida",IF(NOT(ISNUMBER($AN7)),"Sin fecha límite",IF($AN7&lt;FechaRef,"Vencida hace "&amp;(FechaRef-$AN7)&amp;IF(FechaRef-$AN7=1," día"," días"),IF($AN7=FechaRef,"Vence hoy",IF($AN7-FechaRef&lt;=DiasAlerta,"Vence en "&amp;($AN7-FechaRef)&amp;IF($AN7-FechaRef=1," día"," días"),"En plazo"))))))))</f>
        <v/>
      </c>
      <c r="P7" s="62">
        <f>IF(NOT((COUNTA($B7:$D7)+COUNTA($G7:$L7)+COUNTA($Q7))&gt;0),"",IF($D7="","Propia",IF($V7&lt;&gt;"Macro","Solo se delegan macroactividades",IF(N($AH7)&gt;0,"✔ Recibida por "&amp;$D7,"⚠ "&amp;$D7&amp;" aún no la agrega"))))</f>
        <v/>
      </c>
      <c r="Q7" s="58" t="n"/>
      <c r="R7" s="63">
        <f>IF(NOT((COUNTA($B7:$D7)+COUNTA($G7:$L7)+COUNTA($Q7))&gt;0),"",IF((IF($C7="","Falta el nombre de la actividad"&amp;" · ","")&amp;IF(AND($V7="Sub",N($U7)=0),"Subactividad sin macroactividad arriba"&amp;" · ","")&amp;IF($AM7="","Sin fecha de inicio"&amp;" · ","")&amp;IF($AN7="","Sin fecha límite"&amp;" · ","")&amp;IF(AND(LEFT($C7,11)="[Jefatura] ",N($AL7)=0),"No se encuentra en la hoja de la jefatura (elíjala de nuevo en la lista)"&amp;" · ","")&amp;IF(OR(AND($E7&lt;&gt;"",NOT(ISNUMBER($E7))),AND($F7&lt;&gt;"",NOT(ISNUMBER($F7))),AND($G7&lt;&gt;"",NOT(ISNUMBER($G7)))),"Fecha no válida"&amp;" · ","")&amp;IF(AND(ISNUMBER($AM7),ISNUMBER($AN7),$AM7&gt;$AN7),"Inicio posterior a fecha límite"&amp;" · ","")&amp;IF(AND($V7="Macro",$H7&lt;&gt;"",OR(NOT(ISNUMBER($H7)),$H7&lt;0,$H7&gt;1)),"Peso fuera de rango"&amp;" · ","")&amp;IF(AND($V7="Sub",$H7&lt;&gt;""),"Las subactividades no llevan peso (valen igual dentro de su macroactividad)"&amp;" · ","")&amp;IF(AND(N($W7)&gt;0,COUNT($I7:$L7)&gt;0),"Con subactividades: deje vacías las semanas (se calculan solas)"&amp;" · ","")&amp;IF((COUNTIF($I7:$L7,"&gt;1")+COUNTIF($I7:$L7,"&lt;0")+COUNTA($I7:$L7)-COUNT($I7:$L7))&gt;0,"Avance fuera de rango 0-100%"&amp;" · ","")&amp;IF(OR(AND($J7&lt;&gt;"",$J7&lt;$I7),AND($K7&lt;&gt;"",$K7&lt;MAX($I7:$J7)),AND($L7&lt;&gt;"",$L7&lt;MAX($I7:$K7))),"Avance semanal decreciente"&amp;" · ","")&amp;IF(AND(ISNUMBER($AN7),$AN7&lt;FechaRef,IF($V7="Sub",N($X7),N($M7))&lt;1),"Vencida"&amp;" · ","")&amp;IF(AND(ObsObligatoria="Sí",ISNUMBER($AN7),$AN7&lt;FechaRef,IF($V7="Sub",N($X7),N($M7))&lt;1,$Q7=""),"Vencida sin observación"&amp;" · ",""))="","✔ OK","⚠ "&amp;LEFT(IF($C7="","Falta el nombre de la actividad"&amp;" · ","")&amp;IF(AND($V7="Sub",N($U7)=0),"Subactividad sin macroactividad arriba"&amp;" · ","")&amp;IF($AM7="","Sin fecha de inicio"&amp;" · ","")&amp;IF($AN7="","Sin fecha límite"&amp;" · ","")&amp;IF(AND(LEFT($C7,11)="[Jefatura] ",N($AL7)=0),"No se encuentra en la hoja de la jefatura (elíjala de nuevo en la lista)"&amp;" · ","")&amp;IF(OR(AND($E7&lt;&gt;"",NOT(ISNUMBER($E7))),AND($F7&lt;&gt;"",NOT(ISNUMBER($F7))),AND($G7&lt;&gt;"",NOT(ISNUMBER($G7)))),"Fecha no válida"&amp;" · ","")&amp;IF(AND(ISNUMBER($AM7),ISNUMBER($AN7),$AM7&gt;$AN7),"Inicio posterior a fecha límite"&amp;" · ","")&amp;IF(AND($V7="Macro",$H7&lt;&gt;"",OR(NOT(ISNUMBER($H7)),$H7&lt;0,$H7&gt;1)),"Peso fuera de rango"&amp;" · ","")&amp;IF(AND($V7="Sub",$H7&lt;&gt;""),"Las subactividades no llevan peso (valen igual dentro de su macroactividad)"&amp;" · ","")&amp;IF(AND(N($W7)&gt;0,COUNT($I7:$L7)&gt;0),"Con subactividades: deje vacías las semanas (se calculan solas)"&amp;" · ","")&amp;IF((COUNTIF($I7:$L7,"&gt;1")+COUNTIF($I7:$L7,"&lt;0")+COUNTA($I7:$L7)-COUNT($I7:$L7))&gt;0,"Avance fuera de rango 0-100%"&amp;" · ","")&amp;IF(OR(AND($J7&lt;&gt;"",$J7&lt;$I7),AND($K7&lt;&gt;"",$K7&lt;MAX($I7:$J7)),AND($L7&lt;&gt;"",$L7&lt;MAX($I7:$K7))),"Avance semanal decreciente"&amp;" · ","")&amp;IF(AND(ISNUMBER($AN7),$AN7&lt;FechaRef,IF($V7="Sub",N($X7),N($M7))&lt;1),"Vencida"&amp;" · ","")&amp;IF(AND(ObsObligatoria="Sí",ISNUMBER($AN7),$AN7&lt;FechaRef,IF($V7="Sub",N($X7),N($M7))&lt;1,$Q7=""),"Vencida sin observación"&amp;" · ",""),LEN(IF($C7="","Falta el nombre de la actividad"&amp;" · ","")&amp;IF(AND($V7="Sub",N($U7)=0),"Subactividad sin macroactividad arriba"&amp;" · ","")&amp;IF($AM7="","Sin fecha de inicio"&amp;" · ","")&amp;IF($AN7="","Sin fecha límite"&amp;" · ","")&amp;IF(AND(LEFT($C7,11)="[Jefatura] ",N($AL7)=0),"No se encuentra en la hoja de la jefatura (elíjala de nuevo en la lista)"&amp;" · ","")&amp;IF(OR(AND($E7&lt;&gt;"",NOT(ISNUMBER($E7))),AND($F7&lt;&gt;"",NOT(ISNUMBER($F7))),AND($G7&lt;&gt;"",NOT(ISNUMBER($G7)))),"Fecha no válida"&amp;" · ","")&amp;IF(AND(ISNUMBER($AM7),ISNUMBER($AN7),$AM7&gt;$AN7),"Inicio posterior a fecha límite"&amp;" · ","")&amp;IF(AND($V7="Macro",$H7&lt;&gt;"",OR(NOT(ISNUMBER($H7)),$H7&lt;0,$H7&gt;1)),"Peso fuera de rango"&amp;" · ","")&amp;IF(AND($V7="Sub",$H7&lt;&gt;""),"Las subactividades no llevan peso (valen igual dentro de su macroactividad)"&amp;" · ","")&amp;IF(AND(N($W7)&gt;0,COUNT($I7:$L7)&gt;0),"Con subactividades: deje vacías las semanas (se calculan solas)"&amp;" · ","")&amp;IF((COUNTIF($I7:$L7,"&gt;1")+COUNTIF($I7:$L7,"&lt;0")+COUNTA($I7:$L7)-COUNT($I7:$L7))&gt;0,"Avance fuera de rango 0-100%"&amp;" · ","")&amp;IF(OR(AND($J7&lt;&gt;"",$J7&lt;$I7),AND($K7&lt;&gt;"",$K7&lt;MAX($I7:$J7)),AND($L7&lt;&gt;"",$L7&lt;MAX($I7:$K7))),"Avance semanal decreciente"&amp;" · ","")&amp;IF(AND(ISNUMBER($AN7),$AN7&lt;FechaRef,IF($V7="Sub",N($X7),N($M7))&lt;1),"Vencida"&amp;" · ","")&amp;IF(AND(ObsObligatoria="Sí",ISNUMBER($AN7),$AN7&lt;FechaRef,IF($V7="Sub",N($X7),N($M7))&lt;1,$Q7=""),"Vencida sin observación"&amp;" · ",""))-3)))</f>
        <v/>
      </c>
      <c r="S7" s="64">
        <f>IF(NOT((COUNTA($B7:$D7)+COUNTA($G7:$L7)+COUNTA($Q7))&gt;0),"",IF(AND($V7="Sub",N($U7)&gt;0),IF(ISNUMBER(INDEX($AM$5:$AM$1000,$U7-4)),DATE(YEAR(INDEX($AM$5:$AM$1000,$U7-4)),MONTH(INDEX($AM$5:$AM$1000,$U7-4)),1),IF(ISNUMBER(INDEX($AN$5:$AN$1000,$U7-4)),DATE(YEAR(INDEX($AN$5:$AN$1000,$U7-4)),MONTH(INDEX($AN$5:$AN$1000,$U7-4)),1),MesCiclo)),IF(ISNUMBER($AM7),DATE(YEAR($AM7),MONTH($AM7),1),IF(ISNUMBER($AN7),DATE(YEAR($AN7),MONTH($AN7),1),MesCiclo))))</f>
        <v/>
      </c>
      <c r="T7" s="62">
        <f>IF(OR($S7="",$S7&lt;&gt;MesCiclo,$V7&lt;&gt;"Macro"),"",COUNTIFS($S$5:$S7,MesCiclo,$V$5:$V7,"Macro"))</f>
        <v/>
      </c>
      <c r="U7" s="62">
        <f>IF($V7="","",IF($V7="Macro",ROW(),IFERROR(LOOKUP(2,1/($V$5:$V7="Macro"),ROW($V$5:$V7)),0)))</f>
        <v/>
      </c>
      <c r="V7" s="62">
        <f>IF(NOT((COUNTA($B7:$D7)+COUNTA($G7:$L7)+COUNTA($Q7))&gt;0),"",IF($B7="Subactividad","Sub","Macro"))</f>
        <v/>
      </c>
      <c r="W7" s="62">
        <f>IF($V7="Macro",COUNTIFS($U$5:$U$1000,ROW(),$V$5:$V$1000,"Sub"),"")</f>
        <v/>
      </c>
      <c r="X7" s="62">
        <f>IF($V7="","",IF(ISNUMBER($G7),1,IFERROR(LOOKUP(2,1/($I7:$L7&lt;&gt;""),$I7:$L7),0)))</f>
        <v/>
      </c>
      <c r="Y7" s="62">
        <f>IF($V7="","",IF(AND(ISNUMBER($G7),$G7&lt;=IF($S7=MesCiclo,InicioCiclo,$S7+MOD(2-WEEKDAY($S7),7))+6),1,IF(ISNUMBER($I7),$I7,0)))</f>
        <v/>
      </c>
      <c r="Z7" s="62">
        <f>IF($V7="","",IF(AND(ISNUMBER($G7),$G7&lt;=IF($S7=MesCiclo,InicioCiclo,$S7+MOD(2-WEEKDAY($S7),7))+13),1,IF(ISNUMBER($J7),$J7,$Y7)))</f>
        <v/>
      </c>
      <c r="AA7" s="62">
        <f>IF($V7="","",IF(AND(ISNUMBER($G7),$G7&lt;=IF($S7=MesCiclo,InicioCiclo,$S7+MOD(2-WEEKDAY($S7),7))+20),1,IF(ISNUMBER($K7),$K7,$Z7)))</f>
        <v/>
      </c>
      <c r="AB7" s="62">
        <f>IF($V7="","",IF(AND(ISNUMBER($G7),$G7&lt;=IF($S7=MesCiclo,InicioCiclo,$S7+MOD(2-WEEKDAY($S7),7))+27),1,IF(ISNUMBER($L7),$L7,$AA7)))</f>
        <v/>
      </c>
      <c r="AC7" s="62">
        <f>IF($V7="","",IF(AND(ISNUMBER($G7),$G7&lt;=IF($S7=MesCiclo,InicioCiclo,$S7+MOD(2-WEEKDAY($S7),7))+6),1,IF(N($W7)&gt;0,AVERAGEIFS($Y$5:$Y$1000,$U$5:$U$1000,ROW(),$V$5:$V$1000,"Sub"),$Y7)))</f>
        <v/>
      </c>
      <c r="AD7" s="62">
        <f>IF($V7="","",IF(AND(ISNUMBER($G7),$G7&lt;=IF($S7=MesCiclo,InicioCiclo,$S7+MOD(2-WEEKDAY($S7),7))+13),1,IF(N($W7)&gt;0,AVERAGEIFS($Z$5:$Z$1000,$U$5:$U$1000,ROW(),$V$5:$V$1000,"Sub"),$Z7)))</f>
        <v/>
      </c>
      <c r="AE7" s="62">
        <f>IF($V7="","",IF(AND(ISNUMBER($G7),$G7&lt;=IF($S7=MesCiclo,InicioCiclo,$S7+MOD(2-WEEKDAY($S7),7))+20),1,IF(N($W7)&gt;0,AVERAGEIFS($AA$5:$AA$1000,$U$5:$U$1000,ROW(),$V$5:$V$1000,"Sub"),$AA7)))</f>
        <v/>
      </c>
      <c r="AF7" s="62">
        <f>IF($V7="","",IF(AND(ISNUMBER($G7),$G7&lt;=IF($S7=MesCiclo,InicioCiclo,$S7+MOD(2-WEEKDAY($S7),7))+27),1,IF(N($W7)&gt;0,AVERAGEIFS($AB$5:$AB$1000,$U$5:$U$1000,ROW(),$V$5:$V$1000,"Sub"),$AB7)))</f>
        <v/>
      </c>
      <c r="AG7" s="62">
        <f>IF($V7&lt;&gt;"Macro","",IF(COUNTIFS($S$5:$S$1000,$S7,$V$5:$V$1000,"Macro",$H$5:$H$1000,"&gt;0")=0,1/COUNTIFS($S$5:$S$1000,$S7,$V$5:$V$1000,"Macro"),IF(AND(ISNUMBER($H7),N($H7)&gt;0),$H7,SUMIFS($H$5:$H$1000,$S$5:$S$1000,$S7,$V$5:$V$1000,"Macro")/COUNTIFS($S$5:$S$1000,$S7,$V$5:$V$1000,"Macro",$H$5:$H$1000,"&gt;0"))/(COUNTIFS($S$5:$S$1000,$S7,$V$5:$V$1000,"Macro")*SUMIFS($H$5:$H$1000,$S$5:$S$1000,$S7,$V$5:$V$1000,"Macro")/COUNTIFS($S$5:$S$1000,$S7,$V$5:$V$1000,"Macro",$H$5:$H$1000,"&gt;0"))))</f>
        <v/>
      </c>
      <c r="AH7" s="62">
        <f>IF(NOT(AND($D7&lt;&gt;"",$V7="Macro")),"",IFERROR(CHOOSE(MATCH($D7,ListaPuestos,0),MATCH("[Jefatura] "&amp;$C7,'Cronograma R. Operacional'!$C$5:$C$1000,0),MATCH("[Jefatura] "&amp;$C7,'Cronograma R. Normativo'!$C$5:$C$1000,0),MATCH("[Jefatura] "&amp;$C7,'Cronograma R. Financiero'!$C$5:$C$1000,0),MATCH("[Jefatura] "&amp;$C7,'Cronograma Asistente Técnico'!$C$5:$C$1000,0)),0))</f>
        <v/>
      </c>
      <c r="AI7" s="62">
        <f>IF(AND(AND($D7&lt;&gt;"",$V7="Macro"),$S7=MesCiclo),COUNTIFS($D$5:$D7,$D7,$S$5:$S7,MesCiclo,$V$5:$V7,"Macro"),"")</f>
        <v/>
      </c>
      <c r="AJ7" s="62">
        <f>IF($AI7="","",$D7&amp;"|"&amp;$AI7)</f>
        <v/>
      </c>
      <c r="AK7" s="62">
        <f>IF(AND($D7&lt;&gt;"",$V7="Macro"),$D7&amp;"|"&amp;$C7,"")</f>
        <v/>
      </c>
      <c r="AL7" s="62">
        <f>""</f>
        <v/>
      </c>
      <c r="AM7" s="62">
        <f>IF(N($AL7)&gt;0,INDEX(rIni_ADM,$AL7),IF(ISNUMBER($E7),$E7,""))</f>
        <v/>
      </c>
      <c r="AN7" s="62">
        <f>IF(N($AL7)&gt;0,INDEX(rLim_ADM,$AL7),IF(ISNUMBER($F7),$F7,""))</f>
        <v/>
      </c>
    </row>
    <row r="8">
      <c r="A8" s="56">
        <f>IF(NOT((COUNTA($B8:$D8)+COUNTA($G8:$L8)+COUNTA($Q8))&gt;0),"",IF($V8="Macro",COUNTIFS($V$5:$V8,"Macro",$S$5:$S8,$S8),IF(N($U8)=0,"?",COUNTIFS(INDEX($V$5:$V$1000,1):INDEX($V$5:$V$1000,$U8-4),"Macro",INDEX($S$5:$S$1000,1):INDEX($S$5:$S$1000,$U8-4),INDEX($S$5:$S$1000,$U8-4))&amp;"."&amp;COUNTIFS($U$5:$U8,$U8,$V$5:$V8,"Sub"))))</f>
        <v/>
      </c>
      <c r="B8" s="57" t="n"/>
      <c r="C8" s="58" t="n"/>
      <c r="D8" s="58" t="n"/>
      <c r="E8" s="59" t="n"/>
      <c r="F8" s="59" t="n"/>
      <c r="G8" s="59" t="n"/>
      <c r="H8" s="60" t="n"/>
      <c r="I8" s="60" t="n"/>
      <c r="J8" s="60" t="n"/>
      <c r="K8" s="60" t="n"/>
      <c r="L8" s="60" t="n"/>
      <c r="M8" s="61">
        <f>IF(NOT((COUNTA($B8:$D8)+COUNTA($G8:$L8)+COUNTA($Q8))&gt;0),"",IF(AND($D8&lt;&gt;"",$V8="Macro"),IF(N($AH8)&gt;0,N(CHOOSE(MATCH($D8,ListaPuestos,0),INDEX('Cronograma R. Operacional'!$M$5:$M$1000,$AH8),INDEX('Cronograma R. Normativo'!$M$5:$M$1000,$AH8),INDEX('Cronograma R. Financiero'!$M$5:$M$1000,$AH8),INDEX('Cronograma Asistente Técnico'!$M$5:$M$1000,$AH8))),0),IF(ISNUMBER($G8),1,IF(N($W8)&gt;0,AVERAGEIFS($X$5:$X$1000,$U$5:$U$1000,ROW(),$V$5:$V$1000,"Sub"),$X8))))</f>
        <v/>
      </c>
      <c r="N8" s="56">
        <f>IF(OR($M8="",$V8="Sub"),"",IF($M8&gt;=1,"Completado",IF($M8&gt;0,"En curso","Pendiente")))</f>
        <v/>
      </c>
      <c r="O8" s="56">
        <f>IF(NOT((COUNTA($B8:$D8)+COUNTA($G8:$L8)+COUNTA($Q8))&gt;0),"",IF(AND(AND($D8&lt;&gt;"",$V8="Macro"),N($AH8)&gt;0),CHOOSE(MATCH($D8,ListaPuestos,0),INDEX('Cronograma R. Operacional'!$O$5:$O$1000,$AH8),INDEX('Cronograma R. Normativo'!$O$5:$O$1000,$AH8),INDEX('Cronograma R. Financiero'!$O$5:$O$1000,$AH8),INDEX('Cronograma Asistente Técnico'!$O$5:$O$1000,$AH8))&amp;"",IF(ISNUMBER($G8),IF(AND(ISNUMBER($AN8),$G8&gt;$AN8),"Cumplida con "&amp;($G8-$AN8)&amp;IF($G8-$AN8=1," día"," días")&amp;" de retraso","Cumplida"),IF(N($M8)&gt;=1,"Cumplida",IF(NOT(ISNUMBER($AN8)),"Sin fecha límite",IF($AN8&lt;FechaRef,"Vencida hace "&amp;(FechaRef-$AN8)&amp;IF(FechaRef-$AN8=1," día"," días"),IF($AN8=FechaRef,"Vence hoy",IF($AN8-FechaRef&lt;=DiasAlerta,"Vence en "&amp;($AN8-FechaRef)&amp;IF($AN8-FechaRef=1," día"," días"),"En plazo"))))))))</f>
        <v/>
      </c>
      <c r="P8" s="62">
        <f>IF(NOT((COUNTA($B8:$D8)+COUNTA($G8:$L8)+COUNTA($Q8))&gt;0),"",IF($D8="","Propia",IF($V8&lt;&gt;"Macro","Solo se delegan macroactividades",IF(N($AH8)&gt;0,"✔ Recibida por "&amp;$D8,"⚠ "&amp;$D8&amp;" aún no la agrega"))))</f>
        <v/>
      </c>
      <c r="Q8" s="58" t="n"/>
      <c r="R8" s="63">
        <f>IF(NOT((COUNTA($B8:$D8)+COUNTA($G8:$L8)+COUNTA($Q8))&gt;0),"",IF((IF($C8="","Falta el nombre de la actividad"&amp;" · ","")&amp;IF(AND($V8="Sub",N($U8)=0),"Subactividad sin macroactividad arriba"&amp;" · ","")&amp;IF($AM8="","Sin fecha de inicio"&amp;" · ","")&amp;IF($AN8="","Sin fecha límite"&amp;" · ","")&amp;IF(AND(LEFT($C8,11)="[Jefatura] ",N($AL8)=0),"No se encuentra en la hoja de la jefatura (elíjala de nuevo en la lista)"&amp;" · ","")&amp;IF(OR(AND($E8&lt;&gt;"",NOT(ISNUMBER($E8))),AND($F8&lt;&gt;"",NOT(ISNUMBER($F8))),AND($G8&lt;&gt;"",NOT(ISNUMBER($G8)))),"Fecha no válida"&amp;" · ","")&amp;IF(AND(ISNUMBER($AM8),ISNUMBER($AN8),$AM8&gt;$AN8),"Inicio posterior a fecha límite"&amp;" · ","")&amp;IF(AND($V8="Macro",$H8&lt;&gt;"",OR(NOT(ISNUMBER($H8)),$H8&lt;0,$H8&gt;1)),"Peso fuera de rango"&amp;" · ","")&amp;IF(AND($V8="Sub",$H8&lt;&gt;""),"Las subactividades no llevan peso (valen igual dentro de su macroactividad)"&amp;" · ","")&amp;IF(AND(N($W8)&gt;0,COUNT($I8:$L8)&gt;0),"Con subactividades: deje vacías las semanas (se calculan solas)"&amp;" · ","")&amp;IF((COUNTIF($I8:$L8,"&gt;1")+COUNTIF($I8:$L8,"&lt;0")+COUNTA($I8:$L8)-COUNT($I8:$L8))&gt;0,"Avance fuera de rango 0-100%"&amp;" · ","")&amp;IF(OR(AND($J8&lt;&gt;"",$J8&lt;$I8),AND($K8&lt;&gt;"",$K8&lt;MAX($I8:$J8)),AND($L8&lt;&gt;"",$L8&lt;MAX($I8:$K8))),"Avance semanal decreciente"&amp;" · ","")&amp;IF(AND(ISNUMBER($AN8),$AN8&lt;FechaRef,IF($V8="Sub",N($X8),N($M8))&lt;1),"Vencida"&amp;" · ","")&amp;IF(AND(ObsObligatoria="Sí",ISNUMBER($AN8),$AN8&lt;FechaRef,IF($V8="Sub",N($X8),N($M8))&lt;1,$Q8=""),"Vencida sin observación"&amp;" · ",""))="","✔ OK","⚠ "&amp;LEFT(IF($C8="","Falta el nombre de la actividad"&amp;" · ","")&amp;IF(AND($V8="Sub",N($U8)=0),"Subactividad sin macroactividad arriba"&amp;" · ","")&amp;IF($AM8="","Sin fecha de inicio"&amp;" · ","")&amp;IF($AN8="","Sin fecha límite"&amp;" · ","")&amp;IF(AND(LEFT($C8,11)="[Jefatura] ",N($AL8)=0),"No se encuentra en la hoja de la jefatura (elíjala de nuevo en la lista)"&amp;" · ","")&amp;IF(OR(AND($E8&lt;&gt;"",NOT(ISNUMBER($E8))),AND($F8&lt;&gt;"",NOT(ISNUMBER($F8))),AND($G8&lt;&gt;"",NOT(ISNUMBER($G8)))),"Fecha no válida"&amp;" · ","")&amp;IF(AND(ISNUMBER($AM8),ISNUMBER($AN8),$AM8&gt;$AN8),"Inicio posterior a fecha límite"&amp;" · ","")&amp;IF(AND($V8="Macro",$H8&lt;&gt;"",OR(NOT(ISNUMBER($H8)),$H8&lt;0,$H8&gt;1)),"Peso fuera de rango"&amp;" · ","")&amp;IF(AND($V8="Sub",$H8&lt;&gt;""),"Las subactividades no llevan peso (valen igual dentro de su macroactividad)"&amp;" · ","")&amp;IF(AND(N($W8)&gt;0,COUNT($I8:$L8)&gt;0),"Con subactividades: deje vacías las semanas (se calculan solas)"&amp;" · ","")&amp;IF((COUNTIF($I8:$L8,"&gt;1")+COUNTIF($I8:$L8,"&lt;0")+COUNTA($I8:$L8)-COUNT($I8:$L8))&gt;0,"Avance fuera de rango 0-100%"&amp;" · ","")&amp;IF(OR(AND($J8&lt;&gt;"",$J8&lt;$I8),AND($K8&lt;&gt;"",$K8&lt;MAX($I8:$J8)),AND($L8&lt;&gt;"",$L8&lt;MAX($I8:$K8))),"Avance semanal decreciente"&amp;" · ","")&amp;IF(AND(ISNUMBER($AN8),$AN8&lt;FechaRef,IF($V8="Sub",N($X8),N($M8))&lt;1),"Vencida"&amp;" · ","")&amp;IF(AND(ObsObligatoria="Sí",ISNUMBER($AN8),$AN8&lt;FechaRef,IF($V8="Sub",N($X8),N($M8))&lt;1,$Q8=""),"Vencida sin observación"&amp;" · ",""),LEN(IF($C8="","Falta el nombre de la actividad"&amp;" · ","")&amp;IF(AND($V8="Sub",N($U8)=0),"Subactividad sin macroactividad arriba"&amp;" · ","")&amp;IF($AM8="","Sin fecha de inicio"&amp;" · ","")&amp;IF($AN8="","Sin fecha límite"&amp;" · ","")&amp;IF(AND(LEFT($C8,11)="[Jefatura] ",N($AL8)=0),"No se encuentra en la hoja de la jefatura (elíjala de nuevo en la lista)"&amp;" · ","")&amp;IF(OR(AND($E8&lt;&gt;"",NOT(ISNUMBER($E8))),AND($F8&lt;&gt;"",NOT(ISNUMBER($F8))),AND($G8&lt;&gt;"",NOT(ISNUMBER($G8)))),"Fecha no válida"&amp;" · ","")&amp;IF(AND(ISNUMBER($AM8),ISNUMBER($AN8),$AM8&gt;$AN8),"Inicio posterior a fecha límite"&amp;" · ","")&amp;IF(AND($V8="Macro",$H8&lt;&gt;"",OR(NOT(ISNUMBER($H8)),$H8&lt;0,$H8&gt;1)),"Peso fuera de rango"&amp;" · ","")&amp;IF(AND($V8="Sub",$H8&lt;&gt;""),"Las subactividades no llevan peso (valen igual dentro de su macroactividad)"&amp;" · ","")&amp;IF(AND(N($W8)&gt;0,COUNT($I8:$L8)&gt;0),"Con subactividades: deje vacías las semanas (se calculan solas)"&amp;" · ","")&amp;IF((COUNTIF($I8:$L8,"&gt;1")+COUNTIF($I8:$L8,"&lt;0")+COUNTA($I8:$L8)-COUNT($I8:$L8))&gt;0,"Avance fuera de rango 0-100%"&amp;" · ","")&amp;IF(OR(AND($J8&lt;&gt;"",$J8&lt;$I8),AND($K8&lt;&gt;"",$K8&lt;MAX($I8:$J8)),AND($L8&lt;&gt;"",$L8&lt;MAX($I8:$K8))),"Avance semanal decreciente"&amp;" · ","")&amp;IF(AND(ISNUMBER($AN8),$AN8&lt;FechaRef,IF($V8="Sub",N($X8),N($M8))&lt;1),"Vencida"&amp;" · ","")&amp;IF(AND(ObsObligatoria="Sí",ISNUMBER($AN8),$AN8&lt;FechaRef,IF($V8="Sub",N($X8),N($M8))&lt;1,$Q8=""),"Vencida sin observación"&amp;" · ",""))-3)))</f>
        <v/>
      </c>
      <c r="S8" s="64">
        <f>IF(NOT((COUNTA($B8:$D8)+COUNTA($G8:$L8)+COUNTA($Q8))&gt;0),"",IF(AND($V8="Sub",N($U8)&gt;0),IF(ISNUMBER(INDEX($AM$5:$AM$1000,$U8-4)),DATE(YEAR(INDEX($AM$5:$AM$1000,$U8-4)),MONTH(INDEX($AM$5:$AM$1000,$U8-4)),1),IF(ISNUMBER(INDEX($AN$5:$AN$1000,$U8-4)),DATE(YEAR(INDEX($AN$5:$AN$1000,$U8-4)),MONTH(INDEX($AN$5:$AN$1000,$U8-4)),1),MesCiclo)),IF(ISNUMBER($AM8),DATE(YEAR($AM8),MONTH($AM8),1),IF(ISNUMBER($AN8),DATE(YEAR($AN8),MONTH($AN8),1),MesCiclo))))</f>
        <v/>
      </c>
      <c r="T8" s="62">
        <f>IF(OR($S8="",$S8&lt;&gt;MesCiclo,$V8&lt;&gt;"Macro"),"",COUNTIFS($S$5:$S8,MesCiclo,$V$5:$V8,"Macro"))</f>
        <v/>
      </c>
      <c r="U8" s="62">
        <f>IF($V8="","",IF($V8="Macro",ROW(),IFERROR(LOOKUP(2,1/($V$5:$V8="Macro"),ROW($V$5:$V8)),0)))</f>
        <v/>
      </c>
      <c r="V8" s="62">
        <f>IF(NOT((COUNTA($B8:$D8)+COUNTA($G8:$L8)+COUNTA($Q8))&gt;0),"",IF($B8="Subactividad","Sub","Macro"))</f>
        <v/>
      </c>
      <c r="W8" s="62">
        <f>IF($V8="Macro",COUNTIFS($U$5:$U$1000,ROW(),$V$5:$V$1000,"Sub"),"")</f>
        <v/>
      </c>
      <c r="X8" s="62">
        <f>IF($V8="","",IF(ISNUMBER($G8),1,IFERROR(LOOKUP(2,1/($I8:$L8&lt;&gt;""),$I8:$L8),0)))</f>
        <v/>
      </c>
      <c r="Y8" s="62">
        <f>IF($V8="","",IF(AND(ISNUMBER($G8),$G8&lt;=IF($S8=MesCiclo,InicioCiclo,$S8+MOD(2-WEEKDAY($S8),7))+6),1,IF(ISNUMBER($I8),$I8,0)))</f>
        <v/>
      </c>
      <c r="Z8" s="62">
        <f>IF($V8="","",IF(AND(ISNUMBER($G8),$G8&lt;=IF($S8=MesCiclo,InicioCiclo,$S8+MOD(2-WEEKDAY($S8),7))+13),1,IF(ISNUMBER($J8),$J8,$Y8)))</f>
        <v/>
      </c>
      <c r="AA8" s="62">
        <f>IF($V8="","",IF(AND(ISNUMBER($G8),$G8&lt;=IF($S8=MesCiclo,InicioCiclo,$S8+MOD(2-WEEKDAY($S8),7))+20),1,IF(ISNUMBER($K8),$K8,$Z8)))</f>
        <v/>
      </c>
      <c r="AB8" s="62">
        <f>IF($V8="","",IF(AND(ISNUMBER($G8),$G8&lt;=IF($S8=MesCiclo,InicioCiclo,$S8+MOD(2-WEEKDAY($S8),7))+27),1,IF(ISNUMBER($L8),$L8,$AA8)))</f>
        <v/>
      </c>
      <c r="AC8" s="62">
        <f>IF($V8="","",IF(AND(ISNUMBER($G8),$G8&lt;=IF($S8=MesCiclo,InicioCiclo,$S8+MOD(2-WEEKDAY($S8),7))+6),1,IF(N($W8)&gt;0,AVERAGEIFS($Y$5:$Y$1000,$U$5:$U$1000,ROW(),$V$5:$V$1000,"Sub"),$Y8)))</f>
        <v/>
      </c>
      <c r="AD8" s="62">
        <f>IF($V8="","",IF(AND(ISNUMBER($G8),$G8&lt;=IF($S8=MesCiclo,InicioCiclo,$S8+MOD(2-WEEKDAY($S8),7))+13),1,IF(N($W8)&gt;0,AVERAGEIFS($Z$5:$Z$1000,$U$5:$U$1000,ROW(),$V$5:$V$1000,"Sub"),$Z8)))</f>
        <v/>
      </c>
      <c r="AE8" s="62">
        <f>IF($V8="","",IF(AND(ISNUMBER($G8),$G8&lt;=IF($S8=MesCiclo,InicioCiclo,$S8+MOD(2-WEEKDAY($S8),7))+20),1,IF(N($W8)&gt;0,AVERAGEIFS($AA$5:$AA$1000,$U$5:$U$1000,ROW(),$V$5:$V$1000,"Sub"),$AA8)))</f>
        <v/>
      </c>
      <c r="AF8" s="62">
        <f>IF($V8="","",IF(AND(ISNUMBER($G8),$G8&lt;=IF($S8=MesCiclo,InicioCiclo,$S8+MOD(2-WEEKDAY($S8),7))+27),1,IF(N($W8)&gt;0,AVERAGEIFS($AB$5:$AB$1000,$U$5:$U$1000,ROW(),$V$5:$V$1000,"Sub"),$AB8)))</f>
        <v/>
      </c>
      <c r="AG8" s="62">
        <f>IF($V8&lt;&gt;"Macro","",IF(COUNTIFS($S$5:$S$1000,$S8,$V$5:$V$1000,"Macro",$H$5:$H$1000,"&gt;0")=0,1/COUNTIFS($S$5:$S$1000,$S8,$V$5:$V$1000,"Macro"),IF(AND(ISNUMBER($H8),N($H8)&gt;0),$H8,SUMIFS($H$5:$H$1000,$S$5:$S$1000,$S8,$V$5:$V$1000,"Macro")/COUNTIFS($S$5:$S$1000,$S8,$V$5:$V$1000,"Macro",$H$5:$H$1000,"&gt;0"))/(COUNTIFS($S$5:$S$1000,$S8,$V$5:$V$1000,"Macro")*SUMIFS($H$5:$H$1000,$S$5:$S$1000,$S8,$V$5:$V$1000,"Macro")/COUNTIFS($S$5:$S$1000,$S8,$V$5:$V$1000,"Macro",$H$5:$H$1000,"&gt;0"))))</f>
        <v/>
      </c>
      <c r="AH8" s="62">
        <f>IF(NOT(AND($D8&lt;&gt;"",$V8="Macro")),"",IFERROR(CHOOSE(MATCH($D8,ListaPuestos,0),MATCH("[Jefatura] "&amp;$C8,'Cronograma R. Operacional'!$C$5:$C$1000,0),MATCH("[Jefatura] "&amp;$C8,'Cronograma R. Normativo'!$C$5:$C$1000,0),MATCH("[Jefatura] "&amp;$C8,'Cronograma R. Financiero'!$C$5:$C$1000,0),MATCH("[Jefatura] "&amp;$C8,'Cronograma Asistente Técnico'!$C$5:$C$1000,0)),0))</f>
        <v/>
      </c>
      <c r="AI8" s="62">
        <f>IF(AND(AND($D8&lt;&gt;"",$V8="Macro"),$S8=MesCiclo),COUNTIFS($D$5:$D8,$D8,$S$5:$S8,MesCiclo,$V$5:$V8,"Macro"),"")</f>
        <v/>
      </c>
      <c r="AJ8" s="62">
        <f>IF($AI8="","",$D8&amp;"|"&amp;$AI8)</f>
        <v/>
      </c>
      <c r="AK8" s="62">
        <f>IF(AND($D8&lt;&gt;"",$V8="Macro"),$D8&amp;"|"&amp;$C8,"")</f>
        <v/>
      </c>
      <c r="AL8" s="62">
        <f>""</f>
        <v/>
      </c>
      <c r="AM8" s="62">
        <f>IF(N($AL8)&gt;0,INDEX(rIni_ADM,$AL8),IF(ISNUMBER($E8),$E8,""))</f>
        <v/>
      </c>
      <c r="AN8" s="62">
        <f>IF(N($AL8)&gt;0,INDEX(rLim_ADM,$AL8),IF(ISNUMBER($F8),$F8,""))</f>
        <v/>
      </c>
    </row>
    <row r="9">
      <c r="A9" s="56">
        <f>IF(NOT((COUNTA($B9:$D9)+COUNTA($G9:$L9)+COUNTA($Q9))&gt;0),"",IF($V9="Macro",COUNTIFS($V$5:$V9,"Macro",$S$5:$S9,$S9),IF(N($U9)=0,"?",COUNTIFS(INDEX($V$5:$V$1000,1):INDEX($V$5:$V$1000,$U9-4),"Macro",INDEX($S$5:$S$1000,1):INDEX($S$5:$S$1000,$U9-4),INDEX($S$5:$S$1000,$U9-4))&amp;"."&amp;COUNTIFS($U$5:$U9,$U9,$V$5:$V9,"Sub"))))</f>
        <v/>
      </c>
      <c r="B9" s="57" t="n"/>
      <c r="C9" s="58" t="n"/>
      <c r="D9" s="58" t="n"/>
      <c r="E9" s="59" t="n"/>
      <c r="F9" s="59" t="n"/>
      <c r="G9" s="59" t="n"/>
      <c r="H9" s="60" t="n"/>
      <c r="I9" s="60" t="n"/>
      <c r="J9" s="60" t="n"/>
      <c r="K9" s="60" t="n"/>
      <c r="L9" s="60" t="n"/>
      <c r="M9" s="61">
        <f>IF(NOT((COUNTA($B9:$D9)+COUNTA($G9:$L9)+COUNTA($Q9))&gt;0),"",IF(AND($D9&lt;&gt;"",$V9="Macro"),IF(N($AH9)&gt;0,N(CHOOSE(MATCH($D9,ListaPuestos,0),INDEX('Cronograma R. Operacional'!$M$5:$M$1000,$AH9),INDEX('Cronograma R. Normativo'!$M$5:$M$1000,$AH9),INDEX('Cronograma R. Financiero'!$M$5:$M$1000,$AH9),INDEX('Cronograma Asistente Técnico'!$M$5:$M$1000,$AH9))),0),IF(ISNUMBER($G9),1,IF(N($W9)&gt;0,AVERAGEIFS($X$5:$X$1000,$U$5:$U$1000,ROW(),$V$5:$V$1000,"Sub"),$X9))))</f>
        <v/>
      </c>
      <c r="N9" s="56">
        <f>IF(OR($M9="",$V9="Sub"),"",IF($M9&gt;=1,"Completado",IF($M9&gt;0,"En curso","Pendiente")))</f>
        <v/>
      </c>
      <c r="O9" s="56">
        <f>IF(NOT((COUNTA($B9:$D9)+COUNTA($G9:$L9)+COUNTA($Q9))&gt;0),"",IF(AND(AND($D9&lt;&gt;"",$V9="Macro"),N($AH9)&gt;0),CHOOSE(MATCH($D9,ListaPuestos,0),INDEX('Cronograma R. Operacional'!$O$5:$O$1000,$AH9),INDEX('Cronograma R. Normativo'!$O$5:$O$1000,$AH9),INDEX('Cronograma R. Financiero'!$O$5:$O$1000,$AH9),INDEX('Cronograma Asistente Técnico'!$O$5:$O$1000,$AH9))&amp;"",IF(ISNUMBER($G9),IF(AND(ISNUMBER($AN9),$G9&gt;$AN9),"Cumplida con "&amp;($G9-$AN9)&amp;IF($G9-$AN9=1," día"," días")&amp;" de retraso","Cumplida"),IF(N($M9)&gt;=1,"Cumplida",IF(NOT(ISNUMBER($AN9)),"Sin fecha límite",IF($AN9&lt;FechaRef,"Vencida hace "&amp;(FechaRef-$AN9)&amp;IF(FechaRef-$AN9=1," día"," días"),IF($AN9=FechaRef,"Vence hoy",IF($AN9-FechaRef&lt;=DiasAlerta,"Vence en "&amp;($AN9-FechaRef)&amp;IF($AN9-FechaRef=1," día"," días"),"En plazo"))))))))</f>
        <v/>
      </c>
      <c r="P9" s="62">
        <f>IF(NOT((COUNTA($B9:$D9)+COUNTA($G9:$L9)+COUNTA($Q9))&gt;0),"",IF($D9="","Propia",IF($V9&lt;&gt;"Macro","Solo se delegan macroactividades",IF(N($AH9)&gt;0,"✔ Recibida por "&amp;$D9,"⚠ "&amp;$D9&amp;" aún no la agrega"))))</f>
        <v/>
      </c>
      <c r="Q9" s="58" t="n"/>
      <c r="R9" s="63">
        <f>IF(NOT((COUNTA($B9:$D9)+COUNTA($G9:$L9)+COUNTA($Q9))&gt;0),"",IF((IF($C9="","Falta el nombre de la actividad"&amp;" · ","")&amp;IF(AND($V9="Sub",N($U9)=0),"Subactividad sin macroactividad arriba"&amp;" · ","")&amp;IF($AM9="","Sin fecha de inicio"&amp;" · ","")&amp;IF($AN9="","Sin fecha límite"&amp;" · ","")&amp;IF(AND(LEFT($C9,11)="[Jefatura] ",N($AL9)=0),"No se encuentra en la hoja de la jefatura (elíjala de nuevo en la lista)"&amp;" · ","")&amp;IF(OR(AND($E9&lt;&gt;"",NOT(ISNUMBER($E9))),AND($F9&lt;&gt;"",NOT(ISNUMBER($F9))),AND($G9&lt;&gt;"",NOT(ISNUMBER($G9)))),"Fecha no válida"&amp;" · ","")&amp;IF(AND(ISNUMBER($AM9),ISNUMBER($AN9),$AM9&gt;$AN9),"Inicio posterior a fecha límite"&amp;" · ","")&amp;IF(AND($V9="Macro",$H9&lt;&gt;"",OR(NOT(ISNUMBER($H9)),$H9&lt;0,$H9&gt;1)),"Peso fuera de rango"&amp;" · ","")&amp;IF(AND($V9="Sub",$H9&lt;&gt;""),"Las subactividades no llevan peso (valen igual dentro de su macroactividad)"&amp;" · ","")&amp;IF(AND(N($W9)&gt;0,COUNT($I9:$L9)&gt;0),"Con subactividades: deje vacías las semanas (se calculan solas)"&amp;" · ","")&amp;IF((COUNTIF($I9:$L9,"&gt;1")+COUNTIF($I9:$L9,"&lt;0")+COUNTA($I9:$L9)-COUNT($I9:$L9))&gt;0,"Avance fuera de rango 0-100%"&amp;" · ","")&amp;IF(OR(AND($J9&lt;&gt;"",$J9&lt;$I9),AND($K9&lt;&gt;"",$K9&lt;MAX($I9:$J9)),AND($L9&lt;&gt;"",$L9&lt;MAX($I9:$K9))),"Avance semanal decreciente"&amp;" · ","")&amp;IF(AND(ISNUMBER($AN9),$AN9&lt;FechaRef,IF($V9="Sub",N($X9),N($M9))&lt;1),"Vencida"&amp;" · ","")&amp;IF(AND(ObsObligatoria="Sí",ISNUMBER($AN9),$AN9&lt;FechaRef,IF($V9="Sub",N($X9),N($M9))&lt;1,$Q9=""),"Vencida sin observación"&amp;" · ",""))="","✔ OK","⚠ "&amp;LEFT(IF($C9="","Falta el nombre de la actividad"&amp;" · ","")&amp;IF(AND($V9="Sub",N($U9)=0),"Subactividad sin macroactividad arriba"&amp;" · ","")&amp;IF($AM9="","Sin fecha de inicio"&amp;" · ","")&amp;IF($AN9="","Sin fecha límite"&amp;" · ","")&amp;IF(AND(LEFT($C9,11)="[Jefatura] ",N($AL9)=0),"No se encuentra en la hoja de la jefatura (elíjala de nuevo en la lista)"&amp;" · ","")&amp;IF(OR(AND($E9&lt;&gt;"",NOT(ISNUMBER($E9))),AND($F9&lt;&gt;"",NOT(ISNUMBER($F9))),AND($G9&lt;&gt;"",NOT(ISNUMBER($G9)))),"Fecha no válida"&amp;" · ","")&amp;IF(AND(ISNUMBER($AM9),ISNUMBER($AN9),$AM9&gt;$AN9),"Inicio posterior a fecha límite"&amp;" · ","")&amp;IF(AND($V9="Macro",$H9&lt;&gt;"",OR(NOT(ISNUMBER($H9)),$H9&lt;0,$H9&gt;1)),"Peso fuera de rango"&amp;" · ","")&amp;IF(AND($V9="Sub",$H9&lt;&gt;""),"Las subactividades no llevan peso (valen igual dentro de su macroactividad)"&amp;" · ","")&amp;IF(AND(N($W9)&gt;0,COUNT($I9:$L9)&gt;0),"Con subactividades: deje vacías las semanas (se calculan solas)"&amp;" · ","")&amp;IF((COUNTIF($I9:$L9,"&gt;1")+COUNTIF($I9:$L9,"&lt;0")+COUNTA($I9:$L9)-COUNT($I9:$L9))&gt;0,"Avance fuera de rango 0-100%"&amp;" · ","")&amp;IF(OR(AND($J9&lt;&gt;"",$J9&lt;$I9),AND($K9&lt;&gt;"",$K9&lt;MAX($I9:$J9)),AND($L9&lt;&gt;"",$L9&lt;MAX($I9:$K9))),"Avance semanal decreciente"&amp;" · ","")&amp;IF(AND(ISNUMBER($AN9),$AN9&lt;FechaRef,IF($V9="Sub",N($X9),N($M9))&lt;1),"Vencida"&amp;" · ","")&amp;IF(AND(ObsObligatoria="Sí",ISNUMBER($AN9),$AN9&lt;FechaRef,IF($V9="Sub",N($X9),N($M9))&lt;1,$Q9=""),"Vencida sin observación"&amp;" · ",""),LEN(IF($C9="","Falta el nombre de la actividad"&amp;" · ","")&amp;IF(AND($V9="Sub",N($U9)=0),"Subactividad sin macroactividad arriba"&amp;" · ","")&amp;IF($AM9="","Sin fecha de inicio"&amp;" · ","")&amp;IF($AN9="","Sin fecha límite"&amp;" · ","")&amp;IF(AND(LEFT($C9,11)="[Jefatura] ",N($AL9)=0),"No se encuentra en la hoja de la jefatura (elíjala de nuevo en la lista)"&amp;" · ","")&amp;IF(OR(AND($E9&lt;&gt;"",NOT(ISNUMBER($E9))),AND($F9&lt;&gt;"",NOT(ISNUMBER($F9))),AND($G9&lt;&gt;"",NOT(ISNUMBER($G9)))),"Fecha no válida"&amp;" · ","")&amp;IF(AND(ISNUMBER($AM9),ISNUMBER($AN9),$AM9&gt;$AN9),"Inicio posterior a fecha límite"&amp;" · ","")&amp;IF(AND($V9="Macro",$H9&lt;&gt;"",OR(NOT(ISNUMBER($H9)),$H9&lt;0,$H9&gt;1)),"Peso fuera de rango"&amp;" · ","")&amp;IF(AND($V9="Sub",$H9&lt;&gt;""),"Las subactividades no llevan peso (valen igual dentro de su macroactividad)"&amp;" · ","")&amp;IF(AND(N($W9)&gt;0,COUNT($I9:$L9)&gt;0),"Con subactividades: deje vacías las semanas (se calculan solas)"&amp;" · ","")&amp;IF((COUNTIF($I9:$L9,"&gt;1")+COUNTIF($I9:$L9,"&lt;0")+COUNTA($I9:$L9)-COUNT($I9:$L9))&gt;0,"Avance fuera de rango 0-100%"&amp;" · ","")&amp;IF(OR(AND($J9&lt;&gt;"",$J9&lt;$I9),AND($K9&lt;&gt;"",$K9&lt;MAX($I9:$J9)),AND($L9&lt;&gt;"",$L9&lt;MAX($I9:$K9))),"Avance semanal decreciente"&amp;" · ","")&amp;IF(AND(ISNUMBER($AN9),$AN9&lt;FechaRef,IF($V9="Sub",N($X9),N($M9))&lt;1),"Vencida"&amp;" · ","")&amp;IF(AND(ObsObligatoria="Sí",ISNUMBER($AN9),$AN9&lt;FechaRef,IF($V9="Sub",N($X9),N($M9))&lt;1,$Q9=""),"Vencida sin observación"&amp;" · ",""))-3)))</f>
        <v/>
      </c>
      <c r="S9" s="64">
        <f>IF(NOT((COUNTA($B9:$D9)+COUNTA($G9:$L9)+COUNTA($Q9))&gt;0),"",IF(AND($V9="Sub",N($U9)&gt;0),IF(ISNUMBER(INDEX($AM$5:$AM$1000,$U9-4)),DATE(YEAR(INDEX($AM$5:$AM$1000,$U9-4)),MONTH(INDEX($AM$5:$AM$1000,$U9-4)),1),IF(ISNUMBER(INDEX($AN$5:$AN$1000,$U9-4)),DATE(YEAR(INDEX($AN$5:$AN$1000,$U9-4)),MONTH(INDEX($AN$5:$AN$1000,$U9-4)),1),MesCiclo)),IF(ISNUMBER($AM9),DATE(YEAR($AM9),MONTH($AM9),1),IF(ISNUMBER($AN9),DATE(YEAR($AN9),MONTH($AN9),1),MesCiclo))))</f>
        <v/>
      </c>
      <c r="T9" s="62">
        <f>IF(OR($S9="",$S9&lt;&gt;MesCiclo,$V9&lt;&gt;"Macro"),"",COUNTIFS($S$5:$S9,MesCiclo,$V$5:$V9,"Macro"))</f>
        <v/>
      </c>
      <c r="U9" s="62">
        <f>IF($V9="","",IF($V9="Macro",ROW(),IFERROR(LOOKUP(2,1/($V$5:$V9="Macro"),ROW($V$5:$V9)),0)))</f>
        <v/>
      </c>
      <c r="V9" s="62">
        <f>IF(NOT((COUNTA($B9:$D9)+COUNTA($G9:$L9)+COUNTA($Q9))&gt;0),"",IF($B9="Subactividad","Sub","Macro"))</f>
        <v/>
      </c>
      <c r="W9" s="62">
        <f>IF($V9="Macro",COUNTIFS($U$5:$U$1000,ROW(),$V$5:$V$1000,"Sub"),"")</f>
        <v/>
      </c>
      <c r="X9" s="62">
        <f>IF($V9="","",IF(ISNUMBER($G9),1,IFERROR(LOOKUP(2,1/($I9:$L9&lt;&gt;""),$I9:$L9),0)))</f>
        <v/>
      </c>
      <c r="Y9" s="62">
        <f>IF($V9="","",IF(AND(ISNUMBER($G9),$G9&lt;=IF($S9=MesCiclo,InicioCiclo,$S9+MOD(2-WEEKDAY($S9),7))+6),1,IF(ISNUMBER($I9),$I9,0)))</f>
        <v/>
      </c>
      <c r="Z9" s="62">
        <f>IF($V9="","",IF(AND(ISNUMBER($G9),$G9&lt;=IF($S9=MesCiclo,InicioCiclo,$S9+MOD(2-WEEKDAY($S9),7))+13),1,IF(ISNUMBER($J9),$J9,$Y9)))</f>
        <v/>
      </c>
      <c r="AA9" s="62">
        <f>IF($V9="","",IF(AND(ISNUMBER($G9),$G9&lt;=IF($S9=MesCiclo,InicioCiclo,$S9+MOD(2-WEEKDAY($S9),7))+20),1,IF(ISNUMBER($K9),$K9,$Z9)))</f>
        <v/>
      </c>
      <c r="AB9" s="62">
        <f>IF($V9="","",IF(AND(ISNUMBER($G9),$G9&lt;=IF($S9=MesCiclo,InicioCiclo,$S9+MOD(2-WEEKDAY($S9),7))+27),1,IF(ISNUMBER($L9),$L9,$AA9)))</f>
        <v/>
      </c>
      <c r="AC9" s="62">
        <f>IF($V9="","",IF(AND(ISNUMBER($G9),$G9&lt;=IF($S9=MesCiclo,InicioCiclo,$S9+MOD(2-WEEKDAY($S9),7))+6),1,IF(N($W9)&gt;0,AVERAGEIFS($Y$5:$Y$1000,$U$5:$U$1000,ROW(),$V$5:$V$1000,"Sub"),$Y9)))</f>
        <v/>
      </c>
      <c r="AD9" s="62">
        <f>IF($V9="","",IF(AND(ISNUMBER($G9),$G9&lt;=IF($S9=MesCiclo,InicioCiclo,$S9+MOD(2-WEEKDAY($S9),7))+13),1,IF(N($W9)&gt;0,AVERAGEIFS($Z$5:$Z$1000,$U$5:$U$1000,ROW(),$V$5:$V$1000,"Sub"),$Z9)))</f>
        <v/>
      </c>
      <c r="AE9" s="62">
        <f>IF($V9="","",IF(AND(ISNUMBER($G9),$G9&lt;=IF($S9=MesCiclo,InicioCiclo,$S9+MOD(2-WEEKDAY($S9),7))+20),1,IF(N($W9)&gt;0,AVERAGEIFS($AA$5:$AA$1000,$U$5:$U$1000,ROW(),$V$5:$V$1000,"Sub"),$AA9)))</f>
        <v/>
      </c>
      <c r="AF9" s="62">
        <f>IF($V9="","",IF(AND(ISNUMBER($G9),$G9&lt;=IF($S9=MesCiclo,InicioCiclo,$S9+MOD(2-WEEKDAY($S9),7))+27),1,IF(N($W9)&gt;0,AVERAGEIFS($AB$5:$AB$1000,$U$5:$U$1000,ROW(),$V$5:$V$1000,"Sub"),$AB9)))</f>
        <v/>
      </c>
      <c r="AG9" s="62">
        <f>IF($V9&lt;&gt;"Macro","",IF(COUNTIFS($S$5:$S$1000,$S9,$V$5:$V$1000,"Macro",$H$5:$H$1000,"&gt;0")=0,1/COUNTIFS($S$5:$S$1000,$S9,$V$5:$V$1000,"Macro"),IF(AND(ISNUMBER($H9),N($H9)&gt;0),$H9,SUMIFS($H$5:$H$1000,$S$5:$S$1000,$S9,$V$5:$V$1000,"Macro")/COUNTIFS($S$5:$S$1000,$S9,$V$5:$V$1000,"Macro",$H$5:$H$1000,"&gt;0"))/(COUNTIFS($S$5:$S$1000,$S9,$V$5:$V$1000,"Macro")*SUMIFS($H$5:$H$1000,$S$5:$S$1000,$S9,$V$5:$V$1000,"Macro")/COUNTIFS($S$5:$S$1000,$S9,$V$5:$V$1000,"Macro",$H$5:$H$1000,"&gt;0"))))</f>
        <v/>
      </c>
      <c r="AH9" s="62">
        <f>IF(NOT(AND($D9&lt;&gt;"",$V9="Macro")),"",IFERROR(CHOOSE(MATCH($D9,ListaPuestos,0),MATCH("[Jefatura] "&amp;$C9,'Cronograma R. Operacional'!$C$5:$C$1000,0),MATCH("[Jefatura] "&amp;$C9,'Cronograma R. Normativo'!$C$5:$C$1000,0),MATCH("[Jefatura] "&amp;$C9,'Cronograma R. Financiero'!$C$5:$C$1000,0),MATCH("[Jefatura] "&amp;$C9,'Cronograma Asistente Técnico'!$C$5:$C$1000,0)),0))</f>
        <v/>
      </c>
      <c r="AI9" s="62">
        <f>IF(AND(AND($D9&lt;&gt;"",$V9="Macro"),$S9=MesCiclo),COUNTIFS($D$5:$D9,$D9,$S$5:$S9,MesCiclo,$V$5:$V9,"Macro"),"")</f>
        <v/>
      </c>
      <c r="AJ9" s="62">
        <f>IF($AI9="","",$D9&amp;"|"&amp;$AI9)</f>
        <v/>
      </c>
      <c r="AK9" s="62">
        <f>IF(AND($D9&lt;&gt;"",$V9="Macro"),$D9&amp;"|"&amp;$C9,"")</f>
        <v/>
      </c>
      <c r="AL9" s="62">
        <f>""</f>
        <v/>
      </c>
      <c r="AM9" s="62">
        <f>IF(N($AL9)&gt;0,INDEX(rIni_ADM,$AL9),IF(ISNUMBER($E9),$E9,""))</f>
        <v/>
      </c>
      <c r="AN9" s="62">
        <f>IF(N($AL9)&gt;0,INDEX(rLim_ADM,$AL9),IF(ISNUMBER($F9),$F9,""))</f>
        <v/>
      </c>
    </row>
    <row r="10">
      <c r="A10" s="56">
        <f>IF(NOT((COUNTA($B10:$D10)+COUNTA($G10:$L10)+COUNTA($Q10))&gt;0),"",IF($V10="Macro",COUNTIFS($V$5:$V10,"Macro",$S$5:$S10,$S10),IF(N($U10)=0,"?",COUNTIFS(INDEX($V$5:$V$1000,1):INDEX($V$5:$V$1000,$U10-4),"Macro",INDEX($S$5:$S$1000,1):INDEX($S$5:$S$1000,$U10-4),INDEX($S$5:$S$1000,$U10-4))&amp;"."&amp;COUNTIFS($U$5:$U10,$U10,$V$5:$V10,"Sub"))))</f>
        <v/>
      </c>
      <c r="B10" s="57" t="n"/>
      <c r="C10" s="58" t="n"/>
      <c r="D10" s="58" t="n"/>
      <c r="E10" s="59" t="n"/>
      <c r="F10" s="59" t="n"/>
      <c r="G10" s="59" t="n"/>
      <c r="H10" s="60" t="n"/>
      <c r="I10" s="60" t="n"/>
      <c r="J10" s="60" t="n"/>
      <c r="K10" s="60" t="n"/>
      <c r="L10" s="60" t="n"/>
      <c r="M10" s="61">
        <f>IF(NOT((COUNTA($B10:$D10)+COUNTA($G10:$L10)+COUNTA($Q10))&gt;0),"",IF(AND($D10&lt;&gt;"",$V10="Macro"),IF(N($AH10)&gt;0,N(CHOOSE(MATCH($D10,ListaPuestos,0),INDEX('Cronograma R. Operacional'!$M$5:$M$1000,$AH10),INDEX('Cronograma R. Normativo'!$M$5:$M$1000,$AH10),INDEX('Cronograma R. Financiero'!$M$5:$M$1000,$AH10),INDEX('Cronograma Asistente Técnico'!$M$5:$M$1000,$AH10))),0),IF(ISNUMBER($G10),1,IF(N($W10)&gt;0,AVERAGEIFS($X$5:$X$1000,$U$5:$U$1000,ROW(),$V$5:$V$1000,"Sub"),$X10))))</f>
        <v/>
      </c>
      <c r="N10" s="56">
        <f>IF(OR($M10="",$V10="Sub"),"",IF($M10&gt;=1,"Completado",IF($M10&gt;0,"En curso","Pendiente")))</f>
        <v/>
      </c>
      <c r="O10" s="56">
        <f>IF(NOT((COUNTA($B10:$D10)+COUNTA($G10:$L10)+COUNTA($Q10))&gt;0),"",IF(AND(AND($D10&lt;&gt;"",$V10="Macro"),N($AH10)&gt;0),CHOOSE(MATCH($D10,ListaPuestos,0),INDEX('Cronograma R. Operacional'!$O$5:$O$1000,$AH10),INDEX('Cronograma R. Normativo'!$O$5:$O$1000,$AH10),INDEX('Cronograma R. Financiero'!$O$5:$O$1000,$AH10),INDEX('Cronograma Asistente Técnico'!$O$5:$O$1000,$AH10))&amp;"",IF(ISNUMBER($G10),IF(AND(ISNUMBER($AN10),$G10&gt;$AN10),"Cumplida con "&amp;($G10-$AN10)&amp;IF($G10-$AN10=1," día"," días")&amp;" de retraso","Cumplida"),IF(N($M10)&gt;=1,"Cumplida",IF(NOT(ISNUMBER($AN10)),"Sin fecha límite",IF($AN10&lt;FechaRef,"Vencida hace "&amp;(FechaRef-$AN10)&amp;IF(FechaRef-$AN10=1," día"," días"),IF($AN10=FechaRef,"Vence hoy",IF($AN10-FechaRef&lt;=DiasAlerta,"Vence en "&amp;($AN10-FechaRef)&amp;IF($AN10-FechaRef=1," día"," días"),"En plazo"))))))))</f>
        <v/>
      </c>
      <c r="P10" s="62">
        <f>IF(NOT((COUNTA($B10:$D10)+COUNTA($G10:$L10)+COUNTA($Q10))&gt;0),"",IF($D10="","Propia",IF($V10&lt;&gt;"Macro","Solo se delegan macroactividades",IF(N($AH10)&gt;0,"✔ Recibida por "&amp;$D10,"⚠ "&amp;$D10&amp;" aún no la agrega"))))</f>
        <v/>
      </c>
      <c r="Q10" s="58" t="n"/>
      <c r="R10" s="63">
        <f>IF(NOT((COUNTA($B10:$D10)+COUNTA($G10:$L10)+COUNTA($Q10))&gt;0),"",IF((IF($C10="","Falta el nombre de la actividad"&amp;" · ","")&amp;IF(AND($V10="Sub",N($U10)=0),"Subactividad sin macroactividad arriba"&amp;" · ","")&amp;IF($AM10="","Sin fecha de inicio"&amp;" · ","")&amp;IF($AN10="","Sin fecha límite"&amp;" · ","")&amp;IF(AND(LEFT($C10,11)="[Jefatura] ",N($AL10)=0),"No se encuentra en la hoja de la jefatura (elíjala de nuevo en la lista)"&amp;" · ","")&amp;IF(OR(AND($E10&lt;&gt;"",NOT(ISNUMBER($E10))),AND($F10&lt;&gt;"",NOT(ISNUMBER($F10))),AND($G10&lt;&gt;"",NOT(ISNUMBER($G10)))),"Fecha no válida"&amp;" · ","")&amp;IF(AND(ISNUMBER($AM10),ISNUMBER($AN10),$AM10&gt;$AN10),"Inicio posterior a fecha límite"&amp;" · ","")&amp;IF(AND($V10="Macro",$H10&lt;&gt;"",OR(NOT(ISNUMBER($H10)),$H10&lt;0,$H10&gt;1)),"Peso fuera de rango"&amp;" · ","")&amp;IF(AND($V10="Sub",$H10&lt;&gt;""),"Las subactividades no llevan peso (valen igual dentro de su macroactividad)"&amp;" · ","")&amp;IF(AND(N($W10)&gt;0,COUNT($I10:$L10)&gt;0),"Con subactividades: deje vacías las semanas (se calculan solas)"&amp;" · ","")&amp;IF((COUNTIF($I10:$L10,"&gt;1")+COUNTIF($I10:$L10,"&lt;0")+COUNTA($I10:$L10)-COUNT($I10:$L10))&gt;0,"Avance fuera de rango 0-100%"&amp;" · ","")&amp;IF(OR(AND($J10&lt;&gt;"",$J10&lt;$I10),AND($K10&lt;&gt;"",$K10&lt;MAX($I10:$J10)),AND($L10&lt;&gt;"",$L10&lt;MAX($I10:$K10))),"Avance semanal decreciente"&amp;" · ","")&amp;IF(AND(ISNUMBER($AN10),$AN10&lt;FechaRef,IF($V10="Sub",N($X10),N($M10))&lt;1),"Vencida"&amp;" · ","")&amp;IF(AND(ObsObligatoria="Sí",ISNUMBER($AN10),$AN10&lt;FechaRef,IF($V10="Sub",N($X10),N($M10))&lt;1,$Q10=""),"Vencida sin observación"&amp;" · ",""))="","✔ OK","⚠ "&amp;LEFT(IF($C10="","Falta el nombre de la actividad"&amp;" · ","")&amp;IF(AND($V10="Sub",N($U10)=0),"Subactividad sin macroactividad arriba"&amp;" · ","")&amp;IF($AM10="","Sin fecha de inicio"&amp;" · ","")&amp;IF($AN10="","Sin fecha límite"&amp;" · ","")&amp;IF(AND(LEFT($C10,11)="[Jefatura] ",N($AL10)=0),"No se encuentra en la hoja de la jefatura (elíjala de nuevo en la lista)"&amp;" · ","")&amp;IF(OR(AND($E10&lt;&gt;"",NOT(ISNUMBER($E10))),AND($F10&lt;&gt;"",NOT(ISNUMBER($F10))),AND($G10&lt;&gt;"",NOT(ISNUMBER($G10)))),"Fecha no válida"&amp;" · ","")&amp;IF(AND(ISNUMBER($AM10),ISNUMBER($AN10),$AM10&gt;$AN10),"Inicio posterior a fecha límite"&amp;" · ","")&amp;IF(AND($V10="Macro",$H10&lt;&gt;"",OR(NOT(ISNUMBER($H10)),$H10&lt;0,$H10&gt;1)),"Peso fuera de rango"&amp;" · ","")&amp;IF(AND($V10="Sub",$H10&lt;&gt;""),"Las subactividades no llevan peso (valen igual dentro de su macroactividad)"&amp;" · ","")&amp;IF(AND(N($W10)&gt;0,COUNT($I10:$L10)&gt;0),"Con subactividades: deje vacías las semanas (se calculan solas)"&amp;" · ","")&amp;IF((COUNTIF($I10:$L10,"&gt;1")+COUNTIF($I10:$L10,"&lt;0")+COUNTA($I10:$L10)-COUNT($I10:$L10))&gt;0,"Avance fuera de rango 0-100%"&amp;" · ","")&amp;IF(OR(AND($J10&lt;&gt;"",$J10&lt;$I10),AND($K10&lt;&gt;"",$K10&lt;MAX($I10:$J10)),AND($L10&lt;&gt;"",$L10&lt;MAX($I10:$K10))),"Avance semanal decreciente"&amp;" · ","")&amp;IF(AND(ISNUMBER($AN10),$AN10&lt;FechaRef,IF($V10="Sub",N($X10),N($M10))&lt;1),"Vencida"&amp;" · ","")&amp;IF(AND(ObsObligatoria="Sí",ISNUMBER($AN10),$AN10&lt;FechaRef,IF($V10="Sub",N($X10),N($M10))&lt;1,$Q10=""),"Vencida sin observación"&amp;" · ",""),LEN(IF($C10="","Falta el nombre de la actividad"&amp;" · ","")&amp;IF(AND($V10="Sub",N($U10)=0),"Subactividad sin macroactividad arriba"&amp;" · ","")&amp;IF($AM10="","Sin fecha de inicio"&amp;" · ","")&amp;IF($AN10="","Sin fecha límite"&amp;" · ","")&amp;IF(AND(LEFT($C10,11)="[Jefatura] ",N($AL10)=0),"No se encuentra en la hoja de la jefatura (elíjala de nuevo en la lista)"&amp;" · ","")&amp;IF(OR(AND($E10&lt;&gt;"",NOT(ISNUMBER($E10))),AND($F10&lt;&gt;"",NOT(ISNUMBER($F10))),AND($G10&lt;&gt;"",NOT(ISNUMBER($G10)))),"Fecha no válida"&amp;" · ","")&amp;IF(AND(ISNUMBER($AM10),ISNUMBER($AN10),$AM10&gt;$AN10),"Inicio posterior a fecha límite"&amp;" · ","")&amp;IF(AND($V10="Macro",$H10&lt;&gt;"",OR(NOT(ISNUMBER($H10)),$H10&lt;0,$H10&gt;1)),"Peso fuera de rango"&amp;" · ","")&amp;IF(AND($V10="Sub",$H10&lt;&gt;""),"Las subactividades no llevan peso (valen igual dentro de su macroactividad)"&amp;" · ","")&amp;IF(AND(N($W10)&gt;0,COUNT($I10:$L10)&gt;0),"Con subactividades: deje vacías las semanas (se calculan solas)"&amp;" · ","")&amp;IF((COUNTIF($I10:$L10,"&gt;1")+COUNTIF($I10:$L10,"&lt;0")+COUNTA($I10:$L10)-COUNT($I10:$L10))&gt;0,"Avance fuera de rango 0-100%"&amp;" · ","")&amp;IF(OR(AND($J10&lt;&gt;"",$J10&lt;$I10),AND($K10&lt;&gt;"",$K10&lt;MAX($I10:$J10)),AND($L10&lt;&gt;"",$L10&lt;MAX($I10:$K10))),"Avance semanal decreciente"&amp;" · ","")&amp;IF(AND(ISNUMBER($AN10),$AN10&lt;FechaRef,IF($V10="Sub",N($X10),N($M10))&lt;1),"Vencida"&amp;" · ","")&amp;IF(AND(ObsObligatoria="Sí",ISNUMBER($AN10),$AN10&lt;FechaRef,IF($V10="Sub",N($X10),N($M10))&lt;1,$Q10=""),"Vencida sin observación"&amp;" · ",""))-3)))</f>
        <v/>
      </c>
      <c r="S10" s="64">
        <f>IF(NOT((COUNTA($B10:$D10)+COUNTA($G10:$L10)+COUNTA($Q10))&gt;0),"",IF(AND($V10="Sub",N($U10)&gt;0),IF(ISNUMBER(INDEX($AM$5:$AM$1000,$U10-4)),DATE(YEAR(INDEX($AM$5:$AM$1000,$U10-4)),MONTH(INDEX($AM$5:$AM$1000,$U10-4)),1),IF(ISNUMBER(INDEX($AN$5:$AN$1000,$U10-4)),DATE(YEAR(INDEX($AN$5:$AN$1000,$U10-4)),MONTH(INDEX($AN$5:$AN$1000,$U10-4)),1),MesCiclo)),IF(ISNUMBER($AM10),DATE(YEAR($AM10),MONTH($AM10),1),IF(ISNUMBER($AN10),DATE(YEAR($AN10),MONTH($AN10),1),MesCiclo))))</f>
        <v/>
      </c>
      <c r="T10" s="62">
        <f>IF(OR($S10="",$S10&lt;&gt;MesCiclo,$V10&lt;&gt;"Macro"),"",COUNTIFS($S$5:$S10,MesCiclo,$V$5:$V10,"Macro"))</f>
        <v/>
      </c>
      <c r="U10" s="62">
        <f>IF($V10="","",IF($V10="Macro",ROW(),IFERROR(LOOKUP(2,1/($V$5:$V10="Macro"),ROW($V$5:$V10)),0)))</f>
        <v/>
      </c>
      <c r="V10" s="62">
        <f>IF(NOT((COUNTA($B10:$D10)+COUNTA($G10:$L10)+COUNTA($Q10))&gt;0),"",IF($B10="Subactividad","Sub","Macro"))</f>
        <v/>
      </c>
      <c r="W10" s="62">
        <f>IF($V10="Macro",COUNTIFS($U$5:$U$1000,ROW(),$V$5:$V$1000,"Sub"),"")</f>
        <v/>
      </c>
      <c r="X10" s="62">
        <f>IF($V10="","",IF(ISNUMBER($G10),1,IFERROR(LOOKUP(2,1/($I10:$L10&lt;&gt;""),$I10:$L10),0)))</f>
        <v/>
      </c>
      <c r="Y10" s="62">
        <f>IF($V10="","",IF(AND(ISNUMBER($G10),$G10&lt;=IF($S10=MesCiclo,InicioCiclo,$S10+MOD(2-WEEKDAY($S10),7))+6),1,IF(ISNUMBER($I10),$I10,0)))</f>
        <v/>
      </c>
      <c r="Z10" s="62">
        <f>IF($V10="","",IF(AND(ISNUMBER($G10),$G10&lt;=IF($S10=MesCiclo,InicioCiclo,$S10+MOD(2-WEEKDAY($S10),7))+13),1,IF(ISNUMBER($J10),$J10,$Y10)))</f>
        <v/>
      </c>
      <c r="AA10" s="62">
        <f>IF($V10="","",IF(AND(ISNUMBER($G10),$G10&lt;=IF($S10=MesCiclo,InicioCiclo,$S10+MOD(2-WEEKDAY($S10),7))+20),1,IF(ISNUMBER($K10),$K10,$Z10)))</f>
        <v/>
      </c>
      <c r="AB10" s="62">
        <f>IF($V10="","",IF(AND(ISNUMBER($G10),$G10&lt;=IF($S10=MesCiclo,InicioCiclo,$S10+MOD(2-WEEKDAY($S10),7))+27),1,IF(ISNUMBER($L10),$L10,$AA10)))</f>
        <v/>
      </c>
      <c r="AC10" s="62">
        <f>IF($V10="","",IF(AND(ISNUMBER($G10),$G10&lt;=IF($S10=MesCiclo,InicioCiclo,$S10+MOD(2-WEEKDAY($S10),7))+6),1,IF(N($W10)&gt;0,AVERAGEIFS($Y$5:$Y$1000,$U$5:$U$1000,ROW(),$V$5:$V$1000,"Sub"),$Y10)))</f>
        <v/>
      </c>
      <c r="AD10" s="62">
        <f>IF($V10="","",IF(AND(ISNUMBER($G10),$G10&lt;=IF($S10=MesCiclo,InicioCiclo,$S10+MOD(2-WEEKDAY($S10),7))+13),1,IF(N($W10)&gt;0,AVERAGEIFS($Z$5:$Z$1000,$U$5:$U$1000,ROW(),$V$5:$V$1000,"Sub"),$Z10)))</f>
        <v/>
      </c>
      <c r="AE10" s="62">
        <f>IF($V10="","",IF(AND(ISNUMBER($G10),$G10&lt;=IF($S10=MesCiclo,InicioCiclo,$S10+MOD(2-WEEKDAY($S10),7))+20),1,IF(N($W10)&gt;0,AVERAGEIFS($AA$5:$AA$1000,$U$5:$U$1000,ROW(),$V$5:$V$1000,"Sub"),$AA10)))</f>
        <v/>
      </c>
      <c r="AF10" s="62">
        <f>IF($V10="","",IF(AND(ISNUMBER($G10),$G10&lt;=IF($S10=MesCiclo,InicioCiclo,$S10+MOD(2-WEEKDAY($S10),7))+27),1,IF(N($W10)&gt;0,AVERAGEIFS($AB$5:$AB$1000,$U$5:$U$1000,ROW(),$V$5:$V$1000,"Sub"),$AB10)))</f>
        <v/>
      </c>
      <c r="AG10" s="62">
        <f>IF($V10&lt;&gt;"Macro","",IF(COUNTIFS($S$5:$S$1000,$S10,$V$5:$V$1000,"Macro",$H$5:$H$1000,"&gt;0")=0,1/COUNTIFS($S$5:$S$1000,$S10,$V$5:$V$1000,"Macro"),IF(AND(ISNUMBER($H10),N($H10)&gt;0),$H10,SUMIFS($H$5:$H$1000,$S$5:$S$1000,$S10,$V$5:$V$1000,"Macro")/COUNTIFS($S$5:$S$1000,$S10,$V$5:$V$1000,"Macro",$H$5:$H$1000,"&gt;0"))/(COUNTIFS($S$5:$S$1000,$S10,$V$5:$V$1000,"Macro")*SUMIFS($H$5:$H$1000,$S$5:$S$1000,$S10,$V$5:$V$1000,"Macro")/COUNTIFS($S$5:$S$1000,$S10,$V$5:$V$1000,"Macro",$H$5:$H$1000,"&gt;0"))))</f>
        <v/>
      </c>
      <c r="AH10" s="62">
        <f>IF(NOT(AND($D10&lt;&gt;"",$V10="Macro")),"",IFERROR(CHOOSE(MATCH($D10,ListaPuestos,0),MATCH("[Jefatura] "&amp;$C10,'Cronograma R. Operacional'!$C$5:$C$1000,0),MATCH("[Jefatura] "&amp;$C10,'Cronograma R. Normativo'!$C$5:$C$1000,0),MATCH("[Jefatura] "&amp;$C10,'Cronograma R. Financiero'!$C$5:$C$1000,0),MATCH("[Jefatura] "&amp;$C10,'Cronograma Asistente Técnico'!$C$5:$C$1000,0)),0))</f>
        <v/>
      </c>
      <c r="AI10" s="62">
        <f>IF(AND(AND($D10&lt;&gt;"",$V10="Macro"),$S10=MesCiclo),COUNTIFS($D$5:$D10,$D10,$S$5:$S10,MesCiclo,$V$5:$V10,"Macro"),"")</f>
        <v/>
      </c>
      <c r="AJ10" s="62">
        <f>IF($AI10="","",$D10&amp;"|"&amp;$AI10)</f>
        <v/>
      </c>
      <c r="AK10" s="62">
        <f>IF(AND($D10&lt;&gt;"",$V10="Macro"),$D10&amp;"|"&amp;$C10,"")</f>
        <v/>
      </c>
      <c r="AL10" s="62">
        <f>""</f>
        <v/>
      </c>
      <c r="AM10" s="62">
        <f>IF(N($AL10)&gt;0,INDEX(rIni_ADM,$AL10),IF(ISNUMBER($E10),$E10,""))</f>
        <v/>
      </c>
      <c r="AN10" s="62">
        <f>IF(N($AL10)&gt;0,INDEX(rLim_ADM,$AL10),IF(ISNUMBER($F10),$F10,""))</f>
        <v/>
      </c>
    </row>
    <row r="11">
      <c r="A11" s="56">
        <f>IF(NOT((COUNTA($B11:$D11)+COUNTA($G11:$L11)+COUNTA($Q11))&gt;0),"",IF($V11="Macro",COUNTIFS($V$5:$V11,"Macro",$S$5:$S11,$S11),IF(N($U11)=0,"?",COUNTIFS(INDEX($V$5:$V$1000,1):INDEX($V$5:$V$1000,$U11-4),"Macro",INDEX($S$5:$S$1000,1):INDEX($S$5:$S$1000,$U11-4),INDEX($S$5:$S$1000,$U11-4))&amp;"."&amp;COUNTIFS($U$5:$U11,$U11,$V$5:$V11,"Sub"))))</f>
        <v/>
      </c>
      <c r="B11" s="57" t="n"/>
      <c r="C11" s="58" t="n"/>
      <c r="D11" s="58" t="n"/>
      <c r="E11" s="59" t="n"/>
      <c r="F11" s="59" t="n"/>
      <c r="G11" s="59" t="n"/>
      <c r="H11" s="60" t="n"/>
      <c r="I11" s="60" t="n"/>
      <c r="J11" s="60" t="n"/>
      <c r="K11" s="60" t="n"/>
      <c r="L11" s="60" t="n"/>
      <c r="M11" s="61">
        <f>IF(NOT((COUNTA($B11:$D11)+COUNTA($G11:$L11)+COUNTA($Q11))&gt;0),"",IF(AND($D11&lt;&gt;"",$V11="Macro"),IF(N($AH11)&gt;0,N(CHOOSE(MATCH($D11,ListaPuestos,0),INDEX('Cronograma R. Operacional'!$M$5:$M$1000,$AH11),INDEX('Cronograma R. Normativo'!$M$5:$M$1000,$AH11),INDEX('Cronograma R. Financiero'!$M$5:$M$1000,$AH11),INDEX('Cronograma Asistente Técnico'!$M$5:$M$1000,$AH11))),0),IF(ISNUMBER($G11),1,IF(N($W11)&gt;0,AVERAGEIFS($X$5:$X$1000,$U$5:$U$1000,ROW(),$V$5:$V$1000,"Sub"),$X11))))</f>
        <v/>
      </c>
      <c r="N11" s="56">
        <f>IF(OR($M11="",$V11="Sub"),"",IF($M11&gt;=1,"Completado",IF($M11&gt;0,"En curso","Pendiente")))</f>
        <v/>
      </c>
      <c r="O11" s="56">
        <f>IF(NOT((COUNTA($B11:$D11)+COUNTA($G11:$L11)+COUNTA($Q11))&gt;0),"",IF(AND(AND($D11&lt;&gt;"",$V11="Macro"),N($AH11)&gt;0),CHOOSE(MATCH($D11,ListaPuestos,0),INDEX('Cronograma R. Operacional'!$O$5:$O$1000,$AH11),INDEX('Cronograma R. Normativo'!$O$5:$O$1000,$AH11),INDEX('Cronograma R. Financiero'!$O$5:$O$1000,$AH11),INDEX('Cronograma Asistente Técnico'!$O$5:$O$1000,$AH11))&amp;"",IF(ISNUMBER($G11),IF(AND(ISNUMBER($AN11),$G11&gt;$AN11),"Cumplida con "&amp;($G11-$AN11)&amp;IF($G11-$AN11=1," día"," días")&amp;" de retraso","Cumplida"),IF(N($M11)&gt;=1,"Cumplida",IF(NOT(ISNUMBER($AN11)),"Sin fecha límite",IF($AN11&lt;FechaRef,"Vencida hace "&amp;(FechaRef-$AN11)&amp;IF(FechaRef-$AN11=1," día"," días"),IF($AN11=FechaRef,"Vence hoy",IF($AN11-FechaRef&lt;=DiasAlerta,"Vence en "&amp;($AN11-FechaRef)&amp;IF($AN11-FechaRef=1," día"," días"),"En plazo"))))))))</f>
        <v/>
      </c>
      <c r="P11" s="62">
        <f>IF(NOT((COUNTA($B11:$D11)+COUNTA($G11:$L11)+COUNTA($Q11))&gt;0),"",IF($D11="","Propia",IF($V11&lt;&gt;"Macro","Solo se delegan macroactividades",IF(N($AH11)&gt;0,"✔ Recibida por "&amp;$D11,"⚠ "&amp;$D11&amp;" aún no la agrega"))))</f>
        <v/>
      </c>
      <c r="Q11" s="58" t="n"/>
      <c r="R11" s="63">
        <f>IF(NOT((COUNTA($B11:$D11)+COUNTA($G11:$L11)+COUNTA($Q11))&gt;0),"",IF((IF($C11="","Falta el nombre de la actividad"&amp;" · ","")&amp;IF(AND($V11="Sub",N($U11)=0),"Subactividad sin macroactividad arriba"&amp;" · ","")&amp;IF($AM11="","Sin fecha de inicio"&amp;" · ","")&amp;IF($AN11="","Sin fecha límite"&amp;" · ","")&amp;IF(AND(LEFT($C11,11)="[Jefatura] ",N($AL11)=0),"No se encuentra en la hoja de la jefatura (elíjala de nuevo en la lista)"&amp;" · ","")&amp;IF(OR(AND($E11&lt;&gt;"",NOT(ISNUMBER($E11))),AND($F11&lt;&gt;"",NOT(ISNUMBER($F11))),AND($G11&lt;&gt;"",NOT(ISNUMBER($G11)))),"Fecha no válida"&amp;" · ","")&amp;IF(AND(ISNUMBER($AM11),ISNUMBER($AN11),$AM11&gt;$AN11),"Inicio posterior a fecha límite"&amp;" · ","")&amp;IF(AND($V11="Macro",$H11&lt;&gt;"",OR(NOT(ISNUMBER($H11)),$H11&lt;0,$H11&gt;1)),"Peso fuera de rango"&amp;" · ","")&amp;IF(AND($V11="Sub",$H11&lt;&gt;""),"Las subactividades no llevan peso (valen igual dentro de su macroactividad)"&amp;" · ","")&amp;IF(AND(N($W11)&gt;0,COUNT($I11:$L11)&gt;0),"Con subactividades: deje vacías las semanas (se calculan solas)"&amp;" · ","")&amp;IF((COUNTIF($I11:$L11,"&gt;1")+COUNTIF($I11:$L11,"&lt;0")+COUNTA($I11:$L11)-COUNT($I11:$L11))&gt;0,"Avance fuera de rango 0-100%"&amp;" · ","")&amp;IF(OR(AND($J11&lt;&gt;"",$J11&lt;$I11),AND($K11&lt;&gt;"",$K11&lt;MAX($I11:$J11)),AND($L11&lt;&gt;"",$L11&lt;MAX($I11:$K11))),"Avance semanal decreciente"&amp;" · ","")&amp;IF(AND(ISNUMBER($AN11),$AN11&lt;FechaRef,IF($V11="Sub",N($X11),N($M11))&lt;1),"Vencida"&amp;" · ","")&amp;IF(AND(ObsObligatoria="Sí",ISNUMBER($AN11),$AN11&lt;FechaRef,IF($V11="Sub",N($X11),N($M11))&lt;1,$Q11=""),"Vencida sin observación"&amp;" · ",""))="","✔ OK","⚠ "&amp;LEFT(IF($C11="","Falta el nombre de la actividad"&amp;" · ","")&amp;IF(AND($V11="Sub",N($U11)=0),"Subactividad sin macroactividad arriba"&amp;" · ","")&amp;IF($AM11="","Sin fecha de inicio"&amp;" · ","")&amp;IF($AN11="","Sin fecha límite"&amp;" · ","")&amp;IF(AND(LEFT($C11,11)="[Jefatura] ",N($AL11)=0),"No se encuentra en la hoja de la jefatura (elíjala de nuevo en la lista)"&amp;" · ","")&amp;IF(OR(AND($E11&lt;&gt;"",NOT(ISNUMBER($E11))),AND($F11&lt;&gt;"",NOT(ISNUMBER($F11))),AND($G11&lt;&gt;"",NOT(ISNUMBER($G11)))),"Fecha no válida"&amp;" · ","")&amp;IF(AND(ISNUMBER($AM11),ISNUMBER($AN11),$AM11&gt;$AN11),"Inicio posterior a fecha límite"&amp;" · ","")&amp;IF(AND($V11="Macro",$H11&lt;&gt;"",OR(NOT(ISNUMBER($H11)),$H11&lt;0,$H11&gt;1)),"Peso fuera de rango"&amp;" · ","")&amp;IF(AND($V11="Sub",$H11&lt;&gt;""),"Las subactividades no llevan peso (valen igual dentro de su macroactividad)"&amp;" · ","")&amp;IF(AND(N($W11)&gt;0,COUNT($I11:$L11)&gt;0),"Con subactividades: deje vacías las semanas (se calculan solas)"&amp;" · ","")&amp;IF((COUNTIF($I11:$L11,"&gt;1")+COUNTIF($I11:$L11,"&lt;0")+COUNTA($I11:$L11)-COUNT($I11:$L11))&gt;0,"Avance fuera de rango 0-100%"&amp;" · ","")&amp;IF(OR(AND($J11&lt;&gt;"",$J11&lt;$I11),AND($K11&lt;&gt;"",$K11&lt;MAX($I11:$J11)),AND($L11&lt;&gt;"",$L11&lt;MAX($I11:$K11))),"Avance semanal decreciente"&amp;" · ","")&amp;IF(AND(ISNUMBER($AN11),$AN11&lt;FechaRef,IF($V11="Sub",N($X11),N($M11))&lt;1),"Vencida"&amp;" · ","")&amp;IF(AND(ObsObligatoria="Sí",ISNUMBER($AN11),$AN11&lt;FechaRef,IF($V11="Sub",N($X11),N($M11))&lt;1,$Q11=""),"Vencida sin observación"&amp;" · ",""),LEN(IF($C11="","Falta el nombre de la actividad"&amp;" · ","")&amp;IF(AND($V11="Sub",N($U11)=0),"Subactividad sin macroactividad arriba"&amp;" · ","")&amp;IF($AM11="","Sin fecha de inicio"&amp;" · ","")&amp;IF($AN11="","Sin fecha límite"&amp;" · ","")&amp;IF(AND(LEFT($C11,11)="[Jefatura] ",N($AL11)=0),"No se encuentra en la hoja de la jefatura (elíjala de nuevo en la lista)"&amp;" · ","")&amp;IF(OR(AND($E11&lt;&gt;"",NOT(ISNUMBER($E11))),AND($F11&lt;&gt;"",NOT(ISNUMBER($F11))),AND($G11&lt;&gt;"",NOT(ISNUMBER($G11)))),"Fecha no válida"&amp;" · ","")&amp;IF(AND(ISNUMBER($AM11),ISNUMBER($AN11),$AM11&gt;$AN11),"Inicio posterior a fecha límite"&amp;" · ","")&amp;IF(AND($V11="Macro",$H11&lt;&gt;"",OR(NOT(ISNUMBER($H11)),$H11&lt;0,$H11&gt;1)),"Peso fuera de rango"&amp;" · ","")&amp;IF(AND($V11="Sub",$H11&lt;&gt;""),"Las subactividades no llevan peso (valen igual dentro de su macroactividad)"&amp;" · ","")&amp;IF(AND(N($W11)&gt;0,COUNT($I11:$L11)&gt;0),"Con subactividades: deje vacías las semanas (se calculan solas)"&amp;" · ","")&amp;IF((COUNTIF($I11:$L11,"&gt;1")+COUNTIF($I11:$L11,"&lt;0")+COUNTA($I11:$L11)-COUNT($I11:$L11))&gt;0,"Avance fuera de rango 0-100%"&amp;" · ","")&amp;IF(OR(AND($J11&lt;&gt;"",$J11&lt;$I11),AND($K11&lt;&gt;"",$K11&lt;MAX($I11:$J11)),AND($L11&lt;&gt;"",$L11&lt;MAX($I11:$K11))),"Avance semanal decreciente"&amp;" · ","")&amp;IF(AND(ISNUMBER($AN11),$AN11&lt;FechaRef,IF($V11="Sub",N($X11),N($M11))&lt;1),"Vencida"&amp;" · ","")&amp;IF(AND(ObsObligatoria="Sí",ISNUMBER($AN11),$AN11&lt;FechaRef,IF($V11="Sub",N($X11),N($M11))&lt;1,$Q11=""),"Vencida sin observación"&amp;" · ",""))-3)))</f>
        <v/>
      </c>
      <c r="S11" s="64">
        <f>IF(NOT((COUNTA($B11:$D11)+COUNTA($G11:$L11)+COUNTA($Q11))&gt;0),"",IF(AND($V11="Sub",N($U11)&gt;0),IF(ISNUMBER(INDEX($AM$5:$AM$1000,$U11-4)),DATE(YEAR(INDEX($AM$5:$AM$1000,$U11-4)),MONTH(INDEX($AM$5:$AM$1000,$U11-4)),1),IF(ISNUMBER(INDEX($AN$5:$AN$1000,$U11-4)),DATE(YEAR(INDEX($AN$5:$AN$1000,$U11-4)),MONTH(INDEX($AN$5:$AN$1000,$U11-4)),1),MesCiclo)),IF(ISNUMBER($AM11),DATE(YEAR($AM11),MONTH($AM11),1),IF(ISNUMBER($AN11),DATE(YEAR($AN11),MONTH($AN11),1),MesCiclo))))</f>
        <v/>
      </c>
      <c r="T11" s="62">
        <f>IF(OR($S11="",$S11&lt;&gt;MesCiclo,$V11&lt;&gt;"Macro"),"",COUNTIFS($S$5:$S11,MesCiclo,$V$5:$V11,"Macro"))</f>
        <v/>
      </c>
      <c r="U11" s="62">
        <f>IF($V11="","",IF($V11="Macro",ROW(),IFERROR(LOOKUP(2,1/($V$5:$V11="Macro"),ROW($V$5:$V11)),0)))</f>
        <v/>
      </c>
      <c r="V11" s="62">
        <f>IF(NOT((COUNTA($B11:$D11)+COUNTA($G11:$L11)+COUNTA($Q11))&gt;0),"",IF($B11="Subactividad","Sub","Macro"))</f>
        <v/>
      </c>
      <c r="W11" s="62">
        <f>IF($V11="Macro",COUNTIFS($U$5:$U$1000,ROW(),$V$5:$V$1000,"Sub"),"")</f>
        <v/>
      </c>
      <c r="X11" s="62">
        <f>IF($V11="","",IF(ISNUMBER($G11),1,IFERROR(LOOKUP(2,1/($I11:$L11&lt;&gt;""),$I11:$L11),0)))</f>
        <v/>
      </c>
      <c r="Y11" s="62">
        <f>IF($V11="","",IF(AND(ISNUMBER($G11),$G11&lt;=IF($S11=MesCiclo,InicioCiclo,$S11+MOD(2-WEEKDAY($S11),7))+6),1,IF(ISNUMBER($I11),$I11,0)))</f>
        <v/>
      </c>
      <c r="Z11" s="62">
        <f>IF($V11="","",IF(AND(ISNUMBER($G11),$G11&lt;=IF($S11=MesCiclo,InicioCiclo,$S11+MOD(2-WEEKDAY($S11),7))+13),1,IF(ISNUMBER($J11),$J11,$Y11)))</f>
        <v/>
      </c>
      <c r="AA11" s="62">
        <f>IF($V11="","",IF(AND(ISNUMBER($G11),$G11&lt;=IF($S11=MesCiclo,InicioCiclo,$S11+MOD(2-WEEKDAY($S11),7))+20),1,IF(ISNUMBER($K11),$K11,$Z11)))</f>
        <v/>
      </c>
      <c r="AB11" s="62">
        <f>IF($V11="","",IF(AND(ISNUMBER($G11),$G11&lt;=IF($S11=MesCiclo,InicioCiclo,$S11+MOD(2-WEEKDAY($S11),7))+27),1,IF(ISNUMBER($L11),$L11,$AA11)))</f>
        <v/>
      </c>
      <c r="AC11" s="62">
        <f>IF($V11="","",IF(AND(ISNUMBER($G11),$G11&lt;=IF($S11=MesCiclo,InicioCiclo,$S11+MOD(2-WEEKDAY($S11),7))+6),1,IF(N($W11)&gt;0,AVERAGEIFS($Y$5:$Y$1000,$U$5:$U$1000,ROW(),$V$5:$V$1000,"Sub"),$Y11)))</f>
        <v/>
      </c>
      <c r="AD11" s="62">
        <f>IF($V11="","",IF(AND(ISNUMBER($G11),$G11&lt;=IF($S11=MesCiclo,InicioCiclo,$S11+MOD(2-WEEKDAY($S11),7))+13),1,IF(N($W11)&gt;0,AVERAGEIFS($Z$5:$Z$1000,$U$5:$U$1000,ROW(),$V$5:$V$1000,"Sub"),$Z11)))</f>
        <v/>
      </c>
      <c r="AE11" s="62">
        <f>IF($V11="","",IF(AND(ISNUMBER($G11),$G11&lt;=IF($S11=MesCiclo,InicioCiclo,$S11+MOD(2-WEEKDAY($S11),7))+20),1,IF(N($W11)&gt;0,AVERAGEIFS($AA$5:$AA$1000,$U$5:$U$1000,ROW(),$V$5:$V$1000,"Sub"),$AA11)))</f>
        <v/>
      </c>
      <c r="AF11" s="62">
        <f>IF($V11="","",IF(AND(ISNUMBER($G11),$G11&lt;=IF($S11=MesCiclo,InicioCiclo,$S11+MOD(2-WEEKDAY($S11),7))+27),1,IF(N($W11)&gt;0,AVERAGEIFS($AB$5:$AB$1000,$U$5:$U$1000,ROW(),$V$5:$V$1000,"Sub"),$AB11)))</f>
        <v/>
      </c>
      <c r="AG11" s="62">
        <f>IF($V11&lt;&gt;"Macro","",IF(COUNTIFS($S$5:$S$1000,$S11,$V$5:$V$1000,"Macro",$H$5:$H$1000,"&gt;0")=0,1/COUNTIFS($S$5:$S$1000,$S11,$V$5:$V$1000,"Macro"),IF(AND(ISNUMBER($H11),N($H11)&gt;0),$H11,SUMIFS($H$5:$H$1000,$S$5:$S$1000,$S11,$V$5:$V$1000,"Macro")/COUNTIFS($S$5:$S$1000,$S11,$V$5:$V$1000,"Macro",$H$5:$H$1000,"&gt;0"))/(COUNTIFS($S$5:$S$1000,$S11,$V$5:$V$1000,"Macro")*SUMIFS($H$5:$H$1000,$S$5:$S$1000,$S11,$V$5:$V$1000,"Macro")/COUNTIFS($S$5:$S$1000,$S11,$V$5:$V$1000,"Macro",$H$5:$H$1000,"&gt;0"))))</f>
        <v/>
      </c>
      <c r="AH11" s="62">
        <f>IF(NOT(AND($D11&lt;&gt;"",$V11="Macro")),"",IFERROR(CHOOSE(MATCH($D11,ListaPuestos,0),MATCH("[Jefatura] "&amp;$C11,'Cronograma R. Operacional'!$C$5:$C$1000,0),MATCH("[Jefatura] "&amp;$C11,'Cronograma R. Normativo'!$C$5:$C$1000,0),MATCH("[Jefatura] "&amp;$C11,'Cronograma R. Financiero'!$C$5:$C$1000,0),MATCH("[Jefatura] "&amp;$C11,'Cronograma Asistente Técnico'!$C$5:$C$1000,0)),0))</f>
        <v/>
      </c>
      <c r="AI11" s="62">
        <f>IF(AND(AND($D11&lt;&gt;"",$V11="Macro"),$S11=MesCiclo),COUNTIFS($D$5:$D11,$D11,$S$5:$S11,MesCiclo,$V$5:$V11,"Macro"),"")</f>
        <v/>
      </c>
      <c r="AJ11" s="62">
        <f>IF($AI11="","",$D11&amp;"|"&amp;$AI11)</f>
        <v/>
      </c>
      <c r="AK11" s="62">
        <f>IF(AND($D11&lt;&gt;"",$V11="Macro"),$D11&amp;"|"&amp;$C11,"")</f>
        <v/>
      </c>
      <c r="AL11" s="62">
        <f>""</f>
        <v/>
      </c>
      <c r="AM11" s="62">
        <f>IF(N($AL11)&gt;0,INDEX(rIni_ADM,$AL11),IF(ISNUMBER($E11),$E11,""))</f>
        <v/>
      </c>
      <c r="AN11" s="62">
        <f>IF(N($AL11)&gt;0,INDEX(rLim_ADM,$AL11),IF(ISNUMBER($F11),$F11,""))</f>
        <v/>
      </c>
    </row>
    <row r="12">
      <c r="A12" s="56">
        <f>IF(NOT((COUNTA($B12:$D12)+COUNTA($G12:$L12)+COUNTA($Q12))&gt;0),"",IF($V12="Macro",COUNTIFS($V$5:$V12,"Macro",$S$5:$S12,$S12),IF(N($U12)=0,"?",COUNTIFS(INDEX($V$5:$V$1000,1):INDEX($V$5:$V$1000,$U12-4),"Macro",INDEX($S$5:$S$1000,1):INDEX($S$5:$S$1000,$U12-4),INDEX($S$5:$S$1000,$U12-4))&amp;"."&amp;COUNTIFS($U$5:$U12,$U12,$V$5:$V12,"Sub"))))</f>
        <v/>
      </c>
      <c r="B12" s="57" t="n"/>
      <c r="C12" s="58" t="n"/>
      <c r="D12" s="58" t="n"/>
      <c r="E12" s="59" t="n"/>
      <c r="F12" s="59" t="n"/>
      <c r="G12" s="59" t="n"/>
      <c r="H12" s="60" t="n"/>
      <c r="I12" s="60" t="n"/>
      <c r="J12" s="60" t="n"/>
      <c r="K12" s="60" t="n"/>
      <c r="L12" s="60" t="n"/>
      <c r="M12" s="61">
        <f>IF(NOT((COUNTA($B12:$D12)+COUNTA($G12:$L12)+COUNTA($Q12))&gt;0),"",IF(AND($D12&lt;&gt;"",$V12="Macro"),IF(N($AH12)&gt;0,N(CHOOSE(MATCH($D12,ListaPuestos,0),INDEX('Cronograma R. Operacional'!$M$5:$M$1000,$AH12),INDEX('Cronograma R. Normativo'!$M$5:$M$1000,$AH12),INDEX('Cronograma R. Financiero'!$M$5:$M$1000,$AH12),INDEX('Cronograma Asistente Técnico'!$M$5:$M$1000,$AH12))),0),IF(ISNUMBER($G12),1,IF(N($W12)&gt;0,AVERAGEIFS($X$5:$X$1000,$U$5:$U$1000,ROW(),$V$5:$V$1000,"Sub"),$X12))))</f>
        <v/>
      </c>
      <c r="N12" s="56">
        <f>IF(OR($M12="",$V12="Sub"),"",IF($M12&gt;=1,"Completado",IF($M12&gt;0,"En curso","Pendiente")))</f>
        <v/>
      </c>
      <c r="O12" s="56">
        <f>IF(NOT((COUNTA($B12:$D12)+COUNTA($G12:$L12)+COUNTA($Q12))&gt;0),"",IF(AND(AND($D12&lt;&gt;"",$V12="Macro"),N($AH12)&gt;0),CHOOSE(MATCH($D12,ListaPuestos,0),INDEX('Cronograma R. Operacional'!$O$5:$O$1000,$AH12),INDEX('Cronograma R. Normativo'!$O$5:$O$1000,$AH12),INDEX('Cronograma R. Financiero'!$O$5:$O$1000,$AH12),INDEX('Cronograma Asistente Técnico'!$O$5:$O$1000,$AH12))&amp;"",IF(ISNUMBER($G12),IF(AND(ISNUMBER($AN12),$G12&gt;$AN12),"Cumplida con "&amp;($G12-$AN12)&amp;IF($G12-$AN12=1," día"," días")&amp;" de retraso","Cumplida"),IF(N($M12)&gt;=1,"Cumplida",IF(NOT(ISNUMBER($AN12)),"Sin fecha límite",IF($AN12&lt;FechaRef,"Vencida hace "&amp;(FechaRef-$AN12)&amp;IF(FechaRef-$AN12=1," día"," días"),IF($AN12=FechaRef,"Vence hoy",IF($AN12-FechaRef&lt;=DiasAlerta,"Vence en "&amp;($AN12-FechaRef)&amp;IF($AN12-FechaRef=1," día"," días"),"En plazo"))))))))</f>
        <v/>
      </c>
      <c r="P12" s="62">
        <f>IF(NOT((COUNTA($B12:$D12)+COUNTA($G12:$L12)+COUNTA($Q12))&gt;0),"",IF($D12="","Propia",IF($V12&lt;&gt;"Macro","Solo se delegan macroactividades",IF(N($AH12)&gt;0,"✔ Recibida por "&amp;$D12,"⚠ "&amp;$D12&amp;" aún no la agrega"))))</f>
        <v/>
      </c>
      <c r="Q12" s="58" t="n"/>
      <c r="R12" s="63">
        <f>IF(NOT((COUNTA($B12:$D12)+COUNTA($G12:$L12)+COUNTA($Q12))&gt;0),"",IF((IF($C12="","Falta el nombre de la actividad"&amp;" · ","")&amp;IF(AND($V12="Sub",N($U12)=0),"Subactividad sin macroactividad arriba"&amp;" · ","")&amp;IF($AM12="","Sin fecha de inicio"&amp;" · ","")&amp;IF($AN12="","Sin fecha límite"&amp;" · ","")&amp;IF(AND(LEFT($C12,11)="[Jefatura] ",N($AL12)=0),"No se encuentra en la hoja de la jefatura (elíjala de nuevo en la lista)"&amp;" · ","")&amp;IF(OR(AND($E12&lt;&gt;"",NOT(ISNUMBER($E12))),AND($F12&lt;&gt;"",NOT(ISNUMBER($F12))),AND($G12&lt;&gt;"",NOT(ISNUMBER($G12)))),"Fecha no válida"&amp;" · ","")&amp;IF(AND(ISNUMBER($AM12),ISNUMBER($AN12),$AM12&gt;$AN12),"Inicio posterior a fecha límite"&amp;" · ","")&amp;IF(AND($V12="Macro",$H12&lt;&gt;"",OR(NOT(ISNUMBER($H12)),$H12&lt;0,$H12&gt;1)),"Peso fuera de rango"&amp;" · ","")&amp;IF(AND($V12="Sub",$H12&lt;&gt;""),"Las subactividades no llevan peso (valen igual dentro de su macroactividad)"&amp;" · ","")&amp;IF(AND(N($W12)&gt;0,COUNT($I12:$L12)&gt;0),"Con subactividades: deje vacías las semanas (se calculan solas)"&amp;" · ","")&amp;IF((COUNTIF($I12:$L12,"&gt;1")+COUNTIF($I12:$L12,"&lt;0")+COUNTA($I12:$L12)-COUNT($I12:$L12))&gt;0,"Avance fuera de rango 0-100%"&amp;" · ","")&amp;IF(OR(AND($J12&lt;&gt;"",$J12&lt;$I12),AND($K12&lt;&gt;"",$K12&lt;MAX($I12:$J12)),AND($L12&lt;&gt;"",$L12&lt;MAX($I12:$K12))),"Avance semanal decreciente"&amp;" · ","")&amp;IF(AND(ISNUMBER($AN12),$AN12&lt;FechaRef,IF($V12="Sub",N($X12),N($M12))&lt;1),"Vencida"&amp;" · ","")&amp;IF(AND(ObsObligatoria="Sí",ISNUMBER($AN12),$AN12&lt;FechaRef,IF($V12="Sub",N($X12),N($M12))&lt;1,$Q12=""),"Vencida sin observación"&amp;" · ",""))="","✔ OK","⚠ "&amp;LEFT(IF($C12="","Falta el nombre de la actividad"&amp;" · ","")&amp;IF(AND($V12="Sub",N($U12)=0),"Subactividad sin macroactividad arriba"&amp;" · ","")&amp;IF($AM12="","Sin fecha de inicio"&amp;" · ","")&amp;IF($AN12="","Sin fecha límite"&amp;" · ","")&amp;IF(AND(LEFT($C12,11)="[Jefatura] ",N($AL12)=0),"No se encuentra en la hoja de la jefatura (elíjala de nuevo en la lista)"&amp;" · ","")&amp;IF(OR(AND($E12&lt;&gt;"",NOT(ISNUMBER($E12))),AND($F12&lt;&gt;"",NOT(ISNUMBER($F12))),AND($G12&lt;&gt;"",NOT(ISNUMBER($G12)))),"Fecha no válida"&amp;" · ","")&amp;IF(AND(ISNUMBER($AM12),ISNUMBER($AN12),$AM12&gt;$AN12),"Inicio posterior a fecha límite"&amp;" · ","")&amp;IF(AND($V12="Macro",$H12&lt;&gt;"",OR(NOT(ISNUMBER($H12)),$H12&lt;0,$H12&gt;1)),"Peso fuera de rango"&amp;" · ","")&amp;IF(AND($V12="Sub",$H12&lt;&gt;""),"Las subactividades no llevan peso (valen igual dentro de su macroactividad)"&amp;" · ","")&amp;IF(AND(N($W12)&gt;0,COUNT($I12:$L12)&gt;0),"Con subactividades: deje vacías las semanas (se calculan solas)"&amp;" · ","")&amp;IF((COUNTIF($I12:$L12,"&gt;1")+COUNTIF($I12:$L12,"&lt;0")+COUNTA($I12:$L12)-COUNT($I12:$L12))&gt;0,"Avance fuera de rango 0-100%"&amp;" · ","")&amp;IF(OR(AND($J12&lt;&gt;"",$J12&lt;$I12),AND($K12&lt;&gt;"",$K12&lt;MAX($I12:$J12)),AND($L12&lt;&gt;"",$L12&lt;MAX($I12:$K12))),"Avance semanal decreciente"&amp;" · ","")&amp;IF(AND(ISNUMBER($AN12),$AN12&lt;FechaRef,IF($V12="Sub",N($X12),N($M12))&lt;1),"Vencida"&amp;" · ","")&amp;IF(AND(ObsObligatoria="Sí",ISNUMBER($AN12),$AN12&lt;FechaRef,IF($V12="Sub",N($X12),N($M12))&lt;1,$Q12=""),"Vencida sin observación"&amp;" · ",""),LEN(IF($C12="","Falta el nombre de la actividad"&amp;" · ","")&amp;IF(AND($V12="Sub",N($U12)=0),"Subactividad sin macroactividad arriba"&amp;" · ","")&amp;IF($AM12="","Sin fecha de inicio"&amp;" · ","")&amp;IF($AN12="","Sin fecha límite"&amp;" · ","")&amp;IF(AND(LEFT($C12,11)="[Jefatura] ",N($AL12)=0),"No se encuentra en la hoja de la jefatura (elíjala de nuevo en la lista)"&amp;" · ","")&amp;IF(OR(AND($E12&lt;&gt;"",NOT(ISNUMBER($E12))),AND($F12&lt;&gt;"",NOT(ISNUMBER($F12))),AND($G12&lt;&gt;"",NOT(ISNUMBER($G12)))),"Fecha no válida"&amp;" · ","")&amp;IF(AND(ISNUMBER($AM12),ISNUMBER($AN12),$AM12&gt;$AN12),"Inicio posterior a fecha límite"&amp;" · ","")&amp;IF(AND($V12="Macro",$H12&lt;&gt;"",OR(NOT(ISNUMBER($H12)),$H12&lt;0,$H12&gt;1)),"Peso fuera de rango"&amp;" · ","")&amp;IF(AND($V12="Sub",$H12&lt;&gt;""),"Las subactividades no llevan peso (valen igual dentro de su macroactividad)"&amp;" · ","")&amp;IF(AND(N($W12)&gt;0,COUNT($I12:$L12)&gt;0),"Con subactividades: deje vacías las semanas (se calculan solas)"&amp;" · ","")&amp;IF((COUNTIF($I12:$L12,"&gt;1")+COUNTIF($I12:$L12,"&lt;0")+COUNTA($I12:$L12)-COUNT($I12:$L12))&gt;0,"Avance fuera de rango 0-100%"&amp;" · ","")&amp;IF(OR(AND($J12&lt;&gt;"",$J12&lt;$I12),AND($K12&lt;&gt;"",$K12&lt;MAX($I12:$J12)),AND($L12&lt;&gt;"",$L12&lt;MAX($I12:$K12))),"Avance semanal decreciente"&amp;" · ","")&amp;IF(AND(ISNUMBER($AN12),$AN12&lt;FechaRef,IF($V12="Sub",N($X12),N($M12))&lt;1),"Vencida"&amp;" · ","")&amp;IF(AND(ObsObligatoria="Sí",ISNUMBER($AN12),$AN12&lt;FechaRef,IF($V12="Sub",N($X12),N($M12))&lt;1,$Q12=""),"Vencida sin observación"&amp;" · ",""))-3)))</f>
        <v/>
      </c>
      <c r="S12" s="64">
        <f>IF(NOT((COUNTA($B12:$D12)+COUNTA($G12:$L12)+COUNTA($Q12))&gt;0),"",IF(AND($V12="Sub",N($U12)&gt;0),IF(ISNUMBER(INDEX($AM$5:$AM$1000,$U12-4)),DATE(YEAR(INDEX($AM$5:$AM$1000,$U12-4)),MONTH(INDEX($AM$5:$AM$1000,$U12-4)),1),IF(ISNUMBER(INDEX($AN$5:$AN$1000,$U12-4)),DATE(YEAR(INDEX($AN$5:$AN$1000,$U12-4)),MONTH(INDEX($AN$5:$AN$1000,$U12-4)),1),MesCiclo)),IF(ISNUMBER($AM12),DATE(YEAR($AM12),MONTH($AM12),1),IF(ISNUMBER($AN12),DATE(YEAR($AN12),MONTH($AN12),1),MesCiclo))))</f>
        <v/>
      </c>
      <c r="T12" s="62">
        <f>IF(OR($S12="",$S12&lt;&gt;MesCiclo,$V12&lt;&gt;"Macro"),"",COUNTIFS($S$5:$S12,MesCiclo,$V$5:$V12,"Macro"))</f>
        <v/>
      </c>
      <c r="U12" s="62">
        <f>IF($V12="","",IF($V12="Macro",ROW(),IFERROR(LOOKUP(2,1/($V$5:$V12="Macro"),ROW($V$5:$V12)),0)))</f>
        <v/>
      </c>
      <c r="V12" s="62">
        <f>IF(NOT((COUNTA($B12:$D12)+COUNTA($G12:$L12)+COUNTA($Q12))&gt;0),"",IF($B12="Subactividad","Sub","Macro"))</f>
        <v/>
      </c>
      <c r="W12" s="62">
        <f>IF($V12="Macro",COUNTIFS($U$5:$U$1000,ROW(),$V$5:$V$1000,"Sub"),"")</f>
        <v/>
      </c>
      <c r="X12" s="62">
        <f>IF($V12="","",IF(ISNUMBER($G12),1,IFERROR(LOOKUP(2,1/($I12:$L12&lt;&gt;""),$I12:$L12),0)))</f>
        <v/>
      </c>
      <c r="Y12" s="62">
        <f>IF($V12="","",IF(AND(ISNUMBER($G12),$G12&lt;=IF($S12=MesCiclo,InicioCiclo,$S12+MOD(2-WEEKDAY($S12),7))+6),1,IF(ISNUMBER($I12),$I12,0)))</f>
        <v/>
      </c>
      <c r="Z12" s="62">
        <f>IF($V12="","",IF(AND(ISNUMBER($G12),$G12&lt;=IF($S12=MesCiclo,InicioCiclo,$S12+MOD(2-WEEKDAY($S12),7))+13),1,IF(ISNUMBER($J12),$J12,$Y12)))</f>
        <v/>
      </c>
      <c r="AA12" s="62">
        <f>IF($V12="","",IF(AND(ISNUMBER($G12),$G12&lt;=IF($S12=MesCiclo,InicioCiclo,$S12+MOD(2-WEEKDAY($S12),7))+20),1,IF(ISNUMBER($K12),$K12,$Z12)))</f>
        <v/>
      </c>
      <c r="AB12" s="62">
        <f>IF($V12="","",IF(AND(ISNUMBER($G12),$G12&lt;=IF($S12=MesCiclo,InicioCiclo,$S12+MOD(2-WEEKDAY($S12),7))+27),1,IF(ISNUMBER($L12),$L12,$AA12)))</f>
        <v/>
      </c>
      <c r="AC12" s="62">
        <f>IF($V12="","",IF(AND(ISNUMBER($G12),$G12&lt;=IF($S12=MesCiclo,InicioCiclo,$S12+MOD(2-WEEKDAY($S12),7))+6),1,IF(N($W12)&gt;0,AVERAGEIFS($Y$5:$Y$1000,$U$5:$U$1000,ROW(),$V$5:$V$1000,"Sub"),$Y12)))</f>
        <v/>
      </c>
      <c r="AD12" s="62">
        <f>IF($V12="","",IF(AND(ISNUMBER($G12),$G12&lt;=IF($S12=MesCiclo,InicioCiclo,$S12+MOD(2-WEEKDAY($S12),7))+13),1,IF(N($W12)&gt;0,AVERAGEIFS($Z$5:$Z$1000,$U$5:$U$1000,ROW(),$V$5:$V$1000,"Sub"),$Z12)))</f>
        <v/>
      </c>
      <c r="AE12" s="62">
        <f>IF($V12="","",IF(AND(ISNUMBER($G12),$G12&lt;=IF($S12=MesCiclo,InicioCiclo,$S12+MOD(2-WEEKDAY($S12),7))+20),1,IF(N($W12)&gt;0,AVERAGEIFS($AA$5:$AA$1000,$U$5:$U$1000,ROW(),$V$5:$V$1000,"Sub"),$AA12)))</f>
        <v/>
      </c>
      <c r="AF12" s="62">
        <f>IF($V12="","",IF(AND(ISNUMBER($G12),$G12&lt;=IF($S12=MesCiclo,InicioCiclo,$S12+MOD(2-WEEKDAY($S12),7))+27),1,IF(N($W12)&gt;0,AVERAGEIFS($AB$5:$AB$1000,$U$5:$U$1000,ROW(),$V$5:$V$1000,"Sub"),$AB12)))</f>
        <v/>
      </c>
      <c r="AG12" s="62">
        <f>IF($V12&lt;&gt;"Macro","",IF(COUNTIFS($S$5:$S$1000,$S12,$V$5:$V$1000,"Macro",$H$5:$H$1000,"&gt;0")=0,1/COUNTIFS($S$5:$S$1000,$S12,$V$5:$V$1000,"Macro"),IF(AND(ISNUMBER($H12),N($H12)&gt;0),$H12,SUMIFS($H$5:$H$1000,$S$5:$S$1000,$S12,$V$5:$V$1000,"Macro")/COUNTIFS($S$5:$S$1000,$S12,$V$5:$V$1000,"Macro",$H$5:$H$1000,"&gt;0"))/(COUNTIFS($S$5:$S$1000,$S12,$V$5:$V$1000,"Macro")*SUMIFS($H$5:$H$1000,$S$5:$S$1000,$S12,$V$5:$V$1000,"Macro")/COUNTIFS($S$5:$S$1000,$S12,$V$5:$V$1000,"Macro",$H$5:$H$1000,"&gt;0"))))</f>
        <v/>
      </c>
      <c r="AH12" s="62">
        <f>IF(NOT(AND($D12&lt;&gt;"",$V12="Macro")),"",IFERROR(CHOOSE(MATCH($D12,ListaPuestos,0),MATCH("[Jefatura] "&amp;$C12,'Cronograma R. Operacional'!$C$5:$C$1000,0),MATCH("[Jefatura] "&amp;$C12,'Cronograma R. Normativo'!$C$5:$C$1000,0),MATCH("[Jefatura] "&amp;$C12,'Cronograma R. Financiero'!$C$5:$C$1000,0),MATCH("[Jefatura] "&amp;$C12,'Cronograma Asistente Técnico'!$C$5:$C$1000,0)),0))</f>
        <v/>
      </c>
      <c r="AI12" s="62">
        <f>IF(AND(AND($D12&lt;&gt;"",$V12="Macro"),$S12=MesCiclo),COUNTIFS($D$5:$D12,$D12,$S$5:$S12,MesCiclo,$V$5:$V12,"Macro"),"")</f>
        <v/>
      </c>
      <c r="AJ12" s="62">
        <f>IF($AI12="","",$D12&amp;"|"&amp;$AI12)</f>
        <v/>
      </c>
      <c r="AK12" s="62">
        <f>IF(AND($D12&lt;&gt;"",$V12="Macro"),$D12&amp;"|"&amp;$C12,"")</f>
        <v/>
      </c>
      <c r="AL12" s="62">
        <f>""</f>
        <v/>
      </c>
      <c r="AM12" s="62">
        <f>IF(N($AL12)&gt;0,INDEX(rIni_ADM,$AL12),IF(ISNUMBER($E12),$E12,""))</f>
        <v/>
      </c>
      <c r="AN12" s="62">
        <f>IF(N($AL12)&gt;0,INDEX(rLim_ADM,$AL12),IF(ISNUMBER($F12),$F12,""))</f>
        <v/>
      </c>
    </row>
    <row r="13">
      <c r="A13" s="56">
        <f>IF(NOT((COUNTA($B13:$D13)+COUNTA($G13:$L13)+COUNTA($Q13))&gt;0),"",IF($V13="Macro",COUNTIFS($V$5:$V13,"Macro",$S$5:$S13,$S13),IF(N($U13)=0,"?",COUNTIFS(INDEX($V$5:$V$1000,1):INDEX($V$5:$V$1000,$U13-4),"Macro",INDEX($S$5:$S$1000,1):INDEX($S$5:$S$1000,$U13-4),INDEX($S$5:$S$1000,$U13-4))&amp;"."&amp;COUNTIFS($U$5:$U13,$U13,$V$5:$V13,"Sub"))))</f>
        <v/>
      </c>
      <c r="B13" s="57" t="n"/>
      <c r="C13" s="58" t="n"/>
      <c r="D13" s="58" t="n"/>
      <c r="E13" s="59" t="n"/>
      <c r="F13" s="59" t="n"/>
      <c r="G13" s="59" t="n"/>
      <c r="H13" s="60" t="n"/>
      <c r="I13" s="60" t="n"/>
      <c r="J13" s="60" t="n"/>
      <c r="K13" s="60" t="n"/>
      <c r="L13" s="60" t="n"/>
      <c r="M13" s="61">
        <f>IF(NOT((COUNTA($B13:$D13)+COUNTA($G13:$L13)+COUNTA($Q13))&gt;0),"",IF(AND($D13&lt;&gt;"",$V13="Macro"),IF(N($AH13)&gt;0,N(CHOOSE(MATCH($D13,ListaPuestos,0),INDEX('Cronograma R. Operacional'!$M$5:$M$1000,$AH13),INDEX('Cronograma R. Normativo'!$M$5:$M$1000,$AH13),INDEX('Cronograma R. Financiero'!$M$5:$M$1000,$AH13),INDEX('Cronograma Asistente Técnico'!$M$5:$M$1000,$AH13))),0),IF(ISNUMBER($G13),1,IF(N($W13)&gt;0,AVERAGEIFS($X$5:$X$1000,$U$5:$U$1000,ROW(),$V$5:$V$1000,"Sub"),$X13))))</f>
        <v/>
      </c>
      <c r="N13" s="56">
        <f>IF(OR($M13="",$V13="Sub"),"",IF($M13&gt;=1,"Completado",IF($M13&gt;0,"En curso","Pendiente")))</f>
        <v/>
      </c>
      <c r="O13" s="56">
        <f>IF(NOT((COUNTA($B13:$D13)+COUNTA($G13:$L13)+COUNTA($Q13))&gt;0),"",IF(AND(AND($D13&lt;&gt;"",$V13="Macro"),N($AH13)&gt;0),CHOOSE(MATCH($D13,ListaPuestos,0),INDEX('Cronograma R. Operacional'!$O$5:$O$1000,$AH13),INDEX('Cronograma R. Normativo'!$O$5:$O$1000,$AH13),INDEX('Cronograma R. Financiero'!$O$5:$O$1000,$AH13),INDEX('Cronograma Asistente Técnico'!$O$5:$O$1000,$AH13))&amp;"",IF(ISNUMBER($G13),IF(AND(ISNUMBER($AN13),$G13&gt;$AN13),"Cumplida con "&amp;($G13-$AN13)&amp;IF($G13-$AN13=1," día"," días")&amp;" de retraso","Cumplida"),IF(N($M13)&gt;=1,"Cumplida",IF(NOT(ISNUMBER($AN13)),"Sin fecha límite",IF($AN13&lt;FechaRef,"Vencida hace "&amp;(FechaRef-$AN13)&amp;IF(FechaRef-$AN13=1," día"," días"),IF($AN13=FechaRef,"Vence hoy",IF($AN13-FechaRef&lt;=DiasAlerta,"Vence en "&amp;($AN13-FechaRef)&amp;IF($AN13-FechaRef=1," día"," días"),"En plazo"))))))))</f>
        <v/>
      </c>
      <c r="P13" s="62">
        <f>IF(NOT((COUNTA($B13:$D13)+COUNTA($G13:$L13)+COUNTA($Q13))&gt;0),"",IF($D13="","Propia",IF($V13&lt;&gt;"Macro","Solo se delegan macroactividades",IF(N($AH13)&gt;0,"✔ Recibida por "&amp;$D13,"⚠ "&amp;$D13&amp;" aún no la agrega"))))</f>
        <v/>
      </c>
      <c r="Q13" s="58" t="n"/>
      <c r="R13" s="63">
        <f>IF(NOT((COUNTA($B13:$D13)+COUNTA($G13:$L13)+COUNTA($Q13))&gt;0),"",IF((IF($C13="","Falta el nombre de la actividad"&amp;" · ","")&amp;IF(AND($V13="Sub",N($U13)=0),"Subactividad sin macroactividad arriba"&amp;" · ","")&amp;IF($AM13="","Sin fecha de inicio"&amp;" · ","")&amp;IF($AN13="","Sin fecha límite"&amp;" · ","")&amp;IF(AND(LEFT($C13,11)="[Jefatura] ",N($AL13)=0),"No se encuentra en la hoja de la jefatura (elíjala de nuevo en la lista)"&amp;" · ","")&amp;IF(OR(AND($E13&lt;&gt;"",NOT(ISNUMBER($E13))),AND($F13&lt;&gt;"",NOT(ISNUMBER($F13))),AND($G13&lt;&gt;"",NOT(ISNUMBER($G13)))),"Fecha no válida"&amp;" · ","")&amp;IF(AND(ISNUMBER($AM13),ISNUMBER($AN13),$AM13&gt;$AN13),"Inicio posterior a fecha límite"&amp;" · ","")&amp;IF(AND($V13="Macro",$H13&lt;&gt;"",OR(NOT(ISNUMBER($H13)),$H13&lt;0,$H13&gt;1)),"Peso fuera de rango"&amp;" · ","")&amp;IF(AND($V13="Sub",$H13&lt;&gt;""),"Las subactividades no llevan peso (valen igual dentro de su macroactividad)"&amp;" · ","")&amp;IF(AND(N($W13)&gt;0,COUNT($I13:$L13)&gt;0),"Con subactividades: deje vacías las semanas (se calculan solas)"&amp;" · ","")&amp;IF((COUNTIF($I13:$L13,"&gt;1")+COUNTIF($I13:$L13,"&lt;0")+COUNTA($I13:$L13)-COUNT($I13:$L13))&gt;0,"Avance fuera de rango 0-100%"&amp;" · ","")&amp;IF(OR(AND($J13&lt;&gt;"",$J13&lt;$I13),AND($K13&lt;&gt;"",$K13&lt;MAX($I13:$J13)),AND($L13&lt;&gt;"",$L13&lt;MAX($I13:$K13))),"Avance semanal decreciente"&amp;" · ","")&amp;IF(AND(ISNUMBER($AN13),$AN13&lt;FechaRef,IF($V13="Sub",N($X13),N($M13))&lt;1),"Vencida"&amp;" · ","")&amp;IF(AND(ObsObligatoria="Sí",ISNUMBER($AN13),$AN13&lt;FechaRef,IF($V13="Sub",N($X13),N($M13))&lt;1,$Q13=""),"Vencida sin observación"&amp;" · ",""))="","✔ OK","⚠ "&amp;LEFT(IF($C13="","Falta el nombre de la actividad"&amp;" · ","")&amp;IF(AND($V13="Sub",N($U13)=0),"Subactividad sin macroactividad arriba"&amp;" · ","")&amp;IF($AM13="","Sin fecha de inicio"&amp;" · ","")&amp;IF($AN13="","Sin fecha límite"&amp;" · ","")&amp;IF(AND(LEFT($C13,11)="[Jefatura] ",N($AL13)=0),"No se encuentra en la hoja de la jefatura (elíjala de nuevo en la lista)"&amp;" · ","")&amp;IF(OR(AND($E13&lt;&gt;"",NOT(ISNUMBER($E13))),AND($F13&lt;&gt;"",NOT(ISNUMBER($F13))),AND($G13&lt;&gt;"",NOT(ISNUMBER($G13)))),"Fecha no válida"&amp;" · ","")&amp;IF(AND(ISNUMBER($AM13),ISNUMBER($AN13),$AM13&gt;$AN13),"Inicio posterior a fecha límite"&amp;" · ","")&amp;IF(AND($V13="Macro",$H13&lt;&gt;"",OR(NOT(ISNUMBER($H13)),$H13&lt;0,$H13&gt;1)),"Peso fuera de rango"&amp;" · ","")&amp;IF(AND($V13="Sub",$H13&lt;&gt;""),"Las subactividades no llevan peso (valen igual dentro de su macroactividad)"&amp;" · ","")&amp;IF(AND(N($W13)&gt;0,COUNT($I13:$L13)&gt;0),"Con subactividades: deje vacías las semanas (se calculan solas)"&amp;" · ","")&amp;IF((COUNTIF($I13:$L13,"&gt;1")+COUNTIF($I13:$L13,"&lt;0")+COUNTA($I13:$L13)-COUNT($I13:$L13))&gt;0,"Avance fuera de rango 0-100%"&amp;" · ","")&amp;IF(OR(AND($J13&lt;&gt;"",$J13&lt;$I13),AND($K13&lt;&gt;"",$K13&lt;MAX($I13:$J13)),AND($L13&lt;&gt;"",$L13&lt;MAX($I13:$K13))),"Avance semanal decreciente"&amp;" · ","")&amp;IF(AND(ISNUMBER($AN13),$AN13&lt;FechaRef,IF($V13="Sub",N($X13),N($M13))&lt;1),"Vencida"&amp;" · ","")&amp;IF(AND(ObsObligatoria="Sí",ISNUMBER($AN13),$AN13&lt;FechaRef,IF($V13="Sub",N($X13),N($M13))&lt;1,$Q13=""),"Vencida sin observación"&amp;" · ",""),LEN(IF($C13="","Falta el nombre de la actividad"&amp;" · ","")&amp;IF(AND($V13="Sub",N($U13)=0),"Subactividad sin macroactividad arriba"&amp;" · ","")&amp;IF($AM13="","Sin fecha de inicio"&amp;" · ","")&amp;IF($AN13="","Sin fecha límite"&amp;" · ","")&amp;IF(AND(LEFT($C13,11)="[Jefatura] ",N($AL13)=0),"No se encuentra en la hoja de la jefatura (elíjala de nuevo en la lista)"&amp;" · ","")&amp;IF(OR(AND($E13&lt;&gt;"",NOT(ISNUMBER($E13))),AND($F13&lt;&gt;"",NOT(ISNUMBER($F13))),AND($G13&lt;&gt;"",NOT(ISNUMBER($G13)))),"Fecha no válida"&amp;" · ","")&amp;IF(AND(ISNUMBER($AM13),ISNUMBER($AN13),$AM13&gt;$AN13),"Inicio posterior a fecha límite"&amp;" · ","")&amp;IF(AND($V13="Macro",$H13&lt;&gt;"",OR(NOT(ISNUMBER($H13)),$H13&lt;0,$H13&gt;1)),"Peso fuera de rango"&amp;" · ","")&amp;IF(AND($V13="Sub",$H13&lt;&gt;""),"Las subactividades no llevan peso (valen igual dentro de su macroactividad)"&amp;" · ","")&amp;IF(AND(N($W13)&gt;0,COUNT($I13:$L13)&gt;0),"Con subactividades: deje vacías las semanas (se calculan solas)"&amp;" · ","")&amp;IF((COUNTIF($I13:$L13,"&gt;1")+COUNTIF($I13:$L13,"&lt;0")+COUNTA($I13:$L13)-COUNT($I13:$L13))&gt;0,"Avance fuera de rango 0-100%"&amp;" · ","")&amp;IF(OR(AND($J13&lt;&gt;"",$J13&lt;$I13),AND($K13&lt;&gt;"",$K13&lt;MAX($I13:$J13)),AND($L13&lt;&gt;"",$L13&lt;MAX($I13:$K13))),"Avance semanal decreciente"&amp;" · ","")&amp;IF(AND(ISNUMBER($AN13),$AN13&lt;FechaRef,IF($V13="Sub",N($X13),N($M13))&lt;1),"Vencida"&amp;" · ","")&amp;IF(AND(ObsObligatoria="Sí",ISNUMBER($AN13),$AN13&lt;FechaRef,IF($V13="Sub",N($X13),N($M13))&lt;1,$Q13=""),"Vencida sin observación"&amp;" · ",""))-3)))</f>
        <v/>
      </c>
      <c r="S13" s="64">
        <f>IF(NOT((COUNTA($B13:$D13)+COUNTA($G13:$L13)+COUNTA($Q13))&gt;0),"",IF(AND($V13="Sub",N($U13)&gt;0),IF(ISNUMBER(INDEX($AM$5:$AM$1000,$U13-4)),DATE(YEAR(INDEX($AM$5:$AM$1000,$U13-4)),MONTH(INDEX($AM$5:$AM$1000,$U13-4)),1),IF(ISNUMBER(INDEX($AN$5:$AN$1000,$U13-4)),DATE(YEAR(INDEX($AN$5:$AN$1000,$U13-4)),MONTH(INDEX($AN$5:$AN$1000,$U13-4)),1),MesCiclo)),IF(ISNUMBER($AM13),DATE(YEAR($AM13),MONTH($AM13),1),IF(ISNUMBER($AN13),DATE(YEAR($AN13),MONTH($AN13),1),MesCiclo))))</f>
        <v/>
      </c>
      <c r="T13" s="62">
        <f>IF(OR($S13="",$S13&lt;&gt;MesCiclo,$V13&lt;&gt;"Macro"),"",COUNTIFS($S$5:$S13,MesCiclo,$V$5:$V13,"Macro"))</f>
        <v/>
      </c>
      <c r="U13" s="62">
        <f>IF($V13="","",IF($V13="Macro",ROW(),IFERROR(LOOKUP(2,1/($V$5:$V13="Macro"),ROW($V$5:$V13)),0)))</f>
        <v/>
      </c>
      <c r="V13" s="62">
        <f>IF(NOT((COUNTA($B13:$D13)+COUNTA($G13:$L13)+COUNTA($Q13))&gt;0),"",IF($B13="Subactividad","Sub","Macro"))</f>
        <v/>
      </c>
      <c r="W13" s="62">
        <f>IF($V13="Macro",COUNTIFS($U$5:$U$1000,ROW(),$V$5:$V$1000,"Sub"),"")</f>
        <v/>
      </c>
      <c r="X13" s="62">
        <f>IF($V13="","",IF(ISNUMBER($G13),1,IFERROR(LOOKUP(2,1/($I13:$L13&lt;&gt;""),$I13:$L13),0)))</f>
        <v/>
      </c>
      <c r="Y13" s="62">
        <f>IF($V13="","",IF(AND(ISNUMBER($G13),$G13&lt;=IF($S13=MesCiclo,InicioCiclo,$S13+MOD(2-WEEKDAY($S13),7))+6),1,IF(ISNUMBER($I13),$I13,0)))</f>
        <v/>
      </c>
      <c r="Z13" s="62">
        <f>IF($V13="","",IF(AND(ISNUMBER($G13),$G13&lt;=IF($S13=MesCiclo,InicioCiclo,$S13+MOD(2-WEEKDAY($S13),7))+13),1,IF(ISNUMBER($J13),$J13,$Y13)))</f>
        <v/>
      </c>
      <c r="AA13" s="62">
        <f>IF($V13="","",IF(AND(ISNUMBER($G13),$G13&lt;=IF($S13=MesCiclo,InicioCiclo,$S13+MOD(2-WEEKDAY($S13),7))+20),1,IF(ISNUMBER($K13),$K13,$Z13)))</f>
        <v/>
      </c>
      <c r="AB13" s="62">
        <f>IF($V13="","",IF(AND(ISNUMBER($G13),$G13&lt;=IF($S13=MesCiclo,InicioCiclo,$S13+MOD(2-WEEKDAY($S13),7))+27),1,IF(ISNUMBER($L13),$L13,$AA13)))</f>
        <v/>
      </c>
      <c r="AC13" s="62">
        <f>IF($V13="","",IF(AND(ISNUMBER($G13),$G13&lt;=IF($S13=MesCiclo,InicioCiclo,$S13+MOD(2-WEEKDAY($S13),7))+6),1,IF(N($W13)&gt;0,AVERAGEIFS($Y$5:$Y$1000,$U$5:$U$1000,ROW(),$V$5:$V$1000,"Sub"),$Y13)))</f>
        <v/>
      </c>
      <c r="AD13" s="62">
        <f>IF($V13="","",IF(AND(ISNUMBER($G13),$G13&lt;=IF($S13=MesCiclo,InicioCiclo,$S13+MOD(2-WEEKDAY($S13),7))+13),1,IF(N($W13)&gt;0,AVERAGEIFS($Z$5:$Z$1000,$U$5:$U$1000,ROW(),$V$5:$V$1000,"Sub"),$Z13)))</f>
        <v/>
      </c>
      <c r="AE13" s="62">
        <f>IF($V13="","",IF(AND(ISNUMBER($G13),$G13&lt;=IF($S13=MesCiclo,InicioCiclo,$S13+MOD(2-WEEKDAY($S13),7))+20),1,IF(N($W13)&gt;0,AVERAGEIFS($AA$5:$AA$1000,$U$5:$U$1000,ROW(),$V$5:$V$1000,"Sub"),$AA13)))</f>
        <v/>
      </c>
      <c r="AF13" s="62">
        <f>IF($V13="","",IF(AND(ISNUMBER($G13),$G13&lt;=IF($S13=MesCiclo,InicioCiclo,$S13+MOD(2-WEEKDAY($S13),7))+27),1,IF(N($W13)&gt;0,AVERAGEIFS($AB$5:$AB$1000,$U$5:$U$1000,ROW(),$V$5:$V$1000,"Sub"),$AB13)))</f>
        <v/>
      </c>
      <c r="AG13" s="62">
        <f>IF($V13&lt;&gt;"Macro","",IF(COUNTIFS($S$5:$S$1000,$S13,$V$5:$V$1000,"Macro",$H$5:$H$1000,"&gt;0")=0,1/COUNTIFS($S$5:$S$1000,$S13,$V$5:$V$1000,"Macro"),IF(AND(ISNUMBER($H13),N($H13)&gt;0),$H13,SUMIFS($H$5:$H$1000,$S$5:$S$1000,$S13,$V$5:$V$1000,"Macro")/COUNTIFS($S$5:$S$1000,$S13,$V$5:$V$1000,"Macro",$H$5:$H$1000,"&gt;0"))/(COUNTIFS($S$5:$S$1000,$S13,$V$5:$V$1000,"Macro")*SUMIFS($H$5:$H$1000,$S$5:$S$1000,$S13,$V$5:$V$1000,"Macro")/COUNTIFS($S$5:$S$1000,$S13,$V$5:$V$1000,"Macro",$H$5:$H$1000,"&gt;0"))))</f>
        <v/>
      </c>
      <c r="AH13" s="62">
        <f>IF(NOT(AND($D13&lt;&gt;"",$V13="Macro")),"",IFERROR(CHOOSE(MATCH($D13,ListaPuestos,0),MATCH("[Jefatura] "&amp;$C13,'Cronograma R. Operacional'!$C$5:$C$1000,0),MATCH("[Jefatura] "&amp;$C13,'Cronograma R. Normativo'!$C$5:$C$1000,0),MATCH("[Jefatura] "&amp;$C13,'Cronograma R. Financiero'!$C$5:$C$1000,0),MATCH("[Jefatura] "&amp;$C13,'Cronograma Asistente Técnico'!$C$5:$C$1000,0)),0))</f>
        <v/>
      </c>
      <c r="AI13" s="62">
        <f>IF(AND(AND($D13&lt;&gt;"",$V13="Macro"),$S13=MesCiclo),COUNTIFS($D$5:$D13,$D13,$S$5:$S13,MesCiclo,$V$5:$V13,"Macro"),"")</f>
        <v/>
      </c>
      <c r="AJ13" s="62">
        <f>IF($AI13="","",$D13&amp;"|"&amp;$AI13)</f>
        <v/>
      </c>
      <c r="AK13" s="62">
        <f>IF(AND($D13&lt;&gt;"",$V13="Macro"),$D13&amp;"|"&amp;$C13,"")</f>
        <v/>
      </c>
      <c r="AL13" s="62">
        <f>""</f>
        <v/>
      </c>
      <c r="AM13" s="62">
        <f>IF(N($AL13)&gt;0,INDEX(rIni_ADM,$AL13),IF(ISNUMBER($E13),$E13,""))</f>
        <v/>
      </c>
      <c r="AN13" s="62">
        <f>IF(N($AL13)&gt;0,INDEX(rLim_ADM,$AL13),IF(ISNUMBER($F13),$F13,""))</f>
        <v/>
      </c>
    </row>
    <row r="14">
      <c r="A14" s="56">
        <f>IF(NOT((COUNTA($B14:$D14)+COUNTA($G14:$L14)+COUNTA($Q14))&gt;0),"",IF($V14="Macro",COUNTIFS($V$5:$V14,"Macro",$S$5:$S14,$S14),IF(N($U14)=0,"?",COUNTIFS(INDEX($V$5:$V$1000,1):INDEX($V$5:$V$1000,$U14-4),"Macro",INDEX($S$5:$S$1000,1):INDEX($S$5:$S$1000,$U14-4),INDEX($S$5:$S$1000,$U14-4))&amp;"."&amp;COUNTIFS($U$5:$U14,$U14,$V$5:$V14,"Sub"))))</f>
        <v/>
      </c>
      <c r="B14" s="57" t="n"/>
      <c r="C14" s="58" t="n"/>
      <c r="D14" s="58" t="n"/>
      <c r="E14" s="59" t="n"/>
      <c r="F14" s="59" t="n"/>
      <c r="G14" s="59" t="n"/>
      <c r="H14" s="60" t="n"/>
      <c r="I14" s="60" t="n"/>
      <c r="J14" s="60" t="n"/>
      <c r="K14" s="60" t="n"/>
      <c r="L14" s="60" t="n"/>
      <c r="M14" s="61">
        <f>IF(NOT((COUNTA($B14:$D14)+COUNTA($G14:$L14)+COUNTA($Q14))&gt;0),"",IF(AND($D14&lt;&gt;"",$V14="Macro"),IF(N($AH14)&gt;0,N(CHOOSE(MATCH($D14,ListaPuestos,0),INDEX('Cronograma R. Operacional'!$M$5:$M$1000,$AH14),INDEX('Cronograma R. Normativo'!$M$5:$M$1000,$AH14),INDEX('Cronograma R. Financiero'!$M$5:$M$1000,$AH14),INDEX('Cronograma Asistente Técnico'!$M$5:$M$1000,$AH14))),0),IF(ISNUMBER($G14),1,IF(N($W14)&gt;0,AVERAGEIFS($X$5:$X$1000,$U$5:$U$1000,ROW(),$V$5:$V$1000,"Sub"),$X14))))</f>
        <v/>
      </c>
      <c r="N14" s="56">
        <f>IF(OR($M14="",$V14="Sub"),"",IF($M14&gt;=1,"Completado",IF($M14&gt;0,"En curso","Pendiente")))</f>
        <v/>
      </c>
      <c r="O14" s="56">
        <f>IF(NOT((COUNTA($B14:$D14)+COUNTA($G14:$L14)+COUNTA($Q14))&gt;0),"",IF(AND(AND($D14&lt;&gt;"",$V14="Macro"),N($AH14)&gt;0),CHOOSE(MATCH($D14,ListaPuestos,0),INDEX('Cronograma R. Operacional'!$O$5:$O$1000,$AH14),INDEX('Cronograma R. Normativo'!$O$5:$O$1000,$AH14),INDEX('Cronograma R. Financiero'!$O$5:$O$1000,$AH14),INDEX('Cronograma Asistente Técnico'!$O$5:$O$1000,$AH14))&amp;"",IF(ISNUMBER($G14),IF(AND(ISNUMBER($AN14),$G14&gt;$AN14),"Cumplida con "&amp;($G14-$AN14)&amp;IF($G14-$AN14=1," día"," días")&amp;" de retraso","Cumplida"),IF(N($M14)&gt;=1,"Cumplida",IF(NOT(ISNUMBER($AN14)),"Sin fecha límite",IF($AN14&lt;FechaRef,"Vencida hace "&amp;(FechaRef-$AN14)&amp;IF(FechaRef-$AN14=1," día"," días"),IF($AN14=FechaRef,"Vence hoy",IF($AN14-FechaRef&lt;=DiasAlerta,"Vence en "&amp;($AN14-FechaRef)&amp;IF($AN14-FechaRef=1," día"," días"),"En plazo"))))))))</f>
        <v/>
      </c>
      <c r="P14" s="62">
        <f>IF(NOT((COUNTA($B14:$D14)+COUNTA($G14:$L14)+COUNTA($Q14))&gt;0),"",IF($D14="","Propia",IF($V14&lt;&gt;"Macro","Solo se delegan macroactividades",IF(N($AH14)&gt;0,"✔ Recibida por "&amp;$D14,"⚠ "&amp;$D14&amp;" aún no la agrega"))))</f>
        <v/>
      </c>
      <c r="Q14" s="58" t="n"/>
      <c r="R14" s="63">
        <f>IF(NOT((COUNTA($B14:$D14)+COUNTA($G14:$L14)+COUNTA($Q14))&gt;0),"",IF((IF($C14="","Falta el nombre de la actividad"&amp;" · ","")&amp;IF(AND($V14="Sub",N($U14)=0),"Subactividad sin macroactividad arriba"&amp;" · ","")&amp;IF($AM14="","Sin fecha de inicio"&amp;" · ","")&amp;IF($AN14="","Sin fecha límite"&amp;" · ","")&amp;IF(AND(LEFT($C14,11)="[Jefatura] ",N($AL14)=0),"No se encuentra en la hoja de la jefatura (elíjala de nuevo en la lista)"&amp;" · ","")&amp;IF(OR(AND($E14&lt;&gt;"",NOT(ISNUMBER($E14))),AND($F14&lt;&gt;"",NOT(ISNUMBER($F14))),AND($G14&lt;&gt;"",NOT(ISNUMBER($G14)))),"Fecha no válida"&amp;" · ","")&amp;IF(AND(ISNUMBER($AM14),ISNUMBER($AN14),$AM14&gt;$AN14),"Inicio posterior a fecha límite"&amp;" · ","")&amp;IF(AND($V14="Macro",$H14&lt;&gt;"",OR(NOT(ISNUMBER($H14)),$H14&lt;0,$H14&gt;1)),"Peso fuera de rango"&amp;" · ","")&amp;IF(AND($V14="Sub",$H14&lt;&gt;""),"Las subactividades no llevan peso (valen igual dentro de su macroactividad)"&amp;" · ","")&amp;IF(AND(N($W14)&gt;0,COUNT($I14:$L14)&gt;0),"Con subactividades: deje vacías las semanas (se calculan solas)"&amp;" · ","")&amp;IF((COUNTIF($I14:$L14,"&gt;1")+COUNTIF($I14:$L14,"&lt;0")+COUNTA($I14:$L14)-COUNT($I14:$L14))&gt;0,"Avance fuera de rango 0-100%"&amp;" · ","")&amp;IF(OR(AND($J14&lt;&gt;"",$J14&lt;$I14),AND($K14&lt;&gt;"",$K14&lt;MAX($I14:$J14)),AND($L14&lt;&gt;"",$L14&lt;MAX($I14:$K14))),"Avance semanal decreciente"&amp;" · ","")&amp;IF(AND(ISNUMBER($AN14),$AN14&lt;FechaRef,IF($V14="Sub",N($X14),N($M14))&lt;1),"Vencida"&amp;" · ","")&amp;IF(AND(ObsObligatoria="Sí",ISNUMBER($AN14),$AN14&lt;FechaRef,IF($V14="Sub",N($X14),N($M14))&lt;1,$Q14=""),"Vencida sin observación"&amp;" · ",""))="","✔ OK","⚠ "&amp;LEFT(IF($C14="","Falta el nombre de la actividad"&amp;" · ","")&amp;IF(AND($V14="Sub",N($U14)=0),"Subactividad sin macroactividad arriba"&amp;" · ","")&amp;IF($AM14="","Sin fecha de inicio"&amp;" · ","")&amp;IF($AN14="","Sin fecha límite"&amp;" · ","")&amp;IF(AND(LEFT($C14,11)="[Jefatura] ",N($AL14)=0),"No se encuentra en la hoja de la jefatura (elíjala de nuevo en la lista)"&amp;" · ","")&amp;IF(OR(AND($E14&lt;&gt;"",NOT(ISNUMBER($E14))),AND($F14&lt;&gt;"",NOT(ISNUMBER($F14))),AND($G14&lt;&gt;"",NOT(ISNUMBER($G14)))),"Fecha no válida"&amp;" · ","")&amp;IF(AND(ISNUMBER($AM14),ISNUMBER($AN14),$AM14&gt;$AN14),"Inicio posterior a fecha límite"&amp;" · ","")&amp;IF(AND($V14="Macro",$H14&lt;&gt;"",OR(NOT(ISNUMBER($H14)),$H14&lt;0,$H14&gt;1)),"Peso fuera de rango"&amp;" · ","")&amp;IF(AND($V14="Sub",$H14&lt;&gt;""),"Las subactividades no llevan peso (valen igual dentro de su macroactividad)"&amp;" · ","")&amp;IF(AND(N($W14)&gt;0,COUNT($I14:$L14)&gt;0),"Con subactividades: deje vacías las semanas (se calculan solas)"&amp;" · ","")&amp;IF((COUNTIF($I14:$L14,"&gt;1")+COUNTIF($I14:$L14,"&lt;0")+COUNTA($I14:$L14)-COUNT($I14:$L14))&gt;0,"Avance fuera de rango 0-100%"&amp;" · ","")&amp;IF(OR(AND($J14&lt;&gt;"",$J14&lt;$I14),AND($K14&lt;&gt;"",$K14&lt;MAX($I14:$J14)),AND($L14&lt;&gt;"",$L14&lt;MAX($I14:$K14))),"Avance semanal decreciente"&amp;" · ","")&amp;IF(AND(ISNUMBER($AN14),$AN14&lt;FechaRef,IF($V14="Sub",N($X14),N($M14))&lt;1),"Vencida"&amp;" · ","")&amp;IF(AND(ObsObligatoria="Sí",ISNUMBER($AN14),$AN14&lt;FechaRef,IF($V14="Sub",N($X14),N($M14))&lt;1,$Q14=""),"Vencida sin observación"&amp;" · ",""),LEN(IF($C14="","Falta el nombre de la actividad"&amp;" · ","")&amp;IF(AND($V14="Sub",N($U14)=0),"Subactividad sin macroactividad arriba"&amp;" · ","")&amp;IF($AM14="","Sin fecha de inicio"&amp;" · ","")&amp;IF($AN14="","Sin fecha límite"&amp;" · ","")&amp;IF(AND(LEFT($C14,11)="[Jefatura] ",N($AL14)=0),"No se encuentra en la hoja de la jefatura (elíjala de nuevo en la lista)"&amp;" · ","")&amp;IF(OR(AND($E14&lt;&gt;"",NOT(ISNUMBER($E14))),AND($F14&lt;&gt;"",NOT(ISNUMBER($F14))),AND($G14&lt;&gt;"",NOT(ISNUMBER($G14)))),"Fecha no válida"&amp;" · ","")&amp;IF(AND(ISNUMBER($AM14),ISNUMBER($AN14),$AM14&gt;$AN14),"Inicio posterior a fecha límite"&amp;" · ","")&amp;IF(AND($V14="Macro",$H14&lt;&gt;"",OR(NOT(ISNUMBER($H14)),$H14&lt;0,$H14&gt;1)),"Peso fuera de rango"&amp;" · ","")&amp;IF(AND($V14="Sub",$H14&lt;&gt;""),"Las subactividades no llevan peso (valen igual dentro de su macroactividad)"&amp;" · ","")&amp;IF(AND(N($W14)&gt;0,COUNT($I14:$L14)&gt;0),"Con subactividades: deje vacías las semanas (se calculan solas)"&amp;" · ","")&amp;IF((COUNTIF($I14:$L14,"&gt;1")+COUNTIF($I14:$L14,"&lt;0")+COUNTA($I14:$L14)-COUNT($I14:$L14))&gt;0,"Avance fuera de rango 0-100%"&amp;" · ","")&amp;IF(OR(AND($J14&lt;&gt;"",$J14&lt;$I14),AND($K14&lt;&gt;"",$K14&lt;MAX($I14:$J14)),AND($L14&lt;&gt;"",$L14&lt;MAX($I14:$K14))),"Avance semanal decreciente"&amp;" · ","")&amp;IF(AND(ISNUMBER($AN14),$AN14&lt;FechaRef,IF($V14="Sub",N($X14),N($M14))&lt;1),"Vencida"&amp;" · ","")&amp;IF(AND(ObsObligatoria="Sí",ISNUMBER($AN14),$AN14&lt;FechaRef,IF($V14="Sub",N($X14),N($M14))&lt;1,$Q14=""),"Vencida sin observación"&amp;" · ",""))-3)))</f>
        <v/>
      </c>
      <c r="S14" s="64">
        <f>IF(NOT((COUNTA($B14:$D14)+COUNTA($G14:$L14)+COUNTA($Q14))&gt;0),"",IF(AND($V14="Sub",N($U14)&gt;0),IF(ISNUMBER(INDEX($AM$5:$AM$1000,$U14-4)),DATE(YEAR(INDEX($AM$5:$AM$1000,$U14-4)),MONTH(INDEX($AM$5:$AM$1000,$U14-4)),1),IF(ISNUMBER(INDEX($AN$5:$AN$1000,$U14-4)),DATE(YEAR(INDEX($AN$5:$AN$1000,$U14-4)),MONTH(INDEX($AN$5:$AN$1000,$U14-4)),1),MesCiclo)),IF(ISNUMBER($AM14),DATE(YEAR($AM14),MONTH($AM14),1),IF(ISNUMBER($AN14),DATE(YEAR($AN14),MONTH($AN14),1),MesCiclo))))</f>
        <v/>
      </c>
      <c r="T14" s="62">
        <f>IF(OR($S14="",$S14&lt;&gt;MesCiclo,$V14&lt;&gt;"Macro"),"",COUNTIFS($S$5:$S14,MesCiclo,$V$5:$V14,"Macro"))</f>
        <v/>
      </c>
      <c r="U14" s="62">
        <f>IF($V14="","",IF($V14="Macro",ROW(),IFERROR(LOOKUP(2,1/($V$5:$V14="Macro"),ROW($V$5:$V14)),0)))</f>
        <v/>
      </c>
      <c r="V14" s="62">
        <f>IF(NOT((COUNTA($B14:$D14)+COUNTA($G14:$L14)+COUNTA($Q14))&gt;0),"",IF($B14="Subactividad","Sub","Macro"))</f>
        <v/>
      </c>
      <c r="W14" s="62">
        <f>IF($V14="Macro",COUNTIFS($U$5:$U$1000,ROW(),$V$5:$V$1000,"Sub"),"")</f>
        <v/>
      </c>
      <c r="X14" s="62">
        <f>IF($V14="","",IF(ISNUMBER($G14),1,IFERROR(LOOKUP(2,1/($I14:$L14&lt;&gt;""),$I14:$L14),0)))</f>
        <v/>
      </c>
      <c r="Y14" s="62">
        <f>IF($V14="","",IF(AND(ISNUMBER($G14),$G14&lt;=IF($S14=MesCiclo,InicioCiclo,$S14+MOD(2-WEEKDAY($S14),7))+6),1,IF(ISNUMBER($I14),$I14,0)))</f>
        <v/>
      </c>
      <c r="Z14" s="62">
        <f>IF($V14="","",IF(AND(ISNUMBER($G14),$G14&lt;=IF($S14=MesCiclo,InicioCiclo,$S14+MOD(2-WEEKDAY($S14),7))+13),1,IF(ISNUMBER($J14),$J14,$Y14)))</f>
        <v/>
      </c>
      <c r="AA14" s="62">
        <f>IF($V14="","",IF(AND(ISNUMBER($G14),$G14&lt;=IF($S14=MesCiclo,InicioCiclo,$S14+MOD(2-WEEKDAY($S14),7))+20),1,IF(ISNUMBER($K14),$K14,$Z14)))</f>
        <v/>
      </c>
      <c r="AB14" s="62">
        <f>IF($V14="","",IF(AND(ISNUMBER($G14),$G14&lt;=IF($S14=MesCiclo,InicioCiclo,$S14+MOD(2-WEEKDAY($S14),7))+27),1,IF(ISNUMBER($L14),$L14,$AA14)))</f>
        <v/>
      </c>
      <c r="AC14" s="62">
        <f>IF($V14="","",IF(AND(ISNUMBER($G14),$G14&lt;=IF($S14=MesCiclo,InicioCiclo,$S14+MOD(2-WEEKDAY($S14),7))+6),1,IF(N($W14)&gt;0,AVERAGEIFS($Y$5:$Y$1000,$U$5:$U$1000,ROW(),$V$5:$V$1000,"Sub"),$Y14)))</f>
        <v/>
      </c>
      <c r="AD14" s="62">
        <f>IF($V14="","",IF(AND(ISNUMBER($G14),$G14&lt;=IF($S14=MesCiclo,InicioCiclo,$S14+MOD(2-WEEKDAY($S14),7))+13),1,IF(N($W14)&gt;0,AVERAGEIFS($Z$5:$Z$1000,$U$5:$U$1000,ROW(),$V$5:$V$1000,"Sub"),$Z14)))</f>
        <v/>
      </c>
      <c r="AE14" s="62">
        <f>IF($V14="","",IF(AND(ISNUMBER($G14),$G14&lt;=IF($S14=MesCiclo,InicioCiclo,$S14+MOD(2-WEEKDAY($S14),7))+20),1,IF(N($W14)&gt;0,AVERAGEIFS($AA$5:$AA$1000,$U$5:$U$1000,ROW(),$V$5:$V$1000,"Sub"),$AA14)))</f>
        <v/>
      </c>
      <c r="AF14" s="62">
        <f>IF($V14="","",IF(AND(ISNUMBER($G14),$G14&lt;=IF($S14=MesCiclo,InicioCiclo,$S14+MOD(2-WEEKDAY($S14),7))+27),1,IF(N($W14)&gt;0,AVERAGEIFS($AB$5:$AB$1000,$U$5:$U$1000,ROW(),$V$5:$V$1000,"Sub"),$AB14)))</f>
        <v/>
      </c>
      <c r="AG14" s="62">
        <f>IF($V14&lt;&gt;"Macro","",IF(COUNTIFS($S$5:$S$1000,$S14,$V$5:$V$1000,"Macro",$H$5:$H$1000,"&gt;0")=0,1/COUNTIFS($S$5:$S$1000,$S14,$V$5:$V$1000,"Macro"),IF(AND(ISNUMBER($H14),N($H14)&gt;0),$H14,SUMIFS($H$5:$H$1000,$S$5:$S$1000,$S14,$V$5:$V$1000,"Macro")/COUNTIFS($S$5:$S$1000,$S14,$V$5:$V$1000,"Macro",$H$5:$H$1000,"&gt;0"))/(COUNTIFS($S$5:$S$1000,$S14,$V$5:$V$1000,"Macro")*SUMIFS($H$5:$H$1000,$S$5:$S$1000,$S14,$V$5:$V$1000,"Macro")/COUNTIFS($S$5:$S$1000,$S14,$V$5:$V$1000,"Macro",$H$5:$H$1000,"&gt;0"))))</f>
        <v/>
      </c>
      <c r="AH14" s="62">
        <f>IF(NOT(AND($D14&lt;&gt;"",$V14="Macro")),"",IFERROR(CHOOSE(MATCH($D14,ListaPuestos,0),MATCH("[Jefatura] "&amp;$C14,'Cronograma R. Operacional'!$C$5:$C$1000,0),MATCH("[Jefatura] "&amp;$C14,'Cronograma R. Normativo'!$C$5:$C$1000,0),MATCH("[Jefatura] "&amp;$C14,'Cronograma R. Financiero'!$C$5:$C$1000,0),MATCH("[Jefatura] "&amp;$C14,'Cronograma Asistente Técnico'!$C$5:$C$1000,0)),0))</f>
        <v/>
      </c>
      <c r="AI14" s="62">
        <f>IF(AND(AND($D14&lt;&gt;"",$V14="Macro"),$S14=MesCiclo),COUNTIFS($D$5:$D14,$D14,$S$5:$S14,MesCiclo,$V$5:$V14,"Macro"),"")</f>
        <v/>
      </c>
      <c r="AJ14" s="62">
        <f>IF($AI14="","",$D14&amp;"|"&amp;$AI14)</f>
        <v/>
      </c>
      <c r="AK14" s="62">
        <f>IF(AND($D14&lt;&gt;"",$V14="Macro"),$D14&amp;"|"&amp;$C14,"")</f>
        <v/>
      </c>
      <c r="AL14" s="62">
        <f>""</f>
        <v/>
      </c>
      <c r="AM14" s="62">
        <f>IF(N($AL14)&gt;0,INDEX(rIni_ADM,$AL14),IF(ISNUMBER($E14),$E14,""))</f>
        <v/>
      </c>
      <c r="AN14" s="62">
        <f>IF(N($AL14)&gt;0,INDEX(rLim_ADM,$AL14),IF(ISNUMBER($F14),$F14,""))</f>
        <v/>
      </c>
    </row>
    <row r="15">
      <c r="A15" s="56">
        <f>IF(NOT((COUNTA($B15:$D15)+COUNTA($G15:$L15)+COUNTA($Q15))&gt;0),"",IF($V15="Macro",COUNTIFS($V$5:$V15,"Macro",$S$5:$S15,$S15),IF(N($U15)=0,"?",COUNTIFS(INDEX($V$5:$V$1000,1):INDEX($V$5:$V$1000,$U15-4),"Macro",INDEX($S$5:$S$1000,1):INDEX($S$5:$S$1000,$U15-4),INDEX($S$5:$S$1000,$U15-4))&amp;"."&amp;COUNTIFS($U$5:$U15,$U15,$V$5:$V15,"Sub"))))</f>
        <v/>
      </c>
      <c r="B15" s="57" t="n"/>
      <c r="C15" s="58" t="n"/>
      <c r="D15" s="58" t="n"/>
      <c r="E15" s="59" t="n"/>
      <c r="F15" s="59" t="n"/>
      <c r="G15" s="59" t="n"/>
      <c r="H15" s="60" t="n"/>
      <c r="I15" s="60" t="n"/>
      <c r="J15" s="60" t="n"/>
      <c r="K15" s="60" t="n"/>
      <c r="L15" s="60" t="n"/>
      <c r="M15" s="61">
        <f>IF(NOT((COUNTA($B15:$D15)+COUNTA($G15:$L15)+COUNTA($Q15))&gt;0),"",IF(AND($D15&lt;&gt;"",$V15="Macro"),IF(N($AH15)&gt;0,N(CHOOSE(MATCH($D15,ListaPuestos,0),INDEX('Cronograma R. Operacional'!$M$5:$M$1000,$AH15),INDEX('Cronograma R. Normativo'!$M$5:$M$1000,$AH15),INDEX('Cronograma R. Financiero'!$M$5:$M$1000,$AH15),INDEX('Cronograma Asistente Técnico'!$M$5:$M$1000,$AH15))),0),IF(ISNUMBER($G15),1,IF(N($W15)&gt;0,AVERAGEIFS($X$5:$X$1000,$U$5:$U$1000,ROW(),$V$5:$V$1000,"Sub"),$X15))))</f>
        <v/>
      </c>
      <c r="N15" s="56">
        <f>IF(OR($M15="",$V15="Sub"),"",IF($M15&gt;=1,"Completado",IF($M15&gt;0,"En curso","Pendiente")))</f>
        <v/>
      </c>
      <c r="O15" s="56">
        <f>IF(NOT((COUNTA($B15:$D15)+COUNTA($G15:$L15)+COUNTA($Q15))&gt;0),"",IF(AND(AND($D15&lt;&gt;"",$V15="Macro"),N($AH15)&gt;0),CHOOSE(MATCH($D15,ListaPuestos,0),INDEX('Cronograma R. Operacional'!$O$5:$O$1000,$AH15),INDEX('Cronograma R. Normativo'!$O$5:$O$1000,$AH15),INDEX('Cronograma R. Financiero'!$O$5:$O$1000,$AH15),INDEX('Cronograma Asistente Técnico'!$O$5:$O$1000,$AH15))&amp;"",IF(ISNUMBER($G15),IF(AND(ISNUMBER($AN15),$G15&gt;$AN15),"Cumplida con "&amp;($G15-$AN15)&amp;IF($G15-$AN15=1," día"," días")&amp;" de retraso","Cumplida"),IF(N($M15)&gt;=1,"Cumplida",IF(NOT(ISNUMBER($AN15)),"Sin fecha límite",IF($AN15&lt;FechaRef,"Vencida hace "&amp;(FechaRef-$AN15)&amp;IF(FechaRef-$AN15=1," día"," días"),IF($AN15=FechaRef,"Vence hoy",IF($AN15-FechaRef&lt;=DiasAlerta,"Vence en "&amp;($AN15-FechaRef)&amp;IF($AN15-FechaRef=1," día"," días"),"En plazo"))))))))</f>
        <v/>
      </c>
      <c r="P15" s="62">
        <f>IF(NOT((COUNTA($B15:$D15)+COUNTA($G15:$L15)+COUNTA($Q15))&gt;0),"",IF($D15="","Propia",IF($V15&lt;&gt;"Macro","Solo se delegan macroactividades",IF(N($AH15)&gt;0,"✔ Recibida por "&amp;$D15,"⚠ "&amp;$D15&amp;" aún no la agrega"))))</f>
        <v/>
      </c>
      <c r="Q15" s="58" t="n"/>
      <c r="R15" s="63">
        <f>IF(NOT((COUNTA($B15:$D15)+COUNTA($G15:$L15)+COUNTA($Q15))&gt;0),"",IF((IF($C15="","Falta el nombre de la actividad"&amp;" · ","")&amp;IF(AND($V15="Sub",N($U15)=0),"Subactividad sin macroactividad arriba"&amp;" · ","")&amp;IF($AM15="","Sin fecha de inicio"&amp;" · ","")&amp;IF($AN15="","Sin fecha límite"&amp;" · ","")&amp;IF(AND(LEFT($C15,11)="[Jefatura] ",N($AL15)=0),"No se encuentra en la hoja de la jefatura (elíjala de nuevo en la lista)"&amp;" · ","")&amp;IF(OR(AND($E15&lt;&gt;"",NOT(ISNUMBER($E15))),AND($F15&lt;&gt;"",NOT(ISNUMBER($F15))),AND($G15&lt;&gt;"",NOT(ISNUMBER($G15)))),"Fecha no válida"&amp;" · ","")&amp;IF(AND(ISNUMBER($AM15),ISNUMBER($AN15),$AM15&gt;$AN15),"Inicio posterior a fecha límite"&amp;" · ","")&amp;IF(AND($V15="Macro",$H15&lt;&gt;"",OR(NOT(ISNUMBER($H15)),$H15&lt;0,$H15&gt;1)),"Peso fuera de rango"&amp;" · ","")&amp;IF(AND($V15="Sub",$H15&lt;&gt;""),"Las subactividades no llevan peso (valen igual dentro de su macroactividad)"&amp;" · ","")&amp;IF(AND(N($W15)&gt;0,COUNT($I15:$L15)&gt;0),"Con subactividades: deje vacías las semanas (se calculan solas)"&amp;" · ","")&amp;IF((COUNTIF($I15:$L15,"&gt;1")+COUNTIF($I15:$L15,"&lt;0")+COUNTA($I15:$L15)-COUNT($I15:$L15))&gt;0,"Avance fuera de rango 0-100%"&amp;" · ","")&amp;IF(OR(AND($J15&lt;&gt;"",$J15&lt;$I15),AND($K15&lt;&gt;"",$K15&lt;MAX($I15:$J15)),AND($L15&lt;&gt;"",$L15&lt;MAX($I15:$K15))),"Avance semanal decreciente"&amp;" · ","")&amp;IF(AND(ISNUMBER($AN15),$AN15&lt;FechaRef,IF($V15="Sub",N($X15),N($M15))&lt;1),"Vencida"&amp;" · ","")&amp;IF(AND(ObsObligatoria="Sí",ISNUMBER($AN15),$AN15&lt;FechaRef,IF($V15="Sub",N($X15),N($M15))&lt;1,$Q15=""),"Vencida sin observación"&amp;" · ",""))="","✔ OK","⚠ "&amp;LEFT(IF($C15="","Falta el nombre de la actividad"&amp;" · ","")&amp;IF(AND($V15="Sub",N($U15)=0),"Subactividad sin macroactividad arriba"&amp;" · ","")&amp;IF($AM15="","Sin fecha de inicio"&amp;" · ","")&amp;IF($AN15="","Sin fecha límite"&amp;" · ","")&amp;IF(AND(LEFT($C15,11)="[Jefatura] ",N($AL15)=0),"No se encuentra en la hoja de la jefatura (elíjala de nuevo en la lista)"&amp;" · ","")&amp;IF(OR(AND($E15&lt;&gt;"",NOT(ISNUMBER($E15))),AND($F15&lt;&gt;"",NOT(ISNUMBER($F15))),AND($G15&lt;&gt;"",NOT(ISNUMBER($G15)))),"Fecha no válida"&amp;" · ","")&amp;IF(AND(ISNUMBER($AM15),ISNUMBER($AN15),$AM15&gt;$AN15),"Inicio posterior a fecha límite"&amp;" · ","")&amp;IF(AND($V15="Macro",$H15&lt;&gt;"",OR(NOT(ISNUMBER($H15)),$H15&lt;0,$H15&gt;1)),"Peso fuera de rango"&amp;" · ","")&amp;IF(AND($V15="Sub",$H15&lt;&gt;""),"Las subactividades no llevan peso (valen igual dentro de su macroactividad)"&amp;" · ","")&amp;IF(AND(N($W15)&gt;0,COUNT($I15:$L15)&gt;0),"Con subactividades: deje vacías las semanas (se calculan solas)"&amp;" · ","")&amp;IF((COUNTIF($I15:$L15,"&gt;1")+COUNTIF($I15:$L15,"&lt;0")+COUNTA($I15:$L15)-COUNT($I15:$L15))&gt;0,"Avance fuera de rango 0-100%"&amp;" · ","")&amp;IF(OR(AND($J15&lt;&gt;"",$J15&lt;$I15),AND($K15&lt;&gt;"",$K15&lt;MAX($I15:$J15)),AND($L15&lt;&gt;"",$L15&lt;MAX($I15:$K15))),"Avance semanal decreciente"&amp;" · ","")&amp;IF(AND(ISNUMBER($AN15),$AN15&lt;FechaRef,IF($V15="Sub",N($X15),N($M15))&lt;1),"Vencida"&amp;" · ","")&amp;IF(AND(ObsObligatoria="Sí",ISNUMBER($AN15),$AN15&lt;FechaRef,IF($V15="Sub",N($X15),N($M15))&lt;1,$Q15=""),"Vencida sin observación"&amp;" · ",""),LEN(IF($C15="","Falta el nombre de la actividad"&amp;" · ","")&amp;IF(AND($V15="Sub",N($U15)=0),"Subactividad sin macroactividad arriba"&amp;" · ","")&amp;IF($AM15="","Sin fecha de inicio"&amp;" · ","")&amp;IF($AN15="","Sin fecha límite"&amp;" · ","")&amp;IF(AND(LEFT($C15,11)="[Jefatura] ",N($AL15)=0),"No se encuentra en la hoja de la jefatura (elíjala de nuevo en la lista)"&amp;" · ","")&amp;IF(OR(AND($E15&lt;&gt;"",NOT(ISNUMBER($E15))),AND($F15&lt;&gt;"",NOT(ISNUMBER($F15))),AND($G15&lt;&gt;"",NOT(ISNUMBER($G15)))),"Fecha no válida"&amp;" · ","")&amp;IF(AND(ISNUMBER($AM15),ISNUMBER($AN15),$AM15&gt;$AN15),"Inicio posterior a fecha límite"&amp;" · ","")&amp;IF(AND($V15="Macro",$H15&lt;&gt;"",OR(NOT(ISNUMBER($H15)),$H15&lt;0,$H15&gt;1)),"Peso fuera de rango"&amp;" · ","")&amp;IF(AND($V15="Sub",$H15&lt;&gt;""),"Las subactividades no llevan peso (valen igual dentro de su macroactividad)"&amp;" · ","")&amp;IF(AND(N($W15)&gt;0,COUNT($I15:$L15)&gt;0),"Con subactividades: deje vacías las semanas (se calculan solas)"&amp;" · ","")&amp;IF((COUNTIF($I15:$L15,"&gt;1")+COUNTIF($I15:$L15,"&lt;0")+COUNTA($I15:$L15)-COUNT($I15:$L15))&gt;0,"Avance fuera de rango 0-100%"&amp;" · ","")&amp;IF(OR(AND($J15&lt;&gt;"",$J15&lt;$I15),AND($K15&lt;&gt;"",$K15&lt;MAX($I15:$J15)),AND($L15&lt;&gt;"",$L15&lt;MAX($I15:$K15))),"Avance semanal decreciente"&amp;" · ","")&amp;IF(AND(ISNUMBER($AN15),$AN15&lt;FechaRef,IF($V15="Sub",N($X15),N($M15))&lt;1),"Vencida"&amp;" · ","")&amp;IF(AND(ObsObligatoria="Sí",ISNUMBER($AN15),$AN15&lt;FechaRef,IF($V15="Sub",N($X15),N($M15))&lt;1,$Q15=""),"Vencida sin observación"&amp;" · ",""))-3)))</f>
        <v/>
      </c>
      <c r="S15" s="64">
        <f>IF(NOT((COUNTA($B15:$D15)+COUNTA($G15:$L15)+COUNTA($Q15))&gt;0),"",IF(AND($V15="Sub",N($U15)&gt;0),IF(ISNUMBER(INDEX($AM$5:$AM$1000,$U15-4)),DATE(YEAR(INDEX($AM$5:$AM$1000,$U15-4)),MONTH(INDEX($AM$5:$AM$1000,$U15-4)),1),IF(ISNUMBER(INDEX($AN$5:$AN$1000,$U15-4)),DATE(YEAR(INDEX($AN$5:$AN$1000,$U15-4)),MONTH(INDEX($AN$5:$AN$1000,$U15-4)),1),MesCiclo)),IF(ISNUMBER($AM15),DATE(YEAR($AM15),MONTH($AM15),1),IF(ISNUMBER($AN15),DATE(YEAR($AN15),MONTH($AN15),1),MesCiclo))))</f>
        <v/>
      </c>
      <c r="T15" s="62">
        <f>IF(OR($S15="",$S15&lt;&gt;MesCiclo,$V15&lt;&gt;"Macro"),"",COUNTIFS($S$5:$S15,MesCiclo,$V$5:$V15,"Macro"))</f>
        <v/>
      </c>
      <c r="U15" s="62">
        <f>IF($V15="","",IF($V15="Macro",ROW(),IFERROR(LOOKUP(2,1/($V$5:$V15="Macro"),ROW($V$5:$V15)),0)))</f>
        <v/>
      </c>
      <c r="V15" s="62">
        <f>IF(NOT((COUNTA($B15:$D15)+COUNTA($G15:$L15)+COUNTA($Q15))&gt;0),"",IF($B15="Subactividad","Sub","Macro"))</f>
        <v/>
      </c>
      <c r="W15" s="62">
        <f>IF($V15="Macro",COUNTIFS($U$5:$U$1000,ROW(),$V$5:$V$1000,"Sub"),"")</f>
        <v/>
      </c>
      <c r="X15" s="62">
        <f>IF($V15="","",IF(ISNUMBER($G15),1,IFERROR(LOOKUP(2,1/($I15:$L15&lt;&gt;""),$I15:$L15),0)))</f>
        <v/>
      </c>
      <c r="Y15" s="62">
        <f>IF($V15="","",IF(AND(ISNUMBER($G15),$G15&lt;=IF($S15=MesCiclo,InicioCiclo,$S15+MOD(2-WEEKDAY($S15),7))+6),1,IF(ISNUMBER($I15),$I15,0)))</f>
        <v/>
      </c>
      <c r="Z15" s="62">
        <f>IF($V15="","",IF(AND(ISNUMBER($G15),$G15&lt;=IF($S15=MesCiclo,InicioCiclo,$S15+MOD(2-WEEKDAY($S15),7))+13),1,IF(ISNUMBER($J15),$J15,$Y15)))</f>
        <v/>
      </c>
      <c r="AA15" s="62">
        <f>IF($V15="","",IF(AND(ISNUMBER($G15),$G15&lt;=IF($S15=MesCiclo,InicioCiclo,$S15+MOD(2-WEEKDAY($S15),7))+20),1,IF(ISNUMBER($K15),$K15,$Z15)))</f>
        <v/>
      </c>
      <c r="AB15" s="62">
        <f>IF($V15="","",IF(AND(ISNUMBER($G15),$G15&lt;=IF($S15=MesCiclo,InicioCiclo,$S15+MOD(2-WEEKDAY($S15),7))+27),1,IF(ISNUMBER($L15),$L15,$AA15)))</f>
        <v/>
      </c>
      <c r="AC15" s="62">
        <f>IF($V15="","",IF(AND(ISNUMBER($G15),$G15&lt;=IF($S15=MesCiclo,InicioCiclo,$S15+MOD(2-WEEKDAY($S15),7))+6),1,IF(N($W15)&gt;0,AVERAGEIFS($Y$5:$Y$1000,$U$5:$U$1000,ROW(),$V$5:$V$1000,"Sub"),$Y15)))</f>
        <v/>
      </c>
      <c r="AD15" s="62">
        <f>IF($V15="","",IF(AND(ISNUMBER($G15),$G15&lt;=IF($S15=MesCiclo,InicioCiclo,$S15+MOD(2-WEEKDAY($S15),7))+13),1,IF(N($W15)&gt;0,AVERAGEIFS($Z$5:$Z$1000,$U$5:$U$1000,ROW(),$V$5:$V$1000,"Sub"),$Z15)))</f>
        <v/>
      </c>
      <c r="AE15" s="62">
        <f>IF($V15="","",IF(AND(ISNUMBER($G15),$G15&lt;=IF($S15=MesCiclo,InicioCiclo,$S15+MOD(2-WEEKDAY($S15),7))+20),1,IF(N($W15)&gt;0,AVERAGEIFS($AA$5:$AA$1000,$U$5:$U$1000,ROW(),$V$5:$V$1000,"Sub"),$AA15)))</f>
        <v/>
      </c>
      <c r="AF15" s="62">
        <f>IF($V15="","",IF(AND(ISNUMBER($G15),$G15&lt;=IF($S15=MesCiclo,InicioCiclo,$S15+MOD(2-WEEKDAY($S15),7))+27),1,IF(N($W15)&gt;0,AVERAGEIFS($AB$5:$AB$1000,$U$5:$U$1000,ROW(),$V$5:$V$1000,"Sub"),$AB15)))</f>
        <v/>
      </c>
      <c r="AG15" s="62">
        <f>IF($V15&lt;&gt;"Macro","",IF(COUNTIFS($S$5:$S$1000,$S15,$V$5:$V$1000,"Macro",$H$5:$H$1000,"&gt;0")=0,1/COUNTIFS($S$5:$S$1000,$S15,$V$5:$V$1000,"Macro"),IF(AND(ISNUMBER($H15),N($H15)&gt;0),$H15,SUMIFS($H$5:$H$1000,$S$5:$S$1000,$S15,$V$5:$V$1000,"Macro")/COUNTIFS($S$5:$S$1000,$S15,$V$5:$V$1000,"Macro",$H$5:$H$1000,"&gt;0"))/(COUNTIFS($S$5:$S$1000,$S15,$V$5:$V$1000,"Macro")*SUMIFS($H$5:$H$1000,$S$5:$S$1000,$S15,$V$5:$V$1000,"Macro")/COUNTIFS($S$5:$S$1000,$S15,$V$5:$V$1000,"Macro",$H$5:$H$1000,"&gt;0"))))</f>
        <v/>
      </c>
      <c r="AH15" s="62">
        <f>IF(NOT(AND($D15&lt;&gt;"",$V15="Macro")),"",IFERROR(CHOOSE(MATCH($D15,ListaPuestos,0),MATCH("[Jefatura] "&amp;$C15,'Cronograma R. Operacional'!$C$5:$C$1000,0),MATCH("[Jefatura] "&amp;$C15,'Cronograma R. Normativo'!$C$5:$C$1000,0),MATCH("[Jefatura] "&amp;$C15,'Cronograma R. Financiero'!$C$5:$C$1000,0),MATCH("[Jefatura] "&amp;$C15,'Cronograma Asistente Técnico'!$C$5:$C$1000,0)),0))</f>
        <v/>
      </c>
      <c r="AI15" s="62">
        <f>IF(AND(AND($D15&lt;&gt;"",$V15="Macro"),$S15=MesCiclo),COUNTIFS($D$5:$D15,$D15,$S$5:$S15,MesCiclo,$V$5:$V15,"Macro"),"")</f>
        <v/>
      </c>
      <c r="AJ15" s="62">
        <f>IF($AI15="","",$D15&amp;"|"&amp;$AI15)</f>
        <v/>
      </c>
      <c r="AK15" s="62">
        <f>IF(AND($D15&lt;&gt;"",$V15="Macro"),$D15&amp;"|"&amp;$C15,"")</f>
        <v/>
      </c>
      <c r="AL15" s="62">
        <f>""</f>
        <v/>
      </c>
      <c r="AM15" s="62">
        <f>IF(N($AL15)&gt;0,INDEX(rIni_ADM,$AL15),IF(ISNUMBER($E15),$E15,""))</f>
        <v/>
      </c>
      <c r="AN15" s="62">
        <f>IF(N($AL15)&gt;0,INDEX(rLim_ADM,$AL15),IF(ISNUMBER($F15),$F15,""))</f>
        <v/>
      </c>
    </row>
    <row r="16">
      <c r="A16" s="56">
        <f>IF(NOT((COUNTA($B16:$D16)+COUNTA($G16:$L16)+COUNTA($Q16))&gt;0),"",IF($V16="Macro",COUNTIFS($V$5:$V16,"Macro",$S$5:$S16,$S16),IF(N($U16)=0,"?",COUNTIFS(INDEX($V$5:$V$1000,1):INDEX($V$5:$V$1000,$U16-4),"Macro",INDEX($S$5:$S$1000,1):INDEX($S$5:$S$1000,$U16-4),INDEX($S$5:$S$1000,$U16-4))&amp;"."&amp;COUNTIFS($U$5:$U16,$U16,$V$5:$V16,"Sub"))))</f>
        <v/>
      </c>
      <c r="B16" s="57" t="n"/>
      <c r="C16" s="58" t="n"/>
      <c r="D16" s="58" t="n"/>
      <c r="E16" s="59" t="n"/>
      <c r="F16" s="59" t="n"/>
      <c r="G16" s="59" t="n"/>
      <c r="H16" s="60" t="n"/>
      <c r="I16" s="60" t="n"/>
      <c r="J16" s="60" t="n"/>
      <c r="K16" s="60" t="n"/>
      <c r="L16" s="60" t="n"/>
      <c r="M16" s="61">
        <f>IF(NOT((COUNTA($B16:$D16)+COUNTA($G16:$L16)+COUNTA($Q16))&gt;0),"",IF(AND($D16&lt;&gt;"",$V16="Macro"),IF(N($AH16)&gt;0,N(CHOOSE(MATCH($D16,ListaPuestos,0),INDEX('Cronograma R. Operacional'!$M$5:$M$1000,$AH16),INDEX('Cronograma R. Normativo'!$M$5:$M$1000,$AH16),INDEX('Cronograma R. Financiero'!$M$5:$M$1000,$AH16),INDEX('Cronograma Asistente Técnico'!$M$5:$M$1000,$AH16))),0),IF(ISNUMBER($G16),1,IF(N($W16)&gt;0,AVERAGEIFS($X$5:$X$1000,$U$5:$U$1000,ROW(),$V$5:$V$1000,"Sub"),$X16))))</f>
        <v/>
      </c>
      <c r="N16" s="56">
        <f>IF(OR($M16="",$V16="Sub"),"",IF($M16&gt;=1,"Completado",IF($M16&gt;0,"En curso","Pendiente")))</f>
        <v/>
      </c>
      <c r="O16" s="56">
        <f>IF(NOT((COUNTA($B16:$D16)+COUNTA($G16:$L16)+COUNTA($Q16))&gt;0),"",IF(AND(AND($D16&lt;&gt;"",$V16="Macro"),N($AH16)&gt;0),CHOOSE(MATCH($D16,ListaPuestos,0),INDEX('Cronograma R. Operacional'!$O$5:$O$1000,$AH16),INDEX('Cronograma R. Normativo'!$O$5:$O$1000,$AH16),INDEX('Cronograma R. Financiero'!$O$5:$O$1000,$AH16),INDEX('Cronograma Asistente Técnico'!$O$5:$O$1000,$AH16))&amp;"",IF(ISNUMBER($G16),IF(AND(ISNUMBER($AN16),$G16&gt;$AN16),"Cumplida con "&amp;($G16-$AN16)&amp;IF($G16-$AN16=1," día"," días")&amp;" de retraso","Cumplida"),IF(N($M16)&gt;=1,"Cumplida",IF(NOT(ISNUMBER($AN16)),"Sin fecha límite",IF($AN16&lt;FechaRef,"Vencida hace "&amp;(FechaRef-$AN16)&amp;IF(FechaRef-$AN16=1," día"," días"),IF($AN16=FechaRef,"Vence hoy",IF($AN16-FechaRef&lt;=DiasAlerta,"Vence en "&amp;($AN16-FechaRef)&amp;IF($AN16-FechaRef=1," día"," días"),"En plazo"))))))))</f>
        <v/>
      </c>
      <c r="P16" s="62">
        <f>IF(NOT((COUNTA($B16:$D16)+COUNTA($G16:$L16)+COUNTA($Q16))&gt;0),"",IF($D16="","Propia",IF($V16&lt;&gt;"Macro","Solo se delegan macroactividades",IF(N($AH16)&gt;0,"✔ Recibida por "&amp;$D16,"⚠ "&amp;$D16&amp;" aún no la agrega"))))</f>
        <v/>
      </c>
      <c r="Q16" s="58" t="n"/>
      <c r="R16" s="63">
        <f>IF(NOT((COUNTA($B16:$D16)+COUNTA($G16:$L16)+COUNTA($Q16))&gt;0),"",IF((IF($C16="","Falta el nombre de la actividad"&amp;" · ","")&amp;IF(AND($V16="Sub",N($U16)=0),"Subactividad sin macroactividad arriba"&amp;" · ","")&amp;IF($AM16="","Sin fecha de inicio"&amp;" · ","")&amp;IF($AN16="","Sin fecha límite"&amp;" · ","")&amp;IF(AND(LEFT($C16,11)="[Jefatura] ",N($AL16)=0),"No se encuentra en la hoja de la jefatura (elíjala de nuevo en la lista)"&amp;" · ","")&amp;IF(OR(AND($E16&lt;&gt;"",NOT(ISNUMBER($E16))),AND($F16&lt;&gt;"",NOT(ISNUMBER($F16))),AND($G16&lt;&gt;"",NOT(ISNUMBER($G16)))),"Fecha no válida"&amp;" · ","")&amp;IF(AND(ISNUMBER($AM16),ISNUMBER($AN16),$AM16&gt;$AN16),"Inicio posterior a fecha límite"&amp;" · ","")&amp;IF(AND($V16="Macro",$H16&lt;&gt;"",OR(NOT(ISNUMBER($H16)),$H16&lt;0,$H16&gt;1)),"Peso fuera de rango"&amp;" · ","")&amp;IF(AND($V16="Sub",$H16&lt;&gt;""),"Las subactividades no llevan peso (valen igual dentro de su macroactividad)"&amp;" · ","")&amp;IF(AND(N($W16)&gt;0,COUNT($I16:$L16)&gt;0),"Con subactividades: deje vacías las semanas (se calculan solas)"&amp;" · ","")&amp;IF((COUNTIF($I16:$L16,"&gt;1")+COUNTIF($I16:$L16,"&lt;0")+COUNTA($I16:$L16)-COUNT($I16:$L16))&gt;0,"Avance fuera de rango 0-100%"&amp;" · ","")&amp;IF(OR(AND($J16&lt;&gt;"",$J16&lt;$I16),AND($K16&lt;&gt;"",$K16&lt;MAX($I16:$J16)),AND($L16&lt;&gt;"",$L16&lt;MAX($I16:$K16))),"Avance semanal decreciente"&amp;" · ","")&amp;IF(AND(ISNUMBER($AN16),$AN16&lt;FechaRef,IF($V16="Sub",N($X16),N($M16))&lt;1),"Vencida"&amp;" · ","")&amp;IF(AND(ObsObligatoria="Sí",ISNUMBER($AN16),$AN16&lt;FechaRef,IF($V16="Sub",N($X16),N($M16))&lt;1,$Q16=""),"Vencida sin observación"&amp;" · ",""))="","✔ OK","⚠ "&amp;LEFT(IF($C16="","Falta el nombre de la actividad"&amp;" · ","")&amp;IF(AND($V16="Sub",N($U16)=0),"Subactividad sin macroactividad arriba"&amp;" · ","")&amp;IF($AM16="","Sin fecha de inicio"&amp;" · ","")&amp;IF($AN16="","Sin fecha límite"&amp;" · ","")&amp;IF(AND(LEFT($C16,11)="[Jefatura] ",N($AL16)=0),"No se encuentra en la hoja de la jefatura (elíjala de nuevo en la lista)"&amp;" · ","")&amp;IF(OR(AND($E16&lt;&gt;"",NOT(ISNUMBER($E16))),AND($F16&lt;&gt;"",NOT(ISNUMBER($F16))),AND($G16&lt;&gt;"",NOT(ISNUMBER($G16)))),"Fecha no válida"&amp;" · ","")&amp;IF(AND(ISNUMBER($AM16),ISNUMBER($AN16),$AM16&gt;$AN16),"Inicio posterior a fecha límite"&amp;" · ","")&amp;IF(AND($V16="Macro",$H16&lt;&gt;"",OR(NOT(ISNUMBER($H16)),$H16&lt;0,$H16&gt;1)),"Peso fuera de rango"&amp;" · ","")&amp;IF(AND($V16="Sub",$H16&lt;&gt;""),"Las subactividades no llevan peso (valen igual dentro de su macroactividad)"&amp;" · ","")&amp;IF(AND(N($W16)&gt;0,COUNT($I16:$L16)&gt;0),"Con subactividades: deje vacías las semanas (se calculan solas)"&amp;" · ","")&amp;IF((COUNTIF($I16:$L16,"&gt;1")+COUNTIF($I16:$L16,"&lt;0")+COUNTA($I16:$L16)-COUNT($I16:$L16))&gt;0,"Avance fuera de rango 0-100%"&amp;" · ","")&amp;IF(OR(AND($J16&lt;&gt;"",$J16&lt;$I16),AND($K16&lt;&gt;"",$K16&lt;MAX($I16:$J16)),AND($L16&lt;&gt;"",$L16&lt;MAX($I16:$K16))),"Avance semanal decreciente"&amp;" · ","")&amp;IF(AND(ISNUMBER($AN16),$AN16&lt;FechaRef,IF($V16="Sub",N($X16),N($M16))&lt;1),"Vencida"&amp;" · ","")&amp;IF(AND(ObsObligatoria="Sí",ISNUMBER($AN16),$AN16&lt;FechaRef,IF($V16="Sub",N($X16),N($M16))&lt;1,$Q16=""),"Vencida sin observación"&amp;" · ",""),LEN(IF($C16="","Falta el nombre de la actividad"&amp;" · ","")&amp;IF(AND($V16="Sub",N($U16)=0),"Subactividad sin macroactividad arriba"&amp;" · ","")&amp;IF($AM16="","Sin fecha de inicio"&amp;" · ","")&amp;IF($AN16="","Sin fecha límite"&amp;" · ","")&amp;IF(AND(LEFT($C16,11)="[Jefatura] ",N($AL16)=0),"No se encuentra en la hoja de la jefatura (elíjala de nuevo en la lista)"&amp;" · ","")&amp;IF(OR(AND($E16&lt;&gt;"",NOT(ISNUMBER($E16))),AND($F16&lt;&gt;"",NOT(ISNUMBER($F16))),AND($G16&lt;&gt;"",NOT(ISNUMBER($G16)))),"Fecha no válida"&amp;" · ","")&amp;IF(AND(ISNUMBER($AM16),ISNUMBER($AN16),$AM16&gt;$AN16),"Inicio posterior a fecha límite"&amp;" · ","")&amp;IF(AND($V16="Macro",$H16&lt;&gt;"",OR(NOT(ISNUMBER($H16)),$H16&lt;0,$H16&gt;1)),"Peso fuera de rango"&amp;" · ","")&amp;IF(AND($V16="Sub",$H16&lt;&gt;""),"Las subactividades no llevan peso (valen igual dentro de su macroactividad)"&amp;" · ","")&amp;IF(AND(N($W16)&gt;0,COUNT($I16:$L16)&gt;0),"Con subactividades: deje vacías las semanas (se calculan solas)"&amp;" · ","")&amp;IF((COUNTIF($I16:$L16,"&gt;1")+COUNTIF($I16:$L16,"&lt;0")+COUNTA($I16:$L16)-COUNT($I16:$L16))&gt;0,"Avance fuera de rango 0-100%"&amp;" · ","")&amp;IF(OR(AND($J16&lt;&gt;"",$J16&lt;$I16),AND($K16&lt;&gt;"",$K16&lt;MAX($I16:$J16)),AND($L16&lt;&gt;"",$L16&lt;MAX($I16:$K16))),"Avance semanal decreciente"&amp;" · ","")&amp;IF(AND(ISNUMBER($AN16),$AN16&lt;FechaRef,IF($V16="Sub",N($X16),N($M16))&lt;1),"Vencida"&amp;" · ","")&amp;IF(AND(ObsObligatoria="Sí",ISNUMBER($AN16),$AN16&lt;FechaRef,IF($V16="Sub",N($X16),N($M16))&lt;1,$Q16=""),"Vencida sin observación"&amp;" · ",""))-3)))</f>
        <v/>
      </c>
      <c r="S16" s="64">
        <f>IF(NOT((COUNTA($B16:$D16)+COUNTA($G16:$L16)+COUNTA($Q16))&gt;0),"",IF(AND($V16="Sub",N($U16)&gt;0),IF(ISNUMBER(INDEX($AM$5:$AM$1000,$U16-4)),DATE(YEAR(INDEX($AM$5:$AM$1000,$U16-4)),MONTH(INDEX($AM$5:$AM$1000,$U16-4)),1),IF(ISNUMBER(INDEX($AN$5:$AN$1000,$U16-4)),DATE(YEAR(INDEX($AN$5:$AN$1000,$U16-4)),MONTH(INDEX($AN$5:$AN$1000,$U16-4)),1),MesCiclo)),IF(ISNUMBER($AM16),DATE(YEAR($AM16),MONTH($AM16),1),IF(ISNUMBER($AN16),DATE(YEAR($AN16),MONTH($AN16),1),MesCiclo))))</f>
        <v/>
      </c>
      <c r="T16" s="62">
        <f>IF(OR($S16="",$S16&lt;&gt;MesCiclo,$V16&lt;&gt;"Macro"),"",COUNTIFS($S$5:$S16,MesCiclo,$V$5:$V16,"Macro"))</f>
        <v/>
      </c>
      <c r="U16" s="62">
        <f>IF($V16="","",IF($V16="Macro",ROW(),IFERROR(LOOKUP(2,1/($V$5:$V16="Macro"),ROW($V$5:$V16)),0)))</f>
        <v/>
      </c>
      <c r="V16" s="62">
        <f>IF(NOT((COUNTA($B16:$D16)+COUNTA($G16:$L16)+COUNTA($Q16))&gt;0),"",IF($B16="Subactividad","Sub","Macro"))</f>
        <v/>
      </c>
      <c r="W16" s="62">
        <f>IF($V16="Macro",COUNTIFS($U$5:$U$1000,ROW(),$V$5:$V$1000,"Sub"),"")</f>
        <v/>
      </c>
      <c r="X16" s="62">
        <f>IF($V16="","",IF(ISNUMBER($G16),1,IFERROR(LOOKUP(2,1/($I16:$L16&lt;&gt;""),$I16:$L16),0)))</f>
        <v/>
      </c>
      <c r="Y16" s="62">
        <f>IF($V16="","",IF(AND(ISNUMBER($G16),$G16&lt;=IF($S16=MesCiclo,InicioCiclo,$S16+MOD(2-WEEKDAY($S16),7))+6),1,IF(ISNUMBER($I16),$I16,0)))</f>
        <v/>
      </c>
      <c r="Z16" s="62">
        <f>IF($V16="","",IF(AND(ISNUMBER($G16),$G16&lt;=IF($S16=MesCiclo,InicioCiclo,$S16+MOD(2-WEEKDAY($S16),7))+13),1,IF(ISNUMBER($J16),$J16,$Y16)))</f>
        <v/>
      </c>
      <c r="AA16" s="62">
        <f>IF($V16="","",IF(AND(ISNUMBER($G16),$G16&lt;=IF($S16=MesCiclo,InicioCiclo,$S16+MOD(2-WEEKDAY($S16),7))+20),1,IF(ISNUMBER($K16),$K16,$Z16)))</f>
        <v/>
      </c>
      <c r="AB16" s="62">
        <f>IF($V16="","",IF(AND(ISNUMBER($G16),$G16&lt;=IF($S16=MesCiclo,InicioCiclo,$S16+MOD(2-WEEKDAY($S16),7))+27),1,IF(ISNUMBER($L16),$L16,$AA16)))</f>
        <v/>
      </c>
      <c r="AC16" s="62">
        <f>IF($V16="","",IF(AND(ISNUMBER($G16),$G16&lt;=IF($S16=MesCiclo,InicioCiclo,$S16+MOD(2-WEEKDAY($S16),7))+6),1,IF(N($W16)&gt;0,AVERAGEIFS($Y$5:$Y$1000,$U$5:$U$1000,ROW(),$V$5:$V$1000,"Sub"),$Y16)))</f>
        <v/>
      </c>
      <c r="AD16" s="62">
        <f>IF($V16="","",IF(AND(ISNUMBER($G16),$G16&lt;=IF($S16=MesCiclo,InicioCiclo,$S16+MOD(2-WEEKDAY($S16),7))+13),1,IF(N($W16)&gt;0,AVERAGEIFS($Z$5:$Z$1000,$U$5:$U$1000,ROW(),$V$5:$V$1000,"Sub"),$Z16)))</f>
        <v/>
      </c>
      <c r="AE16" s="62">
        <f>IF($V16="","",IF(AND(ISNUMBER($G16),$G16&lt;=IF($S16=MesCiclo,InicioCiclo,$S16+MOD(2-WEEKDAY($S16),7))+20),1,IF(N($W16)&gt;0,AVERAGEIFS($AA$5:$AA$1000,$U$5:$U$1000,ROW(),$V$5:$V$1000,"Sub"),$AA16)))</f>
        <v/>
      </c>
      <c r="AF16" s="62">
        <f>IF($V16="","",IF(AND(ISNUMBER($G16),$G16&lt;=IF($S16=MesCiclo,InicioCiclo,$S16+MOD(2-WEEKDAY($S16),7))+27),1,IF(N($W16)&gt;0,AVERAGEIFS($AB$5:$AB$1000,$U$5:$U$1000,ROW(),$V$5:$V$1000,"Sub"),$AB16)))</f>
        <v/>
      </c>
      <c r="AG16" s="62">
        <f>IF($V16&lt;&gt;"Macro","",IF(COUNTIFS($S$5:$S$1000,$S16,$V$5:$V$1000,"Macro",$H$5:$H$1000,"&gt;0")=0,1/COUNTIFS($S$5:$S$1000,$S16,$V$5:$V$1000,"Macro"),IF(AND(ISNUMBER($H16),N($H16)&gt;0),$H16,SUMIFS($H$5:$H$1000,$S$5:$S$1000,$S16,$V$5:$V$1000,"Macro")/COUNTIFS($S$5:$S$1000,$S16,$V$5:$V$1000,"Macro",$H$5:$H$1000,"&gt;0"))/(COUNTIFS($S$5:$S$1000,$S16,$V$5:$V$1000,"Macro")*SUMIFS($H$5:$H$1000,$S$5:$S$1000,$S16,$V$5:$V$1000,"Macro")/COUNTIFS($S$5:$S$1000,$S16,$V$5:$V$1000,"Macro",$H$5:$H$1000,"&gt;0"))))</f>
        <v/>
      </c>
      <c r="AH16" s="62">
        <f>IF(NOT(AND($D16&lt;&gt;"",$V16="Macro")),"",IFERROR(CHOOSE(MATCH($D16,ListaPuestos,0),MATCH("[Jefatura] "&amp;$C16,'Cronograma R. Operacional'!$C$5:$C$1000,0),MATCH("[Jefatura] "&amp;$C16,'Cronograma R. Normativo'!$C$5:$C$1000,0),MATCH("[Jefatura] "&amp;$C16,'Cronograma R. Financiero'!$C$5:$C$1000,0),MATCH("[Jefatura] "&amp;$C16,'Cronograma Asistente Técnico'!$C$5:$C$1000,0)),0))</f>
        <v/>
      </c>
      <c r="AI16" s="62">
        <f>IF(AND(AND($D16&lt;&gt;"",$V16="Macro"),$S16=MesCiclo),COUNTIFS($D$5:$D16,$D16,$S$5:$S16,MesCiclo,$V$5:$V16,"Macro"),"")</f>
        <v/>
      </c>
      <c r="AJ16" s="62">
        <f>IF($AI16="","",$D16&amp;"|"&amp;$AI16)</f>
        <v/>
      </c>
      <c r="AK16" s="62">
        <f>IF(AND($D16&lt;&gt;"",$V16="Macro"),$D16&amp;"|"&amp;$C16,"")</f>
        <v/>
      </c>
      <c r="AL16" s="62">
        <f>""</f>
        <v/>
      </c>
      <c r="AM16" s="62">
        <f>IF(N($AL16)&gt;0,INDEX(rIni_ADM,$AL16),IF(ISNUMBER($E16),$E16,""))</f>
        <v/>
      </c>
      <c r="AN16" s="62">
        <f>IF(N($AL16)&gt;0,INDEX(rLim_ADM,$AL16),IF(ISNUMBER($F16),$F16,""))</f>
        <v/>
      </c>
    </row>
    <row r="17">
      <c r="A17" s="56">
        <f>IF(NOT((COUNTA($B17:$D17)+COUNTA($G17:$L17)+COUNTA($Q17))&gt;0),"",IF($V17="Macro",COUNTIFS($V$5:$V17,"Macro",$S$5:$S17,$S17),IF(N($U17)=0,"?",COUNTIFS(INDEX($V$5:$V$1000,1):INDEX($V$5:$V$1000,$U17-4),"Macro",INDEX($S$5:$S$1000,1):INDEX($S$5:$S$1000,$U17-4),INDEX($S$5:$S$1000,$U17-4))&amp;"."&amp;COUNTIFS($U$5:$U17,$U17,$V$5:$V17,"Sub"))))</f>
        <v/>
      </c>
      <c r="B17" s="57" t="n"/>
      <c r="C17" s="58" t="n"/>
      <c r="D17" s="58" t="n"/>
      <c r="E17" s="59" t="n"/>
      <c r="F17" s="59" t="n"/>
      <c r="G17" s="59" t="n"/>
      <c r="H17" s="60" t="n"/>
      <c r="I17" s="60" t="n"/>
      <c r="J17" s="60" t="n"/>
      <c r="K17" s="60" t="n"/>
      <c r="L17" s="60" t="n"/>
      <c r="M17" s="61">
        <f>IF(NOT((COUNTA($B17:$D17)+COUNTA($G17:$L17)+COUNTA($Q17))&gt;0),"",IF(AND($D17&lt;&gt;"",$V17="Macro"),IF(N($AH17)&gt;0,N(CHOOSE(MATCH($D17,ListaPuestos,0),INDEX('Cronograma R. Operacional'!$M$5:$M$1000,$AH17),INDEX('Cronograma R. Normativo'!$M$5:$M$1000,$AH17),INDEX('Cronograma R. Financiero'!$M$5:$M$1000,$AH17),INDEX('Cronograma Asistente Técnico'!$M$5:$M$1000,$AH17))),0),IF(ISNUMBER($G17),1,IF(N($W17)&gt;0,AVERAGEIFS($X$5:$X$1000,$U$5:$U$1000,ROW(),$V$5:$V$1000,"Sub"),$X17))))</f>
        <v/>
      </c>
      <c r="N17" s="56">
        <f>IF(OR($M17="",$V17="Sub"),"",IF($M17&gt;=1,"Completado",IF($M17&gt;0,"En curso","Pendiente")))</f>
        <v/>
      </c>
      <c r="O17" s="56">
        <f>IF(NOT((COUNTA($B17:$D17)+COUNTA($G17:$L17)+COUNTA($Q17))&gt;0),"",IF(AND(AND($D17&lt;&gt;"",$V17="Macro"),N($AH17)&gt;0),CHOOSE(MATCH($D17,ListaPuestos,0),INDEX('Cronograma R. Operacional'!$O$5:$O$1000,$AH17),INDEX('Cronograma R. Normativo'!$O$5:$O$1000,$AH17),INDEX('Cronograma R. Financiero'!$O$5:$O$1000,$AH17),INDEX('Cronograma Asistente Técnico'!$O$5:$O$1000,$AH17))&amp;"",IF(ISNUMBER($G17),IF(AND(ISNUMBER($AN17),$G17&gt;$AN17),"Cumplida con "&amp;($G17-$AN17)&amp;IF($G17-$AN17=1," día"," días")&amp;" de retraso","Cumplida"),IF(N($M17)&gt;=1,"Cumplida",IF(NOT(ISNUMBER($AN17)),"Sin fecha límite",IF($AN17&lt;FechaRef,"Vencida hace "&amp;(FechaRef-$AN17)&amp;IF(FechaRef-$AN17=1," día"," días"),IF($AN17=FechaRef,"Vence hoy",IF($AN17-FechaRef&lt;=DiasAlerta,"Vence en "&amp;($AN17-FechaRef)&amp;IF($AN17-FechaRef=1," día"," días"),"En plazo"))))))))</f>
        <v/>
      </c>
      <c r="P17" s="62">
        <f>IF(NOT((COUNTA($B17:$D17)+COUNTA($G17:$L17)+COUNTA($Q17))&gt;0),"",IF($D17="","Propia",IF($V17&lt;&gt;"Macro","Solo se delegan macroactividades",IF(N($AH17)&gt;0,"✔ Recibida por "&amp;$D17,"⚠ "&amp;$D17&amp;" aún no la agrega"))))</f>
        <v/>
      </c>
      <c r="Q17" s="58" t="n"/>
      <c r="R17" s="63">
        <f>IF(NOT((COUNTA($B17:$D17)+COUNTA($G17:$L17)+COUNTA($Q17))&gt;0),"",IF((IF($C17="","Falta el nombre de la actividad"&amp;" · ","")&amp;IF(AND($V17="Sub",N($U17)=0),"Subactividad sin macroactividad arriba"&amp;" · ","")&amp;IF($AM17="","Sin fecha de inicio"&amp;" · ","")&amp;IF($AN17="","Sin fecha límite"&amp;" · ","")&amp;IF(AND(LEFT($C17,11)="[Jefatura] ",N($AL17)=0),"No se encuentra en la hoja de la jefatura (elíjala de nuevo en la lista)"&amp;" · ","")&amp;IF(OR(AND($E17&lt;&gt;"",NOT(ISNUMBER($E17))),AND($F17&lt;&gt;"",NOT(ISNUMBER($F17))),AND($G17&lt;&gt;"",NOT(ISNUMBER($G17)))),"Fecha no válida"&amp;" · ","")&amp;IF(AND(ISNUMBER($AM17),ISNUMBER($AN17),$AM17&gt;$AN17),"Inicio posterior a fecha límite"&amp;" · ","")&amp;IF(AND($V17="Macro",$H17&lt;&gt;"",OR(NOT(ISNUMBER($H17)),$H17&lt;0,$H17&gt;1)),"Peso fuera de rango"&amp;" · ","")&amp;IF(AND($V17="Sub",$H17&lt;&gt;""),"Las subactividades no llevan peso (valen igual dentro de su macroactividad)"&amp;" · ","")&amp;IF(AND(N($W17)&gt;0,COUNT($I17:$L17)&gt;0),"Con subactividades: deje vacías las semanas (se calculan solas)"&amp;" · ","")&amp;IF((COUNTIF($I17:$L17,"&gt;1")+COUNTIF($I17:$L17,"&lt;0")+COUNTA($I17:$L17)-COUNT($I17:$L17))&gt;0,"Avance fuera de rango 0-100%"&amp;" · ","")&amp;IF(OR(AND($J17&lt;&gt;"",$J17&lt;$I17),AND($K17&lt;&gt;"",$K17&lt;MAX($I17:$J17)),AND($L17&lt;&gt;"",$L17&lt;MAX($I17:$K17))),"Avance semanal decreciente"&amp;" · ","")&amp;IF(AND(ISNUMBER($AN17),$AN17&lt;FechaRef,IF($V17="Sub",N($X17),N($M17))&lt;1),"Vencida"&amp;" · ","")&amp;IF(AND(ObsObligatoria="Sí",ISNUMBER($AN17),$AN17&lt;FechaRef,IF($V17="Sub",N($X17),N($M17))&lt;1,$Q17=""),"Vencida sin observación"&amp;" · ",""))="","✔ OK","⚠ "&amp;LEFT(IF($C17="","Falta el nombre de la actividad"&amp;" · ","")&amp;IF(AND($V17="Sub",N($U17)=0),"Subactividad sin macroactividad arriba"&amp;" · ","")&amp;IF($AM17="","Sin fecha de inicio"&amp;" · ","")&amp;IF($AN17="","Sin fecha límite"&amp;" · ","")&amp;IF(AND(LEFT($C17,11)="[Jefatura] ",N($AL17)=0),"No se encuentra en la hoja de la jefatura (elíjala de nuevo en la lista)"&amp;" · ","")&amp;IF(OR(AND($E17&lt;&gt;"",NOT(ISNUMBER($E17))),AND($F17&lt;&gt;"",NOT(ISNUMBER($F17))),AND($G17&lt;&gt;"",NOT(ISNUMBER($G17)))),"Fecha no válida"&amp;" · ","")&amp;IF(AND(ISNUMBER($AM17),ISNUMBER($AN17),$AM17&gt;$AN17),"Inicio posterior a fecha límite"&amp;" · ","")&amp;IF(AND($V17="Macro",$H17&lt;&gt;"",OR(NOT(ISNUMBER($H17)),$H17&lt;0,$H17&gt;1)),"Peso fuera de rango"&amp;" · ","")&amp;IF(AND($V17="Sub",$H17&lt;&gt;""),"Las subactividades no llevan peso (valen igual dentro de su macroactividad)"&amp;" · ","")&amp;IF(AND(N($W17)&gt;0,COUNT($I17:$L17)&gt;0),"Con subactividades: deje vacías las semanas (se calculan solas)"&amp;" · ","")&amp;IF((COUNTIF($I17:$L17,"&gt;1")+COUNTIF($I17:$L17,"&lt;0")+COUNTA($I17:$L17)-COUNT($I17:$L17))&gt;0,"Avance fuera de rango 0-100%"&amp;" · ","")&amp;IF(OR(AND($J17&lt;&gt;"",$J17&lt;$I17),AND($K17&lt;&gt;"",$K17&lt;MAX($I17:$J17)),AND($L17&lt;&gt;"",$L17&lt;MAX($I17:$K17))),"Avance semanal decreciente"&amp;" · ","")&amp;IF(AND(ISNUMBER($AN17),$AN17&lt;FechaRef,IF($V17="Sub",N($X17),N($M17))&lt;1),"Vencida"&amp;" · ","")&amp;IF(AND(ObsObligatoria="Sí",ISNUMBER($AN17),$AN17&lt;FechaRef,IF($V17="Sub",N($X17),N($M17))&lt;1,$Q17=""),"Vencida sin observación"&amp;" · ",""),LEN(IF($C17="","Falta el nombre de la actividad"&amp;" · ","")&amp;IF(AND($V17="Sub",N($U17)=0),"Subactividad sin macroactividad arriba"&amp;" · ","")&amp;IF($AM17="","Sin fecha de inicio"&amp;" · ","")&amp;IF($AN17="","Sin fecha límite"&amp;" · ","")&amp;IF(AND(LEFT($C17,11)="[Jefatura] ",N($AL17)=0),"No se encuentra en la hoja de la jefatura (elíjala de nuevo en la lista)"&amp;" · ","")&amp;IF(OR(AND($E17&lt;&gt;"",NOT(ISNUMBER($E17))),AND($F17&lt;&gt;"",NOT(ISNUMBER($F17))),AND($G17&lt;&gt;"",NOT(ISNUMBER($G17)))),"Fecha no válida"&amp;" · ","")&amp;IF(AND(ISNUMBER($AM17),ISNUMBER($AN17),$AM17&gt;$AN17),"Inicio posterior a fecha límite"&amp;" · ","")&amp;IF(AND($V17="Macro",$H17&lt;&gt;"",OR(NOT(ISNUMBER($H17)),$H17&lt;0,$H17&gt;1)),"Peso fuera de rango"&amp;" · ","")&amp;IF(AND($V17="Sub",$H17&lt;&gt;""),"Las subactividades no llevan peso (valen igual dentro de su macroactividad)"&amp;" · ","")&amp;IF(AND(N($W17)&gt;0,COUNT($I17:$L17)&gt;0),"Con subactividades: deje vacías las semanas (se calculan solas)"&amp;" · ","")&amp;IF((COUNTIF($I17:$L17,"&gt;1")+COUNTIF($I17:$L17,"&lt;0")+COUNTA($I17:$L17)-COUNT($I17:$L17))&gt;0,"Avance fuera de rango 0-100%"&amp;" · ","")&amp;IF(OR(AND($J17&lt;&gt;"",$J17&lt;$I17),AND($K17&lt;&gt;"",$K17&lt;MAX($I17:$J17)),AND($L17&lt;&gt;"",$L17&lt;MAX($I17:$K17))),"Avance semanal decreciente"&amp;" · ","")&amp;IF(AND(ISNUMBER($AN17),$AN17&lt;FechaRef,IF($V17="Sub",N($X17),N($M17))&lt;1),"Vencida"&amp;" · ","")&amp;IF(AND(ObsObligatoria="Sí",ISNUMBER($AN17),$AN17&lt;FechaRef,IF($V17="Sub",N($X17),N($M17))&lt;1,$Q17=""),"Vencida sin observación"&amp;" · ",""))-3)))</f>
        <v/>
      </c>
      <c r="S17" s="64">
        <f>IF(NOT((COUNTA($B17:$D17)+COUNTA($G17:$L17)+COUNTA($Q17))&gt;0),"",IF(AND($V17="Sub",N($U17)&gt;0),IF(ISNUMBER(INDEX($AM$5:$AM$1000,$U17-4)),DATE(YEAR(INDEX($AM$5:$AM$1000,$U17-4)),MONTH(INDEX($AM$5:$AM$1000,$U17-4)),1),IF(ISNUMBER(INDEX($AN$5:$AN$1000,$U17-4)),DATE(YEAR(INDEX($AN$5:$AN$1000,$U17-4)),MONTH(INDEX($AN$5:$AN$1000,$U17-4)),1),MesCiclo)),IF(ISNUMBER($AM17),DATE(YEAR($AM17),MONTH($AM17),1),IF(ISNUMBER($AN17),DATE(YEAR($AN17),MONTH($AN17),1),MesCiclo))))</f>
        <v/>
      </c>
      <c r="T17" s="62">
        <f>IF(OR($S17="",$S17&lt;&gt;MesCiclo,$V17&lt;&gt;"Macro"),"",COUNTIFS($S$5:$S17,MesCiclo,$V$5:$V17,"Macro"))</f>
        <v/>
      </c>
      <c r="U17" s="62">
        <f>IF($V17="","",IF($V17="Macro",ROW(),IFERROR(LOOKUP(2,1/($V$5:$V17="Macro"),ROW($V$5:$V17)),0)))</f>
        <v/>
      </c>
      <c r="V17" s="62">
        <f>IF(NOT((COUNTA($B17:$D17)+COUNTA($G17:$L17)+COUNTA($Q17))&gt;0),"",IF($B17="Subactividad","Sub","Macro"))</f>
        <v/>
      </c>
      <c r="W17" s="62">
        <f>IF($V17="Macro",COUNTIFS($U$5:$U$1000,ROW(),$V$5:$V$1000,"Sub"),"")</f>
        <v/>
      </c>
      <c r="X17" s="62">
        <f>IF($V17="","",IF(ISNUMBER($G17),1,IFERROR(LOOKUP(2,1/($I17:$L17&lt;&gt;""),$I17:$L17),0)))</f>
        <v/>
      </c>
      <c r="Y17" s="62">
        <f>IF($V17="","",IF(AND(ISNUMBER($G17),$G17&lt;=IF($S17=MesCiclo,InicioCiclo,$S17+MOD(2-WEEKDAY($S17),7))+6),1,IF(ISNUMBER($I17),$I17,0)))</f>
        <v/>
      </c>
      <c r="Z17" s="62">
        <f>IF($V17="","",IF(AND(ISNUMBER($G17),$G17&lt;=IF($S17=MesCiclo,InicioCiclo,$S17+MOD(2-WEEKDAY($S17),7))+13),1,IF(ISNUMBER($J17),$J17,$Y17)))</f>
        <v/>
      </c>
      <c r="AA17" s="62">
        <f>IF($V17="","",IF(AND(ISNUMBER($G17),$G17&lt;=IF($S17=MesCiclo,InicioCiclo,$S17+MOD(2-WEEKDAY($S17),7))+20),1,IF(ISNUMBER($K17),$K17,$Z17)))</f>
        <v/>
      </c>
      <c r="AB17" s="62">
        <f>IF($V17="","",IF(AND(ISNUMBER($G17),$G17&lt;=IF($S17=MesCiclo,InicioCiclo,$S17+MOD(2-WEEKDAY($S17),7))+27),1,IF(ISNUMBER($L17),$L17,$AA17)))</f>
        <v/>
      </c>
      <c r="AC17" s="62">
        <f>IF($V17="","",IF(AND(ISNUMBER($G17),$G17&lt;=IF($S17=MesCiclo,InicioCiclo,$S17+MOD(2-WEEKDAY($S17),7))+6),1,IF(N($W17)&gt;0,AVERAGEIFS($Y$5:$Y$1000,$U$5:$U$1000,ROW(),$V$5:$V$1000,"Sub"),$Y17)))</f>
        <v/>
      </c>
      <c r="AD17" s="62">
        <f>IF($V17="","",IF(AND(ISNUMBER($G17),$G17&lt;=IF($S17=MesCiclo,InicioCiclo,$S17+MOD(2-WEEKDAY($S17),7))+13),1,IF(N($W17)&gt;0,AVERAGEIFS($Z$5:$Z$1000,$U$5:$U$1000,ROW(),$V$5:$V$1000,"Sub"),$Z17)))</f>
        <v/>
      </c>
      <c r="AE17" s="62">
        <f>IF($V17="","",IF(AND(ISNUMBER($G17),$G17&lt;=IF($S17=MesCiclo,InicioCiclo,$S17+MOD(2-WEEKDAY($S17),7))+20),1,IF(N($W17)&gt;0,AVERAGEIFS($AA$5:$AA$1000,$U$5:$U$1000,ROW(),$V$5:$V$1000,"Sub"),$AA17)))</f>
        <v/>
      </c>
      <c r="AF17" s="62">
        <f>IF($V17="","",IF(AND(ISNUMBER($G17),$G17&lt;=IF($S17=MesCiclo,InicioCiclo,$S17+MOD(2-WEEKDAY($S17),7))+27),1,IF(N($W17)&gt;0,AVERAGEIFS($AB$5:$AB$1000,$U$5:$U$1000,ROW(),$V$5:$V$1000,"Sub"),$AB17)))</f>
        <v/>
      </c>
      <c r="AG17" s="62">
        <f>IF($V17&lt;&gt;"Macro","",IF(COUNTIFS($S$5:$S$1000,$S17,$V$5:$V$1000,"Macro",$H$5:$H$1000,"&gt;0")=0,1/COUNTIFS($S$5:$S$1000,$S17,$V$5:$V$1000,"Macro"),IF(AND(ISNUMBER($H17),N($H17)&gt;0),$H17,SUMIFS($H$5:$H$1000,$S$5:$S$1000,$S17,$V$5:$V$1000,"Macro")/COUNTIFS($S$5:$S$1000,$S17,$V$5:$V$1000,"Macro",$H$5:$H$1000,"&gt;0"))/(COUNTIFS($S$5:$S$1000,$S17,$V$5:$V$1000,"Macro")*SUMIFS($H$5:$H$1000,$S$5:$S$1000,$S17,$V$5:$V$1000,"Macro")/COUNTIFS($S$5:$S$1000,$S17,$V$5:$V$1000,"Macro",$H$5:$H$1000,"&gt;0"))))</f>
        <v/>
      </c>
      <c r="AH17" s="62">
        <f>IF(NOT(AND($D17&lt;&gt;"",$V17="Macro")),"",IFERROR(CHOOSE(MATCH($D17,ListaPuestos,0),MATCH("[Jefatura] "&amp;$C17,'Cronograma R. Operacional'!$C$5:$C$1000,0),MATCH("[Jefatura] "&amp;$C17,'Cronograma R. Normativo'!$C$5:$C$1000,0),MATCH("[Jefatura] "&amp;$C17,'Cronograma R. Financiero'!$C$5:$C$1000,0),MATCH("[Jefatura] "&amp;$C17,'Cronograma Asistente Técnico'!$C$5:$C$1000,0)),0))</f>
        <v/>
      </c>
      <c r="AI17" s="62">
        <f>IF(AND(AND($D17&lt;&gt;"",$V17="Macro"),$S17=MesCiclo),COUNTIFS($D$5:$D17,$D17,$S$5:$S17,MesCiclo,$V$5:$V17,"Macro"),"")</f>
        <v/>
      </c>
      <c r="AJ17" s="62">
        <f>IF($AI17="","",$D17&amp;"|"&amp;$AI17)</f>
        <v/>
      </c>
      <c r="AK17" s="62">
        <f>IF(AND($D17&lt;&gt;"",$V17="Macro"),$D17&amp;"|"&amp;$C17,"")</f>
        <v/>
      </c>
      <c r="AL17" s="62">
        <f>""</f>
        <v/>
      </c>
      <c r="AM17" s="62">
        <f>IF(N($AL17)&gt;0,INDEX(rIni_ADM,$AL17),IF(ISNUMBER($E17),$E17,""))</f>
        <v/>
      </c>
      <c r="AN17" s="62">
        <f>IF(N($AL17)&gt;0,INDEX(rLim_ADM,$AL17),IF(ISNUMBER($F17),$F17,""))</f>
        <v/>
      </c>
    </row>
    <row r="18">
      <c r="A18" s="56">
        <f>IF(NOT((COUNTA($B18:$D18)+COUNTA($G18:$L18)+COUNTA($Q18))&gt;0),"",IF($V18="Macro",COUNTIFS($V$5:$V18,"Macro",$S$5:$S18,$S18),IF(N($U18)=0,"?",COUNTIFS(INDEX($V$5:$V$1000,1):INDEX($V$5:$V$1000,$U18-4),"Macro",INDEX($S$5:$S$1000,1):INDEX($S$5:$S$1000,$U18-4),INDEX($S$5:$S$1000,$U18-4))&amp;"."&amp;COUNTIFS($U$5:$U18,$U18,$V$5:$V18,"Sub"))))</f>
        <v/>
      </c>
      <c r="B18" s="57" t="n"/>
      <c r="C18" s="58" t="n"/>
      <c r="D18" s="58" t="n"/>
      <c r="E18" s="59" t="n"/>
      <c r="F18" s="59" t="n"/>
      <c r="G18" s="59" t="n"/>
      <c r="H18" s="60" t="n"/>
      <c r="I18" s="60" t="n"/>
      <c r="J18" s="60" t="n"/>
      <c r="K18" s="60" t="n"/>
      <c r="L18" s="60" t="n"/>
      <c r="M18" s="61">
        <f>IF(NOT((COUNTA($B18:$D18)+COUNTA($G18:$L18)+COUNTA($Q18))&gt;0),"",IF(AND($D18&lt;&gt;"",$V18="Macro"),IF(N($AH18)&gt;0,N(CHOOSE(MATCH($D18,ListaPuestos,0),INDEX('Cronograma R. Operacional'!$M$5:$M$1000,$AH18),INDEX('Cronograma R. Normativo'!$M$5:$M$1000,$AH18),INDEX('Cronograma R. Financiero'!$M$5:$M$1000,$AH18),INDEX('Cronograma Asistente Técnico'!$M$5:$M$1000,$AH18))),0),IF(ISNUMBER($G18),1,IF(N($W18)&gt;0,AVERAGEIFS($X$5:$X$1000,$U$5:$U$1000,ROW(),$V$5:$V$1000,"Sub"),$X18))))</f>
        <v/>
      </c>
      <c r="N18" s="56">
        <f>IF(OR($M18="",$V18="Sub"),"",IF($M18&gt;=1,"Completado",IF($M18&gt;0,"En curso","Pendiente")))</f>
        <v/>
      </c>
      <c r="O18" s="56">
        <f>IF(NOT((COUNTA($B18:$D18)+COUNTA($G18:$L18)+COUNTA($Q18))&gt;0),"",IF(AND(AND($D18&lt;&gt;"",$V18="Macro"),N($AH18)&gt;0),CHOOSE(MATCH($D18,ListaPuestos,0),INDEX('Cronograma R. Operacional'!$O$5:$O$1000,$AH18),INDEX('Cronograma R. Normativo'!$O$5:$O$1000,$AH18),INDEX('Cronograma R. Financiero'!$O$5:$O$1000,$AH18),INDEX('Cronograma Asistente Técnico'!$O$5:$O$1000,$AH18))&amp;"",IF(ISNUMBER($G18),IF(AND(ISNUMBER($AN18),$G18&gt;$AN18),"Cumplida con "&amp;($G18-$AN18)&amp;IF($G18-$AN18=1," día"," días")&amp;" de retraso","Cumplida"),IF(N($M18)&gt;=1,"Cumplida",IF(NOT(ISNUMBER($AN18)),"Sin fecha límite",IF($AN18&lt;FechaRef,"Vencida hace "&amp;(FechaRef-$AN18)&amp;IF(FechaRef-$AN18=1," día"," días"),IF($AN18=FechaRef,"Vence hoy",IF($AN18-FechaRef&lt;=DiasAlerta,"Vence en "&amp;($AN18-FechaRef)&amp;IF($AN18-FechaRef=1," día"," días"),"En plazo"))))))))</f>
        <v/>
      </c>
      <c r="P18" s="62">
        <f>IF(NOT((COUNTA($B18:$D18)+COUNTA($G18:$L18)+COUNTA($Q18))&gt;0),"",IF($D18="","Propia",IF($V18&lt;&gt;"Macro","Solo se delegan macroactividades",IF(N($AH18)&gt;0,"✔ Recibida por "&amp;$D18,"⚠ "&amp;$D18&amp;" aún no la agrega"))))</f>
        <v/>
      </c>
      <c r="Q18" s="58" t="n"/>
      <c r="R18" s="63">
        <f>IF(NOT((COUNTA($B18:$D18)+COUNTA($G18:$L18)+COUNTA($Q18))&gt;0),"",IF((IF($C18="","Falta el nombre de la actividad"&amp;" · ","")&amp;IF(AND($V18="Sub",N($U18)=0),"Subactividad sin macroactividad arriba"&amp;" · ","")&amp;IF($AM18="","Sin fecha de inicio"&amp;" · ","")&amp;IF($AN18="","Sin fecha límite"&amp;" · ","")&amp;IF(AND(LEFT($C18,11)="[Jefatura] ",N($AL18)=0),"No se encuentra en la hoja de la jefatura (elíjala de nuevo en la lista)"&amp;" · ","")&amp;IF(OR(AND($E18&lt;&gt;"",NOT(ISNUMBER($E18))),AND($F18&lt;&gt;"",NOT(ISNUMBER($F18))),AND($G18&lt;&gt;"",NOT(ISNUMBER($G18)))),"Fecha no válida"&amp;" · ","")&amp;IF(AND(ISNUMBER($AM18),ISNUMBER($AN18),$AM18&gt;$AN18),"Inicio posterior a fecha límite"&amp;" · ","")&amp;IF(AND($V18="Macro",$H18&lt;&gt;"",OR(NOT(ISNUMBER($H18)),$H18&lt;0,$H18&gt;1)),"Peso fuera de rango"&amp;" · ","")&amp;IF(AND($V18="Sub",$H18&lt;&gt;""),"Las subactividades no llevan peso (valen igual dentro de su macroactividad)"&amp;" · ","")&amp;IF(AND(N($W18)&gt;0,COUNT($I18:$L18)&gt;0),"Con subactividades: deje vacías las semanas (se calculan solas)"&amp;" · ","")&amp;IF((COUNTIF($I18:$L18,"&gt;1")+COUNTIF($I18:$L18,"&lt;0")+COUNTA($I18:$L18)-COUNT($I18:$L18))&gt;0,"Avance fuera de rango 0-100%"&amp;" · ","")&amp;IF(OR(AND($J18&lt;&gt;"",$J18&lt;$I18),AND($K18&lt;&gt;"",$K18&lt;MAX($I18:$J18)),AND($L18&lt;&gt;"",$L18&lt;MAX($I18:$K18))),"Avance semanal decreciente"&amp;" · ","")&amp;IF(AND(ISNUMBER($AN18),$AN18&lt;FechaRef,IF($V18="Sub",N($X18),N($M18))&lt;1),"Vencida"&amp;" · ","")&amp;IF(AND(ObsObligatoria="Sí",ISNUMBER($AN18),$AN18&lt;FechaRef,IF($V18="Sub",N($X18),N($M18))&lt;1,$Q18=""),"Vencida sin observación"&amp;" · ",""))="","✔ OK","⚠ "&amp;LEFT(IF($C18="","Falta el nombre de la actividad"&amp;" · ","")&amp;IF(AND($V18="Sub",N($U18)=0),"Subactividad sin macroactividad arriba"&amp;" · ","")&amp;IF($AM18="","Sin fecha de inicio"&amp;" · ","")&amp;IF($AN18="","Sin fecha límite"&amp;" · ","")&amp;IF(AND(LEFT($C18,11)="[Jefatura] ",N($AL18)=0),"No se encuentra en la hoja de la jefatura (elíjala de nuevo en la lista)"&amp;" · ","")&amp;IF(OR(AND($E18&lt;&gt;"",NOT(ISNUMBER($E18))),AND($F18&lt;&gt;"",NOT(ISNUMBER($F18))),AND($G18&lt;&gt;"",NOT(ISNUMBER($G18)))),"Fecha no válida"&amp;" · ","")&amp;IF(AND(ISNUMBER($AM18),ISNUMBER($AN18),$AM18&gt;$AN18),"Inicio posterior a fecha límite"&amp;" · ","")&amp;IF(AND($V18="Macro",$H18&lt;&gt;"",OR(NOT(ISNUMBER($H18)),$H18&lt;0,$H18&gt;1)),"Peso fuera de rango"&amp;" · ","")&amp;IF(AND($V18="Sub",$H18&lt;&gt;""),"Las subactividades no llevan peso (valen igual dentro de su macroactividad)"&amp;" · ","")&amp;IF(AND(N($W18)&gt;0,COUNT($I18:$L18)&gt;0),"Con subactividades: deje vacías las semanas (se calculan solas)"&amp;" · ","")&amp;IF((COUNTIF($I18:$L18,"&gt;1")+COUNTIF($I18:$L18,"&lt;0")+COUNTA($I18:$L18)-COUNT($I18:$L18))&gt;0,"Avance fuera de rango 0-100%"&amp;" · ","")&amp;IF(OR(AND($J18&lt;&gt;"",$J18&lt;$I18),AND($K18&lt;&gt;"",$K18&lt;MAX($I18:$J18)),AND($L18&lt;&gt;"",$L18&lt;MAX($I18:$K18))),"Avance semanal decreciente"&amp;" · ","")&amp;IF(AND(ISNUMBER($AN18),$AN18&lt;FechaRef,IF($V18="Sub",N($X18),N($M18))&lt;1),"Vencida"&amp;" · ","")&amp;IF(AND(ObsObligatoria="Sí",ISNUMBER($AN18),$AN18&lt;FechaRef,IF($V18="Sub",N($X18),N($M18))&lt;1,$Q18=""),"Vencida sin observación"&amp;" · ",""),LEN(IF($C18="","Falta el nombre de la actividad"&amp;" · ","")&amp;IF(AND($V18="Sub",N($U18)=0),"Subactividad sin macroactividad arriba"&amp;" · ","")&amp;IF($AM18="","Sin fecha de inicio"&amp;" · ","")&amp;IF($AN18="","Sin fecha límite"&amp;" · ","")&amp;IF(AND(LEFT($C18,11)="[Jefatura] ",N($AL18)=0),"No se encuentra en la hoja de la jefatura (elíjala de nuevo en la lista)"&amp;" · ","")&amp;IF(OR(AND($E18&lt;&gt;"",NOT(ISNUMBER($E18))),AND($F18&lt;&gt;"",NOT(ISNUMBER($F18))),AND($G18&lt;&gt;"",NOT(ISNUMBER($G18)))),"Fecha no válida"&amp;" · ","")&amp;IF(AND(ISNUMBER($AM18),ISNUMBER($AN18),$AM18&gt;$AN18),"Inicio posterior a fecha límite"&amp;" · ","")&amp;IF(AND($V18="Macro",$H18&lt;&gt;"",OR(NOT(ISNUMBER($H18)),$H18&lt;0,$H18&gt;1)),"Peso fuera de rango"&amp;" · ","")&amp;IF(AND($V18="Sub",$H18&lt;&gt;""),"Las subactividades no llevan peso (valen igual dentro de su macroactividad)"&amp;" · ","")&amp;IF(AND(N($W18)&gt;0,COUNT($I18:$L18)&gt;0),"Con subactividades: deje vacías las semanas (se calculan solas)"&amp;" · ","")&amp;IF((COUNTIF($I18:$L18,"&gt;1")+COUNTIF($I18:$L18,"&lt;0")+COUNTA($I18:$L18)-COUNT($I18:$L18))&gt;0,"Avance fuera de rango 0-100%"&amp;" · ","")&amp;IF(OR(AND($J18&lt;&gt;"",$J18&lt;$I18),AND($K18&lt;&gt;"",$K18&lt;MAX($I18:$J18)),AND($L18&lt;&gt;"",$L18&lt;MAX($I18:$K18))),"Avance semanal decreciente"&amp;" · ","")&amp;IF(AND(ISNUMBER($AN18),$AN18&lt;FechaRef,IF($V18="Sub",N($X18),N($M18))&lt;1),"Vencida"&amp;" · ","")&amp;IF(AND(ObsObligatoria="Sí",ISNUMBER($AN18),$AN18&lt;FechaRef,IF($V18="Sub",N($X18),N($M18))&lt;1,$Q18=""),"Vencida sin observación"&amp;" · ",""))-3)))</f>
        <v/>
      </c>
      <c r="S18" s="64">
        <f>IF(NOT((COUNTA($B18:$D18)+COUNTA($G18:$L18)+COUNTA($Q18))&gt;0),"",IF(AND($V18="Sub",N($U18)&gt;0),IF(ISNUMBER(INDEX($AM$5:$AM$1000,$U18-4)),DATE(YEAR(INDEX($AM$5:$AM$1000,$U18-4)),MONTH(INDEX($AM$5:$AM$1000,$U18-4)),1),IF(ISNUMBER(INDEX($AN$5:$AN$1000,$U18-4)),DATE(YEAR(INDEX($AN$5:$AN$1000,$U18-4)),MONTH(INDEX($AN$5:$AN$1000,$U18-4)),1),MesCiclo)),IF(ISNUMBER($AM18),DATE(YEAR($AM18),MONTH($AM18),1),IF(ISNUMBER($AN18),DATE(YEAR($AN18),MONTH($AN18),1),MesCiclo))))</f>
        <v/>
      </c>
      <c r="T18" s="62">
        <f>IF(OR($S18="",$S18&lt;&gt;MesCiclo,$V18&lt;&gt;"Macro"),"",COUNTIFS($S$5:$S18,MesCiclo,$V$5:$V18,"Macro"))</f>
        <v/>
      </c>
      <c r="U18" s="62">
        <f>IF($V18="","",IF($V18="Macro",ROW(),IFERROR(LOOKUP(2,1/($V$5:$V18="Macro"),ROW($V$5:$V18)),0)))</f>
        <v/>
      </c>
      <c r="V18" s="62">
        <f>IF(NOT((COUNTA($B18:$D18)+COUNTA($G18:$L18)+COUNTA($Q18))&gt;0),"",IF($B18="Subactividad","Sub","Macro"))</f>
        <v/>
      </c>
      <c r="W18" s="62">
        <f>IF($V18="Macro",COUNTIFS($U$5:$U$1000,ROW(),$V$5:$V$1000,"Sub"),"")</f>
        <v/>
      </c>
      <c r="X18" s="62">
        <f>IF($V18="","",IF(ISNUMBER($G18),1,IFERROR(LOOKUP(2,1/($I18:$L18&lt;&gt;""),$I18:$L18),0)))</f>
        <v/>
      </c>
      <c r="Y18" s="62">
        <f>IF($V18="","",IF(AND(ISNUMBER($G18),$G18&lt;=IF($S18=MesCiclo,InicioCiclo,$S18+MOD(2-WEEKDAY($S18),7))+6),1,IF(ISNUMBER($I18),$I18,0)))</f>
        <v/>
      </c>
      <c r="Z18" s="62">
        <f>IF($V18="","",IF(AND(ISNUMBER($G18),$G18&lt;=IF($S18=MesCiclo,InicioCiclo,$S18+MOD(2-WEEKDAY($S18),7))+13),1,IF(ISNUMBER($J18),$J18,$Y18)))</f>
        <v/>
      </c>
      <c r="AA18" s="62">
        <f>IF($V18="","",IF(AND(ISNUMBER($G18),$G18&lt;=IF($S18=MesCiclo,InicioCiclo,$S18+MOD(2-WEEKDAY($S18),7))+20),1,IF(ISNUMBER($K18),$K18,$Z18)))</f>
        <v/>
      </c>
      <c r="AB18" s="62">
        <f>IF($V18="","",IF(AND(ISNUMBER($G18),$G18&lt;=IF($S18=MesCiclo,InicioCiclo,$S18+MOD(2-WEEKDAY($S18),7))+27),1,IF(ISNUMBER($L18),$L18,$AA18)))</f>
        <v/>
      </c>
      <c r="AC18" s="62">
        <f>IF($V18="","",IF(AND(ISNUMBER($G18),$G18&lt;=IF($S18=MesCiclo,InicioCiclo,$S18+MOD(2-WEEKDAY($S18),7))+6),1,IF(N($W18)&gt;0,AVERAGEIFS($Y$5:$Y$1000,$U$5:$U$1000,ROW(),$V$5:$V$1000,"Sub"),$Y18)))</f>
        <v/>
      </c>
      <c r="AD18" s="62">
        <f>IF($V18="","",IF(AND(ISNUMBER($G18),$G18&lt;=IF($S18=MesCiclo,InicioCiclo,$S18+MOD(2-WEEKDAY($S18),7))+13),1,IF(N($W18)&gt;0,AVERAGEIFS($Z$5:$Z$1000,$U$5:$U$1000,ROW(),$V$5:$V$1000,"Sub"),$Z18)))</f>
        <v/>
      </c>
      <c r="AE18" s="62">
        <f>IF($V18="","",IF(AND(ISNUMBER($G18),$G18&lt;=IF($S18=MesCiclo,InicioCiclo,$S18+MOD(2-WEEKDAY($S18),7))+20),1,IF(N($W18)&gt;0,AVERAGEIFS($AA$5:$AA$1000,$U$5:$U$1000,ROW(),$V$5:$V$1000,"Sub"),$AA18)))</f>
        <v/>
      </c>
      <c r="AF18" s="62">
        <f>IF($V18="","",IF(AND(ISNUMBER($G18),$G18&lt;=IF($S18=MesCiclo,InicioCiclo,$S18+MOD(2-WEEKDAY($S18),7))+27),1,IF(N($W18)&gt;0,AVERAGEIFS($AB$5:$AB$1000,$U$5:$U$1000,ROW(),$V$5:$V$1000,"Sub"),$AB18)))</f>
        <v/>
      </c>
      <c r="AG18" s="62">
        <f>IF($V18&lt;&gt;"Macro","",IF(COUNTIFS($S$5:$S$1000,$S18,$V$5:$V$1000,"Macro",$H$5:$H$1000,"&gt;0")=0,1/COUNTIFS($S$5:$S$1000,$S18,$V$5:$V$1000,"Macro"),IF(AND(ISNUMBER($H18),N($H18)&gt;0),$H18,SUMIFS($H$5:$H$1000,$S$5:$S$1000,$S18,$V$5:$V$1000,"Macro")/COUNTIFS($S$5:$S$1000,$S18,$V$5:$V$1000,"Macro",$H$5:$H$1000,"&gt;0"))/(COUNTIFS($S$5:$S$1000,$S18,$V$5:$V$1000,"Macro")*SUMIFS($H$5:$H$1000,$S$5:$S$1000,$S18,$V$5:$V$1000,"Macro")/COUNTIFS($S$5:$S$1000,$S18,$V$5:$V$1000,"Macro",$H$5:$H$1000,"&gt;0"))))</f>
        <v/>
      </c>
      <c r="AH18" s="62">
        <f>IF(NOT(AND($D18&lt;&gt;"",$V18="Macro")),"",IFERROR(CHOOSE(MATCH($D18,ListaPuestos,0),MATCH("[Jefatura] "&amp;$C18,'Cronograma R. Operacional'!$C$5:$C$1000,0),MATCH("[Jefatura] "&amp;$C18,'Cronograma R. Normativo'!$C$5:$C$1000,0),MATCH("[Jefatura] "&amp;$C18,'Cronograma R. Financiero'!$C$5:$C$1000,0),MATCH("[Jefatura] "&amp;$C18,'Cronograma Asistente Técnico'!$C$5:$C$1000,0)),0))</f>
        <v/>
      </c>
      <c r="AI18" s="62">
        <f>IF(AND(AND($D18&lt;&gt;"",$V18="Macro"),$S18=MesCiclo),COUNTIFS($D$5:$D18,$D18,$S$5:$S18,MesCiclo,$V$5:$V18,"Macro"),"")</f>
        <v/>
      </c>
      <c r="AJ18" s="62">
        <f>IF($AI18="","",$D18&amp;"|"&amp;$AI18)</f>
        <v/>
      </c>
      <c r="AK18" s="62">
        <f>IF(AND($D18&lt;&gt;"",$V18="Macro"),$D18&amp;"|"&amp;$C18,"")</f>
        <v/>
      </c>
      <c r="AL18" s="62">
        <f>""</f>
        <v/>
      </c>
      <c r="AM18" s="62">
        <f>IF(N($AL18)&gt;0,INDEX(rIni_ADM,$AL18),IF(ISNUMBER($E18),$E18,""))</f>
        <v/>
      </c>
      <c r="AN18" s="62">
        <f>IF(N($AL18)&gt;0,INDEX(rLim_ADM,$AL18),IF(ISNUMBER($F18),$F18,""))</f>
        <v/>
      </c>
    </row>
    <row r="19">
      <c r="A19" s="56">
        <f>IF(NOT((COUNTA($B19:$D19)+COUNTA($G19:$L19)+COUNTA($Q19))&gt;0),"",IF($V19="Macro",COUNTIFS($V$5:$V19,"Macro",$S$5:$S19,$S19),IF(N($U19)=0,"?",COUNTIFS(INDEX($V$5:$V$1000,1):INDEX($V$5:$V$1000,$U19-4),"Macro",INDEX($S$5:$S$1000,1):INDEX($S$5:$S$1000,$U19-4),INDEX($S$5:$S$1000,$U19-4))&amp;"."&amp;COUNTIFS($U$5:$U19,$U19,$V$5:$V19,"Sub"))))</f>
        <v/>
      </c>
      <c r="B19" s="57" t="n"/>
      <c r="C19" s="58" t="n"/>
      <c r="D19" s="58" t="n"/>
      <c r="E19" s="59" t="n"/>
      <c r="F19" s="59" t="n"/>
      <c r="G19" s="59" t="n"/>
      <c r="H19" s="60" t="n"/>
      <c r="I19" s="60" t="n"/>
      <c r="J19" s="60" t="n"/>
      <c r="K19" s="60" t="n"/>
      <c r="L19" s="60" t="n"/>
      <c r="M19" s="61">
        <f>IF(NOT((COUNTA($B19:$D19)+COUNTA($G19:$L19)+COUNTA($Q19))&gt;0),"",IF(AND($D19&lt;&gt;"",$V19="Macro"),IF(N($AH19)&gt;0,N(CHOOSE(MATCH($D19,ListaPuestos,0),INDEX('Cronograma R. Operacional'!$M$5:$M$1000,$AH19),INDEX('Cronograma R. Normativo'!$M$5:$M$1000,$AH19),INDEX('Cronograma R. Financiero'!$M$5:$M$1000,$AH19),INDEX('Cronograma Asistente Técnico'!$M$5:$M$1000,$AH19))),0),IF(ISNUMBER($G19),1,IF(N($W19)&gt;0,AVERAGEIFS($X$5:$X$1000,$U$5:$U$1000,ROW(),$V$5:$V$1000,"Sub"),$X19))))</f>
        <v/>
      </c>
      <c r="N19" s="56">
        <f>IF(OR($M19="",$V19="Sub"),"",IF($M19&gt;=1,"Completado",IF($M19&gt;0,"En curso","Pendiente")))</f>
        <v/>
      </c>
      <c r="O19" s="56">
        <f>IF(NOT((COUNTA($B19:$D19)+COUNTA($G19:$L19)+COUNTA($Q19))&gt;0),"",IF(AND(AND($D19&lt;&gt;"",$V19="Macro"),N($AH19)&gt;0),CHOOSE(MATCH($D19,ListaPuestos,0),INDEX('Cronograma R. Operacional'!$O$5:$O$1000,$AH19),INDEX('Cronograma R. Normativo'!$O$5:$O$1000,$AH19),INDEX('Cronograma R. Financiero'!$O$5:$O$1000,$AH19),INDEX('Cronograma Asistente Técnico'!$O$5:$O$1000,$AH19))&amp;"",IF(ISNUMBER($G19),IF(AND(ISNUMBER($AN19),$G19&gt;$AN19),"Cumplida con "&amp;($G19-$AN19)&amp;IF($G19-$AN19=1," día"," días")&amp;" de retraso","Cumplida"),IF(N($M19)&gt;=1,"Cumplida",IF(NOT(ISNUMBER($AN19)),"Sin fecha límite",IF($AN19&lt;FechaRef,"Vencida hace "&amp;(FechaRef-$AN19)&amp;IF(FechaRef-$AN19=1," día"," días"),IF($AN19=FechaRef,"Vence hoy",IF($AN19-FechaRef&lt;=DiasAlerta,"Vence en "&amp;($AN19-FechaRef)&amp;IF($AN19-FechaRef=1," día"," días"),"En plazo"))))))))</f>
        <v/>
      </c>
      <c r="P19" s="62">
        <f>IF(NOT((COUNTA($B19:$D19)+COUNTA($G19:$L19)+COUNTA($Q19))&gt;0),"",IF($D19="","Propia",IF($V19&lt;&gt;"Macro","Solo se delegan macroactividades",IF(N($AH19)&gt;0,"✔ Recibida por "&amp;$D19,"⚠ "&amp;$D19&amp;" aún no la agrega"))))</f>
        <v/>
      </c>
      <c r="Q19" s="58" t="n"/>
      <c r="R19" s="63">
        <f>IF(NOT((COUNTA($B19:$D19)+COUNTA($G19:$L19)+COUNTA($Q19))&gt;0),"",IF((IF($C19="","Falta el nombre de la actividad"&amp;" · ","")&amp;IF(AND($V19="Sub",N($U19)=0),"Subactividad sin macroactividad arriba"&amp;" · ","")&amp;IF($AM19="","Sin fecha de inicio"&amp;" · ","")&amp;IF($AN19="","Sin fecha límite"&amp;" · ","")&amp;IF(AND(LEFT($C19,11)="[Jefatura] ",N($AL19)=0),"No se encuentra en la hoja de la jefatura (elíjala de nuevo en la lista)"&amp;" · ","")&amp;IF(OR(AND($E19&lt;&gt;"",NOT(ISNUMBER($E19))),AND($F19&lt;&gt;"",NOT(ISNUMBER($F19))),AND($G19&lt;&gt;"",NOT(ISNUMBER($G19)))),"Fecha no válida"&amp;" · ","")&amp;IF(AND(ISNUMBER($AM19),ISNUMBER($AN19),$AM19&gt;$AN19),"Inicio posterior a fecha límite"&amp;" · ","")&amp;IF(AND($V19="Macro",$H19&lt;&gt;"",OR(NOT(ISNUMBER($H19)),$H19&lt;0,$H19&gt;1)),"Peso fuera de rango"&amp;" · ","")&amp;IF(AND($V19="Sub",$H19&lt;&gt;""),"Las subactividades no llevan peso (valen igual dentro de su macroactividad)"&amp;" · ","")&amp;IF(AND(N($W19)&gt;0,COUNT($I19:$L19)&gt;0),"Con subactividades: deje vacías las semanas (se calculan solas)"&amp;" · ","")&amp;IF((COUNTIF($I19:$L19,"&gt;1")+COUNTIF($I19:$L19,"&lt;0")+COUNTA($I19:$L19)-COUNT($I19:$L19))&gt;0,"Avance fuera de rango 0-100%"&amp;" · ","")&amp;IF(OR(AND($J19&lt;&gt;"",$J19&lt;$I19),AND($K19&lt;&gt;"",$K19&lt;MAX($I19:$J19)),AND($L19&lt;&gt;"",$L19&lt;MAX($I19:$K19))),"Avance semanal decreciente"&amp;" · ","")&amp;IF(AND(ISNUMBER($AN19),$AN19&lt;FechaRef,IF($V19="Sub",N($X19),N($M19))&lt;1),"Vencida"&amp;" · ","")&amp;IF(AND(ObsObligatoria="Sí",ISNUMBER($AN19),$AN19&lt;FechaRef,IF($V19="Sub",N($X19),N($M19))&lt;1,$Q19=""),"Vencida sin observación"&amp;" · ",""))="","✔ OK","⚠ "&amp;LEFT(IF($C19="","Falta el nombre de la actividad"&amp;" · ","")&amp;IF(AND($V19="Sub",N($U19)=0),"Subactividad sin macroactividad arriba"&amp;" · ","")&amp;IF($AM19="","Sin fecha de inicio"&amp;" · ","")&amp;IF($AN19="","Sin fecha límite"&amp;" · ","")&amp;IF(AND(LEFT($C19,11)="[Jefatura] ",N($AL19)=0),"No se encuentra en la hoja de la jefatura (elíjala de nuevo en la lista)"&amp;" · ","")&amp;IF(OR(AND($E19&lt;&gt;"",NOT(ISNUMBER($E19))),AND($F19&lt;&gt;"",NOT(ISNUMBER($F19))),AND($G19&lt;&gt;"",NOT(ISNUMBER($G19)))),"Fecha no válida"&amp;" · ","")&amp;IF(AND(ISNUMBER($AM19),ISNUMBER($AN19),$AM19&gt;$AN19),"Inicio posterior a fecha límite"&amp;" · ","")&amp;IF(AND($V19="Macro",$H19&lt;&gt;"",OR(NOT(ISNUMBER($H19)),$H19&lt;0,$H19&gt;1)),"Peso fuera de rango"&amp;" · ","")&amp;IF(AND($V19="Sub",$H19&lt;&gt;""),"Las subactividades no llevan peso (valen igual dentro de su macroactividad)"&amp;" · ","")&amp;IF(AND(N($W19)&gt;0,COUNT($I19:$L19)&gt;0),"Con subactividades: deje vacías las semanas (se calculan solas)"&amp;" · ","")&amp;IF((COUNTIF($I19:$L19,"&gt;1")+COUNTIF($I19:$L19,"&lt;0")+COUNTA($I19:$L19)-COUNT($I19:$L19))&gt;0,"Avance fuera de rango 0-100%"&amp;" · ","")&amp;IF(OR(AND($J19&lt;&gt;"",$J19&lt;$I19),AND($K19&lt;&gt;"",$K19&lt;MAX($I19:$J19)),AND($L19&lt;&gt;"",$L19&lt;MAX($I19:$K19))),"Avance semanal decreciente"&amp;" · ","")&amp;IF(AND(ISNUMBER($AN19),$AN19&lt;FechaRef,IF($V19="Sub",N($X19),N($M19))&lt;1),"Vencida"&amp;" · ","")&amp;IF(AND(ObsObligatoria="Sí",ISNUMBER($AN19),$AN19&lt;FechaRef,IF($V19="Sub",N($X19),N($M19))&lt;1,$Q19=""),"Vencida sin observación"&amp;" · ",""),LEN(IF($C19="","Falta el nombre de la actividad"&amp;" · ","")&amp;IF(AND($V19="Sub",N($U19)=0),"Subactividad sin macroactividad arriba"&amp;" · ","")&amp;IF($AM19="","Sin fecha de inicio"&amp;" · ","")&amp;IF($AN19="","Sin fecha límite"&amp;" · ","")&amp;IF(AND(LEFT($C19,11)="[Jefatura] ",N($AL19)=0),"No se encuentra en la hoja de la jefatura (elíjala de nuevo en la lista)"&amp;" · ","")&amp;IF(OR(AND($E19&lt;&gt;"",NOT(ISNUMBER($E19))),AND($F19&lt;&gt;"",NOT(ISNUMBER($F19))),AND($G19&lt;&gt;"",NOT(ISNUMBER($G19)))),"Fecha no válida"&amp;" · ","")&amp;IF(AND(ISNUMBER($AM19),ISNUMBER($AN19),$AM19&gt;$AN19),"Inicio posterior a fecha límite"&amp;" · ","")&amp;IF(AND($V19="Macro",$H19&lt;&gt;"",OR(NOT(ISNUMBER($H19)),$H19&lt;0,$H19&gt;1)),"Peso fuera de rango"&amp;" · ","")&amp;IF(AND($V19="Sub",$H19&lt;&gt;""),"Las subactividades no llevan peso (valen igual dentro de su macroactividad)"&amp;" · ","")&amp;IF(AND(N($W19)&gt;0,COUNT($I19:$L19)&gt;0),"Con subactividades: deje vacías las semanas (se calculan solas)"&amp;" · ","")&amp;IF((COUNTIF($I19:$L19,"&gt;1")+COUNTIF($I19:$L19,"&lt;0")+COUNTA($I19:$L19)-COUNT($I19:$L19))&gt;0,"Avance fuera de rango 0-100%"&amp;" · ","")&amp;IF(OR(AND($J19&lt;&gt;"",$J19&lt;$I19),AND($K19&lt;&gt;"",$K19&lt;MAX($I19:$J19)),AND($L19&lt;&gt;"",$L19&lt;MAX($I19:$K19))),"Avance semanal decreciente"&amp;" · ","")&amp;IF(AND(ISNUMBER($AN19),$AN19&lt;FechaRef,IF($V19="Sub",N($X19),N($M19))&lt;1),"Vencida"&amp;" · ","")&amp;IF(AND(ObsObligatoria="Sí",ISNUMBER($AN19),$AN19&lt;FechaRef,IF($V19="Sub",N($X19),N($M19))&lt;1,$Q19=""),"Vencida sin observación"&amp;" · ",""))-3)))</f>
        <v/>
      </c>
      <c r="S19" s="64">
        <f>IF(NOT((COUNTA($B19:$D19)+COUNTA($G19:$L19)+COUNTA($Q19))&gt;0),"",IF(AND($V19="Sub",N($U19)&gt;0),IF(ISNUMBER(INDEX($AM$5:$AM$1000,$U19-4)),DATE(YEAR(INDEX($AM$5:$AM$1000,$U19-4)),MONTH(INDEX($AM$5:$AM$1000,$U19-4)),1),IF(ISNUMBER(INDEX($AN$5:$AN$1000,$U19-4)),DATE(YEAR(INDEX($AN$5:$AN$1000,$U19-4)),MONTH(INDEX($AN$5:$AN$1000,$U19-4)),1),MesCiclo)),IF(ISNUMBER($AM19),DATE(YEAR($AM19),MONTH($AM19),1),IF(ISNUMBER($AN19),DATE(YEAR($AN19),MONTH($AN19),1),MesCiclo))))</f>
        <v/>
      </c>
      <c r="T19" s="62">
        <f>IF(OR($S19="",$S19&lt;&gt;MesCiclo,$V19&lt;&gt;"Macro"),"",COUNTIFS($S$5:$S19,MesCiclo,$V$5:$V19,"Macro"))</f>
        <v/>
      </c>
      <c r="U19" s="62">
        <f>IF($V19="","",IF($V19="Macro",ROW(),IFERROR(LOOKUP(2,1/($V$5:$V19="Macro"),ROW($V$5:$V19)),0)))</f>
        <v/>
      </c>
      <c r="V19" s="62">
        <f>IF(NOT((COUNTA($B19:$D19)+COUNTA($G19:$L19)+COUNTA($Q19))&gt;0),"",IF($B19="Subactividad","Sub","Macro"))</f>
        <v/>
      </c>
      <c r="W19" s="62">
        <f>IF($V19="Macro",COUNTIFS($U$5:$U$1000,ROW(),$V$5:$V$1000,"Sub"),"")</f>
        <v/>
      </c>
      <c r="X19" s="62">
        <f>IF($V19="","",IF(ISNUMBER($G19),1,IFERROR(LOOKUP(2,1/($I19:$L19&lt;&gt;""),$I19:$L19),0)))</f>
        <v/>
      </c>
      <c r="Y19" s="62">
        <f>IF($V19="","",IF(AND(ISNUMBER($G19),$G19&lt;=IF($S19=MesCiclo,InicioCiclo,$S19+MOD(2-WEEKDAY($S19),7))+6),1,IF(ISNUMBER($I19),$I19,0)))</f>
        <v/>
      </c>
      <c r="Z19" s="62">
        <f>IF($V19="","",IF(AND(ISNUMBER($G19),$G19&lt;=IF($S19=MesCiclo,InicioCiclo,$S19+MOD(2-WEEKDAY($S19),7))+13),1,IF(ISNUMBER($J19),$J19,$Y19)))</f>
        <v/>
      </c>
      <c r="AA19" s="62">
        <f>IF($V19="","",IF(AND(ISNUMBER($G19),$G19&lt;=IF($S19=MesCiclo,InicioCiclo,$S19+MOD(2-WEEKDAY($S19),7))+20),1,IF(ISNUMBER($K19),$K19,$Z19)))</f>
        <v/>
      </c>
      <c r="AB19" s="62">
        <f>IF($V19="","",IF(AND(ISNUMBER($G19),$G19&lt;=IF($S19=MesCiclo,InicioCiclo,$S19+MOD(2-WEEKDAY($S19),7))+27),1,IF(ISNUMBER($L19),$L19,$AA19)))</f>
        <v/>
      </c>
      <c r="AC19" s="62">
        <f>IF($V19="","",IF(AND(ISNUMBER($G19),$G19&lt;=IF($S19=MesCiclo,InicioCiclo,$S19+MOD(2-WEEKDAY($S19),7))+6),1,IF(N($W19)&gt;0,AVERAGEIFS($Y$5:$Y$1000,$U$5:$U$1000,ROW(),$V$5:$V$1000,"Sub"),$Y19)))</f>
        <v/>
      </c>
      <c r="AD19" s="62">
        <f>IF($V19="","",IF(AND(ISNUMBER($G19),$G19&lt;=IF($S19=MesCiclo,InicioCiclo,$S19+MOD(2-WEEKDAY($S19),7))+13),1,IF(N($W19)&gt;0,AVERAGEIFS($Z$5:$Z$1000,$U$5:$U$1000,ROW(),$V$5:$V$1000,"Sub"),$Z19)))</f>
        <v/>
      </c>
      <c r="AE19" s="62">
        <f>IF($V19="","",IF(AND(ISNUMBER($G19),$G19&lt;=IF($S19=MesCiclo,InicioCiclo,$S19+MOD(2-WEEKDAY($S19),7))+20),1,IF(N($W19)&gt;0,AVERAGEIFS($AA$5:$AA$1000,$U$5:$U$1000,ROW(),$V$5:$V$1000,"Sub"),$AA19)))</f>
        <v/>
      </c>
      <c r="AF19" s="62">
        <f>IF($V19="","",IF(AND(ISNUMBER($G19),$G19&lt;=IF($S19=MesCiclo,InicioCiclo,$S19+MOD(2-WEEKDAY($S19),7))+27),1,IF(N($W19)&gt;0,AVERAGEIFS($AB$5:$AB$1000,$U$5:$U$1000,ROW(),$V$5:$V$1000,"Sub"),$AB19)))</f>
        <v/>
      </c>
      <c r="AG19" s="62">
        <f>IF($V19&lt;&gt;"Macro","",IF(COUNTIFS($S$5:$S$1000,$S19,$V$5:$V$1000,"Macro",$H$5:$H$1000,"&gt;0")=0,1/COUNTIFS($S$5:$S$1000,$S19,$V$5:$V$1000,"Macro"),IF(AND(ISNUMBER($H19),N($H19)&gt;0),$H19,SUMIFS($H$5:$H$1000,$S$5:$S$1000,$S19,$V$5:$V$1000,"Macro")/COUNTIFS($S$5:$S$1000,$S19,$V$5:$V$1000,"Macro",$H$5:$H$1000,"&gt;0"))/(COUNTIFS($S$5:$S$1000,$S19,$V$5:$V$1000,"Macro")*SUMIFS($H$5:$H$1000,$S$5:$S$1000,$S19,$V$5:$V$1000,"Macro")/COUNTIFS($S$5:$S$1000,$S19,$V$5:$V$1000,"Macro",$H$5:$H$1000,"&gt;0"))))</f>
        <v/>
      </c>
      <c r="AH19" s="62">
        <f>IF(NOT(AND($D19&lt;&gt;"",$V19="Macro")),"",IFERROR(CHOOSE(MATCH($D19,ListaPuestos,0),MATCH("[Jefatura] "&amp;$C19,'Cronograma R. Operacional'!$C$5:$C$1000,0),MATCH("[Jefatura] "&amp;$C19,'Cronograma R. Normativo'!$C$5:$C$1000,0),MATCH("[Jefatura] "&amp;$C19,'Cronograma R. Financiero'!$C$5:$C$1000,0),MATCH("[Jefatura] "&amp;$C19,'Cronograma Asistente Técnico'!$C$5:$C$1000,0)),0))</f>
        <v/>
      </c>
      <c r="AI19" s="62">
        <f>IF(AND(AND($D19&lt;&gt;"",$V19="Macro"),$S19=MesCiclo),COUNTIFS($D$5:$D19,$D19,$S$5:$S19,MesCiclo,$V$5:$V19,"Macro"),"")</f>
        <v/>
      </c>
      <c r="AJ19" s="62">
        <f>IF($AI19="","",$D19&amp;"|"&amp;$AI19)</f>
        <v/>
      </c>
      <c r="AK19" s="62">
        <f>IF(AND($D19&lt;&gt;"",$V19="Macro"),$D19&amp;"|"&amp;$C19,"")</f>
        <v/>
      </c>
      <c r="AL19" s="62">
        <f>""</f>
        <v/>
      </c>
      <c r="AM19" s="62">
        <f>IF(N($AL19)&gt;0,INDEX(rIni_ADM,$AL19),IF(ISNUMBER($E19),$E19,""))</f>
        <v/>
      </c>
      <c r="AN19" s="62">
        <f>IF(N($AL19)&gt;0,INDEX(rLim_ADM,$AL19),IF(ISNUMBER($F19),$F19,""))</f>
        <v/>
      </c>
    </row>
    <row r="20">
      <c r="A20" s="56">
        <f>IF(NOT((COUNTA($B20:$D20)+COUNTA($G20:$L20)+COUNTA($Q20))&gt;0),"",IF($V20="Macro",COUNTIFS($V$5:$V20,"Macro",$S$5:$S20,$S20),IF(N($U20)=0,"?",COUNTIFS(INDEX($V$5:$V$1000,1):INDEX($V$5:$V$1000,$U20-4),"Macro",INDEX($S$5:$S$1000,1):INDEX($S$5:$S$1000,$U20-4),INDEX($S$5:$S$1000,$U20-4))&amp;"."&amp;COUNTIFS($U$5:$U20,$U20,$V$5:$V20,"Sub"))))</f>
        <v/>
      </c>
      <c r="B20" s="57" t="n"/>
      <c r="C20" s="58" t="n"/>
      <c r="D20" s="58" t="n"/>
      <c r="E20" s="59" t="n"/>
      <c r="F20" s="59" t="n"/>
      <c r="G20" s="59" t="n"/>
      <c r="H20" s="60" t="n"/>
      <c r="I20" s="60" t="n"/>
      <c r="J20" s="60" t="n"/>
      <c r="K20" s="60" t="n"/>
      <c r="L20" s="60" t="n"/>
      <c r="M20" s="61">
        <f>IF(NOT((COUNTA($B20:$D20)+COUNTA($G20:$L20)+COUNTA($Q20))&gt;0),"",IF(AND($D20&lt;&gt;"",$V20="Macro"),IF(N($AH20)&gt;0,N(CHOOSE(MATCH($D20,ListaPuestos,0),INDEX('Cronograma R. Operacional'!$M$5:$M$1000,$AH20),INDEX('Cronograma R. Normativo'!$M$5:$M$1000,$AH20),INDEX('Cronograma R. Financiero'!$M$5:$M$1000,$AH20),INDEX('Cronograma Asistente Técnico'!$M$5:$M$1000,$AH20))),0),IF(ISNUMBER($G20),1,IF(N($W20)&gt;0,AVERAGEIFS($X$5:$X$1000,$U$5:$U$1000,ROW(),$V$5:$V$1000,"Sub"),$X20))))</f>
        <v/>
      </c>
      <c r="N20" s="56">
        <f>IF(OR($M20="",$V20="Sub"),"",IF($M20&gt;=1,"Completado",IF($M20&gt;0,"En curso","Pendiente")))</f>
        <v/>
      </c>
      <c r="O20" s="56">
        <f>IF(NOT((COUNTA($B20:$D20)+COUNTA($G20:$L20)+COUNTA($Q20))&gt;0),"",IF(AND(AND($D20&lt;&gt;"",$V20="Macro"),N($AH20)&gt;0),CHOOSE(MATCH($D20,ListaPuestos,0),INDEX('Cronograma R. Operacional'!$O$5:$O$1000,$AH20),INDEX('Cronograma R. Normativo'!$O$5:$O$1000,$AH20),INDEX('Cronograma R. Financiero'!$O$5:$O$1000,$AH20),INDEX('Cronograma Asistente Técnico'!$O$5:$O$1000,$AH20))&amp;"",IF(ISNUMBER($G20),IF(AND(ISNUMBER($AN20),$G20&gt;$AN20),"Cumplida con "&amp;($G20-$AN20)&amp;IF($G20-$AN20=1," día"," días")&amp;" de retraso","Cumplida"),IF(N($M20)&gt;=1,"Cumplida",IF(NOT(ISNUMBER($AN20)),"Sin fecha límite",IF($AN20&lt;FechaRef,"Vencida hace "&amp;(FechaRef-$AN20)&amp;IF(FechaRef-$AN20=1," día"," días"),IF($AN20=FechaRef,"Vence hoy",IF($AN20-FechaRef&lt;=DiasAlerta,"Vence en "&amp;($AN20-FechaRef)&amp;IF($AN20-FechaRef=1," día"," días"),"En plazo"))))))))</f>
        <v/>
      </c>
      <c r="P20" s="62">
        <f>IF(NOT((COUNTA($B20:$D20)+COUNTA($G20:$L20)+COUNTA($Q20))&gt;0),"",IF($D20="","Propia",IF($V20&lt;&gt;"Macro","Solo se delegan macroactividades",IF(N($AH20)&gt;0,"✔ Recibida por "&amp;$D20,"⚠ "&amp;$D20&amp;" aún no la agrega"))))</f>
        <v/>
      </c>
      <c r="Q20" s="58" t="n"/>
      <c r="R20" s="63">
        <f>IF(NOT((COUNTA($B20:$D20)+COUNTA($G20:$L20)+COUNTA($Q20))&gt;0),"",IF((IF($C20="","Falta el nombre de la actividad"&amp;" · ","")&amp;IF(AND($V20="Sub",N($U20)=0),"Subactividad sin macroactividad arriba"&amp;" · ","")&amp;IF($AM20="","Sin fecha de inicio"&amp;" · ","")&amp;IF($AN20="","Sin fecha límite"&amp;" · ","")&amp;IF(AND(LEFT($C20,11)="[Jefatura] ",N($AL20)=0),"No se encuentra en la hoja de la jefatura (elíjala de nuevo en la lista)"&amp;" · ","")&amp;IF(OR(AND($E20&lt;&gt;"",NOT(ISNUMBER($E20))),AND($F20&lt;&gt;"",NOT(ISNUMBER($F20))),AND($G20&lt;&gt;"",NOT(ISNUMBER($G20)))),"Fecha no válida"&amp;" · ","")&amp;IF(AND(ISNUMBER($AM20),ISNUMBER($AN20),$AM20&gt;$AN20),"Inicio posterior a fecha límite"&amp;" · ","")&amp;IF(AND($V20="Macro",$H20&lt;&gt;"",OR(NOT(ISNUMBER($H20)),$H20&lt;0,$H20&gt;1)),"Peso fuera de rango"&amp;" · ","")&amp;IF(AND($V20="Sub",$H20&lt;&gt;""),"Las subactividades no llevan peso (valen igual dentro de su macroactividad)"&amp;" · ","")&amp;IF(AND(N($W20)&gt;0,COUNT($I20:$L20)&gt;0),"Con subactividades: deje vacías las semanas (se calculan solas)"&amp;" · ","")&amp;IF((COUNTIF($I20:$L20,"&gt;1")+COUNTIF($I20:$L20,"&lt;0")+COUNTA($I20:$L20)-COUNT($I20:$L20))&gt;0,"Avance fuera de rango 0-100%"&amp;" · ","")&amp;IF(OR(AND($J20&lt;&gt;"",$J20&lt;$I20),AND($K20&lt;&gt;"",$K20&lt;MAX($I20:$J20)),AND($L20&lt;&gt;"",$L20&lt;MAX($I20:$K20))),"Avance semanal decreciente"&amp;" · ","")&amp;IF(AND(ISNUMBER($AN20),$AN20&lt;FechaRef,IF($V20="Sub",N($X20),N($M20))&lt;1),"Vencida"&amp;" · ","")&amp;IF(AND(ObsObligatoria="Sí",ISNUMBER($AN20),$AN20&lt;FechaRef,IF($V20="Sub",N($X20),N($M20))&lt;1,$Q20=""),"Vencida sin observación"&amp;" · ",""))="","✔ OK","⚠ "&amp;LEFT(IF($C20="","Falta el nombre de la actividad"&amp;" · ","")&amp;IF(AND($V20="Sub",N($U20)=0),"Subactividad sin macroactividad arriba"&amp;" · ","")&amp;IF($AM20="","Sin fecha de inicio"&amp;" · ","")&amp;IF($AN20="","Sin fecha límite"&amp;" · ","")&amp;IF(AND(LEFT($C20,11)="[Jefatura] ",N($AL20)=0),"No se encuentra en la hoja de la jefatura (elíjala de nuevo en la lista)"&amp;" · ","")&amp;IF(OR(AND($E20&lt;&gt;"",NOT(ISNUMBER($E20))),AND($F20&lt;&gt;"",NOT(ISNUMBER($F20))),AND($G20&lt;&gt;"",NOT(ISNUMBER($G20)))),"Fecha no válida"&amp;" · ","")&amp;IF(AND(ISNUMBER($AM20),ISNUMBER($AN20),$AM20&gt;$AN20),"Inicio posterior a fecha límite"&amp;" · ","")&amp;IF(AND($V20="Macro",$H20&lt;&gt;"",OR(NOT(ISNUMBER($H20)),$H20&lt;0,$H20&gt;1)),"Peso fuera de rango"&amp;" · ","")&amp;IF(AND($V20="Sub",$H20&lt;&gt;""),"Las subactividades no llevan peso (valen igual dentro de su macroactividad)"&amp;" · ","")&amp;IF(AND(N($W20)&gt;0,COUNT($I20:$L20)&gt;0),"Con subactividades: deje vacías las semanas (se calculan solas)"&amp;" · ","")&amp;IF((COUNTIF($I20:$L20,"&gt;1")+COUNTIF($I20:$L20,"&lt;0")+COUNTA($I20:$L20)-COUNT($I20:$L20))&gt;0,"Avance fuera de rango 0-100%"&amp;" · ","")&amp;IF(OR(AND($J20&lt;&gt;"",$J20&lt;$I20),AND($K20&lt;&gt;"",$K20&lt;MAX($I20:$J20)),AND($L20&lt;&gt;"",$L20&lt;MAX($I20:$K20))),"Avance semanal decreciente"&amp;" · ","")&amp;IF(AND(ISNUMBER($AN20),$AN20&lt;FechaRef,IF($V20="Sub",N($X20),N($M20))&lt;1),"Vencida"&amp;" · ","")&amp;IF(AND(ObsObligatoria="Sí",ISNUMBER($AN20),$AN20&lt;FechaRef,IF($V20="Sub",N($X20),N($M20))&lt;1,$Q20=""),"Vencida sin observación"&amp;" · ",""),LEN(IF($C20="","Falta el nombre de la actividad"&amp;" · ","")&amp;IF(AND($V20="Sub",N($U20)=0),"Subactividad sin macroactividad arriba"&amp;" · ","")&amp;IF($AM20="","Sin fecha de inicio"&amp;" · ","")&amp;IF($AN20="","Sin fecha límite"&amp;" · ","")&amp;IF(AND(LEFT($C20,11)="[Jefatura] ",N($AL20)=0),"No se encuentra en la hoja de la jefatura (elíjala de nuevo en la lista)"&amp;" · ","")&amp;IF(OR(AND($E20&lt;&gt;"",NOT(ISNUMBER($E20))),AND($F20&lt;&gt;"",NOT(ISNUMBER($F20))),AND($G20&lt;&gt;"",NOT(ISNUMBER($G20)))),"Fecha no válida"&amp;" · ","")&amp;IF(AND(ISNUMBER($AM20),ISNUMBER($AN20),$AM20&gt;$AN20),"Inicio posterior a fecha límite"&amp;" · ","")&amp;IF(AND($V20="Macro",$H20&lt;&gt;"",OR(NOT(ISNUMBER($H20)),$H20&lt;0,$H20&gt;1)),"Peso fuera de rango"&amp;" · ","")&amp;IF(AND($V20="Sub",$H20&lt;&gt;""),"Las subactividades no llevan peso (valen igual dentro de su macroactividad)"&amp;" · ","")&amp;IF(AND(N($W20)&gt;0,COUNT($I20:$L20)&gt;0),"Con subactividades: deje vacías las semanas (se calculan solas)"&amp;" · ","")&amp;IF((COUNTIF($I20:$L20,"&gt;1")+COUNTIF($I20:$L20,"&lt;0")+COUNTA($I20:$L20)-COUNT($I20:$L20))&gt;0,"Avance fuera de rango 0-100%"&amp;" · ","")&amp;IF(OR(AND($J20&lt;&gt;"",$J20&lt;$I20),AND($K20&lt;&gt;"",$K20&lt;MAX($I20:$J20)),AND($L20&lt;&gt;"",$L20&lt;MAX($I20:$K20))),"Avance semanal decreciente"&amp;" · ","")&amp;IF(AND(ISNUMBER($AN20),$AN20&lt;FechaRef,IF($V20="Sub",N($X20),N($M20))&lt;1),"Vencida"&amp;" · ","")&amp;IF(AND(ObsObligatoria="Sí",ISNUMBER($AN20),$AN20&lt;FechaRef,IF($V20="Sub",N($X20),N($M20))&lt;1,$Q20=""),"Vencida sin observación"&amp;" · ",""))-3)))</f>
        <v/>
      </c>
      <c r="S20" s="64">
        <f>IF(NOT((COUNTA($B20:$D20)+COUNTA($G20:$L20)+COUNTA($Q20))&gt;0),"",IF(AND($V20="Sub",N($U20)&gt;0),IF(ISNUMBER(INDEX($AM$5:$AM$1000,$U20-4)),DATE(YEAR(INDEX($AM$5:$AM$1000,$U20-4)),MONTH(INDEX($AM$5:$AM$1000,$U20-4)),1),IF(ISNUMBER(INDEX($AN$5:$AN$1000,$U20-4)),DATE(YEAR(INDEX($AN$5:$AN$1000,$U20-4)),MONTH(INDEX($AN$5:$AN$1000,$U20-4)),1),MesCiclo)),IF(ISNUMBER($AM20),DATE(YEAR($AM20),MONTH($AM20),1),IF(ISNUMBER($AN20),DATE(YEAR($AN20),MONTH($AN20),1),MesCiclo))))</f>
        <v/>
      </c>
      <c r="T20" s="62">
        <f>IF(OR($S20="",$S20&lt;&gt;MesCiclo,$V20&lt;&gt;"Macro"),"",COUNTIFS($S$5:$S20,MesCiclo,$V$5:$V20,"Macro"))</f>
        <v/>
      </c>
      <c r="U20" s="62">
        <f>IF($V20="","",IF($V20="Macro",ROW(),IFERROR(LOOKUP(2,1/($V$5:$V20="Macro"),ROW($V$5:$V20)),0)))</f>
        <v/>
      </c>
      <c r="V20" s="62">
        <f>IF(NOT((COUNTA($B20:$D20)+COUNTA($G20:$L20)+COUNTA($Q20))&gt;0),"",IF($B20="Subactividad","Sub","Macro"))</f>
        <v/>
      </c>
      <c r="W20" s="62">
        <f>IF($V20="Macro",COUNTIFS($U$5:$U$1000,ROW(),$V$5:$V$1000,"Sub"),"")</f>
        <v/>
      </c>
      <c r="X20" s="62">
        <f>IF($V20="","",IF(ISNUMBER($G20),1,IFERROR(LOOKUP(2,1/($I20:$L20&lt;&gt;""),$I20:$L20),0)))</f>
        <v/>
      </c>
      <c r="Y20" s="62">
        <f>IF($V20="","",IF(AND(ISNUMBER($G20),$G20&lt;=IF($S20=MesCiclo,InicioCiclo,$S20+MOD(2-WEEKDAY($S20),7))+6),1,IF(ISNUMBER($I20),$I20,0)))</f>
        <v/>
      </c>
      <c r="Z20" s="62">
        <f>IF($V20="","",IF(AND(ISNUMBER($G20),$G20&lt;=IF($S20=MesCiclo,InicioCiclo,$S20+MOD(2-WEEKDAY($S20),7))+13),1,IF(ISNUMBER($J20),$J20,$Y20)))</f>
        <v/>
      </c>
      <c r="AA20" s="62">
        <f>IF($V20="","",IF(AND(ISNUMBER($G20),$G20&lt;=IF($S20=MesCiclo,InicioCiclo,$S20+MOD(2-WEEKDAY($S20),7))+20),1,IF(ISNUMBER($K20),$K20,$Z20)))</f>
        <v/>
      </c>
      <c r="AB20" s="62">
        <f>IF($V20="","",IF(AND(ISNUMBER($G20),$G20&lt;=IF($S20=MesCiclo,InicioCiclo,$S20+MOD(2-WEEKDAY($S20),7))+27),1,IF(ISNUMBER($L20),$L20,$AA20)))</f>
        <v/>
      </c>
      <c r="AC20" s="62">
        <f>IF($V20="","",IF(AND(ISNUMBER($G20),$G20&lt;=IF($S20=MesCiclo,InicioCiclo,$S20+MOD(2-WEEKDAY($S20),7))+6),1,IF(N($W20)&gt;0,AVERAGEIFS($Y$5:$Y$1000,$U$5:$U$1000,ROW(),$V$5:$V$1000,"Sub"),$Y20)))</f>
        <v/>
      </c>
      <c r="AD20" s="62">
        <f>IF($V20="","",IF(AND(ISNUMBER($G20),$G20&lt;=IF($S20=MesCiclo,InicioCiclo,$S20+MOD(2-WEEKDAY($S20),7))+13),1,IF(N($W20)&gt;0,AVERAGEIFS($Z$5:$Z$1000,$U$5:$U$1000,ROW(),$V$5:$V$1000,"Sub"),$Z20)))</f>
        <v/>
      </c>
      <c r="AE20" s="62">
        <f>IF($V20="","",IF(AND(ISNUMBER($G20),$G20&lt;=IF($S20=MesCiclo,InicioCiclo,$S20+MOD(2-WEEKDAY($S20),7))+20),1,IF(N($W20)&gt;0,AVERAGEIFS($AA$5:$AA$1000,$U$5:$U$1000,ROW(),$V$5:$V$1000,"Sub"),$AA20)))</f>
        <v/>
      </c>
      <c r="AF20" s="62">
        <f>IF($V20="","",IF(AND(ISNUMBER($G20),$G20&lt;=IF($S20=MesCiclo,InicioCiclo,$S20+MOD(2-WEEKDAY($S20),7))+27),1,IF(N($W20)&gt;0,AVERAGEIFS($AB$5:$AB$1000,$U$5:$U$1000,ROW(),$V$5:$V$1000,"Sub"),$AB20)))</f>
        <v/>
      </c>
      <c r="AG20" s="62">
        <f>IF($V20&lt;&gt;"Macro","",IF(COUNTIFS($S$5:$S$1000,$S20,$V$5:$V$1000,"Macro",$H$5:$H$1000,"&gt;0")=0,1/COUNTIFS($S$5:$S$1000,$S20,$V$5:$V$1000,"Macro"),IF(AND(ISNUMBER($H20),N($H20)&gt;0),$H20,SUMIFS($H$5:$H$1000,$S$5:$S$1000,$S20,$V$5:$V$1000,"Macro")/COUNTIFS($S$5:$S$1000,$S20,$V$5:$V$1000,"Macro",$H$5:$H$1000,"&gt;0"))/(COUNTIFS($S$5:$S$1000,$S20,$V$5:$V$1000,"Macro")*SUMIFS($H$5:$H$1000,$S$5:$S$1000,$S20,$V$5:$V$1000,"Macro")/COUNTIFS($S$5:$S$1000,$S20,$V$5:$V$1000,"Macro",$H$5:$H$1000,"&gt;0"))))</f>
        <v/>
      </c>
      <c r="AH20" s="62">
        <f>IF(NOT(AND($D20&lt;&gt;"",$V20="Macro")),"",IFERROR(CHOOSE(MATCH($D20,ListaPuestos,0),MATCH("[Jefatura] "&amp;$C20,'Cronograma R. Operacional'!$C$5:$C$1000,0),MATCH("[Jefatura] "&amp;$C20,'Cronograma R. Normativo'!$C$5:$C$1000,0),MATCH("[Jefatura] "&amp;$C20,'Cronograma R. Financiero'!$C$5:$C$1000,0),MATCH("[Jefatura] "&amp;$C20,'Cronograma Asistente Técnico'!$C$5:$C$1000,0)),0))</f>
        <v/>
      </c>
      <c r="AI20" s="62">
        <f>IF(AND(AND($D20&lt;&gt;"",$V20="Macro"),$S20=MesCiclo),COUNTIFS($D$5:$D20,$D20,$S$5:$S20,MesCiclo,$V$5:$V20,"Macro"),"")</f>
        <v/>
      </c>
      <c r="AJ20" s="62">
        <f>IF($AI20="","",$D20&amp;"|"&amp;$AI20)</f>
        <v/>
      </c>
      <c r="AK20" s="62">
        <f>IF(AND($D20&lt;&gt;"",$V20="Macro"),$D20&amp;"|"&amp;$C20,"")</f>
        <v/>
      </c>
      <c r="AL20" s="62">
        <f>""</f>
        <v/>
      </c>
      <c r="AM20" s="62">
        <f>IF(N($AL20)&gt;0,INDEX(rIni_ADM,$AL20),IF(ISNUMBER($E20),$E20,""))</f>
        <v/>
      </c>
      <c r="AN20" s="62">
        <f>IF(N($AL20)&gt;0,INDEX(rLim_ADM,$AL20),IF(ISNUMBER($F20),$F20,""))</f>
        <v/>
      </c>
    </row>
    <row r="21">
      <c r="A21" s="56">
        <f>IF(NOT((COUNTA($B21:$D21)+COUNTA($G21:$L21)+COUNTA($Q21))&gt;0),"",IF($V21="Macro",COUNTIFS($V$5:$V21,"Macro",$S$5:$S21,$S21),IF(N($U21)=0,"?",COUNTIFS(INDEX($V$5:$V$1000,1):INDEX($V$5:$V$1000,$U21-4),"Macro",INDEX($S$5:$S$1000,1):INDEX($S$5:$S$1000,$U21-4),INDEX($S$5:$S$1000,$U21-4))&amp;"."&amp;COUNTIFS($U$5:$U21,$U21,$V$5:$V21,"Sub"))))</f>
        <v/>
      </c>
      <c r="B21" s="57" t="n"/>
      <c r="C21" s="58" t="n"/>
      <c r="D21" s="58" t="n"/>
      <c r="E21" s="59" t="n"/>
      <c r="F21" s="59" t="n"/>
      <c r="G21" s="59" t="n"/>
      <c r="H21" s="60" t="n"/>
      <c r="I21" s="60" t="n"/>
      <c r="J21" s="60" t="n"/>
      <c r="K21" s="60" t="n"/>
      <c r="L21" s="60" t="n"/>
      <c r="M21" s="61">
        <f>IF(NOT((COUNTA($B21:$D21)+COUNTA($G21:$L21)+COUNTA($Q21))&gt;0),"",IF(AND($D21&lt;&gt;"",$V21="Macro"),IF(N($AH21)&gt;0,N(CHOOSE(MATCH($D21,ListaPuestos,0),INDEX('Cronograma R. Operacional'!$M$5:$M$1000,$AH21),INDEX('Cronograma R. Normativo'!$M$5:$M$1000,$AH21),INDEX('Cronograma R. Financiero'!$M$5:$M$1000,$AH21),INDEX('Cronograma Asistente Técnico'!$M$5:$M$1000,$AH21))),0),IF(ISNUMBER($G21),1,IF(N($W21)&gt;0,AVERAGEIFS($X$5:$X$1000,$U$5:$U$1000,ROW(),$V$5:$V$1000,"Sub"),$X21))))</f>
        <v/>
      </c>
      <c r="N21" s="56">
        <f>IF(OR($M21="",$V21="Sub"),"",IF($M21&gt;=1,"Completado",IF($M21&gt;0,"En curso","Pendiente")))</f>
        <v/>
      </c>
      <c r="O21" s="56">
        <f>IF(NOT((COUNTA($B21:$D21)+COUNTA($G21:$L21)+COUNTA($Q21))&gt;0),"",IF(AND(AND($D21&lt;&gt;"",$V21="Macro"),N($AH21)&gt;0),CHOOSE(MATCH($D21,ListaPuestos,0),INDEX('Cronograma R. Operacional'!$O$5:$O$1000,$AH21),INDEX('Cronograma R. Normativo'!$O$5:$O$1000,$AH21),INDEX('Cronograma R. Financiero'!$O$5:$O$1000,$AH21),INDEX('Cronograma Asistente Técnico'!$O$5:$O$1000,$AH21))&amp;"",IF(ISNUMBER($G21),IF(AND(ISNUMBER($AN21),$G21&gt;$AN21),"Cumplida con "&amp;($G21-$AN21)&amp;IF($G21-$AN21=1," día"," días")&amp;" de retraso","Cumplida"),IF(N($M21)&gt;=1,"Cumplida",IF(NOT(ISNUMBER($AN21)),"Sin fecha límite",IF($AN21&lt;FechaRef,"Vencida hace "&amp;(FechaRef-$AN21)&amp;IF(FechaRef-$AN21=1," día"," días"),IF($AN21=FechaRef,"Vence hoy",IF($AN21-FechaRef&lt;=DiasAlerta,"Vence en "&amp;($AN21-FechaRef)&amp;IF($AN21-FechaRef=1," día"," días"),"En plazo"))))))))</f>
        <v/>
      </c>
      <c r="P21" s="62">
        <f>IF(NOT((COUNTA($B21:$D21)+COUNTA($G21:$L21)+COUNTA($Q21))&gt;0),"",IF($D21="","Propia",IF($V21&lt;&gt;"Macro","Solo se delegan macroactividades",IF(N($AH21)&gt;0,"✔ Recibida por "&amp;$D21,"⚠ "&amp;$D21&amp;" aún no la agrega"))))</f>
        <v/>
      </c>
      <c r="Q21" s="58" t="n"/>
      <c r="R21" s="63">
        <f>IF(NOT((COUNTA($B21:$D21)+COUNTA($G21:$L21)+COUNTA($Q21))&gt;0),"",IF((IF($C21="","Falta el nombre de la actividad"&amp;" · ","")&amp;IF(AND($V21="Sub",N($U21)=0),"Subactividad sin macroactividad arriba"&amp;" · ","")&amp;IF($AM21="","Sin fecha de inicio"&amp;" · ","")&amp;IF($AN21="","Sin fecha límite"&amp;" · ","")&amp;IF(AND(LEFT($C21,11)="[Jefatura] ",N($AL21)=0),"No se encuentra en la hoja de la jefatura (elíjala de nuevo en la lista)"&amp;" · ","")&amp;IF(OR(AND($E21&lt;&gt;"",NOT(ISNUMBER($E21))),AND($F21&lt;&gt;"",NOT(ISNUMBER($F21))),AND($G21&lt;&gt;"",NOT(ISNUMBER($G21)))),"Fecha no válida"&amp;" · ","")&amp;IF(AND(ISNUMBER($AM21),ISNUMBER($AN21),$AM21&gt;$AN21),"Inicio posterior a fecha límite"&amp;" · ","")&amp;IF(AND($V21="Macro",$H21&lt;&gt;"",OR(NOT(ISNUMBER($H21)),$H21&lt;0,$H21&gt;1)),"Peso fuera de rango"&amp;" · ","")&amp;IF(AND($V21="Sub",$H21&lt;&gt;""),"Las subactividades no llevan peso (valen igual dentro de su macroactividad)"&amp;" · ","")&amp;IF(AND(N($W21)&gt;0,COUNT($I21:$L21)&gt;0),"Con subactividades: deje vacías las semanas (se calculan solas)"&amp;" · ","")&amp;IF((COUNTIF($I21:$L21,"&gt;1")+COUNTIF($I21:$L21,"&lt;0")+COUNTA($I21:$L21)-COUNT($I21:$L21))&gt;0,"Avance fuera de rango 0-100%"&amp;" · ","")&amp;IF(OR(AND($J21&lt;&gt;"",$J21&lt;$I21),AND($K21&lt;&gt;"",$K21&lt;MAX($I21:$J21)),AND($L21&lt;&gt;"",$L21&lt;MAX($I21:$K21))),"Avance semanal decreciente"&amp;" · ","")&amp;IF(AND(ISNUMBER($AN21),$AN21&lt;FechaRef,IF($V21="Sub",N($X21),N($M21))&lt;1),"Vencida"&amp;" · ","")&amp;IF(AND(ObsObligatoria="Sí",ISNUMBER($AN21),$AN21&lt;FechaRef,IF($V21="Sub",N($X21),N($M21))&lt;1,$Q21=""),"Vencida sin observación"&amp;" · ",""))="","✔ OK","⚠ "&amp;LEFT(IF($C21="","Falta el nombre de la actividad"&amp;" · ","")&amp;IF(AND($V21="Sub",N($U21)=0),"Subactividad sin macroactividad arriba"&amp;" · ","")&amp;IF($AM21="","Sin fecha de inicio"&amp;" · ","")&amp;IF($AN21="","Sin fecha límite"&amp;" · ","")&amp;IF(AND(LEFT($C21,11)="[Jefatura] ",N($AL21)=0),"No se encuentra en la hoja de la jefatura (elíjala de nuevo en la lista)"&amp;" · ","")&amp;IF(OR(AND($E21&lt;&gt;"",NOT(ISNUMBER($E21))),AND($F21&lt;&gt;"",NOT(ISNUMBER($F21))),AND($G21&lt;&gt;"",NOT(ISNUMBER($G21)))),"Fecha no válida"&amp;" · ","")&amp;IF(AND(ISNUMBER($AM21),ISNUMBER($AN21),$AM21&gt;$AN21),"Inicio posterior a fecha límite"&amp;" · ","")&amp;IF(AND($V21="Macro",$H21&lt;&gt;"",OR(NOT(ISNUMBER($H21)),$H21&lt;0,$H21&gt;1)),"Peso fuera de rango"&amp;" · ","")&amp;IF(AND($V21="Sub",$H21&lt;&gt;""),"Las subactividades no llevan peso (valen igual dentro de su macroactividad)"&amp;" · ","")&amp;IF(AND(N($W21)&gt;0,COUNT($I21:$L21)&gt;0),"Con subactividades: deje vacías las semanas (se calculan solas)"&amp;" · ","")&amp;IF((COUNTIF($I21:$L21,"&gt;1")+COUNTIF($I21:$L21,"&lt;0")+COUNTA($I21:$L21)-COUNT($I21:$L21))&gt;0,"Avance fuera de rango 0-100%"&amp;" · ","")&amp;IF(OR(AND($J21&lt;&gt;"",$J21&lt;$I21),AND($K21&lt;&gt;"",$K21&lt;MAX($I21:$J21)),AND($L21&lt;&gt;"",$L21&lt;MAX($I21:$K21))),"Avance semanal decreciente"&amp;" · ","")&amp;IF(AND(ISNUMBER($AN21),$AN21&lt;FechaRef,IF($V21="Sub",N($X21),N($M21))&lt;1),"Vencida"&amp;" · ","")&amp;IF(AND(ObsObligatoria="Sí",ISNUMBER($AN21),$AN21&lt;FechaRef,IF($V21="Sub",N($X21),N($M21))&lt;1,$Q21=""),"Vencida sin observación"&amp;" · ",""),LEN(IF($C21="","Falta el nombre de la actividad"&amp;" · ","")&amp;IF(AND($V21="Sub",N($U21)=0),"Subactividad sin macroactividad arriba"&amp;" · ","")&amp;IF($AM21="","Sin fecha de inicio"&amp;" · ","")&amp;IF($AN21="","Sin fecha límite"&amp;" · ","")&amp;IF(AND(LEFT($C21,11)="[Jefatura] ",N($AL21)=0),"No se encuentra en la hoja de la jefatura (elíjala de nuevo en la lista)"&amp;" · ","")&amp;IF(OR(AND($E21&lt;&gt;"",NOT(ISNUMBER($E21))),AND($F21&lt;&gt;"",NOT(ISNUMBER($F21))),AND($G21&lt;&gt;"",NOT(ISNUMBER($G21)))),"Fecha no válida"&amp;" · ","")&amp;IF(AND(ISNUMBER($AM21),ISNUMBER($AN21),$AM21&gt;$AN21),"Inicio posterior a fecha límite"&amp;" · ","")&amp;IF(AND($V21="Macro",$H21&lt;&gt;"",OR(NOT(ISNUMBER($H21)),$H21&lt;0,$H21&gt;1)),"Peso fuera de rango"&amp;" · ","")&amp;IF(AND($V21="Sub",$H21&lt;&gt;""),"Las subactividades no llevan peso (valen igual dentro de su macroactividad)"&amp;" · ","")&amp;IF(AND(N($W21)&gt;0,COUNT($I21:$L21)&gt;0),"Con subactividades: deje vacías las semanas (se calculan solas)"&amp;" · ","")&amp;IF((COUNTIF($I21:$L21,"&gt;1")+COUNTIF($I21:$L21,"&lt;0")+COUNTA($I21:$L21)-COUNT($I21:$L21))&gt;0,"Avance fuera de rango 0-100%"&amp;" · ","")&amp;IF(OR(AND($J21&lt;&gt;"",$J21&lt;$I21),AND($K21&lt;&gt;"",$K21&lt;MAX($I21:$J21)),AND($L21&lt;&gt;"",$L21&lt;MAX($I21:$K21))),"Avance semanal decreciente"&amp;" · ","")&amp;IF(AND(ISNUMBER($AN21),$AN21&lt;FechaRef,IF($V21="Sub",N($X21),N($M21))&lt;1),"Vencida"&amp;" · ","")&amp;IF(AND(ObsObligatoria="Sí",ISNUMBER($AN21),$AN21&lt;FechaRef,IF($V21="Sub",N($X21),N($M21))&lt;1,$Q21=""),"Vencida sin observación"&amp;" · ",""))-3)))</f>
        <v/>
      </c>
      <c r="S21" s="64">
        <f>IF(NOT((COUNTA($B21:$D21)+COUNTA($G21:$L21)+COUNTA($Q21))&gt;0),"",IF(AND($V21="Sub",N($U21)&gt;0),IF(ISNUMBER(INDEX($AM$5:$AM$1000,$U21-4)),DATE(YEAR(INDEX($AM$5:$AM$1000,$U21-4)),MONTH(INDEX($AM$5:$AM$1000,$U21-4)),1),IF(ISNUMBER(INDEX($AN$5:$AN$1000,$U21-4)),DATE(YEAR(INDEX($AN$5:$AN$1000,$U21-4)),MONTH(INDEX($AN$5:$AN$1000,$U21-4)),1),MesCiclo)),IF(ISNUMBER($AM21),DATE(YEAR($AM21),MONTH($AM21),1),IF(ISNUMBER($AN21),DATE(YEAR($AN21),MONTH($AN21),1),MesCiclo))))</f>
        <v/>
      </c>
      <c r="T21" s="62">
        <f>IF(OR($S21="",$S21&lt;&gt;MesCiclo,$V21&lt;&gt;"Macro"),"",COUNTIFS($S$5:$S21,MesCiclo,$V$5:$V21,"Macro"))</f>
        <v/>
      </c>
      <c r="U21" s="62">
        <f>IF($V21="","",IF($V21="Macro",ROW(),IFERROR(LOOKUP(2,1/($V$5:$V21="Macro"),ROW($V$5:$V21)),0)))</f>
        <v/>
      </c>
      <c r="V21" s="62">
        <f>IF(NOT((COUNTA($B21:$D21)+COUNTA($G21:$L21)+COUNTA($Q21))&gt;0),"",IF($B21="Subactividad","Sub","Macro"))</f>
        <v/>
      </c>
      <c r="W21" s="62">
        <f>IF($V21="Macro",COUNTIFS($U$5:$U$1000,ROW(),$V$5:$V$1000,"Sub"),"")</f>
        <v/>
      </c>
      <c r="X21" s="62">
        <f>IF($V21="","",IF(ISNUMBER($G21),1,IFERROR(LOOKUP(2,1/($I21:$L21&lt;&gt;""),$I21:$L21),0)))</f>
        <v/>
      </c>
      <c r="Y21" s="62">
        <f>IF($V21="","",IF(AND(ISNUMBER($G21),$G21&lt;=IF($S21=MesCiclo,InicioCiclo,$S21+MOD(2-WEEKDAY($S21),7))+6),1,IF(ISNUMBER($I21),$I21,0)))</f>
        <v/>
      </c>
      <c r="Z21" s="62">
        <f>IF($V21="","",IF(AND(ISNUMBER($G21),$G21&lt;=IF($S21=MesCiclo,InicioCiclo,$S21+MOD(2-WEEKDAY($S21),7))+13),1,IF(ISNUMBER($J21),$J21,$Y21)))</f>
        <v/>
      </c>
      <c r="AA21" s="62">
        <f>IF($V21="","",IF(AND(ISNUMBER($G21),$G21&lt;=IF($S21=MesCiclo,InicioCiclo,$S21+MOD(2-WEEKDAY($S21),7))+20),1,IF(ISNUMBER($K21),$K21,$Z21)))</f>
        <v/>
      </c>
      <c r="AB21" s="62">
        <f>IF($V21="","",IF(AND(ISNUMBER($G21),$G21&lt;=IF($S21=MesCiclo,InicioCiclo,$S21+MOD(2-WEEKDAY($S21),7))+27),1,IF(ISNUMBER($L21),$L21,$AA21)))</f>
        <v/>
      </c>
      <c r="AC21" s="62">
        <f>IF($V21="","",IF(AND(ISNUMBER($G21),$G21&lt;=IF($S21=MesCiclo,InicioCiclo,$S21+MOD(2-WEEKDAY($S21),7))+6),1,IF(N($W21)&gt;0,AVERAGEIFS($Y$5:$Y$1000,$U$5:$U$1000,ROW(),$V$5:$V$1000,"Sub"),$Y21)))</f>
        <v/>
      </c>
      <c r="AD21" s="62">
        <f>IF($V21="","",IF(AND(ISNUMBER($G21),$G21&lt;=IF($S21=MesCiclo,InicioCiclo,$S21+MOD(2-WEEKDAY($S21),7))+13),1,IF(N($W21)&gt;0,AVERAGEIFS($Z$5:$Z$1000,$U$5:$U$1000,ROW(),$V$5:$V$1000,"Sub"),$Z21)))</f>
        <v/>
      </c>
      <c r="AE21" s="62">
        <f>IF($V21="","",IF(AND(ISNUMBER($G21),$G21&lt;=IF($S21=MesCiclo,InicioCiclo,$S21+MOD(2-WEEKDAY($S21),7))+20),1,IF(N($W21)&gt;0,AVERAGEIFS($AA$5:$AA$1000,$U$5:$U$1000,ROW(),$V$5:$V$1000,"Sub"),$AA21)))</f>
        <v/>
      </c>
      <c r="AF21" s="62">
        <f>IF($V21="","",IF(AND(ISNUMBER($G21),$G21&lt;=IF($S21=MesCiclo,InicioCiclo,$S21+MOD(2-WEEKDAY($S21),7))+27),1,IF(N($W21)&gt;0,AVERAGEIFS($AB$5:$AB$1000,$U$5:$U$1000,ROW(),$V$5:$V$1000,"Sub"),$AB21)))</f>
        <v/>
      </c>
      <c r="AG21" s="62">
        <f>IF($V21&lt;&gt;"Macro","",IF(COUNTIFS($S$5:$S$1000,$S21,$V$5:$V$1000,"Macro",$H$5:$H$1000,"&gt;0")=0,1/COUNTIFS($S$5:$S$1000,$S21,$V$5:$V$1000,"Macro"),IF(AND(ISNUMBER($H21),N($H21)&gt;0),$H21,SUMIFS($H$5:$H$1000,$S$5:$S$1000,$S21,$V$5:$V$1000,"Macro")/COUNTIFS($S$5:$S$1000,$S21,$V$5:$V$1000,"Macro",$H$5:$H$1000,"&gt;0"))/(COUNTIFS($S$5:$S$1000,$S21,$V$5:$V$1000,"Macro")*SUMIFS($H$5:$H$1000,$S$5:$S$1000,$S21,$V$5:$V$1000,"Macro")/COUNTIFS($S$5:$S$1000,$S21,$V$5:$V$1000,"Macro",$H$5:$H$1000,"&gt;0"))))</f>
        <v/>
      </c>
      <c r="AH21" s="62">
        <f>IF(NOT(AND($D21&lt;&gt;"",$V21="Macro")),"",IFERROR(CHOOSE(MATCH($D21,ListaPuestos,0),MATCH("[Jefatura] "&amp;$C21,'Cronograma R. Operacional'!$C$5:$C$1000,0),MATCH("[Jefatura] "&amp;$C21,'Cronograma R. Normativo'!$C$5:$C$1000,0),MATCH("[Jefatura] "&amp;$C21,'Cronograma R. Financiero'!$C$5:$C$1000,0),MATCH("[Jefatura] "&amp;$C21,'Cronograma Asistente Técnico'!$C$5:$C$1000,0)),0))</f>
        <v/>
      </c>
      <c r="AI21" s="62">
        <f>IF(AND(AND($D21&lt;&gt;"",$V21="Macro"),$S21=MesCiclo),COUNTIFS($D$5:$D21,$D21,$S$5:$S21,MesCiclo,$V$5:$V21,"Macro"),"")</f>
        <v/>
      </c>
      <c r="AJ21" s="62">
        <f>IF($AI21="","",$D21&amp;"|"&amp;$AI21)</f>
        <v/>
      </c>
      <c r="AK21" s="62">
        <f>IF(AND($D21&lt;&gt;"",$V21="Macro"),$D21&amp;"|"&amp;$C21,"")</f>
        <v/>
      </c>
      <c r="AL21" s="62">
        <f>""</f>
        <v/>
      </c>
      <c r="AM21" s="62">
        <f>IF(N($AL21)&gt;0,INDEX(rIni_ADM,$AL21),IF(ISNUMBER($E21),$E21,""))</f>
        <v/>
      </c>
      <c r="AN21" s="62">
        <f>IF(N($AL21)&gt;0,INDEX(rLim_ADM,$AL21),IF(ISNUMBER($F21),$F21,""))</f>
        <v/>
      </c>
    </row>
    <row r="22">
      <c r="A22" s="56">
        <f>IF(NOT((COUNTA($B22:$D22)+COUNTA($G22:$L22)+COUNTA($Q22))&gt;0),"",IF($V22="Macro",COUNTIFS($V$5:$V22,"Macro",$S$5:$S22,$S22),IF(N($U22)=0,"?",COUNTIFS(INDEX($V$5:$V$1000,1):INDEX($V$5:$V$1000,$U22-4),"Macro",INDEX($S$5:$S$1000,1):INDEX($S$5:$S$1000,$U22-4),INDEX($S$5:$S$1000,$U22-4))&amp;"."&amp;COUNTIFS($U$5:$U22,$U22,$V$5:$V22,"Sub"))))</f>
        <v/>
      </c>
      <c r="B22" s="57" t="n"/>
      <c r="C22" s="58" t="n"/>
      <c r="D22" s="58" t="n"/>
      <c r="E22" s="59" t="n"/>
      <c r="F22" s="59" t="n"/>
      <c r="G22" s="59" t="n"/>
      <c r="H22" s="60" t="n"/>
      <c r="I22" s="60" t="n"/>
      <c r="J22" s="60" t="n"/>
      <c r="K22" s="60" t="n"/>
      <c r="L22" s="60" t="n"/>
      <c r="M22" s="61">
        <f>IF(NOT((COUNTA($B22:$D22)+COUNTA($G22:$L22)+COUNTA($Q22))&gt;0),"",IF(AND($D22&lt;&gt;"",$V22="Macro"),IF(N($AH22)&gt;0,N(CHOOSE(MATCH($D22,ListaPuestos,0),INDEX('Cronograma R. Operacional'!$M$5:$M$1000,$AH22),INDEX('Cronograma R. Normativo'!$M$5:$M$1000,$AH22),INDEX('Cronograma R. Financiero'!$M$5:$M$1000,$AH22),INDEX('Cronograma Asistente Técnico'!$M$5:$M$1000,$AH22))),0),IF(ISNUMBER($G22),1,IF(N($W22)&gt;0,AVERAGEIFS($X$5:$X$1000,$U$5:$U$1000,ROW(),$V$5:$V$1000,"Sub"),$X22))))</f>
        <v/>
      </c>
      <c r="N22" s="56">
        <f>IF(OR($M22="",$V22="Sub"),"",IF($M22&gt;=1,"Completado",IF($M22&gt;0,"En curso","Pendiente")))</f>
        <v/>
      </c>
      <c r="O22" s="56">
        <f>IF(NOT((COUNTA($B22:$D22)+COUNTA($G22:$L22)+COUNTA($Q22))&gt;0),"",IF(AND(AND($D22&lt;&gt;"",$V22="Macro"),N($AH22)&gt;0),CHOOSE(MATCH($D22,ListaPuestos,0),INDEX('Cronograma R. Operacional'!$O$5:$O$1000,$AH22),INDEX('Cronograma R. Normativo'!$O$5:$O$1000,$AH22),INDEX('Cronograma R. Financiero'!$O$5:$O$1000,$AH22),INDEX('Cronograma Asistente Técnico'!$O$5:$O$1000,$AH22))&amp;"",IF(ISNUMBER($G22),IF(AND(ISNUMBER($AN22),$G22&gt;$AN22),"Cumplida con "&amp;($G22-$AN22)&amp;IF($G22-$AN22=1," día"," días")&amp;" de retraso","Cumplida"),IF(N($M22)&gt;=1,"Cumplida",IF(NOT(ISNUMBER($AN22)),"Sin fecha límite",IF($AN22&lt;FechaRef,"Vencida hace "&amp;(FechaRef-$AN22)&amp;IF(FechaRef-$AN22=1," día"," días"),IF($AN22=FechaRef,"Vence hoy",IF($AN22-FechaRef&lt;=DiasAlerta,"Vence en "&amp;($AN22-FechaRef)&amp;IF($AN22-FechaRef=1," día"," días"),"En plazo"))))))))</f>
        <v/>
      </c>
      <c r="P22" s="62">
        <f>IF(NOT((COUNTA($B22:$D22)+COUNTA($G22:$L22)+COUNTA($Q22))&gt;0),"",IF($D22="","Propia",IF($V22&lt;&gt;"Macro","Solo se delegan macroactividades",IF(N($AH22)&gt;0,"✔ Recibida por "&amp;$D22,"⚠ "&amp;$D22&amp;" aún no la agrega"))))</f>
        <v/>
      </c>
      <c r="Q22" s="58" t="n"/>
      <c r="R22" s="63">
        <f>IF(NOT((COUNTA($B22:$D22)+COUNTA($G22:$L22)+COUNTA($Q22))&gt;0),"",IF((IF($C22="","Falta el nombre de la actividad"&amp;" · ","")&amp;IF(AND($V22="Sub",N($U22)=0),"Subactividad sin macroactividad arriba"&amp;" · ","")&amp;IF($AM22="","Sin fecha de inicio"&amp;" · ","")&amp;IF($AN22="","Sin fecha límite"&amp;" · ","")&amp;IF(AND(LEFT($C22,11)="[Jefatura] ",N($AL22)=0),"No se encuentra en la hoja de la jefatura (elíjala de nuevo en la lista)"&amp;" · ","")&amp;IF(OR(AND($E22&lt;&gt;"",NOT(ISNUMBER($E22))),AND($F22&lt;&gt;"",NOT(ISNUMBER($F22))),AND($G22&lt;&gt;"",NOT(ISNUMBER($G22)))),"Fecha no válida"&amp;" · ","")&amp;IF(AND(ISNUMBER($AM22),ISNUMBER($AN22),$AM22&gt;$AN22),"Inicio posterior a fecha límite"&amp;" · ","")&amp;IF(AND($V22="Macro",$H22&lt;&gt;"",OR(NOT(ISNUMBER($H22)),$H22&lt;0,$H22&gt;1)),"Peso fuera de rango"&amp;" · ","")&amp;IF(AND($V22="Sub",$H22&lt;&gt;""),"Las subactividades no llevan peso (valen igual dentro de su macroactividad)"&amp;" · ","")&amp;IF(AND(N($W22)&gt;0,COUNT($I22:$L22)&gt;0),"Con subactividades: deje vacías las semanas (se calculan solas)"&amp;" · ","")&amp;IF((COUNTIF($I22:$L22,"&gt;1")+COUNTIF($I22:$L22,"&lt;0")+COUNTA($I22:$L22)-COUNT($I22:$L22))&gt;0,"Avance fuera de rango 0-100%"&amp;" · ","")&amp;IF(OR(AND($J22&lt;&gt;"",$J22&lt;$I22),AND($K22&lt;&gt;"",$K22&lt;MAX($I22:$J22)),AND($L22&lt;&gt;"",$L22&lt;MAX($I22:$K22))),"Avance semanal decreciente"&amp;" · ","")&amp;IF(AND(ISNUMBER($AN22),$AN22&lt;FechaRef,IF($V22="Sub",N($X22),N($M22))&lt;1),"Vencida"&amp;" · ","")&amp;IF(AND(ObsObligatoria="Sí",ISNUMBER($AN22),$AN22&lt;FechaRef,IF($V22="Sub",N($X22),N($M22))&lt;1,$Q22=""),"Vencida sin observación"&amp;" · ",""))="","✔ OK","⚠ "&amp;LEFT(IF($C22="","Falta el nombre de la actividad"&amp;" · ","")&amp;IF(AND($V22="Sub",N($U22)=0),"Subactividad sin macroactividad arriba"&amp;" · ","")&amp;IF($AM22="","Sin fecha de inicio"&amp;" · ","")&amp;IF($AN22="","Sin fecha límite"&amp;" · ","")&amp;IF(AND(LEFT($C22,11)="[Jefatura] ",N($AL22)=0),"No se encuentra en la hoja de la jefatura (elíjala de nuevo en la lista)"&amp;" · ","")&amp;IF(OR(AND($E22&lt;&gt;"",NOT(ISNUMBER($E22))),AND($F22&lt;&gt;"",NOT(ISNUMBER($F22))),AND($G22&lt;&gt;"",NOT(ISNUMBER($G22)))),"Fecha no válida"&amp;" · ","")&amp;IF(AND(ISNUMBER($AM22),ISNUMBER($AN22),$AM22&gt;$AN22),"Inicio posterior a fecha límite"&amp;" · ","")&amp;IF(AND($V22="Macro",$H22&lt;&gt;"",OR(NOT(ISNUMBER($H22)),$H22&lt;0,$H22&gt;1)),"Peso fuera de rango"&amp;" · ","")&amp;IF(AND($V22="Sub",$H22&lt;&gt;""),"Las subactividades no llevan peso (valen igual dentro de su macroactividad)"&amp;" · ","")&amp;IF(AND(N($W22)&gt;0,COUNT($I22:$L22)&gt;0),"Con subactividades: deje vacías las semanas (se calculan solas)"&amp;" · ","")&amp;IF((COUNTIF($I22:$L22,"&gt;1")+COUNTIF($I22:$L22,"&lt;0")+COUNTA($I22:$L22)-COUNT($I22:$L22))&gt;0,"Avance fuera de rango 0-100%"&amp;" · ","")&amp;IF(OR(AND($J22&lt;&gt;"",$J22&lt;$I22),AND($K22&lt;&gt;"",$K22&lt;MAX($I22:$J22)),AND($L22&lt;&gt;"",$L22&lt;MAX($I22:$K22))),"Avance semanal decreciente"&amp;" · ","")&amp;IF(AND(ISNUMBER($AN22),$AN22&lt;FechaRef,IF($V22="Sub",N($X22),N($M22))&lt;1),"Vencida"&amp;" · ","")&amp;IF(AND(ObsObligatoria="Sí",ISNUMBER($AN22),$AN22&lt;FechaRef,IF($V22="Sub",N($X22),N($M22))&lt;1,$Q22=""),"Vencida sin observación"&amp;" · ",""),LEN(IF($C22="","Falta el nombre de la actividad"&amp;" · ","")&amp;IF(AND($V22="Sub",N($U22)=0),"Subactividad sin macroactividad arriba"&amp;" · ","")&amp;IF($AM22="","Sin fecha de inicio"&amp;" · ","")&amp;IF($AN22="","Sin fecha límite"&amp;" · ","")&amp;IF(AND(LEFT($C22,11)="[Jefatura] ",N($AL22)=0),"No se encuentra en la hoja de la jefatura (elíjala de nuevo en la lista)"&amp;" · ","")&amp;IF(OR(AND($E22&lt;&gt;"",NOT(ISNUMBER($E22))),AND($F22&lt;&gt;"",NOT(ISNUMBER($F22))),AND($G22&lt;&gt;"",NOT(ISNUMBER($G22)))),"Fecha no válida"&amp;" · ","")&amp;IF(AND(ISNUMBER($AM22),ISNUMBER($AN22),$AM22&gt;$AN22),"Inicio posterior a fecha límite"&amp;" · ","")&amp;IF(AND($V22="Macro",$H22&lt;&gt;"",OR(NOT(ISNUMBER($H22)),$H22&lt;0,$H22&gt;1)),"Peso fuera de rango"&amp;" · ","")&amp;IF(AND($V22="Sub",$H22&lt;&gt;""),"Las subactividades no llevan peso (valen igual dentro de su macroactividad)"&amp;" · ","")&amp;IF(AND(N($W22)&gt;0,COUNT($I22:$L22)&gt;0),"Con subactividades: deje vacías las semanas (se calculan solas)"&amp;" · ","")&amp;IF((COUNTIF($I22:$L22,"&gt;1")+COUNTIF($I22:$L22,"&lt;0")+COUNTA($I22:$L22)-COUNT($I22:$L22))&gt;0,"Avance fuera de rango 0-100%"&amp;" · ","")&amp;IF(OR(AND($J22&lt;&gt;"",$J22&lt;$I22),AND($K22&lt;&gt;"",$K22&lt;MAX($I22:$J22)),AND($L22&lt;&gt;"",$L22&lt;MAX($I22:$K22))),"Avance semanal decreciente"&amp;" · ","")&amp;IF(AND(ISNUMBER($AN22),$AN22&lt;FechaRef,IF($V22="Sub",N($X22),N($M22))&lt;1),"Vencida"&amp;" · ","")&amp;IF(AND(ObsObligatoria="Sí",ISNUMBER($AN22),$AN22&lt;FechaRef,IF($V22="Sub",N($X22),N($M22))&lt;1,$Q22=""),"Vencida sin observación"&amp;" · ",""))-3)))</f>
        <v/>
      </c>
      <c r="S22" s="64">
        <f>IF(NOT((COUNTA($B22:$D22)+COUNTA($G22:$L22)+COUNTA($Q22))&gt;0),"",IF(AND($V22="Sub",N($U22)&gt;0),IF(ISNUMBER(INDEX($AM$5:$AM$1000,$U22-4)),DATE(YEAR(INDEX($AM$5:$AM$1000,$U22-4)),MONTH(INDEX($AM$5:$AM$1000,$U22-4)),1),IF(ISNUMBER(INDEX($AN$5:$AN$1000,$U22-4)),DATE(YEAR(INDEX($AN$5:$AN$1000,$U22-4)),MONTH(INDEX($AN$5:$AN$1000,$U22-4)),1),MesCiclo)),IF(ISNUMBER($AM22),DATE(YEAR($AM22),MONTH($AM22),1),IF(ISNUMBER($AN22),DATE(YEAR($AN22),MONTH($AN22),1),MesCiclo))))</f>
        <v/>
      </c>
      <c r="T22" s="62">
        <f>IF(OR($S22="",$S22&lt;&gt;MesCiclo,$V22&lt;&gt;"Macro"),"",COUNTIFS($S$5:$S22,MesCiclo,$V$5:$V22,"Macro"))</f>
        <v/>
      </c>
      <c r="U22" s="62">
        <f>IF($V22="","",IF($V22="Macro",ROW(),IFERROR(LOOKUP(2,1/($V$5:$V22="Macro"),ROW($V$5:$V22)),0)))</f>
        <v/>
      </c>
      <c r="V22" s="62">
        <f>IF(NOT((COUNTA($B22:$D22)+COUNTA($G22:$L22)+COUNTA($Q22))&gt;0),"",IF($B22="Subactividad","Sub","Macro"))</f>
        <v/>
      </c>
      <c r="W22" s="62">
        <f>IF($V22="Macro",COUNTIFS($U$5:$U$1000,ROW(),$V$5:$V$1000,"Sub"),"")</f>
        <v/>
      </c>
      <c r="X22" s="62">
        <f>IF($V22="","",IF(ISNUMBER($G22),1,IFERROR(LOOKUP(2,1/($I22:$L22&lt;&gt;""),$I22:$L22),0)))</f>
        <v/>
      </c>
      <c r="Y22" s="62">
        <f>IF($V22="","",IF(AND(ISNUMBER($G22),$G22&lt;=IF($S22=MesCiclo,InicioCiclo,$S22+MOD(2-WEEKDAY($S22),7))+6),1,IF(ISNUMBER($I22),$I22,0)))</f>
        <v/>
      </c>
      <c r="Z22" s="62">
        <f>IF($V22="","",IF(AND(ISNUMBER($G22),$G22&lt;=IF($S22=MesCiclo,InicioCiclo,$S22+MOD(2-WEEKDAY($S22),7))+13),1,IF(ISNUMBER($J22),$J22,$Y22)))</f>
        <v/>
      </c>
      <c r="AA22" s="62">
        <f>IF($V22="","",IF(AND(ISNUMBER($G22),$G22&lt;=IF($S22=MesCiclo,InicioCiclo,$S22+MOD(2-WEEKDAY($S22),7))+20),1,IF(ISNUMBER($K22),$K22,$Z22)))</f>
        <v/>
      </c>
      <c r="AB22" s="62">
        <f>IF($V22="","",IF(AND(ISNUMBER($G22),$G22&lt;=IF($S22=MesCiclo,InicioCiclo,$S22+MOD(2-WEEKDAY($S22),7))+27),1,IF(ISNUMBER($L22),$L22,$AA22)))</f>
        <v/>
      </c>
      <c r="AC22" s="62">
        <f>IF($V22="","",IF(AND(ISNUMBER($G22),$G22&lt;=IF($S22=MesCiclo,InicioCiclo,$S22+MOD(2-WEEKDAY($S22),7))+6),1,IF(N($W22)&gt;0,AVERAGEIFS($Y$5:$Y$1000,$U$5:$U$1000,ROW(),$V$5:$V$1000,"Sub"),$Y22)))</f>
        <v/>
      </c>
      <c r="AD22" s="62">
        <f>IF($V22="","",IF(AND(ISNUMBER($G22),$G22&lt;=IF($S22=MesCiclo,InicioCiclo,$S22+MOD(2-WEEKDAY($S22),7))+13),1,IF(N($W22)&gt;0,AVERAGEIFS($Z$5:$Z$1000,$U$5:$U$1000,ROW(),$V$5:$V$1000,"Sub"),$Z22)))</f>
        <v/>
      </c>
      <c r="AE22" s="62">
        <f>IF($V22="","",IF(AND(ISNUMBER($G22),$G22&lt;=IF($S22=MesCiclo,InicioCiclo,$S22+MOD(2-WEEKDAY($S22),7))+20),1,IF(N($W22)&gt;0,AVERAGEIFS($AA$5:$AA$1000,$U$5:$U$1000,ROW(),$V$5:$V$1000,"Sub"),$AA22)))</f>
        <v/>
      </c>
      <c r="AF22" s="62">
        <f>IF($V22="","",IF(AND(ISNUMBER($G22),$G22&lt;=IF($S22=MesCiclo,InicioCiclo,$S22+MOD(2-WEEKDAY($S22),7))+27),1,IF(N($W22)&gt;0,AVERAGEIFS($AB$5:$AB$1000,$U$5:$U$1000,ROW(),$V$5:$V$1000,"Sub"),$AB22)))</f>
        <v/>
      </c>
      <c r="AG22" s="62">
        <f>IF($V22&lt;&gt;"Macro","",IF(COUNTIFS($S$5:$S$1000,$S22,$V$5:$V$1000,"Macro",$H$5:$H$1000,"&gt;0")=0,1/COUNTIFS($S$5:$S$1000,$S22,$V$5:$V$1000,"Macro"),IF(AND(ISNUMBER($H22),N($H22)&gt;0),$H22,SUMIFS($H$5:$H$1000,$S$5:$S$1000,$S22,$V$5:$V$1000,"Macro")/COUNTIFS($S$5:$S$1000,$S22,$V$5:$V$1000,"Macro",$H$5:$H$1000,"&gt;0"))/(COUNTIFS($S$5:$S$1000,$S22,$V$5:$V$1000,"Macro")*SUMIFS($H$5:$H$1000,$S$5:$S$1000,$S22,$V$5:$V$1000,"Macro")/COUNTIFS($S$5:$S$1000,$S22,$V$5:$V$1000,"Macro",$H$5:$H$1000,"&gt;0"))))</f>
        <v/>
      </c>
      <c r="AH22" s="62">
        <f>IF(NOT(AND($D22&lt;&gt;"",$V22="Macro")),"",IFERROR(CHOOSE(MATCH($D22,ListaPuestos,0),MATCH("[Jefatura] "&amp;$C22,'Cronograma R. Operacional'!$C$5:$C$1000,0),MATCH("[Jefatura] "&amp;$C22,'Cronograma R. Normativo'!$C$5:$C$1000,0),MATCH("[Jefatura] "&amp;$C22,'Cronograma R. Financiero'!$C$5:$C$1000,0),MATCH("[Jefatura] "&amp;$C22,'Cronograma Asistente Técnico'!$C$5:$C$1000,0)),0))</f>
        <v/>
      </c>
      <c r="AI22" s="62">
        <f>IF(AND(AND($D22&lt;&gt;"",$V22="Macro"),$S22=MesCiclo),COUNTIFS($D$5:$D22,$D22,$S$5:$S22,MesCiclo,$V$5:$V22,"Macro"),"")</f>
        <v/>
      </c>
      <c r="AJ22" s="62">
        <f>IF($AI22="","",$D22&amp;"|"&amp;$AI22)</f>
        <v/>
      </c>
      <c r="AK22" s="62">
        <f>IF(AND($D22&lt;&gt;"",$V22="Macro"),$D22&amp;"|"&amp;$C22,"")</f>
        <v/>
      </c>
      <c r="AL22" s="62">
        <f>""</f>
        <v/>
      </c>
      <c r="AM22" s="62">
        <f>IF(N($AL22)&gt;0,INDEX(rIni_ADM,$AL22),IF(ISNUMBER($E22),$E22,""))</f>
        <v/>
      </c>
      <c r="AN22" s="62">
        <f>IF(N($AL22)&gt;0,INDEX(rLim_ADM,$AL22),IF(ISNUMBER($F22),$F22,""))</f>
        <v/>
      </c>
    </row>
    <row r="23">
      <c r="A23" s="56">
        <f>IF(NOT((COUNTA($B23:$D23)+COUNTA($G23:$L23)+COUNTA($Q23))&gt;0),"",IF($V23="Macro",COUNTIFS($V$5:$V23,"Macro",$S$5:$S23,$S23),IF(N($U23)=0,"?",COUNTIFS(INDEX($V$5:$V$1000,1):INDEX($V$5:$V$1000,$U23-4),"Macro",INDEX($S$5:$S$1000,1):INDEX($S$5:$S$1000,$U23-4),INDEX($S$5:$S$1000,$U23-4))&amp;"."&amp;COUNTIFS($U$5:$U23,$U23,$V$5:$V23,"Sub"))))</f>
        <v/>
      </c>
      <c r="B23" s="57" t="n"/>
      <c r="C23" s="58" t="n"/>
      <c r="D23" s="58" t="n"/>
      <c r="E23" s="59" t="n"/>
      <c r="F23" s="59" t="n"/>
      <c r="G23" s="59" t="n"/>
      <c r="H23" s="60" t="n"/>
      <c r="I23" s="60" t="n"/>
      <c r="J23" s="60" t="n"/>
      <c r="K23" s="60" t="n"/>
      <c r="L23" s="60" t="n"/>
      <c r="M23" s="61">
        <f>IF(NOT((COUNTA($B23:$D23)+COUNTA($G23:$L23)+COUNTA($Q23))&gt;0),"",IF(AND($D23&lt;&gt;"",$V23="Macro"),IF(N($AH23)&gt;0,N(CHOOSE(MATCH($D23,ListaPuestos,0),INDEX('Cronograma R. Operacional'!$M$5:$M$1000,$AH23),INDEX('Cronograma R. Normativo'!$M$5:$M$1000,$AH23),INDEX('Cronograma R. Financiero'!$M$5:$M$1000,$AH23),INDEX('Cronograma Asistente Técnico'!$M$5:$M$1000,$AH23))),0),IF(ISNUMBER($G23),1,IF(N($W23)&gt;0,AVERAGEIFS($X$5:$X$1000,$U$5:$U$1000,ROW(),$V$5:$V$1000,"Sub"),$X23))))</f>
        <v/>
      </c>
      <c r="N23" s="56">
        <f>IF(OR($M23="",$V23="Sub"),"",IF($M23&gt;=1,"Completado",IF($M23&gt;0,"En curso","Pendiente")))</f>
        <v/>
      </c>
      <c r="O23" s="56">
        <f>IF(NOT((COUNTA($B23:$D23)+COUNTA($G23:$L23)+COUNTA($Q23))&gt;0),"",IF(AND(AND($D23&lt;&gt;"",$V23="Macro"),N($AH23)&gt;0),CHOOSE(MATCH($D23,ListaPuestos,0),INDEX('Cronograma R. Operacional'!$O$5:$O$1000,$AH23),INDEX('Cronograma R. Normativo'!$O$5:$O$1000,$AH23),INDEX('Cronograma R. Financiero'!$O$5:$O$1000,$AH23),INDEX('Cronograma Asistente Técnico'!$O$5:$O$1000,$AH23))&amp;"",IF(ISNUMBER($G23),IF(AND(ISNUMBER($AN23),$G23&gt;$AN23),"Cumplida con "&amp;($G23-$AN23)&amp;IF($G23-$AN23=1," día"," días")&amp;" de retraso","Cumplida"),IF(N($M23)&gt;=1,"Cumplida",IF(NOT(ISNUMBER($AN23)),"Sin fecha límite",IF($AN23&lt;FechaRef,"Vencida hace "&amp;(FechaRef-$AN23)&amp;IF(FechaRef-$AN23=1," día"," días"),IF($AN23=FechaRef,"Vence hoy",IF($AN23-FechaRef&lt;=DiasAlerta,"Vence en "&amp;($AN23-FechaRef)&amp;IF($AN23-FechaRef=1," día"," días"),"En plazo"))))))))</f>
        <v/>
      </c>
      <c r="P23" s="62">
        <f>IF(NOT((COUNTA($B23:$D23)+COUNTA($G23:$L23)+COUNTA($Q23))&gt;0),"",IF($D23="","Propia",IF($V23&lt;&gt;"Macro","Solo se delegan macroactividades",IF(N($AH23)&gt;0,"✔ Recibida por "&amp;$D23,"⚠ "&amp;$D23&amp;" aún no la agrega"))))</f>
        <v/>
      </c>
      <c r="Q23" s="58" t="n"/>
      <c r="R23" s="63">
        <f>IF(NOT((COUNTA($B23:$D23)+COUNTA($G23:$L23)+COUNTA($Q23))&gt;0),"",IF((IF($C23="","Falta el nombre de la actividad"&amp;" · ","")&amp;IF(AND($V23="Sub",N($U23)=0),"Subactividad sin macroactividad arriba"&amp;" · ","")&amp;IF($AM23="","Sin fecha de inicio"&amp;" · ","")&amp;IF($AN23="","Sin fecha límite"&amp;" · ","")&amp;IF(AND(LEFT($C23,11)="[Jefatura] ",N($AL23)=0),"No se encuentra en la hoja de la jefatura (elíjala de nuevo en la lista)"&amp;" · ","")&amp;IF(OR(AND($E23&lt;&gt;"",NOT(ISNUMBER($E23))),AND($F23&lt;&gt;"",NOT(ISNUMBER($F23))),AND($G23&lt;&gt;"",NOT(ISNUMBER($G23)))),"Fecha no válida"&amp;" · ","")&amp;IF(AND(ISNUMBER($AM23),ISNUMBER($AN23),$AM23&gt;$AN23),"Inicio posterior a fecha límite"&amp;" · ","")&amp;IF(AND($V23="Macro",$H23&lt;&gt;"",OR(NOT(ISNUMBER($H23)),$H23&lt;0,$H23&gt;1)),"Peso fuera de rango"&amp;" · ","")&amp;IF(AND($V23="Sub",$H23&lt;&gt;""),"Las subactividades no llevan peso (valen igual dentro de su macroactividad)"&amp;" · ","")&amp;IF(AND(N($W23)&gt;0,COUNT($I23:$L23)&gt;0),"Con subactividades: deje vacías las semanas (se calculan solas)"&amp;" · ","")&amp;IF((COUNTIF($I23:$L23,"&gt;1")+COUNTIF($I23:$L23,"&lt;0")+COUNTA($I23:$L23)-COUNT($I23:$L23))&gt;0,"Avance fuera de rango 0-100%"&amp;" · ","")&amp;IF(OR(AND($J23&lt;&gt;"",$J23&lt;$I23),AND($K23&lt;&gt;"",$K23&lt;MAX($I23:$J23)),AND($L23&lt;&gt;"",$L23&lt;MAX($I23:$K23))),"Avance semanal decreciente"&amp;" · ","")&amp;IF(AND(ISNUMBER($AN23),$AN23&lt;FechaRef,IF($V23="Sub",N($X23),N($M23))&lt;1),"Vencida"&amp;" · ","")&amp;IF(AND(ObsObligatoria="Sí",ISNUMBER($AN23),$AN23&lt;FechaRef,IF($V23="Sub",N($X23),N($M23))&lt;1,$Q23=""),"Vencida sin observación"&amp;" · ",""))="","✔ OK","⚠ "&amp;LEFT(IF($C23="","Falta el nombre de la actividad"&amp;" · ","")&amp;IF(AND($V23="Sub",N($U23)=0),"Subactividad sin macroactividad arriba"&amp;" · ","")&amp;IF($AM23="","Sin fecha de inicio"&amp;" · ","")&amp;IF($AN23="","Sin fecha límite"&amp;" · ","")&amp;IF(AND(LEFT($C23,11)="[Jefatura] ",N($AL23)=0),"No se encuentra en la hoja de la jefatura (elíjala de nuevo en la lista)"&amp;" · ","")&amp;IF(OR(AND($E23&lt;&gt;"",NOT(ISNUMBER($E23))),AND($F23&lt;&gt;"",NOT(ISNUMBER($F23))),AND($G23&lt;&gt;"",NOT(ISNUMBER($G23)))),"Fecha no válida"&amp;" · ","")&amp;IF(AND(ISNUMBER($AM23),ISNUMBER($AN23),$AM23&gt;$AN23),"Inicio posterior a fecha límite"&amp;" · ","")&amp;IF(AND($V23="Macro",$H23&lt;&gt;"",OR(NOT(ISNUMBER($H23)),$H23&lt;0,$H23&gt;1)),"Peso fuera de rango"&amp;" · ","")&amp;IF(AND($V23="Sub",$H23&lt;&gt;""),"Las subactividades no llevan peso (valen igual dentro de su macroactividad)"&amp;" · ","")&amp;IF(AND(N($W23)&gt;0,COUNT($I23:$L23)&gt;0),"Con subactividades: deje vacías las semanas (se calculan solas)"&amp;" · ","")&amp;IF((COUNTIF($I23:$L23,"&gt;1")+COUNTIF($I23:$L23,"&lt;0")+COUNTA($I23:$L23)-COUNT($I23:$L23))&gt;0,"Avance fuera de rango 0-100%"&amp;" · ","")&amp;IF(OR(AND($J23&lt;&gt;"",$J23&lt;$I23),AND($K23&lt;&gt;"",$K23&lt;MAX($I23:$J23)),AND($L23&lt;&gt;"",$L23&lt;MAX($I23:$K23))),"Avance semanal decreciente"&amp;" · ","")&amp;IF(AND(ISNUMBER($AN23),$AN23&lt;FechaRef,IF($V23="Sub",N($X23),N($M23))&lt;1),"Vencida"&amp;" · ","")&amp;IF(AND(ObsObligatoria="Sí",ISNUMBER($AN23),$AN23&lt;FechaRef,IF($V23="Sub",N($X23),N($M23))&lt;1,$Q23=""),"Vencida sin observación"&amp;" · ",""),LEN(IF($C23="","Falta el nombre de la actividad"&amp;" · ","")&amp;IF(AND($V23="Sub",N($U23)=0),"Subactividad sin macroactividad arriba"&amp;" · ","")&amp;IF($AM23="","Sin fecha de inicio"&amp;" · ","")&amp;IF($AN23="","Sin fecha límite"&amp;" · ","")&amp;IF(AND(LEFT($C23,11)="[Jefatura] ",N($AL23)=0),"No se encuentra en la hoja de la jefatura (elíjala de nuevo en la lista)"&amp;" · ","")&amp;IF(OR(AND($E23&lt;&gt;"",NOT(ISNUMBER($E23))),AND($F23&lt;&gt;"",NOT(ISNUMBER($F23))),AND($G23&lt;&gt;"",NOT(ISNUMBER($G23)))),"Fecha no válida"&amp;" · ","")&amp;IF(AND(ISNUMBER($AM23),ISNUMBER($AN23),$AM23&gt;$AN23),"Inicio posterior a fecha límite"&amp;" · ","")&amp;IF(AND($V23="Macro",$H23&lt;&gt;"",OR(NOT(ISNUMBER($H23)),$H23&lt;0,$H23&gt;1)),"Peso fuera de rango"&amp;" · ","")&amp;IF(AND($V23="Sub",$H23&lt;&gt;""),"Las subactividades no llevan peso (valen igual dentro de su macroactividad)"&amp;" · ","")&amp;IF(AND(N($W23)&gt;0,COUNT($I23:$L23)&gt;0),"Con subactividades: deje vacías las semanas (se calculan solas)"&amp;" · ","")&amp;IF((COUNTIF($I23:$L23,"&gt;1")+COUNTIF($I23:$L23,"&lt;0")+COUNTA($I23:$L23)-COUNT($I23:$L23))&gt;0,"Avance fuera de rango 0-100%"&amp;" · ","")&amp;IF(OR(AND($J23&lt;&gt;"",$J23&lt;$I23),AND($K23&lt;&gt;"",$K23&lt;MAX($I23:$J23)),AND($L23&lt;&gt;"",$L23&lt;MAX($I23:$K23))),"Avance semanal decreciente"&amp;" · ","")&amp;IF(AND(ISNUMBER($AN23),$AN23&lt;FechaRef,IF($V23="Sub",N($X23),N($M23))&lt;1),"Vencida"&amp;" · ","")&amp;IF(AND(ObsObligatoria="Sí",ISNUMBER($AN23),$AN23&lt;FechaRef,IF($V23="Sub",N($X23),N($M23))&lt;1,$Q23=""),"Vencida sin observación"&amp;" · ",""))-3)))</f>
        <v/>
      </c>
      <c r="S23" s="64">
        <f>IF(NOT((COUNTA($B23:$D23)+COUNTA($G23:$L23)+COUNTA($Q23))&gt;0),"",IF(AND($V23="Sub",N($U23)&gt;0),IF(ISNUMBER(INDEX($AM$5:$AM$1000,$U23-4)),DATE(YEAR(INDEX($AM$5:$AM$1000,$U23-4)),MONTH(INDEX($AM$5:$AM$1000,$U23-4)),1),IF(ISNUMBER(INDEX($AN$5:$AN$1000,$U23-4)),DATE(YEAR(INDEX($AN$5:$AN$1000,$U23-4)),MONTH(INDEX($AN$5:$AN$1000,$U23-4)),1),MesCiclo)),IF(ISNUMBER($AM23),DATE(YEAR($AM23),MONTH($AM23),1),IF(ISNUMBER($AN23),DATE(YEAR($AN23),MONTH($AN23),1),MesCiclo))))</f>
        <v/>
      </c>
      <c r="T23" s="62">
        <f>IF(OR($S23="",$S23&lt;&gt;MesCiclo,$V23&lt;&gt;"Macro"),"",COUNTIFS($S$5:$S23,MesCiclo,$V$5:$V23,"Macro"))</f>
        <v/>
      </c>
      <c r="U23" s="62">
        <f>IF($V23="","",IF($V23="Macro",ROW(),IFERROR(LOOKUP(2,1/($V$5:$V23="Macro"),ROW($V$5:$V23)),0)))</f>
        <v/>
      </c>
      <c r="V23" s="62">
        <f>IF(NOT((COUNTA($B23:$D23)+COUNTA($G23:$L23)+COUNTA($Q23))&gt;0),"",IF($B23="Subactividad","Sub","Macro"))</f>
        <v/>
      </c>
      <c r="W23" s="62">
        <f>IF($V23="Macro",COUNTIFS($U$5:$U$1000,ROW(),$V$5:$V$1000,"Sub"),"")</f>
        <v/>
      </c>
      <c r="X23" s="62">
        <f>IF($V23="","",IF(ISNUMBER($G23),1,IFERROR(LOOKUP(2,1/($I23:$L23&lt;&gt;""),$I23:$L23),0)))</f>
        <v/>
      </c>
      <c r="Y23" s="62">
        <f>IF($V23="","",IF(AND(ISNUMBER($G23),$G23&lt;=IF($S23=MesCiclo,InicioCiclo,$S23+MOD(2-WEEKDAY($S23),7))+6),1,IF(ISNUMBER($I23),$I23,0)))</f>
        <v/>
      </c>
      <c r="Z23" s="62">
        <f>IF($V23="","",IF(AND(ISNUMBER($G23),$G23&lt;=IF($S23=MesCiclo,InicioCiclo,$S23+MOD(2-WEEKDAY($S23),7))+13),1,IF(ISNUMBER($J23),$J23,$Y23)))</f>
        <v/>
      </c>
      <c r="AA23" s="62">
        <f>IF($V23="","",IF(AND(ISNUMBER($G23),$G23&lt;=IF($S23=MesCiclo,InicioCiclo,$S23+MOD(2-WEEKDAY($S23),7))+20),1,IF(ISNUMBER($K23),$K23,$Z23)))</f>
        <v/>
      </c>
      <c r="AB23" s="62">
        <f>IF($V23="","",IF(AND(ISNUMBER($G23),$G23&lt;=IF($S23=MesCiclo,InicioCiclo,$S23+MOD(2-WEEKDAY($S23),7))+27),1,IF(ISNUMBER($L23),$L23,$AA23)))</f>
        <v/>
      </c>
      <c r="AC23" s="62">
        <f>IF($V23="","",IF(AND(ISNUMBER($G23),$G23&lt;=IF($S23=MesCiclo,InicioCiclo,$S23+MOD(2-WEEKDAY($S23),7))+6),1,IF(N($W23)&gt;0,AVERAGEIFS($Y$5:$Y$1000,$U$5:$U$1000,ROW(),$V$5:$V$1000,"Sub"),$Y23)))</f>
        <v/>
      </c>
      <c r="AD23" s="62">
        <f>IF($V23="","",IF(AND(ISNUMBER($G23),$G23&lt;=IF($S23=MesCiclo,InicioCiclo,$S23+MOD(2-WEEKDAY($S23),7))+13),1,IF(N($W23)&gt;0,AVERAGEIFS($Z$5:$Z$1000,$U$5:$U$1000,ROW(),$V$5:$V$1000,"Sub"),$Z23)))</f>
        <v/>
      </c>
      <c r="AE23" s="62">
        <f>IF($V23="","",IF(AND(ISNUMBER($G23),$G23&lt;=IF($S23=MesCiclo,InicioCiclo,$S23+MOD(2-WEEKDAY($S23),7))+20),1,IF(N($W23)&gt;0,AVERAGEIFS($AA$5:$AA$1000,$U$5:$U$1000,ROW(),$V$5:$V$1000,"Sub"),$AA23)))</f>
        <v/>
      </c>
      <c r="AF23" s="62">
        <f>IF($V23="","",IF(AND(ISNUMBER($G23),$G23&lt;=IF($S23=MesCiclo,InicioCiclo,$S23+MOD(2-WEEKDAY($S23),7))+27),1,IF(N($W23)&gt;0,AVERAGEIFS($AB$5:$AB$1000,$U$5:$U$1000,ROW(),$V$5:$V$1000,"Sub"),$AB23)))</f>
        <v/>
      </c>
      <c r="AG23" s="62">
        <f>IF($V23&lt;&gt;"Macro","",IF(COUNTIFS($S$5:$S$1000,$S23,$V$5:$V$1000,"Macro",$H$5:$H$1000,"&gt;0")=0,1/COUNTIFS($S$5:$S$1000,$S23,$V$5:$V$1000,"Macro"),IF(AND(ISNUMBER($H23),N($H23)&gt;0),$H23,SUMIFS($H$5:$H$1000,$S$5:$S$1000,$S23,$V$5:$V$1000,"Macro")/COUNTIFS($S$5:$S$1000,$S23,$V$5:$V$1000,"Macro",$H$5:$H$1000,"&gt;0"))/(COUNTIFS($S$5:$S$1000,$S23,$V$5:$V$1000,"Macro")*SUMIFS($H$5:$H$1000,$S$5:$S$1000,$S23,$V$5:$V$1000,"Macro")/COUNTIFS($S$5:$S$1000,$S23,$V$5:$V$1000,"Macro",$H$5:$H$1000,"&gt;0"))))</f>
        <v/>
      </c>
      <c r="AH23" s="62">
        <f>IF(NOT(AND($D23&lt;&gt;"",$V23="Macro")),"",IFERROR(CHOOSE(MATCH($D23,ListaPuestos,0),MATCH("[Jefatura] "&amp;$C23,'Cronograma R. Operacional'!$C$5:$C$1000,0),MATCH("[Jefatura] "&amp;$C23,'Cronograma R. Normativo'!$C$5:$C$1000,0),MATCH("[Jefatura] "&amp;$C23,'Cronograma R. Financiero'!$C$5:$C$1000,0),MATCH("[Jefatura] "&amp;$C23,'Cronograma Asistente Técnico'!$C$5:$C$1000,0)),0))</f>
        <v/>
      </c>
      <c r="AI23" s="62">
        <f>IF(AND(AND($D23&lt;&gt;"",$V23="Macro"),$S23=MesCiclo),COUNTIFS($D$5:$D23,$D23,$S$5:$S23,MesCiclo,$V$5:$V23,"Macro"),"")</f>
        <v/>
      </c>
      <c r="AJ23" s="62">
        <f>IF($AI23="","",$D23&amp;"|"&amp;$AI23)</f>
        <v/>
      </c>
      <c r="AK23" s="62">
        <f>IF(AND($D23&lt;&gt;"",$V23="Macro"),$D23&amp;"|"&amp;$C23,"")</f>
        <v/>
      </c>
      <c r="AL23" s="62">
        <f>""</f>
        <v/>
      </c>
      <c r="AM23" s="62">
        <f>IF(N($AL23)&gt;0,INDEX(rIni_ADM,$AL23),IF(ISNUMBER($E23),$E23,""))</f>
        <v/>
      </c>
      <c r="AN23" s="62">
        <f>IF(N($AL23)&gt;0,INDEX(rLim_ADM,$AL23),IF(ISNUMBER($F23),$F23,""))</f>
        <v/>
      </c>
    </row>
    <row r="24">
      <c r="A24" s="56">
        <f>IF(NOT((COUNTA($B24:$D24)+COUNTA($G24:$L24)+COUNTA($Q24))&gt;0),"",IF($V24="Macro",COUNTIFS($V$5:$V24,"Macro",$S$5:$S24,$S24),IF(N($U24)=0,"?",COUNTIFS(INDEX($V$5:$V$1000,1):INDEX($V$5:$V$1000,$U24-4),"Macro",INDEX($S$5:$S$1000,1):INDEX($S$5:$S$1000,$U24-4),INDEX($S$5:$S$1000,$U24-4))&amp;"."&amp;COUNTIFS($U$5:$U24,$U24,$V$5:$V24,"Sub"))))</f>
        <v/>
      </c>
      <c r="B24" s="57" t="n"/>
      <c r="C24" s="58" t="n"/>
      <c r="D24" s="58" t="n"/>
      <c r="E24" s="59" t="n"/>
      <c r="F24" s="59" t="n"/>
      <c r="G24" s="59" t="n"/>
      <c r="H24" s="60" t="n"/>
      <c r="I24" s="60" t="n"/>
      <c r="J24" s="60" t="n"/>
      <c r="K24" s="60" t="n"/>
      <c r="L24" s="60" t="n"/>
      <c r="M24" s="61">
        <f>IF(NOT((COUNTA($B24:$D24)+COUNTA($G24:$L24)+COUNTA($Q24))&gt;0),"",IF(AND($D24&lt;&gt;"",$V24="Macro"),IF(N($AH24)&gt;0,N(CHOOSE(MATCH($D24,ListaPuestos,0),INDEX('Cronograma R. Operacional'!$M$5:$M$1000,$AH24),INDEX('Cronograma R. Normativo'!$M$5:$M$1000,$AH24),INDEX('Cronograma R. Financiero'!$M$5:$M$1000,$AH24),INDEX('Cronograma Asistente Técnico'!$M$5:$M$1000,$AH24))),0),IF(ISNUMBER($G24),1,IF(N($W24)&gt;0,AVERAGEIFS($X$5:$X$1000,$U$5:$U$1000,ROW(),$V$5:$V$1000,"Sub"),$X24))))</f>
        <v/>
      </c>
      <c r="N24" s="56">
        <f>IF(OR($M24="",$V24="Sub"),"",IF($M24&gt;=1,"Completado",IF($M24&gt;0,"En curso","Pendiente")))</f>
        <v/>
      </c>
      <c r="O24" s="56">
        <f>IF(NOT((COUNTA($B24:$D24)+COUNTA($G24:$L24)+COUNTA($Q24))&gt;0),"",IF(AND(AND($D24&lt;&gt;"",$V24="Macro"),N($AH24)&gt;0),CHOOSE(MATCH($D24,ListaPuestos,0),INDEX('Cronograma R. Operacional'!$O$5:$O$1000,$AH24),INDEX('Cronograma R. Normativo'!$O$5:$O$1000,$AH24),INDEX('Cronograma R. Financiero'!$O$5:$O$1000,$AH24),INDEX('Cronograma Asistente Técnico'!$O$5:$O$1000,$AH24))&amp;"",IF(ISNUMBER($G24),IF(AND(ISNUMBER($AN24),$G24&gt;$AN24),"Cumplida con "&amp;($G24-$AN24)&amp;IF($G24-$AN24=1," día"," días")&amp;" de retraso","Cumplida"),IF(N($M24)&gt;=1,"Cumplida",IF(NOT(ISNUMBER($AN24)),"Sin fecha límite",IF($AN24&lt;FechaRef,"Vencida hace "&amp;(FechaRef-$AN24)&amp;IF(FechaRef-$AN24=1," día"," días"),IF($AN24=FechaRef,"Vence hoy",IF($AN24-FechaRef&lt;=DiasAlerta,"Vence en "&amp;($AN24-FechaRef)&amp;IF($AN24-FechaRef=1," día"," días"),"En plazo"))))))))</f>
        <v/>
      </c>
      <c r="P24" s="62">
        <f>IF(NOT((COUNTA($B24:$D24)+COUNTA($G24:$L24)+COUNTA($Q24))&gt;0),"",IF($D24="","Propia",IF($V24&lt;&gt;"Macro","Solo se delegan macroactividades",IF(N($AH24)&gt;0,"✔ Recibida por "&amp;$D24,"⚠ "&amp;$D24&amp;" aún no la agrega"))))</f>
        <v/>
      </c>
      <c r="Q24" s="58" t="n"/>
      <c r="R24" s="63">
        <f>IF(NOT((COUNTA($B24:$D24)+COUNTA($G24:$L24)+COUNTA($Q24))&gt;0),"",IF((IF($C24="","Falta el nombre de la actividad"&amp;" · ","")&amp;IF(AND($V24="Sub",N($U24)=0),"Subactividad sin macroactividad arriba"&amp;" · ","")&amp;IF($AM24="","Sin fecha de inicio"&amp;" · ","")&amp;IF($AN24="","Sin fecha límite"&amp;" · ","")&amp;IF(AND(LEFT($C24,11)="[Jefatura] ",N($AL24)=0),"No se encuentra en la hoja de la jefatura (elíjala de nuevo en la lista)"&amp;" · ","")&amp;IF(OR(AND($E24&lt;&gt;"",NOT(ISNUMBER($E24))),AND($F24&lt;&gt;"",NOT(ISNUMBER($F24))),AND($G24&lt;&gt;"",NOT(ISNUMBER($G24)))),"Fecha no válida"&amp;" · ","")&amp;IF(AND(ISNUMBER($AM24),ISNUMBER($AN24),$AM24&gt;$AN24),"Inicio posterior a fecha límite"&amp;" · ","")&amp;IF(AND($V24="Macro",$H24&lt;&gt;"",OR(NOT(ISNUMBER($H24)),$H24&lt;0,$H24&gt;1)),"Peso fuera de rango"&amp;" · ","")&amp;IF(AND($V24="Sub",$H24&lt;&gt;""),"Las subactividades no llevan peso (valen igual dentro de su macroactividad)"&amp;" · ","")&amp;IF(AND(N($W24)&gt;0,COUNT($I24:$L24)&gt;0),"Con subactividades: deje vacías las semanas (se calculan solas)"&amp;" · ","")&amp;IF((COUNTIF($I24:$L24,"&gt;1")+COUNTIF($I24:$L24,"&lt;0")+COUNTA($I24:$L24)-COUNT($I24:$L24))&gt;0,"Avance fuera de rango 0-100%"&amp;" · ","")&amp;IF(OR(AND($J24&lt;&gt;"",$J24&lt;$I24),AND($K24&lt;&gt;"",$K24&lt;MAX($I24:$J24)),AND($L24&lt;&gt;"",$L24&lt;MAX($I24:$K24))),"Avance semanal decreciente"&amp;" · ","")&amp;IF(AND(ISNUMBER($AN24),$AN24&lt;FechaRef,IF($V24="Sub",N($X24),N($M24))&lt;1),"Vencida"&amp;" · ","")&amp;IF(AND(ObsObligatoria="Sí",ISNUMBER($AN24),$AN24&lt;FechaRef,IF($V24="Sub",N($X24),N($M24))&lt;1,$Q24=""),"Vencida sin observación"&amp;" · ",""))="","✔ OK","⚠ "&amp;LEFT(IF($C24="","Falta el nombre de la actividad"&amp;" · ","")&amp;IF(AND($V24="Sub",N($U24)=0),"Subactividad sin macroactividad arriba"&amp;" · ","")&amp;IF($AM24="","Sin fecha de inicio"&amp;" · ","")&amp;IF($AN24="","Sin fecha límite"&amp;" · ","")&amp;IF(AND(LEFT($C24,11)="[Jefatura] ",N($AL24)=0),"No se encuentra en la hoja de la jefatura (elíjala de nuevo en la lista)"&amp;" · ","")&amp;IF(OR(AND($E24&lt;&gt;"",NOT(ISNUMBER($E24))),AND($F24&lt;&gt;"",NOT(ISNUMBER($F24))),AND($G24&lt;&gt;"",NOT(ISNUMBER($G24)))),"Fecha no válida"&amp;" · ","")&amp;IF(AND(ISNUMBER($AM24),ISNUMBER($AN24),$AM24&gt;$AN24),"Inicio posterior a fecha límite"&amp;" · ","")&amp;IF(AND($V24="Macro",$H24&lt;&gt;"",OR(NOT(ISNUMBER($H24)),$H24&lt;0,$H24&gt;1)),"Peso fuera de rango"&amp;" · ","")&amp;IF(AND($V24="Sub",$H24&lt;&gt;""),"Las subactividades no llevan peso (valen igual dentro de su macroactividad)"&amp;" · ","")&amp;IF(AND(N($W24)&gt;0,COUNT($I24:$L24)&gt;0),"Con subactividades: deje vacías las semanas (se calculan solas)"&amp;" · ","")&amp;IF((COUNTIF($I24:$L24,"&gt;1")+COUNTIF($I24:$L24,"&lt;0")+COUNTA($I24:$L24)-COUNT($I24:$L24))&gt;0,"Avance fuera de rango 0-100%"&amp;" · ","")&amp;IF(OR(AND($J24&lt;&gt;"",$J24&lt;$I24),AND($K24&lt;&gt;"",$K24&lt;MAX($I24:$J24)),AND($L24&lt;&gt;"",$L24&lt;MAX($I24:$K24))),"Avance semanal decreciente"&amp;" · ","")&amp;IF(AND(ISNUMBER($AN24),$AN24&lt;FechaRef,IF($V24="Sub",N($X24),N($M24))&lt;1),"Vencida"&amp;" · ","")&amp;IF(AND(ObsObligatoria="Sí",ISNUMBER($AN24),$AN24&lt;FechaRef,IF($V24="Sub",N($X24),N($M24))&lt;1,$Q24=""),"Vencida sin observación"&amp;" · ",""),LEN(IF($C24="","Falta el nombre de la actividad"&amp;" · ","")&amp;IF(AND($V24="Sub",N($U24)=0),"Subactividad sin macroactividad arriba"&amp;" · ","")&amp;IF($AM24="","Sin fecha de inicio"&amp;" · ","")&amp;IF($AN24="","Sin fecha límite"&amp;" · ","")&amp;IF(AND(LEFT($C24,11)="[Jefatura] ",N($AL24)=0),"No se encuentra en la hoja de la jefatura (elíjala de nuevo en la lista)"&amp;" · ","")&amp;IF(OR(AND($E24&lt;&gt;"",NOT(ISNUMBER($E24))),AND($F24&lt;&gt;"",NOT(ISNUMBER($F24))),AND($G24&lt;&gt;"",NOT(ISNUMBER($G24)))),"Fecha no válida"&amp;" · ","")&amp;IF(AND(ISNUMBER($AM24),ISNUMBER($AN24),$AM24&gt;$AN24),"Inicio posterior a fecha límite"&amp;" · ","")&amp;IF(AND($V24="Macro",$H24&lt;&gt;"",OR(NOT(ISNUMBER($H24)),$H24&lt;0,$H24&gt;1)),"Peso fuera de rango"&amp;" · ","")&amp;IF(AND($V24="Sub",$H24&lt;&gt;""),"Las subactividades no llevan peso (valen igual dentro de su macroactividad)"&amp;" · ","")&amp;IF(AND(N($W24)&gt;0,COUNT($I24:$L24)&gt;0),"Con subactividades: deje vacías las semanas (se calculan solas)"&amp;" · ","")&amp;IF((COUNTIF($I24:$L24,"&gt;1")+COUNTIF($I24:$L24,"&lt;0")+COUNTA($I24:$L24)-COUNT($I24:$L24))&gt;0,"Avance fuera de rango 0-100%"&amp;" · ","")&amp;IF(OR(AND($J24&lt;&gt;"",$J24&lt;$I24),AND($K24&lt;&gt;"",$K24&lt;MAX($I24:$J24)),AND($L24&lt;&gt;"",$L24&lt;MAX($I24:$K24))),"Avance semanal decreciente"&amp;" · ","")&amp;IF(AND(ISNUMBER($AN24),$AN24&lt;FechaRef,IF($V24="Sub",N($X24),N($M24))&lt;1),"Vencida"&amp;" · ","")&amp;IF(AND(ObsObligatoria="Sí",ISNUMBER($AN24),$AN24&lt;FechaRef,IF($V24="Sub",N($X24),N($M24))&lt;1,$Q24=""),"Vencida sin observación"&amp;" · ",""))-3)))</f>
        <v/>
      </c>
      <c r="S24" s="64">
        <f>IF(NOT((COUNTA($B24:$D24)+COUNTA($G24:$L24)+COUNTA($Q24))&gt;0),"",IF(AND($V24="Sub",N($U24)&gt;0),IF(ISNUMBER(INDEX($AM$5:$AM$1000,$U24-4)),DATE(YEAR(INDEX($AM$5:$AM$1000,$U24-4)),MONTH(INDEX($AM$5:$AM$1000,$U24-4)),1),IF(ISNUMBER(INDEX($AN$5:$AN$1000,$U24-4)),DATE(YEAR(INDEX($AN$5:$AN$1000,$U24-4)),MONTH(INDEX($AN$5:$AN$1000,$U24-4)),1),MesCiclo)),IF(ISNUMBER($AM24),DATE(YEAR($AM24),MONTH($AM24),1),IF(ISNUMBER($AN24),DATE(YEAR($AN24),MONTH($AN24),1),MesCiclo))))</f>
        <v/>
      </c>
      <c r="T24" s="62">
        <f>IF(OR($S24="",$S24&lt;&gt;MesCiclo,$V24&lt;&gt;"Macro"),"",COUNTIFS($S$5:$S24,MesCiclo,$V$5:$V24,"Macro"))</f>
        <v/>
      </c>
      <c r="U24" s="62">
        <f>IF($V24="","",IF($V24="Macro",ROW(),IFERROR(LOOKUP(2,1/($V$5:$V24="Macro"),ROW($V$5:$V24)),0)))</f>
        <v/>
      </c>
      <c r="V24" s="62">
        <f>IF(NOT((COUNTA($B24:$D24)+COUNTA($G24:$L24)+COUNTA($Q24))&gt;0),"",IF($B24="Subactividad","Sub","Macro"))</f>
        <v/>
      </c>
      <c r="W24" s="62">
        <f>IF($V24="Macro",COUNTIFS($U$5:$U$1000,ROW(),$V$5:$V$1000,"Sub"),"")</f>
        <v/>
      </c>
      <c r="X24" s="62">
        <f>IF($V24="","",IF(ISNUMBER($G24),1,IFERROR(LOOKUP(2,1/($I24:$L24&lt;&gt;""),$I24:$L24),0)))</f>
        <v/>
      </c>
      <c r="Y24" s="62">
        <f>IF($V24="","",IF(AND(ISNUMBER($G24),$G24&lt;=IF($S24=MesCiclo,InicioCiclo,$S24+MOD(2-WEEKDAY($S24),7))+6),1,IF(ISNUMBER($I24),$I24,0)))</f>
        <v/>
      </c>
      <c r="Z24" s="62">
        <f>IF($V24="","",IF(AND(ISNUMBER($G24),$G24&lt;=IF($S24=MesCiclo,InicioCiclo,$S24+MOD(2-WEEKDAY($S24),7))+13),1,IF(ISNUMBER($J24),$J24,$Y24)))</f>
        <v/>
      </c>
      <c r="AA24" s="62">
        <f>IF($V24="","",IF(AND(ISNUMBER($G24),$G24&lt;=IF($S24=MesCiclo,InicioCiclo,$S24+MOD(2-WEEKDAY($S24),7))+20),1,IF(ISNUMBER($K24),$K24,$Z24)))</f>
        <v/>
      </c>
      <c r="AB24" s="62">
        <f>IF($V24="","",IF(AND(ISNUMBER($G24),$G24&lt;=IF($S24=MesCiclo,InicioCiclo,$S24+MOD(2-WEEKDAY($S24),7))+27),1,IF(ISNUMBER($L24),$L24,$AA24)))</f>
        <v/>
      </c>
      <c r="AC24" s="62">
        <f>IF($V24="","",IF(AND(ISNUMBER($G24),$G24&lt;=IF($S24=MesCiclo,InicioCiclo,$S24+MOD(2-WEEKDAY($S24),7))+6),1,IF(N($W24)&gt;0,AVERAGEIFS($Y$5:$Y$1000,$U$5:$U$1000,ROW(),$V$5:$V$1000,"Sub"),$Y24)))</f>
        <v/>
      </c>
      <c r="AD24" s="62">
        <f>IF($V24="","",IF(AND(ISNUMBER($G24),$G24&lt;=IF($S24=MesCiclo,InicioCiclo,$S24+MOD(2-WEEKDAY($S24),7))+13),1,IF(N($W24)&gt;0,AVERAGEIFS($Z$5:$Z$1000,$U$5:$U$1000,ROW(),$V$5:$V$1000,"Sub"),$Z24)))</f>
        <v/>
      </c>
      <c r="AE24" s="62">
        <f>IF($V24="","",IF(AND(ISNUMBER($G24),$G24&lt;=IF($S24=MesCiclo,InicioCiclo,$S24+MOD(2-WEEKDAY($S24),7))+20),1,IF(N($W24)&gt;0,AVERAGEIFS($AA$5:$AA$1000,$U$5:$U$1000,ROW(),$V$5:$V$1000,"Sub"),$AA24)))</f>
        <v/>
      </c>
      <c r="AF24" s="62">
        <f>IF($V24="","",IF(AND(ISNUMBER($G24),$G24&lt;=IF($S24=MesCiclo,InicioCiclo,$S24+MOD(2-WEEKDAY($S24),7))+27),1,IF(N($W24)&gt;0,AVERAGEIFS($AB$5:$AB$1000,$U$5:$U$1000,ROW(),$V$5:$V$1000,"Sub"),$AB24)))</f>
        <v/>
      </c>
      <c r="AG24" s="62">
        <f>IF($V24&lt;&gt;"Macro","",IF(COUNTIFS($S$5:$S$1000,$S24,$V$5:$V$1000,"Macro",$H$5:$H$1000,"&gt;0")=0,1/COUNTIFS($S$5:$S$1000,$S24,$V$5:$V$1000,"Macro"),IF(AND(ISNUMBER($H24),N($H24)&gt;0),$H24,SUMIFS($H$5:$H$1000,$S$5:$S$1000,$S24,$V$5:$V$1000,"Macro")/COUNTIFS($S$5:$S$1000,$S24,$V$5:$V$1000,"Macro",$H$5:$H$1000,"&gt;0"))/(COUNTIFS($S$5:$S$1000,$S24,$V$5:$V$1000,"Macro")*SUMIFS($H$5:$H$1000,$S$5:$S$1000,$S24,$V$5:$V$1000,"Macro")/COUNTIFS($S$5:$S$1000,$S24,$V$5:$V$1000,"Macro",$H$5:$H$1000,"&gt;0"))))</f>
        <v/>
      </c>
      <c r="AH24" s="62">
        <f>IF(NOT(AND($D24&lt;&gt;"",$V24="Macro")),"",IFERROR(CHOOSE(MATCH($D24,ListaPuestos,0),MATCH("[Jefatura] "&amp;$C24,'Cronograma R. Operacional'!$C$5:$C$1000,0),MATCH("[Jefatura] "&amp;$C24,'Cronograma R. Normativo'!$C$5:$C$1000,0),MATCH("[Jefatura] "&amp;$C24,'Cronograma R. Financiero'!$C$5:$C$1000,0),MATCH("[Jefatura] "&amp;$C24,'Cronograma Asistente Técnico'!$C$5:$C$1000,0)),0))</f>
        <v/>
      </c>
      <c r="AI24" s="62">
        <f>IF(AND(AND($D24&lt;&gt;"",$V24="Macro"),$S24=MesCiclo),COUNTIFS($D$5:$D24,$D24,$S$5:$S24,MesCiclo,$V$5:$V24,"Macro"),"")</f>
        <v/>
      </c>
      <c r="AJ24" s="62">
        <f>IF($AI24="","",$D24&amp;"|"&amp;$AI24)</f>
        <v/>
      </c>
      <c r="AK24" s="62">
        <f>IF(AND($D24&lt;&gt;"",$V24="Macro"),$D24&amp;"|"&amp;$C24,"")</f>
        <v/>
      </c>
      <c r="AL24" s="62">
        <f>""</f>
        <v/>
      </c>
      <c r="AM24" s="62">
        <f>IF(N($AL24)&gt;0,INDEX(rIni_ADM,$AL24),IF(ISNUMBER($E24),$E24,""))</f>
        <v/>
      </c>
      <c r="AN24" s="62">
        <f>IF(N($AL24)&gt;0,INDEX(rLim_ADM,$AL24),IF(ISNUMBER($F24),$F24,""))</f>
        <v/>
      </c>
    </row>
    <row r="25">
      <c r="A25" s="56">
        <f>IF(NOT((COUNTA($B25:$D25)+COUNTA($G25:$L25)+COUNTA($Q25))&gt;0),"",IF($V25="Macro",COUNTIFS($V$5:$V25,"Macro",$S$5:$S25,$S25),IF(N($U25)=0,"?",COUNTIFS(INDEX($V$5:$V$1000,1):INDEX($V$5:$V$1000,$U25-4),"Macro",INDEX($S$5:$S$1000,1):INDEX($S$5:$S$1000,$U25-4),INDEX($S$5:$S$1000,$U25-4))&amp;"."&amp;COUNTIFS($U$5:$U25,$U25,$V$5:$V25,"Sub"))))</f>
        <v/>
      </c>
      <c r="B25" s="57" t="n"/>
      <c r="C25" s="58" t="n"/>
      <c r="D25" s="58" t="n"/>
      <c r="E25" s="59" t="n"/>
      <c r="F25" s="59" t="n"/>
      <c r="G25" s="59" t="n"/>
      <c r="H25" s="60" t="n"/>
      <c r="I25" s="60" t="n"/>
      <c r="J25" s="60" t="n"/>
      <c r="K25" s="60" t="n"/>
      <c r="L25" s="60" t="n"/>
      <c r="M25" s="61">
        <f>IF(NOT((COUNTA($B25:$D25)+COUNTA($G25:$L25)+COUNTA($Q25))&gt;0),"",IF(AND($D25&lt;&gt;"",$V25="Macro"),IF(N($AH25)&gt;0,N(CHOOSE(MATCH($D25,ListaPuestos,0),INDEX('Cronograma R. Operacional'!$M$5:$M$1000,$AH25),INDEX('Cronograma R. Normativo'!$M$5:$M$1000,$AH25),INDEX('Cronograma R. Financiero'!$M$5:$M$1000,$AH25),INDEX('Cronograma Asistente Técnico'!$M$5:$M$1000,$AH25))),0),IF(ISNUMBER($G25),1,IF(N($W25)&gt;0,AVERAGEIFS($X$5:$X$1000,$U$5:$U$1000,ROW(),$V$5:$V$1000,"Sub"),$X25))))</f>
        <v/>
      </c>
      <c r="N25" s="56">
        <f>IF(OR($M25="",$V25="Sub"),"",IF($M25&gt;=1,"Completado",IF($M25&gt;0,"En curso","Pendiente")))</f>
        <v/>
      </c>
      <c r="O25" s="56">
        <f>IF(NOT((COUNTA($B25:$D25)+COUNTA($G25:$L25)+COUNTA($Q25))&gt;0),"",IF(AND(AND($D25&lt;&gt;"",$V25="Macro"),N($AH25)&gt;0),CHOOSE(MATCH($D25,ListaPuestos,0),INDEX('Cronograma R. Operacional'!$O$5:$O$1000,$AH25),INDEX('Cronograma R. Normativo'!$O$5:$O$1000,$AH25),INDEX('Cronograma R. Financiero'!$O$5:$O$1000,$AH25),INDEX('Cronograma Asistente Técnico'!$O$5:$O$1000,$AH25))&amp;"",IF(ISNUMBER($G25),IF(AND(ISNUMBER($AN25),$G25&gt;$AN25),"Cumplida con "&amp;($G25-$AN25)&amp;IF($G25-$AN25=1," día"," días")&amp;" de retraso","Cumplida"),IF(N($M25)&gt;=1,"Cumplida",IF(NOT(ISNUMBER($AN25)),"Sin fecha límite",IF($AN25&lt;FechaRef,"Vencida hace "&amp;(FechaRef-$AN25)&amp;IF(FechaRef-$AN25=1," día"," días"),IF($AN25=FechaRef,"Vence hoy",IF($AN25-FechaRef&lt;=DiasAlerta,"Vence en "&amp;($AN25-FechaRef)&amp;IF($AN25-FechaRef=1," día"," días"),"En plazo"))))))))</f>
        <v/>
      </c>
      <c r="P25" s="62">
        <f>IF(NOT((COUNTA($B25:$D25)+COUNTA($G25:$L25)+COUNTA($Q25))&gt;0),"",IF($D25="","Propia",IF($V25&lt;&gt;"Macro","Solo se delegan macroactividades",IF(N($AH25)&gt;0,"✔ Recibida por "&amp;$D25,"⚠ "&amp;$D25&amp;" aún no la agrega"))))</f>
        <v/>
      </c>
      <c r="Q25" s="58" t="n"/>
      <c r="R25" s="63">
        <f>IF(NOT((COUNTA($B25:$D25)+COUNTA($G25:$L25)+COUNTA($Q25))&gt;0),"",IF((IF($C25="","Falta el nombre de la actividad"&amp;" · ","")&amp;IF(AND($V25="Sub",N($U25)=0),"Subactividad sin macroactividad arriba"&amp;" · ","")&amp;IF($AM25="","Sin fecha de inicio"&amp;" · ","")&amp;IF($AN25="","Sin fecha límite"&amp;" · ","")&amp;IF(AND(LEFT($C25,11)="[Jefatura] ",N($AL25)=0),"No se encuentra en la hoja de la jefatura (elíjala de nuevo en la lista)"&amp;" · ","")&amp;IF(OR(AND($E25&lt;&gt;"",NOT(ISNUMBER($E25))),AND($F25&lt;&gt;"",NOT(ISNUMBER($F25))),AND($G25&lt;&gt;"",NOT(ISNUMBER($G25)))),"Fecha no válida"&amp;" · ","")&amp;IF(AND(ISNUMBER($AM25),ISNUMBER($AN25),$AM25&gt;$AN25),"Inicio posterior a fecha límite"&amp;" · ","")&amp;IF(AND($V25="Macro",$H25&lt;&gt;"",OR(NOT(ISNUMBER($H25)),$H25&lt;0,$H25&gt;1)),"Peso fuera de rango"&amp;" · ","")&amp;IF(AND($V25="Sub",$H25&lt;&gt;""),"Las subactividades no llevan peso (valen igual dentro de su macroactividad)"&amp;" · ","")&amp;IF(AND(N($W25)&gt;0,COUNT($I25:$L25)&gt;0),"Con subactividades: deje vacías las semanas (se calculan solas)"&amp;" · ","")&amp;IF((COUNTIF($I25:$L25,"&gt;1")+COUNTIF($I25:$L25,"&lt;0")+COUNTA($I25:$L25)-COUNT($I25:$L25))&gt;0,"Avance fuera de rango 0-100%"&amp;" · ","")&amp;IF(OR(AND($J25&lt;&gt;"",$J25&lt;$I25),AND($K25&lt;&gt;"",$K25&lt;MAX($I25:$J25)),AND($L25&lt;&gt;"",$L25&lt;MAX($I25:$K25))),"Avance semanal decreciente"&amp;" · ","")&amp;IF(AND(ISNUMBER($AN25),$AN25&lt;FechaRef,IF($V25="Sub",N($X25),N($M25))&lt;1),"Vencida"&amp;" · ","")&amp;IF(AND(ObsObligatoria="Sí",ISNUMBER($AN25),$AN25&lt;FechaRef,IF($V25="Sub",N($X25),N($M25))&lt;1,$Q25=""),"Vencida sin observación"&amp;" · ",""))="","✔ OK","⚠ "&amp;LEFT(IF($C25="","Falta el nombre de la actividad"&amp;" · ","")&amp;IF(AND($V25="Sub",N($U25)=0),"Subactividad sin macroactividad arriba"&amp;" · ","")&amp;IF($AM25="","Sin fecha de inicio"&amp;" · ","")&amp;IF($AN25="","Sin fecha límite"&amp;" · ","")&amp;IF(AND(LEFT($C25,11)="[Jefatura] ",N($AL25)=0),"No se encuentra en la hoja de la jefatura (elíjala de nuevo en la lista)"&amp;" · ","")&amp;IF(OR(AND($E25&lt;&gt;"",NOT(ISNUMBER($E25))),AND($F25&lt;&gt;"",NOT(ISNUMBER($F25))),AND($G25&lt;&gt;"",NOT(ISNUMBER($G25)))),"Fecha no válida"&amp;" · ","")&amp;IF(AND(ISNUMBER($AM25),ISNUMBER($AN25),$AM25&gt;$AN25),"Inicio posterior a fecha límite"&amp;" · ","")&amp;IF(AND($V25="Macro",$H25&lt;&gt;"",OR(NOT(ISNUMBER($H25)),$H25&lt;0,$H25&gt;1)),"Peso fuera de rango"&amp;" · ","")&amp;IF(AND($V25="Sub",$H25&lt;&gt;""),"Las subactividades no llevan peso (valen igual dentro de su macroactividad)"&amp;" · ","")&amp;IF(AND(N($W25)&gt;0,COUNT($I25:$L25)&gt;0),"Con subactividades: deje vacías las semanas (se calculan solas)"&amp;" · ","")&amp;IF((COUNTIF($I25:$L25,"&gt;1")+COUNTIF($I25:$L25,"&lt;0")+COUNTA($I25:$L25)-COUNT($I25:$L25))&gt;0,"Avance fuera de rango 0-100%"&amp;" · ","")&amp;IF(OR(AND($J25&lt;&gt;"",$J25&lt;$I25),AND($K25&lt;&gt;"",$K25&lt;MAX($I25:$J25)),AND($L25&lt;&gt;"",$L25&lt;MAX($I25:$K25))),"Avance semanal decreciente"&amp;" · ","")&amp;IF(AND(ISNUMBER($AN25),$AN25&lt;FechaRef,IF($V25="Sub",N($X25),N($M25))&lt;1),"Vencida"&amp;" · ","")&amp;IF(AND(ObsObligatoria="Sí",ISNUMBER($AN25),$AN25&lt;FechaRef,IF($V25="Sub",N($X25),N($M25))&lt;1,$Q25=""),"Vencida sin observación"&amp;" · ",""),LEN(IF($C25="","Falta el nombre de la actividad"&amp;" · ","")&amp;IF(AND($V25="Sub",N($U25)=0),"Subactividad sin macroactividad arriba"&amp;" · ","")&amp;IF($AM25="","Sin fecha de inicio"&amp;" · ","")&amp;IF($AN25="","Sin fecha límite"&amp;" · ","")&amp;IF(AND(LEFT($C25,11)="[Jefatura] ",N($AL25)=0),"No se encuentra en la hoja de la jefatura (elíjala de nuevo en la lista)"&amp;" · ","")&amp;IF(OR(AND($E25&lt;&gt;"",NOT(ISNUMBER($E25))),AND($F25&lt;&gt;"",NOT(ISNUMBER($F25))),AND($G25&lt;&gt;"",NOT(ISNUMBER($G25)))),"Fecha no válida"&amp;" · ","")&amp;IF(AND(ISNUMBER($AM25),ISNUMBER($AN25),$AM25&gt;$AN25),"Inicio posterior a fecha límite"&amp;" · ","")&amp;IF(AND($V25="Macro",$H25&lt;&gt;"",OR(NOT(ISNUMBER($H25)),$H25&lt;0,$H25&gt;1)),"Peso fuera de rango"&amp;" · ","")&amp;IF(AND($V25="Sub",$H25&lt;&gt;""),"Las subactividades no llevan peso (valen igual dentro de su macroactividad)"&amp;" · ","")&amp;IF(AND(N($W25)&gt;0,COUNT($I25:$L25)&gt;0),"Con subactividades: deje vacías las semanas (se calculan solas)"&amp;" · ","")&amp;IF((COUNTIF($I25:$L25,"&gt;1")+COUNTIF($I25:$L25,"&lt;0")+COUNTA($I25:$L25)-COUNT($I25:$L25))&gt;0,"Avance fuera de rango 0-100%"&amp;" · ","")&amp;IF(OR(AND($J25&lt;&gt;"",$J25&lt;$I25),AND($K25&lt;&gt;"",$K25&lt;MAX($I25:$J25)),AND($L25&lt;&gt;"",$L25&lt;MAX($I25:$K25))),"Avance semanal decreciente"&amp;" · ","")&amp;IF(AND(ISNUMBER($AN25),$AN25&lt;FechaRef,IF($V25="Sub",N($X25),N($M25))&lt;1),"Vencida"&amp;" · ","")&amp;IF(AND(ObsObligatoria="Sí",ISNUMBER($AN25),$AN25&lt;FechaRef,IF($V25="Sub",N($X25),N($M25))&lt;1,$Q25=""),"Vencida sin observación"&amp;" · ",""))-3)))</f>
        <v/>
      </c>
      <c r="S25" s="64">
        <f>IF(NOT((COUNTA($B25:$D25)+COUNTA($G25:$L25)+COUNTA($Q25))&gt;0),"",IF(AND($V25="Sub",N($U25)&gt;0),IF(ISNUMBER(INDEX($AM$5:$AM$1000,$U25-4)),DATE(YEAR(INDEX($AM$5:$AM$1000,$U25-4)),MONTH(INDEX($AM$5:$AM$1000,$U25-4)),1),IF(ISNUMBER(INDEX($AN$5:$AN$1000,$U25-4)),DATE(YEAR(INDEX($AN$5:$AN$1000,$U25-4)),MONTH(INDEX($AN$5:$AN$1000,$U25-4)),1),MesCiclo)),IF(ISNUMBER($AM25),DATE(YEAR($AM25),MONTH($AM25),1),IF(ISNUMBER($AN25),DATE(YEAR($AN25),MONTH($AN25),1),MesCiclo))))</f>
        <v/>
      </c>
      <c r="T25" s="62">
        <f>IF(OR($S25="",$S25&lt;&gt;MesCiclo,$V25&lt;&gt;"Macro"),"",COUNTIFS($S$5:$S25,MesCiclo,$V$5:$V25,"Macro"))</f>
        <v/>
      </c>
      <c r="U25" s="62">
        <f>IF($V25="","",IF($V25="Macro",ROW(),IFERROR(LOOKUP(2,1/($V$5:$V25="Macro"),ROW($V$5:$V25)),0)))</f>
        <v/>
      </c>
      <c r="V25" s="62">
        <f>IF(NOT((COUNTA($B25:$D25)+COUNTA($G25:$L25)+COUNTA($Q25))&gt;0),"",IF($B25="Subactividad","Sub","Macro"))</f>
        <v/>
      </c>
      <c r="W25" s="62">
        <f>IF($V25="Macro",COUNTIFS($U$5:$U$1000,ROW(),$V$5:$V$1000,"Sub"),"")</f>
        <v/>
      </c>
      <c r="X25" s="62">
        <f>IF($V25="","",IF(ISNUMBER($G25),1,IFERROR(LOOKUP(2,1/($I25:$L25&lt;&gt;""),$I25:$L25),0)))</f>
        <v/>
      </c>
      <c r="Y25" s="62">
        <f>IF($V25="","",IF(AND(ISNUMBER($G25),$G25&lt;=IF($S25=MesCiclo,InicioCiclo,$S25+MOD(2-WEEKDAY($S25),7))+6),1,IF(ISNUMBER($I25),$I25,0)))</f>
        <v/>
      </c>
      <c r="Z25" s="62">
        <f>IF($V25="","",IF(AND(ISNUMBER($G25),$G25&lt;=IF($S25=MesCiclo,InicioCiclo,$S25+MOD(2-WEEKDAY($S25),7))+13),1,IF(ISNUMBER($J25),$J25,$Y25)))</f>
        <v/>
      </c>
      <c r="AA25" s="62">
        <f>IF($V25="","",IF(AND(ISNUMBER($G25),$G25&lt;=IF($S25=MesCiclo,InicioCiclo,$S25+MOD(2-WEEKDAY($S25),7))+20),1,IF(ISNUMBER($K25),$K25,$Z25)))</f>
        <v/>
      </c>
      <c r="AB25" s="62">
        <f>IF($V25="","",IF(AND(ISNUMBER($G25),$G25&lt;=IF($S25=MesCiclo,InicioCiclo,$S25+MOD(2-WEEKDAY($S25),7))+27),1,IF(ISNUMBER($L25),$L25,$AA25)))</f>
        <v/>
      </c>
      <c r="AC25" s="62">
        <f>IF($V25="","",IF(AND(ISNUMBER($G25),$G25&lt;=IF($S25=MesCiclo,InicioCiclo,$S25+MOD(2-WEEKDAY($S25),7))+6),1,IF(N($W25)&gt;0,AVERAGEIFS($Y$5:$Y$1000,$U$5:$U$1000,ROW(),$V$5:$V$1000,"Sub"),$Y25)))</f>
        <v/>
      </c>
      <c r="AD25" s="62">
        <f>IF($V25="","",IF(AND(ISNUMBER($G25),$G25&lt;=IF($S25=MesCiclo,InicioCiclo,$S25+MOD(2-WEEKDAY($S25),7))+13),1,IF(N($W25)&gt;0,AVERAGEIFS($Z$5:$Z$1000,$U$5:$U$1000,ROW(),$V$5:$V$1000,"Sub"),$Z25)))</f>
        <v/>
      </c>
      <c r="AE25" s="62">
        <f>IF($V25="","",IF(AND(ISNUMBER($G25),$G25&lt;=IF($S25=MesCiclo,InicioCiclo,$S25+MOD(2-WEEKDAY($S25),7))+20),1,IF(N($W25)&gt;0,AVERAGEIFS($AA$5:$AA$1000,$U$5:$U$1000,ROW(),$V$5:$V$1000,"Sub"),$AA25)))</f>
        <v/>
      </c>
      <c r="AF25" s="62">
        <f>IF($V25="","",IF(AND(ISNUMBER($G25),$G25&lt;=IF($S25=MesCiclo,InicioCiclo,$S25+MOD(2-WEEKDAY($S25),7))+27),1,IF(N($W25)&gt;0,AVERAGEIFS($AB$5:$AB$1000,$U$5:$U$1000,ROW(),$V$5:$V$1000,"Sub"),$AB25)))</f>
        <v/>
      </c>
      <c r="AG25" s="62">
        <f>IF($V25&lt;&gt;"Macro","",IF(COUNTIFS($S$5:$S$1000,$S25,$V$5:$V$1000,"Macro",$H$5:$H$1000,"&gt;0")=0,1/COUNTIFS($S$5:$S$1000,$S25,$V$5:$V$1000,"Macro"),IF(AND(ISNUMBER($H25),N($H25)&gt;0),$H25,SUMIFS($H$5:$H$1000,$S$5:$S$1000,$S25,$V$5:$V$1000,"Macro")/COUNTIFS($S$5:$S$1000,$S25,$V$5:$V$1000,"Macro",$H$5:$H$1000,"&gt;0"))/(COUNTIFS($S$5:$S$1000,$S25,$V$5:$V$1000,"Macro")*SUMIFS($H$5:$H$1000,$S$5:$S$1000,$S25,$V$5:$V$1000,"Macro")/COUNTIFS($S$5:$S$1000,$S25,$V$5:$V$1000,"Macro",$H$5:$H$1000,"&gt;0"))))</f>
        <v/>
      </c>
      <c r="AH25" s="62">
        <f>IF(NOT(AND($D25&lt;&gt;"",$V25="Macro")),"",IFERROR(CHOOSE(MATCH($D25,ListaPuestos,0),MATCH("[Jefatura] "&amp;$C25,'Cronograma R. Operacional'!$C$5:$C$1000,0),MATCH("[Jefatura] "&amp;$C25,'Cronograma R. Normativo'!$C$5:$C$1000,0),MATCH("[Jefatura] "&amp;$C25,'Cronograma R. Financiero'!$C$5:$C$1000,0),MATCH("[Jefatura] "&amp;$C25,'Cronograma Asistente Técnico'!$C$5:$C$1000,0)),0))</f>
        <v/>
      </c>
      <c r="AI25" s="62">
        <f>IF(AND(AND($D25&lt;&gt;"",$V25="Macro"),$S25=MesCiclo),COUNTIFS($D$5:$D25,$D25,$S$5:$S25,MesCiclo,$V$5:$V25,"Macro"),"")</f>
        <v/>
      </c>
      <c r="AJ25" s="62">
        <f>IF($AI25="","",$D25&amp;"|"&amp;$AI25)</f>
        <v/>
      </c>
      <c r="AK25" s="62">
        <f>IF(AND($D25&lt;&gt;"",$V25="Macro"),$D25&amp;"|"&amp;$C25,"")</f>
        <v/>
      </c>
      <c r="AL25" s="62">
        <f>""</f>
        <v/>
      </c>
      <c r="AM25" s="62">
        <f>IF(N($AL25)&gt;0,INDEX(rIni_ADM,$AL25),IF(ISNUMBER($E25),$E25,""))</f>
        <v/>
      </c>
      <c r="AN25" s="62">
        <f>IF(N($AL25)&gt;0,INDEX(rLim_ADM,$AL25),IF(ISNUMBER($F25),$F25,""))</f>
        <v/>
      </c>
    </row>
    <row r="26">
      <c r="A26" s="56">
        <f>IF(NOT((COUNTA($B26:$D26)+COUNTA($G26:$L26)+COUNTA($Q26))&gt;0),"",IF($V26="Macro",COUNTIFS($V$5:$V26,"Macro",$S$5:$S26,$S26),IF(N($U26)=0,"?",COUNTIFS(INDEX($V$5:$V$1000,1):INDEX($V$5:$V$1000,$U26-4),"Macro",INDEX($S$5:$S$1000,1):INDEX($S$5:$S$1000,$U26-4),INDEX($S$5:$S$1000,$U26-4))&amp;"."&amp;COUNTIFS($U$5:$U26,$U26,$V$5:$V26,"Sub"))))</f>
        <v/>
      </c>
      <c r="B26" s="57" t="n"/>
      <c r="C26" s="58" t="n"/>
      <c r="D26" s="58" t="n"/>
      <c r="E26" s="59" t="n"/>
      <c r="F26" s="59" t="n"/>
      <c r="G26" s="59" t="n"/>
      <c r="H26" s="60" t="n"/>
      <c r="I26" s="60" t="n"/>
      <c r="J26" s="60" t="n"/>
      <c r="K26" s="60" t="n"/>
      <c r="L26" s="60" t="n"/>
      <c r="M26" s="61">
        <f>IF(NOT((COUNTA($B26:$D26)+COUNTA($G26:$L26)+COUNTA($Q26))&gt;0),"",IF(AND($D26&lt;&gt;"",$V26="Macro"),IF(N($AH26)&gt;0,N(CHOOSE(MATCH($D26,ListaPuestos,0),INDEX('Cronograma R. Operacional'!$M$5:$M$1000,$AH26),INDEX('Cronograma R. Normativo'!$M$5:$M$1000,$AH26),INDEX('Cronograma R. Financiero'!$M$5:$M$1000,$AH26),INDEX('Cronograma Asistente Técnico'!$M$5:$M$1000,$AH26))),0),IF(ISNUMBER($G26),1,IF(N($W26)&gt;0,AVERAGEIFS($X$5:$X$1000,$U$5:$U$1000,ROW(),$V$5:$V$1000,"Sub"),$X26))))</f>
        <v/>
      </c>
      <c r="N26" s="56">
        <f>IF(OR($M26="",$V26="Sub"),"",IF($M26&gt;=1,"Completado",IF($M26&gt;0,"En curso","Pendiente")))</f>
        <v/>
      </c>
      <c r="O26" s="56">
        <f>IF(NOT((COUNTA($B26:$D26)+COUNTA($G26:$L26)+COUNTA($Q26))&gt;0),"",IF(AND(AND($D26&lt;&gt;"",$V26="Macro"),N($AH26)&gt;0),CHOOSE(MATCH($D26,ListaPuestos,0),INDEX('Cronograma R. Operacional'!$O$5:$O$1000,$AH26),INDEX('Cronograma R. Normativo'!$O$5:$O$1000,$AH26),INDEX('Cronograma R. Financiero'!$O$5:$O$1000,$AH26),INDEX('Cronograma Asistente Técnico'!$O$5:$O$1000,$AH26))&amp;"",IF(ISNUMBER($G26),IF(AND(ISNUMBER($AN26),$G26&gt;$AN26),"Cumplida con "&amp;($G26-$AN26)&amp;IF($G26-$AN26=1," día"," días")&amp;" de retraso","Cumplida"),IF(N($M26)&gt;=1,"Cumplida",IF(NOT(ISNUMBER($AN26)),"Sin fecha límite",IF($AN26&lt;FechaRef,"Vencida hace "&amp;(FechaRef-$AN26)&amp;IF(FechaRef-$AN26=1," día"," días"),IF($AN26=FechaRef,"Vence hoy",IF($AN26-FechaRef&lt;=DiasAlerta,"Vence en "&amp;($AN26-FechaRef)&amp;IF($AN26-FechaRef=1," día"," días"),"En plazo"))))))))</f>
        <v/>
      </c>
      <c r="P26" s="62">
        <f>IF(NOT((COUNTA($B26:$D26)+COUNTA($G26:$L26)+COUNTA($Q26))&gt;0),"",IF($D26="","Propia",IF($V26&lt;&gt;"Macro","Solo se delegan macroactividades",IF(N($AH26)&gt;0,"✔ Recibida por "&amp;$D26,"⚠ "&amp;$D26&amp;" aún no la agrega"))))</f>
        <v/>
      </c>
      <c r="Q26" s="58" t="n"/>
      <c r="R26" s="63">
        <f>IF(NOT((COUNTA($B26:$D26)+COUNTA($G26:$L26)+COUNTA($Q26))&gt;0),"",IF((IF($C26="","Falta el nombre de la actividad"&amp;" · ","")&amp;IF(AND($V26="Sub",N($U26)=0),"Subactividad sin macroactividad arriba"&amp;" · ","")&amp;IF($AM26="","Sin fecha de inicio"&amp;" · ","")&amp;IF($AN26="","Sin fecha límite"&amp;" · ","")&amp;IF(AND(LEFT($C26,11)="[Jefatura] ",N($AL26)=0),"No se encuentra en la hoja de la jefatura (elíjala de nuevo en la lista)"&amp;" · ","")&amp;IF(OR(AND($E26&lt;&gt;"",NOT(ISNUMBER($E26))),AND($F26&lt;&gt;"",NOT(ISNUMBER($F26))),AND($G26&lt;&gt;"",NOT(ISNUMBER($G26)))),"Fecha no válida"&amp;" · ","")&amp;IF(AND(ISNUMBER($AM26),ISNUMBER($AN26),$AM26&gt;$AN26),"Inicio posterior a fecha límite"&amp;" · ","")&amp;IF(AND($V26="Macro",$H26&lt;&gt;"",OR(NOT(ISNUMBER($H26)),$H26&lt;0,$H26&gt;1)),"Peso fuera de rango"&amp;" · ","")&amp;IF(AND($V26="Sub",$H26&lt;&gt;""),"Las subactividades no llevan peso (valen igual dentro de su macroactividad)"&amp;" · ","")&amp;IF(AND(N($W26)&gt;0,COUNT($I26:$L26)&gt;0),"Con subactividades: deje vacías las semanas (se calculan solas)"&amp;" · ","")&amp;IF((COUNTIF($I26:$L26,"&gt;1")+COUNTIF($I26:$L26,"&lt;0")+COUNTA($I26:$L26)-COUNT($I26:$L26))&gt;0,"Avance fuera de rango 0-100%"&amp;" · ","")&amp;IF(OR(AND($J26&lt;&gt;"",$J26&lt;$I26),AND($K26&lt;&gt;"",$K26&lt;MAX($I26:$J26)),AND($L26&lt;&gt;"",$L26&lt;MAX($I26:$K26))),"Avance semanal decreciente"&amp;" · ","")&amp;IF(AND(ISNUMBER($AN26),$AN26&lt;FechaRef,IF($V26="Sub",N($X26),N($M26))&lt;1),"Vencida"&amp;" · ","")&amp;IF(AND(ObsObligatoria="Sí",ISNUMBER($AN26),$AN26&lt;FechaRef,IF($V26="Sub",N($X26),N($M26))&lt;1,$Q26=""),"Vencida sin observación"&amp;" · ",""))="","✔ OK","⚠ "&amp;LEFT(IF($C26="","Falta el nombre de la actividad"&amp;" · ","")&amp;IF(AND($V26="Sub",N($U26)=0),"Subactividad sin macroactividad arriba"&amp;" · ","")&amp;IF($AM26="","Sin fecha de inicio"&amp;" · ","")&amp;IF($AN26="","Sin fecha límite"&amp;" · ","")&amp;IF(AND(LEFT($C26,11)="[Jefatura] ",N($AL26)=0),"No se encuentra en la hoja de la jefatura (elíjala de nuevo en la lista)"&amp;" · ","")&amp;IF(OR(AND($E26&lt;&gt;"",NOT(ISNUMBER($E26))),AND($F26&lt;&gt;"",NOT(ISNUMBER($F26))),AND($G26&lt;&gt;"",NOT(ISNUMBER($G26)))),"Fecha no válida"&amp;" · ","")&amp;IF(AND(ISNUMBER($AM26),ISNUMBER($AN26),$AM26&gt;$AN26),"Inicio posterior a fecha límite"&amp;" · ","")&amp;IF(AND($V26="Macro",$H26&lt;&gt;"",OR(NOT(ISNUMBER($H26)),$H26&lt;0,$H26&gt;1)),"Peso fuera de rango"&amp;" · ","")&amp;IF(AND($V26="Sub",$H26&lt;&gt;""),"Las subactividades no llevan peso (valen igual dentro de su macroactividad)"&amp;" · ","")&amp;IF(AND(N($W26)&gt;0,COUNT($I26:$L26)&gt;0),"Con subactividades: deje vacías las semanas (se calculan solas)"&amp;" · ","")&amp;IF((COUNTIF($I26:$L26,"&gt;1")+COUNTIF($I26:$L26,"&lt;0")+COUNTA($I26:$L26)-COUNT($I26:$L26))&gt;0,"Avance fuera de rango 0-100%"&amp;" · ","")&amp;IF(OR(AND($J26&lt;&gt;"",$J26&lt;$I26),AND($K26&lt;&gt;"",$K26&lt;MAX($I26:$J26)),AND($L26&lt;&gt;"",$L26&lt;MAX($I26:$K26))),"Avance semanal decreciente"&amp;" · ","")&amp;IF(AND(ISNUMBER($AN26),$AN26&lt;FechaRef,IF($V26="Sub",N($X26),N($M26))&lt;1),"Vencida"&amp;" · ","")&amp;IF(AND(ObsObligatoria="Sí",ISNUMBER($AN26),$AN26&lt;FechaRef,IF($V26="Sub",N($X26),N($M26))&lt;1,$Q26=""),"Vencida sin observación"&amp;" · ",""),LEN(IF($C26="","Falta el nombre de la actividad"&amp;" · ","")&amp;IF(AND($V26="Sub",N($U26)=0),"Subactividad sin macroactividad arriba"&amp;" · ","")&amp;IF($AM26="","Sin fecha de inicio"&amp;" · ","")&amp;IF($AN26="","Sin fecha límite"&amp;" · ","")&amp;IF(AND(LEFT($C26,11)="[Jefatura] ",N($AL26)=0),"No se encuentra en la hoja de la jefatura (elíjala de nuevo en la lista)"&amp;" · ","")&amp;IF(OR(AND($E26&lt;&gt;"",NOT(ISNUMBER($E26))),AND($F26&lt;&gt;"",NOT(ISNUMBER($F26))),AND($G26&lt;&gt;"",NOT(ISNUMBER($G26)))),"Fecha no válida"&amp;" · ","")&amp;IF(AND(ISNUMBER($AM26),ISNUMBER($AN26),$AM26&gt;$AN26),"Inicio posterior a fecha límite"&amp;" · ","")&amp;IF(AND($V26="Macro",$H26&lt;&gt;"",OR(NOT(ISNUMBER($H26)),$H26&lt;0,$H26&gt;1)),"Peso fuera de rango"&amp;" · ","")&amp;IF(AND($V26="Sub",$H26&lt;&gt;""),"Las subactividades no llevan peso (valen igual dentro de su macroactividad)"&amp;" · ","")&amp;IF(AND(N($W26)&gt;0,COUNT($I26:$L26)&gt;0),"Con subactividades: deje vacías las semanas (se calculan solas)"&amp;" · ","")&amp;IF((COUNTIF($I26:$L26,"&gt;1")+COUNTIF($I26:$L26,"&lt;0")+COUNTA($I26:$L26)-COUNT($I26:$L26))&gt;0,"Avance fuera de rango 0-100%"&amp;" · ","")&amp;IF(OR(AND($J26&lt;&gt;"",$J26&lt;$I26),AND($K26&lt;&gt;"",$K26&lt;MAX($I26:$J26)),AND($L26&lt;&gt;"",$L26&lt;MAX($I26:$K26))),"Avance semanal decreciente"&amp;" · ","")&amp;IF(AND(ISNUMBER($AN26),$AN26&lt;FechaRef,IF($V26="Sub",N($X26),N($M26))&lt;1),"Vencida"&amp;" · ","")&amp;IF(AND(ObsObligatoria="Sí",ISNUMBER($AN26),$AN26&lt;FechaRef,IF($V26="Sub",N($X26),N($M26))&lt;1,$Q26=""),"Vencida sin observación"&amp;" · ",""))-3)))</f>
        <v/>
      </c>
      <c r="S26" s="64">
        <f>IF(NOT((COUNTA($B26:$D26)+COUNTA($G26:$L26)+COUNTA($Q26))&gt;0),"",IF(AND($V26="Sub",N($U26)&gt;0),IF(ISNUMBER(INDEX($AM$5:$AM$1000,$U26-4)),DATE(YEAR(INDEX($AM$5:$AM$1000,$U26-4)),MONTH(INDEX($AM$5:$AM$1000,$U26-4)),1),IF(ISNUMBER(INDEX($AN$5:$AN$1000,$U26-4)),DATE(YEAR(INDEX($AN$5:$AN$1000,$U26-4)),MONTH(INDEX($AN$5:$AN$1000,$U26-4)),1),MesCiclo)),IF(ISNUMBER($AM26),DATE(YEAR($AM26),MONTH($AM26),1),IF(ISNUMBER($AN26),DATE(YEAR($AN26),MONTH($AN26),1),MesCiclo))))</f>
        <v/>
      </c>
      <c r="T26" s="62">
        <f>IF(OR($S26="",$S26&lt;&gt;MesCiclo,$V26&lt;&gt;"Macro"),"",COUNTIFS($S$5:$S26,MesCiclo,$V$5:$V26,"Macro"))</f>
        <v/>
      </c>
      <c r="U26" s="62">
        <f>IF($V26="","",IF($V26="Macro",ROW(),IFERROR(LOOKUP(2,1/($V$5:$V26="Macro"),ROW($V$5:$V26)),0)))</f>
        <v/>
      </c>
      <c r="V26" s="62">
        <f>IF(NOT((COUNTA($B26:$D26)+COUNTA($G26:$L26)+COUNTA($Q26))&gt;0),"",IF($B26="Subactividad","Sub","Macro"))</f>
        <v/>
      </c>
      <c r="W26" s="62">
        <f>IF($V26="Macro",COUNTIFS($U$5:$U$1000,ROW(),$V$5:$V$1000,"Sub"),"")</f>
        <v/>
      </c>
      <c r="X26" s="62">
        <f>IF($V26="","",IF(ISNUMBER($G26),1,IFERROR(LOOKUP(2,1/($I26:$L26&lt;&gt;""),$I26:$L26),0)))</f>
        <v/>
      </c>
      <c r="Y26" s="62">
        <f>IF($V26="","",IF(AND(ISNUMBER($G26),$G26&lt;=IF($S26=MesCiclo,InicioCiclo,$S26+MOD(2-WEEKDAY($S26),7))+6),1,IF(ISNUMBER($I26),$I26,0)))</f>
        <v/>
      </c>
      <c r="Z26" s="62">
        <f>IF($V26="","",IF(AND(ISNUMBER($G26),$G26&lt;=IF($S26=MesCiclo,InicioCiclo,$S26+MOD(2-WEEKDAY($S26),7))+13),1,IF(ISNUMBER($J26),$J26,$Y26)))</f>
        <v/>
      </c>
      <c r="AA26" s="62">
        <f>IF($V26="","",IF(AND(ISNUMBER($G26),$G26&lt;=IF($S26=MesCiclo,InicioCiclo,$S26+MOD(2-WEEKDAY($S26),7))+20),1,IF(ISNUMBER($K26),$K26,$Z26)))</f>
        <v/>
      </c>
      <c r="AB26" s="62">
        <f>IF($V26="","",IF(AND(ISNUMBER($G26),$G26&lt;=IF($S26=MesCiclo,InicioCiclo,$S26+MOD(2-WEEKDAY($S26),7))+27),1,IF(ISNUMBER($L26),$L26,$AA26)))</f>
        <v/>
      </c>
      <c r="AC26" s="62">
        <f>IF($V26="","",IF(AND(ISNUMBER($G26),$G26&lt;=IF($S26=MesCiclo,InicioCiclo,$S26+MOD(2-WEEKDAY($S26),7))+6),1,IF(N($W26)&gt;0,AVERAGEIFS($Y$5:$Y$1000,$U$5:$U$1000,ROW(),$V$5:$V$1000,"Sub"),$Y26)))</f>
        <v/>
      </c>
      <c r="AD26" s="62">
        <f>IF($V26="","",IF(AND(ISNUMBER($G26),$G26&lt;=IF($S26=MesCiclo,InicioCiclo,$S26+MOD(2-WEEKDAY($S26),7))+13),1,IF(N($W26)&gt;0,AVERAGEIFS($Z$5:$Z$1000,$U$5:$U$1000,ROW(),$V$5:$V$1000,"Sub"),$Z26)))</f>
        <v/>
      </c>
      <c r="AE26" s="62">
        <f>IF($V26="","",IF(AND(ISNUMBER($G26),$G26&lt;=IF($S26=MesCiclo,InicioCiclo,$S26+MOD(2-WEEKDAY($S26),7))+20),1,IF(N($W26)&gt;0,AVERAGEIFS($AA$5:$AA$1000,$U$5:$U$1000,ROW(),$V$5:$V$1000,"Sub"),$AA26)))</f>
        <v/>
      </c>
      <c r="AF26" s="62">
        <f>IF($V26="","",IF(AND(ISNUMBER($G26),$G26&lt;=IF($S26=MesCiclo,InicioCiclo,$S26+MOD(2-WEEKDAY($S26),7))+27),1,IF(N($W26)&gt;0,AVERAGEIFS($AB$5:$AB$1000,$U$5:$U$1000,ROW(),$V$5:$V$1000,"Sub"),$AB26)))</f>
        <v/>
      </c>
      <c r="AG26" s="62">
        <f>IF($V26&lt;&gt;"Macro","",IF(COUNTIFS($S$5:$S$1000,$S26,$V$5:$V$1000,"Macro",$H$5:$H$1000,"&gt;0")=0,1/COUNTIFS($S$5:$S$1000,$S26,$V$5:$V$1000,"Macro"),IF(AND(ISNUMBER($H26),N($H26)&gt;0),$H26,SUMIFS($H$5:$H$1000,$S$5:$S$1000,$S26,$V$5:$V$1000,"Macro")/COUNTIFS($S$5:$S$1000,$S26,$V$5:$V$1000,"Macro",$H$5:$H$1000,"&gt;0"))/(COUNTIFS($S$5:$S$1000,$S26,$V$5:$V$1000,"Macro")*SUMIFS($H$5:$H$1000,$S$5:$S$1000,$S26,$V$5:$V$1000,"Macro")/COUNTIFS($S$5:$S$1000,$S26,$V$5:$V$1000,"Macro",$H$5:$H$1000,"&gt;0"))))</f>
        <v/>
      </c>
      <c r="AH26" s="62">
        <f>IF(NOT(AND($D26&lt;&gt;"",$V26="Macro")),"",IFERROR(CHOOSE(MATCH($D26,ListaPuestos,0),MATCH("[Jefatura] "&amp;$C26,'Cronograma R. Operacional'!$C$5:$C$1000,0),MATCH("[Jefatura] "&amp;$C26,'Cronograma R. Normativo'!$C$5:$C$1000,0),MATCH("[Jefatura] "&amp;$C26,'Cronograma R. Financiero'!$C$5:$C$1000,0),MATCH("[Jefatura] "&amp;$C26,'Cronograma Asistente Técnico'!$C$5:$C$1000,0)),0))</f>
        <v/>
      </c>
      <c r="AI26" s="62">
        <f>IF(AND(AND($D26&lt;&gt;"",$V26="Macro"),$S26=MesCiclo),COUNTIFS($D$5:$D26,$D26,$S$5:$S26,MesCiclo,$V$5:$V26,"Macro"),"")</f>
        <v/>
      </c>
      <c r="AJ26" s="62">
        <f>IF($AI26="","",$D26&amp;"|"&amp;$AI26)</f>
        <v/>
      </c>
      <c r="AK26" s="62">
        <f>IF(AND($D26&lt;&gt;"",$V26="Macro"),$D26&amp;"|"&amp;$C26,"")</f>
        <v/>
      </c>
      <c r="AL26" s="62">
        <f>""</f>
        <v/>
      </c>
      <c r="AM26" s="62">
        <f>IF(N($AL26)&gt;0,INDEX(rIni_ADM,$AL26),IF(ISNUMBER($E26),$E26,""))</f>
        <v/>
      </c>
      <c r="AN26" s="62">
        <f>IF(N($AL26)&gt;0,INDEX(rLim_ADM,$AL26),IF(ISNUMBER($F26),$F26,""))</f>
        <v/>
      </c>
    </row>
    <row r="27">
      <c r="A27" s="56">
        <f>IF(NOT((COUNTA($B27:$D27)+COUNTA($G27:$L27)+COUNTA($Q27))&gt;0),"",IF($V27="Macro",COUNTIFS($V$5:$V27,"Macro",$S$5:$S27,$S27),IF(N($U27)=0,"?",COUNTIFS(INDEX($V$5:$V$1000,1):INDEX($V$5:$V$1000,$U27-4),"Macro",INDEX($S$5:$S$1000,1):INDEX($S$5:$S$1000,$U27-4),INDEX($S$5:$S$1000,$U27-4))&amp;"."&amp;COUNTIFS($U$5:$U27,$U27,$V$5:$V27,"Sub"))))</f>
        <v/>
      </c>
      <c r="B27" s="57" t="n"/>
      <c r="C27" s="58" t="n"/>
      <c r="D27" s="58" t="n"/>
      <c r="E27" s="59" t="n"/>
      <c r="F27" s="59" t="n"/>
      <c r="G27" s="59" t="n"/>
      <c r="H27" s="60" t="n"/>
      <c r="I27" s="60" t="n"/>
      <c r="J27" s="60" t="n"/>
      <c r="K27" s="60" t="n"/>
      <c r="L27" s="60" t="n"/>
      <c r="M27" s="61">
        <f>IF(NOT((COUNTA($B27:$D27)+COUNTA($G27:$L27)+COUNTA($Q27))&gt;0),"",IF(AND($D27&lt;&gt;"",$V27="Macro"),IF(N($AH27)&gt;0,N(CHOOSE(MATCH($D27,ListaPuestos,0),INDEX('Cronograma R. Operacional'!$M$5:$M$1000,$AH27),INDEX('Cronograma R. Normativo'!$M$5:$M$1000,$AH27),INDEX('Cronograma R. Financiero'!$M$5:$M$1000,$AH27),INDEX('Cronograma Asistente Técnico'!$M$5:$M$1000,$AH27))),0),IF(ISNUMBER($G27),1,IF(N($W27)&gt;0,AVERAGEIFS($X$5:$X$1000,$U$5:$U$1000,ROW(),$V$5:$V$1000,"Sub"),$X27))))</f>
        <v/>
      </c>
      <c r="N27" s="56">
        <f>IF(OR($M27="",$V27="Sub"),"",IF($M27&gt;=1,"Completado",IF($M27&gt;0,"En curso","Pendiente")))</f>
        <v/>
      </c>
      <c r="O27" s="56">
        <f>IF(NOT((COUNTA($B27:$D27)+COUNTA($G27:$L27)+COUNTA($Q27))&gt;0),"",IF(AND(AND($D27&lt;&gt;"",$V27="Macro"),N($AH27)&gt;0),CHOOSE(MATCH($D27,ListaPuestos,0),INDEX('Cronograma R. Operacional'!$O$5:$O$1000,$AH27),INDEX('Cronograma R. Normativo'!$O$5:$O$1000,$AH27),INDEX('Cronograma R. Financiero'!$O$5:$O$1000,$AH27),INDEX('Cronograma Asistente Técnico'!$O$5:$O$1000,$AH27))&amp;"",IF(ISNUMBER($G27),IF(AND(ISNUMBER($AN27),$G27&gt;$AN27),"Cumplida con "&amp;($G27-$AN27)&amp;IF($G27-$AN27=1," día"," días")&amp;" de retraso","Cumplida"),IF(N($M27)&gt;=1,"Cumplida",IF(NOT(ISNUMBER($AN27)),"Sin fecha límite",IF($AN27&lt;FechaRef,"Vencida hace "&amp;(FechaRef-$AN27)&amp;IF(FechaRef-$AN27=1," día"," días"),IF($AN27=FechaRef,"Vence hoy",IF($AN27-FechaRef&lt;=DiasAlerta,"Vence en "&amp;($AN27-FechaRef)&amp;IF($AN27-FechaRef=1," día"," días"),"En plazo"))))))))</f>
        <v/>
      </c>
      <c r="P27" s="62">
        <f>IF(NOT((COUNTA($B27:$D27)+COUNTA($G27:$L27)+COUNTA($Q27))&gt;0),"",IF($D27="","Propia",IF($V27&lt;&gt;"Macro","Solo se delegan macroactividades",IF(N($AH27)&gt;0,"✔ Recibida por "&amp;$D27,"⚠ "&amp;$D27&amp;" aún no la agrega"))))</f>
        <v/>
      </c>
      <c r="Q27" s="58" t="n"/>
      <c r="R27" s="63">
        <f>IF(NOT((COUNTA($B27:$D27)+COUNTA($G27:$L27)+COUNTA($Q27))&gt;0),"",IF((IF($C27="","Falta el nombre de la actividad"&amp;" · ","")&amp;IF(AND($V27="Sub",N($U27)=0),"Subactividad sin macroactividad arriba"&amp;" · ","")&amp;IF($AM27="","Sin fecha de inicio"&amp;" · ","")&amp;IF($AN27="","Sin fecha límite"&amp;" · ","")&amp;IF(AND(LEFT($C27,11)="[Jefatura] ",N($AL27)=0),"No se encuentra en la hoja de la jefatura (elíjala de nuevo en la lista)"&amp;" · ","")&amp;IF(OR(AND($E27&lt;&gt;"",NOT(ISNUMBER($E27))),AND($F27&lt;&gt;"",NOT(ISNUMBER($F27))),AND($G27&lt;&gt;"",NOT(ISNUMBER($G27)))),"Fecha no válida"&amp;" · ","")&amp;IF(AND(ISNUMBER($AM27),ISNUMBER($AN27),$AM27&gt;$AN27),"Inicio posterior a fecha límite"&amp;" · ","")&amp;IF(AND($V27="Macro",$H27&lt;&gt;"",OR(NOT(ISNUMBER($H27)),$H27&lt;0,$H27&gt;1)),"Peso fuera de rango"&amp;" · ","")&amp;IF(AND($V27="Sub",$H27&lt;&gt;""),"Las subactividades no llevan peso (valen igual dentro de su macroactividad)"&amp;" · ","")&amp;IF(AND(N($W27)&gt;0,COUNT($I27:$L27)&gt;0),"Con subactividades: deje vacías las semanas (se calculan solas)"&amp;" · ","")&amp;IF((COUNTIF($I27:$L27,"&gt;1")+COUNTIF($I27:$L27,"&lt;0")+COUNTA($I27:$L27)-COUNT($I27:$L27))&gt;0,"Avance fuera de rango 0-100%"&amp;" · ","")&amp;IF(OR(AND($J27&lt;&gt;"",$J27&lt;$I27),AND($K27&lt;&gt;"",$K27&lt;MAX($I27:$J27)),AND($L27&lt;&gt;"",$L27&lt;MAX($I27:$K27))),"Avance semanal decreciente"&amp;" · ","")&amp;IF(AND(ISNUMBER($AN27),$AN27&lt;FechaRef,IF($V27="Sub",N($X27),N($M27))&lt;1),"Vencida"&amp;" · ","")&amp;IF(AND(ObsObligatoria="Sí",ISNUMBER($AN27),$AN27&lt;FechaRef,IF($V27="Sub",N($X27),N($M27))&lt;1,$Q27=""),"Vencida sin observación"&amp;" · ",""))="","✔ OK","⚠ "&amp;LEFT(IF($C27="","Falta el nombre de la actividad"&amp;" · ","")&amp;IF(AND($V27="Sub",N($U27)=0),"Subactividad sin macroactividad arriba"&amp;" · ","")&amp;IF($AM27="","Sin fecha de inicio"&amp;" · ","")&amp;IF($AN27="","Sin fecha límite"&amp;" · ","")&amp;IF(AND(LEFT($C27,11)="[Jefatura] ",N($AL27)=0),"No se encuentra en la hoja de la jefatura (elíjala de nuevo en la lista)"&amp;" · ","")&amp;IF(OR(AND($E27&lt;&gt;"",NOT(ISNUMBER($E27))),AND($F27&lt;&gt;"",NOT(ISNUMBER($F27))),AND($G27&lt;&gt;"",NOT(ISNUMBER($G27)))),"Fecha no válida"&amp;" · ","")&amp;IF(AND(ISNUMBER($AM27),ISNUMBER($AN27),$AM27&gt;$AN27),"Inicio posterior a fecha límite"&amp;" · ","")&amp;IF(AND($V27="Macro",$H27&lt;&gt;"",OR(NOT(ISNUMBER($H27)),$H27&lt;0,$H27&gt;1)),"Peso fuera de rango"&amp;" · ","")&amp;IF(AND($V27="Sub",$H27&lt;&gt;""),"Las subactividades no llevan peso (valen igual dentro de su macroactividad)"&amp;" · ","")&amp;IF(AND(N($W27)&gt;0,COUNT($I27:$L27)&gt;0),"Con subactividades: deje vacías las semanas (se calculan solas)"&amp;" · ","")&amp;IF((COUNTIF($I27:$L27,"&gt;1")+COUNTIF($I27:$L27,"&lt;0")+COUNTA($I27:$L27)-COUNT($I27:$L27))&gt;0,"Avance fuera de rango 0-100%"&amp;" · ","")&amp;IF(OR(AND($J27&lt;&gt;"",$J27&lt;$I27),AND($K27&lt;&gt;"",$K27&lt;MAX($I27:$J27)),AND($L27&lt;&gt;"",$L27&lt;MAX($I27:$K27))),"Avance semanal decreciente"&amp;" · ","")&amp;IF(AND(ISNUMBER($AN27),$AN27&lt;FechaRef,IF($V27="Sub",N($X27),N($M27))&lt;1),"Vencida"&amp;" · ","")&amp;IF(AND(ObsObligatoria="Sí",ISNUMBER($AN27),$AN27&lt;FechaRef,IF($V27="Sub",N($X27),N($M27))&lt;1,$Q27=""),"Vencida sin observación"&amp;" · ",""),LEN(IF($C27="","Falta el nombre de la actividad"&amp;" · ","")&amp;IF(AND($V27="Sub",N($U27)=0),"Subactividad sin macroactividad arriba"&amp;" · ","")&amp;IF($AM27="","Sin fecha de inicio"&amp;" · ","")&amp;IF($AN27="","Sin fecha límite"&amp;" · ","")&amp;IF(AND(LEFT($C27,11)="[Jefatura] ",N($AL27)=0),"No se encuentra en la hoja de la jefatura (elíjala de nuevo en la lista)"&amp;" · ","")&amp;IF(OR(AND($E27&lt;&gt;"",NOT(ISNUMBER($E27))),AND($F27&lt;&gt;"",NOT(ISNUMBER($F27))),AND($G27&lt;&gt;"",NOT(ISNUMBER($G27)))),"Fecha no válida"&amp;" · ","")&amp;IF(AND(ISNUMBER($AM27),ISNUMBER($AN27),$AM27&gt;$AN27),"Inicio posterior a fecha límite"&amp;" · ","")&amp;IF(AND($V27="Macro",$H27&lt;&gt;"",OR(NOT(ISNUMBER($H27)),$H27&lt;0,$H27&gt;1)),"Peso fuera de rango"&amp;" · ","")&amp;IF(AND($V27="Sub",$H27&lt;&gt;""),"Las subactividades no llevan peso (valen igual dentro de su macroactividad)"&amp;" · ","")&amp;IF(AND(N($W27)&gt;0,COUNT($I27:$L27)&gt;0),"Con subactividades: deje vacías las semanas (se calculan solas)"&amp;" · ","")&amp;IF((COUNTIF($I27:$L27,"&gt;1")+COUNTIF($I27:$L27,"&lt;0")+COUNTA($I27:$L27)-COUNT($I27:$L27))&gt;0,"Avance fuera de rango 0-100%"&amp;" · ","")&amp;IF(OR(AND($J27&lt;&gt;"",$J27&lt;$I27),AND($K27&lt;&gt;"",$K27&lt;MAX($I27:$J27)),AND($L27&lt;&gt;"",$L27&lt;MAX($I27:$K27))),"Avance semanal decreciente"&amp;" · ","")&amp;IF(AND(ISNUMBER($AN27),$AN27&lt;FechaRef,IF($V27="Sub",N($X27),N($M27))&lt;1),"Vencida"&amp;" · ","")&amp;IF(AND(ObsObligatoria="Sí",ISNUMBER($AN27),$AN27&lt;FechaRef,IF($V27="Sub",N($X27),N($M27))&lt;1,$Q27=""),"Vencida sin observación"&amp;" · ",""))-3)))</f>
        <v/>
      </c>
      <c r="S27" s="64">
        <f>IF(NOT((COUNTA($B27:$D27)+COUNTA($G27:$L27)+COUNTA($Q27))&gt;0),"",IF(AND($V27="Sub",N($U27)&gt;0),IF(ISNUMBER(INDEX($AM$5:$AM$1000,$U27-4)),DATE(YEAR(INDEX($AM$5:$AM$1000,$U27-4)),MONTH(INDEX($AM$5:$AM$1000,$U27-4)),1),IF(ISNUMBER(INDEX($AN$5:$AN$1000,$U27-4)),DATE(YEAR(INDEX($AN$5:$AN$1000,$U27-4)),MONTH(INDEX($AN$5:$AN$1000,$U27-4)),1),MesCiclo)),IF(ISNUMBER($AM27),DATE(YEAR($AM27),MONTH($AM27),1),IF(ISNUMBER($AN27),DATE(YEAR($AN27),MONTH($AN27),1),MesCiclo))))</f>
        <v/>
      </c>
      <c r="T27" s="62">
        <f>IF(OR($S27="",$S27&lt;&gt;MesCiclo,$V27&lt;&gt;"Macro"),"",COUNTIFS($S$5:$S27,MesCiclo,$V$5:$V27,"Macro"))</f>
        <v/>
      </c>
      <c r="U27" s="62">
        <f>IF($V27="","",IF($V27="Macro",ROW(),IFERROR(LOOKUP(2,1/($V$5:$V27="Macro"),ROW($V$5:$V27)),0)))</f>
        <v/>
      </c>
      <c r="V27" s="62">
        <f>IF(NOT((COUNTA($B27:$D27)+COUNTA($G27:$L27)+COUNTA($Q27))&gt;0),"",IF($B27="Subactividad","Sub","Macro"))</f>
        <v/>
      </c>
      <c r="W27" s="62">
        <f>IF($V27="Macro",COUNTIFS($U$5:$U$1000,ROW(),$V$5:$V$1000,"Sub"),"")</f>
        <v/>
      </c>
      <c r="X27" s="62">
        <f>IF($V27="","",IF(ISNUMBER($G27),1,IFERROR(LOOKUP(2,1/($I27:$L27&lt;&gt;""),$I27:$L27),0)))</f>
        <v/>
      </c>
      <c r="Y27" s="62">
        <f>IF($V27="","",IF(AND(ISNUMBER($G27),$G27&lt;=IF($S27=MesCiclo,InicioCiclo,$S27+MOD(2-WEEKDAY($S27),7))+6),1,IF(ISNUMBER($I27),$I27,0)))</f>
        <v/>
      </c>
      <c r="Z27" s="62">
        <f>IF($V27="","",IF(AND(ISNUMBER($G27),$G27&lt;=IF($S27=MesCiclo,InicioCiclo,$S27+MOD(2-WEEKDAY($S27),7))+13),1,IF(ISNUMBER($J27),$J27,$Y27)))</f>
        <v/>
      </c>
      <c r="AA27" s="62">
        <f>IF($V27="","",IF(AND(ISNUMBER($G27),$G27&lt;=IF($S27=MesCiclo,InicioCiclo,$S27+MOD(2-WEEKDAY($S27),7))+20),1,IF(ISNUMBER($K27),$K27,$Z27)))</f>
        <v/>
      </c>
      <c r="AB27" s="62">
        <f>IF($V27="","",IF(AND(ISNUMBER($G27),$G27&lt;=IF($S27=MesCiclo,InicioCiclo,$S27+MOD(2-WEEKDAY($S27),7))+27),1,IF(ISNUMBER($L27),$L27,$AA27)))</f>
        <v/>
      </c>
      <c r="AC27" s="62">
        <f>IF($V27="","",IF(AND(ISNUMBER($G27),$G27&lt;=IF($S27=MesCiclo,InicioCiclo,$S27+MOD(2-WEEKDAY($S27),7))+6),1,IF(N($W27)&gt;0,AVERAGEIFS($Y$5:$Y$1000,$U$5:$U$1000,ROW(),$V$5:$V$1000,"Sub"),$Y27)))</f>
        <v/>
      </c>
      <c r="AD27" s="62">
        <f>IF($V27="","",IF(AND(ISNUMBER($G27),$G27&lt;=IF($S27=MesCiclo,InicioCiclo,$S27+MOD(2-WEEKDAY($S27),7))+13),1,IF(N($W27)&gt;0,AVERAGEIFS($Z$5:$Z$1000,$U$5:$U$1000,ROW(),$V$5:$V$1000,"Sub"),$Z27)))</f>
        <v/>
      </c>
      <c r="AE27" s="62">
        <f>IF($V27="","",IF(AND(ISNUMBER($G27),$G27&lt;=IF($S27=MesCiclo,InicioCiclo,$S27+MOD(2-WEEKDAY($S27),7))+20),1,IF(N($W27)&gt;0,AVERAGEIFS($AA$5:$AA$1000,$U$5:$U$1000,ROW(),$V$5:$V$1000,"Sub"),$AA27)))</f>
        <v/>
      </c>
      <c r="AF27" s="62">
        <f>IF($V27="","",IF(AND(ISNUMBER($G27),$G27&lt;=IF($S27=MesCiclo,InicioCiclo,$S27+MOD(2-WEEKDAY($S27),7))+27),1,IF(N($W27)&gt;0,AVERAGEIFS($AB$5:$AB$1000,$U$5:$U$1000,ROW(),$V$5:$V$1000,"Sub"),$AB27)))</f>
        <v/>
      </c>
      <c r="AG27" s="62">
        <f>IF($V27&lt;&gt;"Macro","",IF(COUNTIFS($S$5:$S$1000,$S27,$V$5:$V$1000,"Macro",$H$5:$H$1000,"&gt;0")=0,1/COUNTIFS($S$5:$S$1000,$S27,$V$5:$V$1000,"Macro"),IF(AND(ISNUMBER($H27),N($H27)&gt;0),$H27,SUMIFS($H$5:$H$1000,$S$5:$S$1000,$S27,$V$5:$V$1000,"Macro")/COUNTIFS($S$5:$S$1000,$S27,$V$5:$V$1000,"Macro",$H$5:$H$1000,"&gt;0"))/(COUNTIFS($S$5:$S$1000,$S27,$V$5:$V$1000,"Macro")*SUMIFS($H$5:$H$1000,$S$5:$S$1000,$S27,$V$5:$V$1000,"Macro")/COUNTIFS($S$5:$S$1000,$S27,$V$5:$V$1000,"Macro",$H$5:$H$1000,"&gt;0"))))</f>
        <v/>
      </c>
      <c r="AH27" s="62">
        <f>IF(NOT(AND($D27&lt;&gt;"",$V27="Macro")),"",IFERROR(CHOOSE(MATCH($D27,ListaPuestos,0),MATCH("[Jefatura] "&amp;$C27,'Cronograma R. Operacional'!$C$5:$C$1000,0),MATCH("[Jefatura] "&amp;$C27,'Cronograma R. Normativo'!$C$5:$C$1000,0),MATCH("[Jefatura] "&amp;$C27,'Cronograma R. Financiero'!$C$5:$C$1000,0),MATCH("[Jefatura] "&amp;$C27,'Cronograma Asistente Técnico'!$C$5:$C$1000,0)),0))</f>
        <v/>
      </c>
      <c r="AI27" s="62">
        <f>IF(AND(AND($D27&lt;&gt;"",$V27="Macro"),$S27=MesCiclo),COUNTIFS($D$5:$D27,$D27,$S$5:$S27,MesCiclo,$V$5:$V27,"Macro"),"")</f>
        <v/>
      </c>
      <c r="AJ27" s="62">
        <f>IF($AI27="","",$D27&amp;"|"&amp;$AI27)</f>
        <v/>
      </c>
      <c r="AK27" s="62">
        <f>IF(AND($D27&lt;&gt;"",$V27="Macro"),$D27&amp;"|"&amp;$C27,"")</f>
        <v/>
      </c>
      <c r="AL27" s="62">
        <f>""</f>
        <v/>
      </c>
      <c r="AM27" s="62">
        <f>IF(N($AL27)&gt;0,INDEX(rIni_ADM,$AL27),IF(ISNUMBER($E27),$E27,""))</f>
        <v/>
      </c>
      <c r="AN27" s="62">
        <f>IF(N($AL27)&gt;0,INDEX(rLim_ADM,$AL27),IF(ISNUMBER($F27),$F27,""))</f>
        <v/>
      </c>
    </row>
    <row r="28">
      <c r="A28" s="56">
        <f>IF(NOT((COUNTA($B28:$D28)+COUNTA($G28:$L28)+COUNTA($Q28))&gt;0),"",IF($V28="Macro",COUNTIFS($V$5:$V28,"Macro",$S$5:$S28,$S28),IF(N($U28)=0,"?",COUNTIFS(INDEX($V$5:$V$1000,1):INDEX($V$5:$V$1000,$U28-4),"Macro",INDEX($S$5:$S$1000,1):INDEX($S$5:$S$1000,$U28-4),INDEX($S$5:$S$1000,$U28-4))&amp;"."&amp;COUNTIFS($U$5:$U28,$U28,$V$5:$V28,"Sub"))))</f>
        <v/>
      </c>
      <c r="B28" s="57" t="n"/>
      <c r="C28" s="58" t="n"/>
      <c r="D28" s="58" t="n"/>
      <c r="E28" s="59" t="n"/>
      <c r="F28" s="59" t="n"/>
      <c r="G28" s="59" t="n"/>
      <c r="H28" s="60" t="n"/>
      <c r="I28" s="60" t="n"/>
      <c r="J28" s="60" t="n"/>
      <c r="K28" s="60" t="n"/>
      <c r="L28" s="60" t="n"/>
      <c r="M28" s="61">
        <f>IF(NOT((COUNTA($B28:$D28)+COUNTA($G28:$L28)+COUNTA($Q28))&gt;0),"",IF(AND($D28&lt;&gt;"",$V28="Macro"),IF(N($AH28)&gt;0,N(CHOOSE(MATCH($D28,ListaPuestos,0),INDEX('Cronograma R. Operacional'!$M$5:$M$1000,$AH28),INDEX('Cronograma R. Normativo'!$M$5:$M$1000,$AH28),INDEX('Cronograma R. Financiero'!$M$5:$M$1000,$AH28),INDEX('Cronograma Asistente Técnico'!$M$5:$M$1000,$AH28))),0),IF(ISNUMBER($G28),1,IF(N($W28)&gt;0,AVERAGEIFS($X$5:$X$1000,$U$5:$U$1000,ROW(),$V$5:$V$1000,"Sub"),$X28))))</f>
        <v/>
      </c>
      <c r="N28" s="56">
        <f>IF(OR($M28="",$V28="Sub"),"",IF($M28&gt;=1,"Completado",IF($M28&gt;0,"En curso","Pendiente")))</f>
        <v/>
      </c>
      <c r="O28" s="56">
        <f>IF(NOT((COUNTA($B28:$D28)+COUNTA($G28:$L28)+COUNTA($Q28))&gt;0),"",IF(AND(AND($D28&lt;&gt;"",$V28="Macro"),N($AH28)&gt;0),CHOOSE(MATCH($D28,ListaPuestos,0),INDEX('Cronograma R. Operacional'!$O$5:$O$1000,$AH28),INDEX('Cronograma R. Normativo'!$O$5:$O$1000,$AH28),INDEX('Cronograma R. Financiero'!$O$5:$O$1000,$AH28),INDEX('Cronograma Asistente Técnico'!$O$5:$O$1000,$AH28))&amp;"",IF(ISNUMBER($G28),IF(AND(ISNUMBER($AN28),$G28&gt;$AN28),"Cumplida con "&amp;($G28-$AN28)&amp;IF($G28-$AN28=1," día"," días")&amp;" de retraso","Cumplida"),IF(N($M28)&gt;=1,"Cumplida",IF(NOT(ISNUMBER($AN28)),"Sin fecha límite",IF($AN28&lt;FechaRef,"Vencida hace "&amp;(FechaRef-$AN28)&amp;IF(FechaRef-$AN28=1," día"," días"),IF($AN28=FechaRef,"Vence hoy",IF($AN28-FechaRef&lt;=DiasAlerta,"Vence en "&amp;($AN28-FechaRef)&amp;IF($AN28-FechaRef=1," día"," días"),"En plazo"))))))))</f>
        <v/>
      </c>
      <c r="P28" s="62">
        <f>IF(NOT((COUNTA($B28:$D28)+COUNTA($G28:$L28)+COUNTA($Q28))&gt;0),"",IF($D28="","Propia",IF($V28&lt;&gt;"Macro","Solo se delegan macroactividades",IF(N($AH28)&gt;0,"✔ Recibida por "&amp;$D28,"⚠ "&amp;$D28&amp;" aún no la agrega"))))</f>
        <v/>
      </c>
      <c r="Q28" s="58" t="n"/>
      <c r="R28" s="63">
        <f>IF(NOT((COUNTA($B28:$D28)+COUNTA($G28:$L28)+COUNTA($Q28))&gt;0),"",IF((IF($C28="","Falta el nombre de la actividad"&amp;" · ","")&amp;IF(AND($V28="Sub",N($U28)=0),"Subactividad sin macroactividad arriba"&amp;" · ","")&amp;IF($AM28="","Sin fecha de inicio"&amp;" · ","")&amp;IF($AN28="","Sin fecha límite"&amp;" · ","")&amp;IF(AND(LEFT($C28,11)="[Jefatura] ",N($AL28)=0),"No se encuentra en la hoja de la jefatura (elíjala de nuevo en la lista)"&amp;" · ","")&amp;IF(OR(AND($E28&lt;&gt;"",NOT(ISNUMBER($E28))),AND($F28&lt;&gt;"",NOT(ISNUMBER($F28))),AND($G28&lt;&gt;"",NOT(ISNUMBER($G28)))),"Fecha no válida"&amp;" · ","")&amp;IF(AND(ISNUMBER($AM28),ISNUMBER($AN28),$AM28&gt;$AN28),"Inicio posterior a fecha límite"&amp;" · ","")&amp;IF(AND($V28="Macro",$H28&lt;&gt;"",OR(NOT(ISNUMBER($H28)),$H28&lt;0,$H28&gt;1)),"Peso fuera de rango"&amp;" · ","")&amp;IF(AND($V28="Sub",$H28&lt;&gt;""),"Las subactividades no llevan peso (valen igual dentro de su macroactividad)"&amp;" · ","")&amp;IF(AND(N($W28)&gt;0,COUNT($I28:$L28)&gt;0),"Con subactividades: deje vacías las semanas (se calculan solas)"&amp;" · ","")&amp;IF((COUNTIF($I28:$L28,"&gt;1")+COUNTIF($I28:$L28,"&lt;0")+COUNTA($I28:$L28)-COUNT($I28:$L28))&gt;0,"Avance fuera de rango 0-100%"&amp;" · ","")&amp;IF(OR(AND($J28&lt;&gt;"",$J28&lt;$I28),AND($K28&lt;&gt;"",$K28&lt;MAX($I28:$J28)),AND($L28&lt;&gt;"",$L28&lt;MAX($I28:$K28))),"Avance semanal decreciente"&amp;" · ","")&amp;IF(AND(ISNUMBER($AN28),$AN28&lt;FechaRef,IF($V28="Sub",N($X28),N($M28))&lt;1),"Vencida"&amp;" · ","")&amp;IF(AND(ObsObligatoria="Sí",ISNUMBER($AN28),$AN28&lt;FechaRef,IF($V28="Sub",N($X28),N($M28))&lt;1,$Q28=""),"Vencida sin observación"&amp;" · ",""))="","✔ OK","⚠ "&amp;LEFT(IF($C28="","Falta el nombre de la actividad"&amp;" · ","")&amp;IF(AND($V28="Sub",N($U28)=0),"Subactividad sin macroactividad arriba"&amp;" · ","")&amp;IF($AM28="","Sin fecha de inicio"&amp;" · ","")&amp;IF($AN28="","Sin fecha límite"&amp;" · ","")&amp;IF(AND(LEFT($C28,11)="[Jefatura] ",N($AL28)=0),"No se encuentra en la hoja de la jefatura (elíjala de nuevo en la lista)"&amp;" · ","")&amp;IF(OR(AND($E28&lt;&gt;"",NOT(ISNUMBER($E28))),AND($F28&lt;&gt;"",NOT(ISNUMBER($F28))),AND($G28&lt;&gt;"",NOT(ISNUMBER($G28)))),"Fecha no válida"&amp;" · ","")&amp;IF(AND(ISNUMBER($AM28),ISNUMBER($AN28),$AM28&gt;$AN28),"Inicio posterior a fecha límite"&amp;" · ","")&amp;IF(AND($V28="Macro",$H28&lt;&gt;"",OR(NOT(ISNUMBER($H28)),$H28&lt;0,$H28&gt;1)),"Peso fuera de rango"&amp;" · ","")&amp;IF(AND($V28="Sub",$H28&lt;&gt;""),"Las subactividades no llevan peso (valen igual dentro de su macroactividad)"&amp;" · ","")&amp;IF(AND(N($W28)&gt;0,COUNT($I28:$L28)&gt;0),"Con subactividades: deje vacías las semanas (se calculan solas)"&amp;" · ","")&amp;IF((COUNTIF($I28:$L28,"&gt;1")+COUNTIF($I28:$L28,"&lt;0")+COUNTA($I28:$L28)-COUNT($I28:$L28))&gt;0,"Avance fuera de rango 0-100%"&amp;" · ","")&amp;IF(OR(AND($J28&lt;&gt;"",$J28&lt;$I28),AND($K28&lt;&gt;"",$K28&lt;MAX($I28:$J28)),AND($L28&lt;&gt;"",$L28&lt;MAX($I28:$K28))),"Avance semanal decreciente"&amp;" · ","")&amp;IF(AND(ISNUMBER($AN28),$AN28&lt;FechaRef,IF($V28="Sub",N($X28),N($M28))&lt;1),"Vencida"&amp;" · ","")&amp;IF(AND(ObsObligatoria="Sí",ISNUMBER($AN28),$AN28&lt;FechaRef,IF($V28="Sub",N($X28),N($M28))&lt;1,$Q28=""),"Vencida sin observación"&amp;" · ",""),LEN(IF($C28="","Falta el nombre de la actividad"&amp;" · ","")&amp;IF(AND($V28="Sub",N($U28)=0),"Subactividad sin macroactividad arriba"&amp;" · ","")&amp;IF($AM28="","Sin fecha de inicio"&amp;" · ","")&amp;IF($AN28="","Sin fecha límite"&amp;" · ","")&amp;IF(AND(LEFT($C28,11)="[Jefatura] ",N($AL28)=0),"No se encuentra en la hoja de la jefatura (elíjala de nuevo en la lista)"&amp;" · ","")&amp;IF(OR(AND($E28&lt;&gt;"",NOT(ISNUMBER($E28))),AND($F28&lt;&gt;"",NOT(ISNUMBER($F28))),AND($G28&lt;&gt;"",NOT(ISNUMBER($G28)))),"Fecha no válida"&amp;" · ","")&amp;IF(AND(ISNUMBER($AM28),ISNUMBER($AN28),$AM28&gt;$AN28),"Inicio posterior a fecha límite"&amp;" · ","")&amp;IF(AND($V28="Macro",$H28&lt;&gt;"",OR(NOT(ISNUMBER($H28)),$H28&lt;0,$H28&gt;1)),"Peso fuera de rango"&amp;" · ","")&amp;IF(AND($V28="Sub",$H28&lt;&gt;""),"Las subactividades no llevan peso (valen igual dentro de su macroactividad)"&amp;" · ","")&amp;IF(AND(N($W28)&gt;0,COUNT($I28:$L28)&gt;0),"Con subactividades: deje vacías las semanas (se calculan solas)"&amp;" · ","")&amp;IF((COUNTIF($I28:$L28,"&gt;1")+COUNTIF($I28:$L28,"&lt;0")+COUNTA($I28:$L28)-COUNT($I28:$L28))&gt;0,"Avance fuera de rango 0-100%"&amp;" · ","")&amp;IF(OR(AND($J28&lt;&gt;"",$J28&lt;$I28),AND($K28&lt;&gt;"",$K28&lt;MAX($I28:$J28)),AND($L28&lt;&gt;"",$L28&lt;MAX($I28:$K28))),"Avance semanal decreciente"&amp;" · ","")&amp;IF(AND(ISNUMBER($AN28),$AN28&lt;FechaRef,IF($V28="Sub",N($X28),N($M28))&lt;1),"Vencida"&amp;" · ","")&amp;IF(AND(ObsObligatoria="Sí",ISNUMBER($AN28),$AN28&lt;FechaRef,IF($V28="Sub",N($X28),N($M28))&lt;1,$Q28=""),"Vencida sin observación"&amp;" · ",""))-3)))</f>
        <v/>
      </c>
      <c r="S28" s="64">
        <f>IF(NOT((COUNTA($B28:$D28)+COUNTA($G28:$L28)+COUNTA($Q28))&gt;0),"",IF(AND($V28="Sub",N($U28)&gt;0),IF(ISNUMBER(INDEX($AM$5:$AM$1000,$U28-4)),DATE(YEAR(INDEX($AM$5:$AM$1000,$U28-4)),MONTH(INDEX($AM$5:$AM$1000,$U28-4)),1),IF(ISNUMBER(INDEX($AN$5:$AN$1000,$U28-4)),DATE(YEAR(INDEX($AN$5:$AN$1000,$U28-4)),MONTH(INDEX($AN$5:$AN$1000,$U28-4)),1),MesCiclo)),IF(ISNUMBER($AM28),DATE(YEAR($AM28),MONTH($AM28),1),IF(ISNUMBER($AN28),DATE(YEAR($AN28),MONTH($AN28),1),MesCiclo))))</f>
        <v/>
      </c>
      <c r="T28" s="62">
        <f>IF(OR($S28="",$S28&lt;&gt;MesCiclo,$V28&lt;&gt;"Macro"),"",COUNTIFS($S$5:$S28,MesCiclo,$V$5:$V28,"Macro"))</f>
        <v/>
      </c>
      <c r="U28" s="62">
        <f>IF($V28="","",IF($V28="Macro",ROW(),IFERROR(LOOKUP(2,1/($V$5:$V28="Macro"),ROW($V$5:$V28)),0)))</f>
        <v/>
      </c>
      <c r="V28" s="62">
        <f>IF(NOT((COUNTA($B28:$D28)+COUNTA($G28:$L28)+COUNTA($Q28))&gt;0),"",IF($B28="Subactividad","Sub","Macro"))</f>
        <v/>
      </c>
      <c r="W28" s="62">
        <f>IF($V28="Macro",COUNTIFS($U$5:$U$1000,ROW(),$V$5:$V$1000,"Sub"),"")</f>
        <v/>
      </c>
      <c r="X28" s="62">
        <f>IF($V28="","",IF(ISNUMBER($G28),1,IFERROR(LOOKUP(2,1/($I28:$L28&lt;&gt;""),$I28:$L28),0)))</f>
        <v/>
      </c>
      <c r="Y28" s="62">
        <f>IF($V28="","",IF(AND(ISNUMBER($G28),$G28&lt;=IF($S28=MesCiclo,InicioCiclo,$S28+MOD(2-WEEKDAY($S28),7))+6),1,IF(ISNUMBER($I28),$I28,0)))</f>
        <v/>
      </c>
      <c r="Z28" s="62">
        <f>IF($V28="","",IF(AND(ISNUMBER($G28),$G28&lt;=IF($S28=MesCiclo,InicioCiclo,$S28+MOD(2-WEEKDAY($S28),7))+13),1,IF(ISNUMBER($J28),$J28,$Y28)))</f>
        <v/>
      </c>
      <c r="AA28" s="62">
        <f>IF($V28="","",IF(AND(ISNUMBER($G28),$G28&lt;=IF($S28=MesCiclo,InicioCiclo,$S28+MOD(2-WEEKDAY($S28),7))+20),1,IF(ISNUMBER($K28),$K28,$Z28)))</f>
        <v/>
      </c>
      <c r="AB28" s="62">
        <f>IF($V28="","",IF(AND(ISNUMBER($G28),$G28&lt;=IF($S28=MesCiclo,InicioCiclo,$S28+MOD(2-WEEKDAY($S28),7))+27),1,IF(ISNUMBER($L28),$L28,$AA28)))</f>
        <v/>
      </c>
      <c r="AC28" s="62">
        <f>IF($V28="","",IF(AND(ISNUMBER($G28),$G28&lt;=IF($S28=MesCiclo,InicioCiclo,$S28+MOD(2-WEEKDAY($S28),7))+6),1,IF(N($W28)&gt;0,AVERAGEIFS($Y$5:$Y$1000,$U$5:$U$1000,ROW(),$V$5:$V$1000,"Sub"),$Y28)))</f>
        <v/>
      </c>
      <c r="AD28" s="62">
        <f>IF($V28="","",IF(AND(ISNUMBER($G28),$G28&lt;=IF($S28=MesCiclo,InicioCiclo,$S28+MOD(2-WEEKDAY($S28),7))+13),1,IF(N($W28)&gt;0,AVERAGEIFS($Z$5:$Z$1000,$U$5:$U$1000,ROW(),$V$5:$V$1000,"Sub"),$Z28)))</f>
        <v/>
      </c>
      <c r="AE28" s="62">
        <f>IF($V28="","",IF(AND(ISNUMBER($G28),$G28&lt;=IF($S28=MesCiclo,InicioCiclo,$S28+MOD(2-WEEKDAY($S28),7))+20),1,IF(N($W28)&gt;0,AVERAGEIFS($AA$5:$AA$1000,$U$5:$U$1000,ROW(),$V$5:$V$1000,"Sub"),$AA28)))</f>
        <v/>
      </c>
      <c r="AF28" s="62">
        <f>IF($V28="","",IF(AND(ISNUMBER($G28),$G28&lt;=IF($S28=MesCiclo,InicioCiclo,$S28+MOD(2-WEEKDAY($S28),7))+27),1,IF(N($W28)&gt;0,AVERAGEIFS($AB$5:$AB$1000,$U$5:$U$1000,ROW(),$V$5:$V$1000,"Sub"),$AB28)))</f>
        <v/>
      </c>
      <c r="AG28" s="62">
        <f>IF($V28&lt;&gt;"Macro","",IF(COUNTIFS($S$5:$S$1000,$S28,$V$5:$V$1000,"Macro",$H$5:$H$1000,"&gt;0")=0,1/COUNTIFS($S$5:$S$1000,$S28,$V$5:$V$1000,"Macro"),IF(AND(ISNUMBER($H28),N($H28)&gt;0),$H28,SUMIFS($H$5:$H$1000,$S$5:$S$1000,$S28,$V$5:$V$1000,"Macro")/COUNTIFS($S$5:$S$1000,$S28,$V$5:$V$1000,"Macro",$H$5:$H$1000,"&gt;0"))/(COUNTIFS($S$5:$S$1000,$S28,$V$5:$V$1000,"Macro")*SUMIFS($H$5:$H$1000,$S$5:$S$1000,$S28,$V$5:$V$1000,"Macro")/COUNTIFS($S$5:$S$1000,$S28,$V$5:$V$1000,"Macro",$H$5:$H$1000,"&gt;0"))))</f>
        <v/>
      </c>
      <c r="AH28" s="62">
        <f>IF(NOT(AND($D28&lt;&gt;"",$V28="Macro")),"",IFERROR(CHOOSE(MATCH($D28,ListaPuestos,0),MATCH("[Jefatura] "&amp;$C28,'Cronograma R. Operacional'!$C$5:$C$1000,0),MATCH("[Jefatura] "&amp;$C28,'Cronograma R. Normativo'!$C$5:$C$1000,0),MATCH("[Jefatura] "&amp;$C28,'Cronograma R. Financiero'!$C$5:$C$1000,0),MATCH("[Jefatura] "&amp;$C28,'Cronograma Asistente Técnico'!$C$5:$C$1000,0)),0))</f>
        <v/>
      </c>
      <c r="AI28" s="62">
        <f>IF(AND(AND($D28&lt;&gt;"",$V28="Macro"),$S28=MesCiclo),COUNTIFS($D$5:$D28,$D28,$S$5:$S28,MesCiclo,$V$5:$V28,"Macro"),"")</f>
        <v/>
      </c>
      <c r="AJ28" s="62">
        <f>IF($AI28="","",$D28&amp;"|"&amp;$AI28)</f>
        <v/>
      </c>
      <c r="AK28" s="62">
        <f>IF(AND($D28&lt;&gt;"",$V28="Macro"),$D28&amp;"|"&amp;$C28,"")</f>
        <v/>
      </c>
      <c r="AL28" s="62">
        <f>""</f>
        <v/>
      </c>
      <c r="AM28" s="62">
        <f>IF(N($AL28)&gt;0,INDEX(rIni_ADM,$AL28),IF(ISNUMBER($E28),$E28,""))</f>
        <v/>
      </c>
      <c r="AN28" s="62">
        <f>IF(N($AL28)&gt;0,INDEX(rLim_ADM,$AL28),IF(ISNUMBER($F28),$F28,""))</f>
        <v/>
      </c>
    </row>
    <row r="29">
      <c r="A29" s="56">
        <f>IF(NOT((COUNTA($B29:$D29)+COUNTA($G29:$L29)+COUNTA($Q29))&gt;0),"",IF($V29="Macro",COUNTIFS($V$5:$V29,"Macro",$S$5:$S29,$S29),IF(N($U29)=0,"?",COUNTIFS(INDEX($V$5:$V$1000,1):INDEX($V$5:$V$1000,$U29-4),"Macro",INDEX($S$5:$S$1000,1):INDEX($S$5:$S$1000,$U29-4),INDEX($S$5:$S$1000,$U29-4))&amp;"."&amp;COUNTIFS($U$5:$U29,$U29,$V$5:$V29,"Sub"))))</f>
        <v/>
      </c>
      <c r="B29" s="57" t="n"/>
      <c r="C29" s="58" t="n"/>
      <c r="D29" s="58" t="n"/>
      <c r="E29" s="59" t="n"/>
      <c r="F29" s="59" t="n"/>
      <c r="G29" s="59" t="n"/>
      <c r="H29" s="60" t="n"/>
      <c r="I29" s="60" t="n"/>
      <c r="J29" s="60" t="n"/>
      <c r="K29" s="60" t="n"/>
      <c r="L29" s="60" t="n"/>
      <c r="M29" s="61">
        <f>IF(NOT((COUNTA($B29:$D29)+COUNTA($G29:$L29)+COUNTA($Q29))&gt;0),"",IF(AND($D29&lt;&gt;"",$V29="Macro"),IF(N($AH29)&gt;0,N(CHOOSE(MATCH($D29,ListaPuestos,0),INDEX('Cronograma R. Operacional'!$M$5:$M$1000,$AH29),INDEX('Cronograma R. Normativo'!$M$5:$M$1000,$AH29),INDEX('Cronograma R. Financiero'!$M$5:$M$1000,$AH29),INDEX('Cronograma Asistente Técnico'!$M$5:$M$1000,$AH29))),0),IF(ISNUMBER($G29),1,IF(N($W29)&gt;0,AVERAGEIFS($X$5:$X$1000,$U$5:$U$1000,ROW(),$V$5:$V$1000,"Sub"),$X29))))</f>
        <v/>
      </c>
      <c r="N29" s="56">
        <f>IF(OR($M29="",$V29="Sub"),"",IF($M29&gt;=1,"Completado",IF($M29&gt;0,"En curso","Pendiente")))</f>
        <v/>
      </c>
      <c r="O29" s="56">
        <f>IF(NOT((COUNTA($B29:$D29)+COUNTA($G29:$L29)+COUNTA($Q29))&gt;0),"",IF(AND(AND($D29&lt;&gt;"",$V29="Macro"),N($AH29)&gt;0),CHOOSE(MATCH($D29,ListaPuestos,0),INDEX('Cronograma R. Operacional'!$O$5:$O$1000,$AH29),INDEX('Cronograma R. Normativo'!$O$5:$O$1000,$AH29),INDEX('Cronograma R. Financiero'!$O$5:$O$1000,$AH29),INDEX('Cronograma Asistente Técnico'!$O$5:$O$1000,$AH29))&amp;"",IF(ISNUMBER($G29),IF(AND(ISNUMBER($AN29),$G29&gt;$AN29),"Cumplida con "&amp;($G29-$AN29)&amp;IF($G29-$AN29=1," día"," días")&amp;" de retraso","Cumplida"),IF(N($M29)&gt;=1,"Cumplida",IF(NOT(ISNUMBER($AN29)),"Sin fecha límite",IF($AN29&lt;FechaRef,"Vencida hace "&amp;(FechaRef-$AN29)&amp;IF(FechaRef-$AN29=1," día"," días"),IF($AN29=FechaRef,"Vence hoy",IF($AN29-FechaRef&lt;=DiasAlerta,"Vence en "&amp;($AN29-FechaRef)&amp;IF($AN29-FechaRef=1," día"," días"),"En plazo"))))))))</f>
        <v/>
      </c>
      <c r="P29" s="62">
        <f>IF(NOT((COUNTA($B29:$D29)+COUNTA($G29:$L29)+COUNTA($Q29))&gt;0),"",IF($D29="","Propia",IF($V29&lt;&gt;"Macro","Solo se delegan macroactividades",IF(N($AH29)&gt;0,"✔ Recibida por "&amp;$D29,"⚠ "&amp;$D29&amp;" aún no la agrega"))))</f>
        <v/>
      </c>
      <c r="Q29" s="58" t="n"/>
      <c r="R29" s="63">
        <f>IF(NOT((COUNTA($B29:$D29)+COUNTA($G29:$L29)+COUNTA($Q29))&gt;0),"",IF((IF($C29="","Falta el nombre de la actividad"&amp;" · ","")&amp;IF(AND($V29="Sub",N($U29)=0),"Subactividad sin macroactividad arriba"&amp;" · ","")&amp;IF($AM29="","Sin fecha de inicio"&amp;" · ","")&amp;IF($AN29="","Sin fecha límite"&amp;" · ","")&amp;IF(AND(LEFT($C29,11)="[Jefatura] ",N($AL29)=0),"No se encuentra en la hoja de la jefatura (elíjala de nuevo en la lista)"&amp;" · ","")&amp;IF(OR(AND($E29&lt;&gt;"",NOT(ISNUMBER($E29))),AND($F29&lt;&gt;"",NOT(ISNUMBER($F29))),AND($G29&lt;&gt;"",NOT(ISNUMBER($G29)))),"Fecha no válida"&amp;" · ","")&amp;IF(AND(ISNUMBER($AM29),ISNUMBER($AN29),$AM29&gt;$AN29),"Inicio posterior a fecha límite"&amp;" · ","")&amp;IF(AND($V29="Macro",$H29&lt;&gt;"",OR(NOT(ISNUMBER($H29)),$H29&lt;0,$H29&gt;1)),"Peso fuera de rango"&amp;" · ","")&amp;IF(AND($V29="Sub",$H29&lt;&gt;""),"Las subactividades no llevan peso (valen igual dentro de su macroactividad)"&amp;" · ","")&amp;IF(AND(N($W29)&gt;0,COUNT($I29:$L29)&gt;0),"Con subactividades: deje vacías las semanas (se calculan solas)"&amp;" · ","")&amp;IF((COUNTIF($I29:$L29,"&gt;1")+COUNTIF($I29:$L29,"&lt;0")+COUNTA($I29:$L29)-COUNT($I29:$L29))&gt;0,"Avance fuera de rango 0-100%"&amp;" · ","")&amp;IF(OR(AND($J29&lt;&gt;"",$J29&lt;$I29),AND($K29&lt;&gt;"",$K29&lt;MAX($I29:$J29)),AND($L29&lt;&gt;"",$L29&lt;MAX($I29:$K29))),"Avance semanal decreciente"&amp;" · ","")&amp;IF(AND(ISNUMBER($AN29),$AN29&lt;FechaRef,IF($V29="Sub",N($X29),N($M29))&lt;1),"Vencida"&amp;" · ","")&amp;IF(AND(ObsObligatoria="Sí",ISNUMBER($AN29),$AN29&lt;FechaRef,IF($V29="Sub",N($X29),N($M29))&lt;1,$Q29=""),"Vencida sin observación"&amp;" · ",""))="","✔ OK","⚠ "&amp;LEFT(IF($C29="","Falta el nombre de la actividad"&amp;" · ","")&amp;IF(AND($V29="Sub",N($U29)=0),"Subactividad sin macroactividad arriba"&amp;" · ","")&amp;IF($AM29="","Sin fecha de inicio"&amp;" · ","")&amp;IF($AN29="","Sin fecha límite"&amp;" · ","")&amp;IF(AND(LEFT($C29,11)="[Jefatura] ",N($AL29)=0),"No se encuentra en la hoja de la jefatura (elíjala de nuevo en la lista)"&amp;" · ","")&amp;IF(OR(AND($E29&lt;&gt;"",NOT(ISNUMBER($E29))),AND($F29&lt;&gt;"",NOT(ISNUMBER($F29))),AND($G29&lt;&gt;"",NOT(ISNUMBER($G29)))),"Fecha no válida"&amp;" · ","")&amp;IF(AND(ISNUMBER($AM29),ISNUMBER($AN29),$AM29&gt;$AN29),"Inicio posterior a fecha límite"&amp;" · ","")&amp;IF(AND($V29="Macro",$H29&lt;&gt;"",OR(NOT(ISNUMBER($H29)),$H29&lt;0,$H29&gt;1)),"Peso fuera de rango"&amp;" · ","")&amp;IF(AND($V29="Sub",$H29&lt;&gt;""),"Las subactividades no llevan peso (valen igual dentro de su macroactividad)"&amp;" · ","")&amp;IF(AND(N($W29)&gt;0,COUNT($I29:$L29)&gt;0),"Con subactividades: deje vacías las semanas (se calculan solas)"&amp;" · ","")&amp;IF((COUNTIF($I29:$L29,"&gt;1")+COUNTIF($I29:$L29,"&lt;0")+COUNTA($I29:$L29)-COUNT($I29:$L29))&gt;0,"Avance fuera de rango 0-100%"&amp;" · ","")&amp;IF(OR(AND($J29&lt;&gt;"",$J29&lt;$I29),AND($K29&lt;&gt;"",$K29&lt;MAX($I29:$J29)),AND($L29&lt;&gt;"",$L29&lt;MAX($I29:$K29))),"Avance semanal decreciente"&amp;" · ","")&amp;IF(AND(ISNUMBER($AN29),$AN29&lt;FechaRef,IF($V29="Sub",N($X29),N($M29))&lt;1),"Vencida"&amp;" · ","")&amp;IF(AND(ObsObligatoria="Sí",ISNUMBER($AN29),$AN29&lt;FechaRef,IF($V29="Sub",N($X29),N($M29))&lt;1,$Q29=""),"Vencida sin observación"&amp;" · ",""),LEN(IF($C29="","Falta el nombre de la actividad"&amp;" · ","")&amp;IF(AND($V29="Sub",N($U29)=0),"Subactividad sin macroactividad arriba"&amp;" · ","")&amp;IF($AM29="","Sin fecha de inicio"&amp;" · ","")&amp;IF($AN29="","Sin fecha límite"&amp;" · ","")&amp;IF(AND(LEFT($C29,11)="[Jefatura] ",N($AL29)=0),"No se encuentra en la hoja de la jefatura (elíjala de nuevo en la lista)"&amp;" · ","")&amp;IF(OR(AND($E29&lt;&gt;"",NOT(ISNUMBER($E29))),AND($F29&lt;&gt;"",NOT(ISNUMBER($F29))),AND($G29&lt;&gt;"",NOT(ISNUMBER($G29)))),"Fecha no válida"&amp;" · ","")&amp;IF(AND(ISNUMBER($AM29),ISNUMBER($AN29),$AM29&gt;$AN29),"Inicio posterior a fecha límite"&amp;" · ","")&amp;IF(AND($V29="Macro",$H29&lt;&gt;"",OR(NOT(ISNUMBER($H29)),$H29&lt;0,$H29&gt;1)),"Peso fuera de rango"&amp;" · ","")&amp;IF(AND($V29="Sub",$H29&lt;&gt;""),"Las subactividades no llevan peso (valen igual dentro de su macroactividad)"&amp;" · ","")&amp;IF(AND(N($W29)&gt;0,COUNT($I29:$L29)&gt;0),"Con subactividades: deje vacías las semanas (se calculan solas)"&amp;" · ","")&amp;IF((COUNTIF($I29:$L29,"&gt;1")+COUNTIF($I29:$L29,"&lt;0")+COUNTA($I29:$L29)-COUNT($I29:$L29))&gt;0,"Avance fuera de rango 0-100%"&amp;" · ","")&amp;IF(OR(AND($J29&lt;&gt;"",$J29&lt;$I29),AND($K29&lt;&gt;"",$K29&lt;MAX($I29:$J29)),AND($L29&lt;&gt;"",$L29&lt;MAX($I29:$K29))),"Avance semanal decreciente"&amp;" · ","")&amp;IF(AND(ISNUMBER($AN29),$AN29&lt;FechaRef,IF($V29="Sub",N($X29),N($M29))&lt;1),"Vencida"&amp;" · ","")&amp;IF(AND(ObsObligatoria="Sí",ISNUMBER($AN29),$AN29&lt;FechaRef,IF($V29="Sub",N($X29),N($M29))&lt;1,$Q29=""),"Vencida sin observación"&amp;" · ",""))-3)))</f>
        <v/>
      </c>
      <c r="S29" s="64">
        <f>IF(NOT((COUNTA($B29:$D29)+COUNTA($G29:$L29)+COUNTA($Q29))&gt;0),"",IF(AND($V29="Sub",N($U29)&gt;0),IF(ISNUMBER(INDEX($AM$5:$AM$1000,$U29-4)),DATE(YEAR(INDEX($AM$5:$AM$1000,$U29-4)),MONTH(INDEX($AM$5:$AM$1000,$U29-4)),1),IF(ISNUMBER(INDEX($AN$5:$AN$1000,$U29-4)),DATE(YEAR(INDEX($AN$5:$AN$1000,$U29-4)),MONTH(INDEX($AN$5:$AN$1000,$U29-4)),1),MesCiclo)),IF(ISNUMBER($AM29),DATE(YEAR($AM29),MONTH($AM29),1),IF(ISNUMBER($AN29),DATE(YEAR($AN29),MONTH($AN29),1),MesCiclo))))</f>
        <v/>
      </c>
      <c r="T29" s="62">
        <f>IF(OR($S29="",$S29&lt;&gt;MesCiclo,$V29&lt;&gt;"Macro"),"",COUNTIFS($S$5:$S29,MesCiclo,$V$5:$V29,"Macro"))</f>
        <v/>
      </c>
      <c r="U29" s="62">
        <f>IF($V29="","",IF($V29="Macro",ROW(),IFERROR(LOOKUP(2,1/($V$5:$V29="Macro"),ROW($V$5:$V29)),0)))</f>
        <v/>
      </c>
      <c r="V29" s="62">
        <f>IF(NOT((COUNTA($B29:$D29)+COUNTA($G29:$L29)+COUNTA($Q29))&gt;0),"",IF($B29="Subactividad","Sub","Macro"))</f>
        <v/>
      </c>
      <c r="W29" s="62">
        <f>IF($V29="Macro",COUNTIFS($U$5:$U$1000,ROW(),$V$5:$V$1000,"Sub"),"")</f>
        <v/>
      </c>
      <c r="X29" s="62">
        <f>IF($V29="","",IF(ISNUMBER($G29),1,IFERROR(LOOKUP(2,1/($I29:$L29&lt;&gt;""),$I29:$L29),0)))</f>
        <v/>
      </c>
      <c r="Y29" s="62">
        <f>IF($V29="","",IF(AND(ISNUMBER($G29),$G29&lt;=IF($S29=MesCiclo,InicioCiclo,$S29+MOD(2-WEEKDAY($S29),7))+6),1,IF(ISNUMBER($I29),$I29,0)))</f>
        <v/>
      </c>
      <c r="Z29" s="62">
        <f>IF($V29="","",IF(AND(ISNUMBER($G29),$G29&lt;=IF($S29=MesCiclo,InicioCiclo,$S29+MOD(2-WEEKDAY($S29),7))+13),1,IF(ISNUMBER($J29),$J29,$Y29)))</f>
        <v/>
      </c>
      <c r="AA29" s="62">
        <f>IF($V29="","",IF(AND(ISNUMBER($G29),$G29&lt;=IF($S29=MesCiclo,InicioCiclo,$S29+MOD(2-WEEKDAY($S29),7))+20),1,IF(ISNUMBER($K29),$K29,$Z29)))</f>
        <v/>
      </c>
      <c r="AB29" s="62">
        <f>IF($V29="","",IF(AND(ISNUMBER($G29),$G29&lt;=IF($S29=MesCiclo,InicioCiclo,$S29+MOD(2-WEEKDAY($S29),7))+27),1,IF(ISNUMBER($L29),$L29,$AA29)))</f>
        <v/>
      </c>
      <c r="AC29" s="62">
        <f>IF($V29="","",IF(AND(ISNUMBER($G29),$G29&lt;=IF($S29=MesCiclo,InicioCiclo,$S29+MOD(2-WEEKDAY($S29),7))+6),1,IF(N($W29)&gt;0,AVERAGEIFS($Y$5:$Y$1000,$U$5:$U$1000,ROW(),$V$5:$V$1000,"Sub"),$Y29)))</f>
        <v/>
      </c>
      <c r="AD29" s="62">
        <f>IF($V29="","",IF(AND(ISNUMBER($G29),$G29&lt;=IF($S29=MesCiclo,InicioCiclo,$S29+MOD(2-WEEKDAY($S29),7))+13),1,IF(N($W29)&gt;0,AVERAGEIFS($Z$5:$Z$1000,$U$5:$U$1000,ROW(),$V$5:$V$1000,"Sub"),$Z29)))</f>
        <v/>
      </c>
      <c r="AE29" s="62">
        <f>IF($V29="","",IF(AND(ISNUMBER($G29),$G29&lt;=IF($S29=MesCiclo,InicioCiclo,$S29+MOD(2-WEEKDAY($S29),7))+20),1,IF(N($W29)&gt;0,AVERAGEIFS($AA$5:$AA$1000,$U$5:$U$1000,ROW(),$V$5:$V$1000,"Sub"),$AA29)))</f>
        <v/>
      </c>
      <c r="AF29" s="62">
        <f>IF($V29="","",IF(AND(ISNUMBER($G29),$G29&lt;=IF($S29=MesCiclo,InicioCiclo,$S29+MOD(2-WEEKDAY($S29),7))+27),1,IF(N($W29)&gt;0,AVERAGEIFS($AB$5:$AB$1000,$U$5:$U$1000,ROW(),$V$5:$V$1000,"Sub"),$AB29)))</f>
        <v/>
      </c>
      <c r="AG29" s="62">
        <f>IF($V29&lt;&gt;"Macro","",IF(COUNTIFS($S$5:$S$1000,$S29,$V$5:$V$1000,"Macro",$H$5:$H$1000,"&gt;0")=0,1/COUNTIFS($S$5:$S$1000,$S29,$V$5:$V$1000,"Macro"),IF(AND(ISNUMBER($H29),N($H29)&gt;0),$H29,SUMIFS($H$5:$H$1000,$S$5:$S$1000,$S29,$V$5:$V$1000,"Macro")/COUNTIFS($S$5:$S$1000,$S29,$V$5:$V$1000,"Macro",$H$5:$H$1000,"&gt;0"))/(COUNTIFS($S$5:$S$1000,$S29,$V$5:$V$1000,"Macro")*SUMIFS($H$5:$H$1000,$S$5:$S$1000,$S29,$V$5:$V$1000,"Macro")/COUNTIFS($S$5:$S$1000,$S29,$V$5:$V$1000,"Macro",$H$5:$H$1000,"&gt;0"))))</f>
        <v/>
      </c>
      <c r="AH29" s="62">
        <f>IF(NOT(AND($D29&lt;&gt;"",$V29="Macro")),"",IFERROR(CHOOSE(MATCH($D29,ListaPuestos,0),MATCH("[Jefatura] "&amp;$C29,'Cronograma R. Operacional'!$C$5:$C$1000,0),MATCH("[Jefatura] "&amp;$C29,'Cronograma R. Normativo'!$C$5:$C$1000,0),MATCH("[Jefatura] "&amp;$C29,'Cronograma R. Financiero'!$C$5:$C$1000,0),MATCH("[Jefatura] "&amp;$C29,'Cronograma Asistente Técnico'!$C$5:$C$1000,0)),0))</f>
        <v/>
      </c>
      <c r="AI29" s="62">
        <f>IF(AND(AND($D29&lt;&gt;"",$V29="Macro"),$S29=MesCiclo),COUNTIFS($D$5:$D29,$D29,$S$5:$S29,MesCiclo,$V$5:$V29,"Macro"),"")</f>
        <v/>
      </c>
      <c r="AJ29" s="62">
        <f>IF($AI29="","",$D29&amp;"|"&amp;$AI29)</f>
        <v/>
      </c>
      <c r="AK29" s="62">
        <f>IF(AND($D29&lt;&gt;"",$V29="Macro"),$D29&amp;"|"&amp;$C29,"")</f>
        <v/>
      </c>
      <c r="AL29" s="62">
        <f>""</f>
        <v/>
      </c>
      <c r="AM29" s="62">
        <f>IF(N($AL29)&gt;0,INDEX(rIni_ADM,$AL29),IF(ISNUMBER($E29),$E29,""))</f>
        <v/>
      </c>
      <c r="AN29" s="62">
        <f>IF(N($AL29)&gt;0,INDEX(rLim_ADM,$AL29),IF(ISNUMBER($F29),$F29,""))</f>
        <v/>
      </c>
    </row>
    <row r="30">
      <c r="A30" s="56">
        <f>IF(NOT((COUNTA($B30:$D30)+COUNTA($G30:$L30)+COUNTA($Q30))&gt;0),"",IF($V30="Macro",COUNTIFS($V$5:$V30,"Macro",$S$5:$S30,$S30),IF(N($U30)=0,"?",COUNTIFS(INDEX($V$5:$V$1000,1):INDEX($V$5:$V$1000,$U30-4),"Macro",INDEX($S$5:$S$1000,1):INDEX($S$5:$S$1000,$U30-4),INDEX($S$5:$S$1000,$U30-4))&amp;"."&amp;COUNTIFS($U$5:$U30,$U30,$V$5:$V30,"Sub"))))</f>
        <v/>
      </c>
      <c r="B30" s="57" t="n"/>
      <c r="C30" s="58" t="n"/>
      <c r="D30" s="58" t="n"/>
      <c r="E30" s="59" t="n"/>
      <c r="F30" s="59" t="n"/>
      <c r="G30" s="59" t="n"/>
      <c r="H30" s="60" t="n"/>
      <c r="I30" s="60" t="n"/>
      <c r="J30" s="60" t="n"/>
      <c r="K30" s="60" t="n"/>
      <c r="L30" s="60" t="n"/>
      <c r="M30" s="61">
        <f>IF(NOT((COUNTA($B30:$D30)+COUNTA($G30:$L30)+COUNTA($Q30))&gt;0),"",IF(AND($D30&lt;&gt;"",$V30="Macro"),IF(N($AH30)&gt;0,N(CHOOSE(MATCH($D30,ListaPuestos,0),INDEX('Cronograma R. Operacional'!$M$5:$M$1000,$AH30),INDEX('Cronograma R. Normativo'!$M$5:$M$1000,$AH30),INDEX('Cronograma R. Financiero'!$M$5:$M$1000,$AH30),INDEX('Cronograma Asistente Técnico'!$M$5:$M$1000,$AH30))),0),IF(ISNUMBER($G30),1,IF(N($W30)&gt;0,AVERAGEIFS($X$5:$X$1000,$U$5:$U$1000,ROW(),$V$5:$V$1000,"Sub"),$X30))))</f>
        <v/>
      </c>
      <c r="N30" s="56">
        <f>IF(OR($M30="",$V30="Sub"),"",IF($M30&gt;=1,"Completado",IF($M30&gt;0,"En curso","Pendiente")))</f>
        <v/>
      </c>
      <c r="O30" s="56">
        <f>IF(NOT((COUNTA($B30:$D30)+COUNTA($G30:$L30)+COUNTA($Q30))&gt;0),"",IF(AND(AND($D30&lt;&gt;"",$V30="Macro"),N($AH30)&gt;0),CHOOSE(MATCH($D30,ListaPuestos,0),INDEX('Cronograma R. Operacional'!$O$5:$O$1000,$AH30),INDEX('Cronograma R. Normativo'!$O$5:$O$1000,$AH30),INDEX('Cronograma R. Financiero'!$O$5:$O$1000,$AH30),INDEX('Cronograma Asistente Técnico'!$O$5:$O$1000,$AH30))&amp;"",IF(ISNUMBER($G30),IF(AND(ISNUMBER($AN30),$G30&gt;$AN30),"Cumplida con "&amp;($G30-$AN30)&amp;IF($G30-$AN30=1," día"," días")&amp;" de retraso","Cumplida"),IF(N($M30)&gt;=1,"Cumplida",IF(NOT(ISNUMBER($AN30)),"Sin fecha límite",IF($AN30&lt;FechaRef,"Vencida hace "&amp;(FechaRef-$AN30)&amp;IF(FechaRef-$AN30=1," día"," días"),IF($AN30=FechaRef,"Vence hoy",IF($AN30-FechaRef&lt;=DiasAlerta,"Vence en "&amp;($AN30-FechaRef)&amp;IF($AN30-FechaRef=1," día"," días"),"En plazo"))))))))</f>
        <v/>
      </c>
      <c r="P30" s="62">
        <f>IF(NOT((COUNTA($B30:$D30)+COUNTA($G30:$L30)+COUNTA($Q30))&gt;0),"",IF($D30="","Propia",IF($V30&lt;&gt;"Macro","Solo se delegan macroactividades",IF(N($AH30)&gt;0,"✔ Recibida por "&amp;$D30,"⚠ "&amp;$D30&amp;" aún no la agrega"))))</f>
        <v/>
      </c>
      <c r="Q30" s="58" t="n"/>
      <c r="R30" s="63">
        <f>IF(NOT((COUNTA($B30:$D30)+COUNTA($G30:$L30)+COUNTA($Q30))&gt;0),"",IF((IF($C30="","Falta el nombre de la actividad"&amp;" · ","")&amp;IF(AND($V30="Sub",N($U30)=0),"Subactividad sin macroactividad arriba"&amp;" · ","")&amp;IF($AM30="","Sin fecha de inicio"&amp;" · ","")&amp;IF($AN30="","Sin fecha límite"&amp;" · ","")&amp;IF(AND(LEFT($C30,11)="[Jefatura] ",N($AL30)=0),"No se encuentra en la hoja de la jefatura (elíjala de nuevo en la lista)"&amp;" · ","")&amp;IF(OR(AND($E30&lt;&gt;"",NOT(ISNUMBER($E30))),AND($F30&lt;&gt;"",NOT(ISNUMBER($F30))),AND($G30&lt;&gt;"",NOT(ISNUMBER($G30)))),"Fecha no válida"&amp;" · ","")&amp;IF(AND(ISNUMBER($AM30),ISNUMBER($AN30),$AM30&gt;$AN30),"Inicio posterior a fecha límite"&amp;" · ","")&amp;IF(AND($V30="Macro",$H30&lt;&gt;"",OR(NOT(ISNUMBER($H30)),$H30&lt;0,$H30&gt;1)),"Peso fuera de rango"&amp;" · ","")&amp;IF(AND($V30="Sub",$H30&lt;&gt;""),"Las subactividades no llevan peso (valen igual dentro de su macroactividad)"&amp;" · ","")&amp;IF(AND(N($W30)&gt;0,COUNT($I30:$L30)&gt;0),"Con subactividades: deje vacías las semanas (se calculan solas)"&amp;" · ","")&amp;IF((COUNTIF($I30:$L30,"&gt;1")+COUNTIF($I30:$L30,"&lt;0")+COUNTA($I30:$L30)-COUNT($I30:$L30))&gt;0,"Avance fuera de rango 0-100%"&amp;" · ","")&amp;IF(OR(AND($J30&lt;&gt;"",$J30&lt;$I30),AND($K30&lt;&gt;"",$K30&lt;MAX($I30:$J30)),AND($L30&lt;&gt;"",$L30&lt;MAX($I30:$K30))),"Avance semanal decreciente"&amp;" · ","")&amp;IF(AND(ISNUMBER($AN30),$AN30&lt;FechaRef,IF($V30="Sub",N($X30),N($M30))&lt;1),"Vencida"&amp;" · ","")&amp;IF(AND(ObsObligatoria="Sí",ISNUMBER($AN30),$AN30&lt;FechaRef,IF($V30="Sub",N($X30),N($M30))&lt;1,$Q30=""),"Vencida sin observación"&amp;" · ",""))="","✔ OK","⚠ "&amp;LEFT(IF($C30="","Falta el nombre de la actividad"&amp;" · ","")&amp;IF(AND($V30="Sub",N($U30)=0),"Subactividad sin macroactividad arriba"&amp;" · ","")&amp;IF($AM30="","Sin fecha de inicio"&amp;" · ","")&amp;IF($AN30="","Sin fecha límite"&amp;" · ","")&amp;IF(AND(LEFT($C30,11)="[Jefatura] ",N($AL30)=0),"No se encuentra en la hoja de la jefatura (elíjala de nuevo en la lista)"&amp;" · ","")&amp;IF(OR(AND($E30&lt;&gt;"",NOT(ISNUMBER($E30))),AND($F30&lt;&gt;"",NOT(ISNUMBER($F30))),AND($G30&lt;&gt;"",NOT(ISNUMBER($G30)))),"Fecha no válida"&amp;" · ","")&amp;IF(AND(ISNUMBER($AM30),ISNUMBER($AN30),$AM30&gt;$AN30),"Inicio posterior a fecha límite"&amp;" · ","")&amp;IF(AND($V30="Macro",$H30&lt;&gt;"",OR(NOT(ISNUMBER($H30)),$H30&lt;0,$H30&gt;1)),"Peso fuera de rango"&amp;" · ","")&amp;IF(AND($V30="Sub",$H30&lt;&gt;""),"Las subactividades no llevan peso (valen igual dentro de su macroactividad)"&amp;" · ","")&amp;IF(AND(N($W30)&gt;0,COUNT($I30:$L30)&gt;0),"Con subactividades: deje vacías las semanas (se calculan solas)"&amp;" · ","")&amp;IF((COUNTIF($I30:$L30,"&gt;1")+COUNTIF($I30:$L30,"&lt;0")+COUNTA($I30:$L30)-COUNT($I30:$L30))&gt;0,"Avance fuera de rango 0-100%"&amp;" · ","")&amp;IF(OR(AND($J30&lt;&gt;"",$J30&lt;$I30),AND($K30&lt;&gt;"",$K30&lt;MAX($I30:$J30)),AND($L30&lt;&gt;"",$L30&lt;MAX($I30:$K30))),"Avance semanal decreciente"&amp;" · ","")&amp;IF(AND(ISNUMBER($AN30),$AN30&lt;FechaRef,IF($V30="Sub",N($X30),N($M30))&lt;1),"Vencida"&amp;" · ","")&amp;IF(AND(ObsObligatoria="Sí",ISNUMBER($AN30),$AN30&lt;FechaRef,IF($V30="Sub",N($X30),N($M30))&lt;1,$Q30=""),"Vencida sin observación"&amp;" · ",""),LEN(IF($C30="","Falta el nombre de la actividad"&amp;" · ","")&amp;IF(AND($V30="Sub",N($U30)=0),"Subactividad sin macroactividad arriba"&amp;" · ","")&amp;IF($AM30="","Sin fecha de inicio"&amp;" · ","")&amp;IF($AN30="","Sin fecha límite"&amp;" · ","")&amp;IF(AND(LEFT($C30,11)="[Jefatura] ",N($AL30)=0),"No se encuentra en la hoja de la jefatura (elíjala de nuevo en la lista)"&amp;" · ","")&amp;IF(OR(AND($E30&lt;&gt;"",NOT(ISNUMBER($E30))),AND($F30&lt;&gt;"",NOT(ISNUMBER($F30))),AND($G30&lt;&gt;"",NOT(ISNUMBER($G30)))),"Fecha no válida"&amp;" · ","")&amp;IF(AND(ISNUMBER($AM30),ISNUMBER($AN30),$AM30&gt;$AN30),"Inicio posterior a fecha límite"&amp;" · ","")&amp;IF(AND($V30="Macro",$H30&lt;&gt;"",OR(NOT(ISNUMBER($H30)),$H30&lt;0,$H30&gt;1)),"Peso fuera de rango"&amp;" · ","")&amp;IF(AND($V30="Sub",$H30&lt;&gt;""),"Las subactividades no llevan peso (valen igual dentro de su macroactividad)"&amp;" · ","")&amp;IF(AND(N($W30)&gt;0,COUNT($I30:$L30)&gt;0),"Con subactividades: deje vacías las semanas (se calculan solas)"&amp;" · ","")&amp;IF((COUNTIF($I30:$L30,"&gt;1")+COUNTIF($I30:$L30,"&lt;0")+COUNTA($I30:$L30)-COUNT($I30:$L30))&gt;0,"Avance fuera de rango 0-100%"&amp;" · ","")&amp;IF(OR(AND($J30&lt;&gt;"",$J30&lt;$I30),AND($K30&lt;&gt;"",$K30&lt;MAX($I30:$J30)),AND($L30&lt;&gt;"",$L30&lt;MAX($I30:$K30))),"Avance semanal decreciente"&amp;" · ","")&amp;IF(AND(ISNUMBER($AN30),$AN30&lt;FechaRef,IF($V30="Sub",N($X30),N($M30))&lt;1),"Vencida"&amp;" · ","")&amp;IF(AND(ObsObligatoria="Sí",ISNUMBER($AN30),$AN30&lt;FechaRef,IF($V30="Sub",N($X30),N($M30))&lt;1,$Q30=""),"Vencida sin observación"&amp;" · ",""))-3)))</f>
        <v/>
      </c>
      <c r="S30" s="64">
        <f>IF(NOT((COUNTA($B30:$D30)+COUNTA($G30:$L30)+COUNTA($Q30))&gt;0),"",IF(AND($V30="Sub",N($U30)&gt;0),IF(ISNUMBER(INDEX($AM$5:$AM$1000,$U30-4)),DATE(YEAR(INDEX($AM$5:$AM$1000,$U30-4)),MONTH(INDEX($AM$5:$AM$1000,$U30-4)),1),IF(ISNUMBER(INDEX($AN$5:$AN$1000,$U30-4)),DATE(YEAR(INDEX($AN$5:$AN$1000,$U30-4)),MONTH(INDEX($AN$5:$AN$1000,$U30-4)),1),MesCiclo)),IF(ISNUMBER($AM30),DATE(YEAR($AM30),MONTH($AM30),1),IF(ISNUMBER($AN30),DATE(YEAR($AN30),MONTH($AN30),1),MesCiclo))))</f>
        <v/>
      </c>
      <c r="T30" s="62">
        <f>IF(OR($S30="",$S30&lt;&gt;MesCiclo,$V30&lt;&gt;"Macro"),"",COUNTIFS($S$5:$S30,MesCiclo,$V$5:$V30,"Macro"))</f>
        <v/>
      </c>
      <c r="U30" s="62">
        <f>IF($V30="","",IF($V30="Macro",ROW(),IFERROR(LOOKUP(2,1/($V$5:$V30="Macro"),ROW($V$5:$V30)),0)))</f>
        <v/>
      </c>
      <c r="V30" s="62">
        <f>IF(NOT((COUNTA($B30:$D30)+COUNTA($G30:$L30)+COUNTA($Q30))&gt;0),"",IF($B30="Subactividad","Sub","Macro"))</f>
        <v/>
      </c>
      <c r="W30" s="62">
        <f>IF($V30="Macro",COUNTIFS($U$5:$U$1000,ROW(),$V$5:$V$1000,"Sub"),"")</f>
        <v/>
      </c>
      <c r="X30" s="62">
        <f>IF($V30="","",IF(ISNUMBER($G30),1,IFERROR(LOOKUP(2,1/($I30:$L30&lt;&gt;""),$I30:$L30),0)))</f>
        <v/>
      </c>
      <c r="Y30" s="62">
        <f>IF($V30="","",IF(AND(ISNUMBER($G30),$G30&lt;=IF($S30=MesCiclo,InicioCiclo,$S30+MOD(2-WEEKDAY($S30),7))+6),1,IF(ISNUMBER($I30),$I30,0)))</f>
        <v/>
      </c>
      <c r="Z30" s="62">
        <f>IF($V30="","",IF(AND(ISNUMBER($G30),$G30&lt;=IF($S30=MesCiclo,InicioCiclo,$S30+MOD(2-WEEKDAY($S30),7))+13),1,IF(ISNUMBER($J30),$J30,$Y30)))</f>
        <v/>
      </c>
      <c r="AA30" s="62">
        <f>IF($V30="","",IF(AND(ISNUMBER($G30),$G30&lt;=IF($S30=MesCiclo,InicioCiclo,$S30+MOD(2-WEEKDAY($S30),7))+20),1,IF(ISNUMBER($K30),$K30,$Z30)))</f>
        <v/>
      </c>
      <c r="AB30" s="62">
        <f>IF($V30="","",IF(AND(ISNUMBER($G30),$G30&lt;=IF($S30=MesCiclo,InicioCiclo,$S30+MOD(2-WEEKDAY($S30),7))+27),1,IF(ISNUMBER($L30),$L30,$AA30)))</f>
        <v/>
      </c>
      <c r="AC30" s="62">
        <f>IF($V30="","",IF(AND(ISNUMBER($G30),$G30&lt;=IF($S30=MesCiclo,InicioCiclo,$S30+MOD(2-WEEKDAY($S30),7))+6),1,IF(N($W30)&gt;0,AVERAGEIFS($Y$5:$Y$1000,$U$5:$U$1000,ROW(),$V$5:$V$1000,"Sub"),$Y30)))</f>
        <v/>
      </c>
      <c r="AD30" s="62">
        <f>IF($V30="","",IF(AND(ISNUMBER($G30),$G30&lt;=IF($S30=MesCiclo,InicioCiclo,$S30+MOD(2-WEEKDAY($S30),7))+13),1,IF(N($W30)&gt;0,AVERAGEIFS($Z$5:$Z$1000,$U$5:$U$1000,ROW(),$V$5:$V$1000,"Sub"),$Z30)))</f>
        <v/>
      </c>
      <c r="AE30" s="62">
        <f>IF($V30="","",IF(AND(ISNUMBER($G30),$G30&lt;=IF($S30=MesCiclo,InicioCiclo,$S30+MOD(2-WEEKDAY($S30),7))+20),1,IF(N($W30)&gt;0,AVERAGEIFS($AA$5:$AA$1000,$U$5:$U$1000,ROW(),$V$5:$V$1000,"Sub"),$AA30)))</f>
        <v/>
      </c>
      <c r="AF30" s="62">
        <f>IF($V30="","",IF(AND(ISNUMBER($G30),$G30&lt;=IF($S30=MesCiclo,InicioCiclo,$S30+MOD(2-WEEKDAY($S30),7))+27),1,IF(N($W30)&gt;0,AVERAGEIFS($AB$5:$AB$1000,$U$5:$U$1000,ROW(),$V$5:$V$1000,"Sub"),$AB30)))</f>
        <v/>
      </c>
      <c r="AG30" s="62">
        <f>IF($V30&lt;&gt;"Macro","",IF(COUNTIFS($S$5:$S$1000,$S30,$V$5:$V$1000,"Macro",$H$5:$H$1000,"&gt;0")=0,1/COUNTIFS($S$5:$S$1000,$S30,$V$5:$V$1000,"Macro"),IF(AND(ISNUMBER($H30),N($H30)&gt;0),$H30,SUMIFS($H$5:$H$1000,$S$5:$S$1000,$S30,$V$5:$V$1000,"Macro")/COUNTIFS($S$5:$S$1000,$S30,$V$5:$V$1000,"Macro",$H$5:$H$1000,"&gt;0"))/(COUNTIFS($S$5:$S$1000,$S30,$V$5:$V$1000,"Macro")*SUMIFS($H$5:$H$1000,$S$5:$S$1000,$S30,$V$5:$V$1000,"Macro")/COUNTIFS($S$5:$S$1000,$S30,$V$5:$V$1000,"Macro",$H$5:$H$1000,"&gt;0"))))</f>
        <v/>
      </c>
      <c r="AH30" s="62">
        <f>IF(NOT(AND($D30&lt;&gt;"",$V30="Macro")),"",IFERROR(CHOOSE(MATCH($D30,ListaPuestos,0),MATCH("[Jefatura] "&amp;$C30,'Cronograma R. Operacional'!$C$5:$C$1000,0),MATCH("[Jefatura] "&amp;$C30,'Cronograma R. Normativo'!$C$5:$C$1000,0),MATCH("[Jefatura] "&amp;$C30,'Cronograma R. Financiero'!$C$5:$C$1000,0),MATCH("[Jefatura] "&amp;$C30,'Cronograma Asistente Técnico'!$C$5:$C$1000,0)),0))</f>
        <v/>
      </c>
      <c r="AI30" s="62">
        <f>IF(AND(AND($D30&lt;&gt;"",$V30="Macro"),$S30=MesCiclo),COUNTIFS($D$5:$D30,$D30,$S$5:$S30,MesCiclo,$V$5:$V30,"Macro"),"")</f>
        <v/>
      </c>
      <c r="AJ30" s="62">
        <f>IF($AI30="","",$D30&amp;"|"&amp;$AI30)</f>
        <v/>
      </c>
      <c r="AK30" s="62">
        <f>IF(AND($D30&lt;&gt;"",$V30="Macro"),$D30&amp;"|"&amp;$C30,"")</f>
        <v/>
      </c>
      <c r="AL30" s="62">
        <f>""</f>
        <v/>
      </c>
      <c r="AM30" s="62">
        <f>IF(N($AL30)&gt;0,INDEX(rIni_ADM,$AL30),IF(ISNUMBER($E30),$E30,""))</f>
        <v/>
      </c>
      <c r="AN30" s="62">
        <f>IF(N($AL30)&gt;0,INDEX(rLim_ADM,$AL30),IF(ISNUMBER($F30),$F30,""))</f>
        <v/>
      </c>
    </row>
    <row r="31">
      <c r="A31" s="56">
        <f>IF(NOT((COUNTA($B31:$D31)+COUNTA($G31:$L31)+COUNTA($Q31))&gt;0),"",IF($V31="Macro",COUNTIFS($V$5:$V31,"Macro",$S$5:$S31,$S31),IF(N($U31)=0,"?",COUNTIFS(INDEX($V$5:$V$1000,1):INDEX($V$5:$V$1000,$U31-4),"Macro",INDEX($S$5:$S$1000,1):INDEX($S$5:$S$1000,$U31-4),INDEX($S$5:$S$1000,$U31-4))&amp;"."&amp;COUNTIFS($U$5:$U31,$U31,$V$5:$V31,"Sub"))))</f>
        <v/>
      </c>
      <c r="B31" s="57" t="n"/>
      <c r="C31" s="58" t="n"/>
      <c r="D31" s="58" t="n"/>
      <c r="E31" s="59" t="n"/>
      <c r="F31" s="59" t="n"/>
      <c r="G31" s="59" t="n"/>
      <c r="H31" s="60" t="n"/>
      <c r="I31" s="60" t="n"/>
      <c r="J31" s="60" t="n"/>
      <c r="K31" s="60" t="n"/>
      <c r="L31" s="60" t="n"/>
      <c r="M31" s="61">
        <f>IF(NOT((COUNTA($B31:$D31)+COUNTA($G31:$L31)+COUNTA($Q31))&gt;0),"",IF(AND($D31&lt;&gt;"",$V31="Macro"),IF(N($AH31)&gt;0,N(CHOOSE(MATCH($D31,ListaPuestos,0),INDEX('Cronograma R. Operacional'!$M$5:$M$1000,$AH31),INDEX('Cronograma R. Normativo'!$M$5:$M$1000,$AH31),INDEX('Cronograma R. Financiero'!$M$5:$M$1000,$AH31),INDEX('Cronograma Asistente Técnico'!$M$5:$M$1000,$AH31))),0),IF(ISNUMBER($G31),1,IF(N($W31)&gt;0,AVERAGEIFS($X$5:$X$1000,$U$5:$U$1000,ROW(),$V$5:$V$1000,"Sub"),$X31))))</f>
        <v/>
      </c>
      <c r="N31" s="56">
        <f>IF(OR($M31="",$V31="Sub"),"",IF($M31&gt;=1,"Completado",IF($M31&gt;0,"En curso","Pendiente")))</f>
        <v/>
      </c>
      <c r="O31" s="56">
        <f>IF(NOT((COUNTA($B31:$D31)+COUNTA($G31:$L31)+COUNTA($Q31))&gt;0),"",IF(AND(AND($D31&lt;&gt;"",$V31="Macro"),N($AH31)&gt;0),CHOOSE(MATCH($D31,ListaPuestos,0),INDEX('Cronograma R. Operacional'!$O$5:$O$1000,$AH31),INDEX('Cronograma R. Normativo'!$O$5:$O$1000,$AH31),INDEX('Cronograma R. Financiero'!$O$5:$O$1000,$AH31),INDEX('Cronograma Asistente Técnico'!$O$5:$O$1000,$AH31))&amp;"",IF(ISNUMBER($G31),IF(AND(ISNUMBER($AN31),$G31&gt;$AN31),"Cumplida con "&amp;($G31-$AN31)&amp;IF($G31-$AN31=1," día"," días")&amp;" de retraso","Cumplida"),IF(N($M31)&gt;=1,"Cumplida",IF(NOT(ISNUMBER($AN31)),"Sin fecha límite",IF($AN31&lt;FechaRef,"Vencida hace "&amp;(FechaRef-$AN31)&amp;IF(FechaRef-$AN31=1," día"," días"),IF($AN31=FechaRef,"Vence hoy",IF($AN31-FechaRef&lt;=DiasAlerta,"Vence en "&amp;($AN31-FechaRef)&amp;IF($AN31-FechaRef=1," día"," días"),"En plazo"))))))))</f>
        <v/>
      </c>
      <c r="P31" s="62">
        <f>IF(NOT((COUNTA($B31:$D31)+COUNTA($G31:$L31)+COUNTA($Q31))&gt;0),"",IF($D31="","Propia",IF($V31&lt;&gt;"Macro","Solo se delegan macroactividades",IF(N($AH31)&gt;0,"✔ Recibida por "&amp;$D31,"⚠ "&amp;$D31&amp;" aún no la agrega"))))</f>
        <v/>
      </c>
      <c r="Q31" s="58" t="n"/>
      <c r="R31" s="63">
        <f>IF(NOT((COUNTA($B31:$D31)+COUNTA($G31:$L31)+COUNTA($Q31))&gt;0),"",IF((IF($C31="","Falta el nombre de la actividad"&amp;" · ","")&amp;IF(AND($V31="Sub",N($U31)=0),"Subactividad sin macroactividad arriba"&amp;" · ","")&amp;IF($AM31="","Sin fecha de inicio"&amp;" · ","")&amp;IF($AN31="","Sin fecha límite"&amp;" · ","")&amp;IF(AND(LEFT($C31,11)="[Jefatura] ",N($AL31)=0),"No se encuentra en la hoja de la jefatura (elíjala de nuevo en la lista)"&amp;" · ","")&amp;IF(OR(AND($E31&lt;&gt;"",NOT(ISNUMBER($E31))),AND($F31&lt;&gt;"",NOT(ISNUMBER($F31))),AND($G31&lt;&gt;"",NOT(ISNUMBER($G31)))),"Fecha no válida"&amp;" · ","")&amp;IF(AND(ISNUMBER($AM31),ISNUMBER($AN31),$AM31&gt;$AN31),"Inicio posterior a fecha límite"&amp;" · ","")&amp;IF(AND($V31="Macro",$H31&lt;&gt;"",OR(NOT(ISNUMBER($H31)),$H31&lt;0,$H31&gt;1)),"Peso fuera de rango"&amp;" · ","")&amp;IF(AND($V31="Sub",$H31&lt;&gt;""),"Las subactividades no llevan peso (valen igual dentro de su macroactividad)"&amp;" · ","")&amp;IF(AND(N($W31)&gt;0,COUNT($I31:$L31)&gt;0),"Con subactividades: deje vacías las semanas (se calculan solas)"&amp;" · ","")&amp;IF((COUNTIF($I31:$L31,"&gt;1")+COUNTIF($I31:$L31,"&lt;0")+COUNTA($I31:$L31)-COUNT($I31:$L31))&gt;0,"Avance fuera de rango 0-100%"&amp;" · ","")&amp;IF(OR(AND($J31&lt;&gt;"",$J31&lt;$I31),AND($K31&lt;&gt;"",$K31&lt;MAX($I31:$J31)),AND($L31&lt;&gt;"",$L31&lt;MAX($I31:$K31))),"Avance semanal decreciente"&amp;" · ","")&amp;IF(AND(ISNUMBER($AN31),$AN31&lt;FechaRef,IF($V31="Sub",N($X31),N($M31))&lt;1),"Vencida"&amp;" · ","")&amp;IF(AND(ObsObligatoria="Sí",ISNUMBER($AN31),$AN31&lt;FechaRef,IF($V31="Sub",N($X31),N($M31))&lt;1,$Q31=""),"Vencida sin observación"&amp;" · ",""))="","✔ OK","⚠ "&amp;LEFT(IF($C31="","Falta el nombre de la actividad"&amp;" · ","")&amp;IF(AND($V31="Sub",N($U31)=0),"Subactividad sin macroactividad arriba"&amp;" · ","")&amp;IF($AM31="","Sin fecha de inicio"&amp;" · ","")&amp;IF($AN31="","Sin fecha límite"&amp;" · ","")&amp;IF(AND(LEFT($C31,11)="[Jefatura] ",N($AL31)=0),"No se encuentra en la hoja de la jefatura (elíjala de nuevo en la lista)"&amp;" · ","")&amp;IF(OR(AND($E31&lt;&gt;"",NOT(ISNUMBER($E31))),AND($F31&lt;&gt;"",NOT(ISNUMBER($F31))),AND($G31&lt;&gt;"",NOT(ISNUMBER($G31)))),"Fecha no válida"&amp;" · ","")&amp;IF(AND(ISNUMBER($AM31),ISNUMBER($AN31),$AM31&gt;$AN31),"Inicio posterior a fecha límite"&amp;" · ","")&amp;IF(AND($V31="Macro",$H31&lt;&gt;"",OR(NOT(ISNUMBER($H31)),$H31&lt;0,$H31&gt;1)),"Peso fuera de rango"&amp;" · ","")&amp;IF(AND($V31="Sub",$H31&lt;&gt;""),"Las subactividades no llevan peso (valen igual dentro de su macroactividad)"&amp;" · ","")&amp;IF(AND(N($W31)&gt;0,COUNT($I31:$L31)&gt;0),"Con subactividades: deje vacías las semanas (se calculan solas)"&amp;" · ","")&amp;IF((COUNTIF($I31:$L31,"&gt;1")+COUNTIF($I31:$L31,"&lt;0")+COUNTA($I31:$L31)-COUNT($I31:$L31))&gt;0,"Avance fuera de rango 0-100%"&amp;" · ","")&amp;IF(OR(AND($J31&lt;&gt;"",$J31&lt;$I31),AND($K31&lt;&gt;"",$K31&lt;MAX($I31:$J31)),AND($L31&lt;&gt;"",$L31&lt;MAX($I31:$K31))),"Avance semanal decreciente"&amp;" · ","")&amp;IF(AND(ISNUMBER($AN31),$AN31&lt;FechaRef,IF($V31="Sub",N($X31),N($M31))&lt;1),"Vencida"&amp;" · ","")&amp;IF(AND(ObsObligatoria="Sí",ISNUMBER($AN31),$AN31&lt;FechaRef,IF($V31="Sub",N($X31),N($M31))&lt;1,$Q31=""),"Vencida sin observación"&amp;" · ",""),LEN(IF($C31="","Falta el nombre de la actividad"&amp;" · ","")&amp;IF(AND($V31="Sub",N($U31)=0),"Subactividad sin macroactividad arriba"&amp;" · ","")&amp;IF($AM31="","Sin fecha de inicio"&amp;" · ","")&amp;IF($AN31="","Sin fecha límite"&amp;" · ","")&amp;IF(AND(LEFT($C31,11)="[Jefatura] ",N($AL31)=0),"No se encuentra en la hoja de la jefatura (elíjala de nuevo en la lista)"&amp;" · ","")&amp;IF(OR(AND($E31&lt;&gt;"",NOT(ISNUMBER($E31))),AND($F31&lt;&gt;"",NOT(ISNUMBER($F31))),AND($G31&lt;&gt;"",NOT(ISNUMBER($G31)))),"Fecha no válida"&amp;" · ","")&amp;IF(AND(ISNUMBER($AM31),ISNUMBER($AN31),$AM31&gt;$AN31),"Inicio posterior a fecha límite"&amp;" · ","")&amp;IF(AND($V31="Macro",$H31&lt;&gt;"",OR(NOT(ISNUMBER($H31)),$H31&lt;0,$H31&gt;1)),"Peso fuera de rango"&amp;" · ","")&amp;IF(AND($V31="Sub",$H31&lt;&gt;""),"Las subactividades no llevan peso (valen igual dentro de su macroactividad)"&amp;" · ","")&amp;IF(AND(N($W31)&gt;0,COUNT($I31:$L31)&gt;0),"Con subactividades: deje vacías las semanas (se calculan solas)"&amp;" · ","")&amp;IF((COUNTIF($I31:$L31,"&gt;1")+COUNTIF($I31:$L31,"&lt;0")+COUNTA($I31:$L31)-COUNT($I31:$L31))&gt;0,"Avance fuera de rango 0-100%"&amp;" · ","")&amp;IF(OR(AND($J31&lt;&gt;"",$J31&lt;$I31),AND($K31&lt;&gt;"",$K31&lt;MAX($I31:$J31)),AND($L31&lt;&gt;"",$L31&lt;MAX($I31:$K31))),"Avance semanal decreciente"&amp;" · ","")&amp;IF(AND(ISNUMBER($AN31),$AN31&lt;FechaRef,IF($V31="Sub",N($X31),N($M31))&lt;1),"Vencida"&amp;" · ","")&amp;IF(AND(ObsObligatoria="Sí",ISNUMBER($AN31),$AN31&lt;FechaRef,IF($V31="Sub",N($X31),N($M31))&lt;1,$Q31=""),"Vencida sin observación"&amp;" · ",""))-3)))</f>
        <v/>
      </c>
      <c r="S31" s="64">
        <f>IF(NOT((COUNTA($B31:$D31)+COUNTA($G31:$L31)+COUNTA($Q31))&gt;0),"",IF(AND($V31="Sub",N($U31)&gt;0),IF(ISNUMBER(INDEX($AM$5:$AM$1000,$U31-4)),DATE(YEAR(INDEX($AM$5:$AM$1000,$U31-4)),MONTH(INDEX($AM$5:$AM$1000,$U31-4)),1),IF(ISNUMBER(INDEX($AN$5:$AN$1000,$U31-4)),DATE(YEAR(INDEX($AN$5:$AN$1000,$U31-4)),MONTH(INDEX($AN$5:$AN$1000,$U31-4)),1),MesCiclo)),IF(ISNUMBER($AM31),DATE(YEAR($AM31),MONTH($AM31),1),IF(ISNUMBER($AN31),DATE(YEAR($AN31),MONTH($AN31),1),MesCiclo))))</f>
        <v/>
      </c>
      <c r="T31" s="62">
        <f>IF(OR($S31="",$S31&lt;&gt;MesCiclo,$V31&lt;&gt;"Macro"),"",COUNTIFS($S$5:$S31,MesCiclo,$V$5:$V31,"Macro"))</f>
        <v/>
      </c>
      <c r="U31" s="62">
        <f>IF($V31="","",IF($V31="Macro",ROW(),IFERROR(LOOKUP(2,1/($V$5:$V31="Macro"),ROW($V$5:$V31)),0)))</f>
        <v/>
      </c>
      <c r="V31" s="62">
        <f>IF(NOT((COUNTA($B31:$D31)+COUNTA($G31:$L31)+COUNTA($Q31))&gt;0),"",IF($B31="Subactividad","Sub","Macro"))</f>
        <v/>
      </c>
      <c r="W31" s="62">
        <f>IF($V31="Macro",COUNTIFS($U$5:$U$1000,ROW(),$V$5:$V$1000,"Sub"),"")</f>
        <v/>
      </c>
      <c r="X31" s="62">
        <f>IF($V31="","",IF(ISNUMBER($G31),1,IFERROR(LOOKUP(2,1/($I31:$L31&lt;&gt;""),$I31:$L31),0)))</f>
        <v/>
      </c>
      <c r="Y31" s="62">
        <f>IF($V31="","",IF(AND(ISNUMBER($G31),$G31&lt;=IF($S31=MesCiclo,InicioCiclo,$S31+MOD(2-WEEKDAY($S31),7))+6),1,IF(ISNUMBER($I31),$I31,0)))</f>
        <v/>
      </c>
      <c r="Z31" s="62">
        <f>IF($V31="","",IF(AND(ISNUMBER($G31),$G31&lt;=IF($S31=MesCiclo,InicioCiclo,$S31+MOD(2-WEEKDAY($S31),7))+13),1,IF(ISNUMBER($J31),$J31,$Y31)))</f>
        <v/>
      </c>
      <c r="AA31" s="62">
        <f>IF($V31="","",IF(AND(ISNUMBER($G31),$G31&lt;=IF($S31=MesCiclo,InicioCiclo,$S31+MOD(2-WEEKDAY($S31),7))+20),1,IF(ISNUMBER($K31),$K31,$Z31)))</f>
        <v/>
      </c>
      <c r="AB31" s="62">
        <f>IF($V31="","",IF(AND(ISNUMBER($G31),$G31&lt;=IF($S31=MesCiclo,InicioCiclo,$S31+MOD(2-WEEKDAY($S31),7))+27),1,IF(ISNUMBER($L31),$L31,$AA31)))</f>
        <v/>
      </c>
      <c r="AC31" s="62">
        <f>IF($V31="","",IF(AND(ISNUMBER($G31),$G31&lt;=IF($S31=MesCiclo,InicioCiclo,$S31+MOD(2-WEEKDAY($S31),7))+6),1,IF(N($W31)&gt;0,AVERAGEIFS($Y$5:$Y$1000,$U$5:$U$1000,ROW(),$V$5:$V$1000,"Sub"),$Y31)))</f>
        <v/>
      </c>
      <c r="AD31" s="62">
        <f>IF($V31="","",IF(AND(ISNUMBER($G31),$G31&lt;=IF($S31=MesCiclo,InicioCiclo,$S31+MOD(2-WEEKDAY($S31),7))+13),1,IF(N($W31)&gt;0,AVERAGEIFS($Z$5:$Z$1000,$U$5:$U$1000,ROW(),$V$5:$V$1000,"Sub"),$Z31)))</f>
        <v/>
      </c>
      <c r="AE31" s="62">
        <f>IF($V31="","",IF(AND(ISNUMBER($G31),$G31&lt;=IF($S31=MesCiclo,InicioCiclo,$S31+MOD(2-WEEKDAY($S31),7))+20),1,IF(N($W31)&gt;0,AVERAGEIFS($AA$5:$AA$1000,$U$5:$U$1000,ROW(),$V$5:$V$1000,"Sub"),$AA31)))</f>
        <v/>
      </c>
      <c r="AF31" s="62">
        <f>IF($V31="","",IF(AND(ISNUMBER($G31),$G31&lt;=IF($S31=MesCiclo,InicioCiclo,$S31+MOD(2-WEEKDAY($S31),7))+27),1,IF(N($W31)&gt;0,AVERAGEIFS($AB$5:$AB$1000,$U$5:$U$1000,ROW(),$V$5:$V$1000,"Sub"),$AB31)))</f>
        <v/>
      </c>
      <c r="AG31" s="62">
        <f>IF($V31&lt;&gt;"Macro","",IF(COUNTIFS($S$5:$S$1000,$S31,$V$5:$V$1000,"Macro",$H$5:$H$1000,"&gt;0")=0,1/COUNTIFS($S$5:$S$1000,$S31,$V$5:$V$1000,"Macro"),IF(AND(ISNUMBER($H31),N($H31)&gt;0),$H31,SUMIFS($H$5:$H$1000,$S$5:$S$1000,$S31,$V$5:$V$1000,"Macro")/COUNTIFS($S$5:$S$1000,$S31,$V$5:$V$1000,"Macro",$H$5:$H$1000,"&gt;0"))/(COUNTIFS($S$5:$S$1000,$S31,$V$5:$V$1000,"Macro")*SUMIFS($H$5:$H$1000,$S$5:$S$1000,$S31,$V$5:$V$1000,"Macro")/COUNTIFS($S$5:$S$1000,$S31,$V$5:$V$1000,"Macro",$H$5:$H$1000,"&gt;0"))))</f>
        <v/>
      </c>
      <c r="AH31" s="62">
        <f>IF(NOT(AND($D31&lt;&gt;"",$V31="Macro")),"",IFERROR(CHOOSE(MATCH($D31,ListaPuestos,0),MATCH("[Jefatura] "&amp;$C31,'Cronograma R. Operacional'!$C$5:$C$1000,0),MATCH("[Jefatura] "&amp;$C31,'Cronograma R. Normativo'!$C$5:$C$1000,0),MATCH("[Jefatura] "&amp;$C31,'Cronograma R. Financiero'!$C$5:$C$1000,0),MATCH("[Jefatura] "&amp;$C31,'Cronograma Asistente Técnico'!$C$5:$C$1000,0)),0))</f>
        <v/>
      </c>
      <c r="AI31" s="62">
        <f>IF(AND(AND($D31&lt;&gt;"",$V31="Macro"),$S31=MesCiclo),COUNTIFS($D$5:$D31,$D31,$S$5:$S31,MesCiclo,$V$5:$V31,"Macro"),"")</f>
        <v/>
      </c>
      <c r="AJ31" s="62">
        <f>IF($AI31="","",$D31&amp;"|"&amp;$AI31)</f>
        <v/>
      </c>
      <c r="AK31" s="62">
        <f>IF(AND($D31&lt;&gt;"",$V31="Macro"),$D31&amp;"|"&amp;$C31,"")</f>
        <v/>
      </c>
      <c r="AL31" s="62">
        <f>""</f>
        <v/>
      </c>
      <c r="AM31" s="62">
        <f>IF(N($AL31)&gt;0,INDEX(rIni_ADM,$AL31),IF(ISNUMBER($E31),$E31,""))</f>
        <v/>
      </c>
      <c r="AN31" s="62">
        <f>IF(N($AL31)&gt;0,INDEX(rLim_ADM,$AL31),IF(ISNUMBER($F31),$F31,""))</f>
        <v/>
      </c>
    </row>
    <row r="32">
      <c r="A32" s="56">
        <f>IF(NOT((COUNTA($B32:$D32)+COUNTA($G32:$L32)+COUNTA($Q32))&gt;0),"",IF($V32="Macro",COUNTIFS($V$5:$V32,"Macro",$S$5:$S32,$S32),IF(N($U32)=0,"?",COUNTIFS(INDEX($V$5:$V$1000,1):INDEX($V$5:$V$1000,$U32-4),"Macro",INDEX($S$5:$S$1000,1):INDEX($S$5:$S$1000,$U32-4),INDEX($S$5:$S$1000,$U32-4))&amp;"."&amp;COUNTIFS($U$5:$U32,$U32,$V$5:$V32,"Sub"))))</f>
        <v/>
      </c>
      <c r="B32" s="57" t="n"/>
      <c r="C32" s="58" t="n"/>
      <c r="D32" s="58" t="n"/>
      <c r="E32" s="59" t="n"/>
      <c r="F32" s="59" t="n"/>
      <c r="G32" s="59" t="n"/>
      <c r="H32" s="60" t="n"/>
      <c r="I32" s="60" t="n"/>
      <c r="J32" s="60" t="n"/>
      <c r="K32" s="60" t="n"/>
      <c r="L32" s="60" t="n"/>
      <c r="M32" s="61">
        <f>IF(NOT((COUNTA($B32:$D32)+COUNTA($G32:$L32)+COUNTA($Q32))&gt;0),"",IF(AND($D32&lt;&gt;"",$V32="Macro"),IF(N($AH32)&gt;0,N(CHOOSE(MATCH($D32,ListaPuestos,0),INDEX('Cronograma R. Operacional'!$M$5:$M$1000,$AH32),INDEX('Cronograma R. Normativo'!$M$5:$M$1000,$AH32),INDEX('Cronograma R. Financiero'!$M$5:$M$1000,$AH32),INDEX('Cronograma Asistente Técnico'!$M$5:$M$1000,$AH32))),0),IF(ISNUMBER($G32),1,IF(N($W32)&gt;0,AVERAGEIFS($X$5:$X$1000,$U$5:$U$1000,ROW(),$V$5:$V$1000,"Sub"),$X32))))</f>
        <v/>
      </c>
      <c r="N32" s="56">
        <f>IF(OR($M32="",$V32="Sub"),"",IF($M32&gt;=1,"Completado",IF($M32&gt;0,"En curso","Pendiente")))</f>
        <v/>
      </c>
      <c r="O32" s="56">
        <f>IF(NOT((COUNTA($B32:$D32)+COUNTA($G32:$L32)+COUNTA($Q32))&gt;0),"",IF(AND(AND($D32&lt;&gt;"",$V32="Macro"),N($AH32)&gt;0),CHOOSE(MATCH($D32,ListaPuestos,0),INDEX('Cronograma R. Operacional'!$O$5:$O$1000,$AH32),INDEX('Cronograma R. Normativo'!$O$5:$O$1000,$AH32),INDEX('Cronograma R. Financiero'!$O$5:$O$1000,$AH32),INDEX('Cronograma Asistente Técnico'!$O$5:$O$1000,$AH32))&amp;"",IF(ISNUMBER($G32),IF(AND(ISNUMBER($AN32),$G32&gt;$AN32),"Cumplida con "&amp;($G32-$AN32)&amp;IF($G32-$AN32=1," día"," días")&amp;" de retraso","Cumplida"),IF(N($M32)&gt;=1,"Cumplida",IF(NOT(ISNUMBER($AN32)),"Sin fecha límite",IF($AN32&lt;FechaRef,"Vencida hace "&amp;(FechaRef-$AN32)&amp;IF(FechaRef-$AN32=1," día"," días"),IF($AN32=FechaRef,"Vence hoy",IF($AN32-FechaRef&lt;=DiasAlerta,"Vence en "&amp;($AN32-FechaRef)&amp;IF($AN32-FechaRef=1," día"," días"),"En plazo"))))))))</f>
        <v/>
      </c>
      <c r="P32" s="62">
        <f>IF(NOT((COUNTA($B32:$D32)+COUNTA($G32:$L32)+COUNTA($Q32))&gt;0),"",IF($D32="","Propia",IF($V32&lt;&gt;"Macro","Solo se delegan macroactividades",IF(N($AH32)&gt;0,"✔ Recibida por "&amp;$D32,"⚠ "&amp;$D32&amp;" aún no la agrega"))))</f>
        <v/>
      </c>
      <c r="Q32" s="58" t="n"/>
      <c r="R32" s="63">
        <f>IF(NOT((COUNTA($B32:$D32)+COUNTA($G32:$L32)+COUNTA($Q32))&gt;0),"",IF((IF($C32="","Falta el nombre de la actividad"&amp;" · ","")&amp;IF(AND($V32="Sub",N($U32)=0),"Subactividad sin macroactividad arriba"&amp;" · ","")&amp;IF($AM32="","Sin fecha de inicio"&amp;" · ","")&amp;IF($AN32="","Sin fecha límite"&amp;" · ","")&amp;IF(AND(LEFT($C32,11)="[Jefatura] ",N($AL32)=0),"No se encuentra en la hoja de la jefatura (elíjala de nuevo en la lista)"&amp;" · ","")&amp;IF(OR(AND($E32&lt;&gt;"",NOT(ISNUMBER($E32))),AND($F32&lt;&gt;"",NOT(ISNUMBER($F32))),AND($G32&lt;&gt;"",NOT(ISNUMBER($G32)))),"Fecha no válida"&amp;" · ","")&amp;IF(AND(ISNUMBER($AM32),ISNUMBER($AN32),$AM32&gt;$AN32),"Inicio posterior a fecha límite"&amp;" · ","")&amp;IF(AND($V32="Macro",$H32&lt;&gt;"",OR(NOT(ISNUMBER($H32)),$H32&lt;0,$H32&gt;1)),"Peso fuera de rango"&amp;" · ","")&amp;IF(AND($V32="Sub",$H32&lt;&gt;""),"Las subactividades no llevan peso (valen igual dentro de su macroactividad)"&amp;" · ","")&amp;IF(AND(N($W32)&gt;0,COUNT($I32:$L32)&gt;0),"Con subactividades: deje vacías las semanas (se calculan solas)"&amp;" · ","")&amp;IF((COUNTIF($I32:$L32,"&gt;1")+COUNTIF($I32:$L32,"&lt;0")+COUNTA($I32:$L32)-COUNT($I32:$L32))&gt;0,"Avance fuera de rango 0-100%"&amp;" · ","")&amp;IF(OR(AND($J32&lt;&gt;"",$J32&lt;$I32),AND($K32&lt;&gt;"",$K32&lt;MAX($I32:$J32)),AND($L32&lt;&gt;"",$L32&lt;MAX($I32:$K32))),"Avance semanal decreciente"&amp;" · ","")&amp;IF(AND(ISNUMBER($AN32),$AN32&lt;FechaRef,IF($V32="Sub",N($X32),N($M32))&lt;1),"Vencida"&amp;" · ","")&amp;IF(AND(ObsObligatoria="Sí",ISNUMBER($AN32),$AN32&lt;FechaRef,IF($V32="Sub",N($X32),N($M32))&lt;1,$Q32=""),"Vencida sin observación"&amp;" · ",""))="","✔ OK","⚠ "&amp;LEFT(IF($C32="","Falta el nombre de la actividad"&amp;" · ","")&amp;IF(AND($V32="Sub",N($U32)=0),"Subactividad sin macroactividad arriba"&amp;" · ","")&amp;IF($AM32="","Sin fecha de inicio"&amp;" · ","")&amp;IF($AN32="","Sin fecha límite"&amp;" · ","")&amp;IF(AND(LEFT($C32,11)="[Jefatura] ",N($AL32)=0),"No se encuentra en la hoja de la jefatura (elíjala de nuevo en la lista)"&amp;" · ","")&amp;IF(OR(AND($E32&lt;&gt;"",NOT(ISNUMBER($E32))),AND($F32&lt;&gt;"",NOT(ISNUMBER($F32))),AND($G32&lt;&gt;"",NOT(ISNUMBER($G32)))),"Fecha no válida"&amp;" · ","")&amp;IF(AND(ISNUMBER($AM32),ISNUMBER($AN32),$AM32&gt;$AN32),"Inicio posterior a fecha límite"&amp;" · ","")&amp;IF(AND($V32="Macro",$H32&lt;&gt;"",OR(NOT(ISNUMBER($H32)),$H32&lt;0,$H32&gt;1)),"Peso fuera de rango"&amp;" · ","")&amp;IF(AND($V32="Sub",$H32&lt;&gt;""),"Las subactividades no llevan peso (valen igual dentro de su macroactividad)"&amp;" · ","")&amp;IF(AND(N($W32)&gt;0,COUNT($I32:$L32)&gt;0),"Con subactividades: deje vacías las semanas (se calculan solas)"&amp;" · ","")&amp;IF((COUNTIF($I32:$L32,"&gt;1")+COUNTIF($I32:$L32,"&lt;0")+COUNTA($I32:$L32)-COUNT($I32:$L32))&gt;0,"Avance fuera de rango 0-100%"&amp;" · ","")&amp;IF(OR(AND($J32&lt;&gt;"",$J32&lt;$I32),AND($K32&lt;&gt;"",$K32&lt;MAX($I32:$J32)),AND($L32&lt;&gt;"",$L32&lt;MAX($I32:$K32))),"Avance semanal decreciente"&amp;" · ","")&amp;IF(AND(ISNUMBER($AN32),$AN32&lt;FechaRef,IF($V32="Sub",N($X32),N($M32))&lt;1),"Vencida"&amp;" · ","")&amp;IF(AND(ObsObligatoria="Sí",ISNUMBER($AN32),$AN32&lt;FechaRef,IF($V32="Sub",N($X32),N($M32))&lt;1,$Q32=""),"Vencida sin observación"&amp;" · ",""),LEN(IF($C32="","Falta el nombre de la actividad"&amp;" · ","")&amp;IF(AND($V32="Sub",N($U32)=0),"Subactividad sin macroactividad arriba"&amp;" · ","")&amp;IF($AM32="","Sin fecha de inicio"&amp;" · ","")&amp;IF($AN32="","Sin fecha límite"&amp;" · ","")&amp;IF(AND(LEFT($C32,11)="[Jefatura] ",N($AL32)=0),"No se encuentra en la hoja de la jefatura (elíjala de nuevo en la lista)"&amp;" · ","")&amp;IF(OR(AND($E32&lt;&gt;"",NOT(ISNUMBER($E32))),AND($F32&lt;&gt;"",NOT(ISNUMBER($F32))),AND($G32&lt;&gt;"",NOT(ISNUMBER($G32)))),"Fecha no válida"&amp;" · ","")&amp;IF(AND(ISNUMBER($AM32),ISNUMBER($AN32),$AM32&gt;$AN32),"Inicio posterior a fecha límite"&amp;" · ","")&amp;IF(AND($V32="Macro",$H32&lt;&gt;"",OR(NOT(ISNUMBER($H32)),$H32&lt;0,$H32&gt;1)),"Peso fuera de rango"&amp;" · ","")&amp;IF(AND($V32="Sub",$H32&lt;&gt;""),"Las subactividades no llevan peso (valen igual dentro de su macroactividad)"&amp;" · ","")&amp;IF(AND(N($W32)&gt;0,COUNT($I32:$L32)&gt;0),"Con subactividades: deje vacías las semanas (se calculan solas)"&amp;" · ","")&amp;IF((COUNTIF($I32:$L32,"&gt;1")+COUNTIF($I32:$L32,"&lt;0")+COUNTA($I32:$L32)-COUNT($I32:$L32))&gt;0,"Avance fuera de rango 0-100%"&amp;" · ","")&amp;IF(OR(AND($J32&lt;&gt;"",$J32&lt;$I32),AND($K32&lt;&gt;"",$K32&lt;MAX($I32:$J32)),AND($L32&lt;&gt;"",$L32&lt;MAX($I32:$K32))),"Avance semanal decreciente"&amp;" · ","")&amp;IF(AND(ISNUMBER($AN32),$AN32&lt;FechaRef,IF($V32="Sub",N($X32),N($M32))&lt;1),"Vencida"&amp;" · ","")&amp;IF(AND(ObsObligatoria="Sí",ISNUMBER($AN32),$AN32&lt;FechaRef,IF($V32="Sub",N($X32),N($M32))&lt;1,$Q32=""),"Vencida sin observación"&amp;" · ",""))-3)))</f>
        <v/>
      </c>
      <c r="S32" s="64">
        <f>IF(NOT((COUNTA($B32:$D32)+COUNTA($G32:$L32)+COUNTA($Q32))&gt;0),"",IF(AND($V32="Sub",N($U32)&gt;0),IF(ISNUMBER(INDEX($AM$5:$AM$1000,$U32-4)),DATE(YEAR(INDEX($AM$5:$AM$1000,$U32-4)),MONTH(INDEX($AM$5:$AM$1000,$U32-4)),1),IF(ISNUMBER(INDEX($AN$5:$AN$1000,$U32-4)),DATE(YEAR(INDEX($AN$5:$AN$1000,$U32-4)),MONTH(INDEX($AN$5:$AN$1000,$U32-4)),1),MesCiclo)),IF(ISNUMBER($AM32),DATE(YEAR($AM32),MONTH($AM32),1),IF(ISNUMBER($AN32),DATE(YEAR($AN32),MONTH($AN32),1),MesCiclo))))</f>
        <v/>
      </c>
      <c r="T32" s="62">
        <f>IF(OR($S32="",$S32&lt;&gt;MesCiclo,$V32&lt;&gt;"Macro"),"",COUNTIFS($S$5:$S32,MesCiclo,$V$5:$V32,"Macro"))</f>
        <v/>
      </c>
      <c r="U32" s="62">
        <f>IF($V32="","",IF($V32="Macro",ROW(),IFERROR(LOOKUP(2,1/($V$5:$V32="Macro"),ROW($V$5:$V32)),0)))</f>
        <v/>
      </c>
      <c r="V32" s="62">
        <f>IF(NOT((COUNTA($B32:$D32)+COUNTA($G32:$L32)+COUNTA($Q32))&gt;0),"",IF($B32="Subactividad","Sub","Macro"))</f>
        <v/>
      </c>
      <c r="W32" s="62">
        <f>IF($V32="Macro",COUNTIFS($U$5:$U$1000,ROW(),$V$5:$V$1000,"Sub"),"")</f>
        <v/>
      </c>
      <c r="X32" s="62">
        <f>IF($V32="","",IF(ISNUMBER($G32),1,IFERROR(LOOKUP(2,1/($I32:$L32&lt;&gt;""),$I32:$L32),0)))</f>
        <v/>
      </c>
      <c r="Y32" s="62">
        <f>IF($V32="","",IF(AND(ISNUMBER($G32),$G32&lt;=IF($S32=MesCiclo,InicioCiclo,$S32+MOD(2-WEEKDAY($S32),7))+6),1,IF(ISNUMBER($I32),$I32,0)))</f>
        <v/>
      </c>
      <c r="Z32" s="62">
        <f>IF($V32="","",IF(AND(ISNUMBER($G32),$G32&lt;=IF($S32=MesCiclo,InicioCiclo,$S32+MOD(2-WEEKDAY($S32),7))+13),1,IF(ISNUMBER($J32),$J32,$Y32)))</f>
        <v/>
      </c>
      <c r="AA32" s="62">
        <f>IF($V32="","",IF(AND(ISNUMBER($G32),$G32&lt;=IF($S32=MesCiclo,InicioCiclo,$S32+MOD(2-WEEKDAY($S32),7))+20),1,IF(ISNUMBER($K32),$K32,$Z32)))</f>
        <v/>
      </c>
      <c r="AB32" s="62">
        <f>IF($V32="","",IF(AND(ISNUMBER($G32),$G32&lt;=IF($S32=MesCiclo,InicioCiclo,$S32+MOD(2-WEEKDAY($S32),7))+27),1,IF(ISNUMBER($L32),$L32,$AA32)))</f>
        <v/>
      </c>
      <c r="AC32" s="62">
        <f>IF($V32="","",IF(AND(ISNUMBER($G32),$G32&lt;=IF($S32=MesCiclo,InicioCiclo,$S32+MOD(2-WEEKDAY($S32),7))+6),1,IF(N($W32)&gt;0,AVERAGEIFS($Y$5:$Y$1000,$U$5:$U$1000,ROW(),$V$5:$V$1000,"Sub"),$Y32)))</f>
        <v/>
      </c>
      <c r="AD32" s="62">
        <f>IF($V32="","",IF(AND(ISNUMBER($G32),$G32&lt;=IF($S32=MesCiclo,InicioCiclo,$S32+MOD(2-WEEKDAY($S32),7))+13),1,IF(N($W32)&gt;0,AVERAGEIFS($Z$5:$Z$1000,$U$5:$U$1000,ROW(),$V$5:$V$1000,"Sub"),$Z32)))</f>
        <v/>
      </c>
      <c r="AE32" s="62">
        <f>IF($V32="","",IF(AND(ISNUMBER($G32),$G32&lt;=IF($S32=MesCiclo,InicioCiclo,$S32+MOD(2-WEEKDAY($S32),7))+20),1,IF(N($W32)&gt;0,AVERAGEIFS($AA$5:$AA$1000,$U$5:$U$1000,ROW(),$V$5:$V$1000,"Sub"),$AA32)))</f>
        <v/>
      </c>
      <c r="AF32" s="62">
        <f>IF($V32="","",IF(AND(ISNUMBER($G32),$G32&lt;=IF($S32=MesCiclo,InicioCiclo,$S32+MOD(2-WEEKDAY($S32),7))+27),1,IF(N($W32)&gt;0,AVERAGEIFS($AB$5:$AB$1000,$U$5:$U$1000,ROW(),$V$5:$V$1000,"Sub"),$AB32)))</f>
        <v/>
      </c>
      <c r="AG32" s="62">
        <f>IF($V32&lt;&gt;"Macro","",IF(COUNTIFS($S$5:$S$1000,$S32,$V$5:$V$1000,"Macro",$H$5:$H$1000,"&gt;0")=0,1/COUNTIFS($S$5:$S$1000,$S32,$V$5:$V$1000,"Macro"),IF(AND(ISNUMBER($H32),N($H32)&gt;0),$H32,SUMIFS($H$5:$H$1000,$S$5:$S$1000,$S32,$V$5:$V$1000,"Macro")/COUNTIFS($S$5:$S$1000,$S32,$V$5:$V$1000,"Macro",$H$5:$H$1000,"&gt;0"))/(COUNTIFS($S$5:$S$1000,$S32,$V$5:$V$1000,"Macro")*SUMIFS($H$5:$H$1000,$S$5:$S$1000,$S32,$V$5:$V$1000,"Macro")/COUNTIFS($S$5:$S$1000,$S32,$V$5:$V$1000,"Macro",$H$5:$H$1000,"&gt;0"))))</f>
        <v/>
      </c>
      <c r="AH32" s="62">
        <f>IF(NOT(AND($D32&lt;&gt;"",$V32="Macro")),"",IFERROR(CHOOSE(MATCH($D32,ListaPuestos,0),MATCH("[Jefatura] "&amp;$C32,'Cronograma R. Operacional'!$C$5:$C$1000,0),MATCH("[Jefatura] "&amp;$C32,'Cronograma R. Normativo'!$C$5:$C$1000,0),MATCH("[Jefatura] "&amp;$C32,'Cronograma R. Financiero'!$C$5:$C$1000,0),MATCH("[Jefatura] "&amp;$C32,'Cronograma Asistente Técnico'!$C$5:$C$1000,0)),0))</f>
        <v/>
      </c>
      <c r="AI32" s="62">
        <f>IF(AND(AND($D32&lt;&gt;"",$V32="Macro"),$S32=MesCiclo),COUNTIFS($D$5:$D32,$D32,$S$5:$S32,MesCiclo,$V$5:$V32,"Macro"),"")</f>
        <v/>
      </c>
      <c r="AJ32" s="62">
        <f>IF($AI32="","",$D32&amp;"|"&amp;$AI32)</f>
        <v/>
      </c>
      <c r="AK32" s="62">
        <f>IF(AND($D32&lt;&gt;"",$V32="Macro"),$D32&amp;"|"&amp;$C32,"")</f>
        <v/>
      </c>
      <c r="AL32" s="62">
        <f>""</f>
        <v/>
      </c>
      <c r="AM32" s="62">
        <f>IF(N($AL32)&gt;0,INDEX(rIni_ADM,$AL32),IF(ISNUMBER($E32),$E32,""))</f>
        <v/>
      </c>
      <c r="AN32" s="62">
        <f>IF(N($AL32)&gt;0,INDEX(rLim_ADM,$AL32),IF(ISNUMBER($F32),$F32,""))</f>
        <v/>
      </c>
    </row>
    <row r="33">
      <c r="A33" s="56">
        <f>IF(NOT((COUNTA($B33:$D33)+COUNTA($G33:$L33)+COUNTA($Q33))&gt;0),"",IF($V33="Macro",COUNTIFS($V$5:$V33,"Macro",$S$5:$S33,$S33),IF(N($U33)=0,"?",COUNTIFS(INDEX($V$5:$V$1000,1):INDEX($V$5:$V$1000,$U33-4),"Macro",INDEX($S$5:$S$1000,1):INDEX($S$5:$S$1000,$U33-4),INDEX($S$5:$S$1000,$U33-4))&amp;"."&amp;COUNTIFS($U$5:$U33,$U33,$V$5:$V33,"Sub"))))</f>
        <v/>
      </c>
      <c r="B33" s="57" t="n"/>
      <c r="C33" s="58" t="n"/>
      <c r="D33" s="58" t="n"/>
      <c r="E33" s="59" t="n"/>
      <c r="F33" s="59" t="n"/>
      <c r="G33" s="59" t="n"/>
      <c r="H33" s="60" t="n"/>
      <c r="I33" s="60" t="n"/>
      <c r="J33" s="60" t="n"/>
      <c r="K33" s="60" t="n"/>
      <c r="L33" s="60" t="n"/>
      <c r="M33" s="61">
        <f>IF(NOT((COUNTA($B33:$D33)+COUNTA($G33:$L33)+COUNTA($Q33))&gt;0),"",IF(AND($D33&lt;&gt;"",$V33="Macro"),IF(N($AH33)&gt;0,N(CHOOSE(MATCH($D33,ListaPuestos,0),INDEX('Cronograma R. Operacional'!$M$5:$M$1000,$AH33),INDEX('Cronograma R. Normativo'!$M$5:$M$1000,$AH33),INDEX('Cronograma R. Financiero'!$M$5:$M$1000,$AH33),INDEX('Cronograma Asistente Técnico'!$M$5:$M$1000,$AH33))),0),IF(ISNUMBER($G33),1,IF(N($W33)&gt;0,AVERAGEIFS($X$5:$X$1000,$U$5:$U$1000,ROW(),$V$5:$V$1000,"Sub"),$X33))))</f>
        <v/>
      </c>
      <c r="N33" s="56">
        <f>IF(OR($M33="",$V33="Sub"),"",IF($M33&gt;=1,"Completado",IF($M33&gt;0,"En curso","Pendiente")))</f>
        <v/>
      </c>
      <c r="O33" s="56">
        <f>IF(NOT((COUNTA($B33:$D33)+COUNTA($G33:$L33)+COUNTA($Q33))&gt;0),"",IF(AND(AND($D33&lt;&gt;"",$V33="Macro"),N($AH33)&gt;0),CHOOSE(MATCH($D33,ListaPuestos,0),INDEX('Cronograma R. Operacional'!$O$5:$O$1000,$AH33),INDEX('Cronograma R. Normativo'!$O$5:$O$1000,$AH33),INDEX('Cronograma R. Financiero'!$O$5:$O$1000,$AH33),INDEX('Cronograma Asistente Técnico'!$O$5:$O$1000,$AH33))&amp;"",IF(ISNUMBER($G33),IF(AND(ISNUMBER($AN33),$G33&gt;$AN33),"Cumplida con "&amp;($G33-$AN33)&amp;IF($G33-$AN33=1," día"," días")&amp;" de retraso","Cumplida"),IF(N($M33)&gt;=1,"Cumplida",IF(NOT(ISNUMBER($AN33)),"Sin fecha límite",IF($AN33&lt;FechaRef,"Vencida hace "&amp;(FechaRef-$AN33)&amp;IF(FechaRef-$AN33=1," día"," días"),IF($AN33=FechaRef,"Vence hoy",IF($AN33-FechaRef&lt;=DiasAlerta,"Vence en "&amp;($AN33-FechaRef)&amp;IF($AN33-FechaRef=1," día"," días"),"En plazo"))))))))</f>
        <v/>
      </c>
      <c r="P33" s="62">
        <f>IF(NOT((COUNTA($B33:$D33)+COUNTA($G33:$L33)+COUNTA($Q33))&gt;0),"",IF($D33="","Propia",IF($V33&lt;&gt;"Macro","Solo se delegan macroactividades",IF(N($AH33)&gt;0,"✔ Recibida por "&amp;$D33,"⚠ "&amp;$D33&amp;" aún no la agrega"))))</f>
        <v/>
      </c>
      <c r="Q33" s="58" t="n"/>
      <c r="R33" s="63">
        <f>IF(NOT((COUNTA($B33:$D33)+COUNTA($G33:$L33)+COUNTA($Q33))&gt;0),"",IF((IF($C33="","Falta el nombre de la actividad"&amp;" · ","")&amp;IF(AND($V33="Sub",N($U33)=0),"Subactividad sin macroactividad arriba"&amp;" · ","")&amp;IF($AM33="","Sin fecha de inicio"&amp;" · ","")&amp;IF($AN33="","Sin fecha límite"&amp;" · ","")&amp;IF(AND(LEFT($C33,11)="[Jefatura] ",N($AL33)=0),"No se encuentra en la hoja de la jefatura (elíjala de nuevo en la lista)"&amp;" · ","")&amp;IF(OR(AND($E33&lt;&gt;"",NOT(ISNUMBER($E33))),AND($F33&lt;&gt;"",NOT(ISNUMBER($F33))),AND($G33&lt;&gt;"",NOT(ISNUMBER($G33)))),"Fecha no válida"&amp;" · ","")&amp;IF(AND(ISNUMBER($AM33),ISNUMBER($AN33),$AM33&gt;$AN33),"Inicio posterior a fecha límite"&amp;" · ","")&amp;IF(AND($V33="Macro",$H33&lt;&gt;"",OR(NOT(ISNUMBER($H33)),$H33&lt;0,$H33&gt;1)),"Peso fuera de rango"&amp;" · ","")&amp;IF(AND($V33="Sub",$H33&lt;&gt;""),"Las subactividades no llevan peso (valen igual dentro de su macroactividad)"&amp;" · ","")&amp;IF(AND(N($W33)&gt;0,COUNT($I33:$L33)&gt;0),"Con subactividades: deje vacías las semanas (se calculan solas)"&amp;" · ","")&amp;IF((COUNTIF($I33:$L33,"&gt;1")+COUNTIF($I33:$L33,"&lt;0")+COUNTA($I33:$L33)-COUNT($I33:$L33))&gt;0,"Avance fuera de rango 0-100%"&amp;" · ","")&amp;IF(OR(AND($J33&lt;&gt;"",$J33&lt;$I33),AND($K33&lt;&gt;"",$K33&lt;MAX($I33:$J33)),AND($L33&lt;&gt;"",$L33&lt;MAX($I33:$K33))),"Avance semanal decreciente"&amp;" · ","")&amp;IF(AND(ISNUMBER($AN33),$AN33&lt;FechaRef,IF($V33="Sub",N($X33),N($M33))&lt;1),"Vencida"&amp;" · ","")&amp;IF(AND(ObsObligatoria="Sí",ISNUMBER($AN33),$AN33&lt;FechaRef,IF($V33="Sub",N($X33),N($M33))&lt;1,$Q33=""),"Vencida sin observación"&amp;" · ",""))="","✔ OK","⚠ "&amp;LEFT(IF($C33="","Falta el nombre de la actividad"&amp;" · ","")&amp;IF(AND($V33="Sub",N($U33)=0),"Subactividad sin macroactividad arriba"&amp;" · ","")&amp;IF($AM33="","Sin fecha de inicio"&amp;" · ","")&amp;IF($AN33="","Sin fecha límite"&amp;" · ","")&amp;IF(AND(LEFT($C33,11)="[Jefatura] ",N($AL33)=0),"No se encuentra en la hoja de la jefatura (elíjala de nuevo en la lista)"&amp;" · ","")&amp;IF(OR(AND($E33&lt;&gt;"",NOT(ISNUMBER($E33))),AND($F33&lt;&gt;"",NOT(ISNUMBER($F33))),AND($G33&lt;&gt;"",NOT(ISNUMBER($G33)))),"Fecha no válida"&amp;" · ","")&amp;IF(AND(ISNUMBER($AM33),ISNUMBER($AN33),$AM33&gt;$AN33),"Inicio posterior a fecha límite"&amp;" · ","")&amp;IF(AND($V33="Macro",$H33&lt;&gt;"",OR(NOT(ISNUMBER($H33)),$H33&lt;0,$H33&gt;1)),"Peso fuera de rango"&amp;" · ","")&amp;IF(AND($V33="Sub",$H33&lt;&gt;""),"Las subactividades no llevan peso (valen igual dentro de su macroactividad)"&amp;" · ","")&amp;IF(AND(N($W33)&gt;0,COUNT($I33:$L33)&gt;0),"Con subactividades: deje vacías las semanas (se calculan solas)"&amp;" · ","")&amp;IF((COUNTIF($I33:$L33,"&gt;1")+COUNTIF($I33:$L33,"&lt;0")+COUNTA($I33:$L33)-COUNT($I33:$L33))&gt;0,"Avance fuera de rango 0-100%"&amp;" · ","")&amp;IF(OR(AND($J33&lt;&gt;"",$J33&lt;$I33),AND($K33&lt;&gt;"",$K33&lt;MAX($I33:$J33)),AND($L33&lt;&gt;"",$L33&lt;MAX($I33:$K33))),"Avance semanal decreciente"&amp;" · ","")&amp;IF(AND(ISNUMBER($AN33),$AN33&lt;FechaRef,IF($V33="Sub",N($X33),N($M33))&lt;1),"Vencida"&amp;" · ","")&amp;IF(AND(ObsObligatoria="Sí",ISNUMBER($AN33),$AN33&lt;FechaRef,IF($V33="Sub",N($X33),N($M33))&lt;1,$Q33=""),"Vencida sin observación"&amp;" · ",""),LEN(IF($C33="","Falta el nombre de la actividad"&amp;" · ","")&amp;IF(AND($V33="Sub",N($U33)=0),"Subactividad sin macroactividad arriba"&amp;" · ","")&amp;IF($AM33="","Sin fecha de inicio"&amp;" · ","")&amp;IF($AN33="","Sin fecha límite"&amp;" · ","")&amp;IF(AND(LEFT($C33,11)="[Jefatura] ",N($AL33)=0),"No se encuentra en la hoja de la jefatura (elíjala de nuevo en la lista)"&amp;" · ","")&amp;IF(OR(AND($E33&lt;&gt;"",NOT(ISNUMBER($E33))),AND($F33&lt;&gt;"",NOT(ISNUMBER($F33))),AND($G33&lt;&gt;"",NOT(ISNUMBER($G33)))),"Fecha no válida"&amp;" · ","")&amp;IF(AND(ISNUMBER($AM33),ISNUMBER($AN33),$AM33&gt;$AN33),"Inicio posterior a fecha límite"&amp;" · ","")&amp;IF(AND($V33="Macro",$H33&lt;&gt;"",OR(NOT(ISNUMBER($H33)),$H33&lt;0,$H33&gt;1)),"Peso fuera de rango"&amp;" · ","")&amp;IF(AND($V33="Sub",$H33&lt;&gt;""),"Las subactividades no llevan peso (valen igual dentro de su macroactividad)"&amp;" · ","")&amp;IF(AND(N($W33)&gt;0,COUNT($I33:$L33)&gt;0),"Con subactividades: deje vacías las semanas (se calculan solas)"&amp;" · ","")&amp;IF((COUNTIF($I33:$L33,"&gt;1")+COUNTIF($I33:$L33,"&lt;0")+COUNTA($I33:$L33)-COUNT($I33:$L33))&gt;0,"Avance fuera de rango 0-100%"&amp;" · ","")&amp;IF(OR(AND($J33&lt;&gt;"",$J33&lt;$I33),AND($K33&lt;&gt;"",$K33&lt;MAX($I33:$J33)),AND($L33&lt;&gt;"",$L33&lt;MAX($I33:$K33))),"Avance semanal decreciente"&amp;" · ","")&amp;IF(AND(ISNUMBER($AN33),$AN33&lt;FechaRef,IF($V33="Sub",N($X33),N($M33))&lt;1),"Vencida"&amp;" · ","")&amp;IF(AND(ObsObligatoria="Sí",ISNUMBER($AN33),$AN33&lt;FechaRef,IF($V33="Sub",N($X33),N($M33))&lt;1,$Q33=""),"Vencida sin observación"&amp;" · ",""))-3)))</f>
        <v/>
      </c>
      <c r="S33" s="64">
        <f>IF(NOT((COUNTA($B33:$D33)+COUNTA($G33:$L33)+COUNTA($Q33))&gt;0),"",IF(AND($V33="Sub",N($U33)&gt;0),IF(ISNUMBER(INDEX($AM$5:$AM$1000,$U33-4)),DATE(YEAR(INDEX($AM$5:$AM$1000,$U33-4)),MONTH(INDEX($AM$5:$AM$1000,$U33-4)),1),IF(ISNUMBER(INDEX($AN$5:$AN$1000,$U33-4)),DATE(YEAR(INDEX($AN$5:$AN$1000,$U33-4)),MONTH(INDEX($AN$5:$AN$1000,$U33-4)),1),MesCiclo)),IF(ISNUMBER($AM33),DATE(YEAR($AM33),MONTH($AM33),1),IF(ISNUMBER($AN33),DATE(YEAR($AN33),MONTH($AN33),1),MesCiclo))))</f>
        <v/>
      </c>
      <c r="T33" s="62">
        <f>IF(OR($S33="",$S33&lt;&gt;MesCiclo,$V33&lt;&gt;"Macro"),"",COUNTIFS($S$5:$S33,MesCiclo,$V$5:$V33,"Macro"))</f>
        <v/>
      </c>
      <c r="U33" s="62">
        <f>IF($V33="","",IF($V33="Macro",ROW(),IFERROR(LOOKUP(2,1/($V$5:$V33="Macro"),ROW($V$5:$V33)),0)))</f>
        <v/>
      </c>
      <c r="V33" s="62">
        <f>IF(NOT((COUNTA($B33:$D33)+COUNTA($G33:$L33)+COUNTA($Q33))&gt;0),"",IF($B33="Subactividad","Sub","Macro"))</f>
        <v/>
      </c>
      <c r="W33" s="62">
        <f>IF($V33="Macro",COUNTIFS($U$5:$U$1000,ROW(),$V$5:$V$1000,"Sub"),"")</f>
        <v/>
      </c>
      <c r="X33" s="62">
        <f>IF($V33="","",IF(ISNUMBER($G33),1,IFERROR(LOOKUP(2,1/($I33:$L33&lt;&gt;""),$I33:$L33),0)))</f>
        <v/>
      </c>
      <c r="Y33" s="62">
        <f>IF($V33="","",IF(AND(ISNUMBER($G33),$G33&lt;=IF($S33=MesCiclo,InicioCiclo,$S33+MOD(2-WEEKDAY($S33),7))+6),1,IF(ISNUMBER($I33),$I33,0)))</f>
        <v/>
      </c>
      <c r="Z33" s="62">
        <f>IF($V33="","",IF(AND(ISNUMBER($G33),$G33&lt;=IF($S33=MesCiclo,InicioCiclo,$S33+MOD(2-WEEKDAY($S33),7))+13),1,IF(ISNUMBER($J33),$J33,$Y33)))</f>
        <v/>
      </c>
      <c r="AA33" s="62">
        <f>IF($V33="","",IF(AND(ISNUMBER($G33),$G33&lt;=IF($S33=MesCiclo,InicioCiclo,$S33+MOD(2-WEEKDAY($S33),7))+20),1,IF(ISNUMBER($K33),$K33,$Z33)))</f>
        <v/>
      </c>
      <c r="AB33" s="62">
        <f>IF($V33="","",IF(AND(ISNUMBER($G33),$G33&lt;=IF($S33=MesCiclo,InicioCiclo,$S33+MOD(2-WEEKDAY($S33),7))+27),1,IF(ISNUMBER($L33),$L33,$AA33)))</f>
        <v/>
      </c>
      <c r="AC33" s="62">
        <f>IF($V33="","",IF(AND(ISNUMBER($G33),$G33&lt;=IF($S33=MesCiclo,InicioCiclo,$S33+MOD(2-WEEKDAY($S33),7))+6),1,IF(N($W33)&gt;0,AVERAGEIFS($Y$5:$Y$1000,$U$5:$U$1000,ROW(),$V$5:$V$1000,"Sub"),$Y33)))</f>
        <v/>
      </c>
      <c r="AD33" s="62">
        <f>IF($V33="","",IF(AND(ISNUMBER($G33),$G33&lt;=IF($S33=MesCiclo,InicioCiclo,$S33+MOD(2-WEEKDAY($S33),7))+13),1,IF(N($W33)&gt;0,AVERAGEIFS($Z$5:$Z$1000,$U$5:$U$1000,ROW(),$V$5:$V$1000,"Sub"),$Z33)))</f>
        <v/>
      </c>
      <c r="AE33" s="62">
        <f>IF($V33="","",IF(AND(ISNUMBER($G33),$G33&lt;=IF($S33=MesCiclo,InicioCiclo,$S33+MOD(2-WEEKDAY($S33),7))+20),1,IF(N($W33)&gt;0,AVERAGEIFS($AA$5:$AA$1000,$U$5:$U$1000,ROW(),$V$5:$V$1000,"Sub"),$AA33)))</f>
        <v/>
      </c>
      <c r="AF33" s="62">
        <f>IF($V33="","",IF(AND(ISNUMBER($G33),$G33&lt;=IF($S33=MesCiclo,InicioCiclo,$S33+MOD(2-WEEKDAY($S33),7))+27),1,IF(N($W33)&gt;0,AVERAGEIFS($AB$5:$AB$1000,$U$5:$U$1000,ROW(),$V$5:$V$1000,"Sub"),$AB33)))</f>
        <v/>
      </c>
      <c r="AG33" s="62">
        <f>IF($V33&lt;&gt;"Macro","",IF(COUNTIFS($S$5:$S$1000,$S33,$V$5:$V$1000,"Macro",$H$5:$H$1000,"&gt;0")=0,1/COUNTIFS($S$5:$S$1000,$S33,$V$5:$V$1000,"Macro"),IF(AND(ISNUMBER($H33),N($H33)&gt;0),$H33,SUMIFS($H$5:$H$1000,$S$5:$S$1000,$S33,$V$5:$V$1000,"Macro")/COUNTIFS($S$5:$S$1000,$S33,$V$5:$V$1000,"Macro",$H$5:$H$1000,"&gt;0"))/(COUNTIFS($S$5:$S$1000,$S33,$V$5:$V$1000,"Macro")*SUMIFS($H$5:$H$1000,$S$5:$S$1000,$S33,$V$5:$V$1000,"Macro")/COUNTIFS($S$5:$S$1000,$S33,$V$5:$V$1000,"Macro",$H$5:$H$1000,"&gt;0"))))</f>
        <v/>
      </c>
      <c r="AH33" s="62">
        <f>IF(NOT(AND($D33&lt;&gt;"",$V33="Macro")),"",IFERROR(CHOOSE(MATCH($D33,ListaPuestos,0),MATCH("[Jefatura] "&amp;$C33,'Cronograma R. Operacional'!$C$5:$C$1000,0),MATCH("[Jefatura] "&amp;$C33,'Cronograma R. Normativo'!$C$5:$C$1000,0),MATCH("[Jefatura] "&amp;$C33,'Cronograma R. Financiero'!$C$5:$C$1000,0),MATCH("[Jefatura] "&amp;$C33,'Cronograma Asistente Técnico'!$C$5:$C$1000,0)),0))</f>
        <v/>
      </c>
      <c r="AI33" s="62">
        <f>IF(AND(AND($D33&lt;&gt;"",$V33="Macro"),$S33=MesCiclo),COUNTIFS($D$5:$D33,$D33,$S$5:$S33,MesCiclo,$V$5:$V33,"Macro"),"")</f>
        <v/>
      </c>
      <c r="AJ33" s="62">
        <f>IF($AI33="","",$D33&amp;"|"&amp;$AI33)</f>
        <v/>
      </c>
      <c r="AK33" s="62">
        <f>IF(AND($D33&lt;&gt;"",$V33="Macro"),$D33&amp;"|"&amp;$C33,"")</f>
        <v/>
      </c>
      <c r="AL33" s="62">
        <f>""</f>
        <v/>
      </c>
      <c r="AM33" s="62">
        <f>IF(N($AL33)&gt;0,INDEX(rIni_ADM,$AL33),IF(ISNUMBER($E33),$E33,""))</f>
        <v/>
      </c>
      <c r="AN33" s="62">
        <f>IF(N($AL33)&gt;0,INDEX(rLim_ADM,$AL33),IF(ISNUMBER($F33),$F33,""))</f>
        <v/>
      </c>
    </row>
    <row r="34">
      <c r="A34" s="56">
        <f>IF(NOT((COUNTA($B34:$D34)+COUNTA($G34:$L34)+COUNTA($Q34))&gt;0),"",IF($V34="Macro",COUNTIFS($V$5:$V34,"Macro",$S$5:$S34,$S34),IF(N($U34)=0,"?",COUNTIFS(INDEX($V$5:$V$1000,1):INDEX($V$5:$V$1000,$U34-4),"Macro",INDEX($S$5:$S$1000,1):INDEX($S$5:$S$1000,$U34-4),INDEX($S$5:$S$1000,$U34-4))&amp;"."&amp;COUNTIFS($U$5:$U34,$U34,$V$5:$V34,"Sub"))))</f>
        <v/>
      </c>
      <c r="B34" s="57" t="n"/>
      <c r="C34" s="58" t="n"/>
      <c r="D34" s="58" t="n"/>
      <c r="E34" s="59" t="n"/>
      <c r="F34" s="59" t="n"/>
      <c r="G34" s="59" t="n"/>
      <c r="H34" s="60" t="n"/>
      <c r="I34" s="60" t="n"/>
      <c r="J34" s="60" t="n"/>
      <c r="K34" s="60" t="n"/>
      <c r="L34" s="60" t="n"/>
      <c r="M34" s="61">
        <f>IF(NOT((COUNTA($B34:$D34)+COUNTA($G34:$L34)+COUNTA($Q34))&gt;0),"",IF(AND($D34&lt;&gt;"",$V34="Macro"),IF(N($AH34)&gt;0,N(CHOOSE(MATCH($D34,ListaPuestos,0),INDEX('Cronograma R. Operacional'!$M$5:$M$1000,$AH34),INDEX('Cronograma R. Normativo'!$M$5:$M$1000,$AH34),INDEX('Cronograma R. Financiero'!$M$5:$M$1000,$AH34),INDEX('Cronograma Asistente Técnico'!$M$5:$M$1000,$AH34))),0),IF(ISNUMBER($G34),1,IF(N($W34)&gt;0,AVERAGEIFS($X$5:$X$1000,$U$5:$U$1000,ROW(),$V$5:$V$1000,"Sub"),$X34))))</f>
        <v/>
      </c>
      <c r="N34" s="56">
        <f>IF(OR($M34="",$V34="Sub"),"",IF($M34&gt;=1,"Completado",IF($M34&gt;0,"En curso","Pendiente")))</f>
        <v/>
      </c>
      <c r="O34" s="56">
        <f>IF(NOT((COUNTA($B34:$D34)+COUNTA($G34:$L34)+COUNTA($Q34))&gt;0),"",IF(AND(AND($D34&lt;&gt;"",$V34="Macro"),N($AH34)&gt;0),CHOOSE(MATCH($D34,ListaPuestos,0),INDEX('Cronograma R. Operacional'!$O$5:$O$1000,$AH34),INDEX('Cronograma R. Normativo'!$O$5:$O$1000,$AH34),INDEX('Cronograma R. Financiero'!$O$5:$O$1000,$AH34),INDEX('Cronograma Asistente Técnico'!$O$5:$O$1000,$AH34))&amp;"",IF(ISNUMBER($G34),IF(AND(ISNUMBER($AN34),$G34&gt;$AN34),"Cumplida con "&amp;($G34-$AN34)&amp;IF($G34-$AN34=1," día"," días")&amp;" de retraso","Cumplida"),IF(N($M34)&gt;=1,"Cumplida",IF(NOT(ISNUMBER($AN34)),"Sin fecha límite",IF($AN34&lt;FechaRef,"Vencida hace "&amp;(FechaRef-$AN34)&amp;IF(FechaRef-$AN34=1," día"," días"),IF($AN34=FechaRef,"Vence hoy",IF($AN34-FechaRef&lt;=DiasAlerta,"Vence en "&amp;($AN34-FechaRef)&amp;IF($AN34-FechaRef=1," día"," días"),"En plazo"))))))))</f>
        <v/>
      </c>
      <c r="P34" s="62">
        <f>IF(NOT((COUNTA($B34:$D34)+COUNTA($G34:$L34)+COUNTA($Q34))&gt;0),"",IF($D34="","Propia",IF($V34&lt;&gt;"Macro","Solo se delegan macroactividades",IF(N($AH34)&gt;0,"✔ Recibida por "&amp;$D34,"⚠ "&amp;$D34&amp;" aún no la agrega"))))</f>
        <v/>
      </c>
      <c r="Q34" s="58" t="n"/>
      <c r="R34" s="63">
        <f>IF(NOT((COUNTA($B34:$D34)+COUNTA($G34:$L34)+COUNTA($Q34))&gt;0),"",IF((IF($C34="","Falta el nombre de la actividad"&amp;" · ","")&amp;IF(AND($V34="Sub",N($U34)=0),"Subactividad sin macroactividad arriba"&amp;" · ","")&amp;IF($AM34="","Sin fecha de inicio"&amp;" · ","")&amp;IF($AN34="","Sin fecha límite"&amp;" · ","")&amp;IF(AND(LEFT($C34,11)="[Jefatura] ",N($AL34)=0),"No se encuentra en la hoja de la jefatura (elíjala de nuevo en la lista)"&amp;" · ","")&amp;IF(OR(AND($E34&lt;&gt;"",NOT(ISNUMBER($E34))),AND($F34&lt;&gt;"",NOT(ISNUMBER($F34))),AND($G34&lt;&gt;"",NOT(ISNUMBER($G34)))),"Fecha no válida"&amp;" · ","")&amp;IF(AND(ISNUMBER($AM34),ISNUMBER($AN34),$AM34&gt;$AN34),"Inicio posterior a fecha límite"&amp;" · ","")&amp;IF(AND($V34="Macro",$H34&lt;&gt;"",OR(NOT(ISNUMBER($H34)),$H34&lt;0,$H34&gt;1)),"Peso fuera de rango"&amp;" · ","")&amp;IF(AND($V34="Sub",$H34&lt;&gt;""),"Las subactividades no llevan peso (valen igual dentro de su macroactividad)"&amp;" · ","")&amp;IF(AND(N($W34)&gt;0,COUNT($I34:$L34)&gt;0),"Con subactividades: deje vacías las semanas (se calculan solas)"&amp;" · ","")&amp;IF((COUNTIF($I34:$L34,"&gt;1")+COUNTIF($I34:$L34,"&lt;0")+COUNTA($I34:$L34)-COUNT($I34:$L34))&gt;0,"Avance fuera de rango 0-100%"&amp;" · ","")&amp;IF(OR(AND($J34&lt;&gt;"",$J34&lt;$I34),AND($K34&lt;&gt;"",$K34&lt;MAX($I34:$J34)),AND($L34&lt;&gt;"",$L34&lt;MAX($I34:$K34))),"Avance semanal decreciente"&amp;" · ","")&amp;IF(AND(ISNUMBER($AN34),$AN34&lt;FechaRef,IF($V34="Sub",N($X34),N($M34))&lt;1),"Vencida"&amp;" · ","")&amp;IF(AND(ObsObligatoria="Sí",ISNUMBER($AN34),$AN34&lt;FechaRef,IF($V34="Sub",N($X34),N($M34))&lt;1,$Q34=""),"Vencida sin observación"&amp;" · ",""))="","✔ OK","⚠ "&amp;LEFT(IF($C34="","Falta el nombre de la actividad"&amp;" · ","")&amp;IF(AND($V34="Sub",N($U34)=0),"Subactividad sin macroactividad arriba"&amp;" · ","")&amp;IF($AM34="","Sin fecha de inicio"&amp;" · ","")&amp;IF($AN34="","Sin fecha límite"&amp;" · ","")&amp;IF(AND(LEFT($C34,11)="[Jefatura] ",N($AL34)=0),"No se encuentra en la hoja de la jefatura (elíjala de nuevo en la lista)"&amp;" · ","")&amp;IF(OR(AND($E34&lt;&gt;"",NOT(ISNUMBER($E34))),AND($F34&lt;&gt;"",NOT(ISNUMBER($F34))),AND($G34&lt;&gt;"",NOT(ISNUMBER($G34)))),"Fecha no válida"&amp;" · ","")&amp;IF(AND(ISNUMBER($AM34),ISNUMBER($AN34),$AM34&gt;$AN34),"Inicio posterior a fecha límite"&amp;" · ","")&amp;IF(AND($V34="Macro",$H34&lt;&gt;"",OR(NOT(ISNUMBER($H34)),$H34&lt;0,$H34&gt;1)),"Peso fuera de rango"&amp;" · ","")&amp;IF(AND($V34="Sub",$H34&lt;&gt;""),"Las subactividades no llevan peso (valen igual dentro de su macroactividad)"&amp;" · ","")&amp;IF(AND(N($W34)&gt;0,COUNT($I34:$L34)&gt;0),"Con subactividades: deje vacías las semanas (se calculan solas)"&amp;" · ","")&amp;IF((COUNTIF($I34:$L34,"&gt;1")+COUNTIF($I34:$L34,"&lt;0")+COUNTA($I34:$L34)-COUNT($I34:$L34))&gt;0,"Avance fuera de rango 0-100%"&amp;" · ","")&amp;IF(OR(AND($J34&lt;&gt;"",$J34&lt;$I34),AND($K34&lt;&gt;"",$K34&lt;MAX($I34:$J34)),AND($L34&lt;&gt;"",$L34&lt;MAX($I34:$K34))),"Avance semanal decreciente"&amp;" · ","")&amp;IF(AND(ISNUMBER($AN34),$AN34&lt;FechaRef,IF($V34="Sub",N($X34),N($M34))&lt;1),"Vencida"&amp;" · ","")&amp;IF(AND(ObsObligatoria="Sí",ISNUMBER($AN34),$AN34&lt;FechaRef,IF($V34="Sub",N($X34),N($M34))&lt;1,$Q34=""),"Vencida sin observación"&amp;" · ",""),LEN(IF($C34="","Falta el nombre de la actividad"&amp;" · ","")&amp;IF(AND($V34="Sub",N($U34)=0),"Subactividad sin macroactividad arriba"&amp;" · ","")&amp;IF($AM34="","Sin fecha de inicio"&amp;" · ","")&amp;IF($AN34="","Sin fecha límite"&amp;" · ","")&amp;IF(AND(LEFT($C34,11)="[Jefatura] ",N($AL34)=0),"No se encuentra en la hoja de la jefatura (elíjala de nuevo en la lista)"&amp;" · ","")&amp;IF(OR(AND($E34&lt;&gt;"",NOT(ISNUMBER($E34))),AND($F34&lt;&gt;"",NOT(ISNUMBER($F34))),AND($G34&lt;&gt;"",NOT(ISNUMBER($G34)))),"Fecha no válida"&amp;" · ","")&amp;IF(AND(ISNUMBER($AM34),ISNUMBER($AN34),$AM34&gt;$AN34),"Inicio posterior a fecha límite"&amp;" · ","")&amp;IF(AND($V34="Macro",$H34&lt;&gt;"",OR(NOT(ISNUMBER($H34)),$H34&lt;0,$H34&gt;1)),"Peso fuera de rango"&amp;" · ","")&amp;IF(AND($V34="Sub",$H34&lt;&gt;""),"Las subactividades no llevan peso (valen igual dentro de su macroactividad)"&amp;" · ","")&amp;IF(AND(N($W34)&gt;0,COUNT($I34:$L34)&gt;0),"Con subactividades: deje vacías las semanas (se calculan solas)"&amp;" · ","")&amp;IF((COUNTIF($I34:$L34,"&gt;1")+COUNTIF($I34:$L34,"&lt;0")+COUNTA($I34:$L34)-COUNT($I34:$L34))&gt;0,"Avance fuera de rango 0-100%"&amp;" · ","")&amp;IF(OR(AND($J34&lt;&gt;"",$J34&lt;$I34),AND($K34&lt;&gt;"",$K34&lt;MAX($I34:$J34)),AND($L34&lt;&gt;"",$L34&lt;MAX($I34:$K34))),"Avance semanal decreciente"&amp;" · ","")&amp;IF(AND(ISNUMBER($AN34),$AN34&lt;FechaRef,IF($V34="Sub",N($X34),N($M34))&lt;1),"Vencida"&amp;" · ","")&amp;IF(AND(ObsObligatoria="Sí",ISNUMBER($AN34),$AN34&lt;FechaRef,IF($V34="Sub",N($X34),N($M34))&lt;1,$Q34=""),"Vencida sin observación"&amp;" · ",""))-3)))</f>
        <v/>
      </c>
      <c r="S34" s="64">
        <f>IF(NOT((COUNTA($B34:$D34)+COUNTA($G34:$L34)+COUNTA($Q34))&gt;0),"",IF(AND($V34="Sub",N($U34)&gt;0),IF(ISNUMBER(INDEX($AM$5:$AM$1000,$U34-4)),DATE(YEAR(INDEX($AM$5:$AM$1000,$U34-4)),MONTH(INDEX($AM$5:$AM$1000,$U34-4)),1),IF(ISNUMBER(INDEX($AN$5:$AN$1000,$U34-4)),DATE(YEAR(INDEX($AN$5:$AN$1000,$U34-4)),MONTH(INDEX($AN$5:$AN$1000,$U34-4)),1),MesCiclo)),IF(ISNUMBER($AM34),DATE(YEAR($AM34),MONTH($AM34),1),IF(ISNUMBER($AN34),DATE(YEAR($AN34),MONTH($AN34),1),MesCiclo))))</f>
        <v/>
      </c>
      <c r="T34" s="62">
        <f>IF(OR($S34="",$S34&lt;&gt;MesCiclo,$V34&lt;&gt;"Macro"),"",COUNTIFS($S$5:$S34,MesCiclo,$V$5:$V34,"Macro"))</f>
        <v/>
      </c>
      <c r="U34" s="62">
        <f>IF($V34="","",IF($V34="Macro",ROW(),IFERROR(LOOKUP(2,1/($V$5:$V34="Macro"),ROW($V$5:$V34)),0)))</f>
        <v/>
      </c>
      <c r="V34" s="62">
        <f>IF(NOT((COUNTA($B34:$D34)+COUNTA($G34:$L34)+COUNTA($Q34))&gt;0),"",IF($B34="Subactividad","Sub","Macro"))</f>
        <v/>
      </c>
      <c r="W34" s="62">
        <f>IF($V34="Macro",COUNTIFS($U$5:$U$1000,ROW(),$V$5:$V$1000,"Sub"),"")</f>
        <v/>
      </c>
      <c r="X34" s="62">
        <f>IF($V34="","",IF(ISNUMBER($G34),1,IFERROR(LOOKUP(2,1/($I34:$L34&lt;&gt;""),$I34:$L34),0)))</f>
        <v/>
      </c>
      <c r="Y34" s="62">
        <f>IF($V34="","",IF(AND(ISNUMBER($G34),$G34&lt;=IF($S34=MesCiclo,InicioCiclo,$S34+MOD(2-WEEKDAY($S34),7))+6),1,IF(ISNUMBER($I34),$I34,0)))</f>
        <v/>
      </c>
      <c r="Z34" s="62">
        <f>IF($V34="","",IF(AND(ISNUMBER($G34),$G34&lt;=IF($S34=MesCiclo,InicioCiclo,$S34+MOD(2-WEEKDAY($S34),7))+13),1,IF(ISNUMBER($J34),$J34,$Y34)))</f>
        <v/>
      </c>
      <c r="AA34" s="62">
        <f>IF($V34="","",IF(AND(ISNUMBER($G34),$G34&lt;=IF($S34=MesCiclo,InicioCiclo,$S34+MOD(2-WEEKDAY($S34),7))+20),1,IF(ISNUMBER($K34),$K34,$Z34)))</f>
        <v/>
      </c>
      <c r="AB34" s="62">
        <f>IF($V34="","",IF(AND(ISNUMBER($G34),$G34&lt;=IF($S34=MesCiclo,InicioCiclo,$S34+MOD(2-WEEKDAY($S34),7))+27),1,IF(ISNUMBER($L34),$L34,$AA34)))</f>
        <v/>
      </c>
      <c r="AC34" s="62">
        <f>IF($V34="","",IF(AND(ISNUMBER($G34),$G34&lt;=IF($S34=MesCiclo,InicioCiclo,$S34+MOD(2-WEEKDAY($S34),7))+6),1,IF(N($W34)&gt;0,AVERAGEIFS($Y$5:$Y$1000,$U$5:$U$1000,ROW(),$V$5:$V$1000,"Sub"),$Y34)))</f>
        <v/>
      </c>
      <c r="AD34" s="62">
        <f>IF($V34="","",IF(AND(ISNUMBER($G34),$G34&lt;=IF($S34=MesCiclo,InicioCiclo,$S34+MOD(2-WEEKDAY($S34),7))+13),1,IF(N($W34)&gt;0,AVERAGEIFS($Z$5:$Z$1000,$U$5:$U$1000,ROW(),$V$5:$V$1000,"Sub"),$Z34)))</f>
        <v/>
      </c>
      <c r="AE34" s="62">
        <f>IF($V34="","",IF(AND(ISNUMBER($G34),$G34&lt;=IF($S34=MesCiclo,InicioCiclo,$S34+MOD(2-WEEKDAY($S34),7))+20),1,IF(N($W34)&gt;0,AVERAGEIFS($AA$5:$AA$1000,$U$5:$U$1000,ROW(),$V$5:$V$1000,"Sub"),$AA34)))</f>
        <v/>
      </c>
      <c r="AF34" s="62">
        <f>IF($V34="","",IF(AND(ISNUMBER($G34),$G34&lt;=IF($S34=MesCiclo,InicioCiclo,$S34+MOD(2-WEEKDAY($S34),7))+27),1,IF(N($W34)&gt;0,AVERAGEIFS($AB$5:$AB$1000,$U$5:$U$1000,ROW(),$V$5:$V$1000,"Sub"),$AB34)))</f>
        <v/>
      </c>
      <c r="AG34" s="62">
        <f>IF($V34&lt;&gt;"Macro","",IF(COUNTIFS($S$5:$S$1000,$S34,$V$5:$V$1000,"Macro",$H$5:$H$1000,"&gt;0")=0,1/COUNTIFS($S$5:$S$1000,$S34,$V$5:$V$1000,"Macro"),IF(AND(ISNUMBER($H34),N($H34)&gt;0),$H34,SUMIFS($H$5:$H$1000,$S$5:$S$1000,$S34,$V$5:$V$1000,"Macro")/COUNTIFS($S$5:$S$1000,$S34,$V$5:$V$1000,"Macro",$H$5:$H$1000,"&gt;0"))/(COUNTIFS($S$5:$S$1000,$S34,$V$5:$V$1000,"Macro")*SUMIFS($H$5:$H$1000,$S$5:$S$1000,$S34,$V$5:$V$1000,"Macro")/COUNTIFS($S$5:$S$1000,$S34,$V$5:$V$1000,"Macro",$H$5:$H$1000,"&gt;0"))))</f>
        <v/>
      </c>
      <c r="AH34" s="62">
        <f>IF(NOT(AND($D34&lt;&gt;"",$V34="Macro")),"",IFERROR(CHOOSE(MATCH($D34,ListaPuestos,0),MATCH("[Jefatura] "&amp;$C34,'Cronograma R. Operacional'!$C$5:$C$1000,0),MATCH("[Jefatura] "&amp;$C34,'Cronograma R. Normativo'!$C$5:$C$1000,0),MATCH("[Jefatura] "&amp;$C34,'Cronograma R. Financiero'!$C$5:$C$1000,0),MATCH("[Jefatura] "&amp;$C34,'Cronograma Asistente Técnico'!$C$5:$C$1000,0)),0))</f>
        <v/>
      </c>
      <c r="AI34" s="62">
        <f>IF(AND(AND($D34&lt;&gt;"",$V34="Macro"),$S34=MesCiclo),COUNTIFS($D$5:$D34,$D34,$S$5:$S34,MesCiclo,$V$5:$V34,"Macro"),"")</f>
        <v/>
      </c>
      <c r="AJ34" s="62">
        <f>IF($AI34="","",$D34&amp;"|"&amp;$AI34)</f>
        <v/>
      </c>
      <c r="AK34" s="62">
        <f>IF(AND($D34&lt;&gt;"",$V34="Macro"),$D34&amp;"|"&amp;$C34,"")</f>
        <v/>
      </c>
      <c r="AL34" s="62">
        <f>""</f>
        <v/>
      </c>
      <c r="AM34" s="62">
        <f>IF(N($AL34)&gt;0,INDEX(rIni_ADM,$AL34),IF(ISNUMBER($E34),$E34,""))</f>
        <v/>
      </c>
      <c r="AN34" s="62">
        <f>IF(N($AL34)&gt;0,INDEX(rLim_ADM,$AL34),IF(ISNUMBER($F34),$F34,""))</f>
        <v/>
      </c>
    </row>
    <row r="35">
      <c r="A35" s="56">
        <f>IF(NOT((COUNTA($B35:$D35)+COUNTA($G35:$L35)+COUNTA($Q35))&gt;0),"",IF($V35="Macro",COUNTIFS($V$5:$V35,"Macro",$S$5:$S35,$S35),IF(N($U35)=0,"?",COUNTIFS(INDEX($V$5:$V$1000,1):INDEX($V$5:$V$1000,$U35-4),"Macro",INDEX($S$5:$S$1000,1):INDEX($S$5:$S$1000,$U35-4),INDEX($S$5:$S$1000,$U35-4))&amp;"."&amp;COUNTIFS($U$5:$U35,$U35,$V$5:$V35,"Sub"))))</f>
        <v/>
      </c>
      <c r="B35" s="57" t="n"/>
      <c r="C35" s="58" t="n"/>
      <c r="D35" s="58" t="n"/>
      <c r="E35" s="59" t="n"/>
      <c r="F35" s="59" t="n"/>
      <c r="G35" s="59" t="n"/>
      <c r="H35" s="60" t="n"/>
      <c r="I35" s="60" t="n"/>
      <c r="J35" s="60" t="n"/>
      <c r="K35" s="60" t="n"/>
      <c r="L35" s="60" t="n"/>
      <c r="M35" s="61">
        <f>IF(NOT((COUNTA($B35:$D35)+COUNTA($G35:$L35)+COUNTA($Q35))&gt;0),"",IF(AND($D35&lt;&gt;"",$V35="Macro"),IF(N($AH35)&gt;0,N(CHOOSE(MATCH($D35,ListaPuestos,0),INDEX('Cronograma R. Operacional'!$M$5:$M$1000,$AH35),INDEX('Cronograma R. Normativo'!$M$5:$M$1000,$AH35),INDEX('Cronograma R. Financiero'!$M$5:$M$1000,$AH35),INDEX('Cronograma Asistente Técnico'!$M$5:$M$1000,$AH35))),0),IF(ISNUMBER($G35),1,IF(N($W35)&gt;0,AVERAGEIFS($X$5:$X$1000,$U$5:$U$1000,ROW(),$V$5:$V$1000,"Sub"),$X35))))</f>
        <v/>
      </c>
      <c r="N35" s="56">
        <f>IF(OR($M35="",$V35="Sub"),"",IF($M35&gt;=1,"Completado",IF($M35&gt;0,"En curso","Pendiente")))</f>
        <v/>
      </c>
      <c r="O35" s="56">
        <f>IF(NOT((COUNTA($B35:$D35)+COUNTA($G35:$L35)+COUNTA($Q35))&gt;0),"",IF(AND(AND($D35&lt;&gt;"",$V35="Macro"),N($AH35)&gt;0),CHOOSE(MATCH($D35,ListaPuestos,0),INDEX('Cronograma R. Operacional'!$O$5:$O$1000,$AH35),INDEX('Cronograma R. Normativo'!$O$5:$O$1000,$AH35),INDEX('Cronograma R. Financiero'!$O$5:$O$1000,$AH35),INDEX('Cronograma Asistente Técnico'!$O$5:$O$1000,$AH35))&amp;"",IF(ISNUMBER($G35),IF(AND(ISNUMBER($AN35),$G35&gt;$AN35),"Cumplida con "&amp;($G35-$AN35)&amp;IF($G35-$AN35=1," día"," días")&amp;" de retraso","Cumplida"),IF(N($M35)&gt;=1,"Cumplida",IF(NOT(ISNUMBER($AN35)),"Sin fecha límite",IF($AN35&lt;FechaRef,"Vencida hace "&amp;(FechaRef-$AN35)&amp;IF(FechaRef-$AN35=1," día"," días"),IF($AN35=FechaRef,"Vence hoy",IF($AN35-FechaRef&lt;=DiasAlerta,"Vence en "&amp;($AN35-FechaRef)&amp;IF($AN35-FechaRef=1," día"," días"),"En plazo"))))))))</f>
        <v/>
      </c>
      <c r="P35" s="62">
        <f>IF(NOT((COUNTA($B35:$D35)+COUNTA($G35:$L35)+COUNTA($Q35))&gt;0),"",IF($D35="","Propia",IF($V35&lt;&gt;"Macro","Solo se delegan macroactividades",IF(N($AH35)&gt;0,"✔ Recibida por "&amp;$D35,"⚠ "&amp;$D35&amp;" aún no la agrega"))))</f>
        <v/>
      </c>
      <c r="Q35" s="58" t="n"/>
      <c r="R35" s="63">
        <f>IF(NOT((COUNTA($B35:$D35)+COUNTA($G35:$L35)+COUNTA($Q35))&gt;0),"",IF((IF($C35="","Falta el nombre de la actividad"&amp;" · ","")&amp;IF(AND($V35="Sub",N($U35)=0),"Subactividad sin macroactividad arriba"&amp;" · ","")&amp;IF($AM35="","Sin fecha de inicio"&amp;" · ","")&amp;IF($AN35="","Sin fecha límite"&amp;" · ","")&amp;IF(AND(LEFT($C35,11)="[Jefatura] ",N($AL35)=0),"No se encuentra en la hoja de la jefatura (elíjala de nuevo en la lista)"&amp;" · ","")&amp;IF(OR(AND($E35&lt;&gt;"",NOT(ISNUMBER($E35))),AND($F35&lt;&gt;"",NOT(ISNUMBER($F35))),AND($G35&lt;&gt;"",NOT(ISNUMBER($G35)))),"Fecha no válida"&amp;" · ","")&amp;IF(AND(ISNUMBER($AM35),ISNUMBER($AN35),$AM35&gt;$AN35),"Inicio posterior a fecha límite"&amp;" · ","")&amp;IF(AND($V35="Macro",$H35&lt;&gt;"",OR(NOT(ISNUMBER($H35)),$H35&lt;0,$H35&gt;1)),"Peso fuera de rango"&amp;" · ","")&amp;IF(AND($V35="Sub",$H35&lt;&gt;""),"Las subactividades no llevan peso (valen igual dentro de su macroactividad)"&amp;" · ","")&amp;IF(AND(N($W35)&gt;0,COUNT($I35:$L35)&gt;0),"Con subactividades: deje vacías las semanas (se calculan solas)"&amp;" · ","")&amp;IF((COUNTIF($I35:$L35,"&gt;1")+COUNTIF($I35:$L35,"&lt;0")+COUNTA($I35:$L35)-COUNT($I35:$L35))&gt;0,"Avance fuera de rango 0-100%"&amp;" · ","")&amp;IF(OR(AND($J35&lt;&gt;"",$J35&lt;$I35),AND($K35&lt;&gt;"",$K35&lt;MAX($I35:$J35)),AND($L35&lt;&gt;"",$L35&lt;MAX($I35:$K35))),"Avance semanal decreciente"&amp;" · ","")&amp;IF(AND(ISNUMBER($AN35),$AN35&lt;FechaRef,IF($V35="Sub",N($X35),N($M35))&lt;1),"Vencida"&amp;" · ","")&amp;IF(AND(ObsObligatoria="Sí",ISNUMBER($AN35),$AN35&lt;FechaRef,IF($V35="Sub",N($X35),N($M35))&lt;1,$Q35=""),"Vencida sin observación"&amp;" · ",""))="","✔ OK","⚠ "&amp;LEFT(IF($C35="","Falta el nombre de la actividad"&amp;" · ","")&amp;IF(AND($V35="Sub",N($U35)=0),"Subactividad sin macroactividad arriba"&amp;" · ","")&amp;IF($AM35="","Sin fecha de inicio"&amp;" · ","")&amp;IF($AN35="","Sin fecha límite"&amp;" · ","")&amp;IF(AND(LEFT($C35,11)="[Jefatura] ",N($AL35)=0),"No se encuentra en la hoja de la jefatura (elíjala de nuevo en la lista)"&amp;" · ","")&amp;IF(OR(AND($E35&lt;&gt;"",NOT(ISNUMBER($E35))),AND($F35&lt;&gt;"",NOT(ISNUMBER($F35))),AND($G35&lt;&gt;"",NOT(ISNUMBER($G35)))),"Fecha no válida"&amp;" · ","")&amp;IF(AND(ISNUMBER($AM35),ISNUMBER($AN35),$AM35&gt;$AN35),"Inicio posterior a fecha límite"&amp;" · ","")&amp;IF(AND($V35="Macro",$H35&lt;&gt;"",OR(NOT(ISNUMBER($H35)),$H35&lt;0,$H35&gt;1)),"Peso fuera de rango"&amp;" · ","")&amp;IF(AND($V35="Sub",$H35&lt;&gt;""),"Las subactividades no llevan peso (valen igual dentro de su macroactividad)"&amp;" · ","")&amp;IF(AND(N($W35)&gt;0,COUNT($I35:$L35)&gt;0),"Con subactividades: deje vacías las semanas (se calculan solas)"&amp;" · ","")&amp;IF((COUNTIF($I35:$L35,"&gt;1")+COUNTIF($I35:$L35,"&lt;0")+COUNTA($I35:$L35)-COUNT($I35:$L35))&gt;0,"Avance fuera de rango 0-100%"&amp;" · ","")&amp;IF(OR(AND($J35&lt;&gt;"",$J35&lt;$I35),AND($K35&lt;&gt;"",$K35&lt;MAX($I35:$J35)),AND($L35&lt;&gt;"",$L35&lt;MAX($I35:$K35))),"Avance semanal decreciente"&amp;" · ","")&amp;IF(AND(ISNUMBER($AN35),$AN35&lt;FechaRef,IF($V35="Sub",N($X35),N($M35))&lt;1),"Vencida"&amp;" · ","")&amp;IF(AND(ObsObligatoria="Sí",ISNUMBER($AN35),$AN35&lt;FechaRef,IF($V35="Sub",N($X35),N($M35))&lt;1,$Q35=""),"Vencida sin observación"&amp;" · ",""),LEN(IF($C35="","Falta el nombre de la actividad"&amp;" · ","")&amp;IF(AND($V35="Sub",N($U35)=0),"Subactividad sin macroactividad arriba"&amp;" · ","")&amp;IF($AM35="","Sin fecha de inicio"&amp;" · ","")&amp;IF($AN35="","Sin fecha límite"&amp;" · ","")&amp;IF(AND(LEFT($C35,11)="[Jefatura] ",N($AL35)=0),"No se encuentra en la hoja de la jefatura (elíjala de nuevo en la lista)"&amp;" · ","")&amp;IF(OR(AND($E35&lt;&gt;"",NOT(ISNUMBER($E35))),AND($F35&lt;&gt;"",NOT(ISNUMBER($F35))),AND($G35&lt;&gt;"",NOT(ISNUMBER($G35)))),"Fecha no válida"&amp;" · ","")&amp;IF(AND(ISNUMBER($AM35),ISNUMBER($AN35),$AM35&gt;$AN35),"Inicio posterior a fecha límite"&amp;" · ","")&amp;IF(AND($V35="Macro",$H35&lt;&gt;"",OR(NOT(ISNUMBER($H35)),$H35&lt;0,$H35&gt;1)),"Peso fuera de rango"&amp;" · ","")&amp;IF(AND($V35="Sub",$H35&lt;&gt;""),"Las subactividades no llevan peso (valen igual dentro de su macroactividad)"&amp;" · ","")&amp;IF(AND(N($W35)&gt;0,COUNT($I35:$L35)&gt;0),"Con subactividades: deje vacías las semanas (se calculan solas)"&amp;" · ","")&amp;IF((COUNTIF($I35:$L35,"&gt;1")+COUNTIF($I35:$L35,"&lt;0")+COUNTA($I35:$L35)-COUNT($I35:$L35))&gt;0,"Avance fuera de rango 0-100%"&amp;" · ","")&amp;IF(OR(AND($J35&lt;&gt;"",$J35&lt;$I35),AND($K35&lt;&gt;"",$K35&lt;MAX($I35:$J35)),AND($L35&lt;&gt;"",$L35&lt;MAX($I35:$K35))),"Avance semanal decreciente"&amp;" · ","")&amp;IF(AND(ISNUMBER($AN35),$AN35&lt;FechaRef,IF($V35="Sub",N($X35),N($M35))&lt;1),"Vencida"&amp;" · ","")&amp;IF(AND(ObsObligatoria="Sí",ISNUMBER($AN35),$AN35&lt;FechaRef,IF($V35="Sub",N($X35),N($M35))&lt;1,$Q35=""),"Vencida sin observación"&amp;" · ",""))-3)))</f>
        <v/>
      </c>
      <c r="S35" s="64">
        <f>IF(NOT((COUNTA($B35:$D35)+COUNTA($G35:$L35)+COUNTA($Q35))&gt;0),"",IF(AND($V35="Sub",N($U35)&gt;0),IF(ISNUMBER(INDEX($AM$5:$AM$1000,$U35-4)),DATE(YEAR(INDEX($AM$5:$AM$1000,$U35-4)),MONTH(INDEX($AM$5:$AM$1000,$U35-4)),1),IF(ISNUMBER(INDEX($AN$5:$AN$1000,$U35-4)),DATE(YEAR(INDEX($AN$5:$AN$1000,$U35-4)),MONTH(INDEX($AN$5:$AN$1000,$U35-4)),1),MesCiclo)),IF(ISNUMBER($AM35),DATE(YEAR($AM35),MONTH($AM35),1),IF(ISNUMBER($AN35),DATE(YEAR($AN35),MONTH($AN35),1),MesCiclo))))</f>
        <v/>
      </c>
      <c r="T35" s="62">
        <f>IF(OR($S35="",$S35&lt;&gt;MesCiclo,$V35&lt;&gt;"Macro"),"",COUNTIFS($S$5:$S35,MesCiclo,$V$5:$V35,"Macro"))</f>
        <v/>
      </c>
      <c r="U35" s="62">
        <f>IF($V35="","",IF($V35="Macro",ROW(),IFERROR(LOOKUP(2,1/($V$5:$V35="Macro"),ROW($V$5:$V35)),0)))</f>
        <v/>
      </c>
      <c r="V35" s="62">
        <f>IF(NOT((COUNTA($B35:$D35)+COUNTA($G35:$L35)+COUNTA($Q35))&gt;0),"",IF($B35="Subactividad","Sub","Macro"))</f>
        <v/>
      </c>
      <c r="W35" s="62">
        <f>IF($V35="Macro",COUNTIFS($U$5:$U$1000,ROW(),$V$5:$V$1000,"Sub"),"")</f>
        <v/>
      </c>
      <c r="X35" s="62">
        <f>IF($V35="","",IF(ISNUMBER($G35),1,IFERROR(LOOKUP(2,1/($I35:$L35&lt;&gt;""),$I35:$L35),0)))</f>
        <v/>
      </c>
      <c r="Y35" s="62">
        <f>IF($V35="","",IF(AND(ISNUMBER($G35),$G35&lt;=IF($S35=MesCiclo,InicioCiclo,$S35+MOD(2-WEEKDAY($S35),7))+6),1,IF(ISNUMBER($I35),$I35,0)))</f>
        <v/>
      </c>
      <c r="Z35" s="62">
        <f>IF($V35="","",IF(AND(ISNUMBER($G35),$G35&lt;=IF($S35=MesCiclo,InicioCiclo,$S35+MOD(2-WEEKDAY($S35),7))+13),1,IF(ISNUMBER($J35),$J35,$Y35)))</f>
        <v/>
      </c>
      <c r="AA35" s="62">
        <f>IF($V35="","",IF(AND(ISNUMBER($G35),$G35&lt;=IF($S35=MesCiclo,InicioCiclo,$S35+MOD(2-WEEKDAY($S35),7))+20),1,IF(ISNUMBER($K35),$K35,$Z35)))</f>
        <v/>
      </c>
      <c r="AB35" s="62">
        <f>IF($V35="","",IF(AND(ISNUMBER($G35),$G35&lt;=IF($S35=MesCiclo,InicioCiclo,$S35+MOD(2-WEEKDAY($S35),7))+27),1,IF(ISNUMBER($L35),$L35,$AA35)))</f>
        <v/>
      </c>
      <c r="AC35" s="62">
        <f>IF($V35="","",IF(AND(ISNUMBER($G35),$G35&lt;=IF($S35=MesCiclo,InicioCiclo,$S35+MOD(2-WEEKDAY($S35),7))+6),1,IF(N($W35)&gt;0,AVERAGEIFS($Y$5:$Y$1000,$U$5:$U$1000,ROW(),$V$5:$V$1000,"Sub"),$Y35)))</f>
        <v/>
      </c>
      <c r="AD35" s="62">
        <f>IF($V35="","",IF(AND(ISNUMBER($G35),$G35&lt;=IF($S35=MesCiclo,InicioCiclo,$S35+MOD(2-WEEKDAY($S35),7))+13),1,IF(N($W35)&gt;0,AVERAGEIFS($Z$5:$Z$1000,$U$5:$U$1000,ROW(),$V$5:$V$1000,"Sub"),$Z35)))</f>
        <v/>
      </c>
      <c r="AE35" s="62">
        <f>IF($V35="","",IF(AND(ISNUMBER($G35),$G35&lt;=IF($S35=MesCiclo,InicioCiclo,$S35+MOD(2-WEEKDAY($S35),7))+20),1,IF(N($W35)&gt;0,AVERAGEIFS($AA$5:$AA$1000,$U$5:$U$1000,ROW(),$V$5:$V$1000,"Sub"),$AA35)))</f>
        <v/>
      </c>
      <c r="AF35" s="62">
        <f>IF($V35="","",IF(AND(ISNUMBER($G35),$G35&lt;=IF($S35=MesCiclo,InicioCiclo,$S35+MOD(2-WEEKDAY($S35),7))+27),1,IF(N($W35)&gt;0,AVERAGEIFS($AB$5:$AB$1000,$U$5:$U$1000,ROW(),$V$5:$V$1000,"Sub"),$AB35)))</f>
        <v/>
      </c>
      <c r="AG35" s="62">
        <f>IF($V35&lt;&gt;"Macro","",IF(COUNTIFS($S$5:$S$1000,$S35,$V$5:$V$1000,"Macro",$H$5:$H$1000,"&gt;0")=0,1/COUNTIFS($S$5:$S$1000,$S35,$V$5:$V$1000,"Macro"),IF(AND(ISNUMBER($H35),N($H35)&gt;0),$H35,SUMIFS($H$5:$H$1000,$S$5:$S$1000,$S35,$V$5:$V$1000,"Macro")/COUNTIFS($S$5:$S$1000,$S35,$V$5:$V$1000,"Macro",$H$5:$H$1000,"&gt;0"))/(COUNTIFS($S$5:$S$1000,$S35,$V$5:$V$1000,"Macro")*SUMIFS($H$5:$H$1000,$S$5:$S$1000,$S35,$V$5:$V$1000,"Macro")/COUNTIFS($S$5:$S$1000,$S35,$V$5:$V$1000,"Macro",$H$5:$H$1000,"&gt;0"))))</f>
        <v/>
      </c>
      <c r="AH35" s="62">
        <f>IF(NOT(AND($D35&lt;&gt;"",$V35="Macro")),"",IFERROR(CHOOSE(MATCH($D35,ListaPuestos,0),MATCH("[Jefatura] "&amp;$C35,'Cronograma R. Operacional'!$C$5:$C$1000,0),MATCH("[Jefatura] "&amp;$C35,'Cronograma R. Normativo'!$C$5:$C$1000,0),MATCH("[Jefatura] "&amp;$C35,'Cronograma R. Financiero'!$C$5:$C$1000,0),MATCH("[Jefatura] "&amp;$C35,'Cronograma Asistente Técnico'!$C$5:$C$1000,0)),0))</f>
        <v/>
      </c>
      <c r="AI35" s="62">
        <f>IF(AND(AND($D35&lt;&gt;"",$V35="Macro"),$S35=MesCiclo),COUNTIFS($D$5:$D35,$D35,$S$5:$S35,MesCiclo,$V$5:$V35,"Macro"),"")</f>
        <v/>
      </c>
      <c r="AJ35" s="62">
        <f>IF($AI35="","",$D35&amp;"|"&amp;$AI35)</f>
        <v/>
      </c>
      <c r="AK35" s="62">
        <f>IF(AND($D35&lt;&gt;"",$V35="Macro"),$D35&amp;"|"&amp;$C35,"")</f>
        <v/>
      </c>
      <c r="AL35" s="62">
        <f>""</f>
        <v/>
      </c>
      <c r="AM35" s="62">
        <f>IF(N($AL35)&gt;0,INDEX(rIni_ADM,$AL35),IF(ISNUMBER($E35),$E35,""))</f>
        <v/>
      </c>
      <c r="AN35" s="62">
        <f>IF(N($AL35)&gt;0,INDEX(rLim_ADM,$AL35),IF(ISNUMBER($F35),$F35,""))</f>
        <v/>
      </c>
    </row>
    <row r="36">
      <c r="A36" s="56">
        <f>IF(NOT((COUNTA($B36:$D36)+COUNTA($G36:$L36)+COUNTA($Q36))&gt;0),"",IF($V36="Macro",COUNTIFS($V$5:$V36,"Macro",$S$5:$S36,$S36),IF(N($U36)=0,"?",COUNTIFS(INDEX($V$5:$V$1000,1):INDEX($V$5:$V$1000,$U36-4),"Macro",INDEX($S$5:$S$1000,1):INDEX($S$5:$S$1000,$U36-4),INDEX($S$5:$S$1000,$U36-4))&amp;"."&amp;COUNTIFS($U$5:$U36,$U36,$V$5:$V36,"Sub"))))</f>
        <v/>
      </c>
      <c r="B36" s="57" t="n"/>
      <c r="C36" s="58" t="n"/>
      <c r="D36" s="58" t="n"/>
      <c r="E36" s="59" t="n"/>
      <c r="F36" s="59" t="n"/>
      <c r="G36" s="59" t="n"/>
      <c r="H36" s="60" t="n"/>
      <c r="I36" s="60" t="n"/>
      <c r="J36" s="60" t="n"/>
      <c r="K36" s="60" t="n"/>
      <c r="L36" s="60" t="n"/>
      <c r="M36" s="61">
        <f>IF(NOT((COUNTA($B36:$D36)+COUNTA($G36:$L36)+COUNTA($Q36))&gt;0),"",IF(AND($D36&lt;&gt;"",$V36="Macro"),IF(N($AH36)&gt;0,N(CHOOSE(MATCH($D36,ListaPuestos,0),INDEX('Cronograma R. Operacional'!$M$5:$M$1000,$AH36),INDEX('Cronograma R. Normativo'!$M$5:$M$1000,$AH36),INDEX('Cronograma R. Financiero'!$M$5:$M$1000,$AH36),INDEX('Cronograma Asistente Técnico'!$M$5:$M$1000,$AH36))),0),IF(ISNUMBER($G36),1,IF(N($W36)&gt;0,AVERAGEIFS($X$5:$X$1000,$U$5:$U$1000,ROW(),$V$5:$V$1000,"Sub"),$X36))))</f>
        <v/>
      </c>
      <c r="N36" s="56">
        <f>IF(OR($M36="",$V36="Sub"),"",IF($M36&gt;=1,"Completado",IF($M36&gt;0,"En curso","Pendiente")))</f>
        <v/>
      </c>
      <c r="O36" s="56">
        <f>IF(NOT((COUNTA($B36:$D36)+COUNTA($G36:$L36)+COUNTA($Q36))&gt;0),"",IF(AND(AND($D36&lt;&gt;"",$V36="Macro"),N($AH36)&gt;0),CHOOSE(MATCH($D36,ListaPuestos,0),INDEX('Cronograma R. Operacional'!$O$5:$O$1000,$AH36),INDEX('Cronograma R. Normativo'!$O$5:$O$1000,$AH36),INDEX('Cronograma R. Financiero'!$O$5:$O$1000,$AH36),INDEX('Cronograma Asistente Técnico'!$O$5:$O$1000,$AH36))&amp;"",IF(ISNUMBER($G36),IF(AND(ISNUMBER($AN36),$G36&gt;$AN36),"Cumplida con "&amp;($G36-$AN36)&amp;IF($G36-$AN36=1," día"," días")&amp;" de retraso","Cumplida"),IF(N($M36)&gt;=1,"Cumplida",IF(NOT(ISNUMBER($AN36)),"Sin fecha límite",IF($AN36&lt;FechaRef,"Vencida hace "&amp;(FechaRef-$AN36)&amp;IF(FechaRef-$AN36=1," día"," días"),IF($AN36=FechaRef,"Vence hoy",IF($AN36-FechaRef&lt;=DiasAlerta,"Vence en "&amp;($AN36-FechaRef)&amp;IF($AN36-FechaRef=1," día"," días"),"En plazo"))))))))</f>
        <v/>
      </c>
      <c r="P36" s="62">
        <f>IF(NOT((COUNTA($B36:$D36)+COUNTA($G36:$L36)+COUNTA($Q36))&gt;0),"",IF($D36="","Propia",IF($V36&lt;&gt;"Macro","Solo se delegan macroactividades",IF(N($AH36)&gt;0,"✔ Recibida por "&amp;$D36,"⚠ "&amp;$D36&amp;" aún no la agrega"))))</f>
        <v/>
      </c>
      <c r="Q36" s="58" t="n"/>
      <c r="R36" s="63">
        <f>IF(NOT((COUNTA($B36:$D36)+COUNTA($G36:$L36)+COUNTA($Q36))&gt;0),"",IF((IF($C36="","Falta el nombre de la actividad"&amp;" · ","")&amp;IF(AND($V36="Sub",N($U36)=0),"Subactividad sin macroactividad arriba"&amp;" · ","")&amp;IF($AM36="","Sin fecha de inicio"&amp;" · ","")&amp;IF($AN36="","Sin fecha límite"&amp;" · ","")&amp;IF(AND(LEFT($C36,11)="[Jefatura] ",N($AL36)=0),"No se encuentra en la hoja de la jefatura (elíjala de nuevo en la lista)"&amp;" · ","")&amp;IF(OR(AND($E36&lt;&gt;"",NOT(ISNUMBER($E36))),AND($F36&lt;&gt;"",NOT(ISNUMBER($F36))),AND($G36&lt;&gt;"",NOT(ISNUMBER($G36)))),"Fecha no válida"&amp;" · ","")&amp;IF(AND(ISNUMBER($AM36),ISNUMBER($AN36),$AM36&gt;$AN36),"Inicio posterior a fecha límite"&amp;" · ","")&amp;IF(AND($V36="Macro",$H36&lt;&gt;"",OR(NOT(ISNUMBER($H36)),$H36&lt;0,$H36&gt;1)),"Peso fuera de rango"&amp;" · ","")&amp;IF(AND($V36="Sub",$H36&lt;&gt;""),"Las subactividades no llevan peso (valen igual dentro de su macroactividad)"&amp;" · ","")&amp;IF(AND(N($W36)&gt;0,COUNT($I36:$L36)&gt;0),"Con subactividades: deje vacías las semanas (se calculan solas)"&amp;" · ","")&amp;IF((COUNTIF($I36:$L36,"&gt;1")+COUNTIF($I36:$L36,"&lt;0")+COUNTA($I36:$L36)-COUNT($I36:$L36))&gt;0,"Avance fuera de rango 0-100%"&amp;" · ","")&amp;IF(OR(AND($J36&lt;&gt;"",$J36&lt;$I36),AND($K36&lt;&gt;"",$K36&lt;MAX($I36:$J36)),AND($L36&lt;&gt;"",$L36&lt;MAX($I36:$K36))),"Avance semanal decreciente"&amp;" · ","")&amp;IF(AND(ISNUMBER($AN36),$AN36&lt;FechaRef,IF($V36="Sub",N($X36),N($M36))&lt;1),"Vencida"&amp;" · ","")&amp;IF(AND(ObsObligatoria="Sí",ISNUMBER($AN36),$AN36&lt;FechaRef,IF($V36="Sub",N($X36),N($M36))&lt;1,$Q36=""),"Vencida sin observación"&amp;" · ",""))="","✔ OK","⚠ "&amp;LEFT(IF($C36="","Falta el nombre de la actividad"&amp;" · ","")&amp;IF(AND($V36="Sub",N($U36)=0),"Subactividad sin macroactividad arriba"&amp;" · ","")&amp;IF($AM36="","Sin fecha de inicio"&amp;" · ","")&amp;IF($AN36="","Sin fecha límite"&amp;" · ","")&amp;IF(AND(LEFT($C36,11)="[Jefatura] ",N($AL36)=0),"No se encuentra en la hoja de la jefatura (elíjala de nuevo en la lista)"&amp;" · ","")&amp;IF(OR(AND($E36&lt;&gt;"",NOT(ISNUMBER($E36))),AND($F36&lt;&gt;"",NOT(ISNUMBER($F36))),AND($G36&lt;&gt;"",NOT(ISNUMBER($G36)))),"Fecha no válida"&amp;" · ","")&amp;IF(AND(ISNUMBER($AM36),ISNUMBER($AN36),$AM36&gt;$AN36),"Inicio posterior a fecha límite"&amp;" · ","")&amp;IF(AND($V36="Macro",$H36&lt;&gt;"",OR(NOT(ISNUMBER($H36)),$H36&lt;0,$H36&gt;1)),"Peso fuera de rango"&amp;" · ","")&amp;IF(AND($V36="Sub",$H36&lt;&gt;""),"Las subactividades no llevan peso (valen igual dentro de su macroactividad)"&amp;" · ","")&amp;IF(AND(N($W36)&gt;0,COUNT($I36:$L36)&gt;0),"Con subactividades: deje vacías las semanas (se calculan solas)"&amp;" · ","")&amp;IF((COUNTIF($I36:$L36,"&gt;1")+COUNTIF($I36:$L36,"&lt;0")+COUNTA($I36:$L36)-COUNT($I36:$L36))&gt;0,"Avance fuera de rango 0-100%"&amp;" · ","")&amp;IF(OR(AND($J36&lt;&gt;"",$J36&lt;$I36),AND($K36&lt;&gt;"",$K36&lt;MAX($I36:$J36)),AND($L36&lt;&gt;"",$L36&lt;MAX($I36:$K36))),"Avance semanal decreciente"&amp;" · ","")&amp;IF(AND(ISNUMBER($AN36),$AN36&lt;FechaRef,IF($V36="Sub",N($X36),N($M36))&lt;1),"Vencida"&amp;" · ","")&amp;IF(AND(ObsObligatoria="Sí",ISNUMBER($AN36),$AN36&lt;FechaRef,IF($V36="Sub",N($X36),N($M36))&lt;1,$Q36=""),"Vencida sin observación"&amp;" · ",""),LEN(IF($C36="","Falta el nombre de la actividad"&amp;" · ","")&amp;IF(AND($V36="Sub",N($U36)=0),"Subactividad sin macroactividad arriba"&amp;" · ","")&amp;IF($AM36="","Sin fecha de inicio"&amp;" · ","")&amp;IF($AN36="","Sin fecha límite"&amp;" · ","")&amp;IF(AND(LEFT($C36,11)="[Jefatura] ",N($AL36)=0),"No se encuentra en la hoja de la jefatura (elíjala de nuevo en la lista)"&amp;" · ","")&amp;IF(OR(AND($E36&lt;&gt;"",NOT(ISNUMBER($E36))),AND($F36&lt;&gt;"",NOT(ISNUMBER($F36))),AND($G36&lt;&gt;"",NOT(ISNUMBER($G36)))),"Fecha no válida"&amp;" · ","")&amp;IF(AND(ISNUMBER($AM36),ISNUMBER($AN36),$AM36&gt;$AN36),"Inicio posterior a fecha límite"&amp;" · ","")&amp;IF(AND($V36="Macro",$H36&lt;&gt;"",OR(NOT(ISNUMBER($H36)),$H36&lt;0,$H36&gt;1)),"Peso fuera de rango"&amp;" · ","")&amp;IF(AND($V36="Sub",$H36&lt;&gt;""),"Las subactividades no llevan peso (valen igual dentro de su macroactividad)"&amp;" · ","")&amp;IF(AND(N($W36)&gt;0,COUNT($I36:$L36)&gt;0),"Con subactividades: deje vacías las semanas (se calculan solas)"&amp;" · ","")&amp;IF((COUNTIF($I36:$L36,"&gt;1")+COUNTIF($I36:$L36,"&lt;0")+COUNTA($I36:$L36)-COUNT($I36:$L36))&gt;0,"Avance fuera de rango 0-100%"&amp;" · ","")&amp;IF(OR(AND($J36&lt;&gt;"",$J36&lt;$I36),AND($K36&lt;&gt;"",$K36&lt;MAX($I36:$J36)),AND($L36&lt;&gt;"",$L36&lt;MAX($I36:$K36))),"Avance semanal decreciente"&amp;" · ","")&amp;IF(AND(ISNUMBER($AN36),$AN36&lt;FechaRef,IF($V36="Sub",N($X36),N($M36))&lt;1),"Vencida"&amp;" · ","")&amp;IF(AND(ObsObligatoria="Sí",ISNUMBER($AN36),$AN36&lt;FechaRef,IF($V36="Sub",N($X36),N($M36))&lt;1,$Q36=""),"Vencida sin observación"&amp;" · ",""))-3)))</f>
        <v/>
      </c>
      <c r="S36" s="64">
        <f>IF(NOT((COUNTA($B36:$D36)+COUNTA($G36:$L36)+COUNTA($Q36))&gt;0),"",IF(AND($V36="Sub",N($U36)&gt;0),IF(ISNUMBER(INDEX($AM$5:$AM$1000,$U36-4)),DATE(YEAR(INDEX($AM$5:$AM$1000,$U36-4)),MONTH(INDEX($AM$5:$AM$1000,$U36-4)),1),IF(ISNUMBER(INDEX($AN$5:$AN$1000,$U36-4)),DATE(YEAR(INDEX($AN$5:$AN$1000,$U36-4)),MONTH(INDEX($AN$5:$AN$1000,$U36-4)),1),MesCiclo)),IF(ISNUMBER($AM36),DATE(YEAR($AM36),MONTH($AM36),1),IF(ISNUMBER($AN36),DATE(YEAR($AN36),MONTH($AN36),1),MesCiclo))))</f>
        <v/>
      </c>
      <c r="T36" s="62">
        <f>IF(OR($S36="",$S36&lt;&gt;MesCiclo,$V36&lt;&gt;"Macro"),"",COUNTIFS($S$5:$S36,MesCiclo,$V$5:$V36,"Macro"))</f>
        <v/>
      </c>
      <c r="U36" s="62">
        <f>IF($V36="","",IF($V36="Macro",ROW(),IFERROR(LOOKUP(2,1/($V$5:$V36="Macro"),ROW($V$5:$V36)),0)))</f>
        <v/>
      </c>
      <c r="V36" s="62">
        <f>IF(NOT((COUNTA($B36:$D36)+COUNTA($G36:$L36)+COUNTA($Q36))&gt;0),"",IF($B36="Subactividad","Sub","Macro"))</f>
        <v/>
      </c>
      <c r="W36" s="62">
        <f>IF($V36="Macro",COUNTIFS($U$5:$U$1000,ROW(),$V$5:$V$1000,"Sub"),"")</f>
        <v/>
      </c>
      <c r="X36" s="62">
        <f>IF($V36="","",IF(ISNUMBER($G36),1,IFERROR(LOOKUP(2,1/($I36:$L36&lt;&gt;""),$I36:$L36),0)))</f>
        <v/>
      </c>
      <c r="Y36" s="62">
        <f>IF($V36="","",IF(AND(ISNUMBER($G36),$G36&lt;=IF($S36=MesCiclo,InicioCiclo,$S36+MOD(2-WEEKDAY($S36),7))+6),1,IF(ISNUMBER($I36),$I36,0)))</f>
        <v/>
      </c>
      <c r="Z36" s="62">
        <f>IF($V36="","",IF(AND(ISNUMBER($G36),$G36&lt;=IF($S36=MesCiclo,InicioCiclo,$S36+MOD(2-WEEKDAY($S36),7))+13),1,IF(ISNUMBER($J36),$J36,$Y36)))</f>
        <v/>
      </c>
      <c r="AA36" s="62">
        <f>IF($V36="","",IF(AND(ISNUMBER($G36),$G36&lt;=IF($S36=MesCiclo,InicioCiclo,$S36+MOD(2-WEEKDAY($S36),7))+20),1,IF(ISNUMBER($K36),$K36,$Z36)))</f>
        <v/>
      </c>
      <c r="AB36" s="62">
        <f>IF($V36="","",IF(AND(ISNUMBER($G36),$G36&lt;=IF($S36=MesCiclo,InicioCiclo,$S36+MOD(2-WEEKDAY($S36),7))+27),1,IF(ISNUMBER($L36),$L36,$AA36)))</f>
        <v/>
      </c>
      <c r="AC36" s="62">
        <f>IF($V36="","",IF(AND(ISNUMBER($G36),$G36&lt;=IF($S36=MesCiclo,InicioCiclo,$S36+MOD(2-WEEKDAY($S36),7))+6),1,IF(N($W36)&gt;0,AVERAGEIFS($Y$5:$Y$1000,$U$5:$U$1000,ROW(),$V$5:$V$1000,"Sub"),$Y36)))</f>
        <v/>
      </c>
      <c r="AD36" s="62">
        <f>IF($V36="","",IF(AND(ISNUMBER($G36),$G36&lt;=IF($S36=MesCiclo,InicioCiclo,$S36+MOD(2-WEEKDAY($S36),7))+13),1,IF(N($W36)&gt;0,AVERAGEIFS($Z$5:$Z$1000,$U$5:$U$1000,ROW(),$V$5:$V$1000,"Sub"),$Z36)))</f>
        <v/>
      </c>
      <c r="AE36" s="62">
        <f>IF($V36="","",IF(AND(ISNUMBER($G36),$G36&lt;=IF($S36=MesCiclo,InicioCiclo,$S36+MOD(2-WEEKDAY($S36),7))+20),1,IF(N($W36)&gt;0,AVERAGEIFS($AA$5:$AA$1000,$U$5:$U$1000,ROW(),$V$5:$V$1000,"Sub"),$AA36)))</f>
        <v/>
      </c>
      <c r="AF36" s="62">
        <f>IF($V36="","",IF(AND(ISNUMBER($G36),$G36&lt;=IF($S36=MesCiclo,InicioCiclo,$S36+MOD(2-WEEKDAY($S36),7))+27),1,IF(N($W36)&gt;0,AVERAGEIFS($AB$5:$AB$1000,$U$5:$U$1000,ROW(),$V$5:$V$1000,"Sub"),$AB36)))</f>
        <v/>
      </c>
      <c r="AG36" s="62">
        <f>IF($V36&lt;&gt;"Macro","",IF(COUNTIFS($S$5:$S$1000,$S36,$V$5:$V$1000,"Macro",$H$5:$H$1000,"&gt;0")=0,1/COUNTIFS($S$5:$S$1000,$S36,$V$5:$V$1000,"Macro"),IF(AND(ISNUMBER($H36),N($H36)&gt;0),$H36,SUMIFS($H$5:$H$1000,$S$5:$S$1000,$S36,$V$5:$V$1000,"Macro")/COUNTIFS($S$5:$S$1000,$S36,$V$5:$V$1000,"Macro",$H$5:$H$1000,"&gt;0"))/(COUNTIFS($S$5:$S$1000,$S36,$V$5:$V$1000,"Macro")*SUMIFS($H$5:$H$1000,$S$5:$S$1000,$S36,$V$5:$V$1000,"Macro")/COUNTIFS($S$5:$S$1000,$S36,$V$5:$V$1000,"Macro",$H$5:$H$1000,"&gt;0"))))</f>
        <v/>
      </c>
      <c r="AH36" s="62">
        <f>IF(NOT(AND($D36&lt;&gt;"",$V36="Macro")),"",IFERROR(CHOOSE(MATCH($D36,ListaPuestos,0),MATCH("[Jefatura] "&amp;$C36,'Cronograma R. Operacional'!$C$5:$C$1000,0),MATCH("[Jefatura] "&amp;$C36,'Cronograma R. Normativo'!$C$5:$C$1000,0),MATCH("[Jefatura] "&amp;$C36,'Cronograma R. Financiero'!$C$5:$C$1000,0),MATCH("[Jefatura] "&amp;$C36,'Cronograma Asistente Técnico'!$C$5:$C$1000,0)),0))</f>
        <v/>
      </c>
      <c r="AI36" s="62">
        <f>IF(AND(AND($D36&lt;&gt;"",$V36="Macro"),$S36=MesCiclo),COUNTIFS($D$5:$D36,$D36,$S$5:$S36,MesCiclo,$V$5:$V36,"Macro"),"")</f>
        <v/>
      </c>
      <c r="AJ36" s="62">
        <f>IF($AI36="","",$D36&amp;"|"&amp;$AI36)</f>
        <v/>
      </c>
      <c r="AK36" s="62">
        <f>IF(AND($D36&lt;&gt;"",$V36="Macro"),$D36&amp;"|"&amp;$C36,"")</f>
        <v/>
      </c>
      <c r="AL36" s="62">
        <f>""</f>
        <v/>
      </c>
      <c r="AM36" s="62">
        <f>IF(N($AL36)&gt;0,INDEX(rIni_ADM,$AL36),IF(ISNUMBER($E36),$E36,""))</f>
        <v/>
      </c>
      <c r="AN36" s="62">
        <f>IF(N($AL36)&gt;0,INDEX(rLim_ADM,$AL36),IF(ISNUMBER($F36),$F36,""))</f>
        <v/>
      </c>
    </row>
    <row r="37">
      <c r="A37" s="56">
        <f>IF(NOT((COUNTA($B37:$D37)+COUNTA($G37:$L37)+COUNTA($Q37))&gt;0),"",IF($V37="Macro",COUNTIFS($V$5:$V37,"Macro",$S$5:$S37,$S37),IF(N($U37)=0,"?",COUNTIFS(INDEX($V$5:$V$1000,1):INDEX($V$5:$V$1000,$U37-4),"Macro",INDEX($S$5:$S$1000,1):INDEX($S$5:$S$1000,$U37-4),INDEX($S$5:$S$1000,$U37-4))&amp;"."&amp;COUNTIFS($U$5:$U37,$U37,$V$5:$V37,"Sub"))))</f>
        <v/>
      </c>
      <c r="B37" s="57" t="n"/>
      <c r="C37" s="58" t="n"/>
      <c r="D37" s="58" t="n"/>
      <c r="E37" s="59" t="n"/>
      <c r="F37" s="59" t="n"/>
      <c r="G37" s="59" t="n"/>
      <c r="H37" s="60" t="n"/>
      <c r="I37" s="60" t="n"/>
      <c r="J37" s="60" t="n"/>
      <c r="K37" s="60" t="n"/>
      <c r="L37" s="60" t="n"/>
      <c r="M37" s="61">
        <f>IF(NOT((COUNTA($B37:$D37)+COUNTA($G37:$L37)+COUNTA($Q37))&gt;0),"",IF(AND($D37&lt;&gt;"",$V37="Macro"),IF(N($AH37)&gt;0,N(CHOOSE(MATCH($D37,ListaPuestos,0),INDEX('Cronograma R. Operacional'!$M$5:$M$1000,$AH37),INDEX('Cronograma R. Normativo'!$M$5:$M$1000,$AH37),INDEX('Cronograma R. Financiero'!$M$5:$M$1000,$AH37),INDEX('Cronograma Asistente Técnico'!$M$5:$M$1000,$AH37))),0),IF(ISNUMBER($G37),1,IF(N($W37)&gt;0,AVERAGEIFS($X$5:$X$1000,$U$5:$U$1000,ROW(),$V$5:$V$1000,"Sub"),$X37))))</f>
        <v/>
      </c>
      <c r="N37" s="56">
        <f>IF(OR($M37="",$V37="Sub"),"",IF($M37&gt;=1,"Completado",IF($M37&gt;0,"En curso","Pendiente")))</f>
        <v/>
      </c>
      <c r="O37" s="56">
        <f>IF(NOT((COUNTA($B37:$D37)+COUNTA($G37:$L37)+COUNTA($Q37))&gt;0),"",IF(AND(AND($D37&lt;&gt;"",$V37="Macro"),N($AH37)&gt;0),CHOOSE(MATCH($D37,ListaPuestos,0),INDEX('Cronograma R. Operacional'!$O$5:$O$1000,$AH37),INDEX('Cronograma R. Normativo'!$O$5:$O$1000,$AH37),INDEX('Cronograma R. Financiero'!$O$5:$O$1000,$AH37),INDEX('Cronograma Asistente Técnico'!$O$5:$O$1000,$AH37))&amp;"",IF(ISNUMBER($G37),IF(AND(ISNUMBER($AN37),$G37&gt;$AN37),"Cumplida con "&amp;($G37-$AN37)&amp;IF($G37-$AN37=1," día"," días")&amp;" de retraso","Cumplida"),IF(N($M37)&gt;=1,"Cumplida",IF(NOT(ISNUMBER($AN37)),"Sin fecha límite",IF($AN37&lt;FechaRef,"Vencida hace "&amp;(FechaRef-$AN37)&amp;IF(FechaRef-$AN37=1," día"," días"),IF($AN37=FechaRef,"Vence hoy",IF($AN37-FechaRef&lt;=DiasAlerta,"Vence en "&amp;($AN37-FechaRef)&amp;IF($AN37-FechaRef=1," día"," días"),"En plazo"))))))))</f>
        <v/>
      </c>
      <c r="P37" s="62">
        <f>IF(NOT((COUNTA($B37:$D37)+COUNTA($G37:$L37)+COUNTA($Q37))&gt;0),"",IF($D37="","Propia",IF($V37&lt;&gt;"Macro","Solo se delegan macroactividades",IF(N($AH37)&gt;0,"✔ Recibida por "&amp;$D37,"⚠ "&amp;$D37&amp;" aún no la agrega"))))</f>
        <v/>
      </c>
      <c r="Q37" s="58" t="n"/>
      <c r="R37" s="63">
        <f>IF(NOT((COUNTA($B37:$D37)+COUNTA($G37:$L37)+COUNTA($Q37))&gt;0),"",IF((IF($C37="","Falta el nombre de la actividad"&amp;" · ","")&amp;IF(AND($V37="Sub",N($U37)=0),"Subactividad sin macroactividad arriba"&amp;" · ","")&amp;IF($AM37="","Sin fecha de inicio"&amp;" · ","")&amp;IF($AN37="","Sin fecha límite"&amp;" · ","")&amp;IF(AND(LEFT($C37,11)="[Jefatura] ",N($AL37)=0),"No se encuentra en la hoja de la jefatura (elíjala de nuevo en la lista)"&amp;" · ","")&amp;IF(OR(AND($E37&lt;&gt;"",NOT(ISNUMBER($E37))),AND($F37&lt;&gt;"",NOT(ISNUMBER($F37))),AND($G37&lt;&gt;"",NOT(ISNUMBER($G37)))),"Fecha no válida"&amp;" · ","")&amp;IF(AND(ISNUMBER($AM37),ISNUMBER($AN37),$AM37&gt;$AN37),"Inicio posterior a fecha límite"&amp;" · ","")&amp;IF(AND($V37="Macro",$H37&lt;&gt;"",OR(NOT(ISNUMBER($H37)),$H37&lt;0,$H37&gt;1)),"Peso fuera de rango"&amp;" · ","")&amp;IF(AND($V37="Sub",$H37&lt;&gt;""),"Las subactividades no llevan peso (valen igual dentro de su macroactividad)"&amp;" · ","")&amp;IF(AND(N($W37)&gt;0,COUNT($I37:$L37)&gt;0),"Con subactividades: deje vacías las semanas (se calculan solas)"&amp;" · ","")&amp;IF((COUNTIF($I37:$L37,"&gt;1")+COUNTIF($I37:$L37,"&lt;0")+COUNTA($I37:$L37)-COUNT($I37:$L37))&gt;0,"Avance fuera de rango 0-100%"&amp;" · ","")&amp;IF(OR(AND($J37&lt;&gt;"",$J37&lt;$I37),AND($K37&lt;&gt;"",$K37&lt;MAX($I37:$J37)),AND($L37&lt;&gt;"",$L37&lt;MAX($I37:$K37))),"Avance semanal decreciente"&amp;" · ","")&amp;IF(AND(ISNUMBER($AN37),$AN37&lt;FechaRef,IF($V37="Sub",N($X37),N($M37))&lt;1),"Vencida"&amp;" · ","")&amp;IF(AND(ObsObligatoria="Sí",ISNUMBER($AN37),$AN37&lt;FechaRef,IF($V37="Sub",N($X37),N($M37))&lt;1,$Q37=""),"Vencida sin observación"&amp;" · ",""))="","✔ OK","⚠ "&amp;LEFT(IF($C37="","Falta el nombre de la actividad"&amp;" · ","")&amp;IF(AND($V37="Sub",N($U37)=0),"Subactividad sin macroactividad arriba"&amp;" · ","")&amp;IF($AM37="","Sin fecha de inicio"&amp;" · ","")&amp;IF($AN37="","Sin fecha límite"&amp;" · ","")&amp;IF(AND(LEFT($C37,11)="[Jefatura] ",N($AL37)=0),"No se encuentra en la hoja de la jefatura (elíjala de nuevo en la lista)"&amp;" · ","")&amp;IF(OR(AND($E37&lt;&gt;"",NOT(ISNUMBER($E37))),AND($F37&lt;&gt;"",NOT(ISNUMBER($F37))),AND($G37&lt;&gt;"",NOT(ISNUMBER($G37)))),"Fecha no válida"&amp;" · ","")&amp;IF(AND(ISNUMBER($AM37),ISNUMBER($AN37),$AM37&gt;$AN37),"Inicio posterior a fecha límite"&amp;" · ","")&amp;IF(AND($V37="Macro",$H37&lt;&gt;"",OR(NOT(ISNUMBER($H37)),$H37&lt;0,$H37&gt;1)),"Peso fuera de rango"&amp;" · ","")&amp;IF(AND($V37="Sub",$H37&lt;&gt;""),"Las subactividades no llevan peso (valen igual dentro de su macroactividad)"&amp;" · ","")&amp;IF(AND(N($W37)&gt;0,COUNT($I37:$L37)&gt;0),"Con subactividades: deje vacías las semanas (se calculan solas)"&amp;" · ","")&amp;IF((COUNTIF($I37:$L37,"&gt;1")+COUNTIF($I37:$L37,"&lt;0")+COUNTA($I37:$L37)-COUNT($I37:$L37))&gt;0,"Avance fuera de rango 0-100%"&amp;" · ","")&amp;IF(OR(AND($J37&lt;&gt;"",$J37&lt;$I37),AND($K37&lt;&gt;"",$K37&lt;MAX($I37:$J37)),AND($L37&lt;&gt;"",$L37&lt;MAX($I37:$K37))),"Avance semanal decreciente"&amp;" · ","")&amp;IF(AND(ISNUMBER($AN37),$AN37&lt;FechaRef,IF($V37="Sub",N($X37),N($M37))&lt;1),"Vencida"&amp;" · ","")&amp;IF(AND(ObsObligatoria="Sí",ISNUMBER($AN37),$AN37&lt;FechaRef,IF($V37="Sub",N($X37),N($M37))&lt;1,$Q37=""),"Vencida sin observación"&amp;" · ",""),LEN(IF($C37="","Falta el nombre de la actividad"&amp;" · ","")&amp;IF(AND($V37="Sub",N($U37)=0),"Subactividad sin macroactividad arriba"&amp;" · ","")&amp;IF($AM37="","Sin fecha de inicio"&amp;" · ","")&amp;IF($AN37="","Sin fecha límite"&amp;" · ","")&amp;IF(AND(LEFT($C37,11)="[Jefatura] ",N($AL37)=0),"No se encuentra en la hoja de la jefatura (elíjala de nuevo en la lista)"&amp;" · ","")&amp;IF(OR(AND($E37&lt;&gt;"",NOT(ISNUMBER($E37))),AND($F37&lt;&gt;"",NOT(ISNUMBER($F37))),AND($G37&lt;&gt;"",NOT(ISNUMBER($G37)))),"Fecha no válida"&amp;" · ","")&amp;IF(AND(ISNUMBER($AM37),ISNUMBER($AN37),$AM37&gt;$AN37),"Inicio posterior a fecha límite"&amp;" · ","")&amp;IF(AND($V37="Macro",$H37&lt;&gt;"",OR(NOT(ISNUMBER($H37)),$H37&lt;0,$H37&gt;1)),"Peso fuera de rango"&amp;" · ","")&amp;IF(AND($V37="Sub",$H37&lt;&gt;""),"Las subactividades no llevan peso (valen igual dentro de su macroactividad)"&amp;" · ","")&amp;IF(AND(N($W37)&gt;0,COUNT($I37:$L37)&gt;0),"Con subactividades: deje vacías las semanas (se calculan solas)"&amp;" · ","")&amp;IF((COUNTIF($I37:$L37,"&gt;1")+COUNTIF($I37:$L37,"&lt;0")+COUNTA($I37:$L37)-COUNT($I37:$L37))&gt;0,"Avance fuera de rango 0-100%"&amp;" · ","")&amp;IF(OR(AND($J37&lt;&gt;"",$J37&lt;$I37),AND($K37&lt;&gt;"",$K37&lt;MAX($I37:$J37)),AND($L37&lt;&gt;"",$L37&lt;MAX($I37:$K37))),"Avance semanal decreciente"&amp;" · ","")&amp;IF(AND(ISNUMBER($AN37),$AN37&lt;FechaRef,IF($V37="Sub",N($X37),N($M37))&lt;1),"Vencida"&amp;" · ","")&amp;IF(AND(ObsObligatoria="Sí",ISNUMBER($AN37),$AN37&lt;FechaRef,IF($V37="Sub",N($X37),N($M37))&lt;1,$Q37=""),"Vencida sin observación"&amp;" · ",""))-3)))</f>
        <v/>
      </c>
      <c r="S37" s="64">
        <f>IF(NOT((COUNTA($B37:$D37)+COUNTA($G37:$L37)+COUNTA($Q37))&gt;0),"",IF(AND($V37="Sub",N($U37)&gt;0),IF(ISNUMBER(INDEX($AM$5:$AM$1000,$U37-4)),DATE(YEAR(INDEX($AM$5:$AM$1000,$U37-4)),MONTH(INDEX($AM$5:$AM$1000,$U37-4)),1),IF(ISNUMBER(INDEX($AN$5:$AN$1000,$U37-4)),DATE(YEAR(INDEX($AN$5:$AN$1000,$U37-4)),MONTH(INDEX($AN$5:$AN$1000,$U37-4)),1),MesCiclo)),IF(ISNUMBER($AM37),DATE(YEAR($AM37),MONTH($AM37),1),IF(ISNUMBER($AN37),DATE(YEAR($AN37),MONTH($AN37),1),MesCiclo))))</f>
        <v/>
      </c>
      <c r="T37" s="62">
        <f>IF(OR($S37="",$S37&lt;&gt;MesCiclo,$V37&lt;&gt;"Macro"),"",COUNTIFS($S$5:$S37,MesCiclo,$V$5:$V37,"Macro"))</f>
        <v/>
      </c>
      <c r="U37" s="62">
        <f>IF($V37="","",IF($V37="Macro",ROW(),IFERROR(LOOKUP(2,1/($V$5:$V37="Macro"),ROW($V$5:$V37)),0)))</f>
        <v/>
      </c>
      <c r="V37" s="62">
        <f>IF(NOT((COUNTA($B37:$D37)+COUNTA($G37:$L37)+COUNTA($Q37))&gt;0),"",IF($B37="Subactividad","Sub","Macro"))</f>
        <v/>
      </c>
      <c r="W37" s="62">
        <f>IF($V37="Macro",COUNTIFS($U$5:$U$1000,ROW(),$V$5:$V$1000,"Sub"),"")</f>
        <v/>
      </c>
      <c r="X37" s="62">
        <f>IF($V37="","",IF(ISNUMBER($G37),1,IFERROR(LOOKUP(2,1/($I37:$L37&lt;&gt;""),$I37:$L37),0)))</f>
        <v/>
      </c>
      <c r="Y37" s="62">
        <f>IF($V37="","",IF(AND(ISNUMBER($G37),$G37&lt;=IF($S37=MesCiclo,InicioCiclo,$S37+MOD(2-WEEKDAY($S37),7))+6),1,IF(ISNUMBER($I37),$I37,0)))</f>
        <v/>
      </c>
      <c r="Z37" s="62">
        <f>IF($V37="","",IF(AND(ISNUMBER($G37),$G37&lt;=IF($S37=MesCiclo,InicioCiclo,$S37+MOD(2-WEEKDAY($S37),7))+13),1,IF(ISNUMBER($J37),$J37,$Y37)))</f>
        <v/>
      </c>
      <c r="AA37" s="62">
        <f>IF($V37="","",IF(AND(ISNUMBER($G37),$G37&lt;=IF($S37=MesCiclo,InicioCiclo,$S37+MOD(2-WEEKDAY($S37),7))+20),1,IF(ISNUMBER($K37),$K37,$Z37)))</f>
        <v/>
      </c>
      <c r="AB37" s="62">
        <f>IF($V37="","",IF(AND(ISNUMBER($G37),$G37&lt;=IF($S37=MesCiclo,InicioCiclo,$S37+MOD(2-WEEKDAY($S37),7))+27),1,IF(ISNUMBER($L37),$L37,$AA37)))</f>
        <v/>
      </c>
      <c r="AC37" s="62">
        <f>IF($V37="","",IF(AND(ISNUMBER($G37),$G37&lt;=IF($S37=MesCiclo,InicioCiclo,$S37+MOD(2-WEEKDAY($S37),7))+6),1,IF(N($W37)&gt;0,AVERAGEIFS($Y$5:$Y$1000,$U$5:$U$1000,ROW(),$V$5:$V$1000,"Sub"),$Y37)))</f>
        <v/>
      </c>
      <c r="AD37" s="62">
        <f>IF($V37="","",IF(AND(ISNUMBER($G37),$G37&lt;=IF($S37=MesCiclo,InicioCiclo,$S37+MOD(2-WEEKDAY($S37),7))+13),1,IF(N($W37)&gt;0,AVERAGEIFS($Z$5:$Z$1000,$U$5:$U$1000,ROW(),$V$5:$V$1000,"Sub"),$Z37)))</f>
        <v/>
      </c>
      <c r="AE37" s="62">
        <f>IF($V37="","",IF(AND(ISNUMBER($G37),$G37&lt;=IF($S37=MesCiclo,InicioCiclo,$S37+MOD(2-WEEKDAY($S37),7))+20),1,IF(N($W37)&gt;0,AVERAGEIFS($AA$5:$AA$1000,$U$5:$U$1000,ROW(),$V$5:$V$1000,"Sub"),$AA37)))</f>
        <v/>
      </c>
      <c r="AF37" s="62">
        <f>IF($V37="","",IF(AND(ISNUMBER($G37),$G37&lt;=IF($S37=MesCiclo,InicioCiclo,$S37+MOD(2-WEEKDAY($S37),7))+27),1,IF(N($W37)&gt;0,AVERAGEIFS($AB$5:$AB$1000,$U$5:$U$1000,ROW(),$V$5:$V$1000,"Sub"),$AB37)))</f>
        <v/>
      </c>
      <c r="AG37" s="62">
        <f>IF($V37&lt;&gt;"Macro","",IF(COUNTIFS($S$5:$S$1000,$S37,$V$5:$V$1000,"Macro",$H$5:$H$1000,"&gt;0")=0,1/COUNTIFS($S$5:$S$1000,$S37,$V$5:$V$1000,"Macro"),IF(AND(ISNUMBER($H37),N($H37)&gt;0),$H37,SUMIFS($H$5:$H$1000,$S$5:$S$1000,$S37,$V$5:$V$1000,"Macro")/COUNTIFS($S$5:$S$1000,$S37,$V$5:$V$1000,"Macro",$H$5:$H$1000,"&gt;0"))/(COUNTIFS($S$5:$S$1000,$S37,$V$5:$V$1000,"Macro")*SUMIFS($H$5:$H$1000,$S$5:$S$1000,$S37,$V$5:$V$1000,"Macro")/COUNTIFS($S$5:$S$1000,$S37,$V$5:$V$1000,"Macro",$H$5:$H$1000,"&gt;0"))))</f>
        <v/>
      </c>
      <c r="AH37" s="62">
        <f>IF(NOT(AND($D37&lt;&gt;"",$V37="Macro")),"",IFERROR(CHOOSE(MATCH($D37,ListaPuestos,0),MATCH("[Jefatura] "&amp;$C37,'Cronograma R. Operacional'!$C$5:$C$1000,0),MATCH("[Jefatura] "&amp;$C37,'Cronograma R. Normativo'!$C$5:$C$1000,0),MATCH("[Jefatura] "&amp;$C37,'Cronograma R. Financiero'!$C$5:$C$1000,0),MATCH("[Jefatura] "&amp;$C37,'Cronograma Asistente Técnico'!$C$5:$C$1000,0)),0))</f>
        <v/>
      </c>
      <c r="AI37" s="62">
        <f>IF(AND(AND($D37&lt;&gt;"",$V37="Macro"),$S37=MesCiclo),COUNTIFS($D$5:$D37,$D37,$S$5:$S37,MesCiclo,$V$5:$V37,"Macro"),"")</f>
        <v/>
      </c>
      <c r="AJ37" s="62">
        <f>IF($AI37="","",$D37&amp;"|"&amp;$AI37)</f>
        <v/>
      </c>
      <c r="AK37" s="62">
        <f>IF(AND($D37&lt;&gt;"",$V37="Macro"),$D37&amp;"|"&amp;$C37,"")</f>
        <v/>
      </c>
      <c r="AL37" s="62">
        <f>""</f>
        <v/>
      </c>
      <c r="AM37" s="62">
        <f>IF(N($AL37)&gt;0,INDEX(rIni_ADM,$AL37),IF(ISNUMBER($E37),$E37,""))</f>
        <v/>
      </c>
      <c r="AN37" s="62">
        <f>IF(N($AL37)&gt;0,INDEX(rLim_ADM,$AL37),IF(ISNUMBER($F37),$F37,""))</f>
        <v/>
      </c>
    </row>
    <row r="38">
      <c r="A38" s="56">
        <f>IF(NOT((COUNTA($B38:$D38)+COUNTA($G38:$L38)+COUNTA($Q38))&gt;0),"",IF($V38="Macro",COUNTIFS($V$5:$V38,"Macro",$S$5:$S38,$S38),IF(N($U38)=0,"?",COUNTIFS(INDEX($V$5:$V$1000,1):INDEX($V$5:$V$1000,$U38-4),"Macro",INDEX($S$5:$S$1000,1):INDEX($S$5:$S$1000,$U38-4),INDEX($S$5:$S$1000,$U38-4))&amp;"."&amp;COUNTIFS($U$5:$U38,$U38,$V$5:$V38,"Sub"))))</f>
        <v/>
      </c>
      <c r="B38" s="57" t="n"/>
      <c r="C38" s="58" t="n"/>
      <c r="D38" s="58" t="n"/>
      <c r="E38" s="59" t="n"/>
      <c r="F38" s="59" t="n"/>
      <c r="G38" s="59" t="n"/>
      <c r="H38" s="60" t="n"/>
      <c r="I38" s="60" t="n"/>
      <c r="J38" s="60" t="n"/>
      <c r="K38" s="60" t="n"/>
      <c r="L38" s="60" t="n"/>
      <c r="M38" s="61">
        <f>IF(NOT((COUNTA($B38:$D38)+COUNTA($G38:$L38)+COUNTA($Q38))&gt;0),"",IF(AND($D38&lt;&gt;"",$V38="Macro"),IF(N($AH38)&gt;0,N(CHOOSE(MATCH($D38,ListaPuestos,0),INDEX('Cronograma R. Operacional'!$M$5:$M$1000,$AH38),INDEX('Cronograma R. Normativo'!$M$5:$M$1000,$AH38),INDEX('Cronograma R. Financiero'!$M$5:$M$1000,$AH38),INDEX('Cronograma Asistente Técnico'!$M$5:$M$1000,$AH38))),0),IF(ISNUMBER($G38),1,IF(N($W38)&gt;0,AVERAGEIFS($X$5:$X$1000,$U$5:$U$1000,ROW(),$V$5:$V$1000,"Sub"),$X38))))</f>
        <v/>
      </c>
      <c r="N38" s="56">
        <f>IF(OR($M38="",$V38="Sub"),"",IF($M38&gt;=1,"Completado",IF($M38&gt;0,"En curso","Pendiente")))</f>
        <v/>
      </c>
      <c r="O38" s="56">
        <f>IF(NOT((COUNTA($B38:$D38)+COUNTA($G38:$L38)+COUNTA($Q38))&gt;0),"",IF(AND(AND($D38&lt;&gt;"",$V38="Macro"),N($AH38)&gt;0),CHOOSE(MATCH($D38,ListaPuestos,0),INDEX('Cronograma R. Operacional'!$O$5:$O$1000,$AH38),INDEX('Cronograma R. Normativo'!$O$5:$O$1000,$AH38),INDEX('Cronograma R. Financiero'!$O$5:$O$1000,$AH38),INDEX('Cronograma Asistente Técnico'!$O$5:$O$1000,$AH38))&amp;"",IF(ISNUMBER($G38),IF(AND(ISNUMBER($AN38),$G38&gt;$AN38),"Cumplida con "&amp;($G38-$AN38)&amp;IF($G38-$AN38=1," día"," días")&amp;" de retraso","Cumplida"),IF(N($M38)&gt;=1,"Cumplida",IF(NOT(ISNUMBER($AN38)),"Sin fecha límite",IF($AN38&lt;FechaRef,"Vencida hace "&amp;(FechaRef-$AN38)&amp;IF(FechaRef-$AN38=1," día"," días"),IF($AN38=FechaRef,"Vence hoy",IF($AN38-FechaRef&lt;=DiasAlerta,"Vence en "&amp;($AN38-FechaRef)&amp;IF($AN38-FechaRef=1," día"," días"),"En plazo"))))))))</f>
        <v/>
      </c>
      <c r="P38" s="62">
        <f>IF(NOT((COUNTA($B38:$D38)+COUNTA($G38:$L38)+COUNTA($Q38))&gt;0),"",IF($D38="","Propia",IF($V38&lt;&gt;"Macro","Solo se delegan macroactividades",IF(N($AH38)&gt;0,"✔ Recibida por "&amp;$D38,"⚠ "&amp;$D38&amp;" aún no la agrega"))))</f>
        <v/>
      </c>
      <c r="Q38" s="58" t="n"/>
      <c r="R38" s="63">
        <f>IF(NOT((COUNTA($B38:$D38)+COUNTA($G38:$L38)+COUNTA($Q38))&gt;0),"",IF((IF($C38="","Falta el nombre de la actividad"&amp;" · ","")&amp;IF(AND($V38="Sub",N($U38)=0),"Subactividad sin macroactividad arriba"&amp;" · ","")&amp;IF($AM38="","Sin fecha de inicio"&amp;" · ","")&amp;IF($AN38="","Sin fecha límite"&amp;" · ","")&amp;IF(AND(LEFT($C38,11)="[Jefatura] ",N($AL38)=0),"No se encuentra en la hoja de la jefatura (elíjala de nuevo en la lista)"&amp;" · ","")&amp;IF(OR(AND($E38&lt;&gt;"",NOT(ISNUMBER($E38))),AND($F38&lt;&gt;"",NOT(ISNUMBER($F38))),AND($G38&lt;&gt;"",NOT(ISNUMBER($G38)))),"Fecha no válida"&amp;" · ","")&amp;IF(AND(ISNUMBER($AM38),ISNUMBER($AN38),$AM38&gt;$AN38),"Inicio posterior a fecha límite"&amp;" · ","")&amp;IF(AND($V38="Macro",$H38&lt;&gt;"",OR(NOT(ISNUMBER($H38)),$H38&lt;0,$H38&gt;1)),"Peso fuera de rango"&amp;" · ","")&amp;IF(AND($V38="Sub",$H38&lt;&gt;""),"Las subactividades no llevan peso (valen igual dentro de su macroactividad)"&amp;" · ","")&amp;IF(AND(N($W38)&gt;0,COUNT($I38:$L38)&gt;0),"Con subactividades: deje vacías las semanas (se calculan solas)"&amp;" · ","")&amp;IF((COUNTIF($I38:$L38,"&gt;1")+COUNTIF($I38:$L38,"&lt;0")+COUNTA($I38:$L38)-COUNT($I38:$L38))&gt;0,"Avance fuera de rango 0-100%"&amp;" · ","")&amp;IF(OR(AND($J38&lt;&gt;"",$J38&lt;$I38),AND($K38&lt;&gt;"",$K38&lt;MAX($I38:$J38)),AND($L38&lt;&gt;"",$L38&lt;MAX($I38:$K38))),"Avance semanal decreciente"&amp;" · ","")&amp;IF(AND(ISNUMBER($AN38),$AN38&lt;FechaRef,IF($V38="Sub",N($X38),N($M38))&lt;1),"Vencida"&amp;" · ","")&amp;IF(AND(ObsObligatoria="Sí",ISNUMBER($AN38),$AN38&lt;FechaRef,IF($V38="Sub",N($X38),N($M38))&lt;1,$Q38=""),"Vencida sin observación"&amp;" · ",""))="","✔ OK","⚠ "&amp;LEFT(IF($C38="","Falta el nombre de la actividad"&amp;" · ","")&amp;IF(AND($V38="Sub",N($U38)=0),"Subactividad sin macroactividad arriba"&amp;" · ","")&amp;IF($AM38="","Sin fecha de inicio"&amp;" · ","")&amp;IF($AN38="","Sin fecha límite"&amp;" · ","")&amp;IF(AND(LEFT($C38,11)="[Jefatura] ",N($AL38)=0),"No se encuentra en la hoja de la jefatura (elíjala de nuevo en la lista)"&amp;" · ","")&amp;IF(OR(AND($E38&lt;&gt;"",NOT(ISNUMBER($E38))),AND($F38&lt;&gt;"",NOT(ISNUMBER($F38))),AND($G38&lt;&gt;"",NOT(ISNUMBER($G38)))),"Fecha no válida"&amp;" · ","")&amp;IF(AND(ISNUMBER($AM38),ISNUMBER($AN38),$AM38&gt;$AN38),"Inicio posterior a fecha límite"&amp;" · ","")&amp;IF(AND($V38="Macro",$H38&lt;&gt;"",OR(NOT(ISNUMBER($H38)),$H38&lt;0,$H38&gt;1)),"Peso fuera de rango"&amp;" · ","")&amp;IF(AND($V38="Sub",$H38&lt;&gt;""),"Las subactividades no llevan peso (valen igual dentro de su macroactividad)"&amp;" · ","")&amp;IF(AND(N($W38)&gt;0,COUNT($I38:$L38)&gt;0),"Con subactividades: deje vacías las semanas (se calculan solas)"&amp;" · ","")&amp;IF((COUNTIF($I38:$L38,"&gt;1")+COUNTIF($I38:$L38,"&lt;0")+COUNTA($I38:$L38)-COUNT($I38:$L38))&gt;0,"Avance fuera de rango 0-100%"&amp;" · ","")&amp;IF(OR(AND($J38&lt;&gt;"",$J38&lt;$I38),AND($K38&lt;&gt;"",$K38&lt;MAX($I38:$J38)),AND($L38&lt;&gt;"",$L38&lt;MAX($I38:$K38))),"Avance semanal decreciente"&amp;" · ","")&amp;IF(AND(ISNUMBER($AN38),$AN38&lt;FechaRef,IF($V38="Sub",N($X38),N($M38))&lt;1),"Vencida"&amp;" · ","")&amp;IF(AND(ObsObligatoria="Sí",ISNUMBER($AN38),$AN38&lt;FechaRef,IF($V38="Sub",N($X38),N($M38))&lt;1,$Q38=""),"Vencida sin observación"&amp;" · ",""),LEN(IF($C38="","Falta el nombre de la actividad"&amp;" · ","")&amp;IF(AND($V38="Sub",N($U38)=0),"Subactividad sin macroactividad arriba"&amp;" · ","")&amp;IF($AM38="","Sin fecha de inicio"&amp;" · ","")&amp;IF($AN38="","Sin fecha límite"&amp;" · ","")&amp;IF(AND(LEFT($C38,11)="[Jefatura] ",N($AL38)=0),"No se encuentra en la hoja de la jefatura (elíjala de nuevo en la lista)"&amp;" · ","")&amp;IF(OR(AND($E38&lt;&gt;"",NOT(ISNUMBER($E38))),AND($F38&lt;&gt;"",NOT(ISNUMBER($F38))),AND($G38&lt;&gt;"",NOT(ISNUMBER($G38)))),"Fecha no válida"&amp;" · ","")&amp;IF(AND(ISNUMBER($AM38),ISNUMBER($AN38),$AM38&gt;$AN38),"Inicio posterior a fecha límite"&amp;" · ","")&amp;IF(AND($V38="Macro",$H38&lt;&gt;"",OR(NOT(ISNUMBER($H38)),$H38&lt;0,$H38&gt;1)),"Peso fuera de rango"&amp;" · ","")&amp;IF(AND($V38="Sub",$H38&lt;&gt;""),"Las subactividades no llevan peso (valen igual dentro de su macroactividad)"&amp;" · ","")&amp;IF(AND(N($W38)&gt;0,COUNT($I38:$L38)&gt;0),"Con subactividades: deje vacías las semanas (se calculan solas)"&amp;" · ","")&amp;IF((COUNTIF($I38:$L38,"&gt;1")+COUNTIF($I38:$L38,"&lt;0")+COUNTA($I38:$L38)-COUNT($I38:$L38))&gt;0,"Avance fuera de rango 0-100%"&amp;" · ","")&amp;IF(OR(AND($J38&lt;&gt;"",$J38&lt;$I38),AND($K38&lt;&gt;"",$K38&lt;MAX($I38:$J38)),AND($L38&lt;&gt;"",$L38&lt;MAX($I38:$K38))),"Avance semanal decreciente"&amp;" · ","")&amp;IF(AND(ISNUMBER($AN38),$AN38&lt;FechaRef,IF($V38="Sub",N($X38),N($M38))&lt;1),"Vencida"&amp;" · ","")&amp;IF(AND(ObsObligatoria="Sí",ISNUMBER($AN38),$AN38&lt;FechaRef,IF($V38="Sub",N($X38),N($M38))&lt;1,$Q38=""),"Vencida sin observación"&amp;" · ",""))-3)))</f>
        <v/>
      </c>
      <c r="S38" s="64">
        <f>IF(NOT((COUNTA($B38:$D38)+COUNTA($G38:$L38)+COUNTA($Q38))&gt;0),"",IF(AND($V38="Sub",N($U38)&gt;0),IF(ISNUMBER(INDEX($AM$5:$AM$1000,$U38-4)),DATE(YEAR(INDEX($AM$5:$AM$1000,$U38-4)),MONTH(INDEX($AM$5:$AM$1000,$U38-4)),1),IF(ISNUMBER(INDEX($AN$5:$AN$1000,$U38-4)),DATE(YEAR(INDEX($AN$5:$AN$1000,$U38-4)),MONTH(INDEX($AN$5:$AN$1000,$U38-4)),1),MesCiclo)),IF(ISNUMBER($AM38),DATE(YEAR($AM38),MONTH($AM38),1),IF(ISNUMBER($AN38),DATE(YEAR($AN38),MONTH($AN38),1),MesCiclo))))</f>
        <v/>
      </c>
      <c r="T38" s="62">
        <f>IF(OR($S38="",$S38&lt;&gt;MesCiclo,$V38&lt;&gt;"Macro"),"",COUNTIFS($S$5:$S38,MesCiclo,$V$5:$V38,"Macro"))</f>
        <v/>
      </c>
      <c r="U38" s="62">
        <f>IF($V38="","",IF($V38="Macro",ROW(),IFERROR(LOOKUP(2,1/($V$5:$V38="Macro"),ROW($V$5:$V38)),0)))</f>
        <v/>
      </c>
      <c r="V38" s="62">
        <f>IF(NOT((COUNTA($B38:$D38)+COUNTA($G38:$L38)+COUNTA($Q38))&gt;0),"",IF($B38="Subactividad","Sub","Macro"))</f>
        <v/>
      </c>
      <c r="W38" s="62">
        <f>IF($V38="Macro",COUNTIFS($U$5:$U$1000,ROW(),$V$5:$V$1000,"Sub"),"")</f>
        <v/>
      </c>
      <c r="X38" s="62">
        <f>IF($V38="","",IF(ISNUMBER($G38),1,IFERROR(LOOKUP(2,1/($I38:$L38&lt;&gt;""),$I38:$L38),0)))</f>
        <v/>
      </c>
      <c r="Y38" s="62">
        <f>IF($V38="","",IF(AND(ISNUMBER($G38),$G38&lt;=IF($S38=MesCiclo,InicioCiclo,$S38+MOD(2-WEEKDAY($S38),7))+6),1,IF(ISNUMBER($I38),$I38,0)))</f>
        <v/>
      </c>
      <c r="Z38" s="62">
        <f>IF($V38="","",IF(AND(ISNUMBER($G38),$G38&lt;=IF($S38=MesCiclo,InicioCiclo,$S38+MOD(2-WEEKDAY($S38),7))+13),1,IF(ISNUMBER($J38),$J38,$Y38)))</f>
        <v/>
      </c>
      <c r="AA38" s="62">
        <f>IF($V38="","",IF(AND(ISNUMBER($G38),$G38&lt;=IF($S38=MesCiclo,InicioCiclo,$S38+MOD(2-WEEKDAY($S38),7))+20),1,IF(ISNUMBER($K38),$K38,$Z38)))</f>
        <v/>
      </c>
      <c r="AB38" s="62">
        <f>IF($V38="","",IF(AND(ISNUMBER($G38),$G38&lt;=IF($S38=MesCiclo,InicioCiclo,$S38+MOD(2-WEEKDAY($S38),7))+27),1,IF(ISNUMBER($L38),$L38,$AA38)))</f>
        <v/>
      </c>
      <c r="AC38" s="62">
        <f>IF($V38="","",IF(AND(ISNUMBER($G38),$G38&lt;=IF($S38=MesCiclo,InicioCiclo,$S38+MOD(2-WEEKDAY($S38),7))+6),1,IF(N($W38)&gt;0,AVERAGEIFS($Y$5:$Y$1000,$U$5:$U$1000,ROW(),$V$5:$V$1000,"Sub"),$Y38)))</f>
        <v/>
      </c>
      <c r="AD38" s="62">
        <f>IF($V38="","",IF(AND(ISNUMBER($G38),$G38&lt;=IF($S38=MesCiclo,InicioCiclo,$S38+MOD(2-WEEKDAY($S38),7))+13),1,IF(N($W38)&gt;0,AVERAGEIFS($Z$5:$Z$1000,$U$5:$U$1000,ROW(),$V$5:$V$1000,"Sub"),$Z38)))</f>
        <v/>
      </c>
      <c r="AE38" s="62">
        <f>IF($V38="","",IF(AND(ISNUMBER($G38),$G38&lt;=IF($S38=MesCiclo,InicioCiclo,$S38+MOD(2-WEEKDAY($S38),7))+20),1,IF(N($W38)&gt;0,AVERAGEIFS($AA$5:$AA$1000,$U$5:$U$1000,ROW(),$V$5:$V$1000,"Sub"),$AA38)))</f>
        <v/>
      </c>
      <c r="AF38" s="62">
        <f>IF($V38="","",IF(AND(ISNUMBER($G38),$G38&lt;=IF($S38=MesCiclo,InicioCiclo,$S38+MOD(2-WEEKDAY($S38),7))+27),1,IF(N($W38)&gt;0,AVERAGEIFS($AB$5:$AB$1000,$U$5:$U$1000,ROW(),$V$5:$V$1000,"Sub"),$AB38)))</f>
        <v/>
      </c>
      <c r="AG38" s="62">
        <f>IF($V38&lt;&gt;"Macro","",IF(COUNTIFS($S$5:$S$1000,$S38,$V$5:$V$1000,"Macro",$H$5:$H$1000,"&gt;0")=0,1/COUNTIFS($S$5:$S$1000,$S38,$V$5:$V$1000,"Macro"),IF(AND(ISNUMBER($H38),N($H38)&gt;0),$H38,SUMIFS($H$5:$H$1000,$S$5:$S$1000,$S38,$V$5:$V$1000,"Macro")/COUNTIFS($S$5:$S$1000,$S38,$V$5:$V$1000,"Macro",$H$5:$H$1000,"&gt;0"))/(COUNTIFS($S$5:$S$1000,$S38,$V$5:$V$1000,"Macro")*SUMIFS($H$5:$H$1000,$S$5:$S$1000,$S38,$V$5:$V$1000,"Macro")/COUNTIFS($S$5:$S$1000,$S38,$V$5:$V$1000,"Macro",$H$5:$H$1000,"&gt;0"))))</f>
        <v/>
      </c>
      <c r="AH38" s="62">
        <f>IF(NOT(AND($D38&lt;&gt;"",$V38="Macro")),"",IFERROR(CHOOSE(MATCH($D38,ListaPuestos,0),MATCH("[Jefatura] "&amp;$C38,'Cronograma R. Operacional'!$C$5:$C$1000,0),MATCH("[Jefatura] "&amp;$C38,'Cronograma R. Normativo'!$C$5:$C$1000,0),MATCH("[Jefatura] "&amp;$C38,'Cronograma R. Financiero'!$C$5:$C$1000,0),MATCH("[Jefatura] "&amp;$C38,'Cronograma Asistente Técnico'!$C$5:$C$1000,0)),0))</f>
        <v/>
      </c>
      <c r="AI38" s="62">
        <f>IF(AND(AND($D38&lt;&gt;"",$V38="Macro"),$S38=MesCiclo),COUNTIFS($D$5:$D38,$D38,$S$5:$S38,MesCiclo,$V$5:$V38,"Macro"),"")</f>
        <v/>
      </c>
      <c r="AJ38" s="62">
        <f>IF($AI38="","",$D38&amp;"|"&amp;$AI38)</f>
        <v/>
      </c>
      <c r="AK38" s="62">
        <f>IF(AND($D38&lt;&gt;"",$V38="Macro"),$D38&amp;"|"&amp;$C38,"")</f>
        <v/>
      </c>
      <c r="AL38" s="62">
        <f>""</f>
        <v/>
      </c>
      <c r="AM38" s="62">
        <f>IF(N($AL38)&gt;0,INDEX(rIni_ADM,$AL38),IF(ISNUMBER($E38),$E38,""))</f>
        <v/>
      </c>
      <c r="AN38" s="62">
        <f>IF(N($AL38)&gt;0,INDEX(rLim_ADM,$AL38),IF(ISNUMBER($F38),$F38,""))</f>
        <v/>
      </c>
    </row>
    <row r="39">
      <c r="A39" s="56">
        <f>IF(NOT((COUNTA($B39:$D39)+COUNTA($G39:$L39)+COUNTA($Q39))&gt;0),"",IF($V39="Macro",COUNTIFS($V$5:$V39,"Macro",$S$5:$S39,$S39),IF(N($U39)=0,"?",COUNTIFS(INDEX($V$5:$V$1000,1):INDEX($V$5:$V$1000,$U39-4),"Macro",INDEX($S$5:$S$1000,1):INDEX($S$5:$S$1000,$U39-4),INDEX($S$5:$S$1000,$U39-4))&amp;"."&amp;COUNTIFS($U$5:$U39,$U39,$V$5:$V39,"Sub"))))</f>
        <v/>
      </c>
      <c r="B39" s="57" t="n"/>
      <c r="C39" s="58" t="n"/>
      <c r="D39" s="58" t="n"/>
      <c r="E39" s="59" t="n"/>
      <c r="F39" s="59" t="n"/>
      <c r="G39" s="59" t="n"/>
      <c r="H39" s="60" t="n"/>
      <c r="I39" s="60" t="n"/>
      <c r="J39" s="60" t="n"/>
      <c r="K39" s="60" t="n"/>
      <c r="L39" s="60" t="n"/>
      <c r="M39" s="61">
        <f>IF(NOT((COUNTA($B39:$D39)+COUNTA($G39:$L39)+COUNTA($Q39))&gt;0),"",IF(AND($D39&lt;&gt;"",$V39="Macro"),IF(N($AH39)&gt;0,N(CHOOSE(MATCH($D39,ListaPuestos,0),INDEX('Cronograma R. Operacional'!$M$5:$M$1000,$AH39),INDEX('Cronograma R. Normativo'!$M$5:$M$1000,$AH39),INDEX('Cronograma R. Financiero'!$M$5:$M$1000,$AH39),INDEX('Cronograma Asistente Técnico'!$M$5:$M$1000,$AH39))),0),IF(ISNUMBER($G39),1,IF(N($W39)&gt;0,AVERAGEIFS($X$5:$X$1000,$U$5:$U$1000,ROW(),$V$5:$V$1000,"Sub"),$X39))))</f>
        <v/>
      </c>
      <c r="N39" s="56">
        <f>IF(OR($M39="",$V39="Sub"),"",IF($M39&gt;=1,"Completado",IF($M39&gt;0,"En curso","Pendiente")))</f>
        <v/>
      </c>
      <c r="O39" s="56">
        <f>IF(NOT((COUNTA($B39:$D39)+COUNTA($G39:$L39)+COUNTA($Q39))&gt;0),"",IF(AND(AND($D39&lt;&gt;"",$V39="Macro"),N($AH39)&gt;0),CHOOSE(MATCH($D39,ListaPuestos,0),INDEX('Cronograma R. Operacional'!$O$5:$O$1000,$AH39),INDEX('Cronograma R. Normativo'!$O$5:$O$1000,$AH39),INDEX('Cronograma R. Financiero'!$O$5:$O$1000,$AH39),INDEX('Cronograma Asistente Técnico'!$O$5:$O$1000,$AH39))&amp;"",IF(ISNUMBER($G39),IF(AND(ISNUMBER($AN39),$G39&gt;$AN39),"Cumplida con "&amp;($G39-$AN39)&amp;IF($G39-$AN39=1," día"," días")&amp;" de retraso","Cumplida"),IF(N($M39)&gt;=1,"Cumplida",IF(NOT(ISNUMBER($AN39)),"Sin fecha límite",IF($AN39&lt;FechaRef,"Vencida hace "&amp;(FechaRef-$AN39)&amp;IF(FechaRef-$AN39=1," día"," días"),IF($AN39=FechaRef,"Vence hoy",IF($AN39-FechaRef&lt;=DiasAlerta,"Vence en "&amp;($AN39-FechaRef)&amp;IF($AN39-FechaRef=1," día"," días"),"En plazo"))))))))</f>
        <v/>
      </c>
      <c r="P39" s="62">
        <f>IF(NOT((COUNTA($B39:$D39)+COUNTA($G39:$L39)+COUNTA($Q39))&gt;0),"",IF($D39="","Propia",IF($V39&lt;&gt;"Macro","Solo se delegan macroactividades",IF(N($AH39)&gt;0,"✔ Recibida por "&amp;$D39,"⚠ "&amp;$D39&amp;" aún no la agrega"))))</f>
        <v/>
      </c>
      <c r="Q39" s="58" t="n"/>
      <c r="R39" s="63">
        <f>IF(NOT((COUNTA($B39:$D39)+COUNTA($G39:$L39)+COUNTA($Q39))&gt;0),"",IF((IF($C39="","Falta el nombre de la actividad"&amp;" · ","")&amp;IF(AND($V39="Sub",N($U39)=0),"Subactividad sin macroactividad arriba"&amp;" · ","")&amp;IF($AM39="","Sin fecha de inicio"&amp;" · ","")&amp;IF($AN39="","Sin fecha límite"&amp;" · ","")&amp;IF(AND(LEFT($C39,11)="[Jefatura] ",N($AL39)=0),"No se encuentra en la hoja de la jefatura (elíjala de nuevo en la lista)"&amp;" · ","")&amp;IF(OR(AND($E39&lt;&gt;"",NOT(ISNUMBER($E39))),AND($F39&lt;&gt;"",NOT(ISNUMBER($F39))),AND($G39&lt;&gt;"",NOT(ISNUMBER($G39)))),"Fecha no válida"&amp;" · ","")&amp;IF(AND(ISNUMBER($AM39),ISNUMBER($AN39),$AM39&gt;$AN39),"Inicio posterior a fecha límite"&amp;" · ","")&amp;IF(AND($V39="Macro",$H39&lt;&gt;"",OR(NOT(ISNUMBER($H39)),$H39&lt;0,$H39&gt;1)),"Peso fuera de rango"&amp;" · ","")&amp;IF(AND($V39="Sub",$H39&lt;&gt;""),"Las subactividades no llevan peso (valen igual dentro de su macroactividad)"&amp;" · ","")&amp;IF(AND(N($W39)&gt;0,COUNT($I39:$L39)&gt;0),"Con subactividades: deje vacías las semanas (se calculan solas)"&amp;" · ","")&amp;IF((COUNTIF($I39:$L39,"&gt;1")+COUNTIF($I39:$L39,"&lt;0")+COUNTA($I39:$L39)-COUNT($I39:$L39))&gt;0,"Avance fuera de rango 0-100%"&amp;" · ","")&amp;IF(OR(AND($J39&lt;&gt;"",$J39&lt;$I39),AND($K39&lt;&gt;"",$K39&lt;MAX($I39:$J39)),AND($L39&lt;&gt;"",$L39&lt;MAX($I39:$K39))),"Avance semanal decreciente"&amp;" · ","")&amp;IF(AND(ISNUMBER($AN39),$AN39&lt;FechaRef,IF($V39="Sub",N($X39),N($M39))&lt;1),"Vencida"&amp;" · ","")&amp;IF(AND(ObsObligatoria="Sí",ISNUMBER($AN39),$AN39&lt;FechaRef,IF($V39="Sub",N($X39),N($M39))&lt;1,$Q39=""),"Vencida sin observación"&amp;" · ",""))="","✔ OK","⚠ "&amp;LEFT(IF($C39="","Falta el nombre de la actividad"&amp;" · ","")&amp;IF(AND($V39="Sub",N($U39)=0),"Subactividad sin macroactividad arriba"&amp;" · ","")&amp;IF($AM39="","Sin fecha de inicio"&amp;" · ","")&amp;IF($AN39="","Sin fecha límite"&amp;" · ","")&amp;IF(AND(LEFT($C39,11)="[Jefatura] ",N($AL39)=0),"No se encuentra en la hoja de la jefatura (elíjala de nuevo en la lista)"&amp;" · ","")&amp;IF(OR(AND($E39&lt;&gt;"",NOT(ISNUMBER($E39))),AND($F39&lt;&gt;"",NOT(ISNUMBER($F39))),AND($G39&lt;&gt;"",NOT(ISNUMBER($G39)))),"Fecha no válida"&amp;" · ","")&amp;IF(AND(ISNUMBER($AM39),ISNUMBER($AN39),$AM39&gt;$AN39),"Inicio posterior a fecha límite"&amp;" · ","")&amp;IF(AND($V39="Macro",$H39&lt;&gt;"",OR(NOT(ISNUMBER($H39)),$H39&lt;0,$H39&gt;1)),"Peso fuera de rango"&amp;" · ","")&amp;IF(AND($V39="Sub",$H39&lt;&gt;""),"Las subactividades no llevan peso (valen igual dentro de su macroactividad)"&amp;" · ","")&amp;IF(AND(N($W39)&gt;0,COUNT($I39:$L39)&gt;0),"Con subactividades: deje vacías las semanas (se calculan solas)"&amp;" · ","")&amp;IF((COUNTIF($I39:$L39,"&gt;1")+COUNTIF($I39:$L39,"&lt;0")+COUNTA($I39:$L39)-COUNT($I39:$L39))&gt;0,"Avance fuera de rango 0-100%"&amp;" · ","")&amp;IF(OR(AND($J39&lt;&gt;"",$J39&lt;$I39),AND($K39&lt;&gt;"",$K39&lt;MAX($I39:$J39)),AND($L39&lt;&gt;"",$L39&lt;MAX($I39:$K39))),"Avance semanal decreciente"&amp;" · ","")&amp;IF(AND(ISNUMBER($AN39),$AN39&lt;FechaRef,IF($V39="Sub",N($X39),N($M39))&lt;1),"Vencida"&amp;" · ","")&amp;IF(AND(ObsObligatoria="Sí",ISNUMBER($AN39),$AN39&lt;FechaRef,IF($V39="Sub",N($X39),N($M39))&lt;1,$Q39=""),"Vencida sin observación"&amp;" · ",""),LEN(IF($C39="","Falta el nombre de la actividad"&amp;" · ","")&amp;IF(AND($V39="Sub",N($U39)=0),"Subactividad sin macroactividad arriba"&amp;" · ","")&amp;IF($AM39="","Sin fecha de inicio"&amp;" · ","")&amp;IF($AN39="","Sin fecha límite"&amp;" · ","")&amp;IF(AND(LEFT($C39,11)="[Jefatura] ",N($AL39)=0),"No se encuentra en la hoja de la jefatura (elíjala de nuevo en la lista)"&amp;" · ","")&amp;IF(OR(AND($E39&lt;&gt;"",NOT(ISNUMBER($E39))),AND($F39&lt;&gt;"",NOT(ISNUMBER($F39))),AND($G39&lt;&gt;"",NOT(ISNUMBER($G39)))),"Fecha no válida"&amp;" · ","")&amp;IF(AND(ISNUMBER($AM39),ISNUMBER($AN39),$AM39&gt;$AN39),"Inicio posterior a fecha límite"&amp;" · ","")&amp;IF(AND($V39="Macro",$H39&lt;&gt;"",OR(NOT(ISNUMBER($H39)),$H39&lt;0,$H39&gt;1)),"Peso fuera de rango"&amp;" · ","")&amp;IF(AND($V39="Sub",$H39&lt;&gt;""),"Las subactividades no llevan peso (valen igual dentro de su macroactividad)"&amp;" · ","")&amp;IF(AND(N($W39)&gt;0,COUNT($I39:$L39)&gt;0),"Con subactividades: deje vacías las semanas (se calculan solas)"&amp;" · ","")&amp;IF((COUNTIF($I39:$L39,"&gt;1")+COUNTIF($I39:$L39,"&lt;0")+COUNTA($I39:$L39)-COUNT($I39:$L39))&gt;0,"Avance fuera de rango 0-100%"&amp;" · ","")&amp;IF(OR(AND($J39&lt;&gt;"",$J39&lt;$I39),AND($K39&lt;&gt;"",$K39&lt;MAX($I39:$J39)),AND($L39&lt;&gt;"",$L39&lt;MAX($I39:$K39))),"Avance semanal decreciente"&amp;" · ","")&amp;IF(AND(ISNUMBER($AN39),$AN39&lt;FechaRef,IF($V39="Sub",N($X39),N($M39))&lt;1),"Vencida"&amp;" · ","")&amp;IF(AND(ObsObligatoria="Sí",ISNUMBER($AN39),$AN39&lt;FechaRef,IF($V39="Sub",N($X39),N($M39))&lt;1,$Q39=""),"Vencida sin observación"&amp;" · ",""))-3)))</f>
        <v/>
      </c>
      <c r="S39" s="64">
        <f>IF(NOT((COUNTA($B39:$D39)+COUNTA($G39:$L39)+COUNTA($Q39))&gt;0),"",IF(AND($V39="Sub",N($U39)&gt;0),IF(ISNUMBER(INDEX($AM$5:$AM$1000,$U39-4)),DATE(YEAR(INDEX($AM$5:$AM$1000,$U39-4)),MONTH(INDEX($AM$5:$AM$1000,$U39-4)),1),IF(ISNUMBER(INDEX($AN$5:$AN$1000,$U39-4)),DATE(YEAR(INDEX($AN$5:$AN$1000,$U39-4)),MONTH(INDEX($AN$5:$AN$1000,$U39-4)),1),MesCiclo)),IF(ISNUMBER($AM39),DATE(YEAR($AM39),MONTH($AM39),1),IF(ISNUMBER($AN39),DATE(YEAR($AN39),MONTH($AN39),1),MesCiclo))))</f>
        <v/>
      </c>
      <c r="T39" s="62">
        <f>IF(OR($S39="",$S39&lt;&gt;MesCiclo,$V39&lt;&gt;"Macro"),"",COUNTIFS($S$5:$S39,MesCiclo,$V$5:$V39,"Macro"))</f>
        <v/>
      </c>
      <c r="U39" s="62">
        <f>IF($V39="","",IF($V39="Macro",ROW(),IFERROR(LOOKUP(2,1/($V$5:$V39="Macro"),ROW($V$5:$V39)),0)))</f>
        <v/>
      </c>
      <c r="V39" s="62">
        <f>IF(NOT((COUNTA($B39:$D39)+COUNTA($G39:$L39)+COUNTA($Q39))&gt;0),"",IF($B39="Subactividad","Sub","Macro"))</f>
        <v/>
      </c>
      <c r="W39" s="62">
        <f>IF($V39="Macro",COUNTIFS($U$5:$U$1000,ROW(),$V$5:$V$1000,"Sub"),"")</f>
        <v/>
      </c>
      <c r="X39" s="62">
        <f>IF($V39="","",IF(ISNUMBER($G39),1,IFERROR(LOOKUP(2,1/($I39:$L39&lt;&gt;""),$I39:$L39),0)))</f>
        <v/>
      </c>
      <c r="Y39" s="62">
        <f>IF($V39="","",IF(AND(ISNUMBER($G39),$G39&lt;=IF($S39=MesCiclo,InicioCiclo,$S39+MOD(2-WEEKDAY($S39),7))+6),1,IF(ISNUMBER($I39),$I39,0)))</f>
        <v/>
      </c>
      <c r="Z39" s="62">
        <f>IF($V39="","",IF(AND(ISNUMBER($G39),$G39&lt;=IF($S39=MesCiclo,InicioCiclo,$S39+MOD(2-WEEKDAY($S39),7))+13),1,IF(ISNUMBER($J39),$J39,$Y39)))</f>
        <v/>
      </c>
      <c r="AA39" s="62">
        <f>IF($V39="","",IF(AND(ISNUMBER($G39),$G39&lt;=IF($S39=MesCiclo,InicioCiclo,$S39+MOD(2-WEEKDAY($S39),7))+20),1,IF(ISNUMBER($K39),$K39,$Z39)))</f>
        <v/>
      </c>
      <c r="AB39" s="62">
        <f>IF($V39="","",IF(AND(ISNUMBER($G39),$G39&lt;=IF($S39=MesCiclo,InicioCiclo,$S39+MOD(2-WEEKDAY($S39),7))+27),1,IF(ISNUMBER($L39),$L39,$AA39)))</f>
        <v/>
      </c>
      <c r="AC39" s="62">
        <f>IF($V39="","",IF(AND(ISNUMBER($G39),$G39&lt;=IF($S39=MesCiclo,InicioCiclo,$S39+MOD(2-WEEKDAY($S39),7))+6),1,IF(N($W39)&gt;0,AVERAGEIFS($Y$5:$Y$1000,$U$5:$U$1000,ROW(),$V$5:$V$1000,"Sub"),$Y39)))</f>
        <v/>
      </c>
      <c r="AD39" s="62">
        <f>IF($V39="","",IF(AND(ISNUMBER($G39),$G39&lt;=IF($S39=MesCiclo,InicioCiclo,$S39+MOD(2-WEEKDAY($S39),7))+13),1,IF(N($W39)&gt;0,AVERAGEIFS($Z$5:$Z$1000,$U$5:$U$1000,ROW(),$V$5:$V$1000,"Sub"),$Z39)))</f>
        <v/>
      </c>
      <c r="AE39" s="62">
        <f>IF($V39="","",IF(AND(ISNUMBER($G39),$G39&lt;=IF($S39=MesCiclo,InicioCiclo,$S39+MOD(2-WEEKDAY($S39),7))+20),1,IF(N($W39)&gt;0,AVERAGEIFS($AA$5:$AA$1000,$U$5:$U$1000,ROW(),$V$5:$V$1000,"Sub"),$AA39)))</f>
        <v/>
      </c>
      <c r="AF39" s="62">
        <f>IF($V39="","",IF(AND(ISNUMBER($G39),$G39&lt;=IF($S39=MesCiclo,InicioCiclo,$S39+MOD(2-WEEKDAY($S39),7))+27),1,IF(N($W39)&gt;0,AVERAGEIFS($AB$5:$AB$1000,$U$5:$U$1000,ROW(),$V$5:$V$1000,"Sub"),$AB39)))</f>
        <v/>
      </c>
      <c r="AG39" s="62">
        <f>IF($V39&lt;&gt;"Macro","",IF(COUNTIFS($S$5:$S$1000,$S39,$V$5:$V$1000,"Macro",$H$5:$H$1000,"&gt;0")=0,1/COUNTIFS($S$5:$S$1000,$S39,$V$5:$V$1000,"Macro"),IF(AND(ISNUMBER($H39),N($H39)&gt;0),$H39,SUMIFS($H$5:$H$1000,$S$5:$S$1000,$S39,$V$5:$V$1000,"Macro")/COUNTIFS($S$5:$S$1000,$S39,$V$5:$V$1000,"Macro",$H$5:$H$1000,"&gt;0"))/(COUNTIFS($S$5:$S$1000,$S39,$V$5:$V$1000,"Macro")*SUMIFS($H$5:$H$1000,$S$5:$S$1000,$S39,$V$5:$V$1000,"Macro")/COUNTIFS($S$5:$S$1000,$S39,$V$5:$V$1000,"Macro",$H$5:$H$1000,"&gt;0"))))</f>
        <v/>
      </c>
      <c r="AH39" s="62">
        <f>IF(NOT(AND($D39&lt;&gt;"",$V39="Macro")),"",IFERROR(CHOOSE(MATCH($D39,ListaPuestos,0),MATCH("[Jefatura] "&amp;$C39,'Cronograma R. Operacional'!$C$5:$C$1000,0),MATCH("[Jefatura] "&amp;$C39,'Cronograma R. Normativo'!$C$5:$C$1000,0),MATCH("[Jefatura] "&amp;$C39,'Cronograma R. Financiero'!$C$5:$C$1000,0),MATCH("[Jefatura] "&amp;$C39,'Cronograma Asistente Técnico'!$C$5:$C$1000,0)),0))</f>
        <v/>
      </c>
      <c r="AI39" s="62">
        <f>IF(AND(AND($D39&lt;&gt;"",$V39="Macro"),$S39=MesCiclo),COUNTIFS($D$5:$D39,$D39,$S$5:$S39,MesCiclo,$V$5:$V39,"Macro"),"")</f>
        <v/>
      </c>
      <c r="AJ39" s="62">
        <f>IF($AI39="","",$D39&amp;"|"&amp;$AI39)</f>
        <v/>
      </c>
      <c r="AK39" s="62">
        <f>IF(AND($D39&lt;&gt;"",$V39="Macro"),$D39&amp;"|"&amp;$C39,"")</f>
        <v/>
      </c>
      <c r="AL39" s="62">
        <f>""</f>
        <v/>
      </c>
      <c r="AM39" s="62">
        <f>IF(N($AL39)&gt;0,INDEX(rIni_ADM,$AL39),IF(ISNUMBER($E39),$E39,""))</f>
        <v/>
      </c>
      <c r="AN39" s="62">
        <f>IF(N($AL39)&gt;0,INDEX(rLim_ADM,$AL39),IF(ISNUMBER($F39),$F39,""))</f>
        <v/>
      </c>
    </row>
    <row r="40">
      <c r="A40" s="56">
        <f>IF(NOT((COUNTA($B40:$D40)+COUNTA($G40:$L40)+COUNTA($Q40))&gt;0),"",IF($V40="Macro",COUNTIFS($V$5:$V40,"Macro",$S$5:$S40,$S40),IF(N($U40)=0,"?",COUNTIFS(INDEX($V$5:$V$1000,1):INDEX($V$5:$V$1000,$U40-4),"Macro",INDEX($S$5:$S$1000,1):INDEX($S$5:$S$1000,$U40-4),INDEX($S$5:$S$1000,$U40-4))&amp;"."&amp;COUNTIFS($U$5:$U40,$U40,$V$5:$V40,"Sub"))))</f>
        <v/>
      </c>
      <c r="B40" s="57" t="n"/>
      <c r="C40" s="58" t="n"/>
      <c r="D40" s="58" t="n"/>
      <c r="E40" s="59" t="n"/>
      <c r="F40" s="59" t="n"/>
      <c r="G40" s="59" t="n"/>
      <c r="H40" s="60" t="n"/>
      <c r="I40" s="60" t="n"/>
      <c r="J40" s="60" t="n"/>
      <c r="K40" s="60" t="n"/>
      <c r="L40" s="60" t="n"/>
      <c r="M40" s="61">
        <f>IF(NOT((COUNTA($B40:$D40)+COUNTA($G40:$L40)+COUNTA($Q40))&gt;0),"",IF(AND($D40&lt;&gt;"",$V40="Macro"),IF(N($AH40)&gt;0,N(CHOOSE(MATCH($D40,ListaPuestos,0),INDEX('Cronograma R. Operacional'!$M$5:$M$1000,$AH40),INDEX('Cronograma R. Normativo'!$M$5:$M$1000,$AH40),INDEX('Cronograma R. Financiero'!$M$5:$M$1000,$AH40),INDEX('Cronograma Asistente Técnico'!$M$5:$M$1000,$AH40))),0),IF(ISNUMBER($G40),1,IF(N($W40)&gt;0,AVERAGEIFS($X$5:$X$1000,$U$5:$U$1000,ROW(),$V$5:$V$1000,"Sub"),$X40))))</f>
        <v/>
      </c>
      <c r="N40" s="56">
        <f>IF(OR($M40="",$V40="Sub"),"",IF($M40&gt;=1,"Completado",IF($M40&gt;0,"En curso","Pendiente")))</f>
        <v/>
      </c>
      <c r="O40" s="56">
        <f>IF(NOT((COUNTA($B40:$D40)+COUNTA($G40:$L40)+COUNTA($Q40))&gt;0),"",IF(AND(AND($D40&lt;&gt;"",$V40="Macro"),N($AH40)&gt;0),CHOOSE(MATCH($D40,ListaPuestos,0),INDEX('Cronograma R. Operacional'!$O$5:$O$1000,$AH40),INDEX('Cronograma R. Normativo'!$O$5:$O$1000,$AH40),INDEX('Cronograma R. Financiero'!$O$5:$O$1000,$AH40),INDEX('Cronograma Asistente Técnico'!$O$5:$O$1000,$AH40))&amp;"",IF(ISNUMBER($G40),IF(AND(ISNUMBER($AN40),$G40&gt;$AN40),"Cumplida con "&amp;($G40-$AN40)&amp;IF($G40-$AN40=1," día"," días")&amp;" de retraso","Cumplida"),IF(N($M40)&gt;=1,"Cumplida",IF(NOT(ISNUMBER($AN40)),"Sin fecha límite",IF($AN40&lt;FechaRef,"Vencida hace "&amp;(FechaRef-$AN40)&amp;IF(FechaRef-$AN40=1," día"," días"),IF($AN40=FechaRef,"Vence hoy",IF($AN40-FechaRef&lt;=DiasAlerta,"Vence en "&amp;($AN40-FechaRef)&amp;IF($AN40-FechaRef=1," día"," días"),"En plazo"))))))))</f>
        <v/>
      </c>
      <c r="P40" s="62">
        <f>IF(NOT((COUNTA($B40:$D40)+COUNTA($G40:$L40)+COUNTA($Q40))&gt;0),"",IF($D40="","Propia",IF($V40&lt;&gt;"Macro","Solo se delegan macroactividades",IF(N($AH40)&gt;0,"✔ Recibida por "&amp;$D40,"⚠ "&amp;$D40&amp;" aún no la agrega"))))</f>
        <v/>
      </c>
      <c r="Q40" s="58" t="n"/>
      <c r="R40" s="63">
        <f>IF(NOT((COUNTA($B40:$D40)+COUNTA($G40:$L40)+COUNTA($Q40))&gt;0),"",IF((IF($C40="","Falta el nombre de la actividad"&amp;" · ","")&amp;IF(AND($V40="Sub",N($U40)=0),"Subactividad sin macroactividad arriba"&amp;" · ","")&amp;IF($AM40="","Sin fecha de inicio"&amp;" · ","")&amp;IF($AN40="","Sin fecha límite"&amp;" · ","")&amp;IF(AND(LEFT($C40,11)="[Jefatura] ",N($AL40)=0),"No se encuentra en la hoja de la jefatura (elíjala de nuevo en la lista)"&amp;" · ","")&amp;IF(OR(AND($E40&lt;&gt;"",NOT(ISNUMBER($E40))),AND($F40&lt;&gt;"",NOT(ISNUMBER($F40))),AND($G40&lt;&gt;"",NOT(ISNUMBER($G40)))),"Fecha no válida"&amp;" · ","")&amp;IF(AND(ISNUMBER($AM40),ISNUMBER($AN40),$AM40&gt;$AN40),"Inicio posterior a fecha límite"&amp;" · ","")&amp;IF(AND($V40="Macro",$H40&lt;&gt;"",OR(NOT(ISNUMBER($H40)),$H40&lt;0,$H40&gt;1)),"Peso fuera de rango"&amp;" · ","")&amp;IF(AND($V40="Sub",$H40&lt;&gt;""),"Las subactividades no llevan peso (valen igual dentro de su macroactividad)"&amp;" · ","")&amp;IF(AND(N($W40)&gt;0,COUNT($I40:$L40)&gt;0),"Con subactividades: deje vacías las semanas (se calculan solas)"&amp;" · ","")&amp;IF((COUNTIF($I40:$L40,"&gt;1")+COUNTIF($I40:$L40,"&lt;0")+COUNTA($I40:$L40)-COUNT($I40:$L40))&gt;0,"Avance fuera de rango 0-100%"&amp;" · ","")&amp;IF(OR(AND($J40&lt;&gt;"",$J40&lt;$I40),AND($K40&lt;&gt;"",$K40&lt;MAX($I40:$J40)),AND($L40&lt;&gt;"",$L40&lt;MAX($I40:$K40))),"Avance semanal decreciente"&amp;" · ","")&amp;IF(AND(ISNUMBER($AN40),$AN40&lt;FechaRef,IF($V40="Sub",N($X40),N($M40))&lt;1),"Vencida"&amp;" · ","")&amp;IF(AND(ObsObligatoria="Sí",ISNUMBER($AN40),$AN40&lt;FechaRef,IF($V40="Sub",N($X40),N($M40))&lt;1,$Q40=""),"Vencida sin observación"&amp;" · ",""))="","✔ OK","⚠ "&amp;LEFT(IF($C40="","Falta el nombre de la actividad"&amp;" · ","")&amp;IF(AND($V40="Sub",N($U40)=0),"Subactividad sin macroactividad arriba"&amp;" · ","")&amp;IF($AM40="","Sin fecha de inicio"&amp;" · ","")&amp;IF($AN40="","Sin fecha límite"&amp;" · ","")&amp;IF(AND(LEFT($C40,11)="[Jefatura] ",N($AL40)=0),"No se encuentra en la hoja de la jefatura (elíjala de nuevo en la lista)"&amp;" · ","")&amp;IF(OR(AND($E40&lt;&gt;"",NOT(ISNUMBER($E40))),AND($F40&lt;&gt;"",NOT(ISNUMBER($F40))),AND($G40&lt;&gt;"",NOT(ISNUMBER($G40)))),"Fecha no válida"&amp;" · ","")&amp;IF(AND(ISNUMBER($AM40),ISNUMBER($AN40),$AM40&gt;$AN40),"Inicio posterior a fecha límite"&amp;" · ","")&amp;IF(AND($V40="Macro",$H40&lt;&gt;"",OR(NOT(ISNUMBER($H40)),$H40&lt;0,$H40&gt;1)),"Peso fuera de rango"&amp;" · ","")&amp;IF(AND($V40="Sub",$H40&lt;&gt;""),"Las subactividades no llevan peso (valen igual dentro de su macroactividad)"&amp;" · ","")&amp;IF(AND(N($W40)&gt;0,COUNT($I40:$L40)&gt;0),"Con subactividades: deje vacías las semanas (se calculan solas)"&amp;" · ","")&amp;IF((COUNTIF($I40:$L40,"&gt;1")+COUNTIF($I40:$L40,"&lt;0")+COUNTA($I40:$L40)-COUNT($I40:$L40))&gt;0,"Avance fuera de rango 0-100%"&amp;" · ","")&amp;IF(OR(AND($J40&lt;&gt;"",$J40&lt;$I40),AND($K40&lt;&gt;"",$K40&lt;MAX($I40:$J40)),AND($L40&lt;&gt;"",$L40&lt;MAX($I40:$K40))),"Avance semanal decreciente"&amp;" · ","")&amp;IF(AND(ISNUMBER($AN40),$AN40&lt;FechaRef,IF($V40="Sub",N($X40),N($M40))&lt;1),"Vencida"&amp;" · ","")&amp;IF(AND(ObsObligatoria="Sí",ISNUMBER($AN40),$AN40&lt;FechaRef,IF($V40="Sub",N($X40),N($M40))&lt;1,$Q40=""),"Vencida sin observación"&amp;" · ",""),LEN(IF($C40="","Falta el nombre de la actividad"&amp;" · ","")&amp;IF(AND($V40="Sub",N($U40)=0),"Subactividad sin macroactividad arriba"&amp;" · ","")&amp;IF($AM40="","Sin fecha de inicio"&amp;" · ","")&amp;IF($AN40="","Sin fecha límite"&amp;" · ","")&amp;IF(AND(LEFT($C40,11)="[Jefatura] ",N($AL40)=0),"No se encuentra en la hoja de la jefatura (elíjala de nuevo en la lista)"&amp;" · ","")&amp;IF(OR(AND($E40&lt;&gt;"",NOT(ISNUMBER($E40))),AND($F40&lt;&gt;"",NOT(ISNUMBER($F40))),AND($G40&lt;&gt;"",NOT(ISNUMBER($G40)))),"Fecha no válida"&amp;" · ","")&amp;IF(AND(ISNUMBER($AM40),ISNUMBER($AN40),$AM40&gt;$AN40),"Inicio posterior a fecha límite"&amp;" · ","")&amp;IF(AND($V40="Macro",$H40&lt;&gt;"",OR(NOT(ISNUMBER($H40)),$H40&lt;0,$H40&gt;1)),"Peso fuera de rango"&amp;" · ","")&amp;IF(AND($V40="Sub",$H40&lt;&gt;""),"Las subactividades no llevan peso (valen igual dentro de su macroactividad)"&amp;" · ","")&amp;IF(AND(N($W40)&gt;0,COUNT($I40:$L40)&gt;0),"Con subactividades: deje vacías las semanas (se calculan solas)"&amp;" · ","")&amp;IF((COUNTIF($I40:$L40,"&gt;1")+COUNTIF($I40:$L40,"&lt;0")+COUNTA($I40:$L40)-COUNT($I40:$L40))&gt;0,"Avance fuera de rango 0-100%"&amp;" · ","")&amp;IF(OR(AND($J40&lt;&gt;"",$J40&lt;$I40),AND($K40&lt;&gt;"",$K40&lt;MAX($I40:$J40)),AND($L40&lt;&gt;"",$L40&lt;MAX($I40:$K40))),"Avance semanal decreciente"&amp;" · ","")&amp;IF(AND(ISNUMBER($AN40),$AN40&lt;FechaRef,IF($V40="Sub",N($X40),N($M40))&lt;1),"Vencida"&amp;" · ","")&amp;IF(AND(ObsObligatoria="Sí",ISNUMBER($AN40),$AN40&lt;FechaRef,IF($V40="Sub",N($X40),N($M40))&lt;1,$Q40=""),"Vencida sin observación"&amp;" · ",""))-3)))</f>
        <v/>
      </c>
      <c r="S40" s="64">
        <f>IF(NOT((COUNTA($B40:$D40)+COUNTA($G40:$L40)+COUNTA($Q40))&gt;0),"",IF(AND($V40="Sub",N($U40)&gt;0),IF(ISNUMBER(INDEX($AM$5:$AM$1000,$U40-4)),DATE(YEAR(INDEX($AM$5:$AM$1000,$U40-4)),MONTH(INDEX($AM$5:$AM$1000,$U40-4)),1),IF(ISNUMBER(INDEX($AN$5:$AN$1000,$U40-4)),DATE(YEAR(INDEX($AN$5:$AN$1000,$U40-4)),MONTH(INDEX($AN$5:$AN$1000,$U40-4)),1),MesCiclo)),IF(ISNUMBER($AM40),DATE(YEAR($AM40),MONTH($AM40),1),IF(ISNUMBER($AN40),DATE(YEAR($AN40),MONTH($AN40),1),MesCiclo))))</f>
        <v/>
      </c>
      <c r="T40" s="62">
        <f>IF(OR($S40="",$S40&lt;&gt;MesCiclo,$V40&lt;&gt;"Macro"),"",COUNTIFS($S$5:$S40,MesCiclo,$V$5:$V40,"Macro"))</f>
        <v/>
      </c>
      <c r="U40" s="62">
        <f>IF($V40="","",IF($V40="Macro",ROW(),IFERROR(LOOKUP(2,1/($V$5:$V40="Macro"),ROW($V$5:$V40)),0)))</f>
        <v/>
      </c>
      <c r="V40" s="62">
        <f>IF(NOT((COUNTA($B40:$D40)+COUNTA($G40:$L40)+COUNTA($Q40))&gt;0),"",IF($B40="Subactividad","Sub","Macro"))</f>
        <v/>
      </c>
      <c r="W40" s="62">
        <f>IF($V40="Macro",COUNTIFS($U$5:$U$1000,ROW(),$V$5:$V$1000,"Sub"),"")</f>
        <v/>
      </c>
      <c r="X40" s="62">
        <f>IF($V40="","",IF(ISNUMBER($G40),1,IFERROR(LOOKUP(2,1/($I40:$L40&lt;&gt;""),$I40:$L40),0)))</f>
        <v/>
      </c>
      <c r="Y40" s="62">
        <f>IF($V40="","",IF(AND(ISNUMBER($G40),$G40&lt;=IF($S40=MesCiclo,InicioCiclo,$S40+MOD(2-WEEKDAY($S40),7))+6),1,IF(ISNUMBER($I40),$I40,0)))</f>
        <v/>
      </c>
      <c r="Z40" s="62">
        <f>IF($V40="","",IF(AND(ISNUMBER($G40),$G40&lt;=IF($S40=MesCiclo,InicioCiclo,$S40+MOD(2-WEEKDAY($S40),7))+13),1,IF(ISNUMBER($J40),$J40,$Y40)))</f>
        <v/>
      </c>
      <c r="AA40" s="62">
        <f>IF($V40="","",IF(AND(ISNUMBER($G40),$G40&lt;=IF($S40=MesCiclo,InicioCiclo,$S40+MOD(2-WEEKDAY($S40),7))+20),1,IF(ISNUMBER($K40),$K40,$Z40)))</f>
        <v/>
      </c>
      <c r="AB40" s="62">
        <f>IF($V40="","",IF(AND(ISNUMBER($G40),$G40&lt;=IF($S40=MesCiclo,InicioCiclo,$S40+MOD(2-WEEKDAY($S40),7))+27),1,IF(ISNUMBER($L40),$L40,$AA40)))</f>
        <v/>
      </c>
      <c r="AC40" s="62">
        <f>IF($V40="","",IF(AND(ISNUMBER($G40),$G40&lt;=IF($S40=MesCiclo,InicioCiclo,$S40+MOD(2-WEEKDAY($S40),7))+6),1,IF(N($W40)&gt;0,AVERAGEIFS($Y$5:$Y$1000,$U$5:$U$1000,ROW(),$V$5:$V$1000,"Sub"),$Y40)))</f>
        <v/>
      </c>
      <c r="AD40" s="62">
        <f>IF($V40="","",IF(AND(ISNUMBER($G40),$G40&lt;=IF($S40=MesCiclo,InicioCiclo,$S40+MOD(2-WEEKDAY($S40),7))+13),1,IF(N($W40)&gt;0,AVERAGEIFS($Z$5:$Z$1000,$U$5:$U$1000,ROW(),$V$5:$V$1000,"Sub"),$Z40)))</f>
        <v/>
      </c>
      <c r="AE40" s="62">
        <f>IF($V40="","",IF(AND(ISNUMBER($G40),$G40&lt;=IF($S40=MesCiclo,InicioCiclo,$S40+MOD(2-WEEKDAY($S40),7))+20),1,IF(N($W40)&gt;0,AVERAGEIFS($AA$5:$AA$1000,$U$5:$U$1000,ROW(),$V$5:$V$1000,"Sub"),$AA40)))</f>
        <v/>
      </c>
      <c r="AF40" s="62">
        <f>IF($V40="","",IF(AND(ISNUMBER($G40),$G40&lt;=IF($S40=MesCiclo,InicioCiclo,$S40+MOD(2-WEEKDAY($S40),7))+27),1,IF(N($W40)&gt;0,AVERAGEIFS($AB$5:$AB$1000,$U$5:$U$1000,ROW(),$V$5:$V$1000,"Sub"),$AB40)))</f>
        <v/>
      </c>
      <c r="AG40" s="62">
        <f>IF($V40&lt;&gt;"Macro","",IF(COUNTIFS($S$5:$S$1000,$S40,$V$5:$V$1000,"Macro",$H$5:$H$1000,"&gt;0")=0,1/COUNTIFS($S$5:$S$1000,$S40,$V$5:$V$1000,"Macro"),IF(AND(ISNUMBER($H40),N($H40)&gt;0),$H40,SUMIFS($H$5:$H$1000,$S$5:$S$1000,$S40,$V$5:$V$1000,"Macro")/COUNTIFS($S$5:$S$1000,$S40,$V$5:$V$1000,"Macro",$H$5:$H$1000,"&gt;0"))/(COUNTIFS($S$5:$S$1000,$S40,$V$5:$V$1000,"Macro")*SUMIFS($H$5:$H$1000,$S$5:$S$1000,$S40,$V$5:$V$1000,"Macro")/COUNTIFS($S$5:$S$1000,$S40,$V$5:$V$1000,"Macro",$H$5:$H$1000,"&gt;0"))))</f>
        <v/>
      </c>
      <c r="AH40" s="62">
        <f>IF(NOT(AND($D40&lt;&gt;"",$V40="Macro")),"",IFERROR(CHOOSE(MATCH($D40,ListaPuestos,0),MATCH("[Jefatura] "&amp;$C40,'Cronograma R. Operacional'!$C$5:$C$1000,0),MATCH("[Jefatura] "&amp;$C40,'Cronograma R. Normativo'!$C$5:$C$1000,0),MATCH("[Jefatura] "&amp;$C40,'Cronograma R. Financiero'!$C$5:$C$1000,0),MATCH("[Jefatura] "&amp;$C40,'Cronograma Asistente Técnico'!$C$5:$C$1000,0)),0))</f>
        <v/>
      </c>
      <c r="AI40" s="62">
        <f>IF(AND(AND($D40&lt;&gt;"",$V40="Macro"),$S40=MesCiclo),COUNTIFS($D$5:$D40,$D40,$S$5:$S40,MesCiclo,$V$5:$V40,"Macro"),"")</f>
        <v/>
      </c>
      <c r="AJ40" s="62">
        <f>IF($AI40="","",$D40&amp;"|"&amp;$AI40)</f>
        <v/>
      </c>
      <c r="AK40" s="62">
        <f>IF(AND($D40&lt;&gt;"",$V40="Macro"),$D40&amp;"|"&amp;$C40,"")</f>
        <v/>
      </c>
      <c r="AL40" s="62">
        <f>""</f>
        <v/>
      </c>
      <c r="AM40" s="62">
        <f>IF(N($AL40)&gt;0,INDEX(rIni_ADM,$AL40),IF(ISNUMBER($E40),$E40,""))</f>
        <v/>
      </c>
      <c r="AN40" s="62">
        <f>IF(N($AL40)&gt;0,INDEX(rLim_ADM,$AL40),IF(ISNUMBER($F40),$F40,""))</f>
        <v/>
      </c>
    </row>
    <row r="41">
      <c r="A41" s="56">
        <f>IF(NOT((COUNTA($B41:$D41)+COUNTA($G41:$L41)+COUNTA($Q41))&gt;0),"",IF($V41="Macro",COUNTIFS($V$5:$V41,"Macro",$S$5:$S41,$S41),IF(N($U41)=0,"?",COUNTIFS(INDEX($V$5:$V$1000,1):INDEX($V$5:$V$1000,$U41-4),"Macro",INDEX($S$5:$S$1000,1):INDEX($S$5:$S$1000,$U41-4),INDEX($S$5:$S$1000,$U41-4))&amp;"."&amp;COUNTIFS($U$5:$U41,$U41,$V$5:$V41,"Sub"))))</f>
        <v/>
      </c>
      <c r="B41" s="57" t="n"/>
      <c r="C41" s="58" t="n"/>
      <c r="D41" s="58" t="n"/>
      <c r="E41" s="59" t="n"/>
      <c r="F41" s="59" t="n"/>
      <c r="G41" s="59" t="n"/>
      <c r="H41" s="60" t="n"/>
      <c r="I41" s="60" t="n"/>
      <c r="J41" s="60" t="n"/>
      <c r="K41" s="60" t="n"/>
      <c r="L41" s="60" t="n"/>
      <c r="M41" s="61">
        <f>IF(NOT((COUNTA($B41:$D41)+COUNTA($G41:$L41)+COUNTA($Q41))&gt;0),"",IF(AND($D41&lt;&gt;"",$V41="Macro"),IF(N($AH41)&gt;0,N(CHOOSE(MATCH($D41,ListaPuestos,0),INDEX('Cronograma R. Operacional'!$M$5:$M$1000,$AH41),INDEX('Cronograma R. Normativo'!$M$5:$M$1000,$AH41),INDEX('Cronograma R. Financiero'!$M$5:$M$1000,$AH41),INDEX('Cronograma Asistente Técnico'!$M$5:$M$1000,$AH41))),0),IF(ISNUMBER($G41),1,IF(N($W41)&gt;0,AVERAGEIFS($X$5:$X$1000,$U$5:$U$1000,ROW(),$V$5:$V$1000,"Sub"),$X41))))</f>
        <v/>
      </c>
      <c r="N41" s="56">
        <f>IF(OR($M41="",$V41="Sub"),"",IF($M41&gt;=1,"Completado",IF($M41&gt;0,"En curso","Pendiente")))</f>
        <v/>
      </c>
      <c r="O41" s="56">
        <f>IF(NOT((COUNTA($B41:$D41)+COUNTA($G41:$L41)+COUNTA($Q41))&gt;0),"",IF(AND(AND($D41&lt;&gt;"",$V41="Macro"),N($AH41)&gt;0),CHOOSE(MATCH($D41,ListaPuestos,0),INDEX('Cronograma R. Operacional'!$O$5:$O$1000,$AH41),INDEX('Cronograma R. Normativo'!$O$5:$O$1000,$AH41),INDEX('Cronograma R. Financiero'!$O$5:$O$1000,$AH41),INDEX('Cronograma Asistente Técnico'!$O$5:$O$1000,$AH41))&amp;"",IF(ISNUMBER($G41),IF(AND(ISNUMBER($AN41),$G41&gt;$AN41),"Cumplida con "&amp;($G41-$AN41)&amp;IF($G41-$AN41=1," día"," días")&amp;" de retraso","Cumplida"),IF(N($M41)&gt;=1,"Cumplida",IF(NOT(ISNUMBER($AN41)),"Sin fecha límite",IF($AN41&lt;FechaRef,"Vencida hace "&amp;(FechaRef-$AN41)&amp;IF(FechaRef-$AN41=1," día"," días"),IF($AN41=FechaRef,"Vence hoy",IF($AN41-FechaRef&lt;=DiasAlerta,"Vence en "&amp;($AN41-FechaRef)&amp;IF($AN41-FechaRef=1," día"," días"),"En plazo"))))))))</f>
        <v/>
      </c>
      <c r="P41" s="62">
        <f>IF(NOT((COUNTA($B41:$D41)+COUNTA($G41:$L41)+COUNTA($Q41))&gt;0),"",IF($D41="","Propia",IF($V41&lt;&gt;"Macro","Solo se delegan macroactividades",IF(N($AH41)&gt;0,"✔ Recibida por "&amp;$D41,"⚠ "&amp;$D41&amp;" aún no la agrega"))))</f>
        <v/>
      </c>
      <c r="Q41" s="58" t="n"/>
      <c r="R41" s="63">
        <f>IF(NOT((COUNTA($B41:$D41)+COUNTA($G41:$L41)+COUNTA($Q41))&gt;0),"",IF((IF($C41="","Falta el nombre de la actividad"&amp;" · ","")&amp;IF(AND($V41="Sub",N($U41)=0),"Subactividad sin macroactividad arriba"&amp;" · ","")&amp;IF($AM41="","Sin fecha de inicio"&amp;" · ","")&amp;IF($AN41="","Sin fecha límite"&amp;" · ","")&amp;IF(AND(LEFT($C41,11)="[Jefatura] ",N($AL41)=0),"No se encuentra en la hoja de la jefatura (elíjala de nuevo en la lista)"&amp;" · ","")&amp;IF(OR(AND($E41&lt;&gt;"",NOT(ISNUMBER($E41))),AND($F41&lt;&gt;"",NOT(ISNUMBER($F41))),AND($G41&lt;&gt;"",NOT(ISNUMBER($G41)))),"Fecha no válida"&amp;" · ","")&amp;IF(AND(ISNUMBER($AM41),ISNUMBER($AN41),$AM41&gt;$AN41),"Inicio posterior a fecha límite"&amp;" · ","")&amp;IF(AND($V41="Macro",$H41&lt;&gt;"",OR(NOT(ISNUMBER($H41)),$H41&lt;0,$H41&gt;1)),"Peso fuera de rango"&amp;" · ","")&amp;IF(AND($V41="Sub",$H41&lt;&gt;""),"Las subactividades no llevan peso (valen igual dentro de su macroactividad)"&amp;" · ","")&amp;IF(AND(N($W41)&gt;0,COUNT($I41:$L41)&gt;0),"Con subactividades: deje vacías las semanas (se calculan solas)"&amp;" · ","")&amp;IF((COUNTIF($I41:$L41,"&gt;1")+COUNTIF($I41:$L41,"&lt;0")+COUNTA($I41:$L41)-COUNT($I41:$L41))&gt;0,"Avance fuera de rango 0-100%"&amp;" · ","")&amp;IF(OR(AND($J41&lt;&gt;"",$J41&lt;$I41),AND($K41&lt;&gt;"",$K41&lt;MAX($I41:$J41)),AND($L41&lt;&gt;"",$L41&lt;MAX($I41:$K41))),"Avance semanal decreciente"&amp;" · ","")&amp;IF(AND(ISNUMBER($AN41),$AN41&lt;FechaRef,IF($V41="Sub",N($X41),N($M41))&lt;1),"Vencida"&amp;" · ","")&amp;IF(AND(ObsObligatoria="Sí",ISNUMBER($AN41),$AN41&lt;FechaRef,IF($V41="Sub",N($X41),N($M41))&lt;1,$Q41=""),"Vencida sin observación"&amp;" · ",""))="","✔ OK","⚠ "&amp;LEFT(IF($C41="","Falta el nombre de la actividad"&amp;" · ","")&amp;IF(AND($V41="Sub",N($U41)=0),"Subactividad sin macroactividad arriba"&amp;" · ","")&amp;IF($AM41="","Sin fecha de inicio"&amp;" · ","")&amp;IF($AN41="","Sin fecha límite"&amp;" · ","")&amp;IF(AND(LEFT($C41,11)="[Jefatura] ",N($AL41)=0),"No se encuentra en la hoja de la jefatura (elíjala de nuevo en la lista)"&amp;" · ","")&amp;IF(OR(AND($E41&lt;&gt;"",NOT(ISNUMBER($E41))),AND($F41&lt;&gt;"",NOT(ISNUMBER($F41))),AND($G41&lt;&gt;"",NOT(ISNUMBER($G41)))),"Fecha no válida"&amp;" · ","")&amp;IF(AND(ISNUMBER($AM41),ISNUMBER($AN41),$AM41&gt;$AN41),"Inicio posterior a fecha límite"&amp;" · ","")&amp;IF(AND($V41="Macro",$H41&lt;&gt;"",OR(NOT(ISNUMBER($H41)),$H41&lt;0,$H41&gt;1)),"Peso fuera de rango"&amp;" · ","")&amp;IF(AND($V41="Sub",$H41&lt;&gt;""),"Las subactividades no llevan peso (valen igual dentro de su macroactividad)"&amp;" · ","")&amp;IF(AND(N($W41)&gt;0,COUNT($I41:$L41)&gt;0),"Con subactividades: deje vacías las semanas (se calculan solas)"&amp;" · ","")&amp;IF((COUNTIF($I41:$L41,"&gt;1")+COUNTIF($I41:$L41,"&lt;0")+COUNTA($I41:$L41)-COUNT($I41:$L41))&gt;0,"Avance fuera de rango 0-100%"&amp;" · ","")&amp;IF(OR(AND($J41&lt;&gt;"",$J41&lt;$I41),AND($K41&lt;&gt;"",$K41&lt;MAX($I41:$J41)),AND($L41&lt;&gt;"",$L41&lt;MAX($I41:$K41))),"Avance semanal decreciente"&amp;" · ","")&amp;IF(AND(ISNUMBER($AN41),$AN41&lt;FechaRef,IF($V41="Sub",N($X41),N($M41))&lt;1),"Vencida"&amp;" · ","")&amp;IF(AND(ObsObligatoria="Sí",ISNUMBER($AN41),$AN41&lt;FechaRef,IF($V41="Sub",N($X41),N($M41))&lt;1,$Q41=""),"Vencida sin observación"&amp;" · ",""),LEN(IF($C41="","Falta el nombre de la actividad"&amp;" · ","")&amp;IF(AND($V41="Sub",N($U41)=0),"Subactividad sin macroactividad arriba"&amp;" · ","")&amp;IF($AM41="","Sin fecha de inicio"&amp;" · ","")&amp;IF($AN41="","Sin fecha límite"&amp;" · ","")&amp;IF(AND(LEFT($C41,11)="[Jefatura] ",N($AL41)=0),"No se encuentra en la hoja de la jefatura (elíjala de nuevo en la lista)"&amp;" · ","")&amp;IF(OR(AND($E41&lt;&gt;"",NOT(ISNUMBER($E41))),AND($F41&lt;&gt;"",NOT(ISNUMBER($F41))),AND($G41&lt;&gt;"",NOT(ISNUMBER($G41)))),"Fecha no válida"&amp;" · ","")&amp;IF(AND(ISNUMBER($AM41),ISNUMBER($AN41),$AM41&gt;$AN41),"Inicio posterior a fecha límite"&amp;" · ","")&amp;IF(AND($V41="Macro",$H41&lt;&gt;"",OR(NOT(ISNUMBER($H41)),$H41&lt;0,$H41&gt;1)),"Peso fuera de rango"&amp;" · ","")&amp;IF(AND($V41="Sub",$H41&lt;&gt;""),"Las subactividades no llevan peso (valen igual dentro de su macroactividad)"&amp;" · ","")&amp;IF(AND(N($W41)&gt;0,COUNT($I41:$L41)&gt;0),"Con subactividades: deje vacías las semanas (se calculan solas)"&amp;" · ","")&amp;IF((COUNTIF($I41:$L41,"&gt;1")+COUNTIF($I41:$L41,"&lt;0")+COUNTA($I41:$L41)-COUNT($I41:$L41))&gt;0,"Avance fuera de rango 0-100%"&amp;" · ","")&amp;IF(OR(AND($J41&lt;&gt;"",$J41&lt;$I41),AND($K41&lt;&gt;"",$K41&lt;MAX($I41:$J41)),AND($L41&lt;&gt;"",$L41&lt;MAX($I41:$K41))),"Avance semanal decreciente"&amp;" · ","")&amp;IF(AND(ISNUMBER($AN41),$AN41&lt;FechaRef,IF($V41="Sub",N($X41),N($M41))&lt;1),"Vencida"&amp;" · ","")&amp;IF(AND(ObsObligatoria="Sí",ISNUMBER($AN41),$AN41&lt;FechaRef,IF($V41="Sub",N($X41),N($M41))&lt;1,$Q41=""),"Vencida sin observación"&amp;" · ",""))-3)))</f>
        <v/>
      </c>
      <c r="S41" s="64">
        <f>IF(NOT((COUNTA($B41:$D41)+COUNTA($G41:$L41)+COUNTA($Q41))&gt;0),"",IF(AND($V41="Sub",N($U41)&gt;0),IF(ISNUMBER(INDEX($AM$5:$AM$1000,$U41-4)),DATE(YEAR(INDEX($AM$5:$AM$1000,$U41-4)),MONTH(INDEX($AM$5:$AM$1000,$U41-4)),1),IF(ISNUMBER(INDEX($AN$5:$AN$1000,$U41-4)),DATE(YEAR(INDEX($AN$5:$AN$1000,$U41-4)),MONTH(INDEX($AN$5:$AN$1000,$U41-4)),1),MesCiclo)),IF(ISNUMBER($AM41),DATE(YEAR($AM41),MONTH($AM41),1),IF(ISNUMBER($AN41),DATE(YEAR($AN41),MONTH($AN41),1),MesCiclo))))</f>
        <v/>
      </c>
      <c r="T41" s="62">
        <f>IF(OR($S41="",$S41&lt;&gt;MesCiclo,$V41&lt;&gt;"Macro"),"",COUNTIFS($S$5:$S41,MesCiclo,$V$5:$V41,"Macro"))</f>
        <v/>
      </c>
      <c r="U41" s="62">
        <f>IF($V41="","",IF($V41="Macro",ROW(),IFERROR(LOOKUP(2,1/($V$5:$V41="Macro"),ROW($V$5:$V41)),0)))</f>
        <v/>
      </c>
      <c r="V41" s="62">
        <f>IF(NOT((COUNTA($B41:$D41)+COUNTA($G41:$L41)+COUNTA($Q41))&gt;0),"",IF($B41="Subactividad","Sub","Macro"))</f>
        <v/>
      </c>
      <c r="W41" s="62">
        <f>IF($V41="Macro",COUNTIFS($U$5:$U$1000,ROW(),$V$5:$V$1000,"Sub"),"")</f>
        <v/>
      </c>
      <c r="X41" s="62">
        <f>IF($V41="","",IF(ISNUMBER($G41),1,IFERROR(LOOKUP(2,1/($I41:$L41&lt;&gt;""),$I41:$L41),0)))</f>
        <v/>
      </c>
      <c r="Y41" s="62">
        <f>IF($V41="","",IF(AND(ISNUMBER($G41),$G41&lt;=IF($S41=MesCiclo,InicioCiclo,$S41+MOD(2-WEEKDAY($S41),7))+6),1,IF(ISNUMBER($I41),$I41,0)))</f>
        <v/>
      </c>
      <c r="Z41" s="62">
        <f>IF($V41="","",IF(AND(ISNUMBER($G41),$G41&lt;=IF($S41=MesCiclo,InicioCiclo,$S41+MOD(2-WEEKDAY($S41),7))+13),1,IF(ISNUMBER($J41),$J41,$Y41)))</f>
        <v/>
      </c>
      <c r="AA41" s="62">
        <f>IF($V41="","",IF(AND(ISNUMBER($G41),$G41&lt;=IF($S41=MesCiclo,InicioCiclo,$S41+MOD(2-WEEKDAY($S41),7))+20),1,IF(ISNUMBER($K41),$K41,$Z41)))</f>
        <v/>
      </c>
      <c r="AB41" s="62">
        <f>IF($V41="","",IF(AND(ISNUMBER($G41),$G41&lt;=IF($S41=MesCiclo,InicioCiclo,$S41+MOD(2-WEEKDAY($S41),7))+27),1,IF(ISNUMBER($L41),$L41,$AA41)))</f>
        <v/>
      </c>
      <c r="AC41" s="62">
        <f>IF($V41="","",IF(AND(ISNUMBER($G41),$G41&lt;=IF($S41=MesCiclo,InicioCiclo,$S41+MOD(2-WEEKDAY($S41),7))+6),1,IF(N($W41)&gt;0,AVERAGEIFS($Y$5:$Y$1000,$U$5:$U$1000,ROW(),$V$5:$V$1000,"Sub"),$Y41)))</f>
        <v/>
      </c>
      <c r="AD41" s="62">
        <f>IF($V41="","",IF(AND(ISNUMBER($G41),$G41&lt;=IF($S41=MesCiclo,InicioCiclo,$S41+MOD(2-WEEKDAY($S41),7))+13),1,IF(N($W41)&gt;0,AVERAGEIFS($Z$5:$Z$1000,$U$5:$U$1000,ROW(),$V$5:$V$1000,"Sub"),$Z41)))</f>
        <v/>
      </c>
      <c r="AE41" s="62">
        <f>IF($V41="","",IF(AND(ISNUMBER($G41),$G41&lt;=IF($S41=MesCiclo,InicioCiclo,$S41+MOD(2-WEEKDAY($S41),7))+20),1,IF(N($W41)&gt;0,AVERAGEIFS($AA$5:$AA$1000,$U$5:$U$1000,ROW(),$V$5:$V$1000,"Sub"),$AA41)))</f>
        <v/>
      </c>
      <c r="AF41" s="62">
        <f>IF($V41="","",IF(AND(ISNUMBER($G41),$G41&lt;=IF($S41=MesCiclo,InicioCiclo,$S41+MOD(2-WEEKDAY($S41),7))+27),1,IF(N($W41)&gt;0,AVERAGEIFS($AB$5:$AB$1000,$U$5:$U$1000,ROW(),$V$5:$V$1000,"Sub"),$AB41)))</f>
        <v/>
      </c>
      <c r="AG41" s="62">
        <f>IF($V41&lt;&gt;"Macro","",IF(COUNTIFS($S$5:$S$1000,$S41,$V$5:$V$1000,"Macro",$H$5:$H$1000,"&gt;0")=0,1/COUNTIFS($S$5:$S$1000,$S41,$V$5:$V$1000,"Macro"),IF(AND(ISNUMBER($H41),N($H41)&gt;0),$H41,SUMIFS($H$5:$H$1000,$S$5:$S$1000,$S41,$V$5:$V$1000,"Macro")/COUNTIFS($S$5:$S$1000,$S41,$V$5:$V$1000,"Macro",$H$5:$H$1000,"&gt;0"))/(COUNTIFS($S$5:$S$1000,$S41,$V$5:$V$1000,"Macro")*SUMIFS($H$5:$H$1000,$S$5:$S$1000,$S41,$V$5:$V$1000,"Macro")/COUNTIFS($S$5:$S$1000,$S41,$V$5:$V$1000,"Macro",$H$5:$H$1000,"&gt;0"))))</f>
        <v/>
      </c>
      <c r="AH41" s="62">
        <f>IF(NOT(AND($D41&lt;&gt;"",$V41="Macro")),"",IFERROR(CHOOSE(MATCH($D41,ListaPuestos,0),MATCH("[Jefatura] "&amp;$C41,'Cronograma R. Operacional'!$C$5:$C$1000,0),MATCH("[Jefatura] "&amp;$C41,'Cronograma R. Normativo'!$C$5:$C$1000,0),MATCH("[Jefatura] "&amp;$C41,'Cronograma R. Financiero'!$C$5:$C$1000,0),MATCH("[Jefatura] "&amp;$C41,'Cronograma Asistente Técnico'!$C$5:$C$1000,0)),0))</f>
        <v/>
      </c>
      <c r="AI41" s="62">
        <f>IF(AND(AND($D41&lt;&gt;"",$V41="Macro"),$S41=MesCiclo),COUNTIFS($D$5:$D41,$D41,$S$5:$S41,MesCiclo,$V$5:$V41,"Macro"),"")</f>
        <v/>
      </c>
      <c r="AJ41" s="62">
        <f>IF($AI41="","",$D41&amp;"|"&amp;$AI41)</f>
        <v/>
      </c>
      <c r="AK41" s="62">
        <f>IF(AND($D41&lt;&gt;"",$V41="Macro"),$D41&amp;"|"&amp;$C41,"")</f>
        <v/>
      </c>
      <c r="AL41" s="62">
        <f>""</f>
        <v/>
      </c>
      <c r="AM41" s="62">
        <f>IF(N($AL41)&gt;0,INDEX(rIni_ADM,$AL41),IF(ISNUMBER($E41),$E41,""))</f>
        <v/>
      </c>
      <c r="AN41" s="62">
        <f>IF(N($AL41)&gt;0,INDEX(rLim_ADM,$AL41),IF(ISNUMBER($F41),$F41,""))</f>
        <v/>
      </c>
    </row>
    <row r="42">
      <c r="A42" s="56">
        <f>IF(NOT((COUNTA($B42:$D42)+COUNTA($G42:$L42)+COUNTA($Q42))&gt;0),"",IF($V42="Macro",COUNTIFS($V$5:$V42,"Macro",$S$5:$S42,$S42),IF(N($U42)=0,"?",COUNTIFS(INDEX($V$5:$V$1000,1):INDEX($V$5:$V$1000,$U42-4),"Macro",INDEX($S$5:$S$1000,1):INDEX($S$5:$S$1000,$U42-4),INDEX($S$5:$S$1000,$U42-4))&amp;"."&amp;COUNTIFS($U$5:$U42,$U42,$V$5:$V42,"Sub"))))</f>
        <v/>
      </c>
      <c r="B42" s="57" t="n"/>
      <c r="C42" s="58" t="n"/>
      <c r="D42" s="58" t="n"/>
      <c r="E42" s="59" t="n"/>
      <c r="F42" s="59" t="n"/>
      <c r="G42" s="59" t="n"/>
      <c r="H42" s="60" t="n"/>
      <c r="I42" s="60" t="n"/>
      <c r="J42" s="60" t="n"/>
      <c r="K42" s="60" t="n"/>
      <c r="L42" s="60" t="n"/>
      <c r="M42" s="61">
        <f>IF(NOT((COUNTA($B42:$D42)+COUNTA($G42:$L42)+COUNTA($Q42))&gt;0),"",IF(AND($D42&lt;&gt;"",$V42="Macro"),IF(N($AH42)&gt;0,N(CHOOSE(MATCH($D42,ListaPuestos,0),INDEX('Cronograma R. Operacional'!$M$5:$M$1000,$AH42),INDEX('Cronograma R. Normativo'!$M$5:$M$1000,$AH42),INDEX('Cronograma R. Financiero'!$M$5:$M$1000,$AH42),INDEX('Cronograma Asistente Técnico'!$M$5:$M$1000,$AH42))),0),IF(ISNUMBER($G42),1,IF(N($W42)&gt;0,AVERAGEIFS($X$5:$X$1000,$U$5:$U$1000,ROW(),$V$5:$V$1000,"Sub"),$X42))))</f>
        <v/>
      </c>
      <c r="N42" s="56">
        <f>IF(OR($M42="",$V42="Sub"),"",IF($M42&gt;=1,"Completado",IF($M42&gt;0,"En curso","Pendiente")))</f>
        <v/>
      </c>
      <c r="O42" s="56">
        <f>IF(NOT((COUNTA($B42:$D42)+COUNTA($G42:$L42)+COUNTA($Q42))&gt;0),"",IF(AND(AND($D42&lt;&gt;"",$V42="Macro"),N($AH42)&gt;0),CHOOSE(MATCH($D42,ListaPuestos,0),INDEX('Cronograma R. Operacional'!$O$5:$O$1000,$AH42),INDEX('Cronograma R. Normativo'!$O$5:$O$1000,$AH42),INDEX('Cronograma R. Financiero'!$O$5:$O$1000,$AH42),INDEX('Cronograma Asistente Técnico'!$O$5:$O$1000,$AH42))&amp;"",IF(ISNUMBER($G42),IF(AND(ISNUMBER($AN42),$G42&gt;$AN42),"Cumplida con "&amp;($G42-$AN42)&amp;IF($G42-$AN42=1," día"," días")&amp;" de retraso","Cumplida"),IF(N($M42)&gt;=1,"Cumplida",IF(NOT(ISNUMBER($AN42)),"Sin fecha límite",IF($AN42&lt;FechaRef,"Vencida hace "&amp;(FechaRef-$AN42)&amp;IF(FechaRef-$AN42=1," día"," días"),IF($AN42=FechaRef,"Vence hoy",IF($AN42-FechaRef&lt;=DiasAlerta,"Vence en "&amp;($AN42-FechaRef)&amp;IF($AN42-FechaRef=1," día"," días"),"En plazo"))))))))</f>
        <v/>
      </c>
      <c r="P42" s="62">
        <f>IF(NOT((COUNTA($B42:$D42)+COUNTA($G42:$L42)+COUNTA($Q42))&gt;0),"",IF($D42="","Propia",IF($V42&lt;&gt;"Macro","Solo se delegan macroactividades",IF(N($AH42)&gt;0,"✔ Recibida por "&amp;$D42,"⚠ "&amp;$D42&amp;" aún no la agrega"))))</f>
        <v/>
      </c>
      <c r="Q42" s="58" t="n"/>
      <c r="R42" s="63">
        <f>IF(NOT((COUNTA($B42:$D42)+COUNTA($G42:$L42)+COUNTA($Q42))&gt;0),"",IF((IF($C42="","Falta el nombre de la actividad"&amp;" · ","")&amp;IF(AND($V42="Sub",N($U42)=0),"Subactividad sin macroactividad arriba"&amp;" · ","")&amp;IF($AM42="","Sin fecha de inicio"&amp;" · ","")&amp;IF($AN42="","Sin fecha límite"&amp;" · ","")&amp;IF(AND(LEFT($C42,11)="[Jefatura] ",N($AL42)=0),"No se encuentra en la hoja de la jefatura (elíjala de nuevo en la lista)"&amp;" · ","")&amp;IF(OR(AND($E42&lt;&gt;"",NOT(ISNUMBER($E42))),AND($F42&lt;&gt;"",NOT(ISNUMBER($F42))),AND($G42&lt;&gt;"",NOT(ISNUMBER($G42)))),"Fecha no válida"&amp;" · ","")&amp;IF(AND(ISNUMBER($AM42),ISNUMBER($AN42),$AM42&gt;$AN42),"Inicio posterior a fecha límite"&amp;" · ","")&amp;IF(AND($V42="Macro",$H42&lt;&gt;"",OR(NOT(ISNUMBER($H42)),$H42&lt;0,$H42&gt;1)),"Peso fuera de rango"&amp;" · ","")&amp;IF(AND($V42="Sub",$H42&lt;&gt;""),"Las subactividades no llevan peso (valen igual dentro de su macroactividad)"&amp;" · ","")&amp;IF(AND(N($W42)&gt;0,COUNT($I42:$L42)&gt;0),"Con subactividades: deje vacías las semanas (se calculan solas)"&amp;" · ","")&amp;IF((COUNTIF($I42:$L42,"&gt;1")+COUNTIF($I42:$L42,"&lt;0")+COUNTA($I42:$L42)-COUNT($I42:$L42))&gt;0,"Avance fuera de rango 0-100%"&amp;" · ","")&amp;IF(OR(AND($J42&lt;&gt;"",$J42&lt;$I42),AND($K42&lt;&gt;"",$K42&lt;MAX($I42:$J42)),AND($L42&lt;&gt;"",$L42&lt;MAX($I42:$K42))),"Avance semanal decreciente"&amp;" · ","")&amp;IF(AND(ISNUMBER($AN42),$AN42&lt;FechaRef,IF($V42="Sub",N($X42),N($M42))&lt;1),"Vencida"&amp;" · ","")&amp;IF(AND(ObsObligatoria="Sí",ISNUMBER($AN42),$AN42&lt;FechaRef,IF($V42="Sub",N($X42),N($M42))&lt;1,$Q42=""),"Vencida sin observación"&amp;" · ",""))="","✔ OK","⚠ "&amp;LEFT(IF($C42="","Falta el nombre de la actividad"&amp;" · ","")&amp;IF(AND($V42="Sub",N($U42)=0),"Subactividad sin macroactividad arriba"&amp;" · ","")&amp;IF($AM42="","Sin fecha de inicio"&amp;" · ","")&amp;IF($AN42="","Sin fecha límite"&amp;" · ","")&amp;IF(AND(LEFT($C42,11)="[Jefatura] ",N($AL42)=0),"No se encuentra en la hoja de la jefatura (elíjala de nuevo en la lista)"&amp;" · ","")&amp;IF(OR(AND($E42&lt;&gt;"",NOT(ISNUMBER($E42))),AND($F42&lt;&gt;"",NOT(ISNUMBER($F42))),AND($G42&lt;&gt;"",NOT(ISNUMBER($G42)))),"Fecha no válida"&amp;" · ","")&amp;IF(AND(ISNUMBER($AM42),ISNUMBER($AN42),$AM42&gt;$AN42),"Inicio posterior a fecha límite"&amp;" · ","")&amp;IF(AND($V42="Macro",$H42&lt;&gt;"",OR(NOT(ISNUMBER($H42)),$H42&lt;0,$H42&gt;1)),"Peso fuera de rango"&amp;" · ","")&amp;IF(AND($V42="Sub",$H42&lt;&gt;""),"Las subactividades no llevan peso (valen igual dentro de su macroactividad)"&amp;" · ","")&amp;IF(AND(N($W42)&gt;0,COUNT($I42:$L42)&gt;0),"Con subactividades: deje vacías las semanas (se calculan solas)"&amp;" · ","")&amp;IF((COUNTIF($I42:$L42,"&gt;1")+COUNTIF($I42:$L42,"&lt;0")+COUNTA($I42:$L42)-COUNT($I42:$L42))&gt;0,"Avance fuera de rango 0-100%"&amp;" · ","")&amp;IF(OR(AND($J42&lt;&gt;"",$J42&lt;$I42),AND($K42&lt;&gt;"",$K42&lt;MAX($I42:$J42)),AND($L42&lt;&gt;"",$L42&lt;MAX($I42:$K42))),"Avance semanal decreciente"&amp;" · ","")&amp;IF(AND(ISNUMBER($AN42),$AN42&lt;FechaRef,IF($V42="Sub",N($X42),N($M42))&lt;1),"Vencida"&amp;" · ","")&amp;IF(AND(ObsObligatoria="Sí",ISNUMBER($AN42),$AN42&lt;FechaRef,IF($V42="Sub",N($X42),N($M42))&lt;1,$Q42=""),"Vencida sin observación"&amp;" · ",""),LEN(IF($C42="","Falta el nombre de la actividad"&amp;" · ","")&amp;IF(AND($V42="Sub",N($U42)=0),"Subactividad sin macroactividad arriba"&amp;" · ","")&amp;IF($AM42="","Sin fecha de inicio"&amp;" · ","")&amp;IF($AN42="","Sin fecha límite"&amp;" · ","")&amp;IF(AND(LEFT($C42,11)="[Jefatura] ",N($AL42)=0),"No se encuentra en la hoja de la jefatura (elíjala de nuevo en la lista)"&amp;" · ","")&amp;IF(OR(AND($E42&lt;&gt;"",NOT(ISNUMBER($E42))),AND($F42&lt;&gt;"",NOT(ISNUMBER($F42))),AND($G42&lt;&gt;"",NOT(ISNUMBER($G42)))),"Fecha no válida"&amp;" · ","")&amp;IF(AND(ISNUMBER($AM42),ISNUMBER($AN42),$AM42&gt;$AN42),"Inicio posterior a fecha límite"&amp;" · ","")&amp;IF(AND($V42="Macro",$H42&lt;&gt;"",OR(NOT(ISNUMBER($H42)),$H42&lt;0,$H42&gt;1)),"Peso fuera de rango"&amp;" · ","")&amp;IF(AND($V42="Sub",$H42&lt;&gt;""),"Las subactividades no llevan peso (valen igual dentro de su macroactividad)"&amp;" · ","")&amp;IF(AND(N($W42)&gt;0,COUNT($I42:$L42)&gt;0),"Con subactividades: deje vacías las semanas (se calculan solas)"&amp;" · ","")&amp;IF((COUNTIF($I42:$L42,"&gt;1")+COUNTIF($I42:$L42,"&lt;0")+COUNTA($I42:$L42)-COUNT($I42:$L42))&gt;0,"Avance fuera de rango 0-100%"&amp;" · ","")&amp;IF(OR(AND($J42&lt;&gt;"",$J42&lt;$I42),AND($K42&lt;&gt;"",$K42&lt;MAX($I42:$J42)),AND($L42&lt;&gt;"",$L42&lt;MAX($I42:$K42))),"Avance semanal decreciente"&amp;" · ","")&amp;IF(AND(ISNUMBER($AN42),$AN42&lt;FechaRef,IF($V42="Sub",N($X42),N($M42))&lt;1),"Vencida"&amp;" · ","")&amp;IF(AND(ObsObligatoria="Sí",ISNUMBER($AN42),$AN42&lt;FechaRef,IF($V42="Sub",N($X42),N($M42))&lt;1,$Q42=""),"Vencida sin observación"&amp;" · ",""))-3)))</f>
        <v/>
      </c>
      <c r="S42" s="64">
        <f>IF(NOT((COUNTA($B42:$D42)+COUNTA($G42:$L42)+COUNTA($Q42))&gt;0),"",IF(AND($V42="Sub",N($U42)&gt;0),IF(ISNUMBER(INDEX($AM$5:$AM$1000,$U42-4)),DATE(YEAR(INDEX($AM$5:$AM$1000,$U42-4)),MONTH(INDEX($AM$5:$AM$1000,$U42-4)),1),IF(ISNUMBER(INDEX($AN$5:$AN$1000,$U42-4)),DATE(YEAR(INDEX($AN$5:$AN$1000,$U42-4)),MONTH(INDEX($AN$5:$AN$1000,$U42-4)),1),MesCiclo)),IF(ISNUMBER($AM42),DATE(YEAR($AM42),MONTH($AM42),1),IF(ISNUMBER($AN42),DATE(YEAR($AN42),MONTH($AN42),1),MesCiclo))))</f>
        <v/>
      </c>
      <c r="T42" s="62">
        <f>IF(OR($S42="",$S42&lt;&gt;MesCiclo,$V42&lt;&gt;"Macro"),"",COUNTIFS($S$5:$S42,MesCiclo,$V$5:$V42,"Macro"))</f>
        <v/>
      </c>
      <c r="U42" s="62">
        <f>IF($V42="","",IF($V42="Macro",ROW(),IFERROR(LOOKUP(2,1/($V$5:$V42="Macro"),ROW($V$5:$V42)),0)))</f>
        <v/>
      </c>
      <c r="V42" s="62">
        <f>IF(NOT((COUNTA($B42:$D42)+COUNTA($G42:$L42)+COUNTA($Q42))&gt;0),"",IF($B42="Subactividad","Sub","Macro"))</f>
        <v/>
      </c>
      <c r="W42" s="62">
        <f>IF($V42="Macro",COUNTIFS($U$5:$U$1000,ROW(),$V$5:$V$1000,"Sub"),"")</f>
        <v/>
      </c>
      <c r="X42" s="62">
        <f>IF($V42="","",IF(ISNUMBER($G42),1,IFERROR(LOOKUP(2,1/($I42:$L42&lt;&gt;""),$I42:$L42),0)))</f>
        <v/>
      </c>
      <c r="Y42" s="62">
        <f>IF($V42="","",IF(AND(ISNUMBER($G42),$G42&lt;=IF($S42=MesCiclo,InicioCiclo,$S42+MOD(2-WEEKDAY($S42),7))+6),1,IF(ISNUMBER($I42),$I42,0)))</f>
        <v/>
      </c>
      <c r="Z42" s="62">
        <f>IF($V42="","",IF(AND(ISNUMBER($G42),$G42&lt;=IF($S42=MesCiclo,InicioCiclo,$S42+MOD(2-WEEKDAY($S42),7))+13),1,IF(ISNUMBER($J42),$J42,$Y42)))</f>
        <v/>
      </c>
      <c r="AA42" s="62">
        <f>IF($V42="","",IF(AND(ISNUMBER($G42),$G42&lt;=IF($S42=MesCiclo,InicioCiclo,$S42+MOD(2-WEEKDAY($S42),7))+20),1,IF(ISNUMBER($K42),$K42,$Z42)))</f>
        <v/>
      </c>
      <c r="AB42" s="62">
        <f>IF($V42="","",IF(AND(ISNUMBER($G42),$G42&lt;=IF($S42=MesCiclo,InicioCiclo,$S42+MOD(2-WEEKDAY($S42),7))+27),1,IF(ISNUMBER($L42),$L42,$AA42)))</f>
        <v/>
      </c>
      <c r="AC42" s="62">
        <f>IF($V42="","",IF(AND(ISNUMBER($G42),$G42&lt;=IF($S42=MesCiclo,InicioCiclo,$S42+MOD(2-WEEKDAY($S42),7))+6),1,IF(N($W42)&gt;0,AVERAGEIFS($Y$5:$Y$1000,$U$5:$U$1000,ROW(),$V$5:$V$1000,"Sub"),$Y42)))</f>
        <v/>
      </c>
      <c r="AD42" s="62">
        <f>IF($V42="","",IF(AND(ISNUMBER($G42),$G42&lt;=IF($S42=MesCiclo,InicioCiclo,$S42+MOD(2-WEEKDAY($S42),7))+13),1,IF(N($W42)&gt;0,AVERAGEIFS($Z$5:$Z$1000,$U$5:$U$1000,ROW(),$V$5:$V$1000,"Sub"),$Z42)))</f>
        <v/>
      </c>
      <c r="AE42" s="62">
        <f>IF($V42="","",IF(AND(ISNUMBER($G42),$G42&lt;=IF($S42=MesCiclo,InicioCiclo,$S42+MOD(2-WEEKDAY($S42),7))+20),1,IF(N($W42)&gt;0,AVERAGEIFS($AA$5:$AA$1000,$U$5:$U$1000,ROW(),$V$5:$V$1000,"Sub"),$AA42)))</f>
        <v/>
      </c>
      <c r="AF42" s="62">
        <f>IF($V42="","",IF(AND(ISNUMBER($G42),$G42&lt;=IF($S42=MesCiclo,InicioCiclo,$S42+MOD(2-WEEKDAY($S42),7))+27),1,IF(N($W42)&gt;0,AVERAGEIFS($AB$5:$AB$1000,$U$5:$U$1000,ROW(),$V$5:$V$1000,"Sub"),$AB42)))</f>
        <v/>
      </c>
      <c r="AG42" s="62">
        <f>IF($V42&lt;&gt;"Macro","",IF(COUNTIFS($S$5:$S$1000,$S42,$V$5:$V$1000,"Macro",$H$5:$H$1000,"&gt;0")=0,1/COUNTIFS($S$5:$S$1000,$S42,$V$5:$V$1000,"Macro"),IF(AND(ISNUMBER($H42),N($H42)&gt;0),$H42,SUMIFS($H$5:$H$1000,$S$5:$S$1000,$S42,$V$5:$V$1000,"Macro")/COUNTIFS($S$5:$S$1000,$S42,$V$5:$V$1000,"Macro",$H$5:$H$1000,"&gt;0"))/(COUNTIFS($S$5:$S$1000,$S42,$V$5:$V$1000,"Macro")*SUMIFS($H$5:$H$1000,$S$5:$S$1000,$S42,$V$5:$V$1000,"Macro")/COUNTIFS($S$5:$S$1000,$S42,$V$5:$V$1000,"Macro",$H$5:$H$1000,"&gt;0"))))</f>
        <v/>
      </c>
      <c r="AH42" s="62">
        <f>IF(NOT(AND($D42&lt;&gt;"",$V42="Macro")),"",IFERROR(CHOOSE(MATCH($D42,ListaPuestos,0),MATCH("[Jefatura] "&amp;$C42,'Cronograma R. Operacional'!$C$5:$C$1000,0),MATCH("[Jefatura] "&amp;$C42,'Cronograma R. Normativo'!$C$5:$C$1000,0),MATCH("[Jefatura] "&amp;$C42,'Cronograma R. Financiero'!$C$5:$C$1000,0),MATCH("[Jefatura] "&amp;$C42,'Cronograma Asistente Técnico'!$C$5:$C$1000,0)),0))</f>
        <v/>
      </c>
      <c r="AI42" s="62">
        <f>IF(AND(AND($D42&lt;&gt;"",$V42="Macro"),$S42=MesCiclo),COUNTIFS($D$5:$D42,$D42,$S$5:$S42,MesCiclo,$V$5:$V42,"Macro"),"")</f>
        <v/>
      </c>
      <c r="AJ42" s="62">
        <f>IF($AI42="","",$D42&amp;"|"&amp;$AI42)</f>
        <v/>
      </c>
      <c r="AK42" s="62">
        <f>IF(AND($D42&lt;&gt;"",$V42="Macro"),$D42&amp;"|"&amp;$C42,"")</f>
        <v/>
      </c>
      <c r="AL42" s="62">
        <f>""</f>
        <v/>
      </c>
      <c r="AM42" s="62">
        <f>IF(N($AL42)&gt;0,INDEX(rIni_ADM,$AL42),IF(ISNUMBER($E42),$E42,""))</f>
        <v/>
      </c>
      <c r="AN42" s="62">
        <f>IF(N($AL42)&gt;0,INDEX(rLim_ADM,$AL42),IF(ISNUMBER($F42),$F42,""))</f>
        <v/>
      </c>
    </row>
    <row r="43">
      <c r="A43" s="56">
        <f>IF(NOT((COUNTA($B43:$D43)+COUNTA($G43:$L43)+COUNTA($Q43))&gt;0),"",IF($V43="Macro",COUNTIFS($V$5:$V43,"Macro",$S$5:$S43,$S43),IF(N($U43)=0,"?",COUNTIFS(INDEX($V$5:$V$1000,1):INDEX($V$5:$V$1000,$U43-4),"Macro",INDEX($S$5:$S$1000,1):INDEX($S$5:$S$1000,$U43-4),INDEX($S$5:$S$1000,$U43-4))&amp;"."&amp;COUNTIFS($U$5:$U43,$U43,$V$5:$V43,"Sub"))))</f>
        <v/>
      </c>
      <c r="B43" s="57" t="n"/>
      <c r="C43" s="58" t="n"/>
      <c r="D43" s="58" t="n"/>
      <c r="E43" s="59" t="n"/>
      <c r="F43" s="59" t="n"/>
      <c r="G43" s="59" t="n"/>
      <c r="H43" s="60" t="n"/>
      <c r="I43" s="60" t="n"/>
      <c r="J43" s="60" t="n"/>
      <c r="K43" s="60" t="n"/>
      <c r="L43" s="60" t="n"/>
      <c r="M43" s="61">
        <f>IF(NOT((COUNTA($B43:$D43)+COUNTA($G43:$L43)+COUNTA($Q43))&gt;0),"",IF(AND($D43&lt;&gt;"",$V43="Macro"),IF(N($AH43)&gt;0,N(CHOOSE(MATCH($D43,ListaPuestos,0),INDEX('Cronograma R. Operacional'!$M$5:$M$1000,$AH43),INDEX('Cronograma R. Normativo'!$M$5:$M$1000,$AH43),INDEX('Cronograma R. Financiero'!$M$5:$M$1000,$AH43),INDEX('Cronograma Asistente Técnico'!$M$5:$M$1000,$AH43))),0),IF(ISNUMBER($G43),1,IF(N($W43)&gt;0,AVERAGEIFS($X$5:$X$1000,$U$5:$U$1000,ROW(),$V$5:$V$1000,"Sub"),$X43))))</f>
        <v/>
      </c>
      <c r="N43" s="56">
        <f>IF(OR($M43="",$V43="Sub"),"",IF($M43&gt;=1,"Completado",IF($M43&gt;0,"En curso","Pendiente")))</f>
        <v/>
      </c>
      <c r="O43" s="56">
        <f>IF(NOT((COUNTA($B43:$D43)+COUNTA($G43:$L43)+COUNTA($Q43))&gt;0),"",IF(AND(AND($D43&lt;&gt;"",$V43="Macro"),N($AH43)&gt;0),CHOOSE(MATCH($D43,ListaPuestos,0),INDEX('Cronograma R. Operacional'!$O$5:$O$1000,$AH43),INDEX('Cronograma R. Normativo'!$O$5:$O$1000,$AH43),INDEX('Cronograma R. Financiero'!$O$5:$O$1000,$AH43),INDEX('Cronograma Asistente Técnico'!$O$5:$O$1000,$AH43))&amp;"",IF(ISNUMBER($G43),IF(AND(ISNUMBER($AN43),$G43&gt;$AN43),"Cumplida con "&amp;($G43-$AN43)&amp;IF($G43-$AN43=1," día"," días")&amp;" de retraso","Cumplida"),IF(N($M43)&gt;=1,"Cumplida",IF(NOT(ISNUMBER($AN43)),"Sin fecha límite",IF($AN43&lt;FechaRef,"Vencida hace "&amp;(FechaRef-$AN43)&amp;IF(FechaRef-$AN43=1," día"," días"),IF($AN43=FechaRef,"Vence hoy",IF($AN43-FechaRef&lt;=DiasAlerta,"Vence en "&amp;($AN43-FechaRef)&amp;IF($AN43-FechaRef=1," día"," días"),"En plazo"))))))))</f>
        <v/>
      </c>
      <c r="P43" s="62">
        <f>IF(NOT((COUNTA($B43:$D43)+COUNTA($G43:$L43)+COUNTA($Q43))&gt;0),"",IF($D43="","Propia",IF($V43&lt;&gt;"Macro","Solo se delegan macroactividades",IF(N($AH43)&gt;0,"✔ Recibida por "&amp;$D43,"⚠ "&amp;$D43&amp;" aún no la agrega"))))</f>
        <v/>
      </c>
      <c r="Q43" s="58" t="n"/>
      <c r="R43" s="63">
        <f>IF(NOT((COUNTA($B43:$D43)+COUNTA($G43:$L43)+COUNTA($Q43))&gt;0),"",IF((IF($C43="","Falta el nombre de la actividad"&amp;" · ","")&amp;IF(AND($V43="Sub",N($U43)=0),"Subactividad sin macroactividad arriba"&amp;" · ","")&amp;IF($AM43="","Sin fecha de inicio"&amp;" · ","")&amp;IF($AN43="","Sin fecha límite"&amp;" · ","")&amp;IF(AND(LEFT($C43,11)="[Jefatura] ",N($AL43)=0),"No se encuentra en la hoja de la jefatura (elíjala de nuevo en la lista)"&amp;" · ","")&amp;IF(OR(AND($E43&lt;&gt;"",NOT(ISNUMBER($E43))),AND($F43&lt;&gt;"",NOT(ISNUMBER($F43))),AND($G43&lt;&gt;"",NOT(ISNUMBER($G43)))),"Fecha no válida"&amp;" · ","")&amp;IF(AND(ISNUMBER($AM43),ISNUMBER($AN43),$AM43&gt;$AN43),"Inicio posterior a fecha límite"&amp;" · ","")&amp;IF(AND($V43="Macro",$H43&lt;&gt;"",OR(NOT(ISNUMBER($H43)),$H43&lt;0,$H43&gt;1)),"Peso fuera de rango"&amp;" · ","")&amp;IF(AND($V43="Sub",$H43&lt;&gt;""),"Las subactividades no llevan peso (valen igual dentro de su macroactividad)"&amp;" · ","")&amp;IF(AND(N($W43)&gt;0,COUNT($I43:$L43)&gt;0),"Con subactividades: deje vacías las semanas (se calculan solas)"&amp;" · ","")&amp;IF((COUNTIF($I43:$L43,"&gt;1")+COUNTIF($I43:$L43,"&lt;0")+COUNTA($I43:$L43)-COUNT($I43:$L43))&gt;0,"Avance fuera de rango 0-100%"&amp;" · ","")&amp;IF(OR(AND($J43&lt;&gt;"",$J43&lt;$I43),AND($K43&lt;&gt;"",$K43&lt;MAX($I43:$J43)),AND($L43&lt;&gt;"",$L43&lt;MAX($I43:$K43))),"Avance semanal decreciente"&amp;" · ","")&amp;IF(AND(ISNUMBER($AN43),$AN43&lt;FechaRef,IF($V43="Sub",N($X43),N($M43))&lt;1),"Vencida"&amp;" · ","")&amp;IF(AND(ObsObligatoria="Sí",ISNUMBER($AN43),$AN43&lt;FechaRef,IF($V43="Sub",N($X43),N($M43))&lt;1,$Q43=""),"Vencida sin observación"&amp;" · ",""))="","✔ OK","⚠ "&amp;LEFT(IF($C43="","Falta el nombre de la actividad"&amp;" · ","")&amp;IF(AND($V43="Sub",N($U43)=0),"Subactividad sin macroactividad arriba"&amp;" · ","")&amp;IF($AM43="","Sin fecha de inicio"&amp;" · ","")&amp;IF($AN43="","Sin fecha límite"&amp;" · ","")&amp;IF(AND(LEFT($C43,11)="[Jefatura] ",N($AL43)=0),"No se encuentra en la hoja de la jefatura (elíjala de nuevo en la lista)"&amp;" · ","")&amp;IF(OR(AND($E43&lt;&gt;"",NOT(ISNUMBER($E43))),AND($F43&lt;&gt;"",NOT(ISNUMBER($F43))),AND($G43&lt;&gt;"",NOT(ISNUMBER($G43)))),"Fecha no válida"&amp;" · ","")&amp;IF(AND(ISNUMBER($AM43),ISNUMBER($AN43),$AM43&gt;$AN43),"Inicio posterior a fecha límite"&amp;" · ","")&amp;IF(AND($V43="Macro",$H43&lt;&gt;"",OR(NOT(ISNUMBER($H43)),$H43&lt;0,$H43&gt;1)),"Peso fuera de rango"&amp;" · ","")&amp;IF(AND($V43="Sub",$H43&lt;&gt;""),"Las subactividades no llevan peso (valen igual dentro de su macroactividad)"&amp;" · ","")&amp;IF(AND(N($W43)&gt;0,COUNT($I43:$L43)&gt;0),"Con subactividades: deje vacías las semanas (se calculan solas)"&amp;" · ","")&amp;IF((COUNTIF($I43:$L43,"&gt;1")+COUNTIF($I43:$L43,"&lt;0")+COUNTA($I43:$L43)-COUNT($I43:$L43))&gt;0,"Avance fuera de rango 0-100%"&amp;" · ","")&amp;IF(OR(AND($J43&lt;&gt;"",$J43&lt;$I43),AND($K43&lt;&gt;"",$K43&lt;MAX($I43:$J43)),AND($L43&lt;&gt;"",$L43&lt;MAX($I43:$K43))),"Avance semanal decreciente"&amp;" · ","")&amp;IF(AND(ISNUMBER($AN43),$AN43&lt;FechaRef,IF($V43="Sub",N($X43),N($M43))&lt;1),"Vencida"&amp;" · ","")&amp;IF(AND(ObsObligatoria="Sí",ISNUMBER($AN43),$AN43&lt;FechaRef,IF($V43="Sub",N($X43),N($M43))&lt;1,$Q43=""),"Vencida sin observación"&amp;" · ",""),LEN(IF($C43="","Falta el nombre de la actividad"&amp;" · ","")&amp;IF(AND($V43="Sub",N($U43)=0),"Subactividad sin macroactividad arriba"&amp;" · ","")&amp;IF($AM43="","Sin fecha de inicio"&amp;" · ","")&amp;IF($AN43="","Sin fecha límite"&amp;" · ","")&amp;IF(AND(LEFT($C43,11)="[Jefatura] ",N($AL43)=0),"No se encuentra en la hoja de la jefatura (elíjala de nuevo en la lista)"&amp;" · ","")&amp;IF(OR(AND($E43&lt;&gt;"",NOT(ISNUMBER($E43))),AND($F43&lt;&gt;"",NOT(ISNUMBER($F43))),AND($G43&lt;&gt;"",NOT(ISNUMBER($G43)))),"Fecha no válida"&amp;" · ","")&amp;IF(AND(ISNUMBER($AM43),ISNUMBER($AN43),$AM43&gt;$AN43),"Inicio posterior a fecha límite"&amp;" · ","")&amp;IF(AND($V43="Macro",$H43&lt;&gt;"",OR(NOT(ISNUMBER($H43)),$H43&lt;0,$H43&gt;1)),"Peso fuera de rango"&amp;" · ","")&amp;IF(AND($V43="Sub",$H43&lt;&gt;""),"Las subactividades no llevan peso (valen igual dentro de su macroactividad)"&amp;" · ","")&amp;IF(AND(N($W43)&gt;0,COUNT($I43:$L43)&gt;0),"Con subactividades: deje vacías las semanas (se calculan solas)"&amp;" · ","")&amp;IF((COUNTIF($I43:$L43,"&gt;1")+COUNTIF($I43:$L43,"&lt;0")+COUNTA($I43:$L43)-COUNT($I43:$L43))&gt;0,"Avance fuera de rango 0-100%"&amp;" · ","")&amp;IF(OR(AND($J43&lt;&gt;"",$J43&lt;$I43),AND($K43&lt;&gt;"",$K43&lt;MAX($I43:$J43)),AND($L43&lt;&gt;"",$L43&lt;MAX($I43:$K43))),"Avance semanal decreciente"&amp;" · ","")&amp;IF(AND(ISNUMBER($AN43),$AN43&lt;FechaRef,IF($V43="Sub",N($X43),N($M43))&lt;1),"Vencida"&amp;" · ","")&amp;IF(AND(ObsObligatoria="Sí",ISNUMBER($AN43),$AN43&lt;FechaRef,IF($V43="Sub",N($X43),N($M43))&lt;1,$Q43=""),"Vencida sin observación"&amp;" · ",""))-3)))</f>
        <v/>
      </c>
      <c r="S43" s="64">
        <f>IF(NOT((COUNTA($B43:$D43)+COUNTA($G43:$L43)+COUNTA($Q43))&gt;0),"",IF(AND($V43="Sub",N($U43)&gt;0),IF(ISNUMBER(INDEX($AM$5:$AM$1000,$U43-4)),DATE(YEAR(INDEX($AM$5:$AM$1000,$U43-4)),MONTH(INDEX($AM$5:$AM$1000,$U43-4)),1),IF(ISNUMBER(INDEX($AN$5:$AN$1000,$U43-4)),DATE(YEAR(INDEX($AN$5:$AN$1000,$U43-4)),MONTH(INDEX($AN$5:$AN$1000,$U43-4)),1),MesCiclo)),IF(ISNUMBER($AM43),DATE(YEAR($AM43),MONTH($AM43),1),IF(ISNUMBER($AN43),DATE(YEAR($AN43),MONTH($AN43),1),MesCiclo))))</f>
        <v/>
      </c>
      <c r="T43" s="62">
        <f>IF(OR($S43="",$S43&lt;&gt;MesCiclo,$V43&lt;&gt;"Macro"),"",COUNTIFS($S$5:$S43,MesCiclo,$V$5:$V43,"Macro"))</f>
        <v/>
      </c>
      <c r="U43" s="62">
        <f>IF($V43="","",IF($V43="Macro",ROW(),IFERROR(LOOKUP(2,1/($V$5:$V43="Macro"),ROW($V$5:$V43)),0)))</f>
        <v/>
      </c>
      <c r="V43" s="62">
        <f>IF(NOT((COUNTA($B43:$D43)+COUNTA($G43:$L43)+COUNTA($Q43))&gt;0),"",IF($B43="Subactividad","Sub","Macro"))</f>
        <v/>
      </c>
      <c r="W43" s="62">
        <f>IF($V43="Macro",COUNTIFS($U$5:$U$1000,ROW(),$V$5:$V$1000,"Sub"),"")</f>
        <v/>
      </c>
      <c r="X43" s="62">
        <f>IF($V43="","",IF(ISNUMBER($G43),1,IFERROR(LOOKUP(2,1/($I43:$L43&lt;&gt;""),$I43:$L43),0)))</f>
        <v/>
      </c>
      <c r="Y43" s="62">
        <f>IF($V43="","",IF(AND(ISNUMBER($G43),$G43&lt;=IF($S43=MesCiclo,InicioCiclo,$S43+MOD(2-WEEKDAY($S43),7))+6),1,IF(ISNUMBER($I43),$I43,0)))</f>
        <v/>
      </c>
      <c r="Z43" s="62">
        <f>IF($V43="","",IF(AND(ISNUMBER($G43),$G43&lt;=IF($S43=MesCiclo,InicioCiclo,$S43+MOD(2-WEEKDAY($S43),7))+13),1,IF(ISNUMBER($J43),$J43,$Y43)))</f>
        <v/>
      </c>
      <c r="AA43" s="62">
        <f>IF($V43="","",IF(AND(ISNUMBER($G43),$G43&lt;=IF($S43=MesCiclo,InicioCiclo,$S43+MOD(2-WEEKDAY($S43),7))+20),1,IF(ISNUMBER($K43),$K43,$Z43)))</f>
        <v/>
      </c>
      <c r="AB43" s="62">
        <f>IF($V43="","",IF(AND(ISNUMBER($G43),$G43&lt;=IF($S43=MesCiclo,InicioCiclo,$S43+MOD(2-WEEKDAY($S43),7))+27),1,IF(ISNUMBER($L43),$L43,$AA43)))</f>
        <v/>
      </c>
      <c r="AC43" s="62">
        <f>IF($V43="","",IF(AND(ISNUMBER($G43),$G43&lt;=IF($S43=MesCiclo,InicioCiclo,$S43+MOD(2-WEEKDAY($S43),7))+6),1,IF(N($W43)&gt;0,AVERAGEIFS($Y$5:$Y$1000,$U$5:$U$1000,ROW(),$V$5:$V$1000,"Sub"),$Y43)))</f>
        <v/>
      </c>
      <c r="AD43" s="62">
        <f>IF($V43="","",IF(AND(ISNUMBER($G43),$G43&lt;=IF($S43=MesCiclo,InicioCiclo,$S43+MOD(2-WEEKDAY($S43),7))+13),1,IF(N($W43)&gt;0,AVERAGEIFS($Z$5:$Z$1000,$U$5:$U$1000,ROW(),$V$5:$V$1000,"Sub"),$Z43)))</f>
        <v/>
      </c>
      <c r="AE43" s="62">
        <f>IF($V43="","",IF(AND(ISNUMBER($G43),$G43&lt;=IF($S43=MesCiclo,InicioCiclo,$S43+MOD(2-WEEKDAY($S43),7))+20),1,IF(N($W43)&gt;0,AVERAGEIFS($AA$5:$AA$1000,$U$5:$U$1000,ROW(),$V$5:$V$1000,"Sub"),$AA43)))</f>
        <v/>
      </c>
      <c r="AF43" s="62">
        <f>IF($V43="","",IF(AND(ISNUMBER($G43),$G43&lt;=IF($S43=MesCiclo,InicioCiclo,$S43+MOD(2-WEEKDAY($S43),7))+27),1,IF(N($W43)&gt;0,AVERAGEIFS($AB$5:$AB$1000,$U$5:$U$1000,ROW(),$V$5:$V$1000,"Sub"),$AB43)))</f>
        <v/>
      </c>
      <c r="AG43" s="62">
        <f>IF($V43&lt;&gt;"Macro","",IF(COUNTIFS($S$5:$S$1000,$S43,$V$5:$V$1000,"Macro",$H$5:$H$1000,"&gt;0")=0,1/COUNTIFS($S$5:$S$1000,$S43,$V$5:$V$1000,"Macro"),IF(AND(ISNUMBER($H43),N($H43)&gt;0),$H43,SUMIFS($H$5:$H$1000,$S$5:$S$1000,$S43,$V$5:$V$1000,"Macro")/COUNTIFS($S$5:$S$1000,$S43,$V$5:$V$1000,"Macro",$H$5:$H$1000,"&gt;0"))/(COUNTIFS($S$5:$S$1000,$S43,$V$5:$V$1000,"Macro")*SUMIFS($H$5:$H$1000,$S$5:$S$1000,$S43,$V$5:$V$1000,"Macro")/COUNTIFS($S$5:$S$1000,$S43,$V$5:$V$1000,"Macro",$H$5:$H$1000,"&gt;0"))))</f>
        <v/>
      </c>
      <c r="AH43" s="62">
        <f>IF(NOT(AND($D43&lt;&gt;"",$V43="Macro")),"",IFERROR(CHOOSE(MATCH($D43,ListaPuestos,0),MATCH("[Jefatura] "&amp;$C43,'Cronograma R. Operacional'!$C$5:$C$1000,0),MATCH("[Jefatura] "&amp;$C43,'Cronograma R. Normativo'!$C$5:$C$1000,0),MATCH("[Jefatura] "&amp;$C43,'Cronograma R. Financiero'!$C$5:$C$1000,0),MATCH("[Jefatura] "&amp;$C43,'Cronograma Asistente Técnico'!$C$5:$C$1000,0)),0))</f>
        <v/>
      </c>
      <c r="AI43" s="62">
        <f>IF(AND(AND($D43&lt;&gt;"",$V43="Macro"),$S43=MesCiclo),COUNTIFS($D$5:$D43,$D43,$S$5:$S43,MesCiclo,$V$5:$V43,"Macro"),"")</f>
        <v/>
      </c>
      <c r="AJ43" s="62">
        <f>IF($AI43="","",$D43&amp;"|"&amp;$AI43)</f>
        <v/>
      </c>
      <c r="AK43" s="62">
        <f>IF(AND($D43&lt;&gt;"",$V43="Macro"),$D43&amp;"|"&amp;$C43,"")</f>
        <v/>
      </c>
      <c r="AL43" s="62">
        <f>""</f>
        <v/>
      </c>
      <c r="AM43" s="62">
        <f>IF(N($AL43)&gt;0,INDEX(rIni_ADM,$AL43),IF(ISNUMBER($E43),$E43,""))</f>
        <v/>
      </c>
      <c r="AN43" s="62">
        <f>IF(N($AL43)&gt;0,INDEX(rLim_ADM,$AL43),IF(ISNUMBER($F43),$F43,""))</f>
        <v/>
      </c>
    </row>
    <row r="44">
      <c r="A44" s="56">
        <f>IF(NOT((COUNTA($B44:$D44)+COUNTA($G44:$L44)+COUNTA($Q44))&gt;0),"",IF($V44="Macro",COUNTIFS($V$5:$V44,"Macro",$S$5:$S44,$S44),IF(N($U44)=0,"?",COUNTIFS(INDEX($V$5:$V$1000,1):INDEX($V$5:$V$1000,$U44-4),"Macro",INDEX($S$5:$S$1000,1):INDEX($S$5:$S$1000,$U44-4),INDEX($S$5:$S$1000,$U44-4))&amp;"."&amp;COUNTIFS($U$5:$U44,$U44,$V$5:$V44,"Sub"))))</f>
        <v/>
      </c>
      <c r="B44" s="57" t="n"/>
      <c r="C44" s="58" t="n"/>
      <c r="D44" s="58" t="n"/>
      <c r="E44" s="59" t="n"/>
      <c r="F44" s="59" t="n"/>
      <c r="G44" s="59" t="n"/>
      <c r="H44" s="60" t="n"/>
      <c r="I44" s="60" t="n"/>
      <c r="J44" s="60" t="n"/>
      <c r="K44" s="60" t="n"/>
      <c r="L44" s="60" t="n"/>
      <c r="M44" s="61">
        <f>IF(NOT((COUNTA($B44:$D44)+COUNTA($G44:$L44)+COUNTA($Q44))&gt;0),"",IF(AND($D44&lt;&gt;"",$V44="Macro"),IF(N($AH44)&gt;0,N(CHOOSE(MATCH($D44,ListaPuestos,0),INDEX('Cronograma R. Operacional'!$M$5:$M$1000,$AH44),INDEX('Cronograma R. Normativo'!$M$5:$M$1000,$AH44),INDEX('Cronograma R. Financiero'!$M$5:$M$1000,$AH44),INDEX('Cronograma Asistente Técnico'!$M$5:$M$1000,$AH44))),0),IF(ISNUMBER($G44),1,IF(N($W44)&gt;0,AVERAGEIFS($X$5:$X$1000,$U$5:$U$1000,ROW(),$V$5:$V$1000,"Sub"),$X44))))</f>
        <v/>
      </c>
      <c r="N44" s="56">
        <f>IF(OR($M44="",$V44="Sub"),"",IF($M44&gt;=1,"Completado",IF($M44&gt;0,"En curso","Pendiente")))</f>
        <v/>
      </c>
      <c r="O44" s="56">
        <f>IF(NOT((COUNTA($B44:$D44)+COUNTA($G44:$L44)+COUNTA($Q44))&gt;0),"",IF(AND(AND($D44&lt;&gt;"",$V44="Macro"),N($AH44)&gt;0),CHOOSE(MATCH($D44,ListaPuestos,0),INDEX('Cronograma R. Operacional'!$O$5:$O$1000,$AH44),INDEX('Cronograma R. Normativo'!$O$5:$O$1000,$AH44),INDEX('Cronograma R. Financiero'!$O$5:$O$1000,$AH44),INDEX('Cronograma Asistente Técnico'!$O$5:$O$1000,$AH44))&amp;"",IF(ISNUMBER($G44),IF(AND(ISNUMBER($AN44),$G44&gt;$AN44),"Cumplida con "&amp;($G44-$AN44)&amp;IF($G44-$AN44=1," día"," días")&amp;" de retraso","Cumplida"),IF(N($M44)&gt;=1,"Cumplida",IF(NOT(ISNUMBER($AN44)),"Sin fecha límite",IF($AN44&lt;FechaRef,"Vencida hace "&amp;(FechaRef-$AN44)&amp;IF(FechaRef-$AN44=1," día"," días"),IF($AN44=FechaRef,"Vence hoy",IF($AN44-FechaRef&lt;=DiasAlerta,"Vence en "&amp;($AN44-FechaRef)&amp;IF($AN44-FechaRef=1," día"," días"),"En plazo"))))))))</f>
        <v/>
      </c>
      <c r="P44" s="62">
        <f>IF(NOT((COUNTA($B44:$D44)+COUNTA($G44:$L44)+COUNTA($Q44))&gt;0),"",IF($D44="","Propia",IF($V44&lt;&gt;"Macro","Solo se delegan macroactividades",IF(N($AH44)&gt;0,"✔ Recibida por "&amp;$D44,"⚠ "&amp;$D44&amp;" aún no la agrega"))))</f>
        <v/>
      </c>
      <c r="Q44" s="58" t="n"/>
      <c r="R44" s="63">
        <f>IF(NOT((COUNTA($B44:$D44)+COUNTA($G44:$L44)+COUNTA($Q44))&gt;0),"",IF((IF($C44="","Falta el nombre de la actividad"&amp;" · ","")&amp;IF(AND($V44="Sub",N($U44)=0),"Subactividad sin macroactividad arriba"&amp;" · ","")&amp;IF($AM44="","Sin fecha de inicio"&amp;" · ","")&amp;IF($AN44="","Sin fecha límite"&amp;" · ","")&amp;IF(AND(LEFT($C44,11)="[Jefatura] ",N($AL44)=0),"No se encuentra en la hoja de la jefatura (elíjala de nuevo en la lista)"&amp;" · ","")&amp;IF(OR(AND($E44&lt;&gt;"",NOT(ISNUMBER($E44))),AND($F44&lt;&gt;"",NOT(ISNUMBER($F44))),AND($G44&lt;&gt;"",NOT(ISNUMBER($G44)))),"Fecha no válida"&amp;" · ","")&amp;IF(AND(ISNUMBER($AM44),ISNUMBER($AN44),$AM44&gt;$AN44),"Inicio posterior a fecha límite"&amp;" · ","")&amp;IF(AND($V44="Macro",$H44&lt;&gt;"",OR(NOT(ISNUMBER($H44)),$H44&lt;0,$H44&gt;1)),"Peso fuera de rango"&amp;" · ","")&amp;IF(AND($V44="Sub",$H44&lt;&gt;""),"Las subactividades no llevan peso (valen igual dentro de su macroactividad)"&amp;" · ","")&amp;IF(AND(N($W44)&gt;0,COUNT($I44:$L44)&gt;0),"Con subactividades: deje vacías las semanas (se calculan solas)"&amp;" · ","")&amp;IF((COUNTIF($I44:$L44,"&gt;1")+COUNTIF($I44:$L44,"&lt;0")+COUNTA($I44:$L44)-COUNT($I44:$L44))&gt;0,"Avance fuera de rango 0-100%"&amp;" · ","")&amp;IF(OR(AND($J44&lt;&gt;"",$J44&lt;$I44),AND($K44&lt;&gt;"",$K44&lt;MAX($I44:$J44)),AND($L44&lt;&gt;"",$L44&lt;MAX($I44:$K44))),"Avance semanal decreciente"&amp;" · ","")&amp;IF(AND(ISNUMBER($AN44),$AN44&lt;FechaRef,IF($V44="Sub",N($X44),N($M44))&lt;1),"Vencida"&amp;" · ","")&amp;IF(AND(ObsObligatoria="Sí",ISNUMBER($AN44),$AN44&lt;FechaRef,IF($V44="Sub",N($X44),N($M44))&lt;1,$Q44=""),"Vencida sin observación"&amp;" · ",""))="","✔ OK","⚠ "&amp;LEFT(IF($C44="","Falta el nombre de la actividad"&amp;" · ","")&amp;IF(AND($V44="Sub",N($U44)=0),"Subactividad sin macroactividad arriba"&amp;" · ","")&amp;IF($AM44="","Sin fecha de inicio"&amp;" · ","")&amp;IF($AN44="","Sin fecha límite"&amp;" · ","")&amp;IF(AND(LEFT($C44,11)="[Jefatura] ",N($AL44)=0),"No se encuentra en la hoja de la jefatura (elíjala de nuevo en la lista)"&amp;" · ","")&amp;IF(OR(AND($E44&lt;&gt;"",NOT(ISNUMBER($E44))),AND($F44&lt;&gt;"",NOT(ISNUMBER($F44))),AND($G44&lt;&gt;"",NOT(ISNUMBER($G44)))),"Fecha no válida"&amp;" · ","")&amp;IF(AND(ISNUMBER($AM44),ISNUMBER($AN44),$AM44&gt;$AN44),"Inicio posterior a fecha límite"&amp;" · ","")&amp;IF(AND($V44="Macro",$H44&lt;&gt;"",OR(NOT(ISNUMBER($H44)),$H44&lt;0,$H44&gt;1)),"Peso fuera de rango"&amp;" · ","")&amp;IF(AND($V44="Sub",$H44&lt;&gt;""),"Las subactividades no llevan peso (valen igual dentro de su macroactividad)"&amp;" · ","")&amp;IF(AND(N($W44)&gt;0,COUNT($I44:$L44)&gt;0),"Con subactividades: deje vacías las semanas (se calculan solas)"&amp;" · ","")&amp;IF((COUNTIF($I44:$L44,"&gt;1")+COUNTIF($I44:$L44,"&lt;0")+COUNTA($I44:$L44)-COUNT($I44:$L44))&gt;0,"Avance fuera de rango 0-100%"&amp;" · ","")&amp;IF(OR(AND($J44&lt;&gt;"",$J44&lt;$I44),AND($K44&lt;&gt;"",$K44&lt;MAX($I44:$J44)),AND($L44&lt;&gt;"",$L44&lt;MAX($I44:$K44))),"Avance semanal decreciente"&amp;" · ","")&amp;IF(AND(ISNUMBER($AN44),$AN44&lt;FechaRef,IF($V44="Sub",N($X44),N($M44))&lt;1),"Vencida"&amp;" · ","")&amp;IF(AND(ObsObligatoria="Sí",ISNUMBER($AN44),$AN44&lt;FechaRef,IF($V44="Sub",N($X44),N($M44))&lt;1,$Q44=""),"Vencida sin observación"&amp;" · ",""),LEN(IF($C44="","Falta el nombre de la actividad"&amp;" · ","")&amp;IF(AND($V44="Sub",N($U44)=0),"Subactividad sin macroactividad arriba"&amp;" · ","")&amp;IF($AM44="","Sin fecha de inicio"&amp;" · ","")&amp;IF($AN44="","Sin fecha límite"&amp;" · ","")&amp;IF(AND(LEFT($C44,11)="[Jefatura] ",N($AL44)=0),"No se encuentra en la hoja de la jefatura (elíjala de nuevo en la lista)"&amp;" · ","")&amp;IF(OR(AND($E44&lt;&gt;"",NOT(ISNUMBER($E44))),AND($F44&lt;&gt;"",NOT(ISNUMBER($F44))),AND($G44&lt;&gt;"",NOT(ISNUMBER($G44)))),"Fecha no válida"&amp;" · ","")&amp;IF(AND(ISNUMBER($AM44),ISNUMBER($AN44),$AM44&gt;$AN44),"Inicio posterior a fecha límite"&amp;" · ","")&amp;IF(AND($V44="Macro",$H44&lt;&gt;"",OR(NOT(ISNUMBER($H44)),$H44&lt;0,$H44&gt;1)),"Peso fuera de rango"&amp;" · ","")&amp;IF(AND($V44="Sub",$H44&lt;&gt;""),"Las subactividades no llevan peso (valen igual dentro de su macroactividad)"&amp;" · ","")&amp;IF(AND(N($W44)&gt;0,COUNT($I44:$L44)&gt;0),"Con subactividades: deje vacías las semanas (se calculan solas)"&amp;" · ","")&amp;IF((COUNTIF($I44:$L44,"&gt;1")+COUNTIF($I44:$L44,"&lt;0")+COUNTA($I44:$L44)-COUNT($I44:$L44))&gt;0,"Avance fuera de rango 0-100%"&amp;" · ","")&amp;IF(OR(AND($J44&lt;&gt;"",$J44&lt;$I44),AND($K44&lt;&gt;"",$K44&lt;MAX($I44:$J44)),AND($L44&lt;&gt;"",$L44&lt;MAX($I44:$K44))),"Avance semanal decreciente"&amp;" · ","")&amp;IF(AND(ISNUMBER($AN44),$AN44&lt;FechaRef,IF($V44="Sub",N($X44),N($M44))&lt;1),"Vencida"&amp;" · ","")&amp;IF(AND(ObsObligatoria="Sí",ISNUMBER($AN44),$AN44&lt;FechaRef,IF($V44="Sub",N($X44),N($M44))&lt;1,$Q44=""),"Vencida sin observación"&amp;" · ",""))-3)))</f>
        <v/>
      </c>
      <c r="S44" s="64">
        <f>IF(NOT((COUNTA($B44:$D44)+COUNTA($G44:$L44)+COUNTA($Q44))&gt;0),"",IF(AND($V44="Sub",N($U44)&gt;0),IF(ISNUMBER(INDEX($AM$5:$AM$1000,$U44-4)),DATE(YEAR(INDEX($AM$5:$AM$1000,$U44-4)),MONTH(INDEX($AM$5:$AM$1000,$U44-4)),1),IF(ISNUMBER(INDEX($AN$5:$AN$1000,$U44-4)),DATE(YEAR(INDEX($AN$5:$AN$1000,$U44-4)),MONTH(INDEX($AN$5:$AN$1000,$U44-4)),1),MesCiclo)),IF(ISNUMBER($AM44),DATE(YEAR($AM44),MONTH($AM44),1),IF(ISNUMBER($AN44),DATE(YEAR($AN44),MONTH($AN44),1),MesCiclo))))</f>
        <v/>
      </c>
      <c r="T44" s="62">
        <f>IF(OR($S44="",$S44&lt;&gt;MesCiclo,$V44&lt;&gt;"Macro"),"",COUNTIFS($S$5:$S44,MesCiclo,$V$5:$V44,"Macro"))</f>
        <v/>
      </c>
      <c r="U44" s="62">
        <f>IF($V44="","",IF($V44="Macro",ROW(),IFERROR(LOOKUP(2,1/($V$5:$V44="Macro"),ROW($V$5:$V44)),0)))</f>
        <v/>
      </c>
      <c r="V44" s="62">
        <f>IF(NOT((COUNTA($B44:$D44)+COUNTA($G44:$L44)+COUNTA($Q44))&gt;0),"",IF($B44="Subactividad","Sub","Macro"))</f>
        <v/>
      </c>
      <c r="W44" s="62">
        <f>IF($V44="Macro",COUNTIFS($U$5:$U$1000,ROW(),$V$5:$V$1000,"Sub"),"")</f>
        <v/>
      </c>
      <c r="X44" s="62">
        <f>IF($V44="","",IF(ISNUMBER($G44),1,IFERROR(LOOKUP(2,1/($I44:$L44&lt;&gt;""),$I44:$L44),0)))</f>
        <v/>
      </c>
      <c r="Y44" s="62">
        <f>IF($V44="","",IF(AND(ISNUMBER($G44),$G44&lt;=IF($S44=MesCiclo,InicioCiclo,$S44+MOD(2-WEEKDAY($S44),7))+6),1,IF(ISNUMBER($I44),$I44,0)))</f>
        <v/>
      </c>
      <c r="Z44" s="62">
        <f>IF($V44="","",IF(AND(ISNUMBER($G44),$G44&lt;=IF($S44=MesCiclo,InicioCiclo,$S44+MOD(2-WEEKDAY($S44),7))+13),1,IF(ISNUMBER($J44),$J44,$Y44)))</f>
        <v/>
      </c>
      <c r="AA44" s="62">
        <f>IF($V44="","",IF(AND(ISNUMBER($G44),$G44&lt;=IF($S44=MesCiclo,InicioCiclo,$S44+MOD(2-WEEKDAY($S44),7))+20),1,IF(ISNUMBER($K44),$K44,$Z44)))</f>
        <v/>
      </c>
      <c r="AB44" s="62">
        <f>IF($V44="","",IF(AND(ISNUMBER($G44),$G44&lt;=IF($S44=MesCiclo,InicioCiclo,$S44+MOD(2-WEEKDAY($S44),7))+27),1,IF(ISNUMBER($L44),$L44,$AA44)))</f>
        <v/>
      </c>
      <c r="AC44" s="62">
        <f>IF($V44="","",IF(AND(ISNUMBER($G44),$G44&lt;=IF($S44=MesCiclo,InicioCiclo,$S44+MOD(2-WEEKDAY($S44),7))+6),1,IF(N($W44)&gt;0,AVERAGEIFS($Y$5:$Y$1000,$U$5:$U$1000,ROW(),$V$5:$V$1000,"Sub"),$Y44)))</f>
        <v/>
      </c>
      <c r="AD44" s="62">
        <f>IF($V44="","",IF(AND(ISNUMBER($G44),$G44&lt;=IF($S44=MesCiclo,InicioCiclo,$S44+MOD(2-WEEKDAY($S44),7))+13),1,IF(N($W44)&gt;0,AVERAGEIFS($Z$5:$Z$1000,$U$5:$U$1000,ROW(),$V$5:$V$1000,"Sub"),$Z44)))</f>
        <v/>
      </c>
      <c r="AE44" s="62">
        <f>IF($V44="","",IF(AND(ISNUMBER($G44),$G44&lt;=IF($S44=MesCiclo,InicioCiclo,$S44+MOD(2-WEEKDAY($S44),7))+20),1,IF(N($W44)&gt;0,AVERAGEIFS($AA$5:$AA$1000,$U$5:$U$1000,ROW(),$V$5:$V$1000,"Sub"),$AA44)))</f>
        <v/>
      </c>
      <c r="AF44" s="62">
        <f>IF($V44="","",IF(AND(ISNUMBER($G44),$G44&lt;=IF($S44=MesCiclo,InicioCiclo,$S44+MOD(2-WEEKDAY($S44),7))+27),1,IF(N($W44)&gt;0,AVERAGEIFS($AB$5:$AB$1000,$U$5:$U$1000,ROW(),$V$5:$V$1000,"Sub"),$AB44)))</f>
        <v/>
      </c>
      <c r="AG44" s="62">
        <f>IF($V44&lt;&gt;"Macro","",IF(COUNTIFS($S$5:$S$1000,$S44,$V$5:$V$1000,"Macro",$H$5:$H$1000,"&gt;0")=0,1/COUNTIFS($S$5:$S$1000,$S44,$V$5:$V$1000,"Macro"),IF(AND(ISNUMBER($H44),N($H44)&gt;0),$H44,SUMIFS($H$5:$H$1000,$S$5:$S$1000,$S44,$V$5:$V$1000,"Macro")/COUNTIFS($S$5:$S$1000,$S44,$V$5:$V$1000,"Macro",$H$5:$H$1000,"&gt;0"))/(COUNTIFS($S$5:$S$1000,$S44,$V$5:$V$1000,"Macro")*SUMIFS($H$5:$H$1000,$S$5:$S$1000,$S44,$V$5:$V$1000,"Macro")/COUNTIFS($S$5:$S$1000,$S44,$V$5:$V$1000,"Macro",$H$5:$H$1000,"&gt;0"))))</f>
        <v/>
      </c>
      <c r="AH44" s="62">
        <f>IF(NOT(AND($D44&lt;&gt;"",$V44="Macro")),"",IFERROR(CHOOSE(MATCH($D44,ListaPuestos,0),MATCH("[Jefatura] "&amp;$C44,'Cronograma R. Operacional'!$C$5:$C$1000,0),MATCH("[Jefatura] "&amp;$C44,'Cronograma R. Normativo'!$C$5:$C$1000,0),MATCH("[Jefatura] "&amp;$C44,'Cronograma R. Financiero'!$C$5:$C$1000,0),MATCH("[Jefatura] "&amp;$C44,'Cronograma Asistente Técnico'!$C$5:$C$1000,0)),0))</f>
        <v/>
      </c>
      <c r="AI44" s="62">
        <f>IF(AND(AND($D44&lt;&gt;"",$V44="Macro"),$S44=MesCiclo),COUNTIFS($D$5:$D44,$D44,$S$5:$S44,MesCiclo,$V$5:$V44,"Macro"),"")</f>
        <v/>
      </c>
      <c r="AJ44" s="62">
        <f>IF($AI44="","",$D44&amp;"|"&amp;$AI44)</f>
        <v/>
      </c>
      <c r="AK44" s="62">
        <f>IF(AND($D44&lt;&gt;"",$V44="Macro"),$D44&amp;"|"&amp;$C44,"")</f>
        <v/>
      </c>
      <c r="AL44" s="62">
        <f>""</f>
        <v/>
      </c>
      <c r="AM44" s="62">
        <f>IF(N($AL44)&gt;0,INDEX(rIni_ADM,$AL44),IF(ISNUMBER($E44),$E44,""))</f>
        <v/>
      </c>
      <c r="AN44" s="62">
        <f>IF(N($AL44)&gt;0,INDEX(rLim_ADM,$AL44),IF(ISNUMBER($F44),$F44,""))</f>
        <v/>
      </c>
    </row>
    <row r="45">
      <c r="A45" s="56">
        <f>IF(NOT((COUNTA($B45:$D45)+COUNTA($G45:$L45)+COUNTA($Q45))&gt;0),"",IF($V45="Macro",COUNTIFS($V$5:$V45,"Macro",$S$5:$S45,$S45),IF(N($U45)=0,"?",COUNTIFS(INDEX($V$5:$V$1000,1):INDEX($V$5:$V$1000,$U45-4),"Macro",INDEX($S$5:$S$1000,1):INDEX($S$5:$S$1000,$U45-4),INDEX($S$5:$S$1000,$U45-4))&amp;"."&amp;COUNTIFS($U$5:$U45,$U45,$V$5:$V45,"Sub"))))</f>
        <v/>
      </c>
      <c r="B45" s="57" t="n"/>
      <c r="C45" s="58" t="n"/>
      <c r="D45" s="58" t="n"/>
      <c r="E45" s="59" t="n"/>
      <c r="F45" s="59" t="n"/>
      <c r="G45" s="59" t="n"/>
      <c r="H45" s="60" t="n"/>
      <c r="I45" s="60" t="n"/>
      <c r="J45" s="60" t="n"/>
      <c r="K45" s="60" t="n"/>
      <c r="L45" s="60" t="n"/>
      <c r="M45" s="61">
        <f>IF(NOT((COUNTA($B45:$D45)+COUNTA($G45:$L45)+COUNTA($Q45))&gt;0),"",IF(AND($D45&lt;&gt;"",$V45="Macro"),IF(N($AH45)&gt;0,N(CHOOSE(MATCH($D45,ListaPuestos,0),INDEX('Cronograma R. Operacional'!$M$5:$M$1000,$AH45),INDEX('Cronograma R. Normativo'!$M$5:$M$1000,$AH45),INDEX('Cronograma R. Financiero'!$M$5:$M$1000,$AH45),INDEX('Cronograma Asistente Técnico'!$M$5:$M$1000,$AH45))),0),IF(ISNUMBER($G45),1,IF(N($W45)&gt;0,AVERAGEIFS($X$5:$X$1000,$U$5:$U$1000,ROW(),$V$5:$V$1000,"Sub"),$X45))))</f>
        <v/>
      </c>
      <c r="N45" s="56">
        <f>IF(OR($M45="",$V45="Sub"),"",IF($M45&gt;=1,"Completado",IF($M45&gt;0,"En curso","Pendiente")))</f>
        <v/>
      </c>
      <c r="O45" s="56">
        <f>IF(NOT((COUNTA($B45:$D45)+COUNTA($G45:$L45)+COUNTA($Q45))&gt;0),"",IF(AND(AND($D45&lt;&gt;"",$V45="Macro"),N($AH45)&gt;0),CHOOSE(MATCH($D45,ListaPuestos,0),INDEX('Cronograma R. Operacional'!$O$5:$O$1000,$AH45),INDEX('Cronograma R. Normativo'!$O$5:$O$1000,$AH45),INDEX('Cronograma R. Financiero'!$O$5:$O$1000,$AH45),INDEX('Cronograma Asistente Técnico'!$O$5:$O$1000,$AH45))&amp;"",IF(ISNUMBER($G45),IF(AND(ISNUMBER($AN45),$G45&gt;$AN45),"Cumplida con "&amp;($G45-$AN45)&amp;IF($G45-$AN45=1," día"," días")&amp;" de retraso","Cumplida"),IF(N($M45)&gt;=1,"Cumplida",IF(NOT(ISNUMBER($AN45)),"Sin fecha límite",IF($AN45&lt;FechaRef,"Vencida hace "&amp;(FechaRef-$AN45)&amp;IF(FechaRef-$AN45=1," día"," días"),IF($AN45=FechaRef,"Vence hoy",IF($AN45-FechaRef&lt;=DiasAlerta,"Vence en "&amp;($AN45-FechaRef)&amp;IF($AN45-FechaRef=1," día"," días"),"En plazo"))))))))</f>
        <v/>
      </c>
      <c r="P45" s="62">
        <f>IF(NOT((COUNTA($B45:$D45)+COUNTA($G45:$L45)+COUNTA($Q45))&gt;0),"",IF($D45="","Propia",IF($V45&lt;&gt;"Macro","Solo se delegan macroactividades",IF(N($AH45)&gt;0,"✔ Recibida por "&amp;$D45,"⚠ "&amp;$D45&amp;" aún no la agrega"))))</f>
        <v/>
      </c>
      <c r="Q45" s="58" t="n"/>
      <c r="R45" s="63">
        <f>IF(NOT((COUNTA($B45:$D45)+COUNTA($G45:$L45)+COUNTA($Q45))&gt;0),"",IF((IF($C45="","Falta el nombre de la actividad"&amp;" · ","")&amp;IF(AND($V45="Sub",N($U45)=0),"Subactividad sin macroactividad arriba"&amp;" · ","")&amp;IF($AM45="","Sin fecha de inicio"&amp;" · ","")&amp;IF($AN45="","Sin fecha límite"&amp;" · ","")&amp;IF(AND(LEFT($C45,11)="[Jefatura] ",N($AL45)=0),"No se encuentra en la hoja de la jefatura (elíjala de nuevo en la lista)"&amp;" · ","")&amp;IF(OR(AND($E45&lt;&gt;"",NOT(ISNUMBER($E45))),AND($F45&lt;&gt;"",NOT(ISNUMBER($F45))),AND($G45&lt;&gt;"",NOT(ISNUMBER($G45)))),"Fecha no válida"&amp;" · ","")&amp;IF(AND(ISNUMBER($AM45),ISNUMBER($AN45),$AM45&gt;$AN45),"Inicio posterior a fecha límite"&amp;" · ","")&amp;IF(AND($V45="Macro",$H45&lt;&gt;"",OR(NOT(ISNUMBER($H45)),$H45&lt;0,$H45&gt;1)),"Peso fuera de rango"&amp;" · ","")&amp;IF(AND($V45="Sub",$H45&lt;&gt;""),"Las subactividades no llevan peso (valen igual dentro de su macroactividad)"&amp;" · ","")&amp;IF(AND(N($W45)&gt;0,COUNT($I45:$L45)&gt;0),"Con subactividades: deje vacías las semanas (se calculan solas)"&amp;" · ","")&amp;IF((COUNTIF($I45:$L45,"&gt;1")+COUNTIF($I45:$L45,"&lt;0")+COUNTA($I45:$L45)-COUNT($I45:$L45))&gt;0,"Avance fuera de rango 0-100%"&amp;" · ","")&amp;IF(OR(AND($J45&lt;&gt;"",$J45&lt;$I45),AND($K45&lt;&gt;"",$K45&lt;MAX($I45:$J45)),AND($L45&lt;&gt;"",$L45&lt;MAX($I45:$K45))),"Avance semanal decreciente"&amp;" · ","")&amp;IF(AND(ISNUMBER($AN45),$AN45&lt;FechaRef,IF($V45="Sub",N($X45),N($M45))&lt;1),"Vencida"&amp;" · ","")&amp;IF(AND(ObsObligatoria="Sí",ISNUMBER($AN45),$AN45&lt;FechaRef,IF($V45="Sub",N($X45),N($M45))&lt;1,$Q45=""),"Vencida sin observación"&amp;" · ",""))="","✔ OK","⚠ "&amp;LEFT(IF($C45="","Falta el nombre de la actividad"&amp;" · ","")&amp;IF(AND($V45="Sub",N($U45)=0),"Subactividad sin macroactividad arriba"&amp;" · ","")&amp;IF($AM45="","Sin fecha de inicio"&amp;" · ","")&amp;IF($AN45="","Sin fecha límite"&amp;" · ","")&amp;IF(AND(LEFT($C45,11)="[Jefatura] ",N($AL45)=0),"No se encuentra en la hoja de la jefatura (elíjala de nuevo en la lista)"&amp;" · ","")&amp;IF(OR(AND($E45&lt;&gt;"",NOT(ISNUMBER($E45))),AND($F45&lt;&gt;"",NOT(ISNUMBER($F45))),AND($G45&lt;&gt;"",NOT(ISNUMBER($G45)))),"Fecha no válida"&amp;" · ","")&amp;IF(AND(ISNUMBER($AM45),ISNUMBER($AN45),$AM45&gt;$AN45),"Inicio posterior a fecha límite"&amp;" · ","")&amp;IF(AND($V45="Macro",$H45&lt;&gt;"",OR(NOT(ISNUMBER($H45)),$H45&lt;0,$H45&gt;1)),"Peso fuera de rango"&amp;" · ","")&amp;IF(AND($V45="Sub",$H45&lt;&gt;""),"Las subactividades no llevan peso (valen igual dentro de su macroactividad)"&amp;" · ","")&amp;IF(AND(N($W45)&gt;0,COUNT($I45:$L45)&gt;0),"Con subactividades: deje vacías las semanas (se calculan solas)"&amp;" · ","")&amp;IF((COUNTIF($I45:$L45,"&gt;1")+COUNTIF($I45:$L45,"&lt;0")+COUNTA($I45:$L45)-COUNT($I45:$L45))&gt;0,"Avance fuera de rango 0-100%"&amp;" · ","")&amp;IF(OR(AND($J45&lt;&gt;"",$J45&lt;$I45),AND($K45&lt;&gt;"",$K45&lt;MAX($I45:$J45)),AND($L45&lt;&gt;"",$L45&lt;MAX($I45:$K45))),"Avance semanal decreciente"&amp;" · ","")&amp;IF(AND(ISNUMBER($AN45),$AN45&lt;FechaRef,IF($V45="Sub",N($X45),N($M45))&lt;1),"Vencida"&amp;" · ","")&amp;IF(AND(ObsObligatoria="Sí",ISNUMBER($AN45),$AN45&lt;FechaRef,IF($V45="Sub",N($X45),N($M45))&lt;1,$Q45=""),"Vencida sin observación"&amp;" · ",""),LEN(IF($C45="","Falta el nombre de la actividad"&amp;" · ","")&amp;IF(AND($V45="Sub",N($U45)=0),"Subactividad sin macroactividad arriba"&amp;" · ","")&amp;IF($AM45="","Sin fecha de inicio"&amp;" · ","")&amp;IF($AN45="","Sin fecha límite"&amp;" · ","")&amp;IF(AND(LEFT($C45,11)="[Jefatura] ",N($AL45)=0),"No se encuentra en la hoja de la jefatura (elíjala de nuevo en la lista)"&amp;" · ","")&amp;IF(OR(AND($E45&lt;&gt;"",NOT(ISNUMBER($E45))),AND($F45&lt;&gt;"",NOT(ISNUMBER($F45))),AND($G45&lt;&gt;"",NOT(ISNUMBER($G45)))),"Fecha no válida"&amp;" · ","")&amp;IF(AND(ISNUMBER($AM45),ISNUMBER($AN45),$AM45&gt;$AN45),"Inicio posterior a fecha límite"&amp;" · ","")&amp;IF(AND($V45="Macro",$H45&lt;&gt;"",OR(NOT(ISNUMBER($H45)),$H45&lt;0,$H45&gt;1)),"Peso fuera de rango"&amp;" · ","")&amp;IF(AND($V45="Sub",$H45&lt;&gt;""),"Las subactividades no llevan peso (valen igual dentro de su macroactividad)"&amp;" · ","")&amp;IF(AND(N($W45)&gt;0,COUNT($I45:$L45)&gt;0),"Con subactividades: deje vacías las semanas (se calculan solas)"&amp;" · ","")&amp;IF((COUNTIF($I45:$L45,"&gt;1")+COUNTIF($I45:$L45,"&lt;0")+COUNTA($I45:$L45)-COUNT($I45:$L45))&gt;0,"Avance fuera de rango 0-100%"&amp;" · ","")&amp;IF(OR(AND($J45&lt;&gt;"",$J45&lt;$I45),AND($K45&lt;&gt;"",$K45&lt;MAX($I45:$J45)),AND($L45&lt;&gt;"",$L45&lt;MAX($I45:$K45))),"Avance semanal decreciente"&amp;" · ","")&amp;IF(AND(ISNUMBER($AN45),$AN45&lt;FechaRef,IF($V45="Sub",N($X45),N($M45))&lt;1),"Vencida"&amp;" · ","")&amp;IF(AND(ObsObligatoria="Sí",ISNUMBER($AN45),$AN45&lt;FechaRef,IF($V45="Sub",N($X45),N($M45))&lt;1,$Q45=""),"Vencida sin observación"&amp;" · ",""))-3)))</f>
        <v/>
      </c>
      <c r="S45" s="64">
        <f>IF(NOT((COUNTA($B45:$D45)+COUNTA($G45:$L45)+COUNTA($Q45))&gt;0),"",IF(AND($V45="Sub",N($U45)&gt;0),IF(ISNUMBER(INDEX($AM$5:$AM$1000,$U45-4)),DATE(YEAR(INDEX($AM$5:$AM$1000,$U45-4)),MONTH(INDEX($AM$5:$AM$1000,$U45-4)),1),IF(ISNUMBER(INDEX($AN$5:$AN$1000,$U45-4)),DATE(YEAR(INDEX($AN$5:$AN$1000,$U45-4)),MONTH(INDEX($AN$5:$AN$1000,$U45-4)),1),MesCiclo)),IF(ISNUMBER($AM45),DATE(YEAR($AM45),MONTH($AM45),1),IF(ISNUMBER($AN45),DATE(YEAR($AN45),MONTH($AN45),1),MesCiclo))))</f>
        <v/>
      </c>
      <c r="T45" s="62">
        <f>IF(OR($S45="",$S45&lt;&gt;MesCiclo,$V45&lt;&gt;"Macro"),"",COUNTIFS($S$5:$S45,MesCiclo,$V$5:$V45,"Macro"))</f>
        <v/>
      </c>
      <c r="U45" s="62">
        <f>IF($V45="","",IF($V45="Macro",ROW(),IFERROR(LOOKUP(2,1/($V$5:$V45="Macro"),ROW($V$5:$V45)),0)))</f>
        <v/>
      </c>
      <c r="V45" s="62">
        <f>IF(NOT((COUNTA($B45:$D45)+COUNTA($G45:$L45)+COUNTA($Q45))&gt;0),"",IF($B45="Subactividad","Sub","Macro"))</f>
        <v/>
      </c>
      <c r="W45" s="62">
        <f>IF($V45="Macro",COUNTIFS($U$5:$U$1000,ROW(),$V$5:$V$1000,"Sub"),"")</f>
        <v/>
      </c>
      <c r="X45" s="62">
        <f>IF($V45="","",IF(ISNUMBER($G45),1,IFERROR(LOOKUP(2,1/($I45:$L45&lt;&gt;""),$I45:$L45),0)))</f>
        <v/>
      </c>
      <c r="Y45" s="62">
        <f>IF($V45="","",IF(AND(ISNUMBER($G45),$G45&lt;=IF($S45=MesCiclo,InicioCiclo,$S45+MOD(2-WEEKDAY($S45),7))+6),1,IF(ISNUMBER($I45),$I45,0)))</f>
        <v/>
      </c>
      <c r="Z45" s="62">
        <f>IF($V45="","",IF(AND(ISNUMBER($G45),$G45&lt;=IF($S45=MesCiclo,InicioCiclo,$S45+MOD(2-WEEKDAY($S45),7))+13),1,IF(ISNUMBER($J45),$J45,$Y45)))</f>
        <v/>
      </c>
      <c r="AA45" s="62">
        <f>IF($V45="","",IF(AND(ISNUMBER($G45),$G45&lt;=IF($S45=MesCiclo,InicioCiclo,$S45+MOD(2-WEEKDAY($S45),7))+20),1,IF(ISNUMBER($K45),$K45,$Z45)))</f>
        <v/>
      </c>
      <c r="AB45" s="62">
        <f>IF($V45="","",IF(AND(ISNUMBER($G45),$G45&lt;=IF($S45=MesCiclo,InicioCiclo,$S45+MOD(2-WEEKDAY($S45),7))+27),1,IF(ISNUMBER($L45),$L45,$AA45)))</f>
        <v/>
      </c>
      <c r="AC45" s="62">
        <f>IF($V45="","",IF(AND(ISNUMBER($G45),$G45&lt;=IF($S45=MesCiclo,InicioCiclo,$S45+MOD(2-WEEKDAY($S45),7))+6),1,IF(N($W45)&gt;0,AVERAGEIFS($Y$5:$Y$1000,$U$5:$U$1000,ROW(),$V$5:$V$1000,"Sub"),$Y45)))</f>
        <v/>
      </c>
      <c r="AD45" s="62">
        <f>IF($V45="","",IF(AND(ISNUMBER($G45),$G45&lt;=IF($S45=MesCiclo,InicioCiclo,$S45+MOD(2-WEEKDAY($S45),7))+13),1,IF(N($W45)&gt;0,AVERAGEIFS($Z$5:$Z$1000,$U$5:$U$1000,ROW(),$V$5:$V$1000,"Sub"),$Z45)))</f>
        <v/>
      </c>
      <c r="AE45" s="62">
        <f>IF($V45="","",IF(AND(ISNUMBER($G45),$G45&lt;=IF($S45=MesCiclo,InicioCiclo,$S45+MOD(2-WEEKDAY($S45),7))+20),1,IF(N($W45)&gt;0,AVERAGEIFS($AA$5:$AA$1000,$U$5:$U$1000,ROW(),$V$5:$V$1000,"Sub"),$AA45)))</f>
        <v/>
      </c>
      <c r="AF45" s="62">
        <f>IF($V45="","",IF(AND(ISNUMBER($G45),$G45&lt;=IF($S45=MesCiclo,InicioCiclo,$S45+MOD(2-WEEKDAY($S45),7))+27),1,IF(N($W45)&gt;0,AVERAGEIFS($AB$5:$AB$1000,$U$5:$U$1000,ROW(),$V$5:$V$1000,"Sub"),$AB45)))</f>
        <v/>
      </c>
      <c r="AG45" s="62">
        <f>IF($V45&lt;&gt;"Macro","",IF(COUNTIFS($S$5:$S$1000,$S45,$V$5:$V$1000,"Macro",$H$5:$H$1000,"&gt;0")=0,1/COUNTIFS($S$5:$S$1000,$S45,$V$5:$V$1000,"Macro"),IF(AND(ISNUMBER($H45),N($H45)&gt;0),$H45,SUMIFS($H$5:$H$1000,$S$5:$S$1000,$S45,$V$5:$V$1000,"Macro")/COUNTIFS($S$5:$S$1000,$S45,$V$5:$V$1000,"Macro",$H$5:$H$1000,"&gt;0"))/(COUNTIFS($S$5:$S$1000,$S45,$V$5:$V$1000,"Macro")*SUMIFS($H$5:$H$1000,$S$5:$S$1000,$S45,$V$5:$V$1000,"Macro")/COUNTIFS($S$5:$S$1000,$S45,$V$5:$V$1000,"Macro",$H$5:$H$1000,"&gt;0"))))</f>
        <v/>
      </c>
      <c r="AH45" s="62">
        <f>IF(NOT(AND($D45&lt;&gt;"",$V45="Macro")),"",IFERROR(CHOOSE(MATCH($D45,ListaPuestos,0),MATCH("[Jefatura] "&amp;$C45,'Cronograma R. Operacional'!$C$5:$C$1000,0),MATCH("[Jefatura] "&amp;$C45,'Cronograma R. Normativo'!$C$5:$C$1000,0),MATCH("[Jefatura] "&amp;$C45,'Cronograma R. Financiero'!$C$5:$C$1000,0),MATCH("[Jefatura] "&amp;$C45,'Cronograma Asistente Técnico'!$C$5:$C$1000,0)),0))</f>
        <v/>
      </c>
      <c r="AI45" s="62">
        <f>IF(AND(AND($D45&lt;&gt;"",$V45="Macro"),$S45=MesCiclo),COUNTIFS($D$5:$D45,$D45,$S$5:$S45,MesCiclo,$V$5:$V45,"Macro"),"")</f>
        <v/>
      </c>
      <c r="AJ45" s="62">
        <f>IF($AI45="","",$D45&amp;"|"&amp;$AI45)</f>
        <v/>
      </c>
      <c r="AK45" s="62">
        <f>IF(AND($D45&lt;&gt;"",$V45="Macro"),$D45&amp;"|"&amp;$C45,"")</f>
        <v/>
      </c>
      <c r="AL45" s="62">
        <f>""</f>
        <v/>
      </c>
      <c r="AM45" s="62">
        <f>IF(N($AL45)&gt;0,INDEX(rIni_ADM,$AL45),IF(ISNUMBER($E45),$E45,""))</f>
        <v/>
      </c>
      <c r="AN45" s="62">
        <f>IF(N($AL45)&gt;0,INDEX(rLim_ADM,$AL45),IF(ISNUMBER($F45),$F45,""))</f>
        <v/>
      </c>
    </row>
    <row r="46">
      <c r="A46" s="56">
        <f>IF(NOT((COUNTA($B46:$D46)+COUNTA($G46:$L46)+COUNTA($Q46))&gt;0),"",IF($V46="Macro",COUNTIFS($V$5:$V46,"Macro",$S$5:$S46,$S46),IF(N($U46)=0,"?",COUNTIFS(INDEX($V$5:$V$1000,1):INDEX($V$5:$V$1000,$U46-4),"Macro",INDEX($S$5:$S$1000,1):INDEX($S$5:$S$1000,$U46-4),INDEX($S$5:$S$1000,$U46-4))&amp;"."&amp;COUNTIFS($U$5:$U46,$U46,$V$5:$V46,"Sub"))))</f>
        <v/>
      </c>
      <c r="B46" s="57" t="n"/>
      <c r="C46" s="58" t="n"/>
      <c r="D46" s="58" t="n"/>
      <c r="E46" s="59" t="n"/>
      <c r="F46" s="59" t="n"/>
      <c r="G46" s="59" t="n"/>
      <c r="H46" s="60" t="n"/>
      <c r="I46" s="60" t="n"/>
      <c r="J46" s="60" t="n"/>
      <c r="K46" s="60" t="n"/>
      <c r="L46" s="60" t="n"/>
      <c r="M46" s="61">
        <f>IF(NOT((COUNTA($B46:$D46)+COUNTA($G46:$L46)+COUNTA($Q46))&gt;0),"",IF(AND($D46&lt;&gt;"",$V46="Macro"),IF(N($AH46)&gt;0,N(CHOOSE(MATCH($D46,ListaPuestos,0),INDEX('Cronograma R. Operacional'!$M$5:$M$1000,$AH46),INDEX('Cronograma R. Normativo'!$M$5:$M$1000,$AH46),INDEX('Cronograma R. Financiero'!$M$5:$M$1000,$AH46),INDEX('Cronograma Asistente Técnico'!$M$5:$M$1000,$AH46))),0),IF(ISNUMBER($G46),1,IF(N($W46)&gt;0,AVERAGEIFS($X$5:$X$1000,$U$5:$U$1000,ROW(),$V$5:$V$1000,"Sub"),$X46))))</f>
        <v/>
      </c>
      <c r="N46" s="56">
        <f>IF(OR($M46="",$V46="Sub"),"",IF($M46&gt;=1,"Completado",IF($M46&gt;0,"En curso","Pendiente")))</f>
        <v/>
      </c>
      <c r="O46" s="56">
        <f>IF(NOT((COUNTA($B46:$D46)+COUNTA($G46:$L46)+COUNTA($Q46))&gt;0),"",IF(AND(AND($D46&lt;&gt;"",$V46="Macro"),N($AH46)&gt;0),CHOOSE(MATCH($D46,ListaPuestos,0),INDEX('Cronograma R. Operacional'!$O$5:$O$1000,$AH46),INDEX('Cronograma R. Normativo'!$O$5:$O$1000,$AH46),INDEX('Cronograma R. Financiero'!$O$5:$O$1000,$AH46),INDEX('Cronograma Asistente Técnico'!$O$5:$O$1000,$AH46))&amp;"",IF(ISNUMBER($G46),IF(AND(ISNUMBER($AN46),$G46&gt;$AN46),"Cumplida con "&amp;($G46-$AN46)&amp;IF($G46-$AN46=1," día"," días")&amp;" de retraso","Cumplida"),IF(N($M46)&gt;=1,"Cumplida",IF(NOT(ISNUMBER($AN46)),"Sin fecha límite",IF($AN46&lt;FechaRef,"Vencida hace "&amp;(FechaRef-$AN46)&amp;IF(FechaRef-$AN46=1," día"," días"),IF($AN46=FechaRef,"Vence hoy",IF($AN46-FechaRef&lt;=DiasAlerta,"Vence en "&amp;($AN46-FechaRef)&amp;IF($AN46-FechaRef=1," día"," días"),"En plazo"))))))))</f>
        <v/>
      </c>
      <c r="P46" s="62">
        <f>IF(NOT((COUNTA($B46:$D46)+COUNTA($G46:$L46)+COUNTA($Q46))&gt;0),"",IF($D46="","Propia",IF($V46&lt;&gt;"Macro","Solo se delegan macroactividades",IF(N($AH46)&gt;0,"✔ Recibida por "&amp;$D46,"⚠ "&amp;$D46&amp;" aún no la agrega"))))</f>
        <v/>
      </c>
      <c r="Q46" s="58" t="n"/>
      <c r="R46" s="63">
        <f>IF(NOT((COUNTA($B46:$D46)+COUNTA($G46:$L46)+COUNTA($Q46))&gt;0),"",IF((IF($C46="","Falta el nombre de la actividad"&amp;" · ","")&amp;IF(AND($V46="Sub",N($U46)=0),"Subactividad sin macroactividad arriba"&amp;" · ","")&amp;IF($AM46="","Sin fecha de inicio"&amp;" · ","")&amp;IF($AN46="","Sin fecha límite"&amp;" · ","")&amp;IF(AND(LEFT($C46,11)="[Jefatura] ",N($AL46)=0),"No se encuentra en la hoja de la jefatura (elíjala de nuevo en la lista)"&amp;" · ","")&amp;IF(OR(AND($E46&lt;&gt;"",NOT(ISNUMBER($E46))),AND($F46&lt;&gt;"",NOT(ISNUMBER($F46))),AND($G46&lt;&gt;"",NOT(ISNUMBER($G46)))),"Fecha no válida"&amp;" · ","")&amp;IF(AND(ISNUMBER($AM46),ISNUMBER($AN46),$AM46&gt;$AN46),"Inicio posterior a fecha límite"&amp;" · ","")&amp;IF(AND($V46="Macro",$H46&lt;&gt;"",OR(NOT(ISNUMBER($H46)),$H46&lt;0,$H46&gt;1)),"Peso fuera de rango"&amp;" · ","")&amp;IF(AND($V46="Sub",$H46&lt;&gt;""),"Las subactividades no llevan peso (valen igual dentro de su macroactividad)"&amp;" · ","")&amp;IF(AND(N($W46)&gt;0,COUNT($I46:$L46)&gt;0),"Con subactividades: deje vacías las semanas (se calculan solas)"&amp;" · ","")&amp;IF((COUNTIF($I46:$L46,"&gt;1")+COUNTIF($I46:$L46,"&lt;0")+COUNTA($I46:$L46)-COUNT($I46:$L46))&gt;0,"Avance fuera de rango 0-100%"&amp;" · ","")&amp;IF(OR(AND($J46&lt;&gt;"",$J46&lt;$I46),AND($K46&lt;&gt;"",$K46&lt;MAX($I46:$J46)),AND($L46&lt;&gt;"",$L46&lt;MAX($I46:$K46))),"Avance semanal decreciente"&amp;" · ","")&amp;IF(AND(ISNUMBER($AN46),$AN46&lt;FechaRef,IF($V46="Sub",N($X46),N($M46))&lt;1),"Vencida"&amp;" · ","")&amp;IF(AND(ObsObligatoria="Sí",ISNUMBER($AN46),$AN46&lt;FechaRef,IF($V46="Sub",N($X46),N($M46))&lt;1,$Q46=""),"Vencida sin observación"&amp;" · ",""))="","✔ OK","⚠ "&amp;LEFT(IF($C46="","Falta el nombre de la actividad"&amp;" · ","")&amp;IF(AND($V46="Sub",N($U46)=0),"Subactividad sin macroactividad arriba"&amp;" · ","")&amp;IF($AM46="","Sin fecha de inicio"&amp;" · ","")&amp;IF($AN46="","Sin fecha límite"&amp;" · ","")&amp;IF(AND(LEFT($C46,11)="[Jefatura] ",N($AL46)=0),"No se encuentra en la hoja de la jefatura (elíjala de nuevo en la lista)"&amp;" · ","")&amp;IF(OR(AND($E46&lt;&gt;"",NOT(ISNUMBER($E46))),AND($F46&lt;&gt;"",NOT(ISNUMBER($F46))),AND($G46&lt;&gt;"",NOT(ISNUMBER($G46)))),"Fecha no válida"&amp;" · ","")&amp;IF(AND(ISNUMBER($AM46),ISNUMBER($AN46),$AM46&gt;$AN46),"Inicio posterior a fecha límite"&amp;" · ","")&amp;IF(AND($V46="Macro",$H46&lt;&gt;"",OR(NOT(ISNUMBER($H46)),$H46&lt;0,$H46&gt;1)),"Peso fuera de rango"&amp;" · ","")&amp;IF(AND($V46="Sub",$H46&lt;&gt;""),"Las subactividades no llevan peso (valen igual dentro de su macroactividad)"&amp;" · ","")&amp;IF(AND(N($W46)&gt;0,COUNT($I46:$L46)&gt;0),"Con subactividades: deje vacías las semanas (se calculan solas)"&amp;" · ","")&amp;IF((COUNTIF($I46:$L46,"&gt;1")+COUNTIF($I46:$L46,"&lt;0")+COUNTA($I46:$L46)-COUNT($I46:$L46))&gt;0,"Avance fuera de rango 0-100%"&amp;" · ","")&amp;IF(OR(AND($J46&lt;&gt;"",$J46&lt;$I46),AND($K46&lt;&gt;"",$K46&lt;MAX($I46:$J46)),AND($L46&lt;&gt;"",$L46&lt;MAX($I46:$K46))),"Avance semanal decreciente"&amp;" · ","")&amp;IF(AND(ISNUMBER($AN46),$AN46&lt;FechaRef,IF($V46="Sub",N($X46),N($M46))&lt;1),"Vencida"&amp;" · ","")&amp;IF(AND(ObsObligatoria="Sí",ISNUMBER($AN46),$AN46&lt;FechaRef,IF($V46="Sub",N($X46),N($M46))&lt;1,$Q46=""),"Vencida sin observación"&amp;" · ",""),LEN(IF($C46="","Falta el nombre de la actividad"&amp;" · ","")&amp;IF(AND($V46="Sub",N($U46)=0),"Subactividad sin macroactividad arriba"&amp;" · ","")&amp;IF($AM46="","Sin fecha de inicio"&amp;" · ","")&amp;IF($AN46="","Sin fecha límite"&amp;" · ","")&amp;IF(AND(LEFT($C46,11)="[Jefatura] ",N($AL46)=0),"No se encuentra en la hoja de la jefatura (elíjala de nuevo en la lista)"&amp;" · ","")&amp;IF(OR(AND($E46&lt;&gt;"",NOT(ISNUMBER($E46))),AND($F46&lt;&gt;"",NOT(ISNUMBER($F46))),AND($G46&lt;&gt;"",NOT(ISNUMBER($G46)))),"Fecha no válida"&amp;" · ","")&amp;IF(AND(ISNUMBER($AM46),ISNUMBER($AN46),$AM46&gt;$AN46),"Inicio posterior a fecha límite"&amp;" · ","")&amp;IF(AND($V46="Macro",$H46&lt;&gt;"",OR(NOT(ISNUMBER($H46)),$H46&lt;0,$H46&gt;1)),"Peso fuera de rango"&amp;" · ","")&amp;IF(AND($V46="Sub",$H46&lt;&gt;""),"Las subactividades no llevan peso (valen igual dentro de su macroactividad)"&amp;" · ","")&amp;IF(AND(N($W46)&gt;0,COUNT($I46:$L46)&gt;0),"Con subactividades: deje vacías las semanas (se calculan solas)"&amp;" · ","")&amp;IF((COUNTIF($I46:$L46,"&gt;1")+COUNTIF($I46:$L46,"&lt;0")+COUNTA($I46:$L46)-COUNT($I46:$L46))&gt;0,"Avance fuera de rango 0-100%"&amp;" · ","")&amp;IF(OR(AND($J46&lt;&gt;"",$J46&lt;$I46),AND($K46&lt;&gt;"",$K46&lt;MAX($I46:$J46)),AND($L46&lt;&gt;"",$L46&lt;MAX($I46:$K46))),"Avance semanal decreciente"&amp;" · ","")&amp;IF(AND(ISNUMBER($AN46),$AN46&lt;FechaRef,IF($V46="Sub",N($X46),N($M46))&lt;1),"Vencida"&amp;" · ","")&amp;IF(AND(ObsObligatoria="Sí",ISNUMBER($AN46),$AN46&lt;FechaRef,IF($V46="Sub",N($X46),N($M46))&lt;1,$Q46=""),"Vencida sin observación"&amp;" · ",""))-3)))</f>
        <v/>
      </c>
      <c r="S46" s="64">
        <f>IF(NOT((COUNTA($B46:$D46)+COUNTA($G46:$L46)+COUNTA($Q46))&gt;0),"",IF(AND($V46="Sub",N($U46)&gt;0),IF(ISNUMBER(INDEX($AM$5:$AM$1000,$U46-4)),DATE(YEAR(INDEX($AM$5:$AM$1000,$U46-4)),MONTH(INDEX($AM$5:$AM$1000,$U46-4)),1),IF(ISNUMBER(INDEX($AN$5:$AN$1000,$U46-4)),DATE(YEAR(INDEX($AN$5:$AN$1000,$U46-4)),MONTH(INDEX($AN$5:$AN$1000,$U46-4)),1),MesCiclo)),IF(ISNUMBER($AM46),DATE(YEAR($AM46),MONTH($AM46),1),IF(ISNUMBER($AN46),DATE(YEAR($AN46),MONTH($AN46),1),MesCiclo))))</f>
        <v/>
      </c>
      <c r="T46" s="62">
        <f>IF(OR($S46="",$S46&lt;&gt;MesCiclo,$V46&lt;&gt;"Macro"),"",COUNTIFS($S$5:$S46,MesCiclo,$V$5:$V46,"Macro"))</f>
        <v/>
      </c>
      <c r="U46" s="62">
        <f>IF($V46="","",IF($V46="Macro",ROW(),IFERROR(LOOKUP(2,1/($V$5:$V46="Macro"),ROW($V$5:$V46)),0)))</f>
        <v/>
      </c>
      <c r="V46" s="62">
        <f>IF(NOT((COUNTA($B46:$D46)+COUNTA($G46:$L46)+COUNTA($Q46))&gt;0),"",IF($B46="Subactividad","Sub","Macro"))</f>
        <v/>
      </c>
      <c r="W46" s="62">
        <f>IF($V46="Macro",COUNTIFS($U$5:$U$1000,ROW(),$V$5:$V$1000,"Sub"),"")</f>
        <v/>
      </c>
      <c r="X46" s="62">
        <f>IF($V46="","",IF(ISNUMBER($G46),1,IFERROR(LOOKUP(2,1/($I46:$L46&lt;&gt;""),$I46:$L46),0)))</f>
        <v/>
      </c>
      <c r="Y46" s="62">
        <f>IF($V46="","",IF(AND(ISNUMBER($G46),$G46&lt;=IF($S46=MesCiclo,InicioCiclo,$S46+MOD(2-WEEKDAY($S46),7))+6),1,IF(ISNUMBER($I46),$I46,0)))</f>
        <v/>
      </c>
      <c r="Z46" s="62">
        <f>IF($V46="","",IF(AND(ISNUMBER($G46),$G46&lt;=IF($S46=MesCiclo,InicioCiclo,$S46+MOD(2-WEEKDAY($S46),7))+13),1,IF(ISNUMBER($J46),$J46,$Y46)))</f>
        <v/>
      </c>
      <c r="AA46" s="62">
        <f>IF($V46="","",IF(AND(ISNUMBER($G46),$G46&lt;=IF($S46=MesCiclo,InicioCiclo,$S46+MOD(2-WEEKDAY($S46),7))+20),1,IF(ISNUMBER($K46),$K46,$Z46)))</f>
        <v/>
      </c>
      <c r="AB46" s="62">
        <f>IF($V46="","",IF(AND(ISNUMBER($G46),$G46&lt;=IF($S46=MesCiclo,InicioCiclo,$S46+MOD(2-WEEKDAY($S46),7))+27),1,IF(ISNUMBER($L46),$L46,$AA46)))</f>
        <v/>
      </c>
      <c r="AC46" s="62">
        <f>IF($V46="","",IF(AND(ISNUMBER($G46),$G46&lt;=IF($S46=MesCiclo,InicioCiclo,$S46+MOD(2-WEEKDAY($S46),7))+6),1,IF(N($W46)&gt;0,AVERAGEIFS($Y$5:$Y$1000,$U$5:$U$1000,ROW(),$V$5:$V$1000,"Sub"),$Y46)))</f>
        <v/>
      </c>
      <c r="AD46" s="62">
        <f>IF($V46="","",IF(AND(ISNUMBER($G46),$G46&lt;=IF($S46=MesCiclo,InicioCiclo,$S46+MOD(2-WEEKDAY($S46),7))+13),1,IF(N($W46)&gt;0,AVERAGEIFS($Z$5:$Z$1000,$U$5:$U$1000,ROW(),$V$5:$V$1000,"Sub"),$Z46)))</f>
        <v/>
      </c>
      <c r="AE46" s="62">
        <f>IF($V46="","",IF(AND(ISNUMBER($G46),$G46&lt;=IF($S46=MesCiclo,InicioCiclo,$S46+MOD(2-WEEKDAY($S46),7))+20),1,IF(N($W46)&gt;0,AVERAGEIFS($AA$5:$AA$1000,$U$5:$U$1000,ROW(),$V$5:$V$1000,"Sub"),$AA46)))</f>
        <v/>
      </c>
      <c r="AF46" s="62">
        <f>IF($V46="","",IF(AND(ISNUMBER($G46),$G46&lt;=IF($S46=MesCiclo,InicioCiclo,$S46+MOD(2-WEEKDAY($S46),7))+27),1,IF(N($W46)&gt;0,AVERAGEIFS($AB$5:$AB$1000,$U$5:$U$1000,ROW(),$V$5:$V$1000,"Sub"),$AB46)))</f>
        <v/>
      </c>
      <c r="AG46" s="62">
        <f>IF($V46&lt;&gt;"Macro","",IF(COUNTIFS($S$5:$S$1000,$S46,$V$5:$V$1000,"Macro",$H$5:$H$1000,"&gt;0")=0,1/COUNTIFS($S$5:$S$1000,$S46,$V$5:$V$1000,"Macro"),IF(AND(ISNUMBER($H46),N($H46)&gt;0),$H46,SUMIFS($H$5:$H$1000,$S$5:$S$1000,$S46,$V$5:$V$1000,"Macro")/COUNTIFS($S$5:$S$1000,$S46,$V$5:$V$1000,"Macro",$H$5:$H$1000,"&gt;0"))/(COUNTIFS($S$5:$S$1000,$S46,$V$5:$V$1000,"Macro")*SUMIFS($H$5:$H$1000,$S$5:$S$1000,$S46,$V$5:$V$1000,"Macro")/COUNTIFS($S$5:$S$1000,$S46,$V$5:$V$1000,"Macro",$H$5:$H$1000,"&gt;0"))))</f>
        <v/>
      </c>
      <c r="AH46" s="62">
        <f>IF(NOT(AND($D46&lt;&gt;"",$V46="Macro")),"",IFERROR(CHOOSE(MATCH($D46,ListaPuestos,0),MATCH("[Jefatura] "&amp;$C46,'Cronograma R. Operacional'!$C$5:$C$1000,0),MATCH("[Jefatura] "&amp;$C46,'Cronograma R. Normativo'!$C$5:$C$1000,0),MATCH("[Jefatura] "&amp;$C46,'Cronograma R. Financiero'!$C$5:$C$1000,0),MATCH("[Jefatura] "&amp;$C46,'Cronograma Asistente Técnico'!$C$5:$C$1000,0)),0))</f>
        <v/>
      </c>
      <c r="AI46" s="62">
        <f>IF(AND(AND($D46&lt;&gt;"",$V46="Macro"),$S46=MesCiclo),COUNTIFS($D$5:$D46,$D46,$S$5:$S46,MesCiclo,$V$5:$V46,"Macro"),"")</f>
        <v/>
      </c>
      <c r="AJ46" s="62">
        <f>IF($AI46="","",$D46&amp;"|"&amp;$AI46)</f>
        <v/>
      </c>
      <c r="AK46" s="62">
        <f>IF(AND($D46&lt;&gt;"",$V46="Macro"),$D46&amp;"|"&amp;$C46,"")</f>
        <v/>
      </c>
      <c r="AL46" s="62">
        <f>""</f>
        <v/>
      </c>
      <c r="AM46" s="62">
        <f>IF(N($AL46)&gt;0,INDEX(rIni_ADM,$AL46),IF(ISNUMBER($E46),$E46,""))</f>
        <v/>
      </c>
      <c r="AN46" s="62">
        <f>IF(N($AL46)&gt;0,INDEX(rLim_ADM,$AL46),IF(ISNUMBER($F46),$F46,""))</f>
        <v/>
      </c>
    </row>
    <row r="47">
      <c r="A47" s="56">
        <f>IF(NOT((COUNTA($B47:$D47)+COUNTA($G47:$L47)+COUNTA($Q47))&gt;0),"",IF($V47="Macro",COUNTIFS($V$5:$V47,"Macro",$S$5:$S47,$S47),IF(N($U47)=0,"?",COUNTIFS(INDEX($V$5:$V$1000,1):INDEX($V$5:$V$1000,$U47-4),"Macro",INDEX($S$5:$S$1000,1):INDEX($S$5:$S$1000,$U47-4),INDEX($S$5:$S$1000,$U47-4))&amp;"."&amp;COUNTIFS($U$5:$U47,$U47,$V$5:$V47,"Sub"))))</f>
        <v/>
      </c>
      <c r="B47" s="57" t="n"/>
      <c r="C47" s="58" t="n"/>
      <c r="D47" s="58" t="n"/>
      <c r="E47" s="59" t="n"/>
      <c r="F47" s="59" t="n"/>
      <c r="G47" s="59" t="n"/>
      <c r="H47" s="60" t="n"/>
      <c r="I47" s="60" t="n"/>
      <c r="J47" s="60" t="n"/>
      <c r="K47" s="60" t="n"/>
      <c r="L47" s="60" t="n"/>
      <c r="M47" s="61">
        <f>IF(NOT((COUNTA($B47:$D47)+COUNTA($G47:$L47)+COUNTA($Q47))&gt;0),"",IF(AND($D47&lt;&gt;"",$V47="Macro"),IF(N($AH47)&gt;0,N(CHOOSE(MATCH($D47,ListaPuestos,0),INDEX('Cronograma R. Operacional'!$M$5:$M$1000,$AH47),INDEX('Cronograma R. Normativo'!$M$5:$M$1000,$AH47),INDEX('Cronograma R. Financiero'!$M$5:$M$1000,$AH47),INDEX('Cronograma Asistente Técnico'!$M$5:$M$1000,$AH47))),0),IF(ISNUMBER($G47),1,IF(N($W47)&gt;0,AVERAGEIFS($X$5:$X$1000,$U$5:$U$1000,ROW(),$V$5:$V$1000,"Sub"),$X47))))</f>
        <v/>
      </c>
      <c r="N47" s="56">
        <f>IF(OR($M47="",$V47="Sub"),"",IF($M47&gt;=1,"Completado",IF($M47&gt;0,"En curso","Pendiente")))</f>
        <v/>
      </c>
      <c r="O47" s="56">
        <f>IF(NOT((COUNTA($B47:$D47)+COUNTA($G47:$L47)+COUNTA($Q47))&gt;0),"",IF(AND(AND($D47&lt;&gt;"",$V47="Macro"),N($AH47)&gt;0),CHOOSE(MATCH($D47,ListaPuestos,0),INDEX('Cronograma R. Operacional'!$O$5:$O$1000,$AH47),INDEX('Cronograma R. Normativo'!$O$5:$O$1000,$AH47),INDEX('Cronograma R. Financiero'!$O$5:$O$1000,$AH47),INDEX('Cronograma Asistente Técnico'!$O$5:$O$1000,$AH47))&amp;"",IF(ISNUMBER($G47),IF(AND(ISNUMBER($AN47),$G47&gt;$AN47),"Cumplida con "&amp;($G47-$AN47)&amp;IF($G47-$AN47=1," día"," días")&amp;" de retraso","Cumplida"),IF(N($M47)&gt;=1,"Cumplida",IF(NOT(ISNUMBER($AN47)),"Sin fecha límite",IF($AN47&lt;FechaRef,"Vencida hace "&amp;(FechaRef-$AN47)&amp;IF(FechaRef-$AN47=1," día"," días"),IF($AN47=FechaRef,"Vence hoy",IF($AN47-FechaRef&lt;=DiasAlerta,"Vence en "&amp;($AN47-FechaRef)&amp;IF($AN47-FechaRef=1," día"," días"),"En plazo"))))))))</f>
        <v/>
      </c>
      <c r="P47" s="62">
        <f>IF(NOT((COUNTA($B47:$D47)+COUNTA($G47:$L47)+COUNTA($Q47))&gt;0),"",IF($D47="","Propia",IF($V47&lt;&gt;"Macro","Solo se delegan macroactividades",IF(N($AH47)&gt;0,"✔ Recibida por "&amp;$D47,"⚠ "&amp;$D47&amp;" aún no la agrega"))))</f>
        <v/>
      </c>
      <c r="Q47" s="58" t="n"/>
      <c r="R47" s="63">
        <f>IF(NOT((COUNTA($B47:$D47)+COUNTA($G47:$L47)+COUNTA($Q47))&gt;0),"",IF((IF($C47="","Falta el nombre de la actividad"&amp;" · ","")&amp;IF(AND($V47="Sub",N($U47)=0),"Subactividad sin macroactividad arriba"&amp;" · ","")&amp;IF($AM47="","Sin fecha de inicio"&amp;" · ","")&amp;IF($AN47="","Sin fecha límite"&amp;" · ","")&amp;IF(AND(LEFT($C47,11)="[Jefatura] ",N($AL47)=0),"No se encuentra en la hoja de la jefatura (elíjala de nuevo en la lista)"&amp;" · ","")&amp;IF(OR(AND($E47&lt;&gt;"",NOT(ISNUMBER($E47))),AND($F47&lt;&gt;"",NOT(ISNUMBER($F47))),AND($G47&lt;&gt;"",NOT(ISNUMBER($G47)))),"Fecha no válida"&amp;" · ","")&amp;IF(AND(ISNUMBER($AM47),ISNUMBER($AN47),$AM47&gt;$AN47),"Inicio posterior a fecha límite"&amp;" · ","")&amp;IF(AND($V47="Macro",$H47&lt;&gt;"",OR(NOT(ISNUMBER($H47)),$H47&lt;0,$H47&gt;1)),"Peso fuera de rango"&amp;" · ","")&amp;IF(AND($V47="Sub",$H47&lt;&gt;""),"Las subactividades no llevan peso (valen igual dentro de su macroactividad)"&amp;" · ","")&amp;IF(AND(N($W47)&gt;0,COUNT($I47:$L47)&gt;0),"Con subactividades: deje vacías las semanas (se calculan solas)"&amp;" · ","")&amp;IF((COUNTIF($I47:$L47,"&gt;1")+COUNTIF($I47:$L47,"&lt;0")+COUNTA($I47:$L47)-COUNT($I47:$L47))&gt;0,"Avance fuera de rango 0-100%"&amp;" · ","")&amp;IF(OR(AND($J47&lt;&gt;"",$J47&lt;$I47),AND($K47&lt;&gt;"",$K47&lt;MAX($I47:$J47)),AND($L47&lt;&gt;"",$L47&lt;MAX($I47:$K47))),"Avance semanal decreciente"&amp;" · ","")&amp;IF(AND(ISNUMBER($AN47),$AN47&lt;FechaRef,IF($V47="Sub",N($X47),N($M47))&lt;1),"Vencida"&amp;" · ","")&amp;IF(AND(ObsObligatoria="Sí",ISNUMBER($AN47),$AN47&lt;FechaRef,IF($V47="Sub",N($X47),N($M47))&lt;1,$Q47=""),"Vencida sin observación"&amp;" · ",""))="","✔ OK","⚠ "&amp;LEFT(IF($C47="","Falta el nombre de la actividad"&amp;" · ","")&amp;IF(AND($V47="Sub",N($U47)=0),"Subactividad sin macroactividad arriba"&amp;" · ","")&amp;IF($AM47="","Sin fecha de inicio"&amp;" · ","")&amp;IF($AN47="","Sin fecha límite"&amp;" · ","")&amp;IF(AND(LEFT($C47,11)="[Jefatura] ",N($AL47)=0),"No se encuentra en la hoja de la jefatura (elíjala de nuevo en la lista)"&amp;" · ","")&amp;IF(OR(AND($E47&lt;&gt;"",NOT(ISNUMBER($E47))),AND($F47&lt;&gt;"",NOT(ISNUMBER($F47))),AND($G47&lt;&gt;"",NOT(ISNUMBER($G47)))),"Fecha no válida"&amp;" · ","")&amp;IF(AND(ISNUMBER($AM47),ISNUMBER($AN47),$AM47&gt;$AN47),"Inicio posterior a fecha límite"&amp;" · ","")&amp;IF(AND($V47="Macro",$H47&lt;&gt;"",OR(NOT(ISNUMBER($H47)),$H47&lt;0,$H47&gt;1)),"Peso fuera de rango"&amp;" · ","")&amp;IF(AND($V47="Sub",$H47&lt;&gt;""),"Las subactividades no llevan peso (valen igual dentro de su macroactividad)"&amp;" · ","")&amp;IF(AND(N($W47)&gt;0,COUNT($I47:$L47)&gt;0),"Con subactividades: deje vacías las semanas (se calculan solas)"&amp;" · ","")&amp;IF((COUNTIF($I47:$L47,"&gt;1")+COUNTIF($I47:$L47,"&lt;0")+COUNTA($I47:$L47)-COUNT($I47:$L47))&gt;0,"Avance fuera de rango 0-100%"&amp;" · ","")&amp;IF(OR(AND($J47&lt;&gt;"",$J47&lt;$I47),AND($K47&lt;&gt;"",$K47&lt;MAX($I47:$J47)),AND($L47&lt;&gt;"",$L47&lt;MAX($I47:$K47))),"Avance semanal decreciente"&amp;" · ","")&amp;IF(AND(ISNUMBER($AN47),$AN47&lt;FechaRef,IF($V47="Sub",N($X47),N($M47))&lt;1),"Vencida"&amp;" · ","")&amp;IF(AND(ObsObligatoria="Sí",ISNUMBER($AN47),$AN47&lt;FechaRef,IF($V47="Sub",N($X47),N($M47))&lt;1,$Q47=""),"Vencida sin observación"&amp;" · ",""),LEN(IF($C47="","Falta el nombre de la actividad"&amp;" · ","")&amp;IF(AND($V47="Sub",N($U47)=0),"Subactividad sin macroactividad arriba"&amp;" · ","")&amp;IF($AM47="","Sin fecha de inicio"&amp;" · ","")&amp;IF($AN47="","Sin fecha límite"&amp;" · ","")&amp;IF(AND(LEFT($C47,11)="[Jefatura] ",N($AL47)=0),"No se encuentra en la hoja de la jefatura (elíjala de nuevo en la lista)"&amp;" · ","")&amp;IF(OR(AND($E47&lt;&gt;"",NOT(ISNUMBER($E47))),AND($F47&lt;&gt;"",NOT(ISNUMBER($F47))),AND($G47&lt;&gt;"",NOT(ISNUMBER($G47)))),"Fecha no válida"&amp;" · ","")&amp;IF(AND(ISNUMBER($AM47),ISNUMBER($AN47),$AM47&gt;$AN47),"Inicio posterior a fecha límite"&amp;" · ","")&amp;IF(AND($V47="Macro",$H47&lt;&gt;"",OR(NOT(ISNUMBER($H47)),$H47&lt;0,$H47&gt;1)),"Peso fuera de rango"&amp;" · ","")&amp;IF(AND($V47="Sub",$H47&lt;&gt;""),"Las subactividades no llevan peso (valen igual dentro de su macroactividad)"&amp;" · ","")&amp;IF(AND(N($W47)&gt;0,COUNT($I47:$L47)&gt;0),"Con subactividades: deje vacías las semanas (se calculan solas)"&amp;" · ","")&amp;IF((COUNTIF($I47:$L47,"&gt;1")+COUNTIF($I47:$L47,"&lt;0")+COUNTA($I47:$L47)-COUNT($I47:$L47))&gt;0,"Avance fuera de rango 0-100%"&amp;" · ","")&amp;IF(OR(AND($J47&lt;&gt;"",$J47&lt;$I47),AND($K47&lt;&gt;"",$K47&lt;MAX($I47:$J47)),AND($L47&lt;&gt;"",$L47&lt;MAX($I47:$K47))),"Avance semanal decreciente"&amp;" · ","")&amp;IF(AND(ISNUMBER($AN47),$AN47&lt;FechaRef,IF($V47="Sub",N($X47),N($M47))&lt;1),"Vencida"&amp;" · ","")&amp;IF(AND(ObsObligatoria="Sí",ISNUMBER($AN47),$AN47&lt;FechaRef,IF($V47="Sub",N($X47),N($M47))&lt;1,$Q47=""),"Vencida sin observación"&amp;" · ",""))-3)))</f>
        <v/>
      </c>
      <c r="S47" s="64">
        <f>IF(NOT((COUNTA($B47:$D47)+COUNTA($G47:$L47)+COUNTA($Q47))&gt;0),"",IF(AND($V47="Sub",N($U47)&gt;0),IF(ISNUMBER(INDEX($AM$5:$AM$1000,$U47-4)),DATE(YEAR(INDEX($AM$5:$AM$1000,$U47-4)),MONTH(INDEX($AM$5:$AM$1000,$U47-4)),1),IF(ISNUMBER(INDEX($AN$5:$AN$1000,$U47-4)),DATE(YEAR(INDEX($AN$5:$AN$1000,$U47-4)),MONTH(INDEX($AN$5:$AN$1000,$U47-4)),1),MesCiclo)),IF(ISNUMBER($AM47),DATE(YEAR($AM47),MONTH($AM47),1),IF(ISNUMBER($AN47),DATE(YEAR($AN47),MONTH($AN47),1),MesCiclo))))</f>
        <v/>
      </c>
      <c r="T47" s="62">
        <f>IF(OR($S47="",$S47&lt;&gt;MesCiclo,$V47&lt;&gt;"Macro"),"",COUNTIFS($S$5:$S47,MesCiclo,$V$5:$V47,"Macro"))</f>
        <v/>
      </c>
      <c r="U47" s="62">
        <f>IF($V47="","",IF($V47="Macro",ROW(),IFERROR(LOOKUP(2,1/($V$5:$V47="Macro"),ROW($V$5:$V47)),0)))</f>
        <v/>
      </c>
      <c r="V47" s="62">
        <f>IF(NOT((COUNTA($B47:$D47)+COUNTA($G47:$L47)+COUNTA($Q47))&gt;0),"",IF($B47="Subactividad","Sub","Macro"))</f>
        <v/>
      </c>
      <c r="W47" s="62">
        <f>IF($V47="Macro",COUNTIFS($U$5:$U$1000,ROW(),$V$5:$V$1000,"Sub"),"")</f>
        <v/>
      </c>
      <c r="X47" s="62">
        <f>IF($V47="","",IF(ISNUMBER($G47),1,IFERROR(LOOKUP(2,1/($I47:$L47&lt;&gt;""),$I47:$L47),0)))</f>
        <v/>
      </c>
      <c r="Y47" s="62">
        <f>IF($V47="","",IF(AND(ISNUMBER($G47),$G47&lt;=IF($S47=MesCiclo,InicioCiclo,$S47+MOD(2-WEEKDAY($S47),7))+6),1,IF(ISNUMBER($I47),$I47,0)))</f>
        <v/>
      </c>
      <c r="Z47" s="62">
        <f>IF($V47="","",IF(AND(ISNUMBER($G47),$G47&lt;=IF($S47=MesCiclo,InicioCiclo,$S47+MOD(2-WEEKDAY($S47),7))+13),1,IF(ISNUMBER($J47),$J47,$Y47)))</f>
        <v/>
      </c>
      <c r="AA47" s="62">
        <f>IF($V47="","",IF(AND(ISNUMBER($G47),$G47&lt;=IF($S47=MesCiclo,InicioCiclo,$S47+MOD(2-WEEKDAY($S47),7))+20),1,IF(ISNUMBER($K47),$K47,$Z47)))</f>
        <v/>
      </c>
      <c r="AB47" s="62">
        <f>IF($V47="","",IF(AND(ISNUMBER($G47),$G47&lt;=IF($S47=MesCiclo,InicioCiclo,$S47+MOD(2-WEEKDAY($S47),7))+27),1,IF(ISNUMBER($L47),$L47,$AA47)))</f>
        <v/>
      </c>
      <c r="AC47" s="62">
        <f>IF($V47="","",IF(AND(ISNUMBER($G47),$G47&lt;=IF($S47=MesCiclo,InicioCiclo,$S47+MOD(2-WEEKDAY($S47),7))+6),1,IF(N($W47)&gt;0,AVERAGEIFS($Y$5:$Y$1000,$U$5:$U$1000,ROW(),$V$5:$V$1000,"Sub"),$Y47)))</f>
        <v/>
      </c>
      <c r="AD47" s="62">
        <f>IF($V47="","",IF(AND(ISNUMBER($G47),$G47&lt;=IF($S47=MesCiclo,InicioCiclo,$S47+MOD(2-WEEKDAY($S47),7))+13),1,IF(N($W47)&gt;0,AVERAGEIFS($Z$5:$Z$1000,$U$5:$U$1000,ROW(),$V$5:$V$1000,"Sub"),$Z47)))</f>
        <v/>
      </c>
      <c r="AE47" s="62">
        <f>IF($V47="","",IF(AND(ISNUMBER($G47),$G47&lt;=IF($S47=MesCiclo,InicioCiclo,$S47+MOD(2-WEEKDAY($S47),7))+20),1,IF(N($W47)&gt;0,AVERAGEIFS($AA$5:$AA$1000,$U$5:$U$1000,ROW(),$V$5:$V$1000,"Sub"),$AA47)))</f>
        <v/>
      </c>
      <c r="AF47" s="62">
        <f>IF($V47="","",IF(AND(ISNUMBER($G47),$G47&lt;=IF($S47=MesCiclo,InicioCiclo,$S47+MOD(2-WEEKDAY($S47),7))+27),1,IF(N($W47)&gt;0,AVERAGEIFS($AB$5:$AB$1000,$U$5:$U$1000,ROW(),$V$5:$V$1000,"Sub"),$AB47)))</f>
        <v/>
      </c>
      <c r="AG47" s="62">
        <f>IF($V47&lt;&gt;"Macro","",IF(COUNTIFS($S$5:$S$1000,$S47,$V$5:$V$1000,"Macro",$H$5:$H$1000,"&gt;0")=0,1/COUNTIFS($S$5:$S$1000,$S47,$V$5:$V$1000,"Macro"),IF(AND(ISNUMBER($H47),N($H47)&gt;0),$H47,SUMIFS($H$5:$H$1000,$S$5:$S$1000,$S47,$V$5:$V$1000,"Macro")/COUNTIFS($S$5:$S$1000,$S47,$V$5:$V$1000,"Macro",$H$5:$H$1000,"&gt;0"))/(COUNTIFS($S$5:$S$1000,$S47,$V$5:$V$1000,"Macro")*SUMIFS($H$5:$H$1000,$S$5:$S$1000,$S47,$V$5:$V$1000,"Macro")/COUNTIFS($S$5:$S$1000,$S47,$V$5:$V$1000,"Macro",$H$5:$H$1000,"&gt;0"))))</f>
        <v/>
      </c>
      <c r="AH47" s="62">
        <f>IF(NOT(AND($D47&lt;&gt;"",$V47="Macro")),"",IFERROR(CHOOSE(MATCH($D47,ListaPuestos,0),MATCH("[Jefatura] "&amp;$C47,'Cronograma R. Operacional'!$C$5:$C$1000,0),MATCH("[Jefatura] "&amp;$C47,'Cronograma R. Normativo'!$C$5:$C$1000,0),MATCH("[Jefatura] "&amp;$C47,'Cronograma R. Financiero'!$C$5:$C$1000,0),MATCH("[Jefatura] "&amp;$C47,'Cronograma Asistente Técnico'!$C$5:$C$1000,0)),0))</f>
        <v/>
      </c>
      <c r="AI47" s="62">
        <f>IF(AND(AND($D47&lt;&gt;"",$V47="Macro"),$S47=MesCiclo),COUNTIFS($D$5:$D47,$D47,$S$5:$S47,MesCiclo,$V$5:$V47,"Macro"),"")</f>
        <v/>
      </c>
      <c r="AJ47" s="62">
        <f>IF($AI47="","",$D47&amp;"|"&amp;$AI47)</f>
        <v/>
      </c>
      <c r="AK47" s="62">
        <f>IF(AND($D47&lt;&gt;"",$V47="Macro"),$D47&amp;"|"&amp;$C47,"")</f>
        <v/>
      </c>
      <c r="AL47" s="62">
        <f>""</f>
        <v/>
      </c>
      <c r="AM47" s="62">
        <f>IF(N($AL47)&gt;0,INDEX(rIni_ADM,$AL47),IF(ISNUMBER($E47),$E47,""))</f>
        <v/>
      </c>
      <c r="AN47" s="62">
        <f>IF(N($AL47)&gt;0,INDEX(rLim_ADM,$AL47),IF(ISNUMBER($F47),$F47,""))</f>
        <v/>
      </c>
    </row>
    <row r="48">
      <c r="A48" s="56">
        <f>IF(NOT((COUNTA($B48:$D48)+COUNTA($G48:$L48)+COUNTA($Q48))&gt;0),"",IF($V48="Macro",COUNTIFS($V$5:$V48,"Macro",$S$5:$S48,$S48),IF(N($U48)=0,"?",COUNTIFS(INDEX($V$5:$V$1000,1):INDEX($V$5:$V$1000,$U48-4),"Macro",INDEX($S$5:$S$1000,1):INDEX($S$5:$S$1000,$U48-4),INDEX($S$5:$S$1000,$U48-4))&amp;"."&amp;COUNTIFS($U$5:$U48,$U48,$V$5:$V48,"Sub"))))</f>
        <v/>
      </c>
      <c r="B48" s="57" t="n"/>
      <c r="C48" s="58" t="n"/>
      <c r="D48" s="58" t="n"/>
      <c r="E48" s="59" t="n"/>
      <c r="F48" s="59" t="n"/>
      <c r="G48" s="59" t="n"/>
      <c r="H48" s="60" t="n"/>
      <c r="I48" s="60" t="n"/>
      <c r="J48" s="60" t="n"/>
      <c r="K48" s="60" t="n"/>
      <c r="L48" s="60" t="n"/>
      <c r="M48" s="61">
        <f>IF(NOT((COUNTA($B48:$D48)+COUNTA($G48:$L48)+COUNTA($Q48))&gt;0),"",IF(AND($D48&lt;&gt;"",$V48="Macro"),IF(N($AH48)&gt;0,N(CHOOSE(MATCH($D48,ListaPuestos,0),INDEX('Cronograma R. Operacional'!$M$5:$M$1000,$AH48),INDEX('Cronograma R. Normativo'!$M$5:$M$1000,$AH48),INDEX('Cronograma R. Financiero'!$M$5:$M$1000,$AH48),INDEX('Cronograma Asistente Técnico'!$M$5:$M$1000,$AH48))),0),IF(ISNUMBER($G48),1,IF(N($W48)&gt;0,AVERAGEIFS($X$5:$X$1000,$U$5:$U$1000,ROW(),$V$5:$V$1000,"Sub"),$X48))))</f>
        <v/>
      </c>
      <c r="N48" s="56">
        <f>IF(OR($M48="",$V48="Sub"),"",IF($M48&gt;=1,"Completado",IF($M48&gt;0,"En curso","Pendiente")))</f>
        <v/>
      </c>
      <c r="O48" s="56">
        <f>IF(NOT((COUNTA($B48:$D48)+COUNTA($G48:$L48)+COUNTA($Q48))&gt;0),"",IF(AND(AND($D48&lt;&gt;"",$V48="Macro"),N($AH48)&gt;0),CHOOSE(MATCH($D48,ListaPuestos,0),INDEX('Cronograma R. Operacional'!$O$5:$O$1000,$AH48),INDEX('Cronograma R. Normativo'!$O$5:$O$1000,$AH48),INDEX('Cronograma R. Financiero'!$O$5:$O$1000,$AH48),INDEX('Cronograma Asistente Técnico'!$O$5:$O$1000,$AH48))&amp;"",IF(ISNUMBER($G48),IF(AND(ISNUMBER($AN48),$G48&gt;$AN48),"Cumplida con "&amp;($G48-$AN48)&amp;IF($G48-$AN48=1," día"," días")&amp;" de retraso","Cumplida"),IF(N($M48)&gt;=1,"Cumplida",IF(NOT(ISNUMBER($AN48)),"Sin fecha límite",IF($AN48&lt;FechaRef,"Vencida hace "&amp;(FechaRef-$AN48)&amp;IF(FechaRef-$AN48=1," día"," días"),IF($AN48=FechaRef,"Vence hoy",IF($AN48-FechaRef&lt;=DiasAlerta,"Vence en "&amp;($AN48-FechaRef)&amp;IF($AN48-FechaRef=1," día"," días"),"En plazo"))))))))</f>
        <v/>
      </c>
      <c r="P48" s="62">
        <f>IF(NOT((COUNTA($B48:$D48)+COUNTA($G48:$L48)+COUNTA($Q48))&gt;0),"",IF($D48="","Propia",IF($V48&lt;&gt;"Macro","Solo se delegan macroactividades",IF(N($AH48)&gt;0,"✔ Recibida por "&amp;$D48,"⚠ "&amp;$D48&amp;" aún no la agrega"))))</f>
        <v/>
      </c>
      <c r="Q48" s="58" t="n"/>
      <c r="R48" s="63">
        <f>IF(NOT((COUNTA($B48:$D48)+COUNTA($G48:$L48)+COUNTA($Q48))&gt;0),"",IF((IF($C48="","Falta el nombre de la actividad"&amp;" · ","")&amp;IF(AND($V48="Sub",N($U48)=0),"Subactividad sin macroactividad arriba"&amp;" · ","")&amp;IF($AM48="","Sin fecha de inicio"&amp;" · ","")&amp;IF($AN48="","Sin fecha límite"&amp;" · ","")&amp;IF(AND(LEFT($C48,11)="[Jefatura] ",N($AL48)=0),"No se encuentra en la hoja de la jefatura (elíjala de nuevo en la lista)"&amp;" · ","")&amp;IF(OR(AND($E48&lt;&gt;"",NOT(ISNUMBER($E48))),AND($F48&lt;&gt;"",NOT(ISNUMBER($F48))),AND($G48&lt;&gt;"",NOT(ISNUMBER($G48)))),"Fecha no válida"&amp;" · ","")&amp;IF(AND(ISNUMBER($AM48),ISNUMBER($AN48),$AM48&gt;$AN48),"Inicio posterior a fecha límite"&amp;" · ","")&amp;IF(AND($V48="Macro",$H48&lt;&gt;"",OR(NOT(ISNUMBER($H48)),$H48&lt;0,$H48&gt;1)),"Peso fuera de rango"&amp;" · ","")&amp;IF(AND($V48="Sub",$H48&lt;&gt;""),"Las subactividades no llevan peso (valen igual dentro de su macroactividad)"&amp;" · ","")&amp;IF(AND(N($W48)&gt;0,COUNT($I48:$L48)&gt;0),"Con subactividades: deje vacías las semanas (se calculan solas)"&amp;" · ","")&amp;IF((COUNTIF($I48:$L48,"&gt;1")+COUNTIF($I48:$L48,"&lt;0")+COUNTA($I48:$L48)-COUNT($I48:$L48))&gt;0,"Avance fuera de rango 0-100%"&amp;" · ","")&amp;IF(OR(AND($J48&lt;&gt;"",$J48&lt;$I48),AND($K48&lt;&gt;"",$K48&lt;MAX($I48:$J48)),AND($L48&lt;&gt;"",$L48&lt;MAX($I48:$K48))),"Avance semanal decreciente"&amp;" · ","")&amp;IF(AND(ISNUMBER($AN48),$AN48&lt;FechaRef,IF($V48="Sub",N($X48),N($M48))&lt;1),"Vencida"&amp;" · ","")&amp;IF(AND(ObsObligatoria="Sí",ISNUMBER($AN48),$AN48&lt;FechaRef,IF($V48="Sub",N($X48),N($M48))&lt;1,$Q48=""),"Vencida sin observación"&amp;" · ",""))="","✔ OK","⚠ "&amp;LEFT(IF($C48="","Falta el nombre de la actividad"&amp;" · ","")&amp;IF(AND($V48="Sub",N($U48)=0),"Subactividad sin macroactividad arriba"&amp;" · ","")&amp;IF($AM48="","Sin fecha de inicio"&amp;" · ","")&amp;IF($AN48="","Sin fecha límite"&amp;" · ","")&amp;IF(AND(LEFT($C48,11)="[Jefatura] ",N($AL48)=0),"No se encuentra en la hoja de la jefatura (elíjala de nuevo en la lista)"&amp;" · ","")&amp;IF(OR(AND($E48&lt;&gt;"",NOT(ISNUMBER($E48))),AND($F48&lt;&gt;"",NOT(ISNUMBER($F48))),AND($G48&lt;&gt;"",NOT(ISNUMBER($G48)))),"Fecha no válida"&amp;" · ","")&amp;IF(AND(ISNUMBER($AM48),ISNUMBER($AN48),$AM48&gt;$AN48),"Inicio posterior a fecha límite"&amp;" · ","")&amp;IF(AND($V48="Macro",$H48&lt;&gt;"",OR(NOT(ISNUMBER($H48)),$H48&lt;0,$H48&gt;1)),"Peso fuera de rango"&amp;" · ","")&amp;IF(AND($V48="Sub",$H48&lt;&gt;""),"Las subactividades no llevan peso (valen igual dentro de su macroactividad)"&amp;" · ","")&amp;IF(AND(N($W48)&gt;0,COUNT($I48:$L48)&gt;0),"Con subactividades: deje vacías las semanas (se calculan solas)"&amp;" · ","")&amp;IF((COUNTIF($I48:$L48,"&gt;1")+COUNTIF($I48:$L48,"&lt;0")+COUNTA($I48:$L48)-COUNT($I48:$L48))&gt;0,"Avance fuera de rango 0-100%"&amp;" · ","")&amp;IF(OR(AND($J48&lt;&gt;"",$J48&lt;$I48),AND($K48&lt;&gt;"",$K48&lt;MAX($I48:$J48)),AND($L48&lt;&gt;"",$L48&lt;MAX($I48:$K48))),"Avance semanal decreciente"&amp;" · ","")&amp;IF(AND(ISNUMBER($AN48),$AN48&lt;FechaRef,IF($V48="Sub",N($X48),N($M48))&lt;1),"Vencida"&amp;" · ","")&amp;IF(AND(ObsObligatoria="Sí",ISNUMBER($AN48),$AN48&lt;FechaRef,IF($V48="Sub",N($X48),N($M48))&lt;1,$Q48=""),"Vencida sin observación"&amp;" · ",""),LEN(IF($C48="","Falta el nombre de la actividad"&amp;" · ","")&amp;IF(AND($V48="Sub",N($U48)=0),"Subactividad sin macroactividad arriba"&amp;" · ","")&amp;IF($AM48="","Sin fecha de inicio"&amp;" · ","")&amp;IF($AN48="","Sin fecha límite"&amp;" · ","")&amp;IF(AND(LEFT($C48,11)="[Jefatura] ",N($AL48)=0),"No se encuentra en la hoja de la jefatura (elíjala de nuevo en la lista)"&amp;" · ","")&amp;IF(OR(AND($E48&lt;&gt;"",NOT(ISNUMBER($E48))),AND($F48&lt;&gt;"",NOT(ISNUMBER($F48))),AND($G48&lt;&gt;"",NOT(ISNUMBER($G48)))),"Fecha no válida"&amp;" · ","")&amp;IF(AND(ISNUMBER($AM48),ISNUMBER($AN48),$AM48&gt;$AN48),"Inicio posterior a fecha límite"&amp;" · ","")&amp;IF(AND($V48="Macro",$H48&lt;&gt;"",OR(NOT(ISNUMBER($H48)),$H48&lt;0,$H48&gt;1)),"Peso fuera de rango"&amp;" · ","")&amp;IF(AND($V48="Sub",$H48&lt;&gt;""),"Las subactividades no llevan peso (valen igual dentro de su macroactividad)"&amp;" · ","")&amp;IF(AND(N($W48)&gt;0,COUNT($I48:$L48)&gt;0),"Con subactividades: deje vacías las semanas (se calculan solas)"&amp;" · ","")&amp;IF((COUNTIF($I48:$L48,"&gt;1")+COUNTIF($I48:$L48,"&lt;0")+COUNTA($I48:$L48)-COUNT($I48:$L48))&gt;0,"Avance fuera de rango 0-100%"&amp;" · ","")&amp;IF(OR(AND($J48&lt;&gt;"",$J48&lt;$I48),AND($K48&lt;&gt;"",$K48&lt;MAX($I48:$J48)),AND($L48&lt;&gt;"",$L48&lt;MAX($I48:$K48))),"Avance semanal decreciente"&amp;" · ","")&amp;IF(AND(ISNUMBER($AN48),$AN48&lt;FechaRef,IF($V48="Sub",N($X48),N($M48))&lt;1),"Vencida"&amp;" · ","")&amp;IF(AND(ObsObligatoria="Sí",ISNUMBER($AN48),$AN48&lt;FechaRef,IF($V48="Sub",N($X48),N($M48))&lt;1,$Q48=""),"Vencida sin observación"&amp;" · ",""))-3)))</f>
        <v/>
      </c>
      <c r="S48" s="64">
        <f>IF(NOT((COUNTA($B48:$D48)+COUNTA($G48:$L48)+COUNTA($Q48))&gt;0),"",IF(AND($V48="Sub",N($U48)&gt;0),IF(ISNUMBER(INDEX($AM$5:$AM$1000,$U48-4)),DATE(YEAR(INDEX($AM$5:$AM$1000,$U48-4)),MONTH(INDEX($AM$5:$AM$1000,$U48-4)),1),IF(ISNUMBER(INDEX($AN$5:$AN$1000,$U48-4)),DATE(YEAR(INDEX($AN$5:$AN$1000,$U48-4)),MONTH(INDEX($AN$5:$AN$1000,$U48-4)),1),MesCiclo)),IF(ISNUMBER($AM48),DATE(YEAR($AM48),MONTH($AM48),1),IF(ISNUMBER($AN48),DATE(YEAR($AN48),MONTH($AN48),1),MesCiclo))))</f>
        <v/>
      </c>
      <c r="T48" s="62">
        <f>IF(OR($S48="",$S48&lt;&gt;MesCiclo,$V48&lt;&gt;"Macro"),"",COUNTIFS($S$5:$S48,MesCiclo,$V$5:$V48,"Macro"))</f>
        <v/>
      </c>
      <c r="U48" s="62">
        <f>IF($V48="","",IF($V48="Macro",ROW(),IFERROR(LOOKUP(2,1/($V$5:$V48="Macro"),ROW($V$5:$V48)),0)))</f>
        <v/>
      </c>
      <c r="V48" s="62">
        <f>IF(NOT((COUNTA($B48:$D48)+COUNTA($G48:$L48)+COUNTA($Q48))&gt;0),"",IF($B48="Subactividad","Sub","Macro"))</f>
        <v/>
      </c>
      <c r="W48" s="62">
        <f>IF($V48="Macro",COUNTIFS($U$5:$U$1000,ROW(),$V$5:$V$1000,"Sub"),"")</f>
        <v/>
      </c>
      <c r="X48" s="62">
        <f>IF($V48="","",IF(ISNUMBER($G48),1,IFERROR(LOOKUP(2,1/($I48:$L48&lt;&gt;""),$I48:$L48),0)))</f>
        <v/>
      </c>
      <c r="Y48" s="62">
        <f>IF($V48="","",IF(AND(ISNUMBER($G48),$G48&lt;=IF($S48=MesCiclo,InicioCiclo,$S48+MOD(2-WEEKDAY($S48),7))+6),1,IF(ISNUMBER($I48),$I48,0)))</f>
        <v/>
      </c>
      <c r="Z48" s="62">
        <f>IF($V48="","",IF(AND(ISNUMBER($G48),$G48&lt;=IF($S48=MesCiclo,InicioCiclo,$S48+MOD(2-WEEKDAY($S48),7))+13),1,IF(ISNUMBER($J48),$J48,$Y48)))</f>
        <v/>
      </c>
      <c r="AA48" s="62">
        <f>IF($V48="","",IF(AND(ISNUMBER($G48),$G48&lt;=IF($S48=MesCiclo,InicioCiclo,$S48+MOD(2-WEEKDAY($S48),7))+20),1,IF(ISNUMBER($K48),$K48,$Z48)))</f>
        <v/>
      </c>
      <c r="AB48" s="62">
        <f>IF($V48="","",IF(AND(ISNUMBER($G48),$G48&lt;=IF($S48=MesCiclo,InicioCiclo,$S48+MOD(2-WEEKDAY($S48),7))+27),1,IF(ISNUMBER($L48),$L48,$AA48)))</f>
        <v/>
      </c>
      <c r="AC48" s="62">
        <f>IF($V48="","",IF(AND(ISNUMBER($G48),$G48&lt;=IF($S48=MesCiclo,InicioCiclo,$S48+MOD(2-WEEKDAY($S48),7))+6),1,IF(N($W48)&gt;0,AVERAGEIFS($Y$5:$Y$1000,$U$5:$U$1000,ROW(),$V$5:$V$1000,"Sub"),$Y48)))</f>
        <v/>
      </c>
      <c r="AD48" s="62">
        <f>IF($V48="","",IF(AND(ISNUMBER($G48),$G48&lt;=IF($S48=MesCiclo,InicioCiclo,$S48+MOD(2-WEEKDAY($S48),7))+13),1,IF(N($W48)&gt;0,AVERAGEIFS($Z$5:$Z$1000,$U$5:$U$1000,ROW(),$V$5:$V$1000,"Sub"),$Z48)))</f>
        <v/>
      </c>
      <c r="AE48" s="62">
        <f>IF($V48="","",IF(AND(ISNUMBER($G48),$G48&lt;=IF($S48=MesCiclo,InicioCiclo,$S48+MOD(2-WEEKDAY($S48),7))+20),1,IF(N($W48)&gt;0,AVERAGEIFS($AA$5:$AA$1000,$U$5:$U$1000,ROW(),$V$5:$V$1000,"Sub"),$AA48)))</f>
        <v/>
      </c>
      <c r="AF48" s="62">
        <f>IF($V48="","",IF(AND(ISNUMBER($G48),$G48&lt;=IF($S48=MesCiclo,InicioCiclo,$S48+MOD(2-WEEKDAY($S48),7))+27),1,IF(N($W48)&gt;0,AVERAGEIFS($AB$5:$AB$1000,$U$5:$U$1000,ROW(),$V$5:$V$1000,"Sub"),$AB48)))</f>
        <v/>
      </c>
      <c r="AG48" s="62">
        <f>IF($V48&lt;&gt;"Macro","",IF(COUNTIFS($S$5:$S$1000,$S48,$V$5:$V$1000,"Macro",$H$5:$H$1000,"&gt;0")=0,1/COUNTIFS($S$5:$S$1000,$S48,$V$5:$V$1000,"Macro"),IF(AND(ISNUMBER($H48),N($H48)&gt;0),$H48,SUMIFS($H$5:$H$1000,$S$5:$S$1000,$S48,$V$5:$V$1000,"Macro")/COUNTIFS($S$5:$S$1000,$S48,$V$5:$V$1000,"Macro",$H$5:$H$1000,"&gt;0"))/(COUNTIFS($S$5:$S$1000,$S48,$V$5:$V$1000,"Macro")*SUMIFS($H$5:$H$1000,$S$5:$S$1000,$S48,$V$5:$V$1000,"Macro")/COUNTIFS($S$5:$S$1000,$S48,$V$5:$V$1000,"Macro",$H$5:$H$1000,"&gt;0"))))</f>
        <v/>
      </c>
      <c r="AH48" s="62">
        <f>IF(NOT(AND($D48&lt;&gt;"",$V48="Macro")),"",IFERROR(CHOOSE(MATCH($D48,ListaPuestos,0),MATCH("[Jefatura] "&amp;$C48,'Cronograma R. Operacional'!$C$5:$C$1000,0),MATCH("[Jefatura] "&amp;$C48,'Cronograma R. Normativo'!$C$5:$C$1000,0),MATCH("[Jefatura] "&amp;$C48,'Cronograma R. Financiero'!$C$5:$C$1000,0),MATCH("[Jefatura] "&amp;$C48,'Cronograma Asistente Técnico'!$C$5:$C$1000,0)),0))</f>
        <v/>
      </c>
      <c r="AI48" s="62">
        <f>IF(AND(AND($D48&lt;&gt;"",$V48="Macro"),$S48=MesCiclo),COUNTIFS($D$5:$D48,$D48,$S$5:$S48,MesCiclo,$V$5:$V48,"Macro"),"")</f>
        <v/>
      </c>
      <c r="AJ48" s="62">
        <f>IF($AI48="","",$D48&amp;"|"&amp;$AI48)</f>
        <v/>
      </c>
      <c r="AK48" s="62">
        <f>IF(AND($D48&lt;&gt;"",$V48="Macro"),$D48&amp;"|"&amp;$C48,"")</f>
        <v/>
      </c>
      <c r="AL48" s="62">
        <f>""</f>
        <v/>
      </c>
      <c r="AM48" s="62">
        <f>IF(N($AL48)&gt;0,INDEX(rIni_ADM,$AL48),IF(ISNUMBER($E48),$E48,""))</f>
        <v/>
      </c>
      <c r="AN48" s="62">
        <f>IF(N($AL48)&gt;0,INDEX(rLim_ADM,$AL48),IF(ISNUMBER($F48),$F48,""))</f>
        <v/>
      </c>
    </row>
    <row r="49">
      <c r="A49" s="56">
        <f>IF(NOT((COUNTA($B49:$D49)+COUNTA($G49:$L49)+COUNTA($Q49))&gt;0),"",IF($V49="Macro",COUNTIFS($V$5:$V49,"Macro",$S$5:$S49,$S49),IF(N($U49)=0,"?",COUNTIFS(INDEX($V$5:$V$1000,1):INDEX($V$5:$V$1000,$U49-4),"Macro",INDEX($S$5:$S$1000,1):INDEX($S$5:$S$1000,$U49-4),INDEX($S$5:$S$1000,$U49-4))&amp;"."&amp;COUNTIFS($U$5:$U49,$U49,$V$5:$V49,"Sub"))))</f>
        <v/>
      </c>
      <c r="B49" s="57" t="n"/>
      <c r="C49" s="58" t="n"/>
      <c r="D49" s="58" t="n"/>
      <c r="E49" s="59" t="n"/>
      <c r="F49" s="59" t="n"/>
      <c r="G49" s="59" t="n"/>
      <c r="H49" s="60" t="n"/>
      <c r="I49" s="60" t="n"/>
      <c r="J49" s="60" t="n"/>
      <c r="K49" s="60" t="n"/>
      <c r="L49" s="60" t="n"/>
      <c r="M49" s="61">
        <f>IF(NOT((COUNTA($B49:$D49)+COUNTA($G49:$L49)+COUNTA($Q49))&gt;0),"",IF(AND($D49&lt;&gt;"",$V49="Macro"),IF(N($AH49)&gt;0,N(CHOOSE(MATCH($D49,ListaPuestos,0),INDEX('Cronograma R. Operacional'!$M$5:$M$1000,$AH49),INDEX('Cronograma R. Normativo'!$M$5:$M$1000,$AH49),INDEX('Cronograma R. Financiero'!$M$5:$M$1000,$AH49),INDEX('Cronograma Asistente Técnico'!$M$5:$M$1000,$AH49))),0),IF(ISNUMBER($G49),1,IF(N($W49)&gt;0,AVERAGEIFS($X$5:$X$1000,$U$5:$U$1000,ROW(),$V$5:$V$1000,"Sub"),$X49))))</f>
        <v/>
      </c>
      <c r="N49" s="56">
        <f>IF(OR($M49="",$V49="Sub"),"",IF($M49&gt;=1,"Completado",IF($M49&gt;0,"En curso","Pendiente")))</f>
        <v/>
      </c>
      <c r="O49" s="56">
        <f>IF(NOT((COUNTA($B49:$D49)+COUNTA($G49:$L49)+COUNTA($Q49))&gt;0),"",IF(AND(AND($D49&lt;&gt;"",$V49="Macro"),N($AH49)&gt;0),CHOOSE(MATCH($D49,ListaPuestos,0),INDEX('Cronograma R. Operacional'!$O$5:$O$1000,$AH49),INDEX('Cronograma R. Normativo'!$O$5:$O$1000,$AH49),INDEX('Cronograma R. Financiero'!$O$5:$O$1000,$AH49),INDEX('Cronograma Asistente Técnico'!$O$5:$O$1000,$AH49))&amp;"",IF(ISNUMBER($G49),IF(AND(ISNUMBER($AN49),$G49&gt;$AN49),"Cumplida con "&amp;($G49-$AN49)&amp;IF($G49-$AN49=1," día"," días")&amp;" de retraso","Cumplida"),IF(N($M49)&gt;=1,"Cumplida",IF(NOT(ISNUMBER($AN49)),"Sin fecha límite",IF($AN49&lt;FechaRef,"Vencida hace "&amp;(FechaRef-$AN49)&amp;IF(FechaRef-$AN49=1," día"," días"),IF($AN49=FechaRef,"Vence hoy",IF($AN49-FechaRef&lt;=DiasAlerta,"Vence en "&amp;($AN49-FechaRef)&amp;IF($AN49-FechaRef=1," día"," días"),"En plazo"))))))))</f>
        <v/>
      </c>
      <c r="P49" s="62">
        <f>IF(NOT((COUNTA($B49:$D49)+COUNTA($G49:$L49)+COUNTA($Q49))&gt;0),"",IF($D49="","Propia",IF($V49&lt;&gt;"Macro","Solo se delegan macroactividades",IF(N($AH49)&gt;0,"✔ Recibida por "&amp;$D49,"⚠ "&amp;$D49&amp;" aún no la agrega"))))</f>
        <v/>
      </c>
      <c r="Q49" s="58" t="n"/>
      <c r="R49" s="63">
        <f>IF(NOT((COUNTA($B49:$D49)+COUNTA($G49:$L49)+COUNTA($Q49))&gt;0),"",IF((IF($C49="","Falta el nombre de la actividad"&amp;" · ","")&amp;IF(AND($V49="Sub",N($U49)=0),"Subactividad sin macroactividad arriba"&amp;" · ","")&amp;IF($AM49="","Sin fecha de inicio"&amp;" · ","")&amp;IF($AN49="","Sin fecha límite"&amp;" · ","")&amp;IF(AND(LEFT($C49,11)="[Jefatura] ",N($AL49)=0),"No se encuentra en la hoja de la jefatura (elíjala de nuevo en la lista)"&amp;" · ","")&amp;IF(OR(AND($E49&lt;&gt;"",NOT(ISNUMBER($E49))),AND($F49&lt;&gt;"",NOT(ISNUMBER($F49))),AND($G49&lt;&gt;"",NOT(ISNUMBER($G49)))),"Fecha no válida"&amp;" · ","")&amp;IF(AND(ISNUMBER($AM49),ISNUMBER($AN49),$AM49&gt;$AN49),"Inicio posterior a fecha límite"&amp;" · ","")&amp;IF(AND($V49="Macro",$H49&lt;&gt;"",OR(NOT(ISNUMBER($H49)),$H49&lt;0,$H49&gt;1)),"Peso fuera de rango"&amp;" · ","")&amp;IF(AND($V49="Sub",$H49&lt;&gt;""),"Las subactividades no llevan peso (valen igual dentro de su macroactividad)"&amp;" · ","")&amp;IF(AND(N($W49)&gt;0,COUNT($I49:$L49)&gt;0),"Con subactividades: deje vacías las semanas (se calculan solas)"&amp;" · ","")&amp;IF((COUNTIF($I49:$L49,"&gt;1")+COUNTIF($I49:$L49,"&lt;0")+COUNTA($I49:$L49)-COUNT($I49:$L49))&gt;0,"Avance fuera de rango 0-100%"&amp;" · ","")&amp;IF(OR(AND($J49&lt;&gt;"",$J49&lt;$I49),AND($K49&lt;&gt;"",$K49&lt;MAX($I49:$J49)),AND($L49&lt;&gt;"",$L49&lt;MAX($I49:$K49))),"Avance semanal decreciente"&amp;" · ","")&amp;IF(AND(ISNUMBER($AN49),$AN49&lt;FechaRef,IF($V49="Sub",N($X49),N($M49))&lt;1),"Vencida"&amp;" · ","")&amp;IF(AND(ObsObligatoria="Sí",ISNUMBER($AN49),$AN49&lt;FechaRef,IF($V49="Sub",N($X49),N($M49))&lt;1,$Q49=""),"Vencida sin observación"&amp;" · ",""))="","✔ OK","⚠ "&amp;LEFT(IF($C49="","Falta el nombre de la actividad"&amp;" · ","")&amp;IF(AND($V49="Sub",N($U49)=0),"Subactividad sin macroactividad arriba"&amp;" · ","")&amp;IF($AM49="","Sin fecha de inicio"&amp;" · ","")&amp;IF($AN49="","Sin fecha límite"&amp;" · ","")&amp;IF(AND(LEFT($C49,11)="[Jefatura] ",N($AL49)=0),"No se encuentra en la hoja de la jefatura (elíjala de nuevo en la lista)"&amp;" · ","")&amp;IF(OR(AND($E49&lt;&gt;"",NOT(ISNUMBER($E49))),AND($F49&lt;&gt;"",NOT(ISNUMBER($F49))),AND($G49&lt;&gt;"",NOT(ISNUMBER($G49)))),"Fecha no válida"&amp;" · ","")&amp;IF(AND(ISNUMBER($AM49),ISNUMBER($AN49),$AM49&gt;$AN49),"Inicio posterior a fecha límite"&amp;" · ","")&amp;IF(AND($V49="Macro",$H49&lt;&gt;"",OR(NOT(ISNUMBER($H49)),$H49&lt;0,$H49&gt;1)),"Peso fuera de rango"&amp;" · ","")&amp;IF(AND($V49="Sub",$H49&lt;&gt;""),"Las subactividades no llevan peso (valen igual dentro de su macroactividad)"&amp;" · ","")&amp;IF(AND(N($W49)&gt;0,COUNT($I49:$L49)&gt;0),"Con subactividades: deje vacías las semanas (se calculan solas)"&amp;" · ","")&amp;IF((COUNTIF($I49:$L49,"&gt;1")+COUNTIF($I49:$L49,"&lt;0")+COUNTA($I49:$L49)-COUNT($I49:$L49))&gt;0,"Avance fuera de rango 0-100%"&amp;" · ","")&amp;IF(OR(AND($J49&lt;&gt;"",$J49&lt;$I49),AND($K49&lt;&gt;"",$K49&lt;MAX($I49:$J49)),AND($L49&lt;&gt;"",$L49&lt;MAX($I49:$K49))),"Avance semanal decreciente"&amp;" · ","")&amp;IF(AND(ISNUMBER($AN49),$AN49&lt;FechaRef,IF($V49="Sub",N($X49),N($M49))&lt;1),"Vencida"&amp;" · ","")&amp;IF(AND(ObsObligatoria="Sí",ISNUMBER($AN49),$AN49&lt;FechaRef,IF($V49="Sub",N($X49),N($M49))&lt;1,$Q49=""),"Vencida sin observación"&amp;" · ",""),LEN(IF($C49="","Falta el nombre de la actividad"&amp;" · ","")&amp;IF(AND($V49="Sub",N($U49)=0),"Subactividad sin macroactividad arriba"&amp;" · ","")&amp;IF($AM49="","Sin fecha de inicio"&amp;" · ","")&amp;IF($AN49="","Sin fecha límite"&amp;" · ","")&amp;IF(AND(LEFT($C49,11)="[Jefatura] ",N($AL49)=0),"No se encuentra en la hoja de la jefatura (elíjala de nuevo en la lista)"&amp;" · ","")&amp;IF(OR(AND($E49&lt;&gt;"",NOT(ISNUMBER($E49))),AND($F49&lt;&gt;"",NOT(ISNUMBER($F49))),AND($G49&lt;&gt;"",NOT(ISNUMBER($G49)))),"Fecha no válida"&amp;" · ","")&amp;IF(AND(ISNUMBER($AM49),ISNUMBER($AN49),$AM49&gt;$AN49),"Inicio posterior a fecha límite"&amp;" · ","")&amp;IF(AND($V49="Macro",$H49&lt;&gt;"",OR(NOT(ISNUMBER($H49)),$H49&lt;0,$H49&gt;1)),"Peso fuera de rango"&amp;" · ","")&amp;IF(AND($V49="Sub",$H49&lt;&gt;""),"Las subactividades no llevan peso (valen igual dentro de su macroactividad)"&amp;" · ","")&amp;IF(AND(N($W49)&gt;0,COUNT($I49:$L49)&gt;0),"Con subactividades: deje vacías las semanas (se calculan solas)"&amp;" · ","")&amp;IF((COUNTIF($I49:$L49,"&gt;1")+COUNTIF($I49:$L49,"&lt;0")+COUNTA($I49:$L49)-COUNT($I49:$L49))&gt;0,"Avance fuera de rango 0-100%"&amp;" · ","")&amp;IF(OR(AND($J49&lt;&gt;"",$J49&lt;$I49),AND($K49&lt;&gt;"",$K49&lt;MAX($I49:$J49)),AND($L49&lt;&gt;"",$L49&lt;MAX($I49:$K49))),"Avance semanal decreciente"&amp;" · ","")&amp;IF(AND(ISNUMBER($AN49),$AN49&lt;FechaRef,IF($V49="Sub",N($X49),N($M49))&lt;1),"Vencida"&amp;" · ","")&amp;IF(AND(ObsObligatoria="Sí",ISNUMBER($AN49),$AN49&lt;FechaRef,IF($V49="Sub",N($X49),N($M49))&lt;1,$Q49=""),"Vencida sin observación"&amp;" · ",""))-3)))</f>
        <v/>
      </c>
      <c r="S49" s="64">
        <f>IF(NOT((COUNTA($B49:$D49)+COUNTA($G49:$L49)+COUNTA($Q49))&gt;0),"",IF(AND($V49="Sub",N($U49)&gt;0),IF(ISNUMBER(INDEX($AM$5:$AM$1000,$U49-4)),DATE(YEAR(INDEX($AM$5:$AM$1000,$U49-4)),MONTH(INDEX($AM$5:$AM$1000,$U49-4)),1),IF(ISNUMBER(INDEX($AN$5:$AN$1000,$U49-4)),DATE(YEAR(INDEX($AN$5:$AN$1000,$U49-4)),MONTH(INDEX($AN$5:$AN$1000,$U49-4)),1),MesCiclo)),IF(ISNUMBER($AM49),DATE(YEAR($AM49),MONTH($AM49),1),IF(ISNUMBER($AN49),DATE(YEAR($AN49),MONTH($AN49),1),MesCiclo))))</f>
        <v/>
      </c>
      <c r="T49" s="62">
        <f>IF(OR($S49="",$S49&lt;&gt;MesCiclo,$V49&lt;&gt;"Macro"),"",COUNTIFS($S$5:$S49,MesCiclo,$V$5:$V49,"Macro"))</f>
        <v/>
      </c>
      <c r="U49" s="62">
        <f>IF($V49="","",IF($V49="Macro",ROW(),IFERROR(LOOKUP(2,1/($V$5:$V49="Macro"),ROW($V$5:$V49)),0)))</f>
        <v/>
      </c>
      <c r="V49" s="62">
        <f>IF(NOT((COUNTA($B49:$D49)+COUNTA($G49:$L49)+COUNTA($Q49))&gt;0),"",IF($B49="Subactividad","Sub","Macro"))</f>
        <v/>
      </c>
      <c r="W49" s="62">
        <f>IF($V49="Macro",COUNTIFS($U$5:$U$1000,ROW(),$V$5:$V$1000,"Sub"),"")</f>
        <v/>
      </c>
      <c r="X49" s="62">
        <f>IF($V49="","",IF(ISNUMBER($G49),1,IFERROR(LOOKUP(2,1/($I49:$L49&lt;&gt;""),$I49:$L49),0)))</f>
        <v/>
      </c>
      <c r="Y49" s="62">
        <f>IF($V49="","",IF(AND(ISNUMBER($G49),$G49&lt;=IF($S49=MesCiclo,InicioCiclo,$S49+MOD(2-WEEKDAY($S49),7))+6),1,IF(ISNUMBER($I49),$I49,0)))</f>
        <v/>
      </c>
      <c r="Z49" s="62">
        <f>IF($V49="","",IF(AND(ISNUMBER($G49),$G49&lt;=IF($S49=MesCiclo,InicioCiclo,$S49+MOD(2-WEEKDAY($S49),7))+13),1,IF(ISNUMBER($J49),$J49,$Y49)))</f>
        <v/>
      </c>
      <c r="AA49" s="62">
        <f>IF($V49="","",IF(AND(ISNUMBER($G49),$G49&lt;=IF($S49=MesCiclo,InicioCiclo,$S49+MOD(2-WEEKDAY($S49),7))+20),1,IF(ISNUMBER($K49),$K49,$Z49)))</f>
        <v/>
      </c>
      <c r="AB49" s="62">
        <f>IF($V49="","",IF(AND(ISNUMBER($G49),$G49&lt;=IF($S49=MesCiclo,InicioCiclo,$S49+MOD(2-WEEKDAY($S49),7))+27),1,IF(ISNUMBER($L49),$L49,$AA49)))</f>
        <v/>
      </c>
      <c r="AC49" s="62">
        <f>IF($V49="","",IF(AND(ISNUMBER($G49),$G49&lt;=IF($S49=MesCiclo,InicioCiclo,$S49+MOD(2-WEEKDAY($S49),7))+6),1,IF(N($W49)&gt;0,AVERAGEIFS($Y$5:$Y$1000,$U$5:$U$1000,ROW(),$V$5:$V$1000,"Sub"),$Y49)))</f>
        <v/>
      </c>
      <c r="AD49" s="62">
        <f>IF($V49="","",IF(AND(ISNUMBER($G49),$G49&lt;=IF($S49=MesCiclo,InicioCiclo,$S49+MOD(2-WEEKDAY($S49),7))+13),1,IF(N($W49)&gt;0,AVERAGEIFS($Z$5:$Z$1000,$U$5:$U$1000,ROW(),$V$5:$V$1000,"Sub"),$Z49)))</f>
        <v/>
      </c>
      <c r="AE49" s="62">
        <f>IF($V49="","",IF(AND(ISNUMBER($G49),$G49&lt;=IF($S49=MesCiclo,InicioCiclo,$S49+MOD(2-WEEKDAY($S49),7))+20),1,IF(N($W49)&gt;0,AVERAGEIFS($AA$5:$AA$1000,$U$5:$U$1000,ROW(),$V$5:$V$1000,"Sub"),$AA49)))</f>
        <v/>
      </c>
      <c r="AF49" s="62">
        <f>IF($V49="","",IF(AND(ISNUMBER($G49),$G49&lt;=IF($S49=MesCiclo,InicioCiclo,$S49+MOD(2-WEEKDAY($S49),7))+27),1,IF(N($W49)&gt;0,AVERAGEIFS($AB$5:$AB$1000,$U$5:$U$1000,ROW(),$V$5:$V$1000,"Sub"),$AB49)))</f>
        <v/>
      </c>
      <c r="AG49" s="62">
        <f>IF($V49&lt;&gt;"Macro","",IF(COUNTIFS($S$5:$S$1000,$S49,$V$5:$V$1000,"Macro",$H$5:$H$1000,"&gt;0")=0,1/COUNTIFS($S$5:$S$1000,$S49,$V$5:$V$1000,"Macro"),IF(AND(ISNUMBER($H49),N($H49)&gt;0),$H49,SUMIFS($H$5:$H$1000,$S$5:$S$1000,$S49,$V$5:$V$1000,"Macro")/COUNTIFS($S$5:$S$1000,$S49,$V$5:$V$1000,"Macro",$H$5:$H$1000,"&gt;0"))/(COUNTIFS($S$5:$S$1000,$S49,$V$5:$V$1000,"Macro")*SUMIFS($H$5:$H$1000,$S$5:$S$1000,$S49,$V$5:$V$1000,"Macro")/COUNTIFS($S$5:$S$1000,$S49,$V$5:$V$1000,"Macro",$H$5:$H$1000,"&gt;0"))))</f>
        <v/>
      </c>
      <c r="AH49" s="62">
        <f>IF(NOT(AND($D49&lt;&gt;"",$V49="Macro")),"",IFERROR(CHOOSE(MATCH($D49,ListaPuestos,0),MATCH("[Jefatura] "&amp;$C49,'Cronograma R. Operacional'!$C$5:$C$1000,0),MATCH("[Jefatura] "&amp;$C49,'Cronograma R. Normativo'!$C$5:$C$1000,0),MATCH("[Jefatura] "&amp;$C49,'Cronograma R. Financiero'!$C$5:$C$1000,0),MATCH("[Jefatura] "&amp;$C49,'Cronograma Asistente Técnico'!$C$5:$C$1000,0)),0))</f>
        <v/>
      </c>
      <c r="AI49" s="62">
        <f>IF(AND(AND($D49&lt;&gt;"",$V49="Macro"),$S49=MesCiclo),COUNTIFS($D$5:$D49,$D49,$S$5:$S49,MesCiclo,$V$5:$V49,"Macro"),"")</f>
        <v/>
      </c>
      <c r="AJ49" s="62">
        <f>IF($AI49="","",$D49&amp;"|"&amp;$AI49)</f>
        <v/>
      </c>
      <c r="AK49" s="62">
        <f>IF(AND($D49&lt;&gt;"",$V49="Macro"),$D49&amp;"|"&amp;$C49,"")</f>
        <v/>
      </c>
      <c r="AL49" s="62">
        <f>""</f>
        <v/>
      </c>
      <c r="AM49" s="62">
        <f>IF(N($AL49)&gt;0,INDEX(rIni_ADM,$AL49),IF(ISNUMBER($E49),$E49,""))</f>
        <v/>
      </c>
      <c r="AN49" s="62">
        <f>IF(N($AL49)&gt;0,INDEX(rLim_ADM,$AL49),IF(ISNUMBER($F49),$F49,""))</f>
        <v/>
      </c>
    </row>
    <row r="50">
      <c r="A50" s="56">
        <f>IF(NOT((COUNTA($B50:$D50)+COUNTA($G50:$L50)+COUNTA($Q50))&gt;0),"",IF($V50="Macro",COUNTIFS($V$5:$V50,"Macro",$S$5:$S50,$S50),IF(N($U50)=0,"?",COUNTIFS(INDEX($V$5:$V$1000,1):INDEX($V$5:$V$1000,$U50-4),"Macro",INDEX($S$5:$S$1000,1):INDEX($S$5:$S$1000,$U50-4),INDEX($S$5:$S$1000,$U50-4))&amp;"."&amp;COUNTIFS($U$5:$U50,$U50,$V$5:$V50,"Sub"))))</f>
        <v/>
      </c>
      <c r="B50" s="57" t="n"/>
      <c r="C50" s="58" t="n"/>
      <c r="D50" s="58" t="n"/>
      <c r="E50" s="59" t="n"/>
      <c r="F50" s="59" t="n"/>
      <c r="G50" s="59" t="n"/>
      <c r="H50" s="60" t="n"/>
      <c r="I50" s="60" t="n"/>
      <c r="J50" s="60" t="n"/>
      <c r="K50" s="60" t="n"/>
      <c r="L50" s="60" t="n"/>
      <c r="M50" s="61">
        <f>IF(NOT((COUNTA($B50:$D50)+COUNTA($G50:$L50)+COUNTA($Q50))&gt;0),"",IF(AND($D50&lt;&gt;"",$V50="Macro"),IF(N($AH50)&gt;0,N(CHOOSE(MATCH($D50,ListaPuestos,0),INDEX('Cronograma R. Operacional'!$M$5:$M$1000,$AH50),INDEX('Cronograma R. Normativo'!$M$5:$M$1000,$AH50),INDEX('Cronograma R. Financiero'!$M$5:$M$1000,$AH50),INDEX('Cronograma Asistente Técnico'!$M$5:$M$1000,$AH50))),0),IF(ISNUMBER($G50),1,IF(N($W50)&gt;0,AVERAGEIFS($X$5:$X$1000,$U$5:$U$1000,ROW(),$V$5:$V$1000,"Sub"),$X50))))</f>
        <v/>
      </c>
      <c r="N50" s="56">
        <f>IF(OR($M50="",$V50="Sub"),"",IF($M50&gt;=1,"Completado",IF($M50&gt;0,"En curso","Pendiente")))</f>
        <v/>
      </c>
      <c r="O50" s="56">
        <f>IF(NOT((COUNTA($B50:$D50)+COUNTA($G50:$L50)+COUNTA($Q50))&gt;0),"",IF(AND(AND($D50&lt;&gt;"",$V50="Macro"),N($AH50)&gt;0),CHOOSE(MATCH($D50,ListaPuestos,0),INDEX('Cronograma R. Operacional'!$O$5:$O$1000,$AH50),INDEX('Cronograma R. Normativo'!$O$5:$O$1000,$AH50),INDEX('Cronograma R. Financiero'!$O$5:$O$1000,$AH50),INDEX('Cronograma Asistente Técnico'!$O$5:$O$1000,$AH50))&amp;"",IF(ISNUMBER($G50),IF(AND(ISNUMBER($AN50),$G50&gt;$AN50),"Cumplida con "&amp;($G50-$AN50)&amp;IF($G50-$AN50=1," día"," días")&amp;" de retraso","Cumplida"),IF(N($M50)&gt;=1,"Cumplida",IF(NOT(ISNUMBER($AN50)),"Sin fecha límite",IF($AN50&lt;FechaRef,"Vencida hace "&amp;(FechaRef-$AN50)&amp;IF(FechaRef-$AN50=1," día"," días"),IF($AN50=FechaRef,"Vence hoy",IF($AN50-FechaRef&lt;=DiasAlerta,"Vence en "&amp;($AN50-FechaRef)&amp;IF($AN50-FechaRef=1," día"," días"),"En plazo"))))))))</f>
        <v/>
      </c>
      <c r="P50" s="62">
        <f>IF(NOT((COUNTA($B50:$D50)+COUNTA($G50:$L50)+COUNTA($Q50))&gt;0),"",IF($D50="","Propia",IF($V50&lt;&gt;"Macro","Solo se delegan macroactividades",IF(N($AH50)&gt;0,"✔ Recibida por "&amp;$D50,"⚠ "&amp;$D50&amp;" aún no la agrega"))))</f>
        <v/>
      </c>
      <c r="Q50" s="58" t="n"/>
      <c r="R50" s="63">
        <f>IF(NOT((COUNTA($B50:$D50)+COUNTA($G50:$L50)+COUNTA($Q50))&gt;0),"",IF((IF($C50="","Falta el nombre de la actividad"&amp;" · ","")&amp;IF(AND($V50="Sub",N($U50)=0),"Subactividad sin macroactividad arriba"&amp;" · ","")&amp;IF($AM50="","Sin fecha de inicio"&amp;" · ","")&amp;IF($AN50="","Sin fecha límite"&amp;" · ","")&amp;IF(AND(LEFT($C50,11)="[Jefatura] ",N($AL50)=0),"No se encuentra en la hoja de la jefatura (elíjala de nuevo en la lista)"&amp;" · ","")&amp;IF(OR(AND($E50&lt;&gt;"",NOT(ISNUMBER($E50))),AND($F50&lt;&gt;"",NOT(ISNUMBER($F50))),AND($G50&lt;&gt;"",NOT(ISNUMBER($G50)))),"Fecha no válida"&amp;" · ","")&amp;IF(AND(ISNUMBER($AM50),ISNUMBER($AN50),$AM50&gt;$AN50),"Inicio posterior a fecha límite"&amp;" · ","")&amp;IF(AND($V50="Macro",$H50&lt;&gt;"",OR(NOT(ISNUMBER($H50)),$H50&lt;0,$H50&gt;1)),"Peso fuera de rango"&amp;" · ","")&amp;IF(AND($V50="Sub",$H50&lt;&gt;""),"Las subactividades no llevan peso (valen igual dentro de su macroactividad)"&amp;" · ","")&amp;IF(AND(N($W50)&gt;0,COUNT($I50:$L50)&gt;0),"Con subactividades: deje vacías las semanas (se calculan solas)"&amp;" · ","")&amp;IF((COUNTIF($I50:$L50,"&gt;1")+COUNTIF($I50:$L50,"&lt;0")+COUNTA($I50:$L50)-COUNT($I50:$L50))&gt;0,"Avance fuera de rango 0-100%"&amp;" · ","")&amp;IF(OR(AND($J50&lt;&gt;"",$J50&lt;$I50),AND($K50&lt;&gt;"",$K50&lt;MAX($I50:$J50)),AND($L50&lt;&gt;"",$L50&lt;MAX($I50:$K50))),"Avance semanal decreciente"&amp;" · ","")&amp;IF(AND(ISNUMBER($AN50),$AN50&lt;FechaRef,IF($V50="Sub",N($X50),N($M50))&lt;1),"Vencida"&amp;" · ","")&amp;IF(AND(ObsObligatoria="Sí",ISNUMBER($AN50),$AN50&lt;FechaRef,IF($V50="Sub",N($X50),N($M50))&lt;1,$Q50=""),"Vencida sin observación"&amp;" · ",""))="","✔ OK","⚠ "&amp;LEFT(IF($C50="","Falta el nombre de la actividad"&amp;" · ","")&amp;IF(AND($V50="Sub",N($U50)=0),"Subactividad sin macroactividad arriba"&amp;" · ","")&amp;IF($AM50="","Sin fecha de inicio"&amp;" · ","")&amp;IF($AN50="","Sin fecha límite"&amp;" · ","")&amp;IF(AND(LEFT($C50,11)="[Jefatura] ",N($AL50)=0),"No se encuentra en la hoja de la jefatura (elíjala de nuevo en la lista)"&amp;" · ","")&amp;IF(OR(AND($E50&lt;&gt;"",NOT(ISNUMBER($E50))),AND($F50&lt;&gt;"",NOT(ISNUMBER($F50))),AND($G50&lt;&gt;"",NOT(ISNUMBER($G50)))),"Fecha no válida"&amp;" · ","")&amp;IF(AND(ISNUMBER($AM50),ISNUMBER($AN50),$AM50&gt;$AN50),"Inicio posterior a fecha límite"&amp;" · ","")&amp;IF(AND($V50="Macro",$H50&lt;&gt;"",OR(NOT(ISNUMBER($H50)),$H50&lt;0,$H50&gt;1)),"Peso fuera de rango"&amp;" · ","")&amp;IF(AND($V50="Sub",$H50&lt;&gt;""),"Las subactividades no llevan peso (valen igual dentro de su macroactividad)"&amp;" · ","")&amp;IF(AND(N($W50)&gt;0,COUNT($I50:$L50)&gt;0),"Con subactividades: deje vacías las semanas (se calculan solas)"&amp;" · ","")&amp;IF((COUNTIF($I50:$L50,"&gt;1")+COUNTIF($I50:$L50,"&lt;0")+COUNTA($I50:$L50)-COUNT($I50:$L50))&gt;0,"Avance fuera de rango 0-100%"&amp;" · ","")&amp;IF(OR(AND($J50&lt;&gt;"",$J50&lt;$I50),AND($K50&lt;&gt;"",$K50&lt;MAX($I50:$J50)),AND($L50&lt;&gt;"",$L50&lt;MAX($I50:$K50))),"Avance semanal decreciente"&amp;" · ","")&amp;IF(AND(ISNUMBER($AN50),$AN50&lt;FechaRef,IF($V50="Sub",N($X50),N($M50))&lt;1),"Vencida"&amp;" · ","")&amp;IF(AND(ObsObligatoria="Sí",ISNUMBER($AN50),$AN50&lt;FechaRef,IF($V50="Sub",N($X50),N($M50))&lt;1,$Q50=""),"Vencida sin observación"&amp;" · ",""),LEN(IF($C50="","Falta el nombre de la actividad"&amp;" · ","")&amp;IF(AND($V50="Sub",N($U50)=0),"Subactividad sin macroactividad arriba"&amp;" · ","")&amp;IF($AM50="","Sin fecha de inicio"&amp;" · ","")&amp;IF($AN50="","Sin fecha límite"&amp;" · ","")&amp;IF(AND(LEFT($C50,11)="[Jefatura] ",N($AL50)=0),"No se encuentra en la hoja de la jefatura (elíjala de nuevo en la lista)"&amp;" · ","")&amp;IF(OR(AND($E50&lt;&gt;"",NOT(ISNUMBER($E50))),AND($F50&lt;&gt;"",NOT(ISNUMBER($F50))),AND($G50&lt;&gt;"",NOT(ISNUMBER($G50)))),"Fecha no válida"&amp;" · ","")&amp;IF(AND(ISNUMBER($AM50),ISNUMBER($AN50),$AM50&gt;$AN50),"Inicio posterior a fecha límite"&amp;" · ","")&amp;IF(AND($V50="Macro",$H50&lt;&gt;"",OR(NOT(ISNUMBER($H50)),$H50&lt;0,$H50&gt;1)),"Peso fuera de rango"&amp;" · ","")&amp;IF(AND($V50="Sub",$H50&lt;&gt;""),"Las subactividades no llevan peso (valen igual dentro de su macroactividad)"&amp;" · ","")&amp;IF(AND(N($W50)&gt;0,COUNT($I50:$L50)&gt;0),"Con subactividades: deje vacías las semanas (se calculan solas)"&amp;" · ","")&amp;IF((COUNTIF($I50:$L50,"&gt;1")+COUNTIF($I50:$L50,"&lt;0")+COUNTA($I50:$L50)-COUNT($I50:$L50))&gt;0,"Avance fuera de rango 0-100%"&amp;" · ","")&amp;IF(OR(AND($J50&lt;&gt;"",$J50&lt;$I50),AND($K50&lt;&gt;"",$K50&lt;MAX($I50:$J50)),AND($L50&lt;&gt;"",$L50&lt;MAX($I50:$K50))),"Avance semanal decreciente"&amp;" · ","")&amp;IF(AND(ISNUMBER($AN50),$AN50&lt;FechaRef,IF($V50="Sub",N($X50),N($M50))&lt;1),"Vencida"&amp;" · ","")&amp;IF(AND(ObsObligatoria="Sí",ISNUMBER($AN50),$AN50&lt;FechaRef,IF($V50="Sub",N($X50),N($M50))&lt;1,$Q50=""),"Vencida sin observación"&amp;" · ",""))-3)))</f>
        <v/>
      </c>
      <c r="S50" s="64">
        <f>IF(NOT((COUNTA($B50:$D50)+COUNTA($G50:$L50)+COUNTA($Q50))&gt;0),"",IF(AND($V50="Sub",N($U50)&gt;0),IF(ISNUMBER(INDEX($AM$5:$AM$1000,$U50-4)),DATE(YEAR(INDEX($AM$5:$AM$1000,$U50-4)),MONTH(INDEX($AM$5:$AM$1000,$U50-4)),1),IF(ISNUMBER(INDEX($AN$5:$AN$1000,$U50-4)),DATE(YEAR(INDEX($AN$5:$AN$1000,$U50-4)),MONTH(INDEX($AN$5:$AN$1000,$U50-4)),1),MesCiclo)),IF(ISNUMBER($AM50),DATE(YEAR($AM50),MONTH($AM50),1),IF(ISNUMBER($AN50),DATE(YEAR($AN50),MONTH($AN50),1),MesCiclo))))</f>
        <v/>
      </c>
      <c r="T50" s="62">
        <f>IF(OR($S50="",$S50&lt;&gt;MesCiclo,$V50&lt;&gt;"Macro"),"",COUNTIFS($S$5:$S50,MesCiclo,$V$5:$V50,"Macro"))</f>
        <v/>
      </c>
      <c r="U50" s="62">
        <f>IF($V50="","",IF($V50="Macro",ROW(),IFERROR(LOOKUP(2,1/($V$5:$V50="Macro"),ROW($V$5:$V50)),0)))</f>
        <v/>
      </c>
      <c r="V50" s="62">
        <f>IF(NOT((COUNTA($B50:$D50)+COUNTA($G50:$L50)+COUNTA($Q50))&gt;0),"",IF($B50="Subactividad","Sub","Macro"))</f>
        <v/>
      </c>
      <c r="W50" s="62">
        <f>IF($V50="Macro",COUNTIFS($U$5:$U$1000,ROW(),$V$5:$V$1000,"Sub"),"")</f>
        <v/>
      </c>
      <c r="X50" s="62">
        <f>IF($V50="","",IF(ISNUMBER($G50),1,IFERROR(LOOKUP(2,1/($I50:$L50&lt;&gt;""),$I50:$L50),0)))</f>
        <v/>
      </c>
      <c r="Y50" s="62">
        <f>IF($V50="","",IF(AND(ISNUMBER($G50),$G50&lt;=IF($S50=MesCiclo,InicioCiclo,$S50+MOD(2-WEEKDAY($S50),7))+6),1,IF(ISNUMBER($I50),$I50,0)))</f>
        <v/>
      </c>
      <c r="Z50" s="62">
        <f>IF($V50="","",IF(AND(ISNUMBER($G50),$G50&lt;=IF($S50=MesCiclo,InicioCiclo,$S50+MOD(2-WEEKDAY($S50),7))+13),1,IF(ISNUMBER($J50),$J50,$Y50)))</f>
        <v/>
      </c>
      <c r="AA50" s="62">
        <f>IF($V50="","",IF(AND(ISNUMBER($G50),$G50&lt;=IF($S50=MesCiclo,InicioCiclo,$S50+MOD(2-WEEKDAY($S50),7))+20),1,IF(ISNUMBER($K50),$K50,$Z50)))</f>
        <v/>
      </c>
      <c r="AB50" s="62">
        <f>IF($V50="","",IF(AND(ISNUMBER($G50),$G50&lt;=IF($S50=MesCiclo,InicioCiclo,$S50+MOD(2-WEEKDAY($S50),7))+27),1,IF(ISNUMBER($L50),$L50,$AA50)))</f>
        <v/>
      </c>
      <c r="AC50" s="62">
        <f>IF($V50="","",IF(AND(ISNUMBER($G50),$G50&lt;=IF($S50=MesCiclo,InicioCiclo,$S50+MOD(2-WEEKDAY($S50),7))+6),1,IF(N($W50)&gt;0,AVERAGEIFS($Y$5:$Y$1000,$U$5:$U$1000,ROW(),$V$5:$V$1000,"Sub"),$Y50)))</f>
        <v/>
      </c>
      <c r="AD50" s="62">
        <f>IF($V50="","",IF(AND(ISNUMBER($G50),$G50&lt;=IF($S50=MesCiclo,InicioCiclo,$S50+MOD(2-WEEKDAY($S50),7))+13),1,IF(N($W50)&gt;0,AVERAGEIFS($Z$5:$Z$1000,$U$5:$U$1000,ROW(),$V$5:$V$1000,"Sub"),$Z50)))</f>
        <v/>
      </c>
      <c r="AE50" s="62">
        <f>IF($V50="","",IF(AND(ISNUMBER($G50),$G50&lt;=IF($S50=MesCiclo,InicioCiclo,$S50+MOD(2-WEEKDAY($S50),7))+20),1,IF(N($W50)&gt;0,AVERAGEIFS($AA$5:$AA$1000,$U$5:$U$1000,ROW(),$V$5:$V$1000,"Sub"),$AA50)))</f>
        <v/>
      </c>
      <c r="AF50" s="62">
        <f>IF($V50="","",IF(AND(ISNUMBER($G50),$G50&lt;=IF($S50=MesCiclo,InicioCiclo,$S50+MOD(2-WEEKDAY($S50),7))+27),1,IF(N($W50)&gt;0,AVERAGEIFS($AB$5:$AB$1000,$U$5:$U$1000,ROW(),$V$5:$V$1000,"Sub"),$AB50)))</f>
        <v/>
      </c>
      <c r="AG50" s="62">
        <f>IF($V50&lt;&gt;"Macro","",IF(COUNTIFS($S$5:$S$1000,$S50,$V$5:$V$1000,"Macro",$H$5:$H$1000,"&gt;0")=0,1/COUNTIFS($S$5:$S$1000,$S50,$V$5:$V$1000,"Macro"),IF(AND(ISNUMBER($H50),N($H50)&gt;0),$H50,SUMIFS($H$5:$H$1000,$S$5:$S$1000,$S50,$V$5:$V$1000,"Macro")/COUNTIFS($S$5:$S$1000,$S50,$V$5:$V$1000,"Macro",$H$5:$H$1000,"&gt;0"))/(COUNTIFS($S$5:$S$1000,$S50,$V$5:$V$1000,"Macro")*SUMIFS($H$5:$H$1000,$S$5:$S$1000,$S50,$V$5:$V$1000,"Macro")/COUNTIFS($S$5:$S$1000,$S50,$V$5:$V$1000,"Macro",$H$5:$H$1000,"&gt;0"))))</f>
        <v/>
      </c>
      <c r="AH50" s="62">
        <f>IF(NOT(AND($D50&lt;&gt;"",$V50="Macro")),"",IFERROR(CHOOSE(MATCH($D50,ListaPuestos,0),MATCH("[Jefatura] "&amp;$C50,'Cronograma R. Operacional'!$C$5:$C$1000,0),MATCH("[Jefatura] "&amp;$C50,'Cronograma R. Normativo'!$C$5:$C$1000,0),MATCH("[Jefatura] "&amp;$C50,'Cronograma R. Financiero'!$C$5:$C$1000,0),MATCH("[Jefatura] "&amp;$C50,'Cronograma Asistente Técnico'!$C$5:$C$1000,0)),0))</f>
        <v/>
      </c>
      <c r="AI50" s="62">
        <f>IF(AND(AND($D50&lt;&gt;"",$V50="Macro"),$S50=MesCiclo),COUNTIFS($D$5:$D50,$D50,$S$5:$S50,MesCiclo,$V$5:$V50,"Macro"),"")</f>
        <v/>
      </c>
      <c r="AJ50" s="62">
        <f>IF($AI50="","",$D50&amp;"|"&amp;$AI50)</f>
        <v/>
      </c>
      <c r="AK50" s="62">
        <f>IF(AND($D50&lt;&gt;"",$V50="Macro"),$D50&amp;"|"&amp;$C50,"")</f>
        <v/>
      </c>
      <c r="AL50" s="62">
        <f>""</f>
        <v/>
      </c>
      <c r="AM50" s="62">
        <f>IF(N($AL50)&gt;0,INDEX(rIni_ADM,$AL50),IF(ISNUMBER($E50),$E50,""))</f>
        <v/>
      </c>
      <c r="AN50" s="62">
        <f>IF(N($AL50)&gt;0,INDEX(rLim_ADM,$AL50),IF(ISNUMBER($F50),$F50,""))</f>
        <v/>
      </c>
    </row>
    <row r="51">
      <c r="A51" s="56">
        <f>IF(NOT((COUNTA($B51:$D51)+COUNTA($G51:$L51)+COUNTA($Q51))&gt;0),"",IF($V51="Macro",COUNTIFS($V$5:$V51,"Macro",$S$5:$S51,$S51),IF(N($U51)=0,"?",COUNTIFS(INDEX($V$5:$V$1000,1):INDEX($V$5:$V$1000,$U51-4),"Macro",INDEX($S$5:$S$1000,1):INDEX($S$5:$S$1000,$U51-4),INDEX($S$5:$S$1000,$U51-4))&amp;"."&amp;COUNTIFS($U$5:$U51,$U51,$V$5:$V51,"Sub"))))</f>
        <v/>
      </c>
      <c r="B51" s="57" t="n"/>
      <c r="C51" s="58" t="n"/>
      <c r="D51" s="58" t="n"/>
      <c r="E51" s="59" t="n"/>
      <c r="F51" s="59" t="n"/>
      <c r="G51" s="59" t="n"/>
      <c r="H51" s="60" t="n"/>
      <c r="I51" s="60" t="n"/>
      <c r="J51" s="60" t="n"/>
      <c r="K51" s="60" t="n"/>
      <c r="L51" s="60" t="n"/>
      <c r="M51" s="61">
        <f>IF(NOT((COUNTA($B51:$D51)+COUNTA($G51:$L51)+COUNTA($Q51))&gt;0),"",IF(AND($D51&lt;&gt;"",$V51="Macro"),IF(N($AH51)&gt;0,N(CHOOSE(MATCH($D51,ListaPuestos,0),INDEX('Cronograma R. Operacional'!$M$5:$M$1000,$AH51),INDEX('Cronograma R. Normativo'!$M$5:$M$1000,$AH51),INDEX('Cronograma R. Financiero'!$M$5:$M$1000,$AH51),INDEX('Cronograma Asistente Técnico'!$M$5:$M$1000,$AH51))),0),IF(ISNUMBER($G51),1,IF(N($W51)&gt;0,AVERAGEIFS($X$5:$X$1000,$U$5:$U$1000,ROW(),$V$5:$V$1000,"Sub"),$X51))))</f>
        <v/>
      </c>
      <c r="N51" s="56">
        <f>IF(OR($M51="",$V51="Sub"),"",IF($M51&gt;=1,"Completado",IF($M51&gt;0,"En curso","Pendiente")))</f>
        <v/>
      </c>
      <c r="O51" s="56">
        <f>IF(NOT((COUNTA($B51:$D51)+COUNTA($G51:$L51)+COUNTA($Q51))&gt;0),"",IF(AND(AND($D51&lt;&gt;"",$V51="Macro"),N($AH51)&gt;0),CHOOSE(MATCH($D51,ListaPuestos,0),INDEX('Cronograma R. Operacional'!$O$5:$O$1000,$AH51),INDEX('Cronograma R. Normativo'!$O$5:$O$1000,$AH51),INDEX('Cronograma R. Financiero'!$O$5:$O$1000,$AH51),INDEX('Cronograma Asistente Técnico'!$O$5:$O$1000,$AH51))&amp;"",IF(ISNUMBER($G51),IF(AND(ISNUMBER($AN51),$G51&gt;$AN51),"Cumplida con "&amp;($G51-$AN51)&amp;IF($G51-$AN51=1," día"," días")&amp;" de retraso","Cumplida"),IF(N($M51)&gt;=1,"Cumplida",IF(NOT(ISNUMBER($AN51)),"Sin fecha límite",IF($AN51&lt;FechaRef,"Vencida hace "&amp;(FechaRef-$AN51)&amp;IF(FechaRef-$AN51=1," día"," días"),IF($AN51=FechaRef,"Vence hoy",IF($AN51-FechaRef&lt;=DiasAlerta,"Vence en "&amp;($AN51-FechaRef)&amp;IF($AN51-FechaRef=1," día"," días"),"En plazo"))))))))</f>
        <v/>
      </c>
      <c r="P51" s="62">
        <f>IF(NOT((COUNTA($B51:$D51)+COUNTA($G51:$L51)+COUNTA($Q51))&gt;0),"",IF($D51="","Propia",IF($V51&lt;&gt;"Macro","Solo se delegan macroactividades",IF(N($AH51)&gt;0,"✔ Recibida por "&amp;$D51,"⚠ "&amp;$D51&amp;" aún no la agrega"))))</f>
        <v/>
      </c>
      <c r="Q51" s="58" t="n"/>
      <c r="R51" s="63">
        <f>IF(NOT((COUNTA($B51:$D51)+COUNTA($G51:$L51)+COUNTA($Q51))&gt;0),"",IF((IF($C51="","Falta el nombre de la actividad"&amp;" · ","")&amp;IF(AND($V51="Sub",N($U51)=0),"Subactividad sin macroactividad arriba"&amp;" · ","")&amp;IF($AM51="","Sin fecha de inicio"&amp;" · ","")&amp;IF($AN51="","Sin fecha límite"&amp;" · ","")&amp;IF(AND(LEFT($C51,11)="[Jefatura] ",N($AL51)=0),"No se encuentra en la hoja de la jefatura (elíjala de nuevo en la lista)"&amp;" · ","")&amp;IF(OR(AND($E51&lt;&gt;"",NOT(ISNUMBER($E51))),AND($F51&lt;&gt;"",NOT(ISNUMBER($F51))),AND($G51&lt;&gt;"",NOT(ISNUMBER($G51)))),"Fecha no válida"&amp;" · ","")&amp;IF(AND(ISNUMBER($AM51),ISNUMBER($AN51),$AM51&gt;$AN51),"Inicio posterior a fecha límite"&amp;" · ","")&amp;IF(AND($V51="Macro",$H51&lt;&gt;"",OR(NOT(ISNUMBER($H51)),$H51&lt;0,$H51&gt;1)),"Peso fuera de rango"&amp;" · ","")&amp;IF(AND($V51="Sub",$H51&lt;&gt;""),"Las subactividades no llevan peso (valen igual dentro de su macroactividad)"&amp;" · ","")&amp;IF(AND(N($W51)&gt;0,COUNT($I51:$L51)&gt;0),"Con subactividades: deje vacías las semanas (se calculan solas)"&amp;" · ","")&amp;IF((COUNTIF($I51:$L51,"&gt;1")+COUNTIF($I51:$L51,"&lt;0")+COUNTA($I51:$L51)-COUNT($I51:$L51))&gt;0,"Avance fuera de rango 0-100%"&amp;" · ","")&amp;IF(OR(AND($J51&lt;&gt;"",$J51&lt;$I51),AND($K51&lt;&gt;"",$K51&lt;MAX($I51:$J51)),AND($L51&lt;&gt;"",$L51&lt;MAX($I51:$K51))),"Avance semanal decreciente"&amp;" · ","")&amp;IF(AND(ISNUMBER($AN51),$AN51&lt;FechaRef,IF($V51="Sub",N($X51),N($M51))&lt;1),"Vencida"&amp;" · ","")&amp;IF(AND(ObsObligatoria="Sí",ISNUMBER($AN51),$AN51&lt;FechaRef,IF($V51="Sub",N($X51),N($M51))&lt;1,$Q51=""),"Vencida sin observación"&amp;" · ",""))="","✔ OK","⚠ "&amp;LEFT(IF($C51="","Falta el nombre de la actividad"&amp;" · ","")&amp;IF(AND($V51="Sub",N($U51)=0),"Subactividad sin macroactividad arriba"&amp;" · ","")&amp;IF($AM51="","Sin fecha de inicio"&amp;" · ","")&amp;IF($AN51="","Sin fecha límite"&amp;" · ","")&amp;IF(AND(LEFT($C51,11)="[Jefatura] ",N($AL51)=0),"No se encuentra en la hoja de la jefatura (elíjala de nuevo en la lista)"&amp;" · ","")&amp;IF(OR(AND($E51&lt;&gt;"",NOT(ISNUMBER($E51))),AND($F51&lt;&gt;"",NOT(ISNUMBER($F51))),AND($G51&lt;&gt;"",NOT(ISNUMBER($G51)))),"Fecha no válida"&amp;" · ","")&amp;IF(AND(ISNUMBER($AM51),ISNUMBER($AN51),$AM51&gt;$AN51),"Inicio posterior a fecha límite"&amp;" · ","")&amp;IF(AND($V51="Macro",$H51&lt;&gt;"",OR(NOT(ISNUMBER($H51)),$H51&lt;0,$H51&gt;1)),"Peso fuera de rango"&amp;" · ","")&amp;IF(AND($V51="Sub",$H51&lt;&gt;""),"Las subactividades no llevan peso (valen igual dentro de su macroactividad)"&amp;" · ","")&amp;IF(AND(N($W51)&gt;0,COUNT($I51:$L51)&gt;0),"Con subactividades: deje vacías las semanas (se calculan solas)"&amp;" · ","")&amp;IF((COUNTIF($I51:$L51,"&gt;1")+COUNTIF($I51:$L51,"&lt;0")+COUNTA($I51:$L51)-COUNT($I51:$L51))&gt;0,"Avance fuera de rango 0-100%"&amp;" · ","")&amp;IF(OR(AND($J51&lt;&gt;"",$J51&lt;$I51),AND($K51&lt;&gt;"",$K51&lt;MAX($I51:$J51)),AND($L51&lt;&gt;"",$L51&lt;MAX($I51:$K51))),"Avance semanal decreciente"&amp;" · ","")&amp;IF(AND(ISNUMBER($AN51),$AN51&lt;FechaRef,IF($V51="Sub",N($X51),N($M51))&lt;1),"Vencida"&amp;" · ","")&amp;IF(AND(ObsObligatoria="Sí",ISNUMBER($AN51),$AN51&lt;FechaRef,IF($V51="Sub",N($X51),N($M51))&lt;1,$Q51=""),"Vencida sin observación"&amp;" · ",""),LEN(IF($C51="","Falta el nombre de la actividad"&amp;" · ","")&amp;IF(AND($V51="Sub",N($U51)=0),"Subactividad sin macroactividad arriba"&amp;" · ","")&amp;IF($AM51="","Sin fecha de inicio"&amp;" · ","")&amp;IF($AN51="","Sin fecha límite"&amp;" · ","")&amp;IF(AND(LEFT($C51,11)="[Jefatura] ",N($AL51)=0),"No se encuentra en la hoja de la jefatura (elíjala de nuevo en la lista)"&amp;" · ","")&amp;IF(OR(AND($E51&lt;&gt;"",NOT(ISNUMBER($E51))),AND($F51&lt;&gt;"",NOT(ISNUMBER($F51))),AND($G51&lt;&gt;"",NOT(ISNUMBER($G51)))),"Fecha no válida"&amp;" · ","")&amp;IF(AND(ISNUMBER($AM51),ISNUMBER($AN51),$AM51&gt;$AN51),"Inicio posterior a fecha límite"&amp;" · ","")&amp;IF(AND($V51="Macro",$H51&lt;&gt;"",OR(NOT(ISNUMBER($H51)),$H51&lt;0,$H51&gt;1)),"Peso fuera de rango"&amp;" · ","")&amp;IF(AND($V51="Sub",$H51&lt;&gt;""),"Las subactividades no llevan peso (valen igual dentro de su macroactividad)"&amp;" · ","")&amp;IF(AND(N($W51)&gt;0,COUNT($I51:$L51)&gt;0),"Con subactividades: deje vacías las semanas (se calculan solas)"&amp;" · ","")&amp;IF((COUNTIF($I51:$L51,"&gt;1")+COUNTIF($I51:$L51,"&lt;0")+COUNTA($I51:$L51)-COUNT($I51:$L51))&gt;0,"Avance fuera de rango 0-100%"&amp;" · ","")&amp;IF(OR(AND($J51&lt;&gt;"",$J51&lt;$I51),AND($K51&lt;&gt;"",$K51&lt;MAX($I51:$J51)),AND($L51&lt;&gt;"",$L51&lt;MAX($I51:$K51))),"Avance semanal decreciente"&amp;" · ","")&amp;IF(AND(ISNUMBER($AN51),$AN51&lt;FechaRef,IF($V51="Sub",N($X51),N($M51))&lt;1),"Vencida"&amp;" · ","")&amp;IF(AND(ObsObligatoria="Sí",ISNUMBER($AN51),$AN51&lt;FechaRef,IF($V51="Sub",N($X51),N($M51))&lt;1,$Q51=""),"Vencida sin observación"&amp;" · ",""))-3)))</f>
        <v/>
      </c>
      <c r="S51" s="64">
        <f>IF(NOT((COUNTA($B51:$D51)+COUNTA($G51:$L51)+COUNTA($Q51))&gt;0),"",IF(AND($V51="Sub",N($U51)&gt;0),IF(ISNUMBER(INDEX($AM$5:$AM$1000,$U51-4)),DATE(YEAR(INDEX($AM$5:$AM$1000,$U51-4)),MONTH(INDEX($AM$5:$AM$1000,$U51-4)),1),IF(ISNUMBER(INDEX($AN$5:$AN$1000,$U51-4)),DATE(YEAR(INDEX($AN$5:$AN$1000,$U51-4)),MONTH(INDEX($AN$5:$AN$1000,$U51-4)),1),MesCiclo)),IF(ISNUMBER($AM51),DATE(YEAR($AM51),MONTH($AM51),1),IF(ISNUMBER($AN51),DATE(YEAR($AN51),MONTH($AN51),1),MesCiclo))))</f>
        <v/>
      </c>
      <c r="T51" s="62">
        <f>IF(OR($S51="",$S51&lt;&gt;MesCiclo,$V51&lt;&gt;"Macro"),"",COUNTIFS($S$5:$S51,MesCiclo,$V$5:$V51,"Macro"))</f>
        <v/>
      </c>
      <c r="U51" s="62">
        <f>IF($V51="","",IF($V51="Macro",ROW(),IFERROR(LOOKUP(2,1/($V$5:$V51="Macro"),ROW($V$5:$V51)),0)))</f>
        <v/>
      </c>
      <c r="V51" s="62">
        <f>IF(NOT((COUNTA($B51:$D51)+COUNTA($G51:$L51)+COUNTA($Q51))&gt;0),"",IF($B51="Subactividad","Sub","Macro"))</f>
        <v/>
      </c>
      <c r="W51" s="62">
        <f>IF($V51="Macro",COUNTIFS($U$5:$U$1000,ROW(),$V$5:$V$1000,"Sub"),"")</f>
        <v/>
      </c>
      <c r="X51" s="62">
        <f>IF($V51="","",IF(ISNUMBER($G51),1,IFERROR(LOOKUP(2,1/($I51:$L51&lt;&gt;""),$I51:$L51),0)))</f>
        <v/>
      </c>
      <c r="Y51" s="62">
        <f>IF($V51="","",IF(AND(ISNUMBER($G51),$G51&lt;=IF($S51=MesCiclo,InicioCiclo,$S51+MOD(2-WEEKDAY($S51),7))+6),1,IF(ISNUMBER($I51),$I51,0)))</f>
        <v/>
      </c>
      <c r="Z51" s="62">
        <f>IF($V51="","",IF(AND(ISNUMBER($G51),$G51&lt;=IF($S51=MesCiclo,InicioCiclo,$S51+MOD(2-WEEKDAY($S51),7))+13),1,IF(ISNUMBER($J51),$J51,$Y51)))</f>
        <v/>
      </c>
      <c r="AA51" s="62">
        <f>IF($V51="","",IF(AND(ISNUMBER($G51),$G51&lt;=IF($S51=MesCiclo,InicioCiclo,$S51+MOD(2-WEEKDAY($S51),7))+20),1,IF(ISNUMBER($K51),$K51,$Z51)))</f>
        <v/>
      </c>
      <c r="AB51" s="62">
        <f>IF($V51="","",IF(AND(ISNUMBER($G51),$G51&lt;=IF($S51=MesCiclo,InicioCiclo,$S51+MOD(2-WEEKDAY($S51),7))+27),1,IF(ISNUMBER($L51),$L51,$AA51)))</f>
        <v/>
      </c>
      <c r="AC51" s="62">
        <f>IF($V51="","",IF(AND(ISNUMBER($G51),$G51&lt;=IF($S51=MesCiclo,InicioCiclo,$S51+MOD(2-WEEKDAY($S51),7))+6),1,IF(N($W51)&gt;0,AVERAGEIFS($Y$5:$Y$1000,$U$5:$U$1000,ROW(),$V$5:$V$1000,"Sub"),$Y51)))</f>
        <v/>
      </c>
      <c r="AD51" s="62">
        <f>IF($V51="","",IF(AND(ISNUMBER($G51),$G51&lt;=IF($S51=MesCiclo,InicioCiclo,$S51+MOD(2-WEEKDAY($S51),7))+13),1,IF(N($W51)&gt;0,AVERAGEIFS($Z$5:$Z$1000,$U$5:$U$1000,ROW(),$V$5:$V$1000,"Sub"),$Z51)))</f>
        <v/>
      </c>
      <c r="AE51" s="62">
        <f>IF($V51="","",IF(AND(ISNUMBER($G51),$G51&lt;=IF($S51=MesCiclo,InicioCiclo,$S51+MOD(2-WEEKDAY($S51),7))+20),1,IF(N($W51)&gt;0,AVERAGEIFS($AA$5:$AA$1000,$U$5:$U$1000,ROW(),$V$5:$V$1000,"Sub"),$AA51)))</f>
        <v/>
      </c>
      <c r="AF51" s="62">
        <f>IF($V51="","",IF(AND(ISNUMBER($G51),$G51&lt;=IF($S51=MesCiclo,InicioCiclo,$S51+MOD(2-WEEKDAY($S51),7))+27),1,IF(N($W51)&gt;0,AVERAGEIFS($AB$5:$AB$1000,$U$5:$U$1000,ROW(),$V$5:$V$1000,"Sub"),$AB51)))</f>
        <v/>
      </c>
      <c r="AG51" s="62">
        <f>IF($V51&lt;&gt;"Macro","",IF(COUNTIFS($S$5:$S$1000,$S51,$V$5:$V$1000,"Macro",$H$5:$H$1000,"&gt;0")=0,1/COUNTIFS($S$5:$S$1000,$S51,$V$5:$V$1000,"Macro"),IF(AND(ISNUMBER($H51),N($H51)&gt;0),$H51,SUMIFS($H$5:$H$1000,$S$5:$S$1000,$S51,$V$5:$V$1000,"Macro")/COUNTIFS($S$5:$S$1000,$S51,$V$5:$V$1000,"Macro",$H$5:$H$1000,"&gt;0"))/(COUNTIFS($S$5:$S$1000,$S51,$V$5:$V$1000,"Macro")*SUMIFS($H$5:$H$1000,$S$5:$S$1000,$S51,$V$5:$V$1000,"Macro")/COUNTIFS($S$5:$S$1000,$S51,$V$5:$V$1000,"Macro",$H$5:$H$1000,"&gt;0"))))</f>
        <v/>
      </c>
      <c r="AH51" s="62">
        <f>IF(NOT(AND($D51&lt;&gt;"",$V51="Macro")),"",IFERROR(CHOOSE(MATCH($D51,ListaPuestos,0),MATCH("[Jefatura] "&amp;$C51,'Cronograma R. Operacional'!$C$5:$C$1000,0),MATCH("[Jefatura] "&amp;$C51,'Cronograma R. Normativo'!$C$5:$C$1000,0),MATCH("[Jefatura] "&amp;$C51,'Cronograma R. Financiero'!$C$5:$C$1000,0),MATCH("[Jefatura] "&amp;$C51,'Cronograma Asistente Técnico'!$C$5:$C$1000,0)),0))</f>
        <v/>
      </c>
      <c r="AI51" s="62">
        <f>IF(AND(AND($D51&lt;&gt;"",$V51="Macro"),$S51=MesCiclo),COUNTIFS($D$5:$D51,$D51,$S$5:$S51,MesCiclo,$V$5:$V51,"Macro"),"")</f>
        <v/>
      </c>
      <c r="AJ51" s="62">
        <f>IF($AI51="","",$D51&amp;"|"&amp;$AI51)</f>
        <v/>
      </c>
      <c r="AK51" s="62">
        <f>IF(AND($D51&lt;&gt;"",$V51="Macro"),$D51&amp;"|"&amp;$C51,"")</f>
        <v/>
      </c>
      <c r="AL51" s="62">
        <f>""</f>
        <v/>
      </c>
      <c r="AM51" s="62">
        <f>IF(N($AL51)&gt;0,INDEX(rIni_ADM,$AL51),IF(ISNUMBER($E51),$E51,""))</f>
        <v/>
      </c>
      <c r="AN51" s="62">
        <f>IF(N($AL51)&gt;0,INDEX(rLim_ADM,$AL51),IF(ISNUMBER($F51),$F51,""))</f>
        <v/>
      </c>
    </row>
    <row r="52">
      <c r="A52" s="56">
        <f>IF(NOT((COUNTA($B52:$D52)+COUNTA($G52:$L52)+COUNTA($Q52))&gt;0),"",IF($V52="Macro",COUNTIFS($V$5:$V52,"Macro",$S$5:$S52,$S52),IF(N($U52)=0,"?",COUNTIFS(INDEX($V$5:$V$1000,1):INDEX($V$5:$V$1000,$U52-4),"Macro",INDEX($S$5:$S$1000,1):INDEX($S$5:$S$1000,$U52-4),INDEX($S$5:$S$1000,$U52-4))&amp;"."&amp;COUNTIFS($U$5:$U52,$U52,$V$5:$V52,"Sub"))))</f>
        <v/>
      </c>
      <c r="B52" s="57" t="n"/>
      <c r="C52" s="58" t="n"/>
      <c r="D52" s="58" t="n"/>
      <c r="E52" s="59" t="n"/>
      <c r="F52" s="59" t="n"/>
      <c r="G52" s="59" t="n"/>
      <c r="H52" s="60" t="n"/>
      <c r="I52" s="60" t="n"/>
      <c r="J52" s="60" t="n"/>
      <c r="K52" s="60" t="n"/>
      <c r="L52" s="60" t="n"/>
      <c r="M52" s="61">
        <f>IF(NOT((COUNTA($B52:$D52)+COUNTA($G52:$L52)+COUNTA($Q52))&gt;0),"",IF(AND($D52&lt;&gt;"",$V52="Macro"),IF(N($AH52)&gt;0,N(CHOOSE(MATCH($D52,ListaPuestos,0),INDEX('Cronograma R. Operacional'!$M$5:$M$1000,$AH52),INDEX('Cronograma R. Normativo'!$M$5:$M$1000,$AH52),INDEX('Cronograma R. Financiero'!$M$5:$M$1000,$AH52),INDEX('Cronograma Asistente Técnico'!$M$5:$M$1000,$AH52))),0),IF(ISNUMBER($G52),1,IF(N($W52)&gt;0,AVERAGEIFS($X$5:$X$1000,$U$5:$U$1000,ROW(),$V$5:$V$1000,"Sub"),$X52))))</f>
        <v/>
      </c>
      <c r="N52" s="56">
        <f>IF(OR($M52="",$V52="Sub"),"",IF($M52&gt;=1,"Completado",IF($M52&gt;0,"En curso","Pendiente")))</f>
        <v/>
      </c>
      <c r="O52" s="56">
        <f>IF(NOT((COUNTA($B52:$D52)+COUNTA($G52:$L52)+COUNTA($Q52))&gt;0),"",IF(AND(AND($D52&lt;&gt;"",$V52="Macro"),N($AH52)&gt;0),CHOOSE(MATCH($D52,ListaPuestos,0),INDEX('Cronograma R. Operacional'!$O$5:$O$1000,$AH52),INDEX('Cronograma R. Normativo'!$O$5:$O$1000,$AH52),INDEX('Cronograma R. Financiero'!$O$5:$O$1000,$AH52),INDEX('Cronograma Asistente Técnico'!$O$5:$O$1000,$AH52))&amp;"",IF(ISNUMBER($G52),IF(AND(ISNUMBER($AN52),$G52&gt;$AN52),"Cumplida con "&amp;($G52-$AN52)&amp;IF($G52-$AN52=1," día"," días")&amp;" de retraso","Cumplida"),IF(N($M52)&gt;=1,"Cumplida",IF(NOT(ISNUMBER($AN52)),"Sin fecha límite",IF($AN52&lt;FechaRef,"Vencida hace "&amp;(FechaRef-$AN52)&amp;IF(FechaRef-$AN52=1," día"," días"),IF($AN52=FechaRef,"Vence hoy",IF($AN52-FechaRef&lt;=DiasAlerta,"Vence en "&amp;($AN52-FechaRef)&amp;IF($AN52-FechaRef=1," día"," días"),"En plazo"))))))))</f>
        <v/>
      </c>
      <c r="P52" s="62">
        <f>IF(NOT((COUNTA($B52:$D52)+COUNTA($G52:$L52)+COUNTA($Q52))&gt;0),"",IF($D52="","Propia",IF($V52&lt;&gt;"Macro","Solo se delegan macroactividades",IF(N($AH52)&gt;0,"✔ Recibida por "&amp;$D52,"⚠ "&amp;$D52&amp;" aún no la agrega"))))</f>
        <v/>
      </c>
      <c r="Q52" s="58" t="n"/>
      <c r="R52" s="63">
        <f>IF(NOT((COUNTA($B52:$D52)+COUNTA($G52:$L52)+COUNTA($Q52))&gt;0),"",IF((IF($C52="","Falta el nombre de la actividad"&amp;" · ","")&amp;IF(AND($V52="Sub",N($U52)=0),"Subactividad sin macroactividad arriba"&amp;" · ","")&amp;IF($AM52="","Sin fecha de inicio"&amp;" · ","")&amp;IF($AN52="","Sin fecha límite"&amp;" · ","")&amp;IF(AND(LEFT($C52,11)="[Jefatura] ",N($AL52)=0),"No se encuentra en la hoja de la jefatura (elíjala de nuevo en la lista)"&amp;" · ","")&amp;IF(OR(AND($E52&lt;&gt;"",NOT(ISNUMBER($E52))),AND($F52&lt;&gt;"",NOT(ISNUMBER($F52))),AND($G52&lt;&gt;"",NOT(ISNUMBER($G52)))),"Fecha no válida"&amp;" · ","")&amp;IF(AND(ISNUMBER($AM52),ISNUMBER($AN52),$AM52&gt;$AN52),"Inicio posterior a fecha límite"&amp;" · ","")&amp;IF(AND($V52="Macro",$H52&lt;&gt;"",OR(NOT(ISNUMBER($H52)),$H52&lt;0,$H52&gt;1)),"Peso fuera de rango"&amp;" · ","")&amp;IF(AND($V52="Sub",$H52&lt;&gt;""),"Las subactividades no llevan peso (valen igual dentro de su macroactividad)"&amp;" · ","")&amp;IF(AND(N($W52)&gt;0,COUNT($I52:$L52)&gt;0),"Con subactividades: deje vacías las semanas (se calculan solas)"&amp;" · ","")&amp;IF((COUNTIF($I52:$L52,"&gt;1")+COUNTIF($I52:$L52,"&lt;0")+COUNTA($I52:$L52)-COUNT($I52:$L52))&gt;0,"Avance fuera de rango 0-100%"&amp;" · ","")&amp;IF(OR(AND($J52&lt;&gt;"",$J52&lt;$I52),AND($K52&lt;&gt;"",$K52&lt;MAX($I52:$J52)),AND($L52&lt;&gt;"",$L52&lt;MAX($I52:$K52))),"Avance semanal decreciente"&amp;" · ","")&amp;IF(AND(ISNUMBER($AN52),$AN52&lt;FechaRef,IF($V52="Sub",N($X52),N($M52))&lt;1),"Vencida"&amp;" · ","")&amp;IF(AND(ObsObligatoria="Sí",ISNUMBER($AN52),$AN52&lt;FechaRef,IF($V52="Sub",N($X52),N($M52))&lt;1,$Q52=""),"Vencida sin observación"&amp;" · ",""))="","✔ OK","⚠ "&amp;LEFT(IF($C52="","Falta el nombre de la actividad"&amp;" · ","")&amp;IF(AND($V52="Sub",N($U52)=0),"Subactividad sin macroactividad arriba"&amp;" · ","")&amp;IF($AM52="","Sin fecha de inicio"&amp;" · ","")&amp;IF($AN52="","Sin fecha límite"&amp;" · ","")&amp;IF(AND(LEFT($C52,11)="[Jefatura] ",N($AL52)=0),"No se encuentra en la hoja de la jefatura (elíjala de nuevo en la lista)"&amp;" · ","")&amp;IF(OR(AND($E52&lt;&gt;"",NOT(ISNUMBER($E52))),AND($F52&lt;&gt;"",NOT(ISNUMBER($F52))),AND($G52&lt;&gt;"",NOT(ISNUMBER($G52)))),"Fecha no válida"&amp;" · ","")&amp;IF(AND(ISNUMBER($AM52),ISNUMBER($AN52),$AM52&gt;$AN52),"Inicio posterior a fecha límite"&amp;" · ","")&amp;IF(AND($V52="Macro",$H52&lt;&gt;"",OR(NOT(ISNUMBER($H52)),$H52&lt;0,$H52&gt;1)),"Peso fuera de rango"&amp;" · ","")&amp;IF(AND($V52="Sub",$H52&lt;&gt;""),"Las subactividades no llevan peso (valen igual dentro de su macroactividad)"&amp;" · ","")&amp;IF(AND(N($W52)&gt;0,COUNT($I52:$L52)&gt;0),"Con subactividades: deje vacías las semanas (se calculan solas)"&amp;" · ","")&amp;IF((COUNTIF($I52:$L52,"&gt;1")+COUNTIF($I52:$L52,"&lt;0")+COUNTA($I52:$L52)-COUNT($I52:$L52))&gt;0,"Avance fuera de rango 0-100%"&amp;" · ","")&amp;IF(OR(AND($J52&lt;&gt;"",$J52&lt;$I52),AND($K52&lt;&gt;"",$K52&lt;MAX($I52:$J52)),AND($L52&lt;&gt;"",$L52&lt;MAX($I52:$K52))),"Avance semanal decreciente"&amp;" · ","")&amp;IF(AND(ISNUMBER($AN52),$AN52&lt;FechaRef,IF($V52="Sub",N($X52),N($M52))&lt;1),"Vencida"&amp;" · ","")&amp;IF(AND(ObsObligatoria="Sí",ISNUMBER($AN52),$AN52&lt;FechaRef,IF($V52="Sub",N($X52),N($M52))&lt;1,$Q52=""),"Vencida sin observación"&amp;" · ",""),LEN(IF($C52="","Falta el nombre de la actividad"&amp;" · ","")&amp;IF(AND($V52="Sub",N($U52)=0),"Subactividad sin macroactividad arriba"&amp;" · ","")&amp;IF($AM52="","Sin fecha de inicio"&amp;" · ","")&amp;IF($AN52="","Sin fecha límite"&amp;" · ","")&amp;IF(AND(LEFT($C52,11)="[Jefatura] ",N($AL52)=0),"No se encuentra en la hoja de la jefatura (elíjala de nuevo en la lista)"&amp;" · ","")&amp;IF(OR(AND($E52&lt;&gt;"",NOT(ISNUMBER($E52))),AND($F52&lt;&gt;"",NOT(ISNUMBER($F52))),AND($G52&lt;&gt;"",NOT(ISNUMBER($G52)))),"Fecha no válida"&amp;" · ","")&amp;IF(AND(ISNUMBER($AM52),ISNUMBER($AN52),$AM52&gt;$AN52),"Inicio posterior a fecha límite"&amp;" · ","")&amp;IF(AND($V52="Macro",$H52&lt;&gt;"",OR(NOT(ISNUMBER($H52)),$H52&lt;0,$H52&gt;1)),"Peso fuera de rango"&amp;" · ","")&amp;IF(AND($V52="Sub",$H52&lt;&gt;""),"Las subactividades no llevan peso (valen igual dentro de su macroactividad)"&amp;" · ","")&amp;IF(AND(N($W52)&gt;0,COUNT($I52:$L52)&gt;0),"Con subactividades: deje vacías las semanas (se calculan solas)"&amp;" · ","")&amp;IF((COUNTIF($I52:$L52,"&gt;1")+COUNTIF($I52:$L52,"&lt;0")+COUNTA($I52:$L52)-COUNT($I52:$L52))&gt;0,"Avance fuera de rango 0-100%"&amp;" · ","")&amp;IF(OR(AND($J52&lt;&gt;"",$J52&lt;$I52),AND($K52&lt;&gt;"",$K52&lt;MAX($I52:$J52)),AND($L52&lt;&gt;"",$L52&lt;MAX($I52:$K52))),"Avance semanal decreciente"&amp;" · ","")&amp;IF(AND(ISNUMBER($AN52),$AN52&lt;FechaRef,IF($V52="Sub",N($X52),N($M52))&lt;1),"Vencida"&amp;" · ","")&amp;IF(AND(ObsObligatoria="Sí",ISNUMBER($AN52),$AN52&lt;FechaRef,IF($V52="Sub",N($X52),N($M52))&lt;1,$Q52=""),"Vencida sin observación"&amp;" · ",""))-3)))</f>
        <v/>
      </c>
      <c r="S52" s="64">
        <f>IF(NOT((COUNTA($B52:$D52)+COUNTA($G52:$L52)+COUNTA($Q52))&gt;0),"",IF(AND($V52="Sub",N($U52)&gt;0),IF(ISNUMBER(INDEX($AM$5:$AM$1000,$U52-4)),DATE(YEAR(INDEX($AM$5:$AM$1000,$U52-4)),MONTH(INDEX($AM$5:$AM$1000,$U52-4)),1),IF(ISNUMBER(INDEX($AN$5:$AN$1000,$U52-4)),DATE(YEAR(INDEX($AN$5:$AN$1000,$U52-4)),MONTH(INDEX($AN$5:$AN$1000,$U52-4)),1),MesCiclo)),IF(ISNUMBER($AM52),DATE(YEAR($AM52),MONTH($AM52),1),IF(ISNUMBER($AN52),DATE(YEAR($AN52),MONTH($AN52),1),MesCiclo))))</f>
        <v/>
      </c>
      <c r="T52" s="62">
        <f>IF(OR($S52="",$S52&lt;&gt;MesCiclo,$V52&lt;&gt;"Macro"),"",COUNTIFS($S$5:$S52,MesCiclo,$V$5:$V52,"Macro"))</f>
        <v/>
      </c>
      <c r="U52" s="62">
        <f>IF($V52="","",IF($V52="Macro",ROW(),IFERROR(LOOKUP(2,1/($V$5:$V52="Macro"),ROW($V$5:$V52)),0)))</f>
        <v/>
      </c>
      <c r="V52" s="62">
        <f>IF(NOT((COUNTA($B52:$D52)+COUNTA($G52:$L52)+COUNTA($Q52))&gt;0),"",IF($B52="Subactividad","Sub","Macro"))</f>
        <v/>
      </c>
      <c r="W52" s="62">
        <f>IF($V52="Macro",COUNTIFS($U$5:$U$1000,ROW(),$V$5:$V$1000,"Sub"),"")</f>
        <v/>
      </c>
      <c r="X52" s="62">
        <f>IF($V52="","",IF(ISNUMBER($G52),1,IFERROR(LOOKUP(2,1/($I52:$L52&lt;&gt;""),$I52:$L52),0)))</f>
        <v/>
      </c>
      <c r="Y52" s="62">
        <f>IF($V52="","",IF(AND(ISNUMBER($G52),$G52&lt;=IF($S52=MesCiclo,InicioCiclo,$S52+MOD(2-WEEKDAY($S52),7))+6),1,IF(ISNUMBER($I52),$I52,0)))</f>
        <v/>
      </c>
      <c r="Z52" s="62">
        <f>IF($V52="","",IF(AND(ISNUMBER($G52),$G52&lt;=IF($S52=MesCiclo,InicioCiclo,$S52+MOD(2-WEEKDAY($S52),7))+13),1,IF(ISNUMBER($J52),$J52,$Y52)))</f>
        <v/>
      </c>
      <c r="AA52" s="62">
        <f>IF($V52="","",IF(AND(ISNUMBER($G52),$G52&lt;=IF($S52=MesCiclo,InicioCiclo,$S52+MOD(2-WEEKDAY($S52),7))+20),1,IF(ISNUMBER($K52),$K52,$Z52)))</f>
        <v/>
      </c>
      <c r="AB52" s="62">
        <f>IF($V52="","",IF(AND(ISNUMBER($G52),$G52&lt;=IF($S52=MesCiclo,InicioCiclo,$S52+MOD(2-WEEKDAY($S52),7))+27),1,IF(ISNUMBER($L52),$L52,$AA52)))</f>
        <v/>
      </c>
      <c r="AC52" s="62">
        <f>IF($V52="","",IF(AND(ISNUMBER($G52),$G52&lt;=IF($S52=MesCiclo,InicioCiclo,$S52+MOD(2-WEEKDAY($S52),7))+6),1,IF(N($W52)&gt;0,AVERAGEIFS($Y$5:$Y$1000,$U$5:$U$1000,ROW(),$V$5:$V$1000,"Sub"),$Y52)))</f>
        <v/>
      </c>
      <c r="AD52" s="62">
        <f>IF($V52="","",IF(AND(ISNUMBER($G52),$G52&lt;=IF($S52=MesCiclo,InicioCiclo,$S52+MOD(2-WEEKDAY($S52),7))+13),1,IF(N($W52)&gt;0,AVERAGEIFS($Z$5:$Z$1000,$U$5:$U$1000,ROW(),$V$5:$V$1000,"Sub"),$Z52)))</f>
        <v/>
      </c>
      <c r="AE52" s="62">
        <f>IF($V52="","",IF(AND(ISNUMBER($G52),$G52&lt;=IF($S52=MesCiclo,InicioCiclo,$S52+MOD(2-WEEKDAY($S52),7))+20),1,IF(N($W52)&gt;0,AVERAGEIFS($AA$5:$AA$1000,$U$5:$U$1000,ROW(),$V$5:$V$1000,"Sub"),$AA52)))</f>
        <v/>
      </c>
      <c r="AF52" s="62">
        <f>IF($V52="","",IF(AND(ISNUMBER($G52),$G52&lt;=IF($S52=MesCiclo,InicioCiclo,$S52+MOD(2-WEEKDAY($S52),7))+27),1,IF(N($W52)&gt;0,AVERAGEIFS($AB$5:$AB$1000,$U$5:$U$1000,ROW(),$V$5:$V$1000,"Sub"),$AB52)))</f>
        <v/>
      </c>
      <c r="AG52" s="62">
        <f>IF($V52&lt;&gt;"Macro","",IF(COUNTIFS($S$5:$S$1000,$S52,$V$5:$V$1000,"Macro",$H$5:$H$1000,"&gt;0")=0,1/COUNTIFS($S$5:$S$1000,$S52,$V$5:$V$1000,"Macro"),IF(AND(ISNUMBER($H52),N($H52)&gt;0),$H52,SUMIFS($H$5:$H$1000,$S$5:$S$1000,$S52,$V$5:$V$1000,"Macro")/COUNTIFS($S$5:$S$1000,$S52,$V$5:$V$1000,"Macro",$H$5:$H$1000,"&gt;0"))/(COUNTIFS($S$5:$S$1000,$S52,$V$5:$V$1000,"Macro")*SUMIFS($H$5:$H$1000,$S$5:$S$1000,$S52,$V$5:$V$1000,"Macro")/COUNTIFS($S$5:$S$1000,$S52,$V$5:$V$1000,"Macro",$H$5:$H$1000,"&gt;0"))))</f>
        <v/>
      </c>
      <c r="AH52" s="62">
        <f>IF(NOT(AND($D52&lt;&gt;"",$V52="Macro")),"",IFERROR(CHOOSE(MATCH($D52,ListaPuestos,0),MATCH("[Jefatura] "&amp;$C52,'Cronograma R. Operacional'!$C$5:$C$1000,0),MATCH("[Jefatura] "&amp;$C52,'Cronograma R. Normativo'!$C$5:$C$1000,0),MATCH("[Jefatura] "&amp;$C52,'Cronograma R. Financiero'!$C$5:$C$1000,0),MATCH("[Jefatura] "&amp;$C52,'Cronograma Asistente Técnico'!$C$5:$C$1000,0)),0))</f>
        <v/>
      </c>
      <c r="AI52" s="62">
        <f>IF(AND(AND($D52&lt;&gt;"",$V52="Macro"),$S52=MesCiclo),COUNTIFS($D$5:$D52,$D52,$S$5:$S52,MesCiclo,$V$5:$V52,"Macro"),"")</f>
        <v/>
      </c>
      <c r="AJ52" s="62">
        <f>IF($AI52="","",$D52&amp;"|"&amp;$AI52)</f>
        <v/>
      </c>
      <c r="AK52" s="62">
        <f>IF(AND($D52&lt;&gt;"",$V52="Macro"),$D52&amp;"|"&amp;$C52,"")</f>
        <v/>
      </c>
      <c r="AL52" s="62">
        <f>""</f>
        <v/>
      </c>
      <c r="AM52" s="62">
        <f>IF(N($AL52)&gt;0,INDEX(rIni_ADM,$AL52),IF(ISNUMBER($E52),$E52,""))</f>
        <v/>
      </c>
      <c r="AN52" s="62">
        <f>IF(N($AL52)&gt;0,INDEX(rLim_ADM,$AL52),IF(ISNUMBER($F52),$F52,""))</f>
        <v/>
      </c>
    </row>
    <row r="53">
      <c r="A53" s="56">
        <f>IF(NOT((COUNTA($B53:$D53)+COUNTA($G53:$L53)+COUNTA($Q53))&gt;0),"",IF($V53="Macro",COUNTIFS($V$5:$V53,"Macro",$S$5:$S53,$S53),IF(N($U53)=0,"?",COUNTIFS(INDEX($V$5:$V$1000,1):INDEX($V$5:$V$1000,$U53-4),"Macro",INDEX($S$5:$S$1000,1):INDEX($S$5:$S$1000,$U53-4),INDEX($S$5:$S$1000,$U53-4))&amp;"."&amp;COUNTIFS($U$5:$U53,$U53,$V$5:$V53,"Sub"))))</f>
        <v/>
      </c>
      <c r="B53" s="57" t="n"/>
      <c r="C53" s="58" t="n"/>
      <c r="D53" s="58" t="n"/>
      <c r="E53" s="59" t="n"/>
      <c r="F53" s="59" t="n"/>
      <c r="G53" s="59" t="n"/>
      <c r="H53" s="60" t="n"/>
      <c r="I53" s="60" t="n"/>
      <c r="J53" s="60" t="n"/>
      <c r="K53" s="60" t="n"/>
      <c r="L53" s="60" t="n"/>
      <c r="M53" s="61">
        <f>IF(NOT((COUNTA($B53:$D53)+COUNTA($G53:$L53)+COUNTA($Q53))&gt;0),"",IF(AND($D53&lt;&gt;"",$V53="Macro"),IF(N($AH53)&gt;0,N(CHOOSE(MATCH($D53,ListaPuestos,0),INDEX('Cronograma R. Operacional'!$M$5:$M$1000,$AH53),INDEX('Cronograma R. Normativo'!$M$5:$M$1000,$AH53),INDEX('Cronograma R. Financiero'!$M$5:$M$1000,$AH53),INDEX('Cronograma Asistente Técnico'!$M$5:$M$1000,$AH53))),0),IF(ISNUMBER($G53),1,IF(N($W53)&gt;0,AVERAGEIFS($X$5:$X$1000,$U$5:$U$1000,ROW(),$V$5:$V$1000,"Sub"),$X53))))</f>
        <v/>
      </c>
      <c r="N53" s="56">
        <f>IF(OR($M53="",$V53="Sub"),"",IF($M53&gt;=1,"Completado",IF($M53&gt;0,"En curso","Pendiente")))</f>
        <v/>
      </c>
      <c r="O53" s="56">
        <f>IF(NOT((COUNTA($B53:$D53)+COUNTA($G53:$L53)+COUNTA($Q53))&gt;0),"",IF(AND(AND($D53&lt;&gt;"",$V53="Macro"),N($AH53)&gt;0),CHOOSE(MATCH($D53,ListaPuestos,0),INDEX('Cronograma R. Operacional'!$O$5:$O$1000,$AH53),INDEX('Cronograma R. Normativo'!$O$5:$O$1000,$AH53),INDEX('Cronograma R. Financiero'!$O$5:$O$1000,$AH53),INDEX('Cronograma Asistente Técnico'!$O$5:$O$1000,$AH53))&amp;"",IF(ISNUMBER($G53),IF(AND(ISNUMBER($AN53),$G53&gt;$AN53),"Cumplida con "&amp;($G53-$AN53)&amp;IF($G53-$AN53=1," día"," días")&amp;" de retraso","Cumplida"),IF(N($M53)&gt;=1,"Cumplida",IF(NOT(ISNUMBER($AN53)),"Sin fecha límite",IF($AN53&lt;FechaRef,"Vencida hace "&amp;(FechaRef-$AN53)&amp;IF(FechaRef-$AN53=1," día"," días"),IF($AN53=FechaRef,"Vence hoy",IF($AN53-FechaRef&lt;=DiasAlerta,"Vence en "&amp;($AN53-FechaRef)&amp;IF($AN53-FechaRef=1," día"," días"),"En plazo"))))))))</f>
        <v/>
      </c>
      <c r="P53" s="62">
        <f>IF(NOT((COUNTA($B53:$D53)+COUNTA($G53:$L53)+COUNTA($Q53))&gt;0),"",IF($D53="","Propia",IF($V53&lt;&gt;"Macro","Solo se delegan macroactividades",IF(N($AH53)&gt;0,"✔ Recibida por "&amp;$D53,"⚠ "&amp;$D53&amp;" aún no la agrega"))))</f>
        <v/>
      </c>
      <c r="Q53" s="58" t="n"/>
      <c r="R53" s="63">
        <f>IF(NOT((COUNTA($B53:$D53)+COUNTA($G53:$L53)+COUNTA($Q53))&gt;0),"",IF((IF($C53="","Falta el nombre de la actividad"&amp;" · ","")&amp;IF(AND($V53="Sub",N($U53)=0),"Subactividad sin macroactividad arriba"&amp;" · ","")&amp;IF($AM53="","Sin fecha de inicio"&amp;" · ","")&amp;IF($AN53="","Sin fecha límite"&amp;" · ","")&amp;IF(AND(LEFT($C53,11)="[Jefatura] ",N($AL53)=0),"No se encuentra en la hoja de la jefatura (elíjala de nuevo en la lista)"&amp;" · ","")&amp;IF(OR(AND($E53&lt;&gt;"",NOT(ISNUMBER($E53))),AND($F53&lt;&gt;"",NOT(ISNUMBER($F53))),AND($G53&lt;&gt;"",NOT(ISNUMBER($G53)))),"Fecha no válida"&amp;" · ","")&amp;IF(AND(ISNUMBER($AM53),ISNUMBER($AN53),$AM53&gt;$AN53),"Inicio posterior a fecha límite"&amp;" · ","")&amp;IF(AND($V53="Macro",$H53&lt;&gt;"",OR(NOT(ISNUMBER($H53)),$H53&lt;0,$H53&gt;1)),"Peso fuera de rango"&amp;" · ","")&amp;IF(AND($V53="Sub",$H53&lt;&gt;""),"Las subactividades no llevan peso (valen igual dentro de su macroactividad)"&amp;" · ","")&amp;IF(AND(N($W53)&gt;0,COUNT($I53:$L53)&gt;0),"Con subactividades: deje vacías las semanas (se calculan solas)"&amp;" · ","")&amp;IF((COUNTIF($I53:$L53,"&gt;1")+COUNTIF($I53:$L53,"&lt;0")+COUNTA($I53:$L53)-COUNT($I53:$L53))&gt;0,"Avance fuera de rango 0-100%"&amp;" · ","")&amp;IF(OR(AND($J53&lt;&gt;"",$J53&lt;$I53),AND($K53&lt;&gt;"",$K53&lt;MAX($I53:$J53)),AND($L53&lt;&gt;"",$L53&lt;MAX($I53:$K53))),"Avance semanal decreciente"&amp;" · ","")&amp;IF(AND(ISNUMBER($AN53),$AN53&lt;FechaRef,IF($V53="Sub",N($X53),N($M53))&lt;1),"Vencida"&amp;" · ","")&amp;IF(AND(ObsObligatoria="Sí",ISNUMBER($AN53),$AN53&lt;FechaRef,IF($V53="Sub",N($X53),N($M53))&lt;1,$Q53=""),"Vencida sin observación"&amp;" · ",""))="","✔ OK","⚠ "&amp;LEFT(IF($C53="","Falta el nombre de la actividad"&amp;" · ","")&amp;IF(AND($V53="Sub",N($U53)=0),"Subactividad sin macroactividad arriba"&amp;" · ","")&amp;IF($AM53="","Sin fecha de inicio"&amp;" · ","")&amp;IF($AN53="","Sin fecha límite"&amp;" · ","")&amp;IF(AND(LEFT($C53,11)="[Jefatura] ",N($AL53)=0),"No se encuentra en la hoja de la jefatura (elíjala de nuevo en la lista)"&amp;" · ","")&amp;IF(OR(AND($E53&lt;&gt;"",NOT(ISNUMBER($E53))),AND($F53&lt;&gt;"",NOT(ISNUMBER($F53))),AND($G53&lt;&gt;"",NOT(ISNUMBER($G53)))),"Fecha no válida"&amp;" · ","")&amp;IF(AND(ISNUMBER($AM53),ISNUMBER($AN53),$AM53&gt;$AN53),"Inicio posterior a fecha límite"&amp;" · ","")&amp;IF(AND($V53="Macro",$H53&lt;&gt;"",OR(NOT(ISNUMBER($H53)),$H53&lt;0,$H53&gt;1)),"Peso fuera de rango"&amp;" · ","")&amp;IF(AND($V53="Sub",$H53&lt;&gt;""),"Las subactividades no llevan peso (valen igual dentro de su macroactividad)"&amp;" · ","")&amp;IF(AND(N($W53)&gt;0,COUNT($I53:$L53)&gt;0),"Con subactividades: deje vacías las semanas (se calculan solas)"&amp;" · ","")&amp;IF((COUNTIF($I53:$L53,"&gt;1")+COUNTIF($I53:$L53,"&lt;0")+COUNTA($I53:$L53)-COUNT($I53:$L53))&gt;0,"Avance fuera de rango 0-100%"&amp;" · ","")&amp;IF(OR(AND($J53&lt;&gt;"",$J53&lt;$I53),AND($K53&lt;&gt;"",$K53&lt;MAX($I53:$J53)),AND($L53&lt;&gt;"",$L53&lt;MAX($I53:$K53))),"Avance semanal decreciente"&amp;" · ","")&amp;IF(AND(ISNUMBER($AN53),$AN53&lt;FechaRef,IF($V53="Sub",N($X53),N($M53))&lt;1),"Vencida"&amp;" · ","")&amp;IF(AND(ObsObligatoria="Sí",ISNUMBER($AN53),$AN53&lt;FechaRef,IF($V53="Sub",N($X53),N($M53))&lt;1,$Q53=""),"Vencida sin observación"&amp;" · ",""),LEN(IF($C53="","Falta el nombre de la actividad"&amp;" · ","")&amp;IF(AND($V53="Sub",N($U53)=0),"Subactividad sin macroactividad arriba"&amp;" · ","")&amp;IF($AM53="","Sin fecha de inicio"&amp;" · ","")&amp;IF($AN53="","Sin fecha límite"&amp;" · ","")&amp;IF(AND(LEFT($C53,11)="[Jefatura] ",N($AL53)=0),"No se encuentra en la hoja de la jefatura (elíjala de nuevo en la lista)"&amp;" · ","")&amp;IF(OR(AND($E53&lt;&gt;"",NOT(ISNUMBER($E53))),AND($F53&lt;&gt;"",NOT(ISNUMBER($F53))),AND($G53&lt;&gt;"",NOT(ISNUMBER($G53)))),"Fecha no válida"&amp;" · ","")&amp;IF(AND(ISNUMBER($AM53),ISNUMBER($AN53),$AM53&gt;$AN53),"Inicio posterior a fecha límite"&amp;" · ","")&amp;IF(AND($V53="Macro",$H53&lt;&gt;"",OR(NOT(ISNUMBER($H53)),$H53&lt;0,$H53&gt;1)),"Peso fuera de rango"&amp;" · ","")&amp;IF(AND($V53="Sub",$H53&lt;&gt;""),"Las subactividades no llevan peso (valen igual dentro de su macroactividad)"&amp;" · ","")&amp;IF(AND(N($W53)&gt;0,COUNT($I53:$L53)&gt;0),"Con subactividades: deje vacías las semanas (se calculan solas)"&amp;" · ","")&amp;IF((COUNTIF($I53:$L53,"&gt;1")+COUNTIF($I53:$L53,"&lt;0")+COUNTA($I53:$L53)-COUNT($I53:$L53))&gt;0,"Avance fuera de rango 0-100%"&amp;" · ","")&amp;IF(OR(AND($J53&lt;&gt;"",$J53&lt;$I53),AND($K53&lt;&gt;"",$K53&lt;MAX($I53:$J53)),AND($L53&lt;&gt;"",$L53&lt;MAX($I53:$K53))),"Avance semanal decreciente"&amp;" · ","")&amp;IF(AND(ISNUMBER($AN53),$AN53&lt;FechaRef,IF($V53="Sub",N($X53),N($M53))&lt;1),"Vencida"&amp;" · ","")&amp;IF(AND(ObsObligatoria="Sí",ISNUMBER($AN53),$AN53&lt;FechaRef,IF($V53="Sub",N($X53),N($M53))&lt;1,$Q53=""),"Vencida sin observación"&amp;" · ",""))-3)))</f>
        <v/>
      </c>
      <c r="S53" s="64">
        <f>IF(NOT((COUNTA($B53:$D53)+COUNTA($G53:$L53)+COUNTA($Q53))&gt;0),"",IF(AND($V53="Sub",N($U53)&gt;0),IF(ISNUMBER(INDEX($AM$5:$AM$1000,$U53-4)),DATE(YEAR(INDEX($AM$5:$AM$1000,$U53-4)),MONTH(INDEX($AM$5:$AM$1000,$U53-4)),1),IF(ISNUMBER(INDEX($AN$5:$AN$1000,$U53-4)),DATE(YEAR(INDEX($AN$5:$AN$1000,$U53-4)),MONTH(INDEX($AN$5:$AN$1000,$U53-4)),1),MesCiclo)),IF(ISNUMBER($AM53),DATE(YEAR($AM53),MONTH($AM53),1),IF(ISNUMBER($AN53),DATE(YEAR($AN53),MONTH($AN53),1),MesCiclo))))</f>
        <v/>
      </c>
      <c r="T53" s="62">
        <f>IF(OR($S53="",$S53&lt;&gt;MesCiclo,$V53&lt;&gt;"Macro"),"",COUNTIFS($S$5:$S53,MesCiclo,$V$5:$V53,"Macro"))</f>
        <v/>
      </c>
      <c r="U53" s="62">
        <f>IF($V53="","",IF($V53="Macro",ROW(),IFERROR(LOOKUP(2,1/($V$5:$V53="Macro"),ROW($V$5:$V53)),0)))</f>
        <v/>
      </c>
      <c r="V53" s="62">
        <f>IF(NOT((COUNTA($B53:$D53)+COUNTA($G53:$L53)+COUNTA($Q53))&gt;0),"",IF($B53="Subactividad","Sub","Macro"))</f>
        <v/>
      </c>
      <c r="W53" s="62">
        <f>IF($V53="Macro",COUNTIFS($U$5:$U$1000,ROW(),$V$5:$V$1000,"Sub"),"")</f>
        <v/>
      </c>
      <c r="X53" s="62">
        <f>IF($V53="","",IF(ISNUMBER($G53),1,IFERROR(LOOKUP(2,1/($I53:$L53&lt;&gt;""),$I53:$L53),0)))</f>
        <v/>
      </c>
      <c r="Y53" s="62">
        <f>IF($V53="","",IF(AND(ISNUMBER($G53),$G53&lt;=IF($S53=MesCiclo,InicioCiclo,$S53+MOD(2-WEEKDAY($S53),7))+6),1,IF(ISNUMBER($I53),$I53,0)))</f>
        <v/>
      </c>
      <c r="Z53" s="62">
        <f>IF($V53="","",IF(AND(ISNUMBER($G53),$G53&lt;=IF($S53=MesCiclo,InicioCiclo,$S53+MOD(2-WEEKDAY($S53),7))+13),1,IF(ISNUMBER($J53),$J53,$Y53)))</f>
        <v/>
      </c>
      <c r="AA53" s="62">
        <f>IF($V53="","",IF(AND(ISNUMBER($G53),$G53&lt;=IF($S53=MesCiclo,InicioCiclo,$S53+MOD(2-WEEKDAY($S53),7))+20),1,IF(ISNUMBER($K53),$K53,$Z53)))</f>
        <v/>
      </c>
      <c r="AB53" s="62">
        <f>IF($V53="","",IF(AND(ISNUMBER($G53),$G53&lt;=IF($S53=MesCiclo,InicioCiclo,$S53+MOD(2-WEEKDAY($S53),7))+27),1,IF(ISNUMBER($L53),$L53,$AA53)))</f>
        <v/>
      </c>
      <c r="AC53" s="62">
        <f>IF($V53="","",IF(AND(ISNUMBER($G53),$G53&lt;=IF($S53=MesCiclo,InicioCiclo,$S53+MOD(2-WEEKDAY($S53),7))+6),1,IF(N($W53)&gt;0,AVERAGEIFS($Y$5:$Y$1000,$U$5:$U$1000,ROW(),$V$5:$V$1000,"Sub"),$Y53)))</f>
        <v/>
      </c>
      <c r="AD53" s="62">
        <f>IF($V53="","",IF(AND(ISNUMBER($G53),$G53&lt;=IF($S53=MesCiclo,InicioCiclo,$S53+MOD(2-WEEKDAY($S53),7))+13),1,IF(N($W53)&gt;0,AVERAGEIFS($Z$5:$Z$1000,$U$5:$U$1000,ROW(),$V$5:$V$1000,"Sub"),$Z53)))</f>
        <v/>
      </c>
      <c r="AE53" s="62">
        <f>IF($V53="","",IF(AND(ISNUMBER($G53),$G53&lt;=IF($S53=MesCiclo,InicioCiclo,$S53+MOD(2-WEEKDAY($S53),7))+20),1,IF(N($W53)&gt;0,AVERAGEIFS($AA$5:$AA$1000,$U$5:$U$1000,ROW(),$V$5:$V$1000,"Sub"),$AA53)))</f>
        <v/>
      </c>
      <c r="AF53" s="62">
        <f>IF($V53="","",IF(AND(ISNUMBER($G53),$G53&lt;=IF($S53=MesCiclo,InicioCiclo,$S53+MOD(2-WEEKDAY($S53),7))+27),1,IF(N($W53)&gt;0,AVERAGEIFS($AB$5:$AB$1000,$U$5:$U$1000,ROW(),$V$5:$V$1000,"Sub"),$AB53)))</f>
        <v/>
      </c>
      <c r="AG53" s="62">
        <f>IF($V53&lt;&gt;"Macro","",IF(COUNTIFS($S$5:$S$1000,$S53,$V$5:$V$1000,"Macro",$H$5:$H$1000,"&gt;0")=0,1/COUNTIFS($S$5:$S$1000,$S53,$V$5:$V$1000,"Macro"),IF(AND(ISNUMBER($H53),N($H53)&gt;0),$H53,SUMIFS($H$5:$H$1000,$S$5:$S$1000,$S53,$V$5:$V$1000,"Macro")/COUNTIFS($S$5:$S$1000,$S53,$V$5:$V$1000,"Macro",$H$5:$H$1000,"&gt;0"))/(COUNTIFS($S$5:$S$1000,$S53,$V$5:$V$1000,"Macro")*SUMIFS($H$5:$H$1000,$S$5:$S$1000,$S53,$V$5:$V$1000,"Macro")/COUNTIFS($S$5:$S$1000,$S53,$V$5:$V$1000,"Macro",$H$5:$H$1000,"&gt;0"))))</f>
        <v/>
      </c>
      <c r="AH53" s="62">
        <f>IF(NOT(AND($D53&lt;&gt;"",$V53="Macro")),"",IFERROR(CHOOSE(MATCH($D53,ListaPuestos,0),MATCH("[Jefatura] "&amp;$C53,'Cronograma R. Operacional'!$C$5:$C$1000,0),MATCH("[Jefatura] "&amp;$C53,'Cronograma R. Normativo'!$C$5:$C$1000,0),MATCH("[Jefatura] "&amp;$C53,'Cronograma R. Financiero'!$C$5:$C$1000,0),MATCH("[Jefatura] "&amp;$C53,'Cronograma Asistente Técnico'!$C$5:$C$1000,0)),0))</f>
        <v/>
      </c>
      <c r="AI53" s="62">
        <f>IF(AND(AND($D53&lt;&gt;"",$V53="Macro"),$S53=MesCiclo),COUNTIFS($D$5:$D53,$D53,$S$5:$S53,MesCiclo,$V$5:$V53,"Macro"),"")</f>
        <v/>
      </c>
      <c r="AJ53" s="62">
        <f>IF($AI53="","",$D53&amp;"|"&amp;$AI53)</f>
        <v/>
      </c>
      <c r="AK53" s="62">
        <f>IF(AND($D53&lt;&gt;"",$V53="Macro"),$D53&amp;"|"&amp;$C53,"")</f>
        <v/>
      </c>
      <c r="AL53" s="62">
        <f>""</f>
        <v/>
      </c>
      <c r="AM53" s="62">
        <f>IF(N($AL53)&gt;0,INDEX(rIni_ADM,$AL53),IF(ISNUMBER($E53),$E53,""))</f>
        <v/>
      </c>
      <c r="AN53" s="62">
        <f>IF(N($AL53)&gt;0,INDEX(rLim_ADM,$AL53),IF(ISNUMBER($F53),$F53,""))</f>
        <v/>
      </c>
    </row>
    <row r="54">
      <c r="A54" s="56">
        <f>IF(NOT((COUNTA($B54:$D54)+COUNTA($G54:$L54)+COUNTA($Q54))&gt;0),"",IF($V54="Macro",COUNTIFS($V$5:$V54,"Macro",$S$5:$S54,$S54),IF(N($U54)=0,"?",COUNTIFS(INDEX($V$5:$V$1000,1):INDEX($V$5:$V$1000,$U54-4),"Macro",INDEX($S$5:$S$1000,1):INDEX($S$5:$S$1000,$U54-4),INDEX($S$5:$S$1000,$U54-4))&amp;"."&amp;COUNTIFS($U$5:$U54,$U54,$V$5:$V54,"Sub"))))</f>
        <v/>
      </c>
      <c r="B54" s="57" t="n"/>
      <c r="C54" s="58" t="n"/>
      <c r="D54" s="58" t="n"/>
      <c r="E54" s="59" t="n"/>
      <c r="F54" s="59" t="n"/>
      <c r="G54" s="59" t="n"/>
      <c r="H54" s="60" t="n"/>
      <c r="I54" s="60" t="n"/>
      <c r="J54" s="60" t="n"/>
      <c r="K54" s="60" t="n"/>
      <c r="L54" s="60" t="n"/>
      <c r="M54" s="61">
        <f>IF(NOT((COUNTA($B54:$D54)+COUNTA($G54:$L54)+COUNTA($Q54))&gt;0),"",IF(AND($D54&lt;&gt;"",$V54="Macro"),IF(N($AH54)&gt;0,N(CHOOSE(MATCH($D54,ListaPuestos,0),INDEX('Cronograma R. Operacional'!$M$5:$M$1000,$AH54),INDEX('Cronograma R. Normativo'!$M$5:$M$1000,$AH54),INDEX('Cronograma R. Financiero'!$M$5:$M$1000,$AH54),INDEX('Cronograma Asistente Técnico'!$M$5:$M$1000,$AH54))),0),IF(ISNUMBER($G54),1,IF(N($W54)&gt;0,AVERAGEIFS($X$5:$X$1000,$U$5:$U$1000,ROW(),$V$5:$V$1000,"Sub"),$X54))))</f>
        <v/>
      </c>
      <c r="N54" s="56">
        <f>IF(OR($M54="",$V54="Sub"),"",IF($M54&gt;=1,"Completado",IF($M54&gt;0,"En curso","Pendiente")))</f>
        <v/>
      </c>
      <c r="O54" s="56">
        <f>IF(NOT((COUNTA($B54:$D54)+COUNTA($G54:$L54)+COUNTA($Q54))&gt;0),"",IF(AND(AND($D54&lt;&gt;"",$V54="Macro"),N($AH54)&gt;0),CHOOSE(MATCH($D54,ListaPuestos,0),INDEX('Cronograma R. Operacional'!$O$5:$O$1000,$AH54),INDEX('Cronograma R. Normativo'!$O$5:$O$1000,$AH54),INDEX('Cronograma R. Financiero'!$O$5:$O$1000,$AH54),INDEX('Cronograma Asistente Técnico'!$O$5:$O$1000,$AH54))&amp;"",IF(ISNUMBER($G54),IF(AND(ISNUMBER($AN54),$G54&gt;$AN54),"Cumplida con "&amp;($G54-$AN54)&amp;IF($G54-$AN54=1," día"," días")&amp;" de retraso","Cumplida"),IF(N($M54)&gt;=1,"Cumplida",IF(NOT(ISNUMBER($AN54)),"Sin fecha límite",IF($AN54&lt;FechaRef,"Vencida hace "&amp;(FechaRef-$AN54)&amp;IF(FechaRef-$AN54=1," día"," días"),IF($AN54=FechaRef,"Vence hoy",IF($AN54-FechaRef&lt;=DiasAlerta,"Vence en "&amp;($AN54-FechaRef)&amp;IF($AN54-FechaRef=1," día"," días"),"En plazo"))))))))</f>
        <v/>
      </c>
      <c r="P54" s="62">
        <f>IF(NOT((COUNTA($B54:$D54)+COUNTA($G54:$L54)+COUNTA($Q54))&gt;0),"",IF($D54="","Propia",IF($V54&lt;&gt;"Macro","Solo se delegan macroactividades",IF(N($AH54)&gt;0,"✔ Recibida por "&amp;$D54,"⚠ "&amp;$D54&amp;" aún no la agrega"))))</f>
        <v/>
      </c>
      <c r="Q54" s="58" t="n"/>
      <c r="R54" s="63">
        <f>IF(NOT((COUNTA($B54:$D54)+COUNTA($G54:$L54)+COUNTA($Q54))&gt;0),"",IF((IF($C54="","Falta el nombre de la actividad"&amp;" · ","")&amp;IF(AND($V54="Sub",N($U54)=0),"Subactividad sin macroactividad arriba"&amp;" · ","")&amp;IF($AM54="","Sin fecha de inicio"&amp;" · ","")&amp;IF($AN54="","Sin fecha límite"&amp;" · ","")&amp;IF(AND(LEFT($C54,11)="[Jefatura] ",N($AL54)=0),"No se encuentra en la hoja de la jefatura (elíjala de nuevo en la lista)"&amp;" · ","")&amp;IF(OR(AND($E54&lt;&gt;"",NOT(ISNUMBER($E54))),AND($F54&lt;&gt;"",NOT(ISNUMBER($F54))),AND($G54&lt;&gt;"",NOT(ISNUMBER($G54)))),"Fecha no válida"&amp;" · ","")&amp;IF(AND(ISNUMBER($AM54),ISNUMBER($AN54),$AM54&gt;$AN54),"Inicio posterior a fecha límite"&amp;" · ","")&amp;IF(AND($V54="Macro",$H54&lt;&gt;"",OR(NOT(ISNUMBER($H54)),$H54&lt;0,$H54&gt;1)),"Peso fuera de rango"&amp;" · ","")&amp;IF(AND($V54="Sub",$H54&lt;&gt;""),"Las subactividades no llevan peso (valen igual dentro de su macroactividad)"&amp;" · ","")&amp;IF(AND(N($W54)&gt;0,COUNT($I54:$L54)&gt;0),"Con subactividades: deje vacías las semanas (se calculan solas)"&amp;" · ","")&amp;IF((COUNTIF($I54:$L54,"&gt;1")+COUNTIF($I54:$L54,"&lt;0")+COUNTA($I54:$L54)-COUNT($I54:$L54))&gt;0,"Avance fuera de rango 0-100%"&amp;" · ","")&amp;IF(OR(AND($J54&lt;&gt;"",$J54&lt;$I54),AND($K54&lt;&gt;"",$K54&lt;MAX($I54:$J54)),AND($L54&lt;&gt;"",$L54&lt;MAX($I54:$K54))),"Avance semanal decreciente"&amp;" · ","")&amp;IF(AND(ISNUMBER($AN54),$AN54&lt;FechaRef,IF($V54="Sub",N($X54),N($M54))&lt;1),"Vencida"&amp;" · ","")&amp;IF(AND(ObsObligatoria="Sí",ISNUMBER($AN54),$AN54&lt;FechaRef,IF($V54="Sub",N($X54),N($M54))&lt;1,$Q54=""),"Vencida sin observación"&amp;" · ",""))="","✔ OK","⚠ "&amp;LEFT(IF($C54="","Falta el nombre de la actividad"&amp;" · ","")&amp;IF(AND($V54="Sub",N($U54)=0),"Subactividad sin macroactividad arriba"&amp;" · ","")&amp;IF($AM54="","Sin fecha de inicio"&amp;" · ","")&amp;IF($AN54="","Sin fecha límite"&amp;" · ","")&amp;IF(AND(LEFT($C54,11)="[Jefatura] ",N($AL54)=0),"No se encuentra en la hoja de la jefatura (elíjala de nuevo en la lista)"&amp;" · ","")&amp;IF(OR(AND($E54&lt;&gt;"",NOT(ISNUMBER($E54))),AND($F54&lt;&gt;"",NOT(ISNUMBER($F54))),AND($G54&lt;&gt;"",NOT(ISNUMBER($G54)))),"Fecha no válida"&amp;" · ","")&amp;IF(AND(ISNUMBER($AM54),ISNUMBER($AN54),$AM54&gt;$AN54),"Inicio posterior a fecha límite"&amp;" · ","")&amp;IF(AND($V54="Macro",$H54&lt;&gt;"",OR(NOT(ISNUMBER($H54)),$H54&lt;0,$H54&gt;1)),"Peso fuera de rango"&amp;" · ","")&amp;IF(AND($V54="Sub",$H54&lt;&gt;""),"Las subactividades no llevan peso (valen igual dentro de su macroactividad)"&amp;" · ","")&amp;IF(AND(N($W54)&gt;0,COUNT($I54:$L54)&gt;0),"Con subactividades: deje vacías las semanas (se calculan solas)"&amp;" · ","")&amp;IF((COUNTIF($I54:$L54,"&gt;1")+COUNTIF($I54:$L54,"&lt;0")+COUNTA($I54:$L54)-COUNT($I54:$L54))&gt;0,"Avance fuera de rango 0-100%"&amp;" · ","")&amp;IF(OR(AND($J54&lt;&gt;"",$J54&lt;$I54),AND($K54&lt;&gt;"",$K54&lt;MAX($I54:$J54)),AND($L54&lt;&gt;"",$L54&lt;MAX($I54:$K54))),"Avance semanal decreciente"&amp;" · ","")&amp;IF(AND(ISNUMBER($AN54),$AN54&lt;FechaRef,IF($V54="Sub",N($X54),N($M54))&lt;1),"Vencida"&amp;" · ","")&amp;IF(AND(ObsObligatoria="Sí",ISNUMBER($AN54),$AN54&lt;FechaRef,IF($V54="Sub",N($X54),N($M54))&lt;1,$Q54=""),"Vencida sin observación"&amp;" · ",""),LEN(IF($C54="","Falta el nombre de la actividad"&amp;" · ","")&amp;IF(AND($V54="Sub",N($U54)=0),"Subactividad sin macroactividad arriba"&amp;" · ","")&amp;IF($AM54="","Sin fecha de inicio"&amp;" · ","")&amp;IF($AN54="","Sin fecha límite"&amp;" · ","")&amp;IF(AND(LEFT($C54,11)="[Jefatura] ",N($AL54)=0),"No se encuentra en la hoja de la jefatura (elíjala de nuevo en la lista)"&amp;" · ","")&amp;IF(OR(AND($E54&lt;&gt;"",NOT(ISNUMBER($E54))),AND($F54&lt;&gt;"",NOT(ISNUMBER($F54))),AND($G54&lt;&gt;"",NOT(ISNUMBER($G54)))),"Fecha no válida"&amp;" · ","")&amp;IF(AND(ISNUMBER($AM54),ISNUMBER($AN54),$AM54&gt;$AN54),"Inicio posterior a fecha límite"&amp;" · ","")&amp;IF(AND($V54="Macro",$H54&lt;&gt;"",OR(NOT(ISNUMBER($H54)),$H54&lt;0,$H54&gt;1)),"Peso fuera de rango"&amp;" · ","")&amp;IF(AND($V54="Sub",$H54&lt;&gt;""),"Las subactividades no llevan peso (valen igual dentro de su macroactividad)"&amp;" · ","")&amp;IF(AND(N($W54)&gt;0,COUNT($I54:$L54)&gt;0),"Con subactividades: deje vacías las semanas (se calculan solas)"&amp;" · ","")&amp;IF((COUNTIF($I54:$L54,"&gt;1")+COUNTIF($I54:$L54,"&lt;0")+COUNTA($I54:$L54)-COUNT($I54:$L54))&gt;0,"Avance fuera de rango 0-100%"&amp;" · ","")&amp;IF(OR(AND($J54&lt;&gt;"",$J54&lt;$I54),AND($K54&lt;&gt;"",$K54&lt;MAX($I54:$J54)),AND($L54&lt;&gt;"",$L54&lt;MAX($I54:$K54))),"Avance semanal decreciente"&amp;" · ","")&amp;IF(AND(ISNUMBER($AN54),$AN54&lt;FechaRef,IF($V54="Sub",N($X54),N($M54))&lt;1),"Vencida"&amp;" · ","")&amp;IF(AND(ObsObligatoria="Sí",ISNUMBER($AN54),$AN54&lt;FechaRef,IF($V54="Sub",N($X54),N($M54))&lt;1,$Q54=""),"Vencida sin observación"&amp;" · ",""))-3)))</f>
        <v/>
      </c>
      <c r="S54" s="64">
        <f>IF(NOT((COUNTA($B54:$D54)+COUNTA($G54:$L54)+COUNTA($Q54))&gt;0),"",IF(AND($V54="Sub",N($U54)&gt;0),IF(ISNUMBER(INDEX($AM$5:$AM$1000,$U54-4)),DATE(YEAR(INDEX($AM$5:$AM$1000,$U54-4)),MONTH(INDEX($AM$5:$AM$1000,$U54-4)),1),IF(ISNUMBER(INDEX($AN$5:$AN$1000,$U54-4)),DATE(YEAR(INDEX($AN$5:$AN$1000,$U54-4)),MONTH(INDEX($AN$5:$AN$1000,$U54-4)),1),MesCiclo)),IF(ISNUMBER($AM54),DATE(YEAR($AM54),MONTH($AM54),1),IF(ISNUMBER($AN54),DATE(YEAR($AN54),MONTH($AN54),1),MesCiclo))))</f>
        <v/>
      </c>
      <c r="T54" s="62">
        <f>IF(OR($S54="",$S54&lt;&gt;MesCiclo,$V54&lt;&gt;"Macro"),"",COUNTIFS($S$5:$S54,MesCiclo,$V$5:$V54,"Macro"))</f>
        <v/>
      </c>
      <c r="U54" s="62">
        <f>IF($V54="","",IF($V54="Macro",ROW(),IFERROR(LOOKUP(2,1/($V$5:$V54="Macro"),ROW($V$5:$V54)),0)))</f>
        <v/>
      </c>
      <c r="V54" s="62">
        <f>IF(NOT((COUNTA($B54:$D54)+COUNTA($G54:$L54)+COUNTA($Q54))&gt;0),"",IF($B54="Subactividad","Sub","Macro"))</f>
        <v/>
      </c>
      <c r="W54" s="62">
        <f>IF($V54="Macro",COUNTIFS($U$5:$U$1000,ROW(),$V$5:$V$1000,"Sub"),"")</f>
        <v/>
      </c>
      <c r="X54" s="62">
        <f>IF($V54="","",IF(ISNUMBER($G54),1,IFERROR(LOOKUP(2,1/($I54:$L54&lt;&gt;""),$I54:$L54),0)))</f>
        <v/>
      </c>
      <c r="Y54" s="62">
        <f>IF($V54="","",IF(AND(ISNUMBER($G54),$G54&lt;=IF($S54=MesCiclo,InicioCiclo,$S54+MOD(2-WEEKDAY($S54),7))+6),1,IF(ISNUMBER($I54),$I54,0)))</f>
        <v/>
      </c>
      <c r="Z54" s="62">
        <f>IF($V54="","",IF(AND(ISNUMBER($G54),$G54&lt;=IF($S54=MesCiclo,InicioCiclo,$S54+MOD(2-WEEKDAY($S54),7))+13),1,IF(ISNUMBER($J54),$J54,$Y54)))</f>
        <v/>
      </c>
      <c r="AA54" s="62">
        <f>IF($V54="","",IF(AND(ISNUMBER($G54),$G54&lt;=IF($S54=MesCiclo,InicioCiclo,$S54+MOD(2-WEEKDAY($S54),7))+20),1,IF(ISNUMBER($K54),$K54,$Z54)))</f>
        <v/>
      </c>
      <c r="AB54" s="62">
        <f>IF($V54="","",IF(AND(ISNUMBER($G54),$G54&lt;=IF($S54=MesCiclo,InicioCiclo,$S54+MOD(2-WEEKDAY($S54),7))+27),1,IF(ISNUMBER($L54),$L54,$AA54)))</f>
        <v/>
      </c>
      <c r="AC54" s="62">
        <f>IF($V54="","",IF(AND(ISNUMBER($G54),$G54&lt;=IF($S54=MesCiclo,InicioCiclo,$S54+MOD(2-WEEKDAY($S54),7))+6),1,IF(N($W54)&gt;0,AVERAGEIFS($Y$5:$Y$1000,$U$5:$U$1000,ROW(),$V$5:$V$1000,"Sub"),$Y54)))</f>
        <v/>
      </c>
      <c r="AD54" s="62">
        <f>IF($V54="","",IF(AND(ISNUMBER($G54),$G54&lt;=IF($S54=MesCiclo,InicioCiclo,$S54+MOD(2-WEEKDAY($S54),7))+13),1,IF(N($W54)&gt;0,AVERAGEIFS($Z$5:$Z$1000,$U$5:$U$1000,ROW(),$V$5:$V$1000,"Sub"),$Z54)))</f>
        <v/>
      </c>
      <c r="AE54" s="62">
        <f>IF($V54="","",IF(AND(ISNUMBER($G54),$G54&lt;=IF($S54=MesCiclo,InicioCiclo,$S54+MOD(2-WEEKDAY($S54),7))+20),1,IF(N($W54)&gt;0,AVERAGEIFS($AA$5:$AA$1000,$U$5:$U$1000,ROW(),$V$5:$V$1000,"Sub"),$AA54)))</f>
        <v/>
      </c>
      <c r="AF54" s="62">
        <f>IF($V54="","",IF(AND(ISNUMBER($G54),$G54&lt;=IF($S54=MesCiclo,InicioCiclo,$S54+MOD(2-WEEKDAY($S54),7))+27),1,IF(N($W54)&gt;0,AVERAGEIFS($AB$5:$AB$1000,$U$5:$U$1000,ROW(),$V$5:$V$1000,"Sub"),$AB54)))</f>
        <v/>
      </c>
      <c r="AG54" s="62">
        <f>IF($V54&lt;&gt;"Macro","",IF(COUNTIFS($S$5:$S$1000,$S54,$V$5:$V$1000,"Macro",$H$5:$H$1000,"&gt;0")=0,1/COUNTIFS($S$5:$S$1000,$S54,$V$5:$V$1000,"Macro"),IF(AND(ISNUMBER($H54),N($H54)&gt;0),$H54,SUMIFS($H$5:$H$1000,$S$5:$S$1000,$S54,$V$5:$V$1000,"Macro")/COUNTIFS($S$5:$S$1000,$S54,$V$5:$V$1000,"Macro",$H$5:$H$1000,"&gt;0"))/(COUNTIFS($S$5:$S$1000,$S54,$V$5:$V$1000,"Macro")*SUMIFS($H$5:$H$1000,$S$5:$S$1000,$S54,$V$5:$V$1000,"Macro")/COUNTIFS($S$5:$S$1000,$S54,$V$5:$V$1000,"Macro",$H$5:$H$1000,"&gt;0"))))</f>
        <v/>
      </c>
      <c r="AH54" s="62">
        <f>IF(NOT(AND($D54&lt;&gt;"",$V54="Macro")),"",IFERROR(CHOOSE(MATCH($D54,ListaPuestos,0),MATCH("[Jefatura] "&amp;$C54,'Cronograma R. Operacional'!$C$5:$C$1000,0),MATCH("[Jefatura] "&amp;$C54,'Cronograma R. Normativo'!$C$5:$C$1000,0),MATCH("[Jefatura] "&amp;$C54,'Cronograma R. Financiero'!$C$5:$C$1000,0),MATCH("[Jefatura] "&amp;$C54,'Cronograma Asistente Técnico'!$C$5:$C$1000,0)),0))</f>
        <v/>
      </c>
      <c r="AI54" s="62">
        <f>IF(AND(AND($D54&lt;&gt;"",$V54="Macro"),$S54=MesCiclo),COUNTIFS($D$5:$D54,$D54,$S$5:$S54,MesCiclo,$V$5:$V54,"Macro"),"")</f>
        <v/>
      </c>
      <c r="AJ54" s="62">
        <f>IF($AI54="","",$D54&amp;"|"&amp;$AI54)</f>
        <v/>
      </c>
      <c r="AK54" s="62">
        <f>IF(AND($D54&lt;&gt;"",$V54="Macro"),$D54&amp;"|"&amp;$C54,"")</f>
        <v/>
      </c>
      <c r="AL54" s="62">
        <f>""</f>
        <v/>
      </c>
      <c r="AM54" s="62">
        <f>IF(N($AL54)&gt;0,INDEX(rIni_ADM,$AL54),IF(ISNUMBER($E54),$E54,""))</f>
        <v/>
      </c>
      <c r="AN54" s="62">
        <f>IF(N($AL54)&gt;0,INDEX(rLim_ADM,$AL54),IF(ISNUMBER($F54),$F54,""))</f>
        <v/>
      </c>
    </row>
    <row r="55">
      <c r="A55" s="56">
        <f>IF(NOT((COUNTA($B55:$D55)+COUNTA($G55:$L55)+COUNTA($Q55))&gt;0),"",IF($V55="Macro",COUNTIFS($V$5:$V55,"Macro",$S$5:$S55,$S55),IF(N($U55)=0,"?",COUNTIFS(INDEX($V$5:$V$1000,1):INDEX($V$5:$V$1000,$U55-4),"Macro",INDEX($S$5:$S$1000,1):INDEX($S$5:$S$1000,$U55-4),INDEX($S$5:$S$1000,$U55-4))&amp;"."&amp;COUNTIFS($U$5:$U55,$U55,$V$5:$V55,"Sub"))))</f>
        <v/>
      </c>
      <c r="B55" s="57" t="n"/>
      <c r="C55" s="58" t="n"/>
      <c r="D55" s="58" t="n"/>
      <c r="E55" s="59" t="n"/>
      <c r="F55" s="59" t="n"/>
      <c r="G55" s="59" t="n"/>
      <c r="H55" s="60" t="n"/>
      <c r="I55" s="60" t="n"/>
      <c r="J55" s="60" t="n"/>
      <c r="K55" s="60" t="n"/>
      <c r="L55" s="60" t="n"/>
      <c r="M55" s="61">
        <f>IF(NOT((COUNTA($B55:$D55)+COUNTA($G55:$L55)+COUNTA($Q55))&gt;0),"",IF(AND($D55&lt;&gt;"",$V55="Macro"),IF(N($AH55)&gt;0,N(CHOOSE(MATCH($D55,ListaPuestos,0),INDEX('Cronograma R. Operacional'!$M$5:$M$1000,$AH55),INDEX('Cronograma R. Normativo'!$M$5:$M$1000,$AH55),INDEX('Cronograma R. Financiero'!$M$5:$M$1000,$AH55),INDEX('Cronograma Asistente Técnico'!$M$5:$M$1000,$AH55))),0),IF(ISNUMBER($G55),1,IF(N($W55)&gt;0,AVERAGEIFS($X$5:$X$1000,$U$5:$U$1000,ROW(),$V$5:$V$1000,"Sub"),$X55))))</f>
        <v/>
      </c>
      <c r="N55" s="56">
        <f>IF(OR($M55="",$V55="Sub"),"",IF($M55&gt;=1,"Completado",IF($M55&gt;0,"En curso","Pendiente")))</f>
        <v/>
      </c>
      <c r="O55" s="56">
        <f>IF(NOT((COUNTA($B55:$D55)+COUNTA($G55:$L55)+COUNTA($Q55))&gt;0),"",IF(AND(AND($D55&lt;&gt;"",$V55="Macro"),N($AH55)&gt;0),CHOOSE(MATCH($D55,ListaPuestos,0),INDEX('Cronograma R. Operacional'!$O$5:$O$1000,$AH55),INDEX('Cronograma R. Normativo'!$O$5:$O$1000,$AH55),INDEX('Cronograma R. Financiero'!$O$5:$O$1000,$AH55),INDEX('Cronograma Asistente Técnico'!$O$5:$O$1000,$AH55))&amp;"",IF(ISNUMBER($G55),IF(AND(ISNUMBER($AN55),$G55&gt;$AN55),"Cumplida con "&amp;($G55-$AN55)&amp;IF($G55-$AN55=1," día"," días")&amp;" de retraso","Cumplida"),IF(N($M55)&gt;=1,"Cumplida",IF(NOT(ISNUMBER($AN55)),"Sin fecha límite",IF($AN55&lt;FechaRef,"Vencida hace "&amp;(FechaRef-$AN55)&amp;IF(FechaRef-$AN55=1," día"," días"),IF($AN55=FechaRef,"Vence hoy",IF($AN55-FechaRef&lt;=DiasAlerta,"Vence en "&amp;($AN55-FechaRef)&amp;IF($AN55-FechaRef=1," día"," días"),"En plazo"))))))))</f>
        <v/>
      </c>
      <c r="P55" s="62">
        <f>IF(NOT((COUNTA($B55:$D55)+COUNTA($G55:$L55)+COUNTA($Q55))&gt;0),"",IF($D55="","Propia",IF($V55&lt;&gt;"Macro","Solo se delegan macroactividades",IF(N($AH55)&gt;0,"✔ Recibida por "&amp;$D55,"⚠ "&amp;$D55&amp;" aún no la agrega"))))</f>
        <v/>
      </c>
      <c r="Q55" s="58" t="n"/>
      <c r="R55" s="63">
        <f>IF(NOT((COUNTA($B55:$D55)+COUNTA($G55:$L55)+COUNTA($Q55))&gt;0),"",IF((IF($C55="","Falta el nombre de la actividad"&amp;" · ","")&amp;IF(AND($V55="Sub",N($U55)=0),"Subactividad sin macroactividad arriba"&amp;" · ","")&amp;IF($AM55="","Sin fecha de inicio"&amp;" · ","")&amp;IF($AN55="","Sin fecha límite"&amp;" · ","")&amp;IF(AND(LEFT($C55,11)="[Jefatura] ",N($AL55)=0),"No se encuentra en la hoja de la jefatura (elíjala de nuevo en la lista)"&amp;" · ","")&amp;IF(OR(AND($E55&lt;&gt;"",NOT(ISNUMBER($E55))),AND($F55&lt;&gt;"",NOT(ISNUMBER($F55))),AND($G55&lt;&gt;"",NOT(ISNUMBER($G55)))),"Fecha no válida"&amp;" · ","")&amp;IF(AND(ISNUMBER($AM55),ISNUMBER($AN55),$AM55&gt;$AN55),"Inicio posterior a fecha límite"&amp;" · ","")&amp;IF(AND($V55="Macro",$H55&lt;&gt;"",OR(NOT(ISNUMBER($H55)),$H55&lt;0,$H55&gt;1)),"Peso fuera de rango"&amp;" · ","")&amp;IF(AND($V55="Sub",$H55&lt;&gt;""),"Las subactividades no llevan peso (valen igual dentro de su macroactividad)"&amp;" · ","")&amp;IF(AND(N($W55)&gt;0,COUNT($I55:$L55)&gt;0),"Con subactividades: deje vacías las semanas (se calculan solas)"&amp;" · ","")&amp;IF((COUNTIF($I55:$L55,"&gt;1")+COUNTIF($I55:$L55,"&lt;0")+COUNTA($I55:$L55)-COUNT($I55:$L55))&gt;0,"Avance fuera de rango 0-100%"&amp;" · ","")&amp;IF(OR(AND($J55&lt;&gt;"",$J55&lt;$I55),AND($K55&lt;&gt;"",$K55&lt;MAX($I55:$J55)),AND($L55&lt;&gt;"",$L55&lt;MAX($I55:$K55))),"Avance semanal decreciente"&amp;" · ","")&amp;IF(AND(ISNUMBER($AN55),$AN55&lt;FechaRef,IF($V55="Sub",N($X55),N($M55))&lt;1),"Vencida"&amp;" · ","")&amp;IF(AND(ObsObligatoria="Sí",ISNUMBER($AN55),$AN55&lt;FechaRef,IF($V55="Sub",N($X55),N($M55))&lt;1,$Q55=""),"Vencida sin observación"&amp;" · ",""))="","✔ OK","⚠ "&amp;LEFT(IF($C55="","Falta el nombre de la actividad"&amp;" · ","")&amp;IF(AND($V55="Sub",N($U55)=0),"Subactividad sin macroactividad arriba"&amp;" · ","")&amp;IF($AM55="","Sin fecha de inicio"&amp;" · ","")&amp;IF($AN55="","Sin fecha límite"&amp;" · ","")&amp;IF(AND(LEFT($C55,11)="[Jefatura] ",N($AL55)=0),"No se encuentra en la hoja de la jefatura (elíjala de nuevo en la lista)"&amp;" · ","")&amp;IF(OR(AND($E55&lt;&gt;"",NOT(ISNUMBER($E55))),AND($F55&lt;&gt;"",NOT(ISNUMBER($F55))),AND($G55&lt;&gt;"",NOT(ISNUMBER($G55)))),"Fecha no válida"&amp;" · ","")&amp;IF(AND(ISNUMBER($AM55),ISNUMBER($AN55),$AM55&gt;$AN55),"Inicio posterior a fecha límite"&amp;" · ","")&amp;IF(AND($V55="Macro",$H55&lt;&gt;"",OR(NOT(ISNUMBER($H55)),$H55&lt;0,$H55&gt;1)),"Peso fuera de rango"&amp;" · ","")&amp;IF(AND($V55="Sub",$H55&lt;&gt;""),"Las subactividades no llevan peso (valen igual dentro de su macroactividad)"&amp;" · ","")&amp;IF(AND(N($W55)&gt;0,COUNT($I55:$L55)&gt;0),"Con subactividades: deje vacías las semanas (se calculan solas)"&amp;" · ","")&amp;IF((COUNTIF($I55:$L55,"&gt;1")+COUNTIF($I55:$L55,"&lt;0")+COUNTA($I55:$L55)-COUNT($I55:$L55))&gt;0,"Avance fuera de rango 0-100%"&amp;" · ","")&amp;IF(OR(AND($J55&lt;&gt;"",$J55&lt;$I55),AND($K55&lt;&gt;"",$K55&lt;MAX($I55:$J55)),AND($L55&lt;&gt;"",$L55&lt;MAX($I55:$K55))),"Avance semanal decreciente"&amp;" · ","")&amp;IF(AND(ISNUMBER($AN55),$AN55&lt;FechaRef,IF($V55="Sub",N($X55),N($M55))&lt;1),"Vencida"&amp;" · ","")&amp;IF(AND(ObsObligatoria="Sí",ISNUMBER($AN55),$AN55&lt;FechaRef,IF($V55="Sub",N($X55),N($M55))&lt;1,$Q55=""),"Vencida sin observación"&amp;" · ",""),LEN(IF($C55="","Falta el nombre de la actividad"&amp;" · ","")&amp;IF(AND($V55="Sub",N($U55)=0),"Subactividad sin macroactividad arriba"&amp;" · ","")&amp;IF($AM55="","Sin fecha de inicio"&amp;" · ","")&amp;IF($AN55="","Sin fecha límite"&amp;" · ","")&amp;IF(AND(LEFT($C55,11)="[Jefatura] ",N($AL55)=0),"No se encuentra en la hoja de la jefatura (elíjala de nuevo en la lista)"&amp;" · ","")&amp;IF(OR(AND($E55&lt;&gt;"",NOT(ISNUMBER($E55))),AND($F55&lt;&gt;"",NOT(ISNUMBER($F55))),AND($G55&lt;&gt;"",NOT(ISNUMBER($G55)))),"Fecha no válida"&amp;" · ","")&amp;IF(AND(ISNUMBER($AM55),ISNUMBER($AN55),$AM55&gt;$AN55),"Inicio posterior a fecha límite"&amp;" · ","")&amp;IF(AND($V55="Macro",$H55&lt;&gt;"",OR(NOT(ISNUMBER($H55)),$H55&lt;0,$H55&gt;1)),"Peso fuera de rango"&amp;" · ","")&amp;IF(AND($V55="Sub",$H55&lt;&gt;""),"Las subactividades no llevan peso (valen igual dentro de su macroactividad)"&amp;" · ","")&amp;IF(AND(N($W55)&gt;0,COUNT($I55:$L55)&gt;0),"Con subactividades: deje vacías las semanas (se calculan solas)"&amp;" · ","")&amp;IF((COUNTIF($I55:$L55,"&gt;1")+COUNTIF($I55:$L55,"&lt;0")+COUNTA($I55:$L55)-COUNT($I55:$L55))&gt;0,"Avance fuera de rango 0-100%"&amp;" · ","")&amp;IF(OR(AND($J55&lt;&gt;"",$J55&lt;$I55),AND($K55&lt;&gt;"",$K55&lt;MAX($I55:$J55)),AND($L55&lt;&gt;"",$L55&lt;MAX($I55:$K55))),"Avance semanal decreciente"&amp;" · ","")&amp;IF(AND(ISNUMBER($AN55),$AN55&lt;FechaRef,IF($V55="Sub",N($X55),N($M55))&lt;1),"Vencida"&amp;" · ","")&amp;IF(AND(ObsObligatoria="Sí",ISNUMBER($AN55),$AN55&lt;FechaRef,IF($V55="Sub",N($X55),N($M55))&lt;1,$Q55=""),"Vencida sin observación"&amp;" · ",""))-3)))</f>
        <v/>
      </c>
      <c r="S55" s="64">
        <f>IF(NOT((COUNTA($B55:$D55)+COUNTA($G55:$L55)+COUNTA($Q55))&gt;0),"",IF(AND($V55="Sub",N($U55)&gt;0),IF(ISNUMBER(INDEX($AM$5:$AM$1000,$U55-4)),DATE(YEAR(INDEX($AM$5:$AM$1000,$U55-4)),MONTH(INDEX($AM$5:$AM$1000,$U55-4)),1),IF(ISNUMBER(INDEX($AN$5:$AN$1000,$U55-4)),DATE(YEAR(INDEX($AN$5:$AN$1000,$U55-4)),MONTH(INDEX($AN$5:$AN$1000,$U55-4)),1),MesCiclo)),IF(ISNUMBER($AM55),DATE(YEAR($AM55),MONTH($AM55),1),IF(ISNUMBER($AN55),DATE(YEAR($AN55),MONTH($AN55),1),MesCiclo))))</f>
        <v/>
      </c>
      <c r="T55" s="62">
        <f>IF(OR($S55="",$S55&lt;&gt;MesCiclo,$V55&lt;&gt;"Macro"),"",COUNTIFS($S$5:$S55,MesCiclo,$V$5:$V55,"Macro"))</f>
        <v/>
      </c>
      <c r="U55" s="62">
        <f>IF($V55="","",IF($V55="Macro",ROW(),IFERROR(LOOKUP(2,1/($V$5:$V55="Macro"),ROW($V$5:$V55)),0)))</f>
        <v/>
      </c>
      <c r="V55" s="62">
        <f>IF(NOT((COUNTA($B55:$D55)+COUNTA($G55:$L55)+COUNTA($Q55))&gt;0),"",IF($B55="Subactividad","Sub","Macro"))</f>
        <v/>
      </c>
      <c r="W55" s="62">
        <f>IF($V55="Macro",COUNTIFS($U$5:$U$1000,ROW(),$V$5:$V$1000,"Sub"),"")</f>
        <v/>
      </c>
      <c r="X55" s="62">
        <f>IF($V55="","",IF(ISNUMBER($G55),1,IFERROR(LOOKUP(2,1/($I55:$L55&lt;&gt;""),$I55:$L55),0)))</f>
        <v/>
      </c>
      <c r="Y55" s="62">
        <f>IF($V55="","",IF(AND(ISNUMBER($G55),$G55&lt;=IF($S55=MesCiclo,InicioCiclo,$S55+MOD(2-WEEKDAY($S55),7))+6),1,IF(ISNUMBER($I55),$I55,0)))</f>
        <v/>
      </c>
      <c r="Z55" s="62">
        <f>IF($V55="","",IF(AND(ISNUMBER($G55),$G55&lt;=IF($S55=MesCiclo,InicioCiclo,$S55+MOD(2-WEEKDAY($S55),7))+13),1,IF(ISNUMBER($J55),$J55,$Y55)))</f>
        <v/>
      </c>
      <c r="AA55" s="62">
        <f>IF($V55="","",IF(AND(ISNUMBER($G55),$G55&lt;=IF($S55=MesCiclo,InicioCiclo,$S55+MOD(2-WEEKDAY($S55),7))+20),1,IF(ISNUMBER($K55),$K55,$Z55)))</f>
        <v/>
      </c>
      <c r="AB55" s="62">
        <f>IF($V55="","",IF(AND(ISNUMBER($G55),$G55&lt;=IF($S55=MesCiclo,InicioCiclo,$S55+MOD(2-WEEKDAY($S55),7))+27),1,IF(ISNUMBER($L55),$L55,$AA55)))</f>
        <v/>
      </c>
      <c r="AC55" s="62">
        <f>IF($V55="","",IF(AND(ISNUMBER($G55),$G55&lt;=IF($S55=MesCiclo,InicioCiclo,$S55+MOD(2-WEEKDAY($S55),7))+6),1,IF(N($W55)&gt;0,AVERAGEIFS($Y$5:$Y$1000,$U$5:$U$1000,ROW(),$V$5:$V$1000,"Sub"),$Y55)))</f>
        <v/>
      </c>
      <c r="AD55" s="62">
        <f>IF($V55="","",IF(AND(ISNUMBER($G55),$G55&lt;=IF($S55=MesCiclo,InicioCiclo,$S55+MOD(2-WEEKDAY($S55),7))+13),1,IF(N($W55)&gt;0,AVERAGEIFS($Z$5:$Z$1000,$U$5:$U$1000,ROW(),$V$5:$V$1000,"Sub"),$Z55)))</f>
        <v/>
      </c>
      <c r="AE55" s="62">
        <f>IF($V55="","",IF(AND(ISNUMBER($G55),$G55&lt;=IF($S55=MesCiclo,InicioCiclo,$S55+MOD(2-WEEKDAY($S55),7))+20),1,IF(N($W55)&gt;0,AVERAGEIFS($AA$5:$AA$1000,$U$5:$U$1000,ROW(),$V$5:$V$1000,"Sub"),$AA55)))</f>
        <v/>
      </c>
      <c r="AF55" s="62">
        <f>IF($V55="","",IF(AND(ISNUMBER($G55),$G55&lt;=IF($S55=MesCiclo,InicioCiclo,$S55+MOD(2-WEEKDAY($S55),7))+27),1,IF(N($W55)&gt;0,AVERAGEIFS($AB$5:$AB$1000,$U$5:$U$1000,ROW(),$V$5:$V$1000,"Sub"),$AB55)))</f>
        <v/>
      </c>
      <c r="AG55" s="62">
        <f>IF($V55&lt;&gt;"Macro","",IF(COUNTIFS($S$5:$S$1000,$S55,$V$5:$V$1000,"Macro",$H$5:$H$1000,"&gt;0")=0,1/COUNTIFS($S$5:$S$1000,$S55,$V$5:$V$1000,"Macro"),IF(AND(ISNUMBER($H55),N($H55)&gt;0),$H55,SUMIFS($H$5:$H$1000,$S$5:$S$1000,$S55,$V$5:$V$1000,"Macro")/COUNTIFS($S$5:$S$1000,$S55,$V$5:$V$1000,"Macro",$H$5:$H$1000,"&gt;0"))/(COUNTIFS($S$5:$S$1000,$S55,$V$5:$V$1000,"Macro")*SUMIFS($H$5:$H$1000,$S$5:$S$1000,$S55,$V$5:$V$1000,"Macro")/COUNTIFS($S$5:$S$1000,$S55,$V$5:$V$1000,"Macro",$H$5:$H$1000,"&gt;0"))))</f>
        <v/>
      </c>
      <c r="AH55" s="62">
        <f>IF(NOT(AND($D55&lt;&gt;"",$V55="Macro")),"",IFERROR(CHOOSE(MATCH($D55,ListaPuestos,0),MATCH("[Jefatura] "&amp;$C55,'Cronograma R. Operacional'!$C$5:$C$1000,0),MATCH("[Jefatura] "&amp;$C55,'Cronograma R. Normativo'!$C$5:$C$1000,0),MATCH("[Jefatura] "&amp;$C55,'Cronograma R. Financiero'!$C$5:$C$1000,0),MATCH("[Jefatura] "&amp;$C55,'Cronograma Asistente Técnico'!$C$5:$C$1000,0)),0))</f>
        <v/>
      </c>
      <c r="AI55" s="62">
        <f>IF(AND(AND($D55&lt;&gt;"",$V55="Macro"),$S55=MesCiclo),COUNTIFS($D$5:$D55,$D55,$S$5:$S55,MesCiclo,$V$5:$V55,"Macro"),"")</f>
        <v/>
      </c>
      <c r="AJ55" s="62">
        <f>IF($AI55="","",$D55&amp;"|"&amp;$AI55)</f>
        <v/>
      </c>
      <c r="AK55" s="62">
        <f>IF(AND($D55&lt;&gt;"",$V55="Macro"),$D55&amp;"|"&amp;$C55,"")</f>
        <v/>
      </c>
      <c r="AL55" s="62">
        <f>""</f>
        <v/>
      </c>
      <c r="AM55" s="62">
        <f>IF(N($AL55)&gt;0,INDEX(rIni_ADM,$AL55),IF(ISNUMBER($E55),$E55,""))</f>
        <v/>
      </c>
      <c r="AN55" s="62">
        <f>IF(N($AL55)&gt;0,INDEX(rLim_ADM,$AL55),IF(ISNUMBER($F55),$F55,""))</f>
        <v/>
      </c>
    </row>
    <row r="56">
      <c r="A56" s="56">
        <f>IF(NOT((COUNTA($B56:$D56)+COUNTA($G56:$L56)+COUNTA($Q56))&gt;0),"",IF($V56="Macro",COUNTIFS($V$5:$V56,"Macro",$S$5:$S56,$S56),IF(N($U56)=0,"?",COUNTIFS(INDEX($V$5:$V$1000,1):INDEX($V$5:$V$1000,$U56-4),"Macro",INDEX($S$5:$S$1000,1):INDEX($S$5:$S$1000,$U56-4),INDEX($S$5:$S$1000,$U56-4))&amp;"."&amp;COUNTIFS($U$5:$U56,$U56,$V$5:$V56,"Sub"))))</f>
        <v/>
      </c>
      <c r="B56" s="57" t="n"/>
      <c r="C56" s="58" t="n"/>
      <c r="D56" s="58" t="n"/>
      <c r="E56" s="59" t="n"/>
      <c r="F56" s="59" t="n"/>
      <c r="G56" s="59" t="n"/>
      <c r="H56" s="60" t="n"/>
      <c r="I56" s="60" t="n"/>
      <c r="J56" s="60" t="n"/>
      <c r="K56" s="60" t="n"/>
      <c r="L56" s="60" t="n"/>
      <c r="M56" s="61">
        <f>IF(NOT((COUNTA($B56:$D56)+COUNTA($G56:$L56)+COUNTA($Q56))&gt;0),"",IF(AND($D56&lt;&gt;"",$V56="Macro"),IF(N($AH56)&gt;0,N(CHOOSE(MATCH($D56,ListaPuestos,0),INDEX('Cronograma R. Operacional'!$M$5:$M$1000,$AH56),INDEX('Cronograma R. Normativo'!$M$5:$M$1000,$AH56),INDEX('Cronograma R. Financiero'!$M$5:$M$1000,$AH56),INDEX('Cronograma Asistente Técnico'!$M$5:$M$1000,$AH56))),0),IF(ISNUMBER($G56),1,IF(N($W56)&gt;0,AVERAGEIFS($X$5:$X$1000,$U$5:$U$1000,ROW(),$V$5:$V$1000,"Sub"),$X56))))</f>
        <v/>
      </c>
      <c r="N56" s="56">
        <f>IF(OR($M56="",$V56="Sub"),"",IF($M56&gt;=1,"Completado",IF($M56&gt;0,"En curso","Pendiente")))</f>
        <v/>
      </c>
      <c r="O56" s="56">
        <f>IF(NOT((COUNTA($B56:$D56)+COUNTA($G56:$L56)+COUNTA($Q56))&gt;0),"",IF(AND(AND($D56&lt;&gt;"",$V56="Macro"),N($AH56)&gt;0),CHOOSE(MATCH($D56,ListaPuestos,0),INDEX('Cronograma R. Operacional'!$O$5:$O$1000,$AH56),INDEX('Cronograma R. Normativo'!$O$5:$O$1000,$AH56),INDEX('Cronograma R. Financiero'!$O$5:$O$1000,$AH56),INDEX('Cronograma Asistente Técnico'!$O$5:$O$1000,$AH56))&amp;"",IF(ISNUMBER($G56),IF(AND(ISNUMBER($AN56),$G56&gt;$AN56),"Cumplida con "&amp;($G56-$AN56)&amp;IF($G56-$AN56=1," día"," días")&amp;" de retraso","Cumplida"),IF(N($M56)&gt;=1,"Cumplida",IF(NOT(ISNUMBER($AN56)),"Sin fecha límite",IF($AN56&lt;FechaRef,"Vencida hace "&amp;(FechaRef-$AN56)&amp;IF(FechaRef-$AN56=1," día"," días"),IF($AN56=FechaRef,"Vence hoy",IF($AN56-FechaRef&lt;=DiasAlerta,"Vence en "&amp;($AN56-FechaRef)&amp;IF($AN56-FechaRef=1," día"," días"),"En plazo"))))))))</f>
        <v/>
      </c>
      <c r="P56" s="62">
        <f>IF(NOT((COUNTA($B56:$D56)+COUNTA($G56:$L56)+COUNTA($Q56))&gt;0),"",IF($D56="","Propia",IF($V56&lt;&gt;"Macro","Solo se delegan macroactividades",IF(N($AH56)&gt;0,"✔ Recibida por "&amp;$D56,"⚠ "&amp;$D56&amp;" aún no la agrega"))))</f>
        <v/>
      </c>
      <c r="Q56" s="58" t="n"/>
      <c r="R56" s="63">
        <f>IF(NOT((COUNTA($B56:$D56)+COUNTA($G56:$L56)+COUNTA($Q56))&gt;0),"",IF((IF($C56="","Falta el nombre de la actividad"&amp;" · ","")&amp;IF(AND($V56="Sub",N($U56)=0),"Subactividad sin macroactividad arriba"&amp;" · ","")&amp;IF($AM56="","Sin fecha de inicio"&amp;" · ","")&amp;IF($AN56="","Sin fecha límite"&amp;" · ","")&amp;IF(AND(LEFT($C56,11)="[Jefatura] ",N($AL56)=0),"No se encuentra en la hoja de la jefatura (elíjala de nuevo en la lista)"&amp;" · ","")&amp;IF(OR(AND($E56&lt;&gt;"",NOT(ISNUMBER($E56))),AND($F56&lt;&gt;"",NOT(ISNUMBER($F56))),AND($G56&lt;&gt;"",NOT(ISNUMBER($G56)))),"Fecha no válida"&amp;" · ","")&amp;IF(AND(ISNUMBER($AM56),ISNUMBER($AN56),$AM56&gt;$AN56),"Inicio posterior a fecha límite"&amp;" · ","")&amp;IF(AND($V56="Macro",$H56&lt;&gt;"",OR(NOT(ISNUMBER($H56)),$H56&lt;0,$H56&gt;1)),"Peso fuera de rango"&amp;" · ","")&amp;IF(AND($V56="Sub",$H56&lt;&gt;""),"Las subactividades no llevan peso (valen igual dentro de su macroactividad)"&amp;" · ","")&amp;IF(AND(N($W56)&gt;0,COUNT($I56:$L56)&gt;0),"Con subactividades: deje vacías las semanas (se calculan solas)"&amp;" · ","")&amp;IF((COUNTIF($I56:$L56,"&gt;1")+COUNTIF($I56:$L56,"&lt;0")+COUNTA($I56:$L56)-COUNT($I56:$L56))&gt;0,"Avance fuera de rango 0-100%"&amp;" · ","")&amp;IF(OR(AND($J56&lt;&gt;"",$J56&lt;$I56),AND($K56&lt;&gt;"",$K56&lt;MAX($I56:$J56)),AND($L56&lt;&gt;"",$L56&lt;MAX($I56:$K56))),"Avance semanal decreciente"&amp;" · ","")&amp;IF(AND(ISNUMBER($AN56),$AN56&lt;FechaRef,IF($V56="Sub",N($X56),N($M56))&lt;1),"Vencida"&amp;" · ","")&amp;IF(AND(ObsObligatoria="Sí",ISNUMBER($AN56),$AN56&lt;FechaRef,IF($V56="Sub",N($X56),N($M56))&lt;1,$Q56=""),"Vencida sin observación"&amp;" · ",""))="","✔ OK","⚠ "&amp;LEFT(IF($C56="","Falta el nombre de la actividad"&amp;" · ","")&amp;IF(AND($V56="Sub",N($U56)=0),"Subactividad sin macroactividad arriba"&amp;" · ","")&amp;IF($AM56="","Sin fecha de inicio"&amp;" · ","")&amp;IF($AN56="","Sin fecha límite"&amp;" · ","")&amp;IF(AND(LEFT($C56,11)="[Jefatura] ",N($AL56)=0),"No se encuentra en la hoja de la jefatura (elíjala de nuevo en la lista)"&amp;" · ","")&amp;IF(OR(AND($E56&lt;&gt;"",NOT(ISNUMBER($E56))),AND($F56&lt;&gt;"",NOT(ISNUMBER($F56))),AND($G56&lt;&gt;"",NOT(ISNUMBER($G56)))),"Fecha no válida"&amp;" · ","")&amp;IF(AND(ISNUMBER($AM56),ISNUMBER($AN56),$AM56&gt;$AN56),"Inicio posterior a fecha límite"&amp;" · ","")&amp;IF(AND($V56="Macro",$H56&lt;&gt;"",OR(NOT(ISNUMBER($H56)),$H56&lt;0,$H56&gt;1)),"Peso fuera de rango"&amp;" · ","")&amp;IF(AND($V56="Sub",$H56&lt;&gt;""),"Las subactividades no llevan peso (valen igual dentro de su macroactividad)"&amp;" · ","")&amp;IF(AND(N($W56)&gt;0,COUNT($I56:$L56)&gt;0),"Con subactividades: deje vacías las semanas (se calculan solas)"&amp;" · ","")&amp;IF((COUNTIF($I56:$L56,"&gt;1")+COUNTIF($I56:$L56,"&lt;0")+COUNTA($I56:$L56)-COUNT($I56:$L56))&gt;0,"Avance fuera de rango 0-100%"&amp;" · ","")&amp;IF(OR(AND($J56&lt;&gt;"",$J56&lt;$I56),AND($K56&lt;&gt;"",$K56&lt;MAX($I56:$J56)),AND($L56&lt;&gt;"",$L56&lt;MAX($I56:$K56))),"Avance semanal decreciente"&amp;" · ","")&amp;IF(AND(ISNUMBER($AN56),$AN56&lt;FechaRef,IF($V56="Sub",N($X56),N($M56))&lt;1),"Vencida"&amp;" · ","")&amp;IF(AND(ObsObligatoria="Sí",ISNUMBER($AN56),$AN56&lt;FechaRef,IF($V56="Sub",N($X56),N($M56))&lt;1,$Q56=""),"Vencida sin observación"&amp;" · ",""),LEN(IF($C56="","Falta el nombre de la actividad"&amp;" · ","")&amp;IF(AND($V56="Sub",N($U56)=0),"Subactividad sin macroactividad arriba"&amp;" · ","")&amp;IF($AM56="","Sin fecha de inicio"&amp;" · ","")&amp;IF($AN56="","Sin fecha límite"&amp;" · ","")&amp;IF(AND(LEFT($C56,11)="[Jefatura] ",N($AL56)=0),"No se encuentra en la hoja de la jefatura (elíjala de nuevo en la lista)"&amp;" · ","")&amp;IF(OR(AND($E56&lt;&gt;"",NOT(ISNUMBER($E56))),AND($F56&lt;&gt;"",NOT(ISNUMBER($F56))),AND($G56&lt;&gt;"",NOT(ISNUMBER($G56)))),"Fecha no válida"&amp;" · ","")&amp;IF(AND(ISNUMBER($AM56),ISNUMBER($AN56),$AM56&gt;$AN56),"Inicio posterior a fecha límite"&amp;" · ","")&amp;IF(AND($V56="Macro",$H56&lt;&gt;"",OR(NOT(ISNUMBER($H56)),$H56&lt;0,$H56&gt;1)),"Peso fuera de rango"&amp;" · ","")&amp;IF(AND($V56="Sub",$H56&lt;&gt;""),"Las subactividades no llevan peso (valen igual dentro de su macroactividad)"&amp;" · ","")&amp;IF(AND(N($W56)&gt;0,COUNT($I56:$L56)&gt;0),"Con subactividades: deje vacías las semanas (se calculan solas)"&amp;" · ","")&amp;IF((COUNTIF($I56:$L56,"&gt;1")+COUNTIF($I56:$L56,"&lt;0")+COUNTA($I56:$L56)-COUNT($I56:$L56))&gt;0,"Avance fuera de rango 0-100%"&amp;" · ","")&amp;IF(OR(AND($J56&lt;&gt;"",$J56&lt;$I56),AND($K56&lt;&gt;"",$K56&lt;MAX($I56:$J56)),AND($L56&lt;&gt;"",$L56&lt;MAX($I56:$K56))),"Avance semanal decreciente"&amp;" · ","")&amp;IF(AND(ISNUMBER($AN56),$AN56&lt;FechaRef,IF($V56="Sub",N($X56),N($M56))&lt;1),"Vencida"&amp;" · ","")&amp;IF(AND(ObsObligatoria="Sí",ISNUMBER($AN56),$AN56&lt;FechaRef,IF($V56="Sub",N($X56),N($M56))&lt;1,$Q56=""),"Vencida sin observación"&amp;" · ",""))-3)))</f>
        <v/>
      </c>
      <c r="S56" s="64">
        <f>IF(NOT((COUNTA($B56:$D56)+COUNTA($G56:$L56)+COUNTA($Q56))&gt;0),"",IF(AND($V56="Sub",N($U56)&gt;0),IF(ISNUMBER(INDEX($AM$5:$AM$1000,$U56-4)),DATE(YEAR(INDEX($AM$5:$AM$1000,$U56-4)),MONTH(INDEX($AM$5:$AM$1000,$U56-4)),1),IF(ISNUMBER(INDEX($AN$5:$AN$1000,$U56-4)),DATE(YEAR(INDEX($AN$5:$AN$1000,$U56-4)),MONTH(INDEX($AN$5:$AN$1000,$U56-4)),1),MesCiclo)),IF(ISNUMBER($AM56),DATE(YEAR($AM56),MONTH($AM56),1),IF(ISNUMBER($AN56),DATE(YEAR($AN56),MONTH($AN56),1),MesCiclo))))</f>
        <v/>
      </c>
      <c r="T56" s="62">
        <f>IF(OR($S56="",$S56&lt;&gt;MesCiclo,$V56&lt;&gt;"Macro"),"",COUNTIFS($S$5:$S56,MesCiclo,$V$5:$V56,"Macro"))</f>
        <v/>
      </c>
      <c r="U56" s="62">
        <f>IF($V56="","",IF($V56="Macro",ROW(),IFERROR(LOOKUP(2,1/($V$5:$V56="Macro"),ROW($V$5:$V56)),0)))</f>
        <v/>
      </c>
      <c r="V56" s="62">
        <f>IF(NOT((COUNTA($B56:$D56)+COUNTA($G56:$L56)+COUNTA($Q56))&gt;0),"",IF($B56="Subactividad","Sub","Macro"))</f>
        <v/>
      </c>
      <c r="W56" s="62">
        <f>IF($V56="Macro",COUNTIFS($U$5:$U$1000,ROW(),$V$5:$V$1000,"Sub"),"")</f>
        <v/>
      </c>
      <c r="X56" s="62">
        <f>IF($V56="","",IF(ISNUMBER($G56),1,IFERROR(LOOKUP(2,1/($I56:$L56&lt;&gt;""),$I56:$L56),0)))</f>
        <v/>
      </c>
      <c r="Y56" s="62">
        <f>IF($V56="","",IF(AND(ISNUMBER($G56),$G56&lt;=IF($S56=MesCiclo,InicioCiclo,$S56+MOD(2-WEEKDAY($S56),7))+6),1,IF(ISNUMBER($I56),$I56,0)))</f>
        <v/>
      </c>
      <c r="Z56" s="62">
        <f>IF($V56="","",IF(AND(ISNUMBER($G56),$G56&lt;=IF($S56=MesCiclo,InicioCiclo,$S56+MOD(2-WEEKDAY($S56),7))+13),1,IF(ISNUMBER($J56),$J56,$Y56)))</f>
        <v/>
      </c>
      <c r="AA56" s="62">
        <f>IF($V56="","",IF(AND(ISNUMBER($G56),$G56&lt;=IF($S56=MesCiclo,InicioCiclo,$S56+MOD(2-WEEKDAY($S56),7))+20),1,IF(ISNUMBER($K56),$K56,$Z56)))</f>
        <v/>
      </c>
      <c r="AB56" s="62">
        <f>IF($V56="","",IF(AND(ISNUMBER($G56),$G56&lt;=IF($S56=MesCiclo,InicioCiclo,$S56+MOD(2-WEEKDAY($S56),7))+27),1,IF(ISNUMBER($L56),$L56,$AA56)))</f>
        <v/>
      </c>
      <c r="AC56" s="62">
        <f>IF($V56="","",IF(AND(ISNUMBER($G56),$G56&lt;=IF($S56=MesCiclo,InicioCiclo,$S56+MOD(2-WEEKDAY($S56),7))+6),1,IF(N($W56)&gt;0,AVERAGEIFS($Y$5:$Y$1000,$U$5:$U$1000,ROW(),$V$5:$V$1000,"Sub"),$Y56)))</f>
        <v/>
      </c>
      <c r="AD56" s="62">
        <f>IF($V56="","",IF(AND(ISNUMBER($G56),$G56&lt;=IF($S56=MesCiclo,InicioCiclo,$S56+MOD(2-WEEKDAY($S56),7))+13),1,IF(N($W56)&gt;0,AVERAGEIFS($Z$5:$Z$1000,$U$5:$U$1000,ROW(),$V$5:$V$1000,"Sub"),$Z56)))</f>
        <v/>
      </c>
      <c r="AE56" s="62">
        <f>IF($V56="","",IF(AND(ISNUMBER($G56),$G56&lt;=IF($S56=MesCiclo,InicioCiclo,$S56+MOD(2-WEEKDAY($S56),7))+20),1,IF(N($W56)&gt;0,AVERAGEIFS($AA$5:$AA$1000,$U$5:$U$1000,ROW(),$V$5:$V$1000,"Sub"),$AA56)))</f>
        <v/>
      </c>
      <c r="AF56" s="62">
        <f>IF($V56="","",IF(AND(ISNUMBER($G56),$G56&lt;=IF($S56=MesCiclo,InicioCiclo,$S56+MOD(2-WEEKDAY($S56),7))+27),1,IF(N($W56)&gt;0,AVERAGEIFS($AB$5:$AB$1000,$U$5:$U$1000,ROW(),$V$5:$V$1000,"Sub"),$AB56)))</f>
        <v/>
      </c>
      <c r="AG56" s="62">
        <f>IF($V56&lt;&gt;"Macro","",IF(COUNTIFS($S$5:$S$1000,$S56,$V$5:$V$1000,"Macro",$H$5:$H$1000,"&gt;0")=0,1/COUNTIFS($S$5:$S$1000,$S56,$V$5:$V$1000,"Macro"),IF(AND(ISNUMBER($H56),N($H56)&gt;0),$H56,SUMIFS($H$5:$H$1000,$S$5:$S$1000,$S56,$V$5:$V$1000,"Macro")/COUNTIFS($S$5:$S$1000,$S56,$V$5:$V$1000,"Macro",$H$5:$H$1000,"&gt;0"))/(COUNTIFS($S$5:$S$1000,$S56,$V$5:$V$1000,"Macro")*SUMIFS($H$5:$H$1000,$S$5:$S$1000,$S56,$V$5:$V$1000,"Macro")/COUNTIFS($S$5:$S$1000,$S56,$V$5:$V$1000,"Macro",$H$5:$H$1000,"&gt;0"))))</f>
        <v/>
      </c>
      <c r="AH56" s="62">
        <f>IF(NOT(AND($D56&lt;&gt;"",$V56="Macro")),"",IFERROR(CHOOSE(MATCH($D56,ListaPuestos,0),MATCH("[Jefatura] "&amp;$C56,'Cronograma R. Operacional'!$C$5:$C$1000,0),MATCH("[Jefatura] "&amp;$C56,'Cronograma R. Normativo'!$C$5:$C$1000,0),MATCH("[Jefatura] "&amp;$C56,'Cronograma R. Financiero'!$C$5:$C$1000,0),MATCH("[Jefatura] "&amp;$C56,'Cronograma Asistente Técnico'!$C$5:$C$1000,0)),0))</f>
        <v/>
      </c>
      <c r="AI56" s="62">
        <f>IF(AND(AND($D56&lt;&gt;"",$V56="Macro"),$S56=MesCiclo),COUNTIFS($D$5:$D56,$D56,$S$5:$S56,MesCiclo,$V$5:$V56,"Macro"),"")</f>
        <v/>
      </c>
      <c r="AJ56" s="62">
        <f>IF($AI56="","",$D56&amp;"|"&amp;$AI56)</f>
        <v/>
      </c>
      <c r="AK56" s="62">
        <f>IF(AND($D56&lt;&gt;"",$V56="Macro"),$D56&amp;"|"&amp;$C56,"")</f>
        <v/>
      </c>
      <c r="AL56" s="62">
        <f>""</f>
        <v/>
      </c>
      <c r="AM56" s="62">
        <f>IF(N($AL56)&gt;0,INDEX(rIni_ADM,$AL56),IF(ISNUMBER($E56),$E56,""))</f>
        <v/>
      </c>
      <c r="AN56" s="62">
        <f>IF(N($AL56)&gt;0,INDEX(rLim_ADM,$AL56),IF(ISNUMBER($F56),$F56,""))</f>
        <v/>
      </c>
    </row>
    <row r="57">
      <c r="A57" s="56">
        <f>IF(NOT((COUNTA($B57:$D57)+COUNTA($G57:$L57)+COUNTA($Q57))&gt;0),"",IF($V57="Macro",COUNTIFS($V$5:$V57,"Macro",$S$5:$S57,$S57),IF(N($U57)=0,"?",COUNTIFS(INDEX($V$5:$V$1000,1):INDEX($V$5:$V$1000,$U57-4),"Macro",INDEX($S$5:$S$1000,1):INDEX($S$5:$S$1000,$U57-4),INDEX($S$5:$S$1000,$U57-4))&amp;"."&amp;COUNTIFS($U$5:$U57,$U57,$V$5:$V57,"Sub"))))</f>
        <v/>
      </c>
      <c r="B57" s="57" t="n"/>
      <c r="C57" s="58" t="n"/>
      <c r="D57" s="58" t="n"/>
      <c r="E57" s="59" t="n"/>
      <c r="F57" s="59" t="n"/>
      <c r="G57" s="59" t="n"/>
      <c r="H57" s="60" t="n"/>
      <c r="I57" s="60" t="n"/>
      <c r="J57" s="60" t="n"/>
      <c r="K57" s="60" t="n"/>
      <c r="L57" s="60" t="n"/>
      <c r="M57" s="61">
        <f>IF(NOT((COUNTA($B57:$D57)+COUNTA($G57:$L57)+COUNTA($Q57))&gt;0),"",IF(AND($D57&lt;&gt;"",$V57="Macro"),IF(N($AH57)&gt;0,N(CHOOSE(MATCH($D57,ListaPuestos,0),INDEX('Cronograma R. Operacional'!$M$5:$M$1000,$AH57),INDEX('Cronograma R. Normativo'!$M$5:$M$1000,$AH57),INDEX('Cronograma R. Financiero'!$M$5:$M$1000,$AH57),INDEX('Cronograma Asistente Técnico'!$M$5:$M$1000,$AH57))),0),IF(ISNUMBER($G57),1,IF(N($W57)&gt;0,AVERAGEIFS($X$5:$X$1000,$U$5:$U$1000,ROW(),$V$5:$V$1000,"Sub"),$X57))))</f>
        <v/>
      </c>
      <c r="N57" s="56">
        <f>IF(OR($M57="",$V57="Sub"),"",IF($M57&gt;=1,"Completado",IF($M57&gt;0,"En curso","Pendiente")))</f>
        <v/>
      </c>
      <c r="O57" s="56">
        <f>IF(NOT((COUNTA($B57:$D57)+COUNTA($G57:$L57)+COUNTA($Q57))&gt;0),"",IF(AND(AND($D57&lt;&gt;"",$V57="Macro"),N($AH57)&gt;0),CHOOSE(MATCH($D57,ListaPuestos,0),INDEX('Cronograma R. Operacional'!$O$5:$O$1000,$AH57),INDEX('Cronograma R. Normativo'!$O$5:$O$1000,$AH57),INDEX('Cronograma R. Financiero'!$O$5:$O$1000,$AH57),INDEX('Cronograma Asistente Técnico'!$O$5:$O$1000,$AH57))&amp;"",IF(ISNUMBER($G57),IF(AND(ISNUMBER($AN57),$G57&gt;$AN57),"Cumplida con "&amp;($G57-$AN57)&amp;IF($G57-$AN57=1," día"," días")&amp;" de retraso","Cumplida"),IF(N($M57)&gt;=1,"Cumplida",IF(NOT(ISNUMBER($AN57)),"Sin fecha límite",IF($AN57&lt;FechaRef,"Vencida hace "&amp;(FechaRef-$AN57)&amp;IF(FechaRef-$AN57=1," día"," días"),IF($AN57=FechaRef,"Vence hoy",IF($AN57-FechaRef&lt;=DiasAlerta,"Vence en "&amp;($AN57-FechaRef)&amp;IF($AN57-FechaRef=1," día"," días"),"En plazo"))))))))</f>
        <v/>
      </c>
      <c r="P57" s="62">
        <f>IF(NOT((COUNTA($B57:$D57)+COUNTA($G57:$L57)+COUNTA($Q57))&gt;0),"",IF($D57="","Propia",IF($V57&lt;&gt;"Macro","Solo se delegan macroactividades",IF(N($AH57)&gt;0,"✔ Recibida por "&amp;$D57,"⚠ "&amp;$D57&amp;" aún no la agrega"))))</f>
        <v/>
      </c>
      <c r="Q57" s="58" t="n"/>
      <c r="R57" s="63">
        <f>IF(NOT((COUNTA($B57:$D57)+COUNTA($G57:$L57)+COUNTA($Q57))&gt;0),"",IF((IF($C57="","Falta el nombre de la actividad"&amp;" · ","")&amp;IF(AND($V57="Sub",N($U57)=0),"Subactividad sin macroactividad arriba"&amp;" · ","")&amp;IF($AM57="","Sin fecha de inicio"&amp;" · ","")&amp;IF($AN57="","Sin fecha límite"&amp;" · ","")&amp;IF(AND(LEFT($C57,11)="[Jefatura] ",N($AL57)=0),"No se encuentra en la hoja de la jefatura (elíjala de nuevo en la lista)"&amp;" · ","")&amp;IF(OR(AND($E57&lt;&gt;"",NOT(ISNUMBER($E57))),AND($F57&lt;&gt;"",NOT(ISNUMBER($F57))),AND($G57&lt;&gt;"",NOT(ISNUMBER($G57)))),"Fecha no válida"&amp;" · ","")&amp;IF(AND(ISNUMBER($AM57),ISNUMBER($AN57),$AM57&gt;$AN57),"Inicio posterior a fecha límite"&amp;" · ","")&amp;IF(AND($V57="Macro",$H57&lt;&gt;"",OR(NOT(ISNUMBER($H57)),$H57&lt;0,$H57&gt;1)),"Peso fuera de rango"&amp;" · ","")&amp;IF(AND($V57="Sub",$H57&lt;&gt;""),"Las subactividades no llevan peso (valen igual dentro de su macroactividad)"&amp;" · ","")&amp;IF(AND(N($W57)&gt;0,COUNT($I57:$L57)&gt;0),"Con subactividades: deje vacías las semanas (se calculan solas)"&amp;" · ","")&amp;IF((COUNTIF($I57:$L57,"&gt;1")+COUNTIF($I57:$L57,"&lt;0")+COUNTA($I57:$L57)-COUNT($I57:$L57))&gt;0,"Avance fuera de rango 0-100%"&amp;" · ","")&amp;IF(OR(AND($J57&lt;&gt;"",$J57&lt;$I57),AND($K57&lt;&gt;"",$K57&lt;MAX($I57:$J57)),AND($L57&lt;&gt;"",$L57&lt;MAX($I57:$K57))),"Avance semanal decreciente"&amp;" · ","")&amp;IF(AND(ISNUMBER($AN57),$AN57&lt;FechaRef,IF($V57="Sub",N($X57),N($M57))&lt;1),"Vencida"&amp;" · ","")&amp;IF(AND(ObsObligatoria="Sí",ISNUMBER($AN57),$AN57&lt;FechaRef,IF($V57="Sub",N($X57),N($M57))&lt;1,$Q57=""),"Vencida sin observación"&amp;" · ",""))="","✔ OK","⚠ "&amp;LEFT(IF($C57="","Falta el nombre de la actividad"&amp;" · ","")&amp;IF(AND($V57="Sub",N($U57)=0),"Subactividad sin macroactividad arriba"&amp;" · ","")&amp;IF($AM57="","Sin fecha de inicio"&amp;" · ","")&amp;IF($AN57="","Sin fecha límite"&amp;" · ","")&amp;IF(AND(LEFT($C57,11)="[Jefatura] ",N($AL57)=0),"No se encuentra en la hoja de la jefatura (elíjala de nuevo en la lista)"&amp;" · ","")&amp;IF(OR(AND($E57&lt;&gt;"",NOT(ISNUMBER($E57))),AND($F57&lt;&gt;"",NOT(ISNUMBER($F57))),AND($G57&lt;&gt;"",NOT(ISNUMBER($G57)))),"Fecha no válida"&amp;" · ","")&amp;IF(AND(ISNUMBER($AM57),ISNUMBER($AN57),$AM57&gt;$AN57),"Inicio posterior a fecha límite"&amp;" · ","")&amp;IF(AND($V57="Macro",$H57&lt;&gt;"",OR(NOT(ISNUMBER($H57)),$H57&lt;0,$H57&gt;1)),"Peso fuera de rango"&amp;" · ","")&amp;IF(AND($V57="Sub",$H57&lt;&gt;""),"Las subactividades no llevan peso (valen igual dentro de su macroactividad)"&amp;" · ","")&amp;IF(AND(N($W57)&gt;0,COUNT($I57:$L57)&gt;0),"Con subactividades: deje vacías las semanas (se calculan solas)"&amp;" · ","")&amp;IF((COUNTIF($I57:$L57,"&gt;1")+COUNTIF($I57:$L57,"&lt;0")+COUNTA($I57:$L57)-COUNT($I57:$L57))&gt;0,"Avance fuera de rango 0-100%"&amp;" · ","")&amp;IF(OR(AND($J57&lt;&gt;"",$J57&lt;$I57),AND($K57&lt;&gt;"",$K57&lt;MAX($I57:$J57)),AND($L57&lt;&gt;"",$L57&lt;MAX($I57:$K57))),"Avance semanal decreciente"&amp;" · ","")&amp;IF(AND(ISNUMBER($AN57),$AN57&lt;FechaRef,IF($V57="Sub",N($X57),N($M57))&lt;1),"Vencida"&amp;" · ","")&amp;IF(AND(ObsObligatoria="Sí",ISNUMBER($AN57),$AN57&lt;FechaRef,IF($V57="Sub",N($X57),N($M57))&lt;1,$Q57=""),"Vencida sin observación"&amp;" · ",""),LEN(IF($C57="","Falta el nombre de la actividad"&amp;" · ","")&amp;IF(AND($V57="Sub",N($U57)=0),"Subactividad sin macroactividad arriba"&amp;" · ","")&amp;IF($AM57="","Sin fecha de inicio"&amp;" · ","")&amp;IF($AN57="","Sin fecha límite"&amp;" · ","")&amp;IF(AND(LEFT($C57,11)="[Jefatura] ",N($AL57)=0),"No se encuentra en la hoja de la jefatura (elíjala de nuevo en la lista)"&amp;" · ","")&amp;IF(OR(AND($E57&lt;&gt;"",NOT(ISNUMBER($E57))),AND($F57&lt;&gt;"",NOT(ISNUMBER($F57))),AND($G57&lt;&gt;"",NOT(ISNUMBER($G57)))),"Fecha no válida"&amp;" · ","")&amp;IF(AND(ISNUMBER($AM57),ISNUMBER($AN57),$AM57&gt;$AN57),"Inicio posterior a fecha límite"&amp;" · ","")&amp;IF(AND($V57="Macro",$H57&lt;&gt;"",OR(NOT(ISNUMBER($H57)),$H57&lt;0,$H57&gt;1)),"Peso fuera de rango"&amp;" · ","")&amp;IF(AND($V57="Sub",$H57&lt;&gt;""),"Las subactividades no llevan peso (valen igual dentro de su macroactividad)"&amp;" · ","")&amp;IF(AND(N($W57)&gt;0,COUNT($I57:$L57)&gt;0),"Con subactividades: deje vacías las semanas (se calculan solas)"&amp;" · ","")&amp;IF((COUNTIF($I57:$L57,"&gt;1")+COUNTIF($I57:$L57,"&lt;0")+COUNTA($I57:$L57)-COUNT($I57:$L57))&gt;0,"Avance fuera de rango 0-100%"&amp;" · ","")&amp;IF(OR(AND($J57&lt;&gt;"",$J57&lt;$I57),AND($K57&lt;&gt;"",$K57&lt;MAX($I57:$J57)),AND($L57&lt;&gt;"",$L57&lt;MAX($I57:$K57))),"Avance semanal decreciente"&amp;" · ","")&amp;IF(AND(ISNUMBER($AN57),$AN57&lt;FechaRef,IF($V57="Sub",N($X57),N($M57))&lt;1),"Vencida"&amp;" · ","")&amp;IF(AND(ObsObligatoria="Sí",ISNUMBER($AN57),$AN57&lt;FechaRef,IF($V57="Sub",N($X57),N($M57))&lt;1,$Q57=""),"Vencida sin observación"&amp;" · ",""))-3)))</f>
        <v/>
      </c>
      <c r="S57" s="64">
        <f>IF(NOT((COUNTA($B57:$D57)+COUNTA($G57:$L57)+COUNTA($Q57))&gt;0),"",IF(AND($V57="Sub",N($U57)&gt;0),IF(ISNUMBER(INDEX($AM$5:$AM$1000,$U57-4)),DATE(YEAR(INDEX($AM$5:$AM$1000,$U57-4)),MONTH(INDEX($AM$5:$AM$1000,$U57-4)),1),IF(ISNUMBER(INDEX($AN$5:$AN$1000,$U57-4)),DATE(YEAR(INDEX($AN$5:$AN$1000,$U57-4)),MONTH(INDEX($AN$5:$AN$1000,$U57-4)),1),MesCiclo)),IF(ISNUMBER($AM57),DATE(YEAR($AM57),MONTH($AM57),1),IF(ISNUMBER($AN57),DATE(YEAR($AN57),MONTH($AN57),1),MesCiclo))))</f>
        <v/>
      </c>
      <c r="T57" s="62">
        <f>IF(OR($S57="",$S57&lt;&gt;MesCiclo,$V57&lt;&gt;"Macro"),"",COUNTIFS($S$5:$S57,MesCiclo,$V$5:$V57,"Macro"))</f>
        <v/>
      </c>
      <c r="U57" s="62">
        <f>IF($V57="","",IF($V57="Macro",ROW(),IFERROR(LOOKUP(2,1/($V$5:$V57="Macro"),ROW($V$5:$V57)),0)))</f>
        <v/>
      </c>
      <c r="V57" s="62">
        <f>IF(NOT((COUNTA($B57:$D57)+COUNTA($G57:$L57)+COUNTA($Q57))&gt;0),"",IF($B57="Subactividad","Sub","Macro"))</f>
        <v/>
      </c>
      <c r="W57" s="62">
        <f>IF($V57="Macro",COUNTIFS($U$5:$U$1000,ROW(),$V$5:$V$1000,"Sub"),"")</f>
        <v/>
      </c>
      <c r="X57" s="62">
        <f>IF($V57="","",IF(ISNUMBER($G57),1,IFERROR(LOOKUP(2,1/($I57:$L57&lt;&gt;""),$I57:$L57),0)))</f>
        <v/>
      </c>
      <c r="Y57" s="62">
        <f>IF($V57="","",IF(AND(ISNUMBER($G57),$G57&lt;=IF($S57=MesCiclo,InicioCiclo,$S57+MOD(2-WEEKDAY($S57),7))+6),1,IF(ISNUMBER($I57),$I57,0)))</f>
        <v/>
      </c>
      <c r="Z57" s="62">
        <f>IF($V57="","",IF(AND(ISNUMBER($G57),$G57&lt;=IF($S57=MesCiclo,InicioCiclo,$S57+MOD(2-WEEKDAY($S57),7))+13),1,IF(ISNUMBER($J57),$J57,$Y57)))</f>
        <v/>
      </c>
      <c r="AA57" s="62">
        <f>IF($V57="","",IF(AND(ISNUMBER($G57),$G57&lt;=IF($S57=MesCiclo,InicioCiclo,$S57+MOD(2-WEEKDAY($S57),7))+20),1,IF(ISNUMBER($K57),$K57,$Z57)))</f>
        <v/>
      </c>
      <c r="AB57" s="62">
        <f>IF($V57="","",IF(AND(ISNUMBER($G57),$G57&lt;=IF($S57=MesCiclo,InicioCiclo,$S57+MOD(2-WEEKDAY($S57),7))+27),1,IF(ISNUMBER($L57),$L57,$AA57)))</f>
        <v/>
      </c>
      <c r="AC57" s="62">
        <f>IF($V57="","",IF(AND(ISNUMBER($G57),$G57&lt;=IF($S57=MesCiclo,InicioCiclo,$S57+MOD(2-WEEKDAY($S57),7))+6),1,IF(N($W57)&gt;0,AVERAGEIFS($Y$5:$Y$1000,$U$5:$U$1000,ROW(),$V$5:$V$1000,"Sub"),$Y57)))</f>
        <v/>
      </c>
      <c r="AD57" s="62">
        <f>IF($V57="","",IF(AND(ISNUMBER($G57),$G57&lt;=IF($S57=MesCiclo,InicioCiclo,$S57+MOD(2-WEEKDAY($S57),7))+13),1,IF(N($W57)&gt;0,AVERAGEIFS($Z$5:$Z$1000,$U$5:$U$1000,ROW(),$V$5:$V$1000,"Sub"),$Z57)))</f>
        <v/>
      </c>
      <c r="AE57" s="62">
        <f>IF($V57="","",IF(AND(ISNUMBER($G57),$G57&lt;=IF($S57=MesCiclo,InicioCiclo,$S57+MOD(2-WEEKDAY($S57),7))+20),1,IF(N($W57)&gt;0,AVERAGEIFS($AA$5:$AA$1000,$U$5:$U$1000,ROW(),$V$5:$V$1000,"Sub"),$AA57)))</f>
        <v/>
      </c>
      <c r="AF57" s="62">
        <f>IF($V57="","",IF(AND(ISNUMBER($G57),$G57&lt;=IF($S57=MesCiclo,InicioCiclo,$S57+MOD(2-WEEKDAY($S57),7))+27),1,IF(N($W57)&gt;0,AVERAGEIFS($AB$5:$AB$1000,$U$5:$U$1000,ROW(),$V$5:$V$1000,"Sub"),$AB57)))</f>
        <v/>
      </c>
      <c r="AG57" s="62">
        <f>IF($V57&lt;&gt;"Macro","",IF(COUNTIFS($S$5:$S$1000,$S57,$V$5:$V$1000,"Macro",$H$5:$H$1000,"&gt;0")=0,1/COUNTIFS($S$5:$S$1000,$S57,$V$5:$V$1000,"Macro"),IF(AND(ISNUMBER($H57),N($H57)&gt;0),$H57,SUMIFS($H$5:$H$1000,$S$5:$S$1000,$S57,$V$5:$V$1000,"Macro")/COUNTIFS($S$5:$S$1000,$S57,$V$5:$V$1000,"Macro",$H$5:$H$1000,"&gt;0"))/(COUNTIFS($S$5:$S$1000,$S57,$V$5:$V$1000,"Macro")*SUMIFS($H$5:$H$1000,$S$5:$S$1000,$S57,$V$5:$V$1000,"Macro")/COUNTIFS($S$5:$S$1000,$S57,$V$5:$V$1000,"Macro",$H$5:$H$1000,"&gt;0"))))</f>
        <v/>
      </c>
      <c r="AH57" s="62">
        <f>IF(NOT(AND($D57&lt;&gt;"",$V57="Macro")),"",IFERROR(CHOOSE(MATCH($D57,ListaPuestos,0),MATCH("[Jefatura] "&amp;$C57,'Cronograma R. Operacional'!$C$5:$C$1000,0),MATCH("[Jefatura] "&amp;$C57,'Cronograma R. Normativo'!$C$5:$C$1000,0),MATCH("[Jefatura] "&amp;$C57,'Cronograma R. Financiero'!$C$5:$C$1000,0),MATCH("[Jefatura] "&amp;$C57,'Cronograma Asistente Técnico'!$C$5:$C$1000,0)),0))</f>
        <v/>
      </c>
      <c r="AI57" s="62">
        <f>IF(AND(AND($D57&lt;&gt;"",$V57="Macro"),$S57=MesCiclo),COUNTIFS($D$5:$D57,$D57,$S$5:$S57,MesCiclo,$V$5:$V57,"Macro"),"")</f>
        <v/>
      </c>
      <c r="AJ57" s="62">
        <f>IF($AI57="","",$D57&amp;"|"&amp;$AI57)</f>
        <v/>
      </c>
      <c r="AK57" s="62">
        <f>IF(AND($D57&lt;&gt;"",$V57="Macro"),$D57&amp;"|"&amp;$C57,"")</f>
        <v/>
      </c>
      <c r="AL57" s="62">
        <f>""</f>
        <v/>
      </c>
      <c r="AM57" s="62">
        <f>IF(N($AL57)&gt;0,INDEX(rIni_ADM,$AL57),IF(ISNUMBER($E57),$E57,""))</f>
        <v/>
      </c>
      <c r="AN57" s="62">
        <f>IF(N($AL57)&gt;0,INDEX(rLim_ADM,$AL57),IF(ISNUMBER($F57),$F57,""))</f>
        <v/>
      </c>
    </row>
    <row r="58">
      <c r="A58" s="56">
        <f>IF(NOT((COUNTA($B58:$D58)+COUNTA($G58:$L58)+COUNTA($Q58))&gt;0),"",IF($V58="Macro",COUNTIFS($V$5:$V58,"Macro",$S$5:$S58,$S58),IF(N($U58)=0,"?",COUNTIFS(INDEX($V$5:$V$1000,1):INDEX($V$5:$V$1000,$U58-4),"Macro",INDEX($S$5:$S$1000,1):INDEX($S$5:$S$1000,$U58-4),INDEX($S$5:$S$1000,$U58-4))&amp;"."&amp;COUNTIFS($U$5:$U58,$U58,$V$5:$V58,"Sub"))))</f>
        <v/>
      </c>
      <c r="B58" s="57" t="n"/>
      <c r="C58" s="58" t="n"/>
      <c r="D58" s="58" t="n"/>
      <c r="E58" s="59" t="n"/>
      <c r="F58" s="59" t="n"/>
      <c r="G58" s="59" t="n"/>
      <c r="H58" s="60" t="n"/>
      <c r="I58" s="60" t="n"/>
      <c r="J58" s="60" t="n"/>
      <c r="K58" s="60" t="n"/>
      <c r="L58" s="60" t="n"/>
      <c r="M58" s="61">
        <f>IF(NOT((COUNTA($B58:$D58)+COUNTA($G58:$L58)+COUNTA($Q58))&gt;0),"",IF(AND($D58&lt;&gt;"",$V58="Macro"),IF(N($AH58)&gt;0,N(CHOOSE(MATCH($D58,ListaPuestos,0),INDEX('Cronograma R. Operacional'!$M$5:$M$1000,$AH58),INDEX('Cronograma R. Normativo'!$M$5:$M$1000,$AH58),INDEX('Cronograma R. Financiero'!$M$5:$M$1000,$AH58),INDEX('Cronograma Asistente Técnico'!$M$5:$M$1000,$AH58))),0),IF(ISNUMBER($G58),1,IF(N($W58)&gt;0,AVERAGEIFS($X$5:$X$1000,$U$5:$U$1000,ROW(),$V$5:$V$1000,"Sub"),$X58))))</f>
        <v/>
      </c>
      <c r="N58" s="56">
        <f>IF(OR($M58="",$V58="Sub"),"",IF($M58&gt;=1,"Completado",IF($M58&gt;0,"En curso","Pendiente")))</f>
        <v/>
      </c>
      <c r="O58" s="56">
        <f>IF(NOT((COUNTA($B58:$D58)+COUNTA($G58:$L58)+COUNTA($Q58))&gt;0),"",IF(AND(AND($D58&lt;&gt;"",$V58="Macro"),N($AH58)&gt;0),CHOOSE(MATCH($D58,ListaPuestos,0),INDEX('Cronograma R. Operacional'!$O$5:$O$1000,$AH58),INDEX('Cronograma R. Normativo'!$O$5:$O$1000,$AH58),INDEX('Cronograma R. Financiero'!$O$5:$O$1000,$AH58),INDEX('Cronograma Asistente Técnico'!$O$5:$O$1000,$AH58))&amp;"",IF(ISNUMBER($G58),IF(AND(ISNUMBER($AN58),$G58&gt;$AN58),"Cumplida con "&amp;($G58-$AN58)&amp;IF($G58-$AN58=1," día"," días")&amp;" de retraso","Cumplida"),IF(N($M58)&gt;=1,"Cumplida",IF(NOT(ISNUMBER($AN58)),"Sin fecha límite",IF($AN58&lt;FechaRef,"Vencida hace "&amp;(FechaRef-$AN58)&amp;IF(FechaRef-$AN58=1," día"," días"),IF($AN58=FechaRef,"Vence hoy",IF($AN58-FechaRef&lt;=DiasAlerta,"Vence en "&amp;($AN58-FechaRef)&amp;IF($AN58-FechaRef=1," día"," días"),"En plazo"))))))))</f>
        <v/>
      </c>
      <c r="P58" s="62">
        <f>IF(NOT((COUNTA($B58:$D58)+COUNTA($G58:$L58)+COUNTA($Q58))&gt;0),"",IF($D58="","Propia",IF($V58&lt;&gt;"Macro","Solo se delegan macroactividades",IF(N($AH58)&gt;0,"✔ Recibida por "&amp;$D58,"⚠ "&amp;$D58&amp;" aún no la agrega"))))</f>
        <v/>
      </c>
      <c r="Q58" s="58" t="n"/>
      <c r="R58" s="63">
        <f>IF(NOT((COUNTA($B58:$D58)+COUNTA($G58:$L58)+COUNTA($Q58))&gt;0),"",IF((IF($C58="","Falta el nombre de la actividad"&amp;" · ","")&amp;IF(AND($V58="Sub",N($U58)=0),"Subactividad sin macroactividad arriba"&amp;" · ","")&amp;IF($AM58="","Sin fecha de inicio"&amp;" · ","")&amp;IF($AN58="","Sin fecha límite"&amp;" · ","")&amp;IF(AND(LEFT($C58,11)="[Jefatura] ",N($AL58)=0),"No se encuentra en la hoja de la jefatura (elíjala de nuevo en la lista)"&amp;" · ","")&amp;IF(OR(AND($E58&lt;&gt;"",NOT(ISNUMBER($E58))),AND($F58&lt;&gt;"",NOT(ISNUMBER($F58))),AND($G58&lt;&gt;"",NOT(ISNUMBER($G58)))),"Fecha no válida"&amp;" · ","")&amp;IF(AND(ISNUMBER($AM58),ISNUMBER($AN58),$AM58&gt;$AN58),"Inicio posterior a fecha límite"&amp;" · ","")&amp;IF(AND($V58="Macro",$H58&lt;&gt;"",OR(NOT(ISNUMBER($H58)),$H58&lt;0,$H58&gt;1)),"Peso fuera de rango"&amp;" · ","")&amp;IF(AND($V58="Sub",$H58&lt;&gt;""),"Las subactividades no llevan peso (valen igual dentro de su macroactividad)"&amp;" · ","")&amp;IF(AND(N($W58)&gt;0,COUNT($I58:$L58)&gt;0),"Con subactividades: deje vacías las semanas (se calculan solas)"&amp;" · ","")&amp;IF((COUNTIF($I58:$L58,"&gt;1")+COUNTIF($I58:$L58,"&lt;0")+COUNTA($I58:$L58)-COUNT($I58:$L58))&gt;0,"Avance fuera de rango 0-100%"&amp;" · ","")&amp;IF(OR(AND($J58&lt;&gt;"",$J58&lt;$I58),AND($K58&lt;&gt;"",$K58&lt;MAX($I58:$J58)),AND($L58&lt;&gt;"",$L58&lt;MAX($I58:$K58))),"Avance semanal decreciente"&amp;" · ","")&amp;IF(AND(ISNUMBER($AN58),$AN58&lt;FechaRef,IF($V58="Sub",N($X58),N($M58))&lt;1),"Vencida"&amp;" · ","")&amp;IF(AND(ObsObligatoria="Sí",ISNUMBER($AN58),$AN58&lt;FechaRef,IF($V58="Sub",N($X58),N($M58))&lt;1,$Q58=""),"Vencida sin observación"&amp;" · ",""))="","✔ OK","⚠ "&amp;LEFT(IF($C58="","Falta el nombre de la actividad"&amp;" · ","")&amp;IF(AND($V58="Sub",N($U58)=0),"Subactividad sin macroactividad arriba"&amp;" · ","")&amp;IF($AM58="","Sin fecha de inicio"&amp;" · ","")&amp;IF($AN58="","Sin fecha límite"&amp;" · ","")&amp;IF(AND(LEFT($C58,11)="[Jefatura] ",N($AL58)=0),"No se encuentra en la hoja de la jefatura (elíjala de nuevo en la lista)"&amp;" · ","")&amp;IF(OR(AND($E58&lt;&gt;"",NOT(ISNUMBER($E58))),AND($F58&lt;&gt;"",NOT(ISNUMBER($F58))),AND($G58&lt;&gt;"",NOT(ISNUMBER($G58)))),"Fecha no válida"&amp;" · ","")&amp;IF(AND(ISNUMBER($AM58),ISNUMBER($AN58),$AM58&gt;$AN58),"Inicio posterior a fecha límite"&amp;" · ","")&amp;IF(AND($V58="Macro",$H58&lt;&gt;"",OR(NOT(ISNUMBER($H58)),$H58&lt;0,$H58&gt;1)),"Peso fuera de rango"&amp;" · ","")&amp;IF(AND($V58="Sub",$H58&lt;&gt;""),"Las subactividades no llevan peso (valen igual dentro de su macroactividad)"&amp;" · ","")&amp;IF(AND(N($W58)&gt;0,COUNT($I58:$L58)&gt;0),"Con subactividades: deje vacías las semanas (se calculan solas)"&amp;" · ","")&amp;IF((COUNTIF($I58:$L58,"&gt;1")+COUNTIF($I58:$L58,"&lt;0")+COUNTA($I58:$L58)-COUNT($I58:$L58))&gt;0,"Avance fuera de rango 0-100%"&amp;" · ","")&amp;IF(OR(AND($J58&lt;&gt;"",$J58&lt;$I58),AND($K58&lt;&gt;"",$K58&lt;MAX($I58:$J58)),AND($L58&lt;&gt;"",$L58&lt;MAX($I58:$K58))),"Avance semanal decreciente"&amp;" · ","")&amp;IF(AND(ISNUMBER($AN58),$AN58&lt;FechaRef,IF($V58="Sub",N($X58),N($M58))&lt;1),"Vencida"&amp;" · ","")&amp;IF(AND(ObsObligatoria="Sí",ISNUMBER($AN58),$AN58&lt;FechaRef,IF($V58="Sub",N($X58),N($M58))&lt;1,$Q58=""),"Vencida sin observación"&amp;" · ",""),LEN(IF($C58="","Falta el nombre de la actividad"&amp;" · ","")&amp;IF(AND($V58="Sub",N($U58)=0),"Subactividad sin macroactividad arriba"&amp;" · ","")&amp;IF($AM58="","Sin fecha de inicio"&amp;" · ","")&amp;IF($AN58="","Sin fecha límite"&amp;" · ","")&amp;IF(AND(LEFT($C58,11)="[Jefatura] ",N($AL58)=0),"No se encuentra en la hoja de la jefatura (elíjala de nuevo en la lista)"&amp;" · ","")&amp;IF(OR(AND($E58&lt;&gt;"",NOT(ISNUMBER($E58))),AND($F58&lt;&gt;"",NOT(ISNUMBER($F58))),AND($G58&lt;&gt;"",NOT(ISNUMBER($G58)))),"Fecha no válida"&amp;" · ","")&amp;IF(AND(ISNUMBER($AM58),ISNUMBER($AN58),$AM58&gt;$AN58),"Inicio posterior a fecha límite"&amp;" · ","")&amp;IF(AND($V58="Macro",$H58&lt;&gt;"",OR(NOT(ISNUMBER($H58)),$H58&lt;0,$H58&gt;1)),"Peso fuera de rango"&amp;" · ","")&amp;IF(AND($V58="Sub",$H58&lt;&gt;""),"Las subactividades no llevan peso (valen igual dentro de su macroactividad)"&amp;" · ","")&amp;IF(AND(N($W58)&gt;0,COUNT($I58:$L58)&gt;0),"Con subactividades: deje vacías las semanas (se calculan solas)"&amp;" · ","")&amp;IF((COUNTIF($I58:$L58,"&gt;1")+COUNTIF($I58:$L58,"&lt;0")+COUNTA($I58:$L58)-COUNT($I58:$L58))&gt;0,"Avance fuera de rango 0-100%"&amp;" · ","")&amp;IF(OR(AND($J58&lt;&gt;"",$J58&lt;$I58),AND($K58&lt;&gt;"",$K58&lt;MAX($I58:$J58)),AND($L58&lt;&gt;"",$L58&lt;MAX($I58:$K58))),"Avance semanal decreciente"&amp;" · ","")&amp;IF(AND(ISNUMBER($AN58),$AN58&lt;FechaRef,IF($V58="Sub",N($X58),N($M58))&lt;1),"Vencida"&amp;" · ","")&amp;IF(AND(ObsObligatoria="Sí",ISNUMBER($AN58),$AN58&lt;FechaRef,IF($V58="Sub",N($X58),N($M58))&lt;1,$Q58=""),"Vencida sin observación"&amp;" · ",""))-3)))</f>
        <v/>
      </c>
      <c r="S58" s="64">
        <f>IF(NOT((COUNTA($B58:$D58)+COUNTA($G58:$L58)+COUNTA($Q58))&gt;0),"",IF(AND($V58="Sub",N($U58)&gt;0),IF(ISNUMBER(INDEX($AM$5:$AM$1000,$U58-4)),DATE(YEAR(INDEX($AM$5:$AM$1000,$U58-4)),MONTH(INDEX($AM$5:$AM$1000,$U58-4)),1),IF(ISNUMBER(INDEX($AN$5:$AN$1000,$U58-4)),DATE(YEAR(INDEX($AN$5:$AN$1000,$U58-4)),MONTH(INDEX($AN$5:$AN$1000,$U58-4)),1),MesCiclo)),IF(ISNUMBER($AM58),DATE(YEAR($AM58),MONTH($AM58),1),IF(ISNUMBER($AN58),DATE(YEAR($AN58),MONTH($AN58),1),MesCiclo))))</f>
        <v/>
      </c>
      <c r="T58" s="62">
        <f>IF(OR($S58="",$S58&lt;&gt;MesCiclo,$V58&lt;&gt;"Macro"),"",COUNTIFS($S$5:$S58,MesCiclo,$V$5:$V58,"Macro"))</f>
        <v/>
      </c>
      <c r="U58" s="62">
        <f>IF($V58="","",IF($V58="Macro",ROW(),IFERROR(LOOKUP(2,1/($V$5:$V58="Macro"),ROW($V$5:$V58)),0)))</f>
        <v/>
      </c>
      <c r="V58" s="62">
        <f>IF(NOT((COUNTA($B58:$D58)+COUNTA($G58:$L58)+COUNTA($Q58))&gt;0),"",IF($B58="Subactividad","Sub","Macro"))</f>
        <v/>
      </c>
      <c r="W58" s="62">
        <f>IF($V58="Macro",COUNTIFS($U$5:$U$1000,ROW(),$V$5:$V$1000,"Sub"),"")</f>
        <v/>
      </c>
      <c r="X58" s="62">
        <f>IF($V58="","",IF(ISNUMBER($G58),1,IFERROR(LOOKUP(2,1/($I58:$L58&lt;&gt;""),$I58:$L58),0)))</f>
        <v/>
      </c>
      <c r="Y58" s="62">
        <f>IF($V58="","",IF(AND(ISNUMBER($G58),$G58&lt;=IF($S58=MesCiclo,InicioCiclo,$S58+MOD(2-WEEKDAY($S58),7))+6),1,IF(ISNUMBER($I58),$I58,0)))</f>
        <v/>
      </c>
      <c r="Z58" s="62">
        <f>IF($V58="","",IF(AND(ISNUMBER($G58),$G58&lt;=IF($S58=MesCiclo,InicioCiclo,$S58+MOD(2-WEEKDAY($S58),7))+13),1,IF(ISNUMBER($J58),$J58,$Y58)))</f>
        <v/>
      </c>
      <c r="AA58" s="62">
        <f>IF($V58="","",IF(AND(ISNUMBER($G58),$G58&lt;=IF($S58=MesCiclo,InicioCiclo,$S58+MOD(2-WEEKDAY($S58),7))+20),1,IF(ISNUMBER($K58),$K58,$Z58)))</f>
        <v/>
      </c>
      <c r="AB58" s="62">
        <f>IF($V58="","",IF(AND(ISNUMBER($G58),$G58&lt;=IF($S58=MesCiclo,InicioCiclo,$S58+MOD(2-WEEKDAY($S58),7))+27),1,IF(ISNUMBER($L58),$L58,$AA58)))</f>
        <v/>
      </c>
      <c r="AC58" s="62">
        <f>IF($V58="","",IF(AND(ISNUMBER($G58),$G58&lt;=IF($S58=MesCiclo,InicioCiclo,$S58+MOD(2-WEEKDAY($S58),7))+6),1,IF(N($W58)&gt;0,AVERAGEIFS($Y$5:$Y$1000,$U$5:$U$1000,ROW(),$V$5:$V$1000,"Sub"),$Y58)))</f>
        <v/>
      </c>
      <c r="AD58" s="62">
        <f>IF($V58="","",IF(AND(ISNUMBER($G58),$G58&lt;=IF($S58=MesCiclo,InicioCiclo,$S58+MOD(2-WEEKDAY($S58),7))+13),1,IF(N($W58)&gt;0,AVERAGEIFS($Z$5:$Z$1000,$U$5:$U$1000,ROW(),$V$5:$V$1000,"Sub"),$Z58)))</f>
        <v/>
      </c>
      <c r="AE58" s="62">
        <f>IF($V58="","",IF(AND(ISNUMBER($G58),$G58&lt;=IF($S58=MesCiclo,InicioCiclo,$S58+MOD(2-WEEKDAY($S58),7))+20),1,IF(N($W58)&gt;0,AVERAGEIFS($AA$5:$AA$1000,$U$5:$U$1000,ROW(),$V$5:$V$1000,"Sub"),$AA58)))</f>
        <v/>
      </c>
      <c r="AF58" s="62">
        <f>IF($V58="","",IF(AND(ISNUMBER($G58),$G58&lt;=IF($S58=MesCiclo,InicioCiclo,$S58+MOD(2-WEEKDAY($S58),7))+27),1,IF(N($W58)&gt;0,AVERAGEIFS($AB$5:$AB$1000,$U$5:$U$1000,ROW(),$V$5:$V$1000,"Sub"),$AB58)))</f>
        <v/>
      </c>
      <c r="AG58" s="62">
        <f>IF($V58&lt;&gt;"Macro","",IF(COUNTIFS($S$5:$S$1000,$S58,$V$5:$V$1000,"Macro",$H$5:$H$1000,"&gt;0")=0,1/COUNTIFS($S$5:$S$1000,$S58,$V$5:$V$1000,"Macro"),IF(AND(ISNUMBER($H58),N($H58)&gt;0),$H58,SUMIFS($H$5:$H$1000,$S$5:$S$1000,$S58,$V$5:$V$1000,"Macro")/COUNTIFS($S$5:$S$1000,$S58,$V$5:$V$1000,"Macro",$H$5:$H$1000,"&gt;0"))/(COUNTIFS($S$5:$S$1000,$S58,$V$5:$V$1000,"Macro")*SUMIFS($H$5:$H$1000,$S$5:$S$1000,$S58,$V$5:$V$1000,"Macro")/COUNTIFS($S$5:$S$1000,$S58,$V$5:$V$1000,"Macro",$H$5:$H$1000,"&gt;0"))))</f>
        <v/>
      </c>
      <c r="AH58" s="62">
        <f>IF(NOT(AND($D58&lt;&gt;"",$V58="Macro")),"",IFERROR(CHOOSE(MATCH($D58,ListaPuestos,0),MATCH("[Jefatura] "&amp;$C58,'Cronograma R. Operacional'!$C$5:$C$1000,0),MATCH("[Jefatura] "&amp;$C58,'Cronograma R. Normativo'!$C$5:$C$1000,0),MATCH("[Jefatura] "&amp;$C58,'Cronograma R. Financiero'!$C$5:$C$1000,0),MATCH("[Jefatura] "&amp;$C58,'Cronograma Asistente Técnico'!$C$5:$C$1000,0)),0))</f>
        <v/>
      </c>
      <c r="AI58" s="62">
        <f>IF(AND(AND($D58&lt;&gt;"",$V58="Macro"),$S58=MesCiclo),COUNTIFS($D$5:$D58,$D58,$S$5:$S58,MesCiclo,$V$5:$V58,"Macro"),"")</f>
        <v/>
      </c>
      <c r="AJ58" s="62">
        <f>IF($AI58="","",$D58&amp;"|"&amp;$AI58)</f>
        <v/>
      </c>
      <c r="AK58" s="62">
        <f>IF(AND($D58&lt;&gt;"",$V58="Macro"),$D58&amp;"|"&amp;$C58,"")</f>
        <v/>
      </c>
      <c r="AL58" s="62">
        <f>""</f>
        <v/>
      </c>
      <c r="AM58" s="62">
        <f>IF(N($AL58)&gt;0,INDEX(rIni_ADM,$AL58),IF(ISNUMBER($E58),$E58,""))</f>
        <v/>
      </c>
      <c r="AN58" s="62">
        <f>IF(N($AL58)&gt;0,INDEX(rLim_ADM,$AL58),IF(ISNUMBER($F58),$F58,""))</f>
        <v/>
      </c>
    </row>
    <row r="59">
      <c r="A59" s="56">
        <f>IF(NOT((COUNTA($B59:$D59)+COUNTA($G59:$L59)+COUNTA($Q59))&gt;0),"",IF($V59="Macro",COUNTIFS($V$5:$V59,"Macro",$S$5:$S59,$S59),IF(N($U59)=0,"?",COUNTIFS(INDEX($V$5:$V$1000,1):INDEX($V$5:$V$1000,$U59-4),"Macro",INDEX($S$5:$S$1000,1):INDEX($S$5:$S$1000,$U59-4),INDEX($S$5:$S$1000,$U59-4))&amp;"."&amp;COUNTIFS($U$5:$U59,$U59,$V$5:$V59,"Sub"))))</f>
        <v/>
      </c>
      <c r="B59" s="57" t="n"/>
      <c r="C59" s="58" t="n"/>
      <c r="D59" s="58" t="n"/>
      <c r="E59" s="59" t="n"/>
      <c r="F59" s="59" t="n"/>
      <c r="G59" s="59" t="n"/>
      <c r="H59" s="60" t="n"/>
      <c r="I59" s="60" t="n"/>
      <c r="J59" s="60" t="n"/>
      <c r="K59" s="60" t="n"/>
      <c r="L59" s="60" t="n"/>
      <c r="M59" s="61">
        <f>IF(NOT((COUNTA($B59:$D59)+COUNTA($G59:$L59)+COUNTA($Q59))&gt;0),"",IF(AND($D59&lt;&gt;"",$V59="Macro"),IF(N($AH59)&gt;0,N(CHOOSE(MATCH($D59,ListaPuestos,0),INDEX('Cronograma R. Operacional'!$M$5:$M$1000,$AH59),INDEX('Cronograma R. Normativo'!$M$5:$M$1000,$AH59),INDEX('Cronograma R. Financiero'!$M$5:$M$1000,$AH59),INDEX('Cronograma Asistente Técnico'!$M$5:$M$1000,$AH59))),0),IF(ISNUMBER($G59),1,IF(N($W59)&gt;0,AVERAGEIFS($X$5:$X$1000,$U$5:$U$1000,ROW(),$V$5:$V$1000,"Sub"),$X59))))</f>
        <v/>
      </c>
      <c r="N59" s="56">
        <f>IF(OR($M59="",$V59="Sub"),"",IF($M59&gt;=1,"Completado",IF($M59&gt;0,"En curso","Pendiente")))</f>
        <v/>
      </c>
      <c r="O59" s="56">
        <f>IF(NOT((COUNTA($B59:$D59)+COUNTA($G59:$L59)+COUNTA($Q59))&gt;0),"",IF(AND(AND($D59&lt;&gt;"",$V59="Macro"),N($AH59)&gt;0),CHOOSE(MATCH($D59,ListaPuestos,0),INDEX('Cronograma R. Operacional'!$O$5:$O$1000,$AH59),INDEX('Cronograma R. Normativo'!$O$5:$O$1000,$AH59),INDEX('Cronograma R. Financiero'!$O$5:$O$1000,$AH59),INDEX('Cronograma Asistente Técnico'!$O$5:$O$1000,$AH59))&amp;"",IF(ISNUMBER($G59),IF(AND(ISNUMBER($AN59),$G59&gt;$AN59),"Cumplida con "&amp;($G59-$AN59)&amp;IF($G59-$AN59=1," día"," días")&amp;" de retraso","Cumplida"),IF(N($M59)&gt;=1,"Cumplida",IF(NOT(ISNUMBER($AN59)),"Sin fecha límite",IF($AN59&lt;FechaRef,"Vencida hace "&amp;(FechaRef-$AN59)&amp;IF(FechaRef-$AN59=1," día"," días"),IF($AN59=FechaRef,"Vence hoy",IF($AN59-FechaRef&lt;=DiasAlerta,"Vence en "&amp;($AN59-FechaRef)&amp;IF($AN59-FechaRef=1," día"," días"),"En plazo"))))))))</f>
        <v/>
      </c>
      <c r="P59" s="62">
        <f>IF(NOT((COUNTA($B59:$D59)+COUNTA($G59:$L59)+COUNTA($Q59))&gt;0),"",IF($D59="","Propia",IF($V59&lt;&gt;"Macro","Solo se delegan macroactividades",IF(N($AH59)&gt;0,"✔ Recibida por "&amp;$D59,"⚠ "&amp;$D59&amp;" aún no la agrega"))))</f>
        <v/>
      </c>
      <c r="Q59" s="58" t="n"/>
      <c r="R59" s="63">
        <f>IF(NOT((COUNTA($B59:$D59)+COUNTA($G59:$L59)+COUNTA($Q59))&gt;0),"",IF((IF($C59="","Falta el nombre de la actividad"&amp;" · ","")&amp;IF(AND($V59="Sub",N($U59)=0),"Subactividad sin macroactividad arriba"&amp;" · ","")&amp;IF($AM59="","Sin fecha de inicio"&amp;" · ","")&amp;IF($AN59="","Sin fecha límite"&amp;" · ","")&amp;IF(AND(LEFT($C59,11)="[Jefatura] ",N($AL59)=0),"No se encuentra en la hoja de la jefatura (elíjala de nuevo en la lista)"&amp;" · ","")&amp;IF(OR(AND($E59&lt;&gt;"",NOT(ISNUMBER($E59))),AND($F59&lt;&gt;"",NOT(ISNUMBER($F59))),AND($G59&lt;&gt;"",NOT(ISNUMBER($G59)))),"Fecha no válida"&amp;" · ","")&amp;IF(AND(ISNUMBER($AM59),ISNUMBER($AN59),$AM59&gt;$AN59),"Inicio posterior a fecha límite"&amp;" · ","")&amp;IF(AND($V59="Macro",$H59&lt;&gt;"",OR(NOT(ISNUMBER($H59)),$H59&lt;0,$H59&gt;1)),"Peso fuera de rango"&amp;" · ","")&amp;IF(AND($V59="Sub",$H59&lt;&gt;""),"Las subactividades no llevan peso (valen igual dentro de su macroactividad)"&amp;" · ","")&amp;IF(AND(N($W59)&gt;0,COUNT($I59:$L59)&gt;0),"Con subactividades: deje vacías las semanas (se calculan solas)"&amp;" · ","")&amp;IF((COUNTIF($I59:$L59,"&gt;1")+COUNTIF($I59:$L59,"&lt;0")+COUNTA($I59:$L59)-COUNT($I59:$L59))&gt;0,"Avance fuera de rango 0-100%"&amp;" · ","")&amp;IF(OR(AND($J59&lt;&gt;"",$J59&lt;$I59),AND($K59&lt;&gt;"",$K59&lt;MAX($I59:$J59)),AND($L59&lt;&gt;"",$L59&lt;MAX($I59:$K59))),"Avance semanal decreciente"&amp;" · ","")&amp;IF(AND(ISNUMBER($AN59),$AN59&lt;FechaRef,IF($V59="Sub",N($X59),N($M59))&lt;1),"Vencida"&amp;" · ","")&amp;IF(AND(ObsObligatoria="Sí",ISNUMBER($AN59),$AN59&lt;FechaRef,IF($V59="Sub",N($X59),N($M59))&lt;1,$Q59=""),"Vencida sin observación"&amp;" · ",""))="","✔ OK","⚠ "&amp;LEFT(IF($C59="","Falta el nombre de la actividad"&amp;" · ","")&amp;IF(AND($V59="Sub",N($U59)=0),"Subactividad sin macroactividad arriba"&amp;" · ","")&amp;IF($AM59="","Sin fecha de inicio"&amp;" · ","")&amp;IF($AN59="","Sin fecha límite"&amp;" · ","")&amp;IF(AND(LEFT($C59,11)="[Jefatura] ",N($AL59)=0),"No se encuentra en la hoja de la jefatura (elíjala de nuevo en la lista)"&amp;" · ","")&amp;IF(OR(AND($E59&lt;&gt;"",NOT(ISNUMBER($E59))),AND($F59&lt;&gt;"",NOT(ISNUMBER($F59))),AND($G59&lt;&gt;"",NOT(ISNUMBER($G59)))),"Fecha no válida"&amp;" · ","")&amp;IF(AND(ISNUMBER($AM59),ISNUMBER($AN59),$AM59&gt;$AN59),"Inicio posterior a fecha límite"&amp;" · ","")&amp;IF(AND($V59="Macro",$H59&lt;&gt;"",OR(NOT(ISNUMBER($H59)),$H59&lt;0,$H59&gt;1)),"Peso fuera de rango"&amp;" · ","")&amp;IF(AND($V59="Sub",$H59&lt;&gt;""),"Las subactividades no llevan peso (valen igual dentro de su macroactividad)"&amp;" · ","")&amp;IF(AND(N($W59)&gt;0,COUNT($I59:$L59)&gt;0),"Con subactividades: deje vacías las semanas (se calculan solas)"&amp;" · ","")&amp;IF((COUNTIF($I59:$L59,"&gt;1")+COUNTIF($I59:$L59,"&lt;0")+COUNTA($I59:$L59)-COUNT($I59:$L59))&gt;0,"Avance fuera de rango 0-100%"&amp;" · ","")&amp;IF(OR(AND($J59&lt;&gt;"",$J59&lt;$I59),AND($K59&lt;&gt;"",$K59&lt;MAX($I59:$J59)),AND($L59&lt;&gt;"",$L59&lt;MAX($I59:$K59))),"Avance semanal decreciente"&amp;" · ","")&amp;IF(AND(ISNUMBER($AN59),$AN59&lt;FechaRef,IF($V59="Sub",N($X59),N($M59))&lt;1),"Vencida"&amp;" · ","")&amp;IF(AND(ObsObligatoria="Sí",ISNUMBER($AN59),$AN59&lt;FechaRef,IF($V59="Sub",N($X59),N($M59))&lt;1,$Q59=""),"Vencida sin observación"&amp;" · ",""),LEN(IF($C59="","Falta el nombre de la actividad"&amp;" · ","")&amp;IF(AND($V59="Sub",N($U59)=0),"Subactividad sin macroactividad arriba"&amp;" · ","")&amp;IF($AM59="","Sin fecha de inicio"&amp;" · ","")&amp;IF($AN59="","Sin fecha límite"&amp;" · ","")&amp;IF(AND(LEFT($C59,11)="[Jefatura] ",N($AL59)=0),"No se encuentra en la hoja de la jefatura (elíjala de nuevo en la lista)"&amp;" · ","")&amp;IF(OR(AND($E59&lt;&gt;"",NOT(ISNUMBER($E59))),AND($F59&lt;&gt;"",NOT(ISNUMBER($F59))),AND($G59&lt;&gt;"",NOT(ISNUMBER($G59)))),"Fecha no válida"&amp;" · ","")&amp;IF(AND(ISNUMBER($AM59),ISNUMBER($AN59),$AM59&gt;$AN59),"Inicio posterior a fecha límite"&amp;" · ","")&amp;IF(AND($V59="Macro",$H59&lt;&gt;"",OR(NOT(ISNUMBER($H59)),$H59&lt;0,$H59&gt;1)),"Peso fuera de rango"&amp;" · ","")&amp;IF(AND($V59="Sub",$H59&lt;&gt;""),"Las subactividades no llevan peso (valen igual dentro de su macroactividad)"&amp;" · ","")&amp;IF(AND(N($W59)&gt;0,COUNT($I59:$L59)&gt;0),"Con subactividades: deje vacías las semanas (se calculan solas)"&amp;" · ","")&amp;IF((COUNTIF($I59:$L59,"&gt;1")+COUNTIF($I59:$L59,"&lt;0")+COUNTA($I59:$L59)-COUNT($I59:$L59))&gt;0,"Avance fuera de rango 0-100%"&amp;" · ","")&amp;IF(OR(AND($J59&lt;&gt;"",$J59&lt;$I59),AND($K59&lt;&gt;"",$K59&lt;MAX($I59:$J59)),AND($L59&lt;&gt;"",$L59&lt;MAX($I59:$K59))),"Avance semanal decreciente"&amp;" · ","")&amp;IF(AND(ISNUMBER($AN59),$AN59&lt;FechaRef,IF($V59="Sub",N($X59),N($M59))&lt;1),"Vencida"&amp;" · ","")&amp;IF(AND(ObsObligatoria="Sí",ISNUMBER($AN59),$AN59&lt;FechaRef,IF($V59="Sub",N($X59),N($M59))&lt;1,$Q59=""),"Vencida sin observación"&amp;" · ",""))-3)))</f>
        <v/>
      </c>
      <c r="S59" s="64">
        <f>IF(NOT((COUNTA($B59:$D59)+COUNTA($G59:$L59)+COUNTA($Q59))&gt;0),"",IF(AND($V59="Sub",N($U59)&gt;0),IF(ISNUMBER(INDEX($AM$5:$AM$1000,$U59-4)),DATE(YEAR(INDEX($AM$5:$AM$1000,$U59-4)),MONTH(INDEX($AM$5:$AM$1000,$U59-4)),1),IF(ISNUMBER(INDEX($AN$5:$AN$1000,$U59-4)),DATE(YEAR(INDEX($AN$5:$AN$1000,$U59-4)),MONTH(INDEX($AN$5:$AN$1000,$U59-4)),1),MesCiclo)),IF(ISNUMBER($AM59),DATE(YEAR($AM59),MONTH($AM59),1),IF(ISNUMBER($AN59),DATE(YEAR($AN59),MONTH($AN59),1),MesCiclo))))</f>
        <v/>
      </c>
      <c r="T59" s="62">
        <f>IF(OR($S59="",$S59&lt;&gt;MesCiclo,$V59&lt;&gt;"Macro"),"",COUNTIFS($S$5:$S59,MesCiclo,$V$5:$V59,"Macro"))</f>
        <v/>
      </c>
      <c r="U59" s="62">
        <f>IF($V59="","",IF($V59="Macro",ROW(),IFERROR(LOOKUP(2,1/($V$5:$V59="Macro"),ROW($V$5:$V59)),0)))</f>
        <v/>
      </c>
      <c r="V59" s="62">
        <f>IF(NOT((COUNTA($B59:$D59)+COUNTA($G59:$L59)+COUNTA($Q59))&gt;0),"",IF($B59="Subactividad","Sub","Macro"))</f>
        <v/>
      </c>
      <c r="W59" s="62">
        <f>IF($V59="Macro",COUNTIFS($U$5:$U$1000,ROW(),$V$5:$V$1000,"Sub"),"")</f>
        <v/>
      </c>
      <c r="X59" s="62">
        <f>IF($V59="","",IF(ISNUMBER($G59),1,IFERROR(LOOKUP(2,1/($I59:$L59&lt;&gt;""),$I59:$L59),0)))</f>
        <v/>
      </c>
      <c r="Y59" s="62">
        <f>IF($V59="","",IF(AND(ISNUMBER($G59),$G59&lt;=IF($S59=MesCiclo,InicioCiclo,$S59+MOD(2-WEEKDAY($S59),7))+6),1,IF(ISNUMBER($I59),$I59,0)))</f>
        <v/>
      </c>
      <c r="Z59" s="62">
        <f>IF($V59="","",IF(AND(ISNUMBER($G59),$G59&lt;=IF($S59=MesCiclo,InicioCiclo,$S59+MOD(2-WEEKDAY($S59),7))+13),1,IF(ISNUMBER($J59),$J59,$Y59)))</f>
        <v/>
      </c>
      <c r="AA59" s="62">
        <f>IF($V59="","",IF(AND(ISNUMBER($G59),$G59&lt;=IF($S59=MesCiclo,InicioCiclo,$S59+MOD(2-WEEKDAY($S59),7))+20),1,IF(ISNUMBER($K59),$K59,$Z59)))</f>
        <v/>
      </c>
      <c r="AB59" s="62">
        <f>IF($V59="","",IF(AND(ISNUMBER($G59),$G59&lt;=IF($S59=MesCiclo,InicioCiclo,$S59+MOD(2-WEEKDAY($S59),7))+27),1,IF(ISNUMBER($L59),$L59,$AA59)))</f>
        <v/>
      </c>
      <c r="AC59" s="62">
        <f>IF($V59="","",IF(AND(ISNUMBER($G59),$G59&lt;=IF($S59=MesCiclo,InicioCiclo,$S59+MOD(2-WEEKDAY($S59),7))+6),1,IF(N($W59)&gt;0,AVERAGEIFS($Y$5:$Y$1000,$U$5:$U$1000,ROW(),$V$5:$V$1000,"Sub"),$Y59)))</f>
        <v/>
      </c>
      <c r="AD59" s="62">
        <f>IF($V59="","",IF(AND(ISNUMBER($G59),$G59&lt;=IF($S59=MesCiclo,InicioCiclo,$S59+MOD(2-WEEKDAY($S59),7))+13),1,IF(N($W59)&gt;0,AVERAGEIFS($Z$5:$Z$1000,$U$5:$U$1000,ROW(),$V$5:$V$1000,"Sub"),$Z59)))</f>
        <v/>
      </c>
      <c r="AE59" s="62">
        <f>IF($V59="","",IF(AND(ISNUMBER($G59),$G59&lt;=IF($S59=MesCiclo,InicioCiclo,$S59+MOD(2-WEEKDAY($S59),7))+20),1,IF(N($W59)&gt;0,AVERAGEIFS($AA$5:$AA$1000,$U$5:$U$1000,ROW(),$V$5:$V$1000,"Sub"),$AA59)))</f>
        <v/>
      </c>
      <c r="AF59" s="62">
        <f>IF($V59="","",IF(AND(ISNUMBER($G59),$G59&lt;=IF($S59=MesCiclo,InicioCiclo,$S59+MOD(2-WEEKDAY($S59),7))+27),1,IF(N($W59)&gt;0,AVERAGEIFS($AB$5:$AB$1000,$U$5:$U$1000,ROW(),$V$5:$V$1000,"Sub"),$AB59)))</f>
        <v/>
      </c>
      <c r="AG59" s="62">
        <f>IF($V59&lt;&gt;"Macro","",IF(COUNTIFS($S$5:$S$1000,$S59,$V$5:$V$1000,"Macro",$H$5:$H$1000,"&gt;0")=0,1/COUNTIFS($S$5:$S$1000,$S59,$V$5:$V$1000,"Macro"),IF(AND(ISNUMBER($H59),N($H59)&gt;0),$H59,SUMIFS($H$5:$H$1000,$S$5:$S$1000,$S59,$V$5:$V$1000,"Macro")/COUNTIFS($S$5:$S$1000,$S59,$V$5:$V$1000,"Macro",$H$5:$H$1000,"&gt;0"))/(COUNTIFS($S$5:$S$1000,$S59,$V$5:$V$1000,"Macro")*SUMIFS($H$5:$H$1000,$S$5:$S$1000,$S59,$V$5:$V$1000,"Macro")/COUNTIFS($S$5:$S$1000,$S59,$V$5:$V$1000,"Macro",$H$5:$H$1000,"&gt;0"))))</f>
        <v/>
      </c>
      <c r="AH59" s="62">
        <f>IF(NOT(AND($D59&lt;&gt;"",$V59="Macro")),"",IFERROR(CHOOSE(MATCH($D59,ListaPuestos,0),MATCH("[Jefatura] "&amp;$C59,'Cronograma R. Operacional'!$C$5:$C$1000,0),MATCH("[Jefatura] "&amp;$C59,'Cronograma R. Normativo'!$C$5:$C$1000,0),MATCH("[Jefatura] "&amp;$C59,'Cronograma R. Financiero'!$C$5:$C$1000,0),MATCH("[Jefatura] "&amp;$C59,'Cronograma Asistente Técnico'!$C$5:$C$1000,0)),0))</f>
        <v/>
      </c>
      <c r="AI59" s="62">
        <f>IF(AND(AND($D59&lt;&gt;"",$V59="Macro"),$S59=MesCiclo),COUNTIFS($D$5:$D59,$D59,$S$5:$S59,MesCiclo,$V$5:$V59,"Macro"),"")</f>
        <v/>
      </c>
      <c r="AJ59" s="62">
        <f>IF($AI59="","",$D59&amp;"|"&amp;$AI59)</f>
        <v/>
      </c>
      <c r="AK59" s="62">
        <f>IF(AND($D59&lt;&gt;"",$V59="Macro"),$D59&amp;"|"&amp;$C59,"")</f>
        <v/>
      </c>
      <c r="AL59" s="62">
        <f>""</f>
        <v/>
      </c>
      <c r="AM59" s="62">
        <f>IF(N($AL59)&gt;0,INDEX(rIni_ADM,$AL59),IF(ISNUMBER($E59),$E59,""))</f>
        <v/>
      </c>
      <c r="AN59" s="62">
        <f>IF(N($AL59)&gt;0,INDEX(rLim_ADM,$AL59),IF(ISNUMBER($F59),$F59,""))</f>
        <v/>
      </c>
    </row>
    <row r="60">
      <c r="A60" s="56">
        <f>IF(NOT((COUNTA($B60:$D60)+COUNTA($G60:$L60)+COUNTA($Q60))&gt;0),"",IF($V60="Macro",COUNTIFS($V$5:$V60,"Macro",$S$5:$S60,$S60),IF(N($U60)=0,"?",COUNTIFS(INDEX($V$5:$V$1000,1):INDEX($V$5:$V$1000,$U60-4),"Macro",INDEX($S$5:$S$1000,1):INDEX($S$5:$S$1000,$U60-4),INDEX($S$5:$S$1000,$U60-4))&amp;"."&amp;COUNTIFS($U$5:$U60,$U60,$V$5:$V60,"Sub"))))</f>
        <v/>
      </c>
      <c r="B60" s="57" t="n"/>
      <c r="C60" s="58" t="n"/>
      <c r="D60" s="58" t="n"/>
      <c r="E60" s="59" t="n"/>
      <c r="F60" s="59" t="n"/>
      <c r="G60" s="59" t="n"/>
      <c r="H60" s="60" t="n"/>
      <c r="I60" s="60" t="n"/>
      <c r="J60" s="60" t="n"/>
      <c r="K60" s="60" t="n"/>
      <c r="L60" s="60" t="n"/>
      <c r="M60" s="61">
        <f>IF(NOT((COUNTA($B60:$D60)+COUNTA($G60:$L60)+COUNTA($Q60))&gt;0),"",IF(AND($D60&lt;&gt;"",$V60="Macro"),IF(N($AH60)&gt;0,N(CHOOSE(MATCH($D60,ListaPuestos,0),INDEX('Cronograma R. Operacional'!$M$5:$M$1000,$AH60),INDEX('Cronograma R. Normativo'!$M$5:$M$1000,$AH60),INDEX('Cronograma R. Financiero'!$M$5:$M$1000,$AH60),INDEX('Cronograma Asistente Técnico'!$M$5:$M$1000,$AH60))),0),IF(ISNUMBER($G60),1,IF(N($W60)&gt;0,AVERAGEIFS($X$5:$X$1000,$U$5:$U$1000,ROW(),$V$5:$V$1000,"Sub"),$X60))))</f>
        <v/>
      </c>
      <c r="N60" s="56">
        <f>IF(OR($M60="",$V60="Sub"),"",IF($M60&gt;=1,"Completado",IF($M60&gt;0,"En curso","Pendiente")))</f>
        <v/>
      </c>
      <c r="O60" s="56">
        <f>IF(NOT((COUNTA($B60:$D60)+COUNTA($G60:$L60)+COUNTA($Q60))&gt;0),"",IF(AND(AND($D60&lt;&gt;"",$V60="Macro"),N($AH60)&gt;0),CHOOSE(MATCH($D60,ListaPuestos,0),INDEX('Cronograma R. Operacional'!$O$5:$O$1000,$AH60),INDEX('Cronograma R. Normativo'!$O$5:$O$1000,$AH60),INDEX('Cronograma R. Financiero'!$O$5:$O$1000,$AH60),INDEX('Cronograma Asistente Técnico'!$O$5:$O$1000,$AH60))&amp;"",IF(ISNUMBER($G60),IF(AND(ISNUMBER($AN60),$G60&gt;$AN60),"Cumplida con "&amp;($G60-$AN60)&amp;IF($G60-$AN60=1," día"," días")&amp;" de retraso","Cumplida"),IF(N($M60)&gt;=1,"Cumplida",IF(NOT(ISNUMBER($AN60)),"Sin fecha límite",IF($AN60&lt;FechaRef,"Vencida hace "&amp;(FechaRef-$AN60)&amp;IF(FechaRef-$AN60=1," día"," días"),IF($AN60=FechaRef,"Vence hoy",IF($AN60-FechaRef&lt;=DiasAlerta,"Vence en "&amp;($AN60-FechaRef)&amp;IF($AN60-FechaRef=1," día"," días"),"En plazo"))))))))</f>
        <v/>
      </c>
      <c r="P60" s="62">
        <f>IF(NOT((COUNTA($B60:$D60)+COUNTA($G60:$L60)+COUNTA($Q60))&gt;0),"",IF($D60="","Propia",IF($V60&lt;&gt;"Macro","Solo se delegan macroactividades",IF(N($AH60)&gt;0,"✔ Recibida por "&amp;$D60,"⚠ "&amp;$D60&amp;" aún no la agrega"))))</f>
        <v/>
      </c>
      <c r="Q60" s="58" t="n"/>
      <c r="R60" s="63">
        <f>IF(NOT((COUNTA($B60:$D60)+COUNTA($G60:$L60)+COUNTA($Q60))&gt;0),"",IF((IF($C60="","Falta el nombre de la actividad"&amp;" · ","")&amp;IF(AND($V60="Sub",N($U60)=0),"Subactividad sin macroactividad arriba"&amp;" · ","")&amp;IF($AM60="","Sin fecha de inicio"&amp;" · ","")&amp;IF($AN60="","Sin fecha límite"&amp;" · ","")&amp;IF(AND(LEFT($C60,11)="[Jefatura] ",N($AL60)=0),"No se encuentra en la hoja de la jefatura (elíjala de nuevo en la lista)"&amp;" · ","")&amp;IF(OR(AND($E60&lt;&gt;"",NOT(ISNUMBER($E60))),AND($F60&lt;&gt;"",NOT(ISNUMBER($F60))),AND($G60&lt;&gt;"",NOT(ISNUMBER($G60)))),"Fecha no válida"&amp;" · ","")&amp;IF(AND(ISNUMBER($AM60),ISNUMBER($AN60),$AM60&gt;$AN60),"Inicio posterior a fecha límite"&amp;" · ","")&amp;IF(AND($V60="Macro",$H60&lt;&gt;"",OR(NOT(ISNUMBER($H60)),$H60&lt;0,$H60&gt;1)),"Peso fuera de rango"&amp;" · ","")&amp;IF(AND($V60="Sub",$H60&lt;&gt;""),"Las subactividades no llevan peso (valen igual dentro de su macroactividad)"&amp;" · ","")&amp;IF(AND(N($W60)&gt;0,COUNT($I60:$L60)&gt;0),"Con subactividades: deje vacías las semanas (se calculan solas)"&amp;" · ","")&amp;IF((COUNTIF($I60:$L60,"&gt;1")+COUNTIF($I60:$L60,"&lt;0")+COUNTA($I60:$L60)-COUNT($I60:$L60))&gt;0,"Avance fuera de rango 0-100%"&amp;" · ","")&amp;IF(OR(AND($J60&lt;&gt;"",$J60&lt;$I60),AND($K60&lt;&gt;"",$K60&lt;MAX($I60:$J60)),AND($L60&lt;&gt;"",$L60&lt;MAX($I60:$K60))),"Avance semanal decreciente"&amp;" · ","")&amp;IF(AND(ISNUMBER($AN60),$AN60&lt;FechaRef,IF($V60="Sub",N($X60),N($M60))&lt;1),"Vencida"&amp;" · ","")&amp;IF(AND(ObsObligatoria="Sí",ISNUMBER($AN60),$AN60&lt;FechaRef,IF($V60="Sub",N($X60),N($M60))&lt;1,$Q60=""),"Vencida sin observación"&amp;" · ",""))="","✔ OK","⚠ "&amp;LEFT(IF($C60="","Falta el nombre de la actividad"&amp;" · ","")&amp;IF(AND($V60="Sub",N($U60)=0),"Subactividad sin macroactividad arriba"&amp;" · ","")&amp;IF($AM60="","Sin fecha de inicio"&amp;" · ","")&amp;IF($AN60="","Sin fecha límite"&amp;" · ","")&amp;IF(AND(LEFT($C60,11)="[Jefatura] ",N($AL60)=0),"No se encuentra en la hoja de la jefatura (elíjala de nuevo en la lista)"&amp;" · ","")&amp;IF(OR(AND($E60&lt;&gt;"",NOT(ISNUMBER($E60))),AND($F60&lt;&gt;"",NOT(ISNUMBER($F60))),AND($G60&lt;&gt;"",NOT(ISNUMBER($G60)))),"Fecha no válida"&amp;" · ","")&amp;IF(AND(ISNUMBER($AM60),ISNUMBER($AN60),$AM60&gt;$AN60),"Inicio posterior a fecha límite"&amp;" · ","")&amp;IF(AND($V60="Macro",$H60&lt;&gt;"",OR(NOT(ISNUMBER($H60)),$H60&lt;0,$H60&gt;1)),"Peso fuera de rango"&amp;" · ","")&amp;IF(AND($V60="Sub",$H60&lt;&gt;""),"Las subactividades no llevan peso (valen igual dentro de su macroactividad)"&amp;" · ","")&amp;IF(AND(N($W60)&gt;0,COUNT($I60:$L60)&gt;0),"Con subactividades: deje vacías las semanas (se calculan solas)"&amp;" · ","")&amp;IF((COUNTIF($I60:$L60,"&gt;1")+COUNTIF($I60:$L60,"&lt;0")+COUNTA($I60:$L60)-COUNT($I60:$L60))&gt;0,"Avance fuera de rango 0-100%"&amp;" · ","")&amp;IF(OR(AND($J60&lt;&gt;"",$J60&lt;$I60),AND($K60&lt;&gt;"",$K60&lt;MAX($I60:$J60)),AND($L60&lt;&gt;"",$L60&lt;MAX($I60:$K60))),"Avance semanal decreciente"&amp;" · ","")&amp;IF(AND(ISNUMBER($AN60),$AN60&lt;FechaRef,IF($V60="Sub",N($X60),N($M60))&lt;1),"Vencida"&amp;" · ","")&amp;IF(AND(ObsObligatoria="Sí",ISNUMBER($AN60),$AN60&lt;FechaRef,IF($V60="Sub",N($X60),N($M60))&lt;1,$Q60=""),"Vencida sin observación"&amp;" · ",""),LEN(IF($C60="","Falta el nombre de la actividad"&amp;" · ","")&amp;IF(AND($V60="Sub",N($U60)=0),"Subactividad sin macroactividad arriba"&amp;" · ","")&amp;IF($AM60="","Sin fecha de inicio"&amp;" · ","")&amp;IF($AN60="","Sin fecha límite"&amp;" · ","")&amp;IF(AND(LEFT($C60,11)="[Jefatura] ",N($AL60)=0),"No se encuentra en la hoja de la jefatura (elíjala de nuevo en la lista)"&amp;" · ","")&amp;IF(OR(AND($E60&lt;&gt;"",NOT(ISNUMBER($E60))),AND($F60&lt;&gt;"",NOT(ISNUMBER($F60))),AND($G60&lt;&gt;"",NOT(ISNUMBER($G60)))),"Fecha no válida"&amp;" · ","")&amp;IF(AND(ISNUMBER($AM60),ISNUMBER($AN60),$AM60&gt;$AN60),"Inicio posterior a fecha límite"&amp;" · ","")&amp;IF(AND($V60="Macro",$H60&lt;&gt;"",OR(NOT(ISNUMBER($H60)),$H60&lt;0,$H60&gt;1)),"Peso fuera de rango"&amp;" · ","")&amp;IF(AND($V60="Sub",$H60&lt;&gt;""),"Las subactividades no llevan peso (valen igual dentro de su macroactividad)"&amp;" · ","")&amp;IF(AND(N($W60)&gt;0,COUNT($I60:$L60)&gt;0),"Con subactividades: deje vacías las semanas (se calculan solas)"&amp;" · ","")&amp;IF((COUNTIF($I60:$L60,"&gt;1")+COUNTIF($I60:$L60,"&lt;0")+COUNTA($I60:$L60)-COUNT($I60:$L60))&gt;0,"Avance fuera de rango 0-100%"&amp;" · ","")&amp;IF(OR(AND($J60&lt;&gt;"",$J60&lt;$I60),AND($K60&lt;&gt;"",$K60&lt;MAX($I60:$J60)),AND($L60&lt;&gt;"",$L60&lt;MAX($I60:$K60))),"Avance semanal decreciente"&amp;" · ","")&amp;IF(AND(ISNUMBER($AN60),$AN60&lt;FechaRef,IF($V60="Sub",N($X60),N($M60))&lt;1),"Vencida"&amp;" · ","")&amp;IF(AND(ObsObligatoria="Sí",ISNUMBER($AN60),$AN60&lt;FechaRef,IF($V60="Sub",N($X60),N($M60))&lt;1,$Q60=""),"Vencida sin observación"&amp;" · ",""))-3)))</f>
        <v/>
      </c>
      <c r="S60" s="64">
        <f>IF(NOT((COUNTA($B60:$D60)+COUNTA($G60:$L60)+COUNTA($Q60))&gt;0),"",IF(AND($V60="Sub",N($U60)&gt;0),IF(ISNUMBER(INDEX($AM$5:$AM$1000,$U60-4)),DATE(YEAR(INDEX($AM$5:$AM$1000,$U60-4)),MONTH(INDEX($AM$5:$AM$1000,$U60-4)),1),IF(ISNUMBER(INDEX($AN$5:$AN$1000,$U60-4)),DATE(YEAR(INDEX($AN$5:$AN$1000,$U60-4)),MONTH(INDEX($AN$5:$AN$1000,$U60-4)),1),MesCiclo)),IF(ISNUMBER($AM60),DATE(YEAR($AM60),MONTH($AM60),1),IF(ISNUMBER($AN60),DATE(YEAR($AN60),MONTH($AN60),1),MesCiclo))))</f>
        <v/>
      </c>
      <c r="T60" s="62">
        <f>IF(OR($S60="",$S60&lt;&gt;MesCiclo,$V60&lt;&gt;"Macro"),"",COUNTIFS($S$5:$S60,MesCiclo,$V$5:$V60,"Macro"))</f>
        <v/>
      </c>
      <c r="U60" s="62">
        <f>IF($V60="","",IF($V60="Macro",ROW(),IFERROR(LOOKUP(2,1/($V$5:$V60="Macro"),ROW($V$5:$V60)),0)))</f>
        <v/>
      </c>
      <c r="V60" s="62">
        <f>IF(NOT((COUNTA($B60:$D60)+COUNTA($G60:$L60)+COUNTA($Q60))&gt;0),"",IF($B60="Subactividad","Sub","Macro"))</f>
        <v/>
      </c>
      <c r="W60" s="62">
        <f>IF($V60="Macro",COUNTIFS($U$5:$U$1000,ROW(),$V$5:$V$1000,"Sub"),"")</f>
        <v/>
      </c>
      <c r="X60" s="62">
        <f>IF($V60="","",IF(ISNUMBER($G60),1,IFERROR(LOOKUP(2,1/($I60:$L60&lt;&gt;""),$I60:$L60),0)))</f>
        <v/>
      </c>
      <c r="Y60" s="62">
        <f>IF($V60="","",IF(AND(ISNUMBER($G60),$G60&lt;=IF($S60=MesCiclo,InicioCiclo,$S60+MOD(2-WEEKDAY($S60),7))+6),1,IF(ISNUMBER($I60),$I60,0)))</f>
        <v/>
      </c>
      <c r="Z60" s="62">
        <f>IF($V60="","",IF(AND(ISNUMBER($G60),$G60&lt;=IF($S60=MesCiclo,InicioCiclo,$S60+MOD(2-WEEKDAY($S60),7))+13),1,IF(ISNUMBER($J60),$J60,$Y60)))</f>
        <v/>
      </c>
      <c r="AA60" s="62">
        <f>IF($V60="","",IF(AND(ISNUMBER($G60),$G60&lt;=IF($S60=MesCiclo,InicioCiclo,$S60+MOD(2-WEEKDAY($S60),7))+20),1,IF(ISNUMBER($K60),$K60,$Z60)))</f>
        <v/>
      </c>
      <c r="AB60" s="62">
        <f>IF($V60="","",IF(AND(ISNUMBER($G60),$G60&lt;=IF($S60=MesCiclo,InicioCiclo,$S60+MOD(2-WEEKDAY($S60),7))+27),1,IF(ISNUMBER($L60),$L60,$AA60)))</f>
        <v/>
      </c>
      <c r="AC60" s="62">
        <f>IF($V60="","",IF(AND(ISNUMBER($G60),$G60&lt;=IF($S60=MesCiclo,InicioCiclo,$S60+MOD(2-WEEKDAY($S60),7))+6),1,IF(N($W60)&gt;0,AVERAGEIFS($Y$5:$Y$1000,$U$5:$U$1000,ROW(),$V$5:$V$1000,"Sub"),$Y60)))</f>
        <v/>
      </c>
      <c r="AD60" s="62">
        <f>IF($V60="","",IF(AND(ISNUMBER($G60),$G60&lt;=IF($S60=MesCiclo,InicioCiclo,$S60+MOD(2-WEEKDAY($S60),7))+13),1,IF(N($W60)&gt;0,AVERAGEIFS($Z$5:$Z$1000,$U$5:$U$1000,ROW(),$V$5:$V$1000,"Sub"),$Z60)))</f>
        <v/>
      </c>
      <c r="AE60" s="62">
        <f>IF($V60="","",IF(AND(ISNUMBER($G60),$G60&lt;=IF($S60=MesCiclo,InicioCiclo,$S60+MOD(2-WEEKDAY($S60),7))+20),1,IF(N($W60)&gt;0,AVERAGEIFS($AA$5:$AA$1000,$U$5:$U$1000,ROW(),$V$5:$V$1000,"Sub"),$AA60)))</f>
        <v/>
      </c>
      <c r="AF60" s="62">
        <f>IF($V60="","",IF(AND(ISNUMBER($G60),$G60&lt;=IF($S60=MesCiclo,InicioCiclo,$S60+MOD(2-WEEKDAY($S60),7))+27),1,IF(N($W60)&gt;0,AVERAGEIFS($AB$5:$AB$1000,$U$5:$U$1000,ROW(),$V$5:$V$1000,"Sub"),$AB60)))</f>
        <v/>
      </c>
      <c r="AG60" s="62">
        <f>IF($V60&lt;&gt;"Macro","",IF(COUNTIFS($S$5:$S$1000,$S60,$V$5:$V$1000,"Macro",$H$5:$H$1000,"&gt;0")=0,1/COUNTIFS($S$5:$S$1000,$S60,$V$5:$V$1000,"Macro"),IF(AND(ISNUMBER($H60),N($H60)&gt;0),$H60,SUMIFS($H$5:$H$1000,$S$5:$S$1000,$S60,$V$5:$V$1000,"Macro")/COUNTIFS($S$5:$S$1000,$S60,$V$5:$V$1000,"Macro",$H$5:$H$1000,"&gt;0"))/(COUNTIFS($S$5:$S$1000,$S60,$V$5:$V$1000,"Macro")*SUMIFS($H$5:$H$1000,$S$5:$S$1000,$S60,$V$5:$V$1000,"Macro")/COUNTIFS($S$5:$S$1000,$S60,$V$5:$V$1000,"Macro",$H$5:$H$1000,"&gt;0"))))</f>
        <v/>
      </c>
      <c r="AH60" s="62">
        <f>IF(NOT(AND($D60&lt;&gt;"",$V60="Macro")),"",IFERROR(CHOOSE(MATCH($D60,ListaPuestos,0),MATCH("[Jefatura] "&amp;$C60,'Cronograma R. Operacional'!$C$5:$C$1000,0),MATCH("[Jefatura] "&amp;$C60,'Cronograma R. Normativo'!$C$5:$C$1000,0),MATCH("[Jefatura] "&amp;$C60,'Cronograma R. Financiero'!$C$5:$C$1000,0),MATCH("[Jefatura] "&amp;$C60,'Cronograma Asistente Técnico'!$C$5:$C$1000,0)),0))</f>
        <v/>
      </c>
      <c r="AI60" s="62">
        <f>IF(AND(AND($D60&lt;&gt;"",$V60="Macro"),$S60=MesCiclo),COUNTIFS($D$5:$D60,$D60,$S$5:$S60,MesCiclo,$V$5:$V60,"Macro"),"")</f>
        <v/>
      </c>
      <c r="AJ60" s="62">
        <f>IF($AI60="","",$D60&amp;"|"&amp;$AI60)</f>
        <v/>
      </c>
      <c r="AK60" s="62">
        <f>IF(AND($D60&lt;&gt;"",$V60="Macro"),$D60&amp;"|"&amp;$C60,"")</f>
        <v/>
      </c>
      <c r="AL60" s="62">
        <f>""</f>
        <v/>
      </c>
      <c r="AM60" s="62">
        <f>IF(N($AL60)&gt;0,INDEX(rIni_ADM,$AL60),IF(ISNUMBER($E60),$E60,""))</f>
        <v/>
      </c>
      <c r="AN60" s="62">
        <f>IF(N($AL60)&gt;0,INDEX(rLim_ADM,$AL60),IF(ISNUMBER($F60),$F60,""))</f>
        <v/>
      </c>
    </row>
    <row r="61">
      <c r="A61" s="56">
        <f>IF(NOT((COUNTA($B61:$D61)+COUNTA($G61:$L61)+COUNTA($Q61))&gt;0),"",IF($V61="Macro",COUNTIFS($V$5:$V61,"Macro",$S$5:$S61,$S61),IF(N($U61)=0,"?",COUNTIFS(INDEX($V$5:$V$1000,1):INDEX($V$5:$V$1000,$U61-4),"Macro",INDEX($S$5:$S$1000,1):INDEX($S$5:$S$1000,$U61-4),INDEX($S$5:$S$1000,$U61-4))&amp;"."&amp;COUNTIFS($U$5:$U61,$U61,$V$5:$V61,"Sub"))))</f>
        <v/>
      </c>
      <c r="B61" s="57" t="n"/>
      <c r="C61" s="58" t="n"/>
      <c r="D61" s="58" t="n"/>
      <c r="E61" s="59" t="n"/>
      <c r="F61" s="59" t="n"/>
      <c r="G61" s="59" t="n"/>
      <c r="H61" s="60" t="n"/>
      <c r="I61" s="60" t="n"/>
      <c r="J61" s="60" t="n"/>
      <c r="K61" s="60" t="n"/>
      <c r="L61" s="60" t="n"/>
      <c r="M61" s="61">
        <f>IF(NOT((COUNTA($B61:$D61)+COUNTA($G61:$L61)+COUNTA($Q61))&gt;0),"",IF(AND($D61&lt;&gt;"",$V61="Macro"),IF(N($AH61)&gt;0,N(CHOOSE(MATCH($D61,ListaPuestos,0),INDEX('Cronograma R. Operacional'!$M$5:$M$1000,$AH61),INDEX('Cronograma R. Normativo'!$M$5:$M$1000,$AH61),INDEX('Cronograma R. Financiero'!$M$5:$M$1000,$AH61),INDEX('Cronograma Asistente Técnico'!$M$5:$M$1000,$AH61))),0),IF(ISNUMBER($G61),1,IF(N($W61)&gt;0,AVERAGEIFS($X$5:$X$1000,$U$5:$U$1000,ROW(),$V$5:$V$1000,"Sub"),$X61))))</f>
        <v/>
      </c>
      <c r="N61" s="56">
        <f>IF(OR($M61="",$V61="Sub"),"",IF($M61&gt;=1,"Completado",IF($M61&gt;0,"En curso","Pendiente")))</f>
        <v/>
      </c>
      <c r="O61" s="56">
        <f>IF(NOT((COUNTA($B61:$D61)+COUNTA($G61:$L61)+COUNTA($Q61))&gt;0),"",IF(AND(AND($D61&lt;&gt;"",$V61="Macro"),N($AH61)&gt;0),CHOOSE(MATCH($D61,ListaPuestos,0),INDEX('Cronograma R. Operacional'!$O$5:$O$1000,$AH61),INDEX('Cronograma R. Normativo'!$O$5:$O$1000,$AH61),INDEX('Cronograma R. Financiero'!$O$5:$O$1000,$AH61),INDEX('Cronograma Asistente Técnico'!$O$5:$O$1000,$AH61))&amp;"",IF(ISNUMBER($G61),IF(AND(ISNUMBER($AN61),$G61&gt;$AN61),"Cumplida con "&amp;($G61-$AN61)&amp;IF($G61-$AN61=1," día"," días")&amp;" de retraso","Cumplida"),IF(N($M61)&gt;=1,"Cumplida",IF(NOT(ISNUMBER($AN61)),"Sin fecha límite",IF($AN61&lt;FechaRef,"Vencida hace "&amp;(FechaRef-$AN61)&amp;IF(FechaRef-$AN61=1," día"," días"),IF($AN61=FechaRef,"Vence hoy",IF($AN61-FechaRef&lt;=DiasAlerta,"Vence en "&amp;($AN61-FechaRef)&amp;IF($AN61-FechaRef=1," día"," días"),"En plazo"))))))))</f>
        <v/>
      </c>
      <c r="P61" s="62">
        <f>IF(NOT((COUNTA($B61:$D61)+COUNTA($G61:$L61)+COUNTA($Q61))&gt;0),"",IF($D61="","Propia",IF($V61&lt;&gt;"Macro","Solo se delegan macroactividades",IF(N($AH61)&gt;0,"✔ Recibida por "&amp;$D61,"⚠ "&amp;$D61&amp;" aún no la agrega"))))</f>
        <v/>
      </c>
      <c r="Q61" s="58" t="n"/>
      <c r="R61" s="63">
        <f>IF(NOT((COUNTA($B61:$D61)+COUNTA($G61:$L61)+COUNTA($Q61))&gt;0),"",IF((IF($C61="","Falta el nombre de la actividad"&amp;" · ","")&amp;IF(AND($V61="Sub",N($U61)=0),"Subactividad sin macroactividad arriba"&amp;" · ","")&amp;IF($AM61="","Sin fecha de inicio"&amp;" · ","")&amp;IF($AN61="","Sin fecha límite"&amp;" · ","")&amp;IF(AND(LEFT($C61,11)="[Jefatura] ",N($AL61)=0),"No se encuentra en la hoja de la jefatura (elíjala de nuevo en la lista)"&amp;" · ","")&amp;IF(OR(AND($E61&lt;&gt;"",NOT(ISNUMBER($E61))),AND($F61&lt;&gt;"",NOT(ISNUMBER($F61))),AND($G61&lt;&gt;"",NOT(ISNUMBER($G61)))),"Fecha no válida"&amp;" · ","")&amp;IF(AND(ISNUMBER($AM61),ISNUMBER($AN61),$AM61&gt;$AN61),"Inicio posterior a fecha límite"&amp;" · ","")&amp;IF(AND($V61="Macro",$H61&lt;&gt;"",OR(NOT(ISNUMBER($H61)),$H61&lt;0,$H61&gt;1)),"Peso fuera de rango"&amp;" · ","")&amp;IF(AND($V61="Sub",$H61&lt;&gt;""),"Las subactividades no llevan peso (valen igual dentro de su macroactividad)"&amp;" · ","")&amp;IF(AND(N($W61)&gt;0,COUNT($I61:$L61)&gt;0),"Con subactividades: deje vacías las semanas (se calculan solas)"&amp;" · ","")&amp;IF((COUNTIF($I61:$L61,"&gt;1")+COUNTIF($I61:$L61,"&lt;0")+COUNTA($I61:$L61)-COUNT($I61:$L61))&gt;0,"Avance fuera de rango 0-100%"&amp;" · ","")&amp;IF(OR(AND($J61&lt;&gt;"",$J61&lt;$I61),AND($K61&lt;&gt;"",$K61&lt;MAX($I61:$J61)),AND($L61&lt;&gt;"",$L61&lt;MAX($I61:$K61))),"Avance semanal decreciente"&amp;" · ","")&amp;IF(AND(ISNUMBER($AN61),$AN61&lt;FechaRef,IF($V61="Sub",N($X61),N($M61))&lt;1),"Vencida"&amp;" · ","")&amp;IF(AND(ObsObligatoria="Sí",ISNUMBER($AN61),$AN61&lt;FechaRef,IF($V61="Sub",N($X61),N($M61))&lt;1,$Q61=""),"Vencida sin observación"&amp;" · ",""))="","✔ OK","⚠ "&amp;LEFT(IF($C61="","Falta el nombre de la actividad"&amp;" · ","")&amp;IF(AND($V61="Sub",N($U61)=0),"Subactividad sin macroactividad arriba"&amp;" · ","")&amp;IF($AM61="","Sin fecha de inicio"&amp;" · ","")&amp;IF($AN61="","Sin fecha límite"&amp;" · ","")&amp;IF(AND(LEFT($C61,11)="[Jefatura] ",N($AL61)=0),"No se encuentra en la hoja de la jefatura (elíjala de nuevo en la lista)"&amp;" · ","")&amp;IF(OR(AND($E61&lt;&gt;"",NOT(ISNUMBER($E61))),AND($F61&lt;&gt;"",NOT(ISNUMBER($F61))),AND($G61&lt;&gt;"",NOT(ISNUMBER($G61)))),"Fecha no válida"&amp;" · ","")&amp;IF(AND(ISNUMBER($AM61),ISNUMBER($AN61),$AM61&gt;$AN61),"Inicio posterior a fecha límite"&amp;" · ","")&amp;IF(AND($V61="Macro",$H61&lt;&gt;"",OR(NOT(ISNUMBER($H61)),$H61&lt;0,$H61&gt;1)),"Peso fuera de rango"&amp;" · ","")&amp;IF(AND($V61="Sub",$H61&lt;&gt;""),"Las subactividades no llevan peso (valen igual dentro de su macroactividad)"&amp;" · ","")&amp;IF(AND(N($W61)&gt;0,COUNT($I61:$L61)&gt;0),"Con subactividades: deje vacías las semanas (se calculan solas)"&amp;" · ","")&amp;IF((COUNTIF($I61:$L61,"&gt;1")+COUNTIF($I61:$L61,"&lt;0")+COUNTA($I61:$L61)-COUNT($I61:$L61))&gt;0,"Avance fuera de rango 0-100%"&amp;" · ","")&amp;IF(OR(AND($J61&lt;&gt;"",$J61&lt;$I61),AND($K61&lt;&gt;"",$K61&lt;MAX($I61:$J61)),AND($L61&lt;&gt;"",$L61&lt;MAX($I61:$K61))),"Avance semanal decreciente"&amp;" · ","")&amp;IF(AND(ISNUMBER($AN61),$AN61&lt;FechaRef,IF($V61="Sub",N($X61),N($M61))&lt;1),"Vencida"&amp;" · ","")&amp;IF(AND(ObsObligatoria="Sí",ISNUMBER($AN61),$AN61&lt;FechaRef,IF($V61="Sub",N($X61),N($M61))&lt;1,$Q61=""),"Vencida sin observación"&amp;" · ",""),LEN(IF($C61="","Falta el nombre de la actividad"&amp;" · ","")&amp;IF(AND($V61="Sub",N($U61)=0),"Subactividad sin macroactividad arriba"&amp;" · ","")&amp;IF($AM61="","Sin fecha de inicio"&amp;" · ","")&amp;IF($AN61="","Sin fecha límite"&amp;" · ","")&amp;IF(AND(LEFT($C61,11)="[Jefatura] ",N($AL61)=0),"No se encuentra en la hoja de la jefatura (elíjala de nuevo en la lista)"&amp;" · ","")&amp;IF(OR(AND($E61&lt;&gt;"",NOT(ISNUMBER($E61))),AND($F61&lt;&gt;"",NOT(ISNUMBER($F61))),AND($G61&lt;&gt;"",NOT(ISNUMBER($G61)))),"Fecha no válida"&amp;" · ","")&amp;IF(AND(ISNUMBER($AM61),ISNUMBER($AN61),$AM61&gt;$AN61),"Inicio posterior a fecha límite"&amp;" · ","")&amp;IF(AND($V61="Macro",$H61&lt;&gt;"",OR(NOT(ISNUMBER($H61)),$H61&lt;0,$H61&gt;1)),"Peso fuera de rango"&amp;" · ","")&amp;IF(AND($V61="Sub",$H61&lt;&gt;""),"Las subactividades no llevan peso (valen igual dentro de su macroactividad)"&amp;" · ","")&amp;IF(AND(N($W61)&gt;0,COUNT($I61:$L61)&gt;0),"Con subactividades: deje vacías las semanas (se calculan solas)"&amp;" · ","")&amp;IF((COUNTIF($I61:$L61,"&gt;1")+COUNTIF($I61:$L61,"&lt;0")+COUNTA($I61:$L61)-COUNT($I61:$L61))&gt;0,"Avance fuera de rango 0-100%"&amp;" · ","")&amp;IF(OR(AND($J61&lt;&gt;"",$J61&lt;$I61),AND($K61&lt;&gt;"",$K61&lt;MAX($I61:$J61)),AND($L61&lt;&gt;"",$L61&lt;MAX($I61:$K61))),"Avance semanal decreciente"&amp;" · ","")&amp;IF(AND(ISNUMBER($AN61),$AN61&lt;FechaRef,IF($V61="Sub",N($X61),N($M61))&lt;1),"Vencida"&amp;" · ","")&amp;IF(AND(ObsObligatoria="Sí",ISNUMBER($AN61),$AN61&lt;FechaRef,IF($V61="Sub",N($X61),N($M61))&lt;1,$Q61=""),"Vencida sin observación"&amp;" · ",""))-3)))</f>
        <v/>
      </c>
      <c r="S61" s="64">
        <f>IF(NOT((COUNTA($B61:$D61)+COUNTA($G61:$L61)+COUNTA($Q61))&gt;0),"",IF(AND($V61="Sub",N($U61)&gt;0),IF(ISNUMBER(INDEX($AM$5:$AM$1000,$U61-4)),DATE(YEAR(INDEX($AM$5:$AM$1000,$U61-4)),MONTH(INDEX($AM$5:$AM$1000,$U61-4)),1),IF(ISNUMBER(INDEX($AN$5:$AN$1000,$U61-4)),DATE(YEAR(INDEX($AN$5:$AN$1000,$U61-4)),MONTH(INDEX($AN$5:$AN$1000,$U61-4)),1),MesCiclo)),IF(ISNUMBER($AM61),DATE(YEAR($AM61),MONTH($AM61),1),IF(ISNUMBER($AN61),DATE(YEAR($AN61),MONTH($AN61),1),MesCiclo))))</f>
        <v/>
      </c>
      <c r="T61" s="62">
        <f>IF(OR($S61="",$S61&lt;&gt;MesCiclo,$V61&lt;&gt;"Macro"),"",COUNTIFS($S$5:$S61,MesCiclo,$V$5:$V61,"Macro"))</f>
        <v/>
      </c>
      <c r="U61" s="62">
        <f>IF($V61="","",IF($V61="Macro",ROW(),IFERROR(LOOKUP(2,1/($V$5:$V61="Macro"),ROW($V$5:$V61)),0)))</f>
        <v/>
      </c>
      <c r="V61" s="62">
        <f>IF(NOT((COUNTA($B61:$D61)+COUNTA($G61:$L61)+COUNTA($Q61))&gt;0),"",IF($B61="Subactividad","Sub","Macro"))</f>
        <v/>
      </c>
      <c r="W61" s="62">
        <f>IF($V61="Macro",COUNTIFS($U$5:$U$1000,ROW(),$V$5:$V$1000,"Sub"),"")</f>
        <v/>
      </c>
      <c r="X61" s="62">
        <f>IF($V61="","",IF(ISNUMBER($G61),1,IFERROR(LOOKUP(2,1/($I61:$L61&lt;&gt;""),$I61:$L61),0)))</f>
        <v/>
      </c>
      <c r="Y61" s="62">
        <f>IF($V61="","",IF(AND(ISNUMBER($G61),$G61&lt;=IF($S61=MesCiclo,InicioCiclo,$S61+MOD(2-WEEKDAY($S61),7))+6),1,IF(ISNUMBER($I61),$I61,0)))</f>
        <v/>
      </c>
      <c r="Z61" s="62">
        <f>IF($V61="","",IF(AND(ISNUMBER($G61),$G61&lt;=IF($S61=MesCiclo,InicioCiclo,$S61+MOD(2-WEEKDAY($S61),7))+13),1,IF(ISNUMBER($J61),$J61,$Y61)))</f>
        <v/>
      </c>
      <c r="AA61" s="62">
        <f>IF($V61="","",IF(AND(ISNUMBER($G61),$G61&lt;=IF($S61=MesCiclo,InicioCiclo,$S61+MOD(2-WEEKDAY($S61),7))+20),1,IF(ISNUMBER($K61),$K61,$Z61)))</f>
        <v/>
      </c>
      <c r="AB61" s="62">
        <f>IF($V61="","",IF(AND(ISNUMBER($G61),$G61&lt;=IF($S61=MesCiclo,InicioCiclo,$S61+MOD(2-WEEKDAY($S61),7))+27),1,IF(ISNUMBER($L61),$L61,$AA61)))</f>
        <v/>
      </c>
      <c r="AC61" s="62">
        <f>IF($V61="","",IF(AND(ISNUMBER($G61),$G61&lt;=IF($S61=MesCiclo,InicioCiclo,$S61+MOD(2-WEEKDAY($S61),7))+6),1,IF(N($W61)&gt;0,AVERAGEIFS($Y$5:$Y$1000,$U$5:$U$1000,ROW(),$V$5:$V$1000,"Sub"),$Y61)))</f>
        <v/>
      </c>
      <c r="AD61" s="62">
        <f>IF($V61="","",IF(AND(ISNUMBER($G61),$G61&lt;=IF($S61=MesCiclo,InicioCiclo,$S61+MOD(2-WEEKDAY($S61),7))+13),1,IF(N($W61)&gt;0,AVERAGEIFS($Z$5:$Z$1000,$U$5:$U$1000,ROW(),$V$5:$V$1000,"Sub"),$Z61)))</f>
        <v/>
      </c>
      <c r="AE61" s="62">
        <f>IF($V61="","",IF(AND(ISNUMBER($G61),$G61&lt;=IF($S61=MesCiclo,InicioCiclo,$S61+MOD(2-WEEKDAY($S61),7))+20),1,IF(N($W61)&gt;0,AVERAGEIFS($AA$5:$AA$1000,$U$5:$U$1000,ROW(),$V$5:$V$1000,"Sub"),$AA61)))</f>
        <v/>
      </c>
      <c r="AF61" s="62">
        <f>IF($V61="","",IF(AND(ISNUMBER($G61),$G61&lt;=IF($S61=MesCiclo,InicioCiclo,$S61+MOD(2-WEEKDAY($S61),7))+27),1,IF(N($W61)&gt;0,AVERAGEIFS($AB$5:$AB$1000,$U$5:$U$1000,ROW(),$V$5:$V$1000,"Sub"),$AB61)))</f>
        <v/>
      </c>
      <c r="AG61" s="62">
        <f>IF($V61&lt;&gt;"Macro","",IF(COUNTIFS($S$5:$S$1000,$S61,$V$5:$V$1000,"Macro",$H$5:$H$1000,"&gt;0")=0,1/COUNTIFS($S$5:$S$1000,$S61,$V$5:$V$1000,"Macro"),IF(AND(ISNUMBER($H61),N($H61)&gt;0),$H61,SUMIFS($H$5:$H$1000,$S$5:$S$1000,$S61,$V$5:$V$1000,"Macro")/COUNTIFS($S$5:$S$1000,$S61,$V$5:$V$1000,"Macro",$H$5:$H$1000,"&gt;0"))/(COUNTIFS($S$5:$S$1000,$S61,$V$5:$V$1000,"Macro")*SUMIFS($H$5:$H$1000,$S$5:$S$1000,$S61,$V$5:$V$1000,"Macro")/COUNTIFS($S$5:$S$1000,$S61,$V$5:$V$1000,"Macro",$H$5:$H$1000,"&gt;0"))))</f>
        <v/>
      </c>
      <c r="AH61" s="62">
        <f>IF(NOT(AND($D61&lt;&gt;"",$V61="Macro")),"",IFERROR(CHOOSE(MATCH($D61,ListaPuestos,0),MATCH("[Jefatura] "&amp;$C61,'Cronograma R. Operacional'!$C$5:$C$1000,0),MATCH("[Jefatura] "&amp;$C61,'Cronograma R. Normativo'!$C$5:$C$1000,0),MATCH("[Jefatura] "&amp;$C61,'Cronograma R. Financiero'!$C$5:$C$1000,0),MATCH("[Jefatura] "&amp;$C61,'Cronograma Asistente Técnico'!$C$5:$C$1000,0)),0))</f>
        <v/>
      </c>
      <c r="AI61" s="62">
        <f>IF(AND(AND($D61&lt;&gt;"",$V61="Macro"),$S61=MesCiclo),COUNTIFS($D$5:$D61,$D61,$S$5:$S61,MesCiclo,$V$5:$V61,"Macro"),"")</f>
        <v/>
      </c>
      <c r="AJ61" s="62">
        <f>IF($AI61="","",$D61&amp;"|"&amp;$AI61)</f>
        <v/>
      </c>
      <c r="AK61" s="62">
        <f>IF(AND($D61&lt;&gt;"",$V61="Macro"),$D61&amp;"|"&amp;$C61,"")</f>
        <v/>
      </c>
      <c r="AL61" s="62">
        <f>""</f>
        <v/>
      </c>
      <c r="AM61" s="62">
        <f>IF(N($AL61)&gt;0,INDEX(rIni_ADM,$AL61),IF(ISNUMBER($E61),$E61,""))</f>
        <v/>
      </c>
      <c r="AN61" s="62">
        <f>IF(N($AL61)&gt;0,INDEX(rLim_ADM,$AL61),IF(ISNUMBER($F61),$F61,""))</f>
        <v/>
      </c>
    </row>
    <row r="62">
      <c r="A62" s="56">
        <f>IF(NOT((COUNTA($B62:$D62)+COUNTA($G62:$L62)+COUNTA($Q62))&gt;0),"",IF($V62="Macro",COUNTIFS($V$5:$V62,"Macro",$S$5:$S62,$S62),IF(N($U62)=0,"?",COUNTIFS(INDEX($V$5:$V$1000,1):INDEX($V$5:$V$1000,$U62-4),"Macro",INDEX($S$5:$S$1000,1):INDEX($S$5:$S$1000,$U62-4),INDEX($S$5:$S$1000,$U62-4))&amp;"."&amp;COUNTIFS($U$5:$U62,$U62,$V$5:$V62,"Sub"))))</f>
        <v/>
      </c>
      <c r="B62" s="57" t="n"/>
      <c r="C62" s="58" t="n"/>
      <c r="D62" s="58" t="n"/>
      <c r="E62" s="59" t="n"/>
      <c r="F62" s="59" t="n"/>
      <c r="G62" s="59" t="n"/>
      <c r="H62" s="60" t="n"/>
      <c r="I62" s="60" t="n"/>
      <c r="J62" s="60" t="n"/>
      <c r="K62" s="60" t="n"/>
      <c r="L62" s="60" t="n"/>
      <c r="M62" s="61">
        <f>IF(NOT((COUNTA($B62:$D62)+COUNTA($G62:$L62)+COUNTA($Q62))&gt;0),"",IF(AND($D62&lt;&gt;"",$V62="Macro"),IF(N($AH62)&gt;0,N(CHOOSE(MATCH($D62,ListaPuestos,0),INDEX('Cronograma R. Operacional'!$M$5:$M$1000,$AH62),INDEX('Cronograma R. Normativo'!$M$5:$M$1000,$AH62),INDEX('Cronograma R. Financiero'!$M$5:$M$1000,$AH62),INDEX('Cronograma Asistente Técnico'!$M$5:$M$1000,$AH62))),0),IF(ISNUMBER($G62),1,IF(N($W62)&gt;0,AVERAGEIFS($X$5:$X$1000,$U$5:$U$1000,ROW(),$V$5:$V$1000,"Sub"),$X62))))</f>
        <v/>
      </c>
      <c r="N62" s="56">
        <f>IF(OR($M62="",$V62="Sub"),"",IF($M62&gt;=1,"Completado",IF($M62&gt;0,"En curso","Pendiente")))</f>
        <v/>
      </c>
      <c r="O62" s="56">
        <f>IF(NOT((COUNTA($B62:$D62)+COUNTA($G62:$L62)+COUNTA($Q62))&gt;0),"",IF(AND(AND($D62&lt;&gt;"",$V62="Macro"),N($AH62)&gt;0),CHOOSE(MATCH($D62,ListaPuestos,0),INDEX('Cronograma R. Operacional'!$O$5:$O$1000,$AH62),INDEX('Cronograma R. Normativo'!$O$5:$O$1000,$AH62),INDEX('Cronograma R. Financiero'!$O$5:$O$1000,$AH62),INDEX('Cronograma Asistente Técnico'!$O$5:$O$1000,$AH62))&amp;"",IF(ISNUMBER($G62),IF(AND(ISNUMBER($AN62),$G62&gt;$AN62),"Cumplida con "&amp;($G62-$AN62)&amp;IF($G62-$AN62=1," día"," días")&amp;" de retraso","Cumplida"),IF(N($M62)&gt;=1,"Cumplida",IF(NOT(ISNUMBER($AN62)),"Sin fecha límite",IF($AN62&lt;FechaRef,"Vencida hace "&amp;(FechaRef-$AN62)&amp;IF(FechaRef-$AN62=1," día"," días"),IF($AN62=FechaRef,"Vence hoy",IF($AN62-FechaRef&lt;=DiasAlerta,"Vence en "&amp;($AN62-FechaRef)&amp;IF($AN62-FechaRef=1," día"," días"),"En plazo"))))))))</f>
        <v/>
      </c>
      <c r="P62" s="62">
        <f>IF(NOT((COUNTA($B62:$D62)+COUNTA($G62:$L62)+COUNTA($Q62))&gt;0),"",IF($D62="","Propia",IF($V62&lt;&gt;"Macro","Solo se delegan macroactividades",IF(N($AH62)&gt;0,"✔ Recibida por "&amp;$D62,"⚠ "&amp;$D62&amp;" aún no la agrega"))))</f>
        <v/>
      </c>
      <c r="Q62" s="58" t="n"/>
      <c r="R62" s="63">
        <f>IF(NOT((COUNTA($B62:$D62)+COUNTA($G62:$L62)+COUNTA($Q62))&gt;0),"",IF((IF($C62="","Falta el nombre de la actividad"&amp;" · ","")&amp;IF(AND($V62="Sub",N($U62)=0),"Subactividad sin macroactividad arriba"&amp;" · ","")&amp;IF($AM62="","Sin fecha de inicio"&amp;" · ","")&amp;IF($AN62="","Sin fecha límite"&amp;" · ","")&amp;IF(AND(LEFT($C62,11)="[Jefatura] ",N($AL62)=0),"No se encuentra en la hoja de la jefatura (elíjala de nuevo en la lista)"&amp;" · ","")&amp;IF(OR(AND($E62&lt;&gt;"",NOT(ISNUMBER($E62))),AND($F62&lt;&gt;"",NOT(ISNUMBER($F62))),AND($G62&lt;&gt;"",NOT(ISNUMBER($G62)))),"Fecha no válida"&amp;" · ","")&amp;IF(AND(ISNUMBER($AM62),ISNUMBER($AN62),$AM62&gt;$AN62),"Inicio posterior a fecha límite"&amp;" · ","")&amp;IF(AND($V62="Macro",$H62&lt;&gt;"",OR(NOT(ISNUMBER($H62)),$H62&lt;0,$H62&gt;1)),"Peso fuera de rango"&amp;" · ","")&amp;IF(AND($V62="Sub",$H62&lt;&gt;""),"Las subactividades no llevan peso (valen igual dentro de su macroactividad)"&amp;" · ","")&amp;IF(AND(N($W62)&gt;0,COUNT($I62:$L62)&gt;0),"Con subactividades: deje vacías las semanas (se calculan solas)"&amp;" · ","")&amp;IF((COUNTIF($I62:$L62,"&gt;1")+COUNTIF($I62:$L62,"&lt;0")+COUNTA($I62:$L62)-COUNT($I62:$L62))&gt;0,"Avance fuera de rango 0-100%"&amp;" · ","")&amp;IF(OR(AND($J62&lt;&gt;"",$J62&lt;$I62),AND($K62&lt;&gt;"",$K62&lt;MAX($I62:$J62)),AND($L62&lt;&gt;"",$L62&lt;MAX($I62:$K62))),"Avance semanal decreciente"&amp;" · ","")&amp;IF(AND(ISNUMBER($AN62),$AN62&lt;FechaRef,IF($V62="Sub",N($X62),N($M62))&lt;1),"Vencida"&amp;" · ","")&amp;IF(AND(ObsObligatoria="Sí",ISNUMBER($AN62),$AN62&lt;FechaRef,IF($V62="Sub",N($X62),N($M62))&lt;1,$Q62=""),"Vencida sin observación"&amp;" · ",""))="","✔ OK","⚠ "&amp;LEFT(IF($C62="","Falta el nombre de la actividad"&amp;" · ","")&amp;IF(AND($V62="Sub",N($U62)=0),"Subactividad sin macroactividad arriba"&amp;" · ","")&amp;IF($AM62="","Sin fecha de inicio"&amp;" · ","")&amp;IF($AN62="","Sin fecha límite"&amp;" · ","")&amp;IF(AND(LEFT($C62,11)="[Jefatura] ",N($AL62)=0),"No se encuentra en la hoja de la jefatura (elíjala de nuevo en la lista)"&amp;" · ","")&amp;IF(OR(AND($E62&lt;&gt;"",NOT(ISNUMBER($E62))),AND($F62&lt;&gt;"",NOT(ISNUMBER($F62))),AND($G62&lt;&gt;"",NOT(ISNUMBER($G62)))),"Fecha no válida"&amp;" · ","")&amp;IF(AND(ISNUMBER($AM62),ISNUMBER($AN62),$AM62&gt;$AN62),"Inicio posterior a fecha límite"&amp;" · ","")&amp;IF(AND($V62="Macro",$H62&lt;&gt;"",OR(NOT(ISNUMBER($H62)),$H62&lt;0,$H62&gt;1)),"Peso fuera de rango"&amp;" · ","")&amp;IF(AND($V62="Sub",$H62&lt;&gt;""),"Las subactividades no llevan peso (valen igual dentro de su macroactividad)"&amp;" · ","")&amp;IF(AND(N($W62)&gt;0,COUNT($I62:$L62)&gt;0),"Con subactividades: deje vacías las semanas (se calculan solas)"&amp;" · ","")&amp;IF((COUNTIF($I62:$L62,"&gt;1")+COUNTIF($I62:$L62,"&lt;0")+COUNTA($I62:$L62)-COUNT($I62:$L62))&gt;0,"Avance fuera de rango 0-100%"&amp;" · ","")&amp;IF(OR(AND($J62&lt;&gt;"",$J62&lt;$I62),AND($K62&lt;&gt;"",$K62&lt;MAX($I62:$J62)),AND($L62&lt;&gt;"",$L62&lt;MAX($I62:$K62))),"Avance semanal decreciente"&amp;" · ","")&amp;IF(AND(ISNUMBER($AN62),$AN62&lt;FechaRef,IF($V62="Sub",N($X62),N($M62))&lt;1),"Vencida"&amp;" · ","")&amp;IF(AND(ObsObligatoria="Sí",ISNUMBER($AN62),$AN62&lt;FechaRef,IF($V62="Sub",N($X62),N($M62))&lt;1,$Q62=""),"Vencida sin observación"&amp;" · ",""),LEN(IF($C62="","Falta el nombre de la actividad"&amp;" · ","")&amp;IF(AND($V62="Sub",N($U62)=0),"Subactividad sin macroactividad arriba"&amp;" · ","")&amp;IF($AM62="","Sin fecha de inicio"&amp;" · ","")&amp;IF($AN62="","Sin fecha límite"&amp;" · ","")&amp;IF(AND(LEFT($C62,11)="[Jefatura] ",N($AL62)=0),"No se encuentra en la hoja de la jefatura (elíjala de nuevo en la lista)"&amp;" · ","")&amp;IF(OR(AND($E62&lt;&gt;"",NOT(ISNUMBER($E62))),AND($F62&lt;&gt;"",NOT(ISNUMBER($F62))),AND($G62&lt;&gt;"",NOT(ISNUMBER($G62)))),"Fecha no válida"&amp;" · ","")&amp;IF(AND(ISNUMBER($AM62),ISNUMBER($AN62),$AM62&gt;$AN62),"Inicio posterior a fecha límite"&amp;" · ","")&amp;IF(AND($V62="Macro",$H62&lt;&gt;"",OR(NOT(ISNUMBER($H62)),$H62&lt;0,$H62&gt;1)),"Peso fuera de rango"&amp;" · ","")&amp;IF(AND($V62="Sub",$H62&lt;&gt;""),"Las subactividades no llevan peso (valen igual dentro de su macroactividad)"&amp;" · ","")&amp;IF(AND(N($W62)&gt;0,COUNT($I62:$L62)&gt;0),"Con subactividades: deje vacías las semanas (se calculan solas)"&amp;" · ","")&amp;IF((COUNTIF($I62:$L62,"&gt;1")+COUNTIF($I62:$L62,"&lt;0")+COUNTA($I62:$L62)-COUNT($I62:$L62))&gt;0,"Avance fuera de rango 0-100%"&amp;" · ","")&amp;IF(OR(AND($J62&lt;&gt;"",$J62&lt;$I62),AND($K62&lt;&gt;"",$K62&lt;MAX($I62:$J62)),AND($L62&lt;&gt;"",$L62&lt;MAX($I62:$K62))),"Avance semanal decreciente"&amp;" · ","")&amp;IF(AND(ISNUMBER($AN62),$AN62&lt;FechaRef,IF($V62="Sub",N($X62),N($M62))&lt;1),"Vencida"&amp;" · ","")&amp;IF(AND(ObsObligatoria="Sí",ISNUMBER($AN62),$AN62&lt;FechaRef,IF($V62="Sub",N($X62),N($M62))&lt;1,$Q62=""),"Vencida sin observación"&amp;" · ",""))-3)))</f>
        <v/>
      </c>
      <c r="S62" s="64">
        <f>IF(NOT((COUNTA($B62:$D62)+COUNTA($G62:$L62)+COUNTA($Q62))&gt;0),"",IF(AND($V62="Sub",N($U62)&gt;0),IF(ISNUMBER(INDEX($AM$5:$AM$1000,$U62-4)),DATE(YEAR(INDEX($AM$5:$AM$1000,$U62-4)),MONTH(INDEX($AM$5:$AM$1000,$U62-4)),1),IF(ISNUMBER(INDEX($AN$5:$AN$1000,$U62-4)),DATE(YEAR(INDEX($AN$5:$AN$1000,$U62-4)),MONTH(INDEX($AN$5:$AN$1000,$U62-4)),1),MesCiclo)),IF(ISNUMBER($AM62),DATE(YEAR($AM62),MONTH($AM62),1),IF(ISNUMBER($AN62),DATE(YEAR($AN62),MONTH($AN62),1),MesCiclo))))</f>
        <v/>
      </c>
      <c r="T62" s="62">
        <f>IF(OR($S62="",$S62&lt;&gt;MesCiclo,$V62&lt;&gt;"Macro"),"",COUNTIFS($S$5:$S62,MesCiclo,$V$5:$V62,"Macro"))</f>
        <v/>
      </c>
      <c r="U62" s="62">
        <f>IF($V62="","",IF($V62="Macro",ROW(),IFERROR(LOOKUP(2,1/($V$5:$V62="Macro"),ROW($V$5:$V62)),0)))</f>
        <v/>
      </c>
      <c r="V62" s="62">
        <f>IF(NOT((COUNTA($B62:$D62)+COUNTA($G62:$L62)+COUNTA($Q62))&gt;0),"",IF($B62="Subactividad","Sub","Macro"))</f>
        <v/>
      </c>
      <c r="W62" s="62">
        <f>IF($V62="Macro",COUNTIFS($U$5:$U$1000,ROW(),$V$5:$V$1000,"Sub"),"")</f>
        <v/>
      </c>
      <c r="X62" s="62">
        <f>IF($V62="","",IF(ISNUMBER($G62),1,IFERROR(LOOKUP(2,1/($I62:$L62&lt;&gt;""),$I62:$L62),0)))</f>
        <v/>
      </c>
      <c r="Y62" s="62">
        <f>IF($V62="","",IF(AND(ISNUMBER($G62),$G62&lt;=IF($S62=MesCiclo,InicioCiclo,$S62+MOD(2-WEEKDAY($S62),7))+6),1,IF(ISNUMBER($I62),$I62,0)))</f>
        <v/>
      </c>
      <c r="Z62" s="62">
        <f>IF($V62="","",IF(AND(ISNUMBER($G62),$G62&lt;=IF($S62=MesCiclo,InicioCiclo,$S62+MOD(2-WEEKDAY($S62),7))+13),1,IF(ISNUMBER($J62),$J62,$Y62)))</f>
        <v/>
      </c>
      <c r="AA62" s="62">
        <f>IF($V62="","",IF(AND(ISNUMBER($G62),$G62&lt;=IF($S62=MesCiclo,InicioCiclo,$S62+MOD(2-WEEKDAY($S62),7))+20),1,IF(ISNUMBER($K62),$K62,$Z62)))</f>
        <v/>
      </c>
      <c r="AB62" s="62">
        <f>IF($V62="","",IF(AND(ISNUMBER($G62),$G62&lt;=IF($S62=MesCiclo,InicioCiclo,$S62+MOD(2-WEEKDAY($S62),7))+27),1,IF(ISNUMBER($L62),$L62,$AA62)))</f>
        <v/>
      </c>
      <c r="AC62" s="62">
        <f>IF($V62="","",IF(AND(ISNUMBER($G62),$G62&lt;=IF($S62=MesCiclo,InicioCiclo,$S62+MOD(2-WEEKDAY($S62),7))+6),1,IF(N($W62)&gt;0,AVERAGEIFS($Y$5:$Y$1000,$U$5:$U$1000,ROW(),$V$5:$V$1000,"Sub"),$Y62)))</f>
        <v/>
      </c>
      <c r="AD62" s="62">
        <f>IF($V62="","",IF(AND(ISNUMBER($G62),$G62&lt;=IF($S62=MesCiclo,InicioCiclo,$S62+MOD(2-WEEKDAY($S62),7))+13),1,IF(N($W62)&gt;0,AVERAGEIFS($Z$5:$Z$1000,$U$5:$U$1000,ROW(),$V$5:$V$1000,"Sub"),$Z62)))</f>
        <v/>
      </c>
      <c r="AE62" s="62">
        <f>IF($V62="","",IF(AND(ISNUMBER($G62),$G62&lt;=IF($S62=MesCiclo,InicioCiclo,$S62+MOD(2-WEEKDAY($S62),7))+20),1,IF(N($W62)&gt;0,AVERAGEIFS($AA$5:$AA$1000,$U$5:$U$1000,ROW(),$V$5:$V$1000,"Sub"),$AA62)))</f>
        <v/>
      </c>
      <c r="AF62" s="62">
        <f>IF($V62="","",IF(AND(ISNUMBER($G62),$G62&lt;=IF($S62=MesCiclo,InicioCiclo,$S62+MOD(2-WEEKDAY($S62),7))+27),1,IF(N($W62)&gt;0,AVERAGEIFS($AB$5:$AB$1000,$U$5:$U$1000,ROW(),$V$5:$V$1000,"Sub"),$AB62)))</f>
        <v/>
      </c>
      <c r="AG62" s="62">
        <f>IF($V62&lt;&gt;"Macro","",IF(COUNTIFS($S$5:$S$1000,$S62,$V$5:$V$1000,"Macro",$H$5:$H$1000,"&gt;0")=0,1/COUNTIFS($S$5:$S$1000,$S62,$V$5:$V$1000,"Macro"),IF(AND(ISNUMBER($H62),N($H62)&gt;0),$H62,SUMIFS($H$5:$H$1000,$S$5:$S$1000,$S62,$V$5:$V$1000,"Macro")/COUNTIFS($S$5:$S$1000,$S62,$V$5:$V$1000,"Macro",$H$5:$H$1000,"&gt;0"))/(COUNTIFS($S$5:$S$1000,$S62,$V$5:$V$1000,"Macro")*SUMIFS($H$5:$H$1000,$S$5:$S$1000,$S62,$V$5:$V$1000,"Macro")/COUNTIFS($S$5:$S$1000,$S62,$V$5:$V$1000,"Macro",$H$5:$H$1000,"&gt;0"))))</f>
        <v/>
      </c>
      <c r="AH62" s="62">
        <f>IF(NOT(AND($D62&lt;&gt;"",$V62="Macro")),"",IFERROR(CHOOSE(MATCH($D62,ListaPuestos,0),MATCH("[Jefatura] "&amp;$C62,'Cronograma R. Operacional'!$C$5:$C$1000,0),MATCH("[Jefatura] "&amp;$C62,'Cronograma R. Normativo'!$C$5:$C$1000,0),MATCH("[Jefatura] "&amp;$C62,'Cronograma R. Financiero'!$C$5:$C$1000,0),MATCH("[Jefatura] "&amp;$C62,'Cronograma Asistente Técnico'!$C$5:$C$1000,0)),0))</f>
        <v/>
      </c>
      <c r="AI62" s="62">
        <f>IF(AND(AND($D62&lt;&gt;"",$V62="Macro"),$S62=MesCiclo),COUNTIFS($D$5:$D62,$D62,$S$5:$S62,MesCiclo,$V$5:$V62,"Macro"),"")</f>
        <v/>
      </c>
      <c r="AJ62" s="62">
        <f>IF($AI62="","",$D62&amp;"|"&amp;$AI62)</f>
        <v/>
      </c>
      <c r="AK62" s="62">
        <f>IF(AND($D62&lt;&gt;"",$V62="Macro"),$D62&amp;"|"&amp;$C62,"")</f>
        <v/>
      </c>
      <c r="AL62" s="62">
        <f>""</f>
        <v/>
      </c>
      <c r="AM62" s="62">
        <f>IF(N($AL62)&gt;0,INDEX(rIni_ADM,$AL62),IF(ISNUMBER($E62),$E62,""))</f>
        <v/>
      </c>
      <c r="AN62" s="62">
        <f>IF(N($AL62)&gt;0,INDEX(rLim_ADM,$AL62),IF(ISNUMBER($F62),$F62,""))</f>
        <v/>
      </c>
    </row>
    <row r="63">
      <c r="A63" s="56">
        <f>IF(NOT((COUNTA($B63:$D63)+COUNTA($G63:$L63)+COUNTA($Q63))&gt;0),"",IF($V63="Macro",COUNTIFS($V$5:$V63,"Macro",$S$5:$S63,$S63),IF(N($U63)=0,"?",COUNTIFS(INDEX($V$5:$V$1000,1):INDEX($V$5:$V$1000,$U63-4),"Macro",INDEX($S$5:$S$1000,1):INDEX($S$5:$S$1000,$U63-4),INDEX($S$5:$S$1000,$U63-4))&amp;"."&amp;COUNTIFS($U$5:$U63,$U63,$V$5:$V63,"Sub"))))</f>
        <v/>
      </c>
      <c r="B63" s="57" t="n"/>
      <c r="C63" s="58" t="n"/>
      <c r="D63" s="58" t="n"/>
      <c r="E63" s="59" t="n"/>
      <c r="F63" s="59" t="n"/>
      <c r="G63" s="59" t="n"/>
      <c r="H63" s="60" t="n"/>
      <c r="I63" s="60" t="n"/>
      <c r="J63" s="60" t="n"/>
      <c r="K63" s="60" t="n"/>
      <c r="L63" s="60" t="n"/>
      <c r="M63" s="61">
        <f>IF(NOT((COUNTA($B63:$D63)+COUNTA($G63:$L63)+COUNTA($Q63))&gt;0),"",IF(AND($D63&lt;&gt;"",$V63="Macro"),IF(N($AH63)&gt;0,N(CHOOSE(MATCH($D63,ListaPuestos,0),INDEX('Cronograma R. Operacional'!$M$5:$M$1000,$AH63),INDEX('Cronograma R. Normativo'!$M$5:$M$1000,$AH63),INDEX('Cronograma R. Financiero'!$M$5:$M$1000,$AH63),INDEX('Cronograma Asistente Técnico'!$M$5:$M$1000,$AH63))),0),IF(ISNUMBER($G63),1,IF(N($W63)&gt;0,AVERAGEIFS($X$5:$X$1000,$U$5:$U$1000,ROW(),$V$5:$V$1000,"Sub"),$X63))))</f>
        <v/>
      </c>
      <c r="N63" s="56">
        <f>IF(OR($M63="",$V63="Sub"),"",IF($M63&gt;=1,"Completado",IF($M63&gt;0,"En curso","Pendiente")))</f>
        <v/>
      </c>
      <c r="O63" s="56">
        <f>IF(NOT((COUNTA($B63:$D63)+COUNTA($G63:$L63)+COUNTA($Q63))&gt;0),"",IF(AND(AND($D63&lt;&gt;"",$V63="Macro"),N($AH63)&gt;0),CHOOSE(MATCH($D63,ListaPuestos,0),INDEX('Cronograma R. Operacional'!$O$5:$O$1000,$AH63),INDEX('Cronograma R. Normativo'!$O$5:$O$1000,$AH63),INDEX('Cronograma R. Financiero'!$O$5:$O$1000,$AH63),INDEX('Cronograma Asistente Técnico'!$O$5:$O$1000,$AH63))&amp;"",IF(ISNUMBER($G63),IF(AND(ISNUMBER($AN63),$G63&gt;$AN63),"Cumplida con "&amp;($G63-$AN63)&amp;IF($G63-$AN63=1," día"," días")&amp;" de retraso","Cumplida"),IF(N($M63)&gt;=1,"Cumplida",IF(NOT(ISNUMBER($AN63)),"Sin fecha límite",IF($AN63&lt;FechaRef,"Vencida hace "&amp;(FechaRef-$AN63)&amp;IF(FechaRef-$AN63=1," día"," días"),IF($AN63=FechaRef,"Vence hoy",IF($AN63-FechaRef&lt;=DiasAlerta,"Vence en "&amp;($AN63-FechaRef)&amp;IF($AN63-FechaRef=1," día"," días"),"En plazo"))))))))</f>
        <v/>
      </c>
      <c r="P63" s="62">
        <f>IF(NOT((COUNTA($B63:$D63)+COUNTA($G63:$L63)+COUNTA($Q63))&gt;0),"",IF($D63="","Propia",IF($V63&lt;&gt;"Macro","Solo se delegan macroactividades",IF(N($AH63)&gt;0,"✔ Recibida por "&amp;$D63,"⚠ "&amp;$D63&amp;" aún no la agrega"))))</f>
        <v/>
      </c>
      <c r="Q63" s="58" t="n"/>
      <c r="R63" s="63">
        <f>IF(NOT((COUNTA($B63:$D63)+COUNTA($G63:$L63)+COUNTA($Q63))&gt;0),"",IF((IF($C63="","Falta el nombre de la actividad"&amp;" · ","")&amp;IF(AND($V63="Sub",N($U63)=0),"Subactividad sin macroactividad arriba"&amp;" · ","")&amp;IF($AM63="","Sin fecha de inicio"&amp;" · ","")&amp;IF($AN63="","Sin fecha límite"&amp;" · ","")&amp;IF(AND(LEFT($C63,11)="[Jefatura] ",N($AL63)=0),"No se encuentra en la hoja de la jefatura (elíjala de nuevo en la lista)"&amp;" · ","")&amp;IF(OR(AND($E63&lt;&gt;"",NOT(ISNUMBER($E63))),AND($F63&lt;&gt;"",NOT(ISNUMBER($F63))),AND($G63&lt;&gt;"",NOT(ISNUMBER($G63)))),"Fecha no válida"&amp;" · ","")&amp;IF(AND(ISNUMBER($AM63),ISNUMBER($AN63),$AM63&gt;$AN63),"Inicio posterior a fecha límite"&amp;" · ","")&amp;IF(AND($V63="Macro",$H63&lt;&gt;"",OR(NOT(ISNUMBER($H63)),$H63&lt;0,$H63&gt;1)),"Peso fuera de rango"&amp;" · ","")&amp;IF(AND($V63="Sub",$H63&lt;&gt;""),"Las subactividades no llevan peso (valen igual dentro de su macroactividad)"&amp;" · ","")&amp;IF(AND(N($W63)&gt;0,COUNT($I63:$L63)&gt;0),"Con subactividades: deje vacías las semanas (se calculan solas)"&amp;" · ","")&amp;IF((COUNTIF($I63:$L63,"&gt;1")+COUNTIF($I63:$L63,"&lt;0")+COUNTA($I63:$L63)-COUNT($I63:$L63))&gt;0,"Avance fuera de rango 0-100%"&amp;" · ","")&amp;IF(OR(AND($J63&lt;&gt;"",$J63&lt;$I63),AND($K63&lt;&gt;"",$K63&lt;MAX($I63:$J63)),AND($L63&lt;&gt;"",$L63&lt;MAX($I63:$K63))),"Avance semanal decreciente"&amp;" · ","")&amp;IF(AND(ISNUMBER($AN63),$AN63&lt;FechaRef,IF($V63="Sub",N($X63),N($M63))&lt;1),"Vencida"&amp;" · ","")&amp;IF(AND(ObsObligatoria="Sí",ISNUMBER($AN63),$AN63&lt;FechaRef,IF($V63="Sub",N($X63),N($M63))&lt;1,$Q63=""),"Vencida sin observación"&amp;" · ",""))="","✔ OK","⚠ "&amp;LEFT(IF($C63="","Falta el nombre de la actividad"&amp;" · ","")&amp;IF(AND($V63="Sub",N($U63)=0),"Subactividad sin macroactividad arriba"&amp;" · ","")&amp;IF($AM63="","Sin fecha de inicio"&amp;" · ","")&amp;IF($AN63="","Sin fecha límite"&amp;" · ","")&amp;IF(AND(LEFT($C63,11)="[Jefatura] ",N($AL63)=0),"No se encuentra en la hoja de la jefatura (elíjala de nuevo en la lista)"&amp;" · ","")&amp;IF(OR(AND($E63&lt;&gt;"",NOT(ISNUMBER($E63))),AND($F63&lt;&gt;"",NOT(ISNUMBER($F63))),AND($G63&lt;&gt;"",NOT(ISNUMBER($G63)))),"Fecha no válida"&amp;" · ","")&amp;IF(AND(ISNUMBER($AM63),ISNUMBER($AN63),$AM63&gt;$AN63),"Inicio posterior a fecha límite"&amp;" · ","")&amp;IF(AND($V63="Macro",$H63&lt;&gt;"",OR(NOT(ISNUMBER($H63)),$H63&lt;0,$H63&gt;1)),"Peso fuera de rango"&amp;" · ","")&amp;IF(AND($V63="Sub",$H63&lt;&gt;""),"Las subactividades no llevan peso (valen igual dentro de su macroactividad)"&amp;" · ","")&amp;IF(AND(N($W63)&gt;0,COUNT($I63:$L63)&gt;0),"Con subactividades: deje vacías las semanas (se calculan solas)"&amp;" · ","")&amp;IF((COUNTIF($I63:$L63,"&gt;1")+COUNTIF($I63:$L63,"&lt;0")+COUNTA($I63:$L63)-COUNT($I63:$L63))&gt;0,"Avance fuera de rango 0-100%"&amp;" · ","")&amp;IF(OR(AND($J63&lt;&gt;"",$J63&lt;$I63),AND($K63&lt;&gt;"",$K63&lt;MAX($I63:$J63)),AND($L63&lt;&gt;"",$L63&lt;MAX($I63:$K63))),"Avance semanal decreciente"&amp;" · ","")&amp;IF(AND(ISNUMBER($AN63),$AN63&lt;FechaRef,IF($V63="Sub",N($X63),N($M63))&lt;1),"Vencida"&amp;" · ","")&amp;IF(AND(ObsObligatoria="Sí",ISNUMBER($AN63),$AN63&lt;FechaRef,IF($V63="Sub",N($X63),N($M63))&lt;1,$Q63=""),"Vencida sin observación"&amp;" · ",""),LEN(IF($C63="","Falta el nombre de la actividad"&amp;" · ","")&amp;IF(AND($V63="Sub",N($U63)=0),"Subactividad sin macroactividad arriba"&amp;" · ","")&amp;IF($AM63="","Sin fecha de inicio"&amp;" · ","")&amp;IF($AN63="","Sin fecha límite"&amp;" · ","")&amp;IF(AND(LEFT($C63,11)="[Jefatura] ",N($AL63)=0),"No se encuentra en la hoja de la jefatura (elíjala de nuevo en la lista)"&amp;" · ","")&amp;IF(OR(AND($E63&lt;&gt;"",NOT(ISNUMBER($E63))),AND($F63&lt;&gt;"",NOT(ISNUMBER($F63))),AND($G63&lt;&gt;"",NOT(ISNUMBER($G63)))),"Fecha no válida"&amp;" · ","")&amp;IF(AND(ISNUMBER($AM63),ISNUMBER($AN63),$AM63&gt;$AN63),"Inicio posterior a fecha límite"&amp;" · ","")&amp;IF(AND($V63="Macro",$H63&lt;&gt;"",OR(NOT(ISNUMBER($H63)),$H63&lt;0,$H63&gt;1)),"Peso fuera de rango"&amp;" · ","")&amp;IF(AND($V63="Sub",$H63&lt;&gt;""),"Las subactividades no llevan peso (valen igual dentro de su macroactividad)"&amp;" · ","")&amp;IF(AND(N($W63)&gt;0,COUNT($I63:$L63)&gt;0),"Con subactividades: deje vacías las semanas (se calculan solas)"&amp;" · ","")&amp;IF((COUNTIF($I63:$L63,"&gt;1")+COUNTIF($I63:$L63,"&lt;0")+COUNTA($I63:$L63)-COUNT($I63:$L63))&gt;0,"Avance fuera de rango 0-100%"&amp;" · ","")&amp;IF(OR(AND($J63&lt;&gt;"",$J63&lt;$I63),AND($K63&lt;&gt;"",$K63&lt;MAX($I63:$J63)),AND($L63&lt;&gt;"",$L63&lt;MAX($I63:$K63))),"Avance semanal decreciente"&amp;" · ","")&amp;IF(AND(ISNUMBER($AN63),$AN63&lt;FechaRef,IF($V63="Sub",N($X63),N($M63))&lt;1),"Vencida"&amp;" · ","")&amp;IF(AND(ObsObligatoria="Sí",ISNUMBER($AN63),$AN63&lt;FechaRef,IF($V63="Sub",N($X63),N($M63))&lt;1,$Q63=""),"Vencida sin observación"&amp;" · ",""))-3)))</f>
        <v/>
      </c>
      <c r="S63" s="64">
        <f>IF(NOT((COUNTA($B63:$D63)+COUNTA($G63:$L63)+COUNTA($Q63))&gt;0),"",IF(AND($V63="Sub",N($U63)&gt;0),IF(ISNUMBER(INDEX($AM$5:$AM$1000,$U63-4)),DATE(YEAR(INDEX($AM$5:$AM$1000,$U63-4)),MONTH(INDEX($AM$5:$AM$1000,$U63-4)),1),IF(ISNUMBER(INDEX($AN$5:$AN$1000,$U63-4)),DATE(YEAR(INDEX($AN$5:$AN$1000,$U63-4)),MONTH(INDEX($AN$5:$AN$1000,$U63-4)),1),MesCiclo)),IF(ISNUMBER($AM63),DATE(YEAR($AM63),MONTH($AM63),1),IF(ISNUMBER($AN63),DATE(YEAR($AN63),MONTH($AN63),1),MesCiclo))))</f>
        <v/>
      </c>
      <c r="T63" s="62">
        <f>IF(OR($S63="",$S63&lt;&gt;MesCiclo,$V63&lt;&gt;"Macro"),"",COUNTIFS($S$5:$S63,MesCiclo,$V$5:$V63,"Macro"))</f>
        <v/>
      </c>
      <c r="U63" s="62">
        <f>IF($V63="","",IF($V63="Macro",ROW(),IFERROR(LOOKUP(2,1/($V$5:$V63="Macro"),ROW($V$5:$V63)),0)))</f>
        <v/>
      </c>
      <c r="V63" s="62">
        <f>IF(NOT((COUNTA($B63:$D63)+COUNTA($G63:$L63)+COUNTA($Q63))&gt;0),"",IF($B63="Subactividad","Sub","Macro"))</f>
        <v/>
      </c>
      <c r="W63" s="62">
        <f>IF($V63="Macro",COUNTIFS($U$5:$U$1000,ROW(),$V$5:$V$1000,"Sub"),"")</f>
        <v/>
      </c>
      <c r="X63" s="62">
        <f>IF($V63="","",IF(ISNUMBER($G63),1,IFERROR(LOOKUP(2,1/($I63:$L63&lt;&gt;""),$I63:$L63),0)))</f>
        <v/>
      </c>
      <c r="Y63" s="62">
        <f>IF($V63="","",IF(AND(ISNUMBER($G63),$G63&lt;=IF($S63=MesCiclo,InicioCiclo,$S63+MOD(2-WEEKDAY($S63),7))+6),1,IF(ISNUMBER($I63),$I63,0)))</f>
        <v/>
      </c>
      <c r="Z63" s="62">
        <f>IF($V63="","",IF(AND(ISNUMBER($G63),$G63&lt;=IF($S63=MesCiclo,InicioCiclo,$S63+MOD(2-WEEKDAY($S63),7))+13),1,IF(ISNUMBER($J63),$J63,$Y63)))</f>
        <v/>
      </c>
      <c r="AA63" s="62">
        <f>IF($V63="","",IF(AND(ISNUMBER($G63),$G63&lt;=IF($S63=MesCiclo,InicioCiclo,$S63+MOD(2-WEEKDAY($S63),7))+20),1,IF(ISNUMBER($K63),$K63,$Z63)))</f>
        <v/>
      </c>
      <c r="AB63" s="62">
        <f>IF($V63="","",IF(AND(ISNUMBER($G63),$G63&lt;=IF($S63=MesCiclo,InicioCiclo,$S63+MOD(2-WEEKDAY($S63),7))+27),1,IF(ISNUMBER($L63),$L63,$AA63)))</f>
        <v/>
      </c>
      <c r="AC63" s="62">
        <f>IF($V63="","",IF(AND(ISNUMBER($G63),$G63&lt;=IF($S63=MesCiclo,InicioCiclo,$S63+MOD(2-WEEKDAY($S63),7))+6),1,IF(N($W63)&gt;0,AVERAGEIFS($Y$5:$Y$1000,$U$5:$U$1000,ROW(),$V$5:$V$1000,"Sub"),$Y63)))</f>
        <v/>
      </c>
      <c r="AD63" s="62">
        <f>IF($V63="","",IF(AND(ISNUMBER($G63),$G63&lt;=IF($S63=MesCiclo,InicioCiclo,$S63+MOD(2-WEEKDAY($S63),7))+13),1,IF(N($W63)&gt;0,AVERAGEIFS($Z$5:$Z$1000,$U$5:$U$1000,ROW(),$V$5:$V$1000,"Sub"),$Z63)))</f>
        <v/>
      </c>
      <c r="AE63" s="62">
        <f>IF($V63="","",IF(AND(ISNUMBER($G63),$G63&lt;=IF($S63=MesCiclo,InicioCiclo,$S63+MOD(2-WEEKDAY($S63),7))+20),1,IF(N($W63)&gt;0,AVERAGEIFS($AA$5:$AA$1000,$U$5:$U$1000,ROW(),$V$5:$V$1000,"Sub"),$AA63)))</f>
        <v/>
      </c>
      <c r="AF63" s="62">
        <f>IF($V63="","",IF(AND(ISNUMBER($G63),$G63&lt;=IF($S63=MesCiclo,InicioCiclo,$S63+MOD(2-WEEKDAY($S63),7))+27),1,IF(N($W63)&gt;0,AVERAGEIFS($AB$5:$AB$1000,$U$5:$U$1000,ROW(),$V$5:$V$1000,"Sub"),$AB63)))</f>
        <v/>
      </c>
      <c r="AG63" s="62">
        <f>IF($V63&lt;&gt;"Macro","",IF(COUNTIFS($S$5:$S$1000,$S63,$V$5:$V$1000,"Macro",$H$5:$H$1000,"&gt;0")=0,1/COUNTIFS($S$5:$S$1000,$S63,$V$5:$V$1000,"Macro"),IF(AND(ISNUMBER($H63),N($H63)&gt;0),$H63,SUMIFS($H$5:$H$1000,$S$5:$S$1000,$S63,$V$5:$V$1000,"Macro")/COUNTIFS($S$5:$S$1000,$S63,$V$5:$V$1000,"Macro",$H$5:$H$1000,"&gt;0"))/(COUNTIFS($S$5:$S$1000,$S63,$V$5:$V$1000,"Macro")*SUMIFS($H$5:$H$1000,$S$5:$S$1000,$S63,$V$5:$V$1000,"Macro")/COUNTIFS($S$5:$S$1000,$S63,$V$5:$V$1000,"Macro",$H$5:$H$1000,"&gt;0"))))</f>
        <v/>
      </c>
      <c r="AH63" s="62">
        <f>IF(NOT(AND($D63&lt;&gt;"",$V63="Macro")),"",IFERROR(CHOOSE(MATCH($D63,ListaPuestos,0),MATCH("[Jefatura] "&amp;$C63,'Cronograma R. Operacional'!$C$5:$C$1000,0),MATCH("[Jefatura] "&amp;$C63,'Cronograma R. Normativo'!$C$5:$C$1000,0),MATCH("[Jefatura] "&amp;$C63,'Cronograma R. Financiero'!$C$5:$C$1000,0),MATCH("[Jefatura] "&amp;$C63,'Cronograma Asistente Técnico'!$C$5:$C$1000,0)),0))</f>
        <v/>
      </c>
      <c r="AI63" s="62">
        <f>IF(AND(AND($D63&lt;&gt;"",$V63="Macro"),$S63=MesCiclo),COUNTIFS($D$5:$D63,$D63,$S$5:$S63,MesCiclo,$V$5:$V63,"Macro"),"")</f>
        <v/>
      </c>
      <c r="AJ63" s="62">
        <f>IF($AI63="","",$D63&amp;"|"&amp;$AI63)</f>
        <v/>
      </c>
      <c r="AK63" s="62">
        <f>IF(AND($D63&lt;&gt;"",$V63="Macro"),$D63&amp;"|"&amp;$C63,"")</f>
        <v/>
      </c>
      <c r="AL63" s="62">
        <f>""</f>
        <v/>
      </c>
      <c r="AM63" s="62">
        <f>IF(N($AL63)&gt;0,INDEX(rIni_ADM,$AL63),IF(ISNUMBER($E63),$E63,""))</f>
        <v/>
      </c>
      <c r="AN63" s="62">
        <f>IF(N($AL63)&gt;0,INDEX(rLim_ADM,$AL63),IF(ISNUMBER($F63),$F63,""))</f>
        <v/>
      </c>
    </row>
    <row r="64">
      <c r="A64" s="56">
        <f>IF(NOT((COUNTA($B64:$D64)+COUNTA($G64:$L64)+COUNTA($Q64))&gt;0),"",IF($V64="Macro",COUNTIFS($V$5:$V64,"Macro",$S$5:$S64,$S64),IF(N($U64)=0,"?",COUNTIFS(INDEX($V$5:$V$1000,1):INDEX($V$5:$V$1000,$U64-4),"Macro",INDEX($S$5:$S$1000,1):INDEX($S$5:$S$1000,$U64-4),INDEX($S$5:$S$1000,$U64-4))&amp;"."&amp;COUNTIFS($U$5:$U64,$U64,$V$5:$V64,"Sub"))))</f>
        <v/>
      </c>
      <c r="B64" s="57" t="n"/>
      <c r="C64" s="58" t="n"/>
      <c r="D64" s="58" t="n"/>
      <c r="E64" s="59" t="n"/>
      <c r="F64" s="59" t="n"/>
      <c r="G64" s="59" t="n"/>
      <c r="H64" s="60" t="n"/>
      <c r="I64" s="60" t="n"/>
      <c r="J64" s="60" t="n"/>
      <c r="K64" s="60" t="n"/>
      <c r="L64" s="60" t="n"/>
      <c r="M64" s="61">
        <f>IF(NOT((COUNTA($B64:$D64)+COUNTA($G64:$L64)+COUNTA($Q64))&gt;0),"",IF(AND($D64&lt;&gt;"",$V64="Macro"),IF(N($AH64)&gt;0,N(CHOOSE(MATCH($D64,ListaPuestos,0),INDEX('Cronograma R. Operacional'!$M$5:$M$1000,$AH64),INDEX('Cronograma R. Normativo'!$M$5:$M$1000,$AH64),INDEX('Cronograma R. Financiero'!$M$5:$M$1000,$AH64),INDEX('Cronograma Asistente Técnico'!$M$5:$M$1000,$AH64))),0),IF(ISNUMBER($G64),1,IF(N($W64)&gt;0,AVERAGEIFS($X$5:$X$1000,$U$5:$U$1000,ROW(),$V$5:$V$1000,"Sub"),$X64))))</f>
        <v/>
      </c>
      <c r="N64" s="56">
        <f>IF(OR($M64="",$V64="Sub"),"",IF($M64&gt;=1,"Completado",IF($M64&gt;0,"En curso","Pendiente")))</f>
        <v/>
      </c>
      <c r="O64" s="56">
        <f>IF(NOT((COUNTA($B64:$D64)+COUNTA($G64:$L64)+COUNTA($Q64))&gt;0),"",IF(AND(AND($D64&lt;&gt;"",$V64="Macro"),N($AH64)&gt;0),CHOOSE(MATCH($D64,ListaPuestos,0),INDEX('Cronograma R. Operacional'!$O$5:$O$1000,$AH64),INDEX('Cronograma R. Normativo'!$O$5:$O$1000,$AH64),INDEX('Cronograma R. Financiero'!$O$5:$O$1000,$AH64),INDEX('Cronograma Asistente Técnico'!$O$5:$O$1000,$AH64))&amp;"",IF(ISNUMBER($G64),IF(AND(ISNUMBER($AN64),$G64&gt;$AN64),"Cumplida con "&amp;($G64-$AN64)&amp;IF($G64-$AN64=1," día"," días")&amp;" de retraso","Cumplida"),IF(N($M64)&gt;=1,"Cumplida",IF(NOT(ISNUMBER($AN64)),"Sin fecha límite",IF($AN64&lt;FechaRef,"Vencida hace "&amp;(FechaRef-$AN64)&amp;IF(FechaRef-$AN64=1," día"," días"),IF($AN64=FechaRef,"Vence hoy",IF($AN64-FechaRef&lt;=DiasAlerta,"Vence en "&amp;($AN64-FechaRef)&amp;IF($AN64-FechaRef=1," día"," días"),"En plazo"))))))))</f>
        <v/>
      </c>
      <c r="P64" s="62">
        <f>IF(NOT((COUNTA($B64:$D64)+COUNTA($G64:$L64)+COUNTA($Q64))&gt;0),"",IF($D64="","Propia",IF($V64&lt;&gt;"Macro","Solo se delegan macroactividades",IF(N($AH64)&gt;0,"✔ Recibida por "&amp;$D64,"⚠ "&amp;$D64&amp;" aún no la agrega"))))</f>
        <v/>
      </c>
      <c r="Q64" s="58" t="n"/>
      <c r="R64" s="63">
        <f>IF(NOT((COUNTA($B64:$D64)+COUNTA($G64:$L64)+COUNTA($Q64))&gt;0),"",IF((IF($C64="","Falta el nombre de la actividad"&amp;" · ","")&amp;IF(AND($V64="Sub",N($U64)=0),"Subactividad sin macroactividad arriba"&amp;" · ","")&amp;IF($AM64="","Sin fecha de inicio"&amp;" · ","")&amp;IF($AN64="","Sin fecha límite"&amp;" · ","")&amp;IF(AND(LEFT($C64,11)="[Jefatura] ",N($AL64)=0),"No se encuentra en la hoja de la jefatura (elíjala de nuevo en la lista)"&amp;" · ","")&amp;IF(OR(AND($E64&lt;&gt;"",NOT(ISNUMBER($E64))),AND($F64&lt;&gt;"",NOT(ISNUMBER($F64))),AND($G64&lt;&gt;"",NOT(ISNUMBER($G64)))),"Fecha no válida"&amp;" · ","")&amp;IF(AND(ISNUMBER($AM64),ISNUMBER($AN64),$AM64&gt;$AN64),"Inicio posterior a fecha límite"&amp;" · ","")&amp;IF(AND($V64="Macro",$H64&lt;&gt;"",OR(NOT(ISNUMBER($H64)),$H64&lt;0,$H64&gt;1)),"Peso fuera de rango"&amp;" · ","")&amp;IF(AND($V64="Sub",$H64&lt;&gt;""),"Las subactividades no llevan peso (valen igual dentro de su macroactividad)"&amp;" · ","")&amp;IF(AND(N($W64)&gt;0,COUNT($I64:$L64)&gt;0),"Con subactividades: deje vacías las semanas (se calculan solas)"&amp;" · ","")&amp;IF((COUNTIF($I64:$L64,"&gt;1")+COUNTIF($I64:$L64,"&lt;0")+COUNTA($I64:$L64)-COUNT($I64:$L64))&gt;0,"Avance fuera de rango 0-100%"&amp;" · ","")&amp;IF(OR(AND($J64&lt;&gt;"",$J64&lt;$I64),AND($K64&lt;&gt;"",$K64&lt;MAX($I64:$J64)),AND($L64&lt;&gt;"",$L64&lt;MAX($I64:$K64))),"Avance semanal decreciente"&amp;" · ","")&amp;IF(AND(ISNUMBER($AN64),$AN64&lt;FechaRef,IF($V64="Sub",N($X64),N($M64))&lt;1),"Vencida"&amp;" · ","")&amp;IF(AND(ObsObligatoria="Sí",ISNUMBER($AN64),$AN64&lt;FechaRef,IF($V64="Sub",N($X64),N($M64))&lt;1,$Q64=""),"Vencida sin observación"&amp;" · ",""))="","✔ OK","⚠ "&amp;LEFT(IF($C64="","Falta el nombre de la actividad"&amp;" · ","")&amp;IF(AND($V64="Sub",N($U64)=0),"Subactividad sin macroactividad arriba"&amp;" · ","")&amp;IF($AM64="","Sin fecha de inicio"&amp;" · ","")&amp;IF($AN64="","Sin fecha límite"&amp;" · ","")&amp;IF(AND(LEFT($C64,11)="[Jefatura] ",N($AL64)=0),"No se encuentra en la hoja de la jefatura (elíjala de nuevo en la lista)"&amp;" · ","")&amp;IF(OR(AND($E64&lt;&gt;"",NOT(ISNUMBER($E64))),AND($F64&lt;&gt;"",NOT(ISNUMBER($F64))),AND($G64&lt;&gt;"",NOT(ISNUMBER($G64)))),"Fecha no válida"&amp;" · ","")&amp;IF(AND(ISNUMBER($AM64),ISNUMBER($AN64),$AM64&gt;$AN64),"Inicio posterior a fecha límite"&amp;" · ","")&amp;IF(AND($V64="Macro",$H64&lt;&gt;"",OR(NOT(ISNUMBER($H64)),$H64&lt;0,$H64&gt;1)),"Peso fuera de rango"&amp;" · ","")&amp;IF(AND($V64="Sub",$H64&lt;&gt;""),"Las subactividades no llevan peso (valen igual dentro de su macroactividad)"&amp;" · ","")&amp;IF(AND(N($W64)&gt;0,COUNT($I64:$L64)&gt;0),"Con subactividades: deje vacías las semanas (se calculan solas)"&amp;" · ","")&amp;IF((COUNTIF($I64:$L64,"&gt;1")+COUNTIF($I64:$L64,"&lt;0")+COUNTA($I64:$L64)-COUNT($I64:$L64))&gt;0,"Avance fuera de rango 0-100%"&amp;" · ","")&amp;IF(OR(AND($J64&lt;&gt;"",$J64&lt;$I64),AND($K64&lt;&gt;"",$K64&lt;MAX($I64:$J64)),AND($L64&lt;&gt;"",$L64&lt;MAX($I64:$K64))),"Avance semanal decreciente"&amp;" · ","")&amp;IF(AND(ISNUMBER($AN64),$AN64&lt;FechaRef,IF($V64="Sub",N($X64),N($M64))&lt;1),"Vencida"&amp;" · ","")&amp;IF(AND(ObsObligatoria="Sí",ISNUMBER($AN64),$AN64&lt;FechaRef,IF($V64="Sub",N($X64),N($M64))&lt;1,$Q64=""),"Vencida sin observación"&amp;" · ",""),LEN(IF($C64="","Falta el nombre de la actividad"&amp;" · ","")&amp;IF(AND($V64="Sub",N($U64)=0),"Subactividad sin macroactividad arriba"&amp;" · ","")&amp;IF($AM64="","Sin fecha de inicio"&amp;" · ","")&amp;IF($AN64="","Sin fecha límite"&amp;" · ","")&amp;IF(AND(LEFT($C64,11)="[Jefatura] ",N($AL64)=0),"No se encuentra en la hoja de la jefatura (elíjala de nuevo en la lista)"&amp;" · ","")&amp;IF(OR(AND($E64&lt;&gt;"",NOT(ISNUMBER($E64))),AND($F64&lt;&gt;"",NOT(ISNUMBER($F64))),AND($G64&lt;&gt;"",NOT(ISNUMBER($G64)))),"Fecha no válida"&amp;" · ","")&amp;IF(AND(ISNUMBER($AM64),ISNUMBER($AN64),$AM64&gt;$AN64),"Inicio posterior a fecha límite"&amp;" · ","")&amp;IF(AND($V64="Macro",$H64&lt;&gt;"",OR(NOT(ISNUMBER($H64)),$H64&lt;0,$H64&gt;1)),"Peso fuera de rango"&amp;" · ","")&amp;IF(AND($V64="Sub",$H64&lt;&gt;""),"Las subactividades no llevan peso (valen igual dentro de su macroactividad)"&amp;" · ","")&amp;IF(AND(N($W64)&gt;0,COUNT($I64:$L64)&gt;0),"Con subactividades: deje vacías las semanas (se calculan solas)"&amp;" · ","")&amp;IF((COUNTIF($I64:$L64,"&gt;1")+COUNTIF($I64:$L64,"&lt;0")+COUNTA($I64:$L64)-COUNT($I64:$L64))&gt;0,"Avance fuera de rango 0-100%"&amp;" · ","")&amp;IF(OR(AND($J64&lt;&gt;"",$J64&lt;$I64),AND($K64&lt;&gt;"",$K64&lt;MAX($I64:$J64)),AND($L64&lt;&gt;"",$L64&lt;MAX($I64:$K64))),"Avance semanal decreciente"&amp;" · ","")&amp;IF(AND(ISNUMBER($AN64),$AN64&lt;FechaRef,IF($V64="Sub",N($X64),N($M64))&lt;1),"Vencida"&amp;" · ","")&amp;IF(AND(ObsObligatoria="Sí",ISNUMBER($AN64),$AN64&lt;FechaRef,IF($V64="Sub",N($X64),N($M64))&lt;1,$Q64=""),"Vencida sin observación"&amp;" · ",""))-3)))</f>
        <v/>
      </c>
      <c r="S64" s="64">
        <f>IF(NOT((COUNTA($B64:$D64)+COUNTA($G64:$L64)+COUNTA($Q64))&gt;0),"",IF(AND($V64="Sub",N($U64)&gt;0),IF(ISNUMBER(INDEX($AM$5:$AM$1000,$U64-4)),DATE(YEAR(INDEX($AM$5:$AM$1000,$U64-4)),MONTH(INDEX($AM$5:$AM$1000,$U64-4)),1),IF(ISNUMBER(INDEX($AN$5:$AN$1000,$U64-4)),DATE(YEAR(INDEX($AN$5:$AN$1000,$U64-4)),MONTH(INDEX($AN$5:$AN$1000,$U64-4)),1),MesCiclo)),IF(ISNUMBER($AM64),DATE(YEAR($AM64),MONTH($AM64),1),IF(ISNUMBER($AN64),DATE(YEAR($AN64),MONTH($AN64),1),MesCiclo))))</f>
        <v/>
      </c>
      <c r="T64" s="62">
        <f>IF(OR($S64="",$S64&lt;&gt;MesCiclo,$V64&lt;&gt;"Macro"),"",COUNTIFS($S$5:$S64,MesCiclo,$V$5:$V64,"Macro"))</f>
        <v/>
      </c>
      <c r="U64" s="62">
        <f>IF($V64="","",IF($V64="Macro",ROW(),IFERROR(LOOKUP(2,1/($V$5:$V64="Macro"),ROW($V$5:$V64)),0)))</f>
        <v/>
      </c>
      <c r="V64" s="62">
        <f>IF(NOT((COUNTA($B64:$D64)+COUNTA($G64:$L64)+COUNTA($Q64))&gt;0),"",IF($B64="Subactividad","Sub","Macro"))</f>
        <v/>
      </c>
      <c r="W64" s="62">
        <f>IF($V64="Macro",COUNTIFS($U$5:$U$1000,ROW(),$V$5:$V$1000,"Sub"),"")</f>
        <v/>
      </c>
      <c r="X64" s="62">
        <f>IF($V64="","",IF(ISNUMBER($G64),1,IFERROR(LOOKUP(2,1/($I64:$L64&lt;&gt;""),$I64:$L64),0)))</f>
        <v/>
      </c>
      <c r="Y64" s="62">
        <f>IF($V64="","",IF(AND(ISNUMBER($G64),$G64&lt;=IF($S64=MesCiclo,InicioCiclo,$S64+MOD(2-WEEKDAY($S64),7))+6),1,IF(ISNUMBER($I64),$I64,0)))</f>
        <v/>
      </c>
      <c r="Z64" s="62">
        <f>IF($V64="","",IF(AND(ISNUMBER($G64),$G64&lt;=IF($S64=MesCiclo,InicioCiclo,$S64+MOD(2-WEEKDAY($S64),7))+13),1,IF(ISNUMBER($J64),$J64,$Y64)))</f>
        <v/>
      </c>
      <c r="AA64" s="62">
        <f>IF($V64="","",IF(AND(ISNUMBER($G64),$G64&lt;=IF($S64=MesCiclo,InicioCiclo,$S64+MOD(2-WEEKDAY($S64),7))+20),1,IF(ISNUMBER($K64),$K64,$Z64)))</f>
        <v/>
      </c>
      <c r="AB64" s="62">
        <f>IF($V64="","",IF(AND(ISNUMBER($G64),$G64&lt;=IF($S64=MesCiclo,InicioCiclo,$S64+MOD(2-WEEKDAY($S64),7))+27),1,IF(ISNUMBER($L64),$L64,$AA64)))</f>
        <v/>
      </c>
      <c r="AC64" s="62">
        <f>IF($V64="","",IF(AND(ISNUMBER($G64),$G64&lt;=IF($S64=MesCiclo,InicioCiclo,$S64+MOD(2-WEEKDAY($S64),7))+6),1,IF(N($W64)&gt;0,AVERAGEIFS($Y$5:$Y$1000,$U$5:$U$1000,ROW(),$V$5:$V$1000,"Sub"),$Y64)))</f>
        <v/>
      </c>
      <c r="AD64" s="62">
        <f>IF($V64="","",IF(AND(ISNUMBER($G64),$G64&lt;=IF($S64=MesCiclo,InicioCiclo,$S64+MOD(2-WEEKDAY($S64),7))+13),1,IF(N($W64)&gt;0,AVERAGEIFS($Z$5:$Z$1000,$U$5:$U$1000,ROW(),$V$5:$V$1000,"Sub"),$Z64)))</f>
        <v/>
      </c>
      <c r="AE64" s="62">
        <f>IF($V64="","",IF(AND(ISNUMBER($G64),$G64&lt;=IF($S64=MesCiclo,InicioCiclo,$S64+MOD(2-WEEKDAY($S64),7))+20),1,IF(N($W64)&gt;0,AVERAGEIFS($AA$5:$AA$1000,$U$5:$U$1000,ROW(),$V$5:$V$1000,"Sub"),$AA64)))</f>
        <v/>
      </c>
      <c r="AF64" s="62">
        <f>IF($V64="","",IF(AND(ISNUMBER($G64),$G64&lt;=IF($S64=MesCiclo,InicioCiclo,$S64+MOD(2-WEEKDAY($S64),7))+27),1,IF(N($W64)&gt;0,AVERAGEIFS($AB$5:$AB$1000,$U$5:$U$1000,ROW(),$V$5:$V$1000,"Sub"),$AB64)))</f>
        <v/>
      </c>
      <c r="AG64" s="62">
        <f>IF($V64&lt;&gt;"Macro","",IF(COUNTIFS($S$5:$S$1000,$S64,$V$5:$V$1000,"Macro",$H$5:$H$1000,"&gt;0")=0,1/COUNTIFS($S$5:$S$1000,$S64,$V$5:$V$1000,"Macro"),IF(AND(ISNUMBER($H64),N($H64)&gt;0),$H64,SUMIFS($H$5:$H$1000,$S$5:$S$1000,$S64,$V$5:$V$1000,"Macro")/COUNTIFS($S$5:$S$1000,$S64,$V$5:$V$1000,"Macro",$H$5:$H$1000,"&gt;0"))/(COUNTIFS($S$5:$S$1000,$S64,$V$5:$V$1000,"Macro")*SUMIFS($H$5:$H$1000,$S$5:$S$1000,$S64,$V$5:$V$1000,"Macro")/COUNTIFS($S$5:$S$1000,$S64,$V$5:$V$1000,"Macro",$H$5:$H$1000,"&gt;0"))))</f>
        <v/>
      </c>
      <c r="AH64" s="62">
        <f>IF(NOT(AND($D64&lt;&gt;"",$V64="Macro")),"",IFERROR(CHOOSE(MATCH($D64,ListaPuestos,0),MATCH("[Jefatura] "&amp;$C64,'Cronograma R. Operacional'!$C$5:$C$1000,0),MATCH("[Jefatura] "&amp;$C64,'Cronograma R. Normativo'!$C$5:$C$1000,0),MATCH("[Jefatura] "&amp;$C64,'Cronograma R. Financiero'!$C$5:$C$1000,0),MATCH("[Jefatura] "&amp;$C64,'Cronograma Asistente Técnico'!$C$5:$C$1000,0)),0))</f>
        <v/>
      </c>
      <c r="AI64" s="62">
        <f>IF(AND(AND($D64&lt;&gt;"",$V64="Macro"),$S64=MesCiclo),COUNTIFS($D$5:$D64,$D64,$S$5:$S64,MesCiclo,$V$5:$V64,"Macro"),"")</f>
        <v/>
      </c>
      <c r="AJ64" s="62">
        <f>IF($AI64="","",$D64&amp;"|"&amp;$AI64)</f>
        <v/>
      </c>
      <c r="AK64" s="62">
        <f>IF(AND($D64&lt;&gt;"",$V64="Macro"),$D64&amp;"|"&amp;$C64,"")</f>
        <v/>
      </c>
      <c r="AL64" s="62">
        <f>""</f>
        <v/>
      </c>
      <c r="AM64" s="62">
        <f>IF(N($AL64)&gt;0,INDEX(rIni_ADM,$AL64),IF(ISNUMBER($E64),$E64,""))</f>
        <v/>
      </c>
      <c r="AN64" s="62">
        <f>IF(N($AL64)&gt;0,INDEX(rLim_ADM,$AL64),IF(ISNUMBER($F64),$F64,""))</f>
        <v/>
      </c>
    </row>
    <row r="65">
      <c r="A65" s="56">
        <f>IF(NOT((COUNTA($B65:$D65)+COUNTA($G65:$L65)+COUNTA($Q65))&gt;0),"",IF($V65="Macro",COUNTIFS($V$5:$V65,"Macro",$S$5:$S65,$S65),IF(N($U65)=0,"?",COUNTIFS(INDEX($V$5:$V$1000,1):INDEX($V$5:$V$1000,$U65-4),"Macro",INDEX($S$5:$S$1000,1):INDEX($S$5:$S$1000,$U65-4),INDEX($S$5:$S$1000,$U65-4))&amp;"."&amp;COUNTIFS($U$5:$U65,$U65,$V$5:$V65,"Sub"))))</f>
        <v/>
      </c>
      <c r="B65" s="57" t="n"/>
      <c r="C65" s="58" t="n"/>
      <c r="D65" s="58" t="n"/>
      <c r="E65" s="59" t="n"/>
      <c r="F65" s="59" t="n"/>
      <c r="G65" s="59" t="n"/>
      <c r="H65" s="60" t="n"/>
      <c r="I65" s="60" t="n"/>
      <c r="J65" s="60" t="n"/>
      <c r="K65" s="60" t="n"/>
      <c r="L65" s="60" t="n"/>
      <c r="M65" s="61">
        <f>IF(NOT((COUNTA($B65:$D65)+COUNTA($G65:$L65)+COUNTA($Q65))&gt;0),"",IF(AND($D65&lt;&gt;"",$V65="Macro"),IF(N($AH65)&gt;0,N(CHOOSE(MATCH($D65,ListaPuestos,0),INDEX('Cronograma R. Operacional'!$M$5:$M$1000,$AH65),INDEX('Cronograma R. Normativo'!$M$5:$M$1000,$AH65),INDEX('Cronograma R. Financiero'!$M$5:$M$1000,$AH65),INDEX('Cronograma Asistente Técnico'!$M$5:$M$1000,$AH65))),0),IF(ISNUMBER($G65),1,IF(N($W65)&gt;0,AVERAGEIFS($X$5:$X$1000,$U$5:$U$1000,ROW(),$V$5:$V$1000,"Sub"),$X65))))</f>
        <v/>
      </c>
      <c r="N65" s="56">
        <f>IF(OR($M65="",$V65="Sub"),"",IF($M65&gt;=1,"Completado",IF($M65&gt;0,"En curso","Pendiente")))</f>
        <v/>
      </c>
      <c r="O65" s="56">
        <f>IF(NOT((COUNTA($B65:$D65)+COUNTA($G65:$L65)+COUNTA($Q65))&gt;0),"",IF(AND(AND($D65&lt;&gt;"",$V65="Macro"),N($AH65)&gt;0),CHOOSE(MATCH($D65,ListaPuestos,0),INDEX('Cronograma R. Operacional'!$O$5:$O$1000,$AH65),INDEX('Cronograma R. Normativo'!$O$5:$O$1000,$AH65),INDEX('Cronograma R. Financiero'!$O$5:$O$1000,$AH65),INDEX('Cronograma Asistente Técnico'!$O$5:$O$1000,$AH65))&amp;"",IF(ISNUMBER($G65),IF(AND(ISNUMBER($AN65),$G65&gt;$AN65),"Cumplida con "&amp;($G65-$AN65)&amp;IF($G65-$AN65=1," día"," días")&amp;" de retraso","Cumplida"),IF(N($M65)&gt;=1,"Cumplida",IF(NOT(ISNUMBER($AN65)),"Sin fecha límite",IF($AN65&lt;FechaRef,"Vencida hace "&amp;(FechaRef-$AN65)&amp;IF(FechaRef-$AN65=1," día"," días"),IF($AN65=FechaRef,"Vence hoy",IF($AN65-FechaRef&lt;=DiasAlerta,"Vence en "&amp;($AN65-FechaRef)&amp;IF($AN65-FechaRef=1," día"," días"),"En plazo"))))))))</f>
        <v/>
      </c>
      <c r="P65" s="62">
        <f>IF(NOT((COUNTA($B65:$D65)+COUNTA($G65:$L65)+COUNTA($Q65))&gt;0),"",IF($D65="","Propia",IF($V65&lt;&gt;"Macro","Solo se delegan macroactividades",IF(N($AH65)&gt;0,"✔ Recibida por "&amp;$D65,"⚠ "&amp;$D65&amp;" aún no la agrega"))))</f>
        <v/>
      </c>
      <c r="Q65" s="58" t="n"/>
      <c r="R65" s="63">
        <f>IF(NOT((COUNTA($B65:$D65)+COUNTA($G65:$L65)+COUNTA($Q65))&gt;0),"",IF((IF($C65="","Falta el nombre de la actividad"&amp;" · ","")&amp;IF(AND($V65="Sub",N($U65)=0),"Subactividad sin macroactividad arriba"&amp;" · ","")&amp;IF($AM65="","Sin fecha de inicio"&amp;" · ","")&amp;IF($AN65="","Sin fecha límite"&amp;" · ","")&amp;IF(AND(LEFT($C65,11)="[Jefatura] ",N($AL65)=0),"No se encuentra en la hoja de la jefatura (elíjala de nuevo en la lista)"&amp;" · ","")&amp;IF(OR(AND($E65&lt;&gt;"",NOT(ISNUMBER($E65))),AND($F65&lt;&gt;"",NOT(ISNUMBER($F65))),AND($G65&lt;&gt;"",NOT(ISNUMBER($G65)))),"Fecha no válida"&amp;" · ","")&amp;IF(AND(ISNUMBER($AM65),ISNUMBER($AN65),$AM65&gt;$AN65),"Inicio posterior a fecha límite"&amp;" · ","")&amp;IF(AND($V65="Macro",$H65&lt;&gt;"",OR(NOT(ISNUMBER($H65)),$H65&lt;0,$H65&gt;1)),"Peso fuera de rango"&amp;" · ","")&amp;IF(AND($V65="Sub",$H65&lt;&gt;""),"Las subactividades no llevan peso (valen igual dentro de su macroactividad)"&amp;" · ","")&amp;IF(AND(N($W65)&gt;0,COUNT($I65:$L65)&gt;0),"Con subactividades: deje vacías las semanas (se calculan solas)"&amp;" · ","")&amp;IF((COUNTIF($I65:$L65,"&gt;1")+COUNTIF($I65:$L65,"&lt;0")+COUNTA($I65:$L65)-COUNT($I65:$L65))&gt;0,"Avance fuera de rango 0-100%"&amp;" · ","")&amp;IF(OR(AND($J65&lt;&gt;"",$J65&lt;$I65),AND($K65&lt;&gt;"",$K65&lt;MAX($I65:$J65)),AND($L65&lt;&gt;"",$L65&lt;MAX($I65:$K65))),"Avance semanal decreciente"&amp;" · ","")&amp;IF(AND(ISNUMBER($AN65),$AN65&lt;FechaRef,IF($V65="Sub",N($X65),N($M65))&lt;1),"Vencida"&amp;" · ","")&amp;IF(AND(ObsObligatoria="Sí",ISNUMBER($AN65),$AN65&lt;FechaRef,IF($V65="Sub",N($X65),N($M65))&lt;1,$Q65=""),"Vencida sin observación"&amp;" · ",""))="","✔ OK","⚠ "&amp;LEFT(IF($C65="","Falta el nombre de la actividad"&amp;" · ","")&amp;IF(AND($V65="Sub",N($U65)=0),"Subactividad sin macroactividad arriba"&amp;" · ","")&amp;IF($AM65="","Sin fecha de inicio"&amp;" · ","")&amp;IF($AN65="","Sin fecha límite"&amp;" · ","")&amp;IF(AND(LEFT($C65,11)="[Jefatura] ",N($AL65)=0),"No se encuentra en la hoja de la jefatura (elíjala de nuevo en la lista)"&amp;" · ","")&amp;IF(OR(AND($E65&lt;&gt;"",NOT(ISNUMBER($E65))),AND($F65&lt;&gt;"",NOT(ISNUMBER($F65))),AND($G65&lt;&gt;"",NOT(ISNUMBER($G65)))),"Fecha no válida"&amp;" · ","")&amp;IF(AND(ISNUMBER($AM65),ISNUMBER($AN65),$AM65&gt;$AN65),"Inicio posterior a fecha límite"&amp;" · ","")&amp;IF(AND($V65="Macro",$H65&lt;&gt;"",OR(NOT(ISNUMBER($H65)),$H65&lt;0,$H65&gt;1)),"Peso fuera de rango"&amp;" · ","")&amp;IF(AND($V65="Sub",$H65&lt;&gt;""),"Las subactividades no llevan peso (valen igual dentro de su macroactividad)"&amp;" · ","")&amp;IF(AND(N($W65)&gt;0,COUNT($I65:$L65)&gt;0),"Con subactividades: deje vacías las semanas (se calculan solas)"&amp;" · ","")&amp;IF((COUNTIF($I65:$L65,"&gt;1")+COUNTIF($I65:$L65,"&lt;0")+COUNTA($I65:$L65)-COUNT($I65:$L65))&gt;0,"Avance fuera de rango 0-100%"&amp;" · ","")&amp;IF(OR(AND($J65&lt;&gt;"",$J65&lt;$I65),AND($K65&lt;&gt;"",$K65&lt;MAX($I65:$J65)),AND($L65&lt;&gt;"",$L65&lt;MAX($I65:$K65))),"Avance semanal decreciente"&amp;" · ","")&amp;IF(AND(ISNUMBER($AN65),$AN65&lt;FechaRef,IF($V65="Sub",N($X65),N($M65))&lt;1),"Vencida"&amp;" · ","")&amp;IF(AND(ObsObligatoria="Sí",ISNUMBER($AN65),$AN65&lt;FechaRef,IF($V65="Sub",N($X65),N($M65))&lt;1,$Q65=""),"Vencida sin observación"&amp;" · ",""),LEN(IF($C65="","Falta el nombre de la actividad"&amp;" · ","")&amp;IF(AND($V65="Sub",N($U65)=0),"Subactividad sin macroactividad arriba"&amp;" · ","")&amp;IF($AM65="","Sin fecha de inicio"&amp;" · ","")&amp;IF($AN65="","Sin fecha límite"&amp;" · ","")&amp;IF(AND(LEFT($C65,11)="[Jefatura] ",N($AL65)=0),"No se encuentra en la hoja de la jefatura (elíjala de nuevo en la lista)"&amp;" · ","")&amp;IF(OR(AND($E65&lt;&gt;"",NOT(ISNUMBER($E65))),AND($F65&lt;&gt;"",NOT(ISNUMBER($F65))),AND($G65&lt;&gt;"",NOT(ISNUMBER($G65)))),"Fecha no válida"&amp;" · ","")&amp;IF(AND(ISNUMBER($AM65),ISNUMBER($AN65),$AM65&gt;$AN65),"Inicio posterior a fecha límite"&amp;" · ","")&amp;IF(AND($V65="Macro",$H65&lt;&gt;"",OR(NOT(ISNUMBER($H65)),$H65&lt;0,$H65&gt;1)),"Peso fuera de rango"&amp;" · ","")&amp;IF(AND($V65="Sub",$H65&lt;&gt;""),"Las subactividades no llevan peso (valen igual dentro de su macroactividad)"&amp;" · ","")&amp;IF(AND(N($W65)&gt;0,COUNT($I65:$L65)&gt;0),"Con subactividades: deje vacías las semanas (se calculan solas)"&amp;" · ","")&amp;IF((COUNTIF($I65:$L65,"&gt;1")+COUNTIF($I65:$L65,"&lt;0")+COUNTA($I65:$L65)-COUNT($I65:$L65))&gt;0,"Avance fuera de rango 0-100%"&amp;" · ","")&amp;IF(OR(AND($J65&lt;&gt;"",$J65&lt;$I65),AND($K65&lt;&gt;"",$K65&lt;MAX($I65:$J65)),AND($L65&lt;&gt;"",$L65&lt;MAX($I65:$K65))),"Avance semanal decreciente"&amp;" · ","")&amp;IF(AND(ISNUMBER($AN65),$AN65&lt;FechaRef,IF($V65="Sub",N($X65),N($M65))&lt;1),"Vencida"&amp;" · ","")&amp;IF(AND(ObsObligatoria="Sí",ISNUMBER($AN65),$AN65&lt;FechaRef,IF($V65="Sub",N($X65),N($M65))&lt;1,$Q65=""),"Vencida sin observación"&amp;" · ",""))-3)))</f>
        <v/>
      </c>
      <c r="S65" s="64">
        <f>IF(NOT((COUNTA($B65:$D65)+COUNTA($G65:$L65)+COUNTA($Q65))&gt;0),"",IF(AND($V65="Sub",N($U65)&gt;0),IF(ISNUMBER(INDEX($AM$5:$AM$1000,$U65-4)),DATE(YEAR(INDEX($AM$5:$AM$1000,$U65-4)),MONTH(INDEX($AM$5:$AM$1000,$U65-4)),1),IF(ISNUMBER(INDEX($AN$5:$AN$1000,$U65-4)),DATE(YEAR(INDEX($AN$5:$AN$1000,$U65-4)),MONTH(INDEX($AN$5:$AN$1000,$U65-4)),1),MesCiclo)),IF(ISNUMBER($AM65),DATE(YEAR($AM65),MONTH($AM65),1),IF(ISNUMBER($AN65),DATE(YEAR($AN65),MONTH($AN65),1),MesCiclo))))</f>
        <v/>
      </c>
      <c r="T65" s="62">
        <f>IF(OR($S65="",$S65&lt;&gt;MesCiclo,$V65&lt;&gt;"Macro"),"",COUNTIFS($S$5:$S65,MesCiclo,$V$5:$V65,"Macro"))</f>
        <v/>
      </c>
      <c r="U65" s="62">
        <f>IF($V65="","",IF($V65="Macro",ROW(),IFERROR(LOOKUP(2,1/($V$5:$V65="Macro"),ROW($V$5:$V65)),0)))</f>
        <v/>
      </c>
      <c r="V65" s="62">
        <f>IF(NOT((COUNTA($B65:$D65)+COUNTA($G65:$L65)+COUNTA($Q65))&gt;0),"",IF($B65="Subactividad","Sub","Macro"))</f>
        <v/>
      </c>
      <c r="W65" s="62">
        <f>IF($V65="Macro",COUNTIFS($U$5:$U$1000,ROW(),$V$5:$V$1000,"Sub"),"")</f>
        <v/>
      </c>
      <c r="X65" s="62">
        <f>IF($V65="","",IF(ISNUMBER($G65),1,IFERROR(LOOKUP(2,1/($I65:$L65&lt;&gt;""),$I65:$L65),0)))</f>
        <v/>
      </c>
      <c r="Y65" s="62">
        <f>IF($V65="","",IF(AND(ISNUMBER($G65),$G65&lt;=IF($S65=MesCiclo,InicioCiclo,$S65+MOD(2-WEEKDAY($S65),7))+6),1,IF(ISNUMBER($I65),$I65,0)))</f>
        <v/>
      </c>
      <c r="Z65" s="62">
        <f>IF($V65="","",IF(AND(ISNUMBER($G65),$G65&lt;=IF($S65=MesCiclo,InicioCiclo,$S65+MOD(2-WEEKDAY($S65),7))+13),1,IF(ISNUMBER($J65),$J65,$Y65)))</f>
        <v/>
      </c>
      <c r="AA65" s="62">
        <f>IF($V65="","",IF(AND(ISNUMBER($G65),$G65&lt;=IF($S65=MesCiclo,InicioCiclo,$S65+MOD(2-WEEKDAY($S65),7))+20),1,IF(ISNUMBER($K65),$K65,$Z65)))</f>
        <v/>
      </c>
      <c r="AB65" s="62">
        <f>IF($V65="","",IF(AND(ISNUMBER($G65),$G65&lt;=IF($S65=MesCiclo,InicioCiclo,$S65+MOD(2-WEEKDAY($S65),7))+27),1,IF(ISNUMBER($L65),$L65,$AA65)))</f>
        <v/>
      </c>
      <c r="AC65" s="62">
        <f>IF($V65="","",IF(AND(ISNUMBER($G65),$G65&lt;=IF($S65=MesCiclo,InicioCiclo,$S65+MOD(2-WEEKDAY($S65),7))+6),1,IF(N($W65)&gt;0,AVERAGEIFS($Y$5:$Y$1000,$U$5:$U$1000,ROW(),$V$5:$V$1000,"Sub"),$Y65)))</f>
        <v/>
      </c>
      <c r="AD65" s="62">
        <f>IF($V65="","",IF(AND(ISNUMBER($G65),$G65&lt;=IF($S65=MesCiclo,InicioCiclo,$S65+MOD(2-WEEKDAY($S65),7))+13),1,IF(N($W65)&gt;0,AVERAGEIFS($Z$5:$Z$1000,$U$5:$U$1000,ROW(),$V$5:$V$1000,"Sub"),$Z65)))</f>
        <v/>
      </c>
      <c r="AE65" s="62">
        <f>IF($V65="","",IF(AND(ISNUMBER($G65),$G65&lt;=IF($S65=MesCiclo,InicioCiclo,$S65+MOD(2-WEEKDAY($S65),7))+20),1,IF(N($W65)&gt;0,AVERAGEIFS($AA$5:$AA$1000,$U$5:$U$1000,ROW(),$V$5:$V$1000,"Sub"),$AA65)))</f>
        <v/>
      </c>
      <c r="AF65" s="62">
        <f>IF($V65="","",IF(AND(ISNUMBER($G65),$G65&lt;=IF($S65=MesCiclo,InicioCiclo,$S65+MOD(2-WEEKDAY($S65),7))+27),1,IF(N($W65)&gt;0,AVERAGEIFS($AB$5:$AB$1000,$U$5:$U$1000,ROW(),$V$5:$V$1000,"Sub"),$AB65)))</f>
        <v/>
      </c>
      <c r="AG65" s="62">
        <f>IF($V65&lt;&gt;"Macro","",IF(COUNTIFS($S$5:$S$1000,$S65,$V$5:$V$1000,"Macro",$H$5:$H$1000,"&gt;0")=0,1/COUNTIFS($S$5:$S$1000,$S65,$V$5:$V$1000,"Macro"),IF(AND(ISNUMBER($H65),N($H65)&gt;0),$H65,SUMIFS($H$5:$H$1000,$S$5:$S$1000,$S65,$V$5:$V$1000,"Macro")/COUNTIFS($S$5:$S$1000,$S65,$V$5:$V$1000,"Macro",$H$5:$H$1000,"&gt;0"))/(COUNTIFS($S$5:$S$1000,$S65,$V$5:$V$1000,"Macro")*SUMIFS($H$5:$H$1000,$S$5:$S$1000,$S65,$V$5:$V$1000,"Macro")/COUNTIFS($S$5:$S$1000,$S65,$V$5:$V$1000,"Macro",$H$5:$H$1000,"&gt;0"))))</f>
        <v/>
      </c>
      <c r="AH65" s="62">
        <f>IF(NOT(AND($D65&lt;&gt;"",$V65="Macro")),"",IFERROR(CHOOSE(MATCH($D65,ListaPuestos,0),MATCH("[Jefatura] "&amp;$C65,'Cronograma R. Operacional'!$C$5:$C$1000,0),MATCH("[Jefatura] "&amp;$C65,'Cronograma R. Normativo'!$C$5:$C$1000,0),MATCH("[Jefatura] "&amp;$C65,'Cronograma R. Financiero'!$C$5:$C$1000,0),MATCH("[Jefatura] "&amp;$C65,'Cronograma Asistente Técnico'!$C$5:$C$1000,0)),0))</f>
        <v/>
      </c>
      <c r="AI65" s="62">
        <f>IF(AND(AND($D65&lt;&gt;"",$V65="Macro"),$S65=MesCiclo),COUNTIFS($D$5:$D65,$D65,$S$5:$S65,MesCiclo,$V$5:$V65,"Macro"),"")</f>
        <v/>
      </c>
      <c r="AJ65" s="62">
        <f>IF($AI65="","",$D65&amp;"|"&amp;$AI65)</f>
        <v/>
      </c>
      <c r="AK65" s="62">
        <f>IF(AND($D65&lt;&gt;"",$V65="Macro"),$D65&amp;"|"&amp;$C65,"")</f>
        <v/>
      </c>
      <c r="AL65" s="62">
        <f>""</f>
        <v/>
      </c>
      <c r="AM65" s="62">
        <f>IF(N($AL65)&gt;0,INDEX(rIni_ADM,$AL65),IF(ISNUMBER($E65),$E65,""))</f>
        <v/>
      </c>
      <c r="AN65" s="62">
        <f>IF(N($AL65)&gt;0,INDEX(rLim_ADM,$AL65),IF(ISNUMBER($F65),$F65,""))</f>
        <v/>
      </c>
    </row>
    <row r="66">
      <c r="A66" s="56">
        <f>IF(NOT((COUNTA($B66:$D66)+COUNTA($G66:$L66)+COUNTA($Q66))&gt;0),"",IF($V66="Macro",COUNTIFS($V$5:$V66,"Macro",$S$5:$S66,$S66),IF(N($U66)=0,"?",COUNTIFS(INDEX($V$5:$V$1000,1):INDEX($V$5:$V$1000,$U66-4),"Macro",INDEX($S$5:$S$1000,1):INDEX($S$5:$S$1000,$U66-4),INDEX($S$5:$S$1000,$U66-4))&amp;"."&amp;COUNTIFS($U$5:$U66,$U66,$V$5:$V66,"Sub"))))</f>
        <v/>
      </c>
      <c r="B66" s="57" t="n"/>
      <c r="C66" s="58" t="n"/>
      <c r="D66" s="58" t="n"/>
      <c r="E66" s="59" t="n"/>
      <c r="F66" s="59" t="n"/>
      <c r="G66" s="59" t="n"/>
      <c r="H66" s="60" t="n"/>
      <c r="I66" s="60" t="n"/>
      <c r="J66" s="60" t="n"/>
      <c r="K66" s="60" t="n"/>
      <c r="L66" s="60" t="n"/>
      <c r="M66" s="61">
        <f>IF(NOT((COUNTA($B66:$D66)+COUNTA($G66:$L66)+COUNTA($Q66))&gt;0),"",IF(AND($D66&lt;&gt;"",$V66="Macro"),IF(N($AH66)&gt;0,N(CHOOSE(MATCH($D66,ListaPuestos,0),INDEX('Cronograma R. Operacional'!$M$5:$M$1000,$AH66),INDEX('Cronograma R. Normativo'!$M$5:$M$1000,$AH66),INDEX('Cronograma R. Financiero'!$M$5:$M$1000,$AH66),INDEX('Cronograma Asistente Técnico'!$M$5:$M$1000,$AH66))),0),IF(ISNUMBER($G66),1,IF(N($W66)&gt;0,AVERAGEIFS($X$5:$X$1000,$U$5:$U$1000,ROW(),$V$5:$V$1000,"Sub"),$X66))))</f>
        <v/>
      </c>
      <c r="N66" s="56">
        <f>IF(OR($M66="",$V66="Sub"),"",IF($M66&gt;=1,"Completado",IF($M66&gt;0,"En curso","Pendiente")))</f>
        <v/>
      </c>
      <c r="O66" s="56">
        <f>IF(NOT((COUNTA($B66:$D66)+COUNTA($G66:$L66)+COUNTA($Q66))&gt;0),"",IF(AND(AND($D66&lt;&gt;"",$V66="Macro"),N($AH66)&gt;0),CHOOSE(MATCH($D66,ListaPuestos,0),INDEX('Cronograma R. Operacional'!$O$5:$O$1000,$AH66),INDEX('Cronograma R. Normativo'!$O$5:$O$1000,$AH66),INDEX('Cronograma R. Financiero'!$O$5:$O$1000,$AH66),INDEX('Cronograma Asistente Técnico'!$O$5:$O$1000,$AH66))&amp;"",IF(ISNUMBER($G66),IF(AND(ISNUMBER($AN66),$G66&gt;$AN66),"Cumplida con "&amp;($G66-$AN66)&amp;IF($G66-$AN66=1," día"," días")&amp;" de retraso","Cumplida"),IF(N($M66)&gt;=1,"Cumplida",IF(NOT(ISNUMBER($AN66)),"Sin fecha límite",IF($AN66&lt;FechaRef,"Vencida hace "&amp;(FechaRef-$AN66)&amp;IF(FechaRef-$AN66=1," día"," días"),IF($AN66=FechaRef,"Vence hoy",IF($AN66-FechaRef&lt;=DiasAlerta,"Vence en "&amp;($AN66-FechaRef)&amp;IF($AN66-FechaRef=1," día"," días"),"En plazo"))))))))</f>
        <v/>
      </c>
      <c r="P66" s="62">
        <f>IF(NOT((COUNTA($B66:$D66)+COUNTA($G66:$L66)+COUNTA($Q66))&gt;0),"",IF($D66="","Propia",IF($V66&lt;&gt;"Macro","Solo se delegan macroactividades",IF(N($AH66)&gt;0,"✔ Recibida por "&amp;$D66,"⚠ "&amp;$D66&amp;" aún no la agrega"))))</f>
        <v/>
      </c>
      <c r="Q66" s="58" t="n"/>
      <c r="R66" s="63">
        <f>IF(NOT((COUNTA($B66:$D66)+COUNTA($G66:$L66)+COUNTA($Q66))&gt;0),"",IF((IF($C66="","Falta el nombre de la actividad"&amp;" · ","")&amp;IF(AND($V66="Sub",N($U66)=0),"Subactividad sin macroactividad arriba"&amp;" · ","")&amp;IF($AM66="","Sin fecha de inicio"&amp;" · ","")&amp;IF($AN66="","Sin fecha límite"&amp;" · ","")&amp;IF(AND(LEFT($C66,11)="[Jefatura] ",N($AL66)=0),"No se encuentra en la hoja de la jefatura (elíjala de nuevo en la lista)"&amp;" · ","")&amp;IF(OR(AND($E66&lt;&gt;"",NOT(ISNUMBER($E66))),AND($F66&lt;&gt;"",NOT(ISNUMBER($F66))),AND($G66&lt;&gt;"",NOT(ISNUMBER($G66)))),"Fecha no válida"&amp;" · ","")&amp;IF(AND(ISNUMBER($AM66),ISNUMBER($AN66),$AM66&gt;$AN66),"Inicio posterior a fecha límite"&amp;" · ","")&amp;IF(AND($V66="Macro",$H66&lt;&gt;"",OR(NOT(ISNUMBER($H66)),$H66&lt;0,$H66&gt;1)),"Peso fuera de rango"&amp;" · ","")&amp;IF(AND($V66="Sub",$H66&lt;&gt;""),"Las subactividades no llevan peso (valen igual dentro de su macroactividad)"&amp;" · ","")&amp;IF(AND(N($W66)&gt;0,COUNT($I66:$L66)&gt;0),"Con subactividades: deje vacías las semanas (se calculan solas)"&amp;" · ","")&amp;IF((COUNTIF($I66:$L66,"&gt;1")+COUNTIF($I66:$L66,"&lt;0")+COUNTA($I66:$L66)-COUNT($I66:$L66))&gt;0,"Avance fuera de rango 0-100%"&amp;" · ","")&amp;IF(OR(AND($J66&lt;&gt;"",$J66&lt;$I66),AND($K66&lt;&gt;"",$K66&lt;MAX($I66:$J66)),AND($L66&lt;&gt;"",$L66&lt;MAX($I66:$K66))),"Avance semanal decreciente"&amp;" · ","")&amp;IF(AND(ISNUMBER($AN66),$AN66&lt;FechaRef,IF($V66="Sub",N($X66),N($M66))&lt;1),"Vencida"&amp;" · ","")&amp;IF(AND(ObsObligatoria="Sí",ISNUMBER($AN66),$AN66&lt;FechaRef,IF($V66="Sub",N($X66),N($M66))&lt;1,$Q66=""),"Vencida sin observación"&amp;" · ",""))="","✔ OK","⚠ "&amp;LEFT(IF($C66="","Falta el nombre de la actividad"&amp;" · ","")&amp;IF(AND($V66="Sub",N($U66)=0),"Subactividad sin macroactividad arriba"&amp;" · ","")&amp;IF($AM66="","Sin fecha de inicio"&amp;" · ","")&amp;IF($AN66="","Sin fecha límite"&amp;" · ","")&amp;IF(AND(LEFT($C66,11)="[Jefatura] ",N($AL66)=0),"No se encuentra en la hoja de la jefatura (elíjala de nuevo en la lista)"&amp;" · ","")&amp;IF(OR(AND($E66&lt;&gt;"",NOT(ISNUMBER($E66))),AND($F66&lt;&gt;"",NOT(ISNUMBER($F66))),AND($G66&lt;&gt;"",NOT(ISNUMBER($G66)))),"Fecha no válida"&amp;" · ","")&amp;IF(AND(ISNUMBER($AM66),ISNUMBER($AN66),$AM66&gt;$AN66),"Inicio posterior a fecha límite"&amp;" · ","")&amp;IF(AND($V66="Macro",$H66&lt;&gt;"",OR(NOT(ISNUMBER($H66)),$H66&lt;0,$H66&gt;1)),"Peso fuera de rango"&amp;" · ","")&amp;IF(AND($V66="Sub",$H66&lt;&gt;""),"Las subactividades no llevan peso (valen igual dentro de su macroactividad)"&amp;" · ","")&amp;IF(AND(N($W66)&gt;0,COUNT($I66:$L66)&gt;0),"Con subactividades: deje vacías las semanas (se calculan solas)"&amp;" · ","")&amp;IF((COUNTIF($I66:$L66,"&gt;1")+COUNTIF($I66:$L66,"&lt;0")+COUNTA($I66:$L66)-COUNT($I66:$L66))&gt;0,"Avance fuera de rango 0-100%"&amp;" · ","")&amp;IF(OR(AND($J66&lt;&gt;"",$J66&lt;$I66),AND($K66&lt;&gt;"",$K66&lt;MAX($I66:$J66)),AND($L66&lt;&gt;"",$L66&lt;MAX($I66:$K66))),"Avance semanal decreciente"&amp;" · ","")&amp;IF(AND(ISNUMBER($AN66),$AN66&lt;FechaRef,IF($V66="Sub",N($X66),N($M66))&lt;1),"Vencida"&amp;" · ","")&amp;IF(AND(ObsObligatoria="Sí",ISNUMBER($AN66),$AN66&lt;FechaRef,IF($V66="Sub",N($X66),N($M66))&lt;1,$Q66=""),"Vencida sin observación"&amp;" · ",""),LEN(IF($C66="","Falta el nombre de la actividad"&amp;" · ","")&amp;IF(AND($V66="Sub",N($U66)=0),"Subactividad sin macroactividad arriba"&amp;" · ","")&amp;IF($AM66="","Sin fecha de inicio"&amp;" · ","")&amp;IF($AN66="","Sin fecha límite"&amp;" · ","")&amp;IF(AND(LEFT($C66,11)="[Jefatura] ",N($AL66)=0),"No se encuentra en la hoja de la jefatura (elíjala de nuevo en la lista)"&amp;" · ","")&amp;IF(OR(AND($E66&lt;&gt;"",NOT(ISNUMBER($E66))),AND($F66&lt;&gt;"",NOT(ISNUMBER($F66))),AND($G66&lt;&gt;"",NOT(ISNUMBER($G66)))),"Fecha no válida"&amp;" · ","")&amp;IF(AND(ISNUMBER($AM66),ISNUMBER($AN66),$AM66&gt;$AN66),"Inicio posterior a fecha límite"&amp;" · ","")&amp;IF(AND($V66="Macro",$H66&lt;&gt;"",OR(NOT(ISNUMBER($H66)),$H66&lt;0,$H66&gt;1)),"Peso fuera de rango"&amp;" · ","")&amp;IF(AND($V66="Sub",$H66&lt;&gt;""),"Las subactividades no llevan peso (valen igual dentro de su macroactividad)"&amp;" · ","")&amp;IF(AND(N($W66)&gt;0,COUNT($I66:$L66)&gt;0),"Con subactividades: deje vacías las semanas (se calculan solas)"&amp;" · ","")&amp;IF((COUNTIF($I66:$L66,"&gt;1")+COUNTIF($I66:$L66,"&lt;0")+COUNTA($I66:$L66)-COUNT($I66:$L66))&gt;0,"Avance fuera de rango 0-100%"&amp;" · ","")&amp;IF(OR(AND($J66&lt;&gt;"",$J66&lt;$I66),AND($K66&lt;&gt;"",$K66&lt;MAX($I66:$J66)),AND($L66&lt;&gt;"",$L66&lt;MAX($I66:$K66))),"Avance semanal decreciente"&amp;" · ","")&amp;IF(AND(ISNUMBER($AN66),$AN66&lt;FechaRef,IF($V66="Sub",N($X66),N($M66))&lt;1),"Vencida"&amp;" · ","")&amp;IF(AND(ObsObligatoria="Sí",ISNUMBER($AN66),$AN66&lt;FechaRef,IF($V66="Sub",N($X66),N($M66))&lt;1,$Q66=""),"Vencida sin observación"&amp;" · ",""))-3)))</f>
        <v/>
      </c>
      <c r="S66" s="64">
        <f>IF(NOT((COUNTA($B66:$D66)+COUNTA($G66:$L66)+COUNTA($Q66))&gt;0),"",IF(AND($V66="Sub",N($U66)&gt;0),IF(ISNUMBER(INDEX($AM$5:$AM$1000,$U66-4)),DATE(YEAR(INDEX($AM$5:$AM$1000,$U66-4)),MONTH(INDEX($AM$5:$AM$1000,$U66-4)),1),IF(ISNUMBER(INDEX($AN$5:$AN$1000,$U66-4)),DATE(YEAR(INDEX($AN$5:$AN$1000,$U66-4)),MONTH(INDEX($AN$5:$AN$1000,$U66-4)),1),MesCiclo)),IF(ISNUMBER($AM66),DATE(YEAR($AM66),MONTH($AM66),1),IF(ISNUMBER($AN66),DATE(YEAR($AN66),MONTH($AN66),1),MesCiclo))))</f>
        <v/>
      </c>
      <c r="T66" s="62">
        <f>IF(OR($S66="",$S66&lt;&gt;MesCiclo,$V66&lt;&gt;"Macro"),"",COUNTIFS($S$5:$S66,MesCiclo,$V$5:$V66,"Macro"))</f>
        <v/>
      </c>
      <c r="U66" s="62">
        <f>IF($V66="","",IF($V66="Macro",ROW(),IFERROR(LOOKUP(2,1/($V$5:$V66="Macro"),ROW($V$5:$V66)),0)))</f>
        <v/>
      </c>
      <c r="V66" s="62">
        <f>IF(NOT((COUNTA($B66:$D66)+COUNTA($G66:$L66)+COUNTA($Q66))&gt;0),"",IF($B66="Subactividad","Sub","Macro"))</f>
        <v/>
      </c>
      <c r="W66" s="62">
        <f>IF($V66="Macro",COUNTIFS($U$5:$U$1000,ROW(),$V$5:$V$1000,"Sub"),"")</f>
        <v/>
      </c>
      <c r="X66" s="62">
        <f>IF($V66="","",IF(ISNUMBER($G66),1,IFERROR(LOOKUP(2,1/($I66:$L66&lt;&gt;""),$I66:$L66),0)))</f>
        <v/>
      </c>
      <c r="Y66" s="62">
        <f>IF($V66="","",IF(AND(ISNUMBER($G66),$G66&lt;=IF($S66=MesCiclo,InicioCiclo,$S66+MOD(2-WEEKDAY($S66),7))+6),1,IF(ISNUMBER($I66),$I66,0)))</f>
        <v/>
      </c>
      <c r="Z66" s="62">
        <f>IF($V66="","",IF(AND(ISNUMBER($G66),$G66&lt;=IF($S66=MesCiclo,InicioCiclo,$S66+MOD(2-WEEKDAY($S66),7))+13),1,IF(ISNUMBER($J66),$J66,$Y66)))</f>
        <v/>
      </c>
      <c r="AA66" s="62">
        <f>IF($V66="","",IF(AND(ISNUMBER($G66),$G66&lt;=IF($S66=MesCiclo,InicioCiclo,$S66+MOD(2-WEEKDAY($S66),7))+20),1,IF(ISNUMBER($K66),$K66,$Z66)))</f>
        <v/>
      </c>
      <c r="AB66" s="62">
        <f>IF($V66="","",IF(AND(ISNUMBER($G66),$G66&lt;=IF($S66=MesCiclo,InicioCiclo,$S66+MOD(2-WEEKDAY($S66),7))+27),1,IF(ISNUMBER($L66),$L66,$AA66)))</f>
        <v/>
      </c>
      <c r="AC66" s="62">
        <f>IF($V66="","",IF(AND(ISNUMBER($G66),$G66&lt;=IF($S66=MesCiclo,InicioCiclo,$S66+MOD(2-WEEKDAY($S66),7))+6),1,IF(N($W66)&gt;0,AVERAGEIFS($Y$5:$Y$1000,$U$5:$U$1000,ROW(),$V$5:$V$1000,"Sub"),$Y66)))</f>
        <v/>
      </c>
      <c r="AD66" s="62">
        <f>IF($V66="","",IF(AND(ISNUMBER($G66),$G66&lt;=IF($S66=MesCiclo,InicioCiclo,$S66+MOD(2-WEEKDAY($S66),7))+13),1,IF(N($W66)&gt;0,AVERAGEIFS($Z$5:$Z$1000,$U$5:$U$1000,ROW(),$V$5:$V$1000,"Sub"),$Z66)))</f>
        <v/>
      </c>
      <c r="AE66" s="62">
        <f>IF($V66="","",IF(AND(ISNUMBER($G66),$G66&lt;=IF($S66=MesCiclo,InicioCiclo,$S66+MOD(2-WEEKDAY($S66),7))+20),1,IF(N($W66)&gt;0,AVERAGEIFS($AA$5:$AA$1000,$U$5:$U$1000,ROW(),$V$5:$V$1000,"Sub"),$AA66)))</f>
        <v/>
      </c>
      <c r="AF66" s="62">
        <f>IF($V66="","",IF(AND(ISNUMBER($G66),$G66&lt;=IF($S66=MesCiclo,InicioCiclo,$S66+MOD(2-WEEKDAY($S66),7))+27),1,IF(N($W66)&gt;0,AVERAGEIFS($AB$5:$AB$1000,$U$5:$U$1000,ROW(),$V$5:$V$1000,"Sub"),$AB66)))</f>
        <v/>
      </c>
      <c r="AG66" s="62">
        <f>IF($V66&lt;&gt;"Macro","",IF(COUNTIFS($S$5:$S$1000,$S66,$V$5:$V$1000,"Macro",$H$5:$H$1000,"&gt;0")=0,1/COUNTIFS($S$5:$S$1000,$S66,$V$5:$V$1000,"Macro"),IF(AND(ISNUMBER($H66),N($H66)&gt;0),$H66,SUMIFS($H$5:$H$1000,$S$5:$S$1000,$S66,$V$5:$V$1000,"Macro")/COUNTIFS($S$5:$S$1000,$S66,$V$5:$V$1000,"Macro",$H$5:$H$1000,"&gt;0"))/(COUNTIFS($S$5:$S$1000,$S66,$V$5:$V$1000,"Macro")*SUMIFS($H$5:$H$1000,$S$5:$S$1000,$S66,$V$5:$V$1000,"Macro")/COUNTIFS($S$5:$S$1000,$S66,$V$5:$V$1000,"Macro",$H$5:$H$1000,"&gt;0"))))</f>
        <v/>
      </c>
      <c r="AH66" s="62">
        <f>IF(NOT(AND($D66&lt;&gt;"",$V66="Macro")),"",IFERROR(CHOOSE(MATCH($D66,ListaPuestos,0),MATCH("[Jefatura] "&amp;$C66,'Cronograma R. Operacional'!$C$5:$C$1000,0),MATCH("[Jefatura] "&amp;$C66,'Cronograma R. Normativo'!$C$5:$C$1000,0),MATCH("[Jefatura] "&amp;$C66,'Cronograma R. Financiero'!$C$5:$C$1000,0),MATCH("[Jefatura] "&amp;$C66,'Cronograma Asistente Técnico'!$C$5:$C$1000,0)),0))</f>
        <v/>
      </c>
      <c r="AI66" s="62">
        <f>IF(AND(AND($D66&lt;&gt;"",$V66="Macro"),$S66=MesCiclo),COUNTIFS($D$5:$D66,$D66,$S$5:$S66,MesCiclo,$V$5:$V66,"Macro"),"")</f>
        <v/>
      </c>
      <c r="AJ66" s="62">
        <f>IF($AI66="","",$D66&amp;"|"&amp;$AI66)</f>
        <v/>
      </c>
      <c r="AK66" s="62">
        <f>IF(AND($D66&lt;&gt;"",$V66="Macro"),$D66&amp;"|"&amp;$C66,"")</f>
        <v/>
      </c>
      <c r="AL66" s="62">
        <f>""</f>
        <v/>
      </c>
      <c r="AM66" s="62">
        <f>IF(N($AL66)&gt;0,INDEX(rIni_ADM,$AL66),IF(ISNUMBER($E66),$E66,""))</f>
        <v/>
      </c>
      <c r="AN66" s="62">
        <f>IF(N($AL66)&gt;0,INDEX(rLim_ADM,$AL66),IF(ISNUMBER($F66),$F66,""))</f>
        <v/>
      </c>
    </row>
    <row r="67">
      <c r="A67" s="56">
        <f>IF(NOT((COUNTA($B67:$D67)+COUNTA($G67:$L67)+COUNTA($Q67))&gt;0),"",IF($V67="Macro",COUNTIFS($V$5:$V67,"Macro",$S$5:$S67,$S67),IF(N($U67)=0,"?",COUNTIFS(INDEX($V$5:$V$1000,1):INDEX($V$5:$V$1000,$U67-4),"Macro",INDEX($S$5:$S$1000,1):INDEX($S$5:$S$1000,$U67-4),INDEX($S$5:$S$1000,$U67-4))&amp;"."&amp;COUNTIFS($U$5:$U67,$U67,$V$5:$V67,"Sub"))))</f>
        <v/>
      </c>
      <c r="B67" s="57" t="n"/>
      <c r="C67" s="58" t="n"/>
      <c r="D67" s="58" t="n"/>
      <c r="E67" s="59" t="n"/>
      <c r="F67" s="59" t="n"/>
      <c r="G67" s="59" t="n"/>
      <c r="H67" s="60" t="n"/>
      <c r="I67" s="60" t="n"/>
      <c r="J67" s="60" t="n"/>
      <c r="K67" s="60" t="n"/>
      <c r="L67" s="60" t="n"/>
      <c r="M67" s="61">
        <f>IF(NOT((COUNTA($B67:$D67)+COUNTA($G67:$L67)+COUNTA($Q67))&gt;0),"",IF(AND($D67&lt;&gt;"",$V67="Macro"),IF(N($AH67)&gt;0,N(CHOOSE(MATCH($D67,ListaPuestos,0),INDEX('Cronograma R. Operacional'!$M$5:$M$1000,$AH67),INDEX('Cronograma R. Normativo'!$M$5:$M$1000,$AH67),INDEX('Cronograma R. Financiero'!$M$5:$M$1000,$AH67),INDEX('Cronograma Asistente Técnico'!$M$5:$M$1000,$AH67))),0),IF(ISNUMBER($G67),1,IF(N($W67)&gt;0,AVERAGEIFS($X$5:$X$1000,$U$5:$U$1000,ROW(),$V$5:$V$1000,"Sub"),$X67))))</f>
        <v/>
      </c>
      <c r="N67" s="56">
        <f>IF(OR($M67="",$V67="Sub"),"",IF($M67&gt;=1,"Completado",IF($M67&gt;0,"En curso","Pendiente")))</f>
        <v/>
      </c>
      <c r="O67" s="56">
        <f>IF(NOT((COUNTA($B67:$D67)+COUNTA($G67:$L67)+COUNTA($Q67))&gt;0),"",IF(AND(AND($D67&lt;&gt;"",$V67="Macro"),N($AH67)&gt;0),CHOOSE(MATCH($D67,ListaPuestos,0),INDEX('Cronograma R. Operacional'!$O$5:$O$1000,$AH67),INDEX('Cronograma R. Normativo'!$O$5:$O$1000,$AH67),INDEX('Cronograma R. Financiero'!$O$5:$O$1000,$AH67),INDEX('Cronograma Asistente Técnico'!$O$5:$O$1000,$AH67))&amp;"",IF(ISNUMBER($G67),IF(AND(ISNUMBER($AN67),$G67&gt;$AN67),"Cumplida con "&amp;($G67-$AN67)&amp;IF($G67-$AN67=1," día"," días")&amp;" de retraso","Cumplida"),IF(N($M67)&gt;=1,"Cumplida",IF(NOT(ISNUMBER($AN67)),"Sin fecha límite",IF($AN67&lt;FechaRef,"Vencida hace "&amp;(FechaRef-$AN67)&amp;IF(FechaRef-$AN67=1," día"," días"),IF($AN67=FechaRef,"Vence hoy",IF($AN67-FechaRef&lt;=DiasAlerta,"Vence en "&amp;($AN67-FechaRef)&amp;IF($AN67-FechaRef=1," día"," días"),"En plazo"))))))))</f>
        <v/>
      </c>
      <c r="P67" s="62">
        <f>IF(NOT((COUNTA($B67:$D67)+COUNTA($G67:$L67)+COUNTA($Q67))&gt;0),"",IF($D67="","Propia",IF($V67&lt;&gt;"Macro","Solo se delegan macroactividades",IF(N($AH67)&gt;0,"✔ Recibida por "&amp;$D67,"⚠ "&amp;$D67&amp;" aún no la agrega"))))</f>
        <v/>
      </c>
      <c r="Q67" s="58" t="n"/>
      <c r="R67" s="63">
        <f>IF(NOT((COUNTA($B67:$D67)+COUNTA($G67:$L67)+COUNTA($Q67))&gt;0),"",IF((IF($C67="","Falta el nombre de la actividad"&amp;" · ","")&amp;IF(AND($V67="Sub",N($U67)=0),"Subactividad sin macroactividad arriba"&amp;" · ","")&amp;IF($AM67="","Sin fecha de inicio"&amp;" · ","")&amp;IF($AN67="","Sin fecha límite"&amp;" · ","")&amp;IF(AND(LEFT($C67,11)="[Jefatura] ",N($AL67)=0),"No se encuentra en la hoja de la jefatura (elíjala de nuevo en la lista)"&amp;" · ","")&amp;IF(OR(AND($E67&lt;&gt;"",NOT(ISNUMBER($E67))),AND($F67&lt;&gt;"",NOT(ISNUMBER($F67))),AND($G67&lt;&gt;"",NOT(ISNUMBER($G67)))),"Fecha no válida"&amp;" · ","")&amp;IF(AND(ISNUMBER($AM67),ISNUMBER($AN67),$AM67&gt;$AN67),"Inicio posterior a fecha límite"&amp;" · ","")&amp;IF(AND($V67="Macro",$H67&lt;&gt;"",OR(NOT(ISNUMBER($H67)),$H67&lt;0,$H67&gt;1)),"Peso fuera de rango"&amp;" · ","")&amp;IF(AND($V67="Sub",$H67&lt;&gt;""),"Las subactividades no llevan peso (valen igual dentro de su macroactividad)"&amp;" · ","")&amp;IF(AND(N($W67)&gt;0,COUNT($I67:$L67)&gt;0),"Con subactividades: deje vacías las semanas (se calculan solas)"&amp;" · ","")&amp;IF((COUNTIF($I67:$L67,"&gt;1")+COUNTIF($I67:$L67,"&lt;0")+COUNTA($I67:$L67)-COUNT($I67:$L67))&gt;0,"Avance fuera de rango 0-100%"&amp;" · ","")&amp;IF(OR(AND($J67&lt;&gt;"",$J67&lt;$I67),AND($K67&lt;&gt;"",$K67&lt;MAX($I67:$J67)),AND($L67&lt;&gt;"",$L67&lt;MAX($I67:$K67))),"Avance semanal decreciente"&amp;" · ","")&amp;IF(AND(ISNUMBER($AN67),$AN67&lt;FechaRef,IF($V67="Sub",N($X67),N($M67))&lt;1),"Vencida"&amp;" · ","")&amp;IF(AND(ObsObligatoria="Sí",ISNUMBER($AN67),$AN67&lt;FechaRef,IF($V67="Sub",N($X67),N($M67))&lt;1,$Q67=""),"Vencida sin observación"&amp;" · ",""))="","✔ OK","⚠ "&amp;LEFT(IF($C67="","Falta el nombre de la actividad"&amp;" · ","")&amp;IF(AND($V67="Sub",N($U67)=0),"Subactividad sin macroactividad arriba"&amp;" · ","")&amp;IF($AM67="","Sin fecha de inicio"&amp;" · ","")&amp;IF($AN67="","Sin fecha límite"&amp;" · ","")&amp;IF(AND(LEFT($C67,11)="[Jefatura] ",N($AL67)=0),"No se encuentra en la hoja de la jefatura (elíjala de nuevo en la lista)"&amp;" · ","")&amp;IF(OR(AND($E67&lt;&gt;"",NOT(ISNUMBER($E67))),AND($F67&lt;&gt;"",NOT(ISNUMBER($F67))),AND($G67&lt;&gt;"",NOT(ISNUMBER($G67)))),"Fecha no válida"&amp;" · ","")&amp;IF(AND(ISNUMBER($AM67),ISNUMBER($AN67),$AM67&gt;$AN67),"Inicio posterior a fecha límite"&amp;" · ","")&amp;IF(AND($V67="Macro",$H67&lt;&gt;"",OR(NOT(ISNUMBER($H67)),$H67&lt;0,$H67&gt;1)),"Peso fuera de rango"&amp;" · ","")&amp;IF(AND($V67="Sub",$H67&lt;&gt;""),"Las subactividades no llevan peso (valen igual dentro de su macroactividad)"&amp;" · ","")&amp;IF(AND(N($W67)&gt;0,COUNT($I67:$L67)&gt;0),"Con subactividades: deje vacías las semanas (se calculan solas)"&amp;" · ","")&amp;IF((COUNTIF($I67:$L67,"&gt;1")+COUNTIF($I67:$L67,"&lt;0")+COUNTA($I67:$L67)-COUNT($I67:$L67))&gt;0,"Avance fuera de rango 0-100%"&amp;" · ","")&amp;IF(OR(AND($J67&lt;&gt;"",$J67&lt;$I67),AND($K67&lt;&gt;"",$K67&lt;MAX($I67:$J67)),AND($L67&lt;&gt;"",$L67&lt;MAX($I67:$K67))),"Avance semanal decreciente"&amp;" · ","")&amp;IF(AND(ISNUMBER($AN67),$AN67&lt;FechaRef,IF($V67="Sub",N($X67),N($M67))&lt;1),"Vencida"&amp;" · ","")&amp;IF(AND(ObsObligatoria="Sí",ISNUMBER($AN67),$AN67&lt;FechaRef,IF($V67="Sub",N($X67),N($M67))&lt;1,$Q67=""),"Vencida sin observación"&amp;" · ",""),LEN(IF($C67="","Falta el nombre de la actividad"&amp;" · ","")&amp;IF(AND($V67="Sub",N($U67)=0),"Subactividad sin macroactividad arriba"&amp;" · ","")&amp;IF($AM67="","Sin fecha de inicio"&amp;" · ","")&amp;IF($AN67="","Sin fecha límite"&amp;" · ","")&amp;IF(AND(LEFT($C67,11)="[Jefatura] ",N($AL67)=0),"No se encuentra en la hoja de la jefatura (elíjala de nuevo en la lista)"&amp;" · ","")&amp;IF(OR(AND($E67&lt;&gt;"",NOT(ISNUMBER($E67))),AND($F67&lt;&gt;"",NOT(ISNUMBER($F67))),AND($G67&lt;&gt;"",NOT(ISNUMBER($G67)))),"Fecha no válida"&amp;" · ","")&amp;IF(AND(ISNUMBER($AM67),ISNUMBER($AN67),$AM67&gt;$AN67),"Inicio posterior a fecha límite"&amp;" · ","")&amp;IF(AND($V67="Macro",$H67&lt;&gt;"",OR(NOT(ISNUMBER($H67)),$H67&lt;0,$H67&gt;1)),"Peso fuera de rango"&amp;" · ","")&amp;IF(AND($V67="Sub",$H67&lt;&gt;""),"Las subactividades no llevan peso (valen igual dentro de su macroactividad)"&amp;" · ","")&amp;IF(AND(N($W67)&gt;0,COUNT($I67:$L67)&gt;0),"Con subactividades: deje vacías las semanas (se calculan solas)"&amp;" · ","")&amp;IF((COUNTIF($I67:$L67,"&gt;1")+COUNTIF($I67:$L67,"&lt;0")+COUNTA($I67:$L67)-COUNT($I67:$L67))&gt;0,"Avance fuera de rango 0-100%"&amp;" · ","")&amp;IF(OR(AND($J67&lt;&gt;"",$J67&lt;$I67),AND($K67&lt;&gt;"",$K67&lt;MAX($I67:$J67)),AND($L67&lt;&gt;"",$L67&lt;MAX($I67:$K67))),"Avance semanal decreciente"&amp;" · ","")&amp;IF(AND(ISNUMBER($AN67),$AN67&lt;FechaRef,IF($V67="Sub",N($X67),N($M67))&lt;1),"Vencida"&amp;" · ","")&amp;IF(AND(ObsObligatoria="Sí",ISNUMBER($AN67),$AN67&lt;FechaRef,IF($V67="Sub",N($X67),N($M67))&lt;1,$Q67=""),"Vencida sin observación"&amp;" · ",""))-3)))</f>
        <v/>
      </c>
      <c r="S67" s="64">
        <f>IF(NOT((COUNTA($B67:$D67)+COUNTA($G67:$L67)+COUNTA($Q67))&gt;0),"",IF(AND($V67="Sub",N($U67)&gt;0),IF(ISNUMBER(INDEX($AM$5:$AM$1000,$U67-4)),DATE(YEAR(INDEX($AM$5:$AM$1000,$U67-4)),MONTH(INDEX($AM$5:$AM$1000,$U67-4)),1),IF(ISNUMBER(INDEX($AN$5:$AN$1000,$U67-4)),DATE(YEAR(INDEX($AN$5:$AN$1000,$U67-4)),MONTH(INDEX($AN$5:$AN$1000,$U67-4)),1),MesCiclo)),IF(ISNUMBER($AM67),DATE(YEAR($AM67),MONTH($AM67),1),IF(ISNUMBER($AN67),DATE(YEAR($AN67),MONTH($AN67),1),MesCiclo))))</f>
        <v/>
      </c>
      <c r="T67" s="62">
        <f>IF(OR($S67="",$S67&lt;&gt;MesCiclo,$V67&lt;&gt;"Macro"),"",COUNTIFS($S$5:$S67,MesCiclo,$V$5:$V67,"Macro"))</f>
        <v/>
      </c>
      <c r="U67" s="62">
        <f>IF($V67="","",IF($V67="Macro",ROW(),IFERROR(LOOKUP(2,1/($V$5:$V67="Macro"),ROW($V$5:$V67)),0)))</f>
        <v/>
      </c>
      <c r="V67" s="62">
        <f>IF(NOT((COUNTA($B67:$D67)+COUNTA($G67:$L67)+COUNTA($Q67))&gt;0),"",IF($B67="Subactividad","Sub","Macro"))</f>
        <v/>
      </c>
      <c r="W67" s="62">
        <f>IF($V67="Macro",COUNTIFS($U$5:$U$1000,ROW(),$V$5:$V$1000,"Sub"),"")</f>
        <v/>
      </c>
      <c r="X67" s="62">
        <f>IF($V67="","",IF(ISNUMBER($G67),1,IFERROR(LOOKUP(2,1/($I67:$L67&lt;&gt;""),$I67:$L67),0)))</f>
        <v/>
      </c>
      <c r="Y67" s="62">
        <f>IF($V67="","",IF(AND(ISNUMBER($G67),$G67&lt;=IF($S67=MesCiclo,InicioCiclo,$S67+MOD(2-WEEKDAY($S67),7))+6),1,IF(ISNUMBER($I67),$I67,0)))</f>
        <v/>
      </c>
      <c r="Z67" s="62">
        <f>IF($V67="","",IF(AND(ISNUMBER($G67),$G67&lt;=IF($S67=MesCiclo,InicioCiclo,$S67+MOD(2-WEEKDAY($S67),7))+13),1,IF(ISNUMBER($J67),$J67,$Y67)))</f>
        <v/>
      </c>
      <c r="AA67" s="62">
        <f>IF($V67="","",IF(AND(ISNUMBER($G67),$G67&lt;=IF($S67=MesCiclo,InicioCiclo,$S67+MOD(2-WEEKDAY($S67),7))+20),1,IF(ISNUMBER($K67),$K67,$Z67)))</f>
        <v/>
      </c>
      <c r="AB67" s="62">
        <f>IF($V67="","",IF(AND(ISNUMBER($G67),$G67&lt;=IF($S67=MesCiclo,InicioCiclo,$S67+MOD(2-WEEKDAY($S67),7))+27),1,IF(ISNUMBER($L67),$L67,$AA67)))</f>
        <v/>
      </c>
      <c r="AC67" s="62">
        <f>IF($V67="","",IF(AND(ISNUMBER($G67),$G67&lt;=IF($S67=MesCiclo,InicioCiclo,$S67+MOD(2-WEEKDAY($S67),7))+6),1,IF(N($W67)&gt;0,AVERAGEIFS($Y$5:$Y$1000,$U$5:$U$1000,ROW(),$V$5:$V$1000,"Sub"),$Y67)))</f>
        <v/>
      </c>
      <c r="AD67" s="62">
        <f>IF($V67="","",IF(AND(ISNUMBER($G67),$G67&lt;=IF($S67=MesCiclo,InicioCiclo,$S67+MOD(2-WEEKDAY($S67),7))+13),1,IF(N($W67)&gt;0,AVERAGEIFS($Z$5:$Z$1000,$U$5:$U$1000,ROW(),$V$5:$V$1000,"Sub"),$Z67)))</f>
        <v/>
      </c>
      <c r="AE67" s="62">
        <f>IF($V67="","",IF(AND(ISNUMBER($G67),$G67&lt;=IF($S67=MesCiclo,InicioCiclo,$S67+MOD(2-WEEKDAY($S67),7))+20),1,IF(N($W67)&gt;0,AVERAGEIFS($AA$5:$AA$1000,$U$5:$U$1000,ROW(),$V$5:$V$1000,"Sub"),$AA67)))</f>
        <v/>
      </c>
      <c r="AF67" s="62">
        <f>IF($V67="","",IF(AND(ISNUMBER($G67),$G67&lt;=IF($S67=MesCiclo,InicioCiclo,$S67+MOD(2-WEEKDAY($S67),7))+27),1,IF(N($W67)&gt;0,AVERAGEIFS($AB$5:$AB$1000,$U$5:$U$1000,ROW(),$V$5:$V$1000,"Sub"),$AB67)))</f>
        <v/>
      </c>
      <c r="AG67" s="62">
        <f>IF($V67&lt;&gt;"Macro","",IF(COUNTIFS($S$5:$S$1000,$S67,$V$5:$V$1000,"Macro",$H$5:$H$1000,"&gt;0")=0,1/COUNTIFS($S$5:$S$1000,$S67,$V$5:$V$1000,"Macro"),IF(AND(ISNUMBER($H67),N($H67)&gt;0),$H67,SUMIFS($H$5:$H$1000,$S$5:$S$1000,$S67,$V$5:$V$1000,"Macro")/COUNTIFS($S$5:$S$1000,$S67,$V$5:$V$1000,"Macro",$H$5:$H$1000,"&gt;0"))/(COUNTIFS($S$5:$S$1000,$S67,$V$5:$V$1000,"Macro")*SUMIFS($H$5:$H$1000,$S$5:$S$1000,$S67,$V$5:$V$1000,"Macro")/COUNTIFS($S$5:$S$1000,$S67,$V$5:$V$1000,"Macro",$H$5:$H$1000,"&gt;0"))))</f>
        <v/>
      </c>
      <c r="AH67" s="62">
        <f>IF(NOT(AND($D67&lt;&gt;"",$V67="Macro")),"",IFERROR(CHOOSE(MATCH($D67,ListaPuestos,0),MATCH("[Jefatura] "&amp;$C67,'Cronograma R. Operacional'!$C$5:$C$1000,0),MATCH("[Jefatura] "&amp;$C67,'Cronograma R. Normativo'!$C$5:$C$1000,0),MATCH("[Jefatura] "&amp;$C67,'Cronograma R. Financiero'!$C$5:$C$1000,0),MATCH("[Jefatura] "&amp;$C67,'Cronograma Asistente Técnico'!$C$5:$C$1000,0)),0))</f>
        <v/>
      </c>
      <c r="AI67" s="62">
        <f>IF(AND(AND($D67&lt;&gt;"",$V67="Macro"),$S67=MesCiclo),COUNTIFS($D$5:$D67,$D67,$S$5:$S67,MesCiclo,$V$5:$V67,"Macro"),"")</f>
        <v/>
      </c>
      <c r="AJ67" s="62">
        <f>IF($AI67="","",$D67&amp;"|"&amp;$AI67)</f>
        <v/>
      </c>
      <c r="AK67" s="62">
        <f>IF(AND($D67&lt;&gt;"",$V67="Macro"),$D67&amp;"|"&amp;$C67,"")</f>
        <v/>
      </c>
      <c r="AL67" s="62">
        <f>""</f>
        <v/>
      </c>
      <c r="AM67" s="62">
        <f>IF(N($AL67)&gt;0,INDEX(rIni_ADM,$AL67),IF(ISNUMBER($E67),$E67,""))</f>
        <v/>
      </c>
      <c r="AN67" s="62">
        <f>IF(N($AL67)&gt;0,INDEX(rLim_ADM,$AL67),IF(ISNUMBER($F67),$F67,""))</f>
        <v/>
      </c>
    </row>
    <row r="68">
      <c r="A68" s="56">
        <f>IF(NOT((COUNTA($B68:$D68)+COUNTA($G68:$L68)+COUNTA($Q68))&gt;0),"",IF($V68="Macro",COUNTIFS($V$5:$V68,"Macro",$S$5:$S68,$S68),IF(N($U68)=0,"?",COUNTIFS(INDEX($V$5:$V$1000,1):INDEX($V$5:$V$1000,$U68-4),"Macro",INDEX($S$5:$S$1000,1):INDEX($S$5:$S$1000,$U68-4),INDEX($S$5:$S$1000,$U68-4))&amp;"."&amp;COUNTIFS($U$5:$U68,$U68,$V$5:$V68,"Sub"))))</f>
        <v/>
      </c>
      <c r="B68" s="57" t="n"/>
      <c r="C68" s="58" t="n"/>
      <c r="D68" s="58" t="n"/>
      <c r="E68" s="59" t="n"/>
      <c r="F68" s="59" t="n"/>
      <c r="G68" s="59" t="n"/>
      <c r="H68" s="60" t="n"/>
      <c r="I68" s="60" t="n"/>
      <c r="J68" s="60" t="n"/>
      <c r="K68" s="60" t="n"/>
      <c r="L68" s="60" t="n"/>
      <c r="M68" s="61">
        <f>IF(NOT((COUNTA($B68:$D68)+COUNTA($G68:$L68)+COUNTA($Q68))&gt;0),"",IF(AND($D68&lt;&gt;"",$V68="Macro"),IF(N($AH68)&gt;0,N(CHOOSE(MATCH($D68,ListaPuestos,0),INDEX('Cronograma R. Operacional'!$M$5:$M$1000,$AH68),INDEX('Cronograma R. Normativo'!$M$5:$M$1000,$AH68),INDEX('Cronograma R. Financiero'!$M$5:$M$1000,$AH68),INDEX('Cronograma Asistente Técnico'!$M$5:$M$1000,$AH68))),0),IF(ISNUMBER($G68),1,IF(N($W68)&gt;0,AVERAGEIFS($X$5:$X$1000,$U$5:$U$1000,ROW(),$V$5:$V$1000,"Sub"),$X68))))</f>
        <v/>
      </c>
      <c r="N68" s="56">
        <f>IF(OR($M68="",$V68="Sub"),"",IF($M68&gt;=1,"Completado",IF($M68&gt;0,"En curso","Pendiente")))</f>
        <v/>
      </c>
      <c r="O68" s="56">
        <f>IF(NOT((COUNTA($B68:$D68)+COUNTA($G68:$L68)+COUNTA($Q68))&gt;0),"",IF(AND(AND($D68&lt;&gt;"",$V68="Macro"),N($AH68)&gt;0),CHOOSE(MATCH($D68,ListaPuestos,0),INDEX('Cronograma R. Operacional'!$O$5:$O$1000,$AH68),INDEX('Cronograma R. Normativo'!$O$5:$O$1000,$AH68),INDEX('Cronograma R. Financiero'!$O$5:$O$1000,$AH68),INDEX('Cronograma Asistente Técnico'!$O$5:$O$1000,$AH68))&amp;"",IF(ISNUMBER($G68),IF(AND(ISNUMBER($AN68),$G68&gt;$AN68),"Cumplida con "&amp;($G68-$AN68)&amp;IF($G68-$AN68=1," día"," días")&amp;" de retraso","Cumplida"),IF(N($M68)&gt;=1,"Cumplida",IF(NOT(ISNUMBER($AN68)),"Sin fecha límite",IF($AN68&lt;FechaRef,"Vencida hace "&amp;(FechaRef-$AN68)&amp;IF(FechaRef-$AN68=1," día"," días"),IF($AN68=FechaRef,"Vence hoy",IF($AN68-FechaRef&lt;=DiasAlerta,"Vence en "&amp;($AN68-FechaRef)&amp;IF($AN68-FechaRef=1," día"," días"),"En plazo"))))))))</f>
        <v/>
      </c>
      <c r="P68" s="62">
        <f>IF(NOT((COUNTA($B68:$D68)+COUNTA($G68:$L68)+COUNTA($Q68))&gt;0),"",IF($D68="","Propia",IF($V68&lt;&gt;"Macro","Solo se delegan macroactividades",IF(N($AH68)&gt;0,"✔ Recibida por "&amp;$D68,"⚠ "&amp;$D68&amp;" aún no la agrega"))))</f>
        <v/>
      </c>
      <c r="Q68" s="58" t="n"/>
      <c r="R68" s="63">
        <f>IF(NOT((COUNTA($B68:$D68)+COUNTA($G68:$L68)+COUNTA($Q68))&gt;0),"",IF((IF($C68="","Falta el nombre de la actividad"&amp;" · ","")&amp;IF(AND($V68="Sub",N($U68)=0),"Subactividad sin macroactividad arriba"&amp;" · ","")&amp;IF($AM68="","Sin fecha de inicio"&amp;" · ","")&amp;IF($AN68="","Sin fecha límite"&amp;" · ","")&amp;IF(AND(LEFT($C68,11)="[Jefatura] ",N($AL68)=0),"No se encuentra en la hoja de la jefatura (elíjala de nuevo en la lista)"&amp;" · ","")&amp;IF(OR(AND($E68&lt;&gt;"",NOT(ISNUMBER($E68))),AND($F68&lt;&gt;"",NOT(ISNUMBER($F68))),AND($G68&lt;&gt;"",NOT(ISNUMBER($G68)))),"Fecha no válida"&amp;" · ","")&amp;IF(AND(ISNUMBER($AM68),ISNUMBER($AN68),$AM68&gt;$AN68),"Inicio posterior a fecha límite"&amp;" · ","")&amp;IF(AND($V68="Macro",$H68&lt;&gt;"",OR(NOT(ISNUMBER($H68)),$H68&lt;0,$H68&gt;1)),"Peso fuera de rango"&amp;" · ","")&amp;IF(AND($V68="Sub",$H68&lt;&gt;""),"Las subactividades no llevan peso (valen igual dentro de su macroactividad)"&amp;" · ","")&amp;IF(AND(N($W68)&gt;0,COUNT($I68:$L68)&gt;0),"Con subactividades: deje vacías las semanas (se calculan solas)"&amp;" · ","")&amp;IF((COUNTIF($I68:$L68,"&gt;1")+COUNTIF($I68:$L68,"&lt;0")+COUNTA($I68:$L68)-COUNT($I68:$L68))&gt;0,"Avance fuera de rango 0-100%"&amp;" · ","")&amp;IF(OR(AND($J68&lt;&gt;"",$J68&lt;$I68),AND($K68&lt;&gt;"",$K68&lt;MAX($I68:$J68)),AND($L68&lt;&gt;"",$L68&lt;MAX($I68:$K68))),"Avance semanal decreciente"&amp;" · ","")&amp;IF(AND(ISNUMBER($AN68),$AN68&lt;FechaRef,IF($V68="Sub",N($X68),N($M68))&lt;1),"Vencida"&amp;" · ","")&amp;IF(AND(ObsObligatoria="Sí",ISNUMBER($AN68),$AN68&lt;FechaRef,IF($V68="Sub",N($X68),N($M68))&lt;1,$Q68=""),"Vencida sin observación"&amp;" · ",""))="","✔ OK","⚠ "&amp;LEFT(IF($C68="","Falta el nombre de la actividad"&amp;" · ","")&amp;IF(AND($V68="Sub",N($U68)=0),"Subactividad sin macroactividad arriba"&amp;" · ","")&amp;IF($AM68="","Sin fecha de inicio"&amp;" · ","")&amp;IF($AN68="","Sin fecha límite"&amp;" · ","")&amp;IF(AND(LEFT($C68,11)="[Jefatura] ",N($AL68)=0),"No se encuentra en la hoja de la jefatura (elíjala de nuevo en la lista)"&amp;" · ","")&amp;IF(OR(AND($E68&lt;&gt;"",NOT(ISNUMBER($E68))),AND($F68&lt;&gt;"",NOT(ISNUMBER($F68))),AND($G68&lt;&gt;"",NOT(ISNUMBER($G68)))),"Fecha no válida"&amp;" · ","")&amp;IF(AND(ISNUMBER($AM68),ISNUMBER($AN68),$AM68&gt;$AN68),"Inicio posterior a fecha límite"&amp;" · ","")&amp;IF(AND($V68="Macro",$H68&lt;&gt;"",OR(NOT(ISNUMBER($H68)),$H68&lt;0,$H68&gt;1)),"Peso fuera de rango"&amp;" · ","")&amp;IF(AND($V68="Sub",$H68&lt;&gt;""),"Las subactividades no llevan peso (valen igual dentro de su macroactividad)"&amp;" · ","")&amp;IF(AND(N($W68)&gt;0,COUNT($I68:$L68)&gt;0),"Con subactividades: deje vacías las semanas (se calculan solas)"&amp;" · ","")&amp;IF((COUNTIF($I68:$L68,"&gt;1")+COUNTIF($I68:$L68,"&lt;0")+COUNTA($I68:$L68)-COUNT($I68:$L68))&gt;0,"Avance fuera de rango 0-100%"&amp;" · ","")&amp;IF(OR(AND($J68&lt;&gt;"",$J68&lt;$I68),AND($K68&lt;&gt;"",$K68&lt;MAX($I68:$J68)),AND($L68&lt;&gt;"",$L68&lt;MAX($I68:$K68))),"Avance semanal decreciente"&amp;" · ","")&amp;IF(AND(ISNUMBER($AN68),$AN68&lt;FechaRef,IF($V68="Sub",N($X68),N($M68))&lt;1),"Vencida"&amp;" · ","")&amp;IF(AND(ObsObligatoria="Sí",ISNUMBER($AN68),$AN68&lt;FechaRef,IF($V68="Sub",N($X68),N($M68))&lt;1,$Q68=""),"Vencida sin observación"&amp;" · ",""),LEN(IF($C68="","Falta el nombre de la actividad"&amp;" · ","")&amp;IF(AND($V68="Sub",N($U68)=0),"Subactividad sin macroactividad arriba"&amp;" · ","")&amp;IF($AM68="","Sin fecha de inicio"&amp;" · ","")&amp;IF($AN68="","Sin fecha límite"&amp;" · ","")&amp;IF(AND(LEFT($C68,11)="[Jefatura] ",N($AL68)=0),"No se encuentra en la hoja de la jefatura (elíjala de nuevo en la lista)"&amp;" · ","")&amp;IF(OR(AND($E68&lt;&gt;"",NOT(ISNUMBER($E68))),AND($F68&lt;&gt;"",NOT(ISNUMBER($F68))),AND($G68&lt;&gt;"",NOT(ISNUMBER($G68)))),"Fecha no válida"&amp;" · ","")&amp;IF(AND(ISNUMBER($AM68),ISNUMBER($AN68),$AM68&gt;$AN68),"Inicio posterior a fecha límite"&amp;" · ","")&amp;IF(AND($V68="Macro",$H68&lt;&gt;"",OR(NOT(ISNUMBER($H68)),$H68&lt;0,$H68&gt;1)),"Peso fuera de rango"&amp;" · ","")&amp;IF(AND($V68="Sub",$H68&lt;&gt;""),"Las subactividades no llevan peso (valen igual dentro de su macroactividad)"&amp;" · ","")&amp;IF(AND(N($W68)&gt;0,COUNT($I68:$L68)&gt;0),"Con subactividades: deje vacías las semanas (se calculan solas)"&amp;" · ","")&amp;IF((COUNTIF($I68:$L68,"&gt;1")+COUNTIF($I68:$L68,"&lt;0")+COUNTA($I68:$L68)-COUNT($I68:$L68))&gt;0,"Avance fuera de rango 0-100%"&amp;" · ","")&amp;IF(OR(AND($J68&lt;&gt;"",$J68&lt;$I68),AND($K68&lt;&gt;"",$K68&lt;MAX($I68:$J68)),AND($L68&lt;&gt;"",$L68&lt;MAX($I68:$K68))),"Avance semanal decreciente"&amp;" · ","")&amp;IF(AND(ISNUMBER($AN68),$AN68&lt;FechaRef,IF($V68="Sub",N($X68),N($M68))&lt;1),"Vencida"&amp;" · ","")&amp;IF(AND(ObsObligatoria="Sí",ISNUMBER($AN68),$AN68&lt;FechaRef,IF($V68="Sub",N($X68),N($M68))&lt;1,$Q68=""),"Vencida sin observación"&amp;" · ",""))-3)))</f>
        <v/>
      </c>
      <c r="S68" s="64">
        <f>IF(NOT((COUNTA($B68:$D68)+COUNTA($G68:$L68)+COUNTA($Q68))&gt;0),"",IF(AND($V68="Sub",N($U68)&gt;0),IF(ISNUMBER(INDEX($AM$5:$AM$1000,$U68-4)),DATE(YEAR(INDEX($AM$5:$AM$1000,$U68-4)),MONTH(INDEX($AM$5:$AM$1000,$U68-4)),1),IF(ISNUMBER(INDEX($AN$5:$AN$1000,$U68-4)),DATE(YEAR(INDEX($AN$5:$AN$1000,$U68-4)),MONTH(INDEX($AN$5:$AN$1000,$U68-4)),1),MesCiclo)),IF(ISNUMBER($AM68),DATE(YEAR($AM68),MONTH($AM68),1),IF(ISNUMBER($AN68),DATE(YEAR($AN68),MONTH($AN68),1),MesCiclo))))</f>
        <v/>
      </c>
      <c r="T68" s="62">
        <f>IF(OR($S68="",$S68&lt;&gt;MesCiclo,$V68&lt;&gt;"Macro"),"",COUNTIFS($S$5:$S68,MesCiclo,$V$5:$V68,"Macro"))</f>
        <v/>
      </c>
      <c r="U68" s="62">
        <f>IF($V68="","",IF($V68="Macro",ROW(),IFERROR(LOOKUP(2,1/($V$5:$V68="Macro"),ROW($V$5:$V68)),0)))</f>
        <v/>
      </c>
      <c r="V68" s="62">
        <f>IF(NOT((COUNTA($B68:$D68)+COUNTA($G68:$L68)+COUNTA($Q68))&gt;0),"",IF($B68="Subactividad","Sub","Macro"))</f>
        <v/>
      </c>
      <c r="W68" s="62">
        <f>IF($V68="Macro",COUNTIFS($U$5:$U$1000,ROW(),$V$5:$V$1000,"Sub"),"")</f>
        <v/>
      </c>
      <c r="X68" s="62">
        <f>IF($V68="","",IF(ISNUMBER($G68),1,IFERROR(LOOKUP(2,1/($I68:$L68&lt;&gt;""),$I68:$L68),0)))</f>
        <v/>
      </c>
      <c r="Y68" s="62">
        <f>IF($V68="","",IF(AND(ISNUMBER($G68),$G68&lt;=IF($S68=MesCiclo,InicioCiclo,$S68+MOD(2-WEEKDAY($S68),7))+6),1,IF(ISNUMBER($I68),$I68,0)))</f>
        <v/>
      </c>
      <c r="Z68" s="62">
        <f>IF($V68="","",IF(AND(ISNUMBER($G68),$G68&lt;=IF($S68=MesCiclo,InicioCiclo,$S68+MOD(2-WEEKDAY($S68),7))+13),1,IF(ISNUMBER($J68),$J68,$Y68)))</f>
        <v/>
      </c>
      <c r="AA68" s="62">
        <f>IF($V68="","",IF(AND(ISNUMBER($G68),$G68&lt;=IF($S68=MesCiclo,InicioCiclo,$S68+MOD(2-WEEKDAY($S68),7))+20),1,IF(ISNUMBER($K68),$K68,$Z68)))</f>
        <v/>
      </c>
      <c r="AB68" s="62">
        <f>IF($V68="","",IF(AND(ISNUMBER($G68),$G68&lt;=IF($S68=MesCiclo,InicioCiclo,$S68+MOD(2-WEEKDAY($S68),7))+27),1,IF(ISNUMBER($L68),$L68,$AA68)))</f>
        <v/>
      </c>
      <c r="AC68" s="62">
        <f>IF($V68="","",IF(AND(ISNUMBER($G68),$G68&lt;=IF($S68=MesCiclo,InicioCiclo,$S68+MOD(2-WEEKDAY($S68),7))+6),1,IF(N($W68)&gt;0,AVERAGEIFS($Y$5:$Y$1000,$U$5:$U$1000,ROW(),$V$5:$V$1000,"Sub"),$Y68)))</f>
        <v/>
      </c>
      <c r="AD68" s="62">
        <f>IF($V68="","",IF(AND(ISNUMBER($G68),$G68&lt;=IF($S68=MesCiclo,InicioCiclo,$S68+MOD(2-WEEKDAY($S68),7))+13),1,IF(N($W68)&gt;0,AVERAGEIFS($Z$5:$Z$1000,$U$5:$U$1000,ROW(),$V$5:$V$1000,"Sub"),$Z68)))</f>
        <v/>
      </c>
      <c r="AE68" s="62">
        <f>IF($V68="","",IF(AND(ISNUMBER($G68),$G68&lt;=IF($S68=MesCiclo,InicioCiclo,$S68+MOD(2-WEEKDAY($S68),7))+20),1,IF(N($W68)&gt;0,AVERAGEIFS($AA$5:$AA$1000,$U$5:$U$1000,ROW(),$V$5:$V$1000,"Sub"),$AA68)))</f>
        <v/>
      </c>
      <c r="AF68" s="62">
        <f>IF($V68="","",IF(AND(ISNUMBER($G68),$G68&lt;=IF($S68=MesCiclo,InicioCiclo,$S68+MOD(2-WEEKDAY($S68),7))+27),1,IF(N($W68)&gt;0,AVERAGEIFS($AB$5:$AB$1000,$U$5:$U$1000,ROW(),$V$5:$V$1000,"Sub"),$AB68)))</f>
        <v/>
      </c>
      <c r="AG68" s="62">
        <f>IF($V68&lt;&gt;"Macro","",IF(COUNTIFS($S$5:$S$1000,$S68,$V$5:$V$1000,"Macro",$H$5:$H$1000,"&gt;0")=0,1/COUNTIFS($S$5:$S$1000,$S68,$V$5:$V$1000,"Macro"),IF(AND(ISNUMBER($H68),N($H68)&gt;0),$H68,SUMIFS($H$5:$H$1000,$S$5:$S$1000,$S68,$V$5:$V$1000,"Macro")/COUNTIFS($S$5:$S$1000,$S68,$V$5:$V$1000,"Macro",$H$5:$H$1000,"&gt;0"))/(COUNTIFS($S$5:$S$1000,$S68,$V$5:$V$1000,"Macro")*SUMIFS($H$5:$H$1000,$S$5:$S$1000,$S68,$V$5:$V$1000,"Macro")/COUNTIFS($S$5:$S$1000,$S68,$V$5:$V$1000,"Macro",$H$5:$H$1000,"&gt;0"))))</f>
        <v/>
      </c>
      <c r="AH68" s="62">
        <f>IF(NOT(AND($D68&lt;&gt;"",$V68="Macro")),"",IFERROR(CHOOSE(MATCH($D68,ListaPuestos,0),MATCH("[Jefatura] "&amp;$C68,'Cronograma R. Operacional'!$C$5:$C$1000,0),MATCH("[Jefatura] "&amp;$C68,'Cronograma R. Normativo'!$C$5:$C$1000,0),MATCH("[Jefatura] "&amp;$C68,'Cronograma R. Financiero'!$C$5:$C$1000,0),MATCH("[Jefatura] "&amp;$C68,'Cronograma Asistente Técnico'!$C$5:$C$1000,0)),0))</f>
        <v/>
      </c>
      <c r="AI68" s="62">
        <f>IF(AND(AND($D68&lt;&gt;"",$V68="Macro"),$S68=MesCiclo),COUNTIFS($D$5:$D68,$D68,$S$5:$S68,MesCiclo,$V$5:$V68,"Macro"),"")</f>
        <v/>
      </c>
      <c r="AJ68" s="62">
        <f>IF($AI68="","",$D68&amp;"|"&amp;$AI68)</f>
        <v/>
      </c>
      <c r="AK68" s="62">
        <f>IF(AND($D68&lt;&gt;"",$V68="Macro"),$D68&amp;"|"&amp;$C68,"")</f>
        <v/>
      </c>
      <c r="AL68" s="62">
        <f>""</f>
        <v/>
      </c>
      <c r="AM68" s="62">
        <f>IF(N($AL68)&gt;0,INDEX(rIni_ADM,$AL68),IF(ISNUMBER($E68),$E68,""))</f>
        <v/>
      </c>
      <c r="AN68" s="62">
        <f>IF(N($AL68)&gt;0,INDEX(rLim_ADM,$AL68),IF(ISNUMBER($F68),$F68,""))</f>
        <v/>
      </c>
    </row>
    <row r="69">
      <c r="A69" s="56">
        <f>IF(NOT((COUNTA($B69:$D69)+COUNTA($G69:$L69)+COUNTA($Q69))&gt;0),"",IF($V69="Macro",COUNTIFS($V$5:$V69,"Macro",$S$5:$S69,$S69),IF(N($U69)=0,"?",COUNTIFS(INDEX($V$5:$V$1000,1):INDEX($V$5:$V$1000,$U69-4),"Macro",INDEX($S$5:$S$1000,1):INDEX($S$5:$S$1000,$U69-4),INDEX($S$5:$S$1000,$U69-4))&amp;"."&amp;COUNTIFS($U$5:$U69,$U69,$V$5:$V69,"Sub"))))</f>
        <v/>
      </c>
      <c r="B69" s="57" t="n"/>
      <c r="C69" s="58" t="n"/>
      <c r="D69" s="58" t="n"/>
      <c r="E69" s="59" t="n"/>
      <c r="F69" s="59" t="n"/>
      <c r="G69" s="59" t="n"/>
      <c r="H69" s="60" t="n"/>
      <c r="I69" s="60" t="n"/>
      <c r="J69" s="60" t="n"/>
      <c r="K69" s="60" t="n"/>
      <c r="L69" s="60" t="n"/>
      <c r="M69" s="61">
        <f>IF(NOT((COUNTA($B69:$D69)+COUNTA($G69:$L69)+COUNTA($Q69))&gt;0),"",IF(AND($D69&lt;&gt;"",$V69="Macro"),IF(N($AH69)&gt;0,N(CHOOSE(MATCH($D69,ListaPuestos,0),INDEX('Cronograma R. Operacional'!$M$5:$M$1000,$AH69),INDEX('Cronograma R. Normativo'!$M$5:$M$1000,$AH69),INDEX('Cronograma R. Financiero'!$M$5:$M$1000,$AH69),INDEX('Cronograma Asistente Técnico'!$M$5:$M$1000,$AH69))),0),IF(ISNUMBER($G69),1,IF(N($W69)&gt;0,AVERAGEIFS($X$5:$X$1000,$U$5:$U$1000,ROW(),$V$5:$V$1000,"Sub"),$X69))))</f>
        <v/>
      </c>
      <c r="N69" s="56">
        <f>IF(OR($M69="",$V69="Sub"),"",IF($M69&gt;=1,"Completado",IF($M69&gt;0,"En curso","Pendiente")))</f>
        <v/>
      </c>
      <c r="O69" s="56">
        <f>IF(NOT((COUNTA($B69:$D69)+COUNTA($G69:$L69)+COUNTA($Q69))&gt;0),"",IF(AND(AND($D69&lt;&gt;"",$V69="Macro"),N($AH69)&gt;0),CHOOSE(MATCH($D69,ListaPuestos,0),INDEX('Cronograma R. Operacional'!$O$5:$O$1000,$AH69),INDEX('Cronograma R. Normativo'!$O$5:$O$1000,$AH69),INDEX('Cronograma R. Financiero'!$O$5:$O$1000,$AH69),INDEX('Cronograma Asistente Técnico'!$O$5:$O$1000,$AH69))&amp;"",IF(ISNUMBER($G69),IF(AND(ISNUMBER($AN69),$G69&gt;$AN69),"Cumplida con "&amp;($G69-$AN69)&amp;IF($G69-$AN69=1," día"," días")&amp;" de retraso","Cumplida"),IF(N($M69)&gt;=1,"Cumplida",IF(NOT(ISNUMBER($AN69)),"Sin fecha límite",IF($AN69&lt;FechaRef,"Vencida hace "&amp;(FechaRef-$AN69)&amp;IF(FechaRef-$AN69=1," día"," días"),IF($AN69=FechaRef,"Vence hoy",IF($AN69-FechaRef&lt;=DiasAlerta,"Vence en "&amp;($AN69-FechaRef)&amp;IF($AN69-FechaRef=1," día"," días"),"En plazo"))))))))</f>
        <v/>
      </c>
      <c r="P69" s="62">
        <f>IF(NOT((COUNTA($B69:$D69)+COUNTA($G69:$L69)+COUNTA($Q69))&gt;0),"",IF($D69="","Propia",IF($V69&lt;&gt;"Macro","Solo se delegan macroactividades",IF(N($AH69)&gt;0,"✔ Recibida por "&amp;$D69,"⚠ "&amp;$D69&amp;" aún no la agrega"))))</f>
        <v/>
      </c>
      <c r="Q69" s="58" t="n"/>
      <c r="R69" s="63">
        <f>IF(NOT((COUNTA($B69:$D69)+COUNTA($G69:$L69)+COUNTA($Q69))&gt;0),"",IF((IF($C69="","Falta el nombre de la actividad"&amp;" · ","")&amp;IF(AND($V69="Sub",N($U69)=0),"Subactividad sin macroactividad arriba"&amp;" · ","")&amp;IF($AM69="","Sin fecha de inicio"&amp;" · ","")&amp;IF($AN69="","Sin fecha límite"&amp;" · ","")&amp;IF(AND(LEFT($C69,11)="[Jefatura] ",N($AL69)=0),"No se encuentra en la hoja de la jefatura (elíjala de nuevo en la lista)"&amp;" · ","")&amp;IF(OR(AND($E69&lt;&gt;"",NOT(ISNUMBER($E69))),AND($F69&lt;&gt;"",NOT(ISNUMBER($F69))),AND($G69&lt;&gt;"",NOT(ISNUMBER($G69)))),"Fecha no válida"&amp;" · ","")&amp;IF(AND(ISNUMBER($AM69),ISNUMBER($AN69),$AM69&gt;$AN69),"Inicio posterior a fecha límite"&amp;" · ","")&amp;IF(AND($V69="Macro",$H69&lt;&gt;"",OR(NOT(ISNUMBER($H69)),$H69&lt;0,$H69&gt;1)),"Peso fuera de rango"&amp;" · ","")&amp;IF(AND($V69="Sub",$H69&lt;&gt;""),"Las subactividades no llevan peso (valen igual dentro de su macroactividad)"&amp;" · ","")&amp;IF(AND(N($W69)&gt;0,COUNT($I69:$L69)&gt;0),"Con subactividades: deje vacías las semanas (se calculan solas)"&amp;" · ","")&amp;IF((COUNTIF($I69:$L69,"&gt;1")+COUNTIF($I69:$L69,"&lt;0")+COUNTA($I69:$L69)-COUNT($I69:$L69))&gt;0,"Avance fuera de rango 0-100%"&amp;" · ","")&amp;IF(OR(AND($J69&lt;&gt;"",$J69&lt;$I69),AND($K69&lt;&gt;"",$K69&lt;MAX($I69:$J69)),AND($L69&lt;&gt;"",$L69&lt;MAX($I69:$K69))),"Avance semanal decreciente"&amp;" · ","")&amp;IF(AND(ISNUMBER($AN69),$AN69&lt;FechaRef,IF($V69="Sub",N($X69),N($M69))&lt;1),"Vencida"&amp;" · ","")&amp;IF(AND(ObsObligatoria="Sí",ISNUMBER($AN69),$AN69&lt;FechaRef,IF($V69="Sub",N($X69),N($M69))&lt;1,$Q69=""),"Vencida sin observación"&amp;" · ",""))="","✔ OK","⚠ "&amp;LEFT(IF($C69="","Falta el nombre de la actividad"&amp;" · ","")&amp;IF(AND($V69="Sub",N($U69)=0),"Subactividad sin macroactividad arriba"&amp;" · ","")&amp;IF($AM69="","Sin fecha de inicio"&amp;" · ","")&amp;IF($AN69="","Sin fecha límite"&amp;" · ","")&amp;IF(AND(LEFT($C69,11)="[Jefatura] ",N($AL69)=0),"No se encuentra en la hoja de la jefatura (elíjala de nuevo en la lista)"&amp;" · ","")&amp;IF(OR(AND($E69&lt;&gt;"",NOT(ISNUMBER($E69))),AND($F69&lt;&gt;"",NOT(ISNUMBER($F69))),AND($G69&lt;&gt;"",NOT(ISNUMBER($G69)))),"Fecha no válida"&amp;" · ","")&amp;IF(AND(ISNUMBER($AM69),ISNUMBER($AN69),$AM69&gt;$AN69),"Inicio posterior a fecha límite"&amp;" · ","")&amp;IF(AND($V69="Macro",$H69&lt;&gt;"",OR(NOT(ISNUMBER($H69)),$H69&lt;0,$H69&gt;1)),"Peso fuera de rango"&amp;" · ","")&amp;IF(AND($V69="Sub",$H69&lt;&gt;""),"Las subactividades no llevan peso (valen igual dentro de su macroactividad)"&amp;" · ","")&amp;IF(AND(N($W69)&gt;0,COUNT($I69:$L69)&gt;0),"Con subactividades: deje vacías las semanas (se calculan solas)"&amp;" · ","")&amp;IF((COUNTIF($I69:$L69,"&gt;1")+COUNTIF($I69:$L69,"&lt;0")+COUNTA($I69:$L69)-COUNT($I69:$L69))&gt;0,"Avance fuera de rango 0-100%"&amp;" · ","")&amp;IF(OR(AND($J69&lt;&gt;"",$J69&lt;$I69),AND($K69&lt;&gt;"",$K69&lt;MAX($I69:$J69)),AND($L69&lt;&gt;"",$L69&lt;MAX($I69:$K69))),"Avance semanal decreciente"&amp;" · ","")&amp;IF(AND(ISNUMBER($AN69),$AN69&lt;FechaRef,IF($V69="Sub",N($X69),N($M69))&lt;1),"Vencida"&amp;" · ","")&amp;IF(AND(ObsObligatoria="Sí",ISNUMBER($AN69),$AN69&lt;FechaRef,IF($V69="Sub",N($X69),N($M69))&lt;1,$Q69=""),"Vencida sin observación"&amp;" · ",""),LEN(IF($C69="","Falta el nombre de la actividad"&amp;" · ","")&amp;IF(AND($V69="Sub",N($U69)=0),"Subactividad sin macroactividad arriba"&amp;" · ","")&amp;IF($AM69="","Sin fecha de inicio"&amp;" · ","")&amp;IF($AN69="","Sin fecha límite"&amp;" · ","")&amp;IF(AND(LEFT($C69,11)="[Jefatura] ",N($AL69)=0),"No se encuentra en la hoja de la jefatura (elíjala de nuevo en la lista)"&amp;" · ","")&amp;IF(OR(AND($E69&lt;&gt;"",NOT(ISNUMBER($E69))),AND($F69&lt;&gt;"",NOT(ISNUMBER($F69))),AND($G69&lt;&gt;"",NOT(ISNUMBER($G69)))),"Fecha no válida"&amp;" · ","")&amp;IF(AND(ISNUMBER($AM69),ISNUMBER($AN69),$AM69&gt;$AN69),"Inicio posterior a fecha límite"&amp;" · ","")&amp;IF(AND($V69="Macro",$H69&lt;&gt;"",OR(NOT(ISNUMBER($H69)),$H69&lt;0,$H69&gt;1)),"Peso fuera de rango"&amp;" · ","")&amp;IF(AND($V69="Sub",$H69&lt;&gt;""),"Las subactividades no llevan peso (valen igual dentro de su macroactividad)"&amp;" · ","")&amp;IF(AND(N($W69)&gt;0,COUNT($I69:$L69)&gt;0),"Con subactividades: deje vacías las semanas (se calculan solas)"&amp;" · ","")&amp;IF((COUNTIF($I69:$L69,"&gt;1")+COUNTIF($I69:$L69,"&lt;0")+COUNTA($I69:$L69)-COUNT($I69:$L69))&gt;0,"Avance fuera de rango 0-100%"&amp;" · ","")&amp;IF(OR(AND($J69&lt;&gt;"",$J69&lt;$I69),AND($K69&lt;&gt;"",$K69&lt;MAX($I69:$J69)),AND($L69&lt;&gt;"",$L69&lt;MAX($I69:$K69))),"Avance semanal decreciente"&amp;" · ","")&amp;IF(AND(ISNUMBER($AN69),$AN69&lt;FechaRef,IF($V69="Sub",N($X69),N($M69))&lt;1),"Vencida"&amp;" · ","")&amp;IF(AND(ObsObligatoria="Sí",ISNUMBER($AN69),$AN69&lt;FechaRef,IF($V69="Sub",N($X69),N($M69))&lt;1,$Q69=""),"Vencida sin observación"&amp;" · ",""))-3)))</f>
        <v/>
      </c>
      <c r="S69" s="64">
        <f>IF(NOT((COUNTA($B69:$D69)+COUNTA($G69:$L69)+COUNTA($Q69))&gt;0),"",IF(AND($V69="Sub",N($U69)&gt;0),IF(ISNUMBER(INDEX($AM$5:$AM$1000,$U69-4)),DATE(YEAR(INDEX($AM$5:$AM$1000,$U69-4)),MONTH(INDEX($AM$5:$AM$1000,$U69-4)),1),IF(ISNUMBER(INDEX($AN$5:$AN$1000,$U69-4)),DATE(YEAR(INDEX($AN$5:$AN$1000,$U69-4)),MONTH(INDEX($AN$5:$AN$1000,$U69-4)),1),MesCiclo)),IF(ISNUMBER($AM69),DATE(YEAR($AM69),MONTH($AM69),1),IF(ISNUMBER($AN69),DATE(YEAR($AN69),MONTH($AN69),1),MesCiclo))))</f>
        <v/>
      </c>
      <c r="T69" s="62">
        <f>IF(OR($S69="",$S69&lt;&gt;MesCiclo,$V69&lt;&gt;"Macro"),"",COUNTIFS($S$5:$S69,MesCiclo,$V$5:$V69,"Macro"))</f>
        <v/>
      </c>
      <c r="U69" s="62">
        <f>IF($V69="","",IF($V69="Macro",ROW(),IFERROR(LOOKUP(2,1/($V$5:$V69="Macro"),ROW($V$5:$V69)),0)))</f>
        <v/>
      </c>
      <c r="V69" s="62">
        <f>IF(NOT((COUNTA($B69:$D69)+COUNTA($G69:$L69)+COUNTA($Q69))&gt;0),"",IF($B69="Subactividad","Sub","Macro"))</f>
        <v/>
      </c>
      <c r="W69" s="62">
        <f>IF($V69="Macro",COUNTIFS($U$5:$U$1000,ROW(),$V$5:$V$1000,"Sub"),"")</f>
        <v/>
      </c>
      <c r="X69" s="62">
        <f>IF($V69="","",IF(ISNUMBER($G69),1,IFERROR(LOOKUP(2,1/($I69:$L69&lt;&gt;""),$I69:$L69),0)))</f>
        <v/>
      </c>
      <c r="Y69" s="62">
        <f>IF($V69="","",IF(AND(ISNUMBER($G69),$G69&lt;=IF($S69=MesCiclo,InicioCiclo,$S69+MOD(2-WEEKDAY($S69),7))+6),1,IF(ISNUMBER($I69),$I69,0)))</f>
        <v/>
      </c>
      <c r="Z69" s="62">
        <f>IF($V69="","",IF(AND(ISNUMBER($G69),$G69&lt;=IF($S69=MesCiclo,InicioCiclo,$S69+MOD(2-WEEKDAY($S69),7))+13),1,IF(ISNUMBER($J69),$J69,$Y69)))</f>
        <v/>
      </c>
      <c r="AA69" s="62">
        <f>IF($V69="","",IF(AND(ISNUMBER($G69),$G69&lt;=IF($S69=MesCiclo,InicioCiclo,$S69+MOD(2-WEEKDAY($S69),7))+20),1,IF(ISNUMBER($K69),$K69,$Z69)))</f>
        <v/>
      </c>
      <c r="AB69" s="62">
        <f>IF($V69="","",IF(AND(ISNUMBER($G69),$G69&lt;=IF($S69=MesCiclo,InicioCiclo,$S69+MOD(2-WEEKDAY($S69),7))+27),1,IF(ISNUMBER($L69),$L69,$AA69)))</f>
        <v/>
      </c>
      <c r="AC69" s="62">
        <f>IF($V69="","",IF(AND(ISNUMBER($G69),$G69&lt;=IF($S69=MesCiclo,InicioCiclo,$S69+MOD(2-WEEKDAY($S69),7))+6),1,IF(N($W69)&gt;0,AVERAGEIFS($Y$5:$Y$1000,$U$5:$U$1000,ROW(),$V$5:$V$1000,"Sub"),$Y69)))</f>
        <v/>
      </c>
      <c r="AD69" s="62">
        <f>IF($V69="","",IF(AND(ISNUMBER($G69),$G69&lt;=IF($S69=MesCiclo,InicioCiclo,$S69+MOD(2-WEEKDAY($S69),7))+13),1,IF(N($W69)&gt;0,AVERAGEIFS($Z$5:$Z$1000,$U$5:$U$1000,ROW(),$V$5:$V$1000,"Sub"),$Z69)))</f>
        <v/>
      </c>
      <c r="AE69" s="62">
        <f>IF($V69="","",IF(AND(ISNUMBER($G69),$G69&lt;=IF($S69=MesCiclo,InicioCiclo,$S69+MOD(2-WEEKDAY($S69),7))+20),1,IF(N($W69)&gt;0,AVERAGEIFS($AA$5:$AA$1000,$U$5:$U$1000,ROW(),$V$5:$V$1000,"Sub"),$AA69)))</f>
        <v/>
      </c>
      <c r="AF69" s="62">
        <f>IF($V69="","",IF(AND(ISNUMBER($G69),$G69&lt;=IF($S69=MesCiclo,InicioCiclo,$S69+MOD(2-WEEKDAY($S69),7))+27),1,IF(N($W69)&gt;0,AVERAGEIFS($AB$5:$AB$1000,$U$5:$U$1000,ROW(),$V$5:$V$1000,"Sub"),$AB69)))</f>
        <v/>
      </c>
      <c r="AG69" s="62">
        <f>IF($V69&lt;&gt;"Macro","",IF(COUNTIFS($S$5:$S$1000,$S69,$V$5:$V$1000,"Macro",$H$5:$H$1000,"&gt;0")=0,1/COUNTIFS($S$5:$S$1000,$S69,$V$5:$V$1000,"Macro"),IF(AND(ISNUMBER($H69),N($H69)&gt;0),$H69,SUMIFS($H$5:$H$1000,$S$5:$S$1000,$S69,$V$5:$V$1000,"Macro")/COUNTIFS($S$5:$S$1000,$S69,$V$5:$V$1000,"Macro",$H$5:$H$1000,"&gt;0"))/(COUNTIFS($S$5:$S$1000,$S69,$V$5:$V$1000,"Macro")*SUMIFS($H$5:$H$1000,$S$5:$S$1000,$S69,$V$5:$V$1000,"Macro")/COUNTIFS($S$5:$S$1000,$S69,$V$5:$V$1000,"Macro",$H$5:$H$1000,"&gt;0"))))</f>
        <v/>
      </c>
      <c r="AH69" s="62">
        <f>IF(NOT(AND($D69&lt;&gt;"",$V69="Macro")),"",IFERROR(CHOOSE(MATCH($D69,ListaPuestos,0),MATCH("[Jefatura] "&amp;$C69,'Cronograma R. Operacional'!$C$5:$C$1000,0),MATCH("[Jefatura] "&amp;$C69,'Cronograma R. Normativo'!$C$5:$C$1000,0),MATCH("[Jefatura] "&amp;$C69,'Cronograma R. Financiero'!$C$5:$C$1000,0),MATCH("[Jefatura] "&amp;$C69,'Cronograma Asistente Técnico'!$C$5:$C$1000,0)),0))</f>
        <v/>
      </c>
      <c r="AI69" s="62">
        <f>IF(AND(AND($D69&lt;&gt;"",$V69="Macro"),$S69=MesCiclo),COUNTIFS($D$5:$D69,$D69,$S$5:$S69,MesCiclo,$V$5:$V69,"Macro"),"")</f>
        <v/>
      </c>
      <c r="AJ69" s="62">
        <f>IF($AI69="","",$D69&amp;"|"&amp;$AI69)</f>
        <v/>
      </c>
      <c r="AK69" s="62">
        <f>IF(AND($D69&lt;&gt;"",$V69="Macro"),$D69&amp;"|"&amp;$C69,"")</f>
        <v/>
      </c>
      <c r="AL69" s="62">
        <f>""</f>
        <v/>
      </c>
      <c r="AM69" s="62">
        <f>IF(N($AL69)&gt;0,INDEX(rIni_ADM,$AL69),IF(ISNUMBER($E69),$E69,""))</f>
        <v/>
      </c>
      <c r="AN69" s="62">
        <f>IF(N($AL69)&gt;0,INDEX(rLim_ADM,$AL69),IF(ISNUMBER($F69),$F69,""))</f>
        <v/>
      </c>
    </row>
    <row r="70">
      <c r="A70" s="56">
        <f>IF(NOT((COUNTA($B70:$D70)+COUNTA($G70:$L70)+COUNTA($Q70))&gt;0),"",IF($V70="Macro",COUNTIFS($V$5:$V70,"Macro",$S$5:$S70,$S70),IF(N($U70)=0,"?",COUNTIFS(INDEX($V$5:$V$1000,1):INDEX($V$5:$V$1000,$U70-4),"Macro",INDEX($S$5:$S$1000,1):INDEX($S$5:$S$1000,$U70-4),INDEX($S$5:$S$1000,$U70-4))&amp;"."&amp;COUNTIFS($U$5:$U70,$U70,$V$5:$V70,"Sub"))))</f>
        <v/>
      </c>
      <c r="B70" s="57" t="n"/>
      <c r="C70" s="58" t="n"/>
      <c r="D70" s="58" t="n"/>
      <c r="E70" s="59" t="n"/>
      <c r="F70" s="59" t="n"/>
      <c r="G70" s="59" t="n"/>
      <c r="H70" s="60" t="n"/>
      <c r="I70" s="60" t="n"/>
      <c r="J70" s="60" t="n"/>
      <c r="K70" s="60" t="n"/>
      <c r="L70" s="60" t="n"/>
      <c r="M70" s="61">
        <f>IF(NOT((COUNTA($B70:$D70)+COUNTA($G70:$L70)+COUNTA($Q70))&gt;0),"",IF(AND($D70&lt;&gt;"",$V70="Macro"),IF(N($AH70)&gt;0,N(CHOOSE(MATCH($D70,ListaPuestos,0),INDEX('Cronograma R. Operacional'!$M$5:$M$1000,$AH70),INDEX('Cronograma R. Normativo'!$M$5:$M$1000,$AH70),INDEX('Cronograma R. Financiero'!$M$5:$M$1000,$AH70),INDEX('Cronograma Asistente Técnico'!$M$5:$M$1000,$AH70))),0),IF(ISNUMBER($G70),1,IF(N($W70)&gt;0,AVERAGEIFS($X$5:$X$1000,$U$5:$U$1000,ROW(),$V$5:$V$1000,"Sub"),$X70))))</f>
        <v/>
      </c>
      <c r="N70" s="56">
        <f>IF(OR($M70="",$V70="Sub"),"",IF($M70&gt;=1,"Completado",IF($M70&gt;0,"En curso","Pendiente")))</f>
        <v/>
      </c>
      <c r="O70" s="56">
        <f>IF(NOT((COUNTA($B70:$D70)+COUNTA($G70:$L70)+COUNTA($Q70))&gt;0),"",IF(AND(AND($D70&lt;&gt;"",$V70="Macro"),N($AH70)&gt;0),CHOOSE(MATCH($D70,ListaPuestos,0),INDEX('Cronograma R. Operacional'!$O$5:$O$1000,$AH70),INDEX('Cronograma R. Normativo'!$O$5:$O$1000,$AH70),INDEX('Cronograma R. Financiero'!$O$5:$O$1000,$AH70),INDEX('Cronograma Asistente Técnico'!$O$5:$O$1000,$AH70))&amp;"",IF(ISNUMBER($G70),IF(AND(ISNUMBER($AN70),$G70&gt;$AN70),"Cumplida con "&amp;($G70-$AN70)&amp;IF($G70-$AN70=1," día"," días")&amp;" de retraso","Cumplida"),IF(N($M70)&gt;=1,"Cumplida",IF(NOT(ISNUMBER($AN70)),"Sin fecha límite",IF($AN70&lt;FechaRef,"Vencida hace "&amp;(FechaRef-$AN70)&amp;IF(FechaRef-$AN70=1," día"," días"),IF($AN70=FechaRef,"Vence hoy",IF($AN70-FechaRef&lt;=DiasAlerta,"Vence en "&amp;($AN70-FechaRef)&amp;IF($AN70-FechaRef=1," día"," días"),"En plazo"))))))))</f>
        <v/>
      </c>
      <c r="P70" s="62">
        <f>IF(NOT((COUNTA($B70:$D70)+COUNTA($G70:$L70)+COUNTA($Q70))&gt;0),"",IF($D70="","Propia",IF($V70&lt;&gt;"Macro","Solo se delegan macroactividades",IF(N($AH70)&gt;0,"✔ Recibida por "&amp;$D70,"⚠ "&amp;$D70&amp;" aún no la agrega"))))</f>
        <v/>
      </c>
      <c r="Q70" s="58" t="n"/>
      <c r="R70" s="63">
        <f>IF(NOT((COUNTA($B70:$D70)+COUNTA($G70:$L70)+COUNTA($Q70))&gt;0),"",IF((IF($C70="","Falta el nombre de la actividad"&amp;" · ","")&amp;IF(AND($V70="Sub",N($U70)=0),"Subactividad sin macroactividad arriba"&amp;" · ","")&amp;IF($AM70="","Sin fecha de inicio"&amp;" · ","")&amp;IF($AN70="","Sin fecha límite"&amp;" · ","")&amp;IF(AND(LEFT($C70,11)="[Jefatura] ",N($AL70)=0),"No se encuentra en la hoja de la jefatura (elíjala de nuevo en la lista)"&amp;" · ","")&amp;IF(OR(AND($E70&lt;&gt;"",NOT(ISNUMBER($E70))),AND($F70&lt;&gt;"",NOT(ISNUMBER($F70))),AND($G70&lt;&gt;"",NOT(ISNUMBER($G70)))),"Fecha no válida"&amp;" · ","")&amp;IF(AND(ISNUMBER($AM70),ISNUMBER($AN70),$AM70&gt;$AN70),"Inicio posterior a fecha límite"&amp;" · ","")&amp;IF(AND($V70="Macro",$H70&lt;&gt;"",OR(NOT(ISNUMBER($H70)),$H70&lt;0,$H70&gt;1)),"Peso fuera de rango"&amp;" · ","")&amp;IF(AND($V70="Sub",$H70&lt;&gt;""),"Las subactividades no llevan peso (valen igual dentro de su macroactividad)"&amp;" · ","")&amp;IF(AND(N($W70)&gt;0,COUNT($I70:$L70)&gt;0),"Con subactividades: deje vacías las semanas (se calculan solas)"&amp;" · ","")&amp;IF((COUNTIF($I70:$L70,"&gt;1")+COUNTIF($I70:$L70,"&lt;0")+COUNTA($I70:$L70)-COUNT($I70:$L70))&gt;0,"Avance fuera de rango 0-100%"&amp;" · ","")&amp;IF(OR(AND($J70&lt;&gt;"",$J70&lt;$I70),AND($K70&lt;&gt;"",$K70&lt;MAX($I70:$J70)),AND($L70&lt;&gt;"",$L70&lt;MAX($I70:$K70))),"Avance semanal decreciente"&amp;" · ","")&amp;IF(AND(ISNUMBER($AN70),$AN70&lt;FechaRef,IF($V70="Sub",N($X70),N($M70))&lt;1),"Vencida"&amp;" · ","")&amp;IF(AND(ObsObligatoria="Sí",ISNUMBER($AN70),$AN70&lt;FechaRef,IF($V70="Sub",N($X70),N($M70))&lt;1,$Q70=""),"Vencida sin observación"&amp;" · ",""))="","✔ OK","⚠ "&amp;LEFT(IF($C70="","Falta el nombre de la actividad"&amp;" · ","")&amp;IF(AND($V70="Sub",N($U70)=0),"Subactividad sin macroactividad arriba"&amp;" · ","")&amp;IF($AM70="","Sin fecha de inicio"&amp;" · ","")&amp;IF($AN70="","Sin fecha límite"&amp;" · ","")&amp;IF(AND(LEFT($C70,11)="[Jefatura] ",N($AL70)=0),"No se encuentra en la hoja de la jefatura (elíjala de nuevo en la lista)"&amp;" · ","")&amp;IF(OR(AND($E70&lt;&gt;"",NOT(ISNUMBER($E70))),AND($F70&lt;&gt;"",NOT(ISNUMBER($F70))),AND($G70&lt;&gt;"",NOT(ISNUMBER($G70)))),"Fecha no válida"&amp;" · ","")&amp;IF(AND(ISNUMBER($AM70),ISNUMBER($AN70),$AM70&gt;$AN70),"Inicio posterior a fecha límite"&amp;" · ","")&amp;IF(AND($V70="Macro",$H70&lt;&gt;"",OR(NOT(ISNUMBER($H70)),$H70&lt;0,$H70&gt;1)),"Peso fuera de rango"&amp;" · ","")&amp;IF(AND($V70="Sub",$H70&lt;&gt;""),"Las subactividades no llevan peso (valen igual dentro de su macroactividad)"&amp;" · ","")&amp;IF(AND(N($W70)&gt;0,COUNT($I70:$L70)&gt;0),"Con subactividades: deje vacías las semanas (se calculan solas)"&amp;" · ","")&amp;IF((COUNTIF($I70:$L70,"&gt;1")+COUNTIF($I70:$L70,"&lt;0")+COUNTA($I70:$L70)-COUNT($I70:$L70))&gt;0,"Avance fuera de rango 0-100%"&amp;" · ","")&amp;IF(OR(AND($J70&lt;&gt;"",$J70&lt;$I70),AND($K70&lt;&gt;"",$K70&lt;MAX($I70:$J70)),AND($L70&lt;&gt;"",$L70&lt;MAX($I70:$K70))),"Avance semanal decreciente"&amp;" · ","")&amp;IF(AND(ISNUMBER($AN70),$AN70&lt;FechaRef,IF($V70="Sub",N($X70),N($M70))&lt;1),"Vencida"&amp;" · ","")&amp;IF(AND(ObsObligatoria="Sí",ISNUMBER($AN70),$AN70&lt;FechaRef,IF($V70="Sub",N($X70),N($M70))&lt;1,$Q70=""),"Vencida sin observación"&amp;" · ",""),LEN(IF($C70="","Falta el nombre de la actividad"&amp;" · ","")&amp;IF(AND($V70="Sub",N($U70)=0),"Subactividad sin macroactividad arriba"&amp;" · ","")&amp;IF($AM70="","Sin fecha de inicio"&amp;" · ","")&amp;IF($AN70="","Sin fecha límite"&amp;" · ","")&amp;IF(AND(LEFT($C70,11)="[Jefatura] ",N($AL70)=0),"No se encuentra en la hoja de la jefatura (elíjala de nuevo en la lista)"&amp;" · ","")&amp;IF(OR(AND($E70&lt;&gt;"",NOT(ISNUMBER($E70))),AND($F70&lt;&gt;"",NOT(ISNUMBER($F70))),AND($G70&lt;&gt;"",NOT(ISNUMBER($G70)))),"Fecha no válida"&amp;" · ","")&amp;IF(AND(ISNUMBER($AM70),ISNUMBER($AN70),$AM70&gt;$AN70),"Inicio posterior a fecha límite"&amp;" · ","")&amp;IF(AND($V70="Macro",$H70&lt;&gt;"",OR(NOT(ISNUMBER($H70)),$H70&lt;0,$H70&gt;1)),"Peso fuera de rango"&amp;" · ","")&amp;IF(AND($V70="Sub",$H70&lt;&gt;""),"Las subactividades no llevan peso (valen igual dentro de su macroactividad)"&amp;" · ","")&amp;IF(AND(N($W70)&gt;0,COUNT($I70:$L70)&gt;0),"Con subactividades: deje vacías las semanas (se calculan solas)"&amp;" · ","")&amp;IF((COUNTIF($I70:$L70,"&gt;1")+COUNTIF($I70:$L70,"&lt;0")+COUNTA($I70:$L70)-COUNT($I70:$L70))&gt;0,"Avance fuera de rango 0-100%"&amp;" · ","")&amp;IF(OR(AND($J70&lt;&gt;"",$J70&lt;$I70),AND($K70&lt;&gt;"",$K70&lt;MAX($I70:$J70)),AND($L70&lt;&gt;"",$L70&lt;MAX($I70:$K70))),"Avance semanal decreciente"&amp;" · ","")&amp;IF(AND(ISNUMBER($AN70),$AN70&lt;FechaRef,IF($V70="Sub",N($X70),N($M70))&lt;1),"Vencida"&amp;" · ","")&amp;IF(AND(ObsObligatoria="Sí",ISNUMBER($AN70),$AN70&lt;FechaRef,IF($V70="Sub",N($X70),N($M70))&lt;1,$Q70=""),"Vencida sin observación"&amp;" · ",""))-3)))</f>
        <v/>
      </c>
      <c r="S70" s="64">
        <f>IF(NOT((COUNTA($B70:$D70)+COUNTA($G70:$L70)+COUNTA($Q70))&gt;0),"",IF(AND($V70="Sub",N($U70)&gt;0),IF(ISNUMBER(INDEX($AM$5:$AM$1000,$U70-4)),DATE(YEAR(INDEX($AM$5:$AM$1000,$U70-4)),MONTH(INDEX($AM$5:$AM$1000,$U70-4)),1),IF(ISNUMBER(INDEX($AN$5:$AN$1000,$U70-4)),DATE(YEAR(INDEX($AN$5:$AN$1000,$U70-4)),MONTH(INDEX($AN$5:$AN$1000,$U70-4)),1),MesCiclo)),IF(ISNUMBER($AM70),DATE(YEAR($AM70),MONTH($AM70),1),IF(ISNUMBER($AN70),DATE(YEAR($AN70),MONTH($AN70),1),MesCiclo))))</f>
        <v/>
      </c>
      <c r="T70" s="62">
        <f>IF(OR($S70="",$S70&lt;&gt;MesCiclo,$V70&lt;&gt;"Macro"),"",COUNTIFS($S$5:$S70,MesCiclo,$V$5:$V70,"Macro"))</f>
        <v/>
      </c>
      <c r="U70" s="62">
        <f>IF($V70="","",IF($V70="Macro",ROW(),IFERROR(LOOKUP(2,1/($V$5:$V70="Macro"),ROW($V$5:$V70)),0)))</f>
        <v/>
      </c>
      <c r="V70" s="62">
        <f>IF(NOT((COUNTA($B70:$D70)+COUNTA($G70:$L70)+COUNTA($Q70))&gt;0),"",IF($B70="Subactividad","Sub","Macro"))</f>
        <v/>
      </c>
      <c r="W70" s="62">
        <f>IF($V70="Macro",COUNTIFS($U$5:$U$1000,ROW(),$V$5:$V$1000,"Sub"),"")</f>
        <v/>
      </c>
      <c r="X70" s="62">
        <f>IF($V70="","",IF(ISNUMBER($G70),1,IFERROR(LOOKUP(2,1/($I70:$L70&lt;&gt;""),$I70:$L70),0)))</f>
        <v/>
      </c>
      <c r="Y70" s="62">
        <f>IF($V70="","",IF(AND(ISNUMBER($G70),$G70&lt;=IF($S70=MesCiclo,InicioCiclo,$S70+MOD(2-WEEKDAY($S70),7))+6),1,IF(ISNUMBER($I70),$I70,0)))</f>
        <v/>
      </c>
      <c r="Z70" s="62">
        <f>IF($V70="","",IF(AND(ISNUMBER($G70),$G70&lt;=IF($S70=MesCiclo,InicioCiclo,$S70+MOD(2-WEEKDAY($S70),7))+13),1,IF(ISNUMBER($J70),$J70,$Y70)))</f>
        <v/>
      </c>
      <c r="AA70" s="62">
        <f>IF($V70="","",IF(AND(ISNUMBER($G70),$G70&lt;=IF($S70=MesCiclo,InicioCiclo,$S70+MOD(2-WEEKDAY($S70),7))+20),1,IF(ISNUMBER($K70),$K70,$Z70)))</f>
        <v/>
      </c>
      <c r="AB70" s="62">
        <f>IF($V70="","",IF(AND(ISNUMBER($G70),$G70&lt;=IF($S70=MesCiclo,InicioCiclo,$S70+MOD(2-WEEKDAY($S70),7))+27),1,IF(ISNUMBER($L70),$L70,$AA70)))</f>
        <v/>
      </c>
      <c r="AC70" s="62">
        <f>IF($V70="","",IF(AND(ISNUMBER($G70),$G70&lt;=IF($S70=MesCiclo,InicioCiclo,$S70+MOD(2-WEEKDAY($S70),7))+6),1,IF(N($W70)&gt;0,AVERAGEIFS($Y$5:$Y$1000,$U$5:$U$1000,ROW(),$V$5:$V$1000,"Sub"),$Y70)))</f>
        <v/>
      </c>
      <c r="AD70" s="62">
        <f>IF($V70="","",IF(AND(ISNUMBER($G70),$G70&lt;=IF($S70=MesCiclo,InicioCiclo,$S70+MOD(2-WEEKDAY($S70),7))+13),1,IF(N($W70)&gt;0,AVERAGEIFS($Z$5:$Z$1000,$U$5:$U$1000,ROW(),$V$5:$V$1000,"Sub"),$Z70)))</f>
        <v/>
      </c>
      <c r="AE70" s="62">
        <f>IF($V70="","",IF(AND(ISNUMBER($G70),$G70&lt;=IF($S70=MesCiclo,InicioCiclo,$S70+MOD(2-WEEKDAY($S70),7))+20),1,IF(N($W70)&gt;0,AVERAGEIFS($AA$5:$AA$1000,$U$5:$U$1000,ROW(),$V$5:$V$1000,"Sub"),$AA70)))</f>
        <v/>
      </c>
      <c r="AF70" s="62">
        <f>IF($V70="","",IF(AND(ISNUMBER($G70),$G70&lt;=IF($S70=MesCiclo,InicioCiclo,$S70+MOD(2-WEEKDAY($S70),7))+27),1,IF(N($W70)&gt;0,AVERAGEIFS($AB$5:$AB$1000,$U$5:$U$1000,ROW(),$V$5:$V$1000,"Sub"),$AB70)))</f>
        <v/>
      </c>
      <c r="AG70" s="62">
        <f>IF($V70&lt;&gt;"Macro","",IF(COUNTIFS($S$5:$S$1000,$S70,$V$5:$V$1000,"Macro",$H$5:$H$1000,"&gt;0")=0,1/COUNTIFS($S$5:$S$1000,$S70,$V$5:$V$1000,"Macro"),IF(AND(ISNUMBER($H70),N($H70)&gt;0),$H70,SUMIFS($H$5:$H$1000,$S$5:$S$1000,$S70,$V$5:$V$1000,"Macro")/COUNTIFS($S$5:$S$1000,$S70,$V$5:$V$1000,"Macro",$H$5:$H$1000,"&gt;0"))/(COUNTIFS($S$5:$S$1000,$S70,$V$5:$V$1000,"Macro")*SUMIFS($H$5:$H$1000,$S$5:$S$1000,$S70,$V$5:$V$1000,"Macro")/COUNTIFS($S$5:$S$1000,$S70,$V$5:$V$1000,"Macro",$H$5:$H$1000,"&gt;0"))))</f>
        <v/>
      </c>
      <c r="AH70" s="62">
        <f>IF(NOT(AND($D70&lt;&gt;"",$V70="Macro")),"",IFERROR(CHOOSE(MATCH($D70,ListaPuestos,0),MATCH("[Jefatura] "&amp;$C70,'Cronograma R. Operacional'!$C$5:$C$1000,0),MATCH("[Jefatura] "&amp;$C70,'Cronograma R. Normativo'!$C$5:$C$1000,0),MATCH("[Jefatura] "&amp;$C70,'Cronograma R. Financiero'!$C$5:$C$1000,0),MATCH("[Jefatura] "&amp;$C70,'Cronograma Asistente Técnico'!$C$5:$C$1000,0)),0))</f>
        <v/>
      </c>
      <c r="AI70" s="62">
        <f>IF(AND(AND($D70&lt;&gt;"",$V70="Macro"),$S70=MesCiclo),COUNTIFS($D$5:$D70,$D70,$S$5:$S70,MesCiclo,$V$5:$V70,"Macro"),"")</f>
        <v/>
      </c>
      <c r="AJ70" s="62">
        <f>IF($AI70="","",$D70&amp;"|"&amp;$AI70)</f>
        <v/>
      </c>
      <c r="AK70" s="62">
        <f>IF(AND($D70&lt;&gt;"",$V70="Macro"),$D70&amp;"|"&amp;$C70,"")</f>
        <v/>
      </c>
      <c r="AL70" s="62">
        <f>""</f>
        <v/>
      </c>
      <c r="AM70" s="62">
        <f>IF(N($AL70)&gt;0,INDEX(rIni_ADM,$AL70),IF(ISNUMBER($E70),$E70,""))</f>
        <v/>
      </c>
      <c r="AN70" s="62">
        <f>IF(N($AL70)&gt;0,INDEX(rLim_ADM,$AL70),IF(ISNUMBER($F70),$F70,""))</f>
        <v/>
      </c>
    </row>
    <row r="71">
      <c r="A71" s="56">
        <f>IF(NOT((COUNTA($B71:$D71)+COUNTA($G71:$L71)+COUNTA($Q71))&gt;0),"",IF($V71="Macro",COUNTIFS($V$5:$V71,"Macro",$S$5:$S71,$S71),IF(N($U71)=0,"?",COUNTIFS(INDEX($V$5:$V$1000,1):INDEX($V$5:$V$1000,$U71-4),"Macro",INDEX($S$5:$S$1000,1):INDEX($S$5:$S$1000,$U71-4),INDEX($S$5:$S$1000,$U71-4))&amp;"."&amp;COUNTIFS($U$5:$U71,$U71,$V$5:$V71,"Sub"))))</f>
        <v/>
      </c>
      <c r="B71" s="57" t="n"/>
      <c r="C71" s="58" t="n"/>
      <c r="D71" s="58" t="n"/>
      <c r="E71" s="59" t="n"/>
      <c r="F71" s="59" t="n"/>
      <c r="G71" s="59" t="n"/>
      <c r="H71" s="60" t="n"/>
      <c r="I71" s="60" t="n"/>
      <c r="J71" s="60" t="n"/>
      <c r="K71" s="60" t="n"/>
      <c r="L71" s="60" t="n"/>
      <c r="M71" s="61">
        <f>IF(NOT((COUNTA($B71:$D71)+COUNTA($G71:$L71)+COUNTA($Q71))&gt;0),"",IF(AND($D71&lt;&gt;"",$V71="Macro"),IF(N($AH71)&gt;0,N(CHOOSE(MATCH($D71,ListaPuestos,0),INDEX('Cronograma R. Operacional'!$M$5:$M$1000,$AH71),INDEX('Cronograma R. Normativo'!$M$5:$M$1000,$AH71),INDEX('Cronograma R. Financiero'!$M$5:$M$1000,$AH71),INDEX('Cronograma Asistente Técnico'!$M$5:$M$1000,$AH71))),0),IF(ISNUMBER($G71),1,IF(N($W71)&gt;0,AVERAGEIFS($X$5:$X$1000,$U$5:$U$1000,ROW(),$V$5:$V$1000,"Sub"),$X71))))</f>
        <v/>
      </c>
      <c r="N71" s="56">
        <f>IF(OR($M71="",$V71="Sub"),"",IF($M71&gt;=1,"Completado",IF($M71&gt;0,"En curso","Pendiente")))</f>
        <v/>
      </c>
      <c r="O71" s="56">
        <f>IF(NOT((COUNTA($B71:$D71)+COUNTA($G71:$L71)+COUNTA($Q71))&gt;0),"",IF(AND(AND($D71&lt;&gt;"",$V71="Macro"),N($AH71)&gt;0),CHOOSE(MATCH($D71,ListaPuestos,0),INDEX('Cronograma R. Operacional'!$O$5:$O$1000,$AH71),INDEX('Cronograma R. Normativo'!$O$5:$O$1000,$AH71),INDEX('Cronograma R. Financiero'!$O$5:$O$1000,$AH71),INDEX('Cronograma Asistente Técnico'!$O$5:$O$1000,$AH71))&amp;"",IF(ISNUMBER($G71),IF(AND(ISNUMBER($AN71),$G71&gt;$AN71),"Cumplida con "&amp;($G71-$AN71)&amp;IF($G71-$AN71=1," día"," días")&amp;" de retraso","Cumplida"),IF(N($M71)&gt;=1,"Cumplida",IF(NOT(ISNUMBER($AN71)),"Sin fecha límite",IF($AN71&lt;FechaRef,"Vencida hace "&amp;(FechaRef-$AN71)&amp;IF(FechaRef-$AN71=1," día"," días"),IF($AN71=FechaRef,"Vence hoy",IF($AN71-FechaRef&lt;=DiasAlerta,"Vence en "&amp;($AN71-FechaRef)&amp;IF($AN71-FechaRef=1," día"," días"),"En plazo"))))))))</f>
        <v/>
      </c>
      <c r="P71" s="62">
        <f>IF(NOT((COUNTA($B71:$D71)+COUNTA($G71:$L71)+COUNTA($Q71))&gt;0),"",IF($D71="","Propia",IF($V71&lt;&gt;"Macro","Solo se delegan macroactividades",IF(N($AH71)&gt;0,"✔ Recibida por "&amp;$D71,"⚠ "&amp;$D71&amp;" aún no la agrega"))))</f>
        <v/>
      </c>
      <c r="Q71" s="58" t="n"/>
      <c r="R71" s="63">
        <f>IF(NOT((COUNTA($B71:$D71)+COUNTA($G71:$L71)+COUNTA($Q71))&gt;0),"",IF((IF($C71="","Falta el nombre de la actividad"&amp;" · ","")&amp;IF(AND($V71="Sub",N($U71)=0),"Subactividad sin macroactividad arriba"&amp;" · ","")&amp;IF($AM71="","Sin fecha de inicio"&amp;" · ","")&amp;IF($AN71="","Sin fecha límite"&amp;" · ","")&amp;IF(AND(LEFT($C71,11)="[Jefatura] ",N($AL71)=0),"No se encuentra en la hoja de la jefatura (elíjala de nuevo en la lista)"&amp;" · ","")&amp;IF(OR(AND($E71&lt;&gt;"",NOT(ISNUMBER($E71))),AND($F71&lt;&gt;"",NOT(ISNUMBER($F71))),AND($G71&lt;&gt;"",NOT(ISNUMBER($G71)))),"Fecha no válida"&amp;" · ","")&amp;IF(AND(ISNUMBER($AM71),ISNUMBER($AN71),$AM71&gt;$AN71),"Inicio posterior a fecha límite"&amp;" · ","")&amp;IF(AND($V71="Macro",$H71&lt;&gt;"",OR(NOT(ISNUMBER($H71)),$H71&lt;0,$H71&gt;1)),"Peso fuera de rango"&amp;" · ","")&amp;IF(AND($V71="Sub",$H71&lt;&gt;""),"Las subactividades no llevan peso (valen igual dentro de su macroactividad)"&amp;" · ","")&amp;IF(AND(N($W71)&gt;0,COUNT($I71:$L71)&gt;0),"Con subactividades: deje vacías las semanas (se calculan solas)"&amp;" · ","")&amp;IF((COUNTIF($I71:$L71,"&gt;1")+COUNTIF($I71:$L71,"&lt;0")+COUNTA($I71:$L71)-COUNT($I71:$L71))&gt;0,"Avance fuera de rango 0-100%"&amp;" · ","")&amp;IF(OR(AND($J71&lt;&gt;"",$J71&lt;$I71),AND($K71&lt;&gt;"",$K71&lt;MAX($I71:$J71)),AND($L71&lt;&gt;"",$L71&lt;MAX($I71:$K71))),"Avance semanal decreciente"&amp;" · ","")&amp;IF(AND(ISNUMBER($AN71),$AN71&lt;FechaRef,IF($V71="Sub",N($X71),N($M71))&lt;1),"Vencida"&amp;" · ","")&amp;IF(AND(ObsObligatoria="Sí",ISNUMBER($AN71),$AN71&lt;FechaRef,IF($V71="Sub",N($X71),N($M71))&lt;1,$Q71=""),"Vencida sin observación"&amp;" · ",""))="","✔ OK","⚠ "&amp;LEFT(IF($C71="","Falta el nombre de la actividad"&amp;" · ","")&amp;IF(AND($V71="Sub",N($U71)=0),"Subactividad sin macroactividad arriba"&amp;" · ","")&amp;IF($AM71="","Sin fecha de inicio"&amp;" · ","")&amp;IF($AN71="","Sin fecha límite"&amp;" · ","")&amp;IF(AND(LEFT($C71,11)="[Jefatura] ",N($AL71)=0),"No se encuentra en la hoja de la jefatura (elíjala de nuevo en la lista)"&amp;" · ","")&amp;IF(OR(AND($E71&lt;&gt;"",NOT(ISNUMBER($E71))),AND($F71&lt;&gt;"",NOT(ISNUMBER($F71))),AND($G71&lt;&gt;"",NOT(ISNUMBER($G71)))),"Fecha no válida"&amp;" · ","")&amp;IF(AND(ISNUMBER($AM71),ISNUMBER($AN71),$AM71&gt;$AN71),"Inicio posterior a fecha límite"&amp;" · ","")&amp;IF(AND($V71="Macro",$H71&lt;&gt;"",OR(NOT(ISNUMBER($H71)),$H71&lt;0,$H71&gt;1)),"Peso fuera de rango"&amp;" · ","")&amp;IF(AND($V71="Sub",$H71&lt;&gt;""),"Las subactividades no llevan peso (valen igual dentro de su macroactividad)"&amp;" · ","")&amp;IF(AND(N($W71)&gt;0,COUNT($I71:$L71)&gt;0),"Con subactividades: deje vacías las semanas (se calculan solas)"&amp;" · ","")&amp;IF((COUNTIF($I71:$L71,"&gt;1")+COUNTIF($I71:$L71,"&lt;0")+COUNTA($I71:$L71)-COUNT($I71:$L71))&gt;0,"Avance fuera de rango 0-100%"&amp;" · ","")&amp;IF(OR(AND($J71&lt;&gt;"",$J71&lt;$I71),AND($K71&lt;&gt;"",$K71&lt;MAX($I71:$J71)),AND($L71&lt;&gt;"",$L71&lt;MAX($I71:$K71))),"Avance semanal decreciente"&amp;" · ","")&amp;IF(AND(ISNUMBER($AN71),$AN71&lt;FechaRef,IF($V71="Sub",N($X71),N($M71))&lt;1),"Vencida"&amp;" · ","")&amp;IF(AND(ObsObligatoria="Sí",ISNUMBER($AN71),$AN71&lt;FechaRef,IF($V71="Sub",N($X71),N($M71))&lt;1,$Q71=""),"Vencida sin observación"&amp;" · ",""),LEN(IF($C71="","Falta el nombre de la actividad"&amp;" · ","")&amp;IF(AND($V71="Sub",N($U71)=0),"Subactividad sin macroactividad arriba"&amp;" · ","")&amp;IF($AM71="","Sin fecha de inicio"&amp;" · ","")&amp;IF($AN71="","Sin fecha límite"&amp;" · ","")&amp;IF(AND(LEFT($C71,11)="[Jefatura] ",N($AL71)=0),"No se encuentra en la hoja de la jefatura (elíjala de nuevo en la lista)"&amp;" · ","")&amp;IF(OR(AND($E71&lt;&gt;"",NOT(ISNUMBER($E71))),AND($F71&lt;&gt;"",NOT(ISNUMBER($F71))),AND($G71&lt;&gt;"",NOT(ISNUMBER($G71)))),"Fecha no válida"&amp;" · ","")&amp;IF(AND(ISNUMBER($AM71),ISNUMBER($AN71),$AM71&gt;$AN71),"Inicio posterior a fecha límite"&amp;" · ","")&amp;IF(AND($V71="Macro",$H71&lt;&gt;"",OR(NOT(ISNUMBER($H71)),$H71&lt;0,$H71&gt;1)),"Peso fuera de rango"&amp;" · ","")&amp;IF(AND($V71="Sub",$H71&lt;&gt;""),"Las subactividades no llevan peso (valen igual dentro de su macroactividad)"&amp;" · ","")&amp;IF(AND(N($W71)&gt;0,COUNT($I71:$L71)&gt;0),"Con subactividades: deje vacías las semanas (se calculan solas)"&amp;" · ","")&amp;IF((COUNTIF($I71:$L71,"&gt;1")+COUNTIF($I71:$L71,"&lt;0")+COUNTA($I71:$L71)-COUNT($I71:$L71))&gt;0,"Avance fuera de rango 0-100%"&amp;" · ","")&amp;IF(OR(AND($J71&lt;&gt;"",$J71&lt;$I71),AND($K71&lt;&gt;"",$K71&lt;MAX($I71:$J71)),AND($L71&lt;&gt;"",$L71&lt;MAX($I71:$K71))),"Avance semanal decreciente"&amp;" · ","")&amp;IF(AND(ISNUMBER($AN71),$AN71&lt;FechaRef,IF($V71="Sub",N($X71),N($M71))&lt;1),"Vencida"&amp;" · ","")&amp;IF(AND(ObsObligatoria="Sí",ISNUMBER($AN71),$AN71&lt;FechaRef,IF($V71="Sub",N($X71),N($M71))&lt;1,$Q71=""),"Vencida sin observación"&amp;" · ",""))-3)))</f>
        <v/>
      </c>
      <c r="S71" s="64">
        <f>IF(NOT((COUNTA($B71:$D71)+COUNTA($G71:$L71)+COUNTA($Q71))&gt;0),"",IF(AND($V71="Sub",N($U71)&gt;0),IF(ISNUMBER(INDEX($AM$5:$AM$1000,$U71-4)),DATE(YEAR(INDEX($AM$5:$AM$1000,$U71-4)),MONTH(INDEX($AM$5:$AM$1000,$U71-4)),1),IF(ISNUMBER(INDEX($AN$5:$AN$1000,$U71-4)),DATE(YEAR(INDEX($AN$5:$AN$1000,$U71-4)),MONTH(INDEX($AN$5:$AN$1000,$U71-4)),1),MesCiclo)),IF(ISNUMBER($AM71),DATE(YEAR($AM71),MONTH($AM71),1),IF(ISNUMBER($AN71),DATE(YEAR($AN71),MONTH($AN71),1),MesCiclo))))</f>
        <v/>
      </c>
      <c r="T71" s="62">
        <f>IF(OR($S71="",$S71&lt;&gt;MesCiclo,$V71&lt;&gt;"Macro"),"",COUNTIFS($S$5:$S71,MesCiclo,$V$5:$V71,"Macro"))</f>
        <v/>
      </c>
      <c r="U71" s="62">
        <f>IF($V71="","",IF($V71="Macro",ROW(),IFERROR(LOOKUP(2,1/($V$5:$V71="Macro"),ROW($V$5:$V71)),0)))</f>
        <v/>
      </c>
      <c r="V71" s="62">
        <f>IF(NOT((COUNTA($B71:$D71)+COUNTA($G71:$L71)+COUNTA($Q71))&gt;0),"",IF($B71="Subactividad","Sub","Macro"))</f>
        <v/>
      </c>
      <c r="W71" s="62">
        <f>IF($V71="Macro",COUNTIFS($U$5:$U$1000,ROW(),$V$5:$V$1000,"Sub"),"")</f>
        <v/>
      </c>
      <c r="X71" s="62">
        <f>IF($V71="","",IF(ISNUMBER($G71),1,IFERROR(LOOKUP(2,1/($I71:$L71&lt;&gt;""),$I71:$L71),0)))</f>
        <v/>
      </c>
      <c r="Y71" s="62">
        <f>IF($V71="","",IF(AND(ISNUMBER($G71),$G71&lt;=IF($S71=MesCiclo,InicioCiclo,$S71+MOD(2-WEEKDAY($S71),7))+6),1,IF(ISNUMBER($I71),$I71,0)))</f>
        <v/>
      </c>
      <c r="Z71" s="62">
        <f>IF($V71="","",IF(AND(ISNUMBER($G71),$G71&lt;=IF($S71=MesCiclo,InicioCiclo,$S71+MOD(2-WEEKDAY($S71),7))+13),1,IF(ISNUMBER($J71),$J71,$Y71)))</f>
        <v/>
      </c>
      <c r="AA71" s="62">
        <f>IF($V71="","",IF(AND(ISNUMBER($G71),$G71&lt;=IF($S71=MesCiclo,InicioCiclo,$S71+MOD(2-WEEKDAY($S71),7))+20),1,IF(ISNUMBER($K71),$K71,$Z71)))</f>
        <v/>
      </c>
      <c r="AB71" s="62">
        <f>IF($V71="","",IF(AND(ISNUMBER($G71),$G71&lt;=IF($S71=MesCiclo,InicioCiclo,$S71+MOD(2-WEEKDAY($S71),7))+27),1,IF(ISNUMBER($L71),$L71,$AA71)))</f>
        <v/>
      </c>
      <c r="AC71" s="62">
        <f>IF($V71="","",IF(AND(ISNUMBER($G71),$G71&lt;=IF($S71=MesCiclo,InicioCiclo,$S71+MOD(2-WEEKDAY($S71),7))+6),1,IF(N($W71)&gt;0,AVERAGEIFS($Y$5:$Y$1000,$U$5:$U$1000,ROW(),$V$5:$V$1000,"Sub"),$Y71)))</f>
        <v/>
      </c>
      <c r="AD71" s="62">
        <f>IF($V71="","",IF(AND(ISNUMBER($G71),$G71&lt;=IF($S71=MesCiclo,InicioCiclo,$S71+MOD(2-WEEKDAY($S71),7))+13),1,IF(N($W71)&gt;0,AVERAGEIFS($Z$5:$Z$1000,$U$5:$U$1000,ROW(),$V$5:$V$1000,"Sub"),$Z71)))</f>
        <v/>
      </c>
      <c r="AE71" s="62">
        <f>IF($V71="","",IF(AND(ISNUMBER($G71),$G71&lt;=IF($S71=MesCiclo,InicioCiclo,$S71+MOD(2-WEEKDAY($S71),7))+20),1,IF(N($W71)&gt;0,AVERAGEIFS($AA$5:$AA$1000,$U$5:$U$1000,ROW(),$V$5:$V$1000,"Sub"),$AA71)))</f>
        <v/>
      </c>
      <c r="AF71" s="62">
        <f>IF($V71="","",IF(AND(ISNUMBER($G71),$G71&lt;=IF($S71=MesCiclo,InicioCiclo,$S71+MOD(2-WEEKDAY($S71),7))+27),1,IF(N($W71)&gt;0,AVERAGEIFS($AB$5:$AB$1000,$U$5:$U$1000,ROW(),$V$5:$V$1000,"Sub"),$AB71)))</f>
        <v/>
      </c>
      <c r="AG71" s="62">
        <f>IF($V71&lt;&gt;"Macro","",IF(COUNTIFS($S$5:$S$1000,$S71,$V$5:$V$1000,"Macro",$H$5:$H$1000,"&gt;0")=0,1/COUNTIFS($S$5:$S$1000,$S71,$V$5:$V$1000,"Macro"),IF(AND(ISNUMBER($H71),N($H71)&gt;0),$H71,SUMIFS($H$5:$H$1000,$S$5:$S$1000,$S71,$V$5:$V$1000,"Macro")/COUNTIFS($S$5:$S$1000,$S71,$V$5:$V$1000,"Macro",$H$5:$H$1000,"&gt;0"))/(COUNTIFS($S$5:$S$1000,$S71,$V$5:$V$1000,"Macro")*SUMIFS($H$5:$H$1000,$S$5:$S$1000,$S71,$V$5:$V$1000,"Macro")/COUNTIFS($S$5:$S$1000,$S71,$V$5:$V$1000,"Macro",$H$5:$H$1000,"&gt;0"))))</f>
        <v/>
      </c>
      <c r="AH71" s="62">
        <f>IF(NOT(AND($D71&lt;&gt;"",$V71="Macro")),"",IFERROR(CHOOSE(MATCH($D71,ListaPuestos,0),MATCH("[Jefatura] "&amp;$C71,'Cronograma R. Operacional'!$C$5:$C$1000,0),MATCH("[Jefatura] "&amp;$C71,'Cronograma R. Normativo'!$C$5:$C$1000,0),MATCH("[Jefatura] "&amp;$C71,'Cronograma R. Financiero'!$C$5:$C$1000,0),MATCH("[Jefatura] "&amp;$C71,'Cronograma Asistente Técnico'!$C$5:$C$1000,0)),0))</f>
        <v/>
      </c>
      <c r="AI71" s="62">
        <f>IF(AND(AND($D71&lt;&gt;"",$V71="Macro"),$S71=MesCiclo),COUNTIFS($D$5:$D71,$D71,$S$5:$S71,MesCiclo,$V$5:$V71,"Macro"),"")</f>
        <v/>
      </c>
      <c r="AJ71" s="62">
        <f>IF($AI71="","",$D71&amp;"|"&amp;$AI71)</f>
        <v/>
      </c>
      <c r="AK71" s="62">
        <f>IF(AND($D71&lt;&gt;"",$V71="Macro"),$D71&amp;"|"&amp;$C71,"")</f>
        <v/>
      </c>
      <c r="AL71" s="62">
        <f>""</f>
        <v/>
      </c>
      <c r="AM71" s="62">
        <f>IF(N($AL71)&gt;0,INDEX(rIni_ADM,$AL71),IF(ISNUMBER($E71),$E71,""))</f>
        <v/>
      </c>
      <c r="AN71" s="62">
        <f>IF(N($AL71)&gt;0,INDEX(rLim_ADM,$AL71),IF(ISNUMBER($F71),$F71,""))</f>
        <v/>
      </c>
    </row>
    <row r="72">
      <c r="A72" s="56">
        <f>IF(NOT((COUNTA($B72:$D72)+COUNTA($G72:$L72)+COUNTA($Q72))&gt;0),"",IF($V72="Macro",COUNTIFS($V$5:$V72,"Macro",$S$5:$S72,$S72),IF(N($U72)=0,"?",COUNTIFS(INDEX($V$5:$V$1000,1):INDEX($V$5:$V$1000,$U72-4),"Macro",INDEX($S$5:$S$1000,1):INDEX($S$5:$S$1000,$U72-4),INDEX($S$5:$S$1000,$U72-4))&amp;"."&amp;COUNTIFS($U$5:$U72,$U72,$V$5:$V72,"Sub"))))</f>
        <v/>
      </c>
      <c r="B72" s="57" t="n"/>
      <c r="C72" s="58" t="n"/>
      <c r="D72" s="58" t="n"/>
      <c r="E72" s="59" t="n"/>
      <c r="F72" s="59" t="n"/>
      <c r="G72" s="59" t="n"/>
      <c r="H72" s="60" t="n"/>
      <c r="I72" s="60" t="n"/>
      <c r="J72" s="60" t="n"/>
      <c r="K72" s="60" t="n"/>
      <c r="L72" s="60" t="n"/>
      <c r="M72" s="61">
        <f>IF(NOT((COUNTA($B72:$D72)+COUNTA($G72:$L72)+COUNTA($Q72))&gt;0),"",IF(AND($D72&lt;&gt;"",$V72="Macro"),IF(N($AH72)&gt;0,N(CHOOSE(MATCH($D72,ListaPuestos,0),INDEX('Cronograma R. Operacional'!$M$5:$M$1000,$AH72),INDEX('Cronograma R. Normativo'!$M$5:$M$1000,$AH72),INDEX('Cronograma R. Financiero'!$M$5:$M$1000,$AH72),INDEX('Cronograma Asistente Técnico'!$M$5:$M$1000,$AH72))),0),IF(ISNUMBER($G72),1,IF(N($W72)&gt;0,AVERAGEIFS($X$5:$X$1000,$U$5:$U$1000,ROW(),$V$5:$V$1000,"Sub"),$X72))))</f>
        <v/>
      </c>
      <c r="N72" s="56">
        <f>IF(OR($M72="",$V72="Sub"),"",IF($M72&gt;=1,"Completado",IF($M72&gt;0,"En curso","Pendiente")))</f>
        <v/>
      </c>
      <c r="O72" s="56">
        <f>IF(NOT((COUNTA($B72:$D72)+COUNTA($G72:$L72)+COUNTA($Q72))&gt;0),"",IF(AND(AND($D72&lt;&gt;"",$V72="Macro"),N($AH72)&gt;0),CHOOSE(MATCH($D72,ListaPuestos,0),INDEX('Cronograma R. Operacional'!$O$5:$O$1000,$AH72),INDEX('Cronograma R. Normativo'!$O$5:$O$1000,$AH72),INDEX('Cronograma R. Financiero'!$O$5:$O$1000,$AH72),INDEX('Cronograma Asistente Técnico'!$O$5:$O$1000,$AH72))&amp;"",IF(ISNUMBER($G72),IF(AND(ISNUMBER($AN72),$G72&gt;$AN72),"Cumplida con "&amp;($G72-$AN72)&amp;IF($G72-$AN72=1," día"," días")&amp;" de retraso","Cumplida"),IF(N($M72)&gt;=1,"Cumplida",IF(NOT(ISNUMBER($AN72)),"Sin fecha límite",IF($AN72&lt;FechaRef,"Vencida hace "&amp;(FechaRef-$AN72)&amp;IF(FechaRef-$AN72=1," día"," días"),IF($AN72=FechaRef,"Vence hoy",IF($AN72-FechaRef&lt;=DiasAlerta,"Vence en "&amp;($AN72-FechaRef)&amp;IF($AN72-FechaRef=1," día"," días"),"En plazo"))))))))</f>
        <v/>
      </c>
      <c r="P72" s="62">
        <f>IF(NOT((COUNTA($B72:$D72)+COUNTA($G72:$L72)+COUNTA($Q72))&gt;0),"",IF($D72="","Propia",IF($V72&lt;&gt;"Macro","Solo se delegan macroactividades",IF(N($AH72)&gt;0,"✔ Recibida por "&amp;$D72,"⚠ "&amp;$D72&amp;" aún no la agrega"))))</f>
        <v/>
      </c>
      <c r="Q72" s="58" t="n"/>
      <c r="R72" s="63">
        <f>IF(NOT((COUNTA($B72:$D72)+COUNTA($G72:$L72)+COUNTA($Q72))&gt;0),"",IF((IF($C72="","Falta el nombre de la actividad"&amp;" · ","")&amp;IF(AND($V72="Sub",N($U72)=0),"Subactividad sin macroactividad arriba"&amp;" · ","")&amp;IF($AM72="","Sin fecha de inicio"&amp;" · ","")&amp;IF($AN72="","Sin fecha límite"&amp;" · ","")&amp;IF(AND(LEFT($C72,11)="[Jefatura] ",N($AL72)=0),"No se encuentra en la hoja de la jefatura (elíjala de nuevo en la lista)"&amp;" · ","")&amp;IF(OR(AND($E72&lt;&gt;"",NOT(ISNUMBER($E72))),AND($F72&lt;&gt;"",NOT(ISNUMBER($F72))),AND($G72&lt;&gt;"",NOT(ISNUMBER($G72)))),"Fecha no válida"&amp;" · ","")&amp;IF(AND(ISNUMBER($AM72),ISNUMBER($AN72),$AM72&gt;$AN72),"Inicio posterior a fecha límite"&amp;" · ","")&amp;IF(AND($V72="Macro",$H72&lt;&gt;"",OR(NOT(ISNUMBER($H72)),$H72&lt;0,$H72&gt;1)),"Peso fuera de rango"&amp;" · ","")&amp;IF(AND($V72="Sub",$H72&lt;&gt;""),"Las subactividades no llevan peso (valen igual dentro de su macroactividad)"&amp;" · ","")&amp;IF(AND(N($W72)&gt;0,COUNT($I72:$L72)&gt;0),"Con subactividades: deje vacías las semanas (se calculan solas)"&amp;" · ","")&amp;IF((COUNTIF($I72:$L72,"&gt;1")+COUNTIF($I72:$L72,"&lt;0")+COUNTA($I72:$L72)-COUNT($I72:$L72))&gt;0,"Avance fuera de rango 0-100%"&amp;" · ","")&amp;IF(OR(AND($J72&lt;&gt;"",$J72&lt;$I72),AND($K72&lt;&gt;"",$K72&lt;MAX($I72:$J72)),AND($L72&lt;&gt;"",$L72&lt;MAX($I72:$K72))),"Avance semanal decreciente"&amp;" · ","")&amp;IF(AND(ISNUMBER($AN72),$AN72&lt;FechaRef,IF($V72="Sub",N($X72),N($M72))&lt;1),"Vencida"&amp;" · ","")&amp;IF(AND(ObsObligatoria="Sí",ISNUMBER($AN72),$AN72&lt;FechaRef,IF($V72="Sub",N($X72),N($M72))&lt;1,$Q72=""),"Vencida sin observación"&amp;" · ",""))="","✔ OK","⚠ "&amp;LEFT(IF($C72="","Falta el nombre de la actividad"&amp;" · ","")&amp;IF(AND($V72="Sub",N($U72)=0),"Subactividad sin macroactividad arriba"&amp;" · ","")&amp;IF($AM72="","Sin fecha de inicio"&amp;" · ","")&amp;IF($AN72="","Sin fecha límite"&amp;" · ","")&amp;IF(AND(LEFT($C72,11)="[Jefatura] ",N($AL72)=0),"No se encuentra en la hoja de la jefatura (elíjala de nuevo en la lista)"&amp;" · ","")&amp;IF(OR(AND($E72&lt;&gt;"",NOT(ISNUMBER($E72))),AND($F72&lt;&gt;"",NOT(ISNUMBER($F72))),AND($G72&lt;&gt;"",NOT(ISNUMBER($G72)))),"Fecha no válida"&amp;" · ","")&amp;IF(AND(ISNUMBER($AM72),ISNUMBER($AN72),$AM72&gt;$AN72),"Inicio posterior a fecha límite"&amp;" · ","")&amp;IF(AND($V72="Macro",$H72&lt;&gt;"",OR(NOT(ISNUMBER($H72)),$H72&lt;0,$H72&gt;1)),"Peso fuera de rango"&amp;" · ","")&amp;IF(AND($V72="Sub",$H72&lt;&gt;""),"Las subactividades no llevan peso (valen igual dentro de su macroactividad)"&amp;" · ","")&amp;IF(AND(N($W72)&gt;0,COUNT($I72:$L72)&gt;0),"Con subactividades: deje vacías las semanas (se calculan solas)"&amp;" · ","")&amp;IF((COUNTIF($I72:$L72,"&gt;1")+COUNTIF($I72:$L72,"&lt;0")+COUNTA($I72:$L72)-COUNT($I72:$L72))&gt;0,"Avance fuera de rango 0-100%"&amp;" · ","")&amp;IF(OR(AND($J72&lt;&gt;"",$J72&lt;$I72),AND($K72&lt;&gt;"",$K72&lt;MAX($I72:$J72)),AND($L72&lt;&gt;"",$L72&lt;MAX($I72:$K72))),"Avance semanal decreciente"&amp;" · ","")&amp;IF(AND(ISNUMBER($AN72),$AN72&lt;FechaRef,IF($V72="Sub",N($X72),N($M72))&lt;1),"Vencida"&amp;" · ","")&amp;IF(AND(ObsObligatoria="Sí",ISNUMBER($AN72),$AN72&lt;FechaRef,IF($V72="Sub",N($X72),N($M72))&lt;1,$Q72=""),"Vencida sin observación"&amp;" · ",""),LEN(IF($C72="","Falta el nombre de la actividad"&amp;" · ","")&amp;IF(AND($V72="Sub",N($U72)=0),"Subactividad sin macroactividad arriba"&amp;" · ","")&amp;IF($AM72="","Sin fecha de inicio"&amp;" · ","")&amp;IF($AN72="","Sin fecha límite"&amp;" · ","")&amp;IF(AND(LEFT($C72,11)="[Jefatura] ",N($AL72)=0),"No se encuentra en la hoja de la jefatura (elíjala de nuevo en la lista)"&amp;" · ","")&amp;IF(OR(AND($E72&lt;&gt;"",NOT(ISNUMBER($E72))),AND($F72&lt;&gt;"",NOT(ISNUMBER($F72))),AND($G72&lt;&gt;"",NOT(ISNUMBER($G72)))),"Fecha no válida"&amp;" · ","")&amp;IF(AND(ISNUMBER($AM72),ISNUMBER($AN72),$AM72&gt;$AN72),"Inicio posterior a fecha límite"&amp;" · ","")&amp;IF(AND($V72="Macro",$H72&lt;&gt;"",OR(NOT(ISNUMBER($H72)),$H72&lt;0,$H72&gt;1)),"Peso fuera de rango"&amp;" · ","")&amp;IF(AND($V72="Sub",$H72&lt;&gt;""),"Las subactividades no llevan peso (valen igual dentro de su macroactividad)"&amp;" · ","")&amp;IF(AND(N($W72)&gt;0,COUNT($I72:$L72)&gt;0),"Con subactividades: deje vacías las semanas (se calculan solas)"&amp;" · ","")&amp;IF((COUNTIF($I72:$L72,"&gt;1")+COUNTIF($I72:$L72,"&lt;0")+COUNTA($I72:$L72)-COUNT($I72:$L72))&gt;0,"Avance fuera de rango 0-100%"&amp;" · ","")&amp;IF(OR(AND($J72&lt;&gt;"",$J72&lt;$I72),AND($K72&lt;&gt;"",$K72&lt;MAX($I72:$J72)),AND($L72&lt;&gt;"",$L72&lt;MAX($I72:$K72))),"Avance semanal decreciente"&amp;" · ","")&amp;IF(AND(ISNUMBER($AN72),$AN72&lt;FechaRef,IF($V72="Sub",N($X72),N($M72))&lt;1),"Vencida"&amp;" · ","")&amp;IF(AND(ObsObligatoria="Sí",ISNUMBER($AN72),$AN72&lt;FechaRef,IF($V72="Sub",N($X72),N($M72))&lt;1,$Q72=""),"Vencida sin observación"&amp;" · ",""))-3)))</f>
        <v/>
      </c>
      <c r="S72" s="64">
        <f>IF(NOT((COUNTA($B72:$D72)+COUNTA($G72:$L72)+COUNTA($Q72))&gt;0),"",IF(AND($V72="Sub",N($U72)&gt;0),IF(ISNUMBER(INDEX($AM$5:$AM$1000,$U72-4)),DATE(YEAR(INDEX($AM$5:$AM$1000,$U72-4)),MONTH(INDEX($AM$5:$AM$1000,$U72-4)),1),IF(ISNUMBER(INDEX($AN$5:$AN$1000,$U72-4)),DATE(YEAR(INDEX($AN$5:$AN$1000,$U72-4)),MONTH(INDEX($AN$5:$AN$1000,$U72-4)),1),MesCiclo)),IF(ISNUMBER($AM72),DATE(YEAR($AM72),MONTH($AM72),1),IF(ISNUMBER($AN72),DATE(YEAR($AN72),MONTH($AN72),1),MesCiclo))))</f>
        <v/>
      </c>
      <c r="T72" s="62">
        <f>IF(OR($S72="",$S72&lt;&gt;MesCiclo,$V72&lt;&gt;"Macro"),"",COUNTIFS($S$5:$S72,MesCiclo,$V$5:$V72,"Macro"))</f>
        <v/>
      </c>
      <c r="U72" s="62">
        <f>IF($V72="","",IF($V72="Macro",ROW(),IFERROR(LOOKUP(2,1/($V$5:$V72="Macro"),ROW($V$5:$V72)),0)))</f>
        <v/>
      </c>
      <c r="V72" s="62">
        <f>IF(NOT((COUNTA($B72:$D72)+COUNTA($G72:$L72)+COUNTA($Q72))&gt;0),"",IF($B72="Subactividad","Sub","Macro"))</f>
        <v/>
      </c>
      <c r="W72" s="62">
        <f>IF($V72="Macro",COUNTIFS($U$5:$U$1000,ROW(),$V$5:$V$1000,"Sub"),"")</f>
        <v/>
      </c>
      <c r="X72" s="62">
        <f>IF($V72="","",IF(ISNUMBER($G72),1,IFERROR(LOOKUP(2,1/($I72:$L72&lt;&gt;""),$I72:$L72),0)))</f>
        <v/>
      </c>
      <c r="Y72" s="62">
        <f>IF($V72="","",IF(AND(ISNUMBER($G72),$G72&lt;=IF($S72=MesCiclo,InicioCiclo,$S72+MOD(2-WEEKDAY($S72),7))+6),1,IF(ISNUMBER($I72),$I72,0)))</f>
        <v/>
      </c>
      <c r="Z72" s="62">
        <f>IF($V72="","",IF(AND(ISNUMBER($G72),$G72&lt;=IF($S72=MesCiclo,InicioCiclo,$S72+MOD(2-WEEKDAY($S72),7))+13),1,IF(ISNUMBER($J72),$J72,$Y72)))</f>
        <v/>
      </c>
      <c r="AA72" s="62">
        <f>IF($V72="","",IF(AND(ISNUMBER($G72),$G72&lt;=IF($S72=MesCiclo,InicioCiclo,$S72+MOD(2-WEEKDAY($S72),7))+20),1,IF(ISNUMBER($K72),$K72,$Z72)))</f>
        <v/>
      </c>
      <c r="AB72" s="62">
        <f>IF($V72="","",IF(AND(ISNUMBER($G72),$G72&lt;=IF($S72=MesCiclo,InicioCiclo,$S72+MOD(2-WEEKDAY($S72),7))+27),1,IF(ISNUMBER($L72),$L72,$AA72)))</f>
        <v/>
      </c>
      <c r="AC72" s="62">
        <f>IF($V72="","",IF(AND(ISNUMBER($G72),$G72&lt;=IF($S72=MesCiclo,InicioCiclo,$S72+MOD(2-WEEKDAY($S72),7))+6),1,IF(N($W72)&gt;0,AVERAGEIFS($Y$5:$Y$1000,$U$5:$U$1000,ROW(),$V$5:$V$1000,"Sub"),$Y72)))</f>
        <v/>
      </c>
      <c r="AD72" s="62">
        <f>IF($V72="","",IF(AND(ISNUMBER($G72),$G72&lt;=IF($S72=MesCiclo,InicioCiclo,$S72+MOD(2-WEEKDAY($S72),7))+13),1,IF(N($W72)&gt;0,AVERAGEIFS($Z$5:$Z$1000,$U$5:$U$1000,ROW(),$V$5:$V$1000,"Sub"),$Z72)))</f>
        <v/>
      </c>
      <c r="AE72" s="62">
        <f>IF($V72="","",IF(AND(ISNUMBER($G72),$G72&lt;=IF($S72=MesCiclo,InicioCiclo,$S72+MOD(2-WEEKDAY($S72),7))+20),1,IF(N($W72)&gt;0,AVERAGEIFS($AA$5:$AA$1000,$U$5:$U$1000,ROW(),$V$5:$V$1000,"Sub"),$AA72)))</f>
        <v/>
      </c>
      <c r="AF72" s="62">
        <f>IF($V72="","",IF(AND(ISNUMBER($G72),$G72&lt;=IF($S72=MesCiclo,InicioCiclo,$S72+MOD(2-WEEKDAY($S72),7))+27),1,IF(N($W72)&gt;0,AVERAGEIFS($AB$5:$AB$1000,$U$5:$U$1000,ROW(),$V$5:$V$1000,"Sub"),$AB72)))</f>
        <v/>
      </c>
      <c r="AG72" s="62">
        <f>IF($V72&lt;&gt;"Macro","",IF(COUNTIFS($S$5:$S$1000,$S72,$V$5:$V$1000,"Macro",$H$5:$H$1000,"&gt;0")=0,1/COUNTIFS($S$5:$S$1000,$S72,$V$5:$V$1000,"Macro"),IF(AND(ISNUMBER($H72),N($H72)&gt;0),$H72,SUMIFS($H$5:$H$1000,$S$5:$S$1000,$S72,$V$5:$V$1000,"Macro")/COUNTIFS($S$5:$S$1000,$S72,$V$5:$V$1000,"Macro",$H$5:$H$1000,"&gt;0"))/(COUNTIFS($S$5:$S$1000,$S72,$V$5:$V$1000,"Macro")*SUMIFS($H$5:$H$1000,$S$5:$S$1000,$S72,$V$5:$V$1000,"Macro")/COUNTIFS($S$5:$S$1000,$S72,$V$5:$V$1000,"Macro",$H$5:$H$1000,"&gt;0"))))</f>
        <v/>
      </c>
      <c r="AH72" s="62">
        <f>IF(NOT(AND($D72&lt;&gt;"",$V72="Macro")),"",IFERROR(CHOOSE(MATCH($D72,ListaPuestos,0),MATCH("[Jefatura] "&amp;$C72,'Cronograma R. Operacional'!$C$5:$C$1000,0),MATCH("[Jefatura] "&amp;$C72,'Cronograma R. Normativo'!$C$5:$C$1000,0),MATCH("[Jefatura] "&amp;$C72,'Cronograma R. Financiero'!$C$5:$C$1000,0),MATCH("[Jefatura] "&amp;$C72,'Cronograma Asistente Técnico'!$C$5:$C$1000,0)),0))</f>
        <v/>
      </c>
      <c r="AI72" s="62">
        <f>IF(AND(AND($D72&lt;&gt;"",$V72="Macro"),$S72=MesCiclo),COUNTIFS($D$5:$D72,$D72,$S$5:$S72,MesCiclo,$V$5:$V72,"Macro"),"")</f>
        <v/>
      </c>
      <c r="AJ72" s="62">
        <f>IF($AI72="","",$D72&amp;"|"&amp;$AI72)</f>
        <v/>
      </c>
      <c r="AK72" s="62">
        <f>IF(AND($D72&lt;&gt;"",$V72="Macro"),$D72&amp;"|"&amp;$C72,"")</f>
        <v/>
      </c>
      <c r="AL72" s="62">
        <f>""</f>
        <v/>
      </c>
      <c r="AM72" s="62">
        <f>IF(N($AL72)&gt;0,INDEX(rIni_ADM,$AL72),IF(ISNUMBER($E72),$E72,""))</f>
        <v/>
      </c>
      <c r="AN72" s="62">
        <f>IF(N($AL72)&gt;0,INDEX(rLim_ADM,$AL72),IF(ISNUMBER($F72),$F72,""))</f>
        <v/>
      </c>
    </row>
    <row r="73">
      <c r="A73" s="56">
        <f>IF(NOT((COUNTA($B73:$D73)+COUNTA($G73:$L73)+COUNTA($Q73))&gt;0),"",IF($V73="Macro",COUNTIFS($V$5:$V73,"Macro",$S$5:$S73,$S73),IF(N($U73)=0,"?",COUNTIFS(INDEX($V$5:$V$1000,1):INDEX($V$5:$V$1000,$U73-4),"Macro",INDEX($S$5:$S$1000,1):INDEX($S$5:$S$1000,$U73-4),INDEX($S$5:$S$1000,$U73-4))&amp;"."&amp;COUNTIFS($U$5:$U73,$U73,$V$5:$V73,"Sub"))))</f>
        <v/>
      </c>
      <c r="B73" s="57" t="n"/>
      <c r="C73" s="58" t="n"/>
      <c r="D73" s="58" t="n"/>
      <c r="E73" s="59" t="n"/>
      <c r="F73" s="59" t="n"/>
      <c r="G73" s="59" t="n"/>
      <c r="H73" s="60" t="n"/>
      <c r="I73" s="60" t="n"/>
      <c r="J73" s="60" t="n"/>
      <c r="K73" s="60" t="n"/>
      <c r="L73" s="60" t="n"/>
      <c r="M73" s="61">
        <f>IF(NOT((COUNTA($B73:$D73)+COUNTA($G73:$L73)+COUNTA($Q73))&gt;0),"",IF(AND($D73&lt;&gt;"",$V73="Macro"),IF(N($AH73)&gt;0,N(CHOOSE(MATCH($D73,ListaPuestos,0),INDEX('Cronograma R. Operacional'!$M$5:$M$1000,$AH73),INDEX('Cronograma R. Normativo'!$M$5:$M$1000,$AH73),INDEX('Cronograma R. Financiero'!$M$5:$M$1000,$AH73),INDEX('Cronograma Asistente Técnico'!$M$5:$M$1000,$AH73))),0),IF(ISNUMBER($G73),1,IF(N($W73)&gt;0,AVERAGEIFS($X$5:$X$1000,$U$5:$U$1000,ROW(),$V$5:$V$1000,"Sub"),$X73))))</f>
        <v/>
      </c>
      <c r="N73" s="56">
        <f>IF(OR($M73="",$V73="Sub"),"",IF($M73&gt;=1,"Completado",IF($M73&gt;0,"En curso","Pendiente")))</f>
        <v/>
      </c>
      <c r="O73" s="56">
        <f>IF(NOT((COUNTA($B73:$D73)+COUNTA($G73:$L73)+COUNTA($Q73))&gt;0),"",IF(AND(AND($D73&lt;&gt;"",$V73="Macro"),N($AH73)&gt;0),CHOOSE(MATCH($D73,ListaPuestos,0),INDEX('Cronograma R. Operacional'!$O$5:$O$1000,$AH73),INDEX('Cronograma R. Normativo'!$O$5:$O$1000,$AH73),INDEX('Cronograma R. Financiero'!$O$5:$O$1000,$AH73),INDEX('Cronograma Asistente Técnico'!$O$5:$O$1000,$AH73))&amp;"",IF(ISNUMBER($G73),IF(AND(ISNUMBER($AN73),$G73&gt;$AN73),"Cumplida con "&amp;($G73-$AN73)&amp;IF($G73-$AN73=1," día"," días")&amp;" de retraso","Cumplida"),IF(N($M73)&gt;=1,"Cumplida",IF(NOT(ISNUMBER($AN73)),"Sin fecha límite",IF($AN73&lt;FechaRef,"Vencida hace "&amp;(FechaRef-$AN73)&amp;IF(FechaRef-$AN73=1," día"," días"),IF($AN73=FechaRef,"Vence hoy",IF($AN73-FechaRef&lt;=DiasAlerta,"Vence en "&amp;($AN73-FechaRef)&amp;IF($AN73-FechaRef=1," día"," días"),"En plazo"))))))))</f>
        <v/>
      </c>
      <c r="P73" s="62">
        <f>IF(NOT((COUNTA($B73:$D73)+COUNTA($G73:$L73)+COUNTA($Q73))&gt;0),"",IF($D73="","Propia",IF($V73&lt;&gt;"Macro","Solo se delegan macroactividades",IF(N($AH73)&gt;0,"✔ Recibida por "&amp;$D73,"⚠ "&amp;$D73&amp;" aún no la agrega"))))</f>
        <v/>
      </c>
      <c r="Q73" s="58" t="n"/>
      <c r="R73" s="63">
        <f>IF(NOT((COUNTA($B73:$D73)+COUNTA($G73:$L73)+COUNTA($Q73))&gt;0),"",IF((IF($C73="","Falta el nombre de la actividad"&amp;" · ","")&amp;IF(AND($V73="Sub",N($U73)=0),"Subactividad sin macroactividad arriba"&amp;" · ","")&amp;IF($AM73="","Sin fecha de inicio"&amp;" · ","")&amp;IF($AN73="","Sin fecha límite"&amp;" · ","")&amp;IF(AND(LEFT($C73,11)="[Jefatura] ",N($AL73)=0),"No se encuentra en la hoja de la jefatura (elíjala de nuevo en la lista)"&amp;" · ","")&amp;IF(OR(AND($E73&lt;&gt;"",NOT(ISNUMBER($E73))),AND($F73&lt;&gt;"",NOT(ISNUMBER($F73))),AND($G73&lt;&gt;"",NOT(ISNUMBER($G73)))),"Fecha no válida"&amp;" · ","")&amp;IF(AND(ISNUMBER($AM73),ISNUMBER($AN73),$AM73&gt;$AN73),"Inicio posterior a fecha límite"&amp;" · ","")&amp;IF(AND($V73="Macro",$H73&lt;&gt;"",OR(NOT(ISNUMBER($H73)),$H73&lt;0,$H73&gt;1)),"Peso fuera de rango"&amp;" · ","")&amp;IF(AND($V73="Sub",$H73&lt;&gt;""),"Las subactividades no llevan peso (valen igual dentro de su macroactividad)"&amp;" · ","")&amp;IF(AND(N($W73)&gt;0,COUNT($I73:$L73)&gt;0),"Con subactividades: deje vacías las semanas (se calculan solas)"&amp;" · ","")&amp;IF((COUNTIF($I73:$L73,"&gt;1")+COUNTIF($I73:$L73,"&lt;0")+COUNTA($I73:$L73)-COUNT($I73:$L73))&gt;0,"Avance fuera de rango 0-100%"&amp;" · ","")&amp;IF(OR(AND($J73&lt;&gt;"",$J73&lt;$I73),AND($K73&lt;&gt;"",$K73&lt;MAX($I73:$J73)),AND($L73&lt;&gt;"",$L73&lt;MAX($I73:$K73))),"Avance semanal decreciente"&amp;" · ","")&amp;IF(AND(ISNUMBER($AN73),$AN73&lt;FechaRef,IF($V73="Sub",N($X73),N($M73))&lt;1),"Vencida"&amp;" · ","")&amp;IF(AND(ObsObligatoria="Sí",ISNUMBER($AN73),$AN73&lt;FechaRef,IF($V73="Sub",N($X73),N($M73))&lt;1,$Q73=""),"Vencida sin observación"&amp;" · ",""))="","✔ OK","⚠ "&amp;LEFT(IF($C73="","Falta el nombre de la actividad"&amp;" · ","")&amp;IF(AND($V73="Sub",N($U73)=0),"Subactividad sin macroactividad arriba"&amp;" · ","")&amp;IF($AM73="","Sin fecha de inicio"&amp;" · ","")&amp;IF($AN73="","Sin fecha límite"&amp;" · ","")&amp;IF(AND(LEFT($C73,11)="[Jefatura] ",N($AL73)=0),"No se encuentra en la hoja de la jefatura (elíjala de nuevo en la lista)"&amp;" · ","")&amp;IF(OR(AND($E73&lt;&gt;"",NOT(ISNUMBER($E73))),AND($F73&lt;&gt;"",NOT(ISNUMBER($F73))),AND($G73&lt;&gt;"",NOT(ISNUMBER($G73)))),"Fecha no válida"&amp;" · ","")&amp;IF(AND(ISNUMBER($AM73),ISNUMBER($AN73),$AM73&gt;$AN73),"Inicio posterior a fecha límite"&amp;" · ","")&amp;IF(AND($V73="Macro",$H73&lt;&gt;"",OR(NOT(ISNUMBER($H73)),$H73&lt;0,$H73&gt;1)),"Peso fuera de rango"&amp;" · ","")&amp;IF(AND($V73="Sub",$H73&lt;&gt;""),"Las subactividades no llevan peso (valen igual dentro de su macroactividad)"&amp;" · ","")&amp;IF(AND(N($W73)&gt;0,COUNT($I73:$L73)&gt;0),"Con subactividades: deje vacías las semanas (se calculan solas)"&amp;" · ","")&amp;IF((COUNTIF($I73:$L73,"&gt;1")+COUNTIF($I73:$L73,"&lt;0")+COUNTA($I73:$L73)-COUNT($I73:$L73))&gt;0,"Avance fuera de rango 0-100%"&amp;" · ","")&amp;IF(OR(AND($J73&lt;&gt;"",$J73&lt;$I73),AND($K73&lt;&gt;"",$K73&lt;MAX($I73:$J73)),AND($L73&lt;&gt;"",$L73&lt;MAX($I73:$K73))),"Avance semanal decreciente"&amp;" · ","")&amp;IF(AND(ISNUMBER($AN73),$AN73&lt;FechaRef,IF($V73="Sub",N($X73),N($M73))&lt;1),"Vencida"&amp;" · ","")&amp;IF(AND(ObsObligatoria="Sí",ISNUMBER($AN73),$AN73&lt;FechaRef,IF($V73="Sub",N($X73),N($M73))&lt;1,$Q73=""),"Vencida sin observación"&amp;" · ",""),LEN(IF($C73="","Falta el nombre de la actividad"&amp;" · ","")&amp;IF(AND($V73="Sub",N($U73)=0),"Subactividad sin macroactividad arriba"&amp;" · ","")&amp;IF($AM73="","Sin fecha de inicio"&amp;" · ","")&amp;IF($AN73="","Sin fecha límite"&amp;" · ","")&amp;IF(AND(LEFT($C73,11)="[Jefatura] ",N($AL73)=0),"No se encuentra en la hoja de la jefatura (elíjala de nuevo en la lista)"&amp;" · ","")&amp;IF(OR(AND($E73&lt;&gt;"",NOT(ISNUMBER($E73))),AND($F73&lt;&gt;"",NOT(ISNUMBER($F73))),AND($G73&lt;&gt;"",NOT(ISNUMBER($G73)))),"Fecha no válida"&amp;" · ","")&amp;IF(AND(ISNUMBER($AM73),ISNUMBER($AN73),$AM73&gt;$AN73),"Inicio posterior a fecha límite"&amp;" · ","")&amp;IF(AND($V73="Macro",$H73&lt;&gt;"",OR(NOT(ISNUMBER($H73)),$H73&lt;0,$H73&gt;1)),"Peso fuera de rango"&amp;" · ","")&amp;IF(AND($V73="Sub",$H73&lt;&gt;""),"Las subactividades no llevan peso (valen igual dentro de su macroactividad)"&amp;" · ","")&amp;IF(AND(N($W73)&gt;0,COUNT($I73:$L73)&gt;0),"Con subactividades: deje vacías las semanas (se calculan solas)"&amp;" · ","")&amp;IF((COUNTIF($I73:$L73,"&gt;1")+COUNTIF($I73:$L73,"&lt;0")+COUNTA($I73:$L73)-COUNT($I73:$L73))&gt;0,"Avance fuera de rango 0-100%"&amp;" · ","")&amp;IF(OR(AND($J73&lt;&gt;"",$J73&lt;$I73),AND($K73&lt;&gt;"",$K73&lt;MAX($I73:$J73)),AND($L73&lt;&gt;"",$L73&lt;MAX($I73:$K73))),"Avance semanal decreciente"&amp;" · ","")&amp;IF(AND(ISNUMBER($AN73),$AN73&lt;FechaRef,IF($V73="Sub",N($X73),N($M73))&lt;1),"Vencida"&amp;" · ","")&amp;IF(AND(ObsObligatoria="Sí",ISNUMBER($AN73),$AN73&lt;FechaRef,IF($V73="Sub",N($X73),N($M73))&lt;1,$Q73=""),"Vencida sin observación"&amp;" · ",""))-3)))</f>
        <v/>
      </c>
      <c r="S73" s="64">
        <f>IF(NOT((COUNTA($B73:$D73)+COUNTA($G73:$L73)+COUNTA($Q73))&gt;0),"",IF(AND($V73="Sub",N($U73)&gt;0),IF(ISNUMBER(INDEX($AM$5:$AM$1000,$U73-4)),DATE(YEAR(INDEX($AM$5:$AM$1000,$U73-4)),MONTH(INDEX($AM$5:$AM$1000,$U73-4)),1),IF(ISNUMBER(INDEX($AN$5:$AN$1000,$U73-4)),DATE(YEAR(INDEX($AN$5:$AN$1000,$U73-4)),MONTH(INDEX($AN$5:$AN$1000,$U73-4)),1),MesCiclo)),IF(ISNUMBER($AM73),DATE(YEAR($AM73),MONTH($AM73),1),IF(ISNUMBER($AN73),DATE(YEAR($AN73),MONTH($AN73),1),MesCiclo))))</f>
        <v/>
      </c>
      <c r="T73" s="62">
        <f>IF(OR($S73="",$S73&lt;&gt;MesCiclo,$V73&lt;&gt;"Macro"),"",COUNTIFS($S$5:$S73,MesCiclo,$V$5:$V73,"Macro"))</f>
        <v/>
      </c>
      <c r="U73" s="62">
        <f>IF($V73="","",IF($V73="Macro",ROW(),IFERROR(LOOKUP(2,1/($V$5:$V73="Macro"),ROW($V$5:$V73)),0)))</f>
        <v/>
      </c>
      <c r="V73" s="62">
        <f>IF(NOT((COUNTA($B73:$D73)+COUNTA($G73:$L73)+COUNTA($Q73))&gt;0),"",IF($B73="Subactividad","Sub","Macro"))</f>
        <v/>
      </c>
      <c r="W73" s="62">
        <f>IF($V73="Macro",COUNTIFS($U$5:$U$1000,ROW(),$V$5:$V$1000,"Sub"),"")</f>
        <v/>
      </c>
      <c r="X73" s="62">
        <f>IF($V73="","",IF(ISNUMBER($G73),1,IFERROR(LOOKUP(2,1/($I73:$L73&lt;&gt;""),$I73:$L73),0)))</f>
        <v/>
      </c>
      <c r="Y73" s="62">
        <f>IF($V73="","",IF(AND(ISNUMBER($G73),$G73&lt;=IF($S73=MesCiclo,InicioCiclo,$S73+MOD(2-WEEKDAY($S73),7))+6),1,IF(ISNUMBER($I73),$I73,0)))</f>
        <v/>
      </c>
      <c r="Z73" s="62">
        <f>IF($V73="","",IF(AND(ISNUMBER($G73),$G73&lt;=IF($S73=MesCiclo,InicioCiclo,$S73+MOD(2-WEEKDAY($S73),7))+13),1,IF(ISNUMBER($J73),$J73,$Y73)))</f>
        <v/>
      </c>
      <c r="AA73" s="62">
        <f>IF($V73="","",IF(AND(ISNUMBER($G73),$G73&lt;=IF($S73=MesCiclo,InicioCiclo,$S73+MOD(2-WEEKDAY($S73),7))+20),1,IF(ISNUMBER($K73),$K73,$Z73)))</f>
        <v/>
      </c>
      <c r="AB73" s="62">
        <f>IF($V73="","",IF(AND(ISNUMBER($G73),$G73&lt;=IF($S73=MesCiclo,InicioCiclo,$S73+MOD(2-WEEKDAY($S73),7))+27),1,IF(ISNUMBER($L73),$L73,$AA73)))</f>
        <v/>
      </c>
      <c r="AC73" s="62">
        <f>IF($V73="","",IF(AND(ISNUMBER($G73),$G73&lt;=IF($S73=MesCiclo,InicioCiclo,$S73+MOD(2-WEEKDAY($S73),7))+6),1,IF(N($W73)&gt;0,AVERAGEIFS($Y$5:$Y$1000,$U$5:$U$1000,ROW(),$V$5:$V$1000,"Sub"),$Y73)))</f>
        <v/>
      </c>
      <c r="AD73" s="62">
        <f>IF($V73="","",IF(AND(ISNUMBER($G73),$G73&lt;=IF($S73=MesCiclo,InicioCiclo,$S73+MOD(2-WEEKDAY($S73),7))+13),1,IF(N($W73)&gt;0,AVERAGEIFS($Z$5:$Z$1000,$U$5:$U$1000,ROW(),$V$5:$V$1000,"Sub"),$Z73)))</f>
        <v/>
      </c>
      <c r="AE73" s="62">
        <f>IF($V73="","",IF(AND(ISNUMBER($G73),$G73&lt;=IF($S73=MesCiclo,InicioCiclo,$S73+MOD(2-WEEKDAY($S73),7))+20),1,IF(N($W73)&gt;0,AVERAGEIFS($AA$5:$AA$1000,$U$5:$U$1000,ROW(),$V$5:$V$1000,"Sub"),$AA73)))</f>
        <v/>
      </c>
      <c r="AF73" s="62">
        <f>IF($V73="","",IF(AND(ISNUMBER($G73),$G73&lt;=IF($S73=MesCiclo,InicioCiclo,$S73+MOD(2-WEEKDAY($S73),7))+27),1,IF(N($W73)&gt;0,AVERAGEIFS($AB$5:$AB$1000,$U$5:$U$1000,ROW(),$V$5:$V$1000,"Sub"),$AB73)))</f>
        <v/>
      </c>
      <c r="AG73" s="62">
        <f>IF($V73&lt;&gt;"Macro","",IF(COUNTIFS($S$5:$S$1000,$S73,$V$5:$V$1000,"Macro",$H$5:$H$1000,"&gt;0")=0,1/COUNTIFS($S$5:$S$1000,$S73,$V$5:$V$1000,"Macro"),IF(AND(ISNUMBER($H73),N($H73)&gt;0),$H73,SUMIFS($H$5:$H$1000,$S$5:$S$1000,$S73,$V$5:$V$1000,"Macro")/COUNTIFS($S$5:$S$1000,$S73,$V$5:$V$1000,"Macro",$H$5:$H$1000,"&gt;0"))/(COUNTIFS($S$5:$S$1000,$S73,$V$5:$V$1000,"Macro")*SUMIFS($H$5:$H$1000,$S$5:$S$1000,$S73,$V$5:$V$1000,"Macro")/COUNTIFS($S$5:$S$1000,$S73,$V$5:$V$1000,"Macro",$H$5:$H$1000,"&gt;0"))))</f>
        <v/>
      </c>
      <c r="AH73" s="62">
        <f>IF(NOT(AND($D73&lt;&gt;"",$V73="Macro")),"",IFERROR(CHOOSE(MATCH($D73,ListaPuestos,0),MATCH("[Jefatura] "&amp;$C73,'Cronograma R. Operacional'!$C$5:$C$1000,0),MATCH("[Jefatura] "&amp;$C73,'Cronograma R. Normativo'!$C$5:$C$1000,0),MATCH("[Jefatura] "&amp;$C73,'Cronograma R. Financiero'!$C$5:$C$1000,0),MATCH("[Jefatura] "&amp;$C73,'Cronograma Asistente Técnico'!$C$5:$C$1000,0)),0))</f>
        <v/>
      </c>
      <c r="AI73" s="62">
        <f>IF(AND(AND($D73&lt;&gt;"",$V73="Macro"),$S73=MesCiclo),COUNTIFS($D$5:$D73,$D73,$S$5:$S73,MesCiclo,$V$5:$V73,"Macro"),"")</f>
        <v/>
      </c>
      <c r="AJ73" s="62">
        <f>IF($AI73="","",$D73&amp;"|"&amp;$AI73)</f>
        <v/>
      </c>
      <c r="AK73" s="62">
        <f>IF(AND($D73&lt;&gt;"",$V73="Macro"),$D73&amp;"|"&amp;$C73,"")</f>
        <v/>
      </c>
      <c r="AL73" s="62">
        <f>""</f>
        <v/>
      </c>
      <c r="AM73" s="62">
        <f>IF(N($AL73)&gt;0,INDEX(rIni_ADM,$AL73),IF(ISNUMBER($E73),$E73,""))</f>
        <v/>
      </c>
      <c r="AN73" s="62">
        <f>IF(N($AL73)&gt;0,INDEX(rLim_ADM,$AL73),IF(ISNUMBER($F73),$F73,""))</f>
        <v/>
      </c>
    </row>
    <row r="74">
      <c r="A74" s="56">
        <f>IF(NOT((COUNTA($B74:$D74)+COUNTA($G74:$L74)+COUNTA($Q74))&gt;0),"",IF($V74="Macro",COUNTIFS($V$5:$V74,"Macro",$S$5:$S74,$S74),IF(N($U74)=0,"?",COUNTIFS(INDEX($V$5:$V$1000,1):INDEX($V$5:$V$1000,$U74-4),"Macro",INDEX($S$5:$S$1000,1):INDEX($S$5:$S$1000,$U74-4),INDEX($S$5:$S$1000,$U74-4))&amp;"."&amp;COUNTIFS($U$5:$U74,$U74,$V$5:$V74,"Sub"))))</f>
        <v/>
      </c>
      <c r="B74" s="57" t="n"/>
      <c r="C74" s="58" t="n"/>
      <c r="D74" s="58" t="n"/>
      <c r="E74" s="59" t="n"/>
      <c r="F74" s="59" t="n"/>
      <c r="G74" s="59" t="n"/>
      <c r="H74" s="60" t="n"/>
      <c r="I74" s="60" t="n"/>
      <c r="J74" s="60" t="n"/>
      <c r="K74" s="60" t="n"/>
      <c r="L74" s="60" t="n"/>
      <c r="M74" s="61">
        <f>IF(NOT((COUNTA($B74:$D74)+COUNTA($G74:$L74)+COUNTA($Q74))&gt;0),"",IF(AND($D74&lt;&gt;"",$V74="Macro"),IF(N($AH74)&gt;0,N(CHOOSE(MATCH($D74,ListaPuestos,0),INDEX('Cronograma R. Operacional'!$M$5:$M$1000,$AH74),INDEX('Cronograma R. Normativo'!$M$5:$M$1000,$AH74),INDEX('Cronograma R. Financiero'!$M$5:$M$1000,$AH74),INDEX('Cronograma Asistente Técnico'!$M$5:$M$1000,$AH74))),0),IF(ISNUMBER($G74),1,IF(N($W74)&gt;0,AVERAGEIFS($X$5:$X$1000,$U$5:$U$1000,ROW(),$V$5:$V$1000,"Sub"),$X74))))</f>
        <v/>
      </c>
      <c r="N74" s="56">
        <f>IF(OR($M74="",$V74="Sub"),"",IF($M74&gt;=1,"Completado",IF($M74&gt;0,"En curso","Pendiente")))</f>
        <v/>
      </c>
      <c r="O74" s="56">
        <f>IF(NOT((COUNTA($B74:$D74)+COUNTA($G74:$L74)+COUNTA($Q74))&gt;0),"",IF(AND(AND($D74&lt;&gt;"",$V74="Macro"),N($AH74)&gt;0),CHOOSE(MATCH($D74,ListaPuestos,0),INDEX('Cronograma R. Operacional'!$O$5:$O$1000,$AH74),INDEX('Cronograma R. Normativo'!$O$5:$O$1000,$AH74),INDEX('Cronograma R. Financiero'!$O$5:$O$1000,$AH74),INDEX('Cronograma Asistente Técnico'!$O$5:$O$1000,$AH74))&amp;"",IF(ISNUMBER($G74),IF(AND(ISNUMBER($AN74),$G74&gt;$AN74),"Cumplida con "&amp;($G74-$AN74)&amp;IF($G74-$AN74=1," día"," días")&amp;" de retraso","Cumplida"),IF(N($M74)&gt;=1,"Cumplida",IF(NOT(ISNUMBER($AN74)),"Sin fecha límite",IF($AN74&lt;FechaRef,"Vencida hace "&amp;(FechaRef-$AN74)&amp;IF(FechaRef-$AN74=1," día"," días"),IF($AN74=FechaRef,"Vence hoy",IF($AN74-FechaRef&lt;=DiasAlerta,"Vence en "&amp;($AN74-FechaRef)&amp;IF($AN74-FechaRef=1," día"," días"),"En plazo"))))))))</f>
        <v/>
      </c>
      <c r="P74" s="62">
        <f>IF(NOT((COUNTA($B74:$D74)+COUNTA($G74:$L74)+COUNTA($Q74))&gt;0),"",IF($D74="","Propia",IF($V74&lt;&gt;"Macro","Solo se delegan macroactividades",IF(N($AH74)&gt;0,"✔ Recibida por "&amp;$D74,"⚠ "&amp;$D74&amp;" aún no la agrega"))))</f>
        <v/>
      </c>
      <c r="Q74" s="58" t="n"/>
      <c r="R74" s="63">
        <f>IF(NOT((COUNTA($B74:$D74)+COUNTA($G74:$L74)+COUNTA($Q74))&gt;0),"",IF((IF($C74="","Falta el nombre de la actividad"&amp;" · ","")&amp;IF(AND($V74="Sub",N($U74)=0),"Subactividad sin macroactividad arriba"&amp;" · ","")&amp;IF($AM74="","Sin fecha de inicio"&amp;" · ","")&amp;IF($AN74="","Sin fecha límite"&amp;" · ","")&amp;IF(AND(LEFT($C74,11)="[Jefatura] ",N($AL74)=0),"No se encuentra en la hoja de la jefatura (elíjala de nuevo en la lista)"&amp;" · ","")&amp;IF(OR(AND($E74&lt;&gt;"",NOT(ISNUMBER($E74))),AND($F74&lt;&gt;"",NOT(ISNUMBER($F74))),AND($G74&lt;&gt;"",NOT(ISNUMBER($G74)))),"Fecha no válida"&amp;" · ","")&amp;IF(AND(ISNUMBER($AM74),ISNUMBER($AN74),$AM74&gt;$AN74),"Inicio posterior a fecha límite"&amp;" · ","")&amp;IF(AND($V74="Macro",$H74&lt;&gt;"",OR(NOT(ISNUMBER($H74)),$H74&lt;0,$H74&gt;1)),"Peso fuera de rango"&amp;" · ","")&amp;IF(AND($V74="Sub",$H74&lt;&gt;""),"Las subactividades no llevan peso (valen igual dentro de su macroactividad)"&amp;" · ","")&amp;IF(AND(N($W74)&gt;0,COUNT($I74:$L74)&gt;0),"Con subactividades: deje vacías las semanas (se calculan solas)"&amp;" · ","")&amp;IF((COUNTIF($I74:$L74,"&gt;1")+COUNTIF($I74:$L74,"&lt;0")+COUNTA($I74:$L74)-COUNT($I74:$L74))&gt;0,"Avance fuera de rango 0-100%"&amp;" · ","")&amp;IF(OR(AND($J74&lt;&gt;"",$J74&lt;$I74),AND($K74&lt;&gt;"",$K74&lt;MAX($I74:$J74)),AND($L74&lt;&gt;"",$L74&lt;MAX($I74:$K74))),"Avance semanal decreciente"&amp;" · ","")&amp;IF(AND(ISNUMBER($AN74),$AN74&lt;FechaRef,IF($V74="Sub",N($X74),N($M74))&lt;1),"Vencida"&amp;" · ","")&amp;IF(AND(ObsObligatoria="Sí",ISNUMBER($AN74),$AN74&lt;FechaRef,IF($V74="Sub",N($X74),N($M74))&lt;1,$Q74=""),"Vencida sin observación"&amp;" · ",""))="","✔ OK","⚠ "&amp;LEFT(IF($C74="","Falta el nombre de la actividad"&amp;" · ","")&amp;IF(AND($V74="Sub",N($U74)=0),"Subactividad sin macroactividad arriba"&amp;" · ","")&amp;IF($AM74="","Sin fecha de inicio"&amp;" · ","")&amp;IF($AN74="","Sin fecha límite"&amp;" · ","")&amp;IF(AND(LEFT($C74,11)="[Jefatura] ",N($AL74)=0),"No se encuentra en la hoja de la jefatura (elíjala de nuevo en la lista)"&amp;" · ","")&amp;IF(OR(AND($E74&lt;&gt;"",NOT(ISNUMBER($E74))),AND($F74&lt;&gt;"",NOT(ISNUMBER($F74))),AND($G74&lt;&gt;"",NOT(ISNUMBER($G74)))),"Fecha no válida"&amp;" · ","")&amp;IF(AND(ISNUMBER($AM74),ISNUMBER($AN74),$AM74&gt;$AN74),"Inicio posterior a fecha límite"&amp;" · ","")&amp;IF(AND($V74="Macro",$H74&lt;&gt;"",OR(NOT(ISNUMBER($H74)),$H74&lt;0,$H74&gt;1)),"Peso fuera de rango"&amp;" · ","")&amp;IF(AND($V74="Sub",$H74&lt;&gt;""),"Las subactividades no llevan peso (valen igual dentro de su macroactividad)"&amp;" · ","")&amp;IF(AND(N($W74)&gt;0,COUNT($I74:$L74)&gt;0),"Con subactividades: deje vacías las semanas (se calculan solas)"&amp;" · ","")&amp;IF((COUNTIF($I74:$L74,"&gt;1")+COUNTIF($I74:$L74,"&lt;0")+COUNTA($I74:$L74)-COUNT($I74:$L74))&gt;0,"Avance fuera de rango 0-100%"&amp;" · ","")&amp;IF(OR(AND($J74&lt;&gt;"",$J74&lt;$I74),AND($K74&lt;&gt;"",$K74&lt;MAX($I74:$J74)),AND($L74&lt;&gt;"",$L74&lt;MAX($I74:$K74))),"Avance semanal decreciente"&amp;" · ","")&amp;IF(AND(ISNUMBER($AN74),$AN74&lt;FechaRef,IF($V74="Sub",N($X74),N($M74))&lt;1),"Vencida"&amp;" · ","")&amp;IF(AND(ObsObligatoria="Sí",ISNUMBER($AN74),$AN74&lt;FechaRef,IF($V74="Sub",N($X74),N($M74))&lt;1,$Q74=""),"Vencida sin observación"&amp;" · ",""),LEN(IF($C74="","Falta el nombre de la actividad"&amp;" · ","")&amp;IF(AND($V74="Sub",N($U74)=0),"Subactividad sin macroactividad arriba"&amp;" · ","")&amp;IF($AM74="","Sin fecha de inicio"&amp;" · ","")&amp;IF($AN74="","Sin fecha límite"&amp;" · ","")&amp;IF(AND(LEFT($C74,11)="[Jefatura] ",N($AL74)=0),"No se encuentra en la hoja de la jefatura (elíjala de nuevo en la lista)"&amp;" · ","")&amp;IF(OR(AND($E74&lt;&gt;"",NOT(ISNUMBER($E74))),AND($F74&lt;&gt;"",NOT(ISNUMBER($F74))),AND($G74&lt;&gt;"",NOT(ISNUMBER($G74)))),"Fecha no válida"&amp;" · ","")&amp;IF(AND(ISNUMBER($AM74),ISNUMBER($AN74),$AM74&gt;$AN74),"Inicio posterior a fecha límite"&amp;" · ","")&amp;IF(AND($V74="Macro",$H74&lt;&gt;"",OR(NOT(ISNUMBER($H74)),$H74&lt;0,$H74&gt;1)),"Peso fuera de rango"&amp;" · ","")&amp;IF(AND($V74="Sub",$H74&lt;&gt;""),"Las subactividades no llevan peso (valen igual dentro de su macroactividad)"&amp;" · ","")&amp;IF(AND(N($W74)&gt;0,COUNT($I74:$L74)&gt;0),"Con subactividades: deje vacías las semanas (se calculan solas)"&amp;" · ","")&amp;IF((COUNTIF($I74:$L74,"&gt;1")+COUNTIF($I74:$L74,"&lt;0")+COUNTA($I74:$L74)-COUNT($I74:$L74))&gt;0,"Avance fuera de rango 0-100%"&amp;" · ","")&amp;IF(OR(AND($J74&lt;&gt;"",$J74&lt;$I74),AND($K74&lt;&gt;"",$K74&lt;MAX($I74:$J74)),AND($L74&lt;&gt;"",$L74&lt;MAX($I74:$K74))),"Avance semanal decreciente"&amp;" · ","")&amp;IF(AND(ISNUMBER($AN74),$AN74&lt;FechaRef,IF($V74="Sub",N($X74),N($M74))&lt;1),"Vencida"&amp;" · ","")&amp;IF(AND(ObsObligatoria="Sí",ISNUMBER($AN74),$AN74&lt;FechaRef,IF($V74="Sub",N($X74),N($M74))&lt;1,$Q74=""),"Vencida sin observación"&amp;" · ",""))-3)))</f>
        <v/>
      </c>
      <c r="S74" s="64">
        <f>IF(NOT((COUNTA($B74:$D74)+COUNTA($G74:$L74)+COUNTA($Q74))&gt;0),"",IF(AND($V74="Sub",N($U74)&gt;0),IF(ISNUMBER(INDEX($AM$5:$AM$1000,$U74-4)),DATE(YEAR(INDEX($AM$5:$AM$1000,$U74-4)),MONTH(INDEX($AM$5:$AM$1000,$U74-4)),1),IF(ISNUMBER(INDEX($AN$5:$AN$1000,$U74-4)),DATE(YEAR(INDEX($AN$5:$AN$1000,$U74-4)),MONTH(INDEX($AN$5:$AN$1000,$U74-4)),1),MesCiclo)),IF(ISNUMBER($AM74),DATE(YEAR($AM74),MONTH($AM74),1),IF(ISNUMBER($AN74),DATE(YEAR($AN74),MONTH($AN74),1),MesCiclo))))</f>
        <v/>
      </c>
      <c r="T74" s="62">
        <f>IF(OR($S74="",$S74&lt;&gt;MesCiclo,$V74&lt;&gt;"Macro"),"",COUNTIFS($S$5:$S74,MesCiclo,$V$5:$V74,"Macro"))</f>
        <v/>
      </c>
      <c r="U74" s="62">
        <f>IF($V74="","",IF($V74="Macro",ROW(),IFERROR(LOOKUP(2,1/($V$5:$V74="Macro"),ROW($V$5:$V74)),0)))</f>
        <v/>
      </c>
      <c r="V74" s="62">
        <f>IF(NOT((COUNTA($B74:$D74)+COUNTA($G74:$L74)+COUNTA($Q74))&gt;0),"",IF($B74="Subactividad","Sub","Macro"))</f>
        <v/>
      </c>
      <c r="W74" s="62">
        <f>IF($V74="Macro",COUNTIFS($U$5:$U$1000,ROW(),$V$5:$V$1000,"Sub"),"")</f>
        <v/>
      </c>
      <c r="X74" s="62">
        <f>IF($V74="","",IF(ISNUMBER($G74),1,IFERROR(LOOKUP(2,1/($I74:$L74&lt;&gt;""),$I74:$L74),0)))</f>
        <v/>
      </c>
      <c r="Y74" s="62">
        <f>IF($V74="","",IF(AND(ISNUMBER($G74),$G74&lt;=IF($S74=MesCiclo,InicioCiclo,$S74+MOD(2-WEEKDAY($S74),7))+6),1,IF(ISNUMBER($I74),$I74,0)))</f>
        <v/>
      </c>
      <c r="Z74" s="62">
        <f>IF($V74="","",IF(AND(ISNUMBER($G74),$G74&lt;=IF($S74=MesCiclo,InicioCiclo,$S74+MOD(2-WEEKDAY($S74),7))+13),1,IF(ISNUMBER($J74),$J74,$Y74)))</f>
        <v/>
      </c>
      <c r="AA74" s="62">
        <f>IF($V74="","",IF(AND(ISNUMBER($G74),$G74&lt;=IF($S74=MesCiclo,InicioCiclo,$S74+MOD(2-WEEKDAY($S74),7))+20),1,IF(ISNUMBER($K74),$K74,$Z74)))</f>
        <v/>
      </c>
      <c r="AB74" s="62">
        <f>IF($V74="","",IF(AND(ISNUMBER($G74),$G74&lt;=IF($S74=MesCiclo,InicioCiclo,$S74+MOD(2-WEEKDAY($S74),7))+27),1,IF(ISNUMBER($L74),$L74,$AA74)))</f>
        <v/>
      </c>
      <c r="AC74" s="62">
        <f>IF($V74="","",IF(AND(ISNUMBER($G74),$G74&lt;=IF($S74=MesCiclo,InicioCiclo,$S74+MOD(2-WEEKDAY($S74),7))+6),1,IF(N($W74)&gt;0,AVERAGEIFS($Y$5:$Y$1000,$U$5:$U$1000,ROW(),$V$5:$V$1000,"Sub"),$Y74)))</f>
        <v/>
      </c>
      <c r="AD74" s="62">
        <f>IF($V74="","",IF(AND(ISNUMBER($G74),$G74&lt;=IF($S74=MesCiclo,InicioCiclo,$S74+MOD(2-WEEKDAY($S74),7))+13),1,IF(N($W74)&gt;0,AVERAGEIFS($Z$5:$Z$1000,$U$5:$U$1000,ROW(),$V$5:$V$1000,"Sub"),$Z74)))</f>
        <v/>
      </c>
      <c r="AE74" s="62">
        <f>IF($V74="","",IF(AND(ISNUMBER($G74),$G74&lt;=IF($S74=MesCiclo,InicioCiclo,$S74+MOD(2-WEEKDAY($S74),7))+20),1,IF(N($W74)&gt;0,AVERAGEIFS($AA$5:$AA$1000,$U$5:$U$1000,ROW(),$V$5:$V$1000,"Sub"),$AA74)))</f>
        <v/>
      </c>
      <c r="AF74" s="62">
        <f>IF($V74="","",IF(AND(ISNUMBER($G74),$G74&lt;=IF($S74=MesCiclo,InicioCiclo,$S74+MOD(2-WEEKDAY($S74),7))+27),1,IF(N($W74)&gt;0,AVERAGEIFS($AB$5:$AB$1000,$U$5:$U$1000,ROW(),$V$5:$V$1000,"Sub"),$AB74)))</f>
        <v/>
      </c>
      <c r="AG74" s="62">
        <f>IF($V74&lt;&gt;"Macro","",IF(COUNTIFS($S$5:$S$1000,$S74,$V$5:$V$1000,"Macro",$H$5:$H$1000,"&gt;0")=0,1/COUNTIFS($S$5:$S$1000,$S74,$V$5:$V$1000,"Macro"),IF(AND(ISNUMBER($H74),N($H74)&gt;0),$H74,SUMIFS($H$5:$H$1000,$S$5:$S$1000,$S74,$V$5:$V$1000,"Macro")/COUNTIFS($S$5:$S$1000,$S74,$V$5:$V$1000,"Macro",$H$5:$H$1000,"&gt;0"))/(COUNTIFS($S$5:$S$1000,$S74,$V$5:$V$1000,"Macro")*SUMIFS($H$5:$H$1000,$S$5:$S$1000,$S74,$V$5:$V$1000,"Macro")/COUNTIFS($S$5:$S$1000,$S74,$V$5:$V$1000,"Macro",$H$5:$H$1000,"&gt;0"))))</f>
        <v/>
      </c>
      <c r="AH74" s="62">
        <f>IF(NOT(AND($D74&lt;&gt;"",$V74="Macro")),"",IFERROR(CHOOSE(MATCH($D74,ListaPuestos,0),MATCH("[Jefatura] "&amp;$C74,'Cronograma R. Operacional'!$C$5:$C$1000,0),MATCH("[Jefatura] "&amp;$C74,'Cronograma R. Normativo'!$C$5:$C$1000,0),MATCH("[Jefatura] "&amp;$C74,'Cronograma R. Financiero'!$C$5:$C$1000,0),MATCH("[Jefatura] "&amp;$C74,'Cronograma Asistente Técnico'!$C$5:$C$1000,0)),0))</f>
        <v/>
      </c>
      <c r="AI74" s="62">
        <f>IF(AND(AND($D74&lt;&gt;"",$V74="Macro"),$S74=MesCiclo),COUNTIFS($D$5:$D74,$D74,$S$5:$S74,MesCiclo,$V$5:$V74,"Macro"),"")</f>
        <v/>
      </c>
      <c r="AJ74" s="62">
        <f>IF($AI74="","",$D74&amp;"|"&amp;$AI74)</f>
        <v/>
      </c>
      <c r="AK74" s="62">
        <f>IF(AND($D74&lt;&gt;"",$V74="Macro"),$D74&amp;"|"&amp;$C74,"")</f>
        <v/>
      </c>
      <c r="AL74" s="62">
        <f>""</f>
        <v/>
      </c>
      <c r="AM74" s="62">
        <f>IF(N($AL74)&gt;0,INDEX(rIni_ADM,$AL74),IF(ISNUMBER($E74),$E74,""))</f>
        <v/>
      </c>
      <c r="AN74" s="62">
        <f>IF(N($AL74)&gt;0,INDEX(rLim_ADM,$AL74),IF(ISNUMBER($F74),$F74,""))</f>
        <v/>
      </c>
    </row>
    <row r="75">
      <c r="A75" s="56">
        <f>IF(NOT((COUNTA($B75:$D75)+COUNTA($G75:$L75)+COUNTA($Q75))&gt;0),"",IF($V75="Macro",COUNTIFS($V$5:$V75,"Macro",$S$5:$S75,$S75),IF(N($U75)=0,"?",COUNTIFS(INDEX($V$5:$V$1000,1):INDEX($V$5:$V$1000,$U75-4),"Macro",INDEX($S$5:$S$1000,1):INDEX($S$5:$S$1000,$U75-4),INDEX($S$5:$S$1000,$U75-4))&amp;"."&amp;COUNTIFS($U$5:$U75,$U75,$V$5:$V75,"Sub"))))</f>
        <v/>
      </c>
      <c r="B75" s="57" t="n"/>
      <c r="C75" s="58" t="n"/>
      <c r="D75" s="58" t="n"/>
      <c r="E75" s="59" t="n"/>
      <c r="F75" s="59" t="n"/>
      <c r="G75" s="59" t="n"/>
      <c r="H75" s="60" t="n"/>
      <c r="I75" s="60" t="n"/>
      <c r="J75" s="60" t="n"/>
      <c r="K75" s="60" t="n"/>
      <c r="L75" s="60" t="n"/>
      <c r="M75" s="61">
        <f>IF(NOT((COUNTA($B75:$D75)+COUNTA($G75:$L75)+COUNTA($Q75))&gt;0),"",IF(AND($D75&lt;&gt;"",$V75="Macro"),IF(N($AH75)&gt;0,N(CHOOSE(MATCH($D75,ListaPuestos,0),INDEX('Cronograma R. Operacional'!$M$5:$M$1000,$AH75),INDEX('Cronograma R. Normativo'!$M$5:$M$1000,$AH75),INDEX('Cronograma R. Financiero'!$M$5:$M$1000,$AH75),INDEX('Cronograma Asistente Técnico'!$M$5:$M$1000,$AH75))),0),IF(ISNUMBER($G75),1,IF(N($W75)&gt;0,AVERAGEIFS($X$5:$X$1000,$U$5:$U$1000,ROW(),$V$5:$V$1000,"Sub"),$X75))))</f>
        <v/>
      </c>
      <c r="N75" s="56">
        <f>IF(OR($M75="",$V75="Sub"),"",IF($M75&gt;=1,"Completado",IF($M75&gt;0,"En curso","Pendiente")))</f>
        <v/>
      </c>
      <c r="O75" s="56">
        <f>IF(NOT((COUNTA($B75:$D75)+COUNTA($G75:$L75)+COUNTA($Q75))&gt;0),"",IF(AND(AND($D75&lt;&gt;"",$V75="Macro"),N($AH75)&gt;0),CHOOSE(MATCH($D75,ListaPuestos,0),INDEX('Cronograma R. Operacional'!$O$5:$O$1000,$AH75),INDEX('Cronograma R. Normativo'!$O$5:$O$1000,$AH75),INDEX('Cronograma R. Financiero'!$O$5:$O$1000,$AH75),INDEX('Cronograma Asistente Técnico'!$O$5:$O$1000,$AH75))&amp;"",IF(ISNUMBER($G75),IF(AND(ISNUMBER($AN75),$G75&gt;$AN75),"Cumplida con "&amp;($G75-$AN75)&amp;IF($G75-$AN75=1," día"," días")&amp;" de retraso","Cumplida"),IF(N($M75)&gt;=1,"Cumplida",IF(NOT(ISNUMBER($AN75)),"Sin fecha límite",IF($AN75&lt;FechaRef,"Vencida hace "&amp;(FechaRef-$AN75)&amp;IF(FechaRef-$AN75=1," día"," días"),IF($AN75=FechaRef,"Vence hoy",IF($AN75-FechaRef&lt;=DiasAlerta,"Vence en "&amp;($AN75-FechaRef)&amp;IF($AN75-FechaRef=1," día"," días"),"En plazo"))))))))</f>
        <v/>
      </c>
      <c r="P75" s="62">
        <f>IF(NOT((COUNTA($B75:$D75)+COUNTA($G75:$L75)+COUNTA($Q75))&gt;0),"",IF($D75="","Propia",IF($V75&lt;&gt;"Macro","Solo se delegan macroactividades",IF(N($AH75)&gt;0,"✔ Recibida por "&amp;$D75,"⚠ "&amp;$D75&amp;" aún no la agrega"))))</f>
        <v/>
      </c>
      <c r="Q75" s="58" t="n"/>
      <c r="R75" s="63">
        <f>IF(NOT((COUNTA($B75:$D75)+COUNTA($G75:$L75)+COUNTA($Q75))&gt;0),"",IF((IF($C75="","Falta el nombre de la actividad"&amp;" · ","")&amp;IF(AND($V75="Sub",N($U75)=0),"Subactividad sin macroactividad arriba"&amp;" · ","")&amp;IF($AM75="","Sin fecha de inicio"&amp;" · ","")&amp;IF($AN75="","Sin fecha límite"&amp;" · ","")&amp;IF(AND(LEFT($C75,11)="[Jefatura] ",N($AL75)=0),"No se encuentra en la hoja de la jefatura (elíjala de nuevo en la lista)"&amp;" · ","")&amp;IF(OR(AND($E75&lt;&gt;"",NOT(ISNUMBER($E75))),AND($F75&lt;&gt;"",NOT(ISNUMBER($F75))),AND($G75&lt;&gt;"",NOT(ISNUMBER($G75)))),"Fecha no válida"&amp;" · ","")&amp;IF(AND(ISNUMBER($AM75),ISNUMBER($AN75),$AM75&gt;$AN75),"Inicio posterior a fecha límite"&amp;" · ","")&amp;IF(AND($V75="Macro",$H75&lt;&gt;"",OR(NOT(ISNUMBER($H75)),$H75&lt;0,$H75&gt;1)),"Peso fuera de rango"&amp;" · ","")&amp;IF(AND($V75="Sub",$H75&lt;&gt;""),"Las subactividades no llevan peso (valen igual dentro de su macroactividad)"&amp;" · ","")&amp;IF(AND(N($W75)&gt;0,COUNT($I75:$L75)&gt;0),"Con subactividades: deje vacías las semanas (se calculan solas)"&amp;" · ","")&amp;IF((COUNTIF($I75:$L75,"&gt;1")+COUNTIF($I75:$L75,"&lt;0")+COUNTA($I75:$L75)-COUNT($I75:$L75))&gt;0,"Avance fuera de rango 0-100%"&amp;" · ","")&amp;IF(OR(AND($J75&lt;&gt;"",$J75&lt;$I75),AND($K75&lt;&gt;"",$K75&lt;MAX($I75:$J75)),AND($L75&lt;&gt;"",$L75&lt;MAX($I75:$K75))),"Avance semanal decreciente"&amp;" · ","")&amp;IF(AND(ISNUMBER($AN75),$AN75&lt;FechaRef,IF($V75="Sub",N($X75),N($M75))&lt;1),"Vencida"&amp;" · ","")&amp;IF(AND(ObsObligatoria="Sí",ISNUMBER($AN75),$AN75&lt;FechaRef,IF($V75="Sub",N($X75),N($M75))&lt;1,$Q75=""),"Vencida sin observación"&amp;" · ",""))="","✔ OK","⚠ "&amp;LEFT(IF($C75="","Falta el nombre de la actividad"&amp;" · ","")&amp;IF(AND($V75="Sub",N($U75)=0),"Subactividad sin macroactividad arriba"&amp;" · ","")&amp;IF($AM75="","Sin fecha de inicio"&amp;" · ","")&amp;IF($AN75="","Sin fecha límite"&amp;" · ","")&amp;IF(AND(LEFT($C75,11)="[Jefatura] ",N($AL75)=0),"No se encuentra en la hoja de la jefatura (elíjala de nuevo en la lista)"&amp;" · ","")&amp;IF(OR(AND($E75&lt;&gt;"",NOT(ISNUMBER($E75))),AND($F75&lt;&gt;"",NOT(ISNUMBER($F75))),AND($G75&lt;&gt;"",NOT(ISNUMBER($G75)))),"Fecha no válida"&amp;" · ","")&amp;IF(AND(ISNUMBER($AM75),ISNUMBER($AN75),$AM75&gt;$AN75),"Inicio posterior a fecha límite"&amp;" · ","")&amp;IF(AND($V75="Macro",$H75&lt;&gt;"",OR(NOT(ISNUMBER($H75)),$H75&lt;0,$H75&gt;1)),"Peso fuera de rango"&amp;" · ","")&amp;IF(AND($V75="Sub",$H75&lt;&gt;""),"Las subactividades no llevan peso (valen igual dentro de su macroactividad)"&amp;" · ","")&amp;IF(AND(N($W75)&gt;0,COUNT($I75:$L75)&gt;0),"Con subactividades: deje vacías las semanas (se calculan solas)"&amp;" · ","")&amp;IF((COUNTIF($I75:$L75,"&gt;1")+COUNTIF($I75:$L75,"&lt;0")+COUNTA($I75:$L75)-COUNT($I75:$L75))&gt;0,"Avance fuera de rango 0-100%"&amp;" · ","")&amp;IF(OR(AND($J75&lt;&gt;"",$J75&lt;$I75),AND($K75&lt;&gt;"",$K75&lt;MAX($I75:$J75)),AND($L75&lt;&gt;"",$L75&lt;MAX($I75:$K75))),"Avance semanal decreciente"&amp;" · ","")&amp;IF(AND(ISNUMBER($AN75),$AN75&lt;FechaRef,IF($V75="Sub",N($X75),N($M75))&lt;1),"Vencida"&amp;" · ","")&amp;IF(AND(ObsObligatoria="Sí",ISNUMBER($AN75),$AN75&lt;FechaRef,IF($V75="Sub",N($X75),N($M75))&lt;1,$Q75=""),"Vencida sin observación"&amp;" · ",""),LEN(IF($C75="","Falta el nombre de la actividad"&amp;" · ","")&amp;IF(AND($V75="Sub",N($U75)=0),"Subactividad sin macroactividad arriba"&amp;" · ","")&amp;IF($AM75="","Sin fecha de inicio"&amp;" · ","")&amp;IF($AN75="","Sin fecha límite"&amp;" · ","")&amp;IF(AND(LEFT($C75,11)="[Jefatura] ",N($AL75)=0),"No se encuentra en la hoja de la jefatura (elíjala de nuevo en la lista)"&amp;" · ","")&amp;IF(OR(AND($E75&lt;&gt;"",NOT(ISNUMBER($E75))),AND($F75&lt;&gt;"",NOT(ISNUMBER($F75))),AND($G75&lt;&gt;"",NOT(ISNUMBER($G75)))),"Fecha no válida"&amp;" · ","")&amp;IF(AND(ISNUMBER($AM75),ISNUMBER($AN75),$AM75&gt;$AN75),"Inicio posterior a fecha límite"&amp;" · ","")&amp;IF(AND($V75="Macro",$H75&lt;&gt;"",OR(NOT(ISNUMBER($H75)),$H75&lt;0,$H75&gt;1)),"Peso fuera de rango"&amp;" · ","")&amp;IF(AND($V75="Sub",$H75&lt;&gt;""),"Las subactividades no llevan peso (valen igual dentro de su macroactividad)"&amp;" · ","")&amp;IF(AND(N($W75)&gt;0,COUNT($I75:$L75)&gt;0),"Con subactividades: deje vacías las semanas (se calculan solas)"&amp;" · ","")&amp;IF((COUNTIF($I75:$L75,"&gt;1")+COUNTIF($I75:$L75,"&lt;0")+COUNTA($I75:$L75)-COUNT($I75:$L75))&gt;0,"Avance fuera de rango 0-100%"&amp;" · ","")&amp;IF(OR(AND($J75&lt;&gt;"",$J75&lt;$I75),AND($K75&lt;&gt;"",$K75&lt;MAX($I75:$J75)),AND($L75&lt;&gt;"",$L75&lt;MAX($I75:$K75))),"Avance semanal decreciente"&amp;" · ","")&amp;IF(AND(ISNUMBER($AN75),$AN75&lt;FechaRef,IF($V75="Sub",N($X75),N($M75))&lt;1),"Vencida"&amp;" · ","")&amp;IF(AND(ObsObligatoria="Sí",ISNUMBER($AN75),$AN75&lt;FechaRef,IF($V75="Sub",N($X75),N($M75))&lt;1,$Q75=""),"Vencida sin observación"&amp;" · ",""))-3)))</f>
        <v/>
      </c>
      <c r="S75" s="64">
        <f>IF(NOT((COUNTA($B75:$D75)+COUNTA($G75:$L75)+COUNTA($Q75))&gt;0),"",IF(AND($V75="Sub",N($U75)&gt;0),IF(ISNUMBER(INDEX($AM$5:$AM$1000,$U75-4)),DATE(YEAR(INDEX($AM$5:$AM$1000,$U75-4)),MONTH(INDEX($AM$5:$AM$1000,$U75-4)),1),IF(ISNUMBER(INDEX($AN$5:$AN$1000,$U75-4)),DATE(YEAR(INDEX($AN$5:$AN$1000,$U75-4)),MONTH(INDEX($AN$5:$AN$1000,$U75-4)),1),MesCiclo)),IF(ISNUMBER($AM75),DATE(YEAR($AM75),MONTH($AM75),1),IF(ISNUMBER($AN75),DATE(YEAR($AN75),MONTH($AN75),1),MesCiclo))))</f>
        <v/>
      </c>
      <c r="T75" s="62">
        <f>IF(OR($S75="",$S75&lt;&gt;MesCiclo,$V75&lt;&gt;"Macro"),"",COUNTIFS($S$5:$S75,MesCiclo,$V$5:$V75,"Macro"))</f>
        <v/>
      </c>
      <c r="U75" s="62">
        <f>IF($V75="","",IF($V75="Macro",ROW(),IFERROR(LOOKUP(2,1/($V$5:$V75="Macro"),ROW($V$5:$V75)),0)))</f>
        <v/>
      </c>
      <c r="V75" s="62">
        <f>IF(NOT((COUNTA($B75:$D75)+COUNTA($G75:$L75)+COUNTA($Q75))&gt;0),"",IF($B75="Subactividad","Sub","Macro"))</f>
        <v/>
      </c>
      <c r="W75" s="62">
        <f>IF($V75="Macro",COUNTIFS($U$5:$U$1000,ROW(),$V$5:$V$1000,"Sub"),"")</f>
        <v/>
      </c>
      <c r="X75" s="62">
        <f>IF($V75="","",IF(ISNUMBER($G75),1,IFERROR(LOOKUP(2,1/($I75:$L75&lt;&gt;""),$I75:$L75),0)))</f>
        <v/>
      </c>
      <c r="Y75" s="62">
        <f>IF($V75="","",IF(AND(ISNUMBER($G75),$G75&lt;=IF($S75=MesCiclo,InicioCiclo,$S75+MOD(2-WEEKDAY($S75),7))+6),1,IF(ISNUMBER($I75),$I75,0)))</f>
        <v/>
      </c>
      <c r="Z75" s="62">
        <f>IF($V75="","",IF(AND(ISNUMBER($G75),$G75&lt;=IF($S75=MesCiclo,InicioCiclo,$S75+MOD(2-WEEKDAY($S75),7))+13),1,IF(ISNUMBER($J75),$J75,$Y75)))</f>
        <v/>
      </c>
      <c r="AA75" s="62">
        <f>IF($V75="","",IF(AND(ISNUMBER($G75),$G75&lt;=IF($S75=MesCiclo,InicioCiclo,$S75+MOD(2-WEEKDAY($S75),7))+20),1,IF(ISNUMBER($K75),$K75,$Z75)))</f>
        <v/>
      </c>
      <c r="AB75" s="62">
        <f>IF($V75="","",IF(AND(ISNUMBER($G75),$G75&lt;=IF($S75=MesCiclo,InicioCiclo,$S75+MOD(2-WEEKDAY($S75),7))+27),1,IF(ISNUMBER($L75),$L75,$AA75)))</f>
        <v/>
      </c>
      <c r="AC75" s="62">
        <f>IF($V75="","",IF(AND(ISNUMBER($G75),$G75&lt;=IF($S75=MesCiclo,InicioCiclo,$S75+MOD(2-WEEKDAY($S75),7))+6),1,IF(N($W75)&gt;0,AVERAGEIFS($Y$5:$Y$1000,$U$5:$U$1000,ROW(),$V$5:$V$1000,"Sub"),$Y75)))</f>
        <v/>
      </c>
      <c r="AD75" s="62">
        <f>IF($V75="","",IF(AND(ISNUMBER($G75),$G75&lt;=IF($S75=MesCiclo,InicioCiclo,$S75+MOD(2-WEEKDAY($S75),7))+13),1,IF(N($W75)&gt;0,AVERAGEIFS($Z$5:$Z$1000,$U$5:$U$1000,ROW(),$V$5:$V$1000,"Sub"),$Z75)))</f>
        <v/>
      </c>
      <c r="AE75" s="62">
        <f>IF($V75="","",IF(AND(ISNUMBER($G75),$G75&lt;=IF($S75=MesCiclo,InicioCiclo,$S75+MOD(2-WEEKDAY($S75),7))+20),1,IF(N($W75)&gt;0,AVERAGEIFS($AA$5:$AA$1000,$U$5:$U$1000,ROW(),$V$5:$V$1000,"Sub"),$AA75)))</f>
        <v/>
      </c>
      <c r="AF75" s="62">
        <f>IF($V75="","",IF(AND(ISNUMBER($G75),$G75&lt;=IF($S75=MesCiclo,InicioCiclo,$S75+MOD(2-WEEKDAY($S75),7))+27),1,IF(N($W75)&gt;0,AVERAGEIFS($AB$5:$AB$1000,$U$5:$U$1000,ROW(),$V$5:$V$1000,"Sub"),$AB75)))</f>
        <v/>
      </c>
      <c r="AG75" s="62">
        <f>IF($V75&lt;&gt;"Macro","",IF(COUNTIFS($S$5:$S$1000,$S75,$V$5:$V$1000,"Macro",$H$5:$H$1000,"&gt;0")=0,1/COUNTIFS($S$5:$S$1000,$S75,$V$5:$V$1000,"Macro"),IF(AND(ISNUMBER($H75),N($H75)&gt;0),$H75,SUMIFS($H$5:$H$1000,$S$5:$S$1000,$S75,$V$5:$V$1000,"Macro")/COUNTIFS($S$5:$S$1000,$S75,$V$5:$V$1000,"Macro",$H$5:$H$1000,"&gt;0"))/(COUNTIFS($S$5:$S$1000,$S75,$V$5:$V$1000,"Macro")*SUMIFS($H$5:$H$1000,$S$5:$S$1000,$S75,$V$5:$V$1000,"Macro")/COUNTIFS($S$5:$S$1000,$S75,$V$5:$V$1000,"Macro",$H$5:$H$1000,"&gt;0"))))</f>
        <v/>
      </c>
      <c r="AH75" s="62">
        <f>IF(NOT(AND($D75&lt;&gt;"",$V75="Macro")),"",IFERROR(CHOOSE(MATCH($D75,ListaPuestos,0),MATCH("[Jefatura] "&amp;$C75,'Cronograma R. Operacional'!$C$5:$C$1000,0),MATCH("[Jefatura] "&amp;$C75,'Cronograma R. Normativo'!$C$5:$C$1000,0),MATCH("[Jefatura] "&amp;$C75,'Cronograma R. Financiero'!$C$5:$C$1000,0),MATCH("[Jefatura] "&amp;$C75,'Cronograma Asistente Técnico'!$C$5:$C$1000,0)),0))</f>
        <v/>
      </c>
      <c r="AI75" s="62">
        <f>IF(AND(AND($D75&lt;&gt;"",$V75="Macro"),$S75=MesCiclo),COUNTIFS($D$5:$D75,$D75,$S$5:$S75,MesCiclo,$V$5:$V75,"Macro"),"")</f>
        <v/>
      </c>
      <c r="AJ75" s="62">
        <f>IF($AI75="","",$D75&amp;"|"&amp;$AI75)</f>
        <v/>
      </c>
      <c r="AK75" s="62">
        <f>IF(AND($D75&lt;&gt;"",$V75="Macro"),$D75&amp;"|"&amp;$C75,"")</f>
        <v/>
      </c>
      <c r="AL75" s="62">
        <f>""</f>
        <v/>
      </c>
      <c r="AM75" s="62">
        <f>IF(N($AL75)&gt;0,INDEX(rIni_ADM,$AL75),IF(ISNUMBER($E75),$E75,""))</f>
        <v/>
      </c>
      <c r="AN75" s="62">
        <f>IF(N($AL75)&gt;0,INDEX(rLim_ADM,$AL75),IF(ISNUMBER($F75),$F75,""))</f>
        <v/>
      </c>
    </row>
    <row r="76">
      <c r="A76" s="56">
        <f>IF(NOT((COUNTA($B76:$D76)+COUNTA($G76:$L76)+COUNTA($Q76))&gt;0),"",IF($V76="Macro",COUNTIFS($V$5:$V76,"Macro",$S$5:$S76,$S76),IF(N($U76)=0,"?",COUNTIFS(INDEX($V$5:$V$1000,1):INDEX($V$5:$V$1000,$U76-4),"Macro",INDEX($S$5:$S$1000,1):INDEX($S$5:$S$1000,$U76-4),INDEX($S$5:$S$1000,$U76-4))&amp;"."&amp;COUNTIFS($U$5:$U76,$U76,$V$5:$V76,"Sub"))))</f>
        <v/>
      </c>
      <c r="B76" s="57" t="n"/>
      <c r="C76" s="58" t="n"/>
      <c r="D76" s="58" t="n"/>
      <c r="E76" s="59" t="n"/>
      <c r="F76" s="59" t="n"/>
      <c r="G76" s="59" t="n"/>
      <c r="H76" s="60" t="n"/>
      <c r="I76" s="60" t="n"/>
      <c r="J76" s="60" t="n"/>
      <c r="K76" s="60" t="n"/>
      <c r="L76" s="60" t="n"/>
      <c r="M76" s="61">
        <f>IF(NOT((COUNTA($B76:$D76)+COUNTA($G76:$L76)+COUNTA($Q76))&gt;0),"",IF(AND($D76&lt;&gt;"",$V76="Macro"),IF(N($AH76)&gt;0,N(CHOOSE(MATCH($D76,ListaPuestos,0),INDEX('Cronograma R. Operacional'!$M$5:$M$1000,$AH76),INDEX('Cronograma R. Normativo'!$M$5:$M$1000,$AH76),INDEX('Cronograma R. Financiero'!$M$5:$M$1000,$AH76),INDEX('Cronograma Asistente Técnico'!$M$5:$M$1000,$AH76))),0),IF(ISNUMBER($G76),1,IF(N($W76)&gt;0,AVERAGEIFS($X$5:$X$1000,$U$5:$U$1000,ROW(),$V$5:$V$1000,"Sub"),$X76))))</f>
        <v/>
      </c>
      <c r="N76" s="56">
        <f>IF(OR($M76="",$V76="Sub"),"",IF($M76&gt;=1,"Completado",IF($M76&gt;0,"En curso","Pendiente")))</f>
        <v/>
      </c>
      <c r="O76" s="56">
        <f>IF(NOT((COUNTA($B76:$D76)+COUNTA($G76:$L76)+COUNTA($Q76))&gt;0),"",IF(AND(AND($D76&lt;&gt;"",$V76="Macro"),N($AH76)&gt;0),CHOOSE(MATCH($D76,ListaPuestos,0),INDEX('Cronograma R. Operacional'!$O$5:$O$1000,$AH76),INDEX('Cronograma R. Normativo'!$O$5:$O$1000,$AH76),INDEX('Cronograma R. Financiero'!$O$5:$O$1000,$AH76),INDEX('Cronograma Asistente Técnico'!$O$5:$O$1000,$AH76))&amp;"",IF(ISNUMBER($G76),IF(AND(ISNUMBER($AN76),$G76&gt;$AN76),"Cumplida con "&amp;($G76-$AN76)&amp;IF($G76-$AN76=1," día"," días")&amp;" de retraso","Cumplida"),IF(N($M76)&gt;=1,"Cumplida",IF(NOT(ISNUMBER($AN76)),"Sin fecha límite",IF($AN76&lt;FechaRef,"Vencida hace "&amp;(FechaRef-$AN76)&amp;IF(FechaRef-$AN76=1," día"," días"),IF($AN76=FechaRef,"Vence hoy",IF($AN76-FechaRef&lt;=DiasAlerta,"Vence en "&amp;($AN76-FechaRef)&amp;IF($AN76-FechaRef=1," día"," días"),"En plazo"))))))))</f>
        <v/>
      </c>
      <c r="P76" s="62">
        <f>IF(NOT((COUNTA($B76:$D76)+COUNTA($G76:$L76)+COUNTA($Q76))&gt;0),"",IF($D76="","Propia",IF($V76&lt;&gt;"Macro","Solo se delegan macroactividades",IF(N($AH76)&gt;0,"✔ Recibida por "&amp;$D76,"⚠ "&amp;$D76&amp;" aún no la agrega"))))</f>
        <v/>
      </c>
      <c r="Q76" s="58" t="n"/>
      <c r="R76" s="63">
        <f>IF(NOT((COUNTA($B76:$D76)+COUNTA($G76:$L76)+COUNTA($Q76))&gt;0),"",IF((IF($C76="","Falta el nombre de la actividad"&amp;" · ","")&amp;IF(AND($V76="Sub",N($U76)=0),"Subactividad sin macroactividad arriba"&amp;" · ","")&amp;IF($AM76="","Sin fecha de inicio"&amp;" · ","")&amp;IF($AN76="","Sin fecha límite"&amp;" · ","")&amp;IF(AND(LEFT($C76,11)="[Jefatura] ",N($AL76)=0),"No se encuentra en la hoja de la jefatura (elíjala de nuevo en la lista)"&amp;" · ","")&amp;IF(OR(AND($E76&lt;&gt;"",NOT(ISNUMBER($E76))),AND($F76&lt;&gt;"",NOT(ISNUMBER($F76))),AND($G76&lt;&gt;"",NOT(ISNUMBER($G76)))),"Fecha no válida"&amp;" · ","")&amp;IF(AND(ISNUMBER($AM76),ISNUMBER($AN76),$AM76&gt;$AN76),"Inicio posterior a fecha límite"&amp;" · ","")&amp;IF(AND($V76="Macro",$H76&lt;&gt;"",OR(NOT(ISNUMBER($H76)),$H76&lt;0,$H76&gt;1)),"Peso fuera de rango"&amp;" · ","")&amp;IF(AND($V76="Sub",$H76&lt;&gt;""),"Las subactividades no llevan peso (valen igual dentro de su macroactividad)"&amp;" · ","")&amp;IF(AND(N($W76)&gt;0,COUNT($I76:$L76)&gt;0),"Con subactividades: deje vacías las semanas (se calculan solas)"&amp;" · ","")&amp;IF((COUNTIF($I76:$L76,"&gt;1")+COUNTIF($I76:$L76,"&lt;0")+COUNTA($I76:$L76)-COUNT($I76:$L76))&gt;0,"Avance fuera de rango 0-100%"&amp;" · ","")&amp;IF(OR(AND($J76&lt;&gt;"",$J76&lt;$I76),AND($K76&lt;&gt;"",$K76&lt;MAX($I76:$J76)),AND($L76&lt;&gt;"",$L76&lt;MAX($I76:$K76))),"Avance semanal decreciente"&amp;" · ","")&amp;IF(AND(ISNUMBER($AN76),$AN76&lt;FechaRef,IF($V76="Sub",N($X76),N($M76))&lt;1),"Vencida"&amp;" · ","")&amp;IF(AND(ObsObligatoria="Sí",ISNUMBER($AN76),$AN76&lt;FechaRef,IF($V76="Sub",N($X76),N($M76))&lt;1,$Q76=""),"Vencida sin observación"&amp;" · ",""))="","✔ OK","⚠ "&amp;LEFT(IF($C76="","Falta el nombre de la actividad"&amp;" · ","")&amp;IF(AND($V76="Sub",N($U76)=0),"Subactividad sin macroactividad arriba"&amp;" · ","")&amp;IF($AM76="","Sin fecha de inicio"&amp;" · ","")&amp;IF($AN76="","Sin fecha límite"&amp;" · ","")&amp;IF(AND(LEFT($C76,11)="[Jefatura] ",N($AL76)=0),"No se encuentra en la hoja de la jefatura (elíjala de nuevo en la lista)"&amp;" · ","")&amp;IF(OR(AND($E76&lt;&gt;"",NOT(ISNUMBER($E76))),AND($F76&lt;&gt;"",NOT(ISNUMBER($F76))),AND($G76&lt;&gt;"",NOT(ISNUMBER($G76)))),"Fecha no válida"&amp;" · ","")&amp;IF(AND(ISNUMBER($AM76),ISNUMBER($AN76),$AM76&gt;$AN76),"Inicio posterior a fecha límite"&amp;" · ","")&amp;IF(AND($V76="Macro",$H76&lt;&gt;"",OR(NOT(ISNUMBER($H76)),$H76&lt;0,$H76&gt;1)),"Peso fuera de rango"&amp;" · ","")&amp;IF(AND($V76="Sub",$H76&lt;&gt;""),"Las subactividades no llevan peso (valen igual dentro de su macroactividad)"&amp;" · ","")&amp;IF(AND(N($W76)&gt;0,COUNT($I76:$L76)&gt;0),"Con subactividades: deje vacías las semanas (se calculan solas)"&amp;" · ","")&amp;IF((COUNTIF($I76:$L76,"&gt;1")+COUNTIF($I76:$L76,"&lt;0")+COUNTA($I76:$L76)-COUNT($I76:$L76))&gt;0,"Avance fuera de rango 0-100%"&amp;" · ","")&amp;IF(OR(AND($J76&lt;&gt;"",$J76&lt;$I76),AND($K76&lt;&gt;"",$K76&lt;MAX($I76:$J76)),AND($L76&lt;&gt;"",$L76&lt;MAX($I76:$K76))),"Avance semanal decreciente"&amp;" · ","")&amp;IF(AND(ISNUMBER($AN76),$AN76&lt;FechaRef,IF($V76="Sub",N($X76),N($M76))&lt;1),"Vencida"&amp;" · ","")&amp;IF(AND(ObsObligatoria="Sí",ISNUMBER($AN76),$AN76&lt;FechaRef,IF($V76="Sub",N($X76),N($M76))&lt;1,$Q76=""),"Vencida sin observación"&amp;" · ",""),LEN(IF($C76="","Falta el nombre de la actividad"&amp;" · ","")&amp;IF(AND($V76="Sub",N($U76)=0),"Subactividad sin macroactividad arriba"&amp;" · ","")&amp;IF($AM76="","Sin fecha de inicio"&amp;" · ","")&amp;IF($AN76="","Sin fecha límite"&amp;" · ","")&amp;IF(AND(LEFT($C76,11)="[Jefatura] ",N($AL76)=0),"No se encuentra en la hoja de la jefatura (elíjala de nuevo en la lista)"&amp;" · ","")&amp;IF(OR(AND($E76&lt;&gt;"",NOT(ISNUMBER($E76))),AND($F76&lt;&gt;"",NOT(ISNUMBER($F76))),AND($G76&lt;&gt;"",NOT(ISNUMBER($G76)))),"Fecha no válida"&amp;" · ","")&amp;IF(AND(ISNUMBER($AM76),ISNUMBER($AN76),$AM76&gt;$AN76),"Inicio posterior a fecha límite"&amp;" · ","")&amp;IF(AND($V76="Macro",$H76&lt;&gt;"",OR(NOT(ISNUMBER($H76)),$H76&lt;0,$H76&gt;1)),"Peso fuera de rango"&amp;" · ","")&amp;IF(AND($V76="Sub",$H76&lt;&gt;""),"Las subactividades no llevan peso (valen igual dentro de su macroactividad)"&amp;" · ","")&amp;IF(AND(N($W76)&gt;0,COUNT($I76:$L76)&gt;0),"Con subactividades: deje vacías las semanas (se calculan solas)"&amp;" · ","")&amp;IF((COUNTIF($I76:$L76,"&gt;1")+COUNTIF($I76:$L76,"&lt;0")+COUNTA($I76:$L76)-COUNT($I76:$L76))&gt;0,"Avance fuera de rango 0-100%"&amp;" · ","")&amp;IF(OR(AND($J76&lt;&gt;"",$J76&lt;$I76),AND($K76&lt;&gt;"",$K76&lt;MAX($I76:$J76)),AND($L76&lt;&gt;"",$L76&lt;MAX($I76:$K76))),"Avance semanal decreciente"&amp;" · ","")&amp;IF(AND(ISNUMBER($AN76),$AN76&lt;FechaRef,IF($V76="Sub",N($X76),N($M76))&lt;1),"Vencida"&amp;" · ","")&amp;IF(AND(ObsObligatoria="Sí",ISNUMBER($AN76),$AN76&lt;FechaRef,IF($V76="Sub",N($X76),N($M76))&lt;1,$Q76=""),"Vencida sin observación"&amp;" · ",""))-3)))</f>
        <v/>
      </c>
      <c r="S76" s="64">
        <f>IF(NOT((COUNTA($B76:$D76)+COUNTA($G76:$L76)+COUNTA($Q76))&gt;0),"",IF(AND($V76="Sub",N($U76)&gt;0),IF(ISNUMBER(INDEX($AM$5:$AM$1000,$U76-4)),DATE(YEAR(INDEX($AM$5:$AM$1000,$U76-4)),MONTH(INDEX($AM$5:$AM$1000,$U76-4)),1),IF(ISNUMBER(INDEX($AN$5:$AN$1000,$U76-4)),DATE(YEAR(INDEX($AN$5:$AN$1000,$U76-4)),MONTH(INDEX($AN$5:$AN$1000,$U76-4)),1),MesCiclo)),IF(ISNUMBER($AM76),DATE(YEAR($AM76),MONTH($AM76),1),IF(ISNUMBER($AN76),DATE(YEAR($AN76),MONTH($AN76),1),MesCiclo))))</f>
        <v/>
      </c>
      <c r="T76" s="62">
        <f>IF(OR($S76="",$S76&lt;&gt;MesCiclo,$V76&lt;&gt;"Macro"),"",COUNTIFS($S$5:$S76,MesCiclo,$V$5:$V76,"Macro"))</f>
        <v/>
      </c>
      <c r="U76" s="62">
        <f>IF($V76="","",IF($V76="Macro",ROW(),IFERROR(LOOKUP(2,1/($V$5:$V76="Macro"),ROW($V$5:$V76)),0)))</f>
        <v/>
      </c>
      <c r="V76" s="62">
        <f>IF(NOT((COUNTA($B76:$D76)+COUNTA($G76:$L76)+COUNTA($Q76))&gt;0),"",IF($B76="Subactividad","Sub","Macro"))</f>
        <v/>
      </c>
      <c r="W76" s="62">
        <f>IF($V76="Macro",COUNTIFS($U$5:$U$1000,ROW(),$V$5:$V$1000,"Sub"),"")</f>
        <v/>
      </c>
      <c r="X76" s="62">
        <f>IF($V76="","",IF(ISNUMBER($G76),1,IFERROR(LOOKUP(2,1/($I76:$L76&lt;&gt;""),$I76:$L76),0)))</f>
        <v/>
      </c>
      <c r="Y76" s="62">
        <f>IF($V76="","",IF(AND(ISNUMBER($G76),$G76&lt;=IF($S76=MesCiclo,InicioCiclo,$S76+MOD(2-WEEKDAY($S76),7))+6),1,IF(ISNUMBER($I76),$I76,0)))</f>
        <v/>
      </c>
      <c r="Z76" s="62">
        <f>IF($V76="","",IF(AND(ISNUMBER($G76),$G76&lt;=IF($S76=MesCiclo,InicioCiclo,$S76+MOD(2-WEEKDAY($S76),7))+13),1,IF(ISNUMBER($J76),$J76,$Y76)))</f>
        <v/>
      </c>
      <c r="AA76" s="62">
        <f>IF($V76="","",IF(AND(ISNUMBER($G76),$G76&lt;=IF($S76=MesCiclo,InicioCiclo,$S76+MOD(2-WEEKDAY($S76),7))+20),1,IF(ISNUMBER($K76),$K76,$Z76)))</f>
        <v/>
      </c>
      <c r="AB76" s="62">
        <f>IF($V76="","",IF(AND(ISNUMBER($G76),$G76&lt;=IF($S76=MesCiclo,InicioCiclo,$S76+MOD(2-WEEKDAY($S76),7))+27),1,IF(ISNUMBER($L76),$L76,$AA76)))</f>
        <v/>
      </c>
      <c r="AC76" s="62">
        <f>IF($V76="","",IF(AND(ISNUMBER($G76),$G76&lt;=IF($S76=MesCiclo,InicioCiclo,$S76+MOD(2-WEEKDAY($S76),7))+6),1,IF(N($W76)&gt;0,AVERAGEIFS($Y$5:$Y$1000,$U$5:$U$1000,ROW(),$V$5:$V$1000,"Sub"),$Y76)))</f>
        <v/>
      </c>
      <c r="AD76" s="62">
        <f>IF($V76="","",IF(AND(ISNUMBER($G76),$G76&lt;=IF($S76=MesCiclo,InicioCiclo,$S76+MOD(2-WEEKDAY($S76),7))+13),1,IF(N($W76)&gt;0,AVERAGEIFS($Z$5:$Z$1000,$U$5:$U$1000,ROW(),$V$5:$V$1000,"Sub"),$Z76)))</f>
        <v/>
      </c>
      <c r="AE76" s="62">
        <f>IF($V76="","",IF(AND(ISNUMBER($G76),$G76&lt;=IF($S76=MesCiclo,InicioCiclo,$S76+MOD(2-WEEKDAY($S76),7))+20),1,IF(N($W76)&gt;0,AVERAGEIFS($AA$5:$AA$1000,$U$5:$U$1000,ROW(),$V$5:$V$1000,"Sub"),$AA76)))</f>
        <v/>
      </c>
      <c r="AF76" s="62">
        <f>IF($V76="","",IF(AND(ISNUMBER($G76),$G76&lt;=IF($S76=MesCiclo,InicioCiclo,$S76+MOD(2-WEEKDAY($S76),7))+27),1,IF(N($W76)&gt;0,AVERAGEIFS($AB$5:$AB$1000,$U$5:$U$1000,ROW(),$V$5:$V$1000,"Sub"),$AB76)))</f>
        <v/>
      </c>
      <c r="AG76" s="62">
        <f>IF($V76&lt;&gt;"Macro","",IF(COUNTIFS($S$5:$S$1000,$S76,$V$5:$V$1000,"Macro",$H$5:$H$1000,"&gt;0")=0,1/COUNTIFS($S$5:$S$1000,$S76,$V$5:$V$1000,"Macro"),IF(AND(ISNUMBER($H76),N($H76)&gt;0),$H76,SUMIFS($H$5:$H$1000,$S$5:$S$1000,$S76,$V$5:$V$1000,"Macro")/COUNTIFS($S$5:$S$1000,$S76,$V$5:$V$1000,"Macro",$H$5:$H$1000,"&gt;0"))/(COUNTIFS($S$5:$S$1000,$S76,$V$5:$V$1000,"Macro")*SUMIFS($H$5:$H$1000,$S$5:$S$1000,$S76,$V$5:$V$1000,"Macro")/COUNTIFS($S$5:$S$1000,$S76,$V$5:$V$1000,"Macro",$H$5:$H$1000,"&gt;0"))))</f>
        <v/>
      </c>
      <c r="AH76" s="62">
        <f>IF(NOT(AND($D76&lt;&gt;"",$V76="Macro")),"",IFERROR(CHOOSE(MATCH($D76,ListaPuestos,0),MATCH("[Jefatura] "&amp;$C76,'Cronograma R. Operacional'!$C$5:$C$1000,0),MATCH("[Jefatura] "&amp;$C76,'Cronograma R. Normativo'!$C$5:$C$1000,0),MATCH("[Jefatura] "&amp;$C76,'Cronograma R. Financiero'!$C$5:$C$1000,0),MATCH("[Jefatura] "&amp;$C76,'Cronograma Asistente Técnico'!$C$5:$C$1000,0)),0))</f>
        <v/>
      </c>
      <c r="AI76" s="62">
        <f>IF(AND(AND($D76&lt;&gt;"",$V76="Macro"),$S76=MesCiclo),COUNTIFS($D$5:$D76,$D76,$S$5:$S76,MesCiclo,$V$5:$V76,"Macro"),"")</f>
        <v/>
      </c>
      <c r="AJ76" s="62">
        <f>IF($AI76="","",$D76&amp;"|"&amp;$AI76)</f>
        <v/>
      </c>
      <c r="AK76" s="62">
        <f>IF(AND($D76&lt;&gt;"",$V76="Macro"),$D76&amp;"|"&amp;$C76,"")</f>
        <v/>
      </c>
      <c r="AL76" s="62">
        <f>""</f>
        <v/>
      </c>
      <c r="AM76" s="62">
        <f>IF(N($AL76)&gt;0,INDEX(rIni_ADM,$AL76),IF(ISNUMBER($E76),$E76,""))</f>
        <v/>
      </c>
      <c r="AN76" s="62">
        <f>IF(N($AL76)&gt;0,INDEX(rLim_ADM,$AL76),IF(ISNUMBER($F76),$F76,""))</f>
        <v/>
      </c>
    </row>
    <row r="77">
      <c r="A77" s="56">
        <f>IF(NOT((COUNTA($B77:$D77)+COUNTA($G77:$L77)+COUNTA($Q77))&gt;0),"",IF($V77="Macro",COUNTIFS($V$5:$V77,"Macro",$S$5:$S77,$S77),IF(N($U77)=0,"?",COUNTIFS(INDEX($V$5:$V$1000,1):INDEX($V$5:$V$1000,$U77-4),"Macro",INDEX($S$5:$S$1000,1):INDEX($S$5:$S$1000,$U77-4),INDEX($S$5:$S$1000,$U77-4))&amp;"."&amp;COUNTIFS($U$5:$U77,$U77,$V$5:$V77,"Sub"))))</f>
        <v/>
      </c>
      <c r="B77" s="57" t="n"/>
      <c r="C77" s="58" t="n"/>
      <c r="D77" s="58" t="n"/>
      <c r="E77" s="59" t="n"/>
      <c r="F77" s="59" t="n"/>
      <c r="G77" s="59" t="n"/>
      <c r="H77" s="60" t="n"/>
      <c r="I77" s="60" t="n"/>
      <c r="J77" s="60" t="n"/>
      <c r="K77" s="60" t="n"/>
      <c r="L77" s="60" t="n"/>
      <c r="M77" s="61">
        <f>IF(NOT((COUNTA($B77:$D77)+COUNTA($G77:$L77)+COUNTA($Q77))&gt;0),"",IF(AND($D77&lt;&gt;"",$V77="Macro"),IF(N($AH77)&gt;0,N(CHOOSE(MATCH($D77,ListaPuestos,0),INDEX('Cronograma R. Operacional'!$M$5:$M$1000,$AH77),INDEX('Cronograma R. Normativo'!$M$5:$M$1000,$AH77),INDEX('Cronograma R. Financiero'!$M$5:$M$1000,$AH77),INDEX('Cronograma Asistente Técnico'!$M$5:$M$1000,$AH77))),0),IF(ISNUMBER($G77),1,IF(N($W77)&gt;0,AVERAGEIFS($X$5:$X$1000,$U$5:$U$1000,ROW(),$V$5:$V$1000,"Sub"),$X77))))</f>
        <v/>
      </c>
      <c r="N77" s="56">
        <f>IF(OR($M77="",$V77="Sub"),"",IF($M77&gt;=1,"Completado",IF($M77&gt;0,"En curso","Pendiente")))</f>
        <v/>
      </c>
      <c r="O77" s="56">
        <f>IF(NOT((COUNTA($B77:$D77)+COUNTA($G77:$L77)+COUNTA($Q77))&gt;0),"",IF(AND(AND($D77&lt;&gt;"",$V77="Macro"),N($AH77)&gt;0),CHOOSE(MATCH($D77,ListaPuestos,0),INDEX('Cronograma R. Operacional'!$O$5:$O$1000,$AH77),INDEX('Cronograma R. Normativo'!$O$5:$O$1000,$AH77),INDEX('Cronograma R. Financiero'!$O$5:$O$1000,$AH77),INDEX('Cronograma Asistente Técnico'!$O$5:$O$1000,$AH77))&amp;"",IF(ISNUMBER($G77),IF(AND(ISNUMBER($AN77),$G77&gt;$AN77),"Cumplida con "&amp;($G77-$AN77)&amp;IF($G77-$AN77=1," día"," días")&amp;" de retraso","Cumplida"),IF(N($M77)&gt;=1,"Cumplida",IF(NOT(ISNUMBER($AN77)),"Sin fecha límite",IF($AN77&lt;FechaRef,"Vencida hace "&amp;(FechaRef-$AN77)&amp;IF(FechaRef-$AN77=1," día"," días"),IF($AN77=FechaRef,"Vence hoy",IF($AN77-FechaRef&lt;=DiasAlerta,"Vence en "&amp;($AN77-FechaRef)&amp;IF($AN77-FechaRef=1," día"," días"),"En plazo"))))))))</f>
        <v/>
      </c>
      <c r="P77" s="62">
        <f>IF(NOT((COUNTA($B77:$D77)+COUNTA($G77:$L77)+COUNTA($Q77))&gt;0),"",IF($D77="","Propia",IF($V77&lt;&gt;"Macro","Solo se delegan macroactividades",IF(N($AH77)&gt;0,"✔ Recibida por "&amp;$D77,"⚠ "&amp;$D77&amp;" aún no la agrega"))))</f>
        <v/>
      </c>
      <c r="Q77" s="58" t="n"/>
      <c r="R77" s="63">
        <f>IF(NOT((COUNTA($B77:$D77)+COUNTA($G77:$L77)+COUNTA($Q77))&gt;0),"",IF((IF($C77="","Falta el nombre de la actividad"&amp;" · ","")&amp;IF(AND($V77="Sub",N($U77)=0),"Subactividad sin macroactividad arriba"&amp;" · ","")&amp;IF($AM77="","Sin fecha de inicio"&amp;" · ","")&amp;IF($AN77="","Sin fecha límite"&amp;" · ","")&amp;IF(AND(LEFT($C77,11)="[Jefatura] ",N($AL77)=0),"No se encuentra en la hoja de la jefatura (elíjala de nuevo en la lista)"&amp;" · ","")&amp;IF(OR(AND($E77&lt;&gt;"",NOT(ISNUMBER($E77))),AND($F77&lt;&gt;"",NOT(ISNUMBER($F77))),AND($G77&lt;&gt;"",NOT(ISNUMBER($G77)))),"Fecha no válida"&amp;" · ","")&amp;IF(AND(ISNUMBER($AM77),ISNUMBER($AN77),$AM77&gt;$AN77),"Inicio posterior a fecha límite"&amp;" · ","")&amp;IF(AND($V77="Macro",$H77&lt;&gt;"",OR(NOT(ISNUMBER($H77)),$H77&lt;0,$H77&gt;1)),"Peso fuera de rango"&amp;" · ","")&amp;IF(AND($V77="Sub",$H77&lt;&gt;""),"Las subactividades no llevan peso (valen igual dentro de su macroactividad)"&amp;" · ","")&amp;IF(AND(N($W77)&gt;0,COUNT($I77:$L77)&gt;0),"Con subactividades: deje vacías las semanas (se calculan solas)"&amp;" · ","")&amp;IF((COUNTIF($I77:$L77,"&gt;1")+COUNTIF($I77:$L77,"&lt;0")+COUNTA($I77:$L77)-COUNT($I77:$L77))&gt;0,"Avance fuera de rango 0-100%"&amp;" · ","")&amp;IF(OR(AND($J77&lt;&gt;"",$J77&lt;$I77),AND($K77&lt;&gt;"",$K77&lt;MAX($I77:$J77)),AND($L77&lt;&gt;"",$L77&lt;MAX($I77:$K77))),"Avance semanal decreciente"&amp;" · ","")&amp;IF(AND(ISNUMBER($AN77),$AN77&lt;FechaRef,IF($V77="Sub",N($X77),N($M77))&lt;1),"Vencida"&amp;" · ","")&amp;IF(AND(ObsObligatoria="Sí",ISNUMBER($AN77),$AN77&lt;FechaRef,IF($V77="Sub",N($X77),N($M77))&lt;1,$Q77=""),"Vencida sin observación"&amp;" · ",""))="","✔ OK","⚠ "&amp;LEFT(IF($C77="","Falta el nombre de la actividad"&amp;" · ","")&amp;IF(AND($V77="Sub",N($U77)=0),"Subactividad sin macroactividad arriba"&amp;" · ","")&amp;IF($AM77="","Sin fecha de inicio"&amp;" · ","")&amp;IF($AN77="","Sin fecha límite"&amp;" · ","")&amp;IF(AND(LEFT($C77,11)="[Jefatura] ",N($AL77)=0),"No se encuentra en la hoja de la jefatura (elíjala de nuevo en la lista)"&amp;" · ","")&amp;IF(OR(AND($E77&lt;&gt;"",NOT(ISNUMBER($E77))),AND($F77&lt;&gt;"",NOT(ISNUMBER($F77))),AND($G77&lt;&gt;"",NOT(ISNUMBER($G77)))),"Fecha no válida"&amp;" · ","")&amp;IF(AND(ISNUMBER($AM77),ISNUMBER($AN77),$AM77&gt;$AN77),"Inicio posterior a fecha límite"&amp;" · ","")&amp;IF(AND($V77="Macro",$H77&lt;&gt;"",OR(NOT(ISNUMBER($H77)),$H77&lt;0,$H77&gt;1)),"Peso fuera de rango"&amp;" · ","")&amp;IF(AND($V77="Sub",$H77&lt;&gt;""),"Las subactividades no llevan peso (valen igual dentro de su macroactividad)"&amp;" · ","")&amp;IF(AND(N($W77)&gt;0,COUNT($I77:$L77)&gt;0),"Con subactividades: deje vacías las semanas (se calculan solas)"&amp;" · ","")&amp;IF((COUNTIF($I77:$L77,"&gt;1")+COUNTIF($I77:$L77,"&lt;0")+COUNTA($I77:$L77)-COUNT($I77:$L77))&gt;0,"Avance fuera de rango 0-100%"&amp;" · ","")&amp;IF(OR(AND($J77&lt;&gt;"",$J77&lt;$I77),AND($K77&lt;&gt;"",$K77&lt;MAX($I77:$J77)),AND($L77&lt;&gt;"",$L77&lt;MAX($I77:$K77))),"Avance semanal decreciente"&amp;" · ","")&amp;IF(AND(ISNUMBER($AN77),$AN77&lt;FechaRef,IF($V77="Sub",N($X77),N($M77))&lt;1),"Vencida"&amp;" · ","")&amp;IF(AND(ObsObligatoria="Sí",ISNUMBER($AN77),$AN77&lt;FechaRef,IF($V77="Sub",N($X77),N($M77))&lt;1,$Q77=""),"Vencida sin observación"&amp;" · ",""),LEN(IF($C77="","Falta el nombre de la actividad"&amp;" · ","")&amp;IF(AND($V77="Sub",N($U77)=0),"Subactividad sin macroactividad arriba"&amp;" · ","")&amp;IF($AM77="","Sin fecha de inicio"&amp;" · ","")&amp;IF($AN77="","Sin fecha límite"&amp;" · ","")&amp;IF(AND(LEFT($C77,11)="[Jefatura] ",N($AL77)=0),"No se encuentra en la hoja de la jefatura (elíjala de nuevo en la lista)"&amp;" · ","")&amp;IF(OR(AND($E77&lt;&gt;"",NOT(ISNUMBER($E77))),AND($F77&lt;&gt;"",NOT(ISNUMBER($F77))),AND($G77&lt;&gt;"",NOT(ISNUMBER($G77)))),"Fecha no válida"&amp;" · ","")&amp;IF(AND(ISNUMBER($AM77),ISNUMBER($AN77),$AM77&gt;$AN77),"Inicio posterior a fecha límite"&amp;" · ","")&amp;IF(AND($V77="Macro",$H77&lt;&gt;"",OR(NOT(ISNUMBER($H77)),$H77&lt;0,$H77&gt;1)),"Peso fuera de rango"&amp;" · ","")&amp;IF(AND($V77="Sub",$H77&lt;&gt;""),"Las subactividades no llevan peso (valen igual dentro de su macroactividad)"&amp;" · ","")&amp;IF(AND(N($W77)&gt;0,COUNT($I77:$L77)&gt;0),"Con subactividades: deje vacías las semanas (se calculan solas)"&amp;" · ","")&amp;IF((COUNTIF($I77:$L77,"&gt;1")+COUNTIF($I77:$L77,"&lt;0")+COUNTA($I77:$L77)-COUNT($I77:$L77))&gt;0,"Avance fuera de rango 0-100%"&amp;" · ","")&amp;IF(OR(AND($J77&lt;&gt;"",$J77&lt;$I77),AND($K77&lt;&gt;"",$K77&lt;MAX($I77:$J77)),AND($L77&lt;&gt;"",$L77&lt;MAX($I77:$K77))),"Avance semanal decreciente"&amp;" · ","")&amp;IF(AND(ISNUMBER($AN77),$AN77&lt;FechaRef,IF($V77="Sub",N($X77),N($M77))&lt;1),"Vencida"&amp;" · ","")&amp;IF(AND(ObsObligatoria="Sí",ISNUMBER($AN77),$AN77&lt;FechaRef,IF($V77="Sub",N($X77),N($M77))&lt;1,$Q77=""),"Vencida sin observación"&amp;" · ",""))-3)))</f>
        <v/>
      </c>
      <c r="S77" s="64">
        <f>IF(NOT((COUNTA($B77:$D77)+COUNTA($G77:$L77)+COUNTA($Q77))&gt;0),"",IF(AND($V77="Sub",N($U77)&gt;0),IF(ISNUMBER(INDEX($AM$5:$AM$1000,$U77-4)),DATE(YEAR(INDEX($AM$5:$AM$1000,$U77-4)),MONTH(INDEX($AM$5:$AM$1000,$U77-4)),1),IF(ISNUMBER(INDEX($AN$5:$AN$1000,$U77-4)),DATE(YEAR(INDEX($AN$5:$AN$1000,$U77-4)),MONTH(INDEX($AN$5:$AN$1000,$U77-4)),1),MesCiclo)),IF(ISNUMBER($AM77),DATE(YEAR($AM77),MONTH($AM77),1),IF(ISNUMBER($AN77),DATE(YEAR($AN77),MONTH($AN77),1),MesCiclo))))</f>
        <v/>
      </c>
      <c r="T77" s="62">
        <f>IF(OR($S77="",$S77&lt;&gt;MesCiclo,$V77&lt;&gt;"Macro"),"",COUNTIFS($S$5:$S77,MesCiclo,$V$5:$V77,"Macro"))</f>
        <v/>
      </c>
      <c r="U77" s="62">
        <f>IF($V77="","",IF($V77="Macro",ROW(),IFERROR(LOOKUP(2,1/($V$5:$V77="Macro"),ROW($V$5:$V77)),0)))</f>
        <v/>
      </c>
      <c r="V77" s="62">
        <f>IF(NOT((COUNTA($B77:$D77)+COUNTA($G77:$L77)+COUNTA($Q77))&gt;0),"",IF($B77="Subactividad","Sub","Macro"))</f>
        <v/>
      </c>
      <c r="W77" s="62">
        <f>IF($V77="Macro",COUNTIFS($U$5:$U$1000,ROW(),$V$5:$V$1000,"Sub"),"")</f>
        <v/>
      </c>
      <c r="X77" s="62">
        <f>IF($V77="","",IF(ISNUMBER($G77),1,IFERROR(LOOKUP(2,1/($I77:$L77&lt;&gt;""),$I77:$L77),0)))</f>
        <v/>
      </c>
      <c r="Y77" s="62">
        <f>IF($V77="","",IF(AND(ISNUMBER($G77),$G77&lt;=IF($S77=MesCiclo,InicioCiclo,$S77+MOD(2-WEEKDAY($S77),7))+6),1,IF(ISNUMBER($I77),$I77,0)))</f>
        <v/>
      </c>
      <c r="Z77" s="62">
        <f>IF($V77="","",IF(AND(ISNUMBER($G77),$G77&lt;=IF($S77=MesCiclo,InicioCiclo,$S77+MOD(2-WEEKDAY($S77),7))+13),1,IF(ISNUMBER($J77),$J77,$Y77)))</f>
        <v/>
      </c>
      <c r="AA77" s="62">
        <f>IF($V77="","",IF(AND(ISNUMBER($G77),$G77&lt;=IF($S77=MesCiclo,InicioCiclo,$S77+MOD(2-WEEKDAY($S77),7))+20),1,IF(ISNUMBER($K77),$K77,$Z77)))</f>
        <v/>
      </c>
      <c r="AB77" s="62">
        <f>IF($V77="","",IF(AND(ISNUMBER($G77),$G77&lt;=IF($S77=MesCiclo,InicioCiclo,$S77+MOD(2-WEEKDAY($S77),7))+27),1,IF(ISNUMBER($L77),$L77,$AA77)))</f>
        <v/>
      </c>
      <c r="AC77" s="62">
        <f>IF($V77="","",IF(AND(ISNUMBER($G77),$G77&lt;=IF($S77=MesCiclo,InicioCiclo,$S77+MOD(2-WEEKDAY($S77),7))+6),1,IF(N($W77)&gt;0,AVERAGEIFS($Y$5:$Y$1000,$U$5:$U$1000,ROW(),$V$5:$V$1000,"Sub"),$Y77)))</f>
        <v/>
      </c>
      <c r="AD77" s="62">
        <f>IF($V77="","",IF(AND(ISNUMBER($G77),$G77&lt;=IF($S77=MesCiclo,InicioCiclo,$S77+MOD(2-WEEKDAY($S77),7))+13),1,IF(N($W77)&gt;0,AVERAGEIFS($Z$5:$Z$1000,$U$5:$U$1000,ROW(),$V$5:$V$1000,"Sub"),$Z77)))</f>
        <v/>
      </c>
      <c r="AE77" s="62">
        <f>IF($V77="","",IF(AND(ISNUMBER($G77),$G77&lt;=IF($S77=MesCiclo,InicioCiclo,$S77+MOD(2-WEEKDAY($S77),7))+20),1,IF(N($W77)&gt;0,AVERAGEIFS($AA$5:$AA$1000,$U$5:$U$1000,ROW(),$V$5:$V$1000,"Sub"),$AA77)))</f>
        <v/>
      </c>
      <c r="AF77" s="62">
        <f>IF($V77="","",IF(AND(ISNUMBER($G77),$G77&lt;=IF($S77=MesCiclo,InicioCiclo,$S77+MOD(2-WEEKDAY($S77),7))+27),1,IF(N($W77)&gt;0,AVERAGEIFS($AB$5:$AB$1000,$U$5:$U$1000,ROW(),$V$5:$V$1000,"Sub"),$AB77)))</f>
        <v/>
      </c>
      <c r="AG77" s="62">
        <f>IF($V77&lt;&gt;"Macro","",IF(COUNTIFS($S$5:$S$1000,$S77,$V$5:$V$1000,"Macro",$H$5:$H$1000,"&gt;0")=0,1/COUNTIFS($S$5:$S$1000,$S77,$V$5:$V$1000,"Macro"),IF(AND(ISNUMBER($H77),N($H77)&gt;0),$H77,SUMIFS($H$5:$H$1000,$S$5:$S$1000,$S77,$V$5:$V$1000,"Macro")/COUNTIFS($S$5:$S$1000,$S77,$V$5:$V$1000,"Macro",$H$5:$H$1000,"&gt;0"))/(COUNTIFS($S$5:$S$1000,$S77,$V$5:$V$1000,"Macro")*SUMIFS($H$5:$H$1000,$S$5:$S$1000,$S77,$V$5:$V$1000,"Macro")/COUNTIFS($S$5:$S$1000,$S77,$V$5:$V$1000,"Macro",$H$5:$H$1000,"&gt;0"))))</f>
        <v/>
      </c>
      <c r="AH77" s="62">
        <f>IF(NOT(AND($D77&lt;&gt;"",$V77="Macro")),"",IFERROR(CHOOSE(MATCH($D77,ListaPuestos,0),MATCH("[Jefatura] "&amp;$C77,'Cronograma R. Operacional'!$C$5:$C$1000,0),MATCH("[Jefatura] "&amp;$C77,'Cronograma R. Normativo'!$C$5:$C$1000,0),MATCH("[Jefatura] "&amp;$C77,'Cronograma R. Financiero'!$C$5:$C$1000,0),MATCH("[Jefatura] "&amp;$C77,'Cronograma Asistente Técnico'!$C$5:$C$1000,0)),0))</f>
        <v/>
      </c>
      <c r="AI77" s="62">
        <f>IF(AND(AND($D77&lt;&gt;"",$V77="Macro"),$S77=MesCiclo),COUNTIFS($D$5:$D77,$D77,$S$5:$S77,MesCiclo,$V$5:$V77,"Macro"),"")</f>
        <v/>
      </c>
      <c r="AJ77" s="62">
        <f>IF($AI77="","",$D77&amp;"|"&amp;$AI77)</f>
        <v/>
      </c>
      <c r="AK77" s="62">
        <f>IF(AND($D77&lt;&gt;"",$V77="Macro"),$D77&amp;"|"&amp;$C77,"")</f>
        <v/>
      </c>
      <c r="AL77" s="62">
        <f>""</f>
        <v/>
      </c>
      <c r="AM77" s="62">
        <f>IF(N($AL77)&gt;0,INDEX(rIni_ADM,$AL77),IF(ISNUMBER($E77),$E77,""))</f>
        <v/>
      </c>
      <c r="AN77" s="62">
        <f>IF(N($AL77)&gt;0,INDEX(rLim_ADM,$AL77),IF(ISNUMBER($F77),$F77,""))</f>
        <v/>
      </c>
    </row>
    <row r="78">
      <c r="A78" s="56">
        <f>IF(NOT((COUNTA($B78:$D78)+COUNTA($G78:$L78)+COUNTA($Q78))&gt;0),"",IF($V78="Macro",COUNTIFS($V$5:$V78,"Macro",$S$5:$S78,$S78),IF(N($U78)=0,"?",COUNTIFS(INDEX($V$5:$V$1000,1):INDEX($V$5:$V$1000,$U78-4),"Macro",INDEX($S$5:$S$1000,1):INDEX($S$5:$S$1000,$U78-4),INDEX($S$5:$S$1000,$U78-4))&amp;"."&amp;COUNTIFS($U$5:$U78,$U78,$V$5:$V78,"Sub"))))</f>
        <v/>
      </c>
      <c r="B78" s="57" t="n"/>
      <c r="C78" s="58" t="n"/>
      <c r="D78" s="58" t="n"/>
      <c r="E78" s="59" t="n"/>
      <c r="F78" s="59" t="n"/>
      <c r="G78" s="59" t="n"/>
      <c r="H78" s="60" t="n"/>
      <c r="I78" s="60" t="n"/>
      <c r="J78" s="60" t="n"/>
      <c r="K78" s="60" t="n"/>
      <c r="L78" s="60" t="n"/>
      <c r="M78" s="61">
        <f>IF(NOT((COUNTA($B78:$D78)+COUNTA($G78:$L78)+COUNTA($Q78))&gt;0),"",IF(AND($D78&lt;&gt;"",$V78="Macro"),IF(N($AH78)&gt;0,N(CHOOSE(MATCH($D78,ListaPuestos,0),INDEX('Cronograma R. Operacional'!$M$5:$M$1000,$AH78),INDEX('Cronograma R. Normativo'!$M$5:$M$1000,$AH78),INDEX('Cronograma R. Financiero'!$M$5:$M$1000,$AH78),INDEX('Cronograma Asistente Técnico'!$M$5:$M$1000,$AH78))),0),IF(ISNUMBER($G78),1,IF(N($W78)&gt;0,AVERAGEIFS($X$5:$X$1000,$U$5:$U$1000,ROW(),$V$5:$V$1000,"Sub"),$X78))))</f>
        <v/>
      </c>
      <c r="N78" s="56">
        <f>IF(OR($M78="",$V78="Sub"),"",IF($M78&gt;=1,"Completado",IF($M78&gt;0,"En curso","Pendiente")))</f>
        <v/>
      </c>
      <c r="O78" s="56">
        <f>IF(NOT((COUNTA($B78:$D78)+COUNTA($G78:$L78)+COUNTA($Q78))&gt;0),"",IF(AND(AND($D78&lt;&gt;"",$V78="Macro"),N($AH78)&gt;0),CHOOSE(MATCH($D78,ListaPuestos,0),INDEX('Cronograma R. Operacional'!$O$5:$O$1000,$AH78),INDEX('Cronograma R. Normativo'!$O$5:$O$1000,$AH78),INDEX('Cronograma R. Financiero'!$O$5:$O$1000,$AH78),INDEX('Cronograma Asistente Técnico'!$O$5:$O$1000,$AH78))&amp;"",IF(ISNUMBER($G78),IF(AND(ISNUMBER($AN78),$G78&gt;$AN78),"Cumplida con "&amp;($G78-$AN78)&amp;IF($G78-$AN78=1," día"," días")&amp;" de retraso","Cumplida"),IF(N($M78)&gt;=1,"Cumplida",IF(NOT(ISNUMBER($AN78)),"Sin fecha límite",IF($AN78&lt;FechaRef,"Vencida hace "&amp;(FechaRef-$AN78)&amp;IF(FechaRef-$AN78=1," día"," días"),IF($AN78=FechaRef,"Vence hoy",IF($AN78-FechaRef&lt;=DiasAlerta,"Vence en "&amp;($AN78-FechaRef)&amp;IF($AN78-FechaRef=1," día"," días"),"En plazo"))))))))</f>
        <v/>
      </c>
      <c r="P78" s="62">
        <f>IF(NOT((COUNTA($B78:$D78)+COUNTA($G78:$L78)+COUNTA($Q78))&gt;0),"",IF($D78="","Propia",IF($V78&lt;&gt;"Macro","Solo se delegan macroactividades",IF(N($AH78)&gt;0,"✔ Recibida por "&amp;$D78,"⚠ "&amp;$D78&amp;" aún no la agrega"))))</f>
        <v/>
      </c>
      <c r="Q78" s="58" t="n"/>
      <c r="R78" s="63">
        <f>IF(NOT((COUNTA($B78:$D78)+COUNTA($G78:$L78)+COUNTA($Q78))&gt;0),"",IF((IF($C78="","Falta el nombre de la actividad"&amp;" · ","")&amp;IF(AND($V78="Sub",N($U78)=0),"Subactividad sin macroactividad arriba"&amp;" · ","")&amp;IF($AM78="","Sin fecha de inicio"&amp;" · ","")&amp;IF($AN78="","Sin fecha límite"&amp;" · ","")&amp;IF(AND(LEFT($C78,11)="[Jefatura] ",N($AL78)=0),"No se encuentra en la hoja de la jefatura (elíjala de nuevo en la lista)"&amp;" · ","")&amp;IF(OR(AND($E78&lt;&gt;"",NOT(ISNUMBER($E78))),AND($F78&lt;&gt;"",NOT(ISNUMBER($F78))),AND($G78&lt;&gt;"",NOT(ISNUMBER($G78)))),"Fecha no válida"&amp;" · ","")&amp;IF(AND(ISNUMBER($AM78),ISNUMBER($AN78),$AM78&gt;$AN78),"Inicio posterior a fecha límite"&amp;" · ","")&amp;IF(AND($V78="Macro",$H78&lt;&gt;"",OR(NOT(ISNUMBER($H78)),$H78&lt;0,$H78&gt;1)),"Peso fuera de rango"&amp;" · ","")&amp;IF(AND($V78="Sub",$H78&lt;&gt;""),"Las subactividades no llevan peso (valen igual dentro de su macroactividad)"&amp;" · ","")&amp;IF(AND(N($W78)&gt;0,COUNT($I78:$L78)&gt;0),"Con subactividades: deje vacías las semanas (se calculan solas)"&amp;" · ","")&amp;IF((COUNTIF($I78:$L78,"&gt;1")+COUNTIF($I78:$L78,"&lt;0")+COUNTA($I78:$L78)-COUNT($I78:$L78))&gt;0,"Avance fuera de rango 0-100%"&amp;" · ","")&amp;IF(OR(AND($J78&lt;&gt;"",$J78&lt;$I78),AND($K78&lt;&gt;"",$K78&lt;MAX($I78:$J78)),AND($L78&lt;&gt;"",$L78&lt;MAX($I78:$K78))),"Avance semanal decreciente"&amp;" · ","")&amp;IF(AND(ISNUMBER($AN78),$AN78&lt;FechaRef,IF($V78="Sub",N($X78),N($M78))&lt;1),"Vencida"&amp;" · ","")&amp;IF(AND(ObsObligatoria="Sí",ISNUMBER($AN78),$AN78&lt;FechaRef,IF($V78="Sub",N($X78),N($M78))&lt;1,$Q78=""),"Vencida sin observación"&amp;" · ",""))="","✔ OK","⚠ "&amp;LEFT(IF($C78="","Falta el nombre de la actividad"&amp;" · ","")&amp;IF(AND($V78="Sub",N($U78)=0),"Subactividad sin macroactividad arriba"&amp;" · ","")&amp;IF($AM78="","Sin fecha de inicio"&amp;" · ","")&amp;IF($AN78="","Sin fecha límite"&amp;" · ","")&amp;IF(AND(LEFT($C78,11)="[Jefatura] ",N($AL78)=0),"No se encuentra en la hoja de la jefatura (elíjala de nuevo en la lista)"&amp;" · ","")&amp;IF(OR(AND($E78&lt;&gt;"",NOT(ISNUMBER($E78))),AND($F78&lt;&gt;"",NOT(ISNUMBER($F78))),AND($G78&lt;&gt;"",NOT(ISNUMBER($G78)))),"Fecha no válida"&amp;" · ","")&amp;IF(AND(ISNUMBER($AM78),ISNUMBER($AN78),$AM78&gt;$AN78),"Inicio posterior a fecha límite"&amp;" · ","")&amp;IF(AND($V78="Macro",$H78&lt;&gt;"",OR(NOT(ISNUMBER($H78)),$H78&lt;0,$H78&gt;1)),"Peso fuera de rango"&amp;" · ","")&amp;IF(AND($V78="Sub",$H78&lt;&gt;""),"Las subactividades no llevan peso (valen igual dentro de su macroactividad)"&amp;" · ","")&amp;IF(AND(N($W78)&gt;0,COUNT($I78:$L78)&gt;0),"Con subactividades: deje vacías las semanas (se calculan solas)"&amp;" · ","")&amp;IF((COUNTIF($I78:$L78,"&gt;1")+COUNTIF($I78:$L78,"&lt;0")+COUNTA($I78:$L78)-COUNT($I78:$L78))&gt;0,"Avance fuera de rango 0-100%"&amp;" · ","")&amp;IF(OR(AND($J78&lt;&gt;"",$J78&lt;$I78),AND($K78&lt;&gt;"",$K78&lt;MAX($I78:$J78)),AND($L78&lt;&gt;"",$L78&lt;MAX($I78:$K78))),"Avance semanal decreciente"&amp;" · ","")&amp;IF(AND(ISNUMBER($AN78),$AN78&lt;FechaRef,IF($V78="Sub",N($X78),N($M78))&lt;1),"Vencida"&amp;" · ","")&amp;IF(AND(ObsObligatoria="Sí",ISNUMBER($AN78),$AN78&lt;FechaRef,IF($V78="Sub",N($X78),N($M78))&lt;1,$Q78=""),"Vencida sin observación"&amp;" · ",""),LEN(IF($C78="","Falta el nombre de la actividad"&amp;" · ","")&amp;IF(AND($V78="Sub",N($U78)=0),"Subactividad sin macroactividad arriba"&amp;" · ","")&amp;IF($AM78="","Sin fecha de inicio"&amp;" · ","")&amp;IF($AN78="","Sin fecha límite"&amp;" · ","")&amp;IF(AND(LEFT($C78,11)="[Jefatura] ",N($AL78)=0),"No se encuentra en la hoja de la jefatura (elíjala de nuevo en la lista)"&amp;" · ","")&amp;IF(OR(AND($E78&lt;&gt;"",NOT(ISNUMBER($E78))),AND($F78&lt;&gt;"",NOT(ISNUMBER($F78))),AND($G78&lt;&gt;"",NOT(ISNUMBER($G78)))),"Fecha no válida"&amp;" · ","")&amp;IF(AND(ISNUMBER($AM78),ISNUMBER($AN78),$AM78&gt;$AN78),"Inicio posterior a fecha límite"&amp;" · ","")&amp;IF(AND($V78="Macro",$H78&lt;&gt;"",OR(NOT(ISNUMBER($H78)),$H78&lt;0,$H78&gt;1)),"Peso fuera de rango"&amp;" · ","")&amp;IF(AND($V78="Sub",$H78&lt;&gt;""),"Las subactividades no llevan peso (valen igual dentro de su macroactividad)"&amp;" · ","")&amp;IF(AND(N($W78)&gt;0,COUNT($I78:$L78)&gt;0),"Con subactividades: deje vacías las semanas (se calculan solas)"&amp;" · ","")&amp;IF((COUNTIF($I78:$L78,"&gt;1")+COUNTIF($I78:$L78,"&lt;0")+COUNTA($I78:$L78)-COUNT($I78:$L78))&gt;0,"Avance fuera de rango 0-100%"&amp;" · ","")&amp;IF(OR(AND($J78&lt;&gt;"",$J78&lt;$I78),AND($K78&lt;&gt;"",$K78&lt;MAX($I78:$J78)),AND($L78&lt;&gt;"",$L78&lt;MAX($I78:$K78))),"Avance semanal decreciente"&amp;" · ","")&amp;IF(AND(ISNUMBER($AN78),$AN78&lt;FechaRef,IF($V78="Sub",N($X78),N($M78))&lt;1),"Vencida"&amp;" · ","")&amp;IF(AND(ObsObligatoria="Sí",ISNUMBER($AN78),$AN78&lt;FechaRef,IF($V78="Sub",N($X78),N($M78))&lt;1,$Q78=""),"Vencida sin observación"&amp;" · ",""))-3)))</f>
        <v/>
      </c>
      <c r="S78" s="64">
        <f>IF(NOT((COUNTA($B78:$D78)+COUNTA($G78:$L78)+COUNTA($Q78))&gt;0),"",IF(AND($V78="Sub",N($U78)&gt;0),IF(ISNUMBER(INDEX($AM$5:$AM$1000,$U78-4)),DATE(YEAR(INDEX($AM$5:$AM$1000,$U78-4)),MONTH(INDEX($AM$5:$AM$1000,$U78-4)),1),IF(ISNUMBER(INDEX($AN$5:$AN$1000,$U78-4)),DATE(YEAR(INDEX($AN$5:$AN$1000,$U78-4)),MONTH(INDEX($AN$5:$AN$1000,$U78-4)),1),MesCiclo)),IF(ISNUMBER($AM78),DATE(YEAR($AM78),MONTH($AM78),1),IF(ISNUMBER($AN78),DATE(YEAR($AN78),MONTH($AN78),1),MesCiclo))))</f>
        <v/>
      </c>
      <c r="T78" s="62">
        <f>IF(OR($S78="",$S78&lt;&gt;MesCiclo,$V78&lt;&gt;"Macro"),"",COUNTIFS($S$5:$S78,MesCiclo,$V$5:$V78,"Macro"))</f>
        <v/>
      </c>
      <c r="U78" s="62">
        <f>IF($V78="","",IF($V78="Macro",ROW(),IFERROR(LOOKUP(2,1/($V$5:$V78="Macro"),ROW($V$5:$V78)),0)))</f>
        <v/>
      </c>
      <c r="V78" s="62">
        <f>IF(NOT((COUNTA($B78:$D78)+COUNTA($G78:$L78)+COUNTA($Q78))&gt;0),"",IF($B78="Subactividad","Sub","Macro"))</f>
        <v/>
      </c>
      <c r="W78" s="62">
        <f>IF($V78="Macro",COUNTIFS($U$5:$U$1000,ROW(),$V$5:$V$1000,"Sub"),"")</f>
        <v/>
      </c>
      <c r="X78" s="62">
        <f>IF($V78="","",IF(ISNUMBER($G78),1,IFERROR(LOOKUP(2,1/($I78:$L78&lt;&gt;""),$I78:$L78),0)))</f>
        <v/>
      </c>
      <c r="Y78" s="62">
        <f>IF($V78="","",IF(AND(ISNUMBER($G78),$G78&lt;=IF($S78=MesCiclo,InicioCiclo,$S78+MOD(2-WEEKDAY($S78),7))+6),1,IF(ISNUMBER($I78),$I78,0)))</f>
        <v/>
      </c>
      <c r="Z78" s="62">
        <f>IF($V78="","",IF(AND(ISNUMBER($G78),$G78&lt;=IF($S78=MesCiclo,InicioCiclo,$S78+MOD(2-WEEKDAY($S78),7))+13),1,IF(ISNUMBER($J78),$J78,$Y78)))</f>
        <v/>
      </c>
      <c r="AA78" s="62">
        <f>IF($V78="","",IF(AND(ISNUMBER($G78),$G78&lt;=IF($S78=MesCiclo,InicioCiclo,$S78+MOD(2-WEEKDAY($S78),7))+20),1,IF(ISNUMBER($K78),$K78,$Z78)))</f>
        <v/>
      </c>
      <c r="AB78" s="62">
        <f>IF($V78="","",IF(AND(ISNUMBER($G78),$G78&lt;=IF($S78=MesCiclo,InicioCiclo,$S78+MOD(2-WEEKDAY($S78),7))+27),1,IF(ISNUMBER($L78),$L78,$AA78)))</f>
        <v/>
      </c>
      <c r="AC78" s="62">
        <f>IF($V78="","",IF(AND(ISNUMBER($G78),$G78&lt;=IF($S78=MesCiclo,InicioCiclo,$S78+MOD(2-WEEKDAY($S78),7))+6),1,IF(N($W78)&gt;0,AVERAGEIFS($Y$5:$Y$1000,$U$5:$U$1000,ROW(),$V$5:$V$1000,"Sub"),$Y78)))</f>
        <v/>
      </c>
      <c r="AD78" s="62">
        <f>IF($V78="","",IF(AND(ISNUMBER($G78),$G78&lt;=IF($S78=MesCiclo,InicioCiclo,$S78+MOD(2-WEEKDAY($S78),7))+13),1,IF(N($W78)&gt;0,AVERAGEIFS($Z$5:$Z$1000,$U$5:$U$1000,ROW(),$V$5:$V$1000,"Sub"),$Z78)))</f>
        <v/>
      </c>
      <c r="AE78" s="62">
        <f>IF($V78="","",IF(AND(ISNUMBER($G78),$G78&lt;=IF($S78=MesCiclo,InicioCiclo,$S78+MOD(2-WEEKDAY($S78),7))+20),1,IF(N($W78)&gt;0,AVERAGEIFS($AA$5:$AA$1000,$U$5:$U$1000,ROW(),$V$5:$V$1000,"Sub"),$AA78)))</f>
        <v/>
      </c>
      <c r="AF78" s="62">
        <f>IF($V78="","",IF(AND(ISNUMBER($G78),$G78&lt;=IF($S78=MesCiclo,InicioCiclo,$S78+MOD(2-WEEKDAY($S78),7))+27),1,IF(N($W78)&gt;0,AVERAGEIFS($AB$5:$AB$1000,$U$5:$U$1000,ROW(),$V$5:$V$1000,"Sub"),$AB78)))</f>
        <v/>
      </c>
      <c r="AG78" s="62">
        <f>IF($V78&lt;&gt;"Macro","",IF(COUNTIFS($S$5:$S$1000,$S78,$V$5:$V$1000,"Macro",$H$5:$H$1000,"&gt;0")=0,1/COUNTIFS($S$5:$S$1000,$S78,$V$5:$V$1000,"Macro"),IF(AND(ISNUMBER($H78),N($H78)&gt;0),$H78,SUMIFS($H$5:$H$1000,$S$5:$S$1000,$S78,$V$5:$V$1000,"Macro")/COUNTIFS($S$5:$S$1000,$S78,$V$5:$V$1000,"Macro",$H$5:$H$1000,"&gt;0"))/(COUNTIFS($S$5:$S$1000,$S78,$V$5:$V$1000,"Macro")*SUMIFS($H$5:$H$1000,$S$5:$S$1000,$S78,$V$5:$V$1000,"Macro")/COUNTIFS($S$5:$S$1000,$S78,$V$5:$V$1000,"Macro",$H$5:$H$1000,"&gt;0"))))</f>
        <v/>
      </c>
      <c r="AH78" s="62">
        <f>IF(NOT(AND($D78&lt;&gt;"",$V78="Macro")),"",IFERROR(CHOOSE(MATCH($D78,ListaPuestos,0),MATCH("[Jefatura] "&amp;$C78,'Cronograma R. Operacional'!$C$5:$C$1000,0),MATCH("[Jefatura] "&amp;$C78,'Cronograma R. Normativo'!$C$5:$C$1000,0),MATCH("[Jefatura] "&amp;$C78,'Cronograma R. Financiero'!$C$5:$C$1000,0),MATCH("[Jefatura] "&amp;$C78,'Cronograma Asistente Técnico'!$C$5:$C$1000,0)),0))</f>
        <v/>
      </c>
      <c r="AI78" s="62">
        <f>IF(AND(AND($D78&lt;&gt;"",$V78="Macro"),$S78=MesCiclo),COUNTIFS($D$5:$D78,$D78,$S$5:$S78,MesCiclo,$V$5:$V78,"Macro"),"")</f>
        <v/>
      </c>
      <c r="AJ78" s="62">
        <f>IF($AI78="","",$D78&amp;"|"&amp;$AI78)</f>
        <v/>
      </c>
      <c r="AK78" s="62">
        <f>IF(AND($D78&lt;&gt;"",$V78="Macro"),$D78&amp;"|"&amp;$C78,"")</f>
        <v/>
      </c>
      <c r="AL78" s="62">
        <f>""</f>
        <v/>
      </c>
      <c r="AM78" s="62">
        <f>IF(N($AL78)&gt;0,INDEX(rIni_ADM,$AL78),IF(ISNUMBER($E78),$E78,""))</f>
        <v/>
      </c>
      <c r="AN78" s="62">
        <f>IF(N($AL78)&gt;0,INDEX(rLim_ADM,$AL78),IF(ISNUMBER($F78),$F78,""))</f>
        <v/>
      </c>
    </row>
    <row r="79">
      <c r="A79" s="56">
        <f>IF(NOT((COUNTA($B79:$D79)+COUNTA($G79:$L79)+COUNTA($Q79))&gt;0),"",IF($V79="Macro",COUNTIFS($V$5:$V79,"Macro",$S$5:$S79,$S79),IF(N($U79)=0,"?",COUNTIFS(INDEX($V$5:$V$1000,1):INDEX($V$5:$V$1000,$U79-4),"Macro",INDEX($S$5:$S$1000,1):INDEX($S$5:$S$1000,$U79-4),INDEX($S$5:$S$1000,$U79-4))&amp;"."&amp;COUNTIFS($U$5:$U79,$U79,$V$5:$V79,"Sub"))))</f>
        <v/>
      </c>
      <c r="B79" s="57" t="n"/>
      <c r="C79" s="58" t="n"/>
      <c r="D79" s="58" t="n"/>
      <c r="E79" s="59" t="n"/>
      <c r="F79" s="59" t="n"/>
      <c r="G79" s="59" t="n"/>
      <c r="H79" s="60" t="n"/>
      <c r="I79" s="60" t="n"/>
      <c r="J79" s="60" t="n"/>
      <c r="K79" s="60" t="n"/>
      <c r="L79" s="60" t="n"/>
      <c r="M79" s="61">
        <f>IF(NOT((COUNTA($B79:$D79)+COUNTA($G79:$L79)+COUNTA($Q79))&gt;0),"",IF(AND($D79&lt;&gt;"",$V79="Macro"),IF(N($AH79)&gt;0,N(CHOOSE(MATCH($D79,ListaPuestos,0),INDEX('Cronograma R. Operacional'!$M$5:$M$1000,$AH79),INDEX('Cronograma R. Normativo'!$M$5:$M$1000,$AH79),INDEX('Cronograma R. Financiero'!$M$5:$M$1000,$AH79),INDEX('Cronograma Asistente Técnico'!$M$5:$M$1000,$AH79))),0),IF(ISNUMBER($G79),1,IF(N($W79)&gt;0,AVERAGEIFS($X$5:$X$1000,$U$5:$U$1000,ROW(),$V$5:$V$1000,"Sub"),$X79))))</f>
        <v/>
      </c>
      <c r="N79" s="56">
        <f>IF(OR($M79="",$V79="Sub"),"",IF($M79&gt;=1,"Completado",IF($M79&gt;0,"En curso","Pendiente")))</f>
        <v/>
      </c>
      <c r="O79" s="56">
        <f>IF(NOT((COUNTA($B79:$D79)+COUNTA($G79:$L79)+COUNTA($Q79))&gt;0),"",IF(AND(AND($D79&lt;&gt;"",$V79="Macro"),N($AH79)&gt;0),CHOOSE(MATCH($D79,ListaPuestos,0),INDEX('Cronograma R. Operacional'!$O$5:$O$1000,$AH79),INDEX('Cronograma R. Normativo'!$O$5:$O$1000,$AH79),INDEX('Cronograma R. Financiero'!$O$5:$O$1000,$AH79),INDEX('Cronograma Asistente Técnico'!$O$5:$O$1000,$AH79))&amp;"",IF(ISNUMBER($G79),IF(AND(ISNUMBER($AN79),$G79&gt;$AN79),"Cumplida con "&amp;($G79-$AN79)&amp;IF($G79-$AN79=1," día"," días")&amp;" de retraso","Cumplida"),IF(N($M79)&gt;=1,"Cumplida",IF(NOT(ISNUMBER($AN79)),"Sin fecha límite",IF($AN79&lt;FechaRef,"Vencida hace "&amp;(FechaRef-$AN79)&amp;IF(FechaRef-$AN79=1," día"," días"),IF($AN79=FechaRef,"Vence hoy",IF($AN79-FechaRef&lt;=DiasAlerta,"Vence en "&amp;($AN79-FechaRef)&amp;IF($AN79-FechaRef=1," día"," días"),"En plazo"))))))))</f>
        <v/>
      </c>
      <c r="P79" s="62">
        <f>IF(NOT((COUNTA($B79:$D79)+COUNTA($G79:$L79)+COUNTA($Q79))&gt;0),"",IF($D79="","Propia",IF($V79&lt;&gt;"Macro","Solo se delegan macroactividades",IF(N($AH79)&gt;0,"✔ Recibida por "&amp;$D79,"⚠ "&amp;$D79&amp;" aún no la agrega"))))</f>
        <v/>
      </c>
      <c r="Q79" s="58" t="n"/>
      <c r="R79" s="63">
        <f>IF(NOT((COUNTA($B79:$D79)+COUNTA($G79:$L79)+COUNTA($Q79))&gt;0),"",IF((IF($C79="","Falta el nombre de la actividad"&amp;" · ","")&amp;IF(AND($V79="Sub",N($U79)=0),"Subactividad sin macroactividad arriba"&amp;" · ","")&amp;IF($AM79="","Sin fecha de inicio"&amp;" · ","")&amp;IF($AN79="","Sin fecha límite"&amp;" · ","")&amp;IF(AND(LEFT($C79,11)="[Jefatura] ",N($AL79)=0),"No se encuentra en la hoja de la jefatura (elíjala de nuevo en la lista)"&amp;" · ","")&amp;IF(OR(AND($E79&lt;&gt;"",NOT(ISNUMBER($E79))),AND($F79&lt;&gt;"",NOT(ISNUMBER($F79))),AND($G79&lt;&gt;"",NOT(ISNUMBER($G79)))),"Fecha no válida"&amp;" · ","")&amp;IF(AND(ISNUMBER($AM79),ISNUMBER($AN79),$AM79&gt;$AN79),"Inicio posterior a fecha límite"&amp;" · ","")&amp;IF(AND($V79="Macro",$H79&lt;&gt;"",OR(NOT(ISNUMBER($H79)),$H79&lt;0,$H79&gt;1)),"Peso fuera de rango"&amp;" · ","")&amp;IF(AND($V79="Sub",$H79&lt;&gt;""),"Las subactividades no llevan peso (valen igual dentro de su macroactividad)"&amp;" · ","")&amp;IF(AND(N($W79)&gt;0,COUNT($I79:$L79)&gt;0),"Con subactividades: deje vacías las semanas (se calculan solas)"&amp;" · ","")&amp;IF((COUNTIF($I79:$L79,"&gt;1")+COUNTIF($I79:$L79,"&lt;0")+COUNTA($I79:$L79)-COUNT($I79:$L79))&gt;0,"Avance fuera de rango 0-100%"&amp;" · ","")&amp;IF(OR(AND($J79&lt;&gt;"",$J79&lt;$I79),AND($K79&lt;&gt;"",$K79&lt;MAX($I79:$J79)),AND($L79&lt;&gt;"",$L79&lt;MAX($I79:$K79))),"Avance semanal decreciente"&amp;" · ","")&amp;IF(AND(ISNUMBER($AN79),$AN79&lt;FechaRef,IF($V79="Sub",N($X79),N($M79))&lt;1),"Vencida"&amp;" · ","")&amp;IF(AND(ObsObligatoria="Sí",ISNUMBER($AN79),$AN79&lt;FechaRef,IF($V79="Sub",N($X79),N($M79))&lt;1,$Q79=""),"Vencida sin observación"&amp;" · ",""))="","✔ OK","⚠ "&amp;LEFT(IF($C79="","Falta el nombre de la actividad"&amp;" · ","")&amp;IF(AND($V79="Sub",N($U79)=0),"Subactividad sin macroactividad arriba"&amp;" · ","")&amp;IF($AM79="","Sin fecha de inicio"&amp;" · ","")&amp;IF($AN79="","Sin fecha límite"&amp;" · ","")&amp;IF(AND(LEFT($C79,11)="[Jefatura] ",N($AL79)=0),"No se encuentra en la hoja de la jefatura (elíjala de nuevo en la lista)"&amp;" · ","")&amp;IF(OR(AND($E79&lt;&gt;"",NOT(ISNUMBER($E79))),AND($F79&lt;&gt;"",NOT(ISNUMBER($F79))),AND($G79&lt;&gt;"",NOT(ISNUMBER($G79)))),"Fecha no válida"&amp;" · ","")&amp;IF(AND(ISNUMBER($AM79),ISNUMBER($AN79),$AM79&gt;$AN79),"Inicio posterior a fecha límite"&amp;" · ","")&amp;IF(AND($V79="Macro",$H79&lt;&gt;"",OR(NOT(ISNUMBER($H79)),$H79&lt;0,$H79&gt;1)),"Peso fuera de rango"&amp;" · ","")&amp;IF(AND($V79="Sub",$H79&lt;&gt;""),"Las subactividades no llevan peso (valen igual dentro de su macroactividad)"&amp;" · ","")&amp;IF(AND(N($W79)&gt;0,COUNT($I79:$L79)&gt;0),"Con subactividades: deje vacías las semanas (se calculan solas)"&amp;" · ","")&amp;IF((COUNTIF($I79:$L79,"&gt;1")+COUNTIF($I79:$L79,"&lt;0")+COUNTA($I79:$L79)-COUNT($I79:$L79))&gt;0,"Avance fuera de rango 0-100%"&amp;" · ","")&amp;IF(OR(AND($J79&lt;&gt;"",$J79&lt;$I79),AND($K79&lt;&gt;"",$K79&lt;MAX($I79:$J79)),AND($L79&lt;&gt;"",$L79&lt;MAX($I79:$K79))),"Avance semanal decreciente"&amp;" · ","")&amp;IF(AND(ISNUMBER($AN79),$AN79&lt;FechaRef,IF($V79="Sub",N($X79),N($M79))&lt;1),"Vencida"&amp;" · ","")&amp;IF(AND(ObsObligatoria="Sí",ISNUMBER($AN79),$AN79&lt;FechaRef,IF($V79="Sub",N($X79),N($M79))&lt;1,$Q79=""),"Vencida sin observación"&amp;" · ",""),LEN(IF($C79="","Falta el nombre de la actividad"&amp;" · ","")&amp;IF(AND($V79="Sub",N($U79)=0),"Subactividad sin macroactividad arriba"&amp;" · ","")&amp;IF($AM79="","Sin fecha de inicio"&amp;" · ","")&amp;IF($AN79="","Sin fecha límite"&amp;" · ","")&amp;IF(AND(LEFT($C79,11)="[Jefatura] ",N($AL79)=0),"No se encuentra en la hoja de la jefatura (elíjala de nuevo en la lista)"&amp;" · ","")&amp;IF(OR(AND($E79&lt;&gt;"",NOT(ISNUMBER($E79))),AND($F79&lt;&gt;"",NOT(ISNUMBER($F79))),AND($G79&lt;&gt;"",NOT(ISNUMBER($G79)))),"Fecha no válida"&amp;" · ","")&amp;IF(AND(ISNUMBER($AM79),ISNUMBER($AN79),$AM79&gt;$AN79),"Inicio posterior a fecha límite"&amp;" · ","")&amp;IF(AND($V79="Macro",$H79&lt;&gt;"",OR(NOT(ISNUMBER($H79)),$H79&lt;0,$H79&gt;1)),"Peso fuera de rango"&amp;" · ","")&amp;IF(AND($V79="Sub",$H79&lt;&gt;""),"Las subactividades no llevan peso (valen igual dentro de su macroactividad)"&amp;" · ","")&amp;IF(AND(N($W79)&gt;0,COUNT($I79:$L79)&gt;0),"Con subactividades: deje vacías las semanas (se calculan solas)"&amp;" · ","")&amp;IF((COUNTIF($I79:$L79,"&gt;1")+COUNTIF($I79:$L79,"&lt;0")+COUNTA($I79:$L79)-COUNT($I79:$L79))&gt;0,"Avance fuera de rango 0-100%"&amp;" · ","")&amp;IF(OR(AND($J79&lt;&gt;"",$J79&lt;$I79),AND($K79&lt;&gt;"",$K79&lt;MAX($I79:$J79)),AND($L79&lt;&gt;"",$L79&lt;MAX($I79:$K79))),"Avance semanal decreciente"&amp;" · ","")&amp;IF(AND(ISNUMBER($AN79),$AN79&lt;FechaRef,IF($V79="Sub",N($X79),N($M79))&lt;1),"Vencida"&amp;" · ","")&amp;IF(AND(ObsObligatoria="Sí",ISNUMBER($AN79),$AN79&lt;FechaRef,IF($V79="Sub",N($X79),N($M79))&lt;1,$Q79=""),"Vencida sin observación"&amp;" · ",""))-3)))</f>
        <v/>
      </c>
      <c r="S79" s="64">
        <f>IF(NOT((COUNTA($B79:$D79)+COUNTA($G79:$L79)+COUNTA($Q79))&gt;0),"",IF(AND($V79="Sub",N($U79)&gt;0),IF(ISNUMBER(INDEX($AM$5:$AM$1000,$U79-4)),DATE(YEAR(INDEX($AM$5:$AM$1000,$U79-4)),MONTH(INDEX($AM$5:$AM$1000,$U79-4)),1),IF(ISNUMBER(INDEX($AN$5:$AN$1000,$U79-4)),DATE(YEAR(INDEX($AN$5:$AN$1000,$U79-4)),MONTH(INDEX($AN$5:$AN$1000,$U79-4)),1),MesCiclo)),IF(ISNUMBER($AM79),DATE(YEAR($AM79),MONTH($AM79),1),IF(ISNUMBER($AN79),DATE(YEAR($AN79),MONTH($AN79),1),MesCiclo))))</f>
        <v/>
      </c>
      <c r="T79" s="62">
        <f>IF(OR($S79="",$S79&lt;&gt;MesCiclo,$V79&lt;&gt;"Macro"),"",COUNTIFS($S$5:$S79,MesCiclo,$V$5:$V79,"Macro"))</f>
        <v/>
      </c>
      <c r="U79" s="62">
        <f>IF($V79="","",IF($V79="Macro",ROW(),IFERROR(LOOKUP(2,1/($V$5:$V79="Macro"),ROW($V$5:$V79)),0)))</f>
        <v/>
      </c>
      <c r="V79" s="62">
        <f>IF(NOT((COUNTA($B79:$D79)+COUNTA($G79:$L79)+COUNTA($Q79))&gt;0),"",IF($B79="Subactividad","Sub","Macro"))</f>
        <v/>
      </c>
      <c r="W79" s="62">
        <f>IF($V79="Macro",COUNTIFS($U$5:$U$1000,ROW(),$V$5:$V$1000,"Sub"),"")</f>
        <v/>
      </c>
      <c r="X79" s="62">
        <f>IF($V79="","",IF(ISNUMBER($G79),1,IFERROR(LOOKUP(2,1/($I79:$L79&lt;&gt;""),$I79:$L79),0)))</f>
        <v/>
      </c>
      <c r="Y79" s="62">
        <f>IF($V79="","",IF(AND(ISNUMBER($G79),$G79&lt;=IF($S79=MesCiclo,InicioCiclo,$S79+MOD(2-WEEKDAY($S79),7))+6),1,IF(ISNUMBER($I79),$I79,0)))</f>
        <v/>
      </c>
      <c r="Z79" s="62">
        <f>IF($V79="","",IF(AND(ISNUMBER($G79),$G79&lt;=IF($S79=MesCiclo,InicioCiclo,$S79+MOD(2-WEEKDAY($S79),7))+13),1,IF(ISNUMBER($J79),$J79,$Y79)))</f>
        <v/>
      </c>
      <c r="AA79" s="62">
        <f>IF($V79="","",IF(AND(ISNUMBER($G79),$G79&lt;=IF($S79=MesCiclo,InicioCiclo,$S79+MOD(2-WEEKDAY($S79),7))+20),1,IF(ISNUMBER($K79),$K79,$Z79)))</f>
        <v/>
      </c>
      <c r="AB79" s="62">
        <f>IF($V79="","",IF(AND(ISNUMBER($G79),$G79&lt;=IF($S79=MesCiclo,InicioCiclo,$S79+MOD(2-WEEKDAY($S79),7))+27),1,IF(ISNUMBER($L79),$L79,$AA79)))</f>
        <v/>
      </c>
      <c r="AC79" s="62">
        <f>IF($V79="","",IF(AND(ISNUMBER($G79),$G79&lt;=IF($S79=MesCiclo,InicioCiclo,$S79+MOD(2-WEEKDAY($S79),7))+6),1,IF(N($W79)&gt;0,AVERAGEIFS($Y$5:$Y$1000,$U$5:$U$1000,ROW(),$V$5:$V$1000,"Sub"),$Y79)))</f>
        <v/>
      </c>
      <c r="AD79" s="62">
        <f>IF($V79="","",IF(AND(ISNUMBER($G79),$G79&lt;=IF($S79=MesCiclo,InicioCiclo,$S79+MOD(2-WEEKDAY($S79),7))+13),1,IF(N($W79)&gt;0,AVERAGEIFS($Z$5:$Z$1000,$U$5:$U$1000,ROW(),$V$5:$V$1000,"Sub"),$Z79)))</f>
        <v/>
      </c>
      <c r="AE79" s="62">
        <f>IF($V79="","",IF(AND(ISNUMBER($G79),$G79&lt;=IF($S79=MesCiclo,InicioCiclo,$S79+MOD(2-WEEKDAY($S79),7))+20),1,IF(N($W79)&gt;0,AVERAGEIFS($AA$5:$AA$1000,$U$5:$U$1000,ROW(),$V$5:$V$1000,"Sub"),$AA79)))</f>
        <v/>
      </c>
      <c r="AF79" s="62">
        <f>IF($V79="","",IF(AND(ISNUMBER($G79),$G79&lt;=IF($S79=MesCiclo,InicioCiclo,$S79+MOD(2-WEEKDAY($S79),7))+27),1,IF(N($W79)&gt;0,AVERAGEIFS($AB$5:$AB$1000,$U$5:$U$1000,ROW(),$V$5:$V$1000,"Sub"),$AB79)))</f>
        <v/>
      </c>
      <c r="AG79" s="62">
        <f>IF($V79&lt;&gt;"Macro","",IF(COUNTIFS($S$5:$S$1000,$S79,$V$5:$V$1000,"Macro",$H$5:$H$1000,"&gt;0")=0,1/COUNTIFS($S$5:$S$1000,$S79,$V$5:$V$1000,"Macro"),IF(AND(ISNUMBER($H79),N($H79)&gt;0),$H79,SUMIFS($H$5:$H$1000,$S$5:$S$1000,$S79,$V$5:$V$1000,"Macro")/COUNTIFS($S$5:$S$1000,$S79,$V$5:$V$1000,"Macro",$H$5:$H$1000,"&gt;0"))/(COUNTIFS($S$5:$S$1000,$S79,$V$5:$V$1000,"Macro")*SUMIFS($H$5:$H$1000,$S$5:$S$1000,$S79,$V$5:$V$1000,"Macro")/COUNTIFS($S$5:$S$1000,$S79,$V$5:$V$1000,"Macro",$H$5:$H$1000,"&gt;0"))))</f>
        <v/>
      </c>
      <c r="AH79" s="62">
        <f>IF(NOT(AND($D79&lt;&gt;"",$V79="Macro")),"",IFERROR(CHOOSE(MATCH($D79,ListaPuestos,0),MATCH("[Jefatura] "&amp;$C79,'Cronograma R. Operacional'!$C$5:$C$1000,0),MATCH("[Jefatura] "&amp;$C79,'Cronograma R. Normativo'!$C$5:$C$1000,0),MATCH("[Jefatura] "&amp;$C79,'Cronograma R. Financiero'!$C$5:$C$1000,0),MATCH("[Jefatura] "&amp;$C79,'Cronograma Asistente Técnico'!$C$5:$C$1000,0)),0))</f>
        <v/>
      </c>
      <c r="AI79" s="62">
        <f>IF(AND(AND($D79&lt;&gt;"",$V79="Macro"),$S79=MesCiclo),COUNTIFS($D$5:$D79,$D79,$S$5:$S79,MesCiclo,$V$5:$V79,"Macro"),"")</f>
        <v/>
      </c>
      <c r="AJ79" s="62">
        <f>IF($AI79="","",$D79&amp;"|"&amp;$AI79)</f>
        <v/>
      </c>
      <c r="AK79" s="62">
        <f>IF(AND($D79&lt;&gt;"",$V79="Macro"),$D79&amp;"|"&amp;$C79,"")</f>
        <v/>
      </c>
      <c r="AL79" s="62">
        <f>""</f>
        <v/>
      </c>
      <c r="AM79" s="62">
        <f>IF(N($AL79)&gt;0,INDEX(rIni_ADM,$AL79),IF(ISNUMBER($E79),$E79,""))</f>
        <v/>
      </c>
      <c r="AN79" s="62">
        <f>IF(N($AL79)&gt;0,INDEX(rLim_ADM,$AL79),IF(ISNUMBER($F79),$F79,""))</f>
        <v/>
      </c>
    </row>
    <row r="80">
      <c r="A80" s="56">
        <f>IF(NOT((COUNTA($B80:$D80)+COUNTA($G80:$L80)+COUNTA($Q80))&gt;0),"",IF($V80="Macro",COUNTIFS($V$5:$V80,"Macro",$S$5:$S80,$S80),IF(N($U80)=0,"?",COUNTIFS(INDEX($V$5:$V$1000,1):INDEX($V$5:$V$1000,$U80-4),"Macro",INDEX($S$5:$S$1000,1):INDEX($S$5:$S$1000,$U80-4),INDEX($S$5:$S$1000,$U80-4))&amp;"."&amp;COUNTIFS($U$5:$U80,$U80,$V$5:$V80,"Sub"))))</f>
        <v/>
      </c>
      <c r="B80" s="57" t="n"/>
      <c r="C80" s="58" t="n"/>
      <c r="D80" s="58" t="n"/>
      <c r="E80" s="59" t="n"/>
      <c r="F80" s="59" t="n"/>
      <c r="G80" s="59" t="n"/>
      <c r="H80" s="60" t="n"/>
      <c r="I80" s="60" t="n"/>
      <c r="J80" s="60" t="n"/>
      <c r="K80" s="60" t="n"/>
      <c r="L80" s="60" t="n"/>
      <c r="M80" s="61">
        <f>IF(NOT((COUNTA($B80:$D80)+COUNTA($G80:$L80)+COUNTA($Q80))&gt;0),"",IF(AND($D80&lt;&gt;"",$V80="Macro"),IF(N($AH80)&gt;0,N(CHOOSE(MATCH($D80,ListaPuestos,0),INDEX('Cronograma R. Operacional'!$M$5:$M$1000,$AH80),INDEX('Cronograma R. Normativo'!$M$5:$M$1000,$AH80),INDEX('Cronograma R. Financiero'!$M$5:$M$1000,$AH80),INDEX('Cronograma Asistente Técnico'!$M$5:$M$1000,$AH80))),0),IF(ISNUMBER($G80),1,IF(N($W80)&gt;0,AVERAGEIFS($X$5:$X$1000,$U$5:$U$1000,ROW(),$V$5:$V$1000,"Sub"),$X80))))</f>
        <v/>
      </c>
      <c r="N80" s="56">
        <f>IF(OR($M80="",$V80="Sub"),"",IF($M80&gt;=1,"Completado",IF($M80&gt;0,"En curso","Pendiente")))</f>
        <v/>
      </c>
      <c r="O80" s="56">
        <f>IF(NOT((COUNTA($B80:$D80)+COUNTA($G80:$L80)+COUNTA($Q80))&gt;0),"",IF(AND(AND($D80&lt;&gt;"",$V80="Macro"),N($AH80)&gt;0),CHOOSE(MATCH($D80,ListaPuestos,0),INDEX('Cronograma R. Operacional'!$O$5:$O$1000,$AH80),INDEX('Cronograma R. Normativo'!$O$5:$O$1000,$AH80),INDEX('Cronograma R. Financiero'!$O$5:$O$1000,$AH80),INDEX('Cronograma Asistente Técnico'!$O$5:$O$1000,$AH80))&amp;"",IF(ISNUMBER($G80),IF(AND(ISNUMBER($AN80),$G80&gt;$AN80),"Cumplida con "&amp;($G80-$AN80)&amp;IF($G80-$AN80=1," día"," días")&amp;" de retraso","Cumplida"),IF(N($M80)&gt;=1,"Cumplida",IF(NOT(ISNUMBER($AN80)),"Sin fecha límite",IF($AN80&lt;FechaRef,"Vencida hace "&amp;(FechaRef-$AN80)&amp;IF(FechaRef-$AN80=1," día"," días"),IF($AN80=FechaRef,"Vence hoy",IF($AN80-FechaRef&lt;=DiasAlerta,"Vence en "&amp;($AN80-FechaRef)&amp;IF($AN80-FechaRef=1," día"," días"),"En plazo"))))))))</f>
        <v/>
      </c>
      <c r="P80" s="62">
        <f>IF(NOT((COUNTA($B80:$D80)+COUNTA($G80:$L80)+COUNTA($Q80))&gt;0),"",IF($D80="","Propia",IF($V80&lt;&gt;"Macro","Solo se delegan macroactividades",IF(N($AH80)&gt;0,"✔ Recibida por "&amp;$D80,"⚠ "&amp;$D80&amp;" aún no la agrega"))))</f>
        <v/>
      </c>
      <c r="Q80" s="58" t="n"/>
      <c r="R80" s="63">
        <f>IF(NOT((COUNTA($B80:$D80)+COUNTA($G80:$L80)+COUNTA($Q80))&gt;0),"",IF((IF($C80="","Falta el nombre de la actividad"&amp;" · ","")&amp;IF(AND($V80="Sub",N($U80)=0),"Subactividad sin macroactividad arriba"&amp;" · ","")&amp;IF($AM80="","Sin fecha de inicio"&amp;" · ","")&amp;IF($AN80="","Sin fecha límite"&amp;" · ","")&amp;IF(AND(LEFT($C80,11)="[Jefatura] ",N($AL80)=0),"No se encuentra en la hoja de la jefatura (elíjala de nuevo en la lista)"&amp;" · ","")&amp;IF(OR(AND($E80&lt;&gt;"",NOT(ISNUMBER($E80))),AND($F80&lt;&gt;"",NOT(ISNUMBER($F80))),AND($G80&lt;&gt;"",NOT(ISNUMBER($G80)))),"Fecha no válida"&amp;" · ","")&amp;IF(AND(ISNUMBER($AM80),ISNUMBER($AN80),$AM80&gt;$AN80),"Inicio posterior a fecha límite"&amp;" · ","")&amp;IF(AND($V80="Macro",$H80&lt;&gt;"",OR(NOT(ISNUMBER($H80)),$H80&lt;0,$H80&gt;1)),"Peso fuera de rango"&amp;" · ","")&amp;IF(AND($V80="Sub",$H80&lt;&gt;""),"Las subactividades no llevan peso (valen igual dentro de su macroactividad)"&amp;" · ","")&amp;IF(AND(N($W80)&gt;0,COUNT($I80:$L80)&gt;0),"Con subactividades: deje vacías las semanas (se calculan solas)"&amp;" · ","")&amp;IF((COUNTIF($I80:$L80,"&gt;1")+COUNTIF($I80:$L80,"&lt;0")+COUNTA($I80:$L80)-COUNT($I80:$L80))&gt;0,"Avance fuera de rango 0-100%"&amp;" · ","")&amp;IF(OR(AND($J80&lt;&gt;"",$J80&lt;$I80),AND($K80&lt;&gt;"",$K80&lt;MAX($I80:$J80)),AND($L80&lt;&gt;"",$L80&lt;MAX($I80:$K80))),"Avance semanal decreciente"&amp;" · ","")&amp;IF(AND(ISNUMBER($AN80),$AN80&lt;FechaRef,IF($V80="Sub",N($X80),N($M80))&lt;1),"Vencida"&amp;" · ","")&amp;IF(AND(ObsObligatoria="Sí",ISNUMBER($AN80),$AN80&lt;FechaRef,IF($V80="Sub",N($X80),N($M80))&lt;1,$Q80=""),"Vencida sin observación"&amp;" · ",""))="","✔ OK","⚠ "&amp;LEFT(IF($C80="","Falta el nombre de la actividad"&amp;" · ","")&amp;IF(AND($V80="Sub",N($U80)=0),"Subactividad sin macroactividad arriba"&amp;" · ","")&amp;IF($AM80="","Sin fecha de inicio"&amp;" · ","")&amp;IF($AN80="","Sin fecha límite"&amp;" · ","")&amp;IF(AND(LEFT($C80,11)="[Jefatura] ",N($AL80)=0),"No se encuentra en la hoja de la jefatura (elíjala de nuevo en la lista)"&amp;" · ","")&amp;IF(OR(AND($E80&lt;&gt;"",NOT(ISNUMBER($E80))),AND($F80&lt;&gt;"",NOT(ISNUMBER($F80))),AND($G80&lt;&gt;"",NOT(ISNUMBER($G80)))),"Fecha no válida"&amp;" · ","")&amp;IF(AND(ISNUMBER($AM80),ISNUMBER($AN80),$AM80&gt;$AN80),"Inicio posterior a fecha límite"&amp;" · ","")&amp;IF(AND($V80="Macro",$H80&lt;&gt;"",OR(NOT(ISNUMBER($H80)),$H80&lt;0,$H80&gt;1)),"Peso fuera de rango"&amp;" · ","")&amp;IF(AND($V80="Sub",$H80&lt;&gt;""),"Las subactividades no llevan peso (valen igual dentro de su macroactividad)"&amp;" · ","")&amp;IF(AND(N($W80)&gt;0,COUNT($I80:$L80)&gt;0),"Con subactividades: deje vacías las semanas (se calculan solas)"&amp;" · ","")&amp;IF((COUNTIF($I80:$L80,"&gt;1")+COUNTIF($I80:$L80,"&lt;0")+COUNTA($I80:$L80)-COUNT($I80:$L80))&gt;0,"Avance fuera de rango 0-100%"&amp;" · ","")&amp;IF(OR(AND($J80&lt;&gt;"",$J80&lt;$I80),AND($K80&lt;&gt;"",$K80&lt;MAX($I80:$J80)),AND($L80&lt;&gt;"",$L80&lt;MAX($I80:$K80))),"Avance semanal decreciente"&amp;" · ","")&amp;IF(AND(ISNUMBER($AN80),$AN80&lt;FechaRef,IF($V80="Sub",N($X80),N($M80))&lt;1),"Vencida"&amp;" · ","")&amp;IF(AND(ObsObligatoria="Sí",ISNUMBER($AN80),$AN80&lt;FechaRef,IF($V80="Sub",N($X80),N($M80))&lt;1,$Q80=""),"Vencida sin observación"&amp;" · ",""),LEN(IF($C80="","Falta el nombre de la actividad"&amp;" · ","")&amp;IF(AND($V80="Sub",N($U80)=0),"Subactividad sin macroactividad arriba"&amp;" · ","")&amp;IF($AM80="","Sin fecha de inicio"&amp;" · ","")&amp;IF($AN80="","Sin fecha límite"&amp;" · ","")&amp;IF(AND(LEFT($C80,11)="[Jefatura] ",N($AL80)=0),"No se encuentra en la hoja de la jefatura (elíjala de nuevo en la lista)"&amp;" · ","")&amp;IF(OR(AND($E80&lt;&gt;"",NOT(ISNUMBER($E80))),AND($F80&lt;&gt;"",NOT(ISNUMBER($F80))),AND($G80&lt;&gt;"",NOT(ISNUMBER($G80)))),"Fecha no válida"&amp;" · ","")&amp;IF(AND(ISNUMBER($AM80),ISNUMBER($AN80),$AM80&gt;$AN80),"Inicio posterior a fecha límite"&amp;" · ","")&amp;IF(AND($V80="Macro",$H80&lt;&gt;"",OR(NOT(ISNUMBER($H80)),$H80&lt;0,$H80&gt;1)),"Peso fuera de rango"&amp;" · ","")&amp;IF(AND($V80="Sub",$H80&lt;&gt;""),"Las subactividades no llevan peso (valen igual dentro de su macroactividad)"&amp;" · ","")&amp;IF(AND(N($W80)&gt;0,COUNT($I80:$L80)&gt;0),"Con subactividades: deje vacías las semanas (se calculan solas)"&amp;" · ","")&amp;IF((COUNTIF($I80:$L80,"&gt;1")+COUNTIF($I80:$L80,"&lt;0")+COUNTA($I80:$L80)-COUNT($I80:$L80))&gt;0,"Avance fuera de rango 0-100%"&amp;" · ","")&amp;IF(OR(AND($J80&lt;&gt;"",$J80&lt;$I80),AND($K80&lt;&gt;"",$K80&lt;MAX($I80:$J80)),AND($L80&lt;&gt;"",$L80&lt;MAX($I80:$K80))),"Avance semanal decreciente"&amp;" · ","")&amp;IF(AND(ISNUMBER($AN80),$AN80&lt;FechaRef,IF($V80="Sub",N($X80),N($M80))&lt;1),"Vencida"&amp;" · ","")&amp;IF(AND(ObsObligatoria="Sí",ISNUMBER($AN80),$AN80&lt;FechaRef,IF($V80="Sub",N($X80),N($M80))&lt;1,$Q80=""),"Vencida sin observación"&amp;" · ",""))-3)))</f>
        <v/>
      </c>
      <c r="S80" s="64">
        <f>IF(NOT((COUNTA($B80:$D80)+COUNTA($G80:$L80)+COUNTA($Q80))&gt;0),"",IF(AND($V80="Sub",N($U80)&gt;0),IF(ISNUMBER(INDEX($AM$5:$AM$1000,$U80-4)),DATE(YEAR(INDEX($AM$5:$AM$1000,$U80-4)),MONTH(INDEX($AM$5:$AM$1000,$U80-4)),1),IF(ISNUMBER(INDEX($AN$5:$AN$1000,$U80-4)),DATE(YEAR(INDEX($AN$5:$AN$1000,$U80-4)),MONTH(INDEX($AN$5:$AN$1000,$U80-4)),1),MesCiclo)),IF(ISNUMBER($AM80),DATE(YEAR($AM80),MONTH($AM80),1),IF(ISNUMBER($AN80),DATE(YEAR($AN80),MONTH($AN80),1),MesCiclo))))</f>
        <v/>
      </c>
      <c r="T80" s="62">
        <f>IF(OR($S80="",$S80&lt;&gt;MesCiclo,$V80&lt;&gt;"Macro"),"",COUNTIFS($S$5:$S80,MesCiclo,$V$5:$V80,"Macro"))</f>
        <v/>
      </c>
      <c r="U80" s="62">
        <f>IF($V80="","",IF($V80="Macro",ROW(),IFERROR(LOOKUP(2,1/($V$5:$V80="Macro"),ROW($V$5:$V80)),0)))</f>
        <v/>
      </c>
      <c r="V80" s="62">
        <f>IF(NOT((COUNTA($B80:$D80)+COUNTA($G80:$L80)+COUNTA($Q80))&gt;0),"",IF($B80="Subactividad","Sub","Macro"))</f>
        <v/>
      </c>
      <c r="W80" s="62">
        <f>IF($V80="Macro",COUNTIFS($U$5:$U$1000,ROW(),$V$5:$V$1000,"Sub"),"")</f>
        <v/>
      </c>
      <c r="X80" s="62">
        <f>IF($V80="","",IF(ISNUMBER($G80),1,IFERROR(LOOKUP(2,1/($I80:$L80&lt;&gt;""),$I80:$L80),0)))</f>
        <v/>
      </c>
      <c r="Y80" s="62">
        <f>IF($V80="","",IF(AND(ISNUMBER($G80),$G80&lt;=IF($S80=MesCiclo,InicioCiclo,$S80+MOD(2-WEEKDAY($S80),7))+6),1,IF(ISNUMBER($I80),$I80,0)))</f>
        <v/>
      </c>
      <c r="Z80" s="62">
        <f>IF($V80="","",IF(AND(ISNUMBER($G80),$G80&lt;=IF($S80=MesCiclo,InicioCiclo,$S80+MOD(2-WEEKDAY($S80),7))+13),1,IF(ISNUMBER($J80),$J80,$Y80)))</f>
        <v/>
      </c>
      <c r="AA80" s="62">
        <f>IF($V80="","",IF(AND(ISNUMBER($G80),$G80&lt;=IF($S80=MesCiclo,InicioCiclo,$S80+MOD(2-WEEKDAY($S80),7))+20),1,IF(ISNUMBER($K80),$K80,$Z80)))</f>
        <v/>
      </c>
      <c r="AB80" s="62">
        <f>IF($V80="","",IF(AND(ISNUMBER($G80),$G80&lt;=IF($S80=MesCiclo,InicioCiclo,$S80+MOD(2-WEEKDAY($S80),7))+27),1,IF(ISNUMBER($L80),$L80,$AA80)))</f>
        <v/>
      </c>
      <c r="AC80" s="62">
        <f>IF($V80="","",IF(AND(ISNUMBER($G80),$G80&lt;=IF($S80=MesCiclo,InicioCiclo,$S80+MOD(2-WEEKDAY($S80),7))+6),1,IF(N($W80)&gt;0,AVERAGEIFS($Y$5:$Y$1000,$U$5:$U$1000,ROW(),$V$5:$V$1000,"Sub"),$Y80)))</f>
        <v/>
      </c>
      <c r="AD80" s="62">
        <f>IF($V80="","",IF(AND(ISNUMBER($G80),$G80&lt;=IF($S80=MesCiclo,InicioCiclo,$S80+MOD(2-WEEKDAY($S80),7))+13),1,IF(N($W80)&gt;0,AVERAGEIFS($Z$5:$Z$1000,$U$5:$U$1000,ROW(),$V$5:$V$1000,"Sub"),$Z80)))</f>
        <v/>
      </c>
      <c r="AE80" s="62">
        <f>IF($V80="","",IF(AND(ISNUMBER($G80),$G80&lt;=IF($S80=MesCiclo,InicioCiclo,$S80+MOD(2-WEEKDAY($S80),7))+20),1,IF(N($W80)&gt;0,AVERAGEIFS($AA$5:$AA$1000,$U$5:$U$1000,ROW(),$V$5:$V$1000,"Sub"),$AA80)))</f>
        <v/>
      </c>
      <c r="AF80" s="62">
        <f>IF($V80="","",IF(AND(ISNUMBER($G80),$G80&lt;=IF($S80=MesCiclo,InicioCiclo,$S80+MOD(2-WEEKDAY($S80),7))+27),1,IF(N($W80)&gt;0,AVERAGEIFS($AB$5:$AB$1000,$U$5:$U$1000,ROW(),$V$5:$V$1000,"Sub"),$AB80)))</f>
        <v/>
      </c>
      <c r="AG80" s="62">
        <f>IF($V80&lt;&gt;"Macro","",IF(COUNTIFS($S$5:$S$1000,$S80,$V$5:$V$1000,"Macro",$H$5:$H$1000,"&gt;0")=0,1/COUNTIFS($S$5:$S$1000,$S80,$V$5:$V$1000,"Macro"),IF(AND(ISNUMBER($H80),N($H80)&gt;0),$H80,SUMIFS($H$5:$H$1000,$S$5:$S$1000,$S80,$V$5:$V$1000,"Macro")/COUNTIFS($S$5:$S$1000,$S80,$V$5:$V$1000,"Macro",$H$5:$H$1000,"&gt;0"))/(COUNTIFS($S$5:$S$1000,$S80,$V$5:$V$1000,"Macro")*SUMIFS($H$5:$H$1000,$S$5:$S$1000,$S80,$V$5:$V$1000,"Macro")/COUNTIFS($S$5:$S$1000,$S80,$V$5:$V$1000,"Macro",$H$5:$H$1000,"&gt;0"))))</f>
        <v/>
      </c>
      <c r="AH80" s="62">
        <f>IF(NOT(AND($D80&lt;&gt;"",$V80="Macro")),"",IFERROR(CHOOSE(MATCH($D80,ListaPuestos,0),MATCH("[Jefatura] "&amp;$C80,'Cronograma R. Operacional'!$C$5:$C$1000,0),MATCH("[Jefatura] "&amp;$C80,'Cronograma R. Normativo'!$C$5:$C$1000,0),MATCH("[Jefatura] "&amp;$C80,'Cronograma R. Financiero'!$C$5:$C$1000,0),MATCH("[Jefatura] "&amp;$C80,'Cronograma Asistente Técnico'!$C$5:$C$1000,0)),0))</f>
        <v/>
      </c>
      <c r="AI80" s="62">
        <f>IF(AND(AND($D80&lt;&gt;"",$V80="Macro"),$S80=MesCiclo),COUNTIFS($D$5:$D80,$D80,$S$5:$S80,MesCiclo,$V$5:$V80,"Macro"),"")</f>
        <v/>
      </c>
      <c r="AJ80" s="62">
        <f>IF($AI80="","",$D80&amp;"|"&amp;$AI80)</f>
        <v/>
      </c>
      <c r="AK80" s="62">
        <f>IF(AND($D80&lt;&gt;"",$V80="Macro"),$D80&amp;"|"&amp;$C80,"")</f>
        <v/>
      </c>
      <c r="AL80" s="62">
        <f>""</f>
        <v/>
      </c>
      <c r="AM80" s="62">
        <f>IF(N($AL80)&gt;0,INDEX(rIni_ADM,$AL80),IF(ISNUMBER($E80),$E80,""))</f>
        <v/>
      </c>
      <c r="AN80" s="62">
        <f>IF(N($AL80)&gt;0,INDEX(rLim_ADM,$AL80),IF(ISNUMBER($F80),$F80,""))</f>
        <v/>
      </c>
    </row>
    <row r="81">
      <c r="A81" s="56">
        <f>IF(NOT((COUNTA($B81:$D81)+COUNTA($G81:$L81)+COUNTA($Q81))&gt;0),"",IF($V81="Macro",COUNTIFS($V$5:$V81,"Macro",$S$5:$S81,$S81),IF(N($U81)=0,"?",COUNTIFS(INDEX($V$5:$V$1000,1):INDEX($V$5:$V$1000,$U81-4),"Macro",INDEX($S$5:$S$1000,1):INDEX($S$5:$S$1000,$U81-4),INDEX($S$5:$S$1000,$U81-4))&amp;"."&amp;COUNTIFS($U$5:$U81,$U81,$V$5:$V81,"Sub"))))</f>
        <v/>
      </c>
      <c r="B81" s="57" t="n"/>
      <c r="C81" s="58" t="n"/>
      <c r="D81" s="58" t="n"/>
      <c r="E81" s="59" t="n"/>
      <c r="F81" s="59" t="n"/>
      <c r="G81" s="59" t="n"/>
      <c r="H81" s="60" t="n"/>
      <c r="I81" s="60" t="n"/>
      <c r="J81" s="60" t="n"/>
      <c r="K81" s="60" t="n"/>
      <c r="L81" s="60" t="n"/>
      <c r="M81" s="61">
        <f>IF(NOT((COUNTA($B81:$D81)+COUNTA($G81:$L81)+COUNTA($Q81))&gt;0),"",IF(AND($D81&lt;&gt;"",$V81="Macro"),IF(N($AH81)&gt;0,N(CHOOSE(MATCH($D81,ListaPuestos,0),INDEX('Cronograma R. Operacional'!$M$5:$M$1000,$AH81),INDEX('Cronograma R. Normativo'!$M$5:$M$1000,$AH81),INDEX('Cronograma R. Financiero'!$M$5:$M$1000,$AH81),INDEX('Cronograma Asistente Técnico'!$M$5:$M$1000,$AH81))),0),IF(ISNUMBER($G81),1,IF(N($W81)&gt;0,AVERAGEIFS($X$5:$X$1000,$U$5:$U$1000,ROW(),$V$5:$V$1000,"Sub"),$X81))))</f>
        <v/>
      </c>
      <c r="N81" s="56">
        <f>IF(OR($M81="",$V81="Sub"),"",IF($M81&gt;=1,"Completado",IF($M81&gt;0,"En curso","Pendiente")))</f>
        <v/>
      </c>
      <c r="O81" s="56">
        <f>IF(NOT((COUNTA($B81:$D81)+COUNTA($G81:$L81)+COUNTA($Q81))&gt;0),"",IF(AND(AND($D81&lt;&gt;"",$V81="Macro"),N($AH81)&gt;0),CHOOSE(MATCH($D81,ListaPuestos,0),INDEX('Cronograma R. Operacional'!$O$5:$O$1000,$AH81),INDEX('Cronograma R. Normativo'!$O$5:$O$1000,$AH81),INDEX('Cronograma R. Financiero'!$O$5:$O$1000,$AH81),INDEX('Cronograma Asistente Técnico'!$O$5:$O$1000,$AH81))&amp;"",IF(ISNUMBER($G81),IF(AND(ISNUMBER($AN81),$G81&gt;$AN81),"Cumplida con "&amp;($G81-$AN81)&amp;IF($G81-$AN81=1," día"," días")&amp;" de retraso","Cumplida"),IF(N($M81)&gt;=1,"Cumplida",IF(NOT(ISNUMBER($AN81)),"Sin fecha límite",IF($AN81&lt;FechaRef,"Vencida hace "&amp;(FechaRef-$AN81)&amp;IF(FechaRef-$AN81=1," día"," días"),IF($AN81=FechaRef,"Vence hoy",IF($AN81-FechaRef&lt;=DiasAlerta,"Vence en "&amp;($AN81-FechaRef)&amp;IF($AN81-FechaRef=1," día"," días"),"En plazo"))))))))</f>
        <v/>
      </c>
      <c r="P81" s="62">
        <f>IF(NOT((COUNTA($B81:$D81)+COUNTA($G81:$L81)+COUNTA($Q81))&gt;0),"",IF($D81="","Propia",IF($V81&lt;&gt;"Macro","Solo se delegan macroactividades",IF(N($AH81)&gt;0,"✔ Recibida por "&amp;$D81,"⚠ "&amp;$D81&amp;" aún no la agrega"))))</f>
        <v/>
      </c>
      <c r="Q81" s="58" t="n"/>
      <c r="R81" s="63">
        <f>IF(NOT((COUNTA($B81:$D81)+COUNTA($G81:$L81)+COUNTA($Q81))&gt;0),"",IF((IF($C81="","Falta el nombre de la actividad"&amp;" · ","")&amp;IF(AND($V81="Sub",N($U81)=0),"Subactividad sin macroactividad arriba"&amp;" · ","")&amp;IF($AM81="","Sin fecha de inicio"&amp;" · ","")&amp;IF($AN81="","Sin fecha límite"&amp;" · ","")&amp;IF(AND(LEFT($C81,11)="[Jefatura] ",N($AL81)=0),"No se encuentra en la hoja de la jefatura (elíjala de nuevo en la lista)"&amp;" · ","")&amp;IF(OR(AND($E81&lt;&gt;"",NOT(ISNUMBER($E81))),AND($F81&lt;&gt;"",NOT(ISNUMBER($F81))),AND($G81&lt;&gt;"",NOT(ISNUMBER($G81)))),"Fecha no válida"&amp;" · ","")&amp;IF(AND(ISNUMBER($AM81),ISNUMBER($AN81),$AM81&gt;$AN81),"Inicio posterior a fecha límite"&amp;" · ","")&amp;IF(AND($V81="Macro",$H81&lt;&gt;"",OR(NOT(ISNUMBER($H81)),$H81&lt;0,$H81&gt;1)),"Peso fuera de rango"&amp;" · ","")&amp;IF(AND($V81="Sub",$H81&lt;&gt;""),"Las subactividades no llevan peso (valen igual dentro de su macroactividad)"&amp;" · ","")&amp;IF(AND(N($W81)&gt;0,COUNT($I81:$L81)&gt;0),"Con subactividades: deje vacías las semanas (se calculan solas)"&amp;" · ","")&amp;IF((COUNTIF($I81:$L81,"&gt;1")+COUNTIF($I81:$L81,"&lt;0")+COUNTA($I81:$L81)-COUNT($I81:$L81))&gt;0,"Avance fuera de rango 0-100%"&amp;" · ","")&amp;IF(OR(AND($J81&lt;&gt;"",$J81&lt;$I81),AND($K81&lt;&gt;"",$K81&lt;MAX($I81:$J81)),AND($L81&lt;&gt;"",$L81&lt;MAX($I81:$K81))),"Avance semanal decreciente"&amp;" · ","")&amp;IF(AND(ISNUMBER($AN81),$AN81&lt;FechaRef,IF($V81="Sub",N($X81),N($M81))&lt;1),"Vencida"&amp;" · ","")&amp;IF(AND(ObsObligatoria="Sí",ISNUMBER($AN81),$AN81&lt;FechaRef,IF($V81="Sub",N($X81),N($M81))&lt;1,$Q81=""),"Vencida sin observación"&amp;" · ",""))="","✔ OK","⚠ "&amp;LEFT(IF($C81="","Falta el nombre de la actividad"&amp;" · ","")&amp;IF(AND($V81="Sub",N($U81)=0),"Subactividad sin macroactividad arriba"&amp;" · ","")&amp;IF($AM81="","Sin fecha de inicio"&amp;" · ","")&amp;IF($AN81="","Sin fecha límite"&amp;" · ","")&amp;IF(AND(LEFT($C81,11)="[Jefatura] ",N($AL81)=0),"No se encuentra en la hoja de la jefatura (elíjala de nuevo en la lista)"&amp;" · ","")&amp;IF(OR(AND($E81&lt;&gt;"",NOT(ISNUMBER($E81))),AND($F81&lt;&gt;"",NOT(ISNUMBER($F81))),AND($G81&lt;&gt;"",NOT(ISNUMBER($G81)))),"Fecha no válida"&amp;" · ","")&amp;IF(AND(ISNUMBER($AM81),ISNUMBER($AN81),$AM81&gt;$AN81),"Inicio posterior a fecha límite"&amp;" · ","")&amp;IF(AND($V81="Macro",$H81&lt;&gt;"",OR(NOT(ISNUMBER($H81)),$H81&lt;0,$H81&gt;1)),"Peso fuera de rango"&amp;" · ","")&amp;IF(AND($V81="Sub",$H81&lt;&gt;""),"Las subactividades no llevan peso (valen igual dentro de su macroactividad)"&amp;" · ","")&amp;IF(AND(N($W81)&gt;0,COUNT($I81:$L81)&gt;0),"Con subactividades: deje vacías las semanas (se calculan solas)"&amp;" · ","")&amp;IF((COUNTIF($I81:$L81,"&gt;1")+COUNTIF($I81:$L81,"&lt;0")+COUNTA($I81:$L81)-COUNT($I81:$L81))&gt;0,"Avance fuera de rango 0-100%"&amp;" · ","")&amp;IF(OR(AND($J81&lt;&gt;"",$J81&lt;$I81),AND($K81&lt;&gt;"",$K81&lt;MAX($I81:$J81)),AND($L81&lt;&gt;"",$L81&lt;MAX($I81:$K81))),"Avance semanal decreciente"&amp;" · ","")&amp;IF(AND(ISNUMBER($AN81),$AN81&lt;FechaRef,IF($V81="Sub",N($X81),N($M81))&lt;1),"Vencida"&amp;" · ","")&amp;IF(AND(ObsObligatoria="Sí",ISNUMBER($AN81),$AN81&lt;FechaRef,IF($V81="Sub",N($X81),N($M81))&lt;1,$Q81=""),"Vencida sin observación"&amp;" · ",""),LEN(IF($C81="","Falta el nombre de la actividad"&amp;" · ","")&amp;IF(AND($V81="Sub",N($U81)=0),"Subactividad sin macroactividad arriba"&amp;" · ","")&amp;IF($AM81="","Sin fecha de inicio"&amp;" · ","")&amp;IF($AN81="","Sin fecha límite"&amp;" · ","")&amp;IF(AND(LEFT($C81,11)="[Jefatura] ",N($AL81)=0),"No se encuentra en la hoja de la jefatura (elíjala de nuevo en la lista)"&amp;" · ","")&amp;IF(OR(AND($E81&lt;&gt;"",NOT(ISNUMBER($E81))),AND($F81&lt;&gt;"",NOT(ISNUMBER($F81))),AND($G81&lt;&gt;"",NOT(ISNUMBER($G81)))),"Fecha no válida"&amp;" · ","")&amp;IF(AND(ISNUMBER($AM81),ISNUMBER($AN81),$AM81&gt;$AN81),"Inicio posterior a fecha límite"&amp;" · ","")&amp;IF(AND($V81="Macro",$H81&lt;&gt;"",OR(NOT(ISNUMBER($H81)),$H81&lt;0,$H81&gt;1)),"Peso fuera de rango"&amp;" · ","")&amp;IF(AND($V81="Sub",$H81&lt;&gt;""),"Las subactividades no llevan peso (valen igual dentro de su macroactividad)"&amp;" · ","")&amp;IF(AND(N($W81)&gt;0,COUNT($I81:$L81)&gt;0),"Con subactividades: deje vacías las semanas (se calculan solas)"&amp;" · ","")&amp;IF((COUNTIF($I81:$L81,"&gt;1")+COUNTIF($I81:$L81,"&lt;0")+COUNTA($I81:$L81)-COUNT($I81:$L81))&gt;0,"Avance fuera de rango 0-100%"&amp;" · ","")&amp;IF(OR(AND($J81&lt;&gt;"",$J81&lt;$I81),AND($K81&lt;&gt;"",$K81&lt;MAX($I81:$J81)),AND($L81&lt;&gt;"",$L81&lt;MAX($I81:$K81))),"Avance semanal decreciente"&amp;" · ","")&amp;IF(AND(ISNUMBER($AN81),$AN81&lt;FechaRef,IF($V81="Sub",N($X81),N($M81))&lt;1),"Vencida"&amp;" · ","")&amp;IF(AND(ObsObligatoria="Sí",ISNUMBER($AN81),$AN81&lt;FechaRef,IF($V81="Sub",N($X81),N($M81))&lt;1,$Q81=""),"Vencida sin observación"&amp;" · ",""))-3)))</f>
        <v/>
      </c>
      <c r="S81" s="64">
        <f>IF(NOT((COUNTA($B81:$D81)+COUNTA($G81:$L81)+COUNTA($Q81))&gt;0),"",IF(AND($V81="Sub",N($U81)&gt;0),IF(ISNUMBER(INDEX($AM$5:$AM$1000,$U81-4)),DATE(YEAR(INDEX($AM$5:$AM$1000,$U81-4)),MONTH(INDEX($AM$5:$AM$1000,$U81-4)),1),IF(ISNUMBER(INDEX($AN$5:$AN$1000,$U81-4)),DATE(YEAR(INDEX($AN$5:$AN$1000,$U81-4)),MONTH(INDEX($AN$5:$AN$1000,$U81-4)),1),MesCiclo)),IF(ISNUMBER($AM81),DATE(YEAR($AM81),MONTH($AM81),1),IF(ISNUMBER($AN81),DATE(YEAR($AN81),MONTH($AN81),1),MesCiclo))))</f>
        <v/>
      </c>
      <c r="T81" s="62">
        <f>IF(OR($S81="",$S81&lt;&gt;MesCiclo,$V81&lt;&gt;"Macro"),"",COUNTIFS($S$5:$S81,MesCiclo,$V$5:$V81,"Macro"))</f>
        <v/>
      </c>
      <c r="U81" s="62">
        <f>IF($V81="","",IF($V81="Macro",ROW(),IFERROR(LOOKUP(2,1/($V$5:$V81="Macro"),ROW($V$5:$V81)),0)))</f>
        <v/>
      </c>
      <c r="V81" s="62">
        <f>IF(NOT((COUNTA($B81:$D81)+COUNTA($G81:$L81)+COUNTA($Q81))&gt;0),"",IF($B81="Subactividad","Sub","Macro"))</f>
        <v/>
      </c>
      <c r="W81" s="62">
        <f>IF($V81="Macro",COUNTIFS($U$5:$U$1000,ROW(),$V$5:$V$1000,"Sub"),"")</f>
        <v/>
      </c>
      <c r="X81" s="62">
        <f>IF($V81="","",IF(ISNUMBER($G81),1,IFERROR(LOOKUP(2,1/($I81:$L81&lt;&gt;""),$I81:$L81),0)))</f>
        <v/>
      </c>
      <c r="Y81" s="62">
        <f>IF($V81="","",IF(AND(ISNUMBER($G81),$G81&lt;=IF($S81=MesCiclo,InicioCiclo,$S81+MOD(2-WEEKDAY($S81),7))+6),1,IF(ISNUMBER($I81),$I81,0)))</f>
        <v/>
      </c>
      <c r="Z81" s="62">
        <f>IF($V81="","",IF(AND(ISNUMBER($G81),$G81&lt;=IF($S81=MesCiclo,InicioCiclo,$S81+MOD(2-WEEKDAY($S81),7))+13),1,IF(ISNUMBER($J81),$J81,$Y81)))</f>
        <v/>
      </c>
      <c r="AA81" s="62">
        <f>IF($V81="","",IF(AND(ISNUMBER($G81),$G81&lt;=IF($S81=MesCiclo,InicioCiclo,$S81+MOD(2-WEEKDAY($S81),7))+20),1,IF(ISNUMBER($K81),$K81,$Z81)))</f>
        <v/>
      </c>
      <c r="AB81" s="62">
        <f>IF($V81="","",IF(AND(ISNUMBER($G81),$G81&lt;=IF($S81=MesCiclo,InicioCiclo,$S81+MOD(2-WEEKDAY($S81),7))+27),1,IF(ISNUMBER($L81),$L81,$AA81)))</f>
        <v/>
      </c>
      <c r="AC81" s="62">
        <f>IF($V81="","",IF(AND(ISNUMBER($G81),$G81&lt;=IF($S81=MesCiclo,InicioCiclo,$S81+MOD(2-WEEKDAY($S81),7))+6),1,IF(N($W81)&gt;0,AVERAGEIFS($Y$5:$Y$1000,$U$5:$U$1000,ROW(),$V$5:$V$1000,"Sub"),$Y81)))</f>
        <v/>
      </c>
      <c r="AD81" s="62">
        <f>IF($V81="","",IF(AND(ISNUMBER($G81),$G81&lt;=IF($S81=MesCiclo,InicioCiclo,$S81+MOD(2-WEEKDAY($S81),7))+13),1,IF(N($W81)&gt;0,AVERAGEIFS($Z$5:$Z$1000,$U$5:$U$1000,ROW(),$V$5:$V$1000,"Sub"),$Z81)))</f>
        <v/>
      </c>
      <c r="AE81" s="62">
        <f>IF($V81="","",IF(AND(ISNUMBER($G81),$G81&lt;=IF($S81=MesCiclo,InicioCiclo,$S81+MOD(2-WEEKDAY($S81),7))+20),1,IF(N($W81)&gt;0,AVERAGEIFS($AA$5:$AA$1000,$U$5:$U$1000,ROW(),$V$5:$V$1000,"Sub"),$AA81)))</f>
        <v/>
      </c>
      <c r="AF81" s="62">
        <f>IF($V81="","",IF(AND(ISNUMBER($G81),$G81&lt;=IF($S81=MesCiclo,InicioCiclo,$S81+MOD(2-WEEKDAY($S81),7))+27),1,IF(N($W81)&gt;0,AVERAGEIFS($AB$5:$AB$1000,$U$5:$U$1000,ROW(),$V$5:$V$1000,"Sub"),$AB81)))</f>
        <v/>
      </c>
      <c r="AG81" s="62">
        <f>IF($V81&lt;&gt;"Macro","",IF(COUNTIFS($S$5:$S$1000,$S81,$V$5:$V$1000,"Macro",$H$5:$H$1000,"&gt;0")=0,1/COUNTIFS($S$5:$S$1000,$S81,$V$5:$V$1000,"Macro"),IF(AND(ISNUMBER($H81),N($H81)&gt;0),$H81,SUMIFS($H$5:$H$1000,$S$5:$S$1000,$S81,$V$5:$V$1000,"Macro")/COUNTIFS($S$5:$S$1000,$S81,$V$5:$V$1000,"Macro",$H$5:$H$1000,"&gt;0"))/(COUNTIFS($S$5:$S$1000,$S81,$V$5:$V$1000,"Macro")*SUMIFS($H$5:$H$1000,$S$5:$S$1000,$S81,$V$5:$V$1000,"Macro")/COUNTIFS($S$5:$S$1000,$S81,$V$5:$V$1000,"Macro",$H$5:$H$1000,"&gt;0"))))</f>
        <v/>
      </c>
      <c r="AH81" s="62">
        <f>IF(NOT(AND($D81&lt;&gt;"",$V81="Macro")),"",IFERROR(CHOOSE(MATCH($D81,ListaPuestos,0),MATCH("[Jefatura] "&amp;$C81,'Cronograma R. Operacional'!$C$5:$C$1000,0),MATCH("[Jefatura] "&amp;$C81,'Cronograma R. Normativo'!$C$5:$C$1000,0),MATCH("[Jefatura] "&amp;$C81,'Cronograma R. Financiero'!$C$5:$C$1000,0),MATCH("[Jefatura] "&amp;$C81,'Cronograma Asistente Técnico'!$C$5:$C$1000,0)),0))</f>
        <v/>
      </c>
      <c r="AI81" s="62">
        <f>IF(AND(AND($D81&lt;&gt;"",$V81="Macro"),$S81=MesCiclo),COUNTIFS($D$5:$D81,$D81,$S$5:$S81,MesCiclo,$V$5:$V81,"Macro"),"")</f>
        <v/>
      </c>
      <c r="AJ81" s="62">
        <f>IF($AI81="","",$D81&amp;"|"&amp;$AI81)</f>
        <v/>
      </c>
      <c r="AK81" s="62">
        <f>IF(AND($D81&lt;&gt;"",$V81="Macro"),$D81&amp;"|"&amp;$C81,"")</f>
        <v/>
      </c>
      <c r="AL81" s="62">
        <f>""</f>
        <v/>
      </c>
      <c r="AM81" s="62">
        <f>IF(N($AL81)&gt;0,INDEX(rIni_ADM,$AL81),IF(ISNUMBER($E81),$E81,""))</f>
        <v/>
      </c>
      <c r="AN81" s="62">
        <f>IF(N($AL81)&gt;0,INDEX(rLim_ADM,$AL81),IF(ISNUMBER($F81),$F81,""))</f>
        <v/>
      </c>
    </row>
    <row r="82">
      <c r="A82" s="56">
        <f>IF(NOT((COUNTA($B82:$D82)+COUNTA($G82:$L82)+COUNTA($Q82))&gt;0),"",IF($V82="Macro",COUNTIFS($V$5:$V82,"Macro",$S$5:$S82,$S82),IF(N($U82)=0,"?",COUNTIFS(INDEX($V$5:$V$1000,1):INDEX($V$5:$V$1000,$U82-4),"Macro",INDEX($S$5:$S$1000,1):INDEX($S$5:$S$1000,$U82-4),INDEX($S$5:$S$1000,$U82-4))&amp;"."&amp;COUNTIFS($U$5:$U82,$U82,$V$5:$V82,"Sub"))))</f>
        <v/>
      </c>
      <c r="B82" s="57" t="n"/>
      <c r="C82" s="58" t="n"/>
      <c r="D82" s="58" t="n"/>
      <c r="E82" s="59" t="n"/>
      <c r="F82" s="59" t="n"/>
      <c r="G82" s="59" t="n"/>
      <c r="H82" s="60" t="n"/>
      <c r="I82" s="60" t="n"/>
      <c r="J82" s="60" t="n"/>
      <c r="K82" s="60" t="n"/>
      <c r="L82" s="60" t="n"/>
      <c r="M82" s="61">
        <f>IF(NOT((COUNTA($B82:$D82)+COUNTA($G82:$L82)+COUNTA($Q82))&gt;0),"",IF(AND($D82&lt;&gt;"",$V82="Macro"),IF(N($AH82)&gt;0,N(CHOOSE(MATCH($D82,ListaPuestos,0),INDEX('Cronograma R. Operacional'!$M$5:$M$1000,$AH82),INDEX('Cronograma R. Normativo'!$M$5:$M$1000,$AH82),INDEX('Cronograma R. Financiero'!$M$5:$M$1000,$AH82),INDEX('Cronograma Asistente Técnico'!$M$5:$M$1000,$AH82))),0),IF(ISNUMBER($G82),1,IF(N($W82)&gt;0,AVERAGEIFS($X$5:$X$1000,$U$5:$U$1000,ROW(),$V$5:$V$1000,"Sub"),$X82))))</f>
        <v/>
      </c>
      <c r="N82" s="56">
        <f>IF(OR($M82="",$V82="Sub"),"",IF($M82&gt;=1,"Completado",IF($M82&gt;0,"En curso","Pendiente")))</f>
        <v/>
      </c>
      <c r="O82" s="56">
        <f>IF(NOT((COUNTA($B82:$D82)+COUNTA($G82:$L82)+COUNTA($Q82))&gt;0),"",IF(AND(AND($D82&lt;&gt;"",$V82="Macro"),N($AH82)&gt;0),CHOOSE(MATCH($D82,ListaPuestos,0),INDEX('Cronograma R. Operacional'!$O$5:$O$1000,$AH82),INDEX('Cronograma R. Normativo'!$O$5:$O$1000,$AH82),INDEX('Cronograma R. Financiero'!$O$5:$O$1000,$AH82),INDEX('Cronograma Asistente Técnico'!$O$5:$O$1000,$AH82))&amp;"",IF(ISNUMBER($G82),IF(AND(ISNUMBER($AN82),$G82&gt;$AN82),"Cumplida con "&amp;($G82-$AN82)&amp;IF($G82-$AN82=1," día"," días")&amp;" de retraso","Cumplida"),IF(N($M82)&gt;=1,"Cumplida",IF(NOT(ISNUMBER($AN82)),"Sin fecha límite",IF($AN82&lt;FechaRef,"Vencida hace "&amp;(FechaRef-$AN82)&amp;IF(FechaRef-$AN82=1," día"," días"),IF($AN82=FechaRef,"Vence hoy",IF($AN82-FechaRef&lt;=DiasAlerta,"Vence en "&amp;($AN82-FechaRef)&amp;IF($AN82-FechaRef=1," día"," días"),"En plazo"))))))))</f>
        <v/>
      </c>
      <c r="P82" s="62">
        <f>IF(NOT((COUNTA($B82:$D82)+COUNTA($G82:$L82)+COUNTA($Q82))&gt;0),"",IF($D82="","Propia",IF($V82&lt;&gt;"Macro","Solo se delegan macroactividades",IF(N($AH82)&gt;0,"✔ Recibida por "&amp;$D82,"⚠ "&amp;$D82&amp;" aún no la agrega"))))</f>
        <v/>
      </c>
      <c r="Q82" s="58" t="n"/>
      <c r="R82" s="63">
        <f>IF(NOT((COUNTA($B82:$D82)+COUNTA($G82:$L82)+COUNTA($Q82))&gt;0),"",IF((IF($C82="","Falta el nombre de la actividad"&amp;" · ","")&amp;IF(AND($V82="Sub",N($U82)=0),"Subactividad sin macroactividad arriba"&amp;" · ","")&amp;IF($AM82="","Sin fecha de inicio"&amp;" · ","")&amp;IF($AN82="","Sin fecha límite"&amp;" · ","")&amp;IF(AND(LEFT($C82,11)="[Jefatura] ",N($AL82)=0),"No se encuentra en la hoja de la jefatura (elíjala de nuevo en la lista)"&amp;" · ","")&amp;IF(OR(AND($E82&lt;&gt;"",NOT(ISNUMBER($E82))),AND($F82&lt;&gt;"",NOT(ISNUMBER($F82))),AND($G82&lt;&gt;"",NOT(ISNUMBER($G82)))),"Fecha no válida"&amp;" · ","")&amp;IF(AND(ISNUMBER($AM82),ISNUMBER($AN82),$AM82&gt;$AN82),"Inicio posterior a fecha límite"&amp;" · ","")&amp;IF(AND($V82="Macro",$H82&lt;&gt;"",OR(NOT(ISNUMBER($H82)),$H82&lt;0,$H82&gt;1)),"Peso fuera de rango"&amp;" · ","")&amp;IF(AND($V82="Sub",$H82&lt;&gt;""),"Las subactividades no llevan peso (valen igual dentro de su macroactividad)"&amp;" · ","")&amp;IF(AND(N($W82)&gt;0,COUNT($I82:$L82)&gt;0),"Con subactividades: deje vacías las semanas (se calculan solas)"&amp;" · ","")&amp;IF((COUNTIF($I82:$L82,"&gt;1")+COUNTIF($I82:$L82,"&lt;0")+COUNTA($I82:$L82)-COUNT($I82:$L82))&gt;0,"Avance fuera de rango 0-100%"&amp;" · ","")&amp;IF(OR(AND($J82&lt;&gt;"",$J82&lt;$I82),AND($K82&lt;&gt;"",$K82&lt;MAX($I82:$J82)),AND($L82&lt;&gt;"",$L82&lt;MAX($I82:$K82))),"Avance semanal decreciente"&amp;" · ","")&amp;IF(AND(ISNUMBER($AN82),$AN82&lt;FechaRef,IF($V82="Sub",N($X82),N($M82))&lt;1),"Vencida"&amp;" · ","")&amp;IF(AND(ObsObligatoria="Sí",ISNUMBER($AN82),$AN82&lt;FechaRef,IF($V82="Sub",N($X82),N($M82))&lt;1,$Q82=""),"Vencida sin observación"&amp;" · ",""))="","✔ OK","⚠ "&amp;LEFT(IF($C82="","Falta el nombre de la actividad"&amp;" · ","")&amp;IF(AND($V82="Sub",N($U82)=0),"Subactividad sin macroactividad arriba"&amp;" · ","")&amp;IF($AM82="","Sin fecha de inicio"&amp;" · ","")&amp;IF($AN82="","Sin fecha límite"&amp;" · ","")&amp;IF(AND(LEFT($C82,11)="[Jefatura] ",N($AL82)=0),"No se encuentra en la hoja de la jefatura (elíjala de nuevo en la lista)"&amp;" · ","")&amp;IF(OR(AND($E82&lt;&gt;"",NOT(ISNUMBER($E82))),AND($F82&lt;&gt;"",NOT(ISNUMBER($F82))),AND($G82&lt;&gt;"",NOT(ISNUMBER($G82)))),"Fecha no válida"&amp;" · ","")&amp;IF(AND(ISNUMBER($AM82),ISNUMBER($AN82),$AM82&gt;$AN82),"Inicio posterior a fecha límite"&amp;" · ","")&amp;IF(AND($V82="Macro",$H82&lt;&gt;"",OR(NOT(ISNUMBER($H82)),$H82&lt;0,$H82&gt;1)),"Peso fuera de rango"&amp;" · ","")&amp;IF(AND($V82="Sub",$H82&lt;&gt;""),"Las subactividades no llevan peso (valen igual dentro de su macroactividad)"&amp;" · ","")&amp;IF(AND(N($W82)&gt;0,COUNT($I82:$L82)&gt;0),"Con subactividades: deje vacías las semanas (se calculan solas)"&amp;" · ","")&amp;IF((COUNTIF($I82:$L82,"&gt;1")+COUNTIF($I82:$L82,"&lt;0")+COUNTA($I82:$L82)-COUNT($I82:$L82))&gt;0,"Avance fuera de rango 0-100%"&amp;" · ","")&amp;IF(OR(AND($J82&lt;&gt;"",$J82&lt;$I82),AND($K82&lt;&gt;"",$K82&lt;MAX($I82:$J82)),AND($L82&lt;&gt;"",$L82&lt;MAX($I82:$K82))),"Avance semanal decreciente"&amp;" · ","")&amp;IF(AND(ISNUMBER($AN82),$AN82&lt;FechaRef,IF($V82="Sub",N($X82),N($M82))&lt;1),"Vencida"&amp;" · ","")&amp;IF(AND(ObsObligatoria="Sí",ISNUMBER($AN82),$AN82&lt;FechaRef,IF($V82="Sub",N($X82),N($M82))&lt;1,$Q82=""),"Vencida sin observación"&amp;" · ",""),LEN(IF($C82="","Falta el nombre de la actividad"&amp;" · ","")&amp;IF(AND($V82="Sub",N($U82)=0),"Subactividad sin macroactividad arriba"&amp;" · ","")&amp;IF($AM82="","Sin fecha de inicio"&amp;" · ","")&amp;IF($AN82="","Sin fecha límite"&amp;" · ","")&amp;IF(AND(LEFT($C82,11)="[Jefatura] ",N($AL82)=0),"No se encuentra en la hoja de la jefatura (elíjala de nuevo en la lista)"&amp;" · ","")&amp;IF(OR(AND($E82&lt;&gt;"",NOT(ISNUMBER($E82))),AND($F82&lt;&gt;"",NOT(ISNUMBER($F82))),AND($G82&lt;&gt;"",NOT(ISNUMBER($G82)))),"Fecha no válida"&amp;" · ","")&amp;IF(AND(ISNUMBER($AM82),ISNUMBER($AN82),$AM82&gt;$AN82),"Inicio posterior a fecha límite"&amp;" · ","")&amp;IF(AND($V82="Macro",$H82&lt;&gt;"",OR(NOT(ISNUMBER($H82)),$H82&lt;0,$H82&gt;1)),"Peso fuera de rango"&amp;" · ","")&amp;IF(AND($V82="Sub",$H82&lt;&gt;""),"Las subactividades no llevan peso (valen igual dentro de su macroactividad)"&amp;" · ","")&amp;IF(AND(N($W82)&gt;0,COUNT($I82:$L82)&gt;0),"Con subactividades: deje vacías las semanas (se calculan solas)"&amp;" · ","")&amp;IF((COUNTIF($I82:$L82,"&gt;1")+COUNTIF($I82:$L82,"&lt;0")+COUNTA($I82:$L82)-COUNT($I82:$L82))&gt;0,"Avance fuera de rango 0-100%"&amp;" · ","")&amp;IF(OR(AND($J82&lt;&gt;"",$J82&lt;$I82),AND($K82&lt;&gt;"",$K82&lt;MAX($I82:$J82)),AND($L82&lt;&gt;"",$L82&lt;MAX($I82:$K82))),"Avance semanal decreciente"&amp;" · ","")&amp;IF(AND(ISNUMBER($AN82),$AN82&lt;FechaRef,IF($V82="Sub",N($X82),N($M82))&lt;1),"Vencida"&amp;" · ","")&amp;IF(AND(ObsObligatoria="Sí",ISNUMBER($AN82),$AN82&lt;FechaRef,IF($V82="Sub",N($X82),N($M82))&lt;1,$Q82=""),"Vencida sin observación"&amp;" · ",""))-3)))</f>
        <v/>
      </c>
      <c r="S82" s="64">
        <f>IF(NOT((COUNTA($B82:$D82)+COUNTA($G82:$L82)+COUNTA($Q82))&gt;0),"",IF(AND($V82="Sub",N($U82)&gt;0),IF(ISNUMBER(INDEX($AM$5:$AM$1000,$U82-4)),DATE(YEAR(INDEX($AM$5:$AM$1000,$U82-4)),MONTH(INDEX($AM$5:$AM$1000,$U82-4)),1),IF(ISNUMBER(INDEX($AN$5:$AN$1000,$U82-4)),DATE(YEAR(INDEX($AN$5:$AN$1000,$U82-4)),MONTH(INDEX($AN$5:$AN$1000,$U82-4)),1),MesCiclo)),IF(ISNUMBER($AM82),DATE(YEAR($AM82),MONTH($AM82),1),IF(ISNUMBER($AN82),DATE(YEAR($AN82),MONTH($AN82),1),MesCiclo))))</f>
        <v/>
      </c>
      <c r="T82" s="62">
        <f>IF(OR($S82="",$S82&lt;&gt;MesCiclo,$V82&lt;&gt;"Macro"),"",COUNTIFS($S$5:$S82,MesCiclo,$V$5:$V82,"Macro"))</f>
        <v/>
      </c>
      <c r="U82" s="62">
        <f>IF($V82="","",IF($V82="Macro",ROW(),IFERROR(LOOKUP(2,1/($V$5:$V82="Macro"),ROW($V$5:$V82)),0)))</f>
        <v/>
      </c>
      <c r="V82" s="62">
        <f>IF(NOT((COUNTA($B82:$D82)+COUNTA($G82:$L82)+COUNTA($Q82))&gt;0),"",IF($B82="Subactividad","Sub","Macro"))</f>
        <v/>
      </c>
      <c r="W82" s="62">
        <f>IF($V82="Macro",COUNTIFS($U$5:$U$1000,ROW(),$V$5:$V$1000,"Sub"),"")</f>
        <v/>
      </c>
      <c r="X82" s="62">
        <f>IF($V82="","",IF(ISNUMBER($G82),1,IFERROR(LOOKUP(2,1/($I82:$L82&lt;&gt;""),$I82:$L82),0)))</f>
        <v/>
      </c>
      <c r="Y82" s="62">
        <f>IF($V82="","",IF(AND(ISNUMBER($G82),$G82&lt;=IF($S82=MesCiclo,InicioCiclo,$S82+MOD(2-WEEKDAY($S82),7))+6),1,IF(ISNUMBER($I82),$I82,0)))</f>
        <v/>
      </c>
      <c r="Z82" s="62">
        <f>IF($V82="","",IF(AND(ISNUMBER($G82),$G82&lt;=IF($S82=MesCiclo,InicioCiclo,$S82+MOD(2-WEEKDAY($S82),7))+13),1,IF(ISNUMBER($J82),$J82,$Y82)))</f>
        <v/>
      </c>
      <c r="AA82" s="62">
        <f>IF($V82="","",IF(AND(ISNUMBER($G82),$G82&lt;=IF($S82=MesCiclo,InicioCiclo,$S82+MOD(2-WEEKDAY($S82),7))+20),1,IF(ISNUMBER($K82),$K82,$Z82)))</f>
        <v/>
      </c>
      <c r="AB82" s="62">
        <f>IF($V82="","",IF(AND(ISNUMBER($G82),$G82&lt;=IF($S82=MesCiclo,InicioCiclo,$S82+MOD(2-WEEKDAY($S82),7))+27),1,IF(ISNUMBER($L82),$L82,$AA82)))</f>
        <v/>
      </c>
      <c r="AC82" s="62">
        <f>IF($V82="","",IF(AND(ISNUMBER($G82),$G82&lt;=IF($S82=MesCiclo,InicioCiclo,$S82+MOD(2-WEEKDAY($S82),7))+6),1,IF(N($W82)&gt;0,AVERAGEIFS($Y$5:$Y$1000,$U$5:$U$1000,ROW(),$V$5:$V$1000,"Sub"),$Y82)))</f>
        <v/>
      </c>
      <c r="AD82" s="62">
        <f>IF($V82="","",IF(AND(ISNUMBER($G82),$G82&lt;=IF($S82=MesCiclo,InicioCiclo,$S82+MOD(2-WEEKDAY($S82),7))+13),1,IF(N($W82)&gt;0,AVERAGEIFS($Z$5:$Z$1000,$U$5:$U$1000,ROW(),$V$5:$V$1000,"Sub"),$Z82)))</f>
        <v/>
      </c>
      <c r="AE82" s="62">
        <f>IF($V82="","",IF(AND(ISNUMBER($G82),$G82&lt;=IF($S82=MesCiclo,InicioCiclo,$S82+MOD(2-WEEKDAY($S82),7))+20),1,IF(N($W82)&gt;0,AVERAGEIFS($AA$5:$AA$1000,$U$5:$U$1000,ROW(),$V$5:$V$1000,"Sub"),$AA82)))</f>
        <v/>
      </c>
      <c r="AF82" s="62">
        <f>IF($V82="","",IF(AND(ISNUMBER($G82),$G82&lt;=IF($S82=MesCiclo,InicioCiclo,$S82+MOD(2-WEEKDAY($S82),7))+27),1,IF(N($W82)&gt;0,AVERAGEIFS($AB$5:$AB$1000,$U$5:$U$1000,ROW(),$V$5:$V$1000,"Sub"),$AB82)))</f>
        <v/>
      </c>
      <c r="AG82" s="62">
        <f>IF($V82&lt;&gt;"Macro","",IF(COUNTIFS($S$5:$S$1000,$S82,$V$5:$V$1000,"Macro",$H$5:$H$1000,"&gt;0")=0,1/COUNTIFS($S$5:$S$1000,$S82,$V$5:$V$1000,"Macro"),IF(AND(ISNUMBER($H82),N($H82)&gt;0),$H82,SUMIFS($H$5:$H$1000,$S$5:$S$1000,$S82,$V$5:$V$1000,"Macro")/COUNTIFS($S$5:$S$1000,$S82,$V$5:$V$1000,"Macro",$H$5:$H$1000,"&gt;0"))/(COUNTIFS($S$5:$S$1000,$S82,$V$5:$V$1000,"Macro")*SUMIFS($H$5:$H$1000,$S$5:$S$1000,$S82,$V$5:$V$1000,"Macro")/COUNTIFS($S$5:$S$1000,$S82,$V$5:$V$1000,"Macro",$H$5:$H$1000,"&gt;0"))))</f>
        <v/>
      </c>
      <c r="AH82" s="62">
        <f>IF(NOT(AND($D82&lt;&gt;"",$V82="Macro")),"",IFERROR(CHOOSE(MATCH($D82,ListaPuestos,0),MATCH("[Jefatura] "&amp;$C82,'Cronograma R. Operacional'!$C$5:$C$1000,0),MATCH("[Jefatura] "&amp;$C82,'Cronograma R. Normativo'!$C$5:$C$1000,0),MATCH("[Jefatura] "&amp;$C82,'Cronograma R. Financiero'!$C$5:$C$1000,0),MATCH("[Jefatura] "&amp;$C82,'Cronograma Asistente Técnico'!$C$5:$C$1000,0)),0))</f>
        <v/>
      </c>
      <c r="AI82" s="62">
        <f>IF(AND(AND($D82&lt;&gt;"",$V82="Macro"),$S82=MesCiclo),COUNTIFS($D$5:$D82,$D82,$S$5:$S82,MesCiclo,$V$5:$V82,"Macro"),"")</f>
        <v/>
      </c>
      <c r="AJ82" s="62">
        <f>IF($AI82="","",$D82&amp;"|"&amp;$AI82)</f>
        <v/>
      </c>
      <c r="AK82" s="62">
        <f>IF(AND($D82&lt;&gt;"",$V82="Macro"),$D82&amp;"|"&amp;$C82,"")</f>
        <v/>
      </c>
      <c r="AL82" s="62">
        <f>""</f>
        <v/>
      </c>
      <c r="AM82" s="62">
        <f>IF(N($AL82)&gt;0,INDEX(rIni_ADM,$AL82),IF(ISNUMBER($E82),$E82,""))</f>
        <v/>
      </c>
      <c r="AN82" s="62">
        <f>IF(N($AL82)&gt;0,INDEX(rLim_ADM,$AL82),IF(ISNUMBER($F82),$F82,""))</f>
        <v/>
      </c>
    </row>
    <row r="83">
      <c r="A83" s="56">
        <f>IF(NOT((COUNTA($B83:$D83)+COUNTA($G83:$L83)+COUNTA($Q83))&gt;0),"",IF($V83="Macro",COUNTIFS($V$5:$V83,"Macro",$S$5:$S83,$S83),IF(N($U83)=0,"?",COUNTIFS(INDEX($V$5:$V$1000,1):INDEX($V$5:$V$1000,$U83-4),"Macro",INDEX($S$5:$S$1000,1):INDEX($S$5:$S$1000,$U83-4),INDEX($S$5:$S$1000,$U83-4))&amp;"."&amp;COUNTIFS($U$5:$U83,$U83,$V$5:$V83,"Sub"))))</f>
        <v/>
      </c>
      <c r="B83" s="57" t="n"/>
      <c r="C83" s="58" t="n"/>
      <c r="D83" s="58" t="n"/>
      <c r="E83" s="59" t="n"/>
      <c r="F83" s="59" t="n"/>
      <c r="G83" s="59" t="n"/>
      <c r="H83" s="60" t="n"/>
      <c r="I83" s="60" t="n"/>
      <c r="J83" s="60" t="n"/>
      <c r="K83" s="60" t="n"/>
      <c r="L83" s="60" t="n"/>
      <c r="M83" s="61">
        <f>IF(NOT((COUNTA($B83:$D83)+COUNTA($G83:$L83)+COUNTA($Q83))&gt;0),"",IF(AND($D83&lt;&gt;"",$V83="Macro"),IF(N($AH83)&gt;0,N(CHOOSE(MATCH($D83,ListaPuestos,0),INDEX('Cronograma R. Operacional'!$M$5:$M$1000,$AH83),INDEX('Cronograma R. Normativo'!$M$5:$M$1000,$AH83),INDEX('Cronograma R. Financiero'!$M$5:$M$1000,$AH83),INDEX('Cronograma Asistente Técnico'!$M$5:$M$1000,$AH83))),0),IF(ISNUMBER($G83),1,IF(N($W83)&gt;0,AVERAGEIFS($X$5:$X$1000,$U$5:$U$1000,ROW(),$V$5:$V$1000,"Sub"),$X83))))</f>
        <v/>
      </c>
      <c r="N83" s="56">
        <f>IF(OR($M83="",$V83="Sub"),"",IF($M83&gt;=1,"Completado",IF($M83&gt;0,"En curso","Pendiente")))</f>
        <v/>
      </c>
      <c r="O83" s="56">
        <f>IF(NOT((COUNTA($B83:$D83)+COUNTA($G83:$L83)+COUNTA($Q83))&gt;0),"",IF(AND(AND($D83&lt;&gt;"",$V83="Macro"),N($AH83)&gt;0),CHOOSE(MATCH($D83,ListaPuestos,0),INDEX('Cronograma R. Operacional'!$O$5:$O$1000,$AH83),INDEX('Cronograma R. Normativo'!$O$5:$O$1000,$AH83),INDEX('Cronograma R. Financiero'!$O$5:$O$1000,$AH83),INDEX('Cronograma Asistente Técnico'!$O$5:$O$1000,$AH83))&amp;"",IF(ISNUMBER($G83),IF(AND(ISNUMBER($AN83),$G83&gt;$AN83),"Cumplida con "&amp;($G83-$AN83)&amp;IF($G83-$AN83=1," día"," días")&amp;" de retraso","Cumplida"),IF(N($M83)&gt;=1,"Cumplida",IF(NOT(ISNUMBER($AN83)),"Sin fecha límite",IF($AN83&lt;FechaRef,"Vencida hace "&amp;(FechaRef-$AN83)&amp;IF(FechaRef-$AN83=1," día"," días"),IF($AN83=FechaRef,"Vence hoy",IF($AN83-FechaRef&lt;=DiasAlerta,"Vence en "&amp;($AN83-FechaRef)&amp;IF($AN83-FechaRef=1," día"," días"),"En plazo"))))))))</f>
        <v/>
      </c>
      <c r="P83" s="62">
        <f>IF(NOT((COUNTA($B83:$D83)+COUNTA($G83:$L83)+COUNTA($Q83))&gt;0),"",IF($D83="","Propia",IF($V83&lt;&gt;"Macro","Solo se delegan macroactividades",IF(N($AH83)&gt;0,"✔ Recibida por "&amp;$D83,"⚠ "&amp;$D83&amp;" aún no la agrega"))))</f>
        <v/>
      </c>
      <c r="Q83" s="58" t="n"/>
      <c r="R83" s="63">
        <f>IF(NOT((COUNTA($B83:$D83)+COUNTA($G83:$L83)+COUNTA($Q83))&gt;0),"",IF((IF($C83="","Falta el nombre de la actividad"&amp;" · ","")&amp;IF(AND($V83="Sub",N($U83)=0),"Subactividad sin macroactividad arriba"&amp;" · ","")&amp;IF($AM83="","Sin fecha de inicio"&amp;" · ","")&amp;IF($AN83="","Sin fecha límite"&amp;" · ","")&amp;IF(AND(LEFT($C83,11)="[Jefatura] ",N($AL83)=0),"No se encuentra en la hoja de la jefatura (elíjala de nuevo en la lista)"&amp;" · ","")&amp;IF(OR(AND($E83&lt;&gt;"",NOT(ISNUMBER($E83))),AND($F83&lt;&gt;"",NOT(ISNUMBER($F83))),AND($G83&lt;&gt;"",NOT(ISNUMBER($G83)))),"Fecha no válida"&amp;" · ","")&amp;IF(AND(ISNUMBER($AM83),ISNUMBER($AN83),$AM83&gt;$AN83),"Inicio posterior a fecha límite"&amp;" · ","")&amp;IF(AND($V83="Macro",$H83&lt;&gt;"",OR(NOT(ISNUMBER($H83)),$H83&lt;0,$H83&gt;1)),"Peso fuera de rango"&amp;" · ","")&amp;IF(AND($V83="Sub",$H83&lt;&gt;""),"Las subactividades no llevan peso (valen igual dentro de su macroactividad)"&amp;" · ","")&amp;IF(AND(N($W83)&gt;0,COUNT($I83:$L83)&gt;0),"Con subactividades: deje vacías las semanas (se calculan solas)"&amp;" · ","")&amp;IF((COUNTIF($I83:$L83,"&gt;1")+COUNTIF($I83:$L83,"&lt;0")+COUNTA($I83:$L83)-COUNT($I83:$L83))&gt;0,"Avance fuera de rango 0-100%"&amp;" · ","")&amp;IF(OR(AND($J83&lt;&gt;"",$J83&lt;$I83),AND($K83&lt;&gt;"",$K83&lt;MAX($I83:$J83)),AND($L83&lt;&gt;"",$L83&lt;MAX($I83:$K83))),"Avance semanal decreciente"&amp;" · ","")&amp;IF(AND(ISNUMBER($AN83),$AN83&lt;FechaRef,IF($V83="Sub",N($X83),N($M83))&lt;1),"Vencida"&amp;" · ","")&amp;IF(AND(ObsObligatoria="Sí",ISNUMBER($AN83),$AN83&lt;FechaRef,IF($V83="Sub",N($X83),N($M83))&lt;1,$Q83=""),"Vencida sin observación"&amp;" · ",""))="","✔ OK","⚠ "&amp;LEFT(IF($C83="","Falta el nombre de la actividad"&amp;" · ","")&amp;IF(AND($V83="Sub",N($U83)=0),"Subactividad sin macroactividad arriba"&amp;" · ","")&amp;IF($AM83="","Sin fecha de inicio"&amp;" · ","")&amp;IF($AN83="","Sin fecha límite"&amp;" · ","")&amp;IF(AND(LEFT($C83,11)="[Jefatura] ",N($AL83)=0),"No se encuentra en la hoja de la jefatura (elíjala de nuevo en la lista)"&amp;" · ","")&amp;IF(OR(AND($E83&lt;&gt;"",NOT(ISNUMBER($E83))),AND($F83&lt;&gt;"",NOT(ISNUMBER($F83))),AND($G83&lt;&gt;"",NOT(ISNUMBER($G83)))),"Fecha no válida"&amp;" · ","")&amp;IF(AND(ISNUMBER($AM83),ISNUMBER($AN83),$AM83&gt;$AN83),"Inicio posterior a fecha límite"&amp;" · ","")&amp;IF(AND($V83="Macro",$H83&lt;&gt;"",OR(NOT(ISNUMBER($H83)),$H83&lt;0,$H83&gt;1)),"Peso fuera de rango"&amp;" · ","")&amp;IF(AND($V83="Sub",$H83&lt;&gt;""),"Las subactividades no llevan peso (valen igual dentro de su macroactividad)"&amp;" · ","")&amp;IF(AND(N($W83)&gt;0,COUNT($I83:$L83)&gt;0),"Con subactividades: deje vacías las semanas (se calculan solas)"&amp;" · ","")&amp;IF((COUNTIF($I83:$L83,"&gt;1")+COUNTIF($I83:$L83,"&lt;0")+COUNTA($I83:$L83)-COUNT($I83:$L83))&gt;0,"Avance fuera de rango 0-100%"&amp;" · ","")&amp;IF(OR(AND($J83&lt;&gt;"",$J83&lt;$I83),AND($K83&lt;&gt;"",$K83&lt;MAX($I83:$J83)),AND($L83&lt;&gt;"",$L83&lt;MAX($I83:$K83))),"Avance semanal decreciente"&amp;" · ","")&amp;IF(AND(ISNUMBER($AN83),$AN83&lt;FechaRef,IF($V83="Sub",N($X83),N($M83))&lt;1),"Vencida"&amp;" · ","")&amp;IF(AND(ObsObligatoria="Sí",ISNUMBER($AN83),$AN83&lt;FechaRef,IF($V83="Sub",N($X83),N($M83))&lt;1,$Q83=""),"Vencida sin observación"&amp;" · ",""),LEN(IF($C83="","Falta el nombre de la actividad"&amp;" · ","")&amp;IF(AND($V83="Sub",N($U83)=0),"Subactividad sin macroactividad arriba"&amp;" · ","")&amp;IF($AM83="","Sin fecha de inicio"&amp;" · ","")&amp;IF($AN83="","Sin fecha límite"&amp;" · ","")&amp;IF(AND(LEFT($C83,11)="[Jefatura] ",N($AL83)=0),"No se encuentra en la hoja de la jefatura (elíjala de nuevo en la lista)"&amp;" · ","")&amp;IF(OR(AND($E83&lt;&gt;"",NOT(ISNUMBER($E83))),AND($F83&lt;&gt;"",NOT(ISNUMBER($F83))),AND($G83&lt;&gt;"",NOT(ISNUMBER($G83)))),"Fecha no válida"&amp;" · ","")&amp;IF(AND(ISNUMBER($AM83),ISNUMBER($AN83),$AM83&gt;$AN83),"Inicio posterior a fecha límite"&amp;" · ","")&amp;IF(AND($V83="Macro",$H83&lt;&gt;"",OR(NOT(ISNUMBER($H83)),$H83&lt;0,$H83&gt;1)),"Peso fuera de rango"&amp;" · ","")&amp;IF(AND($V83="Sub",$H83&lt;&gt;""),"Las subactividades no llevan peso (valen igual dentro de su macroactividad)"&amp;" · ","")&amp;IF(AND(N($W83)&gt;0,COUNT($I83:$L83)&gt;0),"Con subactividades: deje vacías las semanas (se calculan solas)"&amp;" · ","")&amp;IF((COUNTIF($I83:$L83,"&gt;1")+COUNTIF($I83:$L83,"&lt;0")+COUNTA($I83:$L83)-COUNT($I83:$L83))&gt;0,"Avance fuera de rango 0-100%"&amp;" · ","")&amp;IF(OR(AND($J83&lt;&gt;"",$J83&lt;$I83),AND($K83&lt;&gt;"",$K83&lt;MAX($I83:$J83)),AND($L83&lt;&gt;"",$L83&lt;MAX($I83:$K83))),"Avance semanal decreciente"&amp;" · ","")&amp;IF(AND(ISNUMBER($AN83),$AN83&lt;FechaRef,IF($V83="Sub",N($X83),N($M83))&lt;1),"Vencida"&amp;" · ","")&amp;IF(AND(ObsObligatoria="Sí",ISNUMBER($AN83),$AN83&lt;FechaRef,IF($V83="Sub",N($X83),N($M83))&lt;1,$Q83=""),"Vencida sin observación"&amp;" · ",""))-3)))</f>
        <v/>
      </c>
      <c r="S83" s="64">
        <f>IF(NOT((COUNTA($B83:$D83)+COUNTA($G83:$L83)+COUNTA($Q83))&gt;0),"",IF(AND($V83="Sub",N($U83)&gt;0),IF(ISNUMBER(INDEX($AM$5:$AM$1000,$U83-4)),DATE(YEAR(INDEX($AM$5:$AM$1000,$U83-4)),MONTH(INDEX($AM$5:$AM$1000,$U83-4)),1),IF(ISNUMBER(INDEX($AN$5:$AN$1000,$U83-4)),DATE(YEAR(INDEX($AN$5:$AN$1000,$U83-4)),MONTH(INDEX($AN$5:$AN$1000,$U83-4)),1),MesCiclo)),IF(ISNUMBER($AM83),DATE(YEAR($AM83),MONTH($AM83),1),IF(ISNUMBER($AN83),DATE(YEAR($AN83),MONTH($AN83),1),MesCiclo))))</f>
        <v/>
      </c>
      <c r="T83" s="62">
        <f>IF(OR($S83="",$S83&lt;&gt;MesCiclo,$V83&lt;&gt;"Macro"),"",COUNTIFS($S$5:$S83,MesCiclo,$V$5:$V83,"Macro"))</f>
        <v/>
      </c>
      <c r="U83" s="62">
        <f>IF($V83="","",IF($V83="Macro",ROW(),IFERROR(LOOKUP(2,1/($V$5:$V83="Macro"),ROW($V$5:$V83)),0)))</f>
        <v/>
      </c>
      <c r="V83" s="62">
        <f>IF(NOT((COUNTA($B83:$D83)+COUNTA($G83:$L83)+COUNTA($Q83))&gt;0),"",IF($B83="Subactividad","Sub","Macro"))</f>
        <v/>
      </c>
      <c r="W83" s="62">
        <f>IF($V83="Macro",COUNTIFS($U$5:$U$1000,ROW(),$V$5:$V$1000,"Sub"),"")</f>
        <v/>
      </c>
      <c r="X83" s="62">
        <f>IF($V83="","",IF(ISNUMBER($G83),1,IFERROR(LOOKUP(2,1/($I83:$L83&lt;&gt;""),$I83:$L83),0)))</f>
        <v/>
      </c>
      <c r="Y83" s="62">
        <f>IF($V83="","",IF(AND(ISNUMBER($G83),$G83&lt;=IF($S83=MesCiclo,InicioCiclo,$S83+MOD(2-WEEKDAY($S83),7))+6),1,IF(ISNUMBER($I83),$I83,0)))</f>
        <v/>
      </c>
      <c r="Z83" s="62">
        <f>IF($V83="","",IF(AND(ISNUMBER($G83),$G83&lt;=IF($S83=MesCiclo,InicioCiclo,$S83+MOD(2-WEEKDAY($S83),7))+13),1,IF(ISNUMBER($J83),$J83,$Y83)))</f>
        <v/>
      </c>
      <c r="AA83" s="62">
        <f>IF($V83="","",IF(AND(ISNUMBER($G83),$G83&lt;=IF($S83=MesCiclo,InicioCiclo,$S83+MOD(2-WEEKDAY($S83),7))+20),1,IF(ISNUMBER($K83),$K83,$Z83)))</f>
        <v/>
      </c>
      <c r="AB83" s="62">
        <f>IF($V83="","",IF(AND(ISNUMBER($G83),$G83&lt;=IF($S83=MesCiclo,InicioCiclo,$S83+MOD(2-WEEKDAY($S83),7))+27),1,IF(ISNUMBER($L83),$L83,$AA83)))</f>
        <v/>
      </c>
      <c r="AC83" s="62">
        <f>IF($V83="","",IF(AND(ISNUMBER($G83),$G83&lt;=IF($S83=MesCiclo,InicioCiclo,$S83+MOD(2-WEEKDAY($S83),7))+6),1,IF(N($W83)&gt;0,AVERAGEIFS($Y$5:$Y$1000,$U$5:$U$1000,ROW(),$V$5:$V$1000,"Sub"),$Y83)))</f>
        <v/>
      </c>
      <c r="AD83" s="62">
        <f>IF($V83="","",IF(AND(ISNUMBER($G83),$G83&lt;=IF($S83=MesCiclo,InicioCiclo,$S83+MOD(2-WEEKDAY($S83),7))+13),1,IF(N($W83)&gt;0,AVERAGEIFS($Z$5:$Z$1000,$U$5:$U$1000,ROW(),$V$5:$V$1000,"Sub"),$Z83)))</f>
        <v/>
      </c>
      <c r="AE83" s="62">
        <f>IF($V83="","",IF(AND(ISNUMBER($G83),$G83&lt;=IF($S83=MesCiclo,InicioCiclo,$S83+MOD(2-WEEKDAY($S83),7))+20),1,IF(N($W83)&gt;0,AVERAGEIFS($AA$5:$AA$1000,$U$5:$U$1000,ROW(),$V$5:$V$1000,"Sub"),$AA83)))</f>
        <v/>
      </c>
      <c r="AF83" s="62">
        <f>IF($V83="","",IF(AND(ISNUMBER($G83),$G83&lt;=IF($S83=MesCiclo,InicioCiclo,$S83+MOD(2-WEEKDAY($S83),7))+27),1,IF(N($W83)&gt;0,AVERAGEIFS($AB$5:$AB$1000,$U$5:$U$1000,ROW(),$V$5:$V$1000,"Sub"),$AB83)))</f>
        <v/>
      </c>
      <c r="AG83" s="62">
        <f>IF($V83&lt;&gt;"Macro","",IF(COUNTIFS($S$5:$S$1000,$S83,$V$5:$V$1000,"Macro",$H$5:$H$1000,"&gt;0")=0,1/COUNTIFS($S$5:$S$1000,$S83,$V$5:$V$1000,"Macro"),IF(AND(ISNUMBER($H83),N($H83)&gt;0),$H83,SUMIFS($H$5:$H$1000,$S$5:$S$1000,$S83,$V$5:$V$1000,"Macro")/COUNTIFS($S$5:$S$1000,$S83,$V$5:$V$1000,"Macro",$H$5:$H$1000,"&gt;0"))/(COUNTIFS($S$5:$S$1000,$S83,$V$5:$V$1000,"Macro")*SUMIFS($H$5:$H$1000,$S$5:$S$1000,$S83,$V$5:$V$1000,"Macro")/COUNTIFS($S$5:$S$1000,$S83,$V$5:$V$1000,"Macro",$H$5:$H$1000,"&gt;0"))))</f>
        <v/>
      </c>
      <c r="AH83" s="62">
        <f>IF(NOT(AND($D83&lt;&gt;"",$V83="Macro")),"",IFERROR(CHOOSE(MATCH($D83,ListaPuestos,0),MATCH("[Jefatura] "&amp;$C83,'Cronograma R. Operacional'!$C$5:$C$1000,0),MATCH("[Jefatura] "&amp;$C83,'Cronograma R. Normativo'!$C$5:$C$1000,0),MATCH("[Jefatura] "&amp;$C83,'Cronograma R. Financiero'!$C$5:$C$1000,0),MATCH("[Jefatura] "&amp;$C83,'Cronograma Asistente Técnico'!$C$5:$C$1000,0)),0))</f>
        <v/>
      </c>
      <c r="AI83" s="62">
        <f>IF(AND(AND($D83&lt;&gt;"",$V83="Macro"),$S83=MesCiclo),COUNTIFS($D$5:$D83,$D83,$S$5:$S83,MesCiclo,$V$5:$V83,"Macro"),"")</f>
        <v/>
      </c>
      <c r="AJ83" s="62">
        <f>IF($AI83="","",$D83&amp;"|"&amp;$AI83)</f>
        <v/>
      </c>
      <c r="AK83" s="62">
        <f>IF(AND($D83&lt;&gt;"",$V83="Macro"),$D83&amp;"|"&amp;$C83,"")</f>
        <v/>
      </c>
      <c r="AL83" s="62">
        <f>""</f>
        <v/>
      </c>
      <c r="AM83" s="62">
        <f>IF(N($AL83)&gt;0,INDEX(rIni_ADM,$AL83),IF(ISNUMBER($E83),$E83,""))</f>
        <v/>
      </c>
      <c r="AN83" s="62">
        <f>IF(N($AL83)&gt;0,INDEX(rLim_ADM,$AL83),IF(ISNUMBER($F83),$F83,""))</f>
        <v/>
      </c>
    </row>
    <row r="84">
      <c r="A84" s="56">
        <f>IF(NOT((COUNTA($B84:$D84)+COUNTA($G84:$L84)+COUNTA($Q84))&gt;0),"",IF($V84="Macro",COUNTIFS($V$5:$V84,"Macro",$S$5:$S84,$S84),IF(N($U84)=0,"?",COUNTIFS(INDEX($V$5:$V$1000,1):INDEX($V$5:$V$1000,$U84-4),"Macro",INDEX($S$5:$S$1000,1):INDEX($S$5:$S$1000,$U84-4),INDEX($S$5:$S$1000,$U84-4))&amp;"."&amp;COUNTIFS($U$5:$U84,$U84,$V$5:$V84,"Sub"))))</f>
        <v/>
      </c>
      <c r="B84" s="57" t="n"/>
      <c r="C84" s="58" t="n"/>
      <c r="D84" s="58" t="n"/>
      <c r="E84" s="59" t="n"/>
      <c r="F84" s="59" t="n"/>
      <c r="G84" s="59" t="n"/>
      <c r="H84" s="60" t="n"/>
      <c r="I84" s="60" t="n"/>
      <c r="J84" s="60" t="n"/>
      <c r="K84" s="60" t="n"/>
      <c r="L84" s="60" t="n"/>
      <c r="M84" s="61">
        <f>IF(NOT((COUNTA($B84:$D84)+COUNTA($G84:$L84)+COUNTA($Q84))&gt;0),"",IF(AND($D84&lt;&gt;"",$V84="Macro"),IF(N($AH84)&gt;0,N(CHOOSE(MATCH($D84,ListaPuestos,0),INDEX('Cronograma R. Operacional'!$M$5:$M$1000,$AH84),INDEX('Cronograma R. Normativo'!$M$5:$M$1000,$AH84),INDEX('Cronograma R. Financiero'!$M$5:$M$1000,$AH84),INDEX('Cronograma Asistente Técnico'!$M$5:$M$1000,$AH84))),0),IF(ISNUMBER($G84),1,IF(N($W84)&gt;0,AVERAGEIFS($X$5:$X$1000,$U$5:$U$1000,ROW(),$V$5:$V$1000,"Sub"),$X84))))</f>
        <v/>
      </c>
      <c r="N84" s="56">
        <f>IF(OR($M84="",$V84="Sub"),"",IF($M84&gt;=1,"Completado",IF($M84&gt;0,"En curso","Pendiente")))</f>
        <v/>
      </c>
      <c r="O84" s="56">
        <f>IF(NOT((COUNTA($B84:$D84)+COUNTA($G84:$L84)+COUNTA($Q84))&gt;0),"",IF(AND(AND($D84&lt;&gt;"",$V84="Macro"),N($AH84)&gt;0),CHOOSE(MATCH($D84,ListaPuestos,0),INDEX('Cronograma R. Operacional'!$O$5:$O$1000,$AH84),INDEX('Cronograma R. Normativo'!$O$5:$O$1000,$AH84),INDEX('Cronograma R. Financiero'!$O$5:$O$1000,$AH84),INDEX('Cronograma Asistente Técnico'!$O$5:$O$1000,$AH84))&amp;"",IF(ISNUMBER($G84),IF(AND(ISNUMBER($AN84),$G84&gt;$AN84),"Cumplida con "&amp;($G84-$AN84)&amp;IF($G84-$AN84=1," día"," días")&amp;" de retraso","Cumplida"),IF(N($M84)&gt;=1,"Cumplida",IF(NOT(ISNUMBER($AN84)),"Sin fecha límite",IF($AN84&lt;FechaRef,"Vencida hace "&amp;(FechaRef-$AN84)&amp;IF(FechaRef-$AN84=1," día"," días"),IF($AN84=FechaRef,"Vence hoy",IF($AN84-FechaRef&lt;=DiasAlerta,"Vence en "&amp;($AN84-FechaRef)&amp;IF($AN84-FechaRef=1," día"," días"),"En plazo"))))))))</f>
        <v/>
      </c>
      <c r="P84" s="62">
        <f>IF(NOT((COUNTA($B84:$D84)+COUNTA($G84:$L84)+COUNTA($Q84))&gt;0),"",IF($D84="","Propia",IF($V84&lt;&gt;"Macro","Solo se delegan macroactividades",IF(N($AH84)&gt;0,"✔ Recibida por "&amp;$D84,"⚠ "&amp;$D84&amp;" aún no la agrega"))))</f>
        <v/>
      </c>
      <c r="Q84" s="58" t="n"/>
      <c r="R84" s="63">
        <f>IF(NOT((COUNTA($B84:$D84)+COUNTA($G84:$L84)+COUNTA($Q84))&gt;0),"",IF((IF($C84="","Falta el nombre de la actividad"&amp;" · ","")&amp;IF(AND($V84="Sub",N($U84)=0),"Subactividad sin macroactividad arriba"&amp;" · ","")&amp;IF($AM84="","Sin fecha de inicio"&amp;" · ","")&amp;IF($AN84="","Sin fecha límite"&amp;" · ","")&amp;IF(AND(LEFT($C84,11)="[Jefatura] ",N($AL84)=0),"No se encuentra en la hoja de la jefatura (elíjala de nuevo en la lista)"&amp;" · ","")&amp;IF(OR(AND($E84&lt;&gt;"",NOT(ISNUMBER($E84))),AND($F84&lt;&gt;"",NOT(ISNUMBER($F84))),AND($G84&lt;&gt;"",NOT(ISNUMBER($G84)))),"Fecha no válida"&amp;" · ","")&amp;IF(AND(ISNUMBER($AM84),ISNUMBER($AN84),$AM84&gt;$AN84),"Inicio posterior a fecha límite"&amp;" · ","")&amp;IF(AND($V84="Macro",$H84&lt;&gt;"",OR(NOT(ISNUMBER($H84)),$H84&lt;0,$H84&gt;1)),"Peso fuera de rango"&amp;" · ","")&amp;IF(AND($V84="Sub",$H84&lt;&gt;""),"Las subactividades no llevan peso (valen igual dentro de su macroactividad)"&amp;" · ","")&amp;IF(AND(N($W84)&gt;0,COUNT($I84:$L84)&gt;0),"Con subactividades: deje vacías las semanas (se calculan solas)"&amp;" · ","")&amp;IF((COUNTIF($I84:$L84,"&gt;1")+COUNTIF($I84:$L84,"&lt;0")+COUNTA($I84:$L84)-COUNT($I84:$L84))&gt;0,"Avance fuera de rango 0-100%"&amp;" · ","")&amp;IF(OR(AND($J84&lt;&gt;"",$J84&lt;$I84),AND($K84&lt;&gt;"",$K84&lt;MAX($I84:$J84)),AND($L84&lt;&gt;"",$L84&lt;MAX($I84:$K84))),"Avance semanal decreciente"&amp;" · ","")&amp;IF(AND(ISNUMBER($AN84),$AN84&lt;FechaRef,IF($V84="Sub",N($X84),N($M84))&lt;1),"Vencida"&amp;" · ","")&amp;IF(AND(ObsObligatoria="Sí",ISNUMBER($AN84),$AN84&lt;FechaRef,IF($V84="Sub",N($X84),N($M84))&lt;1,$Q84=""),"Vencida sin observación"&amp;" · ",""))="","✔ OK","⚠ "&amp;LEFT(IF($C84="","Falta el nombre de la actividad"&amp;" · ","")&amp;IF(AND($V84="Sub",N($U84)=0),"Subactividad sin macroactividad arriba"&amp;" · ","")&amp;IF($AM84="","Sin fecha de inicio"&amp;" · ","")&amp;IF($AN84="","Sin fecha límite"&amp;" · ","")&amp;IF(AND(LEFT($C84,11)="[Jefatura] ",N($AL84)=0),"No se encuentra en la hoja de la jefatura (elíjala de nuevo en la lista)"&amp;" · ","")&amp;IF(OR(AND($E84&lt;&gt;"",NOT(ISNUMBER($E84))),AND($F84&lt;&gt;"",NOT(ISNUMBER($F84))),AND($G84&lt;&gt;"",NOT(ISNUMBER($G84)))),"Fecha no válida"&amp;" · ","")&amp;IF(AND(ISNUMBER($AM84),ISNUMBER($AN84),$AM84&gt;$AN84),"Inicio posterior a fecha límite"&amp;" · ","")&amp;IF(AND($V84="Macro",$H84&lt;&gt;"",OR(NOT(ISNUMBER($H84)),$H84&lt;0,$H84&gt;1)),"Peso fuera de rango"&amp;" · ","")&amp;IF(AND($V84="Sub",$H84&lt;&gt;""),"Las subactividades no llevan peso (valen igual dentro de su macroactividad)"&amp;" · ","")&amp;IF(AND(N($W84)&gt;0,COUNT($I84:$L84)&gt;0),"Con subactividades: deje vacías las semanas (se calculan solas)"&amp;" · ","")&amp;IF((COUNTIF($I84:$L84,"&gt;1")+COUNTIF($I84:$L84,"&lt;0")+COUNTA($I84:$L84)-COUNT($I84:$L84))&gt;0,"Avance fuera de rango 0-100%"&amp;" · ","")&amp;IF(OR(AND($J84&lt;&gt;"",$J84&lt;$I84),AND($K84&lt;&gt;"",$K84&lt;MAX($I84:$J84)),AND($L84&lt;&gt;"",$L84&lt;MAX($I84:$K84))),"Avance semanal decreciente"&amp;" · ","")&amp;IF(AND(ISNUMBER($AN84),$AN84&lt;FechaRef,IF($V84="Sub",N($X84),N($M84))&lt;1),"Vencida"&amp;" · ","")&amp;IF(AND(ObsObligatoria="Sí",ISNUMBER($AN84),$AN84&lt;FechaRef,IF($V84="Sub",N($X84),N($M84))&lt;1,$Q84=""),"Vencida sin observación"&amp;" · ",""),LEN(IF($C84="","Falta el nombre de la actividad"&amp;" · ","")&amp;IF(AND($V84="Sub",N($U84)=0),"Subactividad sin macroactividad arriba"&amp;" · ","")&amp;IF($AM84="","Sin fecha de inicio"&amp;" · ","")&amp;IF($AN84="","Sin fecha límite"&amp;" · ","")&amp;IF(AND(LEFT($C84,11)="[Jefatura] ",N($AL84)=0),"No se encuentra en la hoja de la jefatura (elíjala de nuevo en la lista)"&amp;" · ","")&amp;IF(OR(AND($E84&lt;&gt;"",NOT(ISNUMBER($E84))),AND($F84&lt;&gt;"",NOT(ISNUMBER($F84))),AND($G84&lt;&gt;"",NOT(ISNUMBER($G84)))),"Fecha no válida"&amp;" · ","")&amp;IF(AND(ISNUMBER($AM84),ISNUMBER($AN84),$AM84&gt;$AN84),"Inicio posterior a fecha límite"&amp;" · ","")&amp;IF(AND($V84="Macro",$H84&lt;&gt;"",OR(NOT(ISNUMBER($H84)),$H84&lt;0,$H84&gt;1)),"Peso fuera de rango"&amp;" · ","")&amp;IF(AND($V84="Sub",$H84&lt;&gt;""),"Las subactividades no llevan peso (valen igual dentro de su macroactividad)"&amp;" · ","")&amp;IF(AND(N($W84)&gt;0,COUNT($I84:$L84)&gt;0),"Con subactividades: deje vacías las semanas (se calculan solas)"&amp;" · ","")&amp;IF((COUNTIF($I84:$L84,"&gt;1")+COUNTIF($I84:$L84,"&lt;0")+COUNTA($I84:$L84)-COUNT($I84:$L84))&gt;0,"Avance fuera de rango 0-100%"&amp;" · ","")&amp;IF(OR(AND($J84&lt;&gt;"",$J84&lt;$I84),AND($K84&lt;&gt;"",$K84&lt;MAX($I84:$J84)),AND($L84&lt;&gt;"",$L84&lt;MAX($I84:$K84))),"Avance semanal decreciente"&amp;" · ","")&amp;IF(AND(ISNUMBER($AN84),$AN84&lt;FechaRef,IF($V84="Sub",N($X84),N($M84))&lt;1),"Vencida"&amp;" · ","")&amp;IF(AND(ObsObligatoria="Sí",ISNUMBER($AN84),$AN84&lt;FechaRef,IF($V84="Sub",N($X84),N($M84))&lt;1,$Q84=""),"Vencida sin observación"&amp;" · ",""))-3)))</f>
        <v/>
      </c>
      <c r="S84" s="64">
        <f>IF(NOT((COUNTA($B84:$D84)+COUNTA($G84:$L84)+COUNTA($Q84))&gt;0),"",IF(AND($V84="Sub",N($U84)&gt;0),IF(ISNUMBER(INDEX($AM$5:$AM$1000,$U84-4)),DATE(YEAR(INDEX($AM$5:$AM$1000,$U84-4)),MONTH(INDEX($AM$5:$AM$1000,$U84-4)),1),IF(ISNUMBER(INDEX($AN$5:$AN$1000,$U84-4)),DATE(YEAR(INDEX($AN$5:$AN$1000,$U84-4)),MONTH(INDEX($AN$5:$AN$1000,$U84-4)),1),MesCiclo)),IF(ISNUMBER($AM84),DATE(YEAR($AM84),MONTH($AM84),1),IF(ISNUMBER($AN84),DATE(YEAR($AN84),MONTH($AN84),1),MesCiclo))))</f>
        <v/>
      </c>
      <c r="T84" s="62">
        <f>IF(OR($S84="",$S84&lt;&gt;MesCiclo,$V84&lt;&gt;"Macro"),"",COUNTIFS($S$5:$S84,MesCiclo,$V$5:$V84,"Macro"))</f>
        <v/>
      </c>
      <c r="U84" s="62">
        <f>IF($V84="","",IF($V84="Macro",ROW(),IFERROR(LOOKUP(2,1/($V$5:$V84="Macro"),ROW($V$5:$V84)),0)))</f>
        <v/>
      </c>
      <c r="V84" s="62">
        <f>IF(NOT((COUNTA($B84:$D84)+COUNTA($G84:$L84)+COUNTA($Q84))&gt;0),"",IF($B84="Subactividad","Sub","Macro"))</f>
        <v/>
      </c>
      <c r="W84" s="62">
        <f>IF($V84="Macro",COUNTIFS($U$5:$U$1000,ROW(),$V$5:$V$1000,"Sub"),"")</f>
        <v/>
      </c>
      <c r="X84" s="62">
        <f>IF($V84="","",IF(ISNUMBER($G84),1,IFERROR(LOOKUP(2,1/($I84:$L84&lt;&gt;""),$I84:$L84),0)))</f>
        <v/>
      </c>
      <c r="Y84" s="62">
        <f>IF($V84="","",IF(AND(ISNUMBER($G84),$G84&lt;=IF($S84=MesCiclo,InicioCiclo,$S84+MOD(2-WEEKDAY($S84),7))+6),1,IF(ISNUMBER($I84),$I84,0)))</f>
        <v/>
      </c>
      <c r="Z84" s="62">
        <f>IF($V84="","",IF(AND(ISNUMBER($G84),$G84&lt;=IF($S84=MesCiclo,InicioCiclo,$S84+MOD(2-WEEKDAY($S84),7))+13),1,IF(ISNUMBER($J84),$J84,$Y84)))</f>
        <v/>
      </c>
      <c r="AA84" s="62">
        <f>IF($V84="","",IF(AND(ISNUMBER($G84),$G84&lt;=IF($S84=MesCiclo,InicioCiclo,$S84+MOD(2-WEEKDAY($S84),7))+20),1,IF(ISNUMBER($K84),$K84,$Z84)))</f>
        <v/>
      </c>
      <c r="AB84" s="62">
        <f>IF($V84="","",IF(AND(ISNUMBER($G84),$G84&lt;=IF($S84=MesCiclo,InicioCiclo,$S84+MOD(2-WEEKDAY($S84),7))+27),1,IF(ISNUMBER($L84),$L84,$AA84)))</f>
        <v/>
      </c>
      <c r="AC84" s="62">
        <f>IF($V84="","",IF(AND(ISNUMBER($G84),$G84&lt;=IF($S84=MesCiclo,InicioCiclo,$S84+MOD(2-WEEKDAY($S84),7))+6),1,IF(N($W84)&gt;0,AVERAGEIFS($Y$5:$Y$1000,$U$5:$U$1000,ROW(),$V$5:$V$1000,"Sub"),$Y84)))</f>
        <v/>
      </c>
      <c r="AD84" s="62">
        <f>IF($V84="","",IF(AND(ISNUMBER($G84),$G84&lt;=IF($S84=MesCiclo,InicioCiclo,$S84+MOD(2-WEEKDAY($S84),7))+13),1,IF(N($W84)&gt;0,AVERAGEIFS($Z$5:$Z$1000,$U$5:$U$1000,ROW(),$V$5:$V$1000,"Sub"),$Z84)))</f>
        <v/>
      </c>
      <c r="AE84" s="62">
        <f>IF($V84="","",IF(AND(ISNUMBER($G84),$G84&lt;=IF($S84=MesCiclo,InicioCiclo,$S84+MOD(2-WEEKDAY($S84),7))+20),1,IF(N($W84)&gt;0,AVERAGEIFS($AA$5:$AA$1000,$U$5:$U$1000,ROW(),$V$5:$V$1000,"Sub"),$AA84)))</f>
        <v/>
      </c>
      <c r="AF84" s="62">
        <f>IF($V84="","",IF(AND(ISNUMBER($G84),$G84&lt;=IF($S84=MesCiclo,InicioCiclo,$S84+MOD(2-WEEKDAY($S84),7))+27),1,IF(N($W84)&gt;0,AVERAGEIFS($AB$5:$AB$1000,$U$5:$U$1000,ROW(),$V$5:$V$1000,"Sub"),$AB84)))</f>
        <v/>
      </c>
      <c r="AG84" s="62">
        <f>IF($V84&lt;&gt;"Macro","",IF(COUNTIFS($S$5:$S$1000,$S84,$V$5:$V$1000,"Macro",$H$5:$H$1000,"&gt;0")=0,1/COUNTIFS($S$5:$S$1000,$S84,$V$5:$V$1000,"Macro"),IF(AND(ISNUMBER($H84),N($H84)&gt;0),$H84,SUMIFS($H$5:$H$1000,$S$5:$S$1000,$S84,$V$5:$V$1000,"Macro")/COUNTIFS($S$5:$S$1000,$S84,$V$5:$V$1000,"Macro",$H$5:$H$1000,"&gt;0"))/(COUNTIFS($S$5:$S$1000,$S84,$V$5:$V$1000,"Macro")*SUMIFS($H$5:$H$1000,$S$5:$S$1000,$S84,$V$5:$V$1000,"Macro")/COUNTIFS($S$5:$S$1000,$S84,$V$5:$V$1000,"Macro",$H$5:$H$1000,"&gt;0"))))</f>
        <v/>
      </c>
      <c r="AH84" s="62">
        <f>IF(NOT(AND($D84&lt;&gt;"",$V84="Macro")),"",IFERROR(CHOOSE(MATCH($D84,ListaPuestos,0),MATCH("[Jefatura] "&amp;$C84,'Cronograma R. Operacional'!$C$5:$C$1000,0),MATCH("[Jefatura] "&amp;$C84,'Cronograma R. Normativo'!$C$5:$C$1000,0),MATCH("[Jefatura] "&amp;$C84,'Cronograma R. Financiero'!$C$5:$C$1000,0),MATCH("[Jefatura] "&amp;$C84,'Cronograma Asistente Técnico'!$C$5:$C$1000,0)),0))</f>
        <v/>
      </c>
      <c r="AI84" s="62">
        <f>IF(AND(AND($D84&lt;&gt;"",$V84="Macro"),$S84=MesCiclo),COUNTIFS($D$5:$D84,$D84,$S$5:$S84,MesCiclo,$V$5:$V84,"Macro"),"")</f>
        <v/>
      </c>
      <c r="AJ84" s="62">
        <f>IF($AI84="","",$D84&amp;"|"&amp;$AI84)</f>
        <v/>
      </c>
      <c r="AK84" s="62">
        <f>IF(AND($D84&lt;&gt;"",$V84="Macro"),$D84&amp;"|"&amp;$C84,"")</f>
        <v/>
      </c>
      <c r="AL84" s="62">
        <f>""</f>
        <v/>
      </c>
      <c r="AM84" s="62">
        <f>IF(N($AL84)&gt;0,INDEX(rIni_ADM,$AL84),IF(ISNUMBER($E84),$E84,""))</f>
        <v/>
      </c>
      <c r="AN84" s="62">
        <f>IF(N($AL84)&gt;0,INDEX(rLim_ADM,$AL84),IF(ISNUMBER($F84),$F84,""))</f>
        <v/>
      </c>
    </row>
    <row r="85">
      <c r="A85" s="56">
        <f>IF(NOT((COUNTA($B85:$D85)+COUNTA($G85:$L85)+COUNTA($Q85))&gt;0),"",IF($V85="Macro",COUNTIFS($V$5:$V85,"Macro",$S$5:$S85,$S85),IF(N($U85)=0,"?",COUNTIFS(INDEX($V$5:$V$1000,1):INDEX($V$5:$V$1000,$U85-4),"Macro",INDEX($S$5:$S$1000,1):INDEX($S$5:$S$1000,$U85-4),INDEX($S$5:$S$1000,$U85-4))&amp;"."&amp;COUNTIFS($U$5:$U85,$U85,$V$5:$V85,"Sub"))))</f>
        <v/>
      </c>
      <c r="B85" s="57" t="n"/>
      <c r="C85" s="58" t="n"/>
      <c r="D85" s="58" t="n"/>
      <c r="E85" s="59" t="n"/>
      <c r="F85" s="59" t="n"/>
      <c r="G85" s="59" t="n"/>
      <c r="H85" s="60" t="n"/>
      <c r="I85" s="60" t="n"/>
      <c r="J85" s="60" t="n"/>
      <c r="K85" s="60" t="n"/>
      <c r="L85" s="60" t="n"/>
      <c r="M85" s="61">
        <f>IF(NOT((COUNTA($B85:$D85)+COUNTA($G85:$L85)+COUNTA($Q85))&gt;0),"",IF(AND($D85&lt;&gt;"",$V85="Macro"),IF(N($AH85)&gt;0,N(CHOOSE(MATCH($D85,ListaPuestos,0),INDEX('Cronograma R. Operacional'!$M$5:$M$1000,$AH85),INDEX('Cronograma R. Normativo'!$M$5:$M$1000,$AH85),INDEX('Cronograma R. Financiero'!$M$5:$M$1000,$AH85),INDEX('Cronograma Asistente Técnico'!$M$5:$M$1000,$AH85))),0),IF(ISNUMBER($G85),1,IF(N($W85)&gt;0,AVERAGEIFS($X$5:$X$1000,$U$5:$U$1000,ROW(),$V$5:$V$1000,"Sub"),$X85))))</f>
        <v/>
      </c>
      <c r="N85" s="56">
        <f>IF(OR($M85="",$V85="Sub"),"",IF($M85&gt;=1,"Completado",IF($M85&gt;0,"En curso","Pendiente")))</f>
        <v/>
      </c>
      <c r="O85" s="56">
        <f>IF(NOT((COUNTA($B85:$D85)+COUNTA($G85:$L85)+COUNTA($Q85))&gt;0),"",IF(AND(AND($D85&lt;&gt;"",$V85="Macro"),N($AH85)&gt;0),CHOOSE(MATCH($D85,ListaPuestos,0),INDEX('Cronograma R. Operacional'!$O$5:$O$1000,$AH85),INDEX('Cronograma R. Normativo'!$O$5:$O$1000,$AH85),INDEX('Cronograma R. Financiero'!$O$5:$O$1000,$AH85),INDEX('Cronograma Asistente Técnico'!$O$5:$O$1000,$AH85))&amp;"",IF(ISNUMBER($G85),IF(AND(ISNUMBER($AN85),$G85&gt;$AN85),"Cumplida con "&amp;($G85-$AN85)&amp;IF($G85-$AN85=1," día"," días")&amp;" de retraso","Cumplida"),IF(N($M85)&gt;=1,"Cumplida",IF(NOT(ISNUMBER($AN85)),"Sin fecha límite",IF($AN85&lt;FechaRef,"Vencida hace "&amp;(FechaRef-$AN85)&amp;IF(FechaRef-$AN85=1," día"," días"),IF($AN85=FechaRef,"Vence hoy",IF($AN85-FechaRef&lt;=DiasAlerta,"Vence en "&amp;($AN85-FechaRef)&amp;IF($AN85-FechaRef=1," día"," días"),"En plazo"))))))))</f>
        <v/>
      </c>
      <c r="P85" s="62">
        <f>IF(NOT((COUNTA($B85:$D85)+COUNTA($G85:$L85)+COUNTA($Q85))&gt;0),"",IF($D85="","Propia",IF($V85&lt;&gt;"Macro","Solo se delegan macroactividades",IF(N($AH85)&gt;0,"✔ Recibida por "&amp;$D85,"⚠ "&amp;$D85&amp;" aún no la agrega"))))</f>
        <v/>
      </c>
      <c r="Q85" s="58" t="n"/>
      <c r="R85" s="63">
        <f>IF(NOT((COUNTA($B85:$D85)+COUNTA($G85:$L85)+COUNTA($Q85))&gt;0),"",IF((IF($C85="","Falta el nombre de la actividad"&amp;" · ","")&amp;IF(AND($V85="Sub",N($U85)=0),"Subactividad sin macroactividad arriba"&amp;" · ","")&amp;IF($AM85="","Sin fecha de inicio"&amp;" · ","")&amp;IF($AN85="","Sin fecha límite"&amp;" · ","")&amp;IF(AND(LEFT($C85,11)="[Jefatura] ",N($AL85)=0),"No se encuentra en la hoja de la jefatura (elíjala de nuevo en la lista)"&amp;" · ","")&amp;IF(OR(AND($E85&lt;&gt;"",NOT(ISNUMBER($E85))),AND($F85&lt;&gt;"",NOT(ISNUMBER($F85))),AND($G85&lt;&gt;"",NOT(ISNUMBER($G85)))),"Fecha no válida"&amp;" · ","")&amp;IF(AND(ISNUMBER($AM85),ISNUMBER($AN85),$AM85&gt;$AN85),"Inicio posterior a fecha límite"&amp;" · ","")&amp;IF(AND($V85="Macro",$H85&lt;&gt;"",OR(NOT(ISNUMBER($H85)),$H85&lt;0,$H85&gt;1)),"Peso fuera de rango"&amp;" · ","")&amp;IF(AND($V85="Sub",$H85&lt;&gt;""),"Las subactividades no llevan peso (valen igual dentro de su macroactividad)"&amp;" · ","")&amp;IF(AND(N($W85)&gt;0,COUNT($I85:$L85)&gt;0),"Con subactividades: deje vacías las semanas (se calculan solas)"&amp;" · ","")&amp;IF((COUNTIF($I85:$L85,"&gt;1")+COUNTIF($I85:$L85,"&lt;0")+COUNTA($I85:$L85)-COUNT($I85:$L85))&gt;0,"Avance fuera de rango 0-100%"&amp;" · ","")&amp;IF(OR(AND($J85&lt;&gt;"",$J85&lt;$I85),AND($K85&lt;&gt;"",$K85&lt;MAX($I85:$J85)),AND($L85&lt;&gt;"",$L85&lt;MAX($I85:$K85))),"Avance semanal decreciente"&amp;" · ","")&amp;IF(AND(ISNUMBER($AN85),$AN85&lt;FechaRef,IF($V85="Sub",N($X85),N($M85))&lt;1),"Vencida"&amp;" · ","")&amp;IF(AND(ObsObligatoria="Sí",ISNUMBER($AN85),$AN85&lt;FechaRef,IF($V85="Sub",N($X85),N($M85))&lt;1,$Q85=""),"Vencida sin observación"&amp;" · ",""))="","✔ OK","⚠ "&amp;LEFT(IF($C85="","Falta el nombre de la actividad"&amp;" · ","")&amp;IF(AND($V85="Sub",N($U85)=0),"Subactividad sin macroactividad arriba"&amp;" · ","")&amp;IF($AM85="","Sin fecha de inicio"&amp;" · ","")&amp;IF($AN85="","Sin fecha límite"&amp;" · ","")&amp;IF(AND(LEFT($C85,11)="[Jefatura] ",N($AL85)=0),"No se encuentra en la hoja de la jefatura (elíjala de nuevo en la lista)"&amp;" · ","")&amp;IF(OR(AND($E85&lt;&gt;"",NOT(ISNUMBER($E85))),AND($F85&lt;&gt;"",NOT(ISNUMBER($F85))),AND($G85&lt;&gt;"",NOT(ISNUMBER($G85)))),"Fecha no válida"&amp;" · ","")&amp;IF(AND(ISNUMBER($AM85),ISNUMBER($AN85),$AM85&gt;$AN85),"Inicio posterior a fecha límite"&amp;" · ","")&amp;IF(AND($V85="Macro",$H85&lt;&gt;"",OR(NOT(ISNUMBER($H85)),$H85&lt;0,$H85&gt;1)),"Peso fuera de rango"&amp;" · ","")&amp;IF(AND($V85="Sub",$H85&lt;&gt;""),"Las subactividades no llevan peso (valen igual dentro de su macroactividad)"&amp;" · ","")&amp;IF(AND(N($W85)&gt;0,COUNT($I85:$L85)&gt;0),"Con subactividades: deje vacías las semanas (se calculan solas)"&amp;" · ","")&amp;IF((COUNTIF($I85:$L85,"&gt;1")+COUNTIF($I85:$L85,"&lt;0")+COUNTA($I85:$L85)-COUNT($I85:$L85))&gt;0,"Avance fuera de rango 0-100%"&amp;" · ","")&amp;IF(OR(AND($J85&lt;&gt;"",$J85&lt;$I85),AND($K85&lt;&gt;"",$K85&lt;MAX($I85:$J85)),AND($L85&lt;&gt;"",$L85&lt;MAX($I85:$K85))),"Avance semanal decreciente"&amp;" · ","")&amp;IF(AND(ISNUMBER($AN85),$AN85&lt;FechaRef,IF($V85="Sub",N($X85),N($M85))&lt;1),"Vencida"&amp;" · ","")&amp;IF(AND(ObsObligatoria="Sí",ISNUMBER($AN85),$AN85&lt;FechaRef,IF($V85="Sub",N($X85),N($M85))&lt;1,$Q85=""),"Vencida sin observación"&amp;" · ",""),LEN(IF($C85="","Falta el nombre de la actividad"&amp;" · ","")&amp;IF(AND($V85="Sub",N($U85)=0),"Subactividad sin macroactividad arriba"&amp;" · ","")&amp;IF($AM85="","Sin fecha de inicio"&amp;" · ","")&amp;IF($AN85="","Sin fecha límite"&amp;" · ","")&amp;IF(AND(LEFT($C85,11)="[Jefatura] ",N($AL85)=0),"No se encuentra en la hoja de la jefatura (elíjala de nuevo en la lista)"&amp;" · ","")&amp;IF(OR(AND($E85&lt;&gt;"",NOT(ISNUMBER($E85))),AND($F85&lt;&gt;"",NOT(ISNUMBER($F85))),AND($G85&lt;&gt;"",NOT(ISNUMBER($G85)))),"Fecha no válida"&amp;" · ","")&amp;IF(AND(ISNUMBER($AM85),ISNUMBER($AN85),$AM85&gt;$AN85),"Inicio posterior a fecha límite"&amp;" · ","")&amp;IF(AND($V85="Macro",$H85&lt;&gt;"",OR(NOT(ISNUMBER($H85)),$H85&lt;0,$H85&gt;1)),"Peso fuera de rango"&amp;" · ","")&amp;IF(AND($V85="Sub",$H85&lt;&gt;""),"Las subactividades no llevan peso (valen igual dentro de su macroactividad)"&amp;" · ","")&amp;IF(AND(N($W85)&gt;0,COUNT($I85:$L85)&gt;0),"Con subactividades: deje vacías las semanas (se calculan solas)"&amp;" · ","")&amp;IF((COUNTIF($I85:$L85,"&gt;1")+COUNTIF($I85:$L85,"&lt;0")+COUNTA($I85:$L85)-COUNT($I85:$L85))&gt;0,"Avance fuera de rango 0-100%"&amp;" · ","")&amp;IF(OR(AND($J85&lt;&gt;"",$J85&lt;$I85),AND($K85&lt;&gt;"",$K85&lt;MAX($I85:$J85)),AND($L85&lt;&gt;"",$L85&lt;MAX($I85:$K85))),"Avance semanal decreciente"&amp;" · ","")&amp;IF(AND(ISNUMBER($AN85),$AN85&lt;FechaRef,IF($V85="Sub",N($X85),N($M85))&lt;1),"Vencida"&amp;" · ","")&amp;IF(AND(ObsObligatoria="Sí",ISNUMBER($AN85),$AN85&lt;FechaRef,IF($V85="Sub",N($X85),N($M85))&lt;1,$Q85=""),"Vencida sin observación"&amp;" · ",""))-3)))</f>
        <v/>
      </c>
      <c r="S85" s="64">
        <f>IF(NOT((COUNTA($B85:$D85)+COUNTA($G85:$L85)+COUNTA($Q85))&gt;0),"",IF(AND($V85="Sub",N($U85)&gt;0),IF(ISNUMBER(INDEX($AM$5:$AM$1000,$U85-4)),DATE(YEAR(INDEX($AM$5:$AM$1000,$U85-4)),MONTH(INDEX($AM$5:$AM$1000,$U85-4)),1),IF(ISNUMBER(INDEX($AN$5:$AN$1000,$U85-4)),DATE(YEAR(INDEX($AN$5:$AN$1000,$U85-4)),MONTH(INDEX($AN$5:$AN$1000,$U85-4)),1),MesCiclo)),IF(ISNUMBER($AM85),DATE(YEAR($AM85),MONTH($AM85),1),IF(ISNUMBER($AN85),DATE(YEAR($AN85),MONTH($AN85),1),MesCiclo))))</f>
        <v/>
      </c>
      <c r="T85" s="62">
        <f>IF(OR($S85="",$S85&lt;&gt;MesCiclo,$V85&lt;&gt;"Macro"),"",COUNTIFS($S$5:$S85,MesCiclo,$V$5:$V85,"Macro"))</f>
        <v/>
      </c>
      <c r="U85" s="62">
        <f>IF($V85="","",IF($V85="Macro",ROW(),IFERROR(LOOKUP(2,1/($V$5:$V85="Macro"),ROW($V$5:$V85)),0)))</f>
        <v/>
      </c>
      <c r="V85" s="62">
        <f>IF(NOT((COUNTA($B85:$D85)+COUNTA($G85:$L85)+COUNTA($Q85))&gt;0),"",IF($B85="Subactividad","Sub","Macro"))</f>
        <v/>
      </c>
      <c r="W85" s="62">
        <f>IF($V85="Macro",COUNTIFS($U$5:$U$1000,ROW(),$V$5:$V$1000,"Sub"),"")</f>
        <v/>
      </c>
      <c r="X85" s="62">
        <f>IF($V85="","",IF(ISNUMBER($G85),1,IFERROR(LOOKUP(2,1/($I85:$L85&lt;&gt;""),$I85:$L85),0)))</f>
        <v/>
      </c>
      <c r="Y85" s="62">
        <f>IF($V85="","",IF(AND(ISNUMBER($G85),$G85&lt;=IF($S85=MesCiclo,InicioCiclo,$S85+MOD(2-WEEKDAY($S85),7))+6),1,IF(ISNUMBER($I85),$I85,0)))</f>
        <v/>
      </c>
      <c r="Z85" s="62">
        <f>IF($V85="","",IF(AND(ISNUMBER($G85),$G85&lt;=IF($S85=MesCiclo,InicioCiclo,$S85+MOD(2-WEEKDAY($S85),7))+13),1,IF(ISNUMBER($J85),$J85,$Y85)))</f>
        <v/>
      </c>
      <c r="AA85" s="62">
        <f>IF($V85="","",IF(AND(ISNUMBER($G85),$G85&lt;=IF($S85=MesCiclo,InicioCiclo,$S85+MOD(2-WEEKDAY($S85),7))+20),1,IF(ISNUMBER($K85),$K85,$Z85)))</f>
        <v/>
      </c>
      <c r="AB85" s="62">
        <f>IF($V85="","",IF(AND(ISNUMBER($G85),$G85&lt;=IF($S85=MesCiclo,InicioCiclo,$S85+MOD(2-WEEKDAY($S85),7))+27),1,IF(ISNUMBER($L85),$L85,$AA85)))</f>
        <v/>
      </c>
      <c r="AC85" s="62">
        <f>IF($V85="","",IF(AND(ISNUMBER($G85),$G85&lt;=IF($S85=MesCiclo,InicioCiclo,$S85+MOD(2-WEEKDAY($S85),7))+6),1,IF(N($W85)&gt;0,AVERAGEIFS($Y$5:$Y$1000,$U$5:$U$1000,ROW(),$V$5:$V$1000,"Sub"),$Y85)))</f>
        <v/>
      </c>
      <c r="AD85" s="62">
        <f>IF($V85="","",IF(AND(ISNUMBER($G85),$G85&lt;=IF($S85=MesCiclo,InicioCiclo,$S85+MOD(2-WEEKDAY($S85),7))+13),1,IF(N($W85)&gt;0,AVERAGEIFS($Z$5:$Z$1000,$U$5:$U$1000,ROW(),$V$5:$V$1000,"Sub"),$Z85)))</f>
        <v/>
      </c>
      <c r="AE85" s="62">
        <f>IF($V85="","",IF(AND(ISNUMBER($G85),$G85&lt;=IF($S85=MesCiclo,InicioCiclo,$S85+MOD(2-WEEKDAY($S85),7))+20),1,IF(N($W85)&gt;0,AVERAGEIFS($AA$5:$AA$1000,$U$5:$U$1000,ROW(),$V$5:$V$1000,"Sub"),$AA85)))</f>
        <v/>
      </c>
      <c r="AF85" s="62">
        <f>IF($V85="","",IF(AND(ISNUMBER($G85),$G85&lt;=IF($S85=MesCiclo,InicioCiclo,$S85+MOD(2-WEEKDAY($S85),7))+27),1,IF(N($W85)&gt;0,AVERAGEIFS($AB$5:$AB$1000,$U$5:$U$1000,ROW(),$V$5:$V$1000,"Sub"),$AB85)))</f>
        <v/>
      </c>
      <c r="AG85" s="62">
        <f>IF($V85&lt;&gt;"Macro","",IF(COUNTIFS($S$5:$S$1000,$S85,$V$5:$V$1000,"Macro",$H$5:$H$1000,"&gt;0")=0,1/COUNTIFS($S$5:$S$1000,$S85,$V$5:$V$1000,"Macro"),IF(AND(ISNUMBER($H85),N($H85)&gt;0),$H85,SUMIFS($H$5:$H$1000,$S$5:$S$1000,$S85,$V$5:$V$1000,"Macro")/COUNTIFS($S$5:$S$1000,$S85,$V$5:$V$1000,"Macro",$H$5:$H$1000,"&gt;0"))/(COUNTIFS($S$5:$S$1000,$S85,$V$5:$V$1000,"Macro")*SUMIFS($H$5:$H$1000,$S$5:$S$1000,$S85,$V$5:$V$1000,"Macro")/COUNTIFS($S$5:$S$1000,$S85,$V$5:$V$1000,"Macro",$H$5:$H$1000,"&gt;0"))))</f>
        <v/>
      </c>
      <c r="AH85" s="62">
        <f>IF(NOT(AND($D85&lt;&gt;"",$V85="Macro")),"",IFERROR(CHOOSE(MATCH($D85,ListaPuestos,0),MATCH("[Jefatura] "&amp;$C85,'Cronograma R. Operacional'!$C$5:$C$1000,0),MATCH("[Jefatura] "&amp;$C85,'Cronograma R. Normativo'!$C$5:$C$1000,0),MATCH("[Jefatura] "&amp;$C85,'Cronograma R. Financiero'!$C$5:$C$1000,0),MATCH("[Jefatura] "&amp;$C85,'Cronograma Asistente Técnico'!$C$5:$C$1000,0)),0))</f>
        <v/>
      </c>
      <c r="AI85" s="62">
        <f>IF(AND(AND($D85&lt;&gt;"",$V85="Macro"),$S85=MesCiclo),COUNTIFS($D$5:$D85,$D85,$S$5:$S85,MesCiclo,$V$5:$V85,"Macro"),"")</f>
        <v/>
      </c>
      <c r="AJ85" s="62">
        <f>IF($AI85="","",$D85&amp;"|"&amp;$AI85)</f>
        <v/>
      </c>
      <c r="AK85" s="62">
        <f>IF(AND($D85&lt;&gt;"",$V85="Macro"),$D85&amp;"|"&amp;$C85,"")</f>
        <v/>
      </c>
      <c r="AL85" s="62">
        <f>""</f>
        <v/>
      </c>
      <c r="AM85" s="62">
        <f>IF(N($AL85)&gt;0,INDEX(rIni_ADM,$AL85),IF(ISNUMBER($E85),$E85,""))</f>
        <v/>
      </c>
      <c r="AN85" s="62">
        <f>IF(N($AL85)&gt;0,INDEX(rLim_ADM,$AL85),IF(ISNUMBER($F85),$F85,""))</f>
        <v/>
      </c>
    </row>
    <row r="86">
      <c r="A86" s="56">
        <f>IF(NOT((COUNTA($B86:$D86)+COUNTA($G86:$L86)+COUNTA($Q86))&gt;0),"",IF($V86="Macro",COUNTIFS($V$5:$V86,"Macro",$S$5:$S86,$S86),IF(N($U86)=0,"?",COUNTIFS(INDEX($V$5:$V$1000,1):INDEX($V$5:$V$1000,$U86-4),"Macro",INDEX($S$5:$S$1000,1):INDEX($S$5:$S$1000,$U86-4),INDEX($S$5:$S$1000,$U86-4))&amp;"."&amp;COUNTIFS($U$5:$U86,$U86,$V$5:$V86,"Sub"))))</f>
        <v/>
      </c>
      <c r="B86" s="57" t="n"/>
      <c r="C86" s="58" t="n"/>
      <c r="D86" s="58" t="n"/>
      <c r="E86" s="59" t="n"/>
      <c r="F86" s="59" t="n"/>
      <c r="G86" s="59" t="n"/>
      <c r="H86" s="60" t="n"/>
      <c r="I86" s="60" t="n"/>
      <c r="J86" s="60" t="n"/>
      <c r="K86" s="60" t="n"/>
      <c r="L86" s="60" t="n"/>
      <c r="M86" s="61">
        <f>IF(NOT((COUNTA($B86:$D86)+COUNTA($G86:$L86)+COUNTA($Q86))&gt;0),"",IF(AND($D86&lt;&gt;"",$V86="Macro"),IF(N($AH86)&gt;0,N(CHOOSE(MATCH($D86,ListaPuestos,0),INDEX('Cronograma R. Operacional'!$M$5:$M$1000,$AH86),INDEX('Cronograma R. Normativo'!$M$5:$M$1000,$AH86),INDEX('Cronograma R. Financiero'!$M$5:$M$1000,$AH86),INDEX('Cronograma Asistente Técnico'!$M$5:$M$1000,$AH86))),0),IF(ISNUMBER($G86),1,IF(N($W86)&gt;0,AVERAGEIFS($X$5:$X$1000,$U$5:$U$1000,ROW(),$V$5:$V$1000,"Sub"),$X86))))</f>
        <v/>
      </c>
      <c r="N86" s="56">
        <f>IF(OR($M86="",$V86="Sub"),"",IF($M86&gt;=1,"Completado",IF($M86&gt;0,"En curso","Pendiente")))</f>
        <v/>
      </c>
      <c r="O86" s="56">
        <f>IF(NOT((COUNTA($B86:$D86)+COUNTA($G86:$L86)+COUNTA($Q86))&gt;0),"",IF(AND(AND($D86&lt;&gt;"",$V86="Macro"),N($AH86)&gt;0),CHOOSE(MATCH($D86,ListaPuestos,0),INDEX('Cronograma R. Operacional'!$O$5:$O$1000,$AH86),INDEX('Cronograma R. Normativo'!$O$5:$O$1000,$AH86),INDEX('Cronograma R. Financiero'!$O$5:$O$1000,$AH86),INDEX('Cronograma Asistente Técnico'!$O$5:$O$1000,$AH86))&amp;"",IF(ISNUMBER($G86),IF(AND(ISNUMBER($AN86),$G86&gt;$AN86),"Cumplida con "&amp;($G86-$AN86)&amp;IF($G86-$AN86=1," día"," días")&amp;" de retraso","Cumplida"),IF(N($M86)&gt;=1,"Cumplida",IF(NOT(ISNUMBER($AN86)),"Sin fecha límite",IF($AN86&lt;FechaRef,"Vencida hace "&amp;(FechaRef-$AN86)&amp;IF(FechaRef-$AN86=1," día"," días"),IF($AN86=FechaRef,"Vence hoy",IF($AN86-FechaRef&lt;=DiasAlerta,"Vence en "&amp;($AN86-FechaRef)&amp;IF($AN86-FechaRef=1," día"," días"),"En plazo"))))))))</f>
        <v/>
      </c>
      <c r="P86" s="62">
        <f>IF(NOT((COUNTA($B86:$D86)+COUNTA($G86:$L86)+COUNTA($Q86))&gt;0),"",IF($D86="","Propia",IF($V86&lt;&gt;"Macro","Solo se delegan macroactividades",IF(N($AH86)&gt;0,"✔ Recibida por "&amp;$D86,"⚠ "&amp;$D86&amp;" aún no la agrega"))))</f>
        <v/>
      </c>
      <c r="Q86" s="58" t="n"/>
      <c r="R86" s="63">
        <f>IF(NOT((COUNTA($B86:$D86)+COUNTA($G86:$L86)+COUNTA($Q86))&gt;0),"",IF((IF($C86="","Falta el nombre de la actividad"&amp;" · ","")&amp;IF(AND($V86="Sub",N($U86)=0),"Subactividad sin macroactividad arriba"&amp;" · ","")&amp;IF($AM86="","Sin fecha de inicio"&amp;" · ","")&amp;IF($AN86="","Sin fecha límite"&amp;" · ","")&amp;IF(AND(LEFT($C86,11)="[Jefatura] ",N($AL86)=0),"No se encuentra en la hoja de la jefatura (elíjala de nuevo en la lista)"&amp;" · ","")&amp;IF(OR(AND($E86&lt;&gt;"",NOT(ISNUMBER($E86))),AND($F86&lt;&gt;"",NOT(ISNUMBER($F86))),AND($G86&lt;&gt;"",NOT(ISNUMBER($G86)))),"Fecha no válida"&amp;" · ","")&amp;IF(AND(ISNUMBER($AM86),ISNUMBER($AN86),$AM86&gt;$AN86),"Inicio posterior a fecha límite"&amp;" · ","")&amp;IF(AND($V86="Macro",$H86&lt;&gt;"",OR(NOT(ISNUMBER($H86)),$H86&lt;0,$H86&gt;1)),"Peso fuera de rango"&amp;" · ","")&amp;IF(AND($V86="Sub",$H86&lt;&gt;""),"Las subactividades no llevan peso (valen igual dentro de su macroactividad)"&amp;" · ","")&amp;IF(AND(N($W86)&gt;0,COUNT($I86:$L86)&gt;0),"Con subactividades: deje vacías las semanas (se calculan solas)"&amp;" · ","")&amp;IF((COUNTIF($I86:$L86,"&gt;1")+COUNTIF($I86:$L86,"&lt;0")+COUNTA($I86:$L86)-COUNT($I86:$L86))&gt;0,"Avance fuera de rango 0-100%"&amp;" · ","")&amp;IF(OR(AND($J86&lt;&gt;"",$J86&lt;$I86),AND($K86&lt;&gt;"",$K86&lt;MAX($I86:$J86)),AND($L86&lt;&gt;"",$L86&lt;MAX($I86:$K86))),"Avance semanal decreciente"&amp;" · ","")&amp;IF(AND(ISNUMBER($AN86),$AN86&lt;FechaRef,IF($V86="Sub",N($X86),N($M86))&lt;1),"Vencida"&amp;" · ","")&amp;IF(AND(ObsObligatoria="Sí",ISNUMBER($AN86),$AN86&lt;FechaRef,IF($V86="Sub",N($X86),N($M86))&lt;1,$Q86=""),"Vencida sin observación"&amp;" · ",""))="","✔ OK","⚠ "&amp;LEFT(IF($C86="","Falta el nombre de la actividad"&amp;" · ","")&amp;IF(AND($V86="Sub",N($U86)=0),"Subactividad sin macroactividad arriba"&amp;" · ","")&amp;IF($AM86="","Sin fecha de inicio"&amp;" · ","")&amp;IF($AN86="","Sin fecha límite"&amp;" · ","")&amp;IF(AND(LEFT($C86,11)="[Jefatura] ",N($AL86)=0),"No se encuentra en la hoja de la jefatura (elíjala de nuevo en la lista)"&amp;" · ","")&amp;IF(OR(AND($E86&lt;&gt;"",NOT(ISNUMBER($E86))),AND($F86&lt;&gt;"",NOT(ISNUMBER($F86))),AND($G86&lt;&gt;"",NOT(ISNUMBER($G86)))),"Fecha no válida"&amp;" · ","")&amp;IF(AND(ISNUMBER($AM86),ISNUMBER($AN86),$AM86&gt;$AN86),"Inicio posterior a fecha límite"&amp;" · ","")&amp;IF(AND($V86="Macro",$H86&lt;&gt;"",OR(NOT(ISNUMBER($H86)),$H86&lt;0,$H86&gt;1)),"Peso fuera de rango"&amp;" · ","")&amp;IF(AND($V86="Sub",$H86&lt;&gt;""),"Las subactividades no llevan peso (valen igual dentro de su macroactividad)"&amp;" · ","")&amp;IF(AND(N($W86)&gt;0,COUNT($I86:$L86)&gt;0),"Con subactividades: deje vacías las semanas (se calculan solas)"&amp;" · ","")&amp;IF((COUNTIF($I86:$L86,"&gt;1")+COUNTIF($I86:$L86,"&lt;0")+COUNTA($I86:$L86)-COUNT($I86:$L86))&gt;0,"Avance fuera de rango 0-100%"&amp;" · ","")&amp;IF(OR(AND($J86&lt;&gt;"",$J86&lt;$I86),AND($K86&lt;&gt;"",$K86&lt;MAX($I86:$J86)),AND($L86&lt;&gt;"",$L86&lt;MAX($I86:$K86))),"Avance semanal decreciente"&amp;" · ","")&amp;IF(AND(ISNUMBER($AN86),$AN86&lt;FechaRef,IF($V86="Sub",N($X86),N($M86))&lt;1),"Vencida"&amp;" · ","")&amp;IF(AND(ObsObligatoria="Sí",ISNUMBER($AN86),$AN86&lt;FechaRef,IF($V86="Sub",N($X86),N($M86))&lt;1,$Q86=""),"Vencida sin observación"&amp;" · ",""),LEN(IF($C86="","Falta el nombre de la actividad"&amp;" · ","")&amp;IF(AND($V86="Sub",N($U86)=0),"Subactividad sin macroactividad arriba"&amp;" · ","")&amp;IF($AM86="","Sin fecha de inicio"&amp;" · ","")&amp;IF($AN86="","Sin fecha límite"&amp;" · ","")&amp;IF(AND(LEFT($C86,11)="[Jefatura] ",N($AL86)=0),"No se encuentra en la hoja de la jefatura (elíjala de nuevo en la lista)"&amp;" · ","")&amp;IF(OR(AND($E86&lt;&gt;"",NOT(ISNUMBER($E86))),AND($F86&lt;&gt;"",NOT(ISNUMBER($F86))),AND($G86&lt;&gt;"",NOT(ISNUMBER($G86)))),"Fecha no válida"&amp;" · ","")&amp;IF(AND(ISNUMBER($AM86),ISNUMBER($AN86),$AM86&gt;$AN86),"Inicio posterior a fecha límite"&amp;" · ","")&amp;IF(AND($V86="Macro",$H86&lt;&gt;"",OR(NOT(ISNUMBER($H86)),$H86&lt;0,$H86&gt;1)),"Peso fuera de rango"&amp;" · ","")&amp;IF(AND($V86="Sub",$H86&lt;&gt;""),"Las subactividades no llevan peso (valen igual dentro de su macroactividad)"&amp;" · ","")&amp;IF(AND(N($W86)&gt;0,COUNT($I86:$L86)&gt;0),"Con subactividades: deje vacías las semanas (se calculan solas)"&amp;" · ","")&amp;IF((COUNTIF($I86:$L86,"&gt;1")+COUNTIF($I86:$L86,"&lt;0")+COUNTA($I86:$L86)-COUNT($I86:$L86))&gt;0,"Avance fuera de rango 0-100%"&amp;" · ","")&amp;IF(OR(AND($J86&lt;&gt;"",$J86&lt;$I86),AND($K86&lt;&gt;"",$K86&lt;MAX($I86:$J86)),AND($L86&lt;&gt;"",$L86&lt;MAX($I86:$K86))),"Avance semanal decreciente"&amp;" · ","")&amp;IF(AND(ISNUMBER($AN86),$AN86&lt;FechaRef,IF($V86="Sub",N($X86),N($M86))&lt;1),"Vencida"&amp;" · ","")&amp;IF(AND(ObsObligatoria="Sí",ISNUMBER($AN86),$AN86&lt;FechaRef,IF($V86="Sub",N($X86),N($M86))&lt;1,$Q86=""),"Vencida sin observación"&amp;" · ",""))-3)))</f>
        <v/>
      </c>
      <c r="S86" s="64">
        <f>IF(NOT((COUNTA($B86:$D86)+COUNTA($G86:$L86)+COUNTA($Q86))&gt;0),"",IF(AND($V86="Sub",N($U86)&gt;0),IF(ISNUMBER(INDEX($AM$5:$AM$1000,$U86-4)),DATE(YEAR(INDEX($AM$5:$AM$1000,$U86-4)),MONTH(INDEX($AM$5:$AM$1000,$U86-4)),1),IF(ISNUMBER(INDEX($AN$5:$AN$1000,$U86-4)),DATE(YEAR(INDEX($AN$5:$AN$1000,$U86-4)),MONTH(INDEX($AN$5:$AN$1000,$U86-4)),1),MesCiclo)),IF(ISNUMBER($AM86),DATE(YEAR($AM86),MONTH($AM86),1),IF(ISNUMBER($AN86),DATE(YEAR($AN86),MONTH($AN86),1),MesCiclo))))</f>
        <v/>
      </c>
      <c r="T86" s="62">
        <f>IF(OR($S86="",$S86&lt;&gt;MesCiclo,$V86&lt;&gt;"Macro"),"",COUNTIFS($S$5:$S86,MesCiclo,$V$5:$V86,"Macro"))</f>
        <v/>
      </c>
      <c r="U86" s="62">
        <f>IF($V86="","",IF($V86="Macro",ROW(),IFERROR(LOOKUP(2,1/($V$5:$V86="Macro"),ROW($V$5:$V86)),0)))</f>
        <v/>
      </c>
      <c r="V86" s="62">
        <f>IF(NOT((COUNTA($B86:$D86)+COUNTA($G86:$L86)+COUNTA($Q86))&gt;0),"",IF($B86="Subactividad","Sub","Macro"))</f>
        <v/>
      </c>
      <c r="W86" s="62">
        <f>IF($V86="Macro",COUNTIFS($U$5:$U$1000,ROW(),$V$5:$V$1000,"Sub"),"")</f>
        <v/>
      </c>
      <c r="X86" s="62">
        <f>IF($V86="","",IF(ISNUMBER($G86),1,IFERROR(LOOKUP(2,1/($I86:$L86&lt;&gt;""),$I86:$L86),0)))</f>
        <v/>
      </c>
      <c r="Y86" s="62">
        <f>IF($V86="","",IF(AND(ISNUMBER($G86),$G86&lt;=IF($S86=MesCiclo,InicioCiclo,$S86+MOD(2-WEEKDAY($S86),7))+6),1,IF(ISNUMBER($I86),$I86,0)))</f>
        <v/>
      </c>
      <c r="Z86" s="62">
        <f>IF($V86="","",IF(AND(ISNUMBER($G86),$G86&lt;=IF($S86=MesCiclo,InicioCiclo,$S86+MOD(2-WEEKDAY($S86),7))+13),1,IF(ISNUMBER($J86),$J86,$Y86)))</f>
        <v/>
      </c>
      <c r="AA86" s="62">
        <f>IF($V86="","",IF(AND(ISNUMBER($G86),$G86&lt;=IF($S86=MesCiclo,InicioCiclo,$S86+MOD(2-WEEKDAY($S86),7))+20),1,IF(ISNUMBER($K86),$K86,$Z86)))</f>
        <v/>
      </c>
      <c r="AB86" s="62">
        <f>IF($V86="","",IF(AND(ISNUMBER($G86),$G86&lt;=IF($S86=MesCiclo,InicioCiclo,$S86+MOD(2-WEEKDAY($S86),7))+27),1,IF(ISNUMBER($L86),$L86,$AA86)))</f>
        <v/>
      </c>
      <c r="AC86" s="62">
        <f>IF($V86="","",IF(AND(ISNUMBER($G86),$G86&lt;=IF($S86=MesCiclo,InicioCiclo,$S86+MOD(2-WEEKDAY($S86),7))+6),1,IF(N($W86)&gt;0,AVERAGEIFS($Y$5:$Y$1000,$U$5:$U$1000,ROW(),$V$5:$V$1000,"Sub"),$Y86)))</f>
        <v/>
      </c>
      <c r="AD86" s="62">
        <f>IF($V86="","",IF(AND(ISNUMBER($G86),$G86&lt;=IF($S86=MesCiclo,InicioCiclo,$S86+MOD(2-WEEKDAY($S86),7))+13),1,IF(N($W86)&gt;0,AVERAGEIFS($Z$5:$Z$1000,$U$5:$U$1000,ROW(),$V$5:$V$1000,"Sub"),$Z86)))</f>
        <v/>
      </c>
      <c r="AE86" s="62">
        <f>IF($V86="","",IF(AND(ISNUMBER($G86),$G86&lt;=IF($S86=MesCiclo,InicioCiclo,$S86+MOD(2-WEEKDAY($S86),7))+20),1,IF(N($W86)&gt;0,AVERAGEIFS($AA$5:$AA$1000,$U$5:$U$1000,ROW(),$V$5:$V$1000,"Sub"),$AA86)))</f>
        <v/>
      </c>
      <c r="AF86" s="62">
        <f>IF($V86="","",IF(AND(ISNUMBER($G86),$G86&lt;=IF($S86=MesCiclo,InicioCiclo,$S86+MOD(2-WEEKDAY($S86),7))+27),1,IF(N($W86)&gt;0,AVERAGEIFS($AB$5:$AB$1000,$U$5:$U$1000,ROW(),$V$5:$V$1000,"Sub"),$AB86)))</f>
        <v/>
      </c>
      <c r="AG86" s="62">
        <f>IF($V86&lt;&gt;"Macro","",IF(COUNTIFS($S$5:$S$1000,$S86,$V$5:$V$1000,"Macro",$H$5:$H$1000,"&gt;0")=0,1/COUNTIFS($S$5:$S$1000,$S86,$V$5:$V$1000,"Macro"),IF(AND(ISNUMBER($H86),N($H86)&gt;0),$H86,SUMIFS($H$5:$H$1000,$S$5:$S$1000,$S86,$V$5:$V$1000,"Macro")/COUNTIFS($S$5:$S$1000,$S86,$V$5:$V$1000,"Macro",$H$5:$H$1000,"&gt;0"))/(COUNTIFS($S$5:$S$1000,$S86,$V$5:$V$1000,"Macro")*SUMIFS($H$5:$H$1000,$S$5:$S$1000,$S86,$V$5:$V$1000,"Macro")/COUNTIFS($S$5:$S$1000,$S86,$V$5:$V$1000,"Macro",$H$5:$H$1000,"&gt;0"))))</f>
        <v/>
      </c>
      <c r="AH86" s="62">
        <f>IF(NOT(AND($D86&lt;&gt;"",$V86="Macro")),"",IFERROR(CHOOSE(MATCH($D86,ListaPuestos,0),MATCH("[Jefatura] "&amp;$C86,'Cronograma R. Operacional'!$C$5:$C$1000,0),MATCH("[Jefatura] "&amp;$C86,'Cronograma R. Normativo'!$C$5:$C$1000,0),MATCH("[Jefatura] "&amp;$C86,'Cronograma R. Financiero'!$C$5:$C$1000,0),MATCH("[Jefatura] "&amp;$C86,'Cronograma Asistente Técnico'!$C$5:$C$1000,0)),0))</f>
        <v/>
      </c>
      <c r="AI86" s="62">
        <f>IF(AND(AND($D86&lt;&gt;"",$V86="Macro"),$S86=MesCiclo),COUNTIFS($D$5:$D86,$D86,$S$5:$S86,MesCiclo,$V$5:$V86,"Macro"),"")</f>
        <v/>
      </c>
      <c r="AJ86" s="62">
        <f>IF($AI86="","",$D86&amp;"|"&amp;$AI86)</f>
        <v/>
      </c>
      <c r="AK86" s="62">
        <f>IF(AND($D86&lt;&gt;"",$V86="Macro"),$D86&amp;"|"&amp;$C86,"")</f>
        <v/>
      </c>
      <c r="AL86" s="62">
        <f>""</f>
        <v/>
      </c>
      <c r="AM86" s="62">
        <f>IF(N($AL86)&gt;0,INDEX(rIni_ADM,$AL86),IF(ISNUMBER($E86),$E86,""))</f>
        <v/>
      </c>
      <c r="AN86" s="62">
        <f>IF(N($AL86)&gt;0,INDEX(rLim_ADM,$AL86),IF(ISNUMBER($F86),$F86,""))</f>
        <v/>
      </c>
    </row>
    <row r="87">
      <c r="A87" s="56">
        <f>IF(NOT((COUNTA($B87:$D87)+COUNTA($G87:$L87)+COUNTA($Q87))&gt;0),"",IF($V87="Macro",COUNTIFS($V$5:$V87,"Macro",$S$5:$S87,$S87),IF(N($U87)=0,"?",COUNTIFS(INDEX($V$5:$V$1000,1):INDEX($V$5:$V$1000,$U87-4),"Macro",INDEX($S$5:$S$1000,1):INDEX($S$5:$S$1000,$U87-4),INDEX($S$5:$S$1000,$U87-4))&amp;"."&amp;COUNTIFS($U$5:$U87,$U87,$V$5:$V87,"Sub"))))</f>
        <v/>
      </c>
      <c r="B87" s="57" t="n"/>
      <c r="C87" s="58" t="n"/>
      <c r="D87" s="58" t="n"/>
      <c r="E87" s="59" t="n"/>
      <c r="F87" s="59" t="n"/>
      <c r="G87" s="59" t="n"/>
      <c r="H87" s="60" t="n"/>
      <c r="I87" s="60" t="n"/>
      <c r="J87" s="60" t="n"/>
      <c r="K87" s="60" t="n"/>
      <c r="L87" s="60" t="n"/>
      <c r="M87" s="61">
        <f>IF(NOT((COUNTA($B87:$D87)+COUNTA($G87:$L87)+COUNTA($Q87))&gt;0),"",IF(AND($D87&lt;&gt;"",$V87="Macro"),IF(N($AH87)&gt;0,N(CHOOSE(MATCH($D87,ListaPuestos,0),INDEX('Cronograma R. Operacional'!$M$5:$M$1000,$AH87),INDEX('Cronograma R. Normativo'!$M$5:$M$1000,$AH87),INDEX('Cronograma R. Financiero'!$M$5:$M$1000,$AH87),INDEX('Cronograma Asistente Técnico'!$M$5:$M$1000,$AH87))),0),IF(ISNUMBER($G87),1,IF(N($W87)&gt;0,AVERAGEIFS($X$5:$X$1000,$U$5:$U$1000,ROW(),$V$5:$V$1000,"Sub"),$X87))))</f>
        <v/>
      </c>
      <c r="N87" s="56">
        <f>IF(OR($M87="",$V87="Sub"),"",IF($M87&gt;=1,"Completado",IF($M87&gt;0,"En curso","Pendiente")))</f>
        <v/>
      </c>
      <c r="O87" s="56">
        <f>IF(NOT((COUNTA($B87:$D87)+COUNTA($G87:$L87)+COUNTA($Q87))&gt;0),"",IF(AND(AND($D87&lt;&gt;"",$V87="Macro"),N($AH87)&gt;0),CHOOSE(MATCH($D87,ListaPuestos,0),INDEX('Cronograma R. Operacional'!$O$5:$O$1000,$AH87),INDEX('Cronograma R. Normativo'!$O$5:$O$1000,$AH87),INDEX('Cronograma R. Financiero'!$O$5:$O$1000,$AH87),INDEX('Cronograma Asistente Técnico'!$O$5:$O$1000,$AH87))&amp;"",IF(ISNUMBER($G87),IF(AND(ISNUMBER($AN87),$G87&gt;$AN87),"Cumplida con "&amp;($G87-$AN87)&amp;IF($G87-$AN87=1," día"," días")&amp;" de retraso","Cumplida"),IF(N($M87)&gt;=1,"Cumplida",IF(NOT(ISNUMBER($AN87)),"Sin fecha límite",IF($AN87&lt;FechaRef,"Vencida hace "&amp;(FechaRef-$AN87)&amp;IF(FechaRef-$AN87=1," día"," días"),IF($AN87=FechaRef,"Vence hoy",IF($AN87-FechaRef&lt;=DiasAlerta,"Vence en "&amp;($AN87-FechaRef)&amp;IF($AN87-FechaRef=1," día"," días"),"En plazo"))))))))</f>
        <v/>
      </c>
      <c r="P87" s="62">
        <f>IF(NOT((COUNTA($B87:$D87)+COUNTA($G87:$L87)+COUNTA($Q87))&gt;0),"",IF($D87="","Propia",IF($V87&lt;&gt;"Macro","Solo se delegan macroactividades",IF(N($AH87)&gt;0,"✔ Recibida por "&amp;$D87,"⚠ "&amp;$D87&amp;" aún no la agrega"))))</f>
        <v/>
      </c>
      <c r="Q87" s="58" t="n"/>
      <c r="R87" s="63">
        <f>IF(NOT((COUNTA($B87:$D87)+COUNTA($G87:$L87)+COUNTA($Q87))&gt;0),"",IF((IF($C87="","Falta el nombre de la actividad"&amp;" · ","")&amp;IF(AND($V87="Sub",N($U87)=0),"Subactividad sin macroactividad arriba"&amp;" · ","")&amp;IF($AM87="","Sin fecha de inicio"&amp;" · ","")&amp;IF($AN87="","Sin fecha límite"&amp;" · ","")&amp;IF(AND(LEFT($C87,11)="[Jefatura] ",N($AL87)=0),"No se encuentra en la hoja de la jefatura (elíjala de nuevo en la lista)"&amp;" · ","")&amp;IF(OR(AND($E87&lt;&gt;"",NOT(ISNUMBER($E87))),AND($F87&lt;&gt;"",NOT(ISNUMBER($F87))),AND($G87&lt;&gt;"",NOT(ISNUMBER($G87)))),"Fecha no válida"&amp;" · ","")&amp;IF(AND(ISNUMBER($AM87),ISNUMBER($AN87),$AM87&gt;$AN87),"Inicio posterior a fecha límite"&amp;" · ","")&amp;IF(AND($V87="Macro",$H87&lt;&gt;"",OR(NOT(ISNUMBER($H87)),$H87&lt;0,$H87&gt;1)),"Peso fuera de rango"&amp;" · ","")&amp;IF(AND($V87="Sub",$H87&lt;&gt;""),"Las subactividades no llevan peso (valen igual dentro de su macroactividad)"&amp;" · ","")&amp;IF(AND(N($W87)&gt;0,COUNT($I87:$L87)&gt;0),"Con subactividades: deje vacías las semanas (se calculan solas)"&amp;" · ","")&amp;IF((COUNTIF($I87:$L87,"&gt;1")+COUNTIF($I87:$L87,"&lt;0")+COUNTA($I87:$L87)-COUNT($I87:$L87))&gt;0,"Avance fuera de rango 0-100%"&amp;" · ","")&amp;IF(OR(AND($J87&lt;&gt;"",$J87&lt;$I87),AND($K87&lt;&gt;"",$K87&lt;MAX($I87:$J87)),AND($L87&lt;&gt;"",$L87&lt;MAX($I87:$K87))),"Avance semanal decreciente"&amp;" · ","")&amp;IF(AND(ISNUMBER($AN87),$AN87&lt;FechaRef,IF($V87="Sub",N($X87),N($M87))&lt;1),"Vencida"&amp;" · ","")&amp;IF(AND(ObsObligatoria="Sí",ISNUMBER($AN87),$AN87&lt;FechaRef,IF($V87="Sub",N($X87),N($M87))&lt;1,$Q87=""),"Vencida sin observación"&amp;" · ",""))="","✔ OK","⚠ "&amp;LEFT(IF($C87="","Falta el nombre de la actividad"&amp;" · ","")&amp;IF(AND($V87="Sub",N($U87)=0),"Subactividad sin macroactividad arriba"&amp;" · ","")&amp;IF($AM87="","Sin fecha de inicio"&amp;" · ","")&amp;IF($AN87="","Sin fecha límite"&amp;" · ","")&amp;IF(AND(LEFT($C87,11)="[Jefatura] ",N($AL87)=0),"No se encuentra en la hoja de la jefatura (elíjala de nuevo en la lista)"&amp;" · ","")&amp;IF(OR(AND($E87&lt;&gt;"",NOT(ISNUMBER($E87))),AND($F87&lt;&gt;"",NOT(ISNUMBER($F87))),AND($G87&lt;&gt;"",NOT(ISNUMBER($G87)))),"Fecha no válida"&amp;" · ","")&amp;IF(AND(ISNUMBER($AM87),ISNUMBER($AN87),$AM87&gt;$AN87),"Inicio posterior a fecha límite"&amp;" · ","")&amp;IF(AND($V87="Macro",$H87&lt;&gt;"",OR(NOT(ISNUMBER($H87)),$H87&lt;0,$H87&gt;1)),"Peso fuera de rango"&amp;" · ","")&amp;IF(AND($V87="Sub",$H87&lt;&gt;""),"Las subactividades no llevan peso (valen igual dentro de su macroactividad)"&amp;" · ","")&amp;IF(AND(N($W87)&gt;0,COUNT($I87:$L87)&gt;0),"Con subactividades: deje vacías las semanas (se calculan solas)"&amp;" · ","")&amp;IF((COUNTIF($I87:$L87,"&gt;1")+COUNTIF($I87:$L87,"&lt;0")+COUNTA($I87:$L87)-COUNT($I87:$L87))&gt;0,"Avance fuera de rango 0-100%"&amp;" · ","")&amp;IF(OR(AND($J87&lt;&gt;"",$J87&lt;$I87),AND($K87&lt;&gt;"",$K87&lt;MAX($I87:$J87)),AND($L87&lt;&gt;"",$L87&lt;MAX($I87:$K87))),"Avance semanal decreciente"&amp;" · ","")&amp;IF(AND(ISNUMBER($AN87),$AN87&lt;FechaRef,IF($V87="Sub",N($X87),N($M87))&lt;1),"Vencida"&amp;" · ","")&amp;IF(AND(ObsObligatoria="Sí",ISNUMBER($AN87),$AN87&lt;FechaRef,IF($V87="Sub",N($X87),N($M87))&lt;1,$Q87=""),"Vencida sin observación"&amp;" · ",""),LEN(IF($C87="","Falta el nombre de la actividad"&amp;" · ","")&amp;IF(AND($V87="Sub",N($U87)=0),"Subactividad sin macroactividad arriba"&amp;" · ","")&amp;IF($AM87="","Sin fecha de inicio"&amp;" · ","")&amp;IF($AN87="","Sin fecha límite"&amp;" · ","")&amp;IF(AND(LEFT($C87,11)="[Jefatura] ",N($AL87)=0),"No se encuentra en la hoja de la jefatura (elíjala de nuevo en la lista)"&amp;" · ","")&amp;IF(OR(AND($E87&lt;&gt;"",NOT(ISNUMBER($E87))),AND($F87&lt;&gt;"",NOT(ISNUMBER($F87))),AND($G87&lt;&gt;"",NOT(ISNUMBER($G87)))),"Fecha no válida"&amp;" · ","")&amp;IF(AND(ISNUMBER($AM87),ISNUMBER($AN87),$AM87&gt;$AN87),"Inicio posterior a fecha límite"&amp;" · ","")&amp;IF(AND($V87="Macro",$H87&lt;&gt;"",OR(NOT(ISNUMBER($H87)),$H87&lt;0,$H87&gt;1)),"Peso fuera de rango"&amp;" · ","")&amp;IF(AND($V87="Sub",$H87&lt;&gt;""),"Las subactividades no llevan peso (valen igual dentro de su macroactividad)"&amp;" · ","")&amp;IF(AND(N($W87)&gt;0,COUNT($I87:$L87)&gt;0),"Con subactividades: deje vacías las semanas (se calculan solas)"&amp;" · ","")&amp;IF((COUNTIF($I87:$L87,"&gt;1")+COUNTIF($I87:$L87,"&lt;0")+COUNTA($I87:$L87)-COUNT($I87:$L87))&gt;0,"Avance fuera de rango 0-100%"&amp;" · ","")&amp;IF(OR(AND($J87&lt;&gt;"",$J87&lt;$I87),AND($K87&lt;&gt;"",$K87&lt;MAX($I87:$J87)),AND($L87&lt;&gt;"",$L87&lt;MAX($I87:$K87))),"Avance semanal decreciente"&amp;" · ","")&amp;IF(AND(ISNUMBER($AN87),$AN87&lt;FechaRef,IF($V87="Sub",N($X87),N($M87))&lt;1),"Vencida"&amp;" · ","")&amp;IF(AND(ObsObligatoria="Sí",ISNUMBER($AN87),$AN87&lt;FechaRef,IF($V87="Sub",N($X87),N($M87))&lt;1,$Q87=""),"Vencida sin observación"&amp;" · ",""))-3)))</f>
        <v/>
      </c>
      <c r="S87" s="64">
        <f>IF(NOT((COUNTA($B87:$D87)+COUNTA($G87:$L87)+COUNTA($Q87))&gt;0),"",IF(AND($V87="Sub",N($U87)&gt;0),IF(ISNUMBER(INDEX($AM$5:$AM$1000,$U87-4)),DATE(YEAR(INDEX($AM$5:$AM$1000,$U87-4)),MONTH(INDEX($AM$5:$AM$1000,$U87-4)),1),IF(ISNUMBER(INDEX($AN$5:$AN$1000,$U87-4)),DATE(YEAR(INDEX($AN$5:$AN$1000,$U87-4)),MONTH(INDEX($AN$5:$AN$1000,$U87-4)),1),MesCiclo)),IF(ISNUMBER($AM87),DATE(YEAR($AM87),MONTH($AM87),1),IF(ISNUMBER($AN87),DATE(YEAR($AN87),MONTH($AN87),1),MesCiclo))))</f>
        <v/>
      </c>
      <c r="T87" s="62">
        <f>IF(OR($S87="",$S87&lt;&gt;MesCiclo,$V87&lt;&gt;"Macro"),"",COUNTIFS($S$5:$S87,MesCiclo,$V$5:$V87,"Macro"))</f>
        <v/>
      </c>
      <c r="U87" s="62">
        <f>IF($V87="","",IF($V87="Macro",ROW(),IFERROR(LOOKUP(2,1/($V$5:$V87="Macro"),ROW($V$5:$V87)),0)))</f>
        <v/>
      </c>
      <c r="V87" s="62">
        <f>IF(NOT((COUNTA($B87:$D87)+COUNTA($G87:$L87)+COUNTA($Q87))&gt;0),"",IF($B87="Subactividad","Sub","Macro"))</f>
        <v/>
      </c>
      <c r="W87" s="62">
        <f>IF($V87="Macro",COUNTIFS($U$5:$U$1000,ROW(),$V$5:$V$1000,"Sub"),"")</f>
        <v/>
      </c>
      <c r="X87" s="62">
        <f>IF($V87="","",IF(ISNUMBER($G87),1,IFERROR(LOOKUP(2,1/($I87:$L87&lt;&gt;""),$I87:$L87),0)))</f>
        <v/>
      </c>
      <c r="Y87" s="62">
        <f>IF($V87="","",IF(AND(ISNUMBER($G87),$G87&lt;=IF($S87=MesCiclo,InicioCiclo,$S87+MOD(2-WEEKDAY($S87),7))+6),1,IF(ISNUMBER($I87),$I87,0)))</f>
        <v/>
      </c>
      <c r="Z87" s="62">
        <f>IF($V87="","",IF(AND(ISNUMBER($G87),$G87&lt;=IF($S87=MesCiclo,InicioCiclo,$S87+MOD(2-WEEKDAY($S87),7))+13),1,IF(ISNUMBER($J87),$J87,$Y87)))</f>
        <v/>
      </c>
      <c r="AA87" s="62">
        <f>IF($V87="","",IF(AND(ISNUMBER($G87),$G87&lt;=IF($S87=MesCiclo,InicioCiclo,$S87+MOD(2-WEEKDAY($S87),7))+20),1,IF(ISNUMBER($K87),$K87,$Z87)))</f>
        <v/>
      </c>
      <c r="AB87" s="62">
        <f>IF($V87="","",IF(AND(ISNUMBER($G87),$G87&lt;=IF($S87=MesCiclo,InicioCiclo,$S87+MOD(2-WEEKDAY($S87),7))+27),1,IF(ISNUMBER($L87),$L87,$AA87)))</f>
        <v/>
      </c>
      <c r="AC87" s="62">
        <f>IF($V87="","",IF(AND(ISNUMBER($G87),$G87&lt;=IF($S87=MesCiclo,InicioCiclo,$S87+MOD(2-WEEKDAY($S87),7))+6),1,IF(N($W87)&gt;0,AVERAGEIFS($Y$5:$Y$1000,$U$5:$U$1000,ROW(),$V$5:$V$1000,"Sub"),$Y87)))</f>
        <v/>
      </c>
      <c r="AD87" s="62">
        <f>IF($V87="","",IF(AND(ISNUMBER($G87),$G87&lt;=IF($S87=MesCiclo,InicioCiclo,$S87+MOD(2-WEEKDAY($S87),7))+13),1,IF(N($W87)&gt;0,AVERAGEIFS($Z$5:$Z$1000,$U$5:$U$1000,ROW(),$V$5:$V$1000,"Sub"),$Z87)))</f>
        <v/>
      </c>
      <c r="AE87" s="62">
        <f>IF($V87="","",IF(AND(ISNUMBER($G87),$G87&lt;=IF($S87=MesCiclo,InicioCiclo,$S87+MOD(2-WEEKDAY($S87),7))+20),1,IF(N($W87)&gt;0,AVERAGEIFS($AA$5:$AA$1000,$U$5:$U$1000,ROW(),$V$5:$V$1000,"Sub"),$AA87)))</f>
        <v/>
      </c>
      <c r="AF87" s="62">
        <f>IF($V87="","",IF(AND(ISNUMBER($G87),$G87&lt;=IF($S87=MesCiclo,InicioCiclo,$S87+MOD(2-WEEKDAY($S87),7))+27),1,IF(N($W87)&gt;0,AVERAGEIFS($AB$5:$AB$1000,$U$5:$U$1000,ROW(),$V$5:$V$1000,"Sub"),$AB87)))</f>
        <v/>
      </c>
      <c r="AG87" s="62">
        <f>IF($V87&lt;&gt;"Macro","",IF(COUNTIFS($S$5:$S$1000,$S87,$V$5:$V$1000,"Macro",$H$5:$H$1000,"&gt;0")=0,1/COUNTIFS($S$5:$S$1000,$S87,$V$5:$V$1000,"Macro"),IF(AND(ISNUMBER($H87),N($H87)&gt;0),$H87,SUMIFS($H$5:$H$1000,$S$5:$S$1000,$S87,$V$5:$V$1000,"Macro")/COUNTIFS($S$5:$S$1000,$S87,$V$5:$V$1000,"Macro",$H$5:$H$1000,"&gt;0"))/(COUNTIFS($S$5:$S$1000,$S87,$V$5:$V$1000,"Macro")*SUMIFS($H$5:$H$1000,$S$5:$S$1000,$S87,$V$5:$V$1000,"Macro")/COUNTIFS($S$5:$S$1000,$S87,$V$5:$V$1000,"Macro",$H$5:$H$1000,"&gt;0"))))</f>
        <v/>
      </c>
      <c r="AH87" s="62">
        <f>IF(NOT(AND($D87&lt;&gt;"",$V87="Macro")),"",IFERROR(CHOOSE(MATCH($D87,ListaPuestos,0),MATCH("[Jefatura] "&amp;$C87,'Cronograma R. Operacional'!$C$5:$C$1000,0),MATCH("[Jefatura] "&amp;$C87,'Cronograma R. Normativo'!$C$5:$C$1000,0),MATCH("[Jefatura] "&amp;$C87,'Cronograma R. Financiero'!$C$5:$C$1000,0),MATCH("[Jefatura] "&amp;$C87,'Cronograma Asistente Técnico'!$C$5:$C$1000,0)),0))</f>
        <v/>
      </c>
      <c r="AI87" s="62">
        <f>IF(AND(AND($D87&lt;&gt;"",$V87="Macro"),$S87=MesCiclo),COUNTIFS($D$5:$D87,$D87,$S$5:$S87,MesCiclo,$V$5:$V87,"Macro"),"")</f>
        <v/>
      </c>
      <c r="AJ87" s="62">
        <f>IF($AI87="","",$D87&amp;"|"&amp;$AI87)</f>
        <v/>
      </c>
      <c r="AK87" s="62">
        <f>IF(AND($D87&lt;&gt;"",$V87="Macro"),$D87&amp;"|"&amp;$C87,"")</f>
        <v/>
      </c>
      <c r="AL87" s="62">
        <f>""</f>
        <v/>
      </c>
      <c r="AM87" s="62">
        <f>IF(N($AL87)&gt;0,INDEX(rIni_ADM,$AL87),IF(ISNUMBER($E87),$E87,""))</f>
        <v/>
      </c>
      <c r="AN87" s="62">
        <f>IF(N($AL87)&gt;0,INDEX(rLim_ADM,$AL87),IF(ISNUMBER($F87),$F87,""))</f>
        <v/>
      </c>
    </row>
    <row r="88">
      <c r="A88" s="56">
        <f>IF(NOT((COUNTA($B88:$D88)+COUNTA($G88:$L88)+COUNTA($Q88))&gt;0),"",IF($V88="Macro",COUNTIFS($V$5:$V88,"Macro",$S$5:$S88,$S88),IF(N($U88)=0,"?",COUNTIFS(INDEX($V$5:$V$1000,1):INDEX($V$5:$V$1000,$U88-4),"Macro",INDEX($S$5:$S$1000,1):INDEX($S$5:$S$1000,$U88-4),INDEX($S$5:$S$1000,$U88-4))&amp;"."&amp;COUNTIFS($U$5:$U88,$U88,$V$5:$V88,"Sub"))))</f>
        <v/>
      </c>
      <c r="B88" s="57" t="n"/>
      <c r="C88" s="58" t="n"/>
      <c r="D88" s="58" t="n"/>
      <c r="E88" s="59" t="n"/>
      <c r="F88" s="59" t="n"/>
      <c r="G88" s="59" t="n"/>
      <c r="H88" s="60" t="n"/>
      <c r="I88" s="60" t="n"/>
      <c r="J88" s="60" t="n"/>
      <c r="K88" s="60" t="n"/>
      <c r="L88" s="60" t="n"/>
      <c r="M88" s="61">
        <f>IF(NOT((COUNTA($B88:$D88)+COUNTA($G88:$L88)+COUNTA($Q88))&gt;0),"",IF(AND($D88&lt;&gt;"",$V88="Macro"),IF(N($AH88)&gt;0,N(CHOOSE(MATCH($D88,ListaPuestos,0),INDEX('Cronograma R. Operacional'!$M$5:$M$1000,$AH88),INDEX('Cronograma R. Normativo'!$M$5:$M$1000,$AH88),INDEX('Cronograma R. Financiero'!$M$5:$M$1000,$AH88),INDEX('Cronograma Asistente Técnico'!$M$5:$M$1000,$AH88))),0),IF(ISNUMBER($G88),1,IF(N($W88)&gt;0,AVERAGEIFS($X$5:$X$1000,$U$5:$U$1000,ROW(),$V$5:$V$1000,"Sub"),$X88))))</f>
        <v/>
      </c>
      <c r="N88" s="56">
        <f>IF(OR($M88="",$V88="Sub"),"",IF($M88&gt;=1,"Completado",IF($M88&gt;0,"En curso","Pendiente")))</f>
        <v/>
      </c>
      <c r="O88" s="56">
        <f>IF(NOT((COUNTA($B88:$D88)+COUNTA($G88:$L88)+COUNTA($Q88))&gt;0),"",IF(AND(AND($D88&lt;&gt;"",$V88="Macro"),N($AH88)&gt;0),CHOOSE(MATCH($D88,ListaPuestos,0),INDEX('Cronograma R. Operacional'!$O$5:$O$1000,$AH88),INDEX('Cronograma R. Normativo'!$O$5:$O$1000,$AH88),INDEX('Cronograma R. Financiero'!$O$5:$O$1000,$AH88),INDEX('Cronograma Asistente Técnico'!$O$5:$O$1000,$AH88))&amp;"",IF(ISNUMBER($G88),IF(AND(ISNUMBER($AN88),$G88&gt;$AN88),"Cumplida con "&amp;($G88-$AN88)&amp;IF($G88-$AN88=1," día"," días")&amp;" de retraso","Cumplida"),IF(N($M88)&gt;=1,"Cumplida",IF(NOT(ISNUMBER($AN88)),"Sin fecha límite",IF($AN88&lt;FechaRef,"Vencida hace "&amp;(FechaRef-$AN88)&amp;IF(FechaRef-$AN88=1," día"," días"),IF($AN88=FechaRef,"Vence hoy",IF($AN88-FechaRef&lt;=DiasAlerta,"Vence en "&amp;($AN88-FechaRef)&amp;IF($AN88-FechaRef=1," día"," días"),"En plazo"))))))))</f>
        <v/>
      </c>
      <c r="P88" s="62">
        <f>IF(NOT((COUNTA($B88:$D88)+COUNTA($G88:$L88)+COUNTA($Q88))&gt;0),"",IF($D88="","Propia",IF($V88&lt;&gt;"Macro","Solo se delegan macroactividades",IF(N($AH88)&gt;0,"✔ Recibida por "&amp;$D88,"⚠ "&amp;$D88&amp;" aún no la agrega"))))</f>
        <v/>
      </c>
      <c r="Q88" s="58" t="n"/>
      <c r="R88" s="63">
        <f>IF(NOT((COUNTA($B88:$D88)+COUNTA($G88:$L88)+COUNTA($Q88))&gt;0),"",IF((IF($C88="","Falta el nombre de la actividad"&amp;" · ","")&amp;IF(AND($V88="Sub",N($U88)=0),"Subactividad sin macroactividad arriba"&amp;" · ","")&amp;IF($AM88="","Sin fecha de inicio"&amp;" · ","")&amp;IF($AN88="","Sin fecha límite"&amp;" · ","")&amp;IF(AND(LEFT($C88,11)="[Jefatura] ",N($AL88)=0),"No se encuentra en la hoja de la jefatura (elíjala de nuevo en la lista)"&amp;" · ","")&amp;IF(OR(AND($E88&lt;&gt;"",NOT(ISNUMBER($E88))),AND($F88&lt;&gt;"",NOT(ISNUMBER($F88))),AND($G88&lt;&gt;"",NOT(ISNUMBER($G88)))),"Fecha no válida"&amp;" · ","")&amp;IF(AND(ISNUMBER($AM88),ISNUMBER($AN88),$AM88&gt;$AN88),"Inicio posterior a fecha límite"&amp;" · ","")&amp;IF(AND($V88="Macro",$H88&lt;&gt;"",OR(NOT(ISNUMBER($H88)),$H88&lt;0,$H88&gt;1)),"Peso fuera de rango"&amp;" · ","")&amp;IF(AND($V88="Sub",$H88&lt;&gt;""),"Las subactividades no llevan peso (valen igual dentro de su macroactividad)"&amp;" · ","")&amp;IF(AND(N($W88)&gt;0,COUNT($I88:$L88)&gt;0),"Con subactividades: deje vacías las semanas (se calculan solas)"&amp;" · ","")&amp;IF((COUNTIF($I88:$L88,"&gt;1")+COUNTIF($I88:$L88,"&lt;0")+COUNTA($I88:$L88)-COUNT($I88:$L88))&gt;0,"Avance fuera de rango 0-100%"&amp;" · ","")&amp;IF(OR(AND($J88&lt;&gt;"",$J88&lt;$I88),AND($K88&lt;&gt;"",$K88&lt;MAX($I88:$J88)),AND($L88&lt;&gt;"",$L88&lt;MAX($I88:$K88))),"Avance semanal decreciente"&amp;" · ","")&amp;IF(AND(ISNUMBER($AN88),$AN88&lt;FechaRef,IF($V88="Sub",N($X88),N($M88))&lt;1),"Vencida"&amp;" · ","")&amp;IF(AND(ObsObligatoria="Sí",ISNUMBER($AN88),$AN88&lt;FechaRef,IF($V88="Sub",N($X88),N($M88))&lt;1,$Q88=""),"Vencida sin observación"&amp;" · ",""))="","✔ OK","⚠ "&amp;LEFT(IF($C88="","Falta el nombre de la actividad"&amp;" · ","")&amp;IF(AND($V88="Sub",N($U88)=0),"Subactividad sin macroactividad arriba"&amp;" · ","")&amp;IF($AM88="","Sin fecha de inicio"&amp;" · ","")&amp;IF($AN88="","Sin fecha límite"&amp;" · ","")&amp;IF(AND(LEFT($C88,11)="[Jefatura] ",N($AL88)=0),"No se encuentra en la hoja de la jefatura (elíjala de nuevo en la lista)"&amp;" · ","")&amp;IF(OR(AND($E88&lt;&gt;"",NOT(ISNUMBER($E88))),AND($F88&lt;&gt;"",NOT(ISNUMBER($F88))),AND($G88&lt;&gt;"",NOT(ISNUMBER($G88)))),"Fecha no válida"&amp;" · ","")&amp;IF(AND(ISNUMBER($AM88),ISNUMBER($AN88),$AM88&gt;$AN88),"Inicio posterior a fecha límite"&amp;" · ","")&amp;IF(AND($V88="Macro",$H88&lt;&gt;"",OR(NOT(ISNUMBER($H88)),$H88&lt;0,$H88&gt;1)),"Peso fuera de rango"&amp;" · ","")&amp;IF(AND($V88="Sub",$H88&lt;&gt;""),"Las subactividades no llevan peso (valen igual dentro de su macroactividad)"&amp;" · ","")&amp;IF(AND(N($W88)&gt;0,COUNT($I88:$L88)&gt;0),"Con subactividades: deje vacías las semanas (se calculan solas)"&amp;" · ","")&amp;IF((COUNTIF($I88:$L88,"&gt;1")+COUNTIF($I88:$L88,"&lt;0")+COUNTA($I88:$L88)-COUNT($I88:$L88))&gt;0,"Avance fuera de rango 0-100%"&amp;" · ","")&amp;IF(OR(AND($J88&lt;&gt;"",$J88&lt;$I88),AND($K88&lt;&gt;"",$K88&lt;MAX($I88:$J88)),AND($L88&lt;&gt;"",$L88&lt;MAX($I88:$K88))),"Avance semanal decreciente"&amp;" · ","")&amp;IF(AND(ISNUMBER($AN88),$AN88&lt;FechaRef,IF($V88="Sub",N($X88),N($M88))&lt;1),"Vencida"&amp;" · ","")&amp;IF(AND(ObsObligatoria="Sí",ISNUMBER($AN88),$AN88&lt;FechaRef,IF($V88="Sub",N($X88),N($M88))&lt;1,$Q88=""),"Vencida sin observación"&amp;" · ",""),LEN(IF($C88="","Falta el nombre de la actividad"&amp;" · ","")&amp;IF(AND($V88="Sub",N($U88)=0),"Subactividad sin macroactividad arriba"&amp;" · ","")&amp;IF($AM88="","Sin fecha de inicio"&amp;" · ","")&amp;IF($AN88="","Sin fecha límite"&amp;" · ","")&amp;IF(AND(LEFT($C88,11)="[Jefatura] ",N($AL88)=0),"No se encuentra en la hoja de la jefatura (elíjala de nuevo en la lista)"&amp;" · ","")&amp;IF(OR(AND($E88&lt;&gt;"",NOT(ISNUMBER($E88))),AND($F88&lt;&gt;"",NOT(ISNUMBER($F88))),AND($G88&lt;&gt;"",NOT(ISNUMBER($G88)))),"Fecha no válida"&amp;" · ","")&amp;IF(AND(ISNUMBER($AM88),ISNUMBER($AN88),$AM88&gt;$AN88),"Inicio posterior a fecha límite"&amp;" · ","")&amp;IF(AND($V88="Macro",$H88&lt;&gt;"",OR(NOT(ISNUMBER($H88)),$H88&lt;0,$H88&gt;1)),"Peso fuera de rango"&amp;" · ","")&amp;IF(AND($V88="Sub",$H88&lt;&gt;""),"Las subactividades no llevan peso (valen igual dentro de su macroactividad)"&amp;" · ","")&amp;IF(AND(N($W88)&gt;0,COUNT($I88:$L88)&gt;0),"Con subactividades: deje vacías las semanas (se calculan solas)"&amp;" · ","")&amp;IF((COUNTIF($I88:$L88,"&gt;1")+COUNTIF($I88:$L88,"&lt;0")+COUNTA($I88:$L88)-COUNT($I88:$L88))&gt;0,"Avance fuera de rango 0-100%"&amp;" · ","")&amp;IF(OR(AND($J88&lt;&gt;"",$J88&lt;$I88),AND($K88&lt;&gt;"",$K88&lt;MAX($I88:$J88)),AND($L88&lt;&gt;"",$L88&lt;MAX($I88:$K88))),"Avance semanal decreciente"&amp;" · ","")&amp;IF(AND(ISNUMBER($AN88),$AN88&lt;FechaRef,IF($V88="Sub",N($X88),N($M88))&lt;1),"Vencida"&amp;" · ","")&amp;IF(AND(ObsObligatoria="Sí",ISNUMBER($AN88),$AN88&lt;FechaRef,IF($V88="Sub",N($X88),N($M88))&lt;1,$Q88=""),"Vencida sin observación"&amp;" · ",""))-3)))</f>
        <v/>
      </c>
      <c r="S88" s="64">
        <f>IF(NOT((COUNTA($B88:$D88)+COUNTA($G88:$L88)+COUNTA($Q88))&gt;0),"",IF(AND($V88="Sub",N($U88)&gt;0),IF(ISNUMBER(INDEX($AM$5:$AM$1000,$U88-4)),DATE(YEAR(INDEX($AM$5:$AM$1000,$U88-4)),MONTH(INDEX($AM$5:$AM$1000,$U88-4)),1),IF(ISNUMBER(INDEX($AN$5:$AN$1000,$U88-4)),DATE(YEAR(INDEX($AN$5:$AN$1000,$U88-4)),MONTH(INDEX($AN$5:$AN$1000,$U88-4)),1),MesCiclo)),IF(ISNUMBER($AM88),DATE(YEAR($AM88),MONTH($AM88),1),IF(ISNUMBER($AN88),DATE(YEAR($AN88),MONTH($AN88),1),MesCiclo))))</f>
        <v/>
      </c>
      <c r="T88" s="62">
        <f>IF(OR($S88="",$S88&lt;&gt;MesCiclo,$V88&lt;&gt;"Macro"),"",COUNTIFS($S$5:$S88,MesCiclo,$V$5:$V88,"Macro"))</f>
        <v/>
      </c>
      <c r="U88" s="62">
        <f>IF($V88="","",IF($V88="Macro",ROW(),IFERROR(LOOKUP(2,1/($V$5:$V88="Macro"),ROW($V$5:$V88)),0)))</f>
        <v/>
      </c>
      <c r="V88" s="62">
        <f>IF(NOT((COUNTA($B88:$D88)+COUNTA($G88:$L88)+COUNTA($Q88))&gt;0),"",IF($B88="Subactividad","Sub","Macro"))</f>
        <v/>
      </c>
      <c r="W88" s="62">
        <f>IF($V88="Macro",COUNTIFS($U$5:$U$1000,ROW(),$V$5:$V$1000,"Sub"),"")</f>
        <v/>
      </c>
      <c r="X88" s="62">
        <f>IF($V88="","",IF(ISNUMBER($G88),1,IFERROR(LOOKUP(2,1/($I88:$L88&lt;&gt;""),$I88:$L88),0)))</f>
        <v/>
      </c>
      <c r="Y88" s="62">
        <f>IF($V88="","",IF(AND(ISNUMBER($G88),$G88&lt;=IF($S88=MesCiclo,InicioCiclo,$S88+MOD(2-WEEKDAY($S88),7))+6),1,IF(ISNUMBER($I88),$I88,0)))</f>
        <v/>
      </c>
      <c r="Z88" s="62">
        <f>IF($V88="","",IF(AND(ISNUMBER($G88),$G88&lt;=IF($S88=MesCiclo,InicioCiclo,$S88+MOD(2-WEEKDAY($S88),7))+13),1,IF(ISNUMBER($J88),$J88,$Y88)))</f>
        <v/>
      </c>
      <c r="AA88" s="62">
        <f>IF($V88="","",IF(AND(ISNUMBER($G88),$G88&lt;=IF($S88=MesCiclo,InicioCiclo,$S88+MOD(2-WEEKDAY($S88),7))+20),1,IF(ISNUMBER($K88),$K88,$Z88)))</f>
        <v/>
      </c>
      <c r="AB88" s="62">
        <f>IF($V88="","",IF(AND(ISNUMBER($G88),$G88&lt;=IF($S88=MesCiclo,InicioCiclo,$S88+MOD(2-WEEKDAY($S88),7))+27),1,IF(ISNUMBER($L88),$L88,$AA88)))</f>
        <v/>
      </c>
      <c r="AC88" s="62">
        <f>IF($V88="","",IF(AND(ISNUMBER($G88),$G88&lt;=IF($S88=MesCiclo,InicioCiclo,$S88+MOD(2-WEEKDAY($S88),7))+6),1,IF(N($W88)&gt;0,AVERAGEIFS($Y$5:$Y$1000,$U$5:$U$1000,ROW(),$V$5:$V$1000,"Sub"),$Y88)))</f>
        <v/>
      </c>
      <c r="AD88" s="62">
        <f>IF($V88="","",IF(AND(ISNUMBER($G88),$G88&lt;=IF($S88=MesCiclo,InicioCiclo,$S88+MOD(2-WEEKDAY($S88),7))+13),1,IF(N($W88)&gt;0,AVERAGEIFS($Z$5:$Z$1000,$U$5:$U$1000,ROW(),$V$5:$V$1000,"Sub"),$Z88)))</f>
        <v/>
      </c>
      <c r="AE88" s="62">
        <f>IF($V88="","",IF(AND(ISNUMBER($G88),$G88&lt;=IF($S88=MesCiclo,InicioCiclo,$S88+MOD(2-WEEKDAY($S88),7))+20),1,IF(N($W88)&gt;0,AVERAGEIFS($AA$5:$AA$1000,$U$5:$U$1000,ROW(),$V$5:$V$1000,"Sub"),$AA88)))</f>
        <v/>
      </c>
      <c r="AF88" s="62">
        <f>IF($V88="","",IF(AND(ISNUMBER($G88),$G88&lt;=IF($S88=MesCiclo,InicioCiclo,$S88+MOD(2-WEEKDAY($S88),7))+27),1,IF(N($W88)&gt;0,AVERAGEIFS($AB$5:$AB$1000,$U$5:$U$1000,ROW(),$V$5:$V$1000,"Sub"),$AB88)))</f>
        <v/>
      </c>
      <c r="AG88" s="62">
        <f>IF($V88&lt;&gt;"Macro","",IF(COUNTIFS($S$5:$S$1000,$S88,$V$5:$V$1000,"Macro",$H$5:$H$1000,"&gt;0")=0,1/COUNTIFS($S$5:$S$1000,$S88,$V$5:$V$1000,"Macro"),IF(AND(ISNUMBER($H88),N($H88)&gt;0),$H88,SUMIFS($H$5:$H$1000,$S$5:$S$1000,$S88,$V$5:$V$1000,"Macro")/COUNTIFS($S$5:$S$1000,$S88,$V$5:$V$1000,"Macro",$H$5:$H$1000,"&gt;0"))/(COUNTIFS($S$5:$S$1000,$S88,$V$5:$V$1000,"Macro")*SUMIFS($H$5:$H$1000,$S$5:$S$1000,$S88,$V$5:$V$1000,"Macro")/COUNTIFS($S$5:$S$1000,$S88,$V$5:$V$1000,"Macro",$H$5:$H$1000,"&gt;0"))))</f>
        <v/>
      </c>
      <c r="AH88" s="62">
        <f>IF(NOT(AND($D88&lt;&gt;"",$V88="Macro")),"",IFERROR(CHOOSE(MATCH($D88,ListaPuestos,0),MATCH("[Jefatura] "&amp;$C88,'Cronograma R. Operacional'!$C$5:$C$1000,0),MATCH("[Jefatura] "&amp;$C88,'Cronograma R. Normativo'!$C$5:$C$1000,0),MATCH("[Jefatura] "&amp;$C88,'Cronograma R. Financiero'!$C$5:$C$1000,0),MATCH("[Jefatura] "&amp;$C88,'Cronograma Asistente Técnico'!$C$5:$C$1000,0)),0))</f>
        <v/>
      </c>
      <c r="AI88" s="62">
        <f>IF(AND(AND($D88&lt;&gt;"",$V88="Macro"),$S88=MesCiclo),COUNTIFS($D$5:$D88,$D88,$S$5:$S88,MesCiclo,$V$5:$V88,"Macro"),"")</f>
        <v/>
      </c>
      <c r="AJ88" s="62">
        <f>IF($AI88="","",$D88&amp;"|"&amp;$AI88)</f>
        <v/>
      </c>
      <c r="AK88" s="62">
        <f>IF(AND($D88&lt;&gt;"",$V88="Macro"),$D88&amp;"|"&amp;$C88,"")</f>
        <v/>
      </c>
      <c r="AL88" s="62">
        <f>""</f>
        <v/>
      </c>
      <c r="AM88" s="62">
        <f>IF(N($AL88)&gt;0,INDEX(rIni_ADM,$AL88),IF(ISNUMBER($E88),$E88,""))</f>
        <v/>
      </c>
      <c r="AN88" s="62">
        <f>IF(N($AL88)&gt;0,INDEX(rLim_ADM,$AL88),IF(ISNUMBER($F88),$F88,""))</f>
        <v/>
      </c>
    </row>
    <row r="89">
      <c r="A89" s="56">
        <f>IF(NOT((COUNTA($B89:$D89)+COUNTA($G89:$L89)+COUNTA($Q89))&gt;0),"",IF($V89="Macro",COUNTIFS($V$5:$V89,"Macro",$S$5:$S89,$S89),IF(N($U89)=0,"?",COUNTIFS(INDEX($V$5:$V$1000,1):INDEX($V$5:$V$1000,$U89-4),"Macro",INDEX($S$5:$S$1000,1):INDEX($S$5:$S$1000,$U89-4),INDEX($S$5:$S$1000,$U89-4))&amp;"."&amp;COUNTIFS($U$5:$U89,$U89,$V$5:$V89,"Sub"))))</f>
        <v/>
      </c>
      <c r="B89" s="57" t="n"/>
      <c r="C89" s="58" t="n"/>
      <c r="D89" s="58" t="n"/>
      <c r="E89" s="59" t="n"/>
      <c r="F89" s="59" t="n"/>
      <c r="G89" s="59" t="n"/>
      <c r="H89" s="60" t="n"/>
      <c r="I89" s="60" t="n"/>
      <c r="J89" s="60" t="n"/>
      <c r="K89" s="60" t="n"/>
      <c r="L89" s="60" t="n"/>
      <c r="M89" s="61">
        <f>IF(NOT((COUNTA($B89:$D89)+COUNTA($G89:$L89)+COUNTA($Q89))&gt;0),"",IF(AND($D89&lt;&gt;"",$V89="Macro"),IF(N($AH89)&gt;0,N(CHOOSE(MATCH($D89,ListaPuestos,0),INDEX('Cronograma R. Operacional'!$M$5:$M$1000,$AH89),INDEX('Cronograma R. Normativo'!$M$5:$M$1000,$AH89),INDEX('Cronograma R. Financiero'!$M$5:$M$1000,$AH89),INDEX('Cronograma Asistente Técnico'!$M$5:$M$1000,$AH89))),0),IF(ISNUMBER($G89),1,IF(N($W89)&gt;0,AVERAGEIFS($X$5:$X$1000,$U$5:$U$1000,ROW(),$V$5:$V$1000,"Sub"),$X89))))</f>
        <v/>
      </c>
      <c r="N89" s="56">
        <f>IF(OR($M89="",$V89="Sub"),"",IF($M89&gt;=1,"Completado",IF($M89&gt;0,"En curso","Pendiente")))</f>
        <v/>
      </c>
      <c r="O89" s="56">
        <f>IF(NOT((COUNTA($B89:$D89)+COUNTA($G89:$L89)+COUNTA($Q89))&gt;0),"",IF(AND(AND($D89&lt;&gt;"",$V89="Macro"),N($AH89)&gt;0),CHOOSE(MATCH($D89,ListaPuestos,0),INDEX('Cronograma R. Operacional'!$O$5:$O$1000,$AH89),INDEX('Cronograma R. Normativo'!$O$5:$O$1000,$AH89),INDEX('Cronograma R. Financiero'!$O$5:$O$1000,$AH89),INDEX('Cronograma Asistente Técnico'!$O$5:$O$1000,$AH89))&amp;"",IF(ISNUMBER($G89),IF(AND(ISNUMBER($AN89),$G89&gt;$AN89),"Cumplida con "&amp;($G89-$AN89)&amp;IF($G89-$AN89=1," día"," días")&amp;" de retraso","Cumplida"),IF(N($M89)&gt;=1,"Cumplida",IF(NOT(ISNUMBER($AN89)),"Sin fecha límite",IF($AN89&lt;FechaRef,"Vencida hace "&amp;(FechaRef-$AN89)&amp;IF(FechaRef-$AN89=1," día"," días"),IF($AN89=FechaRef,"Vence hoy",IF($AN89-FechaRef&lt;=DiasAlerta,"Vence en "&amp;($AN89-FechaRef)&amp;IF($AN89-FechaRef=1," día"," días"),"En plazo"))))))))</f>
        <v/>
      </c>
      <c r="P89" s="62">
        <f>IF(NOT((COUNTA($B89:$D89)+COUNTA($G89:$L89)+COUNTA($Q89))&gt;0),"",IF($D89="","Propia",IF($V89&lt;&gt;"Macro","Solo se delegan macroactividades",IF(N($AH89)&gt;0,"✔ Recibida por "&amp;$D89,"⚠ "&amp;$D89&amp;" aún no la agrega"))))</f>
        <v/>
      </c>
      <c r="Q89" s="58" t="n"/>
      <c r="R89" s="63">
        <f>IF(NOT((COUNTA($B89:$D89)+COUNTA($G89:$L89)+COUNTA($Q89))&gt;0),"",IF((IF($C89="","Falta el nombre de la actividad"&amp;" · ","")&amp;IF(AND($V89="Sub",N($U89)=0),"Subactividad sin macroactividad arriba"&amp;" · ","")&amp;IF($AM89="","Sin fecha de inicio"&amp;" · ","")&amp;IF($AN89="","Sin fecha límite"&amp;" · ","")&amp;IF(AND(LEFT($C89,11)="[Jefatura] ",N($AL89)=0),"No se encuentra en la hoja de la jefatura (elíjala de nuevo en la lista)"&amp;" · ","")&amp;IF(OR(AND($E89&lt;&gt;"",NOT(ISNUMBER($E89))),AND($F89&lt;&gt;"",NOT(ISNUMBER($F89))),AND($G89&lt;&gt;"",NOT(ISNUMBER($G89)))),"Fecha no válida"&amp;" · ","")&amp;IF(AND(ISNUMBER($AM89),ISNUMBER($AN89),$AM89&gt;$AN89),"Inicio posterior a fecha límite"&amp;" · ","")&amp;IF(AND($V89="Macro",$H89&lt;&gt;"",OR(NOT(ISNUMBER($H89)),$H89&lt;0,$H89&gt;1)),"Peso fuera de rango"&amp;" · ","")&amp;IF(AND($V89="Sub",$H89&lt;&gt;""),"Las subactividades no llevan peso (valen igual dentro de su macroactividad)"&amp;" · ","")&amp;IF(AND(N($W89)&gt;0,COUNT($I89:$L89)&gt;0),"Con subactividades: deje vacías las semanas (se calculan solas)"&amp;" · ","")&amp;IF((COUNTIF($I89:$L89,"&gt;1")+COUNTIF($I89:$L89,"&lt;0")+COUNTA($I89:$L89)-COUNT($I89:$L89))&gt;0,"Avance fuera de rango 0-100%"&amp;" · ","")&amp;IF(OR(AND($J89&lt;&gt;"",$J89&lt;$I89),AND($K89&lt;&gt;"",$K89&lt;MAX($I89:$J89)),AND($L89&lt;&gt;"",$L89&lt;MAX($I89:$K89))),"Avance semanal decreciente"&amp;" · ","")&amp;IF(AND(ISNUMBER($AN89),$AN89&lt;FechaRef,IF($V89="Sub",N($X89),N($M89))&lt;1),"Vencida"&amp;" · ","")&amp;IF(AND(ObsObligatoria="Sí",ISNUMBER($AN89),$AN89&lt;FechaRef,IF($V89="Sub",N($X89),N($M89))&lt;1,$Q89=""),"Vencida sin observación"&amp;" · ",""))="","✔ OK","⚠ "&amp;LEFT(IF($C89="","Falta el nombre de la actividad"&amp;" · ","")&amp;IF(AND($V89="Sub",N($U89)=0),"Subactividad sin macroactividad arriba"&amp;" · ","")&amp;IF($AM89="","Sin fecha de inicio"&amp;" · ","")&amp;IF($AN89="","Sin fecha límite"&amp;" · ","")&amp;IF(AND(LEFT($C89,11)="[Jefatura] ",N($AL89)=0),"No se encuentra en la hoja de la jefatura (elíjala de nuevo en la lista)"&amp;" · ","")&amp;IF(OR(AND($E89&lt;&gt;"",NOT(ISNUMBER($E89))),AND($F89&lt;&gt;"",NOT(ISNUMBER($F89))),AND($G89&lt;&gt;"",NOT(ISNUMBER($G89)))),"Fecha no válida"&amp;" · ","")&amp;IF(AND(ISNUMBER($AM89),ISNUMBER($AN89),$AM89&gt;$AN89),"Inicio posterior a fecha límite"&amp;" · ","")&amp;IF(AND($V89="Macro",$H89&lt;&gt;"",OR(NOT(ISNUMBER($H89)),$H89&lt;0,$H89&gt;1)),"Peso fuera de rango"&amp;" · ","")&amp;IF(AND($V89="Sub",$H89&lt;&gt;""),"Las subactividades no llevan peso (valen igual dentro de su macroactividad)"&amp;" · ","")&amp;IF(AND(N($W89)&gt;0,COUNT($I89:$L89)&gt;0),"Con subactividades: deje vacías las semanas (se calculan solas)"&amp;" · ","")&amp;IF((COUNTIF($I89:$L89,"&gt;1")+COUNTIF($I89:$L89,"&lt;0")+COUNTA($I89:$L89)-COUNT($I89:$L89))&gt;0,"Avance fuera de rango 0-100%"&amp;" · ","")&amp;IF(OR(AND($J89&lt;&gt;"",$J89&lt;$I89),AND($K89&lt;&gt;"",$K89&lt;MAX($I89:$J89)),AND($L89&lt;&gt;"",$L89&lt;MAX($I89:$K89))),"Avance semanal decreciente"&amp;" · ","")&amp;IF(AND(ISNUMBER($AN89),$AN89&lt;FechaRef,IF($V89="Sub",N($X89),N($M89))&lt;1),"Vencida"&amp;" · ","")&amp;IF(AND(ObsObligatoria="Sí",ISNUMBER($AN89),$AN89&lt;FechaRef,IF($V89="Sub",N($X89),N($M89))&lt;1,$Q89=""),"Vencida sin observación"&amp;" · ",""),LEN(IF($C89="","Falta el nombre de la actividad"&amp;" · ","")&amp;IF(AND($V89="Sub",N($U89)=0),"Subactividad sin macroactividad arriba"&amp;" · ","")&amp;IF($AM89="","Sin fecha de inicio"&amp;" · ","")&amp;IF($AN89="","Sin fecha límite"&amp;" · ","")&amp;IF(AND(LEFT($C89,11)="[Jefatura] ",N($AL89)=0),"No se encuentra en la hoja de la jefatura (elíjala de nuevo en la lista)"&amp;" · ","")&amp;IF(OR(AND($E89&lt;&gt;"",NOT(ISNUMBER($E89))),AND($F89&lt;&gt;"",NOT(ISNUMBER($F89))),AND($G89&lt;&gt;"",NOT(ISNUMBER($G89)))),"Fecha no válida"&amp;" · ","")&amp;IF(AND(ISNUMBER($AM89),ISNUMBER($AN89),$AM89&gt;$AN89),"Inicio posterior a fecha límite"&amp;" · ","")&amp;IF(AND($V89="Macro",$H89&lt;&gt;"",OR(NOT(ISNUMBER($H89)),$H89&lt;0,$H89&gt;1)),"Peso fuera de rango"&amp;" · ","")&amp;IF(AND($V89="Sub",$H89&lt;&gt;""),"Las subactividades no llevan peso (valen igual dentro de su macroactividad)"&amp;" · ","")&amp;IF(AND(N($W89)&gt;0,COUNT($I89:$L89)&gt;0),"Con subactividades: deje vacías las semanas (se calculan solas)"&amp;" · ","")&amp;IF((COUNTIF($I89:$L89,"&gt;1")+COUNTIF($I89:$L89,"&lt;0")+COUNTA($I89:$L89)-COUNT($I89:$L89))&gt;0,"Avance fuera de rango 0-100%"&amp;" · ","")&amp;IF(OR(AND($J89&lt;&gt;"",$J89&lt;$I89),AND($K89&lt;&gt;"",$K89&lt;MAX($I89:$J89)),AND($L89&lt;&gt;"",$L89&lt;MAX($I89:$K89))),"Avance semanal decreciente"&amp;" · ","")&amp;IF(AND(ISNUMBER($AN89),$AN89&lt;FechaRef,IF($V89="Sub",N($X89),N($M89))&lt;1),"Vencida"&amp;" · ","")&amp;IF(AND(ObsObligatoria="Sí",ISNUMBER($AN89),$AN89&lt;FechaRef,IF($V89="Sub",N($X89),N($M89))&lt;1,$Q89=""),"Vencida sin observación"&amp;" · ",""))-3)))</f>
        <v/>
      </c>
      <c r="S89" s="64">
        <f>IF(NOT((COUNTA($B89:$D89)+COUNTA($G89:$L89)+COUNTA($Q89))&gt;0),"",IF(AND($V89="Sub",N($U89)&gt;0),IF(ISNUMBER(INDEX($AM$5:$AM$1000,$U89-4)),DATE(YEAR(INDEX($AM$5:$AM$1000,$U89-4)),MONTH(INDEX($AM$5:$AM$1000,$U89-4)),1),IF(ISNUMBER(INDEX($AN$5:$AN$1000,$U89-4)),DATE(YEAR(INDEX($AN$5:$AN$1000,$U89-4)),MONTH(INDEX($AN$5:$AN$1000,$U89-4)),1),MesCiclo)),IF(ISNUMBER($AM89),DATE(YEAR($AM89),MONTH($AM89),1),IF(ISNUMBER($AN89),DATE(YEAR($AN89),MONTH($AN89),1),MesCiclo))))</f>
        <v/>
      </c>
      <c r="T89" s="62">
        <f>IF(OR($S89="",$S89&lt;&gt;MesCiclo,$V89&lt;&gt;"Macro"),"",COUNTIFS($S$5:$S89,MesCiclo,$V$5:$V89,"Macro"))</f>
        <v/>
      </c>
      <c r="U89" s="62">
        <f>IF($V89="","",IF($V89="Macro",ROW(),IFERROR(LOOKUP(2,1/($V$5:$V89="Macro"),ROW($V$5:$V89)),0)))</f>
        <v/>
      </c>
      <c r="V89" s="62">
        <f>IF(NOT((COUNTA($B89:$D89)+COUNTA($G89:$L89)+COUNTA($Q89))&gt;0),"",IF($B89="Subactividad","Sub","Macro"))</f>
        <v/>
      </c>
      <c r="W89" s="62">
        <f>IF($V89="Macro",COUNTIFS($U$5:$U$1000,ROW(),$V$5:$V$1000,"Sub"),"")</f>
        <v/>
      </c>
      <c r="X89" s="62">
        <f>IF($V89="","",IF(ISNUMBER($G89),1,IFERROR(LOOKUP(2,1/($I89:$L89&lt;&gt;""),$I89:$L89),0)))</f>
        <v/>
      </c>
      <c r="Y89" s="62">
        <f>IF($V89="","",IF(AND(ISNUMBER($G89),$G89&lt;=IF($S89=MesCiclo,InicioCiclo,$S89+MOD(2-WEEKDAY($S89),7))+6),1,IF(ISNUMBER($I89),$I89,0)))</f>
        <v/>
      </c>
      <c r="Z89" s="62">
        <f>IF($V89="","",IF(AND(ISNUMBER($G89),$G89&lt;=IF($S89=MesCiclo,InicioCiclo,$S89+MOD(2-WEEKDAY($S89),7))+13),1,IF(ISNUMBER($J89),$J89,$Y89)))</f>
        <v/>
      </c>
      <c r="AA89" s="62">
        <f>IF($V89="","",IF(AND(ISNUMBER($G89),$G89&lt;=IF($S89=MesCiclo,InicioCiclo,$S89+MOD(2-WEEKDAY($S89),7))+20),1,IF(ISNUMBER($K89),$K89,$Z89)))</f>
        <v/>
      </c>
      <c r="AB89" s="62">
        <f>IF($V89="","",IF(AND(ISNUMBER($G89),$G89&lt;=IF($S89=MesCiclo,InicioCiclo,$S89+MOD(2-WEEKDAY($S89),7))+27),1,IF(ISNUMBER($L89),$L89,$AA89)))</f>
        <v/>
      </c>
      <c r="AC89" s="62">
        <f>IF($V89="","",IF(AND(ISNUMBER($G89),$G89&lt;=IF($S89=MesCiclo,InicioCiclo,$S89+MOD(2-WEEKDAY($S89),7))+6),1,IF(N($W89)&gt;0,AVERAGEIFS($Y$5:$Y$1000,$U$5:$U$1000,ROW(),$V$5:$V$1000,"Sub"),$Y89)))</f>
        <v/>
      </c>
      <c r="AD89" s="62">
        <f>IF($V89="","",IF(AND(ISNUMBER($G89),$G89&lt;=IF($S89=MesCiclo,InicioCiclo,$S89+MOD(2-WEEKDAY($S89),7))+13),1,IF(N($W89)&gt;0,AVERAGEIFS($Z$5:$Z$1000,$U$5:$U$1000,ROW(),$V$5:$V$1000,"Sub"),$Z89)))</f>
        <v/>
      </c>
      <c r="AE89" s="62">
        <f>IF($V89="","",IF(AND(ISNUMBER($G89),$G89&lt;=IF($S89=MesCiclo,InicioCiclo,$S89+MOD(2-WEEKDAY($S89),7))+20),1,IF(N($W89)&gt;0,AVERAGEIFS($AA$5:$AA$1000,$U$5:$U$1000,ROW(),$V$5:$V$1000,"Sub"),$AA89)))</f>
        <v/>
      </c>
      <c r="AF89" s="62">
        <f>IF($V89="","",IF(AND(ISNUMBER($G89),$G89&lt;=IF($S89=MesCiclo,InicioCiclo,$S89+MOD(2-WEEKDAY($S89),7))+27),1,IF(N($W89)&gt;0,AVERAGEIFS($AB$5:$AB$1000,$U$5:$U$1000,ROW(),$V$5:$V$1000,"Sub"),$AB89)))</f>
        <v/>
      </c>
      <c r="AG89" s="62">
        <f>IF($V89&lt;&gt;"Macro","",IF(COUNTIFS($S$5:$S$1000,$S89,$V$5:$V$1000,"Macro",$H$5:$H$1000,"&gt;0")=0,1/COUNTIFS($S$5:$S$1000,$S89,$V$5:$V$1000,"Macro"),IF(AND(ISNUMBER($H89),N($H89)&gt;0),$H89,SUMIFS($H$5:$H$1000,$S$5:$S$1000,$S89,$V$5:$V$1000,"Macro")/COUNTIFS($S$5:$S$1000,$S89,$V$5:$V$1000,"Macro",$H$5:$H$1000,"&gt;0"))/(COUNTIFS($S$5:$S$1000,$S89,$V$5:$V$1000,"Macro")*SUMIFS($H$5:$H$1000,$S$5:$S$1000,$S89,$V$5:$V$1000,"Macro")/COUNTIFS($S$5:$S$1000,$S89,$V$5:$V$1000,"Macro",$H$5:$H$1000,"&gt;0"))))</f>
        <v/>
      </c>
      <c r="AH89" s="62">
        <f>IF(NOT(AND($D89&lt;&gt;"",$V89="Macro")),"",IFERROR(CHOOSE(MATCH($D89,ListaPuestos,0),MATCH("[Jefatura] "&amp;$C89,'Cronograma R. Operacional'!$C$5:$C$1000,0),MATCH("[Jefatura] "&amp;$C89,'Cronograma R. Normativo'!$C$5:$C$1000,0),MATCH("[Jefatura] "&amp;$C89,'Cronograma R. Financiero'!$C$5:$C$1000,0),MATCH("[Jefatura] "&amp;$C89,'Cronograma Asistente Técnico'!$C$5:$C$1000,0)),0))</f>
        <v/>
      </c>
      <c r="AI89" s="62">
        <f>IF(AND(AND($D89&lt;&gt;"",$V89="Macro"),$S89=MesCiclo),COUNTIFS($D$5:$D89,$D89,$S$5:$S89,MesCiclo,$V$5:$V89,"Macro"),"")</f>
        <v/>
      </c>
      <c r="AJ89" s="62">
        <f>IF($AI89="","",$D89&amp;"|"&amp;$AI89)</f>
        <v/>
      </c>
      <c r="AK89" s="62">
        <f>IF(AND($D89&lt;&gt;"",$V89="Macro"),$D89&amp;"|"&amp;$C89,"")</f>
        <v/>
      </c>
      <c r="AL89" s="62">
        <f>""</f>
        <v/>
      </c>
      <c r="AM89" s="62">
        <f>IF(N($AL89)&gt;0,INDEX(rIni_ADM,$AL89),IF(ISNUMBER($E89),$E89,""))</f>
        <v/>
      </c>
      <c r="AN89" s="62">
        <f>IF(N($AL89)&gt;0,INDEX(rLim_ADM,$AL89),IF(ISNUMBER($F89),$F89,""))</f>
        <v/>
      </c>
    </row>
    <row r="90">
      <c r="A90" s="56">
        <f>IF(NOT((COUNTA($B90:$D90)+COUNTA($G90:$L90)+COUNTA($Q90))&gt;0),"",IF($V90="Macro",COUNTIFS($V$5:$V90,"Macro",$S$5:$S90,$S90),IF(N($U90)=0,"?",COUNTIFS(INDEX($V$5:$V$1000,1):INDEX($V$5:$V$1000,$U90-4),"Macro",INDEX($S$5:$S$1000,1):INDEX($S$5:$S$1000,$U90-4),INDEX($S$5:$S$1000,$U90-4))&amp;"."&amp;COUNTIFS($U$5:$U90,$U90,$V$5:$V90,"Sub"))))</f>
        <v/>
      </c>
      <c r="B90" s="57" t="n"/>
      <c r="C90" s="58" t="n"/>
      <c r="D90" s="58" t="n"/>
      <c r="E90" s="59" t="n"/>
      <c r="F90" s="59" t="n"/>
      <c r="G90" s="59" t="n"/>
      <c r="H90" s="60" t="n"/>
      <c r="I90" s="60" t="n"/>
      <c r="J90" s="60" t="n"/>
      <c r="K90" s="60" t="n"/>
      <c r="L90" s="60" t="n"/>
      <c r="M90" s="61">
        <f>IF(NOT((COUNTA($B90:$D90)+COUNTA($G90:$L90)+COUNTA($Q90))&gt;0),"",IF(AND($D90&lt;&gt;"",$V90="Macro"),IF(N($AH90)&gt;0,N(CHOOSE(MATCH($D90,ListaPuestos,0),INDEX('Cronograma R. Operacional'!$M$5:$M$1000,$AH90),INDEX('Cronograma R. Normativo'!$M$5:$M$1000,$AH90),INDEX('Cronograma R. Financiero'!$M$5:$M$1000,$AH90),INDEX('Cronograma Asistente Técnico'!$M$5:$M$1000,$AH90))),0),IF(ISNUMBER($G90),1,IF(N($W90)&gt;0,AVERAGEIFS($X$5:$X$1000,$U$5:$U$1000,ROW(),$V$5:$V$1000,"Sub"),$X90))))</f>
        <v/>
      </c>
      <c r="N90" s="56">
        <f>IF(OR($M90="",$V90="Sub"),"",IF($M90&gt;=1,"Completado",IF($M90&gt;0,"En curso","Pendiente")))</f>
        <v/>
      </c>
      <c r="O90" s="56">
        <f>IF(NOT((COUNTA($B90:$D90)+COUNTA($G90:$L90)+COUNTA($Q90))&gt;0),"",IF(AND(AND($D90&lt;&gt;"",$V90="Macro"),N($AH90)&gt;0),CHOOSE(MATCH($D90,ListaPuestos,0),INDEX('Cronograma R. Operacional'!$O$5:$O$1000,$AH90),INDEX('Cronograma R. Normativo'!$O$5:$O$1000,$AH90),INDEX('Cronograma R. Financiero'!$O$5:$O$1000,$AH90),INDEX('Cronograma Asistente Técnico'!$O$5:$O$1000,$AH90))&amp;"",IF(ISNUMBER($G90),IF(AND(ISNUMBER($AN90),$G90&gt;$AN90),"Cumplida con "&amp;($G90-$AN90)&amp;IF($G90-$AN90=1," día"," días")&amp;" de retraso","Cumplida"),IF(N($M90)&gt;=1,"Cumplida",IF(NOT(ISNUMBER($AN90)),"Sin fecha límite",IF($AN90&lt;FechaRef,"Vencida hace "&amp;(FechaRef-$AN90)&amp;IF(FechaRef-$AN90=1," día"," días"),IF($AN90=FechaRef,"Vence hoy",IF($AN90-FechaRef&lt;=DiasAlerta,"Vence en "&amp;($AN90-FechaRef)&amp;IF($AN90-FechaRef=1," día"," días"),"En plazo"))))))))</f>
        <v/>
      </c>
      <c r="P90" s="62">
        <f>IF(NOT((COUNTA($B90:$D90)+COUNTA($G90:$L90)+COUNTA($Q90))&gt;0),"",IF($D90="","Propia",IF($V90&lt;&gt;"Macro","Solo se delegan macroactividades",IF(N($AH90)&gt;0,"✔ Recibida por "&amp;$D90,"⚠ "&amp;$D90&amp;" aún no la agrega"))))</f>
        <v/>
      </c>
      <c r="Q90" s="58" t="n"/>
      <c r="R90" s="63">
        <f>IF(NOT((COUNTA($B90:$D90)+COUNTA($G90:$L90)+COUNTA($Q90))&gt;0),"",IF((IF($C90="","Falta el nombre de la actividad"&amp;" · ","")&amp;IF(AND($V90="Sub",N($U90)=0),"Subactividad sin macroactividad arriba"&amp;" · ","")&amp;IF($AM90="","Sin fecha de inicio"&amp;" · ","")&amp;IF($AN90="","Sin fecha límite"&amp;" · ","")&amp;IF(AND(LEFT($C90,11)="[Jefatura] ",N($AL90)=0),"No se encuentra en la hoja de la jefatura (elíjala de nuevo en la lista)"&amp;" · ","")&amp;IF(OR(AND($E90&lt;&gt;"",NOT(ISNUMBER($E90))),AND($F90&lt;&gt;"",NOT(ISNUMBER($F90))),AND($G90&lt;&gt;"",NOT(ISNUMBER($G90)))),"Fecha no válida"&amp;" · ","")&amp;IF(AND(ISNUMBER($AM90),ISNUMBER($AN90),$AM90&gt;$AN90),"Inicio posterior a fecha límite"&amp;" · ","")&amp;IF(AND($V90="Macro",$H90&lt;&gt;"",OR(NOT(ISNUMBER($H90)),$H90&lt;0,$H90&gt;1)),"Peso fuera de rango"&amp;" · ","")&amp;IF(AND($V90="Sub",$H90&lt;&gt;""),"Las subactividades no llevan peso (valen igual dentro de su macroactividad)"&amp;" · ","")&amp;IF(AND(N($W90)&gt;0,COUNT($I90:$L90)&gt;0),"Con subactividades: deje vacías las semanas (se calculan solas)"&amp;" · ","")&amp;IF((COUNTIF($I90:$L90,"&gt;1")+COUNTIF($I90:$L90,"&lt;0")+COUNTA($I90:$L90)-COUNT($I90:$L90))&gt;0,"Avance fuera de rango 0-100%"&amp;" · ","")&amp;IF(OR(AND($J90&lt;&gt;"",$J90&lt;$I90),AND($K90&lt;&gt;"",$K90&lt;MAX($I90:$J90)),AND($L90&lt;&gt;"",$L90&lt;MAX($I90:$K90))),"Avance semanal decreciente"&amp;" · ","")&amp;IF(AND(ISNUMBER($AN90),$AN90&lt;FechaRef,IF($V90="Sub",N($X90),N($M90))&lt;1),"Vencida"&amp;" · ","")&amp;IF(AND(ObsObligatoria="Sí",ISNUMBER($AN90),$AN90&lt;FechaRef,IF($V90="Sub",N($X90),N($M90))&lt;1,$Q90=""),"Vencida sin observación"&amp;" · ",""))="","✔ OK","⚠ "&amp;LEFT(IF($C90="","Falta el nombre de la actividad"&amp;" · ","")&amp;IF(AND($V90="Sub",N($U90)=0),"Subactividad sin macroactividad arriba"&amp;" · ","")&amp;IF($AM90="","Sin fecha de inicio"&amp;" · ","")&amp;IF($AN90="","Sin fecha límite"&amp;" · ","")&amp;IF(AND(LEFT($C90,11)="[Jefatura] ",N($AL90)=0),"No se encuentra en la hoja de la jefatura (elíjala de nuevo en la lista)"&amp;" · ","")&amp;IF(OR(AND($E90&lt;&gt;"",NOT(ISNUMBER($E90))),AND($F90&lt;&gt;"",NOT(ISNUMBER($F90))),AND($G90&lt;&gt;"",NOT(ISNUMBER($G90)))),"Fecha no válida"&amp;" · ","")&amp;IF(AND(ISNUMBER($AM90),ISNUMBER($AN90),$AM90&gt;$AN90),"Inicio posterior a fecha límite"&amp;" · ","")&amp;IF(AND($V90="Macro",$H90&lt;&gt;"",OR(NOT(ISNUMBER($H90)),$H90&lt;0,$H90&gt;1)),"Peso fuera de rango"&amp;" · ","")&amp;IF(AND($V90="Sub",$H90&lt;&gt;""),"Las subactividades no llevan peso (valen igual dentro de su macroactividad)"&amp;" · ","")&amp;IF(AND(N($W90)&gt;0,COUNT($I90:$L90)&gt;0),"Con subactividades: deje vacías las semanas (se calculan solas)"&amp;" · ","")&amp;IF((COUNTIF($I90:$L90,"&gt;1")+COUNTIF($I90:$L90,"&lt;0")+COUNTA($I90:$L90)-COUNT($I90:$L90))&gt;0,"Avance fuera de rango 0-100%"&amp;" · ","")&amp;IF(OR(AND($J90&lt;&gt;"",$J90&lt;$I90),AND($K90&lt;&gt;"",$K90&lt;MAX($I90:$J90)),AND($L90&lt;&gt;"",$L90&lt;MAX($I90:$K90))),"Avance semanal decreciente"&amp;" · ","")&amp;IF(AND(ISNUMBER($AN90),$AN90&lt;FechaRef,IF($V90="Sub",N($X90),N($M90))&lt;1),"Vencida"&amp;" · ","")&amp;IF(AND(ObsObligatoria="Sí",ISNUMBER($AN90),$AN90&lt;FechaRef,IF($V90="Sub",N($X90),N($M90))&lt;1,$Q90=""),"Vencida sin observación"&amp;" · ",""),LEN(IF($C90="","Falta el nombre de la actividad"&amp;" · ","")&amp;IF(AND($V90="Sub",N($U90)=0),"Subactividad sin macroactividad arriba"&amp;" · ","")&amp;IF($AM90="","Sin fecha de inicio"&amp;" · ","")&amp;IF($AN90="","Sin fecha límite"&amp;" · ","")&amp;IF(AND(LEFT($C90,11)="[Jefatura] ",N($AL90)=0),"No se encuentra en la hoja de la jefatura (elíjala de nuevo en la lista)"&amp;" · ","")&amp;IF(OR(AND($E90&lt;&gt;"",NOT(ISNUMBER($E90))),AND($F90&lt;&gt;"",NOT(ISNUMBER($F90))),AND($G90&lt;&gt;"",NOT(ISNUMBER($G90)))),"Fecha no válida"&amp;" · ","")&amp;IF(AND(ISNUMBER($AM90),ISNUMBER($AN90),$AM90&gt;$AN90),"Inicio posterior a fecha límite"&amp;" · ","")&amp;IF(AND($V90="Macro",$H90&lt;&gt;"",OR(NOT(ISNUMBER($H90)),$H90&lt;0,$H90&gt;1)),"Peso fuera de rango"&amp;" · ","")&amp;IF(AND($V90="Sub",$H90&lt;&gt;""),"Las subactividades no llevan peso (valen igual dentro de su macroactividad)"&amp;" · ","")&amp;IF(AND(N($W90)&gt;0,COUNT($I90:$L90)&gt;0),"Con subactividades: deje vacías las semanas (se calculan solas)"&amp;" · ","")&amp;IF((COUNTIF($I90:$L90,"&gt;1")+COUNTIF($I90:$L90,"&lt;0")+COUNTA($I90:$L90)-COUNT($I90:$L90))&gt;0,"Avance fuera de rango 0-100%"&amp;" · ","")&amp;IF(OR(AND($J90&lt;&gt;"",$J90&lt;$I90),AND($K90&lt;&gt;"",$K90&lt;MAX($I90:$J90)),AND($L90&lt;&gt;"",$L90&lt;MAX($I90:$K90))),"Avance semanal decreciente"&amp;" · ","")&amp;IF(AND(ISNUMBER($AN90),$AN90&lt;FechaRef,IF($V90="Sub",N($X90),N($M90))&lt;1),"Vencida"&amp;" · ","")&amp;IF(AND(ObsObligatoria="Sí",ISNUMBER($AN90),$AN90&lt;FechaRef,IF($V90="Sub",N($X90),N($M90))&lt;1,$Q90=""),"Vencida sin observación"&amp;" · ",""))-3)))</f>
        <v/>
      </c>
      <c r="S90" s="64">
        <f>IF(NOT((COUNTA($B90:$D90)+COUNTA($G90:$L90)+COUNTA($Q90))&gt;0),"",IF(AND($V90="Sub",N($U90)&gt;0),IF(ISNUMBER(INDEX($AM$5:$AM$1000,$U90-4)),DATE(YEAR(INDEX($AM$5:$AM$1000,$U90-4)),MONTH(INDEX($AM$5:$AM$1000,$U90-4)),1),IF(ISNUMBER(INDEX($AN$5:$AN$1000,$U90-4)),DATE(YEAR(INDEX($AN$5:$AN$1000,$U90-4)),MONTH(INDEX($AN$5:$AN$1000,$U90-4)),1),MesCiclo)),IF(ISNUMBER($AM90),DATE(YEAR($AM90),MONTH($AM90),1),IF(ISNUMBER($AN90),DATE(YEAR($AN90),MONTH($AN90),1),MesCiclo))))</f>
        <v/>
      </c>
      <c r="T90" s="62">
        <f>IF(OR($S90="",$S90&lt;&gt;MesCiclo,$V90&lt;&gt;"Macro"),"",COUNTIFS($S$5:$S90,MesCiclo,$V$5:$V90,"Macro"))</f>
        <v/>
      </c>
      <c r="U90" s="62">
        <f>IF($V90="","",IF($V90="Macro",ROW(),IFERROR(LOOKUP(2,1/($V$5:$V90="Macro"),ROW($V$5:$V90)),0)))</f>
        <v/>
      </c>
      <c r="V90" s="62">
        <f>IF(NOT((COUNTA($B90:$D90)+COUNTA($G90:$L90)+COUNTA($Q90))&gt;0),"",IF($B90="Subactividad","Sub","Macro"))</f>
        <v/>
      </c>
      <c r="W90" s="62">
        <f>IF($V90="Macro",COUNTIFS($U$5:$U$1000,ROW(),$V$5:$V$1000,"Sub"),"")</f>
        <v/>
      </c>
      <c r="X90" s="62">
        <f>IF($V90="","",IF(ISNUMBER($G90),1,IFERROR(LOOKUP(2,1/($I90:$L90&lt;&gt;""),$I90:$L90),0)))</f>
        <v/>
      </c>
      <c r="Y90" s="62">
        <f>IF($V90="","",IF(AND(ISNUMBER($G90),$G90&lt;=IF($S90=MesCiclo,InicioCiclo,$S90+MOD(2-WEEKDAY($S90),7))+6),1,IF(ISNUMBER($I90),$I90,0)))</f>
        <v/>
      </c>
      <c r="Z90" s="62">
        <f>IF($V90="","",IF(AND(ISNUMBER($G90),$G90&lt;=IF($S90=MesCiclo,InicioCiclo,$S90+MOD(2-WEEKDAY($S90),7))+13),1,IF(ISNUMBER($J90),$J90,$Y90)))</f>
        <v/>
      </c>
      <c r="AA90" s="62">
        <f>IF($V90="","",IF(AND(ISNUMBER($G90),$G90&lt;=IF($S90=MesCiclo,InicioCiclo,$S90+MOD(2-WEEKDAY($S90),7))+20),1,IF(ISNUMBER($K90),$K90,$Z90)))</f>
        <v/>
      </c>
      <c r="AB90" s="62">
        <f>IF($V90="","",IF(AND(ISNUMBER($G90),$G90&lt;=IF($S90=MesCiclo,InicioCiclo,$S90+MOD(2-WEEKDAY($S90),7))+27),1,IF(ISNUMBER($L90),$L90,$AA90)))</f>
        <v/>
      </c>
      <c r="AC90" s="62">
        <f>IF($V90="","",IF(AND(ISNUMBER($G90),$G90&lt;=IF($S90=MesCiclo,InicioCiclo,$S90+MOD(2-WEEKDAY($S90),7))+6),1,IF(N($W90)&gt;0,AVERAGEIFS($Y$5:$Y$1000,$U$5:$U$1000,ROW(),$V$5:$V$1000,"Sub"),$Y90)))</f>
        <v/>
      </c>
      <c r="AD90" s="62">
        <f>IF($V90="","",IF(AND(ISNUMBER($G90),$G90&lt;=IF($S90=MesCiclo,InicioCiclo,$S90+MOD(2-WEEKDAY($S90),7))+13),1,IF(N($W90)&gt;0,AVERAGEIFS($Z$5:$Z$1000,$U$5:$U$1000,ROW(),$V$5:$V$1000,"Sub"),$Z90)))</f>
        <v/>
      </c>
      <c r="AE90" s="62">
        <f>IF($V90="","",IF(AND(ISNUMBER($G90),$G90&lt;=IF($S90=MesCiclo,InicioCiclo,$S90+MOD(2-WEEKDAY($S90),7))+20),1,IF(N($W90)&gt;0,AVERAGEIFS($AA$5:$AA$1000,$U$5:$U$1000,ROW(),$V$5:$V$1000,"Sub"),$AA90)))</f>
        <v/>
      </c>
      <c r="AF90" s="62">
        <f>IF($V90="","",IF(AND(ISNUMBER($G90),$G90&lt;=IF($S90=MesCiclo,InicioCiclo,$S90+MOD(2-WEEKDAY($S90),7))+27),1,IF(N($W90)&gt;0,AVERAGEIFS($AB$5:$AB$1000,$U$5:$U$1000,ROW(),$V$5:$V$1000,"Sub"),$AB90)))</f>
        <v/>
      </c>
      <c r="AG90" s="62">
        <f>IF($V90&lt;&gt;"Macro","",IF(COUNTIFS($S$5:$S$1000,$S90,$V$5:$V$1000,"Macro",$H$5:$H$1000,"&gt;0")=0,1/COUNTIFS($S$5:$S$1000,$S90,$V$5:$V$1000,"Macro"),IF(AND(ISNUMBER($H90),N($H90)&gt;0),$H90,SUMIFS($H$5:$H$1000,$S$5:$S$1000,$S90,$V$5:$V$1000,"Macro")/COUNTIFS($S$5:$S$1000,$S90,$V$5:$V$1000,"Macro",$H$5:$H$1000,"&gt;0"))/(COUNTIFS($S$5:$S$1000,$S90,$V$5:$V$1000,"Macro")*SUMIFS($H$5:$H$1000,$S$5:$S$1000,$S90,$V$5:$V$1000,"Macro")/COUNTIFS($S$5:$S$1000,$S90,$V$5:$V$1000,"Macro",$H$5:$H$1000,"&gt;0"))))</f>
        <v/>
      </c>
      <c r="AH90" s="62">
        <f>IF(NOT(AND($D90&lt;&gt;"",$V90="Macro")),"",IFERROR(CHOOSE(MATCH($D90,ListaPuestos,0),MATCH("[Jefatura] "&amp;$C90,'Cronograma R. Operacional'!$C$5:$C$1000,0),MATCH("[Jefatura] "&amp;$C90,'Cronograma R. Normativo'!$C$5:$C$1000,0),MATCH("[Jefatura] "&amp;$C90,'Cronograma R. Financiero'!$C$5:$C$1000,0),MATCH("[Jefatura] "&amp;$C90,'Cronograma Asistente Técnico'!$C$5:$C$1000,0)),0))</f>
        <v/>
      </c>
      <c r="AI90" s="62">
        <f>IF(AND(AND($D90&lt;&gt;"",$V90="Macro"),$S90=MesCiclo),COUNTIFS($D$5:$D90,$D90,$S$5:$S90,MesCiclo,$V$5:$V90,"Macro"),"")</f>
        <v/>
      </c>
      <c r="AJ90" s="62">
        <f>IF($AI90="","",$D90&amp;"|"&amp;$AI90)</f>
        <v/>
      </c>
      <c r="AK90" s="62">
        <f>IF(AND($D90&lt;&gt;"",$V90="Macro"),$D90&amp;"|"&amp;$C90,"")</f>
        <v/>
      </c>
      <c r="AL90" s="62">
        <f>""</f>
        <v/>
      </c>
      <c r="AM90" s="62">
        <f>IF(N($AL90)&gt;0,INDEX(rIni_ADM,$AL90),IF(ISNUMBER($E90),$E90,""))</f>
        <v/>
      </c>
      <c r="AN90" s="62">
        <f>IF(N($AL90)&gt;0,INDEX(rLim_ADM,$AL90),IF(ISNUMBER($F90),$F90,""))</f>
        <v/>
      </c>
    </row>
    <row r="91">
      <c r="A91" s="56">
        <f>IF(NOT((COUNTA($B91:$D91)+COUNTA($G91:$L91)+COUNTA($Q91))&gt;0),"",IF($V91="Macro",COUNTIFS($V$5:$V91,"Macro",$S$5:$S91,$S91),IF(N($U91)=0,"?",COUNTIFS(INDEX($V$5:$V$1000,1):INDEX($V$5:$V$1000,$U91-4),"Macro",INDEX($S$5:$S$1000,1):INDEX($S$5:$S$1000,$U91-4),INDEX($S$5:$S$1000,$U91-4))&amp;"."&amp;COUNTIFS($U$5:$U91,$U91,$V$5:$V91,"Sub"))))</f>
        <v/>
      </c>
      <c r="B91" s="57" t="n"/>
      <c r="C91" s="58" t="n"/>
      <c r="D91" s="58" t="n"/>
      <c r="E91" s="59" t="n"/>
      <c r="F91" s="59" t="n"/>
      <c r="G91" s="59" t="n"/>
      <c r="H91" s="60" t="n"/>
      <c r="I91" s="60" t="n"/>
      <c r="J91" s="60" t="n"/>
      <c r="K91" s="60" t="n"/>
      <c r="L91" s="60" t="n"/>
      <c r="M91" s="61">
        <f>IF(NOT((COUNTA($B91:$D91)+COUNTA($G91:$L91)+COUNTA($Q91))&gt;0),"",IF(AND($D91&lt;&gt;"",$V91="Macro"),IF(N($AH91)&gt;0,N(CHOOSE(MATCH($D91,ListaPuestos,0),INDEX('Cronograma R. Operacional'!$M$5:$M$1000,$AH91),INDEX('Cronograma R. Normativo'!$M$5:$M$1000,$AH91),INDEX('Cronograma R. Financiero'!$M$5:$M$1000,$AH91),INDEX('Cronograma Asistente Técnico'!$M$5:$M$1000,$AH91))),0),IF(ISNUMBER($G91),1,IF(N($W91)&gt;0,AVERAGEIFS($X$5:$X$1000,$U$5:$U$1000,ROW(),$V$5:$V$1000,"Sub"),$X91))))</f>
        <v/>
      </c>
      <c r="N91" s="56">
        <f>IF(OR($M91="",$V91="Sub"),"",IF($M91&gt;=1,"Completado",IF($M91&gt;0,"En curso","Pendiente")))</f>
        <v/>
      </c>
      <c r="O91" s="56">
        <f>IF(NOT((COUNTA($B91:$D91)+COUNTA($G91:$L91)+COUNTA($Q91))&gt;0),"",IF(AND(AND($D91&lt;&gt;"",$V91="Macro"),N($AH91)&gt;0),CHOOSE(MATCH($D91,ListaPuestos,0),INDEX('Cronograma R. Operacional'!$O$5:$O$1000,$AH91),INDEX('Cronograma R. Normativo'!$O$5:$O$1000,$AH91),INDEX('Cronograma R. Financiero'!$O$5:$O$1000,$AH91),INDEX('Cronograma Asistente Técnico'!$O$5:$O$1000,$AH91))&amp;"",IF(ISNUMBER($G91),IF(AND(ISNUMBER($AN91),$G91&gt;$AN91),"Cumplida con "&amp;($G91-$AN91)&amp;IF($G91-$AN91=1," día"," días")&amp;" de retraso","Cumplida"),IF(N($M91)&gt;=1,"Cumplida",IF(NOT(ISNUMBER($AN91)),"Sin fecha límite",IF($AN91&lt;FechaRef,"Vencida hace "&amp;(FechaRef-$AN91)&amp;IF(FechaRef-$AN91=1," día"," días"),IF($AN91=FechaRef,"Vence hoy",IF($AN91-FechaRef&lt;=DiasAlerta,"Vence en "&amp;($AN91-FechaRef)&amp;IF($AN91-FechaRef=1," día"," días"),"En plazo"))))))))</f>
        <v/>
      </c>
      <c r="P91" s="62">
        <f>IF(NOT((COUNTA($B91:$D91)+COUNTA($G91:$L91)+COUNTA($Q91))&gt;0),"",IF($D91="","Propia",IF($V91&lt;&gt;"Macro","Solo se delegan macroactividades",IF(N($AH91)&gt;0,"✔ Recibida por "&amp;$D91,"⚠ "&amp;$D91&amp;" aún no la agrega"))))</f>
        <v/>
      </c>
      <c r="Q91" s="58" t="n"/>
      <c r="R91" s="63">
        <f>IF(NOT((COUNTA($B91:$D91)+COUNTA($G91:$L91)+COUNTA($Q91))&gt;0),"",IF((IF($C91="","Falta el nombre de la actividad"&amp;" · ","")&amp;IF(AND($V91="Sub",N($U91)=0),"Subactividad sin macroactividad arriba"&amp;" · ","")&amp;IF($AM91="","Sin fecha de inicio"&amp;" · ","")&amp;IF($AN91="","Sin fecha límite"&amp;" · ","")&amp;IF(AND(LEFT($C91,11)="[Jefatura] ",N($AL91)=0),"No se encuentra en la hoja de la jefatura (elíjala de nuevo en la lista)"&amp;" · ","")&amp;IF(OR(AND($E91&lt;&gt;"",NOT(ISNUMBER($E91))),AND($F91&lt;&gt;"",NOT(ISNUMBER($F91))),AND($G91&lt;&gt;"",NOT(ISNUMBER($G91)))),"Fecha no válida"&amp;" · ","")&amp;IF(AND(ISNUMBER($AM91),ISNUMBER($AN91),$AM91&gt;$AN91),"Inicio posterior a fecha límite"&amp;" · ","")&amp;IF(AND($V91="Macro",$H91&lt;&gt;"",OR(NOT(ISNUMBER($H91)),$H91&lt;0,$H91&gt;1)),"Peso fuera de rango"&amp;" · ","")&amp;IF(AND($V91="Sub",$H91&lt;&gt;""),"Las subactividades no llevan peso (valen igual dentro de su macroactividad)"&amp;" · ","")&amp;IF(AND(N($W91)&gt;0,COUNT($I91:$L91)&gt;0),"Con subactividades: deje vacías las semanas (se calculan solas)"&amp;" · ","")&amp;IF((COUNTIF($I91:$L91,"&gt;1")+COUNTIF($I91:$L91,"&lt;0")+COUNTA($I91:$L91)-COUNT($I91:$L91))&gt;0,"Avance fuera de rango 0-100%"&amp;" · ","")&amp;IF(OR(AND($J91&lt;&gt;"",$J91&lt;$I91),AND($K91&lt;&gt;"",$K91&lt;MAX($I91:$J91)),AND($L91&lt;&gt;"",$L91&lt;MAX($I91:$K91))),"Avance semanal decreciente"&amp;" · ","")&amp;IF(AND(ISNUMBER($AN91),$AN91&lt;FechaRef,IF($V91="Sub",N($X91),N($M91))&lt;1),"Vencida"&amp;" · ","")&amp;IF(AND(ObsObligatoria="Sí",ISNUMBER($AN91),$AN91&lt;FechaRef,IF($V91="Sub",N($X91),N($M91))&lt;1,$Q91=""),"Vencida sin observación"&amp;" · ",""))="","✔ OK","⚠ "&amp;LEFT(IF($C91="","Falta el nombre de la actividad"&amp;" · ","")&amp;IF(AND($V91="Sub",N($U91)=0),"Subactividad sin macroactividad arriba"&amp;" · ","")&amp;IF($AM91="","Sin fecha de inicio"&amp;" · ","")&amp;IF($AN91="","Sin fecha límite"&amp;" · ","")&amp;IF(AND(LEFT($C91,11)="[Jefatura] ",N($AL91)=0),"No se encuentra en la hoja de la jefatura (elíjala de nuevo en la lista)"&amp;" · ","")&amp;IF(OR(AND($E91&lt;&gt;"",NOT(ISNUMBER($E91))),AND($F91&lt;&gt;"",NOT(ISNUMBER($F91))),AND($G91&lt;&gt;"",NOT(ISNUMBER($G91)))),"Fecha no válida"&amp;" · ","")&amp;IF(AND(ISNUMBER($AM91),ISNUMBER($AN91),$AM91&gt;$AN91),"Inicio posterior a fecha límite"&amp;" · ","")&amp;IF(AND($V91="Macro",$H91&lt;&gt;"",OR(NOT(ISNUMBER($H91)),$H91&lt;0,$H91&gt;1)),"Peso fuera de rango"&amp;" · ","")&amp;IF(AND($V91="Sub",$H91&lt;&gt;""),"Las subactividades no llevan peso (valen igual dentro de su macroactividad)"&amp;" · ","")&amp;IF(AND(N($W91)&gt;0,COUNT($I91:$L91)&gt;0),"Con subactividades: deje vacías las semanas (se calculan solas)"&amp;" · ","")&amp;IF((COUNTIF($I91:$L91,"&gt;1")+COUNTIF($I91:$L91,"&lt;0")+COUNTA($I91:$L91)-COUNT($I91:$L91))&gt;0,"Avance fuera de rango 0-100%"&amp;" · ","")&amp;IF(OR(AND($J91&lt;&gt;"",$J91&lt;$I91),AND($K91&lt;&gt;"",$K91&lt;MAX($I91:$J91)),AND($L91&lt;&gt;"",$L91&lt;MAX($I91:$K91))),"Avance semanal decreciente"&amp;" · ","")&amp;IF(AND(ISNUMBER($AN91),$AN91&lt;FechaRef,IF($V91="Sub",N($X91),N($M91))&lt;1),"Vencida"&amp;" · ","")&amp;IF(AND(ObsObligatoria="Sí",ISNUMBER($AN91),$AN91&lt;FechaRef,IF($V91="Sub",N($X91),N($M91))&lt;1,$Q91=""),"Vencida sin observación"&amp;" · ",""),LEN(IF($C91="","Falta el nombre de la actividad"&amp;" · ","")&amp;IF(AND($V91="Sub",N($U91)=0),"Subactividad sin macroactividad arriba"&amp;" · ","")&amp;IF($AM91="","Sin fecha de inicio"&amp;" · ","")&amp;IF($AN91="","Sin fecha límite"&amp;" · ","")&amp;IF(AND(LEFT($C91,11)="[Jefatura] ",N($AL91)=0),"No se encuentra en la hoja de la jefatura (elíjala de nuevo en la lista)"&amp;" · ","")&amp;IF(OR(AND($E91&lt;&gt;"",NOT(ISNUMBER($E91))),AND($F91&lt;&gt;"",NOT(ISNUMBER($F91))),AND($G91&lt;&gt;"",NOT(ISNUMBER($G91)))),"Fecha no válida"&amp;" · ","")&amp;IF(AND(ISNUMBER($AM91),ISNUMBER($AN91),$AM91&gt;$AN91),"Inicio posterior a fecha límite"&amp;" · ","")&amp;IF(AND($V91="Macro",$H91&lt;&gt;"",OR(NOT(ISNUMBER($H91)),$H91&lt;0,$H91&gt;1)),"Peso fuera de rango"&amp;" · ","")&amp;IF(AND($V91="Sub",$H91&lt;&gt;""),"Las subactividades no llevan peso (valen igual dentro de su macroactividad)"&amp;" · ","")&amp;IF(AND(N($W91)&gt;0,COUNT($I91:$L91)&gt;0),"Con subactividades: deje vacías las semanas (se calculan solas)"&amp;" · ","")&amp;IF((COUNTIF($I91:$L91,"&gt;1")+COUNTIF($I91:$L91,"&lt;0")+COUNTA($I91:$L91)-COUNT($I91:$L91))&gt;0,"Avance fuera de rango 0-100%"&amp;" · ","")&amp;IF(OR(AND($J91&lt;&gt;"",$J91&lt;$I91),AND($K91&lt;&gt;"",$K91&lt;MAX($I91:$J91)),AND($L91&lt;&gt;"",$L91&lt;MAX($I91:$K91))),"Avance semanal decreciente"&amp;" · ","")&amp;IF(AND(ISNUMBER($AN91),$AN91&lt;FechaRef,IF($V91="Sub",N($X91),N($M91))&lt;1),"Vencida"&amp;" · ","")&amp;IF(AND(ObsObligatoria="Sí",ISNUMBER($AN91),$AN91&lt;FechaRef,IF($V91="Sub",N($X91),N($M91))&lt;1,$Q91=""),"Vencida sin observación"&amp;" · ",""))-3)))</f>
        <v/>
      </c>
      <c r="S91" s="64">
        <f>IF(NOT((COUNTA($B91:$D91)+COUNTA($G91:$L91)+COUNTA($Q91))&gt;0),"",IF(AND($V91="Sub",N($U91)&gt;0),IF(ISNUMBER(INDEX($AM$5:$AM$1000,$U91-4)),DATE(YEAR(INDEX($AM$5:$AM$1000,$U91-4)),MONTH(INDEX($AM$5:$AM$1000,$U91-4)),1),IF(ISNUMBER(INDEX($AN$5:$AN$1000,$U91-4)),DATE(YEAR(INDEX($AN$5:$AN$1000,$U91-4)),MONTH(INDEX($AN$5:$AN$1000,$U91-4)),1),MesCiclo)),IF(ISNUMBER($AM91),DATE(YEAR($AM91),MONTH($AM91),1),IF(ISNUMBER($AN91),DATE(YEAR($AN91),MONTH($AN91),1),MesCiclo))))</f>
        <v/>
      </c>
      <c r="T91" s="62">
        <f>IF(OR($S91="",$S91&lt;&gt;MesCiclo,$V91&lt;&gt;"Macro"),"",COUNTIFS($S$5:$S91,MesCiclo,$V$5:$V91,"Macro"))</f>
        <v/>
      </c>
      <c r="U91" s="62">
        <f>IF($V91="","",IF($V91="Macro",ROW(),IFERROR(LOOKUP(2,1/($V$5:$V91="Macro"),ROW($V$5:$V91)),0)))</f>
        <v/>
      </c>
      <c r="V91" s="62">
        <f>IF(NOT((COUNTA($B91:$D91)+COUNTA($G91:$L91)+COUNTA($Q91))&gt;0),"",IF($B91="Subactividad","Sub","Macro"))</f>
        <v/>
      </c>
      <c r="W91" s="62">
        <f>IF($V91="Macro",COUNTIFS($U$5:$U$1000,ROW(),$V$5:$V$1000,"Sub"),"")</f>
        <v/>
      </c>
      <c r="X91" s="62">
        <f>IF($V91="","",IF(ISNUMBER($G91),1,IFERROR(LOOKUP(2,1/($I91:$L91&lt;&gt;""),$I91:$L91),0)))</f>
        <v/>
      </c>
      <c r="Y91" s="62">
        <f>IF($V91="","",IF(AND(ISNUMBER($G91),$G91&lt;=IF($S91=MesCiclo,InicioCiclo,$S91+MOD(2-WEEKDAY($S91),7))+6),1,IF(ISNUMBER($I91),$I91,0)))</f>
        <v/>
      </c>
      <c r="Z91" s="62">
        <f>IF($V91="","",IF(AND(ISNUMBER($G91),$G91&lt;=IF($S91=MesCiclo,InicioCiclo,$S91+MOD(2-WEEKDAY($S91),7))+13),1,IF(ISNUMBER($J91),$J91,$Y91)))</f>
        <v/>
      </c>
      <c r="AA91" s="62">
        <f>IF($V91="","",IF(AND(ISNUMBER($G91),$G91&lt;=IF($S91=MesCiclo,InicioCiclo,$S91+MOD(2-WEEKDAY($S91),7))+20),1,IF(ISNUMBER($K91),$K91,$Z91)))</f>
        <v/>
      </c>
      <c r="AB91" s="62">
        <f>IF($V91="","",IF(AND(ISNUMBER($G91),$G91&lt;=IF($S91=MesCiclo,InicioCiclo,$S91+MOD(2-WEEKDAY($S91),7))+27),1,IF(ISNUMBER($L91),$L91,$AA91)))</f>
        <v/>
      </c>
      <c r="AC91" s="62">
        <f>IF($V91="","",IF(AND(ISNUMBER($G91),$G91&lt;=IF($S91=MesCiclo,InicioCiclo,$S91+MOD(2-WEEKDAY($S91),7))+6),1,IF(N($W91)&gt;0,AVERAGEIFS($Y$5:$Y$1000,$U$5:$U$1000,ROW(),$V$5:$V$1000,"Sub"),$Y91)))</f>
        <v/>
      </c>
      <c r="AD91" s="62">
        <f>IF($V91="","",IF(AND(ISNUMBER($G91),$G91&lt;=IF($S91=MesCiclo,InicioCiclo,$S91+MOD(2-WEEKDAY($S91),7))+13),1,IF(N($W91)&gt;0,AVERAGEIFS($Z$5:$Z$1000,$U$5:$U$1000,ROW(),$V$5:$V$1000,"Sub"),$Z91)))</f>
        <v/>
      </c>
      <c r="AE91" s="62">
        <f>IF($V91="","",IF(AND(ISNUMBER($G91),$G91&lt;=IF($S91=MesCiclo,InicioCiclo,$S91+MOD(2-WEEKDAY($S91),7))+20),1,IF(N($W91)&gt;0,AVERAGEIFS($AA$5:$AA$1000,$U$5:$U$1000,ROW(),$V$5:$V$1000,"Sub"),$AA91)))</f>
        <v/>
      </c>
      <c r="AF91" s="62">
        <f>IF($V91="","",IF(AND(ISNUMBER($G91),$G91&lt;=IF($S91=MesCiclo,InicioCiclo,$S91+MOD(2-WEEKDAY($S91),7))+27),1,IF(N($W91)&gt;0,AVERAGEIFS($AB$5:$AB$1000,$U$5:$U$1000,ROW(),$V$5:$V$1000,"Sub"),$AB91)))</f>
        <v/>
      </c>
      <c r="AG91" s="62">
        <f>IF($V91&lt;&gt;"Macro","",IF(COUNTIFS($S$5:$S$1000,$S91,$V$5:$V$1000,"Macro",$H$5:$H$1000,"&gt;0")=0,1/COUNTIFS($S$5:$S$1000,$S91,$V$5:$V$1000,"Macro"),IF(AND(ISNUMBER($H91),N($H91)&gt;0),$H91,SUMIFS($H$5:$H$1000,$S$5:$S$1000,$S91,$V$5:$V$1000,"Macro")/COUNTIFS($S$5:$S$1000,$S91,$V$5:$V$1000,"Macro",$H$5:$H$1000,"&gt;0"))/(COUNTIFS($S$5:$S$1000,$S91,$V$5:$V$1000,"Macro")*SUMIFS($H$5:$H$1000,$S$5:$S$1000,$S91,$V$5:$V$1000,"Macro")/COUNTIFS($S$5:$S$1000,$S91,$V$5:$V$1000,"Macro",$H$5:$H$1000,"&gt;0"))))</f>
        <v/>
      </c>
      <c r="AH91" s="62">
        <f>IF(NOT(AND($D91&lt;&gt;"",$V91="Macro")),"",IFERROR(CHOOSE(MATCH($D91,ListaPuestos,0),MATCH("[Jefatura] "&amp;$C91,'Cronograma R. Operacional'!$C$5:$C$1000,0),MATCH("[Jefatura] "&amp;$C91,'Cronograma R. Normativo'!$C$5:$C$1000,0),MATCH("[Jefatura] "&amp;$C91,'Cronograma R. Financiero'!$C$5:$C$1000,0),MATCH("[Jefatura] "&amp;$C91,'Cronograma Asistente Técnico'!$C$5:$C$1000,0)),0))</f>
        <v/>
      </c>
      <c r="AI91" s="62">
        <f>IF(AND(AND($D91&lt;&gt;"",$V91="Macro"),$S91=MesCiclo),COUNTIFS($D$5:$D91,$D91,$S$5:$S91,MesCiclo,$V$5:$V91,"Macro"),"")</f>
        <v/>
      </c>
      <c r="AJ91" s="62">
        <f>IF($AI91="","",$D91&amp;"|"&amp;$AI91)</f>
        <v/>
      </c>
      <c r="AK91" s="62">
        <f>IF(AND($D91&lt;&gt;"",$V91="Macro"),$D91&amp;"|"&amp;$C91,"")</f>
        <v/>
      </c>
      <c r="AL91" s="62">
        <f>""</f>
        <v/>
      </c>
      <c r="AM91" s="62">
        <f>IF(N($AL91)&gt;0,INDEX(rIni_ADM,$AL91),IF(ISNUMBER($E91),$E91,""))</f>
        <v/>
      </c>
      <c r="AN91" s="62">
        <f>IF(N($AL91)&gt;0,INDEX(rLim_ADM,$AL91),IF(ISNUMBER($F91),$F91,""))</f>
        <v/>
      </c>
    </row>
    <row r="92">
      <c r="A92" s="56">
        <f>IF(NOT((COUNTA($B92:$D92)+COUNTA($G92:$L92)+COUNTA($Q92))&gt;0),"",IF($V92="Macro",COUNTIFS($V$5:$V92,"Macro",$S$5:$S92,$S92),IF(N($U92)=0,"?",COUNTIFS(INDEX($V$5:$V$1000,1):INDEX($V$5:$V$1000,$U92-4),"Macro",INDEX($S$5:$S$1000,1):INDEX($S$5:$S$1000,$U92-4),INDEX($S$5:$S$1000,$U92-4))&amp;"."&amp;COUNTIFS($U$5:$U92,$U92,$V$5:$V92,"Sub"))))</f>
        <v/>
      </c>
      <c r="B92" s="57" t="n"/>
      <c r="C92" s="58" t="n"/>
      <c r="D92" s="58" t="n"/>
      <c r="E92" s="59" t="n"/>
      <c r="F92" s="59" t="n"/>
      <c r="G92" s="59" t="n"/>
      <c r="H92" s="60" t="n"/>
      <c r="I92" s="60" t="n"/>
      <c r="J92" s="60" t="n"/>
      <c r="K92" s="60" t="n"/>
      <c r="L92" s="60" t="n"/>
      <c r="M92" s="61">
        <f>IF(NOT((COUNTA($B92:$D92)+COUNTA($G92:$L92)+COUNTA($Q92))&gt;0),"",IF(AND($D92&lt;&gt;"",$V92="Macro"),IF(N($AH92)&gt;0,N(CHOOSE(MATCH($D92,ListaPuestos,0),INDEX('Cronograma R. Operacional'!$M$5:$M$1000,$AH92),INDEX('Cronograma R. Normativo'!$M$5:$M$1000,$AH92),INDEX('Cronograma R. Financiero'!$M$5:$M$1000,$AH92),INDEX('Cronograma Asistente Técnico'!$M$5:$M$1000,$AH92))),0),IF(ISNUMBER($G92),1,IF(N($W92)&gt;0,AVERAGEIFS($X$5:$X$1000,$U$5:$U$1000,ROW(),$V$5:$V$1000,"Sub"),$X92))))</f>
        <v/>
      </c>
      <c r="N92" s="56">
        <f>IF(OR($M92="",$V92="Sub"),"",IF($M92&gt;=1,"Completado",IF($M92&gt;0,"En curso","Pendiente")))</f>
        <v/>
      </c>
      <c r="O92" s="56">
        <f>IF(NOT((COUNTA($B92:$D92)+COUNTA($G92:$L92)+COUNTA($Q92))&gt;0),"",IF(AND(AND($D92&lt;&gt;"",$V92="Macro"),N($AH92)&gt;0),CHOOSE(MATCH($D92,ListaPuestos,0),INDEX('Cronograma R. Operacional'!$O$5:$O$1000,$AH92),INDEX('Cronograma R. Normativo'!$O$5:$O$1000,$AH92),INDEX('Cronograma R. Financiero'!$O$5:$O$1000,$AH92),INDEX('Cronograma Asistente Técnico'!$O$5:$O$1000,$AH92))&amp;"",IF(ISNUMBER($G92),IF(AND(ISNUMBER($AN92),$G92&gt;$AN92),"Cumplida con "&amp;($G92-$AN92)&amp;IF($G92-$AN92=1," día"," días")&amp;" de retraso","Cumplida"),IF(N($M92)&gt;=1,"Cumplida",IF(NOT(ISNUMBER($AN92)),"Sin fecha límite",IF($AN92&lt;FechaRef,"Vencida hace "&amp;(FechaRef-$AN92)&amp;IF(FechaRef-$AN92=1," día"," días"),IF($AN92=FechaRef,"Vence hoy",IF($AN92-FechaRef&lt;=DiasAlerta,"Vence en "&amp;($AN92-FechaRef)&amp;IF($AN92-FechaRef=1," día"," días"),"En plazo"))))))))</f>
        <v/>
      </c>
      <c r="P92" s="62">
        <f>IF(NOT((COUNTA($B92:$D92)+COUNTA($G92:$L92)+COUNTA($Q92))&gt;0),"",IF($D92="","Propia",IF($V92&lt;&gt;"Macro","Solo se delegan macroactividades",IF(N($AH92)&gt;0,"✔ Recibida por "&amp;$D92,"⚠ "&amp;$D92&amp;" aún no la agrega"))))</f>
        <v/>
      </c>
      <c r="Q92" s="58" t="n"/>
      <c r="R92" s="63">
        <f>IF(NOT((COUNTA($B92:$D92)+COUNTA($G92:$L92)+COUNTA($Q92))&gt;0),"",IF((IF($C92="","Falta el nombre de la actividad"&amp;" · ","")&amp;IF(AND($V92="Sub",N($U92)=0),"Subactividad sin macroactividad arriba"&amp;" · ","")&amp;IF($AM92="","Sin fecha de inicio"&amp;" · ","")&amp;IF($AN92="","Sin fecha límite"&amp;" · ","")&amp;IF(AND(LEFT($C92,11)="[Jefatura] ",N($AL92)=0),"No se encuentra en la hoja de la jefatura (elíjala de nuevo en la lista)"&amp;" · ","")&amp;IF(OR(AND($E92&lt;&gt;"",NOT(ISNUMBER($E92))),AND($F92&lt;&gt;"",NOT(ISNUMBER($F92))),AND($G92&lt;&gt;"",NOT(ISNUMBER($G92)))),"Fecha no válida"&amp;" · ","")&amp;IF(AND(ISNUMBER($AM92),ISNUMBER($AN92),$AM92&gt;$AN92),"Inicio posterior a fecha límite"&amp;" · ","")&amp;IF(AND($V92="Macro",$H92&lt;&gt;"",OR(NOT(ISNUMBER($H92)),$H92&lt;0,$H92&gt;1)),"Peso fuera de rango"&amp;" · ","")&amp;IF(AND($V92="Sub",$H92&lt;&gt;""),"Las subactividades no llevan peso (valen igual dentro de su macroactividad)"&amp;" · ","")&amp;IF(AND(N($W92)&gt;0,COUNT($I92:$L92)&gt;0),"Con subactividades: deje vacías las semanas (se calculan solas)"&amp;" · ","")&amp;IF((COUNTIF($I92:$L92,"&gt;1")+COUNTIF($I92:$L92,"&lt;0")+COUNTA($I92:$L92)-COUNT($I92:$L92))&gt;0,"Avance fuera de rango 0-100%"&amp;" · ","")&amp;IF(OR(AND($J92&lt;&gt;"",$J92&lt;$I92),AND($K92&lt;&gt;"",$K92&lt;MAX($I92:$J92)),AND($L92&lt;&gt;"",$L92&lt;MAX($I92:$K92))),"Avance semanal decreciente"&amp;" · ","")&amp;IF(AND(ISNUMBER($AN92),$AN92&lt;FechaRef,IF($V92="Sub",N($X92),N($M92))&lt;1),"Vencida"&amp;" · ","")&amp;IF(AND(ObsObligatoria="Sí",ISNUMBER($AN92),$AN92&lt;FechaRef,IF($V92="Sub",N($X92),N($M92))&lt;1,$Q92=""),"Vencida sin observación"&amp;" · ",""))="","✔ OK","⚠ "&amp;LEFT(IF($C92="","Falta el nombre de la actividad"&amp;" · ","")&amp;IF(AND($V92="Sub",N($U92)=0),"Subactividad sin macroactividad arriba"&amp;" · ","")&amp;IF($AM92="","Sin fecha de inicio"&amp;" · ","")&amp;IF($AN92="","Sin fecha límite"&amp;" · ","")&amp;IF(AND(LEFT($C92,11)="[Jefatura] ",N($AL92)=0),"No se encuentra en la hoja de la jefatura (elíjala de nuevo en la lista)"&amp;" · ","")&amp;IF(OR(AND($E92&lt;&gt;"",NOT(ISNUMBER($E92))),AND($F92&lt;&gt;"",NOT(ISNUMBER($F92))),AND($G92&lt;&gt;"",NOT(ISNUMBER($G92)))),"Fecha no válida"&amp;" · ","")&amp;IF(AND(ISNUMBER($AM92),ISNUMBER($AN92),$AM92&gt;$AN92),"Inicio posterior a fecha límite"&amp;" · ","")&amp;IF(AND($V92="Macro",$H92&lt;&gt;"",OR(NOT(ISNUMBER($H92)),$H92&lt;0,$H92&gt;1)),"Peso fuera de rango"&amp;" · ","")&amp;IF(AND($V92="Sub",$H92&lt;&gt;""),"Las subactividades no llevan peso (valen igual dentro de su macroactividad)"&amp;" · ","")&amp;IF(AND(N($W92)&gt;0,COUNT($I92:$L92)&gt;0),"Con subactividades: deje vacías las semanas (se calculan solas)"&amp;" · ","")&amp;IF((COUNTIF($I92:$L92,"&gt;1")+COUNTIF($I92:$L92,"&lt;0")+COUNTA($I92:$L92)-COUNT($I92:$L92))&gt;0,"Avance fuera de rango 0-100%"&amp;" · ","")&amp;IF(OR(AND($J92&lt;&gt;"",$J92&lt;$I92),AND($K92&lt;&gt;"",$K92&lt;MAX($I92:$J92)),AND($L92&lt;&gt;"",$L92&lt;MAX($I92:$K92))),"Avance semanal decreciente"&amp;" · ","")&amp;IF(AND(ISNUMBER($AN92),$AN92&lt;FechaRef,IF($V92="Sub",N($X92),N($M92))&lt;1),"Vencida"&amp;" · ","")&amp;IF(AND(ObsObligatoria="Sí",ISNUMBER($AN92),$AN92&lt;FechaRef,IF($V92="Sub",N($X92),N($M92))&lt;1,$Q92=""),"Vencida sin observación"&amp;" · ",""),LEN(IF($C92="","Falta el nombre de la actividad"&amp;" · ","")&amp;IF(AND($V92="Sub",N($U92)=0),"Subactividad sin macroactividad arriba"&amp;" · ","")&amp;IF($AM92="","Sin fecha de inicio"&amp;" · ","")&amp;IF($AN92="","Sin fecha límite"&amp;" · ","")&amp;IF(AND(LEFT($C92,11)="[Jefatura] ",N($AL92)=0),"No se encuentra en la hoja de la jefatura (elíjala de nuevo en la lista)"&amp;" · ","")&amp;IF(OR(AND($E92&lt;&gt;"",NOT(ISNUMBER($E92))),AND($F92&lt;&gt;"",NOT(ISNUMBER($F92))),AND($G92&lt;&gt;"",NOT(ISNUMBER($G92)))),"Fecha no válida"&amp;" · ","")&amp;IF(AND(ISNUMBER($AM92),ISNUMBER($AN92),$AM92&gt;$AN92),"Inicio posterior a fecha límite"&amp;" · ","")&amp;IF(AND($V92="Macro",$H92&lt;&gt;"",OR(NOT(ISNUMBER($H92)),$H92&lt;0,$H92&gt;1)),"Peso fuera de rango"&amp;" · ","")&amp;IF(AND($V92="Sub",$H92&lt;&gt;""),"Las subactividades no llevan peso (valen igual dentro de su macroactividad)"&amp;" · ","")&amp;IF(AND(N($W92)&gt;0,COUNT($I92:$L92)&gt;0),"Con subactividades: deje vacías las semanas (se calculan solas)"&amp;" · ","")&amp;IF((COUNTIF($I92:$L92,"&gt;1")+COUNTIF($I92:$L92,"&lt;0")+COUNTA($I92:$L92)-COUNT($I92:$L92))&gt;0,"Avance fuera de rango 0-100%"&amp;" · ","")&amp;IF(OR(AND($J92&lt;&gt;"",$J92&lt;$I92),AND($K92&lt;&gt;"",$K92&lt;MAX($I92:$J92)),AND($L92&lt;&gt;"",$L92&lt;MAX($I92:$K92))),"Avance semanal decreciente"&amp;" · ","")&amp;IF(AND(ISNUMBER($AN92),$AN92&lt;FechaRef,IF($V92="Sub",N($X92),N($M92))&lt;1),"Vencida"&amp;" · ","")&amp;IF(AND(ObsObligatoria="Sí",ISNUMBER($AN92),$AN92&lt;FechaRef,IF($V92="Sub",N($X92),N($M92))&lt;1,$Q92=""),"Vencida sin observación"&amp;" · ",""))-3)))</f>
        <v/>
      </c>
      <c r="S92" s="64">
        <f>IF(NOT((COUNTA($B92:$D92)+COUNTA($G92:$L92)+COUNTA($Q92))&gt;0),"",IF(AND($V92="Sub",N($U92)&gt;0),IF(ISNUMBER(INDEX($AM$5:$AM$1000,$U92-4)),DATE(YEAR(INDEX($AM$5:$AM$1000,$U92-4)),MONTH(INDEX($AM$5:$AM$1000,$U92-4)),1),IF(ISNUMBER(INDEX($AN$5:$AN$1000,$U92-4)),DATE(YEAR(INDEX($AN$5:$AN$1000,$U92-4)),MONTH(INDEX($AN$5:$AN$1000,$U92-4)),1),MesCiclo)),IF(ISNUMBER($AM92),DATE(YEAR($AM92),MONTH($AM92),1),IF(ISNUMBER($AN92),DATE(YEAR($AN92),MONTH($AN92),1),MesCiclo))))</f>
        <v/>
      </c>
      <c r="T92" s="62">
        <f>IF(OR($S92="",$S92&lt;&gt;MesCiclo,$V92&lt;&gt;"Macro"),"",COUNTIFS($S$5:$S92,MesCiclo,$V$5:$V92,"Macro"))</f>
        <v/>
      </c>
      <c r="U92" s="62">
        <f>IF($V92="","",IF($V92="Macro",ROW(),IFERROR(LOOKUP(2,1/($V$5:$V92="Macro"),ROW($V$5:$V92)),0)))</f>
        <v/>
      </c>
      <c r="V92" s="62">
        <f>IF(NOT((COUNTA($B92:$D92)+COUNTA($G92:$L92)+COUNTA($Q92))&gt;0),"",IF($B92="Subactividad","Sub","Macro"))</f>
        <v/>
      </c>
      <c r="W92" s="62">
        <f>IF($V92="Macro",COUNTIFS($U$5:$U$1000,ROW(),$V$5:$V$1000,"Sub"),"")</f>
        <v/>
      </c>
      <c r="X92" s="62">
        <f>IF($V92="","",IF(ISNUMBER($G92),1,IFERROR(LOOKUP(2,1/($I92:$L92&lt;&gt;""),$I92:$L92),0)))</f>
        <v/>
      </c>
      <c r="Y92" s="62">
        <f>IF($V92="","",IF(AND(ISNUMBER($G92),$G92&lt;=IF($S92=MesCiclo,InicioCiclo,$S92+MOD(2-WEEKDAY($S92),7))+6),1,IF(ISNUMBER($I92),$I92,0)))</f>
        <v/>
      </c>
      <c r="Z92" s="62">
        <f>IF($V92="","",IF(AND(ISNUMBER($G92),$G92&lt;=IF($S92=MesCiclo,InicioCiclo,$S92+MOD(2-WEEKDAY($S92),7))+13),1,IF(ISNUMBER($J92),$J92,$Y92)))</f>
        <v/>
      </c>
      <c r="AA92" s="62">
        <f>IF($V92="","",IF(AND(ISNUMBER($G92),$G92&lt;=IF($S92=MesCiclo,InicioCiclo,$S92+MOD(2-WEEKDAY($S92),7))+20),1,IF(ISNUMBER($K92),$K92,$Z92)))</f>
        <v/>
      </c>
      <c r="AB92" s="62">
        <f>IF($V92="","",IF(AND(ISNUMBER($G92),$G92&lt;=IF($S92=MesCiclo,InicioCiclo,$S92+MOD(2-WEEKDAY($S92),7))+27),1,IF(ISNUMBER($L92),$L92,$AA92)))</f>
        <v/>
      </c>
      <c r="AC92" s="62">
        <f>IF($V92="","",IF(AND(ISNUMBER($G92),$G92&lt;=IF($S92=MesCiclo,InicioCiclo,$S92+MOD(2-WEEKDAY($S92),7))+6),1,IF(N($W92)&gt;0,AVERAGEIFS($Y$5:$Y$1000,$U$5:$U$1000,ROW(),$V$5:$V$1000,"Sub"),$Y92)))</f>
        <v/>
      </c>
      <c r="AD92" s="62">
        <f>IF($V92="","",IF(AND(ISNUMBER($G92),$G92&lt;=IF($S92=MesCiclo,InicioCiclo,$S92+MOD(2-WEEKDAY($S92),7))+13),1,IF(N($W92)&gt;0,AVERAGEIFS($Z$5:$Z$1000,$U$5:$U$1000,ROW(),$V$5:$V$1000,"Sub"),$Z92)))</f>
        <v/>
      </c>
      <c r="AE92" s="62">
        <f>IF($V92="","",IF(AND(ISNUMBER($G92),$G92&lt;=IF($S92=MesCiclo,InicioCiclo,$S92+MOD(2-WEEKDAY($S92),7))+20),1,IF(N($W92)&gt;0,AVERAGEIFS($AA$5:$AA$1000,$U$5:$U$1000,ROW(),$V$5:$V$1000,"Sub"),$AA92)))</f>
        <v/>
      </c>
      <c r="AF92" s="62">
        <f>IF($V92="","",IF(AND(ISNUMBER($G92),$G92&lt;=IF($S92=MesCiclo,InicioCiclo,$S92+MOD(2-WEEKDAY($S92),7))+27),1,IF(N($W92)&gt;0,AVERAGEIFS($AB$5:$AB$1000,$U$5:$U$1000,ROW(),$V$5:$V$1000,"Sub"),$AB92)))</f>
        <v/>
      </c>
      <c r="AG92" s="62">
        <f>IF($V92&lt;&gt;"Macro","",IF(COUNTIFS($S$5:$S$1000,$S92,$V$5:$V$1000,"Macro",$H$5:$H$1000,"&gt;0")=0,1/COUNTIFS($S$5:$S$1000,$S92,$V$5:$V$1000,"Macro"),IF(AND(ISNUMBER($H92),N($H92)&gt;0),$H92,SUMIFS($H$5:$H$1000,$S$5:$S$1000,$S92,$V$5:$V$1000,"Macro")/COUNTIFS($S$5:$S$1000,$S92,$V$5:$V$1000,"Macro",$H$5:$H$1000,"&gt;0"))/(COUNTIFS($S$5:$S$1000,$S92,$V$5:$V$1000,"Macro")*SUMIFS($H$5:$H$1000,$S$5:$S$1000,$S92,$V$5:$V$1000,"Macro")/COUNTIFS($S$5:$S$1000,$S92,$V$5:$V$1000,"Macro",$H$5:$H$1000,"&gt;0"))))</f>
        <v/>
      </c>
      <c r="AH92" s="62">
        <f>IF(NOT(AND($D92&lt;&gt;"",$V92="Macro")),"",IFERROR(CHOOSE(MATCH($D92,ListaPuestos,0),MATCH("[Jefatura] "&amp;$C92,'Cronograma R. Operacional'!$C$5:$C$1000,0),MATCH("[Jefatura] "&amp;$C92,'Cronograma R. Normativo'!$C$5:$C$1000,0),MATCH("[Jefatura] "&amp;$C92,'Cronograma R. Financiero'!$C$5:$C$1000,0),MATCH("[Jefatura] "&amp;$C92,'Cronograma Asistente Técnico'!$C$5:$C$1000,0)),0))</f>
        <v/>
      </c>
      <c r="AI92" s="62">
        <f>IF(AND(AND($D92&lt;&gt;"",$V92="Macro"),$S92=MesCiclo),COUNTIFS($D$5:$D92,$D92,$S$5:$S92,MesCiclo,$V$5:$V92,"Macro"),"")</f>
        <v/>
      </c>
      <c r="AJ92" s="62">
        <f>IF($AI92="","",$D92&amp;"|"&amp;$AI92)</f>
        <v/>
      </c>
      <c r="AK92" s="62">
        <f>IF(AND($D92&lt;&gt;"",$V92="Macro"),$D92&amp;"|"&amp;$C92,"")</f>
        <v/>
      </c>
      <c r="AL92" s="62">
        <f>""</f>
        <v/>
      </c>
      <c r="AM92" s="62">
        <f>IF(N($AL92)&gt;0,INDEX(rIni_ADM,$AL92),IF(ISNUMBER($E92),$E92,""))</f>
        <v/>
      </c>
      <c r="AN92" s="62">
        <f>IF(N($AL92)&gt;0,INDEX(rLim_ADM,$AL92),IF(ISNUMBER($F92),$F92,""))</f>
        <v/>
      </c>
    </row>
    <row r="93">
      <c r="A93" s="56">
        <f>IF(NOT((COUNTA($B93:$D93)+COUNTA($G93:$L93)+COUNTA($Q93))&gt;0),"",IF($V93="Macro",COUNTIFS($V$5:$V93,"Macro",$S$5:$S93,$S93),IF(N($U93)=0,"?",COUNTIFS(INDEX($V$5:$V$1000,1):INDEX($V$5:$V$1000,$U93-4),"Macro",INDEX($S$5:$S$1000,1):INDEX($S$5:$S$1000,$U93-4),INDEX($S$5:$S$1000,$U93-4))&amp;"."&amp;COUNTIFS($U$5:$U93,$U93,$V$5:$V93,"Sub"))))</f>
        <v/>
      </c>
      <c r="B93" s="57" t="n"/>
      <c r="C93" s="58" t="n"/>
      <c r="D93" s="58" t="n"/>
      <c r="E93" s="59" t="n"/>
      <c r="F93" s="59" t="n"/>
      <c r="G93" s="59" t="n"/>
      <c r="H93" s="60" t="n"/>
      <c r="I93" s="60" t="n"/>
      <c r="J93" s="60" t="n"/>
      <c r="K93" s="60" t="n"/>
      <c r="L93" s="60" t="n"/>
      <c r="M93" s="61">
        <f>IF(NOT((COUNTA($B93:$D93)+COUNTA($G93:$L93)+COUNTA($Q93))&gt;0),"",IF(AND($D93&lt;&gt;"",$V93="Macro"),IF(N($AH93)&gt;0,N(CHOOSE(MATCH($D93,ListaPuestos,0),INDEX('Cronograma R. Operacional'!$M$5:$M$1000,$AH93),INDEX('Cronograma R. Normativo'!$M$5:$M$1000,$AH93),INDEX('Cronograma R. Financiero'!$M$5:$M$1000,$AH93),INDEX('Cronograma Asistente Técnico'!$M$5:$M$1000,$AH93))),0),IF(ISNUMBER($G93),1,IF(N($W93)&gt;0,AVERAGEIFS($X$5:$X$1000,$U$5:$U$1000,ROW(),$V$5:$V$1000,"Sub"),$X93))))</f>
        <v/>
      </c>
      <c r="N93" s="56">
        <f>IF(OR($M93="",$V93="Sub"),"",IF($M93&gt;=1,"Completado",IF($M93&gt;0,"En curso","Pendiente")))</f>
        <v/>
      </c>
      <c r="O93" s="56">
        <f>IF(NOT((COUNTA($B93:$D93)+COUNTA($G93:$L93)+COUNTA($Q93))&gt;0),"",IF(AND(AND($D93&lt;&gt;"",$V93="Macro"),N($AH93)&gt;0),CHOOSE(MATCH($D93,ListaPuestos,0),INDEX('Cronograma R. Operacional'!$O$5:$O$1000,$AH93),INDEX('Cronograma R. Normativo'!$O$5:$O$1000,$AH93),INDEX('Cronograma R. Financiero'!$O$5:$O$1000,$AH93),INDEX('Cronograma Asistente Técnico'!$O$5:$O$1000,$AH93))&amp;"",IF(ISNUMBER($G93),IF(AND(ISNUMBER($AN93),$G93&gt;$AN93),"Cumplida con "&amp;($G93-$AN93)&amp;IF($G93-$AN93=1," día"," días")&amp;" de retraso","Cumplida"),IF(N($M93)&gt;=1,"Cumplida",IF(NOT(ISNUMBER($AN93)),"Sin fecha límite",IF($AN93&lt;FechaRef,"Vencida hace "&amp;(FechaRef-$AN93)&amp;IF(FechaRef-$AN93=1," día"," días"),IF($AN93=FechaRef,"Vence hoy",IF($AN93-FechaRef&lt;=DiasAlerta,"Vence en "&amp;($AN93-FechaRef)&amp;IF($AN93-FechaRef=1," día"," días"),"En plazo"))))))))</f>
        <v/>
      </c>
      <c r="P93" s="62">
        <f>IF(NOT((COUNTA($B93:$D93)+COUNTA($G93:$L93)+COUNTA($Q93))&gt;0),"",IF($D93="","Propia",IF($V93&lt;&gt;"Macro","Solo se delegan macroactividades",IF(N($AH93)&gt;0,"✔ Recibida por "&amp;$D93,"⚠ "&amp;$D93&amp;" aún no la agrega"))))</f>
        <v/>
      </c>
      <c r="Q93" s="58" t="n"/>
      <c r="R93" s="63">
        <f>IF(NOT((COUNTA($B93:$D93)+COUNTA($G93:$L93)+COUNTA($Q93))&gt;0),"",IF((IF($C93="","Falta el nombre de la actividad"&amp;" · ","")&amp;IF(AND($V93="Sub",N($U93)=0),"Subactividad sin macroactividad arriba"&amp;" · ","")&amp;IF($AM93="","Sin fecha de inicio"&amp;" · ","")&amp;IF($AN93="","Sin fecha límite"&amp;" · ","")&amp;IF(AND(LEFT($C93,11)="[Jefatura] ",N($AL93)=0),"No se encuentra en la hoja de la jefatura (elíjala de nuevo en la lista)"&amp;" · ","")&amp;IF(OR(AND($E93&lt;&gt;"",NOT(ISNUMBER($E93))),AND($F93&lt;&gt;"",NOT(ISNUMBER($F93))),AND($G93&lt;&gt;"",NOT(ISNUMBER($G93)))),"Fecha no válida"&amp;" · ","")&amp;IF(AND(ISNUMBER($AM93),ISNUMBER($AN93),$AM93&gt;$AN93),"Inicio posterior a fecha límite"&amp;" · ","")&amp;IF(AND($V93="Macro",$H93&lt;&gt;"",OR(NOT(ISNUMBER($H93)),$H93&lt;0,$H93&gt;1)),"Peso fuera de rango"&amp;" · ","")&amp;IF(AND($V93="Sub",$H93&lt;&gt;""),"Las subactividades no llevan peso (valen igual dentro de su macroactividad)"&amp;" · ","")&amp;IF(AND(N($W93)&gt;0,COUNT($I93:$L93)&gt;0),"Con subactividades: deje vacías las semanas (se calculan solas)"&amp;" · ","")&amp;IF((COUNTIF($I93:$L93,"&gt;1")+COUNTIF($I93:$L93,"&lt;0")+COUNTA($I93:$L93)-COUNT($I93:$L93))&gt;0,"Avance fuera de rango 0-100%"&amp;" · ","")&amp;IF(OR(AND($J93&lt;&gt;"",$J93&lt;$I93),AND($K93&lt;&gt;"",$K93&lt;MAX($I93:$J93)),AND($L93&lt;&gt;"",$L93&lt;MAX($I93:$K93))),"Avance semanal decreciente"&amp;" · ","")&amp;IF(AND(ISNUMBER($AN93),$AN93&lt;FechaRef,IF($V93="Sub",N($X93),N($M93))&lt;1),"Vencida"&amp;" · ","")&amp;IF(AND(ObsObligatoria="Sí",ISNUMBER($AN93),$AN93&lt;FechaRef,IF($V93="Sub",N($X93),N($M93))&lt;1,$Q93=""),"Vencida sin observación"&amp;" · ",""))="","✔ OK","⚠ "&amp;LEFT(IF($C93="","Falta el nombre de la actividad"&amp;" · ","")&amp;IF(AND($V93="Sub",N($U93)=0),"Subactividad sin macroactividad arriba"&amp;" · ","")&amp;IF($AM93="","Sin fecha de inicio"&amp;" · ","")&amp;IF($AN93="","Sin fecha límite"&amp;" · ","")&amp;IF(AND(LEFT($C93,11)="[Jefatura] ",N($AL93)=0),"No se encuentra en la hoja de la jefatura (elíjala de nuevo en la lista)"&amp;" · ","")&amp;IF(OR(AND($E93&lt;&gt;"",NOT(ISNUMBER($E93))),AND($F93&lt;&gt;"",NOT(ISNUMBER($F93))),AND($G93&lt;&gt;"",NOT(ISNUMBER($G93)))),"Fecha no válida"&amp;" · ","")&amp;IF(AND(ISNUMBER($AM93),ISNUMBER($AN93),$AM93&gt;$AN93),"Inicio posterior a fecha límite"&amp;" · ","")&amp;IF(AND($V93="Macro",$H93&lt;&gt;"",OR(NOT(ISNUMBER($H93)),$H93&lt;0,$H93&gt;1)),"Peso fuera de rango"&amp;" · ","")&amp;IF(AND($V93="Sub",$H93&lt;&gt;""),"Las subactividades no llevan peso (valen igual dentro de su macroactividad)"&amp;" · ","")&amp;IF(AND(N($W93)&gt;0,COUNT($I93:$L93)&gt;0),"Con subactividades: deje vacías las semanas (se calculan solas)"&amp;" · ","")&amp;IF((COUNTIF($I93:$L93,"&gt;1")+COUNTIF($I93:$L93,"&lt;0")+COUNTA($I93:$L93)-COUNT($I93:$L93))&gt;0,"Avance fuera de rango 0-100%"&amp;" · ","")&amp;IF(OR(AND($J93&lt;&gt;"",$J93&lt;$I93),AND($K93&lt;&gt;"",$K93&lt;MAX($I93:$J93)),AND($L93&lt;&gt;"",$L93&lt;MAX($I93:$K93))),"Avance semanal decreciente"&amp;" · ","")&amp;IF(AND(ISNUMBER($AN93),$AN93&lt;FechaRef,IF($V93="Sub",N($X93),N($M93))&lt;1),"Vencida"&amp;" · ","")&amp;IF(AND(ObsObligatoria="Sí",ISNUMBER($AN93),$AN93&lt;FechaRef,IF($V93="Sub",N($X93),N($M93))&lt;1,$Q93=""),"Vencida sin observación"&amp;" · ",""),LEN(IF($C93="","Falta el nombre de la actividad"&amp;" · ","")&amp;IF(AND($V93="Sub",N($U93)=0),"Subactividad sin macroactividad arriba"&amp;" · ","")&amp;IF($AM93="","Sin fecha de inicio"&amp;" · ","")&amp;IF($AN93="","Sin fecha límite"&amp;" · ","")&amp;IF(AND(LEFT($C93,11)="[Jefatura] ",N($AL93)=0),"No se encuentra en la hoja de la jefatura (elíjala de nuevo en la lista)"&amp;" · ","")&amp;IF(OR(AND($E93&lt;&gt;"",NOT(ISNUMBER($E93))),AND($F93&lt;&gt;"",NOT(ISNUMBER($F93))),AND($G93&lt;&gt;"",NOT(ISNUMBER($G93)))),"Fecha no válida"&amp;" · ","")&amp;IF(AND(ISNUMBER($AM93),ISNUMBER($AN93),$AM93&gt;$AN93),"Inicio posterior a fecha límite"&amp;" · ","")&amp;IF(AND($V93="Macro",$H93&lt;&gt;"",OR(NOT(ISNUMBER($H93)),$H93&lt;0,$H93&gt;1)),"Peso fuera de rango"&amp;" · ","")&amp;IF(AND($V93="Sub",$H93&lt;&gt;""),"Las subactividades no llevan peso (valen igual dentro de su macroactividad)"&amp;" · ","")&amp;IF(AND(N($W93)&gt;0,COUNT($I93:$L93)&gt;0),"Con subactividades: deje vacías las semanas (se calculan solas)"&amp;" · ","")&amp;IF((COUNTIF($I93:$L93,"&gt;1")+COUNTIF($I93:$L93,"&lt;0")+COUNTA($I93:$L93)-COUNT($I93:$L93))&gt;0,"Avance fuera de rango 0-100%"&amp;" · ","")&amp;IF(OR(AND($J93&lt;&gt;"",$J93&lt;$I93),AND($K93&lt;&gt;"",$K93&lt;MAX($I93:$J93)),AND($L93&lt;&gt;"",$L93&lt;MAX($I93:$K93))),"Avance semanal decreciente"&amp;" · ","")&amp;IF(AND(ISNUMBER($AN93),$AN93&lt;FechaRef,IF($V93="Sub",N($X93),N($M93))&lt;1),"Vencida"&amp;" · ","")&amp;IF(AND(ObsObligatoria="Sí",ISNUMBER($AN93),$AN93&lt;FechaRef,IF($V93="Sub",N($X93),N($M93))&lt;1,$Q93=""),"Vencida sin observación"&amp;" · ",""))-3)))</f>
        <v/>
      </c>
      <c r="S93" s="64">
        <f>IF(NOT((COUNTA($B93:$D93)+COUNTA($G93:$L93)+COUNTA($Q93))&gt;0),"",IF(AND($V93="Sub",N($U93)&gt;0),IF(ISNUMBER(INDEX($AM$5:$AM$1000,$U93-4)),DATE(YEAR(INDEX($AM$5:$AM$1000,$U93-4)),MONTH(INDEX($AM$5:$AM$1000,$U93-4)),1),IF(ISNUMBER(INDEX($AN$5:$AN$1000,$U93-4)),DATE(YEAR(INDEX($AN$5:$AN$1000,$U93-4)),MONTH(INDEX($AN$5:$AN$1000,$U93-4)),1),MesCiclo)),IF(ISNUMBER($AM93),DATE(YEAR($AM93),MONTH($AM93),1),IF(ISNUMBER($AN93),DATE(YEAR($AN93),MONTH($AN93),1),MesCiclo))))</f>
        <v/>
      </c>
      <c r="T93" s="62">
        <f>IF(OR($S93="",$S93&lt;&gt;MesCiclo,$V93&lt;&gt;"Macro"),"",COUNTIFS($S$5:$S93,MesCiclo,$V$5:$V93,"Macro"))</f>
        <v/>
      </c>
      <c r="U93" s="62">
        <f>IF($V93="","",IF($V93="Macro",ROW(),IFERROR(LOOKUP(2,1/($V$5:$V93="Macro"),ROW($V$5:$V93)),0)))</f>
        <v/>
      </c>
      <c r="V93" s="62">
        <f>IF(NOT((COUNTA($B93:$D93)+COUNTA($G93:$L93)+COUNTA($Q93))&gt;0),"",IF($B93="Subactividad","Sub","Macro"))</f>
        <v/>
      </c>
      <c r="W93" s="62">
        <f>IF($V93="Macro",COUNTIFS($U$5:$U$1000,ROW(),$V$5:$V$1000,"Sub"),"")</f>
        <v/>
      </c>
      <c r="X93" s="62">
        <f>IF($V93="","",IF(ISNUMBER($G93),1,IFERROR(LOOKUP(2,1/($I93:$L93&lt;&gt;""),$I93:$L93),0)))</f>
        <v/>
      </c>
      <c r="Y93" s="62">
        <f>IF($V93="","",IF(AND(ISNUMBER($G93),$G93&lt;=IF($S93=MesCiclo,InicioCiclo,$S93+MOD(2-WEEKDAY($S93),7))+6),1,IF(ISNUMBER($I93),$I93,0)))</f>
        <v/>
      </c>
      <c r="Z93" s="62">
        <f>IF($V93="","",IF(AND(ISNUMBER($G93),$G93&lt;=IF($S93=MesCiclo,InicioCiclo,$S93+MOD(2-WEEKDAY($S93),7))+13),1,IF(ISNUMBER($J93),$J93,$Y93)))</f>
        <v/>
      </c>
      <c r="AA93" s="62">
        <f>IF($V93="","",IF(AND(ISNUMBER($G93),$G93&lt;=IF($S93=MesCiclo,InicioCiclo,$S93+MOD(2-WEEKDAY($S93),7))+20),1,IF(ISNUMBER($K93),$K93,$Z93)))</f>
        <v/>
      </c>
      <c r="AB93" s="62">
        <f>IF($V93="","",IF(AND(ISNUMBER($G93),$G93&lt;=IF($S93=MesCiclo,InicioCiclo,$S93+MOD(2-WEEKDAY($S93),7))+27),1,IF(ISNUMBER($L93),$L93,$AA93)))</f>
        <v/>
      </c>
      <c r="AC93" s="62">
        <f>IF($V93="","",IF(AND(ISNUMBER($G93),$G93&lt;=IF($S93=MesCiclo,InicioCiclo,$S93+MOD(2-WEEKDAY($S93),7))+6),1,IF(N($W93)&gt;0,AVERAGEIFS($Y$5:$Y$1000,$U$5:$U$1000,ROW(),$V$5:$V$1000,"Sub"),$Y93)))</f>
        <v/>
      </c>
      <c r="AD93" s="62">
        <f>IF($V93="","",IF(AND(ISNUMBER($G93),$G93&lt;=IF($S93=MesCiclo,InicioCiclo,$S93+MOD(2-WEEKDAY($S93),7))+13),1,IF(N($W93)&gt;0,AVERAGEIFS($Z$5:$Z$1000,$U$5:$U$1000,ROW(),$V$5:$V$1000,"Sub"),$Z93)))</f>
        <v/>
      </c>
      <c r="AE93" s="62">
        <f>IF($V93="","",IF(AND(ISNUMBER($G93),$G93&lt;=IF($S93=MesCiclo,InicioCiclo,$S93+MOD(2-WEEKDAY($S93),7))+20),1,IF(N($W93)&gt;0,AVERAGEIFS($AA$5:$AA$1000,$U$5:$U$1000,ROW(),$V$5:$V$1000,"Sub"),$AA93)))</f>
        <v/>
      </c>
      <c r="AF93" s="62">
        <f>IF($V93="","",IF(AND(ISNUMBER($G93),$G93&lt;=IF($S93=MesCiclo,InicioCiclo,$S93+MOD(2-WEEKDAY($S93),7))+27),1,IF(N($W93)&gt;0,AVERAGEIFS($AB$5:$AB$1000,$U$5:$U$1000,ROW(),$V$5:$V$1000,"Sub"),$AB93)))</f>
        <v/>
      </c>
      <c r="AG93" s="62">
        <f>IF($V93&lt;&gt;"Macro","",IF(COUNTIFS($S$5:$S$1000,$S93,$V$5:$V$1000,"Macro",$H$5:$H$1000,"&gt;0")=0,1/COUNTIFS($S$5:$S$1000,$S93,$V$5:$V$1000,"Macro"),IF(AND(ISNUMBER($H93),N($H93)&gt;0),$H93,SUMIFS($H$5:$H$1000,$S$5:$S$1000,$S93,$V$5:$V$1000,"Macro")/COUNTIFS($S$5:$S$1000,$S93,$V$5:$V$1000,"Macro",$H$5:$H$1000,"&gt;0"))/(COUNTIFS($S$5:$S$1000,$S93,$V$5:$V$1000,"Macro")*SUMIFS($H$5:$H$1000,$S$5:$S$1000,$S93,$V$5:$V$1000,"Macro")/COUNTIFS($S$5:$S$1000,$S93,$V$5:$V$1000,"Macro",$H$5:$H$1000,"&gt;0"))))</f>
        <v/>
      </c>
      <c r="AH93" s="62">
        <f>IF(NOT(AND($D93&lt;&gt;"",$V93="Macro")),"",IFERROR(CHOOSE(MATCH($D93,ListaPuestos,0),MATCH("[Jefatura] "&amp;$C93,'Cronograma R. Operacional'!$C$5:$C$1000,0),MATCH("[Jefatura] "&amp;$C93,'Cronograma R. Normativo'!$C$5:$C$1000,0),MATCH("[Jefatura] "&amp;$C93,'Cronograma R. Financiero'!$C$5:$C$1000,0),MATCH("[Jefatura] "&amp;$C93,'Cronograma Asistente Técnico'!$C$5:$C$1000,0)),0))</f>
        <v/>
      </c>
      <c r="AI93" s="62">
        <f>IF(AND(AND($D93&lt;&gt;"",$V93="Macro"),$S93=MesCiclo),COUNTIFS($D$5:$D93,$D93,$S$5:$S93,MesCiclo,$V$5:$V93,"Macro"),"")</f>
        <v/>
      </c>
      <c r="AJ93" s="62">
        <f>IF($AI93="","",$D93&amp;"|"&amp;$AI93)</f>
        <v/>
      </c>
      <c r="AK93" s="62">
        <f>IF(AND($D93&lt;&gt;"",$V93="Macro"),$D93&amp;"|"&amp;$C93,"")</f>
        <v/>
      </c>
      <c r="AL93" s="62">
        <f>""</f>
        <v/>
      </c>
      <c r="AM93" s="62">
        <f>IF(N($AL93)&gt;0,INDEX(rIni_ADM,$AL93),IF(ISNUMBER($E93),$E93,""))</f>
        <v/>
      </c>
      <c r="AN93" s="62">
        <f>IF(N($AL93)&gt;0,INDEX(rLim_ADM,$AL93),IF(ISNUMBER($F93),$F93,""))</f>
        <v/>
      </c>
    </row>
    <row r="94">
      <c r="A94" s="56">
        <f>IF(NOT((COUNTA($B94:$D94)+COUNTA($G94:$L94)+COUNTA($Q94))&gt;0),"",IF($V94="Macro",COUNTIFS($V$5:$V94,"Macro",$S$5:$S94,$S94),IF(N($U94)=0,"?",COUNTIFS(INDEX($V$5:$V$1000,1):INDEX($V$5:$V$1000,$U94-4),"Macro",INDEX($S$5:$S$1000,1):INDEX($S$5:$S$1000,$U94-4),INDEX($S$5:$S$1000,$U94-4))&amp;"."&amp;COUNTIFS($U$5:$U94,$U94,$V$5:$V94,"Sub"))))</f>
        <v/>
      </c>
      <c r="B94" s="57" t="n"/>
      <c r="C94" s="58" t="n"/>
      <c r="D94" s="58" t="n"/>
      <c r="E94" s="59" t="n"/>
      <c r="F94" s="59" t="n"/>
      <c r="G94" s="59" t="n"/>
      <c r="H94" s="60" t="n"/>
      <c r="I94" s="60" t="n"/>
      <c r="J94" s="60" t="n"/>
      <c r="K94" s="60" t="n"/>
      <c r="L94" s="60" t="n"/>
      <c r="M94" s="61">
        <f>IF(NOT((COUNTA($B94:$D94)+COUNTA($G94:$L94)+COUNTA($Q94))&gt;0),"",IF(AND($D94&lt;&gt;"",$V94="Macro"),IF(N($AH94)&gt;0,N(CHOOSE(MATCH($D94,ListaPuestos,0),INDEX('Cronograma R. Operacional'!$M$5:$M$1000,$AH94),INDEX('Cronograma R. Normativo'!$M$5:$M$1000,$AH94),INDEX('Cronograma R. Financiero'!$M$5:$M$1000,$AH94),INDEX('Cronograma Asistente Técnico'!$M$5:$M$1000,$AH94))),0),IF(ISNUMBER($G94),1,IF(N($W94)&gt;0,AVERAGEIFS($X$5:$X$1000,$U$5:$U$1000,ROW(),$V$5:$V$1000,"Sub"),$X94))))</f>
        <v/>
      </c>
      <c r="N94" s="56">
        <f>IF(OR($M94="",$V94="Sub"),"",IF($M94&gt;=1,"Completado",IF($M94&gt;0,"En curso","Pendiente")))</f>
        <v/>
      </c>
      <c r="O94" s="56">
        <f>IF(NOT((COUNTA($B94:$D94)+COUNTA($G94:$L94)+COUNTA($Q94))&gt;0),"",IF(AND(AND($D94&lt;&gt;"",$V94="Macro"),N($AH94)&gt;0),CHOOSE(MATCH($D94,ListaPuestos,0),INDEX('Cronograma R. Operacional'!$O$5:$O$1000,$AH94),INDEX('Cronograma R. Normativo'!$O$5:$O$1000,$AH94),INDEX('Cronograma R. Financiero'!$O$5:$O$1000,$AH94),INDEX('Cronograma Asistente Técnico'!$O$5:$O$1000,$AH94))&amp;"",IF(ISNUMBER($G94),IF(AND(ISNUMBER($AN94),$G94&gt;$AN94),"Cumplida con "&amp;($G94-$AN94)&amp;IF($G94-$AN94=1," día"," días")&amp;" de retraso","Cumplida"),IF(N($M94)&gt;=1,"Cumplida",IF(NOT(ISNUMBER($AN94)),"Sin fecha límite",IF($AN94&lt;FechaRef,"Vencida hace "&amp;(FechaRef-$AN94)&amp;IF(FechaRef-$AN94=1," día"," días"),IF($AN94=FechaRef,"Vence hoy",IF($AN94-FechaRef&lt;=DiasAlerta,"Vence en "&amp;($AN94-FechaRef)&amp;IF($AN94-FechaRef=1," día"," días"),"En plazo"))))))))</f>
        <v/>
      </c>
      <c r="P94" s="62">
        <f>IF(NOT((COUNTA($B94:$D94)+COUNTA($G94:$L94)+COUNTA($Q94))&gt;0),"",IF($D94="","Propia",IF($V94&lt;&gt;"Macro","Solo se delegan macroactividades",IF(N($AH94)&gt;0,"✔ Recibida por "&amp;$D94,"⚠ "&amp;$D94&amp;" aún no la agrega"))))</f>
        <v/>
      </c>
      <c r="Q94" s="58" t="n"/>
      <c r="R94" s="63">
        <f>IF(NOT((COUNTA($B94:$D94)+COUNTA($G94:$L94)+COUNTA($Q94))&gt;0),"",IF((IF($C94="","Falta el nombre de la actividad"&amp;" · ","")&amp;IF(AND($V94="Sub",N($U94)=0),"Subactividad sin macroactividad arriba"&amp;" · ","")&amp;IF($AM94="","Sin fecha de inicio"&amp;" · ","")&amp;IF($AN94="","Sin fecha límite"&amp;" · ","")&amp;IF(AND(LEFT($C94,11)="[Jefatura] ",N($AL94)=0),"No se encuentra en la hoja de la jefatura (elíjala de nuevo en la lista)"&amp;" · ","")&amp;IF(OR(AND($E94&lt;&gt;"",NOT(ISNUMBER($E94))),AND($F94&lt;&gt;"",NOT(ISNUMBER($F94))),AND($G94&lt;&gt;"",NOT(ISNUMBER($G94)))),"Fecha no válida"&amp;" · ","")&amp;IF(AND(ISNUMBER($AM94),ISNUMBER($AN94),$AM94&gt;$AN94),"Inicio posterior a fecha límite"&amp;" · ","")&amp;IF(AND($V94="Macro",$H94&lt;&gt;"",OR(NOT(ISNUMBER($H94)),$H94&lt;0,$H94&gt;1)),"Peso fuera de rango"&amp;" · ","")&amp;IF(AND($V94="Sub",$H94&lt;&gt;""),"Las subactividades no llevan peso (valen igual dentro de su macroactividad)"&amp;" · ","")&amp;IF(AND(N($W94)&gt;0,COUNT($I94:$L94)&gt;0),"Con subactividades: deje vacías las semanas (se calculan solas)"&amp;" · ","")&amp;IF((COUNTIF($I94:$L94,"&gt;1")+COUNTIF($I94:$L94,"&lt;0")+COUNTA($I94:$L94)-COUNT($I94:$L94))&gt;0,"Avance fuera de rango 0-100%"&amp;" · ","")&amp;IF(OR(AND($J94&lt;&gt;"",$J94&lt;$I94),AND($K94&lt;&gt;"",$K94&lt;MAX($I94:$J94)),AND($L94&lt;&gt;"",$L94&lt;MAX($I94:$K94))),"Avance semanal decreciente"&amp;" · ","")&amp;IF(AND(ISNUMBER($AN94),$AN94&lt;FechaRef,IF($V94="Sub",N($X94),N($M94))&lt;1),"Vencida"&amp;" · ","")&amp;IF(AND(ObsObligatoria="Sí",ISNUMBER($AN94),$AN94&lt;FechaRef,IF($V94="Sub",N($X94),N($M94))&lt;1,$Q94=""),"Vencida sin observación"&amp;" · ",""))="","✔ OK","⚠ "&amp;LEFT(IF($C94="","Falta el nombre de la actividad"&amp;" · ","")&amp;IF(AND($V94="Sub",N($U94)=0),"Subactividad sin macroactividad arriba"&amp;" · ","")&amp;IF($AM94="","Sin fecha de inicio"&amp;" · ","")&amp;IF($AN94="","Sin fecha límite"&amp;" · ","")&amp;IF(AND(LEFT($C94,11)="[Jefatura] ",N($AL94)=0),"No se encuentra en la hoja de la jefatura (elíjala de nuevo en la lista)"&amp;" · ","")&amp;IF(OR(AND($E94&lt;&gt;"",NOT(ISNUMBER($E94))),AND($F94&lt;&gt;"",NOT(ISNUMBER($F94))),AND($G94&lt;&gt;"",NOT(ISNUMBER($G94)))),"Fecha no válida"&amp;" · ","")&amp;IF(AND(ISNUMBER($AM94),ISNUMBER($AN94),$AM94&gt;$AN94),"Inicio posterior a fecha límite"&amp;" · ","")&amp;IF(AND($V94="Macro",$H94&lt;&gt;"",OR(NOT(ISNUMBER($H94)),$H94&lt;0,$H94&gt;1)),"Peso fuera de rango"&amp;" · ","")&amp;IF(AND($V94="Sub",$H94&lt;&gt;""),"Las subactividades no llevan peso (valen igual dentro de su macroactividad)"&amp;" · ","")&amp;IF(AND(N($W94)&gt;0,COUNT($I94:$L94)&gt;0),"Con subactividades: deje vacías las semanas (se calculan solas)"&amp;" · ","")&amp;IF((COUNTIF($I94:$L94,"&gt;1")+COUNTIF($I94:$L94,"&lt;0")+COUNTA($I94:$L94)-COUNT($I94:$L94))&gt;0,"Avance fuera de rango 0-100%"&amp;" · ","")&amp;IF(OR(AND($J94&lt;&gt;"",$J94&lt;$I94),AND($K94&lt;&gt;"",$K94&lt;MAX($I94:$J94)),AND($L94&lt;&gt;"",$L94&lt;MAX($I94:$K94))),"Avance semanal decreciente"&amp;" · ","")&amp;IF(AND(ISNUMBER($AN94),$AN94&lt;FechaRef,IF($V94="Sub",N($X94),N($M94))&lt;1),"Vencida"&amp;" · ","")&amp;IF(AND(ObsObligatoria="Sí",ISNUMBER($AN94),$AN94&lt;FechaRef,IF($V94="Sub",N($X94),N($M94))&lt;1,$Q94=""),"Vencida sin observación"&amp;" · ",""),LEN(IF($C94="","Falta el nombre de la actividad"&amp;" · ","")&amp;IF(AND($V94="Sub",N($U94)=0),"Subactividad sin macroactividad arriba"&amp;" · ","")&amp;IF($AM94="","Sin fecha de inicio"&amp;" · ","")&amp;IF($AN94="","Sin fecha límite"&amp;" · ","")&amp;IF(AND(LEFT($C94,11)="[Jefatura] ",N($AL94)=0),"No se encuentra en la hoja de la jefatura (elíjala de nuevo en la lista)"&amp;" · ","")&amp;IF(OR(AND($E94&lt;&gt;"",NOT(ISNUMBER($E94))),AND($F94&lt;&gt;"",NOT(ISNUMBER($F94))),AND($G94&lt;&gt;"",NOT(ISNUMBER($G94)))),"Fecha no válida"&amp;" · ","")&amp;IF(AND(ISNUMBER($AM94),ISNUMBER($AN94),$AM94&gt;$AN94),"Inicio posterior a fecha límite"&amp;" · ","")&amp;IF(AND($V94="Macro",$H94&lt;&gt;"",OR(NOT(ISNUMBER($H94)),$H94&lt;0,$H94&gt;1)),"Peso fuera de rango"&amp;" · ","")&amp;IF(AND($V94="Sub",$H94&lt;&gt;""),"Las subactividades no llevan peso (valen igual dentro de su macroactividad)"&amp;" · ","")&amp;IF(AND(N($W94)&gt;0,COUNT($I94:$L94)&gt;0),"Con subactividades: deje vacías las semanas (se calculan solas)"&amp;" · ","")&amp;IF((COUNTIF($I94:$L94,"&gt;1")+COUNTIF($I94:$L94,"&lt;0")+COUNTA($I94:$L94)-COUNT($I94:$L94))&gt;0,"Avance fuera de rango 0-100%"&amp;" · ","")&amp;IF(OR(AND($J94&lt;&gt;"",$J94&lt;$I94),AND($K94&lt;&gt;"",$K94&lt;MAX($I94:$J94)),AND($L94&lt;&gt;"",$L94&lt;MAX($I94:$K94))),"Avance semanal decreciente"&amp;" · ","")&amp;IF(AND(ISNUMBER($AN94),$AN94&lt;FechaRef,IF($V94="Sub",N($X94),N($M94))&lt;1),"Vencida"&amp;" · ","")&amp;IF(AND(ObsObligatoria="Sí",ISNUMBER($AN94),$AN94&lt;FechaRef,IF($V94="Sub",N($X94),N($M94))&lt;1,$Q94=""),"Vencida sin observación"&amp;" · ",""))-3)))</f>
        <v/>
      </c>
      <c r="S94" s="64">
        <f>IF(NOT((COUNTA($B94:$D94)+COUNTA($G94:$L94)+COUNTA($Q94))&gt;0),"",IF(AND($V94="Sub",N($U94)&gt;0),IF(ISNUMBER(INDEX($AM$5:$AM$1000,$U94-4)),DATE(YEAR(INDEX($AM$5:$AM$1000,$U94-4)),MONTH(INDEX($AM$5:$AM$1000,$U94-4)),1),IF(ISNUMBER(INDEX($AN$5:$AN$1000,$U94-4)),DATE(YEAR(INDEX($AN$5:$AN$1000,$U94-4)),MONTH(INDEX($AN$5:$AN$1000,$U94-4)),1),MesCiclo)),IF(ISNUMBER($AM94),DATE(YEAR($AM94),MONTH($AM94),1),IF(ISNUMBER($AN94),DATE(YEAR($AN94),MONTH($AN94),1),MesCiclo))))</f>
        <v/>
      </c>
      <c r="T94" s="62">
        <f>IF(OR($S94="",$S94&lt;&gt;MesCiclo,$V94&lt;&gt;"Macro"),"",COUNTIFS($S$5:$S94,MesCiclo,$V$5:$V94,"Macro"))</f>
        <v/>
      </c>
      <c r="U94" s="62">
        <f>IF($V94="","",IF($V94="Macro",ROW(),IFERROR(LOOKUP(2,1/($V$5:$V94="Macro"),ROW($V$5:$V94)),0)))</f>
        <v/>
      </c>
      <c r="V94" s="62">
        <f>IF(NOT((COUNTA($B94:$D94)+COUNTA($G94:$L94)+COUNTA($Q94))&gt;0),"",IF($B94="Subactividad","Sub","Macro"))</f>
        <v/>
      </c>
      <c r="W94" s="62">
        <f>IF($V94="Macro",COUNTIFS($U$5:$U$1000,ROW(),$V$5:$V$1000,"Sub"),"")</f>
        <v/>
      </c>
      <c r="X94" s="62">
        <f>IF($V94="","",IF(ISNUMBER($G94),1,IFERROR(LOOKUP(2,1/($I94:$L94&lt;&gt;""),$I94:$L94),0)))</f>
        <v/>
      </c>
      <c r="Y94" s="62">
        <f>IF($V94="","",IF(AND(ISNUMBER($G94),$G94&lt;=IF($S94=MesCiclo,InicioCiclo,$S94+MOD(2-WEEKDAY($S94),7))+6),1,IF(ISNUMBER($I94),$I94,0)))</f>
        <v/>
      </c>
      <c r="Z94" s="62">
        <f>IF($V94="","",IF(AND(ISNUMBER($G94),$G94&lt;=IF($S94=MesCiclo,InicioCiclo,$S94+MOD(2-WEEKDAY($S94),7))+13),1,IF(ISNUMBER($J94),$J94,$Y94)))</f>
        <v/>
      </c>
      <c r="AA94" s="62">
        <f>IF($V94="","",IF(AND(ISNUMBER($G94),$G94&lt;=IF($S94=MesCiclo,InicioCiclo,$S94+MOD(2-WEEKDAY($S94),7))+20),1,IF(ISNUMBER($K94),$K94,$Z94)))</f>
        <v/>
      </c>
      <c r="AB94" s="62">
        <f>IF($V94="","",IF(AND(ISNUMBER($G94),$G94&lt;=IF($S94=MesCiclo,InicioCiclo,$S94+MOD(2-WEEKDAY($S94),7))+27),1,IF(ISNUMBER($L94),$L94,$AA94)))</f>
        <v/>
      </c>
      <c r="AC94" s="62">
        <f>IF($V94="","",IF(AND(ISNUMBER($G94),$G94&lt;=IF($S94=MesCiclo,InicioCiclo,$S94+MOD(2-WEEKDAY($S94),7))+6),1,IF(N($W94)&gt;0,AVERAGEIFS($Y$5:$Y$1000,$U$5:$U$1000,ROW(),$V$5:$V$1000,"Sub"),$Y94)))</f>
        <v/>
      </c>
      <c r="AD94" s="62">
        <f>IF($V94="","",IF(AND(ISNUMBER($G94),$G94&lt;=IF($S94=MesCiclo,InicioCiclo,$S94+MOD(2-WEEKDAY($S94),7))+13),1,IF(N($W94)&gt;0,AVERAGEIFS($Z$5:$Z$1000,$U$5:$U$1000,ROW(),$V$5:$V$1000,"Sub"),$Z94)))</f>
        <v/>
      </c>
      <c r="AE94" s="62">
        <f>IF($V94="","",IF(AND(ISNUMBER($G94),$G94&lt;=IF($S94=MesCiclo,InicioCiclo,$S94+MOD(2-WEEKDAY($S94),7))+20),1,IF(N($W94)&gt;0,AVERAGEIFS($AA$5:$AA$1000,$U$5:$U$1000,ROW(),$V$5:$V$1000,"Sub"),$AA94)))</f>
        <v/>
      </c>
      <c r="AF94" s="62">
        <f>IF($V94="","",IF(AND(ISNUMBER($G94),$G94&lt;=IF($S94=MesCiclo,InicioCiclo,$S94+MOD(2-WEEKDAY($S94),7))+27),1,IF(N($W94)&gt;0,AVERAGEIFS($AB$5:$AB$1000,$U$5:$U$1000,ROW(),$V$5:$V$1000,"Sub"),$AB94)))</f>
        <v/>
      </c>
      <c r="AG94" s="62">
        <f>IF($V94&lt;&gt;"Macro","",IF(COUNTIFS($S$5:$S$1000,$S94,$V$5:$V$1000,"Macro",$H$5:$H$1000,"&gt;0")=0,1/COUNTIFS($S$5:$S$1000,$S94,$V$5:$V$1000,"Macro"),IF(AND(ISNUMBER($H94),N($H94)&gt;0),$H94,SUMIFS($H$5:$H$1000,$S$5:$S$1000,$S94,$V$5:$V$1000,"Macro")/COUNTIFS($S$5:$S$1000,$S94,$V$5:$V$1000,"Macro",$H$5:$H$1000,"&gt;0"))/(COUNTIFS($S$5:$S$1000,$S94,$V$5:$V$1000,"Macro")*SUMIFS($H$5:$H$1000,$S$5:$S$1000,$S94,$V$5:$V$1000,"Macro")/COUNTIFS($S$5:$S$1000,$S94,$V$5:$V$1000,"Macro",$H$5:$H$1000,"&gt;0"))))</f>
        <v/>
      </c>
      <c r="AH94" s="62">
        <f>IF(NOT(AND($D94&lt;&gt;"",$V94="Macro")),"",IFERROR(CHOOSE(MATCH($D94,ListaPuestos,0),MATCH("[Jefatura] "&amp;$C94,'Cronograma R. Operacional'!$C$5:$C$1000,0),MATCH("[Jefatura] "&amp;$C94,'Cronograma R. Normativo'!$C$5:$C$1000,0),MATCH("[Jefatura] "&amp;$C94,'Cronograma R. Financiero'!$C$5:$C$1000,0),MATCH("[Jefatura] "&amp;$C94,'Cronograma Asistente Técnico'!$C$5:$C$1000,0)),0))</f>
        <v/>
      </c>
      <c r="AI94" s="62">
        <f>IF(AND(AND($D94&lt;&gt;"",$V94="Macro"),$S94=MesCiclo),COUNTIFS($D$5:$D94,$D94,$S$5:$S94,MesCiclo,$V$5:$V94,"Macro"),"")</f>
        <v/>
      </c>
      <c r="AJ94" s="62">
        <f>IF($AI94="","",$D94&amp;"|"&amp;$AI94)</f>
        <v/>
      </c>
      <c r="AK94" s="62">
        <f>IF(AND($D94&lt;&gt;"",$V94="Macro"),$D94&amp;"|"&amp;$C94,"")</f>
        <v/>
      </c>
      <c r="AL94" s="62">
        <f>""</f>
        <v/>
      </c>
      <c r="AM94" s="62">
        <f>IF(N($AL94)&gt;0,INDEX(rIni_ADM,$AL94),IF(ISNUMBER($E94),$E94,""))</f>
        <v/>
      </c>
      <c r="AN94" s="62">
        <f>IF(N($AL94)&gt;0,INDEX(rLim_ADM,$AL94),IF(ISNUMBER($F94),$F94,""))</f>
        <v/>
      </c>
    </row>
    <row r="95">
      <c r="A95" s="56">
        <f>IF(NOT((COUNTA($B95:$D95)+COUNTA($G95:$L95)+COUNTA($Q95))&gt;0),"",IF($V95="Macro",COUNTIFS($V$5:$V95,"Macro",$S$5:$S95,$S95),IF(N($U95)=0,"?",COUNTIFS(INDEX($V$5:$V$1000,1):INDEX($V$5:$V$1000,$U95-4),"Macro",INDEX($S$5:$S$1000,1):INDEX($S$5:$S$1000,$U95-4),INDEX($S$5:$S$1000,$U95-4))&amp;"."&amp;COUNTIFS($U$5:$U95,$U95,$V$5:$V95,"Sub"))))</f>
        <v/>
      </c>
      <c r="B95" s="57" t="n"/>
      <c r="C95" s="58" t="n"/>
      <c r="D95" s="58" t="n"/>
      <c r="E95" s="59" t="n"/>
      <c r="F95" s="59" t="n"/>
      <c r="G95" s="59" t="n"/>
      <c r="H95" s="60" t="n"/>
      <c r="I95" s="60" t="n"/>
      <c r="J95" s="60" t="n"/>
      <c r="K95" s="60" t="n"/>
      <c r="L95" s="60" t="n"/>
      <c r="M95" s="61">
        <f>IF(NOT((COUNTA($B95:$D95)+COUNTA($G95:$L95)+COUNTA($Q95))&gt;0),"",IF(AND($D95&lt;&gt;"",$V95="Macro"),IF(N($AH95)&gt;0,N(CHOOSE(MATCH($D95,ListaPuestos,0),INDEX('Cronograma R. Operacional'!$M$5:$M$1000,$AH95),INDEX('Cronograma R. Normativo'!$M$5:$M$1000,$AH95),INDEX('Cronograma R. Financiero'!$M$5:$M$1000,$AH95),INDEX('Cronograma Asistente Técnico'!$M$5:$M$1000,$AH95))),0),IF(ISNUMBER($G95),1,IF(N($W95)&gt;0,AVERAGEIFS($X$5:$X$1000,$U$5:$U$1000,ROW(),$V$5:$V$1000,"Sub"),$X95))))</f>
        <v/>
      </c>
      <c r="N95" s="56">
        <f>IF(OR($M95="",$V95="Sub"),"",IF($M95&gt;=1,"Completado",IF($M95&gt;0,"En curso","Pendiente")))</f>
        <v/>
      </c>
      <c r="O95" s="56">
        <f>IF(NOT((COUNTA($B95:$D95)+COUNTA($G95:$L95)+COUNTA($Q95))&gt;0),"",IF(AND(AND($D95&lt;&gt;"",$V95="Macro"),N($AH95)&gt;0),CHOOSE(MATCH($D95,ListaPuestos,0),INDEX('Cronograma R. Operacional'!$O$5:$O$1000,$AH95),INDEX('Cronograma R. Normativo'!$O$5:$O$1000,$AH95),INDEX('Cronograma R. Financiero'!$O$5:$O$1000,$AH95),INDEX('Cronograma Asistente Técnico'!$O$5:$O$1000,$AH95))&amp;"",IF(ISNUMBER($G95),IF(AND(ISNUMBER($AN95),$G95&gt;$AN95),"Cumplida con "&amp;($G95-$AN95)&amp;IF($G95-$AN95=1," día"," días")&amp;" de retraso","Cumplida"),IF(N($M95)&gt;=1,"Cumplida",IF(NOT(ISNUMBER($AN95)),"Sin fecha límite",IF($AN95&lt;FechaRef,"Vencida hace "&amp;(FechaRef-$AN95)&amp;IF(FechaRef-$AN95=1," día"," días"),IF($AN95=FechaRef,"Vence hoy",IF($AN95-FechaRef&lt;=DiasAlerta,"Vence en "&amp;($AN95-FechaRef)&amp;IF($AN95-FechaRef=1," día"," días"),"En plazo"))))))))</f>
        <v/>
      </c>
      <c r="P95" s="62">
        <f>IF(NOT((COUNTA($B95:$D95)+COUNTA($G95:$L95)+COUNTA($Q95))&gt;0),"",IF($D95="","Propia",IF($V95&lt;&gt;"Macro","Solo se delegan macroactividades",IF(N($AH95)&gt;0,"✔ Recibida por "&amp;$D95,"⚠ "&amp;$D95&amp;" aún no la agrega"))))</f>
        <v/>
      </c>
      <c r="Q95" s="58" t="n"/>
      <c r="R95" s="63">
        <f>IF(NOT((COUNTA($B95:$D95)+COUNTA($G95:$L95)+COUNTA($Q95))&gt;0),"",IF((IF($C95="","Falta el nombre de la actividad"&amp;" · ","")&amp;IF(AND($V95="Sub",N($U95)=0),"Subactividad sin macroactividad arriba"&amp;" · ","")&amp;IF($AM95="","Sin fecha de inicio"&amp;" · ","")&amp;IF($AN95="","Sin fecha límite"&amp;" · ","")&amp;IF(AND(LEFT($C95,11)="[Jefatura] ",N($AL95)=0),"No se encuentra en la hoja de la jefatura (elíjala de nuevo en la lista)"&amp;" · ","")&amp;IF(OR(AND($E95&lt;&gt;"",NOT(ISNUMBER($E95))),AND($F95&lt;&gt;"",NOT(ISNUMBER($F95))),AND($G95&lt;&gt;"",NOT(ISNUMBER($G95)))),"Fecha no válida"&amp;" · ","")&amp;IF(AND(ISNUMBER($AM95),ISNUMBER($AN95),$AM95&gt;$AN95),"Inicio posterior a fecha límite"&amp;" · ","")&amp;IF(AND($V95="Macro",$H95&lt;&gt;"",OR(NOT(ISNUMBER($H95)),$H95&lt;0,$H95&gt;1)),"Peso fuera de rango"&amp;" · ","")&amp;IF(AND($V95="Sub",$H95&lt;&gt;""),"Las subactividades no llevan peso (valen igual dentro de su macroactividad)"&amp;" · ","")&amp;IF(AND(N($W95)&gt;0,COUNT($I95:$L95)&gt;0),"Con subactividades: deje vacías las semanas (se calculan solas)"&amp;" · ","")&amp;IF((COUNTIF($I95:$L95,"&gt;1")+COUNTIF($I95:$L95,"&lt;0")+COUNTA($I95:$L95)-COUNT($I95:$L95))&gt;0,"Avance fuera de rango 0-100%"&amp;" · ","")&amp;IF(OR(AND($J95&lt;&gt;"",$J95&lt;$I95),AND($K95&lt;&gt;"",$K95&lt;MAX($I95:$J95)),AND($L95&lt;&gt;"",$L95&lt;MAX($I95:$K95))),"Avance semanal decreciente"&amp;" · ","")&amp;IF(AND(ISNUMBER($AN95),$AN95&lt;FechaRef,IF($V95="Sub",N($X95),N($M95))&lt;1),"Vencida"&amp;" · ","")&amp;IF(AND(ObsObligatoria="Sí",ISNUMBER($AN95),$AN95&lt;FechaRef,IF($V95="Sub",N($X95),N($M95))&lt;1,$Q95=""),"Vencida sin observación"&amp;" · ",""))="","✔ OK","⚠ "&amp;LEFT(IF($C95="","Falta el nombre de la actividad"&amp;" · ","")&amp;IF(AND($V95="Sub",N($U95)=0),"Subactividad sin macroactividad arriba"&amp;" · ","")&amp;IF($AM95="","Sin fecha de inicio"&amp;" · ","")&amp;IF($AN95="","Sin fecha límite"&amp;" · ","")&amp;IF(AND(LEFT($C95,11)="[Jefatura] ",N($AL95)=0),"No se encuentra en la hoja de la jefatura (elíjala de nuevo en la lista)"&amp;" · ","")&amp;IF(OR(AND($E95&lt;&gt;"",NOT(ISNUMBER($E95))),AND($F95&lt;&gt;"",NOT(ISNUMBER($F95))),AND($G95&lt;&gt;"",NOT(ISNUMBER($G95)))),"Fecha no válida"&amp;" · ","")&amp;IF(AND(ISNUMBER($AM95),ISNUMBER($AN95),$AM95&gt;$AN95),"Inicio posterior a fecha límite"&amp;" · ","")&amp;IF(AND($V95="Macro",$H95&lt;&gt;"",OR(NOT(ISNUMBER($H95)),$H95&lt;0,$H95&gt;1)),"Peso fuera de rango"&amp;" · ","")&amp;IF(AND($V95="Sub",$H95&lt;&gt;""),"Las subactividades no llevan peso (valen igual dentro de su macroactividad)"&amp;" · ","")&amp;IF(AND(N($W95)&gt;0,COUNT($I95:$L95)&gt;0),"Con subactividades: deje vacías las semanas (se calculan solas)"&amp;" · ","")&amp;IF((COUNTIF($I95:$L95,"&gt;1")+COUNTIF($I95:$L95,"&lt;0")+COUNTA($I95:$L95)-COUNT($I95:$L95))&gt;0,"Avance fuera de rango 0-100%"&amp;" · ","")&amp;IF(OR(AND($J95&lt;&gt;"",$J95&lt;$I95),AND($K95&lt;&gt;"",$K95&lt;MAX($I95:$J95)),AND($L95&lt;&gt;"",$L95&lt;MAX($I95:$K95))),"Avance semanal decreciente"&amp;" · ","")&amp;IF(AND(ISNUMBER($AN95),$AN95&lt;FechaRef,IF($V95="Sub",N($X95),N($M95))&lt;1),"Vencida"&amp;" · ","")&amp;IF(AND(ObsObligatoria="Sí",ISNUMBER($AN95),$AN95&lt;FechaRef,IF($V95="Sub",N($X95),N($M95))&lt;1,$Q95=""),"Vencida sin observación"&amp;" · ",""),LEN(IF($C95="","Falta el nombre de la actividad"&amp;" · ","")&amp;IF(AND($V95="Sub",N($U95)=0),"Subactividad sin macroactividad arriba"&amp;" · ","")&amp;IF($AM95="","Sin fecha de inicio"&amp;" · ","")&amp;IF($AN95="","Sin fecha límite"&amp;" · ","")&amp;IF(AND(LEFT($C95,11)="[Jefatura] ",N($AL95)=0),"No se encuentra en la hoja de la jefatura (elíjala de nuevo en la lista)"&amp;" · ","")&amp;IF(OR(AND($E95&lt;&gt;"",NOT(ISNUMBER($E95))),AND($F95&lt;&gt;"",NOT(ISNUMBER($F95))),AND($G95&lt;&gt;"",NOT(ISNUMBER($G95)))),"Fecha no válida"&amp;" · ","")&amp;IF(AND(ISNUMBER($AM95),ISNUMBER($AN95),$AM95&gt;$AN95),"Inicio posterior a fecha límite"&amp;" · ","")&amp;IF(AND($V95="Macro",$H95&lt;&gt;"",OR(NOT(ISNUMBER($H95)),$H95&lt;0,$H95&gt;1)),"Peso fuera de rango"&amp;" · ","")&amp;IF(AND($V95="Sub",$H95&lt;&gt;""),"Las subactividades no llevan peso (valen igual dentro de su macroactividad)"&amp;" · ","")&amp;IF(AND(N($W95)&gt;0,COUNT($I95:$L95)&gt;0),"Con subactividades: deje vacías las semanas (se calculan solas)"&amp;" · ","")&amp;IF((COUNTIF($I95:$L95,"&gt;1")+COUNTIF($I95:$L95,"&lt;0")+COUNTA($I95:$L95)-COUNT($I95:$L95))&gt;0,"Avance fuera de rango 0-100%"&amp;" · ","")&amp;IF(OR(AND($J95&lt;&gt;"",$J95&lt;$I95),AND($K95&lt;&gt;"",$K95&lt;MAX($I95:$J95)),AND($L95&lt;&gt;"",$L95&lt;MAX($I95:$K95))),"Avance semanal decreciente"&amp;" · ","")&amp;IF(AND(ISNUMBER($AN95),$AN95&lt;FechaRef,IF($V95="Sub",N($X95),N($M95))&lt;1),"Vencida"&amp;" · ","")&amp;IF(AND(ObsObligatoria="Sí",ISNUMBER($AN95),$AN95&lt;FechaRef,IF($V95="Sub",N($X95),N($M95))&lt;1,$Q95=""),"Vencida sin observación"&amp;" · ",""))-3)))</f>
        <v/>
      </c>
      <c r="S95" s="64">
        <f>IF(NOT((COUNTA($B95:$D95)+COUNTA($G95:$L95)+COUNTA($Q95))&gt;0),"",IF(AND($V95="Sub",N($U95)&gt;0),IF(ISNUMBER(INDEX($AM$5:$AM$1000,$U95-4)),DATE(YEAR(INDEX($AM$5:$AM$1000,$U95-4)),MONTH(INDEX($AM$5:$AM$1000,$U95-4)),1),IF(ISNUMBER(INDEX($AN$5:$AN$1000,$U95-4)),DATE(YEAR(INDEX($AN$5:$AN$1000,$U95-4)),MONTH(INDEX($AN$5:$AN$1000,$U95-4)),1),MesCiclo)),IF(ISNUMBER($AM95),DATE(YEAR($AM95),MONTH($AM95),1),IF(ISNUMBER($AN95),DATE(YEAR($AN95),MONTH($AN95),1),MesCiclo))))</f>
        <v/>
      </c>
      <c r="T95" s="62">
        <f>IF(OR($S95="",$S95&lt;&gt;MesCiclo,$V95&lt;&gt;"Macro"),"",COUNTIFS($S$5:$S95,MesCiclo,$V$5:$V95,"Macro"))</f>
        <v/>
      </c>
      <c r="U95" s="62">
        <f>IF($V95="","",IF($V95="Macro",ROW(),IFERROR(LOOKUP(2,1/($V$5:$V95="Macro"),ROW($V$5:$V95)),0)))</f>
        <v/>
      </c>
      <c r="V95" s="62">
        <f>IF(NOT((COUNTA($B95:$D95)+COUNTA($G95:$L95)+COUNTA($Q95))&gt;0),"",IF($B95="Subactividad","Sub","Macro"))</f>
        <v/>
      </c>
      <c r="W95" s="62">
        <f>IF($V95="Macro",COUNTIFS($U$5:$U$1000,ROW(),$V$5:$V$1000,"Sub"),"")</f>
        <v/>
      </c>
      <c r="X95" s="62">
        <f>IF($V95="","",IF(ISNUMBER($G95),1,IFERROR(LOOKUP(2,1/($I95:$L95&lt;&gt;""),$I95:$L95),0)))</f>
        <v/>
      </c>
      <c r="Y95" s="62">
        <f>IF($V95="","",IF(AND(ISNUMBER($G95),$G95&lt;=IF($S95=MesCiclo,InicioCiclo,$S95+MOD(2-WEEKDAY($S95),7))+6),1,IF(ISNUMBER($I95),$I95,0)))</f>
        <v/>
      </c>
      <c r="Z95" s="62">
        <f>IF($V95="","",IF(AND(ISNUMBER($G95),$G95&lt;=IF($S95=MesCiclo,InicioCiclo,$S95+MOD(2-WEEKDAY($S95),7))+13),1,IF(ISNUMBER($J95),$J95,$Y95)))</f>
        <v/>
      </c>
      <c r="AA95" s="62">
        <f>IF($V95="","",IF(AND(ISNUMBER($G95),$G95&lt;=IF($S95=MesCiclo,InicioCiclo,$S95+MOD(2-WEEKDAY($S95),7))+20),1,IF(ISNUMBER($K95),$K95,$Z95)))</f>
        <v/>
      </c>
      <c r="AB95" s="62">
        <f>IF($V95="","",IF(AND(ISNUMBER($G95),$G95&lt;=IF($S95=MesCiclo,InicioCiclo,$S95+MOD(2-WEEKDAY($S95),7))+27),1,IF(ISNUMBER($L95),$L95,$AA95)))</f>
        <v/>
      </c>
      <c r="AC95" s="62">
        <f>IF($V95="","",IF(AND(ISNUMBER($G95),$G95&lt;=IF($S95=MesCiclo,InicioCiclo,$S95+MOD(2-WEEKDAY($S95),7))+6),1,IF(N($W95)&gt;0,AVERAGEIFS($Y$5:$Y$1000,$U$5:$U$1000,ROW(),$V$5:$V$1000,"Sub"),$Y95)))</f>
        <v/>
      </c>
      <c r="AD95" s="62">
        <f>IF($V95="","",IF(AND(ISNUMBER($G95),$G95&lt;=IF($S95=MesCiclo,InicioCiclo,$S95+MOD(2-WEEKDAY($S95),7))+13),1,IF(N($W95)&gt;0,AVERAGEIFS($Z$5:$Z$1000,$U$5:$U$1000,ROW(),$V$5:$V$1000,"Sub"),$Z95)))</f>
        <v/>
      </c>
      <c r="AE95" s="62">
        <f>IF($V95="","",IF(AND(ISNUMBER($G95),$G95&lt;=IF($S95=MesCiclo,InicioCiclo,$S95+MOD(2-WEEKDAY($S95),7))+20),1,IF(N($W95)&gt;0,AVERAGEIFS($AA$5:$AA$1000,$U$5:$U$1000,ROW(),$V$5:$V$1000,"Sub"),$AA95)))</f>
        <v/>
      </c>
      <c r="AF95" s="62">
        <f>IF($V95="","",IF(AND(ISNUMBER($G95),$G95&lt;=IF($S95=MesCiclo,InicioCiclo,$S95+MOD(2-WEEKDAY($S95),7))+27),1,IF(N($W95)&gt;0,AVERAGEIFS($AB$5:$AB$1000,$U$5:$U$1000,ROW(),$V$5:$V$1000,"Sub"),$AB95)))</f>
        <v/>
      </c>
      <c r="AG95" s="62">
        <f>IF($V95&lt;&gt;"Macro","",IF(COUNTIFS($S$5:$S$1000,$S95,$V$5:$V$1000,"Macro",$H$5:$H$1000,"&gt;0")=0,1/COUNTIFS($S$5:$S$1000,$S95,$V$5:$V$1000,"Macro"),IF(AND(ISNUMBER($H95),N($H95)&gt;0),$H95,SUMIFS($H$5:$H$1000,$S$5:$S$1000,$S95,$V$5:$V$1000,"Macro")/COUNTIFS($S$5:$S$1000,$S95,$V$5:$V$1000,"Macro",$H$5:$H$1000,"&gt;0"))/(COUNTIFS($S$5:$S$1000,$S95,$V$5:$V$1000,"Macro")*SUMIFS($H$5:$H$1000,$S$5:$S$1000,$S95,$V$5:$V$1000,"Macro")/COUNTIFS($S$5:$S$1000,$S95,$V$5:$V$1000,"Macro",$H$5:$H$1000,"&gt;0"))))</f>
        <v/>
      </c>
      <c r="AH95" s="62">
        <f>IF(NOT(AND($D95&lt;&gt;"",$V95="Macro")),"",IFERROR(CHOOSE(MATCH($D95,ListaPuestos,0),MATCH("[Jefatura] "&amp;$C95,'Cronograma R. Operacional'!$C$5:$C$1000,0),MATCH("[Jefatura] "&amp;$C95,'Cronograma R. Normativo'!$C$5:$C$1000,0),MATCH("[Jefatura] "&amp;$C95,'Cronograma R. Financiero'!$C$5:$C$1000,0),MATCH("[Jefatura] "&amp;$C95,'Cronograma Asistente Técnico'!$C$5:$C$1000,0)),0))</f>
        <v/>
      </c>
      <c r="AI95" s="62">
        <f>IF(AND(AND($D95&lt;&gt;"",$V95="Macro"),$S95=MesCiclo),COUNTIFS($D$5:$D95,$D95,$S$5:$S95,MesCiclo,$V$5:$V95,"Macro"),"")</f>
        <v/>
      </c>
      <c r="AJ95" s="62">
        <f>IF($AI95="","",$D95&amp;"|"&amp;$AI95)</f>
        <v/>
      </c>
      <c r="AK95" s="62">
        <f>IF(AND($D95&lt;&gt;"",$V95="Macro"),$D95&amp;"|"&amp;$C95,"")</f>
        <v/>
      </c>
      <c r="AL95" s="62">
        <f>""</f>
        <v/>
      </c>
      <c r="AM95" s="62">
        <f>IF(N($AL95)&gt;0,INDEX(rIni_ADM,$AL95),IF(ISNUMBER($E95),$E95,""))</f>
        <v/>
      </c>
      <c r="AN95" s="62">
        <f>IF(N($AL95)&gt;0,INDEX(rLim_ADM,$AL95),IF(ISNUMBER($F95),$F95,""))</f>
        <v/>
      </c>
    </row>
    <row r="96">
      <c r="A96" s="56">
        <f>IF(NOT((COUNTA($B96:$D96)+COUNTA($G96:$L96)+COUNTA($Q96))&gt;0),"",IF($V96="Macro",COUNTIFS($V$5:$V96,"Macro",$S$5:$S96,$S96),IF(N($U96)=0,"?",COUNTIFS(INDEX($V$5:$V$1000,1):INDEX($V$5:$V$1000,$U96-4),"Macro",INDEX($S$5:$S$1000,1):INDEX($S$5:$S$1000,$U96-4),INDEX($S$5:$S$1000,$U96-4))&amp;"."&amp;COUNTIFS($U$5:$U96,$U96,$V$5:$V96,"Sub"))))</f>
        <v/>
      </c>
      <c r="B96" s="57" t="n"/>
      <c r="C96" s="58" t="n"/>
      <c r="D96" s="58" t="n"/>
      <c r="E96" s="59" t="n"/>
      <c r="F96" s="59" t="n"/>
      <c r="G96" s="59" t="n"/>
      <c r="H96" s="60" t="n"/>
      <c r="I96" s="60" t="n"/>
      <c r="J96" s="60" t="n"/>
      <c r="K96" s="60" t="n"/>
      <c r="L96" s="60" t="n"/>
      <c r="M96" s="61">
        <f>IF(NOT((COUNTA($B96:$D96)+COUNTA($G96:$L96)+COUNTA($Q96))&gt;0),"",IF(AND($D96&lt;&gt;"",$V96="Macro"),IF(N($AH96)&gt;0,N(CHOOSE(MATCH($D96,ListaPuestos,0),INDEX('Cronograma R. Operacional'!$M$5:$M$1000,$AH96),INDEX('Cronograma R. Normativo'!$M$5:$M$1000,$AH96),INDEX('Cronograma R. Financiero'!$M$5:$M$1000,$AH96),INDEX('Cronograma Asistente Técnico'!$M$5:$M$1000,$AH96))),0),IF(ISNUMBER($G96),1,IF(N($W96)&gt;0,AVERAGEIFS($X$5:$X$1000,$U$5:$U$1000,ROW(),$V$5:$V$1000,"Sub"),$X96))))</f>
        <v/>
      </c>
      <c r="N96" s="56">
        <f>IF(OR($M96="",$V96="Sub"),"",IF($M96&gt;=1,"Completado",IF($M96&gt;0,"En curso","Pendiente")))</f>
        <v/>
      </c>
      <c r="O96" s="56">
        <f>IF(NOT((COUNTA($B96:$D96)+COUNTA($G96:$L96)+COUNTA($Q96))&gt;0),"",IF(AND(AND($D96&lt;&gt;"",$V96="Macro"),N($AH96)&gt;0),CHOOSE(MATCH($D96,ListaPuestos,0),INDEX('Cronograma R. Operacional'!$O$5:$O$1000,$AH96),INDEX('Cronograma R. Normativo'!$O$5:$O$1000,$AH96),INDEX('Cronograma R. Financiero'!$O$5:$O$1000,$AH96),INDEX('Cronograma Asistente Técnico'!$O$5:$O$1000,$AH96))&amp;"",IF(ISNUMBER($G96),IF(AND(ISNUMBER($AN96),$G96&gt;$AN96),"Cumplida con "&amp;($G96-$AN96)&amp;IF($G96-$AN96=1," día"," días")&amp;" de retraso","Cumplida"),IF(N($M96)&gt;=1,"Cumplida",IF(NOT(ISNUMBER($AN96)),"Sin fecha límite",IF($AN96&lt;FechaRef,"Vencida hace "&amp;(FechaRef-$AN96)&amp;IF(FechaRef-$AN96=1," día"," días"),IF($AN96=FechaRef,"Vence hoy",IF($AN96-FechaRef&lt;=DiasAlerta,"Vence en "&amp;($AN96-FechaRef)&amp;IF($AN96-FechaRef=1," día"," días"),"En plazo"))))))))</f>
        <v/>
      </c>
      <c r="P96" s="62">
        <f>IF(NOT((COUNTA($B96:$D96)+COUNTA($G96:$L96)+COUNTA($Q96))&gt;0),"",IF($D96="","Propia",IF($V96&lt;&gt;"Macro","Solo se delegan macroactividades",IF(N($AH96)&gt;0,"✔ Recibida por "&amp;$D96,"⚠ "&amp;$D96&amp;" aún no la agrega"))))</f>
        <v/>
      </c>
      <c r="Q96" s="58" t="n"/>
      <c r="R96" s="63">
        <f>IF(NOT((COUNTA($B96:$D96)+COUNTA($G96:$L96)+COUNTA($Q96))&gt;0),"",IF((IF($C96="","Falta el nombre de la actividad"&amp;" · ","")&amp;IF(AND($V96="Sub",N($U96)=0),"Subactividad sin macroactividad arriba"&amp;" · ","")&amp;IF($AM96="","Sin fecha de inicio"&amp;" · ","")&amp;IF($AN96="","Sin fecha límite"&amp;" · ","")&amp;IF(AND(LEFT($C96,11)="[Jefatura] ",N($AL96)=0),"No se encuentra en la hoja de la jefatura (elíjala de nuevo en la lista)"&amp;" · ","")&amp;IF(OR(AND($E96&lt;&gt;"",NOT(ISNUMBER($E96))),AND($F96&lt;&gt;"",NOT(ISNUMBER($F96))),AND($G96&lt;&gt;"",NOT(ISNUMBER($G96)))),"Fecha no válida"&amp;" · ","")&amp;IF(AND(ISNUMBER($AM96),ISNUMBER($AN96),$AM96&gt;$AN96),"Inicio posterior a fecha límite"&amp;" · ","")&amp;IF(AND($V96="Macro",$H96&lt;&gt;"",OR(NOT(ISNUMBER($H96)),$H96&lt;0,$H96&gt;1)),"Peso fuera de rango"&amp;" · ","")&amp;IF(AND($V96="Sub",$H96&lt;&gt;""),"Las subactividades no llevan peso (valen igual dentro de su macroactividad)"&amp;" · ","")&amp;IF(AND(N($W96)&gt;0,COUNT($I96:$L96)&gt;0),"Con subactividades: deje vacías las semanas (se calculan solas)"&amp;" · ","")&amp;IF((COUNTIF($I96:$L96,"&gt;1")+COUNTIF($I96:$L96,"&lt;0")+COUNTA($I96:$L96)-COUNT($I96:$L96))&gt;0,"Avance fuera de rango 0-100%"&amp;" · ","")&amp;IF(OR(AND($J96&lt;&gt;"",$J96&lt;$I96),AND($K96&lt;&gt;"",$K96&lt;MAX($I96:$J96)),AND($L96&lt;&gt;"",$L96&lt;MAX($I96:$K96))),"Avance semanal decreciente"&amp;" · ","")&amp;IF(AND(ISNUMBER($AN96),$AN96&lt;FechaRef,IF($V96="Sub",N($X96),N($M96))&lt;1),"Vencida"&amp;" · ","")&amp;IF(AND(ObsObligatoria="Sí",ISNUMBER($AN96),$AN96&lt;FechaRef,IF($V96="Sub",N($X96),N($M96))&lt;1,$Q96=""),"Vencida sin observación"&amp;" · ",""))="","✔ OK","⚠ "&amp;LEFT(IF($C96="","Falta el nombre de la actividad"&amp;" · ","")&amp;IF(AND($V96="Sub",N($U96)=0),"Subactividad sin macroactividad arriba"&amp;" · ","")&amp;IF($AM96="","Sin fecha de inicio"&amp;" · ","")&amp;IF($AN96="","Sin fecha límite"&amp;" · ","")&amp;IF(AND(LEFT($C96,11)="[Jefatura] ",N($AL96)=0),"No se encuentra en la hoja de la jefatura (elíjala de nuevo en la lista)"&amp;" · ","")&amp;IF(OR(AND($E96&lt;&gt;"",NOT(ISNUMBER($E96))),AND($F96&lt;&gt;"",NOT(ISNUMBER($F96))),AND($G96&lt;&gt;"",NOT(ISNUMBER($G96)))),"Fecha no válida"&amp;" · ","")&amp;IF(AND(ISNUMBER($AM96),ISNUMBER($AN96),$AM96&gt;$AN96),"Inicio posterior a fecha límite"&amp;" · ","")&amp;IF(AND($V96="Macro",$H96&lt;&gt;"",OR(NOT(ISNUMBER($H96)),$H96&lt;0,$H96&gt;1)),"Peso fuera de rango"&amp;" · ","")&amp;IF(AND($V96="Sub",$H96&lt;&gt;""),"Las subactividades no llevan peso (valen igual dentro de su macroactividad)"&amp;" · ","")&amp;IF(AND(N($W96)&gt;0,COUNT($I96:$L96)&gt;0),"Con subactividades: deje vacías las semanas (se calculan solas)"&amp;" · ","")&amp;IF((COUNTIF($I96:$L96,"&gt;1")+COUNTIF($I96:$L96,"&lt;0")+COUNTA($I96:$L96)-COUNT($I96:$L96))&gt;0,"Avance fuera de rango 0-100%"&amp;" · ","")&amp;IF(OR(AND($J96&lt;&gt;"",$J96&lt;$I96),AND($K96&lt;&gt;"",$K96&lt;MAX($I96:$J96)),AND($L96&lt;&gt;"",$L96&lt;MAX($I96:$K96))),"Avance semanal decreciente"&amp;" · ","")&amp;IF(AND(ISNUMBER($AN96),$AN96&lt;FechaRef,IF($V96="Sub",N($X96),N($M96))&lt;1),"Vencida"&amp;" · ","")&amp;IF(AND(ObsObligatoria="Sí",ISNUMBER($AN96),$AN96&lt;FechaRef,IF($V96="Sub",N($X96),N($M96))&lt;1,$Q96=""),"Vencida sin observación"&amp;" · ",""),LEN(IF($C96="","Falta el nombre de la actividad"&amp;" · ","")&amp;IF(AND($V96="Sub",N($U96)=0),"Subactividad sin macroactividad arriba"&amp;" · ","")&amp;IF($AM96="","Sin fecha de inicio"&amp;" · ","")&amp;IF($AN96="","Sin fecha límite"&amp;" · ","")&amp;IF(AND(LEFT($C96,11)="[Jefatura] ",N($AL96)=0),"No se encuentra en la hoja de la jefatura (elíjala de nuevo en la lista)"&amp;" · ","")&amp;IF(OR(AND($E96&lt;&gt;"",NOT(ISNUMBER($E96))),AND($F96&lt;&gt;"",NOT(ISNUMBER($F96))),AND($G96&lt;&gt;"",NOT(ISNUMBER($G96)))),"Fecha no válida"&amp;" · ","")&amp;IF(AND(ISNUMBER($AM96),ISNUMBER($AN96),$AM96&gt;$AN96),"Inicio posterior a fecha límite"&amp;" · ","")&amp;IF(AND($V96="Macro",$H96&lt;&gt;"",OR(NOT(ISNUMBER($H96)),$H96&lt;0,$H96&gt;1)),"Peso fuera de rango"&amp;" · ","")&amp;IF(AND($V96="Sub",$H96&lt;&gt;""),"Las subactividades no llevan peso (valen igual dentro de su macroactividad)"&amp;" · ","")&amp;IF(AND(N($W96)&gt;0,COUNT($I96:$L96)&gt;0),"Con subactividades: deje vacías las semanas (se calculan solas)"&amp;" · ","")&amp;IF((COUNTIF($I96:$L96,"&gt;1")+COUNTIF($I96:$L96,"&lt;0")+COUNTA($I96:$L96)-COUNT($I96:$L96))&gt;0,"Avance fuera de rango 0-100%"&amp;" · ","")&amp;IF(OR(AND($J96&lt;&gt;"",$J96&lt;$I96),AND($K96&lt;&gt;"",$K96&lt;MAX($I96:$J96)),AND($L96&lt;&gt;"",$L96&lt;MAX($I96:$K96))),"Avance semanal decreciente"&amp;" · ","")&amp;IF(AND(ISNUMBER($AN96),$AN96&lt;FechaRef,IF($V96="Sub",N($X96),N($M96))&lt;1),"Vencida"&amp;" · ","")&amp;IF(AND(ObsObligatoria="Sí",ISNUMBER($AN96),$AN96&lt;FechaRef,IF($V96="Sub",N($X96),N($M96))&lt;1,$Q96=""),"Vencida sin observación"&amp;" · ",""))-3)))</f>
        <v/>
      </c>
      <c r="S96" s="64">
        <f>IF(NOT((COUNTA($B96:$D96)+COUNTA($G96:$L96)+COUNTA($Q96))&gt;0),"",IF(AND($V96="Sub",N($U96)&gt;0),IF(ISNUMBER(INDEX($AM$5:$AM$1000,$U96-4)),DATE(YEAR(INDEX($AM$5:$AM$1000,$U96-4)),MONTH(INDEX($AM$5:$AM$1000,$U96-4)),1),IF(ISNUMBER(INDEX($AN$5:$AN$1000,$U96-4)),DATE(YEAR(INDEX($AN$5:$AN$1000,$U96-4)),MONTH(INDEX($AN$5:$AN$1000,$U96-4)),1),MesCiclo)),IF(ISNUMBER($AM96),DATE(YEAR($AM96),MONTH($AM96),1),IF(ISNUMBER($AN96),DATE(YEAR($AN96),MONTH($AN96),1),MesCiclo))))</f>
        <v/>
      </c>
      <c r="T96" s="62">
        <f>IF(OR($S96="",$S96&lt;&gt;MesCiclo,$V96&lt;&gt;"Macro"),"",COUNTIFS($S$5:$S96,MesCiclo,$V$5:$V96,"Macro"))</f>
        <v/>
      </c>
      <c r="U96" s="62">
        <f>IF($V96="","",IF($V96="Macro",ROW(),IFERROR(LOOKUP(2,1/($V$5:$V96="Macro"),ROW($V$5:$V96)),0)))</f>
        <v/>
      </c>
      <c r="V96" s="62">
        <f>IF(NOT((COUNTA($B96:$D96)+COUNTA($G96:$L96)+COUNTA($Q96))&gt;0),"",IF($B96="Subactividad","Sub","Macro"))</f>
        <v/>
      </c>
      <c r="W96" s="62">
        <f>IF($V96="Macro",COUNTIFS($U$5:$U$1000,ROW(),$V$5:$V$1000,"Sub"),"")</f>
        <v/>
      </c>
      <c r="X96" s="62">
        <f>IF($V96="","",IF(ISNUMBER($G96),1,IFERROR(LOOKUP(2,1/($I96:$L96&lt;&gt;""),$I96:$L96),0)))</f>
        <v/>
      </c>
      <c r="Y96" s="62">
        <f>IF($V96="","",IF(AND(ISNUMBER($G96),$G96&lt;=IF($S96=MesCiclo,InicioCiclo,$S96+MOD(2-WEEKDAY($S96),7))+6),1,IF(ISNUMBER($I96),$I96,0)))</f>
        <v/>
      </c>
      <c r="Z96" s="62">
        <f>IF($V96="","",IF(AND(ISNUMBER($G96),$G96&lt;=IF($S96=MesCiclo,InicioCiclo,$S96+MOD(2-WEEKDAY($S96),7))+13),1,IF(ISNUMBER($J96),$J96,$Y96)))</f>
        <v/>
      </c>
      <c r="AA96" s="62">
        <f>IF($V96="","",IF(AND(ISNUMBER($G96),$G96&lt;=IF($S96=MesCiclo,InicioCiclo,$S96+MOD(2-WEEKDAY($S96),7))+20),1,IF(ISNUMBER($K96),$K96,$Z96)))</f>
        <v/>
      </c>
      <c r="AB96" s="62">
        <f>IF($V96="","",IF(AND(ISNUMBER($G96),$G96&lt;=IF($S96=MesCiclo,InicioCiclo,$S96+MOD(2-WEEKDAY($S96),7))+27),1,IF(ISNUMBER($L96),$L96,$AA96)))</f>
        <v/>
      </c>
      <c r="AC96" s="62">
        <f>IF($V96="","",IF(AND(ISNUMBER($G96),$G96&lt;=IF($S96=MesCiclo,InicioCiclo,$S96+MOD(2-WEEKDAY($S96),7))+6),1,IF(N($W96)&gt;0,AVERAGEIFS($Y$5:$Y$1000,$U$5:$U$1000,ROW(),$V$5:$V$1000,"Sub"),$Y96)))</f>
        <v/>
      </c>
      <c r="AD96" s="62">
        <f>IF($V96="","",IF(AND(ISNUMBER($G96),$G96&lt;=IF($S96=MesCiclo,InicioCiclo,$S96+MOD(2-WEEKDAY($S96),7))+13),1,IF(N($W96)&gt;0,AVERAGEIFS($Z$5:$Z$1000,$U$5:$U$1000,ROW(),$V$5:$V$1000,"Sub"),$Z96)))</f>
        <v/>
      </c>
      <c r="AE96" s="62">
        <f>IF($V96="","",IF(AND(ISNUMBER($G96),$G96&lt;=IF($S96=MesCiclo,InicioCiclo,$S96+MOD(2-WEEKDAY($S96),7))+20),1,IF(N($W96)&gt;0,AVERAGEIFS($AA$5:$AA$1000,$U$5:$U$1000,ROW(),$V$5:$V$1000,"Sub"),$AA96)))</f>
        <v/>
      </c>
      <c r="AF96" s="62">
        <f>IF($V96="","",IF(AND(ISNUMBER($G96),$G96&lt;=IF($S96=MesCiclo,InicioCiclo,$S96+MOD(2-WEEKDAY($S96),7))+27),1,IF(N($W96)&gt;0,AVERAGEIFS($AB$5:$AB$1000,$U$5:$U$1000,ROW(),$V$5:$V$1000,"Sub"),$AB96)))</f>
        <v/>
      </c>
      <c r="AG96" s="62">
        <f>IF($V96&lt;&gt;"Macro","",IF(COUNTIFS($S$5:$S$1000,$S96,$V$5:$V$1000,"Macro",$H$5:$H$1000,"&gt;0")=0,1/COUNTIFS($S$5:$S$1000,$S96,$V$5:$V$1000,"Macro"),IF(AND(ISNUMBER($H96),N($H96)&gt;0),$H96,SUMIFS($H$5:$H$1000,$S$5:$S$1000,$S96,$V$5:$V$1000,"Macro")/COUNTIFS($S$5:$S$1000,$S96,$V$5:$V$1000,"Macro",$H$5:$H$1000,"&gt;0"))/(COUNTIFS($S$5:$S$1000,$S96,$V$5:$V$1000,"Macro")*SUMIFS($H$5:$H$1000,$S$5:$S$1000,$S96,$V$5:$V$1000,"Macro")/COUNTIFS($S$5:$S$1000,$S96,$V$5:$V$1000,"Macro",$H$5:$H$1000,"&gt;0"))))</f>
        <v/>
      </c>
      <c r="AH96" s="62">
        <f>IF(NOT(AND($D96&lt;&gt;"",$V96="Macro")),"",IFERROR(CHOOSE(MATCH($D96,ListaPuestos,0),MATCH("[Jefatura] "&amp;$C96,'Cronograma R. Operacional'!$C$5:$C$1000,0),MATCH("[Jefatura] "&amp;$C96,'Cronograma R. Normativo'!$C$5:$C$1000,0),MATCH("[Jefatura] "&amp;$C96,'Cronograma R. Financiero'!$C$5:$C$1000,0),MATCH("[Jefatura] "&amp;$C96,'Cronograma Asistente Técnico'!$C$5:$C$1000,0)),0))</f>
        <v/>
      </c>
      <c r="AI96" s="62">
        <f>IF(AND(AND($D96&lt;&gt;"",$V96="Macro"),$S96=MesCiclo),COUNTIFS($D$5:$D96,$D96,$S$5:$S96,MesCiclo,$V$5:$V96,"Macro"),"")</f>
        <v/>
      </c>
      <c r="AJ96" s="62">
        <f>IF($AI96="","",$D96&amp;"|"&amp;$AI96)</f>
        <v/>
      </c>
      <c r="AK96" s="62">
        <f>IF(AND($D96&lt;&gt;"",$V96="Macro"),$D96&amp;"|"&amp;$C96,"")</f>
        <v/>
      </c>
      <c r="AL96" s="62">
        <f>""</f>
        <v/>
      </c>
      <c r="AM96" s="62">
        <f>IF(N($AL96)&gt;0,INDEX(rIni_ADM,$AL96),IF(ISNUMBER($E96),$E96,""))</f>
        <v/>
      </c>
      <c r="AN96" s="62">
        <f>IF(N($AL96)&gt;0,INDEX(rLim_ADM,$AL96),IF(ISNUMBER($F96),$F96,""))</f>
        <v/>
      </c>
    </row>
    <row r="97">
      <c r="A97" s="56">
        <f>IF(NOT((COUNTA($B97:$D97)+COUNTA($G97:$L97)+COUNTA($Q97))&gt;0),"",IF($V97="Macro",COUNTIFS($V$5:$V97,"Macro",$S$5:$S97,$S97),IF(N($U97)=0,"?",COUNTIFS(INDEX($V$5:$V$1000,1):INDEX($V$5:$V$1000,$U97-4),"Macro",INDEX($S$5:$S$1000,1):INDEX($S$5:$S$1000,$U97-4),INDEX($S$5:$S$1000,$U97-4))&amp;"."&amp;COUNTIFS($U$5:$U97,$U97,$V$5:$V97,"Sub"))))</f>
        <v/>
      </c>
      <c r="B97" s="57" t="n"/>
      <c r="C97" s="58" t="n"/>
      <c r="D97" s="58" t="n"/>
      <c r="E97" s="59" t="n"/>
      <c r="F97" s="59" t="n"/>
      <c r="G97" s="59" t="n"/>
      <c r="H97" s="60" t="n"/>
      <c r="I97" s="60" t="n"/>
      <c r="J97" s="60" t="n"/>
      <c r="K97" s="60" t="n"/>
      <c r="L97" s="60" t="n"/>
      <c r="M97" s="61">
        <f>IF(NOT((COUNTA($B97:$D97)+COUNTA($G97:$L97)+COUNTA($Q97))&gt;0),"",IF(AND($D97&lt;&gt;"",$V97="Macro"),IF(N($AH97)&gt;0,N(CHOOSE(MATCH($D97,ListaPuestos,0),INDEX('Cronograma R. Operacional'!$M$5:$M$1000,$AH97),INDEX('Cronograma R. Normativo'!$M$5:$M$1000,$AH97),INDEX('Cronograma R. Financiero'!$M$5:$M$1000,$AH97),INDEX('Cronograma Asistente Técnico'!$M$5:$M$1000,$AH97))),0),IF(ISNUMBER($G97),1,IF(N($W97)&gt;0,AVERAGEIFS($X$5:$X$1000,$U$5:$U$1000,ROW(),$V$5:$V$1000,"Sub"),$X97))))</f>
        <v/>
      </c>
      <c r="N97" s="56">
        <f>IF(OR($M97="",$V97="Sub"),"",IF($M97&gt;=1,"Completado",IF($M97&gt;0,"En curso","Pendiente")))</f>
        <v/>
      </c>
      <c r="O97" s="56">
        <f>IF(NOT((COUNTA($B97:$D97)+COUNTA($G97:$L97)+COUNTA($Q97))&gt;0),"",IF(AND(AND($D97&lt;&gt;"",$V97="Macro"),N($AH97)&gt;0),CHOOSE(MATCH($D97,ListaPuestos,0),INDEX('Cronograma R. Operacional'!$O$5:$O$1000,$AH97),INDEX('Cronograma R. Normativo'!$O$5:$O$1000,$AH97),INDEX('Cronograma R. Financiero'!$O$5:$O$1000,$AH97),INDEX('Cronograma Asistente Técnico'!$O$5:$O$1000,$AH97))&amp;"",IF(ISNUMBER($G97),IF(AND(ISNUMBER($AN97),$G97&gt;$AN97),"Cumplida con "&amp;($G97-$AN97)&amp;IF($G97-$AN97=1," día"," días")&amp;" de retraso","Cumplida"),IF(N($M97)&gt;=1,"Cumplida",IF(NOT(ISNUMBER($AN97)),"Sin fecha límite",IF($AN97&lt;FechaRef,"Vencida hace "&amp;(FechaRef-$AN97)&amp;IF(FechaRef-$AN97=1," día"," días"),IF($AN97=FechaRef,"Vence hoy",IF($AN97-FechaRef&lt;=DiasAlerta,"Vence en "&amp;($AN97-FechaRef)&amp;IF($AN97-FechaRef=1," día"," días"),"En plazo"))))))))</f>
        <v/>
      </c>
      <c r="P97" s="62">
        <f>IF(NOT((COUNTA($B97:$D97)+COUNTA($G97:$L97)+COUNTA($Q97))&gt;0),"",IF($D97="","Propia",IF($V97&lt;&gt;"Macro","Solo se delegan macroactividades",IF(N($AH97)&gt;0,"✔ Recibida por "&amp;$D97,"⚠ "&amp;$D97&amp;" aún no la agrega"))))</f>
        <v/>
      </c>
      <c r="Q97" s="58" t="n"/>
      <c r="R97" s="63">
        <f>IF(NOT((COUNTA($B97:$D97)+COUNTA($G97:$L97)+COUNTA($Q97))&gt;0),"",IF((IF($C97="","Falta el nombre de la actividad"&amp;" · ","")&amp;IF(AND($V97="Sub",N($U97)=0),"Subactividad sin macroactividad arriba"&amp;" · ","")&amp;IF($AM97="","Sin fecha de inicio"&amp;" · ","")&amp;IF($AN97="","Sin fecha límite"&amp;" · ","")&amp;IF(AND(LEFT($C97,11)="[Jefatura] ",N($AL97)=0),"No se encuentra en la hoja de la jefatura (elíjala de nuevo en la lista)"&amp;" · ","")&amp;IF(OR(AND($E97&lt;&gt;"",NOT(ISNUMBER($E97))),AND($F97&lt;&gt;"",NOT(ISNUMBER($F97))),AND($G97&lt;&gt;"",NOT(ISNUMBER($G97)))),"Fecha no válida"&amp;" · ","")&amp;IF(AND(ISNUMBER($AM97),ISNUMBER($AN97),$AM97&gt;$AN97),"Inicio posterior a fecha límite"&amp;" · ","")&amp;IF(AND($V97="Macro",$H97&lt;&gt;"",OR(NOT(ISNUMBER($H97)),$H97&lt;0,$H97&gt;1)),"Peso fuera de rango"&amp;" · ","")&amp;IF(AND($V97="Sub",$H97&lt;&gt;""),"Las subactividades no llevan peso (valen igual dentro de su macroactividad)"&amp;" · ","")&amp;IF(AND(N($W97)&gt;0,COUNT($I97:$L97)&gt;0),"Con subactividades: deje vacías las semanas (se calculan solas)"&amp;" · ","")&amp;IF((COUNTIF($I97:$L97,"&gt;1")+COUNTIF($I97:$L97,"&lt;0")+COUNTA($I97:$L97)-COUNT($I97:$L97))&gt;0,"Avance fuera de rango 0-100%"&amp;" · ","")&amp;IF(OR(AND($J97&lt;&gt;"",$J97&lt;$I97),AND($K97&lt;&gt;"",$K97&lt;MAX($I97:$J97)),AND($L97&lt;&gt;"",$L97&lt;MAX($I97:$K97))),"Avance semanal decreciente"&amp;" · ","")&amp;IF(AND(ISNUMBER($AN97),$AN97&lt;FechaRef,IF($V97="Sub",N($X97),N($M97))&lt;1),"Vencida"&amp;" · ","")&amp;IF(AND(ObsObligatoria="Sí",ISNUMBER($AN97),$AN97&lt;FechaRef,IF($V97="Sub",N($X97),N($M97))&lt;1,$Q97=""),"Vencida sin observación"&amp;" · ",""))="","✔ OK","⚠ "&amp;LEFT(IF($C97="","Falta el nombre de la actividad"&amp;" · ","")&amp;IF(AND($V97="Sub",N($U97)=0),"Subactividad sin macroactividad arriba"&amp;" · ","")&amp;IF($AM97="","Sin fecha de inicio"&amp;" · ","")&amp;IF($AN97="","Sin fecha límite"&amp;" · ","")&amp;IF(AND(LEFT($C97,11)="[Jefatura] ",N($AL97)=0),"No se encuentra en la hoja de la jefatura (elíjala de nuevo en la lista)"&amp;" · ","")&amp;IF(OR(AND($E97&lt;&gt;"",NOT(ISNUMBER($E97))),AND($F97&lt;&gt;"",NOT(ISNUMBER($F97))),AND($G97&lt;&gt;"",NOT(ISNUMBER($G97)))),"Fecha no válida"&amp;" · ","")&amp;IF(AND(ISNUMBER($AM97),ISNUMBER($AN97),$AM97&gt;$AN97),"Inicio posterior a fecha límite"&amp;" · ","")&amp;IF(AND($V97="Macro",$H97&lt;&gt;"",OR(NOT(ISNUMBER($H97)),$H97&lt;0,$H97&gt;1)),"Peso fuera de rango"&amp;" · ","")&amp;IF(AND($V97="Sub",$H97&lt;&gt;""),"Las subactividades no llevan peso (valen igual dentro de su macroactividad)"&amp;" · ","")&amp;IF(AND(N($W97)&gt;0,COUNT($I97:$L97)&gt;0),"Con subactividades: deje vacías las semanas (se calculan solas)"&amp;" · ","")&amp;IF((COUNTIF($I97:$L97,"&gt;1")+COUNTIF($I97:$L97,"&lt;0")+COUNTA($I97:$L97)-COUNT($I97:$L97))&gt;0,"Avance fuera de rango 0-100%"&amp;" · ","")&amp;IF(OR(AND($J97&lt;&gt;"",$J97&lt;$I97),AND($K97&lt;&gt;"",$K97&lt;MAX($I97:$J97)),AND($L97&lt;&gt;"",$L97&lt;MAX($I97:$K97))),"Avance semanal decreciente"&amp;" · ","")&amp;IF(AND(ISNUMBER($AN97),$AN97&lt;FechaRef,IF($V97="Sub",N($X97),N($M97))&lt;1),"Vencida"&amp;" · ","")&amp;IF(AND(ObsObligatoria="Sí",ISNUMBER($AN97),$AN97&lt;FechaRef,IF($V97="Sub",N($X97),N($M97))&lt;1,$Q97=""),"Vencida sin observación"&amp;" · ",""),LEN(IF($C97="","Falta el nombre de la actividad"&amp;" · ","")&amp;IF(AND($V97="Sub",N($U97)=0),"Subactividad sin macroactividad arriba"&amp;" · ","")&amp;IF($AM97="","Sin fecha de inicio"&amp;" · ","")&amp;IF($AN97="","Sin fecha límite"&amp;" · ","")&amp;IF(AND(LEFT($C97,11)="[Jefatura] ",N($AL97)=0),"No se encuentra en la hoja de la jefatura (elíjala de nuevo en la lista)"&amp;" · ","")&amp;IF(OR(AND($E97&lt;&gt;"",NOT(ISNUMBER($E97))),AND($F97&lt;&gt;"",NOT(ISNUMBER($F97))),AND($G97&lt;&gt;"",NOT(ISNUMBER($G97)))),"Fecha no válida"&amp;" · ","")&amp;IF(AND(ISNUMBER($AM97),ISNUMBER($AN97),$AM97&gt;$AN97),"Inicio posterior a fecha límite"&amp;" · ","")&amp;IF(AND($V97="Macro",$H97&lt;&gt;"",OR(NOT(ISNUMBER($H97)),$H97&lt;0,$H97&gt;1)),"Peso fuera de rango"&amp;" · ","")&amp;IF(AND($V97="Sub",$H97&lt;&gt;""),"Las subactividades no llevan peso (valen igual dentro de su macroactividad)"&amp;" · ","")&amp;IF(AND(N($W97)&gt;0,COUNT($I97:$L97)&gt;0),"Con subactividades: deje vacías las semanas (se calculan solas)"&amp;" · ","")&amp;IF((COUNTIF($I97:$L97,"&gt;1")+COUNTIF($I97:$L97,"&lt;0")+COUNTA($I97:$L97)-COUNT($I97:$L97))&gt;0,"Avance fuera de rango 0-100%"&amp;" · ","")&amp;IF(OR(AND($J97&lt;&gt;"",$J97&lt;$I97),AND($K97&lt;&gt;"",$K97&lt;MAX($I97:$J97)),AND($L97&lt;&gt;"",$L97&lt;MAX($I97:$K97))),"Avance semanal decreciente"&amp;" · ","")&amp;IF(AND(ISNUMBER($AN97),$AN97&lt;FechaRef,IF($V97="Sub",N($X97),N($M97))&lt;1),"Vencida"&amp;" · ","")&amp;IF(AND(ObsObligatoria="Sí",ISNUMBER($AN97),$AN97&lt;FechaRef,IF($V97="Sub",N($X97),N($M97))&lt;1,$Q97=""),"Vencida sin observación"&amp;" · ",""))-3)))</f>
        <v/>
      </c>
      <c r="S97" s="64">
        <f>IF(NOT((COUNTA($B97:$D97)+COUNTA($G97:$L97)+COUNTA($Q97))&gt;0),"",IF(AND($V97="Sub",N($U97)&gt;0),IF(ISNUMBER(INDEX($AM$5:$AM$1000,$U97-4)),DATE(YEAR(INDEX($AM$5:$AM$1000,$U97-4)),MONTH(INDEX($AM$5:$AM$1000,$U97-4)),1),IF(ISNUMBER(INDEX($AN$5:$AN$1000,$U97-4)),DATE(YEAR(INDEX($AN$5:$AN$1000,$U97-4)),MONTH(INDEX($AN$5:$AN$1000,$U97-4)),1),MesCiclo)),IF(ISNUMBER($AM97),DATE(YEAR($AM97),MONTH($AM97),1),IF(ISNUMBER($AN97),DATE(YEAR($AN97),MONTH($AN97),1),MesCiclo))))</f>
        <v/>
      </c>
      <c r="T97" s="62">
        <f>IF(OR($S97="",$S97&lt;&gt;MesCiclo,$V97&lt;&gt;"Macro"),"",COUNTIFS($S$5:$S97,MesCiclo,$V$5:$V97,"Macro"))</f>
        <v/>
      </c>
      <c r="U97" s="62">
        <f>IF($V97="","",IF($V97="Macro",ROW(),IFERROR(LOOKUP(2,1/($V$5:$V97="Macro"),ROW($V$5:$V97)),0)))</f>
        <v/>
      </c>
      <c r="V97" s="62">
        <f>IF(NOT((COUNTA($B97:$D97)+COUNTA($G97:$L97)+COUNTA($Q97))&gt;0),"",IF($B97="Subactividad","Sub","Macro"))</f>
        <v/>
      </c>
      <c r="W97" s="62">
        <f>IF($V97="Macro",COUNTIFS($U$5:$U$1000,ROW(),$V$5:$V$1000,"Sub"),"")</f>
        <v/>
      </c>
      <c r="X97" s="62">
        <f>IF($V97="","",IF(ISNUMBER($G97),1,IFERROR(LOOKUP(2,1/($I97:$L97&lt;&gt;""),$I97:$L97),0)))</f>
        <v/>
      </c>
      <c r="Y97" s="62">
        <f>IF($V97="","",IF(AND(ISNUMBER($G97),$G97&lt;=IF($S97=MesCiclo,InicioCiclo,$S97+MOD(2-WEEKDAY($S97),7))+6),1,IF(ISNUMBER($I97),$I97,0)))</f>
        <v/>
      </c>
      <c r="Z97" s="62">
        <f>IF($V97="","",IF(AND(ISNUMBER($G97),$G97&lt;=IF($S97=MesCiclo,InicioCiclo,$S97+MOD(2-WEEKDAY($S97),7))+13),1,IF(ISNUMBER($J97),$J97,$Y97)))</f>
        <v/>
      </c>
      <c r="AA97" s="62">
        <f>IF($V97="","",IF(AND(ISNUMBER($G97),$G97&lt;=IF($S97=MesCiclo,InicioCiclo,$S97+MOD(2-WEEKDAY($S97),7))+20),1,IF(ISNUMBER($K97),$K97,$Z97)))</f>
        <v/>
      </c>
      <c r="AB97" s="62">
        <f>IF($V97="","",IF(AND(ISNUMBER($G97),$G97&lt;=IF($S97=MesCiclo,InicioCiclo,$S97+MOD(2-WEEKDAY($S97),7))+27),1,IF(ISNUMBER($L97),$L97,$AA97)))</f>
        <v/>
      </c>
      <c r="AC97" s="62">
        <f>IF($V97="","",IF(AND(ISNUMBER($G97),$G97&lt;=IF($S97=MesCiclo,InicioCiclo,$S97+MOD(2-WEEKDAY($S97),7))+6),1,IF(N($W97)&gt;0,AVERAGEIFS($Y$5:$Y$1000,$U$5:$U$1000,ROW(),$V$5:$V$1000,"Sub"),$Y97)))</f>
        <v/>
      </c>
      <c r="AD97" s="62">
        <f>IF($V97="","",IF(AND(ISNUMBER($G97),$G97&lt;=IF($S97=MesCiclo,InicioCiclo,$S97+MOD(2-WEEKDAY($S97),7))+13),1,IF(N($W97)&gt;0,AVERAGEIFS($Z$5:$Z$1000,$U$5:$U$1000,ROW(),$V$5:$V$1000,"Sub"),$Z97)))</f>
        <v/>
      </c>
      <c r="AE97" s="62">
        <f>IF($V97="","",IF(AND(ISNUMBER($G97),$G97&lt;=IF($S97=MesCiclo,InicioCiclo,$S97+MOD(2-WEEKDAY($S97),7))+20),1,IF(N($W97)&gt;0,AVERAGEIFS($AA$5:$AA$1000,$U$5:$U$1000,ROW(),$V$5:$V$1000,"Sub"),$AA97)))</f>
        <v/>
      </c>
      <c r="AF97" s="62">
        <f>IF($V97="","",IF(AND(ISNUMBER($G97),$G97&lt;=IF($S97=MesCiclo,InicioCiclo,$S97+MOD(2-WEEKDAY($S97),7))+27),1,IF(N($W97)&gt;0,AVERAGEIFS($AB$5:$AB$1000,$U$5:$U$1000,ROW(),$V$5:$V$1000,"Sub"),$AB97)))</f>
        <v/>
      </c>
      <c r="AG97" s="62">
        <f>IF($V97&lt;&gt;"Macro","",IF(COUNTIFS($S$5:$S$1000,$S97,$V$5:$V$1000,"Macro",$H$5:$H$1000,"&gt;0")=0,1/COUNTIFS($S$5:$S$1000,$S97,$V$5:$V$1000,"Macro"),IF(AND(ISNUMBER($H97),N($H97)&gt;0),$H97,SUMIFS($H$5:$H$1000,$S$5:$S$1000,$S97,$V$5:$V$1000,"Macro")/COUNTIFS($S$5:$S$1000,$S97,$V$5:$V$1000,"Macro",$H$5:$H$1000,"&gt;0"))/(COUNTIFS($S$5:$S$1000,$S97,$V$5:$V$1000,"Macro")*SUMIFS($H$5:$H$1000,$S$5:$S$1000,$S97,$V$5:$V$1000,"Macro")/COUNTIFS($S$5:$S$1000,$S97,$V$5:$V$1000,"Macro",$H$5:$H$1000,"&gt;0"))))</f>
        <v/>
      </c>
      <c r="AH97" s="62">
        <f>IF(NOT(AND($D97&lt;&gt;"",$V97="Macro")),"",IFERROR(CHOOSE(MATCH($D97,ListaPuestos,0),MATCH("[Jefatura] "&amp;$C97,'Cronograma R. Operacional'!$C$5:$C$1000,0),MATCH("[Jefatura] "&amp;$C97,'Cronograma R. Normativo'!$C$5:$C$1000,0),MATCH("[Jefatura] "&amp;$C97,'Cronograma R. Financiero'!$C$5:$C$1000,0),MATCH("[Jefatura] "&amp;$C97,'Cronograma Asistente Técnico'!$C$5:$C$1000,0)),0))</f>
        <v/>
      </c>
      <c r="AI97" s="62">
        <f>IF(AND(AND($D97&lt;&gt;"",$V97="Macro"),$S97=MesCiclo),COUNTIFS($D$5:$D97,$D97,$S$5:$S97,MesCiclo,$V$5:$V97,"Macro"),"")</f>
        <v/>
      </c>
      <c r="AJ97" s="62">
        <f>IF($AI97="","",$D97&amp;"|"&amp;$AI97)</f>
        <v/>
      </c>
      <c r="AK97" s="62">
        <f>IF(AND($D97&lt;&gt;"",$V97="Macro"),$D97&amp;"|"&amp;$C97,"")</f>
        <v/>
      </c>
      <c r="AL97" s="62">
        <f>""</f>
        <v/>
      </c>
      <c r="AM97" s="62">
        <f>IF(N($AL97)&gt;0,INDEX(rIni_ADM,$AL97),IF(ISNUMBER($E97),$E97,""))</f>
        <v/>
      </c>
      <c r="AN97" s="62">
        <f>IF(N($AL97)&gt;0,INDEX(rLim_ADM,$AL97),IF(ISNUMBER($F97),$F97,""))</f>
        <v/>
      </c>
    </row>
    <row r="98">
      <c r="A98" s="56">
        <f>IF(NOT((COUNTA($B98:$D98)+COUNTA($G98:$L98)+COUNTA($Q98))&gt;0),"",IF($V98="Macro",COUNTIFS($V$5:$V98,"Macro",$S$5:$S98,$S98),IF(N($U98)=0,"?",COUNTIFS(INDEX($V$5:$V$1000,1):INDEX($V$5:$V$1000,$U98-4),"Macro",INDEX($S$5:$S$1000,1):INDEX($S$5:$S$1000,$U98-4),INDEX($S$5:$S$1000,$U98-4))&amp;"."&amp;COUNTIFS($U$5:$U98,$U98,$V$5:$V98,"Sub"))))</f>
        <v/>
      </c>
      <c r="B98" s="57" t="n"/>
      <c r="C98" s="58" t="n"/>
      <c r="D98" s="58" t="n"/>
      <c r="E98" s="59" t="n"/>
      <c r="F98" s="59" t="n"/>
      <c r="G98" s="59" t="n"/>
      <c r="H98" s="60" t="n"/>
      <c r="I98" s="60" t="n"/>
      <c r="J98" s="60" t="n"/>
      <c r="K98" s="60" t="n"/>
      <c r="L98" s="60" t="n"/>
      <c r="M98" s="61">
        <f>IF(NOT((COUNTA($B98:$D98)+COUNTA($G98:$L98)+COUNTA($Q98))&gt;0),"",IF(AND($D98&lt;&gt;"",$V98="Macro"),IF(N($AH98)&gt;0,N(CHOOSE(MATCH($D98,ListaPuestos,0),INDEX('Cronograma R. Operacional'!$M$5:$M$1000,$AH98),INDEX('Cronograma R. Normativo'!$M$5:$M$1000,$AH98),INDEX('Cronograma R. Financiero'!$M$5:$M$1000,$AH98),INDEX('Cronograma Asistente Técnico'!$M$5:$M$1000,$AH98))),0),IF(ISNUMBER($G98),1,IF(N($W98)&gt;0,AVERAGEIFS($X$5:$X$1000,$U$5:$U$1000,ROW(),$V$5:$V$1000,"Sub"),$X98))))</f>
        <v/>
      </c>
      <c r="N98" s="56">
        <f>IF(OR($M98="",$V98="Sub"),"",IF($M98&gt;=1,"Completado",IF($M98&gt;0,"En curso","Pendiente")))</f>
        <v/>
      </c>
      <c r="O98" s="56">
        <f>IF(NOT((COUNTA($B98:$D98)+COUNTA($G98:$L98)+COUNTA($Q98))&gt;0),"",IF(AND(AND($D98&lt;&gt;"",$V98="Macro"),N($AH98)&gt;0),CHOOSE(MATCH($D98,ListaPuestos,0),INDEX('Cronograma R. Operacional'!$O$5:$O$1000,$AH98),INDEX('Cronograma R. Normativo'!$O$5:$O$1000,$AH98),INDEX('Cronograma R. Financiero'!$O$5:$O$1000,$AH98),INDEX('Cronograma Asistente Técnico'!$O$5:$O$1000,$AH98))&amp;"",IF(ISNUMBER($G98),IF(AND(ISNUMBER($AN98),$G98&gt;$AN98),"Cumplida con "&amp;($G98-$AN98)&amp;IF($G98-$AN98=1," día"," días")&amp;" de retraso","Cumplida"),IF(N($M98)&gt;=1,"Cumplida",IF(NOT(ISNUMBER($AN98)),"Sin fecha límite",IF($AN98&lt;FechaRef,"Vencida hace "&amp;(FechaRef-$AN98)&amp;IF(FechaRef-$AN98=1," día"," días"),IF($AN98=FechaRef,"Vence hoy",IF($AN98-FechaRef&lt;=DiasAlerta,"Vence en "&amp;($AN98-FechaRef)&amp;IF($AN98-FechaRef=1," día"," días"),"En plazo"))))))))</f>
        <v/>
      </c>
      <c r="P98" s="62">
        <f>IF(NOT((COUNTA($B98:$D98)+COUNTA($G98:$L98)+COUNTA($Q98))&gt;0),"",IF($D98="","Propia",IF($V98&lt;&gt;"Macro","Solo se delegan macroactividades",IF(N($AH98)&gt;0,"✔ Recibida por "&amp;$D98,"⚠ "&amp;$D98&amp;" aún no la agrega"))))</f>
        <v/>
      </c>
      <c r="Q98" s="58" t="n"/>
      <c r="R98" s="63">
        <f>IF(NOT((COUNTA($B98:$D98)+COUNTA($G98:$L98)+COUNTA($Q98))&gt;0),"",IF((IF($C98="","Falta el nombre de la actividad"&amp;" · ","")&amp;IF(AND($V98="Sub",N($U98)=0),"Subactividad sin macroactividad arriba"&amp;" · ","")&amp;IF($AM98="","Sin fecha de inicio"&amp;" · ","")&amp;IF($AN98="","Sin fecha límite"&amp;" · ","")&amp;IF(AND(LEFT($C98,11)="[Jefatura] ",N($AL98)=0),"No se encuentra en la hoja de la jefatura (elíjala de nuevo en la lista)"&amp;" · ","")&amp;IF(OR(AND($E98&lt;&gt;"",NOT(ISNUMBER($E98))),AND($F98&lt;&gt;"",NOT(ISNUMBER($F98))),AND($G98&lt;&gt;"",NOT(ISNUMBER($G98)))),"Fecha no válida"&amp;" · ","")&amp;IF(AND(ISNUMBER($AM98),ISNUMBER($AN98),$AM98&gt;$AN98),"Inicio posterior a fecha límite"&amp;" · ","")&amp;IF(AND($V98="Macro",$H98&lt;&gt;"",OR(NOT(ISNUMBER($H98)),$H98&lt;0,$H98&gt;1)),"Peso fuera de rango"&amp;" · ","")&amp;IF(AND($V98="Sub",$H98&lt;&gt;""),"Las subactividades no llevan peso (valen igual dentro de su macroactividad)"&amp;" · ","")&amp;IF(AND(N($W98)&gt;0,COUNT($I98:$L98)&gt;0),"Con subactividades: deje vacías las semanas (se calculan solas)"&amp;" · ","")&amp;IF((COUNTIF($I98:$L98,"&gt;1")+COUNTIF($I98:$L98,"&lt;0")+COUNTA($I98:$L98)-COUNT($I98:$L98))&gt;0,"Avance fuera de rango 0-100%"&amp;" · ","")&amp;IF(OR(AND($J98&lt;&gt;"",$J98&lt;$I98),AND($K98&lt;&gt;"",$K98&lt;MAX($I98:$J98)),AND($L98&lt;&gt;"",$L98&lt;MAX($I98:$K98))),"Avance semanal decreciente"&amp;" · ","")&amp;IF(AND(ISNUMBER($AN98),$AN98&lt;FechaRef,IF($V98="Sub",N($X98),N($M98))&lt;1),"Vencida"&amp;" · ","")&amp;IF(AND(ObsObligatoria="Sí",ISNUMBER($AN98),$AN98&lt;FechaRef,IF($V98="Sub",N($X98),N($M98))&lt;1,$Q98=""),"Vencida sin observación"&amp;" · ",""))="","✔ OK","⚠ "&amp;LEFT(IF($C98="","Falta el nombre de la actividad"&amp;" · ","")&amp;IF(AND($V98="Sub",N($U98)=0),"Subactividad sin macroactividad arriba"&amp;" · ","")&amp;IF($AM98="","Sin fecha de inicio"&amp;" · ","")&amp;IF($AN98="","Sin fecha límite"&amp;" · ","")&amp;IF(AND(LEFT($C98,11)="[Jefatura] ",N($AL98)=0),"No se encuentra en la hoja de la jefatura (elíjala de nuevo en la lista)"&amp;" · ","")&amp;IF(OR(AND($E98&lt;&gt;"",NOT(ISNUMBER($E98))),AND($F98&lt;&gt;"",NOT(ISNUMBER($F98))),AND($G98&lt;&gt;"",NOT(ISNUMBER($G98)))),"Fecha no válida"&amp;" · ","")&amp;IF(AND(ISNUMBER($AM98),ISNUMBER($AN98),$AM98&gt;$AN98),"Inicio posterior a fecha límite"&amp;" · ","")&amp;IF(AND($V98="Macro",$H98&lt;&gt;"",OR(NOT(ISNUMBER($H98)),$H98&lt;0,$H98&gt;1)),"Peso fuera de rango"&amp;" · ","")&amp;IF(AND($V98="Sub",$H98&lt;&gt;""),"Las subactividades no llevan peso (valen igual dentro de su macroactividad)"&amp;" · ","")&amp;IF(AND(N($W98)&gt;0,COUNT($I98:$L98)&gt;0),"Con subactividades: deje vacías las semanas (se calculan solas)"&amp;" · ","")&amp;IF((COUNTIF($I98:$L98,"&gt;1")+COUNTIF($I98:$L98,"&lt;0")+COUNTA($I98:$L98)-COUNT($I98:$L98))&gt;0,"Avance fuera de rango 0-100%"&amp;" · ","")&amp;IF(OR(AND($J98&lt;&gt;"",$J98&lt;$I98),AND($K98&lt;&gt;"",$K98&lt;MAX($I98:$J98)),AND($L98&lt;&gt;"",$L98&lt;MAX($I98:$K98))),"Avance semanal decreciente"&amp;" · ","")&amp;IF(AND(ISNUMBER($AN98),$AN98&lt;FechaRef,IF($V98="Sub",N($X98),N($M98))&lt;1),"Vencida"&amp;" · ","")&amp;IF(AND(ObsObligatoria="Sí",ISNUMBER($AN98),$AN98&lt;FechaRef,IF($V98="Sub",N($X98),N($M98))&lt;1,$Q98=""),"Vencida sin observación"&amp;" · ",""),LEN(IF($C98="","Falta el nombre de la actividad"&amp;" · ","")&amp;IF(AND($V98="Sub",N($U98)=0),"Subactividad sin macroactividad arriba"&amp;" · ","")&amp;IF($AM98="","Sin fecha de inicio"&amp;" · ","")&amp;IF($AN98="","Sin fecha límite"&amp;" · ","")&amp;IF(AND(LEFT($C98,11)="[Jefatura] ",N($AL98)=0),"No se encuentra en la hoja de la jefatura (elíjala de nuevo en la lista)"&amp;" · ","")&amp;IF(OR(AND($E98&lt;&gt;"",NOT(ISNUMBER($E98))),AND($F98&lt;&gt;"",NOT(ISNUMBER($F98))),AND($G98&lt;&gt;"",NOT(ISNUMBER($G98)))),"Fecha no válida"&amp;" · ","")&amp;IF(AND(ISNUMBER($AM98),ISNUMBER($AN98),$AM98&gt;$AN98),"Inicio posterior a fecha límite"&amp;" · ","")&amp;IF(AND($V98="Macro",$H98&lt;&gt;"",OR(NOT(ISNUMBER($H98)),$H98&lt;0,$H98&gt;1)),"Peso fuera de rango"&amp;" · ","")&amp;IF(AND($V98="Sub",$H98&lt;&gt;""),"Las subactividades no llevan peso (valen igual dentro de su macroactividad)"&amp;" · ","")&amp;IF(AND(N($W98)&gt;0,COUNT($I98:$L98)&gt;0),"Con subactividades: deje vacías las semanas (se calculan solas)"&amp;" · ","")&amp;IF((COUNTIF($I98:$L98,"&gt;1")+COUNTIF($I98:$L98,"&lt;0")+COUNTA($I98:$L98)-COUNT($I98:$L98))&gt;0,"Avance fuera de rango 0-100%"&amp;" · ","")&amp;IF(OR(AND($J98&lt;&gt;"",$J98&lt;$I98),AND($K98&lt;&gt;"",$K98&lt;MAX($I98:$J98)),AND($L98&lt;&gt;"",$L98&lt;MAX($I98:$K98))),"Avance semanal decreciente"&amp;" · ","")&amp;IF(AND(ISNUMBER($AN98),$AN98&lt;FechaRef,IF($V98="Sub",N($X98),N($M98))&lt;1),"Vencida"&amp;" · ","")&amp;IF(AND(ObsObligatoria="Sí",ISNUMBER($AN98),$AN98&lt;FechaRef,IF($V98="Sub",N($X98),N($M98))&lt;1,$Q98=""),"Vencida sin observación"&amp;" · ",""))-3)))</f>
        <v/>
      </c>
      <c r="S98" s="64">
        <f>IF(NOT((COUNTA($B98:$D98)+COUNTA($G98:$L98)+COUNTA($Q98))&gt;0),"",IF(AND($V98="Sub",N($U98)&gt;0),IF(ISNUMBER(INDEX($AM$5:$AM$1000,$U98-4)),DATE(YEAR(INDEX($AM$5:$AM$1000,$U98-4)),MONTH(INDEX($AM$5:$AM$1000,$U98-4)),1),IF(ISNUMBER(INDEX($AN$5:$AN$1000,$U98-4)),DATE(YEAR(INDEX($AN$5:$AN$1000,$U98-4)),MONTH(INDEX($AN$5:$AN$1000,$U98-4)),1),MesCiclo)),IF(ISNUMBER($AM98),DATE(YEAR($AM98),MONTH($AM98),1),IF(ISNUMBER($AN98),DATE(YEAR($AN98),MONTH($AN98),1),MesCiclo))))</f>
        <v/>
      </c>
      <c r="T98" s="62">
        <f>IF(OR($S98="",$S98&lt;&gt;MesCiclo,$V98&lt;&gt;"Macro"),"",COUNTIFS($S$5:$S98,MesCiclo,$V$5:$V98,"Macro"))</f>
        <v/>
      </c>
      <c r="U98" s="62">
        <f>IF($V98="","",IF($V98="Macro",ROW(),IFERROR(LOOKUP(2,1/($V$5:$V98="Macro"),ROW($V$5:$V98)),0)))</f>
        <v/>
      </c>
      <c r="V98" s="62">
        <f>IF(NOT((COUNTA($B98:$D98)+COUNTA($G98:$L98)+COUNTA($Q98))&gt;0),"",IF($B98="Subactividad","Sub","Macro"))</f>
        <v/>
      </c>
      <c r="W98" s="62">
        <f>IF($V98="Macro",COUNTIFS($U$5:$U$1000,ROW(),$V$5:$V$1000,"Sub"),"")</f>
        <v/>
      </c>
      <c r="X98" s="62">
        <f>IF($V98="","",IF(ISNUMBER($G98),1,IFERROR(LOOKUP(2,1/($I98:$L98&lt;&gt;""),$I98:$L98),0)))</f>
        <v/>
      </c>
      <c r="Y98" s="62">
        <f>IF($V98="","",IF(AND(ISNUMBER($G98),$G98&lt;=IF($S98=MesCiclo,InicioCiclo,$S98+MOD(2-WEEKDAY($S98),7))+6),1,IF(ISNUMBER($I98),$I98,0)))</f>
        <v/>
      </c>
      <c r="Z98" s="62">
        <f>IF($V98="","",IF(AND(ISNUMBER($G98),$G98&lt;=IF($S98=MesCiclo,InicioCiclo,$S98+MOD(2-WEEKDAY($S98),7))+13),1,IF(ISNUMBER($J98),$J98,$Y98)))</f>
        <v/>
      </c>
      <c r="AA98" s="62">
        <f>IF($V98="","",IF(AND(ISNUMBER($G98),$G98&lt;=IF($S98=MesCiclo,InicioCiclo,$S98+MOD(2-WEEKDAY($S98),7))+20),1,IF(ISNUMBER($K98),$K98,$Z98)))</f>
        <v/>
      </c>
      <c r="AB98" s="62">
        <f>IF($V98="","",IF(AND(ISNUMBER($G98),$G98&lt;=IF($S98=MesCiclo,InicioCiclo,$S98+MOD(2-WEEKDAY($S98),7))+27),1,IF(ISNUMBER($L98),$L98,$AA98)))</f>
        <v/>
      </c>
      <c r="AC98" s="62">
        <f>IF($V98="","",IF(AND(ISNUMBER($G98),$G98&lt;=IF($S98=MesCiclo,InicioCiclo,$S98+MOD(2-WEEKDAY($S98),7))+6),1,IF(N($W98)&gt;0,AVERAGEIFS($Y$5:$Y$1000,$U$5:$U$1000,ROW(),$V$5:$V$1000,"Sub"),$Y98)))</f>
        <v/>
      </c>
      <c r="AD98" s="62">
        <f>IF($V98="","",IF(AND(ISNUMBER($G98),$G98&lt;=IF($S98=MesCiclo,InicioCiclo,$S98+MOD(2-WEEKDAY($S98),7))+13),1,IF(N($W98)&gt;0,AVERAGEIFS($Z$5:$Z$1000,$U$5:$U$1000,ROW(),$V$5:$V$1000,"Sub"),$Z98)))</f>
        <v/>
      </c>
      <c r="AE98" s="62">
        <f>IF($V98="","",IF(AND(ISNUMBER($G98),$G98&lt;=IF($S98=MesCiclo,InicioCiclo,$S98+MOD(2-WEEKDAY($S98),7))+20),1,IF(N($W98)&gt;0,AVERAGEIFS($AA$5:$AA$1000,$U$5:$U$1000,ROW(),$V$5:$V$1000,"Sub"),$AA98)))</f>
        <v/>
      </c>
      <c r="AF98" s="62">
        <f>IF($V98="","",IF(AND(ISNUMBER($G98),$G98&lt;=IF($S98=MesCiclo,InicioCiclo,$S98+MOD(2-WEEKDAY($S98),7))+27),1,IF(N($W98)&gt;0,AVERAGEIFS($AB$5:$AB$1000,$U$5:$U$1000,ROW(),$V$5:$V$1000,"Sub"),$AB98)))</f>
        <v/>
      </c>
      <c r="AG98" s="62">
        <f>IF($V98&lt;&gt;"Macro","",IF(COUNTIFS($S$5:$S$1000,$S98,$V$5:$V$1000,"Macro",$H$5:$H$1000,"&gt;0")=0,1/COUNTIFS($S$5:$S$1000,$S98,$V$5:$V$1000,"Macro"),IF(AND(ISNUMBER($H98),N($H98)&gt;0),$H98,SUMIFS($H$5:$H$1000,$S$5:$S$1000,$S98,$V$5:$V$1000,"Macro")/COUNTIFS($S$5:$S$1000,$S98,$V$5:$V$1000,"Macro",$H$5:$H$1000,"&gt;0"))/(COUNTIFS($S$5:$S$1000,$S98,$V$5:$V$1000,"Macro")*SUMIFS($H$5:$H$1000,$S$5:$S$1000,$S98,$V$5:$V$1000,"Macro")/COUNTIFS($S$5:$S$1000,$S98,$V$5:$V$1000,"Macro",$H$5:$H$1000,"&gt;0"))))</f>
        <v/>
      </c>
      <c r="AH98" s="62">
        <f>IF(NOT(AND($D98&lt;&gt;"",$V98="Macro")),"",IFERROR(CHOOSE(MATCH($D98,ListaPuestos,0),MATCH("[Jefatura] "&amp;$C98,'Cronograma R. Operacional'!$C$5:$C$1000,0),MATCH("[Jefatura] "&amp;$C98,'Cronograma R. Normativo'!$C$5:$C$1000,0),MATCH("[Jefatura] "&amp;$C98,'Cronograma R. Financiero'!$C$5:$C$1000,0),MATCH("[Jefatura] "&amp;$C98,'Cronograma Asistente Técnico'!$C$5:$C$1000,0)),0))</f>
        <v/>
      </c>
      <c r="AI98" s="62">
        <f>IF(AND(AND($D98&lt;&gt;"",$V98="Macro"),$S98=MesCiclo),COUNTIFS($D$5:$D98,$D98,$S$5:$S98,MesCiclo,$V$5:$V98,"Macro"),"")</f>
        <v/>
      </c>
      <c r="AJ98" s="62">
        <f>IF($AI98="","",$D98&amp;"|"&amp;$AI98)</f>
        <v/>
      </c>
      <c r="AK98" s="62">
        <f>IF(AND($D98&lt;&gt;"",$V98="Macro"),$D98&amp;"|"&amp;$C98,"")</f>
        <v/>
      </c>
      <c r="AL98" s="62">
        <f>""</f>
        <v/>
      </c>
      <c r="AM98" s="62">
        <f>IF(N($AL98)&gt;0,INDEX(rIni_ADM,$AL98),IF(ISNUMBER($E98),$E98,""))</f>
        <v/>
      </c>
      <c r="AN98" s="62">
        <f>IF(N($AL98)&gt;0,INDEX(rLim_ADM,$AL98),IF(ISNUMBER($F98),$F98,""))</f>
        <v/>
      </c>
    </row>
    <row r="99">
      <c r="A99" s="56">
        <f>IF(NOT((COUNTA($B99:$D99)+COUNTA($G99:$L99)+COUNTA($Q99))&gt;0),"",IF($V99="Macro",COUNTIFS($V$5:$V99,"Macro",$S$5:$S99,$S99),IF(N($U99)=0,"?",COUNTIFS(INDEX($V$5:$V$1000,1):INDEX($V$5:$V$1000,$U99-4),"Macro",INDEX($S$5:$S$1000,1):INDEX($S$5:$S$1000,$U99-4),INDEX($S$5:$S$1000,$U99-4))&amp;"."&amp;COUNTIFS($U$5:$U99,$U99,$V$5:$V99,"Sub"))))</f>
        <v/>
      </c>
      <c r="B99" s="57" t="n"/>
      <c r="C99" s="58" t="n"/>
      <c r="D99" s="58" t="n"/>
      <c r="E99" s="59" t="n"/>
      <c r="F99" s="59" t="n"/>
      <c r="G99" s="59" t="n"/>
      <c r="H99" s="60" t="n"/>
      <c r="I99" s="60" t="n"/>
      <c r="J99" s="60" t="n"/>
      <c r="K99" s="60" t="n"/>
      <c r="L99" s="60" t="n"/>
      <c r="M99" s="61">
        <f>IF(NOT((COUNTA($B99:$D99)+COUNTA($G99:$L99)+COUNTA($Q99))&gt;0),"",IF(AND($D99&lt;&gt;"",$V99="Macro"),IF(N($AH99)&gt;0,N(CHOOSE(MATCH($D99,ListaPuestos,0),INDEX('Cronograma R. Operacional'!$M$5:$M$1000,$AH99),INDEX('Cronograma R. Normativo'!$M$5:$M$1000,$AH99),INDEX('Cronograma R. Financiero'!$M$5:$M$1000,$AH99),INDEX('Cronograma Asistente Técnico'!$M$5:$M$1000,$AH99))),0),IF(ISNUMBER($G99),1,IF(N($W99)&gt;0,AVERAGEIFS($X$5:$X$1000,$U$5:$U$1000,ROW(),$V$5:$V$1000,"Sub"),$X99))))</f>
        <v/>
      </c>
      <c r="N99" s="56">
        <f>IF(OR($M99="",$V99="Sub"),"",IF($M99&gt;=1,"Completado",IF($M99&gt;0,"En curso","Pendiente")))</f>
        <v/>
      </c>
      <c r="O99" s="56">
        <f>IF(NOT((COUNTA($B99:$D99)+COUNTA($G99:$L99)+COUNTA($Q99))&gt;0),"",IF(AND(AND($D99&lt;&gt;"",$V99="Macro"),N($AH99)&gt;0),CHOOSE(MATCH($D99,ListaPuestos,0),INDEX('Cronograma R. Operacional'!$O$5:$O$1000,$AH99),INDEX('Cronograma R. Normativo'!$O$5:$O$1000,$AH99),INDEX('Cronograma R. Financiero'!$O$5:$O$1000,$AH99),INDEX('Cronograma Asistente Técnico'!$O$5:$O$1000,$AH99))&amp;"",IF(ISNUMBER($G99),IF(AND(ISNUMBER($AN99),$G99&gt;$AN99),"Cumplida con "&amp;($G99-$AN99)&amp;IF($G99-$AN99=1," día"," días")&amp;" de retraso","Cumplida"),IF(N($M99)&gt;=1,"Cumplida",IF(NOT(ISNUMBER($AN99)),"Sin fecha límite",IF($AN99&lt;FechaRef,"Vencida hace "&amp;(FechaRef-$AN99)&amp;IF(FechaRef-$AN99=1," día"," días"),IF($AN99=FechaRef,"Vence hoy",IF($AN99-FechaRef&lt;=DiasAlerta,"Vence en "&amp;($AN99-FechaRef)&amp;IF($AN99-FechaRef=1," día"," días"),"En plazo"))))))))</f>
        <v/>
      </c>
      <c r="P99" s="62">
        <f>IF(NOT((COUNTA($B99:$D99)+COUNTA($G99:$L99)+COUNTA($Q99))&gt;0),"",IF($D99="","Propia",IF($V99&lt;&gt;"Macro","Solo se delegan macroactividades",IF(N($AH99)&gt;0,"✔ Recibida por "&amp;$D99,"⚠ "&amp;$D99&amp;" aún no la agrega"))))</f>
        <v/>
      </c>
      <c r="Q99" s="58" t="n"/>
      <c r="R99" s="63">
        <f>IF(NOT((COUNTA($B99:$D99)+COUNTA($G99:$L99)+COUNTA($Q99))&gt;0),"",IF((IF($C99="","Falta el nombre de la actividad"&amp;" · ","")&amp;IF(AND($V99="Sub",N($U99)=0),"Subactividad sin macroactividad arriba"&amp;" · ","")&amp;IF($AM99="","Sin fecha de inicio"&amp;" · ","")&amp;IF($AN99="","Sin fecha límite"&amp;" · ","")&amp;IF(AND(LEFT($C99,11)="[Jefatura] ",N($AL99)=0),"No se encuentra en la hoja de la jefatura (elíjala de nuevo en la lista)"&amp;" · ","")&amp;IF(OR(AND($E99&lt;&gt;"",NOT(ISNUMBER($E99))),AND($F99&lt;&gt;"",NOT(ISNUMBER($F99))),AND($G99&lt;&gt;"",NOT(ISNUMBER($G99)))),"Fecha no válida"&amp;" · ","")&amp;IF(AND(ISNUMBER($AM99),ISNUMBER($AN99),$AM99&gt;$AN99),"Inicio posterior a fecha límite"&amp;" · ","")&amp;IF(AND($V99="Macro",$H99&lt;&gt;"",OR(NOT(ISNUMBER($H99)),$H99&lt;0,$H99&gt;1)),"Peso fuera de rango"&amp;" · ","")&amp;IF(AND($V99="Sub",$H99&lt;&gt;""),"Las subactividades no llevan peso (valen igual dentro de su macroactividad)"&amp;" · ","")&amp;IF(AND(N($W99)&gt;0,COUNT($I99:$L99)&gt;0),"Con subactividades: deje vacías las semanas (se calculan solas)"&amp;" · ","")&amp;IF((COUNTIF($I99:$L99,"&gt;1")+COUNTIF($I99:$L99,"&lt;0")+COUNTA($I99:$L99)-COUNT($I99:$L99))&gt;0,"Avance fuera de rango 0-100%"&amp;" · ","")&amp;IF(OR(AND($J99&lt;&gt;"",$J99&lt;$I99),AND($K99&lt;&gt;"",$K99&lt;MAX($I99:$J99)),AND($L99&lt;&gt;"",$L99&lt;MAX($I99:$K99))),"Avance semanal decreciente"&amp;" · ","")&amp;IF(AND(ISNUMBER($AN99),$AN99&lt;FechaRef,IF($V99="Sub",N($X99),N($M99))&lt;1),"Vencida"&amp;" · ","")&amp;IF(AND(ObsObligatoria="Sí",ISNUMBER($AN99),$AN99&lt;FechaRef,IF($V99="Sub",N($X99),N($M99))&lt;1,$Q99=""),"Vencida sin observación"&amp;" · ",""))="","✔ OK","⚠ "&amp;LEFT(IF($C99="","Falta el nombre de la actividad"&amp;" · ","")&amp;IF(AND($V99="Sub",N($U99)=0),"Subactividad sin macroactividad arriba"&amp;" · ","")&amp;IF($AM99="","Sin fecha de inicio"&amp;" · ","")&amp;IF($AN99="","Sin fecha límite"&amp;" · ","")&amp;IF(AND(LEFT($C99,11)="[Jefatura] ",N($AL99)=0),"No se encuentra en la hoja de la jefatura (elíjala de nuevo en la lista)"&amp;" · ","")&amp;IF(OR(AND($E99&lt;&gt;"",NOT(ISNUMBER($E99))),AND($F99&lt;&gt;"",NOT(ISNUMBER($F99))),AND($G99&lt;&gt;"",NOT(ISNUMBER($G99)))),"Fecha no válida"&amp;" · ","")&amp;IF(AND(ISNUMBER($AM99),ISNUMBER($AN99),$AM99&gt;$AN99),"Inicio posterior a fecha límite"&amp;" · ","")&amp;IF(AND($V99="Macro",$H99&lt;&gt;"",OR(NOT(ISNUMBER($H99)),$H99&lt;0,$H99&gt;1)),"Peso fuera de rango"&amp;" · ","")&amp;IF(AND($V99="Sub",$H99&lt;&gt;""),"Las subactividades no llevan peso (valen igual dentro de su macroactividad)"&amp;" · ","")&amp;IF(AND(N($W99)&gt;0,COUNT($I99:$L99)&gt;0),"Con subactividades: deje vacías las semanas (se calculan solas)"&amp;" · ","")&amp;IF((COUNTIF($I99:$L99,"&gt;1")+COUNTIF($I99:$L99,"&lt;0")+COUNTA($I99:$L99)-COUNT($I99:$L99))&gt;0,"Avance fuera de rango 0-100%"&amp;" · ","")&amp;IF(OR(AND($J99&lt;&gt;"",$J99&lt;$I99),AND($K99&lt;&gt;"",$K99&lt;MAX($I99:$J99)),AND($L99&lt;&gt;"",$L99&lt;MAX($I99:$K99))),"Avance semanal decreciente"&amp;" · ","")&amp;IF(AND(ISNUMBER($AN99),$AN99&lt;FechaRef,IF($V99="Sub",N($X99),N($M99))&lt;1),"Vencida"&amp;" · ","")&amp;IF(AND(ObsObligatoria="Sí",ISNUMBER($AN99),$AN99&lt;FechaRef,IF($V99="Sub",N($X99),N($M99))&lt;1,$Q99=""),"Vencida sin observación"&amp;" · ",""),LEN(IF($C99="","Falta el nombre de la actividad"&amp;" · ","")&amp;IF(AND($V99="Sub",N($U99)=0),"Subactividad sin macroactividad arriba"&amp;" · ","")&amp;IF($AM99="","Sin fecha de inicio"&amp;" · ","")&amp;IF($AN99="","Sin fecha límite"&amp;" · ","")&amp;IF(AND(LEFT($C99,11)="[Jefatura] ",N($AL99)=0),"No se encuentra en la hoja de la jefatura (elíjala de nuevo en la lista)"&amp;" · ","")&amp;IF(OR(AND($E99&lt;&gt;"",NOT(ISNUMBER($E99))),AND($F99&lt;&gt;"",NOT(ISNUMBER($F99))),AND($G99&lt;&gt;"",NOT(ISNUMBER($G99)))),"Fecha no válida"&amp;" · ","")&amp;IF(AND(ISNUMBER($AM99),ISNUMBER($AN99),$AM99&gt;$AN99),"Inicio posterior a fecha límite"&amp;" · ","")&amp;IF(AND($V99="Macro",$H99&lt;&gt;"",OR(NOT(ISNUMBER($H99)),$H99&lt;0,$H99&gt;1)),"Peso fuera de rango"&amp;" · ","")&amp;IF(AND($V99="Sub",$H99&lt;&gt;""),"Las subactividades no llevan peso (valen igual dentro de su macroactividad)"&amp;" · ","")&amp;IF(AND(N($W99)&gt;0,COUNT($I99:$L99)&gt;0),"Con subactividades: deje vacías las semanas (se calculan solas)"&amp;" · ","")&amp;IF((COUNTIF($I99:$L99,"&gt;1")+COUNTIF($I99:$L99,"&lt;0")+COUNTA($I99:$L99)-COUNT($I99:$L99))&gt;0,"Avance fuera de rango 0-100%"&amp;" · ","")&amp;IF(OR(AND($J99&lt;&gt;"",$J99&lt;$I99),AND($K99&lt;&gt;"",$K99&lt;MAX($I99:$J99)),AND($L99&lt;&gt;"",$L99&lt;MAX($I99:$K99))),"Avance semanal decreciente"&amp;" · ","")&amp;IF(AND(ISNUMBER($AN99),$AN99&lt;FechaRef,IF($V99="Sub",N($X99),N($M99))&lt;1),"Vencida"&amp;" · ","")&amp;IF(AND(ObsObligatoria="Sí",ISNUMBER($AN99),$AN99&lt;FechaRef,IF($V99="Sub",N($X99),N($M99))&lt;1,$Q99=""),"Vencida sin observación"&amp;" · ",""))-3)))</f>
        <v/>
      </c>
      <c r="S99" s="64">
        <f>IF(NOT((COUNTA($B99:$D99)+COUNTA($G99:$L99)+COUNTA($Q99))&gt;0),"",IF(AND($V99="Sub",N($U99)&gt;0),IF(ISNUMBER(INDEX($AM$5:$AM$1000,$U99-4)),DATE(YEAR(INDEX($AM$5:$AM$1000,$U99-4)),MONTH(INDEX($AM$5:$AM$1000,$U99-4)),1),IF(ISNUMBER(INDEX($AN$5:$AN$1000,$U99-4)),DATE(YEAR(INDEX($AN$5:$AN$1000,$U99-4)),MONTH(INDEX($AN$5:$AN$1000,$U99-4)),1),MesCiclo)),IF(ISNUMBER($AM99),DATE(YEAR($AM99),MONTH($AM99),1),IF(ISNUMBER($AN99),DATE(YEAR($AN99),MONTH($AN99),1),MesCiclo))))</f>
        <v/>
      </c>
      <c r="T99" s="62">
        <f>IF(OR($S99="",$S99&lt;&gt;MesCiclo,$V99&lt;&gt;"Macro"),"",COUNTIFS($S$5:$S99,MesCiclo,$V$5:$V99,"Macro"))</f>
        <v/>
      </c>
      <c r="U99" s="62">
        <f>IF($V99="","",IF($V99="Macro",ROW(),IFERROR(LOOKUP(2,1/($V$5:$V99="Macro"),ROW($V$5:$V99)),0)))</f>
        <v/>
      </c>
      <c r="V99" s="62">
        <f>IF(NOT((COUNTA($B99:$D99)+COUNTA($G99:$L99)+COUNTA($Q99))&gt;0),"",IF($B99="Subactividad","Sub","Macro"))</f>
        <v/>
      </c>
      <c r="W99" s="62">
        <f>IF($V99="Macro",COUNTIFS($U$5:$U$1000,ROW(),$V$5:$V$1000,"Sub"),"")</f>
        <v/>
      </c>
      <c r="X99" s="62">
        <f>IF($V99="","",IF(ISNUMBER($G99),1,IFERROR(LOOKUP(2,1/($I99:$L99&lt;&gt;""),$I99:$L99),0)))</f>
        <v/>
      </c>
      <c r="Y99" s="62">
        <f>IF($V99="","",IF(AND(ISNUMBER($G99),$G99&lt;=IF($S99=MesCiclo,InicioCiclo,$S99+MOD(2-WEEKDAY($S99),7))+6),1,IF(ISNUMBER($I99),$I99,0)))</f>
        <v/>
      </c>
      <c r="Z99" s="62">
        <f>IF($V99="","",IF(AND(ISNUMBER($G99),$G99&lt;=IF($S99=MesCiclo,InicioCiclo,$S99+MOD(2-WEEKDAY($S99),7))+13),1,IF(ISNUMBER($J99),$J99,$Y99)))</f>
        <v/>
      </c>
      <c r="AA99" s="62">
        <f>IF($V99="","",IF(AND(ISNUMBER($G99),$G99&lt;=IF($S99=MesCiclo,InicioCiclo,$S99+MOD(2-WEEKDAY($S99),7))+20),1,IF(ISNUMBER($K99),$K99,$Z99)))</f>
        <v/>
      </c>
      <c r="AB99" s="62">
        <f>IF($V99="","",IF(AND(ISNUMBER($G99),$G99&lt;=IF($S99=MesCiclo,InicioCiclo,$S99+MOD(2-WEEKDAY($S99),7))+27),1,IF(ISNUMBER($L99),$L99,$AA99)))</f>
        <v/>
      </c>
      <c r="AC99" s="62">
        <f>IF($V99="","",IF(AND(ISNUMBER($G99),$G99&lt;=IF($S99=MesCiclo,InicioCiclo,$S99+MOD(2-WEEKDAY($S99),7))+6),1,IF(N($W99)&gt;0,AVERAGEIFS($Y$5:$Y$1000,$U$5:$U$1000,ROW(),$V$5:$V$1000,"Sub"),$Y99)))</f>
        <v/>
      </c>
      <c r="AD99" s="62">
        <f>IF($V99="","",IF(AND(ISNUMBER($G99),$G99&lt;=IF($S99=MesCiclo,InicioCiclo,$S99+MOD(2-WEEKDAY($S99),7))+13),1,IF(N($W99)&gt;0,AVERAGEIFS($Z$5:$Z$1000,$U$5:$U$1000,ROW(),$V$5:$V$1000,"Sub"),$Z99)))</f>
        <v/>
      </c>
      <c r="AE99" s="62">
        <f>IF($V99="","",IF(AND(ISNUMBER($G99),$G99&lt;=IF($S99=MesCiclo,InicioCiclo,$S99+MOD(2-WEEKDAY($S99),7))+20),1,IF(N($W99)&gt;0,AVERAGEIFS($AA$5:$AA$1000,$U$5:$U$1000,ROW(),$V$5:$V$1000,"Sub"),$AA99)))</f>
        <v/>
      </c>
      <c r="AF99" s="62">
        <f>IF($V99="","",IF(AND(ISNUMBER($G99),$G99&lt;=IF($S99=MesCiclo,InicioCiclo,$S99+MOD(2-WEEKDAY($S99),7))+27),1,IF(N($W99)&gt;0,AVERAGEIFS($AB$5:$AB$1000,$U$5:$U$1000,ROW(),$V$5:$V$1000,"Sub"),$AB99)))</f>
        <v/>
      </c>
      <c r="AG99" s="62">
        <f>IF($V99&lt;&gt;"Macro","",IF(COUNTIFS($S$5:$S$1000,$S99,$V$5:$V$1000,"Macro",$H$5:$H$1000,"&gt;0")=0,1/COUNTIFS($S$5:$S$1000,$S99,$V$5:$V$1000,"Macro"),IF(AND(ISNUMBER($H99),N($H99)&gt;0),$H99,SUMIFS($H$5:$H$1000,$S$5:$S$1000,$S99,$V$5:$V$1000,"Macro")/COUNTIFS($S$5:$S$1000,$S99,$V$5:$V$1000,"Macro",$H$5:$H$1000,"&gt;0"))/(COUNTIFS($S$5:$S$1000,$S99,$V$5:$V$1000,"Macro")*SUMIFS($H$5:$H$1000,$S$5:$S$1000,$S99,$V$5:$V$1000,"Macro")/COUNTIFS($S$5:$S$1000,$S99,$V$5:$V$1000,"Macro",$H$5:$H$1000,"&gt;0"))))</f>
        <v/>
      </c>
      <c r="AH99" s="62">
        <f>IF(NOT(AND($D99&lt;&gt;"",$V99="Macro")),"",IFERROR(CHOOSE(MATCH($D99,ListaPuestos,0),MATCH("[Jefatura] "&amp;$C99,'Cronograma R. Operacional'!$C$5:$C$1000,0),MATCH("[Jefatura] "&amp;$C99,'Cronograma R. Normativo'!$C$5:$C$1000,0),MATCH("[Jefatura] "&amp;$C99,'Cronograma R. Financiero'!$C$5:$C$1000,0),MATCH("[Jefatura] "&amp;$C99,'Cronograma Asistente Técnico'!$C$5:$C$1000,0)),0))</f>
        <v/>
      </c>
      <c r="AI99" s="62">
        <f>IF(AND(AND($D99&lt;&gt;"",$V99="Macro"),$S99=MesCiclo),COUNTIFS($D$5:$D99,$D99,$S$5:$S99,MesCiclo,$V$5:$V99,"Macro"),"")</f>
        <v/>
      </c>
      <c r="AJ99" s="62">
        <f>IF($AI99="","",$D99&amp;"|"&amp;$AI99)</f>
        <v/>
      </c>
      <c r="AK99" s="62">
        <f>IF(AND($D99&lt;&gt;"",$V99="Macro"),$D99&amp;"|"&amp;$C99,"")</f>
        <v/>
      </c>
      <c r="AL99" s="62">
        <f>""</f>
        <v/>
      </c>
      <c r="AM99" s="62">
        <f>IF(N($AL99)&gt;0,INDEX(rIni_ADM,$AL99),IF(ISNUMBER($E99),$E99,""))</f>
        <v/>
      </c>
      <c r="AN99" s="62">
        <f>IF(N($AL99)&gt;0,INDEX(rLim_ADM,$AL99),IF(ISNUMBER($F99),$F99,""))</f>
        <v/>
      </c>
    </row>
    <row r="100">
      <c r="A100" s="56">
        <f>IF(NOT((COUNTA($B100:$D100)+COUNTA($G100:$L100)+COUNTA($Q100))&gt;0),"",IF($V100="Macro",COUNTIFS($V$5:$V100,"Macro",$S$5:$S100,$S100),IF(N($U100)=0,"?",COUNTIFS(INDEX($V$5:$V$1000,1):INDEX($V$5:$V$1000,$U100-4),"Macro",INDEX($S$5:$S$1000,1):INDEX($S$5:$S$1000,$U100-4),INDEX($S$5:$S$1000,$U100-4))&amp;"."&amp;COUNTIFS($U$5:$U100,$U100,$V$5:$V100,"Sub"))))</f>
        <v/>
      </c>
      <c r="B100" s="57" t="n"/>
      <c r="C100" s="58" t="n"/>
      <c r="D100" s="58" t="n"/>
      <c r="E100" s="59" t="n"/>
      <c r="F100" s="59" t="n"/>
      <c r="G100" s="59" t="n"/>
      <c r="H100" s="60" t="n"/>
      <c r="I100" s="60" t="n"/>
      <c r="J100" s="60" t="n"/>
      <c r="K100" s="60" t="n"/>
      <c r="L100" s="60" t="n"/>
      <c r="M100" s="61">
        <f>IF(NOT((COUNTA($B100:$D100)+COUNTA($G100:$L100)+COUNTA($Q100))&gt;0),"",IF(AND($D100&lt;&gt;"",$V100="Macro"),IF(N($AH100)&gt;0,N(CHOOSE(MATCH($D100,ListaPuestos,0),INDEX('Cronograma R. Operacional'!$M$5:$M$1000,$AH100),INDEX('Cronograma R. Normativo'!$M$5:$M$1000,$AH100),INDEX('Cronograma R. Financiero'!$M$5:$M$1000,$AH100),INDEX('Cronograma Asistente Técnico'!$M$5:$M$1000,$AH100))),0),IF(ISNUMBER($G100),1,IF(N($W100)&gt;0,AVERAGEIFS($X$5:$X$1000,$U$5:$U$1000,ROW(),$V$5:$V$1000,"Sub"),$X100))))</f>
        <v/>
      </c>
      <c r="N100" s="56">
        <f>IF(OR($M100="",$V100="Sub"),"",IF($M100&gt;=1,"Completado",IF($M100&gt;0,"En curso","Pendiente")))</f>
        <v/>
      </c>
      <c r="O100" s="56">
        <f>IF(NOT((COUNTA($B100:$D100)+COUNTA($G100:$L100)+COUNTA($Q100))&gt;0),"",IF(AND(AND($D100&lt;&gt;"",$V100="Macro"),N($AH100)&gt;0),CHOOSE(MATCH($D100,ListaPuestos,0),INDEX('Cronograma R. Operacional'!$O$5:$O$1000,$AH100),INDEX('Cronograma R. Normativo'!$O$5:$O$1000,$AH100),INDEX('Cronograma R. Financiero'!$O$5:$O$1000,$AH100),INDEX('Cronograma Asistente Técnico'!$O$5:$O$1000,$AH100))&amp;"",IF(ISNUMBER($G100),IF(AND(ISNUMBER($AN100),$G100&gt;$AN100),"Cumplida con "&amp;($G100-$AN100)&amp;IF($G100-$AN100=1," día"," días")&amp;" de retraso","Cumplida"),IF(N($M100)&gt;=1,"Cumplida",IF(NOT(ISNUMBER($AN100)),"Sin fecha límite",IF($AN100&lt;FechaRef,"Vencida hace "&amp;(FechaRef-$AN100)&amp;IF(FechaRef-$AN100=1," día"," días"),IF($AN100=FechaRef,"Vence hoy",IF($AN100-FechaRef&lt;=DiasAlerta,"Vence en "&amp;($AN100-FechaRef)&amp;IF($AN100-FechaRef=1," día"," días"),"En plazo"))))))))</f>
        <v/>
      </c>
      <c r="P100" s="62">
        <f>IF(NOT((COUNTA($B100:$D100)+COUNTA($G100:$L100)+COUNTA($Q100))&gt;0),"",IF($D100="","Propia",IF($V100&lt;&gt;"Macro","Solo se delegan macroactividades",IF(N($AH100)&gt;0,"✔ Recibida por "&amp;$D100,"⚠ "&amp;$D100&amp;" aún no la agrega"))))</f>
        <v/>
      </c>
      <c r="Q100" s="58" t="n"/>
      <c r="R100" s="63">
        <f>IF(NOT((COUNTA($B100:$D100)+COUNTA($G100:$L100)+COUNTA($Q100))&gt;0),"",IF((IF($C100="","Falta el nombre de la actividad"&amp;" · ","")&amp;IF(AND($V100="Sub",N($U100)=0),"Subactividad sin macroactividad arriba"&amp;" · ","")&amp;IF($AM100="","Sin fecha de inicio"&amp;" · ","")&amp;IF($AN100="","Sin fecha límite"&amp;" · ","")&amp;IF(AND(LEFT($C100,11)="[Jefatura] ",N($AL100)=0),"No se encuentra en la hoja de la jefatura (elíjala de nuevo en la lista)"&amp;" · ","")&amp;IF(OR(AND($E100&lt;&gt;"",NOT(ISNUMBER($E100))),AND($F100&lt;&gt;"",NOT(ISNUMBER($F100))),AND($G100&lt;&gt;"",NOT(ISNUMBER($G100)))),"Fecha no válida"&amp;" · ","")&amp;IF(AND(ISNUMBER($AM100),ISNUMBER($AN100),$AM100&gt;$AN100),"Inicio posterior a fecha límite"&amp;" · ","")&amp;IF(AND($V100="Macro",$H100&lt;&gt;"",OR(NOT(ISNUMBER($H100)),$H100&lt;0,$H100&gt;1)),"Peso fuera de rango"&amp;" · ","")&amp;IF(AND($V100="Sub",$H100&lt;&gt;""),"Las subactividades no llevan peso (valen igual dentro de su macroactividad)"&amp;" · ","")&amp;IF(AND(N($W100)&gt;0,COUNT($I100:$L100)&gt;0),"Con subactividades: deje vacías las semanas (se calculan solas)"&amp;" · ","")&amp;IF((COUNTIF($I100:$L100,"&gt;1")+COUNTIF($I100:$L100,"&lt;0")+COUNTA($I100:$L100)-COUNT($I100:$L100))&gt;0,"Avance fuera de rango 0-100%"&amp;" · ","")&amp;IF(OR(AND($J100&lt;&gt;"",$J100&lt;$I100),AND($K100&lt;&gt;"",$K100&lt;MAX($I100:$J100)),AND($L100&lt;&gt;"",$L100&lt;MAX($I100:$K100))),"Avance semanal decreciente"&amp;" · ","")&amp;IF(AND(ISNUMBER($AN100),$AN100&lt;FechaRef,IF($V100="Sub",N($X100),N($M100))&lt;1),"Vencida"&amp;" · ","")&amp;IF(AND(ObsObligatoria="Sí",ISNUMBER($AN100),$AN100&lt;FechaRef,IF($V100="Sub",N($X100),N($M100))&lt;1,$Q100=""),"Vencida sin observación"&amp;" · ",""))="","✔ OK","⚠ "&amp;LEFT(IF($C100="","Falta el nombre de la actividad"&amp;" · ","")&amp;IF(AND($V100="Sub",N($U100)=0),"Subactividad sin macroactividad arriba"&amp;" · ","")&amp;IF($AM100="","Sin fecha de inicio"&amp;" · ","")&amp;IF($AN100="","Sin fecha límite"&amp;" · ","")&amp;IF(AND(LEFT($C100,11)="[Jefatura] ",N($AL100)=0),"No se encuentra en la hoja de la jefatura (elíjala de nuevo en la lista)"&amp;" · ","")&amp;IF(OR(AND($E100&lt;&gt;"",NOT(ISNUMBER($E100))),AND($F100&lt;&gt;"",NOT(ISNUMBER($F100))),AND($G100&lt;&gt;"",NOT(ISNUMBER($G100)))),"Fecha no válida"&amp;" · ","")&amp;IF(AND(ISNUMBER($AM100),ISNUMBER($AN100),$AM100&gt;$AN100),"Inicio posterior a fecha límite"&amp;" · ","")&amp;IF(AND($V100="Macro",$H100&lt;&gt;"",OR(NOT(ISNUMBER($H100)),$H100&lt;0,$H100&gt;1)),"Peso fuera de rango"&amp;" · ","")&amp;IF(AND($V100="Sub",$H100&lt;&gt;""),"Las subactividades no llevan peso (valen igual dentro de su macroactividad)"&amp;" · ","")&amp;IF(AND(N($W100)&gt;0,COUNT($I100:$L100)&gt;0),"Con subactividades: deje vacías las semanas (se calculan solas)"&amp;" · ","")&amp;IF((COUNTIF($I100:$L100,"&gt;1")+COUNTIF($I100:$L100,"&lt;0")+COUNTA($I100:$L100)-COUNT($I100:$L100))&gt;0,"Avance fuera de rango 0-100%"&amp;" · ","")&amp;IF(OR(AND($J100&lt;&gt;"",$J100&lt;$I100),AND($K100&lt;&gt;"",$K100&lt;MAX($I100:$J100)),AND($L100&lt;&gt;"",$L100&lt;MAX($I100:$K100))),"Avance semanal decreciente"&amp;" · ","")&amp;IF(AND(ISNUMBER($AN100),$AN100&lt;FechaRef,IF($V100="Sub",N($X100),N($M100))&lt;1),"Vencida"&amp;" · ","")&amp;IF(AND(ObsObligatoria="Sí",ISNUMBER($AN100),$AN100&lt;FechaRef,IF($V100="Sub",N($X100),N($M100))&lt;1,$Q100=""),"Vencida sin observación"&amp;" · ",""),LEN(IF($C100="","Falta el nombre de la actividad"&amp;" · ","")&amp;IF(AND($V100="Sub",N($U100)=0),"Subactividad sin macroactividad arriba"&amp;" · ","")&amp;IF($AM100="","Sin fecha de inicio"&amp;" · ","")&amp;IF($AN100="","Sin fecha límite"&amp;" · ","")&amp;IF(AND(LEFT($C100,11)="[Jefatura] ",N($AL100)=0),"No se encuentra en la hoja de la jefatura (elíjala de nuevo en la lista)"&amp;" · ","")&amp;IF(OR(AND($E100&lt;&gt;"",NOT(ISNUMBER($E100))),AND($F100&lt;&gt;"",NOT(ISNUMBER($F100))),AND($G100&lt;&gt;"",NOT(ISNUMBER($G100)))),"Fecha no válida"&amp;" · ","")&amp;IF(AND(ISNUMBER($AM100),ISNUMBER($AN100),$AM100&gt;$AN100),"Inicio posterior a fecha límite"&amp;" · ","")&amp;IF(AND($V100="Macro",$H100&lt;&gt;"",OR(NOT(ISNUMBER($H100)),$H100&lt;0,$H100&gt;1)),"Peso fuera de rango"&amp;" · ","")&amp;IF(AND($V100="Sub",$H100&lt;&gt;""),"Las subactividades no llevan peso (valen igual dentro de su macroactividad)"&amp;" · ","")&amp;IF(AND(N($W100)&gt;0,COUNT($I100:$L100)&gt;0),"Con subactividades: deje vacías las semanas (se calculan solas)"&amp;" · ","")&amp;IF((COUNTIF($I100:$L100,"&gt;1")+COUNTIF($I100:$L100,"&lt;0")+COUNTA($I100:$L100)-COUNT($I100:$L100))&gt;0,"Avance fuera de rango 0-100%"&amp;" · ","")&amp;IF(OR(AND($J100&lt;&gt;"",$J100&lt;$I100),AND($K100&lt;&gt;"",$K100&lt;MAX($I100:$J100)),AND($L100&lt;&gt;"",$L100&lt;MAX($I100:$K100))),"Avance semanal decreciente"&amp;" · ","")&amp;IF(AND(ISNUMBER($AN100),$AN100&lt;FechaRef,IF($V100="Sub",N($X100),N($M100))&lt;1),"Vencida"&amp;" · ","")&amp;IF(AND(ObsObligatoria="Sí",ISNUMBER($AN100),$AN100&lt;FechaRef,IF($V100="Sub",N($X100),N($M100))&lt;1,$Q100=""),"Vencida sin observación"&amp;" · ",""))-3)))</f>
        <v/>
      </c>
      <c r="S100" s="64">
        <f>IF(NOT((COUNTA($B100:$D100)+COUNTA($G100:$L100)+COUNTA($Q100))&gt;0),"",IF(AND($V100="Sub",N($U100)&gt;0),IF(ISNUMBER(INDEX($AM$5:$AM$1000,$U100-4)),DATE(YEAR(INDEX($AM$5:$AM$1000,$U100-4)),MONTH(INDEX($AM$5:$AM$1000,$U100-4)),1),IF(ISNUMBER(INDEX($AN$5:$AN$1000,$U100-4)),DATE(YEAR(INDEX($AN$5:$AN$1000,$U100-4)),MONTH(INDEX($AN$5:$AN$1000,$U100-4)),1),MesCiclo)),IF(ISNUMBER($AM100),DATE(YEAR($AM100),MONTH($AM100),1),IF(ISNUMBER($AN100),DATE(YEAR($AN100),MONTH($AN100),1),MesCiclo))))</f>
        <v/>
      </c>
      <c r="T100" s="62">
        <f>IF(OR($S100="",$S100&lt;&gt;MesCiclo,$V100&lt;&gt;"Macro"),"",COUNTIFS($S$5:$S100,MesCiclo,$V$5:$V100,"Macro"))</f>
        <v/>
      </c>
      <c r="U100" s="62">
        <f>IF($V100="","",IF($V100="Macro",ROW(),IFERROR(LOOKUP(2,1/($V$5:$V100="Macro"),ROW($V$5:$V100)),0)))</f>
        <v/>
      </c>
      <c r="V100" s="62">
        <f>IF(NOT((COUNTA($B100:$D100)+COUNTA($G100:$L100)+COUNTA($Q100))&gt;0),"",IF($B100="Subactividad","Sub","Macro"))</f>
        <v/>
      </c>
      <c r="W100" s="62">
        <f>IF($V100="Macro",COUNTIFS($U$5:$U$1000,ROW(),$V$5:$V$1000,"Sub"),"")</f>
        <v/>
      </c>
      <c r="X100" s="62">
        <f>IF($V100="","",IF(ISNUMBER($G100),1,IFERROR(LOOKUP(2,1/($I100:$L100&lt;&gt;""),$I100:$L100),0)))</f>
        <v/>
      </c>
      <c r="Y100" s="62">
        <f>IF($V100="","",IF(AND(ISNUMBER($G100),$G100&lt;=IF($S100=MesCiclo,InicioCiclo,$S100+MOD(2-WEEKDAY($S100),7))+6),1,IF(ISNUMBER($I100),$I100,0)))</f>
        <v/>
      </c>
      <c r="Z100" s="62">
        <f>IF($V100="","",IF(AND(ISNUMBER($G100),$G100&lt;=IF($S100=MesCiclo,InicioCiclo,$S100+MOD(2-WEEKDAY($S100),7))+13),1,IF(ISNUMBER($J100),$J100,$Y100)))</f>
        <v/>
      </c>
      <c r="AA100" s="62">
        <f>IF($V100="","",IF(AND(ISNUMBER($G100),$G100&lt;=IF($S100=MesCiclo,InicioCiclo,$S100+MOD(2-WEEKDAY($S100),7))+20),1,IF(ISNUMBER($K100),$K100,$Z100)))</f>
        <v/>
      </c>
      <c r="AB100" s="62">
        <f>IF($V100="","",IF(AND(ISNUMBER($G100),$G100&lt;=IF($S100=MesCiclo,InicioCiclo,$S100+MOD(2-WEEKDAY($S100),7))+27),1,IF(ISNUMBER($L100),$L100,$AA100)))</f>
        <v/>
      </c>
      <c r="AC100" s="62">
        <f>IF($V100="","",IF(AND(ISNUMBER($G100),$G100&lt;=IF($S100=MesCiclo,InicioCiclo,$S100+MOD(2-WEEKDAY($S100),7))+6),1,IF(N($W100)&gt;0,AVERAGEIFS($Y$5:$Y$1000,$U$5:$U$1000,ROW(),$V$5:$V$1000,"Sub"),$Y100)))</f>
        <v/>
      </c>
      <c r="AD100" s="62">
        <f>IF($V100="","",IF(AND(ISNUMBER($G100),$G100&lt;=IF($S100=MesCiclo,InicioCiclo,$S100+MOD(2-WEEKDAY($S100),7))+13),1,IF(N($W100)&gt;0,AVERAGEIFS($Z$5:$Z$1000,$U$5:$U$1000,ROW(),$V$5:$V$1000,"Sub"),$Z100)))</f>
        <v/>
      </c>
      <c r="AE100" s="62">
        <f>IF($V100="","",IF(AND(ISNUMBER($G100),$G100&lt;=IF($S100=MesCiclo,InicioCiclo,$S100+MOD(2-WEEKDAY($S100),7))+20),1,IF(N($W100)&gt;0,AVERAGEIFS($AA$5:$AA$1000,$U$5:$U$1000,ROW(),$V$5:$V$1000,"Sub"),$AA100)))</f>
        <v/>
      </c>
      <c r="AF100" s="62">
        <f>IF($V100="","",IF(AND(ISNUMBER($G100),$G100&lt;=IF($S100=MesCiclo,InicioCiclo,$S100+MOD(2-WEEKDAY($S100),7))+27),1,IF(N($W100)&gt;0,AVERAGEIFS($AB$5:$AB$1000,$U$5:$U$1000,ROW(),$V$5:$V$1000,"Sub"),$AB100)))</f>
        <v/>
      </c>
      <c r="AG100" s="62">
        <f>IF($V100&lt;&gt;"Macro","",IF(COUNTIFS($S$5:$S$1000,$S100,$V$5:$V$1000,"Macro",$H$5:$H$1000,"&gt;0")=0,1/COUNTIFS($S$5:$S$1000,$S100,$V$5:$V$1000,"Macro"),IF(AND(ISNUMBER($H100),N($H100)&gt;0),$H100,SUMIFS($H$5:$H$1000,$S$5:$S$1000,$S100,$V$5:$V$1000,"Macro")/COUNTIFS($S$5:$S$1000,$S100,$V$5:$V$1000,"Macro",$H$5:$H$1000,"&gt;0"))/(COUNTIFS($S$5:$S$1000,$S100,$V$5:$V$1000,"Macro")*SUMIFS($H$5:$H$1000,$S$5:$S$1000,$S100,$V$5:$V$1000,"Macro")/COUNTIFS($S$5:$S$1000,$S100,$V$5:$V$1000,"Macro",$H$5:$H$1000,"&gt;0"))))</f>
        <v/>
      </c>
      <c r="AH100" s="62">
        <f>IF(NOT(AND($D100&lt;&gt;"",$V100="Macro")),"",IFERROR(CHOOSE(MATCH($D100,ListaPuestos,0),MATCH("[Jefatura] "&amp;$C100,'Cronograma R. Operacional'!$C$5:$C$1000,0),MATCH("[Jefatura] "&amp;$C100,'Cronograma R. Normativo'!$C$5:$C$1000,0),MATCH("[Jefatura] "&amp;$C100,'Cronograma R. Financiero'!$C$5:$C$1000,0),MATCH("[Jefatura] "&amp;$C100,'Cronograma Asistente Técnico'!$C$5:$C$1000,0)),0))</f>
        <v/>
      </c>
      <c r="AI100" s="62">
        <f>IF(AND(AND($D100&lt;&gt;"",$V100="Macro"),$S100=MesCiclo),COUNTIFS($D$5:$D100,$D100,$S$5:$S100,MesCiclo,$V$5:$V100,"Macro"),"")</f>
        <v/>
      </c>
      <c r="AJ100" s="62">
        <f>IF($AI100="","",$D100&amp;"|"&amp;$AI100)</f>
        <v/>
      </c>
      <c r="AK100" s="62">
        <f>IF(AND($D100&lt;&gt;"",$V100="Macro"),$D100&amp;"|"&amp;$C100,"")</f>
        <v/>
      </c>
      <c r="AL100" s="62">
        <f>""</f>
        <v/>
      </c>
      <c r="AM100" s="62">
        <f>IF(N($AL100)&gt;0,INDEX(rIni_ADM,$AL100),IF(ISNUMBER($E100),$E100,""))</f>
        <v/>
      </c>
      <c r="AN100" s="62">
        <f>IF(N($AL100)&gt;0,INDEX(rLim_ADM,$AL100),IF(ISNUMBER($F100),$F100,""))</f>
        <v/>
      </c>
    </row>
    <row r="101">
      <c r="A101" s="56">
        <f>IF(NOT((COUNTA($B101:$D101)+COUNTA($G101:$L101)+COUNTA($Q101))&gt;0),"",IF($V101="Macro",COUNTIFS($V$5:$V101,"Macro",$S$5:$S101,$S101),IF(N($U101)=0,"?",COUNTIFS(INDEX($V$5:$V$1000,1):INDEX($V$5:$V$1000,$U101-4),"Macro",INDEX($S$5:$S$1000,1):INDEX($S$5:$S$1000,$U101-4),INDEX($S$5:$S$1000,$U101-4))&amp;"."&amp;COUNTIFS($U$5:$U101,$U101,$V$5:$V101,"Sub"))))</f>
        <v/>
      </c>
      <c r="B101" s="57" t="n"/>
      <c r="C101" s="58" t="n"/>
      <c r="D101" s="58" t="n"/>
      <c r="E101" s="59" t="n"/>
      <c r="F101" s="59" t="n"/>
      <c r="G101" s="59" t="n"/>
      <c r="H101" s="60" t="n"/>
      <c r="I101" s="60" t="n"/>
      <c r="J101" s="60" t="n"/>
      <c r="K101" s="60" t="n"/>
      <c r="L101" s="60" t="n"/>
      <c r="M101" s="61">
        <f>IF(NOT((COUNTA($B101:$D101)+COUNTA($G101:$L101)+COUNTA($Q101))&gt;0),"",IF(AND($D101&lt;&gt;"",$V101="Macro"),IF(N($AH101)&gt;0,N(CHOOSE(MATCH($D101,ListaPuestos,0),INDEX('Cronograma R. Operacional'!$M$5:$M$1000,$AH101),INDEX('Cronograma R. Normativo'!$M$5:$M$1000,$AH101),INDEX('Cronograma R. Financiero'!$M$5:$M$1000,$AH101),INDEX('Cronograma Asistente Técnico'!$M$5:$M$1000,$AH101))),0),IF(ISNUMBER($G101),1,IF(N($W101)&gt;0,AVERAGEIFS($X$5:$X$1000,$U$5:$U$1000,ROW(),$V$5:$V$1000,"Sub"),$X101))))</f>
        <v/>
      </c>
      <c r="N101" s="56">
        <f>IF(OR($M101="",$V101="Sub"),"",IF($M101&gt;=1,"Completado",IF($M101&gt;0,"En curso","Pendiente")))</f>
        <v/>
      </c>
      <c r="O101" s="56">
        <f>IF(NOT((COUNTA($B101:$D101)+COUNTA($G101:$L101)+COUNTA($Q101))&gt;0),"",IF(AND(AND($D101&lt;&gt;"",$V101="Macro"),N($AH101)&gt;0),CHOOSE(MATCH($D101,ListaPuestos,0),INDEX('Cronograma R. Operacional'!$O$5:$O$1000,$AH101),INDEX('Cronograma R. Normativo'!$O$5:$O$1000,$AH101),INDEX('Cronograma R. Financiero'!$O$5:$O$1000,$AH101),INDEX('Cronograma Asistente Técnico'!$O$5:$O$1000,$AH101))&amp;"",IF(ISNUMBER($G101),IF(AND(ISNUMBER($AN101),$G101&gt;$AN101),"Cumplida con "&amp;($G101-$AN101)&amp;IF($G101-$AN101=1," día"," días")&amp;" de retraso","Cumplida"),IF(N($M101)&gt;=1,"Cumplida",IF(NOT(ISNUMBER($AN101)),"Sin fecha límite",IF($AN101&lt;FechaRef,"Vencida hace "&amp;(FechaRef-$AN101)&amp;IF(FechaRef-$AN101=1," día"," días"),IF($AN101=FechaRef,"Vence hoy",IF($AN101-FechaRef&lt;=DiasAlerta,"Vence en "&amp;($AN101-FechaRef)&amp;IF($AN101-FechaRef=1," día"," días"),"En plazo"))))))))</f>
        <v/>
      </c>
      <c r="P101" s="62">
        <f>IF(NOT((COUNTA($B101:$D101)+COUNTA($G101:$L101)+COUNTA($Q101))&gt;0),"",IF($D101="","Propia",IF($V101&lt;&gt;"Macro","Solo se delegan macroactividades",IF(N($AH101)&gt;0,"✔ Recibida por "&amp;$D101,"⚠ "&amp;$D101&amp;" aún no la agrega"))))</f>
        <v/>
      </c>
      <c r="Q101" s="58" t="n"/>
      <c r="R101" s="63">
        <f>IF(NOT((COUNTA($B101:$D101)+COUNTA($G101:$L101)+COUNTA($Q101))&gt;0),"",IF((IF($C101="","Falta el nombre de la actividad"&amp;" · ","")&amp;IF(AND($V101="Sub",N($U101)=0),"Subactividad sin macroactividad arriba"&amp;" · ","")&amp;IF($AM101="","Sin fecha de inicio"&amp;" · ","")&amp;IF($AN101="","Sin fecha límite"&amp;" · ","")&amp;IF(AND(LEFT($C101,11)="[Jefatura] ",N($AL101)=0),"No se encuentra en la hoja de la jefatura (elíjala de nuevo en la lista)"&amp;" · ","")&amp;IF(OR(AND($E101&lt;&gt;"",NOT(ISNUMBER($E101))),AND($F101&lt;&gt;"",NOT(ISNUMBER($F101))),AND($G101&lt;&gt;"",NOT(ISNUMBER($G101)))),"Fecha no válida"&amp;" · ","")&amp;IF(AND(ISNUMBER($AM101),ISNUMBER($AN101),$AM101&gt;$AN101),"Inicio posterior a fecha límite"&amp;" · ","")&amp;IF(AND($V101="Macro",$H101&lt;&gt;"",OR(NOT(ISNUMBER($H101)),$H101&lt;0,$H101&gt;1)),"Peso fuera de rango"&amp;" · ","")&amp;IF(AND($V101="Sub",$H101&lt;&gt;""),"Las subactividades no llevan peso (valen igual dentro de su macroactividad)"&amp;" · ","")&amp;IF(AND(N($W101)&gt;0,COUNT($I101:$L101)&gt;0),"Con subactividades: deje vacías las semanas (se calculan solas)"&amp;" · ","")&amp;IF((COUNTIF($I101:$L101,"&gt;1")+COUNTIF($I101:$L101,"&lt;0")+COUNTA($I101:$L101)-COUNT($I101:$L101))&gt;0,"Avance fuera de rango 0-100%"&amp;" · ","")&amp;IF(OR(AND($J101&lt;&gt;"",$J101&lt;$I101),AND($K101&lt;&gt;"",$K101&lt;MAX($I101:$J101)),AND($L101&lt;&gt;"",$L101&lt;MAX($I101:$K101))),"Avance semanal decreciente"&amp;" · ","")&amp;IF(AND(ISNUMBER($AN101),$AN101&lt;FechaRef,IF($V101="Sub",N($X101),N($M101))&lt;1),"Vencida"&amp;" · ","")&amp;IF(AND(ObsObligatoria="Sí",ISNUMBER($AN101),$AN101&lt;FechaRef,IF($V101="Sub",N($X101),N($M101))&lt;1,$Q101=""),"Vencida sin observación"&amp;" · ",""))="","✔ OK","⚠ "&amp;LEFT(IF($C101="","Falta el nombre de la actividad"&amp;" · ","")&amp;IF(AND($V101="Sub",N($U101)=0),"Subactividad sin macroactividad arriba"&amp;" · ","")&amp;IF($AM101="","Sin fecha de inicio"&amp;" · ","")&amp;IF($AN101="","Sin fecha límite"&amp;" · ","")&amp;IF(AND(LEFT($C101,11)="[Jefatura] ",N($AL101)=0),"No se encuentra en la hoja de la jefatura (elíjala de nuevo en la lista)"&amp;" · ","")&amp;IF(OR(AND($E101&lt;&gt;"",NOT(ISNUMBER($E101))),AND($F101&lt;&gt;"",NOT(ISNUMBER($F101))),AND($G101&lt;&gt;"",NOT(ISNUMBER($G101)))),"Fecha no válida"&amp;" · ","")&amp;IF(AND(ISNUMBER($AM101),ISNUMBER($AN101),$AM101&gt;$AN101),"Inicio posterior a fecha límite"&amp;" · ","")&amp;IF(AND($V101="Macro",$H101&lt;&gt;"",OR(NOT(ISNUMBER($H101)),$H101&lt;0,$H101&gt;1)),"Peso fuera de rango"&amp;" · ","")&amp;IF(AND($V101="Sub",$H101&lt;&gt;""),"Las subactividades no llevan peso (valen igual dentro de su macroactividad)"&amp;" · ","")&amp;IF(AND(N($W101)&gt;0,COUNT($I101:$L101)&gt;0),"Con subactividades: deje vacías las semanas (se calculan solas)"&amp;" · ","")&amp;IF((COUNTIF($I101:$L101,"&gt;1")+COUNTIF($I101:$L101,"&lt;0")+COUNTA($I101:$L101)-COUNT($I101:$L101))&gt;0,"Avance fuera de rango 0-100%"&amp;" · ","")&amp;IF(OR(AND($J101&lt;&gt;"",$J101&lt;$I101),AND($K101&lt;&gt;"",$K101&lt;MAX($I101:$J101)),AND($L101&lt;&gt;"",$L101&lt;MAX($I101:$K101))),"Avance semanal decreciente"&amp;" · ","")&amp;IF(AND(ISNUMBER($AN101),$AN101&lt;FechaRef,IF($V101="Sub",N($X101),N($M101))&lt;1),"Vencida"&amp;" · ","")&amp;IF(AND(ObsObligatoria="Sí",ISNUMBER($AN101),$AN101&lt;FechaRef,IF($V101="Sub",N($X101),N($M101))&lt;1,$Q101=""),"Vencida sin observación"&amp;" · ",""),LEN(IF($C101="","Falta el nombre de la actividad"&amp;" · ","")&amp;IF(AND($V101="Sub",N($U101)=0),"Subactividad sin macroactividad arriba"&amp;" · ","")&amp;IF($AM101="","Sin fecha de inicio"&amp;" · ","")&amp;IF($AN101="","Sin fecha límite"&amp;" · ","")&amp;IF(AND(LEFT($C101,11)="[Jefatura] ",N($AL101)=0),"No se encuentra en la hoja de la jefatura (elíjala de nuevo en la lista)"&amp;" · ","")&amp;IF(OR(AND($E101&lt;&gt;"",NOT(ISNUMBER($E101))),AND($F101&lt;&gt;"",NOT(ISNUMBER($F101))),AND($G101&lt;&gt;"",NOT(ISNUMBER($G101)))),"Fecha no válida"&amp;" · ","")&amp;IF(AND(ISNUMBER($AM101),ISNUMBER($AN101),$AM101&gt;$AN101),"Inicio posterior a fecha límite"&amp;" · ","")&amp;IF(AND($V101="Macro",$H101&lt;&gt;"",OR(NOT(ISNUMBER($H101)),$H101&lt;0,$H101&gt;1)),"Peso fuera de rango"&amp;" · ","")&amp;IF(AND($V101="Sub",$H101&lt;&gt;""),"Las subactividades no llevan peso (valen igual dentro de su macroactividad)"&amp;" · ","")&amp;IF(AND(N($W101)&gt;0,COUNT($I101:$L101)&gt;0),"Con subactividades: deje vacías las semanas (se calculan solas)"&amp;" · ","")&amp;IF((COUNTIF($I101:$L101,"&gt;1")+COUNTIF($I101:$L101,"&lt;0")+COUNTA($I101:$L101)-COUNT($I101:$L101))&gt;0,"Avance fuera de rango 0-100%"&amp;" · ","")&amp;IF(OR(AND($J101&lt;&gt;"",$J101&lt;$I101),AND($K101&lt;&gt;"",$K101&lt;MAX($I101:$J101)),AND($L101&lt;&gt;"",$L101&lt;MAX($I101:$K101))),"Avance semanal decreciente"&amp;" · ","")&amp;IF(AND(ISNUMBER($AN101),$AN101&lt;FechaRef,IF($V101="Sub",N($X101),N($M101))&lt;1),"Vencida"&amp;" · ","")&amp;IF(AND(ObsObligatoria="Sí",ISNUMBER($AN101),$AN101&lt;FechaRef,IF($V101="Sub",N($X101),N($M101))&lt;1,$Q101=""),"Vencida sin observación"&amp;" · ",""))-3)))</f>
        <v/>
      </c>
      <c r="S101" s="64">
        <f>IF(NOT((COUNTA($B101:$D101)+COUNTA($G101:$L101)+COUNTA($Q101))&gt;0),"",IF(AND($V101="Sub",N($U101)&gt;0),IF(ISNUMBER(INDEX($AM$5:$AM$1000,$U101-4)),DATE(YEAR(INDEX($AM$5:$AM$1000,$U101-4)),MONTH(INDEX($AM$5:$AM$1000,$U101-4)),1),IF(ISNUMBER(INDEX($AN$5:$AN$1000,$U101-4)),DATE(YEAR(INDEX($AN$5:$AN$1000,$U101-4)),MONTH(INDEX($AN$5:$AN$1000,$U101-4)),1),MesCiclo)),IF(ISNUMBER($AM101),DATE(YEAR($AM101),MONTH($AM101),1),IF(ISNUMBER($AN101),DATE(YEAR($AN101),MONTH($AN101),1),MesCiclo))))</f>
        <v/>
      </c>
      <c r="T101" s="62">
        <f>IF(OR($S101="",$S101&lt;&gt;MesCiclo,$V101&lt;&gt;"Macro"),"",COUNTIFS($S$5:$S101,MesCiclo,$V$5:$V101,"Macro"))</f>
        <v/>
      </c>
      <c r="U101" s="62">
        <f>IF($V101="","",IF($V101="Macro",ROW(),IFERROR(LOOKUP(2,1/($V$5:$V101="Macro"),ROW($V$5:$V101)),0)))</f>
        <v/>
      </c>
      <c r="V101" s="62">
        <f>IF(NOT((COUNTA($B101:$D101)+COUNTA($G101:$L101)+COUNTA($Q101))&gt;0),"",IF($B101="Subactividad","Sub","Macro"))</f>
        <v/>
      </c>
      <c r="W101" s="62">
        <f>IF($V101="Macro",COUNTIFS($U$5:$U$1000,ROW(),$V$5:$V$1000,"Sub"),"")</f>
        <v/>
      </c>
      <c r="X101" s="62">
        <f>IF($V101="","",IF(ISNUMBER($G101),1,IFERROR(LOOKUP(2,1/($I101:$L101&lt;&gt;""),$I101:$L101),0)))</f>
        <v/>
      </c>
      <c r="Y101" s="62">
        <f>IF($V101="","",IF(AND(ISNUMBER($G101),$G101&lt;=IF($S101=MesCiclo,InicioCiclo,$S101+MOD(2-WEEKDAY($S101),7))+6),1,IF(ISNUMBER($I101),$I101,0)))</f>
        <v/>
      </c>
      <c r="Z101" s="62">
        <f>IF($V101="","",IF(AND(ISNUMBER($G101),$G101&lt;=IF($S101=MesCiclo,InicioCiclo,$S101+MOD(2-WEEKDAY($S101),7))+13),1,IF(ISNUMBER($J101),$J101,$Y101)))</f>
        <v/>
      </c>
      <c r="AA101" s="62">
        <f>IF($V101="","",IF(AND(ISNUMBER($G101),$G101&lt;=IF($S101=MesCiclo,InicioCiclo,$S101+MOD(2-WEEKDAY($S101),7))+20),1,IF(ISNUMBER($K101),$K101,$Z101)))</f>
        <v/>
      </c>
      <c r="AB101" s="62">
        <f>IF($V101="","",IF(AND(ISNUMBER($G101),$G101&lt;=IF($S101=MesCiclo,InicioCiclo,$S101+MOD(2-WEEKDAY($S101),7))+27),1,IF(ISNUMBER($L101),$L101,$AA101)))</f>
        <v/>
      </c>
      <c r="AC101" s="62">
        <f>IF($V101="","",IF(AND(ISNUMBER($G101),$G101&lt;=IF($S101=MesCiclo,InicioCiclo,$S101+MOD(2-WEEKDAY($S101),7))+6),1,IF(N($W101)&gt;0,AVERAGEIFS($Y$5:$Y$1000,$U$5:$U$1000,ROW(),$V$5:$V$1000,"Sub"),$Y101)))</f>
        <v/>
      </c>
      <c r="AD101" s="62">
        <f>IF($V101="","",IF(AND(ISNUMBER($G101),$G101&lt;=IF($S101=MesCiclo,InicioCiclo,$S101+MOD(2-WEEKDAY($S101),7))+13),1,IF(N($W101)&gt;0,AVERAGEIFS($Z$5:$Z$1000,$U$5:$U$1000,ROW(),$V$5:$V$1000,"Sub"),$Z101)))</f>
        <v/>
      </c>
      <c r="AE101" s="62">
        <f>IF($V101="","",IF(AND(ISNUMBER($G101),$G101&lt;=IF($S101=MesCiclo,InicioCiclo,$S101+MOD(2-WEEKDAY($S101),7))+20),1,IF(N($W101)&gt;0,AVERAGEIFS($AA$5:$AA$1000,$U$5:$U$1000,ROW(),$V$5:$V$1000,"Sub"),$AA101)))</f>
        <v/>
      </c>
      <c r="AF101" s="62">
        <f>IF($V101="","",IF(AND(ISNUMBER($G101),$G101&lt;=IF($S101=MesCiclo,InicioCiclo,$S101+MOD(2-WEEKDAY($S101),7))+27),1,IF(N($W101)&gt;0,AVERAGEIFS($AB$5:$AB$1000,$U$5:$U$1000,ROW(),$V$5:$V$1000,"Sub"),$AB101)))</f>
        <v/>
      </c>
      <c r="AG101" s="62">
        <f>IF($V101&lt;&gt;"Macro","",IF(COUNTIFS($S$5:$S$1000,$S101,$V$5:$V$1000,"Macro",$H$5:$H$1000,"&gt;0")=0,1/COUNTIFS($S$5:$S$1000,$S101,$V$5:$V$1000,"Macro"),IF(AND(ISNUMBER($H101),N($H101)&gt;0),$H101,SUMIFS($H$5:$H$1000,$S$5:$S$1000,$S101,$V$5:$V$1000,"Macro")/COUNTIFS($S$5:$S$1000,$S101,$V$5:$V$1000,"Macro",$H$5:$H$1000,"&gt;0"))/(COUNTIFS($S$5:$S$1000,$S101,$V$5:$V$1000,"Macro")*SUMIFS($H$5:$H$1000,$S$5:$S$1000,$S101,$V$5:$V$1000,"Macro")/COUNTIFS($S$5:$S$1000,$S101,$V$5:$V$1000,"Macro",$H$5:$H$1000,"&gt;0"))))</f>
        <v/>
      </c>
      <c r="AH101" s="62">
        <f>IF(NOT(AND($D101&lt;&gt;"",$V101="Macro")),"",IFERROR(CHOOSE(MATCH($D101,ListaPuestos,0),MATCH("[Jefatura] "&amp;$C101,'Cronograma R. Operacional'!$C$5:$C$1000,0),MATCH("[Jefatura] "&amp;$C101,'Cronograma R. Normativo'!$C$5:$C$1000,0),MATCH("[Jefatura] "&amp;$C101,'Cronograma R. Financiero'!$C$5:$C$1000,0),MATCH("[Jefatura] "&amp;$C101,'Cronograma Asistente Técnico'!$C$5:$C$1000,0)),0))</f>
        <v/>
      </c>
      <c r="AI101" s="62">
        <f>IF(AND(AND($D101&lt;&gt;"",$V101="Macro"),$S101=MesCiclo),COUNTIFS($D$5:$D101,$D101,$S$5:$S101,MesCiclo,$V$5:$V101,"Macro"),"")</f>
        <v/>
      </c>
      <c r="AJ101" s="62">
        <f>IF($AI101="","",$D101&amp;"|"&amp;$AI101)</f>
        <v/>
      </c>
      <c r="AK101" s="62">
        <f>IF(AND($D101&lt;&gt;"",$V101="Macro"),$D101&amp;"|"&amp;$C101,"")</f>
        <v/>
      </c>
      <c r="AL101" s="62">
        <f>""</f>
        <v/>
      </c>
      <c r="AM101" s="62">
        <f>IF(N($AL101)&gt;0,INDEX(rIni_ADM,$AL101),IF(ISNUMBER($E101),$E101,""))</f>
        <v/>
      </c>
      <c r="AN101" s="62">
        <f>IF(N($AL101)&gt;0,INDEX(rLim_ADM,$AL101),IF(ISNUMBER($F101),$F101,""))</f>
        <v/>
      </c>
    </row>
    <row r="102">
      <c r="A102" s="56">
        <f>IF(NOT((COUNTA($B102:$D102)+COUNTA($G102:$L102)+COUNTA($Q102))&gt;0),"",IF($V102="Macro",COUNTIFS($V$5:$V102,"Macro",$S$5:$S102,$S102),IF(N($U102)=0,"?",COUNTIFS(INDEX($V$5:$V$1000,1):INDEX($V$5:$V$1000,$U102-4),"Macro",INDEX($S$5:$S$1000,1):INDEX($S$5:$S$1000,$U102-4),INDEX($S$5:$S$1000,$U102-4))&amp;"."&amp;COUNTIFS($U$5:$U102,$U102,$V$5:$V102,"Sub"))))</f>
        <v/>
      </c>
      <c r="B102" s="57" t="n"/>
      <c r="C102" s="58" t="n"/>
      <c r="D102" s="58" t="n"/>
      <c r="E102" s="59" t="n"/>
      <c r="F102" s="59" t="n"/>
      <c r="G102" s="59" t="n"/>
      <c r="H102" s="60" t="n"/>
      <c r="I102" s="60" t="n"/>
      <c r="J102" s="60" t="n"/>
      <c r="K102" s="60" t="n"/>
      <c r="L102" s="60" t="n"/>
      <c r="M102" s="61">
        <f>IF(NOT((COUNTA($B102:$D102)+COUNTA($G102:$L102)+COUNTA($Q102))&gt;0),"",IF(AND($D102&lt;&gt;"",$V102="Macro"),IF(N($AH102)&gt;0,N(CHOOSE(MATCH($D102,ListaPuestos,0),INDEX('Cronograma R. Operacional'!$M$5:$M$1000,$AH102),INDEX('Cronograma R. Normativo'!$M$5:$M$1000,$AH102),INDEX('Cronograma R. Financiero'!$M$5:$M$1000,$AH102),INDEX('Cronograma Asistente Técnico'!$M$5:$M$1000,$AH102))),0),IF(ISNUMBER($G102),1,IF(N($W102)&gt;0,AVERAGEIFS($X$5:$X$1000,$U$5:$U$1000,ROW(),$V$5:$V$1000,"Sub"),$X102))))</f>
        <v/>
      </c>
      <c r="N102" s="56">
        <f>IF(OR($M102="",$V102="Sub"),"",IF($M102&gt;=1,"Completado",IF($M102&gt;0,"En curso","Pendiente")))</f>
        <v/>
      </c>
      <c r="O102" s="56">
        <f>IF(NOT((COUNTA($B102:$D102)+COUNTA($G102:$L102)+COUNTA($Q102))&gt;0),"",IF(AND(AND($D102&lt;&gt;"",$V102="Macro"),N($AH102)&gt;0),CHOOSE(MATCH($D102,ListaPuestos,0),INDEX('Cronograma R. Operacional'!$O$5:$O$1000,$AH102),INDEX('Cronograma R. Normativo'!$O$5:$O$1000,$AH102),INDEX('Cronograma R. Financiero'!$O$5:$O$1000,$AH102),INDEX('Cronograma Asistente Técnico'!$O$5:$O$1000,$AH102))&amp;"",IF(ISNUMBER($G102),IF(AND(ISNUMBER($AN102),$G102&gt;$AN102),"Cumplida con "&amp;($G102-$AN102)&amp;IF($G102-$AN102=1," día"," días")&amp;" de retraso","Cumplida"),IF(N($M102)&gt;=1,"Cumplida",IF(NOT(ISNUMBER($AN102)),"Sin fecha límite",IF($AN102&lt;FechaRef,"Vencida hace "&amp;(FechaRef-$AN102)&amp;IF(FechaRef-$AN102=1," día"," días"),IF($AN102=FechaRef,"Vence hoy",IF($AN102-FechaRef&lt;=DiasAlerta,"Vence en "&amp;($AN102-FechaRef)&amp;IF($AN102-FechaRef=1," día"," días"),"En plazo"))))))))</f>
        <v/>
      </c>
      <c r="P102" s="62">
        <f>IF(NOT((COUNTA($B102:$D102)+COUNTA($G102:$L102)+COUNTA($Q102))&gt;0),"",IF($D102="","Propia",IF($V102&lt;&gt;"Macro","Solo se delegan macroactividades",IF(N($AH102)&gt;0,"✔ Recibida por "&amp;$D102,"⚠ "&amp;$D102&amp;" aún no la agrega"))))</f>
        <v/>
      </c>
      <c r="Q102" s="58" t="n"/>
      <c r="R102" s="63">
        <f>IF(NOT((COUNTA($B102:$D102)+COUNTA($G102:$L102)+COUNTA($Q102))&gt;0),"",IF((IF($C102="","Falta el nombre de la actividad"&amp;" · ","")&amp;IF(AND($V102="Sub",N($U102)=0),"Subactividad sin macroactividad arriba"&amp;" · ","")&amp;IF($AM102="","Sin fecha de inicio"&amp;" · ","")&amp;IF($AN102="","Sin fecha límite"&amp;" · ","")&amp;IF(AND(LEFT($C102,11)="[Jefatura] ",N($AL102)=0),"No se encuentra en la hoja de la jefatura (elíjala de nuevo en la lista)"&amp;" · ","")&amp;IF(OR(AND($E102&lt;&gt;"",NOT(ISNUMBER($E102))),AND($F102&lt;&gt;"",NOT(ISNUMBER($F102))),AND($G102&lt;&gt;"",NOT(ISNUMBER($G102)))),"Fecha no válida"&amp;" · ","")&amp;IF(AND(ISNUMBER($AM102),ISNUMBER($AN102),$AM102&gt;$AN102),"Inicio posterior a fecha límite"&amp;" · ","")&amp;IF(AND($V102="Macro",$H102&lt;&gt;"",OR(NOT(ISNUMBER($H102)),$H102&lt;0,$H102&gt;1)),"Peso fuera de rango"&amp;" · ","")&amp;IF(AND($V102="Sub",$H102&lt;&gt;""),"Las subactividades no llevan peso (valen igual dentro de su macroactividad)"&amp;" · ","")&amp;IF(AND(N($W102)&gt;0,COUNT($I102:$L102)&gt;0),"Con subactividades: deje vacías las semanas (se calculan solas)"&amp;" · ","")&amp;IF((COUNTIF($I102:$L102,"&gt;1")+COUNTIF($I102:$L102,"&lt;0")+COUNTA($I102:$L102)-COUNT($I102:$L102))&gt;0,"Avance fuera de rango 0-100%"&amp;" · ","")&amp;IF(OR(AND($J102&lt;&gt;"",$J102&lt;$I102),AND($K102&lt;&gt;"",$K102&lt;MAX($I102:$J102)),AND($L102&lt;&gt;"",$L102&lt;MAX($I102:$K102))),"Avance semanal decreciente"&amp;" · ","")&amp;IF(AND(ISNUMBER($AN102),$AN102&lt;FechaRef,IF($V102="Sub",N($X102),N($M102))&lt;1),"Vencida"&amp;" · ","")&amp;IF(AND(ObsObligatoria="Sí",ISNUMBER($AN102),$AN102&lt;FechaRef,IF($V102="Sub",N($X102),N($M102))&lt;1,$Q102=""),"Vencida sin observación"&amp;" · ",""))="","✔ OK","⚠ "&amp;LEFT(IF($C102="","Falta el nombre de la actividad"&amp;" · ","")&amp;IF(AND($V102="Sub",N($U102)=0),"Subactividad sin macroactividad arriba"&amp;" · ","")&amp;IF($AM102="","Sin fecha de inicio"&amp;" · ","")&amp;IF($AN102="","Sin fecha límite"&amp;" · ","")&amp;IF(AND(LEFT($C102,11)="[Jefatura] ",N($AL102)=0),"No se encuentra en la hoja de la jefatura (elíjala de nuevo en la lista)"&amp;" · ","")&amp;IF(OR(AND($E102&lt;&gt;"",NOT(ISNUMBER($E102))),AND($F102&lt;&gt;"",NOT(ISNUMBER($F102))),AND($G102&lt;&gt;"",NOT(ISNUMBER($G102)))),"Fecha no válida"&amp;" · ","")&amp;IF(AND(ISNUMBER($AM102),ISNUMBER($AN102),$AM102&gt;$AN102),"Inicio posterior a fecha límite"&amp;" · ","")&amp;IF(AND($V102="Macro",$H102&lt;&gt;"",OR(NOT(ISNUMBER($H102)),$H102&lt;0,$H102&gt;1)),"Peso fuera de rango"&amp;" · ","")&amp;IF(AND($V102="Sub",$H102&lt;&gt;""),"Las subactividades no llevan peso (valen igual dentro de su macroactividad)"&amp;" · ","")&amp;IF(AND(N($W102)&gt;0,COUNT($I102:$L102)&gt;0),"Con subactividades: deje vacías las semanas (se calculan solas)"&amp;" · ","")&amp;IF((COUNTIF($I102:$L102,"&gt;1")+COUNTIF($I102:$L102,"&lt;0")+COUNTA($I102:$L102)-COUNT($I102:$L102))&gt;0,"Avance fuera de rango 0-100%"&amp;" · ","")&amp;IF(OR(AND($J102&lt;&gt;"",$J102&lt;$I102),AND($K102&lt;&gt;"",$K102&lt;MAX($I102:$J102)),AND($L102&lt;&gt;"",$L102&lt;MAX($I102:$K102))),"Avance semanal decreciente"&amp;" · ","")&amp;IF(AND(ISNUMBER($AN102),$AN102&lt;FechaRef,IF($V102="Sub",N($X102),N($M102))&lt;1),"Vencida"&amp;" · ","")&amp;IF(AND(ObsObligatoria="Sí",ISNUMBER($AN102),$AN102&lt;FechaRef,IF($V102="Sub",N($X102),N($M102))&lt;1,$Q102=""),"Vencida sin observación"&amp;" · ",""),LEN(IF($C102="","Falta el nombre de la actividad"&amp;" · ","")&amp;IF(AND($V102="Sub",N($U102)=0),"Subactividad sin macroactividad arriba"&amp;" · ","")&amp;IF($AM102="","Sin fecha de inicio"&amp;" · ","")&amp;IF($AN102="","Sin fecha límite"&amp;" · ","")&amp;IF(AND(LEFT($C102,11)="[Jefatura] ",N($AL102)=0),"No se encuentra en la hoja de la jefatura (elíjala de nuevo en la lista)"&amp;" · ","")&amp;IF(OR(AND($E102&lt;&gt;"",NOT(ISNUMBER($E102))),AND($F102&lt;&gt;"",NOT(ISNUMBER($F102))),AND($G102&lt;&gt;"",NOT(ISNUMBER($G102)))),"Fecha no válida"&amp;" · ","")&amp;IF(AND(ISNUMBER($AM102),ISNUMBER($AN102),$AM102&gt;$AN102),"Inicio posterior a fecha límite"&amp;" · ","")&amp;IF(AND($V102="Macro",$H102&lt;&gt;"",OR(NOT(ISNUMBER($H102)),$H102&lt;0,$H102&gt;1)),"Peso fuera de rango"&amp;" · ","")&amp;IF(AND($V102="Sub",$H102&lt;&gt;""),"Las subactividades no llevan peso (valen igual dentro de su macroactividad)"&amp;" · ","")&amp;IF(AND(N($W102)&gt;0,COUNT($I102:$L102)&gt;0),"Con subactividades: deje vacías las semanas (se calculan solas)"&amp;" · ","")&amp;IF((COUNTIF($I102:$L102,"&gt;1")+COUNTIF($I102:$L102,"&lt;0")+COUNTA($I102:$L102)-COUNT($I102:$L102))&gt;0,"Avance fuera de rango 0-100%"&amp;" · ","")&amp;IF(OR(AND($J102&lt;&gt;"",$J102&lt;$I102),AND($K102&lt;&gt;"",$K102&lt;MAX($I102:$J102)),AND($L102&lt;&gt;"",$L102&lt;MAX($I102:$K102))),"Avance semanal decreciente"&amp;" · ","")&amp;IF(AND(ISNUMBER($AN102),$AN102&lt;FechaRef,IF($V102="Sub",N($X102),N($M102))&lt;1),"Vencida"&amp;" · ","")&amp;IF(AND(ObsObligatoria="Sí",ISNUMBER($AN102),$AN102&lt;FechaRef,IF($V102="Sub",N($X102),N($M102))&lt;1,$Q102=""),"Vencida sin observación"&amp;" · ",""))-3)))</f>
        <v/>
      </c>
      <c r="S102" s="64">
        <f>IF(NOT((COUNTA($B102:$D102)+COUNTA($G102:$L102)+COUNTA($Q102))&gt;0),"",IF(AND($V102="Sub",N($U102)&gt;0),IF(ISNUMBER(INDEX($AM$5:$AM$1000,$U102-4)),DATE(YEAR(INDEX($AM$5:$AM$1000,$U102-4)),MONTH(INDEX($AM$5:$AM$1000,$U102-4)),1),IF(ISNUMBER(INDEX($AN$5:$AN$1000,$U102-4)),DATE(YEAR(INDEX($AN$5:$AN$1000,$U102-4)),MONTH(INDEX($AN$5:$AN$1000,$U102-4)),1),MesCiclo)),IF(ISNUMBER($AM102),DATE(YEAR($AM102),MONTH($AM102),1),IF(ISNUMBER($AN102),DATE(YEAR($AN102),MONTH($AN102),1),MesCiclo))))</f>
        <v/>
      </c>
      <c r="T102" s="62">
        <f>IF(OR($S102="",$S102&lt;&gt;MesCiclo,$V102&lt;&gt;"Macro"),"",COUNTIFS($S$5:$S102,MesCiclo,$V$5:$V102,"Macro"))</f>
        <v/>
      </c>
      <c r="U102" s="62">
        <f>IF($V102="","",IF($V102="Macro",ROW(),IFERROR(LOOKUP(2,1/($V$5:$V102="Macro"),ROW($V$5:$V102)),0)))</f>
        <v/>
      </c>
      <c r="V102" s="62">
        <f>IF(NOT((COUNTA($B102:$D102)+COUNTA($G102:$L102)+COUNTA($Q102))&gt;0),"",IF($B102="Subactividad","Sub","Macro"))</f>
        <v/>
      </c>
      <c r="W102" s="62">
        <f>IF($V102="Macro",COUNTIFS($U$5:$U$1000,ROW(),$V$5:$V$1000,"Sub"),"")</f>
        <v/>
      </c>
      <c r="X102" s="62">
        <f>IF($V102="","",IF(ISNUMBER($G102),1,IFERROR(LOOKUP(2,1/($I102:$L102&lt;&gt;""),$I102:$L102),0)))</f>
        <v/>
      </c>
      <c r="Y102" s="62">
        <f>IF($V102="","",IF(AND(ISNUMBER($G102),$G102&lt;=IF($S102=MesCiclo,InicioCiclo,$S102+MOD(2-WEEKDAY($S102),7))+6),1,IF(ISNUMBER($I102),$I102,0)))</f>
        <v/>
      </c>
      <c r="Z102" s="62">
        <f>IF($V102="","",IF(AND(ISNUMBER($G102),$G102&lt;=IF($S102=MesCiclo,InicioCiclo,$S102+MOD(2-WEEKDAY($S102),7))+13),1,IF(ISNUMBER($J102),$J102,$Y102)))</f>
        <v/>
      </c>
      <c r="AA102" s="62">
        <f>IF($V102="","",IF(AND(ISNUMBER($G102),$G102&lt;=IF($S102=MesCiclo,InicioCiclo,$S102+MOD(2-WEEKDAY($S102),7))+20),1,IF(ISNUMBER($K102),$K102,$Z102)))</f>
        <v/>
      </c>
      <c r="AB102" s="62">
        <f>IF($V102="","",IF(AND(ISNUMBER($G102),$G102&lt;=IF($S102=MesCiclo,InicioCiclo,$S102+MOD(2-WEEKDAY($S102),7))+27),1,IF(ISNUMBER($L102),$L102,$AA102)))</f>
        <v/>
      </c>
      <c r="AC102" s="62">
        <f>IF($V102="","",IF(AND(ISNUMBER($G102),$G102&lt;=IF($S102=MesCiclo,InicioCiclo,$S102+MOD(2-WEEKDAY($S102),7))+6),1,IF(N($W102)&gt;0,AVERAGEIFS($Y$5:$Y$1000,$U$5:$U$1000,ROW(),$V$5:$V$1000,"Sub"),$Y102)))</f>
        <v/>
      </c>
      <c r="AD102" s="62">
        <f>IF($V102="","",IF(AND(ISNUMBER($G102),$G102&lt;=IF($S102=MesCiclo,InicioCiclo,$S102+MOD(2-WEEKDAY($S102),7))+13),1,IF(N($W102)&gt;0,AVERAGEIFS($Z$5:$Z$1000,$U$5:$U$1000,ROW(),$V$5:$V$1000,"Sub"),$Z102)))</f>
        <v/>
      </c>
      <c r="AE102" s="62">
        <f>IF($V102="","",IF(AND(ISNUMBER($G102),$G102&lt;=IF($S102=MesCiclo,InicioCiclo,$S102+MOD(2-WEEKDAY($S102),7))+20),1,IF(N($W102)&gt;0,AVERAGEIFS($AA$5:$AA$1000,$U$5:$U$1000,ROW(),$V$5:$V$1000,"Sub"),$AA102)))</f>
        <v/>
      </c>
      <c r="AF102" s="62">
        <f>IF($V102="","",IF(AND(ISNUMBER($G102),$G102&lt;=IF($S102=MesCiclo,InicioCiclo,$S102+MOD(2-WEEKDAY($S102),7))+27),1,IF(N($W102)&gt;0,AVERAGEIFS($AB$5:$AB$1000,$U$5:$U$1000,ROW(),$V$5:$V$1000,"Sub"),$AB102)))</f>
        <v/>
      </c>
      <c r="AG102" s="62">
        <f>IF($V102&lt;&gt;"Macro","",IF(COUNTIFS($S$5:$S$1000,$S102,$V$5:$V$1000,"Macro",$H$5:$H$1000,"&gt;0")=0,1/COUNTIFS($S$5:$S$1000,$S102,$V$5:$V$1000,"Macro"),IF(AND(ISNUMBER($H102),N($H102)&gt;0),$H102,SUMIFS($H$5:$H$1000,$S$5:$S$1000,$S102,$V$5:$V$1000,"Macro")/COUNTIFS($S$5:$S$1000,$S102,$V$5:$V$1000,"Macro",$H$5:$H$1000,"&gt;0"))/(COUNTIFS($S$5:$S$1000,$S102,$V$5:$V$1000,"Macro")*SUMIFS($H$5:$H$1000,$S$5:$S$1000,$S102,$V$5:$V$1000,"Macro")/COUNTIFS($S$5:$S$1000,$S102,$V$5:$V$1000,"Macro",$H$5:$H$1000,"&gt;0"))))</f>
        <v/>
      </c>
      <c r="AH102" s="62">
        <f>IF(NOT(AND($D102&lt;&gt;"",$V102="Macro")),"",IFERROR(CHOOSE(MATCH($D102,ListaPuestos,0),MATCH("[Jefatura] "&amp;$C102,'Cronograma R. Operacional'!$C$5:$C$1000,0),MATCH("[Jefatura] "&amp;$C102,'Cronograma R. Normativo'!$C$5:$C$1000,0),MATCH("[Jefatura] "&amp;$C102,'Cronograma R. Financiero'!$C$5:$C$1000,0),MATCH("[Jefatura] "&amp;$C102,'Cronograma Asistente Técnico'!$C$5:$C$1000,0)),0))</f>
        <v/>
      </c>
      <c r="AI102" s="62">
        <f>IF(AND(AND($D102&lt;&gt;"",$V102="Macro"),$S102=MesCiclo),COUNTIFS($D$5:$D102,$D102,$S$5:$S102,MesCiclo,$V$5:$V102,"Macro"),"")</f>
        <v/>
      </c>
      <c r="AJ102" s="62">
        <f>IF($AI102="","",$D102&amp;"|"&amp;$AI102)</f>
        <v/>
      </c>
      <c r="AK102" s="62">
        <f>IF(AND($D102&lt;&gt;"",$V102="Macro"),$D102&amp;"|"&amp;$C102,"")</f>
        <v/>
      </c>
      <c r="AL102" s="62">
        <f>""</f>
        <v/>
      </c>
      <c r="AM102" s="62">
        <f>IF(N($AL102)&gt;0,INDEX(rIni_ADM,$AL102),IF(ISNUMBER($E102),$E102,""))</f>
        <v/>
      </c>
      <c r="AN102" s="62">
        <f>IF(N($AL102)&gt;0,INDEX(rLim_ADM,$AL102),IF(ISNUMBER($F102),$F102,""))</f>
        <v/>
      </c>
    </row>
    <row r="103">
      <c r="A103" s="56">
        <f>IF(NOT((COUNTA($B103:$D103)+COUNTA($G103:$L103)+COUNTA($Q103))&gt;0),"",IF($V103="Macro",COUNTIFS($V$5:$V103,"Macro",$S$5:$S103,$S103),IF(N($U103)=0,"?",COUNTIFS(INDEX($V$5:$V$1000,1):INDEX($V$5:$V$1000,$U103-4),"Macro",INDEX($S$5:$S$1000,1):INDEX($S$5:$S$1000,$U103-4),INDEX($S$5:$S$1000,$U103-4))&amp;"."&amp;COUNTIFS($U$5:$U103,$U103,$V$5:$V103,"Sub"))))</f>
        <v/>
      </c>
      <c r="B103" s="57" t="n"/>
      <c r="C103" s="58" t="n"/>
      <c r="D103" s="58" t="n"/>
      <c r="E103" s="59" t="n"/>
      <c r="F103" s="59" t="n"/>
      <c r="G103" s="59" t="n"/>
      <c r="H103" s="60" t="n"/>
      <c r="I103" s="60" t="n"/>
      <c r="J103" s="60" t="n"/>
      <c r="K103" s="60" t="n"/>
      <c r="L103" s="60" t="n"/>
      <c r="M103" s="61">
        <f>IF(NOT((COUNTA($B103:$D103)+COUNTA($G103:$L103)+COUNTA($Q103))&gt;0),"",IF(AND($D103&lt;&gt;"",$V103="Macro"),IF(N($AH103)&gt;0,N(CHOOSE(MATCH($D103,ListaPuestos,0),INDEX('Cronograma R. Operacional'!$M$5:$M$1000,$AH103),INDEX('Cronograma R. Normativo'!$M$5:$M$1000,$AH103),INDEX('Cronograma R. Financiero'!$M$5:$M$1000,$AH103),INDEX('Cronograma Asistente Técnico'!$M$5:$M$1000,$AH103))),0),IF(ISNUMBER($G103),1,IF(N($W103)&gt;0,AVERAGEIFS($X$5:$X$1000,$U$5:$U$1000,ROW(),$V$5:$V$1000,"Sub"),$X103))))</f>
        <v/>
      </c>
      <c r="N103" s="56">
        <f>IF(OR($M103="",$V103="Sub"),"",IF($M103&gt;=1,"Completado",IF($M103&gt;0,"En curso","Pendiente")))</f>
        <v/>
      </c>
      <c r="O103" s="56">
        <f>IF(NOT((COUNTA($B103:$D103)+COUNTA($G103:$L103)+COUNTA($Q103))&gt;0),"",IF(AND(AND($D103&lt;&gt;"",$V103="Macro"),N($AH103)&gt;0),CHOOSE(MATCH($D103,ListaPuestos,0),INDEX('Cronograma R. Operacional'!$O$5:$O$1000,$AH103),INDEX('Cronograma R. Normativo'!$O$5:$O$1000,$AH103),INDEX('Cronograma R. Financiero'!$O$5:$O$1000,$AH103),INDEX('Cronograma Asistente Técnico'!$O$5:$O$1000,$AH103))&amp;"",IF(ISNUMBER($G103),IF(AND(ISNUMBER($AN103),$G103&gt;$AN103),"Cumplida con "&amp;($G103-$AN103)&amp;IF($G103-$AN103=1," día"," días")&amp;" de retraso","Cumplida"),IF(N($M103)&gt;=1,"Cumplida",IF(NOT(ISNUMBER($AN103)),"Sin fecha límite",IF($AN103&lt;FechaRef,"Vencida hace "&amp;(FechaRef-$AN103)&amp;IF(FechaRef-$AN103=1," día"," días"),IF($AN103=FechaRef,"Vence hoy",IF($AN103-FechaRef&lt;=DiasAlerta,"Vence en "&amp;($AN103-FechaRef)&amp;IF($AN103-FechaRef=1," día"," días"),"En plazo"))))))))</f>
        <v/>
      </c>
      <c r="P103" s="62">
        <f>IF(NOT((COUNTA($B103:$D103)+COUNTA($G103:$L103)+COUNTA($Q103))&gt;0),"",IF($D103="","Propia",IF($V103&lt;&gt;"Macro","Solo se delegan macroactividades",IF(N($AH103)&gt;0,"✔ Recibida por "&amp;$D103,"⚠ "&amp;$D103&amp;" aún no la agrega"))))</f>
        <v/>
      </c>
      <c r="Q103" s="58" t="n"/>
      <c r="R103" s="63">
        <f>IF(NOT((COUNTA($B103:$D103)+COUNTA($G103:$L103)+COUNTA($Q103))&gt;0),"",IF((IF($C103="","Falta el nombre de la actividad"&amp;" · ","")&amp;IF(AND($V103="Sub",N($U103)=0),"Subactividad sin macroactividad arriba"&amp;" · ","")&amp;IF($AM103="","Sin fecha de inicio"&amp;" · ","")&amp;IF($AN103="","Sin fecha límite"&amp;" · ","")&amp;IF(AND(LEFT($C103,11)="[Jefatura] ",N($AL103)=0),"No se encuentra en la hoja de la jefatura (elíjala de nuevo en la lista)"&amp;" · ","")&amp;IF(OR(AND($E103&lt;&gt;"",NOT(ISNUMBER($E103))),AND($F103&lt;&gt;"",NOT(ISNUMBER($F103))),AND($G103&lt;&gt;"",NOT(ISNUMBER($G103)))),"Fecha no válida"&amp;" · ","")&amp;IF(AND(ISNUMBER($AM103),ISNUMBER($AN103),$AM103&gt;$AN103),"Inicio posterior a fecha límite"&amp;" · ","")&amp;IF(AND($V103="Macro",$H103&lt;&gt;"",OR(NOT(ISNUMBER($H103)),$H103&lt;0,$H103&gt;1)),"Peso fuera de rango"&amp;" · ","")&amp;IF(AND($V103="Sub",$H103&lt;&gt;""),"Las subactividades no llevan peso (valen igual dentro de su macroactividad)"&amp;" · ","")&amp;IF(AND(N($W103)&gt;0,COUNT($I103:$L103)&gt;0),"Con subactividades: deje vacías las semanas (se calculan solas)"&amp;" · ","")&amp;IF((COUNTIF($I103:$L103,"&gt;1")+COUNTIF($I103:$L103,"&lt;0")+COUNTA($I103:$L103)-COUNT($I103:$L103))&gt;0,"Avance fuera de rango 0-100%"&amp;" · ","")&amp;IF(OR(AND($J103&lt;&gt;"",$J103&lt;$I103),AND($K103&lt;&gt;"",$K103&lt;MAX($I103:$J103)),AND($L103&lt;&gt;"",$L103&lt;MAX($I103:$K103))),"Avance semanal decreciente"&amp;" · ","")&amp;IF(AND(ISNUMBER($AN103),$AN103&lt;FechaRef,IF($V103="Sub",N($X103),N($M103))&lt;1),"Vencida"&amp;" · ","")&amp;IF(AND(ObsObligatoria="Sí",ISNUMBER($AN103),$AN103&lt;FechaRef,IF($V103="Sub",N($X103),N($M103))&lt;1,$Q103=""),"Vencida sin observación"&amp;" · ",""))="","✔ OK","⚠ "&amp;LEFT(IF($C103="","Falta el nombre de la actividad"&amp;" · ","")&amp;IF(AND($V103="Sub",N($U103)=0),"Subactividad sin macroactividad arriba"&amp;" · ","")&amp;IF($AM103="","Sin fecha de inicio"&amp;" · ","")&amp;IF($AN103="","Sin fecha límite"&amp;" · ","")&amp;IF(AND(LEFT($C103,11)="[Jefatura] ",N($AL103)=0),"No se encuentra en la hoja de la jefatura (elíjala de nuevo en la lista)"&amp;" · ","")&amp;IF(OR(AND($E103&lt;&gt;"",NOT(ISNUMBER($E103))),AND($F103&lt;&gt;"",NOT(ISNUMBER($F103))),AND($G103&lt;&gt;"",NOT(ISNUMBER($G103)))),"Fecha no válida"&amp;" · ","")&amp;IF(AND(ISNUMBER($AM103),ISNUMBER($AN103),$AM103&gt;$AN103),"Inicio posterior a fecha límite"&amp;" · ","")&amp;IF(AND($V103="Macro",$H103&lt;&gt;"",OR(NOT(ISNUMBER($H103)),$H103&lt;0,$H103&gt;1)),"Peso fuera de rango"&amp;" · ","")&amp;IF(AND($V103="Sub",$H103&lt;&gt;""),"Las subactividades no llevan peso (valen igual dentro de su macroactividad)"&amp;" · ","")&amp;IF(AND(N($W103)&gt;0,COUNT($I103:$L103)&gt;0),"Con subactividades: deje vacías las semanas (se calculan solas)"&amp;" · ","")&amp;IF((COUNTIF($I103:$L103,"&gt;1")+COUNTIF($I103:$L103,"&lt;0")+COUNTA($I103:$L103)-COUNT($I103:$L103))&gt;0,"Avance fuera de rango 0-100%"&amp;" · ","")&amp;IF(OR(AND($J103&lt;&gt;"",$J103&lt;$I103),AND($K103&lt;&gt;"",$K103&lt;MAX($I103:$J103)),AND($L103&lt;&gt;"",$L103&lt;MAX($I103:$K103))),"Avance semanal decreciente"&amp;" · ","")&amp;IF(AND(ISNUMBER($AN103),$AN103&lt;FechaRef,IF($V103="Sub",N($X103),N($M103))&lt;1),"Vencida"&amp;" · ","")&amp;IF(AND(ObsObligatoria="Sí",ISNUMBER($AN103),$AN103&lt;FechaRef,IF($V103="Sub",N($X103),N($M103))&lt;1,$Q103=""),"Vencida sin observación"&amp;" · ",""),LEN(IF($C103="","Falta el nombre de la actividad"&amp;" · ","")&amp;IF(AND($V103="Sub",N($U103)=0),"Subactividad sin macroactividad arriba"&amp;" · ","")&amp;IF($AM103="","Sin fecha de inicio"&amp;" · ","")&amp;IF($AN103="","Sin fecha límite"&amp;" · ","")&amp;IF(AND(LEFT($C103,11)="[Jefatura] ",N($AL103)=0),"No se encuentra en la hoja de la jefatura (elíjala de nuevo en la lista)"&amp;" · ","")&amp;IF(OR(AND($E103&lt;&gt;"",NOT(ISNUMBER($E103))),AND($F103&lt;&gt;"",NOT(ISNUMBER($F103))),AND($G103&lt;&gt;"",NOT(ISNUMBER($G103)))),"Fecha no válida"&amp;" · ","")&amp;IF(AND(ISNUMBER($AM103),ISNUMBER($AN103),$AM103&gt;$AN103),"Inicio posterior a fecha límite"&amp;" · ","")&amp;IF(AND($V103="Macro",$H103&lt;&gt;"",OR(NOT(ISNUMBER($H103)),$H103&lt;0,$H103&gt;1)),"Peso fuera de rango"&amp;" · ","")&amp;IF(AND($V103="Sub",$H103&lt;&gt;""),"Las subactividades no llevan peso (valen igual dentro de su macroactividad)"&amp;" · ","")&amp;IF(AND(N($W103)&gt;0,COUNT($I103:$L103)&gt;0),"Con subactividades: deje vacías las semanas (se calculan solas)"&amp;" · ","")&amp;IF((COUNTIF($I103:$L103,"&gt;1")+COUNTIF($I103:$L103,"&lt;0")+COUNTA($I103:$L103)-COUNT($I103:$L103))&gt;0,"Avance fuera de rango 0-100%"&amp;" · ","")&amp;IF(OR(AND($J103&lt;&gt;"",$J103&lt;$I103),AND($K103&lt;&gt;"",$K103&lt;MAX($I103:$J103)),AND($L103&lt;&gt;"",$L103&lt;MAX($I103:$K103))),"Avance semanal decreciente"&amp;" · ","")&amp;IF(AND(ISNUMBER($AN103),$AN103&lt;FechaRef,IF($V103="Sub",N($X103),N($M103))&lt;1),"Vencida"&amp;" · ","")&amp;IF(AND(ObsObligatoria="Sí",ISNUMBER($AN103),$AN103&lt;FechaRef,IF($V103="Sub",N($X103),N($M103))&lt;1,$Q103=""),"Vencida sin observación"&amp;" · ",""))-3)))</f>
        <v/>
      </c>
      <c r="S103" s="64">
        <f>IF(NOT((COUNTA($B103:$D103)+COUNTA($G103:$L103)+COUNTA($Q103))&gt;0),"",IF(AND($V103="Sub",N($U103)&gt;0),IF(ISNUMBER(INDEX($AM$5:$AM$1000,$U103-4)),DATE(YEAR(INDEX($AM$5:$AM$1000,$U103-4)),MONTH(INDEX($AM$5:$AM$1000,$U103-4)),1),IF(ISNUMBER(INDEX($AN$5:$AN$1000,$U103-4)),DATE(YEAR(INDEX($AN$5:$AN$1000,$U103-4)),MONTH(INDEX($AN$5:$AN$1000,$U103-4)),1),MesCiclo)),IF(ISNUMBER($AM103),DATE(YEAR($AM103),MONTH($AM103),1),IF(ISNUMBER($AN103),DATE(YEAR($AN103),MONTH($AN103),1),MesCiclo))))</f>
        <v/>
      </c>
      <c r="T103" s="62">
        <f>IF(OR($S103="",$S103&lt;&gt;MesCiclo,$V103&lt;&gt;"Macro"),"",COUNTIFS($S$5:$S103,MesCiclo,$V$5:$V103,"Macro"))</f>
        <v/>
      </c>
      <c r="U103" s="62">
        <f>IF($V103="","",IF($V103="Macro",ROW(),IFERROR(LOOKUP(2,1/($V$5:$V103="Macro"),ROW($V$5:$V103)),0)))</f>
        <v/>
      </c>
      <c r="V103" s="62">
        <f>IF(NOT((COUNTA($B103:$D103)+COUNTA($G103:$L103)+COUNTA($Q103))&gt;0),"",IF($B103="Subactividad","Sub","Macro"))</f>
        <v/>
      </c>
      <c r="W103" s="62">
        <f>IF($V103="Macro",COUNTIFS($U$5:$U$1000,ROW(),$V$5:$V$1000,"Sub"),"")</f>
        <v/>
      </c>
      <c r="X103" s="62">
        <f>IF($V103="","",IF(ISNUMBER($G103),1,IFERROR(LOOKUP(2,1/($I103:$L103&lt;&gt;""),$I103:$L103),0)))</f>
        <v/>
      </c>
      <c r="Y103" s="62">
        <f>IF($V103="","",IF(AND(ISNUMBER($G103),$G103&lt;=IF($S103=MesCiclo,InicioCiclo,$S103+MOD(2-WEEKDAY($S103),7))+6),1,IF(ISNUMBER($I103),$I103,0)))</f>
        <v/>
      </c>
      <c r="Z103" s="62">
        <f>IF($V103="","",IF(AND(ISNUMBER($G103),$G103&lt;=IF($S103=MesCiclo,InicioCiclo,$S103+MOD(2-WEEKDAY($S103),7))+13),1,IF(ISNUMBER($J103),$J103,$Y103)))</f>
        <v/>
      </c>
      <c r="AA103" s="62">
        <f>IF($V103="","",IF(AND(ISNUMBER($G103),$G103&lt;=IF($S103=MesCiclo,InicioCiclo,$S103+MOD(2-WEEKDAY($S103),7))+20),1,IF(ISNUMBER($K103),$K103,$Z103)))</f>
        <v/>
      </c>
      <c r="AB103" s="62">
        <f>IF($V103="","",IF(AND(ISNUMBER($G103),$G103&lt;=IF($S103=MesCiclo,InicioCiclo,$S103+MOD(2-WEEKDAY($S103),7))+27),1,IF(ISNUMBER($L103),$L103,$AA103)))</f>
        <v/>
      </c>
      <c r="AC103" s="62">
        <f>IF($V103="","",IF(AND(ISNUMBER($G103),$G103&lt;=IF($S103=MesCiclo,InicioCiclo,$S103+MOD(2-WEEKDAY($S103),7))+6),1,IF(N($W103)&gt;0,AVERAGEIFS($Y$5:$Y$1000,$U$5:$U$1000,ROW(),$V$5:$V$1000,"Sub"),$Y103)))</f>
        <v/>
      </c>
      <c r="AD103" s="62">
        <f>IF($V103="","",IF(AND(ISNUMBER($G103),$G103&lt;=IF($S103=MesCiclo,InicioCiclo,$S103+MOD(2-WEEKDAY($S103),7))+13),1,IF(N($W103)&gt;0,AVERAGEIFS($Z$5:$Z$1000,$U$5:$U$1000,ROW(),$V$5:$V$1000,"Sub"),$Z103)))</f>
        <v/>
      </c>
      <c r="AE103" s="62">
        <f>IF($V103="","",IF(AND(ISNUMBER($G103),$G103&lt;=IF($S103=MesCiclo,InicioCiclo,$S103+MOD(2-WEEKDAY($S103),7))+20),1,IF(N($W103)&gt;0,AVERAGEIFS($AA$5:$AA$1000,$U$5:$U$1000,ROW(),$V$5:$V$1000,"Sub"),$AA103)))</f>
        <v/>
      </c>
      <c r="AF103" s="62">
        <f>IF($V103="","",IF(AND(ISNUMBER($G103),$G103&lt;=IF($S103=MesCiclo,InicioCiclo,$S103+MOD(2-WEEKDAY($S103),7))+27),1,IF(N($W103)&gt;0,AVERAGEIFS($AB$5:$AB$1000,$U$5:$U$1000,ROW(),$V$5:$V$1000,"Sub"),$AB103)))</f>
        <v/>
      </c>
      <c r="AG103" s="62">
        <f>IF($V103&lt;&gt;"Macro","",IF(COUNTIFS($S$5:$S$1000,$S103,$V$5:$V$1000,"Macro",$H$5:$H$1000,"&gt;0")=0,1/COUNTIFS($S$5:$S$1000,$S103,$V$5:$V$1000,"Macro"),IF(AND(ISNUMBER($H103),N($H103)&gt;0),$H103,SUMIFS($H$5:$H$1000,$S$5:$S$1000,$S103,$V$5:$V$1000,"Macro")/COUNTIFS($S$5:$S$1000,$S103,$V$5:$V$1000,"Macro",$H$5:$H$1000,"&gt;0"))/(COUNTIFS($S$5:$S$1000,$S103,$V$5:$V$1000,"Macro")*SUMIFS($H$5:$H$1000,$S$5:$S$1000,$S103,$V$5:$V$1000,"Macro")/COUNTIFS($S$5:$S$1000,$S103,$V$5:$V$1000,"Macro",$H$5:$H$1000,"&gt;0"))))</f>
        <v/>
      </c>
      <c r="AH103" s="62">
        <f>IF(NOT(AND($D103&lt;&gt;"",$V103="Macro")),"",IFERROR(CHOOSE(MATCH($D103,ListaPuestos,0),MATCH("[Jefatura] "&amp;$C103,'Cronograma R. Operacional'!$C$5:$C$1000,0),MATCH("[Jefatura] "&amp;$C103,'Cronograma R. Normativo'!$C$5:$C$1000,0),MATCH("[Jefatura] "&amp;$C103,'Cronograma R. Financiero'!$C$5:$C$1000,0),MATCH("[Jefatura] "&amp;$C103,'Cronograma Asistente Técnico'!$C$5:$C$1000,0)),0))</f>
        <v/>
      </c>
      <c r="AI103" s="62">
        <f>IF(AND(AND($D103&lt;&gt;"",$V103="Macro"),$S103=MesCiclo),COUNTIFS($D$5:$D103,$D103,$S$5:$S103,MesCiclo,$V$5:$V103,"Macro"),"")</f>
        <v/>
      </c>
      <c r="AJ103" s="62">
        <f>IF($AI103="","",$D103&amp;"|"&amp;$AI103)</f>
        <v/>
      </c>
      <c r="AK103" s="62">
        <f>IF(AND($D103&lt;&gt;"",$V103="Macro"),$D103&amp;"|"&amp;$C103,"")</f>
        <v/>
      </c>
      <c r="AL103" s="62">
        <f>""</f>
        <v/>
      </c>
      <c r="AM103" s="62">
        <f>IF(N($AL103)&gt;0,INDEX(rIni_ADM,$AL103),IF(ISNUMBER($E103),$E103,""))</f>
        <v/>
      </c>
      <c r="AN103" s="62">
        <f>IF(N($AL103)&gt;0,INDEX(rLim_ADM,$AL103),IF(ISNUMBER($F103),$F103,""))</f>
        <v/>
      </c>
    </row>
    <row r="104">
      <c r="A104" s="56">
        <f>IF(NOT((COUNTA($B104:$D104)+COUNTA($G104:$L104)+COUNTA($Q104))&gt;0),"",IF($V104="Macro",COUNTIFS($V$5:$V104,"Macro",$S$5:$S104,$S104),IF(N($U104)=0,"?",COUNTIFS(INDEX($V$5:$V$1000,1):INDEX($V$5:$V$1000,$U104-4),"Macro",INDEX($S$5:$S$1000,1):INDEX($S$5:$S$1000,$U104-4),INDEX($S$5:$S$1000,$U104-4))&amp;"."&amp;COUNTIFS($U$5:$U104,$U104,$V$5:$V104,"Sub"))))</f>
        <v/>
      </c>
      <c r="B104" s="57" t="n"/>
      <c r="C104" s="58" t="n"/>
      <c r="D104" s="58" t="n"/>
      <c r="E104" s="59" t="n"/>
      <c r="F104" s="59" t="n"/>
      <c r="G104" s="59" t="n"/>
      <c r="H104" s="60" t="n"/>
      <c r="I104" s="60" t="n"/>
      <c r="J104" s="60" t="n"/>
      <c r="K104" s="60" t="n"/>
      <c r="L104" s="60" t="n"/>
      <c r="M104" s="61">
        <f>IF(NOT((COUNTA($B104:$D104)+COUNTA($G104:$L104)+COUNTA($Q104))&gt;0),"",IF(AND($D104&lt;&gt;"",$V104="Macro"),IF(N($AH104)&gt;0,N(CHOOSE(MATCH($D104,ListaPuestos,0),INDEX('Cronograma R. Operacional'!$M$5:$M$1000,$AH104),INDEX('Cronograma R. Normativo'!$M$5:$M$1000,$AH104),INDEX('Cronograma R. Financiero'!$M$5:$M$1000,$AH104),INDEX('Cronograma Asistente Técnico'!$M$5:$M$1000,$AH104))),0),IF(ISNUMBER($G104),1,IF(N($W104)&gt;0,AVERAGEIFS($X$5:$X$1000,$U$5:$U$1000,ROW(),$V$5:$V$1000,"Sub"),$X104))))</f>
        <v/>
      </c>
      <c r="N104" s="56">
        <f>IF(OR($M104="",$V104="Sub"),"",IF($M104&gt;=1,"Completado",IF($M104&gt;0,"En curso","Pendiente")))</f>
        <v/>
      </c>
      <c r="O104" s="56">
        <f>IF(NOT((COUNTA($B104:$D104)+COUNTA($G104:$L104)+COUNTA($Q104))&gt;0),"",IF(AND(AND($D104&lt;&gt;"",$V104="Macro"),N($AH104)&gt;0),CHOOSE(MATCH($D104,ListaPuestos,0),INDEX('Cronograma R. Operacional'!$O$5:$O$1000,$AH104),INDEX('Cronograma R. Normativo'!$O$5:$O$1000,$AH104),INDEX('Cronograma R. Financiero'!$O$5:$O$1000,$AH104),INDEX('Cronograma Asistente Técnico'!$O$5:$O$1000,$AH104))&amp;"",IF(ISNUMBER($G104),IF(AND(ISNUMBER($AN104),$G104&gt;$AN104),"Cumplida con "&amp;($G104-$AN104)&amp;IF($G104-$AN104=1," día"," días")&amp;" de retraso","Cumplida"),IF(N($M104)&gt;=1,"Cumplida",IF(NOT(ISNUMBER($AN104)),"Sin fecha límite",IF($AN104&lt;FechaRef,"Vencida hace "&amp;(FechaRef-$AN104)&amp;IF(FechaRef-$AN104=1," día"," días"),IF($AN104=FechaRef,"Vence hoy",IF($AN104-FechaRef&lt;=DiasAlerta,"Vence en "&amp;($AN104-FechaRef)&amp;IF($AN104-FechaRef=1," día"," días"),"En plazo"))))))))</f>
        <v/>
      </c>
      <c r="P104" s="62">
        <f>IF(NOT((COUNTA($B104:$D104)+COUNTA($G104:$L104)+COUNTA($Q104))&gt;0),"",IF($D104="","Propia",IF($V104&lt;&gt;"Macro","Solo se delegan macroactividades",IF(N($AH104)&gt;0,"✔ Recibida por "&amp;$D104,"⚠ "&amp;$D104&amp;" aún no la agrega"))))</f>
        <v/>
      </c>
      <c r="Q104" s="58" t="n"/>
      <c r="R104" s="63">
        <f>IF(NOT((COUNTA($B104:$D104)+COUNTA($G104:$L104)+COUNTA($Q104))&gt;0),"",IF((IF($C104="","Falta el nombre de la actividad"&amp;" · ","")&amp;IF(AND($V104="Sub",N($U104)=0),"Subactividad sin macroactividad arriba"&amp;" · ","")&amp;IF($AM104="","Sin fecha de inicio"&amp;" · ","")&amp;IF($AN104="","Sin fecha límite"&amp;" · ","")&amp;IF(AND(LEFT($C104,11)="[Jefatura] ",N($AL104)=0),"No se encuentra en la hoja de la jefatura (elíjala de nuevo en la lista)"&amp;" · ","")&amp;IF(OR(AND($E104&lt;&gt;"",NOT(ISNUMBER($E104))),AND($F104&lt;&gt;"",NOT(ISNUMBER($F104))),AND($G104&lt;&gt;"",NOT(ISNUMBER($G104)))),"Fecha no válida"&amp;" · ","")&amp;IF(AND(ISNUMBER($AM104),ISNUMBER($AN104),$AM104&gt;$AN104),"Inicio posterior a fecha límite"&amp;" · ","")&amp;IF(AND($V104="Macro",$H104&lt;&gt;"",OR(NOT(ISNUMBER($H104)),$H104&lt;0,$H104&gt;1)),"Peso fuera de rango"&amp;" · ","")&amp;IF(AND($V104="Sub",$H104&lt;&gt;""),"Las subactividades no llevan peso (valen igual dentro de su macroactividad)"&amp;" · ","")&amp;IF(AND(N($W104)&gt;0,COUNT($I104:$L104)&gt;0),"Con subactividades: deje vacías las semanas (se calculan solas)"&amp;" · ","")&amp;IF((COUNTIF($I104:$L104,"&gt;1")+COUNTIF($I104:$L104,"&lt;0")+COUNTA($I104:$L104)-COUNT($I104:$L104))&gt;0,"Avance fuera de rango 0-100%"&amp;" · ","")&amp;IF(OR(AND($J104&lt;&gt;"",$J104&lt;$I104),AND($K104&lt;&gt;"",$K104&lt;MAX($I104:$J104)),AND($L104&lt;&gt;"",$L104&lt;MAX($I104:$K104))),"Avance semanal decreciente"&amp;" · ","")&amp;IF(AND(ISNUMBER($AN104),$AN104&lt;FechaRef,IF($V104="Sub",N($X104),N($M104))&lt;1),"Vencida"&amp;" · ","")&amp;IF(AND(ObsObligatoria="Sí",ISNUMBER($AN104),$AN104&lt;FechaRef,IF($V104="Sub",N($X104),N($M104))&lt;1,$Q104=""),"Vencida sin observación"&amp;" · ",""))="","✔ OK","⚠ "&amp;LEFT(IF($C104="","Falta el nombre de la actividad"&amp;" · ","")&amp;IF(AND($V104="Sub",N($U104)=0),"Subactividad sin macroactividad arriba"&amp;" · ","")&amp;IF($AM104="","Sin fecha de inicio"&amp;" · ","")&amp;IF($AN104="","Sin fecha límite"&amp;" · ","")&amp;IF(AND(LEFT($C104,11)="[Jefatura] ",N($AL104)=0),"No se encuentra en la hoja de la jefatura (elíjala de nuevo en la lista)"&amp;" · ","")&amp;IF(OR(AND($E104&lt;&gt;"",NOT(ISNUMBER($E104))),AND($F104&lt;&gt;"",NOT(ISNUMBER($F104))),AND($G104&lt;&gt;"",NOT(ISNUMBER($G104)))),"Fecha no válida"&amp;" · ","")&amp;IF(AND(ISNUMBER($AM104),ISNUMBER($AN104),$AM104&gt;$AN104),"Inicio posterior a fecha límite"&amp;" · ","")&amp;IF(AND($V104="Macro",$H104&lt;&gt;"",OR(NOT(ISNUMBER($H104)),$H104&lt;0,$H104&gt;1)),"Peso fuera de rango"&amp;" · ","")&amp;IF(AND($V104="Sub",$H104&lt;&gt;""),"Las subactividades no llevan peso (valen igual dentro de su macroactividad)"&amp;" · ","")&amp;IF(AND(N($W104)&gt;0,COUNT($I104:$L104)&gt;0),"Con subactividades: deje vacías las semanas (se calculan solas)"&amp;" · ","")&amp;IF((COUNTIF($I104:$L104,"&gt;1")+COUNTIF($I104:$L104,"&lt;0")+COUNTA($I104:$L104)-COUNT($I104:$L104))&gt;0,"Avance fuera de rango 0-100%"&amp;" · ","")&amp;IF(OR(AND($J104&lt;&gt;"",$J104&lt;$I104),AND($K104&lt;&gt;"",$K104&lt;MAX($I104:$J104)),AND($L104&lt;&gt;"",$L104&lt;MAX($I104:$K104))),"Avance semanal decreciente"&amp;" · ","")&amp;IF(AND(ISNUMBER($AN104),$AN104&lt;FechaRef,IF($V104="Sub",N($X104),N($M104))&lt;1),"Vencida"&amp;" · ","")&amp;IF(AND(ObsObligatoria="Sí",ISNUMBER($AN104),$AN104&lt;FechaRef,IF($V104="Sub",N($X104),N($M104))&lt;1,$Q104=""),"Vencida sin observación"&amp;" · ",""),LEN(IF($C104="","Falta el nombre de la actividad"&amp;" · ","")&amp;IF(AND($V104="Sub",N($U104)=0),"Subactividad sin macroactividad arriba"&amp;" · ","")&amp;IF($AM104="","Sin fecha de inicio"&amp;" · ","")&amp;IF($AN104="","Sin fecha límite"&amp;" · ","")&amp;IF(AND(LEFT($C104,11)="[Jefatura] ",N($AL104)=0),"No se encuentra en la hoja de la jefatura (elíjala de nuevo en la lista)"&amp;" · ","")&amp;IF(OR(AND($E104&lt;&gt;"",NOT(ISNUMBER($E104))),AND($F104&lt;&gt;"",NOT(ISNUMBER($F104))),AND($G104&lt;&gt;"",NOT(ISNUMBER($G104)))),"Fecha no válida"&amp;" · ","")&amp;IF(AND(ISNUMBER($AM104),ISNUMBER($AN104),$AM104&gt;$AN104),"Inicio posterior a fecha límite"&amp;" · ","")&amp;IF(AND($V104="Macro",$H104&lt;&gt;"",OR(NOT(ISNUMBER($H104)),$H104&lt;0,$H104&gt;1)),"Peso fuera de rango"&amp;" · ","")&amp;IF(AND($V104="Sub",$H104&lt;&gt;""),"Las subactividades no llevan peso (valen igual dentro de su macroactividad)"&amp;" · ","")&amp;IF(AND(N($W104)&gt;0,COUNT($I104:$L104)&gt;0),"Con subactividades: deje vacías las semanas (se calculan solas)"&amp;" · ","")&amp;IF((COUNTIF($I104:$L104,"&gt;1")+COUNTIF($I104:$L104,"&lt;0")+COUNTA($I104:$L104)-COUNT($I104:$L104))&gt;0,"Avance fuera de rango 0-100%"&amp;" · ","")&amp;IF(OR(AND($J104&lt;&gt;"",$J104&lt;$I104),AND($K104&lt;&gt;"",$K104&lt;MAX($I104:$J104)),AND($L104&lt;&gt;"",$L104&lt;MAX($I104:$K104))),"Avance semanal decreciente"&amp;" · ","")&amp;IF(AND(ISNUMBER($AN104),$AN104&lt;FechaRef,IF($V104="Sub",N($X104),N($M104))&lt;1),"Vencida"&amp;" · ","")&amp;IF(AND(ObsObligatoria="Sí",ISNUMBER($AN104),$AN104&lt;FechaRef,IF($V104="Sub",N($X104),N($M104))&lt;1,$Q104=""),"Vencida sin observación"&amp;" · ",""))-3)))</f>
        <v/>
      </c>
      <c r="S104" s="64">
        <f>IF(NOT((COUNTA($B104:$D104)+COUNTA($G104:$L104)+COUNTA($Q104))&gt;0),"",IF(AND($V104="Sub",N($U104)&gt;0),IF(ISNUMBER(INDEX($AM$5:$AM$1000,$U104-4)),DATE(YEAR(INDEX($AM$5:$AM$1000,$U104-4)),MONTH(INDEX($AM$5:$AM$1000,$U104-4)),1),IF(ISNUMBER(INDEX($AN$5:$AN$1000,$U104-4)),DATE(YEAR(INDEX($AN$5:$AN$1000,$U104-4)),MONTH(INDEX($AN$5:$AN$1000,$U104-4)),1),MesCiclo)),IF(ISNUMBER($AM104),DATE(YEAR($AM104),MONTH($AM104),1),IF(ISNUMBER($AN104),DATE(YEAR($AN104),MONTH($AN104),1),MesCiclo))))</f>
        <v/>
      </c>
      <c r="T104" s="62">
        <f>IF(OR($S104="",$S104&lt;&gt;MesCiclo,$V104&lt;&gt;"Macro"),"",COUNTIFS($S$5:$S104,MesCiclo,$V$5:$V104,"Macro"))</f>
        <v/>
      </c>
      <c r="U104" s="62">
        <f>IF($V104="","",IF($V104="Macro",ROW(),IFERROR(LOOKUP(2,1/($V$5:$V104="Macro"),ROW($V$5:$V104)),0)))</f>
        <v/>
      </c>
      <c r="V104" s="62">
        <f>IF(NOT((COUNTA($B104:$D104)+COUNTA($G104:$L104)+COUNTA($Q104))&gt;0),"",IF($B104="Subactividad","Sub","Macro"))</f>
        <v/>
      </c>
      <c r="W104" s="62">
        <f>IF($V104="Macro",COUNTIFS($U$5:$U$1000,ROW(),$V$5:$V$1000,"Sub"),"")</f>
        <v/>
      </c>
      <c r="X104" s="62">
        <f>IF($V104="","",IF(ISNUMBER($G104),1,IFERROR(LOOKUP(2,1/($I104:$L104&lt;&gt;""),$I104:$L104),0)))</f>
        <v/>
      </c>
      <c r="Y104" s="62">
        <f>IF($V104="","",IF(AND(ISNUMBER($G104),$G104&lt;=IF($S104=MesCiclo,InicioCiclo,$S104+MOD(2-WEEKDAY($S104),7))+6),1,IF(ISNUMBER($I104),$I104,0)))</f>
        <v/>
      </c>
      <c r="Z104" s="62">
        <f>IF($V104="","",IF(AND(ISNUMBER($G104),$G104&lt;=IF($S104=MesCiclo,InicioCiclo,$S104+MOD(2-WEEKDAY($S104),7))+13),1,IF(ISNUMBER($J104),$J104,$Y104)))</f>
        <v/>
      </c>
      <c r="AA104" s="62">
        <f>IF($V104="","",IF(AND(ISNUMBER($G104),$G104&lt;=IF($S104=MesCiclo,InicioCiclo,$S104+MOD(2-WEEKDAY($S104),7))+20),1,IF(ISNUMBER($K104),$K104,$Z104)))</f>
        <v/>
      </c>
      <c r="AB104" s="62">
        <f>IF($V104="","",IF(AND(ISNUMBER($G104),$G104&lt;=IF($S104=MesCiclo,InicioCiclo,$S104+MOD(2-WEEKDAY($S104),7))+27),1,IF(ISNUMBER($L104),$L104,$AA104)))</f>
        <v/>
      </c>
      <c r="AC104" s="62">
        <f>IF($V104="","",IF(AND(ISNUMBER($G104),$G104&lt;=IF($S104=MesCiclo,InicioCiclo,$S104+MOD(2-WEEKDAY($S104),7))+6),1,IF(N($W104)&gt;0,AVERAGEIFS($Y$5:$Y$1000,$U$5:$U$1000,ROW(),$V$5:$V$1000,"Sub"),$Y104)))</f>
        <v/>
      </c>
      <c r="AD104" s="62">
        <f>IF($V104="","",IF(AND(ISNUMBER($G104),$G104&lt;=IF($S104=MesCiclo,InicioCiclo,$S104+MOD(2-WEEKDAY($S104),7))+13),1,IF(N($W104)&gt;0,AVERAGEIFS($Z$5:$Z$1000,$U$5:$U$1000,ROW(),$V$5:$V$1000,"Sub"),$Z104)))</f>
        <v/>
      </c>
      <c r="AE104" s="62">
        <f>IF($V104="","",IF(AND(ISNUMBER($G104),$G104&lt;=IF($S104=MesCiclo,InicioCiclo,$S104+MOD(2-WEEKDAY($S104),7))+20),1,IF(N($W104)&gt;0,AVERAGEIFS($AA$5:$AA$1000,$U$5:$U$1000,ROW(),$V$5:$V$1000,"Sub"),$AA104)))</f>
        <v/>
      </c>
      <c r="AF104" s="62">
        <f>IF($V104="","",IF(AND(ISNUMBER($G104),$G104&lt;=IF($S104=MesCiclo,InicioCiclo,$S104+MOD(2-WEEKDAY($S104),7))+27),1,IF(N($W104)&gt;0,AVERAGEIFS($AB$5:$AB$1000,$U$5:$U$1000,ROW(),$V$5:$V$1000,"Sub"),$AB104)))</f>
        <v/>
      </c>
      <c r="AG104" s="62">
        <f>IF($V104&lt;&gt;"Macro","",IF(COUNTIFS($S$5:$S$1000,$S104,$V$5:$V$1000,"Macro",$H$5:$H$1000,"&gt;0")=0,1/COUNTIFS($S$5:$S$1000,$S104,$V$5:$V$1000,"Macro"),IF(AND(ISNUMBER($H104),N($H104)&gt;0),$H104,SUMIFS($H$5:$H$1000,$S$5:$S$1000,$S104,$V$5:$V$1000,"Macro")/COUNTIFS($S$5:$S$1000,$S104,$V$5:$V$1000,"Macro",$H$5:$H$1000,"&gt;0"))/(COUNTIFS($S$5:$S$1000,$S104,$V$5:$V$1000,"Macro")*SUMIFS($H$5:$H$1000,$S$5:$S$1000,$S104,$V$5:$V$1000,"Macro")/COUNTIFS($S$5:$S$1000,$S104,$V$5:$V$1000,"Macro",$H$5:$H$1000,"&gt;0"))))</f>
        <v/>
      </c>
      <c r="AH104" s="62">
        <f>IF(NOT(AND($D104&lt;&gt;"",$V104="Macro")),"",IFERROR(CHOOSE(MATCH($D104,ListaPuestos,0),MATCH("[Jefatura] "&amp;$C104,'Cronograma R. Operacional'!$C$5:$C$1000,0),MATCH("[Jefatura] "&amp;$C104,'Cronograma R. Normativo'!$C$5:$C$1000,0),MATCH("[Jefatura] "&amp;$C104,'Cronograma R. Financiero'!$C$5:$C$1000,0),MATCH("[Jefatura] "&amp;$C104,'Cronograma Asistente Técnico'!$C$5:$C$1000,0)),0))</f>
        <v/>
      </c>
      <c r="AI104" s="62">
        <f>IF(AND(AND($D104&lt;&gt;"",$V104="Macro"),$S104=MesCiclo),COUNTIFS($D$5:$D104,$D104,$S$5:$S104,MesCiclo,$V$5:$V104,"Macro"),"")</f>
        <v/>
      </c>
      <c r="AJ104" s="62">
        <f>IF($AI104="","",$D104&amp;"|"&amp;$AI104)</f>
        <v/>
      </c>
      <c r="AK104" s="62">
        <f>IF(AND($D104&lt;&gt;"",$V104="Macro"),$D104&amp;"|"&amp;$C104,"")</f>
        <v/>
      </c>
      <c r="AL104" s="62">
        <f>""</f>
        <v/>
      </c>
      <c r="AM104" s="62">
        <f>IF(N($AL104)&gt;0,INDEX(rIni_ADM,$AL104),IF(ISNUMBER($E104),$E104,""))</f>
        <v/>
      </c>
      <c r="AN104" s="62">
        <f>IF(N($AL104)&gt;0,INDEX(rLim_ADM,$AL104),IF(ISNUMBER($F104),$F104,""))</f>
        <v/>
      </c>
    </row>
    <row r="105">
      <c r="A105" s="56">
        <f>IF(NOT((COUNTA($B105:$D105)+COUNTA($G105:$L105)+COUNTA($Q105))&gt;0),"",IF($V105="Macro",COUNTIFS($V$5:$V105,"Macro",$S$5:$S105,$S105),IF(N($U105)=0,"?",COUNTIFS(INDEX($V$5:$V$1000,1):INDEX($V$5:$V$1000,$U105-4),"Macro",INDEX($S$5:$S$1000,1):INDEX($S$5:$S$1000,$U105-4),INDEX($S$5:$S$1000,$U105-4))&amp;"."&amp;COUNTIFS($U$5:$U105,$U105,$V$5:$V105,"Sub"))))</f>
        <v/>
      </c>
      <c r="B105" s="57" t="n"/>
      <c r="C105" s="58" t="n"/>
      <c r="D105" s="58" t="n"/>
      <c r="E105" s="59" t="n"/>
      <c r="F105" s="59" t="n"/>
      <c r="G105" s="59" t="n"/>
      <c r="H105" s="60" t="n"/>
      <c r="I105" s="60" t="n"/>
      <c r="J105" s="60" t="n"/>
      <c r="K105" s="60" t="n"/>
      <c r="L105" s="60" t="n"/>
      <c r="M105" s="61">
        <f>IF(NOT((COUNTA($B105:$D105)+COUNTA($G105:$L105)+COUNTA($Q105))&gt;0),"",IF(AND($D105&lt;&gt;"",$V105="Macro"),IF(N($AH105)&gt;0,N(CHOOSE(MATCH($D105,ListaPuestos,0),INDEX('Cronograma R. Operacional'!$M$5:$M$1000,$AH105),INDEX('Cronograma R. Normativo'!$M$5:$M$1000,$AH105),INDEX('Cronograma R. Financiero'!$M$5:$M$1000,$AH105),INDEX('Cronograma Asistente Técnico'!$M$5:$M$1000,$AH105))),0),IF(ISNUMBER($G105),1,IF(N($W105)&gt;0,AVERAGEIFS($X$5:$X$1000,$U$5:$U$1000,ROW(),$V$5:$V$1000,"Sub"),$X105))))</f>
        <v/>
      </c>
      <c r="N105" s="56">
        <f>IF(OR($M105="",$V105="Sub"),"",IF($M105&gt;=1,"Completado",IF($M105&gt;0,"En curso","Pendiente")))</f>
        <v/>
      </c>
      <c r="O105" s="56">
        <f>IF(NOT((COUNTA($B105:$D105)+COUNTA($G105:$L105)+COUNTA($Q105))&gt;0),"",IF(AND(AND($D105&lt;&gt;"",$V105="Macro"),N($AH105)&gt;0),CHOOSE(MATCH($D105,ListaPuestos,0),INDEX('Cronograma R. Operacional'!$O$5:$O$1000,$AH105),INDEX('Cronograma R. Normativo'!$O$5:$O$1000,$AH105),INDEX('Cronograma R. Financiero'!$O$5:$O$1000,$AH105),INDEX('Cronograma Asistente Técnico'!$O$5:$O$1000,$AH105))&amp;"",IF(ISNUMBER($G105),IF(AND(ISNUMBER($AN105),$G105&gt;$AN105),"Cumplida con "&amp;($G105-$AN105)&amp;IF($G105-$AN105=1," día"," días")&amp;" de retraso","Cumplida"),IF(N($M105)&gt;=1,"Cumplida",IF(NOT(ISNUMBER($AN105)),"Sin fecha límite",IF($AN105&lt;FechaRef,"Vencida hace "&amp;(FechaRef-$AN105)&amp;IF(FechaRef-$AN105=1," día"," días"),IF($AN105=FechaRef,"Vence hoy",IF($AN105-FechaRef&lt;=DiasAlerta,"Vence en "&amp;($AN105-FechaRef)&amp;IF($AN105-FechaRef=1," día"," días"),"En plazo"))))))))</f>
        <v/>
      </c>
      <c r="P105" s="62">
        <f>IF(NOT((COUNTA($B105:$D105)+COUNTA($G105:$L105)+COUNTA($Q105))&gt;0),"",IF($D105="","Propia",IF($V105&lt;&gt;"Macro","Solo se delegan macroactividades",IF(N($AH105)&gt;0,"✔ Recibida por "&amp;$D105,"⚠ "&amp;$D105&amp;" aún no la agrega"))))</f>
        <v/>
      </c>
      <c r="Q105" s="58" t="n"/>
      <c r="R105" s="63">
        <f>IF(NOT((COUNTA($B105:$D105)+COUNTA($G105:$L105)+COUNTA($Q105))&gt;0),"",IF((IF($C105="","Falta el nombre de la actividad"&amp;" · ","")&amp;IF(AND($V105="Sub",N($U105)=0),"Subactividad sin macroactividad arriba"&amp;" · ","")&amp;IF($AM105="","Sin fecha de inicio"&amp;" · ","")&amp;IF($AN105="","Sin fecha límite"&amp;" · ","")&amp;IF(AND(LEFT($C105,11)="[Jefatura] ",N($AL105)=0),"No se encuentra en la hoja de la jefatura (elíjala de nuevo en la lista)"&amp;" · ","")&amp;IF(OR(AND($E105&lt;&gt;"",NOT(ISNUMBER($E105))),AND($F105&lt;&gt;"",NOT(ISNUMBER($F105))),AND($G105&lt;&gt;"",NOT(ISNUMBER($G105)))),"Fecha no válida"&amp;" · ","")&amp;IF(AND(ISNUMBER($AM105),ISNUMBER($AN105),$AM105&gt;$AN105),"Inicio posterior a fecha límite"&amp;" · ","")&amp;IF(AND($V105="Macro",$H105&lt;&gt;"",OR(NOT(ISNUMBER($H105)),$H105&lt;0,$H105&gt;1)),"Peso fuera de rango"&amp;" · ","")&amp;IF(AND($V105="Sub",$H105&lt;&gt;""),"Las subactividades no llevan peso (valen igual dentro de su macroactividad)"&amp;" · ","")&amp;IF(AND(N($W105)&gt;0,COUNT($I105:$L105)&gt;0),"Con subactividades: deje vacías las semanas (se calculan solas)"&amp;" · ","")&amp;IF((COUNTIF($I105:$L105,"&gt;1")+COUNTIF($I105:$L105,"&lt;0")+COUNTA($I105:$L105)-COUNT($I105:$L105))&gt;0,"Avance fuera de rango 0-100%"&amp;" · ","")&amp;IF(OR(AND($J105&lt;&gt;"",$J105&lt;$I105),AND($K105&lt;&gt;"",$K105&lt;MAX($I105:$J105)),AND($L105&lt;&gt;"",$L105&lt;MAX($I105:$K105))),"Avance semanal decreciente"&amp;" · ","")&amp;IF(AND(ISNUMBER($AN105),$AN105&lt;FechaRef,IF($V105="Sub",N($X105),N($M105))&lt;1),"Vencida"&amp;" · ","")&amp;IF(AND(ObsObligatoria="Sí",ISNUMBER($AN105),$AN105&lt;FechaRef,IF($V105="Sub",N($X105),N($M105))&lt;1,$Q105=""),"Vencida sin observación"&amp;" · ",""))="","✔ OK","⚠ "&amp;LEFT(IF($C105="","Falta el nombre de la actividad"&amp;" · ","")&amp;IF(AND($V105="Sub",N($U105)=0),"Subactividad sin macroactividad arriba"&amp;" · ","")&amp;IF($AM105="","Sin fecha de inicio"&amp;" · ","")&amp;IF($AN105="","Sin fecha límite"&amp;" · ","")&amp;IF(AND(LEFT($C105,11)="[Jefatura] ",N($AL105)=0),"No se encuentra en la hoja de la jefatura (elíjala de nuevo en la lista)"&amp;" · ","")&amp;IF(OR(AND($E105&lt;&gt;"",NOT(ISNUMBER($E105))),AND($F105&lt;&gt;"",NOT(ISNUMBER($F105))),AND($G105&lt;&gt;"",NOT(ISNUMBER($G105)))),"Fecha no válida"&amp;" · ","")&amp;IF(AND(ISNUMBER($AM105),ISNUMBER($AN105),$AM105&gt;$AN105),"Inicio posterior a fecha límite"&amp;" · ","")&amp;IF(AND($V105="Macro",$H105&lt;&gt;"",OR(NOT(ISNUMBER($H105)),$H105&lt;0,$H105&gt;1)),"Peso fuera de rango"&amp;" · ","")&amp;IF(AND($V105="Sub",$H105&lt;&gt;""),"Las subactividades no llevan peso (valen igual dentro de su macroactividad)"&amp;" · ","")&amp;IF(AND(N($W105)&gt;0,COUNT($I105:$L105)&gt;0),"Con subactividades: deje vacías las semanas (se calculan solas)"&amp;" · ","")&amp;IF((COUNTIF($I105:$L105,"&gt;1")+COUNTIF($I105:$L105,"&lt;0")+COUNTA($I105:$L105)-COUNT($I105:$L105))&gt;0,"Avance fuera de rango 0-100%"&amp;" · ","")&amp;IF(OR(AND($J105&lt;&gt;"",$J105&lt;$I105),AND($K105&lt;&gt;"",$K105&lt;MAX($I105:$J105)),AND($L105&lt;&gt;"",$L105&lt;MAX($I105:$K105))),"Avance semanal decreciente"&amp;" · ","")&amp;IF(AND(ISNUMBER($AN105),$AN105&lt;FechaRef,IF($V105="Sub",N($X105),N($M105))&lt;1),"Vencida"&amp;" · ","")&amp;IF(AND(ObsObligatoria="Sí",ISNUMBER($AN105),$AN105&lt;FechaRef,IF($V105="Sub",N($X105),N($M105))&lt;1,$Q105=""),"Vencida sin observación"&amp;" · ",""),LEN(IF($C105="","Falta el nombre de la actividad"&amp;" · ","")&amp;IF(AND($V105="Sub",N($U105)=0),"Subactividad sin macroactividad arriba"&amp;" · ","")&amp;IF($AM105="","Sin fecha de inicio"&amp;" · ","")&amp;IF($AN105="","Sin fecha límite"&amp;" · ","")&amp;IF(AND(LEFT($C105,11)="[Jefatura] ",N($AL105)=0),"No se encuentra en la hoja de la jefatura (elíjala de nuevo en la lista)"&amp;" · ","")&amp;IF(OR(AND($E105&lt;&gt;"",NOT(ISNUMBER($E105))),AND($F105&lt;&gt;"",NOT(ISNUMBER($F105))),AND($G105&lt;&gt;"",NOT(ISNUMBER($G105)))),"Fecha no válida"&amp;" · ","")&amp;IF(AND(ISNUMBER($AM105),ISNUMBER($AN105),$AM105&gt;$AN105),"Inicio posterior a fecha límite"&amp;" · ","")&amp;IF(AND($V105="Macro",$H105&lt;&gt;"",OR(NOT(ISNUMBER($H105)),$H105&lt;0,$H105&gt;1)),"Peso fuera de rango"&amp;" · ","")&amp;IF(AND($V105="Sub",$H105&lt;&gt;""),"Las subactividades no llevan peso (valen igual dentro de su macroactividad)"&amp;" · ","")&amp;IF(AND(N($W105)&gt;0,COUNT($I105:$L105)&gt;0),"Con subactividades: deje vacías las semanas (se calculan solas)"&amp;" · ","")&amp;IF((COUNTIF($I105:$L105,"&gt;1")+COUNTIF($I105:$L105,"&lt;0")+COUNTA($I105:$L105)-COUNT($I105:$L105))&gt;0,"Avance fuera de rango 0-100%"&amp;" · ","")&amp;IF(OR(AND($J105&lt;&gt;"",$J105&lt;$I105),AND($K105&lt;&gt;"",$K105&lt;MAX($I105:$J105)),AND($L105&lt;&gt;"",$L105&lt;MAX($I105:$K105))),"Avance semanal decreciente"&amp;" · ","")&amp;IF(AND(ISNUMBER($AN105),$AN105&lt;FechaRef,IF($V105="Sub",N($X105),N($M105))&lt;1),"Vencida"&amp;" · ","")&amp;IF(AND(ObsObligatoria="Sí",ISNUMBER($AN105),$AN105&lt;FechaRef,IF($V105="Sub",N($X105),N($M105))&lt;1,$Q105=""),"Vencida sin observación"&amp;" · ",""))-3)))</f>
        <v/>
      </c>
      <c r="S105" s="64">
        <f>IF(NOT((COUNTA($B105:$D105)+COUNTA($G105:$L105)+COUNTA($Q105))&gt;0),"",IF(AND($V105="Sub",N($U105)&gt;0),IF(ISNUMBER(INDEX($AM$5:$AM$1000,$U105-4)),DATE(YEAR(INDEX($AM$5:$AM$1000,$U105-4)),MONTH(INDEX($AM$5:$AM$1000,$U105-4)),1),IF(ISNUMBER(INDEX($AN$5:$AN$1000,$U105-4)),DATE(YEAR(INDEX($AN$5:$AN$1000,$U105-4)),MONTH(INDEX($AN$5:$AN$1000,$U105-4)),1),MesCiclo)),IF(ISNUMBER($AM105),DATE(YEAR($AM105),MONTH($AM105),1),IF(ISNUMBER($AN105),DATE(YEAR($AN105),MONTH($AN105),1),MesCiclo))))</f>
        <v/>
      </c>
      <c r="T105" s="62">
        <f>IF(OR($S105="",$S105&lt;&gt;MesCiclo,$V105&lt;&gt;"Macro"),"",COUNTIFS($S$5:$S105,MesCiclo,$V$5:$V105,"Macro"))</f>
        <v/>
      </c>
      <c r="U105" s="62">
        <f>IF($V105="","",IF($V105="Macro",ROW(),IFERROR(LOOKUP(2,1/($V$5:$V105="Macro"),ROW($V$5:$V105)),0)))</f>
        <v/>
      </c>
      <c r="V105" s="62">
        <f>IF(NOT((COUNTA($B105:$D105)+COUNTA($G105:$L105)+COUNTA($Q105))&gt;0),"",IF($B105="Subactividad","Sub","Macro"))</f>
        <v/>
      </c>
      <c r="W105" s="62">
        <f>IF($V105="Macro",COUNTIFS($U$5:$U$1000,ROW(),$V$5:$V$1000,"Sub"),"")</f>
        <v/>
      </c>
      <c r="X105" s="62">
        <f>IF($V105="","",IF(ISNUMBER($G105),1,IFERROR(LOOKUP(2,1/($I105:$L105&lt;&gt;""),$I105:$L105),0)))</f>
        <v/>
      </c>
      <c r="Y105" s="62">
        <f>IF($V105="","",IF(AND(ISNUMBER($G105),$G105&lt;=IF($S105=MesCiclo,InicioCiclo,$S105+MOD(2-WEEKDAY($S105),7))+6),1,IF(ISNUMBER($I105),$I105,0)))</f>
        <v/>
      </c>
      <c r="Z105" s="62">
        <f>IF($V105="","",IF(AND(ISNUMBER($G105),$G105&lt;=IF($S105=MesCiclo,InicioCiclo,$S105+MOD(2-WEEKDAY($S105),7))+13),1,IF(ISNUMBER($J105),$J105,$Y105)))</f>
        <v/>
      </c>
      <c r="AA105" s="62">
        <f>IF($V105="","",IF(AND(ISNUMBER($G105),$G105&lt;=IF($S105=MesCiclo,InicioCiclo,$S105+MOD(2-WEEKDAY($S105),7))+20),1,IF(ISNUMBER($K105),$K105,$Z105)))</f>
        <v/>
      </c>
      <c r="AB105" s="62">
        <f>IF($V105="","",IF(AND(ISNUMBER($G105),$G105&lt;=IF($S105=MesCiclo,InicioCiclo,$S105+MOD(2-WEEKDAY($S105),7))+27),1,IF(ISNUMBER($L105),$L105,$AA105)))</f>
        <v/>
      </c>
      <c r="AC105" s="62">
        <f>IF($V105="","",IF(AND(ISNUMBER($G105),$G105&lt;=IF($S105=MesCiclo,InicioCiclo,$S105+MOD(2-WEEKDAY($S105),7))+6),1,IF(N($W105)&gt;0,AVERAGEIFS($Y$5:$Y$1000,$U$5:$U$1000,ROW(),$V$5:$V$1000,"Sub"),$Y105)))</f>
        <v/>
      </c>
      <c r="AD105" s="62">
        <f>IF($V105="","",IF(AND(ISNUMBER($G105),$G105&lt;=IF($S105=MesCiclo,InicioCiclo,$S105+MOD(2-WEEKDAY($S105),7))+13),1,IF(N($W105)&gt;0,AVERAGEIFS($Z$5:$Z$1000,$U$5:$U$1000,ROW(),$V$5:$V$1000,"Sub"),$Z105)))</f>
        <v/>
      </c>
      <c r="AE105" s="62">
        <f>IF($V105="","",IF(AND(ISNUMBER($G105),$G105&lt;=IF($S105=MesCiclo,InicioCiclo,$S105+MOD(2-WEEKDAY($S105),7))+20),1,IF(N($W105)&gt;0,AVERAGEIFS($AA$5:$AA$1000,$U$5:$U$1000,ROW(),$V$5:$V$1000,"Sub"),$AA105)))</f>
        <v/>
      </c>
      <c r="AF105" s="62">
        <f>IF($V105="","",IF(AND(ISNUMBER($G105),$G105&lt;=IF($S105=MesCiclo,InicioCiclo,$S105+MOD(2-WEEKDAY($S105),7))+27),1,IF(N($W105)&gt;0,AVERAGEIFS($AB$5:$AB$1000,$U$5:$U$1000,ROW(),$V$5:$V$1000,"Sub"),$AB105)))</f>
        <v/>
      </c>
      <c r="AG105" s="62">
        <f>IF($V105&lt;&gt;"Macro","",IF(COUNTIFS($S$5:$S$1000,$S105,$V$5:$V$1000,"Macro",$H$5:$H$1000,"&gt;0")=0,1/COUNTIFS($S$5:$S$1000,$S105,$V$5:$V$1000,"Macro"),IF(AND(ISNUMBER($H105),N($H105)&gt;0),$H105,SUMIFS($H$5:$H$1000,$S$5:$S$1000,$S105,$V$5:$V$1000,"Macro")/COUNTIFS($S$5:$S$1000,$S105,$V$5:$V$1000,"Macro",$H$5:$H$1000,"&gt;0"))/(COUNTIFS($S$5:$S$1000,$S105,$V$5:$V$1000,"Macro")*SUMIFS($H$5:$H$1000,$S$5:$S$1000,$S105,$V$5:$V$1000,"Macro")/COUNTIFS($S$5:$S$1000,$S105,$V$5:$V$1000,"Macro",$H$5:$H$1000,"&gt;0"))))</f>
        <v/>
      </c>
      <c r="AH105" s="62">
        <f>IF(NOT(AND($D105&lt;&gt;"",$V105="Macro")),"",IFERROR(CHOOSE(MATCH($D105,ListaPuestos,0),MATCH("[Jefatura] "&amp;$C105,'Cronograma R. Operacional'!$C$5:$C$1000,0),MATCH("[Jefatura] "&amp;$C105,'Cronograma R. Normativo'!$C$5:$C$1000,0),MATCH("[Jefatura] "&amp;$C105,'Cronograma R. Financiero'!$C$5:$C$1000,0),MATCH("[Jefatura] "&amp;$C105,'Cronograma Asistente Técnico'!$C$5:$C$1000,0)),0))</f>
        <v/>
      </c>
      <c r="AI105" s="62">
        <f>IF(AND(AND($D105&lt;&gt;"",$V105="Macro"),$S105=MesCiclo),COUNTIFS($D$5:$D105,$D105,$S$5:$S105,MesCiclo,$V$5:$V105,"Macro"),"")</f>
        <v/>
      </c>
      <c r="AJ105" s="62">
        <f>IF($AI105="","",$D105&amp;"|"&amp;$AI105)</f>
        <v/>
      </c>
      <c r="AK105" s="62">
        <f>IF(AND($D105&lt;&gt;"",$V105="Macro"),$D105&amp;"|"&amp;$C105,"")</f>
        <v/>
      </c>
      <c r="AL105" s="62">
        <f>""</f>
        <v/>
      </c>
      <c r="AM105" s="62">
        <f>IF(N($AL105)&gt;0,INDEX(rIni_ADM,$AL105),IF(ISNUMBER($E105),$E105,""))</f>
        <v/>
      </c>
      <c r="AN105" s="62">
        <f>IF(N($AL105)&gt;0,INDEX(rLim_ADM,$AL105),IF(ISNUMBER($F105),$F105,""))</f>
        <v/>
      </c>
    </row>
    <row r="106">
      <c r="A106" s="56">
        <f>IF(NOT((COUNTA($B106:$D106)+COUNTA($G106:$L106)+COUNTA($Q106))&gt;0),"",IF($V106="Macro",COUNTIFS($V$5:$V106,"Macro",$S$5:$S106,$S106),IF(N($U106)=0,"?",COUNTIFS(INDEX($V$5:$V$1000,1):INDEX($V$5:$V$1000,$U106-4),"Macro",INDEX($S$5:$S$1000,1):INDEX($S$5:$S$1000,$U106-4),INDEX($S$5:$S$1000,$U106-4))&amp;"."&amp;COUNTIFS($U$5:$U106,$U106,$V$5:$V106,"Sub"))))</f>
        <v/>
      </c>
      <c r="B106" s="57" t="n"/>
      <c r="C106" s="58" t="n"/>
      <c r="D106" s="58" t="n"/>
      <c r="E106" s="59" t="n"/>
      <c r="F106" s="59" t="n"/>
      <c r="G106" s="59" t="n"/>
      <c r="H106" s="60" t="n"/>
      <c r="I106" s="60" t="n"/>
      <c r="J106" s="60" t="n"/>
      <c r="K106" s="60" t="n"/>
      <c r="L106" s="60" t="n"/>
      <c r="M106" s="61">
        <f>IF(NOT((COUNTA($B106:$D106)+COUNTA($G106:$L106)+COUNTA($Q106))&gt;0),"",IF(AND($D106&lt;&gt;"",$V106="Macro"),IF(N($AH106)&gt;0,N(CHOOSE(MATCH($D106,ListaPuestos,0),INDEX('Cronograma R. Operacional'!$M$5:$M$1000,$AH106),INDEX('Cronograma R. Normativo'!$M$5:$M$1000,$AH106),INDEX('Cronograma R. Financiero'!$M$5:$M$1000,$AH106),INDEX('Cronograma Asistente Técnico'!$M$5:$M$1000,$AH106))),0),IF(ISNUMBER($G106),1,IF(N($W106)&gt;0,AVERAGEIFS($X$5:$X$1000,$U$5:$U$1000,ROW(),$V$5:$V$1000,"Sub"),$X106))))</f>
        <v/>
      </c>
      <c r="N106" s="56">
        <f>IF(OR($M106="",$V106="Sub"),"",IF($M106&gt;=1,"Completado",IF($M106&gt;0,"En curso","Pendiente")))</f>
        <v/>
      </c>
      <c r="O106" s="56">
        <f>IF(NOT((COUNTA($B106:$D106)+COUNTA($G106:$L106)+COUNTA($Q106))&gt;0),"",IF(AND(AND($D106&lt;&gt;"",$V106="Macro"),N($AH106)&gt;0),CHOOSE(MATCH($D106,ListaPuestos,0),INDEX('Cronograma R. Operacional'!$O$5:$O$1000,$AH106),INDEX('Cronograma R. Normativo'!$O$5:$O$1000,$AH106),INDEX('Cronograma R. Financiero'!$O$5:$O$1000,$AH106),INDEX('Cronograma Asistente Técnico'!$O$5:$O$1000,$AH106))&amp;"",IF(ISNUMBER($G106),IF(AND(ISNUMBER($AN106),$G106&gt;$AN106),"Cumplida con "&amp;($G106-$AN106)&amp;IF($G106-$AN106=1," día"," días")&amp;" de retraso","Cumplida"),IF(N($M106)&gt;=1,"Cumplida",IF(NOT(ISNUMBER($AN106)),"Sin fecha límite",IF($AN106&lt;FechaRef,"Vencida hace "&amp;(FechaRef-$AN106)&amp;IF(FechaRef-$AN106=1," día"," días"),IF($AN106=FechaRef,"Vence hoy",IF($AN106-FechaRef&lt;=DiasAlerta,"Vence en "&amp;($AN106-FechaRef)&amp;IF($AN106-FechaRef=1," día"," días"),"En plazo"))))))))</f>
        <v/>
      </c>
      <c r="P106" s="62">
        <f>IF(NOT((COUNTA($B106:$D106)+COUNTA($G106:$L106)+COUNTA($Q106))&gt;0),"",IF($D106="","Propia",IF($V106&lt;&gt;"Macro","Solo se delegan macroactividades",IF(N($AH106)&gt;0,"✔ Recibida por "&amp;$D106,"⚠ "&amp;$D106&amp;" aún no la agrega"))))</f>
        <v/>
      </c>
      <c r="Q106" s="58" t="n"/>
      <c r="R106" s="63">
        <f>IF(NOT((COUNTA($B106:$D106)+COUNTA($G106:$L106)+COUNTA($Q106))&gt;0),"",IF((IF($C106="","Falta el nombre de la actividad"&amp;" · ","")&amp;IF(AND($V106="Sub",N($U106)=0),"Subactividad sin macroactividad arriba"&amp;" · ","")&amp;IF($AM106="","Sin fecha de inicio"&amp;" · ","")&amp;IF($AN106="","Sin fecha límite"&amp;" · ","")&amp;IF(AND(LEFT($C106,11)="[Jefatura] ",N($AL106)=0),"No se encuentra en la hoja de la jefatura (elíjala de nuevo en la lista)"&amp;" · ","")&amp;IF(OR(AND($E106&lt;&gt;"",NOT(ISNUMBER($E106))),AND($F106&lt;&gt;"",NOT(ISNUMBER($F106))),AND($G106&lt;&gt;"",NOT(ISNUMBER($G106)))),"Fecha no válida"&amp;" · ","")&amp;IF(AND(ISNUMBER($AM106),ISNUMBER($AN106),$AM106&gt;$AN106),"Inicio posterior a fecha límite"&amp;" · ","")&amp;IF(AND($V106="Macro",$H106&lt;&gt;"",OR(NOT(ISNUMBER($H106)),$H106&lt;0,$H106&gt;1)),"Peso fuera de rango"&amp;" · ","")&amp;IF(AND($V106="Sub",$H106&lt;&gt;""),"Las subactividades no llevan peso (valen igual dentro de su macroactividad)"&amp;" · ","")&amp;IF(AND(N($W106)&gt;0,COUNT($I106:$L106)&gt;0),"Con subactividades: deje vacías las semanas (se calculan solas)"&amp;" · ","")&amp;IF((COUNTIF($I106:$L106,"&gt;1")+COUNTIF($I106:$L106,"&lt;0")+COUNTA($I106:$L106)-COUNT($I106:$L106))&gt;0,"Avance fuera de rango 0-100%"&amp;" · ","")&amp;IF(OR(AND($J106&lt;&gt;"",$J106&lt;$I106),AND($K106&lt;&gt;"",$K106&lt;MAX($I106:$J106)),AND($L106&lt;&gt;"",$L106&lt;MAX($I106:$K106))),"Avance semanal decreciente"&amp;" · ","")&amp;IF(AND(ISNUMBER($AN106),$AN106&lt;FechaRef,IF($V106="Sub",N($X106),N($M106))&lt;1),"Vencida"&amp;" · ","")&amp;IF(AND(ObsObligatoria="Sí",ISNUMBER($AN106),$AN106&lt;FechaRef,IF($V106="Sub",N($X106),N($M106))&lt;1,$Q106=""),"Vencida sin observación"&amp;" · ",""))="","✔ OK","⚠ "&amp;LEFT(IF($C106="","Falta el nombre de la actividad"&amp;" · ","")&amp;IF(AND($V106="Sub",N($U106)=0),"Subactividad sin macroactividad arriba"&amp;" · ","")&amp;IF($AM106="","Sin fecha de inicio"&amp;" · ","")&amp;IF($AN106="","Sin fecha límite"&amp;" · ","")&amp;IF(AND(LEFT($C106,11)="[Jefatura] ",N($AL106)=0),"No se encuentra en la hoja de la jefatura (elíjala de nuevo en la lista)"&amp;" · ","")&amp;IF(OR(AND($E106&lt;&gt;"",NOT(ISNUMBER($E106))),AND($F106&lt;&gt;"",NOT(ISNUMBER($F106))),AND($G106&lt;&gt;"",NOT(ISNUMBER($G106)))),"Fecha no válida"&amp;" · ","")&amp;IF(AND(ISNUMBER($AM106),ISNUMBER($AN106),$AM106&gt;$AN106),"Inicio posterior a fecha límite"&amp;" · ","")&amp;IF(AND($V106="Macro",$H106&lt;&gt;"",OR(NOT(ISNUMBER($H106)),$H106&lt;0,$H106&gt;1)),"Peso fuera de rango"&amp;" · ","")&amp;IF(AND($V106="Sub",$H106&lt;&gt;""),"Las subactividades no llevan peso (valen igual dentro de su macroactividad)"&amp;" · ","")&amp;IF(AND(N($W106)&gt;0,COUNT($I106:$L106)&gt;0),"Con subactividades: deje vacías las semanas (se calculan solas)"&amp;" · ","")&amp;IF((COUNTIF($I106:$L106,"&gt;1")+COUNTIF($I106:$L106,"&lt;0")+COUNTA($I106:$L106)-COUNT($I106:$L106))&gt;0,"Avance fuera de rango 0-100%"&amp;" · ","")&amp;IF(OR(AND($J106&lt;&gt;"",$J106&lt;$I106),AND($K106&lt;&gt;"",$K106&lt;MAX($I106:$J106)),AND($L106&lt;&gt;"",$L106&lt;MAX($I106:$K106))),"Avance semanal decreciente"&amp;" · ","")&amp;IF(AND(ISNUMBER($AN106),$AN106&lt;FechaRef,IF($V106="Sub",N($X106),N($M106))&lt;1),"Vencida"&amp;" · ","")&amp;IF(AND(ObsObligatoria="Sí",ISNUMBER($AN106),$AN106&lt;FechaRef,IF($V106="Sub",N($X106),N($M106))&lt;1,$Q106=""),"Vencida sin observación"&amp;" · ",""),LEN(IF($C106="","Falta el nombre de la actividad"&amp;" · ","")&amp;IF(AND($V106="Sub",N($U106)=0),"Subactividad sin macroactividad arriba"&amp;" · ","")&amp;IF($AM106="","Sin fecha de inicio"&amp;" · ","")&amp;IF($AN106="","Sin fecha límite"&amp;" · ","")&amp;IF(AND(LEFT($C106,11)="[Jefatura] ",N($AL106)=0),"No se encuentra en la hoja de la jefatura (elíjala de nuevo en la lista)"&amp;" · ","")&amp;IF(OR(AND($E106&lt;&gt;"",NOT(ISNUMBER($E106))),AND($F106&lt;&gt;"",NOT(ISNUMBER($F106))),AND($G106&lt;&gt;"",NOT(ISNUMBER($G106)))),"Fecha no válida"&amp;" · ","")&amp;IF(AND(ISNUMBER($AM106),ISNUMBER($AN106),$AM106&gt;$AN106),"Inicio posterior a fecha límite"&amp;" · ","")&amp;IF(AND($V106="Macro",$H106&lt;&gt;"",OR(NOT(ISNUMBER($H106)),$H106&lt;0,$H106&gt;1)),"Peso fuera de rango"&amp;" · ","")&amp;IF(AND($V106="Sub",$H106&lt;&gt;""),"Las subactividades no llevan peso (valen igual dentro de su macroactividad)"&amp;" · ","")&amp;IF(AND(N($W106)&gt;0,COUNT($I106:$L106)&gt;0),"Con subactividades: deje vacías las semanas (se calculan solas)"&amp;" · ","")&amp;IF((COUNTIF($I106:$L106,"&gt;1")+COUNTIF($I106:$L106,"&lt;0")+COUNTA($I106:$L106)-COUNT($I106:$L106))&gt;0,"Avance fuera de rango 0-100%"&amp;" · ","")&amp;IF(OR(AND($J106&lt;&gt;"",$J106&lt;$I106),AND($K106&lt;&gt;"",$K106&lt;MAX($I106:$J106)),AND($L106&lt;&gt;"",$L106&lt;MAX($I106:$K106))),"Avance semanal decreciente"&amp;" · ","")&amp;IF(AND(ISNUMBER($AN106),$AN106&lt;FechaRef,IF($V106="Sub",N($X106),N($M106))&lt;1),"Vencida"&amp;" · ","")&amp;IF(AND(ObsObligatoria="Sí",ISNUMBER($AN106),$AN106&lt;FechaRef,IF($V106="Sub",N($X106),N($M106))&lt;1,$Q106=""),"Vencida sin observación"&amp;" · ",""))-3)))</f>
        <v/>
      </c>
      <c r="S106" s="64">
        <f>IF(NOT((COUNTA($B106:$D106)+COUNTA($G106:$L106)+COUNTA($Q106))&gt;0),"",IF(AND($V106="Sub",N($U106)&gt;0),IF(ISNUMBER(INDEX($AM$5:$AM$1000,$U106-4)),DATE(YEAR(INDEX($AM$5:$AM$1000,$U106-4)),MONTH(INDEX($AM$5:$AM$1000,$U106-4)),1),IF(ISNUMBER(INDEX($AN$5:$AN$1000,$U106-4)),DATE(YEAR(INDEX($AN$5:$AN$1000,$U106-4)),MONTH(INDEX($AN$5:$AN$1000,$U106-4)),1),MesCiclo)),IF(ISNUMBER($AM106),DATE(YEAR($AM106),MONTH($AM106),1),IF(ISNUMBER($AN106),DATE(YEAR($AN106),MONTH($AN106),1),MesCiclo))))</f>
        <v/>
      </c>
      <c r="T106" s="62">
        <f>IF(OR($S106="",$S106&lt;&gt;MesCiclo,$V106&lt;&gt;"Macro"),"",COUNTIFS($S$5:$S106,MesCiclo,$V$5:$V106,"Macro"))</f>
        <v/>
      </c>
      <c r="U106" s="62">
        <f>IF($V106="","",IF($V106="Macro",ROW(),IFERROR(LOOKUP(2,1/($V$5:$V106="Macro"),ROW($V$5:$V106)),0)))</f>
        <v/>
      </c>
      <c r="V106" s="62">
        <f>IF(NOT((COUNTA($B106:$D106)+COUNTA($G106:$L106)+COUNTA($Q106))&gt;0),"",IF($B106="Subactividad","Sub","Macro"))</f>
        <v/>
      </c>
      <c r="W106" s="62">
        <f>IF($V106="Macro",COUNTIFS($U$5:$U$1000,ROW(),$V$5:$V$1000,"Sub"),"")</f>
        <v/>
      </c>
      <c r="X106" s="62">
        <f>IF($V106="","",IF(ISNUMBER($G106),1,IFERROR(LOOKUP(2,1/($I106:$L106&lt;&gt;""),$I106:$L106),0)))</f>
        <v/>
      </c>
      <c r="Y106" s="62">
        <f>IF($V106="","",IF(AND(ISNUMBER($G106),$G106&lt;=IF($S106=MesCiclo,InicioCiclo,$S106+MOD(2-WEEKDAY($S106),7))+6),1,IF(ISNUMBER($I106),$I106,0)))</f>
        <v/>
      </c>
      <c r="Z106" s="62">
        <f>IF($V106="","",IF(AND(ISNUMBER($G106),$G106&lt;=IF($S106=MesCiclo,InicioCiclo,$S106+MOD(2-WEEKDAY($S106),7))+13),1,IF(ISNUMBER($J106),$J106,$Y106)))</f>
        <v/>
      </c>
      <c r="AA106" s="62">
        <f>IF($V106="","",IF(AND(ISNUMBER($G106),$G106&lt;=IF($S106=MesCiclo,InicioCiclo,$S106+MOD(2-WEEKDAY($S106),7))+20),1,IF(ISNUMBER($K106),$K106,$Z106)))</f>
        <v/>
      </c>
      <c r="AB106" s="62">
        <f>IF($V106="","",IF(AND(ISNUMBER($G106),$G106&lt;=IF($S106=MesCiclo,InicioCiclo,$S106+MOD(2-WEEKDAY($S106),7))+27),1,IF(ISNUMBER($L106),$L106,$AA106)))</f>
        <v/>
      </c>
      <c r="AC106" s="62">
        <f>IF($V106="","",IF(AND(ISNUMBER($G106),$G106&lt;=IF($S106=MesCiclo,InicioCiclo,$S106+MOD(2-WEEKDAY($S106),7))+6),1,IF(N($W106)&gt;0,AVERAGEIFS($Y$5:$Y$1000,$U$5:$U$1000,ROW(),$V$5:$V$1000,"Sub"),$Y106)))</f>
        <v/>
      </c>
      <c r="AD106" s="62">
        <f>IF($V106="","",IF(AND(ISNUMBER($G106),$G106&lt;=IF($S106=MesCiclo,InicioCiclo,$S106+MOD(2-WEEKDAY($S106),7))+13),1,IF(N($W106)&gt;0,AVERAGEIFS($Z$5:$Z$1000,$U$5:$U$1000,ROW(),$V$5:$V$1000,"Sub"),$Z106)))</f>
        <v/>
      </c>
      <c r="AE106" s="62">
        <f>IF($V106="","",IF(AND(ISNUMBER($G106),$G106&lt;=IF($S106=MesCiclo,InicioCiclo,$S106+MOD(2-WEEKDAY($S106),7))+20),1,IF(N($W106)&gt;0,AVERAGEIFS($AA$5:$AA$1000,$U$5:$U$1000,ROW(),$V$5:$V$1000,"Sub"),$AA106)))</f>
        <v/>
      </c>
      <c r="AF106" s="62">
        <f>IF($V106="","",IF(AND(ISNUMBER($G106),$G106&lt;=IF($S106=MesCiclo,InicioCiclo,$S106+MOD(2-WEEKDAY($S106),7))+27),1,IF(N($W106)&gt;0,AVERAGEIFS($AB$5:$AB$1000,$U$5:$U$1000,ROW(),$V$5:$V$1000,"Sub"),$AB106)))</f>
        <v/>
      </c>
      <c r="AG106" s="62">
        <f>IF($V106&lt;&gt;"Macro","",IF(COUNTIFS($S$5:$S$1000,$S106,$V$5:$V$1000,"Macro",$H$5:$H$1000,"&gt;0")=0,1/COUNTIFS($S$5:$S$1000,$S106,$V$5:$V$1000,"Macro"),IF(AND(ISNUMBER($H106),N($H106)&gt;0),$H106,SUMIFS($H$5:$H$1000,$S$5:$S$1000,$S106,$V$5:$V$1000,"Macro")/COUNTIFS($S$5:$S$1000,$S106,$V$5:$V$1000,"Macro",$H$5:$H$1000,"&gt;0"))/(COUNTIFS($S$5:$S$1000,$S106,$V$5:$V$1000,"Macro")*SUMIFS($H$5:$H$1000,$S$5:$S$1000,$S106,$V$5:$V$1000,"Macro")/COUNTIFS($S$5:$S$1000,$S106,$V$5:$V$1000,"Macro",$H$5:$H$1000,"&gt;0"))))</f>
        <v/>
      </c>
      <c r="AH106" s="62">
        <f>IF(NOT(AND($D106&lt;&gt;"",$V106="Macro")),"",IFERROR(CHOOSE(MATCH($D106,ListaPuestos,0),MATCH("[Jefatura] "&amp;$C106,'Cronograma R. Operacional'!$C$5:$C$1000,0),MATCH("[Jefatura] "&amp;$C106,'Cronograma R. Normativo'!$C$5:$C$1000,0),MATCH("[Jefatura] "&amp;$C106,'Cronograma R. Financiero'!$C$5:$C$1000,0),MATCH("[Jefatura] "&amp;$C106,'Cronograma Asistente Técnico'!$C$5:$C$1000,0)),0))</f>
        <v/>
      </c>
      <c r="AI106" s="62">
        <f>IF(AND(AND($D106&lt;&gt;"",$V106="Macro"),$S106=MesCiclo),COUNTIFS($D$5:$D106,$D106,$S$5:$S106,MesCiclo,$V$5:$V106,"Macro"),"")</f>
        <v/>
      </c>
      <c r="AJ106" s="62">
        <f>IF($AI106="","",$D106&amp;"|"&amp;$AI106)</f>
        <v/>
      </c>
      <c r="AK106" s="62">
        <f>IF(AND($D106&lt;&gt;"",$V106="Macro"),$D106&amp;"|"&amp;$C106,"")</f>
        <v/>
      </c>
      <c r="AL106" s="62">
        <f>""</f>
        <v/>
      </c>
      <c r="AM106" s="62">
        <f>IF(N($AL106)&gt;0,INDEX(rIni_ADM,$AL106),IF(ISNUMBER($E106),$E106,""))</f>
        <v/>
      </c>
      <c r="AN106" s="62">
        <f>IF(N($AL106)&gt;0,INDEX(rLim_ADM,$AL106),IF(ISNUMBER($F106),$F106,""))</f>
        <v/>
      </c>
    </row>
    <row r="107">
      <c r="A107" s="56">
        <f>IF(NOT((COUNTA($B107:$D107)+COUNTA($G107:$L107)+COUNTA($Q107))&gt;0),"",IF($V107="Macro",COUNTIFS($V$5:$V107,"Macro",$S$5:$S107,$S107),IF(N($U107)=0,"?",COUNTIFS(INDEX($V$5:$V$1000,1):INDEX($V$5:$V$1000,$U107-4),"Macro",INDEX($S$5:$S$1000,1):INDEX($S$5:$S$1000,$U107-4),INDEX($S$5:$S$1000,$U107-4))&amp;"."&amp;COUNTIFS($U$5:$U107,$U107,$V$5:$V107,"Sub"))))</f>
        <v/>
      </c>
      <c r="B107" s="57" t="n"/>
      <c r="C107" s="58" t="n"/>
      <c r="D107" s="58" t="n"/>
      <c r="E107" s="59" t="n"/>
      <c r="F107" s="59" t="n"/>
      <c r="G107" s="59" t="n"/>
      <c r="H107" s="60" t="n"/>
      <c r="I107" s="60" t="n"/>
      <c r="J107" s="60" t="n"/>
      <c r="K107" s="60" t="n"/>
      <c r="L107" s="60" t="n"/>
      <c r="M107" s="61">
        <f>IF(NOT((COUNTA($B107:$D107)+COUNTA($G107:$L107)+COUNTA($Q107))&gt;0),"",IF(AND($D107&lt;&gt;"",$V107="Macro"),IF(N($AH107)&gt;0,N(CHOOSE(MATCH($D107,ListaPuestos,0),INDEX('Cronograma R. Operacional'!$M$5:$M$1000,$AH107),INDEX('Cronograma R. Normativo'!$M$5:$M$1000,$AH107),INDEX('Cronograma R. Financiero'!$M$5:$M$1000,$AH107),INDEX('Cronograma Asistente Técnico'!$M$5:$M$1000,$AH107))),0),IF(ISNUMBER($G107),1,IF(N($W107)&gt;0,AVERAGEIFS($X$5:$X$1000,$U$5:$U$1000,ROW(),$V$5:$V$1000,"Sub"),$X107))))</f>
        <v/>
      </c>
      <c r="N107" s="56">
        <f>IF(OR($M107="",$V107="Sub"),"",IF($M107&gt;=1,"Completado",IF($M107&gt;0,"En curso","Pendiente")))</f>
        <v/>
      </c>
      <c r="O107" s="56">
        <f>IF(NOT((COUNTA($B107:$D107)+COUNTA($G107:$L107)+COUNTA($Q107))&gt;0),"",IF(AND(AND($D107&lt;&gt;"",$V107="Macro"),N($AH107)&gt;0),CHOOSE(MATCH($D107,ListaPuestos,0),INDEX('Cronograma R. Operacional'!$O$5:$O$1000,$AH107),INDEX('Cronograma R. Normativo'!$O$5:$O$1000,$AH107),INDEX('Cronograma R. Financiero'!$O$5:$O$1000,$AH107),INDEX('Cronograma Asistente Técnico'!$O$5:$O$1000,$AH107))&amp;"",IF(ISNUMBER($G107),IF(AND(ISNUMBER($AN107),$G107&gt;$AN107),"Cumplida con "&amp;($G107-$AN107)&amp;IF($G107-$AN107=1," día"," días")&amp;" de retraso","Cumplida"),IF(N($M107)&gt;=1,"Cumplida",IF(NOT(ISNUMBER($AN107)),"Sin fecha límite",IF($AN107&lt;FechaRef,"Vencida hace "&amp;(FechaRef-$AN107)&amp;IF(FechaRef-$AN107=1," día"," días"),IF($AN107=FechaRef,"Vence hoy",IF($AN107-FechaRef&lt;=DiasAlerta,"Vence en "&amp;($AN107-FechaRef)&amp;IF($AN107-FechaRef=1," día"," días"),"En plazo"))))))))</f>
        <v/>
      </c>
      <c r="P107" s="62">
        <f>IF(NOT((COUNTA($B107:$D107)+COUNTA($G107:$L107)+COUNTA($Q107))&gt;0),"",IF($D107="","Propia",IF($V107&lt;&gt;"Macro","Solo se delegan macroactividades",IF(N($AH107)&gt;0,"✔ Recibida por "&amp;$D107,"⚠ "&amp;$D107&amp;" aún no la agrega"))))</f>
        <v/>
      </c>
      <c r="Q107" s="58" t="n"/>
      <c r="R107" s="63">
        <f>IF(NOT((COUNTA($B107:$D107)+COUNTA($G107:$L107)+COUNTA($Q107))&gt;0),"",IF((IF($C107="","Falta el nombre de la actividad"&amp;" · ","")&amp;IF(AND($V107="Sub",N($U107)=0),"Subactividad sin macroactividad arriba"&amp;" · ","")&amp;IF($AM107="","Sin fecha de inicio"&amp;" · ","")&amp;IF($AN107="","Sin fecha límite"&amp;" · ","")&amp;IF(AND(LEFT($C107,11)="[Jefatura] ",N($AL107)=0),"No se encuentra en la hoja de la jefatura (elíjala de nuevo en la lista)"&amp;" · ","")&amp;IF(OR(AND($E107&lt;&gt;"",NOT(ISNUMBER($E107))),AND($F107&lt;&gt;"",NOT(ISNUMBER($F107))),AND($G107&lt;&gt;"",NOT(ISNUMBER($G107)))),"Fecha no válida"&amp;" · ","")&amp;IF(AND(ISNUMBER($AM107),ISNUMBER($AN107),$AM107&gt;$AN107),"Inicio posterior a fecha límite"&amp;" · ","")&amp;IF(AND($V107="Macro",$H107&lt;&gt;"",OR(NOT(ISNUMBER($H107)),$H107&lt;0,$H107&gt;1)),"Peso fuera de rango"&amp;" · ","")&amp;IF(AND($V107="Sub",$H107&lt;&gt;""),"Las subactividades no llevan peso (valen igual dentro de su macroactividad)"&amp;" · ","")&amp;IF(AND(N($W107)&gt;0,COUNT($I107:$L107)&gt;0),"Con subactividades: deje vacías las semanas (se calculan solas)"&amp;" · ","")&amp;IF((COUNTIF($I107:$L107,"&gt;1")+COUNTIF($I107:$L107,"&lt;0")+COUNTA($I107:$L107)-COUNT($I107:$L107))&gt;0,"Avance fuera de rango 0-100%"&amp;" · ","")&amp;IF(OR(AND($J107&lt;&gt;"",$J107&lt;$I107),AND($K107&lt;&gt;"",$K107&lt;MAX($I107:$J107)),AND($L107&lt;&gt;"",$L107&lt;MAX($I107:$K107))),"Avance semanal decreciente"&amp;" · ","")&amp;IF(AND(ISNUMBER($AN107),$AN107&lt;FechaRef,IF($V107="Sub",N($X107),N($M107))&lt;1),"Vencida"&amp;" · ","")&amp;IF(AND(ObsObligatoria="Sí",ISNUMBER($AN107),$AN107&lt;FechaRef,IF($V107="Sub",N($X107),N($M107))&lt;1,$Q107=""),"Vencida sin observación"&amp;" · ",""))="","✔ OK","⚠ "&amp;LEFT(IF($C107="","Falta el nombre de la actividad"&amp;" · ","")&amp;IF(AND($V107="Sub",N($U107)=0),"Subactividad sin macroactividad arriba"&amp;" · ","")&amp;IF($AM107="","Sin fecha de inicio"&amp;" · ","")&amp;IF($AN107="","Sin fecha límite"&amp;" · ","")&amp;IF(AND(LEFT($C107,11)="[Jefatura] ",N($AL107)=0),"No se encuentra en la hoja de la jefatura (elíjala de nuevo en la lista)"&amp;" · ","")&amp;IF(OR(AND($E107&lt;&gt;"",NOT(ISNUMBER($E107))),AND($F107&lt;&gt;"",NOT(ISNUMBER($F107))),AND($G107&lt;&gt;"",NOT(ISNUMBER($G107)))),"Fecha no válida"&amp;" · ","")&amp;IF(AND(ISNUMBER($AM107),ISNUMBER($AN107),$AM107&gt;$AN107),"Inicio posterior a fecha límite"&amp;" · ","")&amp;IF(AND($V107="Macro",$H107&lt;&gt;"",OR(NOT(ISNUMBER($H107)),$H107&lt;0,$H107&gt;1)),"Peso fuera de rango"&amp;" · ","")&amp;IF(AND($V107="Sub",$H107&lt;&gt;""),"Las subactividades no llevan peso (valen igual dentro de su macroactividad)"&amp;" · ","")&amp;IF(AND(N($W107)&gt;0,COUNT($I107:$L107)&gt;0),"Con subactividades: deje vacías las semanas (se calculan solas)"&amp;" · ","")&amp;IF((COUNTIF($I107:$L107,"&gt;1")+COUNTIF($I107:$L107,"&lt;0")+COUNTA($I107:$L107)-COUNT($I107:$L107))&gt;0,"Avance fuera de rango 0-100%"&amp;" · ","")&amp;IF(OR(AND($J107&lt;&gt;"",$J107&lt;$I107),AND($K107&lt;&gt;"",$K107&lt;MAX($I107:$J107)),AND($L107&lt;&gt;"",$L107&lt;MAX($I107:$K107))),"Avance semanal decreciente"&amp;" · ","")&amp;IF(AND(ISNUMBER($AN107),$AN107&lt;FechaRef,IF($V107="Sub",N($X107),N($M107))&lt;1),"Vencida"&amp;" · ","")&amp;IF(AND(ObsObligatoria="Sí",ISNUMBER($AN107),$AN107&lt;FechaRef,IF($V107="Sub",N($X107),N($M107))&lt;1,$Q107=""),"Vencida sin observación"&amp;" · ",""),LEN(IF($C107="","Falta el nombre de la actividad"&amp;" · ","")&amp;IF(AND($V107="Sub",N($U107)=0),"Subactividad sin macroactividad arriba"&amp;" · ","")&amp;IF($AM107="","Sin fecha de inicio"&amp;" · ","")&amp;IF($AN107="","Sin fecha límite"&amp;" · ","")&amp;IF(AND(LEFT($C107,11)="[Jefatura] ",N($AL107)=0),"No se encuentra en la hoja de la jefatura (elíjala de nuevo en la lista)"&amp;" · ","")&amp;IF(OR(AND($E107&lt;&gt;"",NOT(ISNUMBER($E107))),AND($F107&lt;&gt;"",NOT(ISNUMBER($F107))),AND($G107&lt;&gt;"",NOT(ISNUMBER($G107)))),"Fecha no válida"&amp;" · ","")&amp;IF(AND(ISNUMBER($AM107),ISNUMBER($AN107),$AM107&gt;$AN107),"Inicio posterior a fecha límite"&amp;" · ","")&amp;IF(AND($V107="Macro",$H107&lt;&gt;"",OR(NOT(ISNUMBER($H107)),$H107&lt;0,$H107&gt;1)),"Peso fuera de rango"&amp;" · ","")&amp;IF(AND($V107="Sub",$H107&lt;&gt;""),"Las subactividades no llevan peso (valen igual dentro de su macroactividad)"&amp;" · ","")&amp;IF(AND(N($W107)&gt;0,COUNT($I107:$L107)&gt;0),"Con subactividades: deje vacías las semanas (se calculan solas)"&amp;" · ","")&amp;IF((COUNTIF($I107:$L107,"&gt;1")+COUNTIF($I107:$L107,"&lt;0")+COUNTA($I107:$L107)-COUNT($I107:$L107))&gt;0,"Avance fuera de rango 0-100%"&amp;" · ","")&amp;IF(OR(AND($J107&lt;&gt;"",$J107&lt;$I107),AND($K107&lt;&gt;"",$K107&lt;MAX($I107:$J107)),AND($L107&lt;&gt;"",$L107&lt;MAX($I107:$K107))),"Avance semanal decreciente"&amp;" · ","")&amp;IF(AND(ISNUMBER($AN107),$AN107&lt;FechaRef,IF($V107="Sub",N($X107),N($M107))&lt;1),"Vencida"&amp;" · ","")&amp;IF(AND(ObsObligatoria="Sí",ISNUMBER($AN107),$AN107&lt;FechaRef,IF($V107="Sub",N($X107),N($M107))&lt;1,$Q107=""),"Vencida sin observación"&amp;" · ",""))-3)))</f>
        <v/>
      </c>
      <c r="S107" s="64">
        <f>IF(NOT((COUNTA($B107:$D107)+COUNTA($G107:$L107)+COUNTA($Q107))&gt;0),"",IF(AND($V107="Sub",N($U107)&gt;0),IF(ISNUMBER(INDEX($AM$5:$AM$1000,$U107-4)),DATE(YEAR(INDEX($AM$5:$AM$1000,$U107-4)),MONTH(INDEX($AM$5:$AM$1000,$U107-4)),1),IF(ISNUMBER(INDEX($AN$5:$AN$1000,$U107-4)),DATE(YEAR(INDEX($AN$5:$AN$1000,$U107-4)),MONTH(INDEX($AN$5:$AN$1000,$U107-4)),1),MesCiclo)),IF(ISNUMBER($AM107),DATE(YEAR($AM107),MONTH($AM107),1),IF(ISNUMBER($AN107),DATE(YEAR($AN107),MONTH($AN107),1),MesCiclo))))</f>
        <v/>
      </c>
      <c r="T107" s="62">
        <f>IF(OR($S107="",$S107&lt;&gt;MesCiclo,$V107&lt;&gt;"Macro"),"",COUNTIFS($S$5:$S107,MesCiclo,$V$5:$V107,"Macro"))</f>
        <v/>
      </c>
      <c r="U107" s="62">
        <f>IF($V107="","",IF($V107="Macro",ROW(),IFERROR(LOOKUP(2,1/($V$5:$V107="Macro"),ROW($V$5:$V107)),0)))</f>
        <v/>
      </c>
      <c r="V107" s="62">
        <f>IF(NOT((COUNTA($B107:$D107)+COUNTA($G107:$L107)+COUNTA($Q107))&gt;0),"",IF($B107="Subactividad","Sub","Macro"))</f>
        <v/>
      </c>
      <c r="W107" s="62">
        <f>IF($V107="Macro",COUNTIFS($U$5:$U$1000,ROW(),$V$5:$V$1000,"Sub"),"")</f>
        <v/>
      </c>
      <c r="X107" s="62">
        <f>IF($V107="","",IF(ISNUMBER($G107),1,IFERROR(LOOKUP(2,1/($I107:$L107&lt;&gt;""),$I107:$L107),0)))</f>
        <v/>
      </c>
      <c r="Y107" s="62">
        <f>IF($V107="","",IF(AND(ISNUMBER($G107),$G107&lt;=IF($S107=MesCiclo,InicioCiclo,$S107+MOD(2-WEEKDAY($S107),7))+6),1,IF(ISNUMBER($I107),$I107,0)))</f>
        <v/>
      </c>
      <c r="Z107" s="62">
        <f>IF($V107="","",IF(AND(ISNUMBER($G107),$G107&lt;=IF($S107=MesCiclo,InicioCiclo,$S107+MOD(2-WEEKDAY($S107),7))+13),1,IF(ISNUMBER($J107),$J107,$Y107)))</f>
        <v/>
      </c>
      <c r="AA107" s="62">
        <f>IF($V107="","",IF(AND(ISNUMBER($G107),$G107&lt;=IF($S107=MesCiclo,InicioCiclo,$S107+MOD(2-WEEKDAY($S107),7))+20),1,IF(ISNUMBER($K107),$K107,$Z107)))</f>
        <v/>
      </c>
      <c r="AB107" s="62">
        <f>IF($V107="","",IF(AND(ISNUMBER($G107),$G107&lt;=IF($S107=MesCiclo,InicioCiclo,$S107+MOD(2-WEEKDAY($S107),7))+27),1,IF(ISNUMBER($L107),$L107,$AA107)))</f>
        <v/>
      </c>
      <c r="AC107" s="62">
        <f>IF($V107="","",IF(AND(ISNUMBER($G107),$G107&lt;=IF($S107=MesCiclo,InicioCiclo,$S107+MOD(2-WEEKDAY($S107),7))+6),1,IF(N($W107)&gt;0,AVERAGEIFS($Y$5:$Y$1000,$U$5:$U$1000,ROW(),$V$5:$V$1000,"Sub"),$Y107)))</f>
        <v/>
      </c>
      <c r="AD107" s="62">
        <f>IF($V107="","",IF(AND(ISNUMBER($G107),$G107&lt;=IF($S107=MesCiclo,InicioCiclo,$S107+MOD(2-WEEKDAY($S107),7))+13),1,IF(N($W107)&gt;0,AVERAGEIFS($Z$5:$Z$1000,$U$5:$U$1000,ROW(),$V$5:$V$1000,"Sub"),$Z107)))</f>
        <v/>
      </c>
      <c r="AE107" s="62">
        <f>IF($V107="","",IF(AND(ISNUMBER($G107),$G107&lt;=IF($S107=MesCiclo,InicioCiclo,$S107+MOD(2-WEEKDAY($S107),7))+20),1,IF(N($W107)&gt;0,AVERAGEIFS($AA$5:$AA$1000,$U$5:$U$1000,ROW(),$V$5:$V$1000,"Sub"),$AA107)))</f>
        <v/>
      </c>
      <c r="AF107" s="62">
        <f>IF($V107="","",IF(AND(ISNUMBER($G107),$G107&lt;=IF($S107=MesCiclo,InicioCiclo,$S107+MOD(2-WEEKDAY($S107),7))+27),1,IF(N($W107)&gt;0,AVERAGEIFS($AB$5:$AB$1000,$U$5:$U$1000,ROW(),$V$5:$V$1000,"Sub"),$AB107)))</f>
        <v/>
      </c>
      <c r="AG107" s="62">
        <f>IF($V107&lt;&gt;"Macro","",IF(COUNTIFS($S$5:$S$1000,$S107,$V$5:$V$1000,"Macro",$H$5:$H$1000,"&gt;0")=0,1/COUNTIFS($S$5:$S$1000,$S107,$V$5:$V$1000,"Macro"),IF(AND(ISNUMBER($H107),N($H107)&gt;0),$H107,SUMIFS($H$5:$H$1000,$S$5:$S$1000,$S107,$V$5:$V$1000,"Macro")/COUNTIFS($S$5:$S$1000,$S107,$V$5:$V$1000,"Macro",$H$5:$H$1000,"&gt;0"))/(COUNTIFS($S$5:$S$1000,$S107,$V$5:$V$1000,"Macro")*SUMIFS($H$5:$H$1000,$S$5:$S$1000,$S107,$V$5:$V$1000,"Macro")/COUNTIFS($S$5:$S$1000,$S107,$V$5:$V$1000,"Macro",$H$5:$H$1000,"&gt;0"))))</f>
        <v/>
      </c>
      <c r="AH107" s="62">
        <f>IF(NOT(AND($D107&lt;&gt;"",$V107="Macro")),"",IFERROR(CHOOSE(MATCH($D107,ListaPuestos,0),MATCH("[Jefatura] "&amp;$C107,'Cronograma R. Operacional'!$C$5:$C$1000,0),MATCH("[Jefatura] "&amp;$C107,'Cronograma R. Normativo'!$C$5:$C$1000,0),MATCH("[Jefatura] "&amp;$C107,'Cronograma R. Financiero'!$C$5:$C$1000,0),MATCH("[Jefatura] "&amp;$C107,'Cronograma Asistente Técnico'!$C$5:$C$1000,0)),0))</f>
        <v/>
      </c>
      <c r="AI107" s="62">
        <f>IF(AND(AND($D107&lt;&gt;"",$V107="Macro"),$S107=MesCiclo),COUNTIFS($D$5:$D107,$D107,$S$5:$S107,MesCiclo,$V$5:$V107,"Macro"),"")</f>
        <v/>
      </c>
      <c r="AJ107" s="62">
        <f>IF($AI107="","",$D107&amp;"|"&amp;$AI107)</f>
        <v/>
      </c>
      <c r="AK107" s="62">
        <f>IF(AND($D107&lt;&gt;"",$V107="Macro"),$D107&amp;"|"&amp;$C107,"")</f>
        <v/>
      </c>
      <c r="AL107" s="62">
        <f>""</f>
        <v/>
      </c>
      <c r="AM107" s="62">
        <f>IF(N($AL107)&gt;0,INDEX(rIni_ADM,$AL107),IF(ISNUMBER($E107),$E107,""))</f>
        <v/>
      </c>
      <c r="AN107" s="62">
        <f>IF(N($AL107)&gt;0,INDEX(rLim_ADM,$AL107),IF(ISNUMBER($F107),$F107,""))</f>
        <v/>
      </c>
    </row>
    <row r="108">
      <c r="A108" s="56">
        <f>IF(NOT((COUNTA($B108:$D108)+COUNTA($G108:$L108)+COUNTA($Q108))&gt;0),"",IF($V108="Macro",COUNTIFS($V$5:$V108,"Macro",$S$5:$S108,$S108),IF(N($U108)=0,"?",COUNTIFS(INDEX($V$5:$V$1000,1):INDEX($V$5:$V$1000,$U108-4),"Macro",INDEX($S$5:$S$1000,1):INDEX($S$5:$S$1000,$U108-4),INDEX($S$5:$S$1000,$U108-4))&amp;"."&amp;COUNTIFS($U$5:$U108,$U108,$V$5:$V108,"Sub"))))</f>
        <v/>
      </c>
      <c r="B108" s="57" t="n"/>
      <c r="C108" s="58" t="n"/>
      <c r="D108" s="58" t="n"/>
      <c r="E108" s="59" t="n"/>
      <c r="F108" s="59" t="n"/>
      <c r="G108" s="59" t="n"/>
      <c r="H108" s="60" t="n"/>
      <c r="I108" s="60" t="n"/>
      <c r="J108" s="60" t="n"/>
      <c r="K108" s="60" t="n"/>
      <c r="L108" s="60" t="n"/>
      <c r="M108" s="61">
        <f>IF(NOT((COUNTA($B108:$D108)+COUNTA($G108:$L108)+COUNTA($Q108))&gt;0),"",IF(AND($D108&lt;&gt;"",$V108="Macro"),IF(N($AH108)&gt;0,N(CHOOSE(MATCH($D108,ListaPuestos,0),INDEX('Cronograma R. Operacional'!$M$5:$M$1000,$AH108),INDEX('Cronograma R. Normativo'!$M$5:$M$1000,$AH108),INDEX('Cronograma R. Financiero'!$M$5:$M$1000,$AH108),INDEX('Cronograma Asistente Técnico'!$M$5:$M$1000,$AH108))),0),IF(ISNUMBER($G108),1,IF(N($W108)&gt;0,AVERAGEIFS($X$5:$X$1000,$U$5:$U$1000,ROW(),$V$5:$V$1000,"Sub"),$X108))))</f>
        <v/>
      </c>
      <c r="N108" s="56">
        <f>IF(OR($M108="",$V108="Sub"),"",IF($M108&gt;=1,"Completado",IF($M108&gt;0,"En curso","Pendiente")))</f>
        <v/>
      </c>
      <c r="O108" s="56">
        <f>IF(NOT((COUNTA($B108:$D108)+COUNTA($G108:$L108)+COUNTA($Q108))&gt;0),"",IF(AND(AND($D108&lt;&gt;"",$V108="Macro"),N($AH108)&gt;0),CHOOSE(MATCH($D108,ListaPuestos,0),INDEX('Cronograma R. Operacional'!$O$5:$O$1000,$AH108),INDEX('Cronograma R. Normativo'!$O$5:$O$1000,$AH108),INDEX('Cronograma R. Financiero'!$O$5:$O$1000,$AH108),INDEX('Cronograma Asistente Técnico'!$O$5:$O$1000,$AH108))&amp;"",IF(ISNUMBER($G108),IF(AND(ISNUMBER($AN108),$G108&gt;$AN108),"Cumplida con "&amp;($G108-$AN108)&amp;IF($G108-$AN108=1," día"," días")&amp;" de retraso","Cumplida"),IF(N($M108)&gt;=1,"Cumplida",IF(NOT(ISNUMBER($AN108)),"Sin fecha límite",IF($AN108&lt;FechaRef,"Vencida hace "&amp;(FechaRef-$AN108)&amp;IF(FechaRef-$AN108=1," día"," días"),IF($AN108=FechaRef,"Vence hoy",IF($AN108-FechaRef&lt;=DiasAlerta,"Vence en "&amp;($AN108-FechaRef)&amp;IF($AN108-FechaRef=1," día"," días"),"En plazo"))))))))</f>
        <v/>
      </c>
      <c r="P108" s="62">
        <f>IF(NOT((COUNTA($B108:$D108)+COUNTA($G108:$L108)+COUNTA($Q108))&gt;0),"",IF($D108="","Propia",IF($V108&lt;&gt;"Macro","Solo se delegan macroactividades",IF(N($AH108)&gt;0,"✔ Recibida por "&amp;$D108,"⚠ "&amp;$D108&amp;" aún no la agrega"))))</f>
        <v/>
      </c>
      <c r="Q108" s="58" t="n"/>
      <c r="R108" s="63">
        <f>IF(NOT((COUNTA($B108:$D108)+COUNTA($G108:$L108)+COUNTA($Q108))&gt;0),"",IF((IF($C108="","Falta el nombre de la actividad"&amp;" · ","")&amp;IF(AND($V108="Sub",N($U108)=0),"Subactividad sin macroactividad arriba"&amp;" · ","")&amp;IF($AM108="","Sin fecha de inicio"&amp;" · ","")&amp;IF($AN108="","Sin fecha límite"&amp;" · ","")&amp;IF(AND(LEFT($C108,11)="[Jefatura] ",N($AL108)=0),"No se encuentra en la hoja de la jefatura (elíjala de nuevo en la lista)"&amp;" · ","")&amp;IF(OR(AND($E108&lt;&gt;"",NOT(ISNUMBER($E108))),AND($F108&lt;&gt;"",NOT(ISNUMBER($F108))),AND($G108&lt;&gt;"",NOT(ISNUMBER($G108)))),"Fecha no válida"&amp;" · ","")&amp;IF(AND(ISNUMBER($AM108),ISNUMBER($AN108),$AM108&gt;$AN108),"Inicio posterior a fecha límite"&amp;" · ","")&amp;IF(AND($V108="Macro",$H108&lt;&gt;"",OR(NOT(ISNUMBER($H108)),$H108&lt;0,$H108&gt;1)),"Peso fuera de rango"&amp;" · ","")&amp;IF(AND($V108="Sub",$H108&lt;&gt;""),"Las subactividades no llevan peso (valen igual dentro de su macroactividad)"&amp;" · ","")&amp;IF(AND(N($W108)&gt;0,COUNT($I108:$L108)&gt;0),"Con subactividades: deje vacías las semanas (se calculan solas)"&amp;" · ","")&amp;IF((COUNTIF($I108:$L108,"&gt;1")+COUNTIF($I108:$L108,"&lt;0")+COUNTA($I108:$L108)-COUNT($I108:$L108))&gt;0,"Avance fuera de rango 0-100%"&amp;" · ","")&amp;IF(OR(AND($J108&lt;&gt;"",$J108&lt;$I108),AND($K108&lt;&gt;"",$K108&lt;MAX($I108:$J108)),AND($L108&lt;&gt;"",$L108&lt;MAX($I108:$K108))),"Avance semanal decreciente"&amp;" · ","")&amp;IF(AND(ISNUMBER($AN108),$AN108&lt;FechaRef,IF($V108="Sub",N($X108),N($M108))&lt;1),"Vencida"&amp;" · ","")&amp;IF(AND(ObsObligatoria="Sí",ISNUMBER($AN108),$AN108&lt;FechaRef,IF($V108="Sub",N($X108),N($M108))&lt;1,$Q108=""),"Vencida sin observación"&amp;" · ",""))="","✔ OK","⚠ "&amp;LEFT(IF($C108="","Falta el nombre de la actividad"&amp;" · ","")&amp;IF(AND($V108="Sub",N($U108)=0),"Subactividad sin macroactividad arriba"&amp;" · ","")&amp;IF($AM108="","Sin fecha de inicio"&amp;" · ","")&amp;IF($AN108="","Sin fecha límite"&amp;" · ","")&amp;IF(AND(LEFT($C108,11)="[Jefatura] ",N($AL108)=0),"No se encuentra en la hoja de la jefatura (elíjala de nuevo en la lista)"&amp;" · ","")&amp;IF(OR(AND($E108&lt;&gt;"",NOT(ISNUMBER($E108))),AND($F108&lt;&gt;"",NOT(ISNUMBER($F108))),AND($G108&lt;&gt;"",NOT(ISNUMBER($G108)))),"Fecha no válida"&amp;" · ","")&amp;IF(AND(ISNUMBER($AM108),ISNUMBER($AN108),$AM108&gt;$AN108),"Inicio posterior a fecha límite"&amp;" · ","")&amp;IF(AND($V108="Macro",$H108&lt;&gt;"",OR(NOT(ISNUMBER($H108)),$H108&lt;0,$H108&gt;1)),"Peso fuera de rango"&amp;" · ","")&amp;IF(AND($V108="Sub",$H108&lt;&gt;""),"Las subactividades no llevan peso (valen igual dentro de su macroactividad)"&amp;" · ","")&amp;IF(AND(N($W108)&gt;0,COUNT($I108:$L108)&gt;0),"Con subactividades: deje vacías las semanas (se calculan solas)"&amp;" · ","")&amp;IF((COUNTIF($I108:$L108,"&gt;1")+COUNTIF($I108:$L108,"&lt;0")+COUNTA($I108:$L108)-COUNT($I108:$L108))&gt;0,"Avance fuera de rango 0-100%"&amp;" · ","")&amp;IF(OR(AND($J108&lt;&gt;"",$J108&lt;$I108),AND($K108&lt;&gt;"",$K108&lt;MAX($I108:$J108)),AND($L108&lt;&gt;"",$L108&lt;MAX($I108:$K108))),"Avance semanal decreciente"&amp;" · ","")&amp;IF(AND(ISNUMBER($AN108),$AN108&lt;FechaRef,IF($V108="Sub",N($X108),N($M108))&lt;1),"Vencida"&amp;" · ","")&amp;IF(AND(ObsObligatoria="Sí",ISNUMBER($AN108),$AN108&lt;FechaRef,IF($V108="Sub",N($X108),N($M108))&lt;1,$Q108=""),"Vencida sin observación"&amp;" · ",""),LEN(IF($C108="","Falta el nombre de la actividad"&amp;" · ","")&amp;IF(AND($V108="Sub",N($U108)=0),"Subactividad sin macroactividad arriba"&amp;" · ","")&amp;IF($AM108="","Sin fecha de inicio"&amp;" · ","")&amp;IF($AN108="","Sin fecha límite"&amp;" · ","")&amp;IF(AND(LEFT($C108,11)="[Jefatura] ",N($AL108)=0),"No se encuentra en la hoja de la jefatura (elíjala de nuevo en la lista)"&amp;" · ","")&amp;IF(OR(AND($E108&lt;&gt;"",NOT(ISNUMBER($E108))),AND($F108&lt;&gt;"",NOT(ISNUMBER($F108))),AND($G108&lt;&gt;"",NOT(ISNUMBER($G108)))),"Fecha no válida"&amp;" · ","")&amp;IF(AND(ISNUMBER($AM108),ISNUMBER($AN108),$AM108&gt;$AN108),"Inicio posterior a fecha límite"&amp;" · ","")&amp;IF(AND($V108="Macro",$H108&lt;&gt;"",OR(NOT(ISNUMBER($H108)),$H108&lt;0,$H108&gt;1)),"Peso fuera de rango"&amp;" · ","")&amp;IF(AND($V108="Sub",$H108&lt;&gt;""),"Las subactividades no llevan peso (valen igual dentro de su macroactividad)"&amp;" · ","")&amp;IF(AND(N($W108)&gt;0,COUNT($I108:$L108)&gt;0),"Con subactividades: deje vacías las semanas (se calculan solas)"&amp;" · ","")&amp;IF((COUNTIF($I108:$L108,"&gt;1")+COUNTIF($I108:$L108,"&lt;0")+COUNTA($I108:$L108)-COUNT($I108:$L108))&gt;0,"Avance fuera de rango 0-100%"&amp;" · ","")&amp;IF(OR(AND($J108&lt;&gt;"",$J108&lt;$I108),AND($K108&lt;&gt;"",$K108&lt;MAX($I108:$J108)),AND($L108&lt;&gt;"",$L108&lt;MAX($I108:$K108))),"Avance semanal decreciente"&amp;" · ","")&amp;IF(AND(ISNUMBER($AN108),$AN108&lt;FechaRef,IF($V108="Sub",N($X108),N($M108))&lt;1),"Vencida"&amp;" · ","")&amp;IF(AND(ObsObligatoria="Sí",ISNUMBER($AN108),$AN108&lt;FechaRef,IF($V108="Sub",N($X108),N($M108))&lt;1,$Q108=""),"Vencida sin observación"&amp;" · ",""))-3)))</f>
        <v/>
      </c>
      <c r="S108" s="64">
        <f>IF(NOT((COUNTA($B108:$D108)+COUNTA($G108:$L108)+COUNTA($Q108))&gt;0),"",IF(AND($V108="Sub",N($U108)&gt;0),IF(ISNUMBER(INDEX($AM$5:$AM$1000,$U108-4)),DATE(YEAR(INDEX($AM$5:$AM$1000,$U108-4)),MONTH(INDEX($AM$5:$AM$1000,$U108-4)),1),IF(ISNUMBER(INDEX($AN$5:$AN$1000,$U108-4)),DATE(YEAR(INDEX($AN$5:$AN$1000,$U108-4)),MONTH(INDEX($AN$5:$AN$1000,$U108-4)),1),MesCiclo)),IF(ISNUMBER($AM108),DATE(YEAR($AM108),MONTH($AM108),1),IF(ISNUMBER($AN108),DATE(YEAR($AN108),MONTH($AN108),1),MesCiclo))))</f>
        <v/>
      </c>
      <c r="T108" s="62">
        <f>IF(OR($S108="",$S108&lt;&gt;MesCiclo,$V108&lt;&gt;"Macro"),"",COUNTIFS($S$5:$S108,MesCiclo,$V$5:$V108,"Macro"))</f>
        <v/>
      </c>
      <c r="U108" s="62">
        <f>IF($V108="","",IF($V108="Macro",ROW(),IFERROR(LOOKUP(2,1/($V$5:$V108="Macro"),ROW($V$5:$V108)),0)))</f>
        <v/>
      </c>
      <c r="V108" s="62">
        <f>IF(NOT((COUNTA($B108:$D108)+COUNTA($G108:$L108)+COUNTA($Q108))&gt;0),"",IF($B108="Subactividad","Sub","Macro"))</f>
        <v/>
      </c>
      <c r="W108" s="62">
        <f>IF($V108="Macro",COUNTIFS($U$5:$U$1000,ROW(),$V$5:$V$1000,"Sub"),"")</f>
        <v/>
      </c>
      <c r="X108" s="62">
        <f>IF($V108="","",IF(ISNUMBER($G108),1,IFERROR(LOOKUP(2,1/($I108:$L108&lt;&gt;""),$I108:$L108),0)))</f>
        <v/>
      </c>
      <c r="Y108" s="62">
        <f>IF($V108="","",IF(AND(ISNUMBER($G108),$G108&lt;=IF($S108=MesCiclo,InicioCiclo,$S108+MOD(2-WEEKDAY($S108),7))+6),1,IF(ISNUMBER($I108),$I108,0)))</f>
        <v/>
      </c>
      <c r="Z108" s="62">
        <f>IF($V108="","",IF(AND(ISNUMBER($G108),$G108&lt;=IF($S108=MesCiclo,InicioCiclo,$S108+MOD(2-WEEKDAY($S108),7))+13),1,IF(ISNUMBER($J108),$J108,$Y108)))</f>
        <v/>
      </c>
      <c r="AA108" s="62">
        <f>IF($V108="","",IF(AND(ISNUMBER($G108),$G108&lt;=IF($S108=MesCiclo,InicioCiclo,$S108+MOD(2-WEEKDAY($S108),7))+20),1,IF(ISNUMBER($K108),$K108,$Z108)))</f>
        <v/>
      </c>
      <c r="AB108" s="62">
        <f>IF($V108="","",IF(AND(ISNUMBER($G108),$G108&lt;=IF($S108=MesCiclo,InicioCiclo,$S108+MOD(2-WEEKDAY($S108),7))+27),1,IF(ISNUMBER($L108),$L108,$AA108)))</f>
        <v/>
      </c>
      <c r="AC108" s="62">
        <f>IF($V108="","",IF(AND(ISNUMBER($G108),$G108&lt;=IF($S108=MesCiclo,InicioCiclo,$S108+MOD(2-WEEKDAY($S108),7))+6),1,IF(N($W108)&gt;0,AVERAGEIFS($Y$5:$Y$1000,$U$5:$U$1000,ROW(),$V$5:$V$1000,"Sub"),$Y108)))</f>
        <v/>
      </c>
      <c r="AD108" s="62">
        <f>IF($V108="","",IF(AND(ISNUMBER($G108),$G108&lt;=IF($S108=MesCiclo,InicioCiclo,$S108+MOD(2-WEEKDAY($S108),7))+13),1,IF(N($W108)&gt;0,AVERAGEIFS($Z$5:$Z$1000,$U$5:$U$1000,ROW(),$V$5:$V$1000,"Sub"),$Z108)))</f>
        <v/>
      </c>
      <c r="AE108" s="62">
        <f>IF($V108="","",IF(AND(ISNUMBER($G108),$G108&lt;=IF($S108=MesCiclo,InicioCiclo,$S108+MOD(2-WEEKDAY($S108),7))+20),1,IF(N($W108)&gt;0,AVERAGEIFS($AA$5:$AA$1000,$U$5:$U$1000,ROW(),$V$5:$V$1000,"Sub"),$AA108)))</f>
        <v/>
      </c>
      <c r="AF108" s="62">
        <f>IF($V108="","",IF(AND(ISNUMBER($G108),$G108&lt;=IF($S108=MesCiclo,InicioCiclo,$S108+MOD(2-WEEKDAY($S108),7))+27),1,IF(N($W108)&gt;0,AVERAGEIFS($AB$5:$AB$1000,$U$5:$U$1000,ROW(),$V$5:$V$1000,"Sub"),$AB108)))</f>
        <v/>
      </c>
      <c r="AG108" s="62">
        <f>IF($V108&lt;&gt;"Macro","",IF(COUNTIFS($S$5:$S$1000,$S108,$V$5:$V$1000,"Macro",$H$5:$H$1000,"&gt;0")=0,1/COUNTIFS($S$5:$S$1000,$S108,$V$5:$V$1000,"Macro"),IF(AND(ISNUMBER($H108),N($H108)&gt;0),$H108,SUMIFS($H$5:$H$1000,$S$5:$S$1000,$S108,$V$5:$V$1000,"Macro")/COUNTIFS($S$5:$S$1000,$S108,$V$5:$V$1000,"Macro",$H$5:$H$1000,"&gt;0"))/(COUNTIFS($S$5:$S$1000,$S108,$V$5:$V$1000,"Macro")*SUMIFS($H$5:$H$1000,$S$5:$S$1000,$S108,$V$5:$V$1000,"Macro")/COUNTIFS($S$5:$S$1000,$S108,$V$5:$V$1000,"Macro",$H$5:$H$1000,"&gt;0"))))</f>
        <v/>
      </c>
      <c r="AH108" s="62">
        <f>IF(NOT(AND($D108&lt;&gt;"",$V108="Macro")),"",IFERROR(CHOOSE(MATCH($D108,ListaPuestos,0),MATCH("[Jefatura] "&amp;$C108,'Cronograma R. Operacional'!$C$5:$C$1000,0),MATCH("[Jefatura] "&amp;$C108,'Cronograma R. Normativo'!$C$5:$C$1000,0),MATCH("[Jefatura] "&amp;$C108,'Cronograma R. Financiero'!$C$5:$C$1000,0),MATCH("[Jefatura] "&amp;$C108,'Cronograma Asistente Técnico'!$C$5:$C$1000,0)),0))</f>
        <v/>
      </c>
      <c r="AI108" s="62">
        <f>IF(AND(AND($D108&lt;&gt;"",$V108="Macro"),$S108=MesCiclo),COUNTIFS($D$5:$D108,$D108,$S$5:$S108,MesCiclo,$V$5:$V108,"Macro"),"")</f>
        <v/>
      </c>
      <c r="AJ108" s="62">
        <f>IF($AI108="","",$D108&amp;"|"&amp;$AI108)</f>
        <v/>
      </c>
      <c r="AK108" s="62">
        <f>IF(AND($D108&lt;&gt;"",$V108="Macro"),$D108&amp;"|"&amp;$C108,"")</f>
        <v/>
      </c>
      <c r="AL108" s="62">
        <f>""</f>
        <v/>
      </c>
      <c r="AM108" s="62">
        <f>IF(N($AL108)&gt;0,INDEX(rIni_ADM,$AL108),IF(ISNUMBER($E108),$E108,""))</f>
        <v/>
      </c>
      <c r="AN108" s="62">
        <f>IF(N($AL108)&gt;0,INDEX(rLim_ADM,$AL108),IF(ISNUMBER($F108),$F108,""))</f>
        <v/>
      </c>
    </row>
    <row r="109">
      <c r="A109" s="56">
        <f>IF(NOT((COUNTA($B109:$D109)+COUNTA($G109:$L109)+COUNTA($Q109))&gt;0),"",IF($V109="Macro",COUNTIFS($V$5:$V109,"Macro",$S$5:$S109,$S109),IF(N($U109)=0,"?",COUNTIFS(INDEX($V$5:$V$1000,1):INDEX($V$5:$V$1000,$U109-4),"Macro",INDEX($S$5:$S$1000,1):INDEX($S$5:$S$1000,$U109-4),INDEX($S$5:$S$1000,$U109-4))&amp;"."&amp;COUNTIFS($U$5:$U109,$U109,$V$5:$V109,"Sub"))))</f>
        <v/>
      </c>
      <c r="B109" s="57" t="n"/>
      <c r="C109" s="58" t="n"/>
      <c r="D109" s="58" t="n"/>
      <c r="E109" s="59" t="n"/>
      <c r="F109" s="59" t="n"/>
      <c r="G109" s="59" t="n"/>
      <c r="H109" s="60" t="n"/>
      <c r="I109" s="60" t="n"/>
      <c r="J109" s="60" t="n"/>
      <c r="K109" s="60" t="n"/>
      <c r="L109" s="60" t="n"/>
      <c r="M109" s="61">
        <f>IF(NOT((COUNTA($B109:$D109)+COUNTA($G109:$L109)+COUNTA($Q109))&gt;0),"",IF(AND($D109&lt;&gt;"",$V109="Macro"),IF(N($AH109)&gt;0,N(CHOOSE(MATCH($D109,ListaPuestos,0),INDEX('Cronograma R. Operacional'!$M$5:$M$1000,$AH109),INDEX('Cronograma R. Normativo'!$M$5:$M$1000,$AH109),INDEX('Cronograma R. Financiero'!$M$5:$M$1000,$AH109),INDEX('Cronograma Asistente Técnico'!$M$5:$M$1000,$AH109))),0),IF(ISNUMBER($G109),1,IF(N($W109)&gt;0,AVERAGEIFS($X$5:$X$1000,$U$5:$U$1000,ROW(),$V$5:$V$1000,"Sub"),$X109))))</f>
        <v/>
      </c>
      <c r="N109" s="56">
        <f>IF(OR($M109="",$V109="Sub"),"",IF($M109&gt;=1,"Completado",IF($M109&gt;0,"En curso","Pendiente")))</f>
        <v/>
      </c>
      <c r="O109" s="56">
        <f>IF(NOT((COUNTA($B109:$D109)+COUNTA($G109:$L109)+COUNTA($Q109))&gt;0),"",IF(AND(AND($D109&lt;&gt;"",$V109="Macro"),N($AH109)&gt;0),CHOOSE(MATCH($D109,ListaPuestos,0),INDEX('Cronograma R. Operacional'!$O$5:$O$1000,$AH109),INDEX('Cronograma R. Normativo'!$O$5:$O$1000,$AH109),INDEX('Cronograma R. Financiero'!$O$5:$O$1000,$AH109),INDEX('Cronograma Asistente Técnico'!$O$5:$O$1000,$AH109))&amp;"",IF(ISNUMBER($G109),IF(AND(ISNUMBER($AN109),$G109&gt;$AN109),"Cumplida con "&amp;($G109-$AN109)&amp;IF($G109-$AN109=1," día"," días")&amp;" de retraso","Cumplida"),IF(N($M109)&gt;=1,"Cumplida",IF(NOT(ISNUMBER($AN109)),"Sin fecha límite",IF($AN109&lt;FechaRef,"Vencida hace "&amp;(FechaRef-$AN109)&amp;IF(FechaRef-$AN109=1," día"," días"),IF($AN109=FechaRef,"Vence hoy",IF($AN109-FechaRef&lt;=DiasAlerta,"Vence en "&amp;($AN109-FechaRef)&amp;IF($AN109-FechaRef=1," día"," días"),"En plazo"))))))))</f>
        <v/>
      </c>
      <c r="P109" s="62">
        <f>IF(NOT((COUNTA($B109:$D109)+COUNTA($G109:$L109)+COUNTA($Q109))&gt;0),"",IF($D109="","Propia",IF($V109&lt;&gt;"Macro","Solo se delegan macroactividades",IF(N($AH109)&gt;0,"✔ Recibida por "&amp;$D109,"⚠ "&amp;$D109&amp;" aún no la agrega"))))</f>
        <v/>
      </c>
      <c r="Q109" s="58" t="n"/>
      <c r="R109" s="63">
        <f>IF(NOT((COUNTA($B109:$D109)+COUNTA($G109:$L109)+COUNTA($Q109))&gt;0),"",IF((IF($C109="","Falta el nombre de la actividad"&amp;" · ","")&amp;IF(AND($V109="Sub",N($U109)=0),"Subactividad sin macroactividad arriba"&amp;" · ","")&amp;IF($AM109="","Sin fecha de inicio"&amp;" · ","")&amp;IF($AN109="","Sin fecha límite"&amp;" · ","")&amp;IF(AND(LEFT($C109,11)="[Jefatura] ",N($AL109)=0),"No se encuentra en la hoja de la jefatura (elíjala de nuevo en la lista)"&amp;" · ","")&amp;IF(OR(AND($E109&lt;&gt;"",NOT(ISNUMBER($E109))),AND($F109&lt;&gt;"",NOT(ISNUMBER($F109))),AND($G109&lt;&gt;"",NOT(ISNUMBER($G109)))),"Fecha no válida"&amp;" · ","")&amp;IF(AND(ISNUMBER($AM109),ISNUMBER($AN109),$AM109&gt;$AN109),"Inicio posterior a fecha límite"&amp;" · ","")&amp;IF(AND($V109="Macro",$H109&lt;&gt;"",OR(NOT(ISNUMBER($H109)),$H109&lt;0,$H109&gt;1)),"Peso fuera de rango"&amp;" · ","")&amp;IF(AND($V109="Sub",$H109&lt;&gt;""),"Las subactividades no llevan peso (valen igual dentro de su macroactividad)"&amp;" · ","")&amp;IF(AND(N($W109)&gt;0,COUNT($I109:$L109)&gt;0),"Con subactividades: deje vacías las semanas (se calculan solas)"&amp;" · ","")&amp;IF((COUNTIF($I109:$L109,"&gt;1")+COUNTIF($I109:$L109,"&lt;0")+COUNTA($I109:$L109)-COUNT($I109:$L109))&gt;0,"Avance fuera de rango 0-100%"&amp;" · ","")&amp;IF(OR(AND($J109&lt;&gt;"",$J109&lt;$I109),AND($K109&lt;&gt;"",$K109&lt;MAX($I109:$J109)),AND($L109&lt;&gt;"",$L109&lt;MAX($I109:$K109))),"Avance semanal decreciente"&amp;" · ","")&amp;IF(AND(ISNUMBER($AN109),$AN109&lt;FechaRef,IF($V109="Sub",N($X109),N($M109))&lt;1),"Vencida"&amp;" · ","")&amp;IF(AND(ObsObligatoria="Sí",ISNUMBER($AN109),$AN109&lt;FechaRef,IF($V109="Sub",N($X109),N($M109))&lt;1,$Q109=""),"Vencida sin observación"&amp;" · ",""))="","✔ OK","⚠ "&amp;LEFT(IF($C109="","Falta el nombre de la actividad"&amp;" · ","")&amp;IF(AND($V109="Sub",N($U109)=0),"Subactividad sin macroactividad arriba"&amp;" · ","")&amp;IF($AM109="","Sin fecha de inicio"&amp;" · ","")&amp;IF($AN109="","Sin fecha límite"&amp;" · ","")&amp;IF(AND(LEFT($C109,11)="[Jefatura] ",N($AL109)=0),"No se encuentra en la hoja de la jefatura (elíjala de nuevo en la lista)"&amp;" · ","")&amp;IF(OR(AND($E109&lt;&gt;"",NOT(ISNUMBER($E109))),AND($F109&lt;&gt;"",NOT(ISNUMBER($F109))),AND($G109&lt;&gt;"",NOT(ISNUMBER($G109)))),"Fecha no válida"&amp;" · ","")&amp;IF(AND(ISNUMBER($AM109),ISNUMBER($AN109),$AM109&gt;$AN109),"Inicio posterior a fecha límite"&amp;" · ","")&amp;IF(AND($V109="Macro",$H109&lt;&gt;"",OR(NOT(ISNUMBER($H109)),$H109&lt;0,$H109&gt;1)),"Peso fuera de rango"&amp;" · ","")&amp;IF(AND($V109="Sub",$H109&lt;&gt;""),"Las subactividades no llevan peso (valen igual dentro de su macroactividad)"&amp;" · ","")&amp;IF(AND(N($W109)&gt;0,COUNT($I109:$L109)&gt;0),"Con subactividades: deje vacías las semanas (se calculan solas)"&amp;" · ","")&amp;IF((COUNTIF($I109:$L109,"&gt;1")+COUNTIF($I109:$L109,"&lt;0")+COUNTA($I109:$L109)-COUNT($I109:$L109))&gt;0,"Avance fuera de rango 0-100%"&amp;" · ","")&amp;IF(OR(AND($J109&lt;&gt;"",$J109&lt;$I109),AND($K109&lt;&gt;"",$K109&lt;MAX($I109:$J109)),AND($L109&lt;&gt;"",$L109&lt;MAX($I109:$K109))),"Avance semanal decreciente"&amp;" · ","")&amp;IF(AND(ISNUMBER($AN109),$AN109&lt;FechaRef,IF($V109="Sub",N($X109),N($M109))&lt;1),"Vencida"&amp;" · ","")&amp;IF(AND(ObsObligatoria="Sí",ISNUMBER($AN109),$AN109&lt;FechaRef,IF($V109="Sub",N($X109),N($M109))&lt;1,$Q109=""),"Vencida sin observación"&amp;" · ",""),LEN(IF($C109="","Falta el nombre de la actividad"&amp;" · ","")&amp;IF(AND($V109="Sub",N($U109)=0),"Subactividad sin macroactividad arriba"&amp;" · ","")&amp;IF($AM109="","Sin fecha de inicio"&amp;" · ","")&amp;IF($AN109="","Sin fecha límite"&amp;" · ","")&amp;IF(AND(LEFT($C109,11)="[Jefatura] ",N($AL109)=0),"No se encuentra en la hoja de la jefatura (elíjala de nuevo en la lista)"&amp;" · ","")&amp;IF(OR(AND($E109&lt;&gt;"",NOT(ISNUMBER($E109))),AND($F109&lt;&gt;"",NOT(ISNUMBER($F109))),AND($G109&lt;&gt;"",NOT(ISNUMBER($G109)))),"Fecha no válida"&amp;" · ","")&amp;IF(AND(ISNUMBER($AM109),ISNUMBER($AN109),$AM109&gt;$AN109),"Inicio posterior a fecha límite"&amp;" · ","")&amp;IF(AND($V109="Macro",$H109&lt;&gt;"",OR(NOT(ISNUMBER($H109)),$H109&lt;0,$H109&gt;1)),"Peso fuera de rango"&amp;" · ","")&amp;IF(AND($V109="Sub",$H109&lt;&gt;""),"Las subactividades no llevan peso (valen igual dentro de su macroactividad)"&amp;" · ","")&amp;IF(AND(N($W109)&gt;0,COUNT($I109:$L109)&gt;0),"Con subactividades: deje vacías las semanas (se calculan solas)"&amp;" · ","")&amp;IF((COUNTIF($I109:$L109,"&gt;1")+COUNTIF($I109:$L109,"&lt;0")+COUNTA($I109:$L109)-COUNT($I109:$L109))&gt;0,"Avance fuera de rango 0-100%"&amp;" · ","")&amp;IF(OR(AND($J109&lt;&gt;"",$J109&lt;$I109),AND($K109&lt;&gt;"",$K109&lt;MAX($I109:$J109)),AND($L109&lt;&gt;"",$L109&lt;MAX($I109:$K109))),"Avance semanal decreciente"&amp;" · ","")&amp;IF(AND(ISNUMBER($AN109),$AN109&lt;FechaRef,IF($V109="Sub",N($X109),N($M109))&lt;1),"Vencida"&amp;" · ","")&amp;IF(AND(ObsObligatoria="Sí",ISNUMBER($AN109),$AN109&lt;FechaRef,IF($V109="Sub",N($X109),N($M109))&lt;1,$Q109=""),"Vencida sin observación"&amp;" · ",""))-3)))</f>
        <v/>
      </c>
      <c r="S109" s="64">
        <f>IF(NOT((COUNTA($B109:$D109)+COUNTA($G109:$L109)+COUNTA($Q109))&gt;0),"",IF(AND($V109="Sub",N($U109)&gt;0),IF(ISNUMBER(INDEX($AM$5:$AM$1000,$U109-4)),DATE(YEAR(INDEX($AM$5:$AM$1000,$U109-4)),MONTH(INDEX($AM$5:$AM$1000,$U109-4)),1),IF(ISNUMBER(INDEX($AN$5:$AN$1000,$U109-4)),DATE(YEAR(INDEX($AN$5:$AN$1000,$U109-4)),MONTH(INDEX($AN$5:$AN$1000,$U109-4)),1),MesCiclo)),IF(ISNUMBER($AM109),DATE(YEAR($AM109),MONTH($AM109),1),IF(ISNUMBER($AN109),DATE(YEAR($AN109),MONTH($AN109),1),MesCiclo))))</f>
        <v/>
      </c>
      <c r="T109" s="62">
        <f>IF(OR($S109="",$S109&lt;&gt;MesCiclo,$V109&lt;&gt;"Macro"),"",COUNTIFS($S$5:$S109,MesCiclo,$V$5:$V109,"Macro"))</f>
        <v/>
      </c>
      <c r="U109" s="62">
        <f>IF($V109="","",IF($V109="Macro",ROW(),IFERROR(LOOKUP(2,1/($V$5:$V109="Macro"),ROW($V$5:$V109)),0)))</f>
        <v/>
      </c>
      <c r="V109" s="62">
        <f>IF(NOT((COUNTA($B109:$D109)+COUNTA($G109:$L109)+COUNTA($Q109))&gt;0),"",IF($B109="Subactividad","Sub","Macro"))</f>
        <v/>
      </c>
      <c r="W109" s="62">
        <f>IF($V109="Macro",COUNTIFS($U$5:$U$1000,ROW(),$V$5:$V$1000,"Sub"),"")</f>
        <v/>
      </c>
      <c r="X109" s="62">
        <f>IF($V109="","",IF(ISNUMBER($G109),1,IFERROR(LOOKUP(2,1/($I109:$L109&lt;&gt;""),$I109:$L109),0)))</f>
        <v/>
      </c>
      <c r="Y109" s="62">
        <f>IF($V109="","",IF(AND(ISNUMBER($G109),$G109&lt;=IF($S109=MesCiclo,InicioCiclo,$S109+MOD(2-WEEKDAY($S109),7))+6),1,IF(ISNUMBER($I109),$I109,0)))</f>
        <v/>
      </c>
      <c r="Z109" s="62">
        <f>IF($V109="","",IF(AND(ISNUMBER($G109),$G109&lt;=IF($S109=MesCiclo,InicioCiclo,$S109+MOD(2-WEEKDAY($S109),7))+13),1,IF(ISNUMBER($J109),$J109,$Y109)))</f>
        <v/>
      </c>
      <c r="AA109" s="62">
        <f>IF($V109="","",IF(AND(ISNUMBER($G109),$G109&lt;=IF($S109=MesCiclo,InicioCiclo,$S109+MOD(2-WEEKDAY($S109),7))+20),1,IF(ISNUMBER($K109),$K109,$Z109)))</f>
        <v/>
      </c>
      <c r="AB109" s="62">
        <f>IF($V109="","",IF(AND(ISNUMBER($G109),$G109&lt;=IF($S109=MesCiclo,InicioCiclo,$S109+MOD(2-WEEKDAY($S109),7))+27),1,IF(ISNUMBER($L109),$L109,$AA109)))</f>
        <v/>
      </c>
      <c r="AC109" s="62">
        <f>IF($V109="","",IF(AND(ISNUMBER($G109),$G109&lt;=IF($S109=MesCiclo,InicioCiclo,$S109+MOD(2-WEEKDAY($S109),7))+6),1,IF(N($W109)&gt;0,AVERAGEIFS($Y$5:$Y$1000,$U$5:$U$1000,ROW(),$V$5:$V$1000,"Sub"),$Y109)))</f>
        <v/>
      </c>
      <c r="AD109" s="62">
        <f>IF($V109="","",IF(AND(ISNUMBER($G109),$G109&lt;=IF($S109=MesCiclo,InicioCiclo,$S109+MOD(2-WEEKDAY($S109),7))+13),1,IF(N($W109)&gt;0,AVERAGEIFS($Z$5:$Z$1000,$U$5:$U$1000,ROW(),$V$5:$V$1000,"Sub"),$Z109)))</f>
        <v/>
      </c>
      <c r="AE109" s="62">
        <f>IF($V109="","",IF(AND(ISNUMBER($G109),$G109&lt;=IF($S109=MesCiclo,InicioCiclo,$S109+MOD(2-WEEKDAY($S109),7))+20),1,IF(N($W109)&gt;0,AVERAGEIFS($AA$5:$AA$1000,$U$5:$U$1000,ROW(),$V$5:$V$1000,"Sub"),$AA109)))</f>
        <v/>
      </c>
      <c r="AF109" s="62">
        <f>IF($V109="","",IF(AND(ISNUMBER($G109),$G109&lt;=IF($S109=MesCiclo,InicioCiclo,$S109+MOD(2-WEEKDAY($S109),7))+27),1,IF(N($W109)&gt;0,AVERAGEIFS($AB$5:$AB$1000,$U$5:$U$1000,ROW(),$V$5:$V$1000,"Sub"),$AB109)))</f>
        <v/>
      </c>
      <c r="AG109" s="62">
        <f>IF($V109&lt;&gt;"Macro","",IF(COUNTIFS($S$5:$S$1000,$S109,$V$5:$V$1000,"Macro",$H$5:$H$1000,"&gt;0")=0,1/COUNTIFS($S$5:$S$1000,$S109,$V$5:$V$1000,"Macro"),IF(AND(ISNUMBER($H109),N($H109)&gt;0),$H109,SUMIFS($H$5:$H$1000,$S$5:$S$1000,$S109,$V$5:$V$1000,"Macro")/COUNTIFS($S$5:$S$1000,$S109,$V$5:$V$1000,"Macro",$H$5:$H$1000,"&gt;0"))/(COUNTIFS($S$5:$S$1000,$S109,$V$5:$V$1000,"Macro")*SUMIFS($H$5:$H$1000,$S$5:$S$1000,$S109,$V$5:$V$1000,"Macro")/COUNTIFS($S$5:$S$1000,$S109,$V$5:$V$1000,"Macro",$H$5:$H$1000,"&gt;0"))))</f>
        <v/>
      </c>
      <c r="AH109" s="62">
        <f>IF(NOT(AND($D109&lt;&gt;"",$V109="Macro")),"",IFERROR(CHOOSE(MATCH($D109,ListaPuestos,0),MATCH("[Jefatura] "&amp;$C109,'Cronograma R. Operacional'!$C$5:$C$1000,0),MATCH("[Jefatura] "&amp;$C109,'Cronograma R. Normativo'!$C$5:$C$1000,0),MATCH("[Jefatura] "&amp;$C109,'Cronograma R. Financiero'!$C$5:$C$1000,0),MATCH("[Jefatura] "&amp;$C109,'Cronograma Asistente Técnico'!$C$5:$C$1000,0)),0))</f>
        <v/>
      </c>
      <c r="AI109" s="62">
        <f>IF(AND(AND($D109&lt;&gt;"",$V109="Macro"),$S109=MesCiclo),COUNTIFS($D$5:$D109,$D109,$S$5:$S109,MesCiclo,$V$5:$V109,"Macro"),"")</f>
        <v/>
      </c>
      <c r="AJ109" s="62">
        <f>IF($AI109="","",$D109&amp;"|"&amp;$AI109)</f>
        <v/>
      </c>
      <c r="AK109" s="62">
        <f>IF(AND($D109&lt;&gt;"",$V109="Macro"),$D109&amp;"|"&amp;$C109,"")</f>
        <v/>
      </c>
      <c r="AL109" s="62">
        <f>""</f>
        <v/>
      </c>
      <c r="AM109" s="62">
        <f>IF(N($AL109)&gt;0,INDEX(rIni_ADM,$AL109),IF(ISNUMBER($E109),$E109,""))</f>
        <v/>
      </c>
      <c r="AN109" s="62">
        <f>IF(N($AL109)&gt;0,INDEX(rLim_ADM,$AL109),IF(ISNUMBER($F109),$F109,""))</f>
        <v/>
      </c>
    </row>
    <row r="110">
      <c r="A110" s="56">
        <f>IF(NOT((COUNTA($B110:$D110)+COUNTA($G110:$L110)+COUNTA($Q110))&gt;0),"",IF($V110="Macro",COUNTIFS($V$5:$V110,"Macro",$S$5:$S110,$S110),IF(N($U110)=0,"?",COUNTIFS(INDEX($V$5:$V$1000,1):INDEX($V$5:$V$1000,$U110-4),"Macro",INDEX($S$5:$S$1000,1):INDEX($S$5:$S$1000,$U110-4),INDEX($S$5:$S$1000,$U110-4))&amp;"."&amp;COUNTIFS($U$5:$U110,$U110,$V$5:$V110,"Sub"))))</f>
        <v/>
      </c>
      <c r="B110" s="57" t="n"/>
      <c r="C110" s="58" t="n"/>
      <c r="D110" s="58" t="n"/>
      <c r="E110" s="59" t="n"/>
      <c r="F110" s="59" t="n"/>
      <c r="G110" s="59" t="n"/>
      <c r="H110" s="60" t="n"/>
      <c r="I110" s="60" t="n"/>
      <c r="J110" s="60" t="n"/>
      <c r="K110" s="60" t="n"/>
      <c r="L110" s="60" t="n"/>
      <c r="M110" s="61">
        <f>IF(NOT((COUNTA($B110:$D110)+COUNTA($G110:$L110)+COUNTA($Q110))&gt;0),"",IF(AND($D110&lt;&gt;"",$V110="Macro"),IF(N($AH110)&gt;0,N(CHOOSE(MATCH($D110,ListaPuestos,0),INDEX('Cronograma R. Operacional'!$M$5:$M$1000,$AH110),INDEX('Cronograma R. Normativo'!$M$5:$M$1000,$AH110),INDEX('Cronograma R. Financiero'!$M$5:$M$1000,$AH110),INDEX('Cronograma Asistente Técnico'!$M$5:$M$1000,$AH110))),0),IF(ISNUMBER($G110),1,IF(N($W110)&gt;0,AVERAGEIFS($X$5:$X$1000,$U$5:$U$1000,ROW(),$V$5:$V$1000,"Sub"),$X110))))</f>
        <v/>
      </c>
      <c r="N110" s="56">
        <f>IF(OR($M110="",$V110="Sub"),"",IF($M110&gt;=1,"Completado",IF($M110&gt;0,"En curso","Pendiente")))</f>
        <v/>
      </c>
      <c r="O110" s="56">
        <f>IF(NOT((COUNTA($B110:$D110)+COUNTA($G110:$L110)+COUNTA($Q110))&gt;0),"",IF(AND(AND($D110&lt;&gt;"",$V110="Macro"),N($AH110)&gt;0),CHOOSE(MATCH($D110,ListaPuestos,0),INDEX('Cronograma R. Operacional'!$O$5:$O$1000,$AH110),INDEX('Cronograma R. Normativo'!$O$5:$O$1000,$AH110),INDEX('Cronograma R. Financiero'!$O$5:$O$1000,$AH110),INDEX('Cronograma Asistente Técnico'!$O$5:$O$1000,$AH110))&amp;"",IF(ISNUMBER($G110),IF(AND(ISNUMBER($AN110),$G110&gt;$AN110),"Cumplida con "&amp;($G110-$AN110)&amp;IF($G110-$AN110=1," día"," días")&amp;" de retraso","Cumplida"),IF(N($M110)&gt;=1,"Cumplida",IF(NOT(ISNUMBER($AN110)),"Sin fecha límite",IF($AN110&lt;FechaRef,"Vencida hace "&amp;(FechaRef-$AN110)&amp;IF(FechaRef-$AN110=1," día"," días"),IF($AN110=FechaRef,"Vence hoy",IF($AN110-FechaRef&lt;=DiasAlerta,"Vence en "&amp;($AN110-FechaRef)&amp;IF($AN110-FechaRef=1," día"," días"),"En plazo"))))))))</f>
        <v/>
      </c>
      <c r="P110" s="62">
        <f>IF(NOT((COUNTA($B110:$D110)+COUNTA($G110:$L110)+COUNTA($Q110))&gt;0),"",IF($D110="","Propia",IF($V110&lt;&gt;"Macro","Solo se delegan macroactividades",IF(N($AH110)&gt;0,"✔ Recibida por "&amp;$D110,"⚠ "&amp;$D110&amp;" aún no la agrega"))))</f>
        <v/>
      </c>
      <c r="Q110" s="58" t="n"/>
      <c r="R110" s="63">
        <f>IF(NOT((COUNTA($B110:$D110)+COUNTA($G110:$L110)+COUNTA($Q110))&gt;0),"",IF((IF($C110="","Falta el nombre de la actividad"&amp;" · ","")&amp;IF(AND($V110="Sub",N($U110)=0),"Subactividad sin macroactividad arriba"&amp;" · ","")&amp;IF($AM110="","Sin fecha de inicio"&amp;" · ","")&amp;IF($AN110="","Sin fecha límite"&amp;" · ","")&amp;IF(AND(LEFT($C110,11)="[Jefatura] ",N($AL110)=0),"No se encuentra en la hoja de la jefatura (elíjala de nuevo en la lista)"&amp;" · ","")&amp;IF(OR(AND($E110&lt;&gt;"",NOT(ISNUMBER($E110))),AND($F110&lt;&gt;"",NOT(ISNUMBER($F110))),AND($G110&lt;&gt;"",NOT(ISNUMBER($G110)))),"Fecha no válida"&amp;" · ","")&amp;IF(AND(ISNUMBER($AM110),ISNUMBER($AN110),$AM110&gt;$AN110),"Inicio posterior a fecha límite"&amp;" · ","")&amp;IF(AND($V110="Macro",$H110&lt;&gt;"",OR(NOT(ISNUMBER($H110)),$H110&lt;0,$H110&gt;1)),"Peso fuera de rango"&amp;" · ","")&amp;IF(AND($V110="Sub",$H110&lt;&gt;""),"Las subactividades no llevan peso (valen igual dentro de su macroactividad)"&amp;" · ","")&amp;IF(AND(N($W110)&gt;0,COUNT($I110:$L110)&gt;0),"Con subactividades: deje vacías las semanas (se calculan solas)"&amp;" · ","")&amp;IF((COUNTIF($I110:$L110,"&gt;1")+COUNTIF($I110:$L110,"&lt;0")+COUNTA($I110:$L110)-COUNT($I110:$L110))&gt;0,"Avance fuera de rango 0-100%"&amp;" · ","")&amp;IF(OR(AND($J110&lt;&gt;"",$J110&lt;$I110),AND($K110&lt;&gt;"",$K110&lt;MAX($I110:$J110)),AND($L110&lt;&gt;"",$L110&lt;MAX($I110:$K110))),"Avance semanal decreciente"&amp;" · ","")&amp;IF(AND(ISNUMBER($AN110),$AN110&lt;FechaRef,IF($V110="Sub",N($X110),N($M110))&lt;1),"Vencida"&amp;" · ","")&amp;IF(AND(ObsObligatoria="Sí",ISNUMBER($AN110),$AN110&lt;FechaRef,IF($V110="Sub",N($X110),N($M110))&lt;1,$Q110=""),"Vencida sin observación"&amp;" · ",""))="","✔ OK","⚠ "&amp;LEFT(IF($C110="","Falta el nombre de la actividad"&amp;" · ","")&amp;IF(AND($V110="Sub",N($U110)=0),"Subactividad sin macroactividad arriba"&amp;" · ","")&amp;IF($AM110="","Sin fecha de inicio"&amp;" · ","")&amp;IF($AN110="","Sin fecha límite"&amp;" · ","")&amp;IF(AND(LEFT($C110,11)="[Jefatura] ",N($AL110)=0),"No se encuentra en la hoja de la jefatura (elíjala de nuevo en la lista)"&amp;" · ","")&amp;IF(OR(AND($E110&lt;&gt;"",NOT(ISNUMBER($E110))),AND($F110&lt;&gt;"",NOT(ISNUMBER($F110))),AND($G110&lt;&gt;"",NOT(ISNUMBER($G110)))),"Fecha no válida"&amp;" · ","")&amp;IF(AND(ISNUMBER($AM110),ISNUMBER($AN110),$AM110&gt;$AN110),"Inicio posterior a fecha límite"&amp;" · ","")&amp;IF(AND($V110="Macro",$H110&lt;&gt;"",OR(NOT(ISNUMBER($H110)),$H110&lt;0,$H110&gt;1)),"Peso fuera de rango"&amp;" · ","")&amp;IF(AND($V110="Sub",$H110&lt;&gt;""),"Las subactividades no llevan peso (valen igual dentro de su macroactividad)"&amp;" · ","")&amp;IF(AND(N($W110)&gt;0,COUNT($I110:$L110)&gt;0),"Con subactividades: deje vacías las semanas (se calculan solas)"&amp;" · ","")&amp;IF((COUNTIF($I110:$L110,"&gt;1")+COUNTIF($I110:$L110,"&lt;0")+COUNTA($I110:$L110)-COUNT($I110:$L110))&gt;0,"Avance fuera de rango 0-100%"&amp;" · ","")&amp;IF(OR(AND($J110&lt;&gt;"",$J110&lt;$I110),AND($K110&lt;&gt;"",$K110&lt;MAX($I110:$J110)),AND($L110&lt;&gt;"",$L110&lt;MAX($I110:$K110))),"Avance semanal decreciente"&amp;" · ","")&amp;IF(AND(ISNUMBER($AN110),$AN110&lt;FechaRef,IF($V110="Sub",N($X110),N($M110))&lt;1),"Vencida"&amp;" · ","")&amp;IF(AND(ObsObligatoria="Sí",ISNUMBER($AN110),$AN110&lt;FechaRef,IF($V110="Sub",N($X110),N($M110))&lt;1,$Q110=""),"Vencida sin observación"&amp;" · ",""),LEN(IF($C110="","Falta el nombre de la actividad"&amp;" · ","")&amp;IF(AND($V110="Sub",N($U110)=0),"Subactividad sin macroactividad arriba"&amp;" · ","")&amp;IF($AM110="","Sin fecha de inicio"&amp;" · ","")&amp;IF($AN110="","Sin fecha límite"&amp;" · ","")&amp;IF(AND(LEFT($C110,11)="[Jefatura] ",N($AL110)=0),"No se encuentra en la hoja de la jefatura (elíjala de nuevo en la lista)"&amp;" · ","")&amp;IF(OR(AND($E110&lt;&gt;"",NOT(ISNUMBER($E110))),AND($F110&lt;&gt;"",NOT(ISNUMBER($F110))),AND($G110&lt;&gt;"",NOT(ISNUMBER($G110)))),"Fecha no válida"&amp;" · ","")&amp;IF(AND(ISNUMBER($AM110),ISNUMBER($AN110),$AM110&gt;$AN110),"Inicio posterior a fecha límite"&amp;" · ","")&amp;IF(AND($V110="Macro",$H110&lt;&gt;"",OR(NOT(ISNUMBER($H110)),$H110&lt;0,$H110&gt;1)),"Peso fuera de rango"&amp;" · ","")&amp;IF(AND($V110="Sub",$H110&lt;&gt;""),"Las subactividades no llevan peso (valen igual dentro de su macroactividad)"&amp;" · ","")&amp;IF(AND(N($W110)&gt;0,COUNT($I110:$L110)&gt;0),"Con subactividades: deje vacías las semanas (se calculan solas)"&amp;" · ","")&amp;IF((COUNTIF($I110:$L110,"&gt;1")+COUNTIF($I110:$L110,"&lt;0")+COUNTA($I110:$L110)-COUNT($I110:$L110))&gt;0,"Avance fuera de rango 0-100%"&amp;" · ","")&amp;IF(OR(AND($J110&lt;&gt;"",$J110&lt;$I110),AND($K110&lt;&gt;"",$K110&lt;MAX($I110:$J110)),AND($L110&lt;&gt;"",$L110&lt;MAX($I110:$K110))),"Avance semanal decreciente"&amp;" · ","")&amp;IF(AND(ISNUMBER($AN110),$AN110&lt;FechaRef,IF($V110="Sub",N($X110),N($M110))&lt;1),"Vencida"&amp;" · ","")&amp;IF(AND(ObsObligatoria="Sí",ISNUMBER($AN110),$AN110&lt;FechaRef,IF($V110="Sub",N($X110),N($M110))&lt;1,$Q110=""),"Vencida sin observación"&amp;" · ",""))-3)))</f>
        <v/>
      </c>
      <c r="S110" s="64">
        <f>IF(NOT((COUNTA($B110:$D110)+COUNTA($G110:$L110)+COUNTA($Q110))&gt;0),"",IF(AND($V110="Sub",N($U110)&gt;0),IF(ISNUMBER(INDEX($AM$5:$AM$1000,$U110-4)),DATE(YEAR(INDEX($AM$5:$AM$1000,$U110-4)),MONTH(INDEX($AM$5:$AM$1000,$U110-4)),1),IF(ISNUMBER(INDEX($AN$5:$AN$1000,$U110-4)),DATE(YEAR(INDEX($AN$5:$AN$1000,$U110-4)),MONTH(INDEX($AN$5:$AN$1000,$U110-4)),1),MesCiclo)),IF(ISNUMBER($AM110),DATE(YEAR($AM110),MONTH($AM110),1),IF(ISNUMBER($AN110),DATE(YEAR($AN110),MONTH($AN110),1),MesCiclo))))</f>
        <v/>
      </c>
      <c r="T110" s="62">
        <f>IF(OR($S110="",$S110&lt;&gt;MesCiclo,$V110&lt;&gt;"Macro"),"",COUNTIFS($S$5:$S110,MesCiclo,$V$5:$V110,"Macro"))</f>
        <v/>
      </c>
      <c r="U110" s="62">
        <f>IF($V110="","",IF($V110="Macro",ROW(),IFERROR(LOOKUP(2,1/($V$5:$V110="Macro"),ROW($V$5:$V110)),0)))</f>
        <v/>
      </c>
      <c r="V110" s="62">
        <f>IF(NOT((COUNTA($B110:$D110)+COUNTA($G110:$L110)+COUNTA($Q110))&gt;0),"",IF($B110="Subactividad","Sub","Macro"))</f>
        <v/>
      </c>
      <c r="W110" s="62">
        <f>IF($V110="Macro",COUNTIFS($U$5:$U$1000,ROW(),$V$5:$V$1000,"Sub"),"")</f>
        <v/>
      </c>
      <c r="X110" s="62">
        <f>IF($V110="","",IF(ISNUMBER($G110),1,IFERROR(LOOKUP(2,1/($I110:$L110&lt;&gt;""),$I110:$L110),0)))</f>
        <v/>
      </c>
      <c r="Y110" s="62">
        <f>IF($V110="","",IF(AND(ISNUMBER($G110),$G110&lt;=IF($S110=MesCiclo,InicioCiclo,$S110+MOD(2-WEEKDAY($S110),7))+6),1,IF(ISNUMBER($I110),$I110,0)))</f>
        <v/>
      </c>
      <c r="Z110" s="62">
        <f>IF($V110="","",IF(AND(ISNUMBER($G110),$G110&lt;=IF($S110=MesCiclo,InicioCiclo,$S110+MOD(2-WEEKDAY($S110),7))+13),1,IF(ISNUMBER($J110),$J110,$Y110)))</f>
        <v/>
      </c>
      <c r="AA110" s="62">
        <f>IF($V110="","",IF(AND(ISNUMBER($G110),$G110&lt;=IF($S110=MesCiclo,InicioCiclo,$S110+MOD(2-WEEKDAY($S110),7))+20),1,IF(ISNUMBER($K110),$K110,$Z110)))</f>
        <v/>
      </c>
      <c r="AB110" s="62">
        <f>IF($V110="","",IF(AND(ISNUMBER($G110),$G110&lt;=IF($S110=MesCiclo,InicioCiclo,$S110+MOD(2-WEEKDAY($S110),7))+27),1,IF(ISNUMBER($L110),$L110,$AA110)))</f>
        <v/>
      </c>
      <c r="AC110" s="62">
        <f>IF($V110="","",IF(AND(ISNUMBER($G110),$G110&lt;=IF($S110=MesCiclo,InicioCiclo,$S110+MOD(2-WEEKDAY($S110),7))+6),1,IF(N($W110)&gt;0,AVERAGEIFS($Y$5:$Y$1000,$U$5:$U$1000,ROW(),$V$5:$V$1000,"Sub"),$Y110)))</f>
        <v/>
      </c>
      <c r="AD110" s="62">
        <f>IF($V110="","",IF(AND(ISNUMBER($G110),$G110&lt;=IF($S110=MesCiclo,InicioCiclo,$S110+MOD(2-WEEKDAY($S110),7))+13),1,IF(N($W110)&gt;0,AVERAGEIFS($Z$5:$Z$1000,$U$5:$U$1000,ROW(),$V$5:$V$1000,"Sub"),$Z110)))</f>
        <v/>
      </c>
      <c r="AE110" s="62">
        <f>IF($V110="","",IF(AND(ISNUMBER($G110),$G110&lt;=IF($S110=MesCiclo,InicioCiclo,$S110+MOD(2-WEEKDAY($S110),7))+20),1,IF(N($W110)&gt;0,AVERAGEIFS($AA$5:$AA$1000,$U$5:$U$1000,ROW(),$V$5:$V$1000,"Sub"),$AA110)))</f>
        <v/>
      </c>
      <c r="AF110" s="62">
        <f>IF($V110="","",IF(AND(ISNUMBER($G110),$G110&lt;=IF($S110=MesCiclo,InicioCiclo,$S110+MOD(2-WEEKDAY($S110),7))+27),1,IF(N($W110)&gt;0,AVERAGEIFS($AB$5:$AB$1000,$U$5:$U$1000,ROW(),$V$5:$V$1000,"Sub"),$AB110)))</f>
        <v/>
      </c>
      <c r="AG110" s="62">
        <f>IF($V110&lt;&gt;"Macro","",IF(COUNTIFS($S$5:$S$1000,$S110,$V$5:$V$1000,"Macro",$H$5:$H$1000,"&gt;0")=0,1/COUNTIFS($S$5:$S$1000,$S110,$V$5:$V$1000,"Macro"),IF(AND(ISNUMBER($H110),N($H110)&gt;0),$H110,SUMIFS($H$5:$H$1000,$S$5:$S$1000,$S110,$V$5:$V$1000,"Macro")/COUNTIFS($S$5:$S$1000,$S110,$V$5:$V$1000,"Macro",$H$5:$H$1000,"&gt;0"))/(COUNTIFS($S$5:$S$1000,$S110,$V$5:$V$1000,"Macro")*SUMIFS($H$5:$H$1000,$S$5:$S$1000,$S110,$V$5:$V$1000,"Macro")/COUNTIFS($S$5:$S$1000,$S110,$V$5:$V$1000,"Macro",$H$5:$H$1000,"&gt;0"))))</f>
        <v/>
      </c>
      <c r="AH110" s="62">
        <f>IF(NOT(AND($D110&lt;&gt;"",$V110="Macro")),"",IFERROR(CHOOSE(MATCH($D110,ListaPuestos,0),MATCH("[Jefatura] "&amp;$C110,'Cronograma R. Operacional'!$C$5:$C$1000,0),MATCH("[Jefatura] "&amp;$C110,'Cronograma R. Normativo'!$C$5:$C$1000,0),MATCH("[Jefatura] "&amp;$C110,'Cronograma R. Financiero'!$C$5:$C$1000,0),MATCH("[Jefatura] "&amp;$C110,'Cronograma Asistente Técnico'!$C$5:$C$1000,0)),0))</f>
        <v/>
      </c>
      <c r="AI110" s="62">
        <f>IF(AND(AND($D110&lt;&gt;"",$V110="Macro"),$S110=MesCiclo),COUNTIFS($D$5:$D110,$D110,$S$5:$S110,MesCiclo,$V$5:$V110,"Macro"),"")</f>
        <v/>
      </c>
      <c r="AJ110" s="62">
        <f>IF($AI110="","",$D110&amp;"|"&amp;$AI110)</f>
        <v/>
      </c>
      <c r="AK110" s="62">
        <f>IF(AND($D110&lt;&gt;"",$V110="Macro"),$D110&amp;"|"&amp;$C110,"")</f>
        <v/>
      </c>
      <c r="AL110" s="62">
        <f>""</f>
        <v/>
      </c>
      <c r="AM110" s="62">
        <f>IF(N($AL110)&gt;0,INDEX(rIni_ADM,$AL110),IF(ISNUMBER($E110),$E110,""))</f>
        <v/>
      </c>
      <c r="AN110" s="62">
        <f>IF(N($AL110)&gt;0,INDEX(rLim_ADM,$AL110),IF(ISNUMBER($F110),$F110,""))</f>
        <v/>
      </c>
    </row>
    <row r="111">
      <c r="A111" s="56">
        <f>IF(NOT((COUNTA($B111:$D111)+COUNTA($G111:$L111)+COUNTA($Q111))&gt;0),"",IF($V111="Macro",COUNTIFS($V$5:$V111,"Macro",$S$5:$S111,$S111),IF(N($U111)=0,"?",COUNTIFS(INDEX($V$5:$V$1000,1):INDEX($V$5:$V$1000,$U111-4),"Macro",INDEX($S$5:$S$1000,1):INDEX($S$5:$S$1000,$U111-4),INDEX($S$5:$S$1000,$U111-4))&amp;"."&amp;COUNTIFS($U$5:$U111,$U111,$V$5:$V111,"Sub"))))</f>
        <v/>
      </c>
      <c r="B111" s="57" t="n"/>
      <c r="C111" s="58" t="n"/>
      <c r="D111" s="58" t="n"/>
      <c r="E111" s="59" t="n"/>
      <c r="F111" s="59" t="n"/>
      <c r="G111" s="59" t="n"/>
      <c r="H111" s="60" t="n"/>
      <c r="I111" s="60" t="n"/>
      <c r="J111" s="60" t="n"/>
      <c r="K111" s="60" t="n"/>
      <c r="L111" s="60" t="n"/>
      <c r="M111" s="61">
        <f>IF(NOT((COUNTA($B111:$D111)+COUNTA($G111:$L111)+COUNTA($Q111))&gt;0),"",IF(AND($D111&lt;&gt;"",$V111="Macro"),IF(N($AH111)&gt;0,N(CHOOSE(MATCH($D111,ListaPuestos,0),INDEX('Cronograma R. Operacional'!$M$5:$M$1000,$AH111),INDEX('Cronograma R. Normativo'!$M$5:$M$1000,$AH111),INDEX('Cronograma R. Financiero'!$M$5:$M$1000,$AH111),INDEX('Cronograma Asistente Técnico'!$M$5:$M$1000,$AH111))),0),IF(ISNUMBER($G111),1,IF(N($W111)&gt;0,AVERAGEIFS($X$5:$X$1000,$U$5:$U$1000,ROW(),$V$5:$V$1000,"Sub"),$X111))))</f>
        <v/>
      </c>
      <c r="N111" s="56">
        <f>IF(OR($M111="",$V111="Sub"),"",IF($M111&gt;=1,"Completado",IF($M111&gt;0,"En curso","Pendiente")))</f>
        <v/>
      </c>
      <c r="O111" s="56">
        <f>IF(NOT((COUNTA($B111:$D111)+COUNTA($G111:$L111)+COUNTA($Q111))&gt;0),"",IF(AND(AND($D111&lt;&gt;"",$V111="Macro"),N($AH111)&gt;0),CHOOSE(MATCH($D111,ListaPuestos,0),INDEX('Cronograma R. Operacional'!$O$5:$O$1000,$AH111),INDEX('Cronograma R. Normativo'!$O$5:$O$1000,$AH111),INDEX('Cronograma R. Financiero'!$O$5:$O$1000,$AH111),INDEX('Cronograma Asistente Técnico'!$O$5:$O$1000,$AH111))&amp;"",IF(ISNUMBER($G111),IF(AND(ISNUMBER($AN111),$G111&gt;$AN111),"Cumplida con "&amp;($G111-$AN111)&amp;IF($G111-$AN111=1," día"," días")&amp;" de retraso","Cumplida"),IF(N($M111)&gt;=1,"Cumplida",IF(NOT(ISNUMBER($AN111)),"Sin fecha límite",IF($AN111&lt;FechaRef,"Vencida hace "&amp;(FechaRef-$AN111)&amp;IF(FechaRef-$AN111=1," día"," días"),IF($AN111=FechaRef,"Vence hoy",IF($AN111-FechaRef&lt;=DiasAlerta,"Vence en "&amp;($AN111-FechaRef)&amp;IF($AN111-FechaRef=1," día"," días"),"En plazo"))))))))</f>
        <v/>
      </c>
      <c r="P111" s="62">
        <f>IF(NOT((COUNTA($B111:$D111)+COUNTA($G111:$L111)+COUNTA($Q111))&gt;0),"",IF($D111="","Propia",IF($V111&lt;&gt;"Macro","Solo se delegan macroactividades",IF(N($AH111)&gt;0,"✔ Recibida por "&amp;$D111,"⚠ "&amp;$D111&amp;" aún no la agrega"))))</f>
        <v/>
      </c>
      <c r="Q111" s="58" t="n"/>
      <c r="R111" s="63">
        <f>IF(NOT((COUNTA($B111:$D111)+COUNTA($G111:$L111)+COUNTA($Q111))&gt;0),"",IF((IF($C111="","Falta el nombre de la actividad"&amp;" · ","")&amp;IF(AND($V111="Sub",N($U111)=0),"Subactividad sin macroactividad arriba"&amp;" · ","")&amp;IF($AM111="","Sin fecha de inicio"&amp;" · ","")&amp;IF($AN111="","Sin fecha límite"&amp;" · ","")&amp;IF(AND(LEFT($C111,11)="[Jefatura] ",N($AL111)=0),"No se encuentra en la hoja de la jefatura (elíjala de nuevo en la lista)"&amp;" · ","")&amp;IF(OR(AND($E111&lt;&gt;"",NOT(ISNUMBER($E111))),AND($F111&lt;&gt;"",NOT(ISNUMBER($F111))),AND($G111&lt;&gt;"",NOT(ISNUMBER($G111)))),"Fecha no válida"&amp;" · ","")&amp;IF(AND(ISNUMBER($AM111),ISNUMBER($AN111),$AM111&gt;$AN111),"Inicio posterior a fecha límite"&amp;" · ","")&amp;IF(AND($V111="Macro",$H111&lt;&gt;"",OR(NOT(ISNUMBER($H111)),$H111&lt;0,$H111&gt;1)),"Peso fuera de rango"&amp;" · ","")&amp;IF(AND($V111="Sub",$H111&lt;&gt;""),"Las subactividades no llevan peso (valen igual dentro de su macroactividad)"&amp;" · ","")&amp;IF(AND(N($W111)&gt;0,COUNT($I111:$L111)&gt;0),"Con subactividades: deje vacías las semanas (se calculan solas)"&amp;" · ","")&amp;IF((COUNTIF($I111:$L111,"&gt;1")+COUNTIF($I111:$L111,"&lt;0")+COUNTA($I111:$L111)-COUNT($I111:$L111))&gt;0,"Avance fuera de rango 0-100%"&amp;" · ","")&amp;IF(OR(AND($J111&lt;&gt;"",$J111&lt;$I111),AND($K111&lt;&gt;"",$K111&lt;MAX($I111:$J111)),AND($L111&lt;&gt;"",$L111&lt;MAX($I111:$K111))),"Avance semanal decreciente"&amp;" · ","")&amp;IF(AND(ISNUMBER($AN111),$AN111&lt;FechaRef,IF($V111="Sub",N($X111),N($M111))&lt;1),"Vencida"&amp;" · ","")&amp;IF(AND(ObsObligatoria="Sí",ISNUMBER($AN111),$AN111&lt;FechaRef,IF($V111="Sub",N($X111),N($M111))&lt;1,$Q111=""),"Vencida sin observación"&amp;" · ",""))="","✔ OK","⚠ "&amp;LEFT(IF($C111="","Falta el nombre de la actividad"&amp;" · ","")&amp;IF(AND($V111="Sub",N($U111)=0),"Subactividad sin macroactividad arriba"&amp;" · ","")&amp;IF($AM111="","Sin fecha de inicio"&amp;" · ","")&amp;IF($AN111="","Sin fecha límite"&amp;" · ","")&amp;IF(AND(LEFT($C111,11)="[Jefatura] ",N($AL111)=0),"No se encuentra en la hoja de la jefatura (elíjala de nuevo en la lista)"&amp;" · ","")&amp;IF(OR(AND($E111&lt;&gt;"",NOT(ISNUMBER($E111))),AND($F111&lt;&gt;"",NOT(ISNUMBER($F111))),AND($G111&lt;&gt;"",NOT(ISNUMBER($G111)))),"Fecha no válida"&amp;" · ","")&amp;IF(AND(ISNUMBER($AM111),ISNUMBER($AN111),$AM111&gt;$AN111),"Inicio posterior a fecha límite"&amp;" · ","")&amp;IF(AND($V111="Macro",$H111&lt;&gt;"",OR(NOT(ISNUMBER($H111)),$H111&lt;0,$H111&gt;1)),"Peso fuera de rango"&amp;" · ","")&amp;IF(AND($V111="Sub",$H111&lt;&gt;""),"Las subactividades no llevan peso (valen igual dentro de su macroactividad)"&amp;" · ","")&amp;IF(AND(N($W111)&gt;0,COUNT($I111:$L111)&gt;0),"Con subactividades: deje vacías las semanas (se calculan solas)"&amp;" · ","")&amp;IF((COUNTIF($I111:$L111,"&gt;1")+COUNTIF($I111:$L111,"&lt;0")+COUNTA($I111:$L111)-COUNT($I111:$L111))&gt;0,"Avance fuera de rango 0-100%"&amp;" · ","")&amp;IF(OR(AND($J111&lt;&gt;"",$J111&lt;$I111),AND($K111&lt;&gt;"",$K111&lt;MAX($I111:$J111)),AND($L111&lt;&gt;"",$L111&lt;MAX($I111:$K111))),"Avance semanal decreciente"&amp;" · ","")&amp;IF(AND(ISNUMBER($AN111),$AN111&lt;FechaRef,IF($V111="Sub",N($X111),N($M111))&lt;1),"Vencida"&amp;" · ","")&amp;IF(AND(ObsObligatoria="Sí",ISNUMBER($AN111),$AN111&lt;FechaRef,IF($V111="Sub",N($X111),N($M111))&lt;1,$Q111=""),"Vencida sin observación"&amp;" · ",""),LEN(IF($C111="","Falta el nombre de la actividad"&amp;" · ","")&amp;IF(AND($V111="Sub",N($U111)=0),"Subactividad sin macroactividad arriba"&amp;" · ","")&amp;IF($AM111="","Sin fecha de inicio"&amp;" · ","")&amp;IF($AN111="","Sin fecha límite"&amp;" · ","")&amp;IF(AND(LEFT($C111,11)="[Jefatura] ",N($AL111)=0),"No se encuentra en la hoja de la jefatura (elíjala de nuevo en la lista)"&amp;" · ","")&amp;IF(OR(AND($E111&lt;&gt;"",NOT(ISNUMBER($E111))),AND($F111&lt;&gt;"",NOT(ISNUMBER($F111))),AND($G111&lt;&gt;"",NOT(ISNUMBER($G111)))),"Fecha no válida"&amp;" · ","")&amp;IF(AND(ISNUMBER($AM111),ISNUMBER($AN111),$AM111&gt;$AN111),"Inicio posterior a fecha límite"&amp;" · ","")&amp;IF(AND($V111="Macro",$H111&lt;&gt;"",OR(NOT(ISNUMBER($H111)),$H111&lt;0,$H111&gt;1)),"Peso fuera de rango"&amp;" · ","")&amp;IF(AND($V111="Sub",$H111&lt;&gt;""),"Las subactividades no llevan peso (valen igual dentro de su macroactividad)"&amp;" · ","")&amp;IF(AND(N($W111)&gt;0,COUNT($I111:$L111)&gt;0),"Con subactividades: deje vacías las semanas (se calculan solas)"&amp;" · ","")&amp;IF((COUNTIF($I111:$L111,"&gt;1")+COUNTIF($I111:$L111,"&lt;0")+COUNTA($I111:$L111)-COUNT($I111:$L111))&gt;0,"Avance fuera de rango 0-100%"&amp;" · ","")&amp;IF(OR(AND($J111&lt;&gt;"",$J111&lt;$I111),AND($K111&lt;&gt;"",$K111&lt;MAX($I111:$J111)),AND($L111&lt;&gt;"",$L111&lt;MAX($I111:$K111))),"Avance semanal decreciente"&amp;" · ","")&amp;IF(AND(ISNUMBER($AN111),$AN111&lt;FechaRef,IF($V111="Sub",N($X111),N($M111))&lt;1),"Vencida"&amp;" · ","")&amp;IF(AND(ObsObligatoria="Sí",ISNUMBER($AN111),$AN111&lt;FechaRef,IF($V111="Sub",N($X111),N($M111))&lt;1,$Q111=""),"Vencida sin observación"&amp;" · ",""))-3)))</f>
        <v/>
      </c>
      <c r="S111" s="64">
        <f>IF(NOT((COUNTA($B111:$D111)+COUNTA($G111:$L111)+COUNTA($Q111))&gt;0),"",IF(AND($V111="Sub",N($U111)&gt;0),IF(ISNUMBER(INDEX($AM$5:$AM$1000,$U111-4)),DATE(YEAR(INDEX($AM$5:$AM$1000,$U111-4)),MONTH(INDEX($AM$5:$AM$1000,$U111-4)),1),IF(ISNUMBER(INDEX($AN$5:$AN$1000,$U111-4)),DATE(YEAR(INDEX($AN$5:$AN$1000,$U111-4)),MONTH(INDEX($AN$5:$AN$1000,$U111-4)),1),MesCiclo)),IF(ISNUMBER($AM111),DATE(YEAR($AM111),MONTH($AM111),1),IF(ISNUMBER($AN111),DATE(YEAR($AN111),MONTH($AN111),1),MesCiclo))))</f>
        <v/>
      </c>
      <c r="T111" s="62">
        <f>IF(OR($S111="",$S111&lt;&gt;MesCiclo,$V111&lt;&gt;"Macro"),"",COUNTIFS($S$5:$S111,MesCiclo,$V$5:$V111,"Macro"))</f>
        <v/>
      </c>
      <c r="U111" s="62">
        <f>IF($V111="","",IF($V111="Macro",ROW(),IFERROR(LOOKUP(2,1/($V$5:$V111="Macro"),ROW($V$5:$V111)),0)))</f>
        <v/>
      </c>
      <c r="V111" s="62">
        <f>IF(NOT((COUNTA($B111:$D111)+COUNTA($G111:$L111)+COUNTA($Q111))&gt;0),"",IF($B111="Subactividad","Sub","Macro"))</f>
        <v/>
      </c>
      <c r="W111" s="62">
        <f>IF($V111="Macro",COUNTIFS($U$5:$U$1000,ROW(),$V$5:$V$1000,"Sub"),"")</f>
        <v/>
      </c>
      <c r="X111" s="62">
        <f>IF($V111="","",IF(ISNUMBER($G111),1,IFERROR(LOOKUP(2,1/($I111:$L111&lt;&gt;""),$I111:$L111),0)))</f>
        <v/>
      </c>
      <c r="Y111" s="62">
        <f>IF($V111="","",IF(AND(ISNUMBER($G111),$G111&lt;=IF($S111=MesCiclo,InicioCiclo,$S111+MOD(2-WEEKDAY($S111),7))+6),1,IF(ISNUMBER($I111),$I111,0)))</f>
        <v/>
      </c>
      <c r="Z111" s="62">
        <f>IF($V111="","",IF(AND(ISNUMBER($G111),$G111&lt;=IF($S111=MesCiclo,InicioCiclo,$S111+MOD(2-WEEKDAY($S111),7))+13),1,IF(ISNUMBER($J111),$J111,$Y111)))</f>
        <v/>
      </c>
      <c r="AA111" s="62">
        <f>IF($V111="","",IF(AND(ISNUMBER($G111),$G111&lt;=IF($S111=MesCiclo,InicioCiclo,$S111+MOD(2-WEEKDAY($S111),7))+20),1,IF(ISNUMBER($K111),$K111,$Z111)))</f>
        <v/>
      </c>
      <c r="AB111" s="62">
        <f>IF($V111="","",IF(AND(ISNUMBER($G111),$G111&lt;=IF($S111=MesCiclo,InicioCiclo,$S111+MOD(2-WEEKDAY($S111),7))+27),1,IF(ISNUMBER($L111),$L111,$AA111)))</f>
        <v/>
      </c>
      <c r="AC111" s="62">
        <f>IF($V111="","",IF(AND(ISNUMBER($G111),$G111&lt;=IF($S111=MesCiclo,InicioCiclo,$S111+MOD(2-WEEKDAY($S111),7))+6),1,IF(N($W111)&gt;0,AVERAGEIFS($Y$5:$Y$1000,$U$5:$U$1000,ROW(),$V$5:$V$1000,"Sub"),$Y111)))</f>
        <v/>
      </c>
      <c r="AD111" s="62">
        <f>IF($V111="","",IF(AND(ISNUMBER($G111),$G111&lt;=IF($S111=MesCiclo,InicioCiclo,$S111+MOD(2-WEEKDAY($S111),7))+13),1,IF(N($W111)&gt;0,AVERAGEIFS($Z$5:$Z$1000,$U$5:$U$1000,ROW(),$V$5:$V$1000,"Sub"),$Z111)))</f>
        <v/>
      </c>
      <c r="AE111" s="62">
        <f>IF($V111="","",IF(AND(ISNUMBER($G111),$G111&lt;=IF($S111=MesCiclo,InicioCiclo,$S111+MOD(2-WEEKDAY($S111),7))+20),1,IF(N($W111)&gt;0,AVERAGEIFS($AA$5:$AA$1000,$U$5:$U$1000,ROW(),$V$5:$V$1000,"Sub"),$AA111)))</f>
        <v/>
      </c>
      <c r="AF111" s="62">
        <f>IF($V111="","",IF(AND(ISNUMBER($G111),$G111&lt;=IF($S111=MesCiclo,InicioCiclo,$S111+MOD(2-WEEKDAY($S111),7))+27),1,IF(N($W111)&gt;0,AVERAGEIFS($AB$5:$AB$1000,$U$5:$U$1000,ROW(),$V$5:$V$1000,"Sub"),$AB111)))</f>
        <v/>
      </c>
      <c r="AG111" s="62">
        <f>IF($V111&lt;&gt;"Macro","",IF(COUNTIFS($S$5:$S$1000,$S111,$V$5:$V$1000,"Macro",$H$5:$H$1000,"&gt;0")=0,1/COUNTIFS($S$5:$S$1000,$S111,$V$5:$V$1000,"Macro"),IF(AND(ISNUMBER($H111),N($H111)&gt;0),$H111,SUMIFS($H$5:$H$1000,$S$5:$S$1000,$S111,$V$5:$V$1000,"Macro")/COUNTIFS($S$5:$S$1000,$S111,$V$5:$V$1000,"Macro",$H$5:$H$1000,"&gt;0"))/(COUNTIFS($S$5:$S$1000,$S111,$V$5:$V$1000,"Macro")*SUMIFS($H$5:$H$1000,$S$5:$S$1000,$S111,$V$5:$V$1000,"Macro")/COUNTIFS($S$5:$S$1000,$S111,$V$5:$V$1000,"Macro",$H$5:$H$1000,"&gt;0"))))</f>
        <v/>
      </c>
      <c r="AH111" s="62">
        <f>IF(NOT(AND($D111&lt;&gt;"",$V111="Macro")),"",IFERROR(CHOOSE(MATCH($D111,ListaPuestos,0),MATCH("[Jefatura] "&amp;$C111,'Cronograma R. Operacional'!$C$5:$C$1000,0),MATCH("[Jefatura] "&amp;$C111,'Cronograma R. Normativo'!$C$5:$C$1000,0),MATCH("[Jefatura] "&amp;$C111,'Cronograma R. Financiero'!$C$5:$C$1000,0),MATCH("[Jefatura] "&amp;$C111,'Cronograma Asistente Técnico'!$C$5:$C$1000,0)),0))</f>
        <v/>
      </c>
      <c r="AI111" s="62">
        <f>IF(AND(AND($D111&lt;&gt;"",$V111="Macro"),$S111=MesCiclo),COUNTIFS($D$5:$D111,$D111,$S$5:$S111,MesCiclo,$V$5:$V111,"Macro"),"")</f>
        <v/>
      </c>
      <c r="AJ111" s="62">
        <f>IF($AI111="","",$D111&amp;"|"&amp;$AI111)</f>
        <v/>
      </c>
      <c r="AK111" s="62">
        <f>IF(AND($D111&lt;&gt;"",$V111="Macro"),$D111&amp;"|"&amp;$C111,"")</f>
        <v/>
      </c>
      <c r="AL111" s="62">
        <f>""</f>
        <v/>
      </c>
      <c r="AM111" s="62">
        <f>IF(N($AL111)&gt;0,INDEX(rIni_ADM,$AL111),IF(ISNUMBER($E111),$E111,""))</f>
        <v/>
      </c>
      <c r="AN111" s="62">
        <f>IF(N($AL111)&gt;0,INDEX(rLim_ADM,$AL111),IF(ISNUMBER($F111),$F111,""))</f>
        <v/>
      </c>
    </row>
    <row r="112">
      <c r="A112" s="56">
        <f>IF(NOT((COUNTA($B112:$D112)+COUNTA($G112:$L112)+COUNTA($Q112))&gt;0),"",IF($V112="Macro",COUNTIFS($V$5:$V112,"Macro",$S$5:$S112,$S112),IF(N($U112)=0,"?",COUNTIFS(INDEX($V$5:$V$1000,1):INDEX($V$5:$V$1000,$U112-4),"Macro",INDEX($S$5:$S$1000,1):INDEX($S$5:$S$1000,$U112-4),INDEX($S$5:$S$1000,$U112-4))&amp;"."&amp;COUNTIFS($U$5:$U112,$U112,$V$5:$V112,"Sub"))))</f>
        <v/>
      </c>
      <c r="B112" s="57" t="n"/>
      <c r="C112" s="58" t="n"/>
      <c r="D112" s="58" t="n"/>
      <c r="E112" s="59" t="n"/>
      <c r="F112" s="59" t="n"/>
      <c r="G112" s="59" t="n"/>
      <c r="H112" s="60" t="n"/>
      <c r="I112" s="60" t="n"/>
      <c r="J112" s="60" t="n"/>
      <c r="K112" s="60" t="n"/>
      <c r="L112" s="60" t="n"/>
      <c r="M112" s="61">
        <f>IF(NOT((COUNTA($B112:$D112)+COUNTA($G112:$L112)+COUNTA($Q112))&gt;0),"",IF(AND($D112&lt;&gt;"",$V112="Macro"),IF(N($AH112)&gt;0,N(CHOOSE(MATCH($D112,ListaPuestos,0),INDEX('Cronograma R. Operacional'!$M$5:$M$1000,$AH112),INDEX('Cronograma R. Normativo'!$M$5:$M$1000,$AH112),INDEX('Cronograma R. Financiero'!$M$5:$M$1000,$AH112),INDEX('Cronograma Asistente Técnico'!$M$5:$M$1000,$AH112))),0),IF(ISNUMBER($G112),1,IF(N($W112)&gt;0,AVERAGEIFS($X$5:$X$1000,$U$5:$U$1000,ROW(),$V$5:$V$1000,"Sub"),$X112))))</f>
        <v/>
      </c>
      <c r="N112" s="56">
        <f>IF(OR($M112="",$V112="Sub"),"",IF($M112&gt;=1,"Completado",IF($M112&gt;0,"En curso","Pendiente")))</f>
        <v/>
      </c>
      <c r="O112" s="56">
        <f>IF(NOT((COUNTA($B112:$D112)+COUNTA($G112:$L112)+COUNTA($Q112))&gt;0),"",IF(AND(AND($D112&lt;&gt;"",$V112="Macro"),N($AH112)&gt;0),CHOOSE(MATCH($D112,ListaPuestos,0),INDEX('Cronograma R. Operacional'!$O$5:$O$1000,$AH112),INDEX('Cronograma R. Normativo'!$O$5:$O$1000,$AH112),INDEX('Cronograma R. Financiero'!$O$5:$O$1000,$AH112),INDEX('Cronograma Asistente Técnico'!$O$5:$O$1000,$AH112))&amp;"",IF(ISNUMBER($G112),IF(AND(ISNUMBER($AN112),$G112&gt;$AN112),"Cumplida con "&amp;($G112-$AN112)&amp;IF($G112-$AN112=1," día"," días")&amp;" de retraso","Cumplida"),IF(N($M112)&gt;=1,"Cumplida",IF(NOT(ISNUMBER($AN112)),"Sin fecha límite",IF($AN112&lt;FechaRef,"Vencida hace "&amp;(FechaRef-$AN112)&amp;IF(FechaRef-$AN112=1," día"," días"),IF($AN112=FechaRef,"Vence hoy",IF($AN112-FechaRef&lt;=DiasAlerta,"Vence en "&amp;($AN112-FechaRef)&amp;IF($AN112-FechaRef=1," día"," días"),"En plazo"))))))))</f>
        <v/>
      </c>
      <c r="P112" s="62">
        <f>IF(NOT((COUNTA($B112:$D112)+COUNTA($G112:$L112)+COUNTA($Q112))&gt;0),"",IF($D112="","Propia",IF($V112&lt;&gt;"Macro","Solo se delegan macroactividades",IF(N($AH112)&gt;0,"✔ Recibida por "&amp;$D112,"⚠ "&amp;$D112&amp;" aún no la agrega"))))</f>
        <v/>
      </c>
      <c r="Q112" s="58" t="n"/>
      <c r="R112" s="63">
        <f>IF(NOT((COUNTA($B112:$D112)+COUNTA($G112:$L112)+COUNTA($Q112))&gt;0),"",IF((IF($C112="","Falta el nombre de la actividad"&amp;" · ","")&amp;IF(AND($V112="Sub",N($U112)=0),"Subactividad sin macroactividad arriba"&amp;" · ","")&amp;IF($AM112="","Sin fecha de inicio"&amp;" · ","")&amp;IF($AN112="","Sin fecha límite"&amp;" · ","")&amp;IF(AND(LEFT($C112,11)="[Jefatura] ",N($AL112)=0),"No se encuentra en la hoja de la jefatura (elíjala de nuevo en la lista)"&amp;" · ","")&amp;IF(OR(AND($E112&lt;&gt;"",NOT(ISNUMBER($E112))),AND($F112&lt;&gt;"",NOT(ISNUMBER($F112))),AND($G112&lt;&gt;"",NOT(ISNUMBER($G112)))),"Fecha no válida"&amp;" · ","")&amp;IF(AND(ISNUMBER($AM112),ISNUMBER($AN112),$AM112&gt;$AN112),"Inicio posterior a fecha límite"&amp;" · ","")&amp;IF(AND($V112="Macro",$H112&lt;&gt;"",OR(NOT(ISNUMBER($H112)),$H112&lt;0,$H112&gt;1)),"Peso fuera de rango"&amp;" · ","")&amp;IF(AND($V112="Sub",$H112&lt;&gt;""),"Las subactividades no llevan peso (valen igual dentro de su macroactividad)"&amp;" · ","")&amp;IF(AND(N($W112)&gt;0,COUNT($I112:$L112)&gt;0),"Con subactividades: deje vacías las semanas (se calculan solas)"&amp;" · ","")&amp;IF((COUNTIF($I112:$L112,"&gt;1")+COUNTIF($I112:$L112,"&lt;0")+COUNTA($I112:$L112)-COUNT($I112:$L112))&gt;0,"Avance fuera de rango 0-100%"&amp;" · ","")&amp;IF(OR(AND($J112&lt;&gt;"",$J112&lt;$I112),AND($K112&lt;&gt;"",$K112&lt;MAX($I112:$J112)),AND($L112&lt;&gt;"",$L112&lt;MAX($I112:$K112))),"Avance semanal decreciente"&amp;" · ","")&amp;IF(AND(ISNUMBER($AN112),$AN112&lt;FechaRef,IF($V112="Sub",N($X112),N($M112))&lt;1),"Vencida"&amp;" · ","")&amp;IF(AND(ObsObligatoria="Sí",ISNUMBER($AN112),$AN112&lt;FechaRef,IF($V112="Sub",N($X112),N($M112))&lt;1,$Q112=""),"Vencida sin observación"&amp;" · ",""))="","✔ OK","⚠ "&amp;LEFT(IF($C112="","Falta el nombre de la actividad"&amp;" · ","")&amp;IF(AND($V112="Sub",N($U112)=0),"Subactividad sin macroactividad arriba"&amp;" · ","")&amp;IF($AM112="","Sin fecha de inicio"&amp;" · ","")&amp;IF($AN112="","Sin fecha límite"&amp;" · ","")&amp;IF(AND(LEFT($C112,11)="[Jefatura] ",N($AL112)=0),"No se encuentra en la hoja de la jefatura (elíjala de nuevo en la lista)"&amp;" · ","")&amp;IF(OR(AND($E112&lt;&gt;"",NOT(ISNUMBER($E112))),AND($F112&lt;&gt;"",NOT(ISNUMBER($F112))),AND($G112&lt;&gt;"",NOT(ISNUMBER($G112)))),"Fecha no válida"&amp;" · ","")&amp;IF(AND(ISNUMBER($AM112),ISNUMBER($AN112),$AM112&gt;$AN112),"Inicio posterior a fecha límite"&amp;" · ","")&amp;IF(AND($V112="Macro",$H112&lt;&gt;"",OR(NOT(ISNUMBER($H112)),$H112&lt;0,$H112&gt;1)),"Peso fuera de rango"&amp;" · ","")&amp;IF(AND($V112="Sub",$H112&lt;&gt;""),"Las subactividades no llevan peso (valen igual dentro de su macroactividad)"&amp;" · ","")&amp;IF(AND(N($W112)&gt;0,COUNT($I112:$L112)&gt;0),"Con subactividades: deje vacías las semanas (se calculan solas)"&amp;" · ","")&amp;IF((COUNTIF($I112:$L112,"&gt;1")+COUNTIF($I112:$L112,"&lt;0")+COUNTA($I112:$L112)-COUNT($I112:$L112))&gt;0,"Avance fuera de rango 0-100%"&amp;" · ","")&amp;IF(OR(AND($J112&lt;&gt;"",$J112&lt;$I112),AND($K112&lt;&gt;"",$K112&lt;MAX($I112:$J112)),AND($L112&lt;&gt;"",$L112&lt;MAX($I112:$K112))),"Avance semanal decreciente"&amp;" · ","")&amp;IF(AND(ISNUMBER($AN112),$AN112&lt;FechaRef,IF($V112="Sub",N($X112),N($M112))&lt;1),"Vencida"&amp;" · ","")&amp;IF(AND(ObsObligatoria="Sí",ISNUMBER($AN112),$AN112&lt;FechaRef,IF($V112="Sub",N($X112),N($M112))&lt;1,$Q112=""),"Vencida sin observación"&amp;" · ",""),LEN(IF($C112="","Falta el nombre de la actividad"&amp;" · ","")&amp;IF(AND($V112="Sub",N($U112)=0),"Subactividad sin macroactividad arriba"&amp;" · ","")&amp;IF($AM112="","Sin fecha de inicio"&amp;" · ","")&amp;IF($AN112="","Sin fecha límite"&amp;" · ","")&amp;IF(AND(LEFT($C112,11)="[Jefatura] ",N($AL112)=0),"No se encuentra en la hoja de la jefatura (elíjala de nuevo en la lista)"&amp;" · ","")&amp;IF(OR(AND($E112&lt;&gt;"",NOT(ISNUMBER($E112))),AND($F112&lt;&gt;"",NOT(ISNUMBER($F112))),AND($G112&lt;&gt;"",NOT(ISNUMBER($G112)))),"Fecha no válida"&amp;" · ","")&amp;IF(AND(ISNUMBER($AM112),ISNUMBER($AN112),$AM112&gt;$AN112),"Inicio posterior a fecha límite"&amp;" · ","")&amp;IF(AND($V112="Macro",$H112&lt;&gt;"",OR(NOT(ISNUMBER($H112)),$H112&lt;0,$H112&gt;1)),"Peso fuera de rango"&amp;" · ","")&amp;IF(AND($V112="Sub",$H112&lt;&gt;""),"Las subactividades no llevan peso (valen igual dentro de su macroactividad)"&amp;" · ","")&amp;IF(AND(N($W112)&gt;0,COUNT($I112:$L112)&gt;0),"Con subactividades: deje vacías las semanas (se calculan solas)"&amp;" · ","")&amp;IF((COUNTIF($I112:$L112,"&gt;1")+COUNTIF($I112:$L112,"&lt;0")+COUNTA($I112:$L112)-COUNT($I112:$L112))&gt;0,"Avance fuera de rango 0-100%"&amp;" · ","")&amp;IF(OR(AND($J112&lt;&gt;"",$J112&lt;$I112),AND($K112&lt;&gt;"",$K112&lt;MAX($I112:$J112)),AND($L112&lt;&gt;"",$L112&lt;MAX($I112:$K112))),"Avance semanal decreciente"&amp;" · ","")&amp;IF(AND(ISNUMBER($AN112),$AN112&lt;FechaRef,IF($V112="Sub",N($X112),N($M112))&lt;1),"Vencida"&amp;" · ","")&amp;IF(AND(ObsObligatoria="Sí",ISNUMBER($AN112),$AN112&lt;FechaRef,IF($V112="Sub",N($X112),N($M112))&lt;1,$Q112=""),"Vencida sin observación"&amp;" · ",""))-3)))</f>
        <v/>
      </c>
      <c r="S112" s="64">
        <f>IF(NOT((COUNTA($B112:$D112)+COUNTA($G112:$L112)+COUNTA($Q112))&gt;0),"",IF(AND($V112="Sub",N($U112)&gt;0),IF(ISNUMBER(INDEX($AM$5:$AM$1000,$U112-4)),DATE(YEAR(INDEX($AM$5:$AM$1000,$U112-4)),MONTH(INDEX($AM$5:$AM$1000,$U112-4)),1),IF(ISNUMBER(INDEX($AN$5:$AN$1000,$U112-4)),DATE(YEAR(INDEX($AN$5:$AN$1000,$U112-4)),MONTH(INDEX($AN$5:$AN$1000,$U112-4)),1),MesCiclo)),IF(ISNUMBER($AM112),DATE(YEAR($AM112),MONTH($AM112),1),IF(ISNUMBER($AN112),DATE(YEAR($AN112),MONTH($AN112),1),MesCiclo))))</f>
        <v/>
      </c>
      <c r="T112" s="62">
        <f>IF(OR($S112="",$S112&lt;&gt;MesCiclo,$V112&lt;&gt;"Macro"),"",COUNTIFS($S$5:$S112,MesCiclo,$V$5:$V112,"Macro"))</f>
        <v/>
      </c>
      <c r="U112" s="62">
        <f>IF($V112="","",IF($V112="Macro",ROW(),IFERROR(LOOKUP(2,1/($V$5:$V112="Macro"),ROW($V$5:$V112)),0)))</f>
        <v/>
      </c>
      <c r="V112" s="62">
        <f>IF(NOT((COUNTA($B112:$D112)+COUNTA($G112:$L112)+COUNTA($Q112))&gt;0),"",IF($B112="Subactividad","Sub","Macro"))</f>
        <v/>
      </c>
      <c r="W112" s="62">
        <f>IF($V112="Macro",COUNTIFS($U$5:$U$1000,ROW(),$V$5:$V$1000,"Sub"),"")</f>
        <v/>
      </c>
      <c r="X112" s="62">
        <f>IF($V112="","",IF(ISNUMBER($G112),1,IFERROR(LOOKUP(2,1/($I112:$L112&lt;&gt;""),$I112:$L112),0)))</f>
        <v/>
      </c>
      <c r="Y112" s="62">
        <f>IF($V112="","",IF(AND(ISNUMBER($G112),$G112&lt;=IF($S112=MesCiclo,InicioCiclo,$S112+MOD(2-WEEKDAY($S112),7))+6),1,IF(ISNUMBER($I112),$I112,0)))</f>
        <v/>
      </c>
      <c r="Z112" s="62">
        <f>IF($V112="","",IF(AND(ISNUMBER($G112),$G112&lt;=IF($S112=MesCiclo,InicioCiclo,$S112+MOD(2-WEEKDAY($S112),7))+13),1,IF(ISNUMBER($J112),$J112,$Y112)))</f>
        <v/>
      </c>
      <c r="AA112" s="62">
        <f>IF($V112="","",IF(AND(ISNUMBER($G112),$G112&lt;=IF($S112=MesCiclo,InicioCiclo,$S112+MOD(2-WEEKDAY($S112),7))+20),1,IF(ISNUMBER($K112),$K112,$Z112)))</f>
        <v/>
      </c>
      <c r="AB112" s="62">
        <f>IF($V112="","",IF(AND(ISNUMBER($G112),$G112&lt;=IF($S112=MesCiclo,InicioCiclo,$S112+MOD(2-WEEKDAY($S112),7))+27),1,IF(ISNUMBER($L112),$L112,$AA112)))</f>
        <v/>
      </c>
      <c r="AC112" s="62">
        <f>IF($V112="","",IF(AND(ISNUMBER($G112),$G112&lt;=IF($S112=MesCiclo,InicioCiclo,$S112+MOD(2-WEEKDAY($S112),7))+6),1,IF(N($W112)&gt;0,AVERAGEIFS($Y$5:$Y$1000,$U$5:$U$1000,ROW(),$V$5:$V$1000,"Sub"),$Y112)))</f>
        <v/>
      </c>
      <c r="AD112" s="62">
        <f>IF($V112="","",IF(AND(ISNUMBER($G112),$G112&lt;=IF($S112=MesCiclo,InicioCiclo,$S112+MOD(2-WEEKDAY($S112),7))+13),1,IF(N($W112)&gt;0,AVERAGEIFS($Z$5:$Z$1000,$U$5:$U$1000,ROW(),$V$5:$V$1000,"Sub"),$Z112)))</f>
        <v/>
      </c>
      <c r="AE112" s="62">
        <f>IF($V112="","",IF(AND(ISNUMBER($G112),$G112&lt;=IF($S112=MesCiclo,InicioCiclo,$S112+MOD(2-WEEKDAY($S112),7))+20),1,IF(N($W112)&gt;0,AVERAGEIFS($AA$5:$AA$1000,$U$5:$U$1000,ROW(),$V$5:$V$1000,"Sub"),$AA112)))</f>
        <v/>
      </c>
      <c r="AF112" s="62">
        <f>IF($V112="","",IF(AND(ISNUMBER($G112),$G112&lt;=IF($S112=MesCiclo,InicioCiclo,$S112+MOD(2-WEEKDAY($S112),7))+27),1,IF(N($W112)&gt;0,AVERAGEIFS($AB$5:$AB$1000,$U$5:$U$1000,ROW(),$V$5:$V$1000,"Sub"),$AB112)))</f>
        <v/>
      </c>
      <c r="AG112" s="62">
        <f>IF($V112&lt;&gt;"Macro","",IF(COUNTIFS($S$5:$S$1000,$S112,$V$5:$V$1000,"Macro",$H$5:$H$1000,"&gt;0")=0,1/COUNTIFS($S$5:$S$1000,$S112,$V$5:$V$1000,"Macro"),IF(AND(ISNUMBER($H112),N($H112)&gt;0),$H112,SUMIFS($H$5:$H$1000,$S$5:$S$1000,$S112,$V$5:$V$1000,"Macro")/COUNTIFS($S$5:$S$1000,$S112,$V$5:$V$1000,"Macro",$H$5:$H$1000,"&gt;0"))/(COUNTIFS($S$5:$S$1000,$S112,$V$5:$V$1000,"Macro")*SUMIFS($H$5:$H$1000,$S$5:$S$1000,$S112,$V$5:$V$1000,"Macro")/COUNTIFS($S$5:$S$1000,$S112,$V$5:$V$1000,"Macro",$H$5:$H$1000,"&gt;0"))))</f>
        <v/>
      </c>
      <c r="AH112" s="62">
        <f>IF(NOT(AND($D112&lt;&gt;"",$V112="Macro")),"",IFERROR(CHOOSE(MATCH($D112,ListaPuestos,0),MATCH("[Jefatura] "&amp;$C112,'Cronograma R. Operacional'!$C$5:$C$1000,0),MATCH("[Jefatura] "&amp;$C112,'Cronograma R. Normativo'!$C$5:$C$1000,0),MATCH("[Jefatura] "&amp;$C112,'Cronograma R. Financiero'!$C$5:$C$1000,0),MATCH("[Jefatura] "&amp;$C112,'Cronograma Asistente Técnico'!$C$5:$C$1000,0)),0))</f>
        <v/>
      </c>
      <c r="AI112" s="62">
        <f>IF(AND(AND($D112&lt;&gt;"",$V112="Macro"),$S112=MesCiclo),COUNTIFS($D$5:$D112,$D112,$S$5:$S112,MesCiclo,$V$5:$V112,"Macro"),"")</f>
        <v/>
      </c>
      <c r="AJ112" s="62">
        <f>IF($AI112="","",$D112&amp;"|"&amp;$AI112)</f>
        <v/>
      </c>
      <c r="AK112" s="62">
        <f>IF(AND($D112&lt;&gt;"",$V112="Macro"),$D112&amp;"|"&amp;$C112,"")</f>
        <v/>
      </c>
      <c r="AL112" s="62">
        <f>""</f>
        <v/>
      </c>
      <c r="AM112" s="62">
        <f>IF(N($AL112)&gt;0,INDEX(rIni_ADM,$AL112),IF(ISNUMBER($E112),$E112,""))</f>
        <v/>
      </c>
      <c r="AN112" s="62">
        <f>IF(N($AL112)&gt;0,INDEX(rLim_ADM,$AL112),IF(ISNUMBER($F112),$F112,""))</f>
        <v/>
      </c>
    </row>
    <row r="113">
      <c r="A113" s="56">
        <f>IF(NOT((COUNTA($B113:$D113)+COUNTA($G113:$L113)+COUNTA($Q113))&gt;0),"",IF($V113="Macro",COUNTIFS($V$5:$V113,"Macro",$S$5:$S113,$S113),IF(N($U113)=0,"?",COUNTIFS(INDEX($V$5:$V$1000,1):INDEX($V$5:$V$1000,$U113-4),"Macro",INDEX($S$5:$S$1000,1):INDEX($S$5:$S$1000,$U113-4),INDEX($S$5:$S$1000,$U113-4))&amp;"."&amp;COUNTIFS($U$5:$U113,$U113,$V$5:$V113,"Sub"))))</f>
        <v/>
      </c>
      <c r="B113" s="57" t="n"/>
      <c r="C113" s="58" t="n"/>
      <c r="D113" s="58" t="n"/>
      <c r="E113" s="59" t="n"/>
      <c r="F113" s="59" t="n"/>
      <c r="G113" s="59" t="n"/>
      <c r="H113" s="60" t="n"/>
      <c r="I113" s="60" t="n"/>
      <c r="J113" s="60" t="n"/>
      <c r="K113" s="60" t="n"/>
      <c r="L113" s="60" t="n"/>
      <c r="M113" s="61">
        <f>IF(NOT((COUNTA($B113:$D113)+COUNTA($G113:$L113)+COUNTA($Q113))&gt;0),"",IF(AND($D113&lt;&gt;"",$V113="Macro"),IF(N($AH113)&gt;0,N(CHOOSE(MATCH($D113,ListaPuestos,0),INDEX('Cronograma R. Operacional'!$M$5:$M$1000,$AH113),INDEX('Cronograma R. Normativo'!$M$5:$M$1000,$AH113),INDEX('Cronograma R. Financiero'!$M$5:$M$1000,$AH113),INDEX('Cronograma Asistente Técnico'!$M$5:$M$1000,$AH113))),0),IF(ISNUMBER($G113),1,IF(N($W113)&gt;0,AVERAGEIFS($X$5:$X$1000,$U$5:$U$1000,ROW(),$V$5:$V$1000,"Sub"),$X113))))</f>
        <v/>
      </c>
      <c r="N113" s="56">
        <f>IF(OR($M113="",$V113="Sub"),"",IF($M113&gt;=1,"Completado",IF($M113&gt;0,"En curso","Pendiente")))</f>
        <v/>
      </c>
      <c r="O113" s="56">
        <f>IF(NOT((COUNTA($B113:$D113)+COUNTA($G113:$L113)+COUNTA($Q113))&gt;0),"",IF(AND(AND($D113&lt;&gt;"",$V113="Macro"),N($AH113)&gt;0),CHOOSE(MATCH($D113,ListaPuestos,0),INDEX('Cronograma R. Operacional'!$O$5:$O$1000,$AH113),INDEX('Cronograma R. Normativo'!$O$5:$O$1000,$AH113),INDEX('Cronograma R. Financiero'!$O$5:$O$1000,$AH113),INDEX('Cronograma Asistente Técnico'!$O$5:$O$1000,$AH113))&amp;"",IF(ISNUMBER($G113),IF(AND(ISNUMBER($AN113),$G113&gt;$AN113),"Cumplida con "&amp;($G113-$AN113)&amp;IF($G113-$AN113=1," día"," días")&amp;" de retraso","Cumplida"),IF(N($M113)&gt;=1,"Cumplida",IF(NOT(ISNUMBER($AN113)),"Sin fecha límite",IF($AN113&lt;FechaRef,"Vencida hace "&amp;(FechaRef-$AN113)&amp;IF(FechaRef-$AN113=1," día"," días"),IF($AN113=FechaRef,"Vence hoy",IF($AN113-FechaRef&lt;=DiasAlerta,"Vence en "&amp;($AN113-FechaRef)&amp;IF($AN113-FechaRef=1," día"," días"),"En plazo"))))))))</f>
        <v/>
      </c>
      <c r="P113" s="62">
        <f>IF(NOT((COUNTA($B113:$D113)+COUNTA($G113:$L113)+COUNTA($Q113))&gt;0),"",IF($D113="","Propia",IF($V113&lt;&gt;"Macro","Solo se delegan macroactividades",IF(N($AH113)&gt;0,"✔ Recibida por "&amp;$D113,"⚠ "&amp;$D113&amp;" aún no la agrega"))))</f>
        <v/>
      </c>
      <c r="Q113" s="58" t="n"/>
      <c r="R113" s="63">
        <f>IF(NOT((COUNTA($B113:$D113)+COUNTA($G113:$L113)+COUNTA($Q113))&gt;0),"",IF((IF($C113="","Falta el nombre de la actividad"&amp;" · ","")&amp;IF(AND($V113="Sub",N($U113)=0),"Subactividad sin macroactividad arriba"&amp;" · ","")&amp;IF($AM113="","Sin fecha de inicio"&amp;" · ","")&amp;IF($AN113="","Sin fecha límite"&amp;" · ","")&amp;IF(AND(LEFT($C113,11)="[Jefatura] ",N($AL113)=0),"No se encuentra en la hoja de la jefatura (elíjala de nuevo en la lista)"&amp;" · ","")&amp;IF(OR(AND($E113&lt;&gt;"",NOT(ISNUMBER($E113))),AND($F113&lt;&gt;"",NOT(ISNUMBER($F113))),AND($G113&lt;&gt;"",NOT(ISNUMBER($G113)))),"Fecha no válida"&amp;" · ","")&amp;IF(AND(ISNUMBER($AM113),ISNUMBER($AN113),$AM113&gt;$AN113),"Inicio posterior a fecha límite"&amp;" · ","")&amp;IF(AND($V113="Macro",$H113&lt;&gt;"",OR(NOT(ISNUMBER($H113)),$H113&lt;0,$H113&gt;1)),"Peso fuera de rango"&amp;" · ","")&amp;IF(AND($V113="Sub",$H113&lt;&gt;""),"Las subactividades no llevan peso (valen igual dentro de su macroactividad)"&amp;" · ","")&amp;IF(AND(N($W113)&gt;0,COUNT($I113:$L113)&gt;0),"Con subactividades: deje vacías las semanas (se calculan solas)"&amp;" · ","")&amp;IF((COUNTIF($I113:$L113,"&gt;1")+COUNTIF($I113:$L113,"&lt;0")+COUNTA($I113:$L113)-COUNT($I113:$L113))&gt;0,"Avance fuera de rango 0-100%"&amp;" · ","")&amp;IF(OR(AND($J113&lt;&gt;"",$J113&lt;$I113),AND($K113&lt;&gt;"",$K113&lt;MAX($I113:$J113)),AND($L113&lt;&gt;"",$L113&lt;MAX($I113:$K113))),"Avance semanal decreciente"&amp;" · ","")&amp;IF(AND(ISNUMBER($AN113),$AN113&lt;FechaRef,IF($V113="Sub",N($X113),N($M113))&lt;1),"Vencida"&amp;" · ","")&amp;IF(AND(ObsObligatoria="Sí",ISNUMBER($AN113),$AN113&lt;FechaRef,IF($V113="Sub",N($X113),N($M113))&lt;1,$Q113=""),"Vencida sin observación"&amp;" · ",""))="","✔ OK","⚠ "&amp;LEFT(IF($C113="","Falta el nombre de la actividad"&amp;" · ","")&amp;IF(AND($V113="Sub",N($U113)=0),"Subactividad sin macroactividad arriba"&amp;" · ","")&amp;IF($AM113="","Sin fecha de inicio"&amp;" · ","")&amp;IF($AN113="","Sin fecha límite"&amp;" · ","")&amp;IF(AND(LEFT($C113,11)="[Jefatura] ",N($AL113)=0),"No se encuentra en la hoja de la jefatura (elíjala de nuevo en la lista)"&amp;" · ","")&amp;IF(OR(AND($E113&lt;&gt;"",NOT(ISNUMBER($E113))),AND($F113&lt;&gt;"",NOT(ISNUMBER($F113))),AND($G113&lt;&gt;"",NOT(ISNUMBER($G113)))),"Fecha no válida"&amp;" · ","")&amp;IF(AND(ISNUMBER($AM113),ISNUMBER($AN113),$AM113&gt;$AN113),"Inicio posterior a fecha límite"&amp;" · ","")&amp;IF(AND($V113="Macro",$H113&lt;&gt;"",OR(NOT(ISNUMBER($H113)),$H113&lt;0,$H113&gt;1)),"Peso fuera de rango"&amp;" · ","")&amp;IF(AND($V113="Sub",$H113&lt;&gt;""),"Las subactividades no llevan peso (valen igual dentro de su macroactividad)"&amp;" · ","")&amp;IF(AND(N($W113)&gt;0,COUNT($I113:$L113)&gt;0),"Con subactividades: deje vacías las semanas (se calculan solas)"&amp;" · ","")&amp;IF((COUNTIF($I113:$L113,"&gt;1")+COUNTIF($I113:$L113,"&lt;0")+COUNTA($I113:$L113)-COUNT($I113:$L113))&gt;0,"Avance fuera de rango 0-100%"&amp;" · ","")&amp;IF(OR(AND($J113&lt;&gt;"",$J113&lt;$I113),AND($K113&lt;&gt;"",$K113&lt;MAX($I113:$J113)),AND($L113&lt;&gt;"",$L113&lt;MAX($I113:$K113))),"Avance semanal decreciente"&amp;" · ","")&amp;IF(AND(ISNUMBER($AN113),$AN113&lt;FechaRef,IF($V113="Sub",N($X113),N($M113))&lt;1),"Vencida"&amp;" · ","")&amp;IF(AND(ObsObligatoria="Sí",ISNUMBER($AN113),$AN113&lt;FechaRef,IF($V113="Sub",N($X113),N($M113))&lt;1,$Q113=""),"Vencida sin observación"&amp;" · ",""),LEN(IF($C113="","Falta el nombre de la actividad"&amp;" · ","")&amp;IF(AND($V113="Sub",N($U113)=0),"Subactividad sin macroactividad arriba"&amp;" · ","")&amp;IF($AM113="","Sin fecha de inicio"&amp;" · ","")&amp;IF($AN113="","Sin fecha límite"&amp;" · ","")&amp;IF(AND(LEFT($C113,11)="[Jefatura] ",N($AL113)=0),"No se encuentra en la hoja de la jefatura (elíjala de nuevo en la lista)"&amp;" · ","")&amp;IF(OR(AND($E113&lt;&gt;"",NOT(ISNUMBER($E113))),AND($F113&lt;&gt;"",NOT(ISNUMBER($F113))),AND($G113&lt;&gt;"",NOT(ISNUMBER($G113)))),"Fecha no válida"&amp;" · ","")&amp;IF(AND(ISNUMBER($AM113),ISNUMBER($AN113),$AM113&gt;$AN113),"Inicio posterior a fecha límite"&amp;" · ","")&amp;IF(AND($V113="Macro",$H113&lt;&gt;"",OR(NOT(ISNUMBER($H113)),$H113&lt;0,$H113&gt;1)),"Peso fuera de rango"&amp;" · ","")&amp;IF(AND($V113="Sub",$H113&lt;&gt;""),"Las subactividades no llevan peso (valen igual dentro de su macroactividad)"&amp;" · ","")&amp;IF(AND(N($W113)&gt;0,COUNT($I113:$L113)&gt;0),"Con subactividades: deje vacías las semanas (se calculan solas)"&amp;" · ","")&amp;IF((COUNTIF($I113:$L113,"&gt;1")+COUNTIF($I113:$L113,"&lt;0")+COUNTA($I113:$L113)-COUNT($I113:$L113))&gt;0,"Avance fuera de rango 0-100%"&amp;" · ","")&amp;IF(OR(AND($J113&lt;&gt;"",$J113&lt;$I113),AND($K113&lt;&gt;"",$K113&lt;MAX($I113:$J113)),AND($L113&lt;&gt;"",$L113&lt;MAX($I113:$K113))),"Avance semanal decreciente"&amp;" · ","")&amp;IF(AND(ISNUMBER($AN113),$AN113&lt;FechaRef,IF($V113="Sub",N($X113),N($M113))&lt;1),"Vencida"&amp;" · ","")&amp;IF(AND(ObsObligatoria="Sí",ISNUMBER($AN113),$AN113&lt;FechaRef,IF($V113="Sub",N($X113),N($M113))&lt;1,$Q113=""),"Vencida sin observación"&amp;" · ",""))-3)))</f>
        <v/>
      </c>
      <c r="S113" s="64">
        <f>IF(NOT((COUNTA($B113:$D113)+COUNTA($G113:$L113)+COUNTA($Q113))&gt;0),"",IF(AND($V113="Sub",N($U113)&gt;0),IF(ISNUMBER(INDEX($AM$5:$AM$1000,$U113-4)),DATE(YEAR(INDEX($AM$5:$AM$1000,$U113-4)),MONTH(INDEX($AM$5:$AM$1000,$U113-4)),1),IF(ISNUMBER(INDEX($AN$5:$AN$1000,$U113-4)),DATE(YEAR(INDEX($AN$5:$AN$1000,$U113-4)),MONTH(INDEX($AN$5:$AN$1000,$U113-4)),1),MesCiclo)),IF(ISNUMBER($AM113),DATE(YEAR($AM113),MONTH($AM113),1),IF(ISNUMBER($AN113),DATE(YEAR($AN113),MONTH($AN113),1),MesCiclo))))</f>
        <v/>
      </c>
      <c r="T113" s="62">
        <f>IF(OR($S113="",$S113&lt;&gt;MesCiclo,$V113&lt;&gt;"Macro"),"",COUNTIFS($S$5:$S113,MesCiclo,$V$5:$V113,"Macro"))</f>
        <v/>
      </c>
      <c r="U113" s="62">
        <f>IF($V113="","",IF($V113="Macro",ROW(),IFERROR(LOOKUP(2,1/($V$5:$V113="Macro"),ROW($V$5:$V113)),0)))</f>
        <v/>
      </c>
      <c r="V113" s="62">
        <f>IF(NOT((COUNTA($B113:$D113)+COUNTA($G113:$L113)+COUNTA($Q113))&gt;0),"",IF($B113="Subactividad","Sub","Macro"))</f>
        <v/>
      </c>
      <c r="W113" s="62">
        <f>IF($V113="Macro",COUNTIFS($U$5:$U$1000,ROW(),$V$5:$V$1000,"Sub"),"")</f>
        <v/>
      </c>
      <c r="X113" s="62">
        <f>IF($V113="","",IF(ISNUMBER($G113),1,IFERROR(LOOKUP(2,1/($I113:$L113&lt;&gt;""),$I113:$L113),0)))</f>
        <v/>
      </c>
      <c r="Y113" s="62">
        <f>IF($V113="","",IF(AND(ISNUMBER($G113),$G113&lt;=IF($S113=MesCiclo,InicioCiclo,$S113+MOD(2-WEEKDAY($S113),7))+6),1,IF(ISNUMBER($I113),$I113,0)))</f>
        <v/>
      </c>
      <c r="Z113" s="62">
        <f>IF($V113="","",IF(AND(ISNUMBER($G113),$G113&lt;=IF($S113=MesCiclo,InicioCiclo,$S113+MOD(2-WEEKDAY($S113),7))+13),1,IF(ISNUMBER($J113),$J113,$Y113)))</f>
        <v/>
      </c>
      <c r="AA113" s="62">
        <f>IF($V113="","",IF(AND(ISNUMBER($G113),$G113&lt;=IF($S113=MesCiclo,InicioCiclo,$S113+MOD(2-WEEKDAY($S113),7))+20),1,IF(ISNUMBER($K113),$K113,$Z113)))</f>
        <v/>
      </c>
      <c r="AB113" s="62">
        <f>IF($V113="","",IF(AND(ISNUMBER($G113),$G113&lt;=IF($S113=MesCiclo,InicioCiclo,$S113+MOD(2-WEEKDAY($S113),7))+27),1,IF(ISNUMBER($L113),$L113,$AA113)))</f>
        <v/>
      </c>
      <c r="AC113" s="62">
        <f>IF($V113="","",IF(AND(ISNUMBER($G113),$G113&lt;=IF($S113=MesCiclo,InicioCiclo,$S113+MOD(2-WEEKDAY($S113),7))+6),1,IF(N($W113)&gt;0,AVERAGEIFS($Y$5:$Y$1000,$U$5:$U$1000,ROW(),$V$5:$V$1000,"Sub"),$Y113)))</f>
        <v/>
      </c>
      <c r="AD113" s="62">
        <f>IF($V113="","",IF(AND(ISNUMBER($G113),$G113&lt;=IF($S113=MesCiclo,InicioCiclo,$S113+MOD(2-WEEKDAY($S113),7))+13),1,IF(N($W113)&gt;0,AVERAGEIFS($Z$5:$Z$1000,$U$5:$U$1000,ROW(),$V$5:$V$1000,"Sub"),$Z113)))</f>
        <v/>
      </c>
      <c r="AE113" s="62">
        <f>IF($V113="","",IF(AND(ISNUMBER($G113),$G113&lt;=IF($S113=MesCiclo,InicioCiclo,$S113+MOD(2-WEEKDAY($S113),7))+20),1,IF(N($W113)&gt;0,AVERAGEIFS($AA$5:$AA$1000,$U$5:$U$1000,ROW(),$V$5:$V$1000,"Sub"),$AA113)))</f>
        <v/>
      </c>
      <c r="AF113" s="62">
        <f>IF($V113="","",IF(AND(ISNUMBER($G113),$G113&lt;=IF($S113=MesCiclo,InicioCiclo,$S113+MOD(2-WEEKDAY($S113),7))+27),1,IF(N($W113)&gt;0,AVERAGEIFS($AB$5:$AB$1000,$U$5:$U$1000,ROW(),$V$5:$V$1000,"Sub"),$AB113)))</f>
        <v/>
      </c>
      <c r="AG113" s="62">
        <f>IF($V113&lt;&gt;"Macro","",IF(COUNTIFS($S$5:$S$1000,$S113,$V$5:$V$1000,"Macro",$H$5:$H$1000,"&gt;0")=0,1/COUNTIFS($S$5:$S$1000,$S113,$V$5:$V$1000,"Macro"),IF(AND(ISNUMBER($H113),N($H113)&gt;0),$H113,SUMIFS($H$5:$H$1000,$S$5:$S$1000,$S113,$V$5:$V$1000,"Macro")/COUNTIFS($S$5:$S$1000,$S113,$V$5:$V$1000,"Macro",$H$5:$H$1000,"&gt;0"))/(COUNTIFS($S$5:$S$1000,$S113,$V$5:$V$1000,"Macro")*SUMIFS($H$5:$H$1000,$S$5:$S$1000,$S113,$V$5:$V$1000,"Macro")/COUNTIFS($S$5:$S$1000,$S113,$V$5:$V$1000,"Macro",$H$5:$H$1000,"&gt;0"))))</f>
        <v/>
      </c>
      <c r="AH113" s="62">
        <f>IF(NOT(AND($D113&lt;&gt;"",$V113="Macro")),"",IFERROR(CHOOSE(MATCH($D113,ListaPuestos,0),MATCH("[Jefatura] "&amp;$C113,'Cronograma R. Operacional'!$C$5:$C$1000,0),MATCH("[Jefatura] "&amp;$C113,'Cronograma R. Normativo'!$C$5:$C$1000,0),MATCH("[Jefatura] "&amp;$C113,'Cronograma R. Financiero'!$C$5:$C$1000,0),MATCH("[Jefatura] "&amp;$C113,'Cronograma Asistente Técnico'!$C$5:$C$1000,0)),0))</f>
        <v/>
      </c>
      <c r="AI113" s="62">
        <f>IF(AND(AND($D113&lt;&gt;"",$V113="Macro"),$S113=MesCiclo),COUNTIFS($D$5:$D113,$D113,$S$5:$S113,MesCiclo,$V$5:$V113,"Macro"),"")</f>
        <v/>
      </c>
      <c r="AJ113" s="62">
        <f>IF($AI113="","",$D113&amp;"|"&amp;$AI113)</f>
        <v/>
      </c>
      <c r="AK113" s="62">
        <f>IF(AND($D113&lt;&gt;"",$V113="Macro"),$D113&amp;"|"&amp;$C113,"")</f>
        <v/>
      </c>
      <c r="AL113" s="62">
        <f>""</f>
        <v/>
      </c>
      <c r="AM113" s="62">
        <f>IF(N($AL113)&gt;0,INDEX(rIni_ADM,$AL113),IF(ISNUMBER($E113),$E113,""))</f>
        <v/>
      </c>
      <c r="AN113" s="62">
        <f>IF(N($AL113)&gt;0,INDEX(rLim_ADM,$AL113),IF(ISNUMBER($F113),$F113,""))</f>
        <v/>
      </c>
    </row>
    <row r="114">
      <c r="A114" s="56">
        <f>IF(NOT((COUNTA($B114:$D114)+COUNTA($G114:$L114)+COUNTA($Q114))&gt;0),"",IF($V114="Macro",COUNTIFS($V$5:$V114,"Macro",$S$5:$S114,$S114),IF(N($U114)=0,"?",COUNTIFS(INDEX($V$5:$V$1000,1):INDEX($V$5:$V$1000,$U114-4),"Macro",INDEX($S$5:$S$1000,1):INDEX($S$5:$S$1000,$U114-4),INDEX($S$5:$S$1000,$U114-4))&amp;"."&amp;COUNTIFS($U$5:$U114,$U114,$V$5:$V114,"Sub"))))</f>
        <v/>
      </c>
      <c r="B114" s="57" t="n"/>
      <c r="C114" s="58" t="n"/>
      <c r="D114" s="58" t="n"/>
      <c r="E114" s="59" t="n"/>
      <c r="F114" s="59" t="n"/>
      <c r="G114" s="59" t="n"/>
      <c r="H114" s="60" t="n"/>
      <c r="I114" s="60" t="n"/>
      <c r="J114" s="60" t="n"/>
      <c r="K114" s="60" t="n"/>
      <c r="L114" s="60" t="n"/>
      <c r="M114" s="61">
        <f>IF(NOT((COUNTA($B114:$D114)+COUNTA($G114:$L114)+COUNTA($Q114))&gt;0),"",IF(AND($D114&lt;&gt;"",$V114="Macro"),IF(N($AH114)&gt;0,N(CHOOSE(MATCH($D114,ListaPuestos,0),INDEX('Cronograma R. Operacional'!$M$5:$M$1000,$AH114),INDEX('Cronograma R. Normativo'!$M$5:$M$1000,$AH114),INDEX('Cronograma R. Financiero'!$M$5:$M$1000,$AH114),INDEX('Cronograma Asistente Técnico'!$M$5:$M$1000,$AH114))),0),IF(ISNUMBER($G114),1,IF(N($W114)&gt;0,AVERAGEIFS($X$5:$X$1000,$U$5:$U$1000,ROW(),$V$5:$V$1000,"Sub"),$X114))))</f>
        <v/>
      </c>
      <c r="N114" s="56">
        <f>IF(OR($M114="",$V114="Sub"),"",IF($M114&gt;=1,"Completado",IF($M114&gt;0,"En curso","Pendiente")))</f>
        <v/>
      </c>
      <c r="O114" s="56">
        <f>IF(NOT((COUNTA($B114:$D114)+COUNTA($G114:$L114)+COUNTA($Q114))&gt;0),"",IF(AND(AND($D114&lt;&gt;"",$V114="Macro"),N($AH114)&gt;0),CHOOSE(MATCH($D114,ListaPuestos,0),INDEX('Cronograma R. Operacional'!$O$5:$O$1000,$AH114),INDEX('Cronograma R. Normativo'!$O$5:$O$1000,$AH114),INDEX('Cronograma R. Financiero'!$O$5:$O$1000,$AH114),INDEX('Cronograma Asistente Técnico'!$O$5:$O$1000,$AH114))&amp;"",IF(ISNUMBER($G114),IF(AND(ISNUMBER($AN114),$G114&gt;$AN114),"Cumplida con "&amp;($G114-$AN114)&amp;IF($G114-$AN114=1," día"," días")&amp;" de retraso","Cumplida"),IF(N($M114)&gt;=1,"Cumplida",IF(NOT(ISNUMBER($AN114)),"Sin fecha límite",IF($AN114&lt;FechaRef,"Vencida hace "&amp;(FechaRef-$AN114)&amp;IF(FechaRef-$AN114=1," día"," días"),IF($AN114=FechaRef,"Vence hoy",IF($AN114-FechaRef&lt;=DiasAlerta,"Vence en "&amp;($AN114-FechaRef)&amp;IF($AN114-FechaRef=1," día"," días"),"En plazo"))))))))</f>
        <v/>
      </c>
      <c r="P114" s="62">
        <f>IF(NOT((COUNTA($B114:$D114)+COUNTA($G114:$L114)+COUNTA($Q114))&gt;0),"",IF($D114="","Propia",IF($V114&lt;&gt;"Macro","Solo se delegan macroactividades",IF(N($AH114)&gt;0,"✔ Recibida por "&amp;$D114,"⚠ "&amp;$D114&amp;" aún no la agrega"))))</f>
        <v/>
      </c>
      <c r="Q114" s="58" t="n"/>
      <c r="R114" s="63">
        <f>IF(NOT((COUNTA($B114:$D114)+COUNTA($G114:$L114)+COUNTA($Q114))&gt;0),"",IF((IF($C114="","Falta el nombre de la actividad"&amp;" · ","")&amp;IF(AND($V114="Sub",N($U114)=0),"Subactividad sin macroactividad arriba"&amp;" · ","")&amp;IF($AM114="","Sin fecha de inicio"&amp;" · ","")&amp;IF($AN114="","Sin fecha límite"&amp;" · ","")&amp;IF(AND(LEFT($C114,11)="[Jefatura] ",N($AL114)=0),"No se encuentra en la hoja de la jefatura (elíjala de nuevo en la lista)"&amp;" · ","")&amp;IF(OR(AND($E114&lt;&gt;"",NOT(ISNUMBER($E114))),AND($F114&lt;&gt;"",NOT(ISNUMBER($F114))),AND($G114&lt;&gt;"",NOT(ISNUMBER($G114)))),"Fecha no válida"&amp;" · ","")&amp;IF(AND(ISNUMBER($AM114),ISNUMBER($AN114),$AM114&gt;$AN114),"Inicio posterior a fecha límite"&amp;" · ","")&amp;IF(AND($V114="Macro",$H114&lt;&gt;"",OR(NOT(ISNUMBER($H114)),$H114&lt;0,$H114&gt;1)),"Peso fuera de rango"&amp;" · ","")&amp;IF(AND($V114="Sub",$H114&lt;&gt;""),"Las subactividades no llevan peso (valen igual dentro de su macroactividad)"&amp;" · ","")&amp;IF(AND(N($W114)&gt;0,COUNT($I114:$L114)&gt;0),"Con subactividades: deje vacías las semanas (se calculan solas)"&amp;" · ","")&amp;IF((COUNTIF($I114:$L114,"&gt;1")+COUNTIF($I114:$L114,"&lt;0")+COUNTA($I114:$L114)-COUNT($I114:$L114))&gt;0,"Avance fuera de rango 0-100%"&amp;" · ","")&amp;IF(OR(AND($J114&lt;&gt;"",$J114&lt;$I114),AND($K114&lt;&gt;"",$K114&lt;MAX($I114:$J114)),AND($L114&lt;&gt;"",$L114&lt;MAX($I114:$K114))),"Avance semanal decreciente"&amp;" · ","")&amp;IF(AND(ISNUMBER($AN114),$AN114&lt;FechaRef,IF($V114="Sub",N($X114),N($M114))&lt;1),"Vencida"&amp;" · ","")&amp;IF(AND(ObsObligatoria="Sí",ISNUMBER($AN114),$AN114&lt;FechaRef,IF($V114="Sub",N($X114),N($M114))&lt;1,$Q114=""),"Vencida sin observación"&amp;" · ",""))="","✔ OK","⚠ "&amp;LEFT(IF($C114="","Falta el nombre de la actividad"&amp;" · ","")&amp;IF(AND($V114="Sub",N($U114)=0),"Subactividad sin macroactividad arriba"&amp;" · ","")&amp;IF($AM114="","Sin fecha de inicio"&amp;" · ","")&amp;IF($AN114="","Sin fecha límite"&amp;" · ","")&amp;IF(AND(LEFT($C114,11)="[Jefatura] ",N($AL114)=0),"No se encuentra en la hoja de la jefatura (elíjala de nuevo en la lista)"&amp;" · ","")&amp;IF(OR(AND($E114&lt;&gt;"",NOT(ISNUMBER($E114))),AND($F114&lt;&gt;"",NOT(ISNUMBER($F114))),AND($G114&lt;&gt;"",NOT(ISNUMBER($G114)))),"Fecha no válida"&amp;" · ","")&amp;IF(AND(ISNUMBER($AM114),ISNUMBER($AN114),$AM114&gt;$AN114),"Inicio posterior a fecha límite"&amp;" · ","")&amp;IF(AND($V114="Macro",$H114&lt;&gt;"",OR(NOT(ISNUMBER($H114)),$H114&lt;0,$H114&gt;1)),"Peso fuera de rango"&amp;" · ","")&amp;IF(AND($V114="Sub",$H114&lt;&gt;""),"Las subactividades no llevan peso (valen igual dentro de su macroactividad)"&amp;" · ","")&amp;IF(AND(N($W114)&gt;0,COUNT($I114:$L114)&gt;0),"Con subactividades: deje vacías las semanas (se calculan solas)"&amp;" · ","")&amp;IF((COUNTIF($I114:$L114,"&gt;1")+COUNTIF($I114:$L114,"&lt;0")+COUNTA($I114:$L114)-COUNT($I114:$L114))&gt;0,"Avance fuera de rango 0-100%"&amp;" · ","")&amp;IF(OR(AND($J114&lt;&gt;"",$J114&lt;$I114),AND($K114&lt;&gt;"",$K114&lt;MAX($I114:$J114)),AND($L114&lt;&gt;"",$L114&lt;MAX($I114:$K114))),"Avance semanal decreciente"&amp;" · ","")&amp;IF(AND(ISNUMBER($AN114),$AN114&lt;FechaRef,IF($V114="Sub",N($X114),N($M114))&lt;1),"Vencida"&amp;" · ","")&amp;IF(AND(ObsObligatoria="Sí",ISNUMBER($AN114),$AN114&lt;FechaRef,IF($V114="Sub",N($X114),N($M114))&lt;1,$Q114=""),"Vencida sin observación"&amp;" · ",""),LEN(IF($C114="","Falta el nombre de la actividad"&amp;" · ","")&amp;IF(AND($V114="Sub",N($U114)=0),"Subactividad sin macroactividad arriba"&amp;" · ","")&amp;IF($AM114="","Sin fecha de inicio"&amp;" · ","")&amp;IF($AN114="","Sin fecha límite"&amp;" · ","")&amp;IF(AND(LEFT($C114,11)="[Jefatura] ",N($AL114)=0),"No se encuentra en la hoja de la jefatura (elíjala de nuevo en la lista)"&amp;" · ","")&amp;IF(OR(AND($E114&lt;&gt;"",NOT(ISNUMBER($E114))),AND($F114&lt;&gt;"",NOT(ISNUMBER($F114))),AND($G114&lt;&gt;"",NOT(ISNUMBER($G114)))),"Fecha no válida"&amp;" · ","")&amp;IF(AND(ISNUMBER($AM114),ISNUMBER($AN114),$AM114&gt;$AN114),"Inicio posterior a fecha límite"&amp;" · ","")&amp;IF(AND($V114="Macro",$H114&lt;&gt;"",OR(NOT(ISNUMBER($H114)),$H114&lt;0,$H114&gt;1)),"Peso fuera de rango"&amp;" · ","")&amp;IF(AND($V114="Sub",$H114&lt;&gt;""),"Las subactividades no llevan peso (valen igual dentro de su macroactividad)"&amp;" · ","")&amp;IF(AND(N($W114)&gt;0,COUNT($I114:$L114)&gt;0),"Con subactividades: deje vacías las semanas (se calculan solas)"&amp;" · ","")&amp;IF((COUNTIF($I114:$L114,"&gt;1")+COUNTIF($I114:$L114,"&lt;0")+COUNTA($I114:$L114)-COUNT($I114:$L114))&gt;0,"Avance fuera de rango 0-100%"&amp;" · ","")&amp;IF(OR(AND($J114&lt;&gt;"",$J114&lt;$I114),AND($K114&lt;&gt;"",$K114&lt;MAX($I114:$J114)),AND($L114&lt;&gt;"",$L114&lt;MAX($I114:$K114))),"Avance semanal decreciente"&amp;" · ","")&amp;IF(AND(ISNUMBER($AN114),$AN114&lt;FechaRef,IF($V114="Sub",N($X114),N($M114))&lt;1),"Vencida"&amp;" · ","")&amp;IF(AND(ObsObligatoria="Sí",ISNUMBER($AN114),$AN114&lt;FechaRef,IF($V114="Sub",N($X114),N($M114))&lt;1,$Q114=""),"Vencida sin observación"&amp;" · ",""))-3)))</f>
        <v/>
      </c>
      <c r="S114" s="64">
        <f>IF(NOT((COUNTA($B114:$D114)+COUNTA($G114:$L114)+COUNTA($Q114))&gt;0),"",IF(AND($V114="Sub",N($U114)&gt;0),IF(ISNUMBER(INDEX($AM$5:$AM$1000,$U114-4)),DATE(YEAR(INDEX($AM$5:$AM$1000,$U114-4)),MONTH(INDEX($AM$5:$AM$1000,$U114-4)),1),IF(ISNUMBER(INDEX($AN$5:$AN$1000,$U114-4)),DATE(YEAR(INDEX($AN$5:$AN$1000,$U114-4)),MONTH(INDEX($AN$5:$AN$1000,$U114-4)),1),MesCiclo)),IF(ISNUMBER($AM114),DATE(YEAR($AM114),MONTH($AM114),1),IF(ISNUMBER($AN114),DATE(YEAR($AN114),MONTH($AN114),1),MesCiclo))))</f>
        <v/>
      </c>
      <c r="T114" s="62">
        <f>IF(OR($S114="",$S114&lt;&gt;MesCiclo,$V114&lt;&gt;"Macro"),"",COUNTIFS($S$5:$S114,MesCiclo,$V$5:$V114,"Macro"))</f>
        <v/>
      </c>
      <c r="U114" s="62">
        <f>IF($V114="","",IF($V114="Macro",ROW(),IFERROR(LOOKUP(2,1/($V$5:$V114="Macro"),ROW($V$5:$V114)),0)))</f>
        <v/>
      </c>
      <c r="V114" s="62">
        <f>IF(NOT((COUNTA($B114:$D114)+COUNTA($G114:$L114)+COUNTA($Q114))&gt;0),"",IF($B114="Subactividad","Sub","Macro"))</f>
        <v/>
      </c>
      <c r="W114" s="62">
        <f>IF($V114="Macro",COUNTIFS($U$5:$U$1000,ROW(),$V$5:$V$1000,"Sub"),"")</f>
        <v/>
      </c>
      <c r="X114" s="62">
        <f>IF($V114="","",IF(ISNUMBER($G114),1,IFERROR(LOOKUP(2,1/($I114:$L114&lt;&gt;""),$I114:$L114),0)))</f>
        <v/>
      </c>
      <c r="Y114" s="62">
        <f>IF($V114="","",IF(AND(ISNUMBER($G114),$G114&lt;=IF($S114=MesCiclo,InicioCiclo,$S114+MOD(2-WEEKDAY($S114),7))+6),1,IF(ISNUMBER($I114),$I114,0)))</f>
        <v/>
      </c>
      <c r="Z114" s="62">
        <f>IF($V114="","",IF(AND(ISNUMBER($G114),$G114&lt;=IF($S114=MesCiclo,InicioCiclo,$S114+MOD(2-WEEKDAY($S114),7))+13),1,IF(ISNUMBER($J114),$J114,$Y114)))</f>
        <v/>
      </c>
      <c r="AA114" s="62">
        <f>IF($V114="","",IF(AND(ISNUMBER($G114),$G114&lt;=IF($S114=MesCiclo,InicioCiclo,$S114+MOD(2-WEEKDAY($S114),7))+20),1,IF(ISNUMBER($K114),$K114,$Z114)))</f>
        <v/>
      </c>
      <c r="AB114" s="62">
        <f>IF($V114="","",IF(AND(ISNUMBER($G114),$G114&lt;=IF($S114=MesCiclo,InicioCiclo,$S114+MOD(2-WEEKDAY($S114),7))+27),1,IF(ISNUMBER($L114),$L114,$AA114)))</f>
        <v/>
      </c>
      <c r="AC114" s="62">
        <f>IF($V114="","",IF(AND(ISNUMBER($G114),$G114&lt;=IF($S114=MesCiclo,InicioCiclo,$S114+MOD(2-WEEKDAY($S114),7))+6),1,IF(N($W114)&gt;0,AVERAGEIFS($Y$5:$Y$1000,$U$5:$U$1000,ROW(),$V$5:$V$1000,"Sub"),$Y114)))</f>
        <v/>
      </c>
      <c r="AD114" s="62">
        <f>IF($V114="","",IF(AND(ISNUMBER($G114),$G114&lt;=IF($S114=MesCiclo,InicioCiclo,$S114+MOD(2-WEEKDAY($S114),7))+13),1,IF(N($W114)&gt;0,AVERAGEIFS($Z$5:$Z$1000,$U$5:$U$1000,ROW(),$V$5:$V$1000,"Sub"),$Z114)))</f>
        <v/>
      </c>
      <c r="AE114" s="62">
        <f>IF($V114="","",IF(AND(ISNUMBER($G114),$G114&lt;=IF($S114=MesCiclo,InicioCiclo,$S114+MOD(2-WEEKDAY($S114),7))+20),1,IF(N($W114)&gt;0,AVERAGEIFS($AA$5:$AA$1000,$U$5:$U$1000,ROW(),$V$5:$V$1000,"Sub"),$AA114)))</f>
        <v/>
      </c>
      <c r="AF114" s="62">
        <f>IF($V114="","",IF(AND(ISNUMBER($G114),$G114&lt;=IF($S114=MesCiclo,InicioCiclo,$S114+MOD(2-WEEKDAY($S114),7))+27),1,IF(N($W114)&gt;0,AVERAGEIFS($AB$5:$AB$1000,$U$5:$U$1000,ROW(),$V$5:$V$1000,"Sub"),$AB114)))</f>
        <v/>
      </c>
      <c r="AG114" s="62">
        <f>IF($V114&lt;&gt;"Macro","",IF(COUNTIFS($S$5:$S$1000,$S114,$V$5:$V$1000,"Macro",$H$5:$H$1000,"&gt;0")=0,1/COUNTIFS($S$5:$S$1000,$S114,$V$5:$V$1000,"Macro"),IF(AND(ISNUMBER($H114),N($H114)&gt;0),$H114,SUMIFS($H$5:$H$1000,$S$5:$S$1000,$S114,$V$5:$V$1000,"Macro")/COUNTIFS($S$5:$S$1000,$S114,$V$5:$V$1000,"Macro",$H$5:$H$1000,"&gt;0"))/(COUNTIFS($S$5:$S$1000,$S114,$V$5:$V$1000,"Macro")*SUMIFS($H$5:$H$1000,$S$5:$S$1000,$S114,$V$5:$V$1000,"Macro")/COUNTIFS($S$5:$S$1000,$S114,$V$5:$V$1000,"Macro",$H$5:$H$1000,"&gt;0"))))</f>
        <v/>
      </c>
      <c r="AH114" s="62">
        <f>IF(NOT(AND($D114&lt;&gt;"",$V114="Macro")),"",IFERROR(CHOOSE(MATCH($D114,ListaPuestos,0),MATCH("[Jefatura] "&amp;$C114,'Cronograma R. Operacional'!$C$5:$C$1000,0),MATCH("[Jefatura] "&amp;$C114,'Cronograma R. Normativo'!$C$5:$C$1000,0),MATCH("[Jefatura] "&amp;$C114,'Cronograma R. Financiero'!$C$5:$C$1000,0),MATCH("[Jefatura] "&amp;$C114,'Cronograma Asistente Técnico'!$C$5:$C$1000,0)),0))</f>
        <v/>
      </c>
      <c r="AI114" s="62">
        <f>IF(AND(AND($D114&lt;&gt;"",$V114="Macro"),$S114=MesCiclo),COUNTIFS($D$5:$D114,$D114,$S$5:$S114,MesCiclo,$V$5:$V114,"Macro"),"")</f>
        <v/>
      </c>
      <c r="AJ114" s="62">
        <f>IF($AI114="","",$D114&amp;"|"&amp;$AI114)</f>
        <v/>
      </c>
      <c r="AK114" s="62">
        <f>IF(AND($D114&lt;&gt;"",$V114="Macro"),$D114&amp;"|"&amp;$C114,"")</f>
        <v/>
      </c>
      <c r="AL114" s="62">
        <f>""</f>
        <v/>
      </c>
      <c r="AM114" s="62">
        <f>IF(N($AL114)&gt;0,INDEX(rIni_ADM,$AL114),IF(ISNUMBER($E114),$E114,""))</f>
        <v/>
      </c>
      <c r="AN114" s="62">
        <f>IF(N($AL114)&gt;0,INDEX(rLim_ADM,$AL114),IF(ISNUMBER($F114),$F114,""))</f>
        <v/>
      </c>
    </row>
    <row r="115">
      <c r="A115" s="56">
        <f>IF(NOT((COUNTA($B115:$D115)+COUNTA($G115:$L115)+COUNTA($Q115))&gt;0),"",IF($V115="Macro",COUNTIFS($V$5:$V115,"Macro",$S$5:$S115,$S115),IF(N($U115)=0,"?",COUNTIFS(INDEX($V$5:$V$1000,1):INDEX($V$5:$V$1000,$U115-4),"Macro",INDEX($S$5:$S$1000,1):INDEX($S$5:$S$1000,$U115-4),INDEX($S$5:$S$1000,$U115-4))&amp;"."&amp;COUNTIFS($U$5:$U115,$U115,$V$5:$V115,"Sub"))))</f>
        <v/>
      </c>
      <c r="B115" s="57" t="n"/>
      <c r="C115" s="58" t="n"/>
      <c r="D115" s="58" t="n"/>
      <c r="E115" s="59" t="n"/>
      <c r="F115" s="59" t="n"/>
      <c r="G115" s="59" t="n"/>
      <c r="H115" s="60" t="n"/>
      <c r="I115" s="60" t="n"/>
      <c r="J115" s="60" t="n"/>
      <c r="K115" s="60" t="n"/>
      <c r="L115" s="60" t="n"/>
      <c r="M115" s="61">
        <f>IF(NOT((COUNTA($B115:$D115)+COUNTA($G115:$L115)+COUNTA($Q115))&gt;0),"",IF(AND($D115&lt;&gt;"",$V115="Macro"),IF(N($AH115)&gt;0,N(CHOOSE(MATCH($D115,ListaPuestos,0),INDEX('Cronograma R. Operacional'!$M$5:$M$1000,$AH115),INDEX('Cronograma R. Normativo'!$M$5:$M$1000,$AH115),INDEX('Cronograma R. Financiero'!$M$5:$M$1000,$AH115),INDEX('Cronograma Asistente Técnico'!$M$5:$M$1000,$AH115))),0),IF(ISNUMBER($G115),1,IF(N($W115)&gt;0,AVERAGEIFS($X$5:$X$1000,$U$5:$U$1000,ROW(),$V$5:$V$1000,"Sub"),$X115))))</f>
        <v/>
      </c>
      <c r="N115" s="56">
        <f>IF(OR($M115="",$V115="Sub"),"",IF($M115&gt;=1,"Completado",IF($M115&gt;0,"En curso","Pendiente")))</f>
        <v/>
      </c>
      <c r="O115" s="56">
        <f>IF(NOT((COUNTA($B115:$D115)+COUNTA($G115:$L115)+COUNTA($Q115))&gt;0),"",IF(AND(AND($D115&lt;&gt;"",$V115="Macro"),N($AH115)&gt;0),CHOOSE(MATCH($D115,ListaPuestos,0),INDEX('Cronograma R. Operacional'!$O$5:$O$1000,$AH115),INDEX('Cronograma R. Normativo'!$O$5:$O$1000,$AH115),INDEX('Cronograma R. Financiero'!$O$5:$O$1000,$AH115),INDEX('Cronograma Asistente Técnico'!$O$5:$O$1000,$AH115))&amp;"",IF(ISNUMBER($G115),IF(AND(ISNUMBER($AN115),$G115&gt;$AN115),"Cumplida con "&amp;($G115-$AN115)&amp;IF($G115-$AN115=1," día"," días")&amp;" de retraso","Cumplida"),IF(N($M115)&gt;=1,"Cumplida",IF(NOT(ISNUMBER($AN115)),"Sin fecha límite",IF($AN115&lt;FechaRef,"Vencida hace "&amp;(FechaRef-$AN115)&amp;IF(FechaRef-$AN115=1," día"," días"),IF($AN115=FechaRef,"Vence hoy",IF($AN115-FechaRef&lt;=DiasAlerta,"Vence en "&amp;($AN115-FechaRef)&amp;IF($AN115-FechaRef=1," día"," días"),"En plazo"))))))))</f>
        <v/>
      </c>
      <c r="P115" s="62">
        <f>IF(NOT((COUNTA($B115:$D115)+COUNTA($G115:$L115)+COUNTA($Q115))&gt;0),"",IF($D115="","Propia",IF($V115&lt;&gt;"Macro","Solo se delegan macroactividades",IF(N($AH115)&gt;0,"✔ Recibida por "&amp;$D115,"⚠ "&amp;$D115&amp;" aún no la agrega"))))</f>
        <v/>
      </c>
      <c r="Q115" s="58" t="n"/>
      <c r="R115" s="63">
        <f>IF(NOT((COUNTA($B115:$D115)+COUNTA($G115:$L115)+COUNTA($Q115))&gt;0),"",IF((IF($C115="","Falta el nombre de la actividad"&amp;" · ","")&amp;IF(AND($V115="Sub",N($U115)=0),"Subactividad sin macroactividad arriba"&amp;" · ","")&amp;IF($AM115="","Sin fecha de inicio"&amp;" · ","")&amp;IF($AN115="","Sin fecha límite"&amp;" · ","")&amp;IF(AND(LEFT($C115,11)="[Jefatura] ",N($AL115)=0),"No se encuentra en la hoja de la jefatura (elíjala de nuevo en la lista)"&amp;" · ","")&amp;IF(OR(AND($E115&lt;&gt;"",NOT(ISNUMBER($E115))),AND($F115&lt;&gt;"",NOT(ISNUMBER($F115))),AND($G115&lt;&gt;"",NOT(ISNUMBER($G115)))),"Fecha no válida"&amp;" · ","")&amp;IF(AND(ISNUMBER($AM115),ISNUMBER($AN115),$AM115&gt;$AN115),"Inicio posterior a fecha límite"&amp;" · ","")&amp;IF(AND($V115="Macro",$H115&lt;&gt;"",OR(NOT(ISNUMBER($H115)),$H115&lt;0,$H115&gt;1)),"Peso fuera de rango"&amp;" · ","")&amp;IF(AND($V115="Sub",$H115&lt;&gt;""),"Las subactividades no llevan peso (valen igual dentro de su macroactividad)"&amp;" · ","")&amp;IF(AND(N($W115)&gt;0,COUNT($I115:$L115)&gt;0),"Con subactividades: deje vacías las semanas (se calculan solas)"&amp;" · ","")&amp;IF((COUNTIF($I115:$L115,"&gt;1")+COUNTIF($I115:$L115,"&lt;0")+COUNTA($I115:$L115)-COUNT($I115:$L115))&gt;0,"Avance fuera de rango 0-100%"&amp;" · ","")&amp;IF(OR(AND($J115&lt;&gt;"",$J115&lt;$I115),AND($K115&lt;&gt;"",$K115&lt;MAX($I115:$J115)),AND($L115&lt;&gt;"",$L115&lt;MAX($I115:$K115))),"Avance semanal decreciente"&amp;" · ","")&amp;IF(AND(ISNUMBER($AN115),$AN115&lt;FechaRef,IF($V115="Sub",N($X115),N($M115))&lt;1),"Vencida"&amp;" · ","")&amp;IF(AND(ObsObligatoria="Sí",ISNUMBER($AN115),$AN115&lt;FechaRef,IF($V115="Sub",N($X115),N($M115))&lt;1,$Q115=""),"Vencida sin observación"&amp;" · ",""))="","✔ OK","⚠ "&amp;LEFT(IF($C115="","Falta el nombre de la actividad"&amp;" · ","")&amp;IF(AND($V115="Sub",N($U115)=0),"Subactividad sin macroactividad arriba"&amp;" · ","")&amp;IF($AM115="","Sin fecha de inicio"&amp;" · ","")&amp;IF($AN115="","Sin fecha límite"&amp;" · ","")&amp;IF(AND(LEFT($C115,11)="[Jefatura] ",N($AL115)=0),"No se encuentra en la hoja de la jefatura (elíjala de nuevo en la lista)"&amp;" · ","")&amp;IF(OR(AND($E115&lt;&gt;"",NOT(ISNUMBER($E115))),AND($F115&lt;&gt;"",NOT(ISNUMBER($F115))),AND($G115&lt;&gt;"",NOT(ISNUMBER($G115)))),"Fecha no válida"&amp;" · ","")&amp;IF(AND(ISNUMBER($AM115),ISNUMBER($AN115),$AM115&gt;$AN115),"Inicio posterior a fecha límite"&amp;" · ","")&amp;IF(AND($V115="Macro",$H115&lt;&gt;"",OR(NOT(ISNUMBER($H115)),$H115&lt;0,$H115&gt;1)),"Peso fuera de rango"&amp;" · ","")&amp;IF(AND($V115="Sub",$H115&lt;&gt;""),"Las subactividades no llevan peso (valen igual dentro de su macroactividad)"&amp;" · ","")&amp;IF(AND(N($W115)&gt;0,COUNT($I115:$L115)&gt;0),"Con subactividades: deje vacías las semanas (se calculan solas)"&amp;" · ","")&amp;IF((COUNTIF($I115:$L115,"&gt;1")+COUNTIF($I115:$L115,"&lt;0")+COUNTA($I115:$L115)-COUNT($I115:$L115))&gt;0,"Avance fuera de rango 0-100%"&amp;" · ","")&amp;IF(OR(AND($J115&lt;&gt;"",$J115&lt;$I115),AND($K115&lt;&gt;"",$K115&lt;MAX($I115:$J115)),AND($L115&lt;&gt;"",$L115&lt;MAX($I115:$K115))),"Avance semanal decreciente"&amp;" · ","")&amp;IF(AND(ISNUMBER($AN115),$AN115&lt;FechaRef,IF($V115="Sub",N($X115),N($M115))&lt;1),"Vencida"&amp;" · ","")&amp;IF(AND(ObsObligatoria="Sí",ISNUMBER($AN115),$AN115&lt;FechaRef,IF($V115="Sub",N($X115),N($M115))&lt;1,$Q115=""),"Vencida sin observación"&amp;" · ",""),LEN(IF($C115="","Falta el nombre de la actividad"&amp;" · ","")&amp;IF(AND($V115="Sub",N($U115)=0),"Subactividad sin macroactividad arriba"&amp;" · ","")&amp;IF($AM115="","Sin fecha de inicio"&amp;" · ","")&amp;IF($AN115="","Sin fecha límite"&amp;" · ","")&amp;IF(AND(LEFT($C115,11)="[Jefatura] ",N($AL115)=0),"No se encuentra en la hoja de la jefatura (elíjala de nuevo en la lista)"&amp;" · ","")&amp;IF(OR(AND($E115&lt;&gt;"",NOT(ISNUMBER($E115))),AND($F115&lt;&gt;"",NOT(ISNUMBER($F115))),AND($G115&lt;&gt;"",NOT(ISNUMBER($G115)))),"Fecha no válida"&amp;" · ","")&amp;IF(AND(ISNUMBER($AM115),ISNUMBER($AN115),$AM115&gt;$AN115),"Inicio posterior a fecha límite"&amp;" · ","")&amp;IF(AND($V115="Macro",$H115&lt;&gt;"",OR(NOT(ISNUMBER($H115)),$H115&lt;0,$H115&gt;1)),"Peso fuera de rango"&amp;" · ","")&amp;IF(AND($V115="Sub",$H115&lt;&gt;""),"Las subactividades no llevan peso (valen igual dentro de su macroactividad)"&amp;" · ","")&amp;IF(AND(N($W115)&gt;0,COUNT($I115:$L115)&gt;0),"Con subactividades: deje vacías las semanas (se calculan solas)"&amp;" · ","")&amp;IF((COUNTIF($I115:$L115,"&gt;1")+COUNTIF($I115:$L115,"&lt;0")+COUNTA($I115:$L115)-COUNT($I115:$L115))&gt;0,"Avance fuera de rango 0-100%"&amp;" · ","")&amp;IF(OR(AND($J115&lt;&gt;"",$J115&lt;$I115),AND($K115&lt;&gt;"",$K115&lt;MAX($I115:$J115)),AND($L115&lt;&gt;"",$L115&lt;MAX($I115:$K115))),"Avance semanal decreciente"&amp;" · ","")&amp;IF(AND(ISNUMBER($AN115),$AN115&lt;FechaRef,IF($V115="Sub",N($X115),N($M115))&lt;1),"Vencida"&amp;" · ","")&amp;IF(AND(ObsObligatoria="Sí",ISNUMBER($AN115),$AN115&lt;FechaRef,IF($V115="Sub",N($X115),N($M115))&lt;1,$Q115=""),"Vencida sin observación"&amp;" · ",""))-3)))</f>
        <v/>
      </c>
      <c r="S115" s="64">
        <f>IF(NOT((COUNTA($B115:$D115)+COUNTA($G115:$L115)+COUNTA($Q115))&gt;0),"",IF(AND($V115="Sub",N($U115)&gt;0),IF(ISNUMBER(INDEX($AM$5:$AM$1000,$U115-4)),DATE(YEAR(INDEX($AM$5:$AM$1000,$U115-4)),MONTH(INDEX($AM$5:$AM$1000,$U115-4)),1),IF(ISNUMBER(INDEX($AN$5:$AN$1000,$U115-4)),DATE(YEAR(INDEX($AN$5:$AN$1000,$U115-4)),MONTH(INDEX($AN$5:$AN$1000,$U115-4)),1),MesCiclo)),IF(ISNUMBER($AM115),DATE(YEAR($AM115),MONTH($AM115),1),IF(ISNUMBER($AN115),DATE(YEAR($AN115),MONTH($AN115),1),MesCiclo))))</f>
        <v/>
      </c>
      <c r="T115" s="62">
        <f>IF(OR($S115="",$S115&lt;&gt;MesCiclo,$V115&lt;&gt;"Macro"),"",COUNTIFS($S$5:$S115,MesCiclo,$V$5:$V115,"Macro"))</f>
        <v/>
      </c>
      <c r="U115" s="62">
        <f>IF($V115="","",IF($V115="Macro",ROW(),IFERROR(LOOKUP(2,1/($V$5:$V115="Macro"),ROW($V$5:$V115)),0)))</f>
        <v/>
      </c>
      <c r="V115" s="62">
        <f>IF(NOT((COUNTA($B115:$D115)+COUNTA($G115:$L115)+COUNTA($Q115))&gt;0),"",IF($B115="Subactividad","Sub","Macro"))</f>
        <v/>
      </c>
      <c r="W115" s="62">
        <f>IF($V115="Macro",COUNTIFS($U$5:$U$1000,ROW(),$V$5:$V$1000,"Sub"),"")</f>
        <v/>
      </c>
      <c r="X115" s="62">
        <f>IF($V115="","",IF(ISNUMBER($G115),1,IFERROR(LOOKUP(2,1/($I115:$L115&lt;&gt;""),$I115:$L115),0)))</f>
        <v/>
      </c>
      <c r="Y115" s="62">
        <f>IF($V115="","",IF(AND(ISNUMBER($G115),$G115&lt;=IF($S115=MesCiclo,InicioCiclo,$S115+MOD(2-WEEKDAY($S115),7))+6),1,IF(ISNUMBER($I115),$I115,0)))</f>
        <v/>
      </c>
      <c r="Z115" s="62">
        <f>IF($V115="","",IF(AND(ISNUMBER($G115),$G115&lt;=IF($S115=MesCiclo,InicioCiclo,$S115+MOD(2-WEEKDAY($S115),7))+13),1,IF(ISNUMBER($J115),$J115,$Y115)))</f>
        <v/>
      </c>
      <c r="AA115" s="62">
        <f>IF($V115="","",IF(AND(ISNUMBER($G115),$G115&lt;=IF($S115=MesCiclo,InicioCiclo,$S115+MOD(2-WEEKDAY($S115),7))+20),1,IF(ISNUMBER($K115),$K115,$Z115)))</f>
        <v/>
      </c>
      <c r="AB115" s="62">
        <f>IF($V115="","",IF(AND(ISNUMBER($G115),$G115&lt;=IF($S115=MesCiclo,InicioCiclo,$S115+MOD(2-WEEKDAY($S115),7))+27),1,IF(ISNUMBER($L115),$L115,$AA115)))</f>
        <v/>
      </c>
      <c r="AC115" s="62">
        <f>IF($V115="","",IF(AND(ISNUMBER($G115),$G115&lt;=IF($S115=MesCiclo,InicioCiclo,$S115+MOD(2-WEEKDAY($S115),7))+6),1,IF(N($W115)&gt;0,AVERAGEIFS($Y$5:$Y$1000,$U$5:$U$1000,ROW(),$V$5:$V$1000,"Sub"),$Y115)))</f>
        <v/>
      </c>
      <c r="AD115" s="62">
        <f>IF($V115="","",IF(AND(ISNUMBER($G115),$G115&lt;=IF($S115=MesCiclo,InicioCiclo,$S115+MOD(2-WEEKDAY($S115),7))+13),1,IF(N($W115)&gt;0,AVERAGEIFS($Z$5:$Z$1000,$U$5:$U$1000,ROW(),$V$5:$V$1000,"Sub"),$Z115)))</f>
        <v/>
      </c>
      <c r="AE115" s="62">
        <f>IF($V115="","",IF(AND(ISNUMBER($G115),$G115&lt;=IF($S115=MesCiclo,InicioCiclo,$S115+MOD(2-WEEKDAY($S115),7))+20),1,IF(N($W115)&gt;0,AVERAGEIFS($AA$5:$AA$1000,$U$5:$U$1000,ROW(),$V$5:$V$1000,"Sub"),$AA115)))</f>
        <v/>
      </c>
      <c r="AF115" s="62">
        <f>IF($V115="","",IF(AND(ISNUMBER($G115),$G115&lt;=IF($S115=MesCiclo,InicioCiclo,$S115+MOD(2-WEEKDAY($S115),7))+27),1,IF(N($W115)&gt;0,AVERAGEIFS($AB$5:$AB$1000,$U$5:$U$1000,ROW(),$V$5:$V$1000,"Sub"),$AB115)))</f>
        <v/>
      </c>
      <c r="AG115" s="62">
        <f>IF($V115&lt;&gt;"Macro","",IF(COUNTIFS($S$5:$S$1000,$S115,$V$5:$V$1000,"Macro",$H$5:$H$1000,"&gt;0")=0,1/COUNTIFS($S$5:$S$1000,$S115,$V$5:$V$1000,"Macro"),IF(AND(ISNUMBER($H115),N($H115)&gt;0),$H115,SUMIFS($H$5:$H$1000,$S$5:$S$1000,$S115,$V$5:$V$1000,"Macro")/COUNTIFS($S$5:$S$1000,$S115,$V$5:$V$1000,"Macro",$H$5:$H$1000,"&gt;0"))/(COUNTIFS($S$5:$S$1000,$S115,$V$5:$V$1000,"Macro")*SUMIFS($H$5:$H$1000,$S$5:$S$1000,$S115,$V$5:$V$1000,"Macro")/COUNTIFS($S$5:$S$1000,$S115,$V$5:$V$1000,"Macro",$H$5:$H$1000,"&gt;0"))))</f>
        <v/>
      </c>
      <c r="AH115" s="62">
        <f>IF(NOT(AND($D115&lt;&gt;"",$V115="Macro")),"",IFERROR(CHOOSE(MATCH($D115,ListaPuestos,0),MATCH("[Jefatura] "&amp;$C115,'Cronograma R. Operacional'!$C$5:$C$1000,0),MATCH("[Jefatura] "&amp;$C115,'Cronograma R. Normativo'!$C$5:$C$1000,0),MATCH("[Jefatura] "&amp;$C115,'Cronograma R. Financiero'!$C$5:$C$1000,0),MATCH("[Jefatura] "&amp;$C115,'Cronograma Asistente Técnico'!$C$5:$C$1000,0)),0))</f>
        <v/>
      </c>
      <c r="AI115" s="62">
        <f>IF(AND(AND($D115&lt;&gt;"",$V115="Macro"),$S115=MesCiclo),COUNTIFS($D$5:$D115,$D115,$S$5:$S115,MesCiclo,$V$5:$V115,"Macro"),"")</f>
        <v/>
      </c>
      <c r="AJ115" s="62">
        <f>IF($AI115="","",$D115&amp;"|"&amp;$AI115)</f>
        <v/>
      </c>
      <c r="AK115" s="62">
        <f>IF(AND($D115&lt;&gt;"",$V115="Macro"),$D115&amp;"|"&amp;$C115,"")</f>
        <v/>
      </c>
      <c r="AL115" s="62">
        <f>""</f>
        <v/>
      </c>
      <c r="AM115" s="62">
        <f>IF(N($AL115)&gt;0,INDEX(rIni_ADM,$AL115),IF(ISNUMBER($E115),$E115,""))</f>
        <v/>
      </c>
      <c r="AN115" s="62">
        <f>IF(N($AL115)&gt;0,INDEX(rLim_ADM,$AL115),IF(ISNUMBER($F115),$F115,""))</f>
        <v/>
      </c>
    </row>
    <row r="116">
      <c r="A116" s="56">
        <f>IF(NOT((COUNTA($B116:$D116)+COUNTA($G116:$L116)+COUNTA($Q116))&gt;0),"",IF($V116="Macro",COUNTIFS($V$5:$V116,"Macro",$S$5:$S116,$S116),IF(N($U116)=0,"?",COUNTIFS(INDEX($V$5:$V$1000,1):INDEX($V$5:$V$1000,$U116-4),"Macro",INDEX($S$5:$S$1000,1):INDEX($S$5:$S$1000,$U116-4),INDEX($S$5:$S$1000,$U116-4))&amp;"."&amp;COUNTIFS($U$5:$U116,$U116,$V$5:$V116,"Sub"))))</f>
        <v/>
      </c>
      <c r="B116" s="57" t="n"/>
      <c r="C116" s="58" t="n"/>
      <c r="D116" s="58" t="n"/>
      <c r="E116" s="59" t="n"/>
      <c r="F116" s="59" t="n"/>
      <c r="G116" s="59" t="n"/>
      <c r="H116" s="60" t="n"/>
      <c r="I116" s="60" t="n"/>
      <c r="J116" s="60" t="n"/>
      <c r="K116" s="60" t="n"/>
      <c r="L116" s="60" t="n"/>
      <c r="M116" s="61">
        <f>IF(NOT((COUNTA($B116:$D116)+COUNTA($G116:$L116)+COUNTA($Q116))&gt;0),"",IF(AND($D116&lt;&gt;"",$V116="Macro"),IF(N($AH116)&gt;0,N(CHOOSE(MATCH($D116,ListaPuestos,0),INDEX('Cronograma R. Operacional'!$M$5:$M$1000,$AH116),INDEX('Cronograma R. Normativo'!$M$5:$M$1000,$AH116),INDEX('Cronograma R. Financiero'!$M$5:$M$1000,$AH116),INDEX('Cronograma Asistente Técnico'!$M$5:$M$1000,$AH116))),0),IF(ISNUMBER($G116),1,IF(N($W116)&gt;0,AVERAGEIFS($X$5:$X$1000,$U$5:$U$1000,ROW(),$V$5:$V$1000,"Sub"),$X116))))</f>
        <v/>
      </c>
      <c r="N116" s="56">
        <f>IF(OR($M116="",$V116="Sub"),"",IF($M116&gt;=1,"Completado",IF($M116&gt;0,"En curso","Pendiente")))</f>
        <v/>
      </c>
      <c r="O116" s="56">
        <f>IF(NOT((COUNTA($B116:$D116)+COUNTA($G116:$L116)+COUNTA($Q116))&gt;0),"",IF(AND(AND($D116&lt;&gt;"",$V116="Macro"),N($AH116)&gt;0),CHOOSE(MATCH($D116,ListaPuestos,0),INDEX('Cronograma R. Operacional'!$O$5:$O$1000,$AH116),INDEX('Cronograma R. Normativo'!$O$5:$O$1000,$AH116),INDEX('Cronograma R. Financiero'!$O$5:$O$1000,$AH116),INDEX('Cronograma Asistente Técnico'!$O$5:$O$1000,$AH116))&amp;"",IF(ISNUMBER($G116),IF(AND(ISNUMBER($AN116),$G116&gt;$AN116),"Cumplida con "&amp;($G116-$AN116)&amp;IF($G116-$AN116=1," día"," días")&amp;" de retraso","Cumplida"),IF(N($M116)&gt;=1,"Cumplida",IF(NOT(ISNUMBER($AN116)),"Sin fecha límite",IF($AN116&lt;FechaRef,"Vencida hace "&amp;(FechaRef-$AN116)&amp;IF(FechaRef-$AN116=1," día"," días"),IF($AN116=FechaRef,"Vence hoy",IF($AN116-FechaRef&lt;=DiasAlerta,"Vence en "&amp;($AN116-FechaRef)&amp;IF($AN116-FechaRef=1," día"," días"),"En plazo"))))))))</f>
        <v/>
      </c>
      <c r="P116" s="62">
        <f>IF(NOT((COUNTA($B116:$D116)+COUNTA($G116:$L116)+COUNTA($Q116))&gt;0),"",IF($D116="","Propia",IF($V116&lt;&gt;"Macro","Solo se delegan macroactividades",IF(N($AH116)&gt;0,"✔ Recibida por "&amp;$D116,"⚠ "&amp;$D116&amp;" aún no la agrega"))))</f>
        <v/>
      </c>
      <c r="Q116" s="58" t="n"/>
      <c r="R116" s="63">
        <f>IF(NOT((COUNTA($B116:$D116)+COUNTA($G116:$L116)+COUNTA($Q116))&gt;0),"",IF((IF($C116="","Falta el nombre de la actividad"&amp;" · ","")&amp;IF(AND($V116="Sub",N($U116)=0),"Subactividad sin macroactividad arriba"&amp;" · ","")&amp;IF($AM116="","Sin fecha de inicio"&amp;" · ","")&amp;IF($AN116="","Sin fecha límite"&amp;" · ","")&amp;IF(AND(LEFT($C116,11)="[Jefatura] ",N($AL116)=0),"No se encuentra en la hoja de la jefatura (elíjala de nuevo en la lista)"&amp;" · ","")&amp;IF(OR(AND($E116&lt;&gt;"",NOT(ISNUMBER($E116))),AND($F116&lt;&gt;"",NOT(ISNUMBER($F116))),AND($G116&lt;&gt;"",NOT(ISNUMBER($G116)))),"Fecha no válida"&amp;" · ","")&amp;IF(AND(ISNUMBER($AM116),ISNUMBER($AN116),$AM116&gt;$AN116),"Inicio posterior a fecha límite"&amp;" · ","")&amp;IF(AND($V116="Macro",$H116&lt;&gt;"",OR(NOT(ISNUMBER($H116)),$H116&lt;0,$H116&gt;1)),"Peso fuera de rango"&amp;" · ","")&amp;IF(AND($V116="Sub",$H116&lt;&gt;""),"Las subactividades no llevan peso (valen igual dentro de su macroactividad)"&amp;" · ","")&amp;IF(AND(N($W116)&gt;0,COUNT($I116:$L116)&gt;0),"Con subactividades: deje vacías las semanas (se calculan solas)"&amp;" · ","")&amp;IF((COUNTIF($I116:$L116,"&gt;1")+COUNTIF($I116:$L116,"&lt;0")+COUNTA($I116:$L116)-COUNT($I116:$L116))&gt;0,"Avance fuera de rango 0-100%"&amp;" · ","")&amp;IF(OR(AND($J116&lt;&gt;"",$J116&lt;$I116),AND($K116&lt;&gt;"",$K116&lt;MAX($I116:$J116)),AND($L116&lt;&gt;"",$L116&lt;MAX($I116:$K116))),"Avance semanal decreciente"&amp;" · ","")&amp;IF(AND(ISNUMBER($AN116),$AN116&lt;FechaRef,IF($V116="Sub",N($X116),N($M116))&lt;1),"Vencida"&amp;" · ","")&amp;IF(AND(ObsObligatoria="Sí",ISNUMBER($AN116),$AN116&lt;FechaRef,IF($V116="Sub",N($X116),N($M116))&lt;1,$Q116=""),"Vencida sin observación"&amp;" · ",""))="","✔ OK","⚠ "&amp;LEFT(IF($C116="","Falta el nombre de la actividad"&amp;" · ","")&amp;IF(AND($V116="Sub",N($U116)=0),"Subactividad sin macroactividad arriba"&amp;" · ","")&amp;IF($AM116="","Sin fecha de inicio"&amp;" · ","")&amp;IF($AN116="","Sin fecha límite"&amp;" · ","")&amp;IF(AND(LEFT($C116,11)="[Jefatura] ",N($AL116)=0),"No se encuentra en la hoja de la jefatura (elíjala de nuevo en la lista)"&amp;" · ","")&amp;IF(OR(AND($E116&lt;&gt;"",NOT(ISNUMBER($E116))),AND($F116&lt;&gt;"",NOT(ISNUMBER($F116))),AND($G116&lt;&gt;"",NOT(ISNUMBER($G116)))),"Fecha no válida"&amp;" · ","")&amp;IF(AND(ISNUMBER($AM116),ISNUMBER($AN116),$AM116&gt;$AN116),"Inicio posterior a fecha límite"&amp;" · ","")&amp;IF(AND($V116="Macro",$H116&lt;&gt;"",OR(NOT(ISNUMBER($H116)),$H116&lt;0,$H116&gt;1)),"Peso fuera de rango"&amp;" · ","")&amp;IF(AND($V116="Sub",$H116&lt;&gt;""),"Las subactividades no llevan peso (valen igual dentro de su macroactividad)"&amp;" · ","")&amp;IF(AND(N($W116)&gt;0,COUNT($I116:$L116)&gt;0),"Con subactividades: deje vacías las semanas (se calculan solas)"&amp;" · ","")&amp;IF((COUNTIF($I116:$L116,"&gt;1")+COUNTIF($I116:$L116,"&lt;0")+COUNTA($I116:$L116)-COUNT($I116:$L116))&gt;0,"Avance fuera de rango 0-100%"&amp;" · ","")&amp;IF(OR(AND($J116&lt;&gt;"",$J116&lt;$I116),AND($K116&lt;&gt;"",$K116&lt;MAX($I116:$J116)),AND($L116&lt;&gt;"",$L116&lt;MAX($I116:$K116))),"Avance semanal decreciente"&amp;" · ","")&amp;IF(AND(ISNUMBER($AN116),$AN116&lt;FechaRef,IF($V116="Sub",N($X116),N($M116))&lt;1),"Vencida"&amp;" · ","")&amp;IF(AND(ObsObligatoria="Sí",ISNUMBER($AN116),$AN116&lt;FechaRef,IF($V116="Sub",N($X116),N($M116))&lt;1,$Q116=""),"Vencida sin observación"&amp;" · ",""),LEN(IF($C116="","Falta el nombre de la actividad"&amp;" · ","")&amp;IF(AND($V116="Sub",N($U116)=0),"Subactividad sin macroactividad arriba"&amp;" · ","")&amp;IF($AM116="","Sin fecha de inicio"&amp;" · ","")&amp;IF($AN116="","Sin fecha límite"&amp;" · ","")&amp;IF(AND(LEFT($C116,11)="[Jefatura] ",N($AL116)=0),"No se encuentra en la hoja de la jefatura (elíjala de nuevo en la lista)"&amp;" · ","")&amp;IF(OR(AND($E116&lt;&gt;"",NOT(ISNUMBER($E116))),AND($F116&lt;&gt;"",NOT(ISNUMBER($F116))),AND($G116&lt;&gt;"",NOT(ISNUMBER($G116)))),"Fecha no válida"&amp;" · ","")&amp;IF(AND(ISNUMBER($AM116),ISNUMBER($AN116),$AM116&gt;$AN116),"Inicio posterior a fecha límite"&amp;" · ","")&amp;IF(AND($V116="Macro",$H116&lt;&gt;"",OR(NOT(ISNUMBER($H116)),$H116&lt;0,$H116&gt;1)),"Peso fuera de rango"&amp;" · ","")&amp;IF(AND($V116="Sub",$H116&lt;&gt;""),"Las subactividades no llevan peso (valen igual dentro de su macroactividad)"&amp;" · ","")&amp;IF(AND(N($W116)&gt;0,COUNT($I116:$L116)&gt;0),"Con subactividades: deje vacías las semanas (se calculan solas)"&amp;" · ","")&amp;IF((COUNTIF($I116:$L116,"&gt;1")+COUNTIF($I116:$L116,"&lt;0")+COUNTA($I116:$L116)-COUNT($I116:$L116))&gt;0,"Avance fuera de rango 0-100%"&amp;" · ","")&amp;IF(OR(AND($J116&lt;&gt;"",$J116&lt;$I116),AND($K116&lt;&gt;"",$K116&lt;MAX($I116:$J116)),AND($L116&lt;&gt;"",$L116&lt;MAX($I116:$K116))),"Avance semanal decreciente"&amp;" · ","")&amp;IF(AND(ISNUMBER($AN116),$AN116&lt;FechaRef,IF($V116="Sub",N($X116),N($M116))&lt;1),"Vencida"&amp;" · ","")&amp;IF(AND(ObsObligatoria="Sí",ISNUMBER($AN116),$AN116&lt;FechaRef,IF($V116="Sub",N($X116),N($M116))&lt;1,$Q116=""),"Vencida sin observación"&amp;" · ",""))-3)))</f>
        <v/>
      </c>
      <c r="S116" s="64">
        <f>IF(NOT((COUNTA($B116:$D116)+COUNTA($G116:$L116)+COUNTA($Q116))&gt;0),"",IF(AND($V116="Sub",N($U116)&gt;0),IF(ISNUMBER(INDEX($AM$5:$AM$1000,$U116-4)),DATE(YEAR(INDEX($AM$5:$AM$1000,$U116-4)),MONTH(INDEX($AM$5:$AM$1000,$U116-4)),1),IF(ISNUMBER(INDEX($AN$5:$AN$1000,$U116-4)),DATE(YEAR(INDEX($AN$5:$AN$1000,$U116-4)),MONTH(INDEX($AN$5:$AN$1000,$U116-4)),1),MesCiclo)),IF(ISNUMBER($AM116),DATE(YEAR($AM116),MONTH($AM116),1),IF(ISNUMBER($AN116),DATE(YEAR($AN116),MONTH($AN116),1),MesCiclo))))</f>
        <v/>
      </c>
      <c r="T116" s="62">
        <f>IF(OR($S116="",$S116&lt;&gt;MesCiclo,$V116&lt;&gt;"Macro"),"",COUNTIFS($S$5:$S116,MesCiclo,$V$5:$V116,"Macro"))</f>
        <v/>
      </c>
      <c r="U116" s="62">
        <f>IF($V116="","",IF($V116="Macro",ROW(),IFERROR(LOOKUP(2,1/($V$5:$V116="Macro"),ROW($V$5:$V116)),0)))</f>
        <v/>
      </c>
      <c r="V116" s="62">
        <f>IF(NOT((COUNTA($B116:$D116)+COUNTA($G116:$L116)+COUNTA($Q116))&gt;0),"",IF($B116="Subactividad","Sub","Macro"))</f>
        <v/>
      </c>
      <c r="W116" s="62">
        <f>IF($V116="Macro",COUNTIFS($U$5:$U$1000,ROW(),$V$5:$V$1000,"Sub"),"")</f>
        <v/>
      </c>
      <c r="X116" s="62">
        <f>IF($V116="","",IF(ISNUMBER($G116),1,IFERROR(LOOKUP(2,1/($I116:$L116&lt;&gt;""),$I116:$L116),0)))</f>
        <v/>
      </c>
      <c r="Y116" s="62">
        <f>IF($V116="","",IF(AND(ISNUMBER($G116),$G116&lt;=IF($S116=MesCiclo,InicioCiclo,$S116+MOD(2-WEEKDAY($S116),7))+6),1,IF(ISNUMBER($I116),$I116,0)))</f>
        <v/>
      </c>
      <c r="Z116" s="62">
        <f>IF($V116="","",IF(AND(ISNUMBER($G116),$G116&lt;=IF($S116=MesCiclo,InicioCiclo,$S116+MOD(2-WEEKDAY($S116),7))+13),1,IF(ISNUMBER($J116),$J116,$Y116)))</f>
        <v/>
      </c>
      <c r="AA116" s="62">
        <f>IF($V116="","",IF(AND(ISNUMBER($G116),$G116&lt;=IF($S116=MesCiclo,InicioCiclo,$S116+MOD(2-WEEKDAY($S116),7))+20),1,IF(ISNUMBER($K116),$K116,$Z116)))</f>
        <v/>
      </c>
      <c r="AB116" s="62">
        <f>IF($V116="","",IF(AND(ISNUMBER($G116),$G116&lt;=IF($S116=MesCiclo,InicioCiclo,$S116+MOD(2-WEEKDAY($S116),7))+27),1,IF(ISNUMBER($L116),$L116,$AA116)))</f>
        <v/>
      </c>
      <c r="AC116" s="62">
        <f>IF($V116="","",IF(AND(ISNUMBER($G116),$G116&lt;=IF($S116=MesCiclo,InicioCiclo,$S116+MOD(2-WEEKDAY($S116),7))+6),1,IF(N($W116)&gt;0,AVERAGEIFS($Y$5:$Y$1000,$U$5:$U$1000,ROW(),$V$5:$V$1000,"Sub"),$Y116)))</f>
        <v/>
      </c>
      <c r="AD116" s="62">
        <f>IF($V116="","",IF(AND(ISNUMBER($G116),$G116&lt;=IF($S116=MesCiclo,InicioCiclo,$S116+MOD(2-WEEKDAY($S116),7))+13),1,IF(N($W116)&gt;0,AVERAGEIFS($Z$5:$Z$1000,$U$5:$U$1000,ROW(),$V$5:$V$1000,"Sub"),$Z116)))</f>
        <v/>
      </c>
      <c r="AE116" s="62">
        <f>IF($V116="","",IF(AND(ISNUMBER($G116),$G116&lt;=IF($S116=MesCiclo,InicioCiclo,$S116+MOD(2-WEEKDAY($S116),7))+20),1,IF(N($W116)&gt;0,AVERAGEIFS($AA$5:$AA$1000,$U$5:$U$1000,ROW(),$V$5:$V$1000,"Sub"),$AA116)))</f>
        <v/>
      </c>
      <c r="AF116" s="62">
        <f>IF($V116="","",IF(AND(ISNUMBER($G116),$G116&lt;=IF($S116=MesCiclo,InicioCiclo,$S116+MOD(2-WEEKDAY($S116),7))+27),1,IF(N($W116)&gt;0,AVERAGEIFS($AB$5:$AB$1000,$U$5:$U$1000,ROW(),$V$5:$V$1000,"Sub"),$AB116)))</f>
        <v/>
      </c>
      <c r="AG116" s="62">
        <f>IF($V116&lt;&gt;"Macro","",IF(COUNTIFS($S$5:$S$1000,$S116,$V$5:$V$1000,"Macro",$H$5:$H$1000,"&gt;0")=0,1/COUNTIFS($S$5:$S$1000,$S116,$V$5:$V$1000,"Macro"),IF(AND(ISNUMBER($H116),N($H116)&gt;0),$H116,SUMIFS($H$5:$H$1000,$S$5:$S$1000,$S116,$V$5:$V$1000,"Macro")/COUNTIFS($S$5:$S$1000,$S116,$V$5:$V$1000,"Macro",$H$5:$H$1000,"&gt;0"))/(COUNTIFS($S$5:$S$1000,$S116,$V$5:$V$1000,"Macro")*SUMIFS($H$5:$H$1000,$S$5:$S$1000,$S116,$V$5:$V$1000,"Macro")/COUNTIFS($S$5:$S$1000,$S116,$V$5:$V$1000,"Macro",$H$5:$H$1000,"&gt;0"))))</f>
        <v/>
      </c>
      <c r="AH116" s="62">
        <f>IF(NOT(AND($D116&lt;&gt;"",$V116="Macro")),"",IFERROR(CHOOSE(MATCH($D116,ListaPuestos,0),MATCH("[Jefatura] "&amp;$C116,'Cronograma R. Operacional'!$C$5:$C$1000,0),MATCH("[Jefatura] "&amp;$C116,'Cronograma R. Normativo'!$C$5:$C$1000,0),MATCH("[Jefatura] "&amp;$C116,'Cronograma R. Financiero'!$C$5:$C$1000,0),MATCH("[Jefatura] "&amp;$C116,'Cronograma Asistente Técnico'!$C$5:$C$1000,0)),0))</f>
        <v/>
      </c>
      <c r="AI116" s="62">
        <f>IF(AND(AND($D116&lt;&gt;"",$V116="Macro"),$S116=MesCiclo),COUNTIFS($D$5:$D116,$D116,$S$5:$S116,MesCiclo,$V$5:$V116,"Macro"),"")</f>
        <v/>
      </c>
      <c r="AJ116" s="62">
        <f>IF($AI116="","",$D116&amp;"|"&amp;$AI116)</f>
        <v/>
      </c>
      <c r="AK116" s="62">
        <f>IF(AND($D116&lt;&gt;"",$V116="Macro"),$D116&amp;"|"&amp;$C116,"")</f>
        <v/>
      </c>
      <c r="AL116" s="62">
        <f>""</f>
        <v/>
      </c>
      <c r="AM116" s="62">
        <f>IF(N($AL116)&gt;0,INDEX(rIni_ADM,$AL116),IF(ISNUMBER($E116),$E116,""))</f>
        <v/>
      </c>
      <c r="AN116" s="62">
        <f>IF(N($AL116)&gt;0,INDEX(rLim_ADM,$AL116),IF(ISNUMBER($F116),$F116,""))</f>
        <v/>
      </c>
    </row>
    <row r="117">
      <c r="A117" s="56">
        <f>IF(NOT((COUNTA($B117:$D117)+COUNTA($G117:$L117)+COUNTA($Q117))&gt;0),"",IF($V117="Macro",COUNTIFS($V$5:$V117,"Macro",$S$5:$S117,$S117),IF(N($U117)=0,"?",COUNTIFS(INDEX($V$5:$V$1000,1):INDEX($V$5:$V$1000,$U117-4),"Macro",INDEX($S$5:$S$1000,1):INDEX($S$5:$S$1000,$U117-4),INDEX($S$5:$S$1000,$U117-4))&amp;"."&amp;COUNTIFS($U$5:$U117,$U117,$V$5:$V117,"Sub"))))</f>
        <v/>
      </c>
      <c r="B117" s="57" t="n"/>
      <c r="C117" s="58" t="n"/>
      <c r="D117" s="58" t="n"/>
      <c r="E117" s="59" t="n"/>
      <c r="F117" s="59" t="n"/>
      <c r="G117" s="59" t="n"/>
      <c r="H117" s="60" t="n"/>
      <c r="I117" s="60" t="n"/>
      <c r="J117" s="60" t="n"/>
      <c r="K117" s="60" t="n"/>
      <c r="L117" s="60" t="n"/>
      <c r="M117" s="61">
        <f>IF(NOT((COUNTA($B117:$D117)+COUNTA($G117:$L117)+COUNTA($Q117))&gt;0),"",IF(AND($D117&lt;&gt;"",$V117="Macro"),IF(N($AH117)&gt;0,N(CHOOSE(MATCH($D117,ListaPuestos,0),INDEX('Cronograma R. Operacional'!$M$5:$M$1000,$AH117),INDEX('Cronograma R. Normativo'!$M$5:$M$1000,$AH117),INDEX('Cronograma R. Financiero'!$M$5:$M$1000,$AH117),INDEX('Cronograma Asistente Técnico'!$M$5:$M$1000,$AH117))),0),IF(ISNUMBER($G117),1,IF(N($W117)&gt;0,AVERAGEIFS($X$5:$X$1000,$U$5:$U$1000,ROW(),$V$5:$V$1000,"Sub"),$X117))))</f>
        <v/>
      </c>
      <c r="N117" s="56">
        <f>IF(OR($M117="",$V117="Sub"),"",IF($M117&gt;=1,"Completado",IF($M117&gt;0,"En curso","Pendiente")))</f>
        <v/>
      </c>
      <c r="O117" s="56">
        <f>IF(NOT((COUNTA($B117:$D117)+COUNTA($G117:$L117)+COUNTA($Q117))&gt;0),"",IF(AND(AND($D117&lt;&gt;"",$V117="Macro"),N($AH117)&gt;0),CHOOSE(MATCH($D117,ListaPuestos,0),INDEX('Cronograma R. Operacional'!$O$5:$O$1000,$AH117),INDEX('Cronograma R. Normativo'!$O$5:$O$1000,$AH117),INDEX('Cronograma R. Financiero'!$O$5:$O$1000,$AH117),INDEX('Cronograma Asistente Técnico'!$O$5:$O$1000,$AH117))&amp;"",IF(ISNUMBER($G117),IF(AND(ISNUMBER($AN117),$G117&gt;$AN117),"Cumplida con "&amp;($G117-$AN117)&amp;IF($G117-$AN117=1," día"," días")&amp;" de retraso","Cumplida"),IF(N($M117)&gt;=1,"Cumplida",IF(NOT(ISNUMBER($AN117)),"Sin fecha límite",IF($AN117&lt;FechaRef,"Vencida hace "&amp;(FechaRef-$AN117)&amp;IF(FechaRef-$AN117=1," día"," días"),IF($AN117=FechaRef,"Vence hoy",IF($AN117-FechaRef&lt;=DiasAlerta,"Vence en "&amp;($AN117-FechaRef)&amp;IF($AN117-FechaRef=1," día"," días"),"En plazo"))))))))</f>
        <v/>
      </c>
      <c r="P117" s="62">
        <f>IF(NOT((COUNTA($B117:$D117)+COUNTA($G117:$L117)+COUNTA($Q117))&gt;0),"",IF($D117="","Propia",IF($V117&lt;&gt;"Macro","Solo se delegan macroactividades",IF(N($AH117)&gt;0,"✔ Recibida por "&amp;$D117,"⚠ "&amp;$D117&amp;" aún no la agrega"))))</f>
        <v/>
      </c>
      <c r="Q117" s="58" t="n"/>
      <c r="R117" s="63">
        <f>IF(NOT((COUNTA($B117:$D117)+COUNTA($G117:$L117)+COUNTA($Q117))&gt;0),"",IF((IF($C117="","Falta el nombre de la actividad"&amp;" · ","")&amp;IF(AND($V117="Sub",N($U117)=0),"Subactividad sin macroactividad arriba"&amp;" · ","")&amp;IF($AM117="","Sin fecha de inicio"&amp;" · ","")&amp;IF($AN117="","Sin fecha límite"&amp;" · ","")&amp;IF(AND(LEFT($C117,11)="[Jefatura] ",N($AL117)=0),"No se encuentra en la hoja de la jefatura (elíjala de nuevo en la lista)"&amp;" · ","")&amp;IF(OR(AND($E117&lt;&gt;"",NOT(ISNUMBER($E117))),AND($F117&lt;&gt;"",NOT(ISNUMBER($F117))),AND($G117&lt;&gt;"",NOT(ISNUMBER($G117)))),"Fecha no válida"&amp;" · ","")&amp;IF(AND(ISNUMBER($AM117),ISNUMBER($AN117),$AM117&gt;$AN117),"Inicio posterior a fecha límite"&amp;" · ","")&amp;IF(AND($V117="Macro",$H117&lt;&gt;"",OR(NOT(ISNUMBER($H117)),$H117&lt;0,$H117&gt;1)),"Peso fuera de rango"&amp;" · ","")&amp;IF(AND($V117="Sub",$H117&lt;&gt;""),"Las subactividades no llevan peso (valen igual dentro de su macroactividad)"&amp;" · ","")&amp;IF(AND(N($W117)&gt;0,COUNT($I117:$L117)&gt;0),"Con subactividades: deje vacías las semanas (se calculan solas)"&amp;" · ","")&amp;IF((COUNTIF($I117:$L117,"&gt;1")+COUNTIF($I117:$L117,"&lt;0")+COUNTA($I117:$L117)-COUNT($I117:$L117))&gt;0,"Avance fuera de rango 0-100%"&amp;" · ","")&amp;IF(OR(AND($J117&lt;&gt;"",$J117&lt;$I117),AND($K117&lt;&gt;"",$K117&lt;MAX($I117:$J117)),AND($L117&lt;&gt;"",$L117&lt;MAX($I117:$K117))),"Avance semanal decreciente"&amp;" · ","")&amp;IF(AND(ISNUMBER($AN117),$AN117&lt;FechaRef,IF($V117="Sub",N($X117),N($M117))&lt;1),"Vencida"&amp;" · ","")&amp;IF(AND(ObsObligatoria="Sí",ISNUMBER($AN117),$AN117&lt;FechaRef,IF($V117="Sub",N($X117),N($M117))&lt;1,$Q117=""),"Vencida sin observación"&amp;" · ",""))="","✔ OK","⚠ "&amp;LEFT(IF($C117="","Falta el nombre de la actividad"&amp;" · ","")&amp;IF(AND($V117="Sub",N($U117)=0),"Subactividad sin macroactividad arriba"&amp;" · ","")&amp;IF($AM117="","Sin fecha de inicio"&amp;" · ","")&amp;IF($AN117="","Sin fecha límite"&amp;" · ","")&amp;IF(AND(LEFT($C117,11)="[Jefatura] ",N($AL117)=0),"No se encuentra en la hoja de la jefatura (elíjala de nuevo en la lista)"&amp;" · ","")&amp;IF(OR(AND($E117&lt;&gt;"",NOT(ISNUMBER($E117))),AND($F117&lt;&gt;"",NOT(ISNUMBER($F117))),AND($G117&lt;&gt;"",NOT(ISNUMBER($G117)))),"Fecha no válida"&amp;" · ","")&amp;IF(AND(ISNUMBER($AM117),ISNUMBER($AN117),$AM117&gt;$AN117),"Inicio posterior a fecha límite"&amp;" · ","")&amp;IF(AND($V117="Macro",$H117&lt;&gt;"",OR(NOT(ISNUMBER($H117)),$H117&lt;0,$H117&gt;1)),"Peso fuera de rango"&amp;" · ","")&amp;IF(AND($V117="Sub",$H117&lt;&gt;""),"Las subactividades no llevan peso (valen igual dentro de su macroactividad)"&amp;" · ","")&amp;IF(AND(N($W117)&gt;0,COUNT($I117:$L117)&gt;0),"Con subactividades: deje vacías las semanas (se calculan solas)"&amp;" · ","")&amp;IF((COUNTIF($I117:$L117,"&gt;1")+COUNTIF($I117:$L117,"&lt;0")+COUNTA($I117:$L117)-COUNT($I117:$L117))&gt;0,"Avance fuera de rango 0-100%"&amp;" · ","")&amp;IF(OR(AND($J117&lt;&gt;"",$J117&lt;$I117),AND($K117&lt;&gt;"",$K117&lt;MAX($I117:$J117)),AND($L117&lt;&gt;"",$L117&lt;MAX($I117:$K117))),"Avance semanal decreciente"&amp;" · ","")&amp;IF(AND(ISNUMBER($AN117),$AN117&lt;FechaRef,IF($V117="Sub",N($X117),N($M117))&lt;1),"Vencida"&amp;" · ","")&amp;IF(AND(ObsObligatoria="Sí",ISNUMBER($AN117),$AN117&lt;FechaRef,IF($V117="Sub",N($X117),N($M117))&lt;1,$Q117=""),"Vencida sin observación"&amp;" · ",""),LEN(IF($C117="","Falta el nombre de la actividad"&amp;" · ","")&amp;IF(AND($V117="Sub",N($U117)=0),"Subactividad sin macroactividad arriba"&amp;" · ","")&amp;IF($AM117="","Sin fecha de inicio"&amp;" · ","")&amp;IF($AN117="","Sin fecha límite"&amp;" · ","")&amp;IF(AND(LEFT($C117,11)="[Jefatura] ",N($AL117)=0),"No se encuentra en la hoja de la jefatura (elíjala de nuevo en la lista)"&amp;" · ","")&amp;IF(OR(AND($E117&lt;&gt;"",NOT(ISNUMBER($E117))),AND($F117&lt;&gt;"",NOT(ISNUMBER($F117))),AND($G117&lt;&gt;"",NOT(ISNUMBER($G117)))),"Fecha no válida"&amp;" · ","")&amp;IF(AND(ISNUMBER($AM117),ISNUMBER($AN117),$AM117&gt;$AN117),"Inicio posterior a fecha límite"&amp;" · ","")&amp;IF(AND($V117="Macro",$H117&lt;&gt;"",OR(NOT(ISNUMBER($H117)),$H117&lt;0,$H117&gt;1)),"Peso fuera de rango"&amp;" · ","")&amp;IF(AND($V117="Sub",$H117&lt;&gt;""),"Las subactividades no llevan peso (valen igual dentro de su macroactividad)"&amp;" · ","")&amp;IF(AND(N($W117)&gt;0,COUNT($I117:$L117)&gt;0),"Con subactividades: deje vacías las semanas (se calculan solas)"&amp;" · ","")&amp;IF((COUNTIF($I117:$L117,"&gt;1")+COUNTIF($I117:$L117,"&lt;0")+COUNTA($I117:$L117)-COUNT($I117:$L117))&gt;0,"Avance fuera de rango 0-100%"&amp;" · ","")&amp;IF(OR(AND($J117&lt;&gt;"",$J117&lt;$I117),AND($K117&lt;&gt;"",$K117&lt;MAX($I117:$J117)),AND($L117&lt;&gt;"",$L117&lt;MAX($I117:$K117))),"Avance semanal decreciente"&amp;" · ","")&amp;IF(AND(ISNUMBER($AN117),$AN117&lt;FechaRef,IF($V117="Sub",N($X117),N($M117))&lt;1),"Vencida"&amp;" · ","")&amp;IF(AND(ObsObligatoria="Sí",ISNUMBER($AN117),$AN117&lt;FechaRef,IF($V117="Sub",N($X117),N($M117))&lt;1,$Q117=""),"Vencida sin observación"&amp;" · ",""))-3)))</f>
        <v/>
      </c>
      <c r="S117" s="64">
        <f>IF(NOT((COUNTA($B117:$D117)+COUNTA($G117:$L117)+COUNTA($Q117))&gt;0),"",IF(AND($V117="Sub",N($U117)&gt;0),IF(ISNUMBER(INDEX($AM$5:$AM$1000,$U117-4)),DATE(YEAR(INDEX($AM$5:$AM$1000,$U117-4)),MONTH(INDEX($AM$5:$AM$1000,$U117-4)),1),IF(ISNUMBER(INDEX($AN$5:$AN$1000,$U117-4)),DATE(YEAR(INDEX($AN$5:$AN$1000,$U117-4)),MONTH(INDEX($AN$5:$AN$1000,$U117-4)),1),MesCiclo)),IF(ISNUMBER($AM117),DATE(YEAR($AM117),MONTH($AM117),1),IF(ISNUMBER($AN117),DATE(YEAR($AN117),MONTH($AN117),1),MesCiclo))))</f>
        <v/>
      </c>
      <c r="T117" s="62">
        <f>IF(OR($S117="",$S117&lt;&gt;MesCiclo,$V117&lt;&gt;"Macro"),"",COUNTIFS($S$5:$S117,MesCiclo,$V$5:$V117,"Macro"))</f>
        <v/>
      </c>
      <c r="U117" s="62">
        <f>IF($V117="","",IF($V117="Macro",ROW(),IFERROR(LOOKUP(2,1/($V$5:$V117="Macro"),ROW($V$5:$V117)),0)))</f>
        <v/>
      </c>
      <c r="V117" s="62">
        <f>IF(NOT((COUNTA($B117:$D117)+COUNTA($G117:$L117)+COUNTA($Q117))&gt;0),"",IF($B117="Subactividad","Sub","Macro"))</f>
        <v/>
      </c>
      <c r="W117" s="62">
        <f>IF($V117="Macro",COUNTIFS($U$5:$U$1000,ROW(),$V$5:$V$1000,"Sub"),"")</f>
        <v/>
      </c>
      <c r="X117" s="62">
        <f>IF($V117="","",IF(ISNUMBER($G117),1,IFERROR(LOOKUP(2,1/($I117:$L117&lt;&gt;""),$I117:$L117),0)))</f>
        <v/>
      </c>
      <c r="Y117" s="62">
        <f>IF($V117="","",IF(AND(ISNUMBER($G117),$G117&lt;=IF($S117=MesCiclo,InicioCiclo,$S117+MOD(2-WEEKDAY($S117),7))+6),1,IF(ISNUMBER($I117),$I117,0)))</f>
        <v/>
      </c>
      <c r="Z117" s="62">
        <f>IF($V117="","",IF(AND(ISNUMBER($G117),$G117&lt;=IF($S117=MesCiclo,InicioCiclo,$S117+MOD(2-WEEKDAY($S117),7))+13),1,IF(ISNUMBER($J117),$J117,$Y117)))</f>
        <v/>
      </c>
      <c r="AA117" s="62">
        <f>IF($V117="","",IF(AND(ISNUMBER($G117),$G117&lt;=IF($S117=MesCiclo,InicioCiclo,$S117+MOD(2-WEEKDAY($S117),7))+20),1,IF(ISNUMBER($K117),$K117,$Z117)))</f>
        <v/>
      </c>
      <c r="AB117" s="62">
        <f>IF($V117="","",IF(AND(ISNUMBER($G117),$G117&lt;=IF($S117=MesCiclo,InicioCiclo,$S117+MOD(2-WEEKDAY($S117),7))+27),1,IF(ISNUMBER($L117),$L117,$AA117)))</f>
        <v/>
      </c>
      <c r="AC117" s="62">
        <f>IF($V117="","",IF(AND(ISNUMBER($G117),$G117&lt;=IF($S117=MesCiclo,InicioCiclo,$S117+MOD(2-WEEKDAY($S117),7))+6),1,IF(N($W117)&gt;0,AVERAGEIFS($Y$5:$Y$1000,$U$5:$U$1000,ROW(),$V$5:$V$1000,"Sub"),$Y117)))</f>
        <v/>
      </c>
      <c r="AD117" s="62">
        <f>IF($V117="","",IF(AND(ISNUMBER($G117),$G117&lt;=IF($S117=MesCiclo,InicioCiclo,$S117+MOD(2-WEEKDAY($S117),7))+13),1,IF(N($W117)&gt;0,AVERAGEIFS($Z$5:$Z$1000,$U$5:$U$1000,ROW(),$V$5:$V$1000,"Sub"),$Z117)))</f>
        <v/>
      </c>
      <c r="AE117" s="62">
        <f>IF($V117="","",IF(AND(ISNUMBER($G117),$G117&lt;=IF($S117=MesCiclo,InicioCiclo,$S117+MOD(2-WEEKDAY($S117),7))+20),1,IF(N($W117)&gt;0,AVERAGEIFS($AA$5:$AA$1000,$U$5:$U$1000,ROW(),$V$5:$V$1000,"Sub"),$AA117)))</f>
        <v/>
      </c>
      <c r="AF117" s="62">
        <f>IF($V117="","",IF(AND(ISNUMBER($G117),$G117&lt;=IF($S117=MesCiclo,InicioCiclo,$S117+MOD(2-WEEKDAY($S117),7))+27),1,IF(N($W117)&gt;0,AVERAGEIFS($AB$5:$AB$1000,$U$5:$U$1000,ROW(),$V$5:$V$1000,"Sub"),$AB117)))</f>
        <v/>
      </c>
      <c r="AG117" s="62">
        <f>IF($V117&lt;&gt;"Macro","",IF(COUNTIFS($S$5:$S$1000,$S117,$V$5:$V$1000,"Macro",$H$5:$H$1000,"&gt;0")=0,1/COUNTIFS($S$5:$S$1000,$S117,$V$5:$V$1000,"Macro"),IF(AND(ISNUMBER($H117),N($H117)&gt;0),$H117,SUMIFS($H$5:$H$1000,$S$5:$S$1000,$S117,$V$5:$V$1000,"Macro")/COUNTIFS($S$5:$S$1000,$S117,$V$5:$V$1000,"Macro",$H$5:$H$1000,"&gt;0"))/(COUNTIFS($S$5:$S$1000,$S117,$V$5:$V$1000,"Macro")*SUMIFS($H$5:$H$1000,$S$5:$S$1000,$S117,$V$5:$V$1000,"Macro")/COUNTIFS($S$5:$S$1000,$S117,$V$5:$V$1000,"Macro",$H$5:$H$1000,"&gt;0"))))</f>
        <v/>
      </c>
      <c r="AH117" s="62">
        <f>IF(NOT(AND($D117&lt;&gt;"",$V117="Macro")),"",IFERROR(CHOOSE(MATCH($D117,ListaPuestos,0),MATCH("[Jefatura] "&amp;$C117,'Cronograma R. Operacional'!$C$5:$C$1000,0),MATCH("[Jefatura] "&amp;$C117,'Cronograma R. Normativo'!$C$5:$C$1000,0),MATCH("[Jefatura] "&amp;$C117,'Cronograma R. Financiero'!$C$5:$C$1000,0),MATCH("[Jefatura] "&amp;$C117,'Cronograma Asistente Técnico'!$C$5:$C$1000,0)),0))</f>
        <v/>
      </c>
      <c r="AI117" s="62">
        <f>IF(AND(AND($D117&lt;&gt;"",$V117="Macro"),$S117=MesCiclo),COUNTIFS($D$5:$D117,$D117,$S$5:$S117,MesCiclo,$V$5:$V117,"Macro"),"")</f>
        <v/>
      </c>
      <c r="AJ117" s="62">
        <f>IF($AI117="","",$D117&amp;"|"&amp;$AI117)</f>
        <v/>
      </c>
      <c r="AK117" s="62">
        <f>IF(AND($D117&lt;&gt;"",$V117="Macro"),$D117&amp;"|"&amp;$C117,"")</f>
        <v/>
      </c>
      <c r="AL117" s="62">
        <f>""</f>
        <v/>
      </c>
      <c r="AM117" s="62">
        <f>IF(N($AL117)&gt;0,INDEX(rIni_ADM,$AL117),IF(ISNUMBER($E117),$E117,""))</f>
        <v/>
      </c>
      <c r="AN117" s="62">
        <f>IF(N($AL117)&gt;0,INDEX(rLim_ADM,$AL117),IF(ISNUMBER($F117),$F117,""))</f>
        <v/>
      </c>
    </row>
    <row r="118">
      <c r="A118" s="56">
        <f>IF(NOT((COUNTA($B118:$D118)+COUNTA($G118:$L118)+COUNTA($Q118))&gt;0),"",IF($V118="Macro",COUNTIFS($V$5:$V118,"Macro",$S$5:$S118,$S118),IF(N($U118)=0,"?",COUNTIFS(INDEX($V$5:$V$1000,1):INDEX($V$5:$V$1000,$U118-4),"Macro",INDEX($S$5:$S$1000,1):INDEX($S$5:$S$1000,$U118-4),INDEX($S$5:$S$1000,$U118-4))&amp;"."&amp;COUNTIFS($U$5:$U118,$U118,$V$5:$V118,"Sub"))))</f>
        <v/>
      </c>
      <c r="B118" s="57" t="n"/>
      <c r="C118" s="58" t="n"/>
      <c r="D118" s="58" t="n"/>
      <c r="E118" s="59" t="n"/>
      <c r="F118" s="59" t="n"/>
      <c r="G118" s="59" t="n"/>
      <c r="H118" s="60" t="n"/>
      <c r="I118" s="60" t="n"/>
      <c r="J118" s="60" t="n"/>
      <c r="K118" s="60" t="n"/>
      <c r="L118" s="60" t="n"/>
      <c r="M118" s="61">
        <f>IF(NOT((COUNTA($B118:$D118)+COUNTA($G118:$L118)+COUNTA($Q118))&gt;0),"",IF(AND($D118&lt;&gt;"",$V118="Macro"),IF(N($AH118)&gt;0,N(CHOOSE(MATCH($D118,ListaPuestos,0),INDEX('Cronograma R. Operacional'!$M$5:$M$1000,$AH118),INDEX('Cronograma R. Normativo'!$M$5:$M$1000,$AH118),INDEX('Cronograma R. Financiero'!$M$5:$M$1000,$AH118),INDEX('Cronograma Asistente Técnico'!$M$5:$M$1000,$AH118))),0),IF(ISNUMBER($G118),1,IF(N($W118)&gt;0,AVERAGEIFS($X$5:$X$1000,$U$5:$U$1000,ROW(),$V$5:$V$1000,"Sub"),$X118))))</f>
        <v/>
      </c>
      <c r="N118" s="56">
        <f>IF(OR($M118="",$V118="Sub"),"",IF($M118&gt;=1,"Completado",IF($M118&gt;0,"En curso","Pendiente")))</f>
        <v/>
      </c>
      <c r="O118" s="56">
        <f>IF(NOT((COUNTA($B118:$D118)+COUNTA($G118:$L118)+COUNTA($Q118))&gt;0),"",IF(AND(AND($D118&lt;&gt;"",$V118="Macro"),N($AH118)&gt;0),CHOOSE(MATCH($D118,ListaPuestos,0),INDEX('Cronograma R. Operacional'!$O$5:$O$1000,$AH118),INDEX('Cronograma R. Normativo'!$O$5:$O$1000,$AH118),INDEX('Cronograma R. Financiero'!$O$5:$O$1000,$AH118),INDEX('Cronograma Asistente Técnico'!$O$5:$O$1000,$AH118))&amp;"",IF(ISNUMBER($G118),IF(AND(ISNUMBER($AN118),$G118&gt;$AN118),"Cumplida con "&amp;($G118-$AN118)&amp;IF($G118-$AN118=1," día"," días")&amp;" de retraso","Cumplida"),IF(N($M118)&gt;=1,"Cumplida",IF(NOT(ISNUMBER($AN118)),"Sin fecha límite",IF($AN118&lt;FechaRef,"Vencida hace "&amp;(FechaRef-$AN118)&amp;IF(FechaRef-$AN118=1," día"," días"),IF($AN118=FechaRef,"Vence hoy",IF($AN118-FechaRef&lt;=DiasAlerta,"Vence en "&amp;($AN118-FechaRef)&amp;IF($AN118-FechaRef=1," día"," días"),"En plazo"))))))))</f>
        <v/>
      </c>
      <c r="P118" s="62">
        <f>IF(NOT((COUNTA($B118:$D118)+COUNTA($G118:$L118)+COUNTA($Q118))&gt;0),"",IF($D118="","Propia",IF($V118&lt;&gt;"Macro","Solo se delegan macroactividades",IF(N($AH118)&gt;0,"✔ Recibida por "&amp;$D118,"⚠ "&amp;$D118&amp;" aún no la agrega"))))</f>
        <v/>
      </c>
      <c r="Q118" s="58" t="n"/>
      <c r="R118" s="63">
        <f>IF(NOT((COUNTA($B118:$D118)+COUNTA($G118:$L118)+COUNTA($Q118))&gt;0),"",IF((IF($C118="","Falta el nombre de la actividad"&amp;" · ","")&amp;IF(AND($V118="Sub",N($U118)=0),"Subactividad sin macroactividad arriba"&amp;" · ","")&amp;IF($AM118="","Sin fecha de inicio"&amp;" · ","")&amp;IF($AN118="","Sin fecha límite"&amp;" · ","")&amp;IF(AND(LEFT($C118,11)="[Jefatura] ",N($AL118)=0),"No se encuentra en la hoja de la jefatura (elíjala de nuevo en la lista)"&amp;" · ","")&amp;IF(OR(AND($E118&lt;&gt;"",NOT(ISNUMBER($E118))),AND($F118&lt;&gt;"",NOT(ISNUMBER($F118))),AND($G118&lt;&gt;"",NOT(ISNUMBER($G118)))),"Fecha no válida"&amp;" · ","")&amp;IF(AND(ISNUMBER($AM118),ISNUMBER($AN118),$AM118&gt;$AN118),"Inicio posterior a fecha límite"&amp;" · ","")&amp;IF(AND($V118="Macro",$H118&lt;&gt;"",OR(NOT(ISNUMBER($H118)),$H118&lt;0,$H118&gt;1)),"Peso fuera de rango"&amp;" · ","")&amp;IF(AND($V118="Sub",$H118&lt;&gt;""),"Las subactividades no llevan peso (valen igual dentro de su macroactividad)"&amp;" · ","")&amp;IF(AND(N($W118)&gt;0,COUNT($I118:$L118)&gt;0),"Con subactividades: deje vacías las semanas (se calculan solas)"&amp;" · ","")&amp;IF((COUNTIF($I118:$L118,"&gt;1")+COUNTIF($I118:$L118,"&lt;0")+COUNTA($I118:$L118)-COUNT($I118:$L118))&gt;0,"Avance fuera de rango 0-100%"&amp;" · ","")&amp;IF(OR(AND($J118&lt;&gt;"",$J118&lt;$I118),AND($K118&lt;&gt;"",$K118&lt;MAX($I118:$J118)),AND($L118&lt;&gt;"",$L118&lt;MAX($I118:$K118))),"Avance semanal decreciente"&amp;" · ","")&amp;IF(AND(ISNUMBER($AN118),$AN118&lt;FechaRef,IF($V118="Sub",N($X118),N($M118))&lt;1),"Vencida"&amp;" · ","")&amp;IF(AND(ObsObligatoria="Sí",ISNUMBER($AN118),$AN118&lt;FechaRef,IF($V118="Sub",N($X118),N($M118))&lt;1,$Q118=""),"Vencida sin observación"&amp;" · ",""))="","✔ OK","⚠ "&amp;LEFT(IF($C118="","Falta el nombre de la actividad"&amp;" · ","")&amp;IF(AND($V118="Sub",N($U118)=0),"Subactividad sin macroactividad arriba"&amp;" · ","")&amp;IF($AM118="","Sin fecha de inicio"&amp;" · ","")&amp;IF($AN118="","Sin fecha límite"&amp;" · ","")&amp;IF(AND(LEFT($C118,11)="[Jefatura] ",N($AL118)=0),"No se encuentra en la hoja de la jefatura (elíjala de nuevo en la lista)"&amp;" · ","")&amp;IF(OR(AND($E118&lt;&gt;"",NOT(ISNUMBER($E118))),AND($F118&lt;&gt;"",NOT(ISNUMBER($F118))),AND($G118&lt;&gt;"",NOT(ISNUMBER($G118)))),"Fecha no válida"&amp;" · ","")&amp;IF(AND(ISNUMBER($AM118),ISNUMBER($AN118),$AM118&gt;$AN118),"Inicio posterior a fecha límite"&amp;" · ","")&amp;IF(AND($V118="Macro",$H118&lt;&gt;"",OR(NOT(ISNUMBER($H118)),$H118&lt;0,$H118&gt;1)),"Peso fuera de rango"&amp;" · ","")&amp;IF(AND($V118="Sub",$H118&lt;&gt;""),"Las subactividades no llevan peso (valen igual dentro de su macroactividad)"&amp;" · ","")&amp;IF(AND(N($W118)&gt;0,COUNT($I118:$L118)&gt;0),"Con subactividades: deje vacías las semanas (se calculan solas)"&amp;" · ","")&amp;IF((COUNTIF($I118:$L118,"&gt;1")+COUNTIF($I118:$L118,"&lt;0")+COUNTA($I118:$L118)-COUNT($I118:$L118))&gt;0,"Avance fuera de rango 0-100%"&amp;" · ","")&amp;IF(OR(AND($J118&lt;&gt;"",$J118&lt;$I118),AND($K118&lt;&gt;"",$K118&lt;MAX($I118:$J118)),AND($L118&lt;&gt;"",$L118&lt;MAX($I118:$K118))),"Avance semanal decreciente"&amp;" · ","")&amp;IF(AND(ISNUMBER($AN118),$AN118&lt;FechaRef,IF($V118="Sub",N($X118),N($M118))&lt;1),"Vencida"&amp;" · ","")&amp;IF(AND(ObsObligatoria="Sí",ISNUMBER($AN118),$AN118&lt;FechaRef,IF($V118="Sub",N($X118),N($M118))&lt;1,$Q118=""),"Vencida sin observación"&amp;" · ",""),LEN(IF($C118="","Falta el nombre de la actividad"&amp;" · ","")&amp;IF(AND($V118="Sub",N($U118)=0),"Subactividad sin macroactividad arriba"&amp;" · ","")&amp;IF($AM118="","Sin fecha de inicio"&amp;" · ","")&amp;IF($AN118="","Sin fecha límite"&amp;" · ","")&amp;IF(AND(LEFT($C118,11)="[Jefatura] ",N($AL118)=0),"No se encuentra en la hoja de la jefatura (elíjala de nuevo en la lista)"&amp;" · ","")&amp;IF(OR(AND($E118&lt;&gt;"",NOT(ISNUMBER($E118))),AND($F118&lt;&gt;"",NOT(ISNUMBER($F118))),AND($G118&lt;&gt;"",NOT(ISNUMBER($G118)))),"Fecha no válida"&amp;" · ","")&amp;IF(AND(ISNUMBER($AM118),ISNUMBER($AN118),$AM118&gt;$AN118),"Inicio posterior a fecha límite"&amp;" · ","")&amp;IF(AND($V118="Macro",$H118&lt;&gt;"",OR(NOT(ISNUMBER($H118)),$H118&lt;0,$H118&gt;1)),"Peso fuera de rango"&amp;" · ","")&amp;IF(AND($V118="Sub",$H118&lt;&gt;""),"Las subactividades no llevan peso (valen igual dentro de su macroactividad)"&amp;" · ","")&amp;IF(AND(N($W118)&gt;0,COUNT($I118:$L118)&gt;0),"Con subactividades: deje vacías las semanas (se calculan solas)"&amp;" · ","")&amp;IF((COUNTIF($I118:$L118,"&gt;1")+COUNTIF($I118:$L118,"&lt;0")+COUNTA($I118:$L118)-COUNT($I118:$L118))&gt;0,"Avance fuera de rango 0-100%"&amp;" · ","")&amp;IF(OR(AND($J118&lt;&gt;"",$J118&lt;$I118),AND($K118&lt;&gt;"",$K118&lt;MAX($I118:$J118)),AND($L118&lt;&gt;"",$L118&lt;MAX($I118:$K118))),"Avance semanal decreciente"&amp;" · ","")&amp;IF(AND(ISNUMBER($AN118),$AN118&lt;FechaRef,IF($V118="Sub",N($X118),N($M118))&lt;1),"Vencida"&amp;" · ","")&amp;IF(AND(ObsObligatoria="Sí",ISNUMBER($AN118),$AN118&lt;FechaRef,IF($V118="Sub",N($X118),N($M118))&lt;1,$Q118=""),"Vencida sin observación"&amp;" · ",""))-3)))</f>
        <v/>
      </c>
      <c r="S118" s="64">
        <f>IF(NOT((COUNTA($B118:$D118)+COUNTA($G118:$L118)+COUNTA($Q118))&gt;0),"",IF(AND($V118="Sub",N($U118)&gt;0),IF(ISNUMBER(INDEX($AM$5:$AM$1000,$U118-4)),DATE(YEAR(INDEX($AM$5:$AM$1000,$U118-4)),MONTH(INDEX($AM$5:$AM$1000,$U118-4)),1),IF(ISNUMBER(INDEX($AN$5:$AN$1000,$U118-4)),DATE(YEAR(INDEX($AN$5:$AN$1000,$U118-4)),MONTH(INDEX($AN$5:$AN$1000,$U118-4)),1),MesCiclo)),IF(ISNUMBER($AM118),DATE(YEAR($AM118),MONTH($AM118),1),IF(ISNUMBER($AN118),DATE(YEAR($AN118),MONTH($AN118),1),MesCiclo))))</f>
        <v/>
      </c>
      <c r="T118" s="62">
        <f>IF(OR($S118="",$S118&lt;&gt;MesCiclo,$V118&lt;&gt;"Macro"),"",COUNTIFS($S$5:$S118,MesCiclo,$V$5:$V118,"Macro"))</f>
        <v/>
      </c>
      <c r="U118" s="62">
        <f>IF($V118="","",IF($V118="Macro",ROW(),IFERROR(LOOKUP(2,1/($V$5:$V118="Macro"),ROW($V$5:$V118)),0)))</f>
        <v/>
      </c>
      <c r="V118" s="62">
        <f>IF(NOT((COUNTA($B118:$D118)+COUNTA($G118:$L118)+COUNTA($Q118))&gt;0),"",IF($B118="Subactividad","Sub","Macro"))</f>
        <v/>
      </c>
      <c r="W118" s="62">
        <f>IF($V118="Macro",COUNTIFS($U$5:$U$1000,ROW(),$V$5:$V$1000,"Sub"),"")</f>
        <v/>
      </c>
      <c r="X118" s="62">
        <f>IF($V118="","",IF(ISNUMBER($G118),1,IFERROR(LOOKUP(2,1/($I118:$L118&lt;&gt;""),$I118:$L118),0)))</f>
        <v/>
      </c>
      <c r="Y118" s="62">
        <f>IF($V118="","",IF(AND(ISNUMBER($G118),$G118&lt;=IF($S118=MesCiclo,InicioCiclo,$S118+MOD(2-WEEKDAY($S118),7))+6),1,IF(ISNUMBER($I118),$I118,0)))</f>
        <v/>
      </c>
      <c r="Z118" s="62">
        <f>IF($V118="","",IF(AND(ISNUMBER($G118),$G118&lt;=IF($S118=MesCiclo,InicioCiclo,$S118+MOD(2-WEEKDAY($S118),7))+13),1,IF(ISNUMBER($J118),$J118,$Y118)))</f>
        <v/>
      </c>
      <c r="AA118" s="62">
        <f>IF($V118="","",IF(AND(ISNUMBER($G118),$G118&lt;=IF($S118=MesCiclo,InicioCiclo,$S118+MOD(2-WEEKDAY($S118),7))+20),1,IF(ISNUMBER($K118),$K118,$Z118)))</f>
        <v/>
      </c>
      <c r="AB118" s="62">
        <f>IF($V118="","",IF(AND(ISNUMBER($G118),$G118&lt;=IF($S118=MesCiclo,InicioCiclo,$S118+MOD(2-WEEKDAY($S118),7))+27),1,IF(ISNUMBER($L118),$L118,$AA118)))</f>
        <v/>
      </c>
      <c r="AC118" s="62">
        <f>IF($V118="","",IF(AND(ISNUMBER($G118),$G118&lt;=IF($S118=MesCiclo,InicioCiclo,$S118+MOD(2-WEEKDAY($S118),7))+6),1,IF(N($W118)&gt;0,AVERAGEIFS($Y$5:$Y$1000,$U$5:$U$1000,ROW(),$V$5:$V$1000,"Sub"),$Y118)))</f>
        <v/>
      </c>
      <c r="AD118" s="62">
        <f>IF($V118="","",IF(AND(ISNUMBER($G118),$G118&lt;=IF($S118=MesCiclo,InicioCiclo,$S118+MOD(2-WEEKDAY($S118),7))+13),1,IF(N($W118)&gt;0,AVERAGEIFS($Z$5:$Z$1000,$U$5:$U$1000,ROW(),$V$5:$V$1000,"Sub"),$Z118)))</f>
        <v/>
      </c>
      <c r="AE118" s="62">
        <f>IF($V118="","",IF(AND(ISNUMBER($G118),$G118&lt;=IF($S118=MesCiclo,InicioCiclo,$S118+MOD(2-WEEKDAY($S118),7))+20),1,IF(N($W118)&gt;0,AVERAGEIFS($AA$5:$AA$1000,$U$5:$U$1000,ROW(),$V$5:$V$1000,"Sub"),$AA118)))</f>
        <v/>
      </c>
      <c r="AF118" s="62">
        <f>IF($V118="","",IF(AND(ISNUMBER($G118),$G118&lt;=IF($S118=MesCiclo,InicioCiclo,$S118+MOD(2-WEEKDAY($S118),7))+27),1,IF(N($W118)&gt;0,AVERAGEIFS($AB$5:$AB$1000,$U$5:$U$1000,ROW(),$V$5:$V$1000,"Sub"),$AB118)))</f>
        <v/>
      </c>
      <c r="AG118" s="62">
        <f>IF($V118&lt;&gt;"Macro","",IF(COUNTIFS($S$5:$S$1000,$S118,$V$5:$V$1000,"Macro",$H$5:$H$1000,"&gt;0")=0,1/COUNTIFS($S$5:$S$1000,$S118,$V$5:$V$1000,"Macro"),IF(AND(ISNUMBER($H118),N($H118)&gt;0),$H118,SUMIFS($H$5:$H$1000,$S$5:$S$1000,$S118,$V$5:$V$1000,"Macro")/COUNTIFS($S$5:$S$1000,$S118,$V$5:$V$1000,"Macro",$H$5:$H$1000,"&gt;0"))/(COUNTIFS($S$5:$S$1000,$S118,$V$5:$V$1000,"Macro")*SUMIFS($H$5:$H$1000,$S$5:$S$1000,$S118,$V$5:$V$1000,"Macro")/COUNTIFS($S$5:$S$1000,$S118,$V$5:$V$1000,"Macro",$H$5:$H$1000,"&gt;0"))))</f>
        <v/>
      </c>
      <c r="AH118" s="62">
        <f>IF(NOT(AND($D118&lt;&gt;"",$V118="Macro")),"",IFERROR(CHOOSE(MATCH($D118,ListaPuestos,0),MATCH("[Jefatura] "&amp;$C118,'Cronograma R. Operacional'!$C$5:$C$1000,0),MATCH("[Jefatura] "&amp;$C118,'Cronograma R. Normativo'!$C$5:$C$1000,0),MATCH("[Jefatura] "&amp;$C118,'Cronograma R. Financiero'!$C$5:$C$1000,0),MATCH("[Jefatura] "&amp;$C118,'Cronograma Asistente Técnico'!$C$5:$C$1000,0)),0))</f>
        <v/>
      </c>
      <c r="AI118" s="62">
        <f>IF(AND(AND($D118&lt;&gt;"",$V118="Macro"),$S118=MesCiclo),COUNTIFS($D$5:$D118,$D118,$S$5:$S118,MesCiclo,$V$5:$V118,"Macro"),"")</f>
        <v/>
      </c>
      <c r="AJ118" s="62">
        <f>IF($AI118="","",$D118&amp;"|"&amp;$AI118)</f>
        <v/>
      </c>
      <c r="AK118" s="62">
        <f>IF(AND($D118&lt;&gt;"",$V118="Macro"),$D118&amp;"|"&amp;$C118,"")</f>
        <v/>
      </c>
      <c r="AL118" s="62">
        <f>""</f>
        <v/>
      </c>
      <c r="AM118" s="62">
        <f>IF(N($AL118)&gt;0,INDEX(rIni_ADM,$AL118),IF(ISNUMBER($E118),$E118,""))</f>
        <v/>
      </c>
      <c r="AN118" s="62">
        <f>IF(N($AL118)&gt;0,INDEX(rLim_ADM,$AL118),IF(ISNUMBER($F118),$F118,""))</f>
        <v/>
      </c>
    </row>
    <row r="119">
      <c r="A119" s="56">
        <f>IF(NOT((COUNTA($B119:$D119)+COUNTA($G119:$L119)+COUNTA($Q119))&gt;0),"",IF($V119="Macro",COUNTIFS($V$5:$V119,"Macro",$S$5:$S119,$S119),IF(N($U119)=0,"?",COUNTIFS(INDEX($V$5:$V$1000,1):INDEX($V$5:$V$1000,$U119-4),"Macro",INDEX($S$5:$S$1000,1):INDEX($S$5:$S$1000,$U119-4),INDEX($S$5:$S$1000,$U119-4))&amp;"."&amp;COUNTIFS($U$5:$U119,$U119,$V$5:$V119,"Sub"))))</f>
        <v/>
      </c>
      <c r="B119" s="57" t="n"/>
      <c r="C119" s="58" t="n"/>
      <c r="D119" s="58" t="n"/>
      <c r="E119" s="59" t="n"/>
      <c r="F119" s="59" t="n"/>
      <c r="G119" s="59" t="n"/>
      <c r="H119" s="60" t="n"/>
      <c r="I119" s="60" t="n"/>
      <c r="J119" s="60" t="n"/>
      <c r="K119" s="60" t="n"/>
      <c r="L119" s="60" t="n"/>
      <c r="M119" s="61">
        <f>IF(NOT((COUNTA($B119:$D119)+COUNTA($G119:$L119)+COUNTA($Q119))&gt;0),"",IF(AND($D119&lt;&gt;"",$V119="Macro"),IF(N($AH119)&gt;0,N(CHOOSE(MATCH($D119,ListaPuestos,0),INDEX('Cronograma R. Operacional'!$M$5:$M$1000,$AH119),INDEX('Cronograma R. Normativo'!$M$5:$M$1000,$AH119),INDEX('Cronograma R. Financiero'!$M$5:$M$1000,$AH119),INDEX('Cronograma Asistente Técnico'!$M$5:$M$1000,$AH119))),0),IF(ISNUMBER($G119),1,IF(N($W119)&gt;0,AVERAGEIFS($X$5:$X$1000,$U$5:$U$1000,ROW(),$V$5:$V$1000,"Sub"),$X119))))</f>
        <v/>
      </c>
      <c r="N119" s="56">
        <f>IF(OR($M119="",$V119="Sub"),"",IF($M119&gt;=1,"Completado",IF($M119&gt;0,"En curso","Pendiente")))</f>
        <v/>
      </c>
      <c r="O119" s="56">
        <f>IF(NOT((COUNTA($B119:$D119)+COUNTA($G119:$L119)+COUNTA($Q119))&gt;0),"",IF(AND(AND($D119&lt;&gt;"",$V119="Macro"),N($AH119)&gt;0),CHOOSE(MATCH($D119,ListaPuestos,0),INDEX('Cronograma R. Operacional'!$O$5:$O$1000,$AH119),INDEX('Cronograma R. Normativo'!$O$5:$O$1000,$AH119),INDEX('Cronograma R. Financiero'!$O$5:$O$1000,$AH119),INDEX('Cronograma Asistente Técnico'!$O$5:$O$1000,$AH119))&amp;"",IF(ISNUMBER($G119),IF(AND(ISNUMBER($AN119),$G119&gt;$AN119),"Cumplida con "&amp;($G119-$AN119)&amp;IF($G119-$AN119=1," día"," días")&amp;" de retraso","Cumplida"),IF(N($M119)&gt;=1,"Cumplida",IF(NOT(ISNUMBER($AN119)),"Sin fecha límite",IF($AN119&lt;FechaRef,"Vencida hace "&amp;(FechaRef-$AN119)&amp;IF(FechaRef-$AN119=1," día"," días"),IF($AN119=FechaRef,"Vence hoy",IF($AN119-FechaRef&lt;=DiasAlerta,"Vence en "&amp;($AN119-FechaRef)&amp;IF($AN119-FechaRef=1," día"," días"),"En plazo"))))))))</f>
        <v/>
      </c>
      <c r="P119" s="62">
        <f>IF(NOT((COUNTA($B119:$D119)+COUNTA($G119:$L119)+COUNTA($Q119))&gt;0),"",IF($D119="","Propia",IF($V119&lt;&gt;"Macro","Solo se delegan macroactividades",IF(N($AH119)&gt;0,"✔ Recibida por "&amp;$D119,"⚠ "&amp;$D119&amp;" aún no la agrega"))))</f>
        <v/>
      </c>
      <c r="Q119" s="58" t="n"/>
      <c r="R119" s="63">
        <f>IF(NOT((COUNTA($B119:$D119)+COUNTA($G119:$L119)+COUNTA($Q119))&gt;0),"",IF((IF($C119="","Falta el nombre de la actividad"&amp;" · ","")&amp;IF(AND($V119="Sub",N($U119)=0),"Subactividad sin macroactividad arriba"&amp;" · ","")&amp;IF($AM119="","Sin fecha de inicio"&amp;" · ","")&amp;IF($AN119="","Sin fecha límite"&amp;" · ","")&amp;IF(AND(LEFT($C119,11)="[Jefatura] ",N($AL119)=0),"No se encuentra en la hoja de la jefatura (elíjala de nuevo en la lista)"&amp;" · ","")&amp;IF(OR(AND($E119&lt;&gt;"",NOT(ISNUMBER($E119))),AND($F119&lt;&gt;"",NOT(ISNUMBER($F119))),AND($G119&lt;&gt;"",NOT(ISNUMBER($G119)))),"Fecha no válida"&amp;" · ","")&amp;IF(AND(ISNUMBER($AM119),ISNUMBER($AN119),$AM119&gt;$AN119),"Inicio posterior a fecha límite"&amp;" · ","")&amp;IF(AND($V119="Macro",$H119&lt;&gt;"",OR(NOT(ISNUMBER($H119)),$H119&lt;0,$H119&gt;1)),"Peso fuera de rango"&amp;" · ","")&amp;IF(AND($V119="Sub",$H119&lt;&gt;""),"Las subactividades no llevan peso (valen igual dentro de su macroactividad)"&amp;" · ","")&amp;IF(AND(N($W119)&gt;0,COUNT($I119:$L119)&gt;0),"Con subactividades: deje vacías las semanas (se calculan solas)"&amp;" · ","")&amp;IF((COUNTIF($I119:$L119,"&gt;1")+COUNTIF($I119:$L119,"&lt;0")+COUNTA($I119:$L119)-COUNT($I119:$L119))&gt;0,"Avance fuera de rango 0-100%"&amp;" · ","")&amp;IF(OR(AND($J119&lt;&gt;"",$J119&lt;$I119),AND($K119&lt;&gt;"",$K119&lt;MAX($I119:$J119)),AND($L119&lt;&gt;"",$L119&lt;MAX($I119:$K119))),"Avance semanal decreciente"&amp;" · ","")&amp;IF(AND(ISNUMBER($AN119),$AN119&lt;FechaRef,IF($V119="Sub",N($X119),N($M119))&lt;1),"Vencida"&amp;" · ","")&amp;IF(AND(ObsObligatoria="Sí",ISNUMBER($AN119),$AN119&lt;FechaRef,IF($V119="Sub",N($X119),N($M119))&lt;1,$Q119=""),"Vencida sin observación"&amp;" · ",""))="","✔ OK","⚠ "&amp;LEFT(IF($C119="","Falta el nombre de la actividad"&amp;" · ","")&amp;IF(AND($V119="Sub",N($U119)=0),"Subactividad sin macroactividad arriba"&amp;" · ","")&amp;IF($AM119="","Sin fecha de inicio"&amp;" · ","")&amp;IF($AN119="","Sin fecha límite"&amp;" · ","")&amp;IF(AND(LEFT($C119,11)="[Jefatura] ",N($AL119)=0),"No se encuentra en la hoja de la jefatura (elíjala de nuevo en la lista)"&amp;" · ","")&amp;IF(OR(AND($E119&lt;&gt;"",NOT(ISNUMBER($E119))),AND($F119&lt;&gt;"",NOT(ISNUMBER($F119))),AND($G119&lt;&gt;"",NOT(ISNUMBER($G119)))),"Fecha no válida"&amp;" · ","")&amp;IF(AND(ISNUMBER($AM119),ISNUMBER($AN119),$AM119&gt;$AN119),"Inicio posterior a fecha límite"&amp;" · ","")&amp;IF(AND($V119="Macro",$H119&lt;&gt;"",OR(NOT(ISNUMBER($H119)),$H119&lt;0,$H119&gt;1)),"Peso fuera de rango"&amp;" · ","")&amp;IF(AND($V119="Sub",$H119&lt;&gt;""),"Las subactividades no llevan peso (valen igual dentro de su macroactividad)"&amp;" · ","")&amp;IF(AND(N($W119)&gt;0,COUNT($I119:$L119)&gt;0),"Con subactividades: deje vacías las semanas (se calculan solas)"&amp;" · ","")&amp;IF((COUNTIF($I119:$L119,"&gt;1")+COUNTIF($I119:$L119,"&lt;0")+COUNTA($I119:$L119)-COUNT($I119:$L119))&gt;0,"Avance fuera de rango 0-100%"&amp;" · ","")&amp;IF(OR(AND($J119&lt;&gt;"",$J119&lt;$I119),AND($K119&lt;&gt;"",$K119&lt;MAX($I119:$J119)),AND($L119&lt;&gt;"",$L119&lt;MAX($I119:$K119))),"Avance semanal decreciente"&amp;" · ","")&amp;IF(AND(ISNUMBER($AN119),$AN119&lt;FechaRef,IF($V119="Sub",N($X119),N($M119))&lt;1),"Vencida"&amp;" · ","")&amp;IF(AND(ObsObligatoria="Sí",ISNUMBER($AN119),$AN119&lt;FechaRef,IF($V119="Sub",N($X119),N($M119))&lt;1,$Q119=""),"Vencida sin observación"&amp;" · ",""),LEN(IF($C119="","Falta el nombre de la actividad"&amp;" · ","")&amp;IF(AND($V119="Sub",N($U119)=0),"Subactividad sin macroactividad arriba"&amp;" · ","")&amp;IF($AM119="","Sin fecha de inicio"&amp;" · ","")&amp;IF($AN119="","Sin fecha límite"&amp;" · ","")&amp;IF(AND(LEFT($C119,11)="[Jefatura] ",N($AL119)=0),"No se encuentra en la hoja de la jefatura (elíjala de nuevo en la lista)"&amp;" · ","")&amp;IF(OR(AND($E119&lt;&gt;"",NOT(ISNUMBER($E119))),AND($F119&lt;&gt;"",NOT(ISNUMBER($F119))),AND($G119&lt;&gt;"",NOT(ISNUMBER($G119)))),"Fecha no válida"&amp;" · ","")&amp;IF(AND(ISNUMBER($AM119),ISNUMBER($AN119),$AM119&gt;$AN119),"Inicio posterior a fecha límite"&amp;" · ","")&amp;IF(AND($V119="Macro",$H119&lt;&gt;"",OR(NOT(ISNUMBER($H119)),$H119&lt;0,$H119&gt;1)),"Peso fuera de rango"&amp;" · ","")&amp;IF(AND($V119="Sub",$H119&lt;&gt;""),"Las subactividades no llevan peso (valen igual dentro de su macroactividad)"&amp;" · ","")&amp;IF(AND(N($W119)&gt;0,COUNT($I119:$L119)&gt;0),"Con subactividades: deje vacías las semanas (se calculan solas)"&amp;" · ","")&amp;IF((COUNTIF($I119:$L119,"&gt;1")+COUNTIF($I119:$L119,"&lt;0")+COUNTA($I119:$L119)-COUNT($I119:$L119))&gt;0,"Avance fuera de rango 0-100%"&amp;" · ","")&amp;IF(OR(AND($J119&lt;&gt;"",$J119&lt;$I119),AND($K119&lt;&gt;"",$K119&lt;MAX($I119:$J119)),AND($L119&lt;&gt;"",$L119&lt;MAX($I119:$K119))),"Avance semanal decreciente"&amp;" · ","")&amp;IF(AND(ISNUMBER($AN119),$AN119&lt;FechaRef,IF($V119="Sub",N($X119),N($M119))&lt;1),"Vencida"&amp;" · ","")&amp;IF(AND(ObsObligatoria="Sí",ISNUMBER($AN119),$AN119&lt;FechaRef,IF($V119="Sub",N($X119),N($M119))&lt;1,$Q119=""),"Vencida sin observación"&amp;" · ",""))-3)))</f>
        <v/>
      </c>
      <c r="S119" s="64">
        <f>IF(NOT((COUNTA($B119:$D119)+COUNTA($G119:$L119)+COUNTA($Q119))&gt;0),"",IF(AND($V119="Sub",N($U119)&gt;0),IF(ISNUMBER(INDEX($AM$5:$AM$1000,$U119-4)),DATE(YEAR(INDEX($AM$5:$AM$1000,$U119-4)),MONTH(INDEX($AM$5:$AM$1000,$U119-4)),1),IF(ISNUMBER(INDEX($AN$5:$AN$1000,$U119-4)),DATE(YEAR(INDEX($AN$5:$AN$1000,$U119-4)),MONTH(INDEX($AN$5:$AN$1000,$U119-4)),1),MesCiclo)),IF(ISNUMBER($AM119),DATE(YEAR($AM119),MONTH($AM119),1),IF(ISNUMBER($AN119),DATE(YEAR($AN119),MONTH($AN119),1),MesCiclo))))</f>
        <v/>
      </c>
      <c r="T119" s="62">
        <f>IF(OR($S119="",$S119&lt;&gt;MesCiclo,$V119&lt;&gt;"Macro"),"",COUNTIFS($S$5:$S119,MesCiclo,$V$5:$V119,"Macro"))</f>
        <v/>
      </c>
      <c r="U119" s="62">
        <f>IF($V119="","",IF($V119="Macro",ROW(),IFERROR(LOOKUP(2,1/($V$5:$V119="Macro"),ROW($V$5:$V119)),0)))</f>
        <v/>
      </c>
      <c r="V119" s="62">
        <f>IF(NOT((COUNTA($B119:$D119)+COUNTA($G119:$L119)+COUNTA($Q119))&gt;0),"",IF($B119="Subactividad","Sub","Macro"))</f>
        <v/>
      </c>
      <c r="W119" s="62">
        <f>IF($V119="Macro",COUNTIFS($U$5:$U$1000,ROW(),$V$5:$V$1000,"Sub"),"")</f>
        <v/>
      </c>
      <c r="X119" s="62">
        <f>IF($V119="","",IF(ISNUMBER($G119),1,IFERROR(LOOKUP(2,1/($I119:$L119&lt;&gt;""),$I119:$L119),0)))</f>
        <v/>
      </c>
      <c r="Y119" s="62">
        <f>IF($V119="","",IF(AND(ISNUMBER($G119),$G119&lt;=IF($S119=MesCiclo,InicioCiclo,$S119+MOD(2-WEEKDAY($S119),7))+6),1,IF(ISNUMBER($I119),$I119,0)))</f>
        <v/>
      </c>
      <c r="Z119" s="62">
        <f>IF($V119="","",IF(AND(ISNUMBER($G119),$G119&lt;=IF($S119=MesCiclo,InicioCiclo,$S119+MOD(2-WEEKDAY($S119),7))+13),1,IF(ISNUMBER($J119),$J119,$Y119)))</f>
        <v/>
      </c>
      <c r="AA119" s="62">
        <f>IF($V119="","",IF(AND(ISNUMBER($G119),$G119&lt;=IF($S119=MesCiclo,InicioCiclo,$S119+MOD(2-WEEKDAY($S119),7))+20),1,IF(ISNUMBER($K119),$K119,$Z119)))</f>
        <v/>
      </c>
      <c r="AB119" s="62">
        <f>IF($V119="","",IF(AND(ISNUMBER($G119),$G119&lt;=IF($S119=MesCiclo,InicioCiclo,$S119+MOD(2-WEEKDAY($S119),7))+27),1,IF(ISNUMBER($L119),$L119,$AA119)))</f>
        <v/>
      </c>
      <c r="AC119" s="62">
        <f>IF($V119="","",IF(AND(ISNUMBER($G119),$G119&lt;=IF($S119=MesCiclo,InicioCiclo,$S119+MOD(2-WEEKDAY($S119),7))+6),1,IF(N($W119)&gt;0,AVERAGEIFS($Y$5:$Y$1000,$U$5:$U$1000,ROW(),$V$5:$V$1000,"Sub"),$Y119)))</f>
        <v/>
      </c>
      <c r="AD119" s="62">
        <f>IF($V119="","",IF(AND(ISNUMBER($G119),$G119&lt;=IF($S119=MesCiclo,InicioCiclo,$S119+MOD(2-WEEKDAY($S119),7))+13),1,IF(N($W119)&gt;0,AVERAGEIFS($Z$5:$Z$1000,$U$5:$U$1000,ROW(),$V$5:$V$1000,"Sub"),$Z119)))</f>
        <v/>
      </c>
      <c r="AE119" s="62">
        <f>IF($V119="","",IF(AND(ISNUMBER($G119),$G119&lt;=IF($S119=MesCiclo,InicioCiclo,$S119+MOD(2-WEEKDAY($S119),7))+20),1,IF(N($W119)&gt;0,AVERAGEIFS($AA$5:$AA$1000,$U$5:$U$1000,ROW(),$V$5:$V$1000,"Sub"),$AA119)))</f>
        <v/>
      </c>
      <c r="AF119" s="62">
        <f>IF($V119="","",IF(AND(ISNUMBER($G119),$G119&lt;=IF($S119=MesCiclo,InicioCiclo,$S119+MOD(2-WEEKDAY($S119),7))+27),1,IF(N($W119)&gt;0,AVERAGEIFS($AB$5:$AB$1000,$U$5:$U$1000,ROW(),$V$5:$V$1000,"Sub"),$AB119)))</f>
        <v/>
      </c>
      <c r="AG119" s="62">
        <f>IF($V119&lt;&gt;"Macro","",IF(COUNTIFS($S$5:$S$1000,$S119,$V$5:$V$1000,"Macro",$H$5:$H$1000,"&gt;0")=0,1/COUNTIFS($S$5:$S$1000,$S119,$V$5:$V$1000,"Macro"),IF(AND(ISNUMBER($H119),N($H119)&gt;0),$H119,SUMIFS($H$5:$H$1000,$S$5:$S$1000,$S119,$V$5:$V$1000,"Macro")/COUNTIFS($S$5:$S$1000,$S119,$V$5:$V$1000,"Macro",$H$5:$H$1000,"&gt;0"))/(COUNTIFS($S$5:$S$1000,$S119,$V$5:$V$1000,"Macro")*SUMIFS($H$5:$H$1000,$S$5:$S$1000,$S119,$V$5:$V$1000,"Macro")/COUNTIFS($S$5:$S$1000,$S119,$V$5:$V$1000,"Macro",$H$5:$H$1000,"&gt;0"))))</f>
        <v/>
      </c>
      <c r="AH119" s="62">
        <f>IF(NOT(AND($D119&lt;&gt;"",$V119="Macro")),"",IFERROR(CHOOSE(MATCH($D119,ListaPuestos,0),MATCH("[Jefatura] "&amp;$C119,'Cronograma R. Operacional'!$C$5:$C$1000,0),MATCH("[Jefatura] "&amp;$C119,'Cronograma R. Normativo'!$C$5:$C$1000,0),MATCH("[Jefatura] "&amp;$C119,'Cronograma R. Financiero'!$C$5:$C$1000,0),MATCH("[Jefatura] "&amp;$C119,'Cronograma Asistente Técnico'!$C$5:$C$1000,0)),0))</f>
        <v/>
      </c>
      <c r="AI119" s="62">
        <f>IF(AND(AND($D119&lt;&gt;"",$V119="Macro"),$S119=MesCiclo),COUNTIFS($D$5:$D119,$D119,$S$5:$S119,MesCiclo,$V$5:$V119,"Macro"),"")</f>
        <v/>
      </c>
      <c r="AJ119" s="62">
        <f>IF($AI119="","",$D119&amp;"|"&amp;$AI119)</f>
        <v/>
      </c>
      <c r="AK119" s="62">
        <f>IF(AND($D119&lt;&gt;"",$V119="Macro"),$D119&amp;"|"&amp;$C119,"")</f>
        <v/>
      </c>
      <c r="AL119" s="62">
        <f>""</f>
        <v/>
      </c>
      <c r="AM119" s="62">
        <f>IF(N($AL119)&gt;0,INDEX(rIni_ADM,$AL119),IF(ISNUMBER($E119),$E119,""))</f>
        <v/>
      </c>
      <c r="AN119" s="62">
        <f>IF(N($AL119)&gt;0,INDEX(rLim_ADM,$AL119),IF(ISNUMBER($F119),$F119,""))</f>
        <v/>
      </c>
    </row>
    <row r="120">
      <c r="A120" s="56">
        <f>IF(NOT((COUNTA($B120:$D120)+COUNTA($G120:$L120)+COUNTA($Q120))&gt;0),"",IF($V120="Macro",COUNTIFS($V$5:$V120,"Macro",$S$5:$S120,$S120),IF(N($U120)=0,"?",COUNTIFS(INDEX($V$5:$V$1000,1):INDEX($V$5:$V$1000,$U120-4),"Macro",INDEX($S$5:$S$1000,1):INDEX($S$5:$S$1000,$U120-4),INDEX($S$5:$S$1000,$U120-4))&amp;"."&amp;COUNTIFS($U$5:$U120,$U120,$V$5:$V120,"Sub"))))</f>
        <v/>
      </c>
      <c r="B120" s="57" t="n"/>
      <c r="C120" s="58" t="n"/>
      <c r="D120" s="58" t="n"/>
      <c r="E120" s="59" t="n"/>
      <c r="F120" s="59" t="n"/>
      <c r="G120" s="59" t="n"/>
      <c r="H120" s="60" t="n"/>
      <c r="I120" s="60" t="n"/>
      <c r="J120" s="60" t="n"/>
      <c r="K120" s="60" t="n"/>
      <c r="L120" s="60" t="n"/>
      <c r="M120" s="61">
        <f>IF(NOT((COUNTA($B120:$D120)+COUNTA($G120:$L120)+COUNTA($Q120))&gt;0),"",IF(AND($D120&lt;&gt;"",$V120="Macro"),IF(N($AH120)&gt;0,N(CHOOSE(MATCH($D120,ListaPuestos,0),INDEX('Cronograma R. Operacional'!$M$5:$M$1000,$AH120),INDEX('Cronograma R. Normativo'!$M$5:$M$1000,$AH120),INDEX('Cronograma R. Financiero'!$M$5:$M$1000,$AH120),INDEX('Cronograma Asistente Técnico'!$M$5:$M$1000,$AH120))),0),IF(ISNUMBER($G120),1,IF(N($W120)&gt;0,AVERAGEIFS($X$5:$X$1000,$U$5:$U$1000,ROW(),$V$5:$V$1000,"Sub"),$X120))))</f>
        <v/>
      </c>
      <c r="N120" s="56">
        <f>IF(OR($M120="",$V120="Sub"),"",IF($M120&gt;=1,"Completado",IF($M120&gt;0,"En curso","Pendiente")))</f>
        <v/>
      </c>
      <c r="O120" s="56">
        <f>IF(NOT((COUNTA($B120:$D120)+COUNTA($G120:$L120)+COUNTA($Q120))&gt;0),"",IF(AND(AND($D120&lt;&gt;"",$V120="Macro"),N($AH120)&gt;0),CHOOSE(MATCH($D120,ListaPuestos,0),INDEX('Cronograma R. Operacional'!$O$5:$O$1000,$AH120),INDEX('Cronograma R. Normativo'!$O$5:$O$1000,$AH120),INDEX('Cronograma R. Financiero'!$O$5:$O$1000,$AH120),INDEX('Cronograma Asistente Técnico'!$O$5:$O$1000,$AH120))&amp;"",IF(ISNUMBER($G120),IF(AND(ISNUMBER($AN120),$G120&gt;$AN120),"Cumplida con "&amp;($G120-$AN120)&amp;IF($G120-$AN120=1," día"," días")&amp;" de retraso","Cumplida"),IF(N($M120)&gt;=1,"Cumplida",IF(NOT(ISNUMBER($AN120)),"Sin fecha límite",IF($AN120&lt;FechaRef,"Vencida hace "&amp;(FechaRef-$AN120)&amp;IF(FechaRef-$AN120=1," día"," días"),IF($AN120=FechaRef,"Vence hoy",IF($AN120-FechaRef&lt;=DiasAlerta,"Vence en "&amp;($AN120-FechaRef)&amp;IF($AN120-FechaRef=1," día"," días"),"En plazo"))))))))</f>
        <v/>
      </c>
      <c r="P120" s="62">
        <f>IF(NOT((COUNTA($B120:$D120)+COUNTA($G120:$L120)+COUNTA($Q120))&gt;0),"",IF($D120="","Propia",IF($V120&lt;&gt;"Macro","Solo se delegan macroactividades",IF(N($AH120)&gt;0,"✔ Recibida por "&amp;$D120,"⚠ "&amp;$D120&amp;" aún no la agrega"))))</f>
        <v/>
      </c>
      <c r="Q120" s="58" t="n"/>
      <c r="R120" s="63">
        <f>IF(NOT((COUNTA($B120:$D120)+COUNTA($G120:$L120)+COUNTA($Q120))&gt;0),"",IF((IF($C120="","Falta el nombre de la actividad"&amp;" · ","")&amp;IF(AND($V120="Sub",N($U120)=0),"Subactividad sin macroactividad arriba"&amp;" · ","")&amp;IF($AM120="","Sin fecha de inicio"&amp;" · ","")&amp;IF($AN120="","Sin fecha límite"&amp;" · ","")&amp;IF(AND(LEFT($C120,11)="[Jefatura] ",N($AL120)=0),"No se encuentra en la hoja de la jefatura (elíjala de nuevo en la lista)"&amp;" · ","")&amp;IF(OR(AND($E120&lt;&gt;"",NOT(ISNUMBER($E120))),AND($F120&lt;&gt;"",NOT(ISNUMBER($F120))),AND($G120&lt;&gt;"",NOT(ISNUMBER($G120)))),"Fecha no válida"&amp;" · ","")&amp;IF(AND(ISNUMBER($AM120),ISNUMBER($AN120),$AM120&gt;$AN120),"Inicio posterior a fecha límite"&amp;" · ","")&amp;IF(AND($V120="Macro",$H120&lt;&gt;"",OR(NOT(ISNUMBER($H120)),$H120&lt;0,$H120&gt;1)),"Peso fuera de rango"&amp;" · ","")&amp;IF(AND($V120="Sub",$H120&lt;&gt;""),"Las subactividades no llevan peso (valen igual dentro de su macroactividad)"&amp;" · ","")&amp;IF(AND(N($W120)&gt;0,COUNT($I120:$L120)&gt;0),"Con subactividades: deje vacías las semanas (se calculan solas)"&amp;" · ","")&amp;IF((COUNTIF($I120:$L120,"&gt;1")+COUNTIF($I120:$L120,"&lt;0")+COUNTA($I120:$L120)-COUNT($I120:$L120))&gt;0,"Avance fuera de rango 0-100%"&amp;" · ","")&amp;IF(OR(AND($J120&lt;&gt;"",$J120&lt;$I120),AND($K120&lt;&gt;"",$K120&lt;MAX($I120:$J120)),AND($L120&lt;&gt;"",$L120&lt;MAX($I120:$K120))),"Avance semanal decreciente"&amp;" · ","")&amp;IF(AND(ISNUMBER($AN120),$AN120&lt;FechaRef,IF($V120="Sub",N($X120),N($M120))&lt;1),"Vencida"&amp;" · ","")&amp;IF(AND(ObsObligatoria="Sí",ISNUMBER($AN120),$AN120&lt;FechaRef,IF($V120="Sub",N($X120),N($M120))&lt;1,$Q120=""),"Vencida sin observación"&amp;" · ",""))="","✔ OK","⚠ "&amp;LEFT(IF($C120="","Falta el nombre de la actividad"&amp;" · ","")&amp;IF(AND($V120="Sub",N($U120)=0),"Subactividad sin macroactividad arriba"&amp;" · ","")&amp;IF($AM120="","Sin fecha de inicio"&amp;" · ","")&amp;IF($AN120="","Sin fecha límite"&amp;" · ","")&amp;IF(AND(LEFT($C120,11)="[Jefatura] ",N($AL120)=0),"No se encuentra en la hoja de la jefatura (elíjala de nuevo en la lista)"&amp;" · ","")&amp;IF(OR(AND($E120&lt;&gt;"",NOT(ISNUMBER($E120))),AND($F120&lt;&gt;"",NOT(ISNUMBER($F120))),AND($G120&lt;&gt;"",NOT(ISNUMBER($G120)))),"Fecha no válida"&amp;" · ","")&amp;IF(AND(ISNUMBER($AM120),ISNUMBER($AN120),$AM120&gt;$AN120),"Inicio posterior a fecha límite"&amp;" · ","")&amp;IF(AND($V120="Macro",$H120&lt;&gt;"",OR(NOT(ISNUMBER($H120)),$H120&lt;0,$H120&gt;1)),"Peso fuera de rango"&amp;" · ","")&amp;IF(AND($V120="Sub",$H120&lt;&gt;""),"Las subactividades no llevan peso (valen igual dentro de su macroactividad)"&amp;" · ","")&amp;IF(AND(N($W120)&gt;0,COUNT($I120:$L120)&gt;0),"Con subactividades: deje vacías las semanas (se calculan solas)"&amp;" · ","")&amp;IF((COUNTIF($I120:$L120,"&gt;1")+COUNTIF($I120:$L120,"&lt;0")+COUNTA($I120:$L120)-COUNT($I120:$L120))&gt;0,"Avance fuera de rango 0-100%"&amp;" · ","")&amp;IF(OR(AND($J120&lt;&gt;"",$J120&lt;$I120),AND($K120&lt;&gt;"",$K120&lt;MAX($I120:$J120)),AND($L120&lt;&gt;"",$L120&lt;MAX($I120:$K120))),"Avance semanal decreciente"&amp;" · ","")&amp;IF(AND(ISNUMBER($AN120),$AN120&lt;FechaRef,IF($V120="Sub",N($X120),N($M120))&lt;1),"Vencida"&amp;" · ","")&amp;IF(AND(ObsObligatoria="Sí",ISNUMBER($AN120),$AN120&lt;FechaRef,IF($V120="Sub",N($X120),N($M120))&lt;1,$Q120=""),"Vencida sin observación"&amp;" · ",""),LEN(IF($C120="","Falta el nombre de la actividad"&amp;" · ","")&amp;IF(AND($V120="Sub",N($U120)=0),"Subactividad sin macroactividad arriba"&amp;" · ","")&amp;IF($AM120="","Sin fecha de inicio"&amp;" · ","")&amp;IF($AN120="","Sin fecha límite"&amp;" · ","")&amp;IF(AND(LEFT($C120,11)="[Jefatura] ",N($AL120)=0),"No se encuentra en la hoja de la jefatura (elíjala de nuevo en la lista)"&amp;" · ","")&amp;IF(OR(AND($E120&lt;&gt;"",NOT(ISNUMBER($E120))),AND($F120&lt;&gt;"",NOT(ISNUMBER($F120))),AND($G120&lt;&gt;"",NOT(ISNUMBER($G120)))),"Fecha no válida"&amp;" · ","")&amp;IF(AND(ISNUMBER($AM120),ISNUMBER($AN120),$AM120&gt;$AN120),"Inicio posterior a fecha límite"&amp;" · ","")&amp;IF(AND($V120="Macro",$H120&lt;&gt;"",OR(NOT(ISNUMBER($H120)),$H120&lt;0,$H120&gt;1)),"Peso fuera de rango"&amp;" · ","")&amp;IF(AND($V120="Sub",$H120&lt;&gt;""),"Las subactividades no llevan peso (valen igual dentro de su macroactividad)"&amp;" · ","")&amp;IF(AND(N($W120)&gt;0,COUNT($I120:$L120)&gt;0),"Con subactividades: deje vacías las semanas (se calculan solas)"&amp;" · ","")&amp;IF((COUNTIF($I120:$L120,"&gt;1")+COUNTIF($I120:$L120,"&lt;0")+COUNTA($I120:$L120)-COUNT($I120:$L120))&gt;0,"Avance fuera de rango 0-100%"&amp;" · ","")&amp;IF(OR(AND($J120&lt;&gt;"",$J120&lt;$I120),AND($K120&lt;&gt;"",$K120&lt;MAX($I120:$J120)),AND($L120&lt;&gt;"",$L120&lt;MAX($I120:$K120))),"Avance semanal decreciente"&amp;" · ","")&amp;IF(AND(ISNUMBER($AN120),$AN120&lt;FechaRef,IF($V120="Sub",N($X120),N($M120))&lt;1),"Vencida"&amp;" · ","")&amp;IF(AND(ObsObligatoria="Sí",ISNUMBER($AN120),$AN120&lt;FechaRef,IF($V120="Sub",N($X120),N($M120))&lt;1,$Q120=""),"Vencida sin observación"&amp;" · ",""))-3)))</f>
        <v/>
      </c>
      <c r="S120" s="64">
        <f>IF(NOT((COUNTA($B120:$D120)+COUNTA($G120:$L120)+COUNTA($Q120))&gt;0),"",IF(AND($V120="Sub",N($U120)&gt;0),IF(ISNUMBER(INDEX($AM$5:$AM$1000,$U120-4)),DATE(YEAR(INDEX($AM$5:$AM$1000,$U120-4)),MONTH(INDEX($AM$5:$AM$1000,$U120-4)),1),IF(ISNUMBER(INDEX($AN$5:$AN$1000,$U120-4)),DATE(YEAR(INDEX($AN$5:$AN$1000,$U120-4)),MONTH(INDEX($AN$5:$AN$1000,$U120-4)),1),MesCiclo)),IF(ISNUMBER($AM120),DATE(YEAR($AM120),MONTH($AM120),1),IF(ISNUMBER($AN120),DATE(YEAR($AN120),MONTH($AN120),1),MesCiclo))))</f>
        <v/>
      </c>
      <c r="T120" s="62">
        <f>IF(OR($S120="",$S120&lt;&gt;MesCiclo,$V120&lt;&gt;"Macro"),"",COUNTIFS($S$5:$S120,MesCiclo,$V$5:$V120,"Macro"))</f>
        <v/>
      </c>
      <c r="U120" s="62">
        <f>IF($V120="","",IF($V120="Macro",ROW(),IFERROR(LOOKUP(2,1/($V$5:$V120="Macro"),ROW($V$5:$V120)),0)))</f>
        <v/>
      </c>
      <c r="V120" s="62">
        <f>IF(NOT((COUNTA($B120:$D120)+COUNTA($G120:$L120)+COUNTA($Q120))&gt;0),"",IF($B120="Subactividad","Sub","Macro"))</f>
        <v/>
      </c>
      <c r="W120" s="62">
        <f>IF($V120="Macro",COUNTIFS($U$5:$U$1000,ROW(),$V$5:$V$1000,"Sub"),"")</f>
        <v/>
      </c>
      <c r="X120" s="62">
        <f>IF($V120="","",IF(ISNUMBER($G120),1,IFERROR(LOOKUP(2,1/($I120:$L120&lt;&gt;""),$I120:$L120),0)))</f>
        <v/>
      </c>
      <c r="Y120" s="62">
        <f>IF($V120="","",IF(AND(ISNUMBER($G120),$G120&lt;=IF($S120=MesCiclo,InicioCiclo,$S120+MOD(2-WEEKDAY($S120),7))+6),1,IF(ISNUMBER($I120),$I120,0)))</f>
        <v/>
      </c>
      <c r="Z120" s="62">
        <f>IF($V120="","",IF(AND(ISNUMBER($G120),$G120&lt;=IF($S120=MesCiclo,InicioCiclo,$S120+MOD(2-WEEKDAY($S120),7))+13),1,IF(ISNUMBER($J120),$J120,$Y120)))</f>
        <v/>
      </c>
      <c r="AA120" s="62">
        <f>IF($V120="","",IF(AND(ISNUMBER($G120),$G120&lt;=IF($S120=MesCiclo,InicioCiclo,$S120+MOD(2-WEEKDAY($S120),7))+20),1,IF(ISNUMBER($K120),$K120,$Z120)))</f>
        <v/>
      </c>
      <c r="AB120" s="62">
        <f>IF($V120="","",IF(AND(ISNUMBER($G120),$G120&lt;=IF($S120=MesCiclo,InicioCiclo,$S120+MOD(2-WEEKDAY($S120),7))+27),1,IF(ISNUMBER($L120),$L120,$AA120)))</f>
        <v/>
      </c>
      <c r="AC120" s="62">
        <f>IF($V120="","",IF(AND(ISNUMBER($G120),$G120&lt;=IF($S120=MesCiclo,InicioCiclo,$S120+MOD(2-WEEKDAY($S120),7))+6),1,IF(N($W120)&gt;0,AVERAGEIFS($Y$5:$Y$1000,$U$5:$U$1000,ROW(),$V$5:$V$1000,"Sub"),$Y120)))</f>
        <v/>
      </c>
      <c r="AD120" s="62">
        <f>IF($V120="","",IF(AND(ISNUMBER($G120),$G120&lt;=IF($S120=MesCiclo,InicioCiclo,$S120+MOD(2-WEEKDAY($S120),7))+13),1,IF(N($W120)&gt;0,AVERAGEIFS($Z$5:$Z$1000,$U$5:$U$1000,ROW(),$V$5:$V$1000,"Sub"),$Z120)))</f>
        <v/>
      </c>
      <c r="AE120" s="62">
        <f>IF($V120="","",IF(AND(ISNUMBER($G120),$G120&lt;=IF($S120=MesCiclo,InicioCiclo,$S120+MOD(2-WEEKDAY($S120),7))+20),1,IF(N($W120)&gt;0,AVERAGEIFS($AA$5:$AA$1000,$U$5:$U$1000,ROW(),$V$5:$V$1000,"Sub"),$AA120)))</f>
        <v/>
      </c>
      <c r="AF120" s="62">
        <f>IF($V120="","",IF(AND(ISNUMBER($G120),$G120&lt;=IF($S120=MesCiclo,InicioCiclo,$S120+MOD(2-WEEKDAY($S120),7))+27),1,IF(N($W120)&gt;0,AVERAGEIFS($AB$5:$AB$1000,$U$5:$U$1000,ROW(),$V$5:$V$1000,"Sub"),$AB120)))</f>
        <v/>
      </c>
      <c r="AG120" s="62">
        <f>IF($V120&lt;&gt;"Macro","",IF(COUNTIFS($S$5:$S$1000,$S120,$V$5:$V$1000,"Macro",$H$5:$H$1000,"&gt;0")=0,1/COUNTIFS($S$5:$S$1000,$S120,$V$5:$V$1000,"Macro"),IF(AND(ISNUMBER($H120),N($H120)&gt;0),$H120,SUMIFS($H$5:$H$1000,$S$5:$S$1000,$S120,$V$5:$V$1000,"Macro")/COUNTIFS($S$5:$S$1000,$S120,$V$5:$V$1000,"Macro",$H$5:$H$1000,"&gt;0"))/(COUNTIFS($S$5:$S$1000,$S120,$V$5:$V$1000,"Macro")*SUMIFS($H$5:$H$1000,$S$5:$S$1000,$S120,$V$5:$V$1000,"Macro")/COUNTIFS($S$5:$S$1000,$S120,$V$5:$V$1000,"Macro",$H$5:$H$1000,"&gt;0"))))</f>
        <v/>
      </c>
      <c r="AH120" s="62">
        <f>IF(NOT(AND($D120&lt;&gt;"",$V120="Macro")),"",IFERROR(CHOOSE(MATCH($D120,ListaPuestos,0),MATCH("[Jefatura] "&amp;$C120,'Cronograma R. Operacional'!$C$5:$C$1000,0),MATCH("[Jefatura] "&amp;$C120,'Cronograma R. Normativo'!$C$5:$C$1000,0),MATCH("[Jefatura] "&amp;$C120,'Cronograma R. Financiero'!$C$5:$C$1000,0),MATCH("[Jefatura] "&amp;$C120,'Cronograma Asistente Técnico'!$C$5:$C$1000,0)),0))</f>
        <v/>
      </c>
      <c r="AI120" s="62">
        <f>IF(AND(AND($D120&lt;&gt;"",$V120="Macro"),$S120=MesCiclo),COUNTIFS($D$5:$D120,$D120,$S$5:$S120,MesCiclo,$V$5:$V120,"Macro"),"")</f>
        <v/>
      </c>
      <c r="AJ120" s="62">
        <f>IF($AI120="","",$D120&amp;"|"&amp;$AI120)</f>
        <v/>
      </c>
      <c r="AK120" s="62">
        <f>IF(AND($D120&lt;&gt;"",$V120="Macro"),$D120&amp;"|"&amp;$C120,"")</f>
        <v/>
      </c>
      <c r="AL120" s="62">
        <f>""</f>
        <v/>
      </c>
      <c r="AM120" s="62">
        <f>IF(N($AL120)&gt;0,INDEX(rIni_ADM,$AL120),IF(ISNUMBER($E120),$E120,""))</f>
        <v/>
      </c>
      <c r="AN120" s="62">
        <f>IF(N($AL120)&gt;0,INDEX(rLim_ADM,$AL120),IF(ISNUMBER($F120),$F120,""))</f>
        <v/>
      </c>
    </row>
    <row r="121">
      <c r="A121" s="56">
        <f>IF(NOT((COUNTA($B121:$D121)+COUNTA($G121:$L121)+COUNTA($Q121))&gt;0),"",IF($V121="Macro",COUNTIFS($V$5:$V121,"Macro",$S$5:$S121,$S121),IF(N($U121)=0,"?",COUNTIFS(INDEX($V$5:$V$1000,1):INDEX($V$5:$V$1000,$U121-4),"Macro",INDEX($S$5:$S$1000,1):INDEX($S$5:$S$1000,$U121-4),INDEX($S$5:$S$1000,$U121-4))&amp;"."&amp;COUNTIFS($U$5:$U121,$U121,$V$5:$V121,"Sub"))))</f>
        <v/>
      </c>
      <c r="B121" s="57" t="n"/>
      <c r="C121" s="58" t="n"/>
      <c r="D121" s="58" t="n"/>
      <c r="E121" s="59" t="n"/>
      <c r="F121" s="59" t="n"/>
      <c r="G121" s="59" t="n"/>
      <c r="H121" s="60" t="n"/>
      <c r="I121" s="60" t="n"/>
      <c r="J121" s="60" t="n"/>
      <c r="K121" s="60" t="n"/>
      <c r="L121" s="60" t="n"/>
      <c r="M121" s="61">
        <f>IF(NOT((COUNTA($B121:$D121)+COUNTA($G121:$L121)+COUNTA($Q121))&gt;0),"",IF(AND($D121&lt;&gt;"",$V121="Macro"),IF(N($AH121)&gt;0,N(CHOOSE(MATCH($D121,ListaPuestos,0),INDEX('Cronograma R. Operacional'!$M$5:$M$1000,$AH121),INDEX('Cronograma R. Normativo'!$M$5:$M$1000,$AH121),INDEX('Cronograma R. Financiero'!$M$5:$M$1000,$AH121),INDEX('Cronograma Asistente Técnico'!$M$5:$M$1000,$AH121))),0),IF(ISNUMBER($G121),1,IF(N($W121)&gt;0,AVERAGEIFS($X$5:$X$1000,$U$5:$U$1000,ROW(),$V$5:$V$1000,"Sub"),$X121))))</f>
        <v/>
      </c>
      <c r="N121" s="56">
        <f>IF(OR($M121="",$V121="Sub"),"",IF($M121&gt;=1,"Completado",IF($M121&gt;0,"En curso","Pendiente")))</f>
        <v/>
      </c>
      <c r="O121" s="56">
        <f>IF(NOT((COUNTA($B121:$D121)+COUNTA($G121:$L121)+COUNTA($Q121))&gt;0),"",IF(AND(AND($D121&lt;&gt;"",$V121="Macro"),N($AH121)&gt;0),CHOOSE(MATCH($D121,ListaPuestos,0),INDEX('Cronograma R. Operacional'!$O$5:$O$1000,$AH121),INDEX('Cronograma R. Normativo'!$O$5:$O$1000,$AH121),INDEX('Cronograma R. Financiero'!$O$5:$O$1000,$AH121),INDEX('Cronograma Asistente Técnico'!$O$5:$O$1000,$AH121))&amp;"",IF(ISNUMBER($G121),IF(AND(ISNUMBER($AN121),$G121&gt;$AN121),"Cumplida con "&amp;($G121-$AN121)&amp;IF($G121-$AN121=1," día"," días")&amp;" de retraso","Cumplida"),IF(N($M121)&gt;=1,"Cumplida",IF(NOT(ISNUMBER($AN121)),"Sin fecha límite",IF($AN121&lt;FechaRef,"Vencida hace "&amp;(FechaRef-$AN121)&amp;IF(FechaRef-$AN121=1," día"," días"),IF($AN121=FechaRef,"Vence hoy",IF($AN121-FechaRef&lt;=DiasAlerta,"Vence en "&amp;($AN121-FechaRef)&amp;IF($AN121-FechaRef=1," día"," días"),"En plazo"))))))))</f>
        <v/>
      </c>
      <c r="P121" s="62">
        <f>IF(NOT((COUNTA($B121:$D121)+COUNTA($G121:$L121)+COUNTA($Q121))&gt;0),"",IF($D121="","Propia",IF($V121&lt;&gt;"Macro","Solo se delegan macroactividades",IF(N($AH121)&gt;0,"✔ Recibida por "&amp;$D121,"⚠ "&amp;$D121&amp;" aún no la agrega"))))</f>
        <v/>
      </c>
      <c r="Q121" s="58" t="n"/>
      <c r="R121" s="63">
        <f>IF(NOT((COUNTA($B121:$D121)+COUNTA($G121:$L121)+COUNTA($Q121))&gt;0),"",IF((IF($C121="","Falta el nombre de la actividad"&amp;" · ","")&amp;IF(AND($V121="Sub",N($U121)=0),"Subactividad sin macroactividad arriba"&amp;" · ","")&amp;IF($AM121="","Sin fecha de inicio"&amp;" · ","")&amp;IF($AN121="","Sin fecha límite"&amp;" · ","")&amp;IF(AND(LEFT($C121,11)="[Jefatura] ",N($AL121)=0),"No se encuentra en la hoja de la jefatura (elíjala de nuevo en la lista)"&amp;" · ","")&amp;IF(OR(AND($E121&lt;&gt;"",NOT(ISNUMBER($E121))),AND($F121&lt;&gt;"",NOT(ISNUMBER($F121))),AND($G121&lt;&gt;"",NOT(ISNUMBER($G121)))),"Fecha no válida"&amp;" · ","")&amp;IF(AND(ISNUMBER($AM121),ISNUMBER($AN121),$AM121&gt;$AN121),"Inicio posterior a fecha límite"&amp;" · ","")&amp;IF(AND($V121="Macro",$H121&lt;&gt;"",OR(NOT(ISNUMBER($H121)),$H121&lt;0,$H121&gt;1)),"Peso fuera de rango"&amp;" · ","")&amp;IF(AND($V121="Sub",$H121&lt;&gt;""),"Las subactividades no llevan peso (valen igual dentro de su macroactividad)"&amp;" · ","")&amp;IF(AND(N($W121)&gt;0,COUNT($I121:$L121)&gt;0),"Con subactividades: deje vacías las semanas (se calculan solas)"&amp;" · ","")&amp;IF((COUNTIF($I121:$L121,"&gt;1")+COUNTIF($I121:$L121,"&lt;0")+COUNTA($I121:$L121)-COUNT($I121:$L121))&gt;0,"Avance fuera de rango 0-100%"&amp;" · ","")&amp;IF(OR(AND($J121&lt;&gt;"",$J121&lt;$I121),AND($K121&lt;&gt;"",$K121&lt;MAX($I121:$J121)),AND($L121&lt;&gt;"",$L121&lt;MAX($I121:$K121))),"Avance semanal decreciente"&amp;" · ","")&amp;IF(AND(ISNUMBER($AN121),$AN121&lt;FechaRef,IF($V121="Sub",N($X121),N($M121))&lt;1),"Vencida"&amp;" · ","")&amp;IF(AND(ObsObligatoria="Sí",ISNUMBER($AN121),$AN121&lt;FechaRef,IF($V121="Sub",N($X121),N($M121))&lt;1,$Q121=""),"Vencida sin observación"&amp;" · ",""))="","✔ OK","⚠ "&amp;LEFT(IF($C121="","Falta el nombre de la actividad"&amp;" · ","")&amp;IF(AND($V121="Sub",N($U121)=0),"Subactividad sin macroactividad arriba"&amp;" · ","")&amp;IF($AM121="","Sin fecha de inicio"&amp;" · ","")&amp;IF($AN121="","Sin fecha límite"&amp;" · ","")&amp;IF(AND(LEFT($C121,11)="[Jefatura] ",N($AL121)=0),"No se encuentra en la hoja de la jefatura (elíjala de nuevo en la lista)"&amp;" · ","")&amp;IF(OR(AND($E121&lt;&gt;"",NOT(ISNUMBER($E121))),AND($F121&lt;&gt;"",NOT(ISNUMBER($F121))),AND($G121&lt;&gt;"",NOT(ISNUMBER($G121)))),"Fecha no válida"&amp;" · ","")&amp;IF(AND(ISNUMBER($AM121),ISNUMBER($AN121),$AM121&gt;$AN121),"Inicio posterior a fecha límite"&amp;" · ","")&amp;IF(AND($V121="Macro",$H121&lt;&gt;"",OR(NOT(ISNUMBER($H121)),$H121&lt;0,$H121&gt;1)),"Peso fuera de rango"&amp;" · ","")&amp;IF(AND($V121="Sub",$H121&lt;&gt;""),"Las subactividades no llevan peso (valen igual dentro de su macroactividad)"&amp;" · ","")&amp;IF(AND(N($W121)&gt;0,COUNT($I121:$L121)&gt;0),"Con subactividades: deje vacías las semanas (se calculan solas)"&amp;" · ","")&amp;IF((COUNTIF($I121:$L121,"&gt;1")+COUNTIF($I121:$L121,"&lt;0")+COUNTA($I121:$L121)-COUNT($I121:$L121))&gt;0,"Avance fuera de rango 0-100%"&amp;" · ","")&amp;IF(OR(AND($J121&lt;&gt;"",$J121&lt;$I121),AND($K121&lt;&gt;"",$K121&lt;MAX($I121:$J121)),AND($L121&lt;&gt;"",$L121&lt;MAX($I121:$K121))),"Avance semanal decreciente"&amp;" · ","")&amp;IF(AND(ISNUMBER($AN121),$AN121&lt;FechaRef,IF($V121="Sub",N($X121),N($M121))&lt;1),"Vencida"&amp;" · ","")&amp;IF(AND(ObsObligatoria="Sí",ISNUMBER($AN121),$AN121&lt;FechaRef,IF($V121="Sub",N($X121),N($M121))&lt;1,$Q121=""),"Vencida sin observación"&amp;" · ",""),LEN(IF($C121="","Falta el nombre de la actividad"&amp;" · ","")&amp;IF(AND($V121="Sub",N($U121)=0),"Subactividad sin macroactividad arriba"&amp;" · ","")&amp;IF($AM121="","Sin fecha de inicio"&amp;" · ","")&amp;IF($AN121="","Sin fecha límite"&amp;" · ","")&amp;IF(AND(LEFT($C121,11)="[Jefatura] ",N($AL121)=0),"No se encuentra en la hoja de la jefatura (elíjala de nuevo en la lista)"&amp;" · ","")&amp;IF(OR(AND($E121&lt;&gt;"",NOT(ISNUMBER($E121))),AND($F121&lt;&gt;"",NOT(ISNUMBER($F121))),AND($G121&lt;&gt;"",NOT(ISNUMBER($G121)))),"Fecha no válida"&amp;" · ","")&amp;IF(AND(ISNUMBER($AM121),ISNUMBER($AN121),$AM121&gt;$AN121),"Inicio posterior a fecha límite"&amp;" · ","")&amp;IF(AND($V121="Macro",$H121&lt;&gt;"",OR(NOT(ISNUMBER($H121)),$H121&lt;0,$H121&gt;1)),"Peso fuera de rango"&amp;" · ","")&amp;IF(AND($V121="Sub",$H121&lt;&gt;""),"Las subactividades no llevan peso (valen igual dentro de su macroactividad)"&amp;" · ","")&amp;IF(AND(N($W121)&gt;0,COUNT($I121:$L121)&gt;0),"Con subactividades: deje vacías las semanas (se calculan solas)"&amp;" · ","")&amp;IF((COUNTIF($I121:$L121,"&gt;1")+COUNTIF($I121:$L121,"&lt;0")+COUNTA($I121:$L121)-COUNT($I121:$L121))&gt;0,"Avance fuera de rango 0-100%"&amp;" · ","")&amp;IF(OR(AND($J121&lt;&gt;"",$J121&lt;$I121),AND($K121&lt;&gt;"",$K121&lt;MAX($I121:$J121)),AND($L121&lt;&gt;"",$L121&lt;MAX($I121:$K121))),"Avance semanal decreciente"&amp;" · ","")&amp;IF(AND(ISNUMBER($AN121),$AN121&lt;FechaRef,IF($V121="Sub",N($X121),N($M121))&lt;1),"Vencida"&amp;" · ","")&amp;IF(AND(ObsObligatoria="Sí",ISNUMBER($AN121),$AN121&lt;FechaRef,IF($V121="Sub",N($X121),N($M121))&lt;1,$Q121=""),"Vencida sin observación"&amp;" · ",""))-3)))</f>
        <v/>
      </c>
      <c r="S121" s="64">
        <f>IF(NOT((COUNTA($B121:$D121)+COUNTA($G121:$L121)+COUNTA($Q121))&gt;0),"",IF(AND($V121="Sub",N($U121)&gt;0),IF(ISNUMBER(INDEX($AM$5:$AM$1000,$U121-4)),DATE(YEAR(INDEX($AM$5:$AM$1000,$U121-4)),MONTH(INDEX($AM$5:$AM$1000,$U121-4)),1),IF(ISNUMBER(INDEX($AN$5:$AN$1000,$U121-4)),DATE(YEAR(INDEX($AN$5:$AN$1000,$U121-4)),MONTH(INDEX($AN$5:$AN$1000,$U121-4)),1),MesCiclo)),IF(ISNUMBER($AM121),DATE(YEAR($AM121),MONTH($AM121),1),IF(ISNUMBER($AN121),DATE(YEAR($AN121),MONTH($AN121),1),MesCiclo))))</f>
        <v/>
      </c>
      <c r="T121" s="62">
        <f>IF(OR($S121="",$S121&lt;&gt;MesCiclo,$V121&lt;&gt;"Macro"),"",COUNTIFS($S$5:$S121,MesCiclo,$V$5:$V121,"Macro"))</f>
        <v/>
      </c>
      <c r="U121" s="62">
        <f>IF($V121="","",IF($V121="Macro",ROW(),IFERROR(LOOKUP(2,1/($V$5:$V121="Macro"),ROW($V$5:$V121)),0)))</f>
        <v/>
      </c>
      <c r="V121" s="62">
        <f>IF(NOT((COUNTA($B121:$D121)+COUNTA($G121:$L121)+COUNTA($Q121))&gt;0),"",IF($B121="Subactividad","Sub","Macro"))</f>
        <v/>
      </c>
      <c r="W121" s="62">
        <f>IF($V121="Macro",COUNTIFS($U$5:$U$1000,ROW(),$V$5:$V$1000,"Sub"),"")</f>
        <v/>
      </c>
      <c r="X121" s="62">
        <f>IF($V121="","",IF(ISNUMBER($G121),1,IFERROR(LOOKUP(2,1/($I121:$L121&lt;&gt;""),$I121:$L121),0)))</f>
        <v/>
      </c>
      <c r="Y121" s="62">
        <f>IF($V121="","",IF(AND(ISNUMBER($G121),$G121&lt;=IF($S121=MesCiclo,InicioCiclo,$S121+MOD(2-WEEKDAY($S121),7))+6),1,IF(ISNUMBER($I121),$I121,0)))</f>
        <v/>
      </c>
      <c r="Z121" s="62">
        <f>IF($V121="","",IF(AND(ISNUMBER($G121),$G121&lt;=IF($S121=MesCiclo,InicioCiclo,$S121+MOD(2-WEEKDAY($S121),7))+13),1,IF(ISNUMBER($J121),$J121,$Y121)))</f>
        <v/>
      </c>
      <c r="AA121" s="62">
        <f>IF($V121="","",IF(AND(ISNUMBER($G121),$G121&lt;=IF($S121=MesCiclo,InicioCiclo,$S121+MOD(2-WEEKDAY($S121),7))+20),1,IF(ISNUMBER($K121),$K121,$Z121)))</f>
        <v/>
      </c>
      <c r="AB121" s="62">
        <f>IF($V121="","",IF(AND(ISNUMBER($G121),$G121&lt;=IF($S121=MesCiclo,InicioCiclo,$S121+MOD(2-WEEKDAY($S121),7))+27),1,IF(ISNUMBER($L121),$L121,$AA121)))</f>
        <v/>
      </c>
      <c r="AC121" s="62">
        <f>IF($V121="","",IF(AND(ISNUMBER($G121),$G121&lt;=IF($S121=MesCiclo,InicioCiclo,$S121+MOD(2-WEEKDAY($S121),7))+6),1,IF(N($W121)&gt;0,AVERAGEIFS($Y$5:$Y$1000,$U$5:$U$1000,ROW(),$V$5:$V$1000,"Sub"),$Y121)))</f>
        <v/>
      </c>
      <c r="AD121" s="62">
        <f>IF($V121="","",IF(AND(ISNUMBER($G121),$G121&lt;=IF($S121=MesCiclo,InicioCiclo,$S121+MOD(2-WEEKDAY($S121),7))+13),1,IF(N($W121)&gt;0,AVERAGEIFS($Z$5:$Z$1000,$U$5:$U$1000,ROW(),$V$5:$V$1000,"Sub"),$Z121)))</f>
        <v/>
      </c>
      <c r="AE121" s="62">
        <f>IF($V121="","",IF(AND(ISNUMBER($G121),$G121&lt;=IF($S121=MesCiclo,InicioCiclo,$S121+MOD(2-WEEKDAY($S121),7))+20),1,IF(N($W121)&gt;0,AVERAGEIFS($AA$5:$AA$1000,$U$5:$U$1000,ROW(),$V$5:$V$1000,"Sub"),$AA121)))</f>
        <v/>
      </c>
      <c r="AF121" s="62">
        <f>IF($V121="","",IF(AND(ISNUMBER($G121),$G121&lt;=IF($S121=MesCiclo,InicioCiclo,$S121+MOD(2-WEEKDAY($S121),7))+27),1,IF(N($W121)&gt;0,AVERAGEIFS($AB$5:$AB$1000,$U$5:$U$1000,ROW(),$V$5:$V$1000,"Sub"),$AB121)))</f>
        <v/>
      </c>
      <c r="AG121" s="62">
        <f>IF($V121&lt;&gt;"Macro","",IF(COUNTIFS($S$5:$S$1000,$S121,$V$5:$V$1000,"Macro",$H$5:$H$1000,"&gt;0")=0,1/COUNTIFS($S$5:$S$1000,$S121,$V$5:$V$1000,"Macro"),IF(AND(ISNUMBER($H121),N($H121)&gt;0),$H121,SUMIFS($H$5:$H$1000,$S$5:$S$1000,$S121,$V$5:$V$1000,"Macro")/COUNTIFS($S$5:$S$1000,$S121,$V$5:$V$1000,"Macro",$H$5:$H$1000,"&gt;0"))/(COUNTIFS($S$5:$S$1000,$S121,$V$5:$V$1000,"Macro")*SUMIFS($H$5:$H$1000,$S$5:$S$1000,$S121,$V$5:$V$1000,"Macro")/COUNTIFS($S$5:$S$1000,$S121,$V$5:$V$1000,"Macro",$H$5:$H$1000,"&gt;0"))))</f>
        <v/>
      </c>
      <c r="AH121" s="62">
        <f>IF(NOT(AND($D121&lt;&gt;"",$V121="Macro")),"",IFERROR(CHOOSE(MATCH($D121,ListaPuestos,0),MATCH("[Jefatura] "&amp;$C121,'Cronograma R. Operacional'!$C$5:$C$1000,0),MATCH("[Jefatura] "&amp;$C121,'Cronograma R. Normativo'!$C$5:$C$1000,0),MATCH("[Jefatura] "&amp;$C121,'Cronograma R. Financiero'!$C$5:$C$1000,0),MATCH("[Jefatura] "&amp;$C121,'Cronograma Asistente Técnico'!$C$5:$C$1000,0)),0))</f>
        <v/>
      </c>
      <c r="AI121" s="62">
        <f>IF(AND(AND($D121&lt;&gt;"",$V121="Macro"),$S121=MesCiclo),COUNTIFS($D$5:$D121,$D121,$S$5:$S121,MesCiclo,$V$5:$V121,"Macro"),"")</f>
        <v/>
      </c>
      <c r="AJ121" s="62">
        <f>IF($AI121="","",$D121&amp;"|"&amp;$AI121)</f>
        <v/>
      </c>
      <c r="AK121" s="62">
        <f>IF(AND($D121&lt;&gt;"",$V121="Macro"),$D121&amp;"|"&amp;$C121,"")</f>
        <v/>
      </c>
      <c r="AL121" s="62">
        <f>""</f>
        <v/>
      </c>
      <c r="AM121" s="62">
        <f>IF(N($AL121)&gt;0,INDEX(rIni_ADM,$AL121),IF(ISNUMBER($E121),$E121,""))</f>
        <v/>
      </c>
      <c r="AN121" s="62">
        <f>IF(N($AL121)&gt;0,INDEX(rLim_ADM,$AL121),IF(ISNUMBER($F121),$F121,""))</f>
        <v/>
      </c>
    </row>
    <row r="122">
      <c r="A122" s="56">
        <f>IF(NOT((COUNTA($B122:$D122)+COUNTA($G122:$L122)+COUNTA($Q122))&gt;0),"",IF($V122="Macro",COUNTIFS($V$5:$V122,"Macro",$S$5:$S122,$S122),IF(N($U122)=0,"?",COUNTIFS(INDEX($V$5:$V$1000,1):INDEX($V$5:$V$1000,$U122-4),"Macro",INDEX($S$5:$S$1000,1):INDEX($S$5:$S$1000,$U122-4),INDEX($S$5:$S$1000,$U122-4))&amp;"."&amp;COUNTIFS($U$5:$U122,$U122,$V$5:$V122,"Sub"))))</f>
        <v/>
      </c>
      <c r="B122" s="57" t="n"/>
      <c r="C122" s="58" t="n"/>
      <c r="D122" s="58" t="n"/>
      <c r="E122" s="59" t="n"/>
      <c r="F122" s="59" t="n"/>
      <c r="G122" s="59" t="n"/>
      <c r="H122" s="60" t="n"/>
      <c r="I122" s="60" t="n"/>
      <c r="J122" s="60" t="n"/>
      <c r="K122" s="60" t="n"/>
      <c r="L122" s="60" t="n"/>
      <c r="M122" s="61">
        <f>IF(NOT((COUNTA($B122:$D122)+COUNTA($G122:$L122)+COUNTA($Q122))&gt;0),"",IF(AND($D122&lt;&gt;"",$V122="Macro"),IF(N($AH122)&gt;0,N(CHOOSE(MATCH($D122,ListaPuestos,0),INDEX('Cronograma R. Operacional'!$M$5:$M$1000,$AH122),INDEX('Cronograma R. Normativo'!$M$5:$M$1000,$AH122),INDEX('Cronograma R. Financiero'!$M$5:$M$1000,$AH122),INDEX('Cronograma Asistente Técnico'!$M$5:$M$1000,$AH122))),0),IF(ISNUMBER($G122),1,IF(N($W122)&gt;0,AVERAGEIFS($X$5:$X$1000,$U$5:$U$1000,ROW(),$V$5:$V$1000,"Sub"),$X122))))</f>
        <v/>
      </c>
      <c r="N122" s="56">
        <f>IF(OR($M122="",$V122="Sub"),"",IF($M122&gt;=1,"Completado",IF($M122&gt;0,"En curso","Pendiente")))</f>
        <v/>
      </c>
      <c r="O122" s="56">
        <f>IF(NOT((COUNTA($B122:$D122)+COUNTA($G122:$L122)+COUNTA($Q122))&gt;0),"",IF(AND(AND($D122&lt;&gt;"",$V122="Macro"),N($AH122)&gt;0),CHOOSE(MATCH($D122,ListaPuestos,0),INDEX('Cronograma R. Operacional'!$O$5:$O$1000,$AH122),INDEX('Cronograma R. Normativo'!$O$5:$O$1000,$AH122),INDEX('Cronograma R. Financiero'!$O$5:$O$1000,$AH122),INDEX('Cronograma Asistente Técnico'!$O$5:$O$1000,$AH122))&amp;"",IF(ISNUMBER($G122),IF(AND(ISNUMBER($AN122),$G122&gt;$AN122),"Cumplida con "&amp;($G122-$AN122)&amp;IF($G122-$AN122=1," día"," días")&amp;" de retraso","Cumplida"),IF(N($M122)&gt;=1,"Cumplida",IF(NOT(ISNUMBER($AN122)),"Sin fecha límite",IF($AN122&lt;FechaRef,"Vencida hace "&amp;(FechaRef-$AN122)&amp;IF(FechaRef-$AN122=1," día"," días"),IF($AN122=FechaRef,"Vence hoy",IF($AN122-FechaRef&lt;=DiasAlerta,"Vence en "&amp;($AN122-FechaRef)&amp;IF($AN122-FechaRef=1," día"," días"),"En plazo"))))))))</f>
        <v/>
      </c>
      <c r="P122" s="62">
        <f>IF(NOT((COUNTA($B122:$D122)+COUNTA($G122:$L122)+COUNTA($Q122))&gt;0),"",IF($D122="","Propia",IF($V122&lt;&gt;"Macro","Solo se delegan macroactividades",IF(N($AH122)&gt;0,"✔ Recibida por "&amp;$D122,"⚠ "&amp;$D122&amp;" aún no la agrega"))))</f>
        <v/>
      </c>
      <c r="Q122" s="58" t="n"/>
      <c r="R122" s="63">
        <f>IF(NOT((COUNTA($B122:$D122)+COUNTA($G122:$L122)+COUNTA($Q122))&gt;0),"",IF((IF($C122="","Falta el nombre de la actividad"&amp;" · ","")&amp;IF(AND($V122="Sub",N($U122)=0),"Subactividad sin macroactividad arriba"&amp;" · ","")&amp;IF($AM122="","Sin fecha de inicio"&amp;" · ","")&amp;IF($AN122="","Sin fecha límite"&amp;" · ","")&amp;IF(AND(LEFT($C122,11)="[Jefatura] ",N($AL122)=0),"No se encuentra en la hoja de la jefatura (elíjala de nuevo en la lista)"&amp;" · ","")&amp;IF(OR(AND($E122&lt;&gt;"",NOT(ISNUMBER($E122))),AND($F122&lt;&gt;"",NOT(ISNUMBER($F122))),AND($G122&lt;&gt;"",NOT(ISNUMBER($G122)))),"Fecha no válida"&amp;" · ","")&amp;IF(AND(ISNUMBER($AM122),ISNUMBER($AN122),$AM122&gt;$AN122),"Inicio posterior a fecha límite"&amp;" · ","")&amp;IF(AND($V122="Macro",$H122&lt;&gt;"",OR(NOT(ISNUMBER($H122)),$H122&lt;0,$H122&gt;1)),"Peso fuera de rango"&amp;" · ","")&amp;IF(AND($V122="Sub",$H122&lt;&gt;""),"Las subactividades no llevan peso (valen igual dentro de su macroactividad)"&amp;" · ","")&amp;IF(AND(N($W122)&gt;0,COUNT($I122:$L122)&gt;0),"Con subactividades: deje vacías las semanas (se calculan solas)"&amp;" · ","")&amp;IF((COUNTIF($I122:$L122,"&gt;1")+COUNTIF($I122:$L122,"&lt;0")+COUNTA($I122:$L122)-COUNT($I122:$L122))&gt;0,"Avance fuera de rango 0-100%"&amp;" · ","")&amp;IF(OR(AND($J122&lt;&gt;"",$J122&lt;$I122),AND($K122&lt;&gt;"",$K122&lt;MAX($I122:$J122)),AND($L122&lt;&gt;"",$L122&lt;MAX($I122:$K122))),"Avance semanal decreciente"&amp;" · ","")&amp;IF(AND(ISNUMBER($AN122),$AN122&lt;FechaRef,IF($V122="Sub",N($X122),N($M122))&lt;1),"Vencida"&amp;" · ","")&amp;IF(AND(ObsObligatoria="Sí",ISNUMBER($AN122),$AN122&lt;FechaRef,IF($V122="Sub",N($X122),N($M122))&lt;1,$Q122=""),"Vencida sin observación"&amp;" · ",""))="","✔ OK","⚠ "&amp;LEFT(IF($C122="","Falta el nombre de la actividad"&amp;" · ","")&amp;IF(AND($V122="Sub",N($U122)=0),"Subactividad sin macroactividad arriba"&amp;" · ","")&amp;IF($AM122="","Sin fecha de inicio"&amp;" · ","")&amp;IF($AN122="","Sin fecha límite"&amp;" · ","")&amp;IF(AND(LEFT($C122,11)="[Jefatura] ",N($AL122)=0),"No se encuentra en la hoja de la jefatura (elíjala de nuevo en la lista)"&amp;" · ","")&amp;IF(OR(AND($E122&lt;&gt;"",NOT(ISNUMBER($E122))),AND($F122&lt;&gt;"",NOT(ISNUMBER($F122))),AND($G122&lt;&gt;"",NOT(ISNUMBER($G122)))),"Fecha no válida"&amp;" · ","")&amp;IF(AND(ISNUMBER($AM122),ISNUMBER($AN122),$AM122&gt;$AN122),"Inicio posterior a fecha límite"&amp;" · ","")&amp;IF(AND($V122="Macro",$H122&lt;&gt;"",OR(NOT(ISNUMBER($H122)),$H122&lt;0,$H122&gt;1)),"Peso fuera de rango"&amp;" · ","")&amp;IF(AND($V122="Sub",$H122&lt;&gt;""),"Las subactividades no llevan peso (valen igual dentro de su macroactividad)"&amp;" · ","")&amp;IF(AND(N($W122)&gt;0,COUNT($I122:$L122)&gt;0),"Con subactividades: deje vacías las semanas (se calculan solas)"&amp;" · ","")&amp;IF((COUNTIF($I122:$L122,"&gt;1")+COUNTIF($I122:$L122,"&lt;0")+COUNTA($I122:$L122)-COUNT($I122:$L122))&gt;0,"Avance fuera de rango 0-100%"&amp;" · ","")&amp;IF(OR(AND($J122&lt;&gt;"",$J122&lt;$I122),AND($K122&lt;&gt;"",$K122&lt;MAX($I122:$J122)),AND($L122&lt;&gt;"",$L122&lt;MAX($I122:$K122))),"Avance semanal decreciente"&amp;" · ","")&amp;IF(AND(ISNUMBER($AN122),$AN122&lt;FechaRef,IF($V122="Sub",N($X122),N($M122))&lt;1),"Vencida"&amp;" · ","")&amp;IF(AND(ObsObligatoria="Sí",ISNUMBER($AN122),$AN122&lt;FechaRef,IF($V122="Sub",N($X122),N($M122))&lt;1,$Q122=""),"Vencida sin observación"&amp;" · ",""),LEN(IF($C122="","Falta el nombre de la actividad"&amp;" · ","")&amp;IF(AND($V122="Sub",N($U122)=0),"Subactividad sin macroactividad arriba"&amp;" · ","")&amp;IF($AM122="","Sin fecha de inicio"&amp;" · ","")&amp;IF($AN122="","Sin fecha límite"&amp;" · ","")&amp;IF(AND(LEFT($C122,11)="[Jefatura] ",N($AL122)=0),"No se encuentra en la hoja de la jefatura (elíjala de nuevo en la lista)"&amp;" · ","")&amp;IF(OR(AND($E122&lt;&gt;"",NOT(ISNUMBER($E122))),AND($F122&lt;&gt;"",NOT(ISNUMBER($F122))),AND($G122&lt;&gt;"",NOT(ISNUMBER($G122)))),"Fecha no válida"&amp;" · ","")&amp;IF(AND(ISNUMBER($AM122),ISNUMBER($AN122),$AM122&gt;$AN122),"Inicio posterior a fecha límite"&amp;" · ","")&amp;IF(AND($V122="Macro",$H122&lt;&gt;"",OR(NOT(ISNUMBER($H122)),$H122&lt;0,$H122&gt;1)),"Peso fuera de rango"&amp;" · ","")&amp;IF(AND($V122="Sub",$H122&lt;&gt;""),"Las subactividades no llevan peso (valen igual dentro de su macroactividad)"&amp;" · ","")&amp;IF(AND(N($W122)&gt;0,COUNT($I122:$L122)&gt;0),"Con subactividades: deje vacías las semanas (se calculan solas)"&amp;" · ","")&amp;IF((COUNTIF($I122:$L122,"&gt;1")+COUNTIF($I122:$L122,"&lt;0")+COUNTA($I122:$L122)-COUNT($I122:$L122))&gt;0,"Avance fuera de rango 0-100%"&amp;" · ","")&amp;IF(OR(AND($J122&lt;&gt;"",$J122&lt;$I122),AND($K122&lt;&gt;"",$K122&lt;MAX($I122:$J122)),AND($L122&lt;&gt;"",$L122&lt;MAX($I122:$K122))),"Avance semanal decreciente"&amp;" · ","")&amp;IF(AND(ISNUMBER($AN122),$AN122&lt;FechaRef,IF($V122="Sub",N($X122),N($M122))&lt;1),"Vencida"&amp;" · ","")&amp;IF(AND(ObsObligatoria="Sí",ISNUMBER($AN122),$AN122&lt;FechaRef,IF($V122="Sub",N($X122),N($M122))&lt;1,$Q122=""),"Vencida sin observación"&amp;" · ",""))-3)))</f>
        <v/>
      </c>
      <c r="S122" s="64">
        <f>IF(NOT((COUNTA($B122:$D122)+COUNTA($G122:$L122)+COUNTA($Q122))&gt;0),"",IF(AND($V122="Sub",N($U122)&gt;0),IF(ISNUMBER(INDEX($AM$5:$AM$1000,$U122-4)),DATE(YEAR(INDEX($AM$5:$AM$1000,$U122-4)),MONTH(INDEX($AM$5:$AM$1000,$U122-4)),1),IF(ISNUMBER(INDEX($AN$5:$AN$1000,$U122-4)),DATE(YEAR(INDEX($AN$5:$AN$1000,$U122-4)),MONTH(INDEX($AN$5:$AN$1000,$U122-4)),1),MesCiclo)),IF(ISNUMBER($AM122),DATE(YEAR($AM122),MONTH($AM122),1),IF(ISNUMBER($AN122),DATE(YEAR($AN122),MONTH($AN122),1),MesCiclo))))</f>
        <v/>
      </c>
      <c r="T122" s="62">
        <f>IF(OR($S122="",$S122&lt;&gt;MesCiclo,$V122&lt;&gt;"Macro"),"",COUNTIFS($S$5:$S122,MesCiclo,$V$5:$V122,"Macro"))</f>
        <v/>
      </c>
      <c r="U122" s="62">
        <f>IF($V122="","",IF($V122="Macro",ROW(),IFERROR(LOOKUP(2,1/($V$5:$V122="Macro"),ROW($V$5:$V122)),0)))</f>
        <v/>
      </c>
      <c r="V122" s="62">
        <f>IF(NOT((COUNTA($B122:$D122)+COUNTA($G122:$L122)+COUNTA($Q122))&gt;0),"",IF($B122="Subactividad","Sub","Macro"))</f>
        <v/>
      </c>
      <c r="W122" s="62">
        <f>IF($V122="Macro",COUNTIFS($U$5:$U$1000,ROW(),$V$5:$V$1000,"Sub"),"")</f>
        <v/>
      </c>
      <c r="X122" s="62">
        <f>IF($V122="","",IF(ISNUMBER($G122),1,IFERROR(LOOKUP(2,1/($I122:$L122&lt;&gt;""),$I122:$L122),0)))</f>
        <v/>
      </c>
      <c r="Y122" s="62">
        <f>IF($V122="","",IF(AND(ISNUMBER($G122),$G122&lt;=IF($S122=MesCiclo,InicioCiclo,$S122+MOD(2-WEEKDAY($S122),7))+6),1,IF(ISNUMBER($I122),$I122,0)))</f>
        <v/>
      </c>
      <c r="Z122" s="62">
        <f>IF($V122="","",IF(AND(ISNUMBER($G122),$G122&lt;=IF($S122=MesCiclo,InicioCiclo,$S122+MOD(2-WEEKDAY($S122),7))+13),1,IF(ISNUMBER($J122),$J122,$Y122)))</f>
        <v/>
      </c>
      <c r="AA122" s="62">
        <f>IF($V122="","",IF(AND(ISNUMBER($G122),$G122&lt;=IF($S122=MesCiclo,InicioCiclo,$S122+MOD(2-WEEKDAY($S122),7))+20),1,IF(ISNUMBER($K122),$K122,$Z122)))</f>
        <v/>
      </c>
      <c r="AB122" s="62">
        <f>IF($V122="","",IF(AND(ISNUMBER($G122),$G122&lt;=IF($S122=MesCiclo,InicioCiclo,$S122+MOD(2-WEEKDAY($S122),7))+27),1,IF(ISNUMBER($L122),$L122,$AA122)))</f>
        <v/>
      </c>
      <c r="AC122" s="62">
        <f>IF($V122="","",IF(AND(ISNUMBER($G122),$G122&lt;=IF($S122=MesCiclo,InicioCiclo,$S122+MOD(2-WEEKDAY($S122),7))+6),1,IF(N($W122)&gt;0,AVERAGEIFS($Y$5:$Y$1000,$U$5:$U$1000,ROW(),$V$5:$V$1000,"Sub"),$Y122)))</f>
        <v/>
      </c>
      <c r="AD122" s="62">
        <f>IF($V122="","",IF(AND(ISNUMBER($G122),$G122&lt;=IF($S122=MesCiclo,InicioCiclo,$S122+MOD(2-WEEKDAY($S122),7))+13),1,IF(N($W122)&gt;0,AVERAGEIFS($Z$5:$Z$1000,$U$5:$U$1000,ROW(),$V$5:$V$1000,"Sub"),$Z122)))</f>
        <v/>
      </c>
      <c r="AE122" s="62">
        <f>IF($V122="","",IF(AND(ISNUMBER($G122),$G122&lt;=IF($S122=MesCiclo,InicioCiclo,$S122+MOD(2-WEEKDAY($S122),7))+20),1,IF(N($W122)&gt;0,AVERAGEIFS($AA$5:$AA$1000,$U$5:$U$1000,ROW(),$V$5:$V$1000,"Sub"),$AA122)))</f>
        <v/>
      </c>
      <c r="AF122" s="62">
        <f>IF($V122="","",IF(AND(ISNUMBER($G122),$G122&lt;=IF($S122=MesCiclo,InicioCiclo,$S122+MOD(2-WEEKDAY($S122),7))+27),1,IF(N($W122)&gt;0,AVERAGEIFS($AB$5:$AB$1000,$U$5:$U$1000,ROW(),$V$5:$V$1000,"Sub"),$AB122)))</f>
        <v/>
      </c>
      <c r="AG122" s="62">
        <f>IF($V122&lt;&gt;"Macro","",IF(COUNTIFS($S$5:$S$1000,$S122,$V$5:$V$1000,"Macro",$H$5:$H$1000,"&gt;0")=0,1/COUNTIFS($S$5:$S$1000,$S122,$V$5:$V$1000,"Macro"),IF(AND(ISNUMBER($H122),N($H122)&gt;0),$H122,SUMIFS($H$5:$H$1000,$S$5:$S$1000,$S122,$V$5:$V$1000,"Macro")/COUNTIFS($S$5:$S$1000,$S122,$V$5:$V$1000,"Macro",$H$5:$H$1000,"&gt;0"))/(COUNTIFS($S$5:$S$1000,$S122,$V$5:$V$1000,"Macro")*SUMIFS($H$5:$H$1000,$S$5:$S$1000,$S122,$V$5:$V$1000,"Macro")/COUNTIFS($S$5:$S$1000,$S122,$V$5:$V$1000,"Macro",$H$5:$H$1000,"&gt;0"))))</f>
        <v/>
      </c>
      <c r="AH122" s="62">
        <f>IF(NOT(AND($D122&lt;&gt;"",$V122="Macro")),"",IFERROR(CHOOSE(MATCH($D122,ListaPuestos,0),MATCH("[Jefatura] "&amp;$C122,'Cronograma R. Operacional'!$C$5:$C$1000,0),MATCH("[Jefatura] "&amp;$C122,'Cronograma R. Normativo'!$C$5:$C$1000,0),MATCH("[Jefatura] "&amp;$C122,'Cronograma R. Financiero'!$C$5:$C$1000,0),MATCH("[Jefatura] "&amp;$C122,'Cronograma Asistente Técnico'!$C$5:$C$1000,0)),0))</f>
        <v/>
      </c>
      <c r="AI122" s="62">
        <f>IF(AND(AND($D122&lt;&gt;"",$V122="Macro"),$S122=MesCiclo),COUNTIFS($D$5:$D122,$D122,$S$5:$S122,MesCiclo,$V$5:$V122,"Macro"),"")</f>
        <v/>
      </c>
      <c r="AJ122" s="62">
        <f>IF($AI122="","",$D122&amp;"|"&amp;$AI122)</f>
        <v/>
      </c>
      <c r="AK122" s="62">
        <f>IF(AND($D122&lt;&gt;"",$V122="Macro"),$D122&amp;"|"&amp;$C122,"")</f>
        <v/>
      </c>
      <c r="AL122" s="62">
        <f>""</f>
        <v/>
      </c>
      <c r="AM122" s="62">
        <f>IF(N($AL122)&gt;0,INDEX(rIni_ADM,$AL122),IF(ISNUMBER($E122),$E122,""))</f>
        <v/>
      </c>
      <c r="AN122" s="62">
        <f>IF(N($AL122)&gt;0,INDEX(rLim_ADM,$AL122),IF(ISNUMBER($F122),$F122,""))</f>
        <v/>
      </c>
    </row>
    <row r="123">
      <c r="A123" s="56">
        <f>IF(NOT((COUNTA($B123:$D123)+COUNTA($G123:$L123)+COUNTA($Q123))&gt;0),"",IF($V123="Macro",COUNTIFS($V$5:$V123,"Macro",$S$5:$S123,$S123),IF(N($U123)=0,"?",COUNTIFS(INDEX($V$5:$V$1000,1):INDEX($V$5:$V$1000,$U123-4),"Macro",INDEX($S$5:$S$1000,1):INDEX($S$5:$S$1000,$U123-4),INDEX($S$5:$S$1000,$U123-4))&amp;"."&amp;COUNTIFS($U$5:$U123,$U123,$V$5:$V123,"Sub"))))</f>
        <v/>
      </c>
      <c r="B123" s="57" t="n"/>
      <c r="C123" s="58" t="n"/>
      <c r="D123" s="58" t="n"/>
      <c r="E123" s="59" t="n"/>
      <c r="F123" s="59" t="n"/>
      <c r="G123" s="59" t="n"/>
      <c r="H123" s="60" t="n"/>
      <c r="I123" s="60" t="n"/>
      <c r="J123" s="60" t="n"/>
      <c r="K123" s="60" t="n"/>
      <c r="L123" s="60" t="n"/>
      <c r="M123" s="61">
        <f>IF(NOT((COUNTA($B123:$D123)+COUNTA($G123:$L123)+COUNTA($Q123))&gt;0),"",IF(AND($D123&lt;&gt;"",$V123="Macro"),IF(N($AH123)&gt;0,N(CHOOSE(MATCH($D123,ListaPuestos,0),INDEX('Cronograma R. Operacional'!$M$5:$M$1000,$AH123),INDEX('Cronograma R. Normativo'!$M$5:$M$1000,$AH123),INDEX('Cronograma R. Financiero'!$M$5:$M$1000,$AH123),INDEX('Cronograma Asistente Técnico'!$M$5:$M$1000,$AH123))),0),IF(ISNUMBER($G123),1,IF(N($W123)&gt;0,AVERAGEIFS($X$5:$X$1000,$U$5:$U$1000,ROW(),$V$5:$V$1000,"Sub"),$X123))))</f>
        <v/>
      </c>
      <c r="N123" s="56">
        <f>IF(OR($M123="",$V123="Sub"),"",IF($M123&gt;=1,"Completado",IF($M123&gt;0,"En curso","Pendiente")))</f>
        <v/>
      </c>
      <c r="O123" s="56">
        <f>IF(NOT((COUNTA($B123:$D123)+COUNTA($G123:$L123)+COUNTA($Q123))&gt;0),"",IF(AND(AND($D123&lt;&gt;"",$V123="Macro"),N($AH123)&gt;0),CHOOSE(MATCH($D123,ListaPuestos,0),INDEX('Cronograma R. Operacional'!$O$5:$O$1000,$AH123),INDEX('Cronograma R. Normativo'!$O$5:$O$1000,$AH123),INDEX('Cronograma R. Financiero'!$O$5:$O$1000,$AH123),INDEX('Cronograma Asistente Técnico'!$O$5:$O$1000,$AH123))&amp;"",IF(ISNUMBER($G123),IF(AND(ISNUMBER($AN123),$G123&gt;$AN123),"Cumplida con "&amp;($G123-$AN123)&amp;IF($G123-$AN123=1," día"," días")&amp;" de retraso","Cumplida"),IF(N($M123)&gt;=1,"Cumplida",IF(NOT(ISNUMBER($AN123)),"Sin fecha límite",IF($AN123&lt;FechaRef,"Vencida hace "&amp;(FechaRef-$AN123)&amp;IF(FechaRef-$AN123=1," día"," días"),IF($AN123=FechaRef,"Vence hoy",IF($AN123-FechaRef&lt;=DiasAlerta,"Vence en "&amp;($AN123-FechaRef)&amp;IF($AN123-FechaRef=1," día"," días"),"En plazo"))))))))</f>
        <v/>
      </c>
      <c r="P123" s="62">
        <f>IF(NOT((COUNTA($B123:$D123)+COUNTA($G123:$L123)+COUNTA($Q123))&gt;0),"",IF($D123="","Propia",IF($V123&lt;&gt;"Macro","Solo se delegan macroactividades",IF(N($AH123)&gt;0,"✔ Recibida por "&amp;$D123,"⚠ "&amp;$D123&amp;" aún no la agrega"))))</f>
        <v/>
      </c>
      <c r="Q123" s="58" t="n"/>
      <c r="R123" s="63">
        <f>IF(NOT((COUNTA($B123:$D123)+COUNTA($G123:$L123)+COUNTA($Q123))&gt;0),"",IF((IF($C123="","Falta el nombre de la actividad"&amp;" · ","")&amp;IF(AND($V123="Sub",N($U123)=0),"Subactividad sin macroactividad arriba"&amp;" · ","")&amp;IF($AM123="","Sin fecha de inicio"&amp;" · ","")&amp;IF($AN123="","Sin fecha límite"&amp;" · ","")&amp;IF(AND(LEFT($C123,11)="[Jefatura] ",N($AL123)=0),"No se encuentra en la hoja de la jefatura (elíjala de nuevo en la lista)"&amp;" · ","")&amp;IF(OR(AND($E123&lt;&gt;"",NOT(ISNUMBER($E123))),AND($F123&lt;&gt;"",NOT(ISNUMBER($F123))),AND($G123&lt;&gt;"",NOT(ISNUMBER($G123)))),"Fecha no válida"&amp;" · ","")&amp;IF(AND(ISNUMBER($AM123),ISNUMBER($AN123),$AM123&gt;$AN123),"Inicio posterior a fecha límite"&amp;" · ","")&amp;IF(AND($V123="Macro",$H123&lt;&gt;"",OR(NOT(ISNUMBER($H123)),$H123&lt;0,$H123&gt;1)),"Peso fuera de rango"&amp;" · ","")&amp;IF(AND($V123="Sub",$H123&lt;&gt;""),"Las subactividades no llevan peso (valen igual dentro de su macroactividad)"&amp;" · ","")&amp;IF(AND(N($W123)&gt;0,COUNT($I123:$L123)&gt;0),"Con subactividades: deje vacías las semanas (se calculan solas)"&amp;" · ","")&amp;IF((COUNTIF($I123:$L123,"&gt;1")+COUNTIF($I123:$L123,"&lt;0")+COUNTA($I123:$L123)-COUNT($I123:$L123))&gt;0,"Avance fuera de rango 0-100%"&amp;" · ","")&amp;IF(OR(AND($J123&lt;&gt;"",$J123&lt;$I123),AND($K123&lt;&gt;"",$K123&lt;MAX($I123:$J123)),AND($L123&lt;&gt;"",$L123&lt;MAX($I123:$K123))),"Avance semanal decreciente"&amp;" · ","")&amp;IF(AND(ISNUMBER($AN123),$AN123&lt;FechaRef,IF($V123="Sub",N($X123),N($M123))&lt;1),"Vencida"&amp;" · ","")&amp;IF(AND(ObsObligatoria="Sí",ISNUMBER($AN123),$AN123&lt;FechaRef,IF($V123="Sub",N($X123),N($M123))&lt;1,$Q123=""),"Vencida sin observación"&amp;" · ",""))="","✔ OK","⚠ "&amp;LEFT(IF($C123="","Falta el nombre de la actividad"&amp;" · ","")&amp;IF(AND($V123="Sub",N($U123)=0),"Subactividad sin macroactividad arriba"&amp;" · ","")&amp;IF($AM123="","Sin fecha de inicio"&amp;" · ","")&amp;IF($AN123="","Sin fecha límite"&amp;" · ","")&amp;IF(AND(LEFT($C123,11)="[Jefatura] ",N($AL123)=0),"No se encuentra en la hoja de la jefatura (elíjala de nuevo en la lista)"&amp;" · ","")&amp;IF(OR(AND($E123&lt;&gt;"",NOT(ISNUMBER($E123))),AND($F123&lt;&gt;"",NOT(ISNUMBER($F123))),AND($G123&lt;&gt;"",NOT(ISNUMBER($G123)))),"Fecha no válida"&amp;" · ","")&amp;IF(AND(ISNUMBER($AM123),ISNUMBER($AN123),$AM123&gt;$AN123),"Inicio posterior a fecha límite"&amp;" · ","")&amp;IF(AND($V123="Macro",$H123&lt;&gt;"",OR(NOT(ISNUMBER($H123)),$H123&lt;0,$H123&gt;1)),"Peso fuera de rango"&amp;" · ","")&amp;IF(AND($V123="Sub",$H123&lt;&gt;""),"Las subactividades no llevan peso (valen igual dentro de su macroactividad)"&amp;" · ","")&amp;IF(AND(N($W123)&gt;0,COUNT($I123:$L123)&gt;0),"Con subactividades: deje vacías las semanas (se calculan solas)"&amp;" · ","")&amp;IF((COUNTIF($I123:$L123,"&gt;1")+COUNTIF($I123:$L123,"&lt;0")+COUNTA($I123:$L123)-COUNT($I123:$L123))&gt;0,"Avance fuera de rango 0-100%"&amp;" · ","")&amp;IF(OR(AND($J123&lt;&gt;"",$J123&lt;$I123),AND($K123&lt;&gt;"",$K123&lt;MAX($I123:$J123)),AND($L123&lt;&gt;"",$L123&lt;MAX($I123:$K123))),"Avance semanal decreciente"&amp;" · ","")&amp;IF(AND(ISNUMBER($AN123),$AN123&lt;FechaRef,IF($V123="Sub",N($X123),N($M123))&lt;1),"Vencida"&amp;" · ","")&amp;IF(AND(ObsObligatoria="Sí",ISNUMBER($AN123),$AN123&lt;FechaRef,IF($V123="Sub",N($X123),N($M123))&lt;1,$Q123=""),"Vencida sin observación"&amp;" · ",""),LEN(IF($C123="","Falta el nombre de la actividad"&amp;" · ","")&amp;IF(AND($V123="Sub",N($U123)=0),"Subactividad sin macroactividad arriba"&amp;" · ","")&amp;IF($AM123="","Sin fecha de inicio"&amp;" · ","")&amp;IF($AN123="","Sin fecha límite"&amp;" · ","")&amp;IF(AND(LEFT($C123,11)="[Jefatura] ",N($AL123)=0),"No se encuentra en la hoja de la jefatura (elíjala de nuevo en la lista)"&amp;" · ","")&amp;IF(OR(AND($E123&lt;&gt;"",NOT(ISNUMBER($E123))),AND($F123&lt;&gt;"",NOT(ISNUMBER($F123))),AND($G123&lt;&gt;"",NOT(ISNUMBER($G123)))),"Fecha no válida"&amp;" · ","")&amp;IF(AND(ISNUMBER($AM123),ISNUMBER($AN123),$AM123&gt;$AN123),"Inicio posterior a fecha límite"&amp;" · ","")&amp;IF(AND($V123="Macro",$H123&lt;&gt;"",OR(NOT(ISNUMBER($H123)),$H123&lt;0,$H123&gt;1)),"Peso fuera de rango"&amp;" · ","")&amp;IF(AND($V123="Sub",$H123&lt;&gt;""),"Las subactividades no llevan peso (valen igual dentro de su macroactividad)"&amp;" · ","")&amp;IF(AND(N($W123)&gt;0,COUNT($I123:$L123)&gt;0),"Con subactividades: deje vacías las semanas (se calculan solas)"&amp;" · ","")&amp;IF((COUNTIF($I123:$L123,"&gt;1")+COUNTIF($I123:$L123,"&lt;0")+COUNTA($I123:$L123)-COUNT($I123:$L123))&gt;0,"Avance fuera de rango 0-100%"&amp;" · ","")&amp;IF(OR(AND($J123&lt;&gt;"",$J123&lt;$I123),AND($K123&lt;&gt;"",$K123&lt;MAX($I123:$J123)),AND($L123&lt;&gt;"",$L123&lt;MAX($I123:$K123))),"Avance semanal decreciente"&amp;" · ","")&amp;IF(AND(ISNUMBER($AN123),$AN123&lt;FechaRef,IF($V123="Sub",N($X123),N($M123))&lt;1),"Vencida"&amp;" · ","")&amp;IF(AND(ObsObligatoria="Sí",ISNUMBER($AN123),$AN123&lt;FechaRef,IF($V123="Sub",N($X123),N($M123))&lt;1,$Q123=""),"Vencida sin observación"&amp;" · ",""))-3)))</f>
        <v/>
      </c>
      <c r="S123" s="64">
        <f>IF(NOT((COUNTA($B123:$D123)+COUNTA($G123:$L123)+COUNTA($Q123))&gt;0),"",IF(AND($V123="Sub",N($U123)&gt;0),IF(ISNUMBER(INDEX($AM$5:$AM$1000,$U123-4)),DATE(YEAR(INDEX($AM$5:$AM$1000,$U123-4)),MONTH(INDEX($AM$5:$AM$1000,$U123-4)),1),IF(ISNUMBER(INDEX($AN$5:$AN$1000,$U123-4)),DATE(YEAR(INDEX($AN$5:$AN$1000,$U123-4)),MONTH(INDEX($AN$5:$AN$1000,$U123-4)),1),MesCiclo)),IF(ISNUMBER($AM123),DATE(YEAR($AM123),MONTH($AM123),1),IF(ISNUMBER($AN123),DATE(YEAR($AN123),MONTH($AN123),1),MesCiclo))))</f>
        <v/>
      </c>
      <c r="T123" s="62">
        <f>IF(OR($S123="",$S123&lt;&gt;MesCiclo,$V123&lt;&gt;"Macro"),"",COUNTIFS($S$5:$S123,MesCiclo,$V$5:$V123,"Macro"))</f>
        <v/>
      </c>
      <c r="U123" s="62">
        <f>IF($V123="","",IF($V123="Macro",ROW(),IFERROR(LOOKUP(2,1/($V$5:$V123="Macro"),ROW($V$5:$V123)),0)))</f>
        <v/>
      </c>
      <c r="V123" s="62">
        <f>IF(NOT((COUNTA($B123:$D123)+COUNTA($G123:$L123)+COUNTA($Q123))&gt;0),"",IF($B123="Subactividad","Sub","Macro"))</f>
        <v/>
      </c>
      <c r="W123" s="62">
        <f>IF($V123="Macro",COUNTIFS($U$5:$U$1000,ROW(),$V$5:$V$1000,"Sub"),"")</f>
        <v/>
      </c>
      <c r="X123" s="62">
        <f>IF($V123="","",IF(ISNUMBER($G123),1,IFERROR(LOOKUP(2,1/($I123:$L123&lt;&gt;""),$I123:$L123),0)))</f>
        <v/>
      </c>
      <c r="Y123" s="62">
        <f>IF($V123="","",IF(AND(ISNUMBER($G123),$G123&lt;=IF($S123=MesCiclo,InicioCiclo,$S123+MOD(2-WEEKDAY($S123),7))+6),1,IF(ISNUMBER($I123),$I123,0)))</f>
        <v/>
      </c>
      <c r="Z123" s="62">
        <f>IF($V123="","",IF(AND(ISNUMBER($G123),$G123&lt;=IF($S123=MesCiclo,InicioCiclo,$S123+MOD(2-WEEKDAY($S123),7))+13),1,IF(ISNUMBER($J123),$J123,$Y123)))</f>
        <v/>
      </c>
      <c r="AA123" s="62">
        <f>IF($V123="","",IF(AND(ISNUMBER($G123),$G123&lt;=IF($S123=MesCiclo,InicioCiclo,$S123+MOD(2-WEEKDAY($S123),7))+20),1,IF(ISNUMBER($K123),$K123,$Z123)))</f>
        <v/>
      </c>
      <c r="AB123" s="62">
        <f>IF($V123="","",IF(AND(ISNUMBER($G123),$G123&lt;=IF($S123=MesCiclo,InicioCiclo,$S123+MOD(2-WEEKDAY($S123),7))+27),1,IF(ISNUMBER($L123),$L123,$AA123)))</f>
        <v/>
      </c>
      <c r="AC123" s="62">
        <f>IF($V123="","",IF(AND(ISNUMBER($G123),$G123&lt;=IF($S123=MesCiclo,InicioCiclo,$S123+MOD(2-WEEKDAY($S123),7))+6),1,IF(N($W123)&gt;0,AVERAGEIFS($Y$5:$Y$1000,$U$5:$U$1000,ROW(),$V$5:$V$1000,"Sub"),$Y123)))</f>
        <v/>
      </c>
      <c r="AD123" s="62">
        <f>IF($V123="","",IF(AND(ISNUMBER($G123),$G123&lt;=IF($S123=MesCiclo,InicioCiclo,$S123+MOD(2-WEEKDAY($S123),7))+13),1,IF(N($W123)&gt;0,AVERAGEIFS($Z$5:$Z$1000,$U$5:$U$1000,ROW(),$V$5:$V$1000,"Sub"),$Z123)))</f>
        <v/>
      </c>
      <c r="AE123" s="62">
        <f>IF($V123="","",IF(AND(ISNUMBER($G123),$G123&lt;=IF($S123=MesCiclo,InicioCiclo,$S123+MOD(2-WEEKDAY($S123),7))+20),1,IF(N($W123)&gt;0,AVERAGEIFS($AA$5:$AA$1000,$U$5:$U$1000,ROW(),$V$5:$V$1000,"Sub"),$AA123)))</f>
        <v/>
      </c>
      <c r="AF123" s="62">
        <f>IF($V123="","",IF(AND(ISNUMBER($G123),$G123&lt;=IF($S123=MesCiclo,InicioCiclo,$S123+MOD(2-WEEKDAY($S123),7))+27),1,IF(N($W123)&gt;0,AVERAGEIFS($AB$5:$AB$1000,$U$5:$U$1000,ROW(),$V$5:$V$1000,"Sub"),$AB123)))</f>
        <v/>
      </c>
      <c r="AG123" s="62">
        <f>IF($V123&lt;&gt;"Macro","",IF(COUNTIFS($S$5:$S$1000,$S123,$V$5:$V$1000,"Macro",$H$5:$H$1000,"&gt;0")=0,1/COUNTIFS($S$5:$S$1000,$S123,$V$5:$V$1000,"Macro"),IF(AND(ISNUMBER($H123),N($H123)&gt;0),$H123,SUMIFS($H$5:$H$1000,$S$5:$S$1000,$S123,$V$5:$V$1000,"Macro")/COUNTIFS($S$5:$S$1000,$S123,$V$5:$V$1000,"Macro",$H$5:$H$1000,"&gt;0"))/(COUNTIFS($S$5:$S$1000,$S123,$V$5:$V$1000,"Macro")*SUMIFS($H$5:$H$1000,$S$5:$S$1000,$S123,$V$5:$V$1000,"Macro")/COUNTIFS($S$5:$S$1000,$S123,$V$5:$V$1000,"Macro",$H$5:$H$1000,"&gt;0"))))</f>
        <v/>
      </c>
      <c r="AH123" s="62">
        <f>IF(NOT(AND($D123&lt;&gt;"",$V123="Macro")),"",IFERROR(CHOOSE(MATCH($D123,ListaPuestos,0),MATCH("[Jefatura] "&amp;$C123,'Cronograma R. Operacional'!$C$5:$C$1000,0),MATCH("[Jefatura] "&amp;$C123,'Cronograma R. Normativo'!$C$5:$C$1000,0),MATCH("[Jefatura] "&amp;$C123,'Cronograma R. Financiero'!$C$5:$C$1000,0),MATCH("[Jefatura] "&amp;$C123,'Cronograma Asistente Técnico'!$C$5:$C$1000,0)),0))</f>
        <v/>
      </c>
      <c r="AI123" s="62">
        <f>IF(AND(AND($D123&lt;&gt;"",$V123="Macro"),$S123=MesCiclo),COUNTIFS($D$5:$D123,$D123,$S$5:$S123,MesCiclo,$V$5:$V123,"Macro"),"")</f>
        <v/>
      </c>
      <c r="AJ123" s="62">
        <f>IF($AI123="","",$D123&amp;"|"&amp;$AI123)</f>
        <v/>
      </c>
      <c r="AK123" s="62">
        <f>IF(AND($D123&lt;&gt;"",$V123="Macro"),$D123&amp;"|"&amp;$C123,"")</f>
        <v/>
      </c>
      <c r="AL123" s="62">
        <f>""</f>
        <v/>
      </c>
      <c r="AM123" s="62">
        <f>IF(N($AL123)&gt;0,INDEX(rIni_ADM,$AL123),IF(ISNUMBER($E123),$E123,""))</f>
        <v/>
      </c>
      <c r="AN123" s="62">
        <f>IF(N($AL123)&gt;0,INDEX(rLim_ADM,$AL123),IF(ISNUMBER($F123),$F123,""))</f>
        <v/>
      </c>
    </row>
    <row r="124">
      <c r="A124" s="56">
        <f>IF(NOT((COUNTA($B124:$D124)+COUNTA($G124:$L124)+COUNTA($Q124))&gt;0),"",IF($V124="Macro",COUNTIFS($V$5:$V124,"Macro",$S$5:$S124,$S124),IF(N($U124)=0,"?",COUNTIFS(INDEX($V$5:$V$1000,1):INDEX($V$5:$V$1000,$U124-4),"Macro",INDEX($S$5:$S$1000,1):INDEX($S$5:$S$1000,$U124-4),INDEX($S$5:$S$1000,$U124-4))&amp;"."&amp;COUNTIFS($U$5:$U124,$U124,$V$5:$V124,"Sub"))))</f>
        <v/>
      </c>
      <c r="B124" s="57" t="n"/>
      <c r="C124" s="58" t="n"/>
      <c r="D124" s="58" t="n"/>
      <c r="E124" s="59" t="n"/>
      <c r="F124" s="59" t="n"/>
      <c r="G124" s="59" t="n"/>
      <c r="H124" s="60" t="n"/>
      <c r="I124" s="60" t="n"/>
      <c r="J124" s="60" t="n"/>
      <c r="K124" s="60" t="n"/>
      <c r="L124" s="60" t="n"/>
      <c r="M124" s="61">
        <f>IF(NOT((COUNTA($B124:$D124)+COUNTA($G124:$L124)+COUNTA($Q124))&gt;0),"",IF(AND($D124&lt;&gt;"",$V124="Macro"),IF(N($AH124)&gt;0,N(CHOOSE(MATCH($D124,ListaPuestos,0),INDEX('Cronograma R. Operacional'!$M$5:$M$1000,$AH124),INDEX('Cronograma R. Normativo'!$M$5:$M$1000,$AH124),INDEX('Cronograma R. Financiero'!$M$5:$M$1000,$AH124),INDEX('Cronograma Asistente Técnico'!$M$5:$M$1000,$AH124))),0),IF(ISNUMBER($G124),1,IF(N($W124)&gt;0,AVERAGEIFS($X$5:$X$1000,$U$5:$U$1000,ROW(),$V$5:$V$1000,"Sub"),$X124))))</f>
        <v/>
      </c>
      <c r="N124" s="56">
        <f>IF(OR($M124="",$V124="Sub"),"",IF($M124&gt;=1,"Completado",IF($M124&gt;0,"En curso","Pendiente")))</f>
        <v/>
      </c>
      <c r="O124" s="56">
        <f>IF(NOT((COUNTA($B124:$D124)+COUNTA($G124:$L124)+COUNTA($Q124))&gt;0),"",IF(AND(AND($D124&lt;&gt;"",$V124="Macro"),N($AH124)&gt;0),CHOOSE(MATCH($D124,ListaPuestos,0),INDEX('Cronograma R. Operacional'!$O$5:$O$1000,$AH124),INDEX('Cronograma R. Normativo'!$O$5:$O$1000,$AH124),INDEX('Cronograma R. Financiero'!$O$5:$O$1000,$AH124),INDEX('Cronograma Asistente Técnico'!$O$5:$O$1000,$AH124))&amp;"",IF(ISNUMBER($G124),IF(AND(ISNUMBER($AN124),$G124&gt;$AN124),"Cumplida con "&amp;($G124-$AN124)&amp;IF($G124-$AN124=1," día"," días")&amp;" de retraso","Cumplida"),IF(N($M124)&gt;=1,"Cumplida",IF(NOT(ISNUMBER($AN124)),"Sin fecha límite",IF($AN124&lt;FechaRef,"Vencida hace "&amp;(FechaRef-$AN124)&amp;IF(FechaRef-$AN124=1," día"," días"),IF($AN124=FechaRef,"Vence hoy",IF($AN124-FechaRef&lt;=DiasAlerta,"Vence en "&amp;($AN124-FechaRef)&amp;IF($AN124-FechaRef=1," día"," días"),"En plazo"))))))))</f>
        <v/>
      </c>
      <c r="P124" s="62">
        <f>IF(NOT((COUNTA($B124:$D124)+COUNTA($G124:$L124)+COUNTA($Q124))&gt;0),"",IF($D124="","Propia",IF($V124&lt;&gt;"Macro","Solo se delegan macroactividades",IF(N($AH124)&gt;0,"✔ Recibida por "&amp;$D124,"⚠ "&amp;$D124&amp;" aún no la agrega"))))</f>
        <v/>
      </c>
      <c r="Q124" s="58" t="n"/>
      <c r="R124" s="63">
        <f>IF(NOT((COUNTA($B124:$D124)+COUNTA($G124:$L124)+COUNTA($Q124))&gt;0),"",IF((IF($C124="","Falta el nombre de la actividad"&amp;" · ","")&amp;IF(AND($V124="Sub",N($U124)=0),"Subactividad sin macroactividad arriba"&amp;" · ","")&amp;IF($AM124="","Sin fecha de inicio"&amp;" · ","")&amp;IF($AN124="","Sin fecha límite"&amp;" · ","")&amp;IF(AND(LEFT($C124,11)="[Jefatura] ",N($AL124)=0),"No se encuentra en la hoja de la jefatura (elíjala de nuevo en la lista)"&amp;" · ","")&amp;IF(OR(AND($E124&lt;&gt;"",NOT(ISNUMBER($E124))),AND($F124&lt;&gt;"",NOT(ISNUMBER($F124))),AND($G124&lt;&gt;"",NOT(ISNUMBER($G124)))),"Fecha no válida"&amp;" · ","")&amp;IF(AND(ISNUMBER($AM124),ISNUMBER($AN124),$AM124&gt;$AN124),"Inicio posterior a fecha límite"&amp;" · ","")&amp;IF(AND($V124="Macro",$H124&lt;&gt;"",OR(NOT(ISNUMBER($H124)),$H124&lt;0,$H124&gt;1)),"Peso fuera de rango"&amp;" · ","")&amp;IF(AND($V124="Sub",$H124&lt;&gt;""),"Las subactividades no llevan peso (valen igual dentro de su macroactividad)"&amp;" · ","")&amp;IF(AND(N($W124)&gt;0,COUNT($I124:$L124)&gt;0),"Con subactividades: deje vacías las semanas (se calculan solas)"&amp;" · ","")&amp;IF((COUNTIF($I124:$L124,"&gt;1")+COUNTIF($I124:$L124,"&lt;0")+COUNTA($I124:$L124)-COUNT($I124:$L124))&gt;0,"Avance fuera de rango 0-100%"&amp;" · ","")&amp;IF(OR(AND($J124&lt;&gt;"",$J124&lt;$I124),AND($K124&lt;&gt;"",$K124&lt;MAX($I124:$J124)),AND($L124&lt;&gt;"",$L124&lt;MAX($I124:$K124))),"Avance semanal decreciente"&amp;" · ","")&amp;IF(AND(ISNUMBER($AN124),$AN124&lt;FechaRef,IF($V124="Sub",N($X124),N($M124))&lt;1),"Vencida"&amp;" · ","")&amp;IF(AND(ObsObligatoria="Sí",ISNUMBER($AN124),$AN124&lt;FechaRef,IF($V124="Sub",N($X124),N($M124))&lt;1,$Q124=""),"Vencida sin observación"&amp;" · ",""))="","✔ OK","⚠ "&amp;LEFT(IF($C124="","Falta el nombre de la actividad"&amp;" · ","")&amp;IF(AND($V124="Sub",N($U124)=0),"Subactividad sin macroactividad arriba"&amp;" · ","")&amp;IF($AM124="","Sin fecha de inicio"&amp;" · ","")&amp;IF($AN124="","Sin fecha límite"&amp;" · ","")&amp;IF(AND(LEFT($C124,11)="[Jefatura] ",N($AL124)=0),"No se encuentra en la hoja de la jefatura (elíjala de nuevo en la lista)"&amp;" · ","")&amp;IF(OR(AND($E124&lt;&gt;"",NOT(ISNUMBER($E124))),AND($F124&lt;&gt;"",NOT(ISNUMBER($F124))),AND($G124&lt;&gt;"",NOT(ISNUMBER($G124)))),"Fecha no válida"&amp;" · ","")&amp;IF(AND(ISNUMBER($AM124),ISNUMBER($AN124),$AM124&gt;$AN124),"Inicio posterior a fecha límite"&amp;" · ","")&amp;IF(AND($V124="Macro",$H124&lt;&gt;"",OR(NOT(ISNUMBER($H124)),$H124&lt;0,$H124&gt;1)),"Peso fuera de rango"&amp;" · ","")&amp;IF(AND($V124="Sub",$H124&lt;&gt;""),"Las subactividades no llevan peso (valen igual dentro de su macroactividad)"&amp;" · ","")&amp;IF(AND(N($W124)&gt;0,COUNT($I124:$L124)&gt;0),"Con subactividades: deje vacías las semanas (se calculan solas)"&amp;" · ","")&amp;IF((COUNTIF($I124:$L124,"&gt;1")+COUNTIF($I124:$L124,"&lt;0")+COUNTA($I124:$L124)-COUNT($I124:$L124))&gt;0,"Avance fuera de rango 0-100%"&amp;" · ","")&amp;IF(OR(AND($J124&lt;&gt;"",$J124&lt;$I124),AND($K124&lt;&gt;"",$K124&lt;MAX($I124:$J124)),AND($L124&lt;&gt;"",$L124&lt;MAX($I124:$K124))),"Avance semanal decreciente"&amp;" · ","")&amp;IF(AND(ISNUMBER($AN124),$AN124&lt;FechaRef,IF($V124="Sub",N($X124),N($M124))&lt;1),"Vencida"&amp;" · ","")&amp;IF(AND(ObsObligatoria="Sí",ISNUMBER($AN124),$AN124&lt;FechaRef,IF($V124="Sub",N($X124),N($M124))&lt;1,$Q124=""),"Vencida sin observación"&amp;" · ",""),LEN(IF($C124="","Falta el nombre de la actividad"&amp;" · ","")&amp;IF(AND($V124="Sub",N($U124)=0),"Subactividad sin macroactividad arriba"&amp;" · ","")&amp;IF($AM124="","Sin fecha de inicio"&amp;" · ","")&amp;IF($AN124="","Sin fecha límite"&amp;" · ","")&amp;IF(AND(LEFT($C124,11)="[Jefatura] ",N($AL124)=0),"No se encuentra en la hoja de la jefatura (elíjala de nuevo en la lista)"&amp;" · ","")&amp;IF(OR(AND($E124&lt;&gt;"",NOT(ISNUMBER($E124))),AND($F124&lt;&gt;"",NOT(ISNUMBER($F124))),AND($G124&lt;&gt;"",NOT(ISNUMBER($G124)))),"Fecha no válida"&amp;" · ","")&amp;IF(AND(ISNUMBER($AM124),ISNUMBER($AN124),$AM124&gt;$AN124),"Inicio posterior a fecha límite"&amp;" · ","")&amp;IF(AND($V124="Macro",$H124&lt;&gt;"",OR(NOT(ISNUMBER($H124)),$H124&lt;0,$H124&gt;1)),"Peso fuera de rango"&amp;" · ","")&amp;IF(AND($V124="Sub",$H124&lt;&gt;""),"Las subactividades no llevan peso (valen igual dentro de su macroactividad)"&amp;" · ","")&amp;IF(AND(N($W124)&gt;0,COUNT($I124:$L124)&gt;0),"Con subactividades: deje vacías las semanas (se calculan solas)"&amp;" · ","")&amp;IF((COUNTIF($I124:$L124,"&gt;1")+COUNTIF($I124:$L124,"&lt;0")+COUNTA($I124:$L124)-COUNT($I124:$L124))&gt;0,"Avance fuera de rango 0-100%"&amp;" · ","")&amp;IF(OR(AND($J124&lt;&gt;"",$J124&lt;$I124),AND($K124&lt;&gt;"",$K124&lt;MAX($I124:$J124)),AND($L124&lt;&gt;"",$L124&lt;MAX($I124:$K124))),"Avance semanal decreciente"&amp;" · ","")&amp;IF(AND(ISNUMBER($AN124),$AN124&lt;FechaRef,IF($V124="Sub",N($X124),N($M124))&lt;1),"Vencida"&amp;" · ","")&amp;IF(AND(ObsObligatoria="Sí",ISNUMBER($AN124),$AN124&lt;FechaRef,IF($V124="Sub",N($X124),N($M124))&lt;1,$Q124=""),"Vencida sin observación"&amp;" · ",""))-3)))</f>
        <v/>
      </c>
      <c r="S124" s="64">
        <f>IF(NOT((COUNTA($B124:$D124)+COUNTA($G124:$L124)+COUNTA($Q124))&gt;0),"",IF(AND($V124="Sub",N($U124)&gt;0),IF(ISNUMBER(INDEX($AM$5:$AM$1000,$U124-4)),DATE(YEAR(INDEX($AM$5:$AM$1000,$U124-4)),MONTH(INDEX($AM$5:$AM$1000,$U124-4)),1),IF(ISNUMBER(INDEX($AN$5:$AN$1000,$U124-4)),DATE(YEAR(INDEX($AN$5:$AN$1000,$U124-4)),MONTH(INDEX($AN$5:$AN$1000,$U124-4)),1),MesCiclo)),IF(ISNUMBER($AM124),DATE(YEAR($AM124),MONTH($AM124),1),IF(ISNUMBER($AN124),DATE(YEAR($AN124),MONTH($AN124),1),MesCiclo))))</f>
        <v/>
      </c>
      <c r="T124" s="62">
        <f>IF(OR($S124="",$S124&lt;&gt;MesCiclo,$V124&lt;&gt;"Macro"),"",COUNTIFS($S$5:$S124,MesCiclo,$V$5:$V124,"Macro"))</f>
        <v/>
      </c>
      <c r="U124" s="62">
        <f>IF($V124="","",IF($V124="Macro",ROW(),IFERROR(LOOKUP(2,1/($V$5:$V124="Macro"),ROW($V$5:$V124)),0)))</f>
        <v/>
      </c>
      <c r="V124" s="62">
        <f>IF(NOT((COUNTA($B124:$D124)+COUNTA($G124:$L124)+COUNTA($Q124))&gt;0),"",IF($B124="Subactividad","Sub","Macro"))</f>
        <v/>
      </c>
      <c r="W124" s="62">
        <f>IF($V124="Macro",COUNTIFS($U$5:$U$1000,ROW(),$V$5:$V$1000,"Sub"),"")</f>
        <v/>
      </c>
      <c r="X124" s="62">
        <f>IF($V124="","",IF(ISNUMBER($G124),1,IFERROR(LOOKUP(2,1/($I124:$L124&lt;&gt;""),$I124:$L124),0)))</f>
        <v/>
      </c>
      <c r="Y124" s="62">
        <f>IF($V124="","",IF(AND(ISNUMBER($G124),$G124&lt;=IF($S124=MesCiclo,InicioCiclo,$S124+MOD(2-WEEKDAY($S124),7))+6),1,IF(ISNUMBER($I124),$I124,0)))</f>
        <v/>
      </c>
      <c r="Z124" s="62">
        <f>IF($V124="","",IF(AND(ISNUMBER($G124),$G124&lt;=IF($S124=MesCiclo,InicioCiclo,$S124+MOD(2-WEEKDAY($S124),7))+13),1,IF(ISNUMBER($J124),$J124,$Y124)))</f>
        <v/>
      </c>
      <c r="AA124" s="62">
        <f>IF($V124="","",IF(AND(ISNUMBER($G124),$G124&lt;=IF($S124=MesCiclo,InicioCiclo,$S124+MOD(2-WEEKDAY($S124),7))+20),1,IF(ISNUMBER($K124),$K124,$Z124)))</f>
        <v/>
      </c>
      <c r="AB124" s="62">
        <f>IF($V124="","",IF(AND(ISNUMBER($G124),$G124&lt;=IF($S124=MesCiclo,InicioCiclo,$S124+MOD(2-WEEKDAY($S124),7))+27),1,IF(ISNUMBER($L124),$L124,$AA124)))</f>
        <v/>
      </c>
      <c r="AC124" s="62">
        <f>IF($V124="","",IF(AND(ISNUMBER($G124),$G124&lt;=IF($S124=MesCiclo,InicioCiclo,$S124+MOD(2-WEEKDAY($S124),7))+6),1,IF(N($W124)&gt;0,AVERAGEIFS($Y$5:$Y$1000,$U$5:$U$1000,ROW(),$V$5:$V$1000,"Sub"),$Y124)))</f>
        <v/>
      </c>
      <c r="AD124" s="62">
        <f>IF($V124="","",IF(AND(ISNUMBER($G124),$G124&lt;=IF($S124=MesCiclo,InicioCiclo,$S124+MOD(2-WEEKDAY($S124),7))+13),1,IF(N($W124)&gt;0,AVERAGEIFS($Z$5:$Z$1000,$U$5:$U$1000,ROW(),$V$5:$V$1000,"Sub"),$Z124)))</f>
        <v/>
      </c>
      <c r="AE124" s="62">
        <f>IF($V124="","",IF(AND(ISNUMBER($G124),$G124&lt;=IF($S124=MesCiclo,InicioCiclo,$S124+MOD(2-WEEKDAY($S124),7))+20),1,IF(N($W124)&gt;0,AVERAGEIFS($AA$5:$AA$1000,$U$5:$U$1000,ROW(),$V$5:$V$1000,"Sub"),$AA124)))</f>
        <v/>
      </c>
      <c r="AF124" s="62">
        <f>IF($V124="","",IF(AND(ISNUMBER($G124),$G124&lt;=IF($S124=MesCiclo,InicioCiclo,$S124+MOD(2-WEEKDAY($S124),7))+27),1,IF(N($W124)&gt;0,AVERAGEIFS($AB$5:$AB$1000,$U$5:$U$1000,ROW(),$V$5:$V$1000,"Sub"),$AB124)))</f>
        <v/>
      </c>
      <c r="AG124" s="62">
        <f>IF($V124&lt;&gt;"Macro","",IF(COUNTIFS($S$5:$S$1000,$S124,$V$5:$V$1000,"Macro",$H$5:$H$1000,"&gt;0")=0,1/COUNTIFS($S$5:$S$1000,$S124,$V$5:$V$1000,"Macro"),IF(AND(ISNUMBER($H124),N($H124)&gt;0),$H124,SUMIFS($H$5:$H$1000,$S$5:$S$1000,$S124,$V$5:$V$1000,"Macro")/COUNTIFS($S$5:$S$1000,$S124,$V$5:$V$1000,"Macro",$H$5:$H$1000,"&gt;0"))/(COUNTIFS($S$5:$S$1000,$S124,$V$5:$V$1000,"Macro")*SUMIFS($H$5:$H$1000,$S$5:$S$1000,$S124,$V$5:$V$1000,"Macro")/COUNTIFS($S$5:$S$1000,$S124,$V$5:$V$1000,"Macro",$H$5:$H$1000,"&gt;0"))))</f>
        <v/>
      </c>
      <c r="AH124" s="62">
        <f>IF(NOT(AND($D124&lt;&gt;"",$V124="Macro")),"",IFERROR(CHOOSE(MATCH($D124,ListaPuestos,0),MATCH("[Jefatura] "&amp;$C124,'Cronograma R. Operacional'!$C$5:$C$1000,0),MATCH("[Jefatura] "&amp;$C124,'Cronograma R. Normativo'!$C$5:$C$1000,0),MATCH("[Jefatura] "&amp;$C124,'Cronograma R. Financiero'!$C$5:$C$1000,0),MATCH("[Jefatura] "&amp;$C124,'Cronograma Asistente Técnico'!$C$5:$C$1000,0)),0))</f>
        <v/>
      </c>
      <c r="AI124" s="62">
        <f>IF(AND(AND($D124&lt;&gt;"",$V124="Macro"),$S124=MesCiclo),COUNTIFS($D$5:$D124,$D124,$S$5:$S124,MesCiclo,$V$5:$V124,"Macro"),"")</f>
        <v/>
      </c>
      <c r="AJ124" s="62">
        <f>IF($AI124="","",$D124&amp;"|"&amp;$AI124)</f>
        <v/>
      </c>
      <c r="AK124" s="62">
        <f>IF(AND($D124&lt;&gt;"",$V124="Macro"),$D124&amp;"|"&amp;$C124,"")</f>
        <v/>
      </c>
      <c r="AL124" s="62">
        <f>""</f>
        <v/>
      </c>
      <c r="AM124" s="62">
        <f>IF(N($AL124)&gt;0,INDEX(rIni_ADM,$AL124),IF(ISNUMBER($E124),$E124,""))</f>
        <v/>
      </c>
      <c r="AN124" s="62">
        <f>IF(N($AL124)&gt;0,INDEX(rLim_ADM,$AL124),IF(ISNUMBER($F124),$F124,""))</f>
        <v/>
      </c>
    </row>
    <row r="125">
      <c r="A125" s="56">
        <f>IF(NOT((COUNTA($B125:$D125)+COUNTA($G125:$L125)+COUNTA($Q125))&gt;0),"",IF($V125="Macro",COUNTIFS($V$5:$V125,"Macro",$S$5:$S125,$S125),IF(N($U125)=0,"?",COUNTIFS(INDEX($V$5:$V$1000,1):INDEX($V$5:$V$1000,$U125-4),"Macro",INDEX($S$5:$S$1000,1):INDEX($S$5:$S$1000,$U125-4),INDEX($S$5:$S$1000,$U125-4))&amp;"."&amp;COUNTIFS($U$5:$U125,$U125,$V$5:$V125,"Sub"))))</f>
        <v/>
      </c>
      <c r="B125" s="57" t="n"/>
      <c r="C125" s="58" t="n"/>
      <c r="D125" s="58" t="n"/>
      <c r="E125" s="59" t="n"/>
      <c r="F125" s="59" t="n"/>
      <c r="G125" s="59" t="n"/>
      <c r="H125" s="60" t="n"/>
      <c r="I125" s="60" t="n"/>
      <c r="J125" s="60" t="n"/>
      <c r="K125" s="60" t="n"/>
      <c r="L125" s="60" t="n"/>
      <c r="M125" s="61">
        <f>IF(NOT((COUNTA($B125:$D125)+COUNTA($G125:$L125)+COUNTA($Q125))&gt;0),"",IF(AND($D125&lt;&gt;"",$V125="Macro"),IF(N($AH125)&gt;0,N(CHOOSE(MATCH($D125,ListaPuestos,0),INDEX('Cronograma R. Operacional'!$M$5:$M$1000,$AH125),INDEX('Cronograma R. Normativo'!$M$5:$M$1000,$AH125),INDEX('Cronograma R. Financiero'!$M$5:$M$1000,$AH125),INDEX('Cronograma Asistente Técnico'!$M$5:$M$1000,$AH125))),0),IF(ISNUMBER($G125),1,IF(N($W125)&gt;0,AVERAGEIFS($X$5:$X$1000,$U$5:$U$1000,ROW(),$V$5:$V$1000,"Sub"),$X125))))</f>
        <v/>
      </c>
      <c r="N125" s="56">
        <f>IF(OR($M125="",$V125="Sub"),"",IF($M125&gt;=1,"Completado",IF($M125&gt;0,"En curso","Pendiente")))</f>
        <v/>
      </c>
      <c r="O125" s="56">
        <f>IF(NOT((COUNTA($B125:$D125)+COUNTA($G125:$L125)+COUNTA($Q125))&gt;0),"",IF(AND(AND($D125&lt;&gt;"",$V125="Macro"),N($AH125)&gt;0),CHOOSE(MATCH($D125,ListaPuestos,0),INDEX('Cronograma R. Operacional'!$O$5:$O$1000,$AH125),INDEX('Cronograma R. Normativo'!$O$5:$O$1000,$AH125),INDEX('Cronograma R. Financiero'!$O$5:$O$1000,$AH125),INDEX('Cronograma Asistente Técnico'!$O$5:$O$1000,$AH125))&amp;"",IF(ISNUMBER($G125),IF(AND(ISNUMBER($AN125),$G125&gt;$AN125),"Cumplida con "&amp;($G125-$AN125)&amp;IF($G125-$AN125=1," día"," días")&amp;" de retraso","Cumplida"),IF(N($M125)&gt;=1,"Cumplida",IF(NOT(ISNUMBER($AN125)),"Sin fecha límite",IF($AN125&lt;FechaRef,"Vencida hace "&amp;(FechaRef-$AN125)&amp;IF(FechaRef-$AN125=1," día"," días"),IF($AN125=FechaRef,"Vence hoy",IF($AN125-FechaRef&lt;=DiasAlerta,"Vence en "&amp;($AN125-FechaRef)&amp;IF($AN125-FechaRef=1," día"," días"),"En plazo"))))))))</f>
        <v/>
      </c>
      <c r="P125" s="62">
        <f>IF(NOT((COUNTA($B125:$D125)+COUNTA($G125:$L125)+COUNTA($Q125))&gt;0),"",IF($D125="","Propia",IF($V125&lt;&gt;"Macro","Solo se delegan macroactividades",IF(N($AH125)&gt;0,"✔ Recibida por "&amp;$D125,"⚠ "&amp;$D125&amp;" aún no la agrega"))))</f>
        <v/>
      </c>
      <c r="Q125" s="58" t="n"/>
      <c r="R125" s="63">
        <f>IF(NOT((COUNTA($B125:$D125)+COUNTA($G125:$L125)+COUNTA($Q125))&gt;0),"",IF((IF($C125="","Falta el nombre de la actividad"&amp;" · ","")&amp;IF(AND($V125="Sub",N($U125)=0),"Subactividad sin macroactividad arriba"&amp;" · ","")&amp;IF($AM125="","Sin fecha de inicio"&amp;" · ","")&amp;IF($AN125="","Sin fecha límite"&amp;" · ","")&amp;IF(AND(LEFT($C125,11)="[Jefatura] ",N($AL125)=0),"No se encuentra en la hoja de la jefatura (elíjala de nuevo en la lista)"&amp;" · ","")&amp;IF(OR(AND($E125&lt;&gt;"",NOT(ISNUMBER($E125))),AND($F125&lt;&gt;"",NOT(ISNUMBER($F125))),AND($G125&lt;&gt;"",NOT(ISNUMBER($G125)))),"Fecha no válida"&amp;" · ","")&amp;IF(AND(ISNUMBER($AM125),ISNUMBER($AN125),$AM125&gt;$AN125),"Inicio posterior a fecha límite"&amp;" · ","")&amp;IF(AND($V125="Macro",$H125&lt;&gt;"",OR(NOT(ISNUMBER($H125)),$H125&lt;0,$H125&gt;1)),"Peso fuera de rango"&amp;" · ","")&amp;IF(AND($V125="Sub",$H125&lt;&gt;""),"Las subactividades no llevan peso (valen igual dentro de su macroactividad)"&amp;" · ","")&amp;IF(AND(N($W125)&gt;0,COUNT($I125:$L125)&gt;0),"Con subactividades: deje vacías las semanas (se calculan solas)"&amp;" · ","")&amp;IF((COUNTIF($I125:$L125,"&gt;1")+COUNTIF($I125:$L125,"&lt;0")+COUNTA($I125:$L125)-COUNT($I125:$L125))&gt;0,"Avance fuera de rango 0-100%"&amp;" · ","")&amp;IF(OR(AND($J125&lt;&gt;"",$J125&lt;$I125),AND($K125&lt;&gt;"",$K125&lt;MAX($I125:$J125)),AND($L125&lt;&gt;"",$L125&lt;MAX($I125:$K125))),"Avance semanal decreciente"&amp;" · ","")&amp;IF(AND(ISNUMBER($AN125),$AN125&lt;FechaRef,IF($V125="Sub",N($X125),N($M125))&lt;1),"Vencida"&amp;" · ","")&amp;IF(AND(ObsObligatoria="Sí",ISNUMBER($AN125),$AN125&lt;FechaRef,IF($V125="Sub",N($X125),N($M125))&lt;1,$Q125=""),"Vencida sin observación"&amp;" · ",""))="","✔ OK","⚠ "&amp;LEFT(IF($C125="","Falta el nombre de la actividad"&amp;" · ","")&amp;IF(AND($V125="Sub",N($U125)=0),"Subactividad sin macroactividad arriba"&amp;" · ","")&amp;IF($AM125="","Sin fecha de inicio"&amp;" · ","")&amp;IF($AN125="","Sin fecha límite"&amp;" · ","")&amp;IF(AND(LEFT($C125,11)="[Jefatura] ",N($AL125)=0),"No se encuentra en la hoja de la jefatura (elíjala de nuevo en la lista)"&amp;" · ","")&amp;IF(OR(AND($E125&lt;&gt;"",NOT(ISNUMBER($E125))),AND($F125&lt;&gt;"",NOT(ISNUMBER($F125))),AND($G125&lt;&gt;"",NOT(ISNUMBER($G125)))),"Fecha no válida"&amp;" · ","")&amp;IF(AND(ISNUMBER($AM125),ISNUMBER($AN125),$AM125&gt;$AN125),"Inicio posterior a fecha límite"&amp;" · ","")&amp;IF(AND($V125="Macro",$H125&lt;&gt;"",OR(NOT(ISNUMBER($H125)),$H125&lt;0,$H125&gt;1)),"Peso fuera de rango"&amp;" · ","")&amp;IF(AND($V125="Sub",$H125&lt;&gt;""),"Las subactividades no llevan peso (valen igual dentro de su macroactividad)"&amp;" · ","")&amp;IF(AND(N($W125)&gt;0,COUNT($I125:$L125)&gt;0),"Con subactividades: deje vacías las semanas (se calculan solas)"&amp;" · ","")&amp;IF((COUNTIF($I125:$L125,"&gt;1")+COUNTIF($I125:$L125,"&lt;0")+COUNTA($I125:$L125)-COUNT($I125:$L125))&gt;0,"Avance fuera de rango 0-100%"&amp;" · ","")&amp;IF(OR(AND($J125&lt;&gt;"",$J125&lt;$I125),AND($K125&lt;&gt;"",$K125&lt;MAX($I125:$J125)),AND($L125&lt;&gt;"",$L125&lt;MAX($I125:$K125))),"Avance semanal decreciente"&amp;" · ","")&amp;IF(AND(ISNUMBER($AN125),$AN125&lt;FechaRef,IF($V125="Sub",N($X125),N($M125))&lt;1),"Vencida"&amp;" · ","")&amp;IF(AND(ObsObligatoria="Sí",ISNUMBER($AN125),$AN125&lt;FechaRef,IF($V125="Sub",N($X125),N($M125))&lt;1,$Q125=""),"Vencida sin observación"&amp;" · ",""),LEN(IF($C125="","Falta el nombre de la actividad"&amp;" · ","")&amp;IF(AND($V125="Sub",N($U125)=0),"Subactividad sin macroactividad arriba"&amp;" · ","")&amp;IF($AM125="","Sin fecha de inicio"&amp;" · ","")&amp;IF($AN125="","Sin fecha límite"&amp;" · ","")&amp;IF(AND(LEFT($C125,11)="[Jefatura] ",N($AL125)=0),"No se encuentra en la hoja de la jefatura (elíjala de nuevo en la lista)"&amp;" · ","")&amp;IF(OR(AND($E125&lt;&gt;"",NOT(ISNUMBER($E125))),AND($F125&lt;&gt;"",NOT(ISNUMBER($F125))),AND($G125&lt;&gt;"",NOT(ISNUMBER($G125)))),"Fecha no válida"&amp;" · ","")&amp;IF(AND(ISNUMBER($AM125),ISNUMBER($AN125),$AM125&gt;$AN125),"Inicio posterior a fecha límite"&amp;" · ","")&amp;IF(AND($V125="Macro",$H125&lt;&gt;"",OR(NOT(ISNUMBER($H125)),$H125&lt;0,$H125&gt;1)),"Peso fuera de rango"&amp;" · ","")&amp;IF(AND($V125="Sub",$H125&lt;&gt;""),"Las subactividades no llevan peso (valen igual dentro de su macroactividad)"&amp;" · ","")&amp;IF(AND(N($W125)&gt;0,COUNT($I125:$L125)&gt;0),"Con subactividades: deje vacías las semanas (se calculan solas)"&amp;" · ","")&amp;IF((COUNTIF($I125:$L125,"&gt;1")+COUNTIF($I125:$L125,"&lt;0")+COUNTA($I125:$L125)-COUNT($I125:$L125))&gt;0,"Avance fuera de rango 0-100%"&amp;" · ","")&amp;IF(OR(AND($J125&lt;&gt;"",$J125&lt;$I125),AND($K125&lt;&gt;"",$K125&lt;MAX($I125:$J125)),AND($L125&lt;&gt;"",$L125&lt;MAX($I125:$K125))),"Avance semanal decreciente"&amp;" · ","")&amp;IF(AND(ISNUMBER($AN125),$AN125&lt;FechaRef,IF($V125="Sub",N($X125),N($M125))&lt;1),"Vencida"&amp;" · ","")&amp;IF(AND(ObsObligatoria="Sí",ISNUMBER($AN125),$AN125&lt;FechaRef,IF($V125="Sub",N($X125),N($M125))&lt;1,$Q125=""),"Vencida sin observación"&amp;" · ",""))-3)))</f>
        <v/>
      </c>
      <c r="S125" s="64">
        <f>IF(NOT((COUNTA($B125:$D125)+COUNTA($G125:$L125)+COUNTA($Q125))&gt;0),"",IF(AND($V125="Sub",N($U125)&gt;0),IF(ISNUMBER(INDEX($AM$5:$AM$1000,$U125-4)),DATE(YEAR(INDEX($AM$5:$AM$1000,$U125-4)),MONTH(INDEX($AM$5:$AM$1000,$U125-4)),1),IF(ISNUMBER(INDEX($AN$5:$AN$1000,$U125-4)),DATE(YEAR(INDEX($AN$5:$AN$1000,$U125-4)),MONTH(INDEX($AN$5:$AN$1000,$U125-4)),1),MesCiclo)),IF(ISNUMBER($AM125),DATE(YEAR($AM125),MONTH($AM125),1),IF(ISNUMBER($AN125),DATE(YEAR($AN125),MONTH($AN125),1),MesCiclo))))</f>
        <v/>
      </c>
      <c r="T125" s="62">
        <f>IF(OR($S125="",$S125&lt;&gt;MesCiclo,$V125&lt;&gt;"Macro"),"",COUNTIFS($S$5:$S125,MesCiclo,$V$5:$V125,"Macro"))</f>
        <v/>
      </c>
      <c r="U125" s="62">
        <f>IF($V125="","",IF($V125="Macro",ROW(),IFERROR(LOOKUP(2,1/($V$5:$V125="Macro"),ROW($V$5:$V125)),0)))</f>
        <v/>
      </c>
      <c r="V125" s="62">
        <f>IF(NOT((COUNTA($B125:$D125)+COUNTA($G125:$L125)+COUNTA($Q125))&gt;0),"",IF($B125="Subactividad","Sub","Macro"))</f>
        <v/>
      </c>
      <c r="W125" s="62">
        <f>IF($V125="Macro",COUNTIFS($U$5:$U$1000,ROW(),$V$5:$V$1000,"Sub"),"")</f>
        <v/>
      </c>
      <c r="X125" s="62">
        <f>IF($V125="","",IF(ISNUMBER($G125),1,IFERROR(LOOKUP(2,1/($I125:$L125&lt;&gt;""),$I125:$L125),0)))</f>
        <v/>
      </c>
      <c r="Y125" s="62">
        <f>IF($V125="","",IF(AND(ISNUMBER($G125),$G125&lt;=IF($S125=MesCiclo,InicioCiclo,$S125+MOD(2-WEEKDAY($S125),7))+6),1,IF(ISNUMBER($I125),$I125,0)))</f>
        <v/>
      </c>
      <c r="Z125" s="62">
        <f>IF($V125="","",IF(AND(ISNUMBER($G125),$G125&lt;=IF($S125=MesCiclo,InicioCiclo,$S125+MOD(2-WEEKDAY($S125),7))+13),1,IF(ISNUMBER($J125),$J125,$Y125)))</f>
        <v/>
      </c>
      <c r="AA125" s="62">
        <f>IF($V125="","",IF(AND(ISNUMBER($G125),$G125&lt;=IF($S125=MesCiclo,InicioCiclo,$S125+MOD(2-WEEKDAY($S125),7))+20),1,IF(ISNUMBER($K125),$K125,$Z125)))</f>
        <v/>
      </c>
      <c r="AB125" s="62">
        <f>IF($V125="","",IF(AND(ISNUMBER($G125),$G125&lt;=IF($S125=MesCiclo,InicioCiclo,$S125+MOD(2-WEEKDAY($S125),7))+27),1,IF(ISNUMBER($L125),$L125,$AA125)))</f>
        <v/>
      </c>
      <c r="AC125" s="62">
        <f>IF($V125="","",IF(AND(ISNUMBER($G125),$G125&lt;=IF($S125=MesCiclo,InicioCiclo,$S125+MOD(2-WEEKDAY($S125),7))+6),1,IF(N($W125)&gt;0,AVERAGEIFS($Y$5:$Y$1000,$U$5:$U$1000,ROW(),$V$5:$V$1000,"Sub"),$Y125)))</f>
        <v/>
      </c>
      <c r="AD125" s="62">
        <f>IF($V125="","",IF(AND(ISNUMBER($G125),$G125&lt;=IF($S125=MesCiclo,InicioCiclo,$S125+MOD(2-WEEKDAY($S125),7))+13),1,IF(N($W125)&gt;0,AVERAGEIFS($Z$5:$Z$1000,$U$5:$U$1000,ROW(),$V$5:$V$1000,"Sub"),$Z125)))</f>
        <v/>
      </c>
      <c r="AE125" s="62">
        <f>IF($V125="","",IF(AND(ISNUMBER($G125),$G125&lt;=IF($S125=MesCiclo,InicioCiclo,$S125+MOD(2-WEEKDAY($S125),7))+20),1,IF(N($W125)&gt;0,AVERAGEIFS($AA$5:$AA$1000,$U$5:$U$1000,ROW(),$V$5:$V$1000,"Sub"),$AA125)))</f>
        <v/>
      </c>
      <c r="AF125" s="62">
        <f>IF($V125="","",IF(AND(ISNUMBER($G125),$G125&lt;=IF($S125=MesCiclo,InicioCiclo,$S125+MOD(2-WEEKDAY($S125),7))+27),1,IF(N($W125)&gt;0,AVERAGEIFS($AB$5:$AB$1000,$U$5:$U$1000,ROW(),$V$5:$V$1000,"Sub"),$AB125)))</f>
        <v/>
      </c>
      <c r="AG125" s="62">
        <f>IF($V125&lt;&gt;"Macro","",IF(COUNTIFS($S$5:$S$1000,$S125,$V$5:$V$1000,"Macro",$H$5:$H$1000,"&gt;0")=0,1/COUNTIFS($S$5:$S$1000,$S125,$V$5:$V$1000,"Macro"),IF(AND(ISNUMBER($H125),N($H125)&gt;0),$H125,SUMIFS($H$5:$H$1000,$S$5:$S$1000,$S125,$V$5:$V$1000,"Macro")/COUNTIFS($S$5:$S$1000,$S125,$V$5:$V$1000,"Macro",$H$5:$H$1000,"&gt;0"))/(COUNTIFS($S$5:$S$1000,$S125,$V$5:$V$1000,"Macro")*SUMIFS($H$5:$H$1000,$S$5:$S$1000,$S125,$V$5:$V$1000,"Macro")/COUNTIFS($S$5:$S$1000,$S125,$V$5:$V$1000,"Macro",$H$5:$H$1000,"&gt;0"))))</f>
        <v/>
      </c>
      <c r="AH125" s="62">
        <f>IF(NOT(AND($D125&lt;&gt;"",$V125="Macro")),"",IFERROR(CHOOSE(MATCH($D125,ListaPuestos,0),MATCH("[Jefatura] "&amp;$C125,'Cronograma R. Operacional'!$C$5:$C$1000,0),MATCH("[Jefatura] "&amp;$C125,'Cronograma R. Normativo'!$C$5:$C$1000,0),MATCH("[Jefatura] "&amp;$C125,'Cronograma R. Financiero'!$C$5:$C$1000,0),MATCH("[Jefatura] "&amp;$C125,'Cronograma Asistente Técnico'!$C$5:$C$1000,0)),0))</f>
        <v/>
      </c>
      <c r="AI125" s="62">
        <f>IF(AND(AND($D125&lt;&gt;"",$V125="Macro"),$S125=MesCiclo),COUNTIFS($D$5:$D125,$D125,$S$5:$S125,MesCiclo,$V$5:$V125,"Macro"),"")</f>
        <v/>
      </c>
      <c r="AJ125" s="62">
        <f>IF($AI125="","",$D125&amp;"|"&amp;$AI125)</f>
        <v/>
      </c>
      <c r="AK125" s="62">
        <f>IF(AND($D125&lt;&gt;"",$V125="Macro"),$D125&amp;"|"&amp;$C125,"")</f>
        <v/>
      </c>
      <c r="AL125" s="62">
        <f>""</f>
        <v/>
      </c>
      <c r="AM125" s="62">
        <f>IF(N($AL125)&gt;0,INDEX(rIni_ADM,$AL125),IF(ISNUMBER($E125),$E125,""))</f>
        <v/>
      </c>
      <c r="AN125" s="62">
        <f>IF(N($AL125)&gt;0,INDEX(rLim_ADM,$AL125),IF(ISNUMBER($F125),$F125,""))</f>
        <v/>
      </c>
    </row>
    <row r="126">
      <c r="A126" s="56">
        <f>IF(NOT((COUNTA($B126:$D126)+COUNTA($G126:$L126)+COUNTA($Q126))&gt;0),"",IF($V126="Macro",COUNTIFS($V$5:$V126,"Macro",$S$5:$S126,$S126),IF(N($U126)=0,"?",COUNTIFS(INDEX($V$5:$V$1000,1):INDEX($V$5:$V$1000,$U126-4),"Macro",INDEX($S$5:$S$1000,1):INDEX($S$5:$S$1000,$U126-4),INDEX($S$5:$S$1000,$U126-4))&amp;"."&amp;COUNTIFS($U$5:$U126,$U126,$V$5:$V126,"Sub"))))</f>
        <v/>
      </c>
      <c r="B126" s="57" t="n"/>
      <c r="C126" s="58" t="n"/>
      <c r="D126" s="58" t="n"/>
      <c r="E126" s="59" t="n"/>
      <c r="F126" s="59" t="n"/>
      <c r="G126" s="59" t="n"/>
      <c r="H126" s="60" t="n"/>
      <c r="I126" s="60" t="n"/>
      <c r="J126" s="60" t="n"/>
      <c r="K126" s="60" t="n"/>
      <c r="L126" s="60" t="n"/>
      <c r="M126" s="61">
        <f>IF(NOT((COUNTA($B126:$D126)+COUNTA($G126:$L126)+COUNTA($Q126))&gt;0),"",IF(AND($D126&lt;&gt;"",$V126="Macro"),IF(N($AH126)&gt;0,N(CHOOSE(MATCH($D126,ListaPuestos,0),INDEX('Cronograma R. Operacional'!$M$5:$M$1000,$AH126),INDEX('Cronograma R. Normativo'!$M$5:$M$1000,$AH126),INDEX('Cronograma R. Financiero'!$M$5:$M$1000,$AH126),INDEX('Cronograma Asistente Técnico'!$M$5:$M$1000,$AH126))),0),IF(ISNUMBER($G126),1,IF(N($W126)&gt;0,AVERAGEIFS($X$5:$X$1000,$U$5:$U$1000,ROW(),$V$5:$V$1000,"Sub"),$X126))))</f>
        <v/>
      </c>
      <c r="N126" s="56">
        <f>IF(OR($M126="",$V126="Sub"),"",IF($M126&gt;=1,"Completado",IF($M126&gt;0,"En curso","Pendiente")))</f>
        <v/>
      </c>
      <c r="O126" s="56">
        <f>IF(NOT((COUNTA($B126:$D126)+COUNTA($G126:$L126)+COUNTA($Q126))&gt;0),"",IF(AND(AND($D126&lt;&gt;"",$V126="Macro"),N($AH126)&gt;0),CHOOSE(MATCH($D126,ListaPuestos,0),INDEX('Cronograma R. Operacional'!$O$5:$O$1000,$AH126),INDEX('Cronograma R. Normativo'!$O$5:$O$1000,$AH126),INDEX('Cronograma R. Financiero'!$O$5:$O$1000,$AH126),INDEX('Cronograma Asistente Técnico'!$O$5:$O$1000,$AH126))&amp;"",IF(ISNUMBER($G126),IF(AND(ISNUMBER($AN126),$G126&gt;$AN126),"Cumplida con "&amp;($G126-$AN126)&amp;IF($G126-$AN126=1," día"," días")&amp;" de retraso","Cumplida"),IF(N($M126)&gt;=1,"Cumplida",IF(NOT(ISNUMBER($AN126)),"Sin fecha límite",IF($AN126&lt;FechaRef,"Vencida hace "&amp;(FechaRef-$AN126)&amp;IF(FechaRef-$AN126=1," día"," días"),IF($AN126=FechaRef,"Vence hoy",IF($AN126-FechaRef&lt;=DiasAlerta,"Vence en "&amp;($AN126-FechaRef)&amp;IF($AN126-FechaRef=1," día"," días"),"En plazo"))))))))</f>
        <v/>
      </c>
      <c r="P126" s="62">
        <f>IF(NOT((COUNTA($B126:$D126)+COUNTA($G126:$L126)+COUNTA($Q126))&gt;0),"",IF($D126="","Propia",IF($V126&lt;&gt;"Macro","Solo se delegan macroactividades",IF(N($AH126)&gt;0,"✔ Recibida por "&amp;$D126,"⚠ "&amp;$D126&amp;" aún no la agrega"))))</f>
        <v/>
      </c>
      <c r="Q126" s="58" t="n"/>
      <c r="R126" s="63">
        <f>IF(NOT((COUNTA($B126:$D126)+COUNTA($G126:$L126)+COUNTA($Q126))&gt;0),"",IF((IF($C126="","Falta el nombre de la actividad"&amp;" · ","")&amp;IF(AND($V126="Sub",N($U126)=0),"Subactividad sin macroactividad arriba"&amp;" · ","")&amp;IF($AM126="","Sin fecha de inicio"&amp;" · ","")&amp;IF($AN126="","Sin fecha límite"&amp;" · ","")&amp;IF(AND(LEFT($C126,11)="[Jefatura] ",N($AL126)=0),"No se encuentra en la hoja de la jefatura (elíjala de nuevo en la lista)"&amp;" · ","")&amp;IF(OR(AND($E126&lt;&gt;"",NOT(ISNUMBER($E126))),AND($F126&lt;&gt;"",NOT(ISNUMBER($F126))),AND($G126&lt;&gt;"",NOT(ISNUMBER($G126)))),"Fecha no válida"&amp;" · ","")&amp;IF(AND(ISNUMBER($AM126),ISNUMBER($AN126),$AM126&gt;$AN126),"Inicio posterior a fecha límite"&amp;" · ","")&amp;IF(AND($V126="Macro",$H126&lt;&gt;"",OR(NOT(ISNUMBER($H126)),$H126&lt;0,$H126&gt;1)),"Peso fuera de rango"&amp;" · ","")&amp;IF(AND($V126="Sub",$H126&lt;&gt;""),"Las subactividades no llevan peso (valen igual dentro de su macroactividad)"&amp;" · ","")&amp;IF(AND(N($W126)&gt;0,COUNT($I126:$L126)&gt;0),"Con subactividades: deje vacías las semanas (se calculan solas)"&amp;" · ","")&amp;IF((COUNTIF($I126:$L126,"&gt;1")+COUNTIF($I126:$L126,"&lt;0")+COUNTA($I126:$L126)-COUNT($I126:$L126))&gt;0,"Avance fuera de rango 0-100%"&amp;" · ","")&amp;IF(OR(AND($J126&lt;&gt;"",$J126&lt;$I126),AND($K126&lt;&gt;"",$K126&lt;MAX($I126:$J126)),AND($L126&lt;&gt;"",$L126&lt;MAX($I126:$K126))),"Avance semanal decreciente"&amp;" · ","")&amp;IF(AND(ISNUMBER($AN126),$AN126&lt;FechaRef,IF($V126="Sub",N($X126),N($M126))&lt;1),"Vencida"&amp;" · ","")&amp;IF(AND(ObsObligatoria="Sí",ISNUMBER($AN126),$AN126&lt;FechaRef,IF($V126="Sub",N($X126),N($M126))&lt;1,$Q126=""),"Vencida sin observación"&amp;" · ",""))="","✔ OK","⚠ "&amp;LEFT(IF($C126="","Falta el nombre de la actividad"&amp;" · ","")&amp;IF(AND($V126="Sub",N($U126)=0),"Subactividad sin macroactividad arriba"&amp;" · ","")&amp;IF($AM126="","Sin fecha de inicio"&amp;" · ","")&amp;IF($AN126="","Sin fecha límite"&amp;" · ","")&amp;IF(AND(LEFT($C126,11)="[Jefatura] ",N($AL126)=0),"No se encuentra en la hoja de la jefatura (elíjala de nuevo en la lista)"&amp;" · ","")&amp;IF(OR(AND($E126&lt;&gt;"",NOT(ISNUMBER($E126))),AND($F126&lt;&gt;"",NOT(ISNUMBER($F126))),AND($G126&lt;&gt;"",NOT(ISNUMBER($G126)))),"Fecha no válida"&amp;" · ","")&amp;IF(AND(ISNUMBER($AM126),ISNUMBER($AN126),$AM126&gt;$AN126),"Inicio posterior a fecha límite"&amp;" · ","")&amp;IF(AND($V126="Macro",$H126&lt;&gt;"",OR(NOT(ISNUMBER($H126)),$H126&lt;0,$H126&gt;1)),"Peso fuera de rango"&amp;" · ","")&amp;IF(AND($V126="Sub",$H126&lt;&gt;""),"Las subactividades no llevan peso (valen igual dentro de su macroactividad)"&amp;" · ","")&amp;IF(AND(N($W126)&gt;0,COUNT($I126:$L126)&gt;0),"Con subactividades: deje vacías las semanas (se calculan solas)"&amp;" · ","")&amp;IF((COUNTIF($I126:$L126,"&gt;1")+COUNTIF($I126:$L126,"&lt;0")+COUNTA($I126:$L126)-COUNT($I126:$L126))&gt;0,"Avance fuera de rango 0-100%"&amp;" · ","")&amp;IF(OR(AND($J126&lt;&gt;"",$J126&lt;$I126),AND($K126&lt;&gt;"",$K126&lt;MAX($I126:$J126)),AND($L126&lt;&gt;"",$L126&lt;MAX($I126:$K126))),"Avance semanal decreciente"&amp;" · ","")&amp;IF(AND(ISNUMBER($AN126),$AN126&lt;FechaRef,IF($V126="Sub",N($X126),N($M126))&lt;1),"Vencida"&amp;" · ","")&amp;IF(AND(ObsObligatoria="Sí",ISNUMBER($AN126),$AN126&lt;FechaRef,IF($V126="Sub",N($X126),N($M126))&lt;1,$Q126=""),"Vencida sin observación"&amp;" · ",""),LEN(IF($C126="","Falta el nombre de la actividad"&amp;" · ","")&amp;IF(AND($V126="Sub",N($U126)=0),"Subactividad sin macroactividad arriba"&amp;" · ","")&amp;IF($AM126="","Sin fecha de inicio"&amp;" · ","")&amp;IF($AN126="","Sin fecha límite"&amp;" · ","")&amp;IF(AND(LEFT($C126,11)="[Jefatura] ",N($AL126)=0),"No se encuentra en la hoja de la jefatura (elíjala de nuevo en la lista)"&amp;" · ","")&amp;IF(OR(AND($E126&lt;&gt;"",NOT(ISNUMBER($E126))),AND($F126&lt;&gt;"",NOT(ISNUMBER($F126))),AND($G126&lt;&gt;"",NOT(ISNUMBER($G126)))),"Fecha no válida"&amp;" · ","")&amp;IF(AND(ISNUMBER($AM126),ISNUMBER($AN126),$AM126&gt;$AN126),"Inicio posterior a fecha límite"&amp;" · ","")&amp;IF(AND($V126="Macro",$H126&lt;&gt;"",OR(NOT(ISNUMBER($H126)),$H126&lt;0,$H126&gt;1)),"Peso fuera de rango"&amp;" · ","")&amp;IF(AND($V126="Sub",$H126&lt;&gt;""),"Las subactividades no llevan peso (valen igual dentro de su macroactividad)"&amp;" · ","")&amp;IF(AND(N($W126)&gt;0,COUNT($I126:$L126)&gt;0),"Con subactividades: deje vacías las semanas (se calculan solas)"&amp;" · ","")&amp;IF((COUNTIF($I126:$L126,"&gt;1")+COUNTIF($I126:$L126,"&lt;0")+COUNTA($I126:$L126)-COUNT($I126:$L126))&gt;0,"Avance fuera de rango 0-100%"&amp;" · ","")&amp;IF(OR(AND($J126&lt;&gt;"",$J126&lt;$I126),AND($K126&lt;&gt;"",$K126&lt;MAX($I126:$J126)),AND($L126&lt;&gt;"",$L126&lt;MAX($I126:$K126))),"Avance semanal decreciente"&amp;" · ","")&amp;IF(AND(ISNUMBER($AN126),$AN126&lt;FechaRef,IF($V126="Sub",N($X126),N($M126))&lt;1),"Vencida"&amp;" · ","")&amp;IF(AND(ObsObligatoria="Sí",ISNUMBER($AN126),$AN126&lt;FechaRef,IF($V126="Sub",N($X126),N($M126))&lt;1,$Q126=""),"Vencida sin observación"&amp;" · ",""))-3)))</f>
        <v/>
      </c>
      <c r="S126" s="64">
        <f>IF(NOT((COUNTA($B126:$D126)+COUNTA($G126:$L126)+COUNTA($Q126))&gt;0),"",IF(AND($V126="Sub",N($U126)&gt;0),IF(ISNUMBER(INDEX($AM$5:$AM$1000,$U126-4)),DATE(YEAR(INDEX($AM$5:$AM$1000,$U126-4)),MONTH(INDEX($AM$5:$AM$1000,$U126-4)),1),IF(ISNUMBER(INDEX($AN$5:$AN$1000,$U126-4)),DATE(YEAR(INDEX($AN$5:$AN$1000,$U126-4)),MONTH(INDEX($AN$5:$AN$1000,$U126-4)),1),MesCiclo)),IF(ISNUMBER($AM126),DATE(YEAR($AM126),MONTH($AM126),1),IF(ISNUMBER($AN126),DATE(YEAR($AN126),MONTH($AN126),1),MesCiclo))))</f>
        <v/>
      </c>
      <c r="T126" s="62">
        <f>IF(OR($S126="",$S126&lt;&gt;MesCiclo,$V126&lt;&gt;"Macro"),"",COUNTIFS($S$5:$S126,MesCiclo,$V$5:$V126,"Macro"))</f>
        <v/>
      </c>
      <c r="U126" s="62">
        <f>IF($V126="","",IF($V126="Macro",ROW(),IFERROR(LOOKUP(2,1/($V$5:$V126="Macro"),ROW($V$5:$V126)),0)))</f>
        <v/>
      </c>
      <c r="V126" s="62">
        <f>IF(NOT((COUNTA($B126:$D126)+COUNTA($G126:$L126)+COUNTA($Q126))&gt;0),"",IF($B126="Subactividad","Sub","Macro"))</f>
        <v/>
      </c>
      <c r="W126" s="62">
        <f>IF($V126="Macro",COUNTIFS($U$5:$U$1000,ROW(),$V$5:$V$1000,"Sub"),"")</f>
        <v/>
      </c>
      <c r="X126" s="62">
        <f>IF($V126="","",IF(ISNUMBER($G126),1,IFERROR(LOOKUP(2,1/($I126:$L126&lt;&gt;""),$I126:$L126),0)))</f>
        <v/>
      </c>
      <c r="Y126" s="62">
        <f>IF($V126="","",IF(AND(ISNUMBER($G126),$G126&lt;=IF($S126=MesCiclo,InicioCiclo,$S126+MOD(2-WEEKDAY($S126),7))+6),1,IF(ISNUMBER($I126),$I126,0)))</f>
        <v/>
      </c>
      <c r="Z126" s="62">
        <f>IF($V126="","",IF(AND(ISNUMBER($G126),$G126&lt;=IF($S126=MesCiclo,InicioCiclo,$S126+MOD(2-WEEKDAY($S126),7))+13),1,IF(ISNUMBER($J126),$J126,$Y126)))</f>
        <v/>
      </c>
      <c r="AA126" s="62">
        <f>IF($V126="","",IF(AND(ISNUMBER($G126),$G126&lt;=IF($S126=MesCiclo,InicioCiclo,$S126+MOD(2-WEEKDAY($S126),7))+20),1,IF(ISNUMBER($K126),$K126,$Z126)))</f>
        <v/>
      </c>
      <c r="AB126" s="62">
        <f>IF($V126="","",IF(AND(ISNUMBER($G126),$G126&lt;=IF($S126=MesCiclo,InicioCiclo,$S126+MOD(2-WEEKDAY($S126),7))+27),1,IF(ISNUMBER($L126),$L126,$AA126)))</f>
        <v/>
      </c>
      <c r="AC126" s="62">
        <f>IF($V126="","",IF(AND(ISNUMBER($G126),$G126&lt;=IF($S126=MesCiclo,InicioCiclo,$S126+MOD(2-WEEKDAY($S126),7))+6),1,IF(N($W126)&gt;0,AVERAGEIFS($Y$5:$Y$1000,$U$5:$U$1000,ROW(),$V$5:$V$1000,"Sub"),$Y126)))</f>
        <v/>
      </c>
      <c r="AD126" s="62">
        <f>IF($V126="","",IF(AND(ISNUMBER($G126),$G126&lt;=IF($S126=MesCiclo,InicioCiclo,$S126+MOD(2-WEEKDAY($S126),7))+13),1,IF(N($W126)&gt;0,AVERAGEIFS($Z$5:$Z$1000,$U$5:$U$1000,ROW(),$V$5:$V$1000,"Sub"),$Z126)))</f>
        <v/>
      </c>
      <c r="AE126" s="62">
        <f>IF($V126="","",IF(AND(ISNUMBER($G126),$G126&lt;=IF($S126=MesCiclo,InicioCiclo,$S126+MOD(2-WEEKDAY($S126),7))+20),1,IF(N($W126)&gt;0,AVERAGEIFS($AA$5:$AA$1000,$U$5:$U$1000,ROW(),$V$5:$V$1000,"Sub"),$AA126)))</f>
        <v/>
      </c>
      <c r="AF126" s="62">
        <f>IF($V126="","",IF(AND(ISNUMBER($G126),$G126&lt;=IF($S126=MesCiclo,InicioCiclo,$S126+MOD(2-WEEKDAY($S126),7))+27),1,IF(N($W126)&gt;0,AVERAGEIFS($AB$5:$AB$1000,$U$5:$U$1000,ROW(),$V$5:$V$1000,"Sub"),$AB126)))</f>
        <v/>
      </c>
      <c r="AG126" s="62">
        <f>IF($V126&lt;&gt;"Macro","",IF(COUNTIFS($S$5:$S$1000,$S126,$V$5:$V$1000,"Macro",$H$5:$H$1000,"&gt;0")=0,1/COUNTIFS($S$5:$S$1000,$S126,$V$5:$V$1000,"Macro"),IF(AND(ISNUMBER($H126),N($H126)&gt;0),$H126,SUMIFS($H$5:$H$1000,$S$5:$S$1000,$S126,$V$5:$V$1000,"Macro")/COUNTIFS($S$5:$S$1000,$S126,$V$5:$V$1000,"Macro",$H$5:$H$1000,"&gt;0"))/(COUNTIFS($S$5:$S$1000,$S126,$V$5:$V$1000,"Macro")*SUMIFS($H$5:$H$1000,$S$5:$S$1000,$S126,$V$5:$V$1000,"Macro")/COUNTIFS($S$5:$S$1000,$S126,$V$5:$V$1000,"Macro",$H$5:$H$1000,"&gt;0"))))</f>
        <v/>
      </c>
      <c r="AH126" s="62">
        <f>IF(NOT(AND($D126&lt;&gt;"",$V126="Macro")),"",IFERROR(CHOOSE(MATCH($D126,ListaPuestos,0),MATCH("[Jefatura] "&amp;$C126,'Cronograma R. Operacional'!$C$5:$C$1000,0),MATCH("[Jefatura] "&amp;$C126,'Cronograma R. Normativo'!$C$5:$C$1000,0),MATCH("[Jefatura] "&amp;$C126,'Cronograma R. Financiero'!$C$5:$C$1000,0),MATCH("[Jefatura] "&amp;$C126,'Cronograma Asistente Técnico'!$C$5:$C$1000,0)),0))</f>
        <v/>
      </c>
      <c r="AI126" s="62">
        <f>IF(AND(AND($D126&lt;&gt;"",$V126="Macro"),$S126=MesCiclo),COUNTIFS($D$5:$D126,$D126,$S$5:$S126,MesCiclo,$V$5:$V126,"Macro"),"")</f>
        <v/>
      </c>
      <c r="AJ126" s="62">
        <f>IF($AI126="","",$D126&amp;"|"&amp;$AI126)</f>
        <v/>
      </c>
      <c r="AK126" s="62">
        <f>IF(AND($D126&lt;&gt;"",$V126="Macro"),$D126&amp;"|"&amp;$C126,"")</f>
        <v/>
      </c>
      <c r="AL126" s="62">
        <f>""</f>
        <v/>
      </c>
      <c r="AM126" s="62">
        <f>IF(N($AL126)&gt;0,INDEX(rIni_ADM,$AL126),IF(ISNUMBER($E126),$E126,""))</f>
        <v/>
      </c>
      <c r="AN126" s="62">
        <f>IF(N($AL126)&gt;0,INDEX(rLim_ADM,$AL126),IF(ISNUMBER($F126),$F126,""))</f>
        <v/>
      </c>
    </row>
    <row r="127">
      <c r="A127" s="56">
        <f>IF(NOT((COUNTA($B127:$D127)+COUNTA($G127:$L127)+COUNTA($Q127))&gt;0),"",IF($V127="Macro",COUNTIFS($V$5:$V127,"Macro",$S$5:$S127,$S127),IF(N($U127)=0,"?",COUNTIFS(INDEX($V$5:$V$1000,1):INDEX($V$5:$V$1000,$U127-4),"Macro",INDEX($S$5:$S$1000,1):INDEX($S$5:$S$1000,$U127-4),INDEX($S$5:$S$1000,$U127-4))&amp;"."&amp;COUNTIFS($U$5:$U127,$U127,$V$5:$V127,"Sub"))))</f>
        <v/>
      </c>
      <c r="B127" s="57" t="n"/>
      <c r="C127" s="58" t="n"/>
      <c r="D127" s="58" t="n"/>
      <c r="E127" s="59" t="n"/>
      <c r="F127" s="59" t="n"/>
      <c r="G127" s="59" t="n"/>
      <c r="H127" s="60" t="n"/>
      <c r="I127" s="60" t="n"/>
      <c r="J127" s="60" t="n"/>
      <c r="K127" s="60" t="n"/>
      <c r="L127" s="60" t="n"/>
      <c r="M127" s="61">
        <f>IF(NOT((COUNTA($B127:$D127)+COUNTA($G127:$L127)+COUNTA($Q127))&gt;0),"",IF(AND($D127&lt;&gt;"",$V127="Macro"),IF(N($AH127)&gt;0,N(CHOOSE(MATCH($D127,ListaPuestos,0),INDEX('Cronograma R. Operacional'!$M$5:$M$1000,$AH127),INDEX('Cronograma R. Normativo'!$M$5:$M$1000,$AH127),INDEX('Cronograma R. Financiero'!$M$5:$M$1000,$AH127),INDEX('Cronograma Asistente Técnico'!$M$5:$M$1000,$AH127))),0),IF(ISNUMBER($G127),1,IF(N($W127)&gt;0,AVERAGEIFS($X$5:$X$1000,$U$5:$U$1000,ROW(),$V$5:$V$1000,"Sub"),$X127))))</f>
        <v/>
      </c>
      <c r="N127" s="56">
        <f>IF(OR($M127="",$V127="Sub"),"",IF($M127&gt;=1,"Completado",IF($M127&gt;0,"En curso","Pendiente")))</f>
        <v/>
      </c>
      <c r="O127" s="56">
        <f>IF(NOT((COUNTA($B127:$D127)+COUNTA($G127:$L127)+COUNTA($Q127))&gt;0),"",IF(AND(AND($D127&lt;&gt;"",$V127="Macro"),N($AH127)&gt;0),CHOOSE(MATCH($D127,ListaPuestos,0),INDEX('Cronograma R. Operacional'!$O$5:$O$1000,$AH127),INDEX('Cronograma R. Normativo'!$O$5:$O$1000,$AH127),INDEX('Cronograma R. Financiero'!$O$5:$O$1000,$AH127),INDEX('Cronograma Asistente Técnico'!$O$5:$O$1000,$AH127))&amp;"",IF(ISNUMBER($G127),IF(AND(ISNUMBER($AN127),$G127&gt;$AN127),"Cumplida con "&amp;($G127-$AN127)&amp;IF($G127-$AN127=1," día"," días")&amp;" de retraso","Cumplida"),IF(N($M127)&gt;=1,"Cumplida",IF(NOT(ISNUMBER($AN127)),"Sin fecha límite",IF($AN127&lt;FechaRef,"Vencida hace "&amp;(FechaRef-$AN127)&amp;IF(FechaRef-$AN127=1," día"," días"),IF($AN127=FechaRef,"Vence hoy",IF($AN127-FechaRef&lt;=DiasAlerta,"Vence en "&amp;($AN127-FechaRef)&amp;IF($AN127-FechaRef=1," día"," días"),"En plazo"))))))))</f>
        <v/>
      </c>
      <c r="P127" s="62">
        <f>IF(NOT((COUNTA($B127:$D127)+COUNTA($G127:$L127)+COUNTA($Q127))&gt;0),"",IF($D127="","Propia",IF($V127&lt;&gt;"Macro","Solo se delegan macroactividades",IF(N($AH127)&gt;0,"✔ Recibida por "&amp;$D127,"⚠ "&amp;$D127&amp;" aún no la agrega"))))</f>
        <v/>
      </c>
      <c r="Q127" s="58" t="n"/>
      <c r="R127" s="63">
        <f>IF(NOT((COUNTA($B127:$D127)+COUNTA($G127:$L127)+COUNTA($Q127))&gt;0),"",IF((IF($C127="","Falta el nombre de la actividad"&amp;" · ","")&amp;IF(AND($V127="Sub",N($U127)=0),"Subactividad sin macroactividad arriba"&amp;" · ","")&amp;IF($AM127="","Sin fecha de inicio"&amp;" · ","")&amp;IF($AN127="","Sin fecha límite"&amp;" · ","")&amp;IF(AND(LEFT($C127,11)="[Jefatura] ",N($AL127)=0),"No se encuentra en la hoja de la jefatura (elíjala de nuevo en la lista)"&amp;" · ","")&amp;IF(OR(AND($E127&lt;&gt;"",NOT(ISNUMBER($E127))),AND($F127&lt;&gt;"",NOT(ISNUMBER($F127))),AND($G127&lt;&gt;"",NOT(ISNUMBER($G127)))),"Fecha no válida"&amp;" · ","")&amp;IF(AND(ISNUMBER($AM127),ISNUMBER($AN127),$AM127&gt;$AN127),"Inicio posterior a fecha límite"&amp;" · ","")&amp;IF(AND($V127="Macro",$H127&lt;&gt;"",OR(NOT(ISNUMBER($H127)),$H127&lt;0,$H127&gt;1)),"Peso fuera de rango"&amp;" · ","")&amp;IF(AND($V127="Sub",$H127&lt;&gt;""),"Las subactividades no llevan peso (valen igual dentro de su macroactividad)"&amp;" · ","")&amp;IF(AND(N($W127)&gt;0,COUNT($I127:$L127)&gt;0),"Con subactividades: deje vacías las semanas (se calculan solas)"&amp;" · ","")&amp;IF((COUNTIF($I127:$L127,"&gt;1")+COUNTIF($I127:$L127,"&lt;0")+COUNTA($I127:$L127)-COUNT($I127:$L127))&gt;0,"Avance fuera de rango 0-100%"&amp;" · ","")&amp;IF(OR(AND($J127&lt;&gt;"",$J127&lt;$I127),AND($K127&lt;&gt;"",$K127&lt;MAX($I127:$J127)),AND($L127&lt;&gt;"",$L127&lt;MAX($I127:$K127))),"Avance semanal decreciente"&amp;" · ","")&amp;IF(AND(ISNUMBER($AN127),$AN127&lt;FechaRef,IF($V127="Sub",N($X127),N($M127))&lt;1),"Vencida"&amp;" · ","")&amp;IF(AND(ObsObligatoria="Sí",ISNUMBER($AN127),$AN127&lt;FechaRef,IF($V127="Sub",N($X127),N($M127))&lt;1,$Q127=""),"Vencida sin observación"&amp;" · ",""))="","✔ OK","⚠ "&amp;LEFT(IF($C127="","Falta el nombre de la actividad"&amp;" · ","")&amp;IF(AND($V127="Sub",N($U127)=0),"Subactividad sin macroactividad arriba"&amp;" · ","")&amp;IF($AM127="","Sin fecha de inicio"&amp;" · ","")&amp;IF($AN127="","Sin fecha límite"&amp;" · ","")&amp;IF(AND(LEFT($C127,11)="[Jefatura] ",N($AL127)=0),"No se encuentra en la hoja de la jefatura (elíjala de nuevo en la lista)"&amp;" · ","")&amp;IF(OR(AND($E127&lt;&gt;"",NOT(ISNUMBER($E127))),AND($F127&lt;&gt;"",NOT(ISNUMBER($F127))),AND($G127&lt;&gt;"",NOT(ISNUMBER($G127)))),"Fecha no válida"&amp;" · ","")&amp;IF(AND(ISNUMBER($AM127),ISNUMBER($AN127),$AM127&gt;$AN127),"Inicio posterior a fecha límite"&amp;" · ","")&amp;IF(AND($V127="Macro",$H127&lt;&gt;"",OR(NOT(ISNUMBER($H127)),$H127&lt;0,$H127&gt;1)),"Peso fuera de rango"&amp;" · ","")&amp;IF(AND($V127="Sub",$H127&lt;&gt;""),"Las subactividades no llevan peso (valen igual dentro de su macroactividad)"&amp;" · ","")&amp;IF(AND(N($W127)&gt;0,COUNT($I127:$L127)&gt;0),"Con subactividades: deje vacías las semanas (se calculan solas)"&amp;" · ","")&amp;IF((COUNTIF($I127:$L127,"&gt;1")+COUNTIF($I127:$L127,"&lt;0")+COUNTA($I127:$L127)-COUNT($I127:$L127))&gt;0,"Avance fuera de rango 0-100%"&amp;" · ","")&amp;IF(OR(AND($J127&lt;&gt;"",$J127&lt;$I127),AND($K127&lt;&gt;"",$K127&lt;MAX($I127:$J127)),AND($L127&lt;&gt;"",$L127&lt;MAX($I127:$K127))),"Avance semanal decreciente"&amp;" · ","")&amp;IF(AND(ISNUMBER($AN127),$AN127&lt;FechaRef,IF($V127="Sub",N($X127),N($M127))&lt;1),"Vencida"&amp;" · ","")&amp;IF(AND(ObsObligatoria="Sí",ISNUMBER($AN127),$AN127&lt;FechaRef,IF($V127="Sub",N($X127),N($M127))&lt;1,$Q127=""),"Vencida sin observación"&amp;" · ",""),LEN(IF($C127="","Falta el nombre de la actividad"&amp;" · ","")&amp;IF(AND($V127="Sub",N($U127)=0),"Subactividad sin macroactividad arriba"&amp;" · ","")&amp;IF($AM127="","Sin fecha de inicio"&amp;" · ","")&amp;IF($AN127="","Sin fecha límite"&amp;" · ","")&amp;IF(AND(LEFT($C127,11)="[Jefatura] ",N($AL127)=0),"No se encuentra en la hoja de la jefatura (elíjala de nuevo en la lista)"&amp;" · ","")&amp;IF(OR(AND($E127&lt;&gt;"",NOT(ISNUMBER($E127))),AND($F127&lt;&gt;"",NOT(ISNUMBER($F127))),AND($G127&lt;&gt;"",NOT(ISNUMBER($G127)))),"Fecha no válida"&amp;" · ","")&amp;IF(AND(ISNUMBER($AM127),ISNUMBER($AN127),$AM127&gt;$AN127),"Inicio posterior a fecha límite"&amp;" · ","")&amp;IF(AND($V127="Macro",$H127&lt;&gt;"",OR(NOT(ISNUMBER($H127)),$H127&lt;0,$H127&gt;1)),"Peso fuera de rango"&amp;" · ","")&amp;IF(AND($V127="Sub",$H127&lt;&gt;""),"Las subactividades no llevan peso (valen igual dentro de su macroactividad)"&amp;" · ","")&amp;IF(AND(N($W127)&gt;0,COUNT($I127:$L127)&gt;0),"Con subactividades: deje vacías las semanas (se calculan solas)"&amp;" · ","")&amp;IF((COUNTIF($I127:$L127,"&gt;1")+COUNTIF($I127:$L127,"&lt;0")+COUNTA($I127:$L127)-COUNT($I127:$L127))&gt;0,"Avance fuera de rango 0-100%"&amp;" · ","")&amp;IF(OR(AND($J127&lt;&gt;"",$J127&lt;$I127),AND($K127&lt;&gt;"",$K127&lt;MAX($I127:$J127)),AND($L127&lt;&gt;"",$L127&lt;MAX($I127:$K127))),"Avance semanal decreciente"&amp;" · ","")&amp;IF(AND(ISNUMBER($AN127),$AN127&lt;FechaRef,IF($V127="Sub",N($X127),N($M127))&lt;1),"Vencida"&amp;" · ","")&amp;IF(AND(ObsObligatoria="Sí",ISNUMBER($AN127),$AN127&lt;FechaRef,IF($V127="Sub",N($X127),N($M127))&lt;1,$Q127=""),"Vencida sin observación"&amp;" · ",""))-3)))</f>
        <v/>
      </c>
      <c r="S127" s="64">
        <f>IF(NOT((COUNTA($B127:$D127)+COUNTA($G127:$L127)+COUNTA($Q127))&gt;0),"",IF(AND($V127="Sub",N($U127)&gt;0),IF(ISNUMBER(INDEX($AM$5:$AM$1000,$U127-4)),DATE(YEAR(INDEX($AM$5:$AM$1000,$U127-4)),MONTH(INDEX($AM$5:$AM$1000,$U127-4)),1),IF(ISNUMBER(INDEX($AN$5:$AN$1000,$U127-4)),DATE(YEAR(INDEX($AN$5:$AN$1000,$U127-4)),MONTH(INDEX($AN$5:$AN$1000,$U127-4)),1),MesCiclo)),IF(ISNUMBER($AM127),DATE(YEAR($AM127),MONTH($AM127),1),IF(ISNUMBER($AN127),DATE(YEAR($AN127),MONTH($AN127),1),MesCiclo))))</f>
        <v/>
      </c>
      <c r="T127" s="62">
        <f>IF(OR($S127="",$S127&lt;&gt;MesCiclo,$V127&lt;&gt;"Macro"),"",COUNTIFS($S$5:$S127,MesCiclo,$V$5:$V127,"Macro"))</f>
        <v/>
      </c>
      <c r="U127" s="62">
        <f>IF($V127="","",IF($V127="Macro",ROW(),IFERROR(LOOKUP(2,1/($V$5:$V127="Macro"),ROW($V$5:$V127)),0)))</f>
        <v/>
      </c>
      <c r="V127" s="62">
        <f>IF(NOT((COUNTA($B127:$D127)+COUNTA($G127:$L127)+COUNTA($Q127))&gt;0),"",IF($B127="Subactividad","Sub","Macro"))</f>
        <v/>
      </c>
      <c r="W127" s="62">
        <f>IF($V127="Macro",COUNTIFS($U$5:$U$1000,ROW(),$V$5:$V$1000,"Sub"),"")</f>
        <v/>
      </c>
      <c r="X127" s="62">
        <f>IF($V127="","",IF(ISNUMBER($G127),1,IFERROR(LOOKUP(2,1/($I127:$L127&lt;&gt;""),$I127:$L127),0)))</f>
        <v/>
      </c>
      <c r="Y127" s="62">
        <f>IF($V127="","",IF(AND(ISNUMBER($G127),$G127&lt;=IF($S127=MesCiclo,InicioCiclo,$S127+MOD(2-WEEKDAY($S127),7))+6),1,IF(ISNUMBER($I127),$I127,0)))</f>
        <v/>
      </c>
      <c r="Z127" s="62">
        <f>IF($V127="","",IF(AND(ISNUMBER($G127),$G127&lt;=IF($S127=MesCiclo,InicioCiclo,$S127+MOD(2-WEEKDAY($S127),7))+13),1,IF(ISNUMBER($J127),$J127,$Y127)))</f>
        <v/>
      </c>
      <c r="AA127" s="62">
        <f>IF($V127="","",IF(AND(ISNUMBER($G127),$G127&lt;=IF($S127=MesCiclo,InicioCiclo,$S127+MOD(2-WEEKDAY($S127),7))+20),1,IF(ISNUMBER($K127),$K127,$Z127)))</f>
        <v/>
      </c>
      <c r="AB127" s="62">
        <f>IF($V127="","",IF(AND(ISNUMBER($G127),$G127&lt;=IF($S127=MesCiclo,InicioCiclo,$S127+MOD(2-WEEKDAY($S127),7))+27),1,IF(ISNUMBER($L127),$L127,$AA127)))</f>
        <v/>
      </c>
      <c r="AC127" s="62">
        <f>IF($V127="","",IF(AND(ISNUMBER($G127),$G127&lt;=IF($S127=MesCiclo,InicioCiclo,$S127+MOD(2-WEEKDAY($S127),7))+6),1,IF(N($W127)&gt;0,AVERAGEIFS($Y$5:$Y$1000,$U$5:$U$1000,ROW(),$V$5:$V$1000,"Sub"),$Y127)))</f>
        <v/>
      </c>
      <c r="AD127" s="62">
        <f>IF($V127="","",IF(AND(ISNUMBER($G127),$G127&lt;=IF($S127=MesCiclo,InicioCiclo,$S127+MOD(2-WEEKDAY($S127),7))+13),1,IF(N($W127)&gt;0,AVERAGEIFS($Z$5:$Z$1000,$U$5:$U$1000,ROW(),$V$5:$V$1000,"Sub"),$Z127)))</f>
        <v/>
      </c>
      <c r="AE127" s="62">
        <f>IF($V127="","",IF(AND(ISNUMBER($G127),$G127&lt;=IF($S127=MesCiclo,InicioCiclo,$S127+MOD(2-WEEKDAY($S127),7))+20),1,IF(N($W127)&gt;0,AVERAGEIFS($AA$5:$AA$1000,$U$5:$U$1000,ROW(),$V$5:$V$1000,"Sub"),$AA127)))</f>
        <v/>
      </c>
      <c r="AF127" s="62">
        <f>IF($V127="","",IF(AND(ISNUMBER($G127),$G127&lt;=IF($S127=MesCiclo,InicioCiclo,$S127+MOD(2-WEEKDAY($S127),7))+27),1,IF(N($W127)&gt;0,AVERAGEIFS($AB$5:$AB$1000,$U$5:$U$1000,ROW(),$V$5:$V$1000,"Sub"),$AB127)))</f>
        <v/>
      </c>
      <c r="AG127" s="62">
        <f>IF($V127&lt;&gt;"Macro","",IF(COUNTIFS($S$5:$S$1000,$S127,$V$5:$V$1000,"Macro",$H$5:$H$1000,"&gt;0")=0,1/COUNTIFS($S$5:$S$1000,$S127,$V$5:$V$1000,"Macro"),IF(AND(ISNUMBER($H127),N($H127)&gt;0),$H127,SUMIFS($H$5:$H$1000,$S$5:$S$1000,$S127,$V$5:$V$1000,"Macro")/COUNTIFS($S$5:$S$1000,$S127,$V$5:$V$1000,"Macro",$H$5:$H$1000,"&gt;0"))/(COUNTIFS($S$5:$S$1000,$S127,$V$5:$V$1000,"Macro")*SUMIFS($H$5:$H$1000,$S$5:$S$1000,$S127,$V$5:$V$1000,"Macro")/COUNTIFS($S$5:$S$1000,$S127,$V$5:$V$1000,"Macro",$H$5:$H$1000,"&gt;0"))))</f>
        <v/>
      </c>
      <c r="AH127" s="62">
        <f>IF(NOT(AND($D127&lt;&gt;"",$V127="Macro")),"",IFERROR(CHOOSE(MATCH($D127,ListaPuestos,0),MATCH("[Jefatura] "&amp;$C127,'Cronograma R. Operacional'!$C$5:$C$1000,0),MATCH("[Jefatura] "&amp;$C127,'Cronograma R. Normativo'!$C$5:$C$1000,0),MATCH("[Jefatura] "&amp;$C127,'Cronograma R. Financiero'!$C$5:$C$1000,0),MATCH("[Jefatura] "&amp;$C127,'Cronograma Asistente Técnico'!$C$5:$C$1000,0)),0))</f>
        <v/>
      </c>
      <c r="AI127" s="62">
        <f>IF(AND(AND($D127&lt;&gt;"",$V127="Macro"),$S127=MesCiclo),COUNTIFS($D$5:$D127,$D127,$S$5:$S127,MesCiclo,$V$5:$V127,"Macro"),"")</f>
        <v/>
      </c>
      <c r="AJ127" s="62">
        <f>IF($AI127="","",$D127&amp;"|"&amp;$AI127)</f>
        <v/>
      </c>
      <c r="AK127" s="62">
        <f>IF(AND($D127&lt;&gt;"",$V127="Macro"),$D127&amp;"|"&amp;$C127,"")</f>
        <v/>
      </c>
      <c r="AL127" s="62">
        <f>""</f>
        <v/>
      </c>
      <c r="AM127" s="62">
        <f>IF(N($AL127)&gt;0,INDEX(rIni_ADM,$AL127),IF(ISNUMBER($E127),$E127,""))</f>
        <v/>
      </c>
      <c r="AN127" s="62">
        <f>IF(N($AL127)&gt;0,INDEX(rLim_ADM,$AL127),IF(ISNUMBER($F127),$F127,""))</f>
        <v/>
      </c>
    </row>
    <row r="128">
      <c r="A128" s="56">
        <f>IF(NOT((COUNTA($B128:$D128)+COUNTA($G128:$L128)+COUNTA($Q128))&gt;0),"",IF($V128="Macro",COUNTIFS($V$5:$V128,"Macro",$S$5:$S128,$S128),IF(N($U128)=0,"?",COUNTIFS(INDEX($V$5:$V$1000,1):INDEX($V$5:$V$1000,$U128-4),"Macro",INDEX($S$5:$S$1000,1):INDEX($S$5:$S$1000,$U128-4),INDEX($S$5:$S$1000,$U128-4))&amp;"."&amp;COUNTIFS($U$5:$U128,$U128,$V$5:$V128,"Sub"))))</f>
        <v/>
      </c>
      <c r="B128" s="57" t="n"/>
      <c r="C128" s="58" t="n"/>
      <c r="D128" s="58" t="n"/>
      <c r="E128" s="59" t="n"/>
      <c r="F128" s="59" t="n"/>
      <c r="G128" s="59" t="n"/>
      <c r="H128" s="60" t="n"/>
      <c r="I128" s="60" t="n"/>
      <c r="J128" s="60" t="n"/>
      <c r="K128" s="60" t="n"/>
      <c r="L128" s="60" t="n"/>
      <c r="M128" s="61">
        <f>IF(NOT((COUNTA($B128:$D128)+COUNTA($G128:$L128)+COUNTA($Q128))&gt;0),"",IF(AND($D128&lt;&gt;"",$V128="Macro"),IF(N($AH128)&gt;0,N(CHOOSE(MATCH($D128,ListaPuestos,0),INDEX('Cronograma R. Operacional'!$M$5:$M$1000,$AH128),INDEX('Cronograma R. Normativo'!$M$5:$M$1000,$AH128),INDEX('Cronograma R. Financiero'!$M$5:$M$1000,$AH128),INDEX('Cronograma Asistente Técnico'!$M$5:$M$1000,$AH128))),0),IF(ISNUMBER($G128),1,IF(N($W128)&gt;0,AVERAGEIFS($X$5:$X$1000,$U$5:$U$1000,ROW(),$V$5:$V$1000,"Sub"),$X128))))</f>
        <v/>
      </c>
      <c r="N128" s="56">
        <f>IF(OR($M128="",$V128="Sub"),"",IF($M128&gt;=1,"Completado",IF($M128&gt;0,"En curso","Pendiente")))</f>
        <v/>
      </c>
      <c r="O128" s="56">
        <f>IF(NOT((COUNTA($B128:$D128)+COUNTA($G128:$L128)+COUNTA($Q128))&gt;0),"",IF(AND(AND($D128&lt;&gt;"",$V128="Macro"),N($AH128)&gt;0),CHOOSE(MATCH($D128,ListaPuestos,0),INDEX('Cronograma R. Operacional'!$O$5:$O$1000,$AH128),INDEX('Cronograma R. Normativo'!$O$5:$O$1000,$AH128),INDEX('Cronograma R. Financiero'!$O$5:$O$1000,$AH128),INDEX('Cronograma Asistente Técnico'!$O$5:$O$1000,$AH128))&amp;"",IF(ISNUMBER($G128),IF(AND(ISNUMBER($AN128),$G128&gt;$AN128),"Cumplida con "&amp;($G128-$AN128)&amp;IF($G128-$AN128=1," día"," días")&amp;" de retraso","Cumplida"),IF(N($M128)&gt;=1,"Cumplida",IF(NOT(ISNUMBER($AN128)),"Sin fecha límite",IF($AN128&lt;FechaRef,"Vencida hace "&amp;(FechaRef-$AN128)&amp;IF(FechaRef-$AN128=1," día"," días"),IF($AN128=FechaRef,"Vence hoy",IF($AN128-FechaRef&lt;=DiasAlerta,"Vence en "&amp;($AN128-FechaRef)&amp;IF($AN128-FechaRef=1," día"," días"),"En plazo"))))))))</f>
        <v/>
      </c>
      <c r="P128" s="62">
        <f>IF(NOT((COUNTA($B128:$D128)+COUNTA($G128:$L128)+COUNTA($Q128))&gt;0),"",IF($D128="","Propia",IF($V128&lt;&gt;"Macro","Solo se delegan macroactividades",IF(N($AH128)&gt;0,"✔ Recibida por "&amp;$D128,"⚠ "&amp;$D128&amp;" aún no la agrega"))))</f>
        <v/>
      </c>
      <c r="Q128" s="58" t="n"/>
      <c r="R128" s="63">
        <f>IF(NOT((COUNTA($B128:$D128)+COUNTA($G128:$L128)+COUNTA($Q128))&gt;0),"",IF((IF($C128="","Falta el nombre de la actividad"&amp;" · ","")&amp;IF(AND($V128="Sub",N($U128)=0),"Subactividad sin macroactividad arriba"&amp;" · ","")&amp;IF($AM128="","Sin fecha de inicio"&amp;" · ","")&amp;IF($AN128="","Sin fecha límite"&amp;" · ","")&amp;IF(AND(LEFT($C128,11)="[Jefatura] ",N($AL128)=0),"No se encuentra en la hoja de la jefatura (elíjala de nuevo en la lista)"&amp;" · ","")&amp;IF(OR(AND($E128&lt;&gt;"",NOT(ISNUMBER($E128))),AND($F128&lt;&gt;"",NOT(ISNUMBER($F128))),AND($G128&lt;&gt;"",NOT(ISNUMBER($G128)))),"Fecha no válida"&amp;" · ","")&amp;IF(AND(ISNUMBER($AM128),ISNUMBER($AN128),$AM128&gt;$AN128),"Inicio posterior a fecha límite"&amp;" · ","")&amp;IF(AND($V128="Macro",$H128&lt;&gt;"",OR(NOT(ISNUMBER($H128)),$H128&lt;0,$H128&gt;1)),"Peso fuera de rango"&amp;" · ","")&amp;IF(AND($V128="Sub",$H128&lt;&gt;""),"Las subactividades no llevan peso (valen igual dentro de su macroactividad)"&amp;" · ","")&amp;IF(AND(N($W128)&gt;0,COUNT($I128:$L128)&gt;0),"Con subactividades: deje vacías las semanas (se calculan solas)"&amp;" · ","")&amp;IF((COUNTIF($I128:$L128,"&gt;1")+COUNTIF($I128:$L128,"&lt;0")+COUNTA($I128:$L128)-COUNT($I128:$L128))&gt;0,"Avance fuera de rango 0-100%"&amp;" · ","")&amp;IF(OR(AND($J128&lt;&gt;"",$J128&lt;$I128),AND($K128&lt;&gt;"",$K128&lt;MAX($I128:$J128)),AND($L128&lt;&gt;"",$L128&lt;MAX($I128:$K128))),"Avance semanal decreciente"&amp;" · ","")&amp;IF(AND(ISNUMBER($AN128),$AN128&lt;FechaRef,IF($V128="Sub",N($X128),N($M128))&lt;1),"Vencida"&amp;" · ","")&amp;IF(AND(ObsObligatoria="Sí",ISNUMBER($AN128),$AN128&lt;FechaRef,IF($V128="Sub",N($X128),N($M128))&lt;1,$Q128=""),"Vencida sin observación"&amp;" · ",""))="","✔ OK","⚠ "&amp;LEFT(IF($C128="","Falta el nombre de la actividad"&amp;" · ","")&amp;IF(AND($V128="Sub",N($U128)=0),"Subactividad sin macroactividad arriba"&amp;" · ","")&amp;IF($AM128="","Sin fecha de inicio"&amp;" · ","")&amp;IF($AN128="","Sin fecha límite"&amp;" · ","")&amp;IF(AND(LEFT($C128,11)="[Jefatura] ",N($AL128)=0),"No se encuentra en la hoja de la jefatura (elíjala de nuevo en la lista)"&amp;" · ","")&amp;IF(OR(AND($E128&lt;&gt;"",NOT(ISNUMBER($E128))),AND($F128&lt;&gt;"",NOT(ISNUMBER($F128))),AND($G128&lt;&gt;"",NOT(ISNUMBER($G128)))),"Fecha no válida"&amp;" · ","")&amp;IF(AND(ISNUMBER($AM128),ISNUMBER($AN128),$AM128&gt;$AN128),"Inicio posterior a fecha límite"&amp;" · ","")&amp;IF(AND($V128="Macro",$H128&lt;&gt;"",OR(NOT(ISNUMBER($H128)),$H128&lt;0,$H128&gt;1)),"Peso fuera de rango"&amp;" · ","")&amp;IF(AND($V128="Sub",$H128&lt;&gt;""),"Las subactividades no llevan peso (valen igual dentro de su macroactividad)"&amp;" · ","")&amp;IF(AND(N($W128)&gt;0,COUNT($I128:$L128)&gt;0),"Con subactividades: deje vacías las semanas (se calculan solas)"&amp;" · ","")&amp;IF((COUNTIF($I128:$L128,"&gt;1")+COUNTIF($I128:$L128,"&lt;0")+COUNTA($I128:$L128)-COUNT($I128:$L128))&gt;0,"Avance fuera de rango 0-100%"&amp;" · ","")&amp;IF(OR(AND($J128&lt;&gt;"",$J128&lt;$I128),AND($K128&lt;&gt;"",$K128&lt;MAX($I128:$J128)),AND($L128&lt;&gt;"",$L128&lt;MAX($I128:$K128))),"Avance semanal decreciente"&amp;" · ","")&amp;IF(AND(ISNUMBER($AN128),$AN128&lt;FechaRef,IF($V128="Sub",N($X128),N($M128))&lt;1),"Vencida"&amp;" · ","")&amp;IF(AND(ObsObligatoria="Sí",ISNUMBER($AN128),$AN128&lt;FechaRef,IF($V128="Sub",N($X128),N($M128))&lt;1,$Q128=""),"Vencida sin observación"&amp;" · ",""),LEN(IF($C128="","Falta el nombre de la actividad"&amp;" · ","")&amp;IF(AND($V128="Sub",N($U128)=0),"Subactividad sin macroactividad arriba"&amp;" · ","")&amp;IF($AM128="","Sin fecha de inicio"&amp;" · ","")&amp;IF($AN128="","Sin fecha límite"&amp;" · ","")&amp;IF(AND(LEFT($C128,11)="[Jefatura] ",N($AL128)=0),"No se encuentra en la hoja de la jefatura (elíjala de nuevo en la lista)"&amp;" · ","")&amp;IF(OR(AND($E128&lt;&gt;"",NOT(ISNUMBER($E128))),AND($F128&lt;&gt;"",NOT(ISNUMBER($F128))),AND($G128&lt;&gt;"",NOT(ISNUMBER($G128)))),"Fecha no válida"&amp;" · ","")&amp;IF(AND(ISNUMBER($AM128),ISNUMBER($AN128),$AM128&gt;$AN128),"Inicio posterior a fecha límite"&amp;" · ","")&amp;IF(AND($V128="Macro",$H128&lt;&gt;"",OR(NOT(ISNUMBER($H128)),$H128&lt;0,$H128&gt;1)),"Peso fuera de rango"&amp;" · ","")&amp;IF(AND($V128="Sub",$H128&lt;&gt;""),"Las subactividades no llevan peso (valen igual dentro de su macroactividad)"&amp;" · ","")&amp;IF(AND(N($W128)&gt;0,COUNT($I128:$L128)&gt;0),"Con subactividades: deje vacías las semanas (se calculan solas)"&amp;" · ","")&amp;IF((COUNTIF($I128:$L128,"&gt;1")+COUNTIF($I128:$L128,"&lt;0")+COUNTA($I128:$L128)-COUNT($I128:$L128))&gt;0,"Avance fuera de rango 0-100%"&amp;" · ","")&amp;IF(OR(AND($J128&lt;&gt;"",$J128&lt;$I128),AND($K128&lt;&gt;"",$K128&lt;MAX($I128:$J128)),AND($L128&lt;&gt;"",$L128&lt;MAX($I128:$K128))),"Avance semanal decreciente"&amp;" · ","")&amp;IF(AND(ISNUMBER($AN128),$AN128&lt;FechaRef,IF($V128="Sub",N($X128),N($M128))&lt;1),"Vencida"&amp;" · ","")&amp;IF(AND(ObsObligatoria="Sí",ISNUMBER($AN128),$AN128&lt;FechaRef,IF($V128="Sub",N($X128),N($M128))&lt;1,$Q128=""),"Vencida sin observación"&amp;" · ",""))-3)))</f>
        <v/>
      </c>
      <c r="S128" s="64">
        <f>IF(NOT((COUNTA($B128:$D128)+COUNTA($G128:$L128)+COUNTA($Q128))&gt;0),"",IF(AND($V128="Sub",N($U128)&gt;0),IF(ISNUMBER(INDEX($AM$5:$AM$1000,$U128-4)),DATE(YEAR(INDEX($AM$5:$AM$1000,$U128-4)),MONTH(INDEX($AM$5:$AM$1000,$U128-4)),1),IF(ISNUMBER(INDEX($AN$5:$AN$1000,$U128-4)),DATE(YEAR(INDEX($AN$5:$AN$1000,$U128-4)),MONTH(INDEX($AN$5:$AN$1000,$U128-4)),1),MesCiclo)),IF(ISNUMBER($AM128),DATE(YEAR($AM128),MONTH($AM128),1),IF(ISNUMBER($AN128),DATE(YEAR($AN128),MONTH($AN128),1),MesCiclo))))</f>
        <v/>
      </c>
      <c r="T128" s="62">
        <f>IF(OR($S128="",$S128&lt;&gt;MesCiclo,$V128&lt;&gt;"Macro"),"",COUNTIFS($S$5:$S128,MesCiclo,$V$5:$V128,"Macro"))</f>
        <v/>
      </c>
      <c r="U128" s="62">
        <f>IF($V128="","",IF($V128="Macro",ROW(),IFERROR(LOOKUP(2,1/($V$5:$V128="Macro"),ROW($V$5:$V128)),0)))</f>
        <v/>
      </c>
      <c r="V128" s="62">
        <f>IF(NOT((COUNTA($B128:$D128)+COUNTA($G128:$L128)+COUNTA($Q128))&gt;0),"",IF($B128="Subactividad","Sub","Macro"))</f>
        <v/>
      </c>
      <c r="W128" s="62">
        <f>IF($V128="Macro",COUNTIFS($U$5:$U$1000,ROW(),$V$5:$V$1000,"Sub"),"")</f>
        <v/>
      </c>
      <c r="X128" s="62">
        <f>IF($V128="","",IF(ISNUMBER($G128),1,IFERROR(LOOKUP(2,1/($I128:$L128&lt;&gt;""),$I128:$L128),0)))</f>
        <v/>
      </c>
      <c r="Y128" s="62">
        <f>IF($V128="","",IF(AND(ISNUMBER($G128),$G128&lt;=IF($S128=MesCiclo,InicioCiclo,$S128+MOD(2-WEEKDAY($S128),7))+6),1,IF(ISNUMBER($I128),$I128,0)))</f>
        <v/>
      </c>
      <c r="Z128" s="62">
        <f>IF($V128="","",IF(AND(ISNUMBER($G128),$G128&lt;=IF($S128=MesCiclo,InicioCiclo,$S128+MOD(2-WEEKDAY($S128),7))+13),1,IF(ISNUMBER($J128),$J128,$Y128)))</f>
        <v/>
      </c>
      <c r="AA128" s="62">
        <f>IF($V128="","",IF(AND(ISNUMBER($G128),$G128&lt;=IF($S128=MesCiclo,InicioCiclo,$S128+MOD(2-WEEKDAY($S128),7))+20),1,IF(ISNUMBER($K128),$K128,$Z128)))</f>
        <v/>
      </c>
      <c r="AB128" s="62">
        <f>IF($V128="","",IF(AND(ISNUMBER($G128),$G128&lt;=IF($S128=MesCiclo,InicioCiclo,$S128+MOD(2-WEEKDAY($S128),7))+27),1,IF(ISNUMBER($L128),$L128,$AA128)))</f>
        <v/>
      </c>
      <c r="AC128" s="62">
        <f>IF($V128="","",IF(AND(ISNUMBER($G128),$G128&lt;=IF($S128=MesCiclo,InicioCiclo,$S128+MOD(2-WEEKDAY($S128),7))+6),1,IF(N($W128)&gt;0,AVERAGEIFS($Y$5:$Y$1000,$U$5:$U$1000,ROW(),$V$5:$V$1000,"Sub"),$Y128)))</f>
        <v/>
      </c>
      <c r="AD128" s="62">
        <f>IF($V128="","",IF(AND(ISNUMBER($G128),$G128&lt;=IF($S128=MesCiclo,InicioCiclo,$S128+MOD(2-WEEKDAY($S128),7))+13),1,IF(N($W128)&gt;0,AVERAGEIFS($Z$5:$Z$1000,$U$5:$U$1000,ROW(),$V$5:$V$1000,"Sub"),$Z128)))</f>
        <v/>
      </c>
      <c r="AE128" s="62">
        <f>IF($V128="","",IF(AND(ISNUMBER($G128),$G128&lt;=IF($S128=MesCiclo,InicioCiclo,$S128+MOD(2-WEEKDAY($S128),7))+20),1,IF(N($W128)&gt;0,AVERAGEIFS($AA$5:$AA$1000,$U$5:$U$1000,ROW(),$V$5:$V$1000,"Sub"),$AA128)))</f>
        <v/>
      </c>
      <c r="AF128" s="62">
        <f>IF($V128="","",IF(AND(ISNUMBER($G128),$G128&lt;=IF($S128=MesCiclo,InicioCiclo,$S128+MOD(2-WEEKDAY($S128),7))+27),1,IF(N($W128)&gt;0,AVERAGEIFS($AB$5:$AB$1000,$U$5:$U$1000,ROW(),$V$5:$V$1000,"Sub"),$AB128)))</f>
        <v/>
      </c>
      <c r="AG128" s="62">
        <f>IF($V128&lt;&gt;"Macro","",IF(COUNTIFS($S$5:$S$1000,$S128,$V$5:$V$1000,"Macro",$H$5:$H$1000,"&gt;0")=0,1/COUNTIFS($S$5:$S$1000,$S128,$V$5:$V$1000,"Macro"),IF(AND(ISNUMBER($H128),N($H128)&gt;0),$H128,SUMIFS($H$5:$H$1000,$S$5:$S$1000,$S128,$V$5:$V$1000,"Macro")/COUNTIFS($S$5:$S$1000,$S128,$V$5:$V$1000,"Macro",$H$5:$H$1000,"&gt;0"))/(COUNTIFS($S$5:$S$1000,$S128,$V$5:$V$1000,"Macro")*SUMIFS($H$5:$H$1000,$S$5:$S$1000,$S128,$V$5:$V$1000,"Macro")/COUNTIFS($S$5:$S$1000,$S128,$V$5:$V$1000,"Macro",$H$5:$H$1000,"&gt;0"))))</f>
        <v/>
      </c>
      <c r="AH128" s="62">
        <f>IF(NOT(AND($D128&lt;&gt;"",$V128="Macro")),"",IFERROR(CHOOSE(MATCH($D128,ListaPuestos,0),MATCH("[Jefatura] "&amp;$C128,'Cronograma R. Operacional'!$C$5:$C$1000,0),MATCH("[Jefatura] "&amp;$C128,'Cronograma R. Normativo'!$C$5:$C$1000,0),MATCH("[Jefatura] "&amp;$C128,'Cronograma R. Financiero'!$C$5:$C$1000,0),MATCH("[Jefatura] "&amp;$C128,'Cronograma Asistente Técnico'!$C$5:$C$1000,0)),0))</f>
        <v/>
      </c>
      <c r="AI128" s="62">
        <f>IF(AND(AND($D128&lt;&gt;"",$V128="Macro"),$S128=MesCiclo),COUNTIFS($D$5:$D128,$D128,$S$5:$S128,MesCiclo,$V$5:$V128,"Macro"),"")</f>
        <v/>
      </c>
      <c r="AJ128" s="62">
        <f>IF($AI128="","",$D128&amp;"|"&amp;$AI128)</f>
        <v/>
      </c>
      <c r="AK128" s="62">
        <f>IF(AND($D128&lt;&gt;"",$V128="Macro"),$D128&amp;"|"&amp;$C128,"")</f>
        <v/>
      </c>
      <c r="AL128" s="62">
        <f>""</f>
        <v/>
      </c>
      <c r="AM128" s="62">
        <f>IF(N($AL128)&gt;0,INDEX(rIni_ADM,$AL128),IF(ISNUMBER($E128),$E128,""))</f>
        <v/>
      </c>
      <c r="AN128" s="62">
        <f>IF(N($AL128)&gt;0,INDEX(rLim_ADM,$AL128),IF(ISNUMBER($F128),$F128,""))</f>
        <v/>
      </c>
    </row>
    <row r="129">
      <c r="A129" s="56">
        <f>IF(NOT((COUNTA($B129:$D129)+COUNTA($G129:$L129)+COUNTA($Q129))&gt;0),"",IF($V129="Macro",COUNTIFS($V$5:$V129,"Macro",$S$5:$S129,$S129),IF(N($U129)=0,"?",COUNTIFS(INDEX($V$5:$V$1000,1):INDEX($V$5:$V$1000,$U129-4),"Macro",INDEX($S$5:$S$1000,1):INDEX($S$5:$S$1000,$U129-4),INDEX($S$5:$S$1000,$U129-4))&amp;"."&amp;COUNTIFS($U$5:$U129,$U129,$V$5:$V129,"Sub"))))</f>
        <v/>
      </c>
      <c r="B129" s="57" t="n"/>
      <c r="C129" s="58" t="n"/>
      <c r="D129" s="58" t="n"/>
      <c r="E129" s="59" t="n"/>
      <c r="F129" s="59" t="n"/>
      <c r="G129" s="59" t="n"/>
      <c r="H129" s="60" t="n"/>
      <c r="I129" s="60" t="n"/>
      <c r="J129" s="60" t="n"/>
      <c r="K129" s="60" t="n"/>
      <c r="L129" s="60" t="n"/>
      <c r="M129" s="61">
        <f>IF(NOT((COUNTA($B129:$D129)+COUNTA($G129:$L129)+COUNTA($Q129))&gt;0),"",IF(AND($D129&lt;&gt;"",$V129="Macro"),IF(N($AH129)&gt;0,N(CHOOSE(MATCH($D129,ListaPuestos,0),INDEX('Cronograma R. Operacional'!$M$5:$M$1000,$AH129),INDEX('Cronograma R. Normativo'!$M$5:$M$1000,$AH129),INDEX('Cronograma R. Financiero'!$M$5:$M$1000,$AH129),INDEX('Cronograma Asistente Técnico'!$M$5:$M$1000,$AH129))),0),IF(ISNUMBER($G129),1,IF(N($W129)&gt;0,AVERAGEIFS($X$5:$X$1000,$U$5:$U$1000,ROW(),$V$5:$V$1000,"Sub"),$X129))))</f>
        <v/>
      </c>
      <c r="N129" s="56">
        <f>IF(OR($M129="",$V129="Sub"),"",IF($M129&gt;=1,"Completado",IF($M129&gt;0,"En curso","Pendiente")))</f>
        <v/>
      </c>
      <c r="O129" s="56">
        <f>IF(NOT((COUNTA($B129:$D129)+COUNTA($G129:$L129)+COUNTA($Q129))&gt;0),"",IF(AND(AND($D129&lt;&gt;"",$V129="Macro"),N($AH129)&gt;0),CHOOSE(MATCH($D129,ListaPuestos,0),INDEX('Cronograma R. Operacional'!$O$5:$O$1000,$AH129),INDEX('Cronograma R. Normativo'!$O$5:$O$1000,$AH129),INDEX('Cronograma R. Financiero'!$O$5:$O$1000,$AH129),INDEX('Cronograma Asistente Técnico'!$O$5:$O$1000,$AH129))&amp;"",IF(ISNUMBER($G129),IF(AND(ISNUMBER($AN129),$G129&gt;$AN129),"Cumplida con "&amp;($G129-$AN129)&amp;IF($G129-$AN129=1," día"," días")&amp;" de retraso","Cumplida"),IF(N($M129)&gt;=1,"Cumplida",IF(NOT(ISNUMBER($AN129)),"Sin fecha límite",IF($AN129&lt;FechaRef,"Vencida hace "&amp;(FechaRef-$AN129)&amp;IF(FechaRef-$AN129=1," día"," días"),IF($AN129=FechaRef,"Vence hoy",IF($AN129-FechaRef&lt;=DiasAlerta,"Vence en "&amp;($AN129-FechaRef)&amp;IF($AN129-FechaRef=1," día"," días"),"En plazo"))))))))</f>
        <v/>
      </c>
      <c r="P129" s="62">
        <f>IF(NOT((COUNTA($B129:$D129)+COUNTA($G129:$L129)+COUNTA($Q129))&gt;0),"",IF($D129="","Propia",IF($V129&lt;&gt;"Macro","Solo se delegan macroactividades",IF(N($AH129)&gt;0,"✔ Recibida por "&amp;$D129,"⚠ "&amp;$D129&amp;" aún no la agrega"))))</f>
        <v/>
      </c>
      <c r="Q129" s="58" t="n"/>
      <c r="R129" s="63">
        <f>IF(NOT((COUNTA($B129:$D129)+COUNTA($G129:$L129)+COUNTA($Q129))&gt;0),"",IF((IF($C129="","Falta el nombre de la actividad"&amp;" · ","")&amp;IF(AND($V129="Sub",N($U129)=0),"Subactividad sin macroactividad arriba"&amp;" · ","")&amp;IF($AM129="","Sin fecha de inicio"&amp;" · ","")&amp;IF($AN129="","Sin fecha límite"&amp;" · ","")&amp;IF(AND(LEFT($C129,11)="[Jefatura] ",N($AL129)=0),"No se encuentra en la hoja de la jefatura (elíjala de nuevo en la lista)"&amp;" · ","")&amp;IF(OR(AND($E129&lt;&gt;"",NOT(ISNUMBER($E129))),AND($F129&lt;&gt;"",NOT(ISNUMBER($F129))),AND($G129&lt;&gt;"",NOT(ISNUMBER($G129)))),"Fecha no válida"&amp;" · ","")&amp;IF(AND(ISNUMBER($AM129),ISNUMBER($AN129),$AM129&gt;$AN129),"Inicio posterior a fecha límite"&amp;" · ","")&amp;IF(AND($V129="Macro",$H129&lt;&gt;"",OR(NOT(ISNUMBER($H129)),$H129&lt;0,$H129&gt;1)),"Peso fuera de rango"&amp;" · ","")&amp;IF(AND($V129="Sub",$H129&lt;&gt;""),"Las subactividades no llevan peso (valen igual dentro de su macroactividad)"&amp;" · ","")&amp;IF(AND(N($W129)&gt;0,COUNT($I129:$L129)&gt;0),"Con subactividades: deje vacías las semanas (se calculan solas)"&amp;" · ","")&amp;IF((COUNTIF($I129:$L129,"&gt;1")+COUNTIF($I129:$L129,"&lt;0")+COUNTA($I129:$L129)-COUNT($I129:$L129))&gt;0,"Avance fuera de rango 0-100%"&amp;" · ","")&amp;IF(OR(AND($J129&lt;&gt;"",$J129&lt;$I129),AND($K129&lt;&gt;"",$K129&lt;MAX($I129:$J129)),AND($L129&lt;&gt;"",$L129&lt;MAX($I129:$K129))),"Avance semanal decreciente"&amp;" · ","")&amp;IF(AND(ISNUMBER($AN129),$AN129&lt;FechaRef,IF($V129="Sub",N($X129),N($M129))&lt;1),"Vencida"&amp;" · ","")&amp;IF(AND(ObsObligatoria="Sí",ISNUMBER($AN129),$AN129&lt;FechaRef,IF($V129="Sub",N($X129),N($M129))&lt;1,$Q129=""),"Vencida sin observación"&amp;" · ",""))="","✔ OK","⚠ "&amp;LEFT(IF($C129="","Falta el nombre de la actividad"&amp;" · ","")&amp;IF(AND($V129="Sub",N($U129)=0),"Subactividad sin macroactividad arriba"&amp;" · ","")&amp;IF($AM129="","Sin fecha de inicio"&amp;" · ","")&amp;IF($AN129="","Sin fecha límite"&amp;" · ","")&amp;IF(AND(LEFT($C129,11)="[Jefatura] ",N($AL129)=0),"No se encuentra en la hoja de la jefatura (elíjala de nuevo en la lista)"&amp;" · ","")&amp;IF(OR(AND($E129&lt;&gt;"",NOT(ISNUMBER($E129))),AND($F129&lt;&gt;"",NOT(ISNUMBER($F129))),AND($G129&lt;&gt;"",NOT(ISNUMBER($G129)))),"Fecha no válida"&amp;" · ","")&amp;IF(AND(ISNUMBER($AM129),ISNUMBER($AN129),$AM129&gt;$AN129),"Inicio posterior a fecha límite"&amp;" · ","")&amp;IF(AND($V129="Macro",$H129&lt;&gt;"",OR(NOT(ISNUMBER($H129)),$H129&lt;0,$H129&gt;1)),"Peso fuera de rango"&amp;" · ","")&amp;IF(AND($V129="Sub",$H129&lt;&gt;""),"Las subactividades no llevan peso (valen igual dentro de su macroactividad)"&amp;" · ","")&amp;IF(AND(N($W129)&gt;0,COUNT($I129:$L129)&gt;0),"Con subactividades: deje vacías las semanas (se calculan solas)"&amp;" · ","")&amp;IF((COUNTIF($I129:$L129,"&gt;1")+COUNTIF($I129:$L129,"&lt;0")+COUNTA($I129:$L129)-COUNT($I129:$L129))&gt;0,"Avance fuera de rango 0-100%"&amp;" · ","")&amp;IF(OR(AND($J129&lt;&gt;"",$J129&lt;$I129),AND($K129&lt;&gt;"",$K129&lt;MAX($I129:$J129)),AND($L129&lt;&gt;"",$L129&lt;MAX($I129:$K129))),"Avance semanal decreciente"&amp;" · ","")&amp;IF(AND(ISNUMBER($AN129),$AN129&lt;FechaRef,IF($V129="Sub",N($X129),N($M129))&lt;1),"Vencida"&amp;" · ","")&amp;IF(AND(ObsObligatoria="Sí",ISNUMBER($AN129),$AN129&lt;FechaRef,IF($V129="Sub",N($X129),N($M129))&lt;1,$Q129=""),"Vencida sin observación"&amp;" · ",""),LEN(IF($C129="","Falta el nombre de la actividad"&amp;" · ","")&amp;IF(AND($V129="Sub",N($U129)=0),"Subactividad sin macroactividad arriba"&amp;" · ","")&amp;IF($AM129="","Sin fecha de inicio"&amp;" · ","")&amp;IF($AN129="","Sin fecha límite"&amp;" · ","")&amp;IF(AND(LEFT($C129,11)="[Jefatura] ",N($AL129)=0),"No se encuentra en la hoja de la jefatura (elíjala de nuevo en la lista)"&amp;" · ","")&amp;IF(OR(AND($E129&lt;&gt;"",NOT(ISNUMBER($E129))),AND($F129&lt;&gt;"",NOT(ISNUMBER($F129))),AND($G129&lt;&gt;"",NOT(ISNUMBER($G129)))),"Fecha no válida"&amp;" · ","")&amp;IF(AND(ISNUMBER($AM129),ISNUMBER($AN129),$AM129&gt;$AN129),"Inicio posterior a fecha límite"&amp;" · ","")&amp;IF(AND($V129="Macro",$H129&lt;&gt;"",OR(NOT(ISNUMBER($H129)),$H129&lt;0,$H129&gt;1)),"Peso fuera de rango"&amp;" · ","")&amp;IF(AND($V129="Sub",$H129&lt;&gt;""),"Las subactividades no llevan peso (valen igual dentro de su macroactividad)"&amp;" · ","")&amp;IF(AND(N($W129)&gt;0,COUNT($I129:$L129)&gt;0),"Con subactividades: deje vacías las semanas (se calculan solas)"&amp;" · ","")&amp;IF((COUNTIF($I129:$L129,"&gt;1")+COUNTIF($I129:$L129,"&lt;0")+COUNTA($I129:$L129)-COUNT($I129:$L129))&gt;0,"Avance fuera de rango 0-100%"&amp;" · ","")&amp;IF(OR(AND($J129&lt;&gt;"",$J129&lt;$I129),AND($K129&lt;&gt;"",$K129&lt;MAX($I129:$J129)),AND($L129&lt;&gt;"",$L129&lt;MAX($I129:$K129))),"Avance semanal decreciente"&amp;" · ","")&amp;IF(AND(ISNUMBER($AN129),$AN129&lt;FechaRef,IF($V129="Sub",N($X129),N($M129))&lt;1),"Vencida"&amp;" · ","")&amp;IF(AND(ObsObligatoria="Sí",ISNUMBER($AN129),$AN129&lt;FechaRef,IF($V129="Sub",N($X129),N($M129))&lt;1,$Q129=""),"Vencida sin observación"&amp;" · ",""))-3)))</f>
        <v/>
      </c>
      <c r="S129" s="64">
        <f>IF(NOT((COUNTA($B129:$D129)+COUNTA($G129:$L129)+COUNTA($Q129))&gt;0),"",IF(AND($V129="Sub",N($U129)&gt;0),IF(ISNUMBER(INDEX($AM$5:$AM$1000,$U129-4)),DATE(YEAR(INDEX($AM$5:$AM$1000,$U129-4)),MONTH(INDEX($AM$5:$AM$1000,$U129-4)),1),IF(ISNUMBER(INDEX($AN$5:$AN$1000,$U129-4)),DATE(YEAR(INDEX($AN$5:$AN$1000,$U129-4)),MONTH(INDEX($AN$5:$AN$1000,$U129-4)),1),MesCiclo)),IF(ISNUMBER($AM129),DATE(YEAR($AM129),MONTH($AM129),1),IF(ISNUMBER($AN129),DATE(YEAR($AN129),MONTH($AN129),1),MesCiclo))))</f>
        <v/>
      </c>
      <c r="T129" s="62">
        <f>IF(OR($S129="",$S129&lt;&gt;MesCiclo,$V129&lt;&gt;"Macro"),"",COUNTIFS($S$5:$S129,MesCiclo,$V$5:$V129,"Macro"))</f>
        <v/>
      </c>
      <c r="U129" s="62">
        <f>IF($V129="","",IF($V129="Macro",ROW(),IFERROR(LOOKUP(2,1/($V$5:$V129="Macro"),ROW($V$5:$V129)),0)))</f>
        <v/>
      </c>
      <c r="V129" s="62">
        <f>IF(NOT((COUNTA($B129:$D129)+COUNTA($G129:$L129)+COUNTA($Q129))&gt;0),"",IF($B129="Subactividad","Sub","Macro"))</f>
        <v/>
      </c>
      <c r="W129" s="62">
        <f>IF($V129="Macro",COUNTIFS($U$5:$U$1000,ROW(),$V$5:$V$1000,"Sub"),"")</f>
        <v/>
      </c>
      <c r="X129" s="62">
        <f>IF($V129="","",IF(ISNUMBER($G129),1,IFERROR(LOOKUP(2,1/($I129:$L129&lt;&gt;""),$I129:$L129),0)))</f>
        <v/>
      </c>
      <c r="Y129" s="62">
        <f>IF($V129="","",IF(AND(ISNUMBER($G129),$G129&lt;=IF($S129=MesCiclo,InicioCiclo,$S129+MOD(2-WEEKDAY($S129),7))+6),1,IF(ISNUMBER($I129),$I129,0)))</f>
        <v/>
      </c>
      <c r="Z129" s="62">
        <f>IF($V129="","",IF(AND(ISNUMBER($G129),$G129&lt;=IF($S129=MesCiclo,InicioCiclo,$S129+MOD(2-WEEKDAY($S129),7))+13),1,IF(ISNUMBER($J129),$J129,$Y129)))</f>
        <v/>
      </c>
      <c r="AA129" s="62">
        <f>IF($V129="","",IF(AND(ISNUMBER($G129),$G129&lt;=IF($S129=MesCiclo,InicioCiclo,$S129+MOD(2-WEEKDAY($S129),7))+20),1,IF(ISNUMBER($K129),$K129,$Z129)))</f>
        <v/>
      </c>
      <c r="AB129" s="62">
        <f>IF($V129="","",IF(AND(ISNUMBER($G129),$G129&lt;=IF($S129=MesCiclo,InicioCiclo,$S129+MOD(2-WEEKDAY($S129),7))+27),1,IF(ISNUMBER($L129),$L129,$AA129)))</f>
        <v/>
      </c>
      <c r="AC129" s="62">
        <f>IF($V129="","",IF(AND(ISNUMBER($G129),$G129&lt;=IF($S129=MesCiclo,InicioCiclo,$S129+MOD(2-WEEKDAY($S129),7))+6),1,IF(N($W129)&gt;0,AVERAGEIFS($Y$5:$Y$1000,$U$5:$U$1000,ROW(),$V$5:$V$1000,"Sub"),$Y129)))</f>
        <v/>
      </c>
      <c r="AD129" s="62">
        <f>IF($V129="","",IF(AND(ISNUMBER($G129),$G129&lt;=IF($S129=MesCiclo,InicioCiclo,$S129+MOD(2-WEEKDAY($S129),7))+13),1,IF(N($W129)&gt;0,AVERAGEIFS($Z$5:$Z$1000,$U$5:$U$1000,ROW(),$V$5:$V$1000,"Sub"),$Z129)))</f>
        <v/>
      </c>
      <c r="AE129" s="62">
        <f>IF($V129="","",IF(AND(ISNUMBER($G129),$G129&lt;=IF($S129=MesCiclo,InicioCiclo,$S129+MOD(2-WEEKDAY($S129),7))+20),1,IF(N($W129)&gt;0,AVERAGEIFS($AA$5:$AA$1000,$U$5:$U$1000,ROW(),$V$5:$V$1000,"Sub"),$AA129)))</f>
        <v/>
      </c>
      <c r="AF129" s="62">
        <f>IF($V129="","",IF(AND(ISNUMBER($G129),$G129&lt;=IF($S129=MesCiclo,InicioCiclo,$S129+MOD(2-WEEKDAY($S129),7))+27),1,IF(N($W129)&gt;0,AVERAGEIFS($AB$5:$AB$1000,$U$5:$U$1000,ROW(),$V$5:$V$1000,"Sub"),$AB129)))</f>
        <v/>
      </c>
      <c r="AG129" s="62">
        <f>IF($V129&lt;&gt;"Macro","",IF(COUNTIFS($S$5:$S$1000,$S129,$V$5:$V$1000,"Macro",$H$5:$H$1000,"&gt;0")=0,1/COUNTIFS($S$5:$S$1000,$S129,$V$5:$V$1000,"Macro"),IF(AND(ISNUMBER($H129),N($H129)&gt;0),$H129,SUMIFS($H$5:$H$1000,$S$5:$S$1000,$S129,$V$5:$V$1000,"Macro")/COUNTIFS($S$5:$S$1000,$S129,$V$5:$V$1000,"Macro",$H$5:$H$1000,"&gt;0"))/(COUNTIFS($S$5:$S$1000,$S129,$V$5:$V$1000,"Macro")*SUMIFS($H$5:$H$1000,$S$5:$S$1000,$S129,$V$5:$V$1000,"Macro")/COUNTIFS($S$5:$S$1000,$S129,$V$5:$V$1000,"Macro",$H$5:$H$1000,"&gt;0"))))</f>
        <v/>
      </c>
      <c r="AH129" s="62">
        <f>IF(NOT(AND($D129&lt;&gt;"",$V129="Macro")),"",IFERROR(CHOOSE(MATCH($D129,ListaPuestos,0),MATCH("[Jefatura] "&amp;$C129,'Cronograma R. Operacional'!$C$5:$C$1000,0),MATCH("[Jefatura] "&amp;$C129,'Cronograma R. Normativo'!$C$5:$C$1000,0),MATCH("[Jefatura] "&amp;$C129,'Cronograma R. Financiero'!$C$5:$C$1000,0),MATCH("[Jefatura] "&amp;$C129,'Cronograma Asistente Técnico'!$C$5:$C$1000,0)),0))</f>
        <v/>
      </c>
      <c r="AI129" s="62">
        <f>IF(AND(AND($D129&lt;&gt;"",$V129="Macro"),$S129=MesCiclo),COUNTIFS($D$5:$D129,$D129,$S$5:$S129,MesCiclo,$V$5:$V129,"Macro"),"")</f>
        <v/>
      </c>
      <c r="AJ129" s="62">
        <f>IF($AI129="","",$D129&amp;"|"&amp;$AI129)</f>
        <v/>
      </c>
      <c r="AK129" s="62">
        <f>IF(AND($D129&lt;&gt;"",$V129="Macro"),$D129&amp;"|"&amp;$C129,"")</f>
        <v/>
      </c>
      <c r="AL129" s="62">
        <f>""</f>
        <v/>
      </c>
      <c r="AM129" s="62">
        <f>IF(N($AL129)&gt;0,INDEX(rIni_ADM,$AL129),IF(ISNUMBER($E129),$E129,""))</f>
        <v/>
      </c>
      <c r="AN129" s="62">
        <f>IF(N($AL129)&gt;0,INDEX(rLim_ADM,$AL129),IF(ISNUMBER($F129),$F129,""))</f>
        <v/>
      </c>
    </row>
    <row r="130">
      <c r="A130" s="56">
        <f>IF(NOT((COUNTA($B130:$D130)+COUNTA($G130:$L130)+COUNTA($Q130))&gt;0),"",IF($V130="Macro",COUNTIFS($V$5:$V130,"Macro",$S$5:$S130,$S130),IF(N($U130)=0,"?",COUNTIFS(INDEX($V$5:$V$1000,1):INDEX($V$5:$V$1000,$U130-4),"Macro",INDEX($S$5:$S$1000,1):INDEX($S$5:$S$1000,$U130-4),INDEX($S$5:$S$1000,$U130-4))&amp;"."&amp;COUNTIFS($U$5:$U130,$U130,$V$5:$V130,"Sub"))))</f>
        <v/>
      </c>
      <c r="B130" s="57" t="n"/>
      <c r="C130" s="58" t="n"/>
      <c r="D130" s="58" t="n"/>
      <c r="E130" s="59" t="n"/>
      <c r="F130" s="59" t="n"/>
      <c r="G130" s="59" t="n"/>
      <c r="H130" s="60" t="n"/>
      <c r="I130" s="60" t="n"/>
      <c r="J130" s="60" t="n"/>
      <c r="K130" s="60" t="n"/>
      <c r="L130" s="60" t="n"/>
      <c r="M130" s="61">
        <f>IF(NOT((COUNTA($B130:$D130)+COUNTA($G130:$L130)+COUNTA($Q130))&gt;0),"",IF(AND($D130&lt;&gt;"",$V130="Macro"),IF(N($AH130)&gt;0,N(CHOOSE(MATCH($D130,ListaPuestos,0),INDEX('Cronograma R. Operacional'!$M$5:$M$1000,$AH130),INDEX('Cronograma R. Normativo'!$M$5:$M$1000,$AH130),INDEX('Cronograma R. Financiero'!$M$5:$M$1000,$AH130),INDEX('Cronograma Asistente Técnico'!$M$5:$M$1000,$AH130))),0),IF(ISNUMBER($G130),1,IF(N($W130)&gt;0,AVERAGEIFS($X$5:$X$1000,$U$5:$U$1000,ROW(),$V$5:$V$1000,"Sub"),$X130))))</f>
        <v/>
      </c>
      <c r="N130" s="56">
        <f>IF(OR($M130="",$V130="Sub"),"",IF($M130&gt;=1,"Completado",IF($M130&gt;0,"En curso","Pendiente")))</f>
        <v/>
      </c>
      <c r="O130" s="56">
        <f>IF(NOT((COUNTA($B130:$D130)+COUNTA($G130:$L130)+COUNTA($Q130))&gt;0),"",IF(AND(AND($D130&lt;&gt;"",$V130="Macro"),N($AH130)&gt;0),CHOOSE(MATCH($D130,ListaPuestos,0),INDEX('Cronograma R. Operacional'!$O$5:$O$1000,$AH130),INDEX('Cronograma R. Normativo'!$O$5:$O$1000,$AH130),INDEX('Cronograma R. Financiero'!$O$5:$O$1000,$AH130),INDEX('Cronograma Asistente Técnico'!$O$5:$O$1000,$AH130))&amp;"",IF(ISNUMBER($G130),IF(AND(ISNUMBER($AN130),$G130&gt;$AN130),"Cumplida con "&amp;($G130-$AN130)&amp;IF($G130-$AN130=1," día"," días")&amp;" de retraso","Cumplida"),IF(N($M130)&gt;=1,"Cumplida",IF(NOT(ISNUMBER($AN130)),"Sin fecha límite",IF($AN130&lt;FechaRef,"Vencida hace "&amp;(FechaRef-$AN130)&amp;IF(FechaRef-$AN130=1," día"," días"),IF($AN130=FechaRef,"Vence hoy",IF($AN130-FechaRef&lt;=DiasAlerta,"Vence en "&amp;($AN130-FechaRef)&amp;IF($AN130-FechaRef=1," día"," días"),"En plazo"))))))))</f>
        <v/>
      </c>
      <c r="P130" s="62">
        <f>IF(NOT((COUNTA($B130:$D130)+COUNTA($G130:$L130)+COUNTA($Q130))&gt;0),"",IF($D130="","Propia",IF($V130&lt;&gt;"Macro","Solo se delegan macroactividades",IF(N($AH130)&gt;0,"✔ Recibida por "&amp;$D130,"⚠ "&amp;$D130&amp;" aún no la agrega"))))</f>
        <v/>
      </c>
      <c r="Q130" s="58" t="n"/>
      <c r="R130" s="63">
        <f>IF(NOT((COUNTA($B130:$D130)+COUNTA($G130:$L130)+COUNTA($Q130))&gt;0),"",IF((IF($C130="","Falta el nombre de la actividad"&amp;" · ","")&amp;IF(AND($V130="Sub",N($U130)=0),"Subactividad sin macroactividad arriba"&amp;" · ","")&amp;IF($AM130="","Sin fecha de inicio"&amp;" · ","")&amp;IF($AN130="","Sin fecha límite"&amp;" · ","")&amp;IF(AND(LEFT($C130,11)="[Jefatura] ",N($AL130)=0),"No se encuentra en la hoja de la jefatura (elíjala de nuevo en la lista)"&amp;" · ","")&amp;IF(OR(AND($E130&lt;&gt;"",NOT(ISNUMBER($E130))),AND($F130&lt;&gt;"",NOT(ISNUMBER($F130))),AND($G130&lt;&gt;"",NOT(ISNUMBER($G130)))),"Fecha no válida"&amp;" · ","")&amp;IF(AND(ISNUMBER($AM130),ISNUMBER($AN130),$AM130&gt;$AN130),"Inicio posterior a fecha límite"&amp;" · ","")&amp;IF(AND($V130="Macro",$H130&lt;&gt;"",OR(NOT(ISNUMBER($H130)),$H130&lt;0,$H130&gt;1)),"Peso fuera de rango"&amp;" · ","")&amp;IF(AND($V130="Sub",$H130&lt;&gt;""),"Las subactividades no llevan peso (valen igual dentro de su macroactividad)"&amp;" · ","")&amp;IF(AND(N($W130)&gt;0,COUNT($I130:$L130)&gt;0),"Con subactividades: deje vacías las semanas (se calculan solas)"&amp;" · ","")&amp;IF((COUNTIF($I130:$L130,"&gt;1")+COUNTIF($I130:$L130,"&lt;0")+COUNTA($I130:$L130)-COUNT($I130:$L130))&gt;0,"Avance fuera de rango 0-100%"&amp;" · ","")&amp;IF(OR(AND($J130&lt;&gt;"",$J130&lt;$I130),AND($K130&lt;&gt;"",$K130&lt;MAX($I130:$J130)),AND($L130&lt;&gt;"",$L130&lt;MAX($I130:$K130))),"Avance semanal decreciente"&amp;" · ","")&amp;IF(AND(ISNUMBER($AN130),$AN130&lt;FechaRef,IF($V130="Sub",N($X130),N($M130))&lt;1),"Vencida"&amp;" · ","")&amp;IF(AND(ObsObligatoria="Sí",ISNUMBER($AN130),$AN130&lt;FechaRef,IF($V130="Sub",N($X130),N($M130))&lt;1,$Q130=""),"Vencida sin observación"&amp;" · ",""))="","✔ OK","⚠ "&amp;LEFT(IF($C130="","Falta el nombre de la actividad"&amp;" · ","")&amp;IF(AND($V130="Sub",N($U130)=0),"Subactividad sin macroactividad arriba"&amp;" · ","")&amp;IF($AM130="","Sin fecha de inicio"&amp;" · ","")&amp;IF($AN130="","Sin fecha límite"&amp;" · ","")&amp;IF(AND(LEFT($C130,11)="[Jefatura] ",N($AL130)=0),"No se encuentra en la hoja de la jefatura (elíjala de nuevo en la lista)"&amp;" · ","")&amp;IF(OR(AND($E130&lt;&gt;"",NOT(ISNUMBER($E130))),AND($F130&lt;&gt;"",NOT(ISNUMBER($F130))),AND($G130&lt;&gt;"",NOT(ISNUMBER($G130)))),"Fecha no válida"&amp;" · ","")&amp;IF(AND(ISNUMBER($AM130),ISNUMBER($AN130),$AM130&gt;$AN130),"Inicio posterior a fecha límite"&amp;" · ","")&amp;IF(AND($V130="Macro",$H130&lt;&gt;"",OR(NOT(ISNUMBER($H130)),$H130&lt;0,$H130&gt;1)),"Peso fuera de rango"&amp;" · ","")&amp;IF(AND($V130="Sub",$H130&lt;&gt;""),"Las subactividades no llevan peso (valen igual dentro de su macroactividad)"&amp;" · ","")&amp;IF(AND(N($W130)&gt;0,COUNT($I130:$L130)&gt;0),"Con subactividades: deje vacías las semanas (se calculan solas)"&amp;" · ","")&amp;IF((COUNTIF($I130:$L130,"&gt;1")+COUNTIF($I130:$L130,"&lt;0")+COUNTA($I130:$L130)-COUNT($I130:$L130))&gt;0,"Avance fuera de rango 0-100%"&amp;" · ","")&amp;IF(OR(AND($J130&lt;&gt;"",$J130&lt;$I130),AND($K130&lt;&gt;"",$K130&lt;MAX($I130:$J130)),AND($L130&lt;&gt;"",$L130&lt;MAX($I130:$K130))),"Avance semanal decreciente"&amp;" · ","")&amp;IF(AND(ISNUMBER($AN130),$AN130&lt;FechaRef,IF($V130="Sub",N($X130),N($M130))&lt;1),"Vencida"&amp;" · ","")&amp;IF(AND(ObsObligatoria="Sí",ISNUMBER($AN130),$AN130&lt;FechaRef,IF($V130="Sub",N($X130),N($M130))&lt;1,$Q130=""),"Vencida sin observación"&amp;" · ",""),LEN(IF($C130="","Falta el nombre de la actividad"&amp;" · ","")&amp;IF(AND($V130="Sub",N($U130)=0),"Subactividad sin macroactividad arriba"&amp;" · ","")&amp;IF($AM130="","Sin fecha de inicio"&amp;" · ","")&amp;IF($AN130="","Sin fecha límite"&amp;" · ","")&amp;IF(AND(LEFT($C130,11)="[Jefatura] ",N($AL130)=0),"No se encuentra en la hoja de la jefatura (elíjala de nuevo en la lista)"&amp;" · ","")&amp;IF(OR(AND($E130&lt;&gt;"",NOT(ISNUMBER($E130))),AND($F130&lt;&gt;"",NOT(ISNUMBER($F130))),AND($G130&lt;&gt;"",NOT(ISNUMBER($G130)))),"Fecha no válida"&amp;" · ","")&amp;IF(AND(ISNUMBER($AM130),ISNUMBER($AN130),$AM130&gt;$AN130),"Inicio posterior a fecha límite"&amp;" · ","")&amp;IF(AND($V130="Macro",$H130&lt;&gt;"",OR(NOT(ISNUMBER($H130)),$H130&lt;0,$H130&gt;1)),"Peso fuera de rango"&amp;" · ","")&amp;IF(AND($V130="Sub",$H130&lt;&gt;""),"Las subactividades no llevan peso (valen igual dentro de su macroactividad)"&amp;" · ","")&amp;IF(AND(N($W130)&gt;0,COUNT($I130:$L130)&gt;0),"Con subactividades: deje vacías las semanas (se calculan solas)"&amp;" · ","")&amp;IF((COUNTIF($I130:$L130,"&gt;1")+COUNTIF($I130:$L130,"&lt;0")+COUNTA($I130:$L130)-COUNT($I130:$L130))&gt;0,"Avance fuera de rango 0-100%"&amp;" · ","")&amp;IF(OR(AND($J130&lt;&gt;"",$J130&lt;$I130),AND($K130&lt;&gt;"",$K130&lt;MAX($I130:$J130)),AND($L130&lt;&gt;"",$L130&lt;MAX($I130:$K130))),"Avance semanal decreciente"&amp;" · ","")&amp;IF(AND(ISNUMBER($AN130),$AN130&lt;FechaRef,IF($V130="Sub",N($X130),N($M130))&lt;1),"Vencida"&amp;" · ","")&amp;IF(AND(ObsObligatoria="Sí",ISNUMBER($AN130),$AN130&lt;FechaRef,IF($V130="Sub",N($X130),N($M130))&lt;1,$Q130=""),"Vencida sin observación"&amp;" · ",""))-3)))</f>
        <v/>
      </c>
      <c r="S130" s="64">
        <f>IF(NOT((COUNTA($B130:$D130)+COUNTA($G130:$L130)+COUNTA($Q130))&gt;0),"",IF(AND($V130="Sub",N($U130)&gt;0),IF(ISNUMBER(INDEX($AM$5:$AM$1000,$U130-4)),DATE(YEAR(INDEX($AM$5:$AM$1000,$U130-4)),MONTH(INDEX($AM$5:$AM$1000,$U130-4)),1),IF(ISNUMBER(INDEX($AN$5:$AN$1000,$U130-4)),DATE(YEAR(INDEX($AN$5:$AN$1000,$U130-4)),MONTH(INDEX($AN$5:$AN$1000,$U130-4)),1),MesCiclo)),IF(ISNUMBER($AM130),DATE(YEAR($AM130),MONTH($AM130),1),IF(ISNUMBER($AN130),DATE(YEAR($AN130),MONTH($AN130),1),MesCiclo))))</f>
        <v/>
      </c>
      <c r="T130" s="62">
        <f>IF(OR($S130="",$S130&lt;&gt;MesCiclo,$V130&lt;&gt;"Macro"),"",COUNTIFS($S$5:$S130,MesCiclo,$V$5:$V130,"Macro"))</f>
        <v/>
      </c>
      <c r="U130" s="62">
        <f>IF($V130="","",IF($V130="Macro",ROW(),IFERROR(LOOKUP(2,1/($V$5:$V130="Macro"),ROW($V$5:$V130)),0)))</f>
        <v/>
      </c>
      <c r="V130" s="62">
        <f>IF(NOT((COUNTA($B130:$D130)+COUNTA($G130:$L130)+COUNTA($Q130))&gt;0),"",IF($B130="Subactividad","Sub","Macro"))</f>
        <v/>
      </c>
      <c r="W130" s="62">
        <f>IF($V130="Macro",COUNTIFS($U$5:$U$1000,ROW(),$V$5:$V$1000,"Sub"),"")</f>
        <v/>
      </c>
      <c r="X130" s="62">
        <f>IF($V130="","",IF(ISNUMBER($G130),1,IFERROR(LOOKUP(2,1/($I130:$L130&lt;&gt;""),$I130:$L130),0)))</f>
        <v/>
      </c>
      <c r="Y130" s="62">
        <f>IF($V130="","",IF(AND(ISNUMBER($G130),$G130&lt;=IF($S130=MesCiclo,InicioCiclo,$S130+MOD(2-WEEKDAY($S130),7))+6),1,IF(ISNUMBER($I130),$I130,0)))</f>
        <v/>
      </c>
      <c r="Z130" s="62">
        <f>IF($V130="","",IF(AND(ISNUMBER($G130),$G130&lt;=IF($S130=MesCiclo,InicioCiclo,$S130+MOD(2-WEEKDAY($S130),7))+13),1,IF(ISNUMBER($J130),$J130,$Y130)))</f>
        <v/>
      </c>
      <c r="AA130" s="62">
        <f>IF($V130="","",IF(AND(ISNUMBER($G130),$G130&lt;=IF($S130=MesCiclo,InicioCiclo,$S130+MOD(2-WEEKDAY($S130),7))+20),1,IF(ISNUMBER($K130),$K130,$Z130)))</f>
        <v/>
      </c>
      <c r="AB130" s="62">
        <f>IF($V130="","",IF(AND(ISNUMBER($G130),$G130&lt;=IF($S130=MesCiclo,InicioCiclo,$S130+MOD(2-WEEKDAY($S130),7))+27),1,IF(ISNUMBER($L130),$L130,$AA130)))</f>
        <v/>
      </c>
      <c r="AC130" s="62">
        <f>IF($V130="","",IF(AND(ISNUMBER($G130),$G130&lt;=IF($S130=MesCiclo,InicioCiclo,$S130+MOD(2-WEEKDAY($S130),7))+6),1,IF(N($W130)&gt;0,AVERAGEIFS($Y$5:$Y$1000,$U$5:$U$1000,ROW(),$V$5:$V$1000,"Sub"),$Y130)))</f>
        <v/>
      </c>
      <c r="AD130" s="62">
        <f>IF($V130="","",IF(AND(ISNUMBER($G130),$G130&lt;=IF($S130=MesCiclo,InicioCiclo,$S130+MOD(2-WEEKDAY($S130),7))+13),1,IF(N($W130)&gt;0,AVERAGEIFS($Z$5:$Z$1000,$U$5:$U$1000,ROW(),$V$5:$V$1000,"Sub"),$Z130)))</f>
        <v/>
      </c>
      <c r="AE130" s="62">
        <f>IF($V130="","",IF(AND(ISNUMBER($G130),$G130&lt;=IF($S130=MesCiclo,InicioCiclo,$S130+MOD(2-WEEKDAY($S130),7))+20),1,IF(N($W130)&gt;0,AVERAGEIFS($AA$5:$AA$1000,$U$5:$U$1000,ROW(),$V$5:$V$1000,"Sub"),$AA130)))</f>
        <v/>
      </c>
      <c r="AF130" s="62">
        <f>IF($V130="","",IF(AND(ISNUMBER($G130),$G130&lt;=IF($S130=MesCiclo,InicioCiclo,$S130+MOD(2-WEEKDAY($S130),7))+27),1,IF(N($W130)&gt;0,AVERAGEIFS($AB$5:$AB$1000,$U$5:$U$1000,ROW(),$V$5:$V$1000,"Sub"),$AB130)))</f>
        <v/>
      </c>
      <c r="AG130" s="62">
        <f>IF($V130&lt;&gt;"Macro","",IF(COUNTIFS($S$5:$S$1000,$S130,$V$5:$V$1000,"Macro",$H$5:$H$1000,"&gt;0")=0,1/COUNTIFS($S$5:$S$1000,$S130,$V$5:$V$1000,"Macro"),IF(AND(ISNUMBER($H130),N($H130)&gt;0),$H130,SUMIFS($H$5:$H$1000,$S$5:$S$1000,$S130,$V$5:$V$1000,"Macro")/COUNTIFS($S$5:$S$1000,$S130,$V$5:$V$1000,"Macro",$H$5:$H$1000,"&gt;0"))/(COUNTIFS($S$5:$S$1000,$S130,$V$5:$V$1000,"Macro")*SUMIFS($H$5:$H$1000,$S$5:$S$1000,$S130,$V$5:$V$1000,"Macro")/COUNTIFS($S$5:$S$1000,$S130,$V$5:$V$1000,"Macro",$H$5:$H$1000,"&gt;0"))))</f>
        <v/>
      </c>
      <c r="AH130" s="62">
        <f>IF(NOT(AND($D130&lt;&gt;"",$V130="Macro")),"",IFERROR(CHOOSE(MATCH($D130,ListaPuestos,0),MATCH("[Jefatura] "&amp;$C130,'Cronograma R. Operacional'!$C$5:$C$1000,0),MATCH("[Jefatura] "&amp;$C130,'Cronograma R. Normativo'!$C$5:$C$1000,0),MATCH("[Jefatura] "&amp;$C130,'Cronograma R. Financiero'!$C$5:$C$1000,0),MATCH("[Jefatura] "&amp;$C130,'Cronograma Asistente Técnico'!$C$5:$C$1000,0)),0))</f>
        <v/>
      </c>
      <c r="AI130" s="62">
        <f>IF(AND(AND($D130&lt;&gt;"",$V130="Macro"),$S130=MesCiclo),COUNTIFS($D$5:$D130,$D130,$S$5:$S130,MesCiclo,$V$5:$V130,"Macro"),"")</f>
        <v/>
      </c>
      <c r="AJ130" s="62">
        <f>IF($AI130="","",$D130&amp;"|"&amp;$AI130)</f>
        <v/>
      </c>
      <c r="AK130" s="62">
        <f>IF(AND($D130&lt;&gt;"",$V130="Macro"),$D130&amp;"|"&amp;$C130,"")</f>
        <v/>
      </c>
      <c r="AL130" s="62">
        <f>""</f>
        <v/>
      </c>
      <c r="AM130" s="62">
        <f>IF(N($AL130)&gt;0,INDEX(rIni_ADM,$AL130),IF(ISNUMBER($E130),$E130,""))</f>
        <v/>
      </c>
      <c r="AN130" s="62">
        <f>IF(N($AL130)&gt;0,INDEX(rLim_ADM,$AL130),IF(ISNUMBER($F130),$F130,""))</f>
        <v/>
      </c>
    </row>
    <row r="131">
      <c r="A131" s="56">
        <f>IF(NOT((COUNTA($B131:$D131)+COUNTA($G131:$L131)+COUNTA($Q131))&gt;0),"",IF($V131="Macro",COUNTIFS($V$5:$V131,"Macro",$S$5:$S131,$S131),IF(N($U131)=0,"?",COUNTIFS(INDEX($V$5:$V$1000,1):INDEX($V$5:$V$1000,$U131-4),"Macro",INDEX($S$5:$S$1000,1):INDEX($S$5:$S$1000,$U131-4),INDEX($S$5:$S$1000,$U131-4))&amp;"."&amp;COUNTIFS($U$5:$U131,$U131,$V$5:$V131,"Sub"))))</f>
        <v/>
      </c>
      <c r="B131" s="57" t="n"/>
      <c r="C131" s="58" t="n"/>
      <c r="D131" s="58" t="n"/>
      <c r="E131" s="59" t="n"/>
      <c r="F131" s="59" t="n"/>
      <c r="G131" s="59" t="n"/>
      <c r="H131" s="60" t="n"/>
      <c r="I131" s="60" t="n"/>
      <c r="J131" s="60" t="n"/>
      <c r="K131" s="60" t="n"/>
      <c r="L131" s="60" t="n"/>
      <c r="M131" s="61">
        <f>IF(NOT((COUNTA($B131:$D131)+COUNTA($G131:$L131)+COUNTA($Q131))&gt;0),"",IF(AND($D131&lt;&gt;"",$V131="Macro"),IF(N($AH131)&gt;0,N(CHOOSE(MATCH($D131,ListaPuestos,0),INDEX('Cronograma R. Operacional'!$M$5:$M$1000,$AH131),INDEX('Cronograma R. Normativo'!$M$5:$M$1000,$AH131),INDEX('Cronograma R. Financiero'!$M$5:$M$1000,$AH131),INDEX('Cronograma Asistente Técnico'!$M$5:$M$1000,$AH131))),0),IF(ISNUMBER($G131),1,IF(N($W131)&gt;0,AVERAGEIFS($X$5:$X$1000,$U$5:$U$1000,ROW(),$V$5:$V$1000,"Sub"),$X131))))</f>
        <v/>
      </c>
      <c r="N131" s="56">
        <f>IF(OR($M131="",$V131="Sub"),"",IF($M131&gt;=1,"Completado",IF($M131&gt;0,"En curso","Pendiente")))</f>
        <v/>
      </c>
      <c r="O131" s="56">
        <f>IF(NOT((COUNTA($B131:$D131)+COUNTA($G131:$L131)+COUNTA($Q131))&gt;0),"",IF(AND(AND($D131&lt;&gt;"",$V131="Macro"),N($AH131)&gt;0),CHOOSE(MATCH($D131,ListaPuestos,0),INDEX('Cronograma R. Operacional'!$O$5:$O$1000,$AH131),INDEX('Cronograma R. Normativo'!$O$5:$O$1000,$AH131),INDEX('Cronograma R. Financiero'!$O$5:$O$1000,$AH131),INDEX('Cronograma Asistente Técnico'!$O$5:$O$1000,$AH131))&amp;"",IF(ISNUMBER($G131),IF(AND(ISNUMBER($AN131),$G131&gt;$AN131),"Cumplida con "&amp;($G131-$AN131)&amp;IF($G131-$AN131=1," día"," días")&amp;" de retraso","Cumplida"),IF(N($M131)&gt;=1,"Cumplida",IF(NOT(ISNUMBER($AN131)),"Sin fecha límite",IF($AN131&lt;FechaRef,"Vencida hace "&amp;(FechaRef-$AN131)&amp;IF(FechaRef-$AN131=1," día"," días"),IF($AN131=FechaRef,"Vence hoy",IF($AN131-FechaRef&lt;=DiasAlerta,"Vence en "&amp;($AN131-FechaRef)&amp;IF($AN131-FechaRef=1," día"," días"),"En plazo"))))))))</f>
        <v/>
      </c>
      <c r="P131" s="62">
        <f>IF(NOT((COUNTA($B131:$D131)+COUNTA($G131:$L131)+COUNTA($Q131))&gt;0),"",IF($D131="","Propia",IF($V131&lt;&gt;"Macro","Solo se delegan macroactividades",IF(N($AH131)&gt;0,"✔ Recibida por "&amp;$D131,"⚠ "&amp;$D131&amp;" aún no la agrega"))))</f>
        <v/>
      </c>
      <c r="Q131" s="58" t="n"/>
      <c r="R131" s="63">
        <f>IF(NOT((COUNTA($B131:$D131)+COUNTA($G131:$L131)+COUNTA($Q131))&gt;0),"",IF((IF($C131="","Falta el nombre de la actividad"&amp;" · ","")&amp;IF(AND($V131="Sub",N($U131)=0),"Subactividad sin macroactividad arriba"&amp;" · ","")&amp;IF($AM131="","Sin fecha de inicio"&amp;" · ","")&amp;IF($AN131="","Sin fecha límite"&amp;" · ","")&amp;IF(AND(LEFT($C131,11)="[Jefatura] ",N($AL131)=0),"No se encuentra en la hoja de la jefatura (elíjala de nuevo en la lista)"&amp;" · ","")&amp;IF(OR(AND($E131&lt;&gt;"",NOT(ISNUMBER($E131))),AND($F131&lt;&gt;"",NOT(ISNUMBER($F131))),AND($G131&lt;&gt;"",NOT(ISNUMBER($G131)))),"Fecha no válida"&amp;" · ","")&amp;IF(AND(ISNUMBER($AM131),ISNUMBER($AN131),$AM131&gt;$AN131),"Inicio posterior a fecha límite"&amp;" · ","")&amp;IF(AND($V131="Macro",$H131&lt;&gt;"",OR(NOT(ISNUMBER($H131)),$H131&lt;0,$H131&gt;1)),"Peso fuera de rango"&amp;" · ","")&amp;IF(AND($V131="Sub",$H131&lt;&gt;""),"Las subactividades no llevan peso (valen igual dentro de su macroactividad)"&amp;" · ","")&amp;IF(AND(N($W131)&gt;0,COUNT($I131:$L131)&gt;0),"Con subactividades: deje vacías las semanas (se calculan solas)"&amp;" · ","")&amp;IF((COUNTIF($I131:$L131,"&gt;1")+COUNTIF($I131:$L131,"&lt;0")+COUNTA($I131:$L131)-COUNT($I131:$L131))&gt;0,"Avance fuera de rango 0-100%"&amp;" · ","")&amp;IF(OR(AND($J131&lt;&gt;"",$J131&lt;$I131),AND($K131&lt;&gt;"",$K131&lt;MAX($I131:$J131)),AND($L131&lt;&gt;"",$L131&lt;MAX($I131:$K131))),"Avance semanal decreciente"&amp;" · ","")&amp;IF(AND(ISNUMBER($AN131),$AN131&lt;FechaRef,IF($V131="Sub",N($X131),N($M131))&lt;1),"Vencida"&amp;" · ","")&amp;IF(AND(ObsObligatoria="Sí",ISNUMBER($AN131),$AN131&lt;FechaRef,IF($V131="Sub",N($X131),N($M131))&lt;1,$Q131=""),"Vencida sin observación"&amp;" · ",""))="","✔ OK","⚠ "&amp;LEFT(IF($C131="","Falta el nombre de la actividad"&amp;" · ","")&amp;IF(AND($V131="Sub",N($U131)=0),"Subactividad sin macroactividad arriba"&amp;" · ","")&amp;IF($AM131="","Sin fecha de inicio"&amp;" · ","")&amp;IF($AN131="","Sin fecha límite"&amp;" · ","")&amp;IF(AND(LEFT($C131,11)="[Jefatura] ",N($AL131)=0),"No se encuentra en la hoja de la jefatura (elíjala de nuevo en la lista)"&amp;" · ","")&amp;IF(OR(AND($E131&lt;&gt;"",NOT(ISNUMBER($E131))),AND($F131&lt;&gt;"",NOT(ISNUMBER($F131))),AND($G131&lt;&gt;"",NOT(ISNUMBER($G131)))),"Fecha no válida"&amp;" · ","")&amp;IF(AND(ISNUMBER($AM131),ISNUMBER($AN131),$AM131&gt;$AN131),"Inicio posterior a fecha límite"&amp;" · ","")&amp;IF(AND($V131="Macro",$H131&lt;&gt;"",OR(NOT(ISNUMBER($H131)),$H131&lt;0,$H131&gt;1)),"Peso fuera de rango"&amp;" · ","")&amp;IF(AND($V131="Sub",$H131&lt;&gt;""),"Las subactividades no llevan peso (valen igual dentro de su macroactividad)"&amp;" · ","")&amp;IF(AND(N($W131)&gt;0,COUNT($I131:$L131)&gt;0),"Con subactividades: deje vacías las semanas (se calculan solas)"&amp;" · ","")&amp;IF((COUNTIF($I131:$L131,"&gt;1")+COUNTIF($I131:$L131,"&lt;0")+COUNTA($I131:$L131)-COUNT($I131:$L131))&gt;0,"Avance fuera de rango 0-100%"&amp;" · ","")&amp;IF(OR(AND($J131&lt;&gt;"",$J131&lt;$I131),AND($K131&lt;&gt;"",$K131&lt;MAX($I131:$J131)),AND($L131&lt;&gt;"",$L131&lt;MAX($I131:$K131))),"Avance semanal decreciente"&amp;" · ","")&amp;IF(AND(ISNUMBER($AN131),$AN131&lt;FechaRef,IF($V131="Sub",N($X131),N($M131))&lt;1),"Vencida"&amp;" · ","")&amp;IF(AND(ObsObligatoria="Sí",ISNUMBER($AN131),$AN131&lt;FechaRef,IF($V131="Sub",N($X131),N($M131))&lt;1,$Q131=""),"Vencida sin observación"&amp;" · ",""),LEN(IF($C131="","Falta el nombre de la actividad"&amp;" · ","")&amp;IF(AND($V131="Sub",N($U131)=0),"Subactividad sin macroactividad arriba"&amp;" · ","")&amp;IF($AM131="","Sin fecha de inicio"&amp;" · ","")&amp;IF($AN131="","Sin fecha límite"&amp;" · ","")&amp;IF(AND(LEFT($C131,11)="[Jefatura] ",N($AL131)=0),"No se encuentra en la hoja de la jefatura (elíjala de nuevo en la lista)"&amp;" · ","")&amp;IF(OR(AND($E131&lt;&gt;"",NOT(ISNUMBER($E131))),AND($F131&lt;&gt;"",NOT(ISNUMBER($F131))),AND($G131&lt;&gt;"",NOT(ISNUMBER($G131)))),"Fecha no válida"&amp;" · ","")&amp;IF(AND(ISNUMBER($AM131),ISNUMBER($AN131),$AM131&gt;$AN131),"Inicio posterior a fecha límite"&amp;" · ","")&amp;IF(AND($V131="Macro",$H131&lt;&gt;"",OR(NOT(ISNUMBER($H131)),$H131&lt;0,$H131&gt;1)),"Peso fuera de rango"&amp;" · ","")&amp;IF(AND($V131="Sub",$H131&lt;&gt;""),"Las subactividades no llevan peso (valen igual dentro de su macroactividad)"&amp;" · ","")&amp;IF(AND(N($W131)&gt;0,COUNT($I131:$L131)&gt;0),"Con subactividades: deje vacías las semanas (se calculan solas)"&amp;" · ","")&amp;IF((COUNTIF($I131:$L131,"&gt;1")+COUNTIF($I131:$L131,"&lt;0")+COUNTA($I131:$L131)-COUNT($I131:$L131))&gt;0,"Avance fuera de rango 0-100%"&amp;" · ","")&amp;IF(OR(AND($J131&lt;&gt;"",$J131&lt;$I131),AND($K131&lt;&gt;"",$K131&lt;MAX($I131:$J131)),AND($L131&lt;&gt;"",$L131&lt;MAX($I131:$K131))),"Avance semanal decreciente"&amp;" · ","")&amp;IF(AND(ISNUMBER($AN131),$AN131&lt;FechaRef,IF($V131="Sub",N($X131),N($M131))&lt;1),"Vencida"&amp;" · ","")&amp;IF(AND(ObsObligatoria="Sí",ISNUMBER($AN131),$AN131&lt;FechaRef,IF($V131="Sub",N($X131),N($M131))&lt;1,$Q131=""),"Vencida sin observación"&amp;" · ",""))-3)))</f>
        <v/>
      </c>
      <c r="S131" s="64">
        <f>IF(NOT((COUNTA($B131:$D131)+COUNTA($G131:$L131)+COUNTA($Q131))&gt;0),"",IF(AND($V131="Sub",N($U131)&gt;0),IF(ISNUMBER(INDEX($AM$5:$AM$1000,$U131-4)),DATE(YEAR(INDEX($AM$5:$AM$1000,$U131-4)),MONTH(INDEX($AM$5:$AM$1000,$U131-4)),1),IF(ISNUMBER(INDEX($AN$5:$AN$1000,$U131-4)),DATE(YEAR(INDEX($AN$5:$AN$1000,$U131-4)),MONTH(INDEX($AN$5:$AN$1000,$U131-4)),1),MesCiclo)),IF(ISNUMBER($AM131),DATE(YEAR($AM131),MONTH($AM131),1),IF(ISNUMBER($AN131),DATE(YEAR($AN131),MONTH($AN131),1),MesCiclo))))</f>
        <v/>
      </c>
      <c r="T131" s="62">
        <f>IF(OR($S131="",$S131&lt;&gt;MesCiclo,$V131&lt;&gt;"Macro"),"",COUNTIFS($S$5:$S131,MesCiclo,$V$5:$V131,"Macro"))</f>
        <v/>
      </c>
      <c r="U131" s="62">
        <f>IF($V131="","",IF($V131="Macro",ROW(),IFERROR(LOOKUP(2,1/($V$5:$V131="Macro"),ROW($V$5:$V131)),0)))</f>
        <v/>
      </c>
      <c r="V131" s="62">
        <f>IF(NOT((COUNTA($B131:$D131)+COUNTA($G131:$L131)+COUNTA($Q131))&gt;0),"",IF($B131="Subactividad","Sub","Macro"))</f>
        <v/>
      </c>
      <c r="W131" s="62">
        <f>IF($V131="Macro",COUNTIFS($U$5:$U$1000,ROW(),$V$5:$V$1000,"Sub"),"")</f>
        <v/>
      </c>
      <c r="X131" s="62">
        <f>IF($V131="","",IF(ISNUMBER($G131),1,IFERROR(LOOKUP(2,1/($I131:$L131&lt;&gt;""),$I131:$L131),0)))</f>
        <v/>
      </c>
      <c r="Y131" s="62">
        <f>IF($V131="","",IF(AND(ISNUMBER($G131),$G131&lt;=IF($S131=MesCiclo,InicioCiclo,$S131+MOD(2-WEEKDAY($S131),7))+6),1,IF(ISNUMBER($I131),$I131,0)))</f>
        <v/>
      </c>
      <c r="Z131" s="62">
        <f>IF($V131="","",IF(AND(ISNUMBER($G131),$G131&lt;=IF($S131=MesCiclo,InicioCiclo,$S131+MOD(2-WEEKDAY($S131),7))+13),1,IF(ISNUMBER($J131),$J131,$Y131)))</f>
        <v/>
      </c>
      <c r="AA131" s="62">
        <f>IF($V131="","",IF(AND(ISNUMBER($G131),$G131&lt;=IF($S131=MesCiclo,InicioCiclo,$S131+MOD(2-WEEKDAY($S131),7))+20),1,IF(ISNUMBER($K131),$K131,$Z131)))</f>
        <v/>
      </c>
      <c r="AB131" s="62">
        <f>IF($V131="","",IF(AND(ISNUMBER($G131),$G131&lt;=IF($S131=MesCiclo,InicioCiclo,$S131+MOD(2-WEEKDAY($S131),7))+27),1,IF(ISNUMBER($L131),$L131,$AA131)))</f>
        <v/>
      </c>
      <c r="AC131" s="62">
        <f>IF($V131="","",IF(AND(ISNUMBER($G131),$G131&lt;=IF($S131=MesCiclo,InicioCiclo,$S131+MOD(2-WEEKDAY($S131),7))+6),1,IF(N($W131)&gt;0,AVERAGEIFS($Y$5:$Y$1000,$U$5:$U$1000,ROW(),$V$5:$V$1000,"Sub"),$Y131)))</f>
        <v/>
      </c>
      <c r="AD131" s="62">
        <f>IF($V131="","",IF(AND(ISNUMBER($G131),$G131&lt;=IF($S131=MesCiclo,InicioCiclo,$S131+MOD(2-WEEKDAY($S131),7))+13),1,IF(N($W131)&gt;0,AVERAGEIFS($Z$5:$Z$1000,$U$5:$U$1000,ROW(),$V$5:$V$1000,"Sub"),$Z131)))</f>
        <v/>
      </c>
      <c r="AE131" s="62">
        <f>IF($V131="","",IF(AND(ISNUMBER($G131),$G131&lt;=IF($S131=MesCiclo,InicioCiclo,$S131+MOD(2-WEEKDAY($S131),7))+20),1,IF(N($W131)&gt;0,AVERAGEIFS($AA$5:$AA$1000,$U$5:$U$1000,ROW(),$V$5:$V$1000,"Sub"),$AA131)))</f>
        <v/>
      </c>
      <c r="AF131" s="62">
        <f>IF($V131="","",IF(AND(ISNUMBER($G131),$G131&lt;=IF($S131=MesCiclo,InicioCiclo,$S131+MOD(2-WEEKDAY($S131),7))+27),1,IF(N($W131)&gt;0,AVERAGEIFS($AB$5:$AB$1000,$U$5:$U$1000,ROW(),$V$5:$V$1000,"Sub"),$AB131)))</f>
        <v/>
      </c>
      <c r="AG131" s="62">
        <f>IF($V131&lt;&gt;"Macro","",IF(COUNTIFS($S$5:$S$1000,$S131,$V$5:$V$1000,"Macro",$H$5:$H$1000,"&gt;0")=0,1/COUNTIFS($S$5:$S$1000,$S131,$V$5:$V$1000,"Macro"),IF(AND(ISNUMBER($H131),N($H131)&gt;0),$H131,SUMIFS($H$5:$H$1000,$S$5:$S$1000,$S131,$V$5:$V$1000,"Macro")/COUNTIFS($S$5:$S$1000,$S131,$V$5:$V$1000,"Macro",$H$5:$H$1000,"&gt;0"))/(COUNTIFS($S$5:$S$1000,$S131,$V$5:$V$1000,"Macro")*SUMIFS($H$5:$H$1000,$S$5:$S$1000,$S131,$V$5:$V$1000,"Macro")/COUNTIFS($S$5:$S$1000,$S131,$V$5:$V$1000,"Macro",$H$5:$H$1000,"&gt;0"))))</f>
        <v/>
      </c>
      <c r="AH131" s="62">
        <f>IF(NOT(AND($D131&lt;&gt;"",$V131="Macro")),"",IFERROR(CHOOSE(MATCH($D131,ListaPuestos,0),MATCH("[Jefatura] "&amp;$C131,'Cronograma R. Operacional'!$C$5:$C$1000,0),MATCH("[Jefatura] "&amp;$C131,'Cronograma R. Normativo'!$C$5:$C$1000,0),MATCH("[Jefatura] "&amp;$C131,'Cronograma R. Financiero'!$C$5:$C$1000,0),MATCH("[Jefatura] "&amp;$C131,'Cronograma Asistente Técnico'!$C$5:$C$1000,0)),0))</f>
        <v/>
      </c>
      <c r="AI131" s="62">
        <f>IF(AND(AND($D131&lt;&gt;"",$V131="Macro"),$S131=MesCiclo),COUNTIFS($D$5:$D131,$D131,$S$5:$S131,MesCiclo,$V$5:$V131,"Macro"),"")</f>
        <v/>
      </c>
      <c r="AJ131" s="62">
        <f>IF($AI131="","",$D131&amp;"|"&amp;$AI131)</f>
        <v/>
      </c>
      <c r="AK131" s="62">
        <f>IF(AND($D131&lt;&gt;"",$V131="Macro"),$D131&amp;"|"&amp;$C131,"")</f>
        <v/>
      </c>
      <c r="AL131" s="62">
        <f>""</f>
        <v/>
      </c>
      <c r="AM131" s="62">
        <f>IF(N($AL131)&gt;0,INDEX(rIni_ADM,$AL131),IF(ISNUMBER($E131),$E131,""))</f>
        <v/>
      </c>
      <c r="AN131" s="62">
        <f>IF(N($AL131)&gt;0,INDEX(rLim_ADM,$AL131),IF(ISNUMBER($F131),$F131,""))</f>
        <v/>
      </c>
    </row>
    <row r="132">
      <c r="A132" s="56">
        <f>IF(NOT((COUNTA($B132:$D132)+COUNTA($G132:$L132)+COUNTA($Q132))&gt;0),"",IF($V132="Macro",COUNTIFS($V$5:$V132,"Macro",$S$5:$S132,$S132),IF(N($U132)=0,"?",COUNTIFS(INDEX($V$5:$V$1000,1):INDEX($V$5:$V$1000,$U132-4),"Macro",INDEX($S$5:$S$1000,1):INDEX($S$5:$S$1000,$U132-4),INDEX($S$5:$S$1000,$U132-4))&amp;"."&amp;COUNTIFS($U$5:$U132,$U132,$V$5:$V132,"Sub"))))</f>
        <v/>
      </c>
      <c r="B132" s="57" t="n"/>
      <c r="C132" s="58" t="n"/>
      <c r="D132" s="58" t="n"/>
      <c r="E132" s="59" t="n"/>
      <c r="F132" s="59" t="n"/>
      <c r="G132" s="59" t="n"/>
      <c r="H132" s="60" t="n"/>
      <c r="I132" s="60" t="n"/>
      <c r="J132" s="60" t="n"/>
      <c r="K132" s="60" t="n"/>
      <c r="L132" s="60" t="n"/>
      <c r="M132" s="61">
        <f>IF(NOT((COUNTA($B132:$D132)+COUNTA($G132:$L132)+COUNTA($Q132))&gt;0),"",IF(AND($D132&lt;&gt;"",$V132="Macro"),IF(N($AH132)&gt;0,N(CHOOSE(MATCH($D132,ListaPuestos,0),INDEX('Cronograma R. Operacional'!$M$5:$M$1000,$AH132),INDEX('Cronograma R. Normativo'!$M$5:$M$1000,$AH132),INDEX('Cronograma R. Financiero'!$M$5:$M$1000,$AH132),INDEX('Cronograma Asistente Técnico'!$M$5:$M$1000,$AH132))),0),IF(ISNUMBER($G132),1,IF(N($W132)&gt;0,AVERAGEIFS($X$5:$X$1000,$U$5:$U$1000,ROW(),$V$5:$V$1000,"Sub"),$X132))))</f>
        <v/>
      </c>
      <c r="N132" s="56">
        <f>IF(OR($M132="",$V132="Sub"),"",IF($M132&gt;=1,"Completado",IF($M132&gt;0,"En curso","Pendiente")))</f>
        <v/>
      </c>
      <c r="O132" s="56">
        <f>IF(NOT((COUNTA($B132:$D132)+COUNTA($G132:$L132)+COUNTA($Q132))&gt;0),"",IF(AND(AND($D132&lt;&gt;"",$V132="Macro"),N($AH132)&gt;0),CHOOSE(MATCH($D132,ListaPuestos,0),INDEX('Cronograma R. Operacional'!$O$5:$O$1000,$AH132),INDEX('Cronograma R. Normativo'!$O$5:$O$1000,$AH132),INDEX('Cronograma R. Financiero'!$O$5:$O$1000,$AH132),INDEX('Cronograma Asistente Técnico'!$O$5:$O$1000,$AH132))&amp;"",IF(ISNUMBER($G132),IF(AND(ISNUMBER($AN132),$G132&gt;$AN132),"Cumplida con "&amp;($G132-$AN132)&amp;IF($G132-$AN132=1," día"," días")&amp;" de retraso","Cumplida"),IF(N($M132)&gt;=1,"Cumplida",IF(NOT(ISNUMBER($AN132)),"Sin fecha límite",IF($AN132&lt;FechaRef,"Vencida hace "&amp;(FechaRef-$AN132)&amp;IF(FechaRef-$AN132=1," día"," días"),IF($AN132=FechaRef,"Vence hoy",IF($AN132-FechaRef&lt;=DiasAlerta,"Vence en "&amp;($AN132-FechaRef)&amp;IF($AN132-FechaRef=1," día"," días"),"En plazo"))))))))</f>
        <v/>
      </c>
      <c r="P132" s="62">
        <f>IF(NOT((COUNTA($B132:$D132)+COUNTA($G132:$L132)+COUNTA($Q132))&gt;0),"",IF($D132="","Propia",IF($V132&lt;&gt;"Macro","Solo se delegan macroactividades",IF(N($AH132)&gt;0,"✔ Recibida por "&amp;$D132,"⚠ "&amp;$D132&amp;" aún no la agrega"))))</f>
        <v/>
      </c>
      <c r="Q132" s="58" t="n"/>
      <c r="R132" s="63">
        <f>IF(NOT((COUNTA($B132:$D132)+COUNTA($G132:$L132)+COUNTA($Q132))&gt;0),"",IF((IF($C132="","Falta el nombre de la actividad"&amp;" · ","")&amp;IF(AND($V132="Sub",N($U132)=0),"Subactividad sin macroactividad arriba"&amp;" · ","")&amp;IF($AM132="","Sin fecha de inicio"&amp;" · ","")&amp;IF($AN132="","Sin fecha límite"&amp;" · ","")&amp;IF(AND(LEFT($C132,11)="[Jefatura] ",N($AL132)=0),"No se encuentra en la hoja de la jefatura (elíjala de nuevo en la lista)"&amp;" · ","")&amp;IF(OR(AND($E132&lt;&gt;"",NOT(ISNUMBER($E132))),AND($F132&lt;&gt;"",NOT(ISNUMBER($F132))),AND($G132&lt;&gt;"",NOT(ISNUMBER($G132)))),"Fecha no válida"&amp;" · ","")&amp;IF(AND(ISNUMBER($AM132),ISNUMBER($AN132),$AM132&gt;$AN132),"Inicio posterior a fecha límite"&amp;" · ","")&amp;IF(AND($V132="Macro",$H132&lt;&gt;"",OR(NOT(ISNUMBER($H132)),$H132&lt;0,$H132&gt;1)),"Peso fuera de rango"&amp;" · ","")&amp;IF(AND($V132="Sub",$H132&lt;&gt;""),"Las subactividades no llevan peso (valen igual dentro de su macroactividad)"&amp;" · ","")&amp;IF(AND(N($W132)&gt;0,COUNT($I132:$L132)&gt;0),"Con subactividades: deje vacías las semanas (se calculan solas)"&amp;" · ","")&amp;IF((COUNTIF($I132:$L132,"&gt;1")+COUNTIF($I132:$L132,"&lt;0")+COUNTA($I132:$L132)-COUNT($I132:$L132))&gt;0,"Avance fuera de rango 0-100%"&amp;" · ","")&amp;IF(OR(AND($J132&lt;&gt;"",$J132&lt;$I132),AND($K132&lt;&gt;"",$K132&lt;MAX($I132:$J132)),AND($L132&lt;&gt;"",$L132&lt;MAX($I132:$K132))),"Avance semanal decreciente"&amp;" · ","")&amp;IF(AND(ISNUMBER($AN132),$AN132&lt;FechaRef,IF($V132="Sub",N($X132),N($M132))&lt;1),"Vencida"&amp;" · ","")&amp;IF(AND(ObsObligatoria="Sí",ISNUMBER($AN132),$AN132&lt;FechaRef,IF($V132="Sub",N($X132),N($M132))&lt;1,$Q132=""),"Vencida sin observación"&amp;" · ",""))="","✔ OK","⚠ "&amp;LEFT(IF($C132="","Falta el nombre de la actividad"&amp;" · ","")&amp;IF(AND($V132="Sub",N($U132)=0),"Subactividad sin macroactividad arriba"&amp;" · ","")&amp;IF($AM132="","Sin fecha de inicio"&amp;" · ","")&amp;IF($AN132="","Sin fecha límite"&amp;" · ","")&amp;IF(AND(LEFT($C132,11)="[Jefatura] ",N($AL132)=0),"No se encuentra en la hoja de la jefatura (elíjala de nuevo en la lista)"&amp;" · ","")&amp;IF(OR(AND($E132&lt;&gt;"",NOT(ISNUMBER($E132))),AND($F132&lt;&gt;"",NOT(ISNUMBER($F132))),AND($G132&lt;&gt;"",NOT(ISNUMBER($G132)))),"Fecha no válida"&amp;" · ","")&amp;IF(AND(ISNUMBER($AM132),ISNUMBER($AN132),$AM132&gt;$AN132),"Inicio posterior a fecha límite"&amp;" · ","")&amp;IF(AND($V132="Macro",$H132&lt;&gt;"",OR(NOT(ISNUMBER($H132)),$H132&lt;0,$H132&gt;1)),"Peso fuera de rango"&amp;" · ","")&amp;IF(AND($V132="Sub",$H132&lt;&gt;""),"Las subactividades no llevan peso (valen igual dentro de su macroactividad)"&amp;" · ","")&amp;IF(AND(N($W132)&gt;0,COUNT($I132:$L132)&gt;0),"Con subactividades: deje vacías las semanas (se calculan solas)"&amp;" · ","")&amp;IF((COUNTIF($I132:$L132,"&gt;1")+COUNTIF($I132:$L132,"&lt;0")+COUNTA($I132:$L132)-COUNT($I132:$L132))&gt;0,"Avance fuera de rango 0-100%"&amp;" · ","")&amp;IF(OR(AND($J132&lt;&gt;"",$J132&lt;$I132),AND($K132&lt;&gt;"",$K132&lt;MAX($I132:$J132)),AND($L132&lt;&gt;"",$L132&lt;MAX($I132:$K132))),"Avance semanal decreciente"&amp;" · ","")&amp;IF(AND(ISNUMBER($AN132),$AN132&lt;FechaRef,IF($V132="Sub",N($X132),N($M132))&lt;1),"Vencida"&amp;" · ","")&amp;IF(AND(ObsObligatoria="Sí",ISNUMBER($AN132),$AN132&lt;FechaRef,IF($V132="Sub",N($X132),N($M132))&lt;1,$Q132=""),"Vencida sin observación"&amp;" · ",""),LEN(IF($C132="","Falta el nombre de la actividad"&amp;" · ","")&amp;IF(AND($V132="Sub",N($U132)=0),"Subactividad sin macroactividad arriba"&amp;" · ","")&amp;IF($AM132="","Sin fecha de inicio"&amp;" · ","")&amp;IF($AN132="","Sin fecha límite"&amp;" · ","")&amp;IF(AND(LEFT($C132,11)="[Jefatura] ",N($AL132)=0),"No se encuentra en la hoja de la jefatura (elíjala de nuevo en la lista)"&amp;" · ","")&amp;IF(OR(AND($E132&lt;&gt;"",NOT(ISNUMBER($E132))),AND($F132&lt;&gt;"",NOT(ISNUMBER($F132))),AND($G132&lt;&gt;"",NOT(ISNUMBER($G132)))),"Fecha no válida"&amp;" · ","")&amp;IF(AND(ISNUMBER($AM132),ISNUMBER($AN132),$AM132&gt;$AN132),"Inicio posterior a fecha límite"&amp;" · ","")&amp;IF(AND($V132="Macro",$H132&lt;&gt;"",OR(NOT(ISNUMBER($H132)),$H132&lt;0,$H132&gt;1)),"Peso fuera de rango"&amp;" · ","")&amp;IF(AND($V132="Sub",$H132&lt;&gt;""),"Las subactividades no llevan peso (valen igual dentro de su macroactividad)"&amp;" · ","")&amp;IF(AND(N($W132)&gt;0,COUNT($I132:$L132)&gt;0),"Con subactividades: deje vacías las semanas (se calculan solas)"&amp;" · ","")&amp;IF((COUNTIF($I132:$L132,"&gt;1")+COUNTIF($I132:$L132,"&lt;0")+COUNTA($I132:$L132)-COUNT($I132:$L132))&gt;0,"Avance fuera de rango 0-100%"&amp;" · ","")&amp;IF(OR(AND($J132&lt;&gt;"",$J132&lt;$I132),AND($K132&lt;&gt;"",$K132&lt;MAX($I132:$J132)),AND($L132&lt;&gt;"",$L132&lt;MAX($I132:$K132))),"Avance semanal decreciente"&amp;" · ","")&amp;IF(AND(ISNUMBER($AN132),$AN132&lt;FechaRef,IF($V132="Sub",N($X132),N($M132))&lt;1),"Vencida"&amp;" · ","")&amp;IF(AND(ObsObligatoria="Sí",ISNUMBER($AN132),$AN132&lt;FechaRef,IF($V132="Sub",N($X132),N($M132))&lt;1,$Q132=""),"Vencida sin observación"&amp;" · ",""))-3)))</f>
        <v/>
      </c>
      <c r="S132" s="64">
        <f>IF(NOT((COUNTA($B132:$D132)+COUNTA($G132:$L132)+COUNTA($Q132))&gt;0),"",IF(AND($V132="Sub",N($U132)&gt;0),IF(ISNUMBER(INDEX($AM$5:$AM$1000,$U132-4)),DATE(YEAR(INDEX($AM$5:$AM$1000,$U132-4)),MONTH(INDEX($AM$5:$AM$1000,$U132-4)),1),IF(ISNUMBER(INDEX($AN$5:$AN$1000,$U132-4)),DATE(YEAR(INDEX($AN$5:$AN$1000,$U132-4)),MONTH(INDEX($AN$5:$AN$1000,$U132-4)),1),MesCiclo)),IF(ISNUMBER($AM132),DATE(YEAR($AM132),MONTH($AM132),1),IF(ISNUMBER($AN132),DATE(YEAR($AN132),MONTH($AN132),1),MesCiclo))))</f>
        <v/>
      </c>
      <c r="T132" s="62">
        <f>IF(OR($S132="",$S132&lt;&gt;MesCiclo,$V132&lt;&gt;"Macro"),"",COUNTIFS($S$5:$S132,MesCiclo,$V$5:$V132,"Macro"))</f>
        <v/>
      </c>
      <c r="U132" s="62">
        <f>IF($V132="","",IF($V132="Macro",ROW(),IFERROR(LOOKUP(2,1/($V$5:$V132="Macro"),ROW($V$5:$V132)),0)))</f>
        <v/>
      </c>
      <c r="V132" s="62">
        <f>IF(NOT((COUNTA($B132:$D132)+COUNTA($G132:$L132)+COUNTA($Q132))&gt;0),"",IF($B132="Subactividad","Sub","Macro"))</f>
        <v/>
      </c>
      <c r="W132" s="62">
        <f>IF($V132="Macro",COUNTIFS($U$5:$U$1000,ROW(),$V$5:$V$1000,"Sub"),"")</f>
        <v/>
      </c>
      <c r="X132" s="62">
        <f>IF($V132="","",IF(ISNUMBER($G132),1,IFERROR(LOOKUP(2,1/($I132:$L132&lt;&gt;""),$I132:$L132),0)))</f>
        <v/>
      </c>
      <c r="Y132" s="62">
        <f>IF($V132="","",IF(AND(ISNUMBER($G132),$G132&lt;=IF($S132=MesCiclo,InicioCiclo,$S132+MOD(2-WEEKDAY($S132),7))+6),1,IF(ISNUMBER($I132),$I132,0)))</f>
        <v/>
      </c>
      <c r="Z132" s="62">
        <f>IF($V132="","",IF(AND(ISNUMBER($G132),$G132&lt;=IF($S132=MesCiclo,InicioCiclo,$S132+MOD(2-WEEKDAY($S132),7))+13),1,IF(ISNUMBER($J132),$J132,$Y132)))</f>
        <v/>
      </c>
      <c r="AA132" s="62">
        <f>IF($V132="","",IF(AND(ISNUMBER($G132),$G132&lt;=IF($S132=MesCiclo,InicioCiclo,$S132+MOD(2-WEEKDAY($S132),7))+20),1,IF(ISNUMBER($K132),$K132,$Z132)))</f>
        <v/>
      </c>
      <c r="AB132" s="62">
        <f>IF($V132="","",IF(AND(ISNUMBER($G132),$G132&lt;=IF($S132=MesCiclo,InicioCiclo,$S132+MOD(2-WEEKDAY($S132),7))+27),1,IF(ISNUMBER($L132),$L132,$AA132)))</f>
        <v/>
      </c>
      <c r="AC132" s="62">
        <f>IF($V132="","",IF(AND(ISNUMBER($G132),$G132&lt;=IF($S132=MesCiclo,InicioCiclo,$S132+MOD(2-WEEKDAY($S132),7))+6),1,IF(N($W132)&gt;0,AVERAGEIFS($Y$5:$Y$1000,$U$5:$U$1000,ROW(),$V$5:$V$1000,"Sub"),$Y132)))</f>
        <v/>
      </c>
      <c r="AD132" s="62">
        <f>IF($V132="","",IF(AND(ISNUMBER($G132),$G132&lt;=IF($S132=MesCiclo,InicioCiclo,$S132+MOD(2-WEEKDAY($S132),7))+13),1,IF(N($W132)&gt;0,AVERAGEIFS($Z$5:$Z$1000,$U$5:$U$1000,ROW(),$V$5:$V$1000,"Sub"),$Z132)))</f>
        <v/>
      </c>
      <c r="AE132" s="62">
        <f>IF($V132="","",IF(AND(ISNUMBER($G132),$G132&lt;=IF($S132=MesCiclo,InicioCiclo,$S132+MOD(2-WEEKDAY($S132),7))+20),1,IF(N($W132)&gt;0,AVERAGEIFS($AA$5:$AA$1000,$U$5:$U$1000,ROW(),$V$5:$V$1000,"Sub"),$AA132)))</f>
        <v/>
      </c>
      <c r="AF132" s="62">
        <f>IF($V132="","",IF(AND(ISNUMBER($G132),$G132&lt;=IF($S132=MesCiclo,InicioCiclo,$S132+MOD(2-WEEKDAY($S132),7))+27),1,IF(N($W132)&gt;0,AVERAGEIFS($AB$5:$AB$1000,$U$5:$U$1000,ROW(),$V$5:$V$1000,"Sub"),$AB132)))</f>
        <v/>
      </c>
      <c r="AG132" s="62">
        <f>IF($V132&lt;&gt;"Macro","",IF(COUNTIFS($S$5:$S$1000,$S132,$V$5:$V$1000,"Macro",$H$5:$H$1000,"&gt;0")=0,1/COUNTIFS($S$5:$S$1000,$S132,$V$5:$V$1000,"Macro"),IF(AND(ISNUMBER($H132),N($H132)&gt;0),$H132,SUMIFS($H$5:$H$1000,$S$5:$S$1000,$S132,$V$5:$V$1000,"Macro")/COUNTIFS($S$5:$S$1000,$S132,$V$5:$V$1000,"Macro",$H$5:$H$1000,"&gt;0"))/(COUNTIFS($S$5:$S$1000,$S132,$V$5:$V$1000,"Macro")*SUMIFS($H$5:$H$1000,$S$5:$S$1000,$S132,$V$5:$V$1000,"Macro")/COUNTIFS($S$5:$S$1000,$S132,$V$5:$V$1000,"Macro",$H$5:$H$1000,"&gt;0"))))</f>
        <v/>
      </c>
      <c r="AH132" s="62">
        <f>IF(NOT(AND($D132&lt;&gt;"",$V132="Macro")),"",IFERROR(CHOOSE(MATCH($D132,ListaPuestos,0),MATCH("[Jefatura] "&amp;$C132,'Cronograma R. Operacional'!$C$5:$C$1000,0),MATCH("[Jefatura] "&amp;$C132,'Cronograma R. Normativo'!$C$5:$C$1000,0),MATCH("[Jefatura] "&amp;$C132,'Cronograma R. Financiero'!$C$5:$C$1000,0),MATCH("[Jefatura] "&amp;$C132,'Cronograma Asistente Técnico'!$C$5:$C$1000,0)),0))</f>
        <v/>
      </c>
      <c r="AI132" s="62">
        <f>IF(AND(AND($D132&lt;&gt;"",$V132="Macro"),$S132=MesCiclo),COUNTIFS($D$5:$D132,$D132,$S$5:$S132,MesCiclo,$V$5:$V132,"Macro"),"")</f>
        <v/>
      </c>
      <c r="AJ132" s="62">
        <f>IF($AI132="","",$D132&amp;"|"&amp;$AI132)</f>
        <v/>
      </c>
      <c r="AK132" s="62">
        <f>IF(AND($D132&lt;&gt;"",$V132="Macro"),$D132&amp;"|"&amp;$C132,"")</f>
        <v/>
      </c>
      <c r="AL132" s="62">
        <f>""</f>
        <v/>
      </c>
      <c r="AM132" s="62">
        <f>IF(N($AL132)&gt;0,INDEX(rIni_ADM,$AL132),IF(ISNUMBER($E132),$E132,""))</f>
        <v/>
      </c>
      <c r="AN132" s="62">
        <f>IF(N($AL132)&gt;0,INDEX(rLim_ADM,$AL132),IF(ISNUMBER($F132),$F132,""))</f>
        <v/>
      </c>
    </row>
    <row r="133">
      <c r="A133" s="56">
        <f>IF(NOT((COUNTA($B133:$D133)+COUNTA($G133:$L133)+COUNTA($Q133))&gt;0),"",IF($V133="Macro",COUNTIFS($V$5:$V133,"Macro",$S$5:$S133,$S133),IF(N($U133)=0,"?",COUNTIFS(INDEX($V$5:$V$1000,1):INDEX($V$5:$V$1000,$U133-4),"Macro",INDEX($S$5:$S$1000,1):INDEX($S$5:$S$1000,$U133-4),INDEX($S$5:$S$1000,$U133-4))&amp;"."&amp;COUNTIFS($U$5:$U133,$U133,$V$5:$V133,"Sub"))))</f>
        <v/>
      </c>
      <c r="B133" s="57" t="n"/>
      <c r="C133" s="58" t="n"/>
      <c r="D133" s="58" t="n"/>
      <c r="E133" s="59" t="n"/>
      <c r="F133" s="59" t="n"/>
      <c r="G133" s="59" t="n"/>
      <c r="H133" s="60" t="n"/>
      <c r="I133" s="60" t="n"/>
      <c r="J133" s="60" t="n"/>
      <c r="K133" s="60" t="n"/>
      <c r="L133" s="60" t="n"/>
      <c r="M133" s="61">
        <f>IF(NOT((COUNTA($B133:$D133)+COUNTA($G133:$L133)+COUNTA($Q133))&gt;0),"",IF(AND($D133&lt;&gt;"",$V133="Macro"),IF(N($AH133)&gt;0,N(CHOOSE(MATCH($D133,ListaPuestos,0),INDEX('Cronograma R. Operacional'!$M$5:$M$1000,$AH133),INDEX('Cronograma R. Normativo'!$M$5:$M$1000,$AH133),INDEX('Cronograma R. Financiero'!$M$5:$M$1000,$AH133),INDEX('Cronograma Asistente Técnico'!$M$5:$M$1000,$AH133))),0),IF(ISNUMBER($G133),1,IF(N($W133)&gt;0,AVERAGEIFS($X$5:$X$1000,$U$5:$U$1000,ROW(),$V$5:$V$1000,"Sub"),$X133))))</f>
        <v/>
      </c>
      <c r="N133" s="56">
        <f>IF(OR($M133="",$V133="Sub"),"",IF($M133&gt;=1,"Completado",IF($M133&gt;0,"En curso","Pendiente")))</f>
        <v/>
      </c>
      <c r="O133" s="56">
        <f>IF(NOT((COUNTA($B133:$D133)+COUNTA($G133:$L133)+COUNTA($Q133))&gt;0),"",IF(AND(AND($D133&lt;&gt;"",$V133="Macro"),N($AH133)&gt;0),CHOOSE(MATCH($D133,ListaPuestos,0),INDEX('Cronograma R. Operacional'!$O$5:$O$1000,$AH133),INDEX('Cronograma R. Normativo'!$O$5:$O$1000,$AH133),INDEX('Cronograma R. Financiero'!$O$5:$O$1000,$AH133),INDEX('Cronograma Asistente Técnico'!$O$5:$O$1000,$AH133))&amp;"",IF(ISNUMBER($G133),IF(AND(ISNUMBER($AN133),$G133&gt;$AN133),"Cumplida con "&amp;($G133-$AN133)&amp;IF($G133-$AN133=1," día"," días")&amp;" de retraso","Cumplida"),IF(N($M133)&gt;=1,"Cumplida",IF(NOT(ISNUMBER($AN133)),"Sin fecha límite",IF($AN133&lt;FechaRef,"Vencida hace "&amp;(FechaRef-$AN133)&amp;IF(FechaRef-$AN133=1," día"," días"),IF($AN133=FechaRef,"Vence hoy",IF($AN133-FechaRef&lt;=DiasAlerta,"Vence en "&amp;($AN133-FechaRef)&amp;IF($AN133-FechaRef=1," día"," días"),"En plazo"))))))))</f>
        <v/>
      </c>
      <c r="P133" s="62">
        <f>IF(NOT((COUNTA($B133:$D133)+COUNTA($G133:$L133)+COUNTA($Q133))&gt;0),"",IF($D133="","Propia",IF($V133&lt;&gt;"Macro","Solo se delegan macroactividades",IF(N($AH133)&gt;0,"✔ Recibida por "&amp;$D133,"⚠ "&amp;$D133&amp;" aún no la agrega"))))</f>
        <v/>
      </c>
      <c r="Q133" s="58" t="n"/>
      <c r="R133" s="63">
        <f>IF(NOT((COUNTA($B133:$D133)+COUNTA($G133:$L133)+COUNTA($Q133))&gt;0),"",IF((IF($C133="","Falta el nombre de la actividad"&amp;" · ","")&amp;IF(AND($V133="Sub",N($U133)=0),"Subactividad sin macroactividad arriba"&amp;" · ","")&amp;IF($AM133="","Sin fecha de inicio"&amp;" · ","")&amp;IF($AN133="","Sin fecha límite"&amp;" · ","")&amp;IF(AND(LEFT($C133,11)="[Jefatura] ",N($AL133)=0),"No se encuentra en la hoja de la jefatura (elíjala de nuevo en la lista)"&amp;" · ","")&amp;IF(OR(AND($E133&lt;&gt;"",NOT(ISNUMBER($E133))),AND($F133&lt;&gt;"",NOT(ISNUMBER($F133))),AND($G133&lt;&gt;"",NOT(ISNUMBER($G133)))),"Fecha no válida"&amp;" · ","")&amp;IF(AND(ISNUMBER($AM133),ISNUMBER($AN133),$AM133&gt;$AN133),"Inicio posterior a fecha límite"&amp;" · ","")&amp;IF(AND($V133="Macro",$H133&lt;&gt;"",OR(NOT(ISNUMBER($H133)),$H133&lt;0,$H133&gt;1)),"Peso fuera de rango"&amp;" · ","")&amp;IF(AND($V133="Sub",$H133&lt;&gt;""),"Las subactividades no llevan peso (valen igual dentro de su macroactividad)"&amp;" · ","")&amp;IF(AND(N($W133)&gt;0,COUNT($I133:$L133)&gt;0),"Con subactividades: deje vacías las semanas (se calculan solas)"&amp;" · ","")&amp;IF((COUNTIF($I133:$L133,"&gt;1")+COUNTIF($I133:$L133,"&lt;0")+COUNTA($I133:$L133)-COUNT($I133:$L133))&gt;0,"Avance fuera de rango 0-100%"&amp;" · ","")&amp;IF(OR(AND($J133&lt;&gt;"",$J133&lt;$I133),AND($K133&lt;&gt;"",$K133&lt;MAX($I133:$J133)),AND($L133&lt;&gt;"",$L133&lt;MAX($I133:$K133))),"Avance semanal decreciente"&amp;" · ","")&amp;IF(AND(ISNUMBER($AN133),$AN133&lt;FechaRef,IF($V133="Sub",N($X133),N($M133))&lt;1),"Vencida"&amp;" · ","")&amp;IF(AND(ObsObligatoria="Sí",ISNUMBER($AN133),$AN133&lt;FechaRef,IF($V133="Sub",N($X133),N($M133))&lt;1,$Q133=""),"Vencida sin observación"&amp;" · ",""))="","✔ OK","⚠ "&amp;LEFT(IF($C133="","Falta el nombre de la actividad"&amp;" · ","")&amp;IF(AND($V133="Sub",N($U133)=0),"Subactividad sin macroactividad arriba"&amp;" · ","")&amp;IF($AM133="","Sin fecha de inicio"&amp;" · ","")&amp;IF($AN133="","Sin fecha límite"&amp;" · ","")&amp;IF(AND(LEFT($C133,11)="[Jefatura] ",N($AL133)=0),"No se encuentra en la hoja de la jefatura (elíjala de nuevo en la lista)"&amp;" · ","")&amp;IF(OR(AND($E133&lt;&gt;"",NOT(ISNUMBER($E133))),AND($F133&lt;&gt;"",NOT(ISNUMBER($F133))),AND($G133&lt;&gt;"",NOT(ISNUMBER($G133)))),"Fecha no válida"&amp;" · ","")&amp;IF(AND(ISNUMBER($AM133),ISNUMBER($AN133),$AM133&gt;$AN133),"Inicio posterior a fecha límite"&amp;" · ","")&amp;IF(AND($V133="Macro",$H133&lt;&gt;"",OR(NOT(ISNUMBER($H133)),$H133&lt;0,$H133&gt;1)),"Peso fuera de rango"&amp;" · ","")&amp;IF(AND($V133="Sub",$H133&lt;&gt;""),"Las subactividades no llevan peso (valen igual dentro de su macroactividad)"&amp;" · ","")&amp;IF(AND(N($W133)&gt;0,COUNT($I133:$L133)&gt;0),"Con subactividades: deje vacías las semanas (se calculan solas)"&amp;" · ","")&amp;IF((COUNTIF($I133:$L133,"&gt;1")+COUNTIF($I133:$L133,"&lt;0")+COUNTA($I133:$L133)-COUNT($I133:$L133))&gt;0,"Avance fuera de rango 0-100%"&amp;" · ","")&amp;IF(OR(AND($J133&lt;&gt;"",$J133&lt;$I133),AND($K133&lt;&gt;"",$K133&lt;MAX($I133:$J133)),AND($L133&lt;&gt;"",$L133&lt;MAX($I133:$K133))),"Avance semanal decreciente"&amp;" · ","")&amp;IF(AND(ISNUMBER($AN133),$AN133&lt;FechaRef,IF($V133="Sub",N($X133),N($M133))&lt;1),"Vencida"&amp;" · ","")&amp;IF(AND(ObsObligatoria="Sí",ISNUMBER($AN133),$AN133&lt;FechaRef,IF($V133="Sub",N($X133),N($M133))&lt;1,$Q133=""),"Vencida sin observación"&amp;" · ",""),LEN(IF($C133="","Falta el nombre de la actividad"&amp;" · ","")&amp;IF(AND($V133="Sub",N($U133)=0),"Subactividad sin macroactividad arriba"&amp;" · ","")&amp;IF($AM133="","Sin fecha de inicio"&amp;" · ","")&amp;IF($AN133="","Sin fecha límite"&amp;" · ","")&amp;IF(AND(LEFT($C133,11)="[Jefatura] ",N($AL133)=0),"No se encuentra en la hoja de la jefatura (elíjala de nuevo en la lista)"&amp;" · ","")&amp;IF(OR(AND($E133&lt;&gt;"",NOT(ISNUMBER($E133))),AND($F133&lt;&gt;"",NOT(ISNUMBER($F133))),AND($G133&lt;&gt;"",NOT(ISNUMBER($G133)))),"Fecha no válida"&amp;" · ","")&amp;IF(AND(ISNUMBER($AM133),ISNUMBER($AN133),$AM133&gt;$AN133),"Inicio posterior a fecha límite"&amp;" · ","")&amp;IF(AND($V133="Macro",$H133&lt;&gt;"",OR(NOT(ISNUMBER($H133)),$H133&lt;0,$H133&gt;1)),"Peso fuera de rango"&amp;" · ","")&amp;IF(AND($V133="Sub",$H133&lt;&gt;""),"Las subactividades no llevan peso (valen igual dentro de su macroactividad)"&amp;" · ","")&amp;IF(AND(N($W133)&gt;0,COUNT($I133:$L133)&gt;0),"Con subactividades: deje vacías las semanas (se calculan solas)"&amp;" · ","")&amp;IF((COUNTIF($I133:$L133,"&gt;1")+COUNTIF($I133:$L133,"&lt;0")+COUNTA($I133:$L133)-COUNT($I133:$L133))&gt;0,"Avance fuera de rango 0-100%"&amp;" · ","")&amp;IF(OR(AND($J133&lt;&gt;"",$J133&lt;$I133),AND($K133&lt;&gt;"",$K133&lt;MAX($I133:$J133)),AND($L133&lt;&gt;"",$L133&lt;MAX($I133:$K133))),"Avance semanal decreciente"&amp;" · ","")&amp;IF(AND(ISNUMBER($AN133),$AN133&lt;FechaRef,IF($V133="Sub",N($X133),N($M133))&lt;1),"Vencida"&amp;" · ","")&amp;IF(AND(ObsObligatoria="Sí",ISNUMBER($AN133),$AN133&lt;FechaRef,IF($V133="Sub",N($X133),N($M133))&lt;1,$Q133=""),"Vencida sin observación"&amp;" · ",""))-3)))</f>
        <v/>
      </c>
      <c r="S133" s="64">
        <f>IF(NOT((COUNTA($B133:$D133)+COUNTA($G133:$L133)+COUNTA($Q133))&gt;0),"",IF(AND($V133="Sub",N($U133)&gt;0),IF(ISNUMBER(INDEX($AM$5:$AM$1000,$U133-4)),DATE(YEAR(INDEX($AM$5:$AM$1000,$U133-4)),MONTH(INDEX($AM$5:$AM$1000,$U133-4)),1),IF(ISNUMBER(INDEX($AN$5:$AN$1000,$U133-4)),DATE(YEAR(INDEX($AN$5:$AN$1000,$U133-4)),MONTH(INDEX($AN$5:$AN$1000,$U133-4)),1),MesCiclo)),IF(ISNUMBER($AM133),DATE(YEAR($AM133),MONTH($AM133),1),IF(ISNUMBER($AN133),DATE(YEAR($AN133),MONTH($AN133),1),MesCiclo))))</f>
        <v/>
      </c>
      <c r="T133" s="62">
        <f>IF(OR($S133="",$S133&lt;&gt;MesCiclo,$V133&lt;&gt;"Macro"),"",COUNTIFS($S$5:$S133,MesCiclo,$V$5:$V133,"Macro"))</f>
        <v/>
      </c>
      <c r="U133" s="62">
        <f>IF($V133="","",IF($V133="Macro",ROW(),IFERROR(LOOKUP(2,1/($V$5:$V133="Macro"),ROW($V$5:$V133)),0)))</f>
        <v/>
      </c>
      <c r="V133" s="62">
        <f>IF(NOT((COUNTA($B133:$D133)+COUNTA($G133:$L133)+COUNTA($Q133))&gt;0),"",IF($B133="Subactividad","Sub","Macro"))</f>
        <v/>
      </c>
      <c r="W133" s="62">
        <f>IF($V133="Macro",COUNTIFS($U$5:$U$1000,ROW(),$V$5:$V$1000,"Sub"),"")</f>
        <v/>
      </c>
      <c r="X133" s="62">
        <f>IF($V133="","",IF(ISNUMBER($G133),1,IFERROR(LOOKUP(2,1/($I133:$L133&lt;&gt;""),$I133:$L133),0)))</f>
        <v/>
      </c>
      <c r="Y133" s="62">
        <f>IF($V133="","",IF(AND(ISNUMBER($G133),$G133&lt;=IF($S133=MesCiclo,InicioCiclo,$S133+MOD(2-WEEKDAY($S133),7))+6),1,IF(ISNUMBER($I133),$I133,0)))</f>
        <v/>
      </c>
      <c r="Z133" s="62">
        <f>IF($V133="","",IF(AND(ISNUMBER($G133),$G133&lt;=IF($S133=MesCiclo,InicioCiclo,$S133+MOD(2-WEEKDAY($S133),7))+13),1,IF(ISNUMBER($J133),$J133,$Y133)))</f>
        <v/>
      </c>
      <c r="AA133" s="62">
        <f>IF($V133="","",IF(AND(ISNUMBER($G133),$G133&lt;=IF($S133=MesCiclo,InicioCiclo,$S133+MOD(2-WEEKDAY($S133),7))+20),1,IF(ISNUMBER($K133),$K133,$Z133)))</f>
        <v/>
      </c>
      <c r="AB133" s="62">
        <f>IF($V133="","",IF(AND(ISNUMBER($G133),$G133&lt;=IF($S133=MesCiclo,InicioCiclo,$S133+MOD(2-WEEKDAY($S133),7))+27),1,IF(ISNUMBER($L133),$L133,$AA133)))</f>
        <v/>
      </c>
      <c r="AC133" s="62">
        <f>IF($V133="","",IF(AND(ISNUMBER($G133),$G133&lt;=IF($S133=MesCiclo,InicioCiclo,$S133+MOD(2-WEEKDAY($S133),7))+6),1,IF(N($W133)&gt;0,AVERAGEIFS($Y$5:$Y$1000,$U$5:$U$1000,ROW(),$V$5:$V$1000,"Sub"),$Y133)))</f>
        <v/>
      </c>
      <c r="AD133" s="62">
        <f>IF($V133="","",IF(AND(ISNUMBER($G133),$G133&lt;=IF($S133=MesCiclo,InicioCiclo,$S133+MOD(2-WEEKDAY($S133),7))+13),1,IF(N($W133)&gt;0,AVERAGEIFS($Z$5:$Z$1000,$U$5:$U$1000,ROW(),$V$5:$V$1000,"Sub"),$Z133)))</f>
        <v/>
      </c>
      <c r="AE133" s="62">
        <f>IF($V133="","",IF(AND(ISNUMBER($G133),$G133&lt;=IF($S133=MesCiclo,InicioCiclo,$S133+MOD(2-WEEKDAY($S133),7))+20),1,IF(N($W133)&gt;0,AVERAGEIFS($AA$5:$AA$1000,$U$5:$U$1000,ROW(),$V$5:$V$1000,"Sub"),$AA133)))</f>
        <v/>
      </c>
      <c r="AF133" s="62">
        <f>IF($V133="","",IF(AND(ISNUMBER($G133),$G133&lt;=IF($S133=MesCiclo,InicioCiclo,$S133+MOD(2-WEEKDAY($S133),7))+27),1,IF(N($W133)&gt;0,AVERAGEIFS($AB$5:$AB$1000,$U$5:$U$1000,ROW(),$V$5:$V$1000,"Sub"),$AB133)))</f>
        <v/>
      </c>
      <c r="AG133" s="62">
        <f>IF($V133&lt;&gt;"Macro","",IF(COUNTIFS($S$5:$S$1000,$S133,$V$5:$V$1000,"Macro",$H$5:$H$1000,"&gt;0")=0,1/COUNTIFS($S$5:$S$1000,$S133,$V$5:$V$1000,"Macro"),IF(AND(ISNUMBER($H133),N($H133)&gt;0),$H133,SUMIFS($H$5:$H$1000,$S$5:$S$1000,$S133,$V$5:$V$1000,"Macro")/COUNTIFS($S$5:$S$1000,$S133,$V$5:$V$1000,"Macro",$H$5:$H$1000,"&gt;0"))/(COUNTIFS($S$5:$S$1000,$S133,$V$5:$V$1000,"Macro")*SUMIFS($H$5:$H$1000,$S$5:$S$1000,$S133,$V$5:$V$1000,"Macro")/COUNTIFS($S$5:$S$1000,$S133,$V$5:$V$1000,"Macro",$H$5:$H$1000,"&gt;0"))))</f>
        <v/>
      </c>
      <c r="AH133" s="62">
        <f>IF(NOT(AND($D133&lt;&gt;"",$V133="Macro")),"",IFERROR(CHOOSE(MATCH($D133,ListaPuestos,0),MATCH("[Jefatura] "&amp;$C133,'Cronograma R. Operacional'!$C$5:$C$1000,0),MATCH("[Jefatura] "&amp;$C133,'Cronograma R. Normativo'!$C$5:$C$1000,0),MATCH("[Jefatura] "&amp;$C133,'Cronograma R. Financiero'!$C$5:$C$1000,0),MATCH("[Jefatura] "&amp;$C133,'Cronograma Asistente Técnico'!$C$5:$C$1000,0)),0))</f>
        <v/>
      </c>
      <c r="AI133" s="62">
        <f>IF(AND(AND($D133&lt;&gt;"",$V133="Macro"),$S133=MesCiclo),COUNTIFS($D$5:$D133,$D133,$S$5:$S133,MesCiclo,$V$5:$V133,"Macro"),"")</f>
        <v/>
      </c>
      <c r="AJ133" s="62">
        <f>IF($AI133="","",$D133&amp;"|"&amp;$AI133)</f>
        <v/>
      </c>
      <c r="AK133" s="62">
        <f>IF(AND($D133&lt;&gt;"",$V133="Macro"),$D133&amp;"|"&amp;$C133,"")</f>
        <v/>
      </c>
      <c r="AL133" s="62">
        <f>""</f>
        <v/>
      </c>
      <c r="AM133" s="62">
        <f>IF(N($AL133)&gt;0,INDEX(rIni_ADM,$AL133),IF(ISNUMBER($E133),$E133,""))</f>
        <v/>
      </c>
      <c r="AN133" s="62">
        <f>IF(N($AL133)&gt;0,INDEX(rLim_ADM,$AL133),IF(ISNUMBER($F133),$F133,""))</f>
        <v/>
      </c>
    </row>
    <row r="134">
      <c r="A134" s="56">
        <f>IF(NOT((COUNTA($B134:$D134)+COUNTA($G134:$L134)+COUNTA($Q134))&gt;0),"",IF($V134="Macro",COUNTIFS($V$5:$V134,"Macro",$S$5:$S134,$S134),IF(N($U134)=0,"?",COUNTIFS(INDEX($V$5:$V$1000,1):INDEX($V$5:$V$1000,$U134-4),"Macro",INDEX($S$5:$S$1000,1):INDEX($S$5:$S$1000,$U134-4),INDEX($S$5:$S$1000,$U134-4))&amp;"."&amp;COUNTIFS($U$5:$U134,$U134,$V$5:$V134,"Sub"))))</f>
        <v/>
      </c>
      <c r="B134" s="57" t="n"/>
      <c r="C134" s="58" t="n"/>
      <c r="D134" s="58" t="n"/>
      <c r="E134" s="59" t="n"/>
      <c r="F134" s="59" t="n"/>
      <c r="G134" s="59" t="n"/>
      <c r="H134" s="60" t="n"/>
      <c r="I134" s="60" t="n"/>
      <c r="J134" s="60" t="n"/>
      <c r="K134" s="60" t="n"/>
      <c r="L134" s="60" t="n"/>
      <c r="M134" s="61">
        <f>IF(NOT((COUNTA($B134:$D134)+COUNTA($G134:$L134)+COUNTA($Q134))&gt;0),"",IF(AND($D134&lt;&gt;"",$V134="Macro"),IF(N($AH134)&gt;0,N(CHOOSE(MATCH($D134,ListaPuestos,0),INDEX('Cronograma R. Operacional'!$M$5:$M$1000,$AH134),INDEX('Cronograma R. Normativo'!$M$5:$M$1000,$AH134),INDEX('Cronograma R. Financiero'!$M$5:$M$1000,$AH134),INDEX('Cronograma Asistente Técnico'!$M$5:$M$1000,$AH134))),0),IF(ISNUMBER($G134),1,IF(N($W134)&gt;0,AVERAGEIFS($X$5:$X$1000,$U$5:$U$1000,ROW(),$V$5:$V$1000,"Sub"),$X134))))</f>
        <v/>
      </c>
      <c r="N134" s="56">
        <f>IF(OR($M134="",$V134="Sub"),"",IF($M134&gt;=1,"Completado",IF($M134&gt;0,"En curso","Pendiente")))</f>
        <v/>
      </c>
      <c r="O134" s="56">
        <f>IF(NOT((COUNTA($B134:$D134)+COUNTA($G134:$L134)+COUNTA($Q134))&gt;0),"",IF(AND(AND($D134&lt;&gt;"",$V134="Macro"),N($AH134)&gt;0),CHOOSE(MATCH($D134,ListaPuestos,0),INDEX('Cronograma R. Operacional'!$O$5:$O$1000,$AH134),INDEX('Cronograma R. Normativo'!$O$5:$O$1000,$AH134),INDEX('Cronograma R. Financiero'!$O$5:$O$1000,$AH134),INDEX('Cronograma Asistente Técnico'!$O$5:$O$1000,$AH134))&amp;"",IF(ISNUMBER($G134),IF(AND(ISNUMBER($AN134),$G134&gt;$AN134),"Cumplida con "&amp;($G134-$AN134)&amp;IF($G134-$AN134=1," día"," días")&amp;" de retraso","Cumplida"),IF(N($M134)&gt;=1,"Cumplida",IF(NOT(ISNUMBER($AN134)),"Sin fecha límite",IF($AN134&lt;FechaRef,"Vencida hace "&amp;(FechaRef-$AN134)&amp;IF(FechaRef-$AN134=1," día"," días"),IF($AN134=FechaRef,"Vence hoy",IF($AN134-FechaRef&lt;=DiasAlerta,"Vence en "&amp;($AN134-FechaRef)&amp;IF($AN134-FechaRef=1," día"," días"),"En plazo"))))))))</f>
        <v/>
      </c>
      <c r="P134" s="62">
        <f>IF(NOT((COUNTA($B134:$D134)+COUNTA($G134:$L134)+COUNTA($Q134))&gt;0),"",IF($D134="","Propia",IF($V134&lt;&gt;"Macro","Solo se delegan macroactividades",IF(N($AH134)&gt;0,"✔ Recibida por "&amp;$D134,"⚠ "&amp;$D134&amp;" aún no la agrega"))))</f>
        <v/>
      </c>
      <c r="Q134" s="58" t="n"/>
      <c r="R134" s="63">
        <f>IF(NOT((COUNTA($B134:$D134)+COUNTA($G134:$L134)+COUNTA($Q134))&gt;0),"",IF((IF($C134="","Falta el nombre de la actividad"&amp;" · ","")&amp;IF(AND($V134="Sub",N($U134)=0),"Subactividad sin macroactividad arriba"&amp;" · ","")&amp;IF($AM134="","Sin fecha de inicio"&amp;" · ","")&amp;IF($AN134="","Sin fecha límite"&amp;" · ","")&amp;IF(AND(LEFT($C134,11)="[Jefatura] ",N($AL134)=0),"No se encuentra en la hoja de la jefatura (elíjala de nuevo en la lista)"&amp;" · ","")&amp;IF(OR(AND($E134&lt;&gt;"",NOT(ISNUMBER($E134))),AND($F134&lt;&gt;"",NOT(ISNUMBER($F134))),AND($G134&lt;&gt;"",NOT(ISNUMBER($G134)))),"Fecha no válida"&amp;" · ","")&amp;IF(AND(ISNUMBER($AM134),ISNUMBER($AN134),$AM134&gt;$AN134),"Inicio posterior a fecha límite"&amp;" · ","")&amp;IF(AND($V134="Macro",$H134&lt;&gt;"",OR(NOT(ISNUMBER($H134)),$H134&lt;0,$H134&gt;1)),"Peso fuera de rango"&amp;" · ","")&amp;IF(AND($V134="Sub",$H134&lt;&gt;""),"Las subactividades no llevan peso (valen igual dentro de su macroactividad)"&amp;" · ","")&amp;IF(AND(N($W134)&gt;0,COUNT($I134:$L134)&gt;0),"Con subactividades: deje vacías las semanas (se calculan solas)"&amp;" · ","")&amp;IF((COUNTIF($I134:$L134,"&gt;1")+COUNTIF($I134:$L134,"&lt;0")+COUNTA($I134:$L134)-COUNT($I134:$L134))&gt;0,"Avance fuera de rango 0-100%"&amp;" · ","")&amp;IF(OR(AND($J134&lt;&gt;"",$J134&lt;$I134),AND($K134&lt;&gt;"",$K134&lt;MAX($I134:$J134)),AND($L134&lt;&gt;"",$L134&lt;MAX($I134:$K134))),"Avance semanal decreciente"&amp;" · ","")&amp;IF(AND(ISNUMBER($AN134),$AN134&lt;FechaRef,IF($V134="Sub",N($X134),N($M134))&lt;1),"Vencida"&amp;" · ","")&amp;IF(AND(ObsObligatoria="Sí",ISNUMBER($AN134),$AN134&lt;FechaRef,IF($V134="Sub",N($X134),N($M134))&lt;1,$Q134=""),"Vencida sin observación"&amp;" · ",""))="","✔ OK","⚠ "&amp;LEFT(IF($C134="","Falta el nombre de la actividad"&amp;" · ","")&amp;IF(AND($V134="Sub",N($U134)=0),"Subactividad sin macroactividad arriba"&amp;" · ","")&amp;IF($AM134="","Sin fecha de inicio"&amp;" · ","")&amp;IF($AN134="","Sin fecha límite"&amp;" · ","")&amp;IF(AND(LEFT($C134,11)="[Jefatura] ",N($AL134)=0),"No se encuentra en la hoja de la jefatura (elíjala de nuevo en la lista)"&amp;" · ","")&amp;IF(OR(AND($E134&lt;&gt;"",NOT(ISNUMBER($E134))),AND($F134&lt;&gt;"",NOT(ISNUMBER($F134))),AND($G134&lt;&gt;"",NOT(ISNUMBER($G134)))),"Fecha no válida"&amp;" · ","")&amp;IF(AND(ISNUMBER($AM134),ISNUMBER($AN134),$AM134&gt;$AN134),"Inicio posterior a fecha límite"&amp;" · ","")&amp;IF(AND($V134="Macro",$H134&lt;&gt;"",OR(NOT(ISNUMBER($H134)),$H134&lt;0,$H134&gt;1)),"Peso fuera de rango"&amp;" · ","")&amp;IF(AND($V134="Sub",$H134&lt;&gt;""),"Las subactividades no llevan peso (valen igual dentro de su macroactividad)"&amp;" · ","")&amp;IF(AND(N($W134)&gt;0,COUNT($I134:$L134)&gt;0),"Con subactividades: deje vacías las semanas (se calculan solas)"&amp;" · ","")&amp;IF((COUNTIF($I134:$L134,"&gt;1")+COUNTIF($I134:$L134,"&lt;0")+COUNTA($I134:$L134)-COUNT($I134:$L134))&gt;0,"Avance fuera de rango 0-100%"&amp;" · ","")&amp;IF(OR(AND($J134&lt;&gt;"",$J134&lt;$I134),AND($K134&lt;&gt;"",$K134&lt;MAX($I134:$J134)),AND($L134&lt;&gt;"",$L134&lt;MAX($I134:$K134))),"Avance semanal decreciente"&amp;" · ","")&amp;IF(AND(ISNUMBER($AN134),$AN134&lt;FechaRef,IF($V134="Sub",N($X134),N($M134))&lt;1),"Vencida"&amp;" · ","")&amp;IF(AND(ObsObligatoria="Sí",ISNUMBER($AN134),$AN134&lt;FechaRef,IF($V134="Sub",N($X134),N($M134))&lt;1,$Q134=""),"Vencida sin observación"&amp;" · ",""),LEN(IF($C134="","Falta el nombre de la actividad"&amp;" · ","")&amp;IF(AND($V134="Sub",N($U134)=0),"Subactividad sin macroactividad arriba"&amp;" · ","")&amp;IF($AM134="","Sin fecha de inicio"&amp;" · ","")&amp;IF($AN134="","Sin fecha límite"&amp;" · ","")&amp;IF(AND(LEFT($C134,11)="[Jefatura] ",N($AL134)=0),"No se encuentra en la hoja de la jefatura (elíjala de nuevo en la lista)"&amp;" · ","")&amp;IF(OR(AND($E134&lt;&gt;"",NOT(ISNUMBER($E134))),AND($F134&lt;&gt;"",NOT(ISNUMBER($F134))),AND($G134&lt;&gt;"",NOT(ISNUMBER($G134)))),"Fecha no válida"&amp;" · ","")&amp;IF(AND(ISNUMBER($AM134),ISNUMBER($AN134),$AM134&gt;$AN134),"Inicio posterior a fecha límite"&amp;" · ","")&amp;IF(AND($V134="Macro",$H134&lt;&gt;"",OR(NOT(ISNUMBER($H134)),$H134&lt;0,$H134&gt;1)),"Peso fuera de rango"&amp;" · ","")&amp;IF(AND($V134="Sub",$H134&lt;&gt;""),"Las subactividades no llevan peso (valen igual dentro de su macroactividad)"&amp;" · ","")&amp;IF(AND(N($W134)&gt;0,COUNT($I134:$L134)&gt;0),"Con subactividades: deje vacías las semanas (se calculan solas)"&amp;" · ","")&amp;IF((COUNTIF($I134:$L134,"&gt;1")+COUNTIF($I134:$L134,"&lt;0")+COUNTA($I134:$L134)-COUNT($I134:$L134))&gt;0,"Avance fuera de rango 0-100%"&amp;" · ","")&amp;IF(OR(AND($J134&lt;&gt;"",$J134&lt;$I134),AND($K134&lt;&gt;"",$K134&lt;MAX($I134:$J134)),AND($L134&lt;&gt;"",$L134&lt;MAX($I134:$K134))),"Avance semanal decreciente"&amp;" · ","")&amp;IF(AND(ISNUMBER($AN134),$AN134&lt;FechaRef,IF($V134="Sub",N($X134),N($M134))&lt;1),"Vencida"&amp;" · ","")&amp;IF(AND(ObsObligatoria="Sí",ISNUMBER($AN134),$AN134&lt;FechaRef,IF($V134="Sub",N($X134),N($M134))&lt;1,$Q134=""),"Vencida sin observación"&amp;" · ",""))-3)))</f>
        <v/>
      </c>
      <c r="S134" s="64">
        <f>IF(NOT((COUNTA($B134:$D134)+COUNTA($G134:$L134)+COUNTA($Q134))&gt;0),"",IF(AND($V134="Sub",N($U134)&gt;0),IF(ISNUMBER(INDEX($AM$5:$AM$1000,$U134-4)),DATE(YEAR(INDEX($AM$5:$AM$1000,$U134-4)),MONTH(INDEX($AM$5:$AM$1000,$U134-4)),1),IF(ISNUMBER(INDEX($AN$5:$AN$1000,$U134-4)),DATE(YEAR(INDEX($AN$5:$AN$1000,$U134-4)),MONTH(INDEX($AN$5:$AN$1000,$U134-4)),1),MesCiclo)),IF(ISNUMBER($AM134),DATE(YEAR($AM134),MONTH($AM134),1),IF(ISNUMBER($AN134),DATE(YEAR($AN134),MONTH($AN134),1),MesCiclo))))</f>
        <v/>
      </c>
      <c r="T134" s="62">
        <f>IF(OR($S134="",$S134&lt;&gt;MesCiclo,$V134&lt;&gt;"Macro"),"",COUNTIFS($S$5:$S134,MesCiclo,$V$5:$V134,"Macro"))</f>
        <v/>
      </c>
      <c r="U134" s="62">
        <f>IF($V134="","",IF($V134="Macro",ROW(),IFERROR(LOOKUP(2,1/($V$5:$V134="Macro"),ROW($V$5:$V134)),0)))</f>
        <v/>
      </c>
      <c r="V134" s="62">
        <f>IF(NOT((COUNTA($B134:$D134)+COUNTA($G134:$L134)+COUNTA($Q134))&gt;0),"",IF($B134="Subactividad","Sub","Macro"))</f>
        <v/>
      </c>
      <c r="W134" s="62">
        <f>IF($V134="Macro",COUNTIFS($U$5:$U$1000,ROW(),$V$5:$V$1000,"Sub"),"")</f>
        <v/>
      </c>
      <c r="X134" s="62">
        <f>IF($V134="","",IF(ISNUMBER($G134),1,IFERROR(LOOKUP(2,1/($I134:$L134&lt;&gt;""),$I134:$L134),0)))</f>
        <v/>
      </c>
      <c r="Y134" s="62">
        <f>IF($V134="","",IF(AND(ISNUMBER($G134),$G134&lt;=IF($S134=MesCiclo,InicioCiclo,$S134+MOD(2-WEEKDAY($S134),7))+6),1,IF(ISNUMBER($I134),$I134,0)))</f>
        <v/>
      </c>
      <c r="Z134" s="62">
        <f>IF($V134="","",IF(AND(ISNUMBER($G134),$G134&lt;=IF($S134=MesCiclo,InicioCiclo,$S134+MOD(2-WEEKDAY($S134),7))+13),1,IF(ISNUMBER($J134),$J134,$Y134)))</f>
        <v/>
      </c>
      <c r="AA134" s="62">
        <f>IF($V134="","",IF(AND(ISNUMBER($G134),$G134&lt;=IF($S134=MesCiclo,InicioCiclo,$S134+MOD(2-WEEKDAY($S134),7))+20),1,IF(ISNUMBER($K134),$K134,$Z134)))</f>
        <v/>
      </c>
      <c r="AB134" s="62">
        <f>IF($V134="","",IF(AND(ISNUMBER($G134),$G134&lt;=IF($S134=MesCiclo,InicioCiclo,$S134+MOD(2-WEEKDAY($S134),7))+27),1,IF(ISNUMBER($L134),$L134,$AA134)))</f>
        <v/>
      </c>
      <c r="AC134" s="62">
        <f>IF($V134="","",IF(AND(ISNUMBER($G134),$G134&lt;=IF($S134=MesCiclo,InicioCiclo,$S134+MOD(2-WEEKDAY($S134),7))+6),1,IF(N($W134)&gt;0,AVERAGEIFS($Y$5:$Y$1000,$U$5:$U$1000,ROW(),$V$5:$V$1000,"Sub"),$Y134)))</f>
        <v/>
      </c>
      <c r="AD134" s="62">
        <f>IF($V134="","",IF(AND(ISNUMBER($G134),$G134&lt;=IF($S134=MesCiclo,InicioCiclo,$S134+MOD(2-WEEKDAY($S134),7))+13),1,IF(N($W134)&gt;0,AVERAGEIFS($Z$5:$Z$1000,$U$5:$U$1000,ROW(),$V$5:$V$1000,"Sub"),$Z134)))</f>
        <v/>
      </c>
      <c r="AE134" s="62">
        <f>IF($V134="","",IF(AND(ISNUMBER($G134),$G134&lt;=IF($S134=MesCiclo,InicioCiclo,$S134+MOD(2-WEEKDAY($S134),7))+20),1,IF(N($W134)&gt;0,AVERAGEIFS($AA$5:$AA$1000,$U$5:$U$1000,ROW(),$V$5:$V$1000,"Sub"),$AA134)))</f>
        <v/>
      </c>
      <c r="AF134" s="62">
        <f>IF($V134="","",IF(AND(ISNUMBER($G134),$G134&lt;=IF($S134=MesCiclo,InicioCiclo,$S134+MOD(2-WEEKDAY($S134),7))+27),1,IF(N($W134)&gt;0,AVERAGEIFS($AB$5:$AB$1000,$U$5:$U$1000,ROW(),$V$5:$V$1000,"Sub"),$AB134)))</f>
        <v/>
      </c>
      <c r="AG134" s="62">
        <f>IF($V134&lt;&gt;"Macro","",IF(COUNTIFS($S$5:$S$1000,$S134,$V$5:$V$1000,"Macro",$H$5:$H$1000,"&gt;0")=0,1/COUNTIFS($S$5:$S$1000,$S134,$V$5:$V$1000,"Macro"),IF(AND(ISNUMBER($H134),N($H134)&gt;0),$H134,SUMIFS($H$5:$H$1000,$S$5:$S$1000,$S134,$V$5:$V$1000,"Macro")/COUNTIFS($S$5:$S$1000,$S134,$V$5:$V$1000,"Macro",$H$5:$H$1000,"&gt;0"))/(COUNTIFS($S$5:$S$1000,$S134,$V$5:$V$1000,"Macro")*SUMIFS($H$5:$H$1000,$S$5:$S$1000,$S134,$V$5:$V$1000,"Macro")/COUNTIFS($S$5:$S$1000,$S134,$V$5:$V$1000,"Macro",$H$5:$H$1000,"&gt;0"))))</f>
        <v/>
      </c>
      <c r="AH134" s="62">
        <f>IF(NOT(AND($D134&lt;&gt;"",$V134="Macro")),"",IFERROR(CHOOSE(MATCH($D134,ListaPuestos,0),MATCH("[Jefatura] "&amp;$C134,'Cronograma R. Operacional'!$C$5:$C$1000,0),MATCH("[Jefatura] "&amp;$C134,'Cronograma R. Normativo'!$C$5:$C$1000,0),MATCH("[Jefatura] "&amp;$C134,'Cronograma R. Financiero'!$C$5:$C$1000,0),MATCH("[Jefatura] "&amp;$C134,'Cronograma Asistente Técnico'!$C$5:$C$1000,0)),0))</f>
        <v/>
      </c>
      <c r="AI134" s="62">
        <f>IF(AND(AND($D134&lt;&gt;"",$V134="Macro"),$S134=MesCiclo),COUNTIFS($D$5:$D134,$D134,$S$5:$S134,MesCiclo,$V$5:$V134,"Macro"),"")</f>
        <v/>
      </c>
      <c r="AJ134" s="62">
        <f>IF($AI134="","",$D134&amp;"|"&amp;$AI134)</f>
        <v/>
      </c>
      <c r="AK134" s="62">
        <f>IF(AND($D134&lt;&gt;"",$V134="Macro"),$D134&amp;"|"&amp;$C134,"")</f>
        <v/>
      </c>
      <c r="AL134" s="62">
        <f>""</f>
        <v/>
      </c>
      <c r="AM134" s="62">
        <f>IF(N($AL134)&gt;0,INDEX(rIni_ADM,$AL134),IF(ISNUMBER($E134),$E134,""))</f>
        <v/>
      </c>
      <c r="AN134" s="62">
        <f>IF(N($AL134)&gt;0,INDEX(rLim_ADM,$AL134),IF(ISNUMBER($F134),$F134,""))</f>
        <v/>
      </c>
    </row>
    <row r="135">
      <c r="A135" s="56">
        <f>IF(NOT((COUNTA($B135:$D135)+COUNTA($G135:$L135)+COUNTA($Q135))&gt;0),"",IF($V135="Macro",COUNTIFS($V$5:$V135,"Macro",$S$5:$S135,$S135),IF(N($U135)=0,"?",COUNTIFS(INDEX($V$5:$V$1000,1):INDEX($V$5:$V$1000,$U135-4),"Macro",INDEX($S$5:$S$1000,1):INDEX($S$5:$S$1000,$U135-4),INDEX($S$5:$S$1000,$U135-4))&amp;"."&amp;COUNTIFS($U$5:$U135,$U135,$V$5:$V135,"Sub"))))</f>
        <v/>
      </c>
      <c r="B135" s="57" t="n"/>
      <c r="C135" s="58" t="n"/>
      <c r="D135" s="58" t="n"/>
      <c r="E135" s="59" t="n"/>
      <c r="F135" s="59" t="n"/>
      <c r="G135" s="59" t="n"/>
      <c r="H135" s="60" t="n"/>
      <c r="I135" s="60" t="n"/>
      <c r="J135" s="60" t="n"/>
      <c r="K135" s="60" t="n"/>
      <c r="L135" s="60" t="n"/>
      <c r="M135" s="61">
        <f>IF(NOT((COUNTA($B135:$D135)+COUNTA($G135:$L135)+COUNTA($Q135))&gt;0),"",IF(AND($D135&lt;&gt;"",$V135="Macro"),IF(N($AH135)&gt;0,N(CHOOSE(MATCH($D135,ListaPuestos,0),INDEX('Cronograma R. Operacional'!$M$5:$M$1000,$AH135),INDEX('Cronograma R. Normativo'!$M$5:$M$1000,$AH135),INDEX('Cronograma R. Financiero'!$M$5:$M$1000,$AH135),INDEX('Cronograma Asistente Técnico'!$M$5:$M$1000,$AH135))),0),IF(ISNUMBER($G135),1,IF(N($W135)&gt;0,AVERAGEIFS($X$5:$X$1000,$U$5:$U$1000,ROW(),$V$5:$V$1000,"Sub"),$X135))))</f>
        <v/>
      </c>
      <c r="N135" s="56">
        <f>IF(OR($M135="",$V135="Sub"),"",IF($M135&gt;=1,"Completado",IF($M135&gt;0,"En curso","Pendiente")))</f>
        <v/>
      </c>
      <c r="O135" s="56">
        <f>IF(NOT((COUNTA($B135:$D135)+COUNTA($G135:$L135)+COUNTA($Q135))&gt;0),"",IF(AND(AND($D135&lt;&gt;"",$V135="Macro"),N($AH135)&gt;0),CHOOSE(MATCH($D135,ListaPuestos,0),INDEX('Cronograma R. Operacional'!$O$5:$O$1000,$AH135),INDEX('Cronograma R. Normativo'!$O$5:$O$1000,$AH135),INDEX('Cronograma R. Financiero'!$O$5:$O$1000,$AH135),INDEX('Cronograma Asistente Técnico'!$O$5:$O$1000,$AH135))&amp;"",IF(ISNUMBER($G135),IF(AND(ISNUMBER($AN135),$G135&gt;$AN135),"Cumplida con "&amp;($G135-$AN135)&amp;IF($G135-$AN135=1," día"," días")&amp;" de retraso","Cumplida"),IF(N($M135)&gt;=1,"Cumplida",IF(NOT(ISNUMBER($AN135)),"Sin fecha límite",IF($AN135&lt;FechaRef,"Vencida hace "&amp;(FechaRef-$AN135)&amp;IF(FechaRef-$AN135=1," día"," días"),IF($AN135=FechaRef,"Vence hoy",IF($AN135-FechaRef&lt;=DiasAlerta,"Vence en "&amp;($AN135-FechaRef)&amp;IF($AN135-FechaRef=1," día"," días"),"En plazo"))))))))</f>
        <v/>
      </c>
      <c r="P135" s="62">
        <f>IF(NOT((COUNTA($B135:$D135)+COUNTA($G135:$L135)+COUNTA($Q135))&gt;0),"",IF($D135="","Propia",IF($V135&lt;&gt;"Macro","Solo se delegan macroactividades",IF(N($AH135)&gt;0,"✔ Recibida por "&amp;$D135,"⚠ "&amp;$D135&amp;" aún no la agrega"))))</f>
        <v/>
      </c>
      <c r="Q135" s="58" t="n"/>
      <c r="R135" s="63">
        <f>IF(NOT((COUNTA($B135:$D135)+COUNTA($G135:$L135)+COUNTA($Q135))&gt;0),"",IF((IF($C135="","Falta el nombre de la actividad"&amp;" · ","")&amp;IF(AND($V135="Sub",N($U135)=0),"Subactividad sin macroactividad arriba"&amp;" · ","")&amp;IF($AM135="","Sin fecha de inicio"&amp;" · ","")&amp;IF($AN135="","Sin fecha límite"&amp;" · ","")&amp;IF(AND(LEFT($C135,11)="[Jefatura] ",N($AL135)=0),"No se encuentra en la hoja de la jefatura (elíjala de nuevo en la lista)"&amp;" · ","")&amp;IF(OR(AND($E135&lt;&gt;"",NOT(ISNUMBER($E135))),AND($F135&lt;&gt;"",NOT(ISNUMBER($F135))),AND($G135&lt;&gt;"",NOT(ISNUMBER($G135)))),"Fecha no válida"&amp;" · ","")&amp;IF(AND(ISNUMBER($AM135),ISNUMBER($AN135),$AM135&gt;$AN135),"Inicio posterior a fecha límite"&amp;" · ","")&amp;IF(AND($V135="Macro",$H135&lt;&gt;"",OR(NOT(ISNUMBER($H135)),$H135&lt;0,$H135&gt;1)),"Peso fuera de rango"&amp;" · ","")&amp;IF(AND($V135="Sub",$H135&lt;&gt;""),"Las subactividades no llevan peso (valen igual dentro de su macroactividad)"&amp;" · ","")&amp;IF(AND(N($W135)&gt;0,COUNT($I135:$L135)&gt;0),"Con subactividades: deje vacías las semanas (se calculan solas)"&amp;" · ","")&amp;IF((COUNTIF($I135:$L135,"&gt;1")+COUNTIF($I135:$L135,"&lt;0")+COUNTA($I135:$L135)-COUNT($I135:$L135))&gt;0,"Avance fuera de rango 0-100%"&amp;" · ","")&amp;IF(OR(AND($J135&lt;&gt;"",$J135&lt;$I135),AND($K135&lt;&gt;"",$K135&lt;MAX($I135:$J135)),AND($L135&lt;&gt;"",$L135&lt;MAX($I135:$K135))),"Avance semanal decreciente"&amp;" · ","")&amp;IF(AND(ISNUMBER($AN135),$AN135&lt;FechaRef,IF($V135="Sub",N($X135),N($M135))&lt;1),"Vencida"&amp;" · ","")&amp;IF(AND(ObsObligatoria="Sí",ISNUMBER($AN135),$AN135&lt;FechaRef,IF($V135="Sub",N($X135),N($M135))&lt;1,$Q135=""),"Vencida sin observación"&amp;" · ",""))="","✔ OK","⚠ "&amp;LEFT(IF($C135="","Falta el nombre de la actividad"&amp;" · ","")&amp;IF(AND($V135="Sub",N($U135)=0),"Subactividad sin macroactividad arriba"&amp;" · ","")&amp;IF($AM135="","Sin fecha de inicio"&amp;" · ","")&amp;IF($AN135="","Sin fecha límite"&amp;" · ","")&amp;IF(AND(LEFT($C135,11)="[Jefatura] ",N($AL135)=0),"No se encuentra en la hoja de la jefatura (elíjala de nuevo en la lista)"&amp;" · ","")&amp;IF(OR(AND($E135&lt;&gt;"",NOT(ISNUMBER($E135))),AND($F135&lt;&gt;"",NOT(ISNUMBER($F135))),AND($G135&lt;&gt;"",NOT(ISNUMBER($G135)))),"Fecha no válida"&amp;" · ","")&amp;IF(AND(ISNUMBER($AM135),ISNUMBER($AN135),$AM135&gt;$AN135),"Inicio posterior a fecha límite"&amp;" · ","")&amp;IF(AND($V135="Macro",$H135&lt;&gt;"",OR(NOT(ISNUMBER($H135)),$H135&lt;0,$H135&gt;1)),"Peso fuera de rango"&amp;" · ","")&amp;IF(AND($V135="Sub",$H135&lt;&gt;""),"Las subactividades no llevan peso (valen igual dentro de su macroactividad)"&amp;" · ","")&amp;IF(AND(N($W135)&gt;0,COUNT($I135:$L135)&gt;0),"Con subactividades: deje vacías las semanas (se calculan solas)"&amp;" · ","")&amp;IF((COUNTIF($I135:$L135,"&gt;1")+COUNTIF($I135:$L135,"&lt;0")+COUNTA($I135:$L135)-COUNT($I135:$L135))&gt;0,"Avance fuera de rango 0-100%"&amp;" · ","")&amp;IF(OR(AND($J135&lt;&gt;"",$J135&lt;$I135),AND($K135&lt;&gt;"",$K135&lt;MAX($I135:$J135)),AND($L135&lt;&gt;"",$L135&lt;MAX($I135:$K135))),"Avance semanal decreciente"&amp;" · ","")&amp;IF(AND(ISNUMBER($AN135),$AN135&lt;FechaRef,IF($V135="Sub",N($X135),N($M135))&lt;1),"Vencida"&amp;" · ","")&amp;IF(AND(ObsObligatoria="Sí",ISNUMBER($AN135),$AN135&lt;FechaRef,IF($V135="Sub",N($X135),N($M135))&lt;1,$Q135=""),"Vencida sin observación"&amp;" · ",""),LEN(IF($C135="","Falta el nombre de la actividad"&amp;" · ","")&amp;IF(AND($V135="Sub",N($U135)=0),"Subactividad sin macroactividad arriba"&amp;" · ","")&amp;IF($AM135="","Sin fecha de inicio"&amp;" · ","")&amp;IF($AN135="","Sin fecha límite"&amp;" · ","")&amp;IF(AND(LEFT($C135,11)="[Jefatura] ",N($AL135)=0),"No se encuentra en la hoja de la jefatura (elíjala de nuevo en la lista)"&amp;" · ","")&amp;IF(OR(AND($E135&lt;&gt;"",NOT(ISNUMBER($E135))),AND($F135&lt;&gt;"",NOT(ISNUMBER($F135))),AND($G135&lt;&gt;"",NOT(ISNUMBER($G135)))),"Fecha no válida"&amp;" · ","")&amp;IF(AND(ISNUMBER($AM135),ISNUMBER($AN135),$AM135&gt;$AN135),"Inicio posterior a fecha límite"&amp;" · ","")&amp;IF(AND($V135="Macro",$H135&lt;&gt;"",OR(NOT(ISNUMBER($H135)),$H135&lt;0,$H135&gt;1)),"Peso fuera de rango"&amp;" · ","")&amp;IF(AND($V135="Sub",$H135&lt;&gt;""),"Las subactividades no llevan peso (valen igual dentro de su macroactividad)"&amp;" · ","")&amp;IF(AND(N($W135)&gt;0,COUNT($I135:$L135)&gt;0),"Con subactividades: deje vacías las semanas (se calculan solas)"&amp;" · ","")&amp;IF((COUNTIF($I135:$L135,"&gt;1")+COUNTIF($I135:$L135,"&lt;0")+COUNTA($I135:$L135)-COUNT($I135:$L135))&gt;0,"Avance fuera de rango 0-100%"&amp;" · ","")&amp;IF(OR(AND($J135&lt;&gt;"",$J135&lt;$I135),AND($K135&lt;&gt;"",$K135&lt;MAX($I135:$J135)),AND($L135&lt;&gt;"",$L135&lt;MAX($I135:$K135))),"Avance semanal decreciente"&amp;" · ","")&amp;IF(AND(ISNUMBER($AN135),$AN135&lt;FechaRef,IF($V135="Sub",N($X135),N($M135))&lt;1),"Vencida"&amp;" · ","")&amp;IF(AND(ObsObligatoria="Sí",ISNUMBER($AN135),$AN135&lt;FechaRef,IF($V135="Sub",N($X135),N($M135))&lt;1,$Q135=""),"Vencida sin observación"&amp;" · ",""))-3)))</f>
        <v/>
      </c>
      <c r="S135" s="64">
        <f>IF(NOT((COUNTA($B135:$D135)+COUNTA($G135:$L135)+COUNTA($Q135))&gt;0),"",IF(AND($V135="Sub",N($U135)&gt;0),IF(ISNUMBER(INDEX($AM$5:$AM$1000,$U135-4)),DATE(YEAR(INDEX($AM$5:$AM$1000,$U135-4)),MONTH(INDEX($AM$5:$AM$1000,$U135-4)),1),IF(ISNUMBER(INDEX($AN$5:$AN$1000,$U135-4)),DATE(YEAR(INDEX($AN$5:$AN$1000,$U135-4)),MONTH(INDEX($AN$5:$AN$1000,$U135-4)),1),MesCiclo)),IF(ISNUMBER($AM135),DATE(YEAR($AM135),MONTH($AM135),1),IF(ISNUMBER($AN135),DATE(YEAR($AN135),MONTH($AN135),1),MesCiclo))))</f>
        <v/>
      </c>
      <c r="T135" s="62">
        <f>IF(OR($S135="",$S135&lt;&gt;MesCiclo,$V135&lt;&gt;"Macro"),"",COUNTIFS($S$5:$S135,MesCiclo,$V$5:$V135,"Macro"))</f>
        <v/>
      </c>
      <c r="U135" s="62">
        <f>IF($V135="","",IF($V135="Macro",ROW(),IFERROR(LOOKUP(2,1/($V$5:$V135="Macro"),ROW($V$5:$V135)),0)))</f>
        <v/>
      </c>
      <c r="V135" s="62">
        <f>IF(NOT((COUNTA($B135:$D135)+COUNTA($G135:$L135)+COUNTA($Q135))&gt;0),"",IF($B135="Subactividad","Sub","Macro"))</f>
        <v/>
      </c>
      <c r="W135" s="62">
        <f>IF($V135="Macro",COUNTIFS($U$5:$U$1000,ROW(),$V$5:$V$1000,"Sub"),"")</f>
        <v/>
      </c>
      <c r="X135" s="62">
        <f>IF($V135="","",IF(ISNUMBER($G135),1,IFERROR(LOOKUP(2,1/($I135:$L135&lt;&gt;""),$I135:$L135),0)))</f>
        <v/>
      </c>
      <c r="Y135" s="62">
        <f>IF($V135="","",IF(AND(ISNUMBER($G135),$G135&lt;=IF($S135=MesCiclo,InicioCiclo,$S135+MOD(2-WEEKDAY($S135),7))+6),1,IF(ISNUMBER($I135),$I135,0)))</f>
        <v/>
      </c>
      <c r="Z135" s="62">
        <f>IF($V135="","",IF(AND(ISNUMBER($G135),$G135&lt;=IF($S135=MesCiclo,InicioCiclo,$S135+MOD(2-WEEKDAY($S135),7))+13),1,IF(ISNUMBER($J135),$J135,$Y135)))</f>
        <v/>
      </c>
      <c r="AA135" s="62">
        <f>IF($V135="","",IF(AND(ISNUMBER($G135),$G135&lt;=IF($S135=MesCiclo,InicioCiclo,$S135+MOD(2-WEEKDAY($S135),7))+20),1,IF(ISNUMBER($K135),$K135,$Z135)))</f>
        <v/>
      </c>
      <c r="AB135" s="62">
        <f>IF($V135="","",IF(AND(ISNUMBER($G135),$G135&lt;=IF($S135=MesCiclo,InicioCiclo,$S135+MOD(2-WEEKDAY($S135),7))+27),1,IF(ISNUMBER($L135),$L135,$AA135)))</f>
        <v/>
      </c>
      <c r="AC135" s="62">
        <f>IF($V135="","",IF(AND(ISNUMBER($G135),$G135&lt;=IF($S135=MesCiclo,InicioCiclo,$S135+MOD(2-WEEKDAY($S135),7))+6),1,IF(N($W135)&gt;0,AVERAGEIFS($Y$5:$Y$1000,$U$5:$U$1000,ROW(),$V$5:$V$1000,"Sub"),$Y135)))</f>
        <v/>
      </c>
      <c r="AD135" s="62">
        <f>IF($V135="","",IF(AND(ISNUMBER($G135),$G135&lt;=IF($S135=MesCiclo,InicioCiclo,$S135+MOD(2-WEEKDAY($S135),7))+13),1,IF(N($W135)&gt;0,AVERAGEIFS($Z$5:$Z$1000,$U$5:$U$1000,ROW(),$V$5:$V$1000,"Sub"),$Z135)))</f>
        <v/>
      </c>
      <c r="AE135" s="62">
        <f>IF($V135="","",IF(AND(ISNUMBER($G135),$G135&lt;=IF($S135=MesCiclo,InicioCiclo,$S135+MOD(2-WEEKDAY($S135),7))+20),1,IF(N($W135)&gt;0,AVERAGEIFS($AA$5:$AA$1000,$U$5:$U$1000,ROW(),$V$5:$V$1000,"Sub"),$AA135)))</f>
        <v/>
      </c>
      <c r="AF135" s="62">
        <f>IF($V135="","",IF(AND(ISNUMBER($G135),$G135&lt;=IF($S135=MesCiclo,InicioCiclo,$S135+MOD(2-WEEKDAY($S135),7))+27),1,IF(N($W135)&gt;0,AVERAGEIFS($AB$5:$AB$1000,$U$5:$U$1000,ROW(),$V$5:$V$1000,"Sub"),$AB135)))</f>
        <v/>
      </c>
      <c r="AG135" s="62">
        <f>IF($V135&lt;&gt;"Macro","",IF(COUNTIFS($S$5:$S$1000,$S135,$V$5:$V$1000,"Macro",$H$5:$H$1000,"&gt;0")=0,1/COUNTIFS($S$5:$S$1000,$S135,$V$5:$V$1000,"Macro"),IF(AND(ISNUMBER($H135),N($H135)&gt;0),$H135,SUMIFS($H$5:$H$1000,$S$5:$S$1000,$S135,$V$5:$V$1000,"Macro")/COUNTIFS($S$5:$S$1000,$S135,$V$5:$V$1000,"Macro",$H$5:$H$1000,"&gt;0"))/(COUNTIFS($S$5:$S$1000,$S135,$V$5:$V$1000,"Macro")*SUMIFS($H$5:$H$1000,$S$5:$S$1000,$S135,$V$5:$V$1000,"Macro")/COUNTIFS($S$5:$S$1000,$S135,$V$5:$V$1000,"Macro",$H$5:$H$1000,"&gt;0"))))</f>
        <v/>
      </c>
      <c r="AH135" s="62">
        <f>IF(NOT(AND($D135&lt;&gt;"",$V135="Macro")),"",IFERROR(CHOOSE(MATCH($D135,ListaPuestos,0),MATCH("[Jefatura] "&amp;$C135,'Cronograma R. Operacional'!$C$5:$C$1000,0),MATCH("[Jefatura] "&amp;$C135,'Cronograma R. Normativo'!$C$5:$C$1000,0),MATCH("[Jefatura] "&amp;$C135,'Cronograma R. Financiero'!$C$5:$C$1000,0),MATCH("[Jefatura] "&amp;$C135,'Cronograma Asistente Técnico'!$C$5:$C$1000,0)),0))</f>
        <v/>
      </c>
      <c r="AI135" s="62">
        <f>IF(AND(AND($D135&lt;&gt;"",$V135="Macro"),$S135=MesCiclo),COUNTIFS($D$5:$D135,$D135,$S$5:$S135,MesCiclo,$V$5:$V135,"Macro"),"")</f>
        <v/>
      </c>
      <c r="AJ135" s="62">
        <f>IF($AI135="","",$D135&amp;"|"&amp;$AI135)</f>
        <v/>
      </c>
      <c r="AK135" s="62">
        <f>IF(AND($D135&lt;&gt;"",$V135="Macro"),$D135&amp;"|"&amp;$C135,"")</f>
        <v/>
      </c>
      <c r="AL135" s="62">
        <f>""</f>
        <v/>
      </c>
      <c r="AM135" s="62">
        <f>IF(N($AL135)&gt;0,INDEX(rIni_ADM,$AL135),IF(ISNUMBER($E135),$E135,""))</f>
        <v/>
      </c>
      <c r="AN135" s="62">
        <f>IF(N($AL135)&gt;0,INDEX(rLim_ADM,$AL135),IF(ISNUMBER($F135),$F135,""))</f>
        <v/>
      </c>
    </row>
    <row r="136">
      <c r="A136" s="56">
        <f>IF(NOT((COUNTA($B136:$D136)+COUNTA($G136:$L136)+COUNTA($Q136))&gt;0),"",IF($V136="Macro",COUNTIFS($V$5:$V136,"Macro",$S$5:$S136,$S136),IF(N($U136)=0,"?",COUNTIFS(INDEX($V$5:$V$1000,1):INDEX($V$5:$V$1000,$U136-4),"Macro",INDEX($S$5:$S$1000,1):INDEX($S$5:$S$1000,$U136-4),INDEX($S$5:$S$1000,$U136-4))&amp;"."&amp;COUNTIFS($U$5:$U136,$U136,$V$5:$V136,"Sub"))))</f>
        <v/>
      </c>
      <c r="B136" s="57" t="n"/>
      <c r="C136" s="58" t="n"/>
      <c r="D136" s="58" t="n"/>
      <c r="E136" s="59" t="n"/>
      <c r="F136" s="59" t="n"/>
      <c r="G136" s="59" t="n"/>
      <c r="H136" s="60" t="n"/>
      <c r="I136" s="60" t="n"/>
      <c r="J136" s="60" t="n"/>
      <c r="K136" s="60" t="n"/>
      <c r="L136" s="60" t="n"/>
      <c r="M136" s="61">
        <f>IF(NOT((COUNTA($B136:$D136)+COUNTA($G136:$L136)+COUNTA($Q136))&gt;0),"",IF(AND($D136&lt;&gt;"",$V136="Macro"),IF(N($AH136)&gt;0,N(CHOOSE(MATCH($D136,ListaPuestos,0),INDEX('Cronograma R. Operacional'!$M$5:$M$1000,$AH136),INDEX('Cronograma R. Normativo'!$M$5:$M$1000,$AH136),INDEX('Cronograma R. Financiero'!$M$5:$M$1000,$AH136),INDEX('Cronograma Asistente Técnico'!$M$5:$M$1000,$AH136))),0),IF(ISNUMBER($G136),1,IF(N($W136)&gt;0,AVERAGEIFS($X$5:$X$1000,$U$5:$U$1000,ROW(),$V$5:$V$1000,"Sub"),$X136))))</f>
        <v/>
      </c>
      <c r="N136" s="56">
        <f>IF(OR($M136="",$V136="Sub"),"",IF($M136&gt;=1,"Completado",IF($M136&gt;0,"En curso","Pendiente")))</f>
        <v/>
      </c>
      <c r="O136" s="56">
        <f>IF(NOT((COUNTA($B136:$D136)+COUNTA($G136:$L136)+COUNTA($Q136))&gt;0),"",IF(AND(AND($D136&lt;&gt;"",$V136="Macro"),N($AH136)&gt;0),CHOOSE(MATCH($D136,ListaPuestos,0),INDEX('Cronograma R. Operacional'!$O$5:$O$1000,$AH136),INDEX('Cronograma R. Normativo'!$O$5:$O$1000,$AH136),INDEX('Cronograma R. Financiero'!$O$5:$O$1000,$AH136),INDEX('Cronograma Asistente Técnico'!$O$5:$O$1000,$AH136))&amp;"",IF(ISNUMBER($G136),IF(AND(ISNUMBER($AN136),$G136&gt;$AN136),"Cumplida con "&amp;($G136-$AN136)&amp;IF($G136-$AN136=1," día"," días")&amp;" de retraso","Cumplida"),IF(N($M136)&gt;=1,"Cumplida",IF(NOT(ISNUMBER($AN136)),"Sin fecha límite",IF($AN136&lt;FechaRef,"Vencida hace "&amp;(FechaRef-$AN136)&amp;IF(FechaRef-$AN136=1," día"," días"),IF($AN136=FechaRef,"Vence hoy",IF($AN136-FechaRef&lt;=DiasAlerta,"Vence en "&amp;($AN136-FechaRef)&amp;IF($AN136-FechaRef=1," día"," días"),"En plazo"))))))))</f>
        <v/>
      </c>
      <c r="P136" s="62">
        <f>IF(NOT((COUNTA($B136:$D136)+COUNTA($G136:$L136)+COUNTA($Q136))&gt;0),"",IF($D136="","Propia",IF($V136&lt;&gt;"Macro","Solo se delegan macroactividades",IF(N($AH136)&gt;0,"✔ Recibida por "&amp;$D136,"⚠ "&amp;$D136&amp;" aún no la agrega"))))</f>
        <v/>
      </c>
      <c r="Q136" s="58" t="n"/>
      <c r="R136" s="63">
        <f>IF(NOT((COUNTA($B136:$D136)+COUNTA($G136:$L136)+COUNTA($Q136))&gt;0),"",IF((IF($C136="","Falta el nombre de la actividad"&amp;" · ","")&amp;IF(AND($V136="Sub",N($U136)=0),"Subactividad sin macroactividad arriba"&amp;" · ","")&amp;IF($AM136="","Sin fecha de inicio"&amp;" · ","")&amp;IF($AN136="","Sin fecha límite"&amp;" · ","")&amp;IF(AND(LEFT($C136,11)="[Jefatura] ",N($AL136)=0),"No se encuentra en la hoja de la jefatura (elíjala de nuevo en la lista)"&amp;" · ","")&amp;IF(OR(AND($E136&lt;&gt;"",NOT(ISNUMBER($E136))),AND($F136&lt;&gt;"",NOT(ISNUMBER($F136))),AND($G136&lt;&gt;"",NOT(ISNUMBER($G136)))),"Fecha no válida"&amp;" · ","")&amp;IF(AND(ISNUMBER($AM136),ISNUMBER($AN136),$AM136&gt;$AN136),"Inicio posterior a fecha límite"&amp;" · ","")&amp;IF(AND($V136="Macro",$H136&lt;&gt;"",OR(NOT(ISNUMBER($H136)),$H136&lt;0,$H136&gt;1)),"Peso fuera de rango"&amp;" · ","")&amp;IF(AND($V136="Sub",$H136&lt;&gt;""),"Las subactividades no llevan peso (valen igual dentro de su macroactividad)"&amp;" · ","")&amp;IF(AND(N($W136)&gt;0,COUNT($I136:$L136)&gt;0),"Con subactividades: deje vacías las semanas (se calculan solas)"&amp;" · ","")&amp;IF((COUNTIF($I136:$L136,"&gt;1")+COUNTIF($I136:$L136,"&lt;0")+COUNTA($I136:$L136)-COUNT($I136:$L136))&gt;0,"Avance fuera de rango 0-100%"&amp;" · ","")&amp;IF(OR(AND($J136&lt;&gt;"",$J136&lt;$I136),AND($K136&lt;&gt;"",$K136&lt;MAX($I136:$J136)),AND($L136&lt;&gt;"",$L136&lt;MAX($I136:$K136))),"Avance semanal decreciente"&amp;" · ","")&amp;IF(AND(ISNUMBER($AN136),$AN136&lt;FechaRef,IF($V136="Sub",N($X136),N($M136))&lt;1),"Vencida"&amp;" · ","")&amp;IF(AND(ObsObligatoria="Sí",ISNUMBER($AN136),$AN136&lt;FechaRef,IF($V136="Sub",N($X136),N($M136))&lt;1,$Q136=""),"Vencida sin observación"&amp;" · ",""))="","✔ OK","⚠ "&amp;LEFT(IF($C136="","Falta el nombre de la actividad"&amp;" · ","")&amp;IF(AND($V136="Sub",N($U136)=0),"Subactividad sin macroactividad arriba"&amp;" · ","")&amp;IF($AM136="","Sin fecha de inicio"&amp;" · ","")&amp;IF($AN136="","Sin fecha límite"&amp;" · ","")&amp;IF(AND(LEFT($C136,11)="[Jefatura] ",N($AL136)=0),"No se encuentra en la hoja de la jefatura (elíjala de nuevo en la lista)"&amp;" · ","")&amp;IF(OR(AND($E136&lt;&gt;"",NOT(ISNUMBER($E136))),AND($F136&lt;&gt;"",NOT(ISNUMBER($F136))),AND($G136&lt;&gt;"",NOT(ISNUMBER($G136)))),"Fecha no válida"&amp;" · ","")&amp;IF(AND(ISNUMBER($AM136),ISNUMBER($AN136),$AM136&gt;$AN136),"Inicio posterior a fecha límite"&amp;" · ","")&amp;IF(AND($V136="Macro",$H136&lt;&gt;"",OR(NOT(ISNUMBER($H136)),$H136&lt;0,$H136&gt;1)),"Peso fuera de rango"&amp;" · ","")&amp;IF(AND($V136="Sub",$H136&lt;&gt;""),"Las subactividades no llevan peso (valen igual dentro de su macroactividad)"&amp;" · ","")&amp;IF(AND(N($W136)&gt;0,COUNT($I136:$L136)&gt;0),"Con subactividades: deje vacías las semanas (se calculan solas)"&amp;" · ","")&amp;IF((COUNTIF($I136:$L136,"&gt;1")+COUNTIF($I136:$L136,"&lt;0")+COUNTA($I136:$L136)-COUNT($I136:$L136))&gt;0,"Avance fuera de rango 0-100%"&amp;" · ","")&amp;IF(OR(AND($J136&lt;&gt;"",$J136&lt;$I136),AND($K136&lt;&gt;"",$K136&lt;MAX($I136:$J136)),AND($L136&lt;&gt;"",$L136&lt;MAX($I136:$K136))),"Avance semanal decreciente"&amp;" · ","")&amp;IF(AND(ISNUMBER($AN136),$AN136&lt;FechaRef,IF($V136="Sub",N($X136),N($M136))&lt;1),"Vencida"&amp;" · ","")&amp;IF(AND(ObsObligatoria="Sí",ISNUMBER($AN136),$AN136&lt;FechaRef,IF($V136="Sub",N($X136),N($M136))&lt;1,$Q136=""),"Vencida sin observación"&amp;" · ",""),LEN(IF($C136="","Falta el nombre de la actividad"&amp;" · ","")&amp;IF(AND($V136="Sub",N($U136)=0),"Subactividad sin macroactividad arriba"&amp;" · ","")&amp;IF($AM136="","Sin fecha de inicio"&amp;" · ","")&amp;IF($AN136="","Sin fecha límite"&amp;" · ","")&amp;IF(AND(LEFT($C136,11)="[Jefatura] ",N($AL136)=0),"No se encuentra en la hoja de la jefatura (elíjala de nuevo en la lista)"&amp;" · ","")&amp;IF(OR(AND($E136&lt;&gt;"",NOT(ISNUMBER($E136))),AND($F136&lt;&gt;"",NOT(ISNUMBER($F136))),AND($G136&lt;&gt;"",NOT(ISNUMBER($G136)))),"Fecha no válida"&amp;" · ","")&amp;IF(AND(ISNUMBER($AM136),ISNUMBER($AN136),$AM136&gt;$AN136),"Inicio posterior a fecha límite"&amp;" · ","")&amp;IF(AND($V136="Macro",$H136&lt;&gt;"",OR(NOT(ISNUMBER($H136)),$H136&lt;0,$H136&gt;1)),"Peso fuera de rango"&amp;" · ","")&amp;IF(AND($V136="Sub",$H136&lt;&gt;""),"Las subactividades no llevan peso (valen igual dentro de su macroactividad)"&amp;" · ","")&amp;IF(AND(N($W136)&gt;0,COUNT($I136:$L136)&gt;0),"Con subactividades: deje vacías las semanas (se calculan solas)"&amp;" · ","")&amp;IF((COUNTIF($I136:$L136,"&gt;1")+COUNTIF($I136:$L136,"&lt;0")+COUNTA($I136:$L136)-COUNT($I136:$L136))&gt;0,"Avance fuera de rango 0-100%"&amp;" · ","")&amp;IF(OR(AND($J136&lt;&gt;"",$J136&lt;$I136),AND($K136&lt;&gt;"",$K136&lt;MAX($I136:$J136)),AND($L136&lt;&gt;"",$L136&lt;MAX($I136:$K136))),"Avance semanal decreciente"&amp;" · ","")&amp;IF(AND(ISNUMBER($AN136),$AN136&lt;FechaRef,IF($V136="Sub",N($X136),N($M136))&lt;1),"Vencida"&amp;" · ","")&amp;IF(AND(ObsObligatoria="Sí",ISNUMBER($AN136),$AN136&lt;FechaRef,IF($V136="Sub",N($X136),N($M136))&lt;1,$Q136=""),"Vencida sin observación"&amp;" · ",""))-3)))</f>
        <v/>
      </c>
      <c r="S136" s="64">
        <f>IF(NOT((COUNTA($B136:$D136)+COUNTA($G136:$L136)+COUNTA($Q136))&gt;0),"",IF(AND($V136="Sub",N($U136)&gt;0),IF(ISNUMBER(INDEX($AM$5:$AM$1000,$U136-4)),DATE(YEAR(INDEX($AM$5:$AM$1000,$U136-4)),MONTH(INDEX($AM$5:$AM$1000,$U136-4)),1),IF(ISNUMBER(INDEX($AN$5:$AN$1000,$U136-4)),DATE(YEAR(INDEX($AN$5:$AN$1000,$U136-4)),MONTH(INDEX($AN$5:$AN$1000,$U136-4)),1),MesCiclo)),IF(ISNUMBER($AM136),DATE(YEAR($AM136),MONTH($AM136),1),IF(ISNUMBER($AN136),DATE(YEAR($AN136),MONTH($AN136),1),MesCiclo))))</f>
        <v/>
      </c>
      <c r="T136" s="62">
        <f>IF(OR($S136="",$S136&lt;&gt;MesCiclo,$V136&lt;&gt;"Macro"),"",COUNTIFS($S$5:$S136,MesCiclo,$V$5:$V136,"Macro"))</f>
        <v/>
      </c>
      <c r="U136" s="62">
        <f>IF($V136="","",IF($V136="Macro",ROW(),IFERROR(LOOKUP(2,1/($V$5:$V136="Macro"),ROW($V$5:$V136)),0)))</f>
        <v/>
      </c>
      <c r="V136" s="62">
        <f>IF(NOT((COUNTA($B136:$D136)+COUNTA($G136:$L136)+COUNTA($Q136))&gt;0),"",IF($B136="Subactividad","Sub","Macro"))</f>
        <v/>
      </c>
      <c r="W136" s="62">
        <f>IF($V136="Macro",COUNTIFS($U$5:$U$1000,ROW(),$V$5:$V$1000,"Sub"),"")</f>
        <v/>
      </c>
      <c r="X136" s="62">
        <f>IF($V136="","",IF(ISNUMBER($G136),1,IFERROR(LOOKUP(2,1/($I136:$L136&lt;&gt;""),$I136:$L136),0)))</f>
        <v/>
      </c>
      <c r="Y136" s="62">
        <f>IF($V136="","",IF(AND(ISNUMBER($G136),$G136&lt;=IF($S136=MesCiclo,InicioCiclo,$S136+MOD(2-WEEKDAY($S136),7))+6),1,IF(ISNUMBER($I136),$I136,0)))</f>
        <v/>
      </c>
      <c r="Z136" s="62">
        <f>IF($V136="","",IF(AND(ISNUMBER($G136),$G136&lt;=IF($S136=MesCiclo,InicioCiclo,$S136+MOD(2-WEEKDAY($S136),7))+13),1,IF(ISNUMBER($J136),$J136,$Y136)))</f>
        <v/>
      </c>
      <c r="AA136" s="62">
        <f>IF($V136="","",IF(AND(ISNUMBER($G136),$G136&lt;=IF($S136=MesCiclo,InicioCiclo,$S136+MOD(2-WEEKDAY($S136),7))+20),1,IF(ISNUMBER($K136),$K136,$Z136)))</f>
        <v/>
      </c>
      <c r="AB136" s="62">
        <f>IF($V136="","",IF(AND(ISNUMBER($G136),$G136&lt;=IF($S136=MesCiclo,InicioCiclo,$S136+MOD(2-WEEKDAY($S136),7))+27),1,IF(ISNUMBER($L136),$L136,$AA136)))</f>
        <v/>
      </c>
      <c r="AC136" s="62">
        <f>IF($V136="","",IF(AND(ISNUMBER($G136),$G136&lt;=IF($S136=MesCiclo,InicioCiclo,$S136+MOD(2-WEEKDAY($S136),7))+6),1,IF(N($W136)&gt;0,AVERAGEIFS($Y$5:$Y$1000,$U$5:$U$1000,ROW(),$V$5:$V$1000,"Sub"),$Y136)))</f>
        <v/>
      </c>
      <c r="AD136" s="62">
        <f>IF($V136="","",IF(AND(ISNUMBER($G136),$G136&lt;=IF($S136=MesCiclo,InicioCiclo,$S136+MOD(2-WEEKDAY($S136),7))+13),1,IF(N($W136)&gt;0,AVERAGEIFS($Z$5:$Z$1000,$U$5:$U$1000,ROW(),$V$5:$V$1000,"Sub"),$Z136)))</f>
        <v/>
      </c>
      <c r="AE136" s="62">
        <f>IF($V136="","",IF(AND(ISNUMBER($G136),$G136&lt;=IF($S136=MesCiclo,InicioCiclo,$S136+MOD(2-WEEKDAY($S136),7))+20),1,IF(N($W136)&gt;0,AVERAGEIFS($AA$5:$AA$1000,$U$5:$U$1000,ROW(),$V$5:$V$1000,"Sub"),$AA136)))</f>
        <v/>
      </c>
      <c r="AF136" s="62">
        <f>IF($V136="","",IF(AND(ISNUMBER($G136),$G136&lt;=IF($S136=MesCiclo,InicioCiclo,$S136+MOD(2-WEEKDAY($S136),7))+27),1,IF(N($W136)&gt;0,AVERAGEIFS($AB$5:$AB$1000,$U$5:$U$1000,ROW(),$V$5:$V$1000,"Sub"),$AB136)))</f>
        <v/>
      </c>
      <c r="AG136" s="62">
        <f>IF($V136&lt;&gt;"Macro","",IF(COUNTIFS($S$5:$S$1000,$S136,$V$5:$V$1000,"Macro",$H$5:$H$1000,"&gt;0")=0,1/COUNTIFS($S$5:$S$1000,$S136,$V$5:$V$1000,"Macro"),IF(AND(ISNUMBER($H136),N($H136)&gt;0),$H136,SUMIFS($H$5:$H$1000,$S$5:$S$1000,$S136,$V$5:$V$1000,"Macro")/COUNTIFS($S$5:$S$1000,$S136,$V$5:$V$1000,"Macro",$H$5:$H$1000,"&gt;0"))/(COUNTIFS($S$5:$S$1000,$S136,$V$5:$V$1000,"Macro")*SUMIFS($H$5:$H$1000,$S$5:$S$1000,$S136,$V$5:$V$1000,"Macro")/COUNTIFS($S$5:$S$1000,$S136,$V$5:$V$1000,"Macro",$H$5:$H$1000,"&gt;0"))))</f>
        <v/>
      </c>
      <c r="AH136" s="62">
        <f>IF(NOT(AND($D136&lt;&gt;"",$V136="Macro")),"",IFERROR(CHOOSE(MATCH($D136,ListaPuestos,0),MATCH("[Jefatura] "&amp;$C136,'Cronograma R. Operacional'!$C$5:$C$1000,0),MATCH("[Jefatura] "&amp;$C136,'Cronograma R. Normativo'!$C$5:$C$1000,0),MATCH("[Jefatura] "&amp;$C136,'Cronograma R. Financiero'!$C$5:$C$1000,0),MATCH("[Jefatura] "&amp;$C136,'Cronograma Asistente Técnico'!$C$5:$C$1000,0)),0))</f>
        <v/>
      </c>
      <c r="AI136" s="62">
        <f>IF(AND(AND($D136&lt;&gt;"",$V136="Macro"),$S136=MesCiclo),COUNTIFS($D$5:$D136,$D136,$S$5:$S136,MesCiclo,$V$5:$V136,"Macro"),"")</f>
        <v/>
      </c>
      <c r="AJ136" s="62">
        <f>IF($AI136="","",$D136&amp;"|"&amp;$AI136)</f>
        <v/>
      </c>
      <c r="AK136" s="62">
        <f>IF(AND($D136&lt;&gt;"",$V136="Macro"),$D136&amp;"|"&amp;$C136,"")</f>
        <v/>
      </c>
      <c r="AL136" s="62">
        <f>""</f>
        <v/>
      </c>
      <c r="AM136" s="62">
        <f>IF(N($AL136)&gt;0,INDEX(rIni_ADM,$AL136),IF(ISNUMBER($E136),$E136,""))</f>
        <v/>
      </c>
      <c r="AN136" s="62">
        <f>IF(N($AL136)&gt;0,INDEX(rLim_ADM,$AL136),IF(ISNUMBER($F136),$F136,""))</f>
        <v/>
      </c>
    </row>
    <row r="137">
      <c r="A137" s="56">
        <f>IF(NOT((COUNTA($B137:$D137)+COUNTA($G137:$L137)+COUNTA($Q137))&gt;0),"",IF($V137="Macro",COUNTIFS($V$5:$V137,"Macro",$S$5:$S137,$S137),IF(N($U137)=0,"?",COUNTIFS(INDEX($V$5:$V$1000,1):INDEX($V$5:$V$1000,$U137-4),"Macro",INDEX($S$5:$S$1000,1):INDEX($S$5:$S$1000,$U137-4),INDEX($S$5:$S$1000,$U137-4))&amp;"."&amp;COUNTIFS($U$5:$U137,$U137,$V$5:$V137,"Sub"))))</f>
        <v/>
      </c>
      <c r="B137" s="57" t="n"/>
      <c r="C137" s="58" t="n"/>
      <c r="D137" s="58" t="n"/>
      <c r="E137" s="59" t="n"/>
      <c r="F137" s="59" t="n"/>
      <c r="G137" s="59" t="n"/>
      <c r="H137" s="60" t="n"/>
      <c r="I137" s="60" t="n"/>
      <c r="J137" s="60" t="n"/>
      <c r="K137" s="60" t="n"/>
      <c r="L137" s="60" t="n"/>
      <c r="M137" s="61">
        <f>IF(NOT((COUNTA($B137:$D137)+COUNTA($G137:$L137)+COUNTA($Q137))&gt;0),"",IF(AND($D137&lt;&gt;"",$V137="Macro"),IF(N($AH137)&gt;0,N(CHOOSE(MATCH($D137,ListaPuestos,0),INDEX('Cronograma R. Operacional'!$M$5:$M$1000,$AH137),INDEX('Cronograma R. Normativo'!$M$5:$M$1000,$AH137),INDEX('Cronograma R. Financiero'!$M$5:$M$1000,$AH137),INDEX('Cronograma Asistente Técnico'!$M$5:$M$1000,$AH137))),0),IF(ISNUMBER($G137),1,IF(N($W137)&gt;0,AVERAGEIFS($X$5:$X$1000,$U$5:$U$1000,ROW(),$V$5:$V$1000,"Sub"),$X137))))</f>
        <v/>
      </c>
      <c r="N137" s="56">
        <f>IF(OR($M137="",$V137="Sub"),"",IF($M137&gt;=1,"Completado",IF($M137&gt;0,"En curso","Pendiente")))</f>
        <v/>
      </c>
      <c r="O137" s="56">
        <f>IF(NOT((COUNTA($B137:$D137)+COUNTA($G137:$L137)+COUNTA($Q137))&gt;0),"",IF(AND(AND($D137&lt;&gt;"",$V137="Macro"),N($AH137)&gt;0),CHOOSE(MATCH($D137,ListaPuestos,0),INDEX('Cronograma R. Operacional'!$O$5:$O$1000,$AH137),INDEX('Cronograma R. Normativo'!$O$5:$O$1000,$AH137),INDEX('Cronograma R. Financiero'!$O$5:$O$1000,$AH137),INDEX('Cronograma Asistente Técnico'!$O$5:$O$1000,$AH137))&amp;"",IF(ISNUMBER($G137),IF(AND(ISNUMBER($AN137),$G137&gt;$AN137),"Cumplida con "&amp;($G137-$AN137)&amp;IF($G137-$AN137=1," día"," días")&amp;" de retraso","Cumplida"),IF(N($M137)&gt;=1,"Cumplida",IF(NOT(ISNUMBER($AN137)),"Sin fecha límite",IF($AN137&lt;FechaRef,"Vencida hace "&amp;(FechaRef-$AN137)&amp;IF(FechaRef-$AN137=1," día"," días"),IF($AN137=FechaRef,"Vence hoy",IF($AN137-FechaRef&lt;=DiasAlerta,"Vence en "&amp;($AN137-FechaRef)&amp;IF($AN137-FechaRef=1," día"," días"),"En plazo"))))))))</f>
        <v/>
      </c>
      <c r="P137" s="62">
        <f>IF(NOT((COUNTA($B137:$D137)+COUNTA($G137:$L137)+COUNTA($Q137))&gt;0),"",IF($D137="","Propia",IF($V137&lt;&gt;"Macro","Solo se delegan macroactividades",IF(N($AH137)&gt;0,"✔ Recibida por "&amp;$D137,"⚠ "&amp;$D137&amp;" aún no la agrega"))))</f>
        <v/>
      </c>
      <c r="Q137" s="58" t="n"/>
      <c r="R137" s="63">
        <f>IF(NOT((COUNTA($B137:$D137)+COUNTA($G137:$L137)+COUNTA($Q137))&gt;0),"",IF((IF($C137="","Falta el nombre de la actividad"&amp;" · ","")&amp;IF(AND($V137="Sub",N($U137)=0),"Subactividad sin macroactividad arriba"&amp;" · ","")&amp;IF($AM137="","Sin fecha de inicio"&amp;" · ","")&amp;IF($AN137="","Sin fecha límite"&amp;" · ","")&amp;IF(AND(LEFT($C137,11)="[Jefatura] ",N($AL137)=0),"No se encuentra en la hoja de la jefatura (elíjala de nuevo en la lista)"&amp;" · ","")&amp;IF(OR(AND($E137&lt;&gt;"",NOT(ISNUMBER($E137))),AND($F137&lt;&gt;"",NOT(ISNUMBER($F137))),AND($G137&lt;&gt;"",NOT(ISNUMBER($G137)))),"Fecha no válida"&amp;" · ","")&amp;IF(AND(ISNUMBER($AM137),ISNUMBER($AN137),$AM137&gt;$AN137),"Inicio posterior a fecha límite"&amp;" · ","")&amp;IF(AND($V137="Macro",$H137&lt;&gt;"",OR(NOT(ISNUMBER($H137)),$H137&lt;0,$H137&gt;1)),"Peso fuera de rango"&amp;" · ","")&amp;IF(AND($V137="Sub",$H137&lt;&gt;""),"Las subactividades no llevan peso (valen igual dentro de su macroactividad)"&amp;" · ","")&amp;IF(AND(N($W137)&gt;0,COUNT($I137:$L137)&gt;0),"Con subactividades: deje vacías las semanas (se calculan solas)"&amp;" · ","")&amp;IF((COUNTIF($I137:$L137,"&gt;1")+COUNTIF($I137:$L137,"&lt;0")+COUNTA($I137:$L137)-COUNT($I137:$L137))&gt;0,"Avance fuera de rango 0-100%"&amp;" · ","")&amp;IF(OR(AND($J137&lt;&gt;"",$J137&lt;$I137),AND($K137&lt;&gt;"",$K137&lt;MAX($I137:$J137)),AND($L137&lt;&gt;"",$L137&lt;MAX($I137:$K137))),"Avance semanal decreciente"&amp;" · ","")&amp;IF(AND(ISNUMBER($AN137),$AN137&lt;FechaRef,IF($V137="Sub",N($X137),N($M137))&lt;1),"Vencida"&amp;" · ","")&amp;IF(AND(ObsObligatoria="Sí",ISNUMBER($AN137),$AN137&lt;FechaRef,IF($V137="Sub",N($X137),N($M137))&lt;1,$Q137=""),"Vencida sin observación"&amp;" · ",""))="","✔ OK","⚠ "&amp;LEFT(IF($C137="","Falta el nombre de la actividad"&amp;" · ","")&amp;IF(AND($V137="Sub",N($U137)=0),"Subactividad sin macroactividad arriba"&amp;" · ","")&amp;IF($AM137="","Sin fecha de inicio"&amp;" · ","")&amp;IF($AN137="","Sin fecha límite"&amp;" · ","")&amp;IF(AND(LEFT($C137,11)="[Jefatura] ",N($AL137)=0),"No se encuentra en la hoja de la jefatura (elíjala de nuevo en la lista)"&amp;" · ","")&amp;IF(OR(AND($E137&lt;&gt;"",NOT(ISNUMBER($E137))),AND($F137&lt;&gt;"",NOT(ISNUMBER($F137))),AND($G137&lt;&gt;"",NOT(ISNUMBER($G137)))),"Fecha no válida"&amp;" · ","")&amp;IF(AND(ISNUMBER($AM137),ISNUMBER($AN137),$AM137&gt;$AN137),"Inicio posterior a fecha límite"&amp;" · ","")&amp;IF(AND($V137="Macro",$H137&lt;&gt;"",OR(NOT(ISNUMBER($H137)),$H137&lt;0,$H137&gt;1)),"Peso fuera de rango"&amp;" · ","")&amp;IF(AND($V137="Sub",$H137&lt;&gt;""),"Las subactividades no llevan peso (valen igual dentro de su macroactividad)"&amp;" · ","")&amp;IF(AND(N($W137)&gt;0,COUNT($I137:$L137)&gt;0),"Con subactividades: deje vacías las semanas (se calculan solas)"&amp;" · ","")&amp;IF((COUNTIF($I137:$L137,"&gt;1")+COUNTIF($I137:$L137,"&lt;0")+COUNTA($I137:$L137)-COUNT($I137:$L137))&gt;0,"Avance fuera de rango 0-100%"&amp;" · ","")&amp;IF(OR(AND($J137&lt;&gt;"",$J137&lt;$I137),AND($K137&lt;&gt;"",$K137&lt;MAX($I137:$J137)),AND($L137&lt;&gt;"",$L137&lt;MAX($I137:$K137))),"Avance semanal decreciente"&amp;" · ","")&amp;IF(AND(ISNUMBER($AN137),$AN137&lt;FechaRef,IF($V137="Sub",N($X137),N($M137))&lt;1),"Vencida"&amp;" · ","")&amp;IF(AND(ObsObligatoria="Sí",ISNUMBER($AN137),$AN137&lt;FechaRef,IF($V137="Sub",N($X137),N($M137))&lt;1,$Q137=""),"Vencida sin observación"&amp;" · ",""),LEN(IF($C137="","Falta el nombre de la actividad"&amp;" · ","")&amp;IF(AND($V137="Sub",N($U137)=0),"Subactividad sin macroactividad arriba"&amp;" · ","")&amp;IF($AM137="","Sin fecha de inicio"&amp;" · ","")&amp;IF($AN137="","Sin fecha límite"&amp;" · ","")&amp;IF(AND(LEFT($C137,11)="[Jefatura] ",N($AL137)=0),"No se encuentra en la hoja de la jefatura (elíjala de nuevo en la lista)"&amp;" · ","")&amp;IF(OR(AND($E137&lt;&gt;"",NOT(ISNUMBER($E137))),AND($F137&lt;&gt;"",NOT(ISNUMBER($F137))),AND($G137&lt;&gt;"",NOT(ISNUMBER($G137)))),"Fecha no válida"&amp;" · ","")&amp;IF(AND(ISNUMBER($AM137),ISNUMBER($AN137),$AM137&gt;$AN137),"Inicio posterior a fecha límite"&amp;" · ","")&amp;IF(AND($V137="Macro",$H137&lt;&gt;"",OR(NOT(ISNUMBER($H137)),$H137&lt;0,$H137&gt;1)),"Peso fuera de rango"&amp;" · ","")&amp;IF(AND($V137="Sub",$H137&lt;&gt;""),"Las subactividades no llevan peso (valen igual dentro de su macroactividad)"&amp;" · ","")&amp;IF(AND(N($W137)&gt;0,COUNT($I137:$L137)&gt;0),"Con subactividades: deje vacías las semanas (se calculan solas)"&amp;" · ","")&amp;IF((COUNTIF($I137:$L137,"&gt;1")+COUNTIF($I137:$L137,"&lt;0")+COUNTA($I137:$L137)-COUNT($I137:$L137))&gt;0,"Avance fuera de rango 0-100%"&amp;" · ","")&amp;IF(OR(AND($J137&lt;&gt;"",$J137&lt;$I137),AND($K137&lt;&gt;"",$K137&lt;MAX($I137:$J137)),AND($L137&lt;&gt;"",$L137&lt;MAX($I137:$K137))),"Avance semanal decreciente"&amp;" · ","")&amp;IF(AND(ISNUMBER($AN137),$AN137&lt;FechaRef,IF($V137="Sub",N($X137),N($M137))&lt;1),"Vencida"&amp;" · ","")&amp;IF(AND(ObsObligatoria="Sí",ISNUMBER($AN137),$AN137&lt;FechaRef,IF($V137="Sub",N($X137),N($M137))&lt;1,$Q137=""),"Vencida sin observación"&amp;" · ",""))-3)))</f>
        <v/>
      </c>
      <c r="S137" s="64">
        <f>IF(NOT((COUNTA($B137:$D137)+COUNTA($G137:$L137)+COUNTA($Q137))&gt;0),"",IF(AND($V137="Sub",N($U137)&gt;0),IF(ISNUMBER(INDEX($AM$5:$AM$1000,$U137-4)),DATE(YEAR(INDEX($AM$5:$AM$1000,$U137-4)),MONTH(INDEX($AM$5:$AM$1000,$U137-4)),1),IF(ISNUMBER(INDEX($AN$5:$AN$1000,$U137-4)),DATE(YEAR(INDEX($AN$5:$AN$1000,$U137-4)),MONTH(INDEX($AN$5:$AN$1000,$U137-4)),1),MesCiclo)),IF(ISNUMBER($AM137),DATE(YEAR($AM137),MONTH($AM137),1),IF(ISNUMBER($AN137),DATE(YEAR($AN137),MONTH($AN137),1),MesCiclo))))</f>
        <v/>
      </c>
      <c r="T137" s="62">
        <f>IF(OR($S137="",$S137&lt;&gt;MesCiclo,$V137&lt;&gt;"Macro"),"",COUNTIFS($S$5:$S137,MesCiclo,$V$5:$V137,"Macro"))</f>
        <v/>
      </c>
      <c r="U137" s="62">
        <f>IF($V137="","",IF($V137="Macro",ROW(),IFERROR(LOOKUP(2,1/($V$5:$V137="Macro"),ROW($V$5:$V137)),0)))</f>
        <v/>
      </c>
      <c r="V137" s="62">
        <f>IF(NOT((COUNTA($B137:$D137)+COUNTA($G137:$L137)+COUNTA($Q137))&gt;0),"",IF($B137="Subactividad","Sub","Macro"))</f>
        <v/>
      </c>
      <c r="W137" s="62">
        <f>IF($V137="Macro",COUNTIFS($U$5:$U$1000,ROW(),$V$5:$V$1000,"Sub"),"")</f>
        <v/>
      </c>
      <c r="X137" s="62">
        <f>IF($V137="","",IF(ISNUMBER($G137),1,IFERROR(LOOKUP(2,1/($I137:$L137&lt;&gt;""),$I137:$L137),0)))</f>
        <v/>
      </c>
      <c r="Y137" s="62">
        <f>IF($V137="","",IF(AND(ISNUMBER($G137),$G137&lt;=IF($S137=MesCiclo,InicioCiclo,$S137+MOD(2-WEEKDAY($S137),7))+6),1,IF(ISNUMBER($I137),$I137,0)))</f>
        <v/>
      </c>
      <c r="Z137" s="62">
        <f>IF($V137="","",IF(AND(ISNUMBER($G137),$G137&lt;=IF($S137=MesCiclo,InicioCiclo,$S137+MOD(2-WEEKDAY($S137),7))+13),1,IF(ISNUMBER($J137),$J137,$Y137)))</f>
        <v/>
      </c>
      <c r="AA137" s="62">
        <f>IF($V137="","",IF(AND(ISNUMBER($G137),$G137&lt;=IF($S137=MesCiclo,InicioCiclo,$S137+MOD(2-WEEKDAY($S137),7))+20),1,IF(ISNUMBER($K137),$K137,$Z137)))</f>
        <v/>
      </c>
      <c r="AB137" s="62">
        <f>IF($V137="","",IF(AND(ISNUMBER($G137),$G137&lt;=IF($S137=MesCiclo,InicioCiclo,$S137+MOD(2-WEEKDAY($S137),7))+27),1,IF(ISNUMBER($L137),$L137,$AA137)))</f>
        <v/>
      </c>
      <c r="AC137" s="62">
        <f>IF($V137="","",IF(AND(ISNUMBER($G137),$G137&lt;=IF($S137=MesCiclo,InicioCiclo,$S137+MOD(2-WEEKDAY($S137),7))+6),1,IF(N($W137)&gt;0,AVERAGEIFS($Y$5:$Y$1000,$U$5:$U$1000,ROW(),$V$5:$V$1000,"Sub"),$Y137)))</f>
        <v/>
      </c>
      <c r="AD137" s="62">
        <f>IF($V137="","",IF(AND(ISNUMBER($G137),$G137&lt;=IF($S137=MesCiclo,InicioCiclo,$S137+MOD(2-WEEKDAY($S137),7))+13),1,IF(N($W137)&gt;0,AVERAGEIFS($Z$5:$Z$1000,$U$5:$U$1000,ROW(),$V$5:$V$1000,"Sub"),$Z137)))</f>
        <v/>
      </c>
      <c r="AE137" s="62">
        <f>IF($V137="","",IF(AND(ISNUMBER($G137),$G137&lt;=IF($S137=MesCiclo,InicioCiclo,$S137+MOD(2-WEEKDAY($S137),7))+20),1,IF(N($W137)&gt;0,AVERAGEIFS($AA$5:$AA$1000,$U$5:$U$1000,ROW(),$V$5:$V$1000,"Sub"),$AA137)))</f>
        <v/>
      </c>
      <c r="AF137" s="62">
        <f>IF($V137="","",IF(AND(ISNUMBER($G137),$G137&lt;=IF($S137=MesCiclo,InicioCiclo,$S137+MOD(2-WEEKDAY($S137),7))+27),1,IF(N($W137)&gt;0,AVERAGEIFS($AB$5:$AB$1000,$U$5:$U$1000,ROW(),$V$5:$V$1000,"Sub"),$AB137)))</f>
        <v/>
      </c>
      <c r="AG137" s="62">
        <f>IF($V137&lt;&gt;"Macro","",IF(COUNTIFS($S$5:$S$1000,$S137,$V$5:$V$1000,"Macro",$H$5:$H$1000,"&gt;0")=0,1/COUNTIFS($S$5:$S$1000,$S137,$V$5:$V$1000,"Macro"),IF(AND(ISNUMBER($H137),N($H137)&gt;0),$H137,SUMIFS($H$5:$H$1000,$S$5:$S$1000,$S137,$V$5:$V$1000,"Macro")/COUNTIFS($S$5:$S$1000,$S137,$V$5:$V$1000,"Macro",$H$5:$H$1000,"&gt;0"))/(COUNTIFS($S$5:$S$1000,$S137,$V$5:$V$1000,"Macro")*SUMIFS($H$5:$H$1000,$S$5:$S$1000,$S137,$V$5:$V$1000,"Macro")/COUNTIFS($S$5:$S$1000,$S137,$V$5:$V$1000,"Macro",$H$5:$H$1000,"&gt;0"))))</f>
        <v/>
      </c>
      <c r="AH137" s="62">
        <f>IF(NOT(AND($D137&lt;&gt;"",$V137="Macro")),"",IFERROR(CHOOSE(MATCH($D137,ListaPuestos,0),MATCH("[Jefatura] "&amp;$C137,'Cronograma R. Operacional'!$C$5:$C$1000,0),MATCH("[Jefatura] "&amp;$C137,'Cronograma R. Normativo'!$C$5:$C$1000,0),MATCH("[Jefatura] "&amp;$C137,'Cronograma R. Financiero'!$C$5:$C$1000,0),MATCH("[Jefatura] "&amp;$C137,'Cronograma Asistente Técnico'!$C$5:$C$1000,0)),0))</f>
        <v/>
      </c>
      <c r="AI137" s="62">
        <f>IF(AND(AND($D137&lt;&gt;"",$V137="Macro"),$S137=MesCiclo),COUNTIFS($D$5:$D137,$D137,$S$5:$S137,MesCiclo,$V$5:$V137,"Macro"),"")</f>
        <v/>
      </c>
      <c r="AJ137" s="62">
        <f>IF($AI137="","",$D137&amp;"|"&amp;$AI137)</f>
        <v/>
      </c>
      <c r="AK137" s="62">
        <f>IF(AND($D137&lt;&gt;"",$V137="Macro"),$D137&amp;"|"&amp;$C137,"")</f>
        <v/>
      </c>
      <c r="AL137" s="62">
        <f>""</f>
        <v/>
      </c>
      <c r="AM137" s="62">
        <f>IF(N($AL137)&gt;0,INDEX(rIni_ADM,$AL137),IF(ISNUMBER($E137),$E137,""))</f>
        <v/>
      </c>
      <c r="AN137" s="62">
        <f>IF(N($AL137)&gt;0,INDEX(rLim_ADM,$AL137),IF(ISNUMBER($F137),$F137,""))</f>
        <v/>
      </c>
    </row>
    <row r="138">
      <c r="A138" s="56">
        <f>IF(NOT((COUNTA($B138:$D138)+COUNTA($G138:$L138)+COUNTA($Q138))&gt;0),"",IF($V138="Macro",COUNTIFS($V$5:$V138,"Macro",$S$5:$S138,$S138),IF(N($U138)=0,"?",COUNTIFS(INDEX($V$5:$V$1000,1):INDEX($V$5:$V$1000,$U138-4),"Macro",INDEX($S$5:$S$1000,1):INDEX($S$5:$S$1000,$U138-4),INDEX($S$5:$S$1000,$U138-4))&amp;"."&amp;COUNTIFS($U$5:$U138,$U138,$V$5:$V138,"Sub"))))</f>
        <v/>
      </c>
      <c r="B138" s="57" t="n"/>
      <c r="C138" s="58" t="n"/>
      <c r="D138" s="58" t="n"/>
      <c r="E138" s="59" t="n"/>
      <c r="F138" s="59" t="n"/>
      <c r="G138" s="59" t="n"/>
      <c r="H138" s="60" t="n"/>
      <c r="I138" s="60" t="n"/>
      <c r="J138" s="60" t="n"/>
      <c r="K138" s="60" t="n"/>
      <c r="L138" s="60" t="n"/>
      <c r="M138" s="61">
        <f>IF(NOT((COUNTA($B138:$D138)+COUNTA($G138:$L138)+COUNTA($Q138))&gt;0),"",IF(AND($D138&lt;&gt;"",$V138="Macro"),IF(N($AH138)&gt;0,N(CHOOSE(MATCH($D138,ListaPuestos,0),INDEX('Cronograma R. Operacional'!$M$5:$M$1000,$AH138),INDEX('Cronograma R. Normativo'!$M$5:$M$1000,$AH138),INDEX('Cronograma R. Financiero'!$M$5:$M$1000,$AH138),INDEX('Cronograma Asistente Técnico'!$M$5:$M$1000,$AH138))),0),IF(ISNUMBER($G138),1,IF(N($W138)&gt;0,AVERAGEIFS($X$5:$X$1000,$U$5:$U$1000,ROW(),$V$5:$V$1000,"Sub"),$X138))))</f>
        <v/>
      </c>
      <c r="N138" s="56">
        <f>IF(OR($M138="",$V138="Sub"),"",IF($M138&gt;=1,"Completado",IF($M138&gt;0,"En curso","Pendiente")))</f>
        <v/>
      </c>
      <c r="O138" s="56">
        <f>IF(NOT((COUNTA($B138:$D138)+COUNTA($G138:$L138)+COUNTA($Q138))&gt;0),"",IF(AND(AND($D138&lt;&gt;"",$V138="Macro"),N($AH138)&gt;0),CHOOSE(MATCH($D138,ListaPuestos,0),INDEX('Cronograma R. Operacional'!$O$5:$O$1000,$AH138),INDEX('Cronograma R. Normativo'!$O$5:$O$1000,$AH138),INDEX('Cronograma R. Financiero'!$O$5:$O$1000,$AH138),INDEX('Cronograma Asistente Técnico'!$O$5:$O$1000,$AH138))&amp;"",IF(ISNUMBER($G138),IF(AND(ISNUMBER($AN138),$G138&gt;$AN138),"Cumplida con "&amp;($G138-$AN138)&amp;IF($G138-$AN138=1," día"," días")&amp;" de retraso","Cumplida"),IF(N($M138)&gt;=1,"Cumplida",IF(NOT(ISNUMBER($AN138)),"Sin fecha límite",IF($AN138&lt;FechaRef,"Vencida hace "&amp;(FechaRef-$AN138)&amp;IF(FechaRef-$AN138=1," día"," días"),IF($AN138=FechaRef,"Vence hoy",IF($AN138-FechaRef&lt;=DiasAlerta,"Vence en "&amp;($AN138-FechaRef)&amp;IF($AN138-FechaRef=1," día"," días"),"En plazo"))))))))</f>
        <v/>
      </c>
      <c r="P138" s="62">
        <f>IF(NOT((COUNTA($B138:$D138)+COUNTA($G138:$L138)+COUNTA($Q138))&gt;0),"",IF($D138="","Propia",IF($V138&lt;&gt;"Macro","Solo se delegan macroactividades",IF(N($AH138)&gt;0,"✔ Recibida por "&amp;$D138,"⚠ "&amp;$D138&amp;" aún no la agrega"))))</f>
        <v/>
      </c>
      <c r="Q138" s="58" t="n"/>
      <c r="R138" s="63">
        <f>IF(NOT((COUNTA($B138:$D138)+COUNTA($G138:$L138)+COUNTA($Q138))&gt;0),"",IF((IF($C138="","Falta el nombre de la actividad"&amp;" · ","")&amp;IF(AND($V138="Sub",N($U138)=0),"Subactividad sin macroactividad arriba"&amp;" · ","")&amp;IF($AM138="","Sin fecha de inicio"&amp;" · ","")&amp;IF($AN138="","Sin fecha límite"&amp;" · ","")&amp;IF(AND(LEFT($C138,11)="[Jefatura] ",N($AL138)=0),"No se encuentra en la hoja de la jefatura (elíjala de nuevo en la lista)"&amp;" · ","")&amp;IF(OR(AND($E138&lt;&gt;"",NOT(ISNUMBER($E138))),AND($F138&lt;&gt;"",NOT(ISNUMBER($F138))),AND($G138&lt;&gt;"",NOT(ISNUMBER($G138)))),"Fecha no válida"&amp;" · ","")&amp;IF(AND(ISNUMBER($AM138),ISNUMBER($AN138),$AM138&gt;$AN138),"Inicio posterior a fecha límite"&amp;" · ","")&amp;IF(AND($V138="Macro",$H138&lt;&gt;"",OR(NOT(ISNUMBER($H138)),$H138&lt;0,$H138&gt;1)),"Peso fuera de rango"&amp;" · ","")&amp;IF(AND($V138="Sub",$H138&lt;&gt;""),"Las subactividades no llevan peso (valen igual dentro de su macroactividad)"&amp;" · ","")&amp;IF(AND(N($W138)&gt;0,COUNT($I138:$L138)&gt;0),"Con subactividades: deje vacías las semanas (se calculan solas)"&amp;" · ","")&amp;IF((COUNTIF($I138:$L138,"&gt;1")+COUNTIF($I138:$L138,"&lt;0")+COUNTA($I138:$L138)-COUNT($I138:$L138))&gt;0,"Avance fuera de rango 0-100%"&amp;" · ","")&amp;IF(OR(AND($J138&lt;&gt;"",$J138&lt;$I138),AND($K138&lt;&gt;"",$K138&lt;MAX($I138:$J138)),AND($L138&lt;&gt;"",$L138&lt;MAX($I138:$K138))),"Avance semanal decreciente"&amp;" · ","")&amp;IF(AND(ISNUMBER($AN138),$AN138&lt;FechaRef,IF($V138="Sub",N($X138),N($M138))&lt;1),"Vencida"&amp;" · ","")&amp;IF(AND(ObsObligatoria="Sí",ISNUMBER($AN138),$AN138&lt;FechaRef,IF($V138="Sub",N($X138),N($M138))&lt;1,$Q138=""),"Vencida sin observación"&amp;" · ",""))="","✔ OK","⚠ "&amp;LEFT(IF($C138="","Falta el nombre de la actividad"&amp;" · ","")&amp;IF(AND($V138="Sub",N($U138)=0),"Subactividad sin macroactividad arriba"&amp;" · ","")&amp;IF($AM138="","Sin fecha de inicio"&amp;" · ","")&amp;IF($AN138="","Sin fecha límite"&amp;" · ","")&amp;IF(AND(LEFT($C138,11)="[Jefatura] ",N($AL138)=0),"No se encuentra en la hoja de la jefatura (elíjala de nuevo en la lista)"&amp;" · ","")&amp;IF(OR(AND($E138&lt;&gt;"",NOT(ISNUMBER($E138))),AND($F138&lt;&gt;"",NOT(ISNUMBER($F138))),AND($G138&lt;&gt;"",NOT(ISNUMBER($G138)))),"Fecha no válida"&amp;" · ","")&amp;IF(AND(ISNUMBER($AM138),ISNUMBER($AN138),$AM138&gt;$AN138),"Inicio posterior a fecha límite"&amp;" · ","")&amp;IF(AND($V138="Macro",$H138&lt;&gt;"",OR(NOT(ISNUMBER($H138)),$H138&lt;0,$H138&gt;1)),"Peso fuera de rango"&amp;" · ","")&amp;IF(AND($V138="Sub",$H138&lt;&gt;""),"Las subactividades no llevan peso (valen igual dentro de su macroactividad)"&amp;" · ","")&amp;IF(AND(N($W138)&gt;0,COUNT($I138:$L138)&gt;0),"Con subactividades: deje vacías las semanas (se calculan solas)"&amp;" · ","")&amp;IF((COUNTIF($I138:$L138,"&gt;1")+COUNTIF($I138:$L138,"&lt;0")+COUNTA($I138:$L138)-COUNT($I138:$L138))&gt;0,"Avance fuera de rango 0-100%"&amp;" · ","")&amp;IF(OR(AND($J138&lt;&gt;"",$J138&lt;$I138),AND($K138&lt;&gt;"",$K138&lt;MAX($I138:$J138)),AND($L138&lt;&gt;"",$L138&lt;MAX($I138:$K138))),"Avance semanal decreciente"&amp;" · ","")&amp;IF(AND(ISNUMBER($AN138),$AN138&lt;FechaRef,IF($V138="Sub",N($X138),N($M138))&lt;1),"Vencida"&amp;" · ","")&amp;IF(AND(ObsObligatoria="Sí",ISNUMBER($AN138),$AN138&lt;FechaRef,IF($V138="Sub",N($X138),N($M138))&lt;1,$Q138=""),"Vencida sin observación"&amp;" · ",""),LEN(IF($C138="","Falta el nombre de la actividad"&amp;" · ","")&amp;IF(AND($V138="Sub",N($U138)=0),"Subactividad sin macroactividad arriba"&amp;" · ","")&amp;IF($AM138="","Sin fecha de inicio"&amp;" · ","")&amp;IF($AN138="","Sin fecha límite"&amp;" · ","")&amp;IF(AND(LEFT($C138,11)="[Jefatura] ",N($AL138)=0),"No se encuentra en la hoja de la jefatura (elíjala de nuevo en la lista)"&amp;" · ","")&amp;IF(OR(AND($E138&lt;&gt;"",NOT(ISNUMBER($E138))),AND($F138&lt;&gt;"",NOT(ISNUMBER($F138))),AND($G138&lt;&gt;"",NOT(ISNUMBER($G138)))),"Fecha no válida"&amp;" · ","")&amp;IF(AND(ISNUMBER($AM138),ISNUMBER($AN138),$AM138&gt;$AN138),"Inicio posterior a fecha límite"&amp;" · ","")&amp;IF(AND($V138="Macro",$H138&lt;&gt;"",OR(NOT(ISNUMBER($H138)),$H138&lt;0,$H138&gt;1)),"Peso fuera de rango"&amp;" · ","")&amp;IF(AND($V138="Sub",$H138&lt;&gt;""),"Las subactividades no llevan peso (valen igual dentro de su macroactividad)"&amp;" · ","")&amp;IF(AND(N($W138)&gt;0,COUNT($I138:$L138)&gt;0),"Con subactividades: deje vacías las semanas (se calculan solas)"&amp;" · ","")&amp;IF((COUNTIF($I138:$L138,"&gt;1")+COUNTIF($I138:$L138,"&lt;0")+COUNTA($I138:$L138)-COUNT($I138:$L138))&gt;0,"Avance fuera de rango 0-100%"&amp;" · ","")&amp;IF(OR(AND($J138&lt;&gt;"",$J138&lt;$I138),AND($K138&lt;&gt;"",$K138&lt;MAX($I138:$J138)),AND($L138&lt;&gt;"",$L138&lt;MAX($I138:$K138))),"Avance semanal decreciente"&amp;" · ","")&amp;IF(AND(ISNUMBER($AN138),$AN138&lt;FechaRef,IF($V138="Sub",N($X138),N($M138))&lt;1),"Vencida"&amp;" · ","")&amp;IF(AND(ObsObligatoria="Sí",ISNUMBER($AN138),$AN138&lt;FechaRef,IF($V138="Sub",N($X138),N($M138))&lt;1,$Q138=""),"Vencida sin observación"&amp;" · ",""))-3)))</f>
        <v/>
      </c>
      <c r="S138" s="64">
        <f>IF(NOT((COUNTA($B138:$D138)+COUNTA($G138:$L138)+COUNTA($Q138))&gt;0),"",IF(AND($V138="Sub",N($U138)&gt;0),IF(ISNUMBER(INDEX($AM$5:$AM$1000,$U138-4)),DATE(YEAR(INDEX($AM$5:$AM$1000,$U138-4)),MONTH(INDEX($AM$5:$AM$1000,$U138-4)),1),IF(ISNUMBER(INDEX($AN$5:$AN$1000,$U138-4)),DATE(YEAR(INDEX($AN$5:$AN$1000,$U138-4)),MONTH(INDEX($AN$5:$AN$1000,$U138-4)),1),MesCiclo)),IF(ISNUMBER($AM138),DATE(YEAR($AM138),MONTH($AM138),1),IF(ISNUMBER($AN138),DATE(YEAR($AN138),MONTH($AN138),1),MesCiclo))))</f>
        <v/>
      </c>
      <c r="T138" s="62">
        <f>IF(OR($S138="",$S138&lt;&gt;MesCiclo,$V138&lt;&gt;"Macro"),"",COUNTIFS($S$5:$S138,MesCiclo,$V$5:$V138,"Macro"))</f>
        <v/>
      </c>
      <c r="U138" s="62">
        <f>IF($V138="","",IF($V138="Macro",ROW(),IFERROR(LOOKUP(2,1/($V$5:$V138="Macro"),ROW($V$5:$V138)),0)))</f>
        <v/>
      </c>
      <c r="V138" s="62">
        <f>IF(NOT((COUNTA($B138:$D138)+COUNTA($G138:$L138)+COUNTA($Q138))&gt;0),"",IF($B138="Subactividad","Sub","Macro"))</f>
        <v/>
      </c>
      <c r="W138" s="62">
        <f>IF($V138="Macro",COUNTIFS($U$5:$U$1000,ROW(),$V$5:$V$1000,"Sub"),"")</f>
        <v/>
      </c>
      <c r="X138" s="62">
        <f>IF($V138="","",IF(ISNUMBER($G138),1,IFERROR(LOOKUP(2,1/($I138:$L138&lt;&gt;""),$I138:$L138),0)))</f>
        <v/>
      </c>
      <c r="Y138" s="62">
        <f>IF($V138="","",IF(AND(ISNUMBER($G138),$G138&lt;=IF($S138=MesCiclo,InicioCiclo,$S138+MOD(2-WEEKDAY($S138),7))+6),1,IF(ISNUMBER($I138),$I138,0)))</f>
        <v/>
      </c>
      <c r="Z138" s="62">
        <f>IF($V138="","",IF(AND(ISNUMBER($G138),$G138&lt;=IF($S138=MesCiclo,InicioCiclo,$S138+MOD(2-WEEKDAY($S138),7))+13),1,IF(ISNUMBER($J138),$J138,$Y138)))</f>
        <v/>
      </c>
      <c r="AA138" s="62">
        <f>IF($V138="","",IF(AND(ISNUMBER($G138),$G138&lt;=IF($S138=MesCiclo,InicioCiclo,$S138+MOD(2-WEEKDAY($S138),7))+20),1,IF(ISNUMBER($K138),$K138,$Z138)))</f>
        <v/>
      </c>
      <c r="AB138" s="62">
        <f>IF($V138="","",IF(AND(ISNUMBER($G138),$G138&lt;=IF($S138=MesCiclo,InicioCiclo,$S138+MOD(2-WEEKDAY($S138),7))+27),1,IF(ISNUMBER($L138),$L138,$AA138)))</f>
        <v/>
      </c>
      <c r="AC138" s="62">
        <f>IF($V138="","",IF(AND(ISNUMBER($G138),$G138&lt;=IF($S138=MesCiclo,InicioCiclo,$S138+MOD(2-WEEKDAY($S138),7))+6),1,IF(N($W138)&gt;0,AVERAGEIFS($Y$5:$Y$1000,$U$5:$U$1000,ROW(),$V$5:$V$1000,"Sub"),$Y138)))</f>
        <v/>
      </c>
      <c r="AD138" s="62">
        <f>IF($V138="","",IF(AND(ISNUMBER($G138),$G138&lt;=IF($S138=MesCiclo,InicioCiclo,$S138+MOD(2-WEEKDAY($S138),7))+13),1,IF(N($W138)&gt;0,AVERAGEIFS($Z$5:$Z$1000,$U$5:$U$1000,ROW(),$V$5:$V$1000,"Sub"),$Z138)))</f>
        <v/>
      </c>
      <c r="AE138" s="62">
        <f>IF($V138="","",IF(AND(ISNUMBER($G138),$G138&lt;=IF($S138=MesCiclo,InicioCiclo,$S138+MOD(2-WEEKDAY($S138),7))+20),1,IF(N($W138)&gt;0,AVERAGEIFS($AA$5:$AA$1000,$U$5:$U$1000,ROW(),$V$5:$V$1000,"Sub"),$AA138)))</f>
        <v/>
      </c>
      <c r="AF138" s="62">
        <f>IF($V138="","",IF(AND(ISNUMBER($G138),$G138&lt;=IF($S138=MesCiclo,InicioCiclo,$S138+MOD(2-WEEKDAY($S138),7))+27),1,IF(N($W138)&gt;0,AVERAGEIFS($AB$5:$AB$1000,$U$5:$U$1000,ROW(),$V$5:$V$1000,"Sub"),$AB138)))</f>
        <v/>
      </c>
      <c r="AG138" s="62">
        <f>IF($V138&lt;&gt;"Macro","",IF(COUNTIFS($S$5:$S$1000,$S138,$V$5:$V$1000,"Macro",$H$5:$H$1000,"&gt;0")=0,1/COUNTIFS($S$5:$S$1000,$S138,$V$5:$V$1000,"Macro"),IF(AND(ISNUMBER($H138),N($H138)&gt;0),$H138,SUMIFS($H$5:$H$1000,$S$5:$S$1000,$S138,$V$5:$V$1000,"Macro")/COUNTIFS($S$5:$S$1000,$S138,$V$5:$V$1000,"Macro",$H$5:$H$1000,"&gt;0"))/(COUNTIFS($S$5:$S$1000,$S138,$V$5:$V$1000,"Macro")*SUMIFS($H$5:$H$1000,$S$5:$S$1000,$S138,$V$5:$V$1000,"Macro")/COUNTIFS($S$5:$S$1000,$S138,$V$5:$V$1000,"Macro",$H$5:$H$1000,"&gt;0"))))</f>
        <v/>
      </c>
      <c r="AH138" s="62">
        <f>IF(NOT(AND($D138&lt;&gt;"",$V138="Macro")),"",IFERROR(CHOOSE(MATCH($D138,ListaPuestos,0),MATCH("[Jefatura] "&amp;$C138,'Cronograma R. Operacional'!$C$5:$C$1000,0),MATCH("[Jefatura] "&amp;$C138,'Cronograma R. Normativo'!$C$5:$C$1000,0),MATCH("[Jefatura] "&amp;$C138,'Cronograma R. Financiero'!$C$5:$C$1000,0),MATCH("[Jefatura] "&amp;$C138,'Cronograma Asistente Técnico'!$C$5:$C$1000,0)),0))</f>
        <v/>
      </c>
      <c r="AI138" s="62">
        <f>IF(AND(AND($D138&lt;&gt;"",$V138="Macro"),$S138=MesCiclo),COUNTIFS($D$5:$D138,$D138,$S$5:$S138,MesCiclo,$V$5:$V138,"Macro"),"")</f>
        <v/>
      </c>
      <c r="AJ138" s="62">
        <f>IF($AI138="","",$D138&amp;"|"&amp;$AI138)</f>
        <v/>
      </c>
      <c r="AK138" s="62">
        <f>IF(AND($D138&lt;&gt;"",$V138="Macro"),$D138&amp;"|"&amp;$C138,"")</f>
        <v/>
      </c>
      <c r="AL138" s="62">
        <f>""</f>
        <v/>
      </c>
      <c r="AM138" s="62">
        <f>IF(N($AL138)&gt;0,INDEX(rIni_ADM,$AL138),IF(ISNUMBER($E138),$E138,""))</f>
        <v/>
      </c>
      <c r="AN138" s="62">
        <f>IF(N($AL138)&gt;0,INDEX(rLim_ADM,$AL138),IF(ISNUMBER($F138),$F138,""))</f>
        <v/>
      </c>
    </row>
    <row r="139">
      <c r="A139" s="56">
        <f>IF(NOT((COUNTA($B139:$D139)+COUNTA($G139:$L139)+COUNTA($Q139))&gt;0),"",IF($V139="Macro",COUNTIFS($V$5:$V139,"Macro",$S$5:$S139,$S139),IF(N($U139)=0,"?",COUNTIFS(INDEX($V$5:$V$1000,1):INDEX($V$5:$V$1000,$U139-4),"Macro",INDEX($S$5:$S$1000,1):INDEX($S$5:$S$1000,$U139-4),INDEX($S$5:$S$1000,$U139-4))&amp;"."&amp;COUNTIFS($U$5:$U139,$U139,$V$5:$V139,"Sub"))))</f>
        <v/>
      </c>
      <c r="B139" s="57" t="n"/>
      <c r="C139" s="58" t="n"/>
      <c r="D139" s="58" t="n"/>
      <c r="E139" s="59" t="n"/>
      <c r="F139" s="59" t="n"/>
      <c r="G139" s="59" t="n"/>
      <c r="H139" s="60" t="n"/>
      <c r="I139" s="60" t="n"/>
      <c r="J139" s="60" t="n"/>
      <c r="K139" s="60" t="n"/>
      <c r="L139" s="60" t="n"/>
      <c r="M139" s="61">
        <f>IF(NOT((COUNTA($B139:$D139)+COUNTA($G139:$L139)+COUNTA($Q139))&gt;0),"",IF(AND($D139&lt;&gt;"",$V139="Macro"),IF(N($AH139)&gt;0,N(CHOOSE(MATCH($D139,ListaPuestos,0),INDEX('Cronograma R. Operacional'!$M$5:$M$1000,$AH139),INDEX('Cronograma R. Normativo'!$M$5:$M$1000,$AH139),INDEX('Cronograma R. Financiero'!$M$5:$M$1000,$AH139),INDEX('Cronograma Asistente Técnico'!$M$5:$M$1000,$AH139))),0),IF(ISNUMBER($G139),1,IF(N($W139)&gt;0,AVERAGEIFS($X$5:$X$1000,$U$5:$U$1000,ROW(),$V$5:$V$1000,"Sub"),$X139))))</f>
        <v/>
      </c>
      <c r="N139" s="56">
        <f>IF(OR($M139="",$V139="Sub"),"",IF($M139&gt;=1,"Completado",IF($M139&gt;0,"En curso","Pendiente")))</f>
        <v/>
      </c>
      <c r="O139" s="56">
        <f>IF(NOT((COUNTA($B139:$D139)+COUNTA($G139:$L139)+COUNTA($Q139))&gt;0),"",IF(AND(AND($D139&lt;&gt;"",$V139="Macro"),N($AH139)&gt;0),CHOOSE(MATCH($D139,ListaPuestos,0),INDEX('Cronograma R. Operacional'!$O$5:$O$1000,$AH139),INDEX('Cronograma R. Normativo'!$O$5:$O$1000,$AH139),INDEX('Cronograma R. Financiero'!$O$5:$O$1000,$AH139),INDEX('Cronograma Asistente Técnico'!$O$5:$O$1000,$AH139))&amp;"",IF(ISNUMBER($G139),IF(AND(ISNUMBER($AN139),$G139&gt;$AN139),"Cumplida con "&amp;($G139-$AN139)&amp;IF($G139-$AN139=1," día"," días")&amp;" de retraso","Cumplida"),IF(N($M139)&gt;=1,"Cumplida",IF(NOT(ISNUMBER($AN139)),"Sin fecha límite",IF($AN139&lt;FechaRef,"Vencida hace "&amp;(FechaRef-$AN139)&amp;IF(FechaRef-$AN139=1," día"," días"),IF($AN139=FechaRef,"Vence hoy",IF($AN139-FechaRef&lt;=DiasAlerta,"Vence en "&amp;($AN139-FechaRef)&amp;IF($AN139-FechaRef=1," día"," días"),"En plazo"))))))))</f>
        <v/>
      </c>
      <c r="P139" s="62">
        <f>IF(NOT((COUNTA($B139:$D139)+COUNTA($G139:$L139)+COUNTA($Q139))&gt;0),"",IF($D139="","Propia",IF($V139&lt;&gt;"Macro","Solo se delegan macroactividades",IF(N($AH139)&gt;0,"✔ Recibida por "&amp;$D139,"⚠ "&amp;$D139&amp;" aún no la agrega"))))</f>
        <v/>
      </c>
      <c r="Q139" s="58" t="n"/>
      <c r="R139" s="63">
        <f>IF(NOT((COUNTA($B139:$D139)+COUNTA($G139:$L139)+COUNTA($Q139))&gt;0),"",IF((IF($C139="","Falta el nombre de la actividad"&amp;" · ","")&amp;IF(AND($V139="Sub",N($U139)=0),"Subactividad sin macroactividad arriba"&amp;" · ","")&amp;IF($AM139="","Sin fecha de inicio"&amp;" · ","")&amp;IF($AN139="","Sin fecha límite"&amp;" · ","")&amp;IF(AND(LEFT($C139,11)="[Jefatura] ",N($AL139)=0),"No se encuentra en la hoja de la jefatura (elíjala de nuevo en la lista)"&amp;" · ","")&amp;IF(OR(AND($E139&lt;&gt;"",NOT(ISNUMBER($E139))),AND($F139&lt;&gt;"",NOT(ISNUMBER($F139))),AND($G139&lt;&gt;"",NOT(ISNUMBER($G139)))),"Fecha no válida"&amp;" · ","")&amp;IF(AND(ISNUMBER($AM139),ISNUMBER($AN139),$AM139&gt;$AN139),"Inicio posterior a fecha límite"&amp;" · ","")&amp;IF(AND($V139="Macro",$H139&lt;&gt;"",OR(NOT(ISNUMBER($H139)),$H139&lt;0,$H139&gt;1)),"Peso fuera de rango"&amp;" · ","")&amp;IF(AND($V139="Sub",$H139&lt;&gt;""),"Las subactividades no llevan peso (valen igual dentro de su macroactividad)"&amp;" · ","")&amp;IF(AND(N($W139)&gt;0,COUNT($I139:$L139)&gt;0),"Con subactividades: deje vacías las semanas (se calculan solas)"&amp;" · ","")&amp;IF((COUNTIF($I139:$L139,"&gt;1")+COUNTIF($I139:$L139,"&lt;0")+COUNTA($I139:$L139)-COUNT($I139:$L139))&gt;0,"Avance fuera de rango 0-100%"&amp;" · ","")&amp;IF(OR(AND($J139&lt;&gt;"",$J139&lt;$I139),AND($K139&lt;&gt;"",$K139&lt;MAX($I139:$J139)),AND($L139&lt;&gt;"",$L139&lt;MAX($I139:$K139))),"Avance semanal decreciente"&amp;" · ","")&amp;IF(AND(ISNUMBER($AN139),$AN139&lt;FechaRef,IF($V139="Sub",N($X139),N($M139))&lt;1),"Vencida"&amp;" · ","")&amp;IF(AND(ObsObligatoria="Sí",ISNUMBER($AN139),$AN139&lt;FechaRef,IF($V139="Sub",N($X139),N($M139))&lt;1,$Q139=""),"Vencida sin observación"&amp;" · ",""))="","✔ OK","⚠ "&amp;LEFT(IF($C139="","Falta el nombre de la actividad"&amp;" · ","")&amp;IF(AND($V139="Sub",N($U139)=0),"Subactividad sin macroactividad arriba"&amp;" · ","")&amp;IF($AM139="","Sin fecha de inicio"&amp;" · ","")&amp;IF($AN139="","Sin fecha límite"&amp;" · ","")&amp;IF(AND(LEFT($C139,11)="[Jefatura] ",N($AL139)=0),"No se encuentra en la hoja de la jefatura (elíjala de nuevo en la lista)"&amp;" · ","")&amp;IF(OR(AND($E139&lt;&gt;"",NOT(ISNUMBER($E139))),AND($F139&lt;&gt;"",NOT(ISNUMBER($F139))),AND($G139&lt;&gt;"",NOT(ISNUMBER($G139)))),"Fecha no válida"&amp;" · ","")&amp;IF(AND(ISNUMBER($AM139),ISNUMBER($AN139),$AM139&gt;$AN139),"Inicio posterior a fecha límite"&amp;" · ","")&amp;IF(AND($V139="Macro",$H139&lt;&gt;"",OR(NOT(ISNUMBER($H139)),$H139&lt;0,$H139&gt;1)),"Peso fuera de rango"&amp;" · ","")&amp;IF(AND($V139="Sub",$H139&lt;&gt;""),"Las subactividades no llevan peso (valen igual dentro de su macroactividad)"&amp;" · ","")&amp;IF(AND(N($W139)&gt;0,COUNT($I139:$L139)&gt;0),"Con subactividades: deje vacías las semanas (se calculan solas)"&amp;" · ","")&amp;IF((COUNTIF($I139:$L139,"&gt;1")+COUNTIF($I139:$L139,"&lt;0")+COUNTA($I139:$L139)-COUNT($I139:$L139))&gt;0,"Avance fuera de rango 0-100%"&amp;" · ","")&amp;IF(OR(AND($J139&lt;&gt;"",$J139&lt;$I139),AND($K139&lt;&gt;"",$K139&lt;MAX($I139:$J139)),AND($L139&lt;&gt;"",$L139&lt;MAX($I139:$K139))),"Avance semanal decreciente"&amp;" · ","")&amp;IF(AND(ISNUMBER($AN139),$AN139&lt;FechaRef,IF($V139="Sub",N($X139),N($M139))&lt;1),"Vencida"&amp;" · ","")&amp;IF(AND(ObsObligatoria="Sí",ISNUMBER($AN139),$AN139&lt;FechaRef,IF($V139="Sub",N($X139),N($M139))&lt;1,$Q139=""),"Vencida sin observación"&amp;" · ",""),LEN(IF($C139="","Falta el nombre de la actividad"&amp;" · ","")&amp;IF(AND($V139="Sub",N($U139)=0),"Subactividad sin macroactividad arriba"&amp;" · ","")&amp;IF($AM139="","Sin fecha de inicio"&amp;" · ","")&amp;IF($AN139="","Sin fecha límite"&amp;" · ","")&amp;IF(AND(LEFT($C139,11)="[Jefatura] ",N($AL139)=0),"No se encuentra en la hoja de la jefatura (elíjala de nuevo en la lista)"&amp;" · ","")&amp;IF(OR(AND($E139&lt;&gt;"",NOT(ISNUMBER($E139))),AND($F139&lt;&gt;"",NOT(ISNUMBER($F139))),AND($G139&lt;&gt;"",NOT(ISNUMBER($G139)))),"Fecha no válida"&amp;" · ","")&amp;IF(AND(ISNUMBER($AM139),ISNUMBER($AN139),$AM139&gt;$AN139),"Inicio posterior a fecha límite"&amp;" · ","")&amp;IF(AND($V139="Macro",$H139&lt;&gt;"",OR(NOT(ISNUMBER($H139)),$H139&lt;0,$H139&gt;1)),"Peso fuera de rango"&amp;" · ","")&amp;IF(AND($V139="Sub",$H139&lt;&gt;""),"Las subactividades no llevan peso (valen igual dentro de su macroactividad)"&amp;" · ","")&amp;IF(AND(N($W139)&gt;0,COUNT($I139:$L139)&gt;0),"Con subactividades: deje vacías las semanas (se calculan solas)"&amp;" · ","")&amp;IF((COUNTIF($I139:$L139,"&gt;1")+COUNTIF($I139:$L139,"&lt;0")+COUNTA($I139:$L139)-COUNT($I139:$L139))&gt;0,"Avance fuera de rango 0-100%"&amp;" · ","")&amp;IF(OR(AND($J139&lt;&gt;"",$J139&lt;$I139),AND($K139&lt;&gt;"",$K139&lt;MAX($I139:$J139)),AND($L139&lt;&gt;"",$L139&lt;MAX($I139:$K139))),"Avance semanal decreciente"&amp;" · ","")&amp;IF(AND(ISNUMBER($AN139),$AN139&lt;FechaRef,IF($V139="Sub",N($X139),N($M139))&lt;1),"Vencida"&amp;" · ","")&amp;IF(AND(ObsObligatoria="Sí",ISNUMBER($AN139),$AN139&lt;FechaRef,IF($V139="Sub",N($X139),N($M139))&lt;1,$Q139=""),"Vencida sin observación"&amp;" · ",""))-3)))</f>
        <v/>
      </c>
      <c r="S139" s="64">
        <f>IF(NOT((COUNTA($B139:$D139)+COUNTA($G139:$L139)+COUNTA($Q139))&gt;0),"",IF(AND($V139="Sub",N($U139)&gt;0),IF(ISNUMBER(INDEX($AM$5:$AM$1000,$U139-4)),DATE(YEAR(INDEX($AM$5:$AM$1000,$U139-4)),MONTH(INDEX($AM$5:$AM$1000,$U139-4)),1),IF(ISNUMBER(INDEX($AN$5:$AN$1000,$U139-4)),DATE(YEAR(INDEX($AN$5:$AN$1000,$U139-4)),MONTH(INDEX($AN$5:$AN$1000,$U139-4)),1),MesCiclo)),IF(ISNUMBER($AM139),DATE(YEAR($AM139),MONTH($AM139),1),IF(ISNUMBER($AN139),DATE(YEAR($AN139),MONTH($AN139),1),MesCiclo))))</f>
        <v/>
      </c>
      <c r="T139" s="62">
        <f>IF(OR($S139="",$S139&lt;&gt;MesCiclo,$V139&lt;&gt;"Macro"),"",COUNTIFS($S$5:$S139,MesCiclo,$V$5:$V139,"Macro"))</f>
        <v/>
      </c>
      <c r="U139" s="62">
        <f>IF($V139="","",IF($V139="Macro",ROW(),IFERROR(LOOKUP(2,1/($V$5:$V139="Macro"),ROW($V$5:$V139)),0)))</f>
        <v/>
      </c>
      <c r="V139" s="62">
        <f>IF(NOT((COUNTA($B139:$D139)+COUNTA($G139:$L139)+COUNTA($Q139))&gt;0),"",IF($B139="Subactividad","Sub","Macro"))</f>
        <v/>
      </c>
      <c r="W139" s="62">
        <f>IF($V139="Macro",COUNTIFS($U$5:$U$1000,ROW(),$V$5:$V$1000,"Sub"),"")</f>
        <v/>
      </c>
      <c r="X139" s="62">
        <f>IF($V139="","",IF(ISNUMBER($G139),1,IFERROR(LOOKUP(2,1/($I139:$L139&lt;&gt;""),$I139:$L139),0)))</f>
        <v/>
      </c>
      <c r="Y139" s="62">
        <f>IF($V139="","",IF(AND(ISNUMBER($G139),$G139&lt;=IF($S139=MesCiclo,InicioCiclo,$S139+MOD(2-WEEKDAY($S139),7))+6),1,IF(ISNUMBER($I139),$I139,0)))</f>
        <v/>
      </c>
      <c r="Z139" s="62">
        <f>IF($V139="","",IF(AND(ISNUMBER($G139),$G139&lt;=IF($S139=MesCiclo,InicioCiclo,$S139+MOD(2-WEEKDAY($S139),7))+13),1,IF(ISNUMBER($J139),$J139,$Y139)))</f>
        <v/>
      </c>
      <c r="AA139" s="62">
        <f>IF($V139="","",IF(AND(ISNUMBER($G139),$G139&lt;=IF($S139=MesCiclo,InicioCiclo,$S139+MOD(2-WEEKDAY($S139),7))+20),1,IF(ISNUMBER($K139),$K139,$Z139)))</f>
        <v/>
      </c>
      <c r="AB139" s="62">
        <f>IF($V139="","",IF(AND(ISNUMBER($G139),$G139&lt;=IF($S139=MesCiclo,InicioCiclo,$S139+MOD(2-WEEKDAY($S139),7))+27),1,IF(ISNUMBER($L139),$L139,$AA139)))</f>
        <v/>
      </c>
      <c r="AC139" s="62">
        <f>IF($V139="","",IF(AND(ISNUMBER($G139),$G139&lt;=IF($S139=MesCiclo,InicioCiclo,$S139+MOD(2-WEEKDAY($S139),7))+6),1,IF(N($W139)&gt;0,AVERAGEIFS($Y$5:$Y$1000,$U$5:$U$1000,ROW(),$V$5:$V$1000,"Sub"),$Y139)))</f>
        <v/>
      </c>
      <c r="AD139" s="62">
        <f>IF($V139="","",IF(AND(ISNUMBER($G139),$G139&lt;=IF($S139=MesCiclo,InicioCiclo,$S139+MOD(2-WEEKDAY($S139),7))+13),1,IF(N($W139)&gt;0,AVERAGEIFS($Z$5:$Z$1000,$U$5:$U$1000,ROW(),$V$5:$V$1000,"Sub"),$Z139)))</f>
        <v/>
      </c>
      <c r="AE139" s="62">
        <f>IF($V139="","",IF(AND(ISNUMBER($G139),$G139&lt;=IF($S139=MesCiclo,InicioCiclo,$S139+MOD(2-WEEKDAY($S139),7))+20),1,IF(N($W139)&gt;0,AVERAGEIFS($AA$5:$AA$1000,$U$5:$U$1000,ROW(),$V$5:$V$1000,"Sub"),$AA139)))</f>
        <v/>
      </c>
      <c r="AF139" s="62">
        <f>IF($V139="","",IF(AND(ISNUMBER($G139),$G139&lt;=IF($S139=MesCiclo,InicioCiclo,$S139+MOD(2-WEEKDAY($S139),7))+27),1,IF(N($W139)&gt;0,AVERAGEIFS($AB$5:$AB$1000,$U$5:$U$1000,ROW(),$V$5:$V$1000,"Sub"),$AB139)))</f>
        <v/>
      </c>
      <c r="AG139" s="62">
        <f>IF($V139&lt;&gt;"Macro","",IF(COUNTIFS($S$5:$S$1000,$S139,$V$5:$V$1000,"Macro",$H$5:$H$1000,"&gt;0")=0,1/COUNTIFS($S$5:$S$1000,$S139,$V$5:$V$1000,"Macro"),IF(AND(ISNUMBER($H139),N($H139)&gt;0),$H139,SUMIFS($H$5:$H$1000,$S$5:$S$1000,$S139,$V$5:$V$1000,"Macro")/COUNTIFS($S$5:$S$1000,$S139,$V$5:$V$1000,"Macro",$H$5:$H$1000,"&gt;0"))/(COUNTIFS($S$5:$S$1000,$S139,$V$5:$V$1000,"Macro")*SUMIFS($H$5:$H$1000,$S$5:$S$1000,$S139,$V$5:$V$1000,"Macro")/COUNTIFS($S$5:$S$1000,$S139,$V$5:$V$1000,"Macro",$H$5:$H$1000,"&gt;0"))))</f>
        <v/>
      </c>
      <c r="AH139" s="62">
        <f>IF(NOT(AND($D139&lt;&gt;"",$V139="Macro")),"",IFERROR(CHOOSE(MATCH($D139,ListaPuestos,0),MATCH("[Jefatura] "&amp;$C139,'Cronograma R. Operacional'!$C$5:$C$1000,0),MATCH("[Jefatura] "&amp;$C139,'Cronograma R. Normativo'!$C$5:$C$1000,0),MATCH("[Jefatura] "&amp;$C139,'Cronograma R. Financiero'!$C$5:$C$1000,0),MATCH("[Jefatura] "&amp;$C139,'Cronograma Asistente Técnico'!$C$5:$C$1000,0)),0))</f>
        <v/>
      </c>
      <c r="AI139" s="62">
        <f>IF(AND(AND($D139&lt;&gt;"",$V139="Macro"),$S139=MesCiclo),COUNTIFS($D$5:$D139,$D139,$S$5:$S139,MesCiclo,$V$5:$V139,"Macro"),"")</f>
        <v/>
      </c>
      <c r="AJ139" s="62">
        <f>IF($AI139="","",$D139&amp;"|"&amp;$AI139)</f>
        <v/>
      </c>
      <c r="AK139" s="62">
        <f>IF(AND($D139&lt;&gt;"",$V139="Macro"),$D139&amp;"|"&amp;$C139,"")</f>
        <v/>
      </c>
      <c r="AL139" s="62">
        <f>""</f>
        <v/>
      </c>
      <c r="AM139" s="62">
        <f>IF(N($AL139)&gt;0,INDEX(rIni_ADM,$AL139),IF(ISNUMBER($E139),$E139,""))</f>
        <v/>
      </c>
      <c r="AN139" s="62">
        <f>IF(N($AL139)&gt;0,INDEX(rLim_ADM,$AL139),IF(ISNUMBER($F139),$F139,""))</f>
        <v/>
      </c>
    </row>
    <row r="140">
      <c r="A140" s="56">
        <f>IF(NOT((COUNTA($B140:$D140)+COUNTA($G140:$L140)+COUNTA($Q140))&gt;0),"",IF($V140="Macro",COUNTIFS($V$5:$V140,"Macro",$S$5:$S140,$S140),IF(N($U140)=0,"?",COUNTIFS(INDEX($V$5:$V$1000,1):INDEX($V$5:$V$1000,$U140-4),"Macro",INDEX($S$5:$S$1000,1):INDEX($S$5:$S$1000,$U140-4),INDEX($S$5:$S$1000,$U140-4))&amp;"."&amp;COUNTIFS($U$5:$U140,$U140,$V$5:$V140,"Sub"))))</f>
        <v/>
      </c>
      <c r="B140" s="57" t="n"/>
      <c r="C140" s="58" t="n"/>
      <c r="D140" s="58" t="n"/>
      <c r="E140" s="59" t="n"/>
      <c r="F140" s="59" t="n"/>
      <c r="G140" s="59" t="n"/>
      <c r="H140" s="60" t="n"/>
      <c r="I140" s="60" t="n"/>
      <c r="J140" s="60" t="n"/>
      <c r="K140" s="60" t="n"/>
      <c r="L140" s="60" t="n"/>
      <c r="M140" s="61">
        <f>IF(NOT((COUNTA($B140:$D140)+COUNTA($G140:$L140)+COUNTA($Q140))&gt;0),"",IF(AND($D140&lt;&gt;"",$V140="Macro"),IF(N($AH140)&gt;0,N(CHOOSE(MATCH($D140,ListaPuestos,0),INDEX('Cronograma R. Operacional'!$M$5:$M$1000,$AH140),INDEX('Cronograma R. Normativo'!$M$5:$M$1000,$AH140),INDEX('Cronograma R. Financiero'!$M$5:$M$1000,$AH140),INDEX('Cronograma Asistente Técnico'!$M$5:$M$1000,$AH140))),0),IF(ISNUMBER($G140),1,IF(N($W140)&gt;0,AVERAGEIFS($X$5:$X$1000,$U$5:$U$1000,ROW(),$V$5:$V$1000,"Sub"),$X140))))</f>
        <v/>
      </c>
      <c r="N140" s="56">
        <f>IF(OR($M140="",$V140="Sub"),"",IF($M140&gt;=1,"Completado",IF($M140&gt;0,"En curso","Pendiente")))</f>
        <v/>
      </c>
      <c r="O140" s="56">
        <f>IF(NOT((COUNTA($B140:$D140)+COUNTA($G140:$L140)+COUNTA($Q140))&gt;0),"",IF(AND(AND($D140&lt;&gt;"",$V140="Macro"),N($AH140)&gt;0),CHOOSE(MATCH($D140,ListaPuestos,0),INDEX('Cronograma R. Operacional'!$O$5:$O$1000,$AH140),INDEX('Cronograma R. Normativo'!$O$5:$O$1000,$AH140),INDEX('Cronograma R. Financiero'!$O$5:$O$1000,$AH140),INDEX('Cronograma Asistente Técnico'!$O$5:$O$1000,$AH140))&amp;"",IF(ISNUMBER($G140),IF(AND(ISNUMBER($AN140),$G140&gt;$AN140),"Cumplida con "&amp;($G140-$AN140)&amp;IF($G140-$AN140=1," día"," días")&amp;" de retraso","Cumplida"),IF(N($M140)&gt;=1,"Cumplida",IF(NOT(ISNUMBER($AN140)),"Sin fecha límite",IF($AN140&lt;FechaRef,"Vencida hace "&amp;(FechaRef-$AN140)&amp;IF(FechaRef-$AN140=1," día"," días"),IF($AN140=FechaRef,"Vence hoy",IF($AN140-FechaRef&lt;=DiasAlerta,"Vence en "&amp;($AN140-FechaRef)&amp;IF($AN140-FechaRef=1," día"," días"),"En plazo"))))))))</f>
        <v/>
      </c>
      <c r="P140" s="62">
        <f>IF(NOT((COUNTA($B140:$D140)+COUNTA($G140:$L140)+COUNTA($Q140))&gt;0),"",IF($D140="","Propia",IF($V140&lt;&gt;"Macro","Solo se delegan macroactividades",IF(N($AH140)&gt;0,"✔ Recibida por "&amp;$D140,"⚠ "&amp;$D140&amp;" aún no la agrega"))))</f>
        <v/>
      </c>
      <c r="Q140" s="58" t="n"/>
      <c r="R140" s="63">
        <f>IF(NOT((COUNTA($B140:$D140)+COUNTA($G140:$L140)+COUNTA($Q140))&gt;0),"",IF((IF($C140="","Falta el nombre de la actividad"&amp;" · ","")&amp;IF(AND($V140="Sub",N($U140)=0),"Subactividad sin macroactividad arriba"&amp;" · ","")&amp;IF($AM140="","Sin fecha de inicio"&amp;" · ","")&amp;IF($AN140="","Sin fecha límite"&amp;" · ","")&amp;IF(AND(LEFT($C140,11)="[Jefatura] ",N($AL140)=0),"No se encuentra en la hoja de la jefatura (elíjala de nuevo en la lista)"&amp;" · ","")&amp;IF(OR(AND($E140&lt;&gt;"",NOT(ISNUMBER($E140))),AND($F140&lt;&gt;"",NOT(ISNUMBER($F140))),AND($G140&lt;&gt;"",NOT(ISNUMBER($G140)))),"Fecha no válida"&amp;" · ","")&amp;IF(AND(ISNUMBER($AM140),ISNUMBER($AN140),$AM140&gt;$AN140),"Inicio posterior a fecha límite"&amp;" · ","")&amp;IF(AND($V140="Macro",$H140&lt;&gt;"",OR(NOT(ISNUMBER($H140)),$H140&lt;0,$H140&gt;1)),"Peso fuera de rango"&amp;" · ","")&amp;IF(AND($V140="Sub",$H140&lt;&gt;""),"Las subactividades no llevan peso (valen igual dentro de su macroactividad)"&amp;" · ","")&amp;IF(AND(N($W140)&gt;0,COUNT($I140:$L140)&gt;0),"Con subactividades: deje vacías las semanas (se calculan solas)"&amp;" · ","")&amp;IF((COUNTIF($I140:$L140,"&gt;1")+COUNTIF($I140:$L140,"&lt;0")+COUNTA($I140:$L140)-COUNT($I140:$L140))&gt;0,"Avance fuera de rango 0-100%"&amp;" · ","")&amp;IF(OR(AND($J140&lt;&gt;"",$J140&lt;$I140),AND($K140&lt;&gt;"",$K140&lt;MAX($I140:$J140)),AND($L140&lt;&gt;"",$L140&lt;MAX($I140:$K140))),"Avance semanal decreciente"&amp;" · ","")&amp;IF(AND(ISNUMBER($AN140),$AN140&lt;FechaRef,IF($V140="Sub",N($X140),N($M140))&lt;1),"Vencida"&amp;" · ","")&amp;IF(AND(ObsObligatoria="Sí",ISNUMBER($AN140),$AN140&lt;FechaRef,IF($V140="Sub",N($X140),N($M140))&lt;1,$Q140=""),"Vencida sin observación"&amp;" · ",""))="","✔ OK","⚠ "&amp;LEFT(IF($C140="","Falta el nombre de la actividad"&amp;" · ","")&amp;IF(AND($V140="Sub",N($U140)=0),"Subactividad sin macroactividad arriba"&amp;" · ","")&amp;IF($AM140="","Sin fecha de inicio"&amp;" · ","")&amp;IF($AN140="","Sin fecha límite"&amp;" · ","")&amp;IF(AND(LEFT($C140,11)="[Jefatura] ",N($AL140)=0),"No se encuentra en la hoja de la jefatura (elíjala de nuevo en la lista)"&amp;" · ","")&amp;IF(OR(AND($E140&lt;&gt;"",NOT(ISNUMBER($E140))),AND($F140&lt;&gt;"",NOT(ISNUMBER($F140))),AND($G140&lt;&gt;"",NOT(ISNUMBER($G140)))),"Fecha no válida"&amp;" · ","")&amp;IF(AND(ISNUMBER($AM140),ISNUMBER($AN140),$AM140&gt;$AN140),"Inicio posterior a fecha límite"&amp;" · ","")&amp;IF(AND($V140="Macro",$H140&lt;&gt;"",OR(NOT(ISNUMBER($H140)),$H140&lt;0,$H140&gt;1)),"Peso fuera de rango"&amp;" · ","")&amp;IF(AND($V140="Sub",$H140&lt;&gt;""),"Las subactividades no llevan peso (valen igual dentro de su macroactividad)"&amp;" · ","")&amp;IF(AND(N($W140)&gt;0,COUNT($I140:$L140)&gt;0),"Con subactividades: deje vacías las semanas (se calculan solas)"&amp;" · ","")&amp;IF((COUNTIF($I140:$L140,"&gt;1")+COUNTIF($I140:$L140,"&lt;0")+COUNTA($I140:$L140)-COUNT($I140:$L140))&gt;0,"Avance fuera de rango 0-100%"&amp;" · ","")&amp;IF(OR(AND($J140&lt;&gt;"",$J140&lt;$I140),AND($K140&lt;&gt;"",$K140&lt;MAX($I140:$J140)),AND($L140&lt;&gt;"",$L140&lt;MAX($I140:$K140))),"Avance semanal decreciente"&amp;" · ","")&amp;IF(AND(ISNUMBER($AN140),$AN140&lt;FechaRef,IF($V140="Sub",N($X140),N($M140))&lt;1),"Vencida"&amp;" · ","")&amp;IF(AND(ObsObligatoria="Sí",ISNUMBER($AN140),$AN140&lt;FechaRef,IF($V140="Sub",N($X140),N($M140))&lt;1,$Q140=""),"Vencida sin observación"&amp;" · ",""),LEN(IF($C140="","Falta el nombre de la actividad"&amp;" · ","")&amp;IF(AND($V140="Sub",N($U140)=0),"Subactividad sin macroactividad arriba"&amp;" · ","")&amp;IF($AM140="","Sin fecha de inicio"&amp;" · ","")&amp;IF($AN140="","Sin fecha límite"&amp;" · ","")&amp;IF(AND(LEFT($C140,11)="[Jefatura] ",N($AL140)=0),"No se encuentra en la hoja de la jefatura (elíjala de nuevo en la lista)"&amp;" · ","")&amp;IF(OR(AND($E140&lt;&gt;"",NOT(ISNUMBER($E140))),AND($F140&lt;&gt;"",NOT(ISNUMBER($F140))),AND($G140&lt;&gt;"",NOT(ISNUMBER($G140)))),"Fecha no válida"&amp;" · ","")&amp;IF(AND(ISNUMBER($AM140),ISNUMBER($AN140),$AM140&gt;$AN140),"Inicio posterior a fecha límite"&amp;" · ","")&amp;IF(AND($V140="Macro",$H140&lt;&gt;"",OR(NOT(ISNUMBER($H140)),$H140&lt;0,$H140&gt;1)),"Peso fuera de rango"&amp;" · ","")&amp;IF(AND($V140="Sub",$H140&lt;&gt;""),"Las subactividades no llevan peso (valen igual dentro de su macroactividad)"&amp;" · ","")&amp;IF(AND(N($W140)&gt;0,COUNT($I140:$L140)&gt;0),"Con subactividades: deje vacías las semanas (se calculan solas)"&amp;" · ","")&amp;IF((COUNTIF($I140:$L140,"&gt;1")+COUNTIF($I140:$L140,"&lt;0")+COUNTA($I140:$L140)-COUNT($I140:$L140))&gt;0,"Avance fuera de rango 0-100%"&amp;" · ","")&amp;IF(OR(AND($J140&lt;&gt;"",$J140&lt;$I140),AND($K140&lt;&gt;"",$K140&lt;MAX($I140:$J140)),AND($L140&lt;&gt;"",$L140&lt;MAX($I140:$K140))),"Avance semanal decreciente"&amp;" · ","")&amp;IF(AND(ISNUMBER($AN140),$AN140&lt;FechaRef,IF($V140="Sub",N($X140),N($M140))&lt;1),"Vencida"&amp;" · ","")&amp;IF(AND(ObsObligatoria="Sí",ISNUMBER($AN140),$AN140&lt;FechaRef,IF($V140="Sub",N($X140),N($M140))&lt;1,$Q140=""),"Vencida sin observación"&amp;" · ",""))-3)))</f>
        <v/>
      </c>
      <c r="S140" s="64">
        <f>IF(NOT((COUNTA($B140:$D140)+COUNTA($G140:$L140)+COUNTA($Q140))&gt;0),"",IF(AND($V140="Sub",N($U140)&gt;0),IF(ISNUMBER(INDEX($AM$5:$AM$1000,$U140-4)),DATE(YEAR(INDEX($AM$5:$AM$1000,$U140-4)),MONTH(INDEX($AM$5:$AM$1000,$U140-4)),1),IF(ISNUMBER(INDEX($AN$5:$AN$1000,$U140-4)),DATE(YEAR(INDEX($AN$5:$AN$1000,$U140-4)),MONTH(INDEX($AN$5:$AN$1000,$U140-4)),1),MesCiclo)),IF(ISNUMBER($AM140),DATE(YEAR($AM140),MONTH($AM140),1),IF(ISNUMBER($AN140),DATE(YEAR($AN140),MONTH($AN140),1),MesCiclo))))</f>
        <v/>
      </c>
      <c r="T140" s="62">
        <f>IF(OR($S140="",$S140&lt;&gt;MesCiclo,$V140&lt;&gt;"Macro"),"",COUNTIFS($S$5:$S140,MesCiclo,$V$5:$V140,"Macro"))</f>
        <v/>
      </c>
      <c r="U140" s="62">
        <f>IF($V140="","",IF($V140="Macro",ROW(),IFERROR(LOOKUP(2,1/($V$5:$V140="Macro"),ROW($V$5:$V140)),0)))</f>
        <v/>
      </c>
      <c r="V140" s="62">
        <f>IF(NOT((COUNTA($B140:$D140)+COUNTA($G140:$L140)+COUNTA($Q140))&gt;0),"",IF($B140="Subactividad","Sub","Macro"))</f>
        <v/>
      </c>
      <c r="W140" s="62">
        <f>IF($V140="Macro",COUNTIFS($U$5:$U$1000,ROW(),$V$5:$V$1000,"Sub"),"")</f>
        <v/>
      </c>
      <c r="X140" s="62">
        <f>IF($V140="","",IF(ISNUMBER($G140),1,IFERROR(LOOKUP(2,1/($I140:$L140&lt;&gt;""),$I140:$L140),0)))</f>
        <v/>
      </c>
      <c r="Y140" s="62">
        <f>IF($V140="","",IF(AND(ISNUMBER($G140),$G140&lt;=IF($S140=MesCiclo,InicioCiclo,$S140+MOD(2-WEEKDAY($S140),7))+6),1,IF(ISNUMBER($I140),$I140,0)))</f>
        <v/>
      </c>
      <c r="Z140" s="62">
        <f>IF($V140="","",IF(AND(ISNUMBER($G140),$G140&lt;=IF($S140=MesCiclo,InicioCiclo,$S140+MOD(2-WEEKDAY($S140),7))+13),1,IF(ISNUMBER($J140),$J140,$Y140)))</f>
        <v/>
      </c>
      <c r="AA140" s="62">
        <f>IF($V140="","",IF(AND(ISNUMBER($G140),$G140&lt;=IF($S140=MesCiclo,InicioCiclo,$S140+MOD(2-WEEKDAY($S140),7))+20),1,IF(ISNUMBER($K140),$K140,$Z140)))</f>
        <v/>
      </c>
      <c r="AB140" s="62">
        <f>IF($V140="","",IF(AND(ISNUMBER($G140),$G140&lt;=IF($S140=MesCiclo,InicioCiclo,$S140+MOD(2-WEEKDAY($S140),7))+27),1,IF(ISNUMBER($L140),$L140,$AA140)))</f>
        <v/>
      </c>
      <c r="AC140" s="62">
        <f>IF($V140="","",IF(AND(ISNUMBER($G140),$G140&lt;=IF($S140=MesCiclo,InicioCiclo,$S140+MOD(2-WEEKDAY($S140),7))+6),1,IF(N($W140)&gt;0,AVERAGEIFS($Y$5:$Y$1000,$U$5:$U$1000,ROW(),$V$5:$V$1000,"Sub"),$Y140)))</f>
        <v/>
      </c>
      <c r="AD140" s="62">
        <f>IF($V140="","",IF(AND(ISNUMBER($G140),$G140&lt;=IF($S140=MesCiclo,InicioCiclo,$S140+MOD(2-WEEKDAY($S140),7))+13),1,IF(N($W140)&gt;0,AVERAGEIFS($Z$5:$Z$1000,$U$5:$U$1000,ROW(),$V$5:$V$1000,"Sub"),$Z140)))</f>
        <v/>
      </c>
      <c r="AE140" s="62">
        <f>IF($V140="","",IF(AND(ISNUMBER($G140),$G140&lt;=IF($S140=MesCiclo,InicioCiclo,$S140+MOD(2-WEEKDAY($S140),7))+20),1,IF(N($W140)&gt;0,AVERAGEIFS($AA$5:$AA$1000,$U$5:$U$1000,ROW(),$V$5:$V$1000,"Sub"),$AA140)))</f>
        <v/>
      </c>
      <c r="AF140" s="62">
        <f>IF($V140="","",IF(AND(ISNUMBER($G140),$G140&lt;=IF($S140=MesCiclo,InicioCiclo,$S140+MOD(2-WEEKDAY($S140),7))+27),1,IF(N($W140)&gt;0,AVERAGEIFS($AB$5:$AB$1000,$U$5:$U$1000,ROW(),$V$5:$V$1000,"Sub"),$AB140)))</f>
        <v/>
      </c>
      <c r="AG140" s="62">
        <f>IF($V140&lt;&gt;"Macro","",IF(COUNTIFS($S$5:$S$1000,$S140,$V$5:$V$1000,"Macro",$H$5:$H$1000,"&gt;0")=0,1/COUNTIFS($S$5:$S$1000,$S140,$V$5:$V$1000,"Macro"),IF(AND(ISNUMBER($H140),N($H140)&gt;0),$H140,SUMIFS($H$5:$H$1000,$S$5:$S$1000,$S140,$V$5:$V$1000,"Macro")/COUNTIFS($S$5:$S$1000,$S140,$V$5:$V$1000,"Macro",$H$5:$H$1000,"&gt;0"))/(COUNTIFS($S$5:$S$1000,$S140,$V$5:$V$1000,"Macro")*SUMIFS($H$5:$H$1000,$S$5:$S$1000,$S140,$V$5:$V$1000,"Macro")/COUNTIFS($S$5:$S$1000,$S140,$V$5:$V$1000,"Macro",$H$5:$H$1000,"&gt;0"))))</f>
        <v/>
      </c>
      <c r="AH140" s="62">
        <f>IF(NOT(AND($D140&lt;&gt;"",$V140="Macro")),"",IFERROR(CHOOSE(MATCH($D140,ListaPuestos,0),MATCH("[Jefatura] "&amp;$C140,'Cronograma R. Operacional'!$C$5:$C$1000,0),MATCH("[Jefatura] "&amp;$C140,'Cronograma R. Normativo'!$C$5:$C$1000,0),MATCH("[Jefatura] "&amp;$C140,'Cronograma R. Financiero'!$C$5:$C$1000,0),MATCH("[Jefatura] "&amp;$C140,'Cronograma Asistente Técnico'!$C$5:$C$1000,0)),0))</f>
        <v/>
      </c>
      <c r="AI140" s="62">
        <f>IF(AND(AND($D140&lt;&gt;"",$V140="Macro"),$S140=MesCiclo),COUNTIFS($D$5:$D140,$D140,$S$5:$S140,MesCiclo,$V$5:$V140,"Macro"),"")</f>
        <v/>
      </c>
      <c r="AJ140" s="62">
        <f>IF($AI140="","",$D140&amp;"|"&amp;$AI140)</f>
        <v/>
      </c>
      <c r="AK140" s="62">
        <f>IF(AND($D140&lt;&gt;"",$V140="Macro"),$D140&amp;"|"&amp;$C140,"")</f>
        <v/>
      </c>
      <c r="AL140" s="62">
        <f>""</f>
        <v/>
      </c>
      <c r="AM140" s="62">
        <f>IF(N($AL140)&gt;0,INDEX(rIni_ADM,$AL140),IF(ISNUMBER($E140),$E140,""))</f>
        <v/>
      </c>
      <c r="AN140" s="62">
        <f>IF(N($AL140)&gt;0,INDEX(rLim_ADM,$AL140),IF(ISNUMBER($F140),$F140,""))</f>
        <v/>
      </c>
    </row>
    <row r="141">
      <c r="A141" s="56">
        <f>IF(NOT((COUNTA($B141:$D141)+COUNTA($G141:$L141)+COUNTA($Q141))&gt;0),"",IF($V141="Macro",COUNTIFS($V$5:$V141,"Macro",$S$5:$S141,$S141),IF(N($U141)=0,"?",COUNTIFS(INDEX($V$5:$V$1000,1):INDEX($V$5:$V$1000,$U141-4),"Macro",INDEX($S$5:$S$1000,1):INDEX($S$5:$S$1000,$U141-4),INDEX($S$5:$S$1000,$U141-4))&amp;"."&amp;COUNTIFS($U$5:$U141,$U141,$V$5:$V141,"Sub"))))</f>
        <v/>
      </c>
      <c r="B141" s="57" t="n"/>
      <c r="C141" s="58" t="n"/>
      <c r="D141" s="58" t="n"/>
      <c r="E141" s="59" t="n"/>
      <c r="F141" s="59" t="n"/>
      <c r="G141" s="59" t="n"/>
      <c r="H141" s="60" t="n"/>
      <c r="I141" s="60" t="n"/>
      <c r="J141" s="60" t="n"/>
      <c r="K141" s="60" t="n"/>
      <c r="L141" s="60" t="n"/>
      <c r="M141" s="61">
        <f>IF(NOT((COUNTA($B141:$D141)+COUNTA($G141:$L141)+COUNTA($Q141))&gt;0),"",IF(AND($D141&lt;&gt;"",$V141="Macro"),IF(N($AH141)&gt;0,N(CHOOSE(MATCH($D141,ListaPuestos,0),INDEX('Cronograma R. Operacional'!$M$5:$M$1000,$AH141),INDEX('Cronograma R. Normativo'!$M$5:$M$1000,$AH141),INDEX('Cronograma R. Financiero'!$M$5:$M$1000,$AH141),INDEX('Cronograma Asistente Técnico'!$M$5:$M$1000,$AH141))),0),IF(ISNUMBER($G141),1,IF(N($W141)&gt;0,AVERAGEIFS($X$5:$X$1000,$U$5:$U$1000,ROW(),$V$5:$V$1000,"Sub"),$X141))))</f>
        <v/>
      </c>
      <c r="N141" s="56">
        <f>IF(OR($M141="",$V141="Sub"),"",IF($M141&gt;=1,"Completado",IF($M141&gt;0,"En curso","Pendiente")))</f>
        <v/>
      </c>
      <c r="O141" s="56">
        <f>IF(NOT((COUNTA($B141:$D141)+COUNTA($G141:$L141)+COUNTA($Q141))&gt;0),"",IF(AND(AND($D141&lt;&gt;"",$V141="Macro"),N($AH141)&gt;0),CHOOSE(MATCH($D141,ListaPuestos,0),INDEX('Cronograma R. Operacional'!$O$5:$O$1000,$AH141),INDEX('Cronograma R. Normativo'!$O$5:$O$1000,$AH141),INDEX('Cronograma R. Financiero'!$O$5:$O$1000,$AH141),INDEX('Cronograma Asistente Técnico'!$O$5:$O$1000,$AH141))&amp;"",IF(ISNUMBER($G141),IF(AND(ISNUMBER($AN141),$G141&gt;$AN141),"Cumplida con "&amp;($G141-$AN141)&amp;IF($G141-$AN141=1," día"," días")&amp;" de retraso","Cumplida"),IF(N($M141)&gt;=1,"Cumplida",IF(NOT(ISNUMBER($AN141)),"Sin fecha límite",IF($AN141&lt;FechaRef,"Vencida hace "&amp;(FechaRef-$AN141)&amp;IF(FechaRef-$AN141=1," día"," días"),IF($AN141=FechaRef,"Vence hoy",IF($AN141-FechaRef&lt;=DiasAlerta,"Vence en "&amp;($AN141-FechaRef)&amp;IF($AN141-FechaRef=1," día"," días"),"En plazo"))))))))</f>
        <v/>
      </c>
      <c r="P141" s="62">
        <f>IF(NOT((COUNTA($B141:$D141)+COUNTA($G141:$L141)+COUNTA($Q141))&gt;0),"",IF($D141="","Propia",IF($V141&lt;&gt;"Macro","Solo se delegan macroactividades",IF(N($AH141)&gt;0,"✔ Recibida por "&amp;$D141,"⚠ "&amp;$D141&amp;" aún no la agrega"))))</f>
        <v/>
      </c>
      <c r="Q141" s="58" t="n"/>
      <c r="R141" s="63">
        <f>IF(NOT((COUNTA($B141:$D141)+COUNTA($G141:$L141)+COUNTA($Q141))&gt;0),"",IF((IF($C141="","Falta el nombre de la actividad"&amp;" · ","")&amp;IF(AND($V141="Sub",N($U141)=0),"Subactividad sin macroactividad arriba"&amp;" · ","")&amp;IF($AM141="","Sin fecha de inicio"&amp;" · ","")&amp;IF($AN141="","Sin fecha límite"&amp;" · ","")&amp;IF(AND(LEFT($C141,11)="[Jefatura] ",N($AL141)=0),"No se encuentra en la hoja de la jefatura (elíjala de nuevo en la lista)"&amp;" · ","")&amp;IF(OR(AND($E141&lt;&gt;"",NOT(ISNUMBER($E141))),AND($F141&lt;&gt;"",NOT(ISNUMBER($F141))),AND($G141&lt;&gt;"",NOT(ISNUMBER($G141)))),"Fecha no válida"&amp;" · ","")&amp;IF(AND(ISNUMBER($AM141),ISNUMBER($AN141),$AM141&gt;$AN141),"Inicio posterior a fecha límite"&amp;" · ","")&amp;IF(AND($V141="Macro",$H141&lt;&gt;"",OR(NOT(ISNUMBER($H141)),$H141&lt;0,$H141&gt;1)),"Peso fuera de rango"&amp;" · ","")&amp;IF(AND($V141="Sub",$H141&lt;&gt;""),"Las subactividades no llevan peso (valen igual dentro de su macroactividad)"&amp;" · ","")&amp;IF(AND(N($W141)&gt;0,COUNT($I141:$L141)&gt;0),"Con subactividades: deje vacías las semanas (se calculan solas)"&amp;" · ","")&amp;IF((COUNTIF($I141:$L141,"&gt;1")+COUNTIF($I141:$L141,"&lt;0")+COUNTA($I141:$L141)-COUNT($I141:$L141))&gt;0,"Avance fuera de rango 0-100%"&amp;" · ","")&amp;IF(OR(AND($J141&lt;&gt;"",$J141&lt;$I141),AND($K141&lt;&gt;"",$K141&lt;MAX($I141:$J141)),AND($L141&lt;&gt;"",$L141&lt;MAX($I141:$K141))),"Avance semanal decreciente"&amp;" · ","")&amp;IF(AND(ISNUMBER($AN141),$AN141&lt;FechaRef,IF($V141="Sub",N($X141),N($M141))&lt;1),"Vencida"&amp;" · ","")&amp;IF(AND(ObsObligatoria="Sí",ISNUMBER($AN141),$AN141&lt;FechaRef,IF($V141="Sub",N($X141),N($M141))&lt;1,$Q141=""),"Vencida sin observación"&amp;" · ",""))="","✔ OK","⚠ "&amp;LEFT(IF($C141="","Falta el nombre de la actividad"&amp;" · ","")&amp;IF(AND($V141="Sub",N($U141)=0),"Subactividad sin macroactividad arriba"&amp;" · ","")&amp;IF($AM141="","Sin fecha de inicio"&amp;" · ","")&amp;IF($AN141="","Sin fecha límite"&amp;" · ","")&amp;IF(AND(LEFT($C141,11)="[Jefatura] ",N($AL141)=0),"No se encuentra en la hoja de la jefatura (elíjala de nuevo en la lista)"&amp;" · ","")&amp;IF(OR(AND($E141&lt;&gt;"",NOT(ISNUMBER($E141))),AND($F141&lt;&gt;"",NOT(ISNUMBER($F141))),AND($G141&lt;&gt;"",NOT(ISNUMBER($G141)))),"Fecha no válida"&amp;" · ","")&amp;IF(AND(ISNUMBER($AM141),ISNUMBER($AN141),$AM141&gt;$AN141),"Inicio posterior a fecha límite"&amp;" · ","")&amp;IF(AND($V141="Macro",$H141&lt;&gt;"",OR(NOT(ISNUMBER($H141)),$H141&lt;0,$H141&gt;1)),"Peso fuera de rango"&amp;" · ","")&amp;IF(AND($V141="Sub",$H141&lt;&gt;""),"Las subactividades no llevan peso (valen igual dentro de su macroactividad)"&amp;" · ","")&amp;IF(AND(N($W141)&gt;0,COUNT($I141:$L141)&gt;0),"Con subactividades: deje vacías las semanas (se calculan solas)"&amp;" · ","")&amp;IF((COUNTIF($I141:$L141,"&gt;1")+COUNTIF($I141:$L141,"&lt;0")+COUNTA($I141:$L141)-COUNT($I141:$L141))&gt;0,"Avance fuera de rango 0-100%"&amp;" · ","")&amp;IF(OR(AND($J141&lt;&gt;"",$J141&lt;$I141),AND($K141&lt;&gt;"",$K141&lt;MAX($I141:$J141)),AND($L141&lt;&gt;"",$L141&lt;MAX($I141:$K141))),"Avance semanal decreciente"&amp;" · ","")&amp;IF(AND(ISNUMBER($AN141),$AN141&lt;FechaRef,IF($V141="Sub",N($X141),N($M141))&lt;1),"Vencida"&amp;" · ","")&amp;IF(AND(ObsObligatoria="Sí",ISNUMBER($AN141),$AN141&lt;FechaRef,IF($V141="Sub",N($X141),N($M141))&lt;1,$Q141=""),"Vencida sin observación"&amp;" · ",""),LEN(IF($C141="","Falta el nombre de la actividad"&amp;" · ","")&amp;IF(AND($V141="Sub",N($U141)=0),"Subactividad sin macroactividad arriba"&amp;" · ","")&amp;IF($AM141="","Sin fecha de inicio"&amp;" · ","")&amp;IF($AN141="","Sin fecha límite"&amp;" · ","")&amp;IF(AND(LEFT($C141,11)="[Jefatura] ",N($AL141)=0),"No se encuentra en la hoja de la jefatura (elíjala de nuevo en la lista)"&amp;" · ","")&amp;IF(OR(AND($E141&lt;&gt;"",NOT(ISNUMBER($E141))),AND($F141&lt;&gt;"",NOT(ISNUMBER($F141))),AND($G141&lt;&gt;"",NOT(ISNUMBER($G141)))),"Fecha no válida"&amp;" · ","")&amp;IF(AND(ISNUMBER($AM141),ISNUMBER($AN141),$AM141&gt;$AN141),"Inicio posterior a fecha límite"&amp;" · ","")&amp;IF(AND($V141="Macro",$H141&lt;&gt;"",OR(NOT(ISNUMBER($H141)),$H141&lt;0,$H141&gt;1)),"Peso fuera de rango"&amp;" · ","")&amp;IF(AND($V141="Sub",$H141&lt;&gt;""),"Las subactividades no llevan peso (valen igual dentro de su macroactividad)"&amp;" · ","")&amp;IF(AND(N($W141)&gt;0,COUNT($I141:$L141)&gt;0),"Con subactividades: deje vacías las semanas (se calculan solas)"&amp;" · ","")&amp;IF((COUNTIF($I141:$L141,"&gt;1")+COUNTIF($I141:$L141,"&lt;0")+COUNTA($I141:$L141)-COUNT($I141:$L141))&gt;0,"Avance fuera de rango 0-100%"&amp;" · ","")&amp;IF(OR(AND($J141&lt;&gt;"",$J141&lt;$I141),AND($K141&lt;&gt;"",$K141&lt;MAX($I141:$J141)),AND($L141&lt;&gt;"",$L141&lt;MAX($I141:$K141))),"Avance semanal decreciente"&amp;" · ","")&amp;IF(AND(ISNUMBER($AN141),$AN141&lt;FechaRef,IF($V141="Sub",N($X141),N($M141))&lt;1),"Vencida"&amp;" · ","")&amp;IF(AND(ObsObligatoria="Sí",ISNUMBER($AN141),$AN141&lt;FechaRef,IF($V141="Sub",N($X141),N($M141))&lt;1,$Q141=""),"Vencida sin observación"&amp;" · ",""))-3)))</f>
        <v/>
      </c>
      <c r="S141" s="64">
        <f>IF(NOT((COUNTA($B141:$D141)+COUNTA($G141:$L141)+COUNTA($Q141))&gt;0),"",IF(AND($V141="Sub",N($U141)&gt;0),IF(ISNUMBER(INDEX($AM$5:$AM$1000,$U141-4)),DATE(YEAR(INDEX($AM$5:$AM$1000,$U141-4)),MONTH(INDEX($AM$5:$AM$1000,$U141-4)),1),IF(ISNUMBER(INDEX($AN$5:$AN$1000,$U141-4)),DATE(YEAR(INDEX($AN$5:$AN$1000,$U141-4)),MONTH(INDEX($AN$5:$AN$1000,$U141-4)),1),MesCiclo)),IF(ISNUMBER($AM141),DATE(YEAR($AM141),MONTH($AM141),1),IF(ISNUMBER($AN141),DATE(YEAR($AN141),MONTH($AN141),1),MesCiclo))))</f>
        <v/>
      </c>
      <c r="T141" s="62">
        <f>IF(OR($S141="",$S141&lt;&gt;MesCiclo,$V141&lt;&gt;"Macro"),"",COUNTIFS($S$5:$S141,MesCiclo,$V$5:$V141,"Macro"))</f>
        <v/>
      </c>
      <c r="U141" s="62">
        <f>IF($V141="","",IF($V141="Macro",ROW(),IFERROR(LOOKUP(2,1/($V$5:$V141="Macro"),ROW($V$5:$V141)),0)))</f>
        <v/>
      </c>
      <c r="V141" s="62">
        <f>IF(NOT((COUNTA($B141:$D141)+COUNTA($G141:$L141)+COUNTA($Q141))&gt;0),"",IF($B141="Subactividad","Sub","Macro"))</f>
        <v/>
      </c>
      <c r="W141" s="62">
        <f>IF($V141="Macro",COUNTIFS($U$5:$U$1000,ROW(),$V$5:$V$1000,"Sub"),"")</f>
        <v/>
      </c>
      <c r="X141" s="62">
        <f>IF($V141="","",IF(ISNUMBER($G141),1,IFERROR(LOOKUP(2,1/($I141:$L141&lt;&gt;""),$I141:$L141),0)))</f>
        <v/>
      </c>
      <c r="Y141" s="62">
        <f>IF($V141="","",IF(AND(ISNUMBER($G141),$G141&lt;=IF($S141=MesCiclo,InicioCiclo,$S141+MOD(2-WEEKDAY($S141),7))+6),1,IF(ISNUMBER($I141),$I141,0)))</f>
        <v/>
      </c>
      <c r="Z141" s="62">
        <f>IF($V141="","",IF(AND(ISNUMBER($G141),$G141&lt;=IF($S141=MesCiclo,InicioCiclo,$S141+MOD(2-WEEKDAY($S141),7))+13),1,IF(ISNUMBER($J141),$J141,$Y141)))</f>
        <v/>
      </c>
      <c r="AA141" s="62">
        <f>IF($V141="","",IF(AND(ISNUMBER($G141),$G141&lt;=IF($S141=MesCiclo,InicioCiclo,$S141+MOD(2-WEEKDAY($S141),7))+20),1,IF(ISNUMBER($K141),$K141,$Z141)))</f>
        <v/>
      </c>
      <c r="AB141" s="62">
        <f>IF($V141="","",IF(AND(ISNUMBER($G141),$G141&lt;=IF($S141=MesCiclo,InicioCiclo,$S141+MOD(2-WEEKDAY($S141),7))+27),1,IF(ISNUMBER($L141),$L141,$AA141)))</f>
        <v/>
      </c>
      <c r="AC141" s="62">
        <f>IF($V141="","",IF(AND(ISNUMBER($G141),$G141&lt;=IF($S141=MesCiclo,InicioCiclo,$S141+MOD(2-WEEKDAY($S141),7))+6),1,IF(N($W141)&gt;0,AVERAGEIFS($Y$5:$Y$1000,$U$5:$U$1000,ROW(),$V$5:$V$1000,"Sub"),$Y141)))</f>
        <v/>
      </c>
      <c r="AD141" s="62">
        <f>IF($V141="","",IF(AND(ISNUMBER($G141),$G141&lt;=IF($S141=MesCiclo,InicioCiclo,$S141+MOD(2-WEEKDAY($S141),7))+13),1,IF(N($W141)&gt;0,AVERAGEIFS($Z$5:$Z$1000,$U$5:$U$1000,ROW(),$V$5:$V$1000,"Sub"),$Z141)))</f>
        <v/>
      </c>
      <c r="AE141" s="62">
        <f>IF($V141="","",IF(AND(ISNUMBER($G141),$G141&lt;=IF($S141=MesCiclo,InicioCiclo,$S141+MOD(2-WEEKDAY($S141),7))+20),1,IF(N($W141)&gt;0,AVERAGEIFS($AA$5:$AA$1000,$U$5:$U$1000,ROW(),$V$5:$V$1000,"Sub"),$AA141)))</f>
        <v/>
      </c>
      <c r="AF141" s="62">
        <f>IF($V141="","",IF(AND(ISNUMBER($G141),$G141&lt;=IF($S141=MesCiclo,InicioCiclo,$S141+MOD(2-WEEKDAY($S141),7))+27),1,IF(N($W141)&gt;0,AVERAGEIFS($AB$5:$AB$1000,$U$5:$U$1000,ROW(),$V$5:$V$1000,"Sub"),$AB141)))</f>
        <v/>
      </c>
      <c r="AG141" s="62">
        <f>IF($V141&lt;&gt;"Macro","",IF(COUNTIFS($S$5:$S$1000,$S141,$V$5:$V$1000,"Macro",$H$5:$H$1000,"&gt;0")=0,1/COUNTIFS($S$5:$S$1000,$S141,$V$5:$V$1000,"Macro"),IF(AND(ISNUMBER($H141),N($H141)&gt;0),$H141,SUMIFS($H$5:$H$1000,$S$5:$S$1000,$S141,$V$5:$V$1000,"Macro")/COUNTIFS($S$5:$S$1000,$S141,$V$5:$V$1000,"Macro",$H$5:$H$1000,"&gt;0"))/(COUNTIFS($S$5:$S$1000,$S141,$V$5:$V$1000,"Macro")*SUMIFS($H$5:$H$1000,$S$5:$S$1000,$S141,$V$5:$V$1000,"Macro")/COUNTIFS($S$5:$S$1000,$S141,$V$5:$V$1000,"Macro",$H$5:$H$1000,"&gt;0"))))</f>
        <v/>
      </c>
      <c r="AH141" s="62">
        <f>IF(NOT(AND($D141&lt;&gt;"",$V141="Macro")),"",IFERROR(CHOOSE(MATCH($D141,ListaPuestos,0),MATCH("[Jefatura] "&amp;$C141,'Cronograma R. Operacional'!$C$5:$C$1000,0),MATCH("[Jefatura] "&amp;$C141,'Cronograma R. Normativo'!$C$5:$C$1000,0),MATCH("[Jefatura] "&amp;$C141,'Cronograma R. Financiero'!$C$5:$C$1000,0),MATCH("[Jefatura] "&amp;$C141,'Cronograma Asistente Técnico'!$C$5:$C$1000,0)),0))</f>
        <v/>
      </c>
      <c r="AI141" s="62">
        <f>IF(AND(AND($D141&lt;&gt;"",$V141="Macro"),$S141=MesCiclo),COUNTIFS($D$5:$D141,$D141,$S$5:$S141,MesCiclo,$V$5:$V141,"Macro"),"")</f>
        <v/>
      </c>
      <c r="AJ141" s="62">
        <f>IF($AI141="","",$D141&amp;"|"&amp;$AI141)</f>
        <v/>
      </c>
      <c r="AK141" s="62">
        <f>IF(AND($D141&lt;&gt;"",$V141="Macro"),$D141&amp;"|"&amp;$C141,"")</f>
        <v/>
      </c>
      <c r="AL141" s="62">
        <f>""</f>
        <v/>
      </c>
      <c r="AM141" s="62">
        <f>IF(N($AL141)&gt;0,INDEX(rIni_ADM,$AL141),IF(ISNUMBER($E141),$E141,""))</f>
        <v/>
      </c>
      <c r="AN141" s="62">
        <f>IF(N($AL141)&gt;0,INDEX(rLim_ADM,$AL141),IF(ISNUMBER($F141),$F141,""))</f>
        <v/>
      </c>
    </row>
    <row r="142">
      <c r="A142" s="56">
        <f>IF(NOT((COUNTA($B142:$D142)+COUNTA($G142:$L142)+COUNTA($Q142))&gt;0),"",IF($V142="Macro",COUNTIFS($V$5:$V142,"Macro",$S$5:$S142,$S142),IF(N($U142)=0,"?",COUNTIFS(INDEX($V$5:$V$1000,1):INDEX($V$5:$V$1000,$U142-4),"Macro",INDEX($S$5:$S$1000,1):INDEX($S$5:$S$1000,$U142-4),INDEX($S$5:$S$1000,$U142-4))&amp;"."&amp;COUNTIFS($U$5:$U142,$U142,$V$5:$V142,"Sub"))))</f>
        <v/>
      </c>
      <c r="B142" s="57" t="n"/>
      <c r="C142" s="58" t="n"/>
      <c r="D142" s="58" t="n"/>
      <c r="E142" s="59" t="n"/>
      <c r="F142" s="59" t="n"/>
      <c r="G142" s="59" t="n"/>
      <c r="H142" s="60" t="n"/>
      <c r="I142" s="60" t="n"/>
      <c r="J142" s="60" t="n"/>
      <c r="K142" s="60" t="n"/>
      <c r="L142" s="60" t="n"/>
      <c r="M142" s="61">
        <f>IF(NOT((COUNTA($B142:$D142)+COUNTA($G142:$L142)+COUNTA($Q142))&gt;0),"",IF(AND($D142&lt;&gt;"",$V142="Macro"),IF(N($AH142)&gt;0,N(CHOOSE(MATCH($D142,ListaPuestos,0),INDEX('Cronograma R. Operacional'!$M$5:$M$1000,$AH142),INDEX('Cronograma R. Normativo'!$M$5:$M$1000,$AH142),INDEX('Cronograma R. Financiero'!$M$5:$M$1000,$AH142),INDEX('Cronograma Asistente Técnico'!$M$5:$M$1000,$AH142))),0),IF(ISNUMBER($G142),1,IF(N($W142)&gt;0,AVERAGEIFS($X$5:$X$1000,$U$5:$U$1000,ROW(),$V$5:$V$1000,"Sub"),$X142))))</f>
        <v/>
      </c>
      <c r="N142" s="56">
        <f>IF(OR($M142="",$V142="Sub"),"",IF($M142&gt;=1,"Completado",IF($M142&gt;0,"En curso","Pendiente")))</f>
        <v/>
      </c>
      <c r="O142" s="56">
        <f>IF(NOT((COUNTA($B142:$D142)+COUNTA($G142:$L142)+COUNTA($Q142))&gt;0),"",IF(AND(AND($D142&lt;&gt;"",$V142="Macro"),N($AH142)&gt;0),CHOOSE(MATCH($D142,ListaPuestos,0),INDEX('Cronograma R. Operacional'!$O$5:$O$1000,$AH142),INDEX('Cronograma R. Normativo'!$O$5:$O$1000,$AH142),INDEX('Cronograma R. Financiero'!$O$5:$O$1000,$AH142),INDEX('Cronograma Asistente Técnico'!$O$5:$O$1000,$AH142))&amp;"",IF(ISNUMBER($G142),IF(AND(ISNUMBER($AN142),$G142&gt;$AN142),"Cumplida con "&amp;($G142-$AN142)&amp;IF($G142-$AN142=1," día"," días")&amp;" de retraso","Cumplida"),IF(N($M142)&gt;=1,"Cumplida",IF(NOT(ISNUMBER($AN142)),"Sin fecha límite",IF($AN142&lt;FechaRef,"Vencida hace "&amp;(FechaRef-$AN142)&amp;IF(FechaRef-$AN142=1," día"," días"),IF($AN142=FechaRef,"Vence hoy",IF($AN142-FechaRef&lt;=DiasAlerta,"Vence en "&amp;($AN142-FechaRef)&amp;IF($AN142-FechaRef=1," día"," días"),"En plazo"))))))))</f>
        <v/>
      </c>
      <c r="P142" s="62">
        <f>IF(NOT((COUNTA($B142:$D142)+COUNTA($G142:$L142)+COUNTA($Q142))&gt;0),"",IF($D142="","Propia",IF($V142&lt;&gt;"Macro","Solo se delegan macroactividades",IF(N($AH142)&gt;0,"✔ Recibida por "&amp;$D142,"⚠ "&amp;$D142&amp;" aún no la agrega"))))</f>
        <v/>
      </c>
      <c r="Q142" s="58" t="n"/>
      <c r="R142" s="63">
        <f>IF(NOT((COUNTA($B142:$D142)+COUNTA($G142:$L142)+COUNTA($Q142))&gt;0),"",IF((IF($C142="","Falta el nombre de la actividad"&amp;" · ","")&amp;IF(AND($V142="Sub",N($U142)=0),"Subactividad sin macroactividad arriba"&amp;" · ","")&amp;IF($AM142="","Sin fecha de inicio"&amp;" · ","")&amp;IF($AN142="","Sin fecha límite"&amp;" · ","")&amp;IF(AND(LEFT($C142,11)="[Jefatura] ",N($AL142)=0),"No se encuentra en la hoja de la jefatura (elíjala de nuevo en la lista)"&amp;" · ","")&amp;IF(OR(AND($E142&lt;&gt;"",NOT(ISNUMBER($E142))),AND($F142&lt;&gt;"",NOT(ISNUMBER($F142))),AND($G142&lt;&gt;"",NOT(ISNUMBER($G142)))),"Fecha no válida"&amp;" · ","")&amp;IF(AND(ISNUMBER($AM142),ISNUMBER($AN142),$AM142&gt;$AN142),"Inicio posterior a fecha límite"&amp;" · ","")&amp;IF(AND($V142="Macro",$H142&lt;&gt;"",OR(NOT(ISNUMBER($H142)),$H142&lt;0,$H142&gt;1)),"Peso fuera de rango"&amp;" · ","")&amp;IF(AND($V142="Sub",$H142&lt;&gt;""),"Las subactividades no llevan peso (valen igual dentro de su macroactividad)"&amp;" · ","")&amp;IF(AND(N($W142)&gt;0,COUNT($I142:$L142)&gt;0),"Con subactividades: deje vacías las semanas (se calculan solas)"&amp;" · ","")&amp;IF((COUNTIF($I142:$L142,"&gt;1")+COUNTIF($I142:$L142,"&lt;0")+COUNTA($I142:$L142)-COUNT($I142:$L142))&gt;0,"Avance fuera de rango 0-100%"&amp;" · ","")&amp;IF(OR(AND($J142&lt;&gt;"",$J142&lt;$I142),AND($K142&lt;&gt;"",$K142&lt;MAX($I142:$J142)),AND($L142&lt;&gt;"",$L142&lt;MAX($I142:$K142))),"Avance semanal decreciente"&amp;" · ","")&amp;IF(AND(ISNUMBER($AN142),$AN142&lt;FechaRef,IF($V142="Sub",N($X142),N($M142))&lt;1),"Vencida"&amp;" · ","")&amp;IF(AND(ObsObligatoria="Sí",ISNUMBER($AN142),$AN142&lt;FechaRef,IF($V142="Sub",N($X142),N($M142))&lt;1,$Q142=""),"Vencida sin observación"&amp;" · ",""))="","✔ OK","⚠ "&amp;LEFT(IF($C142="","Falta el nombre de la actividad"&amp;" · ","")&amp;IF(AND($V142="Sub",N($U142)=0),"Subactividad sin macroactividad arriba"&amp;" · ","")&amp;IF($AM142="","Sin fecha de inicio"&amp;" · ","")&amp;IF($AN142="","Sin fecha límite"&amp;" · ","")&amp;IF(AND(LEFT($C142,11)="[Jefatura] ",N($AL142)=0),"No se encuentra en la hoja de la jefatura (elíjala de nuevo en la lista)"&amp;" · ","")&amp;IF(OR(AND($E142&lt;&gt;"",NOT(ISNUMBER($E142))),AND($F142&lt;&gt;"",NOT(ISNUMBER($F142))),AND($G142&lt;&gt;"",NOT(ISNUMBER($G142)))),"Fecha no válida"&amp;" · ","")&amp;IF(AND(ISNUMBER($AM142),ISNUMBER($AN142),$AM142&gt;$AN142),"Inicio posterior a fecha límite"&amp;" · ","")&amp;IF(AND($V142="Macro",$H142&lt;&gt;"",OR(NOT(ISNUMBER($H142)),$H142&lt;0,$H142&gt;1)),"Peso fuera de rango"&amp;" · ","")&amp;IF(AND($V142="Sub",$H142&lt;&gt;""),"Las subactividades no llevan peso (valen igual dentro de su macroactividad)"&amp;" · ","")&amp;IF(AND(N($W142)&gt;0,COUNT($I142:$L142)&gt;0),"Con subactividades: deje vacías las semanas (se calculan solas)"&amp;" · ","")&amp;IF((COUNTIF($I142:$L142,"&gt;1")+COUNTIF($I142:$L142,"&lt;0")+COUNTA($I142:$L142)-COUNT($I142:$L142))&gt;0,"Avance fuera de rango 0-100%"&amp;" · ","")&amp;IF(OR(AND($J142&lt;&gt;"",$J142&lt;$I142),AND($K142&lt;&gt;"",$K142&lt;MAX($I142:$J142)),AND($L142&lt;&gt;"",$L142&lt;MAX($I142:$K142))),"Avance semanal decreciente"&amp;" · ","")&amp;IF(AND(ISNUMBER($AN142),$AN142&lt;FechaRef,IF($V142="Sub",N($X142),N($M142))&lt;1),"Vencida"&amp;" · ","")&amp;IF(AND(ObsObligatoria="Sí",ISNUMBER($AN142),$AN142&lt;FechaRef,IF($V142="Sub",N($X142),N($M142))&lt;1,$Q142=""),"Vencida sin observación"&amp;" · ",""),LEN(IF($C142="","Falta el nombre de la actividad"&amp;" · ","")&amp;IF(AND($V142="Sub",N($U142)=0),"Subactividad sin macroactividad arriba"&amp;" · ","")&amp;IF($AM142="","Sin fecha de inicio"&amp;" · ","")&amp;IF($AN142="","Sin fecha límite"&amp;" · ","")&amp;IF(AND(LEFT($C142,11)="[Jefatura] ",N($AL142)=0),"No se encuentra en la hoja de la jefatura (elíjala de nuevo en la lista)"&amp;" · ","")&amp;IF(OR(AND($E142&lt;&gt;"",NOT(ISNUMBER($E142))),AND($F142&lt;&gt;"",NOT(ISNUMBER($F142))),AND($G142&lt;&gt;"",NOT(ISNUMBER($G142)))),"Fecha no válida"&amp;" · ","")&amp;IF(AND(ISNUMBER($AM142),ISNUMBER($AN142),$AM142&gt;$AN142),"Inicio posterior a fecha límite"&amp;" · ","")&amp;IF(AND($V142="Macro",$H142&lt;&gt;"",OR(NOT(ISNUMBER($H142)),$H142&lt;0,$H142&gt;1)),"Peso fuera de rango"&amp;" · ","")&amp;IF(AND($V142="Sub",$H142&lt;&gt;""),"Las subactividades no llevan peso (valen igual dentro de su macroactividad)"&amp;" · ","")&amp;IF(AND(N($W142)&gt;0,COUNT($I142:$L142)&gt;0),"Con subactividades: deje vacías las semanas (se calculan solas)"&amp;" · ","")&amp;IF((COUNTIF($I142:$L142,"&gt;1")+COUNTIF($I142:$L142,"&lt;0")+COUNTA($I142:$L142)-COUNT($I142:$L142))&gt;0,"Avance fuera de rango 0-100%"&amp;" · ","")&amp;IF(OR(AND($J142&lt;&gt;"",$J142&lt;$I142),AND($K142&lt;&gt;"",$K142&lt;MAX($I142:$J142)),AND($L142&lt;&gt;"",$L142&lt;MAX($I142:$K142))),"Avance semanal decreciente"&amp;" · ","")&amp;IF(AND(ISNUMBER($AN142),$AN142&lt;FechaRef,IF($V142="Sub",N($X142),N($M142))&lt;1),"Vencida"&amp;" · ","")&amp;IF(AND(ObsObligatoria="Sí",ISNUMBER($AN142),$AN142&lt;FechaRef,IF($V142="Sub",N($X142),N($M142))&lt;1,$Q142=""),"Vencida sin observación"&amp;" · ",""))-3)))</f>
        <v/>
      </c>
      <c r="S142" s="64">
        <f>IF(NOT((COUNTA($B142:$D142)+COUNTA($G142:$L142)+COUNTA($Q142))&gt;0),"",IF(AND($V142="Sub",N($U142)&gt;0),IF(ISNUMBER(INDEX($AM$5:$AM$1000,$U142-4)),DATE(YEAR(INDEX($AM$5:$AM$1000,$U142-4)),MONTH(INDEX($AM$5:$AM$1000,$U142-4)),1),IF(ISNUMBER(INDEX($AN$5:$AN$1000,$U142-4)),DATE(YEAR(INDEX($AN$5:$AN$1000,$U142-4)),MONTH(INDEX($AN$5:$AN$1000,$U142-4)),1),MesCiclo)),IF(ISNUMBER($AM142),DATE(YEAR($AM142),MONTH($AM142),1),IF(ISNUMBER($AN142),DATE(YEAR($AN142),MONTH($AN142),1),MesCiclo))))</f>
        <v/>
      </c>
      <c r="T142" s="62">
        <f>IF(OR($S142="",$S142&lt;&gt;MesCiclo,$V142&lt;&gt;"Macro"),"",COUNTIFS($S$5:$S142,MesCiclo,$V$5:$V142,"Macro"))</f>
        <v/>
      </c>
      <c r="U142" s="62">
        <f>IF($V142="","",IF($V142="Macro",ROW(),IFERROR(LOOKUP(2,1/($V$5:$V142="Macro"),ROW($V$5:$V142)),0)))</f>
        <v/>
      </c>
      <c r="V142" s="62">
        <f>IF(NOT((COUNTA($B142:$D142)+COUNTA($G142:$L142)+COUNTA($Q142))&gt;0),"",IF($B142="Subactividad","Sub","Macro"))</f>
        <v/>
      </c>
      <c r="W142" s="62">
        <f>IF($V142="Macro",COUNTIFS($U$5:$U$1000,ROW(),$V$5:$V$1000,"Sub"),"")</f>
        <v/>
      </c>
      <c r="X142" s="62">
        <f>IF($V142="","",IF(ISNUMBER($G142),1,IFERROR(LOOKUP(2,1/($I142:$L142&lt;&gt;""),$I142:$L142),0)))</f>
        <v/>
      </c>
      <c r="Y142" s="62">
        <f>IF($V142="","",IF(AND(ISNUMBER($G142),$G142&lt;=IF($S142=MesCiclo,InicioCiclo,$S142+MOD(2-WEEKDAY($S142),7))+6),1,IF(ISNUMBER($I142),$I142,0)))</f>
        <v/>
      </c>
      <c r="Z142" s="62">
        <f>IF($V142="","",IF(AND(ISNUMBER($G142),$G142&lt;=IF($S142=MesCiclo,InicioCiclo,$S142+MOD(2-WEEKDAY($S142),7))+13),1,IF(ISNUMBER($J142),$J142,$Y142)))</f>
        <v/>
      </c>
      <c r="AA142" s="62">
        <f>IF($V142="","",IF(AND(ISNUMBER($G142),$G142&lt;=IF($S142=MesCiclo,InicioCiclo,$S142+MOD(2-WEEKDAY($S142),7))+20),1,IF(ISNUMBER($K142),$K142,$Z142)))</f>
        <v/>
      </c>
      <c r="AB142" s="62">
        <f>IF($V142="","",IF(AND(ISNUMBER($G142),$G142&lt;=IF($S142=MesCiclo,InicioCiclo,$S142+MOD(2-WEEKDAY($S142),7))+27),1,IF(ISNUMBER($L142),$L142,$AA142)))</f>
        <v/>
      </c>
      <c r="AC142" s="62">
        <f>IF($V142="","",IF(AND(ISNUMBER($G142),$G142&lt;=IF($S142=MesCiclo,InicioCiclo,$S142+MOD(2-WEEKDAY($S142),7))+6),1,IF(N($W142)&gt;0,AVERAGEIFS($Y$5:$Y$1000,$U$5:$U$1000,ROW(),$V$5:$V$1000,"Sub"),$Y142)))</f>
        <v/>
      </c>
      <c r="AD142" s="62">
        <f>IF($V142="","",IF(AND(ISNUMBER($G142),$G142&lt;=IF($S142=MesCiclo,InicioCiclo,$S142+MOD(2-WEEKDAY($S142),7))+13),1,IF(N($W142)&gt;0,AVERAGEIFS($Z$5:$Z$1000,$U$5:$U$1000,ROW(),$V$5:$V$1000,"Sub"),$Z142)))</f>
        <v/>
      </c>
      <c r="AE142" s="62">
        <f>IF($V142="","",IF(AND(ISNUMBER($G142),$G142&lt;=IF($S142=MesCiclo,InicioCiclo,$S142+MOD(2-WEEKDAY($S142),7))+20),1,IF(N($W142)&gt;0,AVERAGEIFS($AA$5:$AA$1000,$U$5:$U$1000,ROW(),$V$5:$V$1000,"Sub"),$AA142)))</f>
        <v/>
      </c>
      <c r="AF142" s="62">
        <f>IF($V142="","",IF(AND(ISNUMBER($G142),$G142&lt;=IF($S142=MesCiclo,InicioCiclo,$S142+MOD(2-WEEKDAY($S142),7))+27),1,IF(N($W142)&gt;0,AVERAGEIFS($AB$5:$AB$1000,$U$5:$U$1000,ROW(),$V$5:$V$1000,"Sub"),$AB142)))</f>
        <v/>
      </c>
      <c r="AG142" s="62">
        <f>IF($V142&lt;&gt;"Macro","",IF(COUNTIFS($S$5:$S$1000,$S142,$V$5:$V$1000,"Macro",$H$5:$H$1000,"&gt;0")=0,1/COUNTIFS($S$5:$S$1000,$S142,$V$5:$V$1000,"Macro"),IF(AND(ISNUMBER($H142),N($H142)&gt;0),$H142,SUMIFS($H$5:$H$1000,$S$5:$S$1000,$S142,$V$5:$V$1000,"Macro")/COUNTIFS($S$5:$S$1000,$S142,$V$5:$V$1000,"Macro",$H$5:$H$1000,"&gt;0"))/(COUNTIFS($S$5:$S$1000,$S142,$V$5:$V$1000,"Macro")*SUMIFS($H$5:$H$1000,$S$5:$S$1000,$S142,$V$5:$V$1000,"Macro")/COUNTIFS($S$5:$S$1000,$S142,$V$5:$V$1000,"Macro",$H$5:$H$1000,"&gt;0"))))</f>
        <v/>
      </c>
      <c r="AH142" s="62">
        <f>IF(NOT(AND($D142&lt;&gt;"",$V142="Macro")),"",IFERROR(CHOOSE(MATCH($D142,ListaPuestos,0),MATCH("[Jefatura] "&amp;$C142,'Cronograma R. Operacional'!$C$5:$C$1000,0),MATCH("[Jefatura] "&amp;$C142,'Cronograma R. Normativo'!$C$5:$C$1000,0),MATCH("[Jefatura] "&amp;$C142,'Cronograma R. Financiero'!$C$5:$C$1000,0),MATCH("[Jefatura] "&amp;$C142,'Cronograma Asistente Técnico'!$C$5:$C$1000,0)),0))</f>
        <v/>
      </c>
      <c r="AI142" s="62">
        <f>IF(AND(AND($D142&lt;&gt;"",$V142="Macro"),$S142=MesCiclo),COUNTIFS($D$5:$D142,$D142,$S$5:$S142,MesCiclo,$V$5:$V142,"Macro"),"")</f>
        <v/>
      </c>
      <c r="AJ142" s="62">
        <f>IF($AI142="","",$D142&amp;"|"&amp;$AI142)</f>
        <v/>
      </c>
      <c r="AK142" s="62">
        <f>IF(AND($D142&lt;&gt;"",$V142="Macro"),$D142&amp;"|"&amp;$C142,"")</f>
        <v/>
      </c>
      <c r="AL142" s="62">
        <f>""</f>
        <v/>
      </c>
      <c r="AM142" s="62">
        <f>IF(N($AL142)&gt;0,INDEX(rIni_ADM,$AL142),IF(ISNUMBER($E142),$E142,""))</f>
        <v/>
      </c>
      <c r="AN142" s="62">
        <f>IF(N($AL142)&gt;0,INDEX(rLim_ADM,$AL142),IF(ISNUMBER($F142),$F142,""))</f>
        <v/>
      </c>
    </row>
    <row r="143">
      <c r="A143" s="56">
        <f>IF(NOT((COUNTA($B143:$D143)+COUNTA($G143:$L143)+COUNTA($Q143))&gt;0),"",IF($V143="Macro",COUNTIFS($V$5:$V143,"Macro",$S$5:$S143,$S143),IF(N($U143)=0,"?",COUNTIFS(INDEX($V$5:$V$1000,1):INDEX($V$5:$V$1000,$U143-4),"Macro",INDEX($S$5:$S$1000,1):INDEX($S$5:$S$1000,$U143-4),INDEX($S$5:$S$1000,$U143-4))&amp;"."&amp;COUNTIFS($U$5:$U143,$U143,$V$5:$V143,"Sub"))))</f>
        <v/>
      </c>
      <c r="B143" s="57" t="n"/>
      <c r="C143" s="58" t="n"/>
      <c r="D143" s="58" t="n"/>
      <c r="E143" s="59" t="n"/>
      <c r="F143" s="59" t="n"/>
      <c r="G143" s="59" t="n"/>
      <c r="H143" s="60" t="n"/>
      <c r="I143" s="60" t="n"/>
      <c r="J143" s="60" t="n"/>
      <c r="K143" s="60" t="n"/>
      <c r="L143" s="60" t="n"/>
      <c r="M143" s="61">
        <f>IF(NOT((COUNTA($B143:$D143)+COUNTA($G143:$L143)+COUNTA($Q143))&gt;0),"",IF(AND($D143&lt;&gt;"",$V143="Macro"),IF(N($AH143)&gt;0,N(CHOOSE(MATCH($D143,ListaPuestos,0),INDEX('Cronograma R. Operacional'!$M$5:$M$1000,$AH143),INDEX('Cronograma R. Normativo'!$M$5:$M$1000,$AH143),INDEX('Cronograma R. Financiero'!$M$5:$M$1000,$AH143),INDEX('Cronograma Asistente Técnico'!$M$5:$M$1000,$AH143))),0),IF(ISNUMBER($G143),1,IF(N($W143)&gt;0,AVERAGEIFS($X$5:$X$1000,$U$5:$U$1000,ROW(),$V$5:$V$1000,"Sub"),$X143))))</f>
        <v/>
      </c>
      <c r="N143" s="56">
        <f>IF(OR($M143="",$V143="Sub"),"",IF($M143&gt;=1,"Completado",IF($M143&gt;0,"En curso","Pendiente")))</f>
        <v/>
      </c>
      <c r="O143" s="56">
        <f>IF(NOT((COUNTA($B143:$D143)+COUNTA($G143:$L143)+COUNTA($Q143))&gt;0),"",IF(AND(AND($D143&lt;&gt;"",$V143="Macro"),N($AH143)&gt;0),CHOOSE(MATCH($D143,ListaPuestos,0),INDEX('Cronograma R. Operacional'!$O$5:$O$1000,$AH143),INDEX('Cronograma R. Normativo'!$O$5:$O$1000,$AH143),INDEX('Cronograma R. Financiero'!$O$5:$O$1000,$AH143),INDEX('Cronograma Asistente Técnico'!$O$5:$O$1000,$AH143))&amp;"",IF(ISNUMBER($G143),IF(AND(ISNUMBER($AN143),$G143&gt;$AN143),"Cumplida con "&amp;($G143-$AN143)&amp;IF($G143-$AN143=1," día"," días")&amp;" de retraso","Cumplida"),IF(N($M143)&gt;=1,"Cumplida",IF(NOT(ISNUMBER($AN143)),"Sin fecha límite",IF($AN143&lt;FechaRef,"Vencida hace "&amp;(FechaRef-$AN143)&amp;IF(FechaRef-$AN143=1," día"," días"),IF($AN143=FechaRef,"Vence hoy",IF($AN143-FechaRef&lt;=DiasAlerta,"Vence en "&amp;($AN143-FechaRef)&amp;IF($AN143-FechaRef=1," día"," días"),"En plazo"))))))))</f>
        <v/>
      </c>
      <c r="P143" s="62">
        <f>IF(NOT((COUNTA($B143:$D143)+COUNTA($G143:$L143)+COUNTA($Q143))&gt;0),"",IF($D143="","Propia",IF($V143&lt;&gt;"Macro","Solo se delegan macroactividades",IF(N($AH143)&gt;0,"✔ Recibida por "&amp;$D143,"⚠ "&amp;$D143&amp;" aún no la agrega"))))</f>
        <v/>
      </c>
      <c r="Q143" s="58" t="n"/>
      <c r="R143" s="63">
        <f>IF(NOT((COUNTA($B143:$D143)+COUNTA($G143:$L143)+COUNTA($Q143))&gt;0),"",IF((IF($C143="","Falta el nombre de la actividad"&amp;" · ","")&amp;IF(AND($V143="Sub",N($U143)=0),"Subactividad sin macroactividad arriba"&amp;" · ","")&amp;IF($AM143="","Sin fecha de inicio"&amp;" · ","")&amp;IF($AN143="","Sin fecha límite"&amp;" · ","")&amp;IF(AND(LEFT($C143,11)="[Jefatura] ",N($AL143)=0),"No se encuentra en la hoja de la jefatura (elíjala de nuevo en la lista)"&amp;" · ","")&amp;IF(OR(AND($E143&lt;&gt;"",NOT(ISNUMBER($E143))),AND($F143&lt;&gt;"",NOT(ISNUMBER($F143))),AND($G143&lt;&gt;"",NOT(ISNUMBER($G143)))),"Fecha no válida"&amp;" · ","")&amp;IF(AND(ISNUMBER($AM143),ISNUMBER($AN143),$AM143&gt;$AN143),"Inicio posterior a fecha límite"&amp;" · ","")&amp;IF(AND($V143="Macro",$H143&lt;&gt;"",OR(NOT(ISNUMBER($H143)),$H143&lt;0,$H143&gt;1)),"Peso fuera de rango"&amp;" · ","")&amp;IF(AND($V143="Sub",$H143&lt;&gt;""),"Las subactividades no llevan peso (valen igual dentro de su macroactividad)"&amp;" · ","")&amp;IF(AND(N($W143)&gt;0,COUNT($I143:$L143)&gt;0),"Con subactividades: deje vacías las semanas (se calculan solas)"&amp;" · ","")&amp;IF((COUNTIF($I143:$L143,"&gt;1")+COUNTIF($I143:$L143,"&lt;0")+COUNTA($I143:$L143)-COUNT($I143:$L143))&gt;0,"Avance fuera de rango 0-100%"&amp;" · ","")&amp;IF(OR(AND($J143&lt;&gt;"",$J143&lt;$I143),AND($K143&lt;&gt;"",$K143&lt;MAX($I143:$J143)),AND($L143&lt;&gt;"",$L143&lt;MAX($I143:$K143))),"Avance semanal decreciente"&amp;" · ","")&amp;IF(AND(ISNUMBER($AN143),$AN143&lt;FechaRef,IF($V143="Sub",N($X143),N($M143))&lt;1),"Vencida"&amp;" · ","")&amp;IF(AND(ObsObligatoria="Sí",ISNUMBER($AN143),$AN143&lt;FechaRef,IF($V143="Sub",N($X143),N($M143))&lt;1,$Q143=""),"Vencida sin observación"&amp;" · ",""))="","✔ OK","⚠ "&amp;LEFT(IF($C143="","Falta el nombre de la actividad"&amp;" · ","")&amp;IF(AND($V143="Sub",N($U143)=0),"Subactividad sin macroactividad arriba"&amp;" · ","")&amp;IF($AM143="","Sin fecha de inicio"&amp;" · ","")&amp;IF($AN143="","Sin fecha límite"&amp;" · ","")&amp;IF(AND(LEFT($C143,11)="[Jefatura] ",N($AL143)=0),"No se encuentra en la hoja de la jefatura (elíjala de nuevo en la lista)"&amp;" · ","")&amp;IF(OR(AND($E143&lt;&gt;"",NOT(ISNUMBER($E143))),AND($F143&lt;&gt;"",NOT(ISNUMBER($F143))),AND($G143&lt;&gt;"",NOT(ISNUMBER($G143)))),"Fecha no válida"&amp;" · ","")&amp;IF(AND(ISNUMBER($AM143),ISNUMBER($AN143),$AM143&gt;$AN143),"Inicio posterior a fecha límite"&amp;" · ","")&amp;IF(AND($V143="Macro",$H143&lt;&gt;"",OR(NOT(ISNUMBER($H143)),$H143&lt;0,$H143&gt;1)),"Peso fuera de rango"&amp;" · ","")&amp;IF(AND($V143="Sub",$H143&lt;&gt;""),"Las subactividades no llevan peso (valen igual dentro de su macroactividad)"&amp;" · ","")&amp;IF(AND(N($W143)&gt;0,COUNT($I143:$L143)&gt;0),"Con subactividades: deje vacías las semanas (se calculan solas)"&amp;" · ","")&amp;IF((COUNTIF($I143:$L143,"&gt;1")+COUNTIF($I143:$L143,"&lt;0")+COUNTA($I143:$L143)-COUNT($I143:$L143))&gt;0,"Avance fuera de rango 0-100%"&amp;" · ","")&amp;IF(OR(AND($J143&lt;&gt;"",$J143&lt;$I143),AND($K143&lt;&gt;"",$K143&lt;MAX($I143:$J143)),AND($L143&lt;&gt;"",$L143&lt;MAX($I143:$K143))),"Avance semanal decreciente"&amp;" · ","")&amp;IF(AND(ISNUMBER($AN143),$AN143&lt;FechaRef,IF($V143="Sub",N($X143),N($M143))&lt;1),"Vencida"&amp;" · ","")&amp;IF(AND(ObsObligatoria="Sí",ISNUMBER($AN143),$AN143&lt;FechaRef,IF($V143="Sub",N($X143),N($M143))&lt;1,$Q143=""),"Vencida sin observación"&amp;" · ",""),LEN(IF($C143="","Falta el nombre de la actividad"&amp;" · ","")&amp;IF(AND($V143="Sub",N($U143)=0),"Subactividad sin macroactividad arriba"&amp;" · ","")&amp;IF($AM143="","Sin fecha de inicio"&amp;" · ","")&amp;IF($AN143="","Sin fecha límite"&amp;" · ","")&amp;IF(AND(LEFT($C143,11)="[Jefatura] ",N($AL143)=0),"No se encuentra en la hoja de la jefatura (elíjala de nuevo en la lista)"&amp;" · ","")&amp;IF(OR(AND($E143&lt;&gt;"",NOT(ISNUMBER($E143))),AND($F143&lt;&gt;"",NOT(ISNUMBER($F143))),AND($G143&lt;&gt;"",NOT(ISNUMBER($G143)))),"Fecha no válida"&amp;" · ","")&amp;IF(AND(ISNUMBER($AM143),ISNUMBER($AN143),$AM143&gt;$AN143),"Inicio posterior a fecha límite"&amp;" · ","")&amp;IF(AND($V143="Macro",$H143&lt;&gt;"",OR(NOT(ISNUMBER($H143)),$H143&lt;0,$H143&gt;1)),"Peso fuera de rango"&amp;" · ","")&amp;IF(AND($V143="Sub",$H143&lt;&gt;""),"Las subactividades no llevan peso (valen igual dentro de su macroactividad)"&amp;" · ","")&amp;IF(AND(N($W143)&gt;0,COUNT($I143:$L143)&gt;0),"Con subactividades: deje vacías las semanas (se calculan solas)"&amp;" · ","")&amp;IF((COUNTIF($I143:$L143,"&gt;1")+COUNTIF($I143:$L143,"&lt;0")+COUNTA($I143:$L143)-COUNT($I143:$L143))&gt;0,"Avance fuera de rango 0-100%"&amp;" · ","")&amp;IF(OR(AND($J143&lt;&gt;"",$J143&lt;$I143),AND($K143&lt;&gt;"",$K143&lt;MAX($I143:$J143)),AND($L143&lt;&gt;"",$L143&lt;MAX($I143:$K143))),"Avance semanal decreciente"&amp;" · ","")&amp;IF(AND(ISNUMBER($AN143),$AN143&lt;FechaRef,IF($V143="Sub",N($X143),N($M143))&lt;1),"Vencida"&amp;" · ","")&amp;IF(AND(ObsObligatoria="Sí",ISNUMBER($AN143),$AN143&lt;FechaRef,IF($V143="Sub",N($X143),N($M143))&lt;1,$Q143=""),"Vencida sin observación"&amp;" · ",""))-3)))</f>
        <v/>
      </c>
      <c r="S143" s="64">
        <f>IF(NOT((COUNTA($B143:$D143)+COUNTA($G143:$L143)+COUNTA($Q143))&gt;0),"",IF(AND($V143="Sub",N($U143)&gt;0),IF(ISNUMBER(INDEX($AM$5:$AM$1000,$U143-4)),DATE(YEAR(INDEX($AM$5:$AM$1000,$U143-4)),MONTH(INDEX($AM$5:$AM$1000,$U143-4)),1),IF(ISNUMBER(INDEX($AN$5:$AN$1000,$U143-4)),DATE(YEAR(INDEX($AN$5:$AN$1000,$U143-4)),MONTH(INDEX($AN$5:$AN$1000,$U143-4)),1),MesCiclo)),IF(ISNUMBER($AM143),DATE(YEAR($AM143),MONTH($AM143),1),IF(ISNUMBER($AN143),DATE(YEAR($AN143),MONTH($AN143),1),MesCiclo))))</f>
        <v/>
      </c>
      <c r="T143" s="62">
        <f>IF(OR($S143="",$S143&lt;&gt;MesCiclo,$V143&lt;&gt;"Macro"),"",COUNTIFS($S$5:$S143,MesCiclo,$V$5:$V143,"Macro"))</f>
        <v/>
      </c>
      <c r="U143" s="62">
        <f>IF($V143="","",IF($V143="Macro",ROW(),IFERROR(LOOKUP(2,1/($V$5:$V143="Macro"),ROW($V$5:$V143)),0)))</f>
        <v/>
      </c>
      <c r="V143" s="62">
        <f>IF(NOT((COUNTA($B143:$D143)+COUNTA($G143:$L143)+COUNTA($Q143))&gt;0),"",IF($B143="Subactividad","Sub","Macro"))</f>
        <v/>
      </c>
      <c r="W143" s="62">
        <f>IF($V143="Macro",COUNTIFS($U$5:$U$1000,ROW(),$V$5:$V$1000,"Sub"),"")</f>
        <v/>
      </c>
      <c r="X143" s="62">
        <f>IF($V143="","",IF(ISNUMBER($G143),1,IFERROR(LOOKUP(2,1/($I143:$L143&lt;&gt;""),$I143:$L143),0)))</f>
        <v/>
      </c>
      <c r="Y143" s="62">
        <f>IF($V143="","",IF(AND(ISNUMBER($G143),$G143&lt;=IF($S143=MesCiclo,InicioCiclo,$S143+MOD(2-WEEKDAY($S143),7))+6),1,IF(ISNUMBER($I143),$I143,0)))</f>
        <v/>
      </c>
      <c r="Z143" s="62">
        <f>IF($V143="","",IF(AND(ISNUMBER($G143),$G143&lt;=IF($S143=MesCiclo,InicioCiclo,$S143+MOD(2-WEEKDAY($S143),7))+13),1,IF(ISNUMBER($J143),$J143,$Y143)))</f>
        <v/>
      </c>
      <c r="AA143" s="62">
        <f>IF($V143="","",IF(AND(ISNUMBER($G143),$G143&lt;=IF($S143=MesCiclo,InicioCiclo,$S143+MOD(2-WEEKDAY($S143),7))+20),1,IF(ISNUMBER($K143),$K143,$Z143)))</f>
        <v/>
      </c>
      <c r="AB143" s="62">
        <f>IF($V143="","",IF(AND(ISNUMBER($G143),$G143&lt;=IF($S143=MesCiclo,InicioCiclo,$S143+MOD(2-WEEKDAY($S143),7))+27),1,IF(ISNUMBER($L143),$L143,$AA143)))</f>
        <v/>
      </c>
      <c r="AC143" s="62">
        <f>IF($V143="","",IF(AND(ISNUMBER($G143),$G143&lt;=IF($S143=MesCiclo,InicioCiclo,$S143+MOD(2-WEEKDAY($S143),7))+6),1,IF(N($W143)&gt;0,AVERAGEIFS($Y$5:$Y$1000,$U$5:$U$1000,ROW(),$V$5:$V$1000,"Sub"),$Y143)))</f>
        <v/>
      </c>
      <c r="AD143" s="62">
        <f>IF($V143="","",IF(AND(ISNUMBER($G143),$G143&lt;=IF($S143=MesCiclo,InicioCiclo,$S143+MOD(2-WEEKDAY($S143),7))+13),1,IF(N($W143)&gt;0,AVERAGEIFS($Z$5:$Z$1000,$U$5:$U$1000,ROW(),$V$5:$V$1000,"Sub"),$Z143)))</f>
        <v/>
      </c>
      <c r="AE143" s="62">
        <f>IF($V143="","",IF(AND(ISNUMBER($G143),$G143&lt;=IF($S143=MesCiclo,InicioCiclo,$S143+MOD(2-WEEKDAY($S143),7))+20),1,IF(N($W143)&gt;0,AVERAGEIFS($AA$5:$AA$1000,$U$5:$U$1000,ROW(),$V$5:$V$1000,"Sub"),$AA143)))</f>
        <v/>
      </c>
      <c r="AF143" s="62">
        <f>IF($V143="","",IF(AND(ISNUMBER($G143),$G143&lt;=IF($S143=MesCiclo,InicioCiclo,$S143+MOD(2-WEEKDAY($S143),7))+27),1,IF(N($W143)&gt;0,AVERAGEIFS($AB$5:$AB$1000,$U$5:$U$1000,ROW(),$V$5:$V$1000,"Sub"),$AB143)))</f>
        <v/>
      </c>
      <c r="AG143" s="62">
        <f>IF($V143&lt;&gt;"Macro","",IF(COUNTIFS($S$5:$S$1000,$S143,$V$5:$V$1000,"Macro",$H$5:$H$1000,"&gt;0")=0,1/COUNTIFS($S$5:$S$1000,$S143,$V$5:$V$1000,"Macro"),IF(AND(ISNUMBER($H143),N($H143)&gt;0),$H143,SUMIFS($H$5:$H$1000,$S$5:$S$1000,$S143,$V$5:$V$1000,"Macro")/COUNTIFS($S$5:$S$1000,$S143,$V$5:$V$1000,"Macro",$H$5:$H$1000,"&gt;0"))/(COUNTIFS($S$5:$S$1000,$S143,$V$5:$V$1000,"Macro")*SUMIFS($H$5:$H$1000,$S$5:$S$1000,$S143,$V$5:$V$1000,"Macro")/COUNTIFS($S$5:$S$1000,$S143,$V$5:$V$1000,"Macro",$H$5:$H$1000,"&gt;0"))))</f>
        <v/>
      </c>
      <c r="AH143" s="62">
        <f>IF(NOT(AND($D143&lt;&gt;"",$V143="Macro")),"",IFERROR(CHOOSE(MATCH($D143,ListaPuestos,0),MATCH("[Jefatura] "&amp;$C143,'Cronograma R. Operacional'!$C$5:$C$1000,0),MATCH("[Jefatura] "&amp;$C143,'Cronograma R. Normativo'!$C$5:$C$1000,0),MATCH("[Jefatura] "&amp;$C143,'Cronograma R. Financiero'!$C$5:$C$1000,0),MATCH("[Jefatura] "&amp;$C143,'Cronograma Asistente Técnico'!$C$5:$C$1000,0)),0))</f>
        <v/>
      </c>
      <c r="AI143" s="62">
        <f>IF(AND(AND($D143&lt;&gt;"",$V143="Macro"),$S143=MesCiclo),COUNTIFS($D$5:$D143,$D143,$S$5:$S143,MesCiclo,$V$5:$V143,"Macro"),"")</f>
        <v/>
      </c>
      <c r="AJ143" s="62">
        <f>IF($AI143="","",$D143&amp;"|"&amp;$AI143)</f>
        <v/>
      </c>
      <c r="AK143" s="62">
        <f>IF(AND($D143&lt;&gt;"",$V143="Macro"),$D143&amp;"|"&amp;$C143,"")</f>
        <v/>
      </c>
      <c r="AL143" s="62">
        <f>""</f>
        <v/>
      </c>
      <c r="AM143" s="62">
        <f>IF(N($AL143)&gt;0,INDEX(rIni_ADM,$AL143),IF(ISNUMBER($E143),$E143,""))</f>
        <v/>
      </c>
      <c r="AN143" s="62">
        <f>IF(N($AL143)&gt;0,INDEX(rLim_ADM,$AL143),IF(ISNUMBER($F143),$F143,""))</f>
        <v/>
      </c>
    </row>
    <row r="144">
      <c r="A144" s="56">
        <f>IF(NOT((COUNTA($B144:$D144)+COUNTA($G144:$L144)+COUNTA($Q144))&gt;0),"",IF($V144="Macro",COUNTIFS($V$5:$V144,"Macro",$S$5:$S144,$S144),IF(N($U144)=0,"?",COUNTIFS(INDEX($V$5:$V$1000,1):INDEX($V$5:$V$1000,$U144-4),"Macro",INDEX($S$5:$S$1000,1):INDEX($S$5:$S$1000,$U144-4),INDEX($S$5:$S$1000,$U144-4))&amp;"."&amp;COUNTIFS($U$5:$U144,$U144,$V$5:$V144,"Sub"))))</f>
        <v/>
      </c>
      <c r="B144" s="57" t="n"/>
      <c r="C144" s="58" t="n"/>
      <c r="D144" s="58" t="n"/>
      <c r="E144" s="59" t="n"/>
      <c r="F144" s="59" t="n"/>
      <c r="G144" s="59" t="n"/>
      <c r="H144" s="60" t="n"/>
      <c r="I144" s="60" t="n"/>
      <c r="J144" s="60" t="n"/>
      <c r="K144" s="60" t="n"/>
      <c r="L144" s="60" t="n"/>
      <c r="M144" s="61">
        <f>IF(NOT((COUNTA($B144:$D144)+COUNTA($G144:$L144)+COUNTA($Q144))&gt;0),"",IF(AND($D144&lt;&gt;"",$V144="Macro"),IF(N($AH144)&gt;0,N(CHOOSE(MATCH($D144,ListaPuestos,0),INDEX('Cronograma R. Operacional'!$M$5:$M$1000,$AH144),INDEX('Cronograma R. Normativo'!$M$5:$M$1000,$AH144),INDEX('Cronograma R. Financiero'!$M$5:$M$1000,$AH144),INDEX('Cronograma Asistente Técnico'!$M$5:$M$1000,$AH144))),0),IF(ISNUMBER($G144),1,IF(N($W144)&gt;0,AVERAGEIFS($X$5:$X$1000,$U$5:$U$1000,ROW(),$V$5:$V$1000,"Sub"),$X144))))</f>
        <v/>
      </c>
      <c r="N144" s="56">
        <f>IF(OR($M144="",$V144="Sub"),"",IF($M144&gt;=1,"Completado",IF($M144&gt;0,"En curso","Pendiente")))</f>
        <v/>
      </c>
      <c r="O144" s="56">
        <f>IF(NOT((COUNTA($B144:$D144)+COUNTA($G144:$L144)+COUNTA($Q144))&gt;0),"",IF(AND(AND($D144&lt;&gt;"",$V144="Macro"),N($AH144)&gt;0),CHOOSE(MATCH($D144,ListaPuestos,0),INDEX('Cronograma R. Operacional'!$O$5:$O$1000,$AH144),INDEX('Cronograma R. Normativo'!$O$5:$O$1000,$AH144),INDEX('Cronograma R. Financiero'!$O$5:$O$1000,$AH144),INDEX('Cronograma Asistente Técnico'!$O$5:$O$1000,$AH144))&amp;"",IF(ISNUMBER($G144),IF(AND(ISNUMBER($AN144),$G144&gt;$AN144),"Cumplida con "&amp;($G144-$AN144)&amp;IF($G144-$AN144=1," día"," días")&amp;" de retraso","Cumplida"),IF(N($M144)&gt;=1,"Cumplida",IF(NOT(ISNUMBER($AN144)),"Sin fecha límite",IF($AN144&lt;FechaRef,"Vencida hace "&amp;(FechaRef-$AN144)&amp;IF(FechaRef-$AN144=1," día"," días"),IF($AN144=FechaRef,"Vence hoy",IF($AN144-FechaRef&lt;=DiasAlerta,"Vence en "&amp;($AN144-FechaRef)&amp;IF($AN144-FechaRef=1," día"," días"),"En plazo"))))))))</f>
        <v/>
      </c>
      <c r="P144" s="62">
        <f>IF(NOT((COUNTA($B144:$D144)+COUNTA($G144:$L144)+COUNTA($Q144))&gt;0),"",IF($D144="","Propia",IF($V144&lt;&gt;"Macro","Solo se delegan macroactividades",IF(N($AH144)&gt;0,"✔ Recibida por "&amp;$D144,"⚠ "&amp;$D144&amp;" aún no la agrega"))))</f>
        <v/>
      </c>
      <c r="Q144" s="58" t="n"/>
      <c r="R144" s="63">
        <f>IF(NOT((COUNTA($B144:$D144)+COUNTA($G144:$L144)+COUNTA($Q144))&gt;0),"",IF((IF($C144="","Falta el nombre de la actividad"&amp;" · ","")&amp;IF(AND($V144="Sub",N($U144)=0),"Subactividad sin macroactividad arriba"&amp;" · ","")&amp;IF($AM144="","Sin fecha de inicio"&amp;" · ","")&amp;IF($AN144="","Sin fecha límite"&amp;" · ","")&amp;IF(AND(LEFT($C144,11)="[Jefatura] ",N($AL144)=0),"No se encuentra en la hoja de la jefatura (elíjala de nuevo en la lista)"&amp;" · ","")&amp;IF(OR(AND($E144&lt;&gt;"",NOT(ISNUMBER($E144))),AND($F144&lt;&gt;"",NOT(ISNUMBER($F144))),AND($G144&lt;&gt;"",NOT(ISNUMBER($G144)))),"Fecha no válida"&amp;" · ","")&amp;IF(AND(ISNUMBER($AM144),ISNUMBER($AN144),$AM144&gt;$AN144),"Inicio posterior a fecha límite"&amp;" · ","")&amp;IF(AND($V144="Macro",$H144&lt;&gt;"",OR(NOT(ISNUMBER($H144)),$H144&lt;0,$H144&gt;1)),"Peso fuera de rango"&amp;" · ","")&amp;IF(AND($V144="Sub",$H144&lt;&gt;""),"Las subactividades no llevan peso (valen igual dentro de su macroactividad)"&amp;" · ","")&amp;IF(AND(N($W144)&gt;0,COUNT($I144:$L144)&gt;0),"Con subactividades: deje vacías las semanas (se calculan solas)"&amp;" · ","")&amp;IF((COUNTIF($I144:$L144,"&gt;1")+COUNTIF($I144:$L144,"&lt;0")+COUNTA($I144:$L144)-COUNT($I144:$L144))&gt;0,"Avance fuera de rango 0-100%"&amp;" · ","")&amp;IF(OR(AND($J144&lt;&gt;"",$J144&lt;$I144),AND($K144&lt;&gt;"",$K144&lt;MAX($I144:$J144)),AND($L144&lt;&gt;"",$L144&lt;MAX($I144:$K144))),"Avance semanal decreciente"&amp;" · ","")&amp;IF(AND(ISNUMBER($AN144),$AN144&lt;FechaRef,IF($V144="Sub",N($X144),N($M144))&lt;1),"Vencida"&amp;" · ","")&amp;IF(AND(ObsObligatoria="Sí",ISNUMBER($AN144),$AN144&lt;FechaRef,IF($V144="Sub",N($X144),N($M144))&lt;1,$Q144=""),"Vencida sin observación"&amp;" · ",""))="","✔ OK","⚠ "&amp;LEFT(IF($C144="","Falta el nombre de la actividad"&amp;" · ","")&amp;IF(AND($V144="Sub",N($U144)=0),"Subactividad sin macroactividad arriba"&amp;" · ","")&amp;IF($AM144="","Sin fecha de inicio"&amp;" · ","")&amp;IF($AN144="","Sin fecha límite"&amp;" · ","")&amp;IF(AND(LEFT($C144,11)="[Jefatura] ",N($AL144)=0),"No se encuentra en la hoja de la jefatura (elíjala de nuevo en la lista)"&amp;" · ","")&amp;IF(OR(AND($E144&lt;&gt;"",NOT(ISNUMBER($E144))),AND($F144&lt;&gt;"",NOT(ISNUMBER($F144))),AND($G144&lt;&gt;"",NOT(ISNUMBER($G144)))),"Fecha no válida"&amp;" · ","")&amp;IF(AND(ISNUMBER($AM144),ISNUMBER($AN144),$AM144&gt;$AN144),"Inicio posterior a fecha límite"&amp;" · ","")&amp;IF(AND($V144="Macro",$H144&lt;&gt;"",OR(NOT(ISNUMBER($H144)),$H144&lt;0,$H144&gt;1)),"Peso fuera de rango"&amp;" · ","")&amp;IF(AND($V144="Sub",$H144&lt;&gt;""),"Las subactividades no llevan peso (valen igual dentro de su macroactividad)"&amp;" · ","")&amp;IF(AND(N($W144)&gt;0,COUNT($I144:$L144)&gt;0),"Con subactividades: deje vacías las semanas (se calculan solas)"&amp;" · ","")&amp;IF((COUNTIF($I144:$L144,"&gt;1")+COUNTIF($I144:$L144,"&lt;0")+COUNTA($I144:$L144)-COUNT($I144:$L144))&gt;0,"Avance fuera de rango 0-100%"&amp;" · ","")&amp;IF(OR(AND($J144&lt;&gt;"",$J144&lt;$I144),AND($K144&lt;&gt;"",$K144&lt;MAX($I144:$J144)),AND($L144&lt;&gt;"",$L144&lt;MAX($I144:$K144))),"Avance semanal decreciente"&amp;" · ","")&amp;IF(AND(ISNUMBER($AN144),$AN144&lt;FechaRef,IF($V144="Sub",N($X144),N($M144))&lt;1),"Vencida"&amp;" · ","")&amp;IF(AND(ObsObligatoria="Sí",ISNUMBER($AN144),$AN144&lt;FechaRef,IF($V144="Sub",N($X144),N($M144))&lt;1,$Q144=""),"Vencida sin observación"&amp;" · ",""),LEN(IF($C144="","Falta el nombre de la actividad"&amp;" · ","")&amp;IF(AND($V144="Sub",N($U144)=0),"Subactividad sin macroactividad arriba"&amp;" · ","")&amp;IF($AM144="","Sin fecha de inicio"&amp;" · ","")&amp;IF($AN144="","Sin fecha límite"&amp;" · ","")&amp;IF(AND(LEFT($C144,11)="[Jefatura] ",N($AL144)=0),"No se encuentra en la hoja de la jefatura (elíjala de nuevo en la lista)"&amp;" · ","")&amp;IF(OR(AND($E144&lt;&gt;"",NOT(ISNUMBER($E144))),AND($F144&lt;&gt;"",NOT(ISNUMBER($F144))),AND($G144&lt;&gt;"",NOT(ISNUMBER($G144)))),"Fecha no válida"&amp;" · ","")&amp;IF(AND(ISNUMBER($AM144),ISNUMBER($AN144),$AM144&gt;$AN144),"Inicio posterior a fecha límite"&amp;" · ","")&amp;IF(AND($V144="Macro",$H144&lt;&gt;"",OR(NOT(ISNUMBER($H144)),$H144&lt;0,$H144&gt;1)),"Peso fuera de rango"&amp;" · ","")&amp;IF(AND($V144="Sub",$H144&lt;&gt;""),"Las subactividades no llevan peso (valen igual dentro de su macroactividad)"&amp;" · ","")&amp;IF(AND(N($W144)&gt;0,COUNT($I144:$L144)&gt;0),"Con subactividades: deje vacías las semanas (se calculan solas)"&amp;" · ","")&amp;IF((COUNTIF($I144:$L144,"&gt;1")+COUNTIF($I144:$L144,"&lt;0")+COUNTA($I144:$L144)-COUNT($I144:$L144))&gt;0,"Avance fuera de rango 0-100%"&amp;" · ","")&amp;IF(OR(AND($J144&lt;&gt;"",$J144&lt;$I144),AND($K144&lt;&gt;"",$K144&lt;MAX($I144:$J144)),AND($L144&lt;&gt;"",$L144&lt;MAX($I144:$K144))),"Avance semanal decreciente"&amp;" · ","")&amp;IF(AND(ISNUMBER($AN144),$AN144&lt;FechaRef,IF($V144="Sub",N($X144),N($M144))&lt;1),"Vencida"&amp;" · ","")&amp;IF(AND(ObsObligatoria="Sí",ISNUMBER($AN144),$AN144&lt;FechaRef,IF($V144="Sub",N($X144),N($M144))&lt;1,$Q144=""),"Vencida sin observación"&amp;" · ",""))-3)))</f>
        <v/>
      </c>
      <c r="S144" s="64">
        <f>IF(NOT((COUNTA($B144:$D144)+COUNTA($G144:$L144)+COUNTA($Q144))&gt;0),"",IF(AND($V144="Sub",N($U144)&gt;0),IF(ISNUMBER(INDEX($AM$5:$AM$1000,$U144-4)),DATE(YEAR(INDEX($AM$5:$AM$1000,$U144-4)),MONTH(INDEX($AM$5:$AM$1000,$U144-4)),1),IF(ISNUMBER(INDEX($AN$5:$AN$1000,$U144-4)),DATE(YEAR(INDEX($AN$5:$AN$1000,$U144-4)),MONTH(INDEX($AN$5:$AN$1000,$U144-4)),1),MesCiclo)),IF(ISNUMBER($AM144),DATE(YEAR($AM144),MONTH($AM144),1),IF(ISNUMBER($AN144),DATE(YEAR($AN144),MONTH($AN144),1),MesCiclo))))</f>
        <v/>
      </c>
      <c r="T144" s="62">
        <f>IF(OR($S144="",$S144&lt;&gt;MesCiclo,$V144&lt;&gt;"Macro"),"",COUNTIFS($S$5:$S144,MesCiclo,$V$5:$V144,"Macro"))</f>
        <v/>
      </c>
      <c r="U144" s="62">
        <f>IF($V144="","",IF($V144="Macro",ROW(),IFERROR(LOOKUP(2,1/($V$5:$V144="Macro"),ROW($V$5:$V144)),0)))</f>
        <v/>
      </c>
      <c r="V144" s="62">
        <f>IF(NOT((COUNTA($B144:$D144)+COUNTA($G144:$L144)+COUNTA($Q144))&gt;0),"",IF($B144="Subactividad","Sub","Macro"))</f>
        <v/>
      </c>
      <c r="W144" s="62">
        <f>IF($V144="Macro",COUNTIFS($U$5:$U$1000,ROW(),$V$5:$V$1000,"Sub"),"")</f>
        <v/>
      </c>
      <c r="X144" s="62">
        <f>IF($V144="","",IF(ISNUMBER($G144),1,IFERROR(LOOKUP(2,1/($I144:$L144&lt;&gt;""),$I144:$L144),0)))</f>
        <v/>
      </c>
      <c r="Y144" s="62">
        <f>IF($V144="","",IF(AND(ISNUMBER($G144),$G144&lt;=IF($S144=MesCiclo,InicioCiclo,$S144+MOD(2-WEEKDAY($S144),7))+6),1,IF(ISNUMBER($I144),$I144,0)))</f>
        <v/>
      </c>
      <c r="Z144" s="62">
        <f>IF($V144="","",IF(AND(ISNUMBER($G144),$G144&lt;=IF($S144=MesCiclo,InicioCiclo,$S144+MOD(2-WEEKDAY($S144),7))+13),1,IF(ISNUMBER($J144),$J144,$Y144)))</f>
        <v/>
      </c>
      <c r="AA144" s="62">
        <f>IF($V144="","",IF(AND(ISNUMBER($G144),$G144&lt;=IF($S144=MesCiclo,InicioCiclo,$S144+MOD(2-WEEKDAY($S144),7))+20),1,IF(ISNUMBER($K144),$K144,$Z144)))</f>
        <v/>
      </c>
      <c r="AB144" s="62">
        <f>IF($V144="","",IF(AND(ISNUMBER($G144),$G144&lt;=IF($S144=MesCiclo,InicioCiclo,$S144+MOD(2-WEEKDAY($S144),7))+27),1,IF(ISNUMBER($L144),$L144,$AA144)))</f>
        <v/>
      </c>
      <c r="AC144" s="62">
        <f>IF($V144="","",IF(AND(ISNUMBER($G144),$G144&lt;=IF($S144=MesCiclo,InicioCiclo,$S144+MOD(2-WEEKDAY($S144),7))+6),1,IF(N($W144)&gt;0,AVERAGEIFS($Y$5:$Y$1000,$U$5:$U$1000,ROW(),$V$5:$V$1000,"Sub"),$Y144)))</f>
        <v/>
      </c>
      <c r="AD144" s="62">
        <f>IF($V144="","",IF(AND(ISNUMBER($G144),$G144&lt;=IF($S144=MesCiclo,InicioCiclo,$S144+MOD(2-WEEKDAY($S144),7))+13),1,IF(N($W144)&gt;0,AVERAGEIFS($Z$5:$Z$1000,$U$5:$U$1000,ROW(),$V$5:$V$1000,"Sub"),$Z144)))</f>
        <v/>
      </c>
      <c r="AE144" s="62">
        <f>IF($V144="","",IF(AND(ISNUMBER($G144),$G144&lt;=IF($S144=MesCiclo,InicioCiclo,$S144+MOD(2-WEEKDAY($S144),7))+20),1,IF(N($W144)&gt;0,AVERAGEIFS($AA$5:$AA$1000,$U$5:$U$1000,ROW(),$V$5:$V$1000,"Sub"),$AA144)))</f>
        <v/>
      </c>
      <c r="AF144" s="62">
        <f>IF($V144="","",IF(AND(ISNUMBER($G144),$G144&lt;=IF($S144=MesCiclo,InicioCiclo,$S144+MOD(2-WEEKDAY($S144),7))+27),1,IF(N($W144)&gt;0,AVERAGEIFS($AB$5:$AB$1000,$U$5:$U$1000,ROW(),$V$5:$V$1000,"Sub"),$AB144)))</f>
        <v/>
      </c>
      <c r="AG144" s="62">
        <f>IF($V144&lt;&gt;"Macro","",IF(COUNTIFS($S$5:$S$1000,$S144,$V$5:$V$1000,"Macro",$H$5:$H$1000,"&gt;0")=0,1/COUNTIFS($S$5:$S$1000,$S144,$V$5:$V$1000,"Macro"),IF(AND(ISNUMBER($H144),N($H144)&gt;0),$H144,SUMIFS($H$5:$H$1000,$S$5:$S$1000,$S144,$V$5:$V$1000,"Macro")/COUNTIFS($S$5:$S$1000,$S144,$V$5:$V$1000,"Macro",$H$5:$H$1000,"&gt;0"))/(COUNTIFS($S$5:$S$1000,$S144,$V$5:$V$1000,"Macro")*SUMIFS($H$5:$H$1000,$S$5:$S$1000,$S144,$V$5:$V$1000,"Macro")/COUNTIFS($S$5:$S$1000,$S144,$V$5:$V$1000,"Macro",$H$5:$H$1000,"&gt;0"))))</f>
        <v/>
      </c>
      <c r="AH144" s="62">
        <f>IF(NOT(AND($D144&lt;&gt;"",$V144="Macro")),"",IFERROR(CHOOSE(MATCH($D144,ListaPuestos,0),MATCH("[Jefatura] "&amp;$C144,'Cronograma R. Operacional'!$C$5:$C$1000,0),MATCH("[Jefatura] "&amp;$C144,'Cronograma R. Normativo'!$C$5:$C$1000,0),MATCH("[Jefatura] "&amp;$C144,'Cronograma R. Financiero'!$C$5:$C$1000,0),MATCH("[Jefatura] "&amp;$C144,'Cronograma Asistente Técnico'!$C$5:$C$1000,0)),0))</f>
        <v/>
      </c>
      <c r="AI144" s="62">
        <f>IF(AND(AND($D144&lt;&gt;"",$V144="Macro"),$S144=MesCiclo),COUNTIFS($D$5:$D144,$D144,$S$5:$S144,MesCiclo,$V$5:$V144,"Macro"),"")</f>
        <v/>
      </c>
      <c r="AJ144" s="62">
        <f>IF($AI144="","",$D144&amp;"|"&amp;$AI144)</f>
        <v/>
      </c>
      <c r="AK144" s="62">
        <f>IF(AND($D144&lt;&gt;"",$V144="Macro"),$D144&amp;"|"&amp;$C144,"")</f>
        <v/>
      </c>
      <c r="AL144" s="62">
        <f>""</f>
        <v/>
      </c>
      <c r="AM144" s="62">
        <f>IF(N($AL144)&gt;0,INDEX(rIni_ADM,$AL144),IF(ISNUMBER($E144),$E144,""))</f>
        <v/>
      </c>
      <c r="AN144" s="62">
        <f>IF(N($AL144)&gt;0,INDEX(rLim_ADM,$AL144),IF(ISNUMBER($F144),$F144,""))</f>
        <v/>
      </c>
    </row>
    <row r="145">
      <c r="A145" s="56">
        <f>IF(NOT((COUNTA($B145:$D145)+COUNTA($G145:$L145)+COUNTA($Q145))&gt;0),"",IF($V145="Macro",COUNTIFS($V$5:$V145,"Macro",$S$5:$S145,$S145),IF(N($U145)=0,"?",COUNTIFS(INDEX($V$5:$V$1000,1):INDEX($V$5:$V$1000,$U145-4),"Macro",INDEX($S$5:$S$1000,1):INDEX($S$5:$S$1000,$U145-4),INDEX($S$5:$S$1000,$U145-4))&amp;"."&amp;COUNTIFS($U$5:$U145,$U145,$V$5:$V145,"Sub"))))</f>
        <v/>
      </c>
      <c r="B145" s="57" t="n"/>
      <c r="C145" s="58" t="n"/>
      <c r="D145" s="58" t="n"/>
      <c r="E145" s="59" t="n"/>
      <c r="F145" s="59" t="n"/>
      <c r="G145" s="59" t="n"/>
      <c r="H145" s="60" t="n"/>
      <c r="I145" s="60" t="n"/>
      <c r="J145" s="60" t="n"/>
      <c r="K145" s="60" t="n"/>
      <c r="L145" s="60" t="n"/>
      <c r="M145" s="61">
        <f>IF(NOT((COUNTA($B145:$D145)+COUNTA($G145:$L145)+COUNTA($Q145))&gt;0),"",IF(AND($D145&lt;&gt;"",$V145="Macro"),IF(N($AH145)&gt;0,N(CHOOSE(MATCH($D145,ListaPuestos,0),INDEX('Cronograma R. Operacional'!$M$5:$M$1000,$AH145),INDEX('Cronograma R. Normativo'!$M$5:$M$1000,$AH145),INDEX('Cronograma R. Financiero'!$M$5:$M$1000,$AH145),INDEX('Cronograma Asistente Técnico'!$M$5:$M$1000,$AH145))),0),IF(ISNUMBER($G145),1,IF(N($W145)&gt;0,AVERAGEIFS($X$5:$X$1000,$U$5:$U$1000,ROW(),$V$5:$V$1000,"Sub"),$X145))))</f>
        <v/>
      </c>
      <c r="N145" s="56">
        <f>IF(OR($M145="",$V145="Sub"),"",IF($M145&gt;=1,"Completado",IF($M145&gt;0,"En curso","Pendiente")))</f>
        <v/>
      </c>
      <c r="O145" s="56">
        <f>IF(NOT((COUNTA($B145:$D145)+COUNTA($G145:$L145)+COUNTA($Q145))&gt;0),"",IF(AND(AND($D145&lt;&gt;"",$V145="Macro"),N($AH145)&gt;0),CHOOSE(MATCH($D145,ListaPuestos,0),INDEX('Cronograma R. Operacional'!$O$5:$O$1000,$AH145),INDEX('Cronograma R. Normativo'!$O$5:$O$1000,$AH145),INDEX('Cronograma R. Financiero'!$O$5:$O$1000,$AH145),INDEX('Cronograma Asistente Técnico'!$O$5:$O$1000,$AH145))&amp;"",IF(ISNUMBER($G145),IF(AND(ISNUMBER($AN145),$G145&gt;$AN145),"Cumplida con "&amp;($G145-$AN145)&amp;IF($G145-$AN145=1," día"," días")&amp;" de retraso","Cumplida"),IF(N($M145)&gt;=1,"Cumplida",IF(NOT(ISNUMBER($AN145)),"Sin fecha límite",IF($AN145&lt;FechaRef,"Vencida hace "&amp;(FechaRef-$AN145)&amp;IF(FechaRef-$AN145=1," día"," días"),IF($AN145=FechaRef,"Vence hoy",IF($AN145-FechaRef&lt;=DiasAlerta,"Vence en "&amp;($AN145-FechaRef)&amp;IF($AN145-FechaRef=1," día"," días"),"En plazo"))))))))</f>
        <v/>
      </c>
      <c r="P145" s="62">
        <f>IF(NOT((COUNTA($B145:$D145)+COUNTA($G145:$L145)+COUNTA($Q145))&gt;0),"",IF($D145="","Propia",IF($V145&lt;&gt;"Macro","Solo se delegan macroactividades",IF(N($AH145)&gt;0,"✔ Recibida por "&amp;$D145,"⚠ "&amp;$D145&amp;" aún no la agrega"))))</f>
        <v/>
      </c>
      <c r="Q145" s="58" t="n"/>
      <c r="R145" s="63">
        <f>IF(NOT((COUNTA($B145:$D145)+COUNTA($G145:$L145)+COUNTA($Q145))&gt;0),"",IF((IF($C145="","Falta el nombre de la actividad"&amp;" · ","")&amp;IF(AND($V145="Sub",N($U145)=0),"Subactividad sin macroactividad arriba"&amp;" · ","")&amp;IF($AM145="","Sin fecha de inicio"&amp;" · ","")&amp;IF($AN145="","Sin fecha límite"&amp;" · ","")&amp;IF(AND(LEFT($C145,11)="[Jefatura] ",N($AL145)=0),"No se encuentra en la hoja de la jefatura (elíjala de nuevo en la lista)"&amp;" · ","")&amp;IF(OR(AND($E145&lt;&gt;"",NOT(ISNUMBER($E145))),AND($F145&lt;&gt;"",NOT(ISNUMBER($F145))),AND($G145&lt;&gt;"",NOT(ISNUMBER($G145)))),"Fecha no válida"&amp;" · ","")&amp;IF(AND(ISNUMBER($AM145),ISNUMBER($AN145),$AM145&gt;$AN145),"Inicio posterior a fecha límite"&amp;" · ","")&amp;IF(AND($V145="Macro",$H145&lt;&gt;"",OR(NOT(ISNUMBER($H145)),$H145&lt;0,$H145&gt;1)),"Peso fuera de rango"&amp;" · ","")&amp;IF(AND($V145="Sub",$H145&lt;&gt;""),"Las subactividades no llevan peso (valen igual dentro de su macroactividad)"&amp;" · ","")&amp;IF(AND(N($W145)&gt;0,COUNT($I145:$L145)&gt;0),"Con subactividades: deje vacías las semanas (se calculan solas)"&amp;" · ","")&amp;IF((COUNTIF($I145:$L145,"&gt;1")+COUNTIF($I145:$L145,"&lt;0")+COUNTA($I145:$L145)-COUNT($I145:$L145))&gt;0,"Avance fuera de rango 0-100%"&amp;" · ","")&amp;IF(OR(AND($J145&lt;&gt;"",$J145&lt;$I145),AND($K145&lt;&gt;"",$K145&lt;MAX($I145:$J145)),AND($L145&lt;&gt;"",$L145&lt;MAX($I145:$K145))),"Avance semanal decreciente"&amp;" · ","")&amp;IF(AND(ISNUMBER($AN145),$AN145&lt;FechaRef,IF($V145="Sub",N($X145),N($M145))&lt;1),"Vencida"&amp;" · ","")&amp;IF(AND(ObsObligatoria="Sí",ISNUMBER($AN145),$AN145&lt;FechaRef,IF($V145="Sub",N($X145),N($M145))&lt;1,$Q145=""),"Vencida sin observación"&amp;" · ",""))="","✔ OK","⚠ "&amp;LEFT(IF($C145="","Falta el nombre de la actividad"&amp;" · ","")&amp;IF(AND($V145="Sub",N($U145)=0),"Subactividad sin macroactividad arriba"&amp;" · ","")&amp;IF($AM145="","Sin fecha de inicio"&amp;" · ","")&amp;IF($AN145="","Sin fecha límite"&amp;" · ","")&amp;IF(AND(LEFT($C145,11)="[Jefatura] ",N($AL145)=0),"No se encuentra en la hoja de la jefatura (elíjala de nuevo en la lista)"&amp;" · ","")&amp;IF(OR(AND($E145&lt;&gt;"",NOT(ISNUMBER($E145))),AND($F145&lt;&gt;"",NOT(ISNUMBER($F145))),AND($G145&lt;&gt;"",NOT(ISNUMBER($G145)))),"Fecha no válida"&amp;" · ","")&amp;IF(AND(ISNUMBER($AM145),ISNUMBER($AN145),$AM145&gt;$AN145),"Inicio posterior a fecha límite"&amp;" · ","")&amp;IF(AND($V145="Macro",$H145&lt;&gt;"",OR(NOT(ISNUMBER($H145)),$H145&lt;0,$H145&gt;1)),"Peso fuera de rango"&amp;" · ","")&amp;IF(AND($V145="Sub",$H145&lt;&gt;""),"Las subactividades no llevan peso (valen igual dentro de su macroactividad)"&amp;" · ","")&amp;IF(AND(N($W145)&gt;0,COUNT($I145:$L145)&gt;0),"Con subactividades: deje vacías las semanas (se calculan solas)"&amp;" · ","")&amp;IF((COUNTIF($I145:$L145,"&gt;1")+COUNTIF($I145:$L145,"&lt;0")+COUNTA($I145:$L145)-COUNT($I145:$L145))&gt;0,"Avance fuera de rango 0-100%"&amp;" · ","")&amp;IF(OR(AND($J145&lt;&gt;"",$J145&lt;$I145),AND($K145&lt;&gt;"",$K145&lt;MAX($I145:$J145)),AND($L145&lt;&gt;"",$L145&lt;MAX($I145:$K145))),"Avance semanal decreciente"&amp;" · ","")&amp;IF(AND(ISNUMBER($AN145),$AN145&lt;FechaRef,IF($V145="Sub",N($X145),N($M145))&lt;1),"Vencida"&amp;" · ","")&amp;IF(AND(ObsObligatoria="Sí",ISNUMBER($AN145),$AN145&lt;FechaRef,IF($V145="Sub",N($X145),N($M145))&lt;1,$Q145=""),"Vencida sin observación"&amp;" · ",""),LEN(IF($C145="","Falta el nombre de la actividad"&amp;" · ","")&amp;IF(AND($V145="Sub",N($U145)=0),"Subactividad sin macroactividad arriba"&amp;" · ","")&amp;IF($AM145="","Sin fecha de inicio"&amp;" · ","")&amp;IF($AN145="","Sin fecha límite"&amp;" · ","")&amp;IF(AND(LEFT($C145,11)="[Jefatura] ",N($AL145)=0),"No se encuentra en la hoja de la jefatura (elíjala de nuevo en la lista)"&amp;" · ","")&amp;IF(OR(AND($E145&lt;&gt;"",NOT(ISNUMBER($E145))),AND($F145&lt;&gt;"",NOT(ISNUMBER($F145))),AND($G145&lt;&gt;"",NOT(ISNUMBER($G145)))),"Fecha no válida"&amp;" · ","")&amp;IF(AND(ISNUMBER($AM145),ISNUMBER($AN145),$AM145&gt;$AN145),"Inicio posterior a fecha límite"&amp;" · ","")&amp;IF(AND($V145="Macro",$H145&lt;&gt;"",OR(NOT(ISNUMBER($H145)),$H145&lt;0,$H145&gt;1)),"Peso fuera de rango"&amp;" · ","")&amp;IF(AND($V145="Sub",$H145&lt;&gt;""),"Las subactividades no llevan peso (valen igual dentro de su macroactividad)"&amp;" · ","")&amp;IF(AND(N($W145)&gt;0,COUNT($I145:$L145)&gt;0),"Con subactividades: deje vacías las semanas (se calculan solas)"&amp;" · ","")&amp;IF((COUNTIF($I145:$L145,"&gt;1")+COUNTIF($I145:$L145,"&lt;0")+COUNTA($I145:$L145)-COUNT($I145:$L145))&gt;0,"Avance fuera de rango 0-100%"&amp;" · ","")&amp;IF(OR(AND($J145&lt;&gt;"",$J145&lt;$I145),AND($K145&lt;&gt;"",$K145&lt;MAX($I145:$J145)),AND($L145&lt;&gt;"",$L145&lt;MAX($I145:$K145))),"Avance semanal decreciente"&amp;" · ","")&amp;IF(AND(ISNUMBER($AN145),$AN145&lt;FechaRef,IF($V145="Sub",N($X145),N($M145))&lt;1),"Vencida"&amp;" · ","")&amp;IF(AND(ObsObligatoria="Sí",ISNUMBER($AN145),$AN145&lt;FechaRef,IF($V145="Sub",N($X145),N($M145))&lt;1,$Q145=""),"Vencida sin observación"&amp;" · ",""))-3)))</f>
        <v/>
      </c>
      <c r="S145" s="64">
        <f>IF(NOT((COUNTA($B145:$D145)+COUNTA($G145:$L145)+COUNTA($Q145))&gt;0),"",IF(AND($V145="Sub",N($U145)&gt;0),IF(ISNUMBER(INDEX($AM$5:$AM$1000,$U145-4)),DATE(YEAR(INDEX($AM$5:$AM$1000,$U145-4)),MONTH(INDEX($AM$5:$AM$1000,$U145-4)),1),IF(ISNUMBER(INDEX($AN$5:$AN$1000,$U145-4)),DATE(YEAR(INDEX($AN$5:$AN$1000,$U145-4)),MONTH(INDEX($AN$5:$AN$1000,$U145-4)),1),MesCiclo)),IF(ISNUMBER($AM145),DATE(YEAR($AM145),MONTH($AM145),1),IF(ISNUMBER($AN145),DATE(YEAR($AN145),MONTH($AN145),1),MesCiclo))))</f>
        <v/>
      </c>
      <c r="T145" s="62">
        <f>IF(OR($S145="",$S145&lt;&gt;MesCiclo,$V145&lt;&gt;"Macro"),"",COUNTIFS($S$5:$S145,MesCiclo,$V$5:$V145,"Macro"))</f>
        <v/>
      </c>
      <c r="U145" s="62">
        <f>IF($V145="","",IF($V145="Macro",ROW(),IFERROR(LOOKUP(2,1/($V$5:$V145="Macro"),ROW($V$5:$V145)),0)))</f>
        <v/>
      </c>
      <c r="V145" s="62">
        <f>IF(NOT((COUNTA($B145:$D145)+COUNTA($G145:$L145)+COUNTA($Q145))&gt;0),"",IF($B145="Subactividad","Sub","Macro"))</f>
        <v/>
      </c>
      <c r="W145" s="62">
        <f>IF($V145="Macro",COUNTIFS($U$5:$U$1000,ROW(),$V$5:$V$1000,"Sub"),"")</f>
        <v/>
      </c>
      <c r="X145" s="62">
        <f>IF($V145="","",IF(ISNUMBER($G145),1,IFERROR(LOOKUP(2,1/($I145:$L145&lt;&gt;""),$I145:$L145),0)))</f>
        <v/>
      </c>
      <c r="Y145" s="62">
        <f>IF($V145="","",IF(AND(ISNUMBER($G145),$G145&lt;=IF($S145=MesCiclo,InicioCiclo,$S145+MOD(2-WEEKDAY($S145),7))+6),1,IF(ISNUMBER($I145),$I145,0)))</f>
        <v/>
      </c>
      <c r="Z145" s="62">
        <f>IF($V145="","",IF(AND(ISNUMBER($G145),$G145&lt;=IF($S145=MesCiclo,InicioCiclo,$S145+MOD(2-WEEKDAY($S145),7))+13),1,IF(ISNUMBER($J145),$J145,$Y145)))</f>
        <v/>
      </c>
      <c r="AA145" s="62">
        <f>IF($V145="","",IF(AND(ISNUMBER($G145),$G145&lt;=IF($S145=MesCiclo,InicioCiclo,$S145+MOD(2-WEEKDAY($S145),7))+20),1,IF(ISNUMBER($K145),$K145,$Z145)))</f>
        <v/>
      </c>
      <c r="AB145" s="62">
        <f>IF($V145="","",IF(AND(ISNUMBER($G145),$G145&lt;=IF($S145=MesCiclo,InicioCiclo,$S145+MOD(2-WEEKDAY($S145),7))+27),1,IF(ISNUMBER($L145),$L145,$AA145)))</f>
        <v/>
      </c>
      <c r="AC145" s="62">
        <f>IF($V145="","",IF(AND(ISNUMBER($G145),$G145&lt;=IF($S145=MesCiclo,InicioCiclo,$S145+MOD(2-WEEKDAY($S145),7))+6),1,IF(N($W145)&gt;0,AVERAGEIFS($Y$5:$Y$1000,$U$5:$U$1000,ROW(),$V$5:$V$1000,"Sub"),$Y145)))</f>
        <v/>
      </c>
      <c r="AD145" s="62">
        <f>IF($V145="","",IF(AND(ISNUMBER($G145),$G145&lt;=IF($S145=MesCiclo,InicioCiclo,$S145+MOD(2-WEEKDAY($S145),7))+13),1,IF(N($W145)&gt;0,AVERAGEIFS($Z$5:$Z$1000,$U$5:$U$1000,ROW(),$V$5:$V$1000,"Sub"),$Z145)))</f>
        <v/>
      </c>
      <c r="AE145" s="62">
        <f>IF($V145="","",IF(AND(ISNUMBER($G145),$G145&lt;=IF($S145=MesCiclo,InicioCiclo,$S145+MOD(2-WEEKDAY($S145),7))+20),1,IF(N($W145)&gt;0,AVERAGEIFS($AA$5:$AA$1000,$U$5:$U$1000,ROW(),$V$5:$V$1000,"Sub"),$AA145)))</f>
        <v/>
      </c>
      <c r="AF145" s="62">
        <f>IF($V145="","",IF(AND(ISNUMBER($G145),$G145&lt;=IF($S145=MesCiclo,InicioCiclo,$S145+MOD(2-WEEKDAY($S145),7))+27),1,IF(N($W145)&gt;0,AVERAGEIFS($AB$5:$AB$1000,$U$5:$U$1000,ROW(),$V$5:$V$1000,"Sub"),$AB145)))</f>
        <v/>
      </c>
      <c r="AG145" s="62">
        <f>IF($V145&lt;&gt;"Macro","",IF(COUNTIFS($S$5:$S$1000,$S145,$V$5:$V$1000,"Macro",$H$5:$H$1000,"&gt;0")=0,1/COUNTIFS($S$5:$S$1000,$S145,$V$5:$V$1000,"Macro"),IF(AND(ISNUMBER($H145),N($H145)&gt;0),$H145,SUMIFS($H$5:$H$1000,$S$5:$S$1000,$S145,$V$5:$V$1000,"Macro")/COUNTIFS($S$5:$S$1000,$S145,$V$5:$V$1000,"Macro",$H$5:$H$1000,"&gt;0"))/(COUNTIFS($S$5:$S$1000,$S145,$V$5:$V$1000,"Macro")*SUMIFS($H$5:$H$1000,$S$5:$S$1000,$S145,$V$5:$V$1000,"Macro")/COUNTIFS($S$5:$S$1000,$S145,$V$5:$V$1000,"Macro",$H$5:$H$1000,"&gt;0"))))</f>
        <v/>
      </c>
      <c r="AH145" s="62">
        <f>IF(NOT(AND($D145&lt;&gt;"",$V145="Macro")),"",IFERROR(CHOOSE(MATCH($D145,ListaPuestos,0),MATCH("[Jefatura] "&amp;$C145,'Cronograma R. Operacional'!$C$5:$C$1000,0),MATCH("[Jefatura] "&amp;$C145,'Cronograma R. Normativo'!$C$5:$C$1000,0),MATCH("[Jefatura] "&amp;$C145,'Cronograma R. Financiero'!$C$5:$C$1000,0),MATCH("[Jefatura] "&amp;$C145,'Cronograma Asistente Técnico'!$C$5:$C$1000,0)),0))</f>
        <v/>
      </c>
      <c r="AI145" s="62">
        <f>IF(AND(AND($D145&lt;&gt;"",$V145="Macro"),$S145=MesCiclo),COUNTIFS($D$5:$D145,$D145,$S$5:$S145,MesCiclo,$V$5:$V145,"Macro"),"")</f>
        <v/>
      </c>
      <c r="AJ145" s="62">
        <f>IF($AI145="","",$D145&amp;"|"&amp;$AI145)</f>
        <v/>
      </c>
      <c r="AK145" s="62">
        <f>IF(AND($D145&lt;&gt;"",$V145="Macro"),$D145&amp;"|"&amp;$C145,"")</f>
        <v/>
      </c>
      <c r="AL145" s="62">
        <f>""</f>
        <v/>
      </c>
      <c r="AM145" s="62">
        <f>IF(N($AL145)&gt;0,INDEX(rIni_ADM,$AL145),IF(ISNUMBER($E145),$E145,""))</f>
        <v/>
      </c>
      <c r="AN145" s="62">
        <f>IF(N($AL145)&gt;0,INDEX(rLim_ADM,$AL145),IF(ISNUMBER($F145),$F145,""))</f>
        <v/>
      </c>
    </row>
    <row r="146">
      <c r="A146" s="56">
        <f>IF(NOT((COUNTA($B146:$D146)+COUNTA($G146:$L146)+COUNTA($Q146))&gt;0),"",IF($V146="Macro",COUNTIFS($V$5:$V146,"Macro",$S$5:$S146,$S146),IF(N($U146)=0,"?",COUNTIFS(INDEX($V$5:$V$1000,1):INDEX($V$5:$V$1000,$U146-4),"Macro",INDEX($S$5:$S$1000,1):INDEX($S$5:$S$1000,$U146-4),INDEX($S$5:$S$1000,$U146-4))&amp;"."&amp;COUNTIFS($U$5:$U146,$U146,$V$5:$V146,"Sub"))))</f>
        <v/>
      </c>
      <c r="B146" s="57" t="n"/>
      <c r="C146" s="58" t="n"/>
      <c r="D146" s="58" t="n"/>
      <c r="E146" s="59" t="n"/>
      <c r="F146" s="59" t="n"/>
      <c r="G146" s="59" t="n"/>
      <c r="H146" s="60" t="n"/>
      <c r="I146" s="60" t="n"/>
      <c r="J146" s="60" t="n"/>
      <c r="K146" s="60" t="n"/>
      <c r="L146" s="60" t="n"/>
      <c r="M146" s="61">
        <f>IF(NOT((COUNTA($B146:$D146)+COUNTA($G146:$L146)+COUNTA($Q146))&gt;0),"",IF(AND($D146&lt;&gt;"",$V146="Macro"),IF(N($AH146)&gt;0,N(CHOOSE(MATCH($D146,ListaPuestos,0),INDEX('Cronograma R. Operacional'!$M$5:$M$1000,$AH146),INDEX('Cronograma R. Normativo'!$M$5:$M$1000,$AH146),INDEX('Cronograma R. Financiero'!$M$5:$M$1000,$AH146),INDEX('Cronograma Asistente Técnico'!$M$5:$M$1000,$AH146))),0),IF(ISNUMBER($G146),1,IF(N($W146)&gt;0,AVERAGEIFS($X$5:$X$1000,$U$5:$U$1000,ROW(),$V$5:$V$1000,"Sub"),$X146))))</f>
        <v/>
      </c>
      <c r="N146" s="56">
        <f>IF(OR($M146="",$V146="Sub"),"",IF($M146&gt;=1,"Completado",IF($M146&gt;0,"En curso","Pendiente")))</f>
        <v/>
      </c>
      <c r="O146" s="56">
        <f>IF(NOT((COUNTA($B146:$D146)+COUNTA($G146:$L146)+COUNTA($Q146))&gt;0),"",IF(AND(AND($D146&lt;&gt;"",$V146="Macro"),N($AH146)&gt;0),CHOOSE(MATCH($D146,ListaPuestos,0),INDEX('Cronograma R. Operacional'!$O$5:$O$1000,$AH146),INDEX('Cronograma R. Normativo'!$O$5:$O$1000,$AH146),INDEX('Cronograma R. Financiero'!$O$5:$O$1000,$AH146),INDEX('Cronograma Asistente Técnico'!$O$5:$O$1000,$AH146))&amp;"",IF(ISNUMBER($G146),IF(AND(ISNUMBER($AN146),$G146&gt;$AN146),"Cumplida con "&amp;($G146-$AN146)&amp;IF($G146-$AN146=1," día"," días")&amp;" de retraso","Cumplida"),IF(N($M146)&gt;=1,"Cumplida",IF(NOT(ISNUMBER($AN146)),"Sin fecha límite",IF($AN146&lt;FechaRef,"Vencida hace "&amp;(FechaRef-$AN146)&amp;IF(FechaRef-$AN146=1," día"," días"),IF($AN146=FechaRef,"Vence hoy",IF($AN146-FechaRef&lt;=DiasAlerta,"Vence en "&amp;($AN146-FechaRef)&amp;IF($AN146-FechaRef=1," día"," días"),"En plazo"))))))))</f>
        <v/>
      </c>
      <c r="P146" s="62">
        <f>IF(NOT((COUNTA($B146:$D146)+COUNTA($G146:$L146)+COUNTA($Q146))&gt;0),"",IF($D146="","Propia",IF($V146&lt;&gt;"Macro","Solo se delegan macroactividades",IF(N($AH146)&gt;0,"✔ Recibida por "&amp;$D146,"⚠ "&amp;$D146&amp;" aún no la agrega"))))</f>
        <v/>
      </c>
      <c r="Q146" s="58" t="n"/>
      <c r="R146" s="63">
        <f>IF(NOT((COUNTA($B146:$D146)+COUNTA($G146:$L146)+COUNTA($Q146))&gt;0),"",IF((IF($C146="","Falta el nombre de la actividad"&amp;" · ","")&amp;IF(AND($V146="Sub",N($U146)=0),"Subactividad sin macroactividad arriba"&amp;" · ","")&amp;IF($AM146="","Sin fecha de inicio"&amp;" · ","")&amp;IF($AN146="","Sin fecha límite"&amp;" · ","")&amp;IF(AND(LEFT($C146,11)="[Jefatura] ",N($AL146)=0),"No se encuentra en la hoja de la jefatura (elíjala de nuevo en la lista)"&amp;" · ","")&amp;IF(OR(AND($E146&lt;&gt;"",NOT(ISNUMBER($E146))),AND($F146&lt;&gt;"",NOT(ISNUMBER($F146))),AND($G146&lt;&gt;"",NOT(ISNUMBER($G146)))),"Fecha no válida"&amp;" · ","")&amp;IF(AND(ISNUMBER($AM146),ISNUMBER($AN146),$AM146&gt;$AN146),"Inicio posterior a fecha límite"&amp;" · ","")&amp;IF(AND($V146="Macro",$H146&lt;&gt;"",OR(NOT(ISNUMBER($H146)),$H146&lt;0,$H146&gt;1)),"Peso fuera de rango"&amp;" · ","")&amp;IF(AND($V146="Sub",$H146&lt;&gt;""),"Las subactividades no llevan peso (valen igual dentro de su macroactividad)"&amp;" · ","")&amp;IF(AND(N($W146)&gt;0,COUNT($I146:$L146)&gt;0),"Con subactividades: deje vacías las semanas (se calculan solas)"&amp;" · ","")&amp;IF((COUNTIF($I146:$L146,"&gt;1")+COUNTIF($I146:$L146,"&lt;0")+COUNTA($I146:$L146)-COUNT($I146:$L146))&gt;0,"Avance fuera de rango 0-100%"&amp;" · ","")&amp;IF(OR(AND($J146&lt;&gt;"",$J146&lt;$I146),AND($K146&lt;&gt;"",$K146&lt;MAX($I146:$J146)),AND($L146&lt;&gt;"",$L146&lt;MAX($I146:$K146))),"Avance semanal decreciente"&amp;" · ","")&amp;IF(AND(ISNUMBER($AN146),$AN146&lt;FechaRef,IF($V146="Sub",N($X146),N($M146))&lt;1),"Vencida"&amp;" · ","")&amp;IF(AND(ObsObligatoria="Sí",ISNUMBER($AN146),$AN146&lt;FechaRef,IF($V146="Sub",N($X146),N($M146))&lt;1,$Q146=""),"Vencida sin observación"&amp;" · ",""))="","✔ OK","⚠ "&amp;LEFT(IF($C146="","Falta el nombre de la actividad"&amp;" · ","")&amp;IF(AND($V146="Sub",N($U146)=0),"Subactividad sin macroactividad arriba"&amp;" · ","")&amp;IF($AM146="","Sin fecha de inicio"&amp;" · ","")&amp;IF($AN146="","Sin fecha límite"&amp;" · ","")&amp;IF(AND(LEFT($C146,11)="[Jefatura] ",N($AL146)=0),"No se encuentra en la hoja de la jefatura (elíjala de nuevo en la lista)"&amp;" · ","")&amp;IF(OR(AND($E146&lt;&gt;"",NOT(ISNUMBER($E146))),AND($F146&lt;&gt;"",NOT(ISNUMBER($F146))),AND($G146&lt;&gt;"",NOT(ISNUMBER($G146)))),"Fecha no válida"&amp;" · ","")&amp;IF(AND(ISNUMBER($AM146),ISNUMBER($AN146),$AM146&gt;$AN146),"Inicio posterior a fecha límite"&amp;" · ","")&amp;IF(AND($V146="Macro",$H146&lt;&gt;"",OR(NOT(ISNUMBER($H146)),$H146&lt;0,$H146&gt;1)),"Peso fuera de rango"&amp;" · ","")&amp;IF(AND($V146="Sub",$H146&lt;&gt;""),"Las subactividades no llevan peso (valen igual dentro de su macroactividad)"&amp;" · ","")&amp;IF(AND(N($W146)&gt;0,COUNT($I146:$L146)&gt;0),"Con subactividades: deje vacías las semanas (se calculan solas)"&amp;" · ","")&amp;IF((COUNTIF($I146:$L146,"&gt;1")+COUNTIF($I146:$L146,"&lt;0")+COUNTA($I146:$L146)-COUNT($I146:$L146))&gt;0,"Avance fuera de rango 0-100%"&amp;" · ","")&amp;IF(OR(AND($J146&lt;&gt;"",$J146&lt;$I146),AND($K146&lt;&gt;"",$K146&lt;MAX($I146:$J146)),AND($L146&lt;&gt;"",$L146&lt;MAX($I146:$K146))),"Avance semanal decreciente"&amp;" · ","")&amp;IF(AND(ISNUMBER($AN146),$AN146&lt;FechaRef,IF($V146="Sub",N($X146),N($M146))&lt;1),"Vencida"&amp;" · ","")&amp;IF(AND(ObsObligatoria="Sí",ISNUMBER($AN146),$AN146&lt;FechaRef,IF($V146="Sub",N($X146),N($M146))&lt;1,$Q146=""),"Vencida sin observación"&amp;" · ",""),LEN(IF($C146="","Falta el nombre de la actividad"&amp;" · ","")&amp;IF(AND($V146="Sub",N($U146)=0),"Subactividad sin macroactividad arriba"&amp;" · ","")&amp;IF($AM146="","Sin fecha de inicio"&amp;" · ","")&amp;IF($AN146="","Sin fecha límite"&amp;" · ","")&amp;IF(AND(LEFT($C146,11)="[Jefatura] ",N($AL146)=0),"No se encuentra en la hoja de la jefatura (elíjala de nuevo en la lista)"&amp;" · ","")&amp;IF(OR(AND($E146&lt;&gt;"",NOT(ISNUMBER($E146))),AND($F146&lt;&gt;"",NOT(ISNUMBER($F146))),AND($G146&lt;&gt;"",NOT(ISNUMBER($G146)))),"Fecha no válida"&amp;" · ","")&amp;IF(AND(ISNUMBER($AM146),ISNUMBER($AN146),$AM146&gt;$AN146),"Inicio posterior a fecha límite"&amp;" · ","")&amp;IF(AND($V146="Macro",$H146&lt;&gt;"",OR(NOT(ISNUMBER($H146)),$H146&lt;0,$H146&gt;1)),"Peso fuera de rango"&amp;" · ","")&amp;IF(AND($V146="Sub",$H146&lt;&gt;""),"Las subactividades no llevan peso (valen igual dentro de su macroactividad)"&amp;" · ","")&amp;IF(AND(N($W146)&gt;0,COUNT($I146:$L146)&gt;0),"Con subactividades: deje vacías las semanas (se calculan solas)"&amp;" · ","")&amp;IF((COUNTIF($I146:$L146,"&gt;1")+COUNTIF($I146:$L146,"&lt;0")+COUNTA($I146:$L146)-COUNT($I146:$L146))&gt;0,"Avance fuera de rango 0-100%"&amp;" · ","")&amp;IF(OR(AND($J146&lt;&gt;"",$J146&lt;$I146),AND($K146&lt;&gt;"",$K146&lt;MAX($I146:$J146)),AND($L146&lt;&gt;"",$L146&lt;MAX($I146:$K146))),"Avance semanal decreciente"&amp;" · ","")&amp;IF(AND(ISNUMBER($AN146),$AN146&lt;FechaRef,IF($V146="Sub",N($X146),N($M146))&lt;1),"Vencida"&amp;" · ","")&amp;IF(AND(ObsObligatoria="Sí",ISNUMBER($AN146),$AN146&lt;FechaRef,IF($V146="Sub",N($X146),N($M146))&lt;1,$Q146=""),"Vencida sin observación"&amp;" · ",""))-3)))</f>
        <v/>
      </c>
      <c r="S146" s="64">
        <f>IF(NOT((COUNTA($B146:$D146)+COUNTA($G146:$L146)+COUNTA($Q146))&gt;0),"",IF(AND($V146="Sub",N($U146)&gt;0),IF(ISNUMBER(INDEX($AM$5:$AM$1000,$U146-4)),DATE(YEAR(INDEX($AM$5:$AM$1000,$U146-4)),MONTH(INDEX($AM$5:$AM$1000,$U146-4)),1),IF(ISNUMBER(INDEX($AN$5:$AN$1000,$U146-4)),DATE(YEAR(INDEX($AN$5:$AN$1000,$U146-4)),MONTH(INDEX($AN$5:$AN$1000,$U146-4)),1),MesCiclo)),IF(ISNUMBER($AM146),DATE(YEAR($AM146),MONTH($AM146),1),IF(ISNUMBER($AN146),DATE(YEAR($AN146),MONTH($AN146),1),MesCiclo))))</f>
        <v/>
      </c>
      <c r="T146" s="62">
        <f>IF(OR($S146="",$S146&lt;&gt;MesCiclo,$V146&lt;&gt;"Macro"),"",COUNTIFS($S$5:$S146,MesCiclo,$V$5:$V146,"Macro"))</f>
        <v/>
      </c>
      <c r="U146" s="62">
        <f>IF($V146="","",IF($V146="Macro",ROW(),IFERROR(LOOKUP(2,1/($V$5:$V146="Macro"),ROW($V$5:$V146)),0)))</f>
        <v/>
      </c>
      <c r="V146" s="62">
        <f>IF(NOT((COUNTA($B146:$D146)+COUNTA($G146:$L146)+COUNTA($Q146))&gt;0),"",IF($B146="Subactividad","Sub","Macro"))</f>
        <v/>
      </c>
      <c r="W146" s="62">
        <f>IF($V146="Macro",COUNTIFS($U$5:$U$1000,ROW(),$V$5:$V$1000,"Sub"),"")</f>
        <v/>
      </c>
      <c r="X146" s="62">
        <f>IF($V146="","",IF(ISNUMBER($G146),1,IFERROR(LOOKUP(2,1/($I146:$L146&lt;&gt;""),$I146:$L146),0)))</f>
        <v/>
      </c>
      <c r="Y146" s="62">
        <f>IF($V146="","",IF(AND(ISNUMBER($G146),$G146&lt;=IF($S146=MesCiclo,InicioCiclo,$S146+MOD(2-WEEKDAY($S146),7))+6),1,IF(ISNUMBER($I146),$I146,0)))</f>
        <v/>
      </c>
      <c r="Z146" s="62">
        <f>IF($V146="","",IF(AND(ISNUMBER($G146),$G146&lt;=IF($S146=MesCiclo,InicioCiclo,$S146+MOD(2-WEEKDAY($S146),7))+13),1,IF(ISNUMBER($J146),$J146,$Y146)))</f>
        <v/>
      </c>
      <c r="AA146" s="62">
        <f>IF($V146="","",IF(AND(ISNUMBER($G146),$G146&lt;=IF($S146=MesCiclo,InicioCiclo,$S146+MOD(2-WEEKDAY($S146),7))+20),1,IF(ISNUMBER($K146),$K146,$Z146)))</f>
        <v/>
      </c>
      <c r="AB146" s="62">
        <f>IF($V146="","",IF(AND(ISNUMBER($G146),$G146&lt;=IF($S146=MesCiclo,InicioCiclo,$S146+MOD(2-WEEKDAY($S146),7))+27),1,IF(ISNUMBER($L146),$L146,$AA146)))</f>
        <v/>
      </c>
      <c r="AC146" s="62">
        <f>IF($V146="","",IF(AND(ISNUMBER($G146),$G146&lt;=IF($S146=MesCiclo,InicioCiclo,$S146+MOD(2-WEEKDAY($S146),7))+6),1,IF(N($W146)&gt;0,AVERAGEIFS($Y$5:$Y$1000,$U$5:$U$1000,ROW(),$V$5:$V$1000,"Sub"),$Y146)))</f>
        <v/>
      </c>
      <c r="AD146" s="62">
        <f>IF($V146="","",IF(AND(ISNUMBER($G146),$G146&lt;=IF($S146=MesCiclo,InicioCiclo,$S146+MOD(2-WEEKDAY($S146),7))+13),1,IF(N($W146)&gt;0,AVERAGEIFS($Z$5:$Z$1000,$U$5:$U$1000,ROW(),$V$5:$V$1000,"Sub"),$Z146)))</f>
        <v/>
      </c>
      <c r="AE146" s="62">
        <f>IF($V146="","",IF(AND(ISNUMBER($G146),$G146&lt;=IF($S146=MesCiclo,InicioCiclo,$S146+MOD(2-WEEKDAY($S146),7))+20),1,IF(N($W146)&gt;0,AVERAGEIFS($AA$5:$AA$1000,$U$5:$U$1000,ROW(),$V$5:$V$1000,"Sub"),$AA146)))</f>
        <v/>
      </c>
      <c r="AF146" s="62">
        <f>IF($V146="","",IF(AND(ISNUMBER($G146),$G146&lt;=IF($S146=MesCiclo,InicioCiclo,$S146+MOD(2-WEEKDAY($S146),7))+27),1,IF(N($W146)&gt;0,AVERAGEIFS($AB$5:$AB$1000,$U$5:$U$1000,ROW(),$V$5:$V$1000,"Sub"),$AB146)))</f>
        <v/>
      </c>
      <c r="AG146" s="62">
        <f>IF($V146&lt;&gt;"Macro","",IF(COUNTIFS($S$5:$S$1000,$S146,$V$5:$V$1000,"Macro",$H$5:$H$1000,"&gt;0")=0,1/COUNTIFS($S$5:$S$1000,$S146,$V$5:$V$1000,"Macro"),IF(AND(ISNUMBER($H146),N($H146)&gt;0),$H146,SUMIFS($H$5:$H$1000,$S$5:$S$1000,$S146,$V$5:$V$1000,"Macro")/COUNTIFS($S$5:$S$1000,$S146,$V$5:$V$1000,"Macro",$H$5:$H$1000,"&gt;0"))/(COUNTIFS($S$5:$S$1000,$S146,$V$5:$V$1000,"Macro")*SUMIFS($H$5:$H$1000,$S$5:$S$1000,$S146,$V$5:$V$1000,"Macro")/COUNTIFS($S$5:$S$1000,$S146,$V$5:$V$1000,"Macro",$H$5:$H$1000,"&gt;0"))))</f>
        <v/>
      </c>
      <c r="AH146" s="62">
        <f>IF(NOT(AND($D146&lt;&gt;"",$V146="Macro")),"",IFERROR(CHOOSE(MATCH($D146,ListaPuestos,0),MATCH("[Jefatura] "&amp;$C146,'Cronograma R. Operacional'!$C$5:$C$1000,0),MATCH("[Jefatura] "&amp;$C146,'Cronograma R. Normativo'!$C$5:$C$1000,0),MATCH("[Jefatura] "&amp;$C146,'Cronograma R. Financiero'!$C$5:$C$1000,0),MATCH("[Jefatura] "&amp;$C146,'Cronograma Asistente Técnico'!$C$5:$C$1000,0)),0))</f>
        <v/>
      </c>
      <c r="AI146" s="62">
        <f>IF(AND(AND($D146&lt;&gt;"",$V146="Macro"),$S146=MesCiclo),COUNTIFS($D$5:$D146,$D146,$S$5:$S146,MesCiclo,$V$5:$V146,"Macro"),"")</f>
        <v/>
      </c>
      <c r="AJ146" s="62">
        <f>IF($AI146="","",$D146&amp;"|"&amp;$AI146)</f>
        <v/>
      </c>
      <c r="AK146" s="62">
        <f>IF(AND($D146&lt;&gt;"",$V146="Macro"),$D146&amp;"|"&amp;$C146,"")</f>
        <v/>
      </c>
      <c r="AL146" s="62">
        <f>""</f>
        <v/>
      </c>
      <c r="AM146" s="62">
        <f>IF(N($AL146)&gt;0,INDEX(rIni_ADM,$AL146),IF(ISNUMBER($E146),$E146,""))</f>
        <v/>
      </c>
      <c r="AN146" s="62">
        <f>IF(N($AL146)&gt;0,INDEX(rLim_ADM,$AL146),IF(ISNUMBER($F146),$F146,""))</f>
        <v/>
      </c>
    </row>
    <row r="147">
      <c r="A147" s="56">
        <f>IF(NOT((COUNTA($B147:$D147)+COUNTA($G147:$L147)+COUNTA($Q147))&gt;0),"",IF($V147="Macro",COUNTIFS($V$5:$V147,"Macro",$S$5:$S147,$S147),IF(N($U147)=0,"?",COUNTIFS(INDEX($V$5:$V$1000,1):INDEX($V$5:$V$1000,$U147-4),"Macro",INDEX($S$5:$S$1000,1):INDEX($S$5:$S$1000,$U147-4),INDEX($S$5:$S$1000,$U147-4))&amp;"."&amp;COUNTIFS($U$5:$U147,$U147,$V$5:$V147,"Sub"))))</f>
        <v/>
      </c>
      <c r="B147" s="57" t="n"/>
      <c r="C147" s="58" t="n"/>
      <c r="D147" s="58" t="n"/>
      <c r="E147" s="59" t="n"/>
      <c r="F147" s="59" t="n"/>
      <c r="G147" s="59" t="n"/>
      <c r="H147" s="60" t="n"/>
      <c r="I147" s="60" t="n"/>
      <c r="J147" s="60" t="n"/>
      <c r="K147" s="60" t="n"/>
      <c r="L147" s="60" t="n"/>
      <c r="M147" s="61">
        <f>IF(NOT((COUNTA($B147:$D147)+COUNTA($G147:$L147)+COUNTA($Q147))&gt;0),"",IF(AND($D147&lt;&gt;"",$V147="Macro"),IF(N($AH147)&gt;0,N(CHOOSE(MATCH($D147,ListaPuestos,0),INDEX('Cronograma R. Operacional'!$M$5:$M$1000,$AH147),INDEX('Cronograma R. Normativo'!$M$5:$M$1000,$AH147),INDEX('Cronograma R. Financiero'!$M$5:$M$1000,$AH147),INDEX('Cronograma Asistente Técnico'!$M$5:$M$1000,$AH147))),0),IF(ISNUMBER($G147),1,IF(N($W147)&gt;0,AVERAGEIFS($X$5:$X$1000,$U$5:$U$1000,ROW(),$V$5:$V$1000,"Sub"),$X147))))</f>
        <v/>
      </c>
      <c r="N147" s="56">
        <f>IF(OR($M147="",$V147="Sub"),"",IF($M147&gt;=1,"Completado",IF($M147&gt;0,"En curso","Pendiente")))</f>
        <v/>
      </c>
      <c r="O147" s="56">
        <f>IF(NOT((COUNTA($B147:$D147)+COUNTA($G147:$L147)+COUNTA($Q147))&gt;0),"",IF(AND(AND($D147&lt;&gt;"",$V147="Macro"),N($AH147)&gt;0),CHOOSE(MATCH($D147,ListaPuestos,0),INDEX('Cronograma R. Operacional'!$O$5:$O$1000,$AH147),INDEX('Cronograma R. Normativo'!$O$5:$O$1000,$AH147),INDEX('Cronograma R. Financiero'!$O$5:$O$1000,$AH147),INDEX('Cronograma Asistente Técnico'!$O$5:$O$1000,$AH147))&amp;"",IF(ISNUMBER($G147),IF(AND(ISNUMBER($AN147),$G147&gt;$AN147),"Cumplida con "&amp;($G147-$AN147)&amp;IF($G147-$AN147=1," día"," días")&amp;" de retraso","Cumplida"),IF(N($M147)&gt;=1,"Cumplida",IF(NOT(ISNUMBER($AN147)),"Sin fecha límite",IF($AN147&lt;FechaRef,"Vencida hace "&amp;(FechaRef-$AN147)&amp;IF(FechaRef-$AN147=1," día"," días"),IF($AN147=FechaRef,"Vence hoy",IF($AN147-FechaRef&lt;=DiasAlerta,"Vence en "&amp;($AN147-FechaRef)&amp;IF($AN147-FechaRef=1," día"," días"),"En plazo"))))))))</f>
        <v/>
      </c>
      <c r="P147" s="62">
        <f>IF(NOT((COUNTA($B147:$D147)+COUNTA($G147:$L147)+COUNTA($Q147))&gt;0),"",IF($D147="","Propia",IF($V147&lt;&gt;"Macro","Solo se delegan macroactividades",IF(N($AH147)&gt;0,"✔ Recibida por "&amp;$D147,"⚠ "&amp;$D147&amp;" aún no la agrega"))))</f>
        <v/>
      </c>
      <c r="Q147" s="58" t="n"/>
      <c r="R147" s="63">
        <f>IF(NOT((COUNTA($B147:$D147)+COUNTA($G147:$L147)+COUNTA($Q147))&gt;0),"",IF((IF($C147="","Falta el nombre de la actividad"&amp;" · ","")&amp;IF(AND($V147="Sub",N($U147)=0),"Subactividad sin macroactividad arriba"&amp;" · ","")&amp;IF($AM147="","Sin fecha de inicio"&amp;" · ","")&amp;IF($AN147="","Sin fecha límite"&amp;" · ","")&amp;IF(AND(LEFT($C147,11)="[Jefatura] ",N($AL147)=0),"No se encuentra en la hoja de la jefatura (elíjala de nuevo en la lista)"&amp;" · ","")&amp;IF(OR(AND($E147&lt;&gt;"",NOT(ISNUMBER($E147))),AND($F147&lt;&gt;"",NOT(ISNUMBER($F147))),AND($G147&lt;&gt;"",NOT(ISNUMBER($G147)))),"Fecha no válida"&amp;" · ","")&amp;IF(AND(ISNUMBER($AM147),ISNUMBER($AN147),$AM147&gt;$AN147),"Inicio posterior a fecha límite"&amp;" · ","")&amp;IF(AND($V147="Macro",$H147&lt;&gt;"",OR(NOT(ISNUMBER($H147)),$H147&lt;0,$H147&gt;1)),"Peso fuera de rango"&amp;" · ","")&amp;IF(AND($V147="Sub",$H147&lt;&gt;""),"Las subactividades no llevan peso (valen igual dentro de su macroactividad)"&amp;" · ","")&amp;IF(AND(N($W147)&gt;0,COUNT($I147:$L147)&gt;0),"Con subactividades: deje vacías las semanas (se calculan solas)"&amp;" · ","")&amp;IF((COUNTIF($I147:$L147,"&gt;1")+COUNTIF($I147:$L147,"&lt;0")+COUNTA($I147:$L147)-COUNT($I147:$L147))&gt;0,"Avance fuera de rango 0-100%"&amp;" · ","")&amp;IF(OR(AND($J147&lt;&gt;"",$J147&lt;$I147),AND($K147&lt;&gt;"",$K147&lt;MAX($I147:$J147)),AND($L147&lt;&gt;"",$L147&lt;MAX($I147:$K147))),"Avance semanal decreciente"&amp;" · ","")&amp;IF(AND(ISNUMBER($AN147),$AN147&lt;FechaRef,IF($V147="Sub",N($X147),N($M147))&lt;1),"Vencida"&amp;" · ","")&amp;IF(AND(ObsObligatoria="Sí",ISNUMBER($AN147),$AN147&lt;FechaRef,IF($V147="Sub",N($X147),N($M147))&lt;1,$Q147=""),"Vencida sin observación"&amp;" · ",""))="","✔ OK","⚠ "&amp;LEFT(IF($C147="","Falta el nombre de la actividad"&amp;" · ","")&amp;IF(AND($V147="Sub",N($U147)=0),"Subactividad sin macroactividad arriba"&amp;" · ","")&amp;IF($AM147="","Sin fecha de inicio"&amp;" · ","")&amp;IF($AN147="","Sin fecha límite"&amp;" · ","")&amp;IF(AND(LEFT($C147,11)="[Jefatura] ",N($AL147)=0),"No se encuentra en la hoja de la jefatura (elíjala de nuevo en la lista)"&amp;" · ","")&amp;IF(OR(AND($E147&lt;&gt;"",NOT(ISNUMBER($E147))),AND($F147&lt;&gt;"",NOT(ISNUMBER($F147))),AND($G147&lt;&gt;"",NOT(ISNUMBER($G147)))),"Fecha no válida"&amp;" · ","")&amp;IF(AND(ISNUMBER($AM147),ISNUMBER($AN147),$AM147&gt;$AN147),"Inicio posterior a fecha límite"&amp;" · ","")&amp;IF(AND($V147="Macro",$H147&lt;&gt;"",OR(NOT(ISNUMBER($H147)),$H147&lt;0,$H147&gt;1)),"Peso fuera de rango"&amp;" · ","")&amp;IF(AND($V147="Sub",$H147&lt;&gt;""),"Las subactividades no llevan peso (valen igual dentro de su macroactividad)"&amp;" · ","")&amp;IF(AND(N($W147)&gt;0,COUNT($I147:$L147)&gt;0),"Con subactividades: deje vacías las semanas (se calculan solas)"&amp;" · ","")&amp;IF((COUNTIF($I147:$L147,"&gt;1")+COUNTIF($I147:$L147,"&lt;0")+COUNTA($I147:$L147)-COUNT($I147:$L147))&gt;0,"Avance fuera de rango 0-100%"&amp;" · ","")&amp;IF(OR(AND($J147&lt;&gt;"",$J147&lt;$I147),AND($K147&lt;&gt;"",$K147&lt;MAX($I147:$J147)),AND($L147&lt;&gt;"",$L147&lt;MAX($I147:$K147))),"Avance semanal decreciente"&amp;" · ","")&amp;IF(AND(ISNUMBER($AN147),$AN147&lt;FechaRef,IF($V147="Sub",N($X147),N($M147))&lt;1),"Vencida"&amp;" · ","")&amp;IF(AND(ObsObligatoria="Sí",ISNUMBER($AN147),$AN147&lt;FechaRef,IF($V147="Sub",N($X147),N($M147))&lt;1,$Q147=""),"Vencida sin observación"&amp;" · ",""),LEN(IF($C147="","Falta el nombre de la actividad"&amp;" · ","")&amp;IF(AND($V147="Sub",N($U147)=0),"Subactividad sin macroactividad arriba"&amp;" · ","")&amp;IF($AM147="","Sin fecha de inicio"&amp;" · ","")&amp;IF($AN147="","Sin fecha límite"&amp;" · ","")&amp;IF(AND(LEFT($C147,11)="[Jefatura] ",N($AL147)=0),"No se encuentra en la hoja de la jefatura (elíjala de nuevo en la lista)"&amp;" · ","")&amp;IF(OR(AND($E147&lt;&gt;"",NOT(ISNUMBER($E147))),AND($F147&lt;&gt;"",NOT(ISNUMBER($F147))),AND($G147&lt;&gt;"",NOT(ISNUMBER($G147)))),"Fecha no válida"&amp;" · ","")&amp;IF(AND(ISNUMBER($AM147),ISNUMBER($AN147),$AM147&gt;$AN147),"Inicio posterior a fecha límite"&amp;" · ","")&amp;IF(AND($V147="Macro",$H147&lt;&gt;"",OR(NOT(ISNUMBER($H147)),$H147&lt;0,$H147&gt;1)),"Peso fuera de rango"&amp;" · ","")&amp;IF(AND($V147="Sub",$H147&lt;&gt;""),"Las subactividades no llevan peso (valen igual dentro de su macroactividad)"&amp;" · ","")&amp;IF(AND(N($W147)&gt;0,COUNT($I147:$L147)&gt;0),"Con subactividades: deje vacías las semanas (se calculan solas)"&amp;" · ","")&amp;IF((COUNTIF($I147:$L147,"&gt;1")+COUNTIF($I147:$L147,"&lt;0")+COUNTA($I147:$L147)-COUNT($I147:$L147))&gt;0,"Avance fuera de rango 0-100%"&amp;" · ","")&amp;IF(OR(AND($J147&lt;&gt;"",$J147&lt;$I147),AND($K147&lt;&gt;"",$K147&lt;MAX($I147:$J147)),AND($L147&lt;&gt;"",$L147&lt;MAX($I147:$K147))),"Avance semanal decreciente"&amp;" · ","")&amp;IF(AND(ISNUMBER($AN147),$AN147&lt;FechaRef,IF($V147="Sub",N($X147),N($M147))&lt;1),"Vencida"&amp;" · ","")&amp;IF(AND(ObsObligatoria="Sí",ISNUMBER($AN147),$AN147&lt;FechaRef,IF($V147="Sub",N($X147),N($M147))&lt;1,$Q147=""),"Vencida sin observación"&amp;" · ",""))-3)))</f>
        <v/>
      </c>
      <c r="S147" s="64">
        <f>IF(NOT((COUNTA($B147:$D147)+COUNTA($G147:$L147)+COUNTA($Q147))&gt;0),"",IF(AND($V147="Sub",N($U147)&gt;0),IF(ISNUMBER(INDEX($AM$5:$AM$1000,$U147-4)),DATE(YEAR(INDEX($AM$5:$AM$1000,$U147-4)),MONTH(INDEX($AM$5:$AM$1000,$U147-4)),1),IF(ISNUMBER(INDEX($AN$5:$AN$1000,$U147-4)),DATE(YEAR(INDEX($AN$5:$AN$1000,$U147-4)),MONTH(INDEX($AN$5:$AN$1000,$U147-4)),1),MesCiclo)),IF(ISNUMBER($AM147),DATE(YEAR($AM147),MONTH($AM147),1),IF(ISNUMBER($AN147),DATE(YEAR($AN147),MONTH($AN147),1),MesCiclo))))</f>
        <v/>
      </c>
      <c r="T147" s="62">
        <f>IF(OR($S147="",$S147&lt;&gt;MesCiclo,$V147&lt;&gt;"Macro"),"",COUNTIFS($S$5:$S147,MesCiclo,$V$5:$V147,"Macro"))</f>
        <v/>
      </c>
      <c r="U147" s="62">
        <f>IF($V147="","",IF($V147="Macro",ROW(),IFERROR(LOOKUP(2,1/($V$5:$V147="Macro"),ROW($V$5:$V147)),0)))</f>
        <v/>
      </c>
      <c r="V147" s="62">
        <f>IF(NOT((COUNTA($B147:$D147)+COUNTA($G147:$L147)+COUNTA($Q147))&gt;0),"",IF($B147="Subactividad","Sub","Macro"))</f>
        <v/>
      </c>
      <c r="W147" s="62">
        <f>IF($V147="Macro",COUNTIFS($U$5:$U$1000,ROW(),$V$5:$V$1000,"Sub"),"")</f>
        <v/>
      </c>
      <c r="X147" s="62">
        <f>IF($V147="","",IF(ISNUMBER($G147),1,IFERROR(LOOKUP(2,1/($I147:$L147&lt;&gt;""),$I147:$L147),0)))</f>
        <v/>
      </c>
      <c r="Y147" s="62">
        <f>IF($V147="","",IF(AND(ISNUMBER($G147),$G147&lt;=IF($S147=MesCiclo,InicioCiclo,$S147+MOD(2-WEEKDAY($S147),7))+6),1,IF(ISNUMBER($I147),$I147,0)))</f>
        <v/>
      </c>
      <c r="Z147" s="62">
        <f>IF($V147="","",IF(AND(ISNUMBER($G147),$G147&lt;=IF($S147=MesCiclo,InicioCiclo,$S147+MOD(2-WEEKDAY($S147),7))+13),1,IF(ISNUMBER($J147),$J147,$Y147)))</f>
        <v/>
      </c>
      <c r="AA147" s="62">
        <f>IF($V147="","",IF(AND(ISNUMBER($G147),$G147&lt;=IF($S147=MesCiclo,InicioCiclo,$S147+MOD(2-WEEKDAY($S147),7))+20),1,IF(ISNUMBER($K147),$K147,$Z147)))</f>
        <v/>
      </c>
      <c r="AB147" s="62">
        <f>IF($V147="","",IF(AND(ISNUMBER($G147),$G147&lt;=IF($S147=MesCiclo,InicioCiclo,$S147+MOD(2-WEEKDAY($S147),7))+27),1,IF(ISNUMBER($L147),$L147,$AA147)))</f>
        <v/>
      </c>
      <c r="AC147" s="62">
        <f>IF($V147="","",IF(AND(ISNUMBER($G147),$G147&lt;=IF($S147=MesCiclo,InicioCiclo,$S147+MOD(2-WEEKDAY($S147),7))+6),1,IF(N($W147)&gt;0,AVERAGEIFS($Y$5:$Y$1000,$U$5:$U$1000,ROW(),$V$5:$V$1000,"Sub"),$Y147)))</f>
        <v/>
      </c>
      <c r="AD147" s="62">
        <f>IF($V147="","",IF(AND(ISNUMBER($G147),$G147&lt;=IF($S147=MesCiclo,InicioCiclo,$S147+MOD(2-WEEKDAY($S147),7))+13),1,IF(N($W147)&gt;0,AVERAGEIFS($Z$5:$Z$1000,$U$5:$U$1000,ROW(),$V$5:$V$1000,"Sub"),$Z147)))</f>
        <v/>
      </c>
      <c r="AE147" s="62">
        <f>IF($V147="","",IF(AND(ISNUMBER($G147),$G147&lt;=IF($S147=MesCiclo,InicioCiclo,$S147+MOD(2-WEEKDAY($S147),7))+20),1,IF(N($W147)&gt;0,AVERAGEIFS($AA$5:$AA$1000,$U$5:$U$1000,ROW(),$V$5:$V$1000,"Sub"),$AA147)))</f>
        <v/>
      </c>
      <c r="AF147" s="62">
        <f>IF($V147="","",IF(AND(ISNUMBER($G147),$G147&lt;=IF($S147=MesCiclo,InicioCiclo,$S147+MOD(2-WEEKDAY($S147),7))+27),1,IF(N($W147)&gt;0,AVERAGEIFS($AB$5:$AB$1000,$U$5:$U$1000,ROW(),$V$5:$V$1000,"Sub"),$AB147)))</f>
        <v/>
      </c>
      <c r="AG147" s="62">
        <f>IF($V147&lt;&gt;"Macro","",IF(COUNTIFS($S$5:$S$1000,$S147,$V$5:$V$1000,"Macro",$H$5:$H$1000,"&gt;0")=0,1/COUNTIFS($S$5:$S$1000,$S147,$V$5:$V$1000,"Macro"),IF(AND(ISNUMBER($H147),N($H147)&gt;0),$H147,SUMIFS($H$5:$H$1000,$S$5:$S$1000,$S147,$V$5:$V$1000,"Macro")/COUNTIFS($S$5:$S$1000,$S147,$V$5:$V$1000,"Macro",$H$5:$H$1000,"&gt;0"))/(COUNTIFS($S$5:$S$1000,$S147,$V$5:$V$1000,"Macro")*SUMIFS($H$5:$H$1000,$S$5:$S$1000,$S147,$V$5:$V$1000,"Macro")/COUNTIFS($S$5:$S$1000,$S147,$V$5:$V$1000,"Macro",$H$5:$H$1000,"&gt;0"))))</f>
        <v/>
      </c>
      <c r="AH147" s="62">
        <f>IF(NOT(AND($D147&lt;&gt;"",$V147="Macro")),"",IFERROR(CHOOSE(MATCH($D147,ListaPuestos,0),MATCH("[Jefatura] "&amp;$C147,'Cronograma R. Operacional'!$C$5:$C$1000,0),MATCH("[Jefatura] "&amp;$C147,'Cronograma R. Normativo'!$C$5:$C$1000,0),MATCH("[Jefatura] "&amp;$C147,'Cronograma R. Financiero'!$C$5:$C$1000,0),MATCH("[Jefatura] "&amp;$C147,'Cronograma Asistente Técnico'!$C$5:$C$1000,0)),0))</f>
        <v/>
      </c>
      <c r="AI147" s="62">
        <f>IF(AND(AND($D147&lt;&gt;"",$V147="Macro"),$S147=MesCiclo),COUNTIFS($D$5:$D147,$D147,$S$5:$S147,MesCiclo,$V$5:$V147,"Macro"),"")</f>
        <v/>
      </c>
      <c r="AJ147" s="62">
        <f>IF($AI147="","",$D147&amp;"|"&amp;$AI147)</f>
        <v/>
      </c>
      <c r="AK147" s="62">
        <f>IF(AND($D147&lt;&gt;"",$V147="Macro"),$D147&amp;"|"&amp;$C147,"")</f>
        <v/>
      </c>
      <c r="AL147" s="62">
        <f>""</f>
        <v/>
      </c>
      <c r="AM147" s="62">
        <f>IF(N($AL147)&gt;0,INDEX(rIni_ADM,$AL147),IF(ISNUMBER($E147),$E147,""))</f>
        <v/>
      </c>
      <c r="AN147" s="62">
        <f>IF(N($AL147)&gt;0,INDEX(rLim_ADM,$AL147),IF(ISNUMBER($F147),$F147,""))</f>
        <v/>
      </c>
    </row>
    <row r="148">
      <c r="A148" s="56">
        <f>IF(NOT((COUNTA($B148:$D148)+COUNTA($G148:$L148)+COUNTA($Q148))&gt;0),"",IF($V148="Macro",COUNTIFS($V$5:$V148,"Macro",$S$5:$S148,$S148),IF(N($U148)=0,"?",COUNTIFS(INDEX($V$5:$V$1000,1):INDEX($V$5:$V$1000,$U148-4),"Macro",INDEX($S$5:$S$1000,1):INDEX($S$5:$S$1000,$U148-4),INDEX($S$5:$S$1000,$U148-4))&amp;"."&amp;COUNTIFS($U$5:$U148,$U148,$V$5:$V148,"Sub"))))</f>
        <v/>
      </c>
      <c r="B148" s="57" t="n"/>
      <c r="C148" s="58" t="n"/>
      <c r="D148" s="58" t="n"/>
      <c r="E148" s="59" t="n"/>
      <c r="F148" s="59" t="n"/>
      <c r="G148" s="59" t="n"/>
      <c r="H148" s="60" t="n"/>
      <c r="I148" s="60" t="n"/>
      <c r="J148" s="60" t="n"/>
      <c r="K148" s="60" t="n"/>
      <c r="L148" s="60" t="n"/>
      <c r="M148" s="61">
        <f>IF(NOT((COUNTA($B148:$D148)+COUNTA($G148:$L148)+COUNTA($Q148))&gt;0),"",IF(AND($D148&lt;&gt;"",$V148="Macro"),IF(N($AH148)&gt;0,N(CHOOSE(MATCH($D148,ListaPuestos,0),INDEX('Cronograma R. Operacional'!$M$5:$M$1000,$AH148),INDEX('Cronograma R. Normativo'!$M$5:$M$1000,$AH148),INDEX('Cronograma R. Financiero'!$M$5:$M$1000,$AH148),INDEX('Cronograma Asistente Técnico'!$M$5:$M$1000,$AH148))),0),IF(ISNUMBER($G148),1,IF(N($W148)&gt;0,AVERAGEIFS($X$5:$X$1000,$U$5:$U$1000,ROW(),$V$5:$V$1000,"Sub"),$X148))))</f>
        <v/>
      </c>
      <c r="N148" s="56">
        <f>IF(OR($M148="",$V148="Sub"),"",IF($M148&gt;=1,"Completado",IF($M148&gt;0,"En curso","Pendiente")))</f>
        <v/>
      </c>
      <c r="O148" s="56">
        <f>IF(NOT((COUNTA($B148:$D148)+COUNTA($G148:$L148)+COUNTA($Q148))&gt;0),"",IF(AND(AND($D148&lt;&gt;"",$V148="Macro"),N($AH148)&gt;0),CHOOSE(MATCH($D148,ListaPuestos,0),INDEX('Cronograma R. Operacional'!$O$5:$O$1000,$AH148),INDEX('Cronograma R. Normativo'!$O$5:$O$1000,$AH148),INDEX('Cronograma R. Financiero'!$O$5:$O$1000,$AH148),INDEX('Cronograma Asistente Técnico'!$O$5:$O$1000,$AH148))&amp;"",IF(ISNUMBER($G148),IF(AND(ISNUMBER($AN148),$G148&gt;$AN148),"Cumplida con "&amp;($G148-$AN148)&amp;IF($G148-$AN148=1," día"," días")&amp;" de retraso","Cumplida"),IF(N($M148)&gt;=1,"Cumplida",IF(NOT(ISNUMBER($AN148)),"Sin fecha límite",IF($AN148&lt;FechaRef,"Vencida hace "&amp;(FechaRef-$AN148)&amp;IF(FechaRef-$AN148=1," día"," días"),IF($AN148=FechaRef,"Vence hoy",IF($AN148-FechaRef&lt;=DiasAlerta,"Vence en "&amp;($AN148-FechaRef)&amp;IF($AN148-FechaRef=1," día"," días"),"En plazo"))))))))</f>
        <v/>
      </c>
      <c r="P148" s="62">
        <f>IF(NOT((COUNTA($B148:$D148)+COUNTA($G148:$L148)+COUNTA($Q148))&gt;0),"",IF($D148="","Propia",IF($V148&lt;&gt;"Macro","Solo se delegan macroactividades",IF(N($AH148)&gt;0,"✔ Recibida por "&amp;$D148,"⚠ "&amp;$D148&amp;" aún no la agrega"))))</f>
        <v/>
      </c>
      <c r="Q148" s="58" t="n"/>
      <c r="R148" s="63">
        <f>IF(NOT((COUNTA($B148:$D148)+COUNTA($G148:$L148)+COUNTA($Q148))&gt;0),"",IF((IF($C148="","Falta el nombre de la actividad"&amp;" · ","")&amp;IF(AND($V148="Sub",N($U148)=0),"Subactividad sin macroactividad arriba"&amp;" · ","")&amp;IF($AM148="","Sin fecha de inicio"&amp;" · ","")&amp;IF($AN148="","Sin fecha límite"&amp;" · ","")&amp;IF(AND(LEFT($C148,11)="[Jefatura] ",N($AL148)=0),"No se encuentra en la hoja de la jefatura (elíjala de nuevo en la lista)"&amp;" · ","")&amp;IF(OR(AND($E148&lt;&gt;"",NOT(ISNUMBER($E148))),AND($F148&lt;&gt;"",NOT(ISNUMBER($F148))),AND($G148&lt;&gt;"",NOT(ISNUMBER($G148)))),"Fecha no válida"&amp;" · ","")&amp;IF(AND(ISNUMBER($AM148),ISNUMBER($AN148),$AM148&gt;$AN148),"Inicio posterior a fecha límite"&amp;" · ","")&amp;IF(AND($V148="Macro",$H148&lt;&gt;"",OR(NOT(ISNUMBER($H148)),$H148&lt;0,$H148&gt;1)),"Peso fuera de rango"&amp;" · ","")&amp;IF(AND($V148="Sub",$H148&lt;&gt;""),"Las subactividades no llevan peso (valen igual dentro de su macroactividad)"&amp;" · ","")&amp;IF(AND(N($W148)&gt;0,COUNT($I148:$L148)&gt;0),"Con subactividades: deje vacías las semanas (se calculan solas)"&amp;" · ","")&amp;IF((COUNTIF($I148:$L148,"&gt;1")+COUNTIF($I148:$L148,"&lt;0")+COUNTA($I148:$L148)-COUNT($I148:$L148))&gt;0,"Avance fuera de rango 0-100%"&amp;" · ","")&amp;IF(OR(AND($J148&lt;&gt;"",$J148&lt;$I148),AND($K148&lt;&gt;"",$K148&lt;MAX($I148:$J148)),AND($L148&lt;&gt;"",$L148&lt;MAX($I148:$K148))),"Avance semanal decreciente"&amp;" · ","")&amp;IF(AND(ISNUMBER($AN148),$AN148&lt;FechaRef,IF($V148="Sub",N($X148),N($M148))&lt;1),"Vencida"&amp;" · ","")&amp;IF(AND(ObsObligatoria="Sí",ISNUMBER($AN148),$AN148&lt;FechaRef,IF($V148="Sub",N($X148),N($M148))&lt;1,$Q148=""),"Vencida sin observación"&amp;" · ",""))="","✔ OK","⚠ "&amp;LEFT(IF($C148="","Falta el nombre de la actividad"&amp;" · ","")&amp;IF(AND($V148="Sub",N($U148)=0),"Subactividad sin macroactividad arriba"&amp;" · ","")&amp;IF($AM148="","Sin fecha de inicio"&amp;" · ","")&amp;IF($AN148="","Sin fecha límite"&amp;" · ","")&amp;IF(AND(LEFT($C148,11)="[Jefatura] ",N($AL148)=0),"No se encuentra en la hoja de la jefatura (elíjala de nuevo en la lista)"&amp;" · ","")&amp;IF(OR(AND($E148&lt;&gt;"",NOT(ISNUMBER($E148))),AND($F148&lt;&gt;"",NOT(ISNUMBER($F148))),AND($G148&lt;&gt;"",NOT(ISNUMBER($G148)))),"Fecha no válida"&amp;" · ","")&amp;IF(AND(ISNUMBER($AM148),ISNUMBER($AN148),$AM148&gt;$AN148),"Inicio posterior a fecha límite"&amp;" · ","")&amp;IF(AND($V148="Macro",$H148&lt;&gt;"",OR(NOT(ISNUMBER($H148)),$H148&lt;0,$H148&gt;1)),"Peso fuera de rango"&amp;" · ","")&amp;IF(AND($V148="Sub",$H148&lt;&gt;""),"Las subactividades no llevan peso (valen igual dentro de su macroactividad)"&amp;" · ","")&amp;IF(AND(N($W148)&gt;0,COUNT($I148:$L148)&gt;0),"Con subactividades: deje vacías las semanas (se calculan solas)"&amp;" · ","")&amp;IF((COUNTIF($I148:$L148,"&gt;1")+COUNTIF($I148:$L148,"&lt;0")+COUNTA($I148:$L148)-COUNT($I148:$L148))&gt;0,"Avance fuera de rango 0-100%"&amp;" · ","")&amp;IF(OR(AND($J148&lt;&gt;"",$J148&lt;$I148),AND($K148&lt;&gt;"",$K148&lt;MAX($I148:$J148)),AND($L148&lt;&gt;"",$L148&lt;MAX($I148:$K148))),"Avance semanal decreciente"&amp;" · ","")&amp;IF(AND(ISNUMBER($AN148),$AN148&lt;FechaRef,IF($V148="Sub",N($X148),N($M148))&lt;1),"Vencida"&amp;" · ","")&amp;IF(AND(ObsObligatoria="Sí",ISNUMBER($AN148),$AN148&lt;FechaRef,IF($V148="Sub",N($X148),N($M148))&lt;1,$Q148=""),"Vencida sin observación"&amp;" · ",""),LEN(IF($C148="","Falta el nombre de la actividad"&amp;" · ","")&amp;IF(AND($V148="Sub",N($U148)=0),"Subactividad sin macroactividad arriba"&amp;" · ","")&amp;IF($AM148="","Sin fecha de inicio"&amp;" · ","")&amp;IF($AN148="","Sin fecha límite"&amp;" · ","")&amp;IF(AND(LEFT($C148,11)="[Jefatura] ",N($AL148)=0),"No se encuentra en la hoja de la jefatura (elíjala de nuevo en la lista)"&amp;" · ","")&amp;IF(OR(AND($E148&lt;&gt;"",NOT(ISNUMBER($E148))),AND($F148&lt;&gt;"",NOT(ISNUMBER($F148))),AND($G148&lt;&gt;"",NOT(ISNUMBER($G148)))),"Fecha no válida"&amp;" · ","")&amp;IF(AND(ISNUMBER($AM148),ISNUMBER($AN148),$AM148&gt;$AN148),"Inicio posterior a fecha límite"&amp;" · ","")&amp;IF(AND($V148="Macro",$H148&lt;&gt;"",OR(NOT(ISNUMBER($H148)),$H148&lt;0,$H148&gt;1)),"Peso fuera de rango"&amp;" · ","")&amp;IF(AND($V148="Sub",$H148&lt;&gt;""),"Las subactividades no llevan peso (valen igual dentro de su macroactividad)"&amp;" · ","")&amp;IF(AND(N($W148)&gt;0,COUNT($I148:$L148)&gt;0),"Con subactividades: deje vacías las semanas (se calculan solas)"&amp;" · ","")&amp;IF((COUNTIF($I148:$L148,"&gt;1")+COUNTIF($I148:$L148,"&lt;0")+COUNTA($I148:$L148)-COUNT($I148:$L148))&gt;0,"Avance fuera de rango 0-100%"&amp;" · ","")&amp;IF(OR(AND($J148&lt;&gt;"",$J148&lt;$I148),AND($K148&lt;&gt;"",$K148&lt;MAX($I148:$J148)),AND($L148&lt;&gt;"",$L148&lt;MAX($I148:$K148))),"Avance semanal decreciente"&amp;" · ","")&amp;IF(AND(ISNUMBER($AN148),$AN148&lt;FechaRef,IF($V148="Sub",N($X148),N($M148))&lt;1),"Vencida"&amp;" · ","")&amp;IF(AND(ObsObligatoria="Sí",ISNUMBER($AN148),$AN148&lt;FechaRef,IF($V148="Sub",N($X148),N($M148))&lt;1,$Q148=""),"Vencida sin observación"&amp;" · ",""))-3)))</f>
        <v/>
      </c>
      <c r="S148" s="64">
        <f>IF(NOT((COUNTA($B148:$D148)+COUNTA($G148:$L148)+COUNTA($Q148))&gt;0),"",IF(AND($V148="Sub",N($U148)&gt;0),IF(ISNUMBER(INDEX($AM$5:$AM$1000,$U148-4)),DATE(YEAR(INDEX($AM$5:$AM$1000,$U148-4)),MONTH(INDEX($AM$5:$AM$1000,$U148-4)),1),IF(ISNUMBER(INDEX($AN$5:$AN$1000,$U148-4)),DATE(YEAR(INDEX($AN$5:$AN$1000,$U148-4)),MONTH(INDEX($AN$5:$AN$1000,$U148-4)),1),MesCiclo)),IF(ISNUMBER($AM148),DATE(YEAR($AM148),MONTH($AM148),1),IF(ISNUMBER($AN148),DATE(YEAR($AN148),MONTH($AN148),1),MesCiclo))))</f>
        <v/>
      </c>
      <c r="T148" s="62">
        <f>IF(OR($S148="",$S148&lt;&gt;MesCiclo,$V148&lt;&gt;"Macro"),"",COUNTIFS($S$5:$S148,MesCiclo,$V$5:$V148,"Macro"))</f>
        <v/>
      </c>
      <c r="U148" s="62">
        <f>IF($V148="","",IF($V148="Macro",ROW(),IFERROR(LOOKUP(2,1/($V$5:$V148="Macro"),ROW($V$5:$V148)),0)))</f>
        <v/>
      </c>
      <c r="V148" s="62">
        <f>IF(NOT((COUNTA($B148:$D148)+COUNTA($G148:$L148)+COUNTA($Q148))&gt;0),"",IF($B148="Subactividad","Sub","Macro"))</f>
        <v/>
      </c>
      <c r="W148" s="62">
        <f>IF($V148="Macro",COUNTIFS($U$5:$U$1000,ROW(),$V$5:$V$1000,"Sub"),"")</f>
        <v/>
      </c>
      <c r="X148" s="62">
        <f>IF($V148="","",IF(ISNUMBER($G148),1,IFERROR(LOOKUP(2,1/($I148:$L148&lt;&gt;""),$I148:$L148),0)))</f>
        <v/>
      </c>
      <c r="Y148" s="62">
        <f>IF($V148="","",IF(AND(ISNUMBER($G148),$G148&lt;=IF($S148=MesCiclo,InicioCiclo,$S148+MOD(2-WEEKDAY($S148),7))+6),1,IF(ISNUMBER($I148),$I148,0)))</f>
        <v/>
      </c>
      <c r="Z148" s="62">
        <f>IF($V148="","",IF(AND(ISNUMBER($G148),$G148&lt;=IF($S148=MesCiclo,InicioCiclo,$S148+MOD(2-WEEKDAY($S148),7))+13),1,IF(ISNUMBER($J148),$J148,$Y148)))</f>
        <v/>
      </c>
      <c r="AA148" s="62">
        <f>IF($V148="","",IF(AND(ISNUMBER($G148),$G148&lt;=IF($S148=MesCiclo,InicioCiclo,$S148+MOD(2-WEEKDAY($S148),7))+20),1,IF(ISNUMBER($K148),$K148,$Z148)))</f>
        <v/>
      </c>
      <c r="AB148" s="62">
        <f>IF($V148="","",IF(AND(ISNUMBER($G148),$G148&lt;=IF($S148=MesCiclo,InicioCiclo,$S148+MOD(2-WEEKDAY($S148),7))+27),1,IF(ISNUMBER($L148),$L148,$AA148)))</f>
        <v/>
      </c>
      <c r="AC148" s="62">
        <f>IF($V148="","",IF(AND(ISNUMBER($G148),$G148&lt;=IF($S148=MesCiclo,InicioCiclo,$S148+MOD(2-WEEKDAY($S148),7))+6),1,IF(N($W148)&gt;0,AVERAGEIFS($Y$5:$Y$1000,$U$5:$U$1000,ROW(),$V$5:$V$1000,"Sub"),$Y148)))</f>
        <v/>
      </c>
      <c r="AD148" s="62">
        <f>IF($V148="","",IF(AND(ISNUMBER($G148),$G148&lt;=IF($S148=MesCiclo,InicioCiclo,$S148+MOD(2-WEEKDAY($S148),7))+13),1,IF(N($W148)&gt;0,AVERAGEIFS($Z$5:$Z$1000,$U$5:$U$1000,ROW(),$V$5:$V$1000,"Sub"),$Z148)))</f>
        <v/>
      </c>
      <c r="AE148" s="62">
        <f>IF($V148="","",IF(AND(ISNUMBER($G148),$G148&lt;=IF($S148=MesCiclo,InicioCiclo,$S148+MOD(2-WEEKDAY($S148),7))+20),1,IF(N($W148)&gt;0,AVERAGEIFS($AA$5:$AA$1000,$U$5:$U$1000,ROW(),$V$5:$V$1000,"Sub"),$AA148)))</f>
        <v/>
      </c>
      <c r="AF148" s="62">
        <f>IF($V148="","",IF(AND(ISNUMBER($G148),$G148&lt;=IF($S148=MesCiclo,InicioCiclo,$S148+MOD(2-WEEKDAY($S148),7))+27),1,IF(N($W148)&gt;0,AVERAGEIFS($AB$5:$AB$1000,$U$5:$U$1000,ROW(),$V$5:$V$1000,"Sub"),$AB148)))</f>
        <v/>
      </c>
      <c r="AG148" s="62">
        <f>IF($V148&lt;&gt;"Macro","",IF(COUNTIFS($S$5:$S$1000,$S148,$V$5:$V$1000,"Macro",$H$5:$H$1000,"&gt;0")=0,1/COUNTIFS($S$5:$S$1000,$S148,$V$5:$V$1000,"Macro"),IF(AND(ISNUMBER($H148),N($H148)&gt;0),$H148,SUMIFS($H$5:$H$1000,$S$5:$S$1000,$S148,$V$5:$V$1000,"Macro")/COUNTIFS($S$5:$S$1000,$S148,$V$5:$V$1000,"Macro",$H$5:$H$1000,"&gt;0"))/(COUNTIFS($S$5:$S$1000,$S148,$V$5:$V$1000,"Macro")*SUMIFS($H$5:$H$1000,$S$5:$S$1000,$S148,$V$5:$V$1000,"Macro")/COUNTIFS($S$5:$S$1000,$S148,$V$5:$V$1000,"Macro",$H$5:$H$1000,"&gt;0"))))</f>
        <v/>
      </c>
      <c r="AH148" s="62">
        <f>IF(NOT(AND($D148&lt;&gt;"",$V148="Macro")),"",IFERROR(CHOOSE(MATCH($D148,ListaPuestos,0),MATCH("[Jefatura] "&amp;$C148,'Cronograma R. Operacional'!$C$5:$C$1000,0),MATCH("[Jefatura] "&amp;$C148,'Cronograma R. Normativo'!$C$5:$C$1000,0),MATCH("[Jefatura] "&amp;$C148,'Cronograma R. Financiero'!$C$5:$C$1000,0),MATCH("[Jefatura] "&amp;$C148,'Cronograma Asistente Técnico'!$C$5:$C$1000,0)),0))</f>
        <v/>
      </c>
      <c r="AI148" s="62">
        <f>IF(AND(AND($D148&lt;&gt;"",$V148="Macro"),$S148=MesCiclo),COUNTIFS($D$5:$D148,$D148,$S$5:$S148,MesCiclo,$V$5:$V148,"Macro"),"")</f>
        <v/>
      </c>
      <c r="AJ148" s="62">
        <f>IF($AI148="","",$D148&amp;"|"&amp;$AI148)</f>
        <v/>
      </c>
      <c r="AK148" s="62">
        <f>IF(AND($D148&lt;&gt;"",$V148="Macro"),$D148&amp;"|"&amp;$C148,"")</f>
        <v/>
      </c>
      <c r="AL148" s="62">
        <f>""</f>
        <v/>
      </c>
      <c r="AM148" s="62">
        <f>IF(N($AL148)&gt;0,INDEX(rIni_ADM,$AL148),IF(ISNUMBER($E148),$E148,""))</f>
        <v/>
      </c>
      <c r="AN148" s="62">
        <f>IF(N($AL148)&gt;0,INDEX(rLim_ADM,$AL148),IF(ISNUMBER($F148),$F148,""))</f>
        <v/>
      </c>
    </row>
    <row r="149">
      <c r="A149" s="56">
        <f>IF(NOT((COUNTA($B149:$D149)+COUNTA($G149:$L149)+COUNTA($Q149))&gt;0),"",IF($V149="Macro",COUNTIFS($V$5:$V149,"Macro",$S$5:$S149,$S149),IF(N($U149)=0,"?",COUNTIFS(INDEX($V$5:$V$1000,1):INDEX($V$5:$V$1000,$U149-4),"Macro",INDEX($S$5:$S$1000,1):INDEX($S$5:$S$1000,$U149-4),INDEX($S$5:$S$1000,$U149-4))&amp;"."&amp;COUNTIFS($U$5:$U149,$U149,$V$5:$V149,"Sub"))))</f>
        <v/>
      </c>
      <c r="B149" s="57" t="n"/>
      <c r="C149" s="58" t="n"/>
      <c r="D149" s="58" t="n"/>
      <c r="E149" s="59" t="n"/>
      <c r="F149" s="59" t="n"/>
      <c r="G149" s="59" t="n"/>
      <c r="H149" s="60" t="n"/>
      <c r="I149" s="60" t="n"/>
      <c r="J149" s="60" t="n"/>
      <c r="K149" s="60" t="n"/>
      <c r="L149" s="60" t="n"/>
      <c r="M149" s="61">
        <f>IF(NOT((COUNTA($B149:$D149)+COUNTA($G149:$L149)+COUNTA($Q149))&gt;0),"",IF(AND($D149&lt;&gt;"",$V149="Macro"),IF(N($AH149)&gt;0,N(CHOOSE(MATCH($D149,ListaPuestos,0),INDEX('Cronograma R. Operacional'!$M$5:$M$1000,$AH149),INDEX('Cronograma R. Normativo'!$M$5:$M$1000,$AH149),INDEX('Cronograma R. Financiero'!$M$5:$M$1000,$AH149),INDEX('Cronograma Asistente Técnico'!$M$5:$M$1000,$AH149))),0),IF(ISNUMBER($G149),1,IF(N($W149)&gt;0,AVERAGEIFS($X$5:$X$1000,$U$5:$U$1000,ROW(),$V$5:$V$1000,"Sub"),$X149))))</f>
        <v/>
      </c>
      <c r="N149" s="56">
        <f>IF(OR($M149="",$V149="Sub"),"",IF($M149&gt;=1,"Completado",IF($M149&gt;0,"En curso","Pendiente")))</f>
        <v/>
      </c>
      <c r="O149" s="56">
        <f>IF(NOT((COUNTA($B149:$D149)+COUNTA($G149:$L149)+COUNTA($Q149))&gt;0),"",IF(AND(AND($D149&lt;&gt;"",$V149="Macro"),N($AH149)&gt;0),CHOOSE(MATCH($D149,ListaPuestos,0),INDEX('Cronograma R. Operacional'!$O$5:$O$1000,$AH149),INDEX('Cronograma R. Normativo'!$O$5:$O$1000,$AH149),INDEX('Cronograma R. Financiero'!$O$5:$O$1000,$AH149),INDEX('Cronograma Asistente Técnico'!$O$5:$O$1000,$AH149))&amp;"",IF(ISNUMBER($G149),IF(AND(ISNUMBER($AN149),$G149&gt;$AN149),"Cumplida con "&amp;($G149-$AN149)&amp;IF($G149-$AN149=1," día"," días")&amp;" de retraso","Cumplida"),IF(N($M149)&gt;=1,"Cumplida",IF(NOT(ISNUMBER($AN149)),"Sin fecha límite",IF($AN149&lt;FechaRef,"Vencida hace "&amp;(FechaRef-$AN149)&amp;IF(FechaRef-$AN149=1," día"," días"),IF($AN149=FechaRef,"Vence hoy",IF($AN149-FechaRef&lt;=DiasAlerta,"Vence en "&amp;($AN149-FechaRef)&amp;IF($AN149-FechaRef=1," día"," días"),"En plazo"))))))))</f>
        <v/>
      </c>
      <c r="P149" s="62">
        <f>IF(NOT((COUNTA($B149:$D149)+COUNTA($G149:$L149)+COUNTA($Q149))&gt;0),"",IF($D149="","Propia",IF($V149&lt;&gt;"Macro","Solo se delegan macroactividades",IF(N($AH149)&gt;0,"✔ Recibida por "&amp;$D149,"⚠ "&amp;$D149&amp;" aún no la agrega"))))</f>
        <v/>
      </c>
      <c r="Q149" s="58" t="n"/>
      <c r="R149" s="63">
        <f>IF(NOT((COUNTA($B149:$D149)+COUNTA($G149:$L149)+COUNTA($Q149))&gt;0),"",IF((IF($C149="","Falta el nombre de la actividad"&amp;" · ","")&amp;IF(AND($V149="Sub",N($U149)=0),"Subactividad sin macroactividad arriba"&amp;" · ","")&amp;IF($AM149="","Sin fecha de inicio"&amp;" · ","")&amp;IF($AN149="","Sin fecha límite"&amp;" · ","")&amp;IF(AND(LEFT($C149,11)="[Jefatura] ",N($AL149)=0),"No se encuentra en la hoja de la jefatura (elíjala de nuevo en la lista)"&amp;" · ","")&amp;IF(OR(AND($E149&lt;&gt;"",NOT(ISNUMBER($E149))),AND($F149&lt;&gt;"",NOT(ISNUMBER($F149))),AND($G149&lt;&gt;"",NOT(ISNUMBER($G149)))),"Fecha no válida"&amp;" · ","")&amp;IF(AND(ISNUMBER($AM149),ISNUMBER($AN149),$AM149&gt;$AN149),"Inicio posterior a fecha límite"&amp;" · ","")&amp;IF(AND($V149="Macro",$H149&lt;&gt;"",OR(NOT(ISNUMBER($H149)),$H149&lt;0,$H149&gt;1)),"Peso fuera de rango"&amp;" · ","")&amp;IF(AND($V149="Sub",$H149&lt;&gt;""),"Las subactividades no llevan peso (valen igual dentro de su macroactividad)"&amp;" · ","")&amp;IF(AND(N($W149)&gt;0,COUNT($I149:$L149)&gt;0),"Con subactividades: deje vacías las semanas (se calculan solas)"&amp;" · ","")&amp;IF((COUNTIF($I149:$L149,"&gt;1")+COUNTIF($I149:$L149,"&lt;0")+COUNTA($I149:$L149)-COUNT($I149:$L149))&gt;0,"Avance fuera de rango 0-100%"&amp;" · ","")&amp;IF(OR(AND($J149&lt;&gt;"",$J149&lt;$I149),AND($K149&lt;&gt;"",$K149&lt;MAX($I149:$J149)),AND($L149&lt;&gt;"",$L149&lt;MAX($I149:$K149))),"Avance semanal decreciente"&amp;" · ","")&amp;IF(AND(ISNUMBER($AN149),$AN149&lt;FechaRef,IF($V149="Sub",N($X149),N($M149))&lt;1),"Vencida"&amp;" · ","")&amp;IF(AND(ObsObligatoria="Sí",ISNUMBER($AN149),$AN149&lt;FechaRef,IF($V149="Sub",N($X149),N($M149))&lt;1,$Q149=""),"Vencida sin observación"&amp;" · ",""))="","✔ OK","⚠ "&amp;LEFT(IF($C149="","Falta el nombre de la actividad"&amp;" · ","")&amp;IF(AND($V149="Sub",N($U149)=0),"Subactividad sin macroactividad arriba"&amp;" · ","")&amp;IF($AM149="","Sin fecha de inicio"&amp;" · ","")&amp;IF($AN149="","Sin fecha límite"&amp;" · ","")&amp;IF(AND(LEFT($C149,11)="[Jefatura] ",N($AL149)=0),"No se encuentra en la hoja de la jefatura (elíjala de nuevo en la lista)"&amp;" · ","")&amp;IF(OR(AND($E149&lt;&gt;"",NOT(ISNUMBER($E149))),AND($F149&lt;&gt;"",NOT(ISNUMBER($F149))),AND($G149&lt;&gt;"",NOT(ISNUMBER($G149)))),"Fecha no válida"&amp;" · ","")&amp;IF(AND(ISNUMBER($AM149),ISNUMBER($AN149),$AM149&gt;$AN149),"Inicio posterior a fecha límite"&amp;" · ","")&amp;IF(AND($V149="Macro",$H149&lt;&gt;"",OR(NOT(ISNUMBER($H149)),$H149&lt;0,$H149&gt;1)),"Peso fuera de rango"&amp;" · ","")&amp;IF(AND($V149="Sub",$H149&lt;&gt;""),"Las subactividades no llevan peso (valen igual dentro de su macroactividad)"&amp;" · ","")&amp;IF(AND(N($W149)&gt;0,COUNT($I149:$L149)&gt;0),"Con subactividades: deje vacías las semanas (se calculan solas)"&amp;" · ","")&amp;IF((COUNTIF($I149:$L149,"&gt;1")+COUNTIF($I149:$L149,"&lt;0")+COUNTA($I149:$L149)-COUNT($I149:$L149))&gt;0,"Avance fuera de rango 0-100%"&amp;" · ","")&amp;IF(OR(AND($J149&lt;&gt;"",$J149&lt;$I149),AND($K149&lt;&gt;"",$K149&lt;MAX($I149:$J149)),AND($L149&lt;&gt;"",$L149&lt;MAX($I149:$K149))),"Avance semanal decreciente"&amp;" · ","")&amp;IF(AND(ISNUMBER($AN149),$AN149&lt;FechaRef,IF($V149="Sub",N($X149),N($M149))&lt;1),"Vencida"&amp;" · ","")&amp;IF(AND(ObsObligatoria="Sí",ISNUMBER($AN149),$AN149&lt;FechaRef,IF($V149="Sub",N($X149),N($M149))&lt;1,$Q149=""),"Vencida sin observación"&amp;" · ",""),LEN(IF($C149="","Falta el nombre de la actividad"&amp;" · ","")&amp;IF(AND($V149="Sub",N($U149)=0),"Subactividad sin macroactividad arriba"&amp;" · ","")&amp;IF($AM149="","Sin fecha de inicio"&amp;" · ","")&amp;IF($AN149="","Sin fecha límite"&amp;" · ","")&amp;IF(AND(LEFT($C149,11)="[Jefatura] ",N($AL149)=0),"No se encuentra en la hoja de la jefatura (elíjala de nuevo en la lista)"&amp;" · ","")&amp;IF(OR(AND($E149&lt;&gt;"",NOT(ISNUMBER($E149))),AND($F149&lt;&gt;"",NOT(ISNUMBER($F149))),AND($G149&lt;&gt;"",NOT(ISNUMBER($G149)))),"Fecha no válida"&amp;" · ","")&amp;IF(AND(ISNUMBER($AM149),ISNUMBER($AN149),$AM149&gt;$AN149),"Inicio posterior a fecha límite"&amp;" · ","")&amp;IF(AND($V149="Macro",$H149&lt;&gt;"",OR(NOT(ISNUMBER($H149)),$H149&lt;0,$H149&gt;1)),"Peso fuera de rango"&amp;" · ","")&amp;IF(AND($V149="Sub",$H149&lt;&gt;""),"Las subactividades no llevan peso (valen igual dentro de su macroactividad)"&amp;" · ","")&amp;IF(AND(N($W149)&gt;0,COUNT($I149:$L149)&gt;0),"Con subactividades: deje vacías las semanas (se calculan solas)"&amp;" · ","")&amp;IF((COUNTIF($I149:$L149,"&gt;1")+COUNTIF($I149:$L149,"&lt;0")+COUNTA($I149:$L149)-COUNT($I149:$L149))&gt;0,"Avance fuera de rango 0-100%"&amp;" · ","")&amp;IF(OR(AND($J149&lt;&gt;"",$J149&lt;$I149),AND($K149&lt;&gt;"",$K149&lt;MAX($I149:$J149)),AND($L149&lt;&gt;"",$L149&lt;MAX($I149:$K149))),"Avance semanal decreciente"&amp;" · ","")&amp;IF(AND(ISNUMBER($AN149),$AN149&lt;FechaRef,IF($V149="Sub",N($X149),N($M149))&lt;1),"Vencida"&amp;" · ","")&amp;IF(AND(ObsObligatoria="Sí",ISNUMBER($AN149),$AN149&lt;FechaRef,IF($V149="Sub",N($X149),N($M149))&lt;1,$Q149=""),"Vencida sin observación"&amp;" · ",""))-3)))</f>
        <v/>
      </c>
      <c r="S149" s="64">
        <f>IF(NOT((COUNTA($B149:$D149)+COUNTA($G149:$L149)+COUNTA($Q149))&gt;0),"",IF(AND($V149="Sub",N($U149)&gt;0),IF(ISNUMBER(INDEX($AM$5:$AM$1000,$U149-4)),DATE(YEAR(INDEX($AM$5:$AM$1000,$U149-4)),MONTH(INDEX($AM$5:$AM$1000,$U149-4)),1),IF(ISNUMBER(INDEX($AN$5:$AN$1000,$U149-4)),DATE(YEAR(INDEX($AN$5:$AN$1000,$U149-4)),MONTH(INDEX($AN$5:$AN$1000,$U149-4)),1),MesCiclo)),IF(ISNUMBER($AM149),DATE(YEAR($AM149),MONTH($AM149),1),IF(ISNUMBER($AN149),DATE(YEAR($AN149),MONTH($AN149),1),MesCiclo))))</f>
        <v/>
      </c>
      <c r="T149" s="62">
        <f>IF(OR($S149="",$S149&lt;&gt;MesCiclo,$V149&lt;&gt;"Macro"),"",COUNTIFS($S$5:$S149,MesCiclo,$V$5:$V149,"Macro"))</f>
        <v/>
      </c>
      <c r="U149" s="62">
        <f>IF($V149="","",IF($V149="Macro",ROW(),IFERROR(LOOKUP(2,1/($V$5:$V149="Macro"),ROW($V$5:$V149)),0)))</f>
        <v/>
      </c>
      <c r="V149" s="62">
        <f>IF(NOT((COUNTA($B149:$D149)+COUNTA($G149:$L149)+COUNTA($Q149))&gt;0),"",IF($B149="Subactividad","Sub","Macro"))</f>
        <v/>
      </c>
      <c r="W149" s="62">
        <f>IF($V149="Macro",COUNTIFS($U$5:$U$1000,ROW(),$V$5:$V$1000,"Sub"),"")</f>
        <v/>
      </c>
      <c r="X149" s="62">
        <f>IF($V149="","",IF(ISNUMBER($G149),1,IFERROR(LOOKUP(2,1/($I149:$L149&lt;&gt;""),$I149:$L149),0)))</f>
        <v/>
      </c>
      <c r="Y149" s="62">
        <f>IF($V149="","",IF(AND(ISNUMBER($G149),$G149&lt;=IF($S149=MesCiclo,InicioCiclo,$S149+MOD(2-WEEKDAY($S149),7))+6),1,IF(ISNUMBER($I149),$I149,0)))</f>
        <v/>
      </c>
      <c r="Z149" s="62">
        <f>IF($V149="","",IF(AND(ISNUMBER($G149),$G149&lt;=IF($S149=MesCiclo,InicioCiclo,$S149+MOD(2-WEEKDAY($S149),7))+13),1,IF(ISNUMBER($J149),$J149,$Y149)))</f>
        <v/>
      </c>
      <c r="AA149" s="62">
        <f>IF($V149="","",IF(AND(ISNUMBER($G149),$G149&lt;=IF($S149=MesCiclo,InicioCiclo,$S149+MOD(2-WEEKDAY($S149),7))+20),1,IF(ISNUMBER($K149),$K149,$Z149)))</f>
        <v/>
      </c>
      <c r="AB149" s="62">
        <f>IF($V149="","",IF(AND(ISNUMBER($G149),$G149&lt;=IF($S149=MesCiclo,InicioCiclo,$S149+MOD(2-WEEKDAY($S149),7))+27),1,IF(ISNUMBER($L149),$L149,$AA149)))</f>
        <v/>
      </c>
      <c r="AC149" s="62">
        <f>IF($V149="","",IF(AND(ISNUMBER($G149),$G149&lt;=IF($S149=MesCiclo,InicioCiclo,$S149+MOD(2-WEEKDAY($S149),7))+6),1,IF(N($W149)&gt;0,AVERAGEIFS($Y$5:$Y$1000,$U$5:$U$1000,ROW(),$V$5:$V$1000,"Sub"),$Y149)))</f>
        <v/>
      </c>
      <c r="AD149" s="62">
        <f>IF($V149="","",IF(AND(ISNUMBER($G149),$G149&lt;=IF($S149=MesCiclo,InicioCiclo,$S149+MOD(2-WEEKDAY($S149),7))+13),1,IF(N($W149)&gt;0,AVERAGEIFS($Z$5:$Z$1000,$U$5:$U$1000,ROW(),$V$5:$V$1000,"Sub"),$Z149)))</f>
        <v/>
      </c>
      <c r="AE149" s="62">
        <f>IF($V149="","",IF(AND(ISNUMBER($G149),$G149&lt;=IF($S149=MesCiclo,InicioCiclo,$S149+MOD(2-WEEKDAY($S149),7))+20),1,IF(N($W149)&gt;0,AVERAGEIFS($AA$5:$AA$1000,$U$5:$U$1000,ROW(),$V$5:$V$1000,"Sub"),$AA149)))</f>
        <v/>
      </c>
      <c r="AF149" s="62">
        <f>IF($V149="","",IF(AND(ISNUMBER($G149),$G149&lt;=IF($S149=MesCiclo,InicioCiclo,$S149+MOD(2-WEEKDAY($S149),7))+27),1,IF(N($W149)&gt;0,AVERAGEIFS($AB$5:$AB$1000,$U$5:$U$1000,ROW(),$V$5:$V$1000,"Sub"),$AB149)))</f>
        <v/>
      </c>
      <c r="AG149" s="62">
        <f>IF($V149&lt;&gt;"Macro","",IF(COUNTIFS($S$5:$S$1000,$S149,$V$5:$V$1000,"Macro",$H$5:$H$1000,"&gt;0")=0,1/COUNTIFS($S$5:$S$1000,$S149,$V$5:$V$1000,"Macro"),IF(AND(ISNUMBER($H149),N($H149)&gt;0),$H149,SUMIFS($H$5:$H$1000,$S$5:$S$1000,$S149,$V$5:$V$1000,"Macro")/COUNTIFS($S$5:$S$1000,$S149,$V$5:$V$1000,"Macro",$H$5:$H$1000,"&gt;0"))/(COUNTIFS($S$5:$S$1000,$S149,$V$5:$V$1000,"Macro")*SUMIFS($H$5:$H$1000,$S$5:$S$1000,$S149,$V$5:$V$1000,"Macro")/COUNTIFS($S$5:$S$1000,$S149,$V$5:$V$1000,"Macro",$H$5:$H$1000,"&gt;0"))))</f>
        <v/>
      </c>
      <c r="AH149" s="62">
        <f>IF(NOT(AND($D149&lt;&gt;"",$V149="Macro")),"",IFERROR(CHOOSE(MATCH($D149,ListaPuestos,0),MATCH("[Jefatura] "&amp;$C149,'Cronograma R. Operacional'!$C$5:$C$1000,0),MATCH("[Jefatura] "&amp;$C149,'Cronograma R. Normativo'!$C$5:$C$1000,0),MATCH("[Jefatura] "&amp;$C149,'Cronograma R. Financiero'!$C$5:$C$1000,0),MATCH("[Jefatura] "&amp;$C149,'Cronograma Asistente Técnico'!$C$5:$C$1000,0)),0))</f>
        <v/>
      </c>
      <c r="AI149" s="62">
        <f>IF(AND(AND($D149&lt;&gt;"",$V149="Macro"),$S149=MesCiclo),COUNTIFS($D$5:$D149,$D149,$S$5:$S149,MesCiclo,$V$5:$V149,"Macro"),"")</f>
        <v/>
      </c>
      <c r="AJ149" s="62">
        <f>IF($AI149="","",$D149&amp;"|"&amp;$AI149)</f>
        <v/>
      </c>
      <c r="AK149" s="62">
        <f>IF(AND($D149&lt;&gt;"",$V149="Macro"),$D149&amp;"|"&amp;$C149,"")</f>
        <v/>
      </c>
      <c r="AL149" s="62">
        <f>""</f>
        <v/>
      </c>
      <c r="AM149" s="62">
        <f>IF(N($AL149)&gt;0,INDEX(rIni_ADM,$AL149),IF(ISNUMBER($E149),$E149,""))</f>
        <v/>
      </c>
      <c r="AN149" s="62">
        <f>IF(N($AL149)&gt;0,INDEX(rLim_ADM,$AL149),IF(ISNUMBER($F149),$F149,""))</f>
        <v/>
      </c>
    </row>
    <row r="150">
      <c r="A150" s="56">
        <f>IF(NOT((COUNTA($B150:$D150)+COUNTA($G150:$L150)+COUNTA($Q150))&gt;0),"",IF($V150="Macro",COUNTIFS($V$5:$V150,"Macro",$S$5:$S150,$S150),IF(N($U150)=0,"?",COUNTIFS(INDEX($V$5:$V$1000,1):INDEX($V$5:$V$1000,$U150-4),"Macro",INDEX($S$5:$S$1000,1):INDEX($S$5:$S$1000,$U150-4),INDEX($S$5:$S$1000,$U150-4))&amp;"."&amp;COUNTIFS($U$5:$U150,$U150,$V$5:$V150,"Sub"))))</f>
        <v/>
      </c>
      <c r="B150" s="57" t="n"/>
      <c r="C150" s="58" t="n"/>
      <c r="D150" s="58" t="n"/>
      <c r="E150" s="59" t="n"/>
      <c r="F150" s="59" t="n"/>
      <c r="G150" s="59" t="n"/>
      <c r="H150" s="60" t="n"/>
      <c r="I150" s="60" t="n"/>
      <c r="J150" s="60" t="n"/>
      <c r="K150" s="60" t="n"/>
      <c r="L150" s="60" t="n"/>
      <c r="M150" s="61">
        <f>IF(NOT((COUNTA($B150:$D150)+COUNTA($G150:$L150)+COUNTA($Q150))&gt;0),"",IF(AND($D150&lt;&gt;"",$V150="Macro"),IF(N($AH150)&gt;0,N(CHOOSE(MATCH($D150,ListaPuestos,0),INDEX('Cronograma R. Operacional'!$M$5:$M$1000,$AH150),INDEX('Cronograma R. Normativo'!$M$5:$M$1000,$AH150),INDEX('Cronograma R. Financiero'!$M$5:$M$1000,$AH150),INDEX('Cronograma Asistente Técnico'!$M$5:$M$1000,$AH150))),0),IF(ISNUMBER($G150),1,IF(N($W150)&gt;0,AVERAGEIFS($X$5:$X$1000,$U$5:$U$1000,ROW(),$V$5:$V$1000,"Sub"),$X150))))</f>
        <v/>
      </c>
      <c r="N150" s="56">
        <f>IF(OR($M150="",$V150="Sub"),"",IF($M150&gt;=1,"Completado",IF($M150&gt;0,"En curso","Pendiente")))</f>
        <v/>
      </c>
      <c r="O150" s="56">
        <f>IF(NOT((COUNTA($B150:$D150)+COUNTA($G150:$L150)+COUNTA($Q150))&gt;0),"",IF(AND(AND($D150&lt;&gt;"",$V150="Macro"),N($AH150)&gt;0),CHOOSE(MATCH($D150,ListaPuestos,0),INDEX('Cronograma R. Operacional'!$O$5:$O$1000,$AH150),INDEX('Cronograma R. Normativo'!$O$5:$O$1000,$AH150),INDEX('Cronograma R. Financiero'!$O$5:$O$1000,$AH150),INDEX('Cronograma Asistente Técnico'!$O$5:$O$1000,$AH150))&amp;"",IF(ISNUMBER($G150),IF(AND(ISNUMBER($AN150),$G150&gt;$AN150),"Cumplida con "&amp;($G150-$AN150)&amp;IF($G150-$AN150=1," día"," días")&amp;" de retraso","Cumplida"),IF(N($M150)&gt;=1,"Cumplida",IF(NOT(ISNUMBER($AN150)),"Sin fecha límite",IF($AN150&lt;FechaRef,"Vencida hace "&amp;(FechaRef-$AN150)&amp;IF(FechaRef-$AN150=1," día"," días"),IF($AN150=FechaRef,"Vence hoy",IF($AN150-FechaRef&lt;=DiasAlerta,"Vence en "&amp;($AN150-FechaRef)&amp;IF($AN150-FechaRef=1," día"," días"),"En plazo"))))))))</f>
        <v/>
      </c>
      <c r="P150" s="62">
        <f>IF(NOT((COUNTA($B150:$D150)+COUNTA($G150:$L150)+COUNTA($Q150))&gt;0),"",IF($D150="","Propia",IF($V150&lt;&gt;"Macro","Solo se delegan macroactividades",IF(N($AH150)&gt;0,"✔ Recibida por "&amp;$D150,"⚠ "&amp;$D150&amp;" aún no la agrega"))))</f>
        <v/>
      </c>
      <c r="Q150" s="58" t="n"/>
      <c r="R150" s="63">
        <f>IF(NOT((COUNTA($B150:$D150)+COUNTA($G150:$L150)+COUNTA($Q150))&gt;0),"",IF((IF($C150="","Falta el nombre de la actividad"&amp;" · ","")&amp;IF(AND($V150="Sub",N($U150)=0),"Subactividad sin macroactividad arriba"&amp;" · ","")&amp;IF($AM150="","Sin fecha de inicio"&amp;" · ","")&amp;IF($AN150="","Sin fecha límite"&amp;" · ","")&amp;IF(AND(LEFT($C150,11)="[Jefatura] ",N($AL150)=0),"No se encuentra en la hoja de la jefatura (elíjala de nuevo en la lista)"&amp;" · ","")&amp;IF(OR(AND($E150&lt;&gt;"",NOT(ISNUMBER($E150))),AND($F150&lt;&gt;"",NOT(ISNUMBER($F150))),AND($G150&lt;&gt;"",NOT(ISNUMBER($G150)))),"Fecha no válida"&amp;" · ","")&amp;IF(AND(ISNUMBER($AM150),ISNUMBER($AN150),$AM150&gt;$AN150),"Inicio posterior a fecha límite"&amp;" · ","")&amp;IF(AND($V150="Macro",$H150&lt;&gt;"",OR(NOT(ISNUMBER($H150)),$H150&lt;0,$H150&gt;1)),"Peso fuera de rango"&amp;" · ","")&amp;IF(AND($V150="Sub",$H150&lt;&gt;""),"Las subactividades no llevan peso (valen igual dentro de su macroactividad)"&amp;" · ","")&amp;IF(AND(N($W150)&gt;0,COUNT($I150:$L150)&gt;0),"Con subactividades: deje vacías las semanas (se calculan solas)"&amp;" · ","")&amp;IF((COUNTIF($I150:$L150,"&gt;1")+COUNTIF($I150:$L150,"&lt;0")+COUNTA($I150:$L150)-COUNT($I150:$L150))&gt;0,"Avance fuera de rango 0-100%"&amp;" · ","")&amp;IF(OR(AND($J150&lt;&gt;"",$J150&lt;$I150),AND($K150&lt;&gt;"",$K150&lt;MAX($I150:$J150)),AND($L150&lt;&gt;"",$L150&lt;MAX($I150:$K150))),"Avance semanal decreciente"&amp;" · ","")&amp;IF(AND(ISNUMBER($AN150),$AN150&lt;FechaRef,IF($V150="Sub",N($X150),N($M150))&lt;1),"Vencida"&amp;" · ","")&amp;IF(AND(ObsObligatoria="Sí",ISNUMBER($AN150),$AN150&lt;FechaRef,IF($V150="Sub",N($X150),N($M150))&lt;1,$Q150=""),"Vencida sin observación"&amp;" · ",""))="","✔ OK","⚠ "&amp;LEFT(IF($C150="","Falta el nombre de la actividad"&amp;" · ","")&amp;IF(AND($V150="Sub",N($U150)=0),"Subactividad sin macroactividad arriba"&amp;" · ","")&amp;IF($AM150="","Sin fecha de inicio"&amp;" · ","")&amp;IF($AN150="","Sin fecha límite"&amp;" · ","")&amp;IF(AND(LEFT($C150,11)="[Jefatura] ",N($AL150)=0),"No se encuentra en la hoja de la jefatura (elíjala de nuevo en la lista)"&amp;" · ","")&amp;IF(OR(AND($E150&lt;&gt;"",NOT(ISNUMBER($E150))),AND($F150&lt;&gt;"",NOT(ISNUMBER($F150))),AND($G150&lt;&gt;"",NOT(ISNUMBER($G150)))),"Fecha no válida"&amp;" · ","")&amp;IF(AND(ISNUMBER($AM150),ISNUMBER($AN150),$AM150&gt;$AN150),"Inicio posterior a fecha límite"&amp;" · ","")&amp;IF(AND($V150="Macro",$H150&lt;&gt;"",OR(NOT(ISNUMBER($H150)),$H150&lt;0,$H150&gt;1)),"Peso fuera de rango"&amp;" · ","")&amp;IF(AND($V150="Sub",$H150&lt;&gt;""),"Las subactividades no llevan peso (valen igual dentro de su macroactividad)"&amp;" · ","")&amp;IF(AND(N($W150)&gt;0,COUNT($I150:$L150)&gt;0),"Con subactividades: deje vacías las semanas (se calculan solas)"&amp;" · ","")&amp;IF((COUNTIF($I150:$L150,"&gt;1")+COUNTIF($I150:$L150,"&lt;0")+COUNTA($I150:$L150)-COUNT($I150:$L150))&gt;0,"Avance fuera de rango 0-100%"&amp;" · ","")&amp;IF(OR(AND($J150&lt;&gt;"",$J150&lt;$I150),AND($K150&lt;&gt;"",$K150&lt;MAX($I150:$J150)),AND($L150&lt;&gt;"",$L150&lt;MAX($I150:$K150))),"Avance semanal decreciente"&amp;" · ","")&amp;IF(AND(ISNUMBER($AN150),$AN150&lt;FechaRef,IF($V150="Sub",N($X150),N($M150))&lt;1),"Vencida"&amp;" · ","")&amp;IF(AND(ObsObligatoria="Sí",ISNUMBER($AN150),$AN150&lt;FechaRef,IF($V150="Sub",N($X150),N($M150))&lt;1,$Q150=""),"Vencida sin observación"&amp;" · ",""),LEN(IF($C150="","Falta el nombre de la actividad"&amp;" · ","")&amp;IF(AND($V150="Sub",N($U150)=0),"Subactividad sin macroactividad arriba"&amp;" · ","")&amp;IF($AM150="","Sin fecha de inicio"&amp;" · ","")&amp;IF($AN150="","Sin fecha límite"&amp;" · ","")&amp;IF(AND(LEFT($C150,11)="[Jefatura] ",N($AL150)=0),"No se encuentra en la hoja de la jefatura (elíjala de nuevo en la lista)"&amp;" · ","")&amp;IF(OR(AND($E150&lt;&gt;"",NOT(ISNUMBER($E150))),AND($F150&lt;&gt;"",NOT(ISNUMBER($F150))),AND($G150&lt;&gt;"",NOT(ISNUMBER($G150)))),"Fecha no válida"&amp;" · ","")&amp;IF(AND(ISNUMBER($AM150),ISNUMBER($AN150),$AM150&gt;$AN150),"Inicio posterior a fecha límite"&amp;" · ","")&amp;IF(AND($V150="Macro",$H150&lt;&gt;"",OR(NOT(ISNUMBER($H150)),$H150&lt;0,$H150&gt;1)),"Peso fuera de rango"&amp;" · ","")&amp;IF(AND($V150="Sub",$H150&lt;&gt;""),"Las subactividades no llevan peso (valen igual dentro de su macroactividad)"&amp;" · ","")&amp;IF(AND(N($W150)&gt;0,COUNT($I150:$L150)&gt;0),"Con subactividades: deje vacías las semanas (se calculan solas)"&amp;" · ","")&amp;IF((COUNTIF($I150:$L150,"&gt;1")+COUNTIF($I150:$L150,"&lt;0")+COUNTA($I150:$L150)-COUNT($I150:$L150))&gt;0,"Avance fuera de rango 0-100%"&amp;" · ","")&amp;IF(OR(AND($J150&lt;&gt;"",$J150&lt;$I150),AND($K150&lt;&gt;"",$K150&lt;MAX($I150:$J150)),AND($L150&lt;&gt;"",$L150&lt;MAX($I150:$K150))),"Avance semanal decreciente"&amp;" · ","")&amp;IF(AND(ISNUMBER($AN150),$AN150&lt;FechaRef,IF($V150="Sub",N($X150),N($M150))&lt;1),"Vencida"&amp;" · ","")&amp;IF(AND(ObsObligatoria="Sí",ISNUMBER($AN150),$AN150&lt;FechaRef,IF($V150="Sub",N($X150),N($M150))&lt;1,$Q150=""),"Vencida sin observación"&amp;" · ",""))-3)))</f>
        <v/>
      </c>
      <c r="S150" s="64">
        <f>IF(NOT((COUNTA($B150:$D150)+COUNTA($G150:$L150)+COUNTA($Q150))&gt;0),"",IF(AND($V150="Sub",N($U150)&gt;0),IF(ISNUMBER(INDEX($AM$5:$AM$1000,$U150-4)),DATE(YEAR(INDEX($AM$5:$AM$1000,$U150-4)),MONTH(INDEX($AM$5:$AM$1000,$U150-4)),1),IF(ISNUMBER(INDEX($AN$5:$AN$1000,$U150-4)),DATE(YEAR(INDEX($AN$5:$AN$1000,$U150-4)),MONTH(INDEX($AN$5:$AN$1000,$U150-4)),1),MesCiclo)),IF(ISNUMBER($AM150),DATE(YEAR($AM150),MONTH($AM150),1),IF(ISNUMBER($AN150),DATE(YEAR($AN150),MONTH($AN150),1),MesCiclo))))</f>
        <v/>
      </c>
      <c r="T150" s="62">
        <f>IF(OR($S150="",$S150&lt;&gt;MesCiclo,$V150&lt;&gt;"Macro"),"",COUNTIFS($S$5:$S150,MesCiclo,$V$5:$V150,"Macro"))</f>
        <v/>
      </c>
      <c r="U150" s="62">
        <f>IF($V150="","",IF($V150="Macro",ROW(),IFERROR(LOOKUP(2,1/($V$5:$V150="Macro"),ROW($V$5:$V150)),0)))</f>
        <v/>
      </c>
      <c r="V150" s="62">
        <f>IF(NOT((COUNTA($B150:$D150)+COUNTA($G150:$L150)+COUNTA($Q150))&gt;0),"",IF($B150="Subactividad","Sub","Macro"))</f>
        <v/>
      </c>
      <c r="W150" s="62">
        <f>IF($V150="Macro",COUNTIFS($U$5:$U$1000,ROW(),$V$5:$V$1000,"Sub"),"")</f>
        <v/>
      </c>
      <c r="X150" s="62">
        <f>IF($V150="","",IF(ISNUMBER($G150),1,IFERROR(LOOKUP(2,1/($I150:$L150&lt;&gt;""),$I150:$L150),0)))</f>
        <v/>
      </c>
      <c r="Y150" s="62">
        <f>IF($V150="","",IF(AND(ISNUMBER($G150),$G150&lt;=IF($S150=MesCiclo,InicioCiclo,$S150+MOD(2-WEEKDAY($S150),7))+6),1,IF(ISNUMBER($I150),$I150,0)))</f>
        <v/>
      </c>
      <c r="Z150" s="62">
        <f>IF($V150="","",IF(AND(ISNUMBER($G150),$G150&lt;=IF($S150=MesCiclo,InicioCiclo,$S150+MOD(2-WEEKDAY($S150),7))+13),1,IF(ISNUMBER($J150),$J150,$Y150)))</f>
        <v/>
      </c>
      <c r="AA150" s="62">
        <f>IF($V150="","",IF(AND(ISNUMBER($G150),$G150&lt;=IF($S150=MesCiclo,InicioCiclo,$S150+MOD(2-WEEKDAY($S150),7))+20),1,IF(ISNUMBER($K150),$K150,$Z150)))</f>
        <v/>
      </c>
      <c r="AB150" s="62">
        <f>IF($V150="","",IF(AND(ISNUMBER($G150),$G150&lt;=IF($S150=MesCiclo,InicioCiclo,$S150+MOD(2-WEEKDAY($S150),7))+27),1,IF(ISNUMBER($L150),$L150,$AA150)))</f>
        <v/>
      </c>
      <c r="AC150" s="62">
        <f>IF($V150="","",IF(AND(ISNUMBER($G150),$G150&lt;=IF($S150=MesCiclo,InicioCiclo,$S150+MOD(2-WEEKDAY($S150),7))+6),1,IF(N($W150)&gt;0,AVERAGEIFS($Y$5:$Y$1000,$U$5:$U$1000,ROW(),$V$5:$V$1000,"Sub"),$Y150)))</f>
        <v/>
      </c>
      <c r="AD150" s="62">
        <f>IF($V150="","",IF(AND(ISNUMBER($G150),$G150&lt;=IF($S150=MesCiclo,InicioCiclo,$S150+MOD(2-WEEKDAY($S150),7))+13),1,IF(N($W150)&gt;0,AVERAGEIFS($Z$5:$Z$1000,$U$5:$U$1000,ROW(),$V$5:$V$1000,"Sub"),$Z150)))</f>
        <v/>
      </c>
      <c r="AE150" s="62">
        <f>IF($V150="","",IF(AND(ISNUMBER($G150),$G150&lt;=IF($S150=MesCiclo,InicioCiclo,$S150+MOD(2-WEEKDAY($S150),7))+20),1,IF(N($W150)&gt;0,AVERAGEIFS($AA$5:$AA$1000,$U$5:$U$1000,ROW(),$V$5:$V$1000,"Sub"),$AA150)))</f>
        <v/>
      </c>
      <c r="AF150" s="62">
        <f>IF($V150="","",IF(AND(ISNUMBER($G150),$G150&lt;=IF($S150=MesCiclo,InicioCiclo,$S150+MOD(2-WEEKDAY($S150),7))+27),1,IF(N($W150)&gt;0,AVERAGEIFS($AB$5:$AB$1000,$U$5:$U$1000,ROW(),$V$5:$V$1000,"Sub"),$AB150)))</f>
        <v/>
      </c>
      <c r="AG150" s="62">
        <f>IF($V150&lt;&gt;"Macro","",IF(COUNTIFS($S$5:$S$1000,$S150,$V$5:$V$1000,"Macro",$H$5:$H$1000,"&gt;0")=0,1/COUNTIFS($S$5:$S$1000,$S150,$V$5:$V$1000,"Macro"),IF(AND(ISNUMBER($H150),N($H150)&gt;0),$H150,SUMIFS($H$5:$H$1000,$S$5:$S$1000,$S150,$V$5:$V$1000,"Macro")/COUNTIFS($S$5:$S$1000,$S150,$V$5:$V$1000,"Macro",$H$5:$H$1000,"&gt;0"))/(COUNTIFS($S$5:$S$1000,$S150,$V$5:$V$1000,"Macro")*SUMIFS($H$5:$H$1000,$S$5:$S$1000,$S150,$V$5:$V$1000,"Macro")/COUNTIFS($S$5:$S$1000,$S150,$V$5:$V$1000,"Macro",$H$5:$H$1000,"&gt;0"))))</f>
        <v/>
      </c>
      <c r="AH150" s="62">
        <f>IF(NOT(AND($D150&lt;&gt;"",$V150="Macro")),"",IFERROR(CHOOSE(MATCH($D150,ListaPuestos,0),MATCH("[Jefatura] "&amp;$C150,'Cronograma R. Operacional'!$C$5:$C$1000,0),MATCH("[Jefatura] "&amp;$C150,'Cronograma R. Normativo'!$C$5:$C$1000,0),MATCH("[Jefatura] "&amp;$C150,'Cronograma R. Financiero'!$C$5:$C$1000,0),MATCH("[Jefatura] "&amp;$C150,'Cronograma Asistente Técnico'!$C$5:$C$1000,0)),0))</f>
        <v/>
      </c>
      <c r="AI150" s="62">
        <f>IF(AND(AND($D150&lt;&gt;"",$V150="Macro"),$S150=MesCiclo),COUNTIFS($D$5:$D150,$D150,$S$5:$S150,MesCiclo,$V$5:$V150,"Macro"),"")</f>
        <v/>
      </c>
      <c r="AJ150" s="62">
        <f>IF($AI150="","",$D150&amp;"|"&amp;$AI150)</f>
        <v/>
      </c>
      <c r="AK150" s="62">
        <f>IF(AND($D150&lt;&gt;"",$V150="Macro"),$D150&amp;"|"&amp;$C150,"")</f>
        <v/>
      </c>
      <c r="AL150" s="62">
        <f>""</f>
        <v/>
      </c>
      <c r="AM150" s="62">
        <f>IF(N($AL150)&gt;0,INDEX(rIni_ADM,$AL150),IF(ISNUMBER($E150),$E150,""))</f>
        <v/>
      </c>
      <c r="AN150" s="62">
        <f>IF(N($AL150)&gt;0,INDEX(rLim_ADM,$AL150),IF(ISNUMBER($F150),$F150,""))</f>
        <v/>
      </c>
    </row>
    <row r="151">
      <c r="A151" s="56">
        <f>IF(NOT((COUNTA($B151:$D151)+COUNTA($G151:$L151)+COUNTA($Q151))&gt;0),"",IF($V151="Macro",COUNTIFS($V$5:$V151,"Macro",$S$5:$S151,$S151),IF(N($U151)=0,"?",COUNTIFS(INDEX($V$5:$V$1000,1):INDEX($V$5:$V$1000,$U151-4),"Macro",INDEX($S$5:$S$1000,1):INDEX($S$5:$S$1000,$U151-4),INDEX($S$5:$S$1000,$U151-4))&amp;"."&amp;COUNTIFS($U$5:$U151,$U151,$V$5:$V151,"Sub"))))</f>
        <v/>
      </c>
      <c r="B151" s="57" t="n"/>
      <c r="C151" s="58" t="n"/>
      <c r="D151" s="58" t="n"/>
      <c r="E151" s="59" t="n"/>
      <c r="F151" s="59" t="n"/>
      <c r="G151" s="59" t="n"/>
      <c r="H151" s="60" t="n"/>
      <c r="I151" s="60" t="n"/>
      <c r="J151" s="60" t="n"/>
      <c r="K151" s="60" t="n"/>
      <c r="L151" s="60" t="n"/>
      <c r="M151" s="61">
        <f>IF(NOT((COUNTA($B151:$D151)+COUNTA($G151:$L151)+COUNTA($Q151))&gt;0),"",IF(AND($D151&lt;&gt;"",$V151="Macro"),IF(N($AH151)&gt;0,N(CHOOSE(MATCH($D151,ListaPuestos,0),INDEX('Cronograma R. Operacional'!$M$5:$M$1000,$AH151),INDEX('Cronograma R. Normativo'!$M$5:$M$1000,$AH151),INDEX('Cronograma R. Financiero'!$M$5:$M$1000,$AH151),INDEX('Cronograma Asistente Técnico'!$M$5:$M$1000,$AH151))),0),IF(ISNUMBER($G151),1,IF(N($W151)&gt;0,AVERAGEIFS($X$5:$X$1000,$U$5:$U$1000,ROW(),$V$5:$V$1000,"Sub"),$X151))))</f>
        <v/>
      </c>
      <c r="N151" s="56">
        <f>IF(OR($M151="",$V151="Sub"),"",IF($M151&gt;=1,"Completado",IF($M151&gt;0,"En curso","Pendiente")))</f>
        <v/>
      </c>
      <c r="O151" s="56">
        <f>IF(NOT((COUNTA($B151:$D151)+COUNTA($G151:$L151)+COUNTA($Q151))&gt;0),"",IF(AND(AND($D151&lt;&gt;"",$V151="Macro"),N($AH151)&gt;0),CHOOSE(MATCH($D151,ListaPuestos,0),INDEX('Cronograma R. Operacional'!$O$5:$O$1000,$AH151),INDEX('Cronograma R. Normativo'!$O$5:$O$1000,$AH151),INDEX('Cronograma R. Financiero'!$O$5:$O$1000,$AH151),INDEX('Cronograma Asistente Técnico'!$O$5:$O$1000,$AH151))&amp;"",IF(ISNUMBER($G151),IF(AND(ISNUMBER($AN151),$G151&gt;$AN151),"Cumplida con "&amp;($G151-$AN151)&amp;IF($G151-$AN151=1," día"," días")&amp;" de retraso","Cumplida"),IF(N($M151)&gt;=1,"Cumplida",IF(NOT(ISNUMBER($AN151)),"Sin fecha límite",IF($AN151&lt;FechaRef,"Vencida hace "&amp;(FechaRef-$AN151)&amp;IF(FechaRef-$AN151=1," día"," días"),IF($AN151=FechaRef,"Vence hoy",IF($AN151-FechaRef&lt;=DiasAlerta,"Vence en "&amp;($AN151-FechaRef)&amp;IF($AN151-FechaRef=1," día"," días"),"En plazo"))))))))</f>
        <v/>
      </c>
      <c r="P151" s="62">
        <f>IF(NOT((COUNTA($B151:$D151)+COUNTA($G151:$L151)+COUNTA($Q151))&gt;0),"",IF($D151="","Propia",IF($V151&lt;&gt;"Macro","Solo se delegan macroactividades",IF(N($AH151)&gt;0,"✔ Recibida por "&amp;$D151,"⚠ "&amp;$D151&amp;" aún no la agrega"))))</f>
        <v/>
      </c>
      <c r="Q151" s="58" t="n"/>
      <c r="R151" s="63">
        <f>IF(NOT((COUNTA($B151:$D151)+COUNTA($G151:$L151)+COUNTA($Q151))&gt;0),"",IF((IF($C151="","Falta el nombre de la actividad"&amp;" · ","")&amp;IF(AND($V151="Sub",N($U151)=0),"Subactividad sin macroactividad arriba"&amp;" · ","")&amp;IF($AM151="","Sin fecha de inicio"&amp;" · ","")&amp;IF($AN151="","Sin fecha límite"&amp;" · ","")&amp;IF(AND(LEFT($C151,11)="[Jefatura] ",N($AL151)=0),"No se encuentra en la hoja de la jefatura (elíjala de nuevo en la lista)"&amp;" · ","")&amp;IF(OR(AND($E151&lt;&gt;"",NOT(ISNUMBER($E151))),AND($F151&lt;&gt;"",NOT(ISNUMBER($F151))),AND($G151&lt;&gt;"",NOT(ISNUMBER($G151)))),"Fecha no válida"&amp;" · ","")&amp;IF(AND(ISNUMBER($AM151),ISNUMBER($AN151),$AM151&gt;$AN151),"Inicio posterior a fecha límite"&amp;" · ","")&amp;IF(AND($V151="Macro",$H151&lt;&gt;"",OR(NOT(ISNUMBER($H151)),$H151&lt;0,$H151&gt;1)),"Peso fuera de rango"&amp;" · ","")&amp;IF(AND($V151="Sub",$H151&lt;&gt;""),"Las subactividades no llevan peso (valen igual dentro de su macroactividad)"&amp;" · ","")&amp;IF(AND(N($W151)&gt;0,COUNT($I151:$L151)&gt;0),"Con subactividades: deje vacías las semanas (se calculan solas)"&amp;" · ","")&amp;IF((COUNTIF($I151:$L151,"&gt;1")+COUNTIF($I151:$L151,"&lt;0")+COUNTA($I151:$L151)-COUNT($I151:$L151))&gt;0,"Avance fuera de rango 0-100%"&amp;" · ","")&amp;IF(OR(AND($J151&lt;&gt;"",$J151&lt;$I151),AND($K151&lt;&gt;"",$K151&lt;MAX($I151:$J151)),AND($L151&lt;&gt;"",$L151&lt;MAX($I151:$K151))),"Avance semanal decreciente"&amp;" · ","")&amp;IF(AND(ISNUMBER($AN151),$AN151&lt;FechaRef,IF($V151="Sub",N($X151),N($M151))&lt;1),"Vencida"&amp;" · ","")&amp;IF(AND(ObsObligatoria="Sí",ISNUMBER($AN151),$AN151&lt;FechaRef,IF($V151="Sub",N($X151),N($M151))&lt;1,$Q151=""),"Vencida sin observación"&amp;" · ",""))="","✔ OK","⚠ "&amp;LEFT(IF($C151="","Falta el nombre de la actividad"&amp;" · ","")&amp;IF(AND($V151="Sub",N($U151)=0),"Subactividad sin macroactividad arriba"&amp;" · ","")&amp;IF($AM151="","Sin fecha de inicio"&amp;" · ","")&amp;IF($AN151="","Sin fecha límite"&amp;" · ","")&amp;IF(AND(LEFT($C151,11)="[Jefatura] ",N($AL151)=0),"No se encuentra en la hoja de la jefatura (elíjala de nuevo en la lista)"&amp;" · ","")&amp;IF(OR(AND($E151&lt;&gt;"",NOT(ISNUMBER($E151))),AND($F151&lt;&gt;"",NOT(ISNUMBER($F151))),AND($G151&lt;&gt;"",NOT(ISNUMBER($G151)))),"Fecha no válida"&amp;" · ","")&amp;IF(AND(ISNUMBER($AM151),ISNUMBER($AN151),$AM151&gt;$AN151),"Inicio posterior a fecha límite"&amp;" · ","")&amp;IF(AND($V151="Macro",$H151&lt;&gt;"",OR(NOT(ISNUMBER($H151)),$H151&lt;0,$H151&gt;1)),"Peso fuera de rango"&amp;" · ","")&amp;IF(AND($V151="Sub",$H151&lt;&gt;""),"Las subactividades no llevan peso (valen igual dentro de su macroactividad)"&amp;" · ","")&amp;IF(AND(N($W151)&gt;0,COUNT($I151:$L151)&gt;0),"Con subactividades: deje vacías las semanas (se calculan solas)"&amp;" · ","")&amp;IF((COUNTIF($I151:$L151,"&gt;1")+COUNTIF($I151:$L151,"&lt;0")+COUNTA($I151:$L151)-COUNT($I151:$L151))&gt;0,"Avance fuera de rango 0-100%"&amp;" · ","")&amp;IF(OR(AND($J151&lt;&gt;"",$J151&lt;$I151),AND($K151&lt;&gt;"",$K151&lt;MAX($I151:$J151)),AND($L151&lt;&gt;"",$L151&lt;MAX($I151:$K151))),"Avance semanal decreciente"&amp;" · ","")&amp;IF(AND(ISNUMBER($AN151),$AN151&lt;FechaRef,IF($V151="Sub",N($X151),N($M151))&lt;1),"Vencida"&amp;" · ","")&amp;IF(AND(ObsObligatoria="Sí",ISNUMBER($AN151),$AN151&lt;FechaRef,IF($V151="Sub",N($X151),N($M151))&lt;1,$Q151=""),"Vencida sin observación"&amp;" · ",""),LEN(IF($C151="","Falta el nombre de la actividad"&amp;" · ","")&amp;IF(AND($V151="Sub",N($U151)=0),"Subactividad sin macroactividad arriba"&amp;" · ","")&amp;IF($AM151="","Sin fecha de inicio"&amp;" · ","")&amp;IF($AN151="","Sin fecha límite"&amp;" · ","")&amp;IF(AND(LEFT($C151,11)="[Jefatura] ",N($AL151)=0),"No se encuentra en la hoja de la jefatura (elíjala de nuevo en la lista)"&amp;" · ","")&amp;IF(OR(AND($E151&lt;&gt;"",NOT(ISNUMBER($E151))),AND($F151&lt;&gt;"",NOT(ISNUMBER($F151))),AND($G151&lt;&gt;"",NOT(ISNUMBER($G151)))),"Fecha no válida"&amp;" · ","")&amp;IF(AND(ISNUMBER($AM151),ISNUMBER($AN151),$AM151&gt;$AN151),"Inicio posterior a fecha límite"&amp;" · ","")&amp;IF(AND($V151="Macro",$H151&lt;&gt;"",OR(NOT(ISNUMBER($H151)),$H151&lt;0,$H151&gt;1)),"Peso fuera de rango"&amp;" · ","")&amp;IF(AND($V151="Sub",$H151&lt;&gt;""),"Las subactividades no llevan peso (valen igual dentro de su macroactividad)"&amp;" · ","")&amp;IF(AND(N($W151)&gt;0,COUNT($I151:$L151)&gt;0),"Con subactividades: deje vacías las semanas (se calculan solas)"&amp;" · ","")&amp;IF((COUNTIF($I151:$L151,"&gt;1")+COUNTIF($I151:$L151,"&lt;0")+COUNTA($I151:$L151)-COUNT($I151:$L151))&gt;0,"Avance fuera de rango 0-100%"&amp;" · ","")&amp;IF(OR(AND($J151&lt;&gt;"",$J151&lt;$I151),AND($K151&lt;&gt;"",$K151&lt;MAX($I151:$J151)),AND($L151&lt;&gt;"",$L151&lt;MAX($I151:$K151))),"Avance semanal decreciente"&amp;" · ","")&amp;IF(AND(ISNUMBER($AN151),$AN151&lt;FechaRef,IF($V151="Sub",N($X151),N($M151))&lt;1),"Vencida"&amp;" · ","")&amp;IF(AND(ObsObligatoria="Sí",ISNUMBER($AN151),$AN151&lt;FechaRef,IF($V151="Sub",N($X151),N($M151))&lt;1,$Q151=""),"Vencida sin observación"&amp;" · ",""))-3)))</f>
        <v/>
      </c>
      <c r="S151" s="64">
        <f>IF(NOT((COUNTA($B151:$D151)+COUNTA($G151:$L151)+COUNTA($Q151))&gt;0),"",IF(AND($V151="Sub",N($U151)&gt;0),IF(ISNUMBER(INDEX($AM$5:$AM$1000,$U151-4)),DATE(YEAR(INDEX($AM$5:$AM$1000,$U151-4)),MONTH(INDEX($AM$5:$AM$1000,$U151-4)),1),IF(ISNUMBER(INDEX($AN$5:$AN$1000,$U151-4)),DATE(YEAR(INDEX($AN$5:$AN$1000,$U151-4)),MONTH(INDEX($AN$5:$AN$1000,$U151-4)),1),MesCiclo)),IF(ISNUMBER($AM151),DATE(YEAR($AM151),MONTH($AM151),1),IF(ISNUMBER($AN151),DATE(YEAR($AN151),MONTH($AN151),1),MesCiclo))))</f>
        <v/>
      </c>
      <c r="T151" s="62">
        <f>IF(OR($S151="",$S151&lt;&gt;MesCiclo,$V151&lt;&gt;"Macro"),"",COUNTIFS($S$5:$S151,MesCiclo,$V$5:$V151,"Macro"))</f>
        <v/>
      </c>
      <c r="U151" s="62">
        <f>IF($V151="","",IF($V151="Macro",ROW(),IFERROR(LOOKUP(2,1/($V$5:$V151="Macro"),ROW($V$5:$V151)),0)))</f>
        <v/>
      </c>
      <c r="V151" s="62">
        <f>IF(NOT((COUNTA($B151:$D151)+COUNTA($G151:$L151)+COUNTA($Q151))&gt;0),"",IF($B151="Subactividad","Sub","Macro"))</f>
        <v/>
      </c>
      <c r="W151" s="62">
        <f>IF($V151="Macro",COUNTIFS($U$5:$U$1000,ROW(),$V$5:$V$1000,"Sub"),"")</f>
        <v/>
      </c>
      <c r="X151" s="62">
        <f>IF($V151="","",IF(ISNUMBER($G151),1,IFERROR(LOOKUP(2,1/($I151:$L151&lt;&gt;""),$I151:$L151),0)))</f>
        <v/>
      </c>
      <c r="Y151" s="62">
        <f>IF($V151="","",IF(AND(ISNUMBER($G151),$G151&lt;=IF($S151=MesCiclo,InicioCiclo,$S151+MOD(2-WEEKDAY($S151),7))+6),1,IF(ISNUMBER($I151),$I151,0)))</f>
        <v/>
      </c>
      <c r="Z151" s="62">
        <f>IF($V151="","",IF(AND(ISNUMBER($G151),$G151&lt;=IF($S151=MesCiclo,InicioCiclo,$S151+MOD(2-WEEKDAY($S151),7))+13),1,IF(ISNUMBER($J151),$J151,$Y151)))</f>
        <v/>
      </c>
      <c r="AA151" s="62">
        <f>IF($V151="","",IF(AND(ISNUMBER($G151),$G151&lt;=IF($S151=MesCiclo,InicioCiclo,$S151+MOD(2-WEEKDAY($S151),7))+20),1,IF(ISNUMBER($K151),$K151,$Z151)))</f>
        <v/>
      </c>
      <c r="AB151" s="62">
        <f>IF($V151="","",IF(AND(ISNUMBER($G151),$G151&lt;=IF($S151=MesCiclo,InicioCiclo,$S151+MOD(2-WEEKDAY($S151),7))+27),1,IF(ISNUMBER($L151),$L151,$AA151)))</f>
        <v/>
      </c>
      <c r="AC151" s="62">
        <f>IF($V151="","",IF(AND(ISNUMBER($G151),$G151&lt;=IF($S151=MesCiclo,InicioCiclo,$S151+MOD(2-WEEKDAY($S151),7))+6),1,IF(N($W151)&gt;0,AVERAGEIFS($Y$5:$Y$1000,$U$5:$U$1000,ROW(),$V$5:$V$1000,"Sub"),$Y151)))</f>
        <v/>
      </c>
      <c r="AD151" s="62">
        <f>IF($V151="","",IF(AND(ISNUMBER($G151),$G151&lt;=IF($S151=MesCiclo,InicioCiclo,$S151+MOD(2-WEEKDAY($S151),7))+13),1,IF(N($W151)&gt;0,AVERAGEIFS($Z$5:$Z$1000,$U$5:$U$1000,ROW(),$V$5:$V$1000,"Sub"),$Z151)))</f>
        <v/>
      </c>
      <c r="AE151" s="62">
        <f>IF($V151="","",IF(AND(ISNUMBER($G151),$G151&lt;=IF($S151=MesCiclo,InicioCiclo,$S151+MOD(2-WEEKDAY($S151),7))+20),1,IF(N($W151)&gt;0,AVERAGEIFS($AA$5:$AA$1000,$U$5:$U$1000,ROW(),$V$5:$V$1000,"Sub"),$AA151)))</f>
        <v/>
      </c>
      <c r="AF151" s="62">
        <f>IF($V151="","",IF(AND(ISNUMBER($G151),$G151&lt;=IF($S151=MesCiclo,InicioCiclo,$S151+MOD(2-WEEKDAY($S151),7))+27),1,IF(N($W151)&gt;0,AVERAGEIFS($AB$5:$AB$1000,$U$5:$U$1000,ROW(),$V$5:$V$1000,"Sub"),$AB151)))</f>
        <v/>
      </c>
      <c r="AG151" s="62">
        <f>IF($V151&lt;&gt;"Macro","",IF(COUNTIFS($S$5:$S$1000,$S151,$V$5:$V$1000,"Macro",$H$5:$H$1000,"&gt;0")=0,1/COUNTIFS($S$5:$S$1000,$S151,$V$5:$V$1000,"Macro"),IF(AND(ISNUMBER($H151),N($H151)&gt;0),$H151,SUMIFS($H$5:$H$1000,$S$5:$S$1000,$S151,$V$5:$V$1000,"Macro")/COUNTIFS($S$5:$S$1000,$S151,$V$5:$V$1000,"Macro",$H$5:$H$1000,"&gt;0"))/(COUNTIFS($S$5:$S$1000,$S151,$V$5:$V$1000,"Macro")*SUMIFS($H$5:$H$1000,$S$5:$S$1000,$S151,$V$5:$V$1000,"Macro")/COUNTIFS($S$5:$S$1000,$S151,$V$5:$V$1000,"Macro",$H$5:$H$1000,"&gt;0"))))</f>
        <v/>
      </c>
      <c r="AH151" s="62">
        <f>IF(NOT(AND($D151&lt;&gt;"",$V151="Macro")),"",IFERROR(CHOOSE(MATCH($D151,ListaPuestos,0),MATCH("[Jefatura] "&amp;$C151,'Cronograma R. Operacional'!$C$5:$C$1000,0),MATCH("[Jefatura] "&amp;$C151,'Cronograma R. Normativo'!$C$5:$C$1000,0),MATCH("[Jefatura] "&amp;$C151,'Cronograma R. Financiero'!$C$5:$C$1000,0),MATCH("[Jefatura] "&amp;$C151,'Cronograma Asistente Técnico'!$C$5:$C$1000,0)),0))</f>
        <v/>
      </c>
      <c r="AI151" s="62">
        <f>IF(AND(AND($D151&lt;&gt;"",$V151="Macro"),$S151=MesCiclo),COUNTIFS($D$5:$D151,$D151,$S$5:$S151,MesCiclo,$V$5:$V151,"Macro"),"")</f>
        <v/>
      </c>
      <c r="AJ151" s="62">
        <f>IF($AI151="","",$D151&amp;"|"&amp;$AI151)</f>
        <v/>
      </c>
      <c r="AK151" s="62">
        <f>IF(AND($D151&lt;&gt;"",$V151="Macro"),$D151&amp;"|"&amp;$C151,"")</f>
        <v/>
      </c>
      <c r="AL151" s="62">
        <f>""</f>
        <v/>
      </c>
      <c r="AM151" s="62">
        <f>IF(N($AL151)&gt;0,INDEX(rIni_ADM,$AL151),IF(ISNUMBER($E151),$E151,""))</f>
        <v/>
      </c>
      <c r="AN151" s="62">
        <f>IF(N($AL151)&gt;0,INDEX(rLim_ADM,$AL151),IF(ISNUMBER($F151),$F151,""))</f>
        <v/>
      </c>
    </row>
    <row r="152">
      <c r="A152" s="56">
        <f>IF(NOT((COUNTA($B152:$D152)+COUNTA($G152:$L152)+COUNTA($Q152))&gt;0),"",IF($V152="Macro",COUNTIFS($V$5:$V152,"Macro",$S$5:$S152,$S152),IF(N($U152)=0,"?",COUNTIFS(INDEX($V$5:$V$1000,1):INDEX($V$5:$V$1000,$U152-4),"Macro",INDEX($S$5:$S$1000,1):INDEX($S$5:$S$1000,$U152-4),INDEX($S$5:$S$1000,$U152-4))&amp;"."&amp;COUNTIFS($U$5:$U152,$U152,$V$5:$V152,"Sub"))))</f>
        <v/>
      </c>
      <c r="B152" s="57" t="n"/>
      <c r="C152" s="58" t="n"/>
      <c r="D152" s="58" t="n"/>
      <c r="E152" s="59" t="n"/>
      <c r="F152" s="59" t="n"/>
      <c r="G152" s="59" t="n"/>
      <c r="H152" s="60" t="n"/>
      <c r="I152" s="60" t="n"/>
      <c r="J152" s="60" t="n"/>
      <c r="K152" s="60" t="n"/>
      <c r="L152" s="60" t="n"/>
      <c r="M152" s="61">
        <f>IF(NOT((COUNTA($B152:$D152)+COUNTA($G152:$L152)+COUNTA($Q152))&gt;0),"",IF(AND($D152&lt;&gt;"",$V152="Macro"),IF(N($AH152)&gt;0,N(CHOOSE(MATCH($D152,ListaPuestos,0),INDEX('Cronograma R. Operacional'!$M$5:$M$1000,$AH152),INDEX('Cronograma R. Normativo'!$M$5:$M$1000,$AH152),INDEX('Cronograma R. Financiero'!$M$5:$M$1000,$AH152),INDEX('Cronograma Asistente Técnico'!$M$5:$M$1000,$AH152))),0),IF(ISNUMBER($G152),1,IF(N($W152)&gt;0,AVERAGEIFS($X$5:$X$1000,$U$5:$U$1000,ROW(),$V$5:$V$1000,"Sub"),$X152))))</f>
        <v/>
      </c>
      <c r="N152" s="56">
        <f>IF(OR($M152="",$V152="Sub"),"",IF($M152&gt;=1,"Completado",IF($M152&gt;0,"En curso","Pendiente")))</f>
        <v/>
      </c>
      <c r="O152" s="56">
        <f>IF(NOT((COUNTA($B152:$D152)+COUNTA($G152:$L152)+COUNTA($Q152))&gt;0),"",IF(AND(AND($D152&lt;&gt;"",$V152="Macro"),N($AH152)&gt;0),CHOOSE(MATCH($D152,ListaPuestos,0),INDEX('Cronograma R. Operacional'!$O$5:$O$1000,$AH152),INDEX('Cronograma R. Normativo'!$O$5:$O$1000,$AH152),INDEX('Cronograma R. Financiero'!$O$5:$O$1000,$AH152),INDEX('Cronograma Asistente Técnico'!$O$5:$O$1000,$AH152))&amp;"",IF(ISNUMBER($G152),IF(AND(ISNUMBER($AN152),$G152&gt;$AN152),"Cumplida con "&amp;($G152-$AN152)&amp;IF($G152-$AN152=1," día"," días")&amp;" de retraso","Cumplida"),IF(N($M152)&gt;=1,"Cumplida",IF(NOT(ISNUMBER($AN152)),"Sin fecha límite",IF($AN152&lt;FechaRef,"Vencida hace "&amp;(FechaRef-$AN152)&amp;IF(FechaRef-$AN152=1," día"," días"),IF($AN152=FechaRef,"Vence hoy",IF($AN152-FechaRef&lt;=DiasAlerta,"Vence en "&amp;($AN152-FechaRef)&amp;IF($AN152-FechaRef=1," día"," días"),"En plazo"))))))))</f>
        <v/>
      </c>
      <c r="P152" s="62">
        <f>IF(NOT((COUNTA($B152:$D152)+COUNTA($G152:$L152)+COUNTA($Q152))&gt;0),"",IF($D152="","Propia",IF($V152&lt;&gt;"Macro","Solo se delegan macroactividades",IF(N($AH152)&gt;0,"✔ Recibida por "&amp;$D152,"⚠ "&amp;$D152&amp;" aún no la agrega"))))</f>
        <v/>
      </c>
      <c r="Q152" s="58" t="n"/>
      <c r="R152" s="63">
        <f>IF(NOT((COUNTA($B152:$D152)+COUNTA($G152:$L152)+COUNTA($Q152))&gt;0),"",IF((IF($C152="","Falta el nombre de la actividad"&amp;" · ","")&amp;IF(AND($V152="Sub",N($U152)=0),"Subactividad sin macroactividad arriba"&amp;" · ","")&amp;IF($AM152="","Sin fecha de inicio"&amp;" · ","")&amp;IF($AN152="","Sin fecha límite"&amp;" · ","")&amp;IF(AND(LEFT($C152,11)="[Jefatura] ",N($AL152)=0),"No se encuentra en la hoja de la jefatura (elíjala de nuevo en la lista)"&amp;" · ","")&amp;IF(OR(AND($E152&lt;&gt;"",NOT(ISNUMBER($E152))),AND($F152&lt;&gt;"",NOT(ISNUMBER($F152))),AND($G152&lt;&gt;"",NOT(ISNUMBER($G152)))),"Fecha no válida"&amp;" · ","")&amp;IF(AND(ISNUMBER($AM152),ISNUMBER($AN152),$AM152&gt;$AN152),"Inicio posterior a fecha límite"&amp;" · ","")&amp;IF(AND($V152="Macro",$H152&lt;&gt;"",OR(NOT(ISNUMBER($H152)),$H152&lt;0,$H152&gt;1)),"Peso fuera de rango"&amp;" · ","")&amp;IF(AND($V152="Sub",$H152&lt;&gt;""),"Las subactividades no llevan peso (valen igual dentro de su macroactividad)"&amp;" · ","")&amp;IF(AND(N($W152)&gt;0,COUNT($I152:$L152)&gt;0),"Con subactividades: deje vacías las semanas (se calculan solas)"&amp;" · ","")&amp;IF((COUNTIF($I152:$L152,"&gt;1")+COUNTIF($I152:$L152,"&lt;0")+COUNTA($I152:$L152)-COUNT($I152:$L152))&gt;0,"Avance fuera de rango 0-100%"&amp;" · ","")&amp;IF(OR(AND($J152&lt;&gt;"",$J152&lt;$I152),AND($K152&lt;&gt;"",$K152&lt;MAX($I152:$J152)),AND($L152&lt;&gt;"",$L152&lt;MAX($I152:$K152))),"Avance semanal decreciente"&amp;" · ","")&amp;IF(AND(ISNUMBER($AN152),$AN152&lt;FechaRef,IF($V152="Sub",N($X152),N($M152))&lt;1),"Vencida"&amp;" · ","")&amp;IF(AND(ObsObligatoria="Sí",ISNUMBER($AN152),$AN152&lt;FechaRef,IF($V152="Sub",N($X152),N($M152))&lt;1,$Q152=""),"Vencida sin observación"&amp;" · ",""))="","✔ OK","⚠ "&amp;LEFT(IF($C152="","Falta el nombre de la actividad"&amp;" · ","")&amp;IF(AND($V152="Sub",N($U152)=0),"Subactividad sin macroactividad arriba"&amp;" · ","")&amp;IF($AM152="","Sin fecha de inicio"&amp;" · ","")&amp;IF($AN152="","Sin fecha límite"&amp;" · ","")&amp;IF(AND(LEFT($C152,11)="[Jefatura] ",N($AL152)=0),"No se encuentra en la hoja de la jefatura (elíjala de nuevo en la lista)"&amp;" · ","")&amp;IF(OR(AND($E152&lt;&gt;"",NOT(ISNUMBER($E152))),AND($F152&lt;&gt;"",NOT(ISNUMBER($F152))),AND($G152&lt;&gt;"",NOT(ISNUMBER($G152)))),"Fecha no válida"&amp;" · ","")&amp;IF(AND(ISNUMBER($AM152),ISNUMBER($AN152),$AM152&gt;$AN152),"Inicio posterior a fecha límite"&amp;" · ","")&amp;IF(AND($V152="Macro",$H152&lt;&gt;"",OR(NOT(ISNUMBER($H152)),$H152&lt;0,$H152&gt;1)),"Peso fuera de rango"&amp;" · ","")&amp;IF(AND($V152="Sub",$H152&lt;&gt;""),"Las subactividades no llevan peso (valen igual dentro de su macroactividad)"&amp;" · ","")&amp;IF(AND(N($W152)&gt;0,COUNT($I152:$L152)&gt;0),"Con subactividades: deje vacías las semanas (se calculan solas)"&amp;" · ","")&amp;IF((COUNTIF($I152:$L152,"&gt;1")+COUNTIF($I152:$L152,"&lt;0")+COUNTA($I152:$L152)-COUNT($I152:$L152))&gt;0,"Avance fuera de rango 0-100%"&amp;" · ","")&amp;IF(OR(AND($J152&lt;&gt;"",$J152&lt;$I152),AND($K152&lt;&gt;"",$K152&lt;MAX($I152:$J152)),AND($L152&lt;&gt;"",$L152&lt;MAX($I152:$K152))),"Avance semanal decreciente"&amp;" · ","")&amp;IF(AND(ISNUMBER($AN152),$AN152&lt;FechaRef,IF($V152="Sub",N($X152),N($M152))&lt;1),"Vencida"&amp;" · ","")&amp;IF(AND(ObsObligatoria="Sí",ISNUMBER($AN152),$AN152&lt;FechaRef,IF($V152="Sub",N($X152),N($M152))&lt;1,$Q152=""),"Vencida sin observación"&amp;" · ",""),LEN(IF($C152="","Falta el nombre de la actividad"&amp;" · ","")&amp;IF(AND($V152="Sub",N($U152)=0),"Subactividad sin macroactividad arriba"&amp;" · ","")&amp;IF($AM152="","Sin fecha de inicio"&amp;" · ","")&amp;IF($AN152="","Sin fecha límite"&amp;" · ","")&amp;IF(AND(LEFT($C152,11)="[Jefatura] ",N($AL152)=0),"No se encuentra en la hoja de la jefatura (elíjala de nuevo en la lista)"&amp;" · ","")&amp;IF(OR(AND($E152&lt;&gt;"",NOT(ISNUMBER($E152))),AND($F152&lt;&gt;"",NOT(ISNUMBER($F152))),AND($G152&lt;&gt;"",NOT(ISNUMBER($G152)))),"Fecha no válida"&amp;" · ","")&amp;IF(AND(ISNUMBER($AM152),ISNUMBER($AN152),$AM152&gt;$AN152),"Inicio posterior a fecha límite"&amp;" · ","")&amp;IF(AND($V152="Macro",$H152&lt;&gt;"",OR(NOT(ISNUMBER($H152)),$H152&lt;0,$H152&gt;1)),"Peso fuera de rango"&amp;" · ","")&amp;IF(AND($V152="Sub",$H152&lt;&gt;""),"Las subactividades no llevan peso (valen igual dentro de su macroactividad)"&amp;" · ","")&amp;IF(AND(N($W152)&gt;0,COUNT($I152:$L152)&gt;0),"Con subactividades: deje vacías las semanas (se calculan solas)"&amp;" · ","")&amp;IF((COUNTIF($I152:$L152,"&gt;1")+COUNTIF($I152:$L152,"&lt;0")+COUNTA($I152:$L152)-COUNT($I152:$L152))&gt;0,"Avance fuera de rango 0-100%"&amp;" · ","")&amp;IF(OR(AND($J152&lt;&gt;"",$J152&lt;$I152),AND($K152&lt;&gt;"",$K152&lt;MAX($I152:$J152)),AND($L152&lt;&gt;"",$L152&lt;MAX($I152:$K152))),"Avance semanal decreciente"&amp;" · ","")&amp;IF(AND(ISNUMBER($AN152),$AN152&lt;FechaRef,IF($V152="Sub",N($X152),N($M152))&lt;1),"Vencida"&amp;" · ","")&amp;IF(AND(ObsObligatoria="Sí",ISNUMBER($AN152),$AN152&lt;FechaRef,IF($V152="Sub",N($X152),N($M152))&lt;1,$Q152=""),"Vencida sin observación"&amp;" · ",""))-3)))</f>
        <v/>
      </c>
      <c r="S152" s="64">
        <f>IF(NOT((COUNTA($B152:$D152)+COUNTA($G152:$L152)+COUNTA($Q152))&gt;0),"",IF(AND($V152="Sub",N($U152)&gt;0),IF(ISNUMBER(INDEX($AM$5:$AM$1000,$U152-4)),DATE(YEAR(INDEX($AM$5:$AM$1000,$U152-4)),MONTH(INDEX($AM$5:$AM$1000,$U152-4)),1),IF(ISNUMBER(INDEX($AN$5:$AN$1000,$U152-4)),DATE(YEAR(INDEX($AN$5:$AN$1000,$U152-4)),MONTH(INDEX($AN$5:$AN$1000,$U152-4)),1),MesCiclo)),IF(ISNUMBER($AM152),DATE(YEAR($AM152),MONTH($AM152),1),IF(ISNUMBER($AN152),DATE(YEAR($AN152),MONTH($AN152),1),MesCiclo))))</f>
        <v/>
      </c>
      <c r="T152" s="62">
        <f>IF(OR($S152="",$S152&lt;&gt;MesCiclo,$V152&lt;&gt;"Macro"),"",COUNTIFS($S$5:$S152,MesCiclo,$V$5:$V152,"Macro"))</f>
        <v/>
      </c>
      <c r="U152" s="62">
        <f>IF($V152="","",IF($V152="Macro",ROW(),IFERROR(LOOKUP(2,1/($V$5:$V152="Macro"),ROW($V$5:$V152)),0)))</f>
        <v/>
      </c>
      <c r="V152" s="62">
        <f>IF(NOT((COUNTA($B152:$D152)+COUNTA($G152:$L152)+COUNTA($Q152))&gt;0),"",IF($B152="Subactividad","Sub","Macro"))</f>
        <v/>
      </c>
      <c r="W152" s="62">
        <f>IF($V152="Macro",COUNTIFS($U$5:$U$1000,ROW(),$V$5:$V$1000,"Sub"),"")</f>
        <v/>
      </c>
      <c r="X152" s="62">
        <f>IF($V152="","",IF(ISNUMBER($G152),1,IFERROR(LOOKUP(2,1/($I152:$L152&lt;&gt;""),$I152:$L152),0)))</f>
        <v/>
      </c>
      <c r="Y152" s="62">
        <f>IF($V152="","",IF(AND(ISNUMBER($G152),$G152&lt;=IF($S152=MesCiclo,InicioCiclo,$S152+MOD(2-WEEKDAY($S152),7))+6),1,IF(ISNUMBER($I152),$I152,0)))</f>
        <v/>
      </c>
      <c r="Z152" s="62">
        <f>IF($V152="","",IF(AND(ISNUMBER($G152),$G152&lt;=IF($S152=MesCiclo,InicioCiclo,$S152+MOD(2-WEEKDAY($S152),7))+13),1,IF(ISNUMBER($J152),$J152,$Y152)))</f>
        <v/>
      </c>
      <c r="AA152" s="62">
        <f>IF($V152="","",IF(AND(ISNUMBER($G152),$G152&lt;=IF($S152=MesCiclo,InicioCiclo,$S152+MOD(2-WEEKDAY($S152),7))+20),1,IF(ISNUMBER($K152),$K152,$Z152)))</f>
        <v/>
      </c>
      <c r="AB152" s="62">
        <f>IF($V152="","",IF(AND(ISNUMBER($G152),$G152&lt;=IF($S152=MesCiclo,InicioCiclo,$S152+MOD(2-WEEKDAY($S152),7))+27),1,IF(ISNUMBER($L152),$L152,$AA152)))</f>
        <v/>
      </c>
      <c r="AC152" s="62">
        <f>IF($V152="","",IF(AND(ISNUMBER($G152),$G152&lt;=IF($S152=MesCiclo,InicioCiclo,$S152+MOD(2-WEEKDAY($S152),7))+6),1,IF(N($W152)&gt;0,AVERAGEIFS($Y$5:$Y$1000,$U$5:$U$1000,ROW(),$V$5:$V$1000,"Sub"),$Y152)))</f>
        <v/>
      </c>
      <c r="AD152" s="62">
        <f>IF($V152="","",IF(AND(ISNUMBER($G152),$G152&lt;=IF($S152=MesCiclo,InicioCiclo,$S152+MOD(2-WEEKDAY($S152),7))+13),1,IF(N($W152)&gt;0,AVERAGEIFS($Z$5:$Z$1000,$U$5:$U$1000,ROW(),$V$5:$V$1000,"Sub"),$Z152)))</f>
        <v/>
      </c>
      <c r="AE152" s="62">
        <f>IF($V152="","",IF(AND(ISNUMBER($G152),$G152&lt;=IF($S152=MesCiclo,InicioCiclo,$S152+MOD(2-WEEKDAY($S152),7))+20),1,IF(N($W152)&gt;0,AVERAGEIFS($AA$5:$AA$1000,$U$5:$U$1000,ROW(),$V$5:$V$1000,"Sub"),$AA152)))</f>
        <v/>
      </c>
      <c r="AF152" s="62">
        <f>IF($V152="","",IF(AND(ISNUMBER($G152),$G152&lt;=IF($S152=MesCiclo,InicioCiclo,$S152+MOD(2-WEEKDAY($S152),7))+27),1,IF(N($W152)&gt;0,AVERAGEIFS($AB$5:$AB$1000,$U$5:$U$1000,ROW(),$V$5:$V$1000,"Sub"),$AB152)))</f>
        <v/>
      </c>
      <c r="AG152" s="62">
        <f>IF($V152&lt;&gt;"Macro","",IF(COUNTIFS($S$5:$S$1000,$S152,$V$5:$V$1000,"Macro",$H$5:$H$1000,"&gt;0")=0,1/COUNTIFS($S$5:$S$1000,$S152,$V$5:$V$1000,"Macro"),IF(AND(ISNUMBER($H152),N($H152)&gt;0),$H152,SUMIFS($H$5:$H$1000,$S$5:$S$1000,$S152,$V$5:$V$1000,"Macro")/COUNTIFS($S$5:$S$1000,$S152,$V$5:$V$1000,"Macro",$H$5:$H$1000,"&gt;0"))/(COUNTIFS($S$5:$S$1000,$S152,$V$5:$V$1000,"Macro")*SUMIFS($H$5:$H$1000,$S$5:$S$1000,$S152,$V$5:$V$1000,"Macro")/COUNTIFS($S$5:$S$1000,$S152,$V$5:$V$1000,"Macro",$H$5:$H$1000,"&gt;0"))))</f>
        <v/>
      </c>
      <c r="AH152" s="62">
        <f>IF(NOT(AND($D152&lt;&gt;"",$V152="Macro")),"",IFERROR(CHOOSE(MATCH($D152,ListaPuestos,0),MATCH("[Jefatura] "&amp;$C152,'Cronograma R. Operacional'!$C$5:$C$1000,0),MATCH("[Jefatura] "&amp;$C152,'Cronograma R. Normativo'!$C$5:$C$1000,0),MATCH("[Jefatura] "&amp;$C152,'Cronograma R. Financiero'!$C$5:$C$1000,0),MATCH("[Jefatura] "&amp;$C152,'Cronograma Asistente Técnico'!$C$5:$C$1000,0)),0))</f>
        <v/>
      </c>
      <c r="AI152" s="62">
        <f>IF(AND(AND($D152&lt;&gt;"",$V152="Macro"),$S152=MesCiclo),COUNTIFS($D$5:$D152,$D152,$S$5:$S152,MesCiclo,$V$5:$V152,"Macro"),"")</f>
        <v/>
      </c>
      <c r="AJ152" s="62">
        <f>IF($AI152="","",$D152&amp;"|"&amp;$AI152)</f>
        <v/>
      </c>
      <c r="AK152" s="62">
        <f>IF(AND($D152&lt;&gt;"",$V152="Macro"),$D152&amp;"|"&amp;$C152,"")</f>
        <v/>
      </c>
      <c r="AL152" s="62">
        <f>""</f>
        <v/>
      </c>
      <c r="AM152" s="62">
        <f>IF(N($AL152)&gt;0,INDEX(rIni_ADM,$AL152),IF(ISNUMBER($E152),$E152,""))</f>
        <v/>
      </c>
      <c r="AN152" s="62">
        <f>IF(N($AL152)&gt;0,INDEX(rLim_ADM,$AL152),IF(ISNUMBER($F152),$F152,""))</f>
        <v/>
      </c>
    </row>
    <row r="153">
      <c r="A153" s="56">
        <f>IF(NOT((COUNTA($B153:$D153)+COUNTA($G153:$L153)+COUNTA($Q153))&gt;0),"",IF($V153="Macro",COUNTIFS($V$5:$V153,"Macro",$S$5:$S153,$S153),IF(N($U153)=0,"?",COUNTIFS(INDEX($V$5:$V$1000,1):INDEX($V$5:$V$1000,$U153-4),"Macro",INDEX($S$5:$S$1000,1):INDEX($S$5:$S$1000,$U153-4),INDEX($S$5:$S$1000,$U153-4))&amp;"."&amp;COUNTIFS($U$5:$U153,$U153,$V$5:$V153,"Sub"))))</f>
        <v/>
      </c>
      <c r="B153" s="57" t="n"/>
      <c r="C153" s="58" t="n"/>
      <c r="D153" s="58" t="n"/>
      <c r="E153" s="59" t="n"/>
      <c r="F153" s="59" t="n"/>
      <c r="G153" s="59" t="n"/>
      <c r="H153" s="60" t="n"/>
      <c r="I153" s="60" t="n"/>
      <c r="J153" s="60" t="n"/>
      <c r="K153" s="60" t="n"/>
      <c r="L153" s="60" t="n"/>
      <c r="M153" s="61">
        <f>IF(NOT((COUNTA($B153:$D153)+COUNTA($G153:$L153)+COUNTA($Q153))&gt;0),"",IF(AND($D153&lt;&gt;"",$V153="Macro"),IF(N($AH153)&gt;0,N(CHOOSE(MATCH($D153,ListaPuestos,0),INDEX('Cronograma R. Operacional'!$M$5:$M$1000,$AH153),INDEX('Cronograma R. Normativo'!$M$5:$M$1000,$AH153),INDEX('Cronograma R. Financiero'!$M$5:$M$1000,$AH153),INDEX('Cronograma Asistente Técnico'!$M$5:$M$1000,$AH153))),0),IF(ISNUMBER($G153),1,IF(N($W153)&gt;0,AVERAGEIFS($X$5:$X$1000,$U$5:$U$1000,ROW(),$V$5:$V$1000,"Sub"),$X153))))</f>
        <v/>
      </c>
      <c r="N153" s="56">
        <f>IF(OR($M153="",$V153="Sub"),"",IF($M153&gt;=1,"Completado",IF($M153&gt;0,"En curso","Pendiente")))</f>
        <v/>
      </c>
      <c r="O153" s="56">
        <f>IF(NOT((COUNTA($B153:$D153)+COUNTA($G153:$L153)+COUNTA($Q153))&gt;0),"",IF(AND(AND($D153&lt;&gt;"",$V153="Macro"),N($AH153)&gt;0),CHOOSE(MATCH($D153,ListaPuestos,0),INDEX('Cronograma R. Operacional'!$O$5:$O$1000,$AH153),INDEX('Cronograma R. Normativo'!$O$5:$O$1000,$AH153),INDEX('Cronograma R. Financiero'!$O$5:$O$1000,$AH153),INDEX('Cronograma Asistente Técnico'!$O$5:$O$1000,$AH153))&amp;"",IF(ISNUMBER($G153),IF(AND(ISNUMBER($AN153),$G153&gt;$AN153),"Cumplida con "&amp;($G153-$AN153)&amp;IF($G153-$AN153=1," día"," días")&amp;" de retraso","Cumplida"),IF(N($M153)&gt;=1,"Cumplida",IF(NOT(ISNUMBER($AN153)),"Sin fecha límite",IF($AN153&lt;FechaRef,"Vencida hace "&amp;(FechaRef-$AN153)&amp;IF(FechaRef-$AN153=1," día"," días"),IF($AN153=FechaRef,"Vence hoy",IF($AN153-FechaRef&lt;=DiasAlerta,"Vence en "&amp;($AN153-FechaRef)&amp;IF($AN153-FechaRef=1," día"," días"),"En plazo"))))))))</f>
        <v/>
      </c>
      <c r="P153" s="62">
        <f>IF(NOT((COUNTA($B153:$D153)+COUNTA($G153:$L153)+COUNTA($Q153))&gt;0),"",IF($D153="","Propia",IF($V153&lt;&gt;"Macro","Solo se delegan macroactividades",IF(N($AH153)&gt;0,"✔ Recibida por "&amp;$D153,"⚠ "&amp;$D153&amp;" aún no la agrega"))))</f>
        <v/>
      </c>
      <c r="Q153" s="58" t="n"/>
      <c r="R153" s="63">
        <f>IF(NOT((COUNTA($B153:$D153)+COUNTA($G153:$L153)+COUNTA($Q153))&gt;0),"",IF((IF($C153="","Falta el nombre de la actividad"&amp;" · ","")&amp;IF(AND($V153="Sub",N($U153)=0),"Subactividad sin macroactividad arriba"&amp;" · ","")&amp;IF($AM153="","Sin fecha de inicio"&amp;" · ","")&amp;IF($AN153="","Sin fecha límite"&amp;" · ","")&amp;IF(AND(LEFT($C153,11)="[Jefatura] ",N($AL153)=0),"No se encuentra en la hoja de la jefatura (elíjala de nuevo en la lista)"&amp;" · ","")&amp;IF(OR(AND($E153&lt;&gt;"",NOT(ISNUMBER($E153))),AND($F153&lt;&gt;"",NOT(ISNUMBER($F153))),AND($G153&lt;&gt;"",NOT(ISNUMBER($G153)))),"Fecha no válida"&amp;" · ","")&amp;IF(AND(ISNUMBER($AM153),ISNUMBER($AN153),$AM153&gt;$AN153),"Inicio posterior a fecha límite"&amp;" · ","")&amp;IF(AND($V153="Macro",$H153&lt;&gt;"",OR(NOT(ISNUMBER($H153)),$H153&lt;0,$H153&gt;1)),"Peso fuera de rango"&amp;" · ","")&amp;IF(AND($V153="Sub",$H153&lt;&gt;""),"Las subactividades no llevan peso (valen igual dentro de su macroactividad)"&amp;" · ","")&amp;IF(AND(N($W153)&gt;0,COUNT($I153:$L153)&gt;0),"Con subactividades: deje vacías las semanas (se calculan solas)"&amp;" · ","")&amp;IF((COUNTIF($I153:$L153,"&gt;1")+COUNTIF($I153:$L153,"&lt;0")+COUNTA($I153:$L153)-COUNT($I153:$L153))&gt;0,"Avance fuera de rango 0-100%"&amp;" · ","")&amp;IF(OR(AND($J153&lt;&gt;"",$J153&lt;$I153),AND($K153&lt;&gt;"",$K153&lt;MAX($I153:$J153)),AND($L153&lt;&gt;"",$L153&lt;MAX($I153:$K153))),"Avance semanal decreciente"&amp;" · ","")&amp;IF(AND(ISNUMBER($AN153),$AN153&lt;FechaRef,IF($V153="Sub",N($X153),N($M153))&lt;1),"Vencida"&amp;" · ","")&amp;IF(AND(ObsObligatoria="Sí",ISNUMBER($AN153),$AN153&lt;FechaRef,IF($V153="Sub",N($X153),N($M153))&lt;1,$Q153=""),"Vencida sin observación"&amp;" · ",""))="","✔ OK","⚠ "&amp;LEFT(IF($C153="","Falta el nombre de la actividad"&amp;" · ","")&amp;IF(AND($V153="Sub",N($U153)=0),"Subactividad sin macroactividad arriba"&amp;" · ","")&amp;IF($AM153="","Sin fecha de inicio"&amp;" · ","")&amp;IF($AN153="","Sin fecha límite"&amp;" · ","")&amp;IF(AND(LEFT($C153,11)="[Jefatura] ",N($AL153)=0),"No se encuentra en la hoja de la jefatura (elíjala de nuevo en la lista)"&amp;" · ","")&amp;IF(OR(AND($E153&lt;&gt;"",NOT(ISNUMBER($E153))),AND($F153&lt;&gt;"",NOT(ISNUMBER($F153))),AND($G153&lt;&gt;"",NOT(ISNUMBER($G153)))),"Fecha no válida"&amp;" · ","")&amp;IF(AND(ISNUMBER($AM153),ISNUMBER($AN153),$AM153&gt;$AN153),"Inicio posterior a fecha límite"&amp;" · ","")&amp;IF(AND($V153="Macro",$H153&lt;&gt;"",OR(NOT(ISNUMBER($H153)),$H153&lt;0,$H153&gt;1)),"Peso fuera de rango"&amp;" · ","")&amp;IF(AND($V153="Sub",$H153&lt;&gt;""),"Las subactividades no llevan peso (valen igual dentro de su macroactividad)"&amp;" · ","")&amp;IF(AND(N($W153)&gt;0,COUNT($I153:$L153)&gt;0),"Con subactividades: deje vacías las semanas (se calculan solas)"&amp;" · ","")&amp;IF((COUNTIF($I153:$L153,"&gt;1")+COUNTIF($I153:$L153,"&lt;0")+COUNTA($I153:$L153)-COUNT($I153:$L153))&gt;0,"Avance fuera de rango 0-100%"&amp;" · ","")&amp;IF(OR(AND($J153&lt;&gt;"",$J153&lt;$I153),AND($K153&lt;&gt;"",$K153&lt;MAX($I153:$J153)),AND($L153&lt;&gt;"",$L153&lt;MAX($I153:$K153))),"Avance semanal decreciente"&amp;" · ","")&amp;IF(AND(ISNUMBER($AN153),$AN153&lt;FechaRef,IF($V153="Sub",N($X153),N($M153))&lt;1),"Vencida"&amp;" · ","")&amp;IF(AND(ObsObligatoria="Sí",ISNUMBER($AN153),$AN153&lt;FechaRef,IF($V153="Sub",N($X153),N($M153))&lt;1,$Q153=""),"Vencida sin observación"&amp;" · ",""),LEN(IF($C153="","Falta el nombre de la actividad"&amp;" · ","")&amp;IF(AND($V153="Sub",N($U153)=0),"Subactividad sin macroactividad arriba"&amp;" · ","")&amp;IF($AM153="","Sin fecha de inicio"&amp;" · ","")&amp;IF($AN153="","Sin fecha límite"&amp;" · ","")&amp;IF(AND(LEFT($C153,11)="[Jefatura] ",N($AL153)=0),"No se encuentra en la hoja de la jefatura (elíjala de nuevo en la lista)"&amp;" · ","")&amp;IF(OR(AND($E153&lt;&gt;"",NOT(ISNUMBER($E153))),AND($F153&lt;&gt;"",NOT(ISNUMBER($F153))),AND($G153&lt;&gt;"",NOT(ISNUMBER($G153)))),"Fecha no válida"&amp;" · ","")&amp;IF(AND(ISNUMBER($AM153),ISNUMBER($AN153),$AM153&gt;$AN153),"Inicio posterior a fecha límite"&amp;" · ","")&amp;IF(AND($V153="Macro",$H153&lt;&gt;"",OR(NOT(ISNUMBER($H153)),$H153&lt;0,$H153&gt;1)),"Peso fuera de rango"&amp;" · ","")&amp;IF(AND($V153="Sub",$H153&lt;&gt;""),"Las subactividades no llevan peso (valen igual dentro de su macroactividad)"&amp;" · ","")&amp;IF(AND(N($W153)&gt;0,COUNT($I153:$L153)&gt;0),"Con subactividades: deje vacías las semanas (se calculan solas)"&amp;" · ","")&amp;IF((COUNTIF($I153:$L153,"&gt;1")+COUNTIF($I153:$L153,"&lt;0")+COUNTA($I153:$L153)-COUNT($I153:$L153))&gt;0,"Avance fuera de rango 0-100%"&amp;" · ","")&amp;IF(OR(AND($J153&lt;&gt;"",$J153&lt;$I153),AND($K153&lt;&gt;"",$K153&lt;MAX($I153:$J153)),AND($L153&lt;&gt;"",$L153&lt;MAX($I153:$K153))),"Avance semanal decreciente"&amp;" · ","")&amp;IF(AND(ISNUMBER($AN153),$AN153&lt;FechaRef,IF($V153="Sub",N($X153),N($M153))&lt;1),"Vencida"&amp;" · ","")&amp;IF(AND(ObsObligatoria="Sí",ISNUMBER($AN153),$AN153&lt;FechaRef,IF($V153="Sub",N($X153),N($M153))&lt;1,$Q153=""),"Vencida sin observación"&amp;" · ",""))-3)))</f>
        <v/>
      </c>
      <c r="S153" s="64">
        <f>IF(NOT((COUNTA($B153:$D153)+COUNTA($G153:$L153)+COUNTA($Q153))&gt;0),"",IF(AND($V153="Sub",N($U153)&gt;0),IF(ISNUMBER(INDEX($AM$5:$AM$1000,$U153-4)),DATE(YEAR(INDEX($AM$5:$AM$1000,$U153-4)),MONTH(INDEX($AM$5:$AM$1000,$U153-4)),1),IF(ISNUMBER(INDEX($AN$5:$AN$1000,$U153-4)),DATE(YEAR(INDEX($AN$5:$AN$1000,$U153-4)),MONTH(INDEX($AN$5:$AN$1000,$U153-4)),1),MesCiclo)),IF(ISNUMBER($AM153),DATE(YEAR($AM153),MONTH($AM153),1),IF(ISNUMBER($AN153),DATE(YEAR($AN153),MONTH($AN153),1),MesCiclo))))</f>
        <v/>
      </c>
      <c r="T153" s="62">
        <f>IF(OR($S153="",$S153&lt;&gt;MesCiclo,$V153&lt;&gt;"Macro"),"",COUNTIFS($S$5:$S153,MesCiclo,$V$5:$V153,"Macro"))</f>
        <v/>
      </c>
      <c r="U153" s="62">
        <f>IF($V153="","",IF($V153="Macro",ROW(),IFERROR(LOOKUP(2,1/($V$5:$V153="Macro"),ROW($V$5:$V153)),0)))</f>
        <v/>
      </c>
      <c r="V153" s="62">
        <f>IF(NOT((COUNTA($B153:$D153)+COUNTA($G153:$L153)+COUNTA($Q153))&gt;0),"",IF($B153="Subactividad","Sub","Macro"))</f>
        <v/>
      </c>
      <c r="W153" s="62">
        <f>IF($V153="Macro",COUNTIFS($U$5:$U$1000,ROW(),$V$5:$V$1000,"Sub"),"")</f>
        <v/>
      </c>
      <c r="X153" s="62">
        <f>IF($V153="","",IF(ISNUMBER($G153),1,IFERROR(LOOKUP(2,1/($I153:$L153&lt;&gt;""),$I153:$L153),0)))</f>
        <v/>
      </c>
      <c r="Y153" s="62">
        <f>IF($V153="","",IF(AND(ISNUMBER($G153),$G153&lt;=IF($S153=MesCiclo,InicioCiclo,$S153+MOD(2-WEEKDAY($S153),7))+6),1,IF(ISNUMBER($I153),$I153,0)))</f>
        <v/>
      </c>
      <c r="Z153" s="62">
        <f>IF($V153="","",IF(AND(ISNUMBER($G153),$G153&lt;=IF($S153=MesCiclo,InicioCiclo,$S153+MOD(2-WEEKDAY($S153),7))+13),1,IF(ISNUMBER($J153),$J153,$Y153)))</f>
        <v/>
      </c>
      <c r="AA153" s="62">
        <f>IF($V153="","",IF(AND(ISNUMBER($G153),$G153&lt;=IF($S153=MesCiclo,InicioCiclo,$S153+MOD(2-WEEKDAY($S153),7))+20),1,IF(ISNUMBER($K153),$K153,$Z153)))</f>
        <v/>
      </c>
      <c r="AB153" s="62">
        <f>IF($V153="","",IF(AND(ISNUMBER($G153),$G153&lt;=IF($S153=MesCiclo,InicioCiclo,$S153+MOD(2-WEEKDAY($S153),7))+27),1,IF(ISNUMBER($L153),$L153,$AA153)))</f>
        <v/>
      </c>
      <c r="AC153" s="62">
        <f>IF($V153="","",IF(AND(ISNUMBER($G153),$G153&lt;=IF($S153=MesCiclo,InicioCiclo,$S153+MOD(2-WEEKDAY($S153),7))+6),1,IF(N($W153)&gt;0,AVERAGEIFS($Y$5:$Y$1000,$U$5:$U$1000,ROW(),$V$5:$V$1000,"Sub"),$Y153)))</f>
        <v/>
      </c>
      <c r="AD153" s="62">
        <f>IF($V153="","",IF(AND(ISNUMBER($G153),$G153&lt;=IF($S153=MesCiclo,InicioCiclo,$S153+MOD(2-WEEKDAY($S153),7))+13),1,IF(N($W153)&gt;0,AVERAGEIFS($Z$5:$Z$1000,$U$5:$U$1000,ROW(),$V$5:$V$1000,"Sub"),$Z153)))</f>
        <v/>
      </c>
      <c r="AE153" s="62">
        <f>IF($V153="","",IF(AND(ISNUMBER($G153),$G153&lt;=IF($S153=MesCiclo,InicioCiclo,$S153+MOD(2-WEEKDAY($S153),7))+20),1,IF(N($W153)&gt;0,AVERAGEIFS($AA$5:$AA$1000,$U$5:$U$1000,ROW(),$V$5:$V$1000,"Sub"),$AA153)))</f>
        <v/>
      </c>
      <c r="AF153" s="62">
        <f>IF($V153="","",IF(AND(ISNUMBER($G153),$G153&lt;=IF($S153=MesCiclo,InicioCiclo,$S153+MOD(2-WEEKDAY($S153),7))+27),1,IF(N($W153)&gt;0,AVERAGEIFS($AB$5:$AB$1000,$U$5:$U$1000,ROW(),$V$5:$V$1000,"Sub"),$AB153)))</f>
        <v/>
      </c>
      <c r="AG153" s="62">
        <f>IF($V153&lt;&gt;"Macro","",IF(COUNTIFS($S$5:$S$1000,$S153,$V$5:$V$1000,"Macro",$H$5:$H$1000,"&gt;0")=0,1/COUNTIFS($S$5:$S$1000,$S153,$V$5:$V$1000,"Macro"),IF(AND(ISNUMBER($H153),N($H153)&gt;0),$H153,SUMIFS($H$5:$H$1000,$S$5:$S$1000,$S153,$V$5:$V$1000,"Macro")/COUNTIFS($S$5:$S$1000,$S153,$V$5:$V$1000,"Macro",$H$5:$H$1000,"&gt;0"))/(COUNTIFS($S$5:$S$1000,$S153,$V$5:$V$1000,"Macro")*SUMIFS($H$5:$H$1000,$S$5:$S$1000,$S153,$V$5:$V$1000,"Macro")/COUNTIFS($S$5:$S$1000,$S153,$V$5:$V$1000,"Macro",$H$5:$H$1000,"&gt;0"))))</f>
        <v/>
      </c>
      <c r="AH153" s="62">
        <f>IF(NOT(AND($D153&lt;&gt;"",$V153="Macro")),"",IFERROR(CHOOSE(MATCH($D153,ListaPuestos,0),MATCH("[Jefatura] "&amp;$C153,'Cronograma R. Operacional'!$C$5:$C$1000,0),MATCH("[Jefatura] "&amp;$C153,'Cronograma R. Normativo'!$C$5:$C$1000,0),MATCH("[Jefatura] "&amp;$C153,'Cronograma R. Financiero'!$C$5:$C$1000,0),MATCH("[Jefatura] "&amp;$C153,'Cronograma Asistente Técnico'!$C$5:$C$1000,0)),0))</f>
        <v/>
      </c>
      <c r="AI153" s="62">
        <f>IF(AND(AND($D153&lt;&gt;"",$V153="Macro"),$S153=MesCiclo),COUNTIFS($D$5:$D153,$D153,$S$5:$S153,MesCiclo,$V$5:$V153,"Macro"),"")</f>
        <v/>
      </c>
      <c r="AJ153" s="62">
        <f>IF($AI153="","",$D153&amp;"|"&amp;$AI153)</f>
        <v/>
      </c>
      <c r="AK153" s="62">
        <f>IF(AND($D153&lt;&gt;"",$V153="Macro"),$D153&amp;"|"&amp;$C153,"")</f>
        <v/>
      </c>
      <c r="AL153" s="62">
        <f>""</f>
        <v/>
      </c>
      <c r="AM153" s="62">
        <f>IF(N($AL153)&gt;0,INDEX(rIni_ADM,$AL153),IF(ISNUMBER($E153),$E153,""))</f>
        <v/>
      </c>
      <c r="AN153" s="62">
        <f>IF(N($AL153)&gt;0,INDEX(rLim_ADM,$AL153),IF(ISNUMBER($F153),$F153,""))</f>
        <v/>
      </c>
    </row>
    <row r="154">
      <c r="A154" s="56">
        <f>IF(NOT((COUNTA($B154:$D154)+COUNTA($G154:$L154)+COUNTA($Q154))&gt;0),"",IF($V154="Macro",COUNTIFS($V$5:$V154,"Macro",$S$5:$S154,$S154),IF(N($U154)=0,"?",COUNTIFS(INDEX($V$5:$V$1000,1):INDEX($V$5:$V$1000,$U154-4),"Macro",INDEX($S$5:$S$1000,1):INDEX($S$5:$S$1000,$U154-4),INDEX($S$5:$S$1000,$U154-4))&amp;"."&amp;COUNTIFS($U$5:$U154,$U154,$V$5:$V154,"Sub"))))</f>
        <v/>
      </c>
      <c r="B154" s="57" t="n"/>
      <c r="C154" s="58" t="n"/>
      <c r="D154" s="58" t="n"/>
      <c r="E154" s="59" t="n"/>
      <c r="F154" s="59" t="n"/>
      <c r="G154" s="59" t="n"/>
      <c r="H154" s="60" t="n"/>
      <c r="I154" s="60" t="n"/>
      <c r="J154" s="60" t="n"/>
      <c r="K154" s="60" t="n"/>
      <c r="L154" s="60" t="n"/>
      <c r="M154" s="61">
        <f>IF(NOT((COUNTA($B154:$D154)+COUNTA($G154:$L154)+COUNTA($Q154))&gt;0),"",IF(AND($D154&lt;&gt;"",$V154="Macro"),IF(N($AH154)&gt;0,N(CHOOSE(MATCH($D154,ListaPuestos,0),INDEX('Cronograma R. Operacional'!$M$5:$M$1000,$AH154),INDEX('Cronograma R. Normativo'!$M$5:$M$1000,$AH154),INDEX('Cronograma R. Financiero'!$M$5:$M$1000,$AH154),INDEX('Cronograma Asistente Técnico'!$M$5:$M$1000,$AH154))),0),IF(ISNUMBER($G154),1,IF(N($W154)&gt;0,AVERAGEIFS($X$5:$X$1000,$U$5:$U$1000,ROW(),$V$5:$V$1000,"Sub"),$X154))))</f>
        <v/>
      </c>
      <c r="N154" s="56">
        <f>IF(OR($M154="",$V154="Sub"),"",IF($M154&gt;=1,"Completado",IF($M154&gt;0,"En curso","Pendiente")))</f>
        <v/>
      </c>
      <c r="O154" s="56">
        <f>IF(NOT((COUNTA($B154:$D154)+COUNTA($G154:$L154)+COUNTA($Q154))&gt;0),"",IF(AND(AND($D154&lt;&gt;"",$V154="Macro"),N($AH154)&gt;0),CHOOSE(MATCH($D154,ListaPuestos,0),INDEX('Cronograma R. Operacional'!$O$5:$O$1000,$AH154),INDEX('Cronograma R. Normativo'!$O$5:$O$1000,$AH154),INDEX('Cronograma R. Financiero'!$O$5:$O$1000,$AH154),INDEX('Cronograma Asistente Técnico'!$O$5:$O$1000,$AH154))&amp;"",IF(ISNUMBER($G154),IF(AND(ISNUMBER($AN154),$G154&gt;$AN154),"Cumplida con "&amp;($G154-$AN154)&amp;IF($G154-$AN154=1," día"," días")&amp;" de retraso","Cumplida"),IF(N($M154)&gt;=1,"Cumplida",IF(NOT(ISNUMBER($AN154)),"Sin fecha límite",IF($AN154&lt;FechaRef,"Vencida hace "&amp;(FechaRef-$AN154)&amp;IF(FechaRef-$AN154=1," día"," días"),IF($AN154=FechaRef,"Vence hoy",IF($AN154-FechaRef&lt;=DiasAlerta,"Vence en "&amp;($AN154-FechaRef)&amp;IF($AN154-FechaRef=1," día"," días"),"En plazo"))))))))</f>
        <v/>
      </c>
      <c r="P154" s="62">
        <f>IF(NOT((COUNTA($B154:$D154)+COUNTA($G154:$L154)+COUNTA($Q154))&gt;0),"",IF($D154="","Propia",IF($V154&lt;&gt;"Macro","Solo se delegan macroactividades",IF(N($AH154)&gt;0,"✔ Recibida por "&amp;$D154,"⚠ "&amp;$D154&amp;" aún no la agrega"))))</f>
        <v/>
      </c>
      <c r="Q154" s="58" t="n"/>
      <c r="R154" s="63">
        <f>IF(NOT((COUNTA($B154:$D154)+COUNTA($G154:$L154)+COUNTA($Q154))&gt;0),"",IF((IF($C154="","Falta el nombre de la actividad"&amp;" · ","")&amp;IF(AND($V154="Sub",N($U154)=0),"Subactividad sin macroactividad arriba"&amp;" · ","")&amp;IF($AM154="","Sin fecha de inicio"&amp;" · ","")&amp;IF($AN154="","Sin fecha límite"&amp;" · ","")&amp;IF(AND(LEFT($C154,11)="[Jefatura] ",N($AL154)=0),"No se encuentra en la hoja de la jefatura (elíjala de nuevo en la lista)"&amp;" · ","")&amp;IF(OR(AND($E154&lt;&gt;"",NOT(ISNUMBER($E154))),AND($F154&lt;&gt;"",NOT(ISNUMBER($F154))),AND($G154&lt;&gt;"",NOT(ISNUMBER($G154)))),"Fecha no válida"&amp;" · ","")&amp;IF(AND(ISNUMBER($AM154),ISNUMBER($AN154),$AM154&gt;$AN154),"Inicio posterior a fecha límite"&amp;" · ","")&amp;IF(AND($V154="Macro",$H154&lt;&gt;"",OR(NOT(ISNUMBER($H154)),$H154&lt;0,$H154&gt;1)),"Peso fuera de rango"&amp;" · ","")&amp;IF(AND($V154="Sub",$H154&lt;&gt;""),"Las subactividades no llevan peso (valen igual dentro de su macroactividad)"&amp;" · ","")&amp;IF(AND(N($W154)&gt;0,COUNT($I154:$L154)&gt;0),"Con subactividades: deje vacías las semanas (se calculan solas)"&amp;" · ","")&amp;IF((COUNTIF($I154:$L154,"&gt;1")+COUNTIF($I154:$L154,"&lt;0")+COUNTA($I154:$L154)-COUNT($I154:$L154))&gt;0,"Avance fuera de rango 0-100%"&amp;" · ","")&amp;IF(OR(AND($J154&lt;&gt;"",$J154&lt;$I154),AND($K154&lt;&gt;"",$K154&lt;MAX($I154:$J154)),AND($L154&lt;&gt;"",$L154&lt;MAX($I154:$K154))),"Avance semanal decreciente"&amp;" · ","")&amp;IF(AND(ISNUMBER($AN154),$AN154&lt;FechaRef,IF($V154="Sub",N($X154),N($M154))&lt;1),"Vencida"&amp;" · ","")&amp;IF(AND(ObsObligatoria="Sí",ISNUMBER($AN154),$AN154&lt;FechaRef,IF($V154="Sub",N($X154),N($M154))&lt;1,$Q154=""),"Vencida sin observación"&amp;" · ",""))="","✔ OK","⚠ "&amp;LEFT(IF($C154="","Falta el nombre de la actividad"&amp;" · ","")&amp;IF(AND($V154="Sub",N($U154)=0),"Subactividad sin macroactividad arriba"&amp;" · ","")&amp;IF($AM154="","Sin fecha de inicio"&amp;" · ","")&amp;IF($AN154="","Sin fecha límite"&amp;" · ","")&amp;IF(AND(LEFT($C154,11)="[Jefatura] ",N($AL154)=0),"No se encuentra en la hoja de la jefatura (elíjala de nuevo en la lista)"&amp;" · ","")&amp;IF(OR(AND($E154&lt;&gt;"",NOT(ISNUMBER($E154))),AND($F154&lt;&gt;"",NOT(ISNUMBER($F154))),AND($G154&lt;&gt;"",NOT(ISNUMBER($G154)))),"Fecha no válida"&amp;" · ","")&amp;IF(AND(ISNUMBER($AM154),ISNUMBER($AN154),$AM154&gt;$AN154),"Inicio posterior a fecha límite"&amp;" · ","")&amp;IF(AND($V154="Macro",$H154&lt;&gt;"",OR(NOT(ISNUMBER($H154)),$H154&lt;0,$H154&gt;1)),"Peso fuera de rango"&amp;" · ","")&amp;IF(AND($V154="Sub",$H154&lt;&gt;""),"Las subactividades no llevan peso (valen igual dentro de su macroactividad)"&amp;" · ","")&amp;IF(AND(N($W154)&gt;0,COUNT($I154:$L154)&gt;0),"Con subactividades: deje vacías las semanas (se calculan solas)"&amp;" · ","")&amp;IF((COUNTIF($I154:$L154,"&gt;1")+COUNTIF($I154:$L154,"&lt;0")+COUNTA($I154:$L154)-COUNT($I154:$L154))&gt;0,"Avance fuera de rango 0-100%"&amp;" · ","")&amp;IF(OR(AND($J154&lt;&gt;"",$J154&lt;$I154),AND($K154&lt;&gt;"",$K154&lt;MAX($I154:$J154)),AND($L154&lt;&gt;"",$L154&lt;MAX($I154:$K154))),"Avance semanal decreciente"&amp;" · ","")&amp;IF(AND(ISNUMBER($AN154),$AN154&lt;FechaRef,IF($V154="Sub",N($X154),N($M154))&lt;1),"Vencida"&amp;" · ","")&amp;IF(AND(ObsObligatoria="Sí",ISNUMBER($AN154),$AN154&lt;FechaRef,IF($V154="Sub",N($X154),N($M154))&lt;1,$Q154=""),"Vencida sin observación"&amp;" · ",""),LEN(IF($C154="","Falta el nombre de la actividad"&amp;" · ","")&amp;IF(AND($V154="Sub",N($U154)=0),"Subactividad sin macroactividad arriba"&amp;" · ","")&amp;IF($AM154="","Sin fecha de inicio"&amp;" · ","")&amp;IF($AN154="","Sin fecha límite"&amp;" · ","")&amp;IF(AND(LEFT($C154,11)="[Jefatura] ",N($AL154)=0),"No se encuentra en la hoja de la jefatura (elíjala de nuevo en la lista)"&amp;" · ","")&amp;IF(OR(AND($E154&lt;&gt;"",NOT(ISNUMBER($E154))),AND($F154&lt;&gt;"",NOT(ISNUMBER($F154))),AND($G154&lt;&gt;"",NOT(ISNUMBER($G154)))),"Fecha no válida"&amp;" · ","")&amp;IF(AND(ISNUMBER($AM154),ISNUMBER($AN154),$AM154&gt;$AN154),"Inicio posterior a fecha límite"&amp;" · ","")&amp;IF(AND($V154="Macro",$H154&lt;&gt;"",OR(NOT(ISNUMBER($H154)),$H154&lt;0,$H154&gt;1)),"Peso fuera de rango"&amp;" · ","")&amp;IF(AND($V154="Sub",$H154&lt;&gt;""),"Las subactividades no llevan peso (valen igual dentro de su macroactividad)"&amp;" · ","")&amp;IF(AND(N($W154)&gt;0,COUNT($I154:$L154)&gt;0),"Con subactividades: deje vacías las semanas (se calculan solas)"&amp;" · ","")&amp;IF((COUNTIF($I154:$L154,"&gt;1")+COUNTIF($I154:$L154,"&lt;0")+COUNTA($I154:$L154)-COUNT($I154:$L154))&gt;0,"Avance fuera de rango 0-100%"&amp;" · ","")&amp;IF(OR(AND($J154&lt;&gt;"",$J154&lt;$I154),AND($K154&lt;&gt;"",$K154&lt;MAX($I154:$J154)),AND($L154&lt;&gt;"",$L154&lt;MAX($I154:$K154))),"Avance semanal decreciente"&amp;" · ","")&amp;IF(AND(ISNUMBER($AN154),$AN154&lt;FechaRef,IF($V154="Sub",N($X154),N($M154))&lt;1),"Vencida"&amp;" · ","")&amp;IF(AND(ObsObligatoria="Sí",ISNUMBER($AN154),$AN154&lt;FechaRef,IF($V154="Sub",N($X154),N($M154))&lt;1,$Q154=""),"Vencida sin observación"&amp;" · ",""))-3)))</f>
        <v/>
      </c>
      <c r="S154" s="64">
        <f>IF(NOT((COUNTA($B154:$D154)+COUNTA($G154:$L154)+COUNTA($Q154))&gt;0),"",IF(AND($V154="Sub",N($U154)&gt;0),IF(ISNUMBER(INDEX($AM$5:$AM$1000,$U154-4)),DATE(YEAR(INDEX($AM$5:$AM$1000,$U154-4)),MONTH(INDEX($AM$5:$AM$1000,$U154-4)),1),IF(ISNUMBER(INDEX($AN$5:$AN$1000,$U154-4)),DATE(YEAR(INDEX($AN$5:$AN$1000,$U154-4)),MONTH(INDEX($AN$5:$AN$1000,$U154-4)),1),MesCiclo)),IF(ISNUMBER($AM154),DATE(YEAR($AM154),MONTH($AM154),1),IF(ISNUMBER($AN154),DATE(YEAR($AN154),MONTH($AN154),1),MesCiclo))))</f>
        <v/>
      </c>
      <c r="T154" s="62">
        <f>IF(OR($S154="",$S154&lt;&gt;MesCiclo,$V154&lt;&gt;"Macro"),"",COUNTIFS($S$5:$S154,MesCiclo,$V$5:$V154,"Macro"))</f>
        <v/>
      </c>
      <c r="U154" s="62">
        <f>IF($V154="","",IF($V154="Macro",ROW(),IFERROR(LOOKUP(2,1/($V$5:$V154="Macro"),ROW($V$5:$V154)),0)))</f>
        <v/>
      </c>
      <c r="V154" s="62">
        <f>IF(NOT((COUNTA($B154:$D154)+COUNTA($G154:$L154)+COUNTA($Q154))&gt;0),"",IF($B154="Subactividad","Sub","Macro"))</f>
        <v/>
      </c>
      <c r="W154" s="62">
        <f>IF($V154="Macro",COUNTIFS($U$5:$U$1000,ROW(),$V$5:$V$1000,"Sub"),"")</f>
        <v/>
      </c>
      <c r="X154" s="62">
        <f>IF($V154="","",IF(ISNUMBER($G154),1,IFERROR(LOOKUP(2,1/($I154:$L154&lt;&gt;""),$I154:$L154),0)))</f>
        <v/>
      </c>
      <c r="Y154" s="62">
        <f>IF($V154="","",IF(AND(ISNUMBER($G154),$G154&lt;=IF($S154=MesCiclo,InicioCiclo,$S154+MOD(2-WEEKDAY($S154),7))+6),1,IF(ISNUMBER($I154),$I154,0)))</f>
        <v/>
      </c>
      <c r="Z154" s="62">
        <f>IF($V154="","",IF(AND(ISNUMBER($G154),$G154&lt;=IF($S154=MesCiclo,InicioCiclo,$S154+MOD(2-WEEKDAY($S154),7))+13),1,IF(ISNUMBER($J154),$J154,$Y154)))</f>
        <v/>
      </c>
      <c r="AA154" s="62">
        <f>IF($V154="","",IF(AND(ISNUMBER($G154),$G154&lt;=IF($S154=MesCiclo,InicioCiclo,$S154+MOD(2-WEEKDAY($S154),7))+20),1,IF(ISNUMBER($K154),$K154,$Z154)))</f>
        <v/>
      </c>
      <c r="AB154" s="62">
        <f>IF($V154="","",IF(AND(ISNUMBER($G154),$G154&lt;=IF($S154=MesCiclo,InicioCiclo,$S154+MOD(2-WEEKDAY($S154),7))+27),1,IF(ISNUMBER($L154),$L154,$AA154)))</f>
        <v/>
      </c>
      <c r="AC154" s="62">
        <f>IF($V154="","",IF(AND(ISNUMBER($G154),$G154&lt;=IF($S154=MesCiclo,InicioCiclo,$S154+MOD(2-WEEKDAY($S154),7))+6),1,IF(N($W154)&gt;0,AVERAGEIFS($Y$5:$Y$1000,$U$5:$U$1000,ROW(),$V$5:$V$1000,"Sub"),$Y154)))</f>
        <v/>
      </c>
      <c r="AD154" s="62">
        <f>IF($V154="","",IF(AND(ISNUMBER($G154),$G154&lt;=IF($S154=MesCiclo,InicioCiclo,$S154+MOD(2-WEEKDAY($S154),7))+13),1,IF(N($W154)&gt;0,AVERAGEIFS($Z$5:$Z$1000,$U$5:$U$1000,ROW(),$V$5:$V$1000,"Sub"),$Z154)))</f>
        <v/>
      </c>
      <c r="AE154" s="62">
        <f>IF($V154="","",IF(AND(ISNUMBER($G154),$G154&lt;=IF($S154=MesCiclo,InicioCiclo,$S154+MOD(2-WEEKDAY($S154),7))+20),1,IF(N($W154)&gt;0,AVERAGEIFS($AA$5:$AA$1000,$U$5:$U$1000,ROW(),$V$5:$V$1000,"Sub"),$AA154)))</f>
        <v/>
      </c>
      <c r="AF154" s="62">
        <f>IF($V154="","",IF(AND(ISNUMBER($G154),$G154&lt;=IF($S154=MesCiclo,InicioCiclo,$S154+MOD(2-WEEKDAY($S154),7))+27),1,IF(N($W154)&gt;0,AVERAGEIFS($AB$5:$AB$1000,$U$5:$U$1000,ROW(),$V$5:$V$1000,"Sub"),$AB154)))</f>
        <v/>
      </c>
      <c r="AG154" s="62">
        <f>IF($V154&lt;&gt;"Macro","",IF(COUNTIFS($S$5:$S$1000,$S154,$V$5:$V$1000,"Macro",$H$5:$H$1000,"&gt;0")=0,1/COUNTIFS($S$5:$S$1000,$S154,$V$5:$V$1000,"Macro"),IF(AND(ISNUMBER($H154),N($H154)&gt;0),$H154,SUMIFS($H$5:$H$1000,$S$5:$S$1000,$S154,$V$5:$V$1000,"Macro")/COUNTIFS($S$5:$S$1000,$S154,$V$5:$V$1000,"Macro",$H$5:$H$1000,"&gt;0"))/(COUNTIFS($S$5:$S$1000,$S154,$V$5:$V$1000,"Macro")*SUMIFS($H$5:$H$1000,$S$5:$S$1000,$S154,$V$5:$V$1000,"Macro")/COUNTIFS($S$5:$S$1000,$S154,$V$5:$V$1000,"Macro",$H$5:$H$1000,"&gt;0"))))</f>
        <v/>
      </c>
      <c r="AH154" s="62">
        <f>IF(NOT(AND($D154&lt;&gt;"",$V154="Macro")),"",IFERROR(CHOOSE(MATCH($D154,ListaPuestos,0),MATCH("[Jefatura] "&amp;$C154,'Cronograma R. Operacional'!$C$5:$C$1000,0),MATCH("[Jefatura] "&amp;$C154,'Cronograma R. Normativo'!$C$5:$C$1000,0),MATCH("[Jefatura] "&amp;$C154,'Cronograma R. Financiero'!$C$5:$C$1000,0),MATCH("[Jefatura] "&amp;$C154,'Cronograma Asistente Técnico'!$C$5:$C$1000,0)),0))</f>
        <v/>
      </c>
      <c r="AI154" s="62">
        <f>IF(AND(AND($D154&lt;&gt;"",$V154="Macro"),$S154=MesCiclo),COUNTIFS($D$5:$D154,$D154,$S$5:$S154,MesCiclo,$V$5:$V154,"Macro"),"")</f>
        <v/>
      </c>
      <c r="AJ154" s="62">
        <f>IF($AI154="","",$D154&amp;"|"&amp;$AI154)</f>
        <v/>
      </c>
      <c r="AK154" s="62">
        <f>IF(AND($D154&lt;&gt;"",$V154="Macro"),$D154&amp;"|"&amp;$C154,"")</f>
        <v/>
      </c>
      <c r="AL154" s="62">
        <f>""</f>
        <v/>
      </c>
      <c r="AM154" s="62">
        <f>IF(N($AL154)&gt;0,INDEX(rIni_ADM,$AL154),IF(ISNUMBER($E154),$E154,""))</f>
        <v/>
      </c>
      <c r="AN154" s="62">
        <f>IF(N($AL154)&gt;0,INDEX(rLim_ADM,$AL154),IF(ISNUMBER($F154),$F154,""))</f>
        <v/>
      </c>
    </row>
    <row r="155">
      <c r="A155" s="56">
        <f>IF(NOT((COUNTA($B155:$D155)+COUNTA($G155:$L155)+COUNTA($Q155))&gt;0),"",IF($V155="Macro",COUNTIFS($V$5:$V155,"Macro",$S$5:$S155,$S155),IF(N($U155)=0,"?",COUNTIFS(INDEX($V$5:$V$1000,1):INDEX($V$5:$V$1000,$U155-4),"Macro",INDEX($S$5:$S$1000,1):INDEX($S$5:$S$1000,$U155-4),INDEX($S$5:$S$1000,$U155-4))&amp;"."&amp;COUNTIFS($U$5:$U155,$U155,$V$5:$V155,"Sub"))))</f>
        <v/>
      </c>
      <c r="B155" s="57" t="n"/>
      <c r="C155" s="58" t="n"/>
      <c r="D155" s="58" t="n"/>
      <c r="E155" s="59" t="n"/>
      <c r="F155" s="59" t="n"/>
      <c r="G155" s="59" t="n"/>
      <c r="H155" s="60" t="n"/>
      <c r="I155" s="60" t="n"/>
      <c r="J155" s="60" t="n"/>
      <c r="K155" s="60" t="n"/>
      <c r="L155" s="60" t="n"/>
      <c r="M155" s="61">
        <f>IF(NOT((COUNTA($B155:$D155)+COUNTA($G155:$L155)+COUNTA($Q155))&gt;0),"",IF(AND($D155&lt;&gt;"",$V155="Macro"),IF(N($AH155)&gt;0,N(CHOOSE(MATCH($D155,ListaPuestos,0),INDEX('Cronograma R. Operacional'!$M$5:$M$1000,$AH155),INDEX('Cronograma R. Normativo'!$M$5:$M$1000,$AH155),INDEX('Cronograma R. Financiero'!$M$5:$M$1000,$AH155),INDEX('Cronograma Asistente Técnico'!$M$5:$M$1000,$AH155))),0),IF(ISNUMBER($G155),1,IF(N($W155)&gt;0,AVERAGEIFS($X$5:$X$1000,$U$5:$U$1000,ROW(),$V$5:$V$1000,"Sub"),$X155))))</f>
        <v/>
      </c>
      <c r="N155" s="56">
        <f>IF(OR($M155="",$V155="Sub"),"",IF($M155&gt;=1,"Completado",IF($M155&gt;0,"En curso","Pendiente")))</f>
        <v/>
      </c>
      <c r="O155" s="56">
        <f>IF(NOT((COUNTA($B155:$D155)+COUNTA($G155:$L155)+COUNTA($Q155))&gt;0),"",IF(AND(AND($D155&lt;&gt;"",$V155="Macro"),N($AH155)&gt;0),CHOOSE(MATCH($D155,ListaPuestos,0),INDEX('Cronograma R. Operacional'!$O$5:$O$1000,$AH155),INDEX('Cronograma R. Normativo'!$O$5:$O$1000,$AH155),INDEX('Cronograma R. Financiero'!$O$5:$O$1000,$AH155),INDEX('Cronograma Asistente Técnico'!$O$5:$O$1000,$AH155))&amp;"",IF(ISNUMBER($G155),IF(AND(ISNUMBER($AN155),$G155&gt;$AN155),"Cumplida con "&amp;($G155-$AN155)&amp;IF($G155-$AN155=1," día"," días")&amp;" de retraso","Cumplida"),IF(N($M155)&gt;=1,"Cumplida",IF(NOT(ISNUMBER($AN155)),"Sin fecha límite",IF($AN155&lt;FechaRef,"Vencida hace "&amp;(FechaRef-$AN155)&amp;IF(FechaRef-$AN155=1," día"," días"),IF($AN155=FechaRef,"Vence hoy",IF($AN155-FechaRef&lt;=DiasAlerta,"Vence en "&amp;($AN155-FechaRef)&amp;IF($AN155-FechaRef=1," día"," días"),"En plazo"))))))))</f>
        <v/>
      </c>
      <c r="P155" s="62">
        <f>IF(NOT((COUNTA($B155:$D155)+COUNTA($G155:$L155)+COUNTA($Q155))&gt;0),"",IF($D155="","Propia",IF($V155&lt;&gt;"Macro","Solo se delegan macroactividades",IF(N($AH155)&gt;0,"✔ Recibida por "&amp;$D155,"⚠ "&amp;$D155&amp;" aún no la agrega"))))</f>
        <v/>
      </c>
      <c r="Q155" s="58" t="n"/>
      <c r="R155" s="63">
        <f>IF(NOT((COUNTA($B155:$D155)+COUNTA($G155:$L155)+COUNTA($Q155))&gt;0),"",IF((IF($C155="","Falta el nombre de la actividad"&amp;" · ","")&amp;IF(AND($V155="Sub",N($U155)=0),"Subactividad sin macroactividad arriba"&amp;" · ","")&amp;IF($AM155="","Sin fecha de inicio"&amp;" · ","")&amp;IF($AN155="","Sin fecha límite"&amp;" · ","")&amp;IF(AND(LEFT($C155,11)="[Jefatura] ",N($AL155)=0),"No se encuentra en la hoja de la jefatura (elíjala de nuevo en la lista)"&amp;" · ","")&amp;IF(OR(AND($E155&lt;&gt;"",NOT(ISNUMBER($E155))),AND($F155&lt;&gt;"",NOT(ISNUMBER($F155))),AND($G155&lt;&gt;"",NOT(ISNUMBER($G155)))),"Fecha no válida"&amp;" · ","")&amp;IF(AND(ISNUMBER($AM155),ISNUMBER($AN155),$AM155&gt;$AN155),"Inicio posterior a fecha límite"&amp;" · ","")&amp;IF(AND($V155="Macro",$H155&lt;&gt;"",OR(NOT(ISNUMBER($H155)),$H155&lt;0,$H155&gt;1)),"Peso fuera de rango"&amp;" · ","")&amp;IF(AND($V155="Sub",$H155&lt;&gt;""),"Las subactividades no llevan peso (valen igual dentro de su macroactividad)"&amp;" · ","")&amp;IF(AND(N($W155)&gt;0,COUNT($I155:$L155)&gt;0),"Con subactividades: deje vacías las semanas (se calculan solas)"&amp;" · ","")&amp;IF((COUNTIF($I155:$L155,"&gt;1")+COUNTIF($I155:$L155,"&lt;0")+COUNTA($I155:$L155)-COUNT($I155:$L155))&gt;0,"Avance fuera de rango 0-100%"&amp;" · ","")&amp;IF(OR(AND($J155&lt;&gt;"",$J155&lt;$I155),AND($K155&lt;&gt;"",$K155&lt;MAX($I155:$J155)),AND($L155&lt;&gt;"",$L155&lt;MAX($I155:$K155))),"Avance semanal decreciente"&amp;" · ","")&amp;IF(AND(ISNUMBER($AN155),$AN155&lt;FechaRef,IF($V155="Sub",N($X155),N($M155))&lt;1),"Vencida"&amp;" · ","")&amp;IF(AND(ObsObligatoria="Sí",ISNUMBER($AN155),$AN155&lt;FechaRef,IF($V155="Sub",N($X155),N($M155))&lt;1,$Q155=""),"Vencida sin observación"&amp;" · ",""))="","✔ OK","⚠ "&amp;LEFT(IF($C155="","Falta el nombre de la actividad"&amp;" · ","")&amp;IF(AND($V155="Sub",N($U155)=0),"Subactividad sin macroactividad arriba"&amp;" · ","")&amp;IF($AM155="","Sin fecha de inicio"&amp;" · ","")&amp;IF($AN155="","Sin fecha límite"&amp;" · ","")&amp;IF(AND(LEFT($C155,11)="[Jefatura] ",N($AL155)=0),"No se encuentra en la hoja de la jefatura (elíjala de nuevo en la lista)"&amp;" · ","")&amp;IF(OR(AND($E155&lt;&gt;"",NOT(ISNUMBER($E155))),AND($F155&lt;&gt;"",NOT(ISNUMBER($F155))),AND($G155&lt;&gt;"",NOT(ISNUMBER($G155)))),"Fecha no válida"&amp;" · ","")&amp;IF(AND(ISNUMBER($AM155),ISNUMBER($AN155),$AM155&gt;$AN155),"Inicio posterior a fecha límite"&amp;" · ","")&amp;IF(AND($V155="Macro",$H155&lt;&gt;"",OR(NOT(ISNUMBER($H155)),$H155&lt;0,$H155&gt;1)),"Peso fuera de rango"&amp;" · ","")&amp;IF(AND($V155="Sub",$H155&lt;&gt;""),"Las subactividades no llevan peso (valen igual dentro de su macroactividad)"&amp;" · ","")&amp;IF(AND(N($W155)&gt;0,COUNT($I155:$L155)&gt;0),"Con subactividades: deje vacías las semanas (se calculan solas)"&amp;" · ","")&amp;IF((COUNTIF($I155:$L155,"&gt;1")+COUNTIF($I155:$L155,"&lt;0")+COUNTA($I155:$L155)-COUNT($I155:$L155))&gt;0,"Avance fuera de rango 0-100%"&amp;" · ","")&amp;IF(OR(AND($J155&lt;&gt;"",$J155&lt;$I155),AND($K155&lt;&gt;"",$K155&lt;MAX($I155:$J155)),AND($L155&lt;&gt;"",$L155&lt;MAX($I155:$K155))),"Avance semanal decreciente"&amp;" · ","")&amp;IF(AND(ISNUMBER($AN155),$AN155&lt;FechaRef,IF($V155="Sub",N($X155),N($M155))&lt;1),"Vencida"&amp;" · ","")&amp;IF(AND(ObsObligatoria="Sí",ISNUMBER($AN155),$AN155&lt;FechaRef,IF($V155="Sub",N($X155),N($M155))&lt;1,$Q155=""),"Vencida sin observación"&amp;" · ",""),LEN(IF($C155="","Falta el nombre de la actividad"&amp;" · ","")&amp;IF(AND($V155="Sub",N($U155)=0),"Subactividad sin macroactividad arriba"&amp;" · ","")&amp;IF($AM155="","Sin fecha de inicio"&amp;" · ","")&amp;IF($AN155="","Sin fecha límite"&amp;" · ","")&amp;IF(AND(LEFT($C155,11)="[Jefatura] ",N($AL155)=0),"No se encuentra en la hoja de la jefatura (elíjala de nuevo en la lista)"&amp;" · ","")&amp;IF(OR(AND($E155&lt;&gt;"",NOT(ISNUMBER($E155))),AND($F155&lt;&gt;"",NOT(ISNUMBER($F155))),AND($G155&lt;&gt;"",NOT(ISNUMBER($G155)))),"Fecha no válida"&amp;" · ","")&amp;IF(AND(ISNUMBER($AM155),ISNUMBER($AN155),$AM155&gt;$AN155),"Inicio posterior a fecha límite"&amp;" · ","")&amp;IF(AND($V155="Macro",$H155&lt;&gt;"",OR(NOT(ISNUMBER($H155)),$H155&lt;0,$H155&gt;1)),"Peso fuera de rango"&amp;" · ","")&amp;IF(AND($V155="Sub",$H155&lt;&gt;""),"Las subactividades no llevan peso (valen igual dentro de su macroactividad)"&amp;" · ","")&amp;IF(AND(N($W155)&gt;0,COUNT($I155:$L155)&gt;0),"Con subactividades: deje vacías las semanas (se calculan solas)"&amp;" · ","")&amp;IF((COUNTIF($I155:$L155,"&gt;1")+COUNTIF($I155:$L155,"&lt;0")+COUNTA($I155:$L155)-COUNT($I155:$L155))&gt;0,"Avance fuera de rango 0-100%"&amp;" · ","")&amp;IF(OR(AND($J155&lt;&gt;"",$J155&lt;$I155),AND($K155&lt;&gt;"",$K155&lt;MAX($I155:$J155)),AND($L155&lt;&gt;"",$L155&lt;MAX($I155:$K155))),"Avance semanal decreciente"&amp;" · ","")&amp;IF(AND(ISNUMBER($AN155),$AN155&lt;FechaRef,IF($V155="Sub",N($X155),N($M155))&lt;1),"Vencida"&amp;" · ","")&amp;IF(AND(ObsObligatoria="Sí",ISNUMBER($AN155),$AN155&lt;FechaRef,IF($V155="Sub",N($X155),N($M155))&lt;1,$Q155=""),"Vencida sin observación"&amp;" · ",""))-3)))</f>
        <v/>
      </c>
      <c r="S155" s="64">
        <f>IF(NOT((COUNTA($B155:$D155)+COUNTA($G155:$L155)+COUNTA($Q155))&gt;0),"",IF(AND($V155="Sub",N($U155)&gt;0),IF(ISNUMBER(INDEX($AM$5:$AM$1000,$U155-4)),DATE(YEAR(INDEX($AM$5:$AM$1000,$U155-4)),MONTH(INDEX($AM$5:$AM$1000,$U155-4)),1),IF(ISNUMBER(INDEX($AN$5:$AN$1000,$U155-4)),DATE(YEAR(INDEX($AN$5:$AN$1000,$U155-4)),MONTH(INDEX($AN$5:$AN$1000,$U155-4)),1),MesCiclo)),IF(ISNUMBER($AM155),DATE(YEAR($AM155),MONTH($AM155),1),IF(ISNUMBER($AN155),DATE(YEAR($AN155),MONTH($AN155),1),MesCiclo))))</f>
        <v/>
      </c>
      <c r="T155" s="62">
        <f>IF(OR($S155="",$S155&lt;&gt;MesCiclo,$V155&lt;&gt;"Macro"),"",COUNTIFS($S$5:$S155,MesCiclo,$V$5:$V155,"Macro"))</f>
        <v/>
      </c>
      <c r="U155" s="62">
        <f>IF($V155="","",IF($V155="Macro",ROW(),IFERROR(LOOKUP(2,1/($V$5:$V155="Macro"),ROW($V$5:$V155)),0)))</f>
        <v/>
      </c>
      <c r="V155" s="62">
        <f>IF(NOT((COUNTA($B155:$D155)+COUNTA($G155:$L155)+COUNTA($Q155))&gt;0),"",IF($B155="Subactividad","Sub","Macro"))</f>
        <v/>
      </c>
      <c r="W155" s="62">
        <f>IF($V155="Macro",COUNTIFS($U$5:$U$1000,ROW(),$V$5:$V$1000,"Sub"),"")</f>
        <v/>
      </c>
      <c r="X155" s="62">
        <f>IF($V155="","",IF(ISNUMBER($G155),1,IFERROR(LOOKUP(2,1/($I155:$L155&lt;&gt;""),$I155:$L155),0)))</f>
        <v/>
      </c>
      <c r="Y155" s="62">
        <f>IF($V155="","",IF(AND(ISNUMBER($G155),$G155&lt;=IF($S155=MesCiclo,InicioCiclo,$S155+MOD(2-WEEKDAY($S155),7))+6),1,IF(ISNUMBER($I155),$I155,0)))</f>
        <v/>
      </c>
      <c r="Z155" s="62">
        <f>IF($V155="","",IF(AND(ISNUMBER($G155),$G155&lt;=IF($S155=MesCiclo,InicioCiclo,$S155+MOD(2-WEEKDAY($S155),7))+13),1,IF(ISNUMBER($J155),$J155,$Y155)))</f>
        <v/>
      </c>
      <c r="AA155" s="62">
        <f>IF($V155="","",IF(AND(ISNUMBER($G155),$G155&lt;=IF($S155=MesCiclo,InicioCiclo,$S155+MOD(2-WEEKDAY($S155),7))+20),1,IF(ISNUMBER($K155),$K155,$Z155)))</f>
        <v/>
      </c>
      <c r="AB155" s="62">
        <f>IF($V155="","",IF(AND(ISNUMBER($G155),$G155&lt;=IF($S155=MesCiclo,InicioCiclo,$S155+MOD(2-WEEKDAY($S155),7))+27),1,IF(ISNUMBER($L155),$L155,$AA155)))</f>
        <v/>
      </c>
      <c r="AC155" s="62">
        <f>IF($V155="","",IF(AND(ISNUMBER($G155),$G155&lt;=IF($S155=MesCiclo,InicioCiclo,$S155+MOD(2-WEEKDAY($S155),7))+6),1,IF(N($W155)&gt;0,AVERAGEIFS($Y$5:$Y$1000,$U$5:$U$1000,ROW(),$V$5:$V$1000,"Sub"),$Y155)))</f>
        <v/>
      </c>
      <c r="AD155" s="62">
        <f>IF($V155="","",IF(AND(ISNUMBER($G155),$G155&lt;=IF($S155=MesCiclo,InicioCiclo,$S155+MOD(2-WEEKDAY($S155),7))+13),1,IF(N($W155)&gt;0,AVERAGEIFS($Z$5:$Z$1000,$U$5:$U$1000,ROW(),$V$5:$V$1000,"Sub"),$Z155)))</f>
        <v/>
      </c>
      <c r="AE155" s="62">
        <f>IF($V155="","",IF(AND(ISNUMBER($G155),$G155&lt;=IF($S155=MesCiclo,InicioCiclo,$S155+MOD(2-WEEKDAY($S155),7))+20),1,IF(N($W155)&gt;0,AVERAGEIFS($AA$5:$AA$1000,$U$5:$U$1000,ROW(),$V$5:$V$1000,"Sub"),$AA155)))</f>
        <v/>
      </c>
      <c r="AF155" s="62">
        <f>IF($V155="","",IF(AND(ISNUMBER($G155),$G155&lt;=IF($S155=MesCiclo,InicioCiclo,$S155+MOD(2-WEEKDAY($S155),7))+27),1,IF(N($W155)&gt;0,AVERAGEIFS($AB$5:$AB$1000,$U$5:$U$1000,ROW(),$V$5:$V$1000,"Sub"),$AB155)))</f>
        <v/>
      </c>
      <c r="AG155" s="62">
        <f>IF($V155&lt;&gt;"Macro","",IF(COUNTIFS($S$5:$S$1000,$S155,$V$5:$V$1000,"Macro",$H$5:$H$1000,"&gt;0")=0,1/COUNTIFS($S$5:$S$1000,$S155,$V$5:$V$1000,"Macro"),IF(AND(ISNUMBER($H155),N($H155)&gt;0),$H155,SUMIFS($H$5:$H$1000,$S$5:$S$1000,$S155,$V$5:$V$1000,"Macro")/COUNTIFS($S$5:$S$1000,$S155,$V$5:$V$1000,"Macro",$H$5:$H$1000,"&gt;0"))/(COUNTIFS($S$5:$S$1000,$S155,$V$5:$V$1000,"Macro")*SUMIFS($H$5:$H$1000,$S$5:$S$1000,$S155,$V$5:$V$1000,"Macro")/COUNTIFS($S$5:$S$1000,$S155,$V$5:$V$1000,"Macro",$H$5:$H$1000,"&gt;0"))))</f>
        <v/>
      </c>
      <c r="AH155" s="62">
        <f>IF(NOT(AND($D155&lt;&gt;"",$V155="Macro")),"",IFERROR(CHOOSE(MATCH($D155,ListaPuestos,0),MATCH("[Jefatura] "&amp;$C155,'Cronograma R. Operacional'!$C$5:$C$1000,0),MATCH("[Jefatura] "&amp;$C155,'Cronograma R. Normativo'!$C$5:$C$1000,0),MATCH("[Jefatura] "&amp;$C155,'Cronograma R. Financiero'!$C$5:$C$1000,0),MATCH("[Jefatura] "&amp;$C155,'Cronograma Asistente Técnico'!$C$5:$C$1000,0)),0))</f>
        <v/>
      </c>
      <c r="AI155" s="62">
        <f>IF(AND(AND($D155&lt;&gt;"",$V155="Macro"),$S155=MesCiclo),COUNTIFS($D$5:$D155,$D155,$S$5:$S155,MesCiclo,$V$5:$V155,"Macro"),"")</f>
        <v/>
      </c>
      <c r="AJ155" s="62">
        <f>IF($AI155="","",$D155&amp;"|"&amp;$AI155)</f>
        <v/>
      </c>
      <c r="AK155" s="62">
        <f>IF(AND($D155&lt;&gt;"",$V155="Macro"),$D155&amp;"|"&amp;$C155,"")</f>
        <v/>
      </c>
      <c r="AL155" s="62">
        <f>""</f>
        <v/>
      </c>
      <c r="AM155" s="62">
        <f>IF(N($AL155)&gt;0,INDEX(rIni_ADM,$AL155),IF(ISNUMBER($E155),$E155,""))</f>
        <v/>
      </c>
      <c r="AN155" s="62">
        <f>IF(N($AL155)&gt;0,INDEX(rLim_ADM,$AL155),IF(ISNUMBER($F155),$F155,""))</f>
        <v/>
      </c>
    </row>
    <row r="156">
      <c r="A156" s="56">
        <f>IF(NOT((COUNTA($B156:$D156)+COUNTA($G156:$L156)+COUNTA($Q156))&gt;0),"",IF($V156="Macro",COUNTIFS($V$5:$V156,"Macro",$S$5:$S156,$S156),IF(N($U156)=0,"?",COUNTIFS(INDEX($V$5:$V$1000,1):INDEX($V$5:$V$1000,$U156-4),"Macro",INDEX($S$5:$S$1000,1):INDEX($S$5:$S$1000,$U156-4),INDEX($S$5:$S$1000,$U156-4))&amp;"."&amp;COUNTIFS($U$5:$U156,$U156,$V$5:$V156,"Sub"))))</f>
        <v/>
      </c>
      <c r="B156" s="57" t="n"/>
      <c r="C156" s="58" t="n"/>
      <c r="D156" s="58" t="n"/>
      <c r="E156" s="59" t="n"/>
      <c r="F156" s="59" t="n"/>
      <c r="G156" s="59" t="n"/>
      <c r="H156" s="60" t="n"/>
      <c r="I156" s="60" t="n"/>
      <c r="J156" s="60" t="n"/>
      <c r="K156" s="60" t="n"/>
      <c r="L156" s="60" t="n"/>
      <c r="M156" s="61">
        <f>IF(NOT((COUNTA($B156:$D156)+COUNTA($G156:$L156)+COUNTA($Q156))&gt;0),"",IF(AND($D156&lt;&gt;"",$V156="Macro"),IF(N($AH156)&gt;0,N(CHOOSE(MATCH($D156,ListaPuestos,0),INDEX('Cronograma R. Operacional'!$M$5:$M$1000,$AH156),INDEX('Cronograma R. Normativo'!$M$5:$M$1000,$AH156),INDEX('Cronograma R. Financiero'!$M$5:$M$1000,$AH156),INDEX('Cronograma Asistente Técnico'!$M$5:$M$1000,$AH156))),0),IF(ISNUMBER($G156),1,IF(N($W156)&gt;0,AVERAGEIFS($X$5:$X$1000,$U$5:$U$1000,ROW(),$V$5:$V$1000,"Sub"),$X156))))</f>
        <v/>
      </c>
      <c r="N156" s="56">
        <f>IF(OR($M156="",$V156="Sub"),"",IF($M156&gt;=1,"Completado",IF($M156&gt;0,"En curso","Pendiente")))</f>
        <v/>
      </c>
      <c r="O156" s="56">
        <f>IF(NOT((COUNTA($B156:$D156)+COUNTA($G156:$L156)+COUNTA($Q156))&gt;0),"",IF(AND(AND($D156&lt;&gt;"",$V156="Macro"),N($AH156)&gt;0),CHOOSE(MATCH($D156,ListaPuestos,0),INDEX('Cronograma R. Operacional'!$O$5:$O$1000,$AH156),INDEX('Cronograma R. Normativo'!$O$5:$O$1000,$AH156),INDEX('Cronograma R. Financiero'!$O$5:$O$1000,$AH156),INDEX('Cronograma Asistente Técnico'!$O$5:$O$1000,$AH156))&amp;"",IF(ISNUMBER($G156),IF(AND(ISNUMBER($AN156),$G156&gt;$AN156),"Cumplida con "&amp;($G156-$AN156)&amp;IF($G156-$AN156=1," día"," días")&amp;" de retraso","Cumplida"),IF(N($M156)&gt;=1,"Cumplida",IF(NOT(ISNUMBER($AN156)),"Sin fecha límite",IF($AN156&lt;FechaRef,"Vencida hace "&amp;(FechaRef-$AN156)&amp;IF(FechaRef-$AN156=1," día"," días"),IF($AN156=FechaRef,"Vence hoy",IF($AN156-FechaRef&lt;=DiasAlerta,"Vence en "&amp;($AN156-FechaRef)&amp;IF($AN156-FechaRef=1," día"," días"),"En plazo"))))))))</f>
        <v/>
      </c>
      <c r="P156" s="62">
        <f>IF(NOT((COUNTA($B156:$D156)+COUNTA($G156:$L156)+COUNTA($Q156))&gt;0),"",IF($D156="","Propia",IF($V156&lt;&gt;"Macro","Solo se delegan macroactividades",IF(N($AH156)&gt;0,"✔ Recibida por "&amp;$D156,"⚠ "&amp;$D156&amp;" aún no la agrega"))))</f>
        <v/>
      </c>
      <c r="Q156" s="58" t="n"/>
      <c r="R156" s="63">
        <f>IF(NOT((COUNTA($B156:$D156)+COUNTA($G156:$L156)+COUNTA($Q156))&gt;0),"",IF((IF($C156="","Falta el nombre de la actividad"&amp;" · ","")&amp;IF(AND($V156="Sub",N($U156)=0),"Subactividad sin macroactividad arriba"&amp;" · ","")&amp;IF($AM156="","Sin fecha de inicio"&amp;" · ","")&amp;IF($AN156="","Sin fecha límite"&amp;" · ","")&amp;IF(AND(LEFT($C156,11)="[Jefatura] ",N($AL156)=0),"No se encuentra en la hoja de la jefatura (elíjala de nuevo en la lista)"&amp;" · ","")&amp;IF(OR(AND($E156&lt;&gt;"",NOT(ISNUMBER($E156))),AND($F156&lt;&gt;"",NOT(ISNUMBER($F156))),AND($G156&lt;&gt;"",NOT(ISNUMBER($G156)))),"Fecha no válida"&amp;" · ","")&amp;IF(AND(ISNUMBER($AM156),ISNUMBER($AN156),$AM156&gt;$AN156),"Inicio posterior a fecha límite"&amp;" · ","")&amp;IF(AND($V156="Macro",$H156&lt;&gt;"",OR(NOT(ISNUMBER($H156)),$H156&lt;0,$H156&gt;1)),"Peso fuera de rango"&amp;" · ","")&amp;IF(AND($V156="Sub",$H156&lt;&gt;""),"Las subactividades no llevan peso (valen igual dentro de su macroactividad)"&amp;" · ","")&amp;IF(AND(N($W156)&gt;0,COUNT($I156:$L156)&gt;0),"Con subactividades: deje vacías las semanas (se calculan solas)"&amp;" · ","")&amp;IF((COUNTIF($I156:$L156,"&gt;1")+COUNTIF($I156:$L156,"&lt;0")+COUNTA($I156:$L156)-COUNT($I156:$L156))&gt;0,"Avance fuera de rango 0-100%"&amp;" · ","")&amp;IF(OR(AND($J156&lt;&gt;"",$J156&lt;$I156),AND($K156&lt;&gt;"",$K156&lt;MAX($I156:$J156)),AND($L156&lt;&gt;"",$L156&lt;MAX($I156:$K156))),"Avance semanal decreciente"&amp;" · ","")&amp;IF(AND(ISNUMBER($AN156),$AN156&lt;FechaRef,IF($V156="Sub",N($X156),N($M156))&lt;1),"Vencida"&amp;" · ","")&amp;IF(AND(ObsObligatoria="Sí",ISNUMBER($AN156),$AN156&lt;FechaRef,IF($V156="Sub",N($X156),N($M156))&lt;1,$Q156=""),"Vencida sin observación"&amp;" · ",""))="","✔ OK","⚠ "&amp;LEFT(IF($C156="","Falta el nombre de la actividad"&amp;" · ","")&amp;IF(AND($V156="Sub",N($U156)=0),"Subactividad sin macroactividad arriba"&amp;" · ","")&amp;IF($AM156="","Sin fecha de inicio"&amp;" · ","")&amp;IF($AN156="","Sin fecha límite"&amp;" · ","")&amp;IF(AND(LEFT($C156,11)="[Jefatura] ",N($AL156)=0),"No se encuentra en la hoja de la jefatura (elíjala de nuevo en la lista)"&amp;" · ","")&amp;IF(OR(AND($E156&lt;&gt;"",NOT(ISNUMBER($E156))),AND($F156&lt;&gt;"",NOT(ISNUMBER($F156))),AND($G156&lt;&gt;"",NOT(ISNUMBER($G156)))),"Fecha no válida"&amp;" · ","")&amp;IF(AND(ISNUMBER($AM156),ISNUMBER($AN156),$AM156&gt;$AN156),"Inicio posterior a fecha límite"&amp;" · ","")&amp;IF(AND($V156="Macro",$H156&lt;&gt;"",OR(NOT(ISNUMBER($H156)),$H156&lt;0,$H156&gt;1)),"Peso fuera de rango"&amp;" · ","")&amp;IF(AND($V156="Sub",$H156&lt;&gt;""),"Las subactividades no llevan peso (valen igual dentro de su macroactividad)"&amp;" · ","")&amp;IF(AND(N($W156)&gt;0,COUNT($I156:$L156)&gt;0),"Con subactividades: deje vacías las semanas (se calculan solas)"&amp;" · ","")&amp;IF((COUNTIF($I156:$L156,"&gt;1")+COUNTIF($I156:$L156,"&lt;0")+COUNTA($I156:$L156)-COUNT($I156:$L156))&gt;0,"Avance fuera de rango 0-100%"&amp;" · ","")&amp;IF(OR(AND($J156&lt;&gt;"",$J156&lt;$I156),AND($K156&lt;&gt;"",$K156&lt;MAX($I156:$J156)),AND($L156&lt;&gt;"",$L156&lt;MAX($I156:$K156))),"Avance semanal decreciente"&amp;" · ","")&amp;IF(AND(ISNUMBER($AN156),$AN156&lt;FechaRef,IF($V156="Sub",N($X156),N($M156))&lt;1),"Vencida"&amp;" · ","")&amp;IF(AND(ObsObligatoria="Sí",ISNUMBER($AN156),$AN156&lt;FechaRef,IF($V156="Sub",N($X156),N($M156))&lt;1,$Q156=""),"Vencida sin observación"&amp;" · ",""),LEN(IF($C156="","Falta el nombre de la actividad"&amp;" · ","")&amp;IF(AND($V156="Sub",N($U156)=0),"Subactividad sin macroactividad arriba"&amp;" · ","")&amp;IF($AM156="","Sin fecha de inicio"&amp;" · ","")&amp;IF($AN156="","Sin fecha límite"&amp;" · ","")&amp;IF(AND(LEFT($C156,11)="[Jefatura] ",N($AL156)=0),"No se encuentra en la hoja de la jefatura (elíjala de nuevo en la lista)"&amp;" · ","")&amp;IF(OR(AND($E156&lt;&gt;"",NOT(ISNUMBER($E156))),AND($F156&lt;&gt;"",NOT(ISNUMBER($F156))),AND($G156&lt;&gt;"",NOT(ISNUMBER($G156)))),"Fecha no válida"&amp;" · ","")&amp;IF(AND(ISNUMBER($AM156),ISNUMBER($AN156),$AM156&gt;$AN156),"Inicio posterior a fecha límite"&amp;" · ","")&amp;IF(AND($V156="Macro",$H156&lt;&gt;"",OR(NOT(ISNUMBER($H156)),$H156&lt;0,$H156&gt;1)),"Peso fuera de rango"&amp;" · ","")&amp;IF(AND($V156="Sub",$H156&lt;&gt;""),"Las subactividades no llevan peso (valen igual dentro de su macroactividad)"&amp;" · ","")&amp;IF(AND(N($W156)&gt;0,COUNT($I156:$L156)&gt;0),"Con subactividades: deje vacías las semanas (se calculan solas)"&amp;" · ","")&amp;IF((COUNTIF($I156:$L156,"&gt;1")+COUNTIF($I156:$L156,"&lt;0")+COUNTA($I156:$L156)-COUNT($I156:$L156))&gt;0,"Avance fuera de rango 0-100%"&amp;" · ","")&amp;IF(OR(AND($J156&lt;&gt;"",$J156&lt;$I156),AND($K156&lt;&gt;"",$K156&lt;MAX($I156:$J156)),AND($L156&lt;&gt;"",$L156&lt;MAX($I156:$K156))),"Avance semanal decreciente"&amp;" · ","")&amp;IF(AND(ISNUMBER($AN156),$AN156&lt;FechaRef,IF($V156="Sub",N($X156),N($M156))&lt;1),"Vencida"&amp;" · ","")&amp;IF(AND(ObsObligatoria="Sí",ISNUMBER($AN156),$AN156&lt;FechaRef,IF($V156="Sub",N($X156),N($M156))&lt;1,$Q156=""),"Vencida sin observación"&amp;" · ",""))-3)))</f>
        <v/>
      </c>
      <c r="S156" s="64">
        <f>IF(NOT((COUNTA($B156:$D156)+COUNTA($G156:$L156)+COUNTA($Q156))&gt;0),"",IF(AND($V156="Sub",N($U156)&gt;0),IF(ISNUMBER(INDEX($AM$5:$AM$1000,$U156-4)),DATE(YEAR(INDEX($AM$5:$AM$1000,$U156-4)),MONTH(INDEX($AM$5:$AM$1000,$U156-4)),1),IF(ISNUMBER(INDEX($AN$5:$AN$1000,$U156-4)),DATE(YEAR(INDEX($AN$5:$AN$1000,$U156-4)),MONTH(INDEX($AN$5:$AN$1000,$U156-4)),1),MesCiclo)),IF(ISNUMBER($AM156),DATE(YEAR($AM156),MONTH($AM156),1),IF(ISNUMBER($AN156),DATE(YEAR($AN156),MONTH($AN156),1),MesCiclo))))</f>
        <v/>
      </c>
      <c r="T156" s="62">
        <f>IF(OR($S156="",$S156&lt;&gt;MesCiclo,$V156&lt;&gt;"Macro"),"",COUNTIFS($S$5:$S156,MesCiclo,$V$5:$V156,"Macro"))</f>
        <v/>
      </c>
      <c r="U156" s="62">
        <f>IF($V156="","",IF($V156="Macro",ROW(),IFERROR(LOOKUP(2,1/($V$5:$V156="Macro"),ROW($V$5:$V156)),0)))</f>
        <v/>
      </c>
      <c r="V156" s="62">
        <f>IF(NOT((COUNTA($B156:$D156)+COUNTA($G156:$L156)+COUNTA($Q156))&gt;0),"",IF($B156="Subactividad","Sub","Macro"))</f>
        <v/>
      </c>
      <c r="W156" s="62">
        <f>IF($V156="Macro",COUNTIFS($U$5:$U$1000,ROW(),$V$5:$V$1000,"Sub"),"")</f>
        <v/>
      </c>
      <c r="X156" s="62">
        <f>IF($V156="","",IF(ISNUMBER($G156),1,IFERROR(LOOKUP(2,1/($I156:$L156&lt;&gt;""),$I156:$L156),0)))</f>
        <v/>
      </c>
      <c r="Y156" s="62">
        <f>IF($V156="","",IF(AND(ISNUMBER($G156),$G156&lt;=IF($S156=MesCiclo,InicioCiclo,$S156+MOD(2-WEEKDAY($S156),7))+6),1,IF(ISNUMBER($I156),$I156,0)))</f>
        <v/>
      </c>
      <c r="Z156" s="62">
        <f>IF($V156="","",IF(AND(ISNUMBER($G156),$G156&lt;=IF($S156=MesCiclo,InicioCiclo,$S156+MOD(2-WEEKDAY($S156),7))+13),1,IF(ISNUMBER($J156),$J156,$Y156)))</f>
        <v/>
      </c>
      <c r="AA156" s="62">
        <f>IF($V156="","",IF(AND(ISNUMBER($G156),$G156&lt;=IF($S156=MesCiclo,InicioCiclo,$S156+MOD(2-WEEKDAY($S156),7))+20),1,IF(ISNUMBER($K156),$K156,$Z156)))</f>
        <v/>
      </c>
      <c r="AB156" s="62">
        <f>IF($V156="","",IF(AND(ISNUMBER($G156),$G156&lt;=IF($S156=MesCiclo,InicioCiclo,$S156+MOD(2-WEEKDAY($S156),7))+27),1,IF(ISNUMBER($L156),$L156,$AA156)))</f>
        <v/>
      </c>
      <c r="AC156" s="62">
        <f>IF($V156="","",IF(AND(ISNUMBER($G156),$G156&lt;=IF($S156=MesCiclo,InicioCiclo,$S156+MOD(2-WEEKDAY($S156),7))+6),1,IF(N($W156)&gt;0,AVERAGEIFS($Y$5:$Y$1000,$U$5:$U$1000,ROW(),$V$5:$V$1000,"Sub"),$Y156)))</f>
        <v/>
      </c>
      <c r="AD156" s="62">
        <f>IF($V156="","",IF(AND(ISNUMBER($G156),$G156&lt;=IF($S156=MesCiclo,InicioCiclo,$S156+MOD(2-WEEKDAY($S156),7))+13),1,IF(N($W156)&gt;0,AVERAGEIFS($Z$5:$Z$1000,$U$5:$U$1000,ROW(),$V$5:$V$1000,"Sub"),$Z156)))</f>
        <v/>
      </c>
      <c r="AE156" s="62">
        <f>IF($V156="","",IF(AND(ISNUMBER($G156),$G156&lt;=IF($S156=MesCiclo,InicioCiclo,$S156+MOD(2-WEEKDAY($S156),7))+20),1,IF(N($W156)&gt;0,AVERAGEIFS($AA$5:$AA$1000,$U$5:$U$1000,ROW(),$V$5:$V$1000,"Sub"),$AA156)))</f>
        <v/>
      </c>
      <c r="AF156" s="62">
        <f>IF($V156="","",IF(AND(ISNUMBER($G156),$G156&lt;=IF($S156=MesCiclo,InicioCiclo,$S156+MOD(2-WEEKDAY($S156),7))+27),1,IF(N($W156)&gt;0,AVERAGEIFS($AB$5:$AB$1000,$U$5:$U$1000,ROW(),$V$5:$V$1000,"Sub"),$AB156)))</f>
        <v/>
      </c>
      <c r="AG156" s="62">
        <f>IF($V156&lt;&gt;"Macro","",IF(COUNTIFS($S$5:$S$1000,$S156,$V$5:$V$1000,"Macro",$H$5:$H$1000,"&gt;0")=0,1/COUNTIFS($S$5:$S$1000,$S156,$V$5:$V$1000,"Macro"),IF(AND(ISNUMBER($H156),N($H156)&gt;0),$H156,SUMIFS($H$5:$H$1000,$S$5:$S$1000,$S156,$V$5:$V$1000,"Macro")/COUNTIFS($S$5:$S$1000,$S156,$V$5:$V$1000,"Macro",$H$5:$H$1000,"&gt;0"))/(COUNTIFS($S$5:$S$1000,$S156,$V$5:$V$1000,"Macro")*SUMIFS($H$5:$H$1000,$S$5:$S$1000,$S156,$V$5:$V$1000,"Macro")/COUNTIFS($S$5:$S$1000,$S156,$V$5:$V$1000,"Macro",$H$5:$H$1000,"&gt;0"))))</f>
        <v/>
      </c>
      <c r="AH156" s="62">
        <f>IF(NOT(AND($D156&lt;&gt;"",$V156="Macro")),"",IFERROR(CHOOSE(MATCH($D156,ListaPuestos,0),MATCH("[Jefatura] "&amp;$C156,'Cronograma R. Operacional'!$C$5:$C$1000,0),MATCH("[Jefatura] "&amp;$C156,'Cronograma R. Normativo'!$C$5:$C$1000,0),MATCH("[Jefatura] "&amp;$C156,'Cronograma R. Financiero'!$C$5:$C$1000,0),MATCH("[Jefatura] "&amp;$C156,'Cronograma Asistente Técnico'!$C$5:$C$1000,0)),0))</f>
        <v/>
      </c>
      <c r="AI156" s="62">
        <f>IF(AND(AND($D156&lt;&gt;"",$V156="Macro"),$S156=MesCiclo),COUNTIFS($D$5:$D156,$D156,$S$5:$S156,MesCiclo,$V$5:$V156,"Macro"),"")</f>
        <v/>
      </c>
      <c r="AJ156" s="62">
        <f>IF($AI156="","",$D156&amp;"|"&amp;$AI156)</f>
        <v/>
      </c>
      <c r="AK156" s="62">
        <f>IF(AND($D156&lt;&gt;"",$V156="Macro"),$D156&amp;"|"&amp;$C156,"")</f>
        <v/>
      </c>
      <c r="AL156" s="62">
        <f>""</f>
        <v/>
      </c>
      <c r="AM156" s="62">
        <f>IF(N($AL156)&gt;0,INDEX(rIni_ADM,$AL156),IF(ISNUMBER($E156),$E156,""))</f>
        <v/>
      </c>
      <c r="AN156" s="62">
        <f>IF(N($AL156)&gt;0,INDEX(rLim_ADM,$AL156),IF(ISNUMBER($F156),$F156,""))</f>
        <v/>
      </c>
    </row>
    <row r="157">
      <c r="A157" s="56">
        <f>IF(NOT((COUNTA($B157:$D157)+COUNTA($G157:$L157)+COUNTA($Q157))&gt;0),"",IF($V157="Macro",COUNTIFS($V$5:$V157,"Macro",$S$5:$S157,$S157),IF(N($U157)=0,"?",COUNTIFS(INDEX($V$5:$V$1000,1):INDEX($V$5:$V$1000,$U157-4),"Macro",INDEX($S$5:$S$1000,1):INDEX($S$5:$S$1000,$U157-4),INDEX($S$5:$S$1000,$U157-4))&amp;"."&amp;COUNTIFS($U$5:$U157,$U157,$V$5:$V157,"Sub"))))</f>
        <v/>
      </c>
      <c r="B157" s="57" t="n"/>
      <c r="C157" s="58" t="n"/>
      <c r="D157" s="58" t="n"/>
      <c r="E157" s="59" t="n"/>
      <c r="F157" s="59" t="n"/>
      <c r="G157" s="59" t="n"/>
      <c r="H157" s="60" t="n"/>
      <c r="I157" s="60" t="n"/>
      <c r="J157" s="60" t="n"/>
      <c r="K157" s="60" t="n"/>
      <c r="L157" s="60" t="n"/>
      <c r="M157" s="61">
        <f>IF(NOT((COUNTA($B157:$D157)+COUNTA($G157:$L157)+COUNTA($Q157))&gt;0),"",IF(AND($D157&lt;&gt;"",$V157="Macro"),IF(N($AH157)&gt;0,N(CHOOSE(MATCH($D157,ListaPuestos,0),INDEX('Cronograma R. Operacional'!$M$5:$M$1000,$AH157),INDEX('Cronograma R. Normativo'!$M$5:$M$1000,$AH157),INDEX('Cronograma R. Financiero'!$M$5:$M$1000,$AH157),INDEX('Cronograma Asistente Técnico'!$M$5:$M$1000,$AH157))),0),IF(ISNUMBER($G157),1,IF(N($W157)&gt;0,AVERAGEIFS($X$5:$X$1000,$U$5:$U$1000,ROW(),$V$5:$V$1000,"Sub"),$X157))))</f>
        <v/>
      </c>
      <c r="N157" s="56">
        <f>IF(OR($M157="",$V157="Sub"),"",IF($M157&gt;=1,"Completado",IF($M157&gt;0,"En curso","Pendiente")))</f>
        <v/>
      </c>
      <c r="O157" s="56">
        <f>IF(NOT((COUNTA($B157:$D157)+COUNTA($G157:$L157)+COUNTA($Q157))&gt;0),"",IF(AND(AND($D157&lt;&gt;"",$V157="Macro"),N($AH157)&gt;0),CHOOSE(MATCH($D157,ListaPuestos,0),INDEX('Cronograma R. Operacional'!$O$5:$O$1000,$AH157),INDEX('Cronograma R. Normativo'!$O$5:$O$1000,$AH157),INDEX('Cronograma R. Financiero'!$O$5:$O$1000,$AH157),INDEX('Cronograma Asistente Técnico'!$O$5:$O$1000,$AH157))&amp;"",IF(ISNUMBER($G157),IF(AND(ISNUMBER($AN157),$G157&gt;$AN157),"Cumplida con "&amp;($G157-$AN157)&amp;IF($G157-$AN157=1," día"," días")&amp;" de retraso","Cumplida"),IF(N($M157)&gt;=1,"Cumplida",IF(NOT(ISNUMBER($AN157)),"Sin fecha límite",IF($AN157&lt;FechaRef,"Vencida hace "&amp;(FechaRef-$AN157)&amp;IF(FechaRef-$AN157=1," día"," días"),IF($AN157=FechaRef,"Vence hoy",IF($AN157-FechaRef&lt;=DiasAlerta,"Vence en "&amp;($AN157-FechaRef)&amp;IF($AN157-FechaRef=1," día"," días"),"En plazo"))))))))</f>
        <v/>
      </c>
      <c r="P157" s="62">
        <f>IF(NOT((COUNTA($B157:$D157)+COUNTA($G157:$L157)+COUNTA($Q157))&gt;0),"",IF($D157="","Propia",IF($V157&lt;&gt;"Macro","Solo se delegan macroactividades",IF(N($AH157)&gt;0,"✔ Recibida por "&amp;$D157,"⚠ "&amp;$D157&amp;" aún no la agrega"))))</f>
        <v/>
      </c>
      <c r="Q157" s="58" t="n"/>
      <c r="R157" s="63">
        <f>IF(NOT((COUNTA($B157:$D157)+COUNTA($G157:$L157)+COUNTA($Q157))&gt;0),"",IF((IF($C157="","Falta el nombre de la actividad"&amp;" · ","")&amp;IF(AND($V157="Sub",N($U157)=0),"Subactividad sin macroactividad arriba"&amp;" · ","")&amp;IF($AM157="","Sin fecha de inicio"&amp;" · ","")&amp;IF($AN157="","Sin fecha límite"&amp;" · ","")&amp;IF(AND(LEFT($C157,11)="[Jefatura] ",N($AL157)=0),"No se encuentra en la hoja de la jefatura (elíjala de nuevo en la lista)"&amp;" · ","")&amp;IF(OR(AND($E157&lt;&gt;"",NOT(ISNUMBER($E157))),AND($F157&lt;&gt;"",NOT(ISNUMBER($F157))),AND($G157&lt;&gt;"",NOT(ISNUMBER($G157)))),"Fecha no válida"&amp;" · ","")&amp;IF(AND(ISNUMBER($AM157),ISNUMBER($AN157),$AM157&gt;$AN157),"Inicio posterior a fecha límite"&amp;" · ","")&amp;IF(AND($V157="Macro",$H157&lt;&gt;"",OR(NOT(ISNUMBER($H157)),$H157&lt;0,$H157&gt;1)),"Peso fuera de rango"&amp;" · ","")&amp;IF(AND($V157="Sub",$H157&lt;&gt;""),"Las subactividades no llevan peso (valen igual dentro de su macroactividad)"&amp;" · ","")&amp;IF(AND(N($W157)&gt;0,COUNT($I157:$L157)&gt;0),"Con subactividades: deje vacías las semanas (se calculan solas)"&amp;" · ","")&amp;IF((COUNTIF($I157:$L157,"&gt;1")+COUNTIF($I157:$L157,"&lt;0")+COUNTA($I157:$L157)-COUNT($I157:$L157))&gt;0,"Avance fuera de rango 0-100%"&amp;" · ","")&amp;IF(OR(AND($J157&lt;&gt;"",$J157&lt;$I157),AND($K157&lt;&gt;"",$K157&lt;MAX($I157:$J157)),AND($L157&lt;&gt;"",$L157&lt;MAX($I157:$K157))),"Avance semanal decreciente"&amp;" · ","")&amp;IF(AND(ISNUMBER($AN157),$AN157&lt;FechaRef,IF($V157="Sub",N($X157),N($M157))&lt;1),"Vencida"&amp;" · ","")&amp;IF(AND(ObsObligatoria="Sí",ISNUMBER($AN157),$AN157&lt;FechaRef,IF($V157="Sub",N($X157),N($M157))&lt;1,$Q157=""),"Vencida sin observación"&amp;" · ",""))="","✔ OK","⚠ "&amp;LEFT(IF($C157="","Falta el nombre de la actividad"&amp;" · ","")&amp;IF(AND($V157="Sub",N($U157)=0),"Subactividad sin macroactividad arriba"&amp;" · ","")&amp;IF($AM157="","Sin fecha de inicio"&amp;" · ","")&amp;IF($AN157="","Sin fecha límite"&amp;" · ","")&amp;IF(AND(LEFT($C157,11)="[Jefatura] ",N($AL157)=0),"No se encuentra en la hoja de la jefatura (elíjala de nuevo en la lista)"&amp;" · ","")&amp;IF(OR(AND($E157&lt;&gt;"",NOT(ISNUMBER($E157))),AND($F157&lt;&gt;"",NOT(ISNUMBER($F157))),AND($G157&lt;&gt;"",NOT(ISNUMBER($G157)))),"Fecha no válida"&amp;" · ","")&amp;IF(AND(ISNUMBER($AM157),ISNUMBER($AN157),$AM157&gt;$AN157),"Inicio posterior a fecha límite"&amp;" · ","")&amp;IF(AND($V157="Macro",$H157&lt;&gt;"",OR(NOT(ISNUMBER($H157)),$H157&lt;0,$H157&gt;1)),"Peso fuera de rango"&amp;" · ","")&amp;IF(AND($V157="Sub",$H157&lt;&gt;""),"Las subactividades no llevan peso (valen igual dentro de su macroactividad)"&amp;" · ","")&amp;IF(AND(N($W157)&gt;0,COUNT($I157:$L157)&gt;0),"Con subactividades: deje vacías las semanas (se calculan solas)"&amp;" · ","")&amp;IF((COUNTIF($I157:$L157,"&gt;1")+COUNTIF($I157:$L157,"&lt;0")+COUNTA($I157:$L157)-COUNT($I157:$L157))&gt;0,"Avance fuera de rango 0-100%"&amp;" · ","")&amp;IF(OR(AND($J157&lt;&gt;"",$J157&lt;$I157),AND($K157&lt;&gt;"",$K157&lt;MAX($I157:$J157)),AND($L157&lt;&gt;"",$L157&lt;MAX($I157:$K157))),"Avance semanal decreciente"&amp;" · ","")&amp;IF(AND(ISNUMBER($AN157),$AN157&lt;FechaRef,IF($V157="Sub",N($X157),N($M157))&lt;1),"Vencida"&amp;" · ","")&amp;IF(AND(ObsObligatoria="Sí",ISNUMBER($AN157),$AN157&lt;FechaRef,IF($V157="Sub",N($X157),N($M157))&lt;1,$Q157=""),"Vencida sin observación"&amp;" · ",""),LEN(IF($C157="","Falta el nombre de la actividad"&amp;" · ","")&amp;IF(AND($V157="Sub",N($U157)=0),"Subactividad sin macroactividad arriba"&amp;" · ","")&amp;IF($AM157="","Sin fecha de inicio"&amp;" · ","")&amp;IF($AN157="","Sin fecha límite"&amp;" · ","")&amp;IF(AND(LEFT($C157,11)="[Jefatura] ",N($AL157)=0),"No se encuentra en la hoja de la jefatura (elíjala de nuevo en la lista)"&amp;" · ","")&amp;IF(OR(AND($E157&lt;&gt;"",NOT(ISNUMBER($E157))),AND($F157&lt;&gt;"",NOT(ISNUMBER($F157))),AND($G157&lt;&gt;"",NOT(ISNUMBER($G157)))),"Fecha no válida"&amp;" · ","")&amp;IF(AND(ISNUMBER($AM157),ISNUMBER($AN157),$AM157&gt;$AN157),"Inicio posterior a fecha límite"&amp;" · ","")&amp;IF(AND($V157="Macro",$H157&lt;&gt;"",OR(NOT(ISNUMBER($H157)),$H157&lt;0,$H157&gt;1)),"Peso fuera de rango"&amp;" · ","")&amp;IF(AND($V157="Sub",$H157&lt;&gt;""),"Las subactividades no llevan peso (valen igual dentro de su macroactividad)"&amp;" · ","")&amp;IF(AND(N($W157)&gt;0,COUNT($I157:$L157)&gt;0),"Con subactividades: deje vacías las semanas (se calculan solas)"&amp;" · ","")&amp;IF((COUNTIF($I157:$L157,"&gt;1")+COUNTIF($I157:$L157,"&lt;0")+COUNTA($I157:$L157)-COUNT($I157:$L157))&gt;0,"Avance fuera de rango 0-100%"&amp;" · ","")&amp;IF(OR(AND($J157&lt;&gt;"",$J157&lt;$I157),AND($K157&lt;&gt;"",$K157&lt;MAX($I157:$J157)),AND($L157&lt;&gt;"",$L157&lt;MAX($I157:$K157))),"Avance semanal decreciente"&amp;" · ","")&amp;IF(AND(ISNUMBER($AN157),$AN157&lt;FechaRef,IF($V157="Sub",N($X157),N($M157))&lt;1),"Vencida"&amp;" · ","")&amp;IF(AND(ObsObligatoria="Sí",ISNUMBER($AN157),$AN157&lt;FechaRef,IF($V157="Sub",N($X157),N($M157))&lt;1,$Q157=""),"Vencida sin observación"&amp;" · ",""))-3)))</f>
        <v/>
      </c>
      <c r="S157" s="64">
        <f>IF(NOT((COUNTA($B157:$D157)+COUNTA($G157:$L157)+COUNTA($Q157))&gt;0),"",IF(AND($V157="Sub",N($U157)&gt;0),IF(ISNUMBER(INDEX($AM$5:$AM$1000,$U157-4)),DATE(YEAR(INDEX($AM$5:$AM$1000,$U157-4)),MONTH(INDEX($AM$5:$AM$1000,$U157-4)),1),IF(ISNUMBER(INDEX($AN$5:$AN$1000,$U157-4)),DATE(YEAR(INDEX($AN$5:$AN$1000,$U157-4)),MONTH(INDEX($AN$5:$AN$1000,$U157-4)),1),MesCiclo)),IF(ISNUMBER($AM157),DATE(YEAR($AM157),MONTH($AM157),1),IF(ISNUMBER($AN157),DATE(YEAR($AN157),MONTH($AN157),1),MesCiclo))))</f>
        <v/>
      </c>
      <c r="T157" s="62">
        <f>IF(OR($S157="",$S157&lt;&gt;MesCiclo,$V157&lt;&gt;"Macro"),"",COUNTIFS($S$5:$S157,MesCiclo,$V$5:$V157,"Macro"))</f>
        <v/>
      </c>
      <c r="U157" s="62">
        <f>IF($V157="","",IF($V157="Macro",ROW(),IFERROR(LOOKUP(2,1/($V$5:$V157="Macro"),ROW($V$5:$V157)),0)))</f>
        <v/>
      </c>
      <c r="V157" s="62">
        <f>IF(NOT((COUNTA($B157:$D157)+COUNTA($G157:$L157)+COUNTA($Q157))&gt;0),"",IF($B157="Subactividad","Sub","Macro"))</f>
        <v/>
      </c>
      <c r="W157" s="62">
        <f>IF($V157="Macro",COUNTIFS($U$5:$U$1000,ROW(),$V$5:$V$1000,"Sub"),"")</f>
        <v/>
      </c>
      <c r="X157" s="62">
        <f>IF($V157="","",IF(ISNUMBER($G157),1,IFERROR(LOOKUP(2,1/($I157:$L157&lt;&gt;""),$I157:$L157),0)))</f>
        <v/>
      </c>
      <c r="Y157" s="62">
        <f>IF($V157="","",IF(AND(ISNUMBER($G157),$G157&lt;=IF($S157=MesCiclo,InicioCiclo,$S157+MOD(2-WEEKDAY($S157),7))+6),1,IF(ISNUMBER($I157),$I157,0)))</f>
        <v/>
      </c>
      <c r="Z157" s="62">
        <f>IF($V157="","",IF(AND(ISNUMBER($G157),$G157&lt;=IF($S157=MesCiclo,InicioCiclo,$S157+MOD(2-WEEKDAY($S157),7))+13),1,IF(ISNUMBER($J157),$J157,$Y157)))</f>
        <v/>
      </c>
      <c r="AA157" s="62">
        <f>IF($V157="","",IF(AND(ISNUMBER($G157),$G157&lt;=IF($S157=MesCiclo,InicioCiclo,$S157+MOD(2-WEEKDAY($S157),7))+20),1,IF(ISNUMBER($K157),$K157,$Z157)))</f>
        <v/>
      </c>
      <c r="AB157" s="62">
        <f>IF($V157="","",IF(AND(ISNUMBER($G157),$G157&lt;=IF($S157=MesCiclo,InicioCiclo,$S157+MOD(2-WEEKDAY($S157),7))+27),1,IF(ISNUMBER($L157),$L157,$AA157)))</f>
        <v/>
      </c>
      <c r="AC157" s="62">
        <f>IF($V157="","",IF(AND(ISNUMBER($G157),$G157&lt;=IF($S157=MesCiclo,InicioCiclo,$S157+MOD(2-WEEKDAY($S157),7))+6),1,IF(N($W157)&gt;0,AVERAGEIFS($Y$5:$Y$1000,$U$5:$U$1000,ROW(),$V$5:$V$1000,"Sub"),$Y157)))</f>
        <v/>
      </c>
      <c r="AD157" s="62">
        <f>IF($V157="","",IF(AND(ISNUMBER($G157),$G157&lt;=IF($S157=MesCiclo,InicioCiclo,$S157+MOD(2-WEEKDAY($S157),7))+13),1,IF(N($W157)&gt;0,AVERAGEIFS($Z$5:$Z$1000,$U$5:$U$1000,ROW(),$V$5:$V$1000,"Sub"),$Z157)))</f>
        <v/>
      </c>
      <c r="AE157" s="62">
        <f>IF($V157="","",IF(AND(ISNUMBER($G157),$G157&lt;=IF($S157=MesCiclo,InicioCiclo,$S157+MOD(2-WEEKDAY($S157),7))+20),1,IF(N($W157)&gt;0,AVERAGEIFS($AA$5:$AA$1000,$U$5:$U$1000,ROW(),$V$5:$V$1000,"Sub"),$AA157)))</f>
        <v/>
      </c>
      <c r="AF157" s="62">
        <f>IF($V157="","",IF(AND(ISNUMBER($G157),$G157&lt;=IF($S157=MesCiclo,InicioCiclo,$S157+MOD(2-WEEKDAY($S157),7))+27),1,IF(N($W157)&gt;0,AVERAGEIFS($AB$5:$AB$1000,$U$5:$U$1000,ROW(),$V$5:$V$1000,"Sub"),$AB157)))</f>
        <v/>
      </c>
      <c r="AG157" s="62">
        <f>IF($V157&lt;&gt;"Macro","",IF(COUNTIFS($S$5:$S$1000,$S157,$V$5:$V$1000,"Macro",$H$5:$H$1000,"&gt;0")=0,1/COUNTIFS($S$5:$S$1000,$S157,$V$5:$V$1000,"Macro"),IF(AND(ISNUMBER($H157),N($H157)&gt;0),$H157,SUMIFS($H$5:$H$1000,$S$5:$S$1000,$S157,$V$5:$V$1000,"Macro")/COUNTIFS($S$5:$S$1000,$S157,$V$5:$V$1000,"Macro",$H$5:$H$1000,"&gt;0"))/(COUNTIFS($S$5:$S$1000,$S157,$V$5:$V$1000,"Macro")*SUMIFS($H$5:$H$1000,$S$5:$S$1000,$S157,$V$5:$V$1000,"Macro")/COUNTIFS($S$5:$S$1000,$S157,$V$5:$V$1000,"Macro",$H$5:$H$1000,"&gt;0"))))</f>
        <v/>
      </c>
      <c r="AH157" s="62">
        <f>IF(NOT(AND($D157&lt;&gt;"",$V157="Macro")),"",IFERROR(CHOOSE(MATCH($D157,ListaPuestos,0),MATCH("[Jefatura] "&amp;$C157,'Cronograma R. Operacional'!$C$5:$C$1000,0),MATCH("[Jefatura] "&amp;$C157,'Cronograma R. Normativo'!$C$5:$C$1000,0),MATCH("[Jefatura] "&amp;$C157,'Cronograma R. Financiero'!$C$5:$C$1000,0),MATCH("[Jefatura] "&amp;$C157,'Cronograma Asistente Técnico'!$C$5:$C$1000,0)),0))</f>
        <v/>
      </c>
      <c r="AI157" s="62">
        <f>IF(AND(AND($D157&lt;&gt;"",$V157="Macro"),$S157=MesCiclo),COUNTIFS($D$5:$D157,$D157,$S$5:$S157,MesCiclo,$V$5:$V157,"Macro"),"")</f>
        <v/>
      </c>
      <c r="AJ157" s="62">
        <f>IF($AI157="","",$D157&amp;"|"&amp;$AI157)</f>
        <v/>
      </c>
      <c r="AK157" s="62">
        <f>IF(AND($D157&lt;&gt;"",$V157="Macro"),$D157&amp;"|"&amp;$C157,"")</f>
        <v/>
      </c>
      <c r="AL157" s="62">
        <f>""</f>
        <v/>
      </c>
      <c r="AM157" s="62">
        <f>IF(N($AL157)&gt;0,INDEX(rIni_ADM,$AL157),IF(ISNUMBER($E157),$E157,""))</f>
        <v/>
      </c>
      <c r="AN157" s="62">
        <f>IF(N($AL157)&gt;0,INDEX(rLim_ADM,$AL157),IF(ISNUMBER($F157),$F157,""))</f>
        <v/>
      </c>
    </row>
    <row r="158">
      <c r="A158" s="56">
        <f>IF(NOT((COUNTA($B158:$D158)+COUNTA($G158:$L158)+COUNTA($Q158))&gt;0),"",IF($V158="Macro",COUNTIFS($V$5:$V158,"Macro",$S$5:$S158,$S158),IF(N($U158)=0,"?",COUNTIFS(INDEX($V$5:$V$1000,1):INDEX($V$5:$V$1000,$U158-4),"Macro",INDEX($S$5:$S$1000,1):INDEX($S$5:$S$1000,$U158-4),INDEX($S$5:$S$1000,$U158-4))&amp;"."&amp;COUNTIFS($U$5:$U158,$U158,$V$5:$V158,"Sub"))))</f>
        <v/>
      </c>
      <c r="B158" s="57" t="n"/>
      <c r="C158" s="58" t="n"/>
      <c r="D158" s="58" t="n"/>
      <c r="E158" s="59" t="n"/>
      <c r="F158" s="59" t="n"/>
      <c r="G158" s="59" t="n"/>
      <c r="H158" s="60" t="n"/>
      <c r="I158" s="60" t="n"/>
      <c r="J158" s="60" t="n"/>
      <c r="K158" s="60" t="n"/>
      <c r="L158" s="60" t="n"/>
      <c r="M158" s="61">
        <f>IF(NOT((COUNTA($B158:$D158)+COUNTA($G158:$L158)+COUNTA($Q158))&gt;0),"",IF(AND($D158&lt;&gt;"",$V158="Macro"),IF(N($AH158)&gt;0,N(CHOOSE(MATCH($D158,ListaPuestos,0),INDEX('Cronograma R. Operacional'!$M$5:$M$1000,$AH158),INDEX('Cronograma R. Normativo'!$M$5:$M$1000,$AH158),INDEX('Cronograma R. Financiero'!$M$5:$M$1000,$AH158),INDEX('Cronograma Asistente Técnico'!$M$5:$M$1000,$AH158))),0),IF(ISNUMBER($G158),1,IF(N($W158)&gt;0,AVERAGEIFS($X$5:$X$1000,$U$5:$U$1000,ROW(),$V$5:$V$1000,"Sub"),$X158))))</f>
        <v/>
      </c>
      <c r="N158" s="56">
        <f>IF(OR($M158="",$V158="Sub"),"",IF($M158&gt;=1,"Completado",IF($M158&gt;0,"En curso","Pendiente")))</f>
        <v/>
      </c>
      <c r="O158" s="56">
        <f>IF(NOT((COUNTA($B158:$D158)+COUNTA($G158:$L158)+COUNTA($Q158))&gt;0),"",IF(AND(AND($D158&lt;&gt;"",$V158="Macro"),N($AH158)&gt;0),CHOOSE(MATCH($D158,ListaPuestos,0),INDEX('Cronograma R. Operacional'!$O$5:$O$1000,$AH158),INDEX('Cronograma R. Normativo'!$O$5:$O$1000,$AH158),INDEX('Cronograma R. Financiero'!$O$5:$O$1000,$AH158),INDEX('Cronograma Asistente Técnico'!$O$5:$O$1000,$AH158))&amp;"",IF(ISNUMBER($G158),IF(AND(ISNUMBER($AN158),$G158&gt;$AN158),"Cumplida con "&amp;($G158-$AN158)&amp;IF($G158-$AN158=1," día"," días")&amp;" de retraso","Cumplida"),IF(N($M158)&gt;=1,"Cumplida",IF(NOT(ISNUMBER($AN158)),"Sin fecha límite",IF($AN158&lt;FechaRef,"Vencida hace "&amp;(FechaRef-$AN158)&amp;IF(FechaRef-$AN158=1," día"," días"),IF($AN158=FechaRef,"Vence hoy",IF($AN158-FechaRef&lt;=DiasAlerta,"Vence en "&amp;($AN158-FechaRef)&amp;IF($AN158-FechaRef=1," día"," días"),"En plazo"))))))))</f>
        <v/>
      </c>
      <c r="P158" s="62">
        <f>IF(NOT((COUNTA($B158:$D158)+COUNTA($G158:$L158)+COUNTA($Q158))&gt;0),"",IF($D158="","Propia",IF($V158&lt;&gt;"Macro","Solo se delegan macroactividades",IF(N($AH158)&gt;0,"✔ Recibida por "&amp;$D158,"⚠ "&amp;$D158&amp;" aún no la agrega"))))</f>
        <v/>
      </c>
      <c r="Q158" s="58" t="n"/>
      <c r="R158" s="63">
        <f>IF(NOT((COUNTA($B158:$D158)+COUNTA($G158:$L158)+COUNTA($Q158))&gt;0),"",IF((IF($C158="","Falta el nombre de la actividad"&amp;" · ","")&amp;IF(AND($V158="Sub",N($U158)=0),"Subactividad sin macroactividad arriba"&amp;" · ","")&amp;IF($AM158="","Sin fecha de inicio"&amp;" · ","")&amp;IF($AN158="","Sin fecha límite"&amp;" · ","")&amp;IF(AND(LEFT($C158,11)="[Jefatura] ",N($AL158)=0),"No se encuentra en la hoja de la jefatura (elíjala de nuevo en la lista)"&amp;" · ","")&amp;IF(OR(AND($E158&lt;&gt;"",NOT(ISNUMBER($E158))),AND($F158&lt;&gt;"",NOT(ISNUMBER($F158))),AND($G158&lt;&gt;"",NOT(ISNUMBER($G158)))),"Fecha no válida"&amp;" · ","")&amp;IF(AND(ISNUMBER($AM158),ISNUMBER($AN158),$AM158&gt;$AN158),"Inicio posterior a fecha límite"&amp;" · ","")&amp;IF(AND($V158="Macro",$H158&lt;&gt;"",OR(NOT(ISNUMBER($H158)),$H158&lt;0,$H158&gt;1)),"Peso fuera de rango"&amp;" · ","")&amp;IF(AND($V158="Sub",$H158&lt;&gt;""),"Las subactividades no llevan peso (valen igual dentro de su macroactividad)"&amp;" · ","")&amp;IF(AND(N($W158)&gt;0,COUNT($I158:$L158)&gt;0),"Con subactividades: deje vacías las semanas (se calculan solas)"&amp;" · ","")&amp;IF((COUNTIF($I158:$L158,"&gt;1")+COUNTIF($I158:$L158,"&lt;0")+COUNTA($I158:$L158)-COUNT($I158:$L158))&gt;0,"Avance fuera de rango 0-100%"&amp;" · ","")&amp;IF(OR(AND($J158&lt;&gt;"",$J158&lt;$I158),AND($K158&lt;&gt;"",$K158&lt;MAX($I158:$J158)),AND($L158&lt;&gt;"",$L158&lt;MAX($I158:$K158))),"Avance semanal decreciente"&amp;" · ","")&amp;IF(AND(ISNUMBER($AN158),$AN158&lt;FechaRef,IF($V158="Sub",N($X158),N($M158))&lt;1),"Vencida"&amp;" · ","")&amp;IF(AND(ObsObligatoria="Sí",ISNUMBER($AN158),$AN158&lt;FechaRef,IF($V158="Sub",N($X158),N($M158))&lt;1,$Q158=""),"Vencida sin observación"&amp;" · ",""))="","✔ OK","⚠ "&amp;LEFT(IF($C158="","Falta el nombre de la actividad"&amp;" · ","")&amp;IF(AND($V158="Sub",N($U158)=0),"Subactividad sin macroactividad arriba"&amp;" · ","")&amp;IF($AM158="","Sin fecha de inicio"&amp;" · ","")&amp;IF($AN158="","Sin fecha límite"&amp;" · ","")&amp;IF(AND(LEFT($C158,11)="[Jefatura] ",N($AL158)=0),"No se encuentra en la hoja de la jefatura (elíjala de nuevo en la lista)"&amp;" · ","")&amp;IF(OR(AND($E158&lt;&gt;"",NOT(ISNUMBER($E158))),AND($F158&lt;&gt;"",NOT(ISNUMBER($F158))),AND($G158&lt;&gt;"",NOT(ISNUMBER($G158)))),"Fecha no válida"&amp;" · ","")&amp;IF(AND(ISNUMBER($AM158),ISNUMBER($AN158),$AM158&gt;$AN158),"Inicio posterior a fecha límite"&amp;" · ","")&amp;IF(AND($V158="Macro",$H158&lt;&gt;"",OR(NOT(ISNUMBER($H158)),$H158&lt;0,$H158&gt;1)),"Peso fuera de rango"&amp;" · ","")&amp;IF(AND($V158="Sub",$H158&lt;&gt;""),"Las subactividades no llevan peso (valen igual dentro de su macroactividad)"&amp;" · ","")&amp;IF(AND(N($W158)&gt;0,COUNT($I158:$L158)&gt;0),"Con subactividades: deje vacías las semanas (se calculan solas)"&amp;" · ","")&amp;IF((COUNTIF($I158:$L158,"&gt;1")+COUNTIF($I158:$L158,"&lt;0")+COUNTA($I158:$L158)-COUNT($I158:$L158))&gt;0,"Avance fuera de rango 0-100%"&amp;" · ","")&amp;IF(OR(AND($J158&lt;&gt;"",$J158&lt;$I158),AND($K158&lt;&gt;"",$K158&lt;MAX($I158:$J158)),AND($L158&lt;&gt;"",$L158&lt;MAX($I158:$K158))),"Avance semanal decreciente"&amp;" · ","")&amp;IF(AND(ISNUMBER($AN158),$AN158&lt;FechaRef,IF($V158="Sub",N($X158),N($M158))&lt;1),"Vencida"&amp;" · ","")&amp;IF(AND(ObsObligatoria="Sí",ISNUMBER($AN158),$AN158&lt;FechaRef,IF($V158="Sub",N($X158),N($M158))&lt;1,$Q158=""),"Vencida sin observación"&amp;" · ",""),LEN(IF($C158="","Falta el nombre de la actividad"&amp;" · ","")&amp;IF(AND($V158="Sub",N($U158)=0),"Subactividad sin macroactividad arriba"&amp;" · ","")&amp;IF($AM158="","Sin fecha de inicio"&amp;" · ","")&amp;IF($AN158="","Sin fecha límite"&amp;" · ","")&amp;IF(AND(LEFT($C158,11)="[Jefatura] ",N($AL158)=0),"No se encuentra en la hoja de la jefatura (elíjala de nuevo en la lista)"&amp;" · ","")&amp;IF(OR(AND($E158&lt;&gt;"",NOT(ISNUMBER($E158))),AND($F158&lt;&gt;"",NOT(ISNUMBER($F158))),AND($G158&lt;&gt;"",NOT(ISNUMBER($G158)))),"Fecha no válida"&amp;" · ","")&amp;IF(AND(ISNUMBER($AM158),ISNUMBER($AN158),$AM158&gt;$AN158),"Inicio posterior a fecha límite"&amp;" · ","")&amp;IF(AND($V158="Macro",$H158&lt;&gt;"",OR(NOT(ISNUMBER($H158)),$H158&lt;0,$H158&gt;1)),"Peso fuera de rango"&amp;" · ","")&amp;IF(AND($V158="Sub",$H158&lt;&gt;""),"Las subactividades no llevan peso (valen igual dentro de su macroactividad)"&amp;" · ","")&amp;IF(AND(N($W158)&gt;0,COUNT($I158:$L158)&gt;0),"Con subactividades: deje vacías las semanas (se calculan solas)"&amp;" · ","")&amp;IF((COUNTIF($I158:$L158,"&gt;1")+COUNTIF($I158:$L158,"&lt;0")+COUNTA($I158:$L158)-COUNT($I158:$L158))&gt;0,"Avance fuera de rango 0-100%"&amp;" · ","")&amp;IF(OR(AND($J158&lt;&gt;"",$J158&lt;$I158),AND($K158&lt;&gt;"",$K158&lt;MAX($I158:$J158)),AND($L158&lt;&gt;"",$L158&lt;MAX($I158:$K158))),"Avance semanal decreciente"&amp;" · ","")&amp;IF(AND(ISNUMBER($AN158),$AN158&lt;FechaRef,IF($V158="Sub",N($X158),N($M158))&lt;1),"Vencida"&amp;" · ","")&amp;IF(AND(ObsObligatoria="Sí",ISNUMBER($AN158),$AN158&lt;FechaRef,IF($V158="Sub",N($X158),N($M158))&lt;1,$Q158=""),"Vencida sin observación"&amp;" · ",""))-3)))</f>
        <v/>
      </c>
      <c r="S158" s="64">
        <f>IF(NOT((COUNTA($B158:$D158)+COUNTA($G158:$L158)+COUNTA($Q158))&gt;0),"",IF(AND($V158="Sub",N($U158)&gt;0),IF(ISNUMBER(INDEX($AM$5:$AM$1000,$U158-4)),DATE(YEAR(INDEX($AM$5:$AM$1000,$U158-4)),MONTH(INDEX($AM$5:$AM$1000,$U158-4)),1),IF(ISNUMBER(INDEX($AN$5:$AN$1000,$U158-4)),DATE(YEAR(INDEX($AN$5:$AN$1000,$U158-4)),MONTH(INDEX($AN$5:$AN$1000,$U158-4)),1),MesCiclo)),IF(ISNUMBER($AM158),DATE(YEAR($AM158),MONTH($AM158),1),IF(ISNUMBER($AN158),DATE(YEAR($AN158),MONTH($AN158),1),MesCiclo))))</f>
        <v/>
      </c>
      <c r="T158" s="62">
        <f>IF(OR($S158="",$S158&lt;&gt;MesCiclo,$V158&lt;&gt;"Macro"),"",COUNTIFS($S$5:$S158,MesCiclo,$V$5:$V158,"Macro"))</f>
        <v/>
      </c>
      <c r="U158" s="62">
        <f>IF($V158="","",IF($V158="Macro",ROW(),IFERROR(LOOKUP(2,1/($V$5:$V158="Macro"),ROW($V$5:$V158)),0)))</f>
        <v/>
      </c>
      <c r="V158" s="62">
        <f>IF(NOT((COUNTA($B158:$D158)+COUNTA($G158:$L158)+COUNTA($Q158))&gt;0),"",IF($B158="Subactividad","Sub","Macro"))</f>
        <v/>
      </c>
      <c r="W158" s="62">
        <f>IF($V158="Macro",COUNTIFS($U$5:$U$1000,ROW(),$V$5:$V$1000,"Sub"),"")</f>
        <v/>
      </c>
      <c r="X158" s="62">
        <f>IF($V158="","",IF(ISNUMBER($G158),1,IFERROR(LOOKUP(2,1/($I158:$L158&lt;&gt;""),$I158:$L158),0)))</f>
        <v/>
      </c>
      <c r="Y158" s="62">
        <f>IF($V158="","",IF(AND(ISNUMBER($G158),$G158&lt;=IF($S158=MesCiclo,InicioCiclo,$S158+MOD(2-WEEKDAY($S158),7))+6),1,IF(ISNUMBER($I158),$I158,0)))</f>
        <v/>
      </c>
      <c r="Z158" s="62">
        <f>IF($V158="","",IF(AND(ISNUMBER($G158),$G158&lt;=IF($S158=MesCiclo,InicioCiclo,$S158+MOD(2-WEEKDAY($S158),7))+13),1,IF(ISNUMBER($J158),$J158,$Y158)))</f>
        <v/>
      </c>
      <c r="AA158" s="62">
        <f>IF($V158="","",IF(AND(ISNUMBER($G158),$G158&lt;=IF($S158=MesCiclo,InicioCiclo,$S158+MOD(2-WEEKDAY($S158),7))+20),1,IF(ISNUMBER($K158),$K158,$Z158)))</f>
        <v/>
      </c>
      <c r="AB158" s="62">
        <f>IF($V158="","",IF(AND(ISNUMBER($G158),$G158&lt;=IF($S158=MesCiclo,InicioCiclo,$S158+MOD(2-WEEKDAY($S158),7))+27),1,IF(ISNUMBER($L158),$L158,$AA158)))</f>
        <v/>
      </c>
      <c r="AC158" s="62">
        <f>IF($V158="","",IF(AND(ISNUMBER($G158),$G158&lt;=IF($S158=MesCiclo,InicioCiclo,$S158+MOD(2-WEEKDAY($S158),7))+6),1,IF(N($W158)&gt;0,AVERAGEIFS($Y$5:$Y$1000,$U$5:$U$1000,ROW(),$V$5:$V$1000,"Sub"),$Y158)))</f>
        <v/>
      </c>
      <c r="AD158" s="62">
        <f>IF($V158="","",IF(AND(ISNUMBER($G158),$G158&lt;=IF($S158=MesCiclo,InicioCiclo,$S158+MOD(2-WEEKDAY($S158),7))+13),1,IF(N($W158)&gt;0,AVERAGEIFS($Z$5:$Z$1000,$U$5:$U$1000,ROW(),$V$5:$V$1000,"Sub"),$Z158)))</f>
        <v/>
      </c>
      <c r="AE158" s="62">
        <f>IF($V158="","",IF(AND(ISNUMBER($G158),$G158&lt;=IF($S158=MesCiclo,InicioCiclo,$S158+MOD(2-WEEKDAY($S158),7))+20),1,IF(N($W158)&gt;0,AVERAGEIFS($AA$5:$AA$1000,$U$5:$U$1000,ROW(),$V$5:$V$1000,"Sub"),$AA158)))</f>
        <v/>
      </c>
      <c r="AF158" s="62">
        <f>IF($V158="","",IF(AND(ISNUMBER($G158),$G158&lt;=IF($S158=MesCiclo,InicioCiclo,$S158+MOD(2-WEEKDAY($S158),7))+27),1,IF(N($W158)&gt;0,AVERAGEIFS($AB$5:$AB$1000,$U$5:$U$1000,ROW(),$V$5:$V$1000,"Sub"),$AB158)))</f>
        <v/>
      </c>
      <c r="AG158" s="62">
        <f>IF($V158&lt;&gt;"Macro","",IF(COUNTIFS($S$5:$S$1000,$S158,$V$5:$V$1000,"Macro",$H$5:$H$1000,"&gt;0")=0,1/COUNTIFS($S$5:$S$1000,$S158,$V$5:$V$1000,"Macro"),IF(AND(ISNUMBER($H158),N($H158)&gt;0),$H158,SUMIFS($H$5:$H$1000,$S$5:$S$1000,$S158,$V$5:$V$1000,"Macro")/COUNTIFS($S$5:$S$1000,$S158,$V$5:$V$1000,"Macro",$H$5:$H$1000,"&gt;0"))/(COUNTIFS($S$5:$S$1000,$S158,$V$5:$V$1000,"Macro")*SUMIFS($H$5:$H$1000,$S$5:$S$1000,$S158,$V$5:$V$1000,"Macro")/COUNTIFS($S$5:$S$1000,$S158,$V$5:$V$1000,"Macro",$H$5:$H$1000,"&gt;0"))))</f>
        <v/>
      </c>
      <c r="AH158" s="62">
        <f>IF(NOT(AND($D158&lt;&gt;"",$V158="Macro")),"",IFERROR(CHOOSE(MATCH($D158,ListaPuestos,0),MATCH("[Jefatura] "&amp;$C158,'Cronograma R. Operacional'!$C$5:$C$1000,0),MATCH("[Jefatura] "&amp;$C158,'Cronograma R. Normativo'!$C$5:$C$1000,0),MATCH("[Jefatura] "&amp;$C158,'Cronograma R. Financiero'!$C$5:$C$1000,0),MATCH("[Jefatura] "&amp;$C158,'Cronograma Asistente Técnico'!$C$5:$C$1000,0)),0))</f>
        <v/>
      </c>
      <c r="AI158" s="62">
        <f>IF(AND(AND($D158&lt;&gt;"",$V158="Macro"),$S158=MesCiclo),COUNTIFS($D$5:$D158,$D158,$S$5:$S158,MesCiclo,$V$5:$V158,"Macro"),"")</f>
        <v/>
      </c>
      <c r="AJ158" s="62">
        <f>IF($AI158="","",$D158&amp;"|"&amp;$AI158)</f>
        <v/>
      </c>
      <c r="AK158" s="62">
        <f>IF(AND($D158&lt;&gt;"",$V158="Macro"),$D158&amp;"|"&amp;$C158,"")</f>
        <v/>
      </c>
      <c r="AL158" s="62">
        <f>""</f>
        <v/>
      </c>
      <c r="AM158" s="62">
        <f>IF(N($AL158)&gt;0,INDEX(rIni_ADM,$AL158),IF(ISNUMBER($E158),$E158,""))</f>
        <v/>
      </c>
      <c r="AN158" s="62">
        <f>IF(N($AL158)&gt;0,INDEX(rLim_ADM,$AL158),IF(ISNUMBER($F158),$F158,""))</f>
        <v/>
      </c>
    </row>
    <row r="159">
      <c r="A159" s="56">
        <f>IF(NOT((COUNTA($B159:$D159)+COUNTA($G159:$L159)+COUNTA($Q159))&gt;0),"",IF($V159="Macro",COUNTIFS($V$5:$V159,"Macro",$S$5:$S159,$S159),IF(N($U159)=0,"?",COUNTIFS(INDEX($V$5:$V$1000,1):INDEX($V$5:$V$1000,$U159-4),"Macro",INDEX($S$5:$S$1000,1):INDEX($S$5:$S$1000,$U159-4),INDEX($S$5:$S$1000,$U159-4))&amp;"."&amp;COUNTIFS($U$5:$U159,$U159,$V$5:$V159,"Sub"))))</f>
        <v/>
      </c>
      <c r="B159" s="57" t="n"/>
      <c r="C159" s="58" t="n"/>
      <c r="D159" s="58" t="n"/>
      <c r="E159" s="59" t="n"/>
      <c r="F159" s="59" t="n"/>
      <c r="G159" s="59" t="n"/>
      <c r="H159" s="60" t="n"/>
      <c r="I159" s="60" t="n"/>
      <c r="J159" s="60" t="n"/>
      <c r="K159" s="60" t="n"/>
      <c r="L159" s="60" t="n"/>
      <c r="M159" s="61">
        <f>IF(NOT((COUNTA($B159:$D159)+COUNTA($G159:$L159)+COUNTA($Q159))&gt;0),"",IF(AND($D159&lt;&gt;"",$V159="Macro"),IF(N($AH159)&gt;0,N(CHOOSE(MATCH($D159,ListaPuestos,0),INDEX('Cronograma R. Operacional'!$M$5:$M$1000,$AH159),INDEX('Cronograma R. Normativo'!$M$5:$M$1000,$AH159),INDEX('Cronograma R. Financiero'!$M$5:$M$1000,$AH159),INDEX('Cronograma Asistente Técnico'!$M$5:$M$1000,$AH159))),0),IF(ISNUMBER($G159),1,IF(N($W159)&gt;0,AVERAGEIFS($X$5:$X$1000,$U$5:$U$1000,ROW(),$V$5:$V$1000,"Sub"),$X159))))</f>
        <v/>
      </c>
      <c r="N159" s="56">
        <f>IF(OR($M159="",$V159="Sub"),"",IF($M159&gt;=1,"Completado",IF($M159&gt;0,"En curso","Pendiente")))</f>
        <v/>
      </c>
      <c r="O159" s="56">
        <f>IF(NOT((COUNTA($B159:$D159)+COUNTA($G159:$L159)+COUNTA($Q159))&gt;0),"",IF(AND(AND($D159&lt;&gt;"",$V159="Macro"),N($AH159)&gt;0),CHOOSE(MATCH($D159,ListaPuestos,0),INDEX('Cronograma R. Operacional'!$O$5:$O$1000,$AH159),INDEX('Cronograma R. Normativo'!$O$5:$O$1000,$AH159),INDEX('Cronograma R. Financiero'!$O$5:$O$1000,$AH159),INDEX('Cronograma Asistente Técnico'!$O$5:$O$1000,$AH159))&amp;"",IF(ISNUMBER($G159),IF(AND(ISNUMBER($AN159),$G159&gt;$AN159),"Cumplida con "&amp;($G159-$AN159)&amp;IF($G159-$AN159=1," día"," días")&amp;" de retraso","Cumplida"),IF(N($M159)&gt;=1,"Cumplida",IF(NOT(ISNUMBER($AN159)),"Sin fecha límite",IF($AN159&lt;FechaRef,"Vencida hace "&amp;(FechaRef-$AN159)&amp;IF(FechaRef-$AN159=1," día"," días"),IF($AN159=FechaRef,"Vence hoy",IF($AN159-FechaRef&lt;=DiasAlerta,"Vence en "&amp;($AN159-FechaRef)&amp;IF($AN159-FechaRef=1," día"," días"),"En plazo"))))))))</f>
        <v/>
      </c>
      <c r="P159" s="62">
        <f>IF(NOT((COUNTA($B159:$D159)+COUNTA($G159:$L159)+COUNTA($Q159))&gt;0),"",IF($D159="","Propia",IF($V159&lt;&gt;"Macro","Solo se delegan macroactividades",IF(N($AH159)&gt;0,"✔ Recibida por "&amp;$D159,"⚠ "&amp;$D159&amp;" aún no la agrega"))))</f>
        <v/>
      </c>
      <c r="Q159" s="58" t="n"/>
      <c r="R159" s="63">
        <f>IF(NOT((COUNTA($B159:$D159)+COUNTA($G159:$L159)+COUNTA($Q159))&gt;0),"",IF((IF($C159="","Falta el nombre de la actividad"&amp;" · ","")&amp;IF(AND($V159="Sub",N($U159)=0),"Subactividad sin macroactividad arriba"&amp;" · ","")&amp;IF($AM159="","Sin fecha de inicio"&amp;" · ","")&amp;IF($AN159="","Sin fecha límite"&amp;" · ","")&amp;IF(AND(LEFT($C159,11)="[Jefatura] ",N($AL159)=0),"No se encuentra en la hoja de la jefatura (elíjala de nuevo en la lista)"&amp;" · ","")&amp;IF(OR(AND($E159&lt;&gt;"",NOT(ISNUMBER($E159))),AND($F159&lt;&gt;"",NOT(ISNUMBER($F159))),AND($G159&lt;&gt;"",NOT(ISNUMBER($G159)))),"Fecha no válida"&amp;" · ","")&amp;IF(AND(ISNUMBER($AM159),ISNUMBER($AN159),$AM159&gt;$AN159),"Inicio posterior a fecha límite"&amp;" · ","")&amp;IF(AND($V159="Macro",$H159&lt;&gt;"",OR(NOT(ISNUMBER($H159)),$H159&lt;0,$H159&gt;1)),"Peso fuera de rango"&amp;" · ","")&amp;IF(AND($V159="Sub",$H159&lt;&gt;""),"Las subactividades no llevan peso (valen igual dentro de su macroactividad)"&amp;" · ","")&amp;IF(AND(N($W159)&gt;0,COUNT($I159:$L159)&gt;0),"Con subactividades: deje vacías las semanas (se calculan solas)"&amp;" · ","")&amp;IF((COUNTIF($I159:$L159,"&gt;1")+COUNTIF($I159:$L159,"&lt;0")+COUNTA($I159:$L159)-COUNT($I159:$L159))&gt;0,"Avance fuera de rango 0-100%"&amp;" · ","")&amp;IF(OR(AND($J159&lt;&gt;"",$J159&lt;$I159),AND($K159&lt;&gt;"",$K159&lt;MAX($I159:$J159)),AND($L159&lt;&gt;"",$L159&lt;MAX($I159:$K159))),"Avance semanal decreciente"&amp;" · ","")&amp;IF(AND(ISNUMBER($AN159),$AN159&lt;FechaRef,IF($V159="Sub",N($X159),N($M159))&lt;1),"Vencida"&amp;" · ","")&amp;IF(AND(ObsObligatoria="Sí",ISNUMBER($AN159),$AN159&lt;FechaRef,IF($V159="Sub",N($X159),N($M159))&lt;1,$Q159=""),"Vencida sin observación"&amp;" · ",""))="","✔ OK","⚠ "&amp;LEFT(IF($C159="","Falta el nombre de la actividad"&amp;" · ","")&amp;IF(AND($V159="Sub",N($U159)=0),"Subactividad sin macroactividad arriba"&amp;" · ","")&amp;IF($AM159="","Sin fecha de inicio"&amp;" · ","")&amp;IF($AN159="","Sin fecha límite"&amp;" · ","")&amp;IF(AND(LEFT($C159,11)="[Jefatura] ",N($AL159)=0),"No se encuentra en la hoja de la jefatura (elíjala de nuevo en la lista)"&amp;" · ","")&amp;IF(OR(AND($E159&lt;&gt;"",NOT(ISNUMBER($E159))),AND($F159&lt;&gt;"",NOT(ISNUMBER($F159))),AND($G159&lt;&gt;"",NOT(ISNUMBER($G159)))),"Fecha no válida"&amp;" · ","")&amp;IF(AND(ISNUMBER($AM159),ISNUMBER($AN159),$AM159&gt;$AN159),"Inicio posterior a fecha límite"&amp;" · ","")&amp;IF(AND($V159="Macro",$H159&lt;&gt;"",OR(NOT(ISNUMBER($H159)),$H159&lt;0,$H159&gt;1)),"Peso fuera de rango"&amp;" · ","")&amp;IF(AND($V159="Sub",$H159&lt;&gt;""),"Las subactividades no llevan peso (valen igual dentro de su macroactividad)"&amp;" · ","")&amp;IF(AND(N($W159)&gt;0,COUNT($I159:$L159)&gt;0),"Con subactividades: deje vacías las semanas (se calculan solas)"&amp;" · ","")&amp;IF((COUNTIF($I159:$L159,"&gt;1")+COUNTIF($I159:$L159,"&lt;0")+COUNTA($I159:$L159)-COUNT($I159:$L159))&gt;0,"Avance fuera de rango 0-100%"&amp;" · ","")&amp;IF(OR(AND($J159&lt;&gt;"",$J159&lt;$I159),AND($K159&lt;&gt;"",$K159&lt;MAX($I159:$J159)),AND($L159&lt;&gt;"",$L159&lt;MAX($I159:$K159))),"Avance semanal decreciente"&amp;" · ","")&amp;IF(AND(ISNUMBER($AN159),$AN159&lt;FechaRef,IF($V159="Sub",N($X159),N($M159))&lt;1),"Vencida"&amp;" · ","")&amp;IF(AND(ObsObligatoria="Sí",ISNUMBER($AN159),$AN159&lt;FechaRef,IF($V159="Sub",N($X159),N($M159))&lt;1,$Q159=""),"Vencida sin observación"&amp;" · ",""),LEN(IF($C159="","Falta el nombre de la actividad"&amp;" · ","")&amp;IF(AND($V159="Sub",N($U159)=0),"Subactividad sin macroactividad arriba"&amp;" · ","")&amp;IF($AM159="","Sin fecha de inicio"&amp;" · ","")&amp;IF($AN159="","Sin fecha límite"&amp;" · ","")&amp;IF(AND(LEFT($C159,11)="[Jefatura] ",N($AL159)=0),"No se encuentra en la hoja de la jefatura (elíjala de nuevo en la lista)"&amp;" · ","")&amp;IF(OR(AND($E159&lt;&gt;"",NOT(ISNUMBER($E159))),AND($F159&lt;&gt;"",NOT(ISNUMBER($F159))),AND($G159&lt;&gt;"",NOT(ISNUMBER($G159)))),"Fecha no válida"&amp;" · ","")&amp;IF(AND(ISNUMBER($AM159),ISNUMBER($AN159),$AM159&gt;$AN159),"Inicio posterior a fecha límite"&amp;" · ","")&amp;IF(AND($V159="Macro",$H159&lt;&gt;"",OR(NOT(ISNUMBER($H159)),$H159&lt;0,$H159&gt;1)),"Peso fuera de rango"&amp;" · ","")&amp;IF(AND($V159="Sub",$H159&lt;&gt;""),"Las subactividades no llevan peso (valen igual dentro de su macroactividad)"&amp;" · ","")&amp;IF(AND(N($W159)&gt;0,COUNT($I159:$L159)&gt;0),"Con subactividades: deje vacías las semanas (se calculan solas)"&amp;" · ","")&amp;IF((COUNTIF($I159:$L159,"&gt;1")+COUNTIF($I159:$L159,"&lt;0")+COUNTA($I159:$L159)-COUNT($I159:$L159))&gt;0,"Avance fuera de rango 0-100%"&amp;" · ","")&amp;IF(OR(AND($J159&lt;&gt;"",$J159&lt;$I159),AND($K159&lt;&gt;"",$K159&lt;MAX($I159:$J159)),AND($L159&lt;&gt;"",$L159&lt;MAX($I159:$K159))),"Avance semanal decreciente"&amp;" · ","")&amp;IF(AND(ISNUMBER($AN159),$AN159&lt;FechaRef,IF($V159="Sub",N($X159),N($M159))&lt;1),"Vencida"&amp;" · ","")&amp;IF(AND(ObsObligatoria="Sí",ISNUMBER($AN159),$AN159&lt;FechaRef,IF($V159="Sub",N($X159),N($M159))&lt;1,$Q159=""),"Vencida sin observación"&amp;" · ",""))-3)))</f>
        <v/>
      </c>
      <c r="S159" s="64">
        <f>IF(NOT((COUNTA($B159:$D159)+COUNTA($G159:$L159)+COUNTA($Q159))&gt;0),"",IF(AND($V159="Sub",N($U159)&gt;0),IF(ISNUMBER(INDEX($AM$5:$AM$1000,$U159-4)),DATE(YEAR(INDEX($AM$5:$AM$1000,$U159-4)),MONTH(INDEX($AM$5:$AM$1000,$U159-4)),1),IF(ISNUMBER(INDEX($AN$5:$AN$1000,$U159-4)),DATE(YEAR(INDEX($AN$5:$AN$1000,$U159-4)),MONTH(INDEX($AN$5:$AN$1000,$U159-4)),1),MesCiclo)),IF(ISNUMBER($AM159),DATE(YEAR($AM159),MONTH($AM159),1),IF(ISNUMBER($AN159),DATE(YEAR($AN159),MONTH($AN159),1),MesCiclo))))</f>
        <v/>
      </c>
      <c r="T159" s="62">
        <f>IF(OR($S159="",$S159&lt;&gt;MesCiclo,$V159&lt;&gt;"Macro"),"",COUNTIFS($S$5:$S159,MesCiclo,$V$5:$V159,"Macro"))</f>
        <v/>
      </c>
      <c r="U159" s="62">
        <f>IF($V159="","",IF($V159="Macro",ROW(),IFERROR(LOOKUP(2,1/($V$5:$V159="Macro"),ROW($V$5:$V159)),0)))</f>
        <v/>
      </c>
      <c r="V159" s="62">
        <f>IF(NOT((COUNTA($B159:$D159)+COUNTA($G159:$L159)+COUNTA($Q159))&gt;0),"",IF($B159="Subactividad","Sub","Macro"))</f>
        <v/>
      </c>
      <c r="W159" s="62">
        <f>IF($V159="Macro",COUNTIFS($U$5:$U$1000,ROW(),$V$5:$V$1000,"Sub"),"")</f>
        <v/>
      </c>
      <c r="X159" s="62">
        <f>IF($V159="","",IF(ISNUMBER($G159),1,IFERROR(LOOKUP(2,1/($I159:$L159&lt;&gt;""),$I159:$L159),0)))</f>
        <v/>
      </c>
      <c r="Y159" s="62">
        <f>IF($V159="","",IF(AND(ISNUMBER($G159),$G159&lt;=IF($S159=MesCiclo,InicioCiclo,$S159+MOD(2-WEEKDAY($S159),7))+6),1,IF(ISNUMBER($I159),$I159,0)))</f>
        <v/>
      </c>
      <c r="Z159" s="62">
        <f>IF($V159="","",IF(AND(ISNUMBER($G159),$G159&lt;=IF($S159=MesCiclo,InicioCiclo,$S159+MOD(2-WEEKDAY($S159),7))+13),1,IF(ISNUMBER($J159),$J159,$Y159)))</f>
        <v/>
      </c>
      <c r="AA159" s="62">
        <f>IF($V159="","",IF(AND(ISNUMBER($G159),$G159&lt;=IF($S159=MesCiclo,InicioCiclo,$S159+MOD(2-WEEKDAY($S159),7))+20),1,IF(ISNUMBER($K159),$K159,$Z159)))</f>
        <v/>
      </c>
      <c r="AB159" s="62">
        <f>IF($V159="","",IF(AND(ISNUMBER($G159),$G159&lt;=IF($S159=MesCiclo,InicioCiclo,$S159+MOD(2-WEEKDAY($S159),7))+27),1,IF(ISNUMBER($L159),$L159,$AA159)))</f>
        <v/>
      </c>
      <c r="AC159" s="62">
        <f>IF($V159="","",IF(AND(ISNUMBER($G159),$G159&lt;=IF($S159=MesCiclo,InicioCiclo,$S159+MOD(2-WEEKDAY($S159),7))+6),1,IF(N($W159)&gt;0,AVERAGEIFS($Y$5:$Y$1000,$U$5:$U$1000,ROW(),$V$5:$V$1000,"Sub"),$Y159)))</f>
        <v/>
      </c>
      <c r="AD159" s="62">
        <f>IF($V159="","",IF(AND(ISNUMBER($G159),$G159&lt;=IF($S159=MesCiclo,InicioCiclo,$S159+MOD(2-WEEKDAY($S159),7))+13),1,IF(N($W159)&gt;0,AVERAGEIFS($Z$5:$Z$1000,$U$5:$U$1000,ROW(),$V$5:$V$1000,"Sub"),$Z159)))</f>
        <v/>
      </c>
      <c r="AE159" s="62">
        <f>IF($V159="","",IF(AND(ISNUMBER($G159),$G159&lt;=IF($S159=MesCiclo,InicioCiclo,$S159+MOD(2-WEEKDAY($S159),7))+20),1,IF(N($W159)&gt;0,AVERAGEIFS($AA$5:$AA$1000,$U$5:$U$1000,ROW(),$V$5:$V$1000,"Sub"),$AA159)))</f>
        <v/>
      </c>
      <c r="AF159" s="62">
        <f>IF($V159="","",IF(AND(ISNUMBER($G159),$G159&lt;=IF($S159=MesCiclo,InicioCiclo,$S159+MOD(2-WEEKDAY($S159),7))+27),1,IF(N($W159)&gt;0,AVERAGEIFS($AB$5:$AB$1000,$U$5:$U$1000,ROW(),$V$5:$V$1000,"Sub"),$AB159)))</f>
        <v/>
      </c>
      <c r="AG159" s="62">
        <f>IF($V159&lt;&gt;"Macro","",IF(COUNTIFS($S$5:$S$1000,$S159,$V$5:$V$1000,"Macro",$H$5:$H$1000,"&gt;0")=0,1/COUNTIFS($S$5:$S$1000,$S159,$V$5:$V$1000,"Macro"),IF(AND(ISNUMBER($H159),N($H159)&gt;0),$H159,SUMIFS($H$5:$H$1000,$S$5:$S$1000,$S159,$V$5:$V$1000,"Macro")/COUNTIFS($S$5:$S$1000,$S159,$V$5:$V$1000,"Macro",$H$5:$H$1000,"&gt;0"))/(COUNTIFS($S$5:$S$1000,$S159,$V$5:$V$1000,"Macro")*SUMIFS($H$5:$H$1000,$S$5:$S$1000,$S159,$V$5:$V$1000,"Macro")/COUNTIFS($S$5:$S$1000,$S159,$V$5:$V$1000,"Macro",$H$5:$H$1000,"&gt;0"))))</f>
        <v/>
      </c>
      <c r="AH159" s="62">
        <f>IF(NOT(AND($D159&lt;&gt;"",$V159="Macro")),"",IFERROR(CHOOSE(MATCH($D159,ListaPuestos,0),MATCH("[Jefatura] "&amp;$C159,'Cronograma R. Operacional'!$C$5:$C$1000,0),MATCH("[Jefatura] "&amp;$C159,'Cronograma R. Normativo'!$C$5:$C$1000,0),MATCH("[Jefatura] "&amp;$C159,'Cronograma R. Financiero'!$C$5:$C$1000,0),MATCH("[Jefatura] "&amp;$C159,'Cronograma Asistente Técnico'!$C$5:$C$1000,0)),0))</f>
        <v/>
      </c>
      <c r="AI159" s="62">
        <f>IF(AND(AND($D159&lt;&gt;"",$V159="Macro"),$S159=MesCiclo),COUNTIFS($D$5:$D159,$D159,$S$5:$S159,MesCiclo,$V$5:$V159,"Macro"),"")</f>
        <v/>
      </c>
      <c r="AJ159" s="62">
        <f>IF($AI159="","",$D159&amp;"|"&amp;$AI159)</f>
        <v/>
      </c>
      <c r="AK159" s="62">
        <f>IF(AND($D159&lt;&gt;"",$V159="Macro"),$D159&amp;"|"&amp;$C159,"")</f>
        <v/>
      </c>
      <c r="AL159" s="62">
        <f>""</f>
        <v/>
      </c>
      <c r="AM159" s="62">
        <f>IF(N($AL159)&gt;0,INDEX(rIni_ADM,$AL159),IF(ISNUMBER($E159),$E159,""))</f>
        <v/>
      </c>
      <c r="AN159" s="62">
        <f>IF(N($AL159)&gt;0,INDEX(rLim_ADM,$AL159),IF(ISNUMBER($F159),$F159,""))</f>
        <v/>
      </c>
    </row>
    <row r="160">
      <c r="A160" s="56">
        <f>IF(NOT((COUNTA($B160:$D160)+COUNTA($G160:$L160)+COUNTA($Q160))&gt;0),"",IF($V160="Macro",COUNTIFS($V$5:$V160,"Macro",$S$5:$S160,$S160),IF(N($U160)=0,"?",COUNTIFS(INDEX($V$5:$V$1000,1):INDEX($V$5:$V$1000,$U160-4),"Macro",INDEX($S$5:$S$1000,1):INDEX($S$5:$S$1000,$U160-4),INDEX($S$5:$S$1000,$U160-4))&amp;"."&amp;COUNTIFS($U$5:$U160,$U160,$V$5:$V160,"Sub"))))</f>
        <v/>
      </c>
      <c r="B160" s="57" t="n"/>
      <c r="C160" s="58" t="n"/>
      <c r="D160" s="58" t="n"/>
      <c r="E160" s="59" t="n"/>
      <c r="F160" s="59" t="n"/>
      <c r="G160" s="59" t="n"/>
      <c r="H160" s="60" t="n"/>
      <c r="I160" s="60" t="n"/>
      <c r="J160" s="60" t="n"/>
      <c r="K160" s="60" t="n"/>
      <c r="L160" s="60" t="n"/>
      <c r="M160" s="61">
        <f>IF(NOT((COUNTA($B160:$D160)+COUNTA($G160:$L160)+COUNTA($Q160))&gt;0),"",IF(AND($D160&lt;&gt;"",$V160="Macro"),IF(N($AH160)&gt;0,N(CHOOSE(MATCH($D160,ListaPuestos,0),INDEX('Cronograma R. Operacional'!$M$5:$M$1000,$AH160),INDEX('Cronograma R. Normativo'!$M$5:$M$1000,$AH160),INDEX('Cronograma R. Financiero'!$M$5:$M$1000,$AH160),INDEX('Cronograma Asistente Técnico'!$M$5:$M$1000,$AH160))),0),IF(ISNUMBER($G160),1,IF(N($W160)&gt;0,AVERAGEIFS($X$5:$X$1000,$U$5:$U$1000,ROW(),$V$5:$V$1000,"Sub"),$X160))))</f>
        <v/>
      </c>
      <c r="N160" s="56">
        <f>IF(OR($M160="",$V160="Sub"),"",IF($M160&gt;=1,"Completado",IF($M160&gt;0,"En curso","Pendiente")))</f>
        <v/>
      </c>
      <c r="O160" s="56">
        <f>IF(NOT((COUNTA($B160:$D160)+COUNTA($G160:$L160)+COUNTA($Q160))&gt;0),"",IF(AND(AND($D160&lt;&gt;"",$V160="Macro"),N($AH160)&gt;0),CHOOSE(MATCH($D160,ListaPuestos,0),INDEX('Cronograma R. Operacional'!$O$5:$O$1000,$AH160),INDEX('Cronograma R. Normativo'!$O$5:$O$1000,$AH160),INDEX('Cronograma R. Financiero'!$O$5:$O$1000,$AH160),INDEX('Cronograma Asistente Técnico'!$O$5:$O$1000,$AH160))&amp;"",IF(ISNUMBER($G160),IF(AND(ISNUMBER($AN160),$G160&gt;$AN160),"Cumplida con "&amp;($G160-$AN160)&amp;IF($G160-$AN160=1," día"," días")&amp;" de retraso","Cumplida"),IF(N($M160)&gt;=1,"Cumplida",IF(NOT(ISNUMBER($AN160)),"Sin fecha límite",IF($AN160&lt;FechaRef,"Vencida hace "&amp;(FechaRef-$AN160)&amp;IF(FechaRef-$AN160=1," día"," días"),IF($AN160=FechaRef,"Vence hoy",IF($AN160-FechaRef&lt;=DiasAlerta,"Vence en "&amp;($AN160-FechaRef)&amp;IF($AN160-FechaRef=1," día"," días"),"En plazo"))))))))</f>
        <v/>
      </c>
      <c r="P160" s="62">
        <f>IF(NOT((COUNTA($B160:$D160)+COUNTA($G160:$L160)+COUNTA($Q160))&gt;0),"",IF($D160="","Propia",IF($V160&lt;&gt;"Macro","Solo se delegan macroactividades",IF(N($AH160)&gt;0,"✔ Recibida por "&amp;$D160,"⚠ "&amp;$D160&amp;" aún no la agrega"))))</f>
        <v/>
      </c>
      <c r="Q160" s="58" t="n"/>
      <c r="R160" s="63">
        <f>IF(NOT((COUNTA($B160:$D160)+COUNTA($G160:$L160)+COUNTA($Q160))&gt;0),"",IF((IF($C160="","Falta el nombre de la actividad"&amp;" · ","")&amp;IF(AND($V160="Sub",N($U160)=0),"Subactividad sin macroactividad arriba"&amp;" · ","")&amp;IF($AM160="","Sin fecha de inicio"&amp;" · ","")&amp;IF($AN160="","Sin fecha límite"&amp;" · ","")&amp;IF(AND(LEFT($C160,11)="[Jefatura] ",N($AL160)=0),"No se encuentra en la hoja de la jefatura (elíjala de nuevo en la lista)"&amp;" · ","")&amp;IF(OR(AND($E160&lt;&gt;"",NOT(ISNUMBER($E160))),AND($F160&lt;&gt;"",NOT(ISNUMBER($F160))),AND($G160&lt;&gt;"",NOT(ISNUMBER($G160)))),"Fecha no válida"&amp;" · ","")&amp;IF(AND(ISNUMBER($AM160),ISNUMBER($AN160),$AM160&gt;$AN160),"Inicio posterior a fecha límite"&amp;" · ","")&amp;IF(AND($V160="Macro",$H160&lt;&gt;"",OR(NOT(ISNUMBER($H160)),$H160&lt;0,$H160&gt;1)),"Peso fuera de rango"&amp;" · ","")&amp;IF(AND($V160="Sub",$H160&lt;&gt;""),"Las subactividades no llevan peso (valen igual dentro de su macroactividad)"&amp;" · ","")&amp;IF(AND(N($W160)&gt;0,COUNT($I160:$L160)&gt;0),"Con subactividades: deje vacías las semanas (se calculan solas)"&amp;" · ","")&amp;IF((COUNTIF($I160:$L160,"&gt;1")+COUNTIF($I160:$L160,"&lt;0")+COUNTA($I160:$L160)-COUNT($I160:$L160))&gt;0,"Avance fuera de rango 0-100%"&amp;" · ","")&amp;IF(OR(AND($J160&lt;&gt;"",$J160&lt;$I160),AND($K160&lt;&gt;"",$K160&lt;MAX($I160:$J160)),AND($L160&lt;&gt;"",$L160&lt;MAX($I160:$K160))),"Avance semanal decreciente"&amp;" · ","")&amp;IF(AND(ISNUMBER($AN160),$AN160&lt;FechaRef,IF($V160="Sub",N($X160),N($M160))&lt;1),"Vencida"&amp;" · ","")&amp;IF(AND(ObsObligatoria="Sí",ISNUMBER($AN160),$AN160&lt;FechaRef,IF($V160="Sub",N($X160),N($M160))&lt;1,$Q160=""),"Vencida sin observación"&amp;" · ",""))="","✔ OK","⚠ "&amp;LEFT(IF($C160="","Falta el nombre de la actividad"&amp;" · ","")&amp;IF(AND($V160="Sub",N($U160)=0),"Subactividad sin macroactividad arriba"&amp;" · ","")&amp;IF($AM160="","Sin fecha de inicio"&amp;" · ","")&amp;IF($AN160="","Sin fecha límite"&amp;" · ","")&amp;IF(AND(LEFT($C160,11)="[Jefatura] ",N($AL160)=0),"No se encuentra en la hoja de la jefatura (elíjala de nuevo en la lista)"&amp;" · ","")&amp;IF(OR(AND($E160&lt;&gt;"",NOT(ISNUMBER($E160))),AND($F160&lt;&gt;"",NOT(ISNUMBER($F160))),AND($G160&lt;&gt;"",NOT(ISNUMBER($G160)))),"Fecha no válida"&amp;" · ","")&amp;IF(AND(ISNUMBER($AM160),ISNUMBER($AN160),$AM160&gt;$AN160),"Inicio posterior a fecha límite"&amp;" · ","")&amp;IF(AND($V160="Macro",$H160&lt;&gt;"",OR(NOT(ISNUMBER($H160)),$H160&lt;0,$H160&gt;1)),"Peso fuera de rango"&amp;" · ","")&amp;IF(AND($V160="Sub",$H160&lt;&gt;""),"Las subactividades no llevan peso (valen igual dentro de su macroactividad)"&amp;" · ","")&amp;IF(AND(N($W160)&gt;0,COUNT($I160:$L160)&gt;0),"Con subactividades: deje vacías las semanas (se calculan solas)"&amp;" · ","")&amp;IF((COUNTIF($I160:$L160,"&gt;1")+COUNTIF($I160:$L160,"&lt;0")+COUNTA($I160:$L160)-COUNT($I160:$L160))&gt;0,"Avance fuera de rango 0-100%"&amp;" · ","")&amp;IF(OR(AND($J160&lt;&gt;"",$J160&lt;$I160),AND($K160&lt;&gt;"",$K160&lt;MAX($I160:$J160)),AND($L160&lt;&gt;"",$L160&lt;MAX($I160:$K160))),"Avance semanal decreciente"&amp;" · ","")&amp;IF(AND(ISNUMBER($AN160),$AN160&lt;FechaRef,IF($V160="Sub",N($X160),N($M160))&lt;1),"Vencida"&amp;" · ","")&amp;IF(AND(ObsObligatoria="Sí",ISNUMBER($AN160),$AN160&lt;FechaRef,IF($V160="Sub",N($X160),N($M160))&lt;1,$Q160=""),"Vencida sin observación"&amp;" · ",""),LEN(IF($C160="","Falta el nombre de la actividad"&amp;" · ","")&amp;IF(AND($V160="Sub",N($U160)=0),"Subactividad sin macroactividad arriba"&amp;" · ","")&amp;IF($AM160="","Sin fecha de inicio"&amp;" · ","")&amp;IF($AN160="","Sin fecha límite"&amp;" · ","")&amp;IF(AND(LEFT($C160,11)="[Jefatura] ",N($AL160)=0),"No se encuentra en la hoja de la jefatura (elíjala de nuevo en la lista)"&amp;" · ","")&amp;IF(OR(AND($E160&lt;&gt;"",NOT(ISNUMBER($E160))),AND($F160&lt;&gt;"",NOT(ISNUMBER($F160))),AND($G160&lt;&gt;"",NOT(ISNUMBER($G160)))),"Fecha no válida"&amp;" · ","")&amp;IF(AND(ISNUMBER($AM160),ISNUMBER($AN160),$AM160&gt;$AN160),"Inicio posterior a fecha límite"&amp;" · ","")&amp;IF(AND($V160="Macro",$H160&lt;&gt;"",OR(NOT(ISNUMBER($H160)),$H160&lt;0,$H160&gt;1)),"Peso fuera de rango"&amp;" · ","")&amp;IF(AND($V160="Sub",$H160&lt;&gt;""),"Las subactividades no llevan peso (valen igual dentro de su macroactividad)"&amp;" · ","")&amp;IF(AND(N($W160)&gt;0,COUNT($I160:$L160)&gt;0),"Con subactividades: deje vacías las semanas (se calculan solas)"&amp;" · ","")&amp;IF((COUNTIF($I160:$L160,"&gt;1")+COUNTIF($I160:$L160,"&lt;0")+COUNTA($I160:$L160)-COUNT($I160:$L160))&gt;0,"Avance fuera de rango 0-100%"&amp;" · ","")&amp;IF(OR(AND($J160&lt;&gt;"",$J160&lt;$I160),AND($K160&lt;&gt;"",$K160&lt;MAX($I160:$J160)),AND($L160&lt;&gt;"",$L160&lt;MAX($I160:$K160))),"Avance semanal decreciente"&amp;" · ","")&amp;IF(AND(ISNUMBER($AN160),$AN160&lt;FechaRef,IF($V160="Sub",N($X160),N($M160))&lt;1),"Vencida"&amp;" · ","")&amp;IF(AND(ObsObligatoria="Sí",ISNUMBER($AN160),$AN160&lt;FechaRef,IF($V160="Sub",N($X160),N($M160))&lt;1,$Q160=""),"Vencida sin observación"&amp;" · ",""))-3)))</f>
        <v/>
      </c>
      <c r="S160" s="64">
        <f>IF(NOT((COUNTA($B160:$D160)+COUNTA($G160:$L160)+COUNTA($Q160))&gt;0),"",IF(AND($V160="Sub",N($U160)&gt;0),IF(ISNUMBER(INDEX($AM$5:$AM$1000,$U160-4)),DATE(YEAR(INDEX($AM$5:$AM$1000,$U160-4)),MONTH(INDEX($AM$5:$AM$1000,$U160-4)),1),IF(ISNUMBER(INDEX($AN$5:$AN$1000,$U160-4)),DATE(YEAR(INDEX($AN$5:$AN$1000,$U160-4)),MONTH(INDEX($AN$5:$AN$1000,$U160-4)),1),MesCiclo)),IF(ISNUMBER($AM160),DATE(YEAR($AM160),MONTH($AM160),1),IF(ISNUMBER($AN160),DATE(YEAR($AN160),MONTH($AN160),1),MesCiclo))))</f>
        <v/>
      </c>
      <c r="T160" s="62">
        <f>IF(OR($S160="",$S160&lt;&gt;MesCiclo,$V160&lt;&gt;"Macro"),"",COUNTIFS($S$5:$S160,MesCiclo,$V$5:$V160,"Macro"))</f>
        <v/>
      </c>
      <c r="U160" s="62">
        <f>IF($V160="","",IF($V160="Macro",ROW(),IFERROR(LOOKUP(2,1/($V$5:$V160="Macro"),ROW($V$5:$V160)),0)))</f>
        <v/>
      </c>
      <c r="V160" s="62">
        <f>IF(NOT((COUNTA($B160:$D160)+COUNTA($G160:$L160)+COUNTA($Q160))&gt;0),"",IF($B160="Subactividad","Sub","Macro"))</f>
        <v/>
      </c>
      <c r="W160" s="62">
        <f>IF($V160="Macro",COUNTIFS($U$5:$U$1000,ROW(),$V$5:$V$1000,"Sub"),"")</f>
        <v/>
      </c>
      <c r="X160" s="62">
        <f>IF($V160="","",IF(ISNUMBER($G160),1,IFERROR(LOOKUP(2,1/($I160:$L160&lt;&gt;""),$I160:$L160),0)))</f>
        <v/>
      </c>
      <c r="Y160" s="62">
        <f>IF($V160="","",IF(AND(ISNUMBER($G160),$G160&lt;=IF($S160=MesCiclo,InicioCiclo,$S160+MOD(2-WEEKDAY($S160),7))+6),1,IF(ISNUMBER($I160),$I160,0)))</f>
        <v/>
      </c>
      <c r="Z160" s="62">
        <f>IF($V160="","",IF(AND(ISNUMBER($G160),$G160&lt;=IF($S160=MesCiclo,InicioCiclo,$S160+MOD(2-WEEKDAY($S160),7))+13),1,IF(ISNUMBER($J160),$J160,$Y160)))</f>
        <v/>
      </c>
      <c r="AA160" s="62">
        <f>IF($V160="","",IF(AND(ISNUMBER($G160),$G160&lt;=IF($S160=MesCiclo,InicioCiclo,$S160+MOD(2-WEEKDAY($S160),7))+20),1,IF(ISNUMBER($K160),$K160,$Z160)))</f>
        <v/>
      </c>
      <c r="AB160" s="62">
        <f>IF($V160="","",IF(AND(ISNUMBER($G160),$G160&lt;=IF($S160=MesCiclo,InicioCiclo,$S160+MOD(2-WEEKDAY($S160),7))+27),1,IF(ISNUMBER($L160),$L160,$AA160)))</f>
        <v/>
      </c>
      <c r="AC160" s="62">
        <f>IF($V160="","",IF(AND(ISNUMBER($G160),$G160&lt;=IF($S160=MesCiclo,InicioCiclo,$S160+MOD(2-WEEKDAY($S160),7))+6),1,IF(N($W160)&gt;0,AVERAGEIFS($Y$5:$Y$1000,$U$5:$U$1000,ROW(),$V$5:$V$1000,"Sub"),$Y160)))</f>
        <v/>
      </c>
      <c r="AD160" s="62">
        <f>IF($V160="","",IF(AND(ISNUMBER($G160),$G160&lt;=IF($S160=MesCiclo,InicioCiclo,$S160+MOD(2-WEEKDAY($S160),7))+13),1,IF(N($W160)&gt;0,AVERAGEIFS($Z$5:$Z$1000,$U$5:$U$1000,ROW(),$V$5:$V$1000,"Sub"),$Z160)))</f>
        <v/>
      </c>
      <c r="AE160" s="62">
        <f>IF($V160="","",IF(AND(ISNUMBER($G160),$G160&lt;=IF($S160=MesCiclo,InicioCiclo,$S160+MOD(2-WEEKDAY($S160),7))+20),1,IF(N($W160)&gt;0,AVERAGEIFS($AA$5:$AA$1000,$U$5:$U$1000,ROW(),$V$5:$V$1000,"Sub"),$AA160)))</f>
        <v/>
      </c>
      <c r="AF160" s="62">
        <f>IF($V160="","",IF(AND(ISNUMBER($G160),$G160&lt;=IF($S160=MesCiclo,InicioCiclo,$S160+MOD(2-WEEKDAY($S160),7))+27),1,IF(N($W160)&gt;0,AVERAGEIFS($AB$5:$AB$1000,$U$5:$U$1000,ROW(),$V$5:$V$1000,"Sub"),$AB160)))</f>
        <v/>
      </c>
      <c r="AG160" s="62">
        <f>IF($V160&lt;&gt;"Macro","",IF(COUNTIFS($S$5:$S$1000,$S160,$V$5:$V$1000,"Macro",$H$5:$H$1000,"&gt;0")=0,1/COUNTIFS($S$5:$S$1000,$S160,$V$5:$V$1000,"Macro"),IF(AND(ISNUMBER($H160),N($H160)&gt;0),$H160,SUMIFS($H$5:$H$1000,$S$5:$S$1000,$S160,$V$5:$V$1000,"Macro")/COUNTIFS($S$5:$S$1000,$S160,$V$5:$V$1000,"Macro",$H$5:$H$1000,"&gt;0"))/(COUNTIFS($S$5:$S$1000,$S160,$V$5:$V$1000,"Macro")*SUMIFS($H$5:$H$1000,$S$5:$S$1000,$S160,$V$5:$V$1000,"Macro")/COUNTIFS($S$5:$S$1000,$S160,$V$5:$V$1000,"Macro",$H$5:$H$1000,"&gt;0"))))</f>
        <v/>
      </c>
      <c r="AH160" s="62">
        <f>IF(NOT(AND($D160&lt;&gt;"",$V160="Macro")),"",IFERROR(CHOOSE(MATCH($D160,ListaPuestos,0),MATCH("[Jefatura] "&amp;$C160,'Cronograma R. Operacional'!$C$5:$C$1000,0),MATCH("[Jefatura] "&amp;$C160,'Cronograma R. Normativo'!$C$5:$C$1000,0),MATCH("[Jefatura] "&amp;$C160,'Cronograma R. Financiero'!$C$5:$C$1000,0),MATCH("[Jefatura] "&amp;$C160,'Cronograma Asistente Técnico'!$C$5:$C$1000,0)),0))</f>
        <v/>
      </c>
      <c r="AI160" s="62">
        <f>IF(AND(AND($D160&lt;&gt;"",$V160="Macro"),$S160=MesCiclo),COUNTIFS($D$5:$D160,$D160,$S$5:$S160,MesCiclo,$V$5:$V160,"Macro"),"")</f>
        <v/>
      </c>
      <c r="AJ160" s="62">
        <f>IF($AI160="","",$D160&amp;"|"&amp;$AI160)</f>
        <v/>
      </c>
      <c r="AK160" s="62">
        <f>IF(AND($D160&lt;&gt;"",$V160="Macro"),$D160&amp;"|"&amp;$C160,"")</f>
        <v/>
      </c>
      <c r="AL160" s="62">
        <f>""</f>
        <v/>
      </c>
      <c r="AM160" s="62">
        <f>IF(N($AL160)&gt;0,INDEX(rIni_ADM,$AL160),IF(ISNUMBER($E160),$E160,""))</f>
        <v/>
      </c>
      <c r="AN160" s="62">
        <f>IF(N($AL160)&gt;0,INDEX(rLim_ADM,$AL160),IF(ISNUMBER($F160),$F160,""))</f>
        <v/>
      </c>
    </row>
    <row r="161">
      <c r="A161" s="56">
        <f>IF(NOT((COUNTA($B161:$D161)+COUNTA($G161:$L161)+COUNTA($Q161))&gt;0),"",IF($V161="Macro",COUNTIFS($V$5:$V161,"Macro",$S$5:$S161,$S161),IF(N($U161)=0,"?",COUNTIFS(INDEX($V$5:$V$1000,1):INDEX($V$5:$V$1000,$U161-4),"Macro",INDEX($S$5:$S$1000,1):INDEX($S$5:$S$1000,$U161-4),INDEX($S$5:$S$1000,$U161-4))&amp;"."&amp;COUNTIFS($U$5:$U161,$U161,$V$5:$V161,"Sub"))))</f>
        <v/>
      </c>
      <c r="B161" s="57" t="n"/>
      <c r="C161" s="58" t="n"/>
      <c r="D161" s="58" t="n"/>
      <c r="E161" s="59" t="n"/>
      <c r="F161" s="59" t="n"/>
      <c r="G161" s="59" t="n"/>
      <c r="H161" s="60" t="n"/>
      <c r="I161" s="60" t="n"/>
      <c r="J161" s="60" t="n"/>
      <c r="K161" s="60" t="n"/>
      <c r="L161" s="60" t="n"/>
      <c r="M161" s="61">
        <f>IF(NOT((COUNTA($B161:$D161)+COUNTA($G161:$L161)+COUNTA($Q161))&gt;0),"",IF(AND($D161&lt;&gt;"",$V161="Macro"),IF(N($AH161)&gt;0,N(CHOOSE(MATCH($D161,ListaPuestos,0),INDEX('Cronograma R. Operacional'!$M$5:$M$1000,$AH161),INDEX('Cronograma R. Normativo'!$M$5:$M$1000,$AH161),INDEX('Cronograma R. Financiero'!$M$5:$M$1000,$AH161),INDEX('Cronograma Asistente Técnico'!$M$5:$M$1000,$AH161))),0),IF(ISNUMBER($G161),1,IF(N($W161)&gt;0,AVERAGEIFS($X$5:$X$1000,$U$5:$U$1000,ROW(),$V$5:$V$1000,"Sub"),$X161))))</f>
        <v/>
      </c>
      <c r="N161" s="56">
        <f>IF(OR($M161="",$V161="Sub"),"",IF($M161&gt;=1,"Completado",IF($M161&gt;0,"En curso","Pendiente")))</f>
        <v/>
      </c>
      <c r="O161" s="56">
        <f>IF(NOT((COUNTA($B161:$D161)+COUNTA($G161:$L161)+COUNTA($Q161))&gt;0),"",IF(AND(AND($D161&lt;&gt;"",$V161="Macro"),N($AH161)&gt;0),CHOOSE(MATCH($D161,ListaPuestos,0),INDEX('Cronograma R. Operacional'!$O$5:$O$1000,$AH161),INDEX('Cronograma R. Normativo'!$O$5:$O$1000,$AH161),INDEX('Cronograma R. Financiero'!$O$5:$O$1000,$AH161),INDEX('Cronograma Asistente Técnico'!$O$5:$O$1000,$AH161))&amp;"",IF(ISNUMBER($G161),IF(AND(ISNUMBER($AN161),$G161&gt;$AN161),"Cumplida con "&amp;($G161-$AN161)&amp;IF($G161-$AN161=1," día"," días")&amp;" de retraso","Cumplida"),IF(N($M161)&gt;=1,"Cumplida",IF(NOT(ISNUMBER($AN161)),"Sin fecha límite",IF($AN161&lt;FechaRef,"Vencida hace "&amp;(FechaRef-$AN161)&amp;IF(FechaRef-$AN161=1," día"," días"),IF($AN161=FechaRef,"Vence hoy",IF($AN161-FechaRef&lt;=DiasAlerta,"Vence en "&amp;($AN161-FechaRef)&amp;IF($AN161-FechaRef=1," día"," días"),"En plazo"))))))))</f>
        <v/>
      </c>
      <c r="P161" s="62">
        <f>IF(NOT((COUNTA($B161:$D161)+COUNTA($G161:$L161)+COUNTA($Q161))&gt;0),"",IF($D161="","Propia",IF($V161&lt;&gt;"Macro","Solo se delegan macroactividades",IF(N($AH161)&gt;0,"✔ Recibida por "&amp;$D161,"⚠ "&amp;$D161&amp;" aún no la agrega"))))</f>
        <v/>
      </c>
      <c r="Q161" s="58" t="n"/>
      <c r="R161" s="63">
        <f>IF(NOT((COUNTA($B161:$D161)+COUNTA($G161:$L161)+COUNTA($Q161))&gt;0),"",IF((IF($C161="","Falta el nombre de la actividad"&amp;" · ","")&amp;IF(AND($V161="Sub",N($U161)=0),"Subactividad sin macroactividad arriba"&amp;" · ","")&amp;IF($AM161="","Sin fecha de inicio"&amp;" · ","")&amp;IF($AN161="","Sin fecha límite"&amp;" · ","")&amp;IF(AND(LEFT($C161,11)="[Jefatura] ",N($AL161)=0),"No se encuentra en la hoja de la jefatura (elíjala de nuevo en la lista)"&amp;" · ","")&amp;IF(OR(AND($E161&lt;&gt;"",NOT(ISNUMBER($E161))),AND($F161&lt;&gt;"",NOT(ISNUMBER($F161))),AND($G161&lt;&gt;"",NOT(ISNUMBER($G161)))),"Fecha no válida"&amp;" · ","")&amp;IF(AND(ISNUMBER($AM161),ISNUMBER($AN161),$AM161&gt;$AN161),"Inicio posterior a fecha límite"&amp;" · ","")&amp;IF(AND($V161="Macro",$H161&lt;&gt;"",OR(NOT(ISNUMBER($H161)),$H161&lt;0,$H161&gt;1)),"Peso fuera de rango"&amp;" · ","")&amp;IF(AND($V161="Sub",$H161&lt;&gt;""),"Las subactividades no llevan peso (valen igual dentro de su macroactividad)"&amp;" · ","")&amp;IF(AND(N($W161)&gt;0,COUNT($I161:$L161)&gt;0),"Con subactividades: deje vacías las semanas (se calculan solas)"&amp;" · ","")&amp;IF((COUNTIF($I161:$L161,"&gt;1")+COUNTIF($I161:$L161,"&lt;0")+COUNTA($I161:$L161)-COUNT($I161:$L161))&gt;0,"Avance fuera de rango 0-100%"&amp;" · ","")&amp;IF(OR(AND($J161&lt;&gt;"",$J161&lt;$I161),AND($K161&lt;&gt;"",$K161&lt;MAX($I161:$J161)),AND($L161&lt;&gt;"",$L161&lt;MAX($I161:$K161))),"Avance semanal decreciente"&amp;" · ","")&amp;IF(AND(ISNUMBER($AN161),$AN161&lt;FechaRef,IF($V161="Sub",N($X161),N($M161))&lt;1),"Vencida"&amp;" · ","")&amp;IF(AND(ObsObligatoria="Sí",ISNUMBER($AN161),$AN161&lt;FechaRef,IF($V161="Sub",N($X161),N($M161))&lt;1,$Q161=""),"Vencida sin observación"&amp;" · ",""))="","✔ OK","⚠ "&amp;LEFT(IF($C161="","Falta el nombre de la actividad"&amp;" · ","")&amp;IF(AND($V161="Sub",N($U161)=0),"Subactividad sin macroactividad arriba"&amp;" · ","")&amp;IF($AM161="","Sin fecha de inicio"&amp;" · ","")&amp;IF($AN161="","Sin fecha límite"&amp;" · ","")&amp;IF(AND(LEFT($C161,11)="[Jefatura] ",N($AL161)=0),"No se encuentra en la hoja de la jefatura (elíjala de nuevo en la lista)"&amp;" · ","")&amp;IF(OR(AND($E161&lt;&gt;"",NOT(ISNUMBER($E161))),AND($F161&lt;&gt;"",NOT(ISNUMBER($F161))),AND($G161&lt;&gt;"",NOT(ISNUMBER($G161)))),"Fecha no válida"&amp;" · ","")&amp;IF(AND(ISNUMBER($AM161),ISNUMBER($AN161),$AM161&gt;$AN161),"Inicio posterior a fecha límite"&amp;" · ","")&amp;IF(AND($V161="Macro",$H161&lt;&gt;"",OR(NOT(ISNUMBER($H161)),$H161&lt;0,$H161&gt;1)),"Peso fuera de rango"&amp;" · ","")&amp;IF(AND($V161="Sub",$H161&lt;&gt;""),"Las subactividades no llevan peso (valen igual dentro de su macroactividad)"&amp;" · ","")&amp;IF(AND(N($W161)&gt;0,COUNT($I161:$L161)&gt;0),"Con subactividades: deje vacías las semanas (se calculan solas)"&amp;" · ","")&amp;IF((COUNTIF($I161:$L161,"&gt;1")+COUNTIF($I161:$L161,"&lt;0")+COUNTA($I161:$L161)-COUNT($I161:$L161))&gt;0,"Avance fuera de rango 0-100%"&amp;" · ","")&amp;IF(OR(AND($J161&lt;&gt;"",$J161&lt;$I161),AND($K161&lt;&gt;"",$K161&lt;MAX($I161:$J161)),AND($L161&lt;&gt;"",$L161&lt;MAX($I161:$K161))),"Avance semanal decreciente"&amp;" · ","")&amp;IF(AND(ISNUMBER($AN161),$AN161&lt;FechaRef,IF($V161="Sub",N($X161),N($M161))&lt;1),"Vencida"&amp;" · ","")&amp;IF(AND(ObsObligatoria="Sí",ISNUMBER($AN161),$AN161&lt;FechaRef,IF($V161="Sub",N($X161),N($M161))&lt;1,$Q161=""),"Vencida sin observación"&amp;" · ",""),LEN(IF($C161="","Falta el nombre de la actividad"&amp;" · ","")&amp;IF(AND($V161="Sub",N($U161)=0),"Subactividad sin macroactividad arriba"&amp;" · ","")&amp;IF($AM161="","Sin fecha de inicio"&amp;" · ","")&amp;IF($AN161="","Sin fecha límite"&amp;" · ","")&amp;IF(AND(LEFT($C161,11)="[Jefatura] ",N($AL161)=0),"No se encuentra en la hoja de la jefatura (elíjala de nuevo en la lista)"&amp;" · ","")&amp;IF(OR(AND($E161&lt;&gt;"",NOT(ISNUMBER($E161))),AND($F161&lt;&gt;"",NOT(ISNUMBER($F161))),AND($G161&lt;&gt;"",NOT(ISNUMBER($G161)))),"Fecha no válida"&amp;" · ","")&amp;IF(AND(ISNUMBER($AM161),ISNUMBER($AN161),$AM161&gt;$AN161),"Inicio posterior a fecha límite"&amp;" · ","")&amp;IF(AND($V161="Macro",$H161&lt;&gt;"",OR(NOT(ISNUMBER($H161)),$H161&lt;0,$H161&gt;1)),"Peso fuera de rango"&amp;" · ","")&amp;IF(AND($V161="Sub",$H161&lt;&gt;""),"Las subactividades no llevan peso (valen igual dentro de su macroactividad)"&amp;" · ","")&amp;IF(AND(N($W161)&gt;0,COUNT($I161:$L161)&gt;0),"Con subactividades: deje vacías las semanas (se calculan solas)"&amp;" · ","")&amp;IF((COUNTIF($I161:$L161,"&gt;1")+COUNTIF($I161:$L161,"&lt;0")+COUNTA($I161:$L161)-COUNT($I161:$L161))&gt;0,"Avance fuera de rango 0-100%"&amp;" · ","")&amp;IF(OR(AND($J161&lt;&gt;"",$J161&lt;$I161),AND($K161&lt;&gt;"",$K161&lt;MAX($I161:$J161)),AND($L161&lt;&gt;"",$L161&lt;MAX($I161:$K161))),"Avance semanal decreciente"&amp;" · ","")&amp;IF(AND(ISNUMBER($AN161),$AN161&lt;FechaRef,IF($V161="Sub",N($X161),N($M161))&lt;1),"Vencida"&amp;" · ","")&amp;IF(AND(ObsObligatoria="Sí",ISNUMBER($AN161),$AN161&lt;FechaRef,IF($V161="Sub",N($X161),N($M161))&lt;1,$Q161=""),"Vencida sin observación"&amp;" · ",""))-3)))</f>
        <v/>
      </c>
      <c r="S161" s="64">
        <f>IF(NOT((COUNTA($B161:$D161)+COUNTA($G161:$L161)+COUNTA($Q161))&gt;0),"",IF(AND($V161="Sub",N($U161)&gt;0),IF(ISNUMBER(INDEX($AM$5:$AM$1000,$U161-4)),DATE(YEAR(INDEX($AM$5:$AM$1000,$U161-4)),MONTH(INDEX($AM$5:$AM$1000,$U161-4)),1),IF(ISNUMBER(INDEX($AN$5:$AN$1000,$U161-4)),DATE(YEAR(INDEX($AN$5:$AN$1000,$U161-4)),MONTH(INDEX($AN$5:$AN$1000,$U161-4)),1),MesCiclo)),IF(ISNUMBER($AM161),DATE(YEAR($AM161),MONTH($AM161),1),IF(ISNUMBER($AN161),DATE(YEAR($AN161),MONTH($AN161),1),MesCiclo))))</f>
        <v/>
      </c>
      <c r="T161" s="62">
        <f>IF(OR($S161="",$S161&lt;&gt;MesCiclo,$V161&lt;&gt;"Macro"),"",COUNTIFS($S$5:$S161,MesCiclo,$V$5:$V161,"Macro"))</f>
        <v/>
      </c>
      <c r="U161" s="62">
        <f>IF($V161="","",IF($V161="Macro",ROW(),IFERROR(LOOKUP(2,1/($V$5:$V161="Macro"),ROW($V$5:$V161)),0)))</f>
        <v/>
      </c>
      <c r="V161" s="62">
        <f>IF(NOT((COUNTA($B161:$D161)+COUNTA($G161:$L161)+COUNTA($Q161))&gt;0),"",IF($B161="Subactividad","Sub","Macro"))</f>
        <v/>
      </c>
      <c r="W161" s="62">
        <f>IF($V161="Macro",COUNTIFS($U$5:$U$1000,ROW(),$V$5:$V$1000,"Sub"),"")</f>
        <v/>
      </c>
      <c r="X161" s="62">
        <f>IF($V161="","",IF(ISNUMBER($G161),1,IFERROR(LOOKUP(2,1/($I161:$L161&lt;&gt;""),$I161:$L161),0)))</f>
        <v/>
      </c>
      <c r="Y161" s="62">
        <f>IF($V161="","",IF(AND(ISNUMBER($G161),$G161&lt;=IF($S161=MesCiclo,InicioCiclo,$S161+MOD(2-WEEKDAY($S161),7))+6),1,IF(ISNUMBER($I161),$I161,0)))</f>
        <v/>
      </c>
      <c r="Z161" s="62">
        <f>IF($V161="","",IF(AND(ISNUMBER($G161),$G161&lt;=IF($S161=MesCiclo,InicioCiclo,$S161+MOD(2-WEEKDAY($S161),7))+13),1,IF(ISNUMBER($J161),$J161,$Y161)))</f>
        <v/>
      </c>
      <c r="AA161" s="62">
        <f>IF($V161="","",IF(AND(ISNUMBER($G161),$G161&lt;=IF($S161=MesCiclo,InicioCiclo,$S161+MOD(2-WEEKDAY($S161),7))+20),1,IF(ISNUMBER($K161),$K161,$Z161)))</f>
        <v/>
      </c>
      <c r="AB161" s="62">
        <f>IF($V161="","",IF(AND(ISNUMBER($G161),$G161&lt;=IF($S161=MesCiclo,InicioCiclo,$S161+MOD(2-WEEKDAY($S161),7))+27),1,IF(ISNUMBER($L161),$L161,$AA161)))</f>
        <v/>
      </c>
      <c r="AC161" s="62">
        <f>IF($V161="","",IF(AND(ISNUMBER($G161),$G161&lt;=IF($S161=MesCiclo,InicioCiclo,$S161+MOD(2-WEEKDAY($S161),7))+6),1,IF(N($W161)&gt;0,AVERAGEIFS($Y$5:$Y$1000,$U$5:$U$1000,ROW(),$V$5:$V$1000,"Sub"),$Y161)))</f>
        <v/>
      </c>
      <c r="AD161" s="62">
        <f>IF($V161="","",IF(AND(ISNUMBER($G161),$G161&lt;=IF($S161=MesCiclo,InicioCiclo,$S161+MOD(2-WEEKDAY($S161),7))+13),1,IF(N($W161)&gt;0,AVERAGEIFS($Z$5:$Z$1000,$U$5:$U$1000,ROW(),$V$5:$V$1000,"Sub"),$Z161)))</f>
        <v/>
      </c>
      <c r="AE161" s="62">
        <f>IF($V161="","",IF(AND(ISNUMBER($G161),$G161&lt;=IF($S161=MesCiclo,InicioCiclo,$S161+MOD(2-WEEKDAY($S161),7))+20),1,IF(N($W161)&gt;0,AVERAGEIFS($AA$5:$AA$1000,$U$5:$U$1000,ROW(),$V$5:$V$1000,"Sub"),$AA161)))</f>
        <v/>
      </c>
      <c r="AF161" s="62">
        <f>IF($V161="","",IF(AND(ISNUMBER($G161),$G161&lt;=IF($S161=MesCiclo,InicioCiclo,$S161+MOD(2-WEEKDAY($S161),7))+27),1,IF(N($W161)&gt;0,AVERAGEIFS($AB$5:$AB$1000,$U$5:$U$1000,ROW(),$V$5:$V$1000,"Sub"),$AB161)))</f>
        <v/>
      </c>
      <c r="AG161" s="62">
        <f>IF($V161&lt;&gt;"Macro","",IF(COUNTIFS($S$5:$S$1000,$S161,$V$5:$V$1000,"Macro",$H$5:$H$1000,"&gt;0")=0,1/COUNTIFS($S$5:$S$1000,$S161,$V$5:$V$1000,"Macro"),IF(AND(ISNUMBER($H161),N($H161)&gt;0),$H161,SUMIFS($H$5:$H$1000,$S$5:$S$1000,$S161,$V$5:$V$1000,"Macro")/COUNTIFS($S$5:$S$1000,$S161,$V$5:$V$1000,"Macro",$H$5:$H$1000,"&gt;0"))/(COUNTIFS($S$5:$S$1000,$S161,$V$5:$V$1000,"Macro")*SUMIFS($H$5:$H$1000,$S$5:$S$1000,$S161,$V$5:$V$1000,"Macro")/COUNTIFS($S$5:$S$1000,$S161,$V$5:$V$1000,"Macro",$H$5:$H$1000,"&gt;0"))))</f>
        <v/>
      </c>
      <c r="AH161" s="62">
        <f>IF(NOT(AND($D161&lt;&gt;"",$V161="Macro")),"",IFERROR(CHOOSE(MATCH($D161,ListaPuestos,0),MATCH("[Jefatura] "&amp;$C161,'Cronograma R. Operacional'!$C$5:$C$1000,0),MATCH("[Jefatura] "&amp;$C161,'Cronograma R. Normativo'!$C$5:$C$1000,0),MATCH("[Jefatura] "&amp;$C161,'Cronograma R. Financiero'!$C$5:$C$1000,0),MATCH("[Jefatura] "&amp;$C161,'Cronograma Asistente Técnico'!$C$5:$C$1000,0)),0))</f>
        <v/>
      </c>
      <c r="AI161" s="62">
        <f>IF(AND(AND($D161&lt;&gt;"",$V161="Macro"),$S161=MesCiclo),COUNTIFS($D$5:$D161,$D161,$S$5:$S161,MesCiclo,$V$5:$V161,"Macro"),"")</f>
        <v/>
      </c>
      <c r="AJ161" s="62">
        <f>IF($AI161="","",$D161&amp;"|"&amp;$AI161)</f>
        <v/>
      </c>
      <c r="AK161" s="62">
        <f>IF(AND($D161&lt;&gt;"",$V161="Macro"),$D161&amp;"|"&amp;$C161,"")</f>
        <v/>
      </c>
      <c r="AL161" s="62">
        <f>""</f>
        <v/>
      </c>
      <c r="AM161" s="62">
        <f>IF(N($AL161)&gt;0,INDEX(rIni_ADM,$AL161),IF(ISNUMBER($E161),$E161,""))</f>
        <v/>
      </c>
      <c r="AN161" s="62">
        <f>IF(N($AL161)&gt;0,INDEX(rLim_ADM,$AL161),IF(ISNUMBER($F161),$F161,""))</f>
        <v/>
      </c>
    </row>
    <row r="162">
      <c r="A162" s="56">
        <f>IF(NOT((COUNTA($B162:$D162)+COUNTA($G162:$L162)+COUNTA($Q162))&gt;0),"",IF($V162="Macro",COUNTIFS($V$5:$V162,"Macro",$S$5:$S162,$S162),IF(N($U162)=0,"?",COUNTIFS(INDEX($V$5:$V$1000,1):INDEX($V$5:$V$1000,$U162-4),"Macro",INDEX($S$5:$S$1000,1):INDEX($S$5:$S$1000,$U162-4),INDEX($S$5:$S$1000,$U162-4))&amp;"."&amp;COUNTIFS($U$5:$U162,$U162,$V$5:$V162,"Sub"))))</f>
        <v/>
      </c>
      <c r="B162" s="57" t="n"/>
      <c r="C162" s="58" t="n"/>
      <c r="D162" s="58" t="n"/>
      <c r="E162" s="59" t="n"/>
      <c r="F162" s="59" t="n"/>
      <c r="G162" s="59" t="n"/>
      <c r="H162" s="60" t="n"/>
      <c r="I162" s="60" t="n"/>
      <c r="J162" s="60" t="n"/>
      <c r="K162" s="60" t="n"/>
      <c r="L162" s="60" t="n"/>
      <c r="M162" s="61">
        <f>IF(NOT((COUNTA($B162:$D162)+COUNTA($G162:$L162)+COUNTA($Q162))&gt;0),"",IF(AND($D162&lt;&gt;"",$V162="Macro"),IF(N($AH162)&gt;0,N(CHOOSE(MATCH($D162,ListaPuestos,0),INDEX('Cronograma R. Operacional'!$M$5:$M$1000,$AH162),INDEX('Cronograma R. Normativo'!$M$5:$M$1000,$AH162),INDEX('Cronograma R. Financiero'!$M$5:$M$1000,$AH162),INDEX('Cronograma Asistente Técnico'!$M$5:$M$1000,$AH162))),0),IF(ISNUMBER($G162),1,IF(N($W162)&gt;0,AVERAGEIFS($X$5:$X$1000,$U$5:$U$1000,ROW(),$V$5:$V$1000,"Sub"),$X162))))</f>
        <v/>
      </c>
      <c r="N162" s="56">
        <f>IF(OR($M162="",$V162="Sub"),"",IF($M162&gt;=1,"Completado",IF($M162&gt;0,"En curso","Pendiente")))</f>
        <v/>
      </c>
      <c r="O162" s="56">
        <f>IF(NOT((COUNTA($B162:$D162)+COUNTA($G162:$L162)+COUNTA($Q162))&gt;0),"",IF(AND(AND($D162&lt;&gt;"",$V162="Macro"),N($AH162)&gt;0),CHOOSE(MATCH($D162,ListaPuestos,0),INDEX('Cronograma R. Operacional'!$O$5:$O$1000,$AH162),INDEX('Cronograma R. Normativo'!$O$5:$O$1000,$AH162),INDEX('Cronograma R. Financiero'!$O$5:$O$1000,$AH162),INDEX('Cronograma Asistente Técnico'!$O$5:$O$1000,$AH162))&amp;"",IF(ISNUMBER($G162),IF(AND(ISNUMBER($AN162),$G162&gt;$AN162),"Cumplida con "&amp;($G162-$AN162)&amp;IF($G162-$AN162=1," día"," días")&amp;" de retraso","Cumplida"),IF(N($M162)&gt;=1,"Cumplida",IF(NOT(ISNUMBER($AN162)),"Sin fecha límite",IF($AN162&lt;FechaRef,"Vencida hace "&amp;(FechaRef-$AN162)&amp;IF(FechaRef-$AN162=1," día"," días"),IF($AN162=FechaRef,"Vence hoy",IF($AN162-FechaRef&lt;=DiasAlerta,"Vence en "&amp;($AN162-FechaRef)&amp;IF($AN162-FechaRef=1," día"," días"),"En plazo"))))))))</f>
        <v/>
      </c>
      <c r="P162" s="62">
        <f>IF(NOT((COUNTA($B162:$D162)+COUNTA($G162:$L162)+COUNTA($Q162))&gt;0),"",IF($D162="","Propia",IF($V162&lt;&gt;"Macro","Solo se delegan macroactividades",IF(N($AH162)&gt;0,"✔ Recibida por "&amp;$D162,"⚠ "&amp;$D162&amp;" aún no la agrega"))))</f>
        <v/>
      </c>
      <c r="Q162" s="58" t="n"/>
      <c r="R162" s="63">
        <f>IF(NOT((COUNTA($B162:$D162)+COUNTA($G162:$L162)+COUNTA($Q162))&gt;0),"",IF((IF($C162="","Falta el nombre de la actividad"&amp;" · ","")&amp;IF(AND($V162="Sub",N($U162)=0),"Subactividad sin macroactividad arriba"&amp;" · ","")&amp;IF($AM162="","Sin fecha de inicio"&amp;" · ","")&amp;IF($AN162="","Sin fecha límite"&amp;" · ","")&amp;IF(AND(LEFT($C162,11)="[Jefatura] ",N($AL162)=0),"No se encuentra en la hoja de la jefatura (elíjala de nuevo en la lista)"&amp;" · ","")&amp;IF(OR(AND($E162&lt;&gt;"",NOT(ISNUMBER($E162))),AND($F162&lt;&gt;"",NOT(ISNUMBER($F162))),AND($G162&lt;&gt;"",NOT(ISNUMBER($G162)))),"Fecha no válida"&amp;" · ","")&amp;IF(AND(ISNUMBER($AM162),ISNUMBER($AN162),$AM162&gt;$AN162),"Inicio posterior a fecha límite"&amp;" · ","")&amp;IF(AND($V162="Macro",$H162&lt;&gt;"",OR(NOT(ISNUMBER($H162)),$H162&lt;0,$H162&gt;1)),"Peso fuera de rango"&amp;" · ","")&amp;IF(AND($V162="Sub",$H162&lt;&gt;""),"Las subactividades no llevan peso (valen igual dentro de su macroactividad)"&amp;" · ","")&amp;IF(AND(N($W162)&gt;0,COUNT($I162:$L162)&gt;0),"Con subactividades: deje vacías las semanas (se calculan solas)"&amp;" · ","")&amp;IF((COUNTIF($I162:$L162,"&gt;1")+COUNTIF($I162:$L162,"&lt;0")+COUNTA($I162:$L162)-COUNT($I162:$L162))&gt;0,"Avance fuera de rango 0-100%"&amp;" · ","")&amp;IF(OR(AND($J162&lt;&gt;"",$J162&lt;$I162),AND($K162&lt;&gt;"",$K162&lt;MAX($I162:$J162)),AND($L162&lt;&gt;"",$L162&lt;MAX($I162:$K162))),"Avance semanal decreciente"&amp;" · ","")&amp;IF(AND(ISNUMBER($AN162),$AN162&lt;FechaRef,IF($V162="Sub",N($X162),N($M162))&lt;1),"Vencida"&amp;" · ","")&amp;IF(AND(ObsObligatoria="Sí",ISNUMBER($AN162),$AN162&lt;FechaRef,IF($V162="Sub",N($X162),N($M162))&lt;1,$Q162=""),"Vencida sin observación"&amp;" · ",""))="","✔ OK","⚠ "&amp;LEFT(IF($C162="","Falta el nombre de la actividad"&amp;" · ","")&amp;IF(AND($V162="Sub",N($U162)=0),"Subactividad sin macroactividad arriba"&amp;" · ","")&amp;IF($AM162="","Sin fecha de inicio"&amp;" · ","")&amp;IF($AN162="","Sin fecha límite"&amp;" · ","")&amp;IF(AND(LEFT($C162,11)="[Jefatura] ",N($AL162)=0),"No se encuentra en la hoja de la jefatura (elíjala de nuevo en la lista)"&amp;" · ","")&amp;IF(OR(AND($E162&lt;&gt;"",NOT(ISNUMBER($E162))),AND($F162&lt;&gt;"",NOT(ISNUMBER($F162))),AND($G162&lt;&gt;"",NOT(ISNUMBER($G162)))),"Fecha no válida"&amp;" · ","")&amp;IF(AND(ISNUMBER($AM162),ISNUMBER($AN162),$AM162&gt;$AN162),"Inicio posterior a fecha límite"&amp;" · ","")&amp;IF(AND($V162="Macro",$H162&lt;&gt;"",OR(NOT(ISNUMBER($H162)),$H162&lt;0,$H162&gt;1)),"Peso fuera de rango"&amp;" · ","")&amp;IF(AND($V162="Sub",$H162&lt;&gt;""),"Las subactividades no llevan peso (valen igual dentro de su macroactividad)"&amp;" · ","")&amp;IF(AND(N($W162)&gt;0,COUNT($I162:$L162)&gt;0),"Con subactividades: deje vacías las semanas (se calculan solas)"&amp;" · ","")&amp;IF((COUNTIF($I162:$L162,"&gt;1")+COUNTIF($I162:$L162,"&lt;0")+COUNTA($I162:$L162)-COUNT($I162:$L162))&gt;0,"Avance fuera de rango 0-100%"&amp;" · ","")&amp;IF(OR(AND($J162&lt;&gt;"",$J162&lt;$I162),AND($K162&lt;&gt;"",$K162&lt;MAX($I162:$J162)),AND($L162&lt;&gt;"",$L162&lt;MAX($I162:$K162))),"Avance semanal decreciente"&amp;" · ","")&amp;IF(AND(ISNUMBER($AN162),$AN162&lt;FechaRef,IF($V162="Sub",N($X162),N($M162))&lt;1),"Vencida"&amp;" · ","")&amp;IF(AND(ObsObligatoria="Sí",ISNUMBER($AN162),$AN162&lt;FechaRef,IF($V162="Sub",N($X162),N($M162))&lt;1,$Q162=""),"Vencida sin observación"&amp;" · ",""),LEN(IF($C162="","Falta el nombre de la actividad"&amp;" · ","")&amp;IF(AND($V162="Sub",N($U162)=0),"Subactividad sin macroactividad arriba"&amp;" · ","")&amp;IF($AM162="","Sin fecha de inicio"&amp;" · ","")&amp;IF($AN162="","Sin fecha límite"&amp;" · ","")&amp;IF(AND(LEFT($C162,11)="[Jefatura] ",N($AL162)=0),"No se encuentra en la hoja de la jefatura (elíjala de nuevo en la lista)"&amp;" · ","")&amp;IF(OR(AND($E162&lt;&gt;"",NOT(ISNUMBER($E162))),AND($F162&lt;&gt;"",NOT(ISNUMBER($F162))),AND($G162&lt;&gt;"",NOT(ISNUMBER($G162)))),"Fecha no válida"&amp;" · ","")&amp;IF(AND(ISNUMBER($AM162),ISNUMBER($AN162),$AM162&gt;$AN162),"Inicio posterior a fecha límite"&amp;" · ","")&amp;IF(AND($V162="Macro",$H162&lt;&gt;"",OR(NOT(ISNUMBER($H162)),$H162&lt;0,$H162&gt;1)),"Peso fuera de rango"&amp;" · ","")&amp;IF(AND($V162="Sub",$H162&lt;&gt;""),"Las subactividades no llevan peso (valen igual dentro de su macroactividad)"&amp;" · ","")&amp;IF(AND(N($W162)&gt;0,COUNT($I162:$L162)&gt;0),"Con subactividades: deje vacías las semanas (se calculan solas)"&amp;" · ","")&amp;IF((COUNTIF($I162:$L162,"&gt;1")+COUNTIF($I162:$L162,"&lt;0")+COUNTA($I162:$L162)-COUNT($I162:$L162))&gt;0,"Avance fuera de rango 0-100%"&amp;" · ","")&amp;IF(OR(AND($J162&lt;&gt;"",$J162&lt;$I162),AND($K162&lt;&gt;"",$K162&lt;MAX($I162:$J162)),AND($L162&lt;&gt;"",$L162&lt;MAX($I162:$K162))),"Avance semanal decreciente"&amp;" · ","")&amp;IF(AND(ISNUMBER($AN162),$AN162&lt;FechaRef,IF($V162="Sub",N($X162),N($M162))&lt;1),"Vencida"&amp;" · ","")&amp;IF(AND(ObsObligatoria="Sí",ISNUMBER($AN162),$AN162&lt;FechaRef,IF($V162="Sub",N($X162),N($M162))&lt;1,$Q162=""),"Vencida sin observación"&amp;" · ",""))-3)))</f>
        <v/>
      </c>
      <c r="S162" s="64">
        <f>IF(NOT((COUNTA($B162:$D162)+COUNTA($G162:$L162)+COUNTA($Q162))&gt;0),"",IF(AND($V162="Sub",N($U162)&gt;0),IF(ISNUMBER(INDEX($AM$5:$AM$1000,$U162-4)),DATE(YEAR(INDEX($AM$5:$AM$1000,$U162-4)),MONTH(INDEX($AM$5:$AM$1000,$U162-4)),1),IF(ISNUMBER(INDEX($AN$5:$AN$1000,$U162-4)),DATE(YEAR(INDEX($AN$5:$AN$1000,$U162-4)),MONTH(INDEX($AN$5:$AN$1000,$U162-4)),1),MesCiclo)),IF(ISNUMBER($AM162),DATE(YEAR($AM162),MONTH($AM162),1),IF(ISNUMBER($AN162),DATE(YEAR($AN162),MONTH($AN162),1),MesCiclo))))</f>
        <v/>
      </c>
      <c r="T162" s="62">
        <f>IF(OR($S162="",$S162&lt;&gt;MesCiclo,$V162&lt;&gt;"Macro"),"",COUNTIFS($S$5:$S162,MesCiclo,$V$5:$V162,"Macro"))</f>
        <v/>
      </c>
      <c r="U162" s="62">
        <f>IF($V162="","",IF($V162="Macro",ROW(),IFERROR(LOOKUP(2,1/($V$5:$V162="Macro"),ROW($V$5:$V162)),0)))</f>
        <v/>
      </c>
      <c r="V162" s="62">
        <f>IF(NOT((COUNTA($B162:$D162)+COUNTA($G162:$L162)+COUNTA($Q162))&gt;0),"",IF($B162="Subactividad","Sub","Macro"))</f>
        <v/>
      </c>
      <c r="W162" s="62">
        <f>IF($V162="Macro",COUNTIFS($U$5:$U$1000,ROW(),$V$5:$V$1000,"Sub"),"")</f>
        <v/>
      </c>
      <c r="X162" s="62">
        <f>IF($V162="","",IF(ISNUMBER($G162),1,IFERROR(LOOKUP(2,1/($I162:$L162&lt;&gt;""),$I162:$L162),0)))</f>
        <v/>
      </c>
      <c r="Y162" s="62">
        <f>IF($V162="","",IF(AND(ISNUMBER($G162),$G162&lt;=IF($S162=MesCiclo,InicioCiclo,$S162+MOD(2-WEEKDAY($S162),7))+6),1,IF(ISNUMBER($I162),$I162,0)))</f>
        <v/>
      </c>
      <c r="Z162" s="62">
        <f>IF($V162="","",IF(AND(ISNUMBER($G162),$G162&lt;=IF($S162=MesCiclo,InicioCiclo,$S162+MOD(2-WEEKDAY($S162),7))+13),1,IF(ISNUMBER($J162),$J162,$Y162)))</f>
        <v/>
      </c>
      <c r="AA162" s="62">
        <f>IF($V162="","",IF(AND(ISNUMBER($G162),$G162&lt;=IF($S162=MesCiclo,InicioCiclo,$S162+MOD(2-WEEKDAY($S162),7))+20),1,IF(ISNUMBER($K162),$K162,$Z162)))</f>
        <v/>
      </c>
      <c r="AB162" s="62">
        <f>IF($V162="","",IF(AND(ISNUMBER($G162),$G162&lt;=IF($S162=MesCiclo,InicioCiclo,$S162+MOD(2-WEEKDAY($S162),7))+27),1,IF(ISNUMBER($L162),$L162,$AA162)))</f>
        <v/>
      </c>
      <c r="AC162" s="62">
        <f>IF($V162="","",IF(AND(ISNUMBER($G162),$G162&lt;=IF($S162=MesCiclo,InicioCiclo,$S162+MOD(2-WEEKDAY($S162),7))+6),1,IF(N($W162)&gt;0,AVERAGEIFS($Y$5:$Y$1000,$U$5:$U$1000,ROW(),$V$5:$V$1000,"Sub"),$Y162)))</f>
        <v/>
      </c>
      <c r="AD162" s="62">
        <f>IF($V162="","",IF(AND(ISNUMBER($G162),$G162&lt;=IF($S162=MesCiclo,InicioCiclo,$S162+MOD(2-WEEKDAY($S162),7))+13),1,IF(N($W162)&gt;0,AVERAGEIFS($Z$5:$Z$1000,$U$5:$U$1000,ROW(),$V$5:$V$1000,"Sub"),$Z162)))</f>
        <v/>
      </c>
      <c r="AE162" s="62">
        <f>IF($V162="","",IF(AND(ISNUMBER($G162),$G162&lt;=IF($S162=MesCiclo,InicioCiclo,$S162+MOD(2-WEEKDAY($S162),7))+20),1,IF(N($W162)&gt;0,AVERAGEIFS($AA$5:$AA$1000,$U$5:$U$1000,ROW(),$V$5:$V$1000,"Sub"),$AA162)))</f>
        <v/>
      </c>
      <c r="AF162" s="62">
        <f>IF($V162="","",IF(AND(ISNUMBER($G162),$G162&lt;=IF($S162=MesCiclo,InicioCiclo,$S162+MOD(2-WEEKDAY($S162),7))+27),1,IF(N($W162)&gt;0,AVERAGEIFS($AB$5:$AB$1000,$U$5:$U$1000,ROW(),$V$5:$V$1000,"Sub"),$AB162)))</f>
        <v/>
      </c>
      <c r="AG162" s="62">
        <f>IF($V162&lt;&gt;"Macro","",IF(COUNTIFS($S$5:$S$1000,$S162,$V$5:$V$1000,"Macro",$H$5:$H$1000,"&gt;0")=0,1/COUNTIFS($S$5:$S$1000,$S162,$V$5:$V$1000,"Macro"),IF(AND(ISNUMBER($H162),N($H162)&gt;0),$H162,SUMIFS($H$5:$H$1000,$S$5:$S$1000,$S162,$V$5:$V$1000,"Macro")/COUNTIFS($S$5:$S$1000,$S162,$V$5:$V$1000,"Macro",$H$5:$H$1000,"&gt;0"))/(COUNTIFS($S$5:$S$1000,$S162,$V$5:$V$1000,"Macro")*SUMIFS($H$5:$H$1000,$S$5:$S$1000,$S162,$V$5:$V$1000,"Macro")/COUNTIFS($S$5:$S$1000,$S162,$V$5:$V$1000,"Macro",$H$5:$H$1000,"&gt;0"))))</f>
        <v/>
      </c>
      <c r="AH162" s="62">
        <f>IF(NOT(AND($D162&lt;&gt;"",$V162="Macro")),"",IFERROR(CHOOSE(MATCH($D162,ListaPuestos,0),MATCH("[Jefatura] "&amp;$C162,'Cronograma R. Operacional'!$C$5:$C$1000,0),MATCH("[Jefatura] "&amp;$C162,'Cronograma R. Normativo'!$C$5:$C$1000,0),MATCH("[Jefatura] "&amp;$C162,'Cronograma R. Financiero'!$C$5:$C$1000,0),MATCH("[Jefatura] "&amp;$C162,'Cronograma Asistente Técnico'!$C$5:$C$1000,0)),0))</f>
        <v/>
      </c>
      <c r="AI162" s="62">
        <f>IF(AND(AND($D162&lt;&gt;"",$V162="Macro"),$S162=MesCiclo),COUNTIFS($D$5:$D162,$D162,$S$5:$S162,MesCiclo,$V$5:$V162,"Macro"),"")</f>
        <v/>
      </c>
      <c r="AJ162" s="62">
        <f>IF($AI162="","",$D162&amp;"|"&amp;$AI162)</f>
        <v/>
      </c>
      <c r="AK162" s="62">
        <f>IF(AND($D162&lt;&gt;"",$V162="Macro"),$D162&amp;"|"&amp;$C162,"")</f>
        <v/>
      </c>
      <c r="AL162" s="62">
        <f>""</f>
        <v/>
      </c>
      <c r="AM162" s="62">
        <f>IF(N($AL162)&gt;0,INDEX(rIni_ADM,$AL162),IF(ISNUMBER($E162),$E162,""))</f>
        <v/>
      </c>
      <c r="AN162" s="62">
        <f>IF(N($AL162)&gt;0,INDEX(rLim_ADM,$AL162),IF(ISNUMBER($F162),$F162,""))</f>
        <v/>
      </c>
    </row>
    <row r="163">
      <c r="A163" s="56">
        <f>IF(NOT((COUNTA($B163:$D163)+COUNTA($G163:$L163)+COUNTA($Q163))&gt;0),"",IF($V163="Macro",COUNTIFS($V$5:$V163,"Macro",$S$5:$S163,$S163),IF(N($U163)=0,"?",COUNTIFS(INDEX($V$5:$V$1000,1):INDEX($V$5:$V$1000,$U163-4),"Macro",INDEX($S$5:$S$1000,1):INDEX($S$5:$S$1000,$U163-4),INDEX($S$5:$S$1000,$U163-4))&amp;"."&amp;COUNTIFS($U$5:$U163,$U163,$V$5:$V163,"Sub"))))</f>
        <v/>
      </c>
      <c r="B163" s="57" t="n"/>
      <c r="C163" s="58" t="n"/>
      <c r="D163" s="58" t="n"/>
      <c r="E163" s="59" t="n"/>
      <c r="F163" s="59" t="n"/>
      <c r="G163" s="59" t="n"/>
      <c r="H163" s="60" t="n"/>
      <c r="I163" s="60" t="n"/>
      <c r="J163" s="60" t="n"/>
      <c r="K163" s="60" t="n"/>
      <c r="L163" s="60" t="n"/>
      <c r="M163" s="61">
        <f>IF(NOT((COUNTA($B163:$D163)+COUNTA($G163:$L163)+COUNTA($Q163))&gt;0),"",IF(AND($D163&lt;&gt;"",$V163="Macro"),IF(N($AH163)&gt;0,N(CHOOSE(MATCH($D163,ListaPuestos,0),INDEX('Cronograma R. Operacional'!$M$5:$M$1000,$AH163),INDEX('Cronograma R. Normativo'!$M$5:$M$1000,$AH163),INDEX('Cronograma R. Financiero'!$M$5:$M$1000,$AH163),INDEX('Cronograma Asistente Técnico'!$M$5:$M$1000,$AH163))),0),IF(ISNUMBER($G163),1,IF(N($W163)&gt;0,AVERAGEIFS($X$5:$X$1000,$U$5:$U$1000,ROW(),$V$5:$V$1000,"Sub"),$X163))))</f>
        <v/>
      </c>
      <c r="N163" s="56">
        <f>IF(OR($M163="",$V163="Sub"),"",IF($M163&gt;=1,"Completado",IF($M163&gt;0,"En curso","Pendiente")))</f>
        <v/>
      </c>
      <c r="O163" s="56">
        <f>IF(NOT((COUNTA($B163:$D163)+COUNTA($G163:$L163)+COUNTA($Q163))&gt;0),"",IF(AND(AND($D163&lt;&gt;"",$V163="Macro"),N($AH163)&gt;0),CHOOSE(MATCH($D163,ListaPuestos,0),INDEX('Cronograma R. Operacional'!$O$5:$O$1000,$AH163),INDEX('Cronograma R. Normativo'!$O$5:$O$1000,$AH163),INDEX('Cronograma R. Financiero'!$O$5:$O$1000,$AH163),INDEX('Cronograma Asistente Técnico'!$O$5:$O$1000,$AH163))&amp;"",IF(ISNUMBER($G163),IF(AND(ISNUMBER($AN163),$G163&gt;$AN163),"Cumplida con "&amp;($G163-$AN163)&amp;IF($G163-$AN163=1," día"," días")&amp;" de retraso","Cumplida"),IF(N($M163)&gt;=1,"Cumplida",IF(NOT(ISNUMBER($AN163)),"Sin fecha límite",IF($AN163&lt;FechaRef,"Vencida hace "&amp;(FechaRef-$AN163)&amp;IF(FechaRef-$AN163=1," día"," días"),IF($AN163=FechaRef,"Vence hoy",IF($AN163-FechaRef&lt;=DiasAlerta,"Vence en "&amp;($AN163-FechaRef)&amp;IF($AN163-FechaRef=1," día"," días"),"En plazo"))))))))</f>
        <v/>
      </c>
      <c r="P163" s="62">
        <f>IF(NOT((COUNTA($B163:$D163)+COUNTA($G163:$L163)+COUNTA($Q163))&gt;0),"",IF($D163="","Propia",IF($V163&lt;&gt;"Macro","Solo se delegan macroactividades",IF(N($AH163)&gt;0,"✔ Recibida por "&amp;$D163,"⚠ "&amp;$D163&amp;" aún no la agrega"))))</f>
        <v/>
      </c>
      <c r="Q163" s="58" t="n"/>
      <c r="R163" s="63">
        <f>IF(NOT((COUNTA($B163:$D163)+COUNTA($G163:$L163)+COUNTA($Q163))&gt;0),"",IF((IF($C163="","Falta el nombre de la actividad"&amp;" · ","")&amp;IF(AND($V163="Sub",N($U163)=0),"Subactividad sin macroactividad arriba"&amp;" · ","")&amp;IF($AM163="","Sin fecha de inicio"&amp;" · ","")&amp;IF($AN163="","Sin fecha límite"&amp;" · ","")&amp;IF(AND(LEFT($C163,11)="[Jefatura] ",N($AL163)=0),"No se encuentra en la hoja de la jefatura (elíjala de nuevo en la lista)"&amp;" · ","")&amp;IF(OR(AND($E163&lt;&gt;"",NOT(ISNUMBER($E163))),AND($F163&lt;&gt;"",NOT(ISNUMBER($F163))),AND($G163&lt;&gt;"",NOT(ISNUMBER($G163)))),"Fecha no válida"&amp;" · ","")&amp;IF(AND(ISNUMBER($AM163),ISNUMBER($AN163),$AM163&gt;$AN163),"Inicio posterior a fecha límite"&amp;" · ","")&amp;IF(AND($V163="Macro",$H163&lt;&gt;"",OR(NOT(ISNUMBER($H163)),$H163&lt;0,$H163&gt;1)),"Peso fuera de rango"&amp;" · ","")&amp;IF(AND($V163="Sub",$H163&lt;&gt;""),"Las subactividades no llevan peso (valen igual dentro de su macroactividad)"&amp;" · ","")&amp;IF(AND(N($W163)&gt;0,COUNT($I163:$L163)&gt;0),"Con subactividades: deje vacías las semanas (se calculan solas)"&amp;" · ","")&amp;IF((COUNTIF($I163:$L163,"&gt;1")+COUNTIF($I163:$L163,"&lt;0")+COUNTA($I163:$L163)-COUNT($I163:$L163))&gt;0,"Avance fuera de rango 0-100%"&amp;" · ","")&amp;IF(OR(AND($J163&lt;&gt;"",$J163&lt;$I163),AND($K163&lt;&gt;"",$K163&lt;MAX($I163:$J163)),AND($L163&lt;&gt;"",$L163&lt;MAX($I163:$K163))),"Avance semanal decreciente"&amp;" · ","")&amp;IF(AND(ISNUMBER($AN163),$AN163&lt;FechaRef,IF($V163="Sub",N($X163),N($M163))&lt;1),"Vencida"&amp;" · ","")&amp;IF(AND(ObsObligatoria="Sí",ISNUMBER($AN163),$AN163&lt;FechaRef,IF($V163="Sub",N($X163),N($M163))&lt;1,$Q163=""),"Vencida sin observación"&amp;" · ",""))="","✔ OK","⚠ "&amp;LEFT(IF($C163="","Falta el nombre de la actividad"&amp;" · ","")&amp;IF(AND($V163="Sub",N($U163)=0),"Subactividad sin macroactividad arriba"&amp;" · ","")&amp;IF($AM163="","Sin fecha de inicio"&amp;" · ","")&amp;IF($AN163="","Sin fecha límite"&amp;" · ","")&amp;IF(AND(LEFT($C163,11)="[Jefatura] ",N($AL163)=0),"No se encuentra en la hoja de la jefatura (elíjala de nuevo en la lista)"&amp;" · ","")&amp;IF(OR(AND($E163&lt;&gt;"",NOT(ISNUMBER($E163))),AND($F163&lt;&gt;"",NOT(ISNUMBER($F163))),AND($G163&lt;&gt;"",NOT(ISNUMBER($G163)))),"Fecha no válida"&amp;" · ","")&amp;IF(AND(ISNUMBER($AM163),ISNUMBER($AN163),$AM163&gt;$AN163),"Inicio posterior a fecha límite"&amp;" · ","")&amp;IF(AND($V163="Macro",$H163&lt;&gt;"",OR(NOT(ISNUMBER($H163)),$H163&lt;0,$H163&gt;1)),"Peso fuera de rango"&amp;" · ","")&amp;IF(AND($V163="Sub",$H163&lt;&gt;""),"Las subactividades no llevan peso (valen igual dentro de su macroactividad)"&amp;" · ","")&amp;IF(AND(N($W163)&gt;0,COUNT($I163:$L163)&gt;0),"Con subactividades: deje vacías las semanas (se calculan solas)"&amp;" · ","")&amp;IF((COUNTIF($I163:$L163,"&gt;1")+COUNTIF($I163:$L163,"&lt;0")+COUNTA($I163:$L163)-COUNT($I163:$L163))&gt;0,"Avance fuera de rango 0-100%"&amp;" · ","")&amp;IF(OR(AND($J163&lt;&gt;"",$J163&lt;$I163),AND($K163&lt;&gt;"",$K163&lt;MAX($I163:$J163)),AND($L163&lt;&gt;"",$L163&lt;MAX($I163:$K163))),"Avance semanal decreciente"&amp;" · ","")&amp;IF(AND(ISNUMBER($AN163),$AN163&lt;FechaRef,IF($V163="Sub",N($X163),N($M163))&lt;1),"Vencida"&amp;" · ","")&amp;IF(AND(ObsObligatoria="Sí",ISNUMBER($AN163),$AN163&lt;FechaRef,IF($V163="Sub",N($X163),N($M163))&lt;1,$Q163=""),"Vencida sin observación"&amp;" · ",""),LEN(IF($C163="","Falta el nombre de la actividad"&amp;" · ","")&amp;IF(AND($V163="Sub",N($U163)=0),"Subactividad sin macroactividad arriba"&amp;" · ","")&amp;IF($AM163="","Sin fecha de inicio"&amp;" · ","")&amp;IF($AN163="","Sin fecha límite"&amp;" · ","")&amp;IF(AND(LEFT($C163,11)="[Jefatura] ",N($AL163)=0),"No se encuentra en la hoja de la jefatura (elíjala de nuevo en la lista)"&amp;" · ","")&amp;IF(OR(AND($E163&lt;&gt;"",NOT(ISNUMBER($E163))),AND($F163&lt;&gt;"",NOT(ISNUMBER($F163))),AND($G163&lt;&gt;"",NOT(ISNUMBER($G163)))),"Fecha no válida"&amp;" · ","")&amp;IF(AND(ISNUMBER($AM163),ISNUMBER($AN163),$AM163&gt;$AN163),"Inicio posterior a fecha límite"&amp;" · ","")&amp;IF(AND($V163="Macro",$H163&lt;&gt;"",OR(NOT(ISNUMBER($H163)),$H163&lt;0,$H163&gt;1)),"Peso fuera de rango"&amp;" · ","")&amp;IF(AND($V163="Sub",$H163&lt;&gt;""),"Las subactividades no llevan peso (valen igual dentro de su macroactividad)"&amp;" · ","")&amp;IF(AND(N($W163)&gt;0,COUNT($I163:$L163)&gt;0),"Con subactividades: deje vacías las semanas (se calculan solas)"&amp;" · ","")&amp;IF((COUNTIF($I163:$L163,"&gt;1")+COUNTIF($I163:$L163,"&lt;0")+COUNTA($I163:$L163)-COUNT($I163:$L163))&gt;0,"Avance fuera de rango 0-100%"&amp;" · ","")&amp;IF(OR(AND($J163&lt;&gt;"",$J163&lt;$I163),AND($K163&lt;&gt;"",$K163&lt;MAX($I163:$J163)),AND($L163&lt;&gt;"",$L163&lt;MAX($I163:$K163))),"Avance semanal decreciente"&amp;" · ","")&amp;IF(AND(ISNUMBER($AN163),$AN163&lt;FechaRef,IF($V163="Sub",N($X163),N($M163))&lt;1),"Vencida"&amp;" · ","")&amp;IF(AND(ObsObligatoria="Sí",ISNUMBER($AN163),$AN163&lt;FechaRef,IF($V163="Sub",N($X163),N($M163))&lt;1,$Q163=""),"Vencida sin observación"&amp;" · ",""))-3)))</f>
        <v/>
      </c>
      <c r="S163" s="64">
        <f>IF(NOT((COUNTA($B163:$D163)+COUNTA($G163:$L163)+COUNTA($Q163))&gt;0),"",IF(AND($V163="Sub",N($U163)&gt;0),IF(ISNUMBER(INDEX($AM$5:$AM$1000,$U163-4)),DATE(YEAR(INDEX($AM$5:$AM$1000,$U163-4)),MONTH(INDEX($AM$5:$AM$1000,$U163-4)),1),IF(ISNUMBER(INDEX($AN$5:$AN$1000,$U163-4)),DATE(YEAR(INDEX($AN$5:$AN$1000,$U163-4)),MONTH(INDEX($AN$5:$AN$1000,$U163-4)),1),MesCiclo)),IF(ISNUMBER($AM163),DATE(YEAR($AM163),MONTH($AM163),1),IF(ISNUMBER($AN163),DATE(YEAR($AN163),MONTH($AN163),1),MesCiclo))))</f>
        <v/>
      </c>
      <c r="T163" s="62">
        <f>IF(OR($S163="",$S163&lt;&gt;MesCiclo,$V163&lt;&gt;"Macro"),"",COUNTIFS($S$5:$S163,MesCiclo,$V$5:$V163,"Macro"))</f>
        <v/>
      </c>
      <c r="U163" s="62">
        <f>IF($V163="","",IF($V163="Macro",ROW(),IFERROR(LOOKUP(2,1/($V$5:$V163="Macro"),ROW($V$5:$V163)),0)))</f>
        <v/>
      </c>
      <c r="V163" s="62">
        <f>IF(NOT((COUNTA($B163:$D163)+COUNTA($G163:$L163)+COUNTA($Q163))&gt;0),"",IF($B163="Subactividad","Sub","Macro"))</f>
        <v/>
      </c>
      <c r="W163" s="62">
        <f>IF($V163="Macro",COUNTIFS($U$5:$U$1000,ROW(),$V$5:$V$1000,"Sub"),"")</f>
        <v/>
      </c>
      <c r="X163" s="62">
        <f>IF($V163="","",IF(ISNUMBER($G163),1,IFERROR(LOOKUP(2,1/($I163:$L163&lt;&gt;""),$I163:$L163),0)))</f>
        <v/>
      </c>
      <c r="Y163" s="62">
        <f>IF($V163="","",IF(AND(ISNUMBER($G163),$G163&lt;=IF($S163=MesCiclo,InicioCiclo,$S163+MOD(2-WEEKDAY($S163),7))+6),1,IF(ISNUMBER($I163),$I163,0)))</f>
        <v/>
      </c>
      <c r="Z163" s="62">
        <f>IF($V163="","",IF(AND(ISNUMBER($G163),$G163&lt;=IF($S163=MesCiclo,InicioCiclo,$S163+MOD(2-WEEKDAY($S163),7))+13),1,IF(ISNUMBER($J163),$J163,$Y163)))</f>
        <v/>
      </c>
      <c r="AA163" s="62">
        <f>IF($V163="","",IF(AND(ISNUMBER($G163),$G163&lt;=IF($S163=MesCiclo,InicioCiclo,$S163+MOD(2-WEEKDAY($S163),7))+20),1,IF(ISNUMBER($K163),$K163,$Z163)))</f>
        <v/>
      </c>
      <c r="AB163" s="62">
        <f>IF($V163="","",IF(AND(ISNUMBER($G163),$G163&lt;=IF($S163=MesCiclo,InicioCiclo,$S163+MOD(2-WEEKDAY($S163),7))+27),1,IF(ISNUMBER($L163),$L163,$AA163)))</f>
        <v/>
      </c>
      <c r="AC163" s="62">
        <f>IF($V163="","",IF(AND(ISNUMBER($G163),$G163&lt;=IF($S163=MesCiclo,InicioCiclo,$S163+MOD(2-WEEKDAY($S163),7))+6),1,IF(N($W163)&gt;0,AVERAGEIFS($Y$5:$Y$1000,$U$5:$U$1000,ROW(),$V$5:$V$1000,"Sub"),$Y163)))</f>
        <v/>
      </c>
      <c r="AD163" s="62">
        <f>IF($V163="","",IF(AND(ISNUMBER($G163),$G163&lt;=IF($S163=MesCiclo,InicioCiclo,$S163+MOD(2-WEEKDAY($S163),7))+13),1,IF(N($W163)&gt;0,AVERAGEIFS($Z$5:$Z$1000,$U$5:$U$1000,ROW(),$V$5:$V$1000,"Sub"),$Z163)))</f>
        <v/>
      </c>
      <c r="AE163" s="62">
        <f>IF($V163="","",IF(AND(ISNUMBER($G163),$G163&lt;=IF($S163=MesCiclo,InicioCiclo,$S163+MOD(2-WEEKDAY($S163),7))+20),1,IF(N($W163)&gt;0,AVERAGEIFS($AA$5:$AA$1000,$U$5:$U$1000,ROW(),$V$5:$V$1000,"Sub"),$AA163)))</f>
        <v/>
      </c>
      <c r="AF163" s="62">
        <f>IF($V163="","",IF(AND(ISNUMBER($G163),$G163&lt;=IF($S163=MesCiclo,InicioCiclo,$S163+MOD(2-WEEKDAY($S163),7))+27),1,IF(N($W163)&gt;0,AVERAGEIFS($AB$5:$AB$1000,$U$5:$U$1000,ROW(),$V$5:$V$1000,"Sub"),$AB163)))</f>
        <v/>
      </c>
      <c r="AG163" s="62">
        <f>IF($V163&lt;&gt;"Macro","",IF(COUNTIFS($S$5:$S$1000,$S163,$V$5:$V$1000,"Macro",$H$5:$H$1000,"&gt;0")=0,1/COUNTIFS($S$5:$S$1000,$S163,$V$5:$V$1000,"Macro"),IF(AND(ISNUMBER($H163),N($H163)&gt;0),$H163,SUMIFS($H$5:$H$1000,$S$5:$S$1000,$S163,$V$5:$V$1000,"Macro")/COUNTIFS($S$5:$S$1000,$S163,$V$5:$V$1000,"Macro",$H$5:$H$1000,"&gt;0"))/(COUNTIFS($S$5:$S$1000,$S163,$V$5:$V$1000,"Macro")*SUMIFS($H$5:$H$1000,$S$5:$S$1000,$S163,$V$5:$V$1000,"Macro")/COUNTIFS($S$5:$S$1000,$S163,$V$5:$V$1000,"Macro",$H$5:$H$1000,"&gt;0"))))</f>
        <v/>
      </c>
      <c r="AH163" s="62">
        <f>IF(NOT(AND($D163&lt;&gt;"",$V163="Macro")),"",IFERROR(CHOOSE(MATCH($D163,ListaPuestos,0),MATCH("[Jefatura] "&amp;$C163,'Cronograma R. Operacional'!$C$5:$C$1000,0),MATCH("[Jefatura] "&amp;$C163,'Cronograma R. Normativo'!$C$5:$C$1000,0),MATCH("[Jefatura] "&amp;$C163,'Cronograma R. Financiero'!$C$5:$C$1000,0),MATCH("[Jefatura] "&amp;$C163,'Cronograma Asistente Técnico'!$C$5:$C$1000,0)),0))</f>
        <v/>
      </c>
      <c r="AI163" s="62">
        <f>IF(AND(AND($D163&lt;&gt;"",$V163="Macro"),$S163=MesCiclo),COUNTIFS($D$5:$D163,$D163,$S$5:$S163,MesCiclo,$V$5:$V163,"Macro"),"")</f>
        <v/>
      </c>
      <c r="AJ163" s="62">
        <f>IF($AI163="","",$D163&amp;"|"&amp;$AI163)</f>
        <v/>
      </c>
      <c r="AK163" s="62">
        <f>IF(AND($D163&lt;&gt;"",$V163="Macro"),$D163&amp;"|"&amp;$C163,"")</f>
        <v/>
      </c>
      <c r="AL163" s="62">
        <f>""</f>
        <v/>
      </c>
      <c r="AM163" s="62">
        <f>IF(N($AL163)&gt;0,INDEX(rIni_ADM,$AL163),IF(ISNUMBER($E163),$E163,""))</f>
        <v/>
      </c>
      <c r="AN163" s="62">
        <f>IF(N($AL163)&gt;0,INDEX(rLim_ADM,$AL163),IF(ISNUMBER($F163),$F163,""))</f>
        <v/>
      </c>
    </row>
    <row r="164">
      <c r="A164" s="56">
        <f>IF(NOT((COUNTA($B164:$D164)+COUNTA($G164:$L164)+COUNTA($Q164))&gt;0),"",IF($V164="Macro",COUNTIFS($V$5:$V164,"Macro",$S$5:$S164,$S164),IF(N($U164)=0,"?",COUNTIFS(INDEX($V$5:$V$1000,1):INDEX($V$5:$V$1000,$U164-4),"Macro",INDEX($S$5:$S$1000,1):INDEX($S$5:$S$1000,$U164-4),INDEX($S$5:$S$1000,$U164-4))&amp;"."&amp;COUNTIFS($U$5:$U164,$U164,$V$5:$V164,"Sub"))))</f>
        <v/>
      </c>
      <c r="B164" s="57" t="n"/>
      <c r="C164" s="58" t="n"/>
      <c r="D164" s="58" t="n"/>
      <c r="E164" s="59" t="n"/>
      <c r="F164" s="59" t="n"/>
      <c r="G164" s="59" t="n"/>
      <c r="H164" s="60" t="n"/>
      <c r="I164" s="60" t="n"/>
      <c r="J164" s="60" t="n"/>
      <c r="K164" s="60" t="n"/>
      <c r="L164" s="60" t="n"/>
      <c r="M164" s="61">
        <f>IF(NOT((COUNTA($B164:$D164)+COUNTA($G164:$L164)+COUNTA($Q164))&gt;0),"",IF(AND($D164&lt;&gt;"",$V164="Macro"),IF(N($AH164)&gt;0,N(CHOOSE(MATCH($D164,ListaPuestos,0),INDEX('Cronograma R. Operacional'!$M$5:$M$1000,$AH164),INDEX('Cronograma R. Normativo'!$M$5:$M$1000,$AH164),INDEX('Cronograma R. Financiero'!$M$5:$M$1000,$AH164),INDEX('Cronograma Asistente Técnico'!$M$5:$M$1000,$AH164))),0),IF(ISNUMBER($G164),1,IF(N($W164)&gt;0,AVERAGEIFS($X$5:$X$1000,$U$5:$U$1000,ROW(),$V$5:$V$1000,"Sub"),$X164))))</f>
        <v/>
      </c>
      <c r="N164" s="56">
        <f>IF(OR($M164="",$V164="Sub"),"",IF($M164&gt;=1,"Completado",IF($M164&gt;0,"En curso","Pendiente")))</f>
        <v/>
      </c>
      <c r="O164" s="56">
        <f>IF(NOT((COUNTA($B164:$D164)+COUNTA($G164:$L164)+COUNTA($Q164))&gt;0),"",IF(AND(AND($D164&lt;&gt;"",$V164="Macro"),N($AH164)&gt;0),CHOOSE(MATCH($D164,ListaPuestos,0),INDEX('Cronograma R. Operacional'!$O$5:$O$1000,$AH164),INDEX('Cronograma R. Normativo'!$O$5:$O$1000,$AH164),INDEX('Cronograma R. Financiero'!$O$5:$O$1000,$AH164),INDEX('Cronograma Asistente Técnico'!$O$5:$O$1000,$AH164))&amp;"",IF(ISNUMBER($G164),IF(AND(ISNUMBER($AN164),$G164&gt;$AN164),"Cumplida con "&amp;($G164-$AN164)&amp;IF($G164-$AN164=1," día"," días")&amp;" de retraso","Cumplida"),IF(N($M164)&gt;=1,"Cumplida",IF(NOT(ISNUMBER($AN164)),"Sin fecha límite",IF($AN164&lt;FechaRef,"Vencida hace "&amp;(FechaRef-$AN164)&amp;IF(FechaRef-$AN164=1," día"," días"),IF($AN164=FechaRef,"Vence hoy",IF($AN164-FechaRef&lt;=DiasAlerta,"Vence en "&amp;($AN164-FechaRef)&amp;IF($AN164-FechaRef=1," día"," días"),"En plazo"))))))))</f>
        <v/>
      </c>
      <c r="P164" s="62">
        <f>IF(NOT((COUNTA($B164:$D164)+COUNTA($G164:$L164)+COUNTA($Q164))&gt;0),"",IF($D164="","Propia",IF($V164&lt;&gt;"Macro","Solo se delegan macroactividades",IF(N($AH164)&gt;0,"✔ Recibida por "&amp;$D164,"⚠ "&amp;$D164&amp;" aún no la agrega"))))</f>
        <v/>
      </c>
      <c r="Q164" s="58" t="n"/>
      <c r="R164" s="63">
        <f>IF(NOT((COUNTA($B164:$D164)+COUNTA($G164:$L164)+COUNTA($Q164))&gt;0),"",IF((IF($C164="","Falta el nombre de la actividad"&amp;" · ","")&amp;IF(AND($V164="Sub",N($U164)=0),"Subactividad sin macroactividad arriba"&amp;" · ","")&amp;IF($AM164="","Sin fecha de inicio"&amp;" · ","")&amp;IF($AN164="","Sin fecha límite"&amp;" · ","")&amp;IF(AND(LEFT($C164,11)="[Jefatura] ",N($AL164)=0),"No se encuentra en la hoja de la jefatura (elíjala de nuevo en la lista)"&amp;" · ","")&amp;IF(OR(AND($E164&lt;&gt;"",NOT(ISNUMBER($E164))),AND($F164&lt;&gt;"",NOT(ISNUMBER($F164))),AND($G164&lt;&gt;"",NOT(ISNUMBER($G164)))),"Fecha no válida"&amp;" · ","")&amp;IF(AND(ISNUMBER($AM164),ISNUMBER($AN164),$AM164&gt;$AN164),"Inicio posterior a fecha límite"&amp;" · ","")&amp;IF(AND($V164="Macro",$H164&lt;&gt;"",OR(NOT(ISNUMBER($H164)),$H164&lt;0,$H164&gt;1)),"Peso fuera de rango"&amp;" · ","")&amp;IF(AND($V164="Sub",$H164&lt;&gt;""),"Las subactividades no llevan peso (valen igual dentro de su macroactividad)"&amp;" · ","")&amp;IF(AND(N($W164)&gt;0,COUNT($I164:$L164)&gt;0),"Con subactividades: deje vacías las semanas (se calculan solas)"&amp;" · ","")&amp;IF((COUNTIF($I164:$L164,"&gt;1")+COUNTIF($I164:$L164,"&lt;0")+COUNTA($I164:$L164)-COUNT($I164:$L164))&gt;0,"Avance fuera de rango 0-100%"&amp;" · ","")&amp;IF(OR(AND($J164&lt;&gt;"",$J164&lt;$I164),AND($K164&lt;&gt;"",$K164&lt;MAX($I164:$J164)),AND($L164&lt;&gt;"",$L164&lt;MAX($I164:$K164))),"Avance semanal decreciente"&amp;" · ","")&amp;IF(AND(ISNUMBER($AN164),$AN164&lt;FechaRef,IF($V164="Sub",N($X164),N($M164))&lt;1),"Vencida"&amp;" · ","")&amp;IF(AND(ObsObligatoria="Sí",ISNUMBER($AN164),$AN164&lt;FechaRef,IF($V164="Sub",N($X164),N($M164))&lt;1,$Q164=""),"Vencida sin observación"&amp;" · ",""))="","✔ OK","⚠ "&amp;LEFT(IF($C164="","Falta el nombre de la actividad"&amp;" · ","")&amp;IF(AND($V164="Sub",N($U164)=0),"Subactividad sin macroactividad arriba"&amp;" · ","")&amp;IF($AM164="","Sin fecha de inicio"&amp;" · ","")&amp;IF($AN164="","Sin fecha límite"&amp;" · ","")&amp;IF(AND(LEFT($C164,11)="[Jefatura] ",N($AL164)=0),"No se encuentra en la hoja de la jefatura (elíjala de nuevo en la lista)"&amp;" · ","")&amp;IF(OR(AND($E164&lt;&gt;"",NOT(ISNUMBER($E164))),AND($F164&lt;&gt;"",NOT(ISNUMBER($F164))),AND($G164&lt;&gt;"",NOT(ISNUMBER($G164)))),"Fecha no válida"&amp;" · ","")&amp;IF(AND(ISNUMBER($AM164),ISNUMBER($AN164),$AM164&gt;$AN164),"Inicio posterior a fecha límite"&amp;" · ","")&amp;IF(AND($V164="Macro",$H164&lt;&gt;"",OR(NOT(ISNUMBER($H164)),$H164&lt;0,$H164&gt;1)),"Peso fuera de rango"&amp;" · ","")&amp;IF(AND($V164="Sub",$H164&lt;&gt;""),"Las subactividades no llevan peso (valen igual dentro de su macroactividad)"&amp;" · ","")&amp;IF(AND(N($W164)&gt;0,COUNT($I164:$L164)&gt;0),"Con subactividades: deje vacías las semanas (se calculan solas)"&amp;" · ","")&amp;IF((COUNTIF($I164:$L164,"&gt;1")+COUNTIF($I164:$L164,"&lt;0")+COUNTA($I164:$L164)-COUNT($I164:$L164))&gt;0,"Avance fuera de rango 0-100%"&amp;" · ","")&amp;IF(OR(AND($J164&lt;&gt;"",$J164&lt;$I164),AND($K164&lt;&gt;"",$K164&lt;MAX($I164:$J164)),AND($L164&lt;&gt;"",$L164&lt;MAX($I164:$K164))),"Avance semanal decreciente"&amp;" · ","")&amp;IF(AND(ISNUMBER($AN164),$AN164&lt;FechaRef,IF($V164="Sub",N($X164),N($M164))&lt;1),"Vencida"&amp;" · ","")&amp;IF(AND(ObsObligatoria="Sí",ISNUMBER($AN164),$AN164&lt;FechaRef,IF($V164="Sub",N($X164),N($M164))&lt;1,$Q164=""),"Vencida sin observación"&amp;" · ",""),LEN(IF($C164="","Falta el nombre de la actividad"&amp;" · ","")&amp;IF(AND($V164="Sub",N($U164)=0),"Subactividad sin macroactividad arriba"&amp;" · ","")&amp;IF($AM164="","Sin fecha de inicio"&amp;" · ","")&amp;IF($AN164="","Sin fecha límite"&amp;" · ","")&amp;IF(AND(LEFT($C164,11)="[Jefatura] ",N($AL164)=0),"No se encuentra en la hoja de la jefatura (elíjala de nuevo en la lista)"&amp;" · ","")&amp;IF(OR(AND($E164&lt;&gt;"",NOT(ISNUMBER($E164))),AND($F164&lt;&gt;"",NOT(ISNUMBER($F164))),AND($G164&lt;&gt;"",NOT(ISNUMBER($G164)))),"Fecha no válida"&amp;" · ","")&amp;IF(AND(ISNUMBER($AM164),ISNUMBER($AN164),$AM164&gt;$AN164),"Inicio posterior a fecha límite"&amp;" · ","")&amp;IF(AND($V164="Macro",$H164&lt;&gt;"",OR(NOT(ISNUMBER($H164)),$H164&lt;0,$H164&gt;1)),"Peso fuera de rango"&amp;" · ","")&amp;IF(AND($V164="Sub",$H164&lt;&gt;""),"Las subactividades no llevan peso (valen igual dentro de su macroactividad)"&amp;" · ","")&amp;IF(AND(N($W164)&gt;0,COUNT($I164:$L164)&gt;0),"Con subactividades: deje vacías las semanas (se calculan solas)"&amp;" · ","")&amp;IF((COUNTIF($I164:$L164,"&gt;1")+COUNTIF($I164:$L164,"&lt;0")+COUNTA($I164:$L164)-COUNT($I164:$L164))&gt;0,"Avance fuera de rango 0-100%"&amp;" · ","")&amp;IF(OR(AND($J164&lt;&gt;"",$J164&lt;$I164),AND($K164&lt;&gt;"",$K164&lt;MAX($I164:$J164)),AND($L164&lt;&gt;"",$L164&lt;MAX($I164:$K164))),"Avance semanal decreciente"&amp;" · ","")&amp;IF(AND(ISNUMBER($AN164),$AN164&lt;FechaRef,IF($V164="Sub",N($X164),N($M164))&lt;1),"Vencida"&amp;" · ","")&amp;IF(AND(ObsObligatoria="Sí",ISNUMBER($AN164),$AN164&lt;FechaRef,IF($V164="Sub",N($X164),N($M164))&lt;1,$Q164=""),"Vencida sin observación"&amp;" · ",""))-3)))</f>
        <v/>
      </c>
      <c r="S164" s="64">
        <f>IF(NOT((COUNTA($B164:$D164)+COUNTA($G164:$L164)+COUNTA($Q164))&gt;0),"",IF(AND($V164="Sub",N($U164)&gt;0),IF(ISNUMBER(INDEX($AM$5:$AM$1000,$U164-4)),DATE(YEAR(INDEX($AM$5:$AM$1000,$U164-4)),MONTH(INDEX($AM$5:$AM$1000,$U164-4)),1),IF(ISNUMBER(INDEX($AN$5:$AN$1000,$U164-4)),DATE(YEAR(INDEX($AN$5:$AN$1000,$U164-4)),MONTH(INDEX($AN$5:$AN$1000,$U164-4)),1),MesCiclo)),IF(ISNUMBER($AM164),DATE(YEAR($AM164),MONTH($AM164),1),IF(ISNUMBER($AN164),DATE(YEAR($AN164),MONTH($AN164),1),MesCiclo))))</f>
        <v/>
      </c>
      <c r="T164" s="62">
        <f>IF(OR($S164="",$S164&lt;&gt;MesCiclo,$V164&lt;&gt;"Macro"),"",COUNTIFS($S$5:$S164,MesCiclo,$V$5:$V164,"Macro"))</f>
        <v/>
      </c>
      <c r="U164" s="62">
        <f>IF($V164="","",IF($V164="Macro",ROW(),IFERROR(LOOKUP(2,1/($V$5:$V164="Macro"),ROW($V$5:$V164)),0)))</f>
        <v/>
      </c>
      <c r="V164" s="62">
        <f>IF(NOT((COUNTA($B164:$D164)+COUNTA($G164:$L164)+COUNTA($Q164))&gt;0),"",IF($B164="Subactividad","Sub","Macro"))</f>
        <v/>
      </c>
      <c r="W164" s="62">
        <f>IF($V164="Macro",COUNTIFS($U$5:$U$1000,ROW(),$V$5:$V$1000,"Sub"),"")</f>
        <v/>
      </c>
      <c r="X164" s="62">
        <f>IF($V164="","",IF(ISNUMBER($G164),1,IFERROR(LOOKUP(2,1/($I164:$L164&lt;&gt;""),$I164:$L164),0)))</f>
        <v/>
      </c>
      <c r="Y164" s="62">
        <f>IF($V164="","",IF(AND(ISNUMBER($G164),$G164&lt;=IF($S164=MesCiclo,InicioCiclo,$S164+MOD(2-WEEKDAY($S164),7))+6),1,IF(ISNUMBER($I164),$I164,0)))</f>
        <v/>
      </c>
      <c r="Z164" s="62">
        <f>IF($V164="","",IF(AND(ISNUMBER($G164),$G164&lt;=IF($S164=MesCiclo,InicioCiclo,$S164+MOD(2-WEEKDAY($S164),7))+13),1,IF(ISNUMBER($J164),$J164,$Y164)))</f>
        <v/>
      </c>
      <c r="AA164" s="62">
        <f>IF($V164="","",IF(AND(ISNUMBER($G164),$G164&lt;=IF($S164=MesCiclo,InicioCiclo,$S164+MOD(2-WEEKDAY($S164),7))+20),1,IF(ISNUMBER($K164),$K164,$Z164)))</f>
        <v/>
      </c>
      <c r="AB164" s="62">
        <f>IF($V164="","",IF(AND(ISNUMBER($G164),$G164&lt;=IF($S164=MesCiclo,InicioCiclo,$S164+MOD(2-WEEKDAY($S164),7))+27),1,IF(ISNUMBER($L164),$L164,$AA164)))</f>
        <v/>
      </c>
      <c r="AC164" s="62">
        <f>IF($V164="","",IF(AND(ISNUMBER($G164),$G164&lt;=IF($S164=MesCiclo,InicioCiclo,$S164+MOD(2-WEEKDAY($S164),7))+6),1,IF(N($W164)&gt;0,AVERAGEIFS($Y$5:$Y$1000,$U$5:$U$1000,ROW(),$V$5:$V$1000,"Sub"),$Y164)))</f>
        <v/>
      </c>
      <c r="AD164" s="62">
        <f>IF($V164="","",IF(AND(ISNUMBER($G164),$G164&lt;=IF($S164=MesCiclo,InicioCiclo,$S164+MOD(2-WEEKDAY($S164),7))+13),1,IF(N($W164)&gt;0,AVERAGEIFS($Z$5:$Z$1000,$U$5:$U$1000,ROW(),$V$5:$V$1000,"Sub"),$Z164)))</f>
        <v/>
      </c>
      <c r="AE164" s="62">
        <f>IF($V164="","",IF(AND(ISNUMBER($G164),$G164&lt;=IF($S164=MesCiclo,InicioCiclo,$S164+MOD(2-WEEKDAY($S164),7))+20),1,IF(N($W164)&gt;0,AVERAGEIFS($AA$5:$AA$1000,$U$5:$U$1000,ROW(),$V$5:$V$1000,"Sub"),$AA164)))</f>
        <v/>
      </c>
      <c r="AF164" s="62">
        <f>IF($V164="","",IF(AND(ISNUMBER($G164),$G164&lt;=IF($S164=MesCiclo,InicioCiclo,$S164+MOD(2-WEEKDAY($S164),7))+27),1,IF(N($W164)&gt;0,AVERAGEIFS($AB$5:$AB$1000,$U$5:$U$1000,ROW(),$V$5:$V$1000,"Sub"),$AB164)))</f>
        <v/>
      </c>
      <c r="AG164" s="62">
        <f>IF($V164&lt;&gt;"Macro","",IF(COUNTIFS($S$5:$S$1000,$S164,$V$5:$V$1000,"Macro",$H$5:$H$1000,"&gt;0")=0,1/COUNTIFS($S$5:$S$1000,$S164,$V$5:$V$1000,"Macro"),IF(AND(ISNUMBER($H164),N($H164)&gt;0),$H164,SUMIFS($H$5:$H$1000,$S$5:$S$1000,$S164,$V$5:$V$1000,"Macro")/COUNTIFS($S$5:$S$1000,$S164,$V$5:$V$1000,"Macro",$H$5:$H$1000,"&gt;0"))/(COUNTIFS($S$5:$S$1000,$S164,$V$5:$V$1000,"Macro")*SUMIFS($H$5:$H$1000,$S$5:$S$1000,$S164,$V$5:$V$1000,"Macro")/COUNTIFS($S$5:$S$1000,$S164,$V$5:$V$1000,"Macro",$H$5:$H$1000,"&gt;0"))))</f>
        <v/>
      </c>
      <c r="AH164" s="62">
        <f>IF(NOT(AND($D164&lt;&gt;"",$V164="Macro")),"",IFERROR(CHOOSE(MATCH($D164,ListaPuestos,0),MATCH("[Jefatura] "&amp;$C164,'Cronograma R. Operacional'!$C$5:$C$1000,0),MATCH("[Jefatura] "&amp;$C164,'Cronograma R. Normativo'!$C$5:$C$1000,0),MATCH("[Jefatura] "&amp;$C164,'Cronograma R. Financiero'!$C$5:$C$1000,0),MATCH("[Jefatura] "&amp;$C164,'Cronograma Asistente Técnico'!$C$5:$C$1000,0)),0))</f>
        <v/>
      </c>
      <c r="AI164" s="62">
        <f>IF(AND(AND($D164&lt;&gt;"",$V164="Macro"),$S164=MesCiclo),COUNTIFS($D$5:$D164,$D164,$S$5:$S164,MesCiclo,$V$5:$V164,"Macro"),"")</f>
        <v/>
      </c>
      <c r="AJ164" s="62">
        <f>IF($AI164="","",$D164&amp;"|"&amp;$AI164)</f>
        <v/>
      </c>
      <c r="AK164" s="62">
        <f>IF(AND($D164&lt;&gt;"",$V164="Macro"),$D164&amp;"|"&amp;$C164,"")</f>
        <v/>
      </c>
      <c r="AL164" s="62">
        <f>""</f>
        <v/>
      </c>
      <c r="AM164" s="62">
        <f>IF(N($AL164)&gt;0,INDEX(rIni_ADM,$AL164),IF(ISNUMBER($E164),$E164,""))</f>
        <v/>
      </c>
      <c r="AN164" s="62">
        <f>IF(N($AL164)&gt;0,INDEX(rLim_ADM,$AL164),IF(ISNUMBER($F164),$F164,""))</f>
        <v/>
      </c>
    </row>
    <row r="165">
      <c r="A165" s="56">
        <f>IF(NOT((COUNTA($B165:$D165)+COUNTA($G165:$L165)+COUNTA($Q165))&gt;0),"",IF($V165="Macro",COUNTIFS($V$5:$V165,"Macro",$S$5:$S165,$S165),IF(N($U165)=0,"?",COUNTIFS(INDEX($V$5:$V$1000,1):INDEX($V$5:$V$1000,$U165-4),"Macro",INDEX($S$5:$S$1000,1):INDEX($S$5:$S$1000,$U165-4),INDEX($S$5:$S$1000,$U165-4))&amp;"."&amp;COUNTIFS($U$5:$U165,$U165,$V$5:$V165,"Sub"))))</f>
        <v/>
      </c>
      <c r="B165" s="57" t="n"/>
      <c r="C165" s="58" t="n"/>
      <c r="D165" s="58" t="n"/>
      <c r="E165" s="59" t="n"/>
      <c r="F165" s="59" t="n"/>
      <c r="G165" s="59" t="n"/>
      <c r="H165" s="60" t="n"/>
      <c r="I165" s="60" t="n"/>
      <c r="J165" s="60" t="n"/>
      <c r="K165" s="60" t="n"/>
      <c r="L165" s="60" t="n"/>
      <c r="M165" s="61">
        <f>IF(NOT((COUNTA($B165:$D165)+COUNTA($G165:$L165)+COUNTA($Q165))&gt;0),"",IF(AND($D165&lt;&gt;"",$V165="Macro"),IF(N($AH165)&gt;0,N(CHOOSE(MATCH($D165,ListaPuestos,0),INDEX('Cronograma R. Operacional'!$M$5:$M$1000,$AH165),INDEX('Cronograma R. Normativo'!$M$5:$M$1000,$AH165),INDEX('Cronograma R. Financiero'!$M$5:$M$1000,$AH165),INDEX('Cronograma Asistente Técnico'!$M$5:$M$1000,$AH165))),0),IF(ISNUMBER($G165),1,IF(N($W165)&gt;0,AVERAGEIFS($X$5:$X$1000,$U$5:$U$1000,ROW(),$V$5:$V$1000,"Sub"),$X165))))</f>
        <v/>
      </c>
      <c r="N165" s="56">
        <f>IF(OR($M165="",$V165="Sub"),"",IF($M165&gt;=1,"Completado",IF($M165&gt;0,"En curso","Pendiente")))</f>
        <v/>
      </c>
      <c r="O165" s="56">
        <f>IF(NOT((COUNTA($B165:$D165)+COUNTA($G165:$L165)+COUNTA($Q165))&gt;0),"",IF(AND(AND($D165&lt;&gt;"",$V165="Macro"),N($AH165)&gt;0),CHOOSE(MATCH($D165,ListaPuestos,0),INDEX('Cronograma R. Operacional'!$O$5:$O$1000,$AH165),INDEX('Cronograma R. Normativo'!$O$5:$O$1000,$AH165),INDEX('Cronograma R. Financiero'!$O$5:$O$1000,$AH165),INDEX('Cronograma Asistente Técnico'!$O$5:$O$1000,$AH165))&amp;"",IF(ISNUMBER($G165),IF(AND(ISNUMBER($AN165),$G165&gt;$AN165),"Cumplida con "&amp;($G165-$AN165)&amp;IF($G165-$AN165=1," día"," días")&amp;" de retraso","Cumplida"),IF(N($M165)&gt;=1,"Cumplida",IF(NOT(ISNUMBER($AN165)),"Sin fecha límite",IF($AN165&lt;FechaRef,"Vencida hace "&amp;(FechaRef-$AN165)&amp;IF(FechaRef-$AN165=1," día"," días"),IF($AN165=FechaRef,"Vence hoy",IF($AN165-FechaRef&lt;=DiasAlerta,"Vence en "&amp;($AN165-FechaRef)&amp;IF($AN165-FechaRef=1," día"," días"),"En plazo"))))))))</f>
        <v/>
      </c>
      <c r="P165" s="62">
        <f>IF(NOT((COUNTA($B165:$D165)+COUNTA($G165:$L165)+COUNTA($Q165))&gt;0),"",IF($D165="","Propia",IF($V165&lt;&gt;"Macro","Solo se delegan macroactividades",IF(N($AH165)&gt;0,"✔ Recibida por "&amp;$D165,"⚠ "&amp;$D165&amp;" aún no la agrega"))))</f>
        <v/>
      </c>
      <c r="Q165" s="58" t="n"/>
      <c r="R165" s="63">
        <f>IF(NOT((COUNTA($B165:$D165)+COUNTA($G165:$L165)+COUNTA($Q165))&gt;0),"",IF((IF($C165="","Falta el nombre de la actividad"&amp;" · ","")&amp;IF(AND($V165="Sub",N($U165)=0),"Subactividad sin macroactividad arriba"&amp;" · ","")&amp;IF($AM165="","Sin fecha de inicio"&amp;" · ","")&amp;IF($AN165="","Sin fecha límite"&amp;" · ","")&amp;IF(AND(LEFT($C165,11)="[Jefatura] ",N($AL165)=0),"No se encuentra en la hoja de la jefatura (elíjala de nuevo en la lista)"&amp;" · ","")&amp;IF(OR(AND($E165&lt;&gt;"",NOT(ISNUMBER($E165))),AND($F165&lt;&gt;"",NOT(ISNUMBER($F165))),AND($G165&lt;&gt;"",NOT(ISNUMBER($G165)))),"Fecha no válida"&amp;" · ","")&amp;IF(AND(ISNUMBER($AM165),ISNUMBER($AN165),$AM165&gt;$AN165),"Inicio posterior a fecha límite"&amp;" · ","")&amp;IF(AND($V165="Macro",$H165&lt;&gt;"",OR(NOT(ISNUMBER($H165)),$H165&lt;0,$H165&gt;1)),"Peso fuera de rango"&amp;" · ","")&amp;IF(AND($V165="Sub",$H165&lt;&gt;""),"Las subactividades no llevan peso (valen igual dentro de su macroactividad)"&amp;" · ","")&amp;IF(AND(N($W165)&gt;0,COUNT($I165:$L165)&gt;0),"Con subactividades: deje vacías las semanas (se calculan solas)"&amp;" · ","")&amp;IF((COUNTIF($I165:$L165,"&gt;1")+COUNTIF($I165:$L165,"&lt;0")+COUNTA($I165:$L165)-COUNT($I165:$L165))&gt;0,"Avance fuera de rango 0-100%"&amp;" · ","")&amp;IF(OR(AND($J165&lt;&gt;"",$J165&lt;$I165),AND($K165&lt;&gt;"",$K165&lt;MAX($I165:$J165)),AND($L165&lt;&gt;"",$L165&lt;MAX($I165:$K165))),"Avance semanal decreciente"&amp;" · ","")&amp;IF(AND(ISNUMBER($AN165),$AN165&lt;FechaRef,IF($V165="Sub",N($X165),N($M165))&lt;1),"Vencida"&amp;" · ","")&amp;IF(AND(ObsObligatoria="Sí",ISNUMBER($AN165),$AN165&lt;FechaRef,IF($V165="Sub",N($X165),N($M165))&lt;1,$Q165=""),"Vencida sin observación"&amp;" · ",""))="","✔ OK","⚠ "&amp;LEFT(IF($C165="","Falta el nombre de la actividad"&amp;" · ","")&amp;IF(AND($V165="Sub",N($U165)=0),"Subactividad sin macroactividad arriba"&amp;" · ","")&amp;IF($AM165="","Sin fecha de inicio"&amp;" · ","")&amp;IF($AN165="","Sin fecha límite"&amp;" · ","")&amp;IF(AND(LEFT($C165,11)="[Jefatura] ",N($AL165)=0),"No se encuentra en la hoja de la jefatura (elíjala de nuevo en la lista)"&amp;" · ","")&amp;IF(OR(AND($E165&lt;&gt;"",NOT(ISNUMBER($E165))),AND($F165&lt;&gt;"",NOT(ISNUMBER($F165))),AND($G165&lt;&gt;"",NOT(ISNUMBER($G165)))),"Fecha no válida"&amp;" · ","")&amp;IF(AND(ISNUMBER($AM165),ISNUMBER($AN165),$AM165&gt;$AN165),"Inicio posterior a fecha límite"&amp;" · ","")&amp;IF(AND($V165="Macro",$H165&lt;&gt;"",OR(NOT(ISNUMBER($H165)),$H165&lt;0,$H165&gt;1)),"Peso fuera de rango"&amp;" · ","")&amp;IF(AND($V165="Sub",$H165&lt;&gt;""),"Las subactividades no llevan peso (valen igual dentro de su macroactividad)"&amp;" · ","")&amp;IF(AND(N($W165)&gt;0,COUNT($I165:$L165)&gt;0),"Con subactividades: deje vacías las semanas (se calculan solas)"&amp;" · ","")&amp;IF((COUNTIF($I165:$L165,"&gt;1")+COUNTIF($I165:$L165,"&lt;0")+COUNTA($I165:$L165)-COUNT($I165:$L165))&gt;0,"Avance fuera de rango 0-100%"&amp;" · ","")&amp;IF(OR(AND($J165&lt;&gt;"",$J165&lt;$I165),AND($K165&lt;&gt;"",$K165&lt;MAX($I165:$J165)),AND($L165&lt;&gt;"",$L165&lt;MAX($I165:$K165))),"Avance semanal decreciente"&amp;" · ","")&amp;IF(AND(ISNUMBER($AN165),$AN165&lt;FechaRef,IF($V165="Sub",N($X165),N($M165))&lt;1),"Vencida"&amp;" · ","")&amp;IF(AND(ObsObligatoria="Sí",ISNUMBER($AN165),$AN165&lt;FechaRef,IF($V165="Sub",N($X165),N($M165))&lt;1,$Q165=""),"Vencida sin observación"&amp;" · ",""),LEN(IF($C165="","Falta el nombre de la actividad"&amp;" · ","")&amp;IF(AND($V165="Sub",N($U165)=0),"Subactividad sin macroactividad arriba"&amp;" · ","")&amp;IF($AM165="","Sin fecha de inicio"&amp;" · ","")&amp;IF($AN165="","Sin fecha límite"&amp;" · ","")&amp;IF(AND(LEFT($C165,11)="[Jefatura] ",N($AL165)=0),"No se encuentra en la hoja de la jefatura (elíjala de nuevo en la lista)"&amp;" · ","")&amp;IF(OR(AND($E165&lt;&gt;"",NOT(ISNUMBER($E165))),AND($F165&lt;&gt;"",NOT(ISNUMBER($F165))),AND($G165&lt;&gt;"",NOT(ISNUMBER($G165)))),"Fecha no válida"&amp;" · ","")&amp;IF(AND(ISNUMBER($AM165),ISNUMBER($AN165),$AM165&gt;$AN165),"Inicio posterior a fecha límite"&amp;" · ","")&amp;IF(AND($V165="Macro",$H165&lt;&gt;"",OR(NOT(ISNUMBER($H165)),$H165&lt;0,$H165&gt;1)),"Peso fuera de rango"&amp;" · ","")&amp;IF(AND($V165="Sub",$H165&lt;&gt;""),"Las subactividades no llevan peso (valen igual dentro de su macroactividad)"&amp;" · ","")&amp;IF(AND(N($W165)&gt;0,COUNT($I165:$L165)&gt;0),"Con subactividades: deje vacías las semanas (se calculan solas)"&amp;" · ","")&amp;IF((COUNTIF($I165:$L165,"&gt;1")+COUNTIF($I165:$L165,"&lt;0")+COUNTA($I165:$L165)-COUNT($I165:$L165))&gt;0,"Avance fuera de rango 0-100%"&amp;" · ","")&amp;IF(OR(AND($J165&lt;&gt;"",$J165&lt;$I165),AND($K165&lt;&gt;"",$K165&lt;MAX($I165:$J165)),AND($L165&lt;&gt;"",$L165&lt;MAX($I165:$K165))),"Avance semanal decreciente"&amp;" · ","")&amp;IF(AND(ISNUMBER($AN165),$AN165&lt;FechaRef,IF($V165="Sub",N($X165),N($M165))&lt;1),"Vencida"&amp;" · ","")&amp;IF(AND(ObsObligatoria="Sí",ISNUMBER($AN165),$AN165&lt;FechaRef,IF($V165="Sub",N($X165),N($M165))&lt;1,$Q165=""),"Vencida sin observación"&amp;" · ",""))-3)))</f>
        <v/>
      </c>
      <c r="S165" s="64">
        <f>IF(NOT((COUNTA($B165:$D165)+COUNTA($G165:$L165)+COUNTA($Q165))&gt;0),"",IF(AND($V165="Sub",N($U165)&gt;0),IF(ISNUMBER(INDEX($AM$5:$AM$1000,$U165-4)),DATE(YEAR(INDEX($AM$5:$AM$1000,$U165-4)),MONTH(INDEX($AM$5:$AM$1000,$U165-4)),1),IF(ISNUMBER(INDEX($AN$5:$AN$1000,$U165-4)),DATE(YEAR(INDEX($AN$5:$AN$1000,$U165-4)),MONTH(INDEX($AN$5:$AN$1000,$U165-4)),1),MesCiclo)),IF(ISNUMBER($AM165),DATE(YEAR($AM165),MONTH($AM165),1),IF(ISNUMBER($AN165),DATE(YEAR($AN165),MONTH($AN165),1),MesCiclo))))</f>
        <v/>
      </c>
      <c r="T165" s="62">
        <f>IF(OR($S165="",$S165&lt;&gt;MesCiclo,$V165&lt;&gt;"Macro"),"",COUNTIFS($S$5:$S165,MesCiclo,$V$5:$V165,"Macro"))</f>
        <v/>
      </c>
      <c r="U165" s="62">
        <f>IF($V165="","",IF($V165="Macro",ROW(),IFERROR(LOOKUP(2,1/($V$5:$V165="Macro"),ROW($V$5:$V165)),0)))</f>
        <v/>
      </c>
      <c r="V165" s="62">
        <f>IF(NOT((COUNTA($B165:$D165)+COUNTA($G165:$L165)+COUNTA($Q165))&gt;0),"",IF($B165="Subactividad","Sub","Macro"))</f>
        <v/>
      </c>
      <c r="W165" s="62">
        <f>IF($V165="Macro",COUNTIFS($U$5:$U$1000,ROW(),$V$5:$V$1000,"Sub"),"")</f>
        <v/>
      </c>
      <c r="X165" s="62">
        <f>IF($V165="","",IF(ISNUMBER($G165),1,IFERROR(LOOKUP(2,1/($I165:$L165&lt;&gt;""),$I165:$L165),0)))</f>
        <v/>
      </c>
      <c r="Y165" s="62">
        <f>IF($V165="","",IF(AND(ISNUMBER($G165),$G165&lt;=IF($S165=MesCiclo,InicioCiclo,$S165+MOD(2-WEEKDAY($S165),7))+6),1,IF(ISNUMBER($I165),$I165,0)))</f>
        <v/>
      </c>
      <c r="Z165" s="62">
        <f>IF($V165="","",IF(AND(ISNUMBER($G165),$G165&lt;=IF($S165=MesCiclo,InicioCiclo,$S165+MOD(2-WEEKDAY($S165),7))+13),1,IF(ISNUMBER($J165),$J165,$Y165)))</f>
        <v/>
      </c>
      <c r="AA165" s="62">
        <f>IF($V165="","",IF(AND(ISNUMBER($G165),$G165&lt;=IF($S165=MesCiclo,InicioCiclo,$S165+MOD(2-WEEKDAY($S165),7))+20),1,IF(ISNUMBER($K165),$K165,$Z165)))</f>
        <v/>
      </c>
      <c r="AB165" s="62">
        <f>IF($V165="","",IF(AND(ISNUMBER($G165),$G165&lt;=IF($S165=MesCiclo,InicioCiclo,$S165+MOD(2-WEEKDAY($S165),7))+27),1,IF(ISNUMBER($L165),$L165,$AA165)))</f>
        <v/>
      </c>
      <c r="AC165" s="62">
        <f>IF($V165="","",IF(AND(ISNUMBER($G165),$G165&lt;=IF($S165=MesCiclo,InicioCiclo,$S165+MOD(2-WEEKDAY($S165),7))+6),1,IF(N($W165)&gt;0,AVERAGEIFS($Y$5:$Y$1000,$U$5:$U$1000,ROW(),$V$5:$V$1000,"Sub"),$Y165)))</f>
        <v/>
      </c>
      <c r="AD165" s="62">
        <f>IF($V165="","",IF(AND(ISNUMBER($G165),$G165&lt;=IF($S165=MesCiclo,InicioCiclo,$S165+MOD(2-WEEKDAY($S165),7))+13),1,IF(N($W165)&gt;0,AVERAGEIFS($Z$5:$Z$1000,$U$5:$U$1000,ROW(),$V$5:$V$1000,"Sub"),$Z165)))</f>
        <v/>
      </c>
      <c r="AE165" s="62">
        <f>IF($V165="","",IF(AND(ISNUMBER($G165),$G165&lt;=IF($S165=MesCiclo,InicioCiclo,$S165+MOD(2-WEEKDAY($S165),7))+20),1,IF(N($W165)&gt;0,AVERAGEIFS($AA$5:$AA$1000,$U$5:$U$1000,ROW(),$V$5:$V$1000,"Sub"),$AA165)))</f>
        <v/>
      </c>
      <c r="AF165" s="62">
        <f>IF($V165="","",IF(AND(ISNUMBER($G165),$G165&lt;=IF($S165=MesCiclo,InicioCiclo,$S165+MOD(2-WEEKDAY($S165),7))+27),1,IF(N($W165)&gt;0,AVERAGEIFS($AB$5:$AB$1000,$U$5:$U$1000,ROW(),$V$5:$V$1000,"Sub"),$AB165)))</f>
        <v/>
      </c>
      <c r="AG165" s="62">
        <f>IF($V165&lt;&gt;"Macro","",IF(COUNTIFS($S$5:$S$1000,$S165,$V$5:$V$1000,"Macro",$H$5:$H$1000,"&gt;0")=0,1/COUNTIFS($S$5:$S$1000,$S165,$V$5:$V$1000,"Macro"),IF(AND(ISNUMBER($H165),N($H165)&gt;0),$H165,SUMIFS($H$5:$H$1000,$S$5:$S$1000,$S165,$V$5:$V$1000,"Macro")/COUNTIFS($S$5:$S$1000,$S165,$V$5:$V$1000,"Macro",$H$5:$H$1000,"&gt;0"))/(COUNTIFS($S$5:$S$1000,$S165,$V$5:$V$1000,"Macro")*SUMIFS($H$5:$H$1000,$S$5:$S$1000,$S165,$V$5:$V$1000,"Macro")/COUNTIFS($S$5:$S$1000,$S165,$V$5:$V$1000,"Macro",$H$5:$H$1000,"&gt;0"))))</f>
        <v/>
      </c>
      <c r="AH165" s="62">
        <f>IF(NOT(AND($D165&lt;&gt;"",$V165="Macro")),"",IFERROR(CHOOSE(MATCH($D165,ListaPuestos,0),MATCH("[Jefatura] "&amp;$C165,'Cronograma R. Operacional'!$C$5:$C$1000,0),MATCH("[Jefatura] "&amp;$C165,'Cronograma R. Normativo'!$C$5:$C$1000,0),MATCH("[Jefatura] "&amp;$C165,'Cronograma R. Financiero'!$C$5:$C$1000,0),MATCH("[Jefatura] "&amp;$C165,'Cronograma Asistente Técnico'!$C$5:$C$1000,0)),0))</f>
        <v/>
      </c>
      <c r="AI165" s="62">
        <f>IF(AND(AND($D165&lt;&gt;"",$V165="Macro"),$S165=MesCiclo),COUNTIFS($D$5:$D165,$D165,$S$5:$S165,MesCiclo,$V$5:$V165,"Macro"),"")</f>
        <v/>
      </c>
      <c r="AJ165" s="62">
        <f>IF($AI165="","",$D165&amp;"|"&amp;$AI165)</f>
        <v/>
      </c>
      <c r="AK165" s="62">
        <f>IF(AND($D165&lt;&gt;"",$V165="Macro"),$D165&amp;"|"&amp;$C165,"")</f>
        <v/>
      </c>
      <c r="AL165" s="62">
        <f>""</f>
        <v/>
      </c>
      <c r="AM165" s="62">
        <f>IF(N($AL165)&gt;0,INDEX(rIni_ADM,$AL165),IF(ISNUMBER($E165),$E165,""))</f>
        <v/>
      </c>
      <c r="AN165" s="62">
        <f>IF(N($AL165)&gt;0,INDEX(rLim_ADM,$AL165),IF(ISNUMBER($F165),$F165,""))</f>
        <v/>
      </c>
    </row>
    <row r="166">
      <c r="A166" s="56">
        <f>IF(NOT((COUNTA($B166:$D166)+COUNTA($G166:$L166)+COUNTA($Q166))&gt;0),"",IF($V166="Macro",COUNTIFS($V$5:$V166,"Macro",$S$5:$S166,$S166),IF(N($U166)=0,"?",COUNTIFS(INDEX($V$5:$V$1000,1):INDEX($V$5:$V$1000,$U166-4),"Macro",INDEX($S$5:$S$1000,1):INDEX($S$5:$S$1000,$U166-4),INDEX($S$5:$S$1000,$U166-4))&amp;"."&amp;COUNTIFS($U$5:$U166,$U166,$V$5:$V166,"Sub"))))</f>
        <v/>
      </c>
      <c r="B166" s="57" t="n"/>
      <c r="C166" s="58" t="n"/>
      <c r="D166" s="58" t="n"/>
      <c r="E166" s="59" t="n"/>
      <c r="F166" s="59" t="n"/>
      <c r="G166" s="59" t="n"/>
      <c r="H166" s="60" t="n"/>
      <c r="I166" s="60" t="n"/>
      <c r="J166" s="60" t="n"/>
      <c r="K166" s="60" t="n"/>
      <c r="L166" s="60" t="n"/>
      <c r="M166" s="61">
        <f>IF(NOT((COUNTA($B166:$D166)+COUNTA($G166:$L166)+COUNTA($Q166))&gt;0),"",IF(AND($D166&lt;&gt;"",$V166="Macro"),IF(N($AH166)&gt;0,N(CHOOSE(MATCH($D166,ListaPuestos,0),INDEX('Cronograma R. Operacional'!$M$5:$M$1000,$AH166),INDEX('Cronograma R. Normativo'!$M$5:$M$1000,$AH166),INDEX('Cronograma R. Financiero'!$M$5:$M$1000,$AH166),INDEX('Cronograma Asistente Técnico'!$M$5:$M$1000,$AH166))),0),IF(ISNUMBER($G166),1,IF(N($W166)&gt;0,AVERAGEIFS($X$5:$X$1000,$U$5:$U$1000,ROW(),$V$5:$V$1000,"Sub"),$X166))))</f>
        <v/>
      </c>
      <c r="N166" s="56">
        <f>IF(OR($M166="",$V166="Sub"),"",IF($M166&gt;=1,"Completado",IF($M166&gt;0,"En curso","Pendiente")))</f>
        <v/>
      </c>
      <c r="O166" s="56">
        <f>IF(NOT((COUNTA($B166:$D166)+COUNTA($G166:$L166)+COUNTA($Q166))&gt;0),"",IF(AND(AND($D166&lt;&gt;"",$V166="Macro"),N($AH166)&gt;0),CHOOSE(MATCH($D166,ListaPuestos,0),INDEX('Cronograma R. Operacional'!$O$5:$O$1000,$AH166),INDEX('Cronograma R. Normativo'!$O$5:$O$1000,$AH166),INDEX('Cronograma R. Financiero'!$O$5:$O$1000,$AH166),INDEX('Cronograma Asistente Técnico'!$O$5:$O$1000,$AH166))&amp;"",IF(ISNUMBER($G166),IF(AND(ISNUMBER($AN166),$G166&gt;$AN166),"Cumplida con "&amp;($G166-$AN166)&amp;IF($G166-$AN166=1," día"," días")&amp;" de retraso","Cumplida"),IF(N($M166)&gt;=1,"Cumplida",IF(NOT(ISNUMBER($AN166)),"Sin fecha límite",IF($AN166&lt;FechaRef,"Vencida hace "&amp;(FechaRef-$AN166)&amp;IF(FechaRef-$AN166=1," día"," días"),IF($AN166=FechaRef,"Vence hoy",IF($AN166-FechaRef&lt;=DiasAlerta,"Vence en "&amp;($AN166-FechaRef)&amp;IF($AN166-FechaRef=1," día"," días"),"En plazo"))))))))</f>
        <v/>
      </c>
      <c r="P166" s="62">
        <f>IF(NOT((COUNTA($B166:$D166)+COUNTA($G166:$L166)+COUNTA($Q166))&gt;0),"",IF($D166="","Propia",IF($V166&lt;&gt;"Macro","Solo se delegan macroactividades",IF(N($AH166)&gt;0,"✔ Recibida por "&amp;$D166,"⚠ "&amp;$D166&amp;" aún no la agrega"))))</f>
        <v/>
      </c>
      <c r="Q166" s="58" t="n"/>
      <c r="R166" s="63">
        <f>IF(NOT((COUNTA($B166:$D166)+COUNTA($G166:$L166)+COUNTA($Q166))&gt;0),"",IF((IF($C166="","Falta el nombre de la actividad"&amp;" · ","")&amp;IF(AND($V166="Sub",N($U166)=0),"Subactividad sin macroactividad arriba"&amp;" · ","")&amp;IF($AM166="","Sin fecha de inicio"&amp;" · ","")&amp;IF($AN166="","Sin fecha límite"&amp;" · ","")&amp;IF(AND(LEFT($C166,11)="[Jefatura] ",N($AL166)=0),"No se encuentra en la hoja de la jefatura (elíjala de nuevo en la lista)"&amp;" · ","")&amp;IF(OR(AND($E166&lt;&gt;"",NOT(ISNUMBER($E166))),AND($F166&lt;&gt;"",NOT(ISNUMBER($F166))),AND($G166&lt;&gt;"",NOT(ISNUMBER($G166)))),"Fecha no válida"&amp;" · ","")&amp;IF(AND(ISNUMBER($AM166),ISNUMBER($AN166),$AM166&gt;$AN166),"Inicio posterior a fecha límite"&amp;" · ","")&amp;IF(AND($V166="Macro",$H166&lt;&gt;"",OR(NOT(ISNUMBER($H166)),$H166&lt;0,$H166&gt;1)),"Peso fuera de rango"&amp;" · ","")&amp;IF(AND($V166="Sub",$H166&lt;&gt;""),"Las subactividades no llevan peso (valen igual dentro de su macroactividad)"&amp;" · ","")&amp;IF(AND(N($W166)&gt;0,COUNT($I166:$L166)&gt;0),"Con subactividades: deje vacías las semanas (se calculan solas)"&amp;" · ","")&amp;IF((COUNTIF($I166:$L166,"&gt;1")+COUNTIF($I166:$L166,"&lt;0")+COUNTA($I166:$L166)-COUNT($I166:$L166))&gt;0,"Avance fuera de rango 0-100%"&amp;" · ","")&amp;IF(OR(AND($J166&lt;&gt;"",$J166&lt;$I166),AND($K166&lt;&gt;"",$K166&lt;MAX($I166:$J166)),AND($L166&lt;&gt;"",$L166&lt;MAX($I166:$K166))),"Avance semanal decreciente"&amp;" · ","")&amp;IF(AND(ISNUMBER($AN166),$AN166&lt;FechaRef,IF($V166="Sub",N($X166),N($M166))&lt;1),"Vencida"&amp;" · ","")&amp;IF(AND(ObsObligatoria="Sí",ISNUMBER($AN166),$AN166&lt;FechaRef,IF($V166="Sub",N($X166),N($M166))&lt;1,$Q166=""),"Vencida sin observación"&amp;" · ",""))="","✔ OK","⚠ "&amp;LEFT(IF($C166="","Falta el nombre de la actividad"&amp;" · ","")&amp;IF(AND($V166="Sub",N($U166)=0),"Subactividad sin macroactividad arriba"&amp;" · ","")&amp;IF($AM166="","Sin fecha de inicio"&amp;" · ","")&amp;IF($AN166="","Sin fecha límite"&amp;" · ","")&amp;IF(AND(LEFT($C166,11)="[Jefatura] ",N($AL166)=0),"No se encuentra en la hoja de la jefatura (elíjala de nuevo en la lista)"&amp;" · ","")&amp;IF(OR(AND($E166&lt;&gt;"",NOT(ISNUMBER($E166))),AND($F166&lt;&gt;"",NOT(ISNUMBER($F166))),AND($G166&lt;&gt;"",NOT(ISNUMBER($G166)))),"Fecha no válida"&amp;" · ","")&amp;IF(AND(ISNUMBER($AM166),ISNUMBER($AN166),$AM166&gt;$AN166),"Inicio posterior a fecha límite"&amp;" · ","")&amp;IF(AND($V166="Macro",$H166&lt;&gt;"",OR(NOT(ISNUMBER($H166)),$H166&lt;0,$H166&gt;1)),"Peso fuera de rango"&amp;" · ","")&amp;IF(AND($V166="Sub",$H166&lt;&gt;""),"Las subactividades no llevan peso (valen igual dentro de su macroactividad)"&amp;" · ","")&amp;IF(AND(N($W166)&gt;0,COUNT($I166:$L166)&gt;0),"Con subactividades: deje vacías las semanas (se calculan solas)"&amp;" · ","")&amp;IF((COUNTIF($I166:$L166,"&gt;1")+COUNTIF($I166:$L166,"&lt;0")+COUNTA($I166:$L166)-COUNT($I166:$L166))&gt;0,"Avance fuera de rango 0-100%"&amp;" · ","")&amp;IF(OR(AND($J166&lt;&gt;"",$J166&lt;$I166),AND($K166&lt;&gt;"",$K166&lt;MAX($I166:$J166)),AND($L166&lt;&gt;"",$L166&lt;MAX($I166:$K166))),"Avance semanal decreciente"&amp;" · ","")&amp;IF(AND(ISNUMBER($AN166),$AN166&lt;FechaRef,IF($V166="Sub",N($X166),N($M166))&lt;1),"Vencida"&amp;" · ","")&amp;IF(AND(ObsObligatoria="Sí",ISNUMBER($AN166),$AN166&lt;FechaRef,IF($V166="Sub",N($X166),N($M166))&lt;1,$Q166=""),"Vencida sin observación"&amp;" · ",""),LEN(IF($C166="","Falta el nombre de la actividad"&amp;" · ","")&amp;IF(AND($V166="Sub",N($U166)=0),"Subactividad sin macroactividad arriba"&amp;" · ","")&amp;IF($AM166="","Sin fecha de inicio"&amp;" · ","")&amp;IF($AN166="","Sin fecha límite"&amp;" · ","")&amp;IF(AND(LEFT($C166,11)="[Jefatura] ",N($AL166)=0),"No se encuentra en la hoja de la jefatura (elíjala de nuevo en la lista)"&amp;" · ","")&amp;IF(OR(AND($E166&lt;&gt;"",NOT(ISNUMBER($E166))),AND($F166&lt;&gt;"",NOT(ISNUMBER($F166))),AND($G166&lt;&gt;"",NOT(ISNUMBER($G166)))),"Fecha no válida"&amp;" · ","")&amp;IF(AND(ISNUMBER($AM166),ISNUMBER($AN166),$AM166&gt;$AN166),"Inicio posterior a fecha límite"&amp;" · ","")&amp;IF(AND($V166="Macro",$H166&lt;&gt;"",OR(NOT(ISNUMBER($H166)),$H166&lt;0,$H166&gt;1)),"Peso fuera de rango"&amp;" · ","")&amp;IF(AND($V166="Sub",$H166&lt;&gt;""),"Las subactividades no llevan peso (valen igual dentro de su macroactividad)"&amp;" · ","")&amp;IF(AND(N($W166)&gt;0,COUNT($I166:$L166)&gt;0),"Con subactividades: deje vacías las semanas (se calculan solas)"&amp;" · ","")&amp;IF((COUNTIF($I166:$L166,"&gt;1")+COUNTIF($I166:$L166,"&lt;0")+COUNTA($I166:$L166)-COUNT($I166:$L166))&gt;0,"Avance fuera de rango 0-100%"&amp;" · ","")&amp;IF(OR(AND($J166&lt;&gt;"",$J166&lt;$I166),AND($K166&lt;&gt;"",$K166&lt;MAX($I166:$J166)),AND($L166&lt;&gt;"",$L166&lt;MAX($I166:$K166))),"Avance semanal decreciente"&amp;" · ","")&amp;IF(AND(ISNUMBER($AN166),$AN166&lt;FechaRef,IF($V166="Sub",N($X166),N($M166))&lt;1),"Vencida"&amp;" · ","")&amp;IF(AND(ObsObligatoria="Sí",ISNUMBER($AN166),$AN166&lt;FechaRef,IF($V166="Sub",N($X166),N($M166))&lt;1,$Q166=""),"Vencida sin observación"&amp;" · ",""))-3)))</f>
        <v/>
      </c>
      <c r="S166" s="64">
        <f>IF(NOT((COUNTA($B166:$D166)+COUNTA($G166:$L166)+COUNTA($Q166))&gt;0),"",IF(AND($V166="Sub",N($U166)&gt;0),IF(ISNUMBER(INDEX($AM$5:$AM$1000,$U166-4)),DATE(YEAR(INDEX($AM$5:$AM$1000,$U166-4)),MONTH(INDEX($AM$5:$AM$1000,$U166-4)),1),IF(ISNUMBER(INDEX($AN$5:$AN$1000,$U166-4)),DATE(YEAR(INDEX($AN$5:$AN$1000,$U166-4)),MONTH(INDEX($AN$5:$AN$1000,$U166-4)),1),MesCiclo)),IF(ISNUMBER($AM166),DATE(YEAR($AM166),MONTH($AM166),1),IF(ISNUMBER($AN166),DATE(YEAR($AN166),MONTH($AN166),1),MesCiclo))))</f>
        <v/>
      </c>
      <c r="T166" s="62">
        <f>IF(OR($S166="",$S166&lt;&gt;MesCiclo,$V166&lt;&gt;"Macro"),"",COUNTIFS($S$5:$S166,MesCiclo,$V$5:$V166,"Macro"))</f>
        <v/>
      </c>
      <c r="U166" s="62">
        <f>IF($V166="","",IF($V166="Macro",ROW(),IFERROR(LOOKUP(2,1/($V$5:$V166="Macro"),ROW($V$5:$V166)),0)))</f>
        <v/>
      </c>
      <c r="V166" s="62">
        <f>IF(NOT((COUNTA($B166:$D166)+COUNTA($G166:$L166)+COUNTA($Q166))&gt;0),"",IF($B166="Subactividad","Sub","Macro"))</f>
        <v/>
      </c>
      <c r="W166" s="62">
        <f>IF($V166="Macro",COUNTIFS($U$5:$U$1000,ROW(),$V$5:$V$1000,"Sub"),"")</f>
        <v/>
      </c>
      <c r="X166" s="62">
        <f>IF($V166="","",IF(ISNUMBER($G166),1,IFERROR(LOOKUP(2,1/($I166:$L166&lt;&gt;""),$I166:$L166),0)))</f>
        <v/>
      </c>
      <c r="Y166" s="62">
        <f>IF($V166="","",IF(AND(ISNUMBER($G166),$G166&lt;=IF($S166=MesCiclo,InicioCiclo,$S166+MOD(2-WEEKDAY($S166),7))+6),1,IF(ISNUMBER($I166),$I166,0)))</f>
        <v/>
      </c>
      <c r="Z166" s="62">
        <f>IF($V166="","",IF(AND(ISNUMBER($G166),$G166&lt;=IF($S166=MesCiclo,InicioCiclo,$S166+MOD(2-WEEKDAY($S166),7))+13),1,IF(ISNUMBER($J166),$J166,$Y166)))</f>
        <v/>
      </c>
      <c r="AA166" s="62">
        <f>IF($V166="","",IF(AND(ISNUMBER($G166),$G166&lt;=IF($S166=MesCiclo,InicioCiclo,$S166+MOD(2-WEEKDAY($S166),7))+20),1,IF(ISNUMBER($K166),$K166,$Z166)))</f>
        <v/>
      </c>
      <c r="AB166" s="62">
        <f>IF($V166="","",IF(AND(ISNUMBER($G166),$G166&lt;=IF($S166=MesCiclo,InicioCiclo,$S166+MOD(2-WEEKDAY($S166),7))+27),1,IF(ISNUMBER($L166),$L166,$AA166)))</f>
        <v/>
      </c>
      <c r="AC166" s="62">
        <f>IF($V166="","",IF(AND(ISNUMBER($G166),$G166&lt;=IF($S166=MesCiclo,InicioCiclo,$S166+MOD(2-WEEKDAY($S166),7))+6),1,IF(N($W166)&gt;0,AVERAGEIFS($Y$5:$Y$1000,$U$5:$U$1000,ROW(),$V$5:$V$1000,"Sub"),$Y166)))</f>
        <v/>
      </c>
      <c r="AD166" s="62">
        <f>IF($V166="","",IF(AND(ISNUMBER($G166),$G166&lt;=IF($S166=MesCiclo,InicioCiclo,$S166+MOD(2-WEEKDAY($S166),7))+13),1,IF(N($W166)&gt;0,AVERAGEIFS($Z$5:$Z$1000,$U$5:$U$1000,ROW(),$V$5:$V$1000,"Sub"),$Z166)))</f>
        <v/>
      </c>
      <c r="AE166" s="62">
        <f>IF($V166="","",IF(AND(ISNUMBER($G166),$G166&lt;=IF($S166=MesCiclo,InicioCiclo,$S166+MOD(2-WEEKDAY($S166),7))+20),1,IF(N($W166)&gt;0,AVERAGEIFS($AA$5:$AA$1000,$U$5:$U$1000,ROW(),$V$5:$V$1000,"Sub"),$AA166)))</f>
        <v/>
      </c>
      <c r="AF166" s="62">
        <f>IF($V166="","",IF(AND(ISNUMBER($G166),$G166&lt;=IF($S166=MesCiclo,InicioCiclo,$S166+MOD(2-WEEKDAY($S166),7))+27),1,IF(N($W166)&gt;0,AVERAGEIFS($AB$5:$AB$1000,$U$5:$U$1000,ROW(),$V$5:$V$1000,"Sub"),$AB166)))</f>
        <v/>
      </c>
      <c r="AG166" s="62">
        <f>IF($V166&lt;&gt;"Macro","",IF(COUNTIFS($S$5:$S$1000,$S166,$V$5:$V$1000,"Macro",$H$5:$H$1000,"&gt;0")=0,1/COUNTIFS($S$5:$S$1000,$S166,$V$5:$V$1000,"Macro"),IF(AND(ISNUMBER($H166),N($H166)&gt;0),$H166,SUMIFS($H$5:$H$1000,$S$5:$S$1000,$S166,$V$5:$V$1000,"Macro")/COUNTIFS($S$5:$S$1000,$S166,$V$5:$V$1000,"Macro",$H$5:$H$1000,"&gt;0"))/(COUNTIFS($S$5:$S$1000,$S166,$V$5:$V$1000,"Macro")*SUMIFS($H$5:$H$1000,$S$5:$S$1000,$S166,$V$5:$V$1000,"Macro")/COUNTIFS($S$5:$S$1000,$S166,$V$5:$V$1000,"Macro",$H$5:$H$1000,"&gt;0"))))</f>
        <v/>
      </c>
      <c r="AH166" s="62">
        <f>IF(NOT(AND($D166&lt;&gt;"",$V166="Macro")),"",IFERROR(CHOOSE(MATCH($D166,ListaPuestos,0),MATCH("[Jefatura] "&amp;$C166,'Cronograma R. Operacional'!$C$5:$C$1000,0),MATCH("[Jefatura] "&amp;$C166,'Cronograma R. Normativo'!$C$5:$C$1000,0),MATCH("[Jefatura] "&amp;$C166,'Cronograma R. Financiero'!$C$5:$C$1000,0),MATCH("[Jefatura] "&amp;$C166,'Cronograma Asistente Técnico'!$C$5:$C$1000,0)),0))</f>
        <v/>
      </c>
      <c r="AI166" s="62">
        <f>IF(AND(AND($D166&lt;&gt;"",$V166="Macro"),$S166=MesCiclo),COUNTIFS($D$5:$D166,$D166,$S$5:$S166,MesCiclo,$V$5:$V166,"Macro"),"")</f>
        <v/>
      </c>
      <c r="AJ166" s="62">
        <f>IF($AI166="","",$D166&amp;"|"&amp;$AI166)</f>
        <v/>
      </c>
      <c r="AK166" s="62">
        <f>IF(AND($D166&lt;&gt;"",$V166="Macro"),$D166&amp;"|"&amp;$C166,"")</f>
        <v/>
      </c>
      <c r="AL166" s="62">
        <f>""</f>
        <v/>
      </c>
      <c r="AM166" s="62">
        <f>IF(N($AL166)&gt;0,INDEX(rIni_ADM,$AL166),IF(ISNUMBER($E166),$E166,""))</f>
        <v/>
      </c>
      <c r="AN166" s="62">
        <f>IF(N($AL166)&gt;0,INDEX(rLim_ADM,$AL166),IF(ISNUMBER($F166),$F166,""))</f>
        <v/>
      </c>
    </row>
    <row r="167">
      <c r="A167" s="56">
        <f>IF(NOT((COUNTA($B167:$D167)+COUNTA($G167:$L167)+COUNTA($Q167))&gt;0),"",IF($V167="Macro",COUNTIFS($V$5:$V167,"Macro",$S$5:$S167,$S167),IF(N($U167)=0,"?",COUNTIFS(INDEX($V$5:$V$1000,1):INDEX($V$5:$V$1000,$U167-4),"Macro",INDEX($S$5:$S$1000,1):INDEX($S$5:$S$1000,$U167-4),INDEX($S$5:$S$1000,$U167-4))&amp;"."&amp;COUNTIFS($U$5:$U167,$U167,$V$5:$V167,"Sub"))))</f>
        <v/>
      </c>
      <c r="B167" s="57" t="n"/>
      <c r="C167" s="58" t="n"/>
      <c r="D167" s="58" t="n"/>
      <c r="E167" s="59" t="n"/>
      <c r="F167" s="59" t="n"/>
      <c r="G167" s="59" t="n"/>
      <c r="H167" s="60" t="n"/>
      <c r="I167" s="60" t="n"/>
      <c r="J167" s="60" t="n"/>
      <c r="K167" s="60" t="n"/>
      <c r="L167" s="60" t="n"/>
      <c r="M167" s="61">
        <f>IF(NOT((COUNTA($B167:$D167)+COUNTA($G167:$L167)+COUNTA($Q167))&gt;0),"",IF(AND($D167&lt;&gt;"",$V167="Macro"),IF(N($AH167)&gt;0,N(CHOOSE(MATCH($D167,ListaPuestos,0),INDEX('Cronograma R. Operacional'!$M$5:$M$1000,$AH167),INDEX('Cronograma R. Normativo'!$M$5:$M$1000,$AH167),INDEX('Cronograma R. Financiero'!$M$5:$M$1000,$AH167),INDEX('Cronograma Asistente Técnico'!$M$5:$M$1000,$AH167))),0),IF(ISNUMBER($G167),1,IF(N($W167)&gt;0,AVERAGEIFS($X$5:$X$1000,$U$5:$U$1000,ROW(),$V$5:$V$1000,"Sub"),$X167))))</f>
        <v/>
      </c>
      <c r="N167" s="56">
        <f>IF(OR($M167="",$V167="Sub"),"",IF($M167&gt;=1,"Completado",IF($M167&gt;0,"En curso","Pendiente")))</f>
        <v/>
      </c>
      <c r="O167" s="56">
        <f>IF(NOT((COUNTA($B167:$D167)+COUNTA($G167:$L167)+COUNTA($Q167))&gt;0),"",IF(AND(AND($D167&lt;&gt;"",$V167="Macro"),N($AH167)&gt;0),CHOOSE(MATCH($D167,ListaPuestos,0),INDEX('Cronograma R. Operacional'!$O$5:$O$1000,$AH167),INDEX('Cronograma R. Normativo'!$O$5:$O$1000,$AH167),INDEX('Cronograma R. Financiero'!$O$5:$O$1000,$AH167),INDEX('Cronograma Asistente Técnico'!$O$5:$O$1000,$AH167))&amp;"",IF(ISNUMBER($G167),IF(AND(ISNUMBER($AN167),$G167&gt;$AN167),"Cumplida con "&amp;($G167-$AN167)&amp;IF($G167-$AN167=1," día"," días")&amp;" de retraso","Cumplida"),IF(N($M167)&gt;=1,"Cumplida",IF(NOT(ISNUMBER($AN167)),"Sin fecha límite",IF($AN167&lt;FechaRef,"Vencida hace "&amp;(FechaRef-$AN167)&amp;IF(FechaRef-$AN167=1," día"," días"),IF($AN167=FechaRef,"Vence hoy",IF($AN167-FechaRef&lt;=DiasAlerta,"Vence en "&amp;($AN167-FechaRef)&amp;IF($AN167-FechaRef=1," día"," días"),"En plazo"))))))))</f>
        <v/>
      </c>
      <c r="P167" s="62">
        <f>IF(NOT((COUNTA($B167:$D167)+COUNTA($G167:$L167)+COUNTA($Q167))&gt;0),"",IF($D167="","Propia",IF($V167&lt;&gt;"Macro","Solo se delegan macroactividades",IF(N($AH167)&gt;0,"✔ Recibida por "&amp;$D167,"⚠ "&amp;$D167&amp;" aún no la agrega"))))</f>
        <v/>
      </c>
      <c r="Q167" s="58" t="n"/>
      <c r="R167" s="63">
        <f>IF(NOT((COUNTA($B167:$D167)+COUNTA($G167:$L167)+COUNTA($Q167))&gt;0),"",IF((IF($C167="","Falta el nombre de la actividad"&amp;" · ","")&amp;IF(AND($V167="Sub",N($U167)=0),"Subactividad sin macroactividad arriba"&amp;" · ","")&amp;IF($AM167="","Sin fecha de inicio"&amp;" · ","")&amp;IF($AN167="","Sin fecha límite"&amp;" · ","")&amp;IF(AND(LEFT($C167,11)="[Jefatura] ",N($AL167)=0),"No se encuentra en la hoja de la jefatura (elíjala de nuevo en la lista)"&amp;" · ","")&amp;IF(OR(AND($E167&lt;&gt;"",NOT(ISNUMBER($E167))),AND($F167&lt;&gt;"",NOT(ISNUMBER($F167))),AND($G167&lt;&gt;"",NOT(ISNUMBER($G167)))),"Fecha no válida"&amp;" · ","")&amp;IF(AND(ISNUMBER($AM167),ISNUMBER($AN167),$AM167&gt;$AN167),"Inicio posterior a fecha límite"&amp;" · ","")&amp;IF(AND($V167="Macro",$H167&lt;&gt;"",OR(NOT(ISNUMBER($H167)),$H167&lt;0,$H167&gt;1)),"Peso fuera de rango"&amp;" · ","")&amp;IF(AND($V167="Sub",$H167&lt;&gt;""),"Las subactividades no llevan peso (valen igual dentro de su macroactividad)"&amp;" · ","")&amp;IF(AND(N($W167)&gt;0,COUNT($I167:$L167)&gt;0),"Con subactividades: deje vacías las semanas (se calculan solas)"&amp;" · ","")&amp;IF((COUNTIF($I167:$L167,"&gt;1")+COUNTIF($I167:$L167,"&lt;0")+COUNTA($I167:$L167)-COUNT($I167:$L167))&gt;0,"Avance fuera de rango 0-100%"&amp;" · ","")&amp;IF(OR(AND($J167&lt;&gt;"",$J167&lt;$I167),AND($K167&lt;&gt;"",$K167&lt;MAX($I167:$J167)),AND($L167&lt;&gt;"",$L167&lt;MAX($I167:$K167))),"Avance semanal decreciente"&amp;" · ","")&amp;IF(AND(ISNUMBER($AN167),$AN167&lt;FechaRef,IF($V167="Sub",N($X167),N($M167))&lt;1),"Vencida"&amp;" · ","")&amp;IF(AND(ObsObligatoria="Sí",ISNUMBER($AN167),$AN167&lt;FechaRef,IF($V167="Sub",N($X167),N($M167))&lt;1,$Q167=""),"Vencida sin observación"&amp;" · ",""))="","✔ OK","⚠ "&amp;LEFT(IF($C167="","Falta el nombre de la actividad"&amp;" · ","")&amp;IF(AND($V167="Sub",N($U167)=0),"Subactividad sin macroactividad arriba"&amp;" · ","")&amp;IF($AM167="","Sin fecha de inicio"&amp;" · ","")&amp;IF($AN167="","Sin fecha límite"&amp;" · ","")&amp;IF(AND(LEFT($C167,11)="[Jefatura] ",N($AL167)=0),"No se encuentra en la hoja de la jefatura (elíjala de nuevo en la lista)"&amp;" · ","")&amp;IF(OR(AND($E167&lt;&gt;"",NOT(ISNUMBER($E167))),AND($F167&lt;&gt;"",NOT(ISNUMBER($F167))),AND($G167&lt;&gt;"",NOT(ISNUMBER($G167)))),"Fecha no válida"&amp;" · ","")&amp;IF(AND(ISNUMBER($AM167),ISNUMBER($AN167),$AM167&gt;$AN167),"Inicio posterior a fecha límite"&amp;" · ","")&amp;IF(AND($V167="Macro",$H167&lt;&gt;"",OR(NOT(ISNUMBER($H167)),$H167&lt;0,$H167&gt;1)),"Peso fuera de rango"&amp;" · ","")&amp;IF(AND($V167="Sub",$H167&lt;&gt;""),"Las subactividades no llevan peso (valen igual dentro de su macroactividad)"&amp;" · ","")&amp;IF(AND(N($W167)&gt;0,COUNT($I167:$L167)&gt;0),"Con subactividades: deje vacías las semanas (se calculan solas)"&amp;" · ","")&amp;IF((COUNTIF($I167:$L167,"&gt;1")+COUNTIF($I167:$L167,"&lt;0")+COUNTA($I167:$L167)-COUNT($I167:$L167))&gt;0,"Avance fuera de rango 0-100%"&amp;" · ","")&amp;IF(OR(AND($J167&lt;&gt;"",$J167&lt;$I167),AND($K167&lt;&gt;"",$K167&lt;MAX($I167:$J167)),AND($L167&lt;&gt;"",$L167&lt;MAX($I167:$K167))),"Avance semanal decreciente"&amp;" · ","")&amp;IF(AND(ISNUMBER($AN167),$AN167&lt;FechaRef,IF($V167="Sub",N($X167),N($M167))&lt;1),"Vencida"&amp;" · ","")&amp;IF(AND(ObsObligatoria="Sí",ISNUMBER($AN167),$AN167&lt;FechaRef,IF($V167="Sub",N($X167),N($M167))&lt;1,$Q167=""),"Vencida sin observación"&amp;" · ",""),LEN(IF($C167="","Falta el nombre de la actividad"&amp;" · ","")&amp;IF(AND($V167="Sub",N($U167)=0),"Subactividad sin macroactividad arriba"&amp;" · ","")&amp;IF($AM167="","Sin fecha de inicio"&amp;" · ","")&amp;IF($AN167="","Sin fecha límite"&amp;" · ","")&amp;IF(AND(LEFT($C167,11)="[Jefatura] ",N($AL167)=0),"No se encuentra en la hoja de la jefatura (elíjala de nuevo en la lista)"&amp;" · ","")&amp;IF(OR(AND($E167&lt;&gt;"",NOT(ISNUMBER($E167))),AND($F167&lt;&gt;"",NOT(ISNUMBER($F167))),AND($G167&lt;&gt;"",NOT(ISNUMBER($G167)))),"Fecha no válida"&amp;" · ","")&amp;IF(AND(ISNUMBER($AM167),ISNUMBER($AN167),$AM167&gt;$AN167),"Inicio posterior a fecha límite"&amp;" · ","")&amp;IF(AND($V167="Macro",$H167&lt;&gt;"",OR(NOT(ISNUMBER($H167)),$H167&lt;0,$H167&gt;1)),"Peso fuera de rango"&amp;" · ","")&amp;IF(AND($V167="Sub",$H167&lt;&gt;""),"Las subactividades no llevan peso (valen igual dentro de su macroactividad)"&amp;" · ","")&amp;IF(AND(N($W167)&gt;0,COUNT($I167:$L167)&gt;0),"Con subactividades: deje vacías las semanas (se calculan solas)"&amp;" · ","")&amp;IF((COUNTIF($I167:$L167,"&gt;1")+COUNTIF($I167:$L167,"&lt;0")+COUNTA($I167:$L167)-COUNT($I167:$L167))&gt;0,"Avance fuera de rango 0-100%"&amp;" · ","")&amp;IF(OR(AND($J167&lt;&gt;"",$J167&lt;$I167),AND($K167&lt;&gt;"",$K167&lt;MAX($I167:$J167)),AND($L167&lt;&gt;"",$L167&lt;MAX($I167:$K167))),"Avance semanal decreciente"&amp;" · ","")&amp;IF(AND(ISNUMBER($AN167),$AN167&lt;FechaRef,IF($V167="Sub",N($X167),N($M167))&lt;1),"Vencida"&amp;" · ","")&amp;IF(AND(ObsObligatoria="Sí",ISNUMBER($AN167),$AN167&lt;FechaRef,IF($V167="Sub",N($X167),N($M167))&lt;1,$Q167=""),"Vencida sin observación"&amp;" · ",""))-3)))</f>
        <v/>
      </c>
      <c r="S167" s="64">
        <f>IF(NOT((COUNTA($B167:$D167)+COUNTA($G167:$L167)+COUNTA($Q167))&gt;0),"",IF(AND($V167="Sub",N($U167)&gt;0),IF(ISNUMBER(INDEX($AM$5:$AM$1000,$U167-4)),DATE(YEAR(INDEX($AM$5:$AM$1000,$U167-4)),MONTH(INDEX($AM$5:$AM$1000,$U167-4)),1),IF(ISNUMBER(INDEX($AN$5:$AN$1000,$U167-4)),DATE(YEAR(INDEX($AN$5:$AN$1000,$U167-4)),MONTH(INDEX($AN$5:$AN$1000,$U167-4)),1),MesCiclo)),IF(ISNUMBER($AM167),DATE(YEAR($AM167),MONTH($AM167),1),IF(ISNUMBER($AN167),DATE(YEAR($AN167),MONTH($AN167),1),MesCiclo))))</f>
        <v/>
      </c>
      <c r="T167" s="62">
        <f>IF(OR($S167="",$S167&lt;&gt;MesCiclo,$V167&lt;&gt;"Macro"),"",COUNTIFS($S$5:$S167,MesCiclo,$V$5:$V167,"Macro"))</f>
        <v/>
      </c>
      <c r="U167" s="62">
        <f>IF($V167="","",IF($V167="Macro",ROW(),IFERROR(LOOKUP(2,1/($V$5:$V167="Macro"),ROW($V$5:$V167)),0)))</f>
        <v/>
      </c>
      <c r="V167" s="62">
        <f>IF(NOT((COUNTA($B167:$D167)+COUNTA($G167:$L167)+COUNTA($Q167))&gt;0),"",IF($B167="Subactividad","Sub","Macro"))</f>
        <v/>
      </c>
      <c r="W167" s="62">
        <f>IF($V167="Macro",COUNTIFS($U$5:$U$1000,ROW(),$V$5:$V$1000,"Sub"),"")</f>
        <v/>
      </c>
      <c r="X167" s="62">
        <f>IF($V167="","",IF(ISNUMBER($G167),1,IFERROR(LOOKUP(2,1/($I167:$L167&lt;&gt;""),$I167:$L167),0)))</f>
        <v/>
      </c>
      <c r="Y167" s="62">
        <f>IF($V167="","",IF(AND(ISNUMBER($G167),$G167&lt;=IF($S167=MesCiclo,InicioCiclo,$S167+MOD(2-WEEKDAY($S167),7))+6),1,IF(ISNUMBER($I167),$I167,0)))</f>
        <v/>
      </c>
      <c r="Z167" s="62">
        <f>IF($V167="","",IF(AND(ISNUMBER($G167),$G167&lt;=IF($S167=MesCiclo,InicioCiclo,$S167+MOD(2-WEEKDAY($S167),7))+13),1,IF(ISNUMBER($J167),$J167,$Y167)))</f>
        <v/>
      </c>
      <c r="AA167" s="62">
        <f>IF($V167="","",IF(AND(ISNUMBER($G167),$G167&lt;=IF($S167=MesCiclo,InicioCiclo,$S167+MOD(2-WEEKDAY($S167),7))+20),1,IF(ISNUMBER($K167),$K167,$Z167)))</f>
        <v/>
      </c>
      <c r="AB167" s="62">
        <f>IF($V167="","",IF(AND(ISNUMBER($G167),$G167&lt;=IF($S167=MesCiclo,InicioCiclo,$S167+MOD(2-WEEKDAY($S167),7))+27),1,IF(ISNUMBER($L167),$L167,$AA167)))</f>
        <v/>
      </c>
      <c r="AC167" s="62">
        <f>IF($V167="","",IF(AND(ISNUMBER($G167),$G167&lt;=IF($S167=MesCiclo,InicioCiclo,$S167+MOD(2-WEEKDAY($S167),7))+6),1,IF(N($W167)&gt;0,AVERAGEIFS($Y$5:$Y$1000,$U$5:$U$1000,ROW(),$V$5:$V$1000,"Sub"),$Y167)))</f>
        <v/>
      </c>
      <c r="AD167" s="62">
        <f>IF($V167="","",IF(AND(ISNUMBER($G167),$G167&lt;=IF($S167=MesCiclo,InicioCiclo,$S167+MOD(2-WEEKDAY($S167),7))+13),1,IF(N($W167)&gt;0,AVERAGEIFS($Z$5:$Z$1000,$U$5:$U$1000,ROW(),$V$5:$V$1000,"Sub"),$Z167)))</f>
        <v/>
      </c>
      <c r="AE167" s="62">
        <f>IF($V167="","",IF(AND(ISNUMBER($G167),$G167&lt;=IF($S167=MesCiclo,InicioCiclo,$S167+MOD(2-WEEKDAY($S167),7))+20),1,IF(N($W167)&gt;0,AVERAGEIFS($AA$5:$AA$1000,$U$5:$U$1000,ROW(),$V$5:$V$1000,"Sub"),$AA167)))</f>
        <v/>
      </c>
      <c r="AF167" s="62">
        <f>IF($V167="","",IF(AND(ISNUMBER($G167),$G167&lt;=IF($S167=MesCiclo,InicioCiclo,$S167+MOD(2-WEEKDAY($S167),7))+27),1,IF(N($W167)&gt;0,AVERAGEIFS($AB$5:$AB$1000,$U$5:$U$1000,ROW(),$V$5:$V$1000,"Sub"),$AB167)))</f>
        <v/>
      </c>
      <c r="AG167" s="62">
        <f>IF($V167&lt;&gt;"Macro","",IF(COUNTIFS($S$5:$S$1000,$S167,$V$5:$V$1000,"Macro",$H$5:$H$1000,"&gt;0")=0,1/COUNTIFS($S$5:$S$1000,$S167,$V$5:$V$1000,"Macro"),IF(AND(ISNUMBER($H167),N($H167)&gt;0),$H167,SUMIFS($H$5:$H$1000,$S$5:$S$1000,$S167,$V$5:$V$1000,"Macro")/COUNTIFS($S$5:$S$1000,$S167,$V$5:$V$1000,"Macro",$H$5:$H$1000,"&gt;0"))/(COUNTIFS($S$5:$S$1000,$S167,$V$5:$V$1000,"Macro")*SUMIFS($H$5:$H$1000,$S$5:$S$1000,$S167,$V$5:$V$1000,"Macro")/COUNTIFS($S$5:$S$1000,$S167,$V$5:$V$1000,"Macro",$H$5:$H$1000,"&gt;0"))))</f>
        <v/>
      </c>
      <c r="AH167" s="62">
        <f>IF(NOT(AND($D167&lt;&gt;"",$V167="Macro")),"",IFERROR(CHOOSE(MATCH($D167,ListaPuestos,0),MATCH("[Jefatura] "&amp;$C167,'Cronograma R. Operacional'!$C$5:$C$1000,0),MATCH("[Jefatura] "&amp;$C167,'Cronograma R. Normativo'!$C$5:$C$1000,0),MATCH("[Jefatura] "&amp;$C167,'Cronograma R. Financiero'!$C$5:$C$1000,0),MATCH("[Jefatura] "&amp;$C167,'Cronograma Asistente Técnico'!$C$5:$C$1000,0)),0))</f>
        <v/>
      </c>
      <c r="AI167" s="62">
        <f>IF(AND(AND($D167&lt;&gt;"",$V167="Macro"),$S167=MesCiclo),COUNTIFS($D$5:$D167,$D167,$S$5:$S167,MesCiclo,$V$5:$V167,"Macro"),"")</f>
        <v/>
      </c>
      <c r="AJ167" s="62">
        <f>IF($AI167="","",$D167&amp;"|"&amp;$AI167)</f>
        <v/>
      </c>
      <c r="AK167" s="62">
        <f>IF(AND($D167&lt;&gt;"",$V167="Macro"),$D167&amp;"|"&amp;$C167,"")</f>
        <v/>
      </c>
      <c r="AL167" s="62">
        <f>""</f>
        <v/>
      </c>
      <c r="AM167" s="62">
        <f>IF(N($AL167)&gt;0,INDEX(rIni_ADM,$AL167),IF(ISNUMBER($E167),$E167,""))</f>
        <v/>
      </c>
      <c r="AN167" s="62">
        <f>IF(N($AL167)&gt;0,INDEX(rLim_ADM,$AL167),IF(ISNUMBER($F167),$F167,""))</f>
        <v/>
      </c>
    </row>
    <row r="168">
      <c r="A168" s="56">
        <f>IF(NOT((COUNTA($B168:$D168)+COUNTA($G168:$L168)+COUNTA($Q168))&gt;0),"",IF($V168="Macro",COUNTIFS($V$5:$V168,"Macro",$S$5:$S168,$S168),IF(N($U168)=0,"?",COUNTIFS(INDEX($V$5:$V$1000,1):INDEX($V$5:$V$1000,$U168-4),"Macro",INDEX($S$5:$S$1000,1):INDEX($S$5:$S$1000,$U168-4),INDEX($S$5:$S$1000,$U168-4))&amp;"."&amp;COUNTIFS($U$5:$U168,$U168,$V$5:$V168,"Sub"))))</f>
        <v/>
      </c>
      <c r="B168" s="57" t="n"/>
      <c r="C168" s="58" t="n"/>
      <c r="D168" s="58" t="n"/>
      <c r="E168" s="59" t="n"/>
      <c r="F168" s="59" t="n"/>
      <c r="G168" s="59" t="n"/>
      <c r="H168" s="60" t="n"/>
      <c r="I168" s="60" t="n"/>
      <c r="J168" s="60" t="n"/>
      <c r="K168" s="60" t="n"/>
      <c r="L168" s="60" t="n"/>
      <c r="M168" s="61">
        <f>IF(NOT((COUNTA($B168:$D168)+COUNTA($G168:$L168)+COUNTA($Q168))&gt;0),"",IF(AND($D168&lt;&gt;"",$V168="Macro"),IF(N($AH168)&gt;0,N(CHOOSE(MATCH($D168,ListaPuestos,0),INDEX('Cronograma R. Operacional'!$M$5:$M$1000,$AH168),INDEX('Cronograma R. Normativo'!$M$5:$M$1000,$AH168),INDEX('Cronograma R. Financiero'!$M$5:$M$1000,$AH168),INDEX('Cronograma Asistente Técnico'!$M$5:$M$1000,$AH168))),0),IF(ISNUMBER($G168),1,IF(N($W168)&gt;0,AVERAGEIFS($X$5:$X$1000,$U$5:$U$1000,ROW(),$V$5:$V$1000,"Sub"),$X168))))</f>
        <v/>
      </c>
      <c r="N168" s="56">
        <f>IF(OR($M168="",$V168="Sub"),"",IF($M168&gt;=1,"Completado",IF($M168&gt;0,"En curso","Pendiente")))</f>
        <v/>
      </c>
      <c r="O168" s="56">
        <f>IF(NOT((COUNTA($B168:$D168)+COUNTA($G168:$L168)+COUNTA($Q168))&gt;0),"",IF(AND(AND($D168&lt;&gt;"",$V168="Macro"),N($AH168)&gt;0),CHOOSE(MATCH($D168,ListaPuestos,0),INDEX('Cronograma R. Operacional'!$O$5:$O$1000,$AH168),INDEX('Cronograma R. Normativo'!$O$5:$O$1000,$AH168),INDEX('Cronograma R. Financiero'!$O$5:$O$1000,$AH168),INDEX('Cronograma Asistente Técnico'!$O$5:$O$1000,$AH168))&amp;"",IF(ISNUMBER($G168),IF(AND(ISNUMBER($AN168),$G168&gt;$AN168),"Cumplida con "&amp;($G168-$AN168)&amp;IF($G168-$AN168=1," día"," días")&amp;" de retraso","Cumplida"),IF(N($M168)&gt;=1,"Cumplida",IF(NOT(ISNUMBER($AN168)),"Sin fecha límite",IF($AN168&lt;FechaRef,"Vencida hace "&amp;(FechaRef-$AN168)&amp;IF(FechaRef-$AN168=1," día"," días"),IF($AN168=FechaRef,"Vence hoy",IF($AN168-FechaRef&lt;=DiasAlerta,"Vence en "&amp;($AN168-FechaRef)&amp;IF($AN168-FechaRef=1," día"," días"),"En plazo"))))))))</f>
        <v/>
      </c>
      <c r="P168" s="62">
        <f>IF(NOT((COUNTA($B168:$D168)+COUNTA($G168:$L168)+COUNTA($Q168))&gt;0),"",IF($D168="","Propia",IF($V168&lt;&gt;"Macro","Solo se delegan macroactividades",IF(N($AH168)&gt;0,"✔ Recibida por "&amp;$D168,"⚠ "&amp;$D168&amp;" aún no la agrega"))))</f>
        <v/>
      </c>
      <c r="Q168" s="58" t="n"/>
      <c r="R168" s="63">
        <f>IF(NOT((COUNTA($B168:$D168)+COUNTA($G168:$L168)+COUNTA($Q168))&gt;0),"",IF((IF($C168="","Falta el nombre de la actividad"&amp;" · ","")&amp;IF(AND($V168="Sub",N($U168)=0),"Subactividad sin macroactividad arriba"&amp;" · ","")&amp;IF($AM168="","Sin fecha de inicio"&amp;" · ","")&amp;IF($AN168="","Sin fecha límite"&amp;" · ","")&amp;IF(AND(LEFT($C168,11)="[Jefatura] ",N($AL168)=0),"No se encuentra en la hoja de la jefatura (elíjala de nuevo en la lista)"&amp;" · ","")&amp;IF(OR(AND($E168&lt;&gt;"",NOT(ISNUMBER($E168))),AND($F168&lt;&gt;"",NOT(ISNUMBER($F168))),AND($G168&lt;&gt;"",NOT(ISNUMBER($G168)))),"Fecha no válida"&amp;" · ","")&amp;IF(AND(ISNUMBER($AM168),ISNUMBER($AN168),$AM168&gt;$AN168),"Inicio posterior a fecha límite"&amp;" · ","")&amp;IF(AND($V168="Macro",$H168&lt;&gt;"",OR(NOT(ISNUMBER($H168)),$H168&lt;0,$H168&gt;1)),"Peso fuera de rango"&amp;" · ","")&amp;IF(AND($V168="Sub",$H168&lt;&gt;""),"Las subactividades no llevan peso (valen igual dentro de su macroactividad)"&amp;" · ","")&amp;IF(AND(N($W168)&gt;0,COUNT($I168:$L168)&gt;0),"Con subactividades: deje vacías las semanas (se calculan solas)"&amp;" · ","")&amp;IF((COUNTIF($I168:$L168,"&gt;1")+COUNTIF($I168:$L168,"&lt;0")+COUNTA($I168:$L168)-COUNT($I168:$L168))&gt;0,"Avance fuera de rango 0-100%"&amp;" · ","")&amp;IF(OR(AND($J168&lt;&gt;"",$J168&lt;$I168),AND($K168&lt;&gt;"",$K168&lt;MAX($I168:$J168)),AND($L168&lt;&gt;"",$L168&lt;MAX($I168:$K168))),"Avance semanal decreciente"&amp;" · ","")&amp;IF(AND(ISNUMBER($AN168),$AN168&lt;FechaRef,IF($V168="Sub",N($X168),N($M168))&lt;1),"Vencida"&amp;" · ","")&amp;IF(AND(ObsObligatoria="Sí",ISNUMBER($AN168),$AN168&lt;FechaRef,IF($V168="Sub",N($X168),N($M168))&lt;1,$Q168=""),"Vencida sin observación"&amp;" · ",""))="","✔ OK","⚠ "&amp;LEFT(IF($C168="","Falta el nombre de la actividad"&amp;" · ","")&amp;IF(AND($V168="Sub",N($U168)=0),"Subactividad sin macroactividad arriba"&amp;" · ","")&amp;IF($AM168="","Sin fecha de inicio"&amp;" · ","")&amp;IF($AN168="","Sin fecha límite"&amp;" · ","")&amp;IF(AND(LEFT($C168,11)="[Jefatura] ",N($AL168)=0),"No se encuentra en la hoja de la jefatura (elíjala de nuevo en la lista)"&amp;" · ","")&amp;IF(OR(AND($E168&lt;&gt;"",NOT(ISNUMBER($E168))),AND($F168&lt;&gt;"",NOT(ISNUMBER($F168))),AND($G168&lt;&gt;"",NOT(ISNUMBER($G168)))),"Fecha no válida"&amp;" · ","")&amp;IF(AND(ISNUMBER($AM168),ISNUMBER($AN168),$AM168&gt;$AN168),"Inicio posterior a fecha límite"&amp;" · ","")&amp;IF(AND($V168="Macro",$H168&lt;&gt;"",OR(NOT(ISNUMBER($H168)),$H168&lt;0,$H168&gt;1)),"Peso fuera de rango"&amp;" · ","")&amp;IF(AND($V168="Sub",$H168&lt;&gt;""),"Las subactividades no llevan peso (valen igual dentro de su macroactividad)"&amp;" · ","")&amp;IF(AND(N($W168)&gt;0,COUNT($I168:$L168)&gt;0),"Con subactividades: deje vacías las semanas (se calculan solas)"&amp;" · ","")&amp;IF((COUNTIF($I168:$L168,"&gt;1")+COUNTIF($I168:$L168,"&lt;0")+COUNTA($I168:$L168)-COUNT($I168:$L168))&gt;0,"Avance fuera de rango 0-100%"&amp;" · ","")&amp;IF(OR(AND($J168&lt;&gt;"",$J168&lt;$I168),AND($K168&lt;&gt;"",$K168&lt;MAX($I168:$J168)),AND($L168&lt;&gt;"",$L168&lt;MAX($I168:$K168))),"Avance semanal decreciente"&amp;" · ","")&amp;IF(AND(ISNUMBER($AN168),$AN168&lt;FechaRef,IF($V168="Sub",N($X168),N($M168))&lt;1),"Vencida"&amp;" · ","")&amp;IF(AND(ObsObligatoria="Sí",ISNUMBER($AN168),$AN168&lt;FechaRef,IF($V168="Sub",N($X168),N($M168))&lt;1,$Q168=""),"Vencida sin observación"&amp;" · ",""),LEN(IF($C168="","Falta el nombre de la actividad"&amp;" · ","")&amp;IF(AND($V168="Sub",N($U168)=0),"Subactividad sin macroactividad arriba"&amp;" · ","")&amp;IF($AM168="","Sin fecha de inicio"&amp;" · ","")&amp;IF($AN168="","Sin fecha límite"&amp;" · ","")&amp;IF(AND(LEFT($C168,11)="[Jefatura] ",N($AL168)=0),"No se encuentra en la hoja de la jefatura (elíjala de nuevo en la lista)"&amp;" · ","")&amp;IF(OR(AND($E168&lt;&gt;"",NOT(ISNUMBER($E168))),AND($F168&lt;&gt;"",NOT(ISNUMBER($F168))),AND($G168&lt;&gt;"",NOT(ISNUMBER($G168)))),"Fecha no válida"&amp;" · ","")&amp;IF(AND(ISNUMBER($AM168),ISNUMBER($AN168),$AM168&gt;$AN168),"Inicio posterior a fecha límite"&amp;" · ","")&amp;IF(AND($V168="Macro",$H168&lt;&gt;"",OR(NOT(ISNUMBER($H168)),$H168&lt;0,$H168&gt;1)),"Peso fuera de rango"&amp;" · ","")&amp;IF(AND($V168="Sub",$H168&lt;&gt;""),"Las subactividades no llevan peso (valen igual dentro de su macroactividad)"&amp;" · ","")&amp;IF(AND(N($W168)&gt;0,COUNT($I168:$L168)&gt;0),"Con subactividades: deje vacías las semanas (se calculan solas)"&amp;" · ","")&amp;IF((COUNTIF($I168:$L168,"&gt;1")+COUNTIF($I168:$L168,"&lt;0")+COUNTA($I168:$L168)-COUNT($I168:$L168))&gt;0,"Avance fuera de rango 0-100%"&amp;" · ","")&amp;IF(OR(AND($J168&lt;&gt;"",$J168&lt;$I168),AND($K168&lt;&gt;"",$K168&lt;MAX($I168:$J168)),AND($L168&lt;&gt;"",$L168&lt;MAX($I168:$K168))),"Avance semanal decreciente"&amp;" · ","")&amp;IF(AND(ISNUMBER($AN168),$AN168&lt;FechaRef,IF($V168="Sub",N($X168),N($M168))&lt;1),"Vencida"&amp;" · ","")&amp;IF(AND(ObsObligatoria="Sí",ISNUMBER($AN168),$AN168&lt;FechaRef,IF($V168="Sub",N($X168),N($M168))&lt;1,$Q168=""),"Vencida sin observación"&amp;" · ",""))-3)))</f>
        <v/>
      </c>
      <c r="S168" s="64">
        <f>IF(NOT((COUNTA($B168:$D168)+COUNTA($G168:$L168)+COUNTA($Q168))&gt;0),"",IF(AND($V168="Sub",N($U168)&gt;0),IF(ISNUMBER(INDEX($AM$5:$AM$1000,$U168-4)),DATE(YEAR(INDEX($AM$5:$AM$1000,$U168-4)),MONTH(INDEX($AM$5:$AM$1000,$U168-4)),1),IF(ISNUMBER(INDEX($AN$5:$AN$1000,$U168-4)),DATE(YEAR(INDEX($AN$5:$AN$1000,$U168-4)),MONTH(INDEX($AN$5:$AN$1000,$U168-4)),1),MesCiclo)),IF(ISNUMBER($AM168),DATE(YEAR($AM168),MONTH($AM168),1),IF(ISNUMBER($AN168),DATE(YEAR($AN168),MONTH($AN168),1),MesCiclo))))</f>
        <v/>
      </c>
      <c r="T168" s="62">
        <f>IF(OR($S168="",$S168&lt;&gt;MesCiclo,$V168&lt;&gt;"Macro"),"",COUNTIFS($S$5:$S168,MesCiclo,$V$5:$V168,"Macro"))</f>
        <v/>
      </c>
      <c r="U168" s="62">
        <f>IF($V168="","",IF($V168="Macro",ROW(),IFERROR(LOOKUP(2,1/($V$5:$V168="Macro"),ROW($V$5:$V168)),0)))</f>
        <v/>
      </c>
      <c r="V168" s="62">
        <f>IF(NOT((COUNTA($B168:$D168)+COUNTA($G168:$L168)+COUNTA($Q168))&gt;0),"",IF($B168="Subactividad","Sub","Macro"))</f>
        <v/>
      </c>
      <c r="W168" s="62">
        <f>IF($V168="Macro",COUNTIFS($U$5:$U$1000,ROW(),$V$5:$V$1000,"Sub"),"")</f>
        <v/>
      </c>
      <c r="X168" s="62">
        <f>IF($V168="","",IF(ISNUMBER($G168),1,IFERROR(LOOKUP(2,1/($I168:$L168&lt;&gt;""),$I168:$L168),0)))</f>
        <v/>
      </c>
      <c r="Y168" s="62">
        <f>IF($V168="","",IF(AND(ISNUMBER($G168),$G168&lt;=IF($S168=MesCiclo,InicioCiclo,$S168+MOD(2-WEEKDAY($S168),7))+6),1,IF(ISNUMBER($I168),$I168,0)))</f>
        <v/>
      </c>
      <c r="Z168" s="62">
        <f>IF($V168="","",IF(AND(ISNUMBER($G168),$G168&lt;=IF($S168=MesCiclo,InicioCiclo,$S168+MOD(2-WEEKDAY($S168),7))+13),1,IF(ISNUMBER($J168),$J168,$Y168)))</f>
        <v/>
      </c>
      <c r="AA168" s="62">
        <f>IF($V168="","",IF(AND(ISNUMBER($G168),$G168&lt;=IF($S168=MesCiclo,InicioCiclo,$S168+MOD(2-WEEKDAY($S168),7))+20),1,IF(ISNUMBER($K168),$K168,$Z168)))</f>
        <v/>
      </c>
      <c r="AB168" s="62">
        <f>IF($V168="","",IF(AND(ISNUMBER($G168),$G168&lt;=IF($S168=MesCiclo,InicioCiclo,$S168+MOD(2-WEEKDAY($S168),7))+27),1,IF(ISNUMBER($L168),$L168,$AA168)))</f>
        <v/>
      </c>
      <c r="AC168" s="62">
        <f>IF($V168="","",IF(AND(ISNUMBER($G168),$G168&lt;=IF($S168=MesCiclo,InicioCiclo,$S168+MOD(2-WEEKDAY($S168),7))+6),1,IF(N($W168)&gt;0,AVERAGEIFS($Y$5:$Y$1000,$U$5:$U$1000,ROW(),$V$5:$V$1000,"Sub"),$Y168)))</f>
        <v/>
      </c>
      <c r="AD168" s="62">
        <f>IF($V168="","",IF(AND(ISNUMBER($G168),$G168&lt;=IF($S168=MesCiclo,InicioCiclo,$S168+MOD(2-WEEKDAY($S168),7))+13),1,IF(N($W168)&gt;0,AVERAGEIFS($Z$5:$Z$1000,$U$5:$U$1000,ROW(),$V$5:$V$1000,"Sub"),$Z168)))</f>
        <v/>
      </c>
      <c r="AE168" s="62">
        <f>IF($V168="","",IF(AND(ISNUMBER($G168),$G168&lt;=IF($S168=MesCiclo,InicioCiclo,$S168+MOD(2-WEEKDAY($S168),7))+20),1,IF(N($W168)&gt;0,AVERAGEIFS($AA$5:$AA$1000,$U$5:$U$1000,ROW(),$V$5:$V$1000,"Sub"),$AA168)))</f>
        <v/>
      </c>
      <c r="AF168" s="62">
        <f>IF($V168="","",IF(AND(ISNUMBER($G168),$G168&lt;=IF($S168=MesCiclo,InicioCiclo,$S168+MOD(2-WEEKDAY($S168),7))+27),1,IF(N($W168)&gt;0,AVERAGEIFS($AB$5:$AB$1000,$U$5:$U$1000,ROW(),$V$5:$V$1000,"Sub"),$AB168)))</f>
        <v/>
      </c>
      <c r="AG168" s="62">
        <f>IF($V168&lt;&gt;"Macro","",IF(COUNTIFS($S$5:$S$1000,$S168,$V$5:$V$1000,"Macro",$H$5:$H$1000,"&gt;0")=0,1/COUNTIFS($S$5:$S$1000,$S168,$V$5:$V$1000,"Macro"),IF(AND(ISNUMBER($H168),N($H168)&gt;0),$H168,SUMIFS($H$5:$H$1000,$S$5:$S$1000,$S168,$V$5:$V$1000,"Macro")/COUNTIFS($S$5:$S$1000,$S168,$V$5:$V$1000,"Macro",$H$5:$H$1000,"&gt;0"))/(COUNTIFS($S$5:$S$1000,$S168,$V$5:$V$1000,"Macro")*SUMIFS($H$5:$H$1000,$S$5:$S$1000,$S168,$V$5:$V$1000,"Macro")/COUNTIFS($S$5:$S$1000,$S168,$V$5:$V$1000,"Macro",$H$5:$H$1000,"&gt;0"))))</f>
        <v/>
      </c>
      <c r="AH168" s="62">
        <f>IF(NOT(AND($D168&lt;&gt;"",$V168="Macro")),"",IFERROR(CHOOSE(MATCH($D168,ListaPuestos,0),MATCH("[Jefatura] "&amp;$C168,'Cronograma R. Operacional'!$C$5:$C$1000,0),MATCH("[Jefatura] "&amp;$C168,'Cronograma R. Normativo'!$C$5:$C$1000,0),MATCH("[Jefatura] "&amp;$C168,'Cronograma R. Financiero'!$C$5:$C$1000,0),MATCH("[Jefatura] "&amp;$C168,'Cronograma Asistente Técnico'!$C$5:$C$1000,0)),0))</f>
        <v/>
      </c>
      <c r="AI168" s="62">
        <f>IF(AND(AND($D168&lt;&gt;"",$V168="Macro"),$S168=MesCiclo),COUNTIFS($D$5:$D168,$D168,$S$5:$S168,MesCiclo,$V$5:$V168,"Macro"),"")</f>
        <v/>
      </c>
      <c r="AJ168" s="62">
        <f>IF($AI168="","",$D168&amp;"|"&amp;$AI168)</f>
        <v/>
      </c>
      <c r="AK168" s="62">
        <f>IF(AND($D168&lt;&gt;"",$V168="Macro"),$D168&amp;"|"&amp;$C168,"")</f>
        <v/>
      </c>
      <c r="AL168" s="62">
        <f>""</f>
        <v/>
      </c>
      <c r="AM168" s="62">
        <f>IF(N($AL168)&gt;0,INDEX(rIni_ADM,$AL168),IF(ISNUMBER($E168),$E168,""))</f>
        <v/>
      </c>
      <c r="AN168" s="62">
        <f>IF(N($AL168)&gt;0,INDEX(rLim_ADM,$AL168),IF(ISNUMBER($F168),$F168,""))</f>
        <v/>
      </c>
    </row>
    <row r="169">
      <c r="A169" s="56">
        <f>IF(NOT((COUNTA($B169:$D169)+COUNTA($G169:$L169)+COUNTA($Q169))&gt;0),"",IF($V169="Macro",COUNTIFS($V$5:$V169,"Macro",$S$5:$S169,$S169),IF(N($U169)=0,"?",COUNTIFS(INDEX($V$5:$V$1000,1):INDEX($V$5:$V$1000,$U169-4),"Macro",INDEX($S$5:$S$1000,1):INDEX($S$5:$S$1000,$U169-4),INDEX($S$5:$S$1000,$U169-4))&amp;"."&amp;COUNTIFS($U$5:$U169,$U169,$V$5:$V169,"Sub"))))</f>
        <v/>
      </c>
      <c r="B169" s="57" t="n"/>
      <c r="C169" s="58" t="n"/>
      <c r="D169" s="58" t="n"/>
      <c r="E169" s="59" t="n"/>
      <c r="F169" s="59" t="n"/>
      <c r="G169" s="59" t="n"/>
      <c r="H169" s="60" t="n"/>
      <c r="I169" s="60" t="n"/>
      <c r="J169" s="60" t="n"/>
      <c r="K169" s="60" t="n"/>
      <c r="L169" s="60" t="n"/>
      <c r="M169" s="61">
        <f>IF(NOT((COUNTA($B169:$D169)+COUNTA($G169:$L169)+COUNTA($Q169))&gt;0),"",IF(AND($D169&lt;&gt;"",$V169="Macro"),IF(N($AH169)&gt;0,N(CHOOSE(MATCH($D169,ListaPuestos,0),INDEX('Cronograma R. Operacional'!$M$5:$M$1000,$AH169),INDEX('Cronograma R. Normativo'!$M$5:$M$1000,$AH169),INDEX('Cronograma R. Financiero'!$M$5:$M$1000,$AH169),INDEX('Cronograma Asistente Técnico'!$M$5:$M$1000,$AH169))),0),IF(ISNUMBER($G169),1,IF(N($W169)&gt;0,AVERAGEIFS($X$5:$X$1000,$U$5:$U$1000,ROW(),$V$5:$V$1000,"Sub"),$X169))))</f>
        <v/>
      </c>
      <c r="N169" s="56">
        <f>IF(OR($M169="",$V169="Sub"),"",IF($M169&gt;=1,"Completado",IF($M169&gt;0,"En curso","Pendiente")))</f>
        <v/>
      </c>
      <c r="O169" s="56">
        <f>IF(NOT((COUNTA($B169:$D169)+COUNTA($G169:$L169)+COUNTA($Q169))&gt;0),"",IF(AND(AND($D169&lt;&gt;"",$V169="Macro"),N($AH169)&gt;0),CHOOSE(MATCH($D169,ListaPuestos,0),INDEX('Cronograma R. Operacional'!$O$5:$O$1000,$AH169),INDEX('Cronograma R. Normativo'!$O$5:$O$1000,$AH169),INDEX('Cronograma R. Financiero'!$O$5:$O$1000,$AH169),INDEX('Cronograma Asistente Técnico'!$O$5:$O$1000,$AH169))&amp;"",IF(ISNUMBER($G169),IF(AND(ISNUMBER($AN169),$G169&gt;$AN169),"Cumplida con "&amp;($G169-$AN169)&amp;IF($G169-$AN169=1," día"," días")&amp;" de retraso","Cumplida"),IF(N($M169)&gt;=1,"Cumplida",IF(NOT(ISNUMBER($AN169)),"Sin fecha límite",IF($AN169&lt;FechaRef,"Vencida hace "&amp;(FechaRef-$AN169)&amp;IF(FechaRef-$AN169=1," día"," días"),IF($AN169=FechaRef,"Vence hoy",IF($AN169-FechaRef&lt;=DiasAlerta,"Vence en "&amp;($AN169-FechaRef)&amp;IF($AN169-FechaRef=1," día"," días"),"En plazo"))))))))</f>
        <v/>
      </c>
      <c r="P169" s="62">
        <f>IF(NOT((COUNTA($B169:$D169)+COUNTA($G169:$L169)+COUNTA($Q169))&gt;0),"",IF($D169="","Propia",IF($V169&lt;&gt;"Macro","Solo se delegan macroactividades",IF(N($AH169)&gt;0,"✔ Recibida por "&amp;$D169,"⚠ "&amp;$D169&amp;" aún no la agrega"))))</f>
        <v/>
      </c>
      <c r="Q169" s="58" t="n"/>
      <c r="R169" s="63">
        <f>IF(NOT((COUNTA($B169:$D169)+COUNTA($G169:$L169)+COUNTA($Q169))&gt;0),"",IF((IF($C169="","Falta el nombre de la actividad"&amp;" · ","")&amp;IF(AND($V169="Sub",N($U169)=0),"Subactividad sin macroactividad arriba"&amp;" · ","")&amp;IF($AM169="","Sin fecha de inicio"&amp;" · ","")&amp;IF($AN169="","Sin fecha límite"&amp;" · ","")&amp;IF(AND(LEFT($C169,11)="[Jefatura] ",N($AL169)=0),"No se encuentra en la hoja de la jefatura (elíjala de nuevo en la lista)"&amp;" · ","")&amp;IF(OR(AND($E169&lt;&gt;"",NOT(ISNUMBER($E169))),AND($F169&lt;&gt;"",NOT(ISNUMBER($F169))),AND($G169&lt;&gt;"",NOT(ISNUMBER($G169)))),"Fecha no válida"&amp;" · ","")&amp;IF(AND(ISNUMBER($AM169),ISNUMBER($AN169),$AM169&gt;$AN169),"Inicio posterior a fecha límite"&amp;" · ","")&amp;IF(AND($V169="Macro",$H169&lt;&gt;"",OR(NOT(ISNUMBER($H169)),$H169&lt;0,$H169&gt;1)),"Peso fuera de rango"&amp;" · ","")&amp;IF(AND($V169="Sub",$H169&lt;&gt;""),"Las subactividades no llevan peso (valen igual dentro de su macroactividad)"&amp;" · ","")&amp;IF(AND(N($W169)&gt;0,COUNT($I169:$L169)&gt;0),"Con subactividades: deje vacías las semanas (se calculan solas)"&amp;" · ","")&amp;IF((COUNTIF($I169:$L169,"&gt;1")+COUNTIF($I169:$L169,"&lt;0")+COUNTA($I169:$L169)-COUNT($I169:$L169))&gt;0,"Avance fuera de rango 0-100%"&amp;" · ","")&amp;IF(OR(AND($J169&lt;&gt;"",$J169&lt;$I169),AND($K169&lt;&gt;"",$K169&lt;MAX($I169:$J169)),AND($L169&lt;&gt;"",$L169&lt;MAX($I169:$K169))),"Avance semanal decreciente"&amp;" · ","")&amp;IF(AND(ISNUMBER($AN169),$AN169&lt;FechaRef,IF($V169="Sub",N($X169),N($M169))&lt;1),"Vencida"&amp;" · ","")&amp;IF(AND(ObsObligatoria="Sí",ISNUMBER($AN169),$AN169&lt;FechaRef,IF($V169="Sub",N($X169),N($M169))&lt;1,$Q169=""),"Vencida sin observación"&amp;" · ",""))="","✔ OK","⚠ "&amp;LEFT(IF($C169="","Falta el nombre de la actividad"&amp;" · ","")&amp;IF(AND($V169="Sub",N($U169)=0),"Subactividad sin macroactividad arriba"&amp;" · ","")&amp;IF($AM169="","Sin fecha de inicio"&amp;" · ","")&amp;IF($AN169="","Sin fecha límite"&amp;" · ","")&amp;IF(AND(LEFT($C169,11)="[Jefatura] ",N($AL169)=0),"No se encuentra en la hoja de la jefatura (elíjala de nuevo en la lista)"&amp;" · ","")&amp;IF(OR(AND($E169&lt;&gt;"",NOT(ISNUMBER($E169))),AND($F169&lt;&gt;"",NOT(ISNUMBER($F169))),AND($G169&lt;&gt;"",NOT(ISNUMBER($G169)))),"Fecha no válida"&amp;" · ","")&amp;IF(AND(ISNUMBER($AM169),ISNUMBER($AN169),$AM169&gt;$AN169),"Inicio posterior a fecha límite"&amp;" · ","")&amp;IF(AND($V169="Macro",$H169&lt;&gt;"",OR(NOT(ISNUMBER($H169)),$H169&lt;0,$H169&gt;1)),"Peso fuera de rango"&amp;" · ","")&amp;IF(AND($V169="Sub",$H169&lt;&gt;""),"Las subactividades no llevan peso (valen igual dentro de su macroactividad)"&amp;" · ","")&amp;IF(AND(N($W169)&gt;0,COUNT($I169:$L169)&gt;0),"Con subactividades: deje vacías las semanas (se calculan solas)"&amp;" · ","")&amp;IF((COUNTIF($I169:$L169,"&gt;1")+COUNTIF($I169:$L169,"&lt;0")+COUNTA($I169:$L169)-COUNT($I169:$L169))&gt;0,"Avance fuera de rango 0-100%"&amp;" · ","")&amp;IF(OR(AND($J169&lt;&gt;"",$J169&lt;$I169),AND($K169&lt;&gt;"",$K169&lt;MAX($I169:$J169)),AND($L169&lt;&gt;"",$L169&lt;MAX($I169:$K169))),"Avance semanal decreciente"&amp;" · ","")&amp;IF(AND(ISNUMBER($AN169),$AN169&lt;FechaRef,IF($V169="Sub",N($X169),N($M169))&lt;1),"Vencida"&amp;" · ","")&amp;IF(AND(ObsObligatoria="Sí",ISNUMBER($AN169),$AN169&lt;FechaRef,IF($V169="Sub",N($X169),N($M169))&lt;1,$Q169=""),"Vencida sin observación"&amp;" · ",""),LEN(IF($C169="","Falta el nombre de la actividad"&amp;" · ","")&amp;IF(AND($V169="Sub",N($U169)=0),"Subactividad sin macroactividad arriba"&amp;" · ","")&amp;IF($AM169="","Sin fecha de inicio"&amp;" · ","")&amp;IF($AN169="","Sin fecha límite"&amp;" · ","")&amp;IF(AND(LEFT($C169,11)="[Jefatura] ",N($AL169)=0),"No se encuentra en la hoja de la jefatura (elíjala de nuevo en la lista)"&amp;" · ","")&amp;IF(OR(AND($E169&lt;&gt;"",NOT(ISNUMBER($E169))),AND($F169&lt;&gt;"",NOT(ISNUMBER($F169))),AND($G169&lt;&gt;"",NOT(ISNUMBER($G169)))),"Fecha no válida"&amp;" · ","")&amp;IF(AND(ISNUMBER($AM169),ISNUMBER($AN169),$AM169&gt;$AN169),"Inicio posterior a fecha límite"&amp;" · ","")&amp;IF(AND($V169="Macro",$H169&lt;&gt;"",OR(NOT(ISNUMBER($H169)),$H169&lt;0,$H169&gt;1)),"Peso fuera de rango"&amp;" · ","")&amp;IF(AND($V169="Sub",$H169&lt;&gt;""),"Las subactividades no llevan peso (valen igual dentro de su macroactividad)"&amp;" · ","")&amp;IF(AND(N($W169)&gt;0,COUNT($I169:$L169)&gt;0),"Con subactividades: deje vacías las semanas (se calculan solas)"&amp;" · ","")&amp;IF((COUNTIF($I169:$L169,"&gt;1")+COUNTIF($I169:$L169,"&lt;0")+COUNTA($I169:$L169)-COUNT($I169:$L169))&gt;0,"Avance fuera de rango 0-100%"&amp;" · ","")&amp;IF(OR(AND($J169&lt;&gt;"",$J169&lt;$I169),AND($K169&lt;&gt;"",$K169&lt;MAX($I169:$J169)),AND($L169&lt;&gt;"",$L169&lt;MAX($I169:$K169))),"Avance semanal decreciente"&amp;" · ","")&amp;IF(AND(ISNUMBER($AN169),$AN169&lt;FechaRef,IF($V169="Sub",N($X169),N($M169))&lt;1),"Vencida"&amp;" · ","")&amp;IF(AND(ObsObligatoria="Sí",ISNUMBER($AN169),$AN169&lt;FechaRef,IF($V169="Sub",N($X169),N($M169))&lt;1,$Q169=""),"Vencida sin observación"&amp;" · ",""))-3)))</f>
        <v/>
      </c>
      <c r="S169" s="64">
        <f>IF(NOT((COUNTA($B169:$D169)+COUNTA($G169:$L169)+COUNTA($Q169))&gt;0),"",IF(AND($V169="Sub",N($U169)&gt;0),IF(ISNUMBER(INDEX($AM$5:$AM$1000,$U169-4)),DATE(YEAR(INDEX($AM$5:$AM$1000,$U169-4)),MONTH(INDEX($AM$5:$AM$1000,$U169-4)),1),IF(ISNUMBER(INDEX($AN$5:$AN$1000,$U169-4)),DATE(YEAR(INDEX($AN$5:$AN$1000,$U169-4)),MONTH(INDEX($AN$5:$AN$1000,$U169-4)),1),MesCiclo)),IF(ISNUMBER($AM169),DATE(YEAR($AM169),MONTH($AM169),1),IF(ISNUMBER($AN169),DATE(YEAR($AN169),MONTH($AN169),1),MesCiclo))))</f>
        <v/>
      </c>
      <c r="T169" s="62">
        <f>IF(OR($S169="",$S169&lt;&gt;MesCiclo,$V169&lt;&gt;"Macro"),"",COUNTIFS($S$5:$S169,MesCiclo,$V$5:$V169,"Macro"))</f>
        <v/>
      </c>
      <c r="U169" s="62">
        <f>IF($V169="","",IF($V169="Macro",ROW(),IFERROR(LOOKUP(2,1/($V$5:$V169="Macro"),ROW($V$5:$V169)),0)))</f>
        <v/>
      </c>
      <c r="V169" s="62">
        <f>IF(NOT((COUNTA($B169:$D169)+COUNTA($G169:$L169)+COUNTA($Q169))&gt;0),"",IF($B169="Subactividad","Sub","Macro"))</f>
        <v/>
      </c>
      <c r="W169" s="62">
        <f>IF($V169="Macro",COUNTIFS($U$5:$U$1000,ROW(),$V$5:$V$1000,"Sub"),"")</f>
        <v/>
      </c>
      <c r="X169" s="62">
        <f>IF($V169="","",IF(ISNUMBER($G169),1,IFERROR(LOOKUP(2,1/($I169:$L169&lt;&gt;""),$I169:$L169),0)))</f>
        <v/>
      </c>
      <c r="Y169" s="62">
        <f>IF($V169="","",IF(AND(ISNUMBER($G169),$G169&lt;=IF($S169=MesCiclo,InicioCiclo,$S169+MOD(2-WEEKDAY($S169),7))+6),1,IF(ISNUMBER($I169),$I169,0)))</f>
        <v/>
      </c>
      <c r="Z169" s="62">
        <f>IF($V169="","",IF(AND(ISNUMBER($G169),$G169&lt;=IF($S169=MesCiclo,InicioCiclo,$S169+MOD(2-WEEKDAY($S169),7))+13),1,IF(ISNUMBER($J169),$J169,$Y169)))</f>
        <v/>
      </c>
      <c r="AA169" s="62">
        <f>IF($V169="","",IF(AND(ISNUMBER($G169),$G169&lt;=IF($S169=MesCiclo,InicioCiclo,$S169+MOD(2-WEEKDAY($S169),7))+20),1,IF(ISNUMBER($K169),$K169,$Z169)))</f>
        <v/>
      </c>
      <c r="AB169" s="62">
        <f>IF($V169="","",IF(AND(ISNUMBER($G169),$G169&lt;=IF($S169=MesCiclo,InicioCiclo,$S169+MOD(2-WEEKDAY($S169),7))+27),1,IF(ISNUMBER($L169),$L169,$AA169)))</f>
        <v/>
      </c>
      <c r="AC169" s="62">
        <f>IF($V169="","",IF(AND(ISNUMBER($G169),$G169&lt;=IF($S169=MesCiclo,InicioCiclo,$S169+MOD(2-WEEKDAY($S169),7))+6),1,IF(N($W169)&gt;0,AVERAGEIFS($Y$5:$Y$1000,$U$5:$U$1000,ROW(),$V$5:$V$1000,"Sub"),$Y169)))</f>
        <v/>
      </c>
      <c r="AD169" s="62">
        <f>IF($V169="","",IF(AND(ISNUMBER($G169),$G169&lt;=IF($S169=MesCiclo,InicioCiclo,$S169+MOD(2-WEEKDAY($S169),7))+13),1,IF(N($W169)&gt;0,AVERAGEIFS($Z$5:$Z$1000,$U$5:$U$1000,ROW(),$V$5:$V$1000,"Sub"),$Z169)))</f>
        <v/>
      </c>
      <c r="AE169" s="62">
        <f>IF($V169="","",IF(AND(ISNUMBER($G169),$G169&lt;=IF($S169=MesCiclo,InicioCiclo,$S169+MOD(2-WEEKDAY($S169),7))+20),1,IF(N($W169)&gt;0,AVERAGEIFS($AA$5:$AA$1000,$U$5:$U$1000,ROW(),$V$5:$V$1000,"Sub"),$AA169)))</f>
        <v/>
      </c>
      <c r="AF169" s="62">
        <f>IF($V169="","",IF(AND(ISNUMBER($G169),$G169&lt;=IF($S169=MesCiclo,InicioCiclo,$S169+MOD(2-WEEKDAY($S169),7))+27),1,IF(N($W169)&gt;0,AVERAGEIFS($AB$5:$AB$1000,$U$5:$U$1000,ROW(),$V$5:$V$1000,"Sub"),$AB169)))</f>
        <v/>
      </c>
      <c r="AG169" s="62">
        <f>IF($V169&lt;&gt;"Macro","",IF(COUNTIFS($S$5:$S$1000,$S169,$V$5:$V$1000,"Macro",$H$5:$H$1000,"&gt;0")=0,1/COUNTIFS($S$5:$S$1000,$S169,$V$5:$V$1000,"Macro"),IF(AND(ISNUMBER($H169),N($H169)&gt;0),$H169,SUMIFS($H$5:$H$1000,$S$5:$S$1000,$S169,$V$5:$V$1000,"Macro")/COUNTIFS($S$5:$S$1000,$S169,$V$5:$V$1000,"Macro",$H$5:$H$1000,"&gt;0"))/(COUNTIFS($S$5:$S$1000,$S169,$V$5:$V$1000,"Macro")*SUMIFS($H$5:$H$1000,$S$5:$S$1000,$S169,$V$5:$V$1000,"Macro")/COUNTIFS($S$5:$S$1000,$S169,$V$5:$V$1000,"Macro",$H$5:$H$1000,"&gt;0"))))</f>
        <v/>
      </c>
      <c r="AH169" s="62">
        <f>IF(NOT(AND($D169&lt;&gt;"",$V169="Macro")),"",IFERROR(CHOOSE(MATCH($D169,ListaPuestos,0),MATCH("[Jefatura] "&amp;$C169,'Cronograma R. Operacional'!$C$5:$C$1000,0),MATCH("[Jefatura] "&amp;$C169,'Cronograma R. Normativo'!$C$5:$C$1000,0),MATCH("[Jefatura] "&amp;$C169,'Cronograma R. Financiero'!$C$5:$C$1000,0),MATCH("[Jefatura] "&amp;$C169,'Cronograma Asistente Técnico'!$C$5:$C$1000,0)),0))</f>
        <v/>
      </c>
      <c r="AI169" s="62">
        <f>IF(AND(AND($D169&lt;&gt;"",$V169="Macro"),$S169=MesCiclo),COUNTIFS($D$5:$D169,$D169,$S$5:$S169,MesCiclo,$V$5:$V169,"Macro"),"")</f>
        <v/>
      </c>
      <c r="AJ169" s="62">
        <f>IF($AI169="","",$D169&amp;"|"&amp;$AI169)</f>
        <v/>
      </c>
      <c r="AK169" s="62">
        <f>IF(AND($D169&lt;&gt;"",$V169="Macro"),$D169&amp;"|"&amp;$C169,"")</f>
        <v/>
      </c>
      <c r="AL169" s="62">
        <f>""</f>
        <v/>
      </c>
      <c r="AM169" s="62">
        <f>IF(N($AL169)&gt;0,INDEX(rIni_ADM,$AL169),IF(ISNUMBER($E169),$E169,""))</f>
        <v/>
      </c>
      <c r="AN169" s="62">
        <f>IF(N($AL169)&gt;0,INDEX(rLim_ADM,$AL169),IF(ISNUMBER($F169),$F169,""))</f>
        <v/>
      </c>
    </row>
    <row r="170">
      <c r="A170" s="56">
        <f>IF(NOT((COUNTA($B170:$D170)+COUNTA($G170:$L170)+COUNTA($Q170))&gt;0),"",IF($V170="Macro",COUNTIFS($V$5:$V170,"Macro",$S$5:$S170,$S170),IF(N($U170)=0,"?",COUNTIFS(INDEX($V$5:$V$1000,1):INDEX($V$5:$V$1000,$U170-4),"Macro",INDEX($S$5:$S$1000,1):INDEX($S$5:$S$1000,$U170-4),INDEX($S$5:$S$1000,$U170-4))&amp;"."&amp;COUNTIFS($U$5:$U170,$U170,$V$5:$V170,"Sub"))))</f>
        <v/>
      </c>
      <c r="B170" s="57" t="n"/>
      <c r="C170" s="58" t="n"/>
      <c r="D170" s="58" t="n"/>
      <c r="E170" s="59" t="n"/>
      <c r="F170" s="59" t="n"/>
      <c r="G170" s="59" t="n"/>
      <c r="H170" s="60" t="n"/>
      <c r="I170" s="60" t="n"/>
      <c r="J170" s="60" t="n"/>
      <c r="K170" s="60" t="n"/>
      <c r="L170" s="60" t="n"/>
      <c r="M170" s="61">
        <f>IF(NOT((COUNTA($B170:$D170)+COUNTA($G170:$L170)+COUNTA($Q170))&gt;0),"",IF(AND($D170&lt;&gt;"",$V170="Macro"),IF(N($AH170)&gt;0,N(CHOOSE(MATCH($D170,ListaPuestos,0),INDEX('Cronograma R. Operacional'!$M$5:$M$1000,$AH170),INDEX('Cronograma R. Normativo'!$M$5:$M$1000,$AH170),INDEX('Cronograma R. Financiero'!$M$5:$M$1000,$AH170),INDEX('Cronograma Asistente Técnico'!$M$5:$M$1000,$AH170))),0),IF(ISNUMBER($G170),1,IF(N($W170)&gt;0,AVERAGEIFS($X$5:$X$1000,$U$5:$U$1000,ROW(),$V$5:$V$1000,"Sub"),$X170))))</f>
        <v/>
      </c>
      <c r="N170" s="56">
        <f>IF(OR($M170="",$V170="Sub"),"",IF($M170&gt;=1,"Completado",IF($M170&gt;0,"En curso","Pendiente")))</f>
        <v/>
      </c>
      <c r="O170" s="56">
        <f>IF(NOT((COUNTA($B170:$D170)+COUNTA($G170:$L170)+COUNTA($Q170))&gt;0),"",IF(AND(AND($D170&lt;&gt;"",$V170="Macro"),N($AH170)&gt;0),CHOOSE(MATCH($D170,ListaPuestos,0),INDEX('Cronograma R. Operacional'!$O$5:$O$1000,$AH170),INDEX('Cronograma R. Normativo'!$O$5:$O$1000,$AH170),INDEX('Cronograma R. Financiero'!$O$5:$O$1000,$AH170),INDEX('Cronograma Asistente Técnico'!$O$5:$O$1000,$AH170))&amp;"",IF(ISNUMBER($G170),IF(AND(ISNUMBER($AN170),$G170&gt;$AN170),"Cumplida con "&amp;($G170-$AN170)&amp;IF($G170-$AN170=1," día"," días")&amp;" de retraso","Cumplida"),IF(N($M170)&gt;=1,"Cumplida",IF(NOT(ISNUMBER($AN170)),"Sin fecha límite",IF($AN170&lt;FechaRef,"Vencida hace "&amp;(FechaRef-$AN170)&amp;IF(FechaRef-$AN170=1," día"," días"),IF($AN170=FechaRef,"Vence hoy",IF($AN170-FechaRef&lt;=DiasAlerta,"Vence en "&amp;($AN170-FechaRef)&amp;IF($AN170-FechaRef=1," día"," días"),"En plazo"))))))))</f>
        <v/>
      </c>
      <c r="P170" s="62">
        <f>IF(NOT((COUNTA($B170:$D170)+COUNTA($G170:$L170)+COUNTA($Q170))&gt;0),"",IF($D170="","Propia",IF($V170&lt;&gt;"Macro","Solo se delegan macroactividades",IF(N($AH170)&gt;0,"✔ Recibida por "&amp;$D170,"⚠ "&amp;$D170&amp;" aún no la agrega"))))</f>
        <v/>
      </c>
      <c r="Q170" s="58" t="n"/>
      <c r="R170" s="63">
        <f>IF(NOT((COUNTA($B170:$D170)+COUNTA($G170:$L170)+COUNTA($Q170))&gt;0),"",IF((IF($C170="","Falta el nombre de la actividad"&amp;" · ","")&amp;IF(AND($V170="Sub",N($U170)=0),"Subactividad sin macroactividad arriba"&amp;" · ","")&amp;IF($AM170="","Sin fecha de inicio"&amp;" · ","")&amp;IF($AN170="","Sin fecha límite"&amp;" · ","")&amp;IF(AND(LEFT($C170,11)="[Jefatura] ",N($AL170)=0),"No se encuentra en la hoja de la jefatura (elíjala de nuevo en la lista)"&amp;" · ","")&amp;IF(OR(AND($E170&lt;&gt;"",NOT(ISNUMBER($E170))),AND($F170&lt;&gt;"",NOT(ISNUMBER($F170))),AND($G170&lt;&gt;"",NOT(ISNUMBER($G170)))),"Fecha no válida"&amp;" · ","")&amp;IF(AND(ISNUMBER($AM170),ISNUMBER($AN170),$AM170&gt;$AN170),"Inicio posterior a fecha límite"&amp;" · ","")&amp;IF(AND($V170="Macro",$H170&lt;&gt;"",OR(NOT(ISNUMBER($H170)),$H170&lt;0,$H170&gt;1)),"Peso fuera de rango"&amp;" · ","")&amp;IF(AND($V170="Sub",$H170&lt;&gt;""),"Las subactividades no llevan peso (valen igual dentro de su macroactividad)"&amp;" · ","")&amp;IF(AND(N($W170)&gt;0,COUNT($I170:$L170)&gt;0),"Con subactividades: deje vacías las semanas (se calculan solas)"&amp;" · ","")&amp;IF((COUNTIF($I170:$L170,"&gt;1")+COUNTIF($I170:$L170,"&lt;0")+COUNTA($I170:$L170)-COUNT($I170:$L170))&gt;0,"Avance fuera de rango 0-100%"&amp;" · ","")&amp;IF(OR(AND($J170&lt;&gt;"",$J170&lt;$I170),AND($K170&lt;&gt;"",$K170&lt;MAX($I170:$J170)),AND($L170&lt;&gt;"",$L170&lt;MAX($I170:$K170))),"Avance semanal decreciente"&amp;" · ","")&amp;IF(AND(ISNUMBER($AN170),$AN170&lt;FechaRef,IF($V170="Sub",N($X170),N($M170))&lt;1),"Vencida"&amp;" · ","")&amp;IF(AND(ObsObligatoria="Sí",ISNUMBER($AN170),$AN170&lt;FechaRef,IF($V170="Sub",N($X170),N($M170))&lt;1,$Q170=""),"Vencida sin observación"&amp;" · ",""))="","✔ OK","⚠ "&amp;LEFT(IF($C170="","Falta el nombre de la actividad"&amp;" · ","")&amp;IF(AND($V170="Sub",N($U170)=0),"Subactividad sin macroactividad arriba"&amp;" · ","")&amp;IF($AM170="","Sin fecha de inicio"&amp;" · ","")&amp;IF($AN170="","Sin fecha límite"&amp;" · ","")&amp;IF(AND(LEFT($C170,11)="[Jefatura] ",N($AL170)=0),"No se encuentra en la hoja de la jefatura (elíjala de nuevo en la lista)"&amp;" · ","")&amp;IF(OR(AND($E170&lt;&gt;"",NOT(ISNUMBER($E170))),AND($F170&lt;&gt;"",NOT(ISNUMBER($F170))),AND($G170&lt;&gt;"",NOT(ISNUMBER($G170)))),"Fecha no válida"&amp;" · ","")&amp;IF(AND(ISNUMBER($AM170),ISNUMBER($AN170),$AM170&gt;$AN170),"Inicio posterior a fecha límite"&amp;" · ","")&amp;IF(AND($V170="Macro",$H170&lt;&gt;"",OR(NOT(ISNUMBER($H170)),$H170&lt;0,$H170&gt;1)),"Peso fuera de rango"&amp;" · ","")&amp;IF(AND($V170="Sub",$H170&lt;&gt;""),"Las subactividades no llevan peso (valen igual dentro de su macroactividad)"&amp;" · ","")&amp;IF(AND(N($W170)&gt;0,COUNT($I170:$L170)&gt;0),"Con subactividades: deje vacías las semanas (se calculan solas)"&amp;" · ","")&amp;IF((COUNTIF($I170:$L170,"&gt;1")+COUNTIF($I170:$L170,"&lt;0")+COUNTA($I170:$L170)-COUNT($I170:$L170))&gt;0,"Avance fuera de rango 0-100%"&amp;" · ","")&amp;IF(OR(AND($J170&lt;&gt;"",$J170&lt;$I170),AND($K170&lt;&gt;"",$K170&lt;MAX($I170:$J170)),AND($L170&lt;&gt;"",$L170&lt;MAX($I170:$K170))),"Avance semanal decreciente"&amp;" · ","")&amp;IF(AND(ISNUMBER($AN170),$AN170&lt;FechaRef,IF($V170="Sub",N($X170),N($M170))&lt;1),"Vencida"&amp;" · ","")&amp;IF(AND(ObsObligatoria="Sí",ISNUMBER($AN170),$AN170&lt;FechaRef,IF($V170="Sub",N($X170),N($M170))&lt;1,$Q170=""),"Vencida sin observación"&amp;" · ",""),LEN(IF($C170="","Falta el nombre de la actividad"&amp;" · ","")&amp;IF(AND($V170="Sub",N($U170)=0),"Subactividad sin macroactividad arriba"&amp;" · ","")&amp;IF($AM170="","Sin fecha de inicio"&amp;" · ","")&amp;IF($AN170="","Sin fecha límite"&amp;" · ","")&amp;IF(AND(LEFT($C170,11)="[Jefatura] ",N($AL170)=0),"No se encuentra en la hoja de la jefatura (elíjala de nuevo en la lista)"&amp;" · ","")&amp;IF(OR(AND($E170&lt;&gt;"",NOT(ISNUMBER($E170))),AND($F170&lt;&gt;"",NOT(ISNUMBER($F170))),AND($G170&lt;&gt;"",NOT(ISNUMBER($G170)))),"Fecha no válida"&amp;" · ","")&amp;IF(AND(ISNUMBER($AM170),ISNUMBER($AN170),$AM170&gt;$AN170),"Inicio posterior a fecha límite"&amp;" · ","")&amp;IF(AND($V170="Macro",$H170&lt;&gt;"",OR(NOT(ISNUMBER($H170)),$H170&lt;0,$H170&gt;1)),"Peso fuera de rango"&amp;" · ","")&amp;IF(AND($V170="Sub",$H170&lt;&gt;""),"Las subactividades no llevan peso (valen igual dentro de su macroactividad)"&amp;" · ","")&amp;IF(AND(N($W170)&gt;0,COUNT($I170:$L170)&gt;0),"Con subactividades: deje vacías las semanas (se calculan solas)"&amp;" · ","")&amp;IF((COUNTIF($I170:$L170,"&gt;1")+COUNTIF($I170:$L170,"&lt;0")+COUNTA($I170:$L170)-COUNT($I170:$L170))&gt;0,"Avance fuera de rango 0-100%"&amp;" · ","")&amp;IF(OR(AND($J170&lt;&gt;"",$J170&lt;$I170),AND($K170&lt;&gt;"",$K170&lt;MAX($I170:$J170)),AND($L170&lt;&gt;"",$L170&lt;MAX($I170:$K170))),"Avance semanal decreciente"&amp;" · ","")&amp;IF(AND(ISNUMBER($AN170),$AN170&lt;FechaRef,IF($V170="Sub",N($X170),N($M170))&lt;1),"Vencida"&amp;" · ","")&amp;IF(AND(ObsObligatoria="Sí",ISNUMBER($AN170),$AN170&lt;FechaRef,IF($V170="Sub",N($X170),N($M170))&lt;1,$Q170=""),"Vencida sin observación"&amp;" · ",""))-3)))</f>
        <v/>
      </c>
      <c r="S170" s="64">
        <f>IF(NOT((COUNTA($B170:$D170)+COUNTA($G170:$L170)+COUNTA($Q170))&gt;0),"",IF(AND($V170="Sub",N($U170)&gt;0),IF(ISNUMBER(INDEX($AM$5:$AM$1000,$U170-4)),DATE(YEAR(INDEX($AM$5:$AM$1000,$U170-4)),MONTH(INDEX($AM$5:$AM$1000,$U170-4)),1),IF(ISNUMBER(INDEX($AN$5:$AN$1000,$U170-4)),DATE(YEAR(INDEX($AN$5:$AN$1000,$U170-4)),MONTH(INDEX($AN$5:$AN$1000,$U170-4)),1),MesCiclo)),IF(ISNUMBER($AM170),DATE(YEAR($AM170),MONTH($AM170),1),IF(ISNUMBER($AN170),DATE(YEAR($AN170),MONTH($AN170),1),MesCiclo))))</f>
        <v/>
      </c>
      <c r="T170" s="62">
        <f>IF(OR($S170="",$S170&lt;&gt;MesCiclo,$V170&lt;&gt;"Macro"),"",COUNTIFS($S$5:$S170,MesCiclo,$V$5:$V170,"Macro"))</f>
        <v/>
      </c>
      <c r="U170" s="62">
        <f>IF($V170="","",IF($V170="Macro",ROW(),IFERROR(LOOKUP(2,1/($V$5:$V170="Macro"),ROW($V$5:$V170)),0)))</f>
        <v/>
      </c>
      <c r="V170" s="62">
        <f>IF(NOT((COUNTA($B170:$D170)+COUNTA($G170:$L170)+COUNTA($Q170))&gt;0),"",IF($B170="Subactividad","Sub","Macro"))</f>
        <v/>
      </c>
      <c r="W170" s="62">
        <f>IF($V170="Macro",COUNTIFS($U$5:$U$1000,ROW(),$V$5:$V$1000,"Sub"),"")</f>
        <v/>
      </c>
      <c r="X170" s="62">
        <f>IF($V170="","",IF(ISNUMBER($G170),1,IFERROR(LOOKUP(2,1/($I170:$L170&lt;&gt;""),$I170:$L170),0)))</f>
        <v/>
      </c>
      <c r="Y170" s="62">
        <f>IF($V170="","",IF(AND(ISNUMBER($G170),$G170&lt;=IF($S170=MesCiclo,InicioCiclo,$S170+MOD(2-WEEKDAY($S170),7))+6),1,IF(ISNUMBER($I170),$I170,0)))</f>
        <v/>
      </c>
      <c r="Z170" s="62">
        <f>IF($V170="","",IF(AND(ISNUMBER($G170),$G170&lt;=IF($S170=MesCiclo,InicioCiclo,$S170+MOD(2-WEEKDAY($S170),7))+13),1,IF(ISNUMBER($J170),$J170,$Y170)))</f>
        <v/>
      </c>
      <c r="AA170" s="62">
        <f>IF($V170="","",IF(AND(ISNUMBER($G170),$G170&lt;=IF($S170=MesCiclo,InicioCiclo,$S170+MOD(2-WEEKDAY($S170),7))+20),1,IF(ISNUMBER($K170),$K170,$Z170)))</f>
        <v/>
      </c>
      <c r="AB170" s="62">
        <f>IF($V170="","",IF(AND(ISNUMBER($G170),$G170&lt;=IF($S170=MesCiclo,InicioCiclo,$S170+MOD(2-WEEKDAY($S170),7))+27),1,IF(ISNUMBER($L170),$L170,$AA170)))</f>
        <v/>
      </c>
      <c r="AC170" s="62">
        <f>IF($V170="","",IF(AND(ISNUMBER($G170),$G170&lt;=IF($S170=MesCiclo,InicioCiclo,$S170+MOD(2-WEEKDAY($S170),7))+6),1,IF(N($W170)&gt;0,AVERAGEIFS($Y$5:$Y$1000,$U$5:$U$1000,ROW(),$V$5:$V$1000,"Sub"),$Y170)))</f>
        <v/>
      </c>
      <c r="AD170" s="62">
        <f>IF($V170="","",IF(AND(ISNUMBER($G170),$G170&lt;=IF($S170=MesCiclo,InicioCiclo,$S170+MOD(2-WEEKDAY($S170),7))+13),1,IF(N($W170)&gt;0,AVERAGEIFS($Z$5:$Z$1000,$U$5:$U$1000,ROW(),$V$5:$V$1000,"Sub"),$Z170)))</f>
        <v/>
      </c>
      <c r="AE170" s="62">
        <f>IF($V170="","",IF(AND(ISNUMBER($G170),$G170&lt;=IF($S170=MesCiclo,InicioCiclo,$S170+MOD(2-WEEKDAY($S170),7))+20),1,IF(N($W170)&gt;0,AVERAGEIFS($AA$5:$AA$1000,$U$5:$U$1000,ROW(),$V$5:$V$1000,"Sub"),$AA170)))</f>
        <v/>
      </c>
      <c r="AF170" s="62">
        <f>IF($V170="","",IF(AND(ISNUMBER($G170),$G170&lt;=IF($S170=MesCiclo,InicioCiclo,$S170+MOD(2-WEEKDAY($S170),7))+27),1,IF(N($W170)&gt;0,AVERAGEIFS($AB$5:$AB$1000,$U$5:$U$1000,ROW(),$V$5:$V$1000,"Sub"),$AB170)))</f>
        <v/>
      </c>
      <c r="AG170" s="62">
        <f>IF($V170&lt;&gt;"Macro","",IF(COUNTIFS($S$5:$S$1000,$S170,$V$5:$V$1000,"Macro",$H$5:$H$1000,"&gt;0")=0,1/COUNTIFS($S$5:$S$1000,$S170,$V$5:$V$1000,"Macro"),IF(AND(ISNUMBER($H170),N($H170)&gt;0),$H170,SUMIFS($H$5:$H$1000,$S$5:$S$1000,$S170,$V$5:$V$1000,"Macro")/COUNTIFS($S$5:$S$1000,$S170,$V$5:$V$1000,"Macro",$H$5:$H$1000,"&gt;0"))/(COUNTIFS($S$5:$S$1000,$S170,$V$5:$V$1000,"Macro")*SUMIFS($H$5:$H$1000,$S$5:$S$1000,$S170,$V$5:$V$1000,"Macro")/COUNTIFS($S$5:$S$1000,$S170,$V$5:$V$1000,"Macro",$H$5:$H$1000,"&gt;0"))))</f>
        <v/>
      </c>
      <c r="AH170" s="62">
        <f>IF(NOT(AND($D170&lt;&gt;"",$V170="Macro")),"",IFERROR(CHOOSE(MATCH($D170,ListaPuestos,0),MATCH("[Jefatura] "&amp;$C170,'Cronograma R. Operacional'!$C$5:$C$1000,0),MATCH("[Jefatura] "&amp;$C170,'Cronograma R. Normativo'!$C$5:$C$1000,0),MATCH("[Jefatura] "&amp;$C170,'Cronograma R. Financiero'!$C$5:$C$1000,0),MATCH("[Jefatura] "&amp;$C170,'Cronograma Asistente Técnico'!$C$5:$C$1000,0)),0))</f>
        <v/>
      </c>
      <c r="AI170" s="62">
        <f>IF(AND(AND($D170&lt;&gt;"",$V170="Macro"),$S170=MesCiclo),COUNTIFS($D$5:$D170,$D170,$S$5:$S170,MesCiclo,$V$5:$V170,"Macro"),"")</f>
        <v/>
      </c>
      <c r="AJ170" s="62">
        <f>IF($AI170="","",$D170&amp;"|"&amp;$AI170)</f>
        <v/>
      </c>
      <c r="AK170" s="62">
        <f>IF(AND($D170&lt;&gt;"",$V170="Macro"),$D170&amp;"|"&amp;$C170,"")</f>
        <v/>
      </c>
      <c r="AL170" s="62">
        <f>""</f>
        <v/>
      </c>
      <c r="AM170" s="62">
        <f>IF(N($AL170)&gt;0,INDEX(rIni_ADM,$AL170),IF(ISNUMBER($E170),$E170,""))</f>
        <v/>
      </c>
      <c r="AN170" s="62">
        <f>IF(N($AL170)&gt;0,INDEX(rLim_ADM,$AL170),IF(ISNUMBER($F170),$F170,""))</f>
        <v/>
      </c>
    </row>
    <row r="171">
      <c r="A171" s="56">
        <f>IF(NOT((COUNTA($B171:$D171)+COUNTA($G171:$L171)+COUNTA($Q171))&gt;0),"",IF($V171="Macro",COUNTIFS($V$5:$V171,"Macro",$S$5:$S171,$S171),IF(N($U171)=0,"?",COUNTIFS(INDEX($V$5:$V$1000,1):INDEX($V$5:$V$1000,$U171-4),"Macro",INDEX($S$5:$S$1000,1):INDEX($S$5:$S$1000,$U171-4),INDEX($S$5:$S$1000,$U171-4))&amp;"."&amp;COUNTIFS($U$5:$U171,$U171,$V$5:$V171,"Sub"))))</f>
        <v/>
      </c>
      <c r="B171" s="57" t="n"/>
      <c r="C171" s="58" t="n"/>
      <c r="D171" s="58" t="n"/>
      <c r="E171" s="59" t="n"/>
      <c r="F171" s="59" t="n"/>
      <c r="G171" s="59" t="n"/>
      <c r="H171" s="60" t="n"/>
      <c r="I171" s="60" t="n"/>
      <c r="J171" s="60" t="n"/>
      <c r="K171" s="60" t="n"/>
      <c r="L171" s="60" t="n"/>
      <c r="M171" s="61">
        <f>IF(NOT((COUNTA($B171:$D171)+COUNTA($G171:$L171)+COUNTA($Q171))&gt;0),"",IF(AND($D171&lt;&gt;"",$V171="Macro"),IF(N($AH171)&gt;0,N(CHOOSE(MATCH($D171,ListaPuestos,0),INDEX('Cronograma R. Operacional'!$M$5:$M$1000,$AH171),INDEX('Cronograma R. Normativo'!$M$5:$M$1000,$AH171),INDEX('Cronograma R. Financiero'!$M$5:$M$1000,$AH171),INDEX('Cronograma Asistente Técnico'!$M$5:$M$1000,$AH171))),0),IF(ISNUMBER($G171),1,IF(N($W171)&gt;0,AVERAGEIFS($X$5:$X$1000,$U$5:$U$1000,ROW(),$V$5:$V$1000,"Sub"),$X171))))</f>
        <v/>
      </c>
      <c r="N171" s="56">
        <f>IF(OR($M171="",$V171="Sub"),"",IF($M171&gt;=1,"Completado",IF($M171&gt;0,"En curso","Pendiente")))</f>
        <v/>
      </c>
      <c r="O171" s="56">
        <f>IF(NOT((COUNTA($B171:$D171)+COUNTA($G171:$L171)+COUNTA($Q171))&gt;0),"",IF(AND(AND($D171&lt;&gt;"",$V171="Macro"),N($AH171)&gt;0),CHOOSE(MATCH($D171,ListaPuestos,0),INDEX('Cronograma R. Operacional'!$O$5:$O$1000,$AH171),INDEX('Cronograma R. Normativo'!$O$5:$O$1000,$AH171),INDEX('Cronograma R. Financiero'!$O$5:$O$1000,$AH171),INDEX('Cronograma Asistente Técnico'!$O$5:$O$1000,$AH171))&amp;"",IF(ISNUMBER($G171),IF(AND(ISNUMBER($AN171),$G171&gt;$AN171),"Cumplida con "&amp;($G171-$AN171)&amp;IF($G171-$AN171=1," día"," días")&amp;" de retraso","Cumplida"),IF(N($M171)&gt;=1,"Cumplida",IF(NOT(ISNUMBER($AN171)),"Sin fecha límite",IF($AN171&lt;FechaRef,"Vencida hace "&amp;(FechaRef-$AN171)&amp;IF(FechaRef-$AN171=1," día"," días"),IF($AN171=FechaRef,"Vence hoy",IF($AN171-FechaRef&lt;=DiasAlerta,"Vence en "&amp;($AN171-FechaRef)&amp;IF($AN171-FechaRef=1," día"," días"),"En plazo"))))))))</f>
        <v/>
      </c>
      <c r="P171" s="62">
        <f>IF(NOT((COUNTA($B171:$D171)+COUNTA($G171:$L171)+COUNTA($Q171))&gt;0),"",IF($D171="","Propia",IF($V171&lt;&gt;"Macro","Solo se delegan macroactividades",IF(N($AH171)&gt;0,"✔ Recibida por "&amp;$D171,"⚠ "&amp;$D171&amp;" aún no la agrega"))))</f>
        <v/>
      </c>
      <c r="Q171" s="58" t="n"/>
      <c r="R171" s="63">
        <f>IF(NOT((COUNTA($B171:$D171)+COUNTA($G171:$L171)+COUNTA($Q171))&gt;0),"",IF((IF($C171="","Falta el nombre de la actividad"&amp;" · ","")&amp;IF(AND($V171="Sub",N($U171)=0),"Subactividad sin macroactividad arriba"&amp;" · ","")&amp;IF($AM171="","Sin fecha de inicio"&amp;" · ","")&amp;IF($AN171="","Sin fecha límite"&amp;" · ","")&amp;IF(AND(LEFT($C171,11)="[Jefatura] ",N($AL171)=0),"No se encuentra en la hoja de la jefatura (elíjala de nuevo en la lista)"&amp;" · ","")&amp;IF(OR(AND($E171&lt;&gt;"",NOT(ISNUMBER($E171))),AND($F171&lt;&gt;"",NOT(ISNUMBER($F171))),AND($G171&lt;&gt;"",NOT(ISNUMBER($G171)))),"Fecha no válida"&amp;" · ","")&amp;IF(AND(ISNUMBER($AM171),ISNUMBER($AN171),$AM171&gt;$AN171),"Inicio posterior a fecha límite"&amp;" · ","")&amp;IF(AND($V171="Macro",$H171&lt;&gt;"",OR(NOT(ISNUMBER($H171)),$H171&lt;0,$H171&gt;1)),"Peso fuera de rango"&amp;" · ","")&amp;IF(AND($V171="Sub",$H171&lt;&gt;""),"Las subactividades no llevan peso (valen igual dentro de su macroactividad)"&amp;" · ","")&amp;IF(AND(N($W171)&gt;0,COUNT($I171:$L171)&gt;0),"Con subactividades: deje vacías las semanas (se calculan solas)"&amp;" · ","")&amp;IF((COUNTIF($I171:$L171,"&gt;1")+COUNTIF($I171:$L171,"&lt;0")+COUNTA($I171:$L171)-COUNT($I171:$L171))&gt;0,"Avance fuera de rango 0-100%"&amp;" · ","")&amp;IF(OR(AND($J171&lt;&gt;"",$J171&lt;$I171),AND($K171&lt;&gt;"",$K171&lt;MAX($I171:$J171)),AND($L171&lt;&gt;"",$L171&lt;MAX($I171:$K171))),"Avance semanal decreciente"&amp;" · ","")&amp;IF(AND(ISNUMBER($AN171),$AN171&lt;FechaRef,IF($V171="Sub",N($X171),N($M171))&lt;1),"Vencida"&amp;" · ","")&amp;IF(AND(ObsObligatoria="Sí",ISNUMBER($AN171),$AN171&lt;FechaRef,IF($V171="Sub",N($X171),N($M171))&lt;1,$Q171=""),"Vencida sin observación"&amp;" · ",""))="","✔ OK","⚠ "&amp;LEFT(IF($C171="","Falta el nombre de la actividad"&amp;" · ","")&amp;IF(AND($V171="Sub",N($U171)=0),"Subactividad sin macroactividad arriba"&amp;" · ","")&amp;IF($AM171="","Sin fecha de inicio"&amp;" · ","")&amp;IF($AN171="","Sin fecha límite"&amp;" · ","")&amp;IF(AND(LEFT($C171,11)="[Jefatura] ",N($AL171)=0),"No se encuentra en la hoja de la jefatura (elíjala de nuevo en la lista)"&amp;" · ","")&amp;IF(OR(AND($E171&lt;&gt;"",NOT(ISNUMBER($E171))),AND($F171&lt;&gt;"",NOT(ISNUMBER($F171))),AND($G171&lt;&gt;"",NOT(ISNUMBER($G171)))),"Fecha no válida"&amp;" · ","")&amp;IF(AND(ISNUMBER($AM171),ISNUMBER($AN171),$AM171&gt;$AN171),"Inicio posterior a fecha límite"&amp;" · ","")&amp;IF(AND($V171="Macro",$H171&lt;&gt;"",OR(NOT(ISNUMBER($H171)),$H171&lt;0,$H171&gt;1)),"Peso fuera de rango"&amp;" · ","")&amp;IF(AND($V171="Sub",$H171&lt;&gt;""),"Las subactividades no llevan peso (valen igual dentro de su macroactividad)"&amp;" · ","")&amp;IF(AND(N($W171)&gt;0,COUNT($I171:$L171)&gt;0),"Con subactividades: deje vacías las semanas (se calculan solas)"&amp;" · ","")&amp;IF((COUNTIF($I171:$L171,"&gt;1")+COUNTIF($I171:$L171,"&lt;0")+COUNTA($I171:$L171)-COUNT($I171:$L171))&gt;0,"Avance fuera de rango 0-100%"&amp;" · ","")&amp;IF(OR(AND($J171&lt;&gt;"",$J171&lt;$I171),AND($K171&lt;&gt;"",$K171&lt;MAX($I171:$J171)),AND($L171&lt;&gt;"",$L171&lt;MAX($I171:$K171))),"Avance semanal decreciente"&amp;" · ","")&amp;IF(AND(ISNUMBER($AN171),$AN171&lt;FechaRef,IF($V171="Sub",N($X171),N($M171))&lt;1),"Vencida"&amp;" · ","")&amp;IF(AND(ObsObligatoria="Sí",ISNUMBER($AN171),$AN171&lt;FechaRef,IF($V171="Sub",N($X171),N($M171))&lt;1,$Q171=""),"Vencida sin observación"&amp;" · ",""),LEN(IF($C171="","Falta el nombre de la actividad"&amp;" · ","")&amp;IF(AND($V171="Sub",N($U171)=0),"Subactividad sin macroactividad arriba"&amp;" · ","")&amp;IF($AM171="","Sin fecha de inicio"&amp;" · ","")&amp;IF($AN171="","Sin fecha límite"&amp;" · ","")&amp;IF(AND(LEFT($C171,11)="[Jefatura] ",N($AL171)=0),"No se encuentra en la hoja de la jefatura (elíjala de nuevo en la lista)"&amp;" · ","")&amp;IF(OR(AND($E171&lt;&gt;"",NOT(ISNUMBER($E171))),AND($F171&lt;&gt;"",NOT(ISNUMBER($F171))),AND($G171&lt;&gt;"",NOT(ISNUMBER($G171)))),"Fecha no válida"&amp;" · ","")&amp;IF(AND(ISNUMBER($AM171),ISNUMBER($AN171),$AM171&gt;$AN171),"Inicio posterior a fecha límite"&amp;" · ","")&amp;IF(AND($V171="Macro",$H171&lt;&gt;"",OR(NOT(ISNUMBER($H171)),$H171&lt;0,$H171&gt;1)),"Peso fuera de rango"&amp;" · ","")&amp;IF(AND($V171="Sub",$H171&lt;&gt;""),"Las subactividades no llevan peso (valen igual dentro de su macroactividad)"&amp;" · ","")&amp;IF(AND(N($W171)&gt;0,COUNT($I171:$L171)&gt;0),"Con subactividades: deje vacías las semanas (se calculan solas)"&amp;" · ","")&amp;IF((COUNTIF($I171:$L171,"&gt;1")+COUNTIF($I171:$L171,"&lt;0")+COUNTA($I171:$L171)-COUNT($I171:$L171))&gt;0,"Avance fuera de rango 0-100%"&amp;" · ","")&amp;IF(OR(AND($J171&lt;&gt;"",$J171&lt;$I171),AND($K171&lt;&gt;"",$K171&lt;MAX($I171:$J171)),AND($L171&lt;&gt;"",$L171&lt;MAX($I171:$K171))),"Avance semanal decreciente"&amp;" · ","")&amp;IF(AND(ISNUMBER($AN171),$AN171&lt;FechaRef,IF($V171="Sub",N($X171),N($M171))&lt;1),"Vencida"&amp;" · ","")&amp;IF(AND(ObsObligatoria="Sí",ISNUMBER($AN171),$AN171&lt;FechaRef,IF($V171="Sub",N($X171),N($M171))&lt;1,$Q171=""),"Vencida sin observación"&amp;" · ",""))-3)))</f>
        <v/>
      </c>
      <c r="S171" s="64">
        <f>IF(NOT((COUNTA($B171:$D171)+COUNTA($G171:$L171)+COUNTA($Q171))&gt;0),"",IF(AND($V171="Sub",N($U171)&gt;0),IF(ISNUMBER(INDEX($AM$5:$AM$1000,$U171-4)),DATE(YEAR(INDEX($AM$5:$AM$1000,$U171-4)),MONTH(INDEX($AM$5:$AM$1000,$U171-4)),1),IF(ISNUMBER(INDEX($AN$5:$AN$1000,$U171-4)),DATE(YEAR(INDEX($AN$5:$AN$1000,$U171-4)),MONTH(INDEX($AN$5:$AN$1000,$U171-4)),1),MesCiclo)),IF(ISNUMBER($AM171),DATE(YEAR($AM171),MONTH($AM171),1),IF(ISNUMBER($AN171),DATE(YEAR($AN171),MONTH($AN171),1),MesCiclo))))</f>
        <v/>
      </c>
      <c r="T171" s="62">
        <f>IF(OR($S171="",$S171&lt;&gt;MesCiclo,$V171&lt;&gt;"Macro"),"",COUNTIFS($S$5:$S171,MesCiclo,$V$5:$V171,"Macro"))</f>
        <v/>
      </c>
      <c r="U171" s="62">
        <f>IF($V171="","",IF($V171="Macro",ROW(),IFERROR(LOOKUP(2,1/($V$5:$V171="Macro"),ROW($V$5:$V171)),0)))</f>
        <v/>
      </c>
      <c r="V171" s="62">
        <f>IF(NOT((COUNTA($B171:$D171)+COUNTA($G171:$L171)+COUNTA($Q171))&gt;0),"",IF($B171="Subactividad","Sub","Macro"))</f>
        <v/>
      </c>
      <c r="W171" s="62">
        <f>IF($V171="Macro",COUNTIFS($U$5:$U$1000,ROW(),$V$5:$V$1000,"Sub"),"")</f>
        <v/>
      </c>
      <c r="X171" s="62">
        <f>IF($V171="","",IF(ISNUMBER($G171),1,IFERROR(LOOKUP(2,1/($I171:$L171&lt;&gt;""),$I171:$L171),0)))</f>
        <v/>
      </c>
      <c r="Y171" s="62">
        <f>IF($V171="","",IF(AND(ISNUMBER($G171),$G171&lt;=IF($S171=MesCiclo,InicioCiclo,$S171+MOD(2-WEEKDAY($S171),7))+6),1,IF(ISNUMBER($I171),$I171,0)))</f>
        <v/>
      </c>
      <c r="Z171" s="62">
        <f>IF($V171="","",IF(AND(ISNUMBER($G171),$G171&lt;=IF($S171=MesCiclo,InicioCiclo,$S171+MOD(2-WEEKDAY($S171),7))+13),1,IF(ISNUMBER($J171),$J171,$Y171)))</f>
        <v/>
      </c>
      <c r="AA171" s="62">
        <f>IF($V171="","",IF(AND(ISNUMBER($G171),$G171&lt;=IF($S171=MesCiclo,InicioCiclo,$S171+MOD(2-WEEKDAY($S171),7))+20),1,IF(ISNUMBER($K171),$K171,$Z171)))</f>
        <v/>
      </c>
      <c r="AB171" s="62">
        <f>IF($V171="","",IF(AND(ISNUMBER($G171),$G171&lt;=IF($S171=MesCiclo,InicioCiclo,$S171+MOD(2-WEEKDAY($S171),7))+27),1,IF(ISNUMBER($L171),$L171,$AA171)))</f>
        <v/>
      </c>
      <c r="AC171" s="62">
        <f>IF($V171="","",IF(AND(ISNUMBER($G171),$G171&lt;=IF($S171=MesCiclo,InicioCiclo,$S171+MOD(2-WEEKDAY($S171),7))+6),1,IF(N($W171)&gt;0,AVERAGEIFS($Y$5:$Y$1000,$U$5:$U$1000,ROW(),$V$5:$V$1000,"Sub"),$Y171)))</f>
        <v/>
      </c>
      <c r="AD171" s="62">
        <f>IF($V171="","",IF(AND(ISNUMBER($G171),$G171&lt;=IF($S171=MesCiclo,InicioCiclo,$S171+MOD(2-WEEKDAY($S171),7))+13),1,IF(N($W171)&gt;0,AVERAGEIFS($Z$5:$Z$1000,$U$5:$U$1000,ROW(),$V$5:$V$1000,"Sub"),$Z171)))</f>
        <v/>
      </c>
      <c r="AE171" s="62">
        <f>IF($V171="","",IF(AND(ISNUMBER($G171),$G171&lt;=IF($S171=MesCiclo,InicioCiclo,$S171+MOD(2-WEEKDAY($S171),7))+20),1,IF(N($W171)&gt;0,AVERAGEIFS($AA$5:$AA$1000,$U$5:$U$1000,ROW(),$V$5:$V$1000,"Sub"),$AA171)))</f>
        <v/>
      </c>
      <c r="AF171" s="62">
        <f>IF($V171="","",IF(AND(ISNUMBER($G171),$G171&lt;=IF($S171=MesCiclo,InicioCiclo,$S171+MOD(2-WEEKDAY($S171),7))+27),1,IF(N($W171)&gt;0,AVERAGEIFS($AB$5:$AB$1000,$U$5:$U$1000,ROW(),$V$5:$V$1000,"Sub"),$AB171)))</f>
        <v/>
      </c>
      <c r="AG171" s="62">
        <f>IF($V171&lt;&gt;"Macro","",IF(COUNTIFS($S$5:$S$1000,$S171,$V$5:$V$1000,"Macro",$H$5:$H$1000,"&gt;0")=0,1/COUNTIFS($S$5:$S$1000,$S171,$V$5:$V$1000,"Macro"),IF(AND(ISNUMBER($H171),N($H171)&gt;0),$H171,SUMIFS($H$5:$H$1000,$S$5:$S$1000,$S171,$V$5:$V$1000,"Macro")/COUNTIFS($S$5:$S$1000,$S171,$V$5:$V$1000,"Macro",$H$5:$H$1000,"&gt;0"))/(COUNTIFS($S$5:$S$1000,$S171,$V$5:$V$1000,"Macro")*SUMIFS($H$5:$H$1000,$S$5:$S$1000,$S171,$V$5:$V$1000,"Macro")/COUNTIFS($S$5:$S$1000,$S171,$V$5:$V$1000,"Macro",$H$5:$H$1000,"&gt;0"))))</f>
        <v/>
      </c>
      <c r="AH171" s="62">
        <f>IF(NOT(AND($D171&lt;&gt;"",$V171="Macro")),"",IFERROR(CHOOSE(MATCH($D171,ListaPuestos,0),MATCH("[Jefatura] "&amp;$C171,'Cronograma R. Operacional'!$C$5:$C$1000,0),MATCH("[Jefatura] "&amp;$C171,'Cronograma R. Normativo'!$C$5:$C$1000,0),MATCH("[Jefatura] "&amp;$C171,'Cronograma R. Financiero'!$C$5:$C$1000,0),MATCH("[Jefatura] "&amp;$C171,'Cronograma Asistente Técnico'!$C$5:$C$1000,0)),0))</f>
        <v/>
      </c>
      <c r="AI171" s="62">
        <f>IF(AND(AND($D171&lt;&gt;"",$V171="Macro"),$S171=MesCiclo),COUNTIFS($D$5:$D171,$D171,$S$5:$S171,MesCiclo,$V$5:$V171,"Macro"),"")</f>
        <v/>
      </c>
      <c r="AJ171" s="62">
        <f>IF($AI171="","",$D171&amp;"|"&amp;$AI171)</f>
        <v/>
      </c>
      <c r="AK171" s="62">
        <f>IF(AND($D171&lt;&gt;"",$V171="Macro"),$D171&amp;"|"&amp;$C171,"")</f>
        <v/>
      </c>
      <c r="AL171" s="62">
        <f>""</f>
        <v/>
      </c>
      <c r="AM171" s="62">
        <f>IF(N($AL171)&gt;0,INDEX(rIni_ADM,$AL171),IF(ISNUMBER($E171),$E171,""))</f>
        <v/>
      </c>
      <c r="AN171" s="62">
        <f>IF(N($AL171)&gt;0,INDEX(rLim_ADM,$AL171),IF(ISNUMBER($F171),$F171,""))</f>
        <v/>
      </c>
    </row>
    <row r="172">
      <c r="A172" s="56">
        <f>IF(NOT((COUNTA($B172:$D172)+COUNTA($G172:$L172)+COUNTA($Q172))&gt;0),"",IF($V172="Macro",COUNTIFS($V$5:$V172,"Macro",$S$5:$S172,$S172),IF(N($U172)=0,"?",COUNTIFS(INDEX($V$5:$V$1000,1):INDEX($V$5:$V$1000,$U172-4),"Macro",INDEX($S$5:$S$1000,1):INDEX($S$5:$S$1000,$U172-4),INDEX($S$5:$S$1000,$U172-4))&amp;"."&amp;COUNTIFS($U$5:$U172,$U172,$V$5:$V172,"Sub"))))</f>
        <v/>
      </c>
      <c r="B172" s="57" t="n"/>
      <c r="C172" s="58" t="n"/>
      <c r="D172" s="58" t="n"/>
      <c r="E172" s="59" t="n"/>
      <c r="F172" s="59" t="n"/>
      <c r="G172" s="59" t="n"/>
      <c r="H172" s="60" t="n"/>
      <c r="I172" s="60" t="n"/>
      <c r="J172" s="60" t="n"/>
      <c r="K172" s="60" t="n"/>
      <c r="L172" s="60" t="n"/>
      <c r="M172" s="61">
        <f>IF(NOT((COUNTA($B172:$D172)+COUNTA($G172:$L172)+COUNTA($Q172))&gt;0),"",IF(AND($D172&lt;&gt;"",$V172="Macro"),IF(N($AH172)&gt;0,N(CHOOSE(MATCH($D172,ListaPuestos,0),INDEX('Cronograma R. Operacional'!$M$5:$M$1000,$AH172),INDEX('Cronograma R. Normativo'!$M$5:$M$1000,$AH172),INDEX('Cronograma R. Financiero'!$M$5:$M$1000,$AH172),INDEX('Cronograma Asistente Técnico'!$M$5:$M$1000,$AH172))),0),IF(ISNUMBER($G172),1,IF(N($W172)&gt;0,AVERAGEIFS($X$5:$X$1000,$U$5:$U$1000,ROW(),$V$5:$V$1000,"Sub"),$X172))))</f>
        <v/>
      </c>
      <c r="N172" s="56">
        <f>IF(OR($M172="",$V172="Sub"),"",IF($M172&gt;=1,"Completado",IF($M172&gt;0,"En curso","Pendiente")))</f>
        <v/>
      </c>
      <c r="O172" s="56">
        <f>IF(NOT((COUNTA($B172:$D172)+COUNTA($G172:$L172)+COUNTA($Q172))&gt;0),"",IF(AND(AND($D172&lt;&gt;"",$V172="Macro"),N($AH172)&gt;0),CHOOSE(MATCH($D172,ListaPuestos,0),INDEX('Cronograma R. Operacional'!$O$5:$O$1000,$AH172),INDEX('Cronograma R. Normativo'!$O$5:$O$1000,$AH172),INDEX('Cronograma R. Financiero'!$O$5:$O$1000,$AH172),INDEX('Cronograma Asistente Técnico'!$O$5:$O$1000,$AH172))&amp;"",IF(ISNUMBER($G172),IF(AND(ISNUMBER($AN172),$G172&gt;$AN172),"Cumplida con "&amp;($G172-$AN172)&amp;IF($G172-$AN172=1," día"," días")&amp;" de retraso","Cumplida"),IF(N($M172)&gt;=1,"Cumplida",IF(NOT(ISNUMBER($AN172)),"Sin fecha límite",IF($AN172&lt;FechaRef,"Vencida hace "&amp;(FechaRef-$AN172)&amp;IF(FechaRef-$AN172=1," día"," días"),IF($AN172=FechaRef,"Vence hoy",IF($AN172-FechaRef&lt;=DiasAlerta,"Vence en "&amp;($AN172-FechaRef)&amp;IF($AN172-FechaRef=1," día"," días"),"En plazo"))))))))</f>
        <v/>
      </c>
      <c r="P172" s="62">
        <f>IF(NOT((COUNTA($B172:$D172)+COUNTA($G172:$L172)+COUNTA($Q172))&gt;0),"",IF($D172="","Propia",IF($V172&lt;&gt;"Macro","Solo se delegan macroactividades",IF(N($AH172)&gt;0,"✔ Recibida por "&amp;$D172,"⚠ "&amp;$D172&amp;" aún no la agrega"))))</f>
        <v/>
      </c>
      <c r="Q172" s="58" t="n"/>
      <c r="R172" s="63">
        <f>IF(NOT((COUNTA($B172:$D172)+COUNTA($G172:$L172)+COUNTA($Q172))&gt;0),"",IF((IF($C172="","Falta el nombre de la actividad"&amp;" · ","")&amp;IF(AND($V172="Sub",N($U172)=0),"Subactividad sin macroactividad arriba"&amp;" · ","")&amp;IF($AM172="","Sin fecha de inicio"&amp;" · ","")&amp;IF($AN172="","Sin fecha límite"&amp;" · ","")&amp;IF(AND(LEFT($C172,11)="[Jefatura] ",N($AL172)=0),"No se encuentra en la hoja de la jefatura (elíjala de nuevo en la lista)"&amp;" · ","")&amp;IF(OR(AND($E172&lt;&gt;"",NOT(ISNUMBER($E172))),AND($F172&lt;&gt;"",NOT(ISNUMBER($F172))),AND($G172&lt;&gt;"",NOT(ISNUMBER($G172)))),"Fecha no válida"&amp;" · ","")&amp;IF(AND(ISNUMBER($AM172),ISNUMBER($AN172),$AM172&gt;$AN172),"Inicio posterior a fecha límite"&amp;" · ","")&amp;IF(AND($V172="Macro",$H172&lt;&gt;"",OR(NOT(ISNUMBER($H172)),$H172&lt;0,$H172&gt;1)),"Peso fuera de rango"&amp;" · ","")&amp;IF(AND($V172="Sub",$H172&lt;&gt;""),"Las subactividades no llevan peso (valen igual dentro de su macroactividad)"&amp;" · ","")&amp;IF(AND(N($W172)&gt;0,COUNT($I172:$L172)&gt;0),"Con subactividades: deje vacías las semanas (se calculan solas)"&amp;" · ","")&amp;IF((COUNTIF($I172:$L172,"&gt;1")+COUNTIF($I172:$L172,"&lt;0")+COUNTA($I172:$L172)-COUNT($I172:$L172))&gt;0,"Avance fuera de rango 0-100%"&amp;" · ","")&amp;IF(OR(AND($J172&lt;&gt;"",$J172&lt;$I172),AND($K172&lt;&gt;"",$K172&lt;MAX($I172:$J172)),AND($L172&lt;&gt;"",$L172&lt;MAX($I172:$K172))),"Avance semanal decreciente"&amp;" · ","")&amp;IF(AND(ISNUMBER($AN172),$AN172&lt;FechaRef,IF($V172="Sub",N($X172),N($M172))&lt;1),"Vencida"&amp;" · ","")&amp;IF(AND(ObsObligatoria="Sí",ISNUMBER($AN172),$AN172&lt;FechaRef,IF($V172="Sub",N($X172),N($M172))&lt;1,$Q172=""),"Vencida sin observación"&amp;" · ",""))="","✔ OK","⚠ "&amp;LEFT(IF($C172="","Falta el nombre de la actividad"&amp;" · ","")&amp;IF(AND($V172="Sub",N($U172)=0),"Subactividad sin macroactividad arriba"&amp;" · ","")&amp;IF($AM172="","Sin fecha de inicio"&amp;" · ","")&amp;IF($AN172="","Sin fecha límite"&amp;" · ","")&amp;IF(AND(LEFT($C172,11)="[Jefatura] ",N($AL172)=0),"No se encuentra en la hoja de la jefatura (elíjala de nuevo en la lista)"&amp;" · ","")&amp;IF(OR(AND($E172&lt;&gt;"",NOT(ISNUMBER($E172))),AND($F172&lt;&gt;"",NOT(ISNUMBER($F172))),AND($G172&lt;&gt;"",NOT(ISNUMBER($G172)))),"Fecha no válida"&amp;" · ","")&amp;IF(AND(ISNUMBER($AM172),ISNUMBER($AN172),$AM172&gt;$AN172),"Inicio posterior a fecha límite"&amp;" · ","")&amp;IF(AND($V172="Macro",$H172&lt;&gt;"",OR(NOT(ISNUMBER($H172)),$H172&lt;0,$H172&gt;1)),"Peso fuera de rango"&amp;" · ","")&amp;IF(AND($V172="Sub",$H172&lt;&gt;""),"Las subactividades no llevan peso (valen igual dentro de su macroactividad)"&amp;" · ","")&amp;IF(AND(N($W172)&gt;0,COUNT($I172:$L172)&gt;0),"Con subactividades: deje vacías las semanas (se calculan solas)"&amp;" · ","")&amp;IF((COUNTIF($I172:$L172,"&gt;1")+COUNTIF($I172:$L172,"&lt;0")+COUNTA($I172:$L172)-COUNT($I172:$L172))&gt;0,"Avance fuera de rango 0-100%"&amp;" · ","")&amp;IF(OR(AND($J172&lt;&gt;"",$J172&lt;$I172),AND($K172&lt;&gt;"",$K172&lt;MAX($I172:$J172)),AND($L172&lt;&gt;"",$L172&lt;MAX($I172:$K172))),"Avance semanal decreciente"&amp;" · ","")&amp;IF(AND(ISNUMBER($AN172),$AN172&lt;FechaRef,IF($V172="Sub",N($X172),N($M172))&lt;1),"Vencida"&amp;" · ","")&amp;IF(AND(ObsObligatoria="Sí",ISNUMBER($AN172),$AN172&lt;FechaRef,IF($V172="Sub",N($X172),N($M172))&lt;1,$Q172=""),"Vencida sin observación"&amp;" · ",""),LEN(IF($C172="","Falta el nombre de la actividad"&amp;" · ","")&amp;IF(AND($V172="Sub",N($U172)=0),"Subactividad sin macroactividad arriba"&amp;" · ","")&amp;IF($AM172="","Sin fecha de inicio"&amp;" · ","")&amp;IF($AN172="","Sin fecha límite"&amp;" · ","")&amp;IF(AND(LEFT($C172,11)="[Jefatura] ",N($AL172)=0),"No se encuentra en la hoja de la jefatura (elíjala de nuevo en la lista)"&amp;" · ","")&amp;IF(OR(AND($E172&lt;&gt;"",NOT(ISNUMBER($E172))),AND($F172&lt;&gt;"",NOT(ISNUMBER($F172))),AND($G172&lt;&gt;"",NOT(ISNUMBER($G172)))),"Fecha no válida"&amp;" · ","")&amp;IF(AND(ISNUMBER($AM172),ISNUMBER($AN172),$AM172&gt;$AN172),"Inicio posterior a fecha límite"&amp;" · ","")&amp;IF(AND($V172="Macro",$H172&lt;&gt;"",OR(NOT(ISNUMBER($H172)),$H172&lt;0,$H172&gt;1)),"Peso fuera de rango"&amp;" · ","")&amp;IF(AND($V172="Sub",$H172&lt;&gt;""),"Las subactividades no llevan peso (valen igual dentro de su macroactividad)"&amp;" · ","")&amp;IF(AND(N($W172)&gt;0,COUNT($I172:$L172)&gt;0),"Con subactividades: deje vacías las semanas (se calculan solas)"&amp;" · ","")&amp;IF((COUNTIF($I172:$L172,"&gt;1")+COUNTIF($I172:$L172,"&lt;0")+COUNTA($I172:$L172)-COUNT($I172:$L172))&gt;0,"Avance fuera de rango 0-100%"&amp;" · ","")&amp;IF(OR(AND($J172&lt;&gt;"",$J172&lt;$I172),AND($K172&lt;&gt;"",$K172&lt;MAX($I172:$J172)),AND($L172&lt;&gt;"",$L172&lt;MAX($I172:$K172))),"Avance semanal decreciente"&amp;" · ","")&amp;IF(AND(ISNUMBER($AN172),$AN172&lt;FechaRef,IF($V172="Sub",N($X172),N($M172))&lt;1),"Vencida"&amp;" · ","")&amp;IF(AND(ObsObligatoria="Sí",ISNUMBER($AN172),$AN172&lt;FechaRef,IF($V172="Sub",N($X172),N($M172))&lt;1,$Q172=""),"Vencida sin observación"&amp;" · ",""))-3)))</f>
        <v/>
      </c>
      <c r="S172" s="64">
        <f>IF(NOT((COUNTA($B172:$D172)+COUNTA($G172:$L172)+COUNTA($Q172))&gt;0),"",IF(AND($V172="Sub",N($U172)&gt;0),IF(ISNUMBER(INDEX($AM$5:$AM$1000,$U172-4)),DATE(YEAR(INDEX($AM$5:$AM$1000,$U172-4)),MONTH(INDEX($AM$5:$AM$1000,$U172-4)),1),IF(ISNUMBER(INDEX($AN$5:$AN$1000,$U172-4)),DATE(YEAR(INDEX($AN$5:$AN$1000,$U172-4)),MONTH(INDEX($AN$5:$AN$1000,$U172-4)),1),MesCiclo)),IF(ISNUMBER($AM172),DATE(YEAR($AM172),MONTH($AM172),1),IF(ISNUMBER($AN172),DATE(YEAR($AN172),MONTH($AN172),1),MesCiclo))))</f>
        <v/>
      </c>
      <c r="T172" s="62">
        <f>IF(OR($S172="",$S172&lt;&gt;MesCiclo,$V172&lt;&gt;"Macro"),"",COUNTIFS($S$5:$S172,MesCiclo,$V$5:$V172,"Macro"))</f>
        <v/>
      </c>
      <c r="U172" s="62">
        <f>IF($V172="","",IF($V172="Macro",ROW(),IFERROR(LOOKUP(2,1/($V$5:$V172="Macro"),ROW($V$5:$V172)),0)))</f>
        <v/>
      </c>
      <c r="V172" s="62">
        <f>IF(NOT((COUNTA($B172:$D172)+COUNTA($G172:$L172)+COUNTA($Q172))&gt;0),"",IF($B172="Subactividad","Sub","Macro"))</f>
        <v/>
      </c>
      <c r="W172" s="62">
        <f>IF($V172="Macro",COUNTIFS($U$5:$U$1000,ROW(),$V$5:$V$1000,"Sub"),"")</f>
        <v/>
      </c>
      <c r="X172" s="62">
        <f>IF($V172="","",IF(ISNUMBER($G172),1,IFERROR(LOOKUP(2,1/($I172:$L172&lt;&gt;""),$I172:$L172),0)))</f>
        <v/>
      </c>
      <c r="Y172" s="62">
        <f>IF($V172="","",IF(AND(ISNUMBER($G172),$G172&lt;=IF($S172=MesCiclo,InicioCiclo,$S172+MOD(2-WEEKDAY($S172),7))+6),1,IF(ISNUMBER($I172),$I172,0)))</f>
        <v/>
      </c>
      <c r="Z172" s="62">
        <f>IF($V172="","",IF(AND(ISNUMBER($G172),$G172&lt;=IF($S172=MesCiclo,InicioCiclo,$S172+MOD(2-WEEKDAY($S172),7))+13),1,IF(ISNUMBER($J172),$J172,$Y172)))</f>
        <v/>
      </c>
      <c r="AA172" s="62">
        <f>IF($V172="","",IF(AND(ISNUMBER($G172),$G172&lt;=IF($S172=MesCiclo,InicioCiclo,$S172+MOD(2-WEEKDAY($S172),7))+20),1,IF(ISNUMBER($K172),$K172,$Z172)))</f>
        <v/>
      </c>
      <c r="AB172" s="62">
        <f>IF($V172="","",IF(AND(ISNUMBER($G172),$G172&lt;=IF($S172=MesCiclo,InicioCiclo,$S172+MOD(2-WEEKDAY($S172),7))+27),1,IF(ISNUMBER($L172),$L172,$AA172)))</f>
        <v/>
      </c>
      <c r="AC172" s="62">
        <f>IF($V172="","",IF(AND(ISNUMBER($G172),$G172&lt;=IF($S172=MesCiclo,InicioCiclo,$S172+MOD(2-WEEKDAY($S172),7))+6),1,IF(N($W172)&gt;0,AVERAGEIFS($Y$5:$Y$1000,$U$5:$U$1000,ROW(),$V$5:$V$1000,"Sub"),$Y172)))</f>
        <v/>
      </c>
      <c r="AD172" s="62">
        <f>IF($V172="","",IF(AND(ISNUMBER($G172),$G172&lt;=IF($S172=MesCiclo,InicioCiclo,$S172+MOD(2-WEEKDAY($S172),7))+13),1,IF(N($W172)&gt;0,AVERAGEIFS($Z$5:$Z$1000,$U$5:$U$1000,ROW(),$V$5:$V$1000,"Sub"),$Z172)))</f>
        <v/>
      </c>
      <c r="AE172" s="62">
        <f>IF($V172="","",IF(AND(ISNUMBER($G172),$G172&lt;=IF($S172=MesCiclo,InicioCiclo,$S172+MOD(2-WEEKDAY($S172),7))+20),1,IF(N($W172)&gt;0,AVERAGEIFS($AA$5:$AA$1000,$U$5:$U$1000,ROW(),$V$5:$V$1000,"Sub"),$AA172)))</f>
        <v/>
      </c>
      <c r="AF172" s="62">
        <f>IF($V172="","",IF(AND(ISNUMBER($G172),$G172&lt;=IF($S172=MesCiclo,InicioCiclo,$S172+MOD(2-WEEKDAY($S172),7))+27),1,IF(N($W172)&gt;0,AVERAGEIFS($AB$5:$AB$1000,$U$5:$U$1000,ROW(),$V$5:$V$1000,"Sub"),$AB172)))</f>
        <v/>
      </c>
      <c r="AG172" s="62">
        <f>IF($V172&lt;&gt;"Macro","",IF(COUNTIFS($S$5:$S$1000,$S172,$V$5:$V$1000,"Macro",$H$5:$H$1000,"&gt;0")=0,1/COUNTIFS($S$5:$S$1000,$S172,$V$5:$V$1000,"Macro"),IF(AND(ISNUMBER($H172),N($H172)&gt;0),$H172,SUMIFS($H$5:$H$1000,$S$5:$S$1000,$S172,$V$5:$V$1000,"Macro")/COUNTIFS($S$5:$S$1000,$S172,$V$5:$V$1000,"Macro",$H$5:$H$1000,"&gt;0"))/(COUNTIFS($S$5:$S$1000,$S172,$V$5:$V$1000,"Macro")*SUMIFS($H$5:$H$1000,$S$5:$S$1000,$S172,$V$5:$V$1000,"Macro")/COUNTIFS($S$5:$S$1000,$S172,$V$5:$V$1000,"Macro",$H$5:$H$1000,"&gt;0"))))</f>
        <v/>
      </c>
      <c r="AH172" s="62">
        <f>IF(NOT(AND($D172&lt;&gt;"",$V172="Macro")),"",IFERROR(CHOOSE(MATCH($D172,ListaPuestos,0),MATCH("[Jefatura] "&amp;$C172,'Cronograma R. Operacional'!$C$5:$C$1000,0),MATCH("[Jefatura] "&amp;$C172,'Cronograma R. Normativo'!$C$5:$C$1000,0),MATCH("[Jefatura] "&amp;$C172,'Cronograma R. Financiero'!$C$5:$C$1000,0),MATCH("[Jefatura] "&amp;$C172,'Cronograma Asistente Técnico'!$C$5:$C$1000,0)),0))</f>
        <v/>
      </c>
      <c r="AI172" s="62">
        <f>IF(AND(AND($D172&lt;&gt;"",$V172="Macro"),$S172=MesCiclo),COUNTIFS($D$5:$D172,$D172,$S$5:$S172,MesCiclo,$V$5:$V172,"Macro"),"")</f>
        <v/>
      </c>
      <c r="AJ172" s="62">
        <f>IF($AI172="","",$D172&amp;"|"&amp;$AI172)</f>
        <v/>
      </c>
      <c r="AK172" s="62">
        <f>IF(AND($D172&lt;&gt;"",$V172="Macro"),$D172&amp;"|"&amp;$C172,"")</f>
        <v/>
      </c>
      <c r="AL172" s="62">
        <f>""</f>
        <v/>
      </c>
      <c r="AM172" s="62">
        <f>IF(N($AL172)&gt;0,INDEX(rIni_ADM,$AL172),IF(ISNUMBER($E172),$E172,""))</f>
        <v/>
      </c>
      <c r="AN172" s="62">
        <f>IF(N($AL172)&gt;0,INDEX(rLim_ADM,$AL172),IF(ISNUMBER($F172),$F172,""))</f>
        <v/>
      </c>
    </row>
    <row r="173">
      <c r="A173" s="56">
        <f>IF(NOT((COUNTA($B173:$D173)+COUNTA($G173:$L173)+COUNTA($Q173))&gt;0),"",IF($V173="Macro",COUNTIFS($V$5:$V173,"Macro",$S$5:$S173,$S173),IF(N($U173)=0,"?",COUNTIFS(INDEX($V$5:$V$1000,1):INDEX($V$5:$V$1000,$U173-4),"Macro",INDEX($S$5:$S$1000,1):INDEX($S$5:$S$1000,$U173-4),INDEX($S$5:$S$1000,$U173-4))&amp;"."&amp;COUNTIFS($U$5:$U173,$U173,$V$5:$V173,"Sub"))))</f>
        <v/>
      </c>
      <c r="B173" s="57" t="n"/>
      <c r="C173" s="58" t="n"/>
      <c r="D173" s="58" t="n"/>
      <c r="E173" s="59" t="n"/>
      <c r="F173" s="59" t="n"/>
      <c r="G173" s="59" t="n"/>
      <c r="H173" s="60" t="n"/>
      <c r="I173" s="60" t="n"/>
      <c r="J173" s="60" t="n"/>
      <c r="K173" s="60" t="n"/>
      <c r="L173" s="60" t="n"/>
      <c r="M173" s="61">
        <f>IF(NOT((COUNTA($B173:$D173)+COUNTA($G173:$L173)+COUNTA($Q173))&gt;0),"",IF(AND($D173&lt;&gt;"",$V173="Macro"),IF(N($AH173)&gt;0,N(CHOOSE(MATCH($D173,ListaPuestos,0),INDEX('Cronograma R. Operacional'!$M$5:$M$1000,$AH173),INDEX('Cronograma R. Normativo'!$M$5:$M$1000,$AH173),INDEX('Cronograma R. Financiero'!$M$5:$M$1000,$AH173),INDEX('Cronograma Asistente Técnico'!$M$5:$M$1000,$AH173))),0),IF(ISNUMBER($G173),1,IF(N($W173)&gt;0,AVERAGEIFS($X$5:$X$1000,$U$5:$U$1000,ROW(),$V$5:$V$1000,"Sub"),$X173))))</f>
        <v/>
      </c>
      <c r="N173" s="56">
        <f>IF(OR($M173="",$V173="Sub"),"",IF($M173&gt;=1,"Completado",IF($M173&gt;0,"En curso","Pendiente")))</f>
        <v/>
      </c>
      <c r="O173" s="56">
        <f>IF(NOT((COUNTA($B173:$D173)+COUNTA($G173:$L173)+COUNTA($Q173))&gt;0),"",IF(AND(AND($D173&lt;&gt;"",$V173="Macro"),N($AH173)&gt;0),CHOOSE(MATCH($D173,ListaPuestos,0),INDEX('Cronograma R. Operacional'!$O$5:$O$1000,$AH173),INDEX('Cronograma R. Normativo'!$O$5:$O$1000,$AH173),INDEX('Cronograma R. Financiero'!$O$5:$O$1000,$AH173),INDEX('Cronograma Asistente Técnico'!$O$5:$O$1000,$AH173))&amp;"",IF(ISNUMBER($G173),IF(AND(ISNUMBER($AN173),$G173&gt;$AN173),"Cumplida con "&amp;($G173-$AN173)&amp;IF($G173-$AN173=1," día"," días")&amp;" de retraso","Cumplida"),IF(N($M173)&gt;=1,"Cumplida",IF(NOT(ISNUMBER($AN173)),"Sin fecha límite",IF($AN173&lt;FechaRef,"Vencida hace "&amp;(FechaRef-$AN173)&amp;IF(FechaRef-$AN173=1," día"," días"),IF($AN173=FechaRef,"Vence hoy",IF($AN173-FechaRef&lt;=DiasAlerta,"Vence en "&amp;($AN173-FechaRef)&amp;IF($AN173-FechaRef=1," día"," días"),"En plazo"))))))))</f>
        <v/>
      </c>
      <c r="P173" s="62">
        <f>IF(NOT((COUNTA($B173:$D173)+COUNTA($G173:$L173)+COUNTA($Q173))&gt;0),"",IF($D173="","Propia",IF($V173&lt;&gt;"Macro","Solo se delegan macroactividades",IF(N($AH173)&gt;0,"✔ Recibida por "&amp;$D173,"⚠ "&amp;$D173&amp;" aún no la agrega"))))</f>
        <v/>
      </c>
      <c r="Q173" s="58" t="n"/>
      <c r="R173" s="63">
        <f>IF(NOT((COUNTA($B173:$D173)+COUNTA($G173:$L173)+COUNTA($Q173))&gt;0),"",IF((IF($C173="","Falta el nombre de la actividad"&amp;" · ","")&amp;IF(AND($V173="Sub",N($U173)=0),"Subactividad sin macroactividad arriba"&amp;" · ","")&amp;IF($AM173="","Sin fecha de inicio"&amp;" · ","")&amp;IF($AN173="","Sin fecha límite"&amp;" · ","")&amp;IF(AND(LEFT($C173,11)="[Jefatura] ",N($AL173)=0),"No se encuentra en la hoja de la jefatura (elíjala de nuevo en la lista)"&amp;" · ","")&amp;IF(OR(AND($E173&lt;&gt;"",NOT(ISNUMBER($E173))),AND($F173&lt;&gt;"",NOT(ISNUMBER($F173))),AND($G173&lt;&gt;"",NOT(ISNUMBER($G173)))),"Fecha no válida"&amp;" · ","")&amp;IF(AND(ISNUMBER($AM173),ISNUMBER($AN173),$AM173&gt;$AN173),"Inicio posterior a fecha límite"&amp;" · ","")&amp;IF(AND($V173="Macro",$H173&lt;&gt;"",OR(NOT(ISNUMBER($H173)),$H173&lt;0,$H173&gt;1)),"Peso fuera de rango"&amp;" · ","")&amp;IF(AND($V173="Sub",$H173&lt;&gt;""),"Las subactividades no llevan peso (valen igual dentro de su macroactividad)"&amp;" · ","")&amp;IF(AND(N($W173)&gt;0,COUNT($I173:$L173)&gt;0),"Con subactividades: deje vacías las semanas (se calculan solas)"&amp;" · ","")&amp;IF((COUNTIF($I173:$L173,"&gt;1")+COUNTIF($I173:$L173,"&lt;0")+COUNTA($I173:$L173)-COUNT($I173:$L173))&gt;0,"Avance fuera de rango 0-100%"&amp;" · ","")&amp;IF(OR(AND($J173&lt;&gt;"",$J173&lt;$I173),AND($K173&lt;&gt;"",$K173&lt;MAX($I173:$J173)),AND($L173&lt;&gt;"",$L173&lt;MAX($I173:$K173))),"Avance semanal decreciente"&amp;" · ","")&amp;IF(AND(ISNUMBER($AN173),$AN173&lt;FechaRef,IF($V173="Sub",N($X173),N($M173))&lt;1),"Vencida"&amp;" · ","")&amp;IF(AND(ObsObligatoria="Sí",ISNUMBER($AN173),$AN173&lt;FechaRef,IF($V173="Sub",N($X173),N($M173))&lt;1,$Q173=""),"Vencida sin observación"&amp;" · ",""))="","✔ OK","⚠ "&amp;LEFT(IF($C173="","Falta el nombre de la actividad"&amp;" · ","")&amp;IF(AND($V173="Sub",N($U173)=0),"Subactividad sin macroactividad arriba"&amp;" · ","")&amp;IF($AM173="","Sin fecha de inicio"&amp;" · ","")&amp;IF($AN173="","Sin fecha límite"&amp;" · ","")&amp;IF(AND(LEFT($C173,11)="[Jefatura] ",N($AL173)=0),"No se encuentra en la hoja de la jefatura (elíjala de nuevo en la lista)"&amp;" · ","")&amp;IF(OR(AND($E173&lt;&gt;"",NOT(ISNUMBER($E173))),AND($F173&lt;&gt;"",NOT(ISNUMBER($F173))),AND($G173&lt;&gt;"",NOT(ISNUMBER($G173)))),"Fecha no válida"&amp;" · ","")&amp;IF(AND(ISNUMBER($AM173),ISNUMBER($AN173),$AM173&gt;$AN173),"Inicio posterior a fecha límite"&amp;" · ","")&amp;IF(AND($V173="Macro",$H173&lt;&gt;"",OR(NOT(ISNUMBER($H173)),$H173&lt;0,$H173&gt;1)),"Peso fuera de rango"&amp;" · ","")&amp;IF(AND($V173="Sub",$H173&lt;&gt;""),"Las subactividades no llevan peso (valen igual dentro de su macroactividad)"&amp;" · ","")&amp;IF(AND(N($W173)&gt;0,COUNT($I173:$L173)&gt;0),"Con subactividades: deje vacías las semanas (se calculan solas)"&amp;" · ","")&amp;IF((COUNTIF($I173:$L173,"&gt;1")+COUNTIF($I173:$L173,"&lt;0")+COUNTA($I173:$L173)-COUNT($I173:$L173))&gt;0,"Avance fuera de rango 0-100%"&amp;" · ","")&amp;IF(OR(AND($J173&lt;&gt;"",$J173&lt;$I173),AND($K173&lt;&gt;"",$K173&lt;MAX($I173:$J173)),AND($L173&lt;&gt;"",$L173&lt;MAX($I173:$K173))),"Avance semanal decreciente"&amp;" · ","")&amp;IF(AND(ISNUMBER($AN173),$AN173&lt;FechaRef,IF($V173="Sub",N($X173),N($M173))&lt;1),"Vencida"&amp;" · ","")&amp;IF(AND(ObsObligatoria="Sí",ISNUMBER($AN173),$AN173&lt;FechaRef,IF($V173="Sub",N($X173),N($M173))&lt;1,$Q173=""),"Vencida sin observación"&amp;" · ",""),LEN(IF($C173="","Falta el nombre de la actividad"&amp;" · ","")&amp;IF(AND($V173="Sub",N($U173)=0),"Subactividad sin macroactividad arriba"&amp;" · ","")&amp;IF($AM173="","Sin fecha de inicio"&amp;" · ","")&amp;IF($AN173="","Sin fecha límite"&amp;" · ","")&amp;IF(AND(LEFT($C173,11)="[Jefatura] ",N($AL173)=0),"No se encuentra en la hoja de la jefatura (elíjala de nuevo en la lista)"&amp;" · ","")&amp;IF(OR(AND($E173&lt;&gt;"",NOT(ISNUMBER($E173))),AND($F173&lt;&gt;"",NOT(ISNUMBER($F173))),AND($G173&lt;&gt;"",NOT(ISNUMBER($G173)))),"Fecha no válida"&amp;" · ","")&amp;IF(AND(ISNUMBER($AM173),ISNUMBER($AN173),$AM173&gt;$AN173),"Inicio posterior a fecha límite"&amp;" · ","")&amp;IF(AND($V173="Macro",$H173&lt;&gt;"",OR(NOT(ISNUMBER($H173)),$H173&lt;0,$H173&gt;1)),"Peso fuera de rango"&amp;" · ","")&amp;IF(AND($V173="Sub",$H173&lt;&gt;""),"Las subactividades no llevan peso (valen igual dentro de su macroactividad)"&amp;" · ","")&amp;IF(AND(N($W173)&gt;0,COUNT($I173:$L173)&gt;0),"Con subactividades: deje vacías las semanas (se calculan solas)"&amp;" · ","")&amp;IF((COUNTIF($I173:$L173,"&gt;1")+COUNTIF($I173:$L173,"&lt;0")+COUNTA($I173:$L173)-COUNT($I173:$L173))&gt;0,"Avance fuera de rango 0-100%"&amp;" · ","")&amp;IF(OR(AND($J173&lt;&gt;"",$J173&lt;$I173),AND($K173&lt;&gt;"",$K173&lt;MAX($I173:$J173)),AND($L173&lt;&gt;"",$L173&lt;MAX($I173:$K173))),"Avance semanal decreciente"&amp;" · ","")&amp;IF(AND(ISNUMBER($AN173),$AN173&lt;FechaRef,IF($V173="Sub",N($X173),N($M173))&lt;1),"Vencida"&amp;" · ","")&amp;IF(AND(ObsObligatoria="Sí",ISNUMBER($AN173),$AN173&lt;FechaRef,IF($V173="Sub",N($X173),N($M173))&lt;1,$Q173=""),"Vencida sin observación"&amp;" · ",""))-3)))</f>
        <v/>
      </c>
      <c r="S173" s="64">
        <f>IF(NOT((COUNTA($B173:$D173)+COUNTA($G173:$L173)+COUNTA($Q173))&gt;0),"",IF(AND($V173="Sub",N($U173)&gt;0),IF(ISNUMBER(INDEX($AM$5:$AM$1000,$U173-4)),DATE(YEAR(INDEX($AM$5:$AM$1000,$U173-4)),MONTH(INDEX($AM$5:$AM$1000,$U173-4)),1),IF(ISNUMBER(INDEX($AN$5:$AN$1000,$U173-4)),DATE(YEAR(INDEX($AN$5:$AN$1000,$U173-4)),MONTH(INDEX($AN$5:$AN$1000,$U173-4)),1),MesCiclo)),IF(ISNUMBER($AM173),DATE(YEAR($AM173),MONTH($AM173),1),IF(ISNUMBER($AN173),DATE(YEAR($AN173),MONTH($AN173),1),MesCiclo))))</f>
        <v/>
      </c>
      <c r="T173" s="62">
        <f>IF(OR($S173="",$S173&lt;&gt;MesCiclo,$V173&lt;&gt;"Macro"),"",COUNTIFS($S$5:$S173,MesCiclo,$V$5:$V173,"Macro"))</f>
        <v/>
      </c>
      <c r="U173" s="62">
        <f>IF($V173="","",IF($V173="Macro",ROW(),IFERROR(LOOKUP(2,1/($V$5:$V173="Macro"),ROW($V$5:$V173)),0)))</f>
        <v/>
      </c>
      <c r="V173" s="62">
        <f>IF(NOT((COUNTA($B173:$D173)+COUNTA($G173:$L173)+COUNTA($Q173))&gt;0),"",IF($B173="Subactividad","Sub","Macro"))</f>
        <v/>
      </c>
      <c r="W173" s="62">
        <f>IF($V173="Macro",COUNTIFS($U$5:$U$1000,ROW(),$V$5:$V$1000,"Sub"),"")</f>
        <v/>
      </c>
      <c r="X173" s="62">
        <f>IF($V173="","",IF(ISNUMBER($G173),1,IFERROR(LOOKUP(2,1/($I173:$L173&lt;&gt;""),$I173:$L173),0)))</f>
        <v/>
      </c>
      <c r="Y173" s="62">
        <f>IF($V173="","",IF(AND(ISNUMBER($G173),$G173&lt;=IF($S173=MesCiclo,InicioCiclo,$S173+MOD(2-WEEKDAY($S173),7))+6),1,IF(ISNUMBER($I173),$I173,0)))</f>
        <v/>
      </c>
      <c r="Z173" s="62">
        <f>IF($V173="","",IF(AND(ISNUMBER($G173),$G173&lt;=IF($S173=MesCiclo,InicioCiclo,$S173+MOD(2-WEEKDAY($S173),7))+13),1,IF(ISNUMBER($J173),$J173,$Y173)))</f>
        <v/>
      </c>
      <c r="AA173" s="62">
        <f>IF($V173="","",IF(AND(ISNUMBER($G173),$G173&lt;=IF($S173=MesCiclo,InicioCiclo,$S173+MOD(2-WEEKDAY($S173),7))+20),1,IF(ISNUMBER($K173),$K173,$Z173)))</f>
        <v/>
      </c>
      <c r="AB173" s="62">
        <f>IF($V173="","",IF(AND(ISNUMBER($G173),$G173&lt;=IF($S173=MesCiclo,InicioCiclo,$S173+MOD(2-WEEKDAY($S173),7))+27),1,IF(ISNUMBER($L173),$L173,$AA173)))</f>
        <v/>
      </c>
      <c r="AC173" s="62">
        <f>IF($V173="","",IF(AND(ISNUMBER($G173),$G173&lt;=IF($S173=MesCiclo,InicioCiclo,$S173+MOD(2-WEEKDAY($S173),7))+6),1,IF(N($W173)&gt;0,AVERAGEIFS($Y$5:$Y$1000,$U$5:$U$1000,ROW(),$V$5:$V$1000,"Sub"),$Y173)))</f>
        <v/>
      </c>
      <c r="AD173" s="62">
        <f>IF($V173="","",IF(AND(ISNUMBER($G173),$G173&lt;=IF($S173=MesCiclo,InicioCiclo,$S173+MOD(2-WEEKDAY($S173),7))+13),1,IF(N($W173)&gt;0,AVERAGEIFS($Z$5:$Z$1000,$U$5:$U$1000,ROW(),$V$5:$V$1000,"Sub"),$Z173)))</f>
        <v/>
      </c>
      <c r="AE173" s="62">
        <f>IF($V173="","",IF(AND(ISNUMBER($G173),$G173&lt;=IF($S173=MesCiclo,InicioCiclo,$S173+MOD(2-WEEKDAY($S173),7))+20),1,IF(N($W173)&gt;0,AVERAGEIFS($AA$5:$AA$1000,$U$5:$U$1000,ROW(),$V$5:$V$1000,"Sub"),$AA173)))</f>
        <v/>
      </c>
      <c r="AF173" s="62">
        <f>IF($V173="","",IF(AND(ISNUMBER($G173),$G173&lt;=IF($S173=MesCiclo,InicioCiclo,$S173+MOD(2-WEEKDAY($S173),7))+27),1,IF(N($W173)&gt;0,AVERAGEIFS($AB$5:$AB$1000,$U$5:$U$1000,ROW(),$V$5:$V$1000,"Sub"),$AB173)))</f>
        <v/>
      </c>
      <c r="AG173" s="62">
        <f>IF($V173&lt;&gt;"Macro","",IF(COUNTIFS($S$5:$S$1000,$S173,$V$5:$V$1000,"Macro",$H$5:$H$1000,"&gt;0")=0,1/COUNTIFS($S$5:$S$1000,$S173,$V$5:$V$1000,"Macro"),IF(AND(ISNUMBER($H173),N($H173)&gt;0),$H173,SUMIFS($H$5:$H$1000,$S$5:$S$1000,$S173,$V$5:$V$1000,"Macro")/COUNTIFS($S$5:$S$1000,$S173,$V$5:$V$1000,"Macro",$H$5:$H$1000,"&gt;0"))/(COUNTIFS($S$5:$S$1000,$S173,$V$5:$V$1000,"Macro")*SUMIFS($H$5:$H$1000,$S$5:$S$1000,$S173,$V$5:$V$1000,"Macro")/COUNTIFS($S$5:$S$1000,$S173,$V$5:$V$1000,"Macro",$H$5:$H$1000,"&gt;0"))))</f>
        <v/>
      </c>
      <c r="AH173" s="62">
        <f>IF(NOT(AND($D173&lt;&gt;"",$V173="Macro")),"",IFERROR(CHOOSE(MATCH($D173,ListaPuestos,0),MATCH("[Jefatura] "&amp;$C173,'Cronograma R. Operacional'!$C$5:$C$1000,0),MATCH("[Jefatura] "&amp;$C173,'Cronograma R. Normativo'!$C$5:$C$1000,0),MATCH("[Jefatura] "&amp;$C173,'Cronograma R. Financiero'!$C$5:$C$1000,0),MATCH("[Jefatura] "&amp;$C173,'Cronograma Asistente Técnico'!$C$5:$C$1000,0)),0))</f>
        <v/>
      </c>
      <c r="AI173" s="62">
        <f>IF(AND(AND($D173&lt;&gt;"",$V173="Macro"),$S173=MesCiclo),COUNTIFS($D$5:$D173,$D173,$S$5:$S173,MesCiclo,$V$5:$V173,"Macro"),"")</f>
        <v/>
      </c>
      <c r="AJ173" s="62">
        <f>IF($AI173="","",$D173&amp;"|"&amp;$AI173)</f>
        <v/>
      </c>
      <c r="AK173" s="62">
        <f>IF(AND($D173&lt;&gt;"",$V173="Macro"),$D173&amp;"|"&amp;$C173,"")</f>
        <v/>
      </c>
      <c r="AL173" s="62">
        <f>""</f>
        <v/>
      </c>
      <c r="AM173" s="62">
        <f>IF(N($AL173)&gt;0,INDEX(rIni_ADM,$AL173),IF(ISNUMBER($E173),$E173,""))</f>
        <v/>
      </c>
      <c r="AN173" s="62">
        <f>IF(N($AL173)&gt;0,INDEX(rLim_ADM,$AL173),IF(ISNUMBER($F173),$F173,""))</f>
        <v/>
      </c>
    </row>
    <row r="174">
      <c r="A174" s="56">
        <f>IF(NOT((COUNTA($B174:$D174)+COUNTA($G174:$L174)+COUNTA($Q174))&gt;0),"",IF($V174="Macro",COUNTIFS($V$5:$V174,"Macro",$S$5:$S174,$S174),IF(N($U174)=0,"?",COUNTIFS(INDEX($V$5:$V$1000,1):INDEX($V$5:$V$1000,$U174-4),"Macro",INDEX($S$5:$S$1000,1):INDEX($S$5:$S$1000,$U174-4),INDEX($S$5:$S$1000,$U174-4))&amp;"."&amp;COUNTIFS($U$5:$U174,$U174,$V$5:$V174,"Sub"))))</f>
        <v/>
      </c>
      <c r="B174" s="57" t="n"/>
      <c r="C174" s="58" t="n"/>
      <c r="D174" s="58" t="n"/>
      <c r="E174" s="59" t="n"/>
      <c r="F174" s="59" t="n"/>
      <c r="G174" s="59" t="n"/>
      <c r="H174" s="60" t="n"/>
      <c r="I174" s="60" t="n"/>
      <c r="J174" s="60" t="n"/>
      <c r="K174" s="60" t="n"/>
      <c r="L174" s="60" t="n"/>
      <c r="M174" s="61">
        <f>IF(NOT((COUNTA($B174:$D174)+COUNTA($G174:$L174)+COUNTA($Q174))&gt;0),"",IF(AND($D174&lt;&gt;"",$V174="Macro"),IF(N($AH174)&gt;0,N(CHOOSE(MATCH($D174,ListaPuestos,0),INDEX('Cronograma R. Operacional'!$M$5:$M$1000,$AH174),INDEX('Cronograma R. Normativo'!$M$5:$M$1000,$AH174),INDEX('Cronograma R. Financiero'!$M$5:$M$1000,$AH174),INDEX('Cronograma Asistente Técnico'!$M$5:$M$1000,$AH174))),0),IF(ISNUMBER($G174),1,IF(N($W174)&gt;0,AVERAGEIFS($X$5:$X$1000,$U$5:$U$1000,ROW(),$V$5:$V$1000,"Sub"),$X174))))</f>
        <v/>
      </c>
      <c r="N174" s="56">
        <f>IF(OR($M174="",$V174="Sub"),"",IF($M174&gt;=1,"Completado",IF($M174&gt;0,"En curso","Pendiente")))</f>
        <v/>
      </c>
      <c r="O174" s="56">
        <f>IF(NOT((COUNTA($B174:$D174)+COUNTA($G174:$L174)+COUNTA($Q174))&gt;0),"",IF(AND(AND($D174&lt;&gt;"",$V174="Macro"),N($AH174)&gt;0),CHOOSE(MATCH($D174,ListaPuestos,0),INDEX('Cronograma R. Operacional'!$O$5:$O$1000,$AH174),INDEX('Cronograma R. Normativo'!$O$5:$O$1000,$AH174),INDEX('Cronograma R. Financiero'!$O$5:$O$1000,$AH174),INDEX('Cronograma Asistente Técnico'!$O$5:$O$1000,$AH174))&amp;"",IF(ISNUMBER($G174),IF(AND(ISNUMBER($AN174),$G174&gt;$AN174),"Cumplida con "&amp;($G174-$AN174)&amp;IF($G174-$AN174=1," día"," días")&amp;" de retraso","Cumplida"),IF(N($M174)&gt;=1,"Cumplida",IF(NOT(ISNUMBER($AN174)),"Sin fecha límite",IF($AN174&lt;FechaRef,"Vencida hace "&amp;(FechaRef-$AN174)&amp;IF(FechaRef-$AN174=1," día"," días"),IF($AN174=FechaRef,"Vence hoy",IF($AN174-FechaRef&lt;=DiasAlerta,"Vence en "&amp;($AN174-FechaRef)&amp;IF($AN174-FechaRef=1," día"," días"),"En plazo"))))))))</f>
        <v/>
      </c>
      <c r="P174" s="62">
        <f>IF(NOT((COUNTA($B174:$D174)+COUNTA($G174:$L174)+COUNTA($Q174))&gt;0),"",IF($D174="","Propia",IF($V174&lt;&gt;"Macro","Solo se delegan macroactividades",IF(N($AH174)&gt;0,"✔ Recibida por "&amp;$D174,"⚠ "&amp;$D174&amp;" aún no la agrega"))))</f>
        <v/>
      </c>
      <c r="Q174" s="58" t="n"/>
      <c r="R174" s="63">
        <f>IF(NOT((COUNTA($B174:$D174)+COUNTA($G174:$L174)+COUNTA($Q174))&gt;0),"",IF((IF($C174="","Falta el nombre de la actividad"&amp;" · ","")&amp;IF(AND($V174="Sub",N($U174)=0),"Subactividad sin macroactividad arriba"&amp;" · ","")&amp;IF($AM174="","Sin fecha de inicio"&amp;" · ","")&amp;IF($AN174="","Sin fecha límite"&amp;" · ","")&amp;IF(AND(LEFT($C174,11)="[Jefatura] ",N($AL174)=0),"No se encuentra en la hoja de la jefatura (elíjala de nuevo en la lista)"&amp;" · ","")&amp;IF(OR(AND($E174&lt;&gt;"",NOT(ISNUMBER($E174))),AND($F174&lt;&gt;"",NOT(ISNUMBER($F174))),AND($G174&lt;&gt;"",NOT(ISNUMBER($G174)))),"Fecha no válida"&amp;" · ","")&amp;IF(AND(ISNUMBER($AM174),ISNUMBER($AN174),$AM174&gt;$AN174),"Inicio posterior a fecha límite"&amp;" · ","")&amp;IF(AND($V174="Macro",$H174&lt;&gt;"",OR(NOT(ISNUMBER($H174)),$H174&lt;0,$H174&gt;1)),"Peso fuera de rango"&amp;" · ","")&amp;IF(AND($V174="Sub",$H174&lt;&gt;""),"Las subactividades no llevan peso (valen igual dentro de su macroactividad)"&amp;" · ","")&amp;IF(AND(N($W174)&gt;0,COUNT($I174:$L174)&gt;0),"Con subactividades: deje vacías las semanas (se calculan solas)"&amp;" · ","")&amp;IF((COUNTIF($I174:$L174,"&gt;1")+COUNTIF($I174:$L174,"&lt;0")+COUNTA($I174:$L174)-COUNT($I174:$L174))&gt;0,"Avance fuera de rango 0-100%"&amp;" · ","")&amp;IF(OR(AND($J174&lt;&gt;"",$J174&lt;$I174),AND($K174&lt;&gt;"",$K174&lt;MAX($I174:$J174)),AND($L174&lt;&gt;"",$L174&lt;MAX($I174:$K174))),"Avance semanal decreciente"&amp;" · ","")&amp;IF(AND(ISNUMBER($AN174),$AN174&lt;FechaRef,IF($V174="Sub",N($X174),N($M174))&lt;1),"Vencida"&amp;" · ","")&amp;IF(AND(ObsObligatoria="Sí",ISNUMBER($AN174),$AN174&lt;FechaRef,IF($V174="Sub",N($X174),N($M174))&lt;1,$Q174=""),"Vencida sin observación"&amp;" · ",""))="","✔ OK","⚠ "&amp;LEFT(IF($C174="","Falta el nombre de la actividad"&amp;" · ","")&amp;IF(AND($V174="Sub",N($U174)=0),"Subactividad sin macroactividad arriba"&amp;" · ","")&amp;IF($AM174="","Sin fecha de inicio"&amp;" · ","")&amp;IF($AN174="","Sin fecha límite"&amp;" · ","")&amp;IF(AND(LEFT($C174,11)="[Jefatura] ",N($AL174)=0),"No se encuentra en la hoja de la jefatura (elíjala de nuevo en la lista)"&amp;" · ","")&amp;IF(OR(AND($E174&lt;&gt;"",NOT(ISNUMBER($E174))),AND($F174&lt;&gt;"",NOT(ISNUMBER($F174))),AND($G174&lt;&gt;"",NOT(ISNUMBER($G174)))),"Fecha no válida"&amp;" · ","")&amp;IF(AND(ISNUMBER($AM174),ISNUMBER($AN174),$AM174&gt;$AN174),"Inicio posterior a fecha límite"&amp;" · ","")&amp;IF(AND($V174="Macro",$H174&lt;&gt;"",OR(NOT(ISNUMBER($H174)),$H174&lt;0,$H174&gt;1)),"Peso fuera de rango"&amp;" · ","")&amp;IF(AND($V174="Sub",$H174&lt;&gt;""),"Las subactividades no llevan peso (valen igual dentro de su macroactividad)"&amp;" · ","")&amp;IF(AND(N($W174)&gt;0,COUNT($I174:$L174)&gt;0),"Con subactividades: deje vacías las semanas (se calculan solas)"&amp;" · ","")&amp;IF((COUNTIF($I174:$L174,"&gt;1")+COUNTIF($I174:$L174,"&lt;0")+COUNTA($I174:$L174)-COUNT($I174:$L174))&gt;0,"Avance fuera de rango 0-100%"&amp;" · ","")&amp;IF(OR(AND($J174&lt;&gt;"",$J174&lt;$I174),AND($K174&lt;&gt;"",$K174&lt;MAX($I174:$J174)),AND($L174&lt;&gt;"",$L174&lt;MAX($I174:$K174))),"Avance semanal decreciente"&amp;" · ","")&amp;IF(AND(ISNUMBER($AN174),$AN174&lt;FechaRef,IF($V174="Sub",N($X174),N($M174))&lt;1),"Vencida"&amp;" · ","")&amp;IF(AND(ObsObligatoria="Sí",ISNUMBER($AN174),$AN174&lt;FechaRef,IF($V174="Sub",N($X174),N($M174))&lt;1,$Q174=""),"Vencida sin observación"&amp;" · ",""),LEN(IF($C174="","Falta el nombre de la actividad"&amp;" · ","")&amp;IF(AND($V174="Sub",N($U174)=0),"Subactividad sin macroactividad arriba"&amp;" · ","")&amp;IF($AM174="","Sin fecha de inicio"&amp;" · ","")&amp;IF($AN174="","Sin fecha límite"&amp;" · ","")&amp;IF(AND(LEFT($C174,11)="[Jefatura] ",N($AL174)=0),"No se encuentra en la hoja de la jefatura (elíjala de nuevo en la lista)"&amp;" · ","")&amp;IF(OR(AND($E174&lt;&gt;"",NOT(ISNUMBER($E174))),AND($F174&lt;&gt;"",NOT(ISNUMBER($F174))),AND($G174&lt;&gt;"",NOT(ISNUMBER($G174)))),"Fecha no válida"&amp;" · ","")&amp;IF(AND(ISNUMBER($AM174),ISNUMBER($AN174),$AM174&gt;$AN174),"Inicio posterior a fecha límite"&amp;" · ","")&amp;IF(AND($V174="Macro",$H174&lt;&gt;"",OR(NOT(ISNUMBER($H174)),$H174&lt;0,$H174&gt;1)),"Peso fuera de rango"&amp;" · ","")&amp;IF(AND($V174="Sub",$H174&lt;&gt;""),"Las subactividades no llevan peso (valen igual dentro de su macroactividad)"&amp;" · ","")&amp;IF(AND(N($W174)&gt;0,COUNT($I174:$L174)&gt;0),"Con subactividades: deje vacías las semanas (se calculan solas)"&amp;" · ","")&amp;IF((COUNTIF($I174:$L174,"&gt;1")+COUNTIF($I174:$L174,"&lt;0")+COUNTA($I174:$L174)-COUNT($I174:$L174))&gt;0,"Avance fuera de rango 0-100%"&amp;" · ","")&amp;IF(OR(AND($J174&lt;&gt;"",$J174&lt;$I174),AND($K174&lt;&gt;"",$K174&lt;MAX($I174:$J174)),AND($L174&lt;&gt;"",$L174&lt;MAX($I174:$K174))),"Avance semanal decreciente"&amp;" · ","")&amp;IF(AND(ISNUMBER($AN174),$AN174&lt;FechaRef,IF($V174="Sub",N($X174),N($M174))&lt;1),"Vencida"&amp;" · ","")&amp;IF(AND(ObsObligatoria="Sí",ISNUMBER($AN174),$AN174&lt;FechaRef,IF($V174="Sub",N($X174),N($M174))&lt;1,$Q174=""),"Vencida sin observación"&amp;" · ",""))-3)))</f>
        <v/>
      </c>
      <c r="S174" s="64">
        <f>IF(NOT((COUNTA($B174:$D174)+COUNTA($G174:$L174)+COUNTA($Q174))&gt;0),"",IF(AND($V174="Sub",N($U174)&gt;0),IF(ISNUMBER(INDEX($AM$5:$AM$1000,$U174-4)),DATE(YEAR(INDEX($AM$5:$AM$1000,$U174-4)),MONTH(INDEX($AM$5:$AM$1000,$U174-4)),1),IF(ISNUMBER(INDEX($AN$5:$AN$1000,$U174-4)),DATE(YEAR(INDEX($AN$5:$AN$1000,$U174-4)),MONTH(INDEX($AN$5:$AN$1000,$U174-4)),1),MesCiclo)),IF(ISNUMBER($AM174),DATE(YEAR($AM174),MONTH($AM174),1),IF(ISNUMBER($AN174),DATE(YEAR($AN174),MONTH($AN174),1),MesCiclo))))</f>
        <v/>
      </c>
      <c r="T174" s="62">
        <f>IF(OR($S174="",$S174&lt;&gt;MesCiclo,$V174&lt;&gt;"Macro"),"",COUNTIFS($S$5:$S174,MesCiclo,$V$5:$V174,"Macro"))</f>
        <v/>
      </c>
      <c r="U174" s="62">
        <f>IF($V174="","",IF($V174="Macro",ROW(),IFERROR(LOOKUP(2,1/($V$5:$V174="Macro"),ROW($V$5:$V174)),0)))</f>
        <v/>
      </c>
      <c r="V174" s="62">
        <f>IF(NOT((COUNTA($B174:$D174)+COUNTA($G174:$L174)+COUNTA($Q174))&gt;0),"",IF($B174="Subactividad","Sub","Macro"))</f>
        <v/>
      </c>
      <c r="W174" s="62">
        <f>IF($V174="Macro",COUNTIFS($U$5:$U$1000,ROW(),$V$5:$V$1000,"Sub"),"")</f>
        <v/>
      </c>
      <c r="X174" s="62">
        <f>IF($V174="","",IF(ISNUMBER($G174),1,IFERROR(LOOKUP(2,1/($I174:$L174&lt;&gt;""),$I174:$L174),0)))</f>
        <v/>
      </c>
      <c r="Y174" s="62">
        <f>IF($V174="","",IF(AND(ISNUMBER($G174),$G174&lt;=IF($S174=MesCiclo,InicioCiclo,$S174+MOD(2-WEEKDAY($S174),7))+6),1,IF(ISNUMBER($I174),$I174,0)))</f>
        <v/>
      </c>
      <c r="Z174" s="62">
        <f>IF($V174="","",IF(AND(ISNUMBER($G174),$G174&lt;=IF($S174=MesCiclo,InicioCiclo,$S174+MOD(2-WEEKDAY($S174),7))+13),1,IF(ISNUMBER($J174),$J174,$Y174)))</f>
        <v/>
      </c>
      <c r="AA174" s="62">
        <f>IF($V174="","",IF(AND(ISNUMBER($G174),$G174&lt;=IF($S174=MesCiclo,InicioCiclo,$S174+MOD(2-WEEKDAY($S174),7))+20),1,IF(ISNUMBER($K174),$K174,$Z174)))</f>
        <v/>
      </c>
      <c r="AB174" s="62">
        <f>IF($V174="","",IF(AND(ISNUMBER($G174),$G174&lt;=IF($S174=MesCiclo,InicioCiclo,$S174+MOD(2-WEEKDAY($S174),7))+27),1,IF(ISNUMBER($L174),$L174,$AA174)))</f>
        <v/>
      </c>
      <c r="AC174" s="62">
        <f>IF($V174="","",IF(AND(ISNUMBER($G174),$G174&lt;=IF($S174=MesCiclo,InicioCiclo,$S174+MOD(2-WEEKDAY($S174),7))+6),1,IF(N($W174)&gt;0,AVERAGEIFS($Y$5:$Y$1000,$U$5:$U$1000,ROW(),$V$5:$V$1000,"Sub"),$Y174)))</f>
        <v/>
      </c>
      <c r="AD174" s="62">
        <f>IF($V174="","",IF(AND(ISNUMBER($G174),$G174&lt;=IF($S174=MesCiclo,InicioCiclo,$S174+MOD(2-WEEKDAY($S174),7))+13),1,IF(N($W174)&gt;0,AVERAGEIFS($Z$5:$Z$1000,$U$5:$U$1000,ROW(),$V$5:$V$1000,"Sub"),$Z174)))</f>
        <v/>
      </c>
      <c r="AE174" s="62">
        <f>IF($V174="","",IF(AND(ISNUMBER($G174),$G174&lt;=IF($S174=MesCiclo,InicioCiclo,$S174+MOD(2-WEEKDAY($S174),7))+20),1,IF(N($W174)&gt;0,AVERAGEIFS($AA$5:$AA$1000,$U$5:$U$1000,ROW(),$V$5:$V$1000,"Sub"),$AA174)))</f>
        <v/>
      </c>
      <c r="AF174" s="62">
        <f>IF($V174="","",IF(AND(ISNUMBER($G174),$G174&lt;=IF($S174=MesCiclo,InicioCiclo,$S174+MOD(2-WEEKDAY($S174),7))+27),1,IF(N($W174)&gt;0,AVERAGEIFS($AB$5:$AB$1000,$U$5:$U$1000,ROW(),$V$5:$V$1000,"Sub"),$AB174)))</f>
        <v/>
      </c>
      <c r="AG174" s="62">
        <f>IF($V174&lt;&gt;"Macro","",IF(COUNTIFS($S$5:$S$1000,$S174,$V$5:$V$1000,"Macro",$H$5:$H$1000,"&gt;0")=0,1/COUNTIFS($S$5:$S$1000,$S174,$V$5:$V$1000,"Macro"),IF(AND(ISNUMBER($H174),N($H174)&gt;0),$H174,SUMIFS($H$5:$H$1000,$S$5:$S$1000,$S174,$V$5:$V$1000,"Macro")/COUNTIFS($S$5:$S$1000,$S174,$V$5:$V$1000,"Macro",$H$5:$H$1000,"&gt;0"))/(COUNTIFS($S$5:$S$1000,$S174,$V$5:$V$1000,"Macro")*SUMIFS($H$5:$H$1000,$S$5:$S$1000,$S174,$V$5:$V$1000,"Macro")/COUNTIFS($S$5:$S$1000,$S174,$V$5:$V$1000,"Macro",$H$5:$H$1000,"&gt;0"))))</f>
        <v/>
      </c>
      <c r="AH174" s="62">
        <f>IF(NOT(AND($D174&lt;&gt;"",$V174="Macro")),"",IFERROR(CHOOSE(MATCH($D174,ListaPuestos,0),MATCH("[Jefatura] "&amp;$C174,'Cronograma R. Operacional'!$C$5:$C$1000,0),MATCH("[Jefatura] "&amp;$C174,'Cronograma R. Normativo'!$C$5:$C$1000,0),MATCH("[Jefatura] "&amp;$C174,'Cronograma R. Financiero'!$C$5:$C$1000,0),MATCH("[Jefatura] "&amp;$C174,'Cronograma Asistente Técnico'!$C$5:$C$1000,0)),0))</f>
        <v/>
      </c>
      <c r="AI174" s="62">
        <f>IF(AND(AND($D174&lt;&gt;"",$V174="Macro"),$S174=MesCiclo),COUNTIFS($D$5:$D174,$D174,$S$5:$S174,MesCiclo,$V$5:$V174,"Macro"),"")</f>
        <v/>
      </c>
      <c r="AJ174" s="62">
        <f>IF($AI174="","",$D174&amp;"|"&amp;$AI174)</f>
        <v/>
      </c>
      <c r="AK174" s="62">
        <f>IF(AND($D174&lt;&gt;"",$V174="Macro"),$D174&amp;"|"&amp;$C174,"")</f>
        <v/>
      </c>
      <c r="AL174" s="62">
        <f>""</f>
        <v/>
      </c>
      <c r="AM174" s="62">
        <f>IF(N($AL174)&gt;0,INDEX(rIni_ADM,$AL174),IF(ISNUMBER($E174),$E174,""))</f>
        <v/>
      </c>
      <c r="AN174" s="62">
        <f>IF(N($AL174)&gt;0,INDEX(rLim_ADM,$AL174),IF(ISNUMBER($F174),$F174,""))</f>
        <v/>
      </c>
    </row>
    <row r="175">
      <c r="A175" s="56">
        <f>IF(NOT((COUNTA($B175:$D175)+COUNTA($G175:$L175)+COUNTA($Q175))&gt;0),"",IF($V175="Macro",COUNTIFS($V$5:$V175,"Macro",$S$5:$S175,$S175),IF(N($U175)=0,"?",COUNTIFS(INDEX($V$5:$V$1000,1):INDEX($V$5:$V$1000,$U175-4),"Macro",INDEX($S$5:$S$1000,1):INDEX($S$5:$S$1000,$U175-4),INDEX($S$5:$S$1000,$U175-4))&amp;"."&amp;COUNTIFS($U$5:$U175,$U175,$V$5:$V175,"Sub"))))</f>
        <v/>
      </c>
      <c r="B175" s="57" t="n"/>
      <c r="C175" s="58" t="n"/>
      <c r="D175" s="58" t="n"/>
      <c r="E175" s="59" t="n"/>
      <c r="F175" s="59" t="n"/>
      <c r="G175" s="59" t="n"/>
      <c r="H175" s="60" t="n"/>
      <c r="I175" s="60" t="n"/>
      <c r="J175" s="60" t="n"/>
      <c r="K175" s="60" t="n"/>
      <c r="L175" s="60" t="n"/>
      <c r="M175" s="61">
        <f>IF(NOT((COUNTA($B175:$D175)+COUNTA($G175:$L175)+COUNTA($Q175))&gt;0),"",IF(AND($D175&lt;&gt;"",$V175="Macro"),IF(N($AH175)&gt;0,N(CHOOSE(MATCH($D175,ListaPuestos,0),INDEX('Cronograma R. Operacional'!$M$5:$M$1000,$AH175),INDEX('Cronograma R. Normativo'!$M$5:$M$1000,$AH175),INDEX('Cronograma R. Financiero'!$M$5:$M$1000,$AH175),INDEX('Cronograma Asistente Técnico'!$M$5:$M$1000,$AH175))),0),IF(ISNUMBER($G175),1,IF(N($W175)&gt;0,AVERAGEIFS($X$5:$X$1000,$U$5:$U$1000,ROW(),$V$5:$V$1000,"Sub"),$X175))))</f>
        <v/>
      </c>
      <c r="N175" s="56">
        <f>IF(OR($M175="",$V175="Sub"),"",IF($M175&gt;=1,"Completado",IF($M175&gt;0,"En curso","Pendiente")))</f>
        <v/>
      </c>
      <c r="O175" s="56">
        <f>IF(NOT((COUNTA($B175:$D175)+COUNTA($G175:$L175)+COUNTA($Q175))&gt;0),"",IF(AND(AND($D175&lt;&gt;"",$V175="Macro"),N($AH175)&gt;0),CHOOSE(MATCH($D175,ListaPuestos,0),INDEX('Cronograma R. Operacional'!$O$5:$O$1000,$AH175),INDEX('Cronograma R. Normativo'!$O$5:$O$1000,$AH175),INDEX('Cronograma R. Financiero'!$O$5:$O$1000,$AH175),INDEX('Cronograma Asistente Técnico'!$O$5:$O$1000,$AH175))&amp;"",IF(ISNUMBER($G175),IF(AND(ISNUMBER($AN175),$G175&gt;$AN175),"Cumplida con "&amp;($G175-$AN175)&amp;IF($G175-$AN175=1," día"," días")&amp;" de retraso","Cumplida"),IF(N($M175)&gt;=1,"Cumplida",IF(NOT(ISNUMBER($AN175)),"Sin fecha límite",IF($AN175&lt;FechaRef,"Vencida hace "&amp;(FechaRef-$AN175)&amp;IF(FechaRef-$AN175=1," día"," días"),IF($AN175=FechaRef,"Vence hoy",IF($AN175-FechaRef&lt;=DiasAlerta,"Vence en "&amp;($AN175-FechaRef)&amp;IF($AN175-FechaRef=1," día"," días"),"En plazo"))))))))</f>
        <v/>
      </c>
      <c r="P175" s="62">
        <f>IF(NOT((COUNTA($B175:$D175)+COUNTA($G175:$L175)+COUNTA($Q175))&gt;0),"",IF($D175="","Propia",IF($V175&lt;&gt;"Macro","Solo se delegan macroactividades",IF(N($AH175)&gt;0,"✔ Recibida por "&amp;$D175,"⚠ "&amp;$D175&amp;" aún no la agrega"))))</f>
        <v/>
      </c>
      <c r="Q175" s="58" t="n"/>
      <c r="R175" s="63">
        <f>IF(NOT((COUNTA($B175:$D175)+COUNTA($G175:$L175)+COUNTA($Q175))&gt;0),"",IF((IF($C175="","Falta el nombre de la actividad"&amp;" · ","")&amp;IF(AND($V175="Sub",N($U175)=0),"Subactividad sin macroactividad arriba"&amp;" · ","")&amp;IF($AM175="","Sin fecha de inicio"&amp;" · ","")&amp;IF($AN175="","Sin fecha límite"&amp;" · ","")&amp;IF(AND(LEFT($C175,11)="[Jefatura] ",N($AL175)=0),"No se encuentra en la hoja de la jefatura (elíjala de nuevo en la lista)"&amp;" · ","")&amp;IF(OR(AND($E175&lt;&gt;"",NOT(ISNUMBER($E175))),AND($F175&lt;&gt;"",NOT(ISNUMBER($F175))),AND($G175&lt;&gt;"",NOT(ISNUMBER($G175)))),"Fecha no válida"&amp;" · ","")&amp;IF(AND(ISNUMBER($AM175),ISNUMBER($AN175),$AM175&gt;$AN175),"Inicio posterior a fecha límite"&amp;" · ","")&amp;IF(AND($V175="Macro",$H175&lt;&gt;"",OR(NOT(ISNUMBER($H175)),$H175&lt;0,$H175&gt;1)),"Peso fuera de rango"&amp;" · ","")&amp;IF(AND($V175="Sub",$H175&lt;&gt;""),"Las subactividades no llevan peso (valen igual dentro de su macroactividad)"&amp;" · ","")&amp;IF(AND(N($W175)&gt;0,COUNT($I175:$L175)&gt;0),"Con subactividades: deje vacías las semanas (se calculan solas)"&amp;" · ","")&amp;IF((COUNTIF($I175:$L175,"&gt;1")+COUNTIF($I175:$L175,"&lt;0")+COUNTA($I175:$L175)-COUNT($I175:$L175))&gt;0,"Avance fuera de rango 0-100%"&amp;" · ","")&amp;IF(OR(AND($J175&lt;&gt;"",$J175&lt;$I175),AND($K175&lt;&gt;"",$K175&lt;MAX($I175:$J175)),AND($L175&lt;&gt;"",$L175&lt;MAX($I175:$K175))),"Avance semanal decreciente"&amp;" · ","")&amp;IF(AND(ISNUMBER($AN175),$AN175&lt;FechaRef,IF($V175="Sub",N($X175),N($M175))&lt;1),"Vencida"&amp;" · ","")&amp;IF(AND(ObsObligatoria="Sí",ISNUMBER($AN175),$AN175&lt;FechaRef,IF($V175="Sub",N($X175),N($M175))&lt;1,$Q175=""),"Vencida sin observación"&amp;" · ",""))="","✔ OK","⚠ "&amp;LEFT(IF($C175="","Falta el nombre de la actividad"&amp;" · ","")&amp;IF(AND($V175="Sub",N($U175)=0),"Subactividad sin macroactividad arriba"&amp;" · ","")&amp;IF($AM175="","Sin fecha de inicio"&amp;" · ","")&amp;IF($AN175="","Sin fecha límite"&amp;" · ","")&amp;IF(AND(LEFT($C175,11)="[Jefatura] ",N($AL175)=0),"No se encuentra en la hoja de la jefatura (elíjala de nuevo en la lista)"&amp;" · ","")&amp;IF(OR(AND($E175&lt;&gt;"",NOT(ISNUMBER($E175))),AND($F175&lt;&gt;"",NOT(ISNUMBER($F175))),AND($G175&lt;&gt;"",NOT(ISNUMBER($G175)))),"Fecha no válida"&amp;" · ","")&amp;IF(AND(ISNUMBER($AM175),ISNUMBER($AN175),$AM175&gt;$AN175),"Inicio posterior a fecha límite"&amp;" · ","")&amp;IF(AND($V175="Macro",$H175&lt;&gt;"",OR(NOT(ISNUMBER($H175)),$H175&lt;0,$H175&gt;1)),"Peso fuera de rango"&amp;" · ","")&amp;IF(AND($V175="Sub",$H175&lt;&gt;""),"Las subactividades no llevan peso (valen igual dentro de su macroactividad)"&amp;" · ","")&amp;IF(AND(N($W175)&gt;0,COUNT($I175:$L175)&gt;0),"Con subactividades: deje vacías las semanas (se calculan solas)"&amp;" · ","")&amp;IF((COUNTIF($I175:$L175,"&gt;1")+COUNTIF($I175:$L175,"&lt;0")+COUNTA($I175:$L175)-COUNT($I175:$L175))&gt;0,"Avance fuera de rango 0-100%"&amp;" · ","")&amp;IF(OR(AND($J175&lt;&gt;"",$J175&lt;$I175),AND($K175&lt;&gt;"",$K175&lt;MAX($I175:$J175)),AND($L175&lt;&gt;"",$L175&lt;MAX($I175:$K175))),"Avance semanal decreciente"&amp;" · ","")&amp;IF(AND(ISNUMBER($AN175),$AN175&lt;FechaRef,IF($V175="Sub",N($X175),N($M175))&lt;1),"Vencida"&amp;" · ","")&amp;IF(AND(ObsObligatoria="Sí",ISNUMBER($AN175),$AN175&lt;FechaRef,IF($V175="Sub",N($X175),N($M175))&lt;1,$Q175=""),"Vencida sin observación"&amp;" · ",""),LEN(IF($C175="","Falta el nombre de la actividad"&amp;" · ","")&amp;IF(AND($V175="Sub",N($U175)=0),"Subactividad sin macroactividad arriba"&amp;" · ","")&amp;IF($AM175="","Sin fecha de inicio"&amp;" · ","")&amp;IF($AN175="","Sin fecha límite"&amp;" · ","")&amp;IF(AND(LEFT($C175,11)="[Jefatura] ",N($AL175)=0),"No se encuentra en la hoja de la jefatura (elíjala de nuevo en la lista)"&amp;" · ","")&amp;IF(OR(AND($E175&lt;&gt;"",NOT(ISNUMBER($E175))),AND($F175&lt;&gt;"",NOT(ISNUMBER($F175))),AND($G175&lt;&gt;"",NOT(ISNUMBER($G175)))),"Fecha no válida"&amp;" · ","")&amp;IF(AND(ISNUMBER($AM175),ISNUMBER($AN175),$AM175&gt;$AN175),"Inicio posterior a fecha límite"&amp;" · ","")&amp;IF(AND($V175="Macro",$H175&lt;&gt;"",OR(NOT(ISNUMBER($H175)),$H175&lt;0,$H175&gt;1)),"Peso fuera de rango"&amp;" · ","")&amp;IF(AND($V175="Sub",$H175&lt;&gt;""),"Las subactividades no llevan peso (valen igual dentro de su macroactividad)"&amp;" · ","")&amp;IF(AND(N($W175)&gt;0,COUNT($I175:$L175)&gt;0),"Con subactividades: deje vacías las semanas (se calculan solas)"&amp;" · ","")&amp;IF((COUNTIF($I175:$L175,"&gt;1")+COUNTIF($I175:$L175,"&lt;0")+COUNTA($I175:$L175)-COUNT($I175:$L175))&gt;0,"Avance fuera de rango 0-100%"&amp;" · ","")&amp;IF(OR(AND($J175&lt;&gt;"",$J175&lt;$I175),AND($K175&lt;&gt;"",$K175&lt;MAX($I175:$J175)),AND($L175&lt;&gt;"",$L175&lt;MAX($I175:$K175))),"Avance semanal decreciente"&amp;" · ","")&amp;IF(AND(ISNUMBER($AN175),$AN175&lt;FechaRef,IF($V175="Sub",N($X175),N($M175))&lt;1),"Vencida"&amp;" · ","")&amp;IF(AND(ObsObligatoria="Sí",ISNUMBER($AN175),$AN175&lt;FechaRef,IF($V175="Sub",N($X175),N($M175))&lt;1,$Q175=""),"Vencida sin observación"&amp;" · ",""))-3)))</f>
        <v/>
      </c>
      <c r="S175" s="64">
        <f>IF(NOT((COUNTA($B175:$D175)+COUNTA($G175:$L175)+COUNTA($Q175))&gt;0),"",IF(AND($V175="Sub",N($U175)&gt;0),IF(ISNUMBER(INDEX($AM$5:$AM$1000,$U175-4)),DATE(YEAR(INDEX($AM$5:$AM$1000,$U175-4)),MONTH(INDEX($AM$5:$AM$1000,$U175-4)),1),IF(ISNUMBER(INDEX($AN$5:$AN$1000,$U175-4)),DATE(YEAR(INDEX($AN$5:$AN$1000,$U175-4)),MONTH(INDEX($AN$5:$AN$1000,$U175-4)),1),MesCiclo)),IF(ISNUMBER($AM175),DATE(YEAR($AM175),MONTH($AM175),1),IF(ISNUMBER($AN175),DATE(YEAR($AN175),MONTH($AN175),1),MesCiclo))))</f>
        <v/>
      </c>
      <c r="T175" s="62">
        <f>IF(OR($S175="",$S175&lt;&gt;MesCiclo,$V175&lt;&gt;"Macro"),"",COUNTIFS($S$5:$S175,MesCiclo,$V$5:$V175,"Macro"))</f>
        <v/>
      </c>
      <c r="U175" s="62">
        <f>IF($V175="","",IF($V175="Macro",ROW(),IFERROR(LOOKUP(2,1/($V$5:$V175="Macro"),ROW($V$5:$V175)),0)))</f>
        <v/>
      </c>
      <c r="V175" s="62">
        <f>IF(NOT((COUNTA($B175:$D175)+COUNTA($G175:$L175)+COUNTA($Q175))&gt;0),"",IF($B175="Subactividad","Sub","Macro"))</f>
        <v/>
      </c>
      <c r="W175" s="62">
        <f>IF($V175="Macro",COUNTIFS($U$5:$U$1000,ROW(),$V$5:$V$1000,"Sub"),"")</f>
        <v/>
      </c>
      <c r="X175" s="62">
        <f>IF($V175="","",IF(ISNUMBER($G175),1,IFERROR(LOOKUP(2,1/($I175:$L175&lt;&gt;""),$I175:$L175),0)))</f>
        <v/>
      </c>
      <c r="Y175" s="62">
        <f>IF($V175="","",IF(AND(ISNUMBER($G175),$G175&lt;=IF($S175=MesCiclo,InicioCiclo,$S175+MOD(2-WEEKDAY($S175),7))+6),1,IF(ISNUMBER($I175),$I175,0)))</f>
        <v/>
      </c>
      <c r="Z175" s="62">
        <f>IF($V175="","",IF(AND(ISNUMBER($G175),$G175&lt;=IF($S175=MesCiclo,InicioCiclo,$S175+MOD(2-WEEKDAY($S175),7))+13),1,IF(ISNUMBER($J175),$J175,$Y175)))</f>
        <v/>
      </c>
      <c r="AA175" s="62">
        <f>IF($V175="","",IF(AND(ISNUMBER($G175),$G175&lt;=IF($S175=MesCiclo,InicioCiclo,$S175+MOD(2-WEEKDAY($S175),7))+20),1,IF(ISNUMBER($K175),$K175,$Z175)))</f>
        <v/>
      </c>
      <c r="AB175" s="62">
        <f>IF($V175="","",IF(AND(ISNUMBER($G175),$G175&lt;=IF($S175=MesCiclo,InicioCiclo,$S175+MOD(2-WEEKDAY($S175),7))+27),1,IF(ISNUMBER($L175),$L175,$AA175)))</f>
        <v/>
      </c>
      <c r="AC175" s="62">
        <f>IF($V175="","",IF(AND(ISNUMBER($G175),$G175&lt;=IF($S175=MesCiclo,InicioCiclo,$S175+MOD(2-WEEKDAY($S175),7))+6),1,IF(N($W175)&gt;0,AVERAGEIFS($Y$5:$Y$1000,$U$5:$U$1000,ROW(),$V$5:$V$1000,"Sub"),$Y175)))</f>
        <v/>
      </c>
      <c r="AD175" s="62">
        <f>IF($V175="","",IF(AND(ISNUMBER($G175),$G175&lt;=IF($S175=MesCiclo,InicioCiclo,$S175+MOD(2-WEEKDAY($S175),7))+13),1,IF(N($W175)&gt;0,AVERAGEIFS($Z$5:$Z$1000,$U$5:$U$1000,ROW(),$V$5:$V$1000,"Sub"),$Z175)))</f>
        <v/>
      </c>
      <c r="AE175" s="62">
        <f>IF($V175="","",IF(AND(ISNUMBER($G175),$G175&lt;=IF($S175=MesCiclo,InicioCiclo,$S175+MOD(2-WEEKDAY($S175),7))+20),1,IF(N($W175)&gt;0,AVERAGEIFS($AA$5:$AA$1000,$U$5:$U$1000,ROW(),$V$5:$V$1000,"Sub"),$AA175)))</f>
        <v/>
      </c>
      <c r="AF175" s="62">
        <f>IF($V175="","",IF(AND(ISNUMBER($G175),$G175&lt;=IF($S175=MesCiclo,InicioCiclo,$S175+MOD(2-WEEKDAY($S175),7))+27),1,IF(N($W175)&gt;0,AVERAGEIFS($AB$5:$AB$1000,$U$5:$U$1000,ROW(),$V$5:$V$1000,"Sub"),$AB175)))</f>
        <v/>
      </c>
      <c r="AG175" s="62">
        <f>IF($V175&lt;&gt;"Macro","",IF(COUNTIFS($S$5:$S$1000,$S175,$V$5:$V$1000,"Macro",$H$5:$H$1000,"&gt;0")=0,1/COUNTIFS($S$5:$S$1000,$S175,$V$5:$V$1000,"Macro"),IF(AND(ISNUMBER($H175),N($H175)&gt;0),$H175,SUMIFS($H$5:$H$1000,$S$5:$S$1000,$S175,$V$5:$V$1000,"Macro")/COUNTIFS($S$5:$S$1000,$S175,$V$5:$V$1000,"Macro",$H$5:$H$1000,"&gt;0"))/(COUNTIFS($S$5:$S$1000,$S175,$V$5:$V$1000,"Macro")*SUMIFS($H$5:$H$1000,$S$5:$S$1000,$S175,$V$5:$V$1000,"Macro")/COUNTIFS($S$5:$S$1000,$S175,$V$5:$V$1000,"Macro",$H$5:$H$1000,"&gt;0"))))</f>
        <v/>
      </c>
      <c r="AH175" s="62">
        <f>IF(NOT(AND($D175&lt;&gt;"",$V175="Macro")),"",IFERROR(CHOOSE(MATCH($D175,ListaPuestos,0),MATCH("[Jefatura] "&amp;$C175,'Cronograma R. Operacional'!$C$5:$C$1000,0),MATCH("[Jefatura] "&amp;$C175,'Cronograma R. Normativo'!$C$5:$C$1000,0),MATCH("[Jefatura] "&amp;$C175,'Cronograma R. Financiero'!$C$5:$C$1000,0),MATCH("[Jefatura] "&amp;$C175,'Cronograma Asistente Técnico'!$C$5:$C$1000,0)),0))</f>
        <v/>
      </c>
      <c r="AI175" s="62">
        <f>IF(AND(AND($D175&lt;&gt;"",$V175="Macro"),$S175=MesCiclo),COUNTIFS($D$5:$D175,$D175,$S$5:$S175,MesCiclo,$V$5:$V175,"Macro"),"")</f>
        <v/>
      </c>
      <c r="AJ175" s="62">
        <f>IF($AI175="","",$D175&amp;"|"&amp;$AI175)</f>
        <v/>
      </c>
      <c r="AK175" s="62">
        <f>IF(AND($D175&lt;&gt;"",$V175="Macro"),$D175&amp;"|"&amp;$C175,"")</f>
        <v/>
      </c>
      <c r="AL175" s="62">
        <f>""</f>
        <v/>
      </c>
      <c r="AM175" s="62">
        <f>IF(N($AL175)&gt;0,INDEX(rIni_ADM,$AL175),IF(ISNUMBER($E175),$E175,""))</f>
        <v/>
      </c>
      <c r="AN175" s="62">
        <f>IF(N($AL175)&gt;0,INDEX(rLim_ADM,$AL175),IF(ISNUMBER($F175),$F175,""))</f>
        <v/>
      </c>
    </row>
    <row r="176">
      <c r="A176" s="56">
        <f>IF(NOT((COUNTA($B176:$D176)+COUNTA($G176:$L176)+COUNTA($Q176))&gt;0),"",IF($V176="Macro",COUNTIFS($V$5:$V176,"Macro",$S$5:$S176,$S176),IF(N($U176)=0,"?",COUNTIFS(INDEX($V$5:$V$1000,1):INDEX($V$5:$V$1000,$U176-4),"Macro",INDEX($S$5:$S$1000,1):INDEX($S$5:$S$1000,$U176-4),INDEX($S$5:$S$1000,$U176-4))&amp;"."&amp;COUNTIFS($U$5:$U176,$U176,$V$5:$V176,"Sub"))))</f>
        <v/>
      </c>
      <c r="B176" s="57" t="n"/>
      <c r="C176" s="58" t="n"/>
      <c r="D176" s="58" t="n"/>
      <c r="E176" s="59" t="n"/>
      <c r="F176" s="59" t="n"/>
      <c r="G176" s="59" t="n"/>
      <c r="H176" s="60" t="n"/>
      <c r="I176" s="60" t="n"/>
      <c r="J176" s="60" t="n"/>
      <c r="K176" s="60" t="n"/>
      <c r="L176" s="60" t="n"/>
      <c r="M176" s="61">
        <f>IF(NOT((COUNTA($B176:$D176)+COUNTA($G176:$L176)+COUNTA($Q176))&gt;0),"",IF(AND($D176&lt;&gt;"",$V176="Macro"),IF(N($AH176)&gt;0,N(CHOOSE(MATCH($D176,ListaPuestos,0),INDEX('Cronograma R. Operacional'!$M$5:$M$1000,$AH176),INDEX('Cronograma R. Normativo'!$M$5:$M$1000,$AH176),INDEX('Cronograma R. Financiero'!$M$5:$M$1000,$AH176),INDEX('Cronograma Asistente Técnico'!$M$5:$M$1000,$AH176))),0),IF(ISNUMBER($G176),1,IF(N($W176)&gt;0,AVERAGEIFS($X$5:$X$1000,$U$5:$U$1000,ROW(),$V$5:$V$1000,"Sub"),$X176))))</f>
        <v/>
      </c>
      <c r="N176" s="56">
        <f>IF(OR($M176="",$V176="Sub"),"",IF($M176&gt;=1,"Completado",IF($M176&gt;0,"En curso","Pendiente")))</f>
        <v/>
      </c>
      <c r="O176" s="56">
        <f>IF(NOT((COUNTA($B176:$D176)+COUNTA($G176:$L176)+COUNTA($Q176))&gt;0),"",IF(AND(AND($D176&lt;&gt;"",$V176="Macro"),N($AH176)&gt;0),CHOOSE(MATCH($D176,ListaPuestos,0),INDEX('Cronograma R. Operacional'!$O$5:$O$1000,$AH176),INDEX('Cronograma R. Normativo'!$O$5:$O$1000,$AH176),INDEX('Cronograma R. Financiero'!$O$5:$O$1000,$AH176),INDEX('Cronograma Asistente Técnico'!$O$5:$O$1000,$AH176))&amp;"",IF(ISNUMBER($G176),IF(AND(ISNUMBER($AN176),$G176&gt;$AN176),"Cumplida con "&amp;($G176-$AN176)&amp;IF($G176-$AN176=1," día"," días")&amp;" de retraso","Cumplida"),IF(N($M176)&gt;=1,"Cumplida",IF(NOT(ISNUMBER($AN176)),"Sin fecha límite",IF($AN176&lt;FechaRef,"Vencida hace "&amp;(FechaRef-$AN176)&amp;IF(FechaRef-$AN176=1," día"," días"),IF($AN176=FechaRef,"Vence hoy",IF($AN176-FechaRef&lt;=DiasAlerta,"Vence en "&amp;($AN176-FechaRef)&amp;IF($AN176-FechaRef=1," día"," días"),"En plazo"))))))))</f>
        <v/>
      </c>
      <c r="P176" s="62">
        <f>IF(NOT((COUNTA($B176:$D176)+COUNTA($G176:$L176)+COUNTA($Q176))&gt;0),"",IF($D176="","Propia",IF($V176&lt;&gt;"Macro","Solo se delegan macroactividades",IF(N($AH176)&gt;0,"✔ Recibida por "&amp;$D176,"⚠ "&amp;$D176&amp;" aún no la agrega"))))</f>
        <v/>
      </c>
      <c r="Q176" s="58" t="n"/>
      <c r="R176" s="63">
        <f>IF(NOT((COUNTA($B176:$D176)+COUNTA($G176:$L176)+COUNTA($Q176))&gt;0),"",IF((IF($C176="","Falta el nombre de la actividad"&amp;" · ","")&amp;IF(AND($V176="Sub",N($U176)=0),"Subactividad sin macroactividad arriba"&amp;" · ","")&amp;IF($AM176="","Sin fecha de inicio"&amp;" · ","")&amp;IF($AN176="","Sin fecha límite"&amp;" · ","")&amp;IF(AND(LEFT($C176,11)="[Jefatura] ",N($AL176)=0),"No se encuentra en la hoja de la jefatura (elíjala de nuevo en la lista)"&amp;" · ","")&amp;IF(OR(AND($E176&lt;&gt;"",NOT(ISNUMBER($E176))),AND($F176&lt;&gt;"",NOT(ISNUMBER($F176))),AND($G176&lt;&gt;"",NOT(ISNUMBER($G176)))),"Fecha no válida"&amp;" · ","")&amp;IF(AND(ISNUMBER($AM176),ISNUMBER($AN176),$AM176&gt;$AN176),"Inicio posterior a fecha límite"&amp;" · ","")&amp;IF(AND($V176="Macro",$H176&lt;&gt;"",OR(NOT(ISNUMBER($H176)),$H176&lt;0,$H176&gt;1)),"Peso fuera de rango"&amp;" · ","")&amp;IF(AND($V176="Sub",$H176&lt;&gt;""),"Las subactividades no llevan peso (valen igual dentro de su macroactividad)"&amp;" · ","")&amp;IF(AND(N($W176)&gt;0,COUNT($I176:$L176)&gt;0),"Con subactividades: deje vacías las semanas (se calculan solas)"&amp;" · ","")&amp;IF((COUNTIF($I176:$L176,"&gt;1")+COUNTIF($I176:$L176,"&lt;0")+COUNTA($I176:$L176)-COUNT($I176:$L176))&gt;0,"Avance fuera de rango 0-100%"&amp;" · ","")&amp;IF(OR(AND($J176&lt;&gt;"",$J176&lt;$I176),AND($K176&lt;&gt;"",$K176&lt;MAX($I176:$J176)),AND($L176&lt;&gt;"",$L176&lt;MAX($I176:$K176))),"Avance semanal decreciente"&amp;" · ","")&amp;IF(AND(ISNUMBER($AN176),$AN176&lt;FechaRef,IF($V176="Sub",N($X176),N($M176))&lt;1),"Vencida"&amp;" · ","")&amp;IF(AND(ObsObligatoria="Sí",ISNUMBER($AN176),$AN176&lt;FechaRef,IF($V176="Sub",N($X176),N($M176))&lt;1,$Q176=""),"Vencida sin observación"&amp;" · ",""))="","✔ OK","⚠ "&amp;LEFT(IF($C176="","Falta el nombre de la actividad"&amp;" · ","")&amp;IF(AND($V176="Sub",N($U176)=0),"Subactividad sin macroactividad arriba"&amp;" · ","")&amp;IF($AM176="","Sin fecha de inicio"&amp;" · ","")&amp;IF($AN176="","Sin fecha límite"&amp;" · ","")&amp;IF(AND(LEFT($C176,11)="[Jefatura] ",N($AL176)=0),"No se encuentra en la hoja de la jefatura (elíjala de nuevo en la lista)"&amp;" · ","")&amp;IF(OR(AND($E176&lt;&gt;"",NOT(ISNUMBER($E176))),AND($F176&lt;&gt;"",NOT(ISNUMBER($F176))),AND($G176&lt;&gt;"",NOT(ISNUMBER($G176)))),"Fecha no válida"&amp;" · ","")&amp;IF(AND(ISNUMBER($AM176),ISNUMBER($AN176),$AM176&gt;$AN176),"Inicio posterior a fecha límite"&amp;" · ","")&amp;IF(AND($V176="Macro",$H176&lt;&gt;"",OR(NOT(ISNUMBER($H176)),$H176&lt;0,$H176&gt;1)),"Peso fuera de rango"&amp;" · ","")&amp;IF(AND($V176="Sub",$H176&lt;&gt;""),"Las subactividades no llevan peso (valen igual dentro de su macroactividad)"&amp;" · ","")&amp;IF(AND(N($W176)&gt;0,COUNT($I176:$L176)&gt;0),"Con subactividades: deje vacías las semanas (se calculan solas)"&amp;" · ","")&amp;IF((COUNTIF($I176:$L176,"&gt;1")+COUNTIF($I176:$L176,"&lt;0")+COUNTA($I176:$L176)-COUNT($I176:$L176))&gt;0,"Avance fuera de rango 0-100%"&amp;" · ","")&amp;IF(OR(AND($J176&lt;&gt;"",$J176&lt;$I176),AND($K176&lt;&gt;"",$K176&lt;MAX($I176:$J176)),AND($L176&lt;&gt;"",$L176&lt;MAX($I176:$K176))),"Avance semanal decreciente"&amp;" · ","")&amp;IF(AND(ISNUMBER($AN176),$AN176&lt;FechaRef,IF($V176="Sub",N($X176),N($M176))&lt;1),"Vencida"&amp;" · ","")&amp;IF(AND(ObsObligatoria="Sí",ISNUMBER($AN176),$AN176&lt;FechaRef,IF($V176="Sub",N($X176),N($M176))&lt;1,$Q176=""),"Vencida sin observación"&amp;" · ",""),LEN(IF($C176="","Falta el nombre de la actividad"&amp;" · ","")&amp;IF(AND($V176="Sub",N($U176)=0),"Subactividad sin macroactividad arriba"&amp;" · ","")&amp;IF($AM176="","Sin fecha de inicio"&amp;" · ","")&amp;IF($AN176="","Sin fecha límite"&amp;" · ","")&amp;IF(AND(LEFT($C176,11)="[Jefatura] ",N($AL176)=0),"No se encuentra en la hoja de la jefatura (elíjala de nuevo en la lista)"&amp;" · ","")&amp;IF(OR(AND($E176&lt;&gt;"",NOT(ISNUMBER($E176))),AND($F176&lt;&gt;"",NOT(ISNUMBER($F176))),AND($G176&lt;&gt;"",NOT(ISNUMBER($G176)))),"Fecha no válida"&amp;" · ","")&amp;IF(AND(ISNUMBER($AM176),ISNUMBER($AN176),$AM176&gt;$AN176),"Inicio posterior a fecha límite"&amp;" · ","")&amp;IF(AND($V176="Macro",$H176&lt;&gt;"",OR(NOT(ISNUMBER($H176)),$H176&lt;0,$H176&gt;1)),"Peso fuera de rango"&amp;" · ","")&amp;IF(AND($V176="Sub",$H176&lt;&gt;""),"Las subactividades no llevan peso (valen igual dentro de su macroactividad)"&amp;" · ","")&amp;IF(AND(N($W176)&gt;0,COUNT($I176:$L176)&gt;0),"Con subactividades: deje vacías las semanas (se calculan solas)"&amp;" · ","")&amp;IF((COUNTIF($I176:$L176,"&gt;1")+COUNTIF($I176:$L176,"&lt;0")+COUNTA($I176:$L176)-COUNT($I176:$L176))&gt;0,"Avance fuera de rango 0-100%"&amp;" · ","")&amp;IF(OR(AND($J176&lt;&gt;"",$J176&lt;$I176),AND($K176&lt;&gt;"",$K176&lt;MAX($I176:$J176)),AND($L176&lt;&gt;"",$L176&lt;MAX($I176:$K176))),"Avance semanal decreciente"&amp;" · ","")&amp;IF(AND(ISNUMBER($AN176),$AN176&lt;FechaRef,IF($V176="Sub",N($X176),N($M176))&lt;1),"Vencida"&amp;" · ","")&amp;IF(AND(ObsObligatoria="Sí",ISNUMBER($AN176),$AN176&lt;FechaRef,IF($V176="Sub",N($X176),N($M176))&lt;1,$Q176=""),"Vencida sin observación"&amp;" · ",""))-3)))</f>
        <v/>
      </c>
      <c r="S176" s="64">
        <f>IF(NOT((COUNTA($B176:$D176)+COUNTA($G176:$L176)+COUNTA($Q176))&gt;0),"",IF(AND($V176="Sub",N($U176)&gt;0),IF(ISNUMBER(INDEX($AM$5:$AM$1000,$U176-4)),DATE(YEAR(INDEX($AM$5:$AM$1000,$U176-4)),MONTH(INDEX($AM$5:$AM$1000,$U176-4)),1),IF(ISNUMBER(INDEX($AN$5:$AN$1000,$U176-4)),DATE(YEAR(INDEX($AN$5:$AN$1000,$U176-4)),MONTH(INDEX($AN$5:$AN$1000,$U176-4)),1),MesCiclo)),IF(ISNUMBER($AM176),DATE(YEAR($AM176),MONTH($AM176),1),IF(ISNUMBER($AN176),DATE(YEAR($AN176),MONTH($AN176),1),MesCiclo))))</f>
        <v/>
      </c>
      <c r="T176" s="62">
        <f>IF(OR($S176="",$S176&lt;&gt;MesCiclo,$V176&lt;&gt;"Macro"),"",COUNTIFS($S$5:$S176,MesCiclo,$V$5:$V176,"Macro"))</f>
        <v/>
      </c>
      <c r="U176" s="62">
        <f>IF($V176="","",IF($V176="Macro",ROW(),IFERROR(LOOKUP(2,1/($V$5:$V176="Macro"),ROW($V$5:$V176)),0)))</f>
        <v/>
      </c>
      <c r="V176" s="62">
        <f>IF(NOT((COUNTA($B176:$D176)+COUNTA($G176:$L176)+COUNTA($Q176))&gt;0),"",IF($B176="Subactividad","Sub","Macro"))</f>
        <v/>
      </c>
      <c r="W176" s="62">
        <f>IF($V176="Macro",COUNTIFS($U$5:$U$1000,ROW(),$V$5:$V$1000,"Sub"),"")</f>
        <v/>
      </c>
      <c r="X176" s="62">
        <f>IF($V176="","",IF(ISNUMBER($G176),1,IFERROR(LOOKUP(2,1/($I176:$L176&lt;&gt;""),$I176:$L176),0)))</f>
        <v/>
      </c>
      <c r="Y176" s="62">
        <f>IF($V176="","",IF(AND(ISNUMBER($G176),$G176&lt;=IF($S176=MesCiclo,InicioCiclo,$S176+MOD(2-WEEKDAY($S176),7))+6),1,IF(ISNUMBER($I176),$I176,0)))</f>
        <v/>
      </c>
      <c r="Z176" s="62">
        <f>IF($V176="","",IF(AND(ISNUMBER($G176),$G176&lt;=IF($S176=MesCiclo,InicioCiclo,$S176+MOD(2-WEEKDAY($S176),7))+13),1,IF(ISNUMBER($J176),$J176,$Y176)))</f>
        <v/>
      </c>
      <c r="AA176" s="62">
        <f>IF($V176="","",IF(AND(ISNUMBER($G176),$G176&lt;=IF($S176=MesCiclo,InicioCiclo,$S176+MOD(2-WEEKDAY($S176),7))+20),1,IF(ISNUMBER($K176),$K176,$Z176)))</f>
        <v/>
      </c>
      <c r="AB176" s="62">
        <f>IF($V176="","",IF(AND(ISNUMBER($G176),$G176&lt;=IF($S176=MesCiclo,InicioCiclo,$S176+MOD(2-WEEKDAY($S176),7))+27),1,IF(ISNUMBER($L176),$L176,$AA176)))</f>
        <v/>
      </c>
      <c r="AC176" s="62">
        <f>IF($V176="","",IF(AND(ISNUMBER($G176),$G176&lt;=IF($S176=MesCiclo,InicioCiclo,$S176+MOD(2-WEEKDAY($S176),7))+6),1,IF(N($W176)&gt;0,AVERAGEIFS($Y$5:$Y$1000,$U$5:$U$1000,ROW(),$V$5:$V$1000,"Sub"),$Y176)))</f>
        <v/>
      </c>
      <c r="AD176" s="62">
        <f>IF($V176="","",IF(AND(ISNUMBER($G176),$G176&lt;=IF($S176=MesCiclo,InicioCiclo,$S176+MOD(2-WEEKDAY($S176),7))+13),1,IF(N($W176)&gt;0,AVERAGEIFS($Z$5:$Z$1000,$U$5:$U$1000,ROW(),$V$5:$V$1000,"Sub"),$Z176)))</f>
        <v/>
      </c>
      <c r="AE176" s="62">
        <f>IF($V176="","",IF(AND(ISNUMBER($G176),$G176&lt;=IF($S176=MesCiclo,InicioCiclo,$S176+MOD(2-WEEKDAY($S176),7))+20),1,IF(N($W176)&gt;0,AVERAGEIFS($AA$5:$AA$1000,$U$5:$U$1000,ROW(),$V$5:$V$1000,"Sub"),$AA176)))</f>
        <v/>
      </c>
      <c r="AF176" s="62">
        <f>IF($V176="","",IF(AND(ISNUMBER($G176),$G176&lt;=IF($S176=MesCiclo,InicioCiclo,$S176+MOD(2-WEEKDAY($S176),7))+27),1,IF(N($W176)&gt;0,AVERAGEIFS($AB$5:$AB$1000,$U$5:$U$1000,ROW(),$V$5:$V$1000,"Sub"),$AB176)))</f>
        <v/>
      </c>
      <c r="AG176" s="62">
        <f>IF($V176&lt;&gt;"Macro","",IF(COUNTIFS($S$5:$S$1000,$S176,$V$5:$V$1000,"Macro",$H$5:$H$1000,"&gt;0")=0,1/COUNTIFS($S$5:$S$1000,$S176,$V$5:$V$1000,"Macro"),IF(AND(ISNUMBER($H176),N($H176)&gt;0),$H176,SUMIFS($H$5:$H$1000,$S$5:$S$1000,$S176,$V$5:$V$1000,"Macro")/COUNTIFS($S$5:$S$1000,$S176,$V$5:$V$1000,"Macro",$H$5:$H$1000,"&gt;0"))/(COUNTIFS($S$5:$S$1000,$S176,$V$5:$V$1000,"Macro")*SUMIFS($H$5:$H$1000,$S$5:$S$1000,$S176,$V$5:$V$1000,"Macro")/COUNTIFS($S$5:$S$1000,$S176,$V$5:$V$1000,"Macro",$H$5:$H$1000,"&gt;0"))))</f>
        <v/>
      </c>
      <c r="AH176" s="62">
        <f>IF(NOT(AND($D176&lt;&gt;"",$V176="Macro")),"",IFERROR(CHOOSE(MATCH($D176,ListaPuestos,0),MATCH("[Jefatura] "&amp;$C176,'Cronograma R. Operacional'!$C$5:$C$1000,0),MATCH("[Jefatura] "&amp;$C176,'Cronograma R. Normativo'!$C$5:$C$1000,0),MATCH("[Jefatura] "&amp;$C176,'Cronograma R. Financiero'!$C$5:$C$1000,0),MATCH("[Jefatura] "&amp;$C176,'Cronograma Asistente Técnico'!$C$5:$C$1000,0)),0))</f>
        <v/>
      </c>
      <c r="AI176" s="62">
        <f>IF(AND(AND($D176&lt;&gt;"",$V176="Macro"),$S176=MesCiclo),COUNTIFS($D$5:$D176,$D176,$S$5:$S176,MesCiclo,$V$5:$V176,"Macro"),"")</f>
        <v/>
      </c>
      <c r="AJ176" s="62">
        <f>IF($AI176="","",$D176&amp;"|"&amp;$AI176)</f>
        <v/>
      </c>
      <c r="AK176" s="62">
        <f>IF(AND($D176&lt;&gt;"",$V176="Macro"),$D176&amp;"|"&amp;$C176,"")</f>
        <v/>
      </c>
      <c r="AL176" s="62">
        <f>""</f>
        <v/>
      </c>
      <c r="AM176" s="62">
        <f>IF(N($AL176)&gt;0,INDEX(rIni_ADM,$AL176),IF(ISNUMBER($E176),$E176,""))</f>
        <v/>
      </c>
      <c r="AN176" s="62">
        <f>IF(N($AL176)&gt;0,INDEX(rLim_ADM,$AL176),IF(ISNUMBER($F176),$F176,""))</f>
        <v/>
      </c>
    </row>
    <row r="177">
      <c r="A177" s="56">
        <f>IF(NOT((COUNTA($B177:$D177)+COUNTA($G177:$L177)+COUNTA($Q177))&gt;0),"",IF($V177="Macro",COUNTIFS($V$5:$V177,"Macro",$S$5:$S177,$S177),IF(N($U177)=0,"?",COUNTIFS(INDEX($V$5:$V$1000,1):INDEX($V$5:$V$1000,$U177-4),"Macro",INDEX($S$5:$S$1000,1):INDEX($S$5:$S$1000,$U177-4),INDEX($S$5:$S$1000,$U177-4))&amp;"."&amp;COUNTIFS($U$5:$U177,$U177,$V$5:$V177,"Sub"))))</f>
        <v/>
      </c>
      <c r="B177" s="57" t="n"/>
      <c r="C177" s="58" t="n"/>
      <c r="D177" s="58" t="n"/>
      <c r="E177" s="59" t="n"/>
      <c r="F177" s="59" t="n"/>
      <c r="G177" s="59" t="n"/>
      <c r="H177" s="60" t="n"/>
      <c r="I177" s="60" t="n"/>
      <c r="J177" s="60" t="n"/>
      <c r="K177" s="60" t="n"/>
      <c r="L177" s="60" t="n"/>
      <c r="M177" s="61">
        <f>IF(NOT((COUNTA($B177:$D177)+COUNTA($G177:$L177)+COUNTA($Q177))&gt;0),"",IF(AND($D177&lt;&gt;"",$V177="Macro"),IF(N($AH177)&gt;0,N(CHOOSE(MATCH($D177,ListaPuestos,0),INDEX('Cronograma R. Operacional'!$M$5:$M$1000,$AH177),INDEX('Cronograma R. Normativo'!$M$5:$M$1000,$AH177),INDEX('Cronograma R. Financiero'!$M$5:$M$1000,$AH177),INDEX('Cronograma Asistente Técnico'!$M$5:$M$1000,$AH177))),0),IF(ISNUMBER($G177),1,IF(N($W177)&gt;0,AVERAGEIFS($X$5:$X$1000,$U$5:$U$1000,ROW(),$V$5:$V$1000,"Sub"),$X177))))</f>
        <v/>
      </c>
      <c r="N177" s="56">
        <f>IF(OR($M177="",$V177="Sub"),"",IF($M177&gt;=1,"Completado",IF($M177&gt;0,"En curso","Pendiente")))</f>
        <v/>
      </c>
      <c r="O177" s="56">
        <f>IF(NOT((COUNTA($B177:$D177)+COUNTA($G177:$L177)+COUNTA($Q177))&gt;0),"",IF(AND(AND($D177&lt;&gt;"",$V177="Macro"),N($AH177)&gt;0),CHOOSE(MATCH($D177,ListaPuestos,0),INDEX('Cronograma R. Operacional'!$O$5:$O$1000,$AH177),INDEX('Cronograma R. Normativo'!$O$5:$O$1000,$AH177),INDEX('Cronograma R. Financiero'!$O$5:$O$1000,$AH177),INDEX('Cronograma Asistente Técnico'!$O$5:$O$1000,$AH177))&amp;"",IF(ISNUMBER($G177),IF(AND(ISNUMBER($AN177),$G177&gt;$AN177),"Cumplida con "&amp;($G177-$AN177)&amp;IF($G177-$AN177=1," día"," días")&amp;" de retraso","Cumplida"),IF(N($M177)&gt;=1,"Cumplida",IF(NOT(ISNUMBER($AN177)),"Sin fecha límite",IF($AN177&lt;FechaRef,"Vencida hace "&amp;(FechaRef-$AN177)&amp;IF(FechaRef-$AN177=1," día"," días"),IF($AN177=FechaRef,"Vence hoy",IF($AN177-FechaRef&lt;=DiasAlerta,"Vence en "&amp;($AN177-FechaRef)&amp;IF($AN177-FechaRef=1," día"," días"),"En plazo"))))))))</f>
        <v/>
      </c>
      <c r="P177" s="62">
        <f>IF(NOT((COUNTA($B177:$D177)+COUNTA($G177:$L177)+COUNTA($Q177))&gt;0),"",IF($D177="","Propia",IF($V177&lt;&gt;"Macro","Solo se delegan macroactividades",IF(N($AH177)&gt;0,"✔ Recibida por "&amp;$D177,"⚠ "&amp;$D177&amp;" aún no la agrega"))))</f>
        <v/>
      </c>
      <c r="Q177" s="58" t="n"/>
      <c r="R177" s="63">
        <f>IF(NOT((COUNTA($B177:$D177)+COUNTA($G177:$L177)+COUNTA($Q177))&gt;0),"",IF((IF($C177="","Falta el nombre de la actividad"&amp;" · ","")&amp;IF(AND($V177="Sub",N($U177)=0),"Subactividad sin macroactividad arriba"&amp;" · ","")&amp;IF($AM177="","Sin fecha de inicio"&amp;" · ","")&amp;IF($AN177="","Sin fecha límite"&amp;" · ","")&amp;IF(AND(LEFT($C177,11)="[Jefatura] ",N($AL177)=0),"No se encuentra en la hoja de la jefatura (elíjala de nuevo en la lista)"&amp;" · ","")&amp;IF(OR(AND($E177&lt;&gt;"",NOT(ISNUMBER($E177))),AND($F177&lt;&gt;"",NOT(ISNUMBER($F177))),AND($G177&lt;&gt;"",NOT(ISNUMBER($G177)))),"Fecha no válida"&amp;" · ","")&amp;IF(AND(ISNUMBER($AM177),ISNUMBER($AN177),$AM177&gt;$AN177),"Inicio posterior a fecha límite"&amp;" · ","")&amp;IF(AND($V177="Macro",$H177&lt;&gt;"",OR(NOT(ISNUMBER($H177)),$H177&lt;0,$H177&gt;1)),"Peso fuera de rango"&amp;" · ","")&amp;IF(AND($V177="Sub",$H177&lt;&gt;""),"Las subactividades no llevan peso (valen igual dentro de su macroactividad)"&amp;" · ","")&amp;IF(AND(N($W177)&gt;0,COUNT($I177:$L177)&gt;0),"Con subactividades: deje vacías las semanas (se calculan solas)"&amp;" · ","")&amp;IF((COUNTIF($I177:$L177,"&gt;1")+COUNTIF($I177:$L177,"&lt;0")+COUNTA($I177:$L177)-COUNT($I177:$L177))&gt;0,"Avance fuera de rango 0-100%"&amp;" · ","")&amp;IF(OR(AND($J177&lt;&gt;"",$J177&lt;$I177),AND($K177&lt;&gt;"",$K177&lt;MAX($I177:$J177)),AND($L177&lt;&gt;"",$L177&lt;MAX($I177:$K177))),"Avance semanal decreciente"&amp;" · ","")&amp;IF(AND(ISNUMBER($AN177),$AN177&lt;FechaRef,IF($V177="Sub",N($X177),N($M177))&lt;1),"Vencida"&amp;" · ","")&amp;IF(AND(ObsObligatoria="Sí",ISNUMBER($AN177),$AN177&lt;FechaRef,IF($V177="Sub",N($X177),N($M177))&lt;1,$Q177=""),"Vencida sin observación"&amp;" · ",""))="","✔ OK","⚠ "&amp;LEFT(IF($C177="","Falta el nombre de la actividad"&amp;" · ","")&amp;IF(AND($V177="Sub",N($U177)=0),"Subactividad sin macroactividad arriba"&amp;" · ","")&amp;IF($AM177="","Sin fecha de inicio"&amp;" · ","")&amp;IF($AN177="","Sin fecha límite"&amp;" · ","")&amp;IF(AND(LEFT($C177,11)="[Jefatura] ",N($AL177)=0),"No se encuentra en la hoja de la jefatura (elíjala de nuevo en la lista)"&amp;" · ","")&amp;IF(OR(AND($E177&lt;&gt;"",NOT(ISNUMBER($E177))),AND($F177&lt;&gt;"",NOT(ISNUMBER($F177))),AND($G177&lt;&gt;"",NOT(ISNUMBER($G177)))),"Fecha no válida"&amp;" · ","")&amp;IF(AND(ISNUMBER($AM177),ISNUMBER($AN177),$AM177&gt;$AN177),"Inicio posterior a fecha límite"&amp;" · ","")&amp;IF(AND($V177="Macro",$H177&lt;&gt;"",OR(NOT(ISNUMBER($H177)),$H177&lt;0,$H177&gt;1)),"Peso fuera de rango"&amp;" · ","")&amp;IF(AND($V177="Sub",$H177&lt;&gt;""),"Las subactividades no llevan peso (valen igual dentro de su macroactividad)"&amp;" · ","")&amp;IF(AND(N($W177)&gt;0,COUNT($I177:$L177)&gt;0),"Con subactividades: deje vacías las semanas (se calculan solas)"&amp;" · ","")&amp;IF((COUNTIF($I177:$L177,"&gt;1")+COUNTIF($I177:$L177,"&lt;0")+COUNTA($I177:$L177)-COUNT($I177:$L177))&gt;0,"Avance fuera de rango 0-100%"&amp;" · ","")&amp;IF(OR(AND($J177&lt;&gt;"",$J177&lt;$I177),AND($K177&lt;&gt;"",$K177&lt;MAX($I177:$J177)),AND($L177&lt;&gt;"",$L177&lt;MAX($I177:$K177))),"Avance semanal decreciente"&amp;" · ","")&amp;IF(AND(ISNUMBER($AN177),$AN177&lt;FechaRef,IF($V177="Sub",N($X177),N($M177))&lt;1),"Vencida"&amp;" · ","")&amp;IF(AND(ObsObligatoria="Sí",ISNUMBER($AN177),$AN177&lt;FechaRef,IF($V177="Sub",N($X177),N($M177))&lt;1,$Q177=""),"Vencida sin observación"&amp;" · ",""),LEN(IF($C177="","Falta el nombre de la actividad"&amp;" · ","")&amp;IF(AND($V177="Sub",N($U177)=0),"Subactividad sin macroactividad arriba"&amp;" · ","")&amp;IF($AM177="","Sin fecha de inicio"&amp;" · ","")&amp;IF($AN177="","Sin fecha límite"&amp;" · ","")&amp;IF(AND(LEFT($C177,11)="[Jefatura] ",N($AL177)=0),"No se encuentra en la hoja de la jefatura (elíjala de nuevo en la lista)"&amp;" · ","")&amp;IF(OR(AND($E177&lt;&gt;"",NOT(ISNUMBER($E177))),AND($F177&lt;&gt;"",NOT(ISNUMBER($F177))),AND($G177&lt;&gt;"",NOT(ISNUMBER($G177)))),"Fecha no válida"&amp;" · ","")&amp;IF(AND(ISNUMBER($AM177),ISNUMBER($AN177),$AM177&gt;$AN177),"Inicio posterior a fecha límite"&amp;" · ","")&amp;IF(AND($V177="Macro",$H177&lt;&gt;"",OR(NOT(ISNUMBER($H177)),$H177&lt;0,$H177&gt;1)),"Peso fuera de rango"&amp;" · ","")&amp;IF(AND($V177="Sub",$H177&lt;&gt;""),"Las subactividades no llevan peso (valen igual dentro de su macroactividad)"&amp;" · ","")&amp;IF(AND(N($W177)&gt;0,COUNT($I177:$L177)&gt;0),"Con subactividades: deje vacías las semanas (se calculan solas)"&amp;" · ","")&amp;IF((COUNTIF($I177:$L177,"&gt;1")+COUNTIF($I177:$L177,"&lt;0")+COUNTA($I177:$L177)-COUNT($I177:$L177))&gt;0,"Avance fuera de rango 0-100%"&amp;" · ","")&amp;IF(OR(AND($J177&lt;&gt;"",$J177&lt;$I177),AND($K177&lt;&gt;"",$K177&lt;MAX($I177:$J177)),AND($L177&lt;&gt;"",$L177&lt;MAX($I177:$K177))),"Avance semanal decreciente"&amp;" · ","")&amp;IF(AND(ISNUMBER($AN177),$AN177&lt;FechaRef,IF($V177="Sub",N($X177),N($M177))&lt;1),"Vencida"&amp;" · ","")&amp;IF(AND(ObsObligatoria="Sí",ISNUMBER($AN177),$AN177&lt;FechaRef,IF($V177="Sub",N($X177),N($M177))&lt;1,$Q177=""),"Vencida sin observación"&amp;" · ",""))-3)))</f>
        <v/>
      </c>
      <c r="S177" s="64">
        <f>IF(NOT((COUNTA($B177:$D177)+COUNTA($G177:$L177)+COUNTA($Q177))&gt;0),"",IF(AND($V177="Sub",N($U177)&gt;0),IF(ISNUMBER(INDEX($AM$5:$AM$1000,$U177-4)),DATE(YEAR(INDEX($AM$5:$AM$1000,$U177-4)),MONTH(INDEX($AM$5:$AM$1000,$U177-4)),1),IF(ISNUMBER(INDEX($AN$5:$AN$1000,$U177-4)),DATE(YEAR(INDEX($AN$5:$AN$1000,$U177-4)),MONTH(INDEX($AN$5:$AN$1000,$U177-4)),1),MesCiclo)),IF(ISNUMBER($AM177),DATE(YEAR($AM177),MONTH($AM177),1),IF(ISNUMBER($AN177),DATE(YEAR($AN177),MONTH($AN177),1),MesCiclo))))</f>
        <v/>
      </c>
      <c r="T177" s="62">
        <f>IF(OR($S177="",$S177&lt;&gt;MesCiclo,$V177&lt;&gt;"Macro"),"",COUNTIFS($S$5:$S177,MesCiclo,$V$5:$V177,"Macro"))</f>
        <v/>
      </c>
      <c r="U177" s="62">
        <f>IF($V177="","",IF($V177="Macro",ROW(),IFERROR(LOOKUP(2,1/($V$5:$V177="Macro"),ROW($V$5:$V177)),0)))</f>
        <v/>
      </c>
      <c r="V177" s="62">
        <f>IF(NOT((COUNTA($B177:$D177)+COUNTA($G177:$L177)+COUNTA($Q177))&gt;0),"",IF($B177="Subactividad","Sub","Macro"))</f>
        <v/>
      </c>
      <c r="W177" s="62">
        <f>IF($V177="Macro",COUNTIFS($U$5:$U$1000,ROW(),$V$5:$V$1000,"Sub"),"")</f>
        <v/>
      </c>
      <c r="X177" s="62">
        <f>IF($V177="","",IF(ISNUMBER($G177),1,IFERROR(LOOKUP(2,1/($I177:$L177&lt;&gt;""),$I177:$L177),0)))</f>
        <v/>
      </c>
      <c r="Y177" s="62">
        <f>IF($V177="","",IF(AND(ISNUMBER($G177),$G177&lt;=IF($S177=MesCiclo,InicioCiclo,$S177+MOD(2-WEEKDAY($S177),7))+6),1,IF(ISNUMBER($I177),$I177,0)))</f>
        <v/>
      </c>
      <c r="Z177" s="62">
        <f>IF($V177="","",IF(AND(ISNUMBER($G177),$G177&lt;=IF($S177=MesCiclo,InicioCiclo,$S177+MOD(2-WEEKDAY($S177),7))+13),1,IF(ISNUMBER($J177),$J177,$Y177)))</f>
        <v/>
      </c>
      <c r="AA177" s="62">
        <f>IF($V177="","",IF(AND(ISNUMBER($G177),$G177&lt;=IF($S177=MesCiclo,InicioCiclo,$S177+MOD(2-WEEKDAY($S177),7))+20),1,IF(ISNUMBER($K177),$K177,$Z177)))</f>
        <v/>
      </c>
      <c r="AB177" s="62">
        <f>IF($V177="","",IF(AND(ISNUMBER($G177),$G177&lt;=IF($S177=MesCiclo,InicioCiclo,$S177+MOD(2-WEEKDAY($S177),7))+27),1,IF(ISNUMBER($L177),$L177,$AA177)))</f>
        <v/>
      </c>
      <c r="AC177" s="62">
        <f>IF($V177="","",IF(AND(ISNUMBER($G177),$G177&lt;=IF($S177=MesCiclo,InicioCiclo,$S177+MOD(2-WEEKDAY($S177),7))+6),1,IF(N($W177)&gt;0,AVERAGEIFS($Y$5:$Y$1000,$U$5:$U$1000,ROW(),$V$5:$V$1000,"Sub"),$Y177)))</f>
        <v/>
      </c>
      <c r="AD177" s="62">
        <f>IF($V177="","",IF(AND(ISNUMBER($G177),$G177&lt;=IF($S177=MesCiclo,InicioCiclo,$S177+MOD(2-WEEKDAY($S177),7))+13),1,IF(N($W177)&gt;0,AVERAGEIFS($Z$5:$Z$1000,$U$5:$U$1000,ROW(),$V$5:$V$1000,"Sub"),$Z177)))</f>
        <v/>
      </c>
      <c r="AE177" s="62">
        <f>IF($V177="","",IF(AND(ISNUMBER($G177),$G177&lt;=IF($S177=MesCiclo,InicioCiclo,$S177+MOD(2-WEEKDAY($S177),7))+20),1,IF(N($W177)&gt;0,AVERAGEIFS($AA$5:$AA$1000,$U$5:$U$1000,ROW(),$V$5:$V$1000,"Sub"),$AA177)))</f>
        <v/>
      </c>
      <c r="AF177" s="62">
        <f>IF($V177="","",IF(AND(ISNUMBER($G177),$G177&lt;=IF($S177=MesCiclo,InicioCiclo,$S177+MOD(2-WEEKDAY($S177),7))+27),1,IF(N($W177)&gt;0,AVERAGEIFS($AB$5:$AB$1000,$U$5:$U$1000,ROW(),$V$5:$V$1000,"Sub"),$AB177)))</f>
        <v/>
      </c>
      <c r="AG177" s="62">
        <f>IF($V177&lt;&gt;"Macro","",IF(COUNTIFS($S$5:$S$1000,$S177,$V$5:$V$1000,"Macro",$H$5:$H$1000,"&gt;0")=0,1/COUNTIFS($S$5:$S$1000,$S177,$V$5:$V$1000,"Macro"),IF(AND(ISNUMBER($H177),N($H177)&gt;0),$H177,SUMIFS($H$5:$H$1000,$S$5:$S$1000,$S177,$V$5:$V$1000,"Macro")/COUNTIFS($S$5:$S$1000,$S177,$V$5:$V$1000,"Macro",$H$5:$H$1000,"&gt;0"))/(COUNTIFS($S$5:$S$1000,$S177,$V$5:$V$1000,"Macro")*SUMIFS($H$5:$H$1000,$S$5:$S$1000,$S177,$V$5:$V$1000,"Macro")/COUNTIFS($S$5:$S$1000,$S177,$V$5:$V$1000,"Macro",$H$5:$H$1000,"&gt;0"))))</f>
        <v/>
      </c>
      <c r="AH177" s="62">
        <f>IF(NOT(AND($D177&lt;&gt;"",$V177="Macro")),"",IFERROR(CHOOSE(MATCH($D177,ListaPuestos,0),MATCH("[Jefatura] "&amp;$C177,'Cronograma R. Operacional'!$C$5:$C$1000,0),MATCH("[Jefatura] "&amp;$C177,'Cronograma R. Normativo'!$C$5:$C$1000,0),MATCH("[Jefatura] "&amp;$C177,'Cronograma R. Financiero'!$C$5:$C$1000,0),MATCH("[Jefatura] "&amp;$C177,'Cronograma Asistente Técnico'!$C$5:$C$1000,0)),0))</f>
        <v/>
      </c>
      <c r="AI177" s="62">
        <f>IF(AND(AND($D177&lt;&gt;"",$V177="Macro"),$S177=MesCiclo),COUNTIFS($D$5:$D177,$D177,$S$5:$S177,MesCiclo,$V$5:$V177,"Macro"),"")</f>
        <v/>
      </c>
      <c r="AJ177" s="62">
        <f>IF($AI177="","",$D177&amp;"|"&amp;$AI177)</f>
        <v/>
      </c>
      <c r="AK177" s="62">
        <f>IF(AND($D177&lt;&gt;"",$V177="Macro"),$D177&amp;"|"&amp;$C177,"")</f>
        <v/>
      </c>
      <c r="AL177" s="62">
        <f>""</f>
        <v/>
      </c>
      <c r="AM177" s="62">
        <f>IF(N($AL177)&gt;0,INDEX(rIni_ADM,$AL177),IF(ISNUMBER($E177),$E177,""))</f>
        <v/>
      </c>
      <c r="AN177" s="62">
        <f>IF(N($AL177)&gt;0,INDEX(rLim_ADM,$AL177),IF(ISNUMBER($F177),$F177,""))</f>
        <v/>
      </c>
    </row>
    <row r="178">
      <c r="A178" s="56">
        <f>IF(NOT((COUNTA($B178:$D178)+COUNTA($G178:$L178)+COUNTA($Q178))&gt;0),"",IF($V178="Macro",COUNTIFS($V$5:$V178,"Macro",$S$5:$S178,$S178),IF(N($U178)=0,"?",COUNTIFS(INDEX($V$5:$V$1000,1):INDEX($V$5:$V$1000,$U178-4),"Macro",INDEX($S$5:$S$1000,1):INDEX($S$5:$S$1000,$U178-4),INDEX($S$5:$S$1000,$U178-4))&amp;"."&amp;COUNTIFS($U$5:$U178,$U178,$V$5:$V178,"Sub"))))</f>
        <v/>
      </c>
      <c r="B178" s="57" t="n"/>
      <c r="C178" s="58" t="n"/>
      <c r="D178" s="58" t="n"/>
      <c r="E178" s="59" t="n"/>
      <c r="F178" s="59" t="n"/>
      <c r="G178" s="59" t="n"/>
      <c r="H178" s="60" t="n"/>
      <c r="I178" s="60" t="n"/>
      <c r="J178" s="60" t="n"/>
      <c r="K178" s="60" t="n"/>
      <c r="L178" s="60" t="n"/>
      <c r="M178" s="61">
        <f>IF(NOT((COUNTA($B178:$D178)+COUNTA($G178:$L178)+COUNTA($Q178))&gt;0),"",IF(AND($D178&lt;&gt;"",$V178="Macro"),IF(N($AH178)&gt;0,N(CHOOSE(MATCH($D178,ListaPuestos,0),INDEX('Cronograma R. Operacional'!$M$5:$M$1000,$AH178),INDEX('Cronograma R. Normativo'!$M$5:$M$1000,$AH178),INDEX('Cronograma R. Financiero'!$M$5:$M$1000,$AH178),INDEX('Cronograma Asistente Técnico'!$M$5:$M$1000,$AH178))),0),IF(ISNUMBER($G178),1,IF(N($W178)&gt;0,AVERAGEIFS($X$5:$X$1000,$U$5:$U$1000,ROW(),$V$5:$V$1000,"Sub"),$X178))))</f>
        <v/>
      </c>
      <c r="N178" s="56">
        <f>IF(OR($M178="",$V178="Sub"),"",IF($M178&gt;=1,"Completado",IF($M178&gt;0,"En curso","Pendiente")))</f>
        <v/>
      </c>
      <c r="O178" s="56">
        <f>IF(NOT((COUNTA($B178:$D178)+COUNTA($G178:$L178)+COUNTA($Q178))&gt;0),"",IF(AND(AND($D178&lt;&gt;"",$V178="Macro"),N($AH178)&gt;0),CHOOSE(MATCH($D178,ListaPuestos,0),INDEX('Cronograma R. Operacional'!$O$5:$O$1000,$AH178),INDEX('Cronograma R. Normativo'!$O$5:$O$1000,$AH178),INDEX('Cronograma R. Financiero'!$O$5:$O$1000,$AH178),INDEX('Cronograma Asistente Técnico'!$O$5:$O$1000,$AH178))&amp;"",IF(ISNUMBER($G178),IF(AND(ISNUMBER($AN178),$G178&gt;$AN178),"Cumplida con "&amp;($G178-$AN178)&amp;IF($G178-$AN178=1," día"," días")&amp;" de retraso","Cumplida"),IF(N($M178)&gt;=1,"Cumplida",IF(NOT(ISNUMBER($AN178)),"Sin fecha límite",IF($AN178&lt;FechaRef,"Vencida hace "&amp;(FechaRef-$AN178)&amp;IF(FechaRef-$AN178=1," día"," días"),IF($AN178=FechaRef,"Vence hoy",IF($AN178-FechaRef&lt;=DiasAlerta,"Vence en "&amp;($AN178-FechaRef)&amp;IF($AN178-FechaRef=1," día"," días"),"En plazo"))))))))</f>
        <v/>
      </c>
      <c r="P178" s="62">
        <f>IF(NOT((COUNTA($B178:$D178)+COUNTA($G178:$L178)+COUNTA($Q178))&gt;0),"",IF($D178="","Propia",IF($V178&lt;&gt;"Macro","Solo se delegan macroactividades",IF(N($AH178)&gt;0,"✔ Recibida por "&amp;$D178,"⚠ "&amp;$D178&amp;" aún no la agrega"))))</f>
        <v/>
      </c>
      <c r="Q178" s="58" t="n"/>
      <c r="R178" s="63">
        <f>IF(NOT((COUNTA($B178:$D178)+COUNTA($G178:$L178)+COUNTA($Q178))&gt;0),"",IF((IF($C178="","Falta el nombre de la actividad"&amp;" · ","")&amp;IF(AND($V178="Sub",N($U178)=0),"Subactividad sin macroactividad arriba"&amp;" · ","")&amp;IF($AM178="","Sin fecha de inicio"&amp;" · ","")&amp;IF($AN178="","Sin fecha límite"&amp;" · ","")&amp;IF(AND(LEFT($C178,11)="[Jefatura] ",N($AL178)=0),"No se encuentra en la hoja de la jefatura (elíjala de nuevo en la lista)"&amp;" · ","")&amp;IF(OR(AND($E178&lt;&gt;"",NOT(ISNUMBER($E178))),AND($F178&lt;&gt;"",NOT(ISNUMBER($F178))),AND($G178&lt;&gt;"",NOT(ISNUMBER($G178)))),"Fecha no válida"&amp;" · ","")&amp;IF(AND(ISNUMBER($AM178),ISNUMBER($AN178),$AM178&gt;$AN178),"Inicio posterior a fecha límite"&amp;" · ","")&amp;IF(AND($V178="Macro",$H178&lt;&gt;"",OR(NOT(ISNUMBER($H178)),$H178&lt;0,$H178&gt;1)),"Peso fuera de rango"&amp;" · ","")&amp;IF(AND($V178="Sub",$H178&lt;&gt;""),"Las subactividades no llevan peso (valen igual dentro de su macroactividad)"&amp;" · ","")&amp;IF(AND(N($W178)&gt;0,COUNT($I178:$L178)&gt;0),"Con subactividades: deje vacías las semanas (se calculan solas)"&amp;" · ","")&amp;IF((COUNTIF($I178:$L178,"&gt;1")+COUNTIF($I178:$L178,"&lt;0")+COUNTA($I178:$L178)-COUNT($I178:$L178))&gt;0,"Avance fuera de rango 0-100%"&amp;" · ","")&amp;IF(OR(AND($J178&lt;&gt;"",$J178&lt;$I178),AND($K178&lt;&gt;"",$K178&lt;MAX($I178:$J178)),AND($L178&lt;&gt;"",$L178&lt;MAX($I178:$K178))),"Avance semanal decreciente"&amp;" · ","")&amp;IF(AND(ISNUMBER($AN178),$AN178&lt;FechaRef,IF($V178="Sub",N($X178),N($M178))&lt;1),"Vencida"&amp;" · ","")&amp;IF(AND(ObsObligatoria="Sí",ISNUMBER($AN178),$AN178&lt;FechaRef,IF($V178="Sub",N($X178),N($M178))&lt;1,$Q178=""),"Vencida sin observación"&amp;" · ",""))="","✔ OK","⚠ "&amp;LEFT(IF($C178="","Falta el nombre de la actividad"&amp;" · ","")&amp;IF(AND($V178="Sub",N($U178)=0),"Subactividad sin macroactividad arriba"&amp;" · ","")&amp;IF($AM178="","Sin fecha de inicio"&amp;" · ","")&amp;IF($AN178="","Sin fecha límite"&amp;" · ","")&amp;IF(AND(LEFT($C178,11)="[Jefatura] ",N($AL178)=0),"No se encuentra en la hoja de la jefatura (elíjala de nuevo en la lista)"&amp;" · ","")&amp;IF(OR(AND($E178&lt;&gt;"",NOT(ISNUMBER($E178))),AND($F178&lt;&gt;"",NOT(ISNUMBER($F178))),AND($G178&lt;&gt;"",NOT(ISNUMBER($G178)))),"Fecha no válida"&amp;" · ","")&amp;IF(AND(ISNUMBER($AM178),ISNUMBER($AN178),$AM178&gt;$AN178),"Inicio posterior a fecha límite"&amp;" · ","")&amp;IF(AND($V178="Macro",$H178&lt;&gt;"",OR(NOT(ISNUMBER($H178)),$H178&lt;0,$H178&gt;1)),"Peso fuera de rango"&amp;" · ","")&amp;IF(AND($V178="Sub",$H178&lt;&gt;""),"Las subactividades no llevan peso (valen igual dentro de su macroactividad)"&amp;" · ","")&amp;IF(AND(N($W178)&gt;0,COUNT($I178:$L178)&gt;0),"Con subactividades: deje vacías las semanas (se calculan solas)"&amp;" · ","")&amp;IF((COUNTIF($I178:$L178,"&gt;1")+COUNTIF($I178:$L178,"&lt;0")+COUNTA($I178:$L178)-COUNT($I178:$L178))&gt;0,"Avance fuera de rango 0-100%"&amp;" · ","")&amp;IF(OR(AND($J178&lt;&gt;"",$J178&lt;$I178),AND($K178&lt;&gt;"",$K178&lt;MAX($I178:$J178)),AND($L178&lt;&gt;"",$L178&lt;MAX($I178:$K178))),"Avance semanal decreciente"&amp;" · ","")&amp;IF(AND(ISNUMBER($AN178),$AN178&lt;FechaRef,IF($V178="Sub",N($X178),N($M178))&lt;1),"Vencida"&amp;" · ","")&amp;IF(AND(ObsObligatoria="Sí",ISNUMBER($AN178),$AN178&lt;FechaRef,IF($V178="Sub",N($X178),N($M178))&lt;1,$Q178=""),"Vencida sin observación"&amp;" · ",""),LEN(IF($C178="","Falta el nombre de la actividad"&amp;" · ","")&amp;IF(AND($V178="Sub",N($U178)=0),"Subactividad sin macroactividad arriba"&amp;" · ","")&amp;IF($AM178="","Sin fecha de inicio"&amp;" · ","")&amp;IF($AN178="","Sin fecha límite"&amp;" · ","")&amp;IF(AND(LEFT($C178,11)="[Jefatura] ",N($AL178)=0),"No se encuentra en la hoja de la jefatura (elíjala de nuevo en la lista)"&amp;" · ","")&amp;IF(OR(AND($E178&lt;&gt;"",NOT(ISNUMBER($E178))),AND($F178&lt;&gt;"",NOT(ISNUMBER($F178))),AND($G178&lt;&gt;"",NOT(ISNUMBER($G178)))),"Fecha no válida"&amp;" · ","")&amp;IF(AND(ISNUMBER($AM178),ISNUMBER($AN178),$AM178&gt;$AN178),"Inicio posterior a fecha límite"&amp;" · ","")&amp;IF(AND($V178="Macro",$H178&lt;&gt;"",OR(NOT(ISNUMBER($H178)),$H178&lt;0,$H178&gt;1)),"Peso fuera de rango"&amp;" · ","")&amp;IF(AND($V178="Sub",$H178&lt;&gt;""),"Las subactividades no llevan peso (valen igual dentro de su macroactividad)"&amp;" · ","")&amp;IF(AND(N($W178)&gt;0,COUNT($I178:$L178)&gt;0),"Con subactividades: deje vacías las semanas (se calculan solas)"&amp;" · ","")&amp;IF((COUNTIF($I178:$L178,"&gt;1")+COUNTIF($I178:$L178,"&lt;0")+COUNTA($I178:$L178)-COUNT($I178:$L178))&gt;0,"Avance fuera de rango 0-100%"&amp;" · ","")&amp;IF(OR(AND($J178&lt;&gt;"",$J178&lt;$I178),AND($K178&lt;&gt;"",$K178&lt;MAX($I178:$J178)),AND($L178&lt;&gt;"",$L178&lt;MAX($I178:$K178))),"Avance semanal decreciente"&amp;" · ","")&amp;IF(AND(ISNUMBER($AN178),$AN178&lt;FechaRef,IF($V178="Sub",N($X178),N($M178))&lt;1),"Vencida"&amp;" · ","")&amp;IF(AND(ObsObligatoria="Sí",ISNUMBER($AN178),$AN178&lt;FechaRef,IF($V178="Sub",N($X178),N($M178))&lt;1,$Q178=""),"Vencida sin observación"&amp;" · ",""))-3)))</f>
        <v/>
      </c>
      <c r="S178" s="64">
        <f>IF(NOT((COUNTA($B178:$D178)+COUNTA($G178:$L178)+COUNTA($Q178))&gt;0),"",IF(AND($V178="Sub",N($U178)&gt;0),IF(ISNUMBER(INDEX($AM$5:$AM$1000,$U178-4)),DATE(YEAR(INDEX($AM$5:$AM$1000,$U178-4)),MONTH(INDEX($AM$5:$AM$1000,$U178-4)),1),IF(ISNUMBER(INDEX($AN$5:$AN$1000,$U178-4)),DATE(YEAR(INDEX($AN$5:$AN$1000,$U178-4)),MONTH(INDEX($AN$5:$AN$1000,$U178-4)),1),MesCiclo)),IF(ISNUMBER($AM178),DATE(YEAR($AM178),MONTH($AM178),1),IF(ISNUMBER($AN178),DATE(YEAR($AN178),MONTH($AN178),1),MesCiclo))))</f>
        <v/>
      </c>
      <c r="T178" s="62">
        <f>IF(OR($S178="",$S178&lt;&gt;MesCiclo,$V178&lt;&gt;"Macro"),"",COUNTIFS($S$5:$S178,MesCiclo,$V$5:$V178,"Macro"))</f>
        <v/>
      </c>
      <c r="U178" s="62">
        <f>IF($V178="","",IF($V178="Macro",ROW(),IFERROR(LOOKUP(2,1/($V$5:$V178="Macro"),ROW($V$5:$V178)),0)))</f>
        <v/>
      </c>
      <c r="V178" s="62">
        <f>IF(NOT((COUNTA($B178:$D178)+COUNTA($G178:$L178)+COUNTA($Q178))&gt;0),"",IF($B178="Subactividad","Sub","Macro"))</f>
        <v/>
      </c>
      <c r="W178" s="62">
        <f>IF($V178="Macro",COUNTIFS($U$5:$U$1000,ROW(),$V$5:$V$1000,"Sub"),"")</f>
        <v/>
      </c>
      <c r="X178" s="62">
        <f>IF($V178="","",IF(ISNUMBER($G178),1,IFERROR(LOOKUP(2,1/($I178:$L178&lt;&gt;""),$I178:$L178),0)))</f>
        <v/>
      </c>
      <c r="Y178" s="62">
        <f>IF($V178="","",IF(AND(ISNUMBER($G178),$G178&lt;=IF($S178=MesCiclo,InicioCiclo,$S178+MOD(2-WEEKDAY($S178),7))+6),1,IF(ISNUMBER($I178),$I178,0)))</f>
        <v/>
      </c>
      <c r="Z178" s="62">
        <f>IF($V178="","",IF(AND(ISNUMBER($G178),$G178&lt;=IF($S178=MesCiclo,InicioCiclo,$S178+MOD(2-WEEKDAY($S178),7))+13),1,IF(ISNUMBER($J178),$J178,$Y178)))</f>
        <v/>
      </c>
      <c r="AA178" s="62">
        <f>IF($V178="","",IF(AND(ISNUMBER($G178),$G178&lt;=IF($S178=MesCiclo,InicioCiclo,$S178+MOD(2-WEEKDAY($S178),7))+20),1,IF(ISNUMBER($K178),$K178,$Z178)))</f>
        <v/>
      </c>
      <c r="AB178" s="62">
        <f>IF($V178="","",IF(AND(ISNUMBER($G178),$G178&lt;=IF($S178=MesCiclo,InicioCiclo,$S178+MOD(2-WEEKDAY($S178),7))+27),1,IF(ISNUMBER($L178),$L178,$AA178)))</f>
        <v/>
      </c>
      <c r="AC178" s="62">
        <f>IF($V178="","",IF(AND(ISNUMBER($G178),$G178&lt;=IF($S178=MesCiclo,InicioCiclo,$S178+MOD(2-WEEKDAY($S178),7))+6),1,IF(N($W178)&gt;0,AVERAGEIFS($Y$5:$Y$1000,$U$5:$U$1000,ROW(),$V$5:$V$1000,"Sub"),$Y178)))</f>
        <v/>
      </c>
      <c r="AD178" s="62">
        <f>IF($V178="","",IF(AND(ISNUMBER($G178),$G178&lt;=IF($S178=MesCiclo,InicioCiclo,$S178+MOD(2-WEEKDAY($S178),7))+13),1,IF(N($W178)&gt;0,AVERAGEIFS($Z$5:$Z$1000,$U$5:$U$1000,ROW(),$V$5:$V$1000,"Sub"),$Z178)))</f>
        <v/>
      </c>
      <c r="AE178" s="62">
        <f>IF($V178="","",IF(AND(ISNUMBER($G178),$G178&lt;=IF($S178=MesCiclo,InicioCiclo,$S178+MOD(2-WEEKDAY($S178),7))+20),1,IF(N($W178)&gt;0,AVERAGEIFS($AA$5:$AA$1000,$U$5:$U$1000,ROW(),$V$5:$V$1000,"Sub"),$AA178)))</f>
        <v/>
      </c>
      <c r="AF178" s="62">
        <f>IF($V178="","",IF(AND(ISNUMBER($G178),$G178&lt;=IF($S178=MesCiclo,InicioCiclo,$S178+MOD(2-WEEKDAY($S178),7))+27),1,IF(N($W178)&gt;0,AVERAGEIFS($AB$5:$AB$1000,$U$5:$U$1000,ROW(),$V$5:$V$1000,"Sub"),$AB178)))</f>
        <v/>
      </c>
      <c r="AG178" s="62">
        <f>IF($V178&lt;&gt;"Macro","",IF(COUNTIFS($S$5:$S$1000,$S178,$V$5:$V$1000,"Macro",$H$5:$H$1000,"&gt;0")=0,1/COUNTIFS($S$5:$S$1000,$S178,$V$5:$V$1000,"Macro"),IF(AND(ISNUMBER($H178),N($H178)&gt;0),$H178,SUMIFS($H$5:$H$1000,$S$5:$S$1000,$S178,$V$5:$V$1000,"Macro")/COUNTIFS($S$5:$S$1000,$S178,$V$5:$V$1000,"Macro",$H$5:$H$1000,"&gt;0"))/(COUNTIFS($S$5:$S$1000,$S178,$V$5:$V$1000,"Macro")*SUMIFS($H$5:$H$1000,$S$5:$S$1000,$S178,$V$5:$V$1000,"Macro")/COUNTIFS($S$5:$S$1000,$S178,$V$5:$V$1000,"Macro",$H$5:$H$1000,"&gt;0"))))</f>
        <v/>
      </c>
      <c r="AH178" s="62">
        <f>IF(NOT(AND($D178&lt;&gt;"",$V178="Macro")),"",IFERROR(CHOOSE(MATCH($D178,ListaPuestos,0),MATCH("[Jefatura] "&amp;$C178,'Cronograma R. Operacional'!$C$5:$C$1000,0),MATCH("[Jefatura] "&amp;$C178,'Cronograma R. Normativo'!$C$5:$C$1000,0),MATCH("[Jefatura] "&amp;$C178,'Cronograma R. Financiero'!$C$5:$C$1000,0),MATCH("[Jefatura] "&amp;$C178,'Cronograma Asistente Técnico'!$C$5:$C$1000,0)),0))</f>
        <v/>
      </c>
      <c r="AI178" s="62">
        <f>IF(AND(AND($D178&lt;&gt;"",$V178="Macro"),$S178=MesCiclo),COUNTIFS($D$5:$D178,$D178,$S$5:$S178,MesCiclo,$V$5:$V178,"Macro"),"")</f>
        <v/>
      </c>
      <c r="AJ178" s="62">
        <f>IF($AI178="","",$D178&amp;"|"&amp;$AI178)</f>
        <v/>
      </c>
      <c r="AK178" s="62">
        <f>IF(AND($D178&lt;&gt;"",$V178="Macro"),$D178&amp;"|"&amp;$C178,"")</f>
        <v/>
      </c>
      <c r="AL178" s="62">
        <f>""</f>
        <v/>
      </c>
      <c r="AM178" s="62">
        <f>IF(N($AL178)&gt;0,INDEX(rIni_ADM,$AL178),IF(ISNUMBER($E178),$E178,""))</f>
        <v/>
      </c>
      <c r="AN178" s="62">
        <f>IF(N($AL178)&gt;0,INDEX(rLim_ADM,$AL178),IF(ISNUMBER($F178),$F178,""))</f>
        <v/>
      </c>
    </row>
    <row r="179">
      <c r="A179" s="56">
        <f>IF(NOT((COUNTA($B179:$D179)+COUNTA($G179:$L179)+COUNTA($Q179))&gt;0),"",IF($V179="Macro",COUNTIFS($V$5:$V179,"Macro",$S$5:$S179,$S179),IF(N($U179)=0,"?",COUNTIFS(INDEX($V$5:$V$1000,1):INDEX($V$5:$V$1000,$U179-4),"Macro",INDEX($S$5:$S$1000,1):INDEX($S$5:$S$1000,$U179-4),INDEX($S$5:$S$1000,$U179-4))&amp;"."&amp;COUNTIFS($U$5:$U179,$U179,$V$5:$V179,"Sub"))))</f>
        <v/>
      </c>
      <c r="B179" s="57" t="n"/>
      <c r="C179" s="58" t="n"/>
      <c r="D179" s="58" t="n"/>
      <c r="E179" s="59" t="n"/>
      <c r="F179" s="59" t="n"/>
      <c r="G179" s="59" t="n"/>
      <c r="H179" s="60" t="n"/>
      <c r="I179" s="60" t="n"/>
      <c r="J179" s="60" t="n"/>
      <c r="K179" s="60" t="n"/>
      <c r="L179" s="60" t="n"/>
      <c r="M179" s="61">
        <f>IF(NOT((COUNTA($B179:$D179)+COUNTA($G179:$L179)+COUNTA($Q179))&gt;0),"",IF(AND($D179&lt;&gt;"",$V179="Macro"),IF(N($AH179)&gt;0,N(CHOOSE(MATCH($D179,ListaPuestos,0),INDEX('Cronograma R. Operacional'!$M$5:$M$1000,$AH179),INDEX('Cronograma R. Normativo'!$M$5:$M$1000,$AH179),INDEX('Cronograma R. Financiero'!$M$5:$M$1000,$AH179),INDEX('Cronograma Asistente Técnico'!$M$5:$M$1000,$AH179))),0),IF(ISNUMBER($G179),1,IF(N($W179)&gt;0,AVERAGEIFS($X$5:$X$1000,$U$5:$U$1000,ROW(),$V$5:$V$1000,"Sub"),$X179))))</f>
        <v/>
      </c>
      <c r="N179" s="56">
        <f>IF(OR($M179="",$V179="Sub"),"",IF($M179&gt;=1,"Completado",IF($M179&gt;0,"En curso","Pendiente")))</f>
        <v/>
      </c>
      <c r="O179" s="56">
        <f>IF(NOT((COUNTA($B179:$D179)+COUNTA($G179:$L179)+COUNTA($Q179))&gt;0),"",IF(AND(AND($D179&lt;&gt;"",$V179="Macro"),N($AH179)&gt;0),CHOOSE(MATCH($D179,ListaPuestos,0),INDEX('Cronograma R. Operacional'!$O$5:$O$1000,$AH179),INDEX('Cronograma R. Normativo'!$O$5:$O$1000,$AH179),INDEX('Cronograma R. Financiero'!$O$5:$O$1000,$AH179),INDEX('Cronograma Asistente Técnico'!$O$5:$O$1000,$AH179))&amp;"",IF(ISNUMBER($G179),IF(AND(ISNUMBER($AN179),$G179&gt;$AN179),"Cumplida con "&amp;($G179-$AN179)&amp;IF($G179-$AN179=1," día"," días")&amp;" de retraso","Cumplida"),IF(N($M179)&gt;=1,"Cumplida",IF(NOT(ISNUMBER($AN179)),"Sin fecha límite",IF($AN179&lt;FechaRef,"Vencida hace "&amp;(FechaRef-$AN179)&amp;IF(FechaRef-$AN179=1," día"," días"),IF($AN179=FechaRef,"Vence hoy",IF($AN179-FechaRef&lt;=DiasAlerta,"Vence en "&amp;($AN179-FechaRef)&amp;IF($AN179-FechaRef=1," día"," días"),"En plazo"))))))))</f>
        <v/>
      </c>
      <c r="P179" s="62">
        <f>IF(NOT((COUNTA($B179:$D179)+COUNTA($G179:$L179)+COUNTA($Q179))&gt;0),"",IF($D179="","Propia",IF($V179&lt;&gt;"Macro","Solo se delegan macroactividades",IF(N($AH179)&gt;0,"✔ Recibida por "&amp;$D179,"⚠ "&amp;$D179&amp;" aún no la agrega"))))</f>
        <v/>
      </c>
      <c r="Q179" s="58" t="n"/>
      <c r="R179" s="63">
        <f>IF(NOT((COUNTA($B179:$D179)+COUNTA($G179:$L179)+COUNTA($Q179))&gt;0),"",IF((IF($C179="","Falta el nombre de la actividad"&amp;" · ","")&amp;IF(AND($V179="Sub",N($U179)=0),"Subactividad sin macroactividad arriba"&amp;" · ","")&amp;IF($AM179="","Sin fecha de inicio"&amp;" · ","")&amp;IF($AN179="","Sin fecha límite"&amp;" · ","")&amp;IF(AND(LEFT($C179,11)="[Jefatura] ",N($AL179)=0),"No se encuentra en la hoja de la jefatura (elíjala de nuevo en la lista)"&amp;" · ","")&amp;IF(OR(AND($E179&lt;&gt;"",NOT(ISNUMBER($E179))),AND($F179&lt;&gt;"",NOT(ISNUMBER($F179))),AND($G179&lt;&gt;"",NOT(ISNUMBER($G179)))),"Fecha no válida"&amp;" · ","")&amp;IF(AND(ISNUMBER($AM179),ISNUMBER($AN179),$AM179&gt;$AN179),"Inicio posterior a fecha límite"&amp;" · ","")&amp;IF(AND($V179="Macro",$H179&lt;&gt;"",OR(NOT(ISNUMBER($H179)),$H179&lt;0,$H179&gt;1)),"Peso fuera de rango"&amp;" · ","")&amp;IF(AND($V179="Sub",$H179&lt;&gt;""),"Las subactividades no llevan peso (valen igual dentro de su macroactividad)"&amp;" · ","")&amp;IF(AND(N($W179)&gt;0,COUNT($I179:$L179)&gt;0),"Con subactividades: deje vacías las semanas (se calculan solas)"&amp;" · ","")&amp;IF((COUNTIF($I179:$L179,"&gt;1")+COUNTIF($I179:$L179,"&lt;0")+COUNTA($I179:$L179)-COUNT($I179:$L179))&gt;0,"Avance fuera de rango 0-100%"&amp;" · ","")&amp;IF(OR(AND($J179&lt;&gt;"",$J179&lt;$I179),AND($K179&lt;&gt;"",$K179&lt;MAX($I179:$J179)),AND($L179&lt;&gt;"",$L179&lt;MAX($I179:$K179))),"Avance semanal decreciente"&amp;" · ","")&amp;IF(AND(ISNUMBER($AN179),$AN179&lt;FechaRef,IF($V179="Sub",N($X179),N($M179))&lt;1),"Vencida"&amp;" · ","")&amp;IF(AND(ObsObligatoria="Sí",ISNUMBER($AN179),$AN179&lt;FechaRef,IF($V179="Sub",N($X179),N($M179))&lt;1,$Q179=""),"Vencida sin observación"&amp;" · ",""))="","✔ OK","⚠ "&amp;LEFT(IF($C179="","Falta el nombre de la actividad"&amp;" · ","")&amp;IF(AND($V179="Sub",N($U179)=0),"Subactividad sin macroactividad arriba"&amp;" · ","")&amp;IF($AM179="","Sin fecha de inicio"&amp;" · ","")&amp;IF($AN179="","Sin fecha límite"&amp;" · ","")&amp;IF(AND(LEFT($C179,11)="[Jefatura] ",N($AL179)=0),"No se encuentra en la hoja de la jefatura (elíjala de nuevo en la lista)"&amp;" · ","")&amp;IF(OR(AND($E179&lt;&gt;"",NOT(ISNUMBER($E179))),AND($F179&lt;&gt;"",NOT(ISNUMBER($F179))),AND($G179&lt;&gt;"",NOT(ISNUMBER($G179)))),"Fecha no válida"&amp;" · ","")&amp;IF(AND(ISNUMBER($AM179),ISNUMBER($AN179),$AM179&gt;$AN179),"Inicio posterior a fecha límite"&amp;" · ","")&amp;IF(AND($V179="Macro",$H179&lt;&gt;"",OR(NOT(ISNUMBER($H179)),$H179&lt;0,$H179&gt;1)),"Peso fuera de rango"&amp;" · ","")&amp;IF(AND($V179="Sub",$H179&lt;&gt;""),"Las subactividades no llevan peso (valen igual dentro de su macroactividad)"&amp;" · ","")&amp;IF(AND(N($W179)&gt;0,COUNT($I179:$L179)&gt;0),"Con subactividades: deje vacías las semanas (se calculan solas)"&amp;" · ","")&amp;IF((COUNTIF($I179:$L179,"&gt;1")+COUNTIF($I179:$L179,"&lt;0")+COUNTA($I179:$L179)-COUNT($I179:$L179))&gt;0,"Avance fuera de rango 0-100%"&amp;" · ","")&amp;IF(OR(AND($J179&lt;&gt;"",$J179&lt;$I179),AND($K179&lt;&gt;"",$K179&lt;MAX($I179:$J179)),AND($L179&lt;&gt;"",$L179&lt;MAX($I179:$K179))),"Avance semanal decreciente"&amp;" · ","")&amp;IF(AND(ISNUMBER($AN179),$AN179&lt;FechaRef,IF($V179="Sub",N($X179),N($M179))&lt;1),"Vencida"&amp;" · ","")&amp;IF(AND(ObsObligatoria="Sí",ISNUMBER($AN179),$AN179&lt;FechaRef,IF($V179="Sub",N($X179),N($M179))&lt;1,$Q179=""),"Vencida sin observación"&amp;" · ",""),LEN(IF($C179="","Falta el nombre de la actividad"&amp;" · ","")&amp;IF(AND($V179="Sub",N($U179)=0),"Subactividad sin macroactividad arriba"&amp;" · ","")&amp;IF($AM179="","Sin fecha de inicio"&amp;" · ","")&amp;IF($AN179="","Sin fecha límite"&amp;" · ","")&amp;IF(AND(LEFT($C179,11)="[Jefatura] ",N($AL179)=0),"No se encuentra en la hoja de la jefatura (elíjala de nuevo en la lista)"&amp;" · ","")&amp;IF(OR(AND($E179&lt;&gt;"",NOT(ISNUMBER($E179))),AND($F179&lt;&gt;"",NOT(ISNUMBER($F179))),AND($G179&lt;&gt;"",NOT(ISNUMBER($G179)))),"Fecha no válida"&amp;" · ","")&amp;IF(AND(ISNUMBER($AM179),ISNUMBER($AN179),$AM179&gt;$AN179),"Inicio posterior a fecha límite"&amp;" · ","")&amp;IF(AND($V179="Macro",$H179&lt;&gt;"",OR(NOT(ISNUMBER($H179)),$H179&lt;0,$H179&gt;1)),"Peso fuera de rango"&amp;" · ","")&amp;IF(AND($V179="Sub",$H179&lt;&gt;""),"Las subactividades no llevan peso (valen igual dentro de su macroactividad)"&amp;" · ","")&amp;IF(AND(N($W179)&gt;0,COUNT($I179:$L179)&gt;0),"Con subactividades: deje vacías las semanas (se calculan solas)"&amp;" · ","")&amp;IF((COUNTIF($I179:$L179,"&gt;1")+COUNTIF($I179:$L179,"&lt;0")+COUNTA($I179:$L179)-COUNT($I179:$L179))&gt;0,"Avance fuera de rango 0-100%"&amp;" · ","")&amp;IF(OR(AND($J179&lt;&gt;"",$J179&lt;$I179),AND($K179&lt;&gt;"",$K179&lt;MAX($I179:$J179)),AND($L179&lt;&gt;"",$L179&lt;MAX($I179:$K179))),"Avance semanal decreciente"&amp;" · ","")&amp;IF(AND(ISNUMBER($AN179),$AN179&lt;FechaRef,IF($V179="Sub",N($X179),N($M179))&lt;1),"Vencida"&amp;" · ","")&amp;IF(AND(ObsObligatoria="Sí",ISNUMBER($AN179),$AN179&lt;FechaRef,IF($V179="Sub",N($X179),N($M179))&lt;1,$Q179=""),"Vencida sin observación"&amp;" · ",""))-3)))</f>
        <v/>
      </c>
      <c r="S179" s="64">
        <f>IF(NOT((COUNTA($B179:$D179)+COUNTA($G179:$L179)+COUNTA($Q179))&gt;0),"",IF(AND($V179="Sub",N($U179)&gt;0),IF(ISNUMBER(INDEX($AM$5:$AM$1000,$U179-4)),DATE(YEAR(INDEX($AM$5:$AM$1000,$U179-4)),MONTH(INDEX($AM$5:$AM$1000,$U179-4)),1),IF(ISNUMBER(INDEX($AN$5:$AN$1000,$U179-4)),DATE(YEAR(INDEX($AN$5:$AN$1000,$U179-4)),MONTH(INDEX($AN$5:$AN$1000,$U179-4)),1),MesCiclo)),IF(ISNUMBER($AM179),DATE(YEAR($AM179),MONTH($AM179),1),IF(ISNUMBER($AN179),DATE(YEAR($AN179),MONTH($AN179),1),MesCiclo))))</f>
        <v/>
      </c>
      <c r="T179" s="62">
        <f>IF(OR($S179="",$S179&lt;&gt;MesCiclo,$V179&lt;&gt;"Macro"),"",COUNTIFS($S$5:$S179,MesCiclo,$V$5:$V179,"Macro"))</f>
        <v/>
      </c>
      <c r="U179" s="62">
        <f>IF($V179="","",IF($V179="Macro",ROW(),IFERROR(LOOKUP(2,1/($V$5:$V179="Macro"),ROW($V$5:$V179)),0)))</f>
        <v/>
      </c>
      <c r="V179" s="62">
        <f>IF(NOT((COUNTA($B179:$D179)+COUNTA($G179:$L179)+COUNTA($Q179))&gt;0),"",IF($B179="Subactividad","Sub","Macro"))</f>
        <v/>
      </c>
      <c r="W179" s="62">
        <f>IF($V179="Macro",COUNTIFS($U$5:$U$1000,ROW(),$V$5:$V$1000,"Sub"),"")</f>
        <v/>
      </c>
      <c r="X179" s="62">
        <f>IF($V179="","",IF(ISNUMBER($G179),1,IFERROR(LOOKUP(2,1/($I179:$L179&lt;&gt;""),$I179:$L179),0)))</f>
        <v/>
      </c>
      <c r="Y179" s="62">
        <f>IF($V179="","",IF(AND(ISNUMBER($G179),$G179&lt;=IF($S179=MesCiclo,InicioCiclo,$S179+MOD(2-WEEKDAY($S179),7))+6),1,IF(ISNUMBER($I179),$I179,0)))</f>
        <v/>
      </c>
      <c r="Z179" s="62">
        <f>IF($V179="","",IF(AND(ISNUMBER($G179),$G179&lt;=IF($S179=MesCiclo,InicioCiclo,$S179+MOD(2-WEEKDAY($S179),7))+13),1,IF(ISNUMBER($J179),$J179,$Y179)))</f>
        <v/>
      </c>
      <c r="AA179" s="62">
        <f>IF($V179="","",IF(AND(ISNUMBER($G179),$G179&lt;=IF($S179=MesCiclo,InicioCiclo,$S179+MOD(2-WEEKDAY($S179),7))+20),1,IF(ISNUMBER($K179),$K179,$Z179)))</f>
        <v/>
      </c>
      <c r="AB179" s="62">
        <f>IF($V179="","",IF(AND(ISNUMBER($G179),$G179&lt;=IF($S179=MesCiclo,InicioCiclo,$S179+MOD(2-WEEKDAY($S179),7))+27),1,IF(ISNUMBER($L179),$L179,$AA179)))</f>
        <v/>
      </c>
      <c r="AC179" s="62">
        <f>IF($V179="","",IF(AND(ISNUMBER($G179),$G179&lt;=IF($S179=MesCiclo,InicioCiclo,$S179+MOD(2-WEEKDAY($S179),7))+6),1,IF(N($W179)&gt;0,AVERAGEIFS($Y$5:$Y$1000,$U$5:$U$1000,ROW(),$V$5:$V$1000,"Sub"),$Y179)))</f>
        <v/>
      </c>
      <c r="AD179" s="62">
        <f>IF($V179="","",IF(AND(ISNUMBER($G179),$G179&lt;=IF($S179=MesCiclo,InicioCiclo,$S179+MOD(2-WEEKDAY($S179),7))+13),1,IF(N($W179)&gt;0,AVERAGEIFS($Z$5:$Z$1000,$U$5:$U$1000,ROW(),$V$5:$V$1000,"Sub"),$Z179)))</f>
        <v/>
      </c>
      <c r="AE179" s="62">
        <f>IF($V179="","",IF(AND(ISNUMBER($G179),$G179&lt;=IF($S179=MesCiclo,InicioCiclo,$S179+MOD(2-WEEKDAY($S179),7))+20),1,IF(N($W179)&gt;0,AVERAGEIFS($AA$5:$AA$1000,$U$5:$U$1000,ROW(),$V$5:$V$1000,"Sub"),$AA179)))</f>
        <v/>
      </c>
      <c r="AF179" s="62">
        <f>IF($V179="","",IF(AND(ISNUMBER($G179),$G179&lt;=IF($S179=MesCiclo,InicioCiclo,$S179+MOD(2-WEEKDAY($S179),7))+27),1,IF(N($W179)&gt;0,AVERAGEIFS($AB$5:$AB$1000,$U$5:$U$1000,ROW(),$V$5:$V$1000,"Sub"),$AB179)))</f>
        <v/>
      </c>
      <c r="AG179" s="62">
        <f>IF($V179&lt;&gt;"Macro","",IF(COUNTIFS($S$5:$S$1000,$S179,$V$5:$V$1000,"Macro",$H$5:$H$1000,"&gt;0")=0,1/COUNTIFS($S$5:$S$1000,$S179,$V$5:$V$1000,"Macro"),IF(AND(ISNUMBER($H179),N($H179)&gt;0),$H179,SUMIFS($H$5:$H$1000,$S$5:$S$1000,$S179,$V$5:$V$1000,"Macro")/COUNTIFS($S$5:$S$1000,$S179,$V$5:$V$1000,"Macro",$H$5:$H$1000,"&gt;0"))/(COUNTIFS($S$5:$S$1000,$S179,$V$5:$V$1000,"Macro")*SUMIFS($H$5:$H$1000,$S$5:$S$1000,$S179,$V$5:$V$1000,"Macro")/COUNTIFS($S$5:$S$1000,$S179,$V$5:$V$1000,"Macro",$H$5:$H$1000,"&gt;0"))))</f>
        <v/>
      </c>
      <c r="AH179" s="62">
        <f>IF(NOT(AND($D179&lt;&gt;"",$V179="Macro")),"",IFERROR(CHOOSE(MATCH($D179,ListaPuestos,0),MATCH("[Jefatura] "&amp;$C179,'Cronograma R. Operacional'!$C$5:$C$1000,0),MATCH("[Jefatura] "&amp;$C179,'Cronograma R. Normativo'!$C$5:$C$1000,0),MATCH("[Jefatura] "&amp;$C179,'Cronograma R. Financiero'!$C$5:$C$1000,0),MATCH("[Jefatura] "&amp;$C179,'Cronograma Asistente Técnico'!$C$5:$C$1000,0)),0))</f>
        <v/>
      </c>
      <c r="AI179" s="62">
        <f>IF(AND(AND($D179&lt;&gt;"",$V179="Macro"),$S179=MesCiclo),COUNTIFS($D$5:$D179,$D179,$S$5:$S179,MesCiclo,$V$5:$V179,"Macro"),"")</f>
        <v/>
      </c>
      <c r="AJ179" s="62">
        <f>IF($AI179="","",$D179&amp;"|"&amp;$AI179)</f>
        <v/>
      </c>
      <c r="AK179" s="62">
        <f>IF(AND($D179&lt;&gt;"",$V179="Macro"),$D179&amp;"|"&amp;$C179,"")</f>
        <v/>
      </c>
      <c r="AL179" s="62">
        <f>""</f>
        <v/>
      </c>
      <c r="AM179" s="62">
        <f>IF(N($AL179)&gt;0,INDEX(rIni_ADM,$AL179),IF(ISNUMBER($E179),$E179,""))</f>
        <v/>
      </c>
      <c r="AN179" s="62">
        <f>IF(N($AL179)&gt;0,INDEX(rLim_ADM,$AL179),IF(ISNUMBER($F179),$F179,""))</f>
        <v/>
      </c>
    </row>
    <row r="180">
      <c r="A180" s="56">
        <f>IF(NOT((COUNTA($B180:$D180)+COUNTA($G180:$L180)+COUNTA($Q180))&gt;0),"",IF($V180="Macro",COUNTIFS($V$5:$V180,"Macro",$S$5:$S180,$S180),IF(N($U180)=0,"?",COUNTIFS(INDEX($V$5:$V$1000,1):INDEX($V$5:$V$1000,$U180-4),"Macro",INDEX($S$5:$S$1000,1):INDEX($S$5:$S$1000,$U180-4),INDEX($S$5:$S$1000,$U180-4))&amp;"."&amp;COUNTIFS($U$5:$U180,$U180,$V$5:$V180,"Sub"))))</f>
        <v/>
      </c>
      <c r="B180" s="57" t="n"/>
      <c r="C180" s="58" t="n"/>
      <c r="D180" s="58" t="n"/>
      <c r="E180" s="59" t="n"/>
      <c r="F180" s="59" t="n"/>
      <c r="G180" s="59" t="n"/>
      <c r="H180" s="60" t="n"/>
      <c r="I180" s="60" t="n"/>
      <c r="J180" s="60" t="n"/>
      <c r="K180" s="60" t="n"/>
      <c r="L180" s="60" t="n"/>
      <c r="M180" s="61">
        <f>IF(NOT((COUNTA($B180:$D180)+COUNTA($G180:$L180)+COUNTA($Q180))&gt;0),"",IF(AND($D180&lt;&gt;"",$V180="Macro"),IF(N($AH180)&gt;0,N(CHOOSE(MATCH($D180,ListaPuestos,0),INDEX('Cronograma R. Operacional'!$M$5:$M$1000,$AH180),INDEX('Cronograma R. Normativo'!$M$5:$M$1000,$AH180),INDEX('Cronograma R. Financiero'!$M$5:$M$1000,$AH180),INDEX('Cronograma Asistente Técnico'!$M$5:$M$1000,$AH180))),0),IF(ISNUMBER($G180),1,IF(N($W180)&gt;0,AVERAGEIFS($X$5:$X$1000,$U$5:$U$1000,ROW(),$V$5:$V$1000,"Sub"),$X180))))</f>
        <v/>
      </c>
      <c r="N180" s="56">
        <f>IF(OR($M180="",$V180="Sub"),"",IF($M180&gt;=1,"Completado",IF($M180&gt;0,"En curso","Pendiente")))</f>
        <v/>
      </c>
      <c r="O180" s="56">
        <f>IF(NOT((COUNTA($B180:$D180)+COUNTA($G180:$L180)+COUNTA($Q180))&gt;0),"",IF(AND(AND($D180&lt;&gt;"",$V180="Macro"),N($AH180)&gt;0),CHOOSE(MATCH($D180,ListaPuestos,0),INDEX('Cronograma R. Operacional'!$O$5:$O$1000,$AH180),INDEX('Cronograma R. Normativo'!$O$5:$O$1000,$AH180),INDEX('Cronograma R. Financiero'!$O$5:$O$1000,$AH180),INDEX('Cronograma Asistente Técnico'!$O$5:$O$1000,$AH180))&amp;"",IF(ISNUMBER($G180),IF(AND(ISNUMBER($AN180),$G180&gt;$AN180),"Cumplida con "&amp;($G180-$AN180)&amp;IF($G180-$AN180=1," día"," días")&amp;" de retraso","Cumplida"),IF(N($M180)&gt;=1,"Cumplida",IF(NOT(ISNUMBER($AN180)),"Sin fecha límite",IF($AN180&lt;FechaRef,"Vencida hace "&amp;(FechaRef-$AN180)&amp;IF(FechaRef-$AN180=1," día"," días"),IF($AN180=FechaRef,"Vence hoy",IF($AN180-FechaRef&lt;=DiasAlerta,"Vence en "&amp;($AN180-FechaRef)&amp;IF($AN180-FechaRef=1," día"," días"),"En plazo"))))))))</f>
        <v/>
      </c>
      <c r="P180" s="62">
        <f>IF(NOT((COUNTA($B180:$D180)+COUNTA($G180:$L180)+COUNTA($Q180))&gt;0),"",IF($D180="","Propia",IF($V180&lt;&gt;"Macro","Solo se delegan macroactividades",IF(N($AH180)&gt;0,"✔ Recibida por "&amp;$D180,"⚠ "&amp;$D180&amp;" aún no la agrega"))))</f>
        <v/>
      </c>
      <c r="Q180" s="58" t="n"/>
      <c r="R180" s="63">
        <f>IF(NOT((COUNTA($B180:$D180)+COUNTA($G180:$L180)+COUNTA($Q180))&gt;0),"",IF((IF($C180="","Falta el nombre de la actividad"&amp;" · ","")&amp;IF(AND($V180="Sub",N($U180)=0),"Subactividad sin macroactividad arriba"&amp;" · ","")&amp;IF($AM180="","Sin fecha de inicio"&amp;" · ","")&amp;IF($AN180="","Sin fecha límite"&amp;" · ","")&amp;IF(AND(LEFT($C180,11)="[Jefatura] ",N($AL180)=0),"No se encuentra en la hoja de la jefatura (elíjala de nuevo en la lista)"&amp;" · ","")&amp;IF(OR(AND($E180&lt;&gt;"",NOT(ISNUMBER($E180))),AND($F180&lt;&gt;"",NOT(ISNUMBER($F180))),AND($G180&lt;&gt;"",NOT(ISNUMBER($G180)))),"Fecha no válida"&amp;" · ","")&amp;IF(AND(ISNUMBER($AM180),ISNUMBER($AN180),$AM180&gt;$AN180),"Inicio posterior a fecha límite"&amp;" · ","")&amp;IF(AND($V180="Macro",$H180&lt;&gt;"",OR(NOT(ISNUMBER($H180)),$H180&lt;0,$H180&gt;1)),"Peso fuera de rango"&amp;" · ","")&amp;IF(AND($V180="Sub",$H180&lt;&gt;""),"Las subactividades no llevan peso (valen igual dentro de su macroactividad)"&amp;" · ","")&amp;IF(AND(N($W180)&gt;0,COUNT($I180:$L180)&gt;0),"Con subactividades: deje vacías las semanas (se calculan solas)"&amp;" · ","")&amp;IF((COUNTIF($I180:$L180,"&gt;1")+COUNTIF($I180:$L180,"&lt;0")+COUNTA($I180:$L180)-COUNT($I180:$L180))&gt;0,"Avance fuera de rango 0-100%"&amp;" · ","")&amp;IF(OR(AND($J180&lt;&gt;"",$J180&lt;$I180),AND($K180&lt;&gt;"",$K180&lt;MAX($I180:$J180)),AND($L180&lt;&gt;"",$L180&lt;MAX($I180:$K180))),"Avance semanal decreciente"&amp;" · ","")&amp;IF(AND(ISNUMBER($AN180),$AN180&lt;FechaRef,IF($V180="Sub",N($X180),N($M180))&lt;1),"Vencida"&amp;" · ","")&amp;IF(AND(ObsObligatoria="Sí",ISNUMBER($AN180),$AN180&lt;FechaRef,IF($V180="Sub",N($X180),N($M180))&lt;1,$Q180=""),"Vencida sin observación"&amp;" · ",""))="","✔ OK","⚠ "&amp;LEFT(IF($C180="","Falta el nombre de la actividad"&amp;" · ","")&amp;IF(AND($V180="Sub",N($U180)=0),"Subactividad sin macroactividad arriba"&amp;" · ","")&amp;IF($AM180="","Sin fecha de inicio"&amp;" · ","")&amp;IF($AN180="","Sin fecha límite"&amp;" · ","")&amp;IF(AND(LEFT($C180,11)="[Jefatura] ",N($AL180)=0),"No se encuentra en la hoja de la jefatura (elíjala de nuevo en la lista)"&amp;" · ","")&amp;IF(OR(AND($E180&lt;&gt;"",NOT(ISNUMBER($E180))),AND($F180&lt;&gt;"",NOT(ISNUMBER($F180))),AND($G180&lt;&gt;"",NOT(ISNUMBER($G180)))),"Fecha no válida"&amp;" · ","")&amp;IF(AND(ISNUMBER($AM180),ISNUMBER($AN180),$AM180&gt;$AN180),"Inicio posterior a fecha límite"&amp;" · ","")&amp;IF(AND($V180="Macro",$H180&lt;&gt;"",OR(NOT(ISNUMBER($H180)),$H180&lt;0,$H180&gt;1)),"Peso fuera de rango"&amp;" · ","")&amp;IF(AND($V180="Sub",$H180&lt;&gt;""),"Las subactividades no llevan peso (valen igual dentro de su macroactividad)"&amp;" · ","")&amp;IF(AND(N($W180)&gt;0,COUNT($I180:$L180)&gt;0),"Con subactividades: deje vacías las semanas (se calculan solas)"&amp;" · ","")&amp;IF((COUNTIF($I180:$L180,"&gt;1")+COUNTIF($I180:$L180,"&lt;0")+COUNTA($I180:$L180)-COUNT($I180:$L180))&gt;0,"Avance fuera de rango 0-100%"&amp;" · ","")&amp;IF(OR(AND($J180&lt;&gt;"",$J180&lt;$I180),AND($K180&lt;&gt;"",$K180&lt;MAX($I180:$J180)),AND($L180&lt;&gt;"",$L180&lt;MAX($I180:$K180))),"Avance semanal decreciente"&amp;" · ","")&amp;IF(AND(ISNUMBER($AN180),$AN180&lt;FechaRef,IF($V180="Sub",N($X180),N($M180))&lt;1),"Vencida"&amp;" · ","")&amp;IF(AND(ObsObligatoria="Sí",ISNUMBER($AN180),$AN180&lt;FechaRef,IF($V180="Sub",N($X180),N($M180))&lt;1,$Q180=""),"Vencida sin observación"&amp;" · ",""),LEN(IF($C180="","Falta el nombre de la actividad"&amp;" · ","")&amp;IF(AND($V180="Sub",N($U180)=0),"Subactividad sin macroactividad arriba"&amp;" · ","")&amp;IF($AM180="","Sin fecha de inicio"&amp;" · ","")&amp;IF($AN180="","Sin fecha límite"&amp;" · ","")&amp;IF(AND(LEFT($C180,11)="[Jefatura] ",N($AL180)=0),"No se encuentra en la hoja de la jefatura (elíjala de nuevo en la lista)"&amp;" · ","")&amp;IF(OR(AND($E180&lt;&gt;"",NOT(ISNUMBER($E180))),AND($F180&lt;&gt;"",NOT(ISNUMBER($F180))),AND($G180&lt;&gt;"",NOT(ISNUMBER($G180)))),"Fecha no válida"&amp;" · ","")&amp;IF(AND(ISNUMBER($AM180),ISNUMBER($AN180),$AM180&gt;$AN180),"Inicio posterior a fecha límite"&amp;" · ","")&amp;IF(AND($V180="Macro",$H180&lt;&gt;"",OR(NOT(ISNUMBER($H180)),$H180&lt;0,$H180&gt;1)),"Peso fuera de rango"&amp;" · ","")&amp;IF(AND($V180="Sub",$H180&lt;&gt;""),"Las subactividades no llevan peso (valen igual dentro de su macroactividad)"&amp;" · ","")&amp;IF(AND(N($W180)&gt;0,COUNT($I180:$L180)&gt;0),"Con subactividades: deje vacías las semanas (se calculan solas)"&amp;" · ","")&amp;IF((COUNTIF($I180:$L180,"&gt;1")+COUNTIF($I180:$L180,"&lt;0")+COUNTA($I180:$L180)-COUNT($I180:$L180))&gt;0,"Avance fuera de rango 0-100%"&amp;" · ","")&amp;IF(OR(AND($J180&lt;&gt;"",$J180&lt;$I180),AND($K180&lt;&gt;"",$K180&lt;MAX($I180:$J180)),AND($L180&lt;&gt;"",$L180&lt;MAX($I180:$K180))),"Avance semanal decreciente"&amp;" · ","")&amp;IF(AND(ISNUMBER($AN180),$AN180&lt;FechaRef,IF($V180="Sub",N($X180),N($M180))&lt;1),"Vencida"&amp;" · ","")&amp;IF(AND(ObsObligatoria="Sí",ISNUMBER($AN180),$AN180&lt;FechaRef,IF($V180="Sub",N($X180),N($M180))&lt;1,$Q180=""),"Vencida sin observación"&amp;" · ",""))-3)))</f>
        <v/>
      </c>
      <c r="S180" s="64">
        <f>IF(NOT((COUNTA($B180:$D180)+COUNTA($G180:$L180)+COUNTA($Q180))&gt;0),"",IF(AND($V180="Sub",N($U180)&gt;0),IF(ISNUMBER(INDEX($AM$5:$AM$1000,$U180-4)),DATE(YEAR(INDEX($AM$5:$AM$1000,$U180-4)),MONTH(INDEX($AM$5:$AM$1000,$U180-4)),1),IF(ISNUMBER(INDEX($AN$5:$AN$1000,$U180-4)),DATE(YEAR(INDEX($AN$5:$AN$1000,$U180-4)),MONTH(INDEX($AN$5:$AN$1000,$U180-4)),1),MesCiclo)),IF(ISNUMBER($AM180),DATE(YEAR($AM180),MONTH($AM180),1),IF(ISNUMBER($AN180),DATE(YEAR($AN180),MONTH($AN180),1),MesCiclo))))</f>
        <v/>
      </c>
      <c r="T180" s="62">
        <f>IF(OR($S180="",$S180&lt;&gt;MesCiclo,$V180&lt;&gt;"Macro"),"",COUNTIFS($S$5:$S180,MesCiclo,$V$5:$V180,"Macro"))</f>
        <v/>
      </c>
      <c r="U180" s="62">
        <f>IF($V180="","",IF($V180="Macro",ROW(),IFERROR(LOOKUP(2,1/($V$5:$V180="Macro"),ROW($V$5:$V180)),0)))</f>
        <v/>
      </c>
      <c r="V180" s="62">
        <f>IF(NOT((COUNTA($B180:$D180)+COUNTA($G180:$L180)+COUNTA($Q180))&gt;0),"",IF($B180="Subactividad","Sub","Macro"))</f>
        <v/>
      </c>
      <c r="W180" s="62">
        <f>IF($V180="Macro",COUNTIFS($U$5:$U$1000,ROW(),$V$5:$V$1000,"Sub"),"")</f>
        <v/>
      </c>
      <c r="X180" s="62">
        <f>IF($V180="","",IF(ISNUMBER($G180),1,IFERROR(LOOKUP(2,1/($I180:$L180&lt;&gt;""),$I180:$L180),0)))</f>
        <v/>
      </c>
      <c r="Y180" s="62">
        <f>IF($V180="","",IF(AND(ISNUMBER($G180),$G180&lt;=IF($S180=MesCiclo,InicioCiclo,$S180+MOD(2-WEEKDAY($S180),7))+6),1,IF(ISNUMBER($I180),$I180,0)))</f>
        <v/>
      </c>
      <c r="Z180" s="62">
        <f>IF($V180="","",IF(AND(ISNUMBER($G180),$G180&lt;=IF($S180=MesCiclo,InicioCiclo,$S180+MOD(2-WEEKDAY($S180),7))+13),1,IF(ISNUMBER($J180),$J180,$Y180)))</f>
        <v/>
      </c>
      <c r="AA180" s="62">
        <f>IF($V180="","",IF(AND(ISNUMBER($G180),$G180&lt;=IF($S180=MesCiclo,InicioCiclo,$S180+MOD(2-WEEKDAY($S180),7))+20),1,IF(ISNUMBER($K180),$K180,$Z180)))</f>
        <v/>
      </c>
      <c r="AB180" s="62">
        <f>IF($V180="","",IF(AND(ISNUMBER($G180),$G180&lt;=IF($S180=MesCiclo,InicioCiclo,$S180+MOD(2-WEEKDAY($S180),7))+27),1,IF(ISNUMBER($L180),$L180,$AA180)))</f>
        <v/>
      </c>
      <c r="AC180" s="62">
        <f>IF($V180="","",IF(AND(ISNUMBER($G180),$G180&lt;=IF($S180=MesCiclo,InicioCiclo,$S180+MOD(2-WEEKDAY($S180),7))+6),1,IF(N($W180)&gt;0,AVERAGEIFS($Y$5:$Y$1000,$U$5:$U$1000,ROW(),$V$5:$V$1000,"Sub"),$Y180)))</f>
        <v/>
      </c>
      <c r="AD180" s="62">
        <f>IF($V180="","",IF(AND(ISNUMBER($G180),$G180&lt;=IF($S180=MesCiclo,InicioCiclo,$S180+MOD(2-WEEKDAY($S180),7))+13),1,IF(N($W180)&gt;0,AVERAGEIFS($Z$5:$Z$1000,$U$5:$U$1000,ROW(),$V$5:$V$1000,"Sub"),$Z180)))</f>
        <v/>
      </c>
      <c r="AE180" s="62">
        <f>IF($V180="","",IF(AND(ISNUMBER($G180),$G180&lt;=IF($S180=MesCiclo,InicioCiclo,$S180+MOD(2-WEEKDAY($S180),7))+20),1,IF(N($W180)&gt;0,AVERAGEIFS($AA$5:$AA$1000,$U$5:$U$1000,ROW(),$V$5:$V$1000,"Sub"),$AA180)))</f>
        <v/>
      </c>
      <c r="AF180" s="62">
        <f>IF($V180="","",IF(AND(ISNUMBER($G180),$G180&lt;=IF($S180=MesCiclo,InicioCiclo,$S180+MOD(2-WEEKDAY($S180),7))+27),1,IF(N($W180)&gt;0,AVERAGEIFS($AB$5:$AB$1000,$U$5:$U$1000,ROW(),$V$5:$V$1000,"Sub"),$AB180)))</f>
        <v/>
      </c>
      <c r="AG180" s="62">
        <f>IF($V180&lt;&gt;"Macro","",IF(COUNTIFS($S$5:$S$1000,$S180,$V$5:$V$1000,"Macro",$H$5:$H$1000,"&gt;0")=0,1/COUNTIFS($S$5:$S$1000,$S180,$V$5:$V$1000,"Macro"),IF(AND(ISNUMBER($H180),N($H180)&gt;0),$H180,SUMIFS($H$5:$H$1000,$S$5:$S$1000,$S180,$V$5:$V$1000,"Macro")/COUNTIFS($S$5:$S$1000,$S180,$V$5:$V$1000,"Macro",$H$5:$H$1000,"&gt;0"))/(COUNTIFS($S$5:$S$1000,$S180,$V$5:$V$1000,"Macro")*SUMIFS($H$5:$H$1000,$S$5:$S$1000,$S180,$V$5:$V$1000,"Macro")/COUNTIFS($S$5:$S$1000,$S180,$V$5:$V$1000,"Macro",$H$5:$H$1000,"&gt;0"))))</f>
        <v/>
      </c>
      <c r="AH180" s="62">
        <f>IF(NOT(AND($D180&lt;&gt;"",$V180="Macro")),"",IFERROR(CHOOSE(MATCH($D180,ListaPuestos,0),MATCH("[Jefatura] "&amp;$C180,'Cronograma R. Operacional'!$C$5:$C$1000,0),MATCH("[Jefatura] "&amp;$C180,'Cronograma R. Normativo'!$C$5:$C$1000,0),MATCH("[Jefatura] "&amp;$C180,'Cronograma R. Financiero'!$C$5:$C$1000,0),MATCH("[Jefatura] "&amp;$C180,'Cronograma Asistente Técnico'!$C$5:$C$1000,0)),0))</f>
        <v/>
      </c>
      <c r="AI180" s="62">
        <f>IF(AND(AND($D180&lt;&gt;"",$V180="Macro"),$S180=MesCiclo),COUNTIFS($D$5:$D180,$D180,$S$5:$S180,MesCiclo,$V$5:$V180,"Macro"),"")</f>
        <v/>
      </c>
      <c r="AJ180" s="62">
        <f>IF($AI180="","",$D180&amp;"|"&amp;$AI180)</f>
        <v/>
      </c>
      <c r="AK180" s="62">
        <f>IF(AND($D180&lt;&gt;"",$V180="Macro"),$D180&amp;"|"&amp;$C180,"")</f>
        <v/>
      </c>
      <c r="AL180" s="62">
        <f>""</f>
        <v/>
      </c>
      <c r="AM180" s="62">
        <f>IF(N($AL180)&gt;0,INDEX(rIni_ADM,$AL180),IF(ISNUMBER($E180),$E180,""))</f>
        <v/>
      </c>
      <c r="AN180" s="62">
        <f>IF(N($AL180)&gt;0,INDEX(rLim_ADM,$AL180),IF(ISNUMBER($F180),$F180,""))</f>
        <v/>
      </c>
    </row>
    <row r="181">
      <c r="A181" s="56">
        <f>IF(NOT((COUNTA($B181:$D181)+COUNTA($G181:$L181)+COUNTA($Q181))&gt;0),"",IF($V181="Macro",COUNTIFS($V$5:$V181,"Macro",$S$5:$S181,$S181),IF(N($U181)=0,"?",COUNTIFS(INDEX($V$5:$V$1000,1):INDEX($V$5:$V$1000,$U181-4),"Macro",INDEX($S$5:$S$1000,1):INDEX($S$5:$S$1000,$U181-4),INDEX($S$5:$S$1000,$U181-4))&amp;"."&amp;COUNTIFS($U$5:$U181,$U181,$V$5:$V181,"Sub"))))</f>
        <v/>
      </c>
      <c r="B181" s="57" t="n"/>
      <c r="C181" s="58" t="n"/>
      <c r="D181" s="58" t="n"/>
      <c r="E181" s="59" t="n"/>
      <c r="F181" s="59" t="n"/>
      <c r="G181" s="59" t="n"/>
      <c r="H181" s="60" t="n"/>
      <c r="I181" s="60" t="n"/>
      <c r="J181" s="60" t="n"/>
      <c r="K181" s="60" t="n"/>
      <c r="L181" s="60" t="n"/>
      <c r="M181" s="61">
        <f>IF(NOT((COUNTA($B181:$D181)+COUNTA($G181:$L181)+COUNTA($Q181))&gt;0),"",IF(AND($D181&lt;&gt;"",$V181="Macro"),IF(N($AH181)&gt;0,N(CHOOSE(MATCH($D181,ListaPuestos,0),INDEX('Cronograma R. Operacional'!$M$5:$M$1000,$AH181),INDEX('Cronograma R. Normativo'!$M$5:$M$1000,$AH181),INDEX('Cronograma R. Financiero'!$M$5:$M$1000,$AH181),INDEX('Cronograma Asistente Técnico'!$M$5:$M$1000,$AH181))),0),IF(ISNUMBER($G181),1,IF(N($W181)&gt;0,AVERAGEIFS($X$5:$X$1000,$U$5:$U$1000,ROW(),$V$5:$V$1000,"Sub"),$X181))))</f>
        <v/>
      </c>
      <c r="N181" s="56">
        <f>IF(OR($M181="",$V181="Sub"),"",IF($M181&gt;=1,"Completado",IF($M181&gt;0,"En curso","Pendiente")))</f>
        <v/>
      </c>
      <c r="O181" s="56">
        <f>IF(NOT((COUNTA($B181:$D181)+COUNTA($G181:$L181)+COUNTA($Q181))&gt;0),"",IF(AND(AND($D181&lt;&gt;"",$V181="Macro"),N($AH181)&gt;0),CHOOSE(MATCH($D181,ListaPuestos,0),INDEX('Cronograma R. Operacional'!$O$5:$O$1000,$AH181),INDEX('Cronograma R. Normativo'!$O$5:$O$1000,$AH181),INDEX('Cronograma R. Financiero'!$O$5:$O$1000,$AH181),INDEX('Cronograma Asistente Técnico'!$O$5:$O$1000,$AH181))&amp;"",IF(ISNUMBER($G181),IF(AND(ISNUMBER($AN181),$G181&gt;$AN181),"Cumplida con "&amp;($G181-$AN181)&amp;IF($G181-$AN181=1," día"," días")&amp;" de retraso","Cumplida"),IF(N($M181)&gt;=1,"Cumplida",IF(NOT(ISNUMBER($AN181)),"Sin fecha límite",IF($AN181&lt;FechaRef,"Vencida hace "&amp;(FechaRef-$AN181)&amp;IF(FechaRef-$AN181=1," día"," días"),IF($AN181=FechaRef,"Vence hoy",IF($AN181-FechaRef&lt;=DiasAlerta,"Vence en "&amp;($AN181-FechaRef)&amp;IF($AN181-FechaRef=1," día"," días"),"En plazo"))))))))</f>
        <v/>
      </c>
      <c r="P181" s="62">
        <f>IF(NOT((COUNTA($B181:$D181)+COUNTA($G181:$L181)+COUNTA($Q181))&gt;0),"",IF($D181="","Propia",IF($V181&lt;&gt;"Macro","Solo se delegan macroactividades",IF(N($AH181)&gt;0,"✔ Recibida por "&amp;$D181,"⚠ "&amp;$D181&amp;" aún no la agrega"))))</f>
        <v/>
      </c>
      <c r="Q181" s="58" t="n"/>
      <c r="R181" s="63">
        <f>IF(NOT((COUNTA($B181:$D181)+COUNTA($G181:$L181)+COUNTA($Q181))&gt;0),"",IF((IF($C181="","Falta el nombre de la actividad"&amp;" · ","")&amp;IF(AND($V181="Sub",N($U181)=0),"Subactividad sin macroactividad arriba"&amp;" · ","")&amp;IF($AM181="","Sin fecha de inicio"&amp;" · ","")&amp;IF($AN181="","Sin fecha límite"&amp;" · ","")&amp;IF(AND(LEFT($C181,11)="[Jefatura] ",N($AL181)=0),"No se encuentra en la hoja de la jefatura (elíjala de nuevo en la lista)"&amp;" · ","")&amp;IF(OR(AND($E181&lt;&gt;"",NOT(ISNUMBER($E181))),AND($F181&lt;&gt;"",NOT(ISNUMBER($F181))),AND($G181&lt;&gt;"",NOT(ISNUMBER($G181)))),"Fecha no válida"&amp;" · ","")&amp;IF(AND(ISNUMBER($AM181),ISNUMBER($AN181),$AM181&gt;$AN181),"Inicio posterior a fecha límite"&amp;" · ","")&amp;IF(AND($V181="Macro",$H181&lt;&gt;"",OR(NOT(ISNUMBER($H181)),$H181&lt;0,$H181&gt;1)),"Peso fuera de rango"&amp;" · ","")&amp;IF(AND($V181="Sub",$H181&lt;&gt;""),"Las subactividades no llevan peso (valen igual dentro de su macroactividad)"&amp;" · ","")&amp;IF(AND(N($W181)&gt;0,COUNT($I181:$L181)&gt;0),"Con subactividades: deje vacías las semanas (se calculan solas)"&amp;" · ","")&amp;IF((COUNTIF($I181:$L181,"&gt;1")+COUNTIF($I181:$L181,"&lt;0")+COUNTA($I181:$L181)-COUNT($I181:$L181))&gt;0,"Avance fuera de rango 0-100%"&amp;" · ","")&amp;IF(OR(AND($J181&lt;&gt;"",$J181&lt;$I181),AND($K181&lt;&gt;"",$K181&lt;MAX($I181:$J181)),AND($L181&lt;&gt;"",$L181&lt;MAX($I181:$K181))),"Avance semanal decreciente"&amp;" · ","")&amp;IF(AND(ISNUMBER($AN181),$AN181&lt;FechaRef,IF($V181="Sub",N($X181),N($M181))&lt;1),"Vencida"&amp;" · ","")&amp;IF(AND(ObsObligatoria="Sí",ISNUMBER($AN181),$AN181&lt;FechaRef,IF($V181="Sub",N($X181),N($M181))&lt;1,$Q181=""),"Vencida sin observación"&amp;" · ",""))="","✔ OK","⚠ "&amp;LEFT(IF($C181="","Falta el nombre de la actividad"&amp;" · ","")&amp;IF(AND($V181="Sub",N($U181)=0),"Subactividad sin macroactividad arriba"&amp;" · ","")&amp;IF($AM181="","Sin fecha de inicio"&amp;" · ","")&amp;IF($AN181="","Sin fecha límite"&amp;" · ","")&amp;IF(AND(LEFT($C181,11)="[Jefatura] ",N($AL181)=0),"No se encuentra en la hoja de la jefatura (elíjala de nuevo en la lista)"&amp;" · ","")&amp;IF(OR(AND($E181&lt;&gt;"",NOT(ISNUMBER($E181))),AND($F181&lt;&gt;"",NOT(ISNUMBER($F181))),AND($G181&lt;&gt;"",NOT(ISNUMBER($G181)))),"Fecha no válida"&amp;" · ","")&amp;IF(AND(ISNUMBER($AM181),ISNUMBER($AN181),$AM181&gt;$AN181),"Inicio posterior a fecha límite"&amp;" · ","")&amp;IF(AND($V181="Macro",$H181&lt;&gt;"",OR(NOT(ISNUMBER($H181)),$H181&lt;0,$H181&gt;1)),"Peso fuera de rango"&amp;" · ","")&amp;IF(AND($V181="Sub",$H181&lt;&gt;""),"Las subactividades no llevan peso (valen igual dentro de su macroactividad)"&amp;" · ","")&amp;IF(AND(N($W181)&gt;0,COUNT($I181:$L181)&gt;0),"Con subactividades: deje vacías las semanas (se calculan solas)"&amp;" · ","")&amp;IF((COUNTIF($I181:$L181,"&gt;1")+COUNTIF($I181:$L181,"&lt;0")+COUNTA($I181:$L181)-COUNT($I181:$L181))&gt;0,"Avance fuera de rango 0-100%"&amp;" · ","")&amp;IF(OR(AND($J181&lt;&gt;"",$J181&lt;$I181),AND($K181&lt;&gt;"",$K181&lt;MAX($I181:$J181)),AND($L181&lt;&gt;"",$L181&lt;MAX($I181:$K181))),"Avance semanal decreciente"&amp;" · ","")&amp;IF(AND(ISNUMBER($AN181),$AN181&lt;FechaRef,IF($V181="Sub",N($X181),N($M181))&lt;1),"Vencida"&amp;" · ","")&amp;IF(AND(ObsObligatoria="Sí",ISNUMBER($AN181),$AN181&lt;FechaRef,IF($V181="Sub",N($X181),N($M181))&lt;1,$Q181=""),"Vencida sin observación"&amp;" · ",""),LEN(IF($C181="","Falta el nombre de la actividad"&amp;" · ","")&amp;IF(AND($V181="Sub",N($U181)=0),"Subactividad sin macroactividad arriba"&amp;" · ","")&amp;IF($AM181="","Sin fecha de inicio"&amp;" · ","")&amp;IF($AN181="","Sin fecha límite"&amp;" · ","")&amp;IF(AND(LEFT($C181,11)="[Jefatura] ",N($AL181)=0),"No se encuentra en la hoja de la jefatura (elíjala de nuevo en la lista)"&amp;" · ","")&amp;IF(OR(AND($E181&lt;&gt;"",NOT(ISNUMBER($E181))),AND($F181&lt;&gt;"",NOT(ISNUMBER($F181))),AND($G181&lt;&gt;"",NOT(ISNUMBER($G181)))),"Fecha no válida"&amp;" · ","")&amp;IF(AND(ISNUMBER($AM181),ISNUMBER($AN181),$AM181&gt;$AN181),"Inicio posterior a fecha límite"&amp;" · ","")&amp;IF(AND($V181="Macro",$H181&lt;&gt;"",OR(NOT(ISNUMBER($H181)),$H181&lt;0,$H181&gt;1)),"Peso fuera de rango"&amp;" · ","")&amp;IF(AND($V181="Sub",$H181&lt;&gt;""),"Las subactividades no llevan peso (valen igual dentro de su macroactividad)"&amp;" · ","")&amp;IF(AND(N($W181)&gt;0,COUNT($I181:$L181)&gt;0),"Con subactividades: deje vacías las semanas (se calculan solas)"&amp;" · ","")&amp;IF((COUNTIF($I181:$L181,"&gt;1")+COUNTIF($I181:$L181,"&lt;0")+COUNTA($I181:$L181)-COUNT($I181:$L181))&gt;0,"Avance fuera de rango 0-100%"&amp;" · ","")&amp;IF(OR(AND($J181&lt;&gt;"",$J181&lt;$I181),AND($K181&lt;&gt;"",$K181&lt;MAX($I181:$J181)),AND($L181&lt;&gt;"",$L181&lt;MAX($I181:$K181))),"Avance semanal decreciente"&amp;" · ","")&amp;IF(AND(ISNUMBER($AN181),$AN181&lt;FechaRef,IF($V181="Sub",N($X181),N($M181))&lt;1),"Vencida"&amp;" · ","")&amp;IF(AND(ObsObligatoria="Sí",ISNUMBER($AN181),$AN181&lt;FechaRef,IF($V181="Sub",N($X181),N($M181))&lt;1,$Q181=""),"Vencida sin observación"&amp;" · ",""))-3)))</f>
        <v/>
      </c>
      <c r="S181" s="64">
        <f>IF(NOT((COUNTA($B181:$D181)+COUNTA($G181:$L181)+COUNTA($Q181))&gt;0),"",IF(AND($V181="Sub",N($U181)&gt;0),IF(ISNUMBER(INDEX($AM$5:$AM$1000,$U181-4)),DATE(YEAR(INDEX($AM$5:$AM$1000,$U181-4)),MONTH(INDEX($AM$5:$AM$1000,$U181-4)),1),IF(ISNUMBER(INDEX($AN$5:$AN$1000,$U181-4)),DATE(YEAR(INDEX($AN$5:$AN$1000,$U181-4)),MONTH(INDEX($AN$5:$AN$1000,$U181-4)),1),MesCiclo)),IF(ISNUMBER($AM181),DATE(YEAR($AM181),MONTH($AM181),1),IF(ISNUMBER($AN181),DATE(YEAR($AN181),MONTH($AN181),1),MesCiclo))))</f>
        <v/>
      </c>
      <c r="T181" s="62">
        <f>IF(OR($S181="",$S181&lt;&gt;MesCiclo,$V181&lt;&gt;"Macro"),"",COUNTIFS($S$5:$S181,MesCiclo,$V$5:$V181,"Macro"))</f>
        <v/>
      </c>
      <c r="U181" s="62">
        <f>IF($V181="","",IF($V181="Macro",ROW(),IFERROR(LOOKUP(2,1/($V$5:$V181="Macro"),ROW($V$5:$V181)),0)))</f>
        <v/>
      </c>
      <c r="V181" s="62">
        <f>IF(NOT((COUNTA($B181:$D181)+COUNTA($G181:$L181)+COUNTA($Q181))&gt;0),"",IF($B181="Subactividad","Sub","Macro"))</f>
        <v/>
      </c>
      <c r="W181" s="62">
        <f>IF($V181="Macro",COUNTIFS($U$5:$U$1000,ROW(),$V$5:$V$1000,"Sub"),"")</f>
        <v/>
      </c>
      <c r="X181" s="62">
        <f>IF($V181="","",IF(ISNUMBER($G181),1,IFERROR(LOOKUP(2,1/($I181:$L181&lt;&gt;""),$I181:$L181),0)))</f>
        <v/>
      </c>
      <c r="Y181" s="62">
        <f>IF($V181="","",IF(AND(ISNUMBER($G181),$G181&lt;=IF($S181=MesCiclo,InicioCiclo,$S181+MOD(2-WEEKDAY($S181),7))+6),1,IF(ISNUMBER($I181),$I181,0)))</f>
        <v/>
      </c>
      <c r="Z181" s="62">
        <f>IF($V181="","",IF(AND(ISNUMBER($G181),$G181&lt;=IF($S181=MesCiclo,InicioCiclo,$S181+MOD(2-WEEKDAY($S181),7))+13),1,IF(ISNUMBER($J181),$J181,$Y181)))</f>
        <v/>
      </c>
      <c r="AA181" s="62">
        <f>IF($V181="","",IF(AND(ISNUMBER($G181),$G181&lt;=IF($S181=MesCiclo,InicioCiclo,$S181+MOD(2-WEEKDAY($S181),7))+20),1,IF(ISNUMBER($K181),$K181,$Z181)))</f>
        <v/>
      </c>
      <c r="AB181" s="62">
        <f>IF($V181="","",IF(AND(ISNUMBER($G181),$G181&lt;=IF($S181=MesCiclo,InicioCiclo,$S181+MOD(2-WEEKDAY($S181),7))+27),1,IF(ISNUMBER($L181),$L181,$AA181)))</f>
        <v/>
      </c>
      <c r="AC181" s="62">
        <f>IF($V181="","",IF(AND(ISNUMBER($G181),$G181&lt;=IF($S181=MesCiclo,InicioCiclo,$S181+MOD(2-WEEKDAY($S181),7))+6),1,IF(N($W181)&gt;0,AVERAGEIFS($Y$5:$Y$1000,$U$5:$U$1000,ROW(),$V$5:$V$1000,"Sub"),$Y181)))</f>
        <v/>
      </c>
      <c r="AD181" s="62">
        <f>IF($V181="","",IF(AND(ISNUMBER($G181),$G181&lt;=IF($S181=MesCiclo,InicioCiclo,$S181+MOD(2-WEEKDAY($S181),7))+13),1,IF(N($W181)&gt;0,AVERAGEIFS($Z$5:$Z$1000,$U$5:$U$1000,ROW(),$V$5:$V$1000,"Sub"),$Z181)))</f>
        <v/>
      </c>
      <c r="AE181" s="62">
        <f>IF($V181="","",IF(AND(ISNUMBER($G181),$G181&lt;=IF($S181=MesCiclo,InicioCiclo,$S181+MOD(2-WEEKDAY($S181),7))+20),1,IF(N($W181)&gt;0,AVERAGEIFS($AA$5:$AA$1000,$U$5:$U$1000,ROW(),$V$5:$V$1000,"Sub"),$AA181)))</f>
        <v/>
      </c>
      <c r="AF181" s="62">
        <f>IF($V181="","",IF(AND(ISNUMBER($G181),$G181&lt;=IF($S181=MesCiclo,InicioCiclo,$S181+MOD(2-WEEKDAY($S181),7))+27),1,IF(N($W181)&gt;0,AVERAGEIFS($AB$5:$AB$1000,$U$5:$U$1000,ROW(),$V$5:$V$1000,"Sub"),$AB181)))</f>
        <v/>
      </c>
      <c r="AG181" s="62">
        <f>IF($V181&lt;&gt;"Macro","",IF(COUNTIFS($S$5:$S$1000,$S181,$V$5:$V$1000,"Macro",$H$5:$H$1000,"&gt;0")=0,1/COUNTIFS($S$5:$S$1000,$S181,$V$5:$V$1000,"Macro"),IF(AND(ISNUMBER($H181),N($H181)&gt;0),$H181,SUMIFS($H$5:$H$1000,$S$5:$S$1000,$S181,$V$5:$V$1000,"Macro")/COUNTIFS($S$5:$S$1000,$S181,$V$5:$V$1000,"Macro",$H$5:$H$1000,"&gt;0"))/(COUNTIFS($S$5:$S$1000,$S181,$V$5:$V$1000,"Macro")*SUMIFS($H$5:$H$1000,$S$5:$S$1000,$S181,$V$5:$V$1000,"Macro")/COUNTIFS($S$5:$S$1000,$S181,$V$5:$V$1000,"Macro",$H$5:$H$1000,"&gt;0"))))</f>
        <v/>
      </c>
      <c r="AH181" s="62">
        <f>IF(NOT(AND($D181&lt;&gt;"",$V181="Macro")),"",IFERROR(CHOOSE(MATCH($D181,ListaPuestos,0),MATCH("[Jefatura] "&amp;$C181,'Cronograma R. Operacional'!$C$5:$C$1000,0),MATCH("[Jefatura] "&amp;$C181,'Cronograma R. Normativo'!$C$5:$C$1000,0),MATCH("[Jefatura] "&amp;$C181,'Cronograma R. Financiero'!$C$5:$C$1000,0),MATCH("[Jefatura] "&amp;$C181,'Cronograma Asistente Técnico'!$C$5:$C$1000,0)),0))</f>
        <v/>
      </c>
      <c r="AI181" s="62">
        <f>IF(AND(AND($D181&lt;&gt;"",$V181="Macro"),$S181=MesCiclo),COUNTIFS($D$5:$D181,$D181,$S$5:$S181,MesCiclo,$V$5:$V181,"Macro"),"")</f>
        <v/>
      </c>
      <c r="AJ181" s="62">
        <f>IF($AI181="","",$D181&amp;"|"&amp;$AI181)</f>
        <v/>
      </c>
      <c r="AK181" s="62">
        <f>IF(AND($D181&lt;&gt;"",$V181="Macro"),$D181&amp;"|"&amp;$C181,"")</f>
        <v/>
      </c>
      <c r="AL181" s="62">
        <f>""</f>
        <v/>
      </c>
      <c r="AM181" s="62">
        <f>IF(N($AL181)&gt;0,INDEX(rIni_ADM,$AL181),IF(ISNUMBER($E181),$E181,""))</f>
        <v/>
      </c>
      <c r="AN181" s="62">
        <f>IF(N($AL181)&gt;0,INDEX(rLim_ADM,$AL181),IF(ISNUMBER($F181),$F181,""))</f>
        <v/>
      </c>
    </row>
    <row r="182">
      <c r="A182" s="56">
        <f>IF(NOT((COUNTA($B182:$D182)+COUNTA($G182:$L182)+COUNTA($Q182))&gt;0),"",IF($V182="Macro",COUNTIFS($V$5:$V182,"Macro",$S$5:$S182,$S182),IF(N($U182)=0,"?",COUNTIFS(INDEX($V$5:$V$1000,1):INDEX($V$5:$V$1000,$U182-4),"Macro",INDEX($S$5:$S$1000,1):INDEX($S$5:$S$1000,$U182-4),INDEX($S$5:$S$1000,$U182-4))&amp;"."&amp;COUNTIFS($U$5:$U182,$U182,$V$5:$V182,"Sub"))))</f>
        <v/>
      </c>
      <c r="B182" s="57" t="n"/>
      <c r="C182" s="58" t="n"/>
      <c r="D182" s="58" t="n"/>
      <c r="E182" s="59" t="n"/>
      <c r="F182" s="59" t="n"/>
      <c r="G182" s="59" t="n"/>
      <c r="H182" s="60" t="n"/>
      <c r="I182" s="60" t="n"/>
      <c r="J182" s="60" t="n"/>
      <c r="K182" s="60" t="n"/>
      <c r="L182" s="60" t="n"/>
      <c r="M182" s="61">
        <f>IF(NOT((COUNTA($B182:$D182)+COUNTA($G182:$L182)+COUNTA($Q182))&gt;0),"",IF(AND($D182&lt;&gt;"",$V182="Macro"),IF(N($AH182)&gt;0,N(CHOOSE(MATCH($D182,ListaPuestos,0),INDEX('Cronograma R. Operacional'!$M$5:$M$1000,$AH182),INDEX('Cronograma R. Normativo'!$M$5:$M$1000,$AH182),INDEX('Cronograma R. Financiero'!$M$5:$M$1000,$AH182),INDEX('Cronograma Asistente Técnico'!$M$5:$M$1000,$AH182))),0),IF(ISNUMBER($G182),1,IF(N($W182)&gt;0,AVERAGEIFS($X$5:$X$1000,$U$5:$U$1000,ROW(),$V$5:$V$1000,"Sub"),$X182))))</f>
        <v/>
      </c>
      <c r="N182" s="56">
        <f>IF(OR($M182="",$V182="Sub"),"",IF($M182&gt;=1,"Completado",IF($M182&gt;0,"En curso","Pendiente")))</f>
        <v/>
      </c>
      <c r="O182" s="56">
        <f>IF(NOT((COUNTA($B182:$D182)+COUNTA($G182:$L182)+COUNTA($Q182))&gt;0),"",IF(AND(AND($D182&lt;&gt;"",$V182="Macro"),N($AH182)&gt;0),CHOOSE(MATCH($D182,ListaPuestos,0),INDEX('Cronograma R. Operacional'!$O$5:$O$1000,$AH182),INDEX('Cronograma R. Normativo'!$O$5:$O$1000,$AH182),INDEX('Cronograma R. Financiero'!$O$5:$O$1000,$AH182),INDEX('Cronograma Asistente Técnico'!$O$5:$O$1000,$AH182))&amp;"",IF(ISNUMBER($G182),IF(AND(ISNUMBER($AN182),$G182&gt;$AN182),"Cumplida con "&amp;($G182-$AN182)&amp;IF($G182-$AN182=1," día"," días")&amp;" de retraso","Cumplida"),IF(N($M182)&gt;=1,"Cumplida",IF(NOT(ISNUMBER($AN182)),"Sin fecha límite",IF($AN182&lt;FechaRef,"Vencida hace "&amp;(FechaRef-$AN182)&amp;IF(FechaRef-$AN182=1," día"," días"),IF($AN182=FechaRef,"Vence hoy",IF($AN182-FechaRef&lt;=DiasAlerta,"Vence en "&amp;($AN182-FechaRef)&amp;IF($AN182-FechaRef=1," día"," días"),"En plazo"))))))))</f>
        <v/>
      </c>
      <c r="P182" s="62">
        <f>IF(NOT((COUNTA($B182:$D182)+COUNTA($G182:$L182)+COUNTA($Q182))&gt;0),"",IF($D182="","Propia",IF($V182&lt;&gt;"Macro","Solo se delegan macroactividades",IF(N($AH182)&gt;0,"✔ Recibida por "&amp;$D182,"⚠ "&amp;$D182&amp;" aún no la agrega"))))</f>
        <v/>
      </c>
      <c r="Q182" s="58" t="n"/>
      <c r="R182" s="63">
        <f>IF(NOT((COUNTA($B182:$D182)+COUNTA($G182:$L182)+COUNTA($Q182))&gt;0),"",IF((IF($C182="","Falta el nombre de la actividad"&amp;" · ","")&amp;IF(AND($V182="Sub",N($U182)=0),"Subactividad sin macroactividad arriba"&amp;" · ","")&amp;IF($AM182="","Sin fecha de inicio"&amp;" · ","")&amp;IF($AN182="","Sin fecha límite"&amp;" · ","")&amp;IF(AND(LEFT($C182,11)="[Jefatura] ",N($AL182)=0),"No se encuentra en la hoja de la jefatura (elíjala de nuevo en la lista)"&amp;" · ","")&amp;IF(OR(AND($E182&lt;&gt;"",NOT(ISNUMBER($E182))),AND($F182&lt;&gt;"",NOT(ISNUMBER($F182))),AND($G182&lt;&gt;"",NOT(ISNUMBER($G182)))),"Fecha no válida"&amp;" · ","")&amp;IF(AND(ISNUMBER($AM182),ISNUMBER($AN182),$AM182&gt;$AN182),"Inicio posterior a fecha límite"&amp;" · ","")&amp;IF(AND($V182="Macro",$H182&lt;&gt;"",OR(NOT(ISNUMBER($H182)),$H182&lt;0,$H182&gt;1)),"Peso fuera de rango"&amp;" · ","")&amp;IF(AND($V182="Sub",$H182&lt;&gt;""),"Las subactividades no llevan peso (valen igual dentro de su macroactividad)"&amp;" · ","")&amp;IF(AND(N($W182)&gt;0,COUNT($I182:$L182)&gt;0),"Con subactividades: deje vacías las semanas (se calculan solas)"&amp;" · ","")&amp;IF((COUNTIF($I182:$L182,"&gt;1")+COUNTIF($I182:$L182,"&lt;0")+COUNTA($I182:$L182)-COUNT($I182:$L182))&gt;0,"Avance fuera de rango 0-100%"&amp;" · ","")&amp;IF(OR(AND($J182&lt;&gt;"",$J182&lt;$I182),AND($K182&lt;&gt;"",$K182&lt;MAX($I182:$J182)),AND($L182&lt;&gt;"",$L182&lt;MAX($I182:$K182))),"Avance semanal decreciente"&amp;" · ","")&amp;IF(AND(ISNUMBER($AN182),$AN182&lt;FechaRef,IF($V182="Sub",N($X182),N($M182))&lt;1),"Vencida"&amp;" · ","")&amp;IF(AND(ObsObligatoria="Sí",ISNUMBER($AN182),$AN182&lt;FechaRef,IF($V182="Sub",N($X182),N($M182))&lt;1,$Q182=""),"Vencida sin observación"&amp;" · ",""))="","✔ OK","⚠ "&amp;LEFT(IF($C182="","Falta el nombre de la actividad"&amp;" · ","")&amp;IF(AND($V182="Sub",N($U182)=0),"Subactividad sin macroactividad arriba"&amp;" · ","")&amp;IF($AM182="","Sin fecha de inicio"&amp;" · ","")&amp;IF($AN182="","Sin fecha límite"&amp;" · ","")&amp;IF(AND(LEFT($C182,11)="[Jefatura] ",N($AL182)=0),"No se encuentra en la hoja de la jefatura (elíjala de nuevo en la lista)"&amp;" · ","")&amp;IF(OR(AND($E182&lt;&gt;"",NOT(ISNUMBER($E182))),AND($F182&lt;&gt;"",NOT(ISNUMBER($F182))),AND($G182&lt;&gt;"",NOT(ISNUMBER($G182)))),"Fecha no válida"&amp;" · ","")&amp;IF(AND(ISNUMBER($AM182),ISNUMBER($AN182),$AM182&gt;$AN182),"Inicio posterior a fecha límite"&amp;" · ","")&amp;IF(AND($V182="Macro",$H182&lt;&gt;"",OR(NOT(ISNUMBER($H182)),$H182&lt;0,$H182&gt;1)),"Peso fuera de rango"&amp;" · ","")&amp;IF(AND($V182="Sub",$H182&lt;&gt;""),"Las subactividades no llevan peso (valen igual dentro de su macroactividad)"&amp;" · ","")&amp;IF(AND(N($W182)&gt;0,COUNT($I182:$L182)&gt;0),"Con subactividades: deje vacías las semanas (se calculan solas)"&amp;" · ","")&amp;IF((COUNTIF($I182:$L182,"&gt;1")+COUNTIF($I182:$L182,"&lt;0")+COUNTA($I182:$L182)-COUNT($I182:$L182))&gt;0,"Avance fuera de rango 0-100%"&amp;" · ","")&amp;IF(OR(AND($J182&lt;&gt;"",$J182&lt;$I182),AND($K182&lt;&gt;"",$K182&lt;MAX($I182:$J182)),AND($L182&lt;&gt;"",$L182&lt;MAX($I182:$K182))),"Avance semanal decreciente"&amp;" · ","")&amp;IF(AND(ISNUMBER($AN182),$AN182&lt;FechaRef,IF($V182="Sub",N($X182),N($M182))&lt;1),"Vencida"&amp;" · ","")&amp;IF(AND(ObsObligatoria="Sí",ISNUMBER($AN182),$AN182&lt;FechaRef,IF($V182="Sub",N($X182),N($M182))&lt;1,$Q182=""),"Vencida sin observación"&amp;" · ",""),LEN(IF($C182="","Falta el nombre de la actividad"&amp;" · ","")&amp;IF(AND($V182="Sub",N($U182)=0),"Subactividad sin macroactividad arriba"&amp;" · ","")&amp;IF($AM182="","Sin fecha de inicio"&amp;" · ","")&amp;IF($AN182="","Sin fecha límite"&amp;" · ","")&amp;IF(AND(LEFT($C182,11)="[Jefatura] ",N($AL182)=0),"No se encuentra en la hoja de la jefatura (elíjala de nuevo en la lista)"&amp;" · ","")&amp;IF(OR(AND($E182&lt;&gt;"",NOT(ISNUMBER($E182))),AND($F182&lt;&gt;"",NOT(ISNUMBER($F182))),AND($G182&lt;&gt;"",NOT(ISNUMBER($G182)))),"Fecha no válida"&amp;" · ","")&amp;IF(AND(ISNUMBER($AM182),ISNUMBER($AN182),$AM182&gt;$AN182),"Inicio posterior a fecha límite"&amp;" · ","")&amp;IF(AND($V182="Macro",$H182&lt;&gt;"",OR(NOT(ISNUMBER($H182)),$H182&lt;0,$H182&gt;1)),"Peso fuera de rango"&amp;" · ","")&amp;IF(AND($V182="Sub",$H182&lt;&gt;""),"Las subactividades no llevan peso (valen igual dentro de su macroactividad)"&amp;" · ","")&amp;IF(AND(N($W182)&gt;0,COUNT($I182:$L182)&gt;0),"Con subactividades: deje vacías las semanas (se calculan solas)"&amp;" · ","")&amp;IF((COUNTIF($I182:$L182,"&gt;1")+COUNTIF($I182:$L182,"&lt;0")+COUNTA($I182:$L182)-COUNT($I182:$L182))&gt;0,"Avance fuera de rango 0-100%"&amp;" · ","")&amp;IF(OR(AND($J182&lt;&gt;"",$J182&lt;$I182),AND($K182&lt;&gt;"",$K182&lt;MAX($I182:$J182)),AND($L182&lt;&gt;"",$L182&lt;MAX($I182:$K182))),"Avance semanal decreciente"&amp;" · ","")&amp;IF(AND(ISNUMBER($AN182),$AN182&lt;FechaRef,IF($V182="Sub",N($X182),N($M182))&lt;1),"Vencida"&amp;" · ","")&amp;IF(AND(ObsObligatoria="Sí",ISNUMBER($AN182),$AN182&lt;FechaRef,IF($V182="Sub",N($X182),N($M182))&lt;1,$Q182=""),"Vencida sin observación"&amp;" · ",""))-3)))</f>
        <v/>
      </c>
      <c r="S182" s="64">
        <f>IF(NOT((COUNTA($B182:$D182)+COUNTA($G182:$L182)+COUNTA($Q182))&gt;0),"",IF(AND($V182="Sub",N($U182)&gt;0),IF(ISNUMBER(INDEX($AM$5:$AM$1000,$U182-4)),DATE(YEAR(INDEX($AM$5:$AM$1000,$U182-4)),MONTH(INDEX($AM$5:$AM$1000,$U182-4)),1),IF(ISNUMBER(INDEX($AN$5:$AN$1000,$U182-4)),DATE(YEAR(INDEX($AN$5:$AN$1000,$U182-4)),MONTH(INDEX($AN$5:$AN$1000,$U182-4)),1),MesCiclo)),IF(ISNUMBER($AM182),DATE(YEAR($AM182),MONTH($AM182),1),IF(ISNUMBER($AN182),DATE(YEAR($AN182),MONTH($AN182),1),MesCiclo))))</f>
        <v/>
      </c>
      <c r="T182" s="62">
        <f>IF(OR($S182="",$S182&lt;&gt;MesCiclo,$V182&lt;&gt;"Macro"),"",COUNTIFS($S$5:$S182,MesCiclo,$V$5:$V182,"Macro"))</f>
        <v/>
      </c>
      <c r="U182" s="62">
        <f>IF($V182="","",IF($V182="Macro",ROW(),IFERROR(LOOKUP(2,1/($V$5:$V182="Macro"),ROW($V$5:$V182)),0)))</f>
        <v/>
      </c>
      <c r="V182" s="62">
        <f>IF(NOT((COUNTA($B182:$D182)+COUNTA($G182:$L182)+COUNTA($Q182))&gt;0),"",IF($B182="Subactividad","Sub","Macro"))</f>
        <v/>
      </c>
      <c r="W182" s="62">
        <f>IF($V182="Macro",COUNTIFS($U$5:$U$1000,ROW(),$V$5:$V$1000,"Sub"),"")</f>
        <v/>
      </c>
      <c r="X182" s="62">
        <f>IF($V182="","",IF(ISNUMBER($G182),1,IFERROR(LOOKUP(2,1/($I182:$L182&lt;&gt;""),$I182:$L182),0)))</f>
        <v/>
      </c>
      <c r="Y182" s="62">
        <f>IF($V182="","",IF(AND(ISNUMBER($G182),$G182&lt;=IF($S182=MesCiclo,InicioCiclo,$S182+MOD(2-WEEKDAY($S182),7))+6),1,IF(ISNUMBER($I182),$I182,0)))</f>
        <v/>
      </c>
      <c r="Z182" s="62">
        <f>IF($V182="","",IF(AND(ISNUMBER($G182),$G182&lt;=IF($S182=MesCiclo,InicioCiclo,$S182+MOD(2-WEEKDAY($S182),7))+13),1,IF(ISNUMBER($J182),$J182,$Y182)))</f>
        <v/>
      </c>
      <c r="AA182" s="62">
        <f>IF($V182="","",IF(AND(ISNUMBER($G182),$G182&lt;=IF($S182=MesCiclo,InicioCiclo,$S182+MOD(2-WEEKDAY($S182),7))+20),1,IF(ISNUMBER($K182),$K182,$Z182)))</f>
        <v/>
      </c>
      <c r="AB182" s="62">
        <f>IF($V182="","",IF(AND(ISNUMBER($G182),$G182&lt;=IF($S182=MesCiclo,InicioCiclo,$S182+MOD(2-WEEKDAY($S182),7))+27),1,IF(ISNUMBER($L182),$L182,$AA182)))</f>
        <v/>
      </c>
      <c r="AC182" s="62">
        <f>IF($V182="","",IF(AND(ISNUMBER($G182),$G182&lt;=IF($S182=MesCiclo,InicioCiclo,$S182+MOD(2-WEEKDAY($S182),7))+6),1,IF(N($W182)&gt;0,AVERAGEIFS($Y$5:$Y$1000,$U$5:$U$1000,ROW(),$V$5:$V$1000,"Sub"),$Y182)))</f>
        <v/>
      </c>
      <c r="AD182" s="62">
        <f>IF($V182="","",IF(AND(ISNUMBER($G182),$G182&lt;=IF($S182=MesCiclo,InicioCiclo,$S182+MOD(2-WEEKDAY($S182),7))+13),1,IF(N($W182)&gt;0,AVERAGEIFS($Z$5:$Z$1000,$U$5:$U$1000,ROW(),$V$5:$V$1000,"Sub"),$Z182)))</f>
        <v/>
      </c>
      <c r="AE182" s="62">
        <f>IF($V182="","",IF(AND(ISNUMBER($G182),$G182&lt;=IF($S182=MesCiclo,InicioCiclo,$S182+MOD(2-WEEKDAY($S182),7))+20),1,IF(N($W182)&gt;0,AVERAGEIFS($AA$5:$AA$1000,$U$5:$U$1000,ROW(),$V$5:$V$1000,"Sub"),$AA182)))</f>
        <v/>
      </c>
      <c r="AF182" s="62">
        <f>IF($V182="","",IF(AND(ISNUMBER($G182),$G182&lt;=IF($S182=MesCiclo,InicioCiclo,$S182+MOD(2-WEEKDAY($S182),7))+27),1,IF(N($W182)&gt;0,AVERAGEIFS($AB$5:$AB$1000,$U$5:$U$1000,ROW(),$V$5:$V$1000,"Sub"),$AB182)))</f>
        <v/>
      </c>
      <c r="AG182" s="62">
        <f>IF($V182&lt;&gt;"Macro","",IF(COUNTIFS($S$5:$S$1000,$S182,$V$5:$V$1000,"Macro",$H$5:$H$1000,"&gt;0")=0,1/COUNTIFS($S$5:$S$1000,$S182,$V$5:$V$1000,"Macro"),IF(AND(ISNUMBER($H182),N($H182)&gt;0),$H182,SUMIFS($H$5:$H$1000,$S$5:$S$1000,$S182,$V$5:$V$1000,"Macro")/COUNTIFS($S$5:$S$1000,$S182,$V$5:$V$1000,"Macro",$H$5:$H$1000,"&gt;0"))/(COUNTIFS($S$5:$S$1000,$S182,$V$5:$V$1000,"Macro")*SUMIFS($H$5:$H$1000,$S$5:$S$1000,$S182,$V$5:$V$1000,"Macro")/COUNTIFS($S$5:$S$1000,$S182,$V$5:$V$1000,"Macro",$H$5:$H$1000,"&gt;0"))))</f>
        <v/>
      </c>
      <c r="AH182" s="62">
        <f>IF(NOT(AND($D182&lt;&gt;"",$V182="Macro")),"",IFERROR(CHOOSE(MATCH($D182,ListaPuestos,0),MATCH("[Jefatura] "&amp;$C182,'Cronograma R. Operacional'!$C$5:$C$1000,0),MATCH("[Jefatura] "&amp;$C182,'Cronograma R. Normativo'!$C$5:$C$1000,0),MATCH("[Jefatura] "&amp;$C182,'Cronograma R. Financiero'!$C$5:$C$1000,0),MATCH("[Jefatura] "&amp;$C182,'Cronograma Asistente Técnico'!$C$5:$C$1000,0)),0))</f>
        <v/>
      </c>
      <c r="AI182" s="62">
        <f>IF(AND(AND($D182&lt;&gt;"",$V182="Macro"),$S182=MesCiclo),COUNTIFS($D$5:$D182,$D182,$S$5:$S182,MesCiclo,$V$5:$V182,"Macro"),"")</f>
        <v/>
      </c>
      <c r="AJ182" s="62">
        <f>IF($AI182="","",$D182&amp;"|"&amp;$AI182)</f>
        <v/>
      </c>
      <c r="AK182" s="62">
        <f>IF(AND($D182&lt;&gt;"",$V182="Macro"),$D182&amp;"|"&amp;$C182,"")</f>
        <v/>
      </c>
      <c r="AL182" s="62">
        <f>""</f>
        <v/>
      </c>
      <c r="AM182" s="62">
        <f>IF(N($AL182)&gt;0,INDEX(rIni_ADM,$AL182),IF(ISNUMBER($E182),$E182,""))</f>
        <v/>
      </c>
      <c r="AN182" s="62">
        <f>IF(N($AL182)&gt;0,INDEX(rLim_ADM,$AL182),IF(ISNUMBER($F182),$F182,""))</f>
        <v/>
      </c>
    </row>
    <row r="183">
      <c r="A183" s="56">
        <f>IF(NOT((COUNTA($B183:$D183)+COUNTA($G183:$L183)+COUNTA($Q183))&gt;0),"",IF($V183="Macro",COUNTIFS($V$5:$V183,"Macro",$S$5:$S183,$S183),IF(N($U183)=0,"?",COUNTIFS(INDEX($V$5:$V$1000,1):INDEX($V$5:$V$1000,$U183-4),"Macro",INDEX($S$5:$S$1000,1):INDEX($S$5:$S$1000,$U183-4),INDEX($S$5:$S$1000,$U183-4))&amp;"."&amp;COUNTIFS($U$5:$U183,$U183,$V$5:$V183,"Sub"))))</f>
        <v/>
      </c>
      <c r="B183" s="57" t="n"/>
      <c r="C183" s="58" t="n"/>
      <c r="D183" s="58" t="n"/>
      <c r="E183" s="59" t="n"/>
      <c r="F183" s="59" t="n"/>
      <c r="G183" s="59" t="n"/>
      <c r="H183" s="60" t="n"/>
      <c r="I183" s="60" t="n"/>
      <c r="J183" s="60" t="n"/>
      <c r="K183" s="60" t="n"/>
      <c r="L183" s="60" t="n"/>
      <c r="M183" s="61">
        <f>IF(NOT((COUNTA($B183:$D183)+COUNTA($G183:$L183)+COUNTA($Q183))&gt;0),"",IF(AND($D183&lt;&gt;"",$V183="Macro"),IF(N($AH183)&gt;0,N(CHOOSE(MATCH($D183,ListaPuestos,0),INDEX('Cronograma R. Operacional'!$M$5:$M$1000,$AH183),INDEX('Cronograma R. Normativo'!$M$5:$M$1000,$AH183),INDEX('Cronograma R. Financiero'!$M$5:$M$1000,$AH183),INDEX('Cronograma Asistente Técnico'!$M$5:$M$1000,$AH183))),0),IF(ISNUMBER($G183),1,IF(N($W183)&gt;0,AVERAGEIFS($X$5:$X$1000,$U$5:$U$1000,ROW(),$V$5:$V$1000,"Sub"),$X183))))</f>
        <v/>
      </c>
      <c r="N183" s="56">
        <f>IF(OR($M183="",$V183="Sub"),"",IF($M183&gt;=1,"Completado",IF($M183&gt;0,"En curso","Pendiente")))</f>
        <v/>
      </c>
      <c r="O183" s="56">
        <f>IF(NOT((COUNTA($B183:$D183)+COUNTA($G183:$L183)+COUNTA($Q183))&gt;0),"",IF(AND(AND($D183&lt;&gt;"",$V183="Macro"),N($AH183)&gt;0),CHOOSE(MATCH($D183,ListaPuestos,0),INDEX('Cronograma R. Operacional'!$O$5:$O$1000,$AH183),INDEX('Cronograma R. Normativo'!$O$5:$O$1000,$AH183),INDEX('Cronograma R. Financiero'!$O$5:$O$1000,$AH183),INDEX('Cronograma Asistente Técnico'!$O$5:$O$1000,$AH183))&amp;"",IF(ISNUMBER($G183),IF(AND(ISNUMBER($AN183),$G183&gt;$AN183),"Cumplida con "&amp;($G183-$AN183)&amp;IF($G183-$AN183=1," día"," días")&amp;" de retraso","Cumplida"),IF(N($M183)&gt;=1,"Cumplida",IF(NOT(ISNUMBER($AN183)),"Sin fecha límite",IF($AN183&lt;FechaRef,"Vencida hace "&amp;(FechaRef-$AN183)&amp;IF(FechaRef-$AN183=1," día"," días"),IF($AN183=FechaRef,"Vence hoy",IF($AN183-FechaRef&lt;=DiasAlerta,"Vence en "&amp;($AN183-FechaRef)&amp;IF($AN183-FechaRef=1," día"," días"),"En plazo"))))))))</f>
        <v/>
      </c>
      <c r="P183" s="62">
        <f>IF(NOT((COUNTA($B183:$D183)+COUNTA($G183:$L183)+COUNTA($Q183))&gt;0),"",IF($D183="","Propia",IF($V183&lt;&gt;"Macro","Solo se delegan macroactividades",IF(N($AH183)&gt;0,"✔ Recibida por "&amp;$D183,"⚠ "&amp;$D183&amp;" aún no la agrega"))))</f>
        <v/>
      </c>
      <c r="Q183" s="58" t="n"/>
      <c r="R183" s="63">
        <f>IF(NOT((COUNTA($B183:$D183)+COUNTA($G183:$L183)+COUNTA($Q183))&gt;0),"",IF((IF($C183="","Falta el nombre de la actividad"&amp;" · ","")&amp;IF(AND($V183="Sub",N($U183)=0),"Subactividad sin macroactividad arriba"&amp;" · ","")&amp;IF($AM183="","Sin fecha de inicio"&amp;" · ","")&amp;IF($AN183="","Sin fecha límite"&amp;" · ","")&amp;IF(AND(LEFT($C183,11)="[Jefatura] ",N($AL183)=0),"No se encuentra en la hoja de la jefatura (elíjala de nuevo en la lista)"&amp;" · ","")&amp;IF(OR(AND($E183&lt;&gt;"",NOT(ISNUMBER($E183))),AND($F183&lt;&gt;"",NOT(ISNUMBER($F183))),AND($G183&lt;&gt;"",NOT(ISNUMBER($G183)))),"Fecha no válida"&amp;" · ","")&amp;IF(AND(ISNUMBER($AM183),ISNUMBER($AN183),$AM183&gt;$AN183),"Inicio posterior a fecha límite"&amp;" · ","")&amp;IF(AND($V183="Macro",$H183&lt;&gt;"",OR(NOT(ISNUMBER($H183)),$H183&lt;0,$H183&gt;1)),"Peso fuera de rango"&amp;" · ","")&amp;IF(AND($V183="Sub",$H183&lt;&gt;""),"Las subactividades no llevan peso (valen igual dentro de su macroactividad)"&amp;" · ","")&amp;IF(AND(N($W183)&gt;0,COUNT($I183:$L183)&gt;0),"Con subactividades: deje vacías las semanas (se calculan solas)"&amp;" · ","")&amp;IF((COUNTIF($I183:$L183,"&gt;1")+COUNTIF($I183:$L183,"&lt;0")+COUNTA($I183:$L183)-COUNT($I183:$L183))&gt;0,"Avance fuera de rango 0-100%"&amp;" · ","")&amp;IF(OR(AND($J183&lt;&gt;"",$J183&lt;$I183),AND($K183&lt;&gt;"",$K183&lt;MAX($I183:$J183)),AND($L183&lt;&gt;"",$L183&lt;MAX($I183:$K183))),"Avance semanal decreciente"&amp;" · ","")&amp;IF(AND(ISNUMBER($AN183),$AN183&lt;FechaRef,IF($V183="Sub",N($X183),N($M183))&lt;1),"Vencida"&amp;" · ","")&amp;IF(AND(ObsObligatoria="Sí",ISNUMBER($AN183),$AN183&lt;FechaRef,IF($V183="Sub",N($X183),N($M183))&lt;1,$Q183=""),"Vencida sin observación"&amp;" · ",""))="","✔ OK","⚠ "&amp;LEFT(IF($C183="","Falta el nombre de la actividad"&amp;" · ","")&amp;IF(AND($V183="Sub",N($U183)=0),"Subactividad sin macroactividad arriba"&amp;" · ","")&amp;IF($AM183="","Sin fecha de inicio"&amp;" · ","")&amp;IF($AN183="","Sin fecha límite"&amp;" · ","")&amp;IF(AND(LEFT($C183,11)="[Jefatura] ",N($AL183)=0),"No se encuentra en la hoja de la jefatura (elíjala de nuevo en la lista)"&amp;" · ","")&amp;IF(OR(AND($E183&lt;&gt;"",NOT(ISNUMBER($E183))),AND($F183&lt;&gt;"",NOT(ISNUMBER($F183))),AND($G183&lt;&gt;"",NOT(ISNUMBER($G183)))),"Fecha no válida"&amp;" · ","")&amp;IF(AND(ISNUMBER($AM183),ISNUMBER($AN183),$AM183&gt;$AN183),"Inicio posterior a fecha límite"&amp;" · ","")&amp;IF(AND($V183="Macro",$H183&lt;&gt;"",OR(NOT(ISNUMBER($H183)),$H183&lt;0,$H183&gt;1)),"Peso fuera de rango"&amp;" · ","")&amp;IF(AND($V183="Sub",$H183&lt;&gt;""),"Las subactividades no llevan peso (valen igual dentro de su macroactividad)"&amp;" · ","")&amp;IF(AND(N($W183)&gt;0,COUNT($I183:$L183)&gt;0),"Con subactividades: deje vacías las semanas (se calculan solas)"&amp;" · ","")&amp;IF((COUNTIF($I183:$L183,"&gt;1")+COUNTIF($I183:$L183,"&lt;0")+COUNTA($I183:$L183)-COUNT($I183:$L183))&gt;0,"Avance fuera de rango 0-100%"&amp;" · ","")&amp;IF(OR(AND($J183&lt;&gt;"",$J183&lt;$I183),AND($K183&lt;&gt;"",$K183&lt;MAX($I183:$J183)),AND($L183&lt;&gt;"",$L183&lt;MAX($I183:$K183))),"Avance semanal decreciente"&amp;" · ","")&amp;IF(AND(ISNUMBER($AN183),$AN183&lt;FechaRef,IF($V183="Sub",N($X183),N($M183))&lt;1),"Vencida"&amp;" · ","")&amp;IF(AND(ObsObligatoria="Sí",ISNUMBER($AN183),$AN183&lt;FechaRef,IF($V183="Sub",N($X183),N($M183))&lt;1,$Q183=""),"Vencida sin observación"&amp;" · ",""),LEN(IF($C183="","Falta el nombre de la actividad"&amp;" · ","")&amp;IF(AND($V183="Sub",N($U183)=0),"Subactividad sin macroactividad arriba"&amp;" · ","")&amp;IF($AM183="","Sin fecha de inicio"&amp;" · ","")&amp;IF($AN183="","Sin fecha límite"&amp;" · ","")&amp;IF(AND(LEFT($C183,11)="[Jefatura] ",N($AL183)=0),"No se encuentra en la hoja de la jefatura (elíjala de nuevo en la lista)"&amp;" · ","")&amp;IF(OR(AND($E183&lt;&gt;"",NOT(ISNUMBER($E183))),AND($F183&lt;&gt;"",NOT(ISNUMBER($F183))),AND($G183&lt;&gt;"",NOT(ISNUMBER($G183)))),"Fecha no válida"&amp;" · ","")&amp;IF(AND(ISNUMBER($AM183),ISNUMBER($AN183),$AM183&gt;$AN183),"Inicio posterior a fecha límite"&amp;" · ","")&amp;IF(AND($V183="Macro",$H183&lt;&gt;"",OR(NOT(ISNUMBER($H183)),$H183&lt;0,$H183&gt;1)),"Peso fuera de rango"&amp;" · ","")&amp;IF(AND($V183="Sub",$H183&lt;&gt;""),"Las subactividades no llevan peso (valen igual dentro de su macroactividad)"&amp;" · ","")&amp;IF(AND(N($W183)&gt;0,COUNT($I183:$L183)&gt;0),"Con subactividades: deje vacías las semanas (se calculan solas)"&amp;" · ","")&amp;IF((COUNTIF($I183:$L183,"&gt;1")+COUNTIF($I183:$L183,"&lt;0")+COUNTA($I183:$L183)-COUNT($I183:$L183))&gt;0,"Avance fuera de rango 0-100%"&amp;" · ","")&amp;IF(OR(AND($J183&lt;&gt;"",$J183&lt;$I183),AND($K183&lt;&gt;"",$K183&lt;MAX($I183:$J183)),AND($L183&lt;&gt;"",$L183&lt;MAX($I183:$K183))),"Avance semanal decreciente"&amp;" · ","")&amp;IF(AND(ISNUMBER($AN183),$AN183&lt;FechaRef,IF($V183="Sub",N($X183),N($M183))&lt;1),"Vencida"&amp;" · ","")&amp;IF(AND(ObsObligatoria="Sí",ISNUMBER($AN183),$AN183&lt;FechaRef,IF($V183="Sub",N($X183),N($M183))&lt;1,$Q183=""),"Vencida sin observación"&amp;" · ",""))-3)))</f>
        <v/>
      </c>
      <c r="S183" s="64">
        <f>IF(NOT((COUNTA($B183:$D183)+COUNTA($G183:$L183)+COUNTA($Q183))&gt;0),"",IF(AND($V183="Sub",N($U183)&gt;0),IF(ISNUMBER(INDEX($AM$5:$AM$1000,$U183-4)),DATE(YEAR(INDEX($AM$5:$AM$1000,$U183-4)),MONTH(INDEX($AM$5:$AM$1000,$U183-4)),1),IF(ISNUMBER(INDEX($AN$5:$AN$1000,$U183-4)),DATE(YEAR(INDEX($AN$5:$AN$1000,$U183-4)),MONTH(INDEX($AN$5:$AN$1000,$U183-4)),1),MesCiclo)),IF(ISNUMBER($AM183),DATE(YEAR($AM183),MONTH($AM183),1),IF(ISNUMBER($AN183),DATE(YEAR($AN183),MONTH($AN183),1),MesCiclo))))</f>
        <v/>
      </c>
      <c r="T183" s="62">
        <f>IF(OR($S183="",$S183&lt;&gt;MesCiclo,$V183&lt;&gt;"Macro"),"",COUNTIFS($S$5:$S183,MesCiclo,$V$5:$V183,"Macro"))</f>
        <v/>
      </c>
      <c r="U183" s="62">
        <f>IF($V183="","",IF($V183="Macro",ROW(),IFERROR(LOOKUP(2,1/($V$5:$V183="Macro"),ROW($V$5:$V183)),0)))</f>
        <v/>
      </c>
      <c r="V183" s="62">
        <f>IF(NOT((COUNTA($B183:$D183)+COUNTA($G183:$L183)+COUNTA($Q183))&gt;0),"",IF($B183="Subactividad","Sub","Macro"))</f>
        <v/>
      </c>
      <c r="W183" s="62">
        <f>IF($V183="Macro",COUNTIFS($U$5:$U$1000,ROW(),$V$5:$V$1000,"Sub"),"")</f>
        <v/>
      </c>
      <c r="X183" s="62">
        <f>IF($V183="","",IF(ISNUMBER($G183),1,IFERROR(LOOKUP(2,1/($I183:$L183&lt;&gt;""),$I183:$L183),0)))</f>
        <v/>
      </c>
      <c r="Y183" s="62">
        <f>IF($V183="","",IF(AND(ISNUMBER($G183),$G183&lt;=IF($S183=MesCiclo,InicioCiclo,$S183+MOD(2-WEEKDAY($S183),7))+6),1,IF(ISNUMBER($I183),$I183,0)))</f>
        <v/>
      </c>
      <c r="Z183" s="62">
        <f>IF($V183="","",IF(AND(ISNUMBER($G183),$G183&lt;=IF($S183=MesCiclo,InicioCiclo,$S183+MOD(2-WEEKDAY($S183),7))+13),1,IF(ISNUMBER($J183),$J183,$Y183)))</f>
        <v/>
      </c>
      <c r="AA183" s="62">
        <f>IF($V183="","",IF(AND(ISNUMBER($G183),$G183&lt;=IF($S183=MesCiclo,InicioCiclo,$S183+MOD(2-WEEKDAY($S183),7))+20),1,IF(ISNUMBER($K183),$K183,$Z183)))</f>
        <v/>
      </c>
      <c r="AB183" s="62">
        <f>IF($V183="","",IF(AND(ISNUMBER($G183),$G183&lt;=IF($S183=MesCiclo,InicioCiclo,$S183+MOD(2-WEEKDAY($S183),7))+27),1,IF(ISNUMBER($L183),$L183,$AA183)))</f>
        <v/>
      </c>
      <c r="AC183" s="62">
        <f>IF($V183="","",IF(AND(ISNUMBER($G183),$G183&lt;=IF($S183=MesCiclo,InicioCiclo,$S183+MOD(2-WEEKDAY($S183),7))+6),1,IF(N($W183)&gt;0,AVERAGEIFS($Y$5:$Y$1000,$U$5:$U$1000,ROW(),$V$5:$V$1000,"Sub"),$Y183)))</f>
        <v/>
      </c>
      <c r="AD183" s="62">
        <f>IF($V183="","",IF(AND(ISNUMBER($G183),$G183&lt;=IF($S183=MesCiclo,InicioCiclo,$S183+MOD(2-WEEKDAY($S183),7))+13),1,IF(N($W183)&gt;0,AVERAGEIFS($Z$5:$Z$1000,$U$5:$U$1000,ROW(),$V$5:$V$1000,"Sub"),$Z183)))</f>
        <v/>
      </c>
      <c r="AE183" s="62">
        <f>IF($V183="","",IF(AND(ISNUMBER($G183),$G183&lt;=IF($S183=MesCiclo,InicioCiclo,$S183+MOD(2-WEEKDAY($S183),7))+20),1,IF(N($W183)&gt;0,AVERAGEIFS($AA$5:$AA$1000,$U$5:$U$1000,ROW(),$V$5:$V$1000,"Sub"),$AA183)))</f>
        <v/>
      </c>
      <c r="AF183" s="62">
        <f>IF($V183="","",IF(AND(ISNUMBER($G183),$G183&lt;=IF($S183=MesCiclo,InicioCiclo,$S183+MOD(2-WEEKDAY($S183),7))+27),1,IF(N($W183)&gt;0,AVERAGEIFS($AB$5:$AB$1000,$U$5:$U$1000,ROW(),$V$5:$V$1000,"Sub"),$AB183)))</f>
        <v/>
      </c>
      <c r="AG183" s="62">
        <f>IF($V183&lt;&gt;"Macro","",IF(COUNTIFS($S$5:$S$1000,$S183,$V$5:$V$1000,"Macro",$H$5:$H$1000,"&gt;0")=0,1/COUNTIFS($S$5:$S$1000,$S183,$V$5:$V$1000,"Macro"),IF(AND(ISNUMBER($H183),N($H183)&gt;0),$H183,SUMIFS($H$5:$H$1000,$S$5:$S$1000,$S183,$V$5:$V$1000,"Macro")/COUNTIFS($S$5:$S$1000,$S183,$V$5:$V$1000,"Macro",$H$5:$H$1000,"&gt;0"))/(COUNTIFS($S$5:$S$1000,$S183,$V$5:$V$1000,"Macro")*SUMIFS($H$5:$H$1000,$S$5:$S$1000,$S183,$V$5:$V$1000,"Macro")/COUNTIFS($S$5:$S$1000,$S183,$V$5:$V$1000,"Macro",$H$5:$H$1000,"&gt;0"))))</f>
        <v/>
      </c>
      <c r="AH183" s="62">
        <f>IF(NOT(AND($D183&lt;&gt;"",$V183="Macro")),"",IFERROR(CHOOSE(MATCH($D183,ListaPuestos,0),MATCH("[Jefatura] "&amp;$C183,'Cronograma R. Operacional'!$C$5:$C$1000,0),MATCH("[Jefatura] "&amp;$C183,'Cronograma R. Normativo'!$C$5:$C$1000,0),MATCH("[Jefatura] "&amp;$C183,'Cronograma R. Financiero'!$C$5:$C$1000,0),MATCH("[Jefatura] "&amp;$C183,'Cronograma Asistente Técnico'!$C$5:$C$1000,0)),0))</f>
        <v/>
      </c>
      <c r="AI183" s="62">
        <f>IF(AND(AND($D183&lt;&gt;"",$V183="Macro"),$S183=MesCiclo),COUNTIFS($D$5:$D183,$D183,$S$5:$S183,MesCiclo,$V$5:$V183,"Macro"),"")</f>
        <v/>
      </c>
      <c r="AJ183" s="62">
        <f>IF($AI183="","",$D183&amp;"|"&amp;$AI183)</f>
        <v/>
      </c>
      <c r="AK183" s="62">
        <f>IF(AND($D183&lt;&gt;"",$V183="Macro"),$D183&amp;"|"&amp;$C183,"")</f>
        <v/>
      </c>
      <c r="AL183" s="62">
        <f>""</f>
        <v/>
      </c>
      <c r="AM183" s="62">
        <f>IF(N($AL183)&gt;0,INDEX(rIni_ADM,$AL183),IF(ISNUMBER($E183),$E183,""))</f>
        <v/>
      </c>
      <c r="AN183" s="62">
        <f>IF(N($AL183)&gt;0,INDEX(rLim_ADM,$AL183),IF(ISNUMBER($F183),$F183,""))</f>
        <v/>
      </c>
    </row>
    <row r="184">
      <c r="A184" s="56">
        <f>IF(NOT((COUNTA($B184:$D184)+COUNTA($G184:$L184)+COUNTA($Q184))&gt;0),"",IF($V184="Macro",COUNTIFS($V$5:$V184,"Macro",$S$5:$S184,$S184),IF(N($U184)=0,"?",COUNTIFS(INDEX($V$5:$V$1000,1):INDEX($V$5:$V$1000,$U184-4),"Macro",INDEX($S$5:$S$1000,1):INDEX($S$5:$S$1000,$U184-4),INDEX($S$5:$S$1000,$U184-4))&amp;"."&amp;COUNTIFS($U$5:$U184,$U184,$V$5:$V184,"Sub"))))</f>
        <v/>
      </c>
      <c r="B184" s="57" t="n"/>
      <c r="C184" s="58" t="n"/>
      <c r="D184" s="58" t="n"/>
      <c r="E184" s="59" t="n"/>
      <c r="F184" s="59" t="n"/>
      <c r="G184" s="59" t="n"/>
      <c r="H184" s="60" t="n"/>
      <c r="I184" s="60" t="n"/>
      <c r="J184" s="60" t="n"/>
      <c r="K184" s="60" t="n"/>
      <c r="L184" s="60" t="n"/>
      <c r="M184" s="61">
        <f>IF(NOT((COUNTA($B184:$D184)+COUNTA($G184:$L184)+COUNTA($Q184))&gt;0),"",IF(AND($D184&lt;&gt;"",$V184="Macro"),IF(N($AH184)&gt;0,N(CHOOSE(MATCH($D184,ListaPuestos,0),INDEX('Cronograma R. Operacional'!$M$5:$M$1000,$AH184),INDEX('Cronograma R. Normativo'!$M$5:$M$1000,$AH184),INDEX('Cronograma R. Financiero'!$M$5:$M$1000,$AH184),INDEX('Cronograma Asistente Técnico'!$M$5:$M$1000,$AH184))),0),IF(ISNUMBER($G184),1,IF(N($W184)&gt;0,AVERAGEIFS($X$5:$X$1000,$U$5:$U$1000,ROW(),$V$5:$V$1000,"Sub"),$X184))))</f>
        <v/>
      </c>
      <c r="N184" s="56">
        <f>IF(OR($M184="",$V184="Sub"),"",IF($M184&gt;=1,"Completado",IF($M184&gt;0,"En curso","Pendiente")))</f>
        <v/>
      </c>
      <c r="O184" s="56">
        <f>IF(NOT((COUNTA($B184:$D184)+COUNTA($G184:$L184)+COUNTA($Q184))&gt;0),"",IF(AND(AND($D184&lt;&gt;"",$V184="Macro"),N($AH184)&gt;0),CHOOSE(MATCH($D184,ListaPuestos,0),INDEX('Cronograma R. Operacional'!$O$5:$O$1000,$AH184),INDEX('Cronograma R. Normativo'!$O$5:$O$1000,$AH184),INDEX('Cronograma R. Financiero'!$O$5:$O$1000,$AH184),INDEX('Cronograma Asistente Técnico'!$O$5:$O$1000,$AH184))&amp;"",IF(ISNUMBER($G184),IF(AND(ISNUMBER($AN184),$G184&gt;$AN184),"Cumplida con "&amp;($G184-$AN184)&amp;IF($G184-$AN184=1," día"," días")&amp;" de retraso","Cumplida"),IF(N($M184)&gt;=1,"Cumplida",IF(NOT(ISNUMBER($AN184)),"Sin fecha límite",IF($AN184&lt;FechaRef,"Vencida hace "&amp;(FechaRef-$AN184)&amp;IF(FechaRef-$AN184=1," día"," días"),IF($AN184=FechaRef,"Vence hoy",IF($AN184-FechaRef&lt;=DiasAlerta,"Vence en "&amp;($AN184-FechaRef)&amp;IF($AN184-FechaRef=1," día"," días"),"En plazo"))))))))</f>
        <v/>
      </c>
      <c r="P184" s="62">
        <f>IF(NOT((COUNTA($B184:$D184)+COUNTA($G184:$L184)+COUNTA($Q184))&gt;0),"",IF($D184="","Propia",IF($V184&lt;&gt;"Macro","Solo se delegan macroactividades",IF(N($AH184)&gt;0,"✔ Recibida por "&amp;$D184,"⚠ "&amp;$D184&amp;" aún no la agrega"))))</f>
        <v/>
      </c>
      <c r="Q184" s="58" t="n"/>
      <c r="R184" s="63">
        <f>IF(NOT((COUNTA($B184:$D184)+COUNTA($G184:$L184)+COUNTA($Q184))&gt;0),"",IF((IF($C184="","Falta el nombre de la actividad"&amp;" · ","")&amp;IF(AND($V184="Sub",N($U184)=0),"Subactividad sin macroactividad arriba"&amp;" · ","")&amp;IF($AM184="","Sin fecha de inicio"&amp;" · ","")&amp;IF($AN184="","Sin fecha límite"&amp;" · ","")&amp;IF(AND(LEFT($C184,11)="[Jefatura] ",N($AL184)=0),"No se encuentra en la hoja de la jefatura (elíjala de nuevo en la lista)"&amp;" · ","")&amp;IF(OR(AND($E184&lt;&gt;"",NOT(ISNUMBER($E184))),AND($F184&lt;&gt;"",NOT(ISNUMBER($F184))),AND($G184&lt;&gt;"",NOT(ISNUMBER($G184)))),"Fecha no válida"&amp;" · ","")&amp;IF(AND(ISNUMBER($AM184),ISNUMBER($AN184),$AM184&gt;$AN184),"Inicio posterior a fecha límite"&amp;" · ","")&amp;IF(AND($V184="Macro",$H184&lt;&gt;"",OR(NOT(ISNUMBER($H184)),$H184&lt;0,$H184&gt;1)),"Peso fuera de rango"&amp;" · ","")&amp;IF(AND($V184="Sub",$H184&lt;&gt;""),"Las subactividades no llevan peso (valen igual dentro de su macroactividad)"&amp;" · ","")&amp;IF(AND(N($W184)&gt;0,COUNT($I184:$L184)&gt;0),"Con subactividades: deje vacías las semanas (se calculan solas)"&amp;" · ","")&amp;IF((COUNTIF($I184:$L184,"&gt;1")+COUNTIF($I184:$L184,"&lt;0")+COUNTA($I184:$L184)-COUNT($I184:$L184))&gt;0,"Avance fuera de rango 0-100%"&amp;" · ","")&amp;IF(OR(AND($J184&lt;&gt;"",$J184&lt;$I184),AND($K184&lt;&gt;"",$K184&lt;MAX($I184:$J184)),AND($L184&lt;&gt;"",$L184&lt;MAX($I184:$K184))),"Avance semanal decreciente"&amp;" · ","")&amp;IF(AND(ISNUMBER($AN184),$AN184&lt;FechaRef,IF($V184="Sub",N($X184),N($M184))&lt;1),"Vencida"&amp;" · ","")&amp;IF(AND(ObsObligatoria="Sí",ISNUMBER($AN184),$AN184&lt;FechaRef,IF($V184="Sub",N($X184),N($M184))&lt;1,$Q184=""),"Vencida sin observación"&amp;" · ",""))="","✔ OK","⚠ "&amp;LEFT(IF($C184="","Falta el nombre de la actividad"&amp;" · ","")&amp;IF(AND($V184="Sub",N($U184)=0),"Subactividad sin macroactividad arriba"&amp;" · ","")&amp;IF($AM184="","Sin fecha de inicio"&amp;" · ","")&amp;IF($AN184="","Sin fecha límite"&amp;" · ","")&amp;IF(AND(LEFT($C184,11)="[Jefatura] ",N($AL184)=0),"No se encuentra en la hoja de la jefatura (elíjala de nuevo en la lista)"&amp;" · ","")&amp;IF(OR(AND($E184&lt;&gt;"",NOT(ISNUMBER($E184))),AND($F184&lt;&gt;"",NOT(ISNUMBER($F184))),AND($G184&lt;&gt;"",NOT(ISNUMBER($G184)))),"Fecha no válida"&amp;" · ","")&amp;IF(AND(ISNUMBER($AM184),ISNUMBER($AN184),$AM184&gt;$AN184),"Inicio posterior a fecha límite"&amp;" · ","")&amp;IF(AND($V184="Macro",$H184&lt;&gt;"",OR(NOT(ISNUMBER($H184)),$H184&lt;0,$H184&gt;1)),"Peso fuera de rango"&amp;" · ","")&amp;IF(AND($V184="Sub",$H184&lt;&gt;""),"Las subactividades no llevan peso (valen igual dentro de su macroactividad)"&amp;" · ","")&amp;IF(AND(N($W184)&gt;0,COUNT($I184:$L184)&gt;0),"Con subactividades: deje vacías las semanas (se calculan solas)"&amp;" · ","")&amp;IF((COUNTIF($I184:$L184,"&gt;1")+COUNTIF($I184:$L184,"&lt;0")+COUNTA($I184:$L184)-COUNT($I184:$L184))&gt;0,"Avance fuera de rango 0-100%"&amp;" · ","")&amp;IF(OR(AND($J184&lt;&gt;"",$J184&lt;$I184),AND($K184&lt;&gt;"",$K184&lt;MAX($I184:$J184)),AND($L184&lt;&gt;"",$L184&lt;MAX($I184:$K184))),"Avance semanal decreciente"&amp;" · ","")&amp;IF(AND(ISNUMBER($AN184),$AN184&lt;FechaRef,IF($V184="Sub",N($X184),N($M184))&lt;1),"Vencida"&amp;" · ","")&amp;IF(AND(ObsObligatoria="Sí",ISNUMBER($AN184),$AN184&lt;FechaRef,IF($V184="Sub",N($X184),N($M184))&lt;1,$Q184=""),"Vencida sin observación"&amp;" · ",""),LEN(IF($C184="","Falta el nombre de la actividad"&amp;" · ","")&amp;IF(AND($V184="Sub",N($U184)=0),"Subactividad sin macroactividad arriba"&amp;" · ","")&amp;IF($AM184="","Sin fecha de inicio"&amp;" · ","")&amp;IF($AN184="","Sin fecha límite"&amp;" · ","")&amp;IF(AND(LEFT($C184,11)="[Jefatura] ",N($AL184)=0),"No se encuentra en la hoja de la jefatura (elíjala de nuevo en la lista)"&amp;" · ","")&amp;IF(OR(AND($E184&lt;&gt;"",NOT(ISNUMBER($E184))),AND($F184&lt;&gt;"",NOT(ISNUMBER($F184))),AND($G184&lt;&gt;"",NOT(ISNUMBER($G184)))),"Fecha no válida"&amp;" · ","")&amp;IF(AND(ISNUMBER($AM184),ISNUMBER($AN184),$AM184&gt;$AN184),"Inicio posterior a fecha límite"&amp;" · ","")&amp;IF(AND($V184="Macro",$H184&lt;&gt;"",OR(NOT(ISNUMBER($H184)),$H184&lt;0,$H184&gt;1)),"Peso fuera de rango"&amp;" · ","")&amp;IF(AND($V184="Sub",$H184&lt;&gt;""),"Las subactividades no llevan peso (valen igual dentro de su macroactividad)"&amp;" · ","")&amp;IF(AND(N($W184)&gt;0,COUNT($I184:$L184)&gt;0),"Con subactividades: deje vacías las semanas (se calculan solas)"&amp;" · ","")&amp;IF((COUNTIF($I184:$L184,"&gt;1")+COUNTIF($I184:$L184,"&lt;0")+COUNTA($I184:$L184)-COUNT($I184:$L184))&gt;0,"Avance fuera de rango 0-100%"&amp;" · ","")&amp;IF(OR(AND($J184&lt;&gt;"",$J184&lt;$I184),AND($K184&lt;&gt;"",$K184&lt;MAX($I184:$J184)),AND($L184&lt;&gt;"",$L184&lt;MAX($I184:$K184))),"Avance semanal decreciente"&amp;" · ","")&amp;IF(AND(ISNUMBER($AN184),$AN184&lt;FechaRef,IF($V184="Sub",N($X184),N($M184))&lt;1),"Vencida"&amp;" · ","")&amp;IF(AND(ObsObligatoria="Sí",ISNUMBER($AN184),$AN184&lt;FechaRef,IF($V184="Sub",N($X184),N($M184))&lt;1,$Q184=""),"Vencida sin observación"&amp;" · ",""))-3)))</f>
        <v/>
      </c>
      <c r="S184" s="64">
        <f>IF(NOT((COUNTA($B184:$D184)+COUNTA($G184:$L184)+COUNTA($Q184))&gt;0),"",IF(AND($V184="Sub",N($U184)&gt;0),IF(ISNUMBER(INDEX($AM$5:$AM$1000,$U184-4)),DATE(YEAR(INDEX($AM$5:$AM$1000,$U184-4)),MONTH(INDEX($AM$5:$AM$1000,$U184-4)),1),IF(ISNUMBER(INDEX($AN$5:$AN$1000,$U184-4)),DATE(YEAR(INDEX($AN$5:$AN$1000,$U184-4)),MONTH(INDEX($AN$5:$AN$1000,$U184-4)),1),MesCiclo)),IF(ISNUMBER($AM184),DATE(YEAR($AM184),MONTH($AM184),1),IF(ISNUMBER($AN184),DATE(YEAR($AN184),MONTH($AN184),1),MesCiclo))))</f>
        <v/>
      </c>
      <c r="T184" s="62">
        <f>IF(OR($S184="",$S184&lt;&gt;MesCiclo,$V184&lt;&gt;"Macro"),"",COUNTIFS($S$5:$S184,MesCiclo,$V$5:$V184,"Macro"))</f>
        <v/>
      </c>
      <c r="U184" s="62">
        <f>IF($V184="","",IF($V184="Macro",ROW(),IFERROR(LOOKUP(2,1/($V$5:$V184="Macro"),ROW($V$5:$V184)),0)))</f>
        <v/>
      </c>
      <c r="V184" s="62">
        <f>IF(NOT((COUNTA($B184:$D184)+COUNTA($G184:$L184)+COUNTA($Q184))&gt;0),"",IF($B184="Subactividad","Sub","Macro"))</f>
        <v/>
      </c>
      <c r="W184" s="62">
        <f>IF($V184="Macro",COUNTIFS($U$5:$U$1000,ROW(),$V$5:$V$1000,"Sub"),"")</f>
        <v/>
      </c>
      <c r="X184" s="62">
        <f>IF($V184="","",IF(ISNUMBER($G184),1,IFERROR(LOOKUP(2,1/($I184:$L184&lt;&gt;""),$I184:$L184),0)))</f>
        <v/>
      </c>
      <c r="Y184" s="62">
        <f>IF($V184="","",IF(AND(ISNUMBER($G184),$G184&lt;=IF($S184=MesCiclo,InicioCiclo,$S184+MOD(2-WEEKDAY($S184),7))+6),1,IF(ISNUMBER($I184),$I184,0)))</f>
        <v/>
      </c>
      <c r="Z184" s="62">
        <f>IF($V184="","",IF(AND(ISNUMBER($G184),$G184&lt;=IF($S184=MesCiclo,InicioCiclo,$S184+MOD(2-WEEKDAY($S184),7))+13),1,IF(ISNUMBER($J184),$J184,$Y184)))</f>
        <v/>
      </c>
      <c r="AA184" s="62">
        <f>IF($V184="","",IF(AND(ISNUMBER($G184),$G184&lt;=IF($S184=MesCiclo,InicioCiclo,$S184+MOD(2-WEEKDAY($S184),7))+20),1,IF(ISNUMBER($K184),$K184,$Z184)))</f>
        <v/>
      </c>
      <c r="AB184" s="62">
        <f>IF($V184="","",IF(AND(ISNUMBER($G184),$G184&lt;=IF($S184=MesCiclo,InicioCiclo,$S184+MOD(2-WEEKDAY($S184),7))+27),1,IF(ISNUMBER($L184),$L184,$AA184)))</f>
        <v/>
      </c>
      <c r="AC184" s="62">
        <f>IF($V184="","",IF(AND(ISNUMBER($G184),$G184&lt;=IF($S184=MesCiclo,InicioCiclo,$S184+MOD(2-WEEKDAY($S184),7))+6),1,IF(N($W184)&gt;0,AVERAGEIFS($Y$5:$Y$1000,$U$5:$U$1000,ROW(),$V$5:$V$1000,"Sub"),$Y184)))</f>
        <v/>
      </c>
      <c r="AD184" s="62">
        <f>IF($V184="","",IF(AND(ISNUMBER($G184),$G184&lt;=IF($S184=MesCiclo,InicioCiclo,$S184+MOD(2-WEEKDAY($S184),7))+13),1,IF(N($W184)&gt;0,AVERAGEIFS($Z$5:$Z$1000,$U$5:$U$1000,ROW(),$V$5:$V$1000,"Sub"),$Z184)))</f>
        <v/>
      </c>
      <c r="AE184" s="62">
        <f>IF($V184="","",IF(AND(ISNUMBER($G184),$G184&lt;=IF($S184=MesCiclo,InicioCiclo,$S184+MOD(2-WEEKDAY($S184),7))+20),1,IF(N($W184)&gt;0,AVERAGEIFS($AA$5:$AA$1000,$U$5:$U$1000,ROW(),$V$5:$V$1000,"Sub"),$AA184)))</f>
        <v/>
      </c>
      <c r="AF184" s="62">
        <f>IF($V184="","",IF(AND(ISNUMBER($G184),$G184&lt;=IF($S184=MesCiclo,InicioCiclo,$S184+MOD(2-WEEKDAY($S184),7))+27),1,IF(N($W184)&gt;0,AVERAGEIFS($AB$5:$AB$1000,$U$5:$U$1000,ROW(),$V$5:$V$1000,"Sub"),$AB184)))</f>
        <v/>
      </c>
      <c r="AG184" s="62">
        <f>IF($V184&lt;&gt;"Macro","",IF(COUNTIFS($S$5:$S$1000,$S184,$V$5:$V$1000,"Macro",$H$5:$H$1000,"&gt;0")=0,1/COUNTIFS($S$5:$S$1000,$S184,$V$5:$V$1000,"Macro"),IF(AND(ISNUMBER($H184),N($H184)&gt;0),$H184,SUMIFS($H$5:$H$1000,$S$5:$S$1000,$S184,$V$5:$V$1000,"Macro")/COUNTIFS($S$5:$S$1000,$S184,$V$5:$V$1000,"Macro",$H$5:$H$1000,"&gt;0"))/(COUNTIFS($S$5:$S$1000,$S184,$V$5:$V$1000,"Macro")*SUMIFS($H$5:$H$1000,$S$5:$S$1000,$S184,$V$5:$V$1000,"Macro")/COUNTIFS($S$5:$S$1000,$S184,$V$5:$V$1000,"Macro",$H$5:$H$1000,"&gt;0"))))</f>
        <v/>
      </c>
      <c r="AH184" s="62">
        <f>IF(NOT(AND($D184&lt;&gt;"",$V184="Macro")),"",IFERROR(CHOOSE(MATCH($D184,ListaPuestos,0),MATCH("[Jefatura] "&amp;$C184,'Cronograma R. Operacional'!$C$5:$C$1000,0),MATCH("[Jefatura] "&amp;$C184,'Cronograma R. Normativo'!$C$5:$C$1000,0),MATCH("[Jefatura] "&amp;$C184,'Cronograma R. Financiero'!$C$5:$C$1000,0),MATCH("[Jefatura] "&amp;$C184,'Cronograma Asistente Técnico'!$C$5:$C$1000,0)),0))</f>
        <v/>
      </c>
      <c r="AI184" s="62">
        <f>IF(AND(AND($D184&lt;&gt;"",$V184="Macro"),$S184=MesCiclo),COUNTIFS($D$5:$D184,$D184,$S$5:$S184,MesCiclo,$V$5:$V184,"Macro"),"")</f>
        <v/>
      </c>
      <c r="AJ184" s="62">
        <f>IF($AI184="","",$D184&amp;"|"&amp;$AI184)</f>
        <v/>
      </c>
      <c r="AK184" s="62">
        <f>IF(AND($D184&lt;&gt;"",$V184="Macro"),$D184&amp;"|"&amp;$C184,"")</f>
        <v/>
      </c>
      <c r="AL184" s="62">
        <f>""</f>
        <v/>
      </c>
      <c r="AM184" s="62">
        <f>IF(N($AL184)&gt;0,INDEX(rIni_ADM,$AL184),IF(ISNUMBER($E184),$E184,""))</f>
        <v/>
      </c>
      <c r="AN184" s="62">
        <f>IF(N($AL184)&gt;0,INDEX(rLim_ADM,$AL184),IF(ISNUMBER($F184),$F184,""))</f>
        <v/>
      </c>
    </row>
    <row r="185">
      <c r="A185" s="56">
        <f>IF(NOT((COUNTA($B185:$D185)+COUNTA($G185:$L185)+COUNTA($Q185))&gt;0),"",IF($V185="Macro",COUNTIFS($V$5:$V185,"Macro",$S$5:$S185,$S185),IF(N($U185)=0,"?",COUNTIFS(INDEX($V$5:$V$1000,1):INDEX($V$5:$V$1000,$U185-4),"Macro",INDEX($S$5:$S$1000,1):INDEX($S$5:$S$1000,$U185-4),INDEX($S$5:$S$1000,$U185-4))&amp;"."&amp;COUNTIFS($U$5:$U185,$U185,$V$5:$V185,"Sub"))))</f>
        <v/>
      </c>
      <c r="B185" s="57" t="n"/>
      <c r="C185" s="58" t="n"/>
      <c r="D185" s="58" t="n"/>
      <c r="E185" s="59" t="n"/>
      <c r="F185" s="59" t="n"/>
      <c r="G185" s="59" t="n"/>
      <c r="H185" s="60" t="n"/>
      <c r="I185" s="60" t="n"/>
      <c r="J185" s="60" t="n"/>
      <c r="K185" s="60" t="n"/>
      <c r="L185" s="60" t="n"/>
      <c r="M185" s="61">
        <f>IF(NOT((COUNTA($B185:$D185)+COUNTA($G185:$L185)+COUNTA($Q185))&gt;0),"",IF(AND($D185&lt;&gt;"",$V185="Macro"),IF(N($AH185)&gt;0,N(CHOOSE(MATCH($D185,ListaPuestos,0),INDEX('Cronograma R. Operacional'!$M$5:$M$1000,$AH185),INDEX('Cronograma R. Normativo'!$M$5:$M$1000,$AH185),INDEX('Cronograma R. Financiero'!$M$5:$M$1000,$AH185),INDEX('Cronograma Asistente Técnico'!$M$5:$M$1000,$AH185))),0),IF(ISNUMBER($G185),1,IF(N($W185)&gt;0,AVERAGEIFS($X$5:$X$1000,$U$5:$U$1000,ROW(),$V$5:$V$1000,"Sub"),$X185))))</f>
        <v/>
      </c>
      <c r="N185" s="56">
        <f>IF(OR($M185="",$V185="Sub"),"",IF($M185&gt;=1,"Completado",IF($M185&gt;0,"En curso","Pendiente")))</f>
        <v/>
      </c>
      <c r="O185" s="56">
        <f>IF(NOT((COUNTA($B185:$D185)+COUNTA($G185:$L185)+COUNTA($Q185))&gt;0),"",IF(AND(AND($D185&lt;&gt;"",$V185="Macro"),N($AH185)&gt;0),CHOOSE(MATCH($D185,ListaPuestos,0),INDEX('Cronograma R. Operacional'!$O$5:$O$1000,$AH185),INDEX('Cronograma R. Normativo'!$O$5:$O$1000,$AH185),INDEX('Cronograma R. Financiero'!$O$5:$O$1000,$AH185),INDEX('Cronograma Asistente Técnico'!$O$5:$O$1000,$AH185))&amp;"",IF(ISNUMBER($G185),IF(AND(ISNUMBER($AN185),$G185&gt;$AN185),"Cumplida con "&amp;($G185-$AN185)&amp;IF($G185-$AN185=1," día"," días")&amp;" de retraso","Cumplida"),IF(N($M185)&gt;=1,"Cumplida",IF(NOT(ISNUMBER($AN185)),"Sin fecha límite",IF($AN185&lt;FechaRef,"Vencida hace "&amp;(FechaRef-$AN185)&amp;IF(FechaRef-$AN185=1," día"," días"),IF($AN185=FechaRef,"Vence hoy",IF($AN185-FechaRef&lt;=DiasAlerta,"Vence en "&amp;($AN185-FechaRef)&amp;IF($AN185-FechaRef=1," día"," días"),"En plazo"))))))))</f>
        <v/>
      </c>
      <c r="P185" s="62">
        <f>IF(NOT((COUNTA($B185:$D185)+COUNTA($G185:$L185)+COUNTA($Q185))&gt;0),"",IF($D185="","Propia",IF($V185&lt;&gt;"Macro","Solo se delegan macroactividades",IF(N($AH185)&gt;0,"✔ Recibida por "&amp;$D185,"⚠ "&amp;$D185&amp;" aún no la agrega"))))</f>
        <v/>
      </c>
      <c r="Q185" s="58" t="n"/>
      <c r="R185" s="63">
        <f>IF(NOT((COUNTA($B185:$D185)+COUNTA($G185:$L185)+COUNTA($Q185))&gt;0),"",IF((IF($C185="","Falta el nombre de la actividad"&amp;" · ","")&amp;IF(AND($V185="Sub",N($U185)=0),"Subactividad sin macroactividad arriba"&amp;" · ","")&amp;IF($AM185="","Sin fecha de inicio"&amp;" · ","")&amp;IF($AN185="","Sin fecha límite"&amp;" · ","")&amp;IF(AND(LEFT($C185,11)="[Jefatura] ",N($AL185)=0),"No se encuentra en la hoja de la jefatura (elíjala de nuevo en la lista)"&amp;" · ","")&amp;IF(OR(AND($E185&lt;&gt;"",NOT(ISNUMBER($E185))),AND($F185&lt;&gt;"",NOT(ISNUMBER($F185))),AND($G185&lt;&gt;"",NOT(ISNUMBER($G185)))),"Fecha no válida"&amp;" · ","")&amp;IF(AND(ISNUMBER($AM185),ISNUMBER($AN185),$AM185&gt;$AN185),"Inicio posterior a fecha límite"&amp;" · ","")&amp;IF(AND($V185="Macro",$H185&lt;&gt;"",OR(NOT(ISNUMBER($H185)),$H185&lt;0,$H185&gt;1)),"Peso fuera de rango"&amp;" · ","")&amp;IF(AND($V185="Sub",$H185&lt;&gt;""),"Las subactividades no llevan peso (valen igual dentro de su macroactividad)"&amp;" · ","")&amp;IF(AND(N($W185)&gt;0,COUNT($I185:$L185)&gt;0),"Con subactividades: deje vacías las semanas (se calculan solas)"&amp;" · ","")&amp;IF((COUNTIF($I185:$L185,"&gt;1")+COUNTIF($I185:$L185,"&lt;0")+COUNTA($I185:$L185)-COUNT($I185:$L185))&gt;0,"Avance fuera de rango 0-100%"&amp;" · ","")&amp;IF(OR(AND($J185&lt;&gt;"",$J185&lt;$I185),AND($K185&lt;&gt;"",$K185&lt;MAX($I185:$J185)),AND($L185&lt;&gt;"",$L185&lt;MAX($I185:$K185))),"Avance semanal decreciente"&amp;" · ","")&amp;IF(AND(ISNUMBER($AN185),$AN185&lt;FechaRef,IF($V185="Sub",N($X185),N($M185))&lt;1),"Vencida"&amp;" · ","")&amp;IF(AND(ObsObligatoria="Sí",ISNUMBER($AN185),$AN185&lt;FechaRef,IF($V185="Sub",N($X185),N($M185))&lt;1,$Q185=""),"Vencida sin observación"&amp;" · ",""))="","✔ OK","⚠ "&amp;LEFT(IF($C185="","Falta el nombre de la actividad"&amp;" · ","")&amp;IF(AND($V185="Sub",N($U185)=0),"Subactividad sin macroactividad arriba"&amp;" · ","")&amp;IF($AM185="","Sin fecha de inicio"&amp;" · ","")&amp;IF($AN185="","Sin fecha límite"&amp;" · ","")&amp;IF(AND(LEFT($C185,11)="[Jefatura] ",N($AL185)=0),"No se encuentra en la hoja de la jefatura (elíjala de nuevo en la lista)"&amp;" · ","")&amp;IF(OR(AND($E185&lt;&gt;"",NOT(ISNUMBER($E185))),AND($F185&lt;&gt;"",NOT(ISNUMBER($F185))),AND($G185&lt;&gt;"",NOT(ISNUMBER($G185)))),"Fecha no válida"&amp;" · ","")&amp;IF(AND(ISNUMBER($AM185),ISNUMBER($AN185),$AM185&gt;$AN185),"Inicio posterior a fecha límite"&amp;" · ","")&amp;IF(AND($V185="Macro",$H185&lt;&gt;"",OR(NOT(ISNUMBER($H185)),$H185&lt;0,$H185&gt;1)),"Peso fuera de rango"&amp;" · ","")&amp;IF(AND($V185="Sub",$H185&lt;&gt;""),"Las subactividades no llevan peso (valen igual dentro de su macroactividad)"&amp;" · ","")&amp;IF(AND(N($W185)&gt;0,COUNT($I185:$L185)&gt;0),"Con subactividades: deje vacías las semanas (se calculan solas)"&amp;" · ","")&amp;IF((COUNTIF($I185:$L185,"&gt;1")+COUNTIF($I185:$L185,"&lt;0")+COUNTA($I185:$L185)-COUNT($I185:$L185))&gt;0,"Avance fuera de rango 0-100%"&amp;" · ","")&amp;IF(OR(AND($J185&lt;&gt;"",$J185&lt;$I185),AND($K185&lt;&gt;"",$K185&lt;MAX($I185:$J185)),AND($L185&lt;&gt;"",$L185&lt;MAX($I185:$K185))),"Avance semanal decreciente"&amp;" · ","")&amp;IF(AND(ISNUMBER($AN185),$AN185&lt;FechaRef,IF($V185="Sub",N($X185),N($M185))&lt;1),"Vencida"&amp;" · ","")&amp;IF(AND(ObsObligatoria="Sí",ISNUMBER($AN185),$AN185&lt;FechaRef,IF($V185="Sub",N($X185),N($M185))&lt;1,$Q185=""),"Vencida sin observación"&amp;" · ",""),LEN(IF($C185="","Falta el nombre de la actividad"&amp;" · ","")&amp;IF(AND($V185="Sub",N($U185)=0),"Subactividad sin macroactividad arriba"&amp;" · ","")&amp;IF($AM185="","Sin fecha de inicio"&amp;" · ","")&amp;IF($AN185="","Sin fecha límite"&amp;" · ","")&amp;IF(AND(LEFT($C185,11)="[Jefatura] ",N($AL185)=0),"No se encuentra en la hoja de la jefatura (elíjala de nuevo en la lista)"&amp;" · ","")&amp;IF(OR(AND($E185&lt;&gt;"",NOT(ISNUMBER($E185))),AND($F185&lt;&gt;"",NOT(ISNUMBER($F185))),AND($G185&lt;&gt;"",NOT(ISNUMBER($G185)))),"Fecha no válida"&amp;" · ","")&amp;IF(AND(ISNUMBER($AM185),ISNUMBER($AN185),$AM185&gt;$AN185),"Inicio posterior a fecha límite"&amp;" · ","")&amp;IF(AND($V185="Macro",$H185&lt;&gt;"",OR(NOT(ISNUMBER($H185)),$H185&lt;0,$H185&gt;1)),"Peso fuera de rango"&amp;" · ","")&amp;IF(AND($V185="Sub",$H185&lt;&gt;""),"Las subactividades no llevan peso (valen igual dentro de su macroactividad)"&amp;" · ","")&amp;IF(AND(N($W185)&gt;0,COUNT($I185:$L185)&gt;0),"Con subactividades: deje vacías las semanas (se calculan solas)"&amp;" · ","")&amp;IF((COUNTIF($I185:$L185,"&gt;1")+COUNTIF($I185:$L185,"&lt;0")+COUNTA($I185:$L185)-COUNT($I185:$L185))&gt;0,"Avance fuera de rango 0-100%"&amp;" · ","")&amp;IF(OR(AND($J185&lt;&gt;"",$J185&lt;$I185),AND($K185&lt;&gt;"",$K185&lt;MAX($I185:$J185)),AND($L185&lt;&gt;"",$L185&lt;MAX($I185:$K185))),"Avance semanal decreciente"&amp;" · ","")&amp;IF(AND(ISNUMBER($AN185),$AN185&lt;FechaRef,IF($V185="Sub",N($X185),N($M185))&lt;1),"Vencida"&amp;" · ","")&amp;IF(AND(ObsObligatoria="Sí",ISNUMBER($AN185),$AN185&lt;FechaRef,IF($V185="Sub",N($X185),N($M185))&lt;1,$Q185=""),"Vencida sin observación"&amp;" · ",""))-3)))</f>
        <v/>
      </c>
      <c r="S185" s="64">
        <f>IF(NOT((COUNTA($B185:$D185)+COUNTA($G185:$L185)+COUNTA($Q185))&gt;0),"",IF(AND($V185="Sub",N($U185)&gt;0),IF(ISNUMBER(INDEX($AM$5:$AM$1000,$U185-4)),DATE(YEAR(INDEX($AM$5:$AM$1000,$U185-4)),MONTH(INDEX($AM$5:$AM$1000,$U185-4)),1),IF(ISNUMBER(INDEX($AN$5:$AN$1000,$U185-4)),DATE(YEAR(INDEX($AN$5:$AN$1000,$U185-4)),MONTH(INDEX($AN$5:$AN$1000,$U185-4)),1),MesCiclo)),IF(ISNUMBER($AM185),DATE(YEAR($AM185),MONTH($AM185),1),IF(ISNUMBER($AN185),DATE(YEAR($AN185),MONTH($AN185),1),MesCiclo))))</f>
        <v/>
      </c>
      <c r="T185" s="62">
        <f>IF(OR($S185="",$S185&lt;&gt;MesCiclo,$V185&lt;&gt;"Macro"),"",COUNTIFS($S$5:$S185,MesCiclo,$V$5:$V185,"Macro"))</f>
        <v/>
      </c>
      <c r="U185" s="62">
        <f>IF($V185="","",IF($V185="Macro",ROW(),IFERROR(LOOKUP(2,1/($V$5:$V185="Macro"),ROW($V$5:$V185)),0)))</f>
        <v/>
      </c>
      <c r="V185" s="62">
        <f>IF(NOT((COUNTA($B185:$D185)+COUNTA($G185:$L185)+COUNTA($Q185))&gt;0),"",IF($B185="Subactividad","Sub","Macro"))</f>
        <v/>
      </c>
      <c r="W185" s="62">
        <f>IF($V185="Macro",COUNTIFS($U$5:$U$1000,ROW(),$V$5:$V$1000,"Sub"),"")</f>
        <v/>
      </c>
      <c r="X185" s="62">
        <f>IF($V185="","",IF(ISNUMBER($G185),1,IFERROR(LOOKUP(2,1/($I185:$L185&lt;&gt;""),$I185:$L185),0)))</f>
        <v/>
      </c>
      <c r="Y185" s="62">
        <f>IF($V185="","",IF(AND(ISNUMBER($G185),$G185&lt;=IF($S185=MesCiclo,InicioCiclo,$S185+MOD(2-WEEKDAY($S185),7))+6),1,IF(ISNUMBER($I185),$I185,0)))</f>
        <v/>
      </c>
      <c r="Z185" s="62">
        <f>IF($V185="","",IF(AND(ISNUMBER($G185),$G185&lt;=IF($S185=MesCiclo,InicioCiclo,$S185+MOD(2-WEEKDAY($S185),7))+13),1,IF(ISNUMBER($J185),$J185,$Y185)))</f>
        <v/>
      </c>
      <c r="AA185" s="62">
        <f>IF($V185="","",IF(AND(ISNUMBER($G185),$G185&lt;=IF($S185=MesCiclo,InicioCiclo,$S185+MOD(2-WEEKDAY($S185),7))+20),1,IF(ISNUMBER($K185),$K185,$Z185)))</f>
        <v/>
      </c>
      <c r="AB185" s="62">
        <f>IF($V185="","",IF(AND(ISNUMBER($G185),$G185&lt;=IF($S185=MesCiclo,InicioCiclo,$S185+MOD(2-WEEKDAY($S185),7))+27),1,IF(ISNUMBER($L185),$L185,$AA185)))</f>
        <v/>
      </c>
      <c r="AC185" s="62">
        <f>IF($V185="","",IF(AND(ISNUMBER($G185),$G185&lt;=IF($S185=MesCiclo,InicioCiclo,$S185+MOD(2-WEEKDAY($S185),7))+6),1,IF(N($W185)&gt;0,AVERAGEIFS($Y$5:$Y$1000,$U$5:$U$1000,ROW(),$V$5:$V$1000,"Sub"),$Y185)))</f>
        <v/>
      </c>
      <c r="AD185" s="62">
        <f>IF($V185="","",IF(AND(ISNUMBER($G185),$G185&lt;=IF($S185=MesCiclo,InicioCiclo,$S185+MOD(2-WEEKDAY($S185),7))+13),1,IF(N($W185)&gt;0,AVERAGEIFS($Z$5:$Z$1000,$U$5:$U$1000,ROW(),$V$5:$V$1000,"Sub"),$Z185)))</f>
        <v/>
      </c>
      <c r="AE185" s="62">
        <f>IF($V185="","",IF(AND(ISNUMBER($G185),$G185&lt;=IF($S185=MesCiclo,InicioCiclo,$S185+MOD(2-WEEKDAY($S185),7))+20),1,IF(N($W185)&gt;0,AVERAGEIFS($AA$5:$AA$1000,$U$5:$U$1000,ROW(),$V$5:$V$1000,"Sub"),$AA185)))</f>
        <v/>
      </c>
      <c r="AF185" s="62">
        <f>IF($V185="","",IF(AND(ISNUMBER($G185),$G185&lt;=IF($S185=MesCiclo,InicioCiclo,$S185+MOD(2-WEEKDAY($S185),7))+27),1,IF(N($W185)&gt;0,AVERAGEIFS($AB$5:$AB$1000,$U$5:$U$1000,ROW(),$V$5:$V$1000,"Sub"),$AB185)))</f>
        <v/>
      </c>
      <c r="AG185" s="62">
        <f>IF($V185&lt;&gt;"Macro","",IF(COUNTIFS($S$5:$S$1000,$S185,$V$5:$V$1000,"Macro",$H$5:$H$1000,"&gt;0")=0,1/COUNTIFS($S$5:$S$1000,$S185,$V$5:$V$1000,"Macro"),IF(AND(ISNUMBER($H185),N($H185)&gt;0),$H185,SUMIFS($H$5:$H$1000,$S$5:$S$1000,$S185,$V$5:$V$1000,"Macro")/COUNTIFS($S$5:$S$1000,$S185,$V$5:$V$1000,"Macro",$H$5:$H$1000,"&gt;0"))/(COUNTIFS($S$5:$S$1000,$S185,$V$5:$V$1000,"Macro")*SUMIFS($H$5:$H$1000,$S$5:$S$1000,$S185,$V$5:$V$1000,"Macro")/COUNTIFS($S$5:$S$1000,$S185,$V$5:$V$1000,"Macro",$H$5:$H$1000,"&gt;0"))))</f>
        <v/>
      </c>
      <c r="AH185" s="62">
        <f>IF(NOT(AND($D185&lt;&gt;"",$V185="Macro")),"",IFERROR(CHOOSE(MATCH($D185,ListaPuestos,0),MATCH("[Jefatura] "&amp;$C185,'Cronograma R. Operacional'!$C$5:$C$1000,0),MATCH("[Jefatura] "&amp;$C185,'Cronograma R. Normativo'!$C$5:$C$1000,0),MATCH("[Jefatura] "&amp;$C185,'Cronograma R. Financiero'!$C$5:$C$1000,0),MATCH("[Jefatura] "&amp;$C185,'Cronograma Asistente Técnico'!$C$5:$C$1000,0)),0))</f>
        <v/>
      </c>
      <c r="AI185" s="62">
        <f>IF(AND(AND($D185&lt;&gt;"",$V185="Macro"),$S185=MesCiclo),COUNTIFS($D$5:$D185,$D185,$S$5:$S185,MesCiclo,$V$5:$V185,"Macro"),"")</f>
        <v/>
      </c>
      <c r="AJ185" s="62">
        <f>IF($AI185="","",$D185&amp;"|"&amp;$AI185)</f>
        <v/>
      </c>
      <c r="AK185" s="62">
        <f>IF(AND($D185&lt;&gt;"",$V185="Macro"),$D185&amp;"|"&amp;$C185,"")</f>
        <v/>
      </c>
      <c r="AL185" s="62">
        <f>""</f>
        <v/>
      </c>
      <c r="AM185" s="62">
        <f>IF(N($AL185)&gt;0,INDEX(rIni_ADM,$AL185),IF(ISNUMBER($E185),$E185,""))</f>
        <v/>
      </c>
      <c r="AN185" s="62">
        <f>IF(N($AL185)&gt;0,INDEX(rLim_ADM,$AL185),IF(ISNUMBER($F185),$F185,""))</f>
        <v/>
      </c>
    </row>
    <row r="186">
      <c r="A186" s="56">
        <f>IF(NOT((COUNTA($B186:$D186)+COUNTA($G186:$L186)+COUNTA($Q186))&gt;0),"",IF($V186="Macro",COUNTIFS($V$5:$V186,"Macro",$S$5:$S186,$S186),IF(N($U186)=0,"?",COUNTIFS(INDEX($V$5:$V$1000,1):INDEX($V$5:$V$1000,$U186-4),"Macro",INDEX($S$5:$S$1000,1):INDEX($S$5:$S$1000,$U186-4),INDEX($S$5:$S$1000,$U186-4))&amp;"."&amp;COUNTIFS($U$5:$U186,$U186,$V$5:$V186,"Sub"))))</f>
        <v/>
      </c>
      <c r="B186" s="57" t="n"/>
      <c r="C186" s="58" t="n"/>
      <c r="D186" s="58" t="n"/>
      <c r="E186" s="59" t="n"/>
      <c r="F186" s="59" t="n"/>
      <c r="G186" s="59" t="n"/>
      <c r="H186" s="60" t="n"/>
      <c r="I186" s="60" t="n"/>
      <c r="J186" s="60" t="n"/>
      <c r="K186" s="60" t="n"/>
      <c r="L186" s="60" t="n"/>
      <c r="M186" s="61">
        <f>IF(NOT((COUNTA($B186:$D186)+COUNTA($G186:$L186)+COUNTA($Q186))&gt;0),"",IF(AND($D186&lt;&gt;"",$V186="Macro"),IF(N($AH186)&gt;0,N(CHOOSE(MATCH($D186,ListaPuestos,0),INDEX('Cronograma R. Operacional'!$M$5:$M$1000,$AH186),INDEX('Cronograma R. Normativo'!$M$5:$M$1000,$AH186),INDEX('Cronograma R. Financiero'!$M$5:$M$1000,$AH186),INDEX('Cronograma Asistente Técnico'!$M$5:$M$1000,$AH186))),0),IF(ISNUMBER($G186),1,IF(N($W186)&gt;0,AVERAGEIFS($X$5:$X$1000,$U$5:$U$1000,ROW(),$V$5:$V$1000,"Sub"),$X186))))</f>
        <v/>
      </c>
      <c r="N186" s="56">
        <f>IF(OR($M186="",$V186="Sub"),"",IF($M186&gt;=1,"Completado",IF($M186&gt;0,"En curso","Pendiente")))</f>
        <v/>
      </c>
      <c r="O186" s="56">
        <f>IF(NOT((COUNTA($B186:$D186)+COUNTA($G186:$L186)+COUNTA($Q186))&gt;0),"",IF(AND(AND($D186&lt;&gt;"",$V186="Macro"),N($AH186)&gt;0),CHOOSE(MATCH($D186,ListaPuestos,0),INDEX('Cronograma R. Operacional'!$O$5:$O$1000,$AH186),INDEX('Cronograma R. Normativo'!$O$5:$O$1000,$AH186),INDEX('Cronograma R. Financiero'!$O$5:$O$1000,$AH186),INDEX('Cronograma Asistente Técnico'!$O$5:$O$1000,$AH186))&amp;"",IF(ISNUMBER($G186),IF(AND(ISNUMBER($AN186),$G186&gt;$AN186),"Cumplida con "&amp;($G186-$AN186)&amp;IF($G186-$AN186=1," día"," días")&amp;" de retraso","Cumplida"),IF(N($M186)&gt;=1,"Cumplida",IF(NOT(ISNUMBER($AN186)),"Sin fecha límite",IF($AN186&lt;FechaRef,"Vencida hace "&amp;(FechaRef-$AN186)&amp;IF(FechaRef-$AN186=1," día"," días"),IF($AN186=FechaRef,"Vence hoy",IF($AN186-FechaRef&lt;=DiasAlerta,"Vence en "&amp;($AN186-FechaRef)&amp;IF($AN186-FechaRef=1," día"," días"),"En plazo"))))))))</f>
        <v/>
      </c>
      <c r="P186" s="62">
        <f>IF(NOT((COUNTA($B186:$D186)+COUNTA($G186:$L186)+COUNTA($Q186))&gt;0),"",IF($D186="","Propia",IF($V186&lt;&gt;"Macro","Solo se delegan macroactividades",IF(N($AH186)&gt;0,"✔ Recibida por "&amp;$D186,"⚠ "&amp;$D186&amp;" aún no la agrega"))))</f>
        <v/>
      </c>
      <c r="Q186" s="58" t="n"/>
      <c r="R186" s="63">
        <f>IF(NOT((COUNTA($B186:$D186)+COUNTA($G186:$L186)+COUNTA($Q186))&gt;0),"",IF((IF($C186="","Falta el nombre de la actividad"&amp;" · ","")&amp;IF(AND($V186="Sub",N($U186)=0),"Subactividad sin macroactividad arriba"&amp;" · ","")&amp;IF($AM186="","Sin fecha de inicio"&amp;" · ","")&amp;IF($AN186="","Sin fecha límite"&amp;" · ","")&amp;IF(AND(LEFT($C186,11)="[Jefatura] ",N($AL186)=0),"No se encuentra en la hoja de la jefatura (elíjala de nuevo en la lista)"&amp;" · ","")&amp;IF(OR(AND($E186&lt;&gt;"",NOT(ISNUMBER($E186))),AND($F186&lt;&gt;"",NOT(ISNUMBER($F186))),AND($G186&lt;&gt;"",NOT(ISNUMBER($G186)))),"Fecha no válida"&amp;" · ","")&amp;IF(AND(ISNUMBER($AM186),ISNUMBER($AN186),$AM186&gt;$AN186),"Inicio posterior a fecha límite"&amp;" · ","")&amp;IF(AND($V186="Macro",$H186&lt;&gt;"",OR(NOT(ISNUMBER($H186)),$H186&lt;0,$H186&gt;1)),"Peso fuera de rango"&amp;" · ","")&amp;IF(AND($V186="Sub",$H186&lt;&gt;""),"Las subactividades no llevan peso (valen igual dentro de su macroactividad)"&amp;" · ","")&amp;IF(AND(N($W186)&gt;0,COUNT($I186:$L186)&gt;0),"Con subactividades: deje vacías las semanas (se calculan solas)"&amp;" · ","")&amp;IF((COUNTIF($I186:$L186,"&gt;1")+COUNTIF($I186:$L186,"&lt;0")+COUNTA($I186:$L186)-COUNT($I186:$L186))&gt;0,"Avance fuera de rango 0-100%"&amp;" · ","")&amp;IF(OR(AND($J186&lt;&gt;"",$J186&lt;$I186),AND($K186&lt;&gt;"",$K186&lt;MAX($I186:$J186)),AND($L186&lt;&gt;"",$L186&lt;MAX($I186:$K186))),"Avance semanal decreciente"&amp;" · ","")&amp;IF(AND(ISNUMBER($AN186),$AN186&lt;FechaRef,IF($V186="Sub",N($X186),N($M186))&lt;1),"Vencida"&amp;" · ","")&amp;IF(AND(ObsObligatoria="Sí",ISNUMBER($AN186),$AN186&lt;FechaRef,IF($V186="Sub",N($X186),N($M186))&lt;1,$Q186=""),"Vencida sin observación"&amp;" · ",""))="","✔ OK","⚠ "&amp;LEFT(IF($C186="","Falta el nombre de la actividad"&amp;" · ","")&amp;IF(AND($V186="Sub",N($U186)=0),"Subactividad sin macroactividad arriba"&amp;" · ","")&amp;IF($AM186="","Sin fecha de inicio"&amp;" · ","")&amp;IF($AN186="","Sin fecha límite"&amp;" · ","")&amp;IF(AND(LEFT($C186,11)="[Jefatura] ",N($AL186)=0),"No se encuentra en la hoja de la jefatura (elíjala de nuevo en la lista)"&amp;" · ","")&amp;IF(OR(AND($E186&lt;&gt;"",NOT(ISNUMBER($E186))),AND($F186&lt;&gt;"",NOT(ISNUMBER($F186))),AND($G186&lt;&gt;"",NOT(ISNUMBER($G186)))),"Fecha no válida"&amp;" · ","")&amp;IF(AND(ISNUMBER($AM186),ISNUMBER($AN186),$AM186&gt;$AN186),"Inicio posterior a fecha límite"&amp;" · ","")&amp;IF(AND($V186="Macro",$H186&lt;&gt;"",OR(NOT(ISNUMBER($H186)),$H186&lt;0,$H186&gt;1)),"Peso fuera de rango"&amp;" · ","")&amp;IF(AND($V186="Sub",$H186&lt;&gt;""),"Las subactividades no llevan peso (valen igual dentro de su macroactividad)"&amp;" · ","")&amp;IF(AND(N($W186)&gt;0,COUNT($I186:$L186)&gt;0),"Con subactividades: deje vacías las semanas (se calculan solas)"&amp;" · ","")&amp;IF((COUNTIF($I186:$L186,"&gt;1")+COUNTIF($I186:$L186,"&lt;0")+COUNTA($I186:$L186)-COUNT($I186:$L186))&gt;0,"Avance fuera de rango 0-100%"&amp;" · ","")&amp;IF(OR(AND($J186&lt;&gt;"",$J186&lt;$I186),AND($K186&lt;&gt;"",$K186&lt;MAX($I186:$J186)),AND($L186&lt;&gt;"",$L186&lt;MAX($I186:$K186))),"Avance semanal decreciente"&amp;" · ","")&amp;IF(AND(ISNUMBER($AN186),$AN186&lt;FechaRef,IF($V186="Sub",N($X186),N($M186))&lt;1),"Vencida"&amp;" · ","")&amp;IF(AND(ObsObligatoria="Sí",ISNUMBER($AN186),$AN186&lt;FechaRef,IF($V186="Sub",N($X186),N($M186))&lt;1,$Q186=""),"Vencida sin observación"&amp;" · ",""),LEN(IF($C186="","Falta el nombre de la actividad"&amp;" · ","")&amp;IF(AND($V186="Sub",N($U186)=0),"Subactividad sin macroactividad arriba"&amp;" · ","")&amp;IF($AM186="","Sin fecha de inicio"&amp;" · ","")&amp;IF($AN186="","Sin fecha límite"&amp;" · ","")&amp;IF(AND(LEFT($C186,11)="[Jefatura] ",N($AL186)=0),"No se encuentra en la hoja de la jefatura (elíjala de nuevo en la lista)"&amp;" · ","")&amp;IF(OR(AND($E186&lt;&gt;"",NOT(ISNUMBER($E186))),AND($F186&lt;&gt;"",NOT(ISNUMBER($F186))),AND($G186&lt;&gt;"",NOT(ISNUMBER($G186)))),"Fecha no válida"&amp;" · ","")&amp;IF(AND(ISNUMBER($AM186),ISNUMBER($AN186),$AM186&gt;$AN186),"Inicio posterior a fecha límite"&amp;" · ","")&amp;IF(AND($V186="Macro",$H186&lt;&gt;"",OR(NOT(ISNUMBER($H186)),$H186&lt;0,$H186&gt;1)),"Peso fuera de rango"&amp;" · ","")&amp;IF(AND($V186="Sub",$H186&lt;&gt;""),"Las subactividades no llevan peso (valen igual dentro de su macroactividad)"&amp;" · ","")&amp;IF(AND(N($W186)&gt;0,COUNT($I186:$L186)&gt;0),"Con subactividades: deje vacías las semanas (se calculan solas)"&amp;" · ","")&amp;IF((COUNTIF($I186:$L186,"&gt;1")+COUNTIF($I186:$L186,"&lt;0")+COUNTA($I186:$L186)-COUNT($I186:$L186))&gt;0,"Avance fuera de rango 0-100%"&amp;" · ","")&amp;IF(OR(AND($J186&lt;&gt;"",$J186&lt;$I186),AND($K186&lt;&gt;"",$K186&lt;MAX($I186:$J186)),AND($L186&lt;&gt;"",$L186&lt;MAX($I186:$K186))),"Avance semanal decreciente"&amp;" · ","")&amp;IF(AND(ISNUMBER($AN186),$AN186&lt;FechaRef,IF($V186="Sub",N($X186),N($M186))&lt;1),"Vencida"&amp;" · ","")&amp;IF(AND(ObsObligatoria="Sí",ISNUMBER($AN186),$AN186&lt;FechaRef,IF($V186="Sub",N($X186),N($M186))&lt;1,$Q186=""),"Vencida sin observación"&amp;" · ",""))-3)))</f>
        <v/>
      </c>
      <c r="S186" s="64">
        <f>IF(NOT((COUNTA($B186:$D186)+COUNTA($G186:$L186)+COUNTA($Q186))&gt;0),"",IF(AND($V186="Sub",N($U186)&gt;0),IF(ISNUMBER(INDEX($AM$5:$AM$1000,$U186-4)),DATE(YEAR(INDEX($AM$5:$AM$1000,$U186-4)),MONTH(INDEX($AM$5:$AM$1000,$U186-4)),1),IF(ISNUMBER(INDEX($AN$5:$AN$1000,$U186-4)),DATE(YEAR(INDEX($AN$5:$AN$1000,$U186-4)),MONTH(INDEX($AN$5:$AN$1000,$U186-4)),1),MesCiclo)),IF(ISNUMBER($AM186),DATE(YEAR($AM186),MONTH($AM186),1),IF(ISNUMBER($AN186),DATE(YEAR($AN186),MONTH($AN186),1),MesCiclo))))</f>
        <v/>
      </c>
      <c r="T186" s="62">
        <f>IF(OR($S186="",$S186&lt;&gt;MesCiclo,$V186&lt;&gt;"Macro"),"",COUNTIFS($S$5:$S186,MesCiclo,$V$5:$V186,"Macro"))</f>
        <v/>
      </c>
      <c r="U186" s="62">
        <f>IF($V186="","",IF($V186="Macro",ROW(),IFERROR(LOOKUP(2,1/($V$5:$V186="Macro"),ROW($V$5:$V186)),0)))</f>
        <v/>
      </c>
      <c r="V186" s="62">
        <f>IF(NOT((COUNTA($B186:$D186)+COUNTA($G186:$L186)+COUNTA($Q186))&gt;0),"",IF($B186="Subactividad","Sub","Macro"))</f>
        <v/>
      </c>
      <c r="W186" s="62">
        <f>IF($V186="Macro",COUNTIFS($U$5:$U$1000,ROW(),$V$5:$V$1000,"Sub"),"")</f>
        <v/>
      </c>
      <c r="X186" s="62">
        <f>IF($V186="","",IF(ISNUMBER($G186),1,IFERROR(LOOKUP(2,1/($I186:$L186&lt;&gt;""),$I186:$L186),0)))</f>
        <v/>
      </c>
      <c r="Y186" s="62">
        <f>IF($V186="","",IF(AND(ISNUMBER($G186),$G186&lt;=IF($S186=MesCiclo,InicioCiclo,$S186+MOD(2-WEEKDAY($S186),7))+6),1,IF(ISNUMBER($I186),$I186,0)))</f>
        <v/>
      </c>
      <c r="Z186" s="62">
        <f>IF($V186="","",IF(AND(ISNUMBER($G186),$G186&lt;=IF($S186=MesCiclo,InicioCiclo,$S186+MOD(2-WEEKDAY($S186),7))+13),1,IF(ISNUMBER($J186),$J186,$Y186)))</f>
        <v/>
      </c>
      <c r="AA186" s="62">
        <f>IF($V186="","",IF(AND(ISNUMBER($G186),$G186&lt;=IF($S186=MesCiclo,InicioCiclo,$S186+MOD(2-WEEKDAY($S186),7))+20),1,IF(ISNUMBER($K186),$K186,$Z186)))</f>
        <v/>
      </c>
      <c r="AB186" s="62">
        <f>IF($V186="","",IF(AND(ISNUMBER($G186),$G186&lt;=IF($S186=MesCiclo,InicioCiclo,$S186+MOD(2-WEEKDAY($S186),7))+27),1,IF(ISNUMBER($L186),$L186,$AA186)))</f>
        <v/>
      </c>
      <c r="AC186" s="62">
        <f>IF($V186="","",IF(AND(ISNUMBER($G186),$G186&lt;=IF($S186=MesCiclo,InicioCiclo,$S186+MOD(2-WEEKDAY($S186),7))+6),1,IF(N($W186)&gt;0,AVERAGEIFS($Y$5:$Y$1000,$U$5:$U$1000,ROW(),$V$5:$V$1000,"Sub"),$Y186)))</f>
        <v/>
      </c>
      <c r="AD186" s="62">
        <f>IF($V186="","",IF(AND(ISNUMBER($G186),$G186&lt;=IF($S186=MesCiclo,InicioCiclo,$S186+MOD(2-WEEKDAY($S186),7))+13),1,IF(N($W186)&gt;0,AVERAGEIFS($Z$5:$Z$1000,$U$5:$U$1000,ROW(),$V$5:$V$1000,"Sub"),$Z186)))</f>
        <v/>
      </c>
      <c r="AE186" s="62">
        <f>IF($V186="","",IF(AND(ISNUMBER($G186),$G186&lt;=IF($S186=MesCiclo,InicioCiclo,$S186+MOD(2-WEEKDAY($S186),7))+20),1,IF(N($W186)&gt;0,AVERAGEIFS($AA$5:$AA$1000,$U$5:$U$1000,ROW(),$V$5:$V$1000,"Sub"),$AA186)))</f>
        <v/>
      </c>
      <c r="AF186" s="62">
        <f>IF($V186="","",IF(AND(ISNUMBER($G186),$G186&lt;=IF($S186=MesCiclo,InicioCiclo,$S186+MOD(2-WEEKDAY($S186),7))+27),1,IF(N($W186)&gt;0,AVERAGEIFS($AB$5:$AB$1000,$U$5:$U$1000,ROW(),$V$5:$V$1000,"Sub"),$AB186)))</f>
        <v/>
      </c>
      <c r="AG186" s="62">
        <f>IF($V186&lt;&gt;"Macro","",IF(COUNTIFS($S$5:$S$1000,$S186,$V$5:$V$1000,"Macro",$H$5:$H$1000,"&gt;0")=0,1/COUNTIFS($S$5:$S$1000,$S186,$V$5:$V$1000,"Macro"),IF(AND(ISNUMBER($H186),N($H186)&gt;0),$H186,SUMIFS($H$5:$H$1000,$S$5:$S$1000,$S186,$V$5:$V$1000,"Macro")/COUNTIFS($S$5:$S$1000,$S186,$V$5:$V$1000,"Macro",$H$5:$H$1000,"&gt;0"))/(COUNTIFS($S$5:$S$1000,$S186,$V$5:$V$1000,"Macro")*SUMIFS($H$5:$H$1000,$S$5:$S$1000,$S186,$V$5:$V$1000,"Macro")/COUNTIFS($S$5:$S$1000,$S186,$V$5:$V$1000,"Macro",$H$5:$H$1000,"&gt;0"))))</f>
        <v/>
      </c>
      <c r="AH186" s="62">
        <f>IF(NOT(AND($D186&lt;&gt;"",$V186="Macro")),"",IFERROR(CHOOSE(MATCH($D186,ListaPuestos,0),MATCH("[Jefatura] "&amp;$C186,'Cronograma R. Operacional'!$C$5:$C$1000,0),MATCH("[Jefatura] "&amp;$C186,'Cronograma R. Normativo'!$C$5:$C$1000,0),MATCH("[Jefatura] "&amp;$C186,'Cronograma R. Financiero'!$C$5:$C$1000,0),MATCH("[Jefatura] "&amp;$C186,'Cronograma Asistente Técnico'!$C$5:$C$1000,0)),0))</f>
        <v/>
      </c>
      <c r="AI186" s="62">
        <f>IF(AND(AND($D186&lt;&gt;"",$V186="Macro"),$S186=MesCiclo),COUNTIFS($D$5:$D186,$D186,$S$5:$S186,MesCiclo,$V$5:$V186,"Macro"),"")</f>
        <v/>
      </c>
      <c r="AJ186" s="62">
        <f>IF($AI186="","",$D186&amp;"|"&amp;$AI186)</f>
        <v/>
      </c>
      <c r="AK186" s="62">
        <f>IF(AND($D186&lt;&gt;"",$V186="Macro"),$D186&amp;"|"&amp;$C186,"")</f>
        <v/>
      </c>
      <c r="AL186" s="62">
        <f>""</f>
        <v/>
      </c>
      <c r="AM186" s="62">
        <f>IF(N($AL186)&gt;0,INDEX(rIni_ADM,$AL186),IF(ISNUMBER($E186),$E186,""))</f>
        <v/>
      </c>
      <c r="AN186" s="62">
        <f>IF(N($AL186)&gt;0,INDEX(rLim_ADM,$AL186),IF(ISNUMBER($F186),$F186,""))</f>
        <v/>
      </c>
    </row>
    <row r="187">
      <c r="A187" s="56">
        <f>IF(NOT((COUNTA($B187:$D187)+COUNTA($G187:$L187)+COUNTA($Q187))&gt;0),"",IF($V187="Macro",COUNTIFS($V$5:$V187,"Macro",$S$5:$S187,$S187),IF(N($U187)=0,"?",COUNTIFS(INDEX($V$5:$V$1000,1):INDEX($V$5:$V$1000,$U187-4),"Macro",INDEX($S$5:$S$1000,1):INDEX($S$5:$S$1000,$U187-4),INDEX($S$5:$S$1000,$U187-4))&amp;"."&amp;COUNTIFS($U$5:$U187,$U187,$V$5:$V187,"Sub"))))</f>
        <v/>
      </c>
      <c r="B187" s="57" t="n"/>
      <c r="C187" s="58" t="n"/>
      <c r="D187" s="58" t="n"/>
      <c r="E187" s="59" t="n"/>
      <c r="F187" s="59" t="n"/>
      <c r="G187" s="59" t="n"/>
      <c r="H187" s="60" t="n"/>
      <c r="I187" s="60" t="n"/>
      <c r="J187" s="60" t="n"/>
      <c r="K187" s="60" t="n"/>
      <c r="L187" s="60" t="n"/>
      <c r="M187" s="61">
        <f>IF(NOT((COUNTA($B187:$D187)+COUNTA($G187:$L187)+COUNTA($Q187))&gt;0),"",IF(AND($D187&lt;&gt;"",$V187="Macro"),IF(N($AH187)&gt;0,N(CHOOSE(MATCH($D187,ListaPuestos,0),INDEX('Cronograma R. Operacional'!$M$5:$M$1000,$AH187),INDEX('Cronograma R. Normativo'!$M$5:$M$1000,$AH187),INDEX('Cronograma R. Financiero'!$M$5:$M$1000,$AH187),INDEX('Cronograma Asistente Técnico'!$M$5:$M$1000,$AH187))),0),IF(ISNUMBER($G187),1,IF(N($W187)&gt;0,AVERAGEIFS($X$5:$X$1000,$U$5:$U$1000,ROW(),$V$5:$V$1000,"Sub"),$X187))))</f>
        <v/>
      </c>
      <c r="N187" s="56">
        <f>IF(OR($M187="",$V187="Sub"),"",IF($M187&gt;=1,"Completado",IF($M187&gt;0,"En curso","Pendiente")))</f>
        <v/>
      </c>
      <c r="O187" s="56">
        <f>IF(NOT((COUNTA($B187:$D187)+COUNTA($G187:$L187)+COUNTA($Q187))&gt;0),"",IF(AND(AND($D187&lt;&gt;"",$V187="Macro"),N($AH187)&gt;0),CHOOSE(MATCH($D187,ListaPuestos,0),INDEX('Cronograma R. Operacional'!$O$5:$O$1000,$AH187),INDEX('Cronograma R. Normativo'!$O$5:$O$1000,$AH187),INDEX('Cronograma R. Financiero'!$O$5:$O$1000,$AH187),INDEX('Cronograma Asistente Técnico'!$O$5:$O$1000,$AH187))&amp;"",IF(ISNUMBER($G187),IF(AND(ISNUMBER($AN187),$G187&gt;$AN187),"Cumplida con "&amp;($G187-$AN187)&amp;IF($G187-$AN187=1," día"," días")&amp;" de retraso","Cumplida"),IF(N($M187)&gt;=1,"Cumplida",IF(NOT(ISNUMBER($AN187)),"Sin fecha límite",IF($AN187&lt;FechaRef,"Vencida hace "&amp;(FechaRef-$AN187)&amp;IF(FechaRef-$AN187=1," día"," días"),IF($AN187=FechaRef,"Vence hoy",IF($AN187-FechaRef&lt;=DiasAlerta,"Vence en "&amp;($AN187-FechaRef)&amp;IF($AN187-FechaRef=1," día"," días"),"En plazo"))))))))</f>
        <v/>
      </c>
      <c r="P187" s="62">
        <f>IF(NOT((COUNTA($B187:$D187)+COUNTA($G187:$L187)+COUNTA($Q187))&gt;0),"",IF($D187="","Propia",IF($V187&lt;&gt;"Macro","Solo se delegan macroactividades",IF(N($AH187)&gt;0,"✔ Recibida por "&amp;$D187,"⚠ "&amp;$D187&amp;" aún no la agrega"))))</f>
        <v/>
      </c>
      <c r="Q187" s="58" t="n"/>
      <c r="R187" s="63">
        <f>IF(NOT((COUNTA($B187:$D187)+COUNTA($G187:$L187)+COUNTA($Q187))&gt;0),"",IF((IF($C187="","Falta el nombre de la actividad"&amp;" · ","")&amp;IF(AND($V187="Sub",N($U187)=0),"Subactividad sin macroactividad arriba"&amp;" · ","")&amp;IF($AM187="","Sin fecha de inicio"&amp;" · ","")&amp;IF($AN187="","Sin fecha límite"&amp;" · ","")&amp;IF(AND(LEFT($C187,11)="[Jefatura] ",N($AL187)=0),"No se encuentra en la hoja de la jefatura (elíjala de nuevo en la lista)"&amp;" · ","")&amp;IF(OR(AND($E187&lt;&gt;"",NOT(ISNUMBER($E187))),AND($F187&lt;&gt;"",NOT(ISNUMBER($F187))),AND($G187&lt;&gt;"",NOT(ISNUMBER($G187)))),"Fecha no válida"&amp;" · ","")&amp;IF(AND(ISNUMBER($AM187),ISNUMBER($AN187),$AM187&gt;$AN187),"Inicio posterior a fecha límite"&amp;" · ","")&amp;IF(AND($V187="Macro",$H187&lt;&gt;"",OR(NOT(ISNUMBER($H187)),$H187&lt;0,$H187&gt;1)),"Peso fuera de rango"&amp;" · ","")&amp;IF(AND($V187="Sub",$H187&lt;&gt;""),"Las subactividades no llevan peso (valen igual dentro de su macroactividad)"&amp;" · ","")&amp;IF(AND(N($W187)&gt;0,COUNT($I187:$L187)&gt;0),"Con subactividades: deje vacías las semanas (se calculan solas)"&amp;" · ","")&amp;IF((COUNTIF($I187:$L187,"&gt;1")+COUNTIF($I187:$L187,"&lt;0")+COUNTA($I187:$L187)-COUNT($I187:$L187))&gt;0,"Avance fuera de rango 0-100%"&amp;" · ","")&amp;IF(OR(AND($J187&lt;&gt;"",$J187&lt;$I187),AND($K187&lt;&gt;"",$K187&lt;MAX($I187:$J187)),AND($L187&lt;&gt;"",$L187&lt;MAX($I187:$K187))),"Avance semanal decreciente"&amp;" · ","")&amp;IF(AND(ISNUMBER($AN187),$AN187&lt;FechaRef,IF($V187="Sub",N($X187),N($M187))&lt;1),"Vencida"&amp;" · ","")&amp;IF(AND(ObsObligatoria="Sí",ISNUMBER($AN187),$AN187&lt;FechaRef,IF($V187="Sub",N($X187),N($M187))&lt;1,$Q187=""),"Vencida sin observación"&amp;" · ",""))="","✔ OK","⚠ "&amp;LEFT(IF($C187="","Falta el nombre de la actividad"&amp;" · ","")&amp;IF(AND($V187="Sub",N($U187)=0),"Subactividad sin macroactividad arriba"&amp;" · ","")&amp;IF($AM187="","Sin fecha de inicio"&amp;" · ","")&amp;IF($AN187="","Sin fecha límite"&amp;" · ","")&amp;IF(AND(LEFT($C187,11)="[Jefatura] ",N($AL187)=0),"No se encuentra en la hoja de la jefatura (elíjala de nuevo en la lista)"&amp;" · ","")&amp;IF(OR(AND($E187&lt;&gt;"",NOT(ISNUMBER($E187))),AND($F187&lt;&gt;"",NOT(ISNUMBER($F187))),AND($G187&lt;&gt;"",NOT(ISNUMBER($G187)))),"Fecha no válida"&amp;" · ","")&amp;IF(AND(ISNUMBER($AM187),ISNUMBER($AN187),$AM187&gt;$AN187),"Inicio posterior a fecha límite"&amp;" · ","")&amp;IF(AND($V187="Macro",$H187&lt;&gt;"",OR(NOT(ISNUMBER($H187)),$H187&lt;0,$H187&gt;1)),"Peso fuera de rango"&amp;" · ","")&amp;IF(AND($V187="Sub",$H187&lt;&gt;""),"Las subactividades no llevan peso (valen igual dentro de su macroactividad)"&amp;" · ","")&amp;IF(AND(N($W187)&gt;0,COUNT($I187:$L187)&gt;0),"Con subactividades: deje vacías las semanas (se calculan solas)"&amp;" · ","")&amp;IF((COUNTIF($I187:$L187,"&gt;1")+COUNTIF($I187:$L187,"&lt;0")+COUNTA($I187:$L187)-COUNT($I187:$L187))&gt;0,"Avance fuera de rango 0-100%"&amp;" · ","")&amp;IF(OR(AND($J187&lt;&gt;"",$J187&lt;$I187),AND($K187&lt;&gt;"",$K187&lt;MAX($I187:$J187)),AND($L187&lt;&gt;"",$L187&lt;MAX($I187:$K187))),"Avance semanal decreciente"&amp;" · ","")&amp;IF(AND(ISNUMBER($AN187),$AN187&lt;FechaRef,IF($V187="Sub",N($X187),N($M187))&lt;1),"Vencida"&amp;" · ","")&amp;IF(AND(ObsObligatoria="Sí",ISNUMBER($AN187),$AN187&lt;FechaRef,IF($V187="Sub",N($X187),N($M187))&lt;1,$Q187=""),"Vencida sin observación"&amp;" · ",""),LEN(IF($C187="","Falta el nombre de la actividad"&amp;" · ","")&amp;IF(AND($V187="Sub",N($U187)=0),"Subactividad sin macroactividad arriba"&amp;" · ","")&amp;IF($AM187="","Sin fecha de inicio"&amp;" · ","")&amp;IF($AN187="","Sin fecha límite"&amp;" · ","")&amp;IF(AND(LEFT($C187,11)="[Jefatura] ",N($AL187)=0),"No se encuentra en la hoja de la jefatura (elíjala de nuevo en la lista)"&amp;" · ","")&amp;IF(OR(AND($E187&lt;&gt;"",NOT(ISNUMBER($E187))),AND($F187&lt;&gt;"",NOT(ISNUMBER($F187))),AND($G187&lt;&gt;"",NOT(ISNUMBER($G187)))),"Fecha no válida"&amp;" · ","")&amp;IF(AND(ISNUMBER($AM187),ISNUMBER($AN187),$AM187&gt;$AN187),"Inicio posterior a fecha límite"&amp;" · ","")&amp;IF(AND($V187="Macro",$H187&lt;&gt;"",OR(NOT(ISNUMBER($H187)),$H187&lt;0,$H187&gt;1)),"Peso fuera de rango"&amp;" · ","")&amp;IF(AND($V187="Sub",$H187&lt;&gt;""),"Las subactividades no llevan peso (valen igual dentro de su macroactividad)"&amp;" · ","")&amp;IF(AND(N($W187)&gt;0,COUNT($I187:$L187)&gt;0),"Con subactividades: deje vacías las semanas (se calculan solas)"&amp;" · ","")&amp;IF((COUNTIF($I187:$L187,"&gt;1")+COUNTIF($I187:$L187,"&lt;0")+COUNTA($I187:$L187)-COUNT($I187:$L187))&gt;0,"Avance fuera de rango 0-100%"&amp;" · ","")&amp;IF(OR(AND($J187&lt;&gt;"",$J187&lt;$I187),AND($K187&lt;&gt;"",$K187&lt;MAX($I187:$J187)),AND($L187&lt;&gt;"",$L187&lt;MAX($I187:$K187))),"Avance semanal decreciente"&amp;" · ","")&amp;IF(AND(ISNUMBER($AN187),$AN187&lt;FechaRef,IF($V187="Sub",N($X187),N($M187))&lt;1),"Vencida"&amp;" · ","")&amp;IF(AND(ObsObligatoria="Sí",ISNUMBER($AN187),$AN187&lt;FechaRef,IF($V187="Sub",N($X187),N($M187))&lt;1,$Q187=""),"Vencida sin observación"&amp;" · ",""))-3)))</f>
        <v/>
      </c>
      <c r="S187" s="64">
        <f>IF(NOT((COUNTA($B187:$D187)+COUNTA($G187:$L187)+COUNTA($Q187))&gt;0),"",IF(AND($V187="Sub",N($U187)&gt;0),IF(ISNUMBER(INDEX($AM$5:$AM$1000,$U187-4)),DATE(YEAR(INDEX($AM$5:$AM$1000,$U187-4)),MONTH(INDEX($AM$5:$AM$1000,$U187-4)),1),IF(ISNUMBER(INDEX($AN$5:$AN$1000,$U187-4)),DATE(YEAR(INDEX($AN$5:$AN$1000,$U187-4)),MONTH(INDEX($AN$5:$AN$1000,$U187-4)),1),MesCiclo)),IF(ISNUMBER($AM187),DATE(YEAR($AM187),MONTH($AM187),1),IF(ISNUMBER($AN187),DATE(YEAR($AN187),MONTH($AN187),1),MesCiclo))))</f>
        <v/>
      </c>
      <c r="T187" s="62">
        <f>IF(OR($S187="",$S187&lt;&gt;MesCiclo,$V187&lt;&gt;"Macro"),"",COUNTIFS($S$5:$S187,MesCiclo,$V$5:$V187,"Macro"))</f>
        <v/>
      </c>
      <c r="U187" s="62">
        <f>IF($V187="","",IF($V187="Macro",ROW(),IFERROR(LOOKUP(2,1/($V$5:$V187="Macro"),ROW($V$5:$V187)),0)))</f>
        <v/>
      </c>
      <c r="V187" s="62">
        <f>IF(NOT((COUNTA($B187:$D187)+COUNTA($G187:$L187)+COUNTA($Q187))&gt;0),"",IF($B187="Subactividad","Sub","Macro"))</f>
        <v/>
      </c>
      <c r="W187" s="62">
        <f>IF($V187="Macro",COUNTIFS($U$5:$U$1000,ROW(),$V$5:$V$1000,"Sub"),"")</f>
        <v/>
      </c>
      <c r="X187" s="62">
        <f>IF($V187="","",IF(ISNUMBER($G187),1,IFERROR(LOOKUP(2,1/($I187:$L187&lt;&gt;""),$I187:$L187),0)))</f>
        <v/>
      </c>
      <c r="Y187" s="62">
        <f>IF($V187="","",IF(AND(ISNUMBER($G187),$G187&lt;=IF($S187=MesCiclo,InicioCiclo,$S187+MOD(2-WEEKDAY($S187),7))+6),1,IF(ISNUMBER($I187),$I187,0)))</f>
        <v/>
      </c>
      <c r="Z187" s="62">
        <f>IF($V187="","",IF(AND(ISNUMBER($G187),$G187&lt;=IF($S187=MesCiclo,InicioCiclo,$S187+MOD(2-WEEKDAY($S187),7))+13),1,IF(ISNUMBER($J187),$J187,$Y187)))</f>
        <v/>
      </c>
      <c r="AA187" s="62">
        <f>IF($V187="","",IF(AND(ISNUMBER($G187),$G187&lt;=IF($S187=MesCiclo,InicioCiclo,$S187+MOD(2-WEEKDAY($S187),7))+20),1,IF(ISNUMBER($K187),$K187,$Z187)))</f>
        <v/>
      </c>
      <c r="AB187" s="62">
        <f>IF($V187="","",IF(AND(ISNUMBER($G187),$G187&lt;=IF($S187=MesCiclo,InicioCiclo,$S187+MOD(2-WEEKDAY($S187),7))+27),1,IF(ISNUMBER($L187),$L187,$AA187)))</f>
        <v/>
      </c>
      <c r="AC187" s="62">
        <f>IF($V187="","",IF(AND(ISNUMBER($G187),$G187&lt;=IF($S187=MesCiclo,InicioCiclo,$S187+MOD(2-WEEKDAY($S187),7))+6),1,IF(N($W187)&gt;0,AVERAGEIFS($Y$5:$Y$1000,$U$5:$U$1000,ROW(),$V$5:$V$1000,"Sub"),$Y187)))</f>
        <v/>
      </c>
      <c r="AD187" s="62">
        <f>IF($V187="","",IF(AND(ISNUMBER($G187),$G187&lt;=IF($S187=MesCiclo,InicioCiclo,$S187+MOD(2-WEEKDAY($S187),7))+13),1,IF(N($W187)&gt;0,AVERAGEIFS($Z$5:$Z$1000,$U$5:$U$1000,ROW(),$V$5:$V$1000,"Sub"),$Z187)))</f>
        <v/>
      </c>
      <c r="AE187" s="62">
        <f>IF($V187="","",IF(AND(ISNUMBER($G187),$G187&lt;=IF($S187=MesCiclo,InicioCiclo,$S187+MOD(2-WEEKDAY($S187),7))+20),1,IF(N($W187)&gt;0,AVERAGEIFS($AA$5:$AA$1000,$U$5:$U$1000,ROW(),$V$5:$V$1000,"Sub"),$AA187)))</f>
        <v/>
      </c>
      <c r="AF187" s="62">
        <f>IF($V187="","",IF(AND(ISNUMBER($G187),$G187&lt;=IF($S187=MesCiclo,InicioCiclo,$S187+MOD(2-WEEKDAY($S187),7))+27),1,IF(N($W187)&gt;0,AVERAGEIFS($AB$5:$AB$1000,$U$5:$U$1000,ROW(),$V$5:$V$1000,"Sub"),$AB187)))</f>
        <v/>
      </c>
      <c r="AG187" s="62">
        <f>IF($V187&lt;&gt;"Macro","",IF(COUNTIFS($S$5:$S$1000,$S187,$V$5:$V$1000,"Macro",$H$5:$H$1000,"&gt;0")=0,1/COUNTIFS($S$5:$S$1000,$S187,$V$5:$V$1000,"Macro"),IF(AND(ISNUMBER($H187),N($H187)&gt;0),$H187,SUMIFS($H$5:$H$1000,$S$5:$S$1000,$S187,$V$5:$V$1000,"Macro")/COUNTIFS($S$5:$S$1000,$S187,$V$5:$V$1000,"Macro",$H$5:$H$1000,"&gt;0"))/(COUNTIFS($S$5:$S$1000,$S187,$V$5:$V$1000,"Macro")*SUMIFS($H$5:$H$1000,$S$5:$S$1000,$S187,$V$5:$V$1000,"Macro")/COUNTIFS($S$5:$S$1000,$S187,$V$5:$V$1000,"Macro",$H$5:$H$1000,"&gt;0"))))</f>
        <v/>
      </c>
      <c r="AH187" s="62">
        <f>IF(NOT(AND($D187&lt;&gt;"",$V187="Macro")),"",IFERROR(CHOOSE(MATCH($D187,ListaPuestos,0),MATCH("[Jefatura] "&amp;$C187,'Cronograma R. Operacional'!$C$5:$C$1000,0),MATCH("[Jefatura] "&amp;$C187,'Cronograma R. Normativo'!$C$5:$C$1000,0),MATCH("[Jefatura] "&amp;$C187,'Cronograma R. Financiero'!$C$5:$C$1000,0),MATCH("[Jefatura] "&amp;$C187,'Cronograma Asistente Técnico'!$C$5:$C$1000,0)),0))</f>
        <v/>
      </c>
      <c r="AI187" s="62">
        <f>IF(AND(AND($D187&lt;&gt;"",$V187="Macro"),$S187=MesCiclo),COUNTIFS($D$5:$D187,$D187,$S$5:$S187,MesCiclo,$V$5:$V187,"Macro"),"")</f>
        <v/>
      </c>
      <c r="AJ187" s="62">
        <f>IF($AI187="","",$D187&amp;"|"&amp;$AI187)</f>
        <v/>
      </c>
      <c r="AK187" s="62">
        <f>IF(AND($D187&lt;&gt;"",$V187="Macro"),$D187&amp;"|"&amp;$C187,"")</f>
        <v/>
      </c>
      <c r="AL187" s="62">
        <f>""</f>
        <v/>
      </c>
      <c r="AM187" s="62">
        <f>IF(N($AL187)&gt;0,INDEX(rIni_ADM,$AL187),IF(ISNUMBER($E187),$E187,""))</f>
        <v/>
      </c>
      <c r="AN187" s="62">
        <f>IF(N($AL187)&gt;0,INDEX(rLim_ADM,$AL187),IF(ISNUMBER($F187),$F187,""))</f>
        <v/>
      </c>
    </row>
    <row r="188">
      <c r="A188" s="56">
        <f>IF(NOT((COUNTA($B188:$D188)+COUNTA($G188:$L188)+COUNTA($Q188))&gt;0),"",IF($V188="Macro",COUNTIFS($V$5:$V188,"Macro",$S$5:$S188,$S188),IF(N($U188)=0,"?",COUNTIFS(INDEX($V$5:$V$1000,1):INDEX($V$5:$V$1000,$U188-4),"Macro",INDEX($S$5:$S$1000,1):INDEX($S$5:$S$1000,$U188-4),INDEX($S$5:$S$1000,$U188-4))&amp;"."&amp;COUNTIFS($U$5:$U188,$U188,$V$5:$V188,"Sub"))))</f>
        <v/>
      </c>
      <c r="B188" s="57" t="n"/>
      <c r="C188" s="58" t="n"/>
      <c r="D188" s="58" t="n"/>
      <c r="E188" s="59" t="n"/>
      <c r="F188" s="59" t="n"/>
      <c r="G188" s="59" t="n"/>
      <c r="H188" s="60" t="n"/>
      <c r="I188" s="60" t="n"/>
      <c r="J188" s="60" t="n"/>
      <c r="K188" s="60" t="n"/>
      <c r="L188" s="60" t="n"/>
      <c r="M188" s="61">
        <f>IF(NOT((COUNTA($B188:$D188)+COUNTA($G188:$L188)+COUNTA($Q188))&gt;0),"",IF(AND($D188&lt;&gt;"",$V188="Macro"),IF(N($AH188)&gt;0,N(CHOOSE(MATCH($D188,ListaPuestos,0),INDEX('Cronograma R. Operacional'!$M$5:$M$1000,$AH188),INDEX('Cronograma R. Normativo'!$M$5:$M$1000,$AH188),INDEX('Cronograma R. Financiero'!$M$5:$M$1000,$AH188),INDEX('Cronograma Asistente Técnico'!$M$5:$M$1000,$AH188))),0),IF(ISNUMBER($G188),1,IF(N($W188)&gt;0,AVERAGEIFS($X$5:$X$1000,$U$5:$U$1000,ROW(),$V$5:$V$1000,"Sub"),$X188))))</f>
        <v/>
      </c>
      <c r="N188" s="56">
        <f>IF(OR($M188="",$V188="Sub"),"",IF($M188&gt;=1,"Completado",IF($M188&gt;0,"En curso","Pendiente")))</f>
        <v/>
      </c>
      <c r="O188" s="56">
        <f>IF(NOT((COUNTA($B188:$D188)+COUNTA($G188:$L188)+COUNTA($Q188))&gt;0),"",IF(AND(AND($D188&lt;&gt;"",$V188="Macro"),N($AH188)&gt;0),CHOOSE(MATCH($D188,ListaPuestos,0),INDEX('Cronograma R. Operacional'!$O$5:$O$1000,$AH188),INDEX('Cronograma R. Normativo'!$O$5:$O$1000,$AH188),INDEX('Cronograma R. Financiero'!$O$5:$O$1000,$AH188),INDEX('Cronograma Asistente Técnico'!$O$5:$O$1000,$AH188))&amp;"",IF(ISNUMBER($G188),IF(AND(ISNUMBER($AN188),$G188&gt;$AN188),"Cumplida con "&amp;($G188-$AN188)&amp;IF($G188-$AN188=1," día"," días")&amp;" de retraso","Cumplida"),IF(N($M188)&gt;=1,"Cumplida",IF(NOT(ISNUMBER($AN188)),"Sin fecha límite",IF($AN188&lt;FechaRef,"Vencida hace "&amp;(FechaRef-$AN188)&amp;IF(FechaRef-$AN188=1," día"," días"),IF($AN188=FechaRef,"Vence hoy",IF($AN188-FechaRef&lt;=DiasAlerta,"Vence en "&amp;($AN188-FechaRef)&amp;IF($AN188-FechaRef=1," día"," días"),"En plazo"))))))))</f>
        <v/>
      </c>
      <c r="P188" s="62">
        <f>IF(NOT((COUNTA($B188:$D188)+COUNTA($G188:$L188)+COUNTA($Q188))&gt;0),"",IF($D188="","Propia",IF($V188&lt;&gt;"Macro","Solo se delegan macroactividades",IF(N($AH188)&gt;0,"✔ Recibida por "&amp;$D188,"⚠ "&amp;$D188&amp;" aún no la agrega"))))</f>
        <v/>
      </c>
      <c r="Q188" s="58" t="n"/>
      <c r="R188" s="63">
        <f>IF(NOT((COUNTA($B188:$D188)+COUNTA($G188:$L188)+COUNTA($Q188))&gt;0),"",IF((IF($C188="","Falta el nombre de la actividad"&amp;" · ","")&amp;IF(AND($V188="Sub",N($U188)=0),"Subactividad sin macroactividad arriba"&amp;" · ","")&amp;IF($AM188="","Sin fecha de inicio"&amp;" · ","")&amp;IF($AN188="","Sin fecha límite"&amp;" · ","")&amp;IF(AND(LEFT($C188,11)="[Jefatura] ",N($AL188)=0),"No se encuentra en la hoja de la jefatura (elíjala de nuevo en la lista)"&amp;" · ","")&amp;IF(OR(AND($E188&lt;&gt;"",NOT(ISNUMBER($E188))),AND($F188&lt;&gt;"",NOT(ISNUMBER($F188))),AND($G188&lt;&gt;"",NOT(ISNUMBER($G188)))),"Fecha no válida"&amp;" · ","")&amp;IF(AND(ISNUMBER($AM188),ISNUMBER($AN188),$AM188&gt;$AN188),"Inicio posterior a fecha límite"&amp;" · ","")&amp;IF(AND($V188="Macro",$H188&lt;&gt;"",OR(NOT(ISNUMBER($H188)),$H188&lt;0,$H188&gt;1)),"Peso fuera de rango"&amp;" · ","")&amp;IF(AND($V188="Sub",$H188&lt;&gt;""),"Las subactividades no llevan peso (valen igual dentro de su macroactividad)"&amp;" · ","")&amp;IF(AND(N($W188)&gt;0,COUNT($I188:$L188)&gt;0),"Con subactividades: deje vacías las semanas (se calculan solas)"&amp;" · ","")&amp;IF((COUNTIF($I188:$L188,"&gt;1")+COUNTIF($I188:$L188,"&lt;0")+COUNTA($I188:$L188)-COUNT($I188:$L188))&gt;0,"Avance fuera de rango 0-100%"&amp;" · ","")&amp;IF(OR(AND($J188&lt;&gt;"",$J188&lt;$I188),AND($K188&lt;&gt;"",$K188&lt;MAX($I188:$J188)),AND($L188&lt;&gt;"",$L188&lt;MAX($I188:$K188))),"Avance semanal decreciente"&amp;" · ","")&amp;IF(AND(ISNUMBER($AN188),$AN188&lt;FechaRef,IF($V188="Sub",N($X188),N($M188))&lt;1),"Vencida"&amp;" · ","")&amp;IF(AND(ObsObligatoria="Sí",ISNUMBER($AN188),$AN188&lt;FechaRef,IF($V188="Sub",N($X188),N($M188))&lt;1,$Q188=""),"Vencida sin observación"&amp;" · ",""))="","✔ OK","⚠ "&amp;LEFT(IF($C188="","Falta el nombre de la actividad"&amp;" · ","")&amp;IF(AND($V188="Sub",N($U188)=0),"Subactividad sin macroactividad arriba"&amp;" · ","")&amp;IF($AM188="","Sin fecha de inicio"&amp;" · ","")&amp;IF($AN188="","Sin fecha límite"&amp;" · ","")&amp;IF(AND(LEFT($C188,11)="[Jefatura] ",N($AL188)=0),"No se encuentra en la hoja de la jefatura (elíjala de nuevo en la lista)"&amp;" · ","")&amp;IF(OR(AND($E188&lt;&gt;"",NOT(ISNUMBER($E188))),AND($F188&lt;&gt;"",NOT(ISNUMBER($F188))),AND($G188&lt;&gt;"",NOT(ISNUMBER($G188)))),"Fecha no válida"&amp;" · ","")&amp;IF(AND(ISNUMBER($AM188),ISNUMBER($AN188),$AM188&gt;$AN188),"Inicio posterior a fecha límite"&amp;" · ","")&amp;IF(AND($V188="Macro",$H188&lt;&gt;"",OR(NOT(ISNUMBER($H188)),$H188&lt;0,$H188&gt;1)),"Peso fuera de rango"&amp;" · ","")&amp;IF(AND($V188="Sub",$H188&lt;&gt;""),"Las subactividades no llevan peso (valen igual dentro de su macroactividad)"&amp;" · ","")&amp;IF(AND(N($W188)&gt;0,COUNT($I188:$L188)&gt;0),"Con subactividades: deje vacías las semanas (se calculan solas)"&amp;" · ","")&amp;IF((COUNTIF($I188:$L188,"&gt;1")+COUNTIF($I188:$L188,"&lt;0")+COUNTA($I188:$L188)-COUNT($I188:$L188))&gt;0,"Avance fuera de rango 0-100%"&amp;" · ","")&amp;IF(OR(AND($J188&lt;&gt;"",$J188&lt;$I188),AND($K188&lt;&gt;"",$K188&lt;MAX($I188:$J188)),AND($L188&lt;&gt;"",$L188&lt;MAX($I188:$K188))),"Avance semanal decreciente"&amp;" · ","")&amp;IF(AND(ISNUMBER($AN188),$AN188&lt;FechaRef,IF($V188="Sub",N($X188),N($M188))&lt;1),"Vencida"&amp;" · ","")&amp;IF(AND(ObsObligatoria="Sí",ISNUMBER($AN188),$AN188&lt;FechaRef,IF($V188="Sub",N($X188),N($M188))&lt;1,$Q188=""),"Vencida sin observación"&amp;" · ",""),LEN(IF($C188="","Falta el nombre de la actividad"&amp;" · ","")&amp;IF(AND($V188="Sub",N($U188)=0),"Subactividad sin macroactividad arriba"&amp;" · ","")&amp;IF($AM188="","Sin fecha de inicio"&amp;" · ","")&amp;IF($AN188="","Sin fecha límite"&amp;" · ","")&amp;IF(AND(LEFT($C188,11)="[Jefatura] ",N($AL188)=0),"No se encuentra en la hoja de la jefatura (elíjala de nuevo en la lista)"&amp;" · ","")&amp;IF(OR(AND($E188&lt;&gt;"",NOT(ISNUMBER($E188))),AND($F188&lt;&gt;"",NOT(ISNUMBER($F188))),AND($G188&lt;&gt;"",NOT(ISNUMBER($G188)))),"Fecha no válida"&amp;" · ","")&amp;IF(AND(ISNUMBER($AM188),ISNUMBER($AN188),$AM188&gt;$AN188),"Inicio posterior a fecha límite"&amp;" · ","")&amp;IF(AND($V188="Macro",$H188&lt;&gt;"",OR(NOT(ISNUMBER($H188)),$H188&lt;0,$H188&gt;1)),"Peso fuera de rango"&amp;" · ","")&amp;IF(AND($V188="Sub",$H188&lt;&gt;""),"Las subactividades no llevan peso (valen igual dentro de su macroactividad)"&amp;" · ","")&amp;IF(AND(N($W188)&gt;0,COUNT($I188:$L188)&gt;0),"Con subactividades: deje vacías las semanas (se calculan solas)"&amp;" · ","")&amp;IF((COUNTIF($I188:$L188,"&gt;1")+COUNTIF($I188:$L188,"&lt;0")+COUNTA($I188:$L188)-COUNT($I188:$L188))&gt;0,"Avance fuera de rango 0-100%"&amp;" · ","")&amp;IF(OR(AND($J188&lt;&gt;"",$J188&lt;$I188),AND($K188&lt;&gt;"",$K188&lt;MAX($I188:$J188)),AND($L188&lt;&gt;"",$L188&lt;MAX($I188:$K188))),"Avance semanal decreciente"&amp;" · ","")&amp;IF(AND(ISNUMBER($AN188),$AN188&lt;FechaRef,IF($V188="Sub",N($X188),N($M188))&lt;1),"Vencida"&amp;" · ","")&amp;IF(AND(ObsObligatoria="Sí",ISNUMBER($AN188),$AN188&lt;FechaRef,IF($V188="Sub",N($X188),N($M188))&lt;1,$Q188=""),"Vencida sin observación"&amp;" · ",""))-3)))</f>
        <v/>
      </c>
      <c r="S188" s="64">
        <f>IF(NOT((COUNTA($B188:$D188)+COUNTA($G188:$L188)+COUNTA($Q188))&gt;0),"",IF(AND($V188="Sub",N($U188)&gt;0),IF(ISNUMBER(INDEX($AM$5:$AM$1000,$U188-4)),DATE(YEAR(INDEX($AM$5:$AM$1000,$U188-4)),MONTH(INDEX($AM$5:$AM$1000,$U188-4)),1),IF(ISNUMBER(INDEX($AN$5:$AN$1000,$U188-4)),DATE(YEAR(INDEX($AN$5:$AN$1000,$U188-4)),MONTH(INDEX($AN$5:$AN$1000,$U188-4)),1),MesCiclo)),IF(ISNUMBER($AM188),DATE(YEAR($AM188),MONTH($AM188),1),IF(ISNUMBER($AN188),DATE(YEAR($AN188),MONTH($AN188),1),MesCiclo))))</f>
        <v/>
      </c>
      <c r="T188" s="62">
        <f>IF(OR($S188="",$S188&lt;&gt;MesCiclo,$V188&lt;&gt;"Macro"),"",COUNTIFS($S$5:$S188,MesCiclo,$V$5:$V188,"Macro"))</f>
        <v/>
      </c>
      <c r="U188" s="62">
        <f>IF($V188="","",IF($V188="Macro",ROW(),IFERROR(LOOKUP(2,1/($V$5:$V188="Macro"),ROW($V$5:$V188)),0)))</f>
        <v/>
      </c>
      <c r="V188" s="62">
        <f>IF(NOT((COUNTA($B188:$D188)+COUNTA($G188:$L188)+COUNTA($Q188))&gt;0),"",IF($B188="Subactividad","Sub","Macro"))</f>
        <v/>
      </c>
      <c r="W188" s="62">
        <f>IF($V188="Macro",COUNTIFS($U$5:$U$1000,ROW(),$V$5:$V$1000,"Sub"),"")</f>
        <v/>
      </c>
      <c r="X188" s="62">
        <f>IF($V188="","",IF(ISNUMBER($G188),1,IFERROR(LOOKUP(2,1/($I188:$L188&lt;&gt;""),$I188:$L188),0)))</f>
        <v/>
      </c>
      <c r="Y188" s="62">
        <f>IF($V188="","",IF(AND(ISNUMBER($G188),$G188&lt;=IF($S188=MesCiclo,InicioCiclo,$S188+MOD(2-WEEKDAY($S188),7))+6),1,IF(ISNUMBER($I188),$I188,0)))</f>
        <v/>
      </c>
      <c r="Z188" s="62">
        <f>IF($V188="","",IF(AND(ISNUMBER($G188),$G188&lt;=IF($S188=MesCiclo,InicioCiclo,$S188+MOD(2-WEEKDAY($S188),7))+13),1,IF(ISNUMBER($J188),$J188,$Y188)))</f>
        <v/>
      </c>
      <c r="AA188" s="62">
        <f>IF($V188="","",IF(AND(ISNUMBER($G188),$G188&lt;=IF($S188=MesCiclo,InicioCiclo,$S188+MOD(2-WEEKDAY($S188),7))+20),1,IF(ISNUMBER($K188),$K188,$Z188)))</f>
        <v/>
      </c>
      <c r="AB188" s="62">
        <f>IF($V188="","",IF(AND(ISNUMBER($G188),$G188&lt;=IF($S188=MesCiclo,InicioCiclo,$S188+MOD(2-WEEKDAY($S188),7))+27),1,IF(ISNUMBER($L188),$L188,$AA188)))</f>
        <v/>
      </c>
      <c r="AC188" s="62">
        <f>IF($V188="","",IF(AND(ISNUMBER($G188),$G188&lt;=IF($S188=MesCiclo,InicioCiclo,$S188+MOD(2-WEEKDAY($S188),7))+6),1,IF(N($W188)&gt;0,AVERAGEIFS($Y$5:$Y$1000,$U$5:$U$1000,ROW(),$V$5:$V$1000,"Sub"),$Y188)))</f>
        <v/>
      </c>
      <c r="AD188" s="62">
        <f>IF($V188="","",IF(AND(ISNUMBER($G188),$G188&lt;=IF($S188=MesCiclo,InicioCiclo,$S188+MOD(2-WEEKDAY($S188),7))+13),1,IF(N($W188)&gt;0,AVERAGEIFS($Z$5:$Z$1000,$U$5:$U$1000,ROW(),$V$5:$V$1000,"Sub"),$Z188)))</f>
        <v/>
      </c>
      <c r="AE188" s="62">
        <f>IF($V188="","",IF(AND(ISNUMBER($G188),$G188&lt;=IF($S188=MesCiclo,InicioCiclo,$S188+MOD(2-WEEKDAY($S188),7))+20),1,IF(N($W188)&gt;0,AVERAGEIFS($AA$5:$AA$1000,$U$5:$U$1000,ROW(),$V$5:$V$1000,"Sub"),$AA188)))</f>
        <v/>
      </c>
      <c r="AF188" s="62">
        <f>IF($V188="","",IF(AND(ISNUMBER($G188),$G188&lt;=IF($S188=MesCiclo,InicioCiclo,$S188+MOD(2-WEEKDAY($S188),7))+27),1,IF(N($W188)&gt;0,AVERAGEIFS($AB$5:$AB$1000,$U$5:$U$1000,ROW(),$V$5:$V$1000,"Sub"),$AB188)))</f>
        <v/>
      </c>
      <c r="AG188" s="62">
        <f>IF($V188&lt;&gt;"Macro","",IF(COUNTIFS($S$5:$S$1000,$S188,$V$5:$V$1000,"Macro",$H$5:$H$1000,"&gt;0")=0,1/COUNTIFS($S$5:$S$1000,$S188,$V$5:$V$1000,"Macro"),IF(AND(ISNUMBER($H188),N($H188)&gt;0),$H188,SUMIFS($H$5:$H$1000,$S$5:$S$1000,$S188,$V$5:$V$1000,"Macro")/COUNTIFS($S$5:$S$1000,$S188,$V$5:$V$1000,"Macro",$H$5:$H$1000,"&gt;0"))/(COUNTIFS($S$5:$S$1000,$S188,$V$5:$V$1000,"Macro")*SUMIFS($H$5:$H$1000,$S$5:$S$1000,$S188,$V$5:$V$1000,"Macro")/COUNTIFS($S$5:$S$1000,$S188,$V$5:$V$1000,"Macro",$H$5:$H$1000,"&gt;0"))))</f>
        <v/>
      </c>
      <c r="AH188" s="62">
        <f>IF(NOT(AND($D188&lt;&gt;"",$V188="Macro")),"",IFERROR(CHOOSE(MATCH($D188,ListaPuestos,0),MATCH("[Jefatura] "&amp;$C188,'Cronograma R. Operacional'!$C$5:$C$1000,0),MATCH("[Jefatura] "&amp;$C188,'Cronograma R. Normativo'!$C$5:$C$1000,0),MATCH("[Jefatura] "&amp;$C188,'Cronograma R. Financiero'!$C$5:$C$1000,0),MATCH("[Jefatura] "&amp;$C188,'Cronograma Asistente Técnico'!$C$5:$C$1000,0)),0))</f>
        <v/>
      </c>
      <c r="AI188" s="62">
        <f>IF(AND(AND($D188&lt;&gt;"",$V188="Macro"),$S188=MesCiclo),COUNTIFS($D$5:$D188,$D188,$S$5:$S188,MesCiclo,$V$5:$V188,"Macro"),"")</f>
        <v/>
      </c>
      <c r="AJ188" s="62">
        <f>IF($AI188="","",$D188&amp;"|"&amp;$AI188)</f>
        <v/>
      </c>
      <c r="AK188" s="62">
        <f>IF(AND($D188&lt;&gt;"",$V188="Macro"),$D188&amp;"|"&amp;$C188,"")</f>
        <v/>
      </c>
      <c r="AL188" s="62">
        <f>""</f>
        <v/>
      </c>
      <c r="AM188" s="62">
        <f>IF(N($AL188)&gt;0,INDEX(rIni_ADM,$AL188),IF(ISNUMBER($E188),$E188,""))</f>
        <v/>
      </c>
      <c r="AN188" s="62">
        <f>IF(N($AL188)&gt;0,INDEX(rLim_ADM,$AL188),IF(ISNUMBER($F188),$F188,""))</f>
        <v/>
      </c>
    </row>
    <row r="189">
      <c r="A189" s="56">
        <f>IF(NOT((COUNTA($B189:$D189)+COUNTA($G189:$L189)+COUNTA($Q189))&gt;0),"",IF($V189="Macro",COUNTIFS($V$5:$V189,"Macro",$S$5:$S189,$S189),IF(N($U189)=0,"?",COUNTIFS(INDEX($V$5:$V$1000,1):INDEX($V$5:$V$1000,$U189-4),"Macro",INDEX($S$5:$S$1000,1):INDEX($S$5:$S$1000,$U189-4),INDEX($S$5:$S$1000,$U189-4))&amp;"."&amp;COUNTIFS($U$5:$U189,$U189,$V$5:$V189,"Sub"))))</f>
        <v/>
      </c>
      <c r="B189" s="57" t="n"/>
      <c r="C189" s="58" t="n"/>
      <c r="D189" s="58" t="n"/>
      <c r="E189" s="59" t="n"/>
      <c r="F189" s="59" t="n"/>
      <c r="G189" s="59" t="n"/>
      <c r="H189" s="60" t="n"/>
      <c r="I189" s="60" t="n"/>
      <c r="J189" s="60" t="n"/>
      <c r="K189" s="60" t="n"/>
      <c r="L189" s="60" t="n"/>
      <c r="M189" s="61">
        <f>IF(NOT((COUNTA($B189:$D189)+COUNTA($G189:$L189)+COUNTA($Q189))&gt;0),"",IF(AND($D189&lt;&gt;"",$V189="Macro"),IF(N($AH189)&gt;0,N(CHOOSE(MATCH($D189,ListaPuestos,0),INDEX('Cronograma R. Operacional'!$M$5:$M$1000,$AH189),INDEX('Cronograma R. Normativo'!$M$5:$M$1000,$AH189),INDEX('Cronograma R. Financiero'!$M$5:$M$1000,$AH189),INDEX('Cronograma Asistente Técnico'!$M$5:$M$1000,$AH189))),0),IF(ISNUMBER($G189),1,IF(N($W189)&gt;0,AVERAGEIFS($X$5:$X$1000,$U$5:$U$1000,ROW(),$V$5:$V$1000,"Sub"),$X189))))</f>
        <v/>
      </c>
      <c r="N189" s="56">
        <f>IF(OR($M189="",$V189="Sub"),"",IF($M189&gt;=1,"Completado",IF($M189&gt;0,"En curso","Pendiente")))</f>
        <v/>
      </c>
      <c r="O189" s="56">
        <f>IF(NOT((COUNTA($B189:$D189)+COUNTA($G189:$L189)+COUNTA($Q189))&gt;0),"",IF(AND(AND($D189&lt;&gt;"",$V189="Macro"),N($AH189)&gt;0),CHOOSE(MATCH($D189,ListaPuestos,0),INDEX('Cronograma R. Operacional'!$O$5:$O$1000,$AH189),INDEX('Cronograma R. Normativo'!$O$5:$O$1000,$AH189),INDEX('Cronograma R. Financiero'!$O$5:$O$1000,$AH189),INDEX('Cronograma Asistente Técnico'!$O$5:$O$1000,$AH189))&amp;"",IF(ISNUMBER($G189),IF(AND(ISNUMBER($AN189),$G189&gt;$AN189),"Cumplida con "&amp;($G189-$AN189)&amp;IF($G189-$AN189=1," día"," días")&amp;" de retraso","Cumplida"),IF(N($M189)&gt;=1,"Cumplida",IF(NOT(ISNUMBER($AN189)),"Sin fecha límite",IF($AN189&lt;FechaRef,"Vencida hace "&amp;(FechaRef-$AN189)&amp;IF(FechaRef-$AN189=1," día"," días"),IF($AN189=FechaRef,"Vence hoy",IF($AN189-FechaRef&lt;=DiasAlerta,"Vence en "&amp;($AN189-FechaRef)&amp;IF($AN189-FechaRef=1," día"," días"),"En plazo"))))))))</f>
        <v/>
      </c>
      <c r="P189" s="62">
        <f>IF(NOT((COUNTA($B189:$D189)+COUNTA($G189:$L189)+COUNTA($Q189))&gt;0),"",IF($D189="","Propia",IF($V189&lt;&gt;"Macro","Solo se delegan macroactividades",IF(N($AH189)&gt;0,"✔ Recibida por "&amp;$D189,"⚠ "&amp;$D189&amp;" aún no la agrega"))))</f>
        <v/>
      </c>
      <c r="Q189" s="58" t="n"/>
      <c r="R189" s="63">
        <f>IF(NOT((COUNTA($B189:$D189)+COUNTA($G189:$L189)+COUNTA($Q189))&gt;0),"",IF((IF($C189="","Falta el nombre de la actividad"&amp;" · ","")&amp;IF(AND($V189="Sub",N($U189)=0),"Subactividad sin macroactividad arriba"&amp;" · ","")&amp;IF($AM189="","Sin fecha de inicio"&amp;" · ","")&amp;IF($AN189="","Sin fecha límite"&amp;" · ","")&amp;IF(AND(LEFT($C189,11)="[Jefatura] ",N($AL189)=0),"No se encuentra en la hoja de la jefatura (elíjala de nuevo en la lista)"&amp;" · ","")&amp;IF(OR(AND($E189&lt;&gt;"",NOT(ISNUMBER($E189))),AND($F189&lt;&gt;"",NOT(ISNUMBER($F189))),AND($G189&lt;&gt;"",NOT(ISNUMBER($G189)))),"Fecha no válida"&amp;" · ","")&amp;IF(AND(ISNUMBER($AM189),ISNUMBER($AN189),$AM189&gt;$AN189),"Inicio posterior a fecha límite"&amp;" · ","")&amp;IF(AND($V189="Macro",$H189&lt;&gt;"",OR(NOT(ISNUMBER($H189)),$H189&lt;0,$H189&gt;1)),"Peso fuera de rango"&amp;" · ","")&amp;IF(AND($V189="Sub",$H189&lt;&gt;""),"Las subactividades no llevan peso (valen igual dentro de su macroactividad)"&amp;" · ","")&amp;IF(AND(N($W189)&gt;0,COUNT($I189:$L189)&gt;0),"Con subactividades: deje vacías las semanas (se calculan solas)"&amp;" · ","")&amp;IF((COUNTIF($I189:$L189,"&gt;1")+COUNTIF($I189:$L189,"&lt;0")+COUNTA($I189:$L189)-COUNT($I189:$L189))&gt;0,"Avance fuera de rango 0-100%"&amp;" · ","")&amp;IF(OR(AND($J189&lt;&gt;"",$J189&lt;$I189),AND($K189&lt;&gt;"",$K189&lt;MAX($I189:$J189)),AND($L189&lt;&gt;"",$L189&lt;MAX($I189:$K189))),"Avance semanal decreciente"&amp;" · ","")&amp;IF(AND(ISNUMBER($AN189),$AN189&lt;FechaRef,IF($V189="Sub",N($X189),N($M189))&lt;1),"Vencida"&amp;" · ","")&amp;IF(AND(ObsObligatoria="Sí",ISNUMBER($AN189),$AN189&lt;FechaRef,IF($V189="Sub",N($X189),N($M189))&lt;1,$Q189=""),"Vencida sin observación"&amp;" · ",""))="","✔ OK","⚠ "&amp;LEFT(IF($C189="","Falta el nombre de la actividad"&amp;" · ","")&amp;IF(AND($V189="Sub",N($U189)=0),"Subactividad sin macroactividad arriba"&amp;" · ","")&amp;IF($AM189="","Sin fecha de inicio"&amp;" · ","")&amp;IF($AN189="","Sin fecha límite"&amp;" · ","")&amp;IF(AND(LEFT($C189,11)="[Jefatura] ",N($AL189)=0),"No se encuentra en la hoja de la jefatura (elíjala de nuevo en la lista)"&amp;" · ","")&amp;IF(OR(AND($E189&lt;&gt;"",NOT(ISNUMBER($E189))),AND($F189&lt;&gt;"",NOT(ISNUMBER($F189))),AND($G189&lt;&gt;"",NOT(ISNUMBER($G189)))),"Fecha no válida"&amp;" · ","")&amp;IF(AND(ISNUMBER($AM189),ISNUMBER($AN189),$AM189&gt;$AN189),"Inicio posterior a fecha límite"&amp;" · ","")&amp;IF(AND($V189="Macro",$H189&lt;&gt;"",OR(NOT(ISNUMBER($H189)),$H189&lt;0,$H189&gt;1)),"Peso fuera de rango"&amp;" · ","")&amp;IF(AND($V189="Sub",$H189&lt;&gt;""),"Las subactividades no llevan peso (valen igual dentro de su macroactividad)"&amp;" · ","")&amp;IF(AND(N($W189)&gt;0,COUNT($I189:$L189)&gt;0),"Con subactividades: deje vacías las semanas (se calculan solas)"&amp;" · ","")&amp;IF((COUNTIF($I189:$L189,"&gt;1")+COUNTIF($I189:$L189,"&lt;0")+COUNTA($I189:$L189)-COUNT($I189:$L189))&gt;0,"Avance fuera de rango 0-100%"&amp;" · ","")&amp;IF(OR(AND($J189&lt;&gt;"",$J189&lt;$I189),AND($K189&lt;&gt;"",$K189&lt;MAX($I189:$J189)),AND($L189&lt;&gt;"",$L189&lt;MAX($I189:$K189))),"Avance semanal decreciente"&amp;" · ","")&amp;IF(AND(ISNUMBER($AN189),$AN189&lt;FechaRef,IF($V189="Sub",N($X189),N($M189))&lt;1),"Vencida"&amp;" · ","")&amp;IF(AND(ObsObligatoria="Sí",ISNUMBER($AN189),$AN189&lt;FechaRef,IF($V189="Sub",N($X189),N($M189))&lt;1,$Q189=""),"Vencida sin observación"&amp;" · ",""),LEN(IF($C189="","Falta el nombre de la actividad"&amp;" · ","")&amp;IF(AND($V189="Sub",N($U189)=0),"Subactividad sin macroactividad arriba"&amp;" · ","")&amp;IF($AM189="","Sin fecha de inicio"&amp;" · ","")&amp;IF($AN189="","Sin fecha límite"&amp;" · ","")&amp;IF(AND(LEFT($C189,11)="[Jefatura] ",N($AL189)=0),"No se encuentra en la hoja de la jefatura (elíjala de nuevo en la lista)"&amp;" · ","")&amp;IF(OR(AND($E189&lt;&gt;"",NOT(ISNUMBER($E189))),AND($F189&lt;&gt;"",NOT(ISNUMBER($F189))),AND($G189&lt;&gt;"",NOT(ISNUMBER($G189)))),"Fecha no válida"&amp;" · ","")&amp;IF(AND(ISNUMBER($AM189),ISNUMBER($AN189),$AM189&gt;$AN189),"Inicio posterior a fecha límite"&amp;" · ","")&amp;IF(AND($V189="Macro",$H189&lt;&gt;"",OR(NOT(ISNUMBER($H189)),$H189&lt;0,$H189&gt;1)),"Peso fuera de rango"&amp;" · ","")&amp;IF(AND($V189="Sub",$H189&lt;&gt;""),"Las subactividades no llevan peso (valen igual dentro de su macroactividad)"&amp;" · ","")&amp;IF(AND(N($W189)&gt;0,COUNT($I189:$L189)&gt;0),"Con subactividades: deje vacías las semanas (se calculan solas)"&amp;" · ","")&amp;IF((COUNTIF($I189:$L189,"&gt;1")+COUNTIF($I189:$L189,"&lt;0")+COUNTA($I189:$L189)-COUNT($I189:$L189))&gt;0,"Avance fuera de rango 0-100%"&amp;" · ","")&amp;IF(OR(AND($J189&lt;&gt;"",$J189&lt;$I189),AND($K189&lt;&gt;"",$K189&lt;MAX($I189:$J189)),AND($L189&lt;&gt;"",$L189&lt;MAX($I189:$K189))),"Avance semanal decreciente"&amp;" · ","")&amp;IF(AND(ISNUMBER($AN189),$AN189&lt;FechaRef,IF($V189="Sub",N($X189),N($M189))&lt;1),"Vencida"&amp;" · ","")&amp;IF(AND(ObsObligatoria="Sí",ISNUMBER($AN189),$AN189&lt;FechaRef,IF($V189="Sub",N($X189),N($M189))&lt;1,$Q189=""),"Vencida sin observación"&amp;" · ",""))-3)))</f>
        <v/>
      </c>
      <c r="S189" s="64">
        <f>IF(NOT((COUNTA($B189:$D189)+COUNTA($G189:$L189)+COUNTA($Q189))&gt;0),"",IF(AND($V189="Sub",N($U189)&gt;0),IF(ISNUMBER(INDEX($AM$5:$AM$1000,$U189-4)),DATE(YEAR(INDEX($AM$5:$AM$1000,$U189-4)),MONTH(INDEX($AM$5:$AM$1000,$U189-4)),1),IF(ISNUMBER(INDEX($AN$5:$AN$1000,$U189-4)),DATE(YEAR(INDEX($AN$5:$AN$1000,$U189-4)),MONTH(INDEX($AN$5:$AN$1000,$U189-4)),1),MesCiclo)),IF(ISNUMBER($AM189),DATE(YEAR($AM189),MONTH($AM189),1),IF(ISNUMBER($AN189),DATE(YEAR($AN189),MONTH($AN189),1),MesCiclo))))</f>
        <v/>
      </c>
      <c r="T189" s="62">
        <f>IF(OR($S189="",$S189&lt;&gt;MesCiclo,$V189&lt;&gt;"Macro"),"",COUNTIFS($S$5:$S189,MesCiclo,$V$5:$V189,"Macro"))</f>
        <v/>
      </c>
      <c r="U189" s="62">
        <f>IF($V189="","",IF($V189="Macro",ROW(),IFERROR(LOOKUP(2,1/($V$5:$V189="Macro"),ROW($V$5:$V189)),0)))</f>
        <v/>
      </c>
      <c r="V189" s="62">
        <f>IF(NOT((COUNTA($B189:$D189)+COUNTA($G189:$L189)+COUNTA($Q189))&gt;0),"",IF($B189="Subactividad","Sub","Macro"))</f>
        <v/>
      </c>
      <c r="W189" s="62">
        <f>IF($V189="Macro",COUNTIFS($U$5:$U$1000,ROW(),$V$5:$V$1000,"Sub"),"")</f>
        <v/>
      </c>
      <c r="X189" s="62">
        <f>IF($V189="","",IF(ISNUMBER($G189),1,IFERROR(LOOKUP(2,1/($I189:$L189&lt;&gt;""),$I189:$L189),0)))</f>
        <v/>
      </c>
      <c r="Y189" s="62">
        <f>IF($V189="","",IF(AND(ISNUMBER($G189),$G189&lt;=IF($S189=MesCiclo,InicioCiclo,$S189+MOD(2-WEEKDAY($S189),7))+6),1,IF(ISNUMBER($I189),$I189,0)))</f>
        <v/>
      </c>
      <c r="Z189" s="62">
        <f>IF($V189="","",IF(AND(ISNUMBER($G189),$G189&lt;=IF($S189=MesCiclo,InicioCiclo,$S189+MOD(2-WEEKDAY($S189),7))+13),1,IF(ISNUMBER($J189),$J189,$Y189)))</f>
        <v/>
      </c>
      <c r="AA189" s="62">
        <f>IF($V189="","",IF(AND(ISNUMBER($G189),$G189&lt;=IF($S189=MesCiclo,InicioCiclo,$S189+MOD(2-WEEKDAY($S189),7))+20),1,IF(ISNUMBER($K189),$K189,$Z189)))</f>
        <v/>
      </c>
      <c r="AB189" s="62">
        <f>IF($V189="","",IF(AND(ISNUMBER($G189),$G189&lt;=IF($S189=MesCiclo,InicioCiclo,$S189+MOD(2-WEEKDAY($S189),7))+27),1,IF(ISNUMBER($L189),$L189,$AA189)))</f>
        <v/>
      </c>
      <c r="AC189" s="62">
        <f>IF($V189="","",IF(AND(ISNUMBER($G189),$G189&lt;=IF($S189=MesCiclo,InicioCiclo,$S189+MOD(2-WEEKDAY($S189),7))+6),1,IF(N($W189)&gt;0,AVERAGEIFS($Y$5:$Y$1000,$U$5:$U$1000,ROW(),$V$5:$V$1000,"Sub"),$Y189)))</f>
        <v/>
      </c>
      <c r="AD189" s="62">
        <f>IF($V189="","",IF(AND(ISNUMBER($G189),$G189&lt;=IF($S189=MesCiclo,InicioCiclo,$S189+MOD(2-WEEKDAY($S189),7))+13),1,IF(N($W189)&gt;0,AVERAGEIFS($Z$5:$Z$1000,$U$5:$U$1000,ROW(),$V$5:$V$1000,"Sub"),$Z189)))</f>
        <v/>
      </c>
      <c r="AE189" s="62">
        <f>IF($V189="","",IF(AND(ISNUMBER($G189),$G189&lt;=IF($S189=MesCiclo,InicioCiclo,$S189+MOD(2-WEEKDAY($S189),7))+20),1,IF(N($W189)&gt;0,AVERAGEIFS($AA$5:$AA$1000,$U$5:$U$1000,ROW(),$V$5:$V$1000,"Sub"),$AA189)))</f>
        <v/>
      </c>
      <c r="AF189" s="62">
        <f>IF($V189="","",IF(AND(ISNUMBER($G189),$G189&lt;=IF($S189=MesCiclo,InicioCiclo,$S189+MOD(2-WEEKDAY($S189),7))+27),1,IF(N($W189)&gt;0,AVERAGEIFS($AB$5:$AB$1000,$U$5:$U$1000,ROW(),$V$5:$V$1000,"Sub"),$AB189)))</f>
        <v/>
      </c>
      <c r="AG189" s="62">
        <f>IF($V189&lt;&gt;"Macro","",IF(COUNTIFS($S$5:$S$1000,$S189,$V$5:$V$1000,"Macro",$H$5:$H$1000,"&gt;0")=0,1/COUNTIFS($S$5:$S$1000,$S189,$V$5:$V$1000,"Macro"),IF(AND(ISNUMBER($H189),N($H189)&gt;0),$H189,SUMIFS($H$5:$H$1000,$S$5:$S$1000,$S189,$V$5:$V$1000,"Macro")/COUNTIFS($S$5:$S$1000,$S189,$V$5:$V$1000,"Macro",$H$5:$H$1000,"&gt;0"))/(COUNTIFS($S$5:$S$1000,$S189,$V$5:$V$1000,"Macro")*SUMIFS($H$5:$H$1000,$S$5:$S$1000,$S189,$V$5:$V$1000,"Macro")/COUNTIFS($S$5:$S$1000,$S189,$V$5:$V$1000,"Macro",$H$5:$H$1000,"&gt;0"))))</f>
        <v/>
      </c>
      <c r="AH189" s="62">
        <f>IF(NOT(AND($D189&lt;&gt;"",$V189="Macro")),"",IFERROR(CHOOSE(MATCH($D189,ListaPuestos,0),MATCH("[Jefatura] "&amp;$C189,'Cronograma R. Operacional'!$C$5:$C$1000,0),MATCH("[Jefatura] "&amp;$C189,'Cronograma R. Normativo'!$C$5:$C$1000,0),MATCH("[Jefatura] "&amp;$C189,'Cronograma R. Financiero'!$C$5:$C$1000,0),MATCH("[Jefatura] "&amp;$C189,'Cronograma Asistente Técnico'!$C$5:$C$1000,0)),0))</f>
        <v/>
      </c>
      <c r="AI189" s="62">
        <f>IF(AND(AND($D189&lt;&gt;"",$V189="Macro"),$S189=MesCiclo),COUNTIFS($D$5:$D189,$D189,$S$5:$S189,MesCiclo,$V$5:$V189,"Macro"),"")</f>
        <v/>
      </c>
      <c r="AJ189" s="62">
        <f>IF($AI189="","",$D189&amp;"|"&amp;$AI189)</f>
        <v/>
      </c>
      <c r="AK189" s="62">
        <f>IF(AND($D189&lt;&gt;"",$V189="Macro"),$D189&amp;"|"&amp;$C189,"")</f>
        <v/>
      </c>
      <c r="AL189" s="62">
        <f>""</f>
        <v/>
      </c>
      <c r="AM189" s="62">
        <f>IF(N($AL189)&gt;0,INDEX(rIni_ADM,$AL189),IF(ISNUMBER($E189),$E189,""))</f>
        <v/>
      </c>
      <c r="AN189" s="62">
        <f>IF(N($AL189)&gt;0,INDEX(rLim_ADM,$AL189),IF(ISNUMBER($F189),$F189,""))</f>
        <v/>
      </c>
    </row>
    <row r="190">
      <c r="A190" s="56">
        <f>IF(NOT((COUNTA($B190:$D190)+COUNTA($G190:$L190)+COUNTA($Q190))&gt;0),"",IF($V190="Macro",COUNTIFS($V$5:$V190,"Macro",$S$5:$S190,$S190),IF(N($U190)=0,"?",COUNTIFS(INDEX($V$5:$V$1000,1):INDEX($V$5:$V$1000,$U190-4),"Macro",INDEX($S$5:$S$1000,1):INDEX($S$5:$S$1000,$U190-4),INDEX($S$5:$S$1000,$U190-4))&amp;"."&amp;COUNTIFS($U$5:$U190,$U190,$V$5:$V190,"Sub"))))</f>
        <v/>
      </c>
      <c r="B190" s="57" t="n"/>
      <c r="C190" s="58" t="n"/>
      <c r="D190" s="58" t="n"/>
      <c r="E190" s="59" t="n"/>
      <c r="F190" s="59" t="n"/>
      <c r="G190" s="59" t="n"/>
      <c r="H190" s="60" t="n"/>
      <c r="I190" s="60" t="n"/>
      <c r="J190" s="60" t="n"/>
      <c r="K190" s="60" t="n"/>
      <c r="L190" s="60" t="n"/>
      <c r="M190" s="61">
        <f>IF(NOT((COUNTA($B190:$D190)+COUNTA($G190:$L190)+COUNTA($Q190))&gt;0),"",IF(AND($D190&lt;&gt;"",$V190="Macro"),IF(N($AH190)&gt;0,N(CHOOSE(MATCH($D190,ListaPuestos,0),INDEX('Cronograma R. Operacional'!$M$5:$M$1000,$AH190),INDEX('Cronograma R. Normativo'!$M$5:$M$1000,$AH190),INDEX('Cronograma R. Financiero'!$M$5:$M$1000,$AH190),INDEX('Cronograma Asistente Técnico'!$M$5:$M$1000,$AH190))),0),IF(ISNUMBER($G190),1,IF(N($W190)&gt;0,AVERAGEIFS($X$5:$X$1000,$U$5:$U$1000,ROW(),$V$5:$V$1000,"Sub"),$X190))))</f>
        <v/>
      </c>
      <c r="N190" s="56">
        <f>IF(OR($M190="",$V190="Sub"),"",IF($M190&gt;=1,"Completado",IF($M190&gt;0,"En curso","Pendiente")))</f>
        <v/>
      </c>
      <c r="O190" s="56">
        <f>IF(NOT((COUNTA($B190:$D190)+COUNTA($G190:$L190)+COUNTA($Q190))&gt;0),"",IF(AND(AND($D190&lt;&gt;"",$V190="Macro"),N($AH190)&gt;0),CHOOSE(MATCH($D190,ListaPuestos,0),INDEX('Cronograma R. Operacional'!$O$5:$O$1000,$AH190),INDEX('Cronograma R. Normativo'!$O$5:$O$1000,$AH190),INDEX('Cronograma R. Financiero'!$O$5:$O$1000,$AH190),INDEX('Cronograma Asistente Técnico'!$O$5:$O$1000,$AH190))&amp;"",IF(ISNUMBER($G190),IF(AND(ISNUMBER($AN190),$G190&gt;$AN190),"Cumplida con "&amp;($G190-$AN190)&amp;IF($G190-$AN190=1," día"," días")&amp;" de retraso","Cumplida"),IF(N($M190)&gt;=1,"Cumplida",IF(NOT(ISNUMBER($AN190)),"Sin fecha límite",IF($AN190&lt;FechaRef,"Vencida hace "&amp;(FechaRef-$AN190)&amp;IF(FechaRef-$AN190=1," día"," días"),IF($AN190=FechaRef,"Vence hoy",IF($AN190-FechaRef&lt;=DiasAlerta,"Vence en "&amp;($AN190-FechaRef)&amp;IF($AN190-FechaRef=1," día"," días"),"En plazo"))))))))</f>
        <v/>
      </c>
      <c r="P190" s="62">
        <f>IF(NOT((COUNTA($B190:$D190)+COUNTA($G190:$L190)+COUNTA($Q190))&gt;0),"",IF($D190="","Propia",IF($V190&lt;&gt;"Macro","Solo se delegan macroactividades",IF(N($AH190)&gt;0,"✔ Recibida por "&amp;$D190,"⚠ "&amp;$D190&amp;" aún no la agrega"))))</f>
        <v/>
      </c>
      <c r="Q190" s="58" t="n"/>
      <c r="R190" s="63">
        <f>IF(NOT((COUNTA($B190:$D190)+COUNTA($G190:$L190)+COUNTA($Q190))&gt;0),"",IF((IF($C190="","Falta el nombre de la actividad"&amp;" · ","")&amp;IF(AND($V190="Sub",N($U190)=0),"Subactividad sin macroactividad arriba"&amp;" · ","")&amp;IF($AM190="","Sin fecha de inicio"&amp;" · ","")&amp;IF($AN190="","Sin fecha límite"&amp;" · ","")&amp;IF(AND(LEFT($C190,11)="[Jefatura] ",N($AL190)=0),"No se encuentra en la hoja de la jefatura (elíjala de nuevo en la lista)"&amp;" · ","")&amp;IF(OR(AND($E190&lt;&gt;"",NOT(ISNUMBER($E190))),AND($F190&lt;&gt;"",NOT(ISNUMBER($F190))),AND($G190&lt;&gt;"",NOT(ISNUMBER($G190)))),"Fecha no válida"&amp;" · ","")&amp;IF(AND(ISNUMBER($AM190),ISNUMBER($AN190),$AM190&gt;$AN190),"Inicio posterior a fecha límite"&amp;" · ","")&amp;IF(AND($V190="Macro",$H190&lt;&gt;"",OR(NOT(ISNUMBER($H190)),$H190&lt;0,$H190&gt;1)),"Peso fuera de rango"&amp;" · ","")&amp;IF(AND($V190="Sub",$H190&lt;&gt;""),"Las subactividades no llevan peso (valen igual dentro de su macroactividad)"&amp;" · ","")&amp;IF(AND(N($W190)&gt;0,COUNT($I190:$L190)&gt;0),"Con subactividades: deje vacías las semanas (se calculan solas)"&amp;" · ","")&amp;IF((COUNTIF($I190:$L190,"&gt;1")+COUNTIF($I190:$L190,"&lt;0")+COUNTA($I190:$L190)-COUNT($I190:$L190))&gt;0,"Avance fuera de rango 0-100%"&amp;" · ","")&amp;IF(OR(AND($J190&lt;&gt;"",$J190&lt;$I190),AND($K190&lt;&gt;"",$K190&lt;MAX($I190:$J190)),AND($L190&lt;&gt;"",$L190&lt;MAX($I190:$K190))),"Avance semanal decreciente"&amp;" · ","")&amp;IF(AND(ISNUMBER($AN190),$AN190&lt;FechaRef,IF($V190="Sub",N($X190),N($M190))&lt;1),"Vencida"&amp;" · ","")&amp;IF(AND(ObsObligatoria="Sí",ISNUMBER($AN190),$AN190&lt;FechaRef,IF($V190="Sub",N($X190),N($M190))&lt;1,$Q190=""),"Vencida sin observación"&amp;" · ",""))="","✔ OK","⚠ "&amp;LEFT(IF($C190="","Falta el nombre de la actividad"&amp;" · ","")&amp;IF(AND($V190="Sub",N($U190)=0),"Subactividad sin macroactividad arriba"&amp;" · ","")&amp;IF($AM190="","Sin fecha de inicio"&amp;" · ","")&amp;IF($AN190="","Sin fecha límite"&amp;" · ","")&amp;IF(AND(LEFT($C190,11)="[Jefatura] ",N($AL190)=0),"No se encuentra en la hoja de la jefatura (elíjala de nuevo en la lista)"&amp;" · ","")&amp;IF(OR(AND($E190&lt;&gt;"",NOT(ISNUMBER($E190))),AND($F190&lt;&gt;"",NOT(ISNUMBER($F190))),AND($G190&lt;&gt;"",NOT(ISNUMBER($G190)))),"Fecha no válida"&amp;" · ","")&amp;IF(AND(ISNUMBER($AM190),ISNUMBER($AN190),$AM190&gt;$AN190),"Inicio posterior a fecha límite"&amp;" · ","")&amp;IF(AND($V190="Macro",$H190&lt;&gt;"",OR(NOT(ISNUMBER($H190)),$H190&lt;0,$H190&gt;1)),"Peso fuera de rango"&amp;" · ","")&amp;IF(AND($V190="Sub",$H190&lt;&gt;""),"Las subactividades no llevan peso (valen igual dentro de su macroactividad)"&amp;" · ","")&amp;IF(AND(N($W190)&gt;0,COUNT($I190:$L190)&gt;0),"Con subactividades: deje vacías las semanas (se calculan solas)"&amp;" · ","")&amp;IF((COUNTIF($I190:$L190,"&gt;1")+COUNTIF($I190:$L190,"&lt;0")+COUNTA($I190:$L190)-COUNT($I190:$L190))&gt;0,"Avance fuera de rango 0-100%"&amp;" · ","")&amp;IF(OR(AND($J190&lt;&gt;"",$J190&lt;$I190),AND($K190&lt;&gt;"",$K190&lt;MAX($I190:$J190)),AND($L190&lt;&gt;"",$L190&lt;MAX($I190:$K190))),"Avance semanal decreciente"&amp;" · ","")&amp;IF(AND(ISNUMBER($AN190),$AN190&lt;FechaRef,IF($V190="Sub",N($X190),N($M190))&lt;1),"Vencida"&amp;" · ","")&amp;IF(AND(ObsObligatoria="Sí",ISNUMBER($AN190),$AN190&lt;FechaRef,IF($V190="Sub",N($X190),N($M190))&lt;1,$Q190=""),"Vencida sin observación"&amp;" · ",""),LEN(IF($C190="","Falta el nombre de la actividad"&amp;" · ","")&amp;IF(AND($V190="Sub",N($U190)=0),"Subactividad sin macroactividad arriba"&amp;" · ","")&amp;IF($AM190="","Sin fecha de inicio"&amp;" · ","")&amp;IF($AN190="","Sin fecha límite"&amp;" · ","")&amp;IF(AND(LEFT($C190,11)="[Jefatura] ",N($AL190)=0),"No se encuentra en la hoja de la jefatura (elíjala de nuevo en la lista)"&amp;" · ","")&amp;IF(OR(AND($E190&lt;&gt;"",NOT(ISNUMBER($E190))),AND($F190&lt;&gt;"",NOT(ISNUMBER($F190))),AND($G190&lt;&gt;"",NOT(ISNUMBER($G190)))),"Fecha no válida"&amp;" · ","")&amp;IF(AND(ISNUMBER($AM190),ISNUMBER($AN190),$AM190&gt;$AN190),"Inicio posterior a fecha límite"&amp;" · ","")&amp;IF(AND($V190="Macro",$H190&lt;&gt;"",OR(NOT(ISNUMBER($H190)),$H190&lt;0,$H190&gt;1)),"Peso fuera de rango"&amp;" · ","")&amp;IF(AND($V190="Sub",$H190&lt;&gt;""),"Las subactividades no llevan peso (valen igual dentro de su macroactividad)"&amp;" · ","")&amp;IF(AND(N($W190)&gt;0,COUNT($I190:$L190)&gt;0),"Con subactividades: deje vacías las semanas (se calculan solas)"&amp;" · ","")&amp;IF((COUNTIF($I190:$L190,"&gt;1")+COUNTIF($I190:$L190,"&lt;0")+COUNTA($I190:$L190)-COUNT($I190:$L190))&gt;0,"Avance fuera de rango 0-100%"&amp;" · ","")&amp;IF(OR(AND($J190&lt;&gt;"",$J190&lt;$I190),AND($K190&lt;&gt;"",$K190&lt;MAX($I190:$J190)),AND($L190&lt;&gt;"",$L190&lt;MAX($I190:$K190))),"Avance semanal decreciente"&amp;" · ","")&amp;IF(AND(ISNUMBER($AN190),$AN190&lt;FechaRef,IF($V190="Sub",N($X190),N($M190))&lt;1),"Vencida"&amp;" · ","")&amp;IF(AND(ObsObligatoria="Sí",ISNUMBER($AN190),$AN190&lt;FechaRef,IF($V190="Sub",N($X190),N($M190))&lt;1,$Q190=""),"Vencida sin observación"&amp;" · ",""))-3)))</f>
        <v/>
      </c>
      <c r="S190" s="64">
        <f>IF(NOT((COUNTA($B190:$D190)+COUNTA($G190:$L190)+COUNTA($Q190))&gt;0),"",IF(AND($V190="Sub",N($U190)&gt;0),IF(ISNUMBER(INDEX($AM$5:$AM$1000,$U190-4)),DATE(YEAR(INDEX($AM$5:$AM$1000,$U190-4)),MONTH(INDEX($AM$5:$AM$1000,$U190-4)),1),IF(ISNUMBER(INDEX($AN$5:$AN$1000,$U190-4)),DATE(YEAR(INDEX($AN$5:$AN$1000,$U190-4)),MONTH(INDEX($AN$5:$AN$1000,$U190-4)),1),MesCiclo)),IF(ISNUMBER($AM190),DATE(YEAR($AM190),MONTH($AM190),1),IF(ISNUMBER($AN190),DATE(YEAR($AN190),MONTH($AN190),1),MesCiclo))))</f>
        <v/>
      </c>
      <c r="T190" s="62">
        <f>IF(OR($S190="",$S190&lt;&gt;MesCiclo,$V190&lt;&gt;"Macro"),"",COUNTIFS($S$5:$S190,MesCiclo,$V$5:$V190,"Macro"))</f>
        <v/>
      </c>
      <c r="U190" s="62">
        <f>IF($V190="","",IF($V190="Macro",ROW(),IFERROR(LOOKUP(2,1/($V$5:$V190="Macro"),ROW($V$5:$V190)),0)))</f>
        <v/>
      </c>
      <c r="V190" s="62">
        <f>IF(NOT((COUNTA($B190:$D190)+COUNTA($G190:$L190)+COUNTA($Q190))&gt;0),"",IF($B190="Subactividad","Sub","Macro"))</f>
        <v/>
      </c>
      <c r="W190" s="62">
        <f>IF($V190="Macro",COUNTIFS($U$5:$U$1000,ROW(),$V$5:$V$1000,"Sub"),"")</f>
        <v/>
      </c>
      <c r="X190" s="62">
        <f>IF($V190="","",IF(ISNUMBER($G190),1,IFERROR(LOOKUP(2,1/($I190:$L190&lt;&gt;""),$I190:$L190),0)))</f>
        <v/>
      </c>
      <c r="Y190" s="62">
        <f>IF($V190="","",IF(AND(ISNUMBER($G190),$G190&lt;=IF($S190=MesCiclo,InicioCiclo,$S190+MOD(2-WEEKDAY($S190),7))+6),1,IF(ISNUMBER($I190),$I190,0)))</f>
        <v/>
      </c>
      <c r="Z190" s="62">
        <f>IF($V190="","",IF(AND(ISNUMBER($G190),$G190&lt;=IF($S190=MesCiclo,InicioCiclo,$S190+MOD(2-WEEKDAY($S190),7))+13),1,IF(ISNUMBER($J190),$J190,$Y190)))</f>
        <v/>
      </c>
      <c r="AA190" s="62">
        <f>IF($V190="","",IF(AND(ISNUMBER($G190),$G190&lt;=IF($S190=MesCiclo,InicioCiclo,$S190+MOD(2-WEEKDAY($S190),7))+20),1,IF(ISNUMBER($K190),$K190,$Z190)))</f>
        <v/>
      </c>
      <c r="AB190" s="62">
        <f>IF($V190="","",IF(AND(ISNUMBER($G190),$G190&lt;=IF($S190=MesCiclo,InicioCiclo,$S190+MOD(2-WEEKDAY($S190),7))+27),1,IF(ISNUMBER($L190),$L190,$AA190)))</f>
        <v/>
      </c>
      <c r="AC190" s="62">
        <f>IF($V190="","",IF(AND(ISNUMBER($G190),$G190&lt;=IF($S190=MesCiclo,InicioCiclo,$S190+MOD(2-WEEKDAY($S190),7))+6),1,IF(N($W190)&gt;0,AVERAGEIFS($Y$5:$Y$1000,$U$5:$U$1000,ROW(),$V$5:$V$1000,"Sub"),$Y190)))</f>
        <v/>
      </c>
      <c r="AD190" s="62">
        <f>IF($V190="","",IF(AND(ISNUMBER($G190),$G190&lt;=IF($S190=MesCiclo,InicioCiclo,$S190+MOD(2-WEEKDAY($S190),7))+13),1,IF(N($W190)&gt;0,AVERAGEIFS($Z$5:$Z$1000,$U$5:$U$1000,ROW(),$V$5:$V$1000,"Sub"),$Z190)))</f>
        <v/>
      </c>
      <c r="AE190" s="62">
        <f>IF($V190="","",IF(AND(ISNUMBER($G190),$G190&lt;=IF($S190=MesCiclo,InicioCiclo,$S190+MOD(2-WEEKDAY($S190),7))+20),1,IF(N($W190)&gt;0,AVERAGEIFS($AA$5:$AA$1000,$U$5:$U$1000,ROW(),$V$5:$V$1000,"Sub"),$AA190)))</f>
        <v/>
      </c>
      <c r="AF190" s="62">
        <f>IF($V190="","",IF(AND(ISNUMBER($G190),$G190&lt;=IF($S190=MesCiclo,InicioCiclo,$S190+MOD(2-WEEKDAY($S190),7))+27),1,IF(N($W190)&gt;0,AVERAGEIFS($AB$5:$AB$1000,$U$5:$U$1000,ROW(),$V$5:$V$1000,"Sub"),$AB190)))</f>
        <v/>
      </c>
      <c r="AG190" s="62">
        <f>IF($V190&lt;&gt;"Macro","",IF(COUNTIFS($S$5:$S$1000,$S190,$V$5:$V$1000,"Macro",$H$5:$H$1000,"&gt;0")=0,1/COUNTIFS($S$5:$S$1000,$S190,$V$5:$V$1000,"Macro"),IF(AND(ISNUMBER($H190),N($H190)&gt;0),$H190,SUMIFS($H$5:$H$1000,$S$5:$S$1000,$S190,$V$5:$V$1000,"Macro")/COUNTIFS($S$5:$S$1000,$S190,$V$5:$V$1000,"Macro",$H$5:$H$1000,"&gt;0"))/(COUNTIFS($S$5:$S$1000,$S190,$V$5:$V$1000,"Macro")*SUMIFS($H$5:$H$1000,$S$5:$S$1000,$S190,$V$5:$V$1000,"Macro")/COUNTIFS($S$5:$S$1000,$S190,$V$5:$V$1000,"Macro",$H$5:$H$1000,"&gt;0"))))</f>
        <v/>
      </c>
      <c r="AH190" s="62">
        <f>IF(NOT(AND($D190&lt;&gt;"",$V190="Macro")),"",IFERROR(CHOOSE(MATCH($D190,ListaPuestos,0),MATCH("[Jefatura] "&amp;$C190,'Cronograma R. Operacional'!$C$5:$C$1000,0),MATCH("[Jefatura] "&amp;$C190,'Cronograma R. Normativo'!$C$5:$C$1000,0),MATCH("[Jefatura] "&amp;$C190,'Cronograma R. Financiero'!$C$5:$C$1000,0),MATCH("[Jefatura] "&amp;$C190,'Cronograma Asistente Técnico'!$C$5:$C$1000,0)),0))</f>
        <v/>
      </c>
      <c r="AI190" s="62">
        <f>IF(AND(AND($D190&lt;&gt;"",$V190="Macro"),$S190=MesCiclo),COUNTIFS($D$5:$D190,$D190,$S$5:$S190,MesCiclo,$V$5:$V190,"Macro"),"")</f>
        <v/>
      </c>
      <c r="AJ190" s="62">
        <f>IF($AI190="","",$D190&amp;"|"&amp;$AI190)</f>
        <v/>
      </c>
      <c r="AK190" s="62">
        <f>IF(AND($D190&lt;&gt;"",$V190="Macro"),$D190&amp;"|"&amp;$C190,"")</f>
        <v/>
      </c>
      <c r="AL190" s="62">
        <f>""</f>
        <v/>
      </c>
      <c r="AM190" s="62">
        <f>IF(N($AL190)&gt;0,INDEX(rIni_ADM,$AL190),IF(ISNUMBER($E190),$E190,""))</f>
        <v/>
      </c>
      <c r="AN190" s="62">
        <f>IF(N($AL190)&gt;0,INDEX(rLim_ADM,$AL190),IF(ISNUMBER($F190),$F190,""))</f>
        <v/>
      </c>
    </row>
    <row r="191">
      <c r="A191" s="56">
        <f>IF(NOT((COUNTA($B191:$D191)+COUNTA($G191:$L191)+COUNTA($Q191))&gt;0),"",IF($V191="Macro",COUNTIFS($V$5:$V191,"Macro",$S$5:$S191,$S191),IF(N($U191)=0,"?",COUNTIFS(INDEX($V$5:$V$1000,1):INDEX($V$5:$V$1000,$U191-4),"Macro",INDEX($S$5:$S$1000,1):INDEX($S$5:$S$1000,$U191-4),INDEX($S$5:$S$1000,$U191-4))&amp;"."&amp;COUNTIFS($U$5:$U191,$U191,$V$5:$V191,"Sub"))))</f>
        <v/>
      </c>
      <c r="B191" s="57" t="n"/>
      <c r="C191" s="58" t="n"/>
      <c r="D191" s="58" t="n"/>
      <c r="E191" s="59" t="n"/>
      <c r="F191" s="59" t="n"/>
      <c r="G191" s="59" t="n"/>
      <c r="H191" s="60" t="n"/>
      <c r="I191" s="60" t="n"/>
      <c r="J191" s="60" t="n"/>
      <c r="K191" s="60" t="n"/>
      <c r="L191" s="60" t="n"/>
      <c r="M191" s="61">
        <f>IF(NOT((COUNTA($B191:$D191)+COUNTA($G191:$L191)+COUNTA($Q191))&gt;0),"",IF(AND($D191&lt;&gt;"",$V191="Macro"),IF(N($AH191)&gt;0,N(CHOOSE(MATCH($D191,ListaPuestos,0),INDEX('Cronograma R. Operacional'!$M$5:$M$1000,$AH191),INDEX('Cronograma R. Normativo'!$M$5:$M$1000,$AH191),INDEX('Cronograma R. Financiero'!$M$5:$M$1000,$AH191),INDEX('Cronograma Asistente Técnico'!$M$5:$M$1000,$AH191))),0),IF(ISNUMBER($G191),1,IF(N($W191)&gt;0,AVERAGEIFS($X$5:$X$1000,$U$5:$U$1000,ROW(),$V$5:$V$1000,"Sub"),$X191))))</f>
        <v/>
      </c>
      <c r="N191" s="56">
        <f>IF(OR($M191="",$V191="Sub"),"",IF($M191&gt;=1,"Completado",IF($M191&gt;0,"En curso","Pendiente")))</f>
        <v/>
      </c>
      <c r="O191" s="56">
        <f>IF(NOT((COUNTA($B191:$D191)+COUNTA($G191:$L191)+COUNTA($Q191))&gt;0),"",IF(AND(AND($D191&lt;&gt;"",$V191="Macro"),N($AH191)&gt;0),CHOOSE(MATCH($D191,ListaPuestos,0),INDEX('Cronograma R. Operacional'!$O$5:$O$1000,$AH191),INDEX('Cronograma R. Normativo'!$O$5:$O$1000,$AH191),INDEX('Cronograma R. Financiero'!$O$5:$O$1000,$AH191),INDEX('Cronograma Asistente Técnico'!$O$5:$O$1000,$AH191))&amp;"",IF(ISNUMBER($G191),IF(AND(ISNUMBER($AN191),$G191&gt;$AN191),"Cumplida con "&amp;($G191-$AN191)&amp;IF($G191-$AN191=1," día"," días")&amp;" de retraso","Cumplida"),IF(N($M191)&gt;=1,"Cumplida",IF(NOT(ISNUMBER($AN191)),"Sin fecha límite",IF($AN191&lt;FechaRef,"Vencida hace "&amp;(FechaRef-$AN191)&amp;IF(FechaRef-$AN191=1," día"," días"),IF($AN191=FechaRef,"Vence hoy",IF($AN191-FechaRef&lt;=DiasAlerta,"Vence en "&amp;($AN191-FechaRef)&amp;IF($AN191-FechaRef=1," día"," días"),"En plazo"))))))))</f>
        <v/>
      </c>
      <c r="P191" s="62">
        <f>IF(NOT((COUNTA($B191:$D191)+COUNTA($G191:$L191)+COUNTA($Q191))&gt;0),"",IF($D191="","Propia",IF($V191&lt;&gt;"Macro","Solo se delegan macroactividades",IF(N($AH191)&gt;0,"✔ Recibida por "&amp;$D191,"⚠ "&amp;$D191&amp;" aún no la agrega"))))</f>
        <v/>
      </c>
      <c r="Q191" s="58" t="n"/>
      <c r="R191" s="63">
        <f>IF(NOT((COUNTA($B191:$D191)+COUNTA($G191:$L191)+COUNTA($Q191))&gt;0),"",IF((IF($C191="","Falta el nombre de la actividad"&amp;" · ","")&amp;IF(AND($V191="Sub",N($U191)=0),"Subactividad sin macroactividad arriba"&amp;" · ","")&amp;IF($AM191="","Sin fecha de inicio"&amp;" · ","")&amp;IF($AN191="","Sin fecha límite"&amp;" · ","")&amp;IF(AND(LEFT($C191,11)="[Jefatura] ",N($AL191)=0),"No se encuentra en la hoja de la jefatura (elíjala de nuevo en la lista)"&amp;" · ","")&amp;IF(OR(AND($E191&lt;&gt;"",NOT(ISNUMBER($E191))),AND($F191&lt;&gt;"",NOT(ISNUMBER($F191))),AND($G191&lt;&gt;"",NOT(ISNUMBER($G191)))),"Fecha no válida"&amp;" · ","")&amp;IF(AND(ISNUMBER($AM191),ISNUMBER($AN191),$AM191&gt;$AN191),"Inicio posterior a fecha límite"&amp;" · ","")&amp;IF(AND($V191="Macro",$H191&lt;&gt;"",OR(NOT(ISNUMBER($H191)),$H191&lt;0,$H191&gt;1)),"Peso fuera de rango"&amp;" · ","")&amp;IF(AND($V191="Sub",$H191&lt;&gt;""),"Las subactividades no llevan peso (valen igual dentro de su macroactividad)"&amp;" · ","")&amp;IF(AND(N($W191)&gt;0,COUNT($I191:$L191)&gt;0),"Con subactividades: deje vacías las semanas (se calculan solas)"&amp;" · ","")&amp;IF((COUNTIF($I191:$L191,"&gt;1")+COUNTIF($I191:$L191,"&lt;0")+COUNTA($I191:$L191)-COUNT($I191:$L191))&gt;0,"Avance fuera de rango 0-100%"&amp;" · ","")&amp;IF(OR(AND($J191&lt;&gt;"",$J191&lt;$I191),AND($K191&lt;&gt;"",$K191&lt;MAX($I191:$J191)),AND($L191&lt;&gt;"",$L191&lt;MAX($I191:$K191))),"Avance semanal decreciente"&amp;" · ","")&amp;IF(AND(ISNUMBER($AN191),$AN191&lt;FechaRef,IF($V191="Sub",N($X191),N($M191))&lt;1),"Vencida"&amp;" · ","")&amp;IF(AND(ObsObligatoria="Sí",ISNUMBER($AN191),$AN191&lt;FechaRef,IF($V191="Sub",N($X191),N($M191))&lt;1,$Q191=""),"Vencida sin observación"&amp;" · ",""))="","✔ OK","⚠ "&amp;LEFT(IF($C191="","Falta el nombre de la actividad"&amp;" · ","")&amp;IF(AND($V191="Sub",N($U191)=0),"Subactividad sin macroactividad arriba"&amp;" · ","")&amp;IF($AM191="","Sin fecha de inicio"&amp;" · ","")&amp;IF($AN191="","Sin fecha límite"&amp;" · ","")&amp;IF(AND(LEFT($C191,11)="[Jefatura] ",N($AL191)=0),"No se encuentra en la hoja de la jefatura (elíjala de nuevo en la lista)"&amp;" · ","")&amp;IF(OR(AND($E191&lt;&gt;"",NOT(ISNUMBER($E191))),AND($F191&lt;&gt;"",NOT(ISNUMBER($F191))),AND($G191&lt;&gt;"",NOT(ISNUMBER($G191)))),"Fecha no válida"&amp;" · ","")&amp;IF(AND(ISNUMBER($AM191),ISNUMBER($AN191),$AM191&gt;$AN191),"Inicio posterior a fecha límite"&amp;" · ","")&amp;IF(AND($V191="Macro",$H191&lt;&gt;"",OR(NOT(ISNUMBER($H191)),$H191&lt;0,$H191&gt;1)),"Peso fuera de rango"&amp;" · ","")&amp;IF(AND($V191="Sub",$H191&lt;&gt;""),"Las subactividades no llevan peso (valen igual dentro de su macroactividad)"&amp;" · ","")&amp;IF(AND(N($W191)&gt;0,COUNT($I191:$L191)&gt;0),"Con subactividades: deje vacías las semanas (se calculan solas)"&amp;" · ","")&amp;IF((COUNTIF($I191:$L191,"&gt;1")+COUNTIF($I191:$L191,"&lt;0")+COUNTA($I191:$L191)-COUNT($I191:$L191))&gt;0,"Avance fuera de rango 0-100%"&amp;" · ","")&amp;IF(OR(AND($J191&lt;&gt;"",$J191&lt;$I191),AND($K191&lt;&gt;"",$K191&lt;MAX($I191:$J191)),AND($L191&lt;&gt;"",$L191&lt;MAX($I191:$K191))),"Avance semanal decreciente"&amp;" · ","")&amp;IF(AND(ISNUMBER($AN191),$AN191&lt;FechaRef,IF($V191="Sub",N($X191),N($M191))&lt;1),"Vencida"&amp;" · ","")&amp;IF(AND(ObsObligatoria="Sí",ISNUMBER($AN191),$AN191&lt;FechaRef,IF($V191="Sub",N($X191),N($M191))&lt;1,$Q191=""),"Vencida sin observación"&amp;" · ",""),LEN(IF($C191="","Falta el nombre de la actividad"&amp;" · ","")&amp;IF(AND($V191="Sub",N($U191)=0),"Subactividad sin macroactividad arriba"&amp;" · ","")&amp;IF($AM191="","Sin fecha de inicio"&amp;" · ","")&amp;IF($AN191="","Sin fecha límite"&amp;" · ","")&amp;IF(AND(LEFT($C191,11)="[Jefatura] ",N($AL191)=0),"No se encuentra en la hoja de la jefatura (elíjala de nuevo en la lista)"&amp;" · ","")&amp;IF(OR(AND($E191&lt;&gt;"",NOT(ISNUMBER($E191))),AND($F191&lt;&gt;"",NOT(ISNUMBER($F191))),AND($G191&lt;&gt;"",NOT(ISNUMBER($G191)))),"Fecha no válida"&amp;" · ","")&amp;IF(AND(ISNUMBER($AM191),ISNUMBER($AN191),$AM191&gt;$AN191),"Inicio posterior a fecha límite"&amp;" · ","")&amp;IF(AND($V191="Macro",$H191&lt;&gt;"",OR(NOT(ISNUMBER($H191)),$H191&lt;0,$H191&gt;1)),"Peso fuera de rango"&amp;" · ","")&amp;IF(AND($V191="Sub",$H191&lt;&gt;""),"Las subactividades no llevan peso (valen igual dentro de su macroactividad)"&amp;" · ","")&amp;IF(AND(N($W191)&gt;0,COUNT($I191:$L191)&gt;0),"Con subactividades: deje vacías las semanas (se calculan solas)"&amp;" · ","")&amp;IF((COUNTIF($I191:$L191,"&gt;1")+COUNTIF($I191:$L191,"&lt;0")+COUNTA($I191:$L191)-COUNT($I191:$L191))&gt;0,"Avance fuera de rango 0-100%"&amp;" · ","")&amp;IF(OR(AND($J191&lt;&gt;"",$J191&lt;$I191),AND($K191&lt;&gt;"",$K191&lt;MAX($I191:$J191)),AND($L191&lt;&gt;"",$L191&lt;MAX($I191:$K191))),"Avance semanal decreciente"&amp;" · ","")&amp;IF(AND(ISNUMBER($AN191),$AN191&lt;FechaRef,IF($V191="Sub",N($X191),N($M191))&lt;1),"Vencida"&amp;" · ","")&amp;IF(AND(ObsObligatoria="Sí",ISNUMBER($AN191),$AN191&lt;FechaRef,IF($V191="Sub",N($X191),N($M191))&lt;1,$Q191=""),"Vencida sin observación"&amp;" · ",""))-3)))</f>
        <v/>
      </c>
      <c r="S191" s="64">
        <f>IF(NOT((COUNTA($B191:$D191)+COUNTA($G191:$L191)+COUNTA($Q191))&gt;0),"",IF(AND($V191="Sub",N($U191)&gt;0),IF(ISNUMBER(INDEX($AM$5:$AM$1000,$U191-4)),DATE(YEAR(INDEX($AM$5:$AM$1000,$U191-4)),MONTH(INDEX($AM$5:$AM$1000,$U191-4)),1),IF(ISNUMBER(INDEX($AN$5:$AN$1000,$U191-4)),DATE(YEAR(INDEX($AN$5:$AN$1000,$U191-4)),MONTH(INDEX($AN$5:$AN$1000,$U191-4)),1),MesCiclo)),IF(ISNUMBER($AM191),DATE(YEAR($AM191),MONTH($AM191),1),IF(ISNUMBER($AN191),DATE(YEAR($AN191),MONTH($AN191),1),MesCiclo))))</f>
        <v/>
      </c>
      <c r="T191" s="62">
        <f>IF(OR($S191="",$S191&lt;&gt;MesCiclo,$V191&lt;&gt;"Macro"),"",COUNTIFS($S$5:$S191,MesCiclo,$V$5:$V191,"Macro"))</f>
        <v/>
      </c>
      <c r="U191" s="62">
        <f>IF($V191="","",IF($V191="Macro",ROW(),IFERROR(LOOKUP(2,1/($V$5:$V191="Macro"),ROW($V$5:$V191)),0)))</f>
        <v/>
      </c>
      <c r="V191" s="62">
        <f>IF(NOT((COUNTA($B191:$D191)+COUNTA($G191:$L191)+COUNTA($Q191))&gt;0),"",IF($B191="Subactividad","Sub","Macro"))</f>
        <v/>
      </c>
      <c r="W191" s="62">
        <f>IF($V191="Macro",COUNTIFS($U$5:$U$1000,ROW(),$V$5:$V$1000,"Sub"),"")</f>
        <v/>
      </c>
      <c r="X191" s="62">
        <f>IF($V191="","",IF(ISNUMBER($G191),1,IFERROR(LOOKUP(2,1/($I191:$L191&lt;&gt;""),$I191:$L191),0)))</f>
        <v/>
      </c>
      <c r="Y191" s="62">
        <f>IF($V191="","",IF(AND(ISNUMBER($G191),$G191&lt;=IF($S191=MesCiclo,InicioCiclo,$S191+MOD(2-WEEKDAY($S191),7))+6),1,IF(ISNUMBER($I191),$I191,0)))</f>
        <v/>
      </c>
      <c r="Z191" s="62">
        <f>IF($V191="","",IF(AND(ISNUMBER($G191),$G191&lt;=IF($S191=MesCiclo,InicioCiclo,$S191+MOD(2-WEEKDAY($S191),7))+13),1,IF(ISNUMBER($J191),$J191,$Y191)))</f>
        <v/>
      </c>
      <c r="AA191" s="62">
        <f>IF($V191="","",IF(AND(ISNUMBER($G191),$G191&lt;=IF($S191=MesCiclo,InicioCiclo,$S191+MOD(2-WEEKDAY($S191),7))+20),1,IF(ISNUMBER($K191),$K191,$Z191)))</f>
        <v/>
      </c>
      <c r="AB191" s="62">
        <f>IF($V191="","",IF(AND(ISNUMBER($G191),$G191&lt;=IF($S191=MesCiclo,InicioCiclo,$S191+MOD(2-WEEKDAY($S191),7))+27),1,IF(ISNUMBER($L191),$L191,$AA191)))</f>
        <v/>
      </c>
      <c r="AC191" s="62">
        <f>IF($V191="","",IF(AND(ISNUMBER($G191),$G191&lt;=IF($S191=MesCiclo,InicioCiclo,$S191+MOD(2-WEEKDAY($S191),7))+6),1,IF(N($W191)&gt;0,AVERAGEIFS($Y$5:$Y$1000,$U$5:$U$1000,ROW(),$V$5:$V$1000,"Sub"),$Y191)))</f>
        <v/>
      </c>
      <c r="AD191" s="62">
        <f>IF($V191="","",IF(AND(ISNUMBER($G191),$G191&lt;=IF($S191=MesCiclo,InicioCiclo,$S191+MOD(2-WEEKDAY($S191),7))+13),1,IF(N($W191)&gt;0,AVERAGEIFS($Z$5:$Z$1000,$U$5:$U$1000,ROW(),$V$5:$V$1000,"Sub"),$Z191)))</f>
        <v/>
      </c>
      <c r="AE191" s="62">
        <f>IF($V191="","",IF(AND(ISNUMBER($G191),$G191&lt;=IF($S191=MesCiclo,InicioCiclo,$S191+MOD(2-WEEKDAY($S191),7))+20),1,IF(N($W191)&gt;0,AVERAGEIFS($AA$5:$AA$1000,$U$5:$U$1000,ROW(),$V$5:$V$1000,"Sub"),$AA191)))</f>
        <v/>
      </c>
      <c r="AF191" s="62">
        <f>IF($V191="","",IF(AND(ISNUMBER($G191),$G191&lt;=IF($S191=MesCiclo,InicioCiclo,$S191+MOD(2-WEEKDAY($S191),7))+27),1,IF(N($W191)&gt;0,AVERAGEIFS($AB$5:$AB$1000,$U$5:$U$1000,ROW(),$V$5:$V$1000,"Sub"),$AB191)))</f>
        <v/>
      </c>
      <c r="AG191" s="62">
        <f>IF($V191&lt;&gt;"Macro","",IF(COUNTIFS($S$5:$S$1000,$S191,$V$5:$V$1000,"Macro",$H$5:$H$1000,"&gt;0")=0,1/COUNTIFS($S$5:$S$1000,$S191,$V$5:$V$1000,"Macro"),IF(AND(ISNUMBER($H191),N($H191)&gt;0),$H191,SUMIFS($H$5:$H$1000,$S$5:$S$1000,$S191,$V$5:$V$1000,"Macro")/COUNTIFS($S$5:$S$1000,$S191,$V$5:$V$1000,"Macro",$H$5:$H$1000,"&gt;0"))/(COUNTIFS($S$5:$S$1000,$S191,$V$5:$V$1000,"Macro")*SUMIFS($H$5:$H$1000,$S$5:$S$1000,$S191,$V$5:$V$1000,"Macro")/COUNTIFS($S$5:$S$1000,$S191,$V$5:$V$1000,"Macro",$H$5:$H$1000,"&gt;0"))))</f>
        <v/>
      </c>
      <c r="AH191" s="62">
        <f>IF(NOT(AND($D191&lt;&gt;"",$V191="Macro")),"",IFERROR(CHOOSE(MATCH($D191,ListaPuestos,0),MATCH("[Jefatura] "&amp;$C191,'Cronograma R. Operacional'!$C$5:$C$1000,0),MATCH("[Jefatura] "&amp;$C191,'Cronograma R. Normativo'!$C$5:$C$1000,0),MATCH("[Jefatura] "&amp;$C191,'Cronograma R. Financiero'!$C$5:$C$1000,0),MATCH("[Jefatura] "&amp;$C191,'Cronograma Asistente Técnico'!$C$5:$C$1000,0)),0))</f>
        <v/>
      </c>
      <c r="AI191" s="62">
        <f>IF(AND(AND($D191&lt;&gt;"",$V191="Macro"),$S191=MesCiclo),COUNTIFS($D$5:$D191,$D191,$S$5:$S191,MesCiclo,$V$5:$V191,"Macro"),"")</f>
        <v/>
      </c>
      <c r="AJ191" s="62">
        <f>IF($AI191="","",$D191&amp;"|"&amp;$AI191)</f>
        <v/>
      </c>
      <c r="AK191" s="62">
        <f>IF(AND($D191&lt;&gt;"",$V191="Macro"),$D191&amp;"|"&amp;$C191,"")</f>
        <v/>
      </c>
      <c r="AL191" s="62">
        <f>""</f>
        <v/>
      </c>
      <c r="AM191" s="62">
        <f>IF(N($AL191)&gt;0,INDEX(rIni_ADM,$AL191),IF(ISNUMBER($E191),$E191,""))</f>
        <v/>
      </c>
      <c r="AN191" s="62">
        <f>IF(N($AL191)&gt;0,INDEX(rLim_ADM,$AL191),IF(ISNUMBER($F191),$F191,""))</f>
        <v/>
      </c>
    </row>
    <row r="192">
      <c r="A192" s="56">
        <f>IF(NOT((COUNTA($B192:$D192)+COUNTA($G192:$L192)+COUNTA($Q192))&gt;0),"",IF($V192="Macro",COUNTIFS($V$5:$V192,"Macro",$S$5:$S192,$S192),IF(N($U192)=0,"?",COUNTIFS(INDEX($V$5:$V$1000,1):INDEX($V$5:$V$1000,$U192-4),"Macro",INDEX($S$5:$S$1000,1):INDEX($S$5:$S$1000,$U192-4),INDEX($S$5:$S$1000,$U192-4))&amp;"."&amp;COUNTIFS($U$5:$U192,$U192,$V$5:$V192,"Sub"))))</f>
        <v/>
      </c>
      <c r="B192" s="57" t="n"/>
      <c r="C192" s="58" t="n"/>
      <c r="D192" s="58" t="n"/>
      <c r="E192" s="59" t="n"/>
      <c r="F192" s="59" t="n"/>
      <c r="G192" s="59" t="n"/>
      <c r="H192" s="60" t="n"/>
      <c r="I192" s="60" t="n"/>
      <c r="J192" s="60" t="n"/>
      <c r="K192" s="60" t="n"/>
      <c r="L192" s="60" t="n"/>
      <c r="M192" s="61">
        <f>IF(NOT((COUNTA($B192:$D192)+COUNTA($G192:$L192)+COUNTA($Q192))&gt;0),"",IF(AND($D192&lt;&gt;"",$V192="Macro"),IF(N($AH192)&gt;0,N(CHOOSE(MATCH($D192,ListaPuestos,0),INDEX('Cronograma R. Operacional'!$M$5:$M$1000,$AH192),INDEX('Cronograma R. Normativo'!$M$5:$M$1000,$AH192),INDEX('Cronograma R. Financiero'!$M$5:$M$1000,$AH192),INDEX('Cronograma Asistente Técnico'!$M$5:$M$1000,$AH192))),0),IF(ISNUMBER($G192),1,IF(N($W192)&gt;0,AVERAGEIFS($X$5:$X$1000,$U$5:$U$1000,ROW(),$V$5:$V$1000,"Sub"),$X192))))</f>
        <v/>
      </c>
      <c r="N192" s="56">
        <f>IF(OR($M192="",$V192="Sub"),"",IF($M192&gt;=1,"Completado",IF($M192&gt;0,"En curso","Pendiente")))</f>
        <v/>
      </c>
      <c r="O192" s="56">
        <f>IF(NOT((COUNTA($B192:$D192)+COUNTA($G192:$L192)+COUNTA($Q192))&gt;0),"",IF(AND(AND($D192&lt;&gt;"",$V192="Macro"),N($AH192)&gt;0),CHOOSE(MATCH($D192,ListaPuestos,0),INDEX('Cronograma R. Operacional'!$O$5:$O$1000,$AH192),INDEX('Cronograma R. Normativo'!$O$5:$O$1000,$AH192),INDEX('Cronograma R. Financiero'!$O$5:$O$1000,$AH192),INDEX('Cronograma Asistente Técnico'!$O$5:$O$1000,$AH192))&amp;"",IF(ISNUMBER($G192),IF(AND(ISNUMBER($AN192),$G192&gt;$AN192),"Cumplida con "&amp;($G192-$AN192)&amp;IF($G192-$AN192=1," día"," días")&amp;" de retraso","Cumplida"),IF(N($M192)&gt;=1,"Cumplida",IF(NOT(ISNUMBER($AN192)),"Sin fecha límite",IF($AN192&lt;FechaRef,"Vencida hace "&amp;(FechaRef-$AN192)&amp;IF(FechaRef-$AN192=1," día"," días"),IF($AN192=FechaRef,"Vence hoy",IF($AN192-FechaRef&lt;=DiasAlerta,"Vence en "&amp;($AN192-FechaRef)&amp;IF($AN192-FechaRef=1," día"," días"),"En plazo"))))))))</f>
        <v/>
      </c>
      <c r="P192" s="62">
        <f>IF(NOT((COUNTA($B192:$D192)+COUNTA($G192:$L192)+COUNTA($Q192))&gt;0),"",IF($D192="","Propia",IF($V192&lt;&gt;"Macro","Solo se delegan macroactividades",IF(N($AH192)&gt;0,"✔ Recibida por "&amp;$D192,"⚠ "&amp;$D192&amp;" aún no la agrega"))))</f>
        <v/>
      </c>
      <c r="Q192" s="58" t="n"/>
      <c r="R192" s="63">
        <f>IF(NOT((COUNTA($B192:$D192)+COUNTA($G192:$L192)+COUNTA($Q192))&gt;0),"",IF((IF($C192="","Falta el nombre de la actividad"&amp;" · ","")&amp;IF(AND($V192="Sub",N($U192)=0),"Subactividad sin macroactividad arriba"&amp;" · ","")&amp;IF($AM192="","Sin fecha de inicio"&amp;" · ","")&amp;IF($AN192="","Sin fecha límite"&amp;" · ","")&amp;IF(AND(LEFT($C192,11)="[Jefatura] ",N($AL192)=0),"No se encuentra en la hoja de la jefatura (elíjala de nuevo en la lista)"&amp;" · ","")&amp;IF(OR(AND($E192&lt;&gt;"",NOT(ISNUMBER($E192))),AND($F192&lt;&gt;"",NOT(ISNUMBER($F192))),AND($G192&lt;&gt;"",NOT(ISNUMBER($G192)))),"Fecha no válida"&amp;" · ","")&amp;IF(AND(ISNUMBER($AM192),ISNUMBER($AN192),$AM192&gt;$AN192),"Inicio posterior a fecha límite"&amp;" · ","")&amp;IF(AND($V192="Macro",$H192&lt;&gt;"",OR(NOT(ISNUMBER($H192)),$H192&lt;0,$H192&gt;1)),"Peso fuera de rango"&amp;" · ","")&amp;IF(AND($V192="Sub",$H192&lt;&gt;""),"Las subactividades no llevan peso (valen igual dentro de su macroactividad)"&amp;" · ","")&amp;IF(AND(N($W192)&gt;0,COUNT($I192:$L192)&gt;0),"Con subactividades: deje vacías las semanas (se calculan solas)"&amp;" · ","")&amp;IF((COUNTIF($I192:$L192,"&gt;1")+COUNTIF($I192:$L192,"&lt;0")+COUNTA($I192:$L192)-COUNT($I192:$L192))&gt;0,"Avance fuera de rango 0-100%"&amp;" · ","")&amp;IF(OR(AND($J192&lt;&gt;"",$J192&lt;$I192),AND($K192&lt;&gt;"",$K192&lt;MAX($I192:$J192)),AND($L192&lt;&gt;"",$L192&lt;MAX($I192:$K192))),"Avance semanal decreciente"&amp;" · ","")&amp;IF(AND(ISNUMBER($AN192),$AN192&lt;FechaRef,IF($V192="Sub",N($X192),N($M192))&lt;1),"Vencida"&amp;" · ","")&amp;IF(AND(ObsObligatoria="Sí",ISNUMBER($AN192),$AN192&lt;FechaRef,IF($V192="Sub",N($X192),N($M192))&lt;1,$Q192=""),"Vencida sin observación"&amp;" · ",""))="","✔ OK","⚠ "&amp;LEFT(IF($C192="","Falta el nombre de la actividad"&amp;" · ","")&amp;IF(AND($V192="Sub",N($U192)=0),"Subactividad sin macroactividad arriba"&amp;" · ","")&amp;IF($AM192="","Sin fecha de inicio"&amp;" · ","")&amp;IF($AN192="","Sin fecha límite"&amp;" · ","")&amp;IF(AND(LEFT($C192,11)="[Jefatura] ",N($AL192)=0),"No se encuentra en la hoja de la jefatura (elíjala de nuevo en la lista)"&amp;" · ","")&amp;IF(OR(AND($E192&lt;&gt;"",NOT(ISNUMBER($E192))),AND($F192&lt;&gt;"",NOT(ISNUMBER($F192))),AND($G192&lt;&gt;"",NOT(ISNUMBER($G192)))),"Fecha no válida"&amp;" · ","")&amp;IF(AND(ISNUMBER($AM192),ISNUMBER($AN192),$AM192&gt;$AN192),"Inicio posterior a fecha límite"&amp;" · ","")&amp;IF(AND($V192="Macro",$H192&lt;&gt;"",OR(NOT(ISNUMBER($H192)),$H192&lt;0,$H192&gt;1)),"Peso fuera de rango"&amp;" · ","")&amp;IF(AND($V192="Sub",$H192&lt;&gt;""),"Las subactividades no llevan peso (valen igual dentro de su macroactividad)"&amp;" · ","")&amp;IF(AND(N($W192)&gt;0,COUNT($I192:$L192)&gt;0),"Con subactividades: deje vacías las semanas (se calculan solas)"&amp;" · ","")&amp;IF((COUNTIF($I192:$L192,"&gt;1")+COUNTIF($I192:$L192,"&lt;0")+COUNTA($I192:$L192)-COUNT($I192:$L192))&gt;0,"Avance fuera de rango 0-100%"&amp;" · ","")&amp;IF(OR(AND($J192&lt;&gt;"",$J192&lt;$I192),AND($K192&lt;&gt;"",$K192&lt;MAX($I192:$J192)),AND($L192&lt;&gt;"",$L192&lt;MAX($I192:$K192))),"Avance semanal decreciente"&amp;" · ","")&amp;IF(AND(ISNUMBER($AN192),$AN192&lt;FechaRef,IF($V192="Sub",N($X192),N($M192))&lt;1),"Vencida"&amp;" · ","")&amp;IF(AND(ObsObligatoria="Sí",ISNUMBER($AN192),$AN192&lt;FechaRef,IF($V192="Sub",N($X192),N($M192))&lt;1,$Q192=""),"Vencida sin observación"&amp;" · ",""),LEN(IF($C192="","Falta el nombre de la actividad"&amp;" · ","")&amp;IF(AND($V192="Sub",N($U192)=0),"Subactividad sin macroactividad arriba"&amp;" · ","")&amp;IF($AM192="","Sin fecha de inicio"&amp;" · ","")&amp;IF($AN192="","Sin fecha límite"&amp;" · ","")&amp;IF(AND(LEFT($C192,11)="[Jefatura] ",N($AL192)=0),"No se encuentra en la hoja de la jefatura (elíjala de nuevo en la lista)"&amp;" · ","")&amp;IF(OR(AND($E192&lt;&gt;"",NOT(ISNUMBER($E192))),AND($F192&lt;&gt;"",NOT(ISNUMBER($F192))),AND($G192&lt;&gt;"",NOT(ISNUMBER($G192)))),"Fecha no válida"&amp;" · ","")&amp;IF(AND(ISNUMBER($AM192),ISNUMBER($AN192),$AM192&gt;$AN192),"Inicio posterior a fecha límite"&amp;" · ","")&amp;IF(AND($V192="Macro",$H192&lt;&gt;"",OR(NOT(ISNUMBER($H192)),$H192&lt;0,$H192&gt;1)),"Peso fuera de rango"&amp;" · ","")&amp;IF(AND($V192="Sub",$H192&lt;&gt;""),"Las subactividades no llevan peso (valen igual dentro de su macroactividad)"&amp;" · ","")&amp;IF(AND(N($W192)&gt;0,COUNT($I192:$L192)&gt;0),"Con subactividades: deje vacías las semanas (se calculan solas)"&amp;" · ","")&amp;IF((COUNTIF($I192:$L192,"&gt;1")+COUNTIF($I192:$L192,"&lt;0")+COUNTA($I192:$L192)-COUNT($I192:$L192))&gt;0,"Avance fuera de rango 0-100%"&amp;" · ","")&amp;IF(OR(AND($J192&lt;&gt;"",$J192&lt;$I192),AND($K192&lt;&gt;"",$K192&lt;MAX($I192:$J192)),AND($L192&lt;&gt;"",$L192&lt;MAX($I192:$K192))),"Avance semanal decreciente"&amp;" · ","")&amp;IF(AND(ISNUMBER($AN192),$AN192&lt;FechaRef,IF($V192="Sub",N($X192),N($M192))&lt;1),"Vencida"&amp;" · ","")&amp;IF(AND(ObsObligatoria="Sí",ISNUMBER($AN192),$AN192&lt;FechaRef,IF($V192="Sub",N($X192),N($M192))&lt;1,$Q192=""),"Vencida sin observación"&amp;" · ",""))-3)))</f>
        <v/>
      </c>
      <c r="S192" s="64">
        <f>IF(NOT((COUNTA($B192:$D192)+COUNTA($G192:$L192)+COUNTA($Q192))&gt;0),"",IF(AND($V192="Sub",N($U192)&gt;0),IF(ISNUMBER(INDEX($AM$5:$AM$1000,$U192-4)),DATE(YEAR(INDEX($AM$5:$AM$1000,$U192-4)),MONTH(INDEX($AM$5:$AM$1000,$U192-4)),1),IF(ISNUMBER(INDEX($AN$5:$AN$1000,$U192-4)),DATE(YEAR(INDEX($AN$5:$AN$1000,$U192-4)),MONTH(INDEX($AN$5:$AN$1000,$U192-4)),1),MesCiclo)),IF(ISNUMBER($AM192),DATE(YEAR($AM192),MONTH($AM192),1),IF(ISNUMBER($AN192),DATE(YEAR($AN192),MONTH($AN192),1),MesCiclo))))</f>
        <v/>
      </c>
      <c r="T192" s="62">
        <f>IF(OR($S192="",$S192&lt;&gt;MesCiclo,$V192&lt;&gt;"Macro"),"",COUNTIFS($S$5:$S192,MesCiclo,$V$5:$V192,"Macro"))</f>
        <v/>
      </c>
      <c r="U192" s="62">
        <f>IF($V192="","",IF($V192="Macro",ROW(),IFERROR(LOOKUP(2,1/($V$5:$V192="Macro"),ROW($V$5:$V192)),0)))</f>
        <v/>
      </c>
      <c r="V192" s="62">
        <f>IF(NOT((COUNTA($B192:$D192)+COUNTA($G192:$L192)+COUNTA($Q192))&gt;0),"",IF($B192="Subactividad","Sub","Macro"))</f>
        <v/>
      </c>
      <c r="W192" s="62">
        <f>IF($V192="Macro",COUNTIFS($U$5:$U$1000,ROW(),$V$5:$V$1000,"Sub"),"")</f>
        <v/>
      </c>
      <c r="X192" s="62">
        <f>IF($V192="","",IF(ISNUMBER($G192),1,IFERROR(LOOKUP(2,1/($I192:$L192&lt;&gt;""),$I192:$L192),0)))</f>
        <v/>
      </c>
      <c r="Y192" s="62">
        <f>IF($V192="","",IF(AND(ISNUMBER($G192),$G192&lt;=IF($S192=MesCiclo,InicioCiclo,$S192+MOD(2-WEEKDAY($S192),7))+6),1,IF(ISNUMBER($I192),$I192,0)))</f>
        <v/>
      </c>
      <c r="Z192" s="62">
        <f>IF($V192="","",IF(AND(ISNUMBER($G192),$G192&lt;=IF($S192=MesCiclo,InicioCiclo,$S192+MOD(2-WEEKDAY($S192),7))+13),1,IF(ISNUMBER($J192),$J192,$Y192)))</f>
        <v/>
      </c>
      <c r="AA192" s="62">
        <f>IF($V192="","",IF(AND(ISNUMBER($G192),$G192&lt;=IF($S192=MesCiclo,InicioCiclo,$S192+MOD(2-WEEKDAY($S192),7))+20),1,IF(ISNUMBER($K192),$K192,$Z192)))</f>
        <v/>
      </c>
      <c r="AB192" s="62">
        <f>IF($V192="","",IF(AND(ISNUMBER($G192),$G192&lt;=IF($S192=MesCiclo,InicioCiclo,$S192+MOD(2-WEEKDAY($S192),7))+27),1,IF(ISNUMBER($L192),$L192,$AA192)))</f>
        <v/>
      </c>
      <c r="AC192" s="62">
        <f>IF($V192="","",IF(AND(ISNUMBER($G192),$G192&lt;=IF($S192=MesCiclo,InicioCiclo,$S192+MOD(2-WEEKDAY($S192),7))+6),1,IF(N($W192)&gt;0,AVERAGEIFS($Y$5:$Y$1000,$U$5:$U$1000,ROW(),$V$5:$V$1000,"Sub"),$Y192)))</f>
        <v/>
      </c>
      <c r="AD192" s="62">
        <f>IF($V192="","",IF(AND(ISNUMBER($G192),$G192&lt;=IF($S192=MesCiclo,InicioCiclo,$S192+MOD(2-WEEKDAY($S192),7))+13),1,IF(N($W192)&gt;0,AVERAGEIFS($Z$5:$Z$1000,$U$5:$U$1000,ROW(),$V$5:$V$1000,"Sub"),$Z192)))</f>
        <v/>
      </c>
      <c r="AE192" s="62">
        <f>IF($V192="","",IF(AND(ISNUMBER($G192),$G192&lt;=IF($S192=MesCiclo,InicioCiclo,$S192+MOD(2-WEEKDAY($S192),7))+20),1,IF(N($W192)&gt;0,AVERAGEIFS($AA$5:$AA$1000,$U$5:$U$1000,ROW(),$V$5:$V$1000,"Sub"),$AA192)))</f>
        <v/>
      </c>
      <c r="AF192" s="62">
        <f>IF($V192="","",IF(AND(ISNUMBER($G192),$G192&lt;=IF($S192=MesCiclo,InicioCiclo,$S192+MOD(2-WEEKDAY($S192),7))+27),1,IF(N($W192)&gt;0,AVERAGEIFS($AB$5:$AB$1000,$U$5:$U$1000,ROW(),$V$5:$V$1000,"Sub"),$AB192)))</f>
        <v/>
      </c>
      <c r="AG192" s="62">
        <f>IF($V192&lt;&gt;"Macro","",IF(COUNTIFS($S$5:$S$1000,$S192,$V$5:$V$1000,"Macro",$H$5:$H$1000,"&gt;0")=0,1/COUNTIFS($S$5:$S$1000,$S192,$V$5:$V$1000,"Macro"),IF(AND(ISNUMBER($H192),N($H192)&gt;0),$H192,SUMIFS($H$5:$H$1000,$S$5:$S$1000,$S192,$V$5:$V$1000,"Macro")/COUNTIFS($S$5:$S$1000,$S192,$V$5:$V$1000,"Macro",$H$5:$H$1000,"&gt;0"))/(COUNTIFS($S$5:$S$1000,$S192,$V$5:$V$1000,"Macro")*SUMIFS($H$5:$H$1000,$S$5:$S$1000,$S192,$V$5:$V$1000,"Macro")/COUNTIFS($S$5:$S$1000,$S192,$V$5:$V$1000,"Macro",$H$5:$H$1000,"&gt;0"))))</f>
        <v/>
      </c>
      <c r="AH192" s="62">
        <f>IF(NOT(AND($D192&lt;&gt;"",$V192="Macro")),"",IFERROR(CHOOSE(MATCH($D192,ListaPuestos,0),MATCH("[Jefatura] "&amp;$C192,'Cronograma R. Operacional'!$C$5:$C$1000,0),MATCH("[Jefatura] "&amp;$C192,'Cronograma R. Normativo'!$C$5:$C$1000,0),MATCH("[Jefatura] "&amp;$C192,'Cronograma R. Financiero'!$C$5:$C$1000,0),MATCH("[Jefatura] "&amp;$C192,'Cronograma Asistente Técnico'!$C$5:$C$1000,0)),0))</f>
        <v/>
      </c>
      <c r="AI192" s="62">
        <f>IF(AND(AND($D192&lt;&gt;"",$V192="Macro"),$S192=MesCiclo),COUNTIFS($D$5:$D192,$D192,$S$5:$S192,MesCiclo,$V$5:$V192,"Macro"),"")</f>
        <v/>
      </c>
      <c r="AJ192" s="62">
        <f>IF($AI192="","",$D192&amp;"|"&amp;$AI192)</f>
        <v/>
      </c>
      <c r="AK192" s="62">
        <f>IF(AND($D192&lt;&gt;"",$V192="Macro"),$D192&amp;"|"&amp;$C192,"")</f>
        <v/>
      </c>
      <c r="AL192" s="62">
        <f>""</f>
        <v/>
      </c>
      <c r="AM192" s="62">
        <f>IF(N($AL192)&gt;0,INDEX(rIni_ADM,$AL192),IF(ISNUMBER($E192),$E192,""))</f>
        <v/>
      </c>
      <c r="AN192" s="62">
        <f>IF(N($AL192)&gt;0,INDEX(rLim_ADM,$AL192),IF(ISNUMBER($F192),$F192,""))</f>
        <v/>
      </c>
    </row>
    <row r="193">
      <c r="A193" s="56">
        <f>IF(NOT((COUNTA($B193:$D193)+COUNTA($G193:$L193)+COUNTA($Q193))&gt;0),"",IF($V193="Macro",COUNTIFS($V$5:$V193,"Macro",$S$5:$S193,$S193),IF(N($U193)=0,"?",COUNTIFS(INDEX($V$5:$V$1000,1):INDEX($V$5:$V$1000,$U193-4),"Macro",INDEX($S$5:$S$1000,1):INDEX($S$5:$S$1000,$U193-4),INDEX($S$5:$S$1000,$U193-4))&amp;"."&amp;COUNTIFS($U$5:$U193,$U193,$V$5:$V193,"Sub"))))</f>
        <v/>
      </c>
      <c r="B193" s="57" t="n"/>
      <c r="C193" s="58" t="n"/>
      <c r="D193" s="58" t="n"/>
      <c r="E193" s="59" t="n"/>
      <c r="F193" s="59" t="n"/>
      <c r="G193" s="59" t="n"/>
      <c r="H193" s="60" t="n"/>
      <c r="I193" s="60" t="n"/>
      <c r="J193" s="60" t="n"/>
      <c r="K193" s="60" t="n"/>
      <c r="L193" s="60" t="n"/>
      <c r="M193" s="61">
        <f>IF(NOT((COUNTA($B193:$D193)+COUNTA($G193:$L193)+COUNTA($Q193))&gt;0),"",IF(AND($D193&lt;&gt;"",$V193="Macro"),IF(N($AH193)&gt;0,N(CHOOSE(MATCH($D193,ListaPuestos,0),INDEX('Cronograma R. Operacional'!$M$5:$M$1000,$AH193),INDEX('Cronograma R. Normativo'!$M$5:$M$1000,$AH193),INDEX('Cronograma R. Financiero'!$M$5:$M$1000,$AH193),INDEX('Cronograma Asistente Técnico'!$M$5:$M$1000,$AH193))),0),IF(ISNUMBER($G193),1,IF(N($W193)&gt;0,AVERAGEIFS($X$5:$X$1000,$U$5:$U$1000,ROW(),$V$5:$V$1000,"Sub"),$X193))))</f>
        <v/>
      </c>
      <c r="N193" s="56">
        <f>IF(OR($M193="",$V193="Sub"),"",IF($M193&gt;=1,"Completado",IF($M193&gt;0,"En curso","Pendiente")))</f>
        <v/>
      </c>
      <c r="O193" s="56">
        <f>IF(NOT((COUNTA($B193:$D193)+COUNTA($G193:$L193)+COUNTA($Q193))&gt;0),"",IF(AND(AND($D193&lt;&gt;"",$V193="Macro"),N($AH193)&gt;0),CHOOSE(MATCH($D193,ListaPuestos,0),INDEX('Cronograma R. Operacional'!$O$5:$O$1000,$AH193),INDEX('Cronograma R. Normativo'!$O$5:$O$1000,$AH193),INDEX('Cronograma R. Financiero'!$O$5:$O$1000,$AH193),INDEX('Cronograma Asistente Técnico'!$O$5:$O$1000,$AH193))&amp;"",IF(ISNUMBER($G193),IF(AND(ISNUMBER($AN193),$G193&gt;$AN193),"Cumplida con "&amp;($G193-$AN193)&amp;IF($G193-$AN193=1," día"," días")&amp;" de retraso","Cumplida"),IF(N($M193)&gt;=1,"Cumplida",IF(NOT(ISNUMBER($AN193)),"Sin fecha límite",IF($AN193&lt;FechaRef,"Vencida hace "&amp;(FechaRef-$AN193)&amp;IF(FechaRef-$AN193=1," día"," días"),IF($AN193=FechaRef,"Vence hoy",IF($AN193-FechaRef&lt;=DiasAlerta,"Vence en "&amp;($AN193-FechaRef)&amp;IF($AN193-FechaRef=1," día"," días"),"En plazo"))))))))</f>
        <v/>
      </c>
      <c r="P193" s="62">
        <f>IF(NOT((COUNTA($B193:$D193)+COUNTA($G193:$L193)+COUNTA($Q193))&gt;0),"",IF($D193="","Propia",IF($V193&lt;&gt;"Macro","Solo se delegan macroactividades",IF(N($AH193)&gt;0,"✔ Recibida por "&amp;$D193,"⚠ "&amp;$D193&amp;" aún no la agrega"))))</f>
        <v/>
      </c>
      <c r="Q193" s="58" t="n"/>
      <c r="R193" s="63">
        <f>IF(NOT((COUNTA($B193:$D193)+COUNTA($G193:$L193)+COUNTA($Q193))&gt;0),"",IF((IF($C193="","Falta el nombre de la actividad"&amp;" · ","")&amp;IF(AND($V193="Sub",N($U193)=0),"Subactividad sin macroactividad arriba"&amp;" · ","")&amp;IF($AM193="","Sin fecha de inicio"&amp;" · ","")&amp;IF($AN193="","Sin fecha límite"&amp;" · ","")&amp;IF(AND(LEFT($C193,11)="[Jefatura] ",N($AL193)=0),"No se encuentra en la hoja de la jefatura (elíjala de nuevo en la lista)"&amp;" · ","")&amp;IF(OR(AND($E193&lt;&gt;"",NOT(ISNUMBER($E193))),AND($F193&lt;&gt;"",NOT(ISNUMBER($F193))),AND($G193&lt;&gt;"",NOT(ISNUMBER($G193)))),"Fecha no válida"&amp;" · ","")&amp;IF(AND(ISNUMBER($AM193),ISNUMBER($AN193),$AM193&gt;$AN193),"Inicio posterior a fecha límite"&amp;" · ","")&amp;IF(AND($V193="Macro",$H193&lt;&gt;"",OR(NOT(ISNUMBER($H193)),$H193&lt;0,$H193&gt;1)),"Peso fuera de rango"&amp;" · ","")&amp;IF(AND($V193="Sub",$H193&lt;&gt;""),"Las subactividades no llevan peso (valen igual dentro de su macroactividad)"&amp;" · ","")&amp;IF(AND(N($W193)&gt;0,COUNT($I193:$L193)&gt;0),"Con subactividades: deje vacías las semanas (se calculan solas)"&amp;" · ","")&amp;IF((COUNTIF($I193:$L193,"&gt;1")+COUNTIF($I193:$L193,"&lt;0")+COUNTA($I193:$L193)-COUNT($I193:$L193))&gt;0,"Avance fuera de rango 0-100%"&amp;" · ","")&amp;IF(OR(AND($J193&lt;&gt;"",$J193&lt;$I193),AND($K193&lt;&gt;"",$K193&lt;MAX($I193:$J193)),AND($L193&lt;&gt;"",$L193&lt;MAX($I193:$K193))),"Avance semanal decreciente"&amp;" · ","")&amp;IF(AND(ISNUMBER($AN193),$AN193&lt;FechaRef,IF($V193="Sub",N($X193),N($M193))&lt;1),"Vencida"&amp;" · ","")&amp;IF(AND(ObsObligatoria="Sí",ISNUMBER($AN193),$AN193&lt;FechaRef,IF($V193="Sub",N($X193),N($M193))&lt;1,$Q193=""),"Vencida sin observación"&amp;" · ",""))="","✔ OK","⚠ "&amp;LEFT(IF($C193="","Falta el nombre de la actividad"&amp;" · ","")&amp;IF(AND($V193="Sub",N($U193)=0),"Subactividad sin macroactividad arriba"&amp;" · ","")&amp;IF($AM193="","Sin fecha de inicio"&amp;" · ","")&amp;IF($AN193="","Sin fecha límite"&amp;" · ","")&amp;IF(AND(LEFT($C193,11)="[Jefatura] ",N($AL193)=0),"No se encuentra en la hoja de la jefatura (elíjala de nuevo en la lista)"&amp;" · ","")&amp;IF(OR(AND($E193&lt;&gt;"",NOT(ISNUMBER($E193))),AND($F193&lt;&gt;"",NOT(ISNUMBER($F193))),AND($G193&lt;&gt;"",NOT(ISNUMBER($G193)))),"Fecha no válida"&amp;" · ","")&amp;IF(AND(ISNUMBER($AM193),ISNUMBER($AN193),$AM193&gt;$AN193),"Inicio posterior a fecha límite"&amp;" · ","")&amp;IF(AND($V193="Macro",$H193&lt;&gt;"",OR(NOT(ISNUMBER($H193)),$H193&lt;0,$H193&gt;1)),"Peso fuera de rango"&amp;" · ","")&amp;IF(AND($V193="Sub",$H193&lt;&gt;""),"Las subactividades no llevan peso (valen igual dentro de su macroactividad)"&amp;" · ","")&amp;IF(AND(N($W193)&gt;0,COUNT($I193:$L193)&gt;0),"Con subactividades: deje vacías las semanas (se calculan solas)"&amp;" · ","")&amp;IF((COUNTIF($I193:$L193,"&gt;1")+COUNTIF($I193:$L193,"&lt;0")+COUNTA($I193:$L193)-COUNT($I193:$L193))&gt;0,"Avance fuera de rango 0-100%"&amp;" · ","")&amp;IF(OR(AND($J193&lt;&gt;"",$J193&lt;$I193),AND($K193&lt;&gt;"",$K193&lt;MAX($I193:$J193)),AND($L193&lt;&gt;"",$L193&lt;MAX($I193:$K193))),"Avance semanal decreciente"&amp;" · ","")&amp;IF(AND(ISNUMBER($AN193),$AN193&lt;FechaRef,IF($V193="Sub",N($X193),N($M193))&lt;1),"Vencida"&amp;" · ","")&amp;IF(AND(ObsObligatoria="Sí",ISNUMBER($AN193),$AN193&lt;FechaRef,IF($V193="Sub",N($X193),N($M193))&lt;1,$Q193=""),"Vencida sin observación"&amp;" · ",""),LEN(IF($C193="","Falta el nombre de la actividad"&amp;" · ","")&amp;IF(AND($V193="Sub",N($U193)=0),"Subactividad sin macroactividad arriba"&amp;" · ","")&amp;IF($AM193="","Sin fecha de inicio"&amp;" · ","")&amp;IF($AN193="","Sin fecha límite"&amp;" · ","")&amp;IF(AND(LEFT($C193,11)="[Jefatura] ",N($AL193)=0),"No se encuentra en la hoja de la jefatura (elíjala de nuevo en la lista)"&amp;" · ","")&amp;IF(OR(AND($E193&lt;&gt;"",NOT(ISNUMBER($E193))),AND($F193&lt;&gt;"",NOT(ISNUMBER($F193))),AND($G193&lt;&gt;"",NOT(ISNUMBER($G193)))),"Fecha no válida"&amp;" · ","")&amp;IF(AND(ISNUMBER($AM193),ISNUMBER($AN193),$AM193&gt;$AN193),"Inicio posterior a fecha límite"&amp;" · ","")&amp;IF(AND($V193="Macro",$H193&lt;&gt;"",OR(NOT(ISNUMBER($H193)),$H193&lt;0,$H193&gt;1)),"Peso fuera de rango"&amp;" · ","")&amp;IF(AND($V193="Sub",$H193&lt;&gt;""),"Las subactividades no llevan peso (valen igual dentro de su macroactividad)"&amp;" · ","")&amp;IF(AND(N($W193)&gt;0,COUNT($I193:$L193)&gt;0),"Con subactividades: deje vacías las semanas (se calculan solas)"&amp;" · ","")&amp;IF((COUNTIF($I193:$L193,"&gt;1")+COUNTIF($I193:$L193,"&lt;0")+COUNTA($I193:$L193)-COUNT($I193:$L193))&gt;0,"Avance fuera de rango 0-100%"&amp;" · ","")&amp;IF(OR(AND($J193&lt;&gt;"",$J193&lt;$I193),AND($K193&lt;&gt;"",$K193&lt;MAX($I193:$J193)),AND($L193&lt;&gt;"",$L193&lt;MAX($I193:$K193))),"Avance semanal decreciente"&amp;" · ","")&amp;IF(AND(ISNUMBER($AN193),$AN193&lt;FechaRef,IF($V193="Sub",N($X193),N($M193))&lt;1),"Vencida"&amp;" · ","")&amp;IF(AND(ObsObligatoria="Sí",ISNUMBER($AN193),$AN193&lt;FechaRef,IF($V193="Sub",N($X193),N($M193))&lt;1,$Q193=""),"Vencida sin observación"&amp;" · ",""))-3)))</f>
        <v/>
      </c>
      <c r="S193" s="64">
        <f>IF(NOT((COUNTA($B193:$D193)+COUNTA($G193:$L193)+COUNTA($Q193))&gt;0),"",IF(AND($V193="Sub",N($U193)&gt;0),IF(ISNUMBER(INDEX($AM$5:$AM$1000,$U193-4)),DATE(YEAR(INDEX($AM$5:$AM$1000,$U193-4)),MONTH(INDEX($AM$5:$AM$1000,$U193-4)),1),IF(ISNUMBER(INDEX($AN$5:$AN$1000,$U193-4)),DATE(YEAR(INDEX($AN$5:$AN$1000,$U193-4)),MONTH(INDEX($AN$5:$AN$1000,$U193-4)),1),MesCiclo)),IF(ISNUMBER($AM193),DATE(YEAR($AM193),MONTH($AM193),1),IF(ISNUMBER($AN193),DATE(YEAR($AN193),MONTH($AN193),1),MesCiclo))))</f>
        <v/>
      </c>
      <c r="T193" s="62">
        <f>IF(OR($S193="",$S193&lt;&gt;MesCiclo,$V193&lt;&gt;"Macro"),"",COUNTIFS($S$5:$S193,MesCiclo,$V$5:$V193,"Macro"))</f>
        <v/>
      </c>
      <c r="U193" s="62">
        <f>IF($V193="","",IF($V193="Macro",ROW(),IFERROR(LOOKUP(2,1/($V$5:$V193="Macro"),ROW($V$5:$V193)),0)))</f>
        <v/>
      </c>
      <c r="V193" s="62">
        <f>IF(NOT((COUNTA($B193:$D193)+COUNTA($G193:$L193)+COUNTA($Q193))&gt;0),"",IF($B193="Subactividad","Sub","Macro"))</f>
        <v/>
      </c>
      <c r="W193" s="62">
        <f>IF($V193="Macro",COUNTIFS($U$5:$U$1000,ROW(),$V$5:$V$1000,"Sub"),"")</f>
        <v/>
      </c>
      <c r="X193" s="62">
        <f>IF($V193="","",IF(ISNUMBER($G193),1,IFERROR(LOOKUP(2,1/($I193:$L193&lt;&gt;""),$I193:$L193),0)))</f>
        <v/>
      </c>
      <c r="Y193" s="62">
        <f>IF($V193="","",IF(AND(ISNUMBER($G193),$G193&lt;=IF($S193=MesCiclo,InicioCiclo,$S193+MOD(2-WEEKDAY($S193),7))+6),1,IF(ISNUMBER($I193),$I193,0)))</f>
        <v/>
      </c>
      <c r="Z193" s="62">
        <f>IF($V193="","",IF(AND(ISNUMBER($G193),$G193&lt;=IF($S193=MesCiclo,InicioCiclo,$S193+MOD(2-WEEKDAY($S193),7))+13),1,IF(ISNUMBER($J193),$J193,$Y193)))</f>
        <v/>
      </c>
      <c r="AA193" s="62">
        <f>IF($V193="","",IF(AND(ISNUMBER($G193),$G193&lt;=IF($S193=MesCiclo,InicioCiclo,$S193+MOD(2-WEEKDAY($S193),7))+20),1,IF(ISNUMBER($K193),$K193,$Z193)))</f>
        <v/>
      </c>
      <c r="AB193" s="62">
        <f>IF($V193="","",IF(AND(ISNUMBER($G193),$G193&lt;=IF($S193=MesCiclo,InicioCiclo,$S193+MOD(2-WEEKDAY($S193),7))+27),1,IF(ISNUMBER($L193),$L193,$AA193)))</f>
        <v/>
      </c>
      <c r="AC193" s="62">
        <f>IF($V193="","",IF(AND(ISNUMBER($G193),$G193&lt;=IF($S193=MesCiclo,InicioCiclo,$S193+MOD(2-WEEKDAY($S193),7))+6),1,IF(N($W193)&gt;0,AVERAGEIFS($Y$5:$Y$1000,$U$5:$U$1000,ROW(),$V$5:$V$1000,"Sub"),$Y193)))</f>
        <v/>
      </c>
      <c r="AD193" s="62">
        <f>IF($V193="","",IF(AND(ISNUMBER($G193),$G193&lt;=IF($S193=MesCiclo,InicioCiclo,$S193+MOD(2-WEEKDAY($S193),7))+13),1,IF(N($W193)&gt;0,AVERAGEIFS($Z$5:$Z$1000,$U$5:$U$1000,ROW(),$V$5:$V$1000,"Sub"),$Z193)))</f>
        <v/>
      </c>
      <c r="AE193" s="62">
        <f>IF($V193="","",IF(AND(ISNUMBER($G193),$G193&lt;=IF($S193=MesCiclo,InicioCiclo,$S193+MOD(2-WEEKDAY($S193),7))+20),1,IF(N($W193)&gt;0,AVERAGEIFS($AA$5:$AA$1000,$U$5:$U$1000,ROW(),$V$5:$V$1000,"Sub"),$AA193)))</f>
        <v/>
      </c>
      <c r="AF193" s="62">
        <f>IF($V193="","",IF(AND(ISNUMBER($G193),$G193&lt;=IF($S193=MesCiclo,InicioCiclo,$S193+MOD(2-WEEKDAY($S193),7))+27),1,IF(N($W193)&gt;0,AVERAGEIFS($AB$5:$AB$1000,$U$5:$U$1000,ROW(),$V$5:$V$1000,"Sub"),$AB193)))</f>
        <v/>
      </c>
      <c r="AG193" s="62">
        <f>IF($V193&lt;&gt;"Macro","",IF(COUNTIFS($S$5:$S$1000,$S193,$V$5:$V$1000,"Macro",$H$5:$H$1000,"&gt;0")=0,1/COUNTIFS($S$5:$S$1000,$S193,$V$5:$V$1000,"Macro"),IF(AND(ISNUMBER($H193),N($H193)&gt;0),$H193,SUMIFS($H$5:$H$1000,$S$5:$S$1000,$S193,$V$5:$V$1000,"Macro")/COUNTIFS($S$5:$S$1000,$S193,$V$5:$V$1000,"Macro",$H$5:$H$1000,"&gt;0"))/(COUNTIFS($S$5:$S$1000,$S193,$V$5:$V$1000,"Macro")*SUMIFS($H$5:$H$1000,$S$5:$S$1000,$S193,$V$5:$V$1000,"Macro")/COUNTIFS($S$5:$S$1000,$S193,$V$5:$V$1000,"Macro",$H$5:$H$1000,"&gt;0"))))</f>
        <v/>
      </c>
      <c r="AH193" s="62">
        <f>IF(NOT(AND($D193&lt;&gt;"",$V193="Macro")),"",IFERROR(CHOOSE(MATCH($D193,ListaPuestos,0),MATCH("[Jefatura] "&amp;$C193,'Cronograma R. Operacional'!$C$5:$C$1000,0),MATCH("[Jefatura] "&amp;$C193,'Cronograma R. Normativo'!$C$5:$C$1000,0),MATCH("[Jefatura] "&amp;$C193,'Cronograma R. Financiero'!$C$5:$C$1000,0),MATCH("[Jefatura] "&amp;$C193,'Cronograma Asistente Técnico'!$C$5:$C$1000,0)),0))</f>
        <v/>
      </c>
      <c r="AI193" s="62">
        <f>IF(AND(AND($D193&lt;&gt;"",$V193="Macro"),$S193=MesCiclo),COUNTIFS($D$5:$D193,$D193,$S$5:$S193,MesCiclo,$V$5:$V193,"Macro"),"")</f>
        <v/>
      </c>
      <c r="AJ193" s="62">
        <f>IF($AI193="","",$D193&amp;"|"&amp;$AI193)</f>
        <v/>
      </c>
      <c r="AK193" s="62">
        <f>IF(AND($D193&lt;&gt;"",$V193="Macro"),$D193&amp;"|"&amp;$C193,"")</f>
        <v/>
      </c>
      <c r="AL193" s="62">
        <f>""</f>
        <v/>
      </c>
      <c r="AM193" s="62">
        <f>IF(N($AL193)&gt;0,INDEX(rIni_ADM,$AL193),IF(ISNUMBER($E193),$E193,""))</f>
        <v/>
      </c>
      <c r="AN193" s="62">
        <f>IF(N($AL193)&gt;0,INDEX(rLim_ADM,$AL193),IF(ISNUMBER($F193),$F193,""))</f>
        <v/>
      </c>
    </row>
    <row r="194">
      <c r="A194" s="56">
        <f>IF(NOT((COUNTA($B194:$D194)+COUNTA($G194:$L194)+COUNTA($Q194))&gt;0),"",IF($V194="Macro",COUNTIFS($V$5:$V194,"Macro",$S$5:$S194,$S194),IF(N($U194)=0,"?",COUNTIFS(INDEX($V$5:$V$1000,1):INDEX($V$5:$V$1000,$U194-4),"Macro",INDEX($S$5:$S$1000,1):INDEX($S$5:$S$1000,$U194-4),INDEX($S$5:$S$1000,$U194-4))&amp;"."&amp;COUNTIFS($U$5:$U194,$U194,$V$5:$V194,"Sub"))))</f>
        <v/>
      </c>
      <c r="B194" s="57" t="n"/>
      <c r="C194" s="58" t="n"/>
      <c r="D194" s="58" t="n"/>
      <c r="E194" s="59" t="n"/>
      <c r="F194" s="59" t="n"/>
      <c r="G194" s="59" t="n"/>
      <c r="H194" s="60" t="n"/>
      <c r="I194" s="60" t="n"/>
      <c r="J194" s="60" t="n"/>
      <c r="K194" s="60" t="n"/>
      <c r="L194" s="60" t="n"/>
      <c r="M194" s="61">
        <f>IF(NOT((COUNTA($B194:$D194)+COUNTA($G194:$L194)+COUNTA($Q194))&gt;0),"",IF(AND($D194&lt;&gt;"",$V194="Macro"),IF(N($AH194)&gt;0,N(CHOOSE(MATCH($D194,ListaPuestos,0),INDEX('Cronograma R. Operacional'!$M$5:$M$1000,$AH194),INDEX('Cronograma R. Normativo'!$M$5:$M$1000,$AH194),INDEX('Cronograma R. Financiero'!$M$5:$M$1000,$AH194),INDEX('Cronograma Asistente Técnico'!$M$5:$M$1000,$AH194))),0),IF(ISNUMBER($G194),1,IF(N($W194)&gt;0,AVERAGEIFS($X$5:$X$1000,$U$5:$U$1000,ROW(),$V$5:$V$1000,"Sub"),$X194))))</f>
        <v/>
      </c>
      <c r="N194" s="56">
        <f>IF(OR($M194="",$V194="Sub"),"",IF($M194&gt;=1,"Completado",IF($M194&gt;0,"En curso","Pendiente")))</f>
        <v/>
      </c>
      <c r="O194" s="56">
        <f>IF(NOT((COUNTA($B194:$D194)+COUNTA($G194:$L194)+COUNTA($Q194))&gt;0),"",IF(AND(AND($D194&lt;&gt;"",$V194="Macro"),N($AH194)&gt;0),CHOOSE(MATCH($D194,ListaPuestos,0),INDEX('Cronograma R. Operacional'!$O$5:$O$1000,$AH194),INDEX('Cronograma R. Normativo'!$O$5:$O$1000,$AH194),INDEX('Cronograma R. Financiero'!$O$5:$O$1000,$AH194),INDEX('Cronograma Asistente Técnico'!$O$5:$O$1000,$AH194))&amp;"",IF(ISNUMBER($G194),IF(AND(ISNUMBER($AN194),$G194&gt;$AN194),"Cumplida con "&amp;($G194-$AN194)&amp;IF($G194-$AN194=1," día"," días")&amp;" de retraso","Cumplida"),IF(N($M194)&gt;=1,"Cumplida",IF(NOT(ISNUMBER($AN194)),"Sin fecha límite",IF($AN194&lt;FechaRef,"Vencida hace "&amp;(FechaRef-$AN194)&amp;IF(FechaRef-$AN194=1," día"," días"),IF($AN194=FechaRef,"Vence hoy",IF($AN194-FechaRef&lt;=DiasAlerta,"Vence en "&amp;($AN194-FechaRef)&amp;IF($AN194-FechaRef=1," día"," días"),"En plazo"))))))))</f>
        <v/>
      </c>
      <c r="P194" s="62">
        <f>IF(NOT((COUNTA($B194:$D194)+COUNTA($G194:$L194)+COUNTA($Q194))&gt;0),"",IF($D194="","Propia",IF($V194&lt;&gt;"Macro","Solo se delegan macroactividades",IF(N($AH194)&gt;0,"✔ Recibida por "&amp;$D194,"⚠ "&amp;$D194&amp;" aún no la agrega"))))</f>
        <v/>
      </c>
      <c r="Q194" s="58" t="n"/>
      <c r="R194" s="63">
        <f>IF(NOT((COUNTA($B194:$D194)+COUNTA($G194:$L194)+COUNTA($Q194))&gt;0),"",IF((IF($C194="","Falta el nombre de la actividad"&amp;" · ","")&amp;IF(AND($V194="Sub",N($U194)=0),"Subactividad sin macroactividad arriba"&amp;" · ","")&amp;IF($AM194="","Sin fecha de inicio"&amp;" · ","")&amp;IF($AN194="","Sin fecha límite"&amp;" · ","")&amp;IF(AND(LEFT($C194,11)="[Jefatura] ",N($AL194)=0),"No se encuentra en la hoja de la jefatura (elíjala de nuevo en la lista)"&amp;" · ","")&amp;IF(OR(AND($E194&lt;&gt;"",NOT(ISNUMBER($E194))),AND($F194&lt;&gt;"",NOT(ISNUMBER($F194))),AND($G194&lt;&gt;"",NOT(ISNUMBER($G194)))),"Fecha no válida"&amp;" · ","")&amp;IF(AND(ISNUMBER($AM194),ISNUMBER($AN194),$AM194&gt;$AN194),"Inicio posterior a fecha límite"&amp;" · ","")&amp;IF(AND($V194="Macro",$H194&lt;&gt;"",OR(NOT(ISNUMBER($H194)),$H194&lt;0,$H194&gt;1)),"Peso fuera de rango"&amp;" · ","")&amp;IF(AND($V194="Sub",$H194&lt;&gt;""),"Las subactividades no llevan peso (valen igual dentro de su macroactividad)"&amp;" · ","")&amp;IF(AND(N($W194)&gt;0,COUNT($I194:$L194)&gt;0),"Con subactividades: deje vacías las semanas (se calculan solas)"&amp;" · ","")&amp;IF((COUNTIF($I194:$L194,"&gt;1")+COUNTIF($I194:$L194,"&lt;0")+COUNTA($I194:$L194)-COUNT($I194:$L194))&gt;0,"Avance fuera de rango 0-100%"&amp;" · ","")&amp;IF(OR(AND($J194&lt;&gt;"",$J194&lt;$I194),AND($K194&lt;&gt;"",$K194&lt;MAX($I194:$J194)),AND($L194&lt;&gt;"",$L194&lt;MAX($I194:$K194))),"Avance semanal decreciente"&amp;" · ","")&amp;IF(AND(ISNUMBER($AN194),$AN194&lt;FechaRef,IF($V194="Sub",N($X194),N($M194))&lt;1),"Vencida"&amp;" · ","")&amp;IF(AND(ObsObligatoria="Sí",ISNUMBER($AN194),$AN194&lt;FechaRef,IF($V194="Sub",N($X194),N($M194))&lt;1,$Q194=""),"Vencida sin observación"&amp;" · ",""))="","✔ OK","⚠ "&amp;LEFT(IF($C194="","Falta el nombre de la actividad"&amp;" · ","")&amp;IF(AND($V194="Sub",N($U194)=0),"Subactividad sin macroactividad arriba"&amp;" · ","")&amp;IF($AM194="","Sin fecha de inicio"&amp;" · ","")&amp;IF($AN194="","Sin fecha límite"&amp;" · ","")&amp;IF(AND(LEFT($C194,11)="[Jefatura] ",N($AL194)=0),"No se encuentra en la hoja de la jefatura (elíjala de nuevo en la lista)"&amp;" · ","")&amp;IF(OR(AND($E194&lt;&gt;"",NOT(ISNUMBER($E194))),AND($F194&lt;&gt;"",NOT(ISNUMBER($F194))),AND($G194&lt;&gt;"",NOT(ISNUMBER($G194)))),"Fecha no válida"&amp;" · ","")&amp;IF(AND(ISNUMBER($AM194),ISNUMBER($AN194),$AM194&gt;$AN194),"Inicio posterior a fecha límite"&amp;" · ","")&amp;IF(AND($V194="Macro",$H194&lt;&gt;"",OR(NOT(ISNUMBER($H194)),$H194&lt;0,$H194&gt;1)),"Peso fuera de rango"&amp;" · ","")&amp;IF(AND($V194="Sub",$H194&lt;&gt;""),"Las subactividades no llevan peso (valen igual dentro de su macroactividad)"&amp;" · ","")&amp;IF(AND(N($W194)&gt;0,COUNT($I194:$L194)&gt;0),"Con subactividades: deje vacías las semanas (se calculan solas)"&amp;" · ","")&amp;IF((COUNTIF($I194:$L194,"&gt;1")+COUNTIF($I194:$L194,"&lt;0")+COUNTA($I194:$L194)-COUNT($I194:$L194))&gt;0,"Avance fuera de rango 0-100%"&amp;" · ","")&amp;IF(OR(AND($J194&lt;&gt;"",$J194&lt;$I194),AND($K194&lt;&gt;"",$K194&lt;MAX($I194:$J194)),AND($L194&lt;&gt;"",$L194&lt;MAX($I194:$K194))),"Avance semanal decreciente"&amp;" · ","")&amp;IF(AND(ISNUMBER($AN194),$AN194&lt;FechaRef,IF($V194="Sub",N($X194),N($M194))&lt;1),"Vencida"&amp;" · ","")&amp;IF(AND(ObsObligatoria="Sí",ISNUMBER($AN194),$AN194&lt;FechaRef,IF($V194="Sub",N($X194),N($M194))&lt;1,$Q194=""),"Vencida sin observación"&amp;" · ",""),LEN(IF($C194="","Falta el nombre de la actividad"&amp;" · ","")&amp;IF(AND($V194="Sub",N($U194)=0),"Subactividad sin macroactividad arriba"&amp;" · ","")&amp;IF($AM194="","Sin fecha de inicio"&amp;" · ","")&amp;IF($AN194="","Sin fecha límite"&amp;" · ","")&amp;IF(AND(LEFT($C194,11)="[Jefatura] ",N($AL194)=0),"No se encuentra en la hoja de la jefatura (elíjala de nuevo en la lista)"&amp;" · ","")&amp;IF(OR(AND($E194&lt;&gt;"",NOT(ISNUMBER($E194))),AND($F194&lt;&gt;"",NOT(ISNUMBER($F194))),AND($G194&lt;&gt;"",NOT(ISNUMBER($G194)))),"Fecha no válida"&amp;" · ","")&amp;IF(AND(ISNUMBER($AM194),ISNUMBER($AN194),$AM194&gt;$AN194),"Inicio posterior a fecha límite"&amp;" · ","")&amp;IF(AND($V194="Macro",$H194&lt;&gt;"",OR(NOT(ISNUMBER($H194)),$H194&lt;0,$H194&gt;1)),"Peso fuera de rango"&amp;" · ","")&amp;IF(AND($V194="Sub",$H194&lt;&gt;""),"Las subactividades no llevan peso (valen igual dentro de su macroactividad)"&amp;" · ","")&amp;IF(AND(N($W194)&gt;0,COUNT($I194:$L194)&gt;0),"Con subactividades: deje vacías las semanas (se calculan solas)"&amp;" · ","")&amp;IF((COUNTIF($I194:$L194,"&gt;1")+COUNTIF($I194:$L194,"&lt;0")+COUNTA($I194:$L194)-COUNT($I194:$L194))&gt;0,"Avance fuera de rango 0-100%"&amp;" · ","")&amp;IF(OR(AND($J194&lt;&gt;"",$J194&lt;$I194),AND($K194&lt;&gt;"",$K194&lt;MAX($I194:$J194)),AND($L194&lt;&gt;"",$L194&lt;MAX($I194:$K194))),"Avance semanal decreciente"&amp;" · ","")&amp;IF(AND(ISNUMBER($AN194),$AN194&lt;FechaRef,IF($V194="Sub",N($X194),N($M194))&lt;1),"Vencida"&amp;" · ","")&amp;IF(AND(ObsObligatoria="Sí",ISNUMBER($AN194),$AN194&lt;FechaRef,IF($V194="Sub",N($X194),N($M194))&lt;1,$Q194=""),"Vencida sin observación"&amp;" · ",""))-3)))</f>
        <v/>
      </c>
      <c r="S194" s="64">
        <f>IF(NOT((COUNTA($B194:$D194)+COUNTA($G194:$L194)+COUNTA($Q194))&gt;0),"",IF(AND($V194="Sub",N($U194)&gt;0),IF(ISNUMBER(INDEX($AM$5:$AM$1000,$U194-4)),DATE(YEAR(INDEX($AM$5:$AM$1000,$U194-4)),MONTH(INDEX($AM$5:$AM$1000,$U194-4)),1),IF(ISNUMBER(INDEX($AN$5:$AN$1000,$U194-4)),DATE(YEAR(INDEX($AN$5:$AN$1000,$U194-4)),MONTH(INDEX($AN$5:$AN$1000,$U194-4)),1),MesCiclo)),IF(ISNUMBER($AM194),DATE(YEAR($AM194),MONTH($AM194),1),IF(ISNUMBER($AN194),DATE(YEAR($AN194),MONTH($AN194),1),MesCiclo))))</f>
        <v/>
      </c>
      <c r="T194" s="62">
        <f>IF(OR($S194="",$S194&lt;&gt;MesCiclo,$V194&lt;&gt;"Macro"),"",COUNTIFS($S$5:$S194,MesCiclo,$V$5:$V194,"Macro"))</f>
        <v/>
      </c>
      <c r="U194" s="62">
        <f>IF($V194="","",IF($V194="Macro",ROW(),IFERROR(LOOKUP(2,1/($V$5:$V194="Macro"),ROW($V$5:$V194)),0)))</f>
        <v/>
      </c>
      <c r="V194" s="62">
        <f>IF(NOT((COUNTA($B194:$D194)+COUNTA($G194:$L194)+COUNTA($Q194))&gt;0),"",IF($B194="Subactividad","Sub","Macro"))</f>
        <v/>
      </c>
      <c r="W194" s="62">
        <f>IF($V194="Macro",COUNTIFS($U$5:$U$1000,ROW(),$V$5:$V$1000,"Sub"),"")</f>
        <v/>
      </c>
      <c r="X194" s="62">
        <f>IF($V194="","",IF(ISNUMBER($G194),1,IFERROR(LOOKUP(2,1/($I194:$L194&lt;&gt;""),$I194:$L194),0)))</f>
        <v/>
      </c>
      <c r="Y194" s="62">
        <f>IF($V194="","",IF(AND(ISNUMBER($G194),$G194&lt;=IF($S194=MesCiclo,InicioCiclo,$S194+MOD(2-WEEKDAY($S194),7))+6),1,IF(ISNUMBER($I194),$I194,0)))</f>
        <v/>
      </c>
      <c r="Z194" s="62">
        <f>IF($V194="","",IF(AND(ISNUMBER($G194),$G194&lt;=IF($S194=MesCiclo,InicioCiclo,$S194+MOD(2-WEEKDAY($S194),7))+13),1,IF(ISNUMBER($J194),$J194,$Y194)))</f>
        <v/>
      </c>
      <c r="AA194" s="62">
        <f>IF($V194="","",IF(AND(ISNUMBER($G194),$G194&lt;=IF($S194=MesCiclo,InicioCiclo,$S194+MOD(2-WEEKDAY($S194),7))+20),1,IF(ISNUMBER($K194),$K194,$Z194)))</f>
        <v/>
      </c>
      <c r="AB194" s="62">
        <f>IF($V194="","",IF(AND(ISNUMBER($G194),$G194&lt;=IF($S194=MesCiclo,InicioCiclo,$S194+MOD(2-WEEKDAY($S194),7))+27),1,IF(ISNUMBER($L194),$L194,$AA194)))</f>
        <v/>
      </c>
      <c r="AC194" s="62">
        <f>IF($V194="","",IF(AND(ISNUMBER($G194),$G194&lt;=IF($S194=MesCiclo,InicioCiclo,$S194+MOD(2-WEEKDAY($S194),7))+6),1,IF(N($W194)&gt;0,AVERAGEIFS($Y$5:$Y$1000,$U$5:$U$1000,ROW(),$V$5:$V$1000,"Sub"),$Y194)))</f>
        <v/>
      </c>
      <c r="AD194" s="62">
        <f>IF($V194="","",IF(AND(ISNUMBER($G194),$G194&lt;=IF($S194=MesCiclo,InicioCiclo,$S194+MOD(2-WEEKDAY($S194),7))+13),1,IF(N($W194)&gt;0,AVERAGEIFS($Z$5:$Z$1000,$U$5:$U$1000,ROW(),$V$5:$V$1000,"Sub"),$Z194)))</f>
        <v/>
      </c>
      <c r="AE194" s="62">
        <f>IF($V194="","",IF(AND(ISNUMBER($G194),$G194&lt;=IF($S194=MesCiclo,InicioCiclo,$S194+MOD(2-WEEKDAY($S194),7))+20),1,IF(N($W194)&gt;0,AVERAGEIFS($AA$5:$AA$1000,$U$5:$U$1000,ROW(),$V$5:$V$1000,"Sub"),$AA194)))</f>
        <v/>
      </c>
      <c r="AF194" s="62">
        <f>IF($V194="","",IF(AND(ISNUMBER($G194),$G194&lt;=IF($S194=MesCiclo,InicioCiclo,$S194+MOD(2-WEEKDAY($S194),7))+27),1,IF(N($W194)&gt;0,AVERAGEIFS($AB$5:$AB$1000,$U$5:$U$1000,ROW(),$V$5:$V$1000,"Sub"),$AB194)))</f>
        <v/>
      </c>
      <c r="AG194" s="62">
        <f>IF($V194&lt;&gt;"Macro","",IF(COUNTIFS($S$5:$S$1000,$S194,$V$5:$V$1000,"Macro",$H$5:$H$1000,"&gt;0")=0,1/COUNTIFS($S$5:$S$1000,$S194,$V$5:$V$1000,"Macro"),IF(AND(ISNUMBER($H194),N($H194)&gt;0),$H194,SUMIFS($H$5:$H$1000,$S$5:$S$1000,$S194,$V$5:$V$1000,"Macro")/COUNTIFS($S$5:$S$1000,$S194,$V$5:$V$1000,"Macro",$H$5:$H$1000,"&gt;0"))/(COUNTIFS($S$5:$S$1000,$S194,$V$5:$V$1000,"Macro")*SUMIFS($H$5:$H$1000,$S$5:$S$1000,$S194,$V$5:$V$1000,"Macro")/COUNTIFS($S$5:$S$1000,$S194,$V$5:$V$1000,"Macro",$H$5:$H$1000,"&gt;0"))))</f>
        <v/>
      </c>
      <c r="AH194" s="62">
        <f>IF(NOT(AND($D194&lt;&gt;"",$V194="Macro")),"",IFERROR(CHOOSE(MATCH($D194,ListaPuestos,0),MATCH("[Jefatura] "&amp;$C194,'Cronograma R. Operacional'!$C$5:$C$1000,0),MATCH("[Jefatura] "&amp;$C194,'Cronograma R. Normativo'!$C$5:$C$1000,0),MATCH("[Jefatura] "&amp;$C194,'Cronograma R. Financiero'!$C$5:$C$1000,0),MATCH("[Jefatura] "&amp;$C194,'Cronograma Asistente Técnico'!$C$5:$C$1000,0)),0))</f>
        <v/>
      </c>
      <c r="AI194" s="62">
        <f>IF(AND(AND($D194&lt;&gt;"",$V194="Macro"),$S194=MesCiclo),COUNTIFS($D$5:$D194,$D194,$S$5:$S194,MesCiclo,$V$5:$V194,"Macro"),"")</f>
        <v/>
      </c>
      <c r="AJ194" s="62">
        <f>IF($AI194="","",$D194&amp;"|"&amp;$AI194)</f>
        <v/>
      </c>
      <c r="AK194" s="62">
        <f>IF(AND($D194&lt;&gt;"",$V194="Macro"),$D194&amp;"|"&amp;$C194,"")</f>
        <v/>
      </c>
      <c r="AL194" s="62">
        <f>""</f>
        <v/>
      </c>
      <c r="AM194" s="62">
        <f>IF(N($AL194)&gt;0,INDEX(rIni_ADM,$AL194),IF(ISNUMBER($E194),$E194,""))</f>
        <v/>
      </c>
      <c r="AN194" s="62">
        <f>IF(N($AL194)&gt;0,INDEX(rLim_ADM,$AL194),IF(ISNUMBER($F194),$F194,""))</f>
        <v/>
      </c>
    </row>
    <row r="195">
      <c r="A195" s="56">
        <f>IF(NOT((COUNTA($B195:$D195)+COUNTA($G195:$L195)+COUNTA($Q195))&gt;0),"",IF($V195="Macro",COUNTIFS($V$5:$V195,"Macro",$S$5:$S195,$S195),IF(N($U195)=0,"?",COUNTIFS(INDEX($V$5:$V$1000,1):INDEX($V$5:$V$1000,$U195-4),"Macro",INDEX($S$5:$S$1000,1):INDEX($S$5:$S$1000,$U195-4),INDEX($S$5:$S$1000,$U195-4))&amp;"."&amp;COUNTIFS($U$5:$U195,$U195,$V$5:$V195,"Sub"))))</f>
        <v/>
      </c>
      <c r="B195" s="57" t="n"/>
      <c r="C195" s="58" t="n"/>
      <c r="D195" s="58" t="n"/>
      <c r="E195" s="59" t="n"/>
      <c r="F195" s="59" t="n"/>
      <c r="G195" s="59" t="n"/>
      <c r="H195" s="60" t="n"/>
      <c r="I195" s="60" t="n"/>
      <c r="J195" s="60" t="n"/>
      <c r="K195" s="60" t="n"/>
      <c r="L195" s="60" t="n"/>
      <c r="M195" s="61">
        <f>IF(NOT((COUNTA($B195:$D195)+COUNTA($G195:$L195)+COUNTA($Q195))&gt;0),"",IF(AND($D195&lt;&gt;"",$V195="Macro"),IF(N($AH195)&gt;0,N(CHOOSE(MATCH($D195,ListaPuestos,0),INDEX('Cronograma R. Operacional'!$M$5:$M$1000,$AH195),INDEX('Cronograma R. Normativo'!$M$5:$M$1000,$AH195),INDEX('Cronograma R. Financiero'!$M$5:$M$1000,$AH195),INDEX('Cronograma Asistente Técnico'!$M$5:$M$1000,$AH195))),0),IF(ISNUMBER($G195),1,IF(N($W195)&gt;0,AVERAGEIFS($X$5:$X$1000,$U$5:$U$1000,ROW(),$V$5:$V$1000,"Sub"),$X195))))</f>
        <v/>
      </c>
      <c r="N195" s="56">
        <f>IF(OR($M195="",$V195="Sub"),"",IF($M195&gt;=1,"Completado",IF($M195&gt;0,"En curso","Pendiente")))</f>
        <v/>
      </c>
      <c r="O195" s="56">
        <f>IF(NOT((COUNTA($B195:$D195)+COUNTA($G195:$L195)+COUNTA($Q195))&gt;0),"",IF(AND(AND($D195&lt;&gt;"",$V195="Macro"),N($AH195)&gt;0),CHOOSE(MATCH($D195,ListaPuestos,0),INDEX('Cronograma R. Operacional'!$O$5:$O$1000,$AH195),INDEX('Cronograma R. Normativo'!$O$5:$O$1000,$AH195),INDEX('Cronograma R. Financiero'!$O$5:$O$1000,$AH195),INDEX('Cronograma Asistente Técnico'!$O$5:$O$1000,$AH195))&amp;"",IF(ISNUMBER($G195),IF(AND(ISNUMBER($AN195),$G195&gt;$AN195),"Cumplida con "&amp;($G195-$AN195)&amp;IF($G195-$AN195=1," día"," días")&amp;" de retraso","Cumplida"),IF(N($M195)&gt;=1,"Cumplida",IF(NOT(ISNUMBER($AN195)),"Sin fecha límite",IF($AN195&lt;FechaRef,"Vencida hace "&amp;(FechaRef-$AN195)&amp;IF(FechaRef-$AN195=1," día"," días"),IF($AN195=FechaRef,"Vence hoy",IF($AN195-FechaRef&lt;=DiasAlerta,"Vence en "&amp;($AN195-FechaRef)&amp;IF($AN195-FechaRef=1," día"," días"),"En plazo"))))))))</f>
        <v/>
      </c>
      <c r="P195" s="62">
        <f>IF(NOT((COUNTA($B195:$D195)+COUNTA($G195:$L195)+COUNTA($Q195))&gt;0),"",IF($D195="","Propia",IF($V195&lt;&gt;"Macro","Solo se delegan macroactividades",IF(N($AH195)&gt;0,"✔ Recibida por "&amp;$D195,"⚠ "&amp;$D195&amp;" aún no la agrega"))))</f>
        <v/>
      </c>
      <c r="Q195" s="58" t="n"/>
      <c r="R195" s="63">
        <f>IF(NOT((COUNTA($B195:$D195)+COUNTA($G195:$L195)+COUNTA($Q195))&gt;0),"",IF((IF($C195="","Falta el nombre de la actividad"&amp;" · ","")&amp;IF(AND($V195="Sub",N($U195)=0),"Subactividad sin macroactividad arriba"&amp;" · ","")&amp;IF($AM195="","Sin fecha de inicio"&amp;" · ","")&amp;IF($AN195="","Sin fecha límite"&amp;" · ","")&amp;IF(AND(LEFT($C195,11)="[Jefatura] ",N($AL195)=0),"No se encuentra en la hoja de la jefatura (elíjala de nuevo en la lista)"&amp;" · ","")&amp;IF(OR(AND($E195&lt;&gt;"",NOT(ISNUMBER($E195))),AND($F195&lt;&gt;"",NOT(ISNUMBER($F195))),AND($G195&lt;&gt;"",NOT(ISNUMBER($G195)))),"Fecha no válida"&amp;" · ","")&amp;IF(AND(ISNUMBER($AM195),ISNUMBER($AN195),$AM195&gt;$AN195),"Inicio posterior a fecha límite"&amp;" · ","")&amp;IF(AND($V195="Macro",$H195&lt;&gt;"",OR(NOT(ISNUMBER($H195)),$H195&lt;0,$H195&gt;1)),"Peso fuera de rango"&amp;" · ","")&amp;IF(AND($V195="Sub",$H195&lt;&gt;""),"Las subactividades no llevan peso (valen igual dentro de su macroactividad)"&amp;" · ","")&amp;IF(AND(N($W195)&gt;0,COUNT($I195:$L195)&gt;0),"Con subactividades: deje vacías las semanas (se calculan solas)"&amp;" · ","")&amp;IF((COUNTIF($I195:$L195,"&gt;1")+COUNTIF($I195:$L195,"&lt;0")+COUNTA($I195:$L195)-COUNT($I195:$L195))&gt;0,"Avance fuera de rango 0-100%"&amp;" · ","")&amp;IF(OR(AND($J195&lt;&gt;"",$J195&lt;$I195),AND($K195&lt;&gt;"",$K195&lt;MAX($I195:$J195)),AND($L195&lt;&gt;"",$L195&lt;MAX($I195:$K195))),"Avance semanal decreciente"&amp;" · ","")&amp;IF(AND(ISNUMBER($AN195),$AN195&lt;FechaRef,IF($V195="Sub",N($X195),N($M195))&lt;1),"Vencida"&amp;" · ","")&amp;IF(AND(ObsObligatoria="Sí",ISNUMBER($AN195),$AN195&lt;FechaRef,IF($V195="Sub",N($X195),N($M195))&lt;1,$Q195=""),"Vencida sin observación"&amp;" · ",""))="","✔ OK","⚠ "&amp;LEFT(IF($C195="","Falta el nombre de la actividad"&amp;" · ","")&amp;IF(AND($V195="Sub",N($U195)=0),"Subactividad sin macroactividad arriba"&amp;" · ","")&amp;IF($AM195="","Sin fecha de inicio"&amp;" · ","")&amp;IF($AN195="","Sin fecha límite"&amp;" · ","")&amp;IF(AND(LEFT($C195,11)="[Jefatura] ",N($AL195)=0),"No se encuentra en la hoja de la jefatura (elíjala de nuevo en la lista)"&amp;" · ","")&amp;IF(OR(AND($E195&lt;&gt;"",NOT(ISNUMBER($E195))),AND($F195&lt;&gt;"",NOT(ISNUMBER($F195))),AND($G195&lt;&gt;"",NOT(ISNUMBER($G195)))),"Fecha no válida"&amp;" · ","")&amp;IF(AND(ISNUMBER($AM195),ISNUMBER($AN195),$AM195&gt;$AN195),"Inicio posterior a fecha límite"&amp;" · ","")&amp;IF(AND($V195="Macro",$H195&lt;&gt;"",OR(NOT(ISNUMBER($H195)),$H195&lt;0,$H195&gt;1)),"Peso fuera de rango"&amp;" · ","")&amp;IF(AND($V195="Sub",$H195&lt;&gt;""),"Las subactividades no llevan peso (valen igual dentro de su macroactividad)"&amp;" · ","")&amp;IF(AND(N($W195)&gt;0,COUNT($I195:$L195)&gt;0),"Con subactividades: deje vacías las semanas (se calculan solas)"&amp;" · ","")&amp;IF((COUNTIF($I195:$L195,"&gt;1")+COUNTIF($I195:$L195,"&lt;0")+COUNTA($I195:$L195)-COUNT($I195:$L195))&gt;0,"Avance fuera de rango 0-100%"&amp;" · ","")&amp;IF(OR(AND($J195&lt;&gt;"",$J195&lt;$I195),AND($K195&lt;&gt;"",$K195&lt;MAX($I195:$J195)),AND($L195&lt;&gt;"",$L195&lt;MAX($I195:$K195))),"Avance semanal decreciente"&amp;" · ","")&amp;IF(AND(ISNUMBER($AN195),$AN195&lt;FechaRef,IF($V195="Sub",N($X195),N($M195))&lt;1),"Vencida"&amp;" · ","")&amp;IF(AND(ObsObligatoria="Sí",ISNUMBER($AN195),$AN195&lt;FechaRef,IF($V195="Sub",N($X195),N($M195))&lt;1,$Q195=""),"Vencida sin observación"&amp;" · ",""),LEN(IF($C195="","Falta el nombre de la actividad"&amp;" · ","")&amp;IF(AND($V195="Sub",N($U195)=0),"Subactividad sin macroactividad arriba"&amp;" · ","")&amp;IF($AM195="","Sin fecha de inicio"&amp;" · ","")&amp;IF($AN195="","Sin fecha límite"&amp;" · ","")&amp;IF(AND(LEFT($C195,11)="[Jefatura] ",N($AL195)=0),"No se encuentra en la hoja de la jefatura (elíjala de nuevo en la lista)"&amp;" · ","")&amp;IF(OR(AND($E195&lt;&gt;"",NOT(ISNUMBER($E195))),AND($F195&lt;&gt;"",NOT(ISNUMBER($F195))),AND($G195&lt;&gt;"",NOT(ISNUMBER($G195)))),"Fecha no válida"&amp;" · ","")&amp;IF(AND(ISNUMBER($AM195),ISNUMBER($AN195),$AM195&gt;$AN195),"Inicio posterior a fecha límite"&amp;" · ","")&amp;IF(AND($V195="Macro",$H195&lt;&gt;"",OR(NOT(ISNUMBER($H195)),$H195&lt;0,$H195&gt;1)),"Peso fuera de rango"&amp;" · ","")&amp;IF(AND($V195="Sub",$H195&lt;&gt;""),"Las subactividades no llevan peso (valen igual dentro de su macroactividad)"&amp;" · ","")&amp;IF(AND(N($W195)&gt;0,COUNT($I195:$L195)&gt;0),"Con subactividades: deje vacías las semanas (se calculan solas)"&amp;" · ","")&amp;IF((COUNTIF($I195:$L195,"&gt;1")+COUNTIF($I195:$L195,"&lt;0")+COUNTA($I195:$L195)-COUNT($I195:$L195))&gt;0,"Avance fuera de rango 0-100%"&amp;" · ","")&amp;IF(OR(AND($J195&lt;&gt;"",$J195&lt;$I195),AND($K195&lt;&gt;"",$K195&lt;MAX($I195:$J195)),AND($L195&lt;&gt;"",$L195&lt;MAX($I195:$K195))),"Avance semanal decreciente"&amp;" · ","")&amp;IF(AND(ISNUMBER($AN195),$AN195&lt;FechaRef,IF($V195="Sub",N($X195),N($M195))&lt;1),"Vencida"&amp;" · ","")&amp;IF(AND(ObsObligatoria="Sí",ISNUMBER($AN195),$AN195&lt;FechaRef,IF($V195="Sub",N($X195),N($M195))&lt;1,$Q195=""),"Vencida sin observación"&amp;" · ",""))-3)))</f>
        <v/>
      </c>
      <c r="S195" s="64">
        <f>IF(NOT((COUNTA($B195:$D195)+COUNTA($G195:$L195)+COUNTA($Q195))&gt;0),"",IF(AND($V195="Sub",N($U195)&gt;0),IF(ISNUMBER(INDEX($AM$5:$AM$1000,$U195-4)),DATE(YEAR(INDEX($AM$5:$AM$1000,$U195-4)),MONTH(INDEX($AM$5:$AM$1000,$U195-4)),1),IF(ISNUMBER(INDEX($AN$5:$AN$1000,$U195-4)),DATE(YEAR(INDEX($AN$5:$AN$1000,$U195-4)),MONTH(INDEX($AN$5:$AN$1000,$U195-4)),1),MesCiclo)),IF(ISNUMBER($AM195),DATE(YEAR($AM195),MONTH($AM195),1),IF(ISNUMBER($AN195),DATE(YEAR($AN195),MONTH($AN195),1),MesCiclo))))</f>
        <v/>
      </c>
      <c r="T195" s="62">
        <f>IF(OR($S195="",$S195&lt;&gt;MesCiclo,$V195&lt;&gt;"Macro"),"",COUNTIFS($S$5:$S195,MesCiclo,$V$5:$V195,"Macro"))</f>
        <v/>
      </c>
      <c r="U195" s="62">
        <f>IF($V195="","",IF($V195="Macro",ROW(),IFERROR(LOOKUP(2,1/($V$5:$V195="Macro"),ROW($V$5:$V195)),0)))</f>
        <v/>
      </c>
      <c r="V195" s="62">
        <f>IF(NOT((COUNTA($B195:$D195)+COUNTA($G195:$L195)+COUNTA($Q195))&gt;0),"",IF($B195="Subactividad","Sub","Macro"))</f>
        <v/>
      </c>
      <c r="W195" s="62">
        <f>IF($V195="Macro",COUNTIFS($U$5:$U$1000,ROW(),$V$5:$V$1000,"Sub"),"")</f>
        <v/>
      </c>
      <c r="X195" s="62">
        <f>IF($V195="","",IF(ISNUMBER($G195),1,IFERROR(LOOKUP(2,1/($I195:$L195&lt;&gt;""),$I195:$L195),0)))</f>
        <v/>
      </c>
      <c r="Y195" s="62">
        <f>IF($V195="","",IF(AND(ISNUMBER($G195),$G195&lt;=IF($S195=MesCiclo,InicioCiclo,$S195+MOD(2-WEEKDAY($S195),7))+6),1,IF(ISNUMBER($I195),$I195,0)))</f>
        <v/>
      </c>
      <c r="Z195" s="62">
        <f>IF($V195="","",IF(AND(ISNUMBER($G195),$G195&lt;=IF($S195=MesCiclo,InicioCiclo,$S195+MOD(2-WEEKDAY($S195),7))+13),1,IF(ISNUMBER($J195),$J195,$Y195)))</f>
        <v/>
      </c>
      <c r="AA195" s="62">
        <f>IF($V195="","",IF(AND(ISNUMBER($G195),$G195&lt;=IF($S195=MesCiclo,InicioCiclo,$S195+MOD(2-WEEKDAY($S195),7))+20),1,IF(ISNUMBER($K195),$K195,$Z195)))</f>
        <v/>
      </c>
      <c r="AB195" s="62">
        <f>IF($V195="","",IF(AND(ISNUMBER($G195),$G195&lt;=IF($S195=MesCiclo,InicioCiclo,$S195+MOD(2-WEEKDAY($S195),7))+27),1,IF(ISNUMBER($L195),$L195,$AA195)))</f>
        <v/>
      </c>
      <c r="AC195" s="62">
        <f>IF($V195="","",IF(AND(ISNUMBER($G195),$G195&lt;=IF($S195=MesCiclo,InicioCiclo,$S195+MOD(2-WEEKDAY($S195),7))+6),1,IF(N($W195)&gt;0,AVERAGEIFS($Y$5:$Y$1000,$U$5:$U$1000,ROW(),$V$5:$V$1000,"Sub"),$Y195)))</f>
        <v/>
      </c>
      <c r="AD195" s="62">
        <f>IF($V195="","",IF(AND(ISNUMBER($G195),$G195&lt;=IF($S195=MesCiclo,InicioCiclo,$S195+MOD(2-WEEKDAY($S195),7))+13),1,IF(N($W195)&gt;0,AVERAGEIFS($Z$5:$Z$1000,$U$5:$U$1000,ROW(),$V$5:$V$1000,"Sub"),$Z195)))</f>
        <v/>
      </c>
      <c r="AE195" s="62">
        <f>IF($V195="","",IF(AND(ISNUMBER($G195),$G195&lt;=IF($S195=MesCiclo,InicioCiclo,$S195+MOD(2-WEEKDAY($S195),7))+20),1,IF(N($W195)&gt;0,AVERAGEIFS($AA$5:$AA$1000,$U$5:$U$1000,ROW(),$V$5:$V$1000,"Sub"),$AA195)))</f>
        <v/>
      </c>
      <c r="AF195" s="62">
        <f>IF($V195="","",IF(AND(ISNUMBER($G195),$G195&lt;=IF($S195=MesCiclo,InicioCiclo,$S195+MOD(2-WEEKDAY($S195),7))+27),1,IF(N($W195)&gt;0,AVERAGEIFS($AB$5:$AB$1000,$U$5:$U$1000,ROW(),$V$5:$V$1000,"Sub"),$AB195)))</f>
        <v/>
      </c>
      <c r="AG195" s="62">
        <f>IF($V195&lt;&gt;"Macro","",IF(COUNTIFS($S$5:$S$1000,$S195,$V$5:$V$1000,"Macro",$H$5:$H$1000,"&gt;0")=0,1/COUNTIFS($S$5:$S$1000,$S195,$V$5:$V$1000,"Macro"),IF(AND(ISNUMBER($H195),N($H195)&gt;0),$H195,SUMIFS($H$5:$H$1000,$S$5:$S$1000,$S195,$V$5:$V$1000,"Macro")/COUNTIFS($S$5:$S$1000,$S195,$V$5:$V$1000,"Macro",$H$5:$H$1000,"&gt;0"))/(COUNTIFS($S$5:$S$1000,$S195,$V$5:$V$1000,"Macro")*SUMIFS($H$5:$H$1000,$S$5:$S$1000,$S195,$V$5:$V$1000,"Macro")/COUNTIFS($S$5:$S$1000,$S195,$V$5:$V$1000,"Macro",$H$5:$H$1000,"&gt;0"))))</f>
        <v/>
      </c>
      <c r="AH195" s="62">
        <f>IF(NOT(AND($D195&lt;&gt;"",$V195="Macro")),"",IFERROR(CHOOSE(MATCH($D195,ListaPuestos,0),MATCH("[Jefatura] "&amp;$C195,'Cronograma R. Operacional'!$C$5:$C$1000,0),MATCH("[Jefatura] "&amp;$C195,'Cronograma R. Normativo'!$C$5:$C$1000,0),MATCH("[Jefatura] "&amp;$C195,'Cronograma R. Financiero'!$C$5:$C$1000,0),MATCH("[Jefatura] "&amp;$C195,'Cronograma Asistente Técnico'!$C$5:$C$1000,0)),0))</f>
        <v/>
      </c>
      <c r="AI195" s="62">
        <f>IF(AND(AND($D195&lt;&gt;"",$V195="Macro"),$S195=MesCiclo),COUNTIFS($D$5:$D195,$D195,$S$5:$S195,MesCiclo,$V$5:$V195,"Macro"),"")</f>
        <v/>
      </c>
      <c r="AJ195" s="62">
        <f>IF($AI195="","",$D195&amp;"|"&amp;$AI195)</f>
        <v/>
      </c>
      <c r="AK195" s="62">
        <f>IF(AND($D195&lt;&gt;"",$V195="Macro"),$D195&amp;"|"&amp;$C195,"")</f>
        <v/>
      </c>
      <c r="AL195" s="62">
        <f>""</f>
        <v/>
      </c>
      <c r="AM195" s="62">
        <f>IF(N($AL195)&gt;0,INDEX(rIni_ADM,$AL195),IF(ISNUMBER($E195),$E195,""))</f>
        <v/>
      </c>
      <c r="AN195" s="62">
        <f>IF(N($AL195)&gt;0,INDEX(rLim_ADM,$AL195),IF(ISNUMBER($F195),$F195,""))</f>
        <v/>
      </c>
    </row>
    <row r="196">
      <c r="A196" s="56">
        <f>IF(NOT((COUNTA($B196:$D196)+COUNTA($G196:$L196)+COUNTA($Q196))&gt;0),"",IF($V196="Macro",COUNTIFS($V$5:$V196,"Macro",$S$5:$S196,$S196),IF(N($U196)=0,"?",COUNTIFS(INDEX($V$5:$V$1000,1):INDEX($V$5:$V$1000,$U196-4),"Macro",INDEX($S$5:$S$1000,1):INDEX($S$5:$S$1000,$U196-4),INDEX($S$5:$S$1000,$U196-4))&amp;"."&amp;COUNTIFS($U$5:$U196,$U196,$V$5:$V196,"Sub"))))</f>
        <v/>
      </c>
      <c r="B196" s="57" t="n"/>
      <c r="C196" s="58" t="n"/>
      <c r="D196" s="58" t="n"/>
      <c r="E196" s="59" t="n"/>
      <c r="F196" s="59" t="n"/>
      <c r="G196" s="59" t="n"/>
      <c r="H196" s="60" t="n"/>
      <c r="I196" s="60" t="n"/>
      <c r="J196" s="60" t="n"/>
      <c r="K196" s="60" t="n"/>
      <c r="L196" s="60" t="n"/>
      <c r="M196" s="61">
        <f>IF(NOT((COUNTA($B196:$D196)+COUNTA($G196:$L196)+COUNTA($Q196))&gt;0),"",IF(AND($D196&lt;&gt;"",$V196="Macro"),IF(N($AH196)&gt;0,N(CHOOSE(MATCH($D196,ListaPuestos,0),INDEX('Cronograma R. Operacional'!$M$5:$M$1000,$AH196),INDEX('Cronograma R. Normativo'!$M$5:$M$1000,$AH196),INDEX('Cronograma R. Financiero'!$M$5:$M$1000,$AH196),INDEX('Cronograma Asistente Técnico'!$M$5:$M$1000,$AH196))),0),IF(ISNUMBER($G196),1,IF(N($W196)&gt;0,AVERAGEIFS($X$5:$X$1000,$U$5:$U$1000,ROW(),$V$5:$V$1000,"Sub"),$X196))))</f>
        <v/>
      </c>
      <c r="N196" s="56">
        <f>IF(OR($M196="",$V196="Sub"),"",IF($M196&gt;=1,"Completado",IF($M196&gt;0,"En curso","Pendiente")))</f>
        <v/>
      </c>
      <c r="O196" s="56">
        <f>IF(NOT((COUNTA($B196:$D196)+COUNTA($G196:$L196)+COUNTA($Q196))&gt;0),"",IF(AND(AND($D196&lt;&gt;"",$V196="Macro"),N($AH196)&gt;0),CHOOSE(MATCH($D196,ListaPuestos,0),INDEX('Cronograma R. Operacional'!$O$5:$O$1000,$AH196),INDEX('Cronograma R. Normativo'!$O$5:$O$1000,$AH196),INDEX('Cronograma R. Financiero'!$O$5:$O$1000,$AH196),INDEX('Cronograma Asistente Técnico'!$O$5:$O$1000,$AH196))&amp;"",IF(ISNUMBER($G196),IF(AND(ISNUMBER($AN196),$G196&gt;$AN196),"Cumplida con "&amp;($G196-$AN196)&amp;IF($G196-$AN196=1," día"," días")&amp;" de retraso","Cumplida"),IF(N($M196)&gt;=1,"Cumplida",IF(NOT(ISNUMBER($AN196)),"Sin fecha límite",IF($AN196&lt;FechaRef,"Vencida hace "&amp;(FechaRef-$AN196)&amp;IF(FechaRef-$AN196=1," día"," días"),IF($AN196=FechaRef,"Vence hoy",IF($AN196-FechaRef&lt;=DiasAlerta,"Vence en "&amp;($AN196-FechaRef)&amp;IF($AN196-FechaRef=1," día"," días"),"En plazo"))))))))</f>
        <v/>
      </c>
      <c r="P196" s="62">
        <f>IF(NOT((COUNTA($B196:$D196)+COUNTA($G196:$L196)+COUNTA($Q196))&gt;0),"",IF($D196="","Propia",IF($V196&lt;&gt;"Macro","Solo se delegan macroactividades",IF(N($AH196)&gt;0,"✔ Recibida por "&amp;$D196,"⚠ "&amp;$D196&amp;" aún no la agrega"))))</f>
        <v/>
      </c>
      <c r="Q196" s="58" t="n"/>
      <c r="R196" s="63">
        <f>IF(NOT((COUNTA($B196:$D196)+COUNTA($G196:$L196)+COUNTA($Q196))&gt;0),"",IF((IF($C196="","Falta el nombre de la actividad"&amp;" · ","")&amp;IF(AND($V196="Sub",N($U196)=0),"Subactividad sin macroactividad arriba"&amp;" · ","")&amp;IF($AM196="","Sin fecha de inicio"&amp;" · ","")&amp;IF($AN196="","Sin fecha límite"&amp;" · ","")&amp;IF(AND(LEFT($C196,11)="[Jefatura] ",N($AL196)=0),"No se encuentra en la hoja de la jefatura (elíjala de nuevo en la lista)"&amp;" · ","")&amp;IF(OR(AND($E196&lt;&gt;"",NOT(ISNUMBER($E196))),AND($F196&lt;&gt;"",NOT(ISNUMBER($F196))),AND($G196&lt;&gt;"",NOT(ISNUMBER($G196)))),"Fecha no válida"&amp;" · ","")&amp;IF(AND(ISNUMBER($AM196),ISNUMBER($AN196),$AM196&gt;$AN196),"Inicio posterior a fecha límite"&amp;" · ","")&amp;IF(AND($V196="Macro",$H196&lt;&gt;"",OR(NOT(ISNUMBER($H196)),$H196&lt;0,$H196&gt;1)),"Peso fuera de rango"&amp;" · ","")&amp;IF(AND($V196="Sub",$H196&lt;&gt;""),"Las subactividades no llevan peso (valen igual dentro de su macroactividad)"&amp;" · ","")&amp;IF(AND(N($W196)&gt;0,COUNT($I196:$L196)&gt;0),"Con subactividades: deje vacías las semanas (se calculan solas)"&amp;" · ","")&amp;IF((COUNTIF($I196:$L196,"&gt;1")+COUNTIF($I196:$L196,"&lt;0")+COUNTA($I196:$L196)-COUNT($I196:$L196))&gt;0,"Avance fuera de rango 0-100%"&amp;" · ","")&amp;IF(OR(AND($J196&lt;&gt;"",$J196&lt;$I196),AND($K196&lt;&gt;"",$K196&lt;MAX($I196:$J196)),AND($L196&lt;&gt;"",$L196&lt;MAX($I196:$K196))),"Avance semanal decreciente"&amp;" · ","")&amp;IF(AND(ISNUMBER($AN196),$AN196&lt;FechaRef,IF($V196="Sub",N($X196),N($M196))&lt;1),"Vencida"&amp;" · ","")&amp;IF(AND(ObsObligatoria="Sí",ISNUMBER($AN196),$AN196&lt;FechaRef,IF($V196="Sub",N($X196),N($M196))&lt;1,$Q196=""),"Vencida sin observación"&amp;" · ",""))="","✔ OK","⚠ "&amp;LEFT(IF($C196="","Falta el nombre de la actividad"&amp;" · ","")&amp;IF(AND($V196="Sub",N($U196)=0),"Subactividad sin macroactividad arriba"&amp;" · ","")&amp;IF($AM196="","Sin fecha de inicio"&amp;" · ","")&amp;IF($AN196="","Sin fecha límite"&amp;" · ","")&amp;IF(AND(LEFT($C196,11)="[Jefatura] ",N($AL196)=0),"No se encuentra en la hoja de la jefatura (elíjala de nuevo en la lista)"&amp;" · ","")&amp;IF(OR(AND($E196&lt;&gt;"",NOT(ISNUMBER($E196))),AND($F196&lt;&gt;"",NOT(ISNUMBER($F196))),AND($G196&lt;&gt;"",NOT(ISNUMBER($G196)))),"Fecha no válida"&amp;" · ","")&amp;IF(AND(ISNUMBER($AM196),ISNUMBER($AN196),$AM196&gt;$AN196),"Inicio posterior a fecha límite"&amp;" · ","")&amp;IF(AND($V196="Macro",$H196&lt;&gt;"",OR(NOT(ISNUMBER($H196)),$H196&lt;0,$H196&gt;1)),"Peso fuera de rango"&amp;" · ","")&amp;IF(AND($V196="Sub",$H196&lt;&gt;""),"Las subactividades no llevan peso (valen igual dentro de su macroactividad)"&amp;" · ","")&amp;IF(AND(N($W196)&gt;0,COUNT($I196:$L196)&gt;0),"Con subactividades: deje vacías las semanas (se calculan solas)"&amp;" · ","")&amp;IF((COUNTIF($I196:$L196,"&gt;1")+COUNTIF($I196:$L196,"&lt;0")+COUNTA($I196:$L196)-COUNT($I196:$L196))&gt;0,"Avance fuera de rango 0-100%"&amp;" · ","")&amp;IF(OR(AND($J196&lt;&gt;"",$J196&lt;$I196),AND($K196&lt;&gt;"",$K196&lt;MAX($I196:$J196)),AND($L196&lt;&gt;"",$L196&lt;MAX($I196:$K196))),"Avance semanal decreciente"&amp;" · ","")&amp;IF(AND(ISNUMBER($AN196),$AN196&lt;FechaRef,IF($V196="Sub",N($X196),N($M196))&lt;1),"Vencida"&amp;" · ","")&amp;IF(AND(ObsObligatoria="Sí",ISNUMBER($AN196),$AN196&lt;FechaRef,IF($V196="Sub",N($X196),N($M196))&lt;1,$Q196=""),"Vencida sin observación"&amp;" · ",""),LEN(IF($C196="","Falta el nombre de la actividad"&amp;" · ","")&amp;IF(AND($V196="Sub",N($U196)=0),"Subactividad sin macroactividad arriba"&amp;" · ","")&amp;IF($AM196="","Sin fecha de inicio"&amp;" · ","")&amp;IF($AN196="","Sin fecha límite"&amp;" · ","")&amp;IF(AND(LEFT($C196,11)="[Jefatura] ",N($AL196)=0),"No se encuentra en la hoja de la jefatura (elíjala de nuevo en la lista)"&amp;" · ","")&amp;IF(OR(AND($E196&lt;&gt;"",NOT(ISNUMBER($E196))),AND($F196&lt;&gt;"",NOT(ISNUMBER($F196))),AND($G196&lt;&gt;"",NOT(ISNUMBER($G196)))),"Fecha no válida"&amp;" · ","")&amp;IF(AND(ISNUMBER($AM196),ISNUMBER($AN196),$AM196&gt;$AN196),"Inicio posterior a fecha límite"&amp;" · ","")&amp;IF(AND($V196="Macro",$H196&lt;&gt;"",OR(NOT(ISNUMBER($H196)),$H196&lt;0,$H196&gt;1)),"Peso fuera de rango"&amp;" · ","")&amp;IF(AND($V196="Sub",$H196&lt;&gt;""),"Las subactividades no llevan peso (valen igual dentro de su macroactividad)"&amp;" · ","")&amp;IF(AND(N($W196)&gt;0,COUNT($I196:$L196)&gt;0),"Con subactividades: deje vacías las semanas (se calculan solas)"&amp;" · ","")&amp;IF((COUNTIF($I196:$L196,"&gt;1")+COUNTIF($I196:$L196,"&lt;0")+COUNTA($I196:$L196)-COUNT($I196:$L196))&gt;0,"Avance fuera de rango 0-100%"&amp;" · ","")&amp;IF(OR(AND($J196&lt;&gt;"",$J196&lt;$I196),AND($K196&lt;&gt;"",$K196&lt;MAX($I196:$J196)),AND($L196&lt;&gt;"",$L196&lt;MAX($I196:$K196))),"Avance semanal decreciente"&amp;" · ","")&amp;IF(AND(ISNUMBER($AN196),$AN196&lt;FechaRef,IF($V196="Sub",N($X196),N($M196))&lt;1),"Vencida"&amp;" · ","")&amp;IF(AND(ObsObligatoria="Sí",ISNUMBER($AN196),$AN196&lt;FechaRef,IF($V196="Sub",N($X196),N($M196))&lt;1,$Q196=""),"Vencida sin observación"&amp;" · ",""))-3)))</f>
        <v/>
      </c>
      <c r="S196" s="64">
        <f>IF(NOT((COUNTA($B196:$D196)+COUNTA($G196:$L196)+COUNTA($Q196))&gt;0),"",IF(AND($V196="Sub",N($U196)&gt;0),IF(ISNUMBER(INDEX($AM$5:$AM$1000,$U196-4)),DATE(YEAR(INDEX($AM$5:$AM$1000,$U196-4)),MONTH(INDEX($AM$5:$AM$1000,$U196-4)),1),IF(ISNUMBER(INDEX($AN$5:$AN$1000,$U196-4)),DATE(YEAR(INDEX($AN$5:$AN$1000,$U196-4)),MONTH(INDEX($AN$5:$AN$1000,$U196-4)),1),MesCiclo)),IF(ISNUMBER($AM196),DATE(YEAR($AM196),MONTH($AM196),1),IF(ISNUMBER($AN196),DATE(YEAR($AN196),MONTH($AN196),1),MesCiclo))))</f>
        <v/>
      </c>
      <c r="T196" s="62">
        <f>IF(OR($S196="",$S196&lt;&gt;MesCiclo,$V196&lt;&gt;"Macro"),"",COUNTIFS($S$5:$S196,MesCiclo,$V$5:$V196,"Macro"))</f>
        <v/>
      </c>
      <c r="U196" s="62">
        <f>IF($V196="","",IF($V196="Macro",ROW(),IFERROR(LOOKUP(2,1/($V$5:$V196="Macro"),ROW($V$5:$V196)),0)))</f>
        <v/>
      </c>
      <c r="V196" s="62">
        <f>IF(NOT((COUNTA($B196:$D196)+COUNTA($G196:$L196)+COUNTA($Q196))&gt;0),"",IF($B196="Subactividad","Sub","Macro"))</f>
        <v/>
      </c>
      <c r="W196" s="62">
        <f>IF($V196="Macro",COUNTIFS($U$5:$U$1000,ROW(),$V$5:$V$1000,"Sub"),"")</f>
        <v/>
      </c>
      <c r="X196" s="62">
        <f>IF($V196="","",IF(ISNUMBER($G196),1,IFERROR(LOOKUP(2,1/($I196:$L196&lt;&gt;""),$I196:$L196),0)))</f>
        <v/>
      </c>
      <c r="Y196" s="62">
        <f>IF($V196="","",IF(AND(ISNUMBER($G196),$G196&lt;=IF($S196=MesCiclo,InicioCiclo,$S196+MOD(2-WEEKDAY($S196),7))+6),1,IF(ISNUMBER($I196),$I196,0)))</f>
        <v/>
      </c>
      <c r="Z196" s="62">
        <f>IF($V196="","",IF(AND(ISNUMBER($G196),$G196&lt;=IF($S196=MesCiclo,InicioCiclo,$S196+MOD(2-WEEKDAY($S196),7))+13),1,IF(ISNUMBER($J196),$J196,$Y196)))</f>
        <v/>
      </c>
      <c r="AA196" s="62">
        <f>IF($V196="","",IF(AND(ISNUMBER($G196),$G196&lt;=IF($S196=MesCiclo,InicioCiclo,$S196+MOD(2-WEEKDAY($S196),7))+20),1,IF(ISNUMBER($K196),$K196,$Z196)))</f>
        <v/>
      </c>
      <c r="AB196" s="62">
        <f>IF($V196="","",IF(AND(ISNUMBER($G196),$G196&lt;=IF($S196=MesCiclo,InicioCiclo,$S196+MOD(2-WEEKDAY($S196),7))+27),1,IF(ISNUMBER($L196),$L196,$AA196)))</f>
        <v/>
      </c>
      <c r="AC196" s="62">
        <f>IF($V196="","",IF(AND(ISNUMBER($G196),$G196&lt;=IF($S196=MesCiclo,InicioCiclo,$S196+MOD(2-WEEKDAY($S196),7))+6),1,IF(N($W196)&gt;0,AVERAGEIFS($Y$5:$Y$1000,$U$5:$U$1000,ROW(),$V$5:$V$1000,"Sub"),$Y196)))</f>
        <v/>
      </c>
      <c r="AD196" s="62">
        <f>IF($V196="","",IF(AND(ISNUMBER($G196),$G196&lt;=IF($S196=MesCiclo,InicioCiclo,$S196+MOD(2-WEEKDAY($S196),7))+13),1,IF(N($W196)&gt;0,AVERAGEIFS($Z$5:$Z$1000,$U$5:$U$1000,ROW(),$V$5:$V$1000,"Sub"),$Z196)))</f>
        <v/>
      </c>
      <c r="AE196" s="62">
        <f>IF($V196="","",IF(AND(ISNUMBER($G196),$G196&lt;=IF($S196=MesCiclo,InicioCiclo,$S196+MOD(2-WEEKDAY($S196),7))+20),1,IF(N($W196)&gt;0,AVERAGEIFS($AA$5:$AA$1000,$U$5:$U$1000,ROW(),$V$5:$V$1000,"Sub"),$AA196)))</f>
        <v/>
      </c>
      <c r="AF196" s="62">
        <f>IF($V196="","",IF(AND(ISNUMBER($G196),$G196&lt;=IF($S196=MesCiclo,InicioCiclo,$S196+MOD(2-WEEKDAY($S196),7))+27),1,IF(N($W196)&gt;0,AVERAGEIFS($AB$5:$AB$1000,$U$5:$U$1000,ROW(),$V$5:$V$1000,"Sub"),$AB196)))</f>
        <v/>
      </c>
      <c r="AG196" s="62">
        <f>IF($V196&lt;&gt;"Macro","",IF(COUNTIFS($S$5:$S$1000,$S196,$V$5:$V$1000,"Macro",$H$5:$H$1000,"&gt;0")=0,1/COUNTIFS($S$5:$S$1000,$S196,$V$5:$V$1000,"Macro"),IF(AND(ISNUMBER($H196),N($H196)&gt;0),$H196,SUMIFS($H$5:$H$1000,$S$5:$S$1000,$S196,$V$5:$V$1000,"Macro")/COUNTIFS($S$5:$S$1000,$S196,$V$5:$V$1000,"Macro",$H$5:$H$1000,"&gt;0"))/(COUNTIFS($S$5:$S$1000,$S196,$V$5:$V$1000,"Macro")*SUMIFS($H$5:$H$1000,$S$5:$S$1000,$S196,$V$5:$V$1000,"Macro")/COUNTIFS($S$5:$S$1000,$S196,$V$5:$V$1000,"Macro",$H$5:$H$1000,"&gt;0"))))</f>
        <v/>
      </c>
      <c r="AH196" s="62">
        <f>IF(NOT(AND($D196&lt;&gt;"",$V196="Macro")),"",IFERROR(CHOOSE(MATCH($D196,ListaPuestos,0),MATCH("[Jefatura] "&amp;$C196,'Cronograma R. Operacional'!$C$5:$C$1000,0),MATCH("[Jefatura] "&amp;$C196,'Cronograma R. Normativo'!$C$5:$C$1000,0),MATCH("[Jefatura] "&amp;$C196,'Cronograma R. Financiero'!$C$5:$C$1000,0),MATCH("[Jefatura] "&amp;$C196,'Cronograma Asistente Técnico'!$C$5:$C$1000,0)),0))</f>
        <v/>
      </c>
      <c r="AI196" s="62">
        <f>IF(AND(AND($D196&lt;&gt;"",$V196="Macro"),$S196=MesCiclo),COUNTIFS($D$5:$D196,$D196,$S$5:$S196,MesCiclo,$V$5:$V196,"Macro"),"")</f>
        <v/>
      </c>
      <c r="AJ196" s="62">
        <f>IF($AI196="","",$D196&amp;"|"&amp;$AI196)</f>
        <v/>
      </c>
      <c r="AK196" s="62">
        <f>IF(AND($D196&lt;&gt;"",$V196="Macro"),$D196&amp;"|"&amp;$C196,"")</f>
        <v/>
      </c>
      <c r="AL196" s="62">
        <f>""</f>
        <v/>
      </c>
      <c r="AM196" s="62">
        <f>IF(N($AL196)&gt;0,INDEX(rIni_ADM,$AL196),IF(ISNUMBER($E196),$E196,""))</f>
        <v/>
      </c>
      <c r="AN196" s="62">
        <f>IF(N($AL196)&gt;0,INDEX(rLim_ADM,$AL196),IF(ISNUMBER($F196),$F196,""))</f>
        <v/>
      </c>
    </row>
    <row r="197">
      <c r="A197" s="56">
        <f>IF(NOT((COUNTA($B197:$D197)+COUNTA($G197:$L197)+COUNTA($Q197))&gt;0),"",IF($V197="Macro",COUNTIFS($V$5:$V197,"Macro",$S$5:$S197,$S197),IF(N($U197)=0,"?",COUNTIFS(INDEX($V$5:$V$1000,1):INDEX($V$5:$V$1000,$U197-4),"Macro",INDEX($S$5:$S$1000,1):INDEX($S$5:$S$1000,$U197-4),INDEX($S$5:$S$1000,$U197-4))&amp;"."&amp;COUNTIFS($U$5:$U197,$U197,$V$5:$V197,"Sub"))))</f>
        <v/>
      </c>
      <c r="B197" s="57" t="n"/>
      <c r="C197" s="58" t="n"/>
      <c r="D197" s="58" t="n"/>
      <c r="E197" s="59" t="n"/>
      <c r="F197" s="59" t="n"/>
      <c r="G197" s="59" t="n"/>
      <c r="H197" s="60" t="n"/>
      <c r="I197" s="60" t="n"/>
      <c r="J197" s="60" t="n"/>
      <c r="K197" s="60" t="n"/>
      <c r="L197" s="60" t="n"/>
      <c r="M197" s="61">
        <f>IF(NOT((COUNTA($B197:$D197)+COUNTA($G197:$L197)+COUNTA($Q197))&gt;0),"",IF(AND($D197&lt;&gt;"",$V197="Macro"),IF(N($AH197)&gt;0,N(CHOOSE(MATCH($D197,ListaPuestos,0),INDEX('Cronograma R. Operacional'!$M$5:$M$1000,$AH197),INDEX('Cronograma R. Normativo'!$M$5:$M$1000,$AH197),INDEX('Cronograma R. Financiero'!$M$5:$M$1000,$AH197),INDEX('Cronograma Asistente Técnico'!$M$5:$M$1000,$AH197))),0),IF(ISNUMBER($G197),1,IF(N($W197)&gt;0,AVERAGEIFS($X$5:$X$1000,$U$5:$U$1000,ROW(),$V$5:$V$1000,"Sub"),$X197))))</f>
        <v/>
      </c>
      <c r="N197" s="56">
        <f>IF(OR($M197="",$V197="Sub"),"",IF($M197&gt;=1,"Completado",IF($M197&gt;0,"En curso","Pendiente")))</f>
        <v/>
      </c>
      <c r="O197" s="56">
        <f>IF(NOT((COUNTA($B197:$D197)+COUNTA($G197:$L197)+COUNTA($Q197))&gt;0),"",IF(AND(AND($D197&lt;&gt;"",$V197="Macro"),N($AH197)&gt;0),CHOOSE(MATCH($D197,ListaPuestos,0),INDEX('Cronograma R. Operacional'!$O$5:$O$1000,$AH197),INDEX('Cronograma R. Normativo'!$O$5:$O$1000,$AH197),INDEX('Cronograma R. Financiero'!$O$5:$O$1000,$AH197),INDEX('Cronograma Asistente Técnico'!$O$5:$O$1000,$AH197))&amp;"",IF(ISNUMBER($G197),IF(AND(ISNUMBER($AN197),$G197&gt;$AN197),"Cumplida con "&amp;($G197-$AN197)&amp;IF($G197-$AN197=1," día"," días")&amp;" de retraso","Cumplida"),IF(N($M197)&gt;=1,"Cumplida",IF(NOT(ISNUMBER($AN197)),"Sin fecha límite",IF($AN197&lt;FechaRef,"Vencida hace "&amp;(FechaRef-$AN197)&amp;IF(FechaRef-$AN197=1," día"," días"),IF($AN197=FechaRef,"Vence hoy",IF($AN197-FechaRef&lt;=DiasAlerta,"Vence en "&amp;($AN197-FechaRef)&amp;IF($AN197-FechaRef=1," día"," días"),"En plazo"))))))))</f>
        <v/>
      </c>
      <c r="P197" s="62">
        <f>IF(NOT((COUNTA($B197:$D197)+COUNTA($G197:$L197)+COUNTA($Q197))&gt;0),"",IF($D197="","Propia",IF($V197&lt;&gt;"Macro","Solo se delegan macroactividades",IF(N($AH197)&gt;0,"✔ Recibida por "&amp;$D197,"⚠ "&amp;$D197&amp;" aún no la agrega"))))</f>
        <v/>
      </c>
      <c r="Q197" s="58" t="n"/>
      <c r="R197" s="63">
        <f>IF(NOT((COUNTA($B197:$D197)+COUNTA($G197:$L197)+COUNTA($Q197))&gt;0),"",IF((IF($C197="","Falta el nombre de la actividad"&amp;" · ","")&amp;IF(AND($V197="Sub",N($U197)=0),"Subactividad sin macroactividad arriba"&amp;" · ","")&amp;IF($AM197="","Sin fecha de inicio"&amp;" · ","")&amp;IF($AN197="","Sin fecha límite"&amp;" · ","")&amp;IF(AND(LEFT($C197,11)="[Jefatura] ",N($AL197)=0),"No se encuentra en la hoja de la jefatura (elíjala de nuevo en la lista)"&amp;" · ","")&amp;IF(OR(AND($E197&lt;&gt;"",NOT(ISNUMBER($E197))),AND($F197&lt;&gt;"",NOT(ISNUMBER($F197))),AND($G197&lt;&gt;"",NOT(ISNUMBER($G197)))),"Fecha no válida"&amp;" · ","")&amp;IF(AND(ISNUMBER($AM197),ISNUMBER($AN197),$AM197&gt;$AN197),"Inicio posterior a fecha límite"&amp;" · ","")&amp;IF(AND($V197="Macro",$H197&lt;&gt;"",OR(NOT(ISNUMBER($H197)),$H197&lt;0,$H197&gt;1)),"Peso fuera de rango"&amp;" · ","")&amp;IF(AND($V197="Sub",$H197&lt;&gt;""),"Las subactividades no llevan peso (valen igual dentro de su macroactividad)"&amp;" · ","")&amp;IF(AND(N($W197)&gt;0,COUNT($I197:$L197)&gt;0),"Con subactividades: deje vacías las semanas (se calculan solas)"&amp;" · ","")&amp;IF((COUNTIF($I197:$L197,"&gt;1")+COUNTIF($I197:$L197,"&lt;0")+COUNTA($I197:$L197)-COUNT($I197:$L197))&gt;0,"Avance fuera de rango 0-100%"&amp;" · ","")&amp;IF(OR(AND($J197&lt;&gt;"",$J197&lt;$I197),AND($K197&lt;&gt;"",$K197&lt;MAX($I197:$J197)),AND($L197&lt;&gt;"",$L197&lt;MAX($I197:$K197))),"Avance semanal decreciente"&amp;" · ","")&amp;IF(AND(ISNUMBER($AN197),$AN197&lt;FechaRef,IF($V197="Sub",N($X197),N($M197))&lt;1),"Vencida"&amp;" · ","")&amp;IF(AND(ObsObligatoria="Sí",ISNUMBER($AN197),$AN197&lt;FechaRef,IF($V197="Sub",N($X197),N($M197))&lt;1,$Q197=""),"Vencida sin observación"&amp;" · ",""))="","✔ OK","⚠ "&amp;LEFT(IF($C197="","Falta el nombre de la actividad"&amp;" · ","")&amp;IF(AND($V197="Sub",N($U197)=0),"Subactividad sin macroactividad arriba"&amp;" · ","")&amp;IF($AM197="","Sin fecha de inicio"&amp;" · ","")&amp;IF($AN197="","Sin fecha límite"&amp;" · ","")&amp;IF(AND(LEFT($C197,11)="[Jefatura] ",N($AL197)=0),"No se encuentra en la hoja de la jefatura (elíjala de nuevo en la lista)"&amp;" · ","")&amp;IF(OR(AND($E197&lt;&gt;"",NOT(ISNUMBER($E197))),AND($F197&lt;&gt;"",NOT(ISNUMBER($F197))),AND($G197&lt;&gt;"",NOT(ISNUMBER($G197)))),"Fecha no válida"&amp;" · ","")&amp;IF(AND(ISNUMBER($AM197),ISNUMBER($AN197),$AM197&gt;$AN197),"Inicio posterior a fecha límite"&amp;" · ","")&amp;IF(AND($V197="Macro",$H197&lt;&gt;"",OR(NOT(ISNUMBER($H197)),$H197&lt;0,$H197&gt;1)),"Peso fuera de rango"&amp;" · ","")&amp;IF(AND($V197="Sub",$H197&lt;&gt;""),"Las subactividades no llevan peso (valen igual dentro de su macroactividad)"&amp;" · ","")&amp;IF(AND(N($W197)&gt;0,COUNT($I197:$L197)&gt;0),"Con subactividades: deje vacías las semanas (se calculan solas)"&amp;" · ","")&amp;IF((COUNTIF($I197:$L197,"&gt;1")+COUNTIF($I197:$L197,"&lt;0")+COUNTA($I197:$L197)-COUNT($I197:$L197))&gt;0,"Avance fuera de rango 0-100%"&amp;" · ","")&amp;IF(OR(AND($J197&lt;&gt;"",$J197&lt;$I197),AND($K197&lt;&gt;"",$K197&lt;MAX($I197:$J197)),AND($L197&lt;&gt;"",$L197&lt;MAX($I197:$K197))),"Avance semanal decreciente"&amp;" · ","")&amp;IF(AND(ISNUMBER($AN197),$AN197&lt;FechaRef,IF($V197="Sub",N($X197),N($M197))&lt;1),"Vencida"&amp;" · ","")&amp;IF(AND(ObsObligatoria="Sí",ISNUMBER($AN197),$AN197&lt;FechaRef,IF($V197="Sub",N($X197),N($M197))&lt;1,$Q197=""),"Vencida sin observación"&amp;" · ",""),LEN(IF($C197="","Falta el nombre de la actividad"&amp;" · ","")&amp;IF(AND($V197="Sub",N($U197)=0),"Subactividad sin macroactividad arriba"&amp;" · ","")&amp;IF($AM197="","Sin fecha de inicio"&amp;" · ","")&amp;IF($AN197="","Sin fecha límite"&amp;" · ","")&amp;IF(AND(LEFT($C197,11)="[Jefatura] ",N($AL197)=0),"No se encuentra en la hoja de la jefatura (elíjala de nuevo en la lista)"&amp;" · ","")&amp;IF(OR(AND($E197&lt;&gt;"",NOT(ISNUMBER($E197))),AND($F197&lt;&gt;"",NOT(ISNUMBER($F197))),AND($G197&lt;&gt;"",NOT(ISNUMBER($G197)))),"Fecha no válida"&amp;" · ","")&amp;IF(AND(ISNUMBER($AM197),ISNUMBER($AN197),$AM197&gt;$AN197),"Inicio posterior a fecha límite"&amp;" · ","")&amp;IF(AND($V197="Macro",$H197&lt;&gt;"",OR(NOT(ISNUMBER($H197)),$H197&lt;0,$H197&gt;1)),"Peso fuera de rango"&amp;" · ","")&amp;IF(AND($V197="Sub",$H197&lt;&gt;""),"Las subactividades no llevan peso (valen igual dentro de su macroactividad)"&amp;" · ","")&amp;IF(AND(N($W197)&gt;0,COUNT($I197:$L197)&gt;0),"Con subactividades: deje vacías las semanas (se calculan solas)"&amp;" · ","")&amp;IF((COUNTIF($I197:$L197,"&gt;1")+COUNTIF($I197:$L197,"&lt;0")+COUNTA($I197:$L197)-COUNT($I197:$L197))&gt;0,"Avance fuera de rango 0-100%"&amp;" · ","")&amp;IF(OR(AND($J197&lt;&gt;"",$J197&lt;$I197),AND($K197&lt;&gt;"",$K197&lt;MAX($I197:$J197)),AND($L197&lt;&gt;"",$L197&lt;MAX($I197:$K197))),"Avance semanal decreciente"&amp;" · ","")&amp;IF(AND(ISNUMBER($AN197),$AN197&lt;FechaRef,IF($V197="Sub",N($X197),N($M197))&lt;1),"Vencida"&amp;" · ","")&amp;IF(AND(ObsObligatoria="Sí",ISNUMBER($AN197),$AN197&lt;FechaRef,IF($V197="Sub",N($X197),N($M197))&lt;1,$Q197=""),"Vencida sin observación"&amp;" · ",""))-3)))</f>
        <v/>
      </c>
      <c r="S197" s="64">
        <f>IF(NOT((COUNTA($B197:$D197)+COUNTA($G197:$L197)+COUNTA($Q197))&gt;0),"",IF(AND($V197="Sub",N($U197)&gt;0),IF(ISNUMBER(INDEX($AM$5:$AM$1000,$U197-4)),DATE(YEAR(INDEX($AM$5:$AM$1000,$U197-4)),MONTH(INDEX($AM$5:$AM$1000,$U197-4)),1),IF(ISNUMBER(INDEX($AN$5:$AN$1000,$U197-4)),DATE(YEAR(INDEX($AN$5:$AN$1000,$U197-4)),MONTH(INDEX($AN$5:$AN$1000,$U197-4)),1),MesCiclo)),IF(ISNUMBER($AM197),DATE(YEAR($AM197),MONTH($AM197),1),IF(ISNUMBER($AN197),DATE(YEAR($AN197),MONTH($AN197),1),MesCiclo))))</f>
        <v/>
      </c>
      <c r="T197" s="62">
        <f>IF(OR($S197="",$S197&lt;&gt;MesCiclo,$V197&lt;&gt;"Macro"),"",COUNTIFS($S$5:$S197,MesCiclo,$V$5:$V197,"Macro"))</f>
        <v/>
      </c>
      <c r="U197" s="62">
        <f>IF($V197="","",IF($V197="Macro",ROW(),IFERROR(LOOKUP(2,1/($V$5:$V197="Macro"),ROW($V$5:$V197)),0)))</f>
        <v/>
      </c>
      <c r="V197" s="62">
        <f>IF(NOT((COUNTA($B197:$D197)+COUNTA($G197:$L197)+COUNTA($Q197))&gt;0),"",IF($B197="Subactividad","Sub","Macro"))</f>
        <v/>
      </c>
      <c r="W197" s="62">
        <f>IF($V197="Macro",COUNTIFS($U$5:$U$1000,ROW(),$V$5:$V$1000,"Sub"),"")</f>
        <v/>
      </c>
      <c r="X197" s="62">
        <f>IF($V197="","",IF(ISNUMBER($G197),1,IFERROR(LOOKUP(2,1/($I197:$L197&lt;&gt;""),$I197:$L197),0)))</f>
        <v/>
      </c>
      <c r="Y197" s="62">
        <f>IF($V197="","",IF(AND(ISNUMBER($G197),$G197&lt;=IF($S197=MesCiclo,InicioCiclo,$S197+MOD(2-WEEKDAY($S197),7))+6),1,IF(ISNUMBER($I197),$I197,0)))</f>
        <v/>
      </c>
      <c r="Z197" s="62">
        <f>IF($V197="","",IF(AND(ISNUMBER($G197),$G197&lt;=IF($S197=MesCiclo,InicioCiclo,$S197+MOD(2-WEEKDAY($S197),7))+13),1,IF(ISNUMBER($J197),$J197,$Y197)))</f>
        <v/>
      </c>
      <c r="AA197" s="62">
        <f>IF($V197="","",IF(AND(ISNUMBER($G197),$G197&lt;=IF($S197=MesCiclo,InicioCiclo,$S197+MOD(2-WEEKDAY($S197),7))+20),1,IF(ISNUMBER($K197),$K197,$Z197)))</f>
        <v/>
      </c>
      <c r="AB197" s="62">
        <f>IF($V197="","",IF(AND(ISNUMBER($G197),$G197&lt;=IF($S197=MesCiclo,InicioCiclo,$S197+MOD(2-WEEKDAY($S197),7))+27),1,IF(ISNUMBER($L197),$L197,$AA197)))</f>
        <v/>
      </c>
      <c r="AC197" s="62">
        <f>IF($V197="","",IF(AND(ISNUMBER($G197),$G197&lt;=IF($S197=MesCiclo,InicioCiclo,$S197+MOD(2-WEEKDAY($S197),7))+6),1,IF(N($W197)&gt;0,AVERAGEIFS($Y$5:$Y$1000,$U$5:$U$1000,ROW(),$V$5:$V$1000,"Sub"),$Y197)))</f>
        <v/>
      </c>
      <c r="AD197" s="62">
        <f>IF($V197="","",IF(AND(ISNUMBER($G197),$G197&lt;=IF($S197=MesCiclo,InicioCiclo,$S197+MOD(2-WEEKDAY($S197),7))+13),1,IF(N($W197)&gt;0,AVERAGEIFS($Z$5:$Z$1000,$U$5:$U$1000,ROW(),$V$5:$V$1000,"Sub"),$Z197)))</f>
        <v/>
      </c>
      <c r="AE197" s="62">
        <f>IF($V197="","",IF(AND(ISNUMBER($G197),$G197&lt;=IF($S197=MesCiclo,InicioCiclo,$S197+MOD(2-WEEKDAY($S197),7))+20),1,IF(N($W197)&gt;0,AVERAGEIFS($AA$5:$AA$1000,$U$5:$U$1000,ROW(),$V$5:$V$1000,"Sub"),$AA197)))</f>
        <v/>
      </c>
      <c r="AF197" s="62">
        <f>IF($V197="","",IF(AND(ISNUMBER($G197),$G197&lt;=IF($S197=MesCiclo,InicioCiclo,$S197+MOD(2-WEEKDAY($S197),7))+27),1,IF(N($W197)&gt;0,AVERAGEIFS($AB$5:$AB$1000,$U$5:$U$1000,ROW(),$V$5:$V$1000,"Sub"),$AB197)))</f>
        <v/>
      </c>
      <c r="AG197" s="62">
        <f>IF($V197&lt;&gt;"Macro","",IF(COUNTIFS($S$5:$S$1000,$S197,$V$5:$V$1000,"Macro",$H$5:$H$1000,"&gt;0")=0,1/COUNTIFS($S$5:$S$1000,$S197,$V$5:$V$1000,"Macro"),IF(AND(ISNUMBER($H197),N($H197)&gt;0),$H197,SUMIFS($H$5:$H$1000,$S$5:$S$1000,$S197,$V$5:$V$1000,"Macro")/COUNTIFS($S$5:$S$1000,$S197,$V$5:$V$1000,"Macro",$H$5:$H$1000,"&gt;0"))/(COUNTIFS($S$5:$S$1000,$S197,$V$5:$V$1000,"Macro")*SUMIFS($H$5:$H$1000,$S$5:$S$1000,$S197,$V$5:$V$1000,"Macro")/COUNTIFS($S$5:$S$1000,$S197,$V$5:$V$1000,"Macro",$H$5:$H$1000,"&gt;0"))))</f>
        <v/>
      </c>
      <c r="AH197" s="62">
        <f>IF(NOT(AND($D197&lt;&gt;"",$V197="Macro")),"",IFERROR(CHOOSE(MATCH($D197,ListaPuestos,0),MATCH("[Jefatura] "&amp;$C197,'Cronograma R. Operacional'!$C$5:$C$1000,0),MATCH("[Jefatura] "&amp;$C197,'Cronograma R. Normativo'!$C$5:$C$1000,0),MATCH("[Jefatura] "&amp;$C197,'Cronograma R. Financiero'!$C$5:$C$1000,0),MATCH("[Jefatura] "&amp;$C197,'Cronograma Asistente Técnico'!$C$5:$C$1000,0)),0))</f>
        <v/>
      </c>
      <c r="AI197" s="62">
        <f>IF(AND(AND($D197&lt;&gt;"",$V197="Macro"),$S197=MesCiclo),COUNTIFS($D$5:$D197,$D197,$S$5:$S197,MesCiclo,$V$5:$V197,"Macro"),"")</f>
        <v/>
      </c>
      <c r="AJ197" s="62">
        <f>IF($AI197="","",$D197&amp;"|"&amp;$AI197)</f>
        <v/>
      </c>
      <c r="AK197" s="62">
        <f>IF(AND($D197&lt;&gt;"",$V197="Macro"),$D197&amp;"|"&amp;$C197,"")</f>
        <v/>
      </c>
      <c r="AL197" s="62">
        <f>""</f>
        <v/>
      </c>
      <c r="AM197" s="62">
        <f>IF(N($AL197)&gt;0,INDEX(rIni_ADM,$AL197),IF(ISNUMBER($E197),$E197,""))</f>
        <v/>
      </c>
      <c r="AN197" s="62">
        <f>IF(N($AL197)&gt;0,INDEX(rLim_ADM,$AL197),IF(ISNUMBER($F197),$F197,""))</f>
        <v/>
      </c>
    </row>
    <row r="198">
      <c r="A198" s="56">
        <f>IF(NOT((COUNTA($B198:$D198)+COUNTA($G198:$L198)+COUNTA($Q198))&gt;0),"",IF($V198="Macro",COUNTIFS($V$5:$V198,"Macro",$S$5:$S198,$S198),IF(N($U198)=0,"?",COUNTIFS(INDEX($V$5:$V$1000,1):INDEX($V$5:$V$1000,$U198-4),"Macro",INDEX($S$5:$S$1000,1):INDEX($S$5:$S$1000,$U198-4),INDEX($S$5:$S$1000,$U198-4))&amp;"."&amp;COUNTIFS($U$5:$U198,$U198,$V$5:$V198,"Sub"))))</f>
        <v/>
      </c>
      <c r="B198" s="57" t="n"/>
      <c r="C198" s="58" t="n"/>
      <c r="D198" s="58" t="n"/>
      <c r="E198" s="59" t="n"/>
      <c r="F198" s="59" t="n"/>
      <c r="G198" s="59" t="n"/>
      <c r="H198" s="60" t="n"/>
      <c r="I198" s="60" t="n"/>
      <c r="J198" s="60" t="n"/>
      <c r="K198" s="60" t="n"/>
      <c r="L198" s="60" t="n"/>
      <c r="M198" s="61">
        <f>IF(NOT((COUNTA($B198:$D198)+COUNTA($G198:$L198)+COUNTA($Q198))&gt;0),"",IF(AND($D198&lt;&gt;"",$V198="Macro"),IF(N($AH198)&gt;0,N(CHOOSE(MATCH($D198,ListaPuestos,0),INDEX('Cronograma R. Operacional'!$M$5:$M$1000,$AH198),INDEX('Cronograma R. Normativo'!$M$5:$M$1000,$AH198),INDEX('Cronograma R. Financiero'!$M$5:$M$1000,$AH198),INDEX('Cronograma Asistente Técnico'!$M$5:$M$1000,$AH198))),0),IF(ISNUMBER($G198),1,IF(N($W198)&gt;0,AVERAGEIFS($X$5:$X$1000,$U$5:$U$1000,ROW(),$V$5:$V$1000,"Sub"),$X198))))</f>
        <v/>
      </c>
      <c r="N198" s="56">
        <f>IF(OR($M198="",$V198="Sub"),"",IF($M198&gt;=1,"Completado",IF($M198&gt;0,"En curso","Pendiente")))</f>
        <v/>
      </c>
      <c r="O198" s="56">
        <f>IF(NOT((COUNTA($B198:$D198)+COUNTA($G198:$L198)+COUNTA($Q198))&gt;0),"",IF(AND(AND($D198&lt;&gt;"",$V198="Macro"),N($AH198)&gt;0),CHOOSE(MATCH($D198,ListaPuestos,0),INDEX('Cronograma R. Operacional'!$O$5:$O$1000,$AH198),INDEX('Cronograma R. Normativo'!$O$5:$O$1000,$AH198),INDEX('Cronograma R. Financiero'!$O$5:$O$1000,$AH198),INDEX('Cronograma Asistente Técnico'!$O$5:$O$1000,$AH198))&amp;"",IF(ISNUMBER($G198),IF(AND(ISNUMBER($AN198),$G198&gt;$AN198),"Cumplida con "&amp;($G198-$AN198)&amp;IF($G198-$AN198=1," día"," días")&amp;" de retraso","Cumplida"),IF(N($M198)&gt;=1,"Cumplida",IF(NOT(ISNUMBER($AN198)),"Sin fecha límite",IF($AN198&lt;FechaRef,"Vencida hace "&amp;(FechaRef-$AN198)&amp;IF(FechaRef-$AN198=1," día"," días"),IF($AN198=FechaRef,"Vence hoy",IF($AN198-FechaRef&lt;=DiasAlerta,"Vence en "&amp;($AN198-FechaRef)&amp;IF($AN198-FechaRef=1," día"," días"),"En plazo"))))))))</f>
        <v/>
      </c>
      <c r="P198" s="62">
        <f>IF(NOT((COUNTA($B198:$D198)+COUNTA($G198:$L198)+COUNTA($Q198))&gt;0),"",IF($D198="","Propia",IF($V198&lt;&gt;"Macro","Solo se delegan macroactividades",IF(N($AH198)&gt;0,"✔ Recibida por "&amp;$D198,"⚠ "&amp;$D198&amp;" aún no la agrega"))))</f>
        <v/>
      </c>
      <c r="Q198" s="58" t="n"/>
      <c r="R198" s="63">
        <f>IF(NOT((COUNTA($B198:$D198)+COUNTA($G198:$L198)+COUNTA($Q198))&gt;0),"",IF((IF($C198="","Falta el nombre de la actividad"&amp;" · ","")&amp;IF(AND($V198="Sub",N($U198)=0),"Subactividad sin macroactividad arriba"&amp;" · ","")&amp;IF($AM198="","Sin fecha de inicio"&amp;" · ","")&amp;IF($AN198="","Sin fecha límite"&amp;" · ","")&amp;IF(AND(LEFT($C198,11)="[Jefatura] ",N($AL198)=0),"No se encuentra en la hoja de la jefatura (elíjala de nuevo en la lista)"&amp;" · ","")&amp;IF(OR(AND($E198&lt;&gt;"",NOT(ISNUMBER($E198))),AND($F198&lt;&gt;"",NOT(ISNUMBER($F198))),AND($G198&lt;&gt;"",NOT(ISNUMBER($G198)))),"Fecha no válida"&amp;" · ","")&amp;IF(AND(ISNUMBER($AM198),ISNUMBER($AN198),$AM198&gt;$AN198),"Inicio posterior a fecha límite"&amp;" · ","")&amp;IF(AND($V198="Macro",$H198&lt;&gt;"",OR(NOT(ISNUMBER($H198)),$H198&lt;0,$H198&gt;1)),"Peso fuera de rango"&amp;" · ","")&amp;IF(AND($V198="Sub",$H198&lt;&gt;""),"Las subactividades no llevan peso (valen igual dentro de su macroactividad)"&amp;" · ","")&amp;IF(AND(N($W198)&gt;0,COUNT($I198:$L198)&gt;0),"Con subactividades: deje vacías las semanas (se calculan solas)"&amp;" · ","")&amp;IF((COUNTIF($I198:$L198,"&gt;1")+COUNTIF($I198:$L198,"&lt;0")+COUNTA($I198:$L198)-COUNT($I198:$L198))&gt;0,"Avance fuera de rango 0-100%"&amp;" · ","")&amp;IF(OR(AND($J198&lt;&gt;"",$J198&lt;$I198),AND($K198&lt;&gt;"",$K198&lt;MAX($I198:$J198)),AND($L198&lt;&gt;"",$L198&lt;MAX($I198:$K198))),"Avance semanal decreciente"&amp;" · ","")&amp;IF(AND(ISNUMBER($AN198),$AN198&lt;FechaRef,IF($V198="Sub",N($X198),N($M198))&lt;1),"Vencida"&amp;" · ","")&amp;IF(AND(ObsObligatoria="Sí",ISNUMBER($AN198),$AN198&lt;FechaRef,IF($V198="Sub",N($X198),N($M198))&lt;1,$Q198=""),"Vencida sin observación"&amp;" · ",""))="","✔ OK","⚠ "&amp;LEFT(IF($C198="","Falta el nombre de la actividad"&amp;" · ","")&amp;IF(AND($V198="Sub",N($U198)=0),"Subactividad sin macroactividad arriba"&amp;" · ","")&amp;IF($AM198="","Sin fecha de inicio"&amp;" · ","")&amp;IF($AN198="","Sin fecha límite"&amp;" · ","")&amp;IF(AND(LEFT($C198,11)="[Jefatura] ",N($AL198)=0),"No se encuentra en la hoja de la jefatura (elíjala de nuevo en la lista)"&amp;" · ","")&amp;IF(OR(AND($E198&lt;&gt;"",NOT(ISNUMBER($E198))),AND($F198&lt;&gt;"",NOT(ISNUMBER($F198))),AND($G198&lt;&gt;"",NOT(ISNUMBER($G198)))),"Fecha no válida"&amp;" · ","")&amp;IF(AND(ISNUMBER($AM198),ISNUMBER($AN198),$AM198&gt;$AN198),"Inicio posterior a fecha límite"&amp;" · ","")&amp;IF(AND($V198="Macro",$H198&lt;&gt;"",OR(NOT(ISNUMBER($H198)),$H198&lt;0,$H198&gt;1)),"Peso fuera de rango"&amp;" · ","")&amp;IF(AND($V198="Sub",$H198&lt;&gt;""),"Las subactividades no llevan peso (valen igual dentro de su macroactividad)"&amp;" · ","")&amp;IF(AND(N($W198)&gt;0,COUNT($I198:$L198)&gt;0),"Con subactividades: deje vacías las semanas (se calculan solas)"&amp;" · ","")&amp;IF((COUNTIF($I198:$L198,"&gt;1")+COUNTIF($I198:$L198,"&lt;0")+COUNTA($I198:$L198)-COUNT($I198:$L198))&gt;0,"Avance fuera de rango 0-100%"&amp;" · ","")&amp;IF(OR(AND($J198&lt;&gt;"",$J198&lt;$I198),AND($K198&lt;&gt;"",$K198&lt;MAX($I198:$J198)),AND($L198&lt;&gt;"",$L198&lt;MAX($I198:$K198))),"Avance semanal decreciente"&amp;" · ","")&amp;IF(AND(ISNUMBER($AN198),$AN198&lt;FechaRef,IF($V198="Sub",N($X198),N($M198))&lt;1),"Vencida"&amp;" · ","")&amp;IF(AND(ObsObligatoria="Sí",ISNUMBER($AN198),$AN198&lt;FechaRef,IF($V198="Sub",N($X198),N($M198))&lt;1,$Q198=""),"Vencida sin observación"&amp;" · ",""),LEN(IF($C198="","Falta el nombre de la actividad"&amp;" · ","")&amp;IF(AND($V198="Sub",N($U198)=0),"Subactividad sin macroactividad arriba"&amp;" · ","")&amp;IF($AM198="","Sin fecha de inicio"&amp;" · ","")&amp;IF($AN198="","Sin fecha límite"&amp;" · ","")&amp;IF(AND(LEFT($C198,11)="[Jefatura] ",N($AL198)=0),"No se encuentra en la hoja de la jefatura (elíjala de nuevo en la lista)"&amp;" · ","")&amp;IF(OR(AND($E198&lt;&gt;"",NOT(ISNUMBER($E198))),AND($F198&lt;&gt;"",NOT(ISNUMBER($F198))),AND($G198&lt;&gt;"",NOT(ISNUMBER($G198)))),"Fecha no válida"&amp;" · ","")&amp;IF(AND(ISNUMBER($AM198),ISNUMBER($AN198),$AM198&gt;$AN198),"Inicio posterior a fecha límite"&amp;" · ","")&amp;IF(AND($V198="Macro",$H198&lt;&gt;"",OR(NOT(ISNUMBER($H198)),$H198&lt;0,$H198&gt;1)),"Peso fuera de rango"&amp;" · ","")&amp;IF(AND($V198="Sub",$H198&lt;&gt;""),"Las subactividades no llevan peso (valen igual dentro de su macroactividad)"&amp;" · ","")&amp;IF(AND(N($W198)&gt;0,COUNT($I198:$L198)&gt;0),"Con subactividades: deje vacías las semanas (se calculan solas)"&amp;" · ","")&amp;IF((COUNTIF($I198:$L198,"&gt;1")+COUNTIF($I198:$L198,"&lt;0")+COUNTA($I198:$L198)-COUNT($I198:$L198))&gt;0,"Avance fuera de rango 0-100%"&amp;" · ","")&amp;IF(OR(AND($J198&lt;&gt;"",$J198&lt;$I198),AND($K198&lt;&gt;"",$K198&lt;MAX($I198:$J198)),AND($L198&lt;&gt;"",$L198&lt;MAX($I198:$K198))),"Avance semanal decreciente"&amp;" · ","")&amp;IF(AND(ISNUMBER($AN198),$AN198&lt;FechaRef,IF($V198="Sub",N($X198),N($M198))&lt;1),"Vencida"&amp;" · ","")&amp;IF(AND(ObsObligatoria="Sí",ISNUMBER($AN198),$AN198&lt;FechaRef,IF($V198="Sub",N($X198),N($M198))&lt;1,$Q198=""),"Vencida sin observación"&amp;" · ",""))-3)))</f>
        <v/>
      </c>
      <c r="S198" s="64">
        <f>IF(NOT((COUNTA($B198:$D198)+COUNTA($G198:$L198)+COUNTA($Q198))&gt;0),"",IF(AND($V198="Sub",N($U198)&gt;0),IF(ISNUMBER(INDEX($AM$5:$AM$1000,$U198-4)),DATE(YEAR(INDEX($AM$5:$AM$1000,$U198-4)),MONTH(INDEX($AM$5:$AM$1000,$U198-4)),1),IF(ISNUMBER(INDEX($AN$5:$AN$1000,$U198-4)),DATE(YEAR(INDEX($AN$5:$AN$1000,$U198-4)),MONTH(INDEX($AN$5:$AN$1000,$U198-4)),1),MesCiclo)),IF(ISNUMBER($AM198),DATE(YEAR($AM198),MONTH($AM198),1),IF(ISNUMBER($AN198),DATE(YEAR($AN198),MONTH($AN198),1),MesCiclo))))</f>
        <v/>
      </c>
      <c r="T198" s="62">
        <f>IF(OR($S198="",$S198&lt;&gt;MesCiclo,$V198&lt;&gt;"Macro"),"",COUNTIFS($S$5:$S198,MesCiclo,$V$5:$V198,"Macro"))</f>
        <v/>
      </c>
      <c r="U198" s="62">
        <f>IF($V198="","",IF($V198="Macro",ROW(),IFERROR(LOOKUP(2,1/($V$5:$V198="Macro"),ROW($V$5:$V198)),0)))</f>
        <v/>
      </c>
      <c r="V198" s="62">
        <f>IF(NOT((COUNTA($B198:$D198)+COUNTA($G198:$L198)+COUNTA($Q198))&gt;0),"",IF($B198="Subactividad","Sub","Macro"))</f>
        <v/>
      </c>
      <c r="W198" s="62">
        <f>IF($V198="Macro",COUNTIFS($U$5:$U$1000,ROW(),$V$5:$V$1000,"Sub"),"")</f>
        <v/>
      </c>
      <c r="X198" s="62">
        <f>IF($V198="","",IF(ISNUMBER($G198),1,IFERROR(LOOKUP(2,1/($I198:$L198&lt;&gt;""),$I198:$L198),0)))</f>
        <v/>
      </c>
      <c r="Y198" s="62">
        <f>IF($V198="","",IF(AND(ISNUMBER($G198),$G198&lt;=IF($S198=MesCiclo,InicioCiclo,$S198+MOD(2-WEEKDAY($S198),7))+6),1,IF(ISNUMBER($I198),$I198,0)))</f>
        <v/>
      </c>
      <c r="Z198" s="62">
        <f>IF($V198="","",IF(AND(ISNUMBER($G198),$G198&lt;=IF($S198=MesCiclo,InicioCiclo,$S198+MOD(2-WEEKDAY($S198),7))+13),1,IF(ISNUMBER($J198),$J198,$Y198)))</f>
        <v/>
      </c>
      <c r="AA198" s="62">
        <f>IF($V198="","",IF(AND(ISNUMBER($G198),$G198&lt;=IF($S198=MesCiclo,InicioCiclo,$S198+MOD(2-WEEKDAY($S198),7))+20),1,IF(ISNUMBER($K198),$K198,$Z198)))</f>
        <v/>
      </c>
      <c r="AB198" s="62">
        <f>IF($V198="","",IF(AND(ISNUMBER($G198),$G198&lt;=IF($S198=MesCiclo,InicioCiclo,$S198+MOD(2-WEEKDAY($S198),7))+27),1,IF(ISNUMBER($L198),$L198,$AA198)))</f>
        <v/>
      </c>
      <c r="AC198" s="62">
        <f>IF($V198="","",IF(AND(ISNUMBER($G198),$G198&lt;=IF($S198=MesCiclo,InicioCiclo,$S198+MOD(2-WEEKDAY($S198),7))+6),1,IF(N($W198)&gt;0,AVERAGEIFS($Y$5:$Y$1000,$U$5:$U$1000,ROW(),$V$5:$V$1000,"Sub"),$Y198)))</f>
        <v/>
      </c>
      <c r="AD198" s="62">
        <f>IF($V198="","",IF(AND(ISNUMBER($G198),$G198&lt;=IF($S198=MesCiclo,InicioCiclo,$S198+MOD(2-WEEKDAY($S198),7))+13),1,IF(N($W198)&gt;0,AVERAGEIFS($Z$5:$Z$1000,$U$5:$U$1000,ROW(),$V$5:$V$1000,"Sub"),$Z198)))</f>
        <v/>
      </c>
      <c r="AE198" s="62">
        <f>IF($V198="","",IF(AND(ISNUMBER($G198),$G198&lt;=IF($S198=MesCiclo,InicioCiclo,$S198+MOD(2-WEEKDAY($S198),7))+20),1,IF(N($W198)&gt;0,AVERAGEIFS($AA$5:$AA$1000,$U$5:$U$1000,ROW(),$V$5:$V$1000,"Sub"),$AA198)))</f>
        <v/>
      </c>
      <c r="AF198" s="62">
        <f>IF($V198="","",IF(AND(ISNUMBER($G198),$G198&lt;=IF($S198=MesCiclo,InicioCiclo,$S198+MOD(2-WEEKDAY($S198),7))+27),1,IF(N($W198)&gt;0,AVERAGEIFS($AB$5:$AB$1000,$U$5:$U$1000,ROW(),$V$5:$V$1000,"Sub"),$AB198)))</f>
        <v/>
      </c>
      <c r="AG198" s="62">
        <f>IF($V198&lt;&gt;"Macro","",IF(COUNTIFS($S$5:$S$1000,$S198,$V$5:$V$1000,"Macro",$H$5:$H$1000,"&gt;0")=0,1/COUNTIFS($S$5:$S$1000,$S198,$V$5:$V$1000,"Macro"),IF(AND(ISNUMBER($H198),N($H198)&gt;0),$H198,SUMIFS($H$5:$H$1000,$S$5:$S$1000,$S198,$V$5:$V$1000,"Macro")/COUNTIFS($S$5:$S$1000,$S198,$V$5:$V$1000,"Macro",$H$5:$H$1000,"&gt;0"))/(COUNTIFS($S$5:$S$1000,$S198,$V$5:$V$1000,"Macro")*SUMIFS($H$5:$H$1000,$S$5:$S$1000,$S198,$V$5:$V$1000,"Macro")/COUNTIFS($S$5:$S$1000,$S198,$V$5:$V$1000,"Macro",$H$5:$H$1000,"&gt;0"))))</f>
        <v/>
      </c>
      <c r="AH198" s="62">
        <f>IF(NOT(AND($D198&lt;&gt;"",$V198="Macro")),"",IFERROR(CHOOSE(MATCH($D198,ListaPuestos,0),MATCH("[Jefatura] "&amp;$C198,'Cronograma R. Operacional'!$C$5:$C$1000,0),MATCH("[Jefatura] "&amp;$C198,'Cronograma R. Normativo'!$C$5:$C$1000,0),MATCH("[Jefatura] "&amp;$C198,'Cronograma R. Financiero'!$C$5:$C$1000,0),MATCH("[Jefatura] "&amp;$C198,'Cronograma Asistente Técnico'!$C$5:$C$1000,0)),0))</f>
        <v/>
      </c>
      <c r="AI198" s="62">
        <f>IF(AND(AND($D198&lt;&gt;"",$V198="Macro"),$S198=MesCiclo),COUNTIFS($D$5:$D198,$D198,$S$5:$S198,MesCiclo,$V$5:$V198,"Macro"),"")</f>
        <v/>
      </c>
      <c r="AJ198" s="62">
        <f>IF($AI198="","",$D198&amp;"|"&amp;$AI198)</f>
        <v/>
      </c>
      <c r="AK198" s="62">
        <f>IF(AND($D198&lt;&gt;"",$V198="Macro"),$D198&amp;"|"&amp;$C198,"")</f>
        <v/>
      </c>
      <c r="AL198" s="62">
        <f>""</f>
        <v/>
      </c>
      <c r="AM198" s="62">
        <f>IF(N($AL198)&gt;0,INDEX(rIni_ADM,$AL198),IF(ISNUMBER($E198),$E198,""))</f>
        <v/>
      </c>
      <c r="AN198" s="62">
        <f>IF(N($AL198)&gt;0,INDEX(rLim_ADM,$AL198),IF(ISNUMBER($F198),$F198,""))</f>
        <v/>
      </c>
    </row>
    <row r="199">
      <c r="A199" s="56">
        <f>IF(NOT((COUNTA($B199:$D199)+COUNTA($G199:$L199)+COUNTA($Q199))&gt;0),"",IF($V199="Macro",COUNTIFS($V$5:$V199,"Macro",$S$5:$S199,$S199),IF(N($U199)=0,"?",COUNTIFS(INDEX($V$5:$V$1000,1):INDEX($V$5:$V$1000,$U199-4),"Macro",INDEX($S$5:$S$1000,1):INDEX($S$5:$S$1000,$U199-4),INDEX($S$5:$S$1000,$U199-4))&amp;"."&amp;COUNTIFS($U$5:$U199,$U199,$V$5:$V199,"Sub"))))</f>
        <v/>
      </c>
      <c r="B199" s="57" t="n"/>
      <c r="C199" s="58" t="n"/>
      <c r="D199" s="58" t="n"/>
      <c r="E199" s="59" t="n"/>
      <c r="F199" s="59" t="n"/>
      <c r="G199" s="59" t="n"/>
      <c r="H199" s="60" t="n"/>
      <c r="I199" s="60" t="n"/>
      <c r="J199" s="60" t="n"/>
      <c r="K199" s="60" t="n"/>
      <c r="L199" s="60" t="n"/>
      <c r="M199" s="61">
        <f>IF(NOT((COUNTA($B199:$D199)+COUNTA($G199:$L199)+COUNTA($Q199))&gt;0),"",IF(AND($D199&lt;&gt;"",$V199="Macro"),IF(N($AH199)&gt;0,N(CHOOSE(MATCH($D199,ListaPuestos,0),INDEX('Cronograma R. Operacional'!$M$5:$M$1000,$AH199),INDEX('Cronograma R. Normativo'!$M$5:$M$1000,$AH199),INDEX('Cronograma R. Financiero'!$M$5:$M$1000,$AH199),INDEX('Cronograma Asistente Técnico'!$M$5:$M$1000,$AH199))),0),IF(ISNUMBER($G199),1,IF(N($W199)&gt;0,AVERAGEIFS($X$5:$X$1000,$U$5:$U$1000,ROW(),$V$5:$V$1000,"Sub"),$X199))))</f>
        <v/>
      </c>
      <c r="N199" s="56">
        <f>IF(OR($M199="",$V199="Sub"),"",IF($M199&gt;=1,"Completado",IF($M199&gt;0,"En curso","Pendiente")))</f>
        <v/>
      </c>
      <c r="O199" s="56">
        <f>IF(NOT((COUNTA($B199:$D199)+COUNTA($G199:$L199)+COUNTA($Q199))&gt;0),"",IF(AND(AND($D199&lt;&gt;"",$V199="Macro"),N($AH199)&gt;0),CHOOSE(MATCH($D199,ListaPuestos,0),INDEX('Cronograma R. Operacional'!$O$5:$O$1000,$AH199),INDEX('Cronograma R. Normativo'!$O$5:$O$1000,$AH199),INDEX('Cronograma R. Financiero'!$O$5:$O$1000,$AH199),INDEX('Cronograma Asistente Técnico'!$O$5:$O$1000,$AH199))&amp;"",IF(ISNUMBER($G199),IF(AND(ISNUMBER($AN199),$G199&gt;$AN199),"Cumplida con "&amp;($G199-$AN199)&amp;IF($G199-$AN199=1," día"," días")&amp;" de retraso","Cumplida"),IF(N($M199)&gt;=1,"Cumplida",IF(NOT(ISNUMBER($AN199)),"Sin fecha límite",IF($AN199&lt;FechaRef,"Vencida hace "&amp;(FechaRef-$AN199)&amp;IF(FechaRef-$AN199=1," día"," días"),IF($AN199=FechaRef,"Vence hoy",IF($AN199-FechaRef&lt;=DiasAlerta,"Vence en "&amp;($AN199-FechaRef)&amp;IF($AN199-FechaRef=1," día"," días"),"En plazo"))))))))</f>
        <v/>
      </c>
      <c r="P199" s="62">
        <f>IF(NOT((COUNTA($B199:$D199)+COUNTA($G199:$L199)+COUNTA($Q199))&gt;0),"",IF($D199="","Propia",IF($V199&lt;&gt;"Macro","Solo se delegan macroactividades",IF(N($AH199)&gt;0,"✔ Recibida por "&amp;$D199,"⚠ "&amp;$D199&amp;" aún no la agrega"))))</f>
        <v/>
      </c>
      <c r="Q199" s="58" t="n"/>
      <c r="R199" s="63">
        <f>IF(NOT((COUNTA($B199:$D199)+COUNTA($G199:$L199)+COUNTA($Q199))&gt;0),"",IF((IF($C199="","Falta el nombre de la actividad"&amp;" · ","")&amp;IF(AND($V199="Sub",N($U199)=0),"Subactividad sin macroactividad arriba"&amp;" · ","")&amp;IF($AM199="","Sin fecha de inicio"&amp;" · ","")&amp;IF($AN199="","Sin fecha límite"&amp;" · ","")&amp;IF(AND(LEFT($C199,11)="[Jefatura] ",N($AL199)=0),"No se encuentra en la hoja de la jefatura (elíjala de nuevo en la lista)"&amp;" · ","")&amp;IF(OR(AND($E199&lt;&gt;"",NOT(ISNUMBER($E199))),AND($F199&lt;&gt;"",NOT(ISNUMBER($F199))),AND($G199&lt;&gt;"",NOT(ISNUMBER($G199)))),"Fecha no válida"&amp;" · ","")&amp;IF(AND(ISNUMBER($AM199),ISNUMBER($AN199),$AM199&gt;$AN199),"Inicio posterior a fecha límite"&amp;" · ","")&amp;IF(AND($V199="Macro",$H199&lt;&gt;"",OR(NOT(ISNUMBER($H199)),$H199&lt;0,$H199&gt;1)),"Peso fuera de rango"&amp;" · ","")&amp;IF(AND($V199="Sub",$H199&lt;&gt;""),"Las subactividades no llevan peso (valen igual dentro de su macroactividad)"&amp;" · ","")&amp;IF(AND(N($W199)&gt;0,COUNT($I199:$L199)&gt;0),"Con subactividades: deje vacías las semanas (se calculan solas)"&amp;" · ","")&amp;IF((COUNTIF($I199:$L199,"&gt;1")+COUNTIF($I199:$L199,"&lt;0")+COUNTA($I199:$L199)-COUNT($I199:$L199))&gt;0,"Avance fuera de rango 0-100%"&amp;" · ","")&amp;IF(OR(AND($J199&lt;&gt;"",$J199&lt;$I199),AND($K199&lt;&gt;"",$K199&lt;MAX($I199:$J199)),AND($L199&lt;&gt;"",$L199&lt;MAX($I199:$K199))),"Avance semanal decreciente"&amp;" · ","")&amp;IF(AND(ISNUMBER($AN199),$AN199&lt;FechaRef,IF($V199="Sub",N($X199),N($M199))&lt;1),"Vencida"&amp;" · ","")&amp;IF(AND(ObsObligatoria="Sí",ISNUMBER($AN199),$AN199&lt;FechaRef,IF($V199="Sub",N($X199),N($M199))&lt;1,$Q199=""),"Vencida sin observación"&amp;" · ",""))="","✔ OK","⚠ "&amp;LEFT(IF($C199="","Falta el nombre de la actividad"&amp;" · ","")&amp;IF(AND($V199="Sub",N($U199)=0),"Subactividad sin macroactividad arriba"&amp;" · ","")&amp;IF($AM199="","Sin fecha de inicio"&amp;" · ","")&amp;IF($AN199="","Sin fecha límite"&amp;" · ","")&amp;IF(AND(LEFT($C199,11)="[Jefatura] ",N($AL199)=0),"No se encuentra en la hoja de la jefatura (elíjala de nuevo en la lista)"&amp;" · ","")&amp;IF(OR(AND($E199&lt;&gt;"",NOT(ISNUMBER($E199))),AND($F199&lt;&gt;"",NOT(ISNUMBER($F199))),AND($G199&lt;&gt;"",NOT(ISNUMBER($G199)))),"Fecha no válida"&amp;" · ","")&amp;IF(AND(ISNUMBER($AM199),ISNUMBER($AN199),$AM199&gt;$AN199),"Inicio posterior a fecha límite"&amp;" · ","")&amp;IF(AND($V199="Macro",$H199&lt;&gt;"",OR(NOT(ISNUMBER($H199)),$H199&lt;0,$H199&gt;1)),"Peso fuera de rango"&amp;" · ","")&amp;IF(AND($V199="Sub",$H199&lt;&gt;""),"Las subactividades no llevan peso (valen igual dentro de su macroactividad)"&amp;" · ","")&amp;IF(AND(N($W199)&gt;0,COUNT($I199:$L199)&gt;0),"Con subactividades: deje vacías las semanas (se calculan solas)"&amp;" · ","")&amp;IF((COUNTIF($I199:$L199,"&gt;1")+COUNTIF($I199:$L199,"&lt;0")+COUNTA($I199:$L199)-COUNT($I199:$L199))&gt;0,"Avance fuera de rango 0-100%"&amp;" · ","")&amp;IF(OR(AND($J199&lt;&gt;"",$J199&lt;$I199),AND($K199&lt;&gt;"",$K199&lt;MAX($I199:$J199)),AND($L199&lt;&gt;"",$L199&lt;MAX($I199:$K199))),"Avance semanal decreciente"&amp;" · ","")&amp;IF(AND(ISNUMBER($AN199),$AN199&lt;FechaRef,IF($V199="Sub",N($X199),N($M199))&lt;1),"Vencida"&amp;" · ","")&amp;IF(AND(ObsObligatoria="Sí",ISNUMBER($AN199),$AN199&lt;FechaRef,IF($V199="Sub",N($X199),N($M199))&lt;1,$Q199=""),"Vencida sin observación"&amp;" · ",""),LEN(IF($C199="","Falta el nombre de la actividad"&amp;" · ","")&amp;IF(AND($V199="Sub",N($U199)=0),"Subactividad sin macroactividad arriba"&amp;" · ","")&amp;IF($AM199="","Sin fecha de inicio"&amp;" · ","")&amp;IF($AN199="","Sin fecha límite"&amp;" · ","")&amp;IF(AND(LEFT($C199,11)="[Jefatura] ",N($AL199)=0),"No se encuentra en la hoja de la jefatura (elíjala de nuevo en la lista)"&amp;" · ","")&amp;IF(OR(AND($E199&lt;&gt;"",NOT(ISNUMBER($E199))),AND($F199&lt;&gt;"",NOT(ISNUMBER($F199))),AND($G199&lt;&gt;"",NOT(ISNUMBER($G199)))),"Fecha no válida"&amp;" · ","")&amp;IF(AND(ISNUMBER($AM199),ISNUMBER($AN199),$AM199&gt;$AN199),"Inicio posterior a fecha límite"&amp;" · ","")&amp;IF(AND($V199="Macro",$H199&lt;&gt;"",OR(NOT(ISNUMBER($H199)),$H199&lt;0,$H199&gt;1)),"Peso fuera de rango"&amp;" · ","")&amp;IF(AND($V199="Sub",$H199&lt;&gt;""),"Las subactividades no llevan peso (valen igual dentro de su macroactividad)"&amp;" · ","")&amp;IF(AND(N($W199)&gt;0,COUNT($I199:$L199)&gt;0),"Con subactividades: deje vacías las semanas (se calculan solas)"&amp;" · ","")&amp;IF((COUNTIF($I199:$L199,"&gt;1")+COUNTIF($I199:$L199,"&lt;0")+COUNTA($I199:$L199)-COUNT($I199:$L199))&gt;0,"Avance fuera de rango 0-100%"&amp;" · ","")&amp;IF(OR(AND($J199&lt;&gt;"",$J199&lt;$I199),AND($K199&lt;&gt;"",$K199&lt;MAX($I199:$J199)),AND($L199&lt;&gt;"",$L199&lt;MAX($I199:$K199))),"Avance semanal decreciente"&amp;" · ","")&amp;IF(AND(ISNUMBER($AN199),$AN199&lt;FechaRef,IF($V199="Sub",N($X199),N($M199))&lt;1),"Vencida"&amp;" · ","")&amp;IF(AND(ObsObligatoria="Sí",ISNUMBER($AN199),$AN199&lt;FechaRef,IF($V199="Sub",N($X199),N($M199))&lt;1,$Q199=""),"Vencida sin observación"&amp;" · ",""))-3)))</f>
        <v/>
      </c>
      <c r="S199" s="64">
        <f>IF(NOT((COUNTA($B199:$D199)+COUNTA($G199:$L199)+COUNTA($Q199))&gt;0),"",IF(AND($V199="Sub",N($U199)&gt;0),IF(ISNUMBER(INDEX($AM$5:$AM$1000,$U199-4)),DATE(YEAR(INDEX($AM$5:$AM$1000,$U199-4)),MONTH(INDEX($AM$5:$AM$1000,$U199-4)),1),IF(ISNUMBER(INDEX($AN$5:$AN$1000,$U199-4)),DATE(YEAR(INDEX($AN$5:$AN$1000,$U199-4)),MONTH(INDEX($AN$5:$AN$1000,$U199-4)),1),MesCiclo)),IF(ISNUMBER($AM199),DATE(YEAR($AM199),MONTH($AM199),1),IF(ISNUMBER($AN199),DATE(YEAR($AN199),MONTH($AN199),1),MesCiclo))))</f>
        <v/>
      </c>
      <c r="T199" s="62">
        <f>IF(OR($S199="",$S199&lt;&gt;MesCiclo,$V199&lt;&gt;"Macro"),"",COUNTIFS($S$5:$S199,MesCiclo,$V$5:$V199,"Macro"))</f>
        <v/>
      </c>
      <c r="U199" s="62">
        <f>IF($V199="","",IF($V199="Macro",ROW(),IFERROR(LOOKUP(2,1/($V$5:$V199="Macro"),ROW($V$5:$V199)),0)))</f>
        <v/>
      </c>
      <c r="V199" s="62">
        <f>IF(NOT((COUNTA($B199:$D199)+COUNTA($G199:$L199)+COUNTA($Q199))&gt;0),"",IF($B199="Subactividad","Sub","Macro"))</f>
        <v/>
      </c>
      <c r="W199" s="62">
        <f>IF($V199="Macro",COUNTIFS($U$5:$U$1000,ROW(),$V$5:$V$1000,"Sub"),"")</f>
        <v/>
      </c>
      <c r="X199" s="62">
        <f>IF($V199="","",IF(ISNUMBER($G199),1,IFERROR(LOOKUP(2,1/($I199:$L199&lt;&gt;""),$I199:$L199),0)))</f>
        <v/>
      </c>
      <c r="Y199" s="62">
        <f>IF($V199="","",IF(AND(ISNUMBER($G199),$G199&lt;=IF($S199=MesCiclo,InicioCiclo,$S199+MOD(2-WEEKDAY($S199),7))+6),1,IF(ISNUMBER($I199),$I199,0)))</f>
        <v/>
      </c>
      <c r="Z199" s="62">
        <f>IF($V199="","",IF(AND(ISNUMBER($G199),$G199&lt;=IF($S199=MesCiclo,InicioCiclo,$S199+MOD(2-WEEKDAY($S199),7))+13),1,IF(ISNUMBER($J199),$J199,$Y199)))</f>
        <v/>
      </c>
      <c r="AA199" s="62">
        <f>IF($V199="","",IF(AND(ISNUMBER($G199),$G199&lt;=IF($S199=MesCiclo,InicioCiclo,$S199+MOD(2-WEEKDAY($S199),7))+20),1,IF(ISNUMBER($K199),$K199,$Z199)))</f>
        <v/>
      </c>
      <c r="AB199" s="62">
        <f>IF($V199="","",IF(AND(ISNUMBER($G199),$G199&lt;=IF($S199=MesCiclo,InicioCiclo,$S199+MOD(2-WEEKDAY($S199),7))+27),1,IF(ISNUMBER($L199),$L199,$AA199)))</f>
        <v/>
      </c>
      <c r="AC199" s="62">
        <f>IF($V199="","",IF(AND(ISNUMBER($G199),$G199&lt;=IF($S199=MesCiclo,InicioCiclo,$S199+MOD(2-WEEKDAY($S199),7))+6),1,IF(N($W199)&gt;0,AVERAGEIFS($Y$5:$Y$1000,$U$5:$U$1000,ROW(),$V$5:$V$1000,"Sub"),$Y199)))</f>
        <v/>
      </c>
      <c r="AD199" s="62">
        <f>IF($V199="","",IF(AND(ISNUMBER($G199),$G199&lt;=IF($S199=MesCiclo,InicioCiclo,$S199+MOD(2-WEEKDAY($S199),7))+13),1,IF(N($W199)&gt;0,AVERAGEIFS($Z$5:$Z$1000,$U$5:$U$1000,ROW(),$V$5:$V$1000,"Sub"),$Z199)))</f>
        <v/>
      </c>
      <c r="AE199" s="62">
        <f>IF($V199="","",IF(AND(ISNUMBER($G199),$G199&lt;=IF($S199=MesCiclo,InicioCiclo,$S199+MOD(2-WEEKDAY($S199),7))+20),1,IF(N($W199)&gt;0,AVERAGEIFS($AA$5:$AA$1000,$U$5:$U$1000,ROW(),$V$5:$V$1000,"Sub"),$AA199)))</f>
        <v/>
      </c>
      <c r="AF199" s="62">
        <f>IF($V199="","",IF(AND(ISNUMBER($G199),$G199&lt;=IF($S199=MesCiclo,InicioCiclo,$S199+MOD(2-WEEKDAY($S199),7))+27),1,IF(N($W199)&gt;0,AVERAGEIFS($AB$5:$AB$1000,$U$5:$U$1000,ROW(),$V$5:$V$1000,"Sub"),$AB199)))</f>
        <v/>
      </c>
      <c r="AG199" s="62">
        <f>IF($V199&lt;&gt;"Macro","",IF(COUNTIFS($S$5:$S$1000,$S199,$V$5:$V$1000,"Macro",$H$5:$H$1000,"&gt;0")=0,1/COUNTIFS($S$5:$S$1000,$S199,$V$5:$V$1000,"Macro"),IF(AND(ISNUMBER($H199),N($H199)&gt;0),$H199,SUMIFS($H$5:$H$1000,$S$5:$S$1000,$S199,$V$5:$V$1000,"Macro")/COUNTIFS($S$5:$S$1000,$S199,$V$5:$V$1000,"Macro",$H$5:$H$1000,"&gt;0"))/(COUNTIFS($S$5:$S$1000,$S199,$V$5:$V$1000,"Macro")*SUMIFS($H$5:$H$1000,$S$5:$S$1000,$S199,$V$5:$V$1000,"Macro")/COUNTIFS($S$5:$S$1000,$S199,$V$5:$V$1000,"Macro",$H$5:$H$1000,"&gt;0"))))</f>
        <v/>
      </c>
      <c r="AH199" s="62">
        <f>IF(NOT(AND($D199&lt;&gt;"",$V199="Macro")),"",IFERROR(CHOOSE(MATCH($D199,ListaPuestos,0),MATCH("[Jefatura] "&amp;$C199,'Cronograma R. Operacional'!$C$5:$C$1000,0),MATCH("[Jefatura] "&amp;$C199,'Cronograma R. Normativo'!$C$5:$C$1000,0),MATCH("[Jefatura] "&amp;$C199,'Cronograma R. Financiero'!$C$5:$C$1000,0),MATCH("[Jefatura] "&amp;$C199,'Cronograma Asistente Técnico'!$C$5:$C$1000,0)),0))</f>
        <v/>
      </c>
      <c r="AI199" s="62">
        <f>IF(AND(AND($D199&lt;&gt;"",$V199="Macro"),$S199=MesCiclo),COUNTIFS($D$5:$D199,$D199,$S$5:$S199,MesCiclo,$V$5:$V199,"Macro"),"")</f>
        <v/>
      </c>
      <c r="AJ199" s="62">
        <f>IF($AI199="","",$D199&amp;"|"&amp;$AI199)</f>
        <v/>
      </c>
      <c r="AK199" s="62">
        <f>IF(AND($D199&lt;&gt;"",$V199="Macro"),$D199&amp;"|"&amp;$C199,"")</f>
        <v/>
      </c>
      <c r="AL199" s="62">
        <f>""</f>
        <v/>
      </c>
      <c r="AM199" s="62">
        <f>IF(N($AL199)&gt;0,INDEX(rIni_ADM,$AL199),IF(ISNUMBER($E199),$E199,""))</f>
        <v/>
      </c>
      <c r="AN199" s="62">
        <f>IF(N($AL199)&gt;0,INDEX(rLim_ADM,$AL199),IF(ISNUMBER($F199),$F199,""))</f>
        <v/>
      </c>
    </row>
    <row r="200">
      <c r="A200" s="56">
        <f>IF(NOT((COUNTA($B200:$D200)+COUNTA($G200:$L200)+COUNTA($Q200))&gt;0),"",IF($V200="Macro",COUNTIFS($V$5:$V200,"Macro",$S$5:$S200,$S200),IF(N($U200)=0,"?",COUNTIFS(INDEX($V$5:$V$1000,1):INDEX($V$5:$V$1000,$U200-4),"Macro",INDEX($S$5:$S$1000,1):INDEX($S$5:$S$1000,$U200-4),INDEX($S$5:$S$1000,$U200-4))&amp;"."&amp;COUNTIFS($U$5:$U200,$U200,$V$5:$V200,"Sub"))))</f>
        <v/>
      </c>
      <c r="B200" s="57" t="n"/>
      <c r="C200" s="58" t="n"/>
      <c r="D200" s="58" t="n"/>
      <c r="E200" s="59" t="n"/>
      <c r="F200" s="59" t="n"/>
      <c r="G200" s="59" t="n"/>
      <c r="H200" s="60" t="n"/>
      <c r="I200" s="60" t="n"/>
      <c r="J200" s="60" t="n"/>
      <c r="K200" s="60" t="n"/>
      <c r="L200" s="60" t="n"/>
      <c r="M200" s="61">
        <f>IF(NOT((COUNTA($B200:$D200)+COUNTA($G200:$L200)+COUNTA($Q200))&gt;0),"",IF(AND($D200&lt;&gt;"",$V200="Macro"),IF(N($AH200)&gt;0,N(CHOOSE(MATCH($D200,ListaPuestos,0),INDEX('Cronograma R. Operacional'!$M$5:$M$1000,$AH200),INDEX('Cronograma R. Normativo'!$M$5:$M$1000,$AH200),INDEX('Cronograma R. Financiero'!$M$5:$M$1000,$AH200),INDEX('Cronograma Asistente Técnico'!$M$5:$M$1000,$AH200))),0),IF(ISNUMBER($G200),1,IF(N($W200)&gt;0,AVERAGEIFS($X$5:$X$1000,$U$5:$U$1000,ROW(),$V$5:$V$1000,"Sub"),$X200))))</f>
        <v/>
      </c>
      <c r="N200" s="56">
        <f>IF(OR($M200="",$V200="Sub"),"",IF($M200&gt;=1,"Completado",IF($M200&gt;0,"En curso","Pendiente")))</f>
        <v/>
      </c>
      <c r="O200" s="56">
        <f>IF(NOT((COUNTA($B200:$D200)+COUNTA($G200:$L200)+COUNTA($Q200))&gt;0),"",IF(AND(AND($D200&lt;&gt;"",$V200="Macro"),N($AH200)&gt;0),CHOOSE(MATCH($D200,ListaPuestos,0),INDEX('Cronograma R. Operacional'!$O$5:$O$1000,$AH200),INDEX('Cronograma R. Normativo'!$O$5:$O$1000,$AH200),INDEX('Cronograma R. Financiero'!$O$5:$O$1000,$AH200),INDEX('Cronograma Asistente Técnico'!$O$5:$O$1000,$AH200))&amp;"",IF(ISNUMBER($G200),IF(AND(ISNUMBER($AN200),$G200&gt;$AN200),"Cumplida con "&amp;($G200-$AN200)&amp;IF($G200-$AN200=1," día"," días")&amp;" de retraso","Cumplida"),IF(N($M200)&gt;=1,"Cumplida",IF(NOT(ISNUMBER($AN200)),"Sin fecha límite",IF($AN200&lt;FechaRef,"Vencida hace "&amp;(FechaRef-$AN200)&amp;IF(FechaRef-$AN200=1," día"," días"),IF($AN200=FechaRef,"Vence hoy",IF($AN200-FechaRef&lt;=DiasAlerta,"Vence en "&amp;($AN200-FechaRef)&amp;IF($AN200-FechaRef=1," día"," días"),"En plazo"))))))))</f>
        <v/>
      </c>
      <c r="P200" s="62">
        <f>IF(NOT((COUNTA($B200:$D200)+COUNTA($G200:$L200)+COUNTA($Q200))&gt;0),"",IF($D200="","Propia",IF($V200&lt;&gt;"Macro","Solo se delegan macroactividades",IF(N($AH200)&gt;0,"✔ Recibida por "&amp;$D200,"⚠ "&amp;$D200&amp;" aún no la agrega"))))</f>
        <v/>
      </c>
      <c r="Q200" s="58" t="n"/>
      <c r="R200" s="63">
        <f>IF(NOT((COUNTA($B200:$D200)+COUNTA($G200:$L200)+COUNTA($Q200))&gt;0),"",IF((IF($C200="","Falta el nombre de la actividad"&amp;" · ","")&amp;IF(AND($V200="Sub",N($U200)=0),"Subactividad sin macroactividad arriba"&amp;" · ","")&amp;IF($AM200="","Sin fecha de inicio"&amp;" · ","")&amp;IF($AN200="","Sin fecha límite"&amp;" · ","")&amp;IF(AND(LEFT($C200,11)="[Jefatura] ",N($AL200)=0),"No se encuentra en la hoja de la jefatura (elíjala de nuevo en la lista)"&amp;" · ","")&amp;IF(OR(AND($E200&lt;&gt;"",NOT(ISNUMBER($E200))),AND($F200&lt;&gt;"",NOT(ISNUMBER($F200))),AND($G200&lt;&gt;"",NOT(ISNUMBER($G200)))),"Fecha no válida"&amp;" · ","")&amp;IF(AND(ISNUMBER($AM200),ISNUMBER($AN200),$AM200&gt;$AN200),"Inicio posterior a fecha límite"&amp;" · ","")&amp;IF(AND($V200="Macro",$H200&lt;&gt;"",OR(NOT(ISNUMBER($H200)),$H200&lt;0,$H200&gt;1)),"Peso fuera de rango"&amp;" · ","")&amp;IF(AND($V200="Sub",$H200&lt;&gt;""),"Las subactividades no llevan peso (valen igual dentro de su macroactividad)"&amp;" · ","")&amp;IF(AND(N($W200)&gt;0,COUNT($I200:$L200)&gt;0),"Con subactividades: deje vacías las semanas (se calculan solas)"&amp;" · ","")&amp;IF((COUNTIF($I200:$L200,"&gt;1")+COUNTIF($I200:$L200,"&lt;0")+COUNTA($I200:$L200)-COUNT($I200:$L200))&gt;0,"Avance fuera de rango 0-100%"&amp;" · ","")&amp;IF(OR(AND($J200&lt;&gt;"",$J200&lt;$I200),AND($K200&lt;&gt;"",$K200&lt;MAX($I200:$J200)),AND($L200&lt;&gt;"",$L200&lt;MAX($I200:$K200))),"Avance semanal decreciente"&amp;" · ","")&amp;IF(AND(ISNUMBER($AN200),$AN200&lt;FechaRef,IF($V200="Sub",N($X200),N($M200))&lt;1),"Vencida"&amp;" · ","")&amp;IF(AND(ObsObligatoria="Sí",ISNUMBER($AN200),$AN200&lt;FechaRef,IF($V200="Sub",N($X200),N($M200))&lt;1,$Q200=""),"Vencida sin observación"&amp;" · ",""))="","✔ OK","⚠ "&amp;LEFT(IF($C200="","Falta el nombre de la actividad"&amp;" · ","")&amp;IF(AND($V200="Sub",N($U200)=0),"Subactividad sin macroactividad arriba"&amp;" · ","")&amp;IF($AM200="","Sin fecha de inicio"&amp;" · ","")&amp;IF($AN200="","Sin fecha límite"&amp;" · ","")&amp;IF(AND(LEFT($C200,11)="[Jefatura] ",N($AL200)=0),"No se encuentra en la hoja de la jefatura (elíjala de nuevo en la lista)"&amp;" · ","")&amp;IF(OR(AND($E200&lt;&gt;"",NOT(ISNUMBER($E200))),AND($F200&lt;&gt;"",NOT(ISNUMBER($F200))),AND($G200&lt;&gt;"",NOT(ISNUMBER($G200)))),"Fecha no válida"&amp;" · ","")&amp;IF(AND(ISNUMBER($AM200),ISNUMBER($AN200),$AM200&gt;$AN200),"Inicio posterior a fecha límite"&amp;" · ","")&amp;IF(AND($V200="Macro",$H200&lt;&gt;"",OR(NOT(ISNUMBER($H200)),$H200&lt;0,$H200&gt;1)),"Peso fuera de rango"&amp;" · ","")&amp;IF(AND($V200="Sub",$H200&lt;&gt;""),"Las subactividades no llevan peso (valen igual dentro de su macroactividad)"&amp;" · ","")&amp;IF(AND(N($W200)&gt;0,COUNT($I200:$L200)&gt;0),"Con subactividades: deje vacías las semanas (se calculan solas)"&amp;" · ","")&amp;IF((COUNTIF($I200:$L200,"&gt;1")+COUNTIF($I200:$L200,"&lt;0")+COUNTA($I200:$L200)-COUNT($I200:$L200))&gt;0,"Avance fuera de rango 0-100%"&amp;" · ","")&amp;IF(OR(AND($J200&lt;&gt;"",$J200&lt;$I200),AND($K200&lt;&gt;"",$K200&lt;MAX($I200:$J200)),AND($L200&lt;&gt;"",$L200&lt;MAX($I200:$K200))),"Avance semanal decreciente"&amp;" · ","")&amp;IF(AND(ISNUMBER($AN200),$AN200&lt;FechaRef,IF($V200="Sub",N($X200),N($M200))&lt;1),"Vencida"&amp;" · ","")&amp;IF(AND(ObsObligatoria="Sí",ISNUMBER($AN200),$AN200&lt;FechaRef,IF($V200="Sub",N($X200),N($M200))&lt;1,$Q200=""),"Vencida sin observación"&amp;" · ",""),LEN(IF($C200="","Falta el nombre de la actividad"&amp;" · ","")&amp;IF(AND($V200="Sub",N($U200)=0),"Subactividad sin macroactividad arriba"&amp;" · ","")&amp;IF($AM200="","Sin fecha de inicio"&amp;" · ","")&amp;IF($AN200="","Sin fecha límite"&amp;" · ","")&amp;IF(AND(LEFT($C200,11)="[Jefatura] ",N($AL200)=0),"No se encuentra en la hoja de la jefatura (elíjala de nuevo en la lista)"&amp;" · ","")&amp;IF(OR(AND($E200&lt;&gt;"",NOT(ISNUMBER($E200))),AND($F200&lt;&gt;"",NOT(ISNUMBER($F200))),AND($G200&lt;&gt;"",NOT(ISNUMBER($G200)))),"Fecha no válida"&amp;" · ","")&amp;IF(AND(ISNUMBER($AM200),ISNUMBER($AN200),$AM200&gt;$AN200),"Inicio posterior a fecha límite"&amp;" · ","")&amp;IF(AND($V200="Macro",$H200&lt;&gt;"",OR(NOT(ISNUMBER($H200)),$H200&lt;0,$H200&gt;1)),"Peso fuera de rango"&amp;" · ","")&amp;IF(AND($V200="Sub",$H200&lt;&gt;""),"Las subactividades no llevan peso (valen igual dentro de su macroactividad)"&amp;" · ","")&amp;IF(AND(N($W200)&gt;0,COUNT($I200:$L200)&gt;0),"Con subactividades: deje vacías las semanas (se calculan solas)"&amp;" · ","")&amp;IF((COUNTIF($I200:$L200,"&gt;1")+COUNTIF($I200:$L200,"&lt;0")+COUNTA($I200:$L200)-COUNT($I200:$L200))&gt;0,"Avance fuera de rango 0-100%"&amp;" · ","")&amp;IF(OR(AND($J200&lt;&gt;"",$J200&lt;$I200),AND($K200&lt;&gt;"",$K200&lt;MAX($I200:$J200)),AND($L200&lt;&gt;"",$L200&lt;MAX($I200:$K200))),"Avance semanal decreciente"&amp;" · ","")&amp;IF(AND(ISNUMBER($AN200),$AN200&lt;FechaRef,IF($V200="Sub",N($X200),N($M200))&lt;1),"Vencida"&amp;" · ","")&amp;IF(AND(ObsObligatoria="Sí",ISNUMBER($AN200),$AN200&lt;FechaRef,IF($V200="Sub",N($X200),N($M200))&lt;1,$Q200=""),"Vencida sin observación"&amp;" · ",""))-3)))</f>
        <v/>
      </c>
      <c r="S200" s="64">
        <f>IF(NOT((COUNTA($B200:$D200)+COUNTA($G200:$L200)+COUNTA($Q200))&gt;0),"",IF(AND($V200="Sub",N($U200)&gt;0),IF(ISNUMBER(INDEX($AM$5:$AM$1000,$U200-4)),DATE(YEAR(INDEX($AM$5:$AM$1000,$U200-4)),MONTH(INDEX($AM$5:$AM$1000,$U200-4)),1),IF(ISNUMBER(INDEX($AN$5:$AN$1000,$U200-4)),DATE(YEAR(INDEX($AN$5:$AN$1000,$U200-4)),MONTH(INDEX($AN$5:$AN$1000,$U200-4)),1),MesCiclo)),IF(ISNUMBER($AM200),DATE(YEAR($AM200),MONTH($AM200),1),IF(ISNUMBER($AN200),DATE(YEAR($AN200),MONTH($AN200),1),MesCiclo))))</f>
        <v/>
      </c>
      <c r="T200" s="62">
        <f>IF(OR($S200="",$S200&lt;&gt;MesCiclo,$V200&lt;&gt;"Macro"),"",COUNTIFS($S$5:$S200,MesCiclo,$V$5:$V200,"Macro"))</f>
        <v/>
      </c>
      <c r="U200" s="62">
        <f>IF($V200="","",IF($V200="Macro",ROW(),IFERROR(LOOKUP(2,1/($V$5:$V200="Macro"),ROW($V$5:$V200)),0)))</f>
        <v/>
      </c>
      <c r="V200" s="62">
        <f>IF(NOT((COUNTA($B200:$D200)+COUNTA($G200:$L200)+COUNTA($Q200))&gt;0),"",IF($B200="Subactividad","Sub","Macro"))</f>
        <v/>
      </c>
      <c r="W200" s="62">
        <f>IF($V200="Macro",COUNTIFS($U$5:$U$1000,ROW(),$V$5:$V$1000,"Sub"),"")</f>
        <v/>
      </c>
      <c r="X200" s="62">
        <f>IF($V200="","",IF(ISNUMBER($G200),1,IFERROR(LOOKUP(2,1/($I200:$L200&lt;&gt;""),$I200:$L200),0)))</f>
        <v/>
      </c>
      <c r="Y200" s="62">
        <f>IF($V200="","",IF(AND(ISNUMBER($G200),$G200&lt;=IF($S200=MesCiclo,InicioCiclo,$S200+MOD(2-WEEKDAY($S200),7))+6),1,IF(ISNUMBER($I200),$I200,0)))</f>
        <v/>
      </c>
      <c r="Z200" s="62">
        <f>IF($V200="","",IF(AND(ISNUMBER($G200),$G200&lt;=IF($S200=MesCiclo,InicioCiclo,$S200+MOD(2-WEEKDAY($S200),7))+13),1,IF(ISNUMBER($J200),$J200,$Y200)))</f>
        <v/>
      </c>
      <c r="AA200" s="62">
        <f>IF($V200="","",IF(AND(ISNUMBER($G200),$G200&lt;=IF($S200=MesCiclo,InicioCiclo,$S200+MOD(2-WEEKDAY($S200),7))+20),1,IF(ISNUMBER($K200),$K200,$Z200)))</f>
        <v/>
      </c>
      <c r="AB200" s="62">
        <f>IF($V200="","",IF(AND(ISNUMBER($G200),$G200&lt;=IF($S200=MesCiclo,InicioCiclo,$S200+MOD(2-WEEKDAY($S200),7))+27),1,IF(ISNUMBER($L200),$L200,$AA200)))</f>
        <v/>
      </c>
      <c r="AC200" s="62">
        <f>IF($V200="","",IF(AND(ISNUMBER($G200),$G200&lt;=IF($S200=MesCiclo,InicioCiclo,$S200+MOD(2-WEEKDAY($S200),7))+6),1,IF(N($W200)&gt;0,AVERAGEIFS($Y$5:$Y$1000,$U$5:$U$1000,ROW(),$V$5:$V$1000,"Sub"),$Y200)))</f>
        <v/>
      </c>
      <c r="AD200" s="62">
        <f>IF($V200="","",IF(AND(ISNUMBER($G200),$G200&lt;=IF($S200=MesCiclo,InicioCiclo,$S200+MOD(2-WEEKDAY($S200),7))+13),1,IF(N($W200)&gt;0,AVERAGEIFS($Z$5:$Z$1000,$U$5:$U$1000,ROW(),$V$5:$V$1000,"Sub"),$Z200)))</f>
        <v/>
      </c>
      <c r="AE200" s="62">
        <f>IF($V200="","",IF(AND(ISNUMBER($G200),$G200&lt;=IF($S200=MesCiclo,InicioCiclo,$S200+MOD(2-WEEKDAY($S200),7))+20),1,IF(N($W200)&gt;0,AVERAGEIFS($AA$5:$AA$1000,$U$5:$U$1000,ROW(),$V$5:$V$1000,"Sub"),$AA200)))</f>
        <v/>
      </c>
      <c r="AF200" s="62">
        <f>IF($V200="","",IF(AND(ISNUMBER($G200),$G200&lt;=IF($S200=MesCiclo,InicioCiclo,$S200+MOD(2-WEEKDAY($S200),7))+27),1,IF(N($W200)&gt;0,AVERAGEIFS($AB$5:$AB$1000,$U$5:$U$1000,ROW(),$V$5:$V$1000,"Sub"),$AB200)))</f>
        <v/>
      </c>
      <c r="AG200" s="62">
        <f>IF($V200&lt;&gt;"Macro","",IF(COUNTIFS($S$5:$S$1000,$S200,$V$5:$V$1000,"Macro",$H$5:$H$1000,"&gt;0")=0,1/COUNTIFS($S$5:$S$1000,$S200,$V$5:$V$1000,"Macro"),IF(AND(ISNUMBER($H200),N($H200)&gt;0),$H200,SUMIFS($H$5:$H$1000,$S$5:$S$1000,$S200,$V$5:$V$1000,"Macro")/COUNTIFS($S$5:$S$1000,$S200,$V$5:$V$1000,"Macro",$H$5:$H$1000,"&gt;0"))/(COUNTIFS($S$5:$S$1000,$S200,$V$5:$V$1000,"Macro")*SUMIFS($H$5:$H$1000,$S$5:$S$1000,$S200,$V$5:$V$1000,"Macro")/COUNTIFS($S$5:$S$1000,$S200,$V$5:$V$1000,"Macro",$H$5:$H$1000,"&gt;0"))))</f>
        <v/>
      </c>
      <c r="AH200" s="62">
        <f>IF(NOT(AND($D200&lt;&gt;"",$V200="Macro")),"",IFERROR(CHOOSE(MATCH($D200,ListaPuestos,0),MATCH("[Jefatura] "&amp;$C200,'Cronograma R. Operacional'!$C$5:$C$1000,0),MATCH("[Jefatura] "&amp;$C200,'Cronograma R. Normativo'!$C$5:$C$1000,0),MATCH("[Jefatura] "&amp;$C200,'Cronograma R. Financiero'!$C$5:$C$1000,0),MATCH("[Jefatura] "&amp;$C200,'Cronograma Asistente Técnico'!$C$5:$C$1000,0)),0))</f>
        <v/>
      </c>
      <c r="AI200" s="62">
        <f>IF(AND(AND($D200&lt;&gt;"",$V200="Macro"),$S200=MesCiclo),COUNTIFS($D$5:$D200,$D200,$S$5:$S200,MesCiclo,$V$5:$V200,"Macro"),"")</f>
        <v/>
      </c>
      <c r="AJ200" s="62">
        <f>IF($AI200="","",$D200&amp;"|"&amp;$AI200)</f>
        <v/>
      </c>
      <c r="AK200" s="62">
        <f>IF(AND($D200&lt;&gt;"",$V200="Macro"),$D200&amp;"|"&amp;$C200,"")</f>
        <v/>
      </c>
      <c r="AL200" s="62">
        <f>""</f>
        <v/>
      </c>
      <c r="AM200" s="62">
        <f>IF(N($AL200)&gt;0,INDEX(rIni_ADM,$AL200),IF(ISNUMBER($E200),$E200,""))</f>
        <v/>
      </c>
      <c r="AN200" s="62">
        <f>IF(N($AL200)&gt;0,INDEX(rLim_ADM,$AL200),IF(ISNUMBER($F200),$F200,""))</f>
        <v/>
      </c>
    </row>
    <row r="201">
      <c r="A201" s="56">
        <f>IF(NOT((COUNTA($B201:$D201)+COUNTA($G201:$L201)+COUNTA($Q201))&gt;0),"",IF($V201="Macro",COUNTIFS($V$5:$V201,"Macro",$S$5:$S201,$S201),IF(N($U201)=0,"?",COUNTIFS(INDEX($V$5:$V$1000,1):INDEX($V$5:$V$1000,$U201-4),"Macro",INDEX($S$5:$S$1000,1):INDEX($S$5:$S$1000,$U201-4),INDEX($S$5:$S$1000,$U201-4))&amp;"."&amp;COUNTIFS($U$5:$U201,$U201,$V$5:$V201,"Sub"))))</f>
        <v/>
      </c>
      <c r="B201" s="57" t="n"/>
      <c r="C201" s="58" t="n"/>
      <c r="D201" s="58" t="n"/>
      <c r="E201" s="59" t="n"/>
      <c r="F201" s="59" t="n"/>
      <c r="G201" s="59" t="n"/>
      <c r="H201" s="60" t="n"/>
      <c r="I201" s="60" t="n"/>
      <c r="J201" s="60" t="n"/>
      <c r="K201" s="60" t="n"/>
      <c r="L201" s="60" t="n"/>
      <c r="M201" s="61">
        <f>IF(NOT((COUNTA($B201:$D201)+COUNTA($G201:$L201)+COUNTA($Q201))&gt;0),"",IF(AND($D201&lt;&gt;"",$V201="Macro"),IF(N($AH201)&gt;0,N(CHOOSE(MATCH($D201,ListaPuestos,0),INDEX('Cronograma R. Operacional'!$M$5:$M$1000,$AH201),INDEX('Cronograma R. Normativo'!$M$5:$M$1000,$AH201),INDEX('Cronograma R. Financiero'!$M$5:$M$1000,$AH201),INDEX('Cronograma Asistente Técnico'!$M$5:$M$1000,$AH201))),0),IF(ISNUMBER($G201),1,IF(N($W201)&gt;0,AVERAGEIFS($X$5:$X$1000,$U$5:$U$1000,ROW(),$V$5:$V$1000,"Sub"),$X201))))</f>
        <v/>
      </c>
      <c r="N201" s="56">
        <f>IF(OR($M201="",$V201="Sub"),"",IF($M201&gt;=1,"Completado",IF($M201&gt;0,"En curso","Pendiente")))</f>
        <v/>
      </c>
      <c r="O201" s="56">
        <f>IF(NOT((COUNTA($B201:$D201)+COUNTA($G201:$L201)+COUNTA($Q201))&gt;0),"",IF(AND(AND($D201&lt;&gt;"",$V201="Macro"),N($AH201)&gt;0),CHOOSE(MATCH($D201,ListaPuestos,0),INDEX('Cronograma R. Operacional'!$O$5:$O$1000,$AH201),INDEX('Cronograma R. Normativo'!$O$5:$O$1000,$AH201),INDEX('Cronograma R. Financiero'!$O$5:$O$1000,$AH201),INDEX('Cronograma Asistente Técnico'!$O$5:$O$1000,$AH201))&amp;"",IF(ISNUMBER($G201),IF(AND(ISNUMBER($AN201),$G201&gt;$AN201),"Cumplida con "&amp;($G201-$AN201)&amp;IF($G201-$AN201=1," día"," días")&amp;" de retraso","Cumplida"),IF(N($M201)&gt;=1,"Cumplida",IF(NOT(ISNUMBER($AN201)),"Sin fecha límite",IF($AN201&lt;FechaRef,"Vencida hace "&amp;(FechaRef-$AN201)&amp;IF(FechaRef-$AN201=1," día"," días"),IF($AN201=FechaRef,"Vence hoy",IF($AN201-FechaRef&lt;=DiasAlerta,"Vence en "&amp;($AN201-FechaRef)&amp;IF($AN201-FechaRef=1," día"," días"),"En plazo"))))))))</f>
        <v/>
      </c>
      <c r="P201" s="62">
        <f>IF(NOT((COUNTA($B201:$D201)+COUNTA($G201:$L201)+COUNTA($Q201))&gt;0),"",IF($D201="","Propia",IF($V201&lt;&gt;"Macro","Solo se delegan macroactividades",IF(N($AH201)&gt;0,"✔ Recibida por "&amp;$D201,"⚠ "&amp;$D201&amp;" aún no la agrega"))))</f>
        <v/>
      </c>
      <c r="Q201" s="58" t="n"/>
      <c r="R201" s="63">
        <f>IF(NOT((COUNTA($B201:$D201)+COUNTA($G201:$L201)+COUNTA($Q201))&gt;0),"",IF((IF($C201="","Falta el nombre de la actividad"&amp;" · ","")&amp;IF(AND($V201="Sub",N($U201)=0),"Subactividad sin macroactividad arriba"&amp;" · ","")&amp;IF($AM201="","Sin fecha de inicio"&amp;" · ","")&amp;IF($AN201="","Sin fecha límite"&amp;" · ","")&amp;IF(AND(LEFT($C201,11)="[Jefatura] ",N($AL201)=0),"No se encuentra en la hoja de la jefatura (elíjala de nuevo en la lista)"&amp;" · ","")&amp;IF(OR(AND($E201&lt;&gt;"",NOT(ISNUMBER($E201))),AND($F201&lt;&gt;"",NOT(ISNUMBER($F201))),AND($G201&lt;&gt;"",NOT(ISNUMBER($G201)))),"Fecha no válida"&amp;" · ","")&amp;IF(AND(ISNUMBER($AM201),ISNUMBER($AN201),$AM201&gt;$AN201),"Inicio posterior a fecha límite"&amp;" · ","")&amp;IF(AND($V201="Macro",$H201&lt;&gt;"",OR(NOT(ISNUMBER($H201)),$H201&lt;0,$H201&gt;1)),"Peso fuera de rango"&amp;" · ","")&amp;IF(AND($V201="Sub",$H201&lt;&gt;""),"Las subactividades no llevan peso (valen igual dentro de su macroactividad)"&amp;" · ","")&amp;IF(AND(N($W201)&gt;0,COUNT($I201:$L201)&gt;0),"Con subactividades: deje vacías las semanas (se calculan solas)"&amp;" · ","")&amp;IF((COUNTIF($I201:$L201,"&gt;1")+COUNTIF($I201:$L201,"&lt;0")+COUNTA($I201:$L201)-COUNT($I201:$L201))&gt;0,"Avance fuera de rango 0-100%"&amp;" · ","")&amp;IF(OR(AND($J201&lt;&gt;"",$J201&lt;$I201),AND($K201&lt;&gt;"",$K201&lt;MAX($I201:$J201)),AND($L201&lt;&gt;"",$L201&lt;MAX($I201:$K201))),"Avance semanal decreciente"&amp;" · ","")&amp;IF(AND(ISNUMBER($AN201),$AN201&lt;FechaRef,IF($V201="Sub",N($X201),N($M201))&lt;1),"Vencida"&amp;" · ","")&amp;IF(AND(ObsObligatoria="Sí",ISNUMBER($AN201),$AN201&lt;FechaRef,IF($V201="Sub",N($X201),N($M201))&lt;1,$Q201=""),"Vencida sin observación"&amp;" · ",""))="","✔ OK","⚠ "&amp;LEFT(IF($C201="","Falta el nombre de la actividad"&amp;" · ","")&amp;IF(AND($V201="Sub",N($U201)=0),"Subactividad sin macroactividad arriba"&amp;" · ","")&amp;IF($AM201="","Sin fecha de inicio"&amp;" · ","")&amp;IF($AN201="","Sin fecha límite"&amp;" · ","")&amp;IF(AND(LEFT($C201,11)="[Jefatura] ",N($AL201)=0),"No se encuentra en la hoja de la jefatura (elíjala de nuevo en la lista)"&amp;" · ","")&amp;IF(OR(AND($E201&lt;&gt;"",NOT(ISNUMBER($E201))),AND($F201&lt;&gt;"",NOT(ISNUMBER($F201))),AND($G201&lt;&gt;"",NOT(ISNUMBER($G201)))),"Fecha no válida"&amp;" · ","")&amp;IF(AND(ISNUMBER($AM201),ISNUMBER($AN201),$AM201&gt;$AN201),"Inicio posterior a fecha límite"&amp;" · ","")&amp;IF(AND($V201="Macro",$H201&lt;&gt;"",OR(NOT(ISNUMBER($H201)),$H201&lt;0,$H201&gt;1)),"Peso fuera de rango"&amp;" · ","")&amp;IF(AND($V201="Sub",$H201&lt;&gt;""),"Las subactividades no llevan peso (valen igual dentro de su macroactividad)"&amp;" · ","")&amp;IF(AND(N($W201)&gt;0,COUNT($I201:$L201)&gt;0),"Con subactividades: deje vacías las semanas (se calculan solas)"&amp;" · ","")&amp;IF((COUNTIF($I201:$L201,"&gt;1")+COUNTIF($I201:$L201,"&lt;0")+COUNTA($I201:$L201)-COUNT($I201:$L201))&gt;0,"Avance fuera de rango 0-100%"&amp;" · ","")&amp;IF(OR(AND($J201&lt;&gt;"",$J201&lt;$I201),AND($K201&lt;&gt;"",$K201&lt;MAX($I201:$J201)),AND($L201&lt;&gt;"",$L201&lt;MAX($I201:$K201))),"Avance semanal decreciente"&amp;" · ","")&amp;IF(AND(ISNUMBER($AN201),$AN201&lt;FechaRef,IF($V201="Sub",N($X201),N($M201))&lt;1),"Vencida"&amp;" · ","")&amp;IF(AND(ObsObligatoria="Sí",ISNUMBER($AN201),$AN201&lt;FechaRef,IF($V201="Sub",N($X201),N($M201))&lt;1,$Q201=""),"Vencida sin observación"&amp;" · ",""),LEN(IF($C201="","Falta el nombre de la actividad"&amp;" · ","")&amp;IF(AND($V201="Sub",N($U201)=0),"Subactividad sin macroactividad arriba"&amp;" · ","")&amp;IF($AM201="","Sin fecha de inicio"&amp;" · ","")&amp;IF($AN201="","Sin fecha límite"&amp;" · ","")&amp;IF(AND(LEFT($C201,11)="[Jefatura] ",N($AL201)=0),"No se encuentra en la hoja de la jefatura (elíjala de nuevo en la lista)"&amp;" · ","")&amp;IF(OR(AND($E201&lt;&gt;"",NOT(ISNUMBER($E201))),AND($F201&lt;&gt;"",NOT(ISNUMBER($F201))),AND($G201&lt;&gt;"",NOT(ISNUMBER($G201)))),"Fecha no válida"&amp;" · ","")&amp;IF(AND(ISNUMBER($AM201),ISNUMBER($AN201),$AM201&gt;$AN201),"Inicio posterior a fecha límite"&amp;" · ","")&amp;IF(AND($V201="Macro",$H201&lt;&gt;"",OR(NOT(ISNUMBER($H201)),$H201&lt;0,$H201&gt;1)),"Peso fuera de rango"&amp;" · ","")&amp;IF(AND($V201="Sub",$H201&lt;&gt;""),"Las subactividades no llevan peso (valen igual dentro de su macroactividad)"&amp;" · ","")&amp;IF(AND(N($W201)&gt;0,COUNT($I201:$L201)&gt;0),"Con subactividades: deje vacías las semanas (se calculan solas)"&amp;" · ","")&amp;IF((COUNTIF($I201:$L201,"&gt;1")+COUNTIF($I201:$L201,"&lt;0")+COUNTA($I201:$L201)-COUNT($I201:$L201))&gt;0,"Avance fuera de rango 0-100%"&amp;" · ","")&amp;IF(OR(AND($J201&lt;&gt;"",$J201&lt;$I201),AND($K201&lt;&gt;"",$K201&lt;MAX($I201:$J201)),AND($L201&lt;&gt;"",$L201&lt;MAX($I201:$K201))),"Avance semanal decreciente"&amp;" · ","")&amp;IF(AND(ISNUMBER($AN201),$AN201&lt;FechaRef,IF($V201="Sub",N($X201),N($M201))&lt;1),"Vencida"&amp;" · ","")&amp;IF(AND(ObsObligatoria="Sí",ISNUMBER($AN201),$AN201&lt;FechaRef,IF($V201="Sub",N($X201),N($M201))&lt;1,$Q201=""),"Vencida sin observación"&amp;" · ",""))-3)))</f>
        <v/>
      </c>
      <c r="S201" s="64">
        <f>IF(NOT((COUNTA($B201:$D201)+COUNTA($G201:$L201)+COUNTA($Q201))&gt;0),"",IF(AND($V201="Sub",N($U201)&gt;0),IF(ISNUMBER(INDEX($AM$5:$AM$1000,$U201-4)),DATE(YEAR(INDEX($AM$5:$AM$1000,$U201-4)),MONTH(INDEX($AM$5:$AM$1000,$U201-4)),1),IF(ISNUMBER(INDEX($AN$5:$AN$1000,$U201-4)),DATE(YEAR(INDEX($AN$5:$AN$1000,$U201-4)),MONTH(INDEX($AN$5:$AN$1000,$U201-4)),1),MesCiclo)),IF(ISNUMBER($AM201),DATE(YEAR($AM201),MONTH($AM201),1),IF(ISNUMBER($AN201),DATE(YEAR($AN201),MONTH($AN201),1),MesCiclo))))</f>
        <v/>
      </c>
      <c r="T201" s="62">
        <f>IF(OR($S201="",$S201&lt;&gt;MesCiclo,$V201&lt;&gt;"Macro"),"",COUNTIFS($S$5:$S201,MesCiclo,$V$5:$V201,"Macro"))</f>
        <v/>
      </c>
      <c r="U201" s="62">
        <f>IF($V201="","",IF($V201="Macro",ROW(),IFERROR(LOOKUP(2,1/($V$5:$V201="Macro"),ROW($V$5:$V201)),0)))</f>
        <v/>
      </c>
      <c r="V201" s="62">
        <f>IF(NOT((COUNTA($B201:$D201)+COUNTA($G201:$L201)+COUNTA($Q201))&gt;0),"",IF($B201="Subactividad","Sub","Macro"))</f>
        <v/>
      </c>
      <c r="W201" s="62">
        <f>IF($V201="Macro",COUNTIFS($U$5:$U$1000,ROW(),$V$5:$V$1000,"Sub"),"")</f>
        <v/>
      </c>
      <c r="X201" s="62">
        <f>IF($V201="","",IF(ISNUMBER($G201),1,IFERROR(LOOKUP(2,1/($I201:$L201&lt;&gt;""),$I201:$L201),0)))</f>
        <v/>
      </c>
      <c r="Y201" s="62">
        <f>IF($V201="","",IF(AND(ISNUMBER($G201),$G201&lt;=IF($S201=MesCiclo,InicioCiclo,$S201+MOD(2-WEEKDAY($S201),7))+6),1,IF(ISNUMBER($I201),$I201,0)))</f>
        <v/>
      </c>
      <c r="Z201" s="62">
        <f>IF($V201="","",IF(AND(ISNUMBER($G201),$G201&lt;=IF($S201=MesCiclo,InicioCiclo,$S201+MOD(2-WEEKDAY($S201),7))+13),1,IF(ISNUMBER($J201),$J201,$Y201)))</f>
        <v/>
      </c>
      <c r="AA201" s="62">
        <f>IF($V201="","",IF(AND(ISNUMBER($G201),$G201&lt;=IF($S201=MesCiclo,InicioCiclo,$S201+MOD(2-WEEKDAY($S201),7))+20),1,IF(ISNUMBER($K201),$K201,$Z201)))</f>
        <v/>
      </c>
      <c r="AB201" s="62">
        <f>IF($V201="","",IF(AND(ISNUMBER($G201),$G201&lt;=IF($S201=MesCiclo,InicioCiclo,$S201+MOD(2-WEEKDAY($S201),7))+27),1,IF(ISNUMBER($L201),$L201,$AA201)))</f>
        <v/>
      </c>
      <c r="AC201" s="62">
        <f>IF($V201="","",IF(AND(ISNUMBER($G201),$G201&lt;=IF($S201=MesCiclo,InicioCiclo,$S201+MOD(2-WEEKDAY($S201),7))+6),1,IF(N($W201)&gt;0,AVERAGEIFS($Y$5:$Y$1000,$U$5:$U$1000,ROW(),$V$5:$V$1000,"Sub"),$Y201)))</f>
        <v/>
      </c>
      <c r="AD201" s="62">
        <f>IF($V201="","",IF(AND(ISNUMBER($G201),$G201&lt;=IF($S201=MesCiclo,InicioCiclo,$S201+MOD(2-WEEKDAY($S201),7))+13),1,IF(N($W201)&gt;0,AVERAGEIFS($Z$5:$Z$1000,$U$5:$U$1000,ROW(),$V$5:$V$1000,"Sub"),$Z201)))</f>
        <v/>
      </c>
      <c r="AE201" s="62">
        <f>IF($V201="","",IF(AND(ISNUMBER($G201),$G201&lt;=IF($S201=MesCiclo,InicioCiclo,$S201+MOD(2-WEEKDAY($S201),7))+20),1,IF(N($W201)&gt;0,AVERAGEIFS($AA$5:$AA$1000,$U$5:$U$1000,ROW(),$V$5:$V$1000,"Sub"),$AA201)))</f>
        <v/>
      </c>
      <c r="AF201" s="62">
        <f>IF($V201="","",IF(AND(ISNUMBER($G201),$G201&lt;=IF($S201=MesCiclo,InicioCiclo,$S201+MOD(2-WEEKDAY($S201),7))+27),1,IF(N($W201)&gt;0,AVERAGEIFS($AB$5:$AB$1000,$U$5:$U$1000,ROW(),$V$5:$V$1000,"Sub"),$AB201)))</f>
        <v/>
      </c>
      <c r="AG201" s="62">
        <f>IF($V201&lt;&gt;"Macro","",IF(COUNTIFS($S$5:$S$1000,$S201,$V$5:$V$1000,"Macro",$H$5:$H$1000,"&gt;0")=0,1/COUNTIFS($S$5:$S$1000,$S201,$V$5:$V$1000,"Macro"),IF(AND(ISNUMBER($H201),N($H201)&gt;0),$H201,SUMIFS($H$5:$H$1000,$S$5:$S$1000,$S201,$V$5:$V$1000,"Macro")/COUNTIFS($S$5:$S$1000,$S201,$V$5:$V$1000,"Macro",$H$5:$H$1000,"&gt;0"))/(COUNTIFS($S$5:$S$1000,$S201,$V$5:$V$1000,"Macro")*SUMIFS($H$5:$H$1000,$S$5:$S$1000,$S201,$V$5:$V$1000,"Macro")/COUNTIFS($S$5:$S$1000,$S201,$V$5:$V$1000,"Macro",$H$5:$H$1000,"&gt;0"))))</f>
        <v/>
      </c>
      <c r="AH201" s="62">
        <f>IF(NOT(AND($D201&lt;&gt;"",$V201="Macro")),"",IFERROR(CHOOSE(MATCH($D201,ListaPuestos,0),MATCH("[Jefatura] "&amp;$C201,'Cronograma R. Operacional'!$C$5:$C$1000,0),MATCH("[Jefatura] "&amp;$C201,'Cronograma R. Normativo'!$C$5:$C$1000,0),MATCH("[Jefatura] "&amp;$C201,'Cronograma R. Financiero'!$C$5:$C$1000,0),MATCH("[Jefatura] "&amp;$C201,'Cronograma Asistente Técnico'!$C$5:$C$1000,0)),0))</f>
        <v/>
      </c>
      <c r="AI201" s="62">
        <f>IF(AND(AND($D201&lt;&gt;"",$V201="Macro"),$S201=MesCiclo),COUNTIFS($D$5:$D201,$D201,$S$5:$S201,MesCiclo,$V$5:$V201,"Macro"),"")</f>
        <v/>
      </c>
      <c r="AJ201" s="62">
        <f>IF($AI201="","",$D201&amp;"|"&amp;$AI201)</f>
        <v/>
      </c>
      <c r="AK201" s="62">
        <f>IF(AND($D201&lt;&gt;"",$V201="Macro"),$D201&amp;"|"&amp;$C201,"")</f>
        <v/>
      </c>
      <c r="AL201" s="62">
        <f>""</f>
        <v/>
      </c>
      <c r="AM201" s="62">
        <f>IF(N($AL201)&gt;0,INDEX(rIni_ADM,$AL201),IF(ISNUMBER($E201),$E201,""))</f>
        <v/>
      </c>
      <c r="AN201" s="62">
        <f>IF(N($AL201)&gt;0,INDEX(rLim_ADM,$AL201),IF(ISNUMBER($F201),$F201,""))</f>
        <v/>
      </c>
    </row>
    <row r="202">
      <c r="A202" s="56">
        <f>IF(NOT((COUNTA($B202:$D202)+COUNTA($G202:$L202)+COUNTA($Q202))&gt;0),"",IF($V202="Macro",COUNTIFS($V$5:$V202,"Macro",$S$5:$S202,$S202),IF(N($U202)=0,"?",COUNTIFS(INDEX($V$5:$V$1000,1):INDEX($V$5:$V$1000,$U202-4),"Macro",INDEX($S$5:$S$1000,1):INDEX($S$5:$S$1000,$U202-4),INDEX($S$5:$S$1000,$U202-4))&amp;"."&amp;COUNTIFS($U$5:$U202,$U202,$V$5:$V202,"Sub"))))</f>
        <v/>
      </c>
      <c r="B202" s="57" t="n"/>
      <c r="C202" s="58" t="n"/>
      <c r="D202" s="58" t="n"/>
      <c r="E202" s="59" t="n"/>
      <c r="F202" s="59" t="n"/>
      <c r="G202" s="59" t="n"/>
      <c r="H202" s="60" t="n"/>
      <c r="I202" s="60" t="n"/>
      <c r="J202" s="60" t="n"/>
      <c r="K202" s="60" t="n"/>
      <c r="L202" s="60" t="n"/>
      <c r="M202" s="61">
        <f>IF(NOT((COUNTA($B202:$D202)+COUNTA($G202:$L202)+COUNTA($Q202))&gt;0),"",IF(AND($D202&lt;&gt;"",$V202="Macro"),IF(N($AH202)&gt;0,N(CHOOSE(MATCH($D202,ListaPuestos,0),INDEX('Cronograma R. Operacional'!$M$5:$M$1000,$AH202),INDEX('Cronograma R. Normativo'!$M$5:$M$1000,$AH202),INDEX('Cronograma R. Financiero'!$M$5:$M$1000,$AH202),INDEX('Cronograma Asistente Técnico'!$M$5:$M$1000,$AH202))),0),IF(ISNUMBER($G202),1,IF(N($W202)&gt;0,AVERAGEIFS($X$5:$X$1000,$U$5:$U$1000,ROW(),$V$5:$V$1000,"Sub"),$X202))))</f>
        <v/>
      </c>
      <c r="N202" s="56">
        <f>IF(OR($M202="",$V202="Sub"),"",IF($M202&gt;=1,"Completado",IF($M202&gt;0,"En curso","Pendiente")))</f>
        <v/>
      </c>
      <c r="O202" s="56">
        <f>IF(NOT((COUNTA($B202:$D202)+COUNTA($G202:$L202)+COUNTA($Q202))&gt;0),"",IF(AND(AND($D202&lt;&gt;"",$V202="Macro"),N($AH202)&gt;0),CHOOSE(MATCH($D202,ListaPuestos,0),INDEX('Cronograma R. Operacional'!$O$5:$O$1000,$AH202),INDEX('Cronograma R. Normativo'!$O$5:$O$1000,$AH202),INDEX('Cronograma R. Financiero'!$O$5:$O$1000,$AH202),INDEX('Cronograma Asistente Técnico'!$O$5:$O$1000,$AH202))&amp;"",IF(ISNUMBER($G202),IF(AND(ISNUMBER($AN202),$G202&gt;$AN202),"Cumplida con "&amp;($G202-$AN202)&amp;IF($G202-$AN202=1," día"," días")&amp;" de retraso","Cumplida"),IF(N($M202)&gt;=1,"Cumplida",IF(NOT(ISNUMBER($AN202)),"Sin fecha límite",IF($AN202&lt;FechaRef,"Vencida hace "&amp;(FechaRef-$AN202)&amp;IF(FechaRef-$AN202=1," día"," días"),IF($AN202=FechaRef,"Vence hoy",IF($AN202-FechaRef&lt;=DiasAlerta,"Vence en "&amp;($AN202-FechaRef)&amp;IF($AN202-FechaRef=1," día"," días"),"En plazo"))))))))</f>
        <v/>
      </c>
      <c r="P202" s="62">
        <f>IF(NOT((COUNTA($B202:$D202)+COUNTA($G202:$L202)+COUNTA($Q202))&gt;0),"",IF($D202="","Propia",IF($V202&lt;&gt;"Macro","Solo se delegan macroactividades",IF(N($AH202)&gt;0,"✔ Recibida por "&amp;$D202,"⚠ "&amp;$D202&amp;" aún no la agrega"))))</f>
        <v/>
      </c>
      <c r="Q202" s="58" t="n"/>
      <c r="R202" s="63">
        <f>IF(NOT((COUNTA($B202:$D202)+COUNTA($G202:$L202)+COUNTA($Q202))&gt;0),"",IF((IF($C202="","Falta el nombre de la actividad"&amp;" · ","")&amp;IF(AND($V202="Sub",N($U202)=0),"Subactividad sin macroactividad arriba"&amp;" · ","")&amp;IF($AM202="","Sin fecha de inicio"&amp;" · ","")&amp;IF($AN202="","Sin fecha límite"&amp;" · ","")&amp;IF(AND(LEFT($C202,11)="[Jefatura] ",N($AL202)=0),"No se encuentra en la hoja de la jefatura (elíjala de nuevo en la lista)"&amp;" · ","")&amp;IF(OR(AND($E202&lt;&gt;"",NOT(ISNUMBER($E202))),AND($F202&lt;&gt;"",NOT(ISNUMBER($F202))),AND($G202&lt;&gt;"",NOT(ISNUMBER($G202)))),"Fecha no válida"&amp;" · ","")&amp;IF(AND(ISNUMBER($AM202),ISNUMBER($AN202),$AM202&gt;$AN202),"Inicio posterior a fecha límite"&amp;" · ","")&amp;IF(AND($V202="Macro",$H202&lt;&gt;"",OR(NOT(ISNUMBER($H202)),$H202&lt;0,$H202&gt;1)),"Peso fuera de rango"&amp;" · ","")&amp;IF(AND($V202="Sub",$H202&lt;&gt;""),"Las subactividades no llevan peso (valen igual dentro de su macroactividad)"&amp;" · ","")&amp;IF(AND(N($W202)&gt;0,COUNT($I202:$L202)&gt;0),"Con subactividades: deje vacías las semanas (se calculan solas)"&amp;" · ","")&amp;IF((COUNTIF($I202:$L202,"&gt;1")+COUNTIF($I202:$L202,"&lt;0")+COUNTA($I202:$L202)-COUNT($I202:$L202))&gt;0,"Avance fuera de rango 0-100%"&amp;" · ","")&amp;IF(OR(AND($J202&lt;&gt;"",$J202&lt;$I202),AND($K202&lt;&gt;"",$K202&lt;MAX($I202:$J202)),AND($L202&lt;&gt;"",$L202&lt;MAX($I202:$K202))),"Avance semanal decreciente"&amp;" · ","")&amp;IF(AND(ISNUMBER($AN202),$AN202&lt;FechaRef,IF($V202="Sub",N($X202),N($M202))&lt;1),"Vencida"&amp;" · ","")&amp;IF(AND(ObsObligatoria="Sí",ISNUMBER($AN202),$AN202&lt;FechaRef,IF($V202="Sub",N($X202),N($M202))&lt;1,$Q202=""),"Vencida sin observación"&amp;" · ",""))="","✔ OK","⚠ "&amp;LEFT(IF($C202="","Falta el nombre de la actividad"&amp;" · ","")&amp;IF(AND($V202="Sub",N($U202)=0),"Subactividad sin macroactividad arriba"&amp;" · ","")&amp;IF($AM202="","Sin fecha de inicio"&amp;" · ","")&amp;IF($AN202="","Sin fecha límite"&amp;" · ","")&amp;IF(AND(LEFT($C202,11)="[Jefatura] ",N($AL202)=0),"No se encuentra en la hoja de la jefatura (elíjala de nuevo en la lista)"&amp;" · ","")&amp;IF(OR(AND($E202&lt;&gt;"",NOT(ISNUMBER($E202))),AND($F202&lt;&gt;"",NOT(ISNUMBER($F202))),AND($G202&lt;&gt;"",NOT(ISNUMBER($G202)))),"Fecha no válida"&amp;" · ","")&amp;IF(AND(ISNUMBER($AM202),ISNUMBER($AN202),$AM202&gt;$AN202),"Inicio posterior a fecha límite"&amp;" · ","")&amp;IF(AND($V202="Macro",$H202&lt;&gt;"",OR(NOT(ISNUMBER($H202)),$H202&lt;0,$H202&gt;1)),"Peso fuera de rango"&amp;" · ","")&amp;IF(AND($V202="Sub",$H202&lt;&gt;""),"Las subactividades no llevan peso (valen igual dentro de su macroactividad)"&amp;" · ","")&amp;IF(AND(N($W202)&gt;0,COUNT($I202:$L202)&gt;0),"Con subactividades: deje vacías las semanas (se calculan solas)"&amp;" · ","")&amp;IF((COUNTIF($I202:$L202,"&gt;1")+COUNTIF($I202:$L202,"&lt;0")+COUNTA($I202:$L202)-COUNT($I202:$L202))&gt;0,"Avance fuera de rango 0-100%"&amp;" · ","")&amp;IF(OR(AND($J202&lt;&gt;"",$J202&lt;$I202),AND($K202&lt;&gt;"",$K202&lt;MAX($I202:$J202)),AND($L202&lt;&gt;"",$L202&lt;MAX($I202:$K202))),"Avance semanal decreciente"&amp;" · ","")&amp;IF(AND(ISNUMBER($AN202),$AN202&lt;FechaRef,IF($V202="Sub",N($X202),N($M202))&lt;1),"Vencida"&amp;" · ","")&amp;IF(AND(ObsObligatoria="Sí",ISNUMBER($AN202),$AN202&lt;FechaRef,IF($V202="Sub",N($X202),N($M202))&lt;1,$Q202=""),"Vencida sin observación"&amp;" · ",""),LEN(IF($C202="","Falta el nombre de la actividad"&amp;" · ","")&amp;IF(AND($V202="Sub",N($U202)=0),"Subactividad sin macroactividad arriba"&amp;" · ","")&amp;IF($AM202="","Sin fecha de inicio"&amp;" · ","")&amp;IF($AN202="","Sin fecha límite"&amp;" · ","")&amp;IF(AND(LEFT($C202,11)="[Jefatura] ",N($AL202)=0),"No se encuentra en la hoja de la jefatura (elíjala de nuevo en la lista)"&amp;" · ","")&amp;IF(OR(AND($E202&lt;&gt;"",NOT(ISNUMBER($E202))),AND($F202&lt;&gt;"",NOT(ISNUMBER($F202))),AND($G202&lt;&gt;"",NOT(ISNUMBER($G202)))),"Fecha no válida"&amp;" · ","")&amp;IF(AND(ISNUMBER($AM202),ISNUMBER($AN202),$AM202&gt;$AN202),"Inicio posterior a fecha límite"&amp;" · ","")&amp;IF(AND($V202="Macro",$H202&lt;&gt;"",OR(NOT(ISNUMBER($H202)),$H202&lt;0,$H202&gt;1)),"Peso fuera de rango"&amp;" · ","")&amp;IF(AND($V202="Sub",$H202&lt;&gt;""),"Las subactividades no llevan peso (valen igual dentro de su macroactividad)"&amp;" · ","")&amp;IF(AND(N($W202)&gt;0,COUNT($I202:$L202)&gt;0),"Con subactividades: deje vacías las semanas (se calculan solas)"&amp;" · ","")&amp;IF((COUNTIF($I202:$L202,"&gt;1")+COUNTIF($I202:$L202,"&lt;0")+COUNTA($I202:$L202)-COUNT($I202:$L202))&gt;0,"Avance fuera de rango 0-100%"&amp;" · ","")&amp;IF(OR(AND($J202&lt;&gt;"",$J202&lt;$I202),AND($K202&lt;&gt;"",$K202&lt;MAX($I202:$J202)),AND($L202&lt;&gt;"",$L202&lt;MAX($I202:$K202))),"Avance semanal decreciente"&amp;" · ","")&amp;IF(AND(ISNUMBER($AN202),$AN202&lt;FechaRef,IF($V202="Sub",N($X202),N($M202))&lt;1),"Vencida"&amp;" · ","")&amp;IF(AND(ObsObligatoria="Sí",ISNUMBER($AN202),$AN202&lt;FechaRef,IF($V202="Sub",N($X202),N($M202))&lt;1,$Q202=""),"Vencida sin observación"&amp;" · ",""))-3)))</f>
        <v/>
      </c>
      <c r="S202" s="64">
        <f>IF(NOT((COUNTA($B202:$D202)+COUNTA($G202:$L202)+COUNTA($Q202))&gt;0),"",IF(AND($V202="Sub",N($U202)&gt;0),IF(ISNUMBER(INDEX($AM$5:$AM$1000,$U202-4)),DATE(YEAR(INDEX($AM$5:$AM$1000,$U202-4)),MONTH(INDEX($AM$5:$AM$1000,$U202-4)),1),IF(ISNUMBER(INDEX($AN$5:$AN$1000,$U202-4)),DATE(YEAR(INDEX($AN$5:$AN$1000,$U202-4)),MONTH(INDEX($AN$5:$AN$1000,$U202-4)),1),MesCiclo)),IF(ISNUMBER($AM202),DATE(YEAR($AM202),MONTH($AM202),1),IF(ISNUMBER($AN202),DATE(YEAR($AN202),MONTH($AN202),1),MesCiclo))))</f>
        <v/>
      </c>
      <c r="T202" s="62">
        <f>IF(OR($S202="",$S202&lt;&gt;MesCiclo,$V202&lt;&gt;"Macro"),"",COUNTIFS($S$5:$S202,MesCiclo,$V$5:$V202,"Macro"))</f>
        <v/>
      </c>
      <c r="U202" s="62">
        <f>IF($V202="","",IF($V202="Macro",ROW(),IFERROR(LOOKUP(2,1/($V$5:$V202="Macro"),ROW($V$5:$V202)),0)))</f>
        <v/>
      </c>
      <c r="V202" s="62">
        <f>IF(NOT((COUNTA($B202:$D202)+COUNTA($G202:$L202)+COUNTA($Q202))&gt;0),"",IF($B202="Subactividad","Sub","Macro"))</f>
        <v/>
      </c>
      <c r="W202" s="62">
        <f>IF($V202="Macro",COUNTIFS($U$5:$U$1000,ROW(),$V$5:$V$1000,"Sub"),"")</f>
        <v/>
      </c>
      <c r="X202" s="62">
        <f>IF($V202="","",IF(ISNUMBER($G202),1,IFERROR(LOOKUP(2,1/($I202:$L202&lt;&gt;""),$I202:$L202),0)))</f>
        <v/>
      </c>
      <c r="Y202" s="62">
        <f>IF($V202="","",IF(AND(ISNUMBER($G202),$G202&lt;=IF($S202=MesCiclo,InicioCiclo,$S202+MOD(2-WEEKDAY($S202),7))+6),1,IF(ISNUMBER($I202),$I202,0)))</f>
        <v/>
      </c>
      <c r="Z202" s="62">
        <f>IF($V202="","",IF(AND(ISNUMBER($G202),$G202&lt;=IF($S202=MesCiclo,InicioCiclo,$S202+MOD(2-WEEKDAY($S202),7))+13),1,IF(ISNUMBER($J202),$J202,$Y202)))</f>
        <v/>
      </c>
      <c r="AA202" s="62">
        <f>IF($V202="","",IF(AND(ISNUMBER($G202),$G202&lt;=IF($S202=MesCiclo,InicioCiclo,$S202+MOD(2-WEEKDAY($S202),7))+20),1,IF(ISNUMBER($K202),$K202,$Z202)))</f>
        <v/>
      </c>
      <c r="AB202" s="62">
        <f>IF($V202="","",IF(AND(ISNUMBER($G202),$G202&lt;=IF($S202=MesCiclo,InicioCiclo,$S202+MOD(2-WEEKDAY($S202),7))+27),1,IF(ISNUMBER($L202),$L202,$AA202)))</f>
        <v/>
      </c>
      <c r="AC202" s="62">
        <f>IF($V202="","",IF(AND(ISNUMBER($G202),$G202&lt;=IF($S202=MesCiclo,InicioCiclo,$S202+MOD(2-WEEKDAY($S202),7))+6),1,IF(N($W202)&gt;0,AVERAGEIFS($Y$5:$Y$1000,$U$5:$U$1000,ROW(),$V$5:$V$1000,"Sub"),$Y202)))</f>
        <v/>
      </c>
      <c r="AD202" s="62">
        <f>IF($V202="","",IF(AND(ISNUMBER($G202),$G202&lt;=IF($S202=MesCiclo,InicioCiclo,$S202+MOD(2-WEEKDAY($S202),7))+13),1,IF(N($W202)&gt;0,AVERAGEIFS($Z$5:$Z$1000,$U$5:$U$1000,ROW(),$V$5:$V$1000,"Sub"),$Z202)))</f>
        <v/>
      </c>
      <c r="AE202" s="62">
        <f>IF($V202="","",IF(AND(ISNUMBER($G202),$G202&lt;=IF($S202=MesCiclo,InicioCiclo,$S202+MOD(2-WEEKDAY($S202),7))+20),1,IF(N($W202)&gt;0,AVERAGEIFS($AA$5:$AA$1000,$U$5:$U$1000,ROW(),$V$5:$V$1000,"Sub"),$AA202)))</f>
        <v/>
      </c>
      <c r="AF202" s="62">
        <f>IF($V202="","",IF(AND(ISNUMBER($G202),$G202&lt;=IF($S202=MesCiclo,InicioCiclo,$S202+MOD(2-WEEKDAY($S202),7))+27),1,IF(N($W202)&gt;0,AVERAGEIFS($AB$5:$AB$1000,$U$5:$U$1000,ROW(),$V$5:$V$1000,"Sub"),$AB202)))</f>
        <v/>
      </c>
      <c r="AG202" s="62">
        <f>IF($V202&lt;&gt;"Macro","",IF(COUNTIFS($S$5:$S$1000,$S202,$V$5:$V$1000,"Macro",$H$5:$H$1000,"&gt;0")=0,1/COUNTIFS($S$5:$S$1000,$S202,$V$5:$V$1000,"Macro"),IF(AND(ISNUMBER($H202),N($H202)&gt;0),$H202,SUMIFS($H$5:$H$1000,$S$5:$S$1000,$S202,$V$5:$V$1000,"Macro")/COUNTIFS($S$5:$S$1000,$S202,$V$5:$V$1000,"Macro",$H$5:$H$1000,"&gt;0"))/(COUNTIFS($S$5:$S$1000,$S202,$V$5:$V$1000,"Macro")*SUMIFS($H$5:$H$1000,$S$5:$S$1000,$S202,$V$5:$V$1000,"Macro")/COUNTIFS($S$5:$S$1000,$S202,$V$5:$V$1000,"Macro",$H$5:$H$1000,"&gt;0"))))</f>
        <v/>
      </c>
      <c r="AH202" s="62">
        <f>IF(NOT(AND($D202&lt;&gt;"",$V202="Macro")),"",IFERROR(CHOOSE(MATCH($D202,ListaPuestos,0),MATCH("[Jefatura] "&amp;$C202,'Cronograma R. Operacional'!$C$5:$C$1000,0),MATCH("[Jefatura] "&amp;$C202,'Cronograma R. Normativo'!$C$5:$C$1000,0),MATCH("[Jefatura] "&amp;$C202,'Cronograma R. Financiero'!$C$5:$C$1000,0),MATCH("[Jefatura] "&amp;$C202,'Cronograma Asistente Técnico'!$C$5:$C$1000,0)),0))</f>
        <v/>
      </c>
      <c r="AI202" s="62">
        <f>IF(AND(AND($D202&lt;&gt;"",$V202="Macro"),$S202=MesCiclo),COUNTIFS($D$5:$D202,$D202,$S$5:$S202,MesCiclo,$V$5:$V202,"Macro"),"")</f>
        <v/>
      </c>
      <c r="AJ202" s="62">
        <f>IF($AI202="","",$D202&amp;"|"&amp;$AI202)</f>
        <v/>
      </c>
      <c r="AK202" s="62">
        <f>IF(AND($D202&lt;&gt;"",$V202="Macro"),$D202&amp;"|"&amp;$C202,"")</f>
        <v/>
      </c>
      <c r="AL202" s="62">
        <f>""</f>
        <v/>
      </c>
      <c r="AM202" s="62">
        <f>IF(N($AL202)&gt;0,INDEX(rIni_ADM,$AL202),IF(ISNUMBER($E202),$E202,""))</f>
        <v/>
      </c>
      <c r="AN202" s="62">
        <f>IF(N($AL202)&gt;0,INDEX(rLim_ADM,$AL202),IF(ISNUMBER($F202),$F202,""))</f>
        <v/>
      </c>
    </row>
    <row r="203">
      <c r="A203" s="56">
        <f>IF(NOT((COUNTA($B203:$D203)+COUNTA($G203:$L203)+COUNTA($Q203))&gt;0),"",IF($V203="Macro",COUNTIFS($V$5:$V203,"Macro",$S$5:$S203,$S203),IF(N($U203)=0,"?",COUNTIFS(INDEX($V$5:$V$1000,1):INDEX($V$5:$V$1000,$U203-4),"Macro",INDEX($S$5:$S$1000,1):INDEX($S$5:$S$1000,$U203-4),INDEX($S$5:$S$1000,$U203-4))&amp;"."&amp;COUNTIFS($U$5:$U203,$U203,$V$5:$V203,"Sub"))))</f>
        <v/>
      </c>
      <c r="B203" s="57" t="n"/>
      <c r="C203" s="58" t="n"/>
      <c r="D203" s="58" t="n"/>
      <c r="E203" s="59" t="n"/>
      <c r="F203" s="59" t="n"/>
      <c r="G203" s="59" t="n"/>
      <c r="H203" s="60" t="n"/>
      <c r="I203" s="60" t="n"/>
      <c r="J203" s="60" t="n"/>
      <c r="K203" s="60" t="n"/>
      <c r="L203" s="60" t="n"/>
      <c r="M203" s="61">
        <f>IF(NOT((COUNTA($B203:$D203)+COUNTA($G203:$L203)+COUNTA($Q203))&gt;0),"",IF(AND($D203&lt;&gt;"",$V203="Macro"),IF(N($AH203)&gt;0,N(CHOOSE(MATCH($D203,ListaPuestos,0),INDEX('Cronograma R. Operacional'!$M$5:$M$1000,$AH203),INDEX('Cronograma R. Normativo'!$M$5:$M$1000,$AH203),INDEX('Cronograma R. Financiero'!$M$5:$M$1000,$AH203),INDEX('Cronograma Asistente Técnico'!$M$5:$M$1000,$AH203))),0),IF(ISNUMBER($G203),1,IF(N($W203)&gt;0,AVERAGEIFS($X$5:$X$1000,$U$5:$U$1000,ROW(),$V$5:$V$1000,"Sub"),$X203))))</f>
        <v/>
      </c>
      <c r="N203" s="56">
        <f>IF(OR($M203="",$V203="Sub"),"",IF($M203&gt;=1,"Completado",IF($M203&gt;0,"En curso","Pendiente")))</f>
        <v/>
      </c>
      <c r="O203" s="56">
        <f>IF(NOT((COUNTA($B203:$D203)+COUNTA($G203:$L203)+COUNTA($Q203))&gt;0),"",IF(AND(AND($D203&lt;&gt;"",$V203="Macro"),N($AH203)&gt;0),CHOOSE(MATCH($D203,ListaPuestos,0),INDEX('Cronograma R. Operacional'!$O$5:$O$1000,$AH203),INDEX('Cronograma R. Normativo'!$O$5:$O$1000,$AH203),INDEX('Cronograma R. Financiero'!$O$5:$O$1000,$AH203),INDEX('Cronograma Asistente Técnico'!$O$5:$O$1000,$AH203))&amp;"",IF(ISNUMBER($G203),IF(AND(ISNUMBER($AN203),$G203&gt;$AN203),"Cumplida con "&amp;($G203-$AN203)&amp;IF($G203-$AN203=1," día"," días")&amp;" de retraso","Cumplida"),IF(N($M203)&gt;=1,"Cumplida",IF(NOT(ISNUMBER($AN203)),"Sin fecha límite",IF($AN203&lt;FechaRef,"Vencida hace "&amp;(FechaRef-$AN203)&amp;IF(FechaRef-$AN203=1," día"," días"),IF($AN203=FechaRef,"Vence hoy",IF($AN203-FechaRef&lt;=DiasAlerta,"Vence en "&amp;($AN203-FechaRef)&amp;IF($AN203-FechaRef=1," día"," días"),"En plazo"))))))))</f>
        <v/>
      </c>
      <c r="P203" s="62">
        <f>IF(NOT((COUNTA($B203:$D203)+COUNTA($G203:$L203)+COUNTA($Q203))&gt;0),"",IF($D203="","Propia",IF($V203&lt;&gt;"Macro","Solo se delegan macroactividades",IF(N($AH203)&gt;0,"✔ Recibida por "&amp;$D203,"⚠ "&amp;$D203&amp;" aún no la agrega"))))</f>
        <v/>
      </c>
      <c r="Q203" s="58" t="n"/>
      <c r="R203" s="63">
        <f>IF(NOT((COUNTA($B203:$D203)+COUNTA($G203:$L203)+COUNTA($Q203))&gt;0),"",IF((IF($C203="","Falta el nombre de la actividad"&amp;" · ","")&amp;IF(AND($V203="Sub",N($U203)=0),"Subactividad sin macroactividad arriba"&amp;" · ","")&amp;IF($AM203="","Sin fecha de inicio"&amp;" · ","")&amp;IF($AN203="","Sin fecha límite"&amp;" · ","")&amp;IF(AND(LEFT($C203,11)="[Jefatura] ",N($AL203)=0),"No se encuentra en la hoja de la jefatura (elíjala de nuevo en la lista)"&amp;" · ","")&amp;IF(OR(AND($E203&lt;&gt;"",NOT(ISNUMBER($E203))),AND($F203&lt;&gt;"",NOT(ISNUMBER($F203))),AND($G203&lt;&gt;"",NOT(ISNUMBER($G203)))),"Fecha no válida"&amp;" · ","")&amp;IF(AND(ISNUMBER($AM203),ISNUMBER($AN203),$AM203&gt;$AN203),"Inicio posterior a fecha límite"&amp;" · ","")&amp;IF(AND($V203="Macro",$H203&lt;&gt;"",OR(NOT(ISNUMBER($H203)),$H203&lt;0,$H203&gt;1)),"Peso fuera de rango"&amp;" · ","")&amp;IF(AND($V203="Sub",$H203&lt;&gt;""),"Las subactividades no llevan peso (valen igual dentro de su macroactividad)"&amp;" · ","")&amp;IF(AND(N($W203)&gt;0,COUNT($I203:$L203)&gt;0),"Con subactividades: deje vacías las semanas (se calculan solas)"&amp;" · ","")&amp;IF((COUNTIF($I203:$L203,"&gt;1")+COUNTIF($I203:$L203,"&lt;0")+COUNTA($I203:$L203)-COUNT($I203:$L203))&gt;0,"Avance fuera de rango 0-100%"&amp;" · ","")&amp;IF(OR(AND($J203&lt;&gt;"",$J203&lt;$I203),AND($K203&lt;&gt;"",$K203&lt;MAX($I203:$J203)),AND($L203&lt;&gt;"",$L203&lt;MAX($I203:$K203))),"Avance semanal decreciente"&amp;" · ","")&amp;IF(AND(ISNUMBER($AN203),$AN203&lt;FechaRef,IF($V203="Sub",N($X203),N($M203))&lt;1),"Vencida"&amp;" · ","")&amp;IF(AND(ObsObligatoria="Sí",ISNUMBER($AN203),$AN203&lt;FechaRef,IF($V203="Sub",N($X203),N($M203))&lt;1,$Q203=""),"Vencida sin observación"&amp;" · ",""))="","✔ OK","⚠ "&amp;LEFT(IF($C203="","Falta el nombre de la actividad"&amp;" · ","")&amp;IF(AND($V203="Sub",N($U203)=0),"Subactividad sin macroactividad arriba"&amp;" · ","")&amp;IF($AM203="","Sin fecha de inicio"&amp;" · ","")&amp;IF($AN203="","Sin fecha límite"&amp;" · ","")&amp;IF(AND(LEFT($C203,11)="[Jefatura] ",N($AL203)=0),"No se encuentra en la hoja de la jefatura (elíjala de nuevo en la lista)"&amp;" · ","")&amp;IF(OR(AND($E203&lt;&gt;"",NOT(ISNUMBER($E203))),AND($F203&lt;&gt;"",NOT(ISNUMBER($F203))),AND($G203&lt;&gt;"",NOT(ISNUMBER($G203)))),"Fecha no válida"&amp;" · ","")&amp;IF(AND(ISNUMBER($AM203),ISNUMBER($AN203),$AM203&gt;$AN203),"Inicio posterior a fecha límite"&amp;" · ","")&amp;IF(AND($V203="Macro",$H203&lt;&gt;"",OR(NOT(ISNUMBER($H203)),$H203&lt;0,$H203&gt;1)),"Peso fuera de rango"&amp;" · ","")&amp;IF(AND($V203="Sub",$H203&lt;&gt;""),"Las subactividades no llevan peso (valen igual dentro de su macroactividad)"&amp;" · ","")&amp;IF(AND(N($W203)&gt;0,COUNT($I203:$L203)&gt;0),"Con subactividades: deje vacías las semanas (se calculan solas)"&amp;" · ","")&amp;IF((COUNTIF($I203:$L203,"&gt;1")+COUNTIF($I203:$L203,"&lt;0")+COUNTA($I203:$L203)-COUNT($I203:$L203))&gt;0,"Avance fuera de rango 0-100%"&amp;" · ","")&amp;IF(OR(AND($J203&lt;&gt;"",$J203&lt;$I203),AND($K203&lt;&gt;"",$K203&lt;MAX($I203:$J203)),AND($L203&lt;&gt;"",$L203&lt;MAX($I203:$K203))),"Avance semanal decreciente"&amp;" · ","")&amp;IF(AND(ISNUMBER($AN203),$AN203&lt;FechaRef,IF($V203="Sub",N($X203),N($M203))&lt;1),"Vencida"&amp;" · ","")&amp;IF(AND(ObsObligatoria="Sí",ISNUMBER($AN203),$AN203&lt;FechaRef,IF($V203="Sub",N($X203),N($M203))&lt;1,$Q203=""),"Vencida sin observación"&amp;" · ",""),LEN(IF($C203="","Falta el nombre de la actividad"&amp;" · ","")&amp;IF(AND($V203="Sub",N($U203)=0),"Subactividad sin macroactividad arriba"&amp;" · ","")&amp;IF($AM203="","Sin fecha de inicio"&amp;" · ","")&amp;IF($AN203="","Sin fecha límite"&amp;" · ","")&amp;IF(AND(LEFT($C203,11)="[Jefatura] ",N($AL203)=0),"No se encuentra en la hoja de la jefatura (elíjala de nuevo en la lista)"&amp;" · ","")&amp;IF(OR(AND($E203&lt;&gt;"",NOT(ISNUMBER($E203))),AND($F203&lt;&gt;"",NOT(ISNUMBER($F203))),AND($G203&lt;&gt;"",NOT(ISNUMBER($G203)))),"Fecha no válida"&amp;" · ","")&amp;IF(AND(ISNUMBER($AM203),ISNUMBER($AN203),$AM203&gt;$AN203),"Inicio posterior a fecha límite"&amp;" · ","")&amp;IF(AND($V203="Macro",$H203&lt;&gt;"",OR(NOT(ISNUMBER($H203)),$H203&lt;0,$H203&gt;1)),"Peso fuera de rango"&amp;" · ","")&amp;IF(AND($V203="Sub",$H203&lt;&gt;""),"Las subactividades no llevan peso (valen igual dentro de su macroactividad)"&amp;" · ","")&amp;IF(AND(N($W203)&gt;0,COUNT($I203:$L203)&gt;0),"Con subactividades: deje vacías las semanas (se calculan solas)"&amp;" · ","")&amp;IF((COUNTIF($I203:$L203,"&gt;1")+COUNTIF($I203:$L203,"&lt;0")+COUNTA($I203:$L203)-COUNT($I203:$L203))&gt;0,"Avance fuera de rango 0-100%"&amp;" · ","")&amp;IF(OR(AND($J203&lt;&gt;"",$J203&lt;$I203),AND($K203&lt;&gt;"",$K203&lt;MAX($I203:$J203)),AND($L203&lt;&gt;"",$L203&lt;MAX($I203:$K203))),"Avance semanal decreciente"&amp;" · ","")&amp;IF(AND(ISNUMBER($AN203),$AN203&lt;FechaRef,IF($V203="Sub",N($X203),N($M203))&lt;1),"Vencida"&amp;" · ","")&amp;IF(AND(ObsObligatoria="Sí",ISNUMBER($AN203),$AN203&lt;FechaRef,IF($V203="Sub",N($X203),N($M203))&lt;1,$Q203=""),"Vencida sin observación"&amp;" · ",""))-3)))</f>
        <v/>
      </c>
      <c r="S203" s="64">
        <f>IF(NOT((COUNTA($B203:$D203)+COUNTA($G203:$L203)+COUNTA($Q203))&gt;0),"",IF(AND($V203="Sub",N($U203)&gt;0),IF(ISNUMBER(INDEX($AM$5:$AM$1000,$U203-4)),DATE(YEAR(INDEX($AM$5:$AM$1000,$U203-4)),MONTH(INDEX($AM$5:$AM$1000,$U203-4)),1),IF(ISNUMBER(INDEX($AN$5:$AN$1000,$U203-4)),DATE(YEAR(INDEX($AN$5:$AN$1000,$U203-4)),MONTH(INDEX($AN$5:$AN$1000,$U203-4)),1),MesCiclo)),IF(ISNUMBER($AM203),DATE(YEAR($AM203),MONTH($AM203),1),IF(ISNUMBER($AN203),DATE(YEAR($AN203),MONTH($AN203),1),MesCiclo))))</f>
        <v/>
      </c>
      <c r="T203" s="62">
        <f>IF(OR($S203="",$S203&lt;&gt;MesCiclo,$V203&lt;&gt;"Macro"),"",COUNTIFS($S$5:$S203,MesCiclo,$V$5:$V203,"Macro"))</f>
        <v/>
      </c>
      <c r="U203" s="62">
        <f>IF($V203="","",IF($V203="Macro",ROW(),IFERROR(LOOKUP(2,1/($V$5:$V203="Macro"),ROW($V$5:$V203)),0)))</f>
        <v/>
      </c>
      <c r="V203" s="62">
        <f>IF(NOT((COUNTA($B203:$D203)+COUNTA($G203:$L203)+COUNTA($Q203))&gt;0),"",IF($B203="Subactividad","Sub","Macro"))</f>
        <v/>
      </c>
      <c r="W203" s="62">
        <f>IF($V203="Macro",COUNTIFS($U$5:$U$1000,ROW(),$V$5:$V$1000,"Sub"),"")</f>
        <v/>
      </c>
      <c r="X203" s="62">
        <f>IF($V203="","",IF(ISNUMBER($G203),1,IFERROR(LOOKUP(2,1/($I203:$L203&lt;&gt;""),$I203:$L203),0)))</f>
        <v/>
      </c>
      <c r="Y203" s="62">
        <f>IF($V203="","",IF(AND(ISNUMBER($G203),$G203&lt;=IF($S203=MesCiclo,InicioCiclo,$S203+MOD(2-WEEKDAY($S203),7))+6),1,IF(ISNUMBER($I203),$I203,0)))</f>
        <v/>
      </c>
      <c r="Z203" s="62">
        <f>IF($V203="","",IF(AND(ISNUMBER($G203),$G203&lt;=IF($S203=MesCiclo,InicioCiclo,$S203+MOD(2-WEEKDAY($S203),7))+13),1,IF(ISNUMBER($J203),$J203,$Y203)))</f>
        <v/>
      </c>
      <c r="AA203" s="62">
        <f>IF($V203="","",IF(AND(ISNUMBER($G203),$G203&lt;=IF($S203=MesCiclo,InicioCiclo,$S203+MOD(2-WEEKDAY($S203),7))+20),1,IF(ISNUMBER($K203),$K203,$Z203)))</f>
        <v/>
      </c>
      <c r="AB203" s="62">
        <f>IF($V203="","",IF(AND(ISNUMBER($G203),$G203&lt;=IF($S203=MesCiclo,InicioCiclo,$S203+MOD(2-WEEKDAY($S203),7))+27),1,IF(ISNUMBER($L203),$L203,$AA203)))</f>
        <v/>
      </c>
      <c r="AC203" s="62">
        <f>IF($V203="","",IF(AND(ISNUMBER($G203),$G203&lt;=IF($S203=MesCiclo,InicioCiclo,$S203+MOD(2-WEEKDAY($S203),7))+6),1,IF(N($W203)&gt;0,AVERAGEIFS($Y$5:$Y$1000,$U$5:$U$1000,ROW(),$V$5:$V$1000,"Sub"),$Y203)))</f>
        <v/>
      </c>
      <c r="AD203" s="62">
        <f>IF($V203="","",IF(AND(ISNUMBER($G203),$G203&lt;=IF($S203=MesCiclo,InicioCiclo,$S203+MOD(2-WEEKDAY($S203),7))+13),1,IF(N($W203)&gt;0,AVERAGEIFS($Z$5:$Z$1000,$U$5:$U$1000,ROW(),$V$5:$V$1000,"Sub"),$Z203)))</f>
        <v/>
      </c>
      <c r="AE203" s="62">
        <f>IF($V203="","",IF(AND(ISNUMBER($G203),$G203&lt;=IF($S203=MesCiclo,InicioCiclo,$S203+MOD(2-WEEKDAY($S203),7))+20),1,IF(N($W203)&gt;0,AVERAGEIFS($AA$5:$AA$1000,$U$5:$U$1000,ROW(),$V$5:$V$1000,"Sub"),$AA203)))</f>
        <v/>
      </c>
      <c r="AF203" s="62">
        <f>IF($V203="","",IF(AND(ISNUMBER($G203),$G203&lt;=IF($S203=MesCiclo,InicioCiclo,$S203+MOD(2-WEEKDAY($S203),7))+27),1,IF(N($W203)&gt;0,AVERAGEIFS($AB$5:$AB$1000,$U$5:$U$1000,ROW(),$V$5:$V$1000,"Sub"),$AB203)))</f>
        <v/>
      </c>
      <c r="AG203" s="62">
        <f>IF($V203&lt;&gt;"Macro","",IF(COUNTIFS($S$5:$S$1000,$S203,$V$5:$V$1000,"Macro",$H$5:$H$1000,"&gt;0")=0,1/COUNTIFS($S$5:$S$1000,$S203,$V$5:$V$1000,"Macro"),IF(AND(ISNUMBER($H203),N($H203)&gt;0),$H203,SUMIFS($H$5:$H$1000,$S$5:$S$1000,$S203,$V$5:$V$1000,"Macro")/COUNTIFS($S$5:$S$1000,$S203,$V$5:$V$1000,"Macro",$H$5:$H$1000,"&gt;0"))/(COUNTIFS($S$5:$S$1000,$S203,$V$5:$V$1000,"Macro")*SUMIFS($H$5:$H$1000,$S$5:$S$1000,$S203,$V$5:$V$1000,"Macro")/COUNTIFS($S$5:$S$1000,$S203,$V$5:$V$1000,"Macro",$H$5:$H$1000,"&gt;0"))))</f>
        <v/>
      </c>
      <c r="AH203" s="62">
        <f>IF(NOT(AND($D203&lt;&gt;"",$V203="Macro")),"",IFERROR(CHOOSE(MATCH($D203,ListaPuestos,0),MATCH("[Jefatura] "&amp;$C203,'Cronograma R. Operacional'!$C$5:$C$1000,0),MATCH("[Jefatura] "&amp;$C203,'Cronograma R. Normativo'!$C$5:$C$1000,0),MATCH("[Jefatura] "&amp;$C203,'Cronograma R. Financiero'!$C$5:$C$1000,0),MATCH("[Jefatura] "&amp;$C203,'Cronograma Asistente Técnico'!$C$5:$C$1000,0)),0))</f>
        <v/>
      </c>
      <c r="AI203" s="62">
        <f>IF(AND(AND($D203&lt;&gt;"",$V203="Macro"),$S203=MesCiclo),COUNTIFS($D$5:$D203,$D203,$S$5:$S203,MesCiclo,$V$5:$V203,"Macro"),"")</f>
        <v/>
      </c>
      <c r="AJ203" s="62">
        <f>IF($AI203="","",$D203&amp;"|"&amp;$AI203)</f>
        <v/>
      </c>
      <c r="AK203" s="62">
        <f>IF(AND($D203&lt;&gt;"",$V203="Macro"),$D203&amp;"|"&amp;$C203,"")</f>
        <v/>
      </c>
      <c r="AL203" s="62">
        <f>""</f>
        <v/>
      </c>
      <c r="AM203" s="62">
        <f>IF(N($AL203)&gt;0,INDEX(rIni_ADM,$AL203),IF(ISNUMBER($E203),$E203,""))</f>
        <v/>
      </c>
      <c r="AN203" s="62">
        <f>IF(N($AL203)&gt;0,INDEX(rLim_ADM,$AL203),IF(ISNUMBER($F203),$F203,""))</f>
        <v/>
      </c>
    </row>
    <row r="204">
      <c r="A204" s="56">
        <f>IF(NOT((COUNTA($B204:$D204)+COUNTA($G204:$L204)+COUNTA($Q204))&gt;0),"",IF($V204="Macro",COUNTIFS($V$5:$V204,"Macro",$S$5:$S204,$S204),IF(N($U204)=0,"?",COUNTIFS(INDEX($V$5:$V$1000,1):INDEX($V$5:$V$1000,$U204-4),"Macro",INDEX($S$5:$S$1000,1):INDEX($S$5:$S$1000,$U204-4),INDEX($S$5:$S$1000,$U204-4))&amp;"."&amp;COUNTIFS($U$5:$U204,$U204,$V$5:$V204,"Sub"))))</f>
        <v/>
      </c>
      <c r="B204" s="57" t="n"/>
      <c r="C204" s="58" t="n"/>
      <c r="D204" s="58" t="n"/>
      <c r="E204" s="59" t="n"/>
      <c r="F204" s="59" t="n"/>
      <c r="G204" s="59" t="n"/>
      <c r="H204" s="60" t="n"/>
      <c r="I204" s="60" t="n"/>
      <c r="J204" s="60" t="n"/>
      <c r="K204" s="60" t="n"/>
      <c r="L204" s="60" t="n"/>
      <c r="M204" s="61">
        <f>IF(NOT((COUNTA($B204:$D204)+COUNTA($G204:$L204)+COUNTA($Q204))&gt;0),"",IF(AND($D204&lt;&gt;"",$V204="Macro"),IF(N($AH204)&gt;0,N(CHOOSE(MATCH($D204,ListaPuestos,0),INDEX('Cronograma R. Operacional'!$M$5:$M$1000,$AH204),INDEX('Cronograma R. Normativo'!$M$5:$M$1000,$AH204),INDEX('Cronograma R. Financiero'!$M$5:$M$1000,$AH204),INDEX('Cronograma Asistente Técnico'!$M$5:$M$1000,$AH204))),0),IF(ISNUMBER($G204),1,IF(N($W204)&gt;0,AVERAGEIFS($X$5:$X$1000,$U$5:$U$1000,ROW(),$V$5:$V$1000,"Sub"),$X204))))</f>
        <v/>
      </c>
      <c r="N204" s="56">
        <f>IF(OR($M204="",$V204="Sub"),"",IF($M204&gt;=1,"Completado",IF($M204&gt;0,"En curso","Pendiente")))</f>
        <v/>
      </c>
      <c r="O204" s="56">
        <f>IF(NOT((COUNTA($B204:$D204)+COUNTA($G204:$L204)+COUNTA($Q204))&gt;0),"",IF(AND(AND($D204&lt;&gt;"",$V204="Macro"),N($AH204)&gt;0),CHOOSE(MATCH($D204,ListaPuestos,0),INDEX('Cronograma R. Operacional'!$O$5:$O$1000,$AH204),INDEX('Cronograma R. Normativo'!$O$5:$O$1000,$AH204),INDEX('Cronograma R. Financiero'!$O$5:$O$1000,$AH204),INDEX('Cronograma Asistente Técnico'!$O$5:$O$1000,$AH204))&amp;"",IF(ISNUMBER($G204),IF(AND(ISNUMBER($AN204),$G204&gt;$AN204),"Cumplida con "&amp;($G204-$AN204)&amp;IF($G204-$AN204=1," día"," días")&amp;" de retraso","Cumplida"),IF(N($M204)&gt;=1,"Cumplida",IF(NOT(ISNUMBER($AN204)),"Sin fecha límite",IF($AN204&lt;FechaRef,"Vencida hace "&amp;(FechaRef-$AN204)&amp;IF(FechaRef-$AN204=1," día"," días"),IF($AN204=FechaRef,"Vence hoy",IF($AN204-FechaRef&lt;=DiasAlerta,"Vence en "&amp;($AN204-FechaRef)&amp;IF($AN204-FechaRef=1," día"," días"),"En plazo"))))))))</f>
        <v/>
      </c>
      <c r="P204" s="62">
        <f>IF(NOT((COUNTA($B204:$D204)+COUNTA($G204:$L204)+COUNTA($Q204))&gt;0),"",IF($D204="","Propia",IF($V204&lt;&gt;"Macro","Solo se delegan macroactividades",IF(N($AH204)&gt;0,"✔ Recibida por "&amp;$D204,"⚠ "&amp;$D204&amp;" aún no la agrega"))))</f>
        <v/>
      </c>
      <c r="Q204" s="58" t="n"/>
      <c r="R204" s="63">
        <f>IF(NOT((COUNTA($B204:$D204)+COUNTA($G204:$L204)+COUNTA($Q204))&gt;0),"",IF((IF($C204="","Falta el nombre de la actividad"&amp;" · ","")&amp;IF(AND($V204="Sub",N($U204)=0),"Subactividad sin macroactividad arriba"&amp;" · ","")&amp;IF($AM204="","Sin fecha de inicio"&amp;" · ","")&amp;IF($AN204="","Sin fecha límite"&amp;" · ","")&amp;IF(AND(LEFT($C204,11)="[Jefatura] ",N($AL204)=0),"No se encuentra en la hoja de la jefatura (elíjala de nuevo en la lista)"&amp;" · ","")&amp;IF(OR(AND($E204&lt;&gt;"",NOT(ISNUMBER($E204))),AND($F204&lt;&gt;"",NOT(ISNUMBER($F204))),AND($G204&lt;&gt;"",NOT(ISNUMBER($G204)))),"Fecha no válida"&amp;" · ","")&amp;IF(AND(ISNUMBER($AM204),ISNUMBER($AN204),$AM204&gt;$AN204),"Inicio posterior a fecha límite"&amp;" · ","")&amp;IF(AND($V204="Macro",$H204&lt;&gt;"",OR(NOT(ISNUMBER($H204)),$H204&lt;0,$H204&gt;1)),"Peso fuera de rango"&amp;" · ","")&amp;IF(AND($V204="Sub",$H204&lt;&gt;""),"Las subactividades no llevan peso (valen igual dentro de su macroactividad)"&amp;" · ","")&amp;IF(AND(N($W204)&gt;0,COUNT($I204:$L204)&gt;0),"Con subactividades: deje vacías las semanas (se calculan solas)"&amp;" · ","")&amp;IF((COUNTIF($I204:$L204,"&gt;1")+COUNTIF($I204:$L204,"&lt;0")+COUNTA($I204:$L204)-COUNT($I204:$L204))&gt;0,"Avance fuera de rango 0-100%"&amp;" · ","")&amp;IF(OR(AND($J204&lt;&gt;"",$J204&lt;$I204),AND($K204&lt;&gt;"",$K204&lt;MAX($I204:$J204)),AND($L204&lt;&gt;"",$L204&lt;MAX($I204:$K204))),"Avance semanal decreciente"&amp;" · ","")&amp;IF(AND(ISNUMBER($AN204),$AN204&lt;FechaRef,IF($V204="Sub",N($X204),N($M204))&lt;1),"Vencida"&amp;" · ","")&amp;IF(AND(ObsObligatoria="Sí",ISNUMBER($AN204),$AN204&lt;FechaRef,IF($V204="Sub",N($X204),N($M204))&lt;1,$Q204=""),"Vencida sin observación"&amp;" · ",""))="","✔ OK","⚠ "&amp;LEFT(IF($C204="","Falta el nombre de la actividad"&amp;" · ","")&amp;IF(AND($V204="Sub",N($U204)=0),"Subactividad sin macroactividad arriba"&amp;" · ","")&amp;IF($AM204="","Sin fecha de inicio"&amp;" · ","")&amp;IF($AN204="","Sin fecha límite"&amp;" · ","")&amp;IF(AND(LEFT($C204,11)="[Jefatura] ",N($AL204)=0),"No se encuentra en la hoja de la jefatura (elíjala de nuevo en la lista)"&amp;" · ","")&amp;IF(OR(AND($E204&lt;&gt;"",NOT(ISNUMBER($E204))),AND($F204&lt;&gt;"",NOT(ISNUMBER($F204))),AND($G204&lt;&gt;"",NOT(ISNUMBER($G204)))),"Fecha no válida"&amp;" · ","")&amp;IF(AND(ISNUMBER($AM204),ISNUMBER($AN204),$AM204&gt;$AN204),"Inicio posterior a fecha límite"&amp;" · ","")&amp;IF(AND($V204="Macro",$H204&lt;&gt;"",OR(NOT(ISNUMBER($H204)),$H204&lt;0,$H204&gt;1)),"Peso fuera de rango"&amp;" · ","")&amp;IF(AND($V204="Sub",$H204&lt;&gt;""),"Las subactividades no llevan peso (valen igual dentro de su macroactividad)"&amp;" · ","")&amp;IF(AND(N($W204)&gt;0,COUNT($I204:$L204)&gt;0),"Con subactividades: deje vacías las semanas (se calculan solas)"&amp;" · ","")&amp;IF((COUNTIF($I204:$L204,"&gt;1")+COUNTIF($I204:$L204,"&lt;0")+COUNTA($I204:$L204)-COUNT($I204:$L204))&gt;0,"Avance fuera de rango 0-100%"&amp;" · ","")&amp;IF(OR(AND($J204&lt;&gt;"",$J204&lt;$I204),AND($K204&lt;&gt;"",$K204&lt;MAX($I204:$J204)),AND($L204&lt;&gt;"",$L204&lt;MAX($I204:$K204))),"Avance semanal decreciente"&amp;" · ","")&amp;IF(AND(ISNUMBER($AN204),$AN204&lt;FechaRef,IF($V204="Sub",N($X204),N($M204))&lt;1),"Vencida"&amp;" · ","")&amp;IF(AND(ObsObligatoria="Sí",ISNUMBER($AN204),$AN204&lt;FechaRef,IF($V204="Sub",N($X204),N($M204))&lt;1,$Q204=""),"Vencida sin observación"&amp;" · ",""),LEN(IF($C204="","Falta el nombre de la actividad"&amp;" · ","")&amp;IF(AND($V204="Sub",N($U204)=0),"Subactividad sin macroactividad arriba"&amp;" · ","")&amp;IF($AM204="","Sin fecha de inicio"&amp;" · ","")&amp;IF($AN204="","Sin fecha límite"&amp;" · ","")&amp;IF(AND(LEFT($C204,11)="[Jefatura] ",N($AL204)=0),"No se encuentra en la hoja de la jefatura (elíjala de nuevo en la lista)"&amp;" · ","")&amp;IF(OR(AND($E204&lt;&gt;"",NOT(ISNUMBER($E204))),AND($F204&lt;&gt;"",NOT(ISNUMBER($F204))),AND($G204&lt;&gt;"",NOT(ISNUMBER($G204)))),"Fecha no válida"&amp;" · ","")&amp;IF(AND(ISNUMBER($AM204),ISNUMBER($AN204),$AM204&gt;$AN204),"Inicio posterior a fecha límite"&amp;" · ","")&amp;IF(AND($V204="Macro",$H204&lt;&gt;"",OR(NOT(ISNUMBER($H204)),$H204&lt;0,$H204&gt;1)),"Peso fuera de rango"&amp;" · ","")&amp;IF(AND($V204="Sub",$H204&lt;&gt;""),"Las subactividades no llevan peso (valen igual dentro de su macroactividad)"&amp;" · ","")&amp;IF(AND(N($W204)&gt;0,COUNT($I204:$L204)&gt;0),"Con subactividades: deje vacías las semanas (se calculan solas)"&amp;" · ","")&amp;IF((COUNTIF($I204:$L204,"&gt;1")+COUNTIF($I204:$L204,"&lt;0")+COUNTA($I204:$L204)-COUNT($I204:$L204))&gt;0,"Avance fuera de rango 0-100%"&amp;" · ","")&amp;IF(OR(AND($J204&lt;&gt;"",$J204&lt;$I204),AND($K204&lt;&gt;"",$K204&lt;MAX($I204:$J204)),AND($L204&lt;&gt;"",$L204&lt;MAX($I204:$K204))),"Avance semanal decreciente"&amp;" · ","")&amp;IF(AND(ISNUMBER($AN204),$AN204&lt;FechaRef,IF($V204="Sub",N($X204),N($M204))&lt;1),"Vencida"&amp;" · ","")&amp;IF(AND(ObsObligatoria="Sí",ISNUMBER($AN204),$AN204&lt;FechaRef,IF($V204="Sub",N($X204),N($M204))&lt;1,$Q204=""),"Vencida sin observación"&amp;" · ",""))-3)))</f>
        <v/>
      </c>
      <c r="S204" s="64">
        <f>IF(NOT((COUNTA($B204:$D204)+COUNTA($G204:$L204)+COUNTA($Q204))&gt;0),"",IF(AND($V204="Sub",N($U204)&gt;0),IF(ISNUMBER(INDEX($AM$5:$AM$1000,$U204-4)),DATE(YEAR(INDEX($AM$5:$AM$1000,$U204-4)),MONTH(INDEX($AM$5:$AM$1000,$U204-4)),1),IF(ISNUMBER(INDEX($AN$5:$AN$1000,$U204-4)),DATE(YEAR(INDEX($AN$5:$AN$1000,$U204-4)),MONTH(INDEX($AN$5:$AN$1000,$U204-4)),1),MesCiclo)),IF(ISNUMBER($AM204),DATE(YEAR($AM204),MONTH($AM204),1),IF(ISNUMBER($AN204),DATE(YEAR($AN204),MONTH($AN204),1),MesCiclo))))</f>
        <v/>
      </c>
      <c r="T204" s="62">
        <f>IF(OR($S204="",$S204&lt;&gt;MesCiclo,$V204&lt;&gt;"Macro"),"",COUNTIFS($S$5:$S204,MesCiclo,$V$5:$V204,"Macro"))</f>
        <v/>
      </c>
      <c r="U204" s="62">
        <f>IF($V204="","",IF($V204="Macro",ROW(),IFERROR(LOOKUP(2,1/($V$5:$V204="Macro"),ROW($V$5:$V204)),0)))</f>
        <v/>
      </c>
      <c r="V204" s="62">
        <f>IF(NOT((COUNTA($B204:$D204)+COUNTA($G204:$L204)+COUNTA($Q204))&gt;0),"",IF($B204="Subactividad","Sub","Macro"))</f>
        <v/>
      </c>
      <c r="W204" s="62">
        <f>IF($V204="Macro",COUNTIFS($U$5:$U$1000,ROW(),$V$5:$V$1000,"Sub"),"")</f>
        <v/>
      </c>
      <c r="X204" s="62">
        <f>IF($V204="","",IF(ISNUMBER($G204),1,IFERROR(LOOKUP(2,1/($I204:$L204&lt;&gt;""),$I204:$L204),0)))</f>
        <v/>
      </c>
      <c r="Y204" s="62">
        <f>IF($V204="","",IF(AND(ISNUMBER($G204),$G204&lt;=IF($S204=MesCiclo,InicioCiclo,$S204+MOD(2-WEEKDAY($S204),7))+6),1,IF(ISNUMBER($I204),$I204,0)))</f>
        <v/>
      </c>
      <c r="Z204" s="62">
        <f>IF($V204="","",IF(AND(ISNUMBER($G204),$G204&lt;=IF($S204=MesCiclo,InicioCiclo,$S204+MOD(2-WEEKDAY($S204),7))+13),1,IF(ISNUMBER($J204),$J204,$Y204)))</f>
        <v/>
      </c>
      <c r="AA204" s="62">
        <f>IF($V204="","",IF(AND(ISNUMBER($G204),$G204&lt;=IF($S204=MesCiclo,InicioCiclo,$S204+MOD(2-WEEKDAY($S204),7))+20),1,IF(ISNUMBER($K204),$K204,$Z204)))</f>
        <v/>
      </c>
      <c r="AB204" s="62">
        <f>IF($V204="","",IF(AND(ISNUMBER($G204),$G204&lt;=IF($S204=MesCiclo,InicioCiclo,$S204+MOD(2-WEEKDAY($S204),7))+27),1,IF(ISNUMBER($L204),$L204,$AA204)))</f>
        <v/>
      </c>
      <c r="AC204" s="62">
        <f>IF($V204="","",IF(AND(ISNUMBER($G204),$G204&lt;=IF($S204=MesCiclo,InicioCiclo,$S204+MOD(2-WEEKDAY($S204),7))+6),1,IF(N($W204)&gt;0,AVERAGEIFS($Y$5:$Y$1000,$U$5:$U$1000,ROW(),$V$5:$V$1000,"Sub"),$Y204)))</f>
        <v/>
      </c>
      <c r="AD204" s="62">
        <f>IF($V204="","",IF(AND(ISNUMBER($G204),$G204&lt;=IF($S204=MesCiclo,InicioCiclo,$S204+MOD(2-WEEKDAY($S204),7))+13),1,IF(N($W204)&gt;0,AVERAGEIFS($Z$5:$Z$1000,$U$5:$U$1000,ROW(),$V$5:$V$1000,"Sub"),$Z204)))</f>
        <v/>
      </c>
      <c r="AE204" s="62">
        <f>IF($V204="","",IF(AND(ISNUMBER($G204),$G204&lt;=IF($S204=MesCiclo,InicioCiclo,$S204+MOD(2-WEEKDAY($S204),7))+20),1,IF(N($W204)&gt;0,AVERAGEIFS($AA$5:$AA$1000,$U$5:$U$1000,ROW(),$V$5:$V$1000,"Sub"),$AA204)))</f>
        <v/>
      </c>
      <c r="AF204" s="62">
        <f>IF($V204="","",IF(AND(ISNUMBER($G204),$G204&lt;=IF($S204=MesCiclo,InicioCiclo,$S204+MOD(2-WEEKDAY($S204),7))+27),1,IF(N($W204)&gt;0,AVERAGEIFS($AB$5:$AB$1000,$U$5:$U$1000,ROW(),$V$5:$V$1000,"Sub"),$AB204)))</f>
        <v/>
      </c>
      <c r="AG204" s="62">
        <f>IF($V204&lt;&gt;"Macro","",IF(COUNTIFS($S$5:$S$1000,$S204,$V$5:$V$1000,"Macro",$H$5:$H$1000,"&gt;0")=0,1/COUNTIFS($S$5:$S$1000,$S204,$V$5:$V$1000,"Macro"),IF(AND(ISNUMBER($H204),N($H204)&gt;0),$H204,SUMIFS($H$5:$H$1000,$S$5:$S$1000,$S204,$V$5:$V$1000,"Macro")/COUNTIFS($S$5:$S$1000,$S204,$V$5:$V$1000,"Macro",$H$5:$H$1000,"&gt;0"))/(COUNTIFS($S$5:$S$1000,$S204,$V$5:$V$1000,"Macro")*SUMIFS($H$5:$H$1000,$S$5:$S$1000,$S204,$V$5:$V$1000,"Macro")/COUNTIFS($S$5:$S$1000,$S204,$V$5:$V$1000,"Macro",$H$5:$H$1000,"&gt;0"))))</f>
        <v/>
      </c>
      <c r="AH204" s="62">
        <f>IF(NOT(AND($D204&lt;&gt;"",$V204="Macro")),"",IFERROR(CHOOSE(MATCH($D204,ListaPuestos,0),MATCH("[Jefatura] "&amp;$C204,'Cronograma R. Operacional'!$C$5:$C$1000,0),MATCH("[Jefatura] "&amp;$C204,'Cronograma R. Normativo'!$C$5:$C$1000,0),MATCH("[Jefatura] "&amp;$C204,'Cronograma R. Financiero'!$C$5:$C$1000,0),MATCH("[Jefatura] "&amp;$C204,'Cronograma Asistente Técnico'!$C$5:$C$1000,0)),0))</f>
        <v/>
      </c>
      <c r="AI204" s="62">
        <f>IF(AND(AND($D204&lt;&gt;"",$V204="Macro"),$S204=MesCiclo),COUNTIFS($D$5:$D204,$D204,$S$5:$S204,MesCiclo,$V$5:$V204,"Macro"),"")</f>
        <v/>
      </c>
      <c r="AJ204" s="62">
        <f>IF($AI204="","",$D204&amp;"|"&amp;$AI204)</f>
        <v/>
      </c>
      <c r="AK204" s="62">
        <f>IF(AND($D204&lt;&gt;"",$V204="Macro"),$D204&amp;"|"&amp;$C204,"")</f>
        <v/>
      </c>
      <c r="AL204" s="62">
        <f>""</f>
        <v/>
      </c>
      <c r="AM204" s="62">
        <f>IF(N($AL204)&gt;0,INDEX(rIni_ADM,$AL204),IF(ISNUMBER($E204),$E204,""))</f>
        <v/>
      </c>
      <c r="AN204" s="62">
        <f>IF(N($AL204)&gt;0,INDEX(rLim_ADM,$AL204),IF(ISNUMBER($F204),$F204,""))</f>
        <v/>
      </c>
    </row>
    <row r="205">
      <c r="A205" s="56">
        <f>IF(NOT((COUNTA($B205:$D205)+COUNTA($G205:$L205)+COUNTA($Q205))&gt;0),"",IF($V205="Macro",COUNTIFS($V$5:$V205,"Macro",$S$5:$S205,$S205),IF(N($U205)=0,"?",COUNTIFS(INDEX($V$5:$V$1000,1):INDEX($V$5:$V$1000,$U205-4),"Macro",INDEX($S$5:$S$1000,1):INDEX($S$5:$S$1000,$U205-4),INDEX($S$5:$S$1000,$U205-4))&amp;"."&amp;COUNTIFS($U$5:$U205,$U205,$V$5:$V205,"Sub"))))</f>
        <v/>
      </c>
      <c r="B205" s="57" t="n"/>
      <c r="C205" s="58" t="n"/>
      <c r="D205" s="58" t="n"/>
      <c r="E205" s="59" t="n"/>
      <c r="F205" s="59" t="n"/>
      <c r="G205" s="59" t="n"/>
      <c r="H205" s="60" t="n"/>
      <c r="I205" s="60" t="n"/>
      <c r="J205" s="60" t="n"/>
      <c r="K205" s="60" t="n"/>
      <c r="L205" s="60" t="n"/>
      <c r="M205" s="61">
        <f>IF(NOT((COUNTA($B205:$D205)+COUNTA($G205:$L205)+COUNTA($Q205))&gt;0),"",IF(AND($D205&lt;&gt;"",$V205="Macro"),IF(N($AH205)&gt;0,N(CHOOSE(MATCH($D205,ListaPuestos,0),INDEX('Cronograma R. Operacional'!$M$5:$M$1000,$AH205),INDEX('Cronograma R. Normativo'!$M$5:$M$1000,$AH205),INDEX('Cronograma R. Financiero'!$M$5:$M$1000,$AH205),INDEX('Cronograma Asistente Técnico'!$M$5:$M$1000,$AH205))),0),IF(ISNUMBER($G205),1,IF(N($W205)&gt;0,AVERAGEIFS($X$5:$X$1000,$U$5:$U$1000,ROW(),$V$5:$V$1000,"Sub"),$X205))))</f>
        <v/>
      </c>
      <c r="N205" s="56">
        <f>IF(OR($M205="",$V205="Sub"),"",IF($M205&gt;=1,"Completado",IF($M205&gt;0,"En curso","Pendiente")))</f>
        <v/>
      </c>
      <c r="O205" s="56">
        <f>IF(NOT((COUNTA($B205:$D205)+COUNTA($G205:$L205)+COUNTA($Q205))&gt;0),"",IF(AND(AND($D205&lt;&gt;"",$V205="Macro"),N($AH205)&gt;0),CHOOSE(MATCH($D205,ListaPuestos,0),INDEX('Cronograma R. Operacional'!$O$5:$O$1000,$AH205),INDEX('Cronograma R. Normativo'!$O$5:$O$1000,$AH205),INDEX('Cronograma R. Financiero'!$O$5:$O$1000,$AH205),INDEX('Cronograma Asistente Técnico'!$O$5:$O$1000,$AH205))&amp;"",IF(ISNUMBER($G205),IF(AND(ISNUMBER($AN205),$G205&gt;$AN205),"Cumplida con "&amp;($G205-$AN205)&amp;IF($G205-$AN205=1," día"," días")&amp;" de retraso","Cumplida"),IF(N($M205)&gt;=1,"Cumplida",IF(NOT(ISNUMBER($AN205)),"Sin fecha límite",IF($AN205&lt;FechaRef,"Vencida hace "&amp;(FechaRef-$AN205)&amp;IF(FechaRef-$AN205=1," día"," días"),IF($AN205=FechaRef,"Vence hoy",IF($AN205-FechaRef&lt;=DiasAlerta,"Vence en "&amp;($AN205-FechaRef)&amp;IF($AN205-FechaRef=1," día"," días"),"En plazo"))))))))</f>
        <v/>
      </c>
      <c r="P205" s="62">
        <f>IF(NOT((COUNTA($B205:$D205)+COUNTA($G205:$L205)+COUNTA($Q205))&gt;0),"",IF($D205="","Propia",IF($V205&lt;&gt;"Macro","Solo se delegan macroactividades",IF(N($AH205)&gt;0,"✔ Recibida por "&amp;$D205,"⚠ "&amp;$D205&amp;" aún no la agrega"))))</f>
        <v/>
      </c>
      <c r="Q205" s="58" t="n"/>
      <c r="R205" s="63">
        <f>IF(NOT((COUNTA($B205:$D205)+COUNTA($G205:$L205)+COUNTA($Q205))&gt;0),"",IF((IF($C205="","Falta el nombre de la actividad"&amp;" · ","")&amp;IF(AND($V205="Sub",N($U205)=0),"Subactividad sin macroactividad arriba"&amp;" · ","")&amp;IF($AM205="","Sin fecha de inicio"&amp;" · ","")&amp;IF($AN205="","Sin fecha límite"&amp;" · ","")&amp;IF(AND(LEFT($C205,11)="[Jefatura] ",N($AL205)=0),"No se encuentra en la hoja de la jefatura (elíjala de nuevo en la lista)"&amp;" · ","")&amp;IF(OR(AND($E205&lt;&gt;"",NOT(ISNUMBER($E205))),AND($F205&lt;&gt;"",NOT(ISNUMBER($F205))),AND($G205&lt;&gt;"",NOT(ISNUMBER($G205)))),"Fecha no válida"&amp;" · ","")&amp;IF(AND(ISNUMBER($AM205),ISNUMBER($AN205),$AM205&gt;$AN205),"Inicio posterior a fecha límite"&amp;" · ","")&amp;IF(AND($V205="Macro",$H205&lt;&gt;"",OR(NOT(ISNUMBER($H205)),$H205&lt;0,$H205&gt;1)),"Peso fuera de rango"&amp;" · ","")&amp;IF(AND($V205="Sub",$H205&lt;&gt;""),"Las subactividades no llevan peso (valen igual dentro de su macroactividad)"&amp;" · ","")&amp;IF(AND(N($W205)&gt;0,COUNT($I205:$L205)&gt;0),"Con subactividades: deje vacías las semanas (se calculan solas)"&amp;" · ","")&amp;IF((COUNTIF($I205:$L205,"&gt;1")+COUNTIF($I205:$L205,"&lt;0")+COUNTA($I205:$L205)-COUNT($I205:$L205))&gt;0,"Avance fuera de rango 0-100%"&amp;" · ","")&amp;IF(OR(AND($J205&lt;&gt;"",$J205&lt;$I205),AND($K205&lt;&gt;"",$K205&lt;MAX($I205:$J205)),AND($L205&lt;&gt;"",$L205&lt;MAX($I205:$K205))),"Avance semanal decreciente"&amp;" · ","")&amp;IF(AND(ISNUMBER($AN205),$AN205&lt;FechaRef,IF($V205="Sub",N($X205),N($M205))&lt;1),"Vencida"&amp;" · ","")&amp;IF(AND(ObsObligatoria="Sí",ISNUMBER($AN205),$AN205&lt;FechaRef,IF($V205="Sub",N($X205),N($M205))&lt;1,$Q205=""),"Vencida sin observación"&amp;" · ",""))="","✔ OK","⚠ "&amp;LEFT(IF($C205="","Falta el nombre de la actividad"&amp;" · ","")&amp;IF(AND($V205="Sub",N($U205)=0),"Subactividad sin macroactividad arriba"&amp;" · ","")&amp;IF($AM205="","Sin fecha de inicio"&amp;" · ","")&amp;IF($AN205="","Sin fecha límite"&amp;" · ","")&amp;IF(AND(LEFT($C205,11)="[Jefatura] ",N($AL205)=0),"No se encuentra en la hoja de la jefatura (elíjala de nuevo en la lista)"&amp;" · ","")&amp;IF(OR(AND($E205&lt;&gt;"",NOT(ISNUMBER($E205))),AND($F205&lt;&gt;"",NOT(ISNUMBER($F205))),AND($G205&lt;&gt;"",NOT(ISNUMBER($G205)))),"Fecha no válida"&amp;" · ","")&amp;IF(AND(ISNUMBER($AM205),ISNUMBER($AN205),$AM205&gt;$AN205),"Inicio posterior a fecha límite"&amp;" · ","")&amp;IF(AND($V205="Macro",$H205&lt;&gt;"",OR(NOT(ISNUMBER($H205)),$H205&lt;0,$H205&gt;1)),"Peso fuera de rango"&amp;" · ","")&amp;IF(AND($V205="Sub",$H205&lt;&gt;""),"Las subactividades no llevan peso (valen igual dentro de su macroactividad)"&amp;" · ","")&amp;IF(AND(N($W205)&gt;0,COUNT($I205:$L205)&gt;0),"Con subactividades: deje vacías las semanas (se calculan solas)"&amp;" · ","")&amp;IF((COUNTIF($I205:$L205,"&gt;1")+COUNTIF($I205:$L205,"&lt;0")+COUNTA($I205:$L205)-COUNT($I205:$L205))&gt;0,"Avance fuera de rango 0-100%"&amp;" · ","")&amp;IF(OR(AND($J205&lt;&gt;"",$J205&lt;$I205),AND($K205&lt;&gt;"",$K205&lt;MAX($I205:$J205)),AND($L205&lt;&gt;"",$L205&lt;MAX($I205:$K205))),"Avance semanal decreciente"&amp;" · ","")&amp;IF(AND(ISNUMBER($AN205),$AN205&lt;FechaRef,IF($V205="Sub",N($X205),N($M205))&lt;1),"Vencida"&amp;" · ","")&amp;IF(AND(ObsObligatoria="Sí",ISNUMBER($AN205),$AN205&lt;FechaRef,IF($V205="Sub",N($X205),N($M205))&lt;1,$Q205=""),"Vencida sin observación"&amp;" · ",""),LEN(IF($C205="","Falta el nombre de la actividad"&amp;" · ","")&amp;IF(AND($V205="Sub",N($U205)=0),"Subactividad sin macroactividad arriba"&amp;" · ","")&amp;IF($AM205="","Sin fecha de inicio"&amp;" · ","")&amp;IF($AN205="","Sin fecha límite"&amp;" · ","")&amp;IF(AND(LEFT($C205,11)="[Jefatura] ",N($AL205)=0),"No se encuentra en la hoja de la jefatura (elíjala de nuevo en la lista)"&amp;" · ","")&amp;IF(OR(AND($E205&lt;&gt;"",NOT(ISNUMBER($E205))),AND($F205&lt;&gt;"",NOT(ISNUMBER($F205))),AND($G205&lt;&gt;"",NOT(ISNUMBER($G205)))),"Fecha no válida"&amp;" · ","")&amp;IF(AND(ISNUMBER($AM205),ISNUMBER($AN205),$AM205&gt;$AN205),"Inicio posterior a fecha límite"&amp;" · ","")&amp;IF(AND($V205="Macro",$H205&lt;&gt;"",OR(NOT(ISNUMBER($H205)),$H205&lt;0,$H205&gt;1)),"Peso fuera de rango"&amp;" · ","")&amp;IF(AND($V205="Sub",$H205&lt;&gt;""),"Las subactividades no llevan peso (valen igual dentro de su macroactividad)"&amp;" · ","")&amp;IF(AND(N($W205)&gt;0,COUNT($I205:$L205)&gt;0),"Con subactividades: deje vacías las semanas (se calculan solas)"&amp;" · ","")&amp;IF((COUNTIF($I205:$L205,"&gt;1")+COUNTIF($I205:$L205,"&lt;0")+COUNTA($I205:$L205)-COUNT($I205:$L205))&gt;0,"Avance fuera de rango 0-100%"&amp;" · ","")&amp;IF(OR(AND($J205&lt;&gt;"",$J205&lt;$I205),AND($K205&lt;&gt;"",$K205&lt;MAX($I205:$J205)),AND($L205&lt;&gt;"",$L205&lt;MAX($I205:$K205))),"Avance semanal decreciente"&amp;" · ","")&amp;IF(AND(ISNUMBER($AN205),$AN205&lt;FechaRef,IF($V205="Sub",N($X205),N($M205))&lt;1),"Vencida"&amp;" · ","")&amp;IF(AND(ObsObligatoria="Sí",ISNUMBER($AN205),$AN205&lt;FechaRef,IF($V205="Sub",N($X205),N($M205))&lt;1,$Q205=""),"Vencida sin observación"&amp;" · ",""))-3)))</f>
        <v/>
      </c>
      <c r="S205" s="64">
        <f>IF(NOT((COUNTA($B205:$D205)+COUNTA($G205:$L205)+COUNTA($Q205))&gt;0),"",IF(AND($V205="Sub",N($U205)&gt;0),IF(ISNUMBER(INDEX($AM$5:$AM$1000,$U205-4)),DATE(YEAR(INDEX($AM$5:$AM$1000,$U205-4)),MONTH(INDEX($AM$5:$AM$1000,$U205-4)),1),IF(ISNUMBER(INDEX($AN$5:$AN$1000,$U205-4)),DATE(YEAR(INDEX($AN$5:$AN$1000,$U205-4)),MONTH(INDEX($AN$5:$AN$1000,$U205-4)),1),MesCiclo)),IF(ISNUMBER($AM205),DATE(YEAR($AM205),MONTH($AM205),1),IF(ISNUMBER($AN205),DATE(YEAR($AN205),MONTH($AN205),1),MesCiclo))))</f>
        <v/>
      </c>
      <c r="T205" s="62">
        <f>IF(OR($S205="",$S205&lt;&gt;MesCiclo,$V205&lt;&gt;"Macro"),"",COUNTIFS($S$5:$S205,MesCiclo,$V$5:$V205,"Macro"))</f>
        <v/>
      </c>
      <c r="U205" s="62">
        <f>IF($V205="","",IF($V205="Macro",ROW(),IFERROR(LOOKUP(2,1/($V$5:$V205="Macro"),ROW($V$5:$V205)),0)))</f>
        <v/>
      </c>
      <c r="V205" s="62">
        <f>IF(NOT((COUNTA($B205:$D205)+COUNTA($G205:$L205)+COUNTA($Q205))&gt;0),"",IF($B205="Subactividad","Sub","Macro"))</f>
        <v/>
      </c>
      <c r="W205" s="62">
        <f>IF($V205="Macro",COUNTIFS($U$5:$U$1000,ROW(),$V$5:$V$1000,"Sub"),"")</f>
        <v/>
      </c>
      <c r="X205" s="62">
        <f>IF($V205="","",IF(ISNUMBER($G205),1,IFERROR(LOOKUP(2,1/($I205:$L205&lt;&gt;""),$I205:$L205),0)))</f>
        <v/>
      </c>
      <c r="Y205" s="62">
        <f>IF($V205="","",IF(AND(ISNUMBER($G205),$G205&lt;=IF($S205=MesCiclo,InicioCiclo,$S205+MOD(2-WEEKDAY($S205),7))+6),1,IF(ISNUMBER($I205),$I205,0)))</f>
        <v/>
      </c>
      <c r="Z205" s="62">
        <f>IF($V205="","",IF(AND(ISNUMBER($G205),$G205&lt;=IF($S205=MesCiclo,InicioCiclo,$S205+MOD(2-WEEKDAY($S205),7))+13),1,IF(ISNUMBER($J205),$J205,$Y205)))</f>
        <v/>
      </c>
      <c r="AA205" s="62">
        <f>IF($V205="","",IF(AND(ISNUMBER($G205),$G205&lt;=IF($S205=MesCiclo,InicioCiclo,$S205+MOD(2-WEEKDAY($S205),7))+20),1,IF(ISNUMBER($K205),$K205,$Z205)))</f>
        <v/>
      </c>
      <c r="AB205" s="62">
        <f>IF($V205="","",IF(AND(ISNUMBER($G205),$G205&lt;=IF($S205=MesCiclo,InicioCiclo,$S205+MOD(2-WEEKDAY($S205),7))+27),1,IF(ISNUMBER($L205),$L205,$AA205)))</f>
        <v/>
      </c>
      <c r="AC205" s="62">
        <f>IF($V205="","",IF(AND(ISNUMBER($G205),$G205&lt;=IF($S205=MesCiclo,InicioCiclo,$S205+MOD(2-WEEKDAY($S205),7))+6),1,IF(N($W205)&gt;0,AVERAGEIFS($Y$5:$Y$1000,$U$5:$U$1000,ROW(),$V$5:$V$1000,"Sub"),$Y205)))</f>
        <v/>
      </c>
      <c r="AD205" s="62">
        <f>IF($V205="","",IF(AND(ISNUMBER($G205),$G205&lt;=IF($S205=MesCiclo,InicioCiclo,$S205+MOD(2-WEEKDAY($S205),7))+13),1,IF(N($W205)&gt;0,AVERAGEIFS($Z$5:$Z$1000,$U$5:$U$1000,ROW(),$V$5:$V$1000,"Sub"),$Z205)))</f>
        <v/>
      </c>
      <c r="AE205" s="62">
        <f>IF($V205="","",IF(AND(ISNUMBER($G205),$G205&lt;=IF($S205=MesCiclo,InicioCiclo,$S205+MOD(2-WEEKDAY($S205),7))+20),1,IF(N($W205)&gt;0,AVERAGEIFS($AA$5:$AA$1000,$U$5:$U$1000,ROW(),$V$5:$V$1000,"Sub"),$AA205)))</f>
        <v/>
      </c>
      <c r="AF205" s="62">
        <f>IF($V205="","",IF(AND(ISNUMBER($G205),$G205&lt;=IF($S205=MesCiclo,InicioCiclo,$S205+MOD(2-WEEKDAY($S205),7))+27),1,IF(N($W205)&gt;0,AVERAGEIFS($AB$5:$AB$1000,$U$5:$U$1000,ROW(),$V$5:$V$1000,"Sub"),$AB205)))</f>
        <v/>
      </c>
      <c r="AG205" s="62">
        <f>IF($V205&lt;&gt;"Macro","",IF(COUNTIFS($S$5:$S$1000,$S205,$V$5:$V$1000,"Macro",$H$5:$H$1000,"&gt;0")=0,1/COUNTIFS($S$5:$S$1000,$S205,$V$5:$V$1000,"Macro"),IF(AND(ISNUMBER($H205),N($H205)&gt;0),$H205,SUMIFS($H$5:$H$1000,$S$5:$S$1000,$S205,$V$5:$V$1000,"Macro")/COUNTIFS($S$5:$S$1000,$S205,$V$5:$V$1000,"Macro",$H$5:$H$1000,"&gt;0"))/(COUNTIFS($S$5:$S$1000,$S205,$V$5:$V$1000,"Macro")*SUMIFS($H$5:$H$1000,$S$5:$S$1000,$S205,$V$5:$V$1000,"Macro")/COUNTIFS($S$5:$S$1000,$S205,$V$5:$V$1000,"Macro",$H$5:$H$1000,"&gt;0"))))</f>
        <v/>
      </c>
      <c r="AH205" s="62">
        <f>IF(NOT(AND($D205&lt;&gt;"",$V205="Macro")),"",IFERROR(CHOOSE(MATCH($D205,ListaPuestos,0),MATCH("[Jefatura] "&amp;$C205,'Cronograma R. Operacional'!$C$5:$C$1000,0),MATCH("[Jefatura] "&amp;$C205,'Cronograma R. Normativo'!$C$5:$C$1000,0),MATCH("[Jefatura] "&amp;$C205,'Cronograma R. Financiero'!$C$5:$C$1000,0),MATCH("[Jefatura] "&amp;$C205,'Cronograma Asistente Técnico'!$C$5:$C$1000,0)),0))</f>
        <v/>
      </c>
      <c r="AI205" s="62">
        <f>IF(AND(AND($D205&lt;&gt;"",$V205="Macro"),$S205=MesCiclo),COUNTIFS($D$5:$D205,$D205,$S$5:$S205,MesCiclo,$V$5:$V205,"Macro"),"")</f>
        <v/>
      </c>
      <c r="AJ205" s="62">
        <f>IF($AI205="","",$D205&amp;"|"&amp;$AI205)</f>
        <v/>
      </c>
      <c r="AK205" s="62">
        <f>IF(AND($D205&lt;&gt;"",$V205="Macro"),$D205&amp;"|"&amp;$C205,"")</f>
        <v/>
      </c>
      <c r="AL205" s="62">
        <f>""</f>
        <v/>
      </c>
      <c r="AM205" s="62">
        <f>IF(N($AL205)&gt;0,INDEX(rIni_ADM,$AL205),IF(ISNUMBER($E205),$E205,""))</f>
        <v/>
      </c>
      <c r="AN205" s="62">
        <f>IF(N($AL205)&gt;0,INDEX(rLim_ADM,$AL205),IF(ISNUMBER($F205),$F205,""))</f>
        <v/>
      </c>
    </row>
    <row r="206">
      <c r="A206" s="56">
        <f>IF(NOT((COUNTA($B206:$D206)+COUNTA($G206:$L206)+COUNTA($Q206))&gt;0),"",IF($V206="Macro",COUNTIFS($V$5:$V206,"Macro",$S$5:$S206,$S206),IF(N($U206)=0,"?",COUNTIFS(INDEX($V$5:$V$1000,1):INDEX($V$5:$V$1000,$U206-4),"Macro",INDEX($S$5:$S$1000,1):INDEX($S$5:$S$1000,$U206-4),INDEX($S$5:$S$1000,$U206-4))&amp;"."&amp;COUNTIFS($U$5:$U206,$U206,$V$5:$V206,"Sub"))))</f>
        <v/>
      </c>
      <c r="B206" s="57" t="n"/>
      <c r="C206" s="58" t="n"/>
      <c r="D206" s="58" t="n"/>
      <c r="E206" s="59" t="n"/>
      <c r="F206" s="59" t="n"/>
      <c r="G206" s="59" t="n"/>
      <c r="H206" s="60" t="n"/>
      <c r="I206" s="60" t="n"/>
      <c r="J206" s="60" t="n"/>
      <c r="K206" s="60" t="n"/>
      <c r="L206" s="60" t="n"/>
      <c r="M206" s="61">
        <f>IF(NOT((COUNTA($B206:$D206)+COUNTA($G206:$L206)+COUNTA($Q206))&gt;0),"",IF(AND($D206&lt;&gt;"",$V206="Macro"),IF(N($AH206)&gt;0,N(CHOOSE(MATCH($D206,ListaPuestos,0),INDEX('Cronograma R. Operacional'!$M$5:$M$1000,$AH206),INDEX('Cronograma R. Normativo'!$M$5:$M$1000,$AH206),INDEX('Cronograma R. Financiero'!$M$5:$M$1000,$AH206),INDEX('Cronograma Asistente Técnico'!$M$5:$M$1000,$AH206))),0),IF(ISNUMBER($G206),1,IF(N($W206)&gt;0,AVERAGEIFS($X$5:$X$1000,$U$5:$U$1000,ROW(),$V$5:$V$1000,"Sub"),$X206))))</f>
        <v/>
      </c>
      <c r="N206" s="56">
        <f>IF(OR($M206="",$V206="Sub"),"",IF($M206&gt;=1,"Completado",IF($M206&gt;0,"En curso","Pendiente")))</f>
        <v/>
      </c>
      <c r="O206" s="56">
        <f>IF(NOT((COUNTA($B206:$D206)+COUNTA($G206:$L206)+COUNTA($Q206))&gt;0),"",IF(AND(AND($D206&lt;&gt;"",$V206="Macro"),N($AH206)&gt;0),CHOOSE(MATCH($D206,ListaPuestos,0),INDEX('Cronograma R. Operacional'!$O$5:$O$1000,$AH206),INDEX('Cronograma R. Normativo'!$O$5:$O$1000,$AH206),INDEX('Cronograma R. Financiero'!$O$5:$O$1000,$AH206),INDEX('Cronograma Asistente Técnico'!$O$5:$O$1000,$AH206))&amp;"",IF(ISNUMBER($G206),IF(AND(ISNUMBER($AN206),$G206&gt;$AN206),"Cumplida con "&amp;($G206-$AN206)&amp;IF($G206-$AN206=1," día"," días")&amp;" de retraso","Cumplida"),IF(N($M206)&gt;=1,"Cumplida",IF(NOT(ISNUMBER($AN206)),"Sin fecha límite",IF($AN206&lt;FechaRef,"Vencida hace "&amp;(FechaRef-$AN206)&amp;IF(FechaRef-$AN206=1," día"," días"),IF($AN206=FechaRef,"Vence hoy",IF($AN206-FechaRef&lt;=DiasAlerta,"Vence en "&amp;($AN206-FechaRef)&amp;IF($AN206-FechaRef=1," día"," días"),"En plazo"))))))))</f>
        <v/>
      </c>
      <c r="P206" s="62">
        <f>IF(NOT((COUNTA($B206:$D206)+COUNTA($G206:$L206)+COUNTA($Q206))&gt;0),"",IF($D206="","Propia",IF($V206&lt;&gt;"Macro","Solo se delegan macroactividades",IF(N($AH206)&gt;0,"✔ Recibida por "&amp;$D206,"⚠ "&amp;$D206&amp;" aún no la agrega"))))</f>
        <v/>
      </c>
      <c r="Q206" s="58" t="n"/>
      <c r="R206" s="63">
        <f>IF(NOT((COUNTA($B206:$D206)+COUNTA($G206:$L206)+COUNTA($Q206))&gt;0),"",IF((IF($C206="","Falta el nombre de la actividad"&amp;" · ","")&amp;IF(AND($V206="Sub",N($U206)=0),"Subactividad sin macroactividad arriba"&amp;" · ","")&amp;IF($AM206="","Sin fecha de inicio"&amp;" · ","")&amp;IF($AN206="","Sin fecha límite"&amp;" · ","")&amp;IF(AND(LEFT($C206,11)="[Jefatura] ",N($AL206)=0),"No se encuentra en la hoja de la jefatura (elíjala de nuevo en la lista)"&amp;" · ","")&amp;IF(OR(AND($E206&lt;&gt;"",NOT(ISNUMBER($E206))),AND($F206&lt;&gt;"",NOT(ISNUMBER($F206))),AND($G206&lt;&gt;"",NOT(ISNUMBER($G206)))),"Fecha no válida"&amp;" · ","")&amp;IF(AND(ISNUMBER($AM206),ISNUMBER($AN206),$AM206&gt;$AN206),"Inicio posterior a fecha límite"&amp;" · ","")&amp;IF(AND($V206="Macro",$H206&lt;&gt;"",OR(NOT(ISNUMBER($H206)),$H206&lt;0,$H206&gt;1)),"Peso fuera de rango"&amp;" · ","")&amp;IF(AND($V206="Sub",$H206&lt;&gt;""),"Las subactividades no llevan peso (valen igual dentro de su macroactividad)"&amp;" · ","")&amp;IF(AND(N($W206)&gt;0,COUNT($I206:$L206)&gt;0),"Con subactividades: deje vacías las semanas (se calculan solas)"&amp;" · ","")&amp;IF((COUNTIF($I206:$L206,"&gt;1")+COUNTIF($I206:$L206,"&lt;0")+COUNTA($I206:$L206)-COUNT($I206:$L206))&gt;0,"Avance fuera de rango 0-100%"&amp;" · ","")&amp;IF(OR(AND($J206&lt;&gt;"",$J206&lt;$I206),AND($K206&lt;&gt;"",$K206&lt;MAX($I206:$J206)),AND($L206&lt;&gt;"",$L206&lt;MAX($I206:$K206))),"Avance semanal decreciente"&amp;" · ","")&amp;IF(AND(ISNUMBER($AN206),$AN206&lt;FechaRef,IF($V206="Sub",N($X206),N($M206))&lt;1),"Vencida"&amp;" · ","")&amp;IF(AND(ObsObligatoria="Sí",ISNUMBER($AN206),$AN206&lt;FechaRef,IF($V206="Sub",N($X206),N($M206))&lt;1,$Q206=""),"Vencida sin observación"&amp;" · ",""))="","✔ OK","⚠ "&amp;LEFT(IF($C206="","Falta el nombre de la actividad"&amp;" · ","")&amp;IF(AND($V206="Sub",N($U206)=0),"Subactividad sin macroactividad arriba"&amp;" · ","")&amp;IF($AM206="","Sin fecha de inicio"&amp;" · ","")&amp;IF($AN206="","Sin fecha límite"&amp;" · ","")&amp;IF(AND(LEFT($C206,11)="[Jefatura] ",N($AL206)=0),"No se encuentra en la hoja de la jefatura (elíjala de nuevo en la lista)"&amp;" · ","")&amp;IF(OR(AND($E206&lt;&gt;"",NOT(ISNUMBER($E206))),AND($F206&lt;&gt;"",NOT(ISNUMBER($F206))),AND($G206&lt;&gt;"",NOT(ISNUMBER($G206)))),"Fecha no válida"&amp;" · ","")&amp;IF(AND(ISNUMBER($AM206),ISNUMBER($AN206),$AM206&gt;$AN206),"Inicio posterior a fecha límite"&amp;" · ","")&amp;IF(AND($V206="Macro",$H206&lt;&gt;"",OR(NOT(ISNUMBER($H206)),$H206&lt;0,$H206&gt;1)),"Peso fuera de rango"&amp;" · ","")&amp;IF(AND($V206="Sub",$H206&lt;&gt;""),"Las subactividades no llevan peso (valen igual dentro de su macroactividad)"&amp;" · ","")&amp;IF(AND(N($W206)&gt;0,COUNT($I206:$L206)&gt;0),"Con subactividades: deje vacías las semanas (se calculan solas)"&amp;" · ","")&amp;IF((COUNTIF($I206:$L206,"&gt;1")+COUNTIF($I206:$L206,"&lt;0")+COUNTA($I206:$L206)-COUNT($I206:$L206))&gt;0,"Avance fuera de rango 0-100%"&amp;" · ","")&amp;IF(OR(AND($J206&lt;&gt;"",$J206&lt;$I206),AND($K206&lt;&gt;"",$K206&lt;MAX($I206:$J206)),AND($L206&lt;&gt;"",$L206&lt;MAX($I206:$K206))),"Avance semanal decreciente"&amp;" · ","")&amp;IF(AND(ISNUMBER($AN206),$AN206&lt;FechaRef,IF($V206="Sub",N($X206),N($M206))&lt;1),"Vencida"&amp;" · ","")&amp;IF(AND(ObsObligatoria="Sí",ISNUMBER($AN206),$AN206&lt;FechaRef,IF($V206="Sub",N($X206),N($M206))&lt;1,$Q206=""),"Vencida sin observación"&amp;" · ",""),LEN(IF($C206="","Falta el nombre de la actividad"&amp;" · ","")&amp;IF(AND($V206="Sub",N($U206)=0),"Subactividad sin macroactividad arriba"&amp;" · ","")&amp;IF($AM206="","Sin fecha de inicio"&amp;" · ","")&amp;IF($AN206="","Sin fecha límite"&amp;" · ","")&amp;IF(AND(LEFT($C206,11)="[Jefatura] ",N($AL206)=0),"No se encuentra en la hoja de la jefatura (elíjala de nuevo en la lista)"&amp;" · ","")&amp;IF(OR(AND($E206&lt;&gt;"",NOT(ISNUMBER($E206))),AND($F206&lt;&gt;"",NOT(ISNUMBER($F206))),AND($G206&lt;&gt;"",NOT(ISNUMBER($G206)))),"Fecha no válida"&amp;" · ","")&amp;IF(AND(ISNUMBER($AM206),ISNUMBER($AN206),$AM206&gt;$AN206),"Inicio posterior a fecha límite"&amp;" · ","")&amp;IF(AND($V206="Macro",$H206&lt;&gt;"",OR(NOT(ISNUMBER($H206)),$H206&lt;0,$H206&gt;1)),"Peso fuera de rango"&amp;" · ","")&amp;IF(AND($V206="Sub",$H206&lt;&gt;""),"Las subactividades no llevan peso (valen igual dentro de su macroactividad)"&amp;" · ","")&amp;IF(AND(N($W206)&gt;0,COUNT($I206:$L206)&gt;0),"Con subactividades: deje vacías las semanas (se calculan solas)"&amp;" · ","")&amp;IF((COUNTIF($I206:$L206,"&gt;1")+COUNTIF($I206:$L206,"&lt;0")+COUNTA($I206:$L206)-COUNT($I206:$L206))&gt;0,"Avance fuera de rango 0-100%"&amp;" · ","")&amp;IF(OR(AND($J206&lt;&gt;"",$J206&lt;$I206),AND($K206&lt;&gt;"",$K206&lt;MAX($I206:$J206)),AND($L206&lt;&gt;"",$L206&lt;MAX($I206:$K206))),"Avance semanal decreciente"&amp;" · ","")&amp;IF(AND(ISNUMBER($AN206),$AN206&lt;FechaRef,IF($V206="Sub",N($X206),N($M206))&lt;1),"Vencida"&amp;" · ","")&amp;IF(AND(ObsObligatoria="Sí",ISNUMBER($AN206),$AN206&lt;FechaRef,IF($V206="Sub",N($X206),N($M206))&lt;1,$Q206=""),"Vencida sin observación"&amp;" · ",""))-3)))</f>
        <v/>
      </c>
      <c r="S206" s="64">
        <f>IF(NOT((COUNTA($B206:$D206)+COUNTA($G206:$L206)+COUNTA($Q206))&gt;0),"",IF(AND($V206="Sub",N($U206)&gt;0),IF(ISNUMBER(INDEX($AM$5:$AM$1000,$U206-4)),DATE(YEAR(INDEX($AM$5:$AM$1000,$U206-4)),MONTH(INDEX($AM$5:$AM$1000,$U206-4)),1),IF(ISNUMBER(INDEX($AN$5:$AN$1000,$U206-4)),DATE(YEAR(INDEX($AN$5:$AN$1000,$U206-4)),MONTH(INDEX($AN$5:$AN$1000,$U206-4)),1),MesCiclo)),IF(ISNUMBER($AM206),DATE(YEAR($AM206),MONTH($AM206),1),IF(ISNUMBER($AN206),DATE(YEAR($AN206),MONTH($AN206),1),MesCiclo))))</f>
        <v/>
      </c>
      <c r="T206" s="62">
        <f>IF(OR($S206="",$S206&lt;&gt;MesCiclo,$V206&lt;&gt;"Macro"),"",COUNTIFS($S$5:$S206,MesCiclo,$V$5:$V206,"Macro"))</f>
        <v/>
      </c>
      <c r="U206" s="62">
        <f>IF($V206="","",IF($V206="Macro",ROW(),IFERROR(LOOKUP(2,1/($V$5:$V206="Macro"),ROW($V$5:$V206)),0)))</f>
        <v/>
      </c>
      <c r="V206" s="62">
        <f>IF(NOT((COUNTA($B206:$D206)+COUNTA($G206:$L206)+COUNTA($Q206))&gt;0),"",IF($B206="Subactividad","Sub","Macro"))</f>
        <v/>
      </c>
      <c r="W206" s="62">
        <f>IF($V206="Macro",COUNTIFS($U$5:$U$1000,ROW(),$V$5:$V$1000,"Sub"),"")</f>
        <v/>
      </c>
      <c r="X206" s="62">
        <f>IF($V206="","",IF(ISNUMBER($G206),1,IFERROR(LOOKUP(2,1/($I206:$L206&lt;&gt;""),$I206:$L206),0)))</f>
        <v/>
      </c>
      <c r="Y206" s="62">
        <f>IF($V206="","",IF(AND(ISNUMBER($G206),$G206&lt;=IF($S206=MesCiclo,InicioCiclo,$S206+MOD(2-WEEKDAY($S206),7))+6),1,IF(ISNUMBER($I206),$I206,0)))</f>
        <v/>
      </c>
      <c r="Z206" s="62">
        <f>IF($V206="","",IF(AND(ISNUMBER($G206),$G206&lt;=IF($S206=MesCiclo,InicioCiclo,$S206+MOD(2-WEEKDAY($S206),7))+13),1,IF(ISNUMBER($J206),$J206,$Y206)))</f>
        <v/>
      </c>
      <c r="AA206" s="62">
        <f>IF($V206="","",IF(AND(ISNUMBER($G206),$G206&lt;=IF($S206=MesCiclo,InicioCiclo,$S206+MOD(2-WEEKDAY($S206),7))+20),1,IF(ISNUMBER($K206),$K206,$Z206)))</f>
        <v/>
      </c>
      <c r="AB206" s="62">
        <f>IF($V206="","",IF(AND(ISNUMBER($G206),$G206&lt;=IF($S206=MesCiclo,InicioCiclo,$S206+MOD(2-WEEKDAY($S206),7))+27),1,IF(ISNUMBER($L206),$L206,$AA206)))</f>
        <v/>
      </c>
      <c r="AC206" s="62">
        <f>IF($V206="","",IF(AND(ISNUMBER($G206),$G206&lt;=IF($S206=MesCiclo,InicioCiclo,$S206+MOD(2-WEEKDAY($S206),7))+6),1,IF(N($W206)&gt;0,AVERAGEIFS($Y$5:$Y$1000,$U$5:$U$1000,ROW(),$V$5:$V$1000,"Sub"),$Y206)))</f>
        <v/>
      </c>
      <c r="AD206" s="62">
        <f>IF($V206="","",IF(AND(ISNUMBER($G206),$G206&lt;=IF($S206=MesCiclo,InicioCiclo,$S206+MOD(2-WEEKDAY($S206),7))+13),1,IF(N($W206)&gt;0,AVERAGEIFS($Z$5:$Z$1000,$U$5:$U$1000,ROW(),$V$5:$V$1000,"Sub"),$Z206)))</f>
        <v/>
      </c>
      <c r="AE206" s="62">
        <f>IF($V206="","",IF(AND(ISNUMBER($G206),$G206&lt;=IF($S206=MesCiclo,InicioCiclo,$S206+MOD(2-WEEKDAY($S206),7))+20),1,IF(N($W206)&gt;0,AVERAGEIFS($AA$5:$AA$1000,$U$5:$U$1000,ROW(),$V$5:$V$1000,"Sub"),$AA206)))</f>
        <v/>
      </c>
      <c r="AF206" s="62">
        <f>IF($V206="","",IF(AND(ISNUMBER($G206),$G206&lt;=IF($S206=MesCiclo,InicioCiclo,$S206+MOD(2-WEEKDAY($S206),7))+27),1,IF(N($W206)&gt;0,AVERAGEIFS($AB$5:$AB$1000,$U$5:$U$1000,ROW(),$V$5:$V$1000,"Sub"),$AB206)))</f>
        <v/>
      </c>
      <c r="AG206" s="62">
        <f>IF($V206&lt;&gt;"Macro","",IF(COUNTIFS($S$5:$S$1000,$S206,$V$5:$V$1000,"Macro",$H$5:$H$1000,"&gt;0")=0,1/COUNTIFS($S$5:$S$1000,$S206,$V$5:$V$1000,"Macro"),IF(AND(ISNUMBER($H206),N($H206)&gt;0),$H206,SUMIFS($H$5:$H$1000,$S$5:$S$1000,$S206,$V$5:$V$1000,"Macro")/COUNTIFS($S$5:$S$1000,$S206,$V$5:$V$1000,"Macro",$H$5:$H$1000,"&gt;0"))/(COUNTIFS($S$5:$S$1000,$S206,$V$5:$V$1000,"Macro")*SUMIFS($H$5:$H$1000,$S$5:$S$1000,$S206,$V$5:$V$1000,"Macro")/COUNTIFS($S$5:$S$1000,$S206,$V$5:$V$1000,"Macro",$H$5:$H$1000,"&gt;0"))))</f>
        <v/>
      </c>
      <c r="AH206" s="62">
        <f>IF(NOT(AND($D206&lt;&gt;"",$V206="Macro")),"",IFERROR(CHOOSE(MATCH($D206,ListaPuestos,0),MATCH("[Jefatura] "&amp;$C206,'Cronograma R. Operacional'!$C$5:$C$1000,0),MATCH("[Jefatura] "&amp;$C206,'Cronograma R. Normativo'!$C$5:$C$1000,0),MATCH("[Jefatura] "&amp;$C206,'Cronograma R. Financiero'!$C$5:$C$1000,0),MATCH("[Jefatura] "&amp;$C206,'Cronograma Asistente Técnico'!$C$5:$C$1000,0)),0))</f>
        <v/>
      </c>
      <c r="AI206" s="62">
        <f>IF(AND(AND($D206&lt;&gt;"",$V206="Macro"),$S206=MesCiclo),COUNTIFS($D$5:$D206,$D206,$S$5:$S206,MesCiclo,$V$5:$V206,"Macro"),"")</f>
        <v/>
      </c>
      <c r="AJ206" s="62">
        <f>IF($AI206="","",$D206&amp;"|"&amp;$AI206)</f>
        <v/>
      </c>
      <c r="AK206" s="62">
        <f>IF(AND($D206&lt;&gt;"",$V206="Macro"),$D206&amp;"|"&amp;$C206,"")</f>
        <v/>
      </c>
      <c r="AL206" s="62">
        <f>""</f>
        <v/>
      </c>
      <c r="AM206" s="62">
        <f>IF(N($AL206)&gt;0,INDEX(rIni_ADM,$AL206),IF(ISNUMBER($E206),$E206,""))</f>
        <v/>
      </c>
      <c r="AN206" s="62">
        <f>IF(N($AL206)&gt;0,INDEX(rLim_ADM,$AL206),IF(ISNUMBER($F206),$F206,""))</f>
        <v/>
      </c>
    </row>
    <row r="207">
      <c r="A207" s="56">
        <f>IF(NOT((COUNTA($B207:$D207)+COUNTA($G207:$L207)+COUNTA($Q207))&gt;0),"",IF($V207="Macro",COUNTIFS($V$5:$V207,"Macro",$S$5:$S207,$S207),IF(N($U207)=0,"?",COUNTIFS(INDEX($V$5:$V$1000,1):INDEX($V$5:$V$1000,$U207-4),"Macro",INDEX($S$5:$S$1000,1):INDEX($S$5:$S$1000,$U207-4),INDEX($S$5:$S$1000,$U207-4))&amp;"."&amp;COUNTIFS($U$5:$U207,$U207,$V$5:$V207,"Sub"))))</f>
        <v/>
      </c>
      <c r="B207" s="57" t="n"/>
      <c r="C207" s="58" t="n"/>
      <c r="D207" s="58" t="n"/>
      <c r="E207" s="59" t="n"/>
      <c r="F207" s="59" t="n"/>
      <c r="G207" s="59" t="n"/>
      <c r="H207" s="60" t="n"/>
      <c r="I207" s="60" t="n"/>
      <c r="J207" s="60" t="n"/>
      <c r="K207" s="60" t="n"/>
      <c r="L207" s="60" t="n"/>
      <c r="M207" s="61">
        <f>IF(NOT((COUNTA($B207:$D207)+COUNTA($G207:$L207)+COUNTA($Q207))&gt;0),"",IF(AND($D207&lt;&gt;"",$V207="Macro"),IF(N($AH207)&gt;0,N(CHOOSE(MATCH($D207,ListaPuestos,0),INDEX('Cronograma R. Operacional'!$M$5:$M$1000,$AH207),INDEX('Cronograma R. Normativo'!$M$5:$M$1000,$AH207),INDEX('Cronograma R. Financiero'!$M$5:$M$1000,$AH207),INDEX('Cronograma Asistente Técnico'!$M$5:$M$1000,$AH207))),0),IF(ISNUMBER($G207),1,IF(N($W207)&gt;0,AVERAGEIFS($X$5:$X$1000,$U$5:$U$1000,ROW(),$V$5:$V$1000,"Sub"),$X207))))</f>
        <v/>
      </c>
      <c r="N207" s="56">
        <f>IF(OR($M207="",$V207="Sub"),"",IF($M207&gt;=1,"Completado",IF($M207&gt;0,"En curso","Pendiente")))</f>
        <v/>
      </c>
      <c r="O207" s="56">
        <f>IF(NOT((COUNTA($B207:$D207)+COUNTA($G207:$L207)+COUNTA($Q207))&gt;0),"",IF(AND(AND($D207&lt;&gt;"",$V207="Macro"),N($AH207)&gt;0),CHOOSE(MATCH($D207,ListaPuestos,0),INDEX('Cronograma R. Operacional'!$O$5:$O$1000,$AH207),INDEX('Cronograma R. Normativo'!$O$5:$O$1000,$AH207),INDEX('Cronograma R. Financiero'!$O$5:$O$1000,$AH207),INDEX('Cronograma Asistente Técnico'!$O$5:$O$1000,$AH207))&amp;"",IF(ISNUMBER($G207),IF(AND(ISNUMBER($AN207),$G207&gt;$AN207),"Cumplida con "&amp;($G207-$AN207)&amp;IF($G207-$AN207=1," día"," días")&amp;" de retraso","Cumplida"),IF(N($M207)&gt;=1,"Cumplida",IF(NOT(ISNUMBER($AN207)),"Sin fecha límite",IF($AN207&lt;FechaRef,"Vencida hace "&amp;(FechaRef-$AN207)&amp;IF(FechaRef-$AN207=1," día"," días"),IF($AN207=FechaRef,"Vence hoy",IF($AN207-FechaRef&lt;=DiasAlerta,"Vence en "&amp;($AN207-FechaRef)&amp;IF($AN207-FechaRef=1," día"," días"),"En plazo"))))))))</f>
        <v/>
      </c>
      <c r="P207" s="62">
        <f>IF(NOT((COUNTA($B207:$D207)+COUNTA($G207:$L207)+COUNTA($Q207))&gt;0),"",IF($D207="","Propia",IF($V207&lt;&gt;"Macro","Solo se delegan macroactividades",IF(N($AH207)&gt;0,"✔ Recibida por "&amp;$D207,"⚠ "&amp;$D207&amp;" aún no la agrega"))))</f>
        <v/>
      </c>
      <c r="Q207" s="58" t="n"/>
      <c r="R207" s="63">
        <f>IF(NOT((COUNTA($B207:$D207)+COUNTA($G207:$L207)+COUNTA($Q207))&gt;0),"",IF((IF($C207="","Falta el nombre de la actividad"&amp;" · ","")&amp;IF(AND($V207="Sub",N($U207)=0),"Subactividad sin macroactividad arriba"&amp;" · ","")&amp;IF($AM207="","Sin fecha de inicio"&amp;" · ","")&amp;IF($AN207="","Sin fecha límite"&amp;" · ","")&amp;IF(AND(LEFT($C207,11)="[Jefatura] ",N($AL207)=0),"No se encuentra en la hoja de la jefatura (elíjala de nuevo en la lista)"&amp;" · ","")&amp;IF(OR(AND($E207&lt;&gt;"",NOT(ISNUMBER($E207))),AND($F207&lt;&gt;"",NOT(ISNUMBER($F207))),AND($G207&lt;&gt;"",NOT(ISNUMBER($G207)))),"Fecha no válida"&amp;" · ","")&amp;IF(AND(ISNUMBER($AM207),ISNUMBER($AN207),$AM207&gt;$AN207),"Inicio posterior a fecha límite"&amp;" · ","")&amp;IF(AND($V207="Macro",$H207&lt;&gt;"",OR(NOT(ISNUMBER($H207)),$H207&lt;0,$H207&gt;1)),"Peso fuera de rango"&amp;" · ","")&amp;IF(AND($V207="Sub",$H207&lt;&gt;""),"Las subactividades no llevan peso (valen igual dentro de su macroactividad)"&amp;" · ","")&amp;IF(AND(N($W207)&gt;0,COUNT($I207:$L207)&gt;0),"Con subactividades: deje vacías las semanas (se calculan solas)"&amp;" · ","")&amp;IF((COUNTIF($I207:$L207,"&gt;1")+COUNTIF($I207:$L207,"&lt;0")+COUNTA($I207:$L207)-COUNT($I207:$L207))&gt;0,"Avance fuera de rango 0-100%"&amp;" · ","")&amp;IF(OR(AND($J207&lt;&gt;"",$J207&lt;$I207),AND($K207&lt;&gt;"",$K207&lt;MAX($I207:$J207)),AND($L207&lt;&gt;"",$L207&lt;MAX($I207:$K207))),"Avance semanal decreciente"&amp;" · ","")&amp;IF(AND(ISNUMBER($AN207),$AN207&lt;FechaRef,IF($V207="Sub",N($X207),N($M207))&lt;1),"Vencida"&amp;" · ","")&amp;IF(AND(ObsObligatoria="Sí",ISNUMBER($AN207),$AN207&lt;FechaRef,IF($V207="Sub",N($X207),N($M207))&lt;1,$Q207=""),"Vencida sin observación"&amp;" · ",""))="","✔ OK","⚠ "&amp;LEFT(IF($C207="","Falta el nombre de la actividad"&amp;" · ","")&amp;IF(AND($V207="Sub",N($U207)=0),"Subactividad sin macroactividad arriba"&amp;" · ","")&amp;IF($AM207="","Sin fecha de inicio"&amp;" · ","")&amp;IF($AN207="","Sin fecha límite"&amp;" · ","")&amp;IF(AND(LEFT($C207,11)="[Jefatura] ",N($AL207)=0),"No se encuentra en la hoja de la jefatura (elíjala de nuevo en la lista)"&amp;" · ","")&amp;IF(OR(AND($E207&lt;&gt;"",NOT(ISNUMBER($E207))),AND($F207&lt;&gt;"",NOT(ISNUMBER($F207))),AND($G207&lt;&gt;"",NOT(ISNUMBER($G207)))),"Fecha no válida"&amp;" · ","")&amp;IF(AND(ISNUMBER($AM207),ISNUMBER($AN207),$AM207&gt;$AN207),"Inicio posterior a fecha límite"&amp;" · ","")&amp;IF(AND($V207="Macro",$H207&lt;&gt;"",OR(NOT(ISNUMBER($H207)),$H207&lt;0,$H207&gt;1)),"Peso fuera de rango"&amp;" · ","")&amp;IF(AND($V207="Sub",$H207&lt;&gt;""),"Las subactividades no llevan peso (valen igual dentro de su macroactividad)"&amp;" · ","")&amp;IF(AND(N($W207)&gt;0,COUNT($I207:$L207)&gt;0),"Con subactividades: deje vacías las semanas (se calculan solas)"&amp;" · ","")&amp;IF((COUNTIF($I207:$L207,"&gt;1")+COUNTIF($I207:$L207,"&lt;0")+COUNTA($I207:$L207)-COUNT($I207:$L207))&gt;0,"Avance fuera de rango 0-100%"&amp;" · ","")&amp;IF(OR(AND($J207&lt;&gt;"",$J207&lt;$I207),AND($K207&lt;&gt;"",$K207&lt;MAX($I207:$J207)),AND($L207&lt;&gt;"",$L207&lt;MAX($I207:$K207))),"Avance semanal decreciente"&amp;" · ","")&amp;IF(AND(ISNUMBER($AN207),$AN207&lt;FechaRef,IF($V207="Sub",N($X207),N($M207))&lt;1),"Vencida"&amp;" · ","")&amp;IF(AND(ObsObligatoria="Sí",ISNUMBER($AN207),$AN207&lt;FechaRef,IF($V207="Sub",N($X207),N($M207))&lt;1,$Q207=""),"Vencida sin observación"&amp;" · ",""),LEN(IF($C207="","Falta el nombre de la actividad"&amp;" · ","")&amp;IF(AND($V207="Sub",N($U207)=0),"Subactividad sin macroactividad arriba"&amp;" · ","")&amp;IF($AM207="","Sin fecha de inicio"&amp;" · ","")&amp;IF($AN207="","Sin fecha límite"&amp;" · ","")&amp;IF(AND(LEFT($C207,11)="[Jefatura] ",N($AL207)=0),"No se encuentra en la hoja de la jefatura (elíjala de nuevo en la lista)"&amp;" · ","")&amp;IF(OR(AND($E207&lt;&gt;"",NOT(ISNUMBER($E207))),AND($F207&lt;&gt;"",NOT(ISNUMBER($F207))),AND($G207&lt;&gt;"",NOT(ISNUMBER($G207)))),"Fecha no válida"&amp;" · ","")&amp;IF(AND(ISNUMBER($AM207),ISNUMBER($AN207),$AM207&gt;$AN207),"Inicio posterior a fecha límite"&amp;" · ","")&amp;IF(AND($V207="Macro",$H207&lt;&gt;"",OR(NOT(ISNUMBER($H207)),$H207&lt;0,$H207&gt;1)),"Peso fuera de rango"&amp;" · ","")&amp;IF(AND($V207="Sub",$H207&lt;&gt;""),"Las subactividades no llevan peso (valen igual dentro de su macroactividad)"&amp;" · ","")&amp;IF(AND(N($W207)&gt;0,COUNT($I207:$L207)&gt;0),"Con subactividades: deje vacías las semanas (se calculan solas)"&amp;" · ","")&amp;IF((COUNTIF($I207:$L207,"&gt;1")+COUNTIF($I207:$L207,"&lt;0")+COUNTA($I207:$L207)-COUNT($I207:$L207))&gt;0,"Avance fuera de rango 0-100%"&amp;" · ","")&amp;IF(OR(AND($J207&lt;&gt;"",$J207&lt;$I207),AND($K207&lt;&gt;"",$K207&lt;MAX($I207:$J207)),AND($L207&lt;&gt;"",$L207&lt;MAX($I207:$K207))),"Avance semanal decreciente"&amp;" · ","")&amp;IF(AND(ISNUMBER($AN207),$AN207&lt;FechaRef,IF($V207="Sub",N($X207),N($M207))&lt;1),"Vencida"&amp;" · ","")&amp;IF(AND(ObsObligatoria="Sí",ISNUMBER($AN207),$AN207&lt;FechaRef,IF($V207="Sub",N($X207),N($M207))&lt;1,$Q207=""),"Vencida sin observación"&amp;" · ",""))-3)))</f>
        <v/>
      </c>
      <c r="S207" s="64">
        <f>IF(NOT((COUNTA($B207:$D207)+COUNTA($G207:$L207)+COUNTA($Q207))&gt;0),"",IF(AND($V207="Sub",N($U207)&gt;0),IF(ISNUMBER(INDEX($AM$5:$AM$1000,$U207-4)),DATE(YEAR(INDEX($AM$5:$AM$1000,$U207-4)),MONTH(INDEX($AM$5:$AM$1000,$U207-4)),1),IF(ISNUMBER(INDEX($AN$5:$AN$1000,$U207-4)),DATE(YEAR(INDEX($AN$5:$AN$1000,$U207-4)),MONTH(INDEX($AN$5:$AN$1000,$U207-4)),1),MesCiclo)),IF(ISNUMBER($AM207),DATE(YEAR($AM207),MONTH($AM207),1),IF(ISNUMBER($AN207),DATE(YEAR($AN207),MONTH($AN207),1),MesCiclo))))</f>
        <v/>
      </c>
      <c r="T207" s="62">
        <f>IF(OR($S207="",$S207&lt;&gt;MesCiclo,$V207&lt;&gt;"Macro"),"",COUNTIFS($S$5:$S207,MesCiclo,$V$5:$V207,"Macro"))</f>
        <v/>
      </c>
      <c r="U207" s="62">
        <f>IF($V207="","",IF($V207="Macro",ROW(),IFERROR(LOOKUP(2,1/($V$5:$V207="Macro"),ROW($V$5:$V207)),0)))</f>
        <v/>
      </c>
      <c r="V207" s="62">
        <f>IF(NOT((COUNTA($B207:$D207)+COUNTA($G207:$L207)+COUNTA($Q207))&gt;0),"",IF($B207="Subactividad","Sub","Macro"))</f>
        <v/>
      </c>
      <c r="W207" s="62">
        <f>IF($V207="Macro",COUNTIFS($U$5:$U$1000,ROW(),$V$5:$V$1000,"Sub"),"")</f>
        <v/>
      </c>
      <c r="X207" s="62">
        <f>IF($V207="","",IF(ISNUMBER($G207),1,IFERROR(LOOKUP(2,1/($I207:$L207&lt;&gt;""),$I207:$L207),0)))</f>
        <v/>
      </c>
      <c r="Y207" s="62">
        <f>IF($V207="","",IF(AND(ISNUMBER($G207),$G207&lt;=IF($S207=MesCiclo,InicioCiclo,$S207+MOD(2-WEEKDAY($S207),7))+6),1,IF(ISNUMBER($I207),$I207,0)))</f>
        <v/>
      </c>
      <c r="Z207" s="62">
        <f>IF($V207="","",IF(AND(ISNUMBER($G207),$G207&lt;=IF($S207=MesCiclo,InicioCiclo,$S207+MOD(2-WEEKDAY($S207),7))+13),1,IF(ISNUMBER($J207),$J207,$Y207)))</f>
        <v/>
      </c>
      <c r="AA207" s="62">
        <f>IF($V207="","",IF(AND(ISNUMBER($G207),$G207&lt;=IF($S207=MesCiclo,InicioCiclo,$S207+MOD(2-WEEKDAY($S207),7))+20),1,IF(ISNUMBER($K207),$K207,$Z207)))</f>
        <v/>
      </c>
      <c r="AB207" s="62">
        <f>IF($V207="","",IF(AND(ISNUMBER($G207),$G207&lt;=IF($S207=MesCiclo,InicioCiclo,$S207+MOD(2-WEEKDAY($S207),7))+27),1,IF(ISNUMBER($L207),$L207,$AA207)))</f>
        <v/>
      </c>
      <c r="AC207" s="62">
        <f>IF($V207="","",IF(AND(ISNUMBER($G207),$G207&lt;=IF($S207=MesCiclo,InicioCiclo,$S207+MOD(2-WEEKDAY($S207),7))+6),1,IF(N($W207)&gt;0,AVERAGEIFS($Y$5:$Y$1000,$U$5:$U$1000,ROW(),$V$5:$V$1000,"Sub"),$Y207)))</f>
        <v/>
      </c>
      <c r="AD207" s="62">
        <f>IF($V207="","",IF(AND(ISNUMBER($G207),$G207&lt;=IF($S207=MesCiclo,InicioCiclo,$S207+MOD(2-WEEKDAY($S207),7))+13),1,IF(N($W207)&gt;0,AVERAGEIFS($Z$5:$Z$1000,$U$5:$U$1000,ROW(),$V$5:$V$1000,"Sub"),$Z207)))</f>
        <v/>
      </c>
      <c r="AE207" s="62">
        <f>IF($V207="","",IF(AND(ISNUMBER($G207),$G207&lt;=IF($S207=MesCiclo,InicioCiclo,$S207+MOD(2-WEEKDAY($S207),7))+20),1,IF(N($W207)&gt;0,AVERAGEIFS($AA$5:$AA$1000,$U$5:$U$1000,ROW(),$V$5:$V$1000,"Sub"),$AA207)))</f>
        <v/>
      </c>
      <c r="AF207" s="62">
        <f>IF($V207="","",IF(AND(ISNUMBER($G207),$G207&lt;=IF($S207=MesCiclo,InicioCiclo,$S207+MOD(2-WEEKDAY($S207),7))+27),1,IF(N($W207)&gt;0,AVERAGEIFS($AB$5:$AB$1000,$U$5:$U$1000,ROW(),$V$5:$V$1000,"Sub"),$AB207)))</f>
        <v/>
      </c>
      <c r="AG207" s="62">
        <f>IF($V207&lt;&gt;"Macro","",IF(COUNTIFS($S$5:$S$1000,$S207,$V$5:$V$1000,"Macro",$H$5:$H$1000,"&gt;0")=0,1/COUNTIFS($S$5:$S$1000,$S207,$V$5:$V$1000,"Macro"),IF(AND(ISNUMBER($H207),N($H207)&gt;0),$H207,SUMIFS($H$5:$H$1000,$S$5:$S$1000,$S207,$V$5:$V$1000,"Macro")/COUNTIFS($S$5:$S$1000,$S207,$V$5:$V$1000,"Macro",$H$5:$H$1000,"&gt;0"))/(COUNTIFS($S$5:$S$1000,$S207,$V$5:$V$1000,"Macro")*SUMIFS($H$5:$H$1000,$S$5:$S$1000,$S207,$V$5:$V$1000,"Macro")/COUNTIFS($S$5:$S$1000,$S207,$V$5:$V$1000,"Macro",$H$5:$H$1000,"&gt;0"))))</f>
        <v/>
      </c>
      <c r="AH207" s="62">
        <f>IF(NOT(AND($D207&lt;&gt;"",$V207="Macro")),"",IFERROR(CHOOSE(MATCH($D207,ListaPuestos,0),MATCH("[Jefatura] "&amp;$C207,'Cronograma R. Operacional'!$C$5:$C$1000,0),MATCH("[Jefatura] "&amp;$C207,'Cronograma R. Normativo'!$C$5:$C$1000,0),MATCH("[Jefatura] "&amp;$C207,'Cronograma R. Financiero'!$C$5:$C$1000,0),MATCH("[Jefatura] "&amp;$C207,'Cronograma Asistente Técnico'!$C$5:$C$1000,0)),0))</f>
        <v/>
      </c>
      <c r="AI207" s="62">
        <f>IF(AND(AND($D207&lt;&gt;"",$V207="Macro"),$S207=MesCiclo),COUNTIFS($D$5:$D207,$D207,$S$5:$S207,MesCiclo,$V$5:$V207,"Macro"),"")</f>
        <v/>
      </c>
      <c r="AJ207" s="62">
        <f>IF($AI207="","",$D207&amp;"|"&amp;$AI207)</f>
        <v/>
      </c>
      <c r="AK207" s="62">
        <f>IF(AND($D207&lt;&gt;"",$V207="Macro"),$D207&amp;"|"&amp;$C207,"")</f>
        <v/>
      </c>
      <c r="AL207" s="62">
        <f>""</f>
        <v/>
      </c>
      <c r="AM207" s="62">
        <f>IF(N($AL207)&gt;0,INDEX(rIni_ADM,$AL207),IF(ISNUMBER($E207),$E207,""))</f>
        <v/>
      </c>
      <c r="AN207" s="62">
        <f>IF(N($AL207)&gt;0,INDEX(rLim_ADM,$AL207),IF(ISNUMBER($F207),$F207,""))</f>
        <v/>
      </c>
    </row>
    <row r="208">
      <c r="A208" s="56">
        <f>IF(NOT((COUNTA($B208:$D208)+COUNTA($G208:$L208)+COUNTA($Q208))&gt;0),"",IF($V208="Macro",COUNTIFS($V$5:$V208,"Macro",$S$5:$S208,$S208),IF(N($U208)=0,"?",COUNTIFS(INDEX($V$5:$V$1000,1):INDEX($V$5:$V$1000,$U208-4),"Macro",INDEX($S$5:$S$1000,1):INDEX($S$5:$S$1000,$U208-4),INDEX($S$5:$S$1000,$U208-4))&amp;"."&amp;COUNTIFS($U$5:$U208,$U208,$V$5:$V208,"Sub"))))</f>
        <v/>
      </c>
      <c r="B208" s="57" t="n"/>
      <c r="C208" s="58" t="n"/>
      <c r="D208" s="58" t="n"/>
      <c r="E208" s="59" t="n"/>
      <c r="F208" s="59" t="n"/>
      <c r="G208" s="59" t="n"/>
      <c r="H208" s="60" t="n"/>
      <c r="I208" s="60" t="n"/>
      <c r="J208" s="60" t="n"/>
      <c r="K208" s="60" t="n"/>
      <c r="L208" s="60" t="n"/>
      <c r="M208" s="61">
        <f>IF(NOT((COUNTA($B208:$D208)+COUNTA($G208:$L208)+COUNTA($Q208))&gt;0),"",IF(AND($D208&lt;&gt;"",$V208="Macro"),IF(N($AH208)&gt;0,N(CHOOSE(MATCH($D208,ListaPuestos,0),INDEX('Cronograma R. Operacional'!$M$5:$M$1000,$AH208),INDEX('Cronograma R. Normativo'!$M$5:$M$1000,$AH208),INDEX('Cronograma R. Financiero'!$M$5:$M$1000,$AH208),INDEX('Cronograma Asistente Técnico'!$M$5:$M$1000,$AH208))),0),IF(ISNUMBER($G208),1,IF(N($W208)&gt;0,AVERAGEIFS($X$5:$X$1000,$U$5:$U$1000,ROW(),$V$5:$V$1000,"Sub"),$X208))))</f>
        <v/>
      </c>
      <c r="N208" s="56">
        <f>IF(OR($M208="",$V208="Sub"),"",IF($M208&gt;=1,"Completado",IF($M208&gt;0,"En curso","Pendiente")))</f>
        <v/>
      </c>
      <c r="O208" s="56">
        <f>IF(NOT((COUNTA($B208:$D208)+COUNTA($G208:$L208)+COUNTA($Q208))&gt;0),"",IF(AND(AND($D208&lt;&gt;"",$V208="Macro"),N($AH208)&gt;0),CHOOSE(MATCH($D208,ListaPuestos,0),INDEX('Cronograma R. Operacional'!$O$5:$O$1000,$AH208),INDEX('Cronograma R. Normativo'!$O$5:$O$1000,$AH208),INDEX('Cronograma R. Financiero'!$O$5:$O$1000,$AH208),INDEX('Cronograma Asistente Técnico'!$O$5:$O$1000,$AH208))&amp;"",IF(ISNUMBER($G208),IF(AND(ISNUMBER($AN208),$G208&gt;$AN208),"Cumplida con "&amp;($G208-$AN208)&amp;IF($G208-$AN208=1," día"," días")&amp;" de retraso","Cumplida"),IF(N($M208)&gt;=1,"Cumplida",IF(NOT(ISNUMBER($AN208)),"Sin fecha límite",IF($AN208&lt;FechaRef,"Vencida hace "&amp;(FechaRef-$AN208)&amp;IF(FechaRef-$AN208=1," día"," días"),IF($AN208=FechaRef,"Vence hoy",IF($AN208-FechaRef&lt;=DiasAlerta,"Vence en "&amp;($AN208-FechaRef)&amp;IF($AN208-FechaRef=1," día"," días"),"En plazo"))))))))</f>
        <v/>
      </c>
      <c r="P208" s="62">
        <f>IF(NOT((COUNTA($B208:$D208)+COUNTA($G208:$L208)+COUNTA($Q208))&gt;0),"",IF($D208="","Propia",IF($V208&lt;&gt;"Macro","Solo se delegan macroactividades",IF(N($AH208)&gt;0,"✔ Recibida por "&amp;$D208,"⚠ "&amp;$D208&amp;" aún no la agrega"))))</f>
        <v/>
      </c>
      <c r="Q208" s="58" t="n"/>
      <c r="R208" s="63">
        <f>IF(NOT((COUNTA($B208:$D208)+COUNTA($G208:$L208)+COUNTA($Q208))&gt;0),"",IF((IF($C208="","Falta el nombre de la actividad"&amp;" · ","")&amp;IF(AND($V208="Sub",N($U208)=0),"Subactividad sin macroactividad arriba"&amp;" · ","")&amp;IF($AM208="","Sin fecha de inicio"&amp;" · ","")&amp;IF($AN208="","Sin fecha límite"&amp;" · ","")&amp;IF(AND(LEFT($C208,11)="[Jefatura] ",N($AL208)=0),"No se encuentra en la hoja de la jefatura (elíjala de nuevo en la lista)"&amp;" · ","")&amp;IF(OR(AND($E208&lt;&gt;"",NOT(ISNUMBER($E208))),AND($F208&lt;&gt;"",NOT(ISNUMBER($F208))),AND($G208&lt;&gt;"",NOT(ISNUMBER($G208)))),"Fecha no válida"&amp;" · ","")&amp;IF(AND(ISNUMBER($AM208),ISNUMBER($AN208),$AM208&gt;$AN208),"Inicio posterior a fecha límite"&amp;" · ","")&amp;IF(AND($V208="Macro",$H208&lt;&gt;"",OR(NOT(ISNUMBER($H208)),$H208&lt;0,$H208&gt;1)),"Peso fuera de rango"&amp;" · ","")&amp;IF(AND($V208="Sub",$H208&lt;&gt;""),"Las subactividades no llevan peso (valen igual dentro de su macroactividad)"&amp;" · ","")&amp;IF(AND(N($W208)&gt;0,COUNT($I208:$L208)&gt;0),"Con subactividades: deje vacías las semanas (se calculan solas)"&amp;" · ","")&amp;IF((COUNTIF($I208:$L208,"&gt;1")+COUNTIF($I208:$L208,"&lt;0")+COUNTA($I208:$L208)-COUNT($I208:$L208))&gt;0,"Avance fuera de rango 0-100%"&amp;" · ","")&amp;IF(OR(AND($J208&lt;&gt;"",$J208&lt;$I208),AND($K208&lt;&gt;"",$K208&lt;MAX($I208:$J208)),AND($L208&lt;&gt;"",$L208&lt;MAX($I208:$K208))),"Avance semanal decreciente"&amp;" · ","")&amp;IF(AND(ISNUMBER($AN208),$AN208&lt;FechaRef,IF($V208="Sub",N($X208),N($M208))&lt;1),"Vencida"&amp;" · ","")&amp;IF(AND(ObsObligatoria="Sí",ISNUMBER($AN208),$AN208&lt;FechaRef,IF($V208="Sub",N($X208),N($M208))&lt;1,$Q208=""),"Vencida sin observación"&amp;" · ",""))="","✔ OK","⚠ "&amp;LEFT(IF($C208="","Falta el nombre de la actividad"&amp;" · ","")&amp;IF(AND($V208="Sub",N($U208)=0),"Subactividad sin macroactividad arriba"&amp;" · ","")&amp;IF($AM208="","Sin fecha de inicio"&amp;" · ","")&amp;IF($AN208="","Sin fecha límite"&amp;" · ","")&amp;IF(AND(LEFT($C208,11)="[Jefatura] ",N($AL208)=0),"No se encuentra en la hoja de la jefatura (elíjala de nuevo en la lista)"&amp;" · ","")&amp;IF(OR(AND($E208&lt;&gt;"",NOT(ISNUMBER($E208))),AND($F208&lt;&gt;"",NOT(ISNUMBER($F208))),AND($G208&lt;&gt;"",NOT(ISNUMBER($G208)))),"Fecha no válida"&amp;" · ","")&amp;IF(AND(ISNUMBER($AM208),ISNUMBER($AN208),$AM208&gt;$AN208),"Inicio posterior a fecha límite"&amp;" · ","")&amp;IF(AND($V208="Macro",$H208&lt;&gt;"",OR(NOT(ISNUMBER($H208)),$H208&lt;0,$H208&gt;1)),"Peso fuera de rango"&amp;" · ","")&amp;IF(AND($V208="Sub",$H208&lt;&gt;""),"Las subactividades no llevan peso (valen igual dentro de su macroactividad)"&amp;" · ","")&amp;IF(AND(N($W208)&gt;0,COUNT($I208:$L208)&gt;0),"Con subactividades: deje vacías las semanas (se calculan solas)"&amp;" · ","")&amp;IF((COUNTIF($I208:$L208,"&gt;1")+COUNTIF($I208:$L208,"&lt;0")+COUNTA($I208:$L208)-COUNT($I208:$L208))&gt;0,"Avance fuera de rango 0-100%"&amp;" · ","")&amp;IF(OR(AND($J208&lt;&gt;"",$J208&lt;$I208),AND($K208&lt;&gt;"",$K208&lt;MAX($I208:$J208)),AND($L208&lt;&gt;"",$L208&lt;MAX($I208:$K208))),"Avance semanal decreciente"&amp;" · ","")&amp;IF(AND(ISNUMBER($AN208),$AN208&lt;FechaRef,IF($V208="Sub",N($X208),N($M208))&lt;1),"Vencida"&amp;" · ","")&amp;IF(AND(ObsObligatoria="Sí",ISNUMBER($AN208),$AN208&lt;FechaRef,IF($V208="Sub",N($X208),N($M208))&lt;1,$Q208=""),"Vencida sin observación"&amp;" · ",""),LEN(IF($C208="","Falta el nombre de la actividad"&amp;" · ","")&amp;IF(AND($V208="Sub",N($U208)=0),"Subactividad sin macroactividad arriba"&amp;" · ","")&amp;IF($AM208="","Sin fecha de inicio"&amp;" · ","")&amp;IF($AN208="","Sin fecha límite"&amp;" · ","")&amp;IF(AND(LEFT($C208,11)="[Jefatura] ",N($AL208)=0),"No se encuentra en la hoja de la jefatura (elíjala de nuevo en la lista)"&amp;" · ","")&amp;IF(OR(AND($E208&lt;&gt;"",NOT(ISNUMBER($E208))),AND($F208&lt;&gt;"",NOT(ISNUMBER($F208))),AND($G208&lt;&gt;"",NOT(ISNUMBER($G208)))),"Fecha no válida"&amp;" · ","")&amp;IF(AND(ISNUMBER($AM208),ISNUMBER($AN208),$AM208&gt;$AN208),"Inicio posterior a fecha límite"&amp;" · ","")&amp;IF(AND($V208="Macro",$H208&lt;&gt;"",OR(NOT(ISNUMBER($H208)),$H208&lt;0,$H208&gt;1)),"Peso fuera de rango"&amp;" · ","")&amp;IF(AND($V208="Sub",$H208&lt;&gt;""),"Las subactividades no llevan peso (valen igual dentro de su macroactividad)"&amp;" · ","")&amp;IF(AND(N($W208)&gt;0,COUNT($I208:$L208)&gt;0),"Con subactividades: deje vacías las semanas (se calculan solas)"&amp;" · ","")&amp;IF((COUNTIF($I208:$L208,"&gt;1")+COUNTIF($I208:$L208,"&lt;0")+COUNTA($I208:$L208)-COUNT($I208:$L208))&gt;0,"Avance fuera de rango 0-100%"&amp;" · ","")&amp;IF(OR(AND($J208&lt;&gt;"",$J208&lt;$I208),AND($K208&lt;&gt;"",$K208&lt;MAX($I208:$J208)),AND($L208&lt;&gt;"",$L208&lt;MAX($I208:$K208))),"Avance semanal decreciente"&amp;" · ","")&amp;IF(AND(ISNUMBER($AN208),$AN208&lt;FechaRef,IF($V208="Sub",N($X208),N($M208))&lt;1),"Vencida"&amp;" · ","")&amp;IF(AND(ObsObligatoria="Sí",ISNUMBER($AN208),$AN208&lt;FechaRef,IF($V208="Sub",N($X208),N($M208))&lt;1,$Q208=""),"Vencida sin observación"&amp;" · ",""))-3)))</f>
        <v/>
      </c>
      <c r="S208" s="64">
        <f>IF(NOT((COUNTA($B208:$D208)+COUNTA($G208:$L208)+COUNTA($Q208))&gt;0),"",IF(AND($V208="Sub",N($U208)&gt;0),IF(ISNUMBER(INDEX($AM$5:$AM$1000,$U208-4)),DATE(YEAR(INDEX($AM$5:$AM$1000,$U208-4)),MONTH(INDEX($AM$5:$AM$1000,$U208-4)),1),IF(ISNUMBER(INDEX($AN$5:$AN$1000,$U208-4)),DATE(YEAR(INDEX($AN$5:$AN$1000,$U208-4)),MONTH(INDEX($AN$5:$AN$1000,$U208-4)),1),MesCiclo)),IF(ISNUMBER($AM208),DATE(YEAR($AM208),MONTH($AM208),1),IF(ISNUMBER($AN208),DATE(YEAR($AN208),MONTH($AN208),1),MesCiclo))))</f>
        <v/>
      </c>
      <c r="T208" s="62">
        <f>IF(OR($S208="",$S208&lt;&gt;MesCiclo,$V208&lt;&gt;"Macro"),"",COUNTIFS($S$5:$S208,MesCiclo,$V$5:$V208,"Macro"))</f>
        <v/>
      </c>
      <c r="U208" s="62">
        <f>IF($V208="","",IF($V208="Macro",ROW(),IFERROR(LOOKUP(2,1/($V$5:$V208="Macro"),ROW($V$5:$V208)),0)))</f>
        <v/>
      </c>
      <c r="V208" s="62">
        <f>IF(NOT((COUNTA($B208:$D208)+COUNTA($G208:$L208)+COUNTA($Q208))&gt;0),"",IF($B208="Subactividad","Sub","Macro"))</f>
        <v/>
      </c>
      <c r="W208" s="62">
        <f>IF($V208="Macro",COUNTIFS($U$5:$U$1000,ROW(),$V$5:$V$1000,"Sub"),"")</f>
        <v/>
      </c>
      <c r="X208" s="62">
        <f>IF($V208="","",IF(ISNUMBER($G208),1,IFERROR(LOOKUP(2,1/($I208:$L208&lt;&gt;""),$I208:$L208),0)))</f>
        <v/>
      </c>
      <c r="Y208" s="62">
        <f>IF($V208="","",IF(AND(ISNUMBER($G208),$G208&lt;=IF($S208=MesCiclo,InicioCiclo,$S208+MOD(2-WEEKDAY($S208),7))+6),1,IF(ISNUMBER($I208),$I208,0)))</f>
        <v/>
      </c>
      <c r="Z208" s="62">
        <f>IF($V208="","",IF(AND(ISNUMBER($G208),$G208&lt;=IF($S208=MesCiclo,InicioCiclo,$S208+MOD(2-WEEKDAY($S208),7))+13),1,IF(ISNUMBER($J208),$J208,$Y208)))</f>
        <v/>
      </c>
      <c r="AA208" s="62">
        <f>IF($V208="","",IF(AND(ISNUMBER($G208),$G208&lt;=IF($S208=MesCiclo,InicioCiclo,$S208+MOD(2-WEEKDAY($S208),7))+20),1,IF(ISNUMBER($K208),$K208,$Z208)))</f>
        <v/>
      </c>
      <c r="AB208" s="62">
        <f>IF($V208="","",IF(AND(ISNUMBER($G208),$G208&lt;=IF($S208=MesCiclo,InicioCiclo,$S208+MOD(2-WEEKDAY($S208),7))+27),1,IF(ISNUMBER($L208),$L208,$AA208)))</f>
        <v/>
      </c>
      <c r="AC208" s="62">
        <f>IF($V208="","",IF(AND(ISNUMBER($G208),$G208&lt;=IF($S208=MesCiclo,InicioCiclo,$S208+MOD(2-WEEKDAY($S208),7))+6),1,IF(N($W208)&gt;0,AVERAGEIFS($Y$5:$Y$1000,$U$5:$U$1000,ROW(),$V$5:$V$1000,"Sub"),$Y208)))</f>
        <v/>
      </c>
      <c r="AD208" s="62">
        <f>IF($V208="","",IF(AND(ISNUMBER($G208),$G208&lt;=IF($S208=MesCiclo,InicioCiclo,$S208+MOD(2-WEEKDAY($S208),7))+13),1,IF(N($W208)&gt;0,AVERAGEIFS($Z$5:$Z$1000,$U$5:$U$1000,ROW(),$V$5:$V$1000,"Sub"),$Z208)))</f>
        <v/>
      </c>
      <c r="AE208" s="62">
        <f>IF($V208="","",IF(AND(ISNUMBER($G208),$G208&lt;=IF($S208=MesCiclo,InicioCiclo,$S208+MOD(2-WEEKDAY($S208),7))+20),1,IF(N($W208)&gt;0,AVERAGEIFS($AA$5:$AA$1000,$U$5:$U$1000,ROW(),$V$5:$V$1000,"Sub"),$AA208)))</f>
        <v/>
      </c>
      <c r="AF208" s="62">
        <f>IF($V208="","",IF(AND(ISNUMBER($G208),$G208&lt;=IF($S208=MesCiclo,InicioCiclo,$S208+MOD(2-WEEKDAY($S208),7))+27),1,IF(N($W208)&gt;0,AVERAGEIFS($AB$5:$AB$1000,$U$5:$U$1000,ROW(),$V$5:$V$1000,"Sub"),$AB208)))</f>
        <v/>
      </c>
      <c r="AG208" s="62">
        <f>IF($V208&lt;&gt;"Macro","",IF(COUNTIFS($S$5:$S$1000,$S208,$V$5:$V$1000,"Macro",$H$5:$H$1000,"&gt;0")=0,1/COUNTIFS($S$5:$S$1000,$S208,$V$5:$V$1000,"Macro"),IF(AND(ISNUMBER($H208),N($H208)&gt;0),$H208,SUMIFS($H$5:$H$1000,$S$5:$S$1000,$S208,$V$5:$V$1000,"Macro")/COUNTIFS($S$5:$S$1000,$S208,$V$5:$V$1000,"Macro",$H$5:$H$1000,"&gt;0"))/(COUNTIFS($S$5:$S$1000,$S208,$V$5:$V$1000,"Macro")*SUMIFS($H$5:$H$1000,$S$5:$S$1000,$S208,$V$5:$V$1000,"Macro")/COUNTIFS($S$5:$S$1000,$S208,$V$5:$V$1000,"Macro",$H$5:$H$1000,"&gt;0"))))</f>
        <v/>
      </c>
      <c r="AH208" s="62">
        <f>IF(NOT(AND($D208&lt;&gt;"",$V208="Macro")),"",IFERROR(CHOOSE(MATCH($D208,ListaPuestos,0),MATCH("[Jefatura] "&amp;$C208,'Cronograma R. Operacional'!$C$5:$C$1000,0),MATCH("[Jefatura] "&amp;$C208,'Cronograma R. Normativo'!$C$5:$C$1000,0),MATCH("[Jefatura] "&amp;$C208,'Cronograma R. Financiero'!$C$5:$C$1000,0),MATCH("[Jefatura] "&amp;$C208,'Cronograma Asistente Técnico'!$C$5:$C$1000,0)),0))</f>
        <v/>
      </c>
      <c r="AI208" s="62">
        <f>IF(AND(AND($D208&lt;&gt;"",$V208="Macro"),$S208=MesCiclo),COUNTIFS($D$5:$D208,$D208,$S$5:$S208,MesCiclo,$V$5:$V208,"Macro"),"")</f>
        <v/>
      </c>
      <c r="AJ208" s="62">
        <f>IF($AI208="","",$D208&amp;"|"&amp;$AI208)</f>
        <v/>
      </c>
      <c r="AK208" s="62">
        <f>IF(AND($D208&lt;&gt;"",$V208="Macro"),$D208&amp;"|"&amp;$C208,"")</f>
        <v/>
      </c>
      <c r="AL208" s="62">
        <f>""</f>
        <v/>
      </c>
      <c r="AM208" s="62">
        <f>IF(N($AL208)&gt;0,INDEX(rIni_ADM,$AL208),IF(ISNUMBER($E208),$E208,""))</f>
        <v/>
      </c>
      <c r="AN208" s="62">
        <f>IF(N($AL208)&gt;0,INDEX(rLim_ADM,$AL208),IF(ISNUMBER($F208),$F208,""))</f>
        <v/>
      </c>
    </row>
    <row r="209">
      <c r="A209" s="56">
        <f>IF(NOT((COUNTA($B209:$D209)+COUNTA($G209:$L209)+COUNTA($Q209))&gt;0),"",IF($V209="Macro",COUNTIFS($V$5:$V209,"Macro",$S$5:$S209,$S209),IF(N($U209)=0,"?",COUNTIFS(INDEX($V$5:$V$1000,1):INDEX($V$5:$V$1000,$U209-4),"Macro",INDEX($S$5:$S$1000,1):INDEX($S$5:$S$1000,$U209-4),INDEX($S$5:$S$1000,$U209-4))&amp;"."&amp;COUNTIFS($U$5:$U209,$U209,$V$5:$V209,"Sub"))))</f>
        <v/>
      </c>
      <c r="B209" s="57" t="n"/>
      <c r="C209" s="58" t="n"/>
      <c r="D209" s="58" t="n"/>
      <c r="E209" s="59" t="n"/>
      <c r="F209" s="59" t="n"/>
      <c r="G209" s="59" t="n"/>
      <c r="H209" s="60" t="n"/>
      <c r="I209" s="60" t="n"/>
      <c r="J209" s="60" t="n"/>
      <c r="K209" s="60" t="n"/>
      <c r="L209" s="60" t="n"/>
      <c r="M209" s="61">
        <f>IF(NOT((COUNTA($B209:$D209)+COUNTA($G209:$L209)+COUNTA($Q209))&gt;0),"",IF(AND($D209&lt;&gt;"",$V209="Macro"),IF(N($AH209)&gt;0,N(CHOOSE(MATCH($D209,ListaPuestos,0),INDEX('Cronograma R. Operacional'!$M$5:$M$1000,$AH209),INDEX('Cronograma R. Normativo'!$M$5:$M$1000,$AH209),INDEX('Cronograma R. Financiero'!$M$5:$M$1000,$AH209),INDEX('Cronograma Asistente Técnico'!$M$5:$M$1000,$AH209))),0),IF(ISNUMBER($G209),1,IF(N($W209)&gt;0,AVERAGEIFS($X$5:$X$1000,$U$5:$U$1000,ROW(),$V$5:$V$1000,"Sub"),$X209))))</f>
        <v/>
      </c>
      <c r="N209" s="56">
        <f>IF(OR($M209="",$V209="Sub"),"",IF($M209&gt;=1,"Completado",IF($M209&gt;0,"En curso","Pendiente")))</f>
        <v/>
      </c>
      <c r="O209" s="56">
        <f>IF(NOT((COUNTA($B209:$D209)+COUNTA($G209:$L209)+COUNTA($Q209))&gt;0),"",IF(AND(AND($D209&lt;&gt;"",$V209="Macro"),N($AH209)&gt;0),CHOOSE(MATCH($D209,ListaPuestos,0),INDEX('Cronograma R. Operacional'!$O$5:$O$1000,$AH209),INDEX('Cronograma R. Normativo'!$O$5:$O$1000,$AH209),INDEX('Cronograma R. Financiero'!$O$5:$O$1000,$AH209),INDEX('Cronograma Asistente Técnico'!$O$5:$O$1000,$AH209))&amp;"",IF(ISNUMBER($G209),IF(AND(ISNUMBER($AN209),$G209&gt;$AN209),"Cumplida con "&amp;($G209-$AN209)&amp;IF($G209-$AN209=1," día"," días")&amp;" de retraso","Cumplida"),IF(N($M209)&gt;=1,"Cumplida",IF(NOT(ISNUMBER($AN209)),"Sin fecha límite",IF($AN209&lt;FechaRef,"Vencida hace "&amp;(FechaRef-$AN209)&amp;IF(FechaRef-$AN209=1," día"," días"),IF($AN209=FechaRef,"Vence hoy",IF($AN209-FechaRef&lt;=DiasAlerta,"Vence en "&amp;($AN209-FechaRef)&amp;IF($AN209-FechaRef=1," día"," días"),"En plazo"))))))))</f>
        <v/>
      </c>
      <c r="P209" s="62">
        <f>IF(NOT((COUNTA($B209:$D209)+COUNTA($G209:$L209)+COUNTA($Q209))&gt;0),"",IF($D209="","Propia",IF($V209&lt;&gt;"Macro","Solo se delegan macroactividades",IF(N($AH209)&gt;0,"✔ Recibida por "&amp;$D209,"⚠ "&amp;$D209&amp;" aún no la agrega"))))</f>
        <v/>
      </c>
      <c r="Q209" s="58" t="n"/>
      <c r="R209" s="63">
        <f>IF(NOT((COUNTA($B209:$D209)+COUNTA($G209:$L209)+COUNTA($Q209))&gt;0),"",IF((IF($C209="","Falta el nombre de la actividad"&amp;" · ","")&amp;IF(AND($V209="Sub",N($U209)=0),"Subactividad sin macroactividad arriba"&amp;" · ","")&amp;IF($AM209="","Sin fecha de inicio"&amp;" · ","")&amp;IF($AN209="","Sin fecha límite"&amp;" · ","")&amp;IF(AND(LEFT($C209,11)="[Jefatura] ",N($AL209)=0),"No se encuentra en la hoja de la jefatura (elíjala de nuevo en la lista)"&amp;" · ","")&amp;IF(OR(AND($E209&lt;&gt;"",NOT(ISNUMBER($E209))),AND($F209&lt;&gt;"",NOT(ISNUMBER($F209))),AND($G209&lt;&gt;"",NOT(ISNUMBER($G209)))),"Fecha no válida"&amp;" · ","")&amp;IF(AND(ISNUMBER($AM209),ISNUMBER($AN209),$AM209&gt;$AN209),"Inicio posterior a fecha límite"&amp;" · ","")&amp;IF(AND($V209="Macro",$H209&lt;&gt;"",OR(NOT(ISNUMBER($H209)),$H209&lt;0,$H209&gt;1)),"Peso fuera de rango"&amp;" · ","")&amp;IF(AND($V209="Sub",$H209&lt;&gt;""),"Las subactividades no llevan peso (valen igual dentro de su macroactividad)"&amp;" · ","")&amp;IF(AND(N($W209)&gt;0,COUNT($I209:$L209)&gt;0),"Con subactividades: deje vacías las semanas (se calculan solas)"&amp;" · ","")&amp;IF((COUNTIF($I209:$L209,"&gt;1")+COUNTIF($I209:$L209,"&lt;0")+COUNTA($I209:$L209)-COUNT($I209:$L209))&gt;0,"Avance fuera de rango 0-100%"&amp;" · ","")&amp;IF(OR(AND($J209&lt;&gt;"",$J209&lt;$I209),AND($K209&lt;&gt;"",$K209&lt;MAX($I209:$J209)),AND($L209&lt;&gt;"",$L209&lt;MAX($I209:$K209))),"Avance semanal decreciente"&amp;" · ","")&amp;IF(AND(ISNUMBER($AN209),$AN209&lt;FechaRef,IF($V209="Sub",N($X209),N($M209))&lt;1),"Vencida"&amp;" · ","")&amp;IF(AND(ObsObligatoria="Sí",ISNUMBER($AN209),$AN209&lt;FechaRef,IF($V209="Sub",N($X209),N($M209))&lt;1,$Q209=""),"Vencida sin observación"&amp;" · ",""))="","✔ OK","⚠ "&amp;LEFT(IF($C209="","Falta el nombre de la actividad"&amp;" · ","")&amp;IF(AND($V209="Sub",N($U209)=0),"Subactividad sin macroactividad arriba"&amp;" · ","")&amp;IF($AM209="","Sin fecha de inicio"&amp;" · ","")&amp;IF($AN209="","Sin fecha límite"&amp;" · ","")&amp;IF(AND(LEFT($C209,11)="[Jefatura] ",N($AL209)=0),"No se encuentra en la hoja de la jefatura (elíjala de nuevo en la lista)"&amp;" · ","")&amp;IF(OR(AND($E209&lt;&gt;"",NOT(ISNUMBER($E209))),AND($F209&lt;&gt;"",NOT(ISNUMBER($F209))),AND($G209&lt;&gt;"",NOT(ISNUMBER($G209)))),"Fecha no válida"&amp;" · ","")&amp;IF(AND(ISNUMBER($AM209),ISNUMBER($AN209),$AM209&gt;$AN209),"Inicio posterior a fecha límite"&amp;" · ","")&amp;IF(AND($V209="Macro",$H209&lt;&gt;"",OR(NOT(ISNUMBER($H209)),$H209&lt;0,$H209&gt;1)),"Peso fuera de rango"&amp;" · ","")&amp;IF(AND($V209="Sub",$H209&lt;&gt;""),"Las subactividades no llevan peso (valen igual dentro de su macroactividad)"&amp;" · ","")&amp;IF(AND(N($W209)&gt;0,COUNT($I209:$L209)&gt;0),"Con subactividades: deje vacías las semanas (se calculan solas)"&amp;" · ","")&amp;IF((COUNTIF($I209:$L209,"&gt;1")+COUNTIF($I209:$L209,"&lt;0")+COUNTA($I209:$L209)-COUNT($I209:$L209))&gt;0,"Avance fuera de rango 0-100%"&amp;" · ","")&amp;IF(OR(AND($J209&lt;&gt;"",$J209&lt;$I209),AND($K209&lt;&gt;"",$K209&lt;MAX($I209:$J209)),AND($L209&lt;&gt;"",$L209&lt;MAX($I209:$K209))),"Avance semanal decreciente"&amp;" · ","")&amp;IF(AND(ISNUMBER($AN209),$AN209&lt;FechaRef,IF($V209="Sub",N($X209),N($M209))&lt;1),"Vencida"&amp;" · ","")&amp;IF(AND(ObsObligatoria="Sí",ISNUMBER($AN209),$AN209&lt;FechaRef,IF($V209="Sub",N($X209),N($M209))&lt;1,$Q209=""),"Vencida sin observación"&amp;" · ",""),LEN(IF($C209="","Falta el nombre de la actividad"&amp;" · ","")&amp;IF(AND($V209="Sub",N($U209)=0),"Subactividad sin macroactividad arriba"&amp;" · ","")&amp;IF($AM209="","Sin fecha de inicio"&amp;" · ","")&amp;IF($AN209="","Sin fecha límite"&amp;" · ","")&amp;IF(AND(LEFT($C209,11)="[Jefatura] ",N($AL209)=0),"No se encuentra en la hoja de la jefatura (elíjala de nuevo en la lista)"&amp;" · ","")&amp;IF(OR(AND($E209&lt;&gt;"",NOT(ISNUMBER($E209))),AND($F209&lt;&gt;"",NOT(ISNUMBER($F209))),AND($G209&lt;&gt;"",NOT(ISNUMBER($G209)))),"Fecha no válida"&amp;" · ","")&amp;IF(AND(ISNUMBER($AM209),ISNUMBER($AN209),$AM209&gt;$AN209),"Inicio posterior a fecha límite"&amp;" · ","")&amp;IF(AND($V209="Macro",$H209&lt;&gt;"",OR(NOT(ISNUMBER($H209)),$H209&lt;0,$H209&gt;1)),"Peso fuera de rango"&amp;" · ","")&amp;IF(AND($V209="Sub",$H209&lt;&gt;""),"Las subactividades no llevan peso (valen igual dentro de su macroactividad)"&amp;" · ","")&amp;IF(AND(N($W209)&gt;0,COUNT($I209:$L209)&gt;0),"Con subactividades: deje vacías las semanas (se calculan solas)"&amp;" · ","")&amp;IF((COUNTIF($I209:$L209,"&gt;1")+COUNTIF($I209:$L209,"&lt;0")+COUNTA($I209:$L209)-COUNT($I209:$L209))&gt;0,"Avance fuera de rango 0-100%"&amp;" · ","")&amp;IF(OR(AND($J209&lt;&gt;"",$J209&lt;$I209),AND($K209&lt;&gt;"",$K209&lt;MAX($I209:$J209)),AND($L209&lt;&gt;"",$L209&lt;MAX($I209:$K209))),"Avance semanal decreciente"&amp;" · ","")&amp;IF(AND(ISNUMBER($AN209),$AN209&lt;FechaRef,IF($V209="Sub",N($X209),N($M209))&lt;1),"Vencida"&amp;" · ","")&amp;IF(AND(ObsObligatoria="Sí",ISNUMBER($AN209),$AN209&lt;FechaRef,IF($V209="Sub",N($X209),N($M209))&lt;1,$Q209=""),"Vencida sin observación"&amp;" · ",""))-3)))</f>
        <v/>
      </c>
      <c r="S209" s="64">
        <f>IF(NOT((COUNTA($B209:$D209)+COUNTA($G209:$L209)+COUNTA($Q209))&gt;0),"",IF(AND($V209="Sub",N($U209)&gt;0),IF(ISNUMBER(INDEX($AM$5:$AM$1000,$U209-4)),DATE(YEAR(INDEX($AM$5:$AM$1000,$U209-4)),MONTH(INDEX($AM$5:$AM$1000,$U209-4)),1),IF(ISNUMBER(INDEX($AN$5:$AN$1000,$U209-4)),DATE(YEAR(INDEX($AN$5:$AN$1000,$U209-4)),MONTH(INDEX($AN$5:$AN$1000,$U209-4)),1),MesCiclo)),IF(ISNUMBER($AM209),DATE(YEAR($AM209),MONTH($AM209),1),IF(ISNUMBER($AN209),DATE(YEAR($AN209),MONTH($AN209),1),MesCiclo))))</f>
        <v/>
      </c>
      <c r="T209" s="62">
        <f>IF(OR($S209="",$S209&lt;&gt;MesCiclo,$V209&lt;&gt;"Macro"),"",COUNTIFS($S$5:$S209,MesCiclo,$V$5:$V209,"Macro"))</f>
        <v/>
      </c>
      <c r="U209" s="62">
        <f>IF($V209="","",IF($V209="Macro",ROW(),IFERROR(LOOKUP(2,1/($V$5:$V209="Macro"),ROW($V$5:$V209)),0)))</f>
        <v/>
      </c>
      <c r="V209" s="62">
        <f>IF(NOT((COUNTA($B209:$D209)+COUNTA($G209:$L209)+COUNTA($Q209))&gt;0),"",IF($B209="Subactividad","Sub","Macro"))</f>
        <v/>
      </c>
      <c r="W209" s="62">
        <f>IF($V209="Macro",COUNTIFS($U$5:$U$1000,ROW(),$V$5:$V$1000,"Sub"),"")</f>
        <v/>
      </c>
      <c r="X209" s="62">
        <f>IF($V209="","",IF(ISNUMBER($G209),1,IFERROR(LOOKUP(2,1/($I209:$L209&lt;&gt;""),$I209:$L209),0)))</f>
        <v/>
      </c>
      <c r="Y209" s="62">
        <f>IF($V209="","",IF(AND(ISNUMBER($G209),$G209&lt;=IF($S209=MesCiclo,InicioCiclo,$S209+MOD(2-WEEKDAY($S209),7))+6),1,IF(ISNUMBER($I209),$I209,0)))</f>
        <v/>
      </c>
      <c r="Z209" s="62">
        <f>IF($V209="","",IF(AND(ISNUMBER($G209),$G209&lt;=IF($S209=MesCiclo,InicioCiclo,$S209+MOD(2-WEEKDAY($S209),7))+13),1,IF(ISNUMBER($J209),$J209,$Y209)))</f>
        <v/>
      </c>
      <c r="AA209" s="62">
        <f>IF($V209="","",IF(AND(ISNUMBER($G209),$G209&lt;=IF($S209=MesCiclo,InicioCiclo,$S209+MOD(2-WEEKDAY($S209),7))+20),1,IF(ISNUMBER($K209),$K209,$Z209)))</f>
        <v/>
      </c>
      <c r="AB209" s="62">
        <f>IF($V209="","",IF(AND(ISNUMBER($G209),$G209&lt;=IF($S209=MesCiclo,InicioCiclo,$S209+MOD(2-WEEKDAY($S209),7))+27),1,IF(ISNUMBER($L209),$L209,$AA209)))</f>
        <v/>
      </c>
      <c r="AC209" s="62">
        <f>IF($V209="","",IF(AND(ISNUMBER($G209),$G209&lt;=IF($S209=MesCiclo,InicioCiclo,$S209+MOD(2-WEEKDAY($S209),7))+6),1,IF(N($W209)&gt;0,AVERAGEIFS($Y$5:$Y$1000,$U$5:$U$1000,ROW(),$V$5:$V$1000,"Sub"),$Y209)))</f>
        <v/>
      </c>
      <c r="AD209" s="62">
        <f>IF($V209="","",IF(AND(ISNUMBER($G209),$G209&lt;=IF($S209=MesCiclo,InicioCiclo,$S209+MOD(2-WEEKDAY($S209),7))+13),1,IF(N($W209)&gt;0,AVERAGEIFS($Z$5:$Z$1000,$U$5:$U$1000,ROW(),$V$5:$V$1000,"Sub"),$Z209)))</f>
        <v/>
      </c>
      <c r="AE209" s="62">
        <f>IF($V209="","",IF(AND(ISNUMBER($G209),$G209&lt;=IF($S209=MesCiclo,InicioCiclo,$S209+MOD(2-WEEKDAY($S209),7))+20),1,IF(N($W209)&gt;0,AVERAGEIFS($AA$5:$AA$1000,$U$5:$U$1000,ROW(),$V$5:$V$1000,"Sub"),$AA209)))</f>
        <v/>
      </c>
      <c r="AF209" s="62">
        <f>IF($V209="","",IF(AND(ISNUMBER($G209),$G209&lt;=IF($S209=MesCiclo,InicioCiclo,$S209+MOD(2-WEEKDAY($S209),7))+27),1,IF(N($W209)&gt;0,AVERAGEIFS($AB$5:$AB$1000,$U$5:$U$1000,ROW(),$V$5:$V$1000,"Sub"),$AB209)))</f>
        <v/>
      </c>
      <c r="AG209" s="62">
        <f>IF($V209&lt;&gt;"Macro","",IF(COUNTIFS($S$5:$S$1000,$S209,$V$5:$V$1000,"Macro",$H$5:$H$1000,"&gt;0")=0,1/COUNTIFS($S$5:$S$1000,$S209,$V$5:$V$1000,"Macro"),IF(AND(ISNUMBER($H209),N($H209)&gt;0),$H209,SUMIFS($H$5:$H$1000,$S$5:$S$1000,$S209,$V$5:$V$1000,"Macro")/COUNTIFS($S$5:$S$1000,$S209,$V$5:$V$1000,"Macro",$H$5:$H$1000,"&gt;0"))/(COUNTIFS($S$5:$S$1000,$S209,$V$5:$V$1000,"Macro")*SUMIFS($H$5:$H$1000,$S$5:$S$1000,$S209,$V$5:$V$1000,"Macro")/COUNTIFS($S$5:$S$1000,$S209,$V$5:$V$1000,"Macro",$H$5:$H$1000,"&gt;0"))))</f>
        <v/>
      </c>
      <c r="AH209" s="62">
        <f>IF(NOT(AND($D209&lt;&gt;"",$V209="Macro")),"",IFERROR(CHOOSE(MATCH($D209,ListaPuestos,0),MATCH("[Jefatura] "&amp;$C209,'Cronograma R. Operacional'!$C$5:$C$1000,0),MATCH("[Jefatura] "&amp;$C209,'Cronograma R. Normativo'!$C$5:$C$1000,0),MATCH("[Jefatura] "&amp;$C209,'Cronograma R. Financiero'!$C$5:$C$1000,0),MATCH("[Jefatura] "&amp;$C209,'Cronograma Asistente Técnico'!$C$5:$C$1000,0)),0))</f>
        <v/>
      </c>
      <c r="AI209" s="62">
        <f>IF(AND(AND($D209&lt;&gt;"",$V209="Macro"),$S209=MesCiclo),COUNTIFS($D$5:$D209,$D209,$S$5:$S209,MesCiclo,$V$5:$V209,"Macro"),"")</f>
        <v/>
      </c>
      <c r="AJ209" s="62">
        <f>IF($AI209="","",$D209&amp;"|"&amp;$AI209)</f>
        <v/>
      </c>
      <c r="AK209" s="62">
        <f>IF(AND($D209&lt;&gt;"",$V209="Macro"),$D209&amp;"|"&amp;$C209,"")</f>
        <v/>
      </c>
      <c r="AL209" s="62">
        <f>""</f>
        <v/>
      </c>
      <c r="AM209" s="62">
        <f>IF(N($AL209)&gt;0,INDEX(rIni_ADM,$AL209),IF(ISNUMBER($E209),$E209,""))</f>
        <v/>
      </c>
      <c r="AN209" s="62">
        <f>IF(N($AL209)&gt;0,INDEX(rLim_ADM,$AL209),IF(ISNUMBER($F209),$F209,""))</f>
        <v/>
      </c>
    </row>
    <row r="210">
      <c r="A210" s="56">
        <f>IF(NOT((COUNTA($B210:$D210)+COUNTA($G210:$L210)+COUNTA($Q210))&gt;0),"",IF($V210="Macro",COUNTIFS($V$5:$V210,"Macro",$S$5:$S210,$S210),IF(N($U210)=0,"?",COUNTIFS(INDEX($V$5:$V$1000,1):INDEX($V$5:$V$1000,$U210-4),"Macro",INDEX($S$5:$S$1000,1):INDEX($S$5:$S$1000,$U210-4),INDEX($S$5:$S$1000,$U210-4))&amp;"."&amp;COUNTIFS($U$5:$U210,$U210,$V$5:$V210,"Sub"))))</f>
        <v/>
      </c>
      <c r="B210" s="57" t="n"/>
      <c r="C210" s="58" t="n"/>
      <c r="D210" s="58" t="n"/>
      <c r="E210" s="59" t="n"/>
      <c r="F210" s="59" t="n"/>
      <c r="G210" s="59" t="n"/>
      <c r="H210" s="60" t="n"/>
      <c r="I210" s="60" t="n"/>
      <c r="J210" s="60" t="n"/>
      <c r="K210" s="60" t="n"/>
      <c r="L210" s="60" t="n"/>
      <c r="M210" s="61">
        <f>IF(NOT((COUNTA($B210:$D210)+COUNTA($G210:$L210)+COUNTA($Q210))&gt;0),"",IF(AND($D210&lt;&gt;"",$V210="Macro"),IF(N($AH210)&gt;0,N(CHOOSE(MATCH($D210,ListaPuestos,0),INDEX('Cronograma R. Operacional'!$M$5:$M$1000,$AH210),INDEX('Cronograma R. Normativo'!$M$5:$M$1000,$AH210),INDEX('Cronograma R. Financiero'!$M$5:$M$1000,$AH210),INDEX('Cronograma Asistente Técnico'!$M$5:$M$1000,$AH210))),0),IF(ISNUMBER($G210),1,IF(N($W210)&gt;0,AVERAGEIFS($X$5:$X$1000,$U$5:$U$1000,ROW(),$V$5:$V$1000,"Sub"),$X210))))</f>
        <v/>
      </c>
      <c r="N210" s="56">
        <f>IF(OR($M210="",$V210="Sub"),"",IF($M210&gt;=1,"Completado",IF($M210&gt;0,"En curso","Pendiente")))</f>
        <v/>
      </c>
      <c r="O210" s="56">
        <f>IF(NOT((COUNTA($B210:$D210)+COUNTA($G210:$L210)+COUNTA($Q210))&gt;0),"",IF(AND(AND($D210&lt;&gt;"",$V210="Macro"),N($AH210)&gt;0),CHOOSE(MATCH($D210,ListaPuestos,0),INDEX('Cronograma R. Operacional'!$O$5:$O$1000,$AH210),INDEX('Cronograma R. Normativo'!$O$5:$O$1000,$AH210),INDEX('Cronograma R. Financiero'!$O$5:$O$1000,$AH210),INDEX('Cronograma Asistente Técnico'!$O$5:$O$1000,$AH210))&amp;"",IF(ISNUMBER($G210),IF(AND(ISNUMBER($AN210),$G210&gt;$AN210),"Cumplida con "&amp;($G210-$AN210)&amp;IF($G210-$AN210=1," día"," días")&amp;" de retraso","Cumplida"),IF(N($M210)&gt;=1,"Cumplida",IF(NOT(ISNUMBER($AN210)),"Sin fecha límite",IF($AN210&lt;FechaRef,"Vencida hace "&amp;(FechaRef-$AN210)&amp;IF(FechaRef-$AN210=1," día"," días"),IF($AN210=FechaRef,"Vence hoy",IF($AN210-FechaRef&lt;=DiasAlerta,"Vence en "&amp;($AN210-FechaRef)&amp;IF($AN210-FechaRef=1," día"," días"),"En plazo"))))))))</f>
        <v/>
      </c>
      <c r="P210" s="62">
        <f>IF(NOT((COUNTA($B210:$D210)+COUNTA($G210:$L210)+COUNTA($Q210))&gt;0),"",IF($D210="","Propia",IF($V210&lt;&gt;"Macro","Solo se delegan macroactividades",IF(N($AH210)&gt;0,"✔ Recibida por "&amp;$D210,"⚠ "&amp;$D210&amp;" aún no la agrega"))))</f>
        <v/>
      </c>
      <c r="Q210" s="58" t="n"/>
      <c r="R210" s="63">
        <f>IF(NOT((COUNTA($B210:$D210)+COUNTA($G210:$L210)+COUNTA($Q210))&gt;0),"",IF((IF($C210="","Falta el nombre de la actividad"&amp;" · ","")&amp;IF(AND($V210="Sub",N($U210)=0),"Subactividad sin macroactividad arriba"&amp;" · ","")&amp;IF($AM210="","Sin fecha de inicio"&amp;" · ","")&amp;IF($AN210="","Sin fecha límite"&amp;" · ","")&amp;IF(AND(LEFT($C210,11)="[Jefatura] ",N($AL210)=0),"No se encuentra en la hoja de la jefatura (elíjala de nuevo en la lista)"&amp;" · ","")&amp;IF(OR(AND($E210&lt;&gt;"",NOT(ISNUMBER($E210))),AND($F210&lt;&gt;"",NOT(ISNUMBER($F210))),AND($G210&lt;&gt;"",NOT(ISNUMBER($G210)))),"Fecha no válida"&amp;" · ","")&amp;IF(AND(ISNUMBER($AM210),ISNUMBER($AN210),$AM210&gt;$AN210),"Inicio posterior a fecha límite"&amp;" · ","")&amp;IF(AND($V210="Macro",$H210&lt;&gt;"",OR(NOT(ISNUMBER($H210)),$H210&lt;0,$H210&gt;1)),"Peso fuera de rango"&amp;" · ","")&amp;IF(AND($V210="Sub",$H210&lt;&gt;""),"Las subactividades no llevan peso (valen igual dentro de su macroactividad)"&amp;" · ","")&amp;IF(AND(N($W210)&gt;0,COUNT($I210:$L210)&gt;0),"Con subactividades: deje vacías las semanas (se calculan solas)"&amp;" · ","")&amp;IF((COUNTIF($I210:$L210,"&gt;1")+COUNTIF($I210:$L210,"&lt;0")+COUNTA($I210:$L210)-COUNT($I210:$L210))&gt;0,"Avance fuera de rango 0-100%"&amp;" · ","")&amp;IF(OR(AND($J210&lt;&gt;"",$J210&lt;$I210),AND($K210&lt;&gt;"",$K210&lt;MAX($I210:$J210)),AND($L210&lt;&gt;"",$L210&lt;MAX($I210:$K210))),"Avance semanal decreciente"&amp;" · ","")&amp;IF(AND(ISNUMBER($AN210),$AN210&lt;FechaRef,IF($V210="Sub",N($X210),N($M210))&lt;1),"Vencida"&amp;" · ","")&amp;IF(AND(ObsObligatoria="Sí",ISNUMBER($AN210),$AN210&lt;FechaRef,IF($V210="Sub",N($X210),N($M210))&lt;1,$Q210=""),"Vencida sin observación"&amp;" · ",""))="","✔ OK","⚠ "&amp;LEFT(IF($C210="","Falta el nombre de la actividad"&amp;" · ","")&amp;IF(AND($V210="Sub",N($U210)=0),"Subactividad sin macroactividad arriba"&amp;" · ","")&amp;IF($AM210="","Sin fecha de inicio"&amp;" · ","")&amp;IF($AN210="","Sin fecha límite"&amp;" · ","")&amp;IF(AND(LEFT($C210,11)="[Jefatura] ",N($AL210)=0),"No se encuentra en la hoja de la jefatura (elíjala de nuevo en la lista)"&amp;" · ","")&amp;IF(OR(AND($E210&lt;&gt;"",NOT(ISNUMBER($E210))),AND($F210&lt;&gt;"",NOT(ISNUMBER($F210))),AND($G210&lt;&gt;"",NOT(ISNUMBER($G210)))),"Fecha no válida"&amp;" · ","")&amp;IF(AND(ISNUMBER($AM210),ISNUMBER($AN210),$AM210&gt;$AN210),"Inicio posterior a fecha límite"&amp;" · ","")&amp;IF(AND($V210="Macro",$H210&lt;&gt;"",OR(NOT(ISNUMBER($H210)),$H210&lt;0,$H210&gt;1)),"Peso fuera de rango"&amp;" · ","")&amp;IF(AND($V210="Sub",$H210&lt;&gt;""),"Las subactividades no llevan peso (valen igual dentro de su macroactividad)"&amp;" · ","")&amp;IF(AND(N($W210)&gt;0,COUNT($I210:$L210)&gt;0),"Con subactividades: deje vacías las semanas (se calculan solas)"&amp;" · ","")&amp;IF((COUNTIF($I210:$L210,"&gt;1")+COUNTIF($I210:$L210,"&lt;0")+COUNTA($I210:$L210)-COUNT($I210:$L210))&gt;0,"Avance fuera de rango 0-100%"&amp;" · ","")&amp;IF(OR(AND($J210&lt;&gt;"",$J210&lt;$I210),AND($K210&lt;&gt;"",$K210&lt;MAX($I210:$J210)),AND($L210&lt;&gt;"",$L210&lt;MAX($I210:$K210))),"Avance semanal decreciente"&amp;" · ","")&amp;IF(AND(ISNUMBER($AN210),$AN210&lt;FechaRef,IF($V210="Sub",N($X210),N($M210))&lt;1),"Vencida"&amp;" · ","")&amp;IF(AND(ObsObligatoria="Sí",ISNUMBER($AN210),$AN210&lt;FechaRef,IF($V210="Sub",N($X210),N($M210))&lt;1,$Q210=""),"Vencida sin observación"&amp;" · ",""),LEN(IF($C210="","Falta el nombre de la actividad"&amp;" · ","")&amp;IF(AND($V210="Sub",N($U210)=0),"Subactividad sin macroactividad arriba"&amp;" · ","")&amp;IF($AM210="","Sin fecha de inicio"&amp;" · ","")&amp;IF($AN210="","Sin fecha límite"&amp;" · ","")&amp;IF(AND(LEFT($C210,11)="[Jefatura] ",N($AL210)=0),"No se encuentra en la hoja de la jefatura (elíjala de nuevo en la lista)"&amp;" · ","")&amp;IF(OR(AND($E210&lt;&gt;"",NOT(ISNUMBER($E210))),AND($F210&lt;&gt;"",NOT(ISNUMBER($F210))),AND($G210&lt;&gt;"",NOT(ISNUMBER($G210)))),"Fecha no válida"&amp;" · ","")&amp;IF(AND(ISNUMBER($AM210),ISNUMBER($AN210),$AM210&gt;$AN210),"Inicio posterior a fecha límite"&amp;" · ","")&amp;IF(AND($V210="Macro",$H210&lt;&gt;"",OR(NOT(ISNUMBER($H210)),$H210&lt;0,$H210&gt;1)),"Peso fuera de rango"&amp;" · ","")&amp;IF(AND($V210="Sub",$H210&lt;&gt;""),"Las subactividades no llevan peso (valen igual dentro de su macroactividad)"&amp;" · ","")&amp;IF(AND(N($W210)&gt;0,COUNT($I210:$L210)&gt;0),"Con subactividades: deje vacías las semanas (se calculan solas)"&amp;" · ","")&amp;IF((COUNTIF($I210:$L210,"&gt;1")+COUNTIF($I210:$L210,"&lt;0")+COUNTA($I210:$L210)-COUNT($I210:$L210))&gt;0,"Avance fuera de rango 0-100%"&amp;" · ","")&amp;IF(OR(AND($J210&lt;&gt;"",$J210&lt;$I210),AND($K210&lt;&gt;"",$K210&lt;MAX($I210:$J210)),AND($L210&lt;&gt;"",$L210&lt;MAX($I210:$K210))),"Avance semanal decreciente"&amp;" · ","")&amp;IF(AND(ISNUMBER($AN210),$AN210&lt;FechaRef,IF($V210="Sub",N($X210),N($M210))&lt;1),"Vencida"&amp;" · ","")&amp;IF(AND(ObsObligatoria="Sí",ISNUMBER($AN210),$AN210&lt;FechaRef,IF($V210="Sub",N($X210),N($M210))&lt;1,$Q210=""),"Vencida sin observación"&amp;" · ",""))-3)))</f>
        <v/>
      </c>
      <c r="S210" s="64">
        <f>IF(NOT((COUNTA($B210:$D210)+COUNTA($G210:$L210)+COUNTA($Q210))&gt;0),"",IF(AND($V210="Sub",N($U210)&gt;0),IF(ISNUMBER(INDEX($AM$5:$AM$1000,$U210-4)),DATE(YEAR(INDEX($AM$5:$AM$1000,$U210-4)),MONTH(INDEX($AM$5:$AM$1000,$U210-4)),1),IF(ISNUMBER(INDEX($AN$5:$AN$1000,$U210-4)),DATE(YEAR(INDEX($AN$5:$AN$1000,$U210-4)),MONTH(INDEX($AN$5:$AN$1000,$U210-4)),1),MesCiclo)),IF(ISNUMBER($AM210),DATE(YEAR($AM210),MONTH($AM210),1),IF(ISNUMBER($AN210),DATE(YEAR($AN210),MONTH($AN210),1),MesCiclo))))</f>
        <v/>
      </c>
      <c r="T210" s="62">
        <f>IF(OR($S210="",$S210&lt;&gt;MesCiclo,$V210&lt;&gt;"Macro"),"",COUNTIFS($S$5:$S210,MesCiclo,$V$5:$V210,"Macro"))</f>
        <v/>
      </c>
      <c r="U210" s="62">
        <f>IF($V210="","",IF($V210="Macro",ROW(),IFERROR(LOOKUP(2,1/($V$5:$V210="Macro"),ROW($V$5:$V210)),0)))</f>
        <v/>
      </c>
      <c r="V210" s="62">
        <f>IF(NOT((COUNTA($B210:$D210)+COUNTA($G210:$L210)+COUNTA($Q210))&gt;0),"",IF($B210="Subactividad","Sub","Macro"))</f>
        <v/>
      </c>
      <c r="W210" s="62">
        <f>IF($V210="Macro",COUNTIFS($U$5:$U$1000,ROW(),$V$5:$V$1000,"Sub"),"")</f>
        <v/>
      </c>
      <c r="X210" s="62">
        <f>IF($V210="","",IF(ISNUMBER($G210),1,IFERROR(LOOKUP(2,1/($I210:$L210&lt;&gt;""),$I210:$L210),0)))</f>
        <v/>
      </c>
      <c r="Y210" s="62">
        <f>IF($V210="","",IF(AND(ISNUMBER($G210),$G210&lt;=IF($S210=MesCiclo,InicioCiclo,$S210+MOD(2-WEEKDAY($S210),7))+6),1,IF(ISNUMBER($I210),$I210,0)))</f>
        <v/>
      </c>
      <c r="Z210" s="62">
        <f>IF($V210="","",IF(AND(ISNUMBER($G210),$G210&lt;=IF($S210=MesCiclo,InicioCiclo,$S210+MOD(2-WEEKDAY($S210),7))+13),1,IF(ISNUMBER($J210),$J210,$Y210)))</f>
        <v/>
      </c>
      <c r="AA210" s="62">
        <f>IF($V210="","",IF(AND(ISNUMBER($G210),$G210&lt;=IF($S210=MesCiclo,InicioCiclo,$S210+MOD(2-WEEKDAY($S210),7))+20),1,IF(ISNUMBER($K210),$K210,$Z210)))</f>
        <v/>
      </c>
      <c r="AB210" s="62">
        <f>IF($V210="","",IF(AND(ISNUMBER($G210),$G210&lt;=IF($S210=MesCiclo,InicioCiclo,$S210+MOD(2-WEEKDAY($S210),7))+27),1,IF(ISNUMBER($L210),$L210,$AA210)))</f>
        <v/>
      </c>
      <c r="AC210" s="62">
        <f>IF($V210="","",IF(AND(ISNUMBER($G210),$G210&lt;=IF($S210=MesCiclo,InicioCiclo,$S210+MOD(2-WEEKDAY($S210),7))+6),1,IF(N($W210)&gt;0,AVERAGEIFS($Y$5:$Y$1000,$U$5:$U$1000,ROW(),$V$5:$V$1000,"Sub"),$Y210)))</f>
        <v/>
      </c>
      <c r="AD210" s="62">
        <f>IF($V210="","",IF(AND(ISNUMBER($G210),$G210&lt;=IF($S210=MesCiclo,InicioCiclo,$S210+MOD(2-WEEKDAY($S210),7))+13),1,IF(N($W210)&gt;0,AVERAGEIFS($Z$5:$Z$1000,$U$5:$U$1000,ROW(),$V$5:$V$1000,"Sub"),$Z210)))</f>
        <v/>
      </c>
      <c r="AE210" s="62">
        <f>IF($V210="","",IF(AND(ISNUMBER($G210),$G210&lt;=IF($S210=MesCiclo,InicioCiclo,$S210+MOD(2-WEEKDAY($S210),7))+20),1,IF(N($W210)&gt;0,AVERAGEIFS($AA$5:$AA$1000,$U$5:$U$1000,ROW(),$V$5:$V$1000,"Sub"),$AA210)))</f>
        <v/>
      </c>
      <c r="AF210" s="62">
        <f>IF($V210="","",IF(AND(ISNUMBER($G210),$G210&lt;=IF($S210=MesCiclo,InicioCiclo,$S210+MOD(2-WEEKDAY($S210),7))+27),1,IF(N($W210)&gt;0,AVERAGEIFS($AB$5:$AB$1000,$U$5:$U$1000,ROW(),$V$5:$V$1000,"Sub"),$AB210)))</f>
        <v/>
      </c>
      <c r="AG210" s="62">
        <f>IF($V210&lt;&gt;"Macro","",IF(COUNTIFS($S$5:$S$1000,$S210,$V$5:$V$1000,"Macro",$H$5:$H$1000,"&gt;0")=0,1/COUNTIFS($S$5:$S$1000,$S210,$V$5:$V$1000,"Macro"),IF(AND(ISNUMBER($H210),N($H210)&gt;0),$H210,SUMIFS($H$5:$H$1000,$S$5:$S$1000,$S210,$V$5:$V$1000,"Macro")/COUNTIFS($S$5:$S$1000,$S210,$V$5:$V$1000,"Macro",$H$5:$H$1000,"&gt;0"))/(COUNTIFS($S$5:$S$1000,$S210,$V$5:$V$1000,"Macro")*SUMIFS($H$5:$H$1000,$S$5:$S$1000,$S210,$V$5:$V$1000,"Macro")/COUNTIFS($S$5:$S$1000,$S210,$V$5:$V$1000,"Macro",$H$5:$H$1000,"&gt;0"))))</f>
        <v/>
      </c>
      <c r="AH210" s="62">
        <f>IF(NOT(AND($D210&lt;&gt;"",$V210="Macro")),"",IFERROR(CHOOSE(MATCH($D210,ListaPuestos,0),MATCH("[Jefatura] "&amp;$C210,'Cronograma R. Operacional'!$C$5:$C$1000,0),MATCH("[Jefatura] "&amp;$C210,'Cronograma R. Normativo'!$C$5:$C$1000,0),MATCH("[Jefatura] "&amp;$C210,'Cronograma R. Financiero'!$C$5:$C$1000,0),MATCH("[Jefatura] "&amp;$C210,'Cronograma Asistente Técnico'!$C$5:$C$1000,0)),0))</f>
        <v/>
      </c>
      <c r="AI210" s="62">
        <f>IF(AND(AND($D210&lt;&gt;"",$V210="Macro"),$S210=MesCiclo),COUNTIFS($D$5:$D210,$D210,$S$5:$S210,MesCiclo,$V$5:$V210,"Macro"),"")</f>
        <v/>
      </c>
      <c r="AJ210" s="62">
        <f>IF($AI210="","",$D210&amp;"|"&amp;$AI210)</f>
        <v/>
      </c>
      <c r="AK210" s="62">
        <f>IF(AND($D210&lt;&gt;"",$V210="Macro"),$D210&amp;"|"&amp;$C210,"")</f>
        <v/>
      </c>
      <c r="AL210" s="62">
        <f>""</f>
        <v/>
      </c>
      <c r="AM210" s="62">
        <f>IF(N($AL210)&gt;0,INDEX(rIni_ADM,$AL210),IF(ISNUMBER($E210),$E210,""))</f>
        <v/>
      </c>
      <c r="AN210" s="62">
        <f>IF(N($AL210)&gt;0,INDEX(rLim_ADM,$AL210),IF(ISNUMBER($F210),$F210,""))</f>
        <v/>
      </c>
    </row>
    <row r="211">
      <c r="A211" s="56">
        <f>IF(NOT((COUNTA($B211:$D211)+COUNTA($G211:$L211)+COUNTA($Q211))&gt;0),"",IF($V211="Macro",COUNTIFS($V$5:$V211,"Macro",$S$5:$S211,$S211),IF(N($U211)=0,"?",COUNTIFS(INDEX($V$5:$V$1000,1):INDEX($V$5:$V$1000,$U211-4),"Macro",INDEX($S$5:$S$1000,1):INDEX($S$5:$S$1000,$U211-4),INDEX($S$5:$S$1000,$U211-4))&amp;"."&amp;COUNTIFS($U$5:$U211,$U211,$V$5:$V211,"Sub"))))</f>
        <v/>
      </c>
      <c r="B211" s="57" t="n"/>
      <c r="C211" s="58" t="n"/>
      <c r="D211" s="58" t="n"/>
      <c r="E211" s="59" t="n"/>
      <c r="F211" s="59" t="n"/>
      <c r="G211" s="59" t="n"/>
      <c r="H211" s="60" t="n"/>
      <c r="I211" s="60" t="n"/>
      <c r="J211" s="60" t="n"/>
      <c r="K211" s="60" t="n"/>
      <c r="L211" s="60" t="n"/>
      <c r="M211" s="61">
        <f>IF(NOT((COUNTA($B211:$D211)+COUNTA($G211:$L211)+COUNTA($Q211))&gt;0),"",IF(AND($D211&lt;&gt;"",$V211="Macro"),IF(N($AH211)&gt;0,N(CHOOSE(MATCH($D211,ListaPuestos,0),INDEX('Cronograma R. Operacional'!$M$5:$M$1000,$AH211),INDEX('Cronograma R. Normativo'!$M$5:$M$1000,$AH211),INDEX('Cronograma R. Financiero'!$M$5:$M$1000,$AH211),INDEX('Cronograma Asistente Técnico'!$M$5:$M$1000,$AH211))),0),IF(ISNUMBER($G211),1,IF(N($W211)&gt;0,AVERAGEIFS($X$5:$X$1000,$U$5:$U$1000,ROW(),$V$5:$V$1000,"Sub"),$X211))))</f>
        <v/>
      </c>
      <c r="N211" s="56">
        <f>IF(OR($M211="",$V211="Sub"),"",IF($M211&gt;=1,"Completado",IF($M211&gt;0,"En curso","Pendiente")))</f>
        <v/>
      </c>
      <c r="O211" s="56">
        <f>IF(NOT((COUNTA($B211:$D211)+COUNTA($G211:$L211)+COUNTA($Q211))&gt;0),"",IF(AND(AND($D211&lt;&gt;"",$V211="Macro"),N($AH211)&gt;0),CHOOSE(MATCH($D211,ListaPuestos,0),INDEX('Cronograma R. Operacional'!$O$5:$O$1000,$AH211),INDEX('Cronograma R. Normativo'!$O$5:$O$1000,$AH211),INDEX('Cronograma R. Financiero'!$O$5:$O$1000,$AH211),INDEX('Cronograma Asistente Técnico'!$O$5:$O$1000,$AH211))&amp;"",IF(ISNUMBER($G211),IF(AND(ISNUMBER($AN211),$G211&gt;$AN211),"Cumplida con "&amp;($G211-$AN211)&amp;IF($G211-$AN211=1," día"," días")&amp;" de retraso","Cumplida"),IF(N($M211)&gt;=1,"Cumplida",IF(NOT(ISNUMBER($AN211)),"Sin fecha límite",IF($AN211&lt;FechaRef,"Vencida hace "&amp;(FechaRef-$AN211)&amp;IF(FechaRef-$AN211=1," día"," días"),IF($AN211=FechaRef,"Vence hoy",IF($AN211-FechaRef&lt;=DiasAlerta,"Vence en "&amp;($AN211-FechaRef)&amp;IF($AN211-FechaRef=1," día"," días"),"En plazo"))))))))</f>
        <v/>
      </c>
      <c r="P211" s="62">
        <f>IF(NOT((COUNTA($B211:$D211)+COUNTA($G211:$L211)+COUNTA($Q211))&gt;0),"",IF($D211="","Propia",IF($V211&lt;&gt;"Macro","Solo se delegan macroactividades",IF(N($AH211)&gt;0,"✔ Recibida por "&amp;$D211,"⚠ "&amp;$D211&amp;" aún no la agrega"))))</f>
        <v/>
      </c>
      <c r="Q211" s="58" t="n"/>
      <c r="R211" s="63">
        <f>IF(NOT((COUNTA($B211:$D211)+COUNTA($G211:$L211)+COUNTA($Q211))&gt;0),"",IF((IF($C211="","Falta el nombre de la actividad"&amp;" · ","")&amp;IF(AND($V211="Sub",N($U211)=0),"Subactividad sin macroactividad arriba"&amp;" · ","")&amp;IF($AM211="","Sin fecha de inicio"&amp;" · ","")&amp;IF($AN211="","Sin fecha límite"&amp;" · ","")&amp;IF(AND(LEFT($C211,11)="[Jefatura] ",N($AL211)=0),"No se encuentra en la hoja de la jefatura (elíjala de nuevo en la lista)"&amp;" · ","")&amp;IF(OR(AND($E211&lt;&gt;"",NOT(ISNUMBER($E211))),AND($F211&lt;&gt;"",NOT(ISNUMBER($F211))),AND($G211&lt;&gt;"",NOT(ISNUMBER($G211)))),"Fecha no válida"&amp;" · ","")&amp;IF(AND(ISNUMBER($AM211),ISNUMBER($AN211),$AM211&gt;$AN211),"Inicio posterior a fecha límite"&amp;" · ","")&amp;IF(AND($V211="Macro",$H211&lt;&gt;"",OR(NOT(ISNUMBER($H211)),$H211&lt;0,$H211&gt;1)),"Peso fuera de rango"&amp;" · ","")&amp;IF(AND($V211="Sub",$H211&lt;&gt;""),"Las subactividades no llevan peso (valen igual dentro de su macroactividad)"&amp;" · ","")&amp;IF(AND(N($W211)&gt;0,COUNT($I211:$L211)&gt;0),"Con subactividades: deje vacías las semanas (se calculan solas)"&amp;" · ","")&amp;IF((COUNTIF($I211:$L211,"&gt;1")+COUNTIF($I211:$L211,"&lt;0")+COUNTA($I211:$L211)-COUNT($I211:$L211))&gt;0,"Avance fuera de rango 0-100%"&amp;" · ","")&amp;IF(OR(AND($J211&lt;&gt;"",$J211&lt;$I211),AND($K211&lt;&gt;"",$K211&lt;MAX($I211:$J211)),AND($L211&lt;&gt;"",$L211&lt;MAX($I211:$K211))),"Avance semanal decreciente"&amp;" · ","")&amp;IF(AND(ISNUMBER($AN211),$AN211&lt;FechaRef,IF($V211="Sub",N($X211),N($M211))&lt;1),"Vencida"&amp;" · ","")&amp;IF(AND(ObsObligatoria="Sí",ISNUMBER($AN211),$AN211&lt;FechaRef,IF($V211="Sub",N($X211),N($M211))&lt;1,$Q211=""),"Vencida sin observación"&amp;" · ",""))="","✔ OK","⚠ "&amp;LEFT(IF($C211="","Falta el nombre de la actividad"&amp;" · ","")&amp;IF(AND($V211="Sub",N($U211)=0),"Subactividad sin macroactividad arriba"&amp;" · ","")&amp;IF($AM211="","Sin fecha de inicio"&amp;" · ","")&amp;IF($AN211="","Sin fecha límite"&amp;" · ","")&amp;IF(AND(LEFT($C211,11)="[Jefatura] ",N($AL211)=0),"No se encuentra en la hoja de la jefatura (elíjala de nuevo en la lista)"&amp;" · ","")&amp;IF(OR(AND($E211&lt;&gt;"",NOT(ISNUMBER($E211))),AND($F211&lt;&gt;"",NOT(ISNUMBER($F211))),AND($G211&lt;&gt;"",NOT(ISNUMBER($G211)))),"Fecha no válida"&amp;" · ","")&amp;IF(AND(ISNUMBER($AM211),ISNUMBER($AN211),$AM211&gt;$AN211),"Inicio posterior a fecha límite"&amp;" · ","")&amp;IF(AND($V211="Macro",$H211&lt;&gt;"",OR(NOT(ISNUMBER($H211)),$H211&lt;0,$H211&gt;1)),"Peso fuera de rango"&amp;" · ","")&amp;IF(AND($V211="Sub",$H211&lt;&gt;""),"Las subactividades no llevan peso (valen igual dentro de su macroactividad)"&amp;" · ","")&amp;IF(AND(N($W211)&gt;0,COUNT($I211:$L211)&gt;0),"Con subactividades: deje vacías las semanas (se calculan solas)"&amp;" · ","")&amp;IF((COUNTIF($I211:$L211,"&gt;1")+COUNTIF($I211:$L211,"&lt;0")+COUNTA($I211:$L211)-COUNT($I211:$L211))&gt;0,"Avance fuera de rango 0-100%"&amp;" · ","")&amp;IF(OR(AND($J211&lt;&gt;"",$J211&lt;$I211),AND($K211&lt;&gt;"",$K211&lt;MAX($I211:$J211)),AND($L211&lt;&gt;"",$L211&lt;MAX($I211:$K211))),"Avance semanal decreciente"&amp;" · ","")&amp;IF(AND(ISNUMBER($AN211),$AN211&lt;FechaRef,IF($V211="Sub",N($X211),N($M211))&lt;1),"Vencida"&amp;" · ","")&amp;IF(AND(ObsObligatoria="Sí",ISNUMBER($AN211),$AN211&lt;FechaRef,IF($V211="Sub",N($X211),N($M211))&lt;1,$Q211=""),"Vencida sin observación"&amp;" · ",""),LEN(IF($C211="","Falta el nombre de la actividad"&amp;" · ","")&amp;IF(AND($V211="Sub",N($U211)=0),"Subactividad sin macroactividad arriba"&amp;" · ","")&amp;IF($AM211="","Sin fecha de inicio"&amp;" · ","")&amp;IF($AN211="","Sin fecha límite"&amp;" · ","")&amp;IF(AND(LEFT($C211,11)="[Jefatura] ",N($AL211)=0),"No se encuentra en la hoja de la jefatura (elíjala de nuevo en la lista)"&amp;" · ","")&amp;IF(OR(AND($E211&lt;&gt;"",NOT(ISNUMBER($E211))),AND($F211&lt;&gt;"",NOT(ISNUMBER($F211))),AND($G211&lt;&gt;"",NOT(ISNUMBER($G211)))),"Fecha no válida"&amp;" · ","")&amp;IF(AND(ISNUMBER($AM211),ISNUMBER($AN211),$AM211&gt;$AN211),"Inicio posterior a fecha límite"&amp;" · ","")&amp;IF(AND($V211="Macro",$H211&lt;&gt;"",OR(NOT(ISNUMBER($H211)),$H211&lt;0,$H211&gt;1)),"Peso fuera de rango"&amp;" · ","")&amp;IF(AND($V211="Sub",$H211&lt;&gt;""),"Las subactividades no llevan peso (valen igual dentro de su macroactividad)"&amp;" · ","")&amp;IF(AND(N($W211)&gt;0,COUNT($I211:$L211)&gt;0),"Con subactividades: deje vacías las semanas (se calculan solas)"&amp;" · ","")&amp;IF((COUNTIF($I211:$L211,"&gt;1")+COUNTIF($I211:$L211,"&lt;0")+COUNTA($I211:$L211)-COUNT($I211:$L211))&gt;0,"Avance fuera de rango 0-100%"&amp;" · ","")&amp;IF(OR(AND($J211&lt;&gt;"",$J211&lt;$I211),AND($K211&lt;&gt;"",$K211&lt;MAX($I211:$J211)),AND($L211&lt;&gt;"",$L211&lt;MAX($I211:$K211))),"Avance semanal decreciente"&amp;" · ","")&amp;IF(AND(ISNUMBER($AN211),$AN211&lt;FechaRef,IF($V211="Sub",N($X211),N($M211))&lt;1),"Vencida"&amp;" · ","")&amp;IF(AND(ObsObligatoria="Sí",ISNUMBER($AN211),$AN211&lt;FechaRef,IF($V211="Sub",N($X211),N($M211))&lt;1,$Q211=""),"Vencida sin observación"&amp;" · ",""))-3)))</f>
        <v/>
      </c>
      <c r="S211" s="64">
        <f>IF(NOT((COUNTA($B211:$D211)+COUNTA($G211:$L211)+COUNTA($Q211))&gt;0),"",IF(AND($V211="Sub",N($U211)&gt;0),IF(ISNUMBER(INDEX($AM$5:$AM$1000,$U211-4)),DATE(YEAR(INDEX($AM$5:$AM$1000,$U211-4)),MONTH(INDEX($AM$5:$AM$1000,$U211-4)),1),IF(ISNUMBER(INDEX($AN$5:$AN$1000,$U211-4)),DATE(YEAR(INDEX($AN$5:$AN$1000,$U211-4)),MONTH(INDEX($AN$5:$AN$1000,$U211-4)),1),MesCiclo)),IF(ISNUMBER($AM211),DATE(YEAR($AM211),MONTH($AM211),1),IF(ISNUMBER($AN211),DATE(YEAR($AN211),MONTH($AN211),1),MesCiclo))))</f>
        <v/>
      </c>
      <c r="T211" s="62">
        <f>IF(OR($S211="",$S211&lt;&gt;MesCiclo,$V211&lt;&gt;"Macro"),"",COUNTIFS($S$5:$S211,MesCiclo,$V$5:$V211,"Macro"))</f>
        <v/>
      </c>
      <c r="U211" s="62">
        <f>IF($V211="","",IF($V211="Macro",ROW(),IFERROR(LOOKUP(2,1/($V$5:$V211="Macro"),ROW($V$5:$V211)),0)))</f>
        <v/>
      </c>
      <c r="V211" s="62">
        <f>IF(NOT((COUNTA($B211:$D211)+COUNTA($G211:$L211)+COUNTA($Q211))&gt;0),"",IF($B211="Subactividad","Sub","Macro"))</f>
        <v/>
      </c>
      <c r="W211" s="62">
        <f>IF($V211="Macro",COUNTIFS($U$5:$U$1000,ROW(),$V$5:$V$1000,"Sub"),"")</f>
        <v/>
      </c>
      <c r="X211" s="62">
        <f>IF($V211="","",IF(ISNUMBER($G211),1,IFERROR(LOOKUP(2,1/($I211:$L211&lt;&gt;""),$I211:$L211),0)))</f>
        <v/>
      </c>
      <c r="Y211" s="62">
        <f>IF($V211="","",IF(AND(ISNUMBER($G211),$G211&lt;=IF($S211=MesCiclo,InicioCiclo,$S211+MOD(2-WEEKDAY($S211),7))+6),1,IF(ISNUMBER($I211),$I211,0)))</f>
        <v/>
      </c>
      <c r="Z211" s="62">
        <f>IF($V211="","",IF(AND(ISNUMBER($G211),$G211&lt;=IF($S211=MesCiclo,InicioCiclo,$S211+MOD(2-WEEKDAY($S211),7))+13),1,IF(ISNUMBER($J211),$J211,$Y211)))</f>
        <v/>
      </c>
      <c r="AA211" s="62">
        <f>IF($V211="","",IF(AND(ISNUMBER($G211),$G211&lt;=IF($S211=MesCiclo,InicioCiclo,$S211+MOD(2-WEEKDAY($S211),7))+20),1,IF(ISNUMBER($K211),$K211,$Z211)))</f>
        <v/>
      </c>
      <c r="AB211" s="62">
        <f>IF($V211="","",IF(AND(ISNUMBER($G211),$G211&lt;=IF($S211=MesCiclo,InicioCiclo,$S211+MOD(2-WEEKDAY($S211),7))+27),1,IF(ISNUMBER($L211),$L211,$AA211)))</f>
        <v/>
      </c>
      <c r="AC211" s="62">
        <f>IF($V211="","",IF(AND(ISNUMBER($G211),$G211&lt;=IF($S211=MesCiclo,InicioCiclo,$S211+MOD(2-WEEKDAY($S211),7))+6),1,IF(N($W211)&gt;0,AVERAGEIFS($Y$5:$Y$1000,$U$5:$U$1000,ROW(),$V$5:$V$1000,"Sub"),$Y211)))</f>
        <v/>
      </c>
      <c r="AD211" s="62">
        <f>IF($V211="","",IF(AND(ISNUMBER($G211),$G211&lt;=IF($S211=MesCiclo,InicioCiclo,$S211+MOD(2-WEEKDAY($S211),7))+13),1,IF(N($W211)&gt;0,AVERAGEIFS($Z$5:$Z$1000,$U$5:$U$1000,ROW(),$V$5:$V$1000,"Sub"),$Z211)))</f>
        <v/>
      </c>
      <c r="AE211" s="62">
        <f>IF($V211="","",IF(AND(ISNUMBER($G211),$G211&lt;=IF($S211=MesCiclo,InicioCiclo,$S211+MOD(2-WEEKDAY($S211),7))+20),1,IF(N($W211)&gt;0,AVERAGEIFS($AA$5:$AA$1000,$U$5:$U$1000,ROW(),$V$5:$V$1000,"Sub"),$AA211)))</f>
        <v/>
      </c>
      <c r="AF211" s="62">
        <f>IF($V211="","",IF(AND(ISNUMBER($G211),$G211&lt;=IF($S211=MesCiclo,InicioCiclo,$S211+MOD(2-WEEKDAY($S211),7))+27),1,IF(N($W211)&gt;0,AVERAGEIFS($AB$5:$AB$1000,$U$5:$U$1000,ROW(),$V$5:$V$1000,"Sub"),$AB211)))</f>
        <v/>
      </c>
      <c r="AG211" s="62">
        <f>IF($V211&lt;&gt;"Macro","",IF(COUNTIFS($S$5:$S$1000,$S211,$V$5:$V$1000,"Macro",$H$5:$H$1000,"&gt;0")=0,1/COUNTIFS($S$5:$S$1000,$S211,$V$5:$V$1000,"Macro"),IF(AND(ISNUMBER($H211),N($H211)&gt;0),$H211,SUMIFS($H$5:$H$1000,$S$5:$S$1000,$S211,$V$5:$V$1000,"Macro")/COUNTIFS($S$5:$S$1000,$S211,$V$5:$V$1000,"Macro",$H$5:$H$1000,"&gt;0"))/(COUNTIFS($S$5:$S$1000,$S211,$V$5:$V$1000,"Macro")*SUMIFS($H$5:$H$1000,$S$5:$S$1000,$S211,$V$5:$V$1000,"Macro")/COUNTIFS($S$5:$S$1000,$S211,$V$5:$V$1000,"Macro",$H$5:$H$1000,"&gt;0"))))</f>
        <v/>
      </c>
      <c r="AH211" s="62">
        <f>IF(NOT(AND($D211&lt;&gt;"",$V211="Macro")),"",IFERROR(CHOOSE(MATCH($D211,ListaPuestos,0),MATCH("[Jefatura] "&amp;$C211,'Cronograma R. Operacional'!$C$5:$C$1000,0),MATCH("[Jefatura] "&amp;$C211,'Cronograma R. Normativo'!$C$5:$C$1000,0),MATCH("[Jefatura] "&amp;$C211,'Cronograma R. Financiero'!$C$5:$C$1000,0),MATCH("[Jefatura] "&amp;$C211,'Cronograma Asistente Técnico'!$C$5:$C$1000,0)),0))</f>
        <v/>
      </c>
      <c r="AI211" s="62">
        <f>IF(AND(AND($D211&lt;&gt;"",$V211="Macro"),$S211=MesCiclo),COUNTIFS($D$5:$D211,$D211,$S$5:$S211,MesCiclo,$V$5:$V211,"Macro"),"")</f>
        <v/>
      </c>
      <c r="AJ211" s="62">
        <f>IF($AI211="","",$D211&amp;"|"&amp;$AI211)</f>
        <v/>
      </c>
      <c r="AK211" s="62">
        <f>IF(AND($D211&lt;&gt;"",$V211="Macro"),$D211&amp;"|"&amp;$C211,"")</f>
        <v/>
      </c>
      <c r="AL211" s="62">
        <f>""</f>
        <v/>
      </c>
      <c r="AM211" s="62">
        <f>IF(N($AL211)&gt;0,INDEX(rIni_ADM,$AL211),IF(ISNUMBER($E211),$E211,""))</f>
        <v/>
      </c>
      <c r="AN211" s="62">
        <f>IF(N($AL211)&gt;0,INDEX(rLim_ADM,$AL211),IF(ISNUMBER($F211),$F211,""))</f>
        <v/>
      </c>
    </row>
    <row r="212">
      <c r="A212" s="56">
        <f>IF(NOT((COUNTA($B212:$D212)+COUNTA($G212:$L212)+COUNTA($Q212))&gt;0),"",IF($V212="Macro",COUNTIFS($V$5:$V212,"Macro",$S$5:$S212,$S212),IF(N($U212)=0,"?",COUNTIFS(INDEX($V$5:$V$1000,1):INDEX($V$5:$V$1000,$U212-4),"Macro",INDEX($S$5:$S$1000,1):INDEX($S$5:$S$1000,$U212-4),INDEX($S$5:$S$1000,$U212-4))&amp;"."&amp;COUNTIFS($U$5:$U212,$U212,$V$5:$V212,"Sub"))))</f>
        <v/>
      </c>
      <c r="B212" s="57" t="n"/>
      <c r="C212" s="58" t="n"/>
      <c r="D212" s="58" t="n"/>
      <c r="E212" s="59" t="n"/>
      <c r="F212" s="59" t="n"/>
      <c r="G212" s="59" t="n"/>
      <c r="H212" s="60" t="n"/>
      <c r="I212" s="60" t="n"/>
      <c r="J212" s="60" t="n"/>
      <c r="K212" s="60" t="n"/>
      <c r="L212" s="60" t="n"/>
      <c r="M212" s="61">
        <f>IF(NOT((COUNTA($B212:$D212)+COUNTA($G212:$L212)+COUNTA($Q212))&gt;0),"",IF(AND($D212&lt;&gt;"",$V212="Macro"),IF(N($AH212)&gt;0,N(CHOOSE(MATCH($D212,ListaPuestos,0),INDEX('Cronograma R. Operacional'!$M$5:$M$1000,$AH212),INDEX('Cronograma R. Normativo'!$M$5:$M$1000,$AH212),INDEX('Cronograma R. Financiero'!$M$5:$M$1000,$AH212),INDEX('Cronograma Asistente Técnico'!$M$5:$M$1000,$AH212))),0),IF(ISNUMBER($G212),1,IF(N($W212)&gt;0,AVERAGEIFS($X$5:$X$1000,$U$5:$U$1000,ROW(),$V$5:$V$1000,"Sub"),$X212))))</f>
        <v/>
      </c>
      <c r="N212" s="56">
        <f>IF(OR($M212="",$V212="Sub"),"",IF($M212&gt;=1,"Completado",IF($M212&gt;0,"En curso","Pendiente")))</f>
        <v/>
      </c>
      <c r="O212" s="56">
        <f>IF(NOT((COUNTA($B212:$D212)+COUNTA($G212:$L212)+COUNTA($Q212))&gt;0),"",IF(AND(AND($D212&lt;&gt;"",$V212="Macro"),N($AH212)&gt;0),CHOOSE(MATCH($D212,ListaPuestos,0),INDEX('Cronograma R. Operacional'!$O$5:$O$1000,$AH212),INDEX('Cronograma R. Normativo'!$O$5:$O$1000,$AH212),INDEX('Cronograma R. Financiero'!$O$5:$O$1000,$AH212),INDEX('Cronograma Asistente Técnico'!$O$5:$O$1000,$AH212))&amp;"",IF(ISNUMBER($G212),IF(AND(ISNUMBER($AN212),$G212&gt;$AN212),"Cumplida con "&amp;($G212-$AN212)&amp;IF($G212-$AN212=1," día"," días")&amp;" de retraso","Cumplida"),IF(N($M212)&gt;=1,"Cumplida",IF(NOT(ISNUMBER($AN212)),"Sin fecha límite",IF($AN212&lt;FechaRef,"Vencida hace "&amp;(FechaRef-$AN212)&amp;IF(FechaRef-$AN212=1," día"," días"),IF($AN212=FechaRef,"Vence hoy",IF($AN212-FechaRef&lt;=DiasAlerta,"Vence en "&amp;($AN212-FechaRef)&amp;IF($AN212-FechaRef=1," día"," días"),"En plazo"))))))))</f>
        <v/>
      </c>
      <c r="P212" s="62">
        <f>IF(NOT((COUNTA($B212:$D212)+COUNTA($G212:$L212)+COUNTA($Q212))&gt;0),"",IF($D212="","Propia",IF($V212&lt;&gt;"Macro","Solo se delegan macroactividades",IF(N($AH212)&gt;0,"✔ Recibida por "&amp;$D212,"⚠ "&amp;$D212&amp;" aún no la agrega"))))</f>
        <v/>
      </c>
      <c r="Q212" s="58" t="n"/>
      <c r="R212" s="63">
        <f>IF(NOT((COUNTA($B212:$D212)+COUNTA($G212:$L212)+COUNTA($Q212))&gt;0),"",IF((IF($C212="","Falta el nombre de la actividad"&amp;" · ","")&amp;IF(AND($V212="Sub",N($U212)=0),"Subactividad sin macroactividad arriba"&amp;" · ","")&amp;IF($AM212="","Sin fecha de inicio"&amp;" · ","")&amp;IF($AN212="","Sin fecha límite"&amp;" · ","")&amp;IF(AND(LEFT($C212,11)="[Jefatura] ",N($AL212)=0),"No se encuentra en la hoja de la jefatura (elíjala de nuevo en la lista)"&amp;" · ","")&amp;IF(OR(AND($E212&lt;&gt;"",NOT(ISNUMBER($E212))),AND($F212&lt;&gt;"",NOT(ISNUMBER($F212))),AND($G212&lt;&gt;"",NOT(ISNUMBER($G212)))),"Fecha no válida"&amp;" · ","")&amp;IF(AND(ISNUMBER($AM212),ISNUMBER($AN212),$AM212&gt;$AN212),"Inicio posterior a fecha límite"&amp;" · ","")&amp;IF(AND($V212="Macro",$H212&lt;&gt;"",OR(NOT(ISNUMBER($H212)),$H212&lt;0,$H212&gt;1)),"Peso fuera de rango"&amp;" · ","")&amp;IF(AND($V212="Sub",$H212&lt;&gt;""),"Las subactividades no llevan peso (valen igual dentro de su macroactividad)"&amp;" · ","")&amp;IF(AND(N($W212)&gt;0,COUNT($I212:$L212)&gt;0),"Con subactividades: deje vacías las semanas (se calculan solas)"&amp;" · ","")&amp;IF((COUNTIF($I212:$L212,"&gt;1")+COUNTIF($I212:$L212,"&lt;0")+COUNTA($I212:$L212)-COUNT($I212:$L212))&gt;0,"Avance fuera de rango 0-100%"&amp;" · ","")&amp;IF(OR(AND($J212&lt;&gt;"",$J212&lt;$I212),AND($K212&lt;&gt;"",$K212&lt;MAX($I212:$J212)),AND($L212&lt;&gt;"",$L212&lt;MAX($I212:$K212))),"Avance semanal decreciente"&amp;" · ","")&amp;IF(AND(ISNUMBER($AN212),$AN212&lt;FechaRef,IF($V212="Sub",N($X212),N($M212))&lt;1),"Vencida"&amp;" · ","")&amp;IF(AND(ObsObligatoria="Sí",ISNUMBER($AN212),$AN212&lt;FechaRef,IF($V212="Sub",N($X212),N($M212))&lt;1,$Q212=""),"Vencida sin observación"&amp;" · ",""))="","✔ OK","⚠ "&amp;LEFT(IF($C212="","Falta el nombre de la actividad"&amp;" · ","")&amp;IF(AND($V212="Sub",N($U212)=0),"Subactividad sin macroactividad arriba"&amp;" · ","")&amp;IF($AM212="","Sin fecha de inicio"&amp;" · ","")&amp;IF($AN212="","Sin fecha límite"&amp;" · ","")&amp;IF(AND(LEFT($C212,11)="[Jefatura] ",N($AL212)=0),"No se encuentra en la hoja de la jefatura (elíjala de nuevo en la lista)"&amp;" · ","")&amp;IF(OR(AND($E212&lt;&gt;"",NOT(ISNUMBER($E212))),AND($F212&lt;&gt;"",NOT(ISNUMBER($F212))),AND($G212&lt;&gt;"",NOT(ISNUMBER($G212)))),"Fecha no válida"&amp;" · ","")&amp;IF(AND(ISNUMBER($AM212),ISNUMBER($AN212),$AM212&gt;$AN212),"Inicio posterior a fecha límite"&amp;" · ","")&amp;IF(AND($V212="Macro",$H212&lt;&gt;"",OR(NOT(ISNUMBER($H212)),$H212&lt;0,$H212&gt;1)),"Peso fuera de rango"&amp;" · ","")&amp;IF(AND($V212="Sub",$H212&lt;&gt;""),"Las subactividades no llevan peso (valen igual dentro de su macroactividad)"&amp;" · ","")&amp;IF(AND(N($W212)&gt;0,COUNT($I212:$L212)&gt;0),"Con subactividades: deje vacías las semanas (se calculan solas)"&amp;" · ","")&amp;IF((COUNTIF($I212:$L212,"&gt;1")+COUNTIF($I212:$L212,"&lt;0")+COUNTA($I212:$L212)-COUNT($I212:$L212))&gt;0,"Avance fuera de rango 0-100%"&amp;" · ","")&amp;IF(OR(AND($J212&lt;&gt;"",$J212&lt;$I212),AND($K212&lt;&gt;"",$K212&lt;MAX($I212:$J212)),AND($L212&lt;&gt;"",$L212&lt;MAX($I212:$K212))),"Avance semanal decreciente"&amp;" · ","")&amp;IF(AND(ISNUMBER($AN212),$AN212&lt;FechaRef,IF($V212="Sub",N($X212),N($M212))&lt;1),"Vencida"&amp;" · ","")&amp;IF(AND(ObsObligatoria="Sí",ISNUMBER($AN212),$AN212&lt;FechaRef,IF($V212="Sub",N($X212),N($M212))&lt;1,$Q212=""),"Vencida sin observación"&amp;" · ",""),LEN(IF($C212="","Falta el nombre de la actividad"&amp;" · ","")&amp;IF(AND($V212="Sub",N($U212)=0),"Subactividad sin macroactividad arriba"&amp;" · ","")&amp;IF($AM212="","Sin fecha de inicio"&amp;" · ","")&amp;IF($AN212="","Sin fecha límite"&amp;" · ","")&amp;IF(AND(LEFT($C212,11)="[Jefatura] ",N($AL212)=0),"No se encuentra en la hoja de la jefatura (elíjala de nuevo en la lista)"&amp;" · ","")&amp;IF(OR(AND($E212&lt;&gt;"",NOT(ISNUMBER($E212))),AND($F212&lt;&gt;"",NOT(ISNUMBER($F212))),AND($G212&lt;&gt;"",NOT(ISNUMBER($G212)))),"Fecha no válida"&amp;" · ","")&amp;IF(AND(ISNUMBER($AM212),ISNUMBER($AN212),$AM212&gt;$AN212),"Inicio posterior a fecha límite"&amp;" · ","")&amp;IF(AND($V212="Macro",$H212&lt;&gt;"",OR(NOT(ISNUMBER($H212)),$H212&lt;0,$H212&gt;1)),"Peso fuera de rango"&amp;" · ","")&amp;IF(AND($V212="Sub",$H212&lt;&gt;""),"Las subactividades no llevan peso (valen igual dentro de su macroactividad)"&amp;" · ","")&amp;IF(AND(N($W212)&gt;0,COUNT($I212:$L212)&gt;0),"Con subactividades: deje vacías las semanas (se calculan solas)"&amp;" · ","")&amp;IF((COUNTIF($I212:$L212,"&gt;1")+COUNTIF($I212:$L212,"&lt;0")+COUNTA($I212:$L212)-COUNT($I212:$L212))&gt;0,"Avance fuera de rango 0-100%"&amp;" · ","")&amp;IF(OR(AND($J212&lt;&gt;"",$J212&lt;$I212),AND($K212&lt;&gt;"",$K212&lt;MAX($I212:$J212)),AND($L212&lt;&gt;"",$L212&lt;MAX($I212:$K212))),"Avance semanal decreciente"&amp;" · ","")&amp;IF(AND(ISNUMBER($AN212),$AN212&lt;FechaRef,IF($V212="Sub",N($X212),N($M212))&lt;1),"Vencida"&amp;" · ","")&amp;IF(AND(ObsObligatoria="Sí",ISNUMBER($AN212),$AN212&lt;FechaRef,IF($V212="Sub",N($X212),N($M212))&lt;1,$Q212=""),"Vencida sin observación"&amp;" · ",""))-3)))</f>
        <v/>
      </c>
      <c r="S212" s="64">
        <f>IF(NOT((COUNTA($B212:$D212)+COUNTA($G212:$L212)+COUNTA($Q212))&gt;0),"",IF(AND($V212="Sub",N($U212)&gt;0),IF(ISNUMBER(INDEX($AM$5:$AM$1000,$U212-4)),DATE(YEAR(INDEX($AM$5:$AM$1000,$U212-4)),MONTH(INDEX($AM$5:$AM$1000,$U212-4)),1),IF(ISNUMBER(INDEX($AN$5:$AN$1000,$U212-4)),DATE(YEAR(INDEX($AN$5:$AN$1000,$U212-4)),MONTH(INDEX($AN$5:$AN$1000,$U212-4)),1),MesCiclo)),IF(ISNUMBER($AM212),DATE(YEAR($AM212),MONTH($AM212),1),IF(ISNUMBER($AN212),DATE(YEAR($AN212),MONTH($AN212),1),MesCiclo))))</f>
        <v/>
      </c>
      <c r="T212" s="62">
        <f>IF(OR($S212="",$S212&lt;&gt;MesCiclo,$V212&lt;&gt;"Macro"),"",COUNTIFS($S$5:$S212,MesCiclo,$V$5:$V212,"Macro"))</f>
        <v/>
      </c>
      <c r="U212" s="62">
        <f>IF($V212="","",IF($V212="Macro",ROW(),IFERROR(LOOKUP(2,1/($V$5:$V212="Macro"),ROW($V$5:$V212)),0)))</f>
        <v/>
      </c>
      <c r="V212" s="62">
        <f>IF(NOT((COUNTA($B212:$D212)+COUNTA($G212:$L212)+COUNTA($Q212))&gt;0),"",IF($B212="Subactividad","Sub","Macro"))</f>
        <v/>
      </c>
      <c r="W212" s="62">
        <f>IF($V212="Macro",COUNTIFS($U$5:$U$1000,ROW(),$V$5:$V$1000,"Sub"),"")</f>
        <v/>
      </c>
      <c r="X212" s="62">
        <f>IF($V212="","",IF(ISNUMBER($G212),1,IFERROR(LOOKUP(2,1/($I212:$L212&lt;&gt;""),$I212:$L212),0)))</f>
        <v/>
      </c>
      <c r="Y212" s="62">
        <f>IF($V212="","",IF(AND(ISNUMBER($G212),$G212&lt;=IF($S212=MesCiclo,InicioCiclo,$S212+MOD(2-WEEKDAY($S212),7))+6),1,IF(ISNUMBER($I212),$I212,0)))</f>
        <v/>
      </c>
      <c r="Z212" s="62">
        <f>IF($V212="","",IF(AND(ISNUMBER($G212),$G212&lt;=IF($S212=MesCiclo,InicioCiclo,$S212+MOD(2-WEEKDAY($S212),7))+13),1,IF(ISNUMBER($J212),$J212,$Y212)))</f>
        <v/>
      </c>
      <c r="AA212" s="62">
        <f>IF($V212="","",IF(AND(ISNUMBER($G212),$G212&lt;=IF($S212=MesCiclo,InicioCiclo,$S212+MOD(2-WEEKDAY($S212),7))+20),1,IF(ISNUMBER($K212),$K212,$Z212)))</f>
        <v/>
      </c>
      <c r="AB212" s="62">
        <f>IF($V212="","",IF(AND(ISNUMBER($G212),$G212&lt;=IF($S212=MesCiclo,InicioCiclo,$S212+MOD(2-WEEKDAY($S212),7))+27),1,IF(ISNUMBER($L212),$L212,$AA212)))</f>
        <v/>
      </c>
      <c r="AC212" s="62">
        <f>IF($V212="","",IF(AND(ISNUMBER($G212),$G212&lt;=IF($S212=MesCiclo,InicioCiclo,$S212+MOD(2-WEEKDAY($S212),7))+6),1,IF(N($W212)&gt;0,AVERAGEIFS($Y$5:$Y$1000,$U$5:$U$1000,ROW(),$V$5:$V$1000,"Sub"),$Y212)))</f>
        <v/>
      </c>
      <c r="AD212" s="62">
        <f>IF($V212="","",IF(AND(ISNUMBER($G212),$G212&lt;=IF($S212=MesCiclo,InicioCiclo,$S212+MOD(2-WEEKDAY($S212),7))+13),1,IF(N($W212)&gt;0,AVERAGEIFS($Z$5:$Z$1000,$U$5:$U$1000,ROW(),$V$5:$V$1000,"Sub"),$Z212)))</f>
        <v/>
      </c>
      <c r="AE212" s="62">
        <f>IF($V212="","",IF(AND(ISNUMBER($G212),$G212&lt;=IF($S212=MesCiclo,InicioCiclo,$S212+MOD(2-WEEKDAY($S212),7))+20),1,IF(N($W212)&gt;0,AVERAGEIFS($AA$5:$AA$1000,$U$5:$U$1000,ROW(),$V$5:$V$1000,"Sub"),$AA212)))</f>
        <v/>
      </c>
      <c r="AF212" s="62">
        <f>IF($V212="","",IF(AND(ISNUMBER($G212),$G212&lt;=IF($S212=MesCiclo,InicioCiclo,$S212+MOD(2-WEEKDAY($S212),7))+27),1,IF(N($W212)&gt;0,AVERAGEIFS($AB$5:$AB$1000,$U$5:$U$1000,ROW(),$V$5:$V$1000,"Sub"),$AB212)))</f>
        <v/>
      </c>
      <c r="AG212" s="62">
        <f>IF($V212&lt;&gt;"Macro","",IF(COUNTIFS($S$5:$S$1000,$S212,$V$5:$V$1000,"Macro",$H$5:$H$1000,"&gt;0")=0,1/COUNTIFS($S$5:$S$1000,$S212,$V$5:$V$1000,"Macro"),IF(AND(ISNUMBER($H212),N($H212)&gt;0),$H212,SUMIFS($H$5:$H$1000,$S$5:$S$1000,$S212,$V$5:$V$1000,"Macro")/COUNTIFS($S$5:$S$1000,$S212,$V$5:$V$1000,"Macro",$H$5:$H$1000,"&gt;0"))/(COUNTIFS($S$5:$S$1000,$S212,$V$5:$V$1000,"Macro")*SUMIFS($H$5:$H$1000,$S$5:$S$1000,$S212,$V$5:$V$1000,"Macro")/COUNTIFS($S$5:$S$1000,$S212,$V$5:$V$1000,"Macro",$H$5:$H$1000,"&gt;0"))))</f>
        <v/>
      </c>
      <c r="AH212" s="62">
        <f>IF(NOT(AND($D212&lt;&gt;"",$V212="Macro")),"",IFERROR(CHOOSE(MATCH($D212,ListaPuestos,0),MATCH("[Jefatura] "&amp;$C212,'Cronograma R. Operacional'!$C$5:$C$1000,0),MATCH("[Jefatura] "&amp;$C212,'Cronograma R. Normativo'!$C$5:$C$1000,0),MATCH("[Jefatura] "&amp;$C212,'Cronograma R. Financiero'!$C$5:$C$1000,0),MATCH("[Jefatura] "&amp;$C212,'Cronograma Asistente Técnico'!$C$5:$C$1000,0)),0))</f>
        <v/>
      </c>
      <c r="AI212" s="62">
        <f>IF(AND(AND($D212&lt;&gt;"",$V212="Macro"),$S212=MesCiclo),COUNTIFS($D$5:$D212,$D212,$S$5:$S212,MesCiclo,$V$5:$V212,"Macro"),"")</f>
        <v/>
      </c>
      <c r="AJ212" s="62">
        <f>IF($AI212="","",$D212&amp;"|"&amp;$AI212)</f>
        <v/>
      </c>
      <c r="AK212" s="62">
        <f>IF(AND($D212&lt;&gt;"",$V212="Macro"),$D212&amp;"|"&amp;$C212,"")</f>
        <v/>
      </c>
      <c r="AL212" s="62">
        <f>""</f>
        <v/>
      </c>
      <c r="AM212" s="62">
        <f>IF(N($AL212)&gt;0,INDEX(rIni_ADM,$AL212),IF(ISNUMBER($E212),$E212,""))</f>
        <v/>
      </c>
      <c r="AN212" s="62">
        <f>IF(N($AL212)&gt;0,INDEX(rLim_ADM,$AL212),IF(ISNUMBER($F212),$F212,""))</f>
        <v/>
      </c>
    </row>
    <row r="213">
      <c r="A213" s="56">
        <f>IF(NOT((COUNTA($B213:$D213)+COUNTA($G213:$L213)+COUNTA($Q213))&gt;0),"",IF($V213="Macro",COUNTIFS($V$5:$V213,"Macro",$S$5:$S213,$S213),IF(N($U213)=0,"?",COUNTIFS(INDEX($V$5:$V$1000,1):INDEX($V$5:$V$1000,$U213-4),"Macro",INDEX($S$5:$S$1000,1):INDEX($S$5:$S$1000,$U213-4),INDEX($S$5:$S$1000,$U213-4))&amp;"."&amp;COUNTIFS($U$5:$U213,$U213,$V$5:$V213,"Sub"))))</f>
        <v/>
      </c>
      <c r="B213" s="57" t="n"/>
      <c r="C213" s="58" t="n"/>
      <c r="D213" s="58" t="n"/>
      <c r="E213" s="59" t="n"/>
      <c r="F213" s="59" t="n"/>
      <c r="G213" s="59" t="n"/>
      <c r="H213" s="60" t="n"/>
      <c r="I213" s="60" t="n"/>
      <c r="J213" s="60" t="n"/>
      <c r="K213" s="60" t="n"/>
      <c r="L213" s="60" t="n"/>
      <c r="M213" s="61">
        <f>IF(NOT((COUNTA($B213:$D213)+COUNTA($G213:$L213)+COUNTA($Q213))&gt;0),"",IF(AND($D213&lt;&gt;"",$V213="Macro"),IF(N($AH213)&gt;0,N(CHOOSE(MATCH($D213,ListaPuestos,0),INDEX('Cronograma R. Operacional'!$M$5:$M$1000,$AH213),INDEX('Cronograma R. Normativo'!$M$5:$M$1000,$AH213),INDEX('Cronograma R. Financiero'!$M$5:$M$1000,$AH213),INDEX('Cronograma Asistente Técnico'!$M$5:$M$1000,$AH213))),0),IF(ISNUMBER($G213),1,IF(N($W213)&gt;0,AVERAGEIFS($X$5:$X$1000,$U$5:$U$1000,ROW(),$V$5:$V$1000,"Sub"),$X213))))</f>
        <v/>
      </c>
      <c r="N213" s="56">
        <f>IF(OR($M213="",$V213="Sub"),"",IF($M213&gt;=1,"Completado",IF($M213&gt;0,"En curso","Pendiente")))</f>
        <v/>
      </c>
      <c r="O213" s="56">
        <f>IF(NOT((COUNTA($B213:$D213)+COUNTA($G213:$L213)+COUNTA($Q213))&gt;0),"",IF(AND(AND($D213&lt;&gt;"",$V213="Macro"),N($AH213)&gt;0),CHOOSE(MATCH($D213,ListaPuestos,0),INDEX('Cronograma R. Operacional'!$O$5:$O$1000,$AH213),INDEX('Cronograma R. Normativo'!$O$5:$O$1000,$AH213),INDEX('Cronograma R. Financiero'!$O$5:$O$1000,$AH213),INDEX('Cronograma Asistente Técnico'!$O$5:$O$1000,$AH213))&amp;"",IF(ISNUMBER($G213),IF(AND(ISNUMBER($AN213),$G213&gt;$AN213),"Cumplida con "&amp;($G213-$AN213)&amp;IF($G213-$AN213=1," día"," días")&amp;" de retraso","Cumplida"),IF(N($M213)&gt;=1,"Cumplida",IF(NOT(ISNUMBER($AN213)),"Sin fecha límite",IF($AN213&lt;FechaRef,"Vencida hace "&amp;(FechaRef-$AN213)&amp;IF(FechaRef-$AN213=1," día"," días"),IF($AN213=FechaRef,"Vence hoy",IF($AN213-FechaRef&lt;=DiasAlerta,"Vence en "&amp;($AN213-FechaRef)&amp;IF($AN213-FechaRef=1," día"," días"),"En plazo"))))))))</f>
        <v/>
      </c>
      <c r="P213" s="62">
        <f>IF(NOT((COUNTA($B213:$D213)+COUNTA($G213:$L213)+COUNTA($Q213))&gt;0),"",IF($D213="","Propia",IF($V213&lt;&gt;"Macro","Solo se delegan macroactividades",IF(N($AH213)&gt;0,"✔ Recibida por "&amp;$D213,"⚠ "&amp;$D213&amp;" aún no la agrega"))))</f>
        <v/>
      </c>
      <c r="Q213" s="58" t="n"/>
      <c r="R213" s="63">
        <f>IF(NOT((COUNTA($B213:$D213)+COUNTA($G213:$L213)+COUNTA($Q213))&gt;0),"",IF((IF($C213="","Falta el nombre de la actividad"&amp;" · ","")&amp;IF(AND($V213="Sub",N($U213)=0),"Subactividad sin macroactividad arriba"&amp;" · ","")&amp;IF($AM213="","Sin fecha de inicio"&amp;" · ","")&amp;IF($AN213="","Sin fecha límite"&amp;" · ","")&amp;IF(AND(LEFT($C213,11)="[Jefatura] ",N($AL213)=0),"No se encuentra en la hoja de la jefatura (elíjala de nuevo en la lista)"&amp;" · ","")&amp;IF(OR(AND($E213&lt;&gt;"",NOT(ISNUMBER($E213))),AND($F213&lt;&gt;"",NOT(ISNUMBER($F213))),AND($G213&lt;&gt;"",NOT(ISNUMBER($G213)))),"Fecha no válida"&amp;" · ","")&amp;IF(AND(ISNUMBER($AM213),ISNUMBER($AN213),$AM213&gt;$AN213),"Inicio posterior a fecha límite"&amp;" · ","")&amp;IF(AND($V213="Macro",$H213&lt;&gt;"",OR(NOT(ISNUMBER($H213)),$H213&lt;0,$H213&gt;1)),"Peso fuera de rango"&amp;" · ","")&amp;IF(AND($V213="Sub",$H213&lt;&gt;""),"Las subactividades no llevan peso (valen igual dentro de su macroactividad)"&amp;" · ","")&amp;IF(AND(N($W213)&gt;0,COUNT($I213:$L213)&gt;0),"Con subactividades: deje vacías las semanas (se calculan solas)"&amp;" · ","")&amp;IF((COUNTIF($I213:$L213,"&gt;1")+COUNTIF($I213:$L213,"&lt;0")+COUNTA($I213:$L213)-COUNT($I213:$L213))&gt;0,"Avance fuera de rango 0-100%"&amp;" · ","")&amp;IF(OR(AND($J213&lt;&gt;"",$J213&lt;$I213),AND($K213&lt;&gt;"",$K213&lt;MAX($I213:$J213)),AND($L213&lt;&gt;"",$L213&lt;MAX($I213:$K213))),"Avance semanal decreciente"&amp;" · ","")&amp;IF(AND(ISNUMBER($AN213),$AN213&lt;FechaRef,IF($V213="Sub",N($X213),N($M213))&lt;1),"Vencida"&amp;" · ","")&amp;IF(AND(ObsObligatoria="Sí",ISNUMBER($AN213),$AN213&lt;FechaRef,IF($V213="Sub",N($X213),N($M213))&lt;1,$Q213=""),"Vencida sin observación"&amp;" · ",""))="","✔ OK","⚠ "&amp;LEFT(IF($C213="","Falta el nombre de la actividad"&amp;" · ","")&amp;IF(AND($V213="Sub",N($U213)=0),"Subactividad sin macroactividad arriba"&amp;" · ","")&amp;IF($AM213="","Sin fecha de inicio"&amp;" · ","")&amp;IF($AN213="","Sin fecha límite"&amp;" · ","")&amp;IF(AND(LEFT($C213,11)="[Jefatura] ",N($AL213)=0),"No se encuentra en la hoja de la jefatura (elíjala de nuevo en la lista)"&amp;" · ","")&amp;IF(OR(AND($E213&lt;&gt;"",NOT(ISNUMBER($E213))),AND($F213&lt;&gt;"",NOT(ISNUMBER($F213))),AND($G213&lt;&gt;"",NOT(ISNUMBER($G213)))),"Fecha no válida"&amp;" · ","")&amp;IF(AND(ISNUMBER($AM213),ISNUMBER($AN213),$AM213&gt;$AN213),"Inicio posterior a fecha límite"&amp;" · ","")&amp;IF(AND($V213="Macro",$H213&lt;&gt;"",OR(NOT(ISNUMBER($H213)),$H213&lt;0,$H213&gt;1)),"Peso fuera de rango"&amp;" · ","")&amp;IF(AND($V213="Sub",$H213&lt;&gt;""),"Las subactividades no llevan peso (valen igual dentro de su macroactividad)"&amp;" · ","")&amp;IF(AND(N($W213)&gt;0,COUNT($I213:$L213)&gt;0),"Con subactividades: deje vacías las semanas (se calculan solas)"&amp;" · ","")&amp;IF((COUNTIF($I213:$L213,"&gt;1")+COUNTIF($I213:$L213,"&lt;0")+COUNTA($I213:$L213)-COUNT($I213:$L213))&gt;0,"Avance fuera de rango 0-100%"&amp;" · ","")&amp;IF(OR(AND($J213&lt;&gt;"",$J213&lt;$I213),AND($K213&lt;&gt;"",$K213&lt;MAX($I213:$J213)),AND($L213&lt;&gt;"",$L213&lt;MAX($I213:$K213))),"Avance semanal decreciente"&amp;" · ","")&amp;IF(AND(ISNUMBER($AN213),$AN213&lt;FechaRef,IF($V213="Sub",N($X213),N($M213))&lt;1),"Vencida"&amp;" · ","")&amp;IF(AND(ObsObligatoria="Sí",ISNUMBER($AN213),$AN213&lt;FechaRef,IF($V213="Sub",N($X213),N($M213))&lt;1,$Q213=""),"Vencida sin observación"&amp;" · ",""),LEN(IF($C213="","Falta el nombre de la actividad"&amp;" · ","")&amp;IF(AND($V213="Sub",N($U213)=0),"Subactividad sin macroactividad arriba"&amp;" · ","")&amp;IF($AM213="","Sin fecha de inicio"&amp;" · ","")&amp;IF($AN213="","Sin fecha límite"&amp;" · ","")&amp;IF(AND(LEFT($C213,11)="[Jefatura] ",N($AL213)=0),"No se encuentra en la hoja de la jefatura (elíjala de nuevo en la lista)"&amp;" · ","")&amp;IF(OR(AND($E213&lt;&gt;"",NOT(ISNUMBER($E213))),AND($F213&lt;&gt;"",NOT(ISNUMBER($F213))),AND($G213&lt;&gt;"",NOT(ISNUMBER($G213)))),"Fecha no válida"&amp;" · ","")&amp;IF(AND(ISNUMBER($AM213),ISNUMBER($AN213),$AM213&gt;$AN213),"Inicio posterior a fecha límite"&amp;" · ","")&amp;IF(AND($V213="Macro",$H213&lt;&gt;"",OR(NOT(ISNUMBER($H213)),$H213&lt;0,$H213&gt;1)),"Peso fuera de rango"&amp;" · ","")&amp;IF(AND($V213="Sub",$H213&lt;&gt;""),"Las subactividades no llevan peso (valen igual dentro de su macroactividad)"&amp;" · ","")&amp;IF(AND(N($W213)&gt;0,COUNT($I213:$L213)&gt;0),"Con subactividades: deje vacías las semanas (se calculan solas)"&amp;" · ","")&amp;IF((COUNTIF($I213:$L213,"&gt;1")+COUNTIF($I213:$L213,"&lt;0")+COUNTA($I213:$L213)-COUNT($I213:$L213))&gt;0,"Avance fuera de rango 0-100%"&amp;" · ","")&amp;IF(OR(AND($J213&lt;&gt;"",$J213&lt;$I213),AND($K213&lt;&gt;"",$K213&lt;MAX($I213:$J213)),AND($L213&lt;&gt;"",$L213&lt;MAX($I213:$K213))),"Avance semanal decreciente"&amp;" · ","")&amp;IF(AND(ISNUMBER($AN213),$AN213&lt;FechaRef,IF($V213="Sub",N($X213),N($M213))&lt;1),"Vencida"&amp;" · ","")&amp;IF(AND(ObsObligatoria="Sí",ISNUMBER($AN213),$AN213&lt;FechaRef,IF($V213="Sub",N($X213),N($M213))&lt;1,$Q213=""),"Vencida sin observación"&amp;" · ",""))-3)))</f>
        <v/>
      </c>
      <c r="S213" s="64">
        <f>IF(NOT((COUNTA($B213:$D213)+COUNTA($G213:$L213)+COUNTA($Q213))&gt;0),"",IF(AND($V213="Sub",N($U213)&gt;0),IF(ISNUMBER(INDEX($AM$5:$AM$1000,$U213-4)),DATE(YEAR(INDEX($AM$5:$AM$1000,$U213-4)),MONTH(INDEX($AM$5:$AM$1000,$U213-4)),1),IF(ISNUMBER(INDEX($AN$5:$AN$1000,$U213-4)),DATE(YEAR(INDEX($AN$5:$AN$1000,$U213-4)),MONTH(INDEX($AN$5:$AN$1000,$U213-4)),1),MesCiclo)),IF(ISNUMBER($AM213),DATE(YEAR($AM213),MONTH($AM213),1),IF(ISNUMBER($AN213),DATE(YEAR($AN213),MONTH($AN213),1),MesCiclo))))</f>
        <v/>
      </c>
      <c r="T213" s="62">
        <f>IF(OR($S213="",$S213&lt;&gt;MesCiclo,$V213&lt;&gt;"Macro"),"",COUNTIFS($S$5:$S213,MesCiclo,$V$5:$V213,"Macro"))</f>
        <v/>
      </c>
      <c r="U213" s="62">
        <f>IF($V213="","",IF($V213="Macro",ROW(),IFERROR(LOOKUP(2,1/($V$5:$V213="Macro"),ROW($V$5:$V213)),0)))</f>
        <v/>
      </c>
      <c r="V213" s="62">
        <f>IF(NOT((COUNTA($B213:$D213)+COUNTA($G213:$L213)+COUNTA($Q213))&gt;0),"",IF($B213="Subactividad","Sub","Macro"))</f>
        <v/>
      </c>
      <c r="W213" s="62">
        <f>IF($V213="Macro",COUNTIFS($U$5:$U$1000,ROW(),$V$5:$V$1000,"Sub"),"")</f>
        <v/>
      </c>
      <c r="X213" s="62">
        <f>IF($V213="","",IF(ISNUMBER($G213),1,IFERROR(LOOKUP(2,1/($I213:$L213&lt;&gt;""),$I213:$L213),0)))</f>
        <v/>
      </c>
      <c r="Y213" s="62">
        <f>IF($V213="","",IF(AND(ISNUMBER($G213),$G213&lt;=IF($S213=MesCiclo,InicioCiclo,$S213+MOD(2-WEEKDAY($S213),7))+6),1,IF(ISNUMBER($I213),$I213,0)))</f>
        <v/>
      </c>
      <c r="Z213" s="62">
        <f>IF($V213="","",IF(AND(ISNUMBER($G213),$G213&lt;=IF($S213=MesCiclo,InicioCiclo,$S213+MOD(2-WEEKDAY($S213),7))+13),1,IF(ISNUMBER($J213),$J213,$Y213)))</f>
        <v/>
      </c>
      <c r="AA213" s="62">
        <f>IF($V213="","",IF(AND(ISNUMBER($G213),$G213&lt;=IF($S213=MesCiclo,InicioCiclo,$S213+MOD(2-WEEKDAY($S213),7))+20),1,IF(ISNUMBER($K213),$K213,$Z213)))</f>
        <v/>
      </c>
      <c r="AB213" s="62">
        <f>IF($V213="","",IF(AND(ISNUMBER($G213),$G213&lt;=IF($S213=MesCiclo,InicioCiclo,$S213+MOD(2-WEEKDAY($S213),7))+27),1,IF(ISNUMBER($L213),$L213,$AA213)))</f>
        <v/>
      </c>
      <c r="AC213" s="62">
        <f>IF($V213="","",IF(AND(ISNUMBER($G213),$G213&lt;=IF($S213=MesCiclo,InicioCiclo,$S213+MOD(2-WEEKDAY($S213),7))+6),1,IF(N($W213)&gt;0,AVERAGEIFS($Y$5:$Y$1000,$U$5:$U$1000,ROW(),$V$5:$V$1000,"Sub"),$Y213)))</f>
        <v/>
      </c>
      <c r="AD213" s="62">
        <f>IF($V213="","",IF(AND(ISNUMBER($G213),$G213&lt;=IF($S213=MesCiclo,InicioCiclo,$S213+MOD(2-WEEKDAY($S213),7))+13),1,IF(N($W213)&gt;0,AVERAGEIFS($Z$5:$Z$1000,$U$5:$U$1000,ROW(),$V$5:$V$1000,"Sub"),$Z213)))</f>
        <v/>
      </c>
      <c r="AE213" s="62">
        <f>IF($V213="","",IF(AND(ISNUMBER($G213),$G213&lt;=IF($S213=MesCiclo,InicioCiclo,$S213+MOD(2-WEEKDAY($S213),7))+20),1,IF(N($W213)&gt;0,AVERAGEIFS($AA$5:$AA$1000,$U$5:$U$1000,ROW(),$V$5:$V$1000,"Sub"),$AA213)))</f>
        <v/>
      </c>
      <c r="AF213" s="62">
        <f>IF($V213="","",IF(AND(ISNUMBER($G213),$G213&lt;=IF($S213=MesCiclo,InicioCiclo,$S213+MOD(2-WEEKDAY($S213),7))+27),1,IF(N($W213)&gt;0,AVERAGEIFS($AB$5:$AB$1000,$U$5:$U$1000,ROW(),$V$5:$V$1000,"Sub"),$AB213)))</f>
        <v/>
      </c>
      <c r="AG213" s="62">
        <f>IF($V213&lt;&gt;"Macro","",IF(COUNTIFS($S$5:$S$1000,$S213,$V$5:$V$1000,"Macro",$H$5:$H$1000,"&gt;0")=0,1/COUNTIFS($S$5:$S$1000,$S213,$V$5:$V$1000,"Macro"),IF(AND(ISNUMBER($H213),N($H213)&gt;0),$H213,SUMIFS($H$5:$H$1000,$S$5:$S$1000,$S213,$V$5:$V$1000,"Macro")/COUNTIFS($S$5:$S$1000,$S213,$V$5:$V$1000,"Macro",$H$5:$H$1000,"&gt;0"))/(COUNTIFS($S$5:$S$1000,$S213,$V$5:$V$1000,"Macro")*SUMIFS($H$5:$H$1000,$S$5:$S$1000,$S213,$V$5:$V$1000,"Macro")/COUNTIFS($S$5:$S$1000,$S213,$V$5:$V$1000,"Macro",$H$5:$H$1000,"&gt;0"))))</f>
        <v/>
      </c>
      <c r="AH213" s="62">
        <f>IF(NOT(AND($D213&lt;&gt;"",$V213="Macro")),"",IFERROR(CHOOSE(MATCH($D213,ListaPuestos,0),MATCH("[Jefatura] "&amp;$C213,'Cronograma R. Operacional'!$C$5:$C$1000,0),MATCH("[Jefatura] "&amp;$C213,'Cronograma R. Normativo'!$C$5:$C$1000,0),MATCH("[Jefatura] "&amp;$C213,'Cronograma R. Financiero'!$C$5:$C$1000,0),MATCH("[Jefatura] "&amp;$C213,'Cronograma Asistente Técnico'!$C$5:$C$1000,0)),0))</f>
        <v/>
      </c>
      <c r="AI213" s="62">
        <f>IF(AND(AND($D213&lt;&gt;"",$V213="Macro"),$S213=MesCiclo),COUNTIFS($D$5:$D213,$D213,$S$5:$S213,MesCiclo,$V$5:$V213,"Macro"),"")</f>
        <v/>
      </c>
      <c r="AJ213" s="62">
        <f>IF($AI213="","",$D213&amp;"|"&amp;$AI213)</f>
        <v/>
      </c>
      <c r="AK213" s="62">
        <f>IF(AND($D213&lt;&gt;"",$V213="Macro"),$D213&amp;"|"&amp;$C213,"")</f>
        <v/>
      </c>
      <c r="AL213" s="62">
        <f>""</f>
        <v/>
      </c>
      <c r="AM213" s="62">
        <f>IF(N($AL213)&gt;0,INDEX(rIni_ADM,$AL213),IF(ISNUMBER($E213),$E213,""))</f>
        <v/>
      </c>
      <c r="AN213" s="62">
        <f>IF(N($AL213)&gt;0,INDEX(rLim_ADM,$AL213),IF(ISNUMBER($F213),$F213,""))</f>
        <v/>
      </c>
    </row>
    <row r="214">
      <c r="A214" s="56">
        <f>IF(NOT((COUNTA($B214:$D214)+COUNTA($G214:$L214)+COUNTA($Q214))&gt;0),"",IF($V214="Macro",COUNTIFS($V$5:$V214,"Macro",$S$5:$S214,$S214),IF(N($U214)=0,"?",COUNTIFS(INDEX($V$5:$V$1000,1):INDEX($V$5:$V$1000,$U214-4),"Macro",INDEX($S$5:$S$1000,1):INDEX($S$5:$S$1000,$U214-4),INDEX($S$5:$S$1000,$U214-4))&amp;"."&amp;COUNTIFS($U$5:$U214,$U214,$V$5:$V214,"Sub"))))</f>
        <v/>
      </c>
      <c r="B214" s="57" t="n"/>
      <c r="C214" s="58" t="n"/>
      <c r="D214" s="58" t="n"/>
      <c r="E214" s="59" t="n"/>
      <c r="F214" s="59" t="n"/>
      <c r="G214" s="59" t="n"/>
      <c r="H214" s="60" t="n"/>
      <c r="I214" s="60" t="n"/>
      <c r="J214" s="60" t="n"/>
      <c r="K214" s="60" t="n"/>
      <c r="L214" s="60" t="n"/>
      <c r="M214" s="61">
        <f>IF(NOT((COUNTA($B214:$D214)+COUNTA($G214:$L214)+COUNTA($Q214))&gt;0),"",IF(AND($D214&lt;&gt;"",$V214="Macro"),IF(N($AH214)&gt;0,N(CHOOSE(MATCH($D214,ListaPuestos,0),INDEX('Cronograma R. Operacional'!$M$5:$M$1000,$AH214),INDEX('Cronograma R. Normativo'!$M$5:$M$1000,$AH214),INDEX('Cronograma R. Financiero'!$M$5:$M$1000,$AH214),INDEX('Cronograma Asistente Técnico'!$M$5:$M$1000,$AH214))),0),IF(ISNUMBER($G214),1,IF(N($W214)&gt;0,AVERAGEIFS($X$5:$X$1000,$U$5:$U$1000,ROW(),$V$5:$V$1000,"Sub"),$X214))))</f>
        <v/>
      </c>
      <c r="N214" s="56">
        <f>IF(OR($M214="",$V214="Sub"),"",IF($M214&gt;=1,"Completado",IF($M214&gt;0,"En curso","Pendiente")))</f>
        <v/>
      </c>
      <c r="O214" s="56">
        <f>IF(NOT((COUNTA($B214:$D214)+COUNTA($G214:$L214)+COUNTA($Q214))&gt;0),"",IF(AND(AND($D214&lt;&gt;"",$V214="Macro"),N($AH214)&gt;0),CHOOSE(MATCH($D214,ListaPuestos,0),INDEX('Cronograma R. Operacional'!$O$5:$O$1000,$AH214),INDEX('Cronograma R. Normativo'!$O$5:$O$1000,$AH214),INDEX('Cronograma R. Financiero'!$O$5:$O$1000,$AH214),INDEX('Cronograma Asistente Técnico'!$O$5:$O$1000,$AH214))&amp;"",IF(ISNUMBER($G214),IF(AND(ISNUMBER($AN214),$G214&gt;$AN214),"Cumplida con "&amp;($G214-$AN214)&amp;IF($G214-$AN214=1," día"," días")&amp;" de retraso","Cumplida"),IF(N($M214)&gt;=1,"Cumplida",IF(NOT(ISNUMBER($AN214)),"Sin fecha límite",IF($AN214&lt;FechaRef,"Vencida hace "&amp;(FechaRef-$AN214)&amp;IF(FechaRef-$AN214=1," día"," días"),IF($AN214=FechaRef,"Vence hoy",IF($AN214-FechaRef&lt;=DiasAlerta,"Vence en "&amp;($AN214-FechaRef)&amp;IF($AN214-FechaRef=1," día"," días"),"En plazo"))))))))</f>
        <v/>
      </c>
      <c r="P214" s="62">
        <f>IF(NOT((COUNTA($B214:$D214)+COUNTA($G214:$L214)+COUNTA($Q214))&gt;0),"",IF($D214="","Propia",IF($V214&lt;&gt;"Macro","Solo se delegan macroactividades",IF(N($AH214)&gt;0,"✔ Recibida por "&amp;$D214,"⚠ "&amp;$D214&amp;" aún no la agrega"))))</f>
        <v/>
      </c>
      <c r="Q214" s="58" t="n"/>
      <c r="R214" s="63">
        <f>IF(NOT((COUNTA($B214:$D214)+COUNTA($G214:$L214)+COUNTA($Q214))&gt;0),"",IF((IF($C214="","Falta el nombre de la actividad"&amp;" · ","")&amp;IF(AND($V214="Sub",N($U214)=0),"Subactividad sin macroactividad arriba"&amp;" · ","")&amp;IF($AM214="","Sin fecha de inicio"&amp;" · ","")&amp;IF($AN214="","Sin fecha límite"&amp;" · ","")&amp;IF(AND(LEFT($C214,11)="[Jefatura] ",N($AL214)=0),"No se encuentra en la hoja de la jefatura (elíjala de nuevo en la lista)"&amp;" · ","")&amp;IF(OR(AND($E214&lt;&gt;"",NOT(ISNUMBER($E214))),AND($F214&lt;&gt;"",NOT(ISNUMBER($F214))),AND($G214&lt;&gt;"",NOT(ISNUMBER($G214)))),"Fecha no válida"&amp;" · ","")&amp;IF(AND(ISNUMBER($AM214),ISNUMBER($AN214),$AM214&gt;$AN214),"Inicio posterior a fecha límite"&amp;" · ","")&amp;IF(AND($V214="Macro",$H214&lt;&gt;"",OR(NOT(ISNUMBER($H214)),$H214&lt;0,$H214&gt;1)),"Peso fuera de rango"&amp;" · ","")&amp;IF(AND($V214="Sub",$H214&lt;&gt;""),"Las subactividades no llevan peso (valen igual dentro de su macroactividad)"&amp;" · ","")&amp;IF(AND(N($W214)&gt;0,COUNT($I214:$L214)&gt;0),"Con subactividades: deje vacías las semanas (se calculan solas)"&amp;" · ","")&amp;IF((COUNTIF($I214:$L214,"&gt;1")+COUNTIF($I214:$L214,"&lt;0")+COUNTA($I214:$L214)-COUNT($I214:$L214))&gt;0,"Avance fuera de rango 0-100%"&amp;" · ","")&amp;IF(OR(AND($J214&lt;&gt;"",$J214&lt;$I214),AND($K214&lt;&gt;"",$K214&lt;MAX($I214:$J214)),AND($L214&lt;&gt;"",$L214&lt;MAX($I214:$K214))),"Avance semanal decreciente"&amp;" · ","")&amp;IF(AND(ISNUMBER($AN214),$AN214&lt;FechaRef,IF($V214="Sub",N($X214),N($M214))&lt;1),"Vencida"&amp;" · ","")&amp;IF(AND(ObsObligatoria="Sí",ISNUMBER($AN214),$AN214&lt;FechaRef,IF($V214="Sub",N($X214),N($M214))&lt;1,$Q214=""),"Vencida sin observación"&amp;" · ",""))="","✔ OK","⚠ "&amp;LEFT(IF($C214="","Falta el nombre de la actividad"&amp;" · ","")&amp;IF(AND($V214="Sub",N($U214)=0),"Subactividad sin macroactividad arriba"&amp;" · ","")&amp;IF($AM214="","Sin fecha de inicio"&amp;" · ","")&amp;IF($AN214="","Sin fecha límite"&amp;" · ","")&amp;IF(AND(LEFT($C214,11)="[Jefatura] ",N($AL214)=0),"No se encuentra en la hoja de la jefatura (elíjala de nuevo en la lista)"&amp;" · ","")&amp;IF(OR(AND($E214&lt;&gt;"",NOT(ISNUMBER($E214))),AND($F214&lt;&gt;"",NOT(ISNUMBER($F214))),AND($G214&lt;&gt;"",NOT(ISNUMBER($G214)))),"Fecha no válida"&amp;" · ","")&amp;IF(AND(ISNUMBER($AM214),ISNUMBER($AN214),$AM214&gt;$AN214),"Inicio posterior a fecha límite"&amp;" · ","")&amp;IF(AND($V214="Macro",$H214&lt;&gt;"",OR(NOT(ISNUMBER($H214)),$H214&lt;0,$H214&gt;1)),"Peso fuera de rango"&amp;" · ","")&amp;IF(AND($V214="Sub",$H214&lt;&gt;""),"Las subactividades no llevan peso (valen igual dentro de su macroactividad)"&amp;" · ","")&amp;IF(AND(N($W214)&gt;0,COUNT($I214:$L214)&gt;0),"Con subactividades: deje vacías las semanas (se calculan solas)"&amp;" · ","")&amp;IF((COUNTIF($I214:$L214,"&gt;1")+COUNTIF($I214:$L214,"&lt;0")+COUNTA($I214:$L214)-COUNT($I214:$L214))&gt;0,"Avance fuera de rango 0-100%"&amp;" · ","")&amp;IF(OR(AND($J214&lt;&gt;"",$J214&lt;$I214),AND($K214&lt;&gt;"",$K214&lt;MAX($I214:$J214)),AND($L214&lt;&gt;"",$L214&lt;MAX($I214:$K214))),"Avance semanal decreciente"&amp;" · ","")&amp;IF(AND(ISNUMBER($AN214),$AN214&lt;FechaRef,IF($V214="Sub",N($X214),N($M214))&lt;1),"Vencida"&amp;" · ","")&amp;IF(AND(ObsObligatoria="Sí",ISNUMBER($AN214),$AN214&lt;FechaRef,IF($V214="Sub",N($X214),N($M214))&lt;1,$Q214=""),"Vencida sin observación"&amp;" · ",""),LEN(IF($C214="","Falta el nombre de la actividad"&amp;" · ","")&amp;IF(AND($V214="Sub",N($U214)=0),"Subactividad sin macroactividad arriba"&amp;" · ","")&amp;IF($AM214="","Sin fecha de inicio"&amp;" · ","")&amp;IF($AN214="","Sin fecha límite"&amp;" · ","")&amp;IF(AND(LEFT($C214,11)="[Jefatura] ",N($AL214)=0),"No se encuentra en la hoja de la jefatura (elíjala de nuevo en la lista)"&amp;" · ","")&amp;IF(OR(AND($E214&lt;&gt;"",NOT(ISNUMBER($E214))),AND($F214&lt;&gt;"",NOT(ISNUMBER($F214))),AND($G214&lt;&gt;"",NOT(ISNUMBER($G214)))),"Fecha no válida"&amp;" · ","")&amp;IF(AND(ISNUMBER($AM214),ISNUMBER($AN214),$AM214&gt;$AN214),"Inicio posterior a fecha límite"&amp;" · ","")&amp;IF(AND($V214="Macro",$H214&lt;&gt;"",OR(NOT(ISNUMBER($H214)),$H214&lt;0,$H214&gt;1)),"Peso fuera de rango"&amp;" · ","")&amp;IF(AND($V214="Sub",$H214&lt;&gt;""),"Las subactividades no llevan peso (valen igual dentro de su macroactividad)"&amp;" · ","")&amp;IF(AND(N($W214)&gt;0,COUNT($I214:$L214)&gt;0),"Con subactividades: deje vacías las semanas (se calculan solas)"&amp;" · ","")&amp;IF((COUNTIF($I214:$L214,"&gt;1")+COUNTIF($I214:$L214,"&lt;0")+COUNTA($I214:$L214)-COUNT($I214:$L214))&gt;0,"Avance fuera de rango 0-100%"&amp;" · ","")&amp;IF(OR(AND($J214&lt;&gt;"",$J214&lt;$I214),AND($K214&lt;&gt;"",$K214&lt;MAX($I214:$J214)),AND($L214&lt;&gt;"",$L214&lt;MAX($I214:$K214))),"Avance semanal decreciente"&amp;" · ","")&amp;IF(AND(ISNUMBER($AN214),$AN214&lt;FechaRef,IF($V214="Sub",N($X214),N($M214))&lt;1),"Vencida"&amp;" · ","")&amp;IF(AND(ObsObligatoria="Sí",ISNUMBER($AN214),$AN214&lt;FechaRef,IF($V214="Sub",N($X214),N($M214))&lt;1,$Q214=""),"Vencida sin observación"&amp;" · ",""))-3)))</f>
        <v/>
      </c>
      <c r="S214" s="64">
        <f>IF(NOT((COUNTA($B214:$D214)+COUNTA($G214:$L214)+COUNTA($Q214))&gt;0),"",IF(AND($V214="Sub",N($U214)&gt;0),IF(ISNUMBER(INDEX($AM$5:$AM$1000,$U214-4)),DATE(YEAR(INDEX($AM$5:$AM$1000,$U214-4)),MONTH(INDEX($AM$5:$AM$1000,$U214-4)),1),IF(ISNUMBER(INDEX($AN$5:$AN$1000,$U214-4)),DATE(YEAR(INDEX($AN$5:$AN$1000,$U214-4)),MONTH(INDEX($AN$5:$AN$1000,$U214-4)),1),MesCiclo)),IF(ISNUMBER($AM214),DATE(YEAR($AM214),MONTH($AM214),1),IF(ISNUMBER($AN214),DATE(YEAR($AN214),MONTH($AN214),1),MesCiclo))))</f>
        <v/>
      </c>
      <c r="T214" s="62">
        <f>IF(OR($S214="",$S214&lt;&gt;MesCiclo,$V214&lt;&gt;"Macro"),"",COUNTIFS($S$5:$S214,MesCiclo,$V$5:$V214,"Macro"))</f>
        <v/>
      </c>
      <c r="U214" s="62">
        <f>IF($V214="","",IF($V214="Macro",ROW(),IFERROR(LOOKUP(2,1/($V$5:$V214="Macro"),ROW($V$5:$V214)),0)))</f>
        <v/>
      </c>
      <c r="V214" s="62">
        <f>IF(NOT((COUNTA($B214:$D214)+COUNTA($G214:$L214)+COUNTA($Q214))&gt;0),"",IF($B214="Subactividad","Sub","Macro"))</f>
        <v/>
      </c>
      <c r="W214" s="62">
        <f>IF($V214="Macro",COUNTIFS($U$5:$U$1000,ROW(),$V$5:$V$1000,"Sub"),"")</f>
        <v/>
      </c>
      <c r="X214" s="62">
        <f>IF($V214="","",IF(ISNUMBER($G214),1,IFERROR(LOOKUP(2,1/($I214:$L214&lt;&gt;""),$I214:$L214),0)))</f>
        <v/>
      </c>
      <c r="Y214" s="62">
        <f>IF($V214="","",IF(AND(ISNUMBER($G214),$G214&lt;=IF($S214=MesCiclo,InicioCiclo,$S214+MOD(2-WEEKDAY($S214),7))+6),1,IF(ISNUMBER($I214),$I214,0)))</f>
        <v/>
      </c>
      <c r="Z214" s="62">
        <f>IF($V214="","",IF(AND(ISNUMBER($G214),$G214&lt;=IF($S214=MesCiclo,InicioCiclo,$S214+MOD(2-WEEKDAY($S214),7))+13),1,IF(ISNUMBER($J214),$J214,$Y214)))</f>
        <v/>
      </c>
      <c r="AA214" s="62">
        <f>IF($V214="","",IF(AND(ISNUMBER($G214),$G214&lt;=IF($S214=MesCiclo,InicioCiclo,$S214+MOD(2-WEEKDAY($S214),7))+20),1,IF(ISNUMBER($K214),$K214,$Z214)))</f>
        <v/>
      </c>
      <c r="AB214" s="62">
        <f>IF($V214="","",IF(AND(ISNUMBER($G214),$G214&lt;=IF($S214=MesCiclo,InicioCiclo,$S214+MOD(2-WEEKDAY($S214),7))+27),1,IF(ISNUMBER($L214),$L214,$AA214)))</f>
        <v/>
      </c>
      <c r="AC214" s="62">
        <f>IF($V214="","",IF(AND(ISNUMBER($G214),$G214&lt;=IF($S214=MesCiclo,InicioCiclo,$S214+MOD(2-WEEKDAY($S214),7))+6),1,IF(N($W214)&gt;0,AVERAGEIFS($Y$5:$Y$1000,$U$5:$U$1000,ROW(),$V$5:$V$1000,"Sub"),$Y214)))</f>
        <v/>
      </c>
      <c r="AD214" s="62">
        <f>IF($V214="","",IF(AND(ISNUMBER($G214),$G214&lt;=IF($S214=MesCiclo,InicioCiclo,$S214+MOD(2-WEEKDAY($S214),7))+13),1,IF(N($W214)&gt;0,AVERAGEIFS($Z$5:$Z$1000,$U$5:$U$1000,ROW(),$V$5:$V$1000,"Sub"),$Z214)))</f>
        <v/>
      </c>
      <c r="AE214" s="62">
        <f>IF($V214="","",IF(AND(ISNUMBER($G214),$G214&lt;=IF($S214=MesCiclo,InicioCiclo,$S214+MOD(2-WEEKDAY($S214),7))+20),1,IF(N($W214)&gt;0,AVERAGEIFS($AA$5:$AA$1000,$U$5:$U$1000,ROW(),$V$5:$V$1000,"Sub"),$AA214)))</f>
        <v/>
      </c>
      <c r="AF214" s="62">
        <f>IF($V214="","",IF(AND(ISNUMBER($G214),$G214&lt;=IF($S214=MesCiclo,InicioCiclo,$S214+MOD(2-WEEKDAY($S214),7))+27),1,IF(N($W214)&gt;0,AVERAGEIFS($AB$5:$AB$1000,$U$5:$U$1000,ROW(),$V$5:$V$1000,"Sub"),$AB214)))</f>
        <v/>
      </c>
      <c r="AG214" s="62">
        <f>IF($V214&lt;&gt;"Macro","",IF(COUNTIFS($S$5:$S$1000,$S214,$V$5:$V$1000,"Macro",$H$5:$H$1000,"&gt;0")=0,1/COUNTIFS($S$5:$S$1000,$S214,$V$5:$V$1000,"Macro"),IF(AND(ISNUMBER($H214),N($H214)&gt;0),$H214,SUMIFS($H$5:$H$1000,$S$5:$S$1000,$S214,$V$5:$V$1000,"Macro")/COUNTIFS($S$5:$S$1000,$S214,$V$5:$V$1000,"Macro",$H$5:$H$1000,"&gt;0"))/(COUNTIFS($S$5:$S$1000,$S214,$V$5:$V$1000,"Macro")*SUMIFS($H$5:$H$1000,$S$5:$S$1000,$S214,$V$5:$V$1000,"Macro")/COUNTIFS($S$5:$S$1000,$S214,$V$5:$V$1000,"Macro",$H$5:$H$1000,"&gt;0"))))</f>
        <v/>
      </c>
      <c r="AH214" s="62">
        <f>IF(NOT(AND($D214&lt;&gt;"",$V214="Macro")),"",IFERROR(CHOOSE(MATCH($D214,ListaPuestos,0),MATCH("[Jefatura] "&amp;$C214,'Cronograma R. Operacional'!$C$5:$C$1000,0),MATCH("[Jefatura] "&amp;$C214,'Cronograma R. Normativo'!$C$5:$C$1000,0),MATCH("[Jefatura] "&amp;$C214,'Cronograma R. Financiero'!$C$5:$C$1000,0),MATCH("[Jefatura] "&amp;$C214,'Cronograma Asistente Técnico'!$C$5:$C$1000,0)),0))</f>
        <v/>
      </c>
      <c r="AI214" s="62">
        <f>IF(AND(AND($D214&lt;&gt;"",$V214="Macro"),$S214=MesCiclo),COUNTIFS($D$5:$D214,$D214,$S$5:$S214,MesCiclo,$V$5:$V214,"Macro"),"")</f>
        <v/>
      </c>
      <c r="AJ214" s="62">
        <f>IF($AI214="","",$D214&amp;"|"&amp;$AI214)</f>
        <v/>
      </c>
      <c r="AK214" s="62">
        <f>IF(AND($D214&lt;&gt;"",$V214="Macro"),$D214&amp;"|"&amp;$C214,"")</f>
        <v/>
      </c>
      <c r="AL214" s="62">
        <f>""</f>
        <v/>
      </c>
      <c r="AM214" s="62">
        <f>IF(N($AL214)&gt;0,INDEX(rIni_ADM,$AL214),IF(ISNUMBER($E214),$E214,""))</f>
        <v/>
      </c>
      <c r="AN214" s="62">
        <f>IF(N($AL214)&gt;0,INDEX(rLim_ADM,$AL214),IF(ISNUMBER($F214),$F214,""))</f>
        <v/>
      </c>
    </row>
    <row r="215">
      <c r="A215" s="56">
        <f>IF(NOT((COUNTA($B215:$D215)+COUNTA($G215:$L215)+COUNTA($Q215))&gt;0),"",IF($V215="Macro",COUNTIFS($V$5:$V215,"Macro",$S$5:$S215,$S215),IF(N($U215)=0,"?",COUNTIFS(INDEX($V$5:$V$1000,1):INDEX($V$5:$V$1000,$U215-4),"Macro",INDEX($S$5:$S$1000,1):INDEX($S$5:$S$1000,$U215-4),INDEX($S$5:$S$1000,$U215-4))&amp;"."&amp;COUNTIFS($U$5:$U215,$U215,$V$5:$V215,"Sub"))))</f>
        <v/>
      </c>
      <c r="B215" s="57" t="n"/>
      <c r="C215" s="58" t="n"/>
      <c r="D215" s="58" t="n"/>
      <c r="E215" s="59" t="n"/>
      <c r="F215" s="59" t="n"/>
      <c r="G215" s="59" t="n"/>
      <c r="H215" s="60" t="n"/>
      <c r="I215" s="60" t="n"/>
      <c r="J215" s="60" t="n"/>
      <c r="K215" s="60" t="n"/>
      <c r="L215" s="60" t="n"/>
      <c r="M215" s="61">
        <f>IF(NOT((COUNTA($B215:$D215)+COUNTA($G215:$L215)+COUNTA($Q215))&gt;0),"",IF(AND($D215&lt;&gt;"",$V215="Macro"),IF(N($AH215)&gt;0,N(CHOOSE(MATCH($D215,ListaPuestos,0),INDEX('Cronograma R. Operacional'!$M$5:$M$1000,$AH215),INDEX('Cronograma R. Normativo'!$M$5:$M$1000,$AH215),INDEX('Cronograma R. Financiero'!$M$5:$M$1000,$AH215),INDEX('Cronograma Asistente Técnico'!$M$5:$M$1000,$AH215))),0),IF(ISNUMBER($G215),1,IF(N($W215)&gt;0,AVERAGEIFS($X$5:$X$1000,$U$5:$U$1000,ROW(),$V$5:$V$1000,"Sub"),$X215))))</f>
        <v/>
      </c>
      <c r="N215" s="56">
        <f>IF(OR($M215="",$V215="Sub"),"",IF($M215&gt;=1,"Completado",IF($M215&gt;0,"En curso","Pendiente")))</f>
        <v/>
      </c>
      <c r="O215" s="56">
        <f>IF(NOT((COUNTA($B215:$D215)+COUNTA($G215:$L215)+COUNTA($Q215))&gt;0),"",IF(AND(AND($D215&lt;&gt;"",$V215="Macro"),N($AH215)&gt;0),CHOOSE(MATCH($D215,ListaPuestos,0),INDEX('Cronograma R. Operacional'!$O$5:$O$1000,$AH215),INDEX('Cronograma R. Normativo'!$O$5:$O$1000,$AH215),INDEX('Cronograma R. Financiero'!$O$5:$O$1000,$AH215),INDEX('Cronograma Asistente Técnico'!$O$5:$O$1000,$AH215))&amp;"",IF(ISNUMBER($G215),IF(AND(ISNUMBER($AN215),$G215&gt;$AN215),"Cumplida con "&amp;($G215-$AN215)&amp;IF($G215-$AN215=1," día"," días")&amp;" de retraso","Cumplida"),IF(N($M215)&gt;=1,"Cumplida",IF(NOT(ISNUMBER($AN215)),"Sin fecha límite",IF($AN215&lt;FechaRef,"Vencida hace "&amp;(FechaRef-$AN215)&amp;IF(FechaRef-$AN215=1," día"," días"),IF($AN215=FechaRef,"Vence hoy",IF($AN215-FechaRef&lt;=DiasAlerta,"Vence en "&amp;($AN215-FechaRef)&amp;IF($AN215-FechaRef=1," día"," días"),"En plazo"))))))))</f>
        <v/>
      </c>
      <c r="P215" s="62">
        <f>IF(NOT((COUNTA($B215:$D215)+COUNTA($G215:$L215)+COUNTA($Q215))&gt;0),"",IF($D215="","Propia",IF($V215&lt;&gt;"Macro","Solo se delegan macroactividades",IF(N($AH215)&gt;0,"✔ Recibida por "&amp;$D215,"⚠ "&amp;$D215&amp;" aún no la agrega"))))</f>
        <v/>
      </c>
      <c r="Q215" s="58" t="n"/>
      <c r="R215" s="63">
        <f>IF(NOT((COUNTA($B215:$D215)+COUNTA($G215:$L215)+COUNTA($Q215))&gt;0),"",IF((IF($C215="","Falta el nombre de la actividad"&amp;" · ","")&amp;IF(AND($V215="Sub",N($U215)=0),"Subactividad sin macroactividad arriba"&amp;" · ","")&amp;IF($AM215="","Sin fecha de inicio"&amp;" · ","")&amp;IF($AN215="","Sin fecha límite"&amp;" · ","")&amp;IF(AND(LEFT($C215,11)="[Jefatura] ",N($AL215)=0),"No se encuentra en la hoja de la jefatura (elíjala de nuevo en la lista)"&amp;" · ","")&amp;IF(OR(AND($E215&lt;&gt;"",NOT(ISNUMBER($E215))),AND($F215&lt;&gt;"",NOT(ISNUMBER($F215))),AND($G215&lt;&gt;"",NOT(ISNUMBER($G215)))),"Fecha no válida"&amp;" · ","")&amp;IF(AND(ISNUMBER($AM215),ISNUMBER($AN215),$AM215&gt;$AN215),"Inicio posterior a fecha límite"&amp;" · ","")&amp;IF(AND($V215="Macro",$H215&lt;&gt;"",OR(NOT(ISNUMBER($H215)),$H215&lt;0,$H215&gt;1)),"Peso fuera de rango"&amp;" · ","")&amp;IF(AND($V215="Sub",$H215&lt;&gt;""),"Las subactividades no llevan peso (valen igual dentro de su macroactividad)"&amp;" · ","")&amp;IF(AND(N($W215)&gt;0,COUNT($I215:$L215)&gt;0),"Con subactividades: deje vacías las semanas (se calculan solas)"&amp;" · ","")&amp;IF((COUNTIF($I215:$L215,"&gt;1")+COUNTIF($I215:$L215,"&lt;0")+COUNTA($I215:$L215)-COUNT($I215:$L215))&gt;0,"Avance fuera de rango 0-100%"&amp;" · ","")&amp;IF(OR(AND($J215&lt;&gt;"",$J215&lt;$I215),AND($K215&lt;&gt;"",$K215&lt;MAX($I215:$J215)),AND($L215&lt;&gt;"",$L215&lt;MAX($I215:$K215))),"Avance semanal decreciente"&amp;" · ","")&amp;IF(AND(ISNUMBER($AN215),$AN215&lt;FechaRef,IF($V215="Sub",N($X215),N($M215))&lt;1),"Vencida"&amp;" · ","")&amp;IF(AND(ObsObligatoria="Sí",ISNUMBER($AN215),$AN215&lt;FechaRef,IF($V215="Sub",N($X215),N($M215))&lt;1,$Q215=""),"Vencida sin observación"&amp;" · ",""))="","✔ OK","⚠ "&amp;LEFT(IF($C215="","Falta el nombre de la actividad"&amp;" · ","")&amp;IF(AND($V215="Sub",N($U215)=0),"Subactividad sin macroactividad arriba"&amp;" · ","")&amp;IF($AM215="","Sin fecha de inicio"&amp;" · ","")&amp;IF($AN215="","Sin fecha límite"&amp;" · ","")&amp;IF(AND(LEFT($C215,11)="[Jefatura] ",N($AL215)=0),"No se encuentra en la hoja de la jefatura (elíjala de nuevo en la lista)"&amp;" · ","")&amp;IF(OR(AND($E215&lt;&gt;"",NOT(ISNUMBER($E215))),AND($F215&lt;&gt;"",NOT(ISNUMBER($F215))),AND($G215&lt;&gt;"",NOT(ISNUMBER($G215)))),"Fecha no válida"&amp;" · ","")&amp;IF(AND(ISNUMBER($AM215),ISNUMBER($AN215),$AM215&gt;$AN215),"Inicio posterior a fecha límite"&amp;" · ","")&amp;IF(AND($V215="Macro",$H215&lt;&gt;"",OR(NOT(ISNUMBER($H215)),$H215&lt;0,$H215&gt;1)),"Peso fuera de rango"&amp;" · ","")&amp;IF(AND($V215="Sub",$H215&lt;&gt;""),"Las subactividades no llevan peso (valen igual dentro de su macroactividad)"&amp;" · ","")&amp;IF(AND(N($W215)&gt;0,COUNT($I215:$L215)&gt;0),"Con subactividades: deje vacías las semanas (se calculan solas)"&amp;" · ","")&amp;IF((COUNTIF($I215:$L215,"&gt;1")+COUNTIF($I215:$L215,"&lt;0")+COUNTA($I215:$L215)-COUNT($I215:$L215))&gt;0,"Avance fuera de rango 0-100%"&amp;" · ","")&amp;IF(OR(AND($J215&lt;&gt;"",$J215&lt;$I215),AND($K215&lt;&gt;"",$K215&lt;MAX($I215:$J215)),AND($L215&lt;&gt;"",$L215&lt;MAX($I215:$K215))),"Avance semanal decreciente"&amp;" · ","")&amp;IF(AND(ISNUMBER($AN215),$AN215&lt;FechaRef,IF($V215="Sub",N($X215),N($M215))&lt;1),"Vencida"&amp;" · ","")&amp;IF(AND(ObsObligatoria="Sí",ISNUMBER($AN215),$AN215&lt;FechaRef,IF($V215="Sub",N($X215),N($M215))&lt;1,$Q215=""),"Vencida sin observación"&amp;" · ",""),LEN(IF($C215="","Falta el nombre de la actividad"&amp;" · ","")&amp;IF(AND($V215="Sub",N($U215)=0),"Subactividad sin macroactividad arriba"&amp;" · ","")&amp;IF($AM215="","Sin fecha de inicio"&amp;" · ","")&amp;IF($AN215="","Sin fecha límite"&amp;" · ","")&amp;IF(AND(LEFT($C215,11)="[Jefatura] ",N($AL215)=0),"No se encuentra en la hoja de la jefatura (elíjala de nuevo en la lista)"&amp;" · ","")&amp;IF(OR(AND($E215&lt;&gt;"",NOT(ISNUMBER($E215))),AND($F215&lt;&gt;"",NOT(ISNUMBER($F215))),AND($G215&lt;&gt;"",NOT(ISNUMBER($G215)))),"Fecha no válida"&amp;" · ","")&amp;IF(AND(ISNUMBER($AM215),ISNUMBER($AN215),$AM215&gt;$AN215),"Inicio posterior a fecha límite"&amp;" · ","")&amp;IF(AND($V215="Macro",$H215&lt;&gt;"",OR(NOT(ISNUMBER($H215)),$H215&lt;0,$H215&gt;1)),"Peso fuera de rango"&amp;" · ","")&amp;IF(AND($V215="Sub",$H215&lt;&gt;""),"Las subactividades no llevan peso (valen igual dentro de su macroactividad)"&amp;" · ","")&amp;IF(AND(N($W215)&gt;0,COUNT($I215:$L215)&gt;0),"Con subactividades: deje vacías las semanas (se calculan solas)"&amp;" · ","")&amp;IF((COUNTIF($I215:$L215,"&gt;1")+COUNTIF($I215:$L215,"&lt;0")+COUNTA($I215:$L215)-COUNT($I215:$L215))&gt;0,"Avance fuera de rango 0-100%"&amp;" · ","")&amp;IF(OR(AND($J215&lt;&gt;"",$J215&lt;$I215),AND($K215&lt;&gt;"",$K215&lt;MAX($I215:$J215)),AND($L215&lt;&gt;"",$L215&lt;MAX($I215:$K215))),"Avance semanal decreciente"&amp;" · ","")&amp;IF(AND(ISNUMBER($AN215),$AN215&lt;FechaRef,IF($V215="Sub",N($X215),N($M215))&lt;1),"Vencida"&amp;" · ","")&amp;IF(AND(ObsObligatoria="Sí",ISNUMBER($AN215),$AN215&lt;FechaRef,IF($V215="Sub",N($X215),N($M215))&lt;1,$Q215=""),"Vencida sin observación"&amp;" · ",""))-3)))</f>
        <v/>
      </c>
      <c r="S215" s="64">
        <f>IF(NOT((COUNTA($B215:$D215)+COUNTA($G215:$L215)+COUNTA($Q215))&gt;0),"",IF(AND($V215="Sub",N($U215)&gt;0),IF(ISNUMBER(INDEX($AM$5:$AM$1000,$U215-4)),DATE(YEAR(INDEX($AM$5:$AM$1000,$U215-4)),MONTH(INDEX($AM$5:$AM$1000,$U215-4)),1),IF(ISNUMBER(INDEX($AN$5:$AN$1000,$U215-4)),DATE(YEAR(INDEX($AN$5:$AN$1000,$U215-4)),MONTH(INDEX($AN$5:$AN$1000,$U215-4)),1),MesCiclo)),IF(ISNUMBER($AM215),DATE(YEAR($AM215),MONTH($AM215),1),IF(ISNUMBER($AN215),DATE(YEAR($AN215),MONTH($AN215),1),MesCiclo))))</f>
        <v/>
      </c>
      <c r="T215" s="62">
        <f>IF(OR($S215="",$S215&lt;&gt;MesCiclo,$V215&lt;&gt;"Macro"),"",COUNTIFS($S$5:$S215,MesCiclo,$V$5:$V215,"Macro"))</f>
        <v/>
      </c>
      <c r="U215" s="62">
        <f>IF($V215="","",IF($V215="Macro",ROW(),IFERROR(LOOKUP(2,1/($V$5:$V215="Macro"),ROW($V$5:$V215)),0)))</f>
        <v/>
      </c>
      <c r="V215" s="62">
        <f>IF(NOT((COUNTA($B215:$D215)+COUNTA($G215:$L215)+COUNTA($Q215))&gt;0),"",IF($B215="Subactividad","Sub","Macro"))</f>
        <v/>
      </c>
      <c r="W215" s="62">
        <f>IF($V215="Macro",COUNTIFS($U$5:$U$1000,ROW(),$V$5:$V$1000,"Sub"),"")</f>
        <v/>
      </c>
      <c r="X215" s="62">
        <f>IF($V215="","",IF(ISNUMBER($G215),1,IFERROR(LOOKUP(2,1/($I215:$L215&lt;&gt;""),$I215:$L215),0)))</f>
        <v/>
      </c>
      <c r="Y215" s="62">
        <f>IF($V215="","",IF(AND(ISNUMBER($G215),$G215&lt;=IF($S215=MesCiclo,InicioCiclo,$S215+MOD(2-WEEKDAY($S215),7))+6),1,IF(ISNUMBER($I215),$I215,0)))</f>
        <v/>
      </c>
      <c r="Z215" s="62">
        <f>IF($V215="","",IF(AND(ISNUMBER($G215),$G215&lt;=IF($S215=MesCiclo,InicioCiclo,$S215+MOD(2-WEEKDAY($S215),7))+13),1,IF(ISNUMBER($J215),$J215,$Y215)))</f>
        <v/>
      </c>
      <c r="AA215" s="62">
        <f>IF($V215="","",IF(AND(ISNUMBER($G215),$G215&lt;=IF($S215=MesCiclo,InicioCiclo,$S215+MOD(2-WEEKDAY($S215),7))+20),1,IF(ISNUMBER($K215),$K215,$Z215)))</f>
        <v/>
      </c>
      <c r="AB215" s="62">
        <f>IF($V215="","",IF(AND(ISNUMBER($G215),$G215&lt;=IF($S215=MesCiclo,InicioCiclo,$S215+MOD(2-WEEKDAY($S215),7))+27),1,IF(ISNUMBER($L215),$L215,$AA215)))</f>
        <v/>
      </c>
      <c r="AC215" s="62">
        <f>IF($V215="","",IF(AND(ISNUMBER($G215),$G215&lt;=IF($S215=MesCiclo,InicioCiclo,$S215+MOD(2-WEEKDAY($S215),7))+6),1,IF(N($W215)&gt;0,AVERAGEIFS($Y$5:$Y$1000,$U$5:$U$1000,ROW(),$V$5:$V$1000,"Sub"),$Y215)))</f>
        <v/>
      </c>
      <c r="AD215" s="62">
        <f>IF($V215="","",IF(AND(ISNUMBER($G215),$G215&lt;=IF($S215=MesCiclo,InicioCiclo,$S215+MOD(2-WEEKDAY($S215),7))+13),1,IF(N($W215)&gt;0,AVERAGEIFS($Z$5:$Z$1000,$U$5:$U$1000,ROW(),$V$5:$V$1000,"Sub"),$Z215)))</f>
        <v/>
      </c>
      <c r="AE215" s="62">
        <f>IF($V215="","",IF(AND(ISNUMBER($G215),$G215&lt;=IF($S215=MesCiclo,InicioCiclo,$S215+MOD(2-WEEKDAY($S215),7))+20),1,IF(N($W215)&gt;0,AVERAGEIFS($AA$5:$AA$1000,$U$5:$U$1000,ROW(),$V$5:$V$1000,"Sub"),$AA215)))</f>
        <v/>
      </c>
      <c r="AF215" s="62">
        <f>IF($V215="","",IF(AND(ISNUMBER($G215),$G215&lt;=IF($S215=MesCiclo,InicioCiclo,$S215+MOD(2-WEEKDAY($S215),7))+27),1,IF(N($W215)&gt;0,AVERAGEIFS($AB$5:$AB$1000,$U$5:$U$1000,ROW(),$V$5:$V$1000,"Sub"),$AB215)))</f>
        <v/>
      </c>
      <c r="AG215" s="62">
        <f>IF($V215&lt;&gt;"Macro","",IF(COUNTIFS($S$5:$S$1000,$S215,$V$5:$V$1000,"Macro",$H$5:$H$1000,"&gt;0")=0,1/COUNTIFS($S$5:$S$1000,$S215,$V$5:$V$1000,"Macro"),IF(AND(ISNUMBER($H215),N($H215)&gt;0),$H215,SUMIFS($H$5:$H$1000,$S$5:$S$1000,$S215,$V$5:$V$1000,"Macro")/COUNTIFS($S$5:$S$1000,$S215,$V$5:$V$1000,"Macro",$H$5:$H$1000,"&gt;0"))/(COUNTIFS($S$5:$S$1000,$S215,$V$5:$V$1000,"Macro")*SUMIFS($H$5:$H$1000,$S$5:$S$1000,$S215,$V$5:$V$1000,"Macro")/COUNTIFS($S$5:$S$1000,$S215,$V$5:$V$1000,"Macro",$H$5:$H$1000,"&gt;0"))))</f>
        <v/>
      </c>
      <c r="AH215" s="62">
        <f>IF(NOT(AND($D215&lt;&gt;"",$V215="Macro")),"",IFERROR(CHOOSE(MATCH($D215,ListaPuestos,0),MATCH("[Jefatura] "&amp;$C215,'Cronograma R. Operacional'!$C$5:$C$1000,0),MATCH("[Jefatura] "&amp;$C215,'Cronograma R. Normativo'!$C$5:$C$1000,0),MATCH("[Jefatura] "&amp;$C215,'Cronograma R. Financiero'!$C$5:$C$1000,0),MATCH("[Jefatura] "&amp;$C215,'Cronograma Asistente Técnico'!$C$5:$C$1000,0)),0))</f>
        <v/>
      </c>
      <c r="AI215" s="62">
        <f>IF(AND(AND($D215&lt;&gt;"",$V215="Macro"),$S215=MesCiclo),COUNTIFS($D$5:$D215,$D215,$S$5:$S215,MesCiclo,$V$5:$V215,"Macro"),"")</f>
        <v/>
      </c>
      <c r="AJ215" s="62">
        <f>IF($AI215="","",$D215&amp;"|"&amp;$AI215)</f>
        <v/>
      </c>
      <c r="AK215" s="62">
        <f>IF(AND($D215&lt;&gt;"",$V215="Macro"),$D215&amp;"|"&amp;$C215,"")</f>
        <v/>
      </c>
      <c r="AL215" s="62">
        <f>""</f>
        <v/>
      </c>
      <c r="AM215" s="62">
        <f>IF(N($AL215)&gt;0,INDEX(rIni_ADM,$AL215),IF(ISNUMBER($E215),$E215,""))</f>
        <v/>
      </c>
      <c r="AN215" s="62">
        <f>IF(N($AL215)&gt;0,INDEX(rLim_ADM,$AL215),IF(ISNUMBER($F215),$F215,""))</f>
        <v/>
      </c>
    </row>
    <row r="216">
      <c r="A216" s="56">
        <f>IF(NOT((COUNTA($B216:$D216)+COUNTA($G216:$L216)+COUNTA($Q216))&gt;0),"",IF($V216="Macro",COUNTIFS($V$5:$V216,"Macro",$S$5:$S216,$S216),IF(N($U216)=0,"?",COUNTIFS(INDEX($V$5:$V$1000,1):INDEX($V$5:$V$1000,$U216-4),"Macro",INDEX($S$5:$S$1000,1):INDEX($S$5:$S$1000,$U216-4),INDEX($S$5:$S$1000,$U216-4))&amp;"."&amp;COUNTIFS($U$5:$U216,$U216,$V$5:$V216,"Sub"))))</f>
        <v/>
      </c>
      <c r="B216" s="57" t="n"/>
      <c r="C216" s="58" t="n"/>
      <c r="D216" s="58" t="n"/>
      <c r="E216" s="59" t="n"/>
      <c r="F216" s="59" t="n"/>
      <c r="G216" s="59" t="n"/>
      <c r="H216" s="60" t="n"/>
      <c r="I216" s="60" t="n"/>
      <c r="J216" s="60" t="n"/>
      <c r="K216" s="60" t="n"/>
      <c r="L216" s="60" t="n"/>
      <c r="M216" s="61">
        <f>IF(NOT((COUNTA($B216:$D216)+COUNTA($G216:$L216)+COUNTA($Q216))&gt;0),"",IF(AND($D216&lt;&gt;"",$V216="Macro"),IF(N($AH216)&gt;0,N(CHOOSE(MATCH($D216,ListaPuestos,0),INDEX('Cronograma R. Operacional'!$M$5:$M$1000,$AH216),INDEX('Cronograma R. Normativo'!$M$5:$M$1000,$AH216),INDEX('Cronograma R. Financiero'!$M$5:$M$1000,$AH216),INDEX('Cronograma Asistente Técnico'!$M$5:$M$1000,$AH216))),0),IF(ISNUMBER($G216),1,IF(N($W216)&gt;0,AVERAGEIFS($X$5:$X$1000,$U$5:$U$1000,ROW(),$V$5:$V$1000,"Sub"),$X216))))</f>
        <v/>
      </c>
      <c r="N216" s="56">
        <f>IF(OR($M216="",$V216="Sub"),"",IF($M216&gt;=1,"Completado",IF($M216&gt;0,"En curso","Pendiente")))</f>
        <v/>
      </c>
      <c r="O216" s="56">
        <f>IF(NOT((COUNTA($B216:$D216)+COUNTA($G216:$L216)+COUNTA($Q216))&gt;0),"",IF(AND(AND($D216&lt;&gt;"",$V216="Macro"),N($AH216)&gt;0),CHOOSE(MATCH($D216,ListaPuestos,0),INDEX('Cronograma R. Operacional'!$O$5:$O$1000,$AH216),INDEX('Cronograma R. Normativo'!$O$5:$O$1000,$AH216),INDEX('Cronograma R. Financiero'!$O$5:$O$1000,$AH216),INDEX('Cronograma Asistente Técnico'!$O$5:$O$1000,$AH216))&amp;"",IF(ISNUMBER($G216),IF(AND(ISNUMBER($AN216),$G216&gt;$AN216),"Cumplida con "&amp;($G216-$AN216)&amp;IF($G216-$AN216=1," día"," días")&amp;" de retraso","Cumplida"),IF(N($M216)&gt;=1,"Cumplida",IF(NOT(ISNUMBER($AN216)),"Sin fecha límite",IF($AN216&lt;FechaRef,"Vencida hace "&amp;(FechaRef-$AN216)&amp;IF(FechaRef-$AN216=1," día"," días"),IF($AN216=FechaRef,"Vence hoy",IF($AN216-FechaRef&lt;=DiasAlerta,"Vence en "&amp;($AN216-FechaRef)&amp;IF($AN216-FechaRef=1," día"," días"),"En plazo"))))))))</f>
        <v/>
      </c>
      <c r="P216" s="62">
        <f>IF(NOT((COUNTA($B216:$D216)+COUNTA($G216:$L216)+COUNTA($Q216))&gt;0),"",IF($D216="","Propia",IF($V216&lt;&gt;"Macro","Solo se delegan macroactividades",IF(N($AH216)&gt;0,"✔ Recibida por "&amp;$D216,"⚠ "&amp;$D216&amp;" aún no la agrega"))))</f>
        <v/>
      </c>
      <c r="Q216" s="58" t="n"/>
      <c r="R216" s="63">
        <f>IF(NOT((COUNTA($B216:$D216)+COUNTA($G216:$L216)+COUNTA($Q216))&gt;0),"",IF((IF($C216="","Falta el nombre de la actividad"&amp;" · ","")&amp;IF(AND($V216="Sub",N($U216)=0),"Subactividad sin macroactividad arriba"&amp;" · ","")&amp;IF($AM216="","Sin fecha de inicio"&amp;" · ","")&amp;IF($AN216="","Sin fecha límite"&amp;" · ","")&amp;IF(AND(LEFT($C216,11)="[Jefatura] ",N($AL216)=0),"No se encuentra en la hoja de la jefatura (elíjala de nuevo en la lista)"&amp;" · ","")&amp;IF(OR(AND($E216&lt;&gt;"",NOT(ISNUMBER($E216))),AND($F216&lt;&gt;"",NOT(ISNUMBER($F216))),AND($G216&lt;&gt;"",NOT(ISNUMBER($G216)))),"Fecha no válida"&amp;" · ","")&amp;IF(AND(ISNUMBER($AM216),ISNUMBER($AN216),$AM216&gt;$AN216),"Inicio posterior a fecha límite"&amp;" · ","")&amp;IF(AND($V216="Macro",$H216&lt;&gt;"",OR(NOT(ISNUMBER($H216)),$H216&lt;0,$H216&gt;1)),"Peso fuera de rango"&amp;" · ","")&amp;IF(AND($V216="Sub",$H216&lt;&gt;""),"Las subactividades no llevan peso (valen igual dentro de su macroactividad)"&amp;" · ","")&amp;IF(AND(N($W216)&gt;0,COUNT($I216:$L216)&gt;0),"Con subactividades: deje vacías las semanas (se calculan solas)"&amp;" · ","")&amp;IF((COUNTIF($I216:$L216,"&gt;1")+COUNTIF($I216:$L216,"&lt;0")+COUNTA($I216:$L216)-COUNT($I216:$L216))&gt;0,"Avance fuera de rango 0-100%"&amp;" · ","")&amp;IF(OR(AND($J216&lt;&gt;"",$J216&lt;$I216),AND($K216&lt;&gt;"",$K216&lt;MAX($I216:$J216)),AND($L216&lt;&gt;"",$L216&lt;MAX($I216:$K216))),"Avance semanal decreciente"&amp;" · ","")&amp;IF(AND(ISNUMBER($AN216),$AN216&lt;FechaRef,IF($V216="Sub",N($X216),N($M216))&lt;1),"Vencida"&amp;" · ","")&amp;IF(AND(ObsObligatoria="Sí",ISNUMBER($AN216),$AN216&lt;FechaRef,IF($V216="Sub",N($X216),N($M216))&lt;1,$Q216=""),"Vencida sin observación"&amp;" · ",""))="","✔ OK","⚠ "&amp;LEFT(IF($C216="","Falta el nombre de la actividad"&amp;" · ","")&amp;IF(AND($V216="Sub",N($U216)=0),"Subactividad sin macroactividad arriba"&amp;" · ","")&amp;IF($AM216="","Sin fecha de inicio"&amp;" · ","")&amp;IF($AN216="","Sin fecha límite"&amp;" · ","")&amp;IF(AND(LEFT($C216,11)="[Jefatura] ",N($AL216)=0),"No se encuentra en la hoja de la jefatura (elíjala de nuevo en la lista)"&amp;" · ","")&amp;IF(OR(AND($E216&lt;&gt;"",NOT(ISNUMBER($E216))),AND($F216&lt;&gt;"",NOT(ISNUMBER($F216))),AND($G216&lt;&gt;"",NOT(ISNUMBER($G216)))),"Fecha no válida"&amp;" · ","")&amp;IF(AND(ISNUMBER($AM216),ISNUMBER($AN216),$AM216&gt;$AN216),"Inicio posterior a fecha límite"&amp;" · ","")&amp;IF(AND($V216="Macro",$H216&lt;&gt;"",OR(NOT(ISNUMBER($H216)),$H216&lt;0,$H216&gt;1)),"Peso fuera de rango"&amp;" · ","")&amp;IF(AND($V216="Sub",$H216&lt;&gt;""),"Las subactividades no llevan peso (valen igual dentro de su macroactividad)"&amp;" · ","")&amp;IF(AND(N($W216)&gt;0,COUNT($I216:$L216)&gt;0),"Con subactividades: deje vacías las semanas (se calculan solas)"&amp;" · ","")&amp;IF((COUNTIF($I216:$L216,"&gt;1")+COUNTIF($I216:$L216,"&lt;0")+COUNTA($I216:$L216)-COUNT($I216:$L216))&gt;0,"Avance fuera de rango 0-100%"&amp;" · ","")&amp;IF(OR(AND($J216&lt;&gt;"",$J216&lt;$I216),AND($K216&lt;&gt;"",$K216&lt;MAX($I216:$J216)),AND($L216&lt;&gt;"",$L216&lt;MAX($I216:$K216))),"Avance semanal decreciente"&amp;" · ","")&amp;IF(AND(ISNUMBER($AN216),$AN216&lt;FechaRef,IF($V216="Sub",N($X216),N($M216))&lt;1),"Vencida"&amp;" · ","")&amp;IF(AND(ObsObligatoria="Sí",ISNUMBER($AN216),$AN216&lt;FechaRef,IF($V216="Sub",N($X216),N($M216))&lt;1,$Q216=""),"Vencida sin observación"&amp;" · ",""),LEN(IF($C216="","Falta el nombre de la actividad"&amp;" · ","")&amp;IF(AND($V216="Sub",N($U216)=0),"Subactividad sin macroactividad arriba"&amp;" · ","")&amp;IF($AM216="","Sin fecha de inicio"&amp;" · ","")&amp;IF($AN216="","Sin fecha límite"&amp;" · ","")&amp;IF(AND(LEFT($C216,11)="[Jefatura] ",N($AL216)=0),"No se encuentra en la hoja de la jefatura (elíjala de nuevo en la lista)"&amp;" · ","")&amp;IF(OR(AND($E216&lt;&gt;"",NOT(ISNUMBER($E216))),AND($F216&lt;&gt;"",NOT(ISNUMBER($F216))),AND($G216&lt;&gt;"",NOT(ISNUMBER($G216)))),"Fecha no válida"&amp;" · ","")&amp;IF(AND(ISNUMBER($AM216),ISNUMBER($AN216),$AM216&gt;$AN216),"Inicio posterior a fecha límite"&amp;" · ","")&amp;IF(AND($V216="Macro",$H216&lt;&gt;"",OR(NOT(ISNUMBER($H216)),$H216&lt;0,$H216&gt;1)),"Peso fuera de rango"&amp;" · ","")&amp;IF(AND($V216="Sub",$H216&lt;&gt;""),"Las subactividades no llevan peso (valen igual dentro de su macroactividad)"&amp;" · ","")&amp;IF(AND(N($W216)&gt;0,COUNT($I216:$L216)&gt;0),"Con subactividades: deje vacías las semanas (se calculan solas)"&amp;" · ","")&amp;IF((COUNTIF($I216:$L216,"&gt;1")+COUNTIF($I216:$L216,"&lt;0")+COUNTA($I216:$L216)-COUNT($I216:$L216))&gt;0,"Avance fuera de rango 0-100%"&amp;" · ","")&amp;IF(OR(AND($J216&lt;&gt;"",$J216&lt;$I216),AND($K216&lt;&gt;"",$K216&lt;MAX($I216:$J216)),AND($L216&lt;&gt;"",$L216&lt;MAX($I216:$K216))),"Avance semanal decreciente"&amp;" · ","")&amp;IF(AND(ISNUMBER($AN216),$AN216&lt;FechaRef,IF($V216="Sub",N($X216),N($M216))&lt;1),"Vencida"&amp;" · ","")&amp;IF(AND(ObsObligatoria="Sí",ISNUMBER($AN216),$AN216&lt;FechaRef,IF($V216="Sub",N($X216),N($M216))&lt;1,$Q216=""),"Vencida sin observación"&amp;" · ",""))-3)))</f>
        <v/>
      </c>
      <c r="S216" s="64">
        <f>IF(NOT((COUNTA($B216:$D216)+COUNTA($G216:$L216)+COUNTA($Q216))&gt;0),"",IF(AND($V216="Sub",N($U216)&gt;0),IF(ISNUMBER(INDEX($AM$5:$AM$1000,$U216-4)),DATE(YEAR(INDEX($AM$5:$AM$1000,$U216-4)),MONTH(INDEX($AM$5:$AM$1000,$U216-4)),1),IF(ISNUMBER(INDEX($AN$5:$AN$1000,$U216-4)),DATE(YEAR(INDEX($AN$5:$AN$1000,$U216-4)),MONTH(INDEX($AN$5:$AN$1000,$U216-4)),1),MesCiclo)),IF(ISNUMBER($AM216),DATE(YEAR($AM216),MONTH($AM216),1),IF(ISNUMBER($AN216),DATE(YEAR($AN216),MONTH($AN216),1),MesCiclo))))</f>
        <v/>
      </c>
      <c r="T216" s="62">
        <f>IF(OR($S216="",$S216&lt;&gt;MesCiclo,$V216&lt;&gt;"Macro"),"",COUNTIFS($S$5:$S216,MesCiclo,$V$5:$V216,"Macro"))</f>
        <v/>
      </c>
      <c r="U216" s="62">
        <f>IF($V216="","",IF($V216="Macro",ROW(),IFERROR(LOOKUP(2,1/($V$5:$V216="Macro"),ROW($V$5:$V216)),0)))</f>
        <v/>
      </c>
      <c r="V216" s="62">
        <f>IF(NOT((COUNTA($B216:$D216)+COUNTA($G216:$L216)+COUNTA($Q216))&gt;0),"",IF($B216="Subactividad","Sub","Macro"))</f>
        <v/>
      </c>
      <c r="W216" s="62">
        <f>IF($V216="Macro",COUNTIFS($U$5:$U$1000,ROW(),$V$5:$V$1000,"Sub"),"")</f>
        <v/>
      </c>
      <c r="X216" s="62">
        <f>IF($V216="","",IF(ISNUMBER($G216),1,IFERROR(LOOKUP(2,1/($I216:$L216&lt;&gt;""),$I216:$L216),0)))</f>
        <v/>
      </c>
      <c r="Y216" s="62">
        <f>IF($V216="","",IF(AND(ISNUMBER($G216),$G216&lt;=IF($S216=MesCiclo,InicioCiclo,$S216+MOD(2-WEEKDAY($S216),7))+6),1,IF(ISNUMBER($I216),$I216,0)))</f>
        <v/>
      </c>
      <c r="Z216" s="62">
        <f>IF($V216="","",IF(AND(ISNUMBER($G216),$G216&lt;=IF($S216=MesCiclo,InicioCiclo,$S216+MOD(2-WEEKDAY($S216),7))+13),1,IF(ISNUMBER($J216),$J216,$Y216)))</f>
        <v/>
      </c>
      <c r="AA216" s="62">
        <f>IF($V216="","",IF(AND(ISNUMBER($G216),$G216&lt;=IF($S216=MesCiclo,InicioCiclo,$S216+MOD(2-WEEKDAY($S216),7))+20),1,IF(ISNUMBER($K216),$K216,$Z216)))</f>
        <v/>
      </c>
      <c r="AB216" s="62">
        <f>IF($V216="","",IF(AND(ISNUMBER($G216),$G216&lt;=IF($S216=MesCiclo,InicioCiclo,$S216+MOD(2-WEEKDAY($S216),7))+27),1,IF(ISNUMBER($L216),$L216,$AA216)))</f>
        <v/>
      </c>
      <c r="AC216" s="62">
        <f>IF($V216="","",IF(AND(ISNUMBER($G216),$G216&lt;=IF($S216=MesCiclo,InicioCiclo,$S216+MOD(2-WEEKDAY($S216),7))+6),1,IF(N($W216)&gt;0,AVERAGEIFS($Y$5:$Y$1000,$U$5:$U$1000,ROW(),$V$5:$V$1000,"Sub"),$Y216)))</f>
        <v/>
      </c>
      <c r="AD216" s="62">
        <f>IF($V216="","",IF(AND(ISNUMBER($G216),$G216&lt;=IF($S216=MesCiclo,InicioCiclo,$S216+MOD(2-WEEKDAY($S216),7))+13),1,IF(N($W216)&gt;0,AVERAGEIFS($Z$5:$Z$1000,$U$5:$U$1000,ROW(),$V$5:$V$1000,"Sub"),$Z216)))</f>
        <v/>
      </c>
      <c r="AE216" s="62">
        <f>IF($V216="","",IF(AND(ISNUMBER($G216),$G216&lt;=IF($S216=MesCiclo,InicioCiclo,$S216+MOD(2-WEEKDAY($S216),7))+20),1,IF(N($W216)&gt;0,AVERAGEIFS($AA$5:$AA$1000,$U$5:$U$1000,ROW(),$V$5:$V$1000,"Sub"),$AA216)))</f>
        <v/>
      </c>
      <c r="AF216" s="62">
        <f>IF($V216="","",IF(AND(ISNUMBER($G216),$G216&lt;=IF($S216=MesCiclo,InicioCiclo,$S216+MOD(2-WEEKDAY($S216),7))+27),1,IF(N($W216)&gt;0,AVERAGEIFS($AB$5:$AB$1000,$U$5:$U$1000,ROW(),$V$5:$V$1000,"Sub"),$AB216)))</f>
        <v/>
      </c>
      <c r="AG216" s="62">
        <f>IF($V216&lt;&gt;"Macro","",IF(COUNTIFS($S$5:$S$1000,$S216,$V$5:$V$1000,"Macro",$H$5:$H$1000,"&gt;0")=0,1/COUNTIFS($S$5:$S$1000,$S216,$V$5:$V$1000,"Macro"),IF(AND(ISNUMBER($H216),N($H216)&gt;0),$H216,SUMIFS($H$5:$H$1000,$S$5:$S$1000,$S216,$V$5:$V$1000,"Macro")/COUNTIFS($S$5:$S$1000,$S216,$V$5:$V$1000,"Macro",$H$5:$H$1000,"&gt;0"))/(COUNTIFS($S$5:$S$1000,$S216,$V$5:$V$1000,"Macro")*SUMIFS($H$5:$H$1000,$S$5:$S$1000,$S216,$V$5:$V$1000,"Macro")/COUNTIFS($S$5:$S$1000,$S216,$V$5:$V$1000,"Macro",$H$5:$H$1000,"&gt;0"))))</f>
        <v/>
      </c>
      <c r="AH216" s="62">
        <f>IF(NOT(AND($D216&lt;&gt;"",$V216="Macro")),"",IFERROR(CHOOSE(MATCH($D216,ListaPuestos,0),MATCH("[Jefatura] "&amp;$C216,'Cronograma R. Operacional'!$C$5:$C$1000,0),MATCH("[Jefatura] "&amp;$C216,'Cronograma R. Normativo'!$C$5:$C$1000,0),MATCH("[Jefatura] "&amp;$C216,'Cronograma R. Financiero'!$C$5:$C$1000,0),MATCH("[Jefatura] "&amp;$C216,'Cronograma Asistente Técnico'!$C$5:$C$1000,0)),0))</f>
        <v/>
      </c>
      <c r="AI216" s="62">
        <f>IF(AND(AND($D216&lt;&gt;"",$V216="Macro"),$S216=MesCiclo),COUNTIFS($D$5:$D216,$D216,$S$5:$S216,MesCiclo,$V$5:$V216,"Macro"),"")</f>
        <v/>
      </c>
      <c r="AJ216" s="62">
        <f>IF($AI216="","",$D216&amp;"|"&amp;$AI216)</f>
        <v/>
      </c>
      <c r="AK216" s="62">
        <f>IF(AND($D216&lt;&gt;"",$V216="Macro"),$D216&amp;"|"&amp;$C216,"")</f>
        <v/>
      </c>
      <c r="AL216" s="62">
        <f>""</f>
        <v/>
      </c>
      <c r="AM216" s="62">
        <f>IF(N($AL216)&gt;0,INDEX(rIni_ADM,$AL216),IF(ISNUMBER($E216),$E216,""))</f>
        <v/>
      </c>
      <c r="AN216" s="62">
        <f>IF(N($AL216)&gt;0,INDEX(rLim_ADM,$AL216),IF(ISNUMBER($F216),$F216,""))</f>
        <v/>
      </c>
    </row>
    <row r="217">
      <c r="A217" s="56">
        <f>IF(NOT((COUNTA($B217:$D217)+COUNTA($G217:$L217)+COUNTA($Q217))&gt;0),"",IF($V217="Macro",COUNTIFS($V$5:$V217,"Macro",$S$5:$S217,$S217),IF(N($U217)=0,"?",COUNTIFS(INDEX($V$5:$V$1000,1):INDEX($V$5:$V$1000,$U217-4),"Macro",INDEX($S$5:$S$1000,1):INDEX($S$5:$S$1000,$U217-4),INDEX($S$5:$S$1000,$U217-4))&amp;"."&amp;COUNTIFS($U$5:$U217,$U217,$V$5:$V217,"Sub"))))</f>
        <v/>
      </c>
      <c r="B217" s="57" t="n"/>
      <c r="C217" s="58" t="n"/>
      <c r="D217" s="58" t="n"/>
      <c r="E217" s="59" t="n"/>
      <c r="F217" s="59" t="n"/>
      <c r="G217" s="59" t="n"/>
      <c r="H217" s="60" t="n"/>
      <c r="I217" s="60" t="n"/>
      <c r="J217" s="60" t="n"/>
      <c r="K217" s="60" t="n"/>
      <c r="L217" s="60" t="n"/>
      <c r="M217" s="61">
        <f>IF(NOT((COUNTA($B217:$D217)+COUNTA($G217:$L217)+COUNTA($Q217))&gt;0),"",IF(AND($D217&lt;&gt;"",$V217="Macro"),IF(N($AH217)&gt;0,N(CHOOSE(MATCH($D217,ListaPuestos,0),INDEX('Cronograma R. Operacional'!$M$5:$M$1000,$AH217),INDEX('Cronograma R. Normativo'!$M$5:$M$1000,$AH217),INDEX('Cronograma R. Financiero'!$M$5:$M$1000,$AH217),INDEX('Cronograma Asistente Técnico'!$M$5:$M$1000,$AH217))),0),IF(ISNUMBER($G217),1,IF(N($W217)&gt;0,AVERAGEIFS($X$5:$X$1000,$U$5:$U$1000,ROW(),$V$5:$V$1000,"Sub"),$X217))))</f>
        <v/>
      </c>
      <c r="N217" s="56">
        <f>IF(OR($M217="",$V217="Sub"),"",IF($M217&gt;=1,"Completado",IF($M217&gt;0,"En curso","Pendiente")))</f>
        <v/>
      </c>
      <c r="O217" s="56">
        <f>IF(NOT((COUNTA($B217:$D217)+COUNTA($G217:$L217)+COUNTA($Q217))&gt;0),"",IF(AND(AND($D217&lt;&gt;"",$V217="Macro"),N($AH217)&gt;0),CHOOSE(MATCH($D217,ListaPuestos,0),INDEX('Cronograma R. Operacional'!$O$5:$O$1000,$AH217),INDEX('Cronograma R. Normativo'!$O$5:$O$1000,$AH217),INDEX('Cronograma R. Financiero'!$O$5:$O$1000,$AH217),INDEX('Cronograma Asistente Técnico'!$O$5:$O$1000,$AH217))&amp;"",IF(ISNUMBER($G217),IF(AND(ISNUMBER($AN217),$G217&gt;$AN217),"Cumplida con "&amp;($G217-$AN217)&amp;IF($G217-$AN217=1," día"," días")&amp;" de retraso","Cumplida"),IF(N($M217)&gt;=1,"Cumplida",IF(NOT(ISNUMBER($AN217)),"Sin fecha límite",IF($AN217&lt;FechaRef,"Vencida hace "&amp;(FechaRef-$AN217)&amp;IF(FechaRef-$AN217=1," día"," días"),IF($AN217=FechaRef,"Vence hoy",IF($AN217-FechaRef&lt;=DiasAlerta,"Vence en "&amp;($AN217-FechaRef)&amp;IF($AN217-FechaRef=1," día"," días"),"En plazo"))))))))</f>
        <v/>
      </c>
      <c r="P217" s="62">
        <f>IF(NOT((COUNTA($B217:$D217)+COUNTA($G217:$L217)+COUNTA($Q217))&gt;0),"",IF($D217="","Propia",IF($V217&lt;&gt;"Macro","Solo se delegan macroactividades",IF(N($AH217)&gt;0,"✔ Recibida por "&amp;$D217,"⚠ "&amp;$D217&amp;" aún no la agrega"))))</f>
        <v/>
      </c>
      <c r="Q217" s="58" t="n"/>
      <c r="R217" s="63">
        <f>IF(NOT((COUNTA($B217:$D217)+COUNTA($G217:$L217)+COUNTA($Q217))&gt;0),"",IF((IF($C217="","Falta el nombre de la actividad"&amp;" · ","")&amp;IF(AND($V217="Sub",N($U217)=0),"Subactividad sin macroactividad arriba"&amp;" · ","")&amp;IF($AM217="","Sin fecha de inicio"&amp;" · ","")&amp;IF($AN217="","Sin fecha límite"&amp;" · ","")&amp;IF(AND(LEFT($C217,11)="[Jefatura] ",N($AL217)=0),"No se encuentra en la hoja de la jefatura (elíjala de nuevo en la lista)"&amp;" · ","")&amp;IF(OR(AND($E217&lt;&gt;"",NOT(ISNUMBER($E217))),AND($F217&lt;&gt;"",NOT(ISNUMBER($F217))),AND($G217&lt;&gt;"",NOT(ISNUMBER($G217)))),"Fecha no válida"&amp;" · ","")&amp;IF(AND(ISNUMBER($AM217),ISNUMBER($AN217),$AM217&gt;$AN217),"Inicio posterior a fecha límite"&amp;" · ","")&amp;IF(AND($V217="Macro",$H217&lt;&gt;"",OR(NOT(ISNUMBER($H217)),$H217&lt;0,$H217&gt;1)),"Peso fuera de rango"&amp;" · ","")&amp;IF(AND($V217="Sub",$H217&lt;&gt;""),"Las subactividades no llevan peso (valen igual dentro de su macroactividad)"&amp;" · ","")&amp;IF(AND(N($W217)&gt;0,COUNT($I217:$L217)&gt;0),"Con subactividades: deje vacías las semanas (se calculan solas)"&amp;" · ","")&amp;IF((COUNTIF($I217:$L217,"&gt;1")+COUNTIF($I217:$L217,"&lt;0")+COUNTA($I217:$L217)-COUNT($I217:$L217))&gt;0,"Avance fuera de rango 0-100%"&amp;" · ","")&amp;IF(OR(AND($J217&lt;&gt;"",$J217&lt;$I217),AND($K217&lt;&gt;"",$K217&lt;MAX($I217:$J217)),AND($L217&lt;&gt;"",$L217&lt;MAX($I217:$K217))),"Avance semanal decreciente"&amp;" · ","")&amp;IF(AND(ISNUMBER($AN217),$AN217&lt;FechaRef,IF($V217="Sub",N($X217),N($M217))&lt;1),"Vencida"&amp;" · ","")&amp;IF(AND(ObsObligatoria="Sí",ISNUMBER($AN217),$AN217&lt;FechaRef,IF($V217="Sub",N($X217),N($M217))&lt;1,$Q217=""),"Vencida sin observación"&amp;" · ",""))="","✔ OK","⚠ "&amp;LEFT(IF($C217="","Falta el nombre de la actividad"&amp;" · ","")&amp;IF(AND($V217="Sub",N($U217)=0),"Subactividad sin macroactividad arriba"&amp;" · ","")&amp;IF($AM217="","Sin fecha de inicio"&amp;" · ","")&amp;IF($AN217="","Sin fecha límite"&amp;" · ","")&amp;IF(AND(LEFT($C217,11)="[Jefatura] ",N($AL217)=0),"No se encuentra en la hoja de la jefatura (elíjala de nuevo en la lista)"&amp;" · ","")&amp;IF(OR(AND($E217&lt;&gt;"",NOT(ISNUMBER($E217))),AND($F217&lt;&gt;"",NOT(ISNUMBER($F217))),AND($G217&lt;&gt;"",NOT(ISNUMBER($G217)))),"Fecha no válida"&amp;" · ","")&amp;IF(AND(ISNUMBER($AM217),ISNUMBER($AN217),$AM217&gt;$AN217),"Inicio posterior a fecha límite"&amp;" · ","")&amp;IF(AND($V217="Macro",$H217&lt;&gt;"",OR(NOT(ISNUMBER($H217)),$H217&lt;0,$H217&gt;1)),"Peso fuera de rango"&amp;" · ","")&amp;IF(AND($V217="Sub",$H217&lt;&gt;""),"Las subactividades no llevan peso (valen igual dentro de su macroactividad)"&amp;" · ","")&amp;IF(AND(N($W217)&gt;0,COUNT($I217:$L217)&gt;0),"Con subactividades: deje vacías las semanas (se calculan solas)"&amp;" · ","")&amp;IF((COUNTIF($I217:$L217,"&gt;1")+COUNTIF($I217:$L217,"&lt;0")+COUNTA($I217:$L217)-COUNT($I217:$L217))&gt;0,"Avance fuera de rango 0-100%"&amp;" · ","")&amp;IF(OR(AND($J217&lt;&gt;"",$J217&lt;$I217),AND($K217&lt;&gt;"",$K217&lt;MAX($I217:$J217)),AND($L217&lt;&gt;"",$L217&lt;MAX($I217:$K217))),"Avance semanal decreciente"&amp;" · ","")&amp;IF(AND(ISNUMBER($AN217),$AN217&lt;FechaRef,IF($V217="Sub",N($X217),N($M217))&lt;1),"Vencida"&amp;" · ","")&amp;IF(AND(ObsObligatoria="Sí",ISNUMBER($AN217),$AN217&lt;FechaRef,IF($V217="Sub",N($X217),N($M217))&lt;1,$Q217=""),"Vencida sin observación"&amp;" · ",""),LEN(IF($C217="","Falta el nombre de la actividad"&amp;" · ","")&amp;IF(AND($V217="Sub",N($U217)=0),"Subactividad sin macroactividad arriba"&amp;" · ","")&amp;IF($AM217="","Sin fecha de inicio"&amp;" · ","")&amp;IF($AN217="","Sin fecha límite"&amp;" · ","")&amp;IF(AND(LEFT($C217,11)="[Jefatura] ",N($AL217)=0),"No se encuentra en la hoja de la jefatura (elíjala de nuevo en la lista)"&amp;" · ","")&amp;IF(OR(AND($E217&lt;&gt;"",NOT(ISNUMBER($E217))),AND($F217&lt;&gt;"",NOT(ISNUMBER($F217))),AND($G217&lt;&gt;"",NOT(ISNUMBER($G217)))),"Fecha no válida"&amp;" · ","")&amp;IF(AND(ISNUMBER($AM217),ISNUMBER($AN217),$AM217&gt;$AN217),"Inicio posterior a fecha límite"&amp;" · ","")&amp;IF(AND($V217="Macro",$H217&lt;&gt;"",OR(NOT(ISNUMBER($H217)),$H217&lt;0,$H217&gt;1)),"Peso fuera de rango"&amp;" · ","")&amp;IF(AND($V217="Sub",$H217&lt;&gt;""),"Las subactividades no llevan peso (valen igual dentro de su macroactividad)"&amp;" · ","")&amp;IF(AND(N($W217)&gt;0,COUNT($I217:$L217)&gt;0),"Con subactividades: deje vacías las semanas (se calculan solas)"&amp;" · ","")&amp;IF((COUNTIF($I217:$L217,"&gt;1")+COUNTIF($I217:$L217,"&lt;0")+COUNTA($I217:$L217)-COUNT($I217:$L217))&gt;0,"Avance fuera de rango 0-100%"&amp;" · ","")&amp;IF(OR(AND($J217&lt;&gt;"",$J217&lt;$I217),AND($K217&lt;&gt;"",$K217&lt;MAX($I217:$J217)),AND($L217&lt;&gt;"",$L217&lt;MAX($I217:$K217))),"Avance semanal decreciente"&amp;" · ","")&amp;IF(AND(ISNUMBER($AN217),$AN217&lt;FechaRef,IF($V217="Sub",N($X217),N($M217))&lt;1),"Vencida"&amp;" · ","")&amp;IF(AND(ObsObligatoria="Sí",ISNUMBER($AN217),$AN217&lt;FechaRef,IF($V217="Sub",N($X217),N($M217))&lt;1,$Q217=""),"Vencida sin observación"&amp;" · ",""))-3)))</f>
        <v/>
      </c>
      <c r="S217" s="64">
        <f>IF(NOT((COUNTA($B217:$D217)+COUNTA($G217:$L217)+COUNTA($Q217))&gt;0),"",IF(AND($V217="Sub",N($U217)&gt;0),IF(ISNUMBER(INDEX($AM$5:$AM$1000,$U217-4)),DATE(YEAR(INDEX($AM$5:$AM$1000,$U217-4)),MONTH(INDEX($AM$5:$AM$1000,$U217-4)),1),IF(ISNUMBER(INDEX($AN$5:$AN$1000,$U217-4)),DATE(YEAR(INDEX($AN$5:$AN$1000,$U217-4)),MONTH(INDEX($AN$5:$AN$1000,$U217-4)),1),MesCiclo)),IF(ISNUMBER($AM217),DATE(YEAR($AM217),MONTH($AM217),1),IF(ISNUMBER($AN217),DATE(YEAR($AN217),MONTH($AN217),1),MesCiclo))))</f>
        <v/>
      </c>
      <c r="T217" s="62">
        <f>IF(OR($S217="",$S217&lt;&gt;MesCiclo,$V217&lt;&gt;"Macro"),"",COUNTIFS($S$5:$S217,MesCiclo,$V$5:$V217,"Macro"))</f>
        <v/>
      </c>
      <c r="U217" s="62">
        <f>IF($V217="","",IF($V217="Macro",ROW(),IFERROR(LOOKUP(2,1/($V$5:$V217="Macro"),ROW($V$5:$V217)),0)))</f>
        <v/>
      </c>
      <c r="V217" s="62">
        <f>IF(NOT((COUNTA($B217:$D217)+COUNTA($G217:$L217)+COUNTA($Q217))&gt;0),"",IF($B217="Subactividad","Sub","Macro"))</f>
        <v/>
      </c>
      <c r="W217" s="62">
        <f>IF($V217="Macro",COUNTIFS($U$5:$U$1000,ROW(),$V$5:$V$1000,"Sub"),"")</f>
        <v/>
      </c>
      <c r="X217" s="62">
        <f>IF($V217="","",IF(ISNUMBER($G217),1,IFERROR(LOOKUP(2,1/($I217:$L217&lt;&gt;""),$I217:$L217),0)))</f>
        <v/>
      </c>
      <c r="Y217" s="62">
        <f>IF($V217="","",IF(AND(ISNUMBER($G217),$G217&lt;=IF($S217=MesCiclo,InicioCiclo,$S217+MOD(2-WEEKDAY($S217),7))+6),1,IF(ISNUMBER($I217),$I217,0)))</f>
        <v/>
      </c>
      <c r="Z217" s="62">
        <f>IF($V217="","",IF(AND(ISNUMBER($G217),$G217&lt;=IF($S217=MesCiclo,InicioCiclo,$S217+MOD(2-WEEKDAY($S217),7))+13),1,IF(ISNUMBER($J217),$J217,$Y217)))</f>
        <v/>
      </c>
      <c r="AA217" s="62">
        <f>IF($V217="","",IF(AND(ISNUMBER($G217),$G217&lt;=IF($S217=MesCiclo,InicioCiclo,$S217+MOD(2-WEEKDAY($S217),7))+20),1,IF(ISNUMBER($K217),$K217,$Z217)))</f>
        <v/>
      </c>
      <c r="AB217" s="62">
        <f>IF($V217="","",IF(AND(ISNUMBER($G217),$G217&lt;=IF($S217=MesCiclo,InicioCiclo,$S217+MOD(2-WEEKDAY($S217),7))+27),1,IF(ISNUMBER($L217),$L217,$AA217)))</f>
        <v/>
      </c>
      <c r="AC217" s="62">
        <f>IF($V217="","",IF(AND(ISNUMBER($G217),$G217&lt;=IF($S217=MesCiclo,InicioCiclo,$S217+MOD(2-WEEKDAY($S217),7))+6),1,IF(N($W217)&gt;0,AVERAGEIFS($Y$5:$Y$1000,$U$5:$U$1000,ROW(),$V$5:$V$1000,"Sub"),$Y217)))</f>
        <v/>
      </c>
      <c r="AD217" s="62">
        <f>IF($V217="","",IF(AND(ISNUMBER($G217),$G217&lt;=IF($S217=MesCiclo,InicioCiclo,$S217+MOD(2-WEEKDAY($S217),7))+13),1,IF(N($W217)&gt;0,AVERAGEIFS($Z$5:$Z$1000,$U$5:$U$1000,ROW(),$V$5:$V$1000,"Sub"),$Z217)))</f>
        <v/>
      </c>
      <c r="AE217" s="62">
        <f>IF($V217="","",IF(AND(ISNUMBER($G217),$G217&lt;=IF($S217=MesCiclo,InicioCiclo,$S217+MOD(2-WEEKDAY($S217),7))+20),1,IF(N($W217)&gt;0,AVERAGEIFS($AA$5:$AA$1000,$U$5:$U$1000,ROW(),$V$5:$V$1000,"Sub"),$AA217)))</f>
        <v/>
      </c>
      <c r="AF217" s="62">
        <f>IF($V217="","",IF(AND(ISNUMBER($G217),$G217&lt;=IF($S217=MesCiclo,InicioCiclo,$S217+MOD(2-WEEKDAY($S217),7))+27),1,IF(N($W217)&gt;0,AVERAGEIFS($AB$5:$AB$1000,$U$5:$U$1000,ROW(),$V$5:$V$1000,"Sub"),$AB217)))</f>
        <v/>
      </c>
      <c r="AG217" s="62">
        <f>IF($V217&lt;&gt;"Macro","",IF(COUNTIFS($S$5:$S$1000,$S217,$V$5:$V$1000,"Macro",$H$5:$H$1000,"&gt;0")=0,1/COUNTIFS($S$5:$S$1000,$S217,$V$5:$V$1000,"Macro"),IF(AND(ISNUMBER($H217),N($H217)&gt;0),$H217,SUMIFS($H$5:$H$1000,$S$5:$S$1000,$S217,$V$5:$V$1000,"Macro")/COUNTIFS($S$5:$S$1000,$S217,$V$5:$V$1000,"Macro",$H$5:$H$1000,"&gt;0"))/(COUNTIFS($S$5:$S$1000,$S217,$V$5:$V$1000,"Macro")*SUMIFS($H$5:$H$1000,$S$5:$S$1000,$S217,$V$5:$V$1000,"Macro")/COUNTIFS($S$5:$S$1000,$S217,$V$5:$V$1000,"Macro",$H$5:$H$1000,"&gt;0"))))</f>
        <v/>
      </c>
      <c r="AH217" s="62">
        <f>IF(NOT(AND($D217&lt;&gt;"",$V217="Macro")),"",IFERROR(CHOOSE(MATCH($D217,ListaPuestos,0),MATCH("[Jefatura] "&amp;$C217,'Cronograma R. Operacional'!$C$5:$C$1000,0),MATCH("[Jefatura] "&amp;$C217,'Cronograma R. Normativo'!$C$5:$C$1000,0),MATCH("[Jefatura] "&amp;$C217,'Cronograma R. Financiero'!$C$5:$C$1000,0),MATCH("[Jefatura] "&amp;$C217,'Cronograma Asistente Técnico'!$C$5:$C$1000,0)),0))</f>
        <v/>
      </c>
      <c r="AI217" s="62">
        <f>IF(AND(AND($D217&lt;&gt;"",$V217="Macro"),$S217=MesCiclo),COUNTIFS($D$5:$D217,$D217,$S$5:$S217,MesCiclo,$V$5:$V217,"Macro"),"")</f>
        <v/>
      </c>
      <c r="AJ217" s="62">
        <f>IF($AI217="","",$D217&amp;"|"&amp;$AI217)</f>
        <v/>
      </c>
      <c r="AK217" s="62">
        <f>IF(AND($D217&lt;&gt;"",$V217="Macro"),$D217&amp;"|"&amp;$C217,"")</f>
        <v/>
      </c>
      <c r="AL217" s="62">
        <f>""</f>
        <v/>
      </c>
      <c r="AM217" s="62">
        <f>IF(N($AL217)&gt;0,INDEX(rIni_ADM,$AL217),IF(ISNUMBER($E217),$E217,""))</f>
        <v/>
      </c>
      <c r="AN217" s="62">
        <f>IF(N($AL217)&gt;0,INDEX(rLim_ADM,$AL217),IF(ISNUMBER($F217),$F217,""))</f>
        <v/>
      </c>
    </row>
    <row r="218">
      <c r="A218" s="56">
        <f>IF(NOT((COUNTA($B218:$D218)+COUNTA($G218:$L218)+COUNTA($Q218))&gt;0),"",IF($V218="Macro",COUNTIFS($V$5:$V218,"Macro",$S$5:$S218,$S218),IF(N($U218)=0,"?",COUNTIFS(INDEX($V$5:$V$1000,1):INDEX($V$5:$V$1000,$U218-4),"Macro",INDEX($S$5:$S$1000,1):INDEX($S$5:$S$1000,$U218-4),INDEX($S$5:$S$1000,$U218-4))&amp;"."&amp;COUNTIFS($U$5:$U218,$U218,$V$5:$V218,"Sub"))))</f>
        <v/>
      </c>
      <c r="B218" s="57" t="n"/>
      <c r="C218" s="58" t="n"/>
      <c r="D218" s="58" t="n"/>
      <c r="E218" s="59" t="n"/>
      <c r="F218" s="59" t="n"/>
      <c r="G218" s="59" t="n"/>
      <c r="H218" s="60" t="n"/>
      <c r="I218" s="60" t="n"/>
      <c r="J218" s="60" t="n"/>
      <c r="K218" s="60" t="n"/>
      <c r="L218" s="60" t="n"/>
      <c r="M218" s="61">
        <f>IF(NOT((COUNTA($B218:$D218)+COUNTA($G218:$L218)+COUNTA($Q218))&gt;0),"",IF(AND($D218&lt;&gt;"",$V218="Macro"),IF(N($AH218)&gt;0,N(CHOOSE(MATCH($D218,ListaPuestos,0),INDEX('Cronograma R. Operacional'!$M$5:$M$1000,$AH218),INDEX('Cronograma R. Normativo'!$M$5:$M$1000,$AH218),INDEX('Cronograma R. Financiero'!$M$5:$M$1000,$AH218),INDEX('Cronograma Asistente Técnico'!$M$5:$M$1000,$AH218))),0),IF(ISNUMBER($G218),1,IF(N($W218)&gt;0,AVERAGEIFS($X$5:$X$1000,$U$5:$U$1000,ROW(),$V$5:$V$1000,"Sub"),$X218))))</f>
        <v/>
      </c>
      <c r="N218" s="56">
        <f>IF(OR($M218="",$V218="Sub"),"",IF($M218&gt;=1,"Completado",IF($M218&gt;0,"En curso","Pendiente")))</f>
        <v/>
      </c>
      <c r="O218" s="56">
        <f>IF(NOT((COUNTA($B218:$D218)+COUNTA($G218:$L218)+COUNTA($Q218))&gt;0),"",IF(AND(AND($D218&lt;&gt;"",$V218="Macro"),N($AH218)&gt;0),CHOOSE(MATCH($D218,ListaPuestos,0),INDEX('Cronograma R. Operacional'!$O$5:$O$1000,$AH218),INDEX('Cronograma R. Normativo'!$O$5:$O$1000,$AH218),INDEX('Cronograma R. Financiero'!$O$5:$O$1000,$AH218),INDEX('Cronograma Asistente Técnico'!$O$5:$O$1000,$AH218))&amp;"",IF(ISNUMBER($G218),IF(AND(ISNUMBER($AN218),$G218&gt;$AN218),"Cumplida con "&amp;($G218-$AN218)&amp;IF($G218-$AN218=1," día"," días")&amp;" de retraso","Cumplida"),IF(N($M218)&gt;=1,"Cumplida",IF(NOT(ISNUMBER($AN218)),"Sin fecha límite",IF($AN218&lt;FechaRef,"Vencida hace "&amp;(FechaRef-$AN218)&amp;IF(FechaRef-$AN218=1," día"," días"),IF($AN218=FechaRef,"Vence hoy",IF($AN218-FechaRef&lt;=DiasAlerta,"Vence en "&amp;($AN218-FechaRef)&amp;IF($AN218-FechaRef=1," día"," días"),"En plazo"))))))))</f>
        <v/>
      </c>
      <c r="P218" s="62">
        <f>IF(NOT((COUNTA($B218:$D218)+COUNTA($G218:$L218)+COUNTA($Q218))&gt;0),"",IF($D218="","Propia",IF($V218&lt;&gt;"Macro","Solo se delegan macroactividades",IF(N($AH218)&gt;0,"✔ Recibida por "&amp;$D218,"⚠ "&amp;$D218&amp;" aún no la agrega"))))</f>
        <v/>
      </c>
      <c r="Q218" s="58" t="n"/>
      <c r="R218" s="63">
        <f>IF(NOT((COUNTA($B218:$D218)+COUNTA($G218:$L218)+COUNTA($Q218))&gt;0),"",IF((IF($C218="","Falta el nombre de la actividad"&amp;" · ","")&amp;IF(AND($V218="Sub",N($U218)=0),"Subactividad sin macroactividad arriba"&amp;" · ","")&amp;IF($AM218="","Sin fecha de inicio"&amp;" · ","")&amp;IF($AN218="","Sin fecha límite"&amp;" · ","")&amp;IF(AND(LEFT($C218,11)="[Jefatura] ",N($AL218)=0),"No se encuentra en la hoja de la jefatura (elíjala de nuevo en la lista)"&amp;" · ","")&amp;IF(OR(AND($E218&lt;&gt;"",NOT(ISNUMBER($E218))),AND($F218&lt;&gt;"",NOT(ISNUMBER($F218))),AND($G218&lt;&gt;"",NOT(ISNUMBER($G218)))),"Fecha no válida"&amp;" · ","")&amp;IF(AND(ISNUMBER($AM218),ISNUMBER($AN218),$AM218&gt;$AN218),"Inicio posterior a fecha límite"&amp;" · ","")&amp;IF(AND($V218="Macro",$H218&lt;&gt;"",OR(NOT(ISNUMBER($H218)),$H218&lt;0,$H218&gt;1)),"Peso fuera de rango"&amp;" · ","")&amp;IF(AND($V218="Sub",$H218&lt;&gt;""),"Las subactividades no llevan peso (valen igual dentro de su macroactividad)"&amp;" · ","")&amp;IF(AND(N($W218)&gt;0,COUNT($I218:$L218)&gt;0),"Con subactividades: deje vacías las semanas (se calculan solas)"&amp;" · ","")&amp;IF((COUNTIF($I218:$L218,"&gt;1")+COUNTIF($I218:$L218,"&lt;0")+COUNTA($I218:$L218)-COUNT($I218:$L218))&gt;0,"Avance fuera de rango 0-100%"&amp;" · ","")&amp;IF(OR(AND($J218&lt;&gt;"",$J218&lt;$I218),AND($K218&lt;&gt;"",$K218&lt;MAX($I218:$J218)),AND($L218&lt;&gt;"",$L218&lt;MAX($I218:$K218))),"Avance semanal decreciente"&amp;" · ","")&amp;IF(AND(ISNUMBER($AN218),$AN218&lt;FechaRef,IF($V218="Sub",N($X218),N($M218))&lt;1),"Vencida"&amp;" · ","")&amp;IF(AND(ObsObligatoria="Sí",ISNUMBER($AN218),$AN218&lt;FechaRef,IF($V218="Sub",N($X218),N($M218))&lt;1,$Q218=""),"Vencida sin observación"&amp;" · ",""))="","✔ OK","⚠ "&amp;LEFT(IF($C218="","Falta el nombre de la actividad"&amp;" · ","")&amp;IF(AND($V218="Sub",N($U218)=0),"Subactividad sin macroactividad arriba"&amp;" · ","")&amp;IF($AM218="","Sin fecha de inicio"&amp;" · ","")&amp;IF($AN218="","Sin fecha límite"&amp;" · ","")&amp;IF(AND(LEFT($C218,11)="[Jefatura] ",N($AL218)=0),"No se encuentra en la hoja de la jefatura (elíjala de nuevo en la lista)"&amp;" · ","")&amp;IF(OR(AND($E218&lt;&gt;"",NOT(ISNUMBER($E218))),AND($F218&lt;&gt;"",NOT(ISNUMBER($F218))),AND($G218&lt;&gt;"",NOT(ISNUMBER($G218)))),"Fecha no válida"&amp;" · ","")&amp;IF(AND(ISNUMBER($AM218),ISNUMBER($AN218),$AM218&gt;$AN218),"Inicio posterior a fecha límite"&amp;" · ","")&amp;IF(AND($V218="Macro",$H218&lt;&gt;"",OR(NOT(ISNUMBER($H218)),$H218&lt;0,$H218&gt;1)),"Peso fuera de rango"&amp;" · ","")&amp;IF(AND($V218="Sub",$H218&lt;&gt;""),"Las subactividades no llevan peso (valen igual dentro de su macroactividad)"&amp;" · ","")&amp;IF(AND(N($W218)&gt;0,COUNT($I218:$L218)&gt;0),"Con subactividades: deje vacías las semanas (se calculan solas)"&amp;" · ","")&amp;IF((COUNTIF($I218:$L218,"&gt;1")+COUNTIF($I218:$L218,"&lt;0")+COUNTA($I218:$L218)-COUNT($I218:$L218))&gt;0,"Avance fuera de rango 0-100%"&amp;" · ","")&amp;IF(OR(AND($J218&lt;&gt;"",$J218&lt;$I218),AND($K218&lt;&gt;"",$K218&lt;MAX($I218:$J218)),AND($L218&lt;&gt;"",$L218&lt;MAX($I218:$K218))),"Avance semanal decreciente"&amp;" · ","")&amp;IF(AND(ISNUMBER($AN218),$AN218&lt;FechaRef,IF($V218="Sub",N($X218),N($M218))&lt;1),"Vencida"&amp;" · ","")&amp;IF(AND(ObsObligatoria="Sí",ISNUMBER($AN218),$AN218&lt;FechaRef,IF($V218="Sub",N($X218),N($M218))&lt;1,$Q218=""),"Vencida sin observación"&amp;" · ",""),LEN(IF($C218="","Falta el nombre de la actividad"&amp;" · ","")&amp;IF(AND($V218="Sub",N($U218)=0),"Subactividad sin macroactividad arriba"&amp;" · ","")&amp;IF($AM218="","Sin fecha de inicio"&amp;" · ","")&amp;IF($AN218="","Sin fecha límite"&amp;" · ","")&amp;IF(AND(LEFT($C218,11)="[Jefatura] ",N($AL218)=0),"No se encuentra en la hoja de la jefatura (elíjala de nuevo en la lista)"&amp;" · ","")&amp;IF(OR(AND($E218&lt;&gt;"",NOT(ISNUMBER($E218))),AND($F218&lt;&gt;"",NOT(ISNUMBER($F218))),AND($G218&lt;&gt;"",NOT(ISNUMBER($G218)))),"Fecha no válida"&amp;" · ","")&amp;IF(AND(ISNUMBER($AM218),ISNUMBER($AN218),$AM218&gt;$AN218),"Inicio posterior a fecha límite"&amp;" · ","")&amp;IF(AND($V218="Macro",$H218&lt;&gt;"",OR(NOT(ISNUMBER($H218)),$H218&lt;0,$H218&gt;1)),"Peso fuera de rango"&amp;" · ","")&amp;IF(AND($V218="Sub",$H218&lt;&gt;""),"Las subactividades no llevan peso (valen igual dentro de su macroactividad)"&amp;" · ","")&amp;IF(AND(N($W218)&gt;0,COUNT($I218:$L218)&gt;0),"Con subactividades: deje vacías las semanas (se calculan solas)"&amp;" · ","")&amp;IF((COUNTIF($I218:$L218,"&gt;1")+COUNTIF($I218:$L218,"&lt;0")+COUNTA($I218:$L218)-COUNT($I218:$L218))&gt;0,"Avance fuera de rango 0-100%"&amp;" · ","")&amp;IF(OR(AND($J218&lt;&gt;"",$J218&lt;$I218),AND($K218&lt;&gt;"",$K218&lt;MAX($I218:$J218)),AND($L218&lt;&gt;"",$L218&lt;MAX($I218:$K218))),"Avance semanal decreciente"&amp;" · ","")&amp;IF(AND(ISNUMBER($AN218),$AN218&lt;FechaRef,IF($V218="Sub",N($X218),N($M218))&lt;1),"Vencida"&amp;" · ","")&amp;IF(AND(ObsObligatoria="Sí",ISNUMBER($AN218),$AN218&lt;FechaRef,IF($V218="Sub",N($X218),N($M218))&lt;1,$Q218=""),"Vencida sin observación"&amp;" · ",""))-3)))</f>
        <v/>
      </c>
      <c r="S218" s="64">
        <f>IF(NOT((COUNTA($B218:$D218)+COUNTA($G218:$L218)+COUNTA($Q218))&gt;0),"",IF(AND($V218="Sub",N($U218)&gt;0),IF(ISNUMBER(INDEX($AM$5:$AM$1000,$U218-4)),DATE(YEAR(INDEX($AM$5:$AM$1000,$U218-4)),MONTH(INDEX($AM$5:$AM$1000,$U218-4)),1),IF(ISNUMBER(INDEX($AN$5:$AN$1000,$U218-4)),DATE(YEAR(INDEX($AN$5:$AN$1000,$U218-4)),MONTH(INDEX($AN$5:$AN$1000,$U218-4)),1),MesCiclo)),IF(ISNUMBER($AM218),DATE(YEAR($AM218),MONTH($AM218),1),IF(ISNUMBER($AN218),DATE(YEAR($AN218),MONTH($AN218),1),MesCiclo))))</f>
        <v/>
      </c>
      <c r="T218" s="62">
        <f>IF(OR($S218="",$S218&lt;&gt;MesCiclo,$V218&lt;&gt;"Macro"),"",COUNTIFS($S$5:$S218,MesCiclo,$V$5:$V218,"Macro"))</f>
        <v/>
      </c>
      <c r="U218" s="62">
        <f>IF($V218="","",IF($V218="Macro",ROW(),IFERROR(LOOKUP(2,1/($V$5:$V218="Macro"),ROW($V$5:$V218)),0)))</f>
        <v/>
      </c>
      <c r="V218" s="62">
        <f>IF(NOT((COUNTA($B218:$D218)+COUNTA($G218:$L218)+COUNTA($Q218))&gt;0),"",IF($B218="Subactividad","Sub","Macro"))</f>
        <v/>
      </c>
      <c r="W218" s="62">
        <f>IF($V218="Macro",COUNTIFS($U$5:$U$1000,ROW(),$V$5:$V$1000,"Sub"),"")</f>
        <v/>
      </c>
      <c r="X218" s="62">
        <f>IF($V218="","",IF(ISNUMBER($G218),1,IFERROR(LOOKUP(2,1/($I218:$L218&lt;&gt;""),$I218:$L218),0)))</f>
        <v/>
      </c>
      <c r="Y218" s="62">
        <f>IF($V218="","",IF(AND(ISNUMBER($G218),$G218&lt;=IF($S218=MesCiclo,InicioCiclo,$S218+MOD(2-WEEKDAY($S218),7))+6),1,IF(ISNUMBER($I218),$I218,0)))</f>
        <v/>
      </c>
      <c r="Z218" s="62">
        <f>IF($V218="","",IF(AND(ISNUMBER($G218),$G218&lt;=IF($S218=MesCiclo,InicioCiclo,$S218+MOD(2-WEEKDAY($S218),7))+13),1,IF(ISNUMBER($J218),$J218,$Y218)))</f>
        <v/>
      </c>
      <c r="AA218" s="62">
        <f>IF($V218="","",IF(AND(ISNUMBER($G218),$G218&lt;=IF($S218=MesCiclo,InicioCiclo,$S218+MOD(2-WEEKDAY($S218),7))+20),1,IF(ISNUMBER($K218),$K218,$Z218)))</f>
        <v/>
      </c>
      <c r="AB218" s="62">
        <f>IF($V218="","",IF(AND(ISNUMBER($G218),$G218&lt;=IF($S218=MesCiclo,InicioCiclo,$S218+MOD(2-WEEKDAY($S218),7))+27),1,IF(ISNUMBER($L218),$L218,$AA218)))</f>
        <v/>
      </c>
      <c r="AC218" s="62">
        <f>IF($V218="","",IF(AND(ISNUMBER($G218),$G218&lt;=IF($S218=MesCiclo,InicioCiclo,$S218+MOD(2-WEEKDAY($S218),7))+6),1,IF(N($W218)&gt;0,AVERAGEIFS($Y$5:$Y$1000,$U$5:$U$1000,ROW(),$V$5:$V$1000,"Sub"),$Y218)))</f>
        <v/>
      </c>
      <c r="AD218" s="62">
        <f>IF($V218="","",IF(AND(ISNUMBER($G218),$G218&lt;=IF($S218=MesCiclo,InicioCiclo,$S218+MOD(2-WEEKDAY($S218),7))+13),1,IF(N($W218)&gt;0,AVERAGEIFS($Z$5:$Z$1000,$U$5:$U$1000,ROW(),$V$5:$V$1000,"Sub"),$Z218)))</f>
        <v/>
      </c>
      <c r="AE218" s="62">
        <f>IF($V218="","",IF(AND(ISNUMBER($G218),$G218&lt;=IF($S218=MesCiclo,InicioCiclo,$S218+MOD(2-WEEKDAY($S218),7))+20),1,IF(N($W218)&gt;0,AVERAGEIFS($AA$5:$AA$1000,$U$5:$U$1000,ROW(),$V$5:$V$1000,"Sub"),$AA218)))</f>
        <v/>
      </c>
      <c r="AF218" s="62">
        <f>IF($V218="","",IF(AND(ISNUMBER($G218),$G218&lt;=IF($S218=MesCiclo,InicioCiclo,$S218+MOD(2-WEEKDAY($S218),7))+27),1,IF(N($W218)&gt;0,AVERAGEIFS($AB$5:$AB$1000,$U$5:$U$1000,ROW(),$V$5:$V$1000,"Sub"),$AB218)))</f>
        <v/>
      </c>
      <c r="AG218" s="62">
        <f>IF($V218&lt;&gt;"Macro","",IF(COUNTIFS($S$5:$S$1000,$S218,$V$5:$V$1000,"Macro",$H$5:$H$1000,"&gt;0")=0,1/COUNTIFS($S$5:$S$1000,$S218,$V$5:$V$1000,"Macro"),IF(AND(ISNUMBER($H218),N($H218)&gt;0),$H218,SUMIFS($H$5:$H$1000,$S$5:$S$1000,$S218,$V$5:$V$1000,"Macro")/COUNTIFS($S$5:$S$1000,$S218,$V$5:$V$1000,"Macro",$H$5:$H$1000,"&gt;0"))/(COUNTIFS($S$5:$S$1000,$S218,$V$5:$V$1000,"Macro")*SUMIFS($H$5:$H$1000,$S$5:$S$1000,$S218,$V$5:$V$1000,"Macro")/COUNTIFS($S$5:$S$1000,$S218,$V$5:$V$1000,"Macro",$H$5:$H$1000,"&gt;0"))))</f>
        <v/>
      </c>
      <c r="AH218" s="62">
        <f>IF(NOT(AND($D218&lt;&gt;"",$V218="Macro")),"",IFERROR(CHOOSE(MATCH($D218,ListaPuestos,0),MATCH("[Jefatura] "&amp;$C218,'Cronograma R. Operacional'!$C$5:$C$1000,0),MATCH("[Jefatura] "&amp;$C218,'Cronograma R. Normativo'!$C$5:$C$1000,0),MATCH("[Jefatura] "&amp;$C218,'Cronograma R. Financiero'!$C$5:$C$1000,0),MATCH("[Jefatura] "&amp;$C218,'Cronograma Asistente Técnico'!$C$5:$C$1000,0)),0))</f>
        <v/>
      </c>
      <c r="AI218" s="62">
        <f>IF(AND(AND($D218&lt;&gt;"",$V218="Macro"),$S218=MesCiclo),COUNTIFS($D$5:$D218,$D218,$S$5:$S218,MesCiclo,$V$5:$V218,"Macro"),"")</f>
        <v/>
      </c>
      <c r="AJ218" s="62">
        <f>IF($AI218="","",$D218&amp;"|"&amp;$AI218)</f>
        <v/>
      </c>
      <c r="AK218" s="62">
        <f>IF(AND($D218&lt;&gt;"",$V218="Macro"),$D218&amp;"|"&amp;$C218,"")</f>
        <v/>
      </c>
      <c r="AL218" s="62">
        <f>""</f>
        <v/>
      </c>
      <c r="AM218" s="62">
        <f>IF(N($AL218)&gt;0,INDEX(rIni_ADM,$AL218),IF(ISNUMBER($E218),$E218,""))</f>
        <v/>
      </c>
      <c r="AN218" s="62">
        <f>IF(N($AL218)&gt;0,INDEX(rLim_ADM,$AL218),IF(ISNUMBER($F218),$F218,""))</f>
        <v/>
      </c>
    </row>
    <row r="219">
      <c r="A219" s="56">
        <f>IF(NOT((COUNTA($B219:$D219)+COUNTA($G219:$L219)+COUNTA($Q219))&gt;0),"",IF($V219="Macro",COUNTIFS($V$5:$V219,"Macro",$S$5:$S219,$S219),IF(N($U219)=0,"?",COUNTIFS(INDEX($V$5:$V$1000,1):INDEX($V$5:$V$1000,$U219-4),"Macro",INDEX($S$5:$S$1000,1):INDEX($S$5:$S$1000,$U219-4),INDEX($S$5:$S$1000,$U219-4))&amp;"."&amp;COUNTIFS($U$5:$U219,$U219,$V$5:$V219,"Sub"))))</f>
        <v/>
      </c>
      <c r="B219" s="57" t="n"/>
      <c r="C219" s="58" t="n"/>
      <c r="D219" s="58" t="n"/>
      <c r="E219" s="59" t="n"/>
      <c r="F219" s="59" t="n"/>
      <c r="G219" s="59" t="n"/>
      <c r="H219" s="60" t="n"/>
      <c r="I219" s="60" t="n"/>
      <c r="J219" s="60" t="n"/>
      <c r="K219" s="60" t="n"/>
      <c r="L219" s="60" t="n"/>
      <c r="M219" s="61">
        <f>IF(NOT((COUNTA($B219:$D219)+COUNTA($G219:$L219)+COUNTA($Q219))&gt;0),"",IF(AND($D219&lt;&gt;"",$V219="Macro"),IF(N($AH219)&gt;0,N(CHOOSE(MATCH($D219,ListaPuestos,0),INDEX('Cronograma R. Operacional'!$M$5:$M$1000,$AH219),INDEX('Cronograma R. Normativo'!$M$5:$M$1000,$AH219),INDEX('Cronograma R. Financiero'!$M$5:$M$1000,$AH219),INDEX('Cronograma Asistente Técnico'!$M$5:$M$1000,$AH219))),0),IF(ISNUMBER($G219),1,IF(N($W219)&gt;0,AVERAGEIFS($X$5:$X$1000,$U$5:$U$1000,ROW(),$V$5:$V$1000,"Sub"),$X219))))</f>
        <v/>
      </c>
      <c r="N219" s="56">
        <f>IF(OR($M219="",$V219="Sub"),"",IF($M219&gt;=1,"Completado",IF($M219&gt;0,"En curso","Pendiente")))</f>
        <v/>
      </c>
      <c r="O219" s="56">
        <f>IF(NOT((COUNTA($B219:$D219)+COUNTA($G219:$L219)+COUNTA($Q219))&gt;0),"",IF(AND(AND($D219&lt;&gt;"",$V219="Macro"),N($AH219)&gt;0),CHOOSE(MATCH($D219,ListaPuestos,0),INDEX('Cronograma R. Operacional'!$O$5:$O$1000,$AH219),INDEX('Cronograma R. Normativo'!$O$5:$O$1000,$AH219),INDEX('Cronograma R. Financiero'!$O$5:$O$1000,$AH219),INDEX('Cronograma Asistente Técnico'!$O$5:$O$1000,$AH219))&amp;"",IF(ISNUMBER($G219),IF(AND(ISNUMBER($AN219),$G219&gt;$AN219),"Cumplida con "&amp;($G219-$AN219)&amp;IF($G219-$AN219=1," día"," días")&amp;" de retraso","Cumplida"),IF(N($M219)&gt;=1,"Cumplida",IF(NOT(ISNUMBER($AN219)),"Sin fecha límite",IF($AN219&lt;FechaRef,"Vencida hace "&amp;(FechaRef-$AN219)&amp;IF(FechaRef-$AN219=1," día"," días"),IF($AN219=FechaRef,"Vence hoy",IF($AN219-FechaRef&lt;=DiasAlerta,"Vence en "&amp;($AN219-FechaRef)&amp;IF($AN219-FechaRef=1," día"," días"),"En plazo"))))))))</f>
        <v/>
      </c>
      <c r="P219" s="62">
        <f>IF(NOT((COUNTA($B219:$D219)+COUNTA($G219:$L219)+COUNTA($Q219))&gt;0),"",IF($D219="","Propia",IF($V219&lt;&gt;"Macro","Solo se delegan macroactividades",IF(N($AH219)&gt;0,"✔ Recibida por "&amp;$D219,"⚠ "&amp;$D219&amp;" aún no la agrega"))))</f>
        <v/>
      </c>
      <c r="Q219" s="58" t="n"/>
      <c r="R219" s="63">
        <f>IF(NOT((COUNTA($B219:$D219)+COUNTA($G219:$L219)+COUNTA($Q219))&gt;0),"",IF((IF($C219="","Falta el nombre de la actividad"&amp;" · ","")&amp;IF(AND($V219="Sub",N($U219)=0),"Subactividad sin macroactividad arriba"&amp;" · ","")&amp;IF($AM219="","Sin fecha de inicio"&amp;" · ","")&amp;IF($AN219="","Sin fecha límite"&amp;" · ","")&amp;IF(AND(LEFT($C219,11)="[Jefatura] ",N($AL219)=0),"No se encuentra en la hoja de la jefatura (elíjala de nuevo en la lista)"&amp;" · ","")&amp;IF(OR(AND($E219&lt;&gt;"",NOT(ISNUMBER($E219))),AND($F219&lt;&gt;"",NOT(ISNUMBER($F219))),AND($G219&lt;&gt;"",NOT(ISNUMBER($G219)))),"Fecha no válida"&amp;" · ","")&amp;IF(AND(ISNUMBER($AM219),ISNUMBER($AN219),$AM219&gt;$AN219),"Inicio posterior a fecha límite"&amp;" · ","")&amp;IF(AND($V219="Macro",$H219&lt;&gt;"",OR(NOT(ISNUMBER($H219)),$H219&lt;0,$H219&gt;1)),"Peso fuera de rango"&amp;" · ","")&amp;IF(AND($V219="Sub",$H219&lt;&gt;""),"Las subactividades no llevan peso (valen igual dentro de su macroactividad)"&amp;" · ","")&amp;IF(AND(N($W219)&gt;0,COUNT($I219:$L219)&gt;0),"Con subactividades: deje vacías las semanas (se calculan solas)"&amp;" · ","")&amp;IF((COUNTIF($I219:$L219,"&gt;1")+COUNTIF($I219:$L219,"&lt;0")+COUNTA($I219:$L219)-COUNT($I219:$L219))&gt;0,"Avance fuera de rango 0-100%"&amp;" · ","")&amp;IF(OR(AND($J219&lt;&gt;"",$J219&lt;$I219),AND($K219&lt;&gt;"",$K219&lt;MAX($I219:$J219)),AND($L219&lt;&gt;"",$L219&lt;MAX($I219:$K219))),"Avance semanal decreciente"&amp;" · ","")&amp;IF(AND(ISNUMBER($AN219),$AN219&lt;FechaRef,IF($V219="Sub",N($X219),N($M219))&lt;1),"Vencida"&amp;" · ","")&amp;IF(AND(ObsObligatoria="Sí",ISNUMBER($AN219),$AN219&lt;FechaRef,IF($V219="Sub",N($X219),N($M219))&lt;1,$Q219=""),"Vencida sin observación"&amp;" · ",""))="","✔ OK","⚠ "&amp;LEFT(IF($C219="","Falta el nombre de la actividad"&amp;" · ","")&amp;IF(AND($V219="Sub",N($U219)=0),"Subactividad sin macroactividad arriba"&amp;" · ","")&amp;IF($AM219="","Sin fecha de inicio"&amp;" · ","")&amp;IF($AN219="","Sin fecha límite"&amp;" · ","")&amp;IF(AND(LEFT($C219,11)="[Jefatura] ",N($AL219)=0),"No se encuentra en la hoja de la jefatura (elíjala de nuevo en la lista)"&amp;" · ","")&amp;IF(OR(AND($E219&lt;&gt;"",NOT(ISNUMBER($E219))),AND($F219&lt;&gt;"",NOT(ISNUMBER($F219))),AND($G219&lt;&gt;"",NOT(ISNUMBER($G219)))),"Fecha no válida"&amp;" · ","")&amp;IF(AND(ISNUMBER($AM219),ISNUMBER($AN219),$AM219&gt;$AN219),"Inicio posterior a fecha límite"&amp;" · ","")&amp;IF(AND($V219="Macro",$H219&lt;&gt;"",OR(NOT(ISNUMBER($H219)),$H219&lt;0,$H219&gt;1)),"Peso fuera de rango"&amp;" · ","")&amp;IF(AND($V219="Sub",$H219&lt;&gt;""),"Las subactividades no llevan peso (valen igual dentro de su macroactividad)"&amp;" · ","")&amp;IF(AND(N($W219)&gt;0,COUNT($I219:$L219)&gt;0),"Con subactividades: deje vacías las semanas (se calculan solas)"&amp;" · ","")&amp;IF((COUNTIF($I219:$L219,"&gt;1")+COUNTIF($I219:$L219,"&lt;0")+COUNTA($I219:$L219)-COUNT($I219:$L219))&gt;0,"Avance fuera de rango 0-100%"&amp;" · ","")&amp;IF(OR(AND($J219&lt;&gt;"",$J219&lt;$I219),AND($K219&lt;&gt;"",$K219&lt;MAX($I219:$J219)),AND($L219&lt;&gt;"",$L219&lt;MAX($I219:$K219))),"Avance semanal decreciente"&amp;" · ","")&amp;IF(AND(ISNUMBER($AN219),$AN219&lt;FechaRef,IF($V219="Sub",N($X219),N($M219))&lt;1),"Vencida"&amp;" · ","")&amp;IF(AND(ObsObligatoria="Sí",ISNUMBER($AN219),$AN219&lt;FechaRef,IF($V219="Sub",N($X219),N($M219))&lt;1,$Q219=""),"Vencida sin observación"&amp;" · ",""),LEN(IF($C219="","Falta el nombre de la actividad"&amp;" · ","")&amp;IF(AND($V219="Sub",N($U219)=0),"Subactividad sin macroactividad arriba"&amp;" · ","")&amp;IF($AM219="","Sin fecha de inicio"&amp;" · ","")&amp;IF($AN219="","Sin fecha límite"&amp;" · ","")&amp;IF(AND(LEFT($C219,11)="[Jefatura] ",N($AL219)=0),"No se encuentra en la hoja de la jefatura (elíjala de nuevo en la lista)"&amp;" · ","")&amp;IF(OR(AND($E219&lt;&gt;"",NOT(ISNUMBER($E219))),AND($F219&lt;&gt;"",NOT(ISNUMBER($F219))),AND($G219&lt;&gt;"",NOT(ISNUMBER($G219)))),"Fecha no válida"&amp;" · ","")&amp;IF(AND(ISNUMBER($AM219),ISNUMBER($AN219),$AM219&gt;$AN219),"Inicio posterior a fecha límite"&amp;" · ","")&amp;IF(AND($V219="Macro",$H219&lt;&gt;"",OR(NOT(ISNUMBER($H219)),$H219&lt;0,$H219&gt;1)),"Peso fuera de rango"&amp;" · ","")&amp;IF(AND($V219="Sub",$H219&lt;&gt;""),"Las subactividades no llevan peso (valen igual dentro de su macroactividad)"&amp;" · ","")&amp;IF(AND(N($W219)&gt;0,COUNT($I219:$L219)&gt;0),"Con subactividades: deje vacías las semanas (se calculan solas)"&amp;" · ","")&amp;IF((COUNTIF($I219:$L219,"&gt;1")+COUNTIF($I219:$L219,"&lt;0")+COUNTA($I219:$L219)-COUNT($I219:$L219))&gt;0,"Avance fuera de rango 0-100%"&amp;" · ","")&amp;IF(OR(AND($J219&lt;&gt;"",$J219&lt;$I219),AND($K219&lt;&gt;"",$K219&lt;MAX($I219:$J219)),AND($L219&lt;&gt;"",$L219&lt;MAX($I219:$K219))),"Avance semanal decreciente"&amp;" · ","")&amp;IF(AND(ISNUMBER($AN219),$AN219&lt;FechaRef,IF($V219="Sub",N($X219),N($M219))&lt;1),"Vencida"&amp;" · ","")&amp;IF(AND(ObsObligatoria="Sí",ISNUMBER($AN219),$AN219&lt;FechaRef,IF($V219="Sub",N($X219),N($M219))&lt;1,$Q219=""),"Vencida sin observación"&amp;" · ",""))-3)))</f>
        <v/>
      </c>
      <c r="S219" s="64">
        <f>IF(NOT((COUNTA($B219:$D219)+COUNTA($G219:$L219)+COUNTA($Q219))&gt;0),"",IF(AND($V219="Sub",N($U219)&gt;0),IF(ISNUMBER(INDEX($AM$5:$AM$1000,$U219-4)),DATE(YEAR(INDEX($AM$5:$AM$1000,$U219-4)),MONTH(INDEX($AM$5:$AM$1000,$U219-4)),1),IF(ISNUMBER(INDEX($AN$5:$AN$1000,$U219-4)),DATE(YEAR(INDEX($AN$5:$AN$1000,$U219-4)),MONTH(INDEX($AN$5:$AN$1000,$U219-4)),1),MesCiclo)),IF(ISNUMBER($AM219),DATE(YEAR($AM219),MONTH($AM219),1),IF(ISNUMBER($AN219),DATE(YEAR($AN219),MONTH($AN219),1),MesCiclo))))</f>
        <v/>
      </c>
      <c r="T219" s="62">
        <f>IF(OR($S219="",$S219&lt;&gt;MesCiclo,$V219&lt;&gt;"Macro"),"",COUNTIFS($S$5:$S219,MesCiclo,$V$5:$V219,"Macro"))</f>
        <v/>
      </c>
      <c r="U219" s="62">
        <f>IF($V219="","",IF($V219="Macro",ROW(),IFERROR(LOOKUP(2,1/($V$5:$V219="Macro"),ROW($V$5:$V219)),0)))</f>
        <v/>
      </c>
      <c r="V219" s="62">
        <f>IF(NOT((COUNTA($B219:$D219)+COUNTA($G219:$L219)+COUNTA($Q219))&gt;0),"",IF($B219="Subactividad","Sub","Macro"))</f>
        <v/>
      </c>
      <c r="W219" s="62">
        <f>IF($V219="Macro",COUNTIFS($U$5:$U$1000,ROW(),$V$5:$V$1000,"Sub"),"")</f>
        <v/>
      </c>
      <c r="X219" s="62">
        <f>IF($V219="","",IF(ISNUMBER($G219),1,IFERROR(LOOKUP(2,1/($I219:$L219&lt;&gt;""),$I219:$L219),0)))</f>
        <v/>
      </c>
      <c r="Y219" s="62">
        <f>IF($V219="","",IF(AND(ISNUMBER($G219),$G219&lt;=IF($S219=MesCiclo,InicioCiclo,$S219+MOD(2-WEEKDAY($S219),7))+6),1,IF(ISNUMBER($I219),$I219,0)))</f>
        <v/>
      </c>
      <c r="Z219" s="62">
        <f>IF($V219="","",IF(AND(ISNUMBER($G219),$G219&lt;=IF($S219=MesCiclo,InicioCiclo,$S219+MOD(2-WEEKDAY($S219),7))+13),1,IF(ISNUMBER($J219),$J219,$Y219)))</f>
        <v/>
      </c>
      <c r="AA219" s="62">
        <f>IF($V219="","",IF(AND(ISNUMBER($G219),$G219&lt;=IF($S219=MesCiclo,InicioCiclo,$S219+MOD(2-WEEKDAY($S219),7))+20),1,IF(ISNUMBER($K219),$K219,$Z219)))</f>
        <v/>
      </c>
      <c r="AB219" s="62">
        <f>IF($V219="","",IF(AND(ISNUMBER($G219),$G219&lt;=IF($S219=MesCiclo,InicioCiclo,$S219+MOD(2-WEEKDAY($S219),7))+27),1,IF(ISNUMBER($L219),$L219,$AA219)))</f>
        <v/>
      </c>
      <c r="AC219" s="62">
        <f>IF($V219="","",IF(AND(ISNUMBER($G219),$G219&lt;=IF($S219=MesCiclo,InicioCiclo,$S219+MOD(2-WEEKDAY($S219),7))+6),1,IF(N($W219)&gt;0,AVERAGEIFS($Y$5:$Y$1000,$U$5:$U$1000,ROW(),$V$5:$V$1000,"Sub"),$Y219)))</f>
        <v/>
      </c>
      <c r="AD219" s="62">
        <f>IF($V219="","",IF(AND(ISNUMBER($G219),$G219&lt;=IF($S219=MesCiclo,InicioCiclo,$S219+MOD(2-WEEKDAY($S219),7))+13),1,IF(N($W219)&gt;0,AVERAGEIFS($Z$5:$Z$1000,$U$5:$U$1000,ROW(),$V$5:$V$1000,"Sub"),$Z219)))</f>
        <v/>
      </c>
      <c r="AE219" s="62">
        <f>IF($V219="","",IF(AND(ISNUMBER($G219),$G219&lt;=IF($S219=MesCiclo,InicioCiclo,$S219+MOD(2-WEEKDAY($S219),7))+20),1,IF(N($W219)&gt;0,AVERAGEIFS($AA$5:$AA$1000,$U$5:$U$1000,ROW(),$V$5:$V$1000,"Sub"),$AA219)))</f>
        <v/>
      </c>
      <c r="AF219" s="62">
        <f>IF($V219="","",IF(AND(ISNUMBER($G219),$G219&lt;=IF($S219=MesCiclo,InicioCiclo,$S219+MOD(2-WEEKDAY($S219),7))+27),1,IF(N($W219)&gt;0,AVERAGEIFS($AB$5:$AB$1000,$U$5:$U$1000,ROW(),$V$5:$V$1000,"Sub"),$AB219)))</f>
        <v/>
      </c>
      <c r="AG219" s="62">
        <f>IF($V219&lt;&gt;"Macro","",IF(COUNTIFS($S$5:$S$1000,$S219,$V$5:$V$1000,"Macro",$H$5:$H$1000,"&gt;0")=0,1/COUNTIFS($S$5:$S$1000,$S219,$V$5:$V$1000,"Macro"),IF(AND(ISNUMBER($H219),N($H219)&gt;0),$H219,SUMIFS($H$5:$H$1000,$S$5:$S$1000,$S219,$V$5:$V$1000,"Macro")/COUNTIFS($S$5:$S$1000,$S219,$V$5:$V$1000,"Macro",$H$5:$H$1000,"&gt;0"))/(COUNTIFS($S$5:$S$1000,$S219,$V$5:$V$1000,"Macro")*SUMIFS($H$5:$H$1000,$S$5:$S$1000,$S219,$V$5:$V$1000,"Macro")/COUNTIFS($S$5:$S$1000,$S219,$V$5:$V$1000,"Macro",$H$5:$H$1000,"&gt;0"))))</f>
        <v/>
      </c>
      <c r="AH219" s="62">
        <f>IF(NOT(AND($D219&lt;&gt;"",$V219="Macro")),"",IFERROR(CHOOSE(MATCH($D219,ListaPuestos,0),MATCH("[Jefatura] "&amp;$C219,'Cronograma R. Operacional'!$C$5:$C$1000,0),MATCH("[Jefatura] "&amp;$C219,'Cronograma R. Normativo'!$C$5:$C$1000,0),MATCH("[Jefatura] "&amp;$C219,'Cronograma R. Financiero'!$C$5:$C$1000,0),MATCH("[Jefatura] "&amp;$C219,'Cronograma Asistente Técnico'!$C$5:$C$1000,0)),0))</f>
        <v/>
      </c>
      <c r="AI219" s="62">
        <f>IF(AND(AND($D219&lt;&gt;"",$V219="Macro"),$S219=MesCiclo),COUNTIFS($D$5:$D219,$D219,$S$5:$S219,MesCiclo,$V$5:$V219,"Macro"),"")</f>
        <v/>
      </c>
      <c r="AJ219" s="62">
        <f>IF($AI219="","",$D219&amp;"|"&amp;$AI219)</f>
        <v/>
      </c>
      <c r="AK219" s="62">
        <f>IF(AND($D219&lt;&gt;"",$V219="Macro"),$D219&amp;"|"&amp;$C219,"")</f>
        <v/>
      </c>
      <c r="AL219" s="62">
        <f>""</f>
        <v/>
      </c>
      <c r="AM219" s="62">
        <f>IF(N($AL219)&gt;0,INDEX(rIni_ADM,$AL219),IF(ISNUMBER($E219),$E219,""))</f>
        <v/>
      </c>
      <c r="AN219" s="62">
        <f>IF(N($AL219)&gt;0,INDEX(rLim_ADM,$AL219),IF(ISNUMBER($F219),$F219,""))</f>
        <v/>
      </c>
    </row>
    <row r="220">
      <c r="A220" s="56">
        <f>IF(NOT((COUNTA($B220:$D220)+COUNTA($G220:$L220)+COUNTA($Q220))&gt;0),"",IF($V220="Macro",COUNTIFS($V$5:$V220,"Macro",$S$5:$S220,$S220),IF(N($U220)=0,"?",COUNTIFS(INDEX($V$5:$V$1000,1):INDEX($V$5:$V$1000,$U220-4),"Macro",INDEX($S$5:$S$1000,1):INDEX($S$5:$S$1000,$U220-4),INDEX($S$5:$S$1000,$U220-4))&amp;"."&amp;COUNTIFS($U$5:$U220,$U220,$V$5:$V220,"Sub"))))</f>
        <v/>
      </c>
      <c r="B220" s="57" t="n"/>
      <c r="C220" s="58" t="n"/>
      <c r="D220" s="58" t="n"/>
      <c r="E220" s="59" t="n"/>
      <c r="F220" s="59" t="n"/>
      <c r="G220" s="59" t="n"/>
      <c r="H220" s="60" t="n"/>
      <c r="I220" s="60" t="n"/>
      <c r="J220" s="60" t="n"/>
      <c r="K220" s="60" t="n"/>
      <c r="L220" s="60" t="n"/>
      <c r="M220" s="61">
        <f>IF(NOT((COUNTA($B220:$D220)+COUNTA($G220:$L220)+COUNTA($Q220))&gt;0),"",IF(AND($D220&lt;&gt;"",$V220="Macro"),IF(N($AH220)&gt;0,N(CHOOSE(MATCH($D220,ListaPuestos,0),INDEX('Cronograma R. Operacional'!$M$5:$M$1000,$AH220),INDEX('Cronograma R. Normativo'!$M$5:$M$1000,$AH220),INDEX('Cronograma R. Financiero'!$M$5:$M$1000,$AH220),INDEX('Cronograma Asistente Técnico'!$M$5:$M$1000,$AH220))),0),IF(ISNUMBER($G220),1,IF(N($W220)&gt;0,AVERAGEIFS($X$5:$X$1000,$U$5:$U$1000,ROW(),$V$5:$V$1000,"Sub"),$X220))))</f>
        <v/>
      </c>
      <c r="N220" s="56">
        <f>IF(OR($M220="",$V220="Sub"),"",IF($M220&gt;=1,"Completado",IF($M220&gt;0,"En curso","Pendiente")))</f>
        <v/>
      </c>
      <c r="O220" s="56">
        <f>IF(NOT((COUNTA($B220:$D220)+COUNTA($G220:$L220)+COUNTA($Q220))&gt;0),"",IF(AND(AND($D220&lt;&gt;"",$V220="Macro"),N($AH220)&gt;0),CHOOSE(MATCH($D220,ListaPuestos,0),INDEX('Cronograma R. Operacional'!$O$5:$O$1000,$AH220),INDEX('Cronograma R. Normativo'!$O$5:$O$1000,$AH220),INDEX('Cronograma R. Financiero'!$O$5:$O$1000,$AH220),INDEX('Cronograma Asistente Técnico'!$O$5:$O$1000,$AH220))&amp;"",IF(ISNUMBER($G220),IF(AND(ISNUMBER($AN220),$G220&gt;$AN220),"Cumplida con "&amp;($G220-$AN220)&amp;IF($G220-$AN220=1," día"," días")&amp;" de retraso","Cumplida"),IF(N($M220)&gt;=1,"Cumplida",IF(NOT(ISNUMBER($AN220)),"Sin fecha límite",IF($AN220&lt;FechaRef,"Vencida hace "&amp;(FechaRef-$AN220)&amp;IF(FechaRef-$AN220=1," día"," días"),IF($AN220=FechaRef,"Vence hoy",IF($AN220-FechaRef&lt;=DiasAlerta,"Vence en "&amp;($AN220-FechaRef)&amp;IF($AN220-FechaRef=1," día"," días"),"En plazo"))))))))</f>
        <v/>
      </c>
      <c r="P220" s="62">
        <f>IF(NOT((COUNTA($B220:$D220)+COUNTA($G220:$L220)+COUNTA($Q220))&gt;0),"",IF($D220="","Propia",IF($V220&lt;&gt;"Macro","Solo se delegan macroactividades",IF(N($AH220)&gt;0,"✔ Recibida por "&amp;$D220,"⚠ "&amp;$D220&amp;" aún no la agrega"))))</f>
        <v/>
      </c>
      <c r="Q220" s="58" t="n"/>
      <c r="R220" s="63">
        <f>IF(NOT((COUNTA($B220:$D220)+COUNTA($G220:$L220)+COUNTA($Q220))&gt;0),"",IF((IF($C220="","Falta el nombre de la actividad"&amp;" · ","")&amp;IF(AND($V220="Sub",N($U220)=0),"Subactividad sin macroactividad arriba"&amp;" · ","")&amp;IF($AM220="","Sin fecha de inicio"&amp;" · ","")&amp;IF($AN220="","Sin fecha límite"&amp;" · ","")&amp;IF(AND(LEFT($C220,11)="[Jefatura] ",N($AL220)=0),"No se encuentra en la hoja de la jefatura (elíjala de nuevo en la lista)"&amp;" · ","")&amp;IF(OR(AND($E220&lt;&gt;"",NOT(ISNUMBER($E220))),AND($F220&lt;&gt;"",NOT(ISNUMBER($F220))),AND($G220&lt;&gt;"",NOT(ISNUMBER($G220)))),"Fecha no válida"&amp;" · ","")&amp;IF(AND(ISNUMBER($AM220),ISNUMBER($AN220),$AM220&gt;$AN220),"Inicio posterior a fecha límite"&amp;" · ","")&amp;IF(AND($V220="Macro",$H220&lt;&gt;"",OR(NOT(ISNUMBER($H220)),$H220&lt;0,$H220&gt;1)),"Peso fuera de rango"&amp;" · ","")&amp;IF(AND($V220="Sub",$H220&lt;&gt;""),"Las subactividades no llevan peso (valen igual dentro de su macroactividad)"&amp;" · ","")&amp;IF(AND(N($W220)&gt;0,COUNT($I220:$L220)&gt;0),"Con subactividades: deje vacías las semanas (se calculan solas)"&amp;" · ","")&amp;IF((COUNTIF($I220:$L220,"&gt;1")+COUNTIF($I220:$L220,"&lt;0")+COUNTA($I220:$L220)-COUNT($I220:$L220))&gt;0,"Avance fuera de rango 0-100%"&amp;" · ","")&amp;IF(OR(AND($J220&lt;&gt;"",$J220&lt;$I220),AND($K220&lt;&gt;"",$K220&lt;MAX($I220:$J220)),AND($L220&lt;&gt;"",$L220&lt;MAX($I220:$K220))),"Avance semanal decreciente"&amp;" · ","")&amp;IF(AND(ISNUMBER($AN220),$AN220&lt;FechaRef,IF($V220="Sub",N($X220),N($M220))&lt;1),"Vencida"&amp;" · ","")&amp;IF(AND(ObsObligatoria="Sí",ISNUMBER($AN220),$AN220&lt;FechaRef,IF($V220="Sub",N($X220),N($M220))&lt;1,$Q220=""),"Vencida sin observación"&amp;" · ",""))="","✔ OK","⚠ "&amp;LEFT(IF($C220="","Falta el nombre de la actividad"&amp;" · ","")&amp;IF(AND($V220="Sub",N($U220)=0),"Subactividad sin macroactividad arriba"&amp;" · ","")&amp;IF($AM220="","Sin fecha de inicio"&amp;" · ","")&amp;IF($AN220="","Sin fecha límite"&amp;" · ","")&amp;IF(AND(LEFT($C220,11)="[Jefatura] ",N($AL220)=0),"No se encuentra en la hoja de la jefatura (elíjala de nuevo en la lista)"&amp;" · ","")&amp;IF(OR(AND($E220&lt;&gt;"",NOT(ISNUMBER($E220))),AND($F220&lt;&gt;"",NOT(ISNUMBER($F220))),AND($G220&lt;&gt;"",NOT(ISNUMBER($G220)))),"Fecha no válida"&amp;" · ","")&amp;IF(AND(ISNUMBER($AM220),ISNUMBER($AN220),$AM220&gt;$AN220),"Inicio posterior a fecha límite"&amp;" · ","")&amp;IF(AND($V220="Macro",$H220&lt;&gt;"",OR(NOT(ISNUMBER($H220)),$H220&lt;0,$H220&gt;1)),"Peso fuera de rango"&amp;" · ","")&amp;IF(AND($V220="Sub",$H220&lt;&gt;""),"Las subactividades no llevan peso (valen igual dentro de su macroactividad)"&amp;" · ","")&amp;IF(AND(N($W220)&gt;0,COUNT($I220:$L220)&gt;0),"Con subactividades: deje vacías las semanas (se calculan solas)"&amp;" · ","")&amp;IF((COUNTIF($I220:$L220,"&gt;1")+COUNTIF($I220:$L220,"&lt;0")+COUNTA($I220:$L220)-COUNT($I220:$L220))&gt;0,"Avance fuera de rango 0-100%"&amp;" · ","")&amp;IF(OR(AND($J220&lt;&gt;"",$J220&lt;$I220),AND($K220&lt;&gt;"",$K220&lt;MAX($I220:$J220)),AND($L220&lt;&gt;"",$L220&lt;MAX($I220:$K220))),"Avance semanal decreciente"&amp;" · ","")&amp;IF(AND(ISNUMBER($AN220),$AN220&lt;FechaRef,IF($V220="Sub",N($X220),N($M220))&lt;1),"Vencida"&amp;" · ","")&amp;IF(AND(ObsObligatoria="Sí",ISNUMBER($AN220),$AN220&lt;FechaRef,IF($V220="Sub",N($X220),N($M220))&lt;1,$Q220=""),"Vencida sin observación"&amp;" · ",""),LEN(IF($C220="","Falta el nombre de la actividad"&amp;" · ","")&amp;IF(AND($V220="Sub",N($U220)=0),"Subactividad sin macroactividad arriba"&amp;" · ","")&amp;IF($AM220="","Sin fecha de inicio"&amp;" · ","")&amp;IF($AN220="","Sin fecha límite"&amp;" · ","")&amp;IF(AND(LEFT($C220,11)="[Jefatura] ",N($AL220)=0),"No se encuentra en la hoja de la jefatura (elíjala de nuevo en la lista)"&amp;" · ","")&amp;IF(OR(AND($E220&lt;&gt;"",NOT(ISNUMBER($E220))),AND($F220&lt;&gt;"",NOT(ISNUMBER($F220))),AND($G220&lt;&gt;"",NOT(ISNUMBER($G220)))),"Fecha no válida"&amp;" · ","")&amp;IF(AND(ISNUMBER($AM220),ISNUMBER($AN220),$AM220&gt;$AN220),"Inicio posterior a fecha límite"&amp;" · ","")&amp;IF(AND($V220="Macro",$H220&lt;&gt;"",OR(NOT(ISNUMBER($H220)),$H220&lt;0,$H220&gt;1)),"Peso fuera de rango"&amp;" · ","")&amp;IF(AND($V220="Sub",$H220&lt;&gt;""),"Las subactividades no llevan peso (valen igual dentro de su macroactividad)"&amp;" · ","")&amp;IF(AND(N($W220)&gt;0,COUNT($I220:$L220)&gt;0),"Con subactividades: deje vacías las semanas (se calculan solas)"&amp;" · ","")&amp;IF((COUNTIF($I220:$L220,"&gt;1")+COUNTIF($I220:$L220,"&lt;0")+COUNTA($I220:$L220)-COUNT($I220:$L220))&gt;0,"Avance fuera de rango 0-100%"&amp;" · ","")&amp;IF(OR(AND($J220&lt;&gt;"",$J220&lt;$I220),AND($K220&lt;&gt;"",$K220&lt;MAX($I220:$J220)),AND($L220&lt;&gt;"",$L220&lt;MAX($I220:$K220))),"Avance semanal decreciente"&amp;" · ","")&amp;IF(AND(ISNUMBER($AN220),$AN220&lt;FechaRef,IF($V220="Sub",N($X220),N($M220))&lt;1),"Vencida"&amp;" · ","")&amp;IF(AND(ObsObligatoria="Sí",ISNUMBER($AN220),$AN220&lt;FechaRef,IF($V220="Sub",N($X220),N($M220))&lt;1,$Q220=""),"Vencida sin observación"&amp;" · ",""))-3)))</f>
        <v/>
      </c>
      <c r="S220" s="64">
        <f>IF(NOT((COUNTA($B220:$D220)+COUNTA($G220:$L220)+COUNTA($Q220))&gt;0),"",IF(AND($V220="Sub",N($U220)&gt;0),IF(ISNUMBER(INDEX($AM$5:$AM$1000,$U220-4)),DATE(YEAR(INDEX($AM$5:$AM$1000,$U220-4)),MONTH(INDEX($AM$5:$AM$1000,$U220-4)),1),IF(ISNUMBER(INDEX($AN$5:$AN$1000,$U220-4)),DATE(YEAR(INDEX($AN$5:$AN$1000,$U220-4)),MONTH(INDEX($AN$5:$AN$1000,$U220-4)),1),MesCiclo)),IF(ISNUMBER($AM220),DATE(YEAR($AM220),MONTH($AM220),1),IF(ISNUMBER($AN220),DATE(YEAR($AN220),MONTH($AN220),1),MesCiclo))))</f>
        <v/>
      </c>
      <c r="T220" s="62">
        <f>IF(OR($S220="",$S220&lt;&gt;MesCiclo,$V220&lt;&gt;"Macro"),"",COUNTIFS($S$5:$S220,MesCiclo,$V$5:$V220,"Macro"))</f>
        <v/>
      </c>
      <c r="U220" s="62">
        <f>IF($V220="","",IF($V220="Macro",ROW(),IFERROR(LOOKUP(2,1/($V$5:$V220="Macro"),ROW($V$5:$V220)),0)))</f>
        <v/>
      </c>
      <c r="V220" s="62">
        <f>IF(NOT((COUNTA($B220:$D220)+COUNTA($G220:$L220)+COUNTA($Q220))&gt;0),"",IF($B220="Subactividad","Sub","Macro"))</f>
        <v/>
      </c>
      <c r="W220" s="62">
        <f>IF($V220="Macro",COUNTIFS($U$5:$U$1000,ROW(),$V$5:$V$1000,"Sub"),"")</f>
        <v/>
      </c>
      <c r="X220" s="62">
        <f>IF($V220="","",IF(ISNUMBER($G220),1,IFERROR(LOOKUP(2,1/($I220:$L220&lt;&gt;""),$I220:$L220),0)))</f>
        <v/>
      </c>
      <c r="Y220" s="62">
        <f>IF($V220="","",IF(AND(ISNUMBER($G220),$G220&lt;=IF($S220=MesCiclo,InicioCiclo,$S220+MOD(2-WEEKDAY($S220),7))+6),1,IF(ISNUMBER($I220),$I220,0)))</f>
        <v/>
      </c>
      <c r="Z220" s="62">
        <f>IF($V220="","",IF(AND(ISNUMBER($G220),$G220&lt;=IF($S220=MesCiclo,InicioCiclo,$S220+MOD(2-WEEKDAY($S220),7))+13),1,IF(ISNUMBER($J220),$J220,$Y220)))</f>
        <v/>
      </c>
      <c r="AA220" s="62">
        <f>IF($V220="","",IF(AND(ISNUMBER($G220),$G220&lt;=IF($S220=MesCiclo,InicioCiclo,$S220+MOD(2-WEEKDAY($S220),7))+20),1,IF(ISNUMBER($K220),$K220,$Z220)))</f>
        <v/>
      </c>
      <c r="AB220" s="62">
        <f>IF($V220="","",IF(AND(ISNUMBER($G220),$G220&lt;=IF($S220=MesCiclo,InicioCiclo,$S220+MOD(2-WEEKDAY($S220),7))+27),1,IF(ISNUMBER($L220),$L220,$AA220)))</f>
        <v/>
      </c>
      <c r="AC220" s="62">
        <f>IF($V220="","",IF(AND(ISNUMBER($G220),$G220&lt;=IF($S220=MesCiclo,InicioCiclo,$S220+MOD(2-WEEKDAY($S220),7))+6),1,IF(N($W220)&gt;0,AVERAGEIFS($Y$5:$Y$1000,$U$5:$U$1000,ROW(),$V$5:$V$1000,"Sub"),$Y220)))</f>
        <v/>
      </c>
      <c r="AD220" s="62">
        <f>IF($V220="","",IF(AND(ISNUMBER($G220),$G220&lt;=IF($S220=MesCiclo,InicioCiclo,$S220+MOD(2-WEEKDAY($S220),7))+13),1,IF(N($W220)&gt;0,AVERAGEIFS($Z$5:$Z$1000,$U$5:$U$1000,ROW(),$V$5:$V$1000,"Sub"),$Z220)))</f>
        <v/>
      </c>
      <c r="AE220" s="62">
        <f>IF($V220="","",IF(AND(ISNUMBER($G220),$G220&lt;=IF($S220=MesCiclo,InicioCiclo,$S220+MOD(2-WEEKDAY($S220),7))+20),1,IF(N($W220)&gt;0,AVERAGEIFS($AA$5:$AA$1000,$U$5:$U$1000,ROW(),$V$5:$V$1000,"Sub"),$AA220)))</f>
        <v/>
      </c>
      <c r="AF220" s="62">
        <f>IF($V220="","",IF(AND(ISNUMBER($G220),$G220&lt;=IF($S220=MesCiclo,InicioCiclo,$S220+MOD(2-WEEKDAY($S220),7))+27),1,IF(N($W220)&gt;0,AVERAGEIFS($AB$5:$AB$1000,$U$5:$U$1000,ROW(),$V$5:$V$1000,"Sub"),$AB220)))</f>
        <v/>
      </c>
      <c r="AG220" s="62">
        <f>IF($V220&lt;&gt;"Macro","",IF(COUNTIFS($S$5:$S$1000,$S220,$V$5:$V$1000,"Macro",$H$5:$H$1000,"&gt;0")=0,1/COUNTIFS($S$5:$S$1000,$S220,$V$5:$V$1000,"Macro"),IF(AND(ISNUMBER($H220),N($H220)&gt;0),$H220,SUMIFS($H$5:$H$1000,$S$5:$S$1000,$S220,$V$5:$V$1000,"Macro")/COUNTIFS($S$5:$S$1000,$S220,$V$5:$V$1000,"Macro",$H$5:$H$1000,"&gt;0"))/(COUNTIFS($S$5:$S$1000,$S220,$V$5:$V$1000,"Macro")*SUMIFS($H$5:$H$1000,$S$5:$S$1000,$S220,$V$5:$V$1000,"Macro")/COUNTIFS($S$5:$S$1000,$S220,$V$5:$V$1000,"Macro",$H$5:$H$1000,"&gt;0"))))</f>
        <v/>
      </c>
      <c r="AH220" s="62">
        <f>IF(NOT(AND($D220&lt;&gt;"",$V220="Macro")),"",IFERROR(CHOOSE(MATCH($D220,ListaPuestos,0),MATCH("[Jefatura] "&amp;$C220,'Cronograma R. Operacional'!$C$5:$C$1000,0),MATCH("[Jefatura] "&amp;$C220,'Cronograma R. Normativo'!$C$5:$C$1000,0),MATCH("[Jefatura] "&amp;$C220,'Cronograma R. Financiero'!$C$5:$C$1000,0),MATCH("[Jefatura] "&amp;$C220,'Cronograma Asistente Técnico'!$C$5:$C$1000,0)),0))</f>
        <v/>
      </c>
      <c r="AI220" s="62">
        <f>IF(AND(AND($D220&lt;&gt;"",$V220="Macro"),$S220=MesCiclo),COUNTIFS($D$5:$D220,$D220,$S$5:$S220,MesCiclo,$V$5:$V220,"Macro"),"")</f>
        <v/>
      </c>
      <c r="AJ220" s="62">
        <f>IF($AI220="","",$D220&amp;"|"&amp;$AI220)</f>
        <v/>
      </c>
      <c r="AK220" s="62">
        <f>IF(AND($D220&lt;&gt;"",$V220="Macro"),$D220&amp;"|"&amp;$C220,"")</f>
        <v/>
      </c>
      <c r="AL220" s="62">
        <f>""</f>
        <v/>
      </c>
      <c r="AM220" s="62">
        <f>IF(N($AL220)&gt;0,INDEX(rIni_ADM,$AL220),IF(ISNUMBER($E220),$E220,""))</f>
        <v/>
      </c>
      <c r="AN220" s="62">
        <f>IF(N($AL220)&gt;0,INDEX(rLim_ADM,$AL220),IF(ISNUMBER($F220),$F220,""))</f>
        <v/>
      </c>
    </row>
    <row r="221">
      <c r="A221" s="56">
        <f>IF(NOT((COUNTA($B221:$D221)+COUNTA($G221:$L221)+COUNTA($Q221))&gt;0),"",IF($V221="Macro",COUNTIFS($V$5:$V221,"Macro",$S$5:$S221,$S221),IF(N($U221)=0,"?",COUNTIFS(INDEX($V$5:$V$1000,1):INDEX($V$5:$V$1000,$U221-4),"Macro",INDEX($S$5:$S$1000,1):INDEX($S$5:$S$1000,$U221-4),INDEX($S$5:$S$1000,$U221-4))&amp;"."&amp;COUNTIFS($U$5:$U221,$U221,$V$5:$V221,"Sub"))))</f>
        <v/>
      </c>
      <c r="B221" s="57" t="n"/>
      <c r="C221" s="58" t="n"/>
      <c r="D221" s="58" t="n"/>
      <c r="E221" s="59" t="n"/>
      <c r="F221" s="59" t="n"/>
      <c r="G221" s="59" t="n"/>
      <c r="H221" s="60" t="n"/>
      <c r="I221" s="60" t="n"/>
      <c r="J221" s="60" t="n"/>
      <c r="K221" s="60" t="n"/>
      <c r="L221" s="60" t="n"/>
      <c r="M221" s="61">
        <f>IF(NOT((COUNTA($B221:$D221)+COUNTA($G221:$L221)+COUNTA($Q221))&gt;0),"",IF(AND($D221&lt;&gt;"",$V221="Macro"),IF(N($AH221)&gt;0,N(CHOOSE(MATCH($D221,ListaPuestos,0),INDEX('Cronograma R. Operacional'!$M$5:$M$1000,$AH221),INDEX('Cronograma R. Normativo'!$M$5:$M$1000,$AH221),INDEX('Cronograma R. Financiero'!$M$5:$M$1000,$AH221),INDEX('Cronograma Asistente Técnico'!$M$5:$M$1000,$AH221))),0),IF(ISNUMBER($G221),1,IF(N($W221)&gt;0,AVERAGEIFS($X$5:$X$1000,$U$5:$U$1000,ROW(),$V$5:$V$1000,"Sub"),$X221))))</f>
        <v/>
      </c>
      <c r="N221" s="56">
        <f>IF(OR($M221="",$V221="Sub"),"",IF($M221&gt;=1,"Completado",IF($M221&gt;0,"En curso","Pendiente")))</f>
        <v/>
      </c>
      <c r="O221" s="56">
        <f>IF(NOT((COUNTA($B221:$D221)+COUNTA($G221:$L221)+COUNTA($Q221))&gt;0),"",IF(AND(AND($D221&lt;&gt;"",$V221="Macro"),N($AH221)&gt;0),CHOOSE(MATCH($D221,ListaPuestos,0),INDEX('Cronograma R. Operacional'!$O$5:$O$1000,$AH221),INDEX('Cronograma R. Normativo'!$O$5:$O$1000,$AH221),INDEX('Cronograma R. Financiero'!$O$5:$O$1000,$AH221),INDEX('Cronograma Asistente Técnico'!$O$5:$O$1000,$AH221))&amp;"",IF(ISNUMBER($G221),IF(AND(ISNUMBER($AN221),$G221&gt;$AN221),"Cumplida con "&amp;($G221-$AN221)&amp;IF($G221-$AN221=1," día"," días")&amp;" de retraso","Cumplida"),IF(N($M221)&gt;=1,"Cumplida",IF(NOT(ISNUMBER($AN221)),"Sin fecha límite",IF($AN221&lt;FechaRef,"Vencida hace "&amp;(FechaRef-$AN221)&amp;IF(FechaRef-$AN221=1," día"," días"),IF($AN221=FechaRef,"Vence hoy",IF($AN221-FechaRef&lt;=DiasAlerta,"Vence en "&amp;($AN221-FechaRef)&amp;IF($AN221-FechaRef=1," día"," días"),"En plazo"))))))))</f>
        <v/>
      </c>
      <c r="P221" s="62">
        <f>IF(NOT((COUNTA($B221:$D221)+COUNTA($G221:$L221)+COUNTA($Q221))&gt;0),"",IF($D221="","Propia",IF($V221&lt;&gt;"Macro","Solo se delegan macroactividades",IF(N($AH221)&gt;0,"✔ Recibida por "&amp;$D221,"⚠ "&amp;$D221&amp;" aún no la agrega"))))</f>
        <v/>
      </c>
      <c r="Q221" s="58" t="n"/>
      <c r="R221" s="63">
        <f>IF(NOT((COUNTA($B221:$D221)+COUNTA($G221:$L221)+COUNTA($Q221))&gt;0),"",IF((IF($C221="","Falta el nombre de la actividad"&amp;" · ","")&amp;IF(AND($V221="Sub",N($U221)=0),"Subactividad sin macroactividad arriba"&amp;" · ","")&amp;IF($AM221="","Sin fecha de inicio"&amp;" · ","")&amp;IF($AN221="","Sin fecha límite"&amp;" · ","")&amp;IF(AND(LEFT($C221,11)="[Jefatura] ",N($AL221)=0),"No se encuentra en la hoja de la jefatura (elíjala de nuevo en la lista)"&amp;" · ","")&amp;IF(OR(AND($E221&lt;&gt;"",NOT(ISNUMBER($E221))),AND($F221&lt;&gt;"",NOT(ISNUMBER($F221))),AND($G221&lt;&gt;"",NOT(ISNUMBER($G221)))),"Fecha no válida"&amp;" · ","")&amp;IF(AND(ISNUMBER($AM221),ISNUMBER($AN221),$AM221&gt;$AN221),"Inicio posterior a fecha límite"&amp;" · ","")&amp;IF(AND($V221="Macro",$H221&lt;&gt;"",OR(NOT(ISNUMBER($H221)),$H221&lt;0,$H221&gt;1)),"Peso fuera de rango"&amp;" · ","")&amp;IF(AND($V221="Sub",$H221&lt;&gt;""),"Las subactividades no llevan peso (valen igual dentro de su macroactividad)"&amp;" · ","")&amp;IF(AND(N($W221)&gt;0,COUNT($I221:$L221)&gt;0),"Con subactividades: deje vacías las semanas (se calculan solas)"&amp;" · ","")&amp;IF((COUNTIF($I221:$L221,"&gt;1")+COUNTIF($I221:$L221,"&lt;0")+COUNTA($I221:$L221)-COUNT($I221:$L221))&gt;0,"Avance fuera de rango 0-100%"&amp;" · ","")&amp;IF(OR(AND($J221&lt;&gt;"",$J221&lt;$I221),AND($K221&lt;&gt;"",$K221&lt;MAX($I221:$J221)),AND($L221&lt;&gt;"",$L221&lt;MAX($I221:$K221))),"Avance semanal decreciente"&amp;" · ","")&amp;IF(AND(ISNUMBER($AN221),$AN221&lt;FechaRef,IF($V221="Sub",N($X221),N($M221))&lt;1),"Vencida"&amp;" · ","")&amp;IF(AND(ObsObligatoria="Sí",ISNUMBER($AN221),$AN221&lt;FechaRef,IF($V221="Sub",N($X221),N($M221))&lt;1,$Q221=""),"Vencida sin observación"&amp;" · ",""))="","✔ OK","⚠ "&amp;LEFT(IF($C221="","Falta el nombre de la actividad"&amp;" · ","")&amp;IF(AND($V221="Sub",N($U221)=0),"Subactividad sin macroactividad arriba"&amp;" · ","")&amp;IF($AM221="","Sin fecha de inicio"&amp;" · ","")&amp;IF($AN221="","Sin fecha límite"&amp;" · ","")&amp;IF(AND(LEFT($C221,11)="[Jefatura] ",N($AL221)=0),"No se encuentra en la hoja de la jefatura (elíjala de nuevo en la lista)"&amp;" · ","")&amp;IF(OR(AND($E221&lt;&gt;"",NOT(ISNUMBER($E221))),AND($F221&lt;&gt;"",NOT(ISNUMBER($F221))),AND($G221&lt;&gt;"",NOT(ISNUMBER($G221)))),"Fecha no válida"&amp;" · ","")&amp;IF(AND(ISNUMBER($AM221),ISNUMBER($AN221),$AM221&gt;$AN221),"Inicio posterior a fecha límite"&amp;" · ","")&amp;IF(AND($V221="Macro",$H221&lt;&gt;"",OR(NOT(ISNUMBER($H221)),$H221&lt;0,$H221&gt;1)),"Peso fuera de rango"&amp;" · ","")&amp;IF(AND($V221="Sub",$H221&lt;&gt;""),"Las subactividades no llevan peso (valen igual dentro de su macroactividad)"&amp;" · ","")&amp;IF(AND(N($W221)&gt;0,COUNT($I221:$L221)&gt;0),"Con subactividades: deje vacías las semanas (se calculan solas)"&amp;" · ","")&amp;IF((COUNTIF($I221:$L221,"&gt;1")+COUNTIF($I221:$L221,"&lt;0")+COUNTA($I221:$L221)-COUNT($I221:$L221))&gt;0,"Avance fuera de rango 0-100%"&amp;" · ","")&amp;IF(OR(AND($J221&lt;&gt;"",$J221&lt;$I221),AND($K221&lt;&gt;"",$K221&lt;MAX($I221:$J221)),AND($L221&lt;&gt;"",$L221&lt;MAX($I221:$K221))),"Avance semanal decreciente"&amp;" · ","")&amp;IF(AND(ISNUMBER($AN221),$AN221&lt;FechaRef,IF($V221="Sub",N($X221),N($M221))&lt;1),"Vencida"&amp;" · ","")&amp;IF(AND(ObsObligatoria="Sí",ISNUMBER($AN221),$AN221&lt;FechaRef,IF($V221="Sub",N($X221),N($M221))&lt;1,$Q221=""),"Vencida sin observación"&amp;" · ",""),LEN(IF($C221="","Falta el nombre de la actividad"&amp;" · ","")&amp;IF(AND($V221="Sub",N($U221)=0),"Subactividad sin macroactividad arriba"&amp;" · ","")&amp;IF($AM221="","Sin fecha de inicio"&amp;" · ","")&amp;IF($AN221="","Sin fecha límite"&amp;" · ","")&amp;IF(AND(LEFT($C221,11)="[Jefatura] ",N($AL221)=0),"No se encuentra en la hoja de la jefatura (elíjala de nuevo en la lista)"&amp;" · ","")&amp;IF(OR(AND($E221&lt;&gt;"",NOT(ISNUMBER($E221))),AND($F221&lt;&gt;"",NOT(ISNUMBER($F221))),AND($G221&lt;&gt;"",NOT(ISNUMBER($G221)))),"Fecha no válida"&amp;" · ","")&amp;IF(AND(ISNUMBER($AM221),ISNUMBER($AN221),$AM221&gt;$AN221),"Inicio posterior a fecha límite"&amp;" · ","")&amp;IF(AND($V221="Macro",$H221&lt;&gt;"",OR(NOT(ISNUMBER($H221)),$H221&lt;0,$H221&gt;1)),"Peso fuera de rango"&amp;" · ","")&amp;IF(AND($V221="Sub",$H221&lt;&gt;""),"Las subactividades no llevan peso (valen igual dentro de su macroactividad)"&amp;" · ","")&amp;IF(AND(N($W221)&gt;0,COUNT($I221:$L221)&gt;0),"Con subactividades: deje vacías las semanas (se calculan solas)"&amp;" · ","")&amp;IF((COUNTIF($I221:$L221,"&gt;1")+COUNTIF($I221:$L221,"&lt;0")+COUNTA($I221:$L221)-COUNT($I221:$L221))&gt;0,"Avance fuera de rango 0-100%"&amp;" · ","")&amp;IF(OR(AND($J221&lt;&gt;"",$J221&lt;$I221),AND($K221&lt;&gt;"",$K221&lt;MAX($I221:$J221)),AND($L221&lt;&gt;"",$L221&lt;MAX($I221:$K221))),"Avance semanal decreciente"&amp;" · ","")&amp;IF(AND(ISNUMBER($AN221),$AN221&lt;FechaRef,IF($V221="Sub",N($X221),N($M221))&lt;1),"Vencida"&amp;" · ","")&amp;IF(AND(ObsObligatoria="Sí",ISNUMBER($AN221),$AN221&lt;FechaRef,IF($V221="Sub",N($X221),N($M221))&lt;1,$Q221=""),"Vencida sin observación"&amp;" · ",""))-3)))</f>
        <v/>
      </c>
      <c r="S221" s="64">
        <f>IF(NOT((COUNTA($B221:$D221)+COUNTA($G221:$L221)+COUNTA($Q221))&gt;0),"",IF(AND($V221="Sub",N($U221)&gt;0),IF(ISNUMBER(INDEX($AM$5:$AM$1000,$U221-4)),DATE(YEAR(INDEX($AM$5:$AM$1000,$U221-4)),MONTH(INDEX($AM$5:$AM$1000,$U221-4)),1),IF(ISNUMBER(INDEX($AN$5:$AN$1000,$U221-4)),DATE(YEAR(INDEX($AN$5:$AN$1000,$U221-4)),MONTH(INDEX($AN$5:$AN$1000,$U221-4)),1),MesCiclo)),IF(ISNUMBER($AM221),DATE(YEAR($AM221),MONTH($AM221),1),IF(ISNUMBER($AN221),DATE(YEAR($AN221),MONTH($AN221),1),MesCiclo))))</f>
        <v/>
      </c>
      <c r="T221" s="62">
        <f>IF(OR($S221="",$S221&lt;&gt;MesCiclo,$V221&lt;&gt;"Macro"),"",COUNTIFS($S$5:$S221,MesCiclo,$V$5:$V221,"Macro"))</f>
        <v/>
      </c>
      <c r="U221" s="62">
        <f>IF($V221="","",IF($V221="Macro",ROW(),IFERROR(LOOKUP(2,1/($V$5:$V221="Macro"),ROW($V$5:$V221)),0)))</f>
        <v/>
      </c>
      <c r="V221" s="62">
        <f>IF(NOT((COUNTA($B221:$D221)+COUNTA($G221:$L221)+COUNTA($Q221))&gt;0),"",IF($B221="Subactividad","Sub","Macro"))</f>
        <v/>
      </c>
      <c r="W221" s="62">
        <f>IF($V221="Macro",COUNTIFS($U$5:$U$1000,ROW(),$V$5:$V$1000,"Sub"),"")</f>
        <v/>
      </c>
      <c r="X221" s="62">
        <f>IF($V221="","",IF(ISNUMBER($G221),1,IFERROR(LOOKUP(2,1/($I221:$L221&lt;&gt;""),$I221:$L221),0)))</f>
        <v/>
      </c>
      <c r="Y221" s="62">
        <f>IF($V221="","",IF(AND(ISNUMBER($G221),$G221&lt;=IF($S221=MesCiclo,InicioCiclo,$S221+MOD(2-WEEKDAY($S221),7))+6),1,IF(ISNUMBER($I221),$I221,0)))</f>
        <v/>
      </c>
      <c r="Z221" s="62">
        <f>IF($V221="","",IF(AND(ISNUMBER($G221),$G221&lt;=IF($S221=MesCiclo,InicioCiclo,$S221+MOD(2-WEEKDAY($S221),7))+13),1,IF(ISNUMBER($J221),$J221,$Y221)))</f>
        <v/>
      </c>
      <c r="AA221" s="62">
        <f>IF($V221="","",IF(AND(ISNUMBER($G221),$G221&lt;=IF($S221=MesCiclo,InicioCiclo,$S221+MOD(2-WEEKDAY($S221),7))+20),1,IF(ISNUMBER($K221),$K221,$Z221)))</f>
        <v/>
      </c>
      <c r="AB221" s="62">
        <f>IF($V221="","",IF(AND(ISNUMBER($G221),$G221&lt;=IF($S221=MesCiclo,InicioCiclo,$S221+MOD(2-WEEKDAY($S221),7))+27),1,IF(ISNUMBER($L221),$L221,$AA221)))</f>
        <v/>
      </c>
      <c r="AC221" s="62">
        <f>IF($V221="","",IF(AND(ISNUMBER($G221),$G221&lt;=IF($S221=MesCiclo,InicioCiclo,$S221+MOD(2-WEEKDAY($S221),7))+6),1,IF(N($W221)&gt;0,AVERAGEIFS($Y$5:$Y$1000,$U$5:$U$1000,ROW(),$V$5:$V$1000,"Sub"),$Y221)))</f>
        <v/>
      </c>
      <c r="AD221" s="62">
        <f>IF($V221="","",IF(AND(ISNUMBER($G221),$G221&lt;=IF($S221=MesCiclo,InicioCiclo,$S221+MOD(2-WEEKDAY($S221),7))+13),1,IF(N($W221)&gt;0,AVERAGEIFS($Z$5:$Z$1000,$U$5:$U$1000,ROW(),$V$5:$V$1000,"Sub"),$Z221)))</f>
        <v/>
      </c>
      <c r="AE221" s="62">
        <f>IF($V221="","",IF(AND(ISNUMBER($G221),$G221&lt;=IF($S221=MesCiclo,InicioCiclo,$S221+MOD(2-WEEKDAY($S221),7))+20),1,IF(N($W221)&gt;0,AVERAGEIFS($AA$5:$AA$1000,$U$5:$U$1000,ROW(),$V$5:$V$1000,"Sub"),$AA221)))</f>
        <v/>
      </c>
      <c r="AF221" s="62">
        <f>IF($V221="","",IF(AND(ISNUMBER($G221),$G221&lt;=IF($S221=MesCiclo,InicioCiclo,$S221+MOD(2-WEEKDAY($S221),7))+27),1,IF(N($W221)&gt;0,AVERAGEIFS($AB$5:$AB$1000,$U$5:$U$1000,ROW(),$V$5:$V$1000,"Sub"),$AB221)))</f>
        <v/>
      </c>
      <c r="AG221" s="62">
        <f>IF($V221&lt;&gt;"Macro","",IF(COUNTIFS($S$5:$S$1000,$S221,$V$5:$V$1000,"Macro",$H$5:$H$1000,"&gt;0")=0,1/COUNTIFS($S$5:$S$1000,$S221,$V$5:$V$1000,"Macro"),IF(AND(ISNUMBER($H221),N($H221)&gt;0),$H221,SUMIFS($H$5:$H$1000,$S$5:$S$1000,$S221,$V$5:$V$1000,"Macro")/COUNTIFS($S$5:$S$1000,$S221,$V$5:$V$1000,"Macro",$H$5:$H$1000,"&gt;0"))/(COUNTIFS($S$5:$S$1000,$S221,$V$5:$V$1000,"Macro")*SUMIFS($H$5:$H$1000,$S$5:$S$1000,$S221,$V$5:$V$1000,"Macro")/COUNTIFS($S$5:$S$1000,$S221,$V$5:$V$1000,"Macro",$H$5:$H$1000,"&gt;0"))))</f>
        <v/>
      </c>
      <c r="AH221" s="62">
        <f>IF(NOT(AND($D221&lt;&gt;"",$V221="Macro")),"",IFERROR(CHOOSE(MATCH($D221,ListaPuestos,0),MATCH("[Jefatura] "&amp;$C221,'Cronograma R. Operacional'!$C$5:$C$1000,0),MATCH("[Jefatura] "&amp;$C221,'Cronograma R. Normativo'!$C$5:$C$1000,0),MATCH("[Jefatura] "&amp;$C221,'Cronograma R. Financiero'!$C$5:$C$1000,0),MATCH("[Jefatura] "&amp;$C221,'Cronograma Asistente Técnico'!$C$5:$C$1000,0)),0))</f>
        <v/>
      </c>
      <c r="AI221" s="62">
        <f>IF(AND(AND($D221&lt;&gt;"",$V221="Macro"),$S221=MesCiclo),COUNTIFS($D$5:$D221,$D221,$S$5:$S221,MesCiclo,$V$5:$V221,"Macro"),"")</f>
        <v/>
      </c>
      <c r="AJ221" s="62">
        <f>IF($AI221="","",$D221&amp;"|"&amp;$AI221)</f>
        <v/>
      </c>
      <c r="AK221" s="62">
        <f>IF(AND($D221&lt;&gt;"",$V221="Macro"),$D221&amp;"|"&amp;$C221,"")</f>
        <v/>
      </c>
      <c r="AL221" s="62">
        <f>""</f>
        <v/>
      </c>
      <c r="AM221" s="62">
        <f>IF(N($AL221)&gt;0,INDEX(rIni_ADM,$AL221),IF(ISNUMBER($E221),$E221,""))</f>
        <v/>
      </c>
      <c r="AN221" s="62">
        <f>IF(N($AL221)&gt;0,INDEX(rLim_ADM,$AL221),IF(ISNUMBER($F221),$F221,""))</f>
        <v/>
      </c>
    </row>
    <row r="222">
      <c r="A222" s="56">
        <f>IF(NOT((COUNTA($B222:$D222)+COUNTA($G222:$L222)+COUNTA($Q222))&gt;0),"",IF($V222="Macro",COUNTIFS($V$5:$V222,"Macro",$S$5:$S222,$S222),IF(N($U222)=0,"?",COUNTIFS(INDEX($V$5:$V$1000,1):INDEX($V$5:$V$1000,$U222-4),"Macro",INDEX($S$5:$S$1000,1):INDEX($S$5:$S$1000,$U222-4),INDEX($S$5:$S$1000,$U222-4))&amp;"."&amp;COUNTIFS($U$5:$U222,$U222,$V$5:$V222,"Sub"))))</f>
        <v/>
      </c>
      <c r="B222" s="57" t="n"/>
      <c r="C222" s="58" t="n"/>
      <c r="D222" s="58" t="n"/>
      <c r="E222" s="59" t="n"/>
      <c r="F222" s="59" t="n"/>
      <c r="G222" s="59" t="n"/>
      <c r="H222" s="60" t="n"/>
      <c r="I222" s="60" t="n"/>
      <c r="J222" s="60" t="n"/>
      <c r="K222" s="60" t="n"/>
      <c r="L222" s="60" t="n"/>
      <c r="M222" s="61">
        <f>IF(NOT((COUNTA($B222:$D222)+COUNTA($G222:$L222)+COUNTA($Q222))&gt;0),"",IF(AND($D222&lt;&gt;"",$V222="Macro"),IF(N($AH222)&gt;0,N(CHOOSE(MATCH($D222,ListaPuestos,0),INDEX('Cronograma R. Operacional'!$M$5:$M$1000,$AH222),INDEX('Cronograma R. Normativo'!$M$5:$M$1000,$AH222),INDEX('Cronograma R. Financiero'!$M$5:$M$1000,$AH222),INDEX('Cronograma Asistente Técnico'!$M$5:$M$1000,$AH222))),0),IF(ISNUMBER($G222),1,IF(N($W222)&gt;0,AVERAGEIFS($X$5:$X$1000,$U$5:$U$1000,ROW(),$V$5:$V$1000,"Sub"),$X222))))</f>
        <v/>
      </c>
      <c r="N222" s="56">
        <f>IF(OR($M222="",$V222="Sub"),"",IF($M222&gt;=1,"Completado",IF($M222&gt;0,"En curso","Pendiente")))</f>
        <v/>
      </c>
      <c r="O222" s="56">
        <f>IF(NOT((COUNTA($B222:$D222)+COUNTA($G222:$L222)+COUNTA($Q222))&gt;0),"",IF(AND(AND($D222&lt;&gt;"",$V222="Macro"),N($AH222)&gt;0),CHOOSE(MATCH($D222,ListaPuestos,0),INDEX('Cronograma R. Operacional'!$O$5:$O$1000,$AH222),INDEX('Cronograma R. Normativo'!$O$5:$O$1000,$AH222),INDEX('Cronograma R. Financiero'!$O$5:$O$1000,$AH222),INDEX('Cronograma Asistente Técnico'!$O$5:$O$1000,$AH222))&amp;"",IF(ISNUMBER($G222),IF(AND(ISNUMBER($AN222),$G222&gt;$AN222),"Cumplida con "&amp;($G222-$AN222)&amp;IF($G222-$AN222=1," día"," días")&amp;" de retraso","Cumplida"),IF(N($M222)&gt;=1,"Cumplida",IF(NOT(ISNUMBER($AN222)),"Sin fecha límite",IF($AN222&lt;FechaRef,"Vencida hace "&amp;(FechaRef-$AN222)&amp;IF(FechaRef-$AN222=1," día"," días"),IF($AN222=FechaRef,"Vence hoy",IF($AN222-FechaRef&lt;=DiasAlerta,"Vence en "&amp;($AN222-FechaRef)&amp;IF($AN222-FechaRef=1," día"," días"),"En plazo"))))))))</f>
        <v/>
      </c>
      <c r="P222" s="62">
        <f>IF(NOT((COUNTA($B222:$D222)+COUNTA($G222:$L222)+COUNTA($Q222))&gt;0),"",IF($D222="","Propia",IF($V222&lt;&gt;"Macro","Solo se delegan macroactividades",IF(N($AH222)&gt;0,"✔ Recibida por "&amp;$D222,"⚠ "&amp;$D222&amp;" aún no la agrega"))))</f>
        <v/>
      </c>
      <c r="Q222" s="58" t="n"/>
      <c r="R222" s="63">
        <f>IF(NOT((COUNTA($B222:$D222)+COUNTA($G222:$L222)+COUNTA($Q222))&gt;0),"",IF((IF($C222="","Falta el nombre de la actividad"&amp;" · ","")&amp;IF(AND($V222="Sub",N($U222)=0),"Subactividad sin macroactividad arriba"&amp;" · ","")&amp;IF($AM222="","Sin fecha de inicio"&amp;" · ","")&amp;IF($AN222="","Sin fecha límite"&amp;" · ","")&amp;IF(AND(LEFT($C222,11)="[Jefatura] ",N($AL222)=0),"No se encuentra en la hoja de la jefatura (elíjala de nuevo en la lista)"&amp;" · ","")&amp;IF(OR(AND($E222&lt;&gt;"",NOT(ISNUMBER($E222))),AND($F222&lt;&gt;"",NOT(ISNUMBER($F222))),AND($G222&lt;&gt;"",NOT(ISNUMBER($G222)))),"Fecha no válida"&amp;" · ","")&amp;IF(AND(ISNUMBER($AM222),ISNUMBER($AN222),$AM222&gt;$AN222),"Inicio posterior a fecha límite"&amp;" · ","")&amp;IF(AND($V222="Macro",$H222&lt;&gt;"",OR(NOT(ISNUMBER($H222)),$H222&lt;0,$H222&gt;1)),"Peso fuera de rango"&amp;" · ","")&amp;IF(AND($V222="Sub",$H222&lt;&gt;""),"Las subactividades no llevan peso (valen igual dentro de su macroactividad)"&amp;" · ","")&amp;IF(AND(N($W222)&gt;0,COUNT($I222:$L222)&gt;0),"Con subactividades: deje vacías las semanas (se calculan solas)"&amp;" · ","")&amp;IF((COUNTIF($I222:$L222,"&gt;1")+COUNTIF($I222:$L222,"&lt;0")+COUNTA($I222:$L222)-COUNT($I222:$L222))&gt;0,"Avance fuera de rango 0-100%"&amp;" · ","")&amp;IF(OR(AND($J222&lt;&gt;"",$J222&lt;$I222),AND($K222&lt;&gt;"",$K222&lt;MAX($I222:$J222)),AND($L222&lt;&gt;"",$L222&lt;MAX($I222:$K222))),"Avance semanal decreciente"&amp;" · ","")&amp;IF(AND(ISNUMBER($AN222),$AN222&lt;FechaRef,IF($V222="Sub",N($X222),N($M222))&lt;1),"Vencida"&amp;" · ","")&amp;IF(AND(ObsObligatoria="Sí",ISNUMBER($AN222),$AN222&lt;FechaRef,IF($V222="Sub",N($X222),N($M222))&lt;1,$Q222=""),"Vencida sin observación"&amp;" · ",""))="","✔ OK","⚠ "&amp;LEFT(IF($C222="","Falta el nombre de la actividad"&amp;" · ","")&amp;IF(AND($V222="Sub",N($U222)=0),"Subactividad sin macroactividad arriba"&amp;" · ","")&amp;IF($AM222="","Sin fecha de inicio"&amp;" · ","")&amp;IF($AN222="","Sin fecha límite"&amp;" · ","")&amp;IF(AND(LEFT($C222,11)="[Jefatura] ",N($AL222)=0),"No se encuentra en la hoja de la jefatura (elíjala de nuevo en la lista)"&amp;" · ","")&amp;IF(OR(AND($E222&lt;&gt;"",NOT(ISNUMBER($E222))),AND($F222&lt;&gt;"",NOT(ISNUMBER($F222))),AND($G222&lt;&gt;"",NOT(ISNUMBER($G222)))),"Fecha no válida"&amp;" · ","")&amp;IF(AND(ISNUMBER($AM222),ISNUMBER($AN222),$AM222&gt;$AN222),"Inicio posterior a fecha límite"&amp;" · ","")&amp;IF(AND($V222="Macro",$H222&lt;&gt;"",OR(NOT(ISNUMBER($H222)),$H222&lt;0,$H222&gt;1)),"Peso fuera de rango"&amp;" · ","")&amp;IF(AND($V222="Sub",$H222&lt;&gt;""),"Las subactividades no llevan peso (valen igual dentro de su macroactividad)"&amp;" · ","")&amp;IF(AND(N($W222)&gt;0,COUNT($I222:$L222)&gt;0),"Con subactividades: deje vacías las semanas (se calculan solas)"&amp;" · ","")&amp;IF((COUNTIF($I222:$L222,"&gt;1")+COUNTIF($I222:$L222,"&lt;0")+COUNTA($I222:$L222)-COUNT($I222:$L222))&gt;0,"Avance fuera de rango 0-100%"&amp;" · ","")&amp;IF(OR(AND($J222&lt;&gt;"",$J222&lt;$I222),AND($K222&lt;&gt;"",$K222&lt;MAX($I222:$J222)),AND($L222&lt;&gt;"",$L222&lt;MAX($I222:$K222))),"Avance semanal decreciente"&amp;" · ","")&amp;IF(AND(ISNUMBER($AN222),$AN222&lt;FechaRef,IF($V222="Sub",N($X222),N($M222))&lt;1),"Vencida"&amp;" · ","")&amp;IF(AND(ObsObligatoria="Sí",ISNUMBER($AN222),$AN222&lt;FechaRef,IF($V222="Sub",N($X222),N($M222))&lt;1,$Q222=""),"Vencida sin observación"&amp;" · ",""),LEN(IF($C222="","Falta el nombre de la actividad"&amp;" · ","")&amp;IF(AND($V222="Sub",N($U222)=0),"Subactividad sin macroactividad arriba"&amp;" · ","")&amp;IF($AM222="","Sin fecha de inicio"&amp;" · ","")&amp;IF($AN222="","Sin fecha límite"&amp;" · ","")&amp;IF(AND(LEFT($C222,11)="[Jefatura] ",N($AL222)=0),"No se encuentra en la hoja de la jefatura (elíjala de nuevo en la lista)"&amp;" · ","")&amp;IF(OR(AND($E222&lt;&gt;"",NOT(ISNUMBER($E222))),AND($F222&lt;&gt;"",NOT(ISNUMBER($F222))),AND($G222&lt;&gt;"",NOT(ISNUMBER($G222)))),"Fecha no válida"&amp;" · ","")&amp;IF(AND(ISNUMBER($AM222),ISNUMBER($AN222),$AM222&gt;$AN222),"Inicio posterior a fecha límite"&amp;" · ","")&amp;IF(AND($V222="Macro",$H222&lt;&gt;"",OR(NOT(ISNUMBER($H222)),$H222&lt;0,$H222&gt;1)),"Peso fuera de rango"&amp;" · ","")&amp;IF(AND($V222="Sub",$H222&lt;&gt;""),"Las subactividades no llevan peso (valen igual dentro de su macroactividad)"&amp;" · ","")&amp;IF(AND(N($W222)&gt;0,COUNT($I222:$L222)&gt;0),"Con subactividades: deje vacías las semanas (se calculan solas)"&amp;" · ","")&amp;IF((COUNTIF($I222:$L222,"&gt;1")+COUNTIF($I222:$L222,"&lt;0")+COUNTA($I222:$L222)-COUNT($I222:$L222))&gt;0,"Avance fuera de rango 0-100%"&amp;" · ","")&amp;IF(OR(AND($J222&lt;&gt;"",$J222&lt;$I222),AND($K222&lt;&gt;"",$K222&lt;MAX($I222:$J222)),AND($L222&lt;&gt;"",$L222&lt;MAX($I222:$K222))),"Avance semanal decreciente"&amp;" · ","")&amp;IF(AND(ISNUMBER($AN222),$AN222&lt;FechaRef,IF($V222="Sub",N($X222),N($M222))&lt;1),"Vencida"&amp;" · ","")&amp;IF(AND(ObsObligatoria="Sí",ISNUMBER($AN222),$AN222&lt;FechaRef,IF($V222="Sub",N($X222),N($M222))&lt;1,$Q222=""),"Vencida sin observación"&amp;" · ",""))-3)))</f>
        <v/>
      </c>
      <c r="S222" s="64">
        <f>IF(NOT((COUNTA($B222:$D222)+COUNTA($G222:$L222)+COUNTA($Q222))&gt;0),"",IF(AND($V222="Sub",N($U222)&gt;0),IF(ISNUMBER(INDEX($AM$5:$AM$1000,$U222-4)),DATE(YEAR(INDEX($AM$5:$AM$1000,$U222-4)),MONTH(INDEX($AM$5:$AM$1000,$U222-4)),1),IF(ISNUMBER(INDEX($AN$5:$AN$1000,$U222-4)),DATE(YEAR(INDEX($AN$5:$AN$1000,$U222-4)),MONTH(INDEX($AN$5:$AN$1000,$U222-4)),1),MesCiclo)),IF(ISNUMBER($AM222),DATE(YEAR($AM222),MONTH($AM222),1),IF(ISNUMBER($AN222),DATE(YEAR($AN222),MONTH($AN222),1),MesCiclo))))</f>
        <v/>
      </c>
      <c r="T222" s="62">
        <f>IF(OR($S222="",$S222&lt;&gt;MesCiclo,$V222&lt;&gt;"Macro"),"",COUNTIFS($S$5:$S222,MesCiclo,$V$5:$V222,"Macro"))</f>
        <v/>
      </c>
      <c r="U222" s="62">
        <f>IF($V222="","",IF($V222="Macro",ROW(),IFERROR(LOOKUP(2,1/($V$5:$V222="Macro"),ROW($V$5:$V222)),0)))</f>
        <v/>
      </c>
      <c r="V222" s="62">
        <f>IF(NOT((COUNTA($B222:$D222)+COUNTA($G222:$L222)+COUNTA($Q222))&gt;0),"",IF($B222="Subactividad","Sub","Macro"))</f>
        <v/>
      </c>
      <c r="W222" s="62">
        <f>IF($V222="Macro",COUNTIFS($U$5:$U$1000,ROW(),$V$5:$V$1000,"Sub"),"")</f>
        <v/>
      </c>
      <c r="X222" s="62">
        <f>IF($V222="","",IF(ISNUMBER($G222),1,IFERROR(LOOKUP(2,1/($I222:$L222&lt;&gt;""),$I222:$L222),0)))</f>
        <v/>
      </c>
      <c r="Y222" s="62">
        <f>IF($V222="","",IF(AND(ISNUMBER($G222),$G222&lt;=IF($S222=MesCiclo,InicioCiclo,$S222+MOD(2-WEEKDAY($S222),7))+6),1,IF(ISNUMBER($I222),$I222,0)))</f>
        <v/>
      </c>
      <c r="Z222" s="62">
        <f>IF($V222="","",IF(AND(ISNUMBER($G222),$G222&lt;=IF($S222=MesCiclo,InicioCiclo,$S222+MOD(2-WEEKDAY($S222),7))+13),1,IF(ISNUMBER($J222),$J222,$Y222)))</f>
        <v/>
      </c>
      <c r="AA222" s="62">
        <f>IF($V222="","",IF(AND(ISNUMBER($G222),$G222&lt;=IF($S222=MesCiclo,InicioCiclo,$S222+MOD(2-WEEKDAY($S222),7))+20),1,IF(ISNUMBER($K222),$K222,$Z222)))</f>
        <v/>
      </c>
      <c r="AB222" s="62">
        <f>IF($V222="","",IF(AND(ISNUMBER($G222),$G222&lt;=IF($S222=MesCiclo,InicioCiclo,$S222+MOD(2-WEEKDAY($S222),7))+27),1,IF(ISNUMBER($L222),$L222,$AA222)))</f>
        <v/>
      </c>
      <c r="AC222" s="62">
        <f>IF($V222="","",IF(AND(ISNUMBER($G222),$G222&lt;=IF($S222=MesCiclo,InicioCiclo,$S222+MOD(2-WEEKDAY($S222),7))+6),1,IF(N($W222)&gt;0,AVERAGEIFS($Y$5:$Y$1000,$U$5:$U$1000,ROW(),$V$5:$V$1000,"Sub"),$Y222)))</f>
        <v/>
      </c>
      <c r="AD222" s="62">
        <f>IF($V222="","",IF(AND(ISNUMBER($G222),$G222&lt;=IF($S222=MesCiclo,InicioCiclo,$S222+MOD(2-WEEKDAY($S222),7))+13),1,IF(N($W222)&gt;0,AVERAGEIFS($Z$5:$Z$1000,$U$5:$U$1000,ROW(),$V$5:$V$1000,"Sub"),$Z222)))</f>
        <v/>
      </c>
      <c r="AE222" s="62">
        <f>IF($V222="","",IF(AND(ISNUMBER($G222),$G222&lt;=IF($S222=MesCiclo,InicioCiclo,$S222+MOD(2-WEEKDAY($S222),7))+20),1,IF(N($W222)&gt;0,AVERAGEIFS($AA$5:$AA$1000,$U$5:$U$1000,ROW(),$V$5:$V$1000,"Sub"),$AA222)))</f>
        <v/>
      </c>
      <c r="AF222" s="62">
        <f>IF($V222="","",IF(AND(ISNUMBER($G222),$G222&lt;=IF($S222=MesCiclo,InicioCiclo,$S222+MOD(2-WEEKDAY($S222),7))+27),1,IF(N($W222)&gt;0,AVERAGEIFS($AB$5:$AB$1000,$U$5:$U$1000,ROW(),$V$5:$V$1000,"Sub"),$AB222)))</f>
        <v/>
      </c>
      <c r="AG222" s="62">
        <f>IF($V222&lt;&gt;"Macro","",IF(COUNTIFS($S$5:$S$1000,$S222,$V$5:$V$1000,"Macro",$H$5:$H$1000,"&gt;0")=0,1/COUNTIFS($S$5:$S$1000,$S222,$V$5:$V$1000,"Macro"),IF(AND(ISNUMBER($H222),N($H222)&gt;0),$H222,SUMIFS($H$5:$H$1000,$S$5:$S$1000,$S222,$V$5:$V$1000,"Macro")/COUNTIFS($S$5:$S$1000,$S222,$V$5:$V$1000,"Macro",$H$5:$H$1000,"&gt;0"))/(COUNTIFS($S$5:$S$1000,$S222,$V$5:$V$1000,"Macro")*SUMIFS($H$5:$H$1000,$S$5:$S$1000,$S222,$V$5:$V$1000,"Macro")/COUNTIFS($S$5:$S$1000,$S222,$V$5:$V$1000,"Macro",$H$5:$H$1000,"&gt;0"))))</f>
        <v/>
      </c>
      <c r="AH222" s="62">
        <f>IF(NOT(AND($D222&lt;&gt;"",$V222="Macro")),"",IFERROR(CHOOSE(MATCH($D222,ListaPuestos,0),MATCH("[Jefatura] "&amp;$C222,'Cronograma R. Operacional'!$C$5:$C$1000,0),MATCH("[Jefatura] "&amp;$C222,'Cronograma R. Normativo'!$C$5:$C$1000,0),MATCH("[Jefatura] "&amp;$C222,'Cronograma R. Financiero'!$C$5:$C$1000,0),MATCH("[Jefatura] "&amp;$C222,'Cronograma Asistente Técnico'!$C$5:$C$1000,0)),0))</f>
        <v/>
      </c>
      <c r="AI222" s="62">
        <f>IF(AND(AND($D222&lt;&gt;"",$V222="Macro"),$S222=MesCiclo),COUNTIFS($D$5:$D222,$D222,$S$5:$S222,MesCiclo,$V$5:$V222,"Macro"),"")</f>
        <v/>
      </c>
      <c r="AJ222" s="62">
        <f>IF($AI222="","",$D222&amp;"|"&amp;$AI222)</f>
        <v/>
      </c>
      <c r="AK222" s="62">
        <f>IF(AND($D222&lt;&gt;"",$V222="Macro"),$D222&amp;"|"&amp;$C222,"")</f>
        <v/>
      </c>
      <c r="AL222" s="62">
        <f>""</f>
        <v/>
      </c>
      <c r="AM222" s="62">
        <f>IF(N($AL222)&gt;0,INDEX(rIni_ADM,$AL222),IF(ISNUMBER($E222),$E222,""))</f>
        <v/>
      </c>
      <c r="AN222" s="62">
        <f>IF(N($AL222)&gt;0,INDEX(rLim_ADM,$AL222),IF(ISNUMBER($F222),$F222,""))</f>
        <v/>
      </c>
    </row>
    <row r="223">
      <c r="A223" s="56">
        <f>IF(NOT((COUNTA($B223:$D223)+COUNTA($G223:$L223)+COUNTA($Q223))&gt;0),"",IF($V223="Macro",COUNTIFS($V$5:$V223,"Macro",$S$5:$S223,$S223),IF(N($U223)=0,"?",COUNTIFS(INDEX($V$5:$V$1000,1):INDEX($V$5:$V$1000,$U223-4),"Macro",INDEX($S$5:$S$1000,1):INDEX($S$5:$S$1000,$U223-4),INDEX($S$5:$S$1000,$U223-4))&amp;"."&amp;COUNTIFS($U$5:$U223,$U223,$V$5:$V223,"Sub"))))</f>
        <v/>
      </c>
      <c r="B223" s="57" t="n"/>
      <c r="C223" s="58" t="n"/>
      <c r="D223" s="58" t="n"/>
      <c r="E223" s="59" t="n"/>
      <c r="F223" s="59" t="n"/>
      <c r="G223" s="59" t="n"/>
      <c r="H223" s="60" t="n"/>
      <c r="I223" s="60" t="n"/>
      <c r="J223" s="60" t="n"/>
      <c r="K223" s="60" t="n"/>
      <c r="L223" s="60" t="n"/>
      <c r="M223" s="61">
        <f>IF(NOT((COUNTA($B223:$D223)+COUNTA($G223:$L223)+COUNTA($Q223))&gt;0),"",IF(AND($D223&lt;&gt;"",$V223="Macro"),IF(N($AH223)&gt;0,N(CHOOSE(MATCH($D223,ListaPuestos,0),INDEX('Cronograma R. Operacional'!$M$5:$M$1000,$AH223),INDEX('Cronograma R. Normativo'!$M$5:$M$1000,$AH223),INDEX('Cronograma R. Financiero'!$M$5:$M$1000,$AH223),INDEX('Cronograma Asistente Técnico'!$M$5:$M$1000,$AH223))),0),IF(ISNUMBER($G223),1,IF(N($W223)&gt;0,AVERAGEIFS($X$5:$X$1000,$U$5:$U$1000,ROW(),$V$5:$V$1000,"Sub"),$X223))))</f>
        <v/>
      </c>
      <c r="N223" s="56">
        <f>IF(OR($M223="",$V223="Sub"),"",IF($M223&gt;=1,"Completado",IF($M223&gt;0,"En curso","Pendiente")))</f>
        <v/>
      </c>
      <c r="O223" s="56">
        <f>IF(NOT((COUNTA($B223:$D223)+COUNTA($G223:$L223)+COUNTA($Q223))&gt;0),"",IF(AND(AND($D223&lt;&gt;"",$V223="Macro"),N($AH223)&gt;0),CHOOSE(MATCH($D223,ListaPuestos,0),INDEX('Cronograma R. Operacional'!$O$5:$O$1000,$AH223),INDEX('Cronograma R. Normativo'!$O$5:$O$1000,$AH223),INDEX('Cronograma R. Financiero'!$O$5:$O$1000,$AH223),INDEX('Cronograma Asistente Técnico'!$O$5:$O$1000,$AH223))&amp;"",IF(ISNUMBER($G223),IF(AND(ISNUMBER($AN223),$G223&gt;$AN223),"Cumplida con "&amp;($G223-$AN223)&amp;IF($G223-$AN223=1," día"," días")&amp;" de retraso","Cumplida"),IF(N($M223)&gt;=1,"Cumplida",IF(NOT(ISNUMBER($AN223)),"Sin fecha límite",IF($AN223&lt;FechaRef,"Vencida hace "&amp;(FechaRef-$AN223)&amp;IF(FechaRef-$AN223=1," día"," días"),IF($AN223=FechaRef,"Vence hoy",IF($AN223-FechaRef&lt;=DiasAlerta,"Vence en "&amp;($AN223-FechaRef)&amp;IF($AN223-FechaRef=1," día"," días"),"En plazo"))))))))</f>
        <v/>
      </c>
      <c r="P223" s="62">
        <f>IF(NOT((COUNTA($B223:$D223)+COUNTA($G223:$L223)+COUNTA($Q223))&gt;0),"",IF($D223="","Propia",IF($V223&lt;&gt;"Macro","Solo se delegan macroactividades",IF(N($AH223)&gt;0,"✔ Recibida por "&amp;$D223,"⚠ "&amp;$D223&amp;" aún no la agrega"))))</f>
        <v/>
      </c>
      <c r="Q223" s="58" t="n"/>
      <c r="R223" s="63">
        <f>IF(NOT((COUNTA($B223:$D223)+COUNTA($G223:$L223)+COUNTA($Q223))&gt;0),"",IF((IF($C223="","Falta el nombre de la actividad"&amp;" · ","")&amp;IF(AND($V223="Sub",N($U223)=0),"Subactividad sin macroactividad arriba"&amp;" · ","")&amp;IF($AM223="","Sin fecha de inicio"&amp;" · ","")&amp;IF($AN223="","Sin fecha límite"&amp;" · ","")&amp;IF(AND(LEFT($C223,11)="[Jefatura] ",N($AL223)=0),"No se encuentra en la hoja de la jefatura (elíjala de nuevo en la lista)"&amp;" · ","")&amp;IF(OR(AND($E223&lt;&gt;"",NOT(ISNUMBER($E223))),AND($F223&lt;&gt;"",NOT(ISNUMBER($F223))),AND($G223&lt;&gt;"",NOT(ISNUMBER($G223)))),"Fecha no válida"&amp;" · ","")&amp;IF(AND(ISNUMBER($AM223),ISNUMBER($AN223),$AM223&gt;$AN223),"Inicio posterior a fecha límite"&amp;" · ","")&amp;IF(AND($V223="Macro",$H223&lt;&gt;"",OR(NOT(ISNUMBER($H223)),$H223&lt;0,$H223&gt;1)),"Peso fuera de rango"&amp;" · ","")&amp;IF(AND($V223="Sub",$H223&lt;&gt;""),"Las subactividades no llevan peso (valen igual dentro de su macroactividad)"&amp;" · ","")&amp;IF(AND(N($W223)&gt;0,COUNT($I223:$L223)&gt;0),"Con subactividades: deje vacías las semanas (se calculan solas)"&amp;" · ","")&amp;IF((COUNTIF($I223:$L223,"&gt;1")+COUNTIF($I223:$L223,"&lt;0")+COUNTA($I223:$L223)-COUNT($I223:$L223))&gt;0,"Avance fuera de rango 0-100%"&amp;" · ","")&amp;IF(OR(AND($J223&lt;&gt;"",$J223&lt;$I223),AND($K223&lt;&gt;"",$K223&lt;MAX($I223:$J223)),AND($L223&lt;&gt;"",$L223&lt;MAX($I223:$K223))),"Avance semanal decreciente"&amp;" · ","")&amp;IF(AND(ISNUMBER($AN223),$AN223&lt;FechaRef,IF($V223="Sub",N($X223),N($M223))&lt;1),"Vencida"&amp;" · ","")&amp;IF(AND(ObsObligatoria="Sí",ISNUMBER($AN223),$AN223&lt;FechaRef,IF($V223="Sub",N($X223),N($M223))&lt;1,$Q223=""),"Vencida sin observación"&amp;" · ",""))="","✔ OK","⚠ "&amp;LEFT(IF($C223="","Falta el nombre de la actividad"&amp;" · ","")&amp;IF(AND($V223="Sub",N($U223)=0),"Subactividad sin macroactividad arriba"&amp;" · ","")&amp;IF($AM223="","Sin fecha de inicio"&amp;" · ","")&amp;IF($AN223="","Sin fecha límite"&amp;" · ","")&amp;IF(AND(LEFT($C223,11)="[Jefatura] ",N($AL223)=0),"No se encuentra en la hoja de la jefatura (elíjala de nuevo en la lista)"&amp;" · ","")&amp;IF(OR(AND($E223&lt;&gt;"",NOT(ISNUMBER($E223))),AND($F223&lt;&gt;"",NOT(ISNUMBER($F223))),AND($G223&lt;&gt;"",NOT(ISNUMBER($G223)))),"Fecha no válida"&amp;" · ","")&amp;IF(AND(ISNUMBER($AM223),ISNUMBER($AN223),$AM223&gt;$AN223),"Inicio posterior a fecha límite"&amp;" · ","")&amp;IF(AND($V223="Macro",$H223&lt;&gt;"",OR(NOT(ISNUMBER($H223)),$H223&lt;0,$H223&gt;1)),"Peso fuera de rango"&amp;" · ","")&amp;IF(AND($V223="Sub",$H223&lt;&gt;""),"Las subactividades no llevan peso (valen igual dentro de su macroactividad)"&amp;" · ","")&amp;IF(AND(N($W223)&gt;0,COUNT($I223:$L223)&gt;0),"Con subactividades: deje vacías las semanas (se calculan solas)"&amp;" · ","")&amp;IF((COUNTIF($I223:$L223,"&gt;1")+COUNTIF($I223:$L223,"&lt;0")+COUNTA($I223:$L223)-COUNT($I223:$L223))&gt;0,"Avance fuera de rango 0-100%"&amp;" · ","")&amp;IF(OR(AND($J223&lt;&gt;"",$J223&lt;$I223),AND($K223&lt;&gt;"",$K223&lt;MAX($I223:$J223)),AND($L223&lt;&gt;"",$L223&lt;MAX($I223:$K223))),"Avance semanal decreciente"&amp;" · ","")&amp;IF(AND(ISNUMBER($AN223),$AN223&lt;FechaRef,IF($V223="Sub",N($X223),N($M223))&lt;1),"Vencida"&amp;" · ","")&amp;IF(AND(ObsObligatoria="Sí",ISNUMBER($AN223),$AN223&lt;FechaRef,IF($V223="Sub",N($X223),N($M223))&lt;1,$Q223=""),"Vencida sin observación"&amp;" · ",""),LEN(IF($C223="","Falta el nombre de la actividad"&amp;" · ","")&amp;IF(AND($V223="Sub",N($U223)=0),"Subactividad sin macroactividad arriba"&amp;" · ","")&amp;IF($AM223="","Sin fecha de inicio"&amp;" · ","")&amp;IF($AN223="","Sin fecha límite"&amp;" · ","")&amp;IF(AND(LEFT($C223,11)="[Jefatura] ",N($AL223)=0),"No se encuentra en la hoja de la jefatura (elíjala de nuevo en la lista)"&amp;" · ","")&amp;IF(OR(AND($E223&lt;&gt;"",NOT(ISNUMBER($E223))),AND($F223&lt;&gt;"",NOT(ISNUMBER($F223))),AND($G223&lt;&gt;"",NOT(ISNUMBER($G223)))),"Fecha no válida"&amp;" · ","")&amp;IF(AND(ISNUMBER($AM223),ISNUMBER($AN223),$AM223&gt;$AN223),"Inicio posterior a fecha límite"&amp;" · ","")&amp;IF(AND($V223="Macro",$H223&lt;&gt;"",OR(NOT(ISNUMBER($H223)),$H223&lt;0,$H223&gt;1)),"Peso fuera de rango"&amp;" · ","")&amp;IF(AND($V223="Sub",$H223&lt;&gt;""),"Las subactividades no llevan peso (valen igual dentro de su macroactividad)"&amp;" · ","")&amp;IF(AND(N($W223)&gt;0,COUNT($I223:$L223)&gt;0),"Con subactividades: deje vacías las semanas (se calculan solas)"&amp;" · ","")&amp;IF((COUNTIF($I223:$L223,"&gt;1")+COUNTIF($I223:$L223,"&lt;0")+COUNTA($I223:$L223)-COUNT($I223:$L223))&gt;0,"Avance fuera de rango 0-100%"&amp;" · ","")&amp;IF(OR(AND($J223&lt;&gt;"",$J223&lt;$I223),AND($K223&lt;&gt;"",$K223&lt;MAX($I223:$J223)),AND($L223&lt;&gt;"",$L223&lt;MAX($I223:$K223))),"Avance semanal decreciente"&amp;" · ","")&amp;IF(AND(ISNUMBER($AN223),$AN223&lt;FechaRef,IF($V223="Sub",N($X223),N($M223))&lt;1),"Vencida"&amp;" · ","")&amp;IF(AND(ObsObligatoria="Sí",ISNUMBER($AN223),$AN223&lt;FechaRef,IF($V223="Sub",N($X223),N($M223))&lt;1,$Q223=""),"Vencida sin observación"&amp;" · ",""))-3)))</f>
        <v/>
      </c>
      <c r="S223" s="64">
        <f>IF(NOT((COUNTA($B223:$D223)+COUNTA($G223:$L223)+COUNTA($Q223))&gt;0),"",IF(AND($V223="Sub",N($U223)&gt;0),IF(ISNUMBER(INDEX($AM$5:$AM$1000,$U223-4)),DATE(YEAR(INDEX($AM$5:$AM$1000,$U223-4)),MONTH(INDEX($AM$5:$AM$1000,$U223-4)),1),IF(ISNUMBER(INDEX($AN$5:$AN$1000,$U223-4)),DATE(YEAR(INDEX($AN$5:$AN$1000,$U223-4)),MONTH(INDEX($AN$5:$AN$1000,$U223-4)),1),MesCiclo)),IF(ISNUMBER($AM223),DATE(YEAR($AM223),MONTH($AM223),1),IF(ISNUMBER($AN223),DATE(YEAR($AN223),MONTH($AN223),1),MesCiclo))))</f>
        <v/>
      </c>
      <c r="T223" s="62">
        <f>IF(OR($S223="",$S223&lt;&gt;MesCiclo,$V223&lt;&gt;"Macro"),"",COUNTIFS($S$5:$S223,MesCiclo,$V$5:$V223,"Macro"))</f>
        <v/>
      </c>
      <c r="U223" s="62">
        <f>IF($V223="","",IF($V223="Macro",ROW(),IFERROR(LOOKUP(2,1/($V$5:$V223="Macro"),ROW($V$5:$V223)),0)))</f>
        <v/>
      </c>
      <c r="V223" s="62">
        <f>IF(NOT((COUNTA($B223:$D223)+COUNTA($G223:$L223)+COUNTA($Q223))&gt;0),"",IF($B223="Subactividad","Sub","Macro"))</f>
        <v/>
      </c>
      <c r="W223" s="62">
        <f>IF($V223="Macro",COUNTIFS($U$5:$U$1000,ROW(),$V$5:$V$1000,"Sub"),"")</f>
        <v/>
      </c>
      <c r="X223" s="62">
        <f>IF($V223="","",IF(ISNUMBER($G223),1,IFERROR(LOOKUP(2,1/($I223:$L223&lt;&gt;""),$I223:$L223),0)))</f>
        <v/>
      </c>
      <c r="Y223" s="62">
        <f>IF($V223="","",IF(AND(ISNUMBER($G223),$G223&lt;=IF($S223=MesCiclo,InicioCiclo,$S223+MOD(2-WEEKDAY($S223),7))+6),1,IF(ISNUMBER($I223),$I223,0)))</f>
        <v/>
      </c>
      <c r="Z223" s="62">
        <f>IF($V223="","",IF(AND(ISNUMBER($G223),$G223&lt;=IF($S223=MesCiclo,InicioCiclo,$S223+MOD(2-WEEKDAY($S223),7))+13),1,IF(ISNUMBER($J223),$J223,$Y223)))</f>
        <v/>
      </c>
      <c r="AA223" s="62">
        <f>IF($V223="","",IF(AND(ISNUMBER($G223),$G223&lt;=IF($S223=MesCiclo,InicioCiclo,$S223+MOD(2-WEEKDAY($S223),7))+20),1,IF(ISNUMBER($K223),$K223,$Z223)))</f>
        <v/>
      </c>
      <c r="AB223" s="62">
        <f>IF($V223="","",IF(AND(ISNUMBER($G223),$G223&lt;=IF($S223=MesCiclo,InicioCiclo,$S223+MOD(2-WEEKDAY($S223),7))+27),1,IF(ISNUMBER($L223),$L223,$AA223)))</f>
        <v/>
      </c>
      <c r="AC223" s="62">
        <f>IF($V223="","",IF(AND(ISNUMBER($G223),$G223&lt;=IF($S223=MesCiclo,InicioCiclo,$S223+MOD(2-WEEKDAY($S223),7))+6),1,IF(N($W223)&gt;0,AVERAGEIFS($Y$5:$Y$1000,$U$5:$U$1000,ROW(),$V$5:$V$1000,"Sub"),$Y223)))</f>
        <v/>
      </c>
      <c r="AD223" s="62">
        <f>IF($V223="","",IF(AND(ISNUMBER($G223),$G223&lt;=IF($S223=MesCiclo,InicioCiclo,$S223+MOD(2-WEEKDAY($S223),7))+13),1,IF(N($W223)&gt;0,AVERAGEIFS($Z$5:$Z$1000,$U$5:$U$1000,ROW(),$V$5:$V$1000,"Sub"),$Z223)))</f>
        <v/>
      </c>
      <c r="AE223" s="62">
        <f>IF($V223="","",IF(AND(ISNUMBER($G223),$G223&lt;=IF($S223=MesCiclo,InicioCiclo,$S223+MOD(2-WEEKDAY($S223),7))+20),1,IF(N($W223)&gt;0,AVERAGEIFS($AA$5:$AA$1000,$U$5:$U$1000,ROW(),$V$5:$V$1000,"Sub"),$AA223)))</f>
        <v/>
      </c>
      <c r="AF223" s="62">
        <f>IF($V223="","",IF(AND(ISNUMBER($G223),$G223&lt;=IF($S223=MesCiclo,InicioCiclo,$S223+MOD(2-WEEKDAY($S223),7))+27),1,IF(N($W223)&gt;0,AVERAGEIFS($AB$5:$AB$1000,$U$5:$U$1000,ROW(),$V$5:$V$1000,"Sub"),$AB223)))</f>
        <v/>
      </c>
      <c r="AG223" s="62">
        <f>IF($V223&lt;&gt;"Macro","",IF(COUNTIFS($S$5:$S$1000,$S223,$V$5:$V$1000,"Macro",$H$5:$H$1000,"&gt;0")=0,1/COUNTIFS($S$5:$S$1000,$S223,$V$5:$V$1000,"Macro"),IF(AND(ISNUMBER($H223),N($H223)&gt;0),$H223,SUMIFS($H$5:$H$1000,$S$5:$S$1000,$S223,$V$5:$V$1000,"Macro")/COUNTIFS($S$5:$S$1000,$S223,$V$5:$V$1000,"Macro",$H$5:$H$1000,"&gt;0"))/(COUNTIFS($S$5:$S$1000,$S223,$V$5:$V$1000,"Macro")*SUMIFS($H$5:$H$1000,$S$5:$S$1000,$S223,$V$5:$V$1000,"Macro")/COUNTIFS($S$5:$S$1000,$S223,$V$5:$V$1000,"Macro",$H$5:$H$1000,"&gt;0"))))</f>
        <v/>
      </c>
      <c r="AH223" s="62">
        <f>IF(NOT(AND($D223&lt;&gt;"",$V223="Macro")),"",IFERROR(CHOOSE(MATCH($D223,ListaPuestos,0),MATCH("[Jefatura] "&amp;$C223,'Cronograma R. Operacional'!$C$5:$C$1000,0),MATCH("[Jefatura] "&amp;$C223,'Cronograma R. Normativo'!$C$5:$C$1000,0),MATCH("[Jefatura] "&amp;$C223,'Cronograma R. Financiero'!$C$5:$C$1000,0),MATCH("[Jefatura] "&amp;$C223,'Cronograma Asistente Técnico'!$C$5:$C$1000,0)),0))</f>
        <v/>
      </c>
      <c r="AI223" s="62">
        <f>IF(AND(AND($D223&lt;&gt;"",$V223="Macro"),$S223=MesCiclo),COUNTIFS($D$5:$D223,$D223,$S$5:$S223,MesCiclo,$V$5:$V223,"Macro"),"")</f>
        <v/>
      </c>
      <c r="AJ223" s="62">
        <f>IF($AI223="","",$D223&amp;"|"&amp;$AI223)</f>
        <v/>
      </c>
      <c r="AK223" s="62">
        <f>IF(AND($D223&lt;&gt;"",$V223="Macro"),$D223&amp;"|"&amp;$C223,"")</f>
        <v/>
      </c>
      <c r="AL223" s="62">
        <f>""</f>
        <v/>
      </c>
      <c r="AM223" s="62">
        <f>IF(N($AL223)&gt;0,INDEX(rIni_ADM,$AL223),IF(ISNUMBER($E223),$E223,""))</f>
        <v/>
      </c>
      <c r="AN223" s="62">
        <f>IF(N($AL223)&gt;0,INDEX(rLim_ADM,$AL223),IF(ISNUMBER($F223),$F223,""))</f>
        <v/>
      </c>
    </row>
    <row r="224">
      <c r="A224" s="56">
        <f>IF(NOT((COUNTA($B224:$D224)+COUNTA($G224:$L224)+COUNTA($Q224))&gt;0),"",IF($V224="Macro",COUNTIFS($V$5:$V224,"Macro",$S$5:$S224,$S224),IF(N($U224)=0,"?",COUNTIFS(INDEX($V$5:$V$1000,1):INDEX($V$5:$V$1000,$U224-4),"Macro",INDEX($S$5:$S$1000,1):INDEX($S$5:$S$1000,$U224-4),INDEX($S$5:$S$1000,$U224-4))&amp;"."&amp;COUNTIFS($U$5:$U224,$U224,$V$5:$V224,"Sub"))))</f>
        <v/>
      </c>
      <c r="B224" s="57" t="n"/>
      <c r="C224" s="58" t="n"/>
      <c r="D224" s="58" t="n"/>
      <c r="E224" s="59" t="n"/>
      <c r="F224" s="59" t="n"/>
      <c r="G224" s="59" t="n"/>
      <c r="H224" s="60" t="n"/>
      <c r="I224" s="60" t="n"/>
      <c r="J224" s="60" t="n"/>
      <c r="K224" s="60" t="n"/>
      <c r="L224" s="60" t="n"/>
      <c r="M224" s="61">
        <f>IF(NOT((COUNTA($B224:$D224)+COUNTA($G224:$L224)+COUNTA($Q224))&gt;0),"",IF(AND($D224&lt;&gt;"",$V224="Macro"),IF(N($AH224)&gt;0,N(CHOOSE(MATCH($D224,ListaPuestos,0),INDEX('Cronograma R. Operacional'!$M$5:$M$1000,$AH224),INDEX('Cronograma R. Normativo'!$M$5:$M$1000,$AH224),INDEX('Cronograma R. Financiero'!$M$5:$M$1000,$AH224),INDEX('Cronograma Asistente Técnico'!$M$5:$M$1000,$AH224))),0),IF(ISNUMBER($G224),1,IF(N($W224)&gt;0,AVERAGEIFS($X$5:$X$1000,$U$5:$U$1000,ROW(),$V$5:$V$1000,"Sub"),$X224))))</f>
        <v/>
      </c>
      <c r="N224" s="56">
        <f>IF(OR($M224="",$V224="Sub"),"",IF($M224&gt;=1,"Completado",IF($M224&gt;0,"En curso","Pendiente")))</f>
        <v/>
      </c>
      <c r="O224" s="56">
        <f>IF(NOT((COUNTA($B224:$D224)+COUNTA($G224:$L224)+COUNTA($Q224))&gt;0),"",IF(AND(AND($D224&lt;&gt;"",$V224="Macro"),N($AH224)&gt;0),CHOOSE(MATCH($D224,ListaPuestos,0),INDEX('Cronograma R. Operacional'!$O$5:$O$1000,$AH224),INDEX('Cronograma R. Normativo'!$O$5:$O$1000,$AH224),INDEX('Cronograma R. Financiero'!$O$5:$O$1000,$AH224),INDEX('Cronograma Asistente Técnico'!$O$5:$O$1000,$AH224))&amp;"",IF(ISNUMBER($G224),IF(AND(ISNUMBER($AN224),$G224&gt;$AN224),"Cumplida con "&amp;($G224-$AN224)&amp;IF($G224-$AN224=1," día"," días")&amp;" de retraso","Cumplida"),IF(N($M224)&gt;=1,"Cumplida",IF(NOT(ISNUMBER($AN224)),"Sin fecha límite",IF($AN224&lt;FechaRef,"Vencida hace "&amp;(FechaRef-$AN224)&amp;IF(FechaRef-$AN224=1," día"," días"),IF($AN224=FechaRef,"Vence hoy",IF($AN224-FechaRef&lt;=DiasAlerta,"Vence en "&amp;($AN224-FechaRef)&amp;IF($AN224-FechaRef=1," día"," días"),"En plazo"))))))))</f>
        <v/>
      </c>
      <c r="P224" s="62">
        <f>IF(NOT((COUNTA($B224:$D224)+COUNTA($G224:$L224)+COUNTA($Q224))&gt;0),"",IF($D224="","Propia",IF($V224&lt;&gt;"Macro","Solo se delegan macroactividades",IF(N($AH224)&gt;0,"✔ Recibida por "&amp;$D224,"⚠ "&amp;$D224&amp;" aún no la agrega"))))</f>
        <v/>
      </c>
      <c r="Q224" s="58" t="n"/>
      <c r="R224" s="63">
        <f>IF(NOT((COUNTA($B224:$D224)+COUNTA($G224:$L224)+COUNTA($Q224))&gt;0),"",IF((IF($C224="","Falta el nombre de la actividad"&amp;" · ","")&amp;IF(AND($V224="Sub",N($U224)=0),"Subactividad sin macroactividad arriba"&amp;" · ","")&amp;IF($AM224="","Sin fecha de inicio"&amp;" · ","")&amp;IF($AN224="","Sin fecha límite"&amp;" · ","")&amp;IF(AND(LEFT($C224,11)="[Jefatura] ",N($AL224)=0),"No se encuentra en la hoja de la jefatura (elíjala de nuevo en la lista)"&amp;" · ","")&amp;IF(OR(AND($E224&lt;&gt;"",NOT(ISNUMBER($E224))),AND($F224&lt;&gt;"",NOT(ISNUMBER($F224))),AND($G224&lt;&gt;"",NOT(ISNUMBER($G224)))),"Fecha no válida"&amp;" · ","")&amp;IF(AND(ISNUMBER($AM224),ISNUMBER($AN224),$AM224&gt;$AN224),"Inicio posterior a fecha límite"&amp;" · ","")&amp;IF(AND($V224="Macro",$H224&lt;&gt;"",OR(NOT(ISNUMBER($H224)),$H224&lt;0,$H224&gt;1)),"Peso fuera de rango"&amp;" · ","")&amp;IF(AND($V224="Sub",$H224&lt;&gt;""),"Las subactividades no llevan peso (valen igual dentro de su macroactividad)"&amp;" · ","")&amp;IF(AND(N($W224)&gt;0,COUNT($I224:$L224)&gt;0),"Con subactividades: deje vacías las semanas (se calculan solas)"&amp;" · ","")&amp;IF((COUNTIF($I224:$L224,"&gt;1")+COUNTIF($I224:$L224,"&lt;0")+COUNTA($I224:$L224)-COUNT($I224:$L224))&gt;0,"Avance fuera de rango 0-100%"&amp;" · ","")&amp;IF(OR(AND($J224&lt;&gt;"",$J224&lt;$I224),AND($K224&lt;&gt;"",$K224&lt;MAX($I224:$J224)),AND($L224&lt;&gt;"",$L224&lt;MAX($I224:$K224))),"Avance semanal decreciente"&amp;" · ","")&amp;IF(AND(ISNUMBER($AN224),$AN224&lt;FechaRef,IF($V224="Sub",N($X224),N($M224))&lt;1),"Vencida"&amp;" · ","")&amp;IF(AND(ObsObligatoria="Sí",ISNUMBER($AN224),$AN224&lt;FechaRef,IF($V224="Sub",N($X224),N($M224))&lt;1,$Q224=""),"Vencida sin observación"&amp;" · ",""))="","✔ OK","⚠ "&amp;LEFT(IF($C224="","Falta el nombre de la actividad"&amp;" · ","")&amp;IF(AND($V224="Sub",N($U224)=0),"Subactividad sin macroactividad arriba"&amp;" · ","")&amp;IF($AM224="","Sin fecha de inicio"&amp;" · ","")&amp;IF($AN224="","Sin fecha límite"&amp;" · ","")&amp;IF(AND(LEFT($C224,11)="[Jefatura] ",N($AL224)=0),"No se encuentra en la hoja de la jefatura (elíjala de nuevo en la lista)"&amp;" · ","")&amp;IF(OR(AND($E224&lt;&gt;"",NOT(ISNUMBER($E224))),AND($F224&lt;&gt;"",NOT(ISNUMBER($F224))),AND($G224&lt;&gt;"",NOT(ISNUMBER($G224)))),"Fecha no válida"&amp;" · ","")&amp;IF(AND(ISNUMBER($AM224),ISNUMBER($AN224),$AM224&gt;$AN224),"Inicio posterior a fecha límite"&amp;" · ","")&amp;IF(AND($V224="Macro",$H224&lt;&gt;"",OR(NOT(ISNUMBER($H224)),$H224&lt;0,$H224&gt;1)),"Peso fuera de rango"&amp;" · ","")&amp;IF(AND($V224="Sub",$H224&lt;&gt;""),"Las subactividades no llevan peso (valen igual dentro de su macroactividad)"&amp;" · ","")&amp;IF(AND(N($W224)&gt;0,COUNT($I224:$L224)&gt;0),"Con subactividades: deje vacías las semanas (se calculan solas)"&amp;" · ","")&amp;IF((COUNTIF($I224:$L224,"&gt;1")+COUNTIF($I224:$L224,"&lt;0")+COUNTA($I224:$L224)-COUNT($I224:$L224))&gt;0,"Avance fuera de rango 0-100%"&amp;" · ","")&amp;IF(OR(AND($J224&lt;&gt;"",$J224&lt;$I224),AND($K224&lt;&gt;"",$K224&lt;MAX($I224:$J224)),AND($L224&lt;&gt;"",$L224&lt;MAX($I224:$K224))),"Avance semanal decreciente"&amp;" · ","")&amp;IF(AND(ISNUMBER($AN224),$AN224&lt;FechaRef,IF($V224="Sub",N($X224),N($M224))&lt;1),"Vencida"&amp;" · ","")&amp;IF(AND(ObsObligatoria="Sí",ISNUMBER($AN224),$AN224&lt;FechaRef,IF($V224="Sub",N($X224),N($M224))&lt;1,$Q224=""),"Vencida sin observación"&amp;" · ",""),LEN(IF($C224="","Falta el nombre de la actividad"&amp;" · ","")&amp;IF(AND($V224="Sub",N($U224)=0),"Subactividad sin macroactividad arriba"&amp;" · ","")&amp;IF($AM224="","Sin fecha de inicio"&amp;" · ","")&amp;IF($AN224="","Sin fecha límite"&amp;" · ","")&amp;IF(AND(LEFT($C224,11)="[Jefatura] ",N($AL224)=0),"No se encuentra en la hoja de la jefatura (elíjala de nuevo en la lista)"&amp;" · ","")&amp;IF(OR(AND($E224&lt;&gt;"",NOT(ISNUMBER($E224))),AND($F224&lt;&gt;"",NOT(ISNUMBER($F224))),AND($G224&lt;&gt;"",NOT(ISNUMBER($G224)))),"Fecha no válida"&amp;" · ","")&amp;IF(AND(ISNUMBER($AM224),ISNUMBER($AN224),$AM224&gt;$AN224),"Inicio posterior a fecha límite"&amp;" · ","")&amp;IF(AND($V224="Macro",$H224&lt;&gt;"",OR(NOT(ISNUMBER($H224)),$H224&lt;0,$H224&gt;1)),"Peso fuera de rango"&amp;" · ","")&amp;IF(AND($V224="Sub",$H224&lt;&gt;""),"Las subactividades no llevan peso (valen igual dentro de su macroactividad)"&amp;" · ","")&amp;IF(AND(N($W224)&gt;0,COUNT($I224:$L224)&gt;0),"Con subactividades: deje vacías las semanas (se calculan solas)"&amp;" · ","")&amp;IF((COUNTIF($I224:$L224,"&gt;1")+COUNTIF($I224:$L224,"&lt;0")+COUNTA($I224:$L224)-COUNT($I224:$L224))&gt;0,"Avance fuera de rango 0-100%"&amp;" · ","")&amp;IF(OR(AND($J224&lt;&gt;"",$J224&lt;$I224),AND($K224&lt;&gt;"",$K224&lt;MAX($I224:$J224)),AND($L224&lt;&gt;"",$L224&lt;MAX($I224:$K224))),"Avance semanal decreciente"&amp;" · ","")&amp;IF(AND(ISNUMBER($AN224),$AN224&lt;FechaRef,IF($V224="Sub",N($X224),N($M224))&lt;1),"Vencida"&amp;" · ","")&amp;IF(AND(ObsObligatoria="Sí",ISNUMBER($AN224),$AN224&lt;FechaRef,IF($V224="Sub",N($X224),N($M224))&lt;1,$Q224=""),"Vencida sin observación"&amp;" · ",""))-3)))</f>
        <v/>
      </c>
      <c r="S224" s="64">
        <f>IF(NOT((COUNTA($B224:$D224)+COUNTA($G224:$L224)+COUNTA($Q224))&gt;0),"",IF(AND($V224="Sub",N($U224)&gt;0),IF(ISNUMBER(INDEX($AM$5:$AM$1000,$U224-4)),DATE(YEAR(INDEX($AM$5:$AM$1000,$U224-4)),MONTH(INDEX($AM$5:$AM$1000,$U224-4)),1),IF(ISNUMBER(INDEX($AN$5:$AN$1000,$U224-4)),DATE(YEAR(INDEX($AN$5:$AN$1000,$U224-4)),MONTH(INDEX($AN$5:$AN$1000,$U224-4)),1),MesCiclo)),IF(ISNUMBER($AM224),DATE(YEAR($AM224),MONTH($AM224),1),IF(ISNUMBER($AN224),DATE(YEAR($AN224),MONTH($AN224),1),MesCiclo))))</f>
        <v/>
      </c>
      <c r="T224" s="62">
        <f>IF(OR($S224="",$S224&lt;&gt;MesCiclo,$V224&lt;&gt;"Macro"),"",COUNTIFS($S$5:$S224,MesCiclo,$V$5:$V224,"Macro"))</f>
        <v/>
      </c>
      <c r="U224" s="62">
        <f>IF($V224="","",IF($V224="Macro",ROW(),IFERROR(LOOKUP(2,1/($V$5:$V224="Macro"),ROW($V$5:$V224)),0)))</f>
        <v/>
      </c>
      <c r="V224" s="62">
        <f>IF(NOT((COUNTA($B224:$D224)+COUNTA($G224:$L224)+COUNTA($Q224))&gt;0),"",IF($B224="Subactividad","Sub","Macro"))</f>
        <v/>
      </c>
      <c r="W224" s="62">
        <f>IF($V224="Macro",COUNTIFS($U$5:$U$1000,ROW(),$V$5:$V$1000,"Sub"),"")</f>
        <v/>
      </c>
      <c r="X224" s="62">
        <f>IF($V224="","",IF(ISNUMBER($G224),1,IFERROR(LOOKUP(2,1/($I224:$L224&lt;&gt;""),$I224:$L224),0)))</f>
        <v/>
      </c>
      <c r="Y224" s="62">
        <f>IF($V224="","",IF(AND(ISNUMBER($G224),$G224&lt;=IF($S224=MesCiclo,InicioCiclo,$S224+MOD(2-WEEKDAY($S224),7))+6),1,IF(ISNUMBER($I224),$I224,0)))</f>
        <v/>
      </c>
      <c r="Z224" s="62">
        <f>IF($V224="","",IF(AND(ISNUMBER($G224),$G224&lt;=IF($S224=MesCiclo,InicioCiclo,$S224+MOD(2-WEEKDAY($S224),7))+13),1,IF(ISNUMBER($J224),$J224,$Y224)))</f>
        <v/>
      </c>
      <c r="AA224" s="62">
        <f>IF($V224="","",IF(AND(ISNUMBER($G224),$G224&lt;=IF($S224=MesCiclo,InicioCiclo,$S224+MOD(2-WEEKDAY($S224),7))+20),1,IF(ISNUMBER($K224),$K224,$Z224)))</f>
        <v/>
      </c>
      <c r="AB224" s="62">
        <f>IF($V224="","",IF(AND(ISNUMBER($G224),$G224&lt;=IF($S224=MesCiclo,InicioCiclo,$S224+MOD(2-WEEKDAY($S224),7))+27),1,IF(ISNUMBER($L224),$L224,$AA224)))</f>
        <v/>
      </c>
      <c r="AC224" s="62">
        <f>IF($V224="","",IF(AND(ISNUMBER($G224),$G224&lt;=IF($S224=MesCiclo,InicioCiclo,$S224+MOD(2-WEEKDAY($S224),7))+6),1,IF(N($W224)&gt;0,AVERAGEIFS($Y$5:$Y$1000,$U$5:$U$1000,ROW(),$V$5:$V$1000,"Sub"),$Y224)))</f>
        <v/>
      </c>
      <c r="AD224" s="62">
        <f>IF($V224="","",IF(AND(ISNUMBER($G224),$G224&lt;=IF($S224=MesCiclo,InicioCiclo,$S224+MOD(2-WEEKDAY($S224),7))+13),1,IF(N($W224)&gt;0,AVERAGEIFS($Z$5:$Z$1000,$U$5:$U$1000,ROW(),$V$5:$V$1000,"Sub"),$Z224)))</f>
        <v/>
      </c>
      <c r="AE224" s="62">
        <f>IF($V224="","",IF(AND(ISNUMBER($G224),$G224&lt;=IF($S224=MesCiclo,InicioCiclo,$S224+MOD(2-WEEKDAY($S224),7))+20),1,IF(N($W224)&gt;0,AVERAGEIFS($AA$5:$AA$1000,$U$5:$U$1000,ROW(),$V$5:$V$1000,"Sub"),$AA224)))</f>
        <v/>
      </c>
      <c r="AF224" s="62">
        <f>IF($V224="","",IF(AND(ISNUMBER($G224),$G224&lt;=IF($S224=MesCiclo,InicioCiclo,$S224+MOD(2-WEEKDAY($S224),7))+27),1,IF(N($W224)&gt;0,AVERAGEIFS($AB$5:$AB$1000,$U$5:$U$1000,ROW(),$V$5:$V$1000,"Sub"),$AB224)))</f>
        <v/>
      </c>
      <c r="AG224" s="62">
        <f>IF($V224&lt;&gt;"Macro","",IF(COUNTIFS($S$5:$S$1000,$S224,$V$5:$V$1000,"Macro",$H$5:$H$1000,"&gt;0")=0,1/COUNTIFS($S$5:$S$1000,$S224,$V$5:$V$1000,"Macro"),IF(AND(ISNUMBER($H224),N($H224)&gt;0),$H224,SUMIFS($H$5:$H$1000,$S$5:$S$1000,$S224,$V$5:$V$1000,"Macro")/COUNTIFS($S$5:$S$1000,$S224,$V$5:$V$1000,"Macro",$H$5:$H$1000,"&gt;0"))/(COUNTIFS($S$5:$S$1000,$S224,$V$5:$V$1000,"Macro")*SUMIFS($H$5:$H$1000,$S$5:$S$1000,$S224,$V$5:$V$1000,"Macro")/COUNTIFS($S$5:$S$1000,$S224,$V$5:$V$1000,"Macro",$H$5:$H$1000,"&gt;0"))))</f>
        <v/>
      </c>
      <c r="AH224" s="62">
        <f>IF(NOT(AND($D224&lt;&gt;"",$V224="Macro")),"",IFERROR(CHOOSE(MATCH($D224,ListaPuestos,0),MATCH("[Jefatura] "&amp;$C224,'Cronograma R. Operacional'!$C$5:$C$1000,0),MATCH("[Jefatura] "&amp;$C224,'Cronograma R. Normativo'!$C$5:$C$1000,0),MATCH("[Jefatura] "&amp;$C224,'Cronograma R. Financiero'!$C$5:$C$1000,0),MATCH("[Jefatura] "&amp;$C224,'Cronograma Asistente Técnico'!$C$5:$C$1000,0)),0))</f>
        <v/>
      </c>
      <c r="AI224" s="62">
        <f>IF(AND(AND($D224&lt;&gt;"",$V224="Macro"),$S224=MesCiclo),COUNTIFS($D$5:$D224,$D224,$S$5:$S224,MesCiclo,$V$5:$V224,"Macro"),"")</f>
        <v/>
      </c>
      <c r="AJ224" s="62">
        <f>IF($AI224="","",$D224&amp;"|"&amp;$AI224)</f>
        <v/>
      </c>
      <c r="AK224" s="62">
        <f>IF(AND($D224&lt;&gt;"",$V224="Macro"),$D224&amp;"|"&amp;$C224,"")</f>
        <v/>
      </c>
      <c r="AL224" s="62">
        <f>""</f>
        <v/>
      </c>
      <c r="AM224" s="62">
        <f>IF(N($AL224)&gt;0,INDEX(rIni_ADM,$AL224),IF(ISNUMBER($E224),$E224,""))</f>
        <v/>
      </c>
      <c r="AN224" s="62">
        <f>IF(N($AL224)&gt;0,INDEX(rLim_ADM,$AL224),IF(ISNUMBER($F224),$F224,""))</f>
        <v/>
      </c>
    </row>
    <row r="225">
      <c r="A225" s="56">
        <f>IF(NOT((COUNTA($B225:$D225)+COUNTA($G225:$L225)+COUNTA($Q225))&gt;0),"",IF($V225="Macro",COUNTIFS($V$5:$V225,"Macro",$S$5:$S225,$S225),IF(N($U225)=0,"?",COUNTIFS(INDEX($V$5:$V$1000,1):INDEX($V$5:$V$1000,$U225-4),"Macro",INDEX($S$5:$S$1000,1):INDEX($S$5:$S$1000,$U225-4),INDEX($S$5:$S$1000,$U225-4))&amp;"."&amp;COUNTIFS($U$5:$U225,$U225,$V$5:$V225,"Sub"))))</f>
        <v/>
      </c>
      <c r="B225" s="57" t="n"/>
      <c r="C225" s="58" t="n"/>
      <c r="D225" s="58" t="n"/>
      <c r="E225" s="59" t="n"/>
      <c r="F225" s="59" t="n"/>
      <c r="G225" s="59" t="n"/>
      <c r="H225" s="60" t="n"/>
      <c r="I225" s="60" t="n"/>
      <c r="J225" s="60" t="n"/>
      <c r="K225" s="60" t="n"/>
      <c r="L225" s="60" t="n"/>
      <c r="M225" s="61">
        <f>IF(NOT((COUNTA($B225:$D225)+COUNTA($G225:$L225)+COUNTA($Q225))&gt;0),"",IF(AND($D225&lt;&gt;"",$V225="Macro"),IF(N($AH225)&gt;0,N(CHOOSE(MATCH($D225,ListaPuestos,0),INDEX('Cronograma R. Operacional'!$M$5:$M$1000,$AH225),INDEX('Cronograma R. Normativo'!$M$5:$M$1000,$AH225),INDEX('Cronograma R. Financiero'!$M$5:$M$1000,$AH225),INDEX('Cronograma Asistente Técnico'!$M$5:$M$1000,$AH225))),0),IF(ISNUMBER($G225),1,IF(N($W225)&gt;0,AVERAGEIFS($X$5:$X$1000,$U$5:$U$1000,ROW(),$V$5:$V$1000,"Sub"),$X225))))</f>
        <v/>
      </c>
      <c r="N225" s="56">
        <f>IF(OR($M225="",$V225="Sub"),"",IF($M225&gt;=1,"Completado",IF($M225&gt;0,"En curso","Pendiente")))</f>
        <v/>
      </c>
      <c r="O225" s="56">
        <f>IF(NOT((COUNTA($B225:$D225)+COUNTA($G225:$L225)+COUNTA($Q225))&gt;0),"",IF(AND(AND($D225&lt;&gt;"",$V225="Macro"),N($AH225)&gt;0),CHOOSE(MATCH($D225,ListaPuestos,0),INDEX('Cronograma R. Operacional'!$O$5:$O$1000,$AH225),INDEX('Cronograma R. Normativo'!$O$5:$O$1000,$AH225),INDEX('Cronograma R. Financiero'!$O$5:$O$1000,$AH225),INDEX('Cronograma Asistente Técnico'!$O$5:$O$1000,$AH225))&amp;"",IF(ISNUMBER($G225),IF(AND(ISNUMBER($AN225),$G225&gt;$AN225),"Cumplida con "&amp;($G225-$AN225)&amp;IF($G225-$AN225=1," día"," días")&amp;" de retraso","Cumplida"),IF(N($M225)&gt;=1,"Cumplida",IF(NOT(ISNUMBER($AN225)),"Sin fecha límite",IF($AN225&lt;FechaRef,"Vencida hace "&amp;(FechaRef-$AN225)&amp;IF(FechaRef-$AN225=1," día"," días"),IF($AN225=FechaRef,"Vence hoy",IF($AN225-FechaRef&lt;=DiasAlerta,"Vence en "&amp;($AN225-FechaRef)&amp;IF($AN225-FechaRef=1," día"," días"),"En plazo"))))))))</f>
        <v/>
      </c>
      <c r="P225" s="62">
        <f>IF(NOT((COUNTA($B225:$D225)+COUNTA($G225:$L225)+COUNTA($Q225))&gt;0),"",IF($D225="","Propia",IF($V225&lt;&gt;"Macro","Solo se delegan macroactividades",IF(N($AH225)&gt;0,"✔ Recibida por "&amp;$D225,"⚠ "&amp;$D225&amp;" aún no la agrega"))))</f>
        <v/>
      </c>
      <c r="Q225" s="58" t="n"/>
      <c r="R225" s="63">
        <f>IF(NOT((COUNTA($B225:$D225)+COUNTA($G225:$L225)+COUNTA($Q225))&gt;0),"",IF((IF($C225="","Falta el nombre de la actividad"&amp;" · ","")&amp;IF(AND($V225="Sub",N($U225)=0),"Subactividad sin macroactividad arriba"&amp;" · ","")&amp;IF($AM225="","Sin fecha de inicio"&amp;" · ","")&amp;IF($AN225="","Sin fecha límite"&amp;" · ","")&amp;IF(AND(LEFT($C225,11)="[Jefatura] ",N($AL225)=0),"No se encuentra en la hoja de la jefatura (elíjala de nuevo en la lista)"&amp;" · ","")&amp;IF(OR(AND($E225&lt;&gt;"",NOT(ISNUMBER($E225))),AND($F225&lt;&gt;"",NOT(ISNUMBER($F225))),AND($G225&lt;&gt;"",NOT(ISNUMBER($G225)))),"Fecha no válida"&amp;" · ","")&amp;IF(AND(ISNUMBER($AM225),ISNUMBER($AN225),$AM225&gt;$AN225),"Inicio posterior a fecha límite"&amp;" · ","")&amp;IF(AND($V225="Macro",$H225&lt;&gt;"",OR(NOT(ISNUMBER($H225)),$H225&lt;0,$H225&gt;1)),"Peso fuera de rango"&amp;" · ","")&amp;IF(AND($V225="Sub",$H225&lt;&gt;""),"Las subactividades no llevan peso (valen igual dentro de su macroactividad)"&amp;" · ","")&amp;IF(AND(N($W225)&gt;0,COUNT($I225:$L225)&gt;0),"Con subactividades: deje vacías las semanas (se calculan solas)"&amp;" · ","")&amp;IF((COUNTIF($I225:$L225,"&gt;1")+COUNTIF($I225:$L225,"&lt;0")+COUNTA($I225:$L225)-COUNT($I225:$L225))&gt;0,"Avance fuera de rango 0-100%"&amp;" · ","")&amp;IF(OR(AND($J225&lt;&gt;"",$J225&lt;$I225),AND($K225&lt;&gt;"",$K225&lt;MAX($I225:$J225)),AND($L225&lt;&gt;"",$L225&lt;MAX($I225:$K225))),"Avance semanal decreciente"&amp;" · ","")&amp;IF(AND(ISNUMBER($AN225),$AN225&lt;FechaRef,IF($V225="Sub",N($X225),N($M225))&lt;1),"Vencida"&amp;" · ","")&amp;IF(AND(ObsObligatoria="Sí",ISNUMBER($AN225),$AN225&lt;FechaRef,IF($V225="Sub",N($X225),N($M225))&lt;1,$Q225=""),"Vencida sin observación"&amp;" · ",""))="","✔ OK","⚠ "&amp;LEFT(IF($C225="","Falta el nombre de la actividad"&amp;" · ","")&amp;IF(AND($V225="Sub",N($U225)=0),"Subactividad sin macroactividad arriba"&amp;" · ","")&amp;IF($AM225="","Sin fecha de inicio"&amp;" · ","")&amp;IF($AN225="","Sin fecha límite"&amp;" · ","")&amp;IF(AND(LEFT($C225,11)="[Jefatura] ",N($AL225)=0),"No se encuentra en la hoja de la jefatura (elíjala de nuevo en la lista)"&amp;" · ","")&amp;IF(OR(AND($E225&lt;&gt;"",NOT(ISNUMBER($E225))),AND($F225&lt;&gt;"",NOT(ISNUMBER($F225))),AND($G225&lt;&gt;"",NOT(ISNUMBER($G225)))),"Fecha no válida"&amp;" · ","")&amp;IF(AND(ISNUMBER($AM225),ISNUMBER($AN225),$AM225&gt;$AN225),"Inicio posterior a fecha límite"&amp;" · ","")&amp;IF(AND($V225="Macro",$H225&lt;&gt;"",OR(NOT(ISNUMBER($H225)),$H225&lt;0,$H225&gt;1)),"Peso fuera de rango"&amp;" · ","")&amp;IF(AND($V225="Sub",$H225&lt;&gt;""),"Las subactividades no llevan peso (valen igual dentro de su macroactividad)"&amp;" · ","")&amp;IF(AND(N($W225)&gt;0,COUNT($I225:$L225)&gt;0),"Con subactividades: deje vacías las semanas (se calculan solas)"&amp;" · ","")&amp;IF((COUNTIF($I225:$L225,"&gt;1")+COUNTIF($I225:$L225,"&lt;0")+COUNTA($I225:$L225)-COUNT($I225:$L225))&gt;0,"Avance fuera de rango 0-100%"&amp;" · ","")&amp;IF(OR(AND($J225&lt;&gt;"",$J225&lt;$I225),AND($K225&lt;&gt;"",$K225&lt;MAX($I225:$J225)),AND($L225&lt;&gt;"",$L225&lt;MAX($I225:$K225))),"Avance semanal decreciente"&amp;" · ","")&amp;IF(AND(ISNUMBER($AN225),$AN225&lt;FechaRef,IF($V225="Sub",N($X225),N($M225))&lt;1),"Vencida"&amp;" · ","")&amp;IF(AND(ObsObligatoria="Sí",ISNUMBER($AN225),$AN225&lt;FechaRef,IF($V225="Sub",N($X225),N($M225))&lt;1,$Q225=""),"Vencida sin observación"&amp;" · ",""),LEN(IF($C225="","Falta el nombre de la actividad"&amp;" · ","")&amp;IF(AND($V225="Sub",N($U225)=0),"Subactividad sin macroactividad arriba"&amp;" · ","")&amp;IF($AM225="","Sin fecha de inicio"&amp;" · ","")&amp;IF($AN225="","Sin fecha límite"&amp;" · ","")&amp;IF(AND(LEFT($C225,11)="[Jefatura] ",N($AL225)=0),"No se encuentra en la hoja de la jefatura (elíjala de nuevo en la lista)"&amp;" · ","")&amp;IF(OR(AND($E225&lt;&gt;"",NOT(ISNUMBER($E225))),AND($F225&lt;&gt;"",NOT(ISNUMBER($F225))),AND($G225&lt;&gt;"",NOT(ISNUMBER($G225)))),"Fecha no válida"&amp;" · ","")&amp;IF(AND(ISNUMBER($AM225),ISNUMBER($AN225),$AM225&gt;$AN225),"Inicio posterior a fecha límite"&amp;" · ","")&amp;IF(AND($V225="Macro",$H225&lt;&gt;"",OR(NOT(ISNUMBER($H225)),$H225&lt;0,$H225&gt;1)),"Peso fuera de rango"&amp;" · ","")&amp;IF(AND($V225="Sub",$H225&lt;&gt;""),"Las subactividades no llevan peso (valen igual dentro de su macroactividad)"&amp;" · ","")&amp;IF(AND(N($W225)&gt;0,COUNT($I225:$L225)&gt;0),"Con subactividades: deje vacías las semanas (se calculan solas)"&amp;" · ","")&amp;IF((COUNTIF($I225:$L225,"&gt;1")+COUNTIF($I225:$L225,"&lt;0")+COUNTA($I225:$L225)-COUNT($I225:$L225))&gt;0,"Avance fuera de rango 0-100%"&amp;" · ","")&amp;IF(OR(AND($J225&lt;&gt;"",$J225&lt;$I225),AND($K225&lt;&gt;"",$K225&lt;MAX($I225:$J225)),AND($L225&lt;&gt;"",$L225&lt;MAX($I225:$K225))),"Avance semanal decreciente"&amp;" · ","")&amp;IF(AND(ISNUMBER($AN225),$AN225&lt;FechaRef,IF($V225="Sub",N($X225),N($M225))&lt;1),"Vencida"&amp;" · ","")&amp;IF(AND(ObsObligatoria="Sí",ISNUMBER($AN225),$AN225&lt;FechaRef,IF($V225="Sub",N($X225),N($M225))&lt;1,$Q225=""),"Vencida sin observación"&amp;" · ",""))-3)))</f>
        <v/>
      </c>
      <c r="S225" s="64">
        <f>IF(NOT((COUNTA($B225:$D225)+COUNTA($G225:$L225)+COUNTA($Q225))&gt;0),"",IF(AND($V225="Sub",N($U225)&gt;0),IF(ISNUMBER(INDEX($AM$5:$AM$1000,$U225-4)),DATE(YEAR(INDEX($AM$5:$AM$1000,$U225-4)),MONTH(INDEX($AM$5:$AM$1000,$U225-4)),1),IF(ISNUMBER(INDEX($AN$5:$AN$1000,$U225-4)),DATE(YEAR(INDEX($AN$5:$AN$1000,$U225-4)),MONTH(INDEX($AN$5:$AN$1000,$U225-4)),1),MesCiclo)),IF(ISNUMBER($AM225),DATE(YEAR($AM225),MONTH($AM225),1),IF(ISNUMBER($AN225),DATE(YEAR($AN225),MONTH($AN225),1),MesCiclo))))</f>
        <v/>
      </c>
      <c r="T225" s="62">
        <f>IF(OR($S225="",$S225&lt;&gt;MesCiclo,$V225&lt;&gt;"Macro"),"",COUNTIFS($S$5:$S225,MesCiclo,$V$5:$V225,"Macro"))</f>
        <v/>
      </c>
      <c r="U225" s="62">
        <f>IF($V225="","",IF($V225="Macro",ROW(),IFERROR(LOOKUP(2,1/($V$5:$V225="Macro"),ROW($V$5:$V225)),0)))</f>
        <v/>
      </c>
      <c r="V225" s="62">
        <f>IF(NOT((COUNTA($B225:$D225)+COUNTA($G225:$L225)+COUNTA($Q225))&gt;0),"",IF($B225="Subactividad","Sub","Macro"))</f>
        <v/>
      </c>
      <c r="W225" s="62">
        <f>IF($V225="Macro",COUNTIFS($U$5:$U$1000,ROW(),$V$5:$V$1000,"Sub"),"")</f>
        <v/>
      </c>
      <c r="X225" s="62">
        <f>IF($V225="","",IF(ISNUMBER($G225),1,IFERROR(LOOKUP(2,1/($I225:$L225&lt;&gt;""),$I225:$L225),0)))</f>
        <v/>
      </c>
      <c r="Y225" s="62">
        <f>IF($V225="","",IF(AND(ISNUMBER($G225),$G225&lt;=IF($S225=MesCiclo,InicioCiclo,$S225+MOD(2-WEEKDAY($S225),7))+6),1,IF(ISNUMBER($I225),$I225,0)))</f>
        <v/>
      </c>
      <c r="Z225" s="62">
        <f>IF($V225="","",IF(AND(ISNUMBER($G225),$G225&lt;=IF($S225=MesCiclo,InicioCiclo,$S225+MOD(2-WEEKDAY($S225),7))+13),1,IF(ISNUMBER($J225),$J225,$Y225)))</f>
        <v/>
      </c>
      <c r="AA225" s="62">
        <f>IF($V225="","",IF(AND(ISNUMBER($G225),$G225&lt;=IF($S225=MesCiclo,InicioCiclo,$S225+MOD(2-WEEKDAY($S225),7))+20),1,IF(ISNUMBER($K225),$K225,$Z225)))</f>
        <v/>
      </c>
      <c r="AB225" s="62">
        <f>IF($V225="","",IF(AND(ISNUMBER($G225),$G225&lt;=IF($S225=MesCiclo,InicioCiclo,$S225+MOD(2-WEEKDAY($S225),7))+27),1,IF(ISNUMBER($L225),$L225,$AA225)))</f>
        <v/>
      </c>
      <c r="AC225" s="62">
        <f>IF($V225="","",IF(AND(ISNUMBER($G225),$G225&lt;=IF($S225=MesCiclo,InicioCiclo,$S225+MOD(2-WEEKDAY($S225),7))+6),1,IF(N($W225)&gt;0,AVERAGEIFS($Y$5:$Y$1000,$U$5:$U$1000,ROW(),$V$5:$V$1000,"Sub"),$Y225)))</f>
        <v/>
      </c>
      <c r="AD225" s="62">
        <f>IF($V225="","",IF(AND(ISNUMBER($G225),$G225&lt;=IF($S225=MesCiclo,InicioCiclo,$S225+MOD(2-WEEKDAY($S225),7))+13),1,IF(N($W225)&gt;0,AVERAGEIFS($Z$5:$Z$1000,$U$5:$U$1000,ROW(),$V$5:$V$1000,"Sub"),$Z225)))</f>
        <v/>
      </c>
      <c r="AE225" s="62">
        <f>IF($V225="","",IF(AND(ISNUMBER($G225),$G225&lt;=IF($S225=MesCiclo,InicioCiclo,$S225+MOD(2-WEEKDAY($S225),7))+20),1,IF(N($W225)&gt;0,AVERAGEIFS($AA$5:$AA$1000,$U$5:$U$1000,ROW(),$V$5:$V$1000,"Sub"),$AA225)))</f>
        <v/>
      </c>
      <c r="AF225" s="62">
        <f>IF($V225="","",IF(AND(ISNUMBER($G225),$G225&lt;=IF($S225=MesCiclo,InicioCiclo,$S225+MOD(2-WEEKDAY($S225),7))+27),1,IF(N($W225)&gt;0,AVERAGEIFS($AB$5:$AB$1000,$U$5:$U$1000,ROW(),$V$5:$V$1000,"Sub"),$AB225)))</f>
        <v/>
      </c>
      <c r="AG225" s="62">
        <f>IF($V225&lt;&gt;"Macro","",IF(COUNTIFS($S$5:$S$1000,$S225,$V$5:$V$1000,"Macro",$H$5:$H$1000,"&gt;0")=0,1/COUNTIFS($S$5:$S$1000,$S225,$V$5:$V$1000,"Macro"),IF(AND(ISNUMBER($H225),N($H225)&gt;0),$H225,SUMIFS($H$5:$H$1000,$S$5:$S$1000,$S225,$V$5:$V$1000,"Macro")/COUNTIFS($S$5:$S$1000,$S225,$V$5:$V$1000,"Macro",$H$5:$H$1000,"&gt;0"))/(COUNTIFS($S$5:$S$1000,$S225,$V$5:$V$1000,"Macro")*SUMIFS($H$5:$H$1000,$S$5:$S$1000,$S225,$V$5:$V$1000,"Macro")/COUNTIFS($S$5:$S$1000,$S225,$V$5:$V$1000,"Macro",$H$5:$H$1000,"&gt;0"))))</f>
        <v/>
      </c>
      <c r="AH225" s="62">
        <f>IF(NOT(AND($D225&lt;&gt;"",$V225="Macro")),"",IFERROR(CHOOSE(MATCH($D225,ListaPuestos,0),MATCH("[Jefatura] "&amp;$C225,'Cronograma R. Operacional'!$C$5:$C$1000,0),MATCH("[Jefatura] "&amp;$C225,'Cronograma R. Normativo'!$C$5:$C$1000,0),MATCH("[Jefatura] "&amp;$C225,'Cronograma R. Financiero'!$C$5:$C$1000,0),MATCH("[Jefatura] "&amp;$C225,'Cronograma Asistente Técnico'!$C$5:$C$1000,0)),0))</f>
        <v/>
      </c>
      <c r="AI225" s="62">
        <f>IF(AND(AND($D225&lt;&gt;"",$V225="Macro"),$S225=MesCiclo),COUNTIFS($D$5:$D225,$D225,$S$5:$S225,MesCiclo,$V$5:$V225,"Macro"),"")</f>
        <v/>
      </c>
      <c r="AJ225" s="62">
        <f>IF($AI225="","",$D225&amp;"|"&amp;$AI225)</f>
        <v/>
      </c>
      <c r="AK225" s="62">
        <f>IF(AND($D225&lt;&gt;"",$V225="Macro"),$D225&amp;"|"&amp;$C225,"")</f>
        <v/>
      </c>
      <c r="AL225" s="62">
        <f>""</f>
        <v/>
      </c>
      <c r="AM225" s="62">
        <f>IF(N($AL225)&gt;0,INDEX(rIni_ADM,$AL225),IF(ISNUMBER($E225),$E225,""))</f>
        <v/>
      </c>
      <c r="AN225" s="62">
        <f>IF(N($AL225)&gt;0,INDEX(rLim_ADM,$AL225),IF(ISNUMBER($F225),$F225,""))</f>
        <v/>
      </c>
    </row>
    <row r="226">
      <c r="A226" s="56">
        <f>IF(NOT((COUNTA($B226:$D226)+COUNTA($G226:$L226)+COUNTA($Q226))&gt;0),"",IF($V226="Macro",COUNTIFS($V$5:$V226,"Macro",$S$5:$S226,$S226),IF(N($U226)=0,"?",COUNTIFS(INDEX($V$5:$V$1000,1):INDEX($V$5:$V$1000,$U226-4),"Macro",INDEX($S$5:$S$1000,1):INDEX($S$5:$S$1000,$U226-4),INDEX($S$5:$S$1000,$U226-4))&amp;"."&amp;COUNTIFS($U$5:$U226,$U226,$V$5:$V226,"Sub"))))</f>
        <v/>
      </c>
      <c r="B226" s="57" t="n"/>
      <c r="C226" s="58" t="n"/>
      <c r="D226" s="58" t="n"/>
      <c r="E226" s="59" t="n"/>
      <c r="F226" s="59" t="n"/>
      <c r="G226" s="59" t="n"/>
      <c r="H226" s="60" t="n"/>
      <c r="I226" s="60" t="n"/>
      <c r="J226" s="60" t="n"/>
      <c r="K226" s="60" t="n"/>
      <c r="L226" s="60" t="n"/>
      <c r="M226" s="61">
        <f>IF(NOT((COUNTA($B226:$D226)+COUNTA($G226:$L226)+COUNTA($Q226))&gt;0),"",IF(AND($D226&lt;&gt;"",$V226="Macro"),IF(N($AH226)&gt;0,N(CHOOSE(MATCH($D226,ListaPuestos,0),INDEX('Cronograma R. Operacional'!$M$5:$M$1000,$AH226),INDEX('Cronograma R. Normativo'!$M$5:$M$1000,$AH226),INDEX('Cronograma R. Financiero'!$M$5:$M$1000,$AH226),INDEX('Cronograma Asistente Técnico'!$M$5:$M$1000,$AH226))),0),IF(ISNUMBER($G226),1,IF(N($W226)&gt;0,AVERAGEIFS($X$5:$X$1000,$U$5:$U$1000,ROW(),$V$5:$V$1000,"Sub"),$X226))))</f>
        <v/>
      </c>
      <c r="N226" s="56">
        <f>IF(OR($M226="",$V226="Sub"),"",IF($M226&gt;=1,"Completado",IF($M226&gt;0,"En curso","Pendiente")))</f>
        <v/>
      </c>
      <c r="O226" s="56">
        <f>IF(NOT((COUNTA($B226:$D226)+COUNTA($G226:$L226)+COUNTA($Q226))&gt;0),"",IF(AND(AND($D226&lt;&gt;"",$V226="Macro"),N($AH226)&gt;0),CHOOSE(MATCH($D226,ListaPuestos,0),INDEX('Cronograma R. Operacional'!$O$5:$O$1000,$AH226),INDEX('Cronograma R. Normativo'!$O$5:$O$1000,$AH226),INDEX('Cronograma R. Financiero'!$O$5:$O$1000,$AH226),INDEX('Cronograma Asistente Técnico'!$O$5:$O$1000,$AH226))&amp;"",IF(ISNUMBER($G226),IF(AND(ISNUMBER($AN226),$G226&gt;$AN226),"Cumplida con "&amp;($G226-$AN226)&amp;IF($G226-$AN226=1," día"," días")&amp;" de retraso","Cumplida"),IF(N($M226)&gt;=1,"Cumplida",IF(NOT(ISNUMBER($AN226)),"Sin fecha límite",IF($AN226&lt;FechaRef,"Vencida hace "&amp;(FechaRef-$AN226)&amp;IF(FechaRef-$AN226=1," día"," días"),IF($AN226=FechaRef,"Vence hoy",IF($AN226-FechaRef&lt;=DiasAlerta,"Vence en "&amp;($AN226-FechaRef)&amp;IF($AN226-FechaRef=1," día"," días"),"En plazo"))))))))</f>
        <v/>
      </c>
      <c r="P226" s="62">
        <f>IF(NOT((COUNTA($B226:$D226)+COUNTA($G226:$L226)+COUNTA($Q226))&gt;0),"",IF($D226="","Propia",IF($V226&lt;&gt;"Macro","Solo se delegan macroactividades",IF(N($AH226)&gt;0,"✔ Recibida por "&amp;$D226,"⚠ "&amp;$D226&amp;" aún no la agrega"))))</f>
        <v/>
      </c>
      <c r="Q226" s="58" t="n"/>
      <c r="R226" s="63">
        <f>IF(NOT((COUNTA($B226:$D226)+COUNTA($G226:$L226)+COUNTA($Q226))&gt;0),"",IF((IF($C226="","Falta el nombre de la actividad"&amp;" · ","")&amp;IF(AND($V226="Sub",N($U226)=0),"Subactividad sin macroactividad arriba"&amp;" · ","")&amp;IF($AM226="","Sin fecha de inicio"&amp;" · ","")&amp;IF($AN226="","Sin fecha límite"&amp;" · ","")&amp;IF(AND(LEFT($C226,11)="[Jefatura] ",N($AL226)=0),"No se encuentra en la hoja de la jefatura (elíjala de nuevo en la lista)"&amp;" · ","")&amp;IF(OR(AND($E226&lt;&gt;"",NOT(ISNUMBER($E226))),AND($F226&lt;&gt;"",NOT(ISNUMBER($F226))),AND($G226&lt;&gt;"",NOT(ISNUMBER($G226)))),"Fecha no válida"&amp;" · ","")&amp;IF(AND(ISNUMBER($AM226),ISNUMBER($AN226),$AM226&gt;$AN226),"Inicio posterior a fecha límite"&amp;" · ","")&amp;IF(AND($V226="Macro",$H226&lt;&gt;"",OR(NOT(ISNUMBER($H226)),$H226&lt;0,$H226&gt;1)),"Peso fuera de rango"&amp;" · ","")&amp;IF(AND($V226="Sub",$H226&lt;&gt;""),"Las subactividades no llevan peso (valen igual dentro de su macroactividad)"&amp;" · ","")&amp;IF(AND(N($W226)&gt;0,COUNT($I226:$L226)&gt;0),"Con subactividades: deje vacías las semanas (se calculan solas)"&amp;" · ","")&amp;IF((COUNTIF($I226:$L226,"&gt;1")+COUNTIF($I226:$L226,"&lt;0")+COUNTA($I226:$L226)-COUNT($I226:$L226))&gt;0,"Avance fuera de rango 0-100%"&amp;" · ","")&amp;IF(OR(AND($J226&lt;&gt;"",$J226&lt;$I226),AND($K226&lt;&gt;"",$K226&lt;MAX($I226:$J226)),AND($L226&lt;&gt;"",$L226&lt;MAX($I226:$K226))),"Avance semanal decreciente"&amp;" · ","")&amp;IF(AND(ISNUMBER($AN226),$AN226&lt;FechaRef,IF($V226="Sub",N($X226),N($M226))&lt;1),"Vencida"&amp;" · ","")&amp;IF(AND(ObsObligatoria="Sí",ISNUMBER($AN226),$AN226&lt;FechaRef,IF($V226="Sub",N($X226),N($M226))&lt;1,$Q226=""),"Vencida sin observación"&amp;" · ",""))="","✔ OK","⚠ "&amp;LEFT(IF($C226="","Falta el nombre de la actividad"&amp;" · ","")&amp;IF(AND($V226="Sub",N($U226)=0),"Subactividad sin macroactividad arriba"&amp;" · ","")&amp;IF($AM226="","Sin fecha de inicio"&amp;" · ","")&amp;IF($AN226="","Sin fecha límite"&amp;" · ","")&amp;IF(AND(LEFT($C226,11)="[Jefatura] ",N($AL226)=0),"No se encuentra en la hoja de la jefatura (elíjala de nuevo en la lista)"&amp;" · ","")&amp;IF(OR(AND($E226&lt;&gt;"",NOT(ISNUMBER($E226))),AND($F226&lt;&gt;"",NOT(ISNUMBER($F226))),AND($G226&lt;&gt;"",NOT(ISNUMBER($G226)))),"Fecha no válida"&amp;" · ","")&amp;IF(AND(ISNUMBER($AM226),ISNUMBER($AN226),$AM226&gt;$AN226),"Inicio posterior a fecha límite"&amp;" · ","")&amp;IF(AND($V226="Macro",$H226&lt;&gt;"",OR(NOT(ISNUMBER($H226)),$H226&lt;0,$H226&gt;1)),"Peso fuera de rango"&amp;" · ","")&amp;IF(AND($V226="Sub",$H226&lt;&gt;""),"Las subactividades no llevan peso (valen igual dentro de su macroactividad)"&amp;" · ","")&amp;IF(AND(N($W226)&gt;0,COUNT($I226:$L226)&gt;0),"Con subactividades: deje vacías las semanas (se calculan solas)"&amp;" · ","")&amp;IF((COUNTIF($I226:$L226,"&gt;1")+COUNTIF($I226:$L226,"&lt;0")+COUNTA($I226:$L226)-COUNT($I226:$L226))&gt;0,"Avance fuera de rango 0-100%"&amp;" · ","")&amp;IF(OR(AND($J226&lt;&gt;"",$J226&lt;$I226),AND($K226&lt;&gt;"",$K226&lt;MAX($I226:$J226)),AND($L226&lt;&gt;"",$L226&lt;MAX($I226:$K226))),"Avance semanal decreciente"&amp;" · ","")&amp;IF(AND(ISNUMBER($AN226),$AN226&lt;FechaRef,IF($V226="Sub",N($X226),N($M226))&lt;1),"Vencida"&amp;" · ","")&amp;IF(AND(ObsObligatoria="Sí",ISNUMBER($AN226),$AN226&lt;FechaRef,IF($V226="Sub",N($X226),N($M226))&lt;1,$Q226=""),"Vencida sin observación"&amp;" · ",""),LEN(IF($C226="","Falta el nombre de la actividad"&amp;" · ","")&amp;IF(AND($V226="Sub",N($U226)=0),"Subactividad sin macroactividad arriba"&amp;" · ","")&amp;IF($AM226="","Sin fecha de inicio"&amp;" · ","")&amp;IF($AN226="","Sin fecha límite"&amp;" · ","")&amp;IF(AND(LEFT($C226,11)="[Jefatura] ",N($AL226)=0),"No se encuentra en la hoja de la jefatura (elíjala de nuevo en la lista)"&amp;" · ","")&amp;IF(OR(AND($E226&lt;&gt;"",NOT(ISNUMBER($E226))),AND($F226&lt;&gt;"",NOT(ISNUMBER($F226))),AND($G226&lt;&gt;"",NOT(ISNUMBER($G226)))),"Fecha no válida"&amp;" · ","")&amp;IF(AND(ISNUMBER($AM226),ISNUMBER($AN226),$AM226&gt;$AN226),"Inicio posterior a fecha límite"&amp;" · ","")&amp;IF(AND($V226="Macro",$H226&lt;&gt;"",OR(NOT(ISNUMBER($H226)),$H226&lt;0,$H226&gt;1)),"Peso fuera de rango"&amp;" · ","")&amp;IF(AND($V226="Sub",$H226&lt;&gt;""),"Las subactividades no llevan peso (valen igual dentro de su macroactividad)"&amp;" · ","")&amp;IF(AND(N($W226)&gt;0,COUNT($I226:$L226)&gt;0),"Con subactividades: deje vacías las semanas (se calculan solas)"&amp;" · ","")&amp;IF((COUNTIF($I226:$L226,"&gt;1")+COUNTIF($I226:$L226,"&lt;0")+COUNTA($I226:$L226)-COUNT($I226:$L226))&gt;0,"Avance fuera de rango 0-100%"&amp;" · ","")&amp;IF(OR(AND($J226&lt;&gt;"",$J226&lt;$I226),AND($K226&lt;&gt;"",$K226&lt;MAX($I226:$J226)),AND($L226&lt;&gt;"",$L226&lt;MAX($I226:$K226))),"Avance semanal decreciente"&amp;" · ","")&amp;IF(AND(ISNUMBER($AN226),$AN226&lt;FechaRef,IF($V226="Sub",N($X226),N($M226))&lt;1),"Vencida"&amp;" · ","")&amp;IF(AND(ObsObligatoria="Sí",ISNUMBER($AN226),$AN226&lt;FechaRef,IF($V226="Sub",N($X226),N($M226))&lt;1,$Q226=""),"Vencida sin observación"&amp;" · ",""))-3)))</f>
        <v/>
      </c>
      <c r="S226" s="64">
        <f>IF(NOT((COUNTA($B226:$D226)+COUNTA($G226:$L226)+COUNTA($Q226))&gt;0),"",IF(AND($V226="Sub",N($U226)&gt;0),IF(ISNUMBER(INDEX($AM$5:$AM$1000,$U226-4)),DATE(YEAR(INDEX($AM$5:$AM$1000,$U226-4)),MONTH(INDEX($AM$5:$AM$1000,$U226-4)),1),IF(ISNUMBER(INDEX($AN$5:$AN$1000,$U226-4)),DATE(YEAR(INDEX($AN$5:$AN$1000,$U226-4)),MONTH(INDEX($AN$5:$AN$1000,$U226-4)),1),MesCiclo)),IF(ISNUMBER($AM226),DATE(YEAR($AM226),MONTH($AM226),1),IF(ISNUMBER($AN226),DATE(YEAR($AN226),MONTH($AN226),1),MesCiclo))))</f>
        <v/>
      </c>
      <c r="T226" s="62">
        <f>IF(OR($S226="",$S226&lt;&gt;MesCiclo,$V226&lt;&gt;"Macro"),"",COUNTIFS($S$5:$S226,MesCiclo,$V$5:$V226,"Macro"))</f>
        <v/>
      </c>
      <c r="U226" s="62">
        <f>IF($V226="","",IF($V226="Macro",ROW(),IFERROR(LOOKUP(2,1/($V$5:$V226="Macro"),ROW($V$5:$V226)),0)))</f>
        <v/>
      </c>
      <c r="V226" s="62">
        <f>IF(NOT((COUNTA($B226:$D226)+COUNTA($G226:$L226)+COUNTA($Q226))&gt;0),"",IF($B226="Subactividad","Sub","Macro"))</f>
        <v/>
      </c>
      <c r="W226" s="62">
        <f>IF($V226="Macro",COUNTIFS($U$5:$U$1000,ROW(),$V$5:$V$1000,"Sub"),"")</f>
        <v/>
      </c>
      <c r="X226" s="62">
        <f>IF($V226="","",IF(ISNUMBER($G226),1,IFERROR(LOOKUP(2,1/($I226:$L226&lt;&gt;""),$I226:$L226),0)))</f>
        <v/>
      </c>
      <c r="Y226" s="62">
        <f>IF($V226="","",IF(AND(ISNUMBER($G226),$G226&lt;=IF($S226=MesCiclo,InicioCiclo,$S226+MOD(2-WEEKDAY($S226),7))+6),1,IF(ISNUMBER($I226),$I226,0)))</f>
        <v/>
      </c>
      <c r="Z226" s="62">
        <f>IF($V226="","",IF(AND(ISNUMBER($G226),$G226&lt;=IF($S226=MesCiclo,InicioCiclo,$S226+MOD(2-WEEKDAY($S226),7))+13),1,IF(ISNUMBER($J226),$J226,$Y226)))</f>
        <v/>
      </c>
      <c r="AA226" s="62">
        <f>IF($V226="","",IF(AND(ISNUMBER($G226),$G226&lt;=IF($S226=MesCiclo,InicioCiclo,$S226+MOD(2-WEEKDAY($S226),7))+20),1,IF(ISNUMBER($K226),$K226,$Z226)))</f>
        <v/>
      </c>
      <c r="AB226" s="62">
        <f>IF($V226="","",IF(AND(ISNUMBER($G226),$G226&lt;=IF($S226=MesCiclo,InicioCiclo,$S226+MOD(2-WEEKDAY($S226),7))+27),1,IF(ISNUMBER($L226),$L226,$AA226)))</f>
        <v/>
      </c>
      <c r="AC226" s="62">
        <f>IF($V226="","",IF(AND(ISNUMBER($G226),$G226&lt;=IF($S226=MesCiclo,InicioCiclo,$S226+MOD(2-WEEKDAY($S226),7))+6),1,IF(N($W226)&gt;0,AVERAGEIFS($Y$5:$Y$1000,$U$5:$U$1000,ROW(),$V$5:$V$1000,"Sub"),$Y226)))</f>
        <v/>
      </c>
      <c r="AD226" s="62">
        <f>IF($V226="","",IF(AND(ISNUMBER($G226),$G226&lt;=IF($S226=MesCiclo,InicioCiclo,$S226+MOD(2-WEEKDAY($S226),7))+13),1,IF(N($W226)&gt;0,AVERAGEIFS($Z$5:$Z$1000,$U$5:$U$1000,ROW(),$V$5:$V$1000,"Sub"),$Z226)))</f>
        <v/>
      </c>
      <c r="AE226" s="62">
        <f>IF($V226="","",IF(AND(ISNUMBER($G226),$G226&lt;=IF($S226=MesCiclo,InicioCiclo,$S226+MOD(2-WEEKDAY($S226),7))+20),1,IF(N($W226)&gt;0,AVERAGEIFS($AA$5:$AA$1000,$U$5:$U$1000,ROW(),$V$5:$V$1000,"Sub"),$AA226)))</f>
        <v/>
      </c>
      <c r="AF226" s="62">
        <f>IF($V226="","",IF(AND(ISNUMBER($G226),$G226&lt;=IF($S226=MesCiclo,InicioCiclo,$S226+MOD(2-WEEKDAY($S226),7))+27),1,IF(N($W226)&gt;0,AVERAGEIFS($AB$5:$AB$1000,$U$5:$U$1000,ROW(),$V$5:$V$1000,"Sub"),$AB226)))</f>
        <v/>
      </c>
      <c r="AG226" s="62">
        <f>IF($V226&lt;&gt;"Macro","",IF(COUNTIFS($S$5:$S$1000,$S226,$V$5:$V$1000,"Macro",$H$5:$H$1000,"&gt;0")=0,1/COUNTIFS($S$5:$S$1000,$S226,$V$5:$V$1000,"Macro"),IF(AND(ISNUMBER($H226),N($H226)&gt;0),$H226,SUMIFS($H$5:$H$1000,$S$5:$S$1000,$S226,$V$5:$V$1000,"Macro")/COUNTIFS($S$5:$S$1000,$S226,$V$5:$V$1000,"Macro",$H$5:$H$1000,"&gt;0"))/(COUNTIFS($S$5:$S$1000,$S226,$V$5:$V$1000,"Macro")*SUMIFS($H$5:$H$1000,$S$5:$S$1000,$S226,$V$5:$V$1000,"Macro")/COUNTIFS($S$5:$S$1000,$S226,$V$5:$V$1000,"Macro",$H$5:$H$1000,"&gt;0"))))</f>
        <v/>
      </c>
      <c r="AH226" s="62">
        <f>IF(NOT(AND($D226&lt;&gt;"",$V226="Macro")),"",IFERROR(CHOOSE(MATCH($D226,ListaPuestos,0),MATCH("[Jefatura] "&amp;$C226,'Cronograma R. Operacional'!$C$5:$C$1000,0),MATCH("[Jefatura] "&amp;$C226,'Cronograma R. Normativo'!$C$5:$C$1000,0),MATCH("[Jefatura] "&amp;$C226,'Cronograma R. Financiero'!$C$5:$C$1000,0),MATCH("[Jefatura] "&amp;$C226,'Cronograma Asistente Técnico'!$C$5:$C$1000,0)),0))</f>
        <v/>
      </c>
      <c r="AI226" s="62">
        <f>IF(AND(AND($D226&lt;&gt;"",$V226="Macro"),$S226=MesCiclo),COUNTIFS($D$5:$D226,$D226,$S$5:$S226,MesCiclo,$V$5:$V226,"Macro"),"")</f>
        <v/>
      </c>
      <c r="AJ226" s="62">
        <f>IF($AI226="","",$D226&amp;"|"&amp;$AI226)</f>
        <v/>
      </c>
      <c r="AK226" s="62">
        <f>IF(AND($D226&lt;&gt;"",$V226="Macro"),$D226&amp;"|"&amp;$C226,"")</f>
        <v/>
      </c>
      <c r="AL226" s="62">
        <f>""</f>
        <v/>
      </c>
      <c r="AM226" s="62">
        <f>IF(N($AL226)&gt;0,INDEX(rIni_ADM,$AL226),IF(ISNUMBER($E226),$E226,""))</f>
        <v/>
      </c>
      <c r="AN226" s="62">
        <f>IF(N($AL226)&gt;0,INDEX(rLim_ADM,$AL226),IF(ISNUMBER($F226),$F226,""))</f>
        <v/>
      </c>
    </row>
    <row r="227">
      <c r="A227" s="56">
        <f>IF(NOT((COUNTA($B227:$D227)+COUNTA($G227:$L227)+COUNTA($Q227))&gt;0),"",IF($V227="Macro",COUNTIFS($V$5:$V227,"Macro",$S$5:$S227,$S227),IF(N($U227)=0,"?",COUNTIFS(INDEX($V$5:$V$1000,1):INDEX($V$5:$V$1000,$U227-4),"Macro",INDEX($S$5:$S$1000,1):INDEX($S$5:$S$1000,$U227-4),INDEX($S$5:$S$1000,$U227-4))&amp;"."&amp;COUNTIFS($U$5:$U227,$U227,$V$5:$V227,"Sub"))))</f>
        <v/>
      </c>
      <c r="B227" s="57" t="n"/>
      <c r="C227" s="58" t="n"/>
      <c r="D227" s="58" t="n"/>
      <c r="E227" s="59" t="n"/>
      <c r="F227" s="59" t="n"/>
      <c r="G227" s="59" t="n"/>
      <c r="H227" s="60" t="n"/>
      <c r="I227" s="60" t="n"/>
      <c r="J227" s="60" t="n"/>
      <c r="K227" s="60" t="n"/>
      <c r="L227" s="60" t="n"/>
      <c r="M227" s="61">
        <f>IF(NOT((COUNTA($B227:$D227)+COUNTA($G227:$L227)+COUNTA($Q227))&gt;0),"",IF(AND($D227&lt;&gt;"",$V227="Macro"),IF(N($AH227)&gt;0,N(CHOOSE(MATCH($D227,ListaPuestos,0),INDEX('Cronograma R. Operacional'!$M$5:$M$1000,$AH227),INDEX('Cronograma R. Normativo'!$M$5:$M$1000,$AH227),INDEX('Cronograma R. Financiero'!$M$5:$M$1000,$AH227),INDEX('Cronograma Asistente Técnico'!$M$5:$M$1000,$AH227))),0),IF(ISNUMBER($G227),1,IF(N($W227)&gt;0,AVERAGEIFS($X$5:$X$1000,$U$5:$U$1000,ROW(),$V$5:$V$1000,"Sub"),$X227))))</f>
        <v/>
      </c>
      <c r="N227" s="56">
        <f>IF(OR($M227="",$V227="Sub"),"",IF($M227&gt;=1,"Completado",IF($M227&gt;0,"En curso","Pendiente")))</f>
        <v/>
      </c>
      <c r="O227" s="56">
        <f>IF(NOT((COUNTA($B227:$D227)+COUNTA($G227:$L227)+COUNTA($Q227))&gt;0),"",IF(AND(AND($D227&lt;&gt;"",$V227="Macro"),N($AH227)&gt;0),CHOOSE(MATCH($D227,ListaPuestos,0),INDEX('Cronograma R. Operacional'!$O$5:$O$1000,$AH227),INDEX('Cronograma R. Normativo'!$O$5:$O$1000,$AH227),INDEX('Cronograma R. Financiero'!$O$5:$O$1000,$AH227),INDEX('Cronograma Asistente Técnico'!$O$5:$O$1000,$AH227))&amp;"",IF(ISNUMBER($G227),IF(AND(ISNUMBER($AN227),$G227&gt;$AN227),"Cumplida con "&amp;($G227-$AN227)&amp;IF($G227-$AN227=1," día"," días")&amp;" de retraso","Cumplida"),IF(N($M227)&gt;=1,"Cumplida",IF(NOT(ISNUMBER($AN227)),"Sin fecha límite",IF($AN227&lt;FechaRef,"Vencida hace "&amp;(FechaRef-$AN227)&amp;IF(FechaRef-$AN227=1," día"," días"),IF($AN227=FechaRef,"Vence hoy",IF($AN227-FechaRef&lt;=DiasAlerta,"Vence en "&amp;($AN227-FechaRef)&amp;IF($AN227-FechaRef=1," día"," días"),"En plazo"))))))))</f>
        <v/>
      </c>
      <c r="P227" s="62">
        <f>IF(NOT((COUNTA($B227:$D227)+COUNTA($G227:$L227)+COUNTA($Q227))&gt;0),"",IF($D227="","Propia",IF($V227&lt;&gt;"Macro","Solo se delegan macroactividades",IF(N($AH227)&gt;0,"✔ Recibida por "&amp;$D227,"⚠ "&amp;$D227&amp;" aún no la agrega"))))</f>
        <v/>
      </c>
      <c r="Q227" s="58" t="n"/>
      <c r="R227" s="63">
        <f>IF(NOT((COUNTA($B227:$D227)+COUNTA($G227:$L227)+COUNTA($Q227))&gt;0),"",IF((IF($C227="","Falta el nombre de la actividad"&amp;" · ","")&amp;IF(AND($V227="Sub",N($U227)=0),"Subactividad sin macroactividad arriba"&amp;" · ","")&amp;IF($AM227="","Sin fecha de inicio"&amp;" · ","")&amp;IF($AN227="","Sin fecha límite"&amp;" · ","")&amp;IF(AND(LEFT($C227,11)="[Jefatura] ",N($AL227)=0),"No se encuentra en la hoja de la jefatura (elíjala de nuevo en la lista)"&amp;" · ","")&amp;IF(OR(AND($E227&lt;&gt;"",NOT(ISNUMBER($E227))),AND($F227&lt;&gt;"",NOT(ISNUMBER($F227))),AND($G227&lt;&gt;"",NOT(ISNUMBER($G227)))),"Fecha no válida"&amp;" · ","")&amp;IF(AND(ISNUMBER($AM227),ISNUMBER($AN227),$AM227&gt;$AN227),"Inicio posterior a fecha límite"&amp;" · ","")&amp;IF(AND($V227="Macro",$H227&lt;&gt;"",OR(NOT(ISNUMBER($H227)),$H227&lt;0,$H227&gt;1)),"Peso fuera de rango"&amp;" · ","")&amp;IF(AND($V227="Sub",$H227&lt;&gt;""),"Las subactividades no llevan peso (valen igual dentro de su macroactividad)"&amp;" · ","")&amp;IF(AND(N($W227)&gt;0,COUNT($I227:$L227)&gt;0),"Con subactividades: deje vacías las semanas (se calculan solas)"&amp;" · ","")&amp;IF((COUNTIF($I227:$L227,"&gt;1")+COUNTIF($I227:$L227,"&lt;0")+COUNTA($I227:$L227)-COUNT($I227:$L227))&gt;0,"Avance fuera de rango 0-100%"&amp;" · ","")&amp;IF(OR(AND($J227&lt;&gt;"",$J227&lt;$I227),AND($K227&lt;&gt;"",$K227&lt;MAX($I227:$J227)),AND($L227&lt;&gt;"",$L227&lt;MAX($I227:$K227))),"Avance semanal decreciente"&amp;" · ","")&amp;IF(AND(ISNUMBER($AN227),$AN227&lt;FechaRef,IF($V227="Sub",N($X227),N($M227))&lt;1),"Vencida"&amp;" · ","")&amp;IF(AND(ObsObligatoria="Sí",ISNUMBER($AN227),$AN227&lt;FechaRef,IF($V227="Sub",N($X227),N($M227))&lt;1,$Q227=""),"Vencida sin observación"&amp;" · ",""))="","✔ OK","⚠ "&amp;LEFT(IF($C227="","Falta el nombre de la actividad"&amp;" · ","")&amp;IF(AND($V227="Sub",N($U227)=0),"Subactividad sin macroactividad arriba"&amp;" · ","")&amp;IF($AM227="","Sin fecha de inicio"&amp;" · ","")&amp;IF($AN227="","Sin fecha límite"&amp;" · ","")&amp;IF(AND(LEFT($C227,11)="[Jefatura] ",N($AL227)=0),"No se encuentra en la hoja de la jefatura (elíjala de nuevo en la lista)"&amp;" · ","")&amp;IF(OR(AND($E227&lt;&gt;"",NOT(ISNUMBER($E227))),AND($F227&lt;&gt;"",NOT(ISNUMBER($F227))),AND($G227&lt;&gt;"",NOT(ISNUMBER($G227)))),"Fecha no válida"&amp;" · ","")&amp;IF(AND(ISNUMBER($AM227),ISNUMBER($AN227),$AM227&gt;$AN227),"Inicio posterior a fecha límite"&amp;" · ","")&amp;IF(AND($V227="Macro",$H227&lt;&gt;"",OR(NOT(ISNUMBER($H227)),$H227&lt;0,$H227&gt;1)),"Peso fuera de rango"&amp;" · ","")&amp;IF(AND($V227="Sub",$H227&lt;&gt;""),"Las subactividades no llevan peso (valen igual dentro de su macroactividad)"&amp;" · ","")&amp;IF(AND(N($W227)&gt;0,COUNT($I227:$L227)&gt;0),"Con subactividades: deje vacías las semanas (se calculan solas)"&amp;" · ","")&amp;IF((COUNTIF($I227:$L227,"&gt;1")+COUNTIF($I227:$L227,"&lt;0")+COUNTA($I227:$L227)-COUNT($I227:$L227))&gt;0,"Avance fuera de rango 0-100%"&amp;" · ","")&amp;IF(OR(AND($J227&lt;&gt;"",$J227&lt;$I227),AND($K227&lt;&gt;"",$K227&lt;MAX($I227:$J227)),AND($L227&lt;&gt;"",$L227&lt;MAX($I227:$K227))),"Avance semanal decreciente"&amp;" · ","")&amp;IF(AND(ISNUMBER($AN227),$AN227&lt;FechaRef,IF($V227="Sub",N($X227),N($M227))&lt;1),"Vencida"&amp;" · ","")&amp;IF(AND(ObsObligatoria="Sí",ISNUMBER($AN227),$AN227&lt;FechaRef,IF($V227="Sub",N($X227),N($M227))&lt;1,$Q227=""),"Vencida sin observación"&amp;" · ",""),LEN(IF($C227="","Falta el nombre de la actividad"&amp;" · ","")&amp;IF(AND($V227="Sub",N($U227)=0),"Subactividad sin macroactividad arriba"&amp;" · ","")&amp;IF($AM227="","Sin fecha de inicio"&amp;" · ","")&amp;IF($AN227="","Sin fecha límite"&amp;" · ","")&amp;IF(AND(LEFT($C227,11)="[Jefatura] ",N($AL227)=0),"No se encuentra en la hoja de la jefatura (elíjala de nuevo en la lista)"&amp;" · ","")&amp;IF(OR(AND($E227&lt;&gt;"",NOT(ISNUMBER($E227))),AND($F227&lt;&gt;"",NOT(ISNUMBER($F227))),AND($G227&lt;&gt;"",NOT(ISNUMBER($G227)))),"Fecha no válida"&amp;" · ","")&amp;IF(AND(ISNUMBER($AM227),ISNUMBER($AN227),$AM227&gt;$AN227),"Inicio posterior a fecha límite"&amp;" · ","")&amp;IF(AND($V227="Macro",$H227&lt;&gt;"",OR(NOT(ISNUMBER($H227)),$H227&lt;0,$H227&gt;1)),"Peso fuera de rango"&amp;" · ","")&amp;IF(AND($V227="Sub",$H227&lt;&gt;""),"Las subactividades no llevan peso (valen igual dentro de su macroactividad)"&amp;" · ","")&amp;IF(AND(N($W227)&gt;0,COUNT($I227:$L227)&gt;0),"Con subactividades: deje vacías las semanas (se calculan solas)"&amp;" · ","")&amp;IF((COUNTIF($I227:$L227,"&gt;1")+COUNTIF($I227:$L227,"&lt;0")+COUNTA($I227:$L227)-COUNT($I227:$L227))&gt;0,"Avance fuera de rango 0-100%"&amp;" · ","")&amp;IF(OR(AND($J227&lt;&gt;"",$J227&lt;$I227),AND($K227&lt;&gt;"",$K227&lt;MAX($I227:$J227)),AND($L227&lt;&gt;"",$L227&lt;MAX($I227:$K227))),"Avance semanal decreciente"&amp;" · ","")&amp;IF(AND(ISNUMBER($AN227),$AN227&lt;FechaRef,IF($V227="Sub",N($X227),N($M227))&lt;1),"Vencida"&amp;" · ","")&amp;IF(AND(ObsObligatoria="Sí",ISNUMBER($AN227),$AN227&lt;FechaRef,IF($V227="Sub",N($X227),N($M227))&lt;1,$Q227=""),"Vencida sin observación"&amp;" · ",""))-3)))</f>
        <v/>
      </c>
      <c r="S227" s="64">
        <f>IF(NOT((COUNTA($B227:$D227)+COUNTA($G227:$L227)+COUNTA($Q227))&gt;0),"",IF(AND($V227="Sub",N($U227)&gt;0),IF(ISNUMBER(INDEX($AM$5:$AM$1000,$U227-4)),DATE(YEAR(INDEX($AM$5:$AM$1000,$U227-4)),MONTH(INDEX($AM$5:$AM$1000,$U227-4)),1),IF(ISNUMBER(INDEX($AN$5:$AN$1000,$U227-4)),DATE(YEAR(INDEX($AN$5:$AN$1000,$U227-4)),MONTH(INDEX($AN$5:$AN$1000,$U227-4)),1),MesCiclo)),IF(ISNUMBER($AM227),DATE(YEAR($AM227),MONTH($AM227),1),IF(ISNUMBER($AN227),DATE(YEAR($AN227),MONTH($AN227),1),MesCiclo))))</f>
        <v/>
      </c>
      <c r="T227" s="62">
        <f>IF(OR($S227="",$S227&lt;&gt;MesCiclo,$V227&lt;&gt;"Macro"),"",COUNTIFS($S$5:$S227,MesCiclo,$V$5:$V227,"Macro"))</f>
        <v/>
      </c>
      <c r="U227" s="62">
        <f>IF($V227="","",IF($V227="Macro",ROW(),IFERROR(LOOKUP(2,1/($V$5:$V227="Macro"),ROW($V$5:$V227)),0)))</f>
        <v/>
      </c>
      <c r="V227" s="62">
        <f>IF(NOT((COUNTA($B227:$D227)+COUNTA($G227:$L227)+COUNTA($Q227))&gt;0),"",IF($B227="Subactividad","Sub","Macro"))</f>
        <v/>
      </c>
      <c r="W227" s="62">
        <f>IF($V227="Macro",COUNTIFS($U$5:$U$1000,ROW(),$V$5:$V$1000,"Sub"),"")</f>
        <v/>
      </c>
      <c r="X227" s="62">
        <f>IF($V227="","",IF(ISNUMBER($G227),1,IFERROR(LOOKUP(2,1/($I227:$L227&lt;&gt;""),$I227:$L227),0)))</f>
        <v/>
      </c>
      <c r="Y227" s="62">
        <f>IF($V227="","",IF(AND(ISNUMBER($G227),$G227&lt;=IF($S227=MesCiclo,InicioCiclo,$S227+MOD(2-WEEKDAY($S227),7))+6),1,IF(ISNUMBER($I227),$I227,0)))</f>
        <v/>
      </c>
      <c r="Z227" s="62">
        <f>IF($V227="","",IF(AND(ISNUMBER($G227),$G227&lt;=IF($S227=MesCiclo,InicioCiclo,$S227+MOD(2-WEEKDAY($S227),7))+13),1,IF(ISNUMBER($J227),$J227,$Y227)))</f>
        <v/>
      </c>
      <c r="AA227" s="62">
        <f>IF($V227="","",IF(AND(ISNUMBER($G227),$G227&lt;=IF($S227=MesCiclo,InicioCiclo,$S227+MOD(2-WEEKDAY($S227),7))+20),1,IF(ISNUMBER($K227),$K227,$Z227)))</f>
        <v/>
      </c>
      <c r="AB227" s="62">
        <f>IF($V227="","",IF(AND(ISNUMBER($G227),$G227&lt;=IF($S227=MesCiclo,InicioCiclo,$S227+MOD(2-WEEKDAY($S227),7))+27),1,IF(ISNUMBER($L227),$L227,$AA227)))</f>
        <v/>
      </c>
      <c r="AC227" s="62">
        <f>IF($V227="","",IF(AND(ISNUMBER($G227),$G227&lt;=IF($S227=MesCiclo,InicioCiclo,$S227+MOD(2-WEEKDAY($S227),7))+6),1,IF(N($W227)&gt;0,AVERAGEIFS($Y$5:$Y$1000,$U$5:$U$1000,ROW(),$V$5:$V$1000,"Sub"),$Y227)))</f>
        <v/>
      </c>
      <c r="AD227" s="62">
        <f>IF($V227="","",IF(AND(ISNUMBER($G227),$G227&lt;=IF($S227=MesCiclo,InicioCiclo,$S227+MOD(2-WEEKDAY($S227),7))+13),1,IF(N($W227)&gt;0,AVERAGEIFS($Z$5:$Z$1000,$U$5:$U$1000,ROW(),$V$5:$V$1000,"Sub"),$Z227)))</f>
        <v/>
      </c>
      <c r="AE227" s="62">
        <f>IF($V227="","",IF(AND(ISNUMBER($G227),$G227&lt;=IF($S227=MesCiclo,InicioCiclo,$S227+MOD(2-WEEKDAY($S227),7))+20),1,IF(N($W227)&gt;0,AVERAGEIFS($AA$5:$AA$1000,$U$5:$U$1000,ROW(),$V$5:$V$1000,"Sub"),$AA227)))</f>
        <v/>
      </c>
      <c r="AF227" s="62">
        <f>IF($V227="","",IF(AND(ISNUMBER($G227),$G227&lt;=IF($S227=MesCiclo,InicioCiclo,$S227+MOD(2-WEEKDAY($S227),7))+27),1,IF(N($W227)&gt;0,AVERAGEIFS($AB$5:$AB$1000,$U$5:$U$1000,ROW(),$V$5:$V$1000,"Sub"),$AB227)))</f>
        <v/>
      </c>
      <c r="AG227" s="62">
        <f>IF($V227&lt;&gt;"Macro","",IF(COUNTIFS($S$5:$S$1000,$S227,$V$5:$V$1000,"Macro",$H$5:$H$1000,"&gt;0")=0,1/COUNTIFS($S$5:$S$1000,$S227,$V$5:$V$1000,"Macro"),IF(AND(ISNUMBER($H227),N($H227)&gt;0),$H227,SUMIFS($H$5:$H$1000,$S$5:$S$1000,$S227,$V$5:$V$1000,"Macro")/COUNTIFS($S$5:$S$1000,$S227,$V$5:$V$1000,"Macro",$H$5:$H$1000,"&gt;0"))/(COUNTIFS($S$5:$S$1000,$S227,$V$5:$V$1000,"Macro")*SUMIFS($H$5:$H$1000,$S$5:$S$1000,$S227,$V$5:$V$1000,"Macro")/COUNTIFS($S$5:$S$1000,$S227,$V$5:$V$1000,"Macro",$H$5:$H$1000,"&gt;0"))))</f>
        <v/>
      </c>
      <c r="AH227" s="62">
        <f>IF(NOT(AND($D227&lt;&gt;"",$V227="Macro")),"",IFERROR(CHOOSE(MATCH($D227,ListaPuestos,0),MATCH("[Jefatura] "&amp;$C227,'Cronograma R. Operacional'!$C$5:$C$1000,0),MATCH("[Jefatura] "&amp;$C227,'Cronograma R. Normativo'!$C$5:$C$1000,0),MATCH("[Jefatura] "&amp;$C227,'Cronograma R. Financiero'!$C$5:$C$1000,0),MATCH("[Jefatura] "&amp;$C227,'Cronograma Asistente Técnico'!$C$5:$C$1000,0)),0))</f>
        <v/>
      </c>
      <c r="AI227" s="62">
        <f>IF(AND(AND($D227&lt;&gt;"",$V227="Macro"),$S227=MesCiclo),COUNTIFS($D$5:$D227,$D227,$S$5:$S227,MesCiclo,$V$5:$V227,"Macro"),"")</f>
        <v/>
      </c>
      <c r="AJ227" s="62">
        <f>IF($AI227="","",$D227&amp;"|"&amp;$AI227)</f>
        <v/>
      </c>
      <c r="AK227" s="62">
        <f>IF(AND($D227&lt;&gt;"",$V227="Macro"),$D227&amp;"|"&amp;$C227,"")</f>
        <v/>
      </c>
      <c r="AL227" s="62">
        <f>""</f>
        <v/>
      </c>
      <c r="AM227" s="62">
        <f>IF(N($AL227)&gt;0,INDEX(rIni_ADM,$AL227),IF(ISNUMBER($E227),$E227,""))</f>
        <v/>
      </c>
      <c r="AN227" s="62">
        <f>IF(N($AL227)&gt;0,INDEX(rLim_ADM,$AL227),IF(ISNUMBER($F227),$F227,""))</f>
        <v/>
      </c>
    </row>
    <row r="228">
      <c r="A228" s="56">
        <f>IF(NOT((COUNTA($B228:$D228)+COUNTA($G228:$L228)+COUNTA($Q228))&gt;0),"",IF($V228="Macro",COUNTIFS($V$5:$V228,"Macro",$S$5:$S228,$S228),IF(N($U228)=0,"?",COUNTIFS(INDEX($V$5:$V$1000,1):INDEX($V$5:$V$1000,$U228-4),"Macro",INDEX($S$5:$S$1000,1):INDEX($S$5:$S$1000,$U228-4),INDEX($S$5:$S$1000,$U228-4))&amp;"."&amp;COUNTIFS($U$5:$U228,$U228,$V$5:$V228,"Sub"))))</f>
        <v/>
      </c>
      <c r="B228" s="57" t="n"/>
      <c r="C228" s="58" t="n"/>
      <c r="D228" s="58" t="n"/>
      <c r="E228" s="59" t="n"/>
      <c r="F228" s="59" t="n"/>
      <c r="G228" s="59" t="n"/>
      <c r="H228" s="60" t="n"/>
      <c r="I228" s="60" t="n"/>
      <c r="J228" s="60" t="n"/>
      <c r="K228" s="60" t="n"/>
      <c r="L228" s="60" t="n"/>
      <c r="M228" s="61">
        <f>IF(NOT((COUNTA($B228:$D228)+COUNTA($G228:$L228)+COUNTA($Q228))&gt;0),"",IF(AND($D228&lt;&gt;"",$V228="Macro"),IF(N($AH228)&gt;0,N(CHOOSE(MATCH($D228,ListaPuestos,0),INDEX('Cronograma R. Operacional'!$M$5:$M$1000,$AH228),INDEX('Cronograma R. Normativo'!$M$5:$M$1000,$AH228),INDEX('Cronograma R. Financiero'!$M$5:$M$1000,$AH228),INDEX('Cronograma Asistente Técnico'!$M$5:$M$1000,$AH228))),0),IF(ISNUMBER($G228),1,IF(N($W228)&gt;0,AVERAGEIFS($X$5:$X$1000,$U$5:$U$1000,ROW(),$V$5:$V$1000,"Sub"),$X228))))</f>
        <v/>
      </c>
      <c r="N228" s="56">
        <f>IF(OR($M228="",$V228="Sub"),"",IF($M228&gt;=1,"Completado",IF($M228&gt;0,"En curso","Pendiente")))</f>
        <v/>
      </c>
      <c r="O228" s="56">
        <f>IF(NOT((COUNTA($B228:$D228)+COUNTA($G228:$L228)+COUNTA($Q228))&gt;0),"",IF(AND(AND($D228&lt;&gt;"",$V228="Macro"),N($AH228)&gt;0),CHOOSE(MATCH($D228,ListaPuestos,0),INDEX('Cronograma R. Operacional'!$O$5:$O$1000,$AH228),INDEX('Cronograma R. Normativo'!$O$5:$O$1000,$AH228),INDEX('Cronograma R. Financiero'!$O$5:$O$1000,$AH228),INDEX('Cronograma Asistente Técnico'!$O$5:$O$1000,$AH228))&amp;"",IF(ISNUMBER($G228),IF(AND(ISNUMBER($AN228),$G228&gt;$AN228),"Cumplida con "&amp;($G228-$AN228)&amp;IF($G228-$AN228=1," día"," días")&amp;" de retraso","Cumplida"),IF(N($M228)&gt;=1,"Cumplida",IF(NOT(ISNUMBER($AN228)),"Sin fecha límite",IF($AN228&lt;FechaRef,"Vencida hace "&amp;(FechaRef-$AN228)&amp;IF(FechaRef-$AN228=1," día"," días"),IF($AN228=FechaRef,"Vence hoy",IF($AN228-FechaRef&lt;=DiasAlerta,"Vence en "&amp;($AN228-FechaRef)&amp;IF($AN228-FechaRef=1," día"," días"),"En plazo"))))))))</f>
        <v/>
      </c>
      <c r="P228" s="62">
        <f>IF(NOT((COUNTA($B228:$D228)+COUNTA($G228:$L228)+COUNTA($Q228))&gt;0),"",IF($D228="","Propia",IF($V228&lt;&gt;"Macro","Solo se delegan macroactividades",IF(N($AH228)&gt;0,"✔ Recibida por "&amp;$D228,"⚠ "&amp;$D228&amp;" aún no la agrega"))))</f>
        <v/>
      </c>
      <c r="Q228" s="58" t="n"/>
      <c r="R228" s="63">
        <f>IF(NOT((COUNTA($B228:$D228)+COUNTA($G228:$L228)+COUNTA($Q228))&gt;0),"",IF((IF($C228="","Falta el nombre de la actividad"&amp;" · ","")&amp;IF(AND($V228="Sub",N($U228)=0),"Subactividad sin macroactividad arriba"&amp;" · ","")&amp;IF($AM228="","Sin fecha de inicio"&amp;" · ","")&amp;IF($AN228="","Sin fecha límite"&amp;" · ","")&amp;IF(AND(LEFT($C228,11)="[Jefatura] ",N($AL228)=0),"No se encuentra en la hoja de la jefatura (elíjala de nuevo en la lista)"&amp;" · ","")&amp;IF(OR(AND($E228&lt;&gt;"",NOT(ISNUMBER($E228))),AND($F228&lt;&gt;"",NOT(ISNUMBER($F228))),AND($G228&lt;&gt;"",NOT(ISNUMBER($G228)))),"Fecha no válida"&amp;" · ","")&amp;IF(AND(ISNUMBER($AM228),ISNUMBER($AN228),$AM228&gt;$AN228),"Inicio posterior a fecha límite"&amp;" · ","")&amp;IF(AND($V228="Macro",$H228&lt;&gt;"",OR(NOT(ISNUMBER($H228)),$H228&lt;0,$H228&gt;1)),"Peso fuera de rango"&amp;" · ","")&amp;IF(AND($V228="Sub",$H228&lt;&gt;""),"Las subactividades no llevan peso (valen igual dentro de su macroactividad)"&amp;" · ","")&amp;IF(AND(N($W228)&gt;0,COUNT($I228:$L228)&gt;0),"Con subactividades: deje vacías las semanas (se calculan solas)"&amp;" · ","")&amp;IF((COUNTIF($I228:$L228,"&gt;1")+COUNTIF($I228:$L228,"&lt;0")+COUNTA($I228:$L228)-COUNT($I228:$L228))&gt;0,"Avance fuera de rango 0-100%"&amp;" · ","")&amp;IF(OR(AND($J228&lt;&gt;"",$J228&lt;$I228),AND($K228&lt;&gt;"",$K228&lt;MAX($I228:$J228)),AND($L228&lt;&gt;"",$L228&lt;MAX($I228:$K228))),"Avance semanal decreciente"&amp;" · ","")&amp;IF(AND(ISNUMBER($AN228),$AN228&lt;FechaRef,IF($V228="Sub",N($X228),N($M228))&lt;1),"Vencida"&amp;" · ","")&amp;IF(AND(ObsObligatoria="Sí",ISNUMBER($AN228),$AN228&lt;FechaRef,IF($V228="Sub",N($X228),N($M228))&lt;1,$Q228=""),"Vencida sin observación"&amp;" · ",""))="","✔ OK","⚠ "&amp;LEFT(IF($C228="","Falta el nombre de la actividad"&amp;" · ","")&amp;IF(AND($V228="Sub",N($U228)=0),"Subactividad sin macroactividad arriba"&amp;" · ","")&amp;IF($AM228="","Sin fecha de inicio"&amp;" · ","")&amp;IF($AN228="","Sin fecha límite"&amp;" · ","")&amp;IF(AND(LEFT($C228,11)="[Jefatura] ",N($AL228)=0),"No se encuentra en la hoja de la jefatura (elíjala de nuevo en la lista)"&amp;" · ","")&amp;IF(OR(AND($E228&lt;&gt;"",NOT(ISNUMBER($E228))),AND($F228&lt;&gt;"",NOT(ISNUMBER($F228))),AND($G228&lt;&gt;"",NOT(ISNUMBER($G228)))),"Fecha no válida"&amp;" · ","")&amp;IF(AND(ISNUMBER($AM228),ISNUMBER($AN228),$AM228&gt;$AN228),"Inicio posterior a fecha límite"&amp;" · ","")&amp;IF(AND($V228="Macro",$H228&lt;&gt;"",OR(NOT(ISNUMBER($H228)),$H228&lt;0,$H228&gt;1)),"Peso fuera de rango"&amp;" · ","")&amp;IF(AND($V228="Sub",$H228&lt;&gt;""),"Las subactividades no llevan peso (valen igual dentro de su macroactividad)"&amp;" · ","")&amp;IF(AND(N($W228)&gt;0,COUNT($I228:$L228)&gt;0),"Con subactividades: deje vacías las semanas (se calculan solas)"&amp;" · ","")&amp;IF((COUNTIF($I228:$L228,"&gt;1")+COUNTIF($I228:$L228,"&lt;0")+COUNTA($I228:$L228)-COUNT($I228:$L228))&gt;0,"Avance fuera de rango 0-100%"&amp;" · ","")&amp;IF(OR(AND($J228&lt;&gt;"",$J228&lt;$I228),AND($K228&lt;&gt;"",$K228&lt;MAX($I228:$J228)),AND($L228&lt;&gt;"",$L228&lt;MAX($I228:$K228))),"Avance semanal decreciente"&amp;" · ","")&amp;IF(AND(ISNUMBER($AN228),$AN228&lt;FechaRef,IF($V228="Sub",N($X228),N($M228))&lt;1),"Vencida"&amp;" · ","")&amp;IF(AND(ObsObligatoria="Sí",ISNUMBER($AN228),$AN228&lt;FechaRef,IF($V228="Sub",N($X228),N($M228))&lt;1,$Q228=""),"Vencida sin observación"&amp;" · ",""),LEN(IF($C228="","Falta el nombre de la actividad"&amp;" · ","")&amp;IF(AND($V228="Sub",N($U228)=0),"Subactividad sin macroactividad arriba"&amp;" · ","")&amp;IF($AM228="","Sin fecha de inicio"&amp;" · ","")&amp;IF($AN228="","Sin fecha límite"&amp;" · ","")&amp;IF(AND(LEFT($C228,11)="[Jefatura] ",N($AL228)=0),"No se encuentra en la hoja de la jefatura (elíjala de nuevo en la lista)"&amp;" · ","")&amp;IF(OR(AND($E228&lt;&gt;"",NOT(ISNUMBER($E228))),AND($F228&lt;&gt;"",NOT(ISNUMBER($F228))),AND($G228&lt;&gt;"",NOT(ISNUMBER($G228)))),"Fecha no válida"&amp;" · ","")&amp;IF(AND(ISNUMBER($AM228),ISNUMBER($AN228),$AM228&gt;$AN228),"Inicio posterior a fecha límite"&amp;" · ","")&amp;IF(AND($V228="Macro",$H228&lt;&gt;"",OR(NOT(ISNUMBER($H228)),$H228&lt;0,$H228&gt;1)),"Peso fuera de rango"&amp;" · ","")&amp;IF(AND($V228="Sub",$H228&lt;&gt;""),"Las subactividades no llevan peso (valen igual dentro de su macroactividad)"&amp;" · ","")&amp;IF(AND(N($W228)&gt;0,COUNT($I228:$L228)&gt;0),"Con subactividades: deje vacías las semanas (se calculan solas)"&amp;" · ","")&amp;IF((COUNTIF($I228:$L228,"&gt;1")+COUNTIF($I228:$L228,"&lt;0")+COUNTA($I228:$L228)-COUNT($I228:$L228))&gt;0,"Avance fuera de rango 0-100%"&amp;" · ","")&amp;IF(OR(AND($J228&lt;&gt;"",$J228&lt;$I228),AND($K228&lt;&gt;"",$K228&lt;MAX($I228:$J228)),AND($L228&lt;&gt;"",$L228&lt;MAX($I228:$K228))),"Avance semanal decreciente"&amp;" · ","")&amp;IF(AND(ISNUMBER($AN228),$AN228&lt;FechaRef,IF($V228="Sub",N($X228),N($M228))&lt;1),"Vencida"&amp;" · ","")&amp;IF(AND(ObsObligatoria="Sí",ISNUMBER($AN228),$AN228&lt;FechaRef,IF($V228="Sub",N($X228),N($M228))&lt;1,$Q228=""),"Vencida sin observación"&amp;" · ",""))-3)))</f>
        <v/>
      </c>
      <c r="S228" s="64">
        <f>IF(NOT((COUNTA($B228:$D228)+COUNTA($G228:$L228)+COUNTA($Q228))&gt;0),"",IF(AND($V228="Sub",N($U228)&gt;0),IF(ISNUMBER(INDEX($AM$5:$AM$1000,$U228-4)),DATE(YEAR(INDEX($AM$5:$AM$1000,$U228-4)),MONTH(INDEX($AM$5:$AM$1000,$U228-4)),1),IF(ISNUMBER(INDEX($AN$5:$AN$1000,$U228-4)),DATE(YEAR(INDEX($AN$5:$AN$1000,$U228-4)),MONTH(INDEX($AN$5:$AN$1000,$U228-4)),1),MesCiclo)),IF(ISNUMBER($AM228),DATE(YEAR($AM228),MONTH($AM228),1),IF(ISNUMBER($AN228),DATE(YEAR($AN228),MONTH($AN228),1),MesCiclo))))</f>
        <v/>
      </c>
      <c r="T228" s="62">
        <f>IF(OR($S228="",$S228&lt;&gt;MesCiclo,$V228&lt;&gt;"Macro"),"",COUNTIFS($S$5:$S228,MesCiclo,$V$5:$V228,"Macro"))</f>
        <v/>
      </c>
      <c r="U228" s="62">
        <f>IF($V228="","",IF($V228="Macro",ROW(),IFERROR(LOOKUP(2,1/($V$5:$V228="Macro"),ROW($V$5:$V228)),0)))</f>
        <v/>
      </c>
      <c r="V228" s="62">
        <f>IF(NOT((COUNTA($B228:$D228)+COUNTA($G228:$L228)+COUNTA($Q228))&gt;0),"",IF($B228="Subactividad","Sub","Macro"))</f>
        <v/>
      </c>
      <c r="W228" s="62">
        <f>IF($V228="Macro",COUNTIFS($U$5:$U$1000,ROW(),$V$5:$V$1000,"Sub"),"")</f>
        <v/>
      </c>
      <c r="X228" s="62">
        <f>IF($V228="","",IF(ISNUMBER($G228),1,IFERROR(LOOKUP(2,1/($I228:$L228&lt;&gt;""),$I228:$L228),0)))</f>
        <v/>
      </c>
      <c r="Y228" s="62">
        <f>IF($V228="","",IF(AND(ISNUMBER($G228),$G228&lt;=IF($S228=MesCiclo,InicioCiclo,$S228+MOD(2-WEEKDAY($S228),7))+6),1,IF(ISNUMBER($I228),$I228,0)))</f>
        <v/>
      </c>
      <c r="Z228" s="62">
        <f>IF($V228="","",IF(AND(ISNUMBER($G228),$G228&lt;=IF($S228=MesCiclo,InicioCiclo,$S228+MOD(2-WEEKDAY($S228),7))+13),1,IF(ISNUMBER($J228),$J228,$Y228)))</f>
        <v/>
      </c>
      <c r="AA228" s="62">
        <f>IF($V228="","",IF(AND(ISNUMBER($G228),$G228&lt;=IF($S228=MesCiclo,InicioCiclo,$S228+MOD(2-WEEKDAY($S228),7))+20),1,IF(ISNUMBER($K228),$K228,$Z228)))</f>
        <v/>
      </c>
      <c r="AB228" s="62">
        <f>IF($V228="","",IF(AND(ISNUMBER($G228),$G228&lt;=IF($S228=MesCiclo,InicioCiclo,$S228+MOD(2-WEEKDAY($S228),7))+27),1,IF(ISNUMBER($L228),$L228,$AA228)))</f>
        <v/>
      </c>
      <c r="AC228" s="62">
        <f>IF($V228="","",IF(AND(ISNUMBER($G228),$G228&lt;=IF($S228=MesCiclo,InicioCiclo,$S228+MOD(2-WEEKDAY($S228),7))+6),1,IF(N($W228)&gt;0,AVERAGEIFS($Y$5:$Y$1000,$U$5:$U$1000,ROW(),$V$5:$V$1000,"Sub"),$Y228)))</f>
        <v/>
      </c>
      <c r="AD228" s="62">
        <f>IF($V228="","",IF(AND(ISNUMBER($G228),$G228&lt;=IF($S228=MesCiclo,InicioCiclo,$S228+MOD(2-WEEKDAY($S228),7))+13),1,IF(N($W228)&gt;0,AVERAGEIFS($Z$5:$Z$1000,$U$5:$U$1000,ROW(),$V$5:$V$1000,"Sub"),$Z228)))</f>
        <v/>
      </c>
      <c r="AE228" s="62">
        <f>IF($V228="","",IF(AND(ISNUMBER($G228),$G228&lt;=IF($S228=MesCiclo,InicioCiclo,$S228+MOD(2-WEEKDAY($S228),7))+20),1,IF(N($W228)&gt;0,AVERAGEIFS($AA$5:$AA$1000,$U$5:$U$1000,ROW(),$V$5:$V$1000,"Sub"),$AA228)))</f>
        <v/>
      </c>
      <c r="AF228" s="62">
        <f>IF($V228="","",IF(AND(ISNUMBER($G228),$G228&lt;=IF($S228=MesCiclo,InicioCiclo,$S228+MOD(2-WEEKDAY($S228),7))+27),1,IF(N($W228)&gt;0,AVERAGEIFS($AB$5:$AB$1000,$U$5:$U$1000,ROW(),$V$5:$V$1000,"Sub"),$AB228)))</f>
        <v/>
      </c>
      <c r="AG228" s="62">
        <f>IF($V228&lt;&gt;"Macro","",IF(COUNTIFS($S$5:$S$1000,$S228,$V$5:$V$1000,"Macro",$H$5:$H$1000,"&gt;0")=0,1/COUNTIFS($S$5:$S$1000,$S228,$V$5:$V$1000,"Macro"),IF(AND(ISNUMBER($H228),N($H228)&gt;0),$H228,SUMIFS($H$5:$H$1000,$S$5:$S$1000,$S228,$V$5:$V$1000,"Macro")/COUNTIFS($S$5:$S$1000,$S228,$V$5:$V$1000,"Macro",$H$5:$H$1000,"&gt;0"))/(COUNTIFS($S$5:$S$1000,$S228,$V$5:$V$1000,"Macro")*SUMIFS($H$5:$H$1000,$S$5:$S$1000,$S228,$V$5:$V$1000,"Macro")/COUNTIFS($S$5:$S$1000,$S228,$V$5:$V$1000,"Macro",$H$5:$H$1000,"&gt;0"))))</f>
        <v/>
      </c>
      <c r="AH228" s="62">
        <f>IF(NOT(AND($D228&lt;&gt;"",$V228="Macro")),"",IFERROR(CHOOSE(MATCH($D228,ListaPuestos,0),MATCH("[Jefatura] "&amp;$C228,'Cronograma R. Operacional'!$C$5:$C$1000,0),MATCH("[Jefatura] "&amp;$C228,'Cronograma R. Normativo'!$C$5:$C$1000,0),MATCH("[Jefatura] "&amp;$C228,'Cronograma R. Financiero'!$C$5:$C$1000,0),MATCH("[Jefatura] "&amp;$C228,'Cronograma Asistente Técnico'!$C$5:$C$1000,0)),0))</f>
        <v/>
      </c>
      <c r="AI228" s="62">
        <f>IF(AND(AND($D228&lt;&gt;"",$V228="Macro"),$S228=MesCiclo),COUNTIFS($D$5:$D228,$D228,$S$5:$S228,MesCiclo,$V$5:$V228,"Macro"),"")</f>
        <v/>
      </c>
      <c r="AJ228" s="62">
        <f>IF($AI228="","",$D228&amp;"|"&amp;$AI228)</f>
        <v/>
      </c>
      <c r="AK228" s="62">
        <f>IF(AND($D228&lt;&gt;"",$V228="Macro"),$D228&amp;"|"&amp;$C228,"")</f>
        <v/>
      </c>
      <c r="AL228" s="62">
        <f>""</f>
        <v/>
      </c>
      <c r="AM228" s="62">
        <f>IF(N($AL228)&gt;0,INDEX(rIni_ADM,$AL228),IF(ISNUMBER($E228),$E228,""))</f>
        <v/>
      </c>
      <c r="AN228" s="62">
        <f>IF(N($AL228)&gt;0,INDEX(rLim_ADM,$AL228),IF(ISNUMBER($F228),$F228,""))</f>
        <v/>
      </c>
    </row>
    <row r="229">
      <c r="A229" s="56">
        <f>IF(NOT((COUNTA($B229:$D229)+COUNTA($G229:$L229)+COUNTA($Q229))&gt;0),"",IF($V229="Macro",COUNTIFS($V$5:$V229,"Macro",$S$5:$S229,$S229),IF(N($U229)=0,"?",COUNTIFS(INDEX($V$5:$V$1000,1):INDEX($V$5:$V$1000,$U229-4),"Macro",INDEX($S$5:$S$1000,1):INDEX($S$5:$S$1000,$U229-4),INDEX($S$5:$S$1000,$U229-4))&amp;"."&amp;COUNTIFS($U$5:$U229,$U229,$V$5:$V229,"Sub"))))</f>
        <v/>
      </c>
      <c r="B229" s="57" t="n"/>
      <c r="C229" s="58" t="n"/>
      <c r="D229" s="58" t="n"/>
      <c r="E229" s="59" t="n"/>
      <c r="F229" s="59" t="n"/>
      <c r="G229" s="59" t="n"/>
      <c r="H229" s="60" t="n"/>
      <c r="I229" s="60" t="n"/>
      <c r="J229" s="60" t="n"/>
      <c r="K229" s="60" t="n"/>
      <c r="L229" s="60" t="n"/>
      <c r="M229" s="61">
        <f>IF(NOT((COUNTA($B229:$D229)+COUNTA($G229:$L229)+COUNTA($Q229))&gt;0),"",IF(AND($D229&lt;&gt;"",$V229="Macro"),IF(N($AH229)&gt;0,N(CHOOSE(MATCH($D229,ListaPuestos,0),INDEX('Cronograma R. Operacional'!$M$5:$M$1000,$AH229),INDEX('Cronograma R. Normativo'!$M$5:$M$1000,$AH229),INDEX('Cronograma R. Financiero'!$M$5:$M$1000,$AH229),INDEX('Cronograma Asistente Técnico'!$M$5:$M$1000,$AH229))),0),IF(ISNUMBER($G229),1,IF(N($W229)&gt;0,AVERAGEIFS($X$5:$X$1000,$U$5:$U$1000,ROW(),$V$5:$V$1000,"Sub"),$X229))))</f>
        <v/>
      </c>
      <c r="N229" s="56">
        <f>IF(OR($M229="",$V229="Sub"),"",IF($M229&gt;=1,"Completado",IF($M229&gt;0,"En curso","Pendiente")))</f>
        <v/>
      </c>
      <c r="O229" s="56">
        <f>IF(NOT((COUNTA($B229:$D229)+COUNTA($G229:$L229)+COUNTA($Q229))&gt;0),"",IF(AND(AND($D229&lt;&gt;"",$V229="Macro"),N($AH229)&gt;0),CHOOSE(MATCH($D229,ListaPuestos,0),INDEX('Cronograma R. Operacional'!$O$5:$O$1000,$AH229),INDEX('Cronograma R. Normativo'!$O$5:$O$1000,$AH229),INDEX('Cronograma R. Financiero'!$O$5:$O$1000,$AH229),INDEX('Cronograma Asistente Técnico'!$O$5:$O$1000,$AH229))&amp;"",IF(ISNUMBER($G229),IF(AND(ISNUMBER($AN229),$G229&gt;$AN229),"Cumplida con "&amp;($G229-$AN229)&amp;IF($G229-$AN229=1," día"," días")&amp;" de retraso","Cumplida"),IF(N($M229)&gt;=1,"Cumplida",IF(NOT(ISNUMBER($AN229)),"Sin fecha límite",IF($AN229&lt;FechaRef,"Vencida hace "&amp;(FechaRef-$AN229)&amp;IF(FechaRef-$AN229=1," día"," días"),IF($AN229=FechaRef,"Vence hoy",IF($AN229-FechaRef&lt;=DiasAlerta,"Vence en "&amp;($AN229-FechaRef)&amp;IF($AN229-FechaRef=1," día"," días"),"En plazo"))))))))</f>
        <v/>
      </c>
      <c r="P229" s="62">
        <f>IF(NOT((COUNTA($B229:$D229)+COUNTA($G229:$L229)+COUNTA($Q229))&gt;0),"",IF($D229="","Propia",IF($V229&lt;&gt;"Macro","Solo se delegan macroactividades",IF(N($AH229)&gt;0,"✔ Recibida por "&amp;$D229,"⚠ "&amp;$D229&amp;" aún no la agrega"))))</f>
        <v/>
      </c>
      <c r="Q229" s="58" t="n"/>
      <c r="R229" s="63">
        <f>IF(NOT((COUNTA($B229:$D229)+COUNTA($G229:$L229)+COUNTA($Q229))&gt;0),"",IF((IF($C229="","Falta el nombre de la actividad"&amp;" · ","")&amp;IF(AND($V229="Sub",N($U229)=0),"Subactividad sin macroactividad arriba"&amp;" · ","")&amp;IF($AM229="","Sin fecha de inicio"&amp;" · ","")&amp;IF($AN229="","Sin fecha límite"&amp;" · ","")&amp;IF(AND(LEFT($C229,11)="[Jefatura] ",N($AL229)=0),"No se encuentra en la hoja de la jefatura (elíjala de nuevo en la lista)"&amp;" · ","")&amp;IF(OR(AND($E229&lt;&gt;"",NOT(ISNUMBER($E229))),AND($F229&lt;&gt;"",NOT(ISNUMBER($F229))),AND($G229&lt;&gt;"",NOT(ISNUMBER($G229)))),"Fecha no válida"&amp;" · ","")&amp;IF(AND(ISNUMBER($AM229),ISNUMBER($AN229),$AM229&gt;$AN229),"Inicio posterior a fecha límite"&amp;" · ","")&amp;IF(AND($V229="Macro",$H229&lt;&gt;"",OR(NOT(ISNUMBER($H229)),$H229&lt;0,$H229&gt;1)),"Peso fuera de rango"&amp;" · ","")&amp;IF(AND($V229="Sub",$H229&lt;&gt;""),"Las subactividades no llevan peso (valen igual dentro de su macroactividad)"&amp;" · ","")&amp;IF(AND(N($W229)&gt;0,COUNT($I229:$L229)&gt;0),"Con subactividades: deje vacías las semanas (se calculan solas)"&amp;" · ","")&amp;IF((COUNTIF($I229:$L229,"&gt;1")+COUNTIF($I229:$L229,"&lt;0")+COUNTA($I229:$L229)-COUNT($I229:$L229))&gt;0,"Avance fuera de rango 0-100%"&amp;" · ","")&amp;IF(OR(AND($J229&lt;&gt;"",$J229&lt;$I229),AND($K229&lt;&gt;"",$K229&lt;MAX($I229:$J229)),AND($L229&lt;&gt;"",$L229&lt;MAX($I229:$K229))),"Avance semanal decreciente"&amp;" · ","")&amp;IF(AND(ISNUMBER($AN229),$AN229&lt;FechaRef,IF($V229="Sub",N($X229),N($M229))&lt;1),"Vencida"&amp;" · ","")&amp;IF(AND(ObsObligatoria="Sí",ISNUMBER($AN229),$AN229&lt;FechaRef,IF($V229="Sub",N($X229),N($M229))&lt;1,$Q229=""),"Vencida sin observación"&amp;" · ",""))="","✔ OK","⚠ "&amp;LEFT(IF($C229="","Falta el nombre de la actividad"&amp;" · ","")&amp;IF(AND($V229="Sub",N($U229)=0),"Subactividad sin macroactividad arriba"&amp;" · ","")&amp;IF($AM229="","Sin fecha de inicio"&amp;" · ","")&amp;IF($AN229="","Sin fecha límite"&amp;" · ","")&amp;IF(AND(LEFT($C229,11)="[Jefatura] ",N($AL229)=0),"No se encuentra en la hoja de la jefatura (elíjala de nuevo en la lista)"&amp;" · ","")&amp;IF(OR(AND($E229&lt;&gt;"",NOT(ISNUMBER($E229))),AND($F229&lt;&gt;"",NOT(ISNUMBER($F229))),AND($G229&lt;&gt;"",NOT(ISNUMBER($G229)))),"Fecha no válida"&amp;" · ","")&amp;IF(AND(ISNUMBER($AM229),ISNUMBER($AN229),$AM229&gt;$AN229),"Inicio posterior a fecha límite"&amp;" · ","")&amp;IF(AND($V229="Macro",$H229&lt;&gt;"",OR(NOT(ISNUMBER($H229)),$H229&lt;0,$H229&gt;1)),"Peso fuera de rango"&amp;" · ","")&amp;IF(AND($V229="Sub",$H229&lt;&gt;""),"Las subactividades no llevan peso (valen igual dentro de su macroactividad)"&amp;" · ","")&amp;IF(AND(N($W229)&gt;0,COUNT($I229:$L229)&gt;0),"Con subactividades: deje vacías las semanas (se calculan solas)"&amp;" · ","")&amp;IF((COUNTIF($I229:$L229,"&gt;1")+COUNTIF($I229:$L229,"&lt;0")+COUNTA($I229:$L229)-COUNT($I229:$L229))&gt;0,"Avance fuera de rango 0-100%"&amp;" · ","")&amp;IF(OR(AND($J229&lt;&gt;"",$J229&lt;$I229),AND($K229&lt;&gt;"",$K229&lt;MAX($I229:$J229)),AND($L229&lt;&gt;"",$L229&lt;MAX($I229:$K229))),"Avance semanal decreciente"&amp;" · ","")&amp;IF(AND(ISNUMBER($AN229),$AN229&lt;FechaRef,IF($V229="Sub",N($X229),N($M229))&lt;1),"Vencida"&amp;" · ","")&amp;IF(AND(ObsObligatoria="Sí",ISNUMBER($AN229),$AN229&lt;FechaRef,IF($V229="Sub",N($X229),N($M229))&lt;1,$Q229=""),"Vencida sin observación"&amp;" · ",""),LEN(IF($C229="","Falta el nombre de la actividad"&amp;" · ","")&amp;IF(AND($V229="Sub",N($U229)=0),"Subactividad sin macroactividad arriba"&amp;" · ","")&amp;IF($AM229="","Sin fecha de inicio"&amp;" · ","")&amp;IF($AN229="","Sin fecha límite"&amp;" · ","")&amp;IF(AND(LEFT($C229,11)="[Jefatura] ",N($AL229)=0),"No se encuentra en la hoja de la jefatura (elíjala de nuevo en la lista)"&amp;" · ","")&amp;IF(OR(AND($E229&lt;&gt;"",NOT(ISNUMBER($E229))),AND($F229&lt;&gt;"",NOT(ISNUMBER($F229))),AND($G229&lt;&gt;"",NOT(ISNUMBER($G229)))),"Fecha no válida"&amp;" · ","")&amp;IF(AND(ISNUMBER($AM229),ISNUMBER($AN229),$AM229&gt;$AN229),"Inicio posterior a fecha límite"&amp;" · ","")&amp;IF(AND($V229="Macro",$H229&lt;&gt;"",OR(NOT(ISNUMBER($H229)),$H229&lt;0,$H229&gt;1)),"Peso fuera de rango"&amp;" · ","")&amp;IF(AND($V229="Sub",$H229&lt;&gt;""),"Las subactividades no llevan peso (valen igual dentro de su macroactividad)"&amp;" · ","")&amp;IF(AND(N($W229)&gt;0,COUNT($I229:$L229)&gt;0),"Con subactividades: deje vacías las semanas (se calculan solas)"&amp;" · ","")&amp;IF((COUNTIF($I229:$L229,"&gt;1")+COUNTIF($I229:$L229,"&lt;0")+COUNTA($I229:$L229)-COUNT($I229:$L229))&gt;0,"Avance fuera de rango 0-100%"&amp;" · ","")&amp;IF(OR(AND($J229&lt;&gt;"",$J229&lt;$I229),AND($K229&lt;&gt;"",$K229&lt;MAX($I229:$J229)),AND($L229&lt;&gt;"",$L229&lt;MAX($I229:$K229))),"Avance semanal decreciente"&amp;" · ","")&amp;IF(AND(ISNUMBER($AN229),$AN229&lt;FechaRef,IF($V229="Sub",N($X229),N($M229))&lt;1),"Vencida"&amp;" · ","")&amp;IF(AND(ObsObligatoria="Sí",ISNUMBER($AN229),$AN229&lt;FechaRef,IF($V229="Sub",N($X229),N($M229))&lt;1,$Q229=""),"Vencida sin observación"&amp;" · ",""))-3)))</f>
        <v/>
      </c>
      <c r="S229" s="64">
        <f>IF(NOT((COUNTA($B229:$D229)+COUNTA($G229:$L229)+COUNTA($Q229))&gt;0),"",IF(AND($V229="Sub",N($U229)&gt;0),IF(ISNUMBER(INDEX($AM$5:$AM$1000,$U229-4)),DATE(YEAR(INDEX($AM$5:$AM$1000,$U229-4)),MONTH(INDEX($AM$5:$AM$1000,$U229-4)),1),IF(ISNUMBER(INDEX($AN$5:$AN$1000,$U229-4)),DATE(YEAR(INDEX($AN$5:$AN$1000,$U229-4)),MONTH(INDEX($AN$5:$AN$1000,$U229-4)),1),MesCiclo)),IF(ISNUMBER($AM229),DATE(YEAR($AM229),MONTH($AM229),1),IF(ISNUMBER($AN229),DATE(YEAR($AN229),MONTH($AN229),1),MesCiclo))))</f>
        <v/>
      </c>
      <c r="T229" s="62">
        <f>IF(OR($S229="",$S229&lt;&gt;MesCiclo,$V229&lt;&gt;"Macro"),"",COUNTIFS($S$5:$S229,MesCiclo,$V$5:$V229,"Macro"))</f>
        <v/>
      </c>
      <c r="U229" s="62">
        <f>IF($V229="","",IF($V229="Macro",ROW(),IFERROR(LOOKUP(2,1/($V$5:$V229="Macro"),ROW($V$5:$V229)),0)))</f>
        <v/>
      </c>
      <c r="V229" s="62">
        <f>IF(NOT((COUNTA($B229:$D229)+COUNTA($G229:$L229)+COUNTA($Q229))&gt;0),"",IF($B229="Subactividad","Sub","Macro"))</f>
        <v/>
      </c>
      <c r="W229" s="62">
        <f>IF($V229="Macro",COUNTIFS($U$5:$U$1000,ROW(),$V$5:$V$1000,"Sub"),"")</f>
        <v/>
      </c>
      <c r="X229" s="62">
        <f>IF($V229="","",IF(ISNUMBER($G229),1,IFERROR(LOOKUP(2,1/($I229:$L229&lt;&gt;""),$I229:$L229),0)))</f>
        <v/>
      </c>
      <c r="Y229" s="62">
        <f>IF($V229="","",IF(AND(ISNUMBER($G229),$G229&lt;=IF($S229=MesCiclo,InicioCiclo,$S229+MOD(2-WEEKDAY($S229),7))+6),1,IF(ISNUMBER($I229),$I229,0)))</f>
        <v/>
      </c>
      <c r="Z229" s="62">
        <f>IF($V229="","",IF(AND(ISNUMBER($G229),$G229&lt;=IF($S229=MesCiclo,InicioCiclo,$S229+MOD(2-WEEKDAY($S229),7))+13),1,IF(ISNUMBER($J229),$J229,$Y229)))</f>
        <v/>
      </c>
      <c r="AA229" s="62">
        <f>IF($V229="","",IF(AND(ISNUMBER($G229),$G229&lt;=IF($S229=MesCiclo,InicioCiclo,$S229+MOD(2-WEEKDAY($S229),7))+20),1,IF(ISNUMBER($K229),$K229,$Z229)))</f>
        <v/>
      </c>
      <c r="AB229" s="62">
        <f>IF($V229="","",IF(AND(ISNUMBER($G229),$G229&lt;=IF($S229=MesCiclo,InicioCiclo,$S229+MOD(2-WEEKDAY($S229),7))+27),1,IF(ISNUMBER($L229),$L229,$AA229)))</f>
        <v/>
      </c>
      <c r="AC229" s="62">
        <f>IF($V229="","",IF(AND(ISNUMBER($G229),$G229&lt;=IF($S229=MesCiclo,InicioCiclo,$S229+MOD(2-WEEKDAY($S229),7))+6),1,IF(N($W229)&gt;0,AVERAGEIFS($Y$5:$Y$1000,$U$5:$U$1000,ROW(),$V$5:$V$1000,"Sub"),$Y229)))</f>
        <v/>
      </c>
      <c r="AD229" s="62">
        <f>IF($V229="","",IF(AND(ISNUMBER($G229),$G229&lt;=IF($S229=MesCiclo,InicioCiclo,$S229+MOD(2-WEEKDAY($S229),7))+13),1,IF(N($W229)&gt;0,AVERAGEIFS($Z$5:$Z$1000,$U$5:$U$1000,ROW(),$V$5:$V$1000,"Sub"),$Z229)))</f>
        <v/>
      </c>
      <c r="AE229" s="62">
        <f>IF($V229="","",IF(AND(ISNUMBER($G229),$G229&lt;=IF($S229=MesCiclo,InicioCiclo,$S229+MOD(2-WEEKDAY($S229),7))+20),1,IF(N($W229)&gt;0,AVERAGEIFS($AA$5:$AA$1000,$U$5:$U$1000,ROW(),$V$5:$V$1000,"Sub"),$AA229)))</f>
        <v/>
      </c>
      <c r="AF229" s="62">
        <f>IF($V229="","",IF(AND(ISNUMBER($G229),$G229&lt;=IF($S229=MesCiclo,InicioCiclo,$S229+MOD(2-WEEKDAY($S229),7))+27),1,IF(N($W229)&gt;0,AVERAGEIFS($AB$5:$AB$1000,$U$5:$U$1000,ROW(),$V$5:$V$1000,"Sub"),$AB229)))</f>
        <v/>
      </c>
      <c r="AG229" s="62">
        <f>IF($V229&lt;&gt;"Macro","",IF(COUNTIFS($S$5:$S$1000,$S229,$V$5:$V$1000,"Macro",$H$5:$H$1000,"&gt;0")=0,1/COUNTIFS($S$5:$S$1000,$S229,$V$5:$V$1000,"Macro"),IF(AND(ISNUMBER($H229),N($H229)&gt;0),$H229,SUMIFS($H$5:$H$1000,$S$5:$S$1000,$S229,$V$5:$V$1000,"Macro")/COUNTIFS($S$5:$S$1000,$S229,$V$5:$V$1000,"Macro",$H$5:$H$1000,"&gt;0"))/(COUNTIFS($S$5:$S$1000,$S229,$V$5:$V$1000,"Macro")*SUMIFS($H$5:$H$1000,$S$5:$S$1000,$S229,$V$5:$V$1000,"Macro")/COUNTIFS($S$5:$S$1000,$S229,$V$5:$V$1000,"Macro",$H$5:$H$1000,"&gt;0"))))</f>
        <v/>
      </c>
      <c r="AH229" s="62">
        <f>IF(NOT(AND($D229&lt;&gt;"",$V229="Macro")),"",IFERROR(CHOOSE(MATCH($D229,ListaPuestos,0),MATCH("[Jefatura] "&amp;$C229,'Cronograma R. Operacional'!$C$5:$C$1000,0),MATCH("[Jefatura] "&amp;$C229,'Cronograma R. Normativo'!$C$5:$C$1000,0),MATCH("[Jefatura] "&amp;$C229,'Cronograma R. Financiero'!$C$5:$C$1000,0),MATCH("[Jefatura] "&amp;$C229,'Cronograma Asistente Técnico'!$C$5:$C$1000,0)),0))</f>
        <v/>
      </c>
      <c r="AI229" s="62">
        <f>IF(AND(AND($D229&lt;&gt;"",$V229="Macro"),$S229=MesCiclo),COUNTIFS($D$5:$D229,$D229,$S$5:$S229,MesCiclo,$V$5:$V229,"Macro"),"")</f>
        <v/>
      </c>
      <c r="AJ229" s="62">
        <f>IF($AI229="","",$D229&amp;"|"&amp;$AI229)</f>
        <v/>
      </c>
      <c r="AK229" s="62">
        <f>IF(AND($D229&lt;&gt;"",$V229="Macro"),$D229&amp;"|"&amp;$C229,"")</f>
        <v/>
      </c>
      <c r="AL229" s="62">
        <f>""</f>
        <v/>
      </c>
      <c r="AM229" s="62">
        <f>IF(N($AL229)&gt;0,INDEX(rIni_ADM,$AL229),IF(ISNUMBER($E229),$E229,""))</f>
        <v/>
      </c>
      <c r="AN229" s="62">
        <f>IF(N($AL229)&gt;0,INDEX(rLim_ADM,$AL229),IF(ISNUMBER($F229),$F229,""))</f>
        <v/>
      </c>
    </row>
    <row r="230">
      <c r="A230" s="56">
        <f>IF(NOT((COUNTA($B230:$D230)+COUNTA($G230:$L230)+COUNTA($Q230))&gt;0),"",IF($V230="Macro",COUNTIFS($V$5:$V230,"Macro",$S$5:$S230,$S230),IF(N($U230)=0,"?",COUNTIFS(INDEX($V$5:$V$1000,1):INDEX($V$5:$V$1000,$U230-4),"Macro",INDEX($S$5:$S$1000,1):INDEX($S$5:$S$1000,$U230-4),INDEX($S$5:$S$1000,$U230-4))&amp;"."&amp;COUNTIFS($U$5:$U230,$U230,$V$5:$V230,"Sub"))))</f>
        <v/>
      </c>
      <c r="B230" s="57" t="n"/>
      <c r="C230" s="58" t="n"/>
      <c r="D230" s="58" t="n"/>
      <c r="E230" s="59" t="n"/>
      <c r="F230" s="59" t="n"/>
      <c r="G230" s="59" t="n"/>
      <c r="H230" s="60" t="n"/>
      <c r="I230" s="60" t="n"/>
      <c r="J230" s="60" t="n"/>
      <c r="K230" s="60" t="n"/>
      <c r="L230" s="60" t="n"/>
      <c r="M230" s="61">
        <f>IF(NOT((COUNTA($B230:$D230)+COUNTA($G230:$L230)+COUNTA($Q230))&gt;0),"",IF(AND($D230&lt;&gt;"",$V230="Macro"),IF(N($AH230)&gt;0,N(CHOOSE(MATCH($D230,ListaPuestos,0),INDEX('Cronograma R. Operacional'!$M$5:$M$1000,$AH230),INDEX('Cronograma R. Normativo'!$M$5:$M$1000,$AH230),INDEX('Cronograma R. Financiero'!$M$5:$M$1000,$AH230),INDEX('Cronograma Asistente Técnico'!$M$5:$M$1000,$AH230))),0),IF(ISNUMBER($G230),1,IF(N($W230)&gt;0,AVERAGEIFS($X$5:$X$1000,$U$5:$U$1000,ROW(),$V$5:$V$1000,"Sub"),$X230))))</f>
        <v/>
      </c>
      <c r="N230" s="56">
        <f>IF(OR($M230="",$V230="Sub"),"",IF($M230&gt;=1,"Completado",IF($M230&gt;0,"En curso","Pendiente")))</f>
        <v/>
      </c>
      <c r="O230" s="56">
        <f>IF(NOT((COUNTA($B230:$D230)+COUNTA($G230:$L230)+COUNTA($Q230))&gt;0),"",IF(AND(AND($D230&lt;&gt;"",$V230="Macro"),N($AH230)&gt;0),CHOOSE(MATCH($D230,ListaPuestos,0),INDEX('Cronograma R. Operacional'!$O$5:$O$1000,$AH230),INDEX('Cronograma R. Normativo'!$O$5:$O$1000,$AH230),INDEX('Cronograma R. Financiero'!$O$5:$O$1000,$AH230),INDEX('Cronograma Asistente Técnico'!$O$5:$O$1000,$AH230))&amp;"",IF(ISNUMBER($G230),IF(AND(ISNUMBER($AN230),$G230&gt;$AN230),"Cumplida con "&amp;($G230-$AN230)&amp;IF($G230-$AN230=1," día"," días")&amp;" de retraso","Cumplida"),IF(N($M230)&gt;=1,"Cumplida",IF(NOT(ISNUMBER($AN230)),"Sin fecha límite",IF($AN230&lt;FechaRef,"Vencida hace "&amp;(FechaRef-$AN230)&amp;IF(FechaRef-$AN230=1," día"," días"),IF($AN230=FechaRef,"Vence hoy",IF($AN230-FechaRef&lt;=DiasAlerta,"Vence en "&amp;($AN230-FechaRef)&amp;IF($AN230-FechaRef=1," día"," días"),"En plazo"))))))))</f>
        <v/>
      </c>
      <c r="P230" s="62">
        <f>IF(NOT((COUNTA($B230:$D230)+COUNTA($G230:$L230)+COUNTA($Q230))&gt;0),"",IF($D230="","Propia",IF($V230&lt;&gt;"Macro","Solo se delegan macroactividades",IF(N($AH230)&gt;0,"✔ Recibida por "&amp;$D230,"⚠ "&amp;$D230&amp;" aún no la agrega"))))</f>
        <v/>
      </c>
      <c r="Q230" s="58" t="n"/>
      <c r="R230" s="63">
        <f>IF(NOT((COUNTA($B230:$D230)+COUNTA($G230:$L230)+COUNTA($Q230))&gt;0),"",IF((IF($C230="","Falta el nombre de la actividad"&amp;" · ","")&amp;IF(AND($V230="Sub",N($U230)=0),"Subactividad sin macroactividad arriba"&amp;" · ","")&amp;IF($AM230="","Sin fecha de inicio"&amp;" · ","")&amp;IF($AN230="","Sin fecha límite"&amp;" · ","")&amp;IF(AND(LEFT($C230,11)="[Jefatura] ",N($AL230)=0),"No se encuentra en la hoja de la jefatura (elíjala de nuevo en la lista)"&amp;" · ","")&amp;IF(OR(AND($E230&lt;&gt;"",NOT(ISNUMBER($E230))),AND($F230&lt;&gt;"",NOT(ISNUMBER($F230))),AND($G230&lt;&gt;"",NOT(ISNUMBER($G230)))),"Fecha no válida"&amp;" · ","")&amp;IF(AND(ISNUMBER($AM230),ISNUMBER($AN230),$AM230&gt;$AN230),"Inicio posterior a fecha límite"&amp;" · ","")&amp;IF(AND($V230="Macro",$H230&lt;&gt;"",OR(NOT(ISNUMBER($H230)),$H230&lt;0,$H230&gt;1)),"Peso fuera de rango"&amp;" · ","")&amp;IF(AND($V230="Sub",$H230&lt;&gt;""),"Las subactividades no llevan peso (valen igual dentro de su macroactividad)"&amp;" · ","")&amp;IF(AND(N($W230)&gt;0,COUNT($I230:$L230)&gt;0),"Con subactividades: deje vacías las semanas (se calculan solas)"&amp;" · ","")&amp;IF((COUNTIF($I230:$L230,"&gt;1")+COUNTIF($I230:$L230,"&lt;0")+COUNTA($I230:$L230)-COUNT($I230:$L230))&gt;0,"Avance fuera de rango 0-100%"&amp;" · ","")&amp;IF(OR(AND($J230&lt;&gt;"",$J230&lt;$I230),AND($K230&lt;&gt;"",$K230&lt;MAX($I230:$J230)),AND($L230&lt;&gt;"",$L230&lt;MAX($I230:$K230))),"Avance semanal decreciente"&amp;" · ","")&amp;IF(AND(ISNUMBER($AN230),$AN230&lt;FechaRef,IF($V230="Sub",N($X230),N($M230))&lt;1),"Vencida"&amp;" · ","")&amp;IF(AND(ObsObligatoria="Sí",ISNUMBER($AN230),$AN230&lt;FechaRef,IF($V230="Sub",N($X230),N($M230))&lt;1,$Q230=""),"Vencida sin observación"&amp;" · ",""))="","✔ OK","⚠ "&amp;LEFT(IF($C230="","Falta el nombre de la actividad"&amp;" · ","")&amp;IF(AND($V230="Sub",N($U230)=0),"Subactividad sin macroactividad arriba"&amp;" · ","")&amp;IF($AM230="","Sin fecha de inicio"&amp;" · ","")&amp;IF($AN230="","Sin fecha límite"&amp;" · ","")&amp;IF(AND(LEFT($C230,11)="[Jefatura] ",N($AL230)=0),"No se encuentra en la hoja de la jefatura (elíjala de nuevo en la lista)"&amp;" · ","")&amp;IF(OR(AND($E230&lt;&gt;"",NOT(ISNUMBER($E230))),AND($F230&lt;&gt;"",NOT(ISNUMBER($F230))),AND($G230&lt;&gt;"",NOT(ISNUMBER($G230)))),"Fecha no válida"&amp;" · ","")&amp;IF(AND(ISNUMBER($AM230),ISNUMBER($AN230),$AM230&gt;$AN230),"Inicio posterior a fecha límite"&amp;" · ","")&amp;IF(AND($V230="Macro",$H230&lt;&gt;"",OR(NOT(ISNUMBER($H230)),$H230&lt;0,$H230&gt;1)),"Peso fuera de rango"&amp;" · ","")&amp;IF(AND($V230="Sub",$H230&lt;&gt;""),"Las subactividades no llevan peso (valen igual dentro de su macroactividad)"&amp;" · ","")&amp;IF(AND(N($W230)&gt;0,COUNT($I230:$L230)&gt;0),"Con subactividades: deje vacías las semanas (se calculan solas)"&amp;" · ","")&amp;IF((COUNTIF($I230:$L230,"&gt;1")+COUNTIF($I230:$L230,"&lt;0")+COUNTA($I230:$L230)-COUNT($I230:$L230))&gt;0,"Avance fuera de rango 0-100%"&amp;" · ","")&amp;IF(OR(AND($J230&lt;&gt;"",$J230&lt;$I230),AND($K230&lt;&gt;"",$K230&lt;MAX($I230:$J230)),AND($L230&lt;&gt;"",$L230&lt;MAX($I230:$K230))),"Avance semanal decreciente"&amp;" · ","")&amp;IF(AND(ISNUMBER($AN230),$AN230&lt;FechaRef,IF($V230="Sub",N($X230),N($M230))&lt;1),"Vencida"&amp;" · ","")&amp;IF(AND(ObsObligatoria="Sí",ISNUMBER($AN230),$AN230&lt;FechaRef,IF($V230="Sub",N($X230),N($M230))&lt;1,$Q230=""),"Vencida sin observación"&amp;" · ",""),LEN(IF($C230="","Falta el nombre de la actividad"&amp;" · ","")&amp;IF(AND($V230="Sub",N($U230)=0),"Subactividad sin macroactividad arriba"&amp;" · ","")&amp;IF($AM230="","Sin fecha de inicio"&amp;" · ","")&amp;IF($AN230="","Sin fecha límite"&amp;" · ","")&amp;IF(AND(LEFT($C230,11)="[Jefatura] ",N($AL230)=0),"No se encuentra en la hoja de la jefatura (elíjala de nuevo en la lista)"&amp;" · ","")&amp;IF(OR(AND($E230&lt;&gt;"",NOT(ISNUMBER($E230))),AND($F230&lt;&gt;"",NOT(ISNUMBER($F230))),AND($G230&lt;&gt;"",NOT(ISNUMBER($G230)))),"Fecha no válida"&amp;" · ","")&amp;IF(AND(ISNUMBER($AM230),ISNUMBER($AN230),$AM230&gt;$AN230),"Inicio posterior a fecha límite"&amp;" · ","")&amp;IF(AND($V230="Macro",$H230&lt;&gt;"",OR(NOT(ISNUMBER($H230)),$H230&lt;0,$H230&gt;1)),"Peso fuera de rango"&amp;" · ","")&amp;IF(AND($V230="Sub",$H230&lt;&gt;""),"Las subactividades no llevan peso (valen igual dentro de su macroactividad)"&amp;" · ","")&amp;IF(AND(N($W230)&gt;0,COUNT($I230:$L230)&gt;0),"Con subactividades: deje vacías las semanas (se calculan solas)"&amp;" · ","")&amp;IF((COUNTIF($I230:$L230,"&gt;1")+COUNTIF($I230:$L230,"&lt;0")+COUNTA($I230:$L230)-COUNT($I230:$L230))&gt;0,"Avance fuera de rango 0-100%"&amp;" · ","")&amp;IF(OR(AND($J230&lt;&gt;"",$J230&lt;$I230),AND($K230&lt;&gt;"",$K230&lt;MAX($I230:$J230)),AND($L230&lt;&gt;"",$L230&lt;MAX($I230:$K230))),"Avance semanal decreciente"&amp;" · ","")&amp;IF(AND(ISNUMBER($AN230),$AN230&lt;FechaRef,IF($V230="Sub",N($X230),N($M230))&lt;1),"Vencida"&amp;" · ","")&amp;IF(AND(ObsObligatoria="Sí",ISNUMBER($AN230),$AN230&lt;FechaRef,IF($V230="Sub",N($X230),N($M230))&lt;1,$Q230=""),"Vencida sin observación"&amp;" · ",""))-3)))</f>
        <v/>
      </c>
      <c r="S230" s="64">
        <f>IF(NOT((COUNTA($B230:$D230)+COUNTA($G230:$L230)+COUNTA($Q230))&gt;0),"",IF(AND($V230="Sub",N($U230)&gt;0),IF(ISNUMBER(INDEX($AM$5:$AM$1000,$U230-4)),DATE(YEAR(INDEX($AM$5:$AM$1000,$U230-4)),MONTH(INDEX($AM$5:$AM$1000,$U230-4)),1),IF(ISNUMBER(INDEX($AN$5:$AN$1000,$U230-4)),DATE(YEAR(INDEX($AN$5:$AN$1000,$U230-4)),MONTH(INDEX($AN$5:$AN$1000,$U230-4)),1),MesCiclo)),IF(ISNUMBER($AM230),DATE(YEAR($AM230),MONTH($AM230),1),IF(ISNUMBER($AN230),DATE(YEAR($AN230),MONTH($AN230),1),MesCiclo))))</f>
        <v/>
      </c>
      <c r="T230" s="62">
        <f>IF(OR($S230="",$S230&lt;&gt;MesCiclo,$V230&lt;&gt;"Macro"),"",COUNTIFS($S$5:$S230,MesCiclo,$V$5:$V230,"Macro"))</f>
        <v/>
      </c>
      <c r="U230" s="62">
        <f>IF($V230="","",IF($V230="Macro",ROW(),IFERROR(LOOKUP(2,1/($V$5:$V230="Macro"),ROW($V$5:$V230)),0)))</f>
        <v/>
      </c>
      <c r="V230" s="62">
        <f>IF(NOT((COUNTA($B230:$D230)+COUNTA($G230:$L230)+COUNTA($Q230))&gt;0),"",IF($B230="Subactividad","Sub","Macro"))</f>
        <v/>
      </c>
      <c r="W230" s="62">
        <f>IF($V230="Macro",COUNTIFS($U$5:$U$1000,ROW(),$V$5:$V$1000,"Sub"),"")</f>
        <v/>
      </c>
      <c r="X230" s="62">
        <f>IF($V230="","",IF(ISNUMBER($G230),1,IFERROR(LOOKUP(2,1/($I230:$L230&lt;&gt;""),$I230:$L230),0)))</f>
        <v/>
      </c>
      <c r="Y230" s="62">
        <f>IF($V230="","",IF(AND(ISNUMBER($G230),$G230&lt;=IF($S230=MesCiclo,InicioCiclo,$S230+MOD(2-WEEKDAY($S230),7))+6),1,IF(ISNUMBER($I230),$I230,0)))</f>
        <v/>
      </c>
      <c r="Z230" s="62">
        <f>IF($V230="","",IF(AND(ISNUMBER($G230),$G230&lt;=IF($S230=MesCiclo,InicioCiclo,$S230+MOD(2-WEEKDAY($S230),7))+13),1,IF(ISNUMBER($J230),$J230,$Y230)))</f>
        <v/>
      </c>
      <c r="AA230" s="62">
        <f>IF($V230="","",IF(AND(ISNUMBER($G230),$G230&lt;=IF($S230=MesCiclo,InicioCiclo,$S230+MOD(2-WEEKDAY($S230),7))+20),1,IF(ISNUMBER($K230),$K230,$Z230)))</f>
        <v/>
      </c>
      <c r="AB230" s="62">
        <f>IF($V230="","",IF(AND(ISNUMBER($G230),$G230&lt;=IF($S230=MesCiclo,InicioCiclo,$S230+MOD(2-WEEKDAY($S230),7))+27),1,IF(ISNUMBER($L230),$L230,$AA230)))</f>
        <v/>
      </c>
      <c r="AC230" s="62">
        <f>IF($V230="","",IF(AND(ISNUMBER($G230),$G230&lt;=IF($S230=MesCiclo,InicioCiclo,$S230+MOD(2-WEEKDAY($S230),7))+6),1,IF(N($W230)&gt;0,AVERAGEIFS($Y$5:$Y$1000,$U$5:$U$1000,ROW(),$V$5:$V$1000,"Sub"),$Y230)))</f>
        <v/>
      </c>
      <c r="AD230" s="62">
        <f>IF($V230="","",IF(AND(ISNUMBER($G230),$G230&lt;=IF($S230=MesCiclo,InicioCiclo,$S230+MOD(2-WEEKDAY($S230),7))+13),1,IF(N($W230)&gt;0,AVERAGEIFS($Z$5:$Z$1000,$U$5:$U$1000,ROW(),$V$5:$V$1000,"Sub"),$Z230)))</f>
        <v/>
      </c>
      <c r="AE230" s="62">
        <f>IF($V230="","",IF(AND(ISNUMBER($G230),$G230&lt;=IF($S230=MesCiclo,InicioCiclo,$S230+MOD(2-WEEKDAY($S230),7))+20),1,IF(N($W230)&gt;0,AVERAGEIFS($AA$5:$AA$1000,$U$5:$U$1000,ROW(),$V$5:$V$1000,"Sub"),$AA230)))</f>
        <v/>
      </c>
      <c r="AF230" s="62">
        <f>IF($V230="","",IF(AND(ISNUMBER($G230),$G230&lt;=IF($S230=MesCiclo,InicioCiclo,$S230+MOD(2-WEEKDAY($S230),7))+27),1,IF(N($W230)&gt;0,AVERAGEIFS($AB$5:$AB$1000,$U$5:$U$1000,ROW(),$V$5:$V$1000,"Sub"),$AB230)))</f>
        <v/>
      </c>
      <c r="AG230" s="62">
        <f>IF($V230&lt;&gt;"Macro","",IF(COUNTIFS($S$5:$S$1000,$S230,$V$5:$V$1000,"Macro",$H$5:$H$1000,"&gt;0")=0,1/COUNTIFS($S$5:$S$1000,$S230,$V$5:$V$1000,"Macro"),IF(AND(ISNUMBER($H230),N($H230)&gt;0),$H230,SUMIFS($H$5:$H$1000,$S$5:$S$1000,$S230,$V$5:$V$1000,"Macro")/COUNTIFS($S$5:$S$1000,$S230,$V$5:$V$1000,"Macro",$H$5:$H$1000,"&gt;0"))/(COUNTIFS($S$5:$S$1000,$S230,$V$5:$V$1000,"Macro")*SUMIFS($H$5:$H$1000,$S$5:$S$1000,$S230,$V$5:$V$1000,"Macro")/COUNTIFS($S$5:$S$1000,$S230,$V$5:$V$1000,"Macro",$H$5:$H$1000,"&gt;0"))))</f>
        <v/>
      </c>
      <c r="AH230" s="62">
        <f>IF(NOT(AND($D230&lt;&gt;"",$V230="Macro")),"",IFERROR(CHOOSE(MATCH($D230,ListaPuestos,0),MATCH("[Jefatura] "&amp;$C230,'Cronograma R. Operacional'!$C$5:$C$1000,0),MATCH("[Jefatura] "&amp;$C230,'Cronograma R. Normativo'!$C$5:$C$1000,0),MATCH("[Jefatura] "&amp;$C230,'Cronograma R. Financiero'!$C$5:$C$1000,0),MATCH("[Jefatura] "&amp;$C230,'Cronograma Asistente Técnico'!$C$5:$C$1000,0)),0))</f>
        <v/>
      </c>
      <c r="AI230" s="62">
        <f>IF(AND(AND($D230&lt;&gt;"",$V230="Macro"),$S230=MesCiclo),COUNTIFS($D$5:$D230,$D230,$S$5:$S230,MesCiclo,$V$5:$V230,"Macro"),"")</f>
        <v/>
      </c>
      <c r="AJ230" s="62">
        <f>IF($AI230="","",$D230&amp;"|"&amp;$AI230)</f>
        <v/>
      </c>
      <c r="AK230" s="62">
        <f>IF(AND($D230&lt;&gt;"",$V230="Macro"),$D230&amp;"|"&amp;$C230,"")</f>
        <v/>
      </c>
      <c r="AL230" s="62">
        <f>""</f>
        <v/>
      </c>
      <c r="AM230" s="62">
        <f>IF(N($AL230)&gt;0,INDEX(rIni_ADM,$AL230),IF(ISNUMBER($E230),$E230,""))</f>
        <v/>
      </c>
      <c r="AN230" s="62">
        <f>IF(N($AL230)&gt;0,INDEX(rLim_ADM,$AL230),IF(ISNUMBER($F230),$F230,""))</f>
        <v/>
      </c>
    </row>
    <row r="231">
      <c r="A231" s="56">
        <f>IF(NOT((COUNTA($B231:$D231)+COUNTA($G231:$L231)+COUNTA($Q231))&gt;0),"",IF($V231="Macro",COUNTIFS($V$5:$V231,"Macro",$S$5:$S231,$S231),IF(N($U231)=0,"?",COUNTIFS(INDEX($V$5:$V$1000,1):INDEX($V$5:$V$1000,$U231-4),"Macro",INDEX($S$5:$S$1000,1):INDEX($S$5:$S$1000,$U231-4),INDEX($S$5:$S$1000,$U231-4))&amp;"."&amp;COUNTIFS($U$5:$U231,$U231,$V$5:$V231,"Sub"))))</f>
        <v/>
      </c>
      <c r="B231" s="57" t="n"/>
      <c r="C231" s="58" t="n"/>
      <c r="D231" s="58" t="n"/>
      <c r="E231" s="59" t="n"/>
      <c r="F231" s="59" t="n"/>
      <c r="G231" s="59" t="n"/>
      <c r="H231" s="60" t="n"/>
      <c r="I231" s="60" t="n"/>
      <c r="J231" s="60" t="n"/>
      <c r="K231" s="60" t="n"/>
      <c r="L231" s="60" t="n"/>
      <c r="M231" s="61">
        <f>IF(NOT((COUNTA($B231:$D231)+COUNTA($G231:$L231)+COUNTA($Q231))&gt;0),"",IF(AND($D231&lt;&gt;"",$V231="Macro"),IF(N($AH231)&gt;0,N(CHOOSE(MATCH($D231,ListaPuestos,0),INDEX('Cronograma R. Operacional'!$M$5:$M$1000,$AH231),INDEX('Cronograma R. Normativo'!$M$5:$M$1000,$AH231),INDEX('Cronograma R. Financiero'!$M$5:$M$1000,$AH231),INDEX('Cronograma Asistente Técnico'!$M$5:$M$1000,$AH231))),0),IF(ISNUMBER($G231),1,IF(N($W231)&gt;0,AVERAGEIFS($X$5:$X$1000,$U$5:$U$1000,ROW(),$V$5:$V$1000,"Sub"),$X231))))</f>
        <v/>
      </c>
      <c r="N231" s="56">
        <f>IF(OR($M231="",$V231="Sub"),"",IF($M231&gt;=1,"Completado",IF($M231&gt;0,"En curso","Pendiente")))</f>
        <v/>
      </c>
      <c r="O231" s="56">
        <f>IF(NOT((COUNTA($B231:$D231)+COUNTA($G231:$L231)+COUNTA($Q231))&gt;0),"",IF(AND(AND($D231&lt;&gt;"",$V231="Macro"),N($AH231)&gt;0),CHOOSE(MATCH($D231,ListaPuestos,0),INDEX('Cronograma R. Operacional'!$O$5:$O$1000,$AH231),INDEX('Cronograma R. Normativo'!$O$5:$O$1000,$AH231),INDEX('Cronograma R. Financiero'!$O$5:$O$1000,$AH231),INDEX('Cronograma Asistente Técnico'!$O$5:$O$1000,$AH231))&amp;"",IF(ISNUMBER($G231),IF(AND(ISNUMBER($AN231),$G231&gt;$AN231),"Cumplida con "&amp;($G231-$AN231)&amp;IF($G231-$AN231=1," día"," días")&amp;" de retraso","Cumplida"),IF(N($M231)&gt;=1,"Cumplida",IF(NOT(ISNUMBER($AN231)),"Sin fecha límite",IF($AN231&lt;FechaRef,"Vencida hace "&amp;(FechaRef-$AN231)&amp;IF(FechaRef-$AN231=1," día"," días"),IF($AN231=FechaRef,"Vence hoy",IF($AN231-FechaRef&lt;=DiasAlerta,"Vence en "&amp;($AN231-FechaRef)&amp;IF($AN231-FechaRef=1," día"," días"),"En plazo"))))))))</f>
        <v/>
      </c>
      <c r="P231" s="62">
        <f>IF(NOT((COUNTA($B231:$D231)+COUNTA($G231:$L231)+COUNTA($Q231))&gt;0),"",IF($D231="","Propia",IF($V231&lt;&gt;"Macro","Solo se delegan macroactividades",IF(N($AH231)&gt;0,"✔ Recibida por "&amp;$D231,"⚠ "&amp;$D231&amp;" aún no la agrega"))))</f>
        <v/>
      </c>
      <c r="Q231" s="58" t="n"/>
      <c r="R231" s="63">
        <f>IF(NOT((COUNTA($B231:$D231)+COUNTA($G231:$L231)+COUNTA($Q231))&gt;0),"",IF((IF($C231="","Falta el nombre de la actividad"&amp;" · ","")&amp;IF(AND($V231="Sub",N($U231)=0),"Subactividad sin macroactividad arriba"&amp;" · ","")&amp;IF($AM231="","Sin fecha de inicio"&amp;" · ","")&amp;IF($AN231="","Sin fecha límite"&amp;" · ","")&amp;IF(AND(LEFT($C231,11)="[Jefatura] ",N($AL231)=0),"No se encuentra en la hoja de la jefatura (elíjala de nuevo en la lista)"&amp;" · ","")&amp;IF(OR(AND($E231&lt;&gt;"",NOT(ISNUMBER($E231))),AND($F231&lt;&gt;"",NOT(ISNUMBER($F231))),AND($G231&lt;&gt;"",NOT(ISNUMBER($G231)))),"Fecha no válida"&amp;" · ","")&amp;IF(AND(ISNUMBER($AM231),ISNUMBER($AN231),$AM231&gt;$AN231),"Inicio posterior a fecha límite"&amp;" · ","")&amp;IF(AND($V231="Macro",$H231&lt;&gt;"",OR(NOT(ISNUMBER($H231)),$H231&lt;0,$H231&gt;1)),"Peso fuera de rango"&amp;" · ","")&amp;IF(AND($V231="Sub",$H231&lt;&gt;""),"Las subactividades no llevan peso (valen igual dentro de su macroactividad)"&amp;" · ","")&amp;IF(AND(N($W231)&gt;0,COUNT($I231:$L231)&gt;0),"Con subactividades: deje vacías las semanas (se calculan solas)"&amp;" · ","")&amp;IF((COUNTIF($I231:$L231,"&gt;1")+COUNTIF($I231:$L231,"&lt;0")+COUNTA($I231:$L231)-COUNT($I231:$L231))&gt;0,"Avance fuera de rango 0-100%"&amp;" · ","")&amp;IF(OR(AND($J231&lt;&gt;"",$J231&lt;$I231),AND($K231&lt;&gt;"",$K231&lt;MAX($I231:$J231)),AND($L231&lt;&gt;"",$L231&lt;MAX($I231:$K231))),"Avance semanal decreciente"&amp;" · ","")&amp;IF(AND(ISNUMBER($AN231),$AN231&lt;FechaRef,IF($V231="Sub",N($X231),N($M231))&lt;1),"Vencida"&amp;" · ","")&amp;IF(AND(ObsObligatoria="Sí",ISNUMBER($AN231),$AN231&lt;FechaRef,IF($V231="Sub",N($X231),N($M231))&lt;1,$Q231=""),"Vencida sin observación"&amp;" · ",""))="","✔ OK","⚠ "&amp;LEFT(IF($C231="","Falta el nombre de la actividad"&amp;" · ","")&amp;IF(AND($V231="Sub",N($U231)=0),"Subactividad sin macroactividad arriba"&amp;" · ","")&amp;IF($AM231="","Sin fecha de inicio"&amp;" · ","")&amp;IF($AN231="","Sin fecha límite"&amp;" · ","")&amp;IF(AND(LEFT($C231,11)="[Jefatura] ",N($AL231)=0),"No se encuentra en la hoja de la jefatura (elíjala de nuevo en la lista)"&amp;" · ","")&amp;IF(OR(AND($E231&lt;&gt;"",NOT(ISNUMBER($E231))),AND($F231&lt;&gt;"",NOT(ISNUMBER($F231))),AND($G231&lt;&gt;"",NOT(ISNUMBER($G231)))),"Fecha no válida"&amp;" · ","")&amp;IF(AND(ISNUMBER($AM231),ISNUMBER($AN231),$AM231&gt;$AN231),"Inicio posterior a fecha límite"&amp;" · ","")&amp;IF(AND($V231="Macro",$H231&lt;&gt;"",OR(NOT(ISNUMBER($H231)),$H231&lt;0,$H231&gt;1)),"Peso fuera de rango"&amp;" · ","")&amp;IF(AND($V231="Sub",$H231&lt;&gt;""),"Las subactividades no llevan peso (valen igual dentro de su macroactividad)"&amp;" · ","")&amp;IF(AND(N($W231)&gt;0,COUNT($I231:$L231)&gt;0),"Con subactividades: deje vacías las semanas (se calculan solas)"&amp;" · ","")&amp;IF((COUNTIF($I231:$L231,"&gt;1")+COUNTIF($I231:$L231,"&lt;0")+COUNTA($I231:$L231)-COUNT($I231:$L231))&gt;0,"Avance fuera de rango 0-100%"&amp;" · ","")&amp;IF(OR(AND($J231&lt;&gt;"",$J231&lt;$I231),AND($K231&lt;&gt;"",$K231&lt;MAX($I231:$J231)),AND($L231&lt;&gt;"",$L231&lt;MAX($I231:$K231))),"Avance semanal decreciente"&amp;" · ","")&amp;IF(AND(ISNUMBER($AN231),$AN231&lt;FechaRef,IF($V231="Sub",N($X231),N($M231))&lt;1),"Vencida"&amp;" · ","")&amp;IF(AND(ObsObligatoria="Sí",ISNUMBER($AN231),$AN231&lt;FechaRef,IF($V231="Sub",N($X231),N($M231))&lt;1,$Q231=""),"Vencida sin observación"&amp;" · ",""),LEN(IF($C231="","Falta el nombre de la actividad"&amp;" · ","")&amp;IF(AND($V231="Sub",N($U231)=0),"Subactividad sin macroactividad arriba"&amp;" · ","")&amp;IF($AM231="","Sin fecha de inicio"&amp;" · ","")&amp;IF($AN231="","Sin fecha límite"&amp;" · ","")&amp;IF(AND(LEFT($C231,11)="[Jefatura] ",N($AL231)=0),"No se encuentra en la hoja de la jefatura (elíjala de nuevo en la lista)"&amp;" · ","")&amp;IF(OR(AND($E231&lt;&gt;"",NOT(ISNUMBER($E231))),AND($F231&lt;&gt;"",NOT(ISNUMBER($F231))),AND($G231&lt;&gt;"",NOT(ISNUMBER($G231)))),"Fecha no válida"&amp;" · ","")&amp;IF(AND(ISNUMBER($AM231),ISNUMBER($AN231),$AM231&gt;$AN231),"Inicio posterior a fecha límite"&amp;" · ","")&amp;IF(AND($V231="Macro",$H231&lt;&gt;"",OR(NOT(ISNUMBER($H231)),$H231&lt;0,$H231&gt;1)),"Peso fuera de rango"&amp;" · ","")&amp;IF(AND($V231="Sub",$H231&lt;&gt;""),"Las subactividades no llevan peso (valen igual dentro de su macroactividad)"&amp;" · ","")&amp;IF(AND(N($W231)&gt;0,COUNT($I231:$L231)&gt;0),"Con subactividades: deje vacías las semanas (se calculan solas)"&amp;" · ","")&amp;IF((COUNTIF($I231:$L231,"&gt;1")+COUNTIF($I231:$L231,"&lt;0")+COUNTA($I231:$L231)-COUNT($I231:$L231))&gt;0,"Avance fuera de rango 0-100%"&amp;" · ","")&amp;IF(OR(AND($J231&lt;&gt;"",$J231&lt;$I231),AND($K231&lt;&gt;"",$K231&lt;MAX($I231:$J231)),AND($L231&lt;&gt;"",$L231&lt;MAX($I231:$K231))),"Avance semanal decreciente"&amp;" · ","")&amp;IF(AND(ISNUMBER($AN231),$AN231&lt;FechaRef,IF($V231="Sub",N($X231),N($M231))&lt;1),"Vencida"&amp;" · ","")&amp;IF(AND(ObsObligatoria="Sí",ISNUMBER($AN231),$AN231&lt;FechaRef,IF($V231="Sub",N($X231),N($M231))&lt;1,$Q231=""),"Vencida sin observación"&amp;" · ",""))-3)))</f>
        <v/>
      </c>
      <c r="S231" s="64">
        <f>IF(NOT((COUNTA($B231:$D231)+COUNTA($G231:$L231)+COUNTA($Q231))&gt;0),"",IF(AND($V231="Sub",N($U231)&gt;0),IF(ISNUMBER(INDEX($AM$5:$AM$1000,$U231-4)),DATE(YEAR(INDEX($AM$5:$AM$1000,$U231-4)),MONTH(INDEX($AM$5:$AM$1000,$U231-4)),1),IF(ISNUMBER(INDEX($AN$5:$AN$1000,$U231-4)),DATE(YEAR(INDEX($AN$5:$AN$1000,$U231-4)),MONTH(INDEX($AN$5:$AN$1000,$U231-4)),1),MesCiclo)),IF(ISNUMBER($AM231),DATE(YEAR($AM231),MONTH($AM231),1),IF(ISNUMBER($AN231),DATE(YEAR($AN231),MONTH($AN231),1),MesCiclo))))</f>
        <v/>
      </c>
      <c r="T231" s="62">
        <f>IF(OR($S231="",$S231&lt;&gt;MesCiclo,$V231&lt;&gt;"Macro"),"",COUNTIFS($S$5:$S231,MesCiclo,$V$5:$V231,"Macro"))</f>
        <v/>
      </c>
      <c r="U231" s="62">
        <f>IF($V231="","",IF($V231="Macro",ROW(),IFERROR(LOOKUP(2,1/($V$5:$V231="Macro"),ROW($V$5:$V231)),0)))</f>
        <v/>
      </c>
      <c r="V231" s="62">
        <f>IF(NOT((COUNTA($B231:$D231)+COUNTA($G231:$L231)+COUNTA($Q231))&gt;0),"",IF($B231="Subactividad","Sub","Macro"))</f>
        <v/>
      </c>
      <c r="W231" s="62">
        <f>IF($V231="Macro",COUNTIFS($U$5:$U$1000,ROW(),$V$5:$V$1000,"Sub"),"")</f>
        <v/>
      </c>
      <c r="X231" s="62">
        <f>IF($V231="","",IF(ISNUMBER($G231),1,IFERROR(LOOKUP(2,1/($I231:$L231&lt;&gt;""),$I231:$L231),0)))</f>
        <v/>
      </c>
      <c r="Y231" s="62">
        <f>IF($V231="","",IF(AND(ISNUMBER($G231),$G231&lt;=IF($S231=MesCiclo,InicioCiclo,$S231+MOD(2-WEEKDAY($S231),7))+6),1,IF(ISNUMBER($I231),$I231,0)))</f>
        <v/>
      </c>
      <c r="Z231" s="62">
        <f>IF($V231="","",IF(AND(ISNUMBER($G231),$G231&lt;=IF($S231=MesCiclo,InicioCiclo,$S231+MOD(2-WEEKDAY($S231),7))+13),1,IF(ISNUMBER($J231),$J231,$Y231)))</f>
        <v/>
      </c>
      <c r="AA231" s="62">
        <f>IF($V231="","",IF(AND(ISNUMBER($G231),$G231&lt;=IF($S231=MesCiclo,InicioCiclo,$S231+MOD(2-WEEKDAY($S231),7))+20),1,IF(ISNUMBER($K231),$K231,$Z231)))</f>
        <v/>
      </c>
      <c r="AB231" s="62">
        <f>IF($V231="","",IF(AND(ISNUMBER($G231),$G231&lt;=IF($S231=MesCiclo,InicioCiclo,$S231+MOD(2-WEEKDAY($S231),7))+27),1,IF(ISNUMBER($L231),$L231,$AA231)))</f>
        <v/>
      </c>
      <c r="AC231" s="62">
        <f>IF($V231="","",IF(AND(ISNUMBER($G231),$G231&lt;=IF($S231=MesCiclo,InicioCiclo,$S231+MOD(2-WEEKDAY($S231),7))+6),1,IF(N($W231)&gt;0,AVERAGEIFS($Y$5:$Y$1000,$U$5:$U$1000,ROW(),$V$5:$V$1000,"Sub"),$Y231)))</f>
        <v/>
      </c>
      <c r="AD231" s="62">
        <f>IF($V231="","",IF(AND(ISNUMBER($G231),$G231&lt;=IF($S231=MesCiclo,InicioCiclo,$S231+MOD(2-WEEKDAY($S231),7))+13),1,IF(N($W231)&gt;0,AVERAGEIFS($Z$5:$Z$1000,$U$5:$U$1000,ROW(),$V$5:$V$1000,"Sub"),$Z231)))</f>
        <v/>
      </c>
      <c r="AE231" s="62">
        <f>IF($V231="","",IF(AND(ISNUMBER($G231),$G231&lt;=IF($S231=MesCiclo,InicioCiclo,$S231+MOD(2-WEEKDAY($S231),7))+20),1,IF(N($W231)&gt;0,AVERAGEIFS($AA$5:$AA$1000,$U$5:$U$1000,ROW(),$V$5:$V$1000,"Sub"),$AA231)))</f>
        <v/>
      </c>
      <c r="AF231" s="62">
        <f>IF($V231="","",IF(AND(ISNUMBER($G231),$G231&lt;=IF($S231=MesCiclo,InicioCiclo,$S231+MOD(2-WEEKDAY($S231),7))+27),1,IF(N($W231)&gt;0,AVERAGEIFS($AB$5:$AB$1000,$U$5:$U$1000,ROW(),$V$5:$V$1000,"Sub"),$AB231)))</f>
        <v/>
      </c>
      <c r="AG231" s="62">
        <f>IF($V231&lt;&gt;"Macro","",IF(COUNTIFS($S$5:$S$1000,$S231,$V$5:$V$1000,"Macro",$H$5:$H$1000,"&gt;0")=0,1/COUNTIFS($S$5:$S$1000,$S231,$V$5:$V$1000,"Macro"),IF(AND(ISNUMBER($H231),N($H231)&gt;0),$H231,SUMIFS($H$5:$H$1000,$S$5:$S$1000,$S231,$V$5:$V$1000,"Macro")/COUNTIFS($S$5:$S$1000,$S231,$V$5:$V$1000,"Macro",$H$5:$H$1000,"&gt;0"))/(COUNTIFS($S$5:$S$1000,$S231,$V$5:$V$1000,"Macro")*SUMIFS($H$5:$H$1000,$S$5:$S$1000,$S231,$V$5:$V$1000,"Macro")/COUNTIFS($S$5:$S$1000,$S231,$V$5:$V$1000,"Macro",$H$5:$H$1000,"&gt;0"))))</f>
        <v/>
      </c>
      <c r="AH231" s="62">
        <f>IF(NOT(AND($D231&lt;&gt;"",$V231="Macro")),"",IFERROR(CHOOSE(MATCH($D231,ListaPuestos,0),MATCH("[Jefatura] "&amp;$C231,'Cronograma R. Operacional'!$C$5:$C$1000,0),MATCH("[Jefatura] "&amp;$C231,'Cronograma R. Normativo'!$C$5:$C$1000,0),MATCH("[Jefatura] "&amp;$C231,'Cronograma R. Financiero'!$C$5:$C$1000,0),MATCH("[Jefatura] "&amp;$C231,'Cronograma Asistente Técnico'!$C$5:$C$1000,0)),0))</f>
        <v/>
      </c>
      <c r="AI231" s="62">
        <f>IF(AND(AND($D231&lt;&gt;"",$V231="Macro"),$S231=MesCiclo),COUNTIFS($D$5:$D231,$D231,$S$5:$S231,MesCiclo,$V$5:$V231,"Macro"),"")</f>
        <v/>
      </c>
      <c r="AJ231" s="62">
        <f>IF($AI231="","",$D231&amp;"|"&amp;$AI231)</f>
        <v/>
      </c>
      <c r="AK231" s="62">
        <f>IF(AND($D231&lt;&gt;"",$V231="Macro"),$D231&amp;"|"&amp;$C231,"")</f>
        <v/>
      </c>
      <c r="AL231" s="62">
        <f>""</f>
        <v/>
      </c>
      <c r="AM231" s="62">
        <f>IF(N($AL231)&gt;0,INDEX(rIni_ADM,$AL231),IF(ISNUMBER($E231),$E231,""))</f>
        <v/>
      </c>
      <c r="AN231" s="62">
        <f>IF(N($AL231)&gt;0,INDEX(rLim_ADM,$AL231),IF(ISNUMBER($F231),$F231,""))</f>
        <v/>
      </c>
    </row>
    <row r="232">
      <c r="A232" s="56">
        <f>IF(NOT((COUNTA($B232:$D232)+COUNTA($G232:$L232)+COUNTA($Q232))&gt;0),"",IF($V232="Macro",COUNTIFS($V$5:$V232,"Macro",$S$5:$S232,$S232),IF(N($U232)=0,"?",COUNTIFS(INDEX($V$5:$V$1000,1):INDEX($V$5:$V$1000,$U232-4),"Macro",INDEX($S$5:$S$1000,1):INDEX($S$5:$S$1000,$U232-4),INDEX($S$5:$S$1000,$U232-4))&amp;"."&amp;COUNTIFS($U$5:$U232,$U232,$V$5:$V232,"Sub"))))</f>
        <v/>
      </c>
      <c r="B232" s="57" t="n"/>
      <c r="C232" s="58" t="n"/>
      <c r="D232" s="58" t="n"/>
      <c r="E232" s="59" t="n"/>
      <c r="F232" s="59" t="n"/>
      <c r="G232" s="59" t="n"/>
      <c r="H232" s="60" t="n"/>
      <c r="I232" s="60" t="n"/>
      <c r="J232" s="60" t="n"/>
      <c r="K232" s="60" t="n"/>
      <c r="L232" s="60" t="n"/>
      <c r="M232" s="61">
        <f>IF(NOT((COUNTA($B232:$D232)+COUNTA($G232:$L232)+COUNTA($Q232))&gt;0),"",IF(AND($D232&lt;&gt;"",$V232="Macro"),IF(N($AH232)&gt;0,N(CHOOSE(MATCH($D232,ListaPuestos,0),INDEX('Cronograma R. Operacional'!$M$5:$M$1000,$AH232),INDEX('Cronograma R. Normativo'!$M$5:$M$1000,$AH232),INDEX('Cronograma R. Financiero'!$M$5:$M$1000,$AH232),INDEX('Cronograma Asistente Técnico'!$M$5:$M$1000,$AH232))),0),IF(ISNUMBER($G232),1,IF(N($W232)&gt;0,AVERAGEIFS($X$5:$X$1000,$U$5:$U$1000,ROW(),$V$5:$V$1000,"Sub"),$X232))))</f>
        <v/>
      </c>
      <c r="N232" s="56">
        <f>IF(OR($M232="",$V232="Sub"),"",IF($M232&gt;=1,"Completado",IF($M232&gt;0,"En curso","Pendiente")))</f>
        <v/>
      </c>
      <c r="O232" s="56">
        <f>IF(NOT((COUNTA($B232:$D232)+COUNTA($G232:$L232)+COUNTA($Q232))&gt;0),"",IF(AND(AND($D232&lt;&gt;"",$V232="Macro"),N($AH232)&gt;0),CHOOSE(MATCH($D232,ListaPuestos,0),INDEX('Cronograma R. Operacional'!$O$5:$O$1000,$AH232),INDEX('Cronograma R. Normativo'!$O$5:$O$1000,$AH232),INDEX('Cronograma R. Financiero'!$O$5:$O$1000,$AH232),INDEX('Cronograma Asistente Técnico'!$O$5:$O$1000,$AH232))&amp;"",IF(ISNUMBER($G232),IF(AND(ISNUMBER($AN232),$G232&gt;$AN232),"Cumplida con "&amp;($G232-$AN232)&amp;IF($G232-$AN232=1," día"," días")&amp;" de retraso","Cumplida"),IF(N($M232)&gt;=1,"Cumplida",IF(NOT(ISNUMBER($AN232)),"Sin fecha límite",IF($AN232&lt;FechaRef,"Vencida hace "&amp;(FechaRef-$AN232)&amp;IF(FechaRef-$AN232=1," día"," días"),IF($AN232=FechaRef,"Vence hoy",IF($AN232-FechaRef&lt;=DiasAlerta,"Vence en "&amp;($AN232-FechaRef)&amp;IF($AN232-FechaRef=1," día"," días"),"En plazo"))))))))</f>
        <v/>
      </c>
      <c r="P232" s="62">
        <f>IF(NOT((COUNTA($B232:$D232)+COUNTA($G232:$L232)+COUNTA($Q232))&gt;0),"",IF($D232="","Propia",IF($V232&lt;&gt;"Macro","Solo se delegan macroactividades",IF(N($AH232)&gt;0,"✔ Recibida por "&amp;$D232,"⚠ "&amp;$D232&amp;" aún no la agrega"))))</f>
        <v/>
      </c>
      <c r="Q232" s="58" t="n"/>
      <c r="R232" s="63">
        <f>IF(NOT((COUNTA($B232:$D232)+COUNTA($G232:$L232)+COUNTA($Q232))&gt;0),"",IF((IF($C232="","Falta el nombre de la actividad"&amp;" · ","")&amp;IF(AND($V232="Sub",N($U232)=0),"Subactividad sin macroactividad arriba"&amp;" · ","")&amp;IF($AM232="","Sin fecha de inicio"&amp;" · ","")&amp;IF($AN232="","Sin fecha límite"&amp;" · ","")&amp;IF(AND(LEFT($C232,11)="[Jefatura] ",N($AL232)=0),"No se encuentra en la hoja de la jefatura (elíjala de nuevo en la lista)"&amp;" · ","")&amp;IF(OR(AND($E232&lt;&gt;"",NOT(ISNUMBER($E232))),AND($F232&lt;&gt;"",NOT(ISNUMBER($F232))),AND($G232&lt;&gt;"",NOT(ISNUMBER($G232)))),"Fecha no válida"&amp;" · ","")&amp;IF(AND(ISNUMBER($AM232),ISNUMBER($AN232),$AM232&gt;$AN232),"Inicio posterior a fecha límite"&amp;" · ","")&amp;IF(AND($V232="Macro",$H232&lt;&gt;"",OR(NOT(ISNUMBER($H232)),$H232&lt;0,$H232&gt;1)),"Peso fuera de rango"&amp;" · ","")&amp;IF(AND($V232="Sub",$H232&lt;&gt;""),"Las subactividades no llevan peso (valen igual dentro de su macroactividad)"&amp;" · ","")&amp;IF(AND(N($W232)&gt;0,COUNT($I232:$L232)&gt;0),"Con subactividades: deje vacías las semanas (se calculan solas)"&amp;" · ","")&amp;IF((COUNTIF($I232:$L232,"&gt;1")+COUNTIF($I232:$L232,"&lt;0")+COUNTA($I232:$L232)-COUNT($I232:$L232))&gt;0,"Avance fuera de rango 0-100%"&amp;" · ","")&amp;IF(OR(AND($J232&lt;&gt;"",$J232&lt;$I232),AND($K232&lt;&gt;"",$K232&lt;MAX($I232:$J232)),AND($L232&lt;&gt;"",$L232&lt;MAX($I232:$K232))),"Avance semanal decreciente"&amp;" · ","")&amp;IF(AND(ISNUMBER($AN232),$AN232&lt;FechaRef,IF($V232="Sub",N($X232),N($M232))&lt;1),"Vencida"&amp;" · ","")&amp;IF(AND(ObsObligatoria="Sí",ISNUMBER($AN232),$AN232&lt;FechaRef,IF($V232="Sub",N($X232),N($M232))&lt;1,$Q232=""),"Vencida sin observación"&amp;" · ",""))="","✔ OK","⚠ "&amp;LEFT(IF($C232="","Falta el nombre de la actividad"&amp;" · ","")&amp;IF(AND($V232="Sub",N($U232)=0),"Subactividad sin macroactividad arriba"&amp;" · ","")&amp;IF($AM232="","Sin fecha de inicio"&amp;" · ","")&amp;IF($AN232="","Sin fecha límite"&amp;" · ","")&amp;IF(AND(LEFT($C232,11)="[Jefatura] ",N($AL232)=0),"No se encuentra en la hoja de la jefatura (elíjala de nuevo en la lista)"&amp;" · ","")&amp;IF(OR(AND($E232&lt;&gt;"",NOT(ISNUMBER($E232))),AND($F232&lt;&gt;"",NOT(ISNUMBER($F232))),AND($G232&lt;&gt;"",NOT(ISNUMBER($G232)))),"Fecha no válida"&amp;" · ","")&amp;IF(AND(ISNUMBER($AM232),ISNUMBER($AN232),$AM232&gt;$AN232),"Inicio posterior a fecha límite"&amp;" · ","")&amp;IF(AND($V232="Macro",$H232&lt;&gt;"",OR(NOT(ISNUMBER($H232)),$H232&lt;0,$H232&gt;1)),"Peso fuera de rango"&amp;" · ","")&amp;IF(AND($V232="Sub",$H232&lt;&gt;""),"Las subactividades no llevan peso (valen igual dentro de su macroactividad)"&amp;" · ","")&amp;IF(AND(N($W232)&gt;0,COUNT($I232:$L232)&gt;0),"Con subactividades: deje vacías las semanas (se calculan solas)"&amp;" · ","")&amp;IF((COUNTIF($I232:$L232,"&gt;1")+COUNTIF($I232:$L232,"&lt;0")+COUNTA($I232:$L232)-COUNT($I232:$L232))&gt;0,"Avance fuera de rango 0-100%"&amp;" · ","")&amp;IF(OR(AND($J232&lt;&gt;"",$J232&lt;$I232),AND($K232&lt;&gt;"",$K232&lt;MAX($I232:$J232)),AND($L232&lt;&gt;"",$L232&lt;MAX($I232:$K232))),"Avance semanal decreciente"&amp;" · ","")&amp;IF(AND(ISNUMBER($AN232),$AN232&lt;FechaRef,IF($V232="Sub",N($X232),N($M232))&lt;1),"Vencida"&amp;" · ","")&amp;IF(AND(ObsObligatoria="Sí",ISNUMBER($AN232),$AN232&lt;FechaRef,IF($V232="Sub",N($X232),N($M232))&lt;1,$Q232=""),"Vencida sin observación"&amp;" · ",""),LEN(IF($C232="","Falta el nombre de la actividad"&amp;" · ","")&amp;IF(AND($V232="Sub",N($U232)=0),"Subactividad sin macroactividad arriba"&amp;" · ","")&amp;IF($AM232="","Sin fecha de inicio"&amp;" · ","")&amp;IF($AN232="","Sin fecha límite"&amp;" · ","")&amp;IF(AND(LEFT($C232,11)="[Jefatura] ",N($AL232)=0),"No se encuentra en la hoja de la jefatura (elíjala de nuevo en la lista)"&amp;" · ","")&amp;IF(OR(AND($E232&lt;&gt;"",NOT(ISNUMBER($E232))),AND($F232&lt;&gt;"",NOT(ISNUMBER($F232))),AND($G232&lt;&gt;"",NOT(ISNUMBER($G232)))),"Fecha no válida"&amp;" · ","")&amp;IF(AND(ISNUMBER($AM232),ISNUMBER($AN232),$AM232&gt;$AN232),"Inicio posterior a fecha límite"&amp;" · ","")&amp;IF(AND($V232="Macro",$H232&lt;&gt;"",OR(NOT(ISNUMBER($H232)),$H232&lt;0,$H232&gt;1)),"Peso fuera de rango"&amp;" · ","")&amp;IF(AND($V232="Sub",$H232&lt;&gt;""),"Las subactividades no llevan peso (valen igual dentro de su macroactividad)"&amp;" · ","")&amp;IF(AND(N($W232)&gt;0,COUNT($I232:$L232)&gt;0),"Con subactividades: deje vacías las semanas (se calculan solas)"&amp;" · ","")&amp;IF((COUNTIF($I232:$L232,"&gt;1")+COUNTIF($I232:$L232,"&lt;0")+COUNTA($I232:$L232)-COUNT($I232:$L232))&gt;0,"Avance fuera de rango 0-100%"&amp;" · ","")&amp;IF(OR(AND($J232&lt;&gt;"",$J232&lt;$I232),AND($K232&lt;&gt;"",$K232&lt;MAX($I232:$J232)),AND($L232&lt;&gt;"",$L232&lt;MAX($I232:$K232))),"Avance semanal decreciente"&amp;" · ","")&amp;IF(AND(ISNUMBER($AN232),$AN232&lt;FechaRef,IF($V232="Sub",N($X232),N($M232))&lt;1),"Vencida"&amp;" · ","")&amp;IF(AND(ObsObligatoria="Sí",ISNUMBER($AN232),$AN232&lt;FechaRef,IF($V232="Sub",N($X232),N($M232))&lt;1,$Q232=""),"Vencida sin observación"&amp;" · ",""))-3)))</f>
        <v/>
      </c>
      <c r="S232" s="64">
        <f>IF(NOT((COUNTA($B232:$D232)+COUNTA($G232:$L232)+COUNTA($Q232))&gt;0),"",IF(AND($V232="Sub",N($U232)&gt;0),IF(ISNUMBER(INDEX($AM$5:$AM$1000,$U232-4)),DATE(YEAR(INDEX($AM$5:$AM$1000,$U232-4)),MONTH(INDEX($AM$5:$AM$1000,$U232-4)),1),IF(ISNUMBER(INDEX($AN$5:$AN$1000,$U232-4)),DATE(YEAR(INDEX($AN$5:$AN$1000,$U232-4)),MONTH(INDEX($AN$5:$AN$1000,$U232-4)),1),MesCiclo)),IF(ISNUMBER($AM232),DATE(YEAR($AM232),MONTH($AM232),1),IF(ISNUMBER($AN232),DATE(YEAR($AN232),MONTH($AN232),1),MesCiclo))))</f>
        <v/>
      </c>
      <c r="T232" s="62">
        <f>IF(OR($S232="",$S232&lt;&gt;MesCiclo,$V232&lt;&gt;"Macro"),"",COUNTIFS($S$5:$S232,MesCiclo,$V$5:$V232,"Macro"))</f>
        <v/>
      </c>
      <c r="U232" s="62">
        <f>IF($V232="","",IF($V232="Macro",ROW(),IFERROR(LOOKUP(2,1/($V$5:$V232="Macro"),ROW($V$5:$V232)),0)))</f>
        <v/>
      </c>
      <c r="V232" s="62">
        <f>IF(NOT((COUNTA($B232:$D232)+COUNTA($G232:$L232)+COUNTA($Q232))&gt;0),"",IF($B232="Subactividad","Sub","Macro"))</f>
        <v/>
      </c>
      <c r="W232" s="62">
        <f>IF($V232="Macro",COUNTIFS($U$5:$U$1000,ROW(),$V$5:$V$1000,"Sub"),"")</f>
        <v/>
      </c>
      <c r="X232" s="62">
        <f>IF($V232="","",IF(ISNUMBER($G232),1,IFERROR(LOOKUP(2,1/($I232:$L232&lt;&gt;""),$I232:$L232),0)))</f>
        <v/>
      </c>
      <c r="Y232" s="62">
        <f>IF($V232="","",IF(AND(ISNUMBER($G232),$G232&lt;=IF($S232=MesCiclo,InicioCiclo,$S232+MOD(2-WEEKDAY($S232),7))+6),1,IF(ISNUMBER($I232),$I232,0)))</f>
        <v/>
      </c>
      <c r="Z232" s="62">
        <f>IF($V232="","",IF(AND(ISNUMBER($G232),$G232&lt;=IF($S232=MesCiclo,InicioCiclo,$S232+MOD(2-WEEKDAY($S232),7))+13),1,IF(ISNUMBER($J232),$J232,$Y232)))</f>
        <v/>
      </c>
      <c r="AA232" s="62">
        <f>IF($V232="","",IF(AND(ISNUMBER($G232),$G232&lt;=IF($S232=MesCiclo,InicioCiclo,$S232+MOD(2-WEEKDAY($S232),7))+20),1,IF(ISNUMBER($K232),$K232,$Z232)))</f>
        <v/>
      </c>
      <c r="AB232" s="62">
        <f>IF($V232="","",IF(AND(ISNUMBER($G232),$G232&lt;=IF($S232=MesCiclo,InicioCiclo,$S232+MOD(2-WEEKDAY($S232),7))+27),1,IF(ISNUMBER($L232),$L232,$AA232)))</f>
        <v/>
      </c>
      <c r="AC232" s="62">
        <f>IF($V232="","",IF(AND(ISNUMBER($G232),$G232&lt;=IF($S232=MesCiclo,InicioCiclo,$S232+MOD(2-WEEKDAY($S232),7))+6),1,IF(N($W232)&gt;0,AVERAGEIFS($Y$5:$Y$1000,$U$5:$U$1000,ROW(),$V$5:$V$1000,"Sub"),$Y232)))</f>
        <v/>
      </c>
      <c r="AD232" s="62">
        <f>IF($V232="","",IF(AND(ISNUMBER($G232),$G232&lt;=IF($S232=MesCiclo,InicioCiclo,$S232+MOD(2-WEEKDAY($S232),7))+13),1,IF(N($W232)&gt;0,AVERAGEIFS($Z$5:$Z$1000,$U$5:$U$1000,ROW(),$V$5:$V$1000,"Sub"),$Z232)))</f>
        <v/>
      </c>
      <c r="AE232" s="62">
        <f>IF($V232="","",IF(AND(ISNUMBER($G232),$G232&lt;=IF($S232=MesCiclo,InicioCiclo,$S232+MOD(2-WEEKDAY($S232),7))+20),1,IF(N($W232)&gt;0,AVERAGEIFS($AA$5:$AA$1000,$U$5:$U$1000,ROW(),$V$5:$V$1000,"Sub"),$AA232)))</f>
        <v/>
      </c>
      <c r="AF232" s="62">
        <f>IF($V232="","",IF(AND(ISNUMBER($G232),$G232&lt;=IF($S232=MesCiclo,InicioCiclo,$S232+MOD(2-WEEKDAY($S232),7))+27),1,IF(N($W232)&gt;0,AVERAGEIFS($AB$5:$AB$1000,$U$5:$U$1000,ROW(),$V$5:$V$1000,"Sub"),$AB232)))</f>
        <v/>
      </c>
      <c r="AG232" s="62">
        <f>IF($V232&lt;&gt;"Macro","",IF(COUNTIFS($S$5:$S$1000,$S232,$V$5:$V$1000,"Macro",$H$5:$H$1000,"&gt;0")=0,1/COUNTIFS($S$5:$S$1000,$S232,$V$5:$V$1000,"Macro"),IF(AND(ISNUMBER($H232),N($H232)&gt;0),$H232,SUMIFS($H$5:$H$1000,$S$5:$S$1000,$S232,$V$5:$V$1000,"Macro")/COUNTIFS($S$5:$S$1000,$S232,$V$5:$V$1000,"Macro",$H$5:$H$1000,"&gt;0"))/(COUNTIFS($S$5:$S$1000,$S232,$V$5:$V$1000,"Macro")*SUMIFS($H$5:$H$1000,$S$5:$S$1000,$S232,$V$5:$V$1000,"Macro")/COUNTIFS($S$5:$S$1000,$S232,$V$5:$V$1000,"Macro",$H$5:$H$1000,"&gt;0"))))</f>
        <v/>
      </c>
      <c r="AH232" s="62">
        <f>IF(NOT(AND($D232&lt;&gt;"",$V232="Macro")),"",IFERROR(CHOOSE(MATCH($D232,ListaPuestos,0),MATCH("[Jefatura] "&amp;$C232,'Cronograma R. Operacional'!$C$5:$C$1000,0),MATCH("[Jefatura] "&amp;$C232,'Cronograma R. Normativo'!$C$5:$C$1000,0),MATCH("[Jefatura] "&amp;$C232,'Cronograma R. Financiero'!$C$5:$C$1000,0),MATCH("[Jefatura] "&amp;$C232,'Cronograma Asistente Técnico'!$C$5:$C$1000,0)),0))</f>
        <v/>
      </c>
      <c r="AI232" s="62">
        <f>IF(AND(AND($D232&lt;&gt;"",$V232="Macro"),$S232=MesCiclo),COUNTIFS($D$5:$D232,$D232,$S$5:$S232,MesCiclo,$V$5:$V232,"Macro"),"")</f>
        <v/>
      </c>
      <c r="AJ232" s="62">
        <f>IF($AI232="","",$D232&amp;"|"&amp;$AI232)</f>
        <v/>
      </c>
      <c r="AK232" s="62">
        <f>IF(AND($D232&lt;&gt;"",$V232="Macro"),$D232&amp;"|"&amp;$C232,"")</f>
        <v/>
      </c>
      <c r="AL232" s="62">
        <f>""</f>
        <v/>
      </c>
      <c r="AM232" s="62">
        <f>IF(N($AL232)&gt;0,INDEX(rIni_ADM,$AL232),IF(ISNUMBER($E232),$E232,""))</f>
        <v/>
      </c>
      <c r="AN232" s="62">
        <f>IF(N($AL232)&gt;0,INDEX(rLim_ADM,$AL232),IF(ISNUMBER($F232),$F232,""))</f>
        <v/>
      </c>
    </row>
    <row r="233">
      <c r="A233" s="56">
        <f>IF(NOT((COUNTA($B233:$D233)+COUNTA($G233:$L233)+COUNTA($Q233))&gt;0),"",IF($V233="Macro",COUNTIFS($V$5:$V233,"Macro",$S$5:$S233,$S233),IF(N($U233)=0,"?",COUNTIFS(INDEX($V$5:$V$1000,1):INDEX($V$5:$V$1000,$U233-4),"Macro",INDEX($S$5:$S$1000,1):INDEX($S$5:$S$1000,$U233-4),INDEX($S$5:$S$1000,$U233-4))&amp;"."&amp;COUNTIFS($U$5:$U233,$U233,$V$5:$V233,"Sub"))))</f>
        <v/>
      </c>
      <c r="B233" s="57" t="n"/>
      <c r="C233" s="58" t="n"/>
      <c r="D233" s="58" t="n"/>
      <c r="E233" s="59" t="n"/>
      <c r="F233" s="59" t="n"/>
      <c r="G233" s="59" t="n"/>
      <c r="H233" s="60" t="n"/>
      <c r="I233" s="60" t="n"/>
      <c r="J233" s="60" t="n"/>
      <c r="K233" s="60" t="n"/>
      <c r="L233" s="60" t="n"/>
      <c r="M233" s="61">
        <f>IF(NOT((COUNTA($B233:$D233)+COUNTA($G233:$L233)+COUNTA($Q233))&gt;0),"",IF(AND($D233&lt;&gt;"",$V233="Macro"),IF(N($AH233)&gt;0,N(CHOOSE(MATCH($D233,ListaPuestos,0),INDEX('Cronograma R. Operacional'!$M$5:$M$1000,$AH233),INDEX('Cronograma R. Normativo'!$M$5:$M$1000,$AH233),INDEX('Cronograma R. Financiero'!$M$5:$M$1000,$AH233),INDEX('Cronograma Asistente Técnico'!$M$5:$M$1000,$AH233))),0),IF(ISNUMBER($G233),1,IF(N($W233)&gt;0,AVERAGEIFS($X$5:$X$1000,$U$5:$U$1000,ROW(),$V$5:$V$1000,"Sub"),$X233))))</f>
        <v/>
      </c>
      <c r="N233" s="56">
        <f>IF(OR($M233="",$V233="Sub"),"",IF($M233&gt;=1,"Completado",IF($M233&gt;0,"En curso","Pendiente")))</f>
        <v/>
      </c>
      <c r="O233" s="56">
        <f>IF(NOT((COUNTA($B233:$D233)+COUNTA($G233:$L233)+COUNTA($Q233))&gt;0),"",IF(AND(AND($D233&lt;&gt;"",$V233="Macro"),N($AH233)&gt;0),CHOOSE(MATCH($D233,ListaPuestos,0),INDEX('Cronograma R. Operacional'!$O$5:$O$1000,$AH233),INDEX('Cronograma R. Normativo'!$O$5:$O$1000,$AH233),INDEX('Cronograma R. Financiero'!$O$5:$O$1000,$AH233),INDEX('Cronograma Asistente Técnico'!$O$5:$O$1000,$AH233))&amp;"",IF(ISNUMBER($G233),IF(AND(ISNUMBER($AN233),$G233&gt;$AN233),"Cumplida con "&amp;($G233-$AN233)&amp;IF($G233-$AN233=1," día"," días")&amp;" de retraso","Cumplida"),IF(N($M233)&gt;=1,"Cumplida",IF(NOT(ISNUMBER($AN233)),"Sin fecha límite",IF($AN233&lt;FechaRef,"Vencida hace "&amp;(FechaRef-$AN233)&amp;IF(FechaRef-$AN233=1," día"," días"),IF($AN233=FechaRef,"Vence hoy",IF($AN233-FechaRef&lt;=DiasAlerta,"Vence en "&amp;($AN233-FechaRef)&amp;IF($AN233-FechaRef=1," día"," días"),"En plazo"))))))))</f>
        <v/>
      </c>
      <c r="P233" s="62">
        <f>IF(NOT((COUNTA($B233:$D233)+COUNTA($G233:$L233)+COUNTA($Q233))&gt;0),"",IF($D233="","Propia",IF($V233&lt;&gt;"Macro","Solo se delegan macroactividades",IF(N($AH233)&gt;0,"✔ Recibida por "&amp;$D233,"⚠ "&amp;$D233&amp;" aún no la agrega"))))</f>
        <v/>
      </c>
      <c r="Q233" s="58" t="n"/>
      <c r="R233" s="63">
        <f>IF(NOT((COUNTA($B233:$D233)+COUNTA($G233:$L233)+COUNTA($Q233))&gt;0),"",IF((IF($C233="","Falta el nombre de la actividad"&amp;" · ","")&amp;IF(AND($V233="Sub",N($U233)=0),"Subactividad sin macroactividad arriba"&amp;" · ","")&amp;IF($AM233="","Sin fecha de inicio"&amp;" · ","")&amp;IF($AN233="","Sin fecha límite"&amp;" · ","")&amp;IF(AND(LEFT($C233,11)="[Jefatura] ",N($AL233)=0),"No se encuentra en la hoja de la jefatura (elíjala de nuevo en la lista)"&amp;" · ","")&amp;IF(OR(AND($E233&lt;&gt;"",NOT(ISNUMBER($E233))),AND($F233&lt;&gt;"",NOT(ISNUMBER($F233))),AND($G233&lt;&gt;"",NOT(ISNUMBER($G233)))),"Fecha no válida"&amp;" · ","")&amp;IF(AND(ISNUMBER($AM233),ISNUMBER($AN233),$AM233&gt;$AN233),"Inicio posterior a fecha límite"&amp;" · ","")&amp;IF(AND($V233="Macro",$H233&lt;&gt;"",OR(NOT(ISNUMBER($H233)),$H233&lt;0,$H233&gt;1)),"Peso fuera de rango"&amp;" · ","")&amp;IF(AND($V233="Sub",$H233&lt;&gt;""),"Las subactividades no llevan peso (valen igual dentro de su macroactividad)"&amp;" · ","")&amp;IF(AND(N($W233)&gt;0,COUNT($I233:$L233)&gt;0),"Con subactividades: deje vacías las semanas (se calculan solas)"&amp;" · ","")&amp;IF((COUNTIF($I233:$L233,"&gt;1")+COUNTIF($I233:$L233,"&lt;0")+COUNTA($I233:$L233)-COUNT($I233:$L233))&gt;0,"Avance fuera de rango 0-100%"&amp;" · ","")&amp;IF(OR(AND($J233&lt;&gt;"",$J233&lt;$I233),AND($K233&lt;&gt;"",$K233&lt;MAX($I233:$J233)),AND($L233&lt;&gt;"",$L233&lt;MAX($I233:$K233))),"Avance semanal decreciente"&amp;" · ","")&amp;IF(AND(ISNUMBER($AN233),$AN233&lt;FechaRef,IF($V233="Sub",N($X233),N($M233))&lt;1),"Vencida"&amp;" · ","")&amp;IF(AND(ObsObligatoria="Sí",ISNUMBER($AN233),$AN233&lt;FechaRef,IF($V233="Sub",N($X233),N($M233))&lt;1,$Q233=""),"Vencida sin observación"&amp;" · ",""))="","✔ OK","⚠ "&amp;LEFT(IF($C233="","Falta el nombre de la actividad"&amp;" · ","")&amp;IF(AND($V233="Sub",N($U233)=0),"Subactividad sin macroactividad arriba"&amp;" · ","")&amp;IF($AM233="","Sin fecha de inicio"&amp;" · ","")&amp;IF($AN233="","Sin fecha límite"&amp;" · ","")&amp;IF(AND(LEFT($C233,11)="[Jefatura] ",N($AL233)=0),"No se encuentra en la hoja de la jefatura (elíjala de nuevo en la lista)"&amp;" · ","")&amp;IF(OR(AND($E233&lt;&gt;"",NOT(ISNUMBER($E233))),AND($F233&lt;&gt;"",NOT(ISNUMBER($F233))),AND($G233&lt;&gt;"",NOT(ISNUMBER($G233)))),"Fecha no válida"&amp;" · ","")&amp;IF(AND(ISNUMBER($AM233),ISNUMBER($AN233),$AM233&gt;$AN233),"Inicio posterior a fecha límite"&amp;" · ","")&amp;IF(AND($V233="Macro",$H233&lt;&gt;"",OR(NOT(ISNUMBER($H233)),$H233&lt;0,$H233&gt;1)),"Peso fuera de rango"&amp;" · ","")&amp;IF(AND($V233="Sub",$H233&lt;&gt;""),"Las subactividades no llevan peso (valen igual dentro de su macroactividad)"&amp;" · ","")&amp;IF(AND(N($W233)&gt;0,COUNT($I233:$L233)&gt;0),"Con subactividades: deje vacías las semanas (se calculan solas)"&amp;" · ","")&amp;IF((COUNTIF($I233:$L233,"&gt;1")+COUNTIF($I233:$L233,"&lt;0")+COUNTA($I233:$L233)-COUNT($I233:$L233))&gt;0,"Avance fuera de rango 0-100%"&amp;" · ","")&amp;IF(OR(AND($J233&lt;&gt;"",$J233&lt;$I233),AND($K233&lt;&gt;"",$K233&lt;MAX($I233:$J233)),AND($L233&lt;&gt;"",$L233&lt;MAX($I233:$K233))),"Avance semanal decreciente"&amp;" · ","")&amp;IF(AND(ISNUMBER($AN233),$AN233&lt;FechaRef,IF($V233="Sub",N($X233),N($M233))&lt;1),"Vencida"&amp;" · ","")&amp;IF(AND(ObsObligatoria="Sí",ISNUMBER($AN233),$AN233&lt;FechaRef,IF($V233="Sub",N($X233),N($M233))&lt;1,$Q233=""),"Vencida sin observación"&amp;" · ",""),LEN(IF($C233="","Falta el nombre de la actividad"&amp;" · ","")&amp;IF(AND($V233="Sub",N($U233)=0),"Subactividad sin macroactividad arriba"&amp;" · ","")&amp;IF($AM233="","Sin fecha de inicio"&amp;" · ","")&amp;IF($AN233="","Sin fecha límite"&amp;" · ","")&amp;IF(AND(LEFT($C233,11)="[Jefatura] ",N($AL233)=0),"No se encuentra en la hoja de la jefatura (elíjala de nuevo en la lista)"&amp;" · ","")&amp;IF(OR(AND($E233&lt;&gt;"",NOT(ISNUMBER($E233))),AND($F233&lt;&gt;"",NOT(ISNUMBER($F233))),AND($G233&lt;&gt;"",NOT(ISNUMBER($G233)))),"Fecha no válida"&amp;" · ","")&amp;IF(AND(ISNUMBER($AM233),ISNUMBER($AN233),$AM233&gt;$AN233),"Inicio posterior a fecha límite"&amp;" · ","")&amp;IF(AND($V233="Macro",$H233&lt;&gt;"",OR(NOT(ISNUMBER($H233)),$H233&lt;0,$H233&gt;1)),"Peso fuera de rango"&amp;" · ","")&amp;IF(AND($V233="Sub",$H233&lt;&gt;""),"Las subactividades no llevan peso (valen igual dentro de su macroactividad)"&amp;" · ","")&amp;IF(AND(N($W233)&gt;0,COUNT($I233:$L233)&gt;0),"Con subactividades: deje vacías las semanas (se calculan solas)"&amp;" · ","")&amp;IF((COUNTIF($I233:$L233,"&gt;1")+COUNTIF($I233:$L233,"&lt;0")+COUNTA($I233:$L233)-COUNT($I233:$L233))&gt;0,"Avance fuera de rango 0-100%"&amp;" · ","")&amp;IF(OR(AND($J233&lt;&gt;"",$J233&lt;$I233),AND($K233&lt;&gt;"",$K233&lt;MAX($I233:$J233)),AND($L233&lt;&gt;"",$L233&lt;MAX($I233:$K233))),"Avance semanal decreciente"&amp;" · ","")&amp;IF(AND(ISNUMBER($AN233),$AN233&lt;FechaRef,IF($V233="Sub",N($X233),N($M233))&lt;1),"Vencida"&amp;" · ","")&amp;IF(AND(ObsObligatoria="Sí",ISNUMBER($AN233),$AN233&lt;FechaRef,IF($V233="Sub",N($X233),N($M233))&lt;1,$Q233=""),"Vencida sin observación"&amp;" · ",""))-3)))</f>
        <v/>
      </c>
      <c r="S233" s="64">
        <f>IF(NOT((COUNTA($B233:$D233)+COUNTA($G233:$L233)+COUNTA($Q233))&gt;0),"",IF(AND($V233="Sub",N($U233)&gt;0),IF(ISNUMBER(INDEX($AM$5:$AM$1000,$U233-4)),DATE(YEAR(INDEX($AM$5:$AM$1000,$U233-4)),MONTH(INDEX($AM$5:$AM$1000,$U233-4)),1),IF(ISNUMBER(INDEX($AN$5:$AN$1000,$U233-4)),DATE(YEAR(INDEX($AN$5:$AN$1000,$U233-4)),MONTH(INDEX($AN$5:$AN$1000,$U233-4)),1),MesCiclo)),IF(ISNUMBER($AM233),DATE(YEAR($AM233),MONTH($AM233),1),IF(ISNUMBER($AN233),DATE(YEAR($AN233),MONTH($AN233),1),MesCiclo))))</f>
        <v/>
      </c>
      <c r="T233" s="62">
        <f>IF(OR($S233="",$S233&lt;&gt;MesCiclo,$V233&lt;&gt;"Macro"),"",COUNTIFS($S$5:$S233,MesCiclo,$V$5:$V233,"Macro"))</f>
        <v/>
      </c>
      <c r="U233" s="62">
        <f>IF($V233="","",IF($V233="Macro",ROW(),IFERROR(LOOKUP(2,1/($V$5:$V233="Macro"),ROW($V$5:$V233)),0)))</f>
        <v/>
      </c>
      <c r="V233" s="62">
        <f>IF(NOT((COUNTA($B233:$D233)+COUNTA($G233:$L233)+COUNTA($Q233))&gt;0),"",IF($B233="Subactividad","Sub","Macro"))</f>
        <v/>
      </c>
      <c r="W233" s="62">
        <f>IF($V233="Macro",COUNTIFS($U$5:$U$1000,ROW(),$V$5:$V$1000,"Sub"),"")</f>
        <v/>
      </c>
      <c r="X233" s="62">
        <f>IF($V233="","",IF(ISNUMBER($G233),1,IFERROR(LOOKUP(2,1/($I233:$L233&lt;&gt;""),$I233:$L233),0)))</f>
        <v/>
      </c>
      <c r="Y233" s="62">
        <f>IF($V233="","",IF(AND(ISNUMBER($G233),$G233&lt;=IF($S233=MesCiclo,InicioCiclo,$S233+MOD(2-WEEKDAY($S233),7))+6),1,IF(ISNUMBER($I233),$I233,0)))</f>
        <v/>
      </c>
      <c r="Z233" s="62">
        <f>IF($V233="","",IF(AND(ISNUMBER($G233),$G233&lt;=IF($S233=MesCiclo,InicioCiclo,$S233+MOD(2-WEEKDAY($S233),7))+13),1,IF(ISNUMBER($J233),$J233,$Y233)))</f>
        <v/>
      </c>
      <c r="AA233" s="62">
        <f>IF($V233="","",IF(AND(ISNUMBER($G233),$G233&lt;=IF($S233=MesCiclo,InicioCiclo,$S233+MOD(2-WEEKDAY($S233),7))+20),1,IF(ISNUMBER($K233),$K233,$Z233)))</f>
        <v/>
      </c>
      <c r="AB233" s="62">
        <f>IF($V233="","",IF(AND(ISNUMBER($G233),$G233&lt;=IF($S233=MesCiclo,InicioCiclo,$S233+MOD(2-WEEKDAY($S233),7))+27),1,IF(ISNUMBER($L233),$L233,$AA233)))</f>
        <v/>
      </c>
      <c r="AC233" s="62">
        <f>IF($V233="","",IF(AND(ISNUMBER($G233),$G233&lt;=IF($S233=MesCiclo,InicioCiclo,$S233+MOD(2-WEEKDAY($S233),7))+6),1,IF(N($W233)&gt;0,AVERAGEIFS($Y$5:$Y$1000,$U$5:$U$1000,ROW(),$V$5:$V$1000,"Sub"),$Y233)))</f>
        <v/>
      </c>
      <c r="AD233" s="62">
        <f>IF($V233="","",IF(AND(ISNUMBER($G233),$G233&lt;=IF($S233=MesCiclo,InicioCiclo,$S233+MOD(2-WEEKDAY($S233),7))+13),1,IF(N($W233)&gt;0,AVERAGEIFS($Z$5:$Z$1000,$U$5:$U$1000,ROW(),$V$5:$V$1000,"Sub"),$Z233)))</f>
        <v/>
      </c>
      <c r="AE233" s="62">
        <f>IF($V233="","",IF(AND(ISNUMBER($G233),$G233&lt;=IF($S233=MesCiclo,InicioCiclo,$S233+MOD(2-WEEKDAY($S233),7))+20),1,IF(N($W233)&gt;0,AVERAGEIFS($AA$5:$AA$1000,$U$5:$U$1000,ROW(),$V$5:$V$1000,"Sub"),$AA233)))</f>
        <v/>
      </c>
      <c r="AF233" s="62">
        <f>IF($V233="","",IF(AND(ISNUMBER($G233),$G233&lt;=IF($S233=MesCiclo,InicioCiclo,$S233+MOD(2-WEEKDAY($S233),7))+27),1,IF(N($W233)&gt;0,AVERAGEIFS($AB$5:$AB$1000,$U$5:$U$1000,ROW(),$V$5:$V$1000,"Sub"),$AB233)))</f>
        <v/>
      </c>
      <c r="AG233" s="62">
        <f>IF($V233&lt;&gt;"Macro","",IF(COUNTIFS($S$5:$S$1000,$S233,$V$5:$V$1000,"Macro",$H$5:$H$1000,"&gt;0")=0,1/COUNTIFS($S$5:$S$1000,$S233,$V$5:$V$1000,"Macro"),IF(AND(ISNUMBER($H233),N($H233)&gt;0),$H233,SUMIFS($H$5:$H$1000,$S$5:$S$1000,$S233,$V$5:$V$1000,"Macro")/COUNTIFS($S$5:$S$1000,$S233,$V$5:$V$1000,"Macro",$H$5:$H$1000,"&gt;0"))/(COUNTIFS($S$5:$S$1000,$S233,$V$5:$V$1000,"Macro")*SUMIFS($H$5:$H$1000,$S$5:$S$1000,$S233,$V$5:$V$1000,"Macro")/COUNTIFS($S$5:$S$1000,$S233,$V$5:$V$1000,"Macro",$H$5:$H$1000,"&gt;0"))))</f>
        <v/>
      </c>
      <c r="AH233" s="62">
        <f>IF(NOT(AND($D233&lt;&gt;"",$V233="Macro")),"",IFERROR(CHOOSE(MATCH($D233,ListaPuestos,0),MATCH("[Jefatura] "&amp;$C233,'Cronograma R. Operacional'!$C$5:$C$1000,0),MATCH("[Jefatura] "&amp;$C233,'Cronograma R. Normativo'!$C$5:$C$1000,0),MATCH("[Jefatura] "&amp;$C233,'Cronograma R. Financiero'!$C$5:$C$1000,0),MATCH("[Jefatura] "&amp;$C233,'Cronograma Asistente Técnico'!$C$5:$C$1000,0)),0))</f>
        <v/>
      </c>
      <c r="AI233" s="62">
        <f>IF(AND(AND($D233&lt;&gt;"",$V233="Macro"),$S233=MesCiclo),COUNTIFS($D$5:$D233,$D233,$S$5:$S233,MesCiclo,$V$5:$V233,"Macro"),"")</f>
        <v/>
      </c>
      <c r="AJ233" s="62">
        <f>IF($AI233="","",$D233&amp;"|"&amp;$AI233)</f>
        <v/>
      </c>
      <c r="AK233" s="62">
        <f>IF(AND($D233&lt;&gt;"",$V233="Macro"),$D233&amp;"|"&amp;$C233,"")</f>
        <v/>
      </c>
      <c r="AL233" s="62">
        <f>""</f>
        <v/>
      </c>
      <c r="AM233" s="62">
        <f>IF(N($AL233)&gt;0,INDEX(rIni_ADM,$AL233),IF(ISNUMBER($E233),$E233,""))</f>
        <v/>
      </c>
      <c r="AN233" s="62">
        <f>IF(N($AL233)&gt;0,INDEX(rLim_ADM,$AL233),IF(ISNUMBER($F233),$F233,""))</f>
        <v/>
      </c>
    </row>
    <row r="234">
      <c r="A234" s="56">
        <f>IF(NOT((COUNTA($B234:$D234)+COUNTA($G234:$L234)+COUNTA($Q234))&gt;0),"",IF($V234="Macro",COUNTIFS($V$5:$V234,"Macro",$S$5:$S234,$S234),IF(N($U234)=0,"?",COUNTIFS(INDEX($V$5:$V$1000,1):INDEX($V$5:$V$1000,$U234-4),"Macro",INDEX($S$5:$S$1000,1):INDEX($S$5:$S$1000,$U234-4),INDEX($S$5:$S$1000,$U234-4))&amp;"."&amp;COUNTIFS($U$5:$U234,$U234,$V$5:$V234,"Sub"))))</f>
        <v/>
      </c>
      <c r="B234" s="57" t="n"/>
      <c r="C234" s="58" t="n"/>
      <c r="D234" s="58" t="n"/>
      <c r="E234" s="59" t="n"/>
      <c r="F234" s="59" t="n"/>
      <c r="G234" s="59" t="n"/>
      <c r="H234" s="60" t="n"/>
      <c r="I234" s="60" t="n"/>
      <c r="J234" s="60" t="n"/>
      <c r="K234" s="60" t="n"/>
      <c r="L234" s="60" t="n"/>
      <c r="M234" s="61">
        <f>IF(NOT((COUNTA($B234:$D234)+COUNTA($G234:$L234)+COUNTA($Q234))&gt;0),"",IF(AND($D234&lt;&gt;"",$V234="Macro"),IF(N($AH234)&gt;0,N(CHOOSE(MATCH($D234,ListaPuestos,0),INDEX('Cronograma R. Operacional'!$M$5:$M$1000,$AH234),INDEX('Cronograma R. Normativo'!$M$5:$M$1000,$AH234),INDEX('Cronograma R. Financiero'!$M$5:$M$1000,$AH234),INDEX('Cronograma Asistente Técnico'!$M$5:$M$1000,$AH234))),0),IF(ISNUMBER($G234),1,IF(N($W234)&gt;0,AVERAGEIFS($X$5:$X$1000,$U$5:$U$1000,ROW(),$V$5:$V$1000,"Sub"),$X234))))</f>
        <v/>
      </c>
      <c r="N234" s="56">
        <f>IF(OR($M234="",$V234="Sub"),"",IF($M234&gt;=1,"Completado",IF($M234&gt;0,"En curso","Pendiente")))</f>
        <v/>
      </c>
      <c r="O234" s="56">
        <f>IF(NOT((COUNTA($B234:$D234)+COUNTA($G234:$L234)+COUNTA($Q234))&gt;0),"",IF(AND(AND($D234&lt;&gt;"",$V234="Macro"),N($AH234)&gt;0),CHOOSE(MATCH($D234,ListaPuestos,0),INDEX('Cronograma R. Operacional'!$O$5:$O$1000,$AH234),INDEX('Cronograma R. Normativo'!$O$5:$O$1000,$AH234),INDEX('Cronograma R. Financiero'!$O$5:$O$1000,$AH234),INDEX('Cronograma Asistente Técnico'!$O$5:$O$1000,$AH234))&amp;"",IF(ISNUMBER($G234),IF(AND(ISNUMBER($AN234),$G234&gt;$AN234),"Cumplida con "&amp;($G234-$AN234)&amp;IF($G234-$AN234=1," día"," días")&amp;" de retraso","Cumplida"),IF(N($M234)&gt;=1,"Cumplida",IF(NOT(ISNUMBER($AN234)),"Sin fecha límite",IF($AN234&lt;FechaRef,"Vencida hace "&amp;(FechaRef-$AN234)&amp;IF(FechaRef-$AN234=1," día"," días"),IF($AN234=FechaRef,"Vence hoy",IF($AN234-FechaRef&lt;=DiasAlerta,"Vence en "&amp;($AN234-FechaRef)&amp;IF($AN234-FechaRef=1," día"," días"),"En plazo"))))))))</f>
        <v/>
      </c>
      <c r="P234" s="62">
        <f>IF(NOT((COUNTA($B234:$D234)+COUNTA($G234:$L234)+COUNTA($Q234))&gt;0),"",IF($D234="","Propia",IF($V234&lt;&gt;"Macro","Solo se delegan macroactividades",IF(N($AH234)&gt;0,"✔ Recibida por "&amp;$D234,"⚠ "&amp;$D234&amp;" aún no la agrega"))))</f>
        <v/>
      </c>
      <c r="Q234" s="58" t="n"/>
      <c r="R234" s="63">
        <f>IF(NOT((COUNTA($B234:$D234)+COUNTA($G234:$L234)+COUNTA($Q234))&gt;0),"",IF((IF($C234="","Falta el nombre de la actividad"&amp;" · ","")&amp;IF(AND($V234="Sub",N($U234)=0),"Subactividad sin macroactividad arriba"&amp;" · ","")&amp;IF($AM234="","Sin fecha de inicio"&amp;" · ","")&amp;IF($AN234="","Sin fecha límite"&amp;" · ","")&amp;IF(AND(LEFT($C234,11)="[Jefatura] ",N($AL234)=0),"No se encuentra en la hoja de la jefatura (elíjala de nuevo en la lista)"&amp;" · ","")&amp;IF(OR(AND($E234&lt;&gt;"",NOT(ISNUMBER($E234))),AND($F234&lt;&gt;"",NOT(ISNUMBER($F234))),AND($G234&lt;&gt;"",NOT(ISNUMBER($G234)))),"Fecha no válida"&amp;" · ","")&amp;IF(AND(ISNUMBER($AM234),ISNUMBER($AN234),$AM234&gt;$AN234),"Inicio posterior a fecha límite"&amp;" · ","")&amp;IF(AND($V234="Macro",$H234&lt;&gt;"",OR(NOT(ISNUMBER($H234)),$H234&lt;0,$H234&gt;1)),"Peso fuera de rango"&amp;" · ","")&amp;IF(AND($V234="Sub",$H234&lt;&gt;""),"Las subactividades no llevan peso (valen igual dentro de su macroactividad)"&amp;" · ","")&amp;IF(AND(N($W234)&gt;0,COUNT($I234:$L234)&gt;0),"Con subactividades: deje vacías las semanas (se calculan solas)"&amp;" · ","")&amp;IF((COUNTIF($I234:$L234,"&gt;1")+COUNTIF($I234:$L234,"&lt;0")+COUNTA($I234:$L234)-COUNT($I234:$L234))&gt;0,"Avance fuera de rango 0-100%"&amp;" · ","")&amp;IF(OR(AND($J234&lt;&gt;"",$J234&lt;$I234),AND($K234&lt;&gt;"",$K234&lt;MAX($I234:$J234)),AND($L234&lt;&gt;"",$L234&lt;MAX($I234:$K234))),"Avance semanal decreciente"&amp;" · ","")&amp;IF(AND(ISNUMBER($AN234),$AN234&lt;FechaRef,IF($V234="Sub",N($X234),N($M234))&lt;1),"Vencida"&amp;" · ","")&amp;IF(AND(ObsObligatoria="Sí",ISNUMBER($AN234),$AN234&lt;FechaRef,IF($V234="Sub",N($X234),N($M234))&lt;1,$Q234=""),"Vencida sin observación"&amp;" · ",""))="","✔ OK","⚠ "&amp;LEFT(IF($C234="","Falta el nombre de la actividad"&amp;" · ","")&amp;IF(AND($V234="Sub",N($U234)=0),"Subactividad sin macroactividad arriba"&amp;" · ","")&amp;IF($AM234="","Sin fecha de inicio"&amp;" · ","")&amp;IF($AN234="","Sin fecha límite"&amp;" · ","")&amp;IF(AND(LEFT($C234,11)="[Jefatura] ",N($AL234)=0),"No se encuentra en la hoja de la jefatura (elíjala de nuevo en la lista)"&amp;" · ","")&amp;IF(OR(AND($E234&lt;&gt;"",NOT(ISNUMBER($E234))),AND($F234&lt;&gt;"",NOT(ISNUMBER($F234))),AND($G234&lt;&gt;"",NOT(ISNUMBER($G234)))),"Fecha no válida"&amp;" · ","")&amp;IF(AND(ISNUMBER($AM234),ISNUMBER($AN234),$AM234&gt;$AN234),"Inicio posterior a fecha límite"&amp;" · ","")&amp;IF(AND($V234="Macro",$H234&lt;&gt;"",OR(NOT(ISNUMBER($H234)),$H234&lt;0,$H234&gt;1)),"Peso fuera de rango"&amp;" · ","")&amp;IF(AND($V234="Sub",$H234&lt;&gt;""),"Las subactividades no llevan peso (valen igual dentro de su macroactividad)"&amp;" · ","")&amp;IF(AND(N($W234)&gt;0,COUNT($I234:$L234)&gt;0),"Con subactividades: deje vacías las semanas (se calculan solas)"&amp;" · ","")&amp;IF((COUNTIF($I234:$L234,"&gt;1")+COUNTIF($I234:$L234,"&lt;0")+COUNTA($I234:$L234)-COUNT($I234:$L234))&gt;0,"Avance fuera de rango 0-100%"&amp;" · ","")&amp;IF(OR(AND($J234&lt;&gt;"",$J234&lt;$I234),AND($K234&lt;&gt;"",$K234&lt;MAX($I234:$J234)),AND($L234&lt;&gt;"",$L234&lt;MAX($I234:$K234))),"Avance semanal decreciente"&amp;" · ","")&amp;IF(AND(ISNUMBER($AN234),$AN234&lt;FechaRef,IF($V234="Sub",N($X234),N($M234))&lt;1),"Vencida"&amp;" · ","")&amp;IF(AND(ObsObligatoria="Sí",ISNUMBER($AN234),$AN234&lt;FechaRef,IF($V234="Sub",N($X234),N($M234))&lt;1,$Q234=""),"Vencida sin observación"&amp;" · ",""),LEN(IF($C234="","Falta el nombre de la actividad"&amp;" · ","")&amp;IF(AND($V234="Sub",N($U234)=0),"Subactividad sin macroactividad arriba"&amp;" · ","")&amp;IF($AM234="","Sin fecha de inicio"&amp;" · ","")&amp;IF($AN234="","Sin fecha límite"&amp;" · ","")&amp;IF(AND(LEFT($C234,11)="[Jefatura] ",N($AL234)=0),"No se encuentra en la hoja de la jefatura (elíjala de nuevo en la lista)"&amp;" · ","")&amp;IF(OR(AND($E234&lt;&gt;"",NOT(ISNUMBER($E234))),AND($F234&lt;&gt;"",NOT(ISNUMBER($F234))),AND($G234&lt;&gt;"",NOT(ISNUMBER($G234)))),"Fecha no válida"&amp;" · ","")&amp;IF(AND(ISNUMBER($AM234),ISNUMBER($AN234),$AM234&gt;$AN234),"Inicio posterior a fecha límite"&amp;" · ","")&amp;IF(AND($V234="Macro",$H234&lt;&gt;"",OR(NOT(ISNUMBER($H234)),$H234&lt;0,$H234&gt;1)),"Peso fuera de rango"&amp;" · ","")&amp;IF(AND($V234="Sub",$H234&lt;&gt;""),"Las subactividades no llevan peso (valen igual dentro de su macroactividad)"&amp;" · ","")&amp;IF(AND(N($W234)&gt;0,COUNT($I234:$L234)&gt;0),"Con subactividades: deje vacías las semanas (se calculan solas)"&amp;" · ","")&amp;IF((COUNTIF($I234:$L234,"&gt;1")+COUNTIF($I234:$L234,"&lt;0")+COUNTA($I234:$L234)-COUNT($I234:$L234))&gt;0,"Avance fuera de rango 0-100%"&amp;" · ","")&amp;IF(OR(AND($J234&lt;&gt;"",$J234&lt;$I234),AND($K234&lt;&gt;"",$K234&lt;MAX($I234:$J234)),AND($L234&lt;&gt;"",$L234&lt;MAX($I234:$K234))),"Avance semanal decreciente"&amp;" · ","")&amp;IF(AND(ISNUMBER($AN234),$AN234&lt;FechaRef,IF($V234="Sub",N($X234),N($M234))&lt;1),"Vencida"&amp;" · ","")&amp;IF(AND(ObsObligatoria="Sí",ISNUMBER($AN234),$AN234&lt;FechaRef,IF($V234="Sub",N($X234),N($M234))&lt;1,$Q234=""),"Vencida sin observación"&amp;" · ",""))-3)))</f>
        <v/>
      </c>
      <c r="S234" s="64">
        <f>IF(NOT((COUNTA($B234:$D234)+COUNTA($G234:$L234)+COUNTA($Q234))&gt;0),"",IF(AND($V234="Sub",N($U234)&gt;0),IF(ISNUMBER(INDEX($AM$5:$AM$1000,$U234-4)),DATE(YEAR(INDEX($AM$5:$AM$1000,$U234-4)),MONTH(INDEX($AM$5:$AM$1000,$U234-4)),1),IF(ISNUMBER(INDEX($AN$5:$AN$1000,$U234-4)),DATE(YEAR(INDEX($AN$5:$AN$1000,$U234-4)),MONTH(INDEX($AN$5:$AN$1000,$U234-4)),1),MesCiclo)),IF(ISNUMBER($AM234),DATE(YEAR($AM234),MONTH($AM234),1),IF(ISNUMBER($AN234),DATE(YEAR($AN234),MONTH($AN234),1),MesCiclo))))</f>
        <v/>
      </c>
      <c r="T234" s="62">
        <f>IF(OR($S234="",$S234&lt;&gt;MesCiclo,$V234&lt;&gt;"Macro"),"",COUNTIFS($S$5:$S234,MesCiclo,$V$5:$V234,"Macro"))</f>
        <v/>
      </c>
      <c r="U234" s="62">
        <f>IF($V234="","",IF($V234="Macro",ROW(),IFERROR(LOOKUP(2,1/($V$5:$V234="Macro"),ROW($V$5:$V234)),0)))</f>
        <v/>
      </c>
      <c r="V234" s="62">
        <f>IF(NOT((COUNTA($B234:$D234)+COUNTA($G234:$L234)+COUNTA($Q234))&gt;0),"",IF($B234="Subactividad","Sub","Macro"))</f>
        <v/>
      </c>
      <c r="W234" s="62">
        <f>IF($V234="Macro",COUNTIFS($U$5:$U$1000,ROW(),$V$5:$V$1000,"Sub"),"")</f>
        <v/>
      </c>
      <c r="X234" s="62">
        <f>IF($V234="","",IF(ISNUMBER($G234),1,IFERROR(LOOKUP(2,1/($I234:$L234&lt;&gt;""),$I234:$L234),0)))</f>
        <v/>
      </c>
      <c r="Y234" s="62">
        <f>IF($V234="","",IF(AND(ISNUMBER($G234),$G234&lt;=IF($S234=MesCiclo,InicioCiclo,$S234+MOD(2-WEEKDAY($S234),7))+6),1,IF(ISNUMBER($I234),$I234,0)))</f>
        <v/>
      </c>
      <c r="Z234" s="62">
        <f>IF($V234="","",IF(AND(ISNUMBER($G234),$G234&lt;=IF($S234=MesCiclo,InicioCiclo,$S234+MOD(2-WEEKDAY($S234),7))+13),1,IF(ISNUMBER($J234),$J234,$Y234)))</f>
        <v/>
      </c>
      <c r="AA234" s="62">
        <f>IF($V234="","",IF(AND(ISNUMBER($G234),$G234&lt;=IF($S234=MesCiclo,InicioCiclo,$S234+MOD(2-WEEKDAY($S234),7))+20),1,IF(ISNUMBER($K234),$K234,$Z234)))</f>
        <v/>
      </c>
      <c r="AB234" s="62">
        <f>IF($V234="","",IF(AND(ISNUMBER($G234),$G234&lt;=IF($S234=MesCiclo,InicioCiclo,$S234+MOD(2-WEEKDAY($S234),7))+27),1,IF(ISNUMBER($L234),$L234,$AA234)))</f>
        <v/>
      </c>
      <c r="AC234" s="62">
        <f>IF($V234="","",IF(AND(ISNUMBER($G234),$G234&lt;=IF($S234=MesCiclo,InicioCiclo,$S234+MOD(2-WEEKDAY($S234),7))+6),1,IF(N($W234)&gt;0,AVERAGEIFS($Y$5:$Y$1000,$U$5:$U$1000,ROW(),$V$5:$V$1000,"Sub"),$Y234)))</f>
        <v/>
      </c>
      <c r="AD234" s="62">
        <f>IF($V234="","",IF(AND(ISNUMBER($G234),$G234&lt;=IF($S234=MesCiclo,InicioCiclo,$S234+MOD(2-WEEKDAY($S234),7))+13),1,IF(N($W234)&gt;0,AVERAGEIFS($Z$5:$Z$1000,$U$5:$U$1000,ROW(),$V$5:$V$1000,"Sub"),$Z234)))</f>
        <v/>
      </c>
      <c r="AE234" s="62">
        <f>IF($V234="","",IF(AND(ISNUMBER($G234),$G234&lt;=IF($S234=MesCiclo,InicioCiclo,$S234+MOD(2-WEEKDAY($S234),7))+20),1,IF(N($W234)&gt;0,AVERAGEIFS($AA$5:$AA$1000,$U$5:$U$1000,ROW(),$V$5:$V$1000,"Sub"),$AA234)))</f>
        <v/>
      </c>
      <c r="AF234" s="62">
        <f>IF($V234="","",IF(AND(ISNUMBER($G234),$G234&lt;=IF($S234=MesCiclo,InicioCiclo,$S234+MOD(2-WEEKDAY($S234),7))+27),1,IF(N($W234)&gt;0,AVERAGEIFS($AB$5:$AB$1000,$U$5:$U$1000,ROW(),$V$5:$V$1000,"Sub"),$AB234)))</f>
        <v/>
      </c>
      <c r="AG234" s="62">
        <f>IF($V234&lt;&gt;"Macro","",IF(COUNTIFS($S$5:$S$1000,$S234,$V$5:$V$1000,"Macro",$H$5:$H$1000,"&gt;0")=0,1/COUNTIFS($S$5:$S$1000,$S234,$V$5:$V$1000,"Macro"),IF(AND(ISNUMBER($H234),N($H234)&gt;0),$H234,SUMIFS($H$5:$H$1000,$S$5:$S$1000,$S234,$V$5:$V$1000,"Macro")/COUNTIFS($S$5:$S$1000,$S234,$V$5:$V$1000,"Macro",$H$5:$H$1000,"&gt;0"))/(COUNTIFS($S$5:$S$1000,$S234,$V$5:$V$1000,"Macro")*SUMIFS($H$5:$H$1000,$S$5:$S$1000,$S234,$V$5:$V$1000,"Macro")/COUNTIFS($S$5:$S$1000,$S234,$V$5:$V$1000,"Macro",$H$5:$H$1000,"&gt;0"))))</f>
        <v/>
      </c>
      <c r="AH234" s="62">
        <f>IF(NOT(AND($D234&lt;&gt;"",$V234="Macro")),"",IFERROR(CHOOSE(MATCH($D234,ListaPuestos,0),MATCH("[Jefatura] "&amp;$C234,'Cronograma R. Operacional'!$C$5:$C$1000,0),MATCH("[Jefatura] "&amp;$C234,'Cronograma R. Normativo'!$C$5:$C$1000,0),MATCH("[Jefatura] "&amp;$C234,'Cronograma R. Financiero'!$C$5:$C$1000,0),MATCH("[Jefatura] "&amp;$C234,'Cronograma Asistente Técnico'!$C$5:$C$1000,0)),0))</f>
        <v/>
      </c>
      <c r="AI234" s="62">
        <f>IF(AND(AND($D234&lt;&gt;"",$V234="Macro"),$S234=MesCiclo),COUNTIFS($D$5:$D234,$D234,$S$5:$S234,MesCiclo,$V$5:$V234,"Macro"),"")</f>
        <v/>
      </c>
      <c r="AJ234" s="62">
        <f>IF($AI234="","",$D234&amp;"|"&amp;$AI234)</f>
        <v/>
      </c>
      <c r="AK234" s="62">
        <f>IF(AND($D234&lt;&gt;"",$V234="Macro"),$D234&amp;"|"&amp;$C234,"")</f>
        <v/>
      </c>
      <c r="AL234" s="62">
        <f>""</f>
        <v/>
      </c>
      <c r="AM234" s="62">
        <f>IF(N($AL234)&gt;0,INDEX(rIni_ADM,$AL234),IF(ISNUMBER($E234),$E234,""))</f>
        <v/>
      </c>
      <c r="AN234" s="62">
        <f>IF(N($AL234)&gt;0,INDEX(rLim_ADM,$AL234),IF(ISNUMBER($F234),$F234,""))</f>
        <v/>
      </c>
    </row>
    <row r="235">
      <c r="A235" s="56">
        <f>IF(NOT((COUNTA($B235:$D235)+COUNTA($G235:$L235)+COUNTA($Q235))&gt;0),"",IF($V235="Macro",COUNTIFS($V$5:$V235,"Macro",$S$5:$S235,$S235),IF(N($U235)=0,"?",COUNTIFS(INDEX($V$5:$V$1000,1):INDEX($V$5:$V$1000,$U235-4),"Macro",INDEX($S$5:$S$1000,1):INDEX($S$5:$S$1000,$U235-4),INDEX($S$5:$S$1000,$U235-4))&amp;"."&amp;COUNTIFS($U$5:$U235,$U235,$V$5:$V235,"Sub"))))</f>
        <v/>
      </c>
      <c r="B235" s="57" t="n"/>
      <c r="C235" s="58" t="n"/>
      <c r="D235" s="58" t="n"/>
      <c r="E235" s="59" t="n"/>
      <c r="F235" s="59" t="n"/>
      <c r="G235" s="59" t="n"/>
      <c r="H235" s="60" t="n"/>
      <c r="I235" s="60" t="n"/>
      <c r="J235" s="60" t="n"/>
      <c r="K235" s="60" t="n"/>
      <c r="L235" s="60" t="n"/>
      <c r="M235" s="61">
        <f>IF(NOT((COUNTA($B235:$D235)+COUNTA($G235:$L235)+COUNTA($Q235))&gt;0),"",IF(AND($D235&lt;&gt;"",$V235="Macro"),IF(N($AH235)&gt;0,N(CHOOSE(MATCH($D235,ListaPuestos,0),INDEX('Cronograma R. Operacional'!$M$5:$M$1000,$AH235),INDEX('Cronograma R. Normativo'!$M$5:$M$1000,$AH235),INDEX('Cronograma R. Financiero'!$M$5:$M$1000,$AH235),INDEX('Cronograma Asistente Técnico'!$M$5:$M$1000,$AH235))),0),IF(ISNUMBER($G235),1,IF(N($W235)&gt;0,AVERAGEIFS($X$5:$X$1000,$U$5:$U$1000,ROW(),$V$5:$V$1000,"Sub"),$X235))))</f>
        <v/>
      </c>
      <c r="N235" s="56">
        <f>IF(OR($M235="",$V235="Sub"),"",IF($M235&gt;=1,"Completado",IF($M235&gt;0,"En curso","Pendiente")))</f>
        <v/>
      </c>
      <c r="O235" s="56">
        <f>IF(NOT((COUNTA($B235:$D235)+COUNTA($G235:$L235)+COUNTA($Q235))&gt;0),"",IF(AND(AND($D235&lt;&gt;"",$V235="Macro"),N($AH235)&gt;0),CHOOSE(MATCH($D235,ListaPuestos,0),INDEX('Cronograma R. Operacional'!$O$5:$O$1000,$AH235),INDEX('Cronograma R. Normativo'!$O$5:$O$1000,$AH235),INDEX('Cronograma R. Financiero'!$O$5:$O$1000,$AH235),INDEX('Cronograma Asistente Técnico'!$O$5:$O$1000,$AH235))&amp;"",IF(ISNUMBER($G235),IF(AND(ISNUMBER($AN235),$G235&gt;$AN235),"Cumplida con "&amp;($G235-$AN235)&amp;IF($G235-$AN235=1," día"," días")&amp;" de retraso","Cumplida"),IF(N($M235)&gt;=1,"Cumplida",IF(NOT(ISNUMBER($AN235)),"Sin fecha límite",IF($AN235&lt;FechaRef,"Vencida hace "&amp;(FechaRef-$AN235)&amp;IF(FechaRef-$AN235=1," día"," días"),IF($AN235=FechaRef,"Vence hoy",IF($AN235-FechaRef&lt;=DiasAlerta,"Vence en "&amp;($AN235-FechaRef)&amp;IF($AN235-FechaRef=1," día"," días"),"En plazo"))))))))</f>
        <v/>
      </c>
      <c r="P235" s="62">
        <f>IF(NOT((COUNTA($B235:$D235)+COUNTA($G235:$L235)+COUNTA($Q235))&gt;0),"",IF($D235="","Propia",IF($V235&lt;&gt;"Macro","Solo se delegan macroactividades",IF(N($AH235)&gt;0,"✔ Recibida por "&amp;$D235,"⚠ "&amp;$D235&amp;" aún no la agrega"))))</f>
        <v/>
      </c>
      <c r="Q235" s="58" t="n"/>
      <c r="R235" s="63">
        <f>IF(NOT((COUNTA($B235:$D235)+COUNTA($G235:$L235)+COUNTA($Q235))&gt;0),"",IF((IF($C235="","Falta el nombre de la actividad"&amp;" · ","")&amp;IF(AND($V235="Sub",N($U235)=0),"Subactividad sin macroactividad arriba"&amp;" · ","")&amp;IF($AM235="","Sin fecha de inicio"&amp;" · ","")&amp;IF($AN235="","Sin fecha límite"&amp;" · ","")&amp;IF(AND(LEFT($C235,11)="[Jefatura] ",N($AL235)=0),"No se encuentra en la hoja de la jefatura (elíjala de nuevo en la lista)"&amp;" · ","")&amp;IF(OR(AND($E235&lt;&gt;"",NOT(ISNUMBER($E235))),AND($F235&lt;&gt;"",NOT(ISNUMBER($F235))),AND($G235&lt;&gt;"",NOT(ISNUMBER($G235)))),"Fecha no válida"&amp;" · ","")&amp;IF(AND(ISNUMBER($AM235),ISNUMBER($AN235),$AM235&gt;$AN235),"Inicio posterior a fecha límite"&amp;" · ","")&amp;IF(AND($V235="Macro",$H235&lt;&gt;"",OR(NOT(ISNUMBER($H235)),$H235&lt;0,$H235&gt;1)),"Peso fuera de rango"&amp;" · ","")&amp;IF(AND($V235="Sub",$H235&lt;&gt;""),"Las subactividades no llevan peso (valen igual dentro de su macroactividad)"&amp;" · ","")&amp;IF(AND(N($W235)&gt;0,COUNT($I235:$L235)&gt;0),"Con subactividades: deje vacías las semanas (se calculan solas)"&amp;" · ","")&amp;IF((COUNTIF($I235:$L235,"&gt;1")+COUNTIF($I235:$L235,"&lt;0")+COUNTA($I235:$L235)-COUNT($I235:$L235))&gt;0,"Avance fuera de rango 0-100%"&amp;" · ","")&amp;IF(OR(AND($J235&lt;&gt;"",$J235&lt;$I235),AND($K235&lt;&gt;"",$K235&lt;MAX($I235:$J235)),AND($L235&lt;&gt;"",$L235&lt;MAX($I235:$K235))),"Avance semanal decreciente"&amp;" · ","")&amp;IF(AND(ISNUMBER($AN235),$AN235&lt;FechaRef,IF($V235="Sub",N($X235),N($M235))&lt;1),"Vencida"&amp;" · ","")&amp;IF(AND(ObsObligatoria="Sí",ISNUMBER($AN235),$AN235&lt;FechaRef,IF($V235="Sub",N($X235),N($M235))&lt;1,$Q235=""),"Vencida sin observación"&amp;" · ",""))="","✔ OK","⚠ "&amp;LEFT(IF($C235="","Falta el nombre de la actividad"&amp;" · ","")&amp;IF(AND($V235="Sub",N($U235)=0),"Subactividad sin macroactividad arriba"&amp;" · ","")&amp;IF($AM235="","Sin fecha de inicio"&amp;" · ","")&amp;IF($AN235="","Sin fecha límite"&amp;" · ","")&amp;IF(AND(LEFT($C235,11)="[Jefatura] ",N($AL235)=0),"No se encuentra en la hoja de la jefatura (elíjala de nuevo en la lista)"&amp;" · ","")&amp;IF(OR(AND($E235&lt;&gt;"",NOT(ISNUMBER($E235))),AND($F235&lt;&gt;"",NOT(ISNUMBER($F235))),AND($G235&lt;&gt;"",NOT(ISNUMBER($G235)))),"Fecha no válida"&amp;" · ","")&amp;IF(AND(ISNUMBER($AM235),ISNUMBER($AN235),$AM235&gt;$AN235),"Inicio posterior a fecha límite"&amp;" · ","")&amp;IF(AND($V235="Macro",$H235&lt;&gt;"",OR(NOT(ISNUMBER($H235)),$H235&lt;0,$H235&gt;1)),"Peso fuera de rango"&amp;" · ","")&amp;IF(AND($V235="Sub",$H235&lt;&gt;""),"Las subactividades no llevan peso (valen igual dentro de su macroactividad)"&amp;" · ","")&amp;IF(AND(N($W235)&gt;0,COUNT($I235:$L235)&gt;0),"Con subactividades: deje vacías las semanas (se calculan solas)"&amp;" · ","")&amp;IF((COUNTIF($I235:$L235,"&gt;1")+COUNTIF($I235:$L235,"&lt;0")+COUNTA($I235:$L235)-COUNT($I235:$L235))&gt;0,"Avance fuera de rango 0-100%"&amp;" · ","")&amp;IF(OR(AND($J235&lt;&gt;"",$J235&lt;$I235),AND($K235&lt;&gt;"",$K235&lt;MAX($I235:$J235)),AND($L235&lt;&gt;"",$L235&lt;MAX($I235:$K235))),"Avance semanal decreciente"&amp;" · ","")&amp;IF(AND(ISNUMBER($AN235),$AN235&lt;FechaRef,IF($V235="Sub",N($X235),N($M235))&lt;1),"Vencida"&amp;" · ","")&amp;IF(AND(ObsObligatoria="Sí",ISNUMBER($AN235),$AN235&lt;FechaRef,IF($V235="Sub",N($X235),N($M235))&lt;1,$Q235=""),"Vencida sin observación"&amp;" · ",""),LEN(IF($C235="","Falta el nombre de la actividad"&amp;" · ","")&amp;IF(AND($V235="Sub",N($U235)=0),"Subactividad sin macroactividad arriba"&amp;" · ","")&amp;IF($AM235="","Sin fecha de inicio"&amp;" · ","")&amp;IF($AN235="","Sin fecha límite"&amp;" · ","")&amp;IF(AND(LEFT($C235,11)="[Jefatura] ",N($AL235)=0),"No se encuentra en la hoja de la jefatura (elíjala de nuevo en la lista)"&amp;" · ","")&amp;IF(OR(AND($E235&lt;&gt;"",NOT(ISNUMBER($E235))),AND($F235&lt;&gt;"",NOT(ISNUMBER($F235))),AND($G235&lt;&gt;"",NOT(ISNUMBER($G235)))),"Fecha no válida"&amp;" · ","")&amp;IF(AND(ISNUMBER($AM235),ISNUMBER($AN235),$AM235&gt;$AN235),"Inicio posterior a fecha límite"&amp;" · ","")&amp;IF(AND($V235="Macro",$H235&lt;&gt;"",OR(NOT(ISNUMBER($H235)),$H235&lt;0,$H235&gt;1)),"Peso fuera de rango"&amp;" · ","")&amp;IF(AND($V235="Sub",$H235&lt;&gt;""),"Las subactividades no llevan peso (valen igual dentro de su macroactividad)"&amp;" · ","")&amp;IF(AND(N($W235)&gt;0,COUNT($I235:$L235)&gt;0),"Con subactividades: deje vacías las semanas (se calculan solas)"&amp;" · ","")&amp;IF((COUNTIF($I235:$L235,"&gt;1")+COUNTIF($I235:$L235,"&lt;0")+COUNTA($I235:$L235)-COUNT($I235:$L235))&gt;0,"Avance fuera de rango 0-100%"&amp;" · ","")&amp;IF(OR(AND($J235&lt;&gt;"",$J235&lt;$I235),AND($K235&lt;&gt;"",$K235&lt;MAX($I235:$J235)),AND($L235&lt;&gt;"",$L235&lt;MAX($I235:$K235))),"Avance semanal decreciente"&amp;" · ","")&amp;IF(AND(ISNUMBER($AN235),$AN235&lt;FechaRef,IF($V235="Sub",N($X235),N($M235))&lt;1),"Vencida"&amp;" · ","")&amp;IF(AND(ObsObligatoria="Sí",ISNUMBER($AN235),$AN235&lt;FechaRef,IF($V235="Sub",N($X235),N($M235))&lt;1,$Q235=""),"Vencida sin observación"&amp;" · ",""))-3)))</f>
        <v/>
      </c>
      <c r="S235" s="64">
        <f>IF(NOT((COUNTA($B235:$D235)+COUNTA($G235:$L235)+COUNTA($Q235))&gt;0),"",IF(AND($V235="Sub",N($U235)&gt;0),IF(ISNUMBER(INDEX($AM$5:$AM$1000,$U235-4)),DATE(YEAR(INDEX($AM$5:$AM$1000,$U235-4)),MONTH(INDEX($AM$5:$AM$1000,$U235-4)),1),IF(ISNUMBER(INDEX($AN$5:$AN$1000,$U235-4)),DATE(YEAR(INDEX($AN$5:$AN$1000,$U235-4)),MONTH(INDEX($AN$5:$AN$1000,$U235-4)),1),MesCiclo)),IF(ISNUMBER($AM235),DATE(YEAR($AM235),MONTH($AM235),1),IF(ISNUMBER($AN235),DATE(YEAR($AN235),MONTH($AN235),1),MesCiclo))))</f>
        <v/>
      </c>
      <c r="T235" s="62">
        <f>IF(OR($S235="",$S235&lt;&gt;MesCiclo,$V235&lt;&gt;"Macro"),"",COUNTIFS($S$5:$S235,MesCiclo,$V$5:$V235,"Macro"))</f>
        <v/>
      </c>
      <c r="U235" s="62">
        <f>IF($V235="","",IF($V235="Macro",ROW(),IFERROR(LOOKUP(2,1/($V$5:$V235="Macro"),ROW($V$5:$V235)),0)))</f>
        <v/>
      </c>
      <c r="V235" s="62">
        <f>IF(NOT((COUNTA($B235:$D235)+COUNTA($G235:$L235)+COUNTA($Q235))&gt;0),"",IF($B235="Subactividad","Sub","Macro"))</f>
        <v/>
      </c>
      <c r="W235" s="62">
        <f>IF($V235="Macro",COUNTIFS($U$5:$U$1000,ROW(),$V$5:$V$1000,"Sub"),"")</f>
        <v/>
      </c>
      <c r="X235" s="62">
        <f>IF($V235="","",IF(ISNUMBER($G235),1,IFERROR(LOOKUP(2,1/($I235:$L235&lt;&gt;""),$I235:$L235),0)))</f>
        <v/>
      </c>
      <c r="Y235" s="62">
        <f>IF($V235="","",IF(AND(ISNUMBER($G235),$G235&lt;=IF($S235=MesCiclo,InicioCiclo,$S235+MOD(2-WEEKDAY($S235),7))+6),1,IF(ISNUMBER($I235),$I235,0)))</f>
        <v/>
      </c>
      <c r="Z235" s="62">
        <f>IF($V235="","",IF(AND(ISNUMBER($G235),$G235&lt;=IF($S235=MesCiclo,InicioCiclo,$S235+MOD(2-WEEKDAY($S235),7))+13),1,IF(ISNUMBER($J235),$J235,$Y235)))</f>
        <v/>
      </c>
      <c r="AA235" s="62">
        <f>IF($V235="","",IF(AND(ISNUMBER($G235),$G235&lt;=IF($S235=MesCiclo,InicioCiclo,$S235+MOD(2-WEEKDAY($S235),7))+20),1,IF(ISNUMBER($K235),$K235,$Z235)))</f>
        <v/>
      </c>
      <c r="AB235" s="62">
        <f>IF($V235="","",IF(AND(ISNUMBER($G235),$G235&lt;=IF($S235=MesCiclo,InicioCiclo,$S235+MOD(2-WEEKDAY($S235),7))+27),1,IF(ISNUMBER($L235),$L235,$AA235)))</f>
        <v/>
      </c>
      <c r="AC235" s="62">
        <f>IF($V235="","",IF(AND(ISNUMBER($G235),$G235&lt;=IF($S235=MesCiclo,InicioCiclo,$S235+MOD(2-WEEKDAY($S235),7))+6),1,IF(N($W235)&gt;0,AVERAGEIFS($Y$5:$Y$1000,$U$5:$U$1000,ROW(),$V$5:$V$1000,"Sub"),$Y235)))</f>
        <v/>
      </c>
      <c r="AD235" s="62">
        <f>IF($V235="","",IF(AND(ISNUMBER($G235),$G235&lt;=IF($S235=MesCiclo,InicioCiclo,$S235+MOD(2-WEEKDAY($S235),7))+13),1,IF(N($W235)&gt;0,AVERAGEIFS($Z$5:$Z$1000,$U$5:$U$1000,ROW(),$V$5:$V$1000,"Sub"),$Z235)))</f>
        <v/>
      </c>
      <c r="AE235" s="62">
        <f>IF($V235="","",IF(AND(ISNUMBER($G235),$G235&lt;=IF($S235=MesCiclo,InicioCiclo,$S235+MOD(2-WEEKDAY($S235),7))+20),1,IF(N($W235)&gt;0,AVERAGEIFS($AA$5:$AA$1000,$U$5:$U$1000,ROW(),$V$5:$V$1000,"Sub"),$AA235)))</f>
        <v/>
      </c>
      <c r="AF235" s="62">
        <f>IF($V235="","",IF(AND(ISNUMBER($G235),$G235&lt;=IF($S235=MesCiclo,InicioCiclo,$S235+MOD(2-WEEKDAY($S235),7))+27),1,IF(N($W235)&gt;0,AVERAGEIFS($AB$5:$AB$1000,$U$5:$U$1000,ROW(),$V$5:$V$1000,"Sub"),$AB235)))</f>
        <v/>
      </c>
      <c r="AG235" s="62">
        <f>IF($V235&lt;&gt;"Macro","",IF(COUNTIFS($S$5:$S$1000,$S235,$V$5:$V$1000,"Macro",$H$5:$H$1000,"&gt;0")=0,1/COUNTIFS($S$5:$S$1000,$S235,$V$5:$V$1000,"Macro"),IF(AND(ISNUMBER($H235),N($H235)&gt;0),$H235,SUMIFS($H$5:$H$1000,$S$5:$S$1000,$S235,$V$5:$V$1000,"Macro")/COUNTIFS($S$5:$S$1000,$S235,$V$5:$V$1000,"Macro",$H$5:$H$1000,"&gt;0"))/(COUNTIFS($S$5:$S$1000,$S235,$V$5:$V$1000,"Macro")*SUMIFS($H$5:$H$1000,$S$5:$S$1000,$S235,$V$5:$V$1000,"Macro")/COUNTIFS($S$5:$S$1000,$S235,$V$5:$V$1000,"Macro",$H$5:$H$1000,"&gt;0"))))</f>
        <v/>
      </c>
      <c r="AH235" s="62">
        <f>IF(NOT(AND($D235&lt;&gt;"",$V235="Macro")),"",IFERROR(CHOOSE(MATCH($D235,ListaPuestos,0),MATCH("[Jefatura] "&amp;$C235,'Cronograma R. Operacional'!$C$5:$C$1000,0),MATCH("[Jefatura] "&amp;$C235,'Cronograma R. Normativo'!$C$5:$C$1000,0),MATCH("[Jefatura] "&amp;$C235,'Cronograma R. Financiero'!$C$5:$C$1000,0),MATCH("[Jefatura] "&amp;$C235,'Cronograma Asistente Técnico'!$C$5:$C$1000,0)),0))</f>
        <v/>
      </c>
      <c r="AI235" s="62">
        <f>IF(AND(AND($D235&lt;&gt;"",$V235="Macro"),$S235=MesCiclo),COUNTIFS($D$5:$D235,$D235,$S$5:$S235,MesCiclo,$V$5:$V235,"Macro"),"")</f>
        <v/>
      </c>
      <c r="AJ235" s="62">
        <f>IF($AI235="","",$D235&amp;"|"&amp;$AI235)</f>
        <v/>
      </c>
      <c r="AK235" s="62">
        <f>IF(AND($D235&lt;&gt;"",$V235="Macro"),$D235&amp;"|"&amp;$C235,"")</f>
        <v/>
      </c>
      <c r="AL235" s="62">
        <f>""</f>
        <v/>
      </c>
      <c r="AM235" s="62">
        <f>IF(N($AL235)&gt;0,INDEX(rIni_ADM,$AL235),IF(ISNUMBER($E235),$E235,""))</f>
        <v/>
      </c>
      <c r="AN235" s="62">
        <f>IF(N($AL235)&gt;0,INDEX(rLim_ADM,$AL235),IF(ISNUMBER($F235),$F235,""))</f>
        <v/>
      </c>
    </row>
    <row r="236">
      <c r="A236" s="56">
        <f>IF(NOT((COUNTA($B236:$D236)+COUNTA($G236:$L236)+COUNTA($Q236))&gt;0),"",IF($V236="Macro",COUNTIFS($V$5:$V236,"Macro",$S$5:$S236,$S236),IF(N($U236)=0,"?",COUNTIFS(INDEX($V$5:$V$1000,1):INDEX($V$5:$V$1000,$U236-4),"Macro",INDEX($S$5:$S$1000,1):INDEX($S$5:$S$1000,$U236-4),INDEX($S$5:$S$1000,$U236-4))&amp;"."&amp;COUNTIFS($U$5:$U236,$U236,$V$5:$V236,"Sub"))))</f>
        <v/>
      </c>
      <c r="B236" s="57" t="n"/>
      <c r="C236" s="58" t="n"/>
      <c r="D236" s="58" t="n"/>
      <c r="E236" s="59" t="n"/>
      <c r="F236" s="59" t="n"/>
      <c r="G236" s="59" t="n"/>
      <c r="H236" s="60" t="n"/>
      <c r="I236" s="60" t="n"/>
      <c r="J236" s="60" t="n"/>
      <c r="K236" s="60" t="n"/>
      <c r="L236" s="60" t="n"/>
      <c r="M236" s="61">
        <f>IF(NOT((COUNTA($B236:$D236)+COUNTA($G236:$L236)+COUNTA($Q236))&gt;0),"",IF(AND($D236&lt;&gt;"",$V236="Macro"),IF(N($AH236)&gt;0,N(CHOOSE(MATCH($D236,ListaPuestos,0),INDEX('Cronograma R. Operacional'!$M$5:$M$1000,$AH236),INDEX('Cronograma R. Normativo'!$M$5:$M$1000,$AH236),INDEX('Cronograma R. Financiero'!$M$5:$M$1000,$AH236),INDEX('Cronograma Asistente Técnico'!$M$5:$M$1000,$AH236))),0),IF(ISNUMBER($G236),1,IF(N($W236)&gt;0,AVERAGEIFS($X$5:$X$1000,$U$5:$U$1000,ROW(),$V$5:$V$1000,"Sub"),$X236))))</f>
        <v/>
      </c>
      <c r="N236" s="56">
        <f>IF(OR($M236="",$V236="Sub"),"",IF($M236&gt;=1,"Completado",IF($M236&gt;0,"En curso","Pendiente")))</f>
        <v/>
      </c>
      <c r="O236" s="56">
        <f>IF(NOT((COUNTA($B236:$D236)+COUNTA($G236:$L236)+COUNTA($Q236))&gt;0),"",IF(AND(AND($D236&lt;&gt;"",$V236="Macro"),N($AH236)&gt;0),CHOOSE(MATCH($D236,ListaPuestos,0),INDEX('Cronograma R. Operacional'!$O$5:$O$1000,$AH236),INDEX('Cronograma R. Normativo'!$O$5:$O$1000,$AH236),INDEX('Cronograma R. Financiero'!$O$5:$O$1000,$AH236),INDEX('Cronograma Asistente Técnico'!$O$5:$O$1000,$AH236))&amp;"",IF(ISNUMBER($G236),IF(AND(ISNUMBER($AN236),$G236&gt;$AN236),"Cumplida con "&amp;($G236-$AN236)&amp;IF($G236-$AN236=1," día"," días")&amp;" de retraso","Cumplida"),IF(N($M236)&gt;=1,"Cumplida",IF(NOT(ISNUMBER($AN236)),"Sin fecha límite",IF($AN236&lt;FechaRef,"Vencida hace "&amp;(FechaRef-$AN236)&amp;IF(FechaRef-$AN236=1," día"," días"),IF($AN236=FechaRef,"Vence hoy",IF($AN236-FechaRef&lt;=DiasAlerta,"Vence en "&amp;($AN236-FechaRef)&amp;IF($AN236-FechaRef=1," día"," días"),"En plazo"))))))))</f>
        <v/>
      </c>
      <c r="P236" s="62">
        <f>IF(NOT((COUNTA($B236:$D236)+COUNTA($G236:$L236)+COUNTA($Q236))&gt;0),"",IF($D236="","Propia",IF($V236&lt;&gt;"Macro","Solo se delegan macroactividades",IF(N($AH236)&gt;0,"✔ Recibida por "&amp;$D236,"⚠ "&amp;$D236&amp;" aún no la agrega"))))</f>
        <v/>
      </c>
      <c r="Q236" s="58" t="n"/>
      <c r="R236" s="63">
        <f>IF(NOT((COUNTA($B236:$D236)+COUNTA($G236:$L236)+COUNTA($Q236))&gt;0),"",IF((IF($C236="","Falta el nombre de la actividad"&amp;" · ","")&amp;IF(AND($V236="Sub",N($U236)=0),"Subactividad sin macroactividad arriba"&amp;" · ","")&amp;IF($AM236="","Sin fecha de inicio"&amp;" · ","")&amp;IF($AN236="","Sin fecha límite"&amp;" · ","")&amp;IF(AND(LEFT($C236,11)="[Jefatura] ",N($AL236)=0),"No se encuentra en la hoja de la jefatura (elíjala de nuevo en la lista)"&amp;" · ","")&amp;IF(OR(AND($E236&lt;&gt;"",NOT(ISNUMBER($E236))),AND($F236&lt;&gt;"",NOT(ISNUMBER($F236))),AND($G236&lt;&gt;"",NOT(ISNUMBER($G236)))),"Fecha no válida"&amp;" · ","")&amp;IF(AND(ISNUMBER($AM236),ISNUMBER($AN236),$AM236&gt;$AN236),"Inicio posterior a fecha límite"&amp;" · ","")&amp;IF(AND($V236="Macro",$H236&lt;&gt;"",OR(NOT(ISNUMBER($H236)),$H236&lt;0,$H236&gt;1)),"Peso fuera de rango"&amp;" · ","")&amp;IF(AND($V236="Sub",$H236&lt;&gt;""),"Las subactividades no llevan peso (valen igual dentro de su macroactividad)"&amp;" · ","")&amp;IF(AND(N($W236)&gt;0,COUNT($I236:$L236)&gt;0),"Con subactividades: deje vacías las semanas (se calculan solas)"&amp;" · ","")&amp;IF((COUNTIF($I236:$L236,"&gt;1")+COUNTIF($I236:$L236,"&lt;0")+COUNTA($I236:$L236)-COUNT($I236:$L236))&gt;0,"Avance fuera de rango 0-100%"&amp;" · ","")&amp;IF(OR(AND($J236&lt;&gt;"",$J236&lt;$I236),AND($K236&lt;&gt;"",$K236&lt;MAX($I236:$J236)),AND($L236&lt;&gt;"",$L236&lt;MAX($I236:$K236))),"Avance semanal decreciente"&amp;" · ","")&amp;IF(AND(ISNUMBER($AN236),$AN236&lt;FechaRef,IF($V236="Sub",N($X236),N($M236))&lt;1),"Vencida"&amp;" · ","")&amp;IF(AND(ObsObligatoria="Sí",ISNUMBER($AN236),$AN236&lt;FechaRef,IF($V236="Sub",N($X236),N($M236))&lt;1,$Q236=""),"Vencida sin observación"&amp;" · ",""))="","✔ OK","⚠ "&amp;LEFT(IF($C236="","Falta el nombre de la actividad"&amp;" · ","")&amp;IF(AND($V236="Sub",N($U236)=0),"Subactividad sin macroactividad arriba"&amp;" · ","")&amp;IF($AM236="","Sin fecha de inicio"&amp;" · ","")&amp;IF($AN236="","Sin fecha límite"&amp;" · ","")&amp;IF(AND(LEFT($C236,11)="[Jefatura] ",N($AL236)=0),"No se encuentra en la hoja de la jefatura (elíjala de nuevo en la lista)"&amp;" · ","")&amp;IF(OR(AND($E236&lt;&gt;"",NOT(ISNUMBER($E236))),AND($F236&lt;&gt;"",NOT(ISNUMBER($F236))),AND($G236&lt;&gt;"",NOT(ISNUMBER($G236)))),"Fecha no válida"&amp;" · ","")&amp;IF(AND(ISNUMBER($AM236),ISNUMBER($AN236),$AM236&gt;$AN236),"Inicio posterior a fecha límite"&amp;" · ","")&amp;IF(AND($V236="Macro",$H236&lt;&gt;"",OR(NOT(ISNUMBER($H236)),$H236&lt;0,$H236&gt;1)),"Peso fuera de rango"&amp;" · ","")&amp;IF(AND($V236="Sub",$H236&lt;&gt;""),"Las subactividades no llevan peso (valen igual dentro de su macroactividad)"&amp;" · ","")&amp;IF(AND(N($W236)&gt;0,COUNT($I236:$L236)&gt;0),"Con subactividades: deje vacías las semanas (se calculan solas)"&amp;" · ","")&amp;IF((COUNTIF($I236:$L236,"&gt;1")+COUNTIF($I236:$L236,"&lt;0")+COUNTA($I236:$L236)-COUNT($I236:$L236))&gt;0,"Avance fuera de rango 0-100%"&amp;" · ","")&amp;IF(OR(AND($J236&lt;&gt;"",$J236&lt;$I236),AND($K236&lt;&gt;"",$K236&lt;MAX($I236:$J236)),AND($L236&lt;&gt;"",$L236&lt;MAX($I236:$K236))),"Avance semanal decreciente"&amp;" · ","")&amp;IF(AND(ISNUMBER($AN236),$AN236&lt;FechaRef,IF($V236="Sub",N($X236),N($M236))&lt;1),"Vencida"&amp;" · ","")&amp;IF(AND(ObsObligatoria="Sí",ISNUMBER($AN236),$AN236&lt;FechaRef,IF($V236="Sub",N($X236),N($M236))&lt;1,$Q236=""),"Vencida sin observación"&amp;" · ",""),LEN(IF($C236="","Falta el nombre de la actividad"&amp;" · ","")&amp;IF(AND($V236="Sub",N($U236)=0),"Subactividad sin macroactividad arriba"&amp;" · ","")&amp;IF($AM236="","Sin fecha de inicio"&amp;" · ","")&amp;IF($AN236="","Sin fecha límite"&amp;" · ","")&amp;IF(AND(LEFT($C236,11)="[Jefatura] ",N($AL236)=0),"No se encuentra en la hoja de la jefatura (elíjala de nuevo en la lista)"&amp;" · ","")&amp;IF(OR(AND($E236&lt;&gt;"",NOT(ISNUMBER($E236))),AND($F236&lt;&gt;"",NOT(ISNUMBER($F236))),AND($G236&lt;&gt;"",NOT(ISNUMBER($G236)))),"Fecha no válida"&amp;" · ","")&amp;IF(AND(ISNUMBER($AM236),ISNUMBER($AN236),$AM236&gt;$AN236),"Inicio posterior a fecha límite"&amp;" · ","")&amp;IF(AND($V236="Macro",$H236&lt;&gt;"",OR(NOT(ISNUMBER($H236)),$H236&lt;0,$H236&gt;1)),"Peso fuera de rango"&amp;" · ","")&amp;IF(AND($V236="Sub",$H236&lt;&gt;""),"Las subactividades no llevan peso (valen igual dentro de su macroactividad)"&amp;" · ","")&amp;IF(AND(N($W236)&gt;0,COUNT($I236:$L236)&gt;0),"Con subactividades: deje vacías las semanas (se calculan solas)"&amp;" · ","")&amp;IF((COUNTIF($I236:$L236,"&gt;1")+COUNTIF($I236:$L236,"&lt;0")+COUNTA($I236:$L236)-COUNT($I236:$L236))&gt;0,"Avance fuera de rango 0-100%"&amp;" · ","")&amp;IF(OR(AND($J236&lt;&gt;"",$J236&lt;$I236),AND($K236&lt;&gt;"",$K236&lt;MAX($I236:$J236)),AND($L236&lt;&gt;"",$L236&lt;MAX($I236:$K236))),"Avance semanal decreciente"&amp;" · ","")&amp;IF(AND(ISNUMBER($AN236),$AN236&lt;FechaRef,IF($V236="Sub",N($X236),N($M236))&lt;1),"Vencida"&amp;" · ","")&amp;IF(AND(ObsObligatoria="Sí",ISNUMBER($AN236),$AN236&lt;FechaRef,IF($V236="Sub",N($X236),N($M236))&lt;1,$Q236=""),"Vencida sin observación"&amp;" · ",""))-3)))</f>
        <v/>
      </c>
      <c r="S236" s="64">
        <f>IF(NOT((COUNTA($B236:$D236)+COUNTA($G236:$L236)+COUNTA($Q236))&gt;0),"",IF(AND($V236="Sub",N($U236)&gt;0),IF(ISNUMBER(INDEX($AM$5:$AM$1000,$U236-4)),DATE(YEAR(INDEX($AM$5:$AM$1000,$U236-4)),MONTH(INDEX($AM$5:$AM$1000,$U236-4)),1),IF(ISNUMBER(INDEX($AN$5:$AN$1000,$U236-4)),DATE(YEAR(INDEX($AN$5:$AN$1000,$U236-4)),MONTH(INDEX($AN$5:$AN$1000,$U236-4)),1),MesCiclo)),IF(ISNUMBER($AM236),DATE(YEAR($AM236),MONTH($AM236),1),IF(ISNUMBER($AN236),DATE(YEAR($AN236),MONTH($AN236),1),MesCiclo))))</f>
        <v/>
      </c>
      <c r="T236" s="62">
        <f>IF(OR($S236="",$S236&lt;&gt;MesCiclo,$V236&lt;&gt;"Macro"),"",COUNTIFS($S$5:$S236,MesCiclo,$V$5:$V236,"Macro"))</f>
        <v/>
      </c>
      <c r="U236" s="62">
        <f>IF($V236="","",IF($V236="Macro",ROW(),IFERROR(LOOKUP(2,1/($V$5:$V236="Macro"),ROW($V$5:$V236)),0)))</f>
        <v/>
      </c>
      <c r="V236" s="62">
        <f>IF(NOT((COUNTA($B236:$D236)+COUNTA($G236:$L236)+COUNTA($Q236))&gt;0),"",IF($B236="Subactividad","Sub","Macro"))</f>
        <v/>
      </c>
      <c r="W236" s="62">
        <f>IF($V236="Macro",COUNTIFS($U$5:$U$1000,ROW(),$V$5:$V$1000,"Sub"),"")</f>
        <v/>
      </c>
      <c r="X236" s="62">
        <f>IF($V236="","",IF(ISNUMBER($G236),1,IFERROR(LOOKUP(2,1/($I236:$L236&lt;&gt;""),$I236:$L236),0)))</f>
        <v/>
      </c>
      <c r="Y236" s="62">
        <f>IF($V236="","",IF(AND(ISNUMBER($G236),$G236&lt;=IF($S236=MesCiclo,InicioCiclo,$S236+MOD(2-WEEKDAY($S236),7))+6),1,IF(ISNUMBER($I236),$I236,0)))</f>
        <v/>
      </c>
      <c r="Z236" s="62">
        <f>IF($V236="","",IF(AND(ISNUMBER($G236),$G236&lt;=IF($S236=MesCiclo,InicioCiclo,$S236+MOD(2-WEEKDAY($S236),7))+13),1,IF(ISNUMBER($J236),$J236,$Y236)))</f>
        <v/>
      </c>
      <c r="AA236" s="62">
        <f>IF($V236="","",IF(AND(ISNUMBER($G236),$G236&lt;=IF($S236=MesCiclo,InicioCiclo,$S236+MOD(2-WEEKDAY($S236),7))+20),1,IF(ISNUMBER($K236),$K236,$Z236)))</f>
        <v/>
      </c>
      <c r="AB236" s="62">
        <f>IF($V236="","",IF(AND(ISNUMBER($G236),$G236&lt;=IF($S236=MesCiclo,InicioCiclo,$S236+MOD(2-WEEKDAY($S236),7))+27),1,IF(ISNUMBER($L236),$L236,$AA236)))</f>
        <v/>
      </c>
      <c r="AC236" s="62">
        <f>IF($V236="","",IF(AND(ISNUMBER($G236),$G236&lt;=IF($S236=MesCiclo,InicioCiclo,$S236+MOD(2-WEEKDAY($S236),7))+6),1,IF(N($W236)&gt;0,AVERAGEIFS($Y$5:$Y$1000,$U$5:$U$1000,ROW(),$V$5:$V$1000,"Sub"),$Y236)))</f>
        <v/>
      </c>
      <c r="AD236" s="62">
        <f>IF($V236="","",IF(AND(ISNUMBER($G236),$G236&lt;=IF($S236=MesCiclo,InicioCiclo,$S236+MOD(2-WEEKDAY($S236),7))+13),1,IF(N($W236)&gt;0,AVERAGEIFS($Z$5:$Z$1000,$U$5:$U$1000,ROW(),$V$5:$V$1000,"Sub"),$Z236)))</f>
        <v/>
      </c>
      <c r="AE236" s="62">
        <f>IF($V236="","",IF(AND(ISNUMBER($G236),$G236&lt;=IF($S236=MesCiclo,InicioCiclo,$S236+MOD(2-WEEKDAY($S236),7))+20),1,IF(N($W236)&gt;0,AVERAGEIFS($AA$5:$AA$1000,$U$5:$U$1000,ROW(),$V$5:$V$1000,"Sub"),$AA236)))</f>
        <v/>
      </c>
      <c r="AF236" s="62">
        <f>IF($V236="","",IF(AND(ISNUMBER($G236),$G236&lt;=IF($S236=MesCiclo,InicioCiclo,$S236+MOD(2-WEEKDAY($S236),7))+27),1,IF(N($W236)&gt;0,AVERAGEIFS($AB$5:$AB$1000,$U$5:$U$1000,ROW(),$V$5:$V$1000,"Sub"),$AB236)))</f>
        <v/>
      </c>
      <c r="AG236" s="62">
        <f>IF($V236&lt;&gt;"Macro","",IF(COUNTIFS($S$5:$S$1000,$S236,$V$5:$V$1000,"Macro",$H$5:$H$1000,"&gt;0")=0,1/COUNTIFS($S$5:$S$1000,$S236,$V$5:$V$1000,"Macro"),IF(AND(ISNUMBER($H236),N($H236)&gt;0),$H236,SUMIFS($H$5:$H$1000,$S$5:$S$1000,$S236,$V$5:$V$1000,"Macro")/COUNTIFS($S$5:$S$1000,$S236,$V$5:$V$1000,"Macro",$H$5:$H$1000,"&gt;0"))/(COUNTIFS($S$5:$S$1000,$S236,$V$5:$V$1000,"Macro")*SUMIFS($H$5:$H$1000,$S$5:$S$1000,$S236,$V$5:$V$1000,"Macro")/COUNTIFS($S$5:$S$1000,$S236,$V$5:$V$1000,"Macro",$H$5:$H$1000,"&gt;0"))))</f>
        <v/>
      </c>
      <c r="AH236" s="62">
        <f>IF(NOT(AND($D236&lt;&gt;"",$V236="Macro")),"",IFERROR(CHOOSE(MATCH($D236,ListaPuestos,0),MATCH("[Jefatura] "&amp;$C236,'Cronograma R. Operacional'!$C$5:$C$1000,0),MATCH("[Jefatura] "&amp;$C236,'Cronograma R. Normativo'!$C$5:$C$1000,0),MATCH("[Jefatura] "&amp;$C236,'Cronograma R. Financiero'!$C$5:$C$1000,0),MATCH("[Jefatura] "&amp;$C236,'Cronograma Asistente Técnico'!$C$5:$C$1000,0)),0))</f>
        <v/>
      </c>
      <c r="AI236" s="62">
        <f>IF(AND(AND($D236&lt;&gt;"",$V236="Macro"),$S236=MesCiclo),COUNTIFS($D$5:$D236,$D236,$S$5:$S236,MesCiclo,$V$5:$V236,"Macro"),"")</f>
        <v/>
      </c>
      <c r="AJ236" s="62">
        <f>IF($AI236="","",$D236&amp;"|"&amp;$AI236)</f>
        <v/>
      </c>
      <c r="AK236" s="62">
        <f>IF(AND($D236&lt;&gt;"",$V236="Macro"),$D236&amp;"|"&amp;$C236,"")</f>
        <v/>
      </c>
      <c r="AL236" s="62">
        <f>""</f>
        <v/>
      </c>
      <c r="AM236" s="62">
        <f>IF(N($AL236)&gt;0,INDEX(rIni_ADM,$AL236),IF(ISNUMBER($E236),$E236,""))</f>
        <v/>
      </c>
      <c r="AN236" s="62">
        <f>IF(N($AL236)&gt;0,INDEX(rLim_ADM,$AL236),IF(ISNUMBER($F236),$F236,""))</f>
        <v/>
      </c>
    </row>
    <row r="237">
      <c r="A237" s="56">
        <f>IF(NOT((COUNTA($B237:$D237)+COUNTA($G237:$L237)+COUNTA($Q237))&gt;0),"",IF($V237="Macro",COUNTIFS($V$5:$V237,"Macro",$S$5:$S237,$S237),IF(N($U237)=0,"?",COUNTIFS(INDEX($V$5:$V$1000,1):INDEX($V$5:$V$1000,$U237-4),"Macro",INDEX($S$5:$S$1000,1):INDEX($S$5:$S$1000,$U237-4),INDEX($S$5:$S$1000,$U237-4))&amp;"."&amp;COUNTIFS($U$5:$U237,$U237,$V$5:$V237,"Sub"))))</f>
        <v/>
      </c>
      <c r="B237" s="57" t="n"/>
      <c r="C237" s="58" t="n"/>
      <c r="D237" s="58" t="n"/>
      <c r="E237" s="59" t="n"/>
      <c r="F237" s="59" t="n"/>
      <c r="G237" s="59" t="n"/>
      <c r="H237" s="60" t="n"/>
      <c r="I237" s="60" t="n"/>
      <c r="J237" s="60" t="n"/>
      <c r="K237" s="60" t="n"/>
      <c r="L237" s="60" t="n"/>
      <c r="M237" s="61">
        <f>IF(NOT((COUNTA($B237:$D237)+COUNTA($G237:$L237)+COUNTA($Q237))&gt;0),"",IF(AND($D237&lt;&gt;"",$V237="Macro"),IF(N($AH237)&gt;0,N(CHOOSE(MATCH($D237,ListaPuestos,0),INDEX('Cronograma R. Operacional'!$M$5:$M$1000,$AH237),INDEX('Cronograma R. Normativo'!$M$5:$M$1000,$AH237),INDEX('Cronograma R. Financiero'!$M$5:$M$1000,$AH237),INDEX('Cronograma Asistente Técnico'!$M$5:$M$1000,$AH237))),0),IF(ISNUMBER($G237),1,IF(N($W237)&gt;0,AVERAGEIFS($X$5:$X$1000,$U$5:$U$1000,ROW(),$V$5:$V$1000,"Sub"),$X237))))</f>
        <v/>
      </c>
      <c r="N237" s="56">
        <f>IF(OR($M237="",$V237="Sub"),"",IF($M237&gt;=1,"Completado",IF($M237&gt;0,"En curso","Pendiente")))</f>
        <v/>
      </c>
      <c r="O237" s="56">
        <f>IF(NOT((COUNTA($B237:$D237)+COUNTA($G237:$L237)+COUNTA($Q237))&gt;0),"",IF(AND(AND($D237&lt;&gt;"",$V237="Macro"),N($AH237)&gt;0),CHOOSE(MATCH($D237,ListaPuestos,0),INDEX('Cronograma R. Operacional'!$O$5:$O$1000,$AH237),INDEX('Cronograma R. Normativo'!$O$5:$O$1000,$AH237),INDEX('Cronograma R. Financiero'!$O$5:$O$1000,$AH237),INDEX('Cronograma Asistente Técnico'!$O$5:$O$1000,$AH237))&amp;"",IF(ISNUMBER($G237),IF(AND(ISNUMBER($AN237),$G237&gt;$AN237),"Cumplida con "&amp;($G237-$AN237)&amp;IF($G237-$AN237=1," día"," días")&amp;" de retraso","Cumplida"),IF(N($M237)&gt;=1,"Cumplida",IF(NOT(ISNUMBER($AN237)),"Sin fecha límite",IF($AN237&lt;FechaRef,"Vencida hace "&amp;(FechaRef-$AN237)&amp;IF(FechaRef-$AN237=1," día"," días"),IF($AN237=FechaRef,"Vence hoy",IF($AN237-FechaRef&lt;=DiasAlerta,"Vence en "&amp;($AN237-FechaRef)&amp;IF($AN237-FechaRef=1," día"," días"),"En plazo"))))))))</f>
        <v/>
      </c>
      <c r="P237" s="62">
        <f>IF(NOT((COUNTA($B237:$D237)+COUNTA($G237:$L237)+COUNTA($Q237))&gt;0),"",IF($D237="","Propia",IF($V237&lt;&gt;"Macro","Solo se delegan macroactividades",IF(N($AH237)&gt;0,"✔ Recibida por "&amp;$D237,"⚠ "&amp;$D237&amp;" aún no la agrega"))))</f>
        <v/>
      </c>
      <c r="Q237" s="58" t="n"/>
      <c r="R237" s="63">
        <f>IF(NOT((COUNTA($B237:$D237)+COUNTA($G237:$L237)+COUNTA($Q237))&gt;0),"",IF((IF($C237="","Falta el nombre de la actividad"&amp;" · ","")&amp;IF(AND($V237="Sub",N($U237)=0),"Subactividad sin macroactividad arriba"&amp;" · ","")&amp;IF($AM237="","Sin fecha de inicio"&amp;" · ","")&amp;IF($AN237="","Sin fecha límite"&amp;" · ","")&amp;IF(AND(LEFT($C237,11)="[Jefatura] ",N($AL237)=0),"No se encuentra en la hoja de la jefatura (elíjala de nuevo en la lista)"&amp;" · ","")&amp;IF(OR(AND($E237&lt;&gt;"",NOT(ISNUMBER($E237))),AND($F237&lt;&gt;"",NOT(ISNUMBER($F237))),AND($G237&lt;&gt;"",NOT(ISNUMBER($G237)))),"Fecha no válida"&amp;" · ","")&amp;IF(AND(ISNUMBER($AM237),ISNUMBER($AN237),$AM237&gt;$AN237),"Inicio posterior a fecha límite"&amp;" · ","")&amp;IF(AND($V237="Macro",$H237&lt;&gt;"",OR(NOT(ISNUMBER($H237)),$H237&lt;0,$H237&gt;1)),"Peso fuera de rango"&amp;" · ","")&amp;IF(AND($V237="Sub",$H237&lt;&gt;""),"Las subactividades no llevan peso (valen igual dentro de su macroactividad)"&amp;" · ","")&amp;IF(AND(N($W237)&gt;0,COUNT($I237:$L237)&gt;0),"Con subactividades: deje vacías las semanas (se calculan solas)"&amp;" · ","")&amp;IF((COUNTIF($I237:$L237,"&gt;1")+COUNTIF($I237:$L237,"&lt;0")+COUNTA($I237:$L237)-COUNT($I237:$L237))&gt;0,"Avance fuera de rango 0-100%"&amp;" · ","")&amp;IF(OR(AND($J237&lt;&gt;"",$J237&lt;$I237),AND($K237&lt;&gt;"",$K237&lt;MAX($I237:$J237)),AND($L237&lt;&gt;"",$L237&lt;MAX($I237:$K237))),"Avance semanal decreciente"&amp;" · ","")&amp;IF(AND(ISNUMBER($AN237),$AN237&lt;FechaRef,IF($V237="Sub",N($X237),N($M237))&lt;1),"Vencida"&amp;" · ","")&amp;IF(AND(ObsObligatoria="Sí",ISNUMBER($AN237),$AN237&lt;FechaRef,IF($V237="Sub",N($X237),N($M237))&lt;1,$Q237=""),"Vencida sin observación"&amp;" · ",""))="","✔ OK","⚠ "&amp;LEFT(IF($C237="","Falta el nombre de la actividad"&amp;" · ","")&amp;IF(AND($V237="Sub",N($U237)=0),"Subactividad sin macroactividad arriba"&amp;" · ","")&amp;IF($AM237="","Sin fecha de inicio"&amp;" · ","")&amp;IF($AN237="","Sin fecha límite"&amp;" · ","")&amp;IF(AND(LEFT($C237,11)="[Jefatura] ",N($AL237)=0),"No se encuentra en la hoja de la jefatura (elíjala de nuevo en la lista)"&amp;" · ","")&amp;IF(OR(AND($E237&lt;&gt;"",NOT(ISNUMBER($E237))),AND($F237&lt;&gt;"",NOT(ISNUMBER($F237))),AND($G237&lt;&gt;"",NOT(ISNUMBER($G237)))),"Fecha no válida"&amp;" · ","")&amp;IF(AND(ISNUMBER($AM237),ISNUMBER($AN237),$AM237&gt;$AN237),"Inicio posterior a fecha límite"&amp;" · ","")&amp;IF(AND($V237="Macro",$H237&lt;&gt;"",OR(NOT(ISNUMBER($H237)),$H237&lt;0,$H237&gt;1)),"Peso fuera de rango"&amp;" · ","")&amp;IF(AND($V237="Sub",$H237&lt;&gt;""),"Las subactividades no llevan peso (valen igual dentro de su macroactividad)"&amp;" · ","")&amp;IF(AND(N($W237)&gt;0,COUNT($I237:$L237)&gt;0),"Con subactividades: deje vacías las semanas (se calculan solas)"&amp;" · ","")&amp;IF((COUNTIF($I237:$L237,"&gt;1")+COUNTIF($I237:$L237,"&lt;0")+COUNTA($I237:$L237)-COUNT($I237:$L237))&gt;0,"Avance fuera de rango 0-100%"&amp;" · ","")&amp;IF(OR(AND($J237&lt;&gt;"",$J237&lt;$I237),AND($K237&lt;&gt;"",$K237&lt;MAX($I237:$J237)),AND($L237&lt;&gt;"",$L237&lt;MAX($I237:$K237))),"Avance semanal decreciente"&amp;" · ","")&amp;IF(AND(ISNUMBER($AN237),$AN237&lt;FechaRef,IF($V237="Sub",N($X237),N($M237))&lt;1),"Vencida"&amp;" · ","")&amp;IF(AND(ObsObligatoria="Sí",ISNUMBER($AN237),$AN237&lt;FechaRef,IF($V237="Sub",N($X237),N($M237))&lt;1,$Q237=""),"Vencida sin observación"&amp;" · ",""),LEN(IF($C237="","Falta el nombre de la actividad"&amp;" · ","")&amp;IF(AND($V237="Sub",N($U237)=0),"Subactividad sin macroactividad arriba"&amp;" · ","")&amp;IF($AM237="","Sin fecha de inicio"&amp;" · ","")&amp;IF($AN237="","Sin fecha límite"&amp;" · ","")&amp;IF(AND(LEFT($C237,11)="[Jefatura] ",N($AL237)=0),"No se encuentra en la hoja de la jefatura (elíjala de nuevo en la lista)"&amp;" · ","")&amp;IF(OR(AND($E237&lt;&gt;"",NOT(ISNUMBER($E237))),AND($F237&lt;&gt;"",NOT(ISNUMBER($F237))),AND($G237&lt;&gt;"",NOT(ISNUMBER($G237)))),"Fecha no válida"&amp;" · ","")&amp;IF(AND(ISNUMBER($AM237),ISNUMBER($AN237),$AM237&gt;$AN237),"Inicio posterior a fecha límite"&amp;" · ","")&amp;IF(AND($V237="Macro",$H237&lt;&gt;"",OR(NOT(ISNUMBER($H237)),$H237&lt;0,$H237&gt;1)),"Peso fuera de rango"&amp;" · ","")&amp;IF(AND($V237="Sub",$H237&lt;&gt;""),"Las subactividades no llevan peso (valen igual dentro de su macroactividad)"&amp;" · ","")&amp;IF(AND(N($W237)&gt;0,COUNT($I237:$L237)&gt;0),"Con subactividades: deje vacías las semanas (se calculan solas)"&amp;" · ","")&amp;IF((COUNTIF($I237:$L237,"&gt;1")+COUNTIF($I237:$L237,"&lt;0")+COUNTA($I237:$L237)-COUNT($I237:$L237))&gt;0,"Avance fuera de rango 0-100%"&amp;" · ","")&amp;IF(OR(AND($J237&lt;&gt;"",$J237&lt;$I237),AND($K237&lt;&gt;"",$K237&lt;MAX($I237:$J237)),AND($L237&lt;&gt;"",$L237&lt;MAX($I237:$K237))),"Avance semanal decreciente"&amp;" · ","")&amp;IF(AND(ISNUMBER($AN237),$AN237&lt;FechaRef,IF($V237="Sub",N($X237),N($M237))&lt;1),"Vencida"&amp;" · ","")&amp;IF(AND(ObsObligatoria="Sí",ISNUMBER($AN237),$AN237&lt;FechaRef,IF($V237="Sub",N($X237),N($M237))&lt;1,$Q237=""),"Vencida sin observación"&amp;" · ",""))-3)))</f>
        <v/>
      </c>
      <c r="S237" s="64">
        <f>IF(NOT((COUNTA($B237:$D237)+COUNTA($G237:$L237)+COUNTA($Q237))&gt;0),"",IF(AND($V237="Sub",N($U237)&gt;0),IF(ISNUMBER(INDEX($AM$5:$AM$1000,$U237-4)),DATE(YEAR(INDEX($AM$5:$AM$1000,$U237-4)),MONTH(INDEX($AM$5:$AM$1000,$U237-4)),1),IF(ISNUMBER(INDEX($AN$5:$AN$1000,$U237-4)),DATE(YEAR(INDEX($AN$5:$AN$1000,$U237-4)),MONTH(INDEX($AN$5:$AN$1000,$U237-4)),1),MesCiclo)),IF(ISNUMBER($AM237),DATE(YEAR($AM237),MONTH($AM237),1),IF(ISNUMBER($AN237),DATE(YEAR($AN237),MONTH($AN237),1),MesCiclo))))</f>
        <v/>
      </c>
      <c r="T237" s="62">
        <f>IF(OR($S237="",$S237&lt;&gt;MesCiclo,$V237&lt;&gt;"Macro"),"",COUNTIFS($S$5:$S237,MesCiclo,$V$5:$V237,"Macro"))</f>
        <v/>
      </c>
      <c r="U237" s="62">
        <f>IF($V237="","",IF($V237="Macro",ROW(),IFERROR(LOOKUP(2,1/($V$5:$V237="Macro"),ROW($V$5:$V237)),0)))</f>
        <v/>
      </c>
      <c r="V237" s="62">
        <f>IF(NOT((COUNTA($B237:$D237)+COUNTA($G237:$L237)+COUNTA($Q237))&gt;0),"",IF($B237="Subactividad","Sub","Macro"))</f>
        <v/>
      </c>
      <c r="W237" s="62">
        <f>IF($V237="Macro",COUNTIFS($U$5:$U$1000,ROW(),$V$5:$V$1000,"Sub"),"")</f>
        <v/>
      </c>
      <c r="X237" s="62">
        <f>IF($V237="","",IF(ISNUMBER($G237),1,IFERROR(LOOKUP(2,1/($I237:$L237&lt;&gt;""),$I237:$L237),0)))</f>
        <v/>
      </c>
      <c r="Y237" s="62">
        <f>IF($V237="","",IF(AND(ISNUMBER($G237),$G237&lt;=IF($S237=MesCiclo,InicioCiclo,$S237+MOD(2-WEEKDAY($S237),7))+6),1,IF(ISNUMBER($I237),$I237,0)))</f>
        <v/>
      </c>
      <c r="Z237" s="62">
        <f>IF($V237="","",IF(AND(ISNUMBER($G237),$G237&lt;=IF($S237=MesCiclo,InicioCiclo,$S237+MOD(2-WEEKDAY($S237),7))+13),1,IF(ISNUMBER($J237),$J237,$Y237)))</f>
        <v/>
      </c>
      <c r="AA237" s="62">
        <f>IF($V237="","",IF(AND(ISNUMBER($G237),$G237&lt;=IF($S237=MesCiclo,InicioCiclo,$S237+MOD(2-WEEKDAY($S237),7))+20),1,IF(ISNUMBER($K237),$K237,$Z237)))</f>
        <v/>
      </c>
      <c r="AB237" s="62">
        <f>IF($V237="","",IF(AND(ISNUMBER($G237),$G237&lt;=IF($S237=MesCiclo,InicioCiclo,$S237+MOD(2-WEEKDAY($S237),7))+27),1,IF(ISNUMBER($L237),$L237,$AA237)))</f>
        <v/>
      </c>
      <c r="AC237" s="62">
        <f>IF($V237="","",IF(AND(ISNUMBER($G237),$G237&lt;=IF($S237=MesCiclo,InicioCiclo,$S237+MOD(2-WEEKDAY($S237),7))+6),1,IF(N($W237)&gt;0,AVERAGEIFS($Y$5:$Y$1000,$U$5:$U$1000,ROW(),$V$5:$V$1000,"Sub"),$Y237)))</f>
        <v/>
      </c>
      <c r="AD237" s="62">
        <f>IF($V237="","",IF(AND(ISNUMBER($G237),$G237&lt;=IF($S237=MesCiclo,InicioCiclo,$S237+MOD(2-WEEKDAY($S237),7))+13),1,IF(N($W237)&gt;0,AVERAGEIFS($Z$5:$Z$1000,$U$5:$U$1000,ROW(),$V$5:$V$1000,"Sub"),$Z237)))</f>
        <v/>
      </c>
      <c r="AE237" s="62">
        <f>IF($V237="","",IF(AND(ISNUMBER($G237),$G237&lt;=IF($S237=MesCiclo,InicioCiclo,$S237+MOD(2-WEEKDAY($S237),7))+20),1,IF(N($W237)&gt;0,AVERAGEIFS($AA$5:$AA$1000,$U$5:$U$1000,ROW(),$V$5:$V$1000,"Sub"),$AA237)))</f>
        <v/>
      </c>
      <c r="AF237" s="62">
        <f>IF($V237="","",IF(AND(ISNUMBER($G237),$G237&lt;=IF($S237=MesCiclo,InicioCiclo,$S237+MOD(2-WEEKDAY($S237),7))+27),1,IF(N($W237)&gt;0,AVERAGEIFS($AB$5:$AB$1000,$U$5:$U$1000,ROW(),$V$5:$V$1000,"Sub"),$AB237)))</f>
        <v/>
      </c>
      <c r="AG237" s="62">
        <f>IF($V237&lt;&gt;"Macro","",IF(COUNTIFS($S$5:$S$1000,$S237,$V$5:$V$1000,"Macro",$H$5:$H$1000,"&gt;0")=0,1/COUNTIFS($S$5:$S$1000,$S237,$V$5:$V$1000,"Macro"),IF(AND(ISNUMBER($H237),N($H237)&gt;0),$H237,SUMIFS($H$5:$H$1000,$S$5:$S$1000,$S237,$V$5:$V$1000,"Macro")/COUNTIFS($S$5:$S$1000,$S237,$V$5:$V$1000,"Macro",$H$5:$H$1000,"&gt;0"))/(COUNTIFS($S$5:$S$1000,$S237,$V$5:$V$1000,"Macro")*SUMIFS($H$5:$H$1000,$S$5:$S$1000,$S237,$V$5:$V$1000,"Macro")/COUNTIFS($S$5:$S$1000,$S237,$V$5:$V$1000,"Macro",$H$5:$H$1000,"&gt;0"))))</f>
        <v/>
      </c>
      <c r="AH237" s="62">
        <f>IF(NOT(AND($D237&lt;&gt;"",$V237="Macro")),"",IFERROR(CHOOSE(MATCH($D237,ListaPuestos,0),MATCH("[Jefatura] "&amp;$C237,'Cronograma R. Operacional'!$C$5:$C$1000,0),MATCH("[Jefatura] "&amp;$C237,'Cronograma R. Normativo'!$C$5:$C$1000,0),MATCH("[Jefatura] "&amp;$C237,'Cronograma R. Financiero'!$C$5:$C$1000,0),MATCH("[Jefatura] "&amp;$C237,'Cronograma Asistente Técnico'!$C$5:$C$1000,0)),0))</f>
        <v/>
      </c>
      <c r="AI237" s="62">
        <f>IF(AND(AND($D237&lt;&gt;"",$V237="Macro"),$S237=MesCiclo),COUNTIFS($D$5:$D237,$D237,$S$5:$S237,MesCiclo,$V$5:$V237,"Macro"),"")</f>
        <v/>
      </c>
      <c r="AJ237" s="62">
        <f>IF($AI237="","",$D237&amp;"|"&amp;$AI237)</f>
        <v/>
      </c>
      <c r="AK237" s="62">
        <f>IF(AND($D237&lt;&gt;"",$V237="Macro"),$D237&amp;"|"&amp;$C237,"")</f>
        <v/>
      </c>
      <c r="AL237" s="62">
        <f>""</f>
        <v/>
      </c>
      <c r="AM237" s="62">
        <f>IF(N($AL237)&gt;0,INDEX(rIni_ADM,$AL237),IF(ISNUMBER($E237),$E237,""))</f>
        <v/>
      </c>
      <c r="AN237" s="62">
        <f>IF(N($AL237)&gt;0,INDEX(rLim_ADM,$AL237),IF(ISNUMBER($F237),$F237,""))</f>
        <v/>
      </c>
    </row>
    <row r="238">
      <c r="A238" s="56">
        <f>IF(NOT((COUNTA($B238:$D238)+COUNTA($G238:$L238)+COUNTA($Q238))&gt;0),"",IF($V238="Macro",COUNTIFS($V$5:$V238,"Macro",$S$5:$S238,$S238),IF(N($U238)=0,"?",COUNTIFS(INDEX($V$5:$V$1000,1):INDEX($V$5:$V$1000,$U238-4),"Macro",INDEX($S$5:$S$1000,1):INDEX($S$5:$S$1000,$U238-4),INDEX($S$5:$S$1000,$U238-4))&amp;"."&amp;COUNTIFS($U$5:$U238,$U238,$V$5:$V238,"Sub"))))</f>
        <v/>
      </c>
      <c r="B238" s="57" t="n"/>
      <c r="C238" s="58" t="n"/>
      <c r="D238" s="58" t="n"/>
      <c r="E238" s="59" t="n"/>
      <c r="F238" s="59" t="n"/>
      <c r="G238" s="59" t="n"/>
      <c r="H238" s="60" t="n"/>
      <c r="I238" s="60" t="n"/>
      <c r="J238" s="60" t="n"/>
      <c r="K238" s="60" t="n"/>
      <c r="L238" s="60" t="n"/>
      <c r="M238" s="61">
        <f>IF(NOT((COUNTA($B238:$D238)+COUNTA($G238:$L238)+COUNTA($Q238))&gt;0),"",IF(AND($D238&lt;&gt;"",$V238="Macro"),IF(N($AH238)&gt;0,N(CHOOSE(MATCH($D238,ListaPuestos,0),INDEX('Cronograma R. Operacional'!$M$5:$M$1000,$AH238),INDEX('Cronograma R. Normativo'!$M$5:$M$1000,$AH238),INDEX('Cronograma R. Financiero'!$M$5:$M$1000,$AH238),INDEX('Cronograma Asistente Técnico'!$M$5:$M$1000,$AH238))),0),IF(ISNUMBER($G238),1,IF(N($W238)&gt;0,AVERAGEIFS($X$5:$X$1000,$U$5:$U$1000,ROW(),$V$5:$V$1000,"Sub"),$X238))))</f>
        <v/>
      </c>
      <c r="N238" s="56">
        <f>IF(OR($M238="",$V238="Sub"),"",IF($M238&gt;=1,"Completado",IF($M238&gt;0,"En curso","Pendiente")))</f>
        <v/>
      </c>
      <c r="O238" s="56">
        <f>IF(NOT((COUNTA($B238:$D238)+COUNTA($G238:$L238)+COUNTA($Q238))&gt;0),"",IF(AND(AND($D238&lt;&gt;"",$V238="Macro"),N($AH238)&gt;0),CHOOSE(MATCH($D238,ListaPuestos,0),INDEX('Cronograma R. Operacional'!$O$5:$O$1000,$AH238),INDEX('Cronograma R. Normativo'!$O$5:$O$1000,$AH238),INDEX('Cronograma R. Financiero'!$O$5:$O$1000,$AH238),INDEX('Cronograma Asistente Técnico'!$O$5:$O$1000,$AH238))&amp;"",IF(ISNUMBER($G238),IF(AND(ISNUMBER($AN238),$G238&gt;$AN238),"Cumplida con "&amp;($G238-$AN238)&amp;IF($G238-$AN238=1," día"," días")&amp;" de retraso","Cumplida"),IF(N($M238)&gt;=1,"Cumplida",IF(NOT(ISNUMBER($AN238)),"Sin fecha límite",IF($AN238&lt;FechaRef,"Vencida hace "&amp;(FechaRef-$AN238)&amp;IF(FechaRef-$AN238=1," día"," días"),IF($AN238=FechaRef,"Vence hoy",IF($AN238-FechaRef&lt;=DiasAlerta,"Vence en "&amp;($AN238-FechaRef)&amp;IF($AN238-FechaRef=1," día"," días"),"En plazo"))))))))</f>
        <v/>
      </c>
      <c r="P238" s="62">
        <f>IF(NOT((COUNTA($B238:$D238)+COUNTA($G238:$L238)+COUNTA($Q238))&gt;0),"",IF($D238="","Propia",IF($V238&lt;&gt;"Macro","Solo se delegan macroactividades",IF(N($AH238)&gt;0,"✔ Recibida por "&amp;$D238,"⚠ "&amp;$D238&amp;" aún no la agrega"))))</f>
        <v/>
      </c>
      <c r="Q238" s="58" t="n"/>
      <c r="R238" s="63">
        <f>IF(NOT((COUNTA($B238:$D238)+COUNTA($G238:$L238)+COUNTA($Q238))&gt;0),"",IF((IF($C238="","Falta el nombre de la actividad"&amp;" · ","")&amp;IF(AND($V238="Sub",N($U238)=0),"Subactividad sin macroactividad arriba"&amp;" · ","")&amp;IF($AM238="","Sin fecha de inicio"&amp;" · ","")&amp;IF($AN238="","Sin fecha límite"&amp;" · ","")&amp;IF(AND(LEFT($C238,11)="[Jefatura] ",N($AL238)=0),"No se encuentra en la hoja de la jefatura (elíjala de nuevo en la lista)"&amp;" · ","")&amp;IF(OR(AND($E238&lt;&gt;"",NOT(ISNUMBER($E238))),AND($F238&lt;&gt;"",NOT(ISNUMBER($F238))),AND($G238&lt;&gt;"",NOT(ISNUMBER($G238)))),"Fecha no válida"&amp;" · ","")&amp;IF(AND(ISNUMBER($AM238),ISNUMBER($AN238),$AM238&gt;$AN238),"Inicio posterior a fecha límite"&amp;" · ","")&amp;IF(AND($V238="Macro",$H238&lt;&gt;"",OR(NOT(ISNUMBER($H238)),$H238&lt;0,$H238&gt;1)),"Peso fuera de rango"&amp;" · ","")&amp;IF(AND($V238="Sub",$H238&lt;&gt;""),"Las subactividades no llevan peso (valen igual dentro de su macroactividad)"&amp;" · ","")&amp;IF(AND(N($W238)&gt;0,COUNT($I238:$L238)&gt;0),"Con subactividades: deje vacías las semanas (se calculan solas)"&amp;" · ","")&amp;IF((COUNTIF($I238:$L238,"&gt;1")+COUNTIF($I238:$L238,"&lt;0")+COUNTA($I238:$L238)-COUNT($I238:$L238))&gt;0,"Avance fuera de rango 0-100%"&amp;" · ","")&amp;IF(OR(AND($J238&lt;&gt;"",$J238&lt;$I238),AND($K238&lt;&gt;"",$K238&lt;MAX($I238:$J238)),AND($L238&lt;&gt;"",$L238&lt;MAX($I238:$K238))),"Avance semanal decreciente"&amp;" · ","")&amp;IF(AND(ISNUMBER($AN238),$AN238&lt;FechaRef,IF($V238="Sub",N($X238),N($M238))&lt;1),"Vencida"&amp;" · ","")&amp;IF(AND(ObsObligatoria="Sí",ISNUMBER($AN238),$AN238&lt;FechaRef,IF($V238="Sub",N($X238),N($M238))&lt;1,$Q238=""),"Vencida sin observación"&amp;" · ",""))="","✔ OK","⚠ "&amp;LEFT(IF($C238="","Falta el nombre de la actividad"&amp;" · ","")&amp;IF(AND($V238="Sub",N($U238)=0),"Subactividad sin macroactividad arriba"&amp;" · ","")&amp;IF($AM238="","Sin fecha de inicio"&amp;" · ","")&amp;IF($AN238="","Sin fecha límite"&amp;" · ","")&amp;IF(AND(LEFT($C238,11)="[Jefatura] ",N($AL238)=0),"No se encuentra en la hoja de la jefatura (elíjala de nuevo en la lista)"&amp;" · ","")&amp;IF(OR(AND($E238&lt;&gt;"",NOT(ISNUMBER($E238))),AND($F238&lt;&gt;"",NOT(ISNUMBER($F238))),AND($G238&lt;&gt;"",NOT(ISNUMBER($G238)))),"Fecha no válida"&amp;" · ","")&amp;IF(AND(ISNUMBER($AM238),ISNUMBER($AN238),$AM238&gt;$AN238),"Inicio posterior a fecha límite"&amp;" · ","")&amp;IF(AND($V238="Macro",$H238&lt;&gt;"",OR(NOT(ISNUMBER($H238)),$H238&lt;0,$H238&gt;1)),"Peso fuera de rango"&amp;" · ","")&amp;IF(AND($V238="Sub",$H238&lt;&gt;""),"Las subactividades no llevan peso (valen igual dentro de su macroactividad)"&amp;" · ","")&amp;IF(AND(N($W238)&gt;0,COUNT($I238:$L238)&gt;0),"Con subactividades: deje vacías las semanas (se calculan solas)"&amp;" · ","")&amp;IF((COUNTIF($I238:$L238,"&gt;1")+COUNTIF($I238:$L238,"&lt;0")+COUNTA($I238:$L238)-COUNT($I238:$L238))&gt;0,"Avance fuera de rango 0-100%"&amp;" · ","")&amp;IF(OR(AND($J238&lt;&gt;"",$J238&lt;$I238),AND($K238&lt;&gt;"",$K238&lt;MAX($I238:$J238)),AND($L238&lt;&gt;"",$L238&lt;MAX($I238:$K238))),"Avance semanal decreciente"&amp;" · ","")&amp;IF(AND(ISNUMBER($AN238),$AN238&lt;FechaRef,IF($V238="Sub",N($X238),N($M238))&lt;1),"Vencida"&amp;" · ","")&amp;IF(AND(ObsObligatoria="Sí",ISNUMBER($AN238),$AN238&lt;FechaRef,IF($V238="Sub",N($X238),N($M238))&lt;1,$Q238=""),"Vencida sin observación"&amp;" · ",""),LEN(IF($C238="","Falta el nombre de la actividad"&amp;" · ","")&amp;IF(AND($V238="Sub",N($U238)=0),"Subactividad sin macroactividad arriba"&amp;" · ","")&amp;IF($AM238="","Sin fecha de inicio"&amp;" · ","")&amp;IF($AN238="","Sin fecha límite"&amp;" · ","")&amp;IF(AND(LEFT($C238,11)="[Jefatura] ",N($AL238)=0),"No se encuentra en la hoja de la jefatura (elíjala de nuevo en la lista)"&amp;" · ","")&amp;IF(OR(AND($E238&lt;&gt;"",NOT(ISNUMBER($E238))),AND($F238&lt;&gt;"",NOT(ISNUMBER($F238))),AND($G238&lt;&gt;"",NOT(ISNUMBER($G238)))),"Fecha no válida"&amp;" · ","")&amp;IF(AND(ISNUMBER($AM238),ISNUMBER($AN238),$AM238&gt;$AN238),"Inicio posterior a fecha límite"&amp;" · ","")&amp;IF(AND($V238="Macro",$H238&lt;&gt;"",OR(NOT(ISNUMBER($H238)),$H238&lt;0,$H238&gt;1)),"Peso fuera de rango"&amp;" · ","")&amp;IF(AND($V238="Sub",$H238&lt;&gt;""),"Las subactividades no llevan peso (valen igual dentro de su macroactividad)"&amp;" · ","")&amp;IF(AND(N($W238)&gt;0,COUNT($I238:$L238)&gt;0),"Con subactividades: deje vacías las semanas (se calculan solas)"&amp;" · ","")&amp;IF((COUNTIF($I238:$L238,"&gt;1")+COUNTIF($I238:$L238,"&lt;0")+COUNTA($I238:$L238)-COUNT($I238:$L238))&gt;0,"Avance fuera de rango 0-100%"&amp;" · ","")&amp;IF(OR(AND($J238&lt;&gt;"",$J238&lt;$I238),AND($K238&lt;&gt;"",$K238&lt;MAX($I238:$J238)),AND($L238&lt;&gt;"",$L238&lt;MAX($I238:$K238))),"Avance semanal decreciente"&amp;" · ","")&amp;IF(AND(ISNUMBER($AN238),$AN238&lt;FechaRef,IF($V238="Sub",N($X238),N($M238))&lt;1),"Vencida"&amp;" · ","")&amp;IF(AND(ObsObligatoria="Sí",ISNUMBER($AN238),$AN238&lt;FechaRef,IF($V238="Sub",N($X238),N($M238))&lt;1,$Q238=""),"Vencida sin observación"&amp;" · ",""))-3)))</f>
        <v/>
      </c>
      <c r="S238" s="64">
        <f>IF(NOT((COUNTA($B238:$D238)+COUNTA($G238:$L238)+COUNTA($Q238))&gt;0),"",IF(AND($V238="Sub",N($U238)&gt;0),IF(ISNUMBER(INDEX($AM$5:$AM$1000,$U238-4)),DATE(YEAR(INDEX($AM$5:$AM$1000,$U238-4)),MONTH(INDEX($AM$5:$AM$1000,$U238-4)),1),IF(ISNUMBER(INDEX($AN$5:$AN$1000,$U238-4)),DATE(YEAR(INDEX($AN$5:$AN$1000,$U238-4)),MONTH(INDEX($AN$5:$AN$1000,$U238-4)),1),MesCiclo)),IF(ISNUMBER($AM238),DATE(YEAR($AM238),MONTH($AM238),1),IF(ISNUMBER($AN238),DATE(YEAR($AN238),MONTH($AN238),1),MesCiclo))))</f>
        <v/>
      </c>
      <c r="T238" s="62">
        <f>IF(OR($S238="",$S238&lt;&gt;MesCiclo,$V238&lt;&gt;"Macro"),"",COUNTIFS($S$5:$S238,MesCiclo,$V$5:$V238,"Macro"))</f>
        <v/>
      </c>
      <c r="U238" s="62">
        <f>IF($V238="","",IF($V238="Macro",ROW(),IFERROR(LOOKUP(2,1/($V$5:$V238="Macro"),ROW($V$5:$V238)),0)))</f>
        <v/>
      </c>
      <c r="V238" s="62">
        <f>IF(NOT((COUNTA($B238:$D238)+COUNTA($G238:$L238)+COUNTA($Q238))&gt;0),"",IF($B238="Subactividad","Sub","Macro"))</f>
        <v/>
      </c>
      <c r="W238" s="62">
        <f>IF($V238="Macro",COUNTIFS($U$5:$U$1000,ROW(),$V$5:$V$1000,"Sub"),"")</f>
        <v/>
      </c>
      <c r="X238" s="62">
        <f>IF($V238="","",IF(ISNUMBER($G238),1,IFERROR(LOOKUP(2,1/($I238:$L238&lt;&gt;""),$I238:$L238),0)))</f>
        <v/>
      </c>
      <c r="Y238" s="62">
        <f>IF($V238="","",IF(AND(ISNUMBER($G238),$G238&lt;=IF($S238=MesCiclo,InicioCiclo,$S238+MOD(2-WEEKDAY($S238),7))+6),1,IF(ISNUMBER($I238),$I238,0)))</f>
        <v/>
      </c>
      <c r="Z238" s="62">
        <f>IF($V238="","",IF(AND(ISNUMBER($G238),$G238&lt;=IF($S238=MesCiclo,InicioCiclo,$S238+MOD(2-WEEKDAY($S238),7))+13),1,IF(ISNUMBER($J238),$J238,$Y238)))</f>
        <v/>
      </c>
      <c r="AA238" s="62">
        <f>IF($V238="","",IF(AND(ISNUMBER($G238),$G238&lt;=IF($S238=MesCiclo,InicioCiclo,$S238+MOD(2-WEEKDAY($S238),7))+20),1,IF(ISNUMBER($K238),$K238,$Z238)))</f>
        <v/>
      </c>
      <c r="AB238" s="62">
        <f>IF($V238="","",IF(AND(ISNUMBER($G238),$G238&lt;=IF($S238=MesCiclo,InicioCiclo,$S238+MOD(2-WEEKDAY($S238),7))+27),1,IF(ISNUMBER($L238),$L238,$AA238)))</f>
        <v/>
      </c>
      <c r="AC238" s="62">
        <f>IF($V238="","",IF(AND(ISNUMBER($G238),$G238&lt;=IF($S238=MesCiclo,InicioCiclo,$S238+MOD(2-WEEKDAY($S238),7))+6),1,IF(N($W238)&gt;0,AVERAGEIFS($Y$5:$Y$1000,$U$5:$U$1000,ROW(),$V$5:$V$1000,"Sub"),$Y238)))</f>
        <v/>
      </c>
      <c r="AD238" s="62">
        <f>IF($V238="","",IF(AND(ISNUMBER($G238),$G238&lt;=IF($S238=MesCiclo,InicioCiclo,$S238+MOD(2-WEEKDAY($S238),7))+13),1,IF(N($W238)&gt;0,AVERAGEIFS($Z$5:$Z$1000,$U$5:$U$1000,ROW(),$V$5:$V$1000,"Sub"),$Z238)))</f>
        <v/>
      </c>
      <c r="AE238" s="62">
        <f>IF($V238="","",IF(AND(ISNUMBER($G238),$G238&lt;=IF($S238=MesCiclo,InicioCiclo,$S238+MOD(2-WEEKDAY($S238),7))+20),1,IF(N($W238)&gt;0,AVERAGEIFS($AA$5:$AA$1000,$U$5:$U$1000,ROW(),$V$5:$V$1000,"Sub"),$AA238)))</f>
        <v/>
      </c>
      <c r="AF238" s="62">
        <f>IF($V238="","",IF(AND(ISNUMBER($G238),$G238&lt;=IF($S238=MesCiclo,InicioCiclo,$S238+MOD(2-WEEKDAY($S238),7))+27),1,IF(N($W238)&gt;0,AVERAGEIFS($AB$5:$AB$1000,$U$5:$U$1000,ROW(),$V$5:$V$1000,"Sub"),$AB238)))</f>
        <v/>
      </c>
      <c r="AG238" s="62">
        <f>IF($V238&lt;&gt;"Macro","",IF(COUNTIFS($S$5:$S$1000,$S238,$V$5:$V$1000,"Macro",$H$5:$H$1000,"&gt;0")=0,1/COUNTIFS($S$5:$S$1000,$S238,$V$5:$V$1000,"Macro"),IF(AND(ISNUMBER($H238),N($H238)&gt;0),$H238,SUMIFS($H$5:$H$1000,$S$5:$S$1000,$S238,$V$5:$V$1000,"Macro")/COUNTIFS($S$5:$S$1000,$S238,$V$5:$V$1000,"Macro",$H$5:$H$1000,"&gt;0"))/(COUNTIFS($S$5:$S$1000,$S238,$V$5:$V$1000,"Macro")*SUMIFS($H$5:$H$1000,$S$5:$S$1000,$S238,$V$5:$V$1000,"Macro")/COUNTIFS($S$5:$S$1000,$S238,$V$5:$V$1000,"Macro",$H$5:$H$1000,"&gt;0"))))</f>
        <v/>
      </c>
      <c r="AH238" s="62">
        <f>IF(NOT(AND($D238&lt;&gt;"",$V238="Macro")),"",IFERROR(CHOOSE(MATCH($D238,ListaPuestos,0),MATCH("[Jefatura] "&amp;$C238,'Cronograma R. Operacional'!$C$5:$C$1000,0),MATCH("[Jefatura] "&amp;$C238,'Cronograma R. Normativo'!$C$5:$C$1000,0),MATCH("[Jefatura] "&amp;$C238,'Cronograma R. Financiero'!$C$5:$C$1000,0),MATCH("[Jefatura] "&amp;$C238,'Cronograma Asistente Técnico'!$C$5:$C$1000,0)),0))</f>
        <v/>
      </c>
      <c r="AI238" s="62">
        <f>IF(AND(AND($D238&lt;&gt;"",$V238="Macro"),$S238=MesCiclo),COUNTIFS($D$5:$D238,$D238,$S$5:$S238,MesCiclo,$V$5:$V238,"Macro"),"")</f>
        <v/>
      </c>
      <c r="AJ238" s="62">
        <f>IF($AI238="","",$D238&amp;"|"&amp;$AI238)</f>
        <v/>
      </c>
      <c r="AK238" s="62">
        <f>IF(AND($D238&lt;&gt;"",$V238="Macro"),$D238&amp;"|"&amp;$C238,"")</f>
        <v/>
      </c>
      <c r="AL238" s="62">
        <f>""</f>
        <v/>
      </c>
      <c r="AM238" s="62">
        <f>IF(N($AL238)&gt;0,INDEX(rIni_ADM,$AL238),IF(ISNUMBER($E238),$E238,""))</f>
        <v/>
      </c>
      <c r="AN238" s="62">
        <f>IF(N($AL238)&gt;0,INDEX(rLim_ADM,$AL238),IF(ISNUMBER($F238),$F238,""))</f>
        <v/>
      </c>
    </row>
    <row r="239">
      <c r="A239" s="56">
        <f>IF(NOT((COUNTA($B239:$D239)+COUNTA($G239:$L239)+COUNTA($Q239))&gt;0),"",IF($V239="Macro",COUNTIFS($V$5:$V239,"Macro",$S$5:$S239,$S239),IF(N($U239)=0,"?",COUNTIFS(INDEX($V$5:$V$1000,1):INDEX($V$5:$V$1000,$U239-4),"Macro",INDEX($S$5:$S$1000,1):INDEX($S$5:$S$1000,$U239-4),INDEX($S$5:$S$1000,$U239-4))&amp;"."&amp;COUNTIFS($U$5:$U239,$U239,$V$5:$V239,"Sub"))))</f>
        <v/>
      </c>
      <c r="B239" s="57" t="n"/>
      <c r="C239" s="58" t="n"/>
      <c r="D239" s="58" t="n"/>
      <c r="E239" s="59" t="n"/>
      <c r="F239" s="59" t="n"/>
      <c r="G239" s="59" t="n"/>
      <c r="H239" s="60" t="n"/>
      <c r="I239" s="60" t="n"/>
      <c r="J239" s="60" t="n"/>
      <c r="K239" s="60" t="n"/>
      <c r="L239" s="60" t="n"/>
      <c r="M239" s="61">
        <f>IF(NOT((COUNTA($B239:$D239)+COUNTA($G239:$L239)+COUNTA($Q239))&gt;0),"",IF(AND($D239&lt;&gt;"",$V239="Macro"),IF(N($AH239)&gt;0,N(CHOOSE(MATCH($D239,ListaPuestos,0),INDEX('Cronograma R. Operacional'!$M$5:$M$1000,$AH239),INDEX('Cronograma R. Normativo'!$M$5:$M$1000,$AH239),INDEX('Cronograma R. Financiero'!$M$5:$M$1000,$AH239),INDEX('Cronograma Asistente Técnico'!$M$5:$M$1000,$AH239))),0),IF(ISNUMBER($G239),1,IF(N($W239)&gt;0,AVERAGEIFS($X$5:$X$1000,$U$5:$U$1000,ROW(),$V$5:$V$1000,"Sub"),$X239))))</f>
        <v/>
      </c>
      <c r="N239" s="56">
        <f>IF(OR($M239="",$V239="Sub"),"",IF($M239&gt;=1,"Completado",IF($M239&gt;0,"En curso","Pendiente")))</f>
        <v/>
      </c>
      <c r="O239" s="56">
        <f>IF(NOT((COUNTA($B239:$D239)+COUNTA($G239:$L239)+COUNTA($Q239))&gt;0),"",IF(AND(AND($D239&lt;&gt;"",$V239="Macro"),N($AH239)&gt;0),CHOOSE(MATCH($D239,ListaPuestos,0),INDEX('Cronograma R. Operacional'!$O$5:$O$1000,$AH239),INDEX('Cronograma R. Normativo'!$O$5:$O$1000,$AH239),INDEX('Cronograma R. Financiero'!$O$5:$O$1000,$AH239),INDEX('Cronograma Asistente Técnico'!$O$5:$O$1000,$AH239))&amp;"",IF(ISNUMBER($G239),IF(AND(ISNUMBER($AN239),$G239&gt;$AN239),"Cumplida con "&amp;($G239-$AN239)&amp;IF($G239-$AN239=1," día"," días")&amp;" de retraso","Cumplida"),IF(N($M239)&gt;=1,"Cumplida",IF(NOT(ISNUMBER($AN239)),"Sin fecha límite",IF($AN239&lt;FechaRef,"Vencida hace "&amp;(FechaRef-$AN239)&amp;IF(FechaRef-$AN239=1," día"," días"),IF($AN239=FechaRef,"Vence hoy",IF($AN239-FechaRef&lt;=DiasAlerta,"Vence en "&amp;($AN239-FechaRef)&amp;IF($AN239-FechaRef=1," día"," días"),"En plazo"))))))))</f>
        <v/>
      </c>
      <c r="P239" s="62">
        <f>IF(NOT((COUNTA($B239:$D239)+COUNTA($G239:$L239)+COUNTA($Q239))&gt;0),"",IF($D239="","Propia",IF($V239&lt;&gt;"Macro","Solo se delegan macroactividades",IF(N($AH239)&gt;0,"✔ Recibida por "&amp;$D239,"⚠ "&amp;$D239&amp;" aún no la agrega"))))</f>
        <v/>
      </c>
      <c r="Q239" s="58" t="n"/>
      <c r="R239" s="63">
        <f>IF(NOT((COUNTA($B239:$D239)+COUNTA($G239:$L239)+COUNTA($Q239))&gt;0),"",IF((IF($C239="","Falta el nombre de la actividad"&amp;" · ","")&amp;IF(AND($V239="Sub",N($U239)=0),"Subactividad sin macroactividad arriba"&amp;" · ","")&amp;IF($AM239="","Sin fecha de inicio"&amp;" · ","")&amp;IF($AN239="","Sin fecha límite"&amp;" · ","")&amp;IF(AND(LEFT($C239,11)="[Jefatura] ",N($AL239)=0),"No se encuentra en la hoja de la jefatura (elíjala de nuevo en la lista)"&amp;" · ","")&amp;IF(OR(AND($E239&lt;&gt;"",NOT(ISNUMBER($E239))),AND($F239&lt;&gt;"",NOT(ISNUMBER($F239))),AND($G239&lt;&gt;"",NOT(ISNUMBER($G239)))),"Fecha no válida"&amp;" · ","")&amp;IF(AND(ISNUMBER($AM239),ISNUMBER($AN239),$AM239&gt;$AN239),"Inicio posterior a fecha límite"&amp;" · ","")&amp;IF(AND($V239="Macro",$H239&lt;&gt;"",OR(NOT(ISNUMBER($H239)),$H239&lt;0,$H239&gt;1)),"Peso fuera de rango"&amp;" · ","")&amp;IF(AND($V239="Sub",$H239&lt;&gt;""),"Las subactividades no llevan peso (valen igual dentro de su macroactividad)"&amp;" · ","")&amp;IF(AND(N($W239)&gt;0,COUNT($I239:$L239)&gt;0),"Con subactividades: deje vacías las semanas (se calculan solas)"&amp;" · ","")&amp;IF((COUNTIF($I239:$L239,"&gt;1")+COUNTIF($I239:$L239,"&lt;0")+COUNTA($I239:$L239)-COUNT($I239:$L239))&gt;0,"Avance fuera de rango 0-100%"&amp;" · ","")&amp;IF(OR(AND($J239&lt;&gt;"",$J239&lt;$I239),AND($K239&lt;&gt;"",$K239&lt;MAX($I239:$J239)),AND($L239&lt;&gt;"",$L239&lt;MAX($I239:$K239))),"Avance semanal decreciente"&amp;" · ","")&amp;IF(AND(ISNUMBER($AN239),$AN239&lt;FechaRef,IF($V239="Sub",N($X239),N($M239))&lt;1),"Vencida"&amp;" · ","")&amp;IF(AND(ObsObligatoria="Sí",ISNUMBER($AN239),$AN239&lt;FechaRef,IF($V239="Sub",N($X239),N($M239))&lt;1,$Q239=""),"Vencida sin observación"&amp;" · ",""))="","✔ OK","⚠ "&amp;LEFT(IF($C239="","Falta el nombre de la actividad"&amp;" · ","")&amp;IF(AND($V239="Sub",N($U239)=0),"Subactividad sin macroactividad arriba"&amp;" · ","")&amp;IF($AM239="","Sin fecha de inicio"&amp;" · ","")&amp;IF($AN239="","Sin fecha límite"&amp;" · ","")&amp;IF(AND(LEFT($C239,11)="[Jefatura] ",N($AL239)=0),"No se encuentra en la hoja de la jefatura (elíjala de nuevo en la lista)"&amp;" · ","")&amp;IF(OR(AND($E239&lt;&gt;"",NOT(ISNUMBER($E239))),AND($F239&lt;&gt;"",NOT(ISNUMBER($F239))),AND($G239&lt;&gt;"",NOT(ISNUMBER($G239)))),"Fecha no válida"&amp;" · ","")&amp;IF(AND(ISNUMBER($AM239),ISNUMBER($AN239),$AM239&gt;$AN239),"Inicio posterior a fecha límite"&amp;" · ","")&amp;IF(AND($V239="Macro",$H239&lt;&gt;"",OR(NOT(ISNUMBER($H239)),$H239&lt;0,$H239&gt;1)),"Peso fuera de rango"&amp;" · ","")&amp;IF(AND($V239="Sub",$H239&lt;&gt;""),"Las subactividades no llevan peso (valen igual dentro de su macroactividad)"&amp;" · ","")&amp;IF(AND(N($W239)&gt;0,COUNT($I239:$L239)&gt;0),"Con subactividades: deje vacías las semanas (se calculan solas)"&amp;" · ","")&amp;IF((COUNTIF($I239:$L239,"&gt;1")+COUNTIF($I239:$L239,"&lt;0")+COUNTA($I239:$L239)-COUNT($I239:$L239))&gt;0,"Avance fuera de rango 0-100%"&amp;" · ","")&amp;IF(OR(AND($J239&lt;&gt;"",$J239&lt;$I239),AND($K239&lt;&gt;"",$K239&lt;MAX($I239:$J239)),AND($L239&lt;&gt;"",$L239&lt;MAX($I239:$K239))),"Avance semanal decreciente"&amp;" · ","")&amp;IF(AND(ISNUMBER($AN239),$AN239&lt;FechaRef,IF($V239="Sub",N($X239),N($M239))&lt;1),"Vencida"&amp;" · ","")&amp;IF(AND(ObsObligatoria="Sí",ISNUMBER($AN239),$AN239&lt;FechaRef,IF($V239="Sub",N($X239),N($M239))&lt;1,$Q239=""),"Vencida sin observación"&amp;" · ",""),LEN(IF($C239="","Falta el nombre de la actividad"&amp;" · ","")&amp;IF(AND($V239="Sub",N($U239)=0),"Subactividad sin macroactividad arriba"&amp;" · ","")&amp;IF($AM239="","Sin fecha de inicio"&amp;" · ","")&amp;IF($AN239="","Sin fecha límite"&amp;" · ","")&amp;IF(AND(LEFT($C239,11)="[Jefatura] ",N($AL239)=0),"No se encuentra en la hoja de la jefatura (elíjala de nuevo en la lista)"&amp;" · ","")&amp;IF(OR(AND($E239&lt;&gt;"",NOT(ISNUMBER($E239))),AND($F239&lt;&gt;"",NOT(ISNUMBER($F239))),AND($G239&lt;&gt;"",NOT(ISNUMBER($G239)))),"Fecha no válida"&amp;" · ","")&amp;IF(AND(ISNUMBER($AM239),ISNUMBER($AN239),$AM239&gt;$AN239),"Inicio posterior a fecha límite"&amp;" · ","")&amp;IF(AND($V239="Macro",$H239&lt;&gt;"",OR(NOT(ISNUMBER($H239)),$H239&lt;0,$H239&gt;1)),"Peso fuera de rango"&amp;" · ","")&amp;IF(AND($V239="Sub",$H239&lt;&gt;""),"Las subactividades no llevan peso (valen igual dentro de su macroactividad)"&amp;" · ","")&amp;IF(AND(N($W239)&gt;0,COUNT($I239:$L239)&gt;0),"Con subactividades: deje vacías las semanas (se calculan solas)"&amp;" · ","")&amp;IF((COUNTIF($I239:$L239,"&gt;1")+COUNTIF($I239:$L239,"&lt;0")+COUNTA($I239:$L239)-COUNT($I239:$L239))&gt;0,"Avance fuera de rango 0-100%"&amp;" · ","")&amp;IF(OR(AND($J239&lt;&gt;"",$J239&lt;$I239),AND($K239&lt;&gt;"",$K239&lt;MAX($I239:$J239)),AND($L239&lt;&gt;"",$L239&lt;MAX($I239:$K239))),"Avance semanal decreciente"&amp;" · ","")&amp;IF(AND(ISNUMBER($AN239),$AN239&lt;FechaRef,IF($V239="Sub",N($X239),N($M239))&lt;1),"Vencida"&amp;" · ","")&amp;IF(AND(ObsObligatoria="Sí",ISNUMBER($AN239),$AN239&lt;FechaRef,IF($V239="Sub",N($X239),N($M239))&lt;1,$Q239=""),"Vencida sin observación"&amp;" · ",""))-3)))</f>
        <v/>
      </c>
      <c r="S239" s="64">
        <f>IF(NOT((COUNTA($B239:$D239)+COUNTA($G239:$L239)+COUNTA($Q239))&gt;0),"",IF(AND($V239="Sub",N($U239)&gt;0),IF(ISNUMBER(INDEX($AM$5:$AM$1000,$U239-4)),DATE(YEAR(INDEX($AM$5:$AM$1000,$U239-4)),MONTH(INDEX($AM$5:$AM$1000,$U239-4)),1),IF(ISNUMBER(INDEX($AN$5:$AN$1000,$U239-4)),DATE(YEAR(INDEX($AN$5:$AN$1000,$U239-4)),MONTH(INDEX($AN$5:$AN$1000,$U239-4)),1),MesCiclo)),IF(ISNUMBER($AM239),DATE(YEAR($AM239),MONTH($AM239),1),IF(ISNUMBER($AN239),DATE(YEAR($AN239),MONTH($AN239),1),MesCiclo))))</f>
        <v/>
      </c>
      <c r="T239" s="62">
        <f>IF(OR($S239="",$S239&lt;&gt;MesCiclo,$V239&lt;&gt;"Macro"),"",COUNTIFS($S$5:$S239,MesCiclo,$V$5:$V239,"Macro"))</f>
        <v/>
      </c>
      <c r="U239" s="62">
        <f>IF($V239="","",IF($V239="Macro",ROW(),IFERROR(LOOKUP(2,1/($V$5:$V239="Macro"),ROW($V$5:$V239)),0)))</f>
        <v/>
      </c>
      <c r="V239" s="62">
        <f>IF(NOT((COUNTA($B239:$D239)+COUNTA($G239:$L239)+COUNTA($Q239))&gt;0),"",IF($B239="Subactividad","Sub","Macro"))</f>
        <v/>
      </c>
      <c r="W239" s="62">
        <f>IF($V239="Macro",COUNTIFS($U$5:$U$1000,ROW(),$V$5:$V$1000,"Sub"),"")</f>
        <v/>
      </c>
      <c r="X239" s="62">
        <f>IF($V239="","",IF(ISNUMBER($G239),1,IFERROR(LOOKUP(2,1/($I239:$L239&lt;&gt;""),$I239:$L239),0)))</f>
        <v/>
      </c>
      <c r="Y239" s="62">
        <f>IF($V239="","",IF(AND(ISNUMBER($G239),$G239&lt;=IF($S239=MesCiclo,InicioCiclo,$S239+MOD(2-WEEKDAY($S239),7))+6),1,IF(ISNUMBER($I239),$I239,0)))</f>
        <v/>
      </c>
      <c r="Z239" s="62">
        <f>IF($V239="","",IF(AND(ISNUMBER($G239),$G239&lt;=IF($S239=MesCiclo,InicioCiclo,$S239+MOD(2-WEEKDAY($S239),7))+13),1,IF(ISNUMBER($J239),$J239,$Y239)))</f>
        <v/>
      </c>
      <c r="AA239" s="62">
        <f>IF($V239="","",IF(AND(ISNUMBER($G239),$G239&lt;=IF($S239=MesCiclo,InicioCiclo,$S239+MOD(2-WEEKDAY($S239),7))+20),1,IF(ISNUMBER($K239),$K239,$Z239)))</f>
        <v/>
      </c>
      <c r="AB239" s="62">
        <f>IF($V239="","",IF(AND(ISNUMBER($G239),$G239&lt;=IF($S239=MesCiclo,InicioCiclo,$S239+MOD(2-WEEKDAY($S239),7))+27),1,IF(ISNUMBER($L239),$L239,$AA239)))</f>
        <v/>
      </c>
      <c r="AC239" s="62">
        <f>IF($V239="","",IF(AND(ISNUMBER($G239),$G239&lt;=IF($S239=MesCiclo,InicioCiclo,$S239+MOD(2-WEEKDAY($S239),7))+6),1,IF(N($W239)&gt;0,AVERAGEIFS($Y$5:$Y$1000,$U$5:$U$1000,ROW(),$V$5:$V$1000,"Sub"),$Y239)))</f>
        <v/>
      </c>
      <c r="AD239" s="62">
        <f>IF($V239="","",IF(AND(ISNUMBER($G239),$G239&lt;=IF($S239=MesCiclo,InicioCiclo,$S239+MOD(2-WEEKDAY($S239),7))+13),1,IF(N($W239)&gt;0,AVERAGEIFS($Z$5:$Z$1000,$U$5:$U$1000,ROW(),$V$5:$V$1000,"Sub"),$Z239)))</f>
        <v/>
      </c>
      <c r="AE239" s="62">
        <f>IF($V239="","",IF(AND(ISNUMBER($G239),$G239&lt;=IF($S239=MesCiclo,InicioCiclo,$S239+MOD(2-WEEKDAY($S239),7))+20),1,IF(N($W239)&gt;0,AVERAGEIFS($AA$5:$AA$1000,$U$5:$U$1000,ROW(),$V$5:$V$1000,"Sub"),$AA239)))</f>
        <v/>
      </c>
      <c r="AF239" s="62">
        <f>IF($V239="","",IF(AND(ISNUMBER($G239),$G239&lt;=IF($S239=MesCiclo,InicioCiclo,$S239+MOD(2-WEEKDAY($S239),7))+27),1,IF(N($W239)&gt;0,AVERAGEIFS($AB$5:$AB$1000,$U$5:$U$1000,ROW(),$V$5:$V$1000,"Sub"),$AB239)))</f>
        <v/>
      </c>
      <c r="AG239" s="62">
        <f>IF($V239&lt;&gt;"Macro","",IF(COUNTIFS($S$5:$S$1000,$S239,$V$5:$V$1000,"Macro",$H$5:$H$1000,"&gt;0")=0,1/COUNTIFS($S$5:$S$1000,$S239,$V$5:$V$1000,"Macro"),IF(AND(ISNUMBER($H239),N($H239)&gt;0),$H239,SUMIFS($H$5:$H$1000,$S$5:$S$1000,$S239,$V$5:$V$1000,"Macro")/COUNTIFS($S$5:$S$1000,$S239,$V$5:$V$1000,"Macro",$H$5:$H$1000,"&gt;0"))/(COUNTIFS($S$5:$S$1000,$S239,$V$5:$V$1000,"Macro")*SUMIFS($H$5:$H$1000,$S$5:$S$1000,$S239,$V$5:$V$1000,"Macro")/COUNTIFS($S$5:$S$1000,$S239,$V$5:$V$1000,"Macro",$H$5:$H$1000,"&gt;0"))))</f>
        <v/>
      </c>
      <c r="AH239" s="62">
        <f>IF(NOT(AND($D239&lt;&gt;"",$V239="Macro")),"",IFERROR(CHOOSE(MATCH($D239,ListaPuestos,0),MATCH("[Jefatura] "&amp;$C239,'Cronograma R. Operacional'!$C$5:$C$1000,0),MATCH("[Jefatura] "&amp;$C239,'Cronograma R. Normativo'!$C$5:$C$1000,0),MATCH("[Jefatura] "&amp;$C239,'Cronograma R. Financiero'!$C$5:$C$1000,0),MATCH("[Jefatura] "&amp;$C239,'Cronograma Asistente Técnico'!$C$5:$C$1000,0)),0))</f>
        <v/>
      </c>
      <c r="AI239" s="62">
        <f>IF(AND(AND($D239&lt;&gt;"",$V239="Macro"),$S239=MesCiclo),COUNTIFS($D$5:$D239,$D239,$S$5:$S239,MesCiclo,$V$5:$V239,"Macro"),"")</f>
        <v/>
      </c>
      <c r="AJ239" s="62">
        <f>IF($AI239="","",$D239&amp;"|"&amp;$AI239)</f>
        <v/>
      </c>
      <c r="AK239" s="62">
        <f>IF(AND($D239&lt;&gt;"",$V239="Macro"),$D239&amp;"|"&amp;$C239,"")</f>
        <v/>
      </c>
      <c r="AL239" s="62">
        <f>""</f>
        <v/>
      </c>
      <c r="AM239" s="62">
        <f>IF(N($AL239)&gt;0,INDEX(rIni_ADM,$AL239),IF(ISNUMBER($E239),$E239,""))</f>
        <v/>
      </c>
      <c r="AN239" s="62">
        <f>IF(N($AL239)&gt;0,INDEX(rLim_ADM,$AL239),IF(ISNUMBER($F239),$F239,""))</f>
        <v/>
      </c>
    </row>
    <row r="240">
      <c r="A240" s="56">
        <f>IF(NOT((COUNTA($B240:$D240)+COUNTA($G240:$L240)+COUNTA($Q240))&gt;0),"",IF($V240="Macro",COUNTIFS($V$5:$V240,"Macro",$S$5:$S240,$S240),IF(N($U240)=0,"?",COUNTIFS(INDEX($V$5:$V$1000,1):INDEX($V$5:$V$1000,$U240-4),"Macro",INDEX($S$5:$S$1000,1):INDEX($S$5:$S$1000,$U240-4),INDEX($S$5:$S$1000,$U240-4))&amp;"."&amp;COUNTIFS($U$5:$U240,$U240,$V$5:$V240,"Sub"))))</f>
        <v/>
      </c>
      <c r="B240" s="57" t="n"/>
      <c r="C240" s="58" t="n"/>
      <c r="D240" s="58" t="n"/>
      <c r="E240" s="59" t="n"/>
      <c r="F240" s="59" t="n"/>
      <c r="G240" s="59" t="n"/>
      <c r="H240" s="60" t="n"/>
      <c r="I240" s="60" t="n"/>
      <c r="J240" s="60" t="n"/>
      <c r="K240" s="60" t="n"/>
      <c r="L240" s="60" t="n"/>
      <c r="M240" s="61">
        <f>IF(NOT((COUNTA($B240:$D240)+COUNTA($G240:$L240)+COUNTA($Q240))&gt;0),"",IF(AND($D240&lt;&gt;"",$V240="Macro"),IF(N($AH240)&gt;0,N(CHOOSE(MATCH($D240,ListaPuestos,0),INDEX('Cronograma R. Operacional'!$M$5:$M$1000,$AH240),INDEX('Cronograma R. Normativo'!$M$5:$M$1000,$AH240),INDEX('Cronograma R. Financiero'!$M$5:$M$1000,$AH240),INDEX('Cronograma Asistente Técnico'!$M$5:$M$1000,$AH240))),0),IF(ISNUMBER($G240),1,IF(N($W240)&gt;0,AVERAGEIFS($X$5:$X$1000,$U$5:$U$1000,ROW(),$V$5:$V$1000,"Sub"),$X240))))</f>
        <v/>
      </c>
      <c r="N240" s="56">
        <f>IF(OR($M240="",$V240="Sub"),"",IF($M240&gt;=1,"Completado",IF($M240&gt;0,"En curso","Pendiente")))</f>
        <v/>
      </c>
      <c r="O240" s="56">
        <f>IF(NOT((COUNTA($B240:$D240)+COUNTA($G240:$L240)+COUNTA($Q240))&gt;0),"",IF(AND(AND($D240&lt;&gt;"",$V240="Macro"),N($AH240)&gt;0),CHOOSE(MATCH($D240,ListaPuestos,0),INDEX('Cronograma R. Operacional'!$O$5:$O$1000,$AH240),INDEX('Cronograma R. Normativo'!$O$5:$O$1000,$AH240),INDEX('Cronograma R. Financiero'!$O$5:$O$1000,$AH240),INDEX('Cronograma Asistente Técnico'!$O$5:$O$1000,$AH240))&amp;"",IF(ISNUMBER($G240),IF(AND(ISNUMBER($AN240),$G240&gt;$AN240),"Cumplida con "&amp;($G240-$AN240)&amp;IF($G240-$AN240=1," día"," días")&amp;" de retraso","Cumplida"),IF(N($M240)&gt;=1,"Cumplida",IF(NOT(ISNUMBER($AN240)),"Sin fecha límite",IF($AN240&lt;FechaRef,"Vencida hace "&amp;(FechaRef-$AN240)&amp;IF(FechaRef-$AN240=1," día"," días"),IF($AN240=FechaRef,"Vence hoy",IF($AN240-FechaRef&lt;=DiasAlerta,"Vence en "&amp;($AN240-FechaRef)&amp;IF($AN240-FechaRef=1," día"," días"),"En plazo"))))))))</f>
        <v/>
      </c>
      <c r="P240" s="62">
        <f>IF(NOT((COUNTA($B240:$D240)+COUNTA($G240:$L240)+COUNTA($Q240))&gt;0),"",IF($D240="","Propia",IF($V240&lt;&gt;"Macro","Solo se delegan macroactividades",IF(N($AH240)&gt;0,"✔ Recibida por "&amp;$D240,"⚠ "&amp;$D240&amp;" aún no la agrega"))))</f>
        <v/>
      </c>
      <c r="Q240" s="58" t="n"/>
      <c r="R240" s="63">
        <f>IF(NOT((COUNTA($B240:$D240)+COUNTA($G240:$L240)+COUNTA($Q240))&gt;0),"",IF((IF($C240="","Falta el nombre de la actividad"&amp;" · ","")&amp;IF(AND($V240="Sub",N($U240)=0),"Subactividad sin macroactividad arriba"&amp;" · ","")&amp;IF($AM240="","Sin fecha de inicio"&amp;" · ","")&amp;IF($AN240="","Sin fecha límite"&amp;" · ","")&amp;IF(AND(LEFT($C240,11)="[Jefatura] ",N($AL240)=0),"No se encuentra en la hoja de la jefatura (elíjala de nuevo en la lista)"&amp;" · ","")&amp;IF(OR(AND($E240&lt;&gt;"",NOT(ISNUMBER($E240))),AND($F240&lt;&gt;"",NOT(ISNUMBER($F240))),AND($G240&lt;&gt;"",NOT(ISNUMBER($G240)))),"Fecha no válida"&amp;" · ","")&amp;IF(AND(ISNUMBER($AM240),ISNUMBER($AN240),$AM240&gt;$AN240),"Inicio posterior a fecha límite"&amp;" · ","")&amp;IF(AND($V240="Macro",$H240&lt;&gt;"",OR(NOT(ISNUMBER($H240)),$H240&lt;0,$H240&gt;1)),"Peso fuera de rango"&amp;" · ","")&amp;IF(AND($V240="Sub",$H240&lt;&gt;""),"Las subactividades no llevan peso (valen igual dentro de su macroactividad)"&amp;" · ","")&amp;IF(AND(N($W240)&gt;0,COUNT($I240:$L240)&gt;0),"Con subactividades: deje vacías las semanas (se calculan solas)"&amp;" · ","")&amp;IF((COUNTIF($I240:$L240,"&gt;1")+COUNTIF($I240:$L240,"&lt;0")+COUNTA($I240:$L240)-COUNT($I240:$L240))&gt;0,"Avance fuera de rango 0-100%"&amp;" · ","")&amp;IF(OR(AND($J240&lt;&gt;"",$J240&lt;$I240),AND($K240&lt;&gt;"",$K240&lt;MAX($I240:$J240)),AND($L240&lt;&gt;"",$L240&lt;MAX($I240:$K240))),"Avance semanal decreciente"&amp;" · ","")&amp;IF(AND(ISNUMBER($AN240),$AN240&lt;FechaRef,IF($V240="Sub",N($X240),N($M240))&lt;1),"Vencida"&amp;" · ","")&amp;IF(AND(ObsObligatoria="Sí",ISNUMBER($AN240),$AN240&lt;FechaRef,IF($V240="Sub",N($X240),N($M240))&lt;1,$Q240=""),"Vencida sin observación"&amp;" · ",""))="","✔ OK","⚠ "&amp;LEFT(IF($C240="","Falta el nombre de la actividad"&amp;" · ","")&amp;IF(AND($V240="Sub",N($U240)=0),"Subactividad sin macroactividad arriba"&amp;" · ","")&amp;IF($AM240="","Sin fecha de inicio"&amp;" · ","")&amp;IF($AN240="","Sin fecha límite"&amp;" · ","")&amp;IF(AND(LEFT($C240,11)="[Jefatura] ",N($AL240)=0),"No se encuentra en la hoja de la jefatura (elíjala de nuevo en la lista)"&amp;" · ","")&amp;IF(OR(AND($E240&lt;&gt;"",NOT(ISNUMBER($E240))),AND($F240&lt;&gt;"",NOT(ISNUMBER($F240))),AND($G240&lt;&gt;"",NOT(ISNUMBER($G240)))),"Fecha no válida"&amp;" · ","")&amp;IF(AND(ISNUMBER($AM240),ISNUMBER($AN240),$AM240&gt;$AN240),"Inicio posterior a fecha límite"&amp;" · ","")&amp;IF(AND($V240="Macro",$H240&lt;&gt;"",OR(NOT(ISNUMBER($H240)),$H240&lt;0,$H240&gt;1)),"Peso fuera de rango"&amp;" · ","")&amp;IF(AND($V240="Sub",$H240&lt;&gt;""),"Las subactividades no llevan peso (valen igual dentro de su macroactividad)"&amp;" · ","")&amp;IF(AND(N($W240)&gt;0,COUNT($I240:$L240)&gt;0),"Con subactividades: deje vacías las semanas (se calculan solas)"&amp;" · ","")&amp;IF((COUNTIF($I240:$L240,"&gt;1")+COUNTIF($I240:$L240,"&lt;0")+COUNTA($I240:$L240)-COUNT($I240:$L240))&gt;0,"Avance fuera de rango 0-100%"&amp;" · ","")&amp;IF(OR(AND($J240&lt;&gt;"",$J240&lt;$I240),AND($K240&lt;&gt;"",$K240&lt;MAX($I240:$J240)),AND($L240&lt;&gt;"",$L240&lt;MAX($I240:$K240))),"Avance semanal decreciente"&amp;" · ","")&amp;IF(AND(ISNUMBER($AN240),$AN240&lt;FechaRef,IF($V240="Sub",N($X240),N($M240))&lt;1),"Vencida"&amp;" · ","")&amp;IF(AND(ObsObligatoria="Sí",ISNUMBER($AN240),$AN240&lt;FechaRef,IF($V240="Sub",N($X240),N($M240))&lt;1,$Q240=""),"Vencida sin observación"&amp;" · ",""),LEN(IF($C240="","Falta el nombre de la actividad"&amp;" · ","")&amp;IF(AND($V240="Sub",N($U240)=0),"Subactividad sin macroactividad arriba"&amp;" · ","")&amp;IF($AM240="","Sin fecha de inicio"&amp;" · ","")&amp;IF($AN240="","Sin fecha límite"&amp;" · ","")&amp;IF(AND(LEFT($C240,11)="[Jefatura] ",N($AL240)=0),"No se encuentra en la hoja de la jefatura (elíjala de nuevo en la lista)"&amp;" · ","")&amp;IF(OR(AND($E240&lt;&gt;"",NOT(ISNUMBER($E240))),AND($F240&lt;&gt;"",NOT(ISNUMBER($F240))),AND($G240&lt;&gt;"",NOT(ISNUMBER($G240)))),"Fecha no válida"&amp;" · ","")&amp;IF(AND(ISNUMBER($AM240),ISNUMBER($AN240),$AM240&gt;$AN240),"Inicio posterior a fecha límite"&amp;" · ","")&amp;IF(AND($V240="Macro",$H240&lt;&gt;"",OR(NOT(ISNUMBER($H240)),$H240&lt;0,$H240&gt;1)),"Peso fuera de rango"&amp;" · ","")&amp;IF(AND($V240="Sub",$H240&lt;&gt;""),"Las subactividades no llevan peso (valen igual dentro de su macroactividad)"&amp;" · ","")&amp;IF(AND(N($W240)&gt;0,COUNT($I240:$L240)&gt;0),"Con subactividades: deje vacías las semanas (se calculan solas)"&amp;" · ","")&amp;IF((COUNTIF($I240:$L240,"&gt;1")+COUNTIF($I240:$L240,"&lt;0")+COUNTA($I240:$L240)-COUNT($I240:$L240))&gt;0,"Avance fuera de rango 0-100%"&amp;" · ","")&amp;IF(OR(AND($J240&lt;&gt;"",$J240&lt;$I240),AND($K240&lt;&gt;"",$K240&lt;MAX($I240:$J240)),AND($L240&lt;&gt;"",$L240&lt;MAX($I240:$K240))),"Avance semanal decreciente"&amp;" · ","")&amp;IF(AND(ISNUMBER($AN240),$AN240&lt;FechaRef,IF($V240="Sub",N($X240),N($M240))&lt;1),"Vencida"&amp;" · ","")&amp;IF(AND(ObsObligatoria="Sí",ISNUMBER($AN240),$AN240&lt;FechaRef,IF($V240="Sub",N($X240),N($M240))&lt;1,$Q240=""),"Vencida sin observación"&amp;" · ",""))-3)))</f>
        <v/>
      </c>
      <c r="S240" s="64">
        <f>IF(NOT((COUNTA($B240:$D240)+COUNTA($G240:$L240)+COUNTA($Q240))&gt;0),"",IF(AND($V240="Sub",N($U240)&gt;0),IF(ISNUMBER(INDEX($AM$5:$AM$1000,$U240-4)),DATE(YEAR(INDEX($AM$5:$AM$1000,$U240-4)),MONTH(INDEX($AM$5:$AM$1000,$U240-4)),1),IF(ISNUMBER(INDEX($AN$5:$AN$1000,$U240-4)),DATE(YEAR(INDEX($AN$5:$AN$1000,$U240-4)),MONTH(INDEX($AN$5:$AN$1000,$U240-4)),1),MesCiclo)),IF(ISNUMBER($AM240),DATE(YEAR($AM240),MONTH($AM240),1),IF(ISNUMBER($AN240),DATE(YEAR($AN240),MONTH($AN240),1),MesCiclo))))</f>
        <v/>
      </c>
      <c r="T240" s="62">
        <f>IF(OR($S240="",$S240&lt;&gt;MesCiclo,$V240&lt;&gt;"Macro"),"",COUNTIFS($S$5:$S240,MesCiclo,$V$5:$V240,"Macro"))</f>
        <v/>
      </c>
      <c r="U240" s="62">
        <f>IF($V240="","",IF($V240="Macro",ROW(),IFERROR(LOOKUP(2,1/($V$5:$V240="Macro"),ROW($V$5:$V240)),0)))</f>
        <v/>
      </c>
      <c r="V240" s="62">
        <f>IF(NOT((COUNTA($B240:$D240)+COUNTA($G240:$L240)+COUNTA($Q240))&gt;0),"",IF($B240="Subactividad","Sub","Macro"))</f>
        <v/>
      </c>
      <c r="W240" s="62">
        <f>IF($V240="Macro",COUNTIFS($U$5:$U$1000,ROW(),$V$5:$V$1000,"Sub"),"")</f>
        <v/>
      </c>
      <c r="X240" s="62">
        <f>IF($V240="","",IF(ISNUMBER($G240),1,IFERROR(LOOKUP(2,1/($I240:$L240&lt;&gt;""),$I240:$L240),0)))</f>
        <v/>
      </c>
      <c r="Y240" s="62">
        <f>IF($V240="","",IF(AND(ISNUMBER($G240),$G240&lt;=IF($S240=MesCiclo,InicioCiclo,$S240+MOD(2-WEEKDAY($S240),7))+6),1,IF(ISNUMBER($I240),$I240,0)))</f>
        <v/>
      </c>
      <c r="Z240" s="62">
        <f>IF($V240="","",IF(AND(ISNUMBER($G240),$G240&lt;=IF($S240=MesCiclo,InicioCiclo,$S240+MOD(2-WEEKDAY($S240),7))+13),1,IF(ISNUMBER($J240),$J240,$Y240)))</f>
        <v/>
      </c>
      <c r="AA240" s="62">
        <f>IF($V240="","",IF(AND(ISNUMBER($G240),$G240&lt;=IF($S240=MesCiclo,InicioCiclo,$S240+MOD(2-WEEKDAY($S240),7))+20),1,IF(ISNUMBER($K240),$K240,$Z240)))</f>
        <v/>
      </c>
      <c r="AB240" s="62">
        <f>IF($V240="","",IF(AND(ISNUMBER($G240),$G240&lt;=IF($S240=MesCiclo,InicioCiclo,$S240+MOD(2-WEEKDAY($S240),7))+27),1,IF(ISNUMBER($L240),$L240,$AA240)))</f>
        <v/>
      </c>
      <c r="AC240" s="62">
        <f>IF($V240="","",IF(AND(ISNUMBER($G240),$G240&lt;=IF($S240=MesCiclo,InicioCiclo,$S240+MOD(2-WEEKDAY($S240),7))+6),1,IF(N($W240)&gt;0,AVERAGEIFS($Y$5:$Y$1000,$U$5:$U$1000,ROW(),$V$5:$V$1000,"Sub"),$Y240)))</f>
        <v/>
      </c>
      <c r="AD240" s="62">
        <f>IF($V240="","",IF(AND(ISNUMBER($G240),$G240&lt;=IF($S240=MesCiclo,InicioCiclo,$S240+MOD(2-WEEKDAY($S240),7))+13),1,IF(N($W240)&gt;0,AVERAGEIFS($Z$5:$Z$1000,$U$5:$U$1000,ROW(),$V$5:$V$1000,"Sub"),$Z240)))</f>
        <v/>
      </c>
      <c r="AE240" s="62">
        <f>IF($V240="","",IF(AND(ISNUMBER($G240),$G240&lt;=IF($S240=MesCiclo,InicioCiclo,$S240+MOD(2-WEEKDAY($S240),7))+20),1,IF(N($W240)&gt;0,AVERAGEIFS($AA$5:$AA$1000,$U$5:$U$1000,ROW(),$V$5:$V$1000,"Sub"),$AA240)))</f>
        <v/>
      </c>
      <c r="AF240" s="62">
        <f>IF($V240="","",IF(AND(ISNUMBER($G240),$G240&lt;=IF($S240=MesCiclo,InicioCiclo,$S240+MOD(2-WEEKDAY($S240),7))+27),1,IF(N($W240)&gt;0,AVERAGEIFS($AB$5:$AB$1000,$U$5:$U$1000,ROW(),$V$5:$V$1000,"Sub"),$AB240)))</f>
        <v/>
      </c>
      <c r="AG240" s="62">
        <f>IF($V240&lt;&gt;"Macro","",IF(COUNTIFS($S$5:$S$1000,$S240,$V$5:$V$1000,"Macro",$H$5:$H$1000,"&gt;0")=0,1/COUNTIFS($S$5:$S$1000,$S240,$V$5:$V$1000,"Macro"),IF(AND(ISNUMBER($H240),N($H240)&gt;0),$H240,SUMIFS($H$5:$H$1000,$S$5:$S$1000,$S240,$V$5:$V$1000,"Macro")/COUNTIFS($S$5:$S$1000,$S240,$V$5:$V$1000,"Macro",$H$5:$H$1000,"&gt;0"))/(COUNTIFS($S$5:$S$1000,$S240,$V$5:$V$1000,"Macro")*SUMIFS($H$5:$H$1000,$S$5:$S$1000,$S240,$V$5:$V$1000,"Macro")/COUNTIFS($S$5:$S$1000,$S240,$V$5:$V$1000,"Macro",$H$5:$H$1000,"&gt;0"))))</f>
        <v/>
      </c>
      <c r="AH240" s="62">
        <f>IF(NOT(AND($D240&lt;&gt;"",$V240="Macro")),"",IFERROR(CHOOSE(MATCH($D240,ListaPuestos,0),MATCH("[Jefatura] "&amp;$C240,'Cronograma R. Operacional'!$C$5:$C$1000,0),MATCH("[Jefatura] "&amp;$C240,'Cronograma R. Normativo'!$C$5:$C$1000,0),MATCH("[Jefatura] "&amp;$C240,'Cronograma R. Financiero'!$C$5:$C$1000,0),MATCH("[Jefatura] "&amp;$C240,'Cronograma Asistente Técnico'!$C$5:$C$1000,0)),0))</f>
        <v/>
      </c>
      <c r="AI240" s="62">
        <f>IF(AND(AND($D240&lt;&gt;"",$V240="Macro"),$S240=MesCiclo),COUNTIFS($D$5:$D240,$D240,$S$5:$S240,MesCiclo,$V$5:$V240,"Macro"),"")</f>
        <v/>
      </c>
      <c r="AJ240" s="62">
        <f>IF($AI240="","",$D240&amp;"|"&amp;$AI240)</f>
        <v/>
      </c>
      <c r="AK240" s="62">
        <f>IF(AND($D240&lt;&gt;"",$V240="Macro"),$D240&amp;"|"&amp;$C240,"")</f>
        <v/>
      </c>
      <c r="AL240" s="62">
        <f>""</f>
        <v/>
      </c>
      <c r="AM240" s="62">
        <f>IF(N($AL240)&gt;0,INDEX(rIni_ADM,$AL240),IF(ISNUMBER($E240),$E240,""))</f>
        <v/>
      </c>
      <c r="AN240" s="62">
        <f>IF(N($AL240)&gt;0,INDEX(rLim_ADM,$AL240),IF(ISNUMBER($F240),$F240,""))</f>
        <v/>
      </c>
    </row>
    <row r="241">
      <c r="A241" s="56">
        <f>IF(NOT((COUNTA($B241:$D241)+COUNTA($G241:$L241)+COUNTA($Q241))&gt;0),"",IF($V241="Macro",COUNTIFS($V$5:$V241,"Macro",$S$5:$S241,$S241),IF(N($U241)=0,"?",COUNTIFS(INDEX($V$5:$V$1000,1):INDEX($V$5:$V$1000,$U241-4),"Macro",INDEX($S$5:$S$1000,1):INDEX($S$5:$S$1000,$U241-4),INDEX($S$5:$S$1000,$U241-4))&amp;"."&amp;COUNTIFS($U$5:$U241,$U241,$V$5:$V241,"Sub"))))</f>
        <v/>
      </c>
      <c r="B241" s="57" t="n"/>
      <c r="C241" s="58" t="n"/>
      <c r="D241" s="58" t="n"/>
      <c r="E241" s="59" t="n"/>
      <c r="F241" s="59" t="n"/>
      <c r="G241" s="59" t="n"/>
      <c r="H241" s="60" t="n"/>
      <c r="I241" s="60" t="n"/>
      <c r="J241" s="60" t="n"/>
      <c r="K241" s="60" t="n"/>
      <c r="L241" s="60" t="n"/>
      <c r="M241" s="61">
        <f>IF(NOT((COUNTA($B241:$D241)+COUNTA($G241:$L241)+COUNTA($Q241))&gt;0),"",IF(AND($D241&lt;&gt;"",$V241="Macro"),IF(N($AH241)&gt;0,N(CHOOSE(MATCH($D241,ListaPuestos,0),INDEX('Cronograma R. Operacional'!$M$5:$M$1000,$AH241),INDEX('Cronograma R. Normativo'!$M$5:$M$1000,$AH241),INDEX('Cronograma R. Financiero'!$M$5:$M$1000,$AH241),INDEX('Cronograma Asistente Técnico'!$M$5:$M$1000,$AH241))),0),IF(ISNUMBER($G241),1,IF(N($W241)&gt;0,AVERAGEIFS($X$5:$X$1000,$U$5:$U$1000,ROW(),$V$5:$V$1000,"Sub"),$X241))))</f>
        <v/>
      </c>
      <c r="N241" s="56">
        <f>IF(OR($M241="",$V241="Sub"),"",IF($M241&gt;=1,"Completado",IF($M241&gt;0,"En curso","Pendiente")))</f>
        <v/>
      </c>
      <c r="O241" s="56">
        <f>IF(NOT((COUNTA($B241:$D241)+COUNTA($G241:$L241)+COUNTA($Q241))&gt;0),"",IF(AND(AND($D241&lt;&gt;"",$V241="Macro"),N($AH241)&gt;0),CHOOSE(MATCH($D241,ListaPuestos,0),INDEX('Cronograma R. Operacional'!$O$5:$O$1000,$AH241),INDEX('Cronograma R. Normativo'!$O$5:$O$1000,$AH241),INDEX('Cronograma R. Financiero'!$O$5:$O$1000,$AH241),INDEX('Cronograma Asistente Técnico'!$O$5:$O$1000,$AH241))&amp;"",IF(ISNUMBER($G241),IF(AND(ISNUMBER($AN241),$G241&gt;$AN241),"Cumplida con "&amp;($G241-$AN241)&amp;IF($G241-$AN241=1," día"," días")&amp;" de retraso","Cumplida"),IF(N($M241)&gt;=1,"Cumplida",IF(NOT(ISNUMBER($AN241)),"Sin fecha límite",IF($AN241&lt;FechaRef,"Vencida hace "&amp;(FechaRef-$AN241)&amp;IF(FechaRef-$AN241=1," día"," días"),IF($AN241=FechaRef,"Vence hoy",IF($AN241-FechaRef&lt;=DiasAlerta,"Vence en "&amp;($AN241-FechaRef)&amp;IF($AN241-FechaRef=1," día"," días"),"En plazo"))))))))</f>
        <v/>
      </c>
      <c r="P241" s="62">
        <f>IF(NOT((COUNTA($B241:$D241)+COUNTA($G241:$L241)+COUNTA($Q241))&gt;0),"",IF($D241="","Propia",IF($V241&lt;&gt;"Macro","Solo se delegan macroactividades",IF(N($AH241)&gt;0,"✔ Recibida por "&amp;$D241,"⚠ "&amp;$D241&amp;" aún no la agrega"))))</f>
        <v/>
      </c>
      <c r="Q241" s="58" t="n"/>
      <c r="R241" s="63">
        <f>IF(NOT((COUNTA($B241:$D241)+COUNTA($G241:$L241)+COUNTA($Q241))&gt;0),"",IF((IF($C241="","Falta el nombre de la actividad"&amp;" · ","")&amp;IF(AND($V241="Sub",N($U241)=0),"Subactividad sin macroactividad arriba"&amp;" · ","")&amp;IF($AM241="","Sin fecha de inicio"&amp;" · ","")&amp;IF($AN241="","Sin fecha límite"&amp;" · ","")&amp;IF(AND(LEFT($C241,11)="[Jefatura] ",N($AL241)=0),"No se encuentra en la hoja de la jefatura (elíjala de nuevo en la lista)"&amp;" · ","")&amp;IF(OR(AND($E241&lt;&gt;"",NOT(ISNUMBER($E241))),AND($F241&lt;&gt;"",NOT(ISNUMBER($F241))),AND($G241&lt;&gt;"",NOT(ISNUMBER($G241)))),"Fecha no válida"&amp;" · ","")&amp;IF(AND(ISNUMBER($AM241),ISNUMBER($AN241),$AM241&gt;$AN241),"Inicio posterior a fecha límite"&amp;" · ","")&amp;IF(AND($V241="Macro",$H241&lt;&gt;"",OR(NOT(ISNUMBER($H241)),$H241&lt;0,$H241&gt;1)),"Peso fuera de rango"&amp;" · ","")&amp;IF(AND($V241="Sub",$H241&lt;&gt;""),"Las subactividades no llevan peso (valen igual dentro de su macroactividad)"&amp;" · ","")&amp;IF(AND(N($W241)&gt;0,COUNT($I241:$L241)&gt;0),"Con subactividades: deje vacías las semanas (se calculan solas)"&amp;" · ","")&amp;IF((COUNTIF($I241:$L241,"&gt;1")+COUNTIF($I241:$L241,"&lt;0")+COUNTA($I241:$L241)-COUNT($I241:$L241))&gt;0,"Avance fuera de rango 0-100%"&amp;" · ","")&amp;IF(OR(AND($J241&lt;&gt;"",$J241&lt;$I241),AND($K241&lt;&gt;"",$K241&lt;MAX($I241:$J241)),AND($L241&lt;&gt;"",$L241&lt;MAX($I241:$K241))),"Avance semanal decreciente"&amp;" · ","")&amp;IF(AND(ISNUMBER($AN241),$AN241&lt;FechaRef,IF($V241="Sub",N($X241),N($M241))&lt;1),"Vencida"&amp;" · ","")&amp;IF(AND(ObsObligatoria="Sí",ISNUMBER($AN241),$AN241&lt;FechaRef,IF($V241="Sub",N($X241),N($M241))&lt;1,$Q241=""),"Vencida sin observación"&amp;" · ",""))="","✔ OK","⚠ "&amp;LEFT(IF($C241="","Falta el nombre de la actividad"&amp;" · ","")&amp;IF(AND($V241="Sub",N($U241)=0),"Subactividad sin macroactividad arriba"&amp;" · ","")&amp;IF($AM241="","Sin fecha de inicio"&amp;" · ","")&amp;IF($AN241="","Sin fecha límite"&amp;" · ","")&amp;IF(AND(LEFT($C241,11)="[Jefatura] ",N($AL241)=0),"No se encuentra en la hoja de la jefatura (elíjala de nuevo en la lista)"&amp;" · ","")&amp;IF(OR(AND($E241&lt;&gt;"",NOT(ISNUMBER($E241))),AND($F241&lt;&gt;"",NOT(ISNUMBER($F241))),AND($G241&lt;&gt;"",NOT(ISNUMBER($G241)))),"Fecha no válida"&amp;" · ","")&amp;IF(AND(ISNUMBER($AM241),ISNUMBER($AN241),$AM241&gt;$AN241),"Inicio posterior a fecha límite"&amp;" · ","")&amp;IF(AND($V241="Macro",$H241&lt;&gt;"",OR(NOT(ISNUMBER($H241)),$H241&lt;0,$H241&gt;1)),"Peso fuera de rango"&amp;" · ","")&amp;IF(AND($V241="Sub",$H241&lt;&gt;""),"Las subactividades no llevan peso (valen igual dentro de su macroactividad)"&amp;" · ","")&amp;IF(AND(N($W241)&gt;0,COUNT($I241:$L241)&gt;0),"Con subactividades: deje vacías las semanas (se calculan solas)"&amp;" · ","")&amp;IF((COUNTIF($I241:$L241,"&gt;1")+COUNTIF($I241:$L241,"&lt;0")+COUNTA($I241:$L241)-COUNT($I241:$L241))&gt;0,"Avance fuera de rango 0-100%"&amp;" · ","")&amp;IF(OR(AND($J241&lt;&gt;"",$J241&lt;$I241),AND($K241&lt;&gt;"",$K241&lt;MAX($I241:$J241)),AND($L241&lt;&gt;"",$L241&lt;MAX($I241:$K241))),"Avance semanal decreciente"&amp;" · ","")&amp;IF(AND(ISNUMBER($AN241),$AN241&lt;FechaRef,IF($V241="Sub",N($X241),N($M241))&lt;1),"Vencida"&amp;" · ","")&amp;IF(AND(ObsObligatoria="Sí",ISNUMBER($AN241),$AN241&lt;FechaRef,IF($V241="Sub",N($X241),N($M241))&lt;1,$Q241=""),"Vencida sin observación"&amp;" · ",""),LEN(IF($C241="","Falta el nombre de la actividad"&amp;" · ","")&amp;IF(AND($V241="Sub",N($U241)=0),"Subactividad sin macroactividad arriba"&amp;" · ","")&amp;IF($AM241="","Sin fecha de inicio"&amp;" · ","")&amp;IF($AN241="","Sin fecha límite"&amp;" · ","")&amp;IF(AND(LEFT($C241,11)="[Jefatura] ",N($AL241)=0),"No se encuentra en la hoja de la jefatura (elíjala de nuevo en la lista)"&amp;" · ","")&amp;IF(OR(AND($E241&lt;&gt;"",NOT(ISNUMBER($E241))),AND($F241&lt;&gt;"",NOT(ISNUMBER($F241))),AND($G241&lt;&gt;"",NOT(ISNUMBER($G241)))),"Fecha no válida"&amp;" · ","")&amp;IF(AND(ISNUMBER($AM241),ISNUMBER($AN241),$AM241&gt;$AN241),"Inicio posterior a fecha límite"&amp;" · ","")&amp;IF(AND($V241="Macro",$H241&lt;&gt;"",OR(NOT(ISNUMBER($H241)),$H241&lt;0,$H241&gt;1)),"Peso fuera de rango"&amp;" · ","")&amp;IF(AND($V241="Sub",$H241&lt;&gt;""),"Las subactividades no llevan peso (valen igual dentro de su macroactividad)"&amp;" · ","")&amp;IF(AND(N($W241)&gt;0,COUNT($I241:$L241)&gt;0),"Con subactividades: deje vacías las semanas (se calculan solas)"&amp;" · ","")&amp;IF((COUNTIF($I241:$L241,"&gt;1")+COUNTIF($I241:$L241,"&lt;0")+COUNTA($I241:$L241)-COUNT($I241:$L241))&gt;0,"Avance fuera de rango 0-100%"&amp;" · ","")&amp;IF(OR(AND($J241&lt;&gt;"",$J241&lt;$I241),AND($K241&lt;&gt;"",$K241&lt;MAX($I241:$J241)),AND($L241&lt;&gt;"",$L241&lt;MAX($I241:$K241))),"Avance semanal decreciente"&amp;" · ","")&amp;IF(AND(ISNUMBER($AN241),$AN241&lt;FechaRef,IF($V241="Sub",N($X241),N($M241))&lt;1),"Vencida"&amp;" · ","")&amp;IF(AND(ObsObligatoria="Sí",ISNUMBER($AN241),$AN241&lt;FechaRef,IF($V241="Sub",N($X241),N($M241))&lt;1,$Q241=""),"Vencida sin observación"&amp;" · ",""))-3)))</f>
        <v/>
      </c>
      <c r="S241" s="64">
        <f>IF(NOT((COUNTA($B241:$D241)+COUNTA($G241:$L241)+COUNTA($Q241))&gt;0),"",IF(AND($V241="Sub",N($U241)&gt;0),IF(ISNUMBER(INDEX($AM$5:$AM$1000,$U241-4)),DATE(YEAR(INDEX($AM$5:$AM$1000,$U241-4)),MONTH(INDEX($AM$5:$AM$1000,$U241-4)),1),IF(ISNUMBER(INDEX($AN$5:$AN$1000,$U241-4)),DATE(YEAR(INDEX($AN$5:$AN$1000,$U241-4)),MONTH(INDEX($AN$5:$AN$1000,$U241-4)),1),MesCiclo)),IF(ISNUMBER($AM241),DATE(YEAR($AM241),MONTH($AM241),1),IF(ISNUMBER($AN241),DATE(YEAR($AN241),MONTH($AN241),1),MesCiclo))))</f>
        <v/>
      </c>
      <c r="T241" s="62">
        <f>IF(OR($S241="",$S241&lt;&gt;MesCiclo,$V241&lt;&gt;"Macro"),"",COUNTIFS($S$5:$S241,MesCiclo,$V$5:$V241,"Macro"))</f>
        <v/>
      </c>
      <c r="U241" s="62">
        <f>IF($V241="","",IF($V241="Macro",ROW(),IFERROR(LOOKUP(2,1/($V$5:$V241="Macro"),ROW($V$5:$V241)),0)))</f>
        <v/>
      </c>
      <c r="V241" s="62">
        <f>IF(NOT((COUNTA($B241:$D241)+COUNTA($G241:$L241)+COUNTA($Q241))&gt;0),"",IF($B241="Subactividad","Sub","Macro"))</f>
        <v/>
      </c>
      <c r="W241" s="62">
        <f>IF($V241="Macro",COUNTIFS($U$5:$U$1000,ROW(),$V$5:$V$1000,"Sub"),"")</f>
        <v/>
      </c>
      <c r="X241" s="62">
        <f>IF($V241="","",IF(ISNUMBER($G241),1,IFERROR(LOOKUP(2,1/($I241:$L241&lt;&gt;""),$I241:$L241),0)))</f>
        <v/>
      </c>
      <c r="Y241" s="62">
        <f>IF($V241="","",IF(AND(ISNUMBER($G241),$G241&lt;=IF($S241=MesCiclo,InicioCiclo,$S241+MOD(2-WEEKDAY($S241),7))+6),1,IF(ISNUMBER($I241),$I241,0)))</f>
        <v/>
      </c>
      <c r="Z241" s="62">
        <f>IF($V241="","",IF(AND(ISNUMBER($G241),$G241&lt;=IF($S241=MesCiclo,InicioCiclo,$S241+MOD(2-WEEKDAY($S241),7))+13),1,IF(ISNUMBER($J241),$J241,$Y241)))</f>
        <v/>
      </c>
      <c r="AA241" s="62">
        <f>IF($V241="","",IF(AND(ISNUMBER($G241),$G241&lt;=IF($S241=MesCiclo,InicioCiclo,$S241+MOD(2-WEEKDAY($S241),7))+20),1,IF(ISNUMBER($K241),$K241,$Z241)))</f>
        <v/>
      </c>
      <c r="AB241" s="62">
        <f>IF($V241="","",IF(AND(ISNUMBER($G241),$G241&lt;=IF($S241=MesCiclo,InicioCiclo,$S241+MOD(2-WEEKDAY($S241),7))+27),1,IF(ISNUMBER($L241),$L241,$AA241)))</f>
        <v/>
      </c>
      <c r="AC241" s="62">
        <f>IF($V241="","",IF(AND(ISNUMBER($G241),$G241&lt;=IF($S241=MesCiclo,InicioCiclo,$S241+MOD(2-WEEKDAY($S241),7))+6),1,IF(N($W241)&gt;0,AVERAGEIFS($Y$5:$Y$1000,$U$5:$U$1000,ROW(),$V$5:$V$1000,"Sub"),$Y241)))</f>
        <v/>
      </c>
      <c r="AD241" s="62">
        <f>IF($V241="","",IF(AND(ISNUMBER($G241),$G241&lt;=IF($S241=MesCiclo,InicioCiclo,$S241+MOD(2-WEEKDAY($S241),7))+13),1,IF(N($W241)&gt;0,AVERAGEIFS($Z$5:$Z$1000,$U$5:$U$1000,ROW(),$V$5:$V$1000,"Sub"),$Z241)))</f>
        <v/>
      </c>
      <c r="AE241" s="62">
        <f>IF($V241="","",IF(AND(ISNUMBER($G241),$G241&lt;=IF($S241=MesCiclo,InicioCiclo,$S241+MOD(2-WEEKDAY($S241),7))+20),1,IF(N($W241)&gt;0,AVERAGEIFS($AA$5:$AA$1000,$U$5:$U$1000,ROW(),$V$5:$V$1000,"Sub"),$AA241)))</f>
        <v/>
      </c>
      <c r="AF241" s="62">
        <f>IF($V241="","",IF(AND(ISNUMBER($G241),$G241&lt;=IF($S241=MesCiclo,InicioCiclo,$S241+MOD(2-WEEKDAY($S241),7))+27),1,IF(N($W241)&gt;0,AVERAGEIFS($AB$5:$AB$1000,$U$5:$U$1000,ROW(),$V$5:$V$1000,"Sub"),$AB241)))</f>
        <v/>
      </c>
      <c r="AG241" s="62">
        <f>IF($V241&lt;&gt;"Macro","",IF(COUNTIFS($S$5:$S$1000,$S241,$V$5:$V$1000,"Macro",$H$5:$H$1000,"&gt;0")=0,1/COUNTIFS($S$5:$S$1000,$S241,$V$5:$V$1000,"Macro"),IF(AND(ISNUMBER($H241),N($H241)&gt;0),$H241,SUMIFS($H$5:$H$1000,$S$5:$S$1000,$S241,$V$5:$V$1000,"Macro")/COUNTIFS($S$5:$S$1000,$S241,$V$5:$V$1000,"Macro",$H$5:$H$1000,"&gt;0"))/(COUNTIFS($S$5:$S$1000,$S241,$V$5:$V$1000,"Macro")*SUMIFS($H$5:$H$1000,$S$5:$S$1000,$S241,$V$5:$V$1000,"Macro")/COUNTIFS($S$5:$S$1000,$S241,$V$5:$V$1000,"Macro",$H$5:$H$1000,"&gt;0"))))</f>
        <v/>
      </c>
      <c r="AH241" s="62">
        <f>IF(NOT(AND($D241&lt;&gt;"",$V241="Macro")),"",IFERROR(CHOOSE(MATCH($D241,ListaPuestos,0),MATCH("[Jefatura] "&amp;$C241,'Cronograma R. Operacional'!$C$5:$C$1000,0),MATCH("[Jefatura] "&amp;$C241,'Cronograma R. Normativo'!$C$5:$C$1000,0),MATCH("[Jefatura] "&amp;$C241,'Cronograma R. Financiero'!$C$5:$C$1000,0),MATCH("[Jefatura] "&amp;$C241,'Cronograma Asistente Técnico'!$C$5:$C$1000,0)),0))</f>
        <v/>
      </c>
      <c r="AI241" s="62">
        <f>IF(AND(AND($D241&lt;&gt;"",$V241="Macro"),$S241=MesCiclo),COUNTIFS($D$5:$D241,$D241,$S$5:$S241,MesCiclo,$V$5:$V241,"Macro"),"")</f>
        <v/>
      </c>
      <c r="AJ241" s="62">
        <f>IF($AI241="","",$D241&amp;"|"&amp;$AI241)</f>
        <v/>
      </c>
      <c r="AK241" s="62">
        <f>IF(AND($D241&lt;&gt;"",$V241="Macro"),$D241&amp;"|"&amp;$C241,"")</f>
        <v/>
      </c>
      <c r="AL241" s="62">
        <f>""</f>
        <v/>
      </c>
      <c r="AM241" s="62">
        <f>IF(N($AL241)&gt;0,INDEX(rIni_ADM,$AL241),IF(ISNUMBER($E241),$E241,""))</f>
        <v/>
      </c>
      <c r="AN241" s="62">
        <f>IF(N($AL241)&gt;0,INDEX(rLim_ADM,$AL241),IF(ISNUMBER($F241),$F241,""))</f>
        <v/>
      </c>
    </row>
    <row r="242">
      <c r="A242" s="56">
        <f>IF(NOT((COUNTA($B242:$D242)+COUNTA($G242:$L242)+COUNTA($Q242))&gt;0),"",IF($V242="Macro",COUNTIFS($V$5:$V242,"Macro",$S$5:$S242,$S242),IF(N($U242)=0,"?",COUNTIFS(INDEX($V$5:$V$1000,1):INDEX($V$5:$V$1000,$U242-4),"Macro",INDEX($S$5:$S$1000,1):INDEX($S$5:$S$1000,$U242-4),INDEX($S$5:$S$1000,$U242-4))&amp;"."&amp;COUNTIFS($U$5:$U242,$U242,$V$5:$V242,"Sub"))))</f>
        <v/>
      </c>
      <c r="B242" s="57" t="n"/>
      <c r="C242" s="58" t="n"/>
      <c r="D242" s="58" t="n"/>
      <c r="E242" s="59" t="n"/>
      <c r="F242" s="59" t="n"/>
      <c r="G242" s="59" t="n"/>
      <c r="H242" s="60" t="n"/>
      <c r="I242" s="60" t="n"/>
      <c r="J242" s="60" t="n"/>
      <c r="K242" s="60" t="n"/>
      <c r="L242" s="60" t="n"/>
      <c r="M242" s="61">
        <f>IF(NOT((COUNTA($B242:$D242)+COUNTA($G242:$L242)+COUNTA($Q242))&gt;0),"",IF(AND($D242&lt;&gt;"",$V242="Macro"),IF(N($AH242)&gt;0,N(CHOOSE(MATCH($D242,ListaPuestos,0),INDEX('Cronograma R. Operacional'!$M$5:$M$1000,$AH242),INDEX('Cronograma R. Normativo'!$M$5:$M$1000,$AH242),INDEX('Cronograma R. Financiero'!$M$5:$M$1000,$AH242),INDEX('Cronograma Asistente Técnico'!$M$5:$M$1000,$AH242))),0),IF(ISNUMBER($G242),1,IF(N($W242)&gt;0,AVERAGEIFS($X$5:$X$1000,$U$5:$U$1000,ROW(),$V$5:$V$1000,"Sub"),$X242))))</f>
        <v/>
      </c>
      <c r="N242" s="56">
        <f>IF(OR($M242="",$V242="Sub"),"",IF($M242&gt;=1,"Completado",IF($M242&gt;0,"En curso","Pendiente")))</f>
        <v/>
      </c>
      <c r="O242" s="56">
        <f>IF(NOT((COUNTA($B242:$D242)+COUNTA($G242:$L242)+COUNTA($Q242))&gt;0),"",IF(AND(AND($D242&lt;&gt;"",$V242="Macro"),N($AH242)&gt;0),CHOOSE(MATCH($D242,ListaPuestos,0),INDEX('Cronograma R. Operacional'!$O$5:$O$1000,$AH242),INDEX('Cronograma R. Normativo'!$O$5:$O$1000,$AH242),INDEX('Cronograma R. Financiero'!$O$5:$O$1000,$AH242),INDEX('Cronograma Asistente Técnico'!$O$5:$O$1000,$AH242))&amp;"",IF(ISNUMBER($G242),IF(AND(ISNUMBER($AN242),$G242&gt;$AN242),"Cumplida con "&amp;($G242-$AN242)&amp;IF($G242-$AN242=1," día"," días")&amp;" de retraso","Cumplida"),IF(N($M242)&gt;=1,"Cumplida",IF(NOT(ISNUMBER($AN242)),"Sin fecha límite",IF($AN242&lt;FechaRef,"Vencida hace "&amp;(FechaRef-$AN242)&amp;IF(FechaRef-$AN242=1," día"," días"),IF($AN242=FechaRef,"Vence hoy",IF($AN242-FechaRef&lt;=DiasAlerta,"Vence en "&amp;($AN242-FechaRef)&amp;IF($AN242-FechaRef=1," día"," días"),"En plazo"))))))))</f>
        <v/>
      </c>
      <c r="P242" s="62">
        <f>IF(NOT((COUNTA($B242:$D242)+COUNTA($G242:$L242)+COUNTA($Q242))&gt;0),"",IF($D242="","Propia",IF($V242&lt;&gt;"Macro","Solo se delegan macroactividades",IF(N($AH242)&gt;0,"✔ Recibida por "&amp;$D242,"⚠ "&amp;$D242&amp;" aún no la agrega"))))</f>
        <v/>
      </c>
      <c r="Q242" s="58" t="n"/>
      <c r="R242" s="63">
        <f>IF(NOT((COUNTA($B242:$D242)+COUNTA($G242:$L242)+COUNTA($Q242))&gt;0),"",IF((IF($C242="","Falta el nombre de la actividad"&amp;" · ","")&amp;IF(AND($V242="Sub",N($U242)=0),"Subactividad sin macroactividad arriba"&amp;" · ","")&amp;IF($AM242="","Sin fecha de inicio"&amp;" · ","")&amp;IF($AN242="","Sin fecha límite"&amp;" · ","")&amp;IF(AND(LEFT($C242,11)="[Jefatura] ",N($AL242)=0),"No se encuentra en la hoja de la jefatura (elíjala de nuevo en la lista)"&amp;" · ","")&amp;IF(OR(AND($E242&lt;&gt;"",NOT(ISNUMBER($E242))),AND($F242&lt;&gt;"",NOT(ISNUMBER($F242))),AND($G242&lt;&gt;"",NOT(ISNUMBER($G242)))),"Fecha no válida"&amp;" · ","")&amp;IF(AND(ISNUMBER($AM242),ISNUMBER($AN242),$AM242&gt;$AN242),"Inicio posterior a fecha límite"&amp;" · ","")&amp;IF(AND($V242="Macro",$H242&lt;&gt;"",OR(NOT(ISNUMBER($H242)),$H242&lt;0,$H242&gt;1)),"Peso fuera de rango"&amp;" · ","")&amp;IF(AND($V242="Sub",$H242&lt;&gt;""),"Las subactividades no llevan peso (valen igual dentro de su macroactividad)"&amp;" · ","")&amp;IF(AND(N($W242)&gt;0,COUNT($I242:$L242)&gt;0),"Con subactividades: deje vacías las semanas (se calculan solas)"&amp;" · ","")&amp;IF((COUNTIF($I242:$L242,"&gt;1")+COUNTIF($I242:$L242,"&lt;0")+COUNTA($I242:$L242)-COUNT($I242:$L242))&gt;0,"Avance fuera de rango 0-100%"&amp;" · ","")&amp;IF(OR(AND($J242&lt;&gt;"",$J242&lt;$I242),AND($K242&lt;&gt;"",$K242&lt;MAX($I242:$J242)),AND($L242&lt;&gt;"",$L242&lt;MAX($I242:$K242))),"Avance semanal decreciente"&amp;" · ","")&amp;IF(AND(ISNUMBER($AN242),$AN242&lt;FechaRef,IF($V242="Sub",N($X242),N($M242))&lt;1),"Vencida"&amp;" · ","")&amp;IF(AND(ObsObligatoria="Sí",ISNUMBER($AN242),$AN242&lt;FechaRef,IF($V242="Sub",N($X242),N($M242))&lt;1,$Q242=""),"Vencida sin observación"&amp;" · ",""))="","✔ OK","⚠ "&amp;LEFT(IF($C242="","Falta el nombre de la actividad"&amp;" · ","")&amp;IF(AND($V242="Sub",N($U242)=0),"Subactividad sin macroactividad arriba"&amp;" · ","")&amp;IF($AM242="","Sin fecha de inicio"&amp;" · ","")&amp;IF($AN242="","Sin fecha límite"&amp;" · ","")&amp;IF(AND(LEFT($C242,11)="[Jefatura] ",N($AL242)=0),"No se encuentra en la hoja de la jefatura (elíjala de nuevo en la lista)"&amp;" · ","")&amp;IF(OR(AND($E242&lt;&gt;"",NOT(ISNUMBER($E242))),AND($F242&lt;&gt;"",NOT(ISNUMBER($F242))),AND($G242&lt;&gt;"",NOT(ISNUMBER($G242)))),"Fecha no válida"&amp;" · ","")&amp;IF(AND(ISNUMBER($AM242),ISNUMBER($AN242),$AM242&gt;$AN242),"Inicio posterior a fecha límite"&amp;" · ","")&amp;IF(AND($V242="Macro",$H242&lt;&gt;"",OR(NOT(ISNUMBER($H242)),$H242&lt;0,$H242&gt;1)),"Peso fuera de rango"&amp;" · ","")&amp;IF(AND($V242="Sub",$H242&lt;&gt;""),"Las subactividades no llevan peso (valen igual dentro de su macroactividad)"&amp;" · ","")&amp;IF(AND(N($W242)&gt;0,COUNT($I242:$L242)&gt;0),"Con subactividades: deje vacías las semanas (se calculan solas)"&amp;" · ","")&amp;IF((COUNTIF($I242:$L242,"&gt;1")+COUNTIF($I242:$L242,"&lt;0")+COUNTA($I242:$L242)-COUNT($I242:$L242))&gt;0,"Avance fuera de rango 0-100%"&amp;" · ","")&amp;IF(OR(AND($J242&lt;&gt;"",$J242&lt;$I242),AND($K242&lt;&gt;"",$K242&lt;MAX($I242:$J242)),AND($L242&lt;&gt;"",$L242&lt;MAX($I242:$K242))),"Avance semanal decreciente"&amp;" · ","")&amp;IF(AND(ISNUMBER($AN242),$AN242&lt;FechaRef,IF($V242="Sub",N($X242),N($M242))&lt;1),"Vencida"&amp;" · ","")&amp;IF(AND(ObsObligatoria="Sí",ISNUMBER($AN242),$AN242&lt;FechaRef,IF($V242="Sub",N($X242),N($M242))&lt;1,$Q242=""),"Vencida sin observación"&amp;" · ",""),LEN(IF($C242="","Falta el nombre de la actividad"&amp;" · ","")&amp;IF(AND($V242="Sub",N($U242)=0),"Subactividad sin macroactividad arriba"&amp;" · ","")&amp;IF($AM242="","Sin fecha de inicio"&amp;" · ","")&amp;IF($AN242="","Sin fecha límite"&amp;" · ","")&amp;IF(AND(LEFT($C242,11)="[Jefatura] ",N($AL242)=0),"No se encuentra en la hoja de la jefatura (elíjala de nuevo en la lista)"&amp;" · ","")&amp;IF(OR(AND($E242&lt;&gt;"",NOT(ISNUMBER($E242))),AND($F242&lt;&gt;"",NOT(ISNUMBER($F242))),AND($G242&lt;&gt;"",NOT(ISNUMBER($G242)))),"Fecha no válida"&amp;" · ","")&amp;IF(AND(ISNUMBER($AM242),ISNUMBER($AN242),$AM242&gt;$AN242),"Inicio posterior a fecha límite"&amp;" · ","")&amp;IF(AND($V242="Macro",$H242&lt;&gt;"",OR(NOT(ISNUMBER($H242)),$H242&lt;0,$H242&gt;1)),"Peso fuera de rango"&amp;" · ","")&amp;IF(AND($V242="Sub",$H242&lt;&gt;""),"Las subactividades no llevan peso (valen igual dentro de su macroactividad)"&amp;" · ","")&amp;IF(AND(N($W242)&gt;0,COUNT($I242:$L242)&gt;0),"Con subactividades: deje vacías las semanas (se calculan solas)"&amp;" · ","")&amp;IF((COUNTIF($I242:$L242,"&gt;1")+COUNTIF($I242:$L242,"&lt;0")+COUNTA($I242:$L242)-COUNT($I242:$L242))&gt;0,"Avance fuera de rango 0-100%"&amp;" · ","")&amp;IF(OR(AND($J242&lt;&gt;"",$J242&lt;$I242),AND($K242&lt;&gt;"",$K242&lt;MAX($I242:$J242)),AND($L242&lt;&gt;"",$L242&lt;MAX($I242:$K242))),"Avance semanal decreciente"&amp;" · ","")&amp;IF(AND(ISNUMBER($AN242),$AN242&lt;FechaRef,IF($V242="Sub",N($X242),N($M242))&lt;1),"Vencida"&amp;" · ","")&amp;IF(AND(ObsObligatoria="Sí",ISNUMBER($AN242),$AN242&lt;FechaRef,IF($V242="Sub",N($X242),N($M242))&lt;1,$Q242=""),"Vencida sin observación"&amp;" · ",""))-3)))</f>
        <v/>
      </c>
      <c r="S242" s="64">
        <f>IF(NOT((COUNTA($B242:$D242)+COUNTA($G242:$L242)+COUNTA($Q242))&gt;0),"",IF(AND($V242="Sub",N($U242)&gt;0),IF(ISNUMBER(INDEX($AM$5:$AM$1000,$U242-4)),DATE(YEAR(INDEX($AM$5:$AM$1000,$U242-4)),MONTH(INDEX($AM$5:$AM$1000,$U242-4)),1),IF(ISNUMBER(INDEX($AN$5:$AN$1000,$U242-4)),DATE(YEAR(INDEX($AN$5:$AN$1000,$U242-4)),MONTH(INDEX($AN$5:$AN$1000,$U242-4)),1),MesCiclo)),IF(ISNUMBER($AM242),DATE(YEAR($AM242),MONTH($AM242),1),IF(ISNUMBER($AN242),DATE(YEAR($AN242),MONTH($AN242),1),MesCiclo))))</f>
        <v/>
      </c>
      <c r="T242" s="62">
        <f>IF(OR($S242="",$S242&lt;&gt;MesCiclo,$V242&lt;&gt;"Macro"),"",COUNTIFS($S$5:$S242,MesCiclo,$V$5:$V242,"Macro"))</f>
        <v/>
      </c>
      <c r="U242" s="62">
        <f>IF($V242="","",IF($V242="Macro",ROW(),IFERROR(LOOKUP(2,1/($V$5:$V242="Macro"),ROW($V$5:$V242)),0)))</f>
        <v/>
      </c>
      <c r="V242" s="62">
        <f>IF(NOT((COUNTA($B242:$D242)+COUNTA($G242:$L242)+COUNTA($Q242))&gt;0),"",IF($B242="Subactividad","Sub","Macro"))</f>
        <v/>
      </c>
      <c r="W242" s="62">
        <f>IF($V242="Macro",COUNTIFS($U$5:$U$1000,ROW(),$V$5:$V$1000,"Sub"),"")</f>
        <v/>
      </c>
      <c r="X242" s="62">
        <f>IF($V242="","",IF(ISNUMBER($G242),1,IFERROR(LOOKUP(2,1/($I242:$L242&lt;&gt;""),$I242:$L242),0)))</f>
        <v/>
      </c>
      <c r="Y242" s="62">
        <f>IF($V242="","",IF(AND(ISNUMBER($G242),$G242&lt;=IF($S242=MesCiclo,InicioCiclo,$S242+MOD(2-WEEKDAY($S242),7))+6),1,IF(ISNUMBER($I242),$I242,0)))</f>
        <v/>
      </c>
      <c r="Z242" s="62">
        <f>IF($V242="","",IF(AND(ISNUMBER($G242),$G242&lt;=IF($S242=MesCiclo,InicioCiclo,$S242+MOD(2-WEEKDAY($S242),7))+13),1,IF(ISNUMBER($J242),$J242,$Y242)))</f>
        <v/>
      </c>
      <c r="AA242" s="62">
        <f>IF($V242="","",IF(AND(ISNUMBER($G242),$G242&lt;=IF($S242=MesCiclo,InicioCiclo,$S242+MOD(2-WEEKDAY($S242),7))+20),1,IF(ISNUMBER($K242),$K242,$Z242)))</f>
        <v/>
      </c>
      <c r="AB242" s="62">
        <f>IF($V242="","",IF(AND(ISNUMBER($G242),$G242&lt;=IF($S242=MesCiclo,InicioCiclo,$S242+MOD(2-WEEKDAY($S242),7))+27),1,IF(ISNUMBER($L242),$L242,$AA242)))</f>
        <v/>
      </c>
      <c r="AC242" s="62">
        <f>IF($V242="","",IF(AND(ISNUMBER($G242),$G242&lt;=IF($S242=MesCiclo,InicioCiclo,$S242+MOD(2-WEEKDAY($S242),7))+6),1,IF(N($W242)&gt;0,AVERAGEIFS($Y$5:$Y$1000,$U$5:$U$1000,ROW(),$V$5:$V$1000,"Sub"),$Y242)))</f>
        <v/>
      </c>
      <c r="AD242" s="62">
        <f>IF($V242="","",IF(AND(ISNUMBER($G242),$G242&lt;=IF($S242=MesCiclo,InicioCiclo,$S242+MOD(2-WEEKDAY($S242),7))+13),1,IF(N($W242)&gt;0,AVERAGEIFS($Z$5:$Z$1000,$U$5:$U$1000,ROW(),$V$5:$V$1000,"Sub"),$Z242)))</f>
        <v/>
      </c>
      <c r="AE242" s="62">
        <f>IF($V242="","",IF(AND(ISNUMBER($G242),$G242&lt;=IF($S242=MesCiclo,InicioCiclo,$S242+MOD(2-WEEKDAY($S242),7))+20),1,IF(N($W242)&gt;0,AVERAGEIFS($AA$5:$AA$1000,$U$5:$U$1000,ROW(),$V$5:$V$1000,"Sub"),$AA242)))</f>
        <v/>
      </c>
      <c r="AF242" s="62">
        <f>IF($V242="","",IF(AND(ISNUMBER($G242),$G242&lt;=IF($S242=MesCiclo,InicioCiclo,$S242+MOD(2-WEEKDAY($S242),7))+27),1,IF(N($W242)&gt;0,AVERAGEIFS($AB$5:$AB$1000,$U$5:$U$1000,ROW(),$V$5:$V$1000,"Sub"),$AB242)))</f>
        <v/>
      </c>
      <c r="AG242" s="62">
        <f>IF($V242&lt;&gt;"Macro","",IF(COUNTIFS($S$5:$S$1000,$S242,$V$5:$V$1000,"Macro",$H$5:$H$1000,"&gt;0")=0,1/COUNTIFS($S$5:$S$1000,$S242,$V$5:$V$1000,"Macro"),IF(AND(ISNUMBER($H242),N($H242)&gt;0),$H242,SUMIFS($H$5:$H$1000,$S$5:$S$1000,$S242,$V$5:$V$1000,"Macro")/COUNTIFS($S$5:$S$1000,$S242,$V$5:$V$1000,"Macro",$H$5:$H$1000,"&gt;0"))/(COUNTIFS($S$5:$S$1000,$S242,$V$5:$V$1000,"Macro")*SUMIFS($H$5:$H$1000,$S$5:$S$1000,$S242,$V$5:$V$1000,"Macro")/COUNTIFS($S$5:$S$1000,$S242,$V$5:$V$1000,"Macro",$H$5:$H$1000,"&gt;0"))))</f>
        <v/>
      </c>
      <c r="AH242" s="62">
        <f>IF(NOT(AND($D242&lt;&gt;"",$V242="Macro")),"",IFERROR(CHOOSE(MATCH($D242,ListaPuestos,0),MATCH("[Jefatura] "&amp;$C242,'Cronograma R. Operacional'!$C$5:$C$1000,0),MATCH("[Jefatura] "&amp;$C242,'Cronograma R. Normativo'!$C$5:$C$1000,0),MATCH("[Jefatura] "&amp;$C242,'Cronograma R. Financiero'!$C$5:$C$1000,0),MATCH("[Jefatura] "&amp;$C242,'Cronograma Asistente Técnico'!$C$5:$C$1000,0)),0))</f>
        <v/>
      </c>
      <c r="AI242" s="62">
        <f>IF(AND(AND($D242&lt;&gt;"",$V242="Macro"),$S242=MesCiclo),COUNTIFS($D$5:$D242,$D242,$S$5:$S242,MesCiclo,$V$5:$V242,"Macro"),"")</f>
        <v/>
      </c>
      <c r="AJ242" s="62">
        <f>IF($AI242="","",$D242&amp;"|"&amp;$AI242)</f>
        <v/>
      </c>
      <c r="AK242" s="62">
        <f>IF(AND($D242&lt;&gt;"",$V242="Macro"),$D242&amp;"|"&amp;$C242,"")</f>
        <v/>
      </c>
      <c r="AL242" s="62">
        <f>""</f>
        <v/>
      </c>
      <c r="AM242" s="62">
        <f>IF(N($AL242)&gt;0,INDEX(rIni_ADM,$AL242),IF(ISNUMBER($E242),$E242,""))</f>
        <v/>
      </c>
      <c r="AN242" s="62">
        <f>IF(N($AL242)&gt;0,INDEX(rLim_ADM,$AL242),IF(ISNUMBER($F242),$F242,""))</f>
        <v/>
      </c>
    </row>
    <row r="243">
      <c r="A243" s="56">
        <f>IF(NOT((COUNTA($B243:$D243)+COUNTA($G243:$L243)+COUNTA($Q243))&gt;0),"",IF($V243="Macro",COUNTIFS($V$5:$V243,"Macro",$S$5:$S243,$S243),IF(N($U243)=0,"?",COUNTIFS(INDEX($V$5:$V$1000,1):INDEX($V$5:$V$1000,$U243-4),"Macro",INDEX($S$5:$S$1000,1):INDEX($S$5:$S$1000,$U243-4),INDEX($S$5:$S$1000,$U243-4))&amp;"."&amp;COUNTIFS($U$5:$U243,$U243,$V$5:$V243,"Sub"))))</f>
        <v/>
      </c>
      <c r="B243" s="57" t="n"/>
      <c r="C243" s="58" t="n"/>
      <c r="D243" s="58" t="n"/>
      <c r="E243" s="59" t="n"/>
      <c r="F243" s="59" t="n"/>
      <c r="G243" s="59" t="n"/>
      <c r="H243" s="60" t="n"/>
      <c r="I243" s="60" t="n"/>
      <c r="J243" s="60" t="n"/>
      <c r="K243" s="60" t="n"/>
      <c r="L243" s="60" t="n"/>
      <c r="M243" s="61">
        <f>IF(NOT((COUNTA($B243:$D243)+COUNTA($G243:$L243)+COUNTA($Q243))&gt;0),"",IF(AND($D243&lt;&gt;"",$V243="Macro"),IF(N($AH243)&gt;0,N(CHOOSE(MATCH($D243,ListaPuestos,0),INDEX('Cronograma R. Operacional'!$M$5:$M$1000,$AH243),INDEX('Cronograma R. Normativo'!$M$5:$M$1000,$AH243),INDEX('Cronograma R. Financiero'!$M$5:$M$1000,$AH243),INDEX('Cronograma Asistente Técnico'!$M$5:$M$1000,$AH243))),0),IF(ISNUMBER($G243),1,IF(N($W243)&gt;0,AVERAGEIFS($X$5:$X$1000,$U$5:$U$1000,ROW(),$V$5:$V$1000,"Sub"),$X243))))</f>
        <v/>
      </c>
      <c r="N243" s="56">
        <f>IF(OR($M243="",$V243="Sub"),"",IF($M243&gt;=1,"Completado",IF($M243&gt;0,"En curso","Pendiente")))</f>
        <v/>
      </c>
      <c r="O243" s="56">
        <f>IF(NOT((COUNTA($B243:$D243)+COUNTA($G243:$L243)+COUNTA($Q243))&gt;0),"",IF(AND(AND($D243&lt;&gt;"",$V243="Macro"),N($AH243)&gt;0),CHOOSE(MATCH($D243,ListaPuestos,0),INDEX('Cronograma R. Operacional'!$O$5:$O$1000,$AH243),INDEX('Cronograma R. Normativo'!$O$5:$O$1000,$AH243),INDEX('Cronograma R. Financiero'!$O$5:$O$1000,$AH243),INDEX('Cronograma Asistente Técnico'!$O$5:$O$1000,$AH243))&amp;"",IF(ISNUMBER($G243),IF(AND(ISNUMBER($AN243),$G243&gt;$AN243),"Cumplida con "&amp;($G243-$AN243)&amp;IF($G243-$AN243=1," día"," días")&amp;" de retraso","Cumplida"),IF(N($M243)&gt;=1,"Cumplida",IF(NOT(ISNUMBER($AN243)),"Sin fecha límite",IF($AN243&lt;FechaRef,"Vencida hace "&amp;(FechaRef-$AN243)&amp;IF(FechaRef-$AN243=1," día"," días"),IF($AN243=FechaRef,"Vence hoy",IF($AN243-FechaRef&lt;=DiasAlerta,"Vence en "&amp;($AN243-FechaRef)&amp;IF($AN243-FechaRef=1," día"," días"),"En plazo"))))))))</f>
        <v/>
      </c>
      <c r="P243" s="62">
        <f>IF(NOT((COUNTA($B243:$D243)+COUNTA($G243:$L243)+COUNTA($Q243))&gt;0),"",IF($D243="","Propia",IF($V243&lt;&gt;"Macro","Solo se delegan macroactividades",IF(N($AH243)&gt;0,"✔ Recibida por "&amp;$D243,"⚠ "&amp;$D243&amp;" aún no la agrega"))))</f>
        <v/>
      </c>
      <c r="Q243" s="58" t="n"/>
      <c r="R243" s="63">
        <f>IF(NOT((COUNTA($B243:$D243)+COUNTA($G243:$L243)+COUNTA($Q243))&gt;0),"",IF((IF($C243="","Falta el nombre de la actividad"&amp;" · ","")&amp;IF(AND($V243="Sub",N($U243)=0),"Subactividad sin macroactividad arriba"&amp;" · ","")&amp;IF($AM243="","Sin fecha de inicio"&amp;" · ","")&amp;IF($AN243="","Sin fecha límite"&amp;" · ","")&amp;IF(AND(LEFT($C243,11)="[Jefatura] ",N($AL243)=0),"No se encuentra en la hoja de la jefatura (elíjala de nuevo en la lista)"&amp;" · ","")&amp;IF(OR(AND($E243&lt;&gt;"",NOT(ISNUMBER($E243))),AND($F243&lt;&gt;"",NOT(ISNUMBER($F243))),AND($G243&lt;&gt;"",NOT(ISNUMBER($G243)))),"Fecha no válida"&amp;" · ","")&amp;IF(AND(ISNUMBER($AM243),ISNUMBER($AN243),$AM243&gt;$AN243),"Inicio posterior a fecha límite"&amp;" · ","")&amp;IF(AND($V243="Macro",$H243&lt;&gt;"",OR(NOT(ISNUMBER($H243)),$H243&lt;0,$H243&gt;1)),"Peso fuera de rango"&amp;" · ","")&amp;IF(AND($V243="Sub",$H243&lt;&gt;""),"Las subactividades no llevan peso (valen igual dentro de su macroactividad)"&amp;" · ","")&amp;IF(AND(N($W243)&gt;0,COUNT($I243:$L243)&gt;0),"Con subactividades: deje vacías las semanas (se calculan solas)"&amp;" · ","")&amp;IF((COUNTIF($I243:$L243,"&gt;1")+COUNTIF($I243:$L243,"&lt;0")+COUNTA($I243:$L243)-COUNT($I243:$L243))&gt;0,"Avance fuera de rango 0-100%"&amp;" · ","")&amp;IF(OR(AND($J243&lt;&gt;"",$J243&lt;$I243),AND($K243&lt;&gt;"",$K243&lt;MAX($I243:$J243)),AND($L243&lt;&gt;"",$L243&lt;MAX($I243:$K243))),"Avance semanal decreciente"&amp;" · ","")&amp;IF(AND(ISNUMBER($AN243),$AN243&lt;FechaRef,IF($V243="Sub",N($X243),N($M243))&lt;1),"Vencida"&amp;" · ","")&amp;IF(AND(ObsObligatoria="Sí",ISNUMBER($AN243),$AN243&lt;FechaRef,IF($V243="Sub",N($X243),N($M243))&lt;1,$Q243=""),"Vencida sin observación"&amp;" · ",""))="","✔ OK","⚠ "&amp;LEFT(IF($C243="","Falta el nombre de la actividad"&amp;" · ","")&amp;IF(AND($V243="Sub",N($U243)=0),"Subactividad sin macroactividad arriba"&amp;" · ","")&amp;IF($AM243="","Sin fecha de inicio"&amp;" · ","")&amp;IF($AN243="","Sin fecha límite"&amp;" · ","")&amp;IF(AND(LEFT($C243,11)="[Jefatura] ",N($AL243)=0),"No se encuentra en la hoja de la jefatura (elíjala de nuevo en la lista)"&amp;" · ","")&amp;IF(OR(AND($E243&lt;&gt;"",NOT(ISNUMBER($E243))),AND($F243&lt;&gt;"",NOT(ISNUMBER($F243))),AND($G243&lt;&gt;"",NOT(ISNUMBER($G243)))),"Fecha no válida"&amp;" · ","")&amp;IF(AND(ISNUMBER($AM243),ISNUMBER($AN243),$AM243&gt;$AN243),"Inicio posterior a fecha límite"&amp;" · ","")&amp;IF(AND($V243="Macro",$H243&lt;&gt;"",OR(NOT(ISNUMBER($H243)),$H243&lt;0,$H243&gt;1)),"Peso fuera de rango"&amp;" · ","")&amp;IF(AND($V243="Sub",$H243&lt;&gt;""),"Las subactividades no llevan peso (valen igual dentro de su macroactividad)"&amp;" · ","")&amp;IF(AND(N($W243)&gt;0,COUNT($I243:$L243)&gt;0),"Con subactividades: deje vacías las semanas (se calculan solas)"&amp;" · ","")&amp;IF((COUNTIF($I243:$L243,"&gt;1")+COUNTIF($I243:$L243,"&lt;0")+COUNTA($I243:$L243)-COUNT($I243:$L243))&gt;0,"Avance fuera de rango 0-100%"&amp;" · ","")&amp;IF(OR(AND($J243&lt;&gt;"",$J243&lt;$I243),AND($K243&lt;&gt;"",$K243&lt;MAX($I243:$J243)),AND($L243&lt;&gt;"",$L243&lt;MAX($I243:$K243))),"Avance semanal decreciente"&amp;" · ","")&amp;IF(AND(ISNUMBER($AN243),$AN243&lt;FechaRef,IF($V243="Sub",N($X243),N($M243))&lt;1),"Vencida"&amp;" · ","")&amp;IF(AND(ObsObligatoria="Sí",ISNUMBER($AN243),$AN243&lt;FechaRef,IF($V243="Sub",N($X243),N($M243))&lt;1,$Q243=""),"Vencida sin observación"&amp;" · ",""),LEN(IF($C243="","Falta el nombre de la actividad"&amp;" · ","")&amp;IF(AND($V243="Sub",N($U243)=0),"Subactividad sin macroactividad arriba"&amp;" · ","")&amp;IF($AM243="","Sin fecha de inicio"&amp;" · ","")&amp;IF($AN243="","Sin fecha límite"&amp;" · ","")&amp;IF(AND(LEFT($C243,11)="[Jefatura] ",N($AL243)=0),"No se encuentra en la hoja de la jefatura (elíjala de nuevo en la lista)"&amp;" · ","")&amp;IF(OR(AND($E243&lt;&gt;"",NOT(ISNUMBER($E243))),AND($F243&lt;&gt;"",NOT(ISNUMBER($F243))),AND($G243&lt;&gt;"",NOT(ISNUMBER($G243)))),"Fecha no válida"&amp;" · ","")&amp;IF(AND(ISNUMBER($AM243),ISNUMBER($AN243),$AM243&gt;$AN243),"Inicio posterior a fecha límite"&amp;" · ","")&amp;IF(AND($V243="Macro",$H243&lt;&gt;"",OR(NOT(ISNUMBER($H243)),$H243&lt;0,$H243&gt;1)),"Peso fuera de rango"&amp;" · ","")&amp;IF(AND($V243="Sub",$H243&lt;&gt;""),"Las subactividades no llevan peso (valen igual dentro de su macroactividad)"&amp;" · ","")&amp;IF(AND(N($W243)&gt;0,COUNT($I243:$L243)&gt;0),"Con subactividades: deje vacías las semanas (se calculan solas)"&amp;" · ","")&amp;IF((COUNTIF($I243:$L243,"&gt;1")+COUNTIF($I243:$L243,"&lt;0")+COUNTA($I243:$L243)-COUNT($I243:$L243))&gt;0,"Avance fuera de rango 0-100%"&amp;" · ","")&amp;IF(OR(AND($J243&lt;&gt;"",$J243&lt;$I243),AND($K243&lt;&gt;"",$K243&lt;MAX($I243:$J243)),AND($L243&lt;&gt;"",$L243&lt;MAX($I243:$K243))),"Avance semanal decreciente"&amp;" · ","")&amp;IF(AND(ISNUMBER($AN243),$AN243&lt;FechaRef,IF($V243="Sub",N($X243),N($M243))&lt;1),"Vencida"&amp;" · ","")&amp;IF(AND(ObsObligatoria="Sí",ISNUMBER($AN243),$AN243&lt;FechaRef,IF($V243="Sub",N($X243),N($M243))&lt;1,$Q243=""),"Vencida sin observación"&amp;" · ",""))-3)))</f>
        <v/>
      </c>
      <c r="S243" s="64">
        <f>IF(NOT((COUNTA($B243:$D243)+COUNTA($G243:$L243)+COUNTA($Q243))&gt;0),"",IF(AND($V243="Sub",N($U243)&gt;0),IF(ISNUMBER(INDEX($AM$5:$AM$1000,$U243-4)),DATE(YEAR(INDEX($AM$5:$AM$1000,$U243-4)),MONTH(INDEX($AM$5:$AM$1000,$U243-4)),1),IF(ISNUMBER(INDEX($AN$5:$AN$1000,$U243-4)),DATE(YEAR(INDEX($AN$5:$AN$1000,$U243-4)),MONTH(INDEX($AN$5:$AN$1000,$U243-4)),1),MesCiclo)),IF(ISNUMBER($AM243),DATE(YEAR($AM243),MONTH($AM243),1),IF(ISNUMBER($AN243),DATE(YEAR($AN243),MONTH($AN243),1),MesCiclo))))</f>
        <v/>
      </c>
      <c r="T243" s="62">
        <f>IF(OR($S243="",$S243&lt;&gt;MesCiclo,$V243&lt;&gt;"Macro"),"",COUNTIFS($S$5:$S243,MesCiclo,$V$5:$V243,"Macro"))</f>
        <v/>
      </c>
      <c r="U243" s="62">
        <f>IF($V243="","",IF($V243="Macro",ROW(),IFERROR(LOOKUP(2,1/($V$5:$V243="Macro"),ROW($V$5:$V243)),0)))</f>
        <v/>
      </c>
      <c r="V243" s="62">
        <f>IF(NOT((COUNTA($B243:$D243)+COUNTA($G243:$L243)+COUNTA($Q243))&gt;0),"",IF($B243="Subactividad","Sub","Macro"))</f>
        <v/>
      </c>
      <c r="W243" s="62">
        <f>IF($V243="Macro",COUNTIFS($U$5:$U$1000,ROW(),$V$5:$V$1000,"Sub"),"")</f>
        <v/>
      </c>
      <c r="X243" s="62">
        <f>IF($V243="","",IF(ISNUMBER($G243),1,IFERROR(LOOKUP(2,1/($I243:$L243&lt;&gt;""),$I243:$L243),0)))</f>
        <v/>
      </c>
      <c r="Y243" s="62">
        <f>IF($V243="","",IF(AND(ISNUMBER($G243),$G243&lt;=IF($S243=MesCiclo,InicioCiclo,$S243+MOD(2-WEEKDAY($S243),7))+6),1,IF(ISNUMBER($I243),$I243,0)))</f>
        <v/>
      </c>
      <c r="Z243" s="62">
        <f>IF($V243="","",IF(AND(ISNUMBER($G243),$G243&lt;=IF($S243=MesCiclo,InicioCiclo,$S243+MOD(2-WEEKDAY($S243),7))+13),1,IF(ISNUMBER($J243),$J243,$Y243)))</f>
        <v/>
      </c>
      <c r="AA243" s="62">
        <f>IF($V243="","",IF(AND(ISNUMBER($G243),$G243&lt;=IF($S243=MesCiclo,InicioCiclo,$S243+MOD(2-WEEKDAY($S243),7))+20),1,IF(ISNUMBER($K243),$K243,$Z243)))</f>
        <v/>
      </c>
      <c r="AB243" s="62">
        <f>IF($V243="","",IF(AND(ISNUMBER($G243),$G243&lt;=IF($S243=MesCiclo,InicioCiclo,$S243+MOD(2-WEEKDAY($S243),7))+27),1,IF(ISNUMBER($L243),$L243,$AA243)))</f>
        <v/>
      </c>
      <c r="AC243" s="62">
        <f>IF($V243="","",IF(AND(ISNUMBER($G243),$G243&lt;=IF($S243=MesCiclo,InicioCiclo,$S243+MOD(2-WEEKDAY($S243),7))+6),1,IF(N($W243)&gt;0,AVERAGEIFS($Y$5:$Y$1000,$U$5:$U$1000,ROW(),$V$5:$V$1000,"Sub"),$Y243)))</f>
        <v/>
      </c>
      <c r="AD243" s="62">
        <f>IF($V243="","",IF(AND(ISNUMBER($G243),$G243&lt;=IF($S243=MesCiclo,InicioCiclo,$S243+MOD(2-WEEKDAY($S243),7))+13),1,IF(N($W243)&gt;0,AVERAGEIFS($Z$5:$Z$1000,$U$5:$U$1000,ROW(),$V$5:$V$1000,"Sub"),$Z243)))</f>
        <v/>
      </c>
      <c r="AE243" s="62">
        <f>IF($V243="","",IF(AND(ISNUMBER($G243),$G243&lt;=IF($S243=MesCiclo,InicioCiclo,$S243+MOD(2-WEEKDAY($S243),7))+20),1,IF(N($W243)&gt;0,AVERAGEIFS($AA$5:$AA$1000,$U$5:$U$1000,ROW(),$V$5:$V$1000,"Sub"),$AA243)))</f>
        <v/>
      </c>
      <c r="AF243" s="62">
        <f>IF($V243="","",IF(AND(ISNUMBER($G243),$G243&lt;=IF($S243=MesCiclo,InicioCiclo,$S243+MOD(2-WEEKDAY($S243),7))+27),1,IF(N($W243)&gt;0,AVERAGEIFS($AB$5:$AB$1000,$U$5:$U$1000,ROW(),$V$5:$V$1000,"Sub"),$AB243)))</f>
        <v/>
      </c>
      <c r="AG243" s="62">
        <f>IF($V243&lt;&gt;"Macro","",IF(COUNTIFS($S$5:$S$1000,$S243,$V$5:$V$1000,"Macro",$H$5:$H$1000,"&gt;0")=0,1/COUNTIFS($S$5:$S$1000,$S243,$V$5:$V$1000,"Macro"),IF(AND(ISNUMBER($H243),N($H243)&gt;0),$H243,SUMIFS($H$5:$H$1000,$S$5:$S$1000,$S243,$V$5:$V$1000,"Macro")/COUNTIFS($S$5:$S$1000,$S243,$V$5:$V$1000,"Macro",$H$5:$H$1000,"&gt;0"))/(COUNTIFS($S$5:$S$1000,$S243,$V$5:$V$1000,"Macro")*SUMIFS($H$5:$H$1000,$S$5:$S$1000,$S243,$V$5:$V$1000,"Macro")/COUNTIFS($S$5:$S$1000,$S243,$V$5:$V$1000,"Macro",$H$5:$H$1000,"&gt;0"))))</f>
        <v/>
      </c>
      <c r="AH243" s="62">
        <f>IF(NOT(AND($D243&lt;&gt;"",$V243="Macro")),"",IFERROR(CHOOSE(MATCH($D243,ListaPuestos,0),MATCH("[Jefatura] "&amp;$C243,'Cronograma R. Operacional'!$C$5:$C$1000,0),MATCH("[Jefatura] "&amp;$C243,'Cronograma R. Normativo'!$C$5:$C$1000,0),MATCH("[Jefatura] "&amp;$C243,'Cronograma R. Financiero'!$C$5:$C$1000,0),MATCH("[Jefatura] "&amp;$C243,'Cronograma Asistente Técnico'!$C$5:$C$1000,0)),0))</f>
        <v/>
      </c>
      <c r="AI243" s="62">
        <f>IF(AND(AND($D243&lt;&gt;"",$V243="Macro"),$S243=MesCiclo),COUNTIFS($D$5:$D243,$D243,$S$5:$S243,MesCiclo,$V$5:$V243,"Macro"),"")</f>
        <v/>
      </c>
      <c r="AJ243" s="62">
        <f>IF($AI243="","",$D243&amp;"|"&amp;$AI243)</f>
        <v/>
      </c>
      <c r="AK243" s="62">
        <f>IF(AND($D243&lt;&gt;"",$V243="Macro"),$D243&amp;"|"&amp;$C243,"")</f>
        <v/>
      </c>
      <c r="AL243" s="62">
        <f>""</f>
        <v/>
      </c>
      <c r="AM243" s="62">
        <f>IF(N($AL243)&gt;0,INDEX(rIni_ADM,$AL243),IF(ISNUMBER($E243),$E243,""))</f>
        <v/>
      </c>
      <c r="AN243" s="62">
        <f>IF(N($AL243)&gt;0,INDEX(rLim_ADM,$AL243),IF(ISNUMBER($F243),$F243,""))</f>
        <v/>
      </c>
    </row>
    <row r="244">
      <c r="A244" s="56">
        <f>IF(NOT((COUNTA($B244:$D244)+COUNTA($G244:$L244)+COUNTA($Q244))&gt;0),"",IF($V244="Macro",COUNTIFS($V$5:$V244,"Macro",$S$5:$S244,$S244),IF(N($U244)=0,"?",COUNTIFS(INDEX($V$5:$V$1000,1):INDEX($V$5:$V$1000,$U244-4),"Macro",INDEX($S$5:$S$1000,1):INDEX($S$5:$S$1000,$U244-4),INDEX($S$5:$S$1000,$U244-4))&amp;"."&amp;COUNTIFS($U$5:$U244,$U244,$V$5:$V244,"Sub"))))</f>
        <v/>
      </c>
      <c r="B244" s="57" t="n"/>
      <c r="C244" s="58" t="n"/>
      <c r="D244" s="58" t="n"/>
      <c r="E244" s="59" t="n"/>
      <c r="F244" s="59" t="n"/>
      <c r="G244" s="59" t="n"/>
      <c r="H244" s="60" t="n"/>
      <c r="I244" s="60" t="n"/>
      <c r="J244" s="60" t="n"/>
      <c r="K244" s="60" t="n"/>
      <c r="L244" s="60" t="n"/>
      <c r="M244" s="61">
        <f>IF(NOT((COUNTA($B244:$D244)+COUNTA($G244:$L244)+COUNTA($Q244))&gt;0),"",IF(AND($D244&lt;&gt;"",$V244="Macro"),IF(N($AH244)&gt;0,N(CHOOSE(MATCH($D244,ListaPuestos,0),INDEX('Cronograma R. Operacional'!$M$5:$M$1000,$AH244),INDEX('Cronograma R. Normativo'!$M$5:$M$1000,$AH244),INDEX('Cronograma R. Financiero'!$M$5:$M$1000,$AH244),INDEX('Cronograma Asistente Técnico'!$M$5:$M$1000,$AH244))),0),IF(ISNUMBER($G244),1,IF(N($W244)&gt;0,AVERAGEIFS($X$5:$X$1000,$U$5:$U$1000,ROW(),$V$5:$V$1000,"Sub"),$X244))))</f>
        <v/>
      </c>
      <c r="N244" s="56">
        <f>IF(OR($M244="",$V244="Sub"),"",IF($M244&gt;=1,"Completado",IF($M244&gt;0,"En curso","Pendiente")))</f>
        <v/>
      </c>
      <c r="O244" s="56">
        <f>IF(NOT((COUNTA($B244:$D244)+COUNTA($G244:$L244)+COUNTA($Q244))&gt;0),"",IF(AND(AND($D244&lt;&gt;"",$V244="Macro"),N($AH244)&gt;0),CHOOSE(MATCH($D244,ListaPuestos,0),INDEX('Cronograma R. Operacional'!$O$5:$O$1000,$AH244),INDEX('Cronograma R. Normativo'!$O$5:$O$1000,$AH244),INDEX('Cronograma R. Financiero'!$O$5:$O$1000,$AH244),INDEX('Cronograma Asistente Técnico'!$O$5:$O$1000,$AH244))&amp;"",IF(ISNUMBER($G244),IF(AND(ISNUMBER($AN244),$G244&gt;$AN244),"Cumplida con "&amp;($G244-$AN244)&amp;IF($G244-$AN244=1," día"," días")&amp;" de retraso","Cumplida"),IF(N($M244)&gt;=1,"Cumplida",IF(NOT(ISNUMBER($AN244)),"Sin fecha límite",IF($AN244&lt;FechaRef,"Vencida hace "&amp;(FechaRef-$AN244)&amp;IF(FechaRef-$AN244=1," día"," días"),IF($AN244=FechaRef,"Vence hoy",IF($AN244-FechaRef&lt;=DiasAlerta,"Vence en "&amp;($AN244-FechaRef)&amp;IF($AN244-FechaRef=1," día"," días"),"En plazo"))))))))</f>
        <v/>
      </c>
      <c r="P244" s="62">
        <f>IF(NOT((COUNTA($B244:$D244)+COUNTA($G244:$L244)+COUNTA($Q244))&gt;0),"",IF($D244="","Propia",IF($V244&lt;&gt;"Macro","Solo se delegan macroactividades",IF(N($AH244)&gt;0,"✔ Recibida por "&amp;$D244,"⚠ "&amp;$D244&amp;" aún no la agrega"))))</f>
        <v/>
      </c>
      <c r="Q244" s="58" t="n"/>
      <c r="R244" s="63">
        <f>IF(NOT((COUNTA($B244:$D244)+COUNTA($G244:$L244)+COUNTA($Q244))&gt;0),"",IF((IF($C244="","Falta el nombre de la actividad"&amp;" · ","")&amp;IF(AND($V244="Sub",N($U244)=0),"Subactividad sin macroactividad arriba"&amp;" · ","")&amp;IF($AM244="","Sin fecha de inicio"&amp;" · ","")&amp;IF($AN244="","Sin fecha límite"&amp;" · ","")&amp;IF(AND(LEFT($C244,11)="[Jefatura] ",N($AL244)=0),"No se encuentra en la hoja de la jefatura (elíjala de nuevo en la lista)"&amp;" · ","")&amp;IF(OR(AND($E244&lt;&gt;"",NOT(ISNUMBER($E244))),AND($F244&lt;&gt;"",NOT(ISNUMBER($F244))),AND($G244&lt;&gt;"",NOT(ISNUMBER($G244)))),"Fecha no válida"&amp;" · ","")&amp;IF(AND(ISNUMBER($AM244),ISNUMBER($AN244),$AM244&gt;$AN244),"Inicio posterior a fecha límite"&amp;" · ","")&amp;IF(AND($V244="Macro",$H244&lt;&gt;"",OR(NOT(ISNUMBER($H244)),$H244&lt;0,$H244&gt;1)),"Peso fuera de rango"&amp;" · ","")&amp;IF(AND($V244="Sub",$H244&lt;&gt;""),"Las subactividades no llevan peso (valen igual dentro de su macroactividad)"&amp;" · ","")&amp;IF(AND(N($W244)&gt;0,COUNT($I244:$L244)&gt;0),"Con subactividades: deje vacías las semanas (se calculan solas)"&amp;" · ","")&amp;IF((COUNTIF($I244:$L244,"&gt;1")+COUNTIF($I244:$L244,"&lt;0")+COUNTA($I244:$L244)-COUNT($I244:$L244))&gt;0,"Avance fuera de rango 0-100%"&amp;" · ","")&amp;IF(OR(AND($J244&lt;&gt;"",$J244&lt;$I244),AND($K244&lt;&gt;"",$K244&lt;MAX($I244:$J244)),AND($L244&lt;&gt;"",$L244&lt;MAX($I244:$K244))),"Avance semanal decreciente"&amp;" · ","")&amp;IF(AND(ISNUMBER($AN244),$AN244&lt;FechaRef,IF($V244="Sub",N($X244),N($M244))&lt;1),"Vencida"&amp;" · ","")&amp;IF(AND(ObsObligatoria="Sí",ISNUMBER($AN244),$AN244&lt;FechaRef,IF($V244="Sub",N($X244),N($M244))&lt;1,$Q244=""),"Vencida sin observación"&amp;" · ",""))="","✔ OK","⚠ "&amp;LEFT(IF($C244="","Falta el nombre de la actividad"&amp;" · ","")&amp;IF(AND($V244="Sub",N($U244)=0),"Subactividad sin macroactividad arriba"&amp;" · ","")&amp;IF($AM244="","Sin fecha de inicio"&amp;" · ","")&amp;IF($AN244="","Sin fecha límite"&amp;" · ","")&amp;IF(AND(LEFT($C244,11)="[Jefatura] ",N($AL244)=0),"No se encuentra en la hoja de la jefatura (elíjala de nuevo en la lista)"&amp;" · ","")&amp;IF(OR(AND($E244&lt;&gt;"",NOT(ISNUMBER($E244))),AND($F244&lt;&gt;"",NOT(ISNUMBER($F244))),AND($G244&lt;&gt;"",NOT(ISNUMBER($G244)))),"Fecha no válida"&amp;" · ","")&amp;IF(AND(ISNUMBER($AM244),ISNUMBER($AN244),$AM244&gt;$AN244),"Inicio posterior a fecha límite"&amp;" · ","")&amp;IF(AND($V244="Macro",$H244&lt;&gt;"",OR(NOT(ISNUMBER($H244)),$H244&lt;0,$H244&gt;1)),"Peso fuera de rango"&amp;" · ","")&amp;IF(AND($V244="Sub",$H244&lt;&gt;""),"Las subactividades no llevan peso (valen igual dentro de su macroactividad)"&amp;" · ","")&amp;IF(AND(N($W244)&gt;0,COUNT($I244:$L244)&gt;0),"Con subactividades: deje vacías las semanas (se calculan solas)"&amp;" · ","")&amp;IF((COUNTIF($I244:$L244,"&gt;1")+COUNTIF($I244:$L244,"&lt;0")+COUNTA($I244:$L244)-COUNT($I244:$L244))&gt;0,"Avance fuera de rango 0-100%"&amp;" · ","")&amp;IF(OR(AND($J244&lt;&gt;"",$J244&lt;$I244),AND($K244&lt;&gt;"",$K244&lt;MAX($I244:$J244)),AND($L244&lt;&gt;"",$L244&lt;MAX($I244:$K244))),"Avance semanal decreciente"&amp;" · ","")&amp;IF(AND(ISNUMBER($AN244),$AN244&lt;FechaRef,IF($V244="Sub",N($X244),N($M244))&lt;1),"Vencida"&amp;" · ","")&amp;IF(AND(ObsObligatoria="Sí",ISNUMBER($AN244),$AN244&lt;FechaRef,IF($V244="Sub",N($X244),N($M244))&lt;1,$Q244=""),"Vencida sin observación"&amp;" · ",""),LEN(IF($C244="","Falta el nombre de la actividad"&amp;" · ","")&amp;IF(AND($V244="Sub",N($U244)=0),"Subactividad sin macroactividad arriba"&amp;" · ","")&amp;IF($AM244="","Sin fecha de inicio"&amp;" · ","")&amp;IF($AN244="","Sin fecha límite"&amp;" · ","")&amp;IF(AND(LEFT($C244,11)="[Jefatura] ",N($AL244)=0),"No se encuentra en la hoja de la jefatura (elíjala de nuevo en la lista)"&amp;" · ","")&amp;IF(OR(AND($E244&lt;&gt;"",NOT(ISNUMBER($E244))),AND($F244&lt;&gt;"",NOT(ISNUMBER($F244))),AND($G244&lt;&gt;"",NOT(ISNUMBER($G244)))),"Fecha no válida"&amp;" · ","")&amp;IF(AND(ISNUMBER($AM244),ISNUMBER($AN244),$AM244&gt;$AN244),"Inicio posterior a fecha límite"&amp;" · ","")&amp;IF(AND($V244="Macro",$H244&lt;&gt;"",OR(NOT(ISNUMBER($H244)),$H244&lt;0,$H244&gt;1)),"Peso fuera de rango"&amp;" · ","")&amp;IF(AND($V244="Sub",$H244&lt;&gt;""),"Las subactividades no llevan peso (valen igual dentro de su macroactividad)"&amp;" · ","")&amp;IF(AND(N($W244)&gt;0,COUNT($I244:$L244)&gt;0),"Con subactividades: deje vacías las semanas (se calculan solas)"&amp;" · ","")&amp;IF((COUNTIF($I244:$L244,"&gt;1")+COUNTIF($I244:$L244,"&lt;0")+COUNTA($I244:$L244)-COUNT($I244:$L244))&gt;0,"Avance fuera de rango 0-100%"&amp;" · ","")&amp;IF(OR(AND($J244&lt;&gt;"",$J244&lt;$I244),AND($K244&lt;&gt;"",$K244&lt;MAX($I244:$J244)),AND($L244&lt;&gt;"",$L244&lt;MAX($I244:$K244))),"Avance semanal decreciente"&amp;" · ","")&amp;IF(AND(ISNUMBER($AN244),$AN244&lt;FechaRef,IF($V244="Sub",N($X244),N($M244))&lt;1),"Vencida"&amp;" · ","")&amp;IF(AND(ObsObligatoria="Sí",ISNUMBER($AN244),$AN244&lt;FechaRef,IF($V244="Sub",N($X244),N($M244))&lt;1,$Q244=""),"Vencida sin observación"&amp;" · ",""))-3)))</f>
        <v/>
      </c>
      <c r="S244" s="64">
        <f>IF(NOT((COUNTA($B244:$D244)+COUNTA($G244:$L244)+COUNTA($Q244))&gt;0),"",IF(AND($V244="Sub",N($U244)&gt;0),IF(ISNUMBER(INDEX($AM$5:$AM$1000,$U244-4)),DATE(YEAR(INDEX($AM$5:$AM$1000,$U244-4)),MONTH(INDEX($AM$5:$AM$1000,$U244-4)),1),IF(ISNUMBER(INDEX($AN$5:$AN$1000,$U244-4)),DATE(YEAR(INDEX($AN$5:$AN$1000,$U244-4)),MONTH(INDEX($AN$5:$AN$1000,$U244-4)),1),MesCiclo)),IF(ISNUMBER($AM244),DATE(YEAR($AM244),MONTH($AM244),1),IF(ISNUMBER($AN244),DATE(YEAR($AN244),MONTH($AN244),1),MesCiclo))))</f>
        <v/>
      </c>
      <c r="T244" s="62">
        <f>IF(OR($S244="",$S244&lt;&gt;MesCiclo,$V244&lt;&gt;"Macro"),"",COUNTIFS($S$5:$S244,MesCiclo,$V$5:$V244,"Macro"))</f>
        <v/>
      </c>
      <c r="U244" s="62">
        <f>IF($V244="","",IF($V244="Macro",ROW(),IFERROR(LOOKUP(2,1/($V$5:$V244="Macro"),ROW($V$5:$V244)),0)))</f>
        <v/>
      </c>
      <c r="V244" s="62">
        <f>IF(NOT((COUNTA($B244:$D244)+COUNTA($G244:$L244)+COUNTA($Q244))&gt;0),"",IF($B244="Subactividad","Sub","Macro"))</f>
        <v/>
      </c>
      <c r="W244" s="62">
        <f>IF($V244="Macro",COUNTIFS($U$5:$U$1000,ROW(),$V$5:$V$1000,"Sub"),"")</f>
        <v/>
      </c>
      <c r="X244" s="62">
        <f>IF($V244="","",IF(ISNUMBER($G244),1,IFERROR(LOOKUP(2,1/($I244:$L244&lt;&gt;""),$I244:$L244),0)))</f>
        <v/>
      </c>
      <c r="Y244" s="62">
        <f>IF($V244="","",IF(AND(ISNUMBER($G244),$G244&lt;=IF($S244=MesCiclo,InicioCiclo,$S244+MOD(2-WEEKDAY($S244),7))+6),1,IF(ISNUMBER($I244),$I244,0)))</f>
        <v/>
      </c>
      <c r="Z244" s="62">
        <f>IF($V244="","",IF(AND(ISNUMBER($G244),$G244&lt;=IF($S244=MesCiclo,InicioCiclo,$S244+MOD(2-WEEKDAY($S244),7))+13),1,IF(ISNUMBER($J244),$J244,$Y244)))</f>
        <v/>
      </c>
      <c r="AA244" s="62">
        <f>IF($V244="","",IF(AND(ISNUMBER($G244),$G244&lt;=IF($S244=MesCiclo,InicioCiclo,$S244+MOD(2-WEEKDAY($S244),7))+20),1,IF(ISNUMBER($K244),$K244,$Z244)))</f>
        <v/>
      </c>
      <c r="AB244" s="62">
        <f>IF($V244="","",IF(AND(ISNUMBER($G244),$G244&lt;=IF($S244=MesCiclo,InicioCiclo,$S244+MOD(2-WEEKDAY($S244),7))+27),1,IF(ISNUMBER($L244),$L244,$AA244)))</f>
        <v/>
      </c>
      <c r="AC244" s="62">
        <f>IF($V244="","",IF(AND(ISNUMBER($G244),$G244&lt;=IF($S244=MesCiclo,InicioCiclo,$S244+MOD(2-WEEKDAY($S244),7))+6),1,IF(N($W244)&gt;0,AVERAGEIFS($Y$5:$Y$1000,$U$5:$U$1000,ROW(),$V$5:$V$1000,"Sub"),$Y244)))</f>
        <v/>
      </c>
      <c r="AD244" s="62">
        <f>IF($V244="","",IF(AND(ISNUMBER($G244),$G244&lt;=IF($S244=MesCiclo,InicioCiclo,$S244+MOD(2-WEEKDAY($S244),7))+13),1,IF(N($W244)&gt;0,AVERAGEIFS($Z$5:$Z$1000,$U$5:$U$1000,ROW(),$V$5:$V$1000,"Sub"),$Z244)))</f>
        <v/>
      </c>
      <c r="AE244" s="62">
        <f>IF($V244="","",IF(AND(ISNUMBER($G244),$G244&lt;=IF($S244=MesCiclo,InicioCiclo,$S244+MOD(2-WEEKDAY($S244),7))+20),1,IF(N($W244)&gt;0,AVERAGEIFS($AA$5:$AA$1000,$U$5:$U$1000,ROW(),$V$5:$V$1000,"Sub"),$AA244)))</f>
        <v/>
      </c>
      <c r="AF244" s="62">
        <f>IF($V244="","",IF(AND(ISNUMBER($G244),$G244&lt;=IF($S244=MesCiclo,InicioCiclo,$S244+MOD(2-WEEKDAY($S244),7))+27),1,IF(N($W244)&gt;0,AVERAGEIFS($AB$5:$AB$1000,$U$5:$U$1000,ROW(),$V$5:$V$1000,"Sub"),$AB244)))</f>
        <v/>
      </c>
      <c r="AG244" s="62">
        <f>IF($V244&lt;&gt;"Macro","",IF(COUNTIFS($S$5:$S$1000,$S244,$V$5:$V$1000,"Macro",$H$5:$H$1000,"&gt;0")=0,1/COUNTIFS($S$5:$S$1000,$S244,$V$5:$V$1000,"Macro"),IF(AND(ISNUMBER($H244),N($H244)&gt;0),$H244,SUMIFS($H$5:$H$1000,$S$5:$S$1000,$S244,$V$5:$V$1000,"Macro")/COUNTIFS($S$5:$S$1000,$S244,$V$5:$V$1000,"Macro",$H$5:$H$1000,"&gt;0"))/(COUNTIFS($S$5:$S$1000,$S244,$V$5:$V$1000,"Macro")*SUMIFS($H$5:$H$1000,$S$5:$S$1000,$S244,$V$5:$V$1000,"Macro")/COUNTIFS($S$5:$S$1000,$S244,$V$5:$V$1000,"Macro",$H$5:$H$1000,"&gt;0"))))</f>
        <v/>
      </c>
      <c r="AH244" s="62">
        <f>IF(NOT(AND($D244&lt;&gt;"",$V244="Macro")),"",IFERROR(CHOOSE(MATCH($D244,ListaPuestos,0),MATCH("[Jefatura] "&amp;$C244,'Cronograma R. Operacional'!$C$5:$C$1000,0),MATCH("[Jefatura] "&amp;$C244,'Cronograma R. Normativo'!$C$5:$C$1000,0),MATCH("[Jefatura] "&amp;$C244,'Cronograma R. Financiero'!$C$5:$C$1000,0),MATCH("[Jefatura] "&amp;$C244,'Cronograma Asistente Técnico'!$C$5:$C$1000,0)),0))</f>
        <v/>
      </c>
      <c r="AI244" s="62">
        <f>IF(AND(AND($D244&lt;&gt;"",$V244="Macro"),$S244=MesCiclo),COUNTIFS($D$5:$D244,$D244,$S$5:$S244,MesCiclo,$V$5:$V244,"Macro"),"")</f>
        <v/>
      </c>
      <c r="AJ244" s="62">
        <f>IF($AI244="","",$D244&amp;"|"&amp;$AI244)</f>
        <v/>
      </c>
      <c r="AK244" s="62">
        <f>IF(AND($D244&lt;&gt;"",$V244="Macro"),$D244&amp;"|"&amp;$C244,"")</f>
        <v/>
      </c>
      <c r="AL244" s="62">
        <f>""</f>
        <v/>
      </c>
      <c r="AM244" s="62">
        <f>IF(N($AL244)&gt;0,INDEX(rIni_ADM,$AL244),IF(ISNUMBER($E244),$E244,""))</f>
        <v/>
      </c>
      <c r="AN244" s="62">
        <f>IF(N($AL244)&gt;0,INDEX(rLim_ADM,$AL244),IF(ISNUMBER($F244),$F244,""))</f>
        <v/>
      </c>
    </row>
    <row r="245">
      <c r="A245" s="56">
        <f>IF(NOT((COUNTA($B245:$D245)+COUNTA($G245:$L245)+COUNTA($Q245))&gt;0),"",IF($V245="Macro",COUNTIFS($V$5:$V245,"Macro",$S$5:$S245,$S245),IF(N($U245)=0,"?",COUNTIFS(INDEX($V$5:$V$1000,1):INDEX($V$5:$V$1000,$U245-4),"Macro",INDEX($S$5:$S$1000,1):INDEX($S$5:$S$1000,$U245-4),INDEX($S$5:$S$1000,$U245-4))&amp;"."&amp;COUNTIFS($U$5:$U245,$U245,$V$5:$V245,"Sub"))))</f>
        <v/>
      </c>
      <c r="B245" s="57" t="n"/>
      <c r="C245" s="58" t="n"/>
      <c r="D245" s="58" t="n"/>
      <c r="E245" s="59" t="n"/>
      <c r="F245" s="59" t="n"/>
      <c r="G245" s="59" t="n"/>
      <c r="H245" s="60" t="n"/>
      <c r="I245" s="60" t="n"/>
      <c r="J245" s="60" t="n"/>
      <c r="K245" s="60" t="n"/>
      <c r="L245" s="60" t="n"/>
      <c r="M245" s="61">
        <f>IF(NOT((COUNTA($B245:$D245)+COUNTA($G245:$L245)+COUNTA($Q245))&gt;0),"",IF(AND($D245&lt;&gt;"",$V245="Macro"),IF(N($AH245)&gt;0,N(CHOOSE(MATCH($D245,ListaPuestos,0),INDEX('Cronograma R. Operacional'!$M$5:$M$1000,$AH245),INDEX('Cronograma R. Normativo'!$M$5:$M$1000,$AH245),INDEX('Cronograma R. Financiero'!$M$5:$M$1000,$AH245),INDEX('Cronograma Asistente Técnico'!$M$5:$M$1000,$AH245))),0),IF(ISNUMBER($G245),1,IF(N($W245)&gt;0,AVERAGEIFS($X$5:$X$1000,$U$5:$U$1000,ROW(),$V$5:$V$1000,"Sub"),$X245))))</f>
        <v/>
      </c>
      <c r="N245" s="56">
        <f>IF(OR($M245="",$V245="Sub"),"",IF($M245&gt;=1,"Completado",IF($M245&gt;0,"En curso","Pendiente")))</f>
        <v/>
      </c>
      <c r="O245" s="56">
        <f>IF(NOT((COUNTA($B245:$D245)+COUNTA($G245:$L245)+COUNTA($Q245))&gt;0),"",IF(AND(AND($D245&lt;&gt;"",$V245="Macro"),N($AH245)&gt;0),CHOOSE(MATCH($D245,ListaPuestos,0),INDEX('Cronograma R. Operacional'!$O$5:$O$1000,$AH245),INDEX('Cronograma R. Normativo'!$O$5:$O$1000,$AH245),INDEX('Cronograma R. Financiero'!$O$5:$O$1000,$AH245),INDEX('Cronograma Asistente Técnico'!$O$5:$O$1000,$AH245))&amp;"",IF(ISNUMBER($G245),IF(AND(ISNUMBER($AN245),$G245&gt;$AN245),"Cumplida con "&amp;($G245-$AN245)&amp;IF($G245-$AN245=1," día"," días")&amp;" de retraso","Cumplida"),IF(N($M245)&gt;=1,"Cumplida",IF(NOT(ISNUMBER($AN245)),"Sin fecha límite",IF($AN245&lt;FechaRef,"Vencida hace "&amp;(FechaRef-$AN245)&amp;IF(FechaRef-$AN245=1," día"," días"),IF($AN245=FechaRef,"Vence hoy",IF($AN245-FechaRef&lt;=DiasAlerta,"Vence en "&amp;($AN245-FechaRef)&amp;IF($AN245-FechaRef=1," día"," días"),"En plazo"))))))))</f>
        <v/>
      </c>
      <c r="P245" s="62">
        <f>IF(NOT((COUNTA($B245:$D245)+COUNTA($G245:$L245)+COUNTA($Q245))&gt;0),"",IF($D245="","Propia",IF($V245&lt;&gt;"Macro","Solo se delegan macroactividades",IF(N($AH245)&gt;0,"✔ Recibida por "&amp;$D245,"⚠ "&amp;$D245&amp;" aún no la agrega"))))</f>
        <v/>
      </c>
      <c r="Q245" s="58" t="n"/>
      <c r="R245" s="63">
        <f>IF(NOT((COUNTA($B245:$D245)+COUNTA($G245:$L245)+COUNTA($Q245))&gt;0),"",IF((IF($C245="","Falta el nombre de la actividad"&amp;" · ","")&amp;IF(AND($V245="Sub",N($U245)=0),"Subactividad sin macroactividad arriba"&amp;" · ","")&amp;IF($AM245="","Sin fecha de inicio"&amp;" · ","")&amp;IF($AN245="","Sin fecha límite"&amp;" · ","")&amp;IF(AND(LEFT($C245,11)="[Jefatura] ",N($AL245)=0),"No se encuentra en la hoja de la jefatura (elíjala de nuevo en la lista)"&amp;" · ","")&amp;IF(OR(AND($E245&lt;&gt;"",NOT(ISNUMBER($E245))),AND($F245&lt;&gt;"",NOT(ISNUMBER($F245))),AND($G245&lt;&gt;"",NOT(ISNUMBER($G245)))),"Fecha no válida"&amp;" · ","")&amp;IF(AND(ISNUMBER($AM245),ISNUMBER($AN245),$AM245&gt;$AN245),"Inicio posterior a fecha límite"&amp;" · ","")&amp;IF(AND($V245="Macro",$H245&lt;&gt;"",OR(NOT(ISNUMBER($H245)),$H245&lt;0,$H245&gt;1)),"Peso fuera de rango"&amp;" · ","")&amp;IF(AND($V245="Sub",$H245&lt;&gt;""),"Las subactividades no llevan peso (valen igual dentro de su macroactividad)"&amp;" · ","")&amp;IF(AND(N($W245)&gt;0,COUNT($I245:$L245)&gt;0),"Con subactividades: deje vacías las semanas (se calculan solas)"&amp;" · ","")&amp;IF((COUNTIF($I245:$L245,"&gt;1")+COUNTIF($I245:$L245,"&lt;0")+COUNTA($I245:$L245)-COUNT($I245:$L245))&gt;0,"Avance fuera de rango 0-100%"&amp;" · ","")&amp;IF(OR(AND($J245&lt;&gt;"",$J245&lt;$I245),AND($K245&lt;&gt;"",$K245&lt;MAX($I245:$J245)),AND($L245&lt;&gt;"",$L245&lt;MAX($I245:$K245))),"Avance semanal decreciente"&amp;" · ","")&amp;IF(AND(ISNUMBER($AN245),$AN245&lt;FechaRef,IF($V245="Sub",N($X245),N($M245))&lt;1),"Vencida"&amp;" · ","")&amp;IF(AND(ObsObligatoria="Sí",ISNUMBER($AN245),$AN245&lt;FechaRef,IF($V245="Sub",N($X245),N($M245))&lt;1,$Q245=""),"Vencida sin observación"&amp;" · ",""))="","✔ OK","⚠ "&amp;LEFT(IF($C245="","Falta el nombre de la actividad"&amp;" · ","")&amp;IF(AND($V245="Sub",N($U245)=0),"Subactividad sin macroactividad arriba"&amp;" · ","")&amp;IF($AM245="","Sin fecha de inicio"&amp;" · ","")&amp;IF($AN245="","Sin fecha límite"&amp;" · ","")&amp;IF(AND(LEFT($C245,11)="[Jefatura] ",N($AL245)=0),"No se encuentra en la hoja de la jefatura (elíjala de nuevo en la lista)"&amp;" · ","")&amp;IF(OR(AND($E245&lt;&gt;"",NOT(ISNUMBER($E245))),AND($F245&lt;&gt;"",NOT(ISNUMBER($F245))),AND($G245&lt;&gt;"",NOT(ISNUMBER($G245)))),"Fecha no válida"&amp;" · ","")&amp;IF(AND(ISNUMBER($AM245),ISNUMBER($AN245),$AM245&gt;$AN245),"Inicio posterior a fecha límite"&amp;" · ","")&amp;IF(AND($V245="Macro",$H245&lt;&gt;"",OR(NOT(ISNUMBER($H245)),$H245&lt;0,$H245&gt;1)),"Peso fuera de rango"&amp;" · ","")&amp;IF(AND($V245="Sub",$H245&lt;&gt;""),"Las subactividades no llevan peso (valen igual dentro de su macroactividad)"&amp;" · ","")&amp;IF(AND(N($W245)&gt;0,COUNT($I245:$L245)&gt;0),"Con subactividades: deje vacías las semanas (se calculan solas)"&amp;" · ","")&amp;IF((COUNTIF($I245:$L245,"&gt;1")+COUNTIF($I245:$L245,"&lt;0")+COUNTA($I245:$L245)-COUNT($I245:$L245))&gt;0,"Avance fuera de rango 0-100%"&amp;" · ","")&amp;IF(OR(AND($J245&lt;&gt;"",$J245&lt;$I245),AND($K245&lt;&gt;"",$K245&lt;MAX($I245:$J245)),AND($L245&lt;&gt;"",$L245&lt;MAX($I245:$K245))),"Avance semanal decreciente"&amp;" · ","")&amp;IF(AND(ISNUMBER($AN245),$AN245&lt;FechaRef,IF($V245="Sub",N($X245),N($M245))&lt;1),"Vencida"&amp;" · ","")&amp;IF(AND(ObsObligatoria="Sí",ISNUMBER($AN245),$AN245&lt;FechaRef,IF($V245="Sub",N($X245),N($M245))&lt;1,$Q245=""),"Vencida sin observación"&amp;" · ",""),LEN(IF($C245="","Falta el nombre de la actividad"&amp;" · ","")&amp;IF(AND($V245="Sub",N($U245)=0),"Subactividad sin macroactividad arriba"&amp;" · ","")&amp;IF($AM245="","Sin fecha de inicio"&amp;" · ","")&amp;IF($AN245="","Sin fecha límite"&amp;" · ","")&amp;IF(AND(LEFT($C245,11)="[Jefatura] ",N($AL245)=0),"No se encuentra en la hoja de la jefatura (elíjala de nuevo en la lista)"&amp;" · ","")&amp;IF(OR(AND($E245&lt;&gt;"",NOT(ISNUMBER($E245))),AND($F245&lt;&gt;"",NOT(ISNUMBER($F245))),AND($G245&lt;&gt;"",NOT(ISNUMBER($G245)))),"Fecha no válida"&amp;" · ","")&amp;IF(AND(ISNUMBER($AM245),ISNUMBER($AN245),$AM245&gt;$AN245),"Inicio posterior a fecha límite"&amp;" · ","")&amp;IF(AND($V245="Macro",$H245&lt;&gt;"",OR(NOT(ISNUMBER($H245)),$H245&lt;0,$H245&gt;1)),"Peso fuera de rango"&amp;" · ","")&amp;IF(AND($V245="Sub",$H245&lt;&gt;""),"Las subactividades no llevan peso (valen igual dentro de su macroactividad)"&amp;" · ","")&amp;IF(AND(N($W245)&gt;0,COUNT($I245:$L245)&gt;0),"Con subactividades: deje vacías las semanas (se calculan solas)"&amp;" · ","")&amp;IF((COUNTIF($I245:$L245,"&gt;1")+COUNTIF($I245:$L245,"&lt;0")+COUNTA($I245:$L245)-COUNT($I245:$L245))&gt;0,"Avance fuera de rango 0-100%"&amp;" · ","")&amp;IF(OR(AND($J245&lt;&gt;"",$J245&lt;$I245),AND($K245&lt;&gt;"",$K245&lt;MAX($I245:$J245)),AND($L245&lt;&gt;"",$L245&lt;MAX($I245:$K245))),"Avance semanal decreciente"&amp;" · ","")&amp;IF(AND(ISNUMBER($AN245),$AN245&lt;FechaRef,IF($V245="Sub",N($X245),N($M245))&lt;1),"Vencida"&amp;" · ","")&amp;IF(AND(ObsObligatoria="Sí",ISNUMBER($AN245),$AN245&lt;FechaRef,IF($V245="Sub",N($X245),N($M245))&lt;1,$Q245=""),"Vencida sin observación"&amp;" · ",""))-3)))</f>
        <v/>
      </c>
      <c r="S245" s="64">
        <f>IF(NOT((COUNTA($B245:$D245)+COUNTA($G245:$L245)+COUNTA($Q245))&gt;0),"",IF(AND($V245="Sub",N($U245)&gt;0),IF(ISNUMBER(INDEX($AM$5:$AM$1000,$U245-4)),DATE(YEAR(INDEX($AM$5:$AM$1000,$U245-4)),MONTH(INDEX($AM$5:$AM$1000,$U245-4)),1),IF(ISNUMBER(INDEX($AN$5:$AN$1000,$U245-4)),DATE(YEAR(INDEX($AN$5:$AN$1000,$U245-4)),MONTH(INDEX($AN$5:$AN$1000,$U245-4)),1),MesCiclo)),IF(ISNUMBER($AM245),DATE(YEAR($AM245),MONTH($AM245),1),IF(ISNUMBER($AN245),DATE(YEAR($AN245),MONTH($AN245),1),MesCiclo))))</f>
        <v/>
      </c>
      <c r="T245" s="62">
        <f>IF(OR($S245="",$S245&lt;&gt;MesCiclo,$V245&lt;&gt;"Macro"),"",COUNTIFS($S$5:$S245,MesCiclo,$V$5:$V245,"Macro"))</f>
        <v/>
      </c>
      <c r="U245" s="62">
        <f>IF($V245="","",IF($V245="Macro",ROW(),IFERROR(LOOKUP(2,1/($V$5:$V245="Macro"),ROW($V$5:$V245)),0)))</f>
        <v/>
      </c>
      <c r="V245" s="62">
        <f>IF(NOT((COUNTA($B245:$D245)+COUNTA($G245:$L245)+COUNTA($Q245))&gt;0),"",IF($B245="Subactividad","Sub","Macro"))</f>
        <v/>
      </c>
      <c r="W245" s="62">
        <f>IF($V245="Macro",COUNTIFS($U$5:$U$1000,ROW(),$V$5:$V$1000,"Sub"),"")</f>
        <v/>
      </c>
      <c r="X245" s="62">
        <f>IF($V245="","",IF(ISNUMBER($G245),1,IFERROR(LOOKUP(2,1/($I245:$L245&lt;&gt;""),$I245:$L245),0)))</f>
        <v/>
      </c>
      <c r="Y245" s="62">
        <f>IF($V245="","",IF(AND(ISNUMBER($G245),$G245&lt;=IF($S245=MesCiclo,InicioCiclo,$S245+MOD(2-WEEKDAY($S245),7))+6),1,IF(ISNUMBER($I245),$I245,0)))</f>
        <v/>
      </c>
      <c r="Z245" s="62">
        <f>IF($V245="","",IF(AND(ISNUMBER($G245),$G245&lt;=IF($S245=MesCiclo,InicioCiclo,$S245+MOD(2-WEEKDAY($S245),7))+13),1,IF(ISNUMBER($J245),$J245,$Y245)))</f>
        <v/>
      </c>
      <c r="AA245" s="62">
        <f>IF($V245="","",IF(AND(ISNUMBER($G245),$G245&lt;=IF($S245=MesCiclo,InicioCiclo,$S245+MOD(2-WEEKDAY($S245),7))+20),1,IF(ISNUMBER($K245),$K245,$Z245)))</f>
        <v/>
      </c>
      <c r="AB245" s="62">
        <f>IF($V245="","",IF(AND(ISNUMBER($G245),$G245&lt;=IF($S245=MesCiclo,InicioCiclo,$S245+MOD(2-WEEKDAY($S245),7))+27),1,IF(ISNUMBER($L245),$L245,$AA245)))</f>
        <v/>
      </c>
      <c r="AC245" s="62">
        <f>IF($V245="","",IF(AND(ISNUMBER($G245),$G245&lt;=IF($S245=MesCiclo,InicioCiclo,$S245+MOD(2-WEEKDAY($S245),7))+6),1,IF(N($W245)&gt;0,AVERAGEIFS($Y$5:$Y$1000,$U$5:$U$1000,ROW(),$V$5:$V$1000,"Sub"),$Y245)))</f>
        <v/>
      </c>
      <c r="AD245" s="62">
        <f>IF($V245="","",IF(AND(ISNUMBER($G245),$G245&lt;=IF($S245=MesCiclo,InicioCiclo,$S245+MOD(2-WEEKDAY($S245),7))+13),1,IF(N($W245)&gt;0,AVERAGEIFS($Z$5:$Z$1000,$U$5:$U$1000,ROW(),$V$5:$V$1000,"Sub"),$Z245)))</f>
        <v/>
      </c>
      <c r="AE245" s="62">
        <f>IF($V245="","",IF(AND(ISNUMBER($G245),$G245&lt;=IF($S245=MesCiclo,InicioCiclo,$S245+MOD(2-WEEKDAY($S245),7))+20),1,IF(N($W245)&gt;0,AVERAGEIFS($AA$5:$AA$1000,$U$5:$U$1000,ROW(),$V$5:$V$1000,"Sub"),$AA245)))</f>
        <v/>
      </c>
      <c r="AF245" s="62">
        <f>IF($V245="","",IF(AND(ISNUMBER($G245),$G245&lt;=IF($S245=MesCiclo,InicioCiclo,$S245+MOD(2-WEEKDAY($S245),7))+27),1,IF(N($W245)&gt;0,AVERAGEIFS($AB$5:$AB$1000,$U$5:$U$1000,ROW(),$V$5:$V$1000,"Sub"),$AB245)))</f>
        <v/>
      </c>
      <c r="AG245" s="62">
        <f>IF($V245&lt;&gt;"Macro","",IF(COUNTIFS($S$5:$S$1000,$S245,$V$5:$V$1000,"Macro",$H$5:$H$1000,"&gt;0")=0,1/COUNTIFS($S$5:$S$1000,$S245,$V$5:$V$1000,"Macro"),IF(AND(ISNUMBER($H245),N($H245)&gt;0),$H245,SUMIFS($H$5:$H$1000,$S$5:$S$1000,$S245,$V$5:$V$1000,"Macro")/COUNTIFS($S$5:$S$1000,$S245,$V$5:$V$1000,"Macro",$H$5:$H$1000,"&gt;0"))/(COUNTIFS($S$5:$S$1000,$S245,$V$5:$V$1000,"Macro")*SUMIFS($H$5:$H$1000,$S$5:$S$1000,$S245,$V$5:$V$1000,"Macro")/COUNTIFS($S$5:$S$1000,$S245,$V$5:$V$1000,"Macro",$H$5:$H$1000,"&gt;0"))))</f>
        <v/>
      </c>
      <c r="AH245" s="62">
        <f>IF(NOT(AND($D245&lt;&gt;"",$V245="Macro")),"",IFERROR(CHOOSE(MATCH($D245,ListaPuestos,0),MATCH("[Jefatura] "&amp;$C245,'Cronograma R. Operacional'!$C$5:$C$1000,0),MATCH("[Jefatura] "&amp;$C245,'Cronograma R. Normativo'!$C$5:$C$1000,0),MATCH("[Jefatura] "&amp;$C245,'Cronograma R. Financiero'!$C$5:$C$1000,0),MATCH("[Jefatura] "&amp;$C245,'Cronograma Asistente Técnico'!$C$5:$C$1000,0)),0))</f>
        <v/>
      </c>
      <c r="AI245" s="62">
        <f>IF(AND(AND($D245&lt;&gt;"",$V245="Macro"),$S245=MesCiclo),COUNTIFS($D$5:$D245,$D245,$S$5:$S245,MesCiclo,$V$5:$V245,"Macro"),"")</f>
        <v/>
      </c>
      <c r="AJ245" s="62">
        <f>IF($AI245="","",$D245&amp;"|"&amp;$AI245)</f>
        <v/>
      </c>
      <c r="AK245" s="62">
        <f>IF(AND($D245&lt;&gt;"",$V245="Macro"),$D245&amp;"|"&amp;$C245,"")</f>
        <v/>
      </c>
      <c r="AL245" s="62">
        <f>""</f>
        <v/>
      </c>
      <c r="AM245" s="62">
        <f>IF(N($AL245)&gt;0,INDEX(rIni_ADM,$AL245),IF(ISNUMBER($E245),$E245,""))</f>
        <v/>
      </c>
      <c r="AN245" s="62">
        <f>IF(N($AL245)&gt;0,INDEX(rLim_ADM,$AL245),IF(ISNUMBER($F245),$F245,""))</f>
        <v/>
      </c>
    </row>
    <row r="246">
      <c r="A246" s="56">
        <f>IF(NOT((COUNTA($B246:$D246)+COUNTA($G246:$L246)+COUNTA($Q246))&gt;0),"",IF($V246="Macro",COUNTIFS($V$5:$V246,"Macro",$S$5:$S246,$S246),IF(N($U246)=0,"?",COUNTIFS(INDEX($V$5:$V$1000,1):INDEX($V$5:$V$1000,$U246-4),"Macro",INDEX($S$5:$S$1000,1):INDEX($S$5:$S$1000,$U246-4),INDEX($S$5:$S$1000,$U246-4))&amp;"."&amp;COUNTIFS($U$5:$U246,$U246,$V$5:$V246,"Sub"))))</f>
        <v/>
      </c>
      <c r="B246" s="57" t="n"/>
      <c r="C246" s="58" t="n"/>
      <c r="D246" s="58" t="n"/>
      <c r="E246" s="59" t="n"/>
      <c r="F246" s="59" t="n"/>
      <c r="G246" s="59" t="n"/>
      <c r="H246" s="60" t="n"/>
      <c r="I246" s="60" t="n"/>
      <c r="J246" s="60" t="n"/>
      <c r="K246" s="60" t="n"/>
      <c r="L246" s="60" t="n"/>
      <c r="M246" s="61">
        <f>IF(NOT((COUNTA($B246:$D246)+COUNTA($G246:$L246)+COUNTA($Q246))&gt;0),"",IF(AND($D246&lt;&gt;"",$V246="Macro"),IF(N($AH246)&gt;0,N(CHOOSE(MATCH($D246,ListaPuestos,0),INDEX('Cronograma R. Operacional'!$M$5:$M$1000,$AH246),INDEX('Cronograma R. Normativo'!$M$5:$M$1000,$AH246),INDEX('Cronograma R. Financiero'!$M$5:$M$1000,$AH246),INDEX('Cronograma Asistente Técnico'!$M$5:$M$1000,$AH246))),0),IF(ISNUMBER($G246),1,IF(N($W246)&gt;0,AVERAGEIFS($X$5:$X$1000,$U$5:$U$1000,ROW(),$V$5:$V$1000,"Sub"),$X246))))</f>
        <v/>
      </c>
      <c r="N246" s="56">
        <f>IF(OR($M246="",$V246="Sub"),"",IF($M246&gt;=1,"Completado",IF($M246&gt;0,"En curso","Pendiente")))</f>
        <v/>
      </c>
      <c r="O246" s="56">
        <f>IF(NOT((COUNTA($B246:$D246)+COUNTA($G246:$L246)+COUNTA($Q246))&gt;0),"",IF(AND(AND($D246&lt;&gt;"",$V246="Macro"),N($AH246)&gt;0),CHOOSE(MATCH($D246,ListaPuestos,0),INDEX('Cronograma R. Operacional'!$O$5:$O$1000,$AH246),INDEX('Cronograma R. Normativo'!$O$5:$O$1000,$AH246),INDEX('Cronograma R. Financiero'!$O$5:$O$1000,$AH246),INDEX('Cronograma Asistente Técnico'!$O$5:$O$1000,$AH246))&amp;"",IF(ISNUMBER($G246),IF(AND(ISNUMBER($AN246),$G246&gt;$AN246),"Cumplida con "&amp;($G246-$AN246)&amp;IF($G246-$AN246=1," día"," días")&amp;" de retraso","Cumplida"),IF(N($M246)&gt;=1,"Cumplida",IF(NOT(ISNUMBER($AN246)),"Sin fecha límite",IF($AN246&lt;FechaRef,"Vencida hace "&amp;(FechaRef-$AN246)&amp;IF(FechaRef-$AN246=1," día"," días"),IF($AN246=FechaRef,"Vence hoy",IF($AN246-FechaRef&lt;=DiasAlerta,"Vence en "&amp;($AN246-FechaRef)&amp;IF($AN246-FechaRef=1," día"," días"),"En plazo"))))))))</f>
        <v/>
      </c>
      <c r="P246" s="62">
        <f>IF(NOT((COUNTA($B246:$D246)+COUNTA($G246:$L246)+COUNTA($Q246))&gt;0),"",IF($D246="","Propia",IF($V246&lt;&gt;"Macro","Solo se delegan macroactividades",IF(N($AH246)&gt;0,"✔ Recibida por "&amp;$D246,"⚠ "&amp;$D246&amp;" aún no la agrega"))))</f>
        <v/>
      </c>
      <c r="Q246" s="58" t="n"/>
      <c r="R246" s="63">
        <f>IF(NOT((COUNTA($B246:$D246)+COUNTA($G246:$L246)+COUNTA($Q246))&gt;0),"",IF((IF($C246="","Falta el nombre de la actividad"&amp;" · ","")&amp;IF(AND($V246="Sub",N($U246)=0),"Subactividad sin macroactividad arriba"&amp;" · ","")&amp;IF($AM246="","Sin fecha de inicio"&amp;" · ","")&amp;IF($AN246="","Sin fecha límite"&amp;" · ","")&amp;IF(AND(LEFT($C246,11)="[Jefatura] ",N($AL246)=0),"No se encuentra en la hoja de la jefatura (elíjala de nuevo en la lista)"&amp;" · ","")&amp;IF(OR(AND($E246&lt;&gt;"",NOT(ISNUMBER($E246))),AND($F246&lt;&gt;"",NOT(ISNUMBER($F246))),AND($G246&lt;&gt;"",NOT(ISNUMBER($G246)))),"Fecha no válida"&amp;" · ","")&amp;IF(AND(ISNUMBER($AM246),ISNUMBER($AN246),$AM246&gt;$AN246),"Inicio posterior a fecha límite"&amp;" · ","")&amp;IF(AND($V246="Macro",$H246&lt;&gt;"",OR(NOT(ISNUMBER($H246)),$H246&lt;0,$H246&gt;1)),"Peso fuera de rango"&amp;" · ","")&amp;IF(AND($V246="Sub",$H246&lt;&gt;""),"Las subactividades no llevan peso (valen igual dentro de su macroactividad)"&amp;" · ","")&amp;IF(AND(N($W246)&gt;0,COUNT($I246:$L246)&gt;0),"Con subactividades: deje vacías las semanas (se calculan solas)"&amp;" · ","")&amp;IF((COUNTIF($I246:$L246,"&gt;1")+COUNTIF($I246:$L246,"&lt;0")+COUNTA($I246:$L246)-COUNT($I246:$L246))&gt;0,"Avance fuera de rango 0-100%"&amp;" · ","")&amp;IF(OR(AND($J246&lt;&gt;"",$J246&lt;$I246),AND($K246&lt;&gt;"",$K246&lt;MAX($I246:$J246)),AND($L246&lt;&gt;"",$L246&lt;MAX($I246:$K246))),"Avance semanal decreciente"&amp;" · ","")&amp;IF(AND(ISNUMBER($AN246),$AN246&lt;FechaRef,IF($V246="Sub",N($X246),N($M246))&lt;1),"Vencida"&amp;" · ","")&amp;IF(AND(ObsObligatoria="Sí",ISNUMBER($AN246),$AN246&lt;FechaRef,IF($V246="Sub",N($X246),N($M246))&lt;1,$Q246=""),"Vencida sin observación"&amp;" · ",""))="","✔ OK","⚠ "&amp;LEFT(IF($C246="","Falta el nombre de la actividad"&amp;" · ","")&amp;IF(AND($V246="Sub",N($U246)=0),"Subactividad sin macroactividad arriba"&amp;" · ","")&amp;IF($AM246="","Sin fecha de inicio"&amp;" · ","")&amp;IF($AN246="","Sin fecha límite"&amp;" · ","")&amp;IF(AND(LEFT($C246,11)="[Jefatura] ",N($AL246)=0),"No se encuentra en la hoja de la jefatura (elíjala de nuevo en la lista)"&amp;" · ","")&amp;IF(OR(AND($E246&lt;&gt;"",NOT(ISNUMBER($E246))),AND($F246&lt;&gt;"",NOT(ISNUMBER($F246))),AND($G246&lt;&gt;"",NOT(ISNUMBER($G246)))),"Fecha no válida"&amp;" · ","")&amp;IF(AND(ISNUMBER($AM246),ISNUMBER($AN246),$AM246&gt;$AN246),"Inicio posterior a fecha límite"&amp;" · ","")&amp;IF(AND($V246="Macro",$H246&lt;&gt;"",OR(NOT(ISNUMBER($H246)),$H246&lt;0,$H246&gt;1)),"Peso fuera de rango"&amp;" · ","")&amp;IF(AND($V246="Sub",$H246&lt;&gt;""),"Las subactividades no llevan peso (valen igual dentro de su macroactividad)"&amp;" · ","")&amp;IF(AND(N($W246)&gt;0,COUNT($I246:$L246)&gt;0),"Con subactividades: deje vacías las semanas (se calculan solas)"&amp;" · ","")&amp;IF((COUNTIF($I246:$L246,"&gt;1")+COUNTIF($I246:$L246,"&lt;0")+COUNTA($I246:$L246)-COUNT($I246:$L246))&gt;0,"Avance fuera de rango 0-100%"&amp;" · ","")&amp;IF(OR(AND($J246&lt;&gt;"",$J246&lt;$I246),AND($K246&lt;&gt;"",$K246&lt;MAX($I246:$J246)),AND($L246&lt;&gt;"",$L246&lt;MAX($I246:$K246))),"Avance semanal decreciente"&amp;" · ","")&amp;IF(AND(ISNUMBER($AN246),$AN246&lt;FechaRef,IF($V246="Sub",N($X246),N($M246))&lt;1),"Vencida"&amp;" · ","")&amp;IF(AND(ObsObligatoria="Sí",ISNUMBER($AN246),$AN246&lt;FechaRef,IF($V246="Sub",N($X246),N($M246))&lt;1,$Q246=""),"Vencida sin observación"&amp;" · ",""),LEN(IF($C246="","Falta el nombre de la actividad"&amp;" · ","")&amp;IF(AND($V246="Sub",N($U246)=0),"Subactividad sin macroactividad arriba"&amp;" · ","")&amp;IF($AM246="","Sin fecha de inicio"&amp;" · ","")&amp;IF($AN246="","Sin fecha límite"&amp;" · ","")&amp;IF(AND(LEFT($C246,11)="[Jefatura] ",N($AL246)=0),"No se encuentra en la hoja de la jefatura (elíjala de nuevo en la lista)"&amp;" · ","")&amp;IF(OR(AND($E246&lt;&gt;"",NOT(ISNUMBER($E246))),AND($F246&lt;&gt;"",NOT(ISNUMBER($F246))),AND($G246&lt;&gt;"",NOT(ISNUMBER($G246)))),"Fecha no válida"&amp;" · ","")&amp;IF(AND(ISNUMBER($AM246),ISNUMBER($AN246),$AM246&gt;$AN246),"Inicio posterior a fecha límite"&amp;" · ","")&amp;IF(AND($V246="Macro",$H246&lt;&gt;"",OR(NOT(ISNUMBER($H246)),$H246&lt;0,$H246&gt;1)),"Peso fuera de rango"&amp;" · ","")&amp;IF(AND($V246="Sub",$H246&lt;&gt;""),"Las subactividades no llevan peso (valen igual dentro de su macroactividad)"&amp;" · ","")&amp;IF(AND(N($W246)&gt;0,COUNT($I246:$L246)&gt;0),"Con subactividades: deje vacías las semanas (se calculan solas)"&amp;" · ","")&amp;IF((COUNTIF($I246:$L246,"&gt;1")+COUNTIF($I246:$L246,"&lt;0")+COUNTA($I246:$L246)-COUNT($I246:$L246))&gt;0,"Avance fuera de rango 0-100%"&amp;" · ","")&amp;IF(OR(AND($J246&lt;&gt;"",$J246&lt;$I246),AND($K246&lt;&gt;"",$K246&lt;MAX($I246:$J246)),AND($L246&lt;&gt;"",$L246&lt;MAX($I246:$K246))),"Avance semanal decreciente"&amp;" · ","")&amp;IF(AND(ISNUMBER($AN246),$AN246&lt;FechaRef,IF($V246="Sub",N($X246),N($M246))&lt;1),"Vencida"&amp;" · ","")&amp;IF(AND(ObsObligatoria="Sí",ISNUMBER($AN246),$AN246&lt;FechaRef,IF($V246="Sub",N($X246),N($M246))&lt;1,$Q246=""),"Vencida sin observación"&amp;" · ",""))-3)))</f>
        <v/>
      </c>
      <c r="S246" s="64">
        <f>IF(NOT((COUNTA($B246:$D246)+COUNTA($G246:$L246)+COUNTA($Q246))&gt;0),"",IF(AND($V246="Sub",N($U246)&gt;0),IF(ISNUMBER(INDEX($AM$5:$AM$1000,$U246-4)),DATE(YEAR(INDEX($AM$5:$AM$1000,$U246-4)),MONTH(INDEX($AM$5:$AM$1000,$U246-4)),1),IF(ISNUMBER(INDEX($AN$5:$AN$1000,$U246-4)),DATE(YEAR(INDEX($AN$5:$AN$1000,$U246-4)),MONTH(INDEX($AN$5:$AN$1000,$U246-4)),1),MesCiclo)),IF(ISNUMBER($AM246),DATE(YEAR($AM246),MONTH($AM246),1),IF(ISNUMBER($AN246),DATE(YEAR($AN246),MONTH($AN246),1),MesCiclo))))</f>
        <v/>
      </c>
      <c r="T246" s="62">
        <f>IF(OR($S246="",$S246&lt;&gt;MesCiclo,$V246&lt;&gt;"Macro"),"",COUNTIFS($S$5:$S246,MesCiclo,$V$5:$V246,"Macro"))</f>
        <v/>
      </c>
      <c r="U246" s="62">
        <f>IF($V246="","",IF($V246="Macro",ROW(),IFERROR(LOOKUP(2,1/($V$5:$V246="Macro"),ROW($V$5:$V246)),0)))</f>
        <v/>
      </c>
      <c r="V246" s="62">
        <f>IF(NOT((COUNTA($B246:$D246)+COUNTA($G246:$L246)+COUNTA($Q246))&gt;0),"",IF($B246="Subactividad","Sub","Macro"))</f>
        <v/>
      </c>
      <c r="W246" s="62">
        <f>IF($V246="Macro",COUNTIFS($U$5:$U$1000,ROW(),$V$5:$V$1000,"Sub"),"")</f>
        <v/>
      </c>
      <c r="X246" s="62">
        <f>IF($V246="","",IF(ISNUMBER($G246),1,IFERROR(LOOKUP(2,1/($I246:$L246&lt;&gt;""),$I246:$L246),0)))</f>
        <v/>
      </c>
      <c r="Y246" s="62">
        <f>IF($V246="","",IF(AND(ISNUMBER($G246),$G246&lt;=IF($S246=MesCiclo,InicioCiclo,$S246+MOD(2-WEEKDAY($S246),7))+6),1,IF(ISNUMBER($I246),$I246,0)))</f>
        <v/>
      </c>
      <c r="Z246" s="62">
        <f>IF($V246="","",IF(AND(ISNUMBER($G246),$G246&lt;=IF($S246=MesCiclo,InicioCiclo,$S246+MOD(2-WEEKDAY($S246),7))+13),1,IF(ISNUMBER($J246),$J246,$Y246)))</f>
        <v/>
      </c>
      <c r="AA246" s="62">
        <f>IF($V246="","",IF(AND(ISNUMBER($G246),$G246&lt;=IF($S246=MesCiclo,InicioCiclo,$S246+MOD(2-WEEKDAY($S246),7))+20),1,IF(ISNUMBER($K246),$K246,$Z246)))</f>
        <v/>
      </c>
      <c r="AB246" s="62">
        <f>IF($V246="","",IF(AND(ISNUMBER($G246),$G246&lt;=IF($S246=MesCiclo,InicioCiclo,$S246+MOD(2-WEEKDAY($S246),7))+27),1,IF(ISNUMBER($L246),$L246,$AA246)))</f>
        <v/>
      </c>
      <c r="AC246" s="62">
        <f>IF($V246="","",IF(AND(ISNUMBER($G246),$G246&lt;=IF($S246=MesCiclo,InicioCiclo,$S246+MOD(2-WEEKDAY($S246),7))+6),1,IF(N($W246)&gt;0,AVERAGEIFS($Y$5:$Y$1000,$U$5:$U$1000,ROW(),$V$5:$V$1000,"Sub"),$Y246)))</f>
        <v/>
      </c>
      <c r="AD246" s="62">
        <f>IF($V246="","",IF(AND(ISNUMBER($G246),$G246&lt;=IF($S246=MesCiclo,InicioCiclo,$S246+MOD(2-WEEKDAY($S246),7))+13),1,IF(N($W246)&gt;0,AVERAGEIFS($Z$5:$Z$1000,$U$5:$U$1000,ROW(),$V$5:$V$1000,"Sub"),$Z246)))</f>
        <v/>
      </c>
      <c r="AE246" s="62">
        <f>IF($V246="","",IF(AND(ISNUMBER($G246),$G246&lt;=IF($S246=MesCiclo,InicioCiclo,$S246+MOD(2-WEEKDAY($S246),7))+20),1,IF(N($W246)&gt;0,AVERAGEIFS($AA$5:$AA$1000,$U$5:$U$1000,ROW(),$V$5:$V$1000,"Sub"),$AA246)))</f>
        <v/>
      </c>
      <c r="AF246" s="62">
        <f>IF($V246="","",IF(AND(ISNUMBER($G246),$G246&lt;=IF($S246=MesCiclo,InicioCiclo,$S246+MOD(2-WEEKDAY($S246),7))+27),1,IF(N($W246)&gt;0,AVERAGEIFS($AB$5:$AB$1000,$U$5:$U$1000,ROW(),$V$5:$V$1000,"Sub"),$AB246)))</f>
        <v/>
      </c>
      <c r="AG246" s="62">
        <f>IF($V246&lt;&gt;"Macro","",IF(COUNTIFS($S$5:$S$1000,$S246,$V$5:$V$1000,"Macro",$H$5:$H$1000,"&gt;0")=0,1/COUNTIFS($S$5:$S$1000,$S246,$V$5:$V$1000,"Macro"),IF(AND(ISNUMBER($H246),N($H246)&gt;0),$H246,SUMIFS($H$5:$H$1000,$S$5:$S$1000,$S246,$V$5:$V$1000,"Macro")/COUNTIFS($S$5:$S$1000,$S246,$V$5:$V$1000,"Macro",$H$5:$H$1000,"&gt;0"))/(COUNTIFS($S$5:$S$1000,$S246,$V$5:$V$1000,"Macro")*SUMIFS($H$5:$H$1000,$S$5:$S$1000,$S246,$V$5:$V$1000,"Macro")/COUNTIFS($S$5:$S$1000,$S246,$V$5:$V$1000,"Macro",$H$5:$H$1000,"&gt;0"))))</f>
        <v/>
      </c>
      <c r="AH246" s="62">
        <f>IF(NOT(AND($D246&lt;&gt;"",$V246="Macro")),"",IFERROR(CHOOSE(MATCH($D246,ListaPuestos,0),MATCH("[Jefatura] "&amp;$C246,'Cronograma R. Operacional'!$C$5:$C$1000,0),MATCH("[Jefatura] "&amp;$C246,'Cronograma R. Normativo'!$C$5:$C$1000,0),MATCH("[Jefatura] "&amp;$C246,'Cronograma R. Financiero'!$C$5:$C$1000,0),MATCH("[Jefatura] "&amp;$C246,'Cronograma Asistente Técnico'!$C$5:$C$1000,0)),0))</f>
        <v/>
      </c>
      <c r="AI246" s="62">
        <f>IF(AND(AND($D246&lt;&gt;"",$V246="Macro"),$S246=MesCiclo),COUNTIFS($D$5:$D246,$D246,$S$5:$S246,MesCiclo,$V$5:$V246,"Macro"),"")</f>
        <v/>
      </c>
      <c r="AJ246" s="62">
        <f>IF($AI246="","",$D246&amp;"|"&amp;$AI246)</f>
        <v/>
      </c>
      <c r="AK246" s="62">
        <f>IF(AND($D246&lt;&gt;"",$V246="Macro"),$D246&amp;"|"&amp;$C246,"")</f>
        <v/>
      </c>
      <c r="AL246" s="62">
        <f>""</f>
        <v/>
      </c>
      <c r="AM246" s="62">
        <f>IF(N($AL246)&gt;0,INDEX(rIni_ADM,$AL246),IF(ISNUMBER($E246),$E246,""))</f>
        <v/>
      </c>
      <c r="AN246" s="62">
        <f>IF(N($AL246)&gt;0,INDEX(rLim_ADM,$AL246),IF(ISNUMBER($F246),$F246,""))</f>
        <v/>
      </c>
    </row>
    <row r="247">
      <c r="A247" s="56">
        <f>IF(NOT((COUNTA($B247:$D247)+COUNTA($G247:$L247)+COUNTA($Q247))&gt;0),"",IF($V247="Macro",COUNTIFS($V$5:$V247,"Macro",$S$5:$S247,$S247),IF(N($U247)=0,"?",COUNTIFS(INDEX($V$5:$V$1000,1):INDEX($V$5:$V$1000,$U247-4),"Macro",INDEX($S$5:$S$1000,1):INDEX($S$5:$S$1000,$U247-4),INDEX($S$5:$S$1000,$U247-4))&amp;"."&amp;COUNTIFS($U$5:$U247,$U247,$V$5:$V247,"Sub"))))</f>
        <v/>
      </c>
      <c r="B247" s="57" t="n"/>
      <c r="C247" s="58" t="n"/>
      <c r="D247" s="58" t="n"/>
      <c r="E247" s="59" t="n"/>
      <c r="F247" s="59" t="n"/>
      <c r="G247" s="59" t="n"/>
      <c r="H247" s="60" t="n"/>
      <c r="I247" s="60" t="n"/>
      <c r="J247" s="60" t="n"/>
      <c r="K247" s="60" t="n"/>
      <c r="L247" s="60" t="n"/>
      <c r="M247" s="61">
        <f>IF(NOT((COUNTA($B247:$D247)+COUNTA($G247:$L247)+COUNTA($Q247))&gt;0),"",IF(AND($D247&lt;&gt;"",$V247="Macro"),IF(N($AH247)&gt;0,N(CHOOSE(MATCH($D247,ListaPuestos,0),INDEX('Cronograma R. Operacional'!$M$5:$M$1000,$AH247),INDEX('Cronograma R. Normativo'!$M$5:$M$1000,$AH247),INDEX('Cronograma R. Financiero'!$M$5:$M$1000,$AH247),INDEX('Cronograma Asistente Técnico'!$M$5:$M$1000,$AH247))),0),IF(ISNUMBER($G247),1,IF(N($W247)&gt;0,AVERAGEIFS($X$5:$X$1000,$U$5:$U$1000,ROW(),$V$5:$V$1000,"Sub"),$X247))))</f>
        <v/>
      </c>
      <c r="N247" s="56">
        <f>IF(OR($M247="",$V247="Sub"),"",IF($M247&gt;=1,"Completado",IF($M247&gt;0,"En curso","Pendiente")))</f>
        <v/>
      </c>
      <c r="O247" s="56">
        <f>IF(NOT((COUNTA($B247:$D247)+COUNTA($G247:$L247)+COUNTA($Q247))&gt;0),"",IF(AND(AND($D247&lt;&gt;"",$V247="Macro"),N($AH247)&gt;0),CHOOSE(MATCH($D247,ListaPuestos,0),INDEX('Cronograma R. Operacional'!$O$5:$O$1000,$AH247),INDEX('Cronograma R. Normativo'!$O$5:$O$1000,$AH247),INDEX('Cronograma R. Financiero'!$O$5:$O$1000,$AH247),INDEX('Cronograma Asistente Técnico'!$O$5:$O$1000,$AH247))&amp;"",IF(ISNUMBER($G247),IF(AND(ISNUMBER($AN247),$G247&gt;$AN247),"Cumplida con "&amp;($G247-$AN247)&amp;IF($G247-$AN247=1," día"," días")&amp;" de retraso","Cumplida"),IF(N($M247)&gt;=1,"Cumplida",IF(NOT(ISNUMBER($AN247)),"Sin fecha límite",IF($AN247&lt;FechaRef,"Vencida hace "&amp;(FechaRef-$AN247)&amp;IF(FechaRef-$AN247=1," día"," días"),IF($AN247=FechaRef,"Vence hoy",IF($AN247-FechaRef&lt;=DiasAlerta,"Vence en "&amp;($AN247-FechaRef)&amp;IF($AN247-FechaRef=1," día"," días"),"En plazo"))))))))</f>
        <v/>
      </c>
      <c r="P247" s="62">
        <f>IF(NOT((COUNTA($B247:$D247)+COUNTA($G247:$L247)+COUNTA($Q247))&gt;0),"",IF($D247="","Propia",IF($V247&lt;&gt;"Macro","Solo se delegan macroactividades",IF(N($AH247)&gt;0,"✔ Recibida por "&amp;$D247,"⚠ "&amp;$D247&amp;" aún no la agrega"))))</f>
        <v/>
      </c>
      <c r="Q247" s="58" t="n"/>
      <c r="R247" s="63">
        <f>IF(NOT((COUNTA($B247:$D247)+COUNTA($G247:$L247)+COUNTA($Q247))&gt;0),"",IF((IF($C247="","Falta el nombre de la actividad"&amp;" · ","")&amp;IF(AND($V247="Sub",N($U247)=0),"Subactividad sin macroactividad arriba"&amp;" · ","")&amp;IF($AM247="","Sin fecha de inicio"&amp;" · ","")&amp;IF($AN247="","Sin fecha límite"&amp;" · ","")&amp;IF(AND(LEFT($C247,11)="[Jefatura] ",N($AL247)=0),"No se encuentra en la hoja de la jefatura (elíjala de nuevo en la lista)"&amp;" · ","")&amp;IF(OR(AND($E247&lt;&gt;"",NOT(ISNUMBER($E247))),AND($F247&lt;&gt;"",NOT(ISNUMBER($F247))),AND($G247&lt;&gt;"",NOT(ISNUMBER($G247)))),"Fecha no válida"&amp;" · ","")&amp;IF(AND(ISNUMBER($AM247),ISNUMBER($AN247),$AM247&gt;$AN247),"Inicio posterior a fecha límite"&amp;" · ","")&amp;IF(AND($V247="Macro",$H247&lt;&gt;"",OR(NOT(ISNUMBER($H247)),$H247&lt;0,$H247&gt;1)),"Peso fuera de rango"&amp;" · ","")&amp;IF(AND($V247="Sub",$H247&lt;&gt;""),"Las subactividades no llevan peso (valen igual dentro de su macroactividad)"&amp;" · ","")&amp;IF(AND(N($W247)&gt;0,COUNT($I247:$L247)&gt;0),"Con subactividades: deje vacías las semanas (se calculan solas)"&amp;" · ","")&amp;IF((COUNTIF($I247:$L247,"&gt;1")+COUNTIF($I247:$L247,"&lt;0")+COUNTA($I247:$L247)-COUNT($I247:$L247))&gt;0,"Avance fuera de rango 0-100%"&amp;" · ","")&amp;IF(OR(AND($J247&lt;&gt;"",$J247&lt;$I247),AND($K247&lt;&gt;"",$K247&lt;MAX($I247:$J247)),AND($L247&lt;&gt;"",$L247&lt;MAX($I247:$K247))),"Avance semanal decreciente"&amp;" · ","")&amp;IF(AND(ISNUMBER($AN247),$AN247&lt;FechaRef,IF($V247="Sub",N($X247),N($M247))&lt;1),"Vencida"&amp;" · ","")&amp;IF(AND(ObsObligatoria="Sí",ISNUMBER($AN247),$AN247&lt;FechaRef,IF($V247="Sub",N($X247),N($M247))&lt;1,$Q247=""),"Vencida sin observación"&amp;" · ",""))="","✔ OK","⚠ "&amp;LEFT(IF($C247="","Falta el nombre de la actividad"&amp;" · ","")&amp;IF(AND($V247="Sub",N($U247)=0),"Subactividad sin macroactividad arriba"&amp;" · ","")&amp;IF($AM247="","Sin fecha de inicio"&amp;" · ","")&amp;IF($AN247="","Sin fecha límite"&amp;" · ","")&amp;IF(AND(LEFT($C247,11)="[Jefatura] ",N($AL247)=0),"No se encuentra en la hoja de la jefatura (elíjala de nuevo en la lista)"&amp;" · ","")&amp;IF(OR(AND($E247&lt;&gt;"",NOT(ISNUMBER($E247))),AND($F247&lt;&gt;"",NOT(ISNUMBER($F247))),AND($G247&lt;&gt;"",NOT(ISNUMBER($G247)))),"Fecha no válida"&amp;" · ","")&amp;IF(AND(ISNUMBER($AM247),ISNUMBER($AN247),$AM247&gt;$AN247),"Inicio posterior a fecha límite"&amp;" · ","")&amp;IF(AND($V247="Macro",$H247&lt;&gt;"",OR(NOT(ISNUMBER($H247)),$H247&lt;0,$H247&gt;1)),"Peso fuera de rango"&amp;" · ","")&amp;IF(AND($V247="Sub",$H247&lt;&gt;""),"Las subactividades no llevan peso (valen igual dentro de su macroactividad)"&amp;" · ","")&amp;IF(AND(N($W247)&gt;0,COUNT($I247:$L247)&gt;0),"Con subactividades: deje vacías las semanas (se calculan solas)"&amp;" · ","")&amp;IF((COUNTIF($I247:$L247,"&gt;1")+COUNTIF($I247:$L247,"&lt;0")+COUNTA($I247:$L247)-COUNT($I247:$L247))&gt;0,"Avance fuera de rango 0-100%"&amp;" · ","")&amp;IF(OR(AND($J247&lt;&gt;"",$J247&lt;$I247),AND($K247&lt;&gt;"",$K247&lt;MAX($I247:$J247)),AND($L247&lt;&gt;"",$L247&lt;MAX($I247:$K247))),"Avance semanal decreciente"&amp;" · ","")&amp;IF(AND(ISNUMBER($AN247),$AN247&lt;FechaRef,IF($V247="Sub",N($X247),N($M247))&lt;1),"Vencida"&amp;" · ","")&amp;IF(AND(ObsObligatoria="Sí",ISNUMBER($AN247),$AN247&lt;FechaRef,IF($V247="Sub",N($X247),N($M247))&lt;1,$Q247=""),"Vencida sin observación"&amp;" · ",""),LEN(IF($C247="","Falta el nombre de la actividad"&amp;" · ","")&amp;IF(AND($V247="Sub",N($U247)=0),"Subactividad sin macroactividad arriba"&amp;" · ","")&amp;IF($AM247="","Sin fecha de inicio"&amp;" · ","")&amp;IF($AN247="","Sin fecha límite"&amp;" · ","")&amp;IF(AND(LEFT($C247,11)="[Jefatura] ",N($AL247)=0),"No se encuentra en la hoja de la jefatura (elíjala de nuevo en la lista)"&amp;" · ","")&amp;IF(OR(AND($E247&lt;&gt;"",NOT(ISNUMBER($E247))),AND($F247&lt;&gt;"",NOT(ISNUMBER($F247))),AND($G247&lt;&gt;"",NOT(ISNUMBER($G247)))),"Fecha no válida"&amp;" · ","")&amp;IF(AND(ISNUMBER($AM247),ISNUMBER($AN247),$AM247&gt;$AN247),"Inicio posterior a fecha límite"&amp;" · ","")&amp;IF(AND($V247="Macro",$H247&lt;&gt;"",OR(NOT(ISNUMBER($H247)),$H247&lt;0,$H247&gt;1)),"Peso fuera de rango"&amp;" · ","")&amp;IF(AND($V247="Sub",$H247&lt;&gt;""),"Las subactividades no llevan peso (valen igual dentro de su macroactividad)"&amp;" · ","")&amp;IF(AND(N($W247)&gt;0,COUNT($I247:$L247)&gt;0),"Con subactividades: deje vacías las semanas (se calculan solas)"&amp;" · ","")&amp;IF((COUNTIF($I247:$L247,"&gt;1")+COUNTIF($I247:$L247,"&lt;0")+COUNTA($I247:$L247)-COUNT($I247:$L247))&gt;0,"Avance fuera de rango 0-100%"&amp;" · ","")&amp;IF(OR(AND($J247&lt;&gt;"",$J247&lt;$I247),AND($K247&lt;&gt;"",$K247&lt;MAX($I247:$J247)),AND($L247&lt;&gt;"",$L247&lt;MAX($I247:$K247))),"Avance semanal decreciente"&amp;" · ","")&amp;IF(AND(ISNUMBER($AN247),$AN247&lt;FechaRef,IF($V247="Sub",N($X247),N($M247))&lt;1),"Vencida"&amp;" · ","")&amp;IF(AND(ObsObligatoria="Sí",ISNUMBER($AN247),$AN247&lt;FechaRef,IF($V247="Sub",N($X247),N($M247))&lt;1,$Q247=""),"Vencida sin observación"&amp;" · ",""))-3)))</f>
        <v/>
      </c>
      <c r="S247" s="64">
        <f>IF(NOT((COUNTA($B247:$D247)+COUNTA($G247:$L247)+COUNTA($Q247))&gt;0),"",IF(AND($V247="Sub",N($U247)&gt;0),IF(ISNUMBER(INDEX($AM$5:$AM$1000,$U247-4)),DATE(YEAR(INDEX($AM$5:$AM$1000,$U247-4)),MONTH(INDEX($AM$5:$AM$1000,$U247-4)),1),IF(ISNUMBER(INDEX($AN$5:$AN$1000,$U247-4)),DATE(YEAR(INDEX($AN$5:$AN$1000,$U247-4)),MONTH(INDEX($AN$5:$AN$1000,$U247-4)),1),MesCiclo)),IF(ISNUMBER($AM247),DATE(YEAR($AM247),MONTH($AM247),1),IF(ISNUMBER($AN247),DATE(YEAR($AN247),MONTH($AN247),1),MesCiclo))))</f>
        <v/>
      </c>
      <c r="T247" s="62">
        <f>IF(OR($S247="",$S247&lt;&gt;MesCiclo,$V247&lt;&gt;"Macro"),"",COUNTIFS($S$5:$S247,MesCiclo,$V$5:$V247,"Macro"))</f>
        <v/>
      </c>
      <c r="U247" s="62">
        <f>IF($V247="","",IF($V247="Macro",ROW(),IFERROR(LOOKUP(2,1/($V$5:$V247="Macro"),ROW($V$5:$V247)),0)))</f>
        <v/>
      </c>
      <c r="V247" s="62">
        <f>IF(NOT((COUNTA($B247:$D247)+COUNTA($G247:$L247)+COUNTA($Q247))&gt;0),"",IF($B247="Subactividad","Sub","Macro"))</f>
        <v/>
      </c>
      <c r="W247" s="62">
        <f>IF($V247="Macro",COUNTIFS($U$5:$U$1000,ROW(),$V$5:$V$1000,"Sub"),"")</f>
        <v/>
      </c>
      <c r="X247" s="62">
        <f>IF($V247="","",IF(ISNUMBER($G247),1,IFERROR(LOOKUP(2,1/($I247:$L247&lt;&gt;""),$I247:$L247),0)))</f>
        <v/>
      </c>
      <c r="Y247" s="62">
        <f>IF($V247="","",IF(AND(ISNUMBER($G247),$G247&lt;=IF($S247=MesCiclo,InicioCiclo,$S247+MOD(2-WEEKDAY($S247),7))+6),1,IF(ISNUMBER($I247),$I247,0)))</f>
        <v/>
      </c>
      <c r="Z247" s="62">
        <f>IF($V247="","",IF(AND(ISNUMBER($G247),$G247&lt;=IF($S247=MesCiclo,InicioCiclo,$S247+MOD(2-WEEKDAY($S247),7))+13),1,IF(ISNUMBER($J247),$J247,$Y247)))</f>
        <v/>
      </c>
      <c r="AA247" s="62">
        <f>IF($V247="","",IF(AND(ISNUMBER($G247),$G247&lt;=IF($S247=MesCiclo,InicioCiclo,$S247+MOD(2-WEEKDAY($S247),7))+20),1,IF(ISNUMBER($K247),$K247,$Z247)))</f>
        <v/>
      </c>
      <c r="AB247" s="62">
        <f>IF($V247="","",IF(AND(ISNUMBER($G247),$G247&lt;=IF($S247=MesCiclo,InicioCiclo,$S247+MOD(2-WEEKDAY($S247),7))+27),1,IF(ISNUMBER($L247),$L247,$AA247)))</f>
        <v/>
      </c>
      <c r="AC247" s="62">
        <f>IF($V247="","",IF(AND(ISNUMBER($G247),$G247&lt;=IF($S247=MesCiclo,InicioCiclo,$S247+MOD(2-WEEKDAY($S247),7))+6),1,IF(N($W247)&gt;0,AVERAGEIFS($Y$5:$Y$1000,$U$5:$U$1000,ROW(),$V$5:$V$1000,"Sub"),$Y247)))</f>
        <v/>
      </c>
      <c r="AD247" s="62">
        <f>IF($V247="","",IF(AND(ISNUMBER($G247),$G247&lt;=IF($S247=MesCiclo,InicioCiclo,$S247+MOD(2-WEEKDAY($S247),7))+13),1,IF(N($W247)&gt;0,AVERAGEIFS($Z$5:$Z$1000,$U$5:$U$1000,ROW(),$V$5:$V$1000,"Sub"),$Z247)))</f>
        <v/>
      </c>
      <c r="AE247" s="62">
        <f>IF($V247="","",IF(AND(ISNUMBER($G247),$G247&lt;=IF($S247=MesCiclo,InicioCiclo,$S247+MOD(2-WEEKDAY($S247),7))+20),1,IF(N($W247)&gt;0,AVERAGEIFS($AA$5:$AA$1000,$U$5:$U$1000,ROW(),$V$5:$V$1000,"Sub"),$AA247)))</f>
        <v/>
      </c>
      <c r="AF247" s="62">
        <f>IF($V247="","",IF(AND(ISNUMBER($G247),$G247&lt;=IF($S247=MesCiclo,InicioCiclo,$S247+MOD(2-WEEKDAY($S247),7))+27),1,IF(N($W247)&gt;0,AVERAGEIFS($AB$5:$AB$1000,$U$5:$U$1000,ROW(),$V$5:$V$1000,"Sub"),$AB247)))</f>
        <v/>
      </c>
      <c r="AG247" s="62">
        <f>IF($V247&lt;&gt;"Macro","",IF(COUNTIFS($S$5:$S$1000,$S247,$V$5:$V$1000,"Macro",$H$5:$H$1000,"&gt;0")=0,1/COUNTIFS($S$5:$S$1000,$S247,$V$5:$V$1000,"Macro"),IF(AND(ISNUMBER($H247),N($H247)&gt;0),$H247,SUMIFS($H$5:$H$1000,$S$5:$S$1000,$S247,$V$5:$V$1000,"Macro")/COUNTIFS($S$5:$S$1000,$S247,$V$5:$V$1000,"Macro",$H$5:$H$1000,"&gt;0"))/(COUNTIFS($S$5:$S$1000,$S247,$V$5:$V$1000,"Macro")*SUMIFS($H$5:$H$1000,$S$5:$S$1000,$S247,$V$5:$V$1000,"Macro")/COUNTIFS($S$5:$S$1000,$S247,$V$5:$V$1000,"Macro",$H$5:$H$1000,"&gt;0"))))</f>
        <v/>
      </c>
      <c r="AH247" s="62">
        <f>IF(NOT(AND($D247&lt;&gt;"",$V247="Macro")),"",IFERROR(CHOOSE(MATCH($D247,ListaPuestos,0),MATCH("[Jefatura] "&amp;$C247,'Cronograma R. Operacional'!$C$5:$C$1000,0),MATCH("[Jefatura] "&amp;$C247,'Cronograma R. Normativo'!$C$5:$C$1000,0),MATCH("[Jefatura] "&amp;$C247,'Cronograma R. Financiero'!$C$5:$C$1000,0),MATCH("[Jefatura] "&amp;$C247,'Cronograma Asistente Técnico'!$C$5:$C$1000,0)),0))</f>
        <v/>
      </c>
      <c r="AI247" s="62">
        <f>IF(AND(AND($D247&lt;&gt;"",$V247="Macro"),$S247=MesCiclo),COUNTIFS($D$5:$D247,$D247,$S$5:$S247,MesCiclo,$V$5:$V247,"Macro"),"")</f>
        <v/>
      </c>
      <c r="AJ247" s="62">
        <f>IF($AI247="","",$D247&amp;"|"&amp;$AI247)</f>
        <v/>
      </c>
      <c r="AK247" s="62">
        <f>IF(AND($D247&lt;&gt;"",$V247="Macro"),$D247&amp;"|"&amp;$C247,"")</f>
        <v/>
      </c>
      <c r="AL247" s="62">
        <f>""</f>
        <v/>
      </c>
      <c r="AM247" s="62">
        <f>IF(N($AL247)&gt;0,INDEX(rIni_ADM,$AL247),IF(ISNUMBER($E247),$E247,""))</f>
        <v/>
      </c>
      <c r="AN247" s="62">
        <f>IF(N($AL247)&gt;0,INDEX(rLim_ADM,$AL247),IF(ISNUMBER($F247),$F247,""))</f>
        <v/>
      </c>
    </row>
    <row r="248">
      <c r="A248" s="56">
        <f>IF(NOT((COUNTA($B248:$D248)+COUNTA($G248:$L248)+COUNTA($Q248))&gt;0),"",IF($V248="Macro",COUNTIFS($V$5:$V248,"Macro",$S$5:$S248,$S248),IF(N($U248)=0,"?",COUNTIFS(INDEX($V$5:$V$1000,1):INDEX($V$5:$V$1000,$U248-4),"Macro",INDEX($S$5:$S$1000,1):INDEX($S$5:$S$1000,$U248-4),INDEX($S$5:$S$1000,$U248-4))&amp;"."&amp;COUNTIFS($U$5:$U248,$U248,$V$5:$V248,"Sub"))))</f>
        <v/>
      </c>
      <c r="B248" s="57" t="n"/>
      <c r="C248" s="58" t="n"/>
      <c r="D248" s="58" t="n"/>
      <c r="E248" s="59" t="n"/>
      <c r="F248" s="59" t="n"/>
      <c r="G248" s="59" t="n"/>
      <c r="H248" s="60" t="n"/>
      <c r="I248" s="60" t="n"/>
      <c r="J248" s="60" t="n"/>
      <c r="K248" s="60" t="n"/>
      <c r="L248" s="60" t="n"/>
      <c r="M248" s="61">
        <f>IF(NOT((COUNTA($B248:$D248)+COUNTA($G248:$L248)+COUNTA($Q248))&gt;0),"",IF(AND($D248&lt;&gt;"",$V248="Macro"),IF(N($AH248)&gt;0,N(CHOOSE(MATCH($D248,ListaPuestos,0),INDEX('Cronograma R. Operacional'!$M$5:$M$1000,$AH248),INDEX('Cronograma R. Normativo'!$M$5:$M$1000,$AH248),INDEX('Cronograma R. Financiero'!$M$5:$M$1000,$AH248),INDEX('Cronograma Asistente Técnico'!$M$5:$M$1000,$AH248))),0),IF(ISNUMBER($G248),1,IF(N($W248)&gt;0,AVERAGEIFS($X$5:$X$1000,$U$5:$U$1000,ROW(),$V$5:$V$1000,"Sub"),$X248))))</f>
        <v/>
      </c>
      <c r="N248" s="56">
        <f>IF(OR($M248="",$V248="Sub"),"",IF($M248&gt;=1,"Completado",IF($M248&gt;0,"En curso","Pendiente")))</f>
        <v/>
      </c>
      <c r="O248" s="56">
        <f>IF(NOT((COUNTA($B248:$D248)+COUNTA($G248:$L248)+COUNTA($Q248))&gt;0),"",IF(AND(AND($D248&lt;&gt;"",$V248="Macro"),N($AH248)&gt;0),CHOOSE(MATCH($D248,ListaPuestos,0),INDEX('Cronograma R. Operacional'!$O$5:$O$1000,$AH248),INDEX('Cronograma R. Normativo'!$O$5:$O$1000,$AH248),INDEX('Cronograma R. Financiero'!$O$5:$O$1000,$AH248),INDEX('Cronograma Asistente Técnico'!$O$5:$O$1000,$AH248))&amp;"",IF(ISNUMBER($G248),IF(AND(ISNUMBER($AN248),$G248&gt;$AN248),"Cumplida con "&amp;($G248-$AN248)&amp;IF($G248-$AN248=1," día"," días")&amp;" de retraso","Cumplida"),IF(N($M248)&gt;=1,"Cumplida",IF(NOT(ISNUMBER($AN248)),"Sin fecha límite",IF($AN248&lt;FechaRef,"Vencida hace "&amp;(FechaRef-$AN248)&amp;IF(FechaRef-$AN248=1," día"," días"),IF($AN248=FechaRef,"Vence hoy",IF($AN248-FechaRef&lt;=DiasAlerta,"Vence en "&amp;($AN248-FechaRef)&amp;IF($AN248-FechaRef=1," día"," días"),"En plazo"))))))))</f>
        <v/>
      </c>
      <c r="P248" s="62">
        <f>IF(NOT((COUNTA($B248:$D248)+COUNTA($G248:$L248)+COUNTA($Q248))&gt;0),"",IF($D248="","Propia",IF($V248&lt;&gt;"Macro","Solo se delegan macroactividades",IF(N($AH248)&gt;0,"✔ Recibida por "&amp;$D248,"⚠ "&amp;$D248&amp;" aún no la agrega"))))</f>
        <v/>
      </c>
      <c r="Q248" s="58" t="n"/>
      <c r="R248" s="63">
        <f>IF(NOT((COUNTA($B248:$D248)+COUNTA($G248:$L248)+COUNTA($Q248))&gt;0),"",IF((IF($C248="","Falta el nombre de la actividad"&amp;" · ","")&amp;IF(AND($V248="Sub",N($U248)=0),"Subactividad sin macroactividad arriba"&amp;" · ","")&amp;IF($AM248="","Sin fecha de inicio"&amp;" · ","")&amp;IF($AN248="","Sin fecha límite"&amp;" · ","")&amp;IF(AND(LEFT($C248,11)="[Jefatura] ",N($AL248)=0),"No se encuentra en la hoja de la jefatura (elíjala de nuevo en la lista)"&amp;" · ","")&amp;IF(OR(AND($E248&lt;&gt;"",NOT(ISNUMBER($E248))),AND($F248&lt;&gt;"",NOT(ISNUMBER($F248))),AND($G248&lt;&gt;"",NOT(ISNUMBER($G248)))),"Fecha no válida"&amp;" · ","")&amp;IF(AND(ISNUMBER($AM248),ISNUMBER($AN248),$AM248&gt;$AN248),"Inicio posterior a fecha límite"&amp;" · ","")&amp;IF(AND($V248="Macro",$H248&lt;&gt;"",OR(NOT(ISNUMBER($H248)),$H248&lt;0,$H248&gt;1)),"Peso fuera de rango"&amp;" · ","")&amp;IF(AND($V248="Sub",$H248&lt;&gt;""),"Las subactividades no llevan peso (valen igual dentro de su macroactividad)"&amp;" · ","")&amp;IF(AND(N($W248)&gt;0,COUNT($I248:$L248)&gt;0),"Con subactividades: deje vacías las semanas (se calculan solas)"&amp;" · ","")&amp;IF((COUNTIF($I248:$L248,"&gt;1")+COUNTIF($I248:$L248,"&lt;0")+COUNTA($I248:$L248)-COUNT($I248:$L248))&gt;0,"Avance fuera de rango 0-100%"&amp;" · ","")&amp;IF(OR(AND($J248&lt;&gt;"",$J248&lt;$I248),AND($K248&lt;&gt;"",$K248&lt;MAX($I248:$J248)),AND($L248&lt;&gt;"",$L248&lt;MAX($I248:$K248))),"Avance semanal decreciente"&amp;" · ","")&amp;IF(AND(ISNUMBER($AN248),$AN248&lt;FechaRef,IF($V248="Sub",N($X248),N($M248))&lt;1),"Vencida"&amp;" · ","")&amp;IF(AND(ObsObligatoria="Sí",ISNUMBER($AN248),$AN248&lt;FechaRef,IF($V248="Sub",N($X248),N($M248))&lt;1,$Q248=""),"Vencida sin observación"&amp;" · ",""))="","✔ OK","⚠ "&amp;LEFT(IF($C248="","Falta el nombre de la actividad"&amp;" · ","")&amp;IF(AND($V248="Sub",N($U248)=0),"Subactividad sin macroactividad arriba"&amp;" · ","")&amp;IF($AM248="","Sin fecha de inicio"&amp;" · ","")&amp;IF($AN248="","Sin fecha límite"&amp;" · ","")&amp;IF(AND(LEFT($C248,11)="[Jefatura] ",N($AL248)=0),"No se encuentra en la hoja de la jefatura (elíjala de nuevo en la lista)"&amp;" · ","")&amp;IF(OR(AND($E248&lt;&gt;"",NOT(ISNUMBER($E248))),AND($F248&lt;&gt;"",NOT(ISNUMBER($F248))),AND($G248&lt;&gt;"",NOT(ISNUMBER($G248)))),"Fecha no válida"&amp;" · ","")&amp;IF(AND(ISNUMBER($AM248),ISNUMBER($AN248),$AM248&gt;$AN248),"Inicio posterior a fecha límite"&amp;" · ","")&amp;IF(AND($V248="Macro",$H248&lt;&gt;"",OR(NOT(ISNUMBER($H248)),$H248&lt;0,$H248&gt;1)),"Peso fuera de rango"&amp;" · ","")&amp;IF(AND($V248="Sub",$H248&lt;&gt;""),"Las subactividades no llevan peso (valen igual dentro de su macroactividad)"&amp;" · ","")&amp;IF(AND(N($W248)&gt;0,COUNT($I248:$L248)&gt;0),"Con subactividades: deje vacías las semanas (se calculan solas)"&amp;" · ","")&amp;IF((COUNTIF($I248:$L248,"&gt;1")+COUNTIF($I248:$L248,"&lt;0")+COUNTA($I248:$L248)-COUNT($I248:$L248))&gt;0,"Avance fuera de rango 0-100%"&amp;" · ","")&amp;IF(OR(AND($J248&lt;&gt;"",$J248&lt;$I248),AND($K248&lt;&gt;"",$K248&lt;MAX($I248:$J248)),AND($L248&lt;&gt;"",$L248&lt;MAX($I248:$K248))),"Avance semanal decreciente"&amp;" · ","")&amp;IF(AND(ISNUMBER($AN248),$AN248&lt;FechaRef,IF($V248="Sub",N($X248),N($M248))&lt;1),"Vencida"&amp;" · ","")&amp;IF(AND(ObsObligatoria="Sí",ISNUMBER($AN248),$AN248&lt;FechaRef,IF($V248="Sub",N($X248),N($M248))&lt;1,$Q248=""),"Vencida sin observación"&amp;" · ",""),LEN(IF($C248="","Falta el nombre de la actividad"&amp;" · ","")&amp;IF(AND($V248="Sub",N($U248)=0),"Subactividad sin macroactividad arriba"&amp;" · ","")&amp;IF($AM248="","Sin fecha de inicio"&amp;" · ","")&amp;IF($AN248="","Sin fecha límite"&amp;" · ","")&amp;IF(AND(LEFT($C248,11)="[Jefatura] ",N($AL248)=0),"No se encuentra en la hoja de la jefatura (elíjala de nuevo en la lista)"&amp;" · ","")&amp;IF(OR(AND($E248&lt;&gt;"",NOT(ISNUMBER($E248))),AND($F248&lt;&gt;"",NOT(ISNUMBER($F248))),AND($G248&lt;&gt;"",NOT(ISNUMBER($G248)))),"Fecha no válida"&amp;" · ","")&amp;IF(AND(ISNUMBER($AM248),ISNUMBER($AN248),$AM248&gt;$AN248),"Inicio posterior a fecha límite"&amp;" · ","")&amp;IF(AND($V248="Macro",$H248&lt;&gt;"",OR(NOT(ISNUMBER($H248)),$H248&lt;0,$H248&gt;1)),"Peso fuera de rango"&amp;" · ","")&amp;IF(AND($V248="Sub",$H248&lt;&gt;""),"Las subactividades no llevan peso (valen igual dentro de su macroactividad)"&amp;" · ","")&amp;IF(AND(N($W248)&gt;0,COUNT($I248:$L248)&gt;0),"Con subactividades: deje vacías las semanas (se calculan solas)"&amp;" · ","")&amp;IF((COUNTIF($I248:$L248,"&gt;1")+COUNTIF($I248:$L248,"&lt;0")+COUNTA($I248:$L248)-COUNT($I248:$L248))&gt;0,"Avance fuera de rango 0-100%"&amp;" · ","")&amp;IF(OR(AND($J248&lt;&gt;"",$J248&lt;$I248),AND($K248&lt;&gt;"",$K248&lt;MAX($I248:$J248)),AND($L248&lt;&gt;"",$L248&lt;MAX($I248:$K248))),"Avance semanal decreciente"&amp;" · ","")&amp;IF(AND(ISNUMBER($AN248),$AN248&lt;FechaRef,IF($V248="Sub",N($X248),N($M248))&lt;1),"Vencida"&amp;" · ","")&amp;IF(AND(ObsObligatoria="Sí",ISNUMBER($AN248),$AN248&lt;FechaRef,IF($V248="Sub",N($X248),N($M248))&lt;1,$Q248=""),"Vencida sin observación"&amp;" · ",""))-3)))</f>
        <v/>
      </c>
      <c r="S248" s="64">
        <f>IF(NOT((COUNTA($B248:$D248)+COUNTA($G248:$L248)+COUNTA($Q248))&gt;0),"",IF(AND($V248="Sub",N($U248)&gt;0),IF(ISNUMBER(INDEX($AM$5:$AM$1000,$U248-4)),DATE(YEAR(INDEX($AM$5:$AM$1000,$U248-4)),MONTH(INDEX($AM$5:$AM$1000,$U248-4)),1),IF(ISNUMBER(INDEX($AN$5:$AN$1000,$U248-4)),DATE(YEAR(INDEX($AN$5:$AN$1000,$U248-4)),MONTH(INDEX($AN$5:$AN$1000,$U248-4)),1),MesCiclo)),IF(ISNUMBER($AM248),DATE(YEAR($AM248),MONTH($AM248),1),IF(ISNUMBER($AN248),DATE(YEAR($AN248),MONTH($AN248),1),MesCiclo))))</f>
        <v/>
      </c>
      <c r="T248" s="62">
        <f>IF(OR($S248="",$S248&lt;&gt;MesCiclo,$V248&lt;&gt;"Macro"),"",COUNTIFS($S$5:$S248,MesCiclo,$V$5:$V248,"Macro"))</f>
        <v/>
      </c>
      <c r="U248" s="62">
        <f>IF($V248="","",IF($V248="Macro",ROW(),IFERROR(LOOKUP(2,1/($V$5:$V248="Macro"),ROW($V$5:$V248)),0)))</f>
        <v/>
      </c>
      <c r="V248" s="62">
        <f>IF(NOT((COUNTA($B248:$D248)+COUNTA($G248:$L248)+COUNTA($Q248))&gt;0),"",IF($B248="Subactividad","Sub","Macro"))</f>
        <v/>
      </c>
      <c r="W248" s="62">
        <f>IF($V248="Macro",COUNTIFS($U$5:$U$1000,ROW(),$V$5:$V$1000,"Sub"),"")</f>
        <v/>
      </c>
      <c r="X248" s="62">
        <f>IF($V248="","",IF(ISNUMBER($G248),1,IFERROR(LOOKUP(2,1/($I248:$L248&lt;&gt;""),$I248:$L248),0)))</f>
        <v/>
      </c>
      <c r="Y248" s="62">
        <f>IF($V248="","",IF(AND(ISNUMBER($G248),$G248&lt;=IF($S248=MesCiclo,InicioCiclo,$S248+MOD(2-WEEKDAY($S248),7))+6),1,IF(ISNUMBER($I248),$I248,0)))</f>
        <v/>
      </c>
      <c r="Z248" s="62">
        <f>IF($V248="","",IF(AND(ISNUMBER($G248),$G248&lt;=IF($S248=MesCiclo,InicioCiclo,$S248+MOD(2-WEEKDAY($S248),7))+13),1,IF(ISNUMBER($J248),$J248,$Y248)))</f>
        <v/>
      </c>
      <c r="AA248" s="62">
        <f>IF($V248="","",IF(AND(ISNUMBER($G248),$G248&lt;=IF($S248=MesCiclo,InicioCiclo,$S248+MOD(2-WEEKDAY($S248),7))+20),1,IF(ISNUMBER($K248),$K248,$Z248)))</f>
        <v/>
      </c>
      <c r="AB248" s="62">
        <f>IF($V248="","",IF(AND(ISNUMBER($G248),$G248&lt;=IF($S248=MesCiclo,InicioCiclo,$S248+MOD(2-WEEKDAY($S248),7))+27),1,IF(ISNUMBER($L248),$L248,$AA248)))</f>
        <v/>
      </c>
      <c r="AC248" s="62">
        <f>IF($V248="","",IF(AND(ISNUMBER($G248),$G248&lt;=IF($S248=MesCiclo,InicioCiclo,$S248+MOD(2-WEEKDAY($S248),7))+6),1,IF(N($W248)&gt;0,AVERAGEIFS($Y$5:$Y$1000,$U$5:$U$1000,ROW(),$V$5:$V$1000,"Sub"),$Y248)))</f>
        <v/>
      </c>
      <c r="AD248" s="62">
        <f>IF($V248="","",IF(AND(ISNUMBER($G248),$G248&lt;=IF($S248=MesCiclo,InicioCiclo,$S248+MOD(2-WEEKDAY($S248),7))+13),1,IF(N($W248)&gt;0,AVERAGEIFS($Z$5:$Z$1000,$U$5:$U$1000,ROW(),$V$5:$V$1000,"Sub"),$Z248)))</f>
        <v/>
      </c>
      <c r="AE248" s="62">
        <f>IF($V248="","",IF(AND(ISNUMBER($G248),$G248&lt;=IF($S248=MesCiclo,InicioCiclo,$S248+MOD(2-WEEKDAY($S248),7))+20),1,IF(N($W248)&gt;0,AVERAGEIFS($AA$5:$AA$1000,$U$5:$U$1000,ROW(),$V$5:$V$1000,"Sub"),$AA248)))</f>
        <v/>
      </c>
      <c r="AF248" s="62">
        <f>IF($V248="","",IF(AND(ISNUMBER($G248),$G248&lt;=IF($S248=MesCiclo,InicioCiclo,$S248+MOD(2-WEEKDAY($S248),7))+27),1,IF(N($W248)&gt;0,AVERAGEIFS($AB$5:$AB$1000,$U$5:$U$1000,ROW(),$V$5:$V$1000,"Sub"),$AB248)))</f>
        <v/>
      </c>
      <c r="AG248" s="62">
        <f>IF($V248&lt;&gt;"Macro","",IF(COUNTIFS($S$5:$S$1000,$S248,$V$5:$V$1000,"Macro",$H$5:$H$1000,"&gt;0")=0,1/COUNTIFS($S$5:$S$1000,$S248,$V$5:$V$1000,"Macro"),IF(AND(ISNUMBER($H248),N($H248)&gt;0),$H248,SUMIFS($H$5:$H$1000,$S$5:$S$1000,$S248,$V$5:$V$1000,"Macro")/COUNTIFS($S$5:$S$1000,$S248,$V$5:$V$1000,"Macro",$H$5:$H$1000,"&gt;0"))/(COUNTIFS($S$5:$S$1000,$S248,$V$5:$V$1000,"Macro")*SUMIFS($H$5:$H$1000,$S$5:$S$1000,$S248,$V$5:$V$1000,"Macro")/COUNTIFS($S$5:$S$1000,$S248,$V$5:$V$1000,"Macro",$H$5:$H$1000,"&gt;0"))))</f>
        <v/>
      </c>
      <c r="AH248" s="62">
        <f>IF(NOT(AND($D248&lt;&gt;"",$V248="Macro")),"",IFERROR(CHOOSE(MATCH($D248,ListaPuestos,0),MATCH("[Jefatura] "&amp;$C248,'Cronograma R. Operacional'!$C$5:$C$1000,0),MATCH("[Jefatura] "&amp;$C248,'Cronograma R. Normativo'!$C$5:$C$1000,0),MATCH("[Jefatura] "&amp;$C248,'Cronograma R. Financiero'!$C$5:$C$1000,0),MATCH("[Jefatura] "&amp;$C248,'Cronograma Asistente Técnico'!$C$5:$C$1000,0)),0))</f>
        <v/>
      </c>
      <c r="AI248" s="62">
        <f>IF(AND(AND($D248&lt;&gt;"",$V248="Macro"),$S248=MesCiclo),COUNTIFS($D$5:$D248,$D248,$S$5:$S248,MesCiclo,$V$5:$V248,"Macro"),"")</f>
        <v/>
      </c>
      <c r="AJ248" s="62">
        <f>IF($AI248="","",$D248&amp;"|"&amp;$AI248)</f>
        <v/>
      </c>
      <c r="AK248" s="62">
        <f>IF(AND($D248&lt;&gt;"",$V248="Macro"),$D248&amp;"|"&amp;$C248,"")</f>
        <v/>
      </c>
      <c r="AL248" s="62">
        <f>""</f>
        <v/>
      </c>
      <c r="AM248" s="62">
        <f>IF(N($AL248)&gt;0,INDEX(rIni_ADM,$AL248),IF(ISNUMBER($E248),$E248,""))</f>
        <v/>
      </c>
      <c r="AN248" s="62">
        <f>IF(N($AL248)&gt;0,INDEX(rLim_ADM,$AL248),IF(ISNUMBER($F248),$F248,""))</f>
        <v/>
      </c>
    </row>
    <row r="249">
      <c r="A249" s="56">
        <f>IF(NOT((COUNTA($B249:$D249)+COUNTA($G249:$L249)+COUNTA($Q249))&gt;0),"",IF($V249="Macro",COUNTIFS($V$5:$V249,"Macro",$S$5:$S249,$S249),IF(N($U249)=0,"?",COUNTIFS(INDEX($V$5:$V$1000,1):INDEX($V$5:$V$1000,$U249-4),"Macro",INDEX($S$5:$S$1000,1):INDEX($S$5:$S$1000,$U249-4),INDEX($S$5:$S$1000,$U249-4))&amp;"."&amp;COUNTIFS($U$5:$U249,$U249,$V$5:$V249,"Sub"))))</f>
        <v/>
      </c>
      <c r="B249" s="57" t="n"/>
      <c r="C249" s="58" t="n"/>
      <c r="D249" s="58" t="n"/>
      <c r="E249" s="59" t="n"/>
      <c r="F249" s="59" t="n"/>
      <c r="G249" s="59" t="n"/>
      <c r="H249" s="60" t="n"/>
      <c r="I249" s="60" t="n"/>
      <c r="J249" s="60" t="n"/>
      <c r="K249" s="60" t="n"/>
      <c r="L249" s="60" t="n"/>
      <c r="M249" s="61">
        <f>IF(NOT((COUNTA($B249:$D249)+COUNTA($G249:$L249)+COUNTA($Q249))&gt;0),"",IF(AND($D249&lt;&gt;"",$V249="Macro"),IF(N($AH249)&gt;0,N(CHOOSE(MATCH($D249,ListaPuestos,0),INDEX('Cronograma R. Operacional'!$M$5:$M$1000,$AH249),INDEX('Cronograma R. Normativo'!$M$5:$M$1000,$AH249),INDEX('Cronograma R. Financiero'!$M$5:$M$1000,$AH249),INDEX('Cronograma Asistente Técnico'!$M$5:$M$1000,$AH249))),0),IF(ISNUMBER($G249),1,IF(N($W249)&gt;0,AVERAGEIFS($X$5:$X$1000,$U$5:$U$1000,ROW(),$V$5:$V$1000,"Sub"),$X249))))</f>
        <v/>
      </c>
      <c r="N249" s="56">
        <f>IF(OR($M249="",$V249="Sub"),"",IF($M249&gt;=1,"Completado",IF($M249&gt;0,"En curso","Pendiente")))</f>
        <v/>
      </c>
      <c r="O249" s="56">
        <f>IF(NOT((COUNTA($B249:$D249)+COUNTA($G249:$L249)+COUNTA($Q249))&gt;0),"",IF(AND(AND($D249&lt;&gt;"",$V249="Macro"),N($AH249)&gt;0),CHOOSE(MATCH($D249,ListaPuestos,0),INDEX('Cronograma R. Operacional'!$O$5:$O$1000,$AH249),INDEX('Cronograma R. Normativo'!$O$5:$O$1000,$AH249),INDEX('Cronograma R. Financiero'!$O$5:$O$1000,$AH249),INDEX('Cronograma Asistente Técnico'!$O$5:$O$1000,$AH249))&amp;"",IF(ISNUMBER($G249),IF(AND(ISNUMBER($AN249),$G249&gt;$AN249),"Cumplida con "&amp;($G249-$AN249)&amp;IF($G249-$AN249=1," día"," días")&amp;" de retraso","Cumplida"),IF(N($M249)&gt;=1,"Cumplida",IF(NOT(ISNUMBER($AN249)),"Sin fecha límite",IF($AN249&lt;FechaRef,"Vencida hace "&amp;(FechaRef-$AN249)&amp;IF(FechaRef-$AN249=1," día"," días"),IF($AN249=FechaRef,"Vence hoy",IF($AN249-FechaRef&lt;=DiasAlerta,"Vence en "&amp;($AN249-FechaRef)&amp;IF($AN249-FechaRef=1," día"," días"),"En plazo"))))))))</f>
        <v/>
      </c>
      <c r="P249" s="62">
        <f>IF(NOT((COUNTA($B249:$D249)+COUNTA($G249:$L249)+COUNTA($Q249))&gt;0),"",IF($D249="","Propia",IF($V249&lt;&gt;"Macro","Solo se delegan macroactividades",IF(N($AH249)&gt;0,"✔ Recibida por "&amp;$D249,"⚠ "&amp;$D249&amp;" aún no la agrega"))))</f>
        <v/>
      </c>
      <c r="Q249" s="58" t="n"/>
      <c r="R249" s="63">
        <f>IF(NOT((COUNTA($B249:$D249)+COUNTA($G249:$L249)+COUNTA($Q249))&gt;0),"",IF((IF($C249="","Falta el nombre de la actividad"&amp;" · ","")&amp;IF(AND($V249="Sub",N($U249)=0),"Subactividad sin macroactividad arriba"&amp;" · ","")&amp;IF($AM249="","Sin fecha de inicio"&amp;" · ","")&amp;IF($AN249="","Sin fecha límite"&amp;" · ","")&amp;IF(AND(LEFT($C249,11)="[Jefatura] ",N($AL249)=0),"No se encuentra en la hoja de la jefatura (elíjala de nuevo en la lista)"&amp;" · ","")&amp;IF(OR(AND($E249&lt;&gt;"",NOT(ISNUMBER($E249))),AND($F249&lt;&gt;"",NOT(ISNUMBER($F249))),AND($G249&lt;&gt;"",NOT(ISNUMBER($G249)))),"Fecha no válida"&amp;" · ","")&amp;IF(AND(ISNUMBER($AM249),ISNUMBER($AN249),$AM249&gt;$AN249),"Inicio posterior a fecha límite"&amp;" · ","")&amp;IF(AND($V249="Macro",$H249&lt;&gt;"",OR(NOT(ISNUMBER($H249)),$H249&lt;0,$H249&gt;1)),"Peso fuera de rango"&amp;" · ","")&amp;IF(AND($V249="Sub",$H249&lt;&gt;""),"Las subactividades no llevan peso (valen igual dentro de su macroactividad)"&amp;" · ","")&amp;IF(AND(N($W249)&gt;0,COUNT($I249:$L249)&gt;0),"Con subactividades: deje vacías las semanas (se calculan solas)"&amp;" · ","")&amp;IF((COUNTIF($I249:$L249,"&gt;1")+COUNTIF($I249:$L249,"&lt;0")+COUNTA($I249:$L249)-COUNT($I249:$L249))&gt;0,"Avance fuera de rango 0-100%"&amp;" · ","")&amp;IF(OR(AND($J249&lt;&gt;"",$J249&lt;$I249),AND($K249&lt;&gt;"",$K249&lt;MAX($I249:$J249)),AND($L249&lt;&gt;"",$L249&lt;MAX($I249:$K249))),"Avance semanal decreciente"&amp;" · ","")&amp;IF(AND(ISNUMBER($AN249),$AN249&lt;FechaRef,IF($V249="Sub",N($X249),N($M249))&lt;1),"Vencida"&amp;" · ","")&amp;IF(AND(ObsObligatoria="Sí",ISNUMBER($AN249),$AN249&lt;FechaRef,IF($V249="Sub",N($X249),N($M249))&lt;1,$Q249=""),"Vencida sin observación"&amp;" · ",""))="","✔ OK","⚠ "&amp;LEFT(IF($C249="","Falta el nombre de la actividad"&amp;" · ","")&amp;IF(AND($V249="Sub",N($U249)=0),"Subactividad sin macroactividad arriba"&amp;" · ","")&amp;IF($AM249="","Sin fecha de inicio"&amp;" · ","")&amp;IF($AN249="","Sin fecha límite"&amp;" · ","")&amp;IF(AND(LEFT($C249,11)="[Jefatura] ",N($AL249)=0),"No se encuentra en la hoja de la jefatura (elíjala de nuevo en la lista)"&amp;" · ","")&amp;IF(OR(AND($E249&lt;&gt;"",NOT(ISNUMBER($E249))),AND($F249&lt;&gt;"",NOT(ISNUMBER($F249))),AND($G249&lt;&gt;"",NOT(ISNUMBER($G249)))),"Fecha no válida"&amp;" · ","")&amp;IF(AND(ISNUMBER($AM249),ISNUMBER($AN249),$AM249&gt;$AN249),"Inicio posterior a fecha límite"&amp;" · ","")&amp;IF(AND($V249="Macro",$H249&lt;&gt;"",OR(NOT(ISNUMBER($H249)),$H249&lt;0,$H249&gt;1)),"Peso fuera de rango"&amp;" · ","")&amp;IF(AND($V249="Sub",$H249&lt;&gt;""),"Las subactividades no llevan peso (valen igual dentro de su macroactividad)"&amp;" · ","")&amp;IF(AND(N($W249)&gt;0,COUNT($I249:$L249)&gt;0),"Con subactividades: deje vacías las semanas (se calculan solas)"&amp;" · ","")&amp;IF((COUNTIF($I249:$L249,"&gt;1")+COUNTIF($I249:$L249,"&lt;0")+COUNTA($I249:$L249)-COUNT($I249:$L249))&gt;0,"Avance fuera de rango 0-100%"&amp;" · ","")&amp;IF(OR(AND($J249&lt;&gt;"",$J249&lt;$I249),AND($K249&lt;&gt;"",$K249&lt;MAX($I249:$J249)),AND($L249&lt;&gt;"",$L249&lt;MAX($I249:$K249))),"Avance semanal decreciente"&amp;" · ","")&amp;IF(AND(ISNUMBER($AN249),$AN249&lt;FechaRef,IF($V249="Sub",N($X249),N($M249))&lt;1),"Vencida"&amp;" · ","")&amp;IF(AND(ObsObligatoria="Sí",ISNUMBER($AN249),$AN249&lt;FechaRef,IF($V249="Sub",N($X249),N($M249))&lt;1,$Q249=""),"Vencida sin observación"&amp;" · ",""),LEN(IF($C249="","Falta el nombre de la actividad"&amp;" · ","")&amp;IF(AND($V249="Sub",N($U249)=0),"Subactividad sin macroactividad arriba"&amp;" · ","")&amp;IF($AM249="","Sin fecha de inicio"&amp;" · ","")&amp;IF($AN249="","Sin fecha límite"&amp;" · ","")&amp;IF(AND(LEFT($C249,11)="[Jefatura] ",N($AL249)=0),"No se encuentra en la hoja de la jefatura (elíjala de nuevo en la lista)"&amp;" · ","")&amp;IF(OR(AND($E249&lt;&gt;"",NOT(ISNUMBER($E249))),AND($F249&lt;&gt;"",NOT(ISNUMBER($F249))),AND($G249&lt;&gt;"",NOT(ISNUMBER($G249)))),"Fecha no válida"&amp;" · ","")&amp;IF(AND(ISNUMBER($AM249),ISNUMBER($AN249),$AM249&gt;$AN249),"Inicio posterior a fecha límite"&amp;" · ","")&amp;IF(AND($V249="Macro",$H249&lt;&gt;"",OR(NOT(ISNUMBER($H249)),$H249&lt;0,$H249&gt;1)),"Peso fuera de rango"&amp;" · ","")&amp;IF(AND($V249="Sub",$H249&lt;&gt;""),"Las subactividades no llevan peso (valen igual dentro de su macroactividad)"&amp;" · ","")&amp;IF(AND(N($W249)&gt;0,COUNT($I249:$L249)&gt;0),"Con subactividades: deje vacías las semanas (se calculan solas)"&amp;" · ","")&amp;IF((COUNTIF($I249:$L249,"&gt;1")+COUNTIF($I249:$L249,"&lt;0")+COUNTA($I249:$L249)-COUNT($I249:$L249))&gt;0,"Avance fuera de rango 0-100%"&amp;" · ","")&amp;IF(OR(AND($J249&lt;&gt;"",$J249&lt;$I249),AND($K249&lt;&gt;"",$K249&lt;MAX($I249:$J249)),AND($L249&lt;&gt;"",$L249&lt;MAX($I249:$K249))),"Avance semanal decreciente"&amp;" · ","")&amp;IF(AND(ISNUMBER($AN249),$AN249&lt;FechaRef,IF($V249="Sub",N($X249),N($M249))&lt;1),"Vencida"&amp;" · ","")&amp;IF(AND(ObsObligatoria="Sí",ISNUMBER($AN249),$AN249&lt;FechaRef,IF($V249="Sub",N($X249),N($M249))&lt;1,$Q249=""),"Vencida sin observación"&amp;" · ",""))-3)))</f>
        <v/>
      </c>
      <c r="S249" s="64">
        <f>IF(NOT((COUNTA($B249:$D249)+COUNTA($G249:$L249)+COUNTA($Q249))&gt;0),"",IF(AND($V249="Sub",N($U249)&gt;0),IF(ISNUMBER(INDEX($AM$5:$AM$1000,$U249-4)),DATE(YEAR(INDEX($AM$5:$AM$1000,$U249-4)),MONTH(INDEX($AM$5:$AM$1000,$U249-4)),1),IF(ISNUMBER(INDEX($AN$5:$AN$1000,$U249-4)),DATE(YEAR(INDEX($AN$5:$AN$1000,$U249-4)),MONTH(INDEX($AN$5:$AN$1000,$U249-4)),1),MesCiclo)),IF(ISNUMBER($AM249),DATE(YEAR($AM249),MONTH($AM249),1),IF(ISNUMBER($AN249),DATE(YEAR($AN249),MONTH($AN249),1),MesCiclo))))</f>
        <v/>
      </c>
      <c r="T249" s="62">
        <f>IF(OR($S249="",$S249&lt;&gt;MesCiclo,$V249&lt;&gt;"Macro"),"",COUNTIFS($S$5:$S249,MesCiclo,$V$5:$V249,"Macro"))</f>
        <v/>
      </c>
      <c r="U249" s="62">
        <f>IF($V249="","",IF($V249="Macro",ROW(),IFERROR(LOOKUP(2,1/($V$5:$V249="Macro"),ROW($V$5:$V249)),0)))</f>
        <v/>
      </c>
      <c r="V249" s="62">
        <f>IF(NOT((COUNTA($B249:$D249)+COUNTA($G249:$L249)+COUNTA($Q249))&gt;0),"",IF($B249="Subactividad","Sub","Macro"))</f>
        <v/>
      </c>
      <c r="W249" s="62">
        <f>IF($V249="Macro",COUNTIFS($U$5:$U$1000,ROW(),$V$5:$V$1000,"Sub"),"")</f>
        <v/>
      </c>
      <c r="X249" s="62">
        <f>IF($V249="","",IF(ISNUMBER($G249),1,IFERROR(LOOKUP(2,1/($I249:$L249&lt;&gt;""),$I249:$L249),0)))</f>
        <v/>
      </c>
      <c r="Y249" s="62">
        <f>IF($V249="","",IF(AND(ISNUMBER($G249),$G249&lt;=IF($S249=MesCiclo,InicioCiclo,$S249+MOD(2-WEEKDAY($S249),7))+6),1,IF(ISNUMBER($I249),$I249,0)))</f>
        <v/>
      </c>
      <c r="Z249" s="62">
        <f>IF($V249="","",IF(AND(ISNUMBER($G249),$G249&lt;=IF($S249=MesCiclo,InicioCiclo,$S249+MOD(2-WEEKDAY($S249),7))+13),1,IF(ISNUMBER($J249),$J249,$Y249)))</f>
        <v/>
      </c>
      <c r="AA249" s="62">
        <f>IF($V249="","",IF(AND(ISNUMBER($G249),$G249&lt;=IF($S249=MesCiclo,InicioCiclo,$S249+MOD(2-WEEKDAY($S249),7))+20),1,IF(ISNUMBER($K249),$K249,$Z249)))</f>
        <v/>
      </c>
      <c r="AB249" s="62">
        <f>IF($V249="","",IF(AND(ISNUMBER($G249),$G249&lt;=IF($S249=MesCiclo,InicioCiclo,$S249+MOD(2-WEEKDAY($S249),7))+27),1,IF(ISNUMBER($L249),$L249,$AA249)))</f>
        <v/>
      </c>
      <c r="AC249" s="62">
        <f>IF($V249="","",IF(AND(ISNUMBER($G249),$G249&lt;=IF($S249=MesCiclo,InicioCiclo,$S249+MOD(2-WEEKDAY($S249),7))+6),1,IF(N($W249)&gt;0,AVERAGEIFS($Y$5:$Y$1000,$U$5:$U$1000,ROW(),$V$5:$V$1000,"Sub"),$Y249)))</f>
        <v/>
      </c>
      <c r="AD249" s="62">
        <f>IF($V249="","",IF(AND(ISNUMBER($G249),$G249&lt;=IF($S249=MesCiclo,InicioCiclo,$S249+MOD(2-WEEKDAY($S249),7))+13),1,IF(N($W249)&gt;0,AVERAGEIFS($Z$5:$Z$1000,$U$5:$U$1000,ROW(),$V$5:$V$1000,"Sub"),$Z249)))</f>
        <v/>
      </c>
      <c r="AE249" s="62">
        <f>IF($V249="","",IF(AND(ISNUMBER($G249),$G249&lt;=IF($S249=MesCiclo,InicioCiclo,$S249+MOD(2-WEEKDAY($S249),7))+20),1,IF(N($W249)&gt;0,AVERAGEIFS($AA$5:$AA$1000,$U$5:$U$1000,ROW(),$V$5:$V$1000,"Sub"),$AA249)))</f>
        <v/>
      </c>
      <c r="AF249" s="62">
        <f>IF($V249="","",IF(AND(ISNUMBER($G249),$G249&lt;=IF($S249=MesCiclo,InicioCiclo,$S249+MOD(2-WEEKDAY($S249),7))+27),1,IF(N($W249)&gt;0,AVERAGEIFS($AB$5:$AB$1000,$U$5:$U$1000,ROW(),$V$5:$V$1000,"Sub"),$AB249)))</f>
        <v/>
      </c>
      <c r="AG249" s="62">
        <f>IF($V249&lt;&gt;"Macro","",IF(COUNTIFS($S$5:$S$1000,$S249,$V$5:$V$1000,"Macro",$H$5:$H$1000,"&gt;0")=0,1/COUNTIFS($S$5:$S$1000,$S249,$V$5:$V$1000,"Macro"),IF(AND(ISNUMBER($H249),N($H249)&gt;0),$H249,SUMIFS($H$5:$H$1000,$S$5:$S$1000,$S249,$V$5:$V$1000,"Macro")/COUNTIFS($S$5:$S$1000,$S249,$V$5:$V$1000,"Macro",$H$5:$H$1000,"&gt;0"))/(COUNTIFS($S$5:$S$1000,$S249,$V$5:$V$1000,"Macro")*SUMIFS($H$5:$H$1000,$S$5:$S$1000,$S249,$V$5:$V$1000,"Macro")/COUNTIFS($S$5:$S$1000,$S249,$V$5:$V$1000,"Macro",$H$5:$H$1000,"&gt;0"))))</f>
        <v/>
      </c>
      <c r="AH249" s="62">
        <f>IF(NOT(AND($D249&lt;&gt;"",$V249="Macro")),"",IFERROR(CHOOSE(MATCH($D249,ListaPuestos,0),MATCH("[Jefatura] "&amp;$C249,'Cronograma R. Operacional'!$C$5:$C$1000,0),MATCH("[Jefatura] "&amp;$C249,'Cronograma R. Normativo'!$C$5:$C$1000,0),MATCH("[Jefatura] "&amp;$C249,'Cronograma R. Financiero'!$C$5:$C$1000,0),MATCH("[Jefatura] "&amp;$C249,'Cronograma Asistente Técnico'!$C$5:$C$1000,0)),0))</f>
        <v/>
      </c>
      <c r="AI249" s="62">
        <f>IF(AND(AND($D249&lt;&gt;"",$V249="Macro"),$S249=MesCiclo),COUNTIFS($D$5:$D249,$D249,$S$5:$S249,MesCiclo,$V$5:$V249,"Macro"),"")</f>
        <v/>
      </c>
      <c r="AJ249" s="62">
        <f>IF($AI249="","",$D249&amp;"|"&amp;$AI249)</f>
        <v/>
      </c>
      <c r="AK249" s="62">
        <f>IF(AND($D249&lt;&gt;"",$V249="Macro"),$D249&amp;"|"&amp;$C249,"")</f>
        <v/>
      </c>
      <c r="AL249" s="62">
        <f>""</f>
        <v/>
      </c>
      <c r="AM249" s="62">
        <f>IF(N($AL249)&gt;0,INDEX(rIni_ADM,$AL249),IF(ISNUMBER($E249),$E249,""))</f>
        <v/>
      </c>
      <c r="AN249" s="62">
        <f>IF(N($AL249)&gt;0,INDEX(rLim_ADM,$AL249),IF(ISNUMBER($F249),$F249,""))</f>
        <v/>
      </c>
    </row>
    <row r="250">
      <c r="A250" s="56">
        <f>IF(NOT((COUNTA($B250:$D250)+COUNTA($G250:$L250)+COUNTA($Q250))&gt;0),"",IF($V250="Macro",COUNTIFS($V$5:$V250,"Macro",$S$5:$S250,$S250),IF(N($U250)=0,"?",COUNTIFS(INDEX($V$5:$V$1000,1):INDEX($V$5:$V$1000,$U250-4),"Macro",INDEX($S$5:$S$1000,1):INDEX($S$5:$S$1000,$U250-4),INDEX($S$5:$S$1000,$U250-4))&amp;"."&amp;COUNTIFS($U$5:$U250,$U250,$V$5:$V250,"Sub"))))</f>
        <v/>
      </c>
      <c r="B250" s="57" t="n"/>
      <c r="C250" s="58" t="n"/>
      <c r="D250" s="58" t="n"/>
      <c r="E250" s="59" t="n"/>
      <c r="F250" s="59" t="n"/>
      <c r="G250" s="59" t="n"/>
      <c r="H250" s="60" t="n"/>
      <c r="I250" s="60" t="n"/>
      <c r="J250" s="60" t="n"/>
      <c r="K250" s="60" t="n"/>
      <c r="L250" s="60" t="n"/>
      <c r="M250" s="61">
        <f>IF(NOT((COUNTA($B250:$D250)+COUNTA($G250:$L250)+COUNTA($Q250))&gt;0),"",IF(AND($D250&lt;&gt;"",$V250="Macro"),IF(N($AH250)&gt;0,N(CHOOSE(MATCH($D250,ListaPuestos,0),INDEX('Cronograma R. Operacional'!$M$5:$M$1000,$AH250),INDEX('Cronograma R. Normativo'!$M$5:$M$1000,$AH250),INDEX('Cronograma R. Financiero'!$M$5:$M$1000,$AH250),INDEX('Cronograma Asistente Técnico'!$M$5:$M$1000,$AH250))),0),IF(ISNUMBER($G250),1,IF(N($W250)&gt;0,AVERAGEIFS($X$5:$X$1000,$U$5:$U$1000,ROW(),$V$5:$V$1000,"Sub"),$X250))))</f>
        <v/>
      </c>
      <c r="N250" s="56">
        <f>IF(OR($M250="",$V250="Sub"),"",IF($M250&gt;=1,"Completado",IF($M250&gt;0,"En curso","Pendiente")))</f>
        <v/>
      </c>
      <c r="O250" s="56">
        <f>IF(NOT((COUNTA($B250:$D250)+COUNTA($G250:$L250)+COUNTA($Q250))&gt;0),"",IF(AND(AND($D250&lt;&gt;"",$V250="Macro"),N($AH250)&gt;0),CHOOSE(MATCH($D250,ListaPuestos,0),INDEX('Cronograma R. Operacional'!$O$5:$O$1000,$AH250),INDEX('Cronograma R. Normativo'!$O$5:$O$1000,$AH250),INDEX('Cronograma R. Financiero'!$O$5:$O$1000,$AH250),INDEX('Cronograma Asistente Técnico'!$O$5:$O$1000,$AH250))&amp;"",IF(ISNUMBER($G250),IF(AND(ISNUMBER($AN250),$G250&gt;$AN250),"Cumplida con "&amp;($G250-$AN250)&amp;IF($G250-$AN250=1," día"," días")&amp;" de retraso","Cumplida"),IF(N($M250)&gt;=1,"Cumplida",IF(NOT(ISNUMBER($AN250)),"Sin fecha límite",IF($AN250&lt;FechaRef,"Vencida hace "&amp;(FechaRef-$AN250)&amp;IF(FechaRef-$AN250=1," día"," días"),IF($AN250=FechaRef,"Vence hoy",IF($AN250-FechaRef&lt;=DiasAlerta,"Vence en "&amp;($AN250-FechaRef)&amp;IF($AN250-FechaRef=1," día"," días"),"En plazo"))))))))</f>
        <v/>
      </c>
      <c r="P250" s="62">
        <f>IF(NOT((COUNTA($B250:$D250)+COUNTA($G250:$L250)+COUNTA($Q250))&gt;0),"",IF($D250="","Propia",IF($V250&lt;&gt;"Macro","Solo se delegan macroactividades",IF(N($AH250)&gt;0,"✔ Recibida por "&amp;$D250,"⚠ "&amp;$D250&amp;" aún no la agrega"))))</f>
        <v/>
      </c>
      <c r="Q250" s="58" t="n"/>
      <c r="R250" s="63">
        <f>IF(NOT((COUNTA($B250:$D250)+COUNTA($G250:$L250)+COUNTA($Q250))&gt;0),"",IF((IF($C250="","Falta el nombre de la actividad"&amp;" · ","")&amp;IF(AND($V250="Sub",N($U250)=0),"Subactividad sin macroactividad arriba"&amp;" · ","")&amp;IF($AM250="","Sin fecha de inicio"&amp;" · ","")&amp;IF($AN250="","Sin fecha límite"&amp;" · ","")&amp;IF(AND(LEFT($C250,11)="[Jefatura] ",N($AL250)=0),"No se encuentra en la hoja de la jefatura (elíjala de nuevo en la lista)"&amp;" · ","")&amp;IF(OR(AND($E250&lt;&gt;"",NOT(ISNUMBER($E250))),AND($F250&lt;&gt;"",NOT(ISNUMBER($F250))),AND($G250&lt;&gt;"",NOT(ISNUMBER($G250)))),"Fecha no válida"&amp;" · ","")&amp;IF(AND(ISNUMBER($AM250),ISNUMBER($AN250),$AM250&gt;$AN250),"Inicio posterior a fecha límite"&amp;" · ","")&amp;IF(AND($V250="Macro",$H250&lt;&gt;"",OR(NOT(ISNUMBER($H250)),$H250&lt;0,$H250&gt;1)),"Peso fuera de rango"&amp;" · ","")&amp;IF(AND($V250="Sub",$H250&lt;&gt;""),"Las subactividades no llevan peso (valen igual dentro de su macroactividad)"&amp;" · ","")&amp;IF(AND(N($W250)&gt;0,COUNT($I250:$L250)&gt;0),"Con subactividades: deje vacías las semanas (se calculan solas)"&amp;" · ","")&amp;IF((COUNTIF($I250:$L250,"&gt;1")+COUNTIF($I250:$L250,"&lt;0")+COUNTA($I250:$L250)-COUNT($I250:$L250))&gt;0,"Avance fuera de rango 0-100%"&amp;" · ","")&amp;IF(OR(AND($J250&lt;&gt;"",$J250&lt;$I250),AND($K250&lt;&gt;"",$K250&lt;MAX($I250:$J250)),AND($L250&lt;&gt;"",$L250&lt;MAX($I250:$K250))),"Avance semanal decreciente"&amp;" · ","")&amp;IF(AND(ISNUMBER($AN250),$AN250&lt;FechaRef,IF($V250="Sub",N($X250),N($M250))&lt;1),"Vencida"&amp;" · ","")&amp;IF(AND(ObsObligatoria="Sí",ISNUMBER($AN250),$AN250&lt;FechaRef,IF($V250="Sub",N($X250),N($M250))&lt;1,$Q250=""),"Vencida sin observación"&amp;" · ",""))="","✔ OK","⚠ "&amp;LEFT(IF($C250="","Falta el nombre de la actividad"&amp;" · ","")&amp;IF(AND($V250="Sub",N($U250)=0),"Subactividad sin macroactividad arriba"&amp;" · ","")&amp;IF($AM250="","Sin fecha de inicio"&amp;" · ","")&amp;IF($AN250="","Sin fecha límite"&amp;" · ","")&amp;IF(AND(LEFT($C250,11)="[Jefatura] ",N($AL250)=0),"No se encuentra en la hoja de la jefatura (elíjala de nuevo en la lista)"&amp;" · ","")&amp;IF(OR(AND($E250&lt;&gt;"",NOT(ISNUMBER($E250))),AND($F250&lt;&gt;"",NOT(ISNUMBER($F250))),AND($G250&lt;&gt;"",NOT(ISNUMBER($G250)))),"Fecha no válida"&amp;" · ","")&amp;IF(AND(ISNUMBER($AM250),ISNUMBER($AN250),$AM250&gt;$AN250),"Inicio posterior a fecha límite"&amp;" · ","")&amp;IF(AND($V250="Macro",$H250&lt;&gt;"",OR(NOT(ISNUMBER($H250)),$H250&lt;0,$H250&gt;1)),"Peso fuera de rango"&amp;" · ","")&amp;IF(AND($V250="Sub",$H250&lt;&gt;""),"Las subactividades no llevan peso (valen igual dentro de su macroactividad)"&amp;" · ","")&amp;IF(AND(N($W250)&gt;0,COUNT($I250:$L250)&gt;0),"Con subactividades: deje vacías las semanas (se calculan solas)"&amp;" · ","")&amp;IF((COUNTIF($I250:$L250,"&gt;1")+COUNTIF($I250:$L250,"&lt;0")+COUNTA($I250:$L250)-COUNT($I250:$L250))&gt;0,"Avance fuera de rango 0-100%"&amp;" · ","")&amp;IF(OR(AND($J250&lt;&gt;"",$J250&lt;$I250),AND($K250&lt;&gt;"",$K250&lt;MAX($I250:$J250)),AND($L250&lt;&gt;"",$L250&lt;MAX($I250:$K250))),"Avance semanal decreciente"&amp;" · ","")&amp;IF(AND(ISNUMBER($AN250),$AN250&lt;FechaRef,IF($V250="Sub",N($X250),N($M250))&lt;1),"Vencida"&amp;" · ","")&amp;IF(AND(ObsObligatoria="Sí",ISNUMBER($AN250),$AN250&lt;FechaRef,IF($V250="Sub",N($X250),N($M250))&lt;1,$Q250=""),"Vencida sin observación"&amp;" · ",""),LEN(IF($C250="","Falta el nombre de la actividad"&amp;" · ","")&amp;IF(AND($V250="Sub",N($U250)=0),"Subactividad sin macroactividad arriba"&amp;" · ","")&amp;IF($AM250="","Sin fecha de inicio"&amp;" · ","")&amp;IF($AN250="","Sin fecha límite"&amp;" · ","")&amp;IF(AND(LEFT($C250,11)="[Jefatura] ",N($AL250)=0),"No se encuentra en la hoja de la jefatura (elíjala de nuevo en la lista)"&amp;" · ","")&amp;IF(OR(AND($E250&lt;&gt;"",NOT(ISNUMBER($E250))),AND($F250&lt;&gt;"",NOT(ISNUMBER($F250))),AND($G250&lt;&gt;"",NOT(ISNUMBER($G250)))),"Fecha no válida"&amp;" · ","")&amp;IF(AND(ISNUMBER($AM250),ISNUMBER($AN250),$AM250&gt;$AN250),"Inicio posterior a fecha límite"&amp;" · ","")&amp;IF(AND($V250="Macro",$H250&lt;&gt;"",OR(NOT(ISNUMBER($H250)),$H250&lt;0,$H250&gt;1)),"Peso fuera de rango"&amp;" · ","")&amp;IF(AND($V250="Sub",$H250&lt;&gt;""),"Las subactividades no llevan peso (valen igual dentro de su macroactividad)"&amp;" · ","")&amp;IF(AND(N($W250)&gt;0,COUNT($I250:$L250)&gt;0),"Con subactividades: deje vacías las semanas (se calculan solas)"&amp;" · ","")&amp;IF((COUNTIF($I250:$L250,"&gt;1")+COUNTIF($I250:$L250,"&lt;0")+COUNTA($I250:$L250)-COUNT($I250:$L250))&gt;0,"Avance fuera de rango 0-100%"&amp;" · ","")&amp;IF(OR(AND($J250&lt;&gt;"",$J250&lt;$I250),AND($K250&lt;&gt;"",$K250&lt;MAX($I250:$J250)),AND($L250&lt;&gt;"",$L250&lt;MAX($I250:$K250))),"Avance semanal decreciente"&amp;" · ","")&amp;IF(AND(ISNUMBER($AN250),$AN250&lt;FechaRef,IF($V250="Sub",N($X250),N($M250))&lt;1),"Vencida"&amp;" · ","")&amp;IF(AND(ObsObligatoria="Sí",ISNUMBER($AN250),$AN250&lt;FechaRef,IF($V250="Sub",N($X250),N($M250))&lt;1,$Q250=""),"Vencida sin observación"&amp;" · ",""))-3)))</f>
        <v/>
      </c>
      <c r="S250" s="64">
        <f>IF(NOT((COUNTA($B250:$D250)+COUNTA($G250:$L250)+COUNTA($Q250))&gt;0),"",IF(AND($V250="Sub",N($U250)&gt;0),IF(ISNUMBER(INDEX($AM$5:$AM$1000,$U250-4)),DATE(YEAR(INDEX($AM$5:$AM$1000,$U250-4)),MONTH(INDEX($AM$5:$AM$1000,$U250-4)),1),IF(ISNUMBER(INDEX($AN$5:$AN$1000,$U250-4)),DATE(YEAR(INDEX($AN$5:$AN$1000,$U250-4)),MONTH(INDEX($AN$5:$AN$1000,$U250-4)),1),MesCiclo)),IF(ISNUMBER($AM250),DATE(YEAR($AM250),MONTH($AM250),1),IF(ISNUMBER($AN250),DATE(YEAR($AN250),MONTH($AN250),1),MesCiclo))))</f>
        <v/>
      </c>
      <c r="T250" s="62">
        <f>IF(OR($S250="",$S250&lt;&gt;MesCiclo,$V250&lt;&gt;"Macro"),"",COUNTIFS($S$5:$S250,MesCiclo,$V$5:$V250,"Macro"))</f>
        <v/>
      </c>
      <c r="U250" s="62">
        <f>IF($V250="","",IF($V250="Macro",ROW(),IFERROR(LOOKUP(2,1/($V$5:$V250="Macro"),ROW($V$5:$V250)),0)))</f>
        <v/>
      </c>
      <c r="V250" s="62">
        <f>IF(NOT((COUNTA($B250:$D250)+COUNTA($G250:$L250)+COUNTA($Q250))&gt;0),"",IF($B250="Subactividad","Sub","Macro"))</f>
        <v/>
      </c>
      <c r="W250" s="62">
        <f>IF($V250="Macro",COUNTIFS($U$5:$U$1000,ROW(),$V$5:$V$1000,"Sub"),"")</f>
        <v/>
      </c>
      <c r="X250" s="62">
        <f>IF($V250="","",IF(ISNUMBER($G250),1,IFERROR(LOOKUP(2,1/($I250:$L250&lt;&gt;""),$I250:$L250),0)))</f>
        <v/>
      </c>
      <c r="Y250" s="62">
        <f>IF($V250="","",IF(AND(ISNUMBER($G250),$G250&lt;=IF($S250=MesCiclo,InicioCiclo,$S250+MOD(2-WEEKDAY($S250),7))+6),1,IF(ISNUMBER($I250),$I250,0)))</f>
        <v/>
      </c>
      <c r="Z250" s="62">
        <f>IF($V250="","",IF(AND(ISNUMBER($G250),$G250&lt;=IF($S250=MesCiclo,InicioCiclo,$S250+MOD(2-WEEKDAY($S250),7))+13),1,IF(ISNUMBER($J250),$J250,$Y250)))</f>
        <v/>
      </c>
      <c r="AA250" s="62">
        <f>IF($V250="","",IF(AND(ISNUMBER($G250),$G250&lt;=IF($S250=MesCiclo,InicioCiclo,$S250+MOD(2-WEEKDAY($S250),7))+20),1,IF(ISNUMBER($K250),$K250,$Z250)))</f>
        <v/>
      </c>
      <c r="AB250" s="62">
        <f>IF($V250="","",IF(AND(ISNUMBER($G250),$G250&lt;=IF($S250=MesCiclo,InicioCiclo,$S250+MOD(2-WEEKDAY($S250),7))+27),1,IF(ISNUMBER($L250),$L250,$AA250)))</f>
        <v/>
      </c>
      <c r="AC250" s="62">
        <f>IF($V250="","",IF(AND(ISNUMBER($G250),$G250&lt;=IF($S250=MesCiclo,InicioCiclo,$S250+MOD(2-WEEKDAY($S250),7))+6),1,IF(N($W250)&gt;0,AVERAGEIFS($Y$5:$Y$1000,$U$5:$U$1000,ROW(),$V$5:$V$1000,"Sub"),$Y250)))</f>
        <v/>
      </c>
      <c r="AD250" s="62">
        <f>IF($V250="","",IF(AND(ISNUMBER($G250),$G250&lt;=IF($S250=MesCiclo,InicioCiclo,$S250+MOD(2-WEEKDAY($S250),7))+13),1,IF(N($W250)&gt;0,AVERAGEIFS($Z$5:$Z$1000,$U$5:$U$1000,ROW(),$V$5:$V$1000,"Sub"),$Z250)))</f>
        <v/>
      </c>
      <c r="AE250" s="62">
        <f>IF($V250="","",IF(AND(ISNUMBER($G250),$G250&lt;=IF($S250=MesCiclo,InicioCiclo,$S250+MOD(2-WEEKDAY($S250),7))+20),1,IF(N($W250)&gt;0,AVERAGEIFS($AA$5:$AA$1000,$U$5:$U$1000,ROW(),$V$5:$V$1000,"Sub"),$AA250)))</f>
        <v/>
      </c>
      <c r="AF250" s="62">
        <f>IF($V250="","",IF(AND(ISNUMBER($G250),$G250&lt;=IF($S250=MesCiclo,InicioCiclo,$S250+MOD(2-WEEKDAY($S250),7))+27),1,IF(N($W250)&gt;0,AVERAGEIFS($AB$5:$AB$1000,$U$5:$U$1000,ROW(),$V$5:$V$1000,"Sub"),$AB250)))</f>
        <v/>
      </c>
      <c r="AG250" s="62">
        <f>IF($V250&lt;&gt;"Macro","",IF(COUNTIFS($S$5:$S$1000,$S250,$V$5:$V$1000,"Macro",$H$5:$H$1000,"&gt;0")=0,1/COUNTIFS($S$5:$S$1000,$S250,$V$5:$V$1000,"Macro"),IF(AND(ISNUMBER($H250),N($H250)&gt;0),$H250,SUMIFS($H$5:$H$1000,$S$5:$S$1000,$S250,$V$5:$V$1000,"Macro")/COUNTIFS($S$5:$S$1000,$S250,$V$5:$V$1000,"Macro",$H$5:$H$1000,"&gt;0"))/(COUNTIFS($S$5:$S$1000,$S250,$V$5:$V$1000,"Macro")*SUMIFS($H$5:$H$1000,$S$5:$S$1000,$S250,$V$5:$V$1000,"Macro")/COUNTIFS($S$5:$S$1000,$S250,$V$5:$V$1000,"Macro",$H$5:$H$1000,"&gt;0"))))</f>
        <v/>
      </c>
      <c r="AH250" s="62">
        <f>IF(NOT(AND($D250&lt;&gt;"",$V250="Macro")),"",IFERROR(CHOOSE(MATCH($D250,ListaPuestos,0),MATCH("[Jefatura] "&amp;$C250,'Cronograma R. Operacional'!$C$5:$C$1000,0),MATCH("[Jefatura] "&amp;$C250,'Cronograma R. Normativo'!$C$5:$C$1000,0),MATCH("[Jefatura] "&amp;$C250,'Cronograma R. Financiero'!$C$5:$C$1000,0),MATCH("[Jefatura] "&amp;$C250,'Cronograma Asistente Técnico'!$C$5:$C$1000,0)),0))</f>
        <v/>
      </c>
      <c r="AI250" s="62">
        <f>IF(AND(AND($D250&lt;&gt;"",$V250="Macro"),$S250=MesCiclo),COUNTIFS($D$5:$D250,$D250,$S$5:$S250,MesCiclo,$V$5:$V250,"Macro"),"")</f>
        <v/>
      </c>
      <c r="AJ250" s="62">
        <f>IF($AI250="","",$D250&amp;"|"&amp;$AI250)</f>
        <v/>
      </c>
      <c r="AK250" s="62">
        <f>IF(AND($D250&lt;&gt;"",$V250="Macro"),$D250&amp;"|"&amp;$C250,"")</f>
        <v/>
      </c>
      <c r="AL250" s="62">
        <f>""</f>
        <v/>
      </c>
      <c r="AM250" s="62">
        <f>IF(N($AL250)&gt;0,INDEX(rIni_ADM,$AL250),IF(ISNUMBER($E250),$E250,""))</f>
        <v/>
      </c>
      <c r="AN250" s="62">
        <f>IF(N($AL250)&gt;0,INDEX(rLim_ADM,$AL250),IF(ISNUMBER($F250),$F250,""))</f>
        <v/>
      </c>
    </row>
    <row r="251">
      <c r="A251" s="56">
        <f>IF(NOT((COUNTA($B251:$D251)+COUNTA($G251:$L251)+COUNTA($Q251))&gt;0),"",IF($V251="Macro",COUNTIFS($V$5:$V251,"Macro",$S$5:$S251,$S251),IF(N($U251)=0,"?",COUNTIFS(INDEX($V$5:$V$1000,1):INDEX($V$5:$V$1000,$U251-4),"Macro",INDEX($S$5:$S$1000,1):INDEX($S$5:$S$1000,$U251-4),INDEX($S$5:$S$1000,$U251-4))&amp;"."&amp;COUNTIFS($U$5:$U251,$U251,$V$5:$V251,"Sub"))))</f>
        <v/>
      </c>
      <c r="B251" s="57" t="n"/>
      <c r="C251" s="58" t="n"/>
      <c r="D251" s="58" t="n"/>
      <c r="E251" s="59" t="n"/>
      <c r="F251" s="59" t="n"/>
      <c r="G251" s="59" t="n"/>
      <c r="H251" s="60" t="n"/>
      <c r="I251" s="60" t="n"/>
      <c r="J251" s="60" t="n"/>
      <c r="K251" s="60" t="n"/>
      <c r="L251" s="60" t="n"/>
      <c r="M251" s="61">
        <f>IF(NOT((COUNTA($B251:$D251)+COUNTA($G251:$L251)+COUNTA($Q251))&gt;0),"",IF(AND($D251&lt;&gt;"",$V251="Macro"),IF(N($AH251)&gt;0,N(CHOOSE(MATCH($D251,ListaPuestos,0),INDEX('Cronograma R. Operacional'!$M$5:$M$1000,$AH251),INDEX('Cronograma R. Normativo'!$M$5:$M$1000,$AH251),INDEX('Cronograma R. Financiero'!$M$5:$M$1000,$AH251),INDEX('Cronograma Asistente Técnico'!$M$5:$M$1000,$AH251))),0),IF(ISNUMBER($G251),1,IF(N($W251)&gt;0,AVERAGEIFS($X$5:$X$1000,$U$5:$U$1000,ROW(),$V$5:$V$1000,"Sub"),$X251))))</f>
        <v/>
      </c>
      <c r="N251" s="56">
        <f>IF(OR($M251="",$V251="Sub"),"",IF($M251&gt;=1,"Completado",IF($M251&gt;0,"En curso","Pendiente")))</f>
        <v/>
      </c>
      <c r="O251" s="56">
        <f>IF(NOT((COUNTA($B251:$D251)+COUNTA($G251:$L251)+COUNTA($Q251))&gt;0),"",IF(AND(AND($D251&lt;&gt;"",$V251="Macro"),N($AH251)&gt;0),CHOOSE(MATCH($D251,ListaPuestos,0),INDEX('Cronograma R. Operacional'!$O$5:$O$1000,$AH251),INDEX('Cronograma R. Normativo'!$O$5:$O$1000,$AH251),INDEX('Cronograma R. Financiero'!$O$5:$O$1000,$AH251),INDEX('Cronograma Asistente Técnico'!$O$5:$O$1000,$AH251))&amp;"",IF(ISNUMBER($G251),IF(AND(ISNUMBER($AN251),$G251&gt;$AN251),"Cumplida con "&amp;($G251-$AN251)&amp;IF($G251-$AN251=1," día"," días")&amp;" de retraso","Cumplida"),IF(N($M251)&gt;=1,"Cumplida",IF(NOT(ISNUMBER($AN251)),"Sin fecha límite",IF($AN251&lt;FechaRef,"Vencida hace "&amp;(FechaRef-$AN251)&amp;IF(FechaRef-$AN251=1," día"," días"),IF($AN251=FechaRef,"Vence hoy",IF($AN251-FechaRef&lt;=DiasAlerta,"Vence en "&amp;($AN251-FechaRef)&amp;IF($AN251-FechaRef=1," día"," días"),"En plazo"))))))))</f>
        <v/>
      </c>
      <c r="P251" s="62">
        <f>IF(NOT((COUNTA($B251:$D251)+COUNTA($G251:$L251)+COUNTA($Q251))&gt;0),"",IF($D251="","Propia",IF($V251&lt;&gt;"Macro","Solo se delegan macroactividades",IF(N($AH251)&gt;0,"✔ Recibida por "&amp;$D251,"⚠ "&amp;$D251&amp;" aún no la agrega"))))</f>
        <v/>
      </c>
      <c r="Q251" s="58" t="n"/>
      <c r="R251" s="63">
        <f>IF(NOT((COUNTA($B251:$D251)+COUNTA($G251:$L251)+COUNTA($Q251))&gt;0),"",IF((IF($C251="","Falta el nombre de la actividad"&amp;" · ","")&amp;IF(AND($V251="Sub",N($U251)=0),"Subactividad sin macroactividad arriba"&amp;" · ","")&amp;IF($AM251="","Sin fecha de inicio"&amp;" · ","")&amp;IF($AN251="","Sin fecha límite"&amp;" · ","")&amp;IF(AND(LEFT($C251,11)="[Jefatura] ",N($AL251)=0),"No se encuentra en la hoja de la jefatura (elíjala de nuevo en la lista)"&amp;" · ","")&amp;IF(OR(AND($E251&lt;&gt;"",NOT(ISNUMBER($E251))),AND($F251&lt;&gt;"",NOT(ISNUMBER($F251))),AND($G251&lt;&gt;"",NOT(ISNUMBER($G251)))),"Fecha no válida"&amp;" · ","")&amp;IF(AND(ISNUMBER($AM251),ISNUMBER($AN251),$AM251&gt;$AN251),"Inicio posterior a fecha límite"&amp;" · ","")&amp;IF(AND($V251="Macro",$H251&lt;&gt;"",OR(NOT(ISNUMBER($H251)),$H251&lt;0,$H251&gt;1)),"Peso fuera de rango"&amp;" · ","")&amp;IF(AND($V251="Sub",$H251&lt;&gt;""),"Las subactividades no llevan peso (valen igual dentro de su macroactividad)"&amp;" · ","")&amp;IF(AND(N($W251)&gt;0,COUNT($I251:$L251)&gt;0),"Con subactividades: deje vacías las semanas (se calculan solas)"&amp;" · ","")&amp;IF((COUNTIF($I251:$L251,"&gt;1")+COUNTIF($I251:$L251,"&lt;0")+COUNTA($I251:$L251)-COUNT($I251:$L251))&gt;0,"Avance fuera de rango 0-100%"&amp;" · ","")&amp;IF(OR(AND($J251&lt;&gt;"",$J251&lt;$I251),AND($K251&lt;&gt;"",$K251&lt;MAX($I251:$J251)),AND($L251&lt;&gt;"",$L251&lt;MAX($I251:$K251))),"Avance semanal decreciente"&amp;" · ","")&amp;IF(AND(ISNUMBER($AN251),$AN251&lt;FechaRef,IF($V251="Sub",N($X251),N($M251))&lt;1),"Vencida"&amp;" · ","")&amp;IF(AND(ObsObligatoria="Sí",ISNUMBER($AN251),$AN251&lt;FechaRef,IF($V251="Sub",N($X251),N($M251))&lt;1,$Q251=""),"Vencida sin observación"&amp;" · ",""))="","✔ OK","⚠ "&amp;LEFT(IF($C251="","Falta el nombre de la actividad"&amp;" · ","")&amp;IF(AND($V251="Sub",N($U251)=0),"Subactividad sin macroactividad arriba"&amp;" · ","")&amp;IF($AM251="","Sin fecha de inicio"&amp;" · ","")&amp;IF($AN251="","Sin fecha límite"&amp;" · ","")&amp;IF(AND(LEFT($C251,11)="[Jefatura] ",N($AL251)=0),"No se encuentra en la hoja de la jefatura (elíjala de nuevo en la lista)"&amp;" · ","")&amp;IF(OR(AND($E251&lt;&gt;"",NOT(ISNUMBER($E251))),AND($F251&lt;&gt;"",NOT(ISNUMBER($F251))),AND($G251&lt;&gt;"",NOT(ISNUMBER($G251)))),"Fecha no válida"&amp;" · ","")&amp;IF(AND(ISNUMBER($AM251),ISNUMBER($AN251),$AM251&gt;$AN251),"Inicio posterior a fecha límite"&amp;" · ","")&amp;IF(AND($V251="Macro",$H251&lt;&gt;"",OR(NOT(ISNUMBER($H251)),$H251&lt;0,$H251&gt;1)),"Peso fuera de rango"&amp;" · ","")&amp;IF(AND($V251="Sub",$H251&lt;&gt;""),"Las subactividades no llevan peso (valen igual dentro de su macroactividad)"&amp;" · ","")&amp;IF(AND(N($W251)&gt;0,COUNT($I251:$L251)&gt;0),"Con subactividades: deje vacías las semanas (se calculan solas)"&amp;" · ","")&amp;IF((COUNTIF($I251:$L251,"&gt;1")+COUNTIF($I251:$L251,"&lt;0")+COUNTA($I251:$L251)-COUNT($I251:$L251))&gt;0,"Avance fuera de rango 0-100%"&amp;" · ","")&amp;IF(OR(AND($J251&lt;&gt;"",$J251&lt;$I251),AND($K251&lt;&gt;"",$K251&lt;MAX($I251:$J251)),AND($L251&lt;&gt;"",$L251&lt;MAX($I251:$K251))),"Avance semanal decreciente"&amp;" · ","")&amp;IF(AND(ISNUMBER($AN251),$AN251&lt;FechaRef,IF($V251="Sub",N($X251),N($M251))&lt;1),"Vencida"&amp;" · ","")&amp;IF(AND(ObsObligatoria="Sí",ISNUMBER($AN251),$AN251&lt;FechaRef,IF($V251="Sub",N($X251),N($M251))&lt;1,$Q251=""),"Vencida sin observación"&amp;" · ",""),LEN(IF($C251="","Falta el nombre de la actividad"&amp;" · ","")&amp;IF(AND($V251="Sub",N($U251)=0),"Subactividad sin macroactividad arriba"&amp;" · ","")&amp;IF($AM251="","Sin fecha de inicio"&amp;" · ","")&amp;IF($AN251="","Sin fecha límite"&amp;" · ","")&amp;IF(AND(LEFT($C251,11)="[Jefatura] ",N($AL251)=0),"No se encuentra en la hoja de la jefatura (elíjala de nuevo en la lista)"&amp;" · ","")&amp;IF(OR(AND($E251&lt;&gt;"",NOT(ISNUMBER($E251))),AND($F251&lt;&gt;"",NOT(ISNUMBER($F251))),AND($G251&lt;&gt;"",NOT(ISNUMBER($G251)))),"Fecha no válida"&amp;" · ","")&amp;IF(AND(ISNUMBER($AM251),ISNUMBER($AN251),$AM251&gt;$AN251),"Inicio posterior a fecha límite"&amp;" · ","")&amp;IF(AND($V251="Macro",$H251&lt;&gt;"",OR(NOT(ISNUMBER($H251)),$H251&lt;0,$H251&gt;1)),"Peso fuera de rango"&amp;" · ","")&amp;IF(AND($V251="Sub",$H251&lt;&gt;""),"Las subactividades no llevan peso (valen igual dentro de su macroactividad)"&amp;" · ","")&amp;IF(AND(N($W251)&gt;0,COUNT($I251:$L251)&gt;0),"Con subactividades: deje vacías las semanas (se calculan solas)"&amp;" · ","")&amp;IF((COUNTIF($I251:$L251,"&gt;1")+COUNTIF($I251:$L251,"&lt;0")+COUNTA($I251:$L251)-COUNT($I251:$L251))&gt;0,"Avance fuera de rango 0-100%"&amp;" · ","")&amp;IF(OR(AND($J251&lt;&gt;"",$J251&lt;$I251),AND($K251&lt;&gt;"",$K251&lt;MAX($I251:$J251)),AND($L251&lt;&gt;"",$L251&lt;MAX($I251:$K251))),"Avance semanal decreciente"&amp;" · ","")&amp;IF(AND(ISNUMBER($AN251),$AN251&lt;FechaRef,IF($V251="Sub",N($X251),N($M251))&lt;1),"Vencida"&amp;" · ","")&amp;IF(AND(ObsObligatoria="Sí",ISNUMBER($AN251),$AN251&lt;FechaRef,IF($V251="Sub",N($X251),N($M251))&lt;1,$Q251=""),"Vencida sin observación"&amp;" · ",""))-3)))</f>
        <v/>
      </c>
      <c r="S251" s="64">
        <f>IF(NOT((COUNTA($B251:$D251)+COUNTA($G251:$L251)+COUNTA($Q251))&gt;0),"",IF(AND($V251="Sub",N($U251)&gt;0),IF(ISNUMBER(INDEX($AM$5:$AM$1000,$U251-4)),DATE(YEAR(INDEX($AM$5:$AM$1000,$U251-4)),MONTH(INDEX($AM$5:$AM$1000,$U251-4)),1),IF(ISNUMBER(INDEX($AN$5:$AN$1000,$U251-4)),DATE(YEAR(INDEX($AN$5:$AN$1000,$U251-4)),MONTH(INDEX($AN$5:$AN$1000,$U251-4)),1),MesCiclo)),IF(ISNUMBER($AM251),DATE(YEAR($AM251),MONTH($AM251),1),IF(ISNUMBER($AN251),DATE(YEAR($AN251),MONTH($AN251),1),MesCiclo))))</f>
        <v/>
      </c>
      <c r="T251" s="62">
        <f>IF(OR($S251="",$S251&lt;&gt;MesCiclo,$V251&lt;&gt;"Macro"),"",COUNTIFS($S$5:$S251,MesCiclo,$V$5:$V251,"Macro"))</f>
        <v/>
      </c>
      <c r="U251" s="62">
        <f>IF($V251="","",IF($V251="Macro",ROW(),IFERROR(LOOKUP(2,1/($V$5:$V251="Macro"),ROW($V$5:$V251)),0)))</f>
        <v/>
      </c>
      <c r="V251" s="62">
        <f>IF(NOT((COUNTA($B251:$D251)+COUNTA($G251:$L251)+COUNTA($Q251))&gt;0),"",IF($B251="Subactividad","Sub","Macro"))</f>
        <v/>
      </c>
      <c r="W251" s="62">
        <f>IF($V251="Macro",COUNTIFS($U$5:$U$1000,ROW(),$V$5:$V$1000,"Sub"),"")</f>
        <v/>
      </c>
      <c r="X251" s="62">
        <f>IF($V251="","",IF(ISNUMBER($G251),1,IFERROR(LOOKUP(2,1/($I251:$L251&lt;&gt;""),$I251:$L251),0)))</f>
        <v/>
      </c>
      <c r="Y251" s="62">
        <f>IF($V251="","",IF(AND(ISNUMBER($G251),$G251&lt;=IF($S251=MesCiclo,InicioCiclo,$S251+MOD(2-WEEKDAY($S251),7))+6),1,IF(ISNUMBER($I251),$I251,0)))</f>
        <v/>
      </c>
      <c r="Z251" s="62">
        <f>IF($V251="","",IF(AND(ISNUMBER($G251),$G251&lt;=IF($S251=MesCiclo,InicioCiclo,$S251+MOD(2-WEEKDAY($S251),7))+13),1,IF(ISNUMBER($J251),$J251,$Y251)))</f>
        <v/>
      </c>
      <c r="AA251" s="62">
        <f>IF($V251="","",IF(AND(ISNUMBER($G251),$G251&lt;=IF($S251=MesCiclo,InicioCiclo,$S251+MOD(2-WEEKDAY($S251),7))+20),1,IF(ISNUMBER($K251),$K251,$Z251)))</f>
        <v/>
      </c>
      <c r="AB251" s="62">
        <f>IF($V251="","",IF(AND(ISNUMBER($G251),$G251&lt;=IF($S251=MesCiclo,InicioCiclo,$S251+MOD(2-WEEKDAY($S251),7))+27),1,IF(ISNUMBER($L251),$L251,$AA251)))</f>
        <v/>
      </c>
      <c r="AC251" s="62">
        <f>IF($V251="","",IF(AND(ISNUMBER($G251),$G251&lt;=IF($S251=MesCiclo,InicioCiclo,$S251+MOD(2-WEEKDAY($S251),7))+6),1,IF(N($W251)&gt;0,AVERAGEIFS($Y$5:$Y$1000,$U$5:$U$1000,ROW(),$V$5:$V$1000,"Sub"),$Y251)))</f>
        <v/>
      </c>
      <c r="AD251" s="62">
        <f>IF($V251="","",IF(AND(ISNUMBER($G251),$G251&lt;=IF($S251=MesCiclo,InicioCiclo,$S251+MOD(2-WEEKDAY($S251),7))+13),1,IF(N($W251)&gt;0,AVERAGEIFS($Z$5:$Z$1000,$U$5:$U$1000,ROW(),$V$5:$V$1000,"Sub"),$Z251)))</f>
        <v/>
      </c>
      <c r="AE251" s="62">
        <f>IF($V251="","",IF(AND(ISNUMBER($G251),$G251&lt;=IF($S251=MesCiclo,InicioCiclo,$S251+MOD(2-WEEKDAY($S251),7))+20),1,IF(N($W251)&gt;0,AVERAGEIFS($AA$5:$AA$1000,$U$5:$U$1000,ROW(),$V$5:$V$1000,"Sub"),$AA251)))</f>
        <v/>
      </c>
      <c r="AF251" s="62">
        <f>IF($V251="","",IF(AND(ISNUMBER($G251),$G251&lt;=IF($S251=MesCiclo,InicioCiclo,$S251+MOD(2-WEEKDAY($S251),7))+27),1,IF(N($W251)&gt;0,AVERAGEIFS($AB$5:$AB$1000,$U$5:$U$1000,ROW(),$V$5:$V$1000,"Sub"),$AB251)))</f>
        <v/>
      </c>
      <c r="AG251" s="62">
        <f>IF($V251&lt;&gt;"Macro","",IF(COUNTIFS($S$5:$S$1000,$S251,$V$5:$V$1000,"Macro",$H$5:$H$1000,"&gt;0")=0,1/COUNTIFS($S$5:$S$1000,$S251,$V$5:$V$1000,"Macro"),IF(AND(ISNUMBER($H251),N($H251)&gt;0),$H251,SUMIFS($H$5:$H$1000,$S$5:$S$1000,$S251,$V$5:$V$1000,"Macro")/COUNTIFS($S$5:$S$1000,$S251,$V$5:$V$1000,"Macro",$H$5:$H$1000,"&gt;0"))/(COUNTIFS($S$5:$S$1000,$S251,$V$5:$V$1000,"Macro")*SUMIFS($H$5:$H$1000,$S$5:$S$1000,$S251,$V$5:$V$1000,"Macro")/COUNTIFS($S$5:$S$1000,$S251,$V$5:$V$1000,"Macro",$H$5:$H$1000,"&gt;0"))))</f>
        <v/>
      </c>
      <c r="AH251" s="62">
        <f>IF(NOT(AND($D251&lt;&gt;"",$V251="Macro")),"",IFERROR(CHOOSE(MATCH($D251,ListaPuestos,0),MATCH("[Jefatura] "&amp;$C251,'Cronograma R. Operacional'!$C$5:$C$1000,0),MATCH("[Jefatura] "&amp;$C251,'Cronograma R. Normativo'!$C$5:$C$1000,0),MATCH("[Jefatura] "&amp;$C251,'Cronograma R. Financiero'!$C$5:$C$1000,0),MATCH("[Jefatura] "&amp;$C251,'Cronograma Asistente Técnico'!$C$5:$C$1000,0)),0))</f>
        <v/>
      </c>
      <c r="AI251" s="62">
        <f>IF(AND(AND($D251&lt;&gt;"",$V251="Macro"),$S251=MesCiclo),COUNTIFS($D$5:$D251,$D251,$S$5:$S251,MesCiclo,$V$5:$V251,"Macro"),"")</f>
        <v/>
      </c>
      <c r="AJ251" s="62">
        <f>IF($AI251="","",$D251&amp;"|"&amp;$AI251)</f>
        <v/>
      </c>
      <c r="AK251" s="62">
        <f>IF(AND($D251&lt;&gt;"",$V251="Macro"),$D251&amp;"|"&amp;$C251,"")</f>
        <v/>
      </c>
      <c r="AL251" s="62">
        <f>""</f>
        <v/>
      </c>
      <c r="AM251" s="62">
        <f>IF(N($AL251)&gt;0,INDEX(rIni_ADM,$AL251),IF(ISNUMBER($E251),$E251,""))</f>
        <v/>
      </c>
      <c r="AN251" s="62">
        <f>IF(N($AL251)&gt;0,INDEX(rLim_ADM,$AL251),IF(ISNUMBER($F251),$F251,""))</f>
        <v/>
      </c>
    </row>
    <row r="252">
      <c r="A252" s="56">
        <f>IF(NOT((COUNTA($B252:$D252)+COUNTA($G252:$L252)+COUNTA($Q252))&gt;0),"",IF($V252="Macro",COUNTIFS($V$5:$V252,"Macro",$S$5:$S252,$S252),IF(N($U252)=0,"?",COUNTIFS(INDEX($V$5:$V$1000,1):INDEX($V$5:$V$1000,$U252-4),"Macro",INDEX($S$5:$S$1000,1):INDEX($S$5:$S$1000,$U252-4),INDEX($S$5:$S$1000,$U252-4))&amp;"."&amp;COUNTIFS($U$5:$U252,$U252,$V$5:$V252,"Sub"))))</f>
        <v/>
      </c>
      <c r="B252" s="57" t="n"/>
      <c r="C252" s="58" t="n"/>
      <c r="D252" s="58" t="n"/>
      <c r="E252" s="59" t="n"/>
      <c r="F252" s="59" t="n"/>
      <c r="G252" s="59" t="n"/>
      <c r="H252" s="60" t="n"/>
      <c r="I252" s="60" t="n"/>
      <c r="J252" s="60" t="n"/>
      <c r="K252" s="60" t="n"/>
      <c r="L252" s="60" t="n"/>
      <c r="M252" s="61">
        <f>IF(NOT((COUNTA($B252:$D252)+COUNTA($G252:$L252)+COUNTA($Q252))&gt;0),"",IF(AND($D252&lt;&gt;"",$V252="Macro"),IF(N($AH252)&gt;0,N(CHOOSE(MATCH($D252,ListaPuestos,0),INDEX('Cronograma R. Operacional'!$M$5:$M$1000,$AH252),INDEX('Cronograma R. Normativo'!$M$5:$M$1000,$AH252),INDEX('Cronograma R. Financiero'!$M$5:$M$1000,$AH252),INDEX('Cronograma Asistente Técnico'!$M$5:$M$1000,$AH252))),0),IF(ISNUMBER($G252),1,IF(N($W252)&gt;0,AVERAGEIFS($X$5:$X$1000,$U$5:$U$1000,ROW(),$V$5:$V$1000,"Sub"),$X252))))</f>
        <v/>
      </c>
      <c r="N252" s="56">
        <f>IF(OR($M252="",$V252="Sub"),"",IF($M252&gt;=1,"Completado",IF($M252&gt;0,"En curso","Pendiente")))</f>
        <v/>
      </c>
      <c r="O252" s="56">
        <f>IF(NOT((COUNTA($B252:$D252)+COUNTA($G252:$L252)+COUNTA($Q252))&gt;0),"",IF(AND(AND($D252&lt;&gt;"",$V252="Macro"),N($AH252)&gt;0),CHOOSE(MATCH($D252,ListaPuestos,0),INDEX('Cronograma R. Operacional'!$O$5:$O$1000,$AH252),INDEX('Cronograma R. Normativo'!$O$5:$O$1000,$AH252),INDEX('Cronograma R. Financiero'!$O$5:$O$1000,$AH252),INDEX('Cronograma Asistente Técnico'!$O$5:$O$1000,$AH252))&amp;"",IF(ISNUMBER($G252),IF(AND(ISNUMBER($AN252),$G252&gt;$AN252),"Cumplida con "&amp;($G252-$AN252)&amp;IF($G252-$AN252=1," día"," días")&amp;" de retraso","Cumplida"),IF(N($M252)&gt;=1,"Cumplida",IF(NOT(ISNUMBER($AN252)),"Sin fecha límite",IF($AN252&lt;FechaRef,"Vencida hace "&amp;(FechaRef-$AN252)&amp;IF(FechaRef-$AN252=1," día"," días"),IF($AN252=FechaRef,"Vence hoy",IF($AN252-FechaRef&lt;=DiasAlerta,"Vence en "&amp;($AN252-FechaRef)&amp;IF($AN252-FechaRef=1," día"," días"),"En plazo"))))))))</f>
        <v/>
      </c>
      <c r="P252" s="62">
        <f>IF(NOT((COUNTA($B252:$D252)+COUNTA($G252:$L252)+COUNTA($Q252))&gt;0),"",IF($D252="","Propia",IF($V252&lt;&gt;"Macro","Solo se delegan macroactividades",IF(N($AH252)&gt;0,"✔ Recibida por "&amp;$D252,"⚠ "&amp;$D252&amp;" aún no la agrega"))))</f>
        <v/>
      </c>
      <c r="Q252" s="58" t="n"/>
      <c r="R252" s="63">
        <f>IF(NOT((COUNTA($B252:$D252)+COUNTA($G252:$L252)+COUNTA($Q252))&gt;0),"",IF((IF($C252="","Falta el nombre de la actividad"&amp;" · ","")&amp;IF(AND($V252="Sub",N($U252)=0),"Subactividad sin macroactividad arriba"&amp;" · ","")&amp;IF($AM252="","Sin fecha de inicio"&amp;" · ","")&amp;IF($AN252="","Sin fecha límite"&amp;" · ","")&amp;IF(AND(LEFT($C252,11)="[Jefatura] ",N($AL252)=0),"No se encuentra en la hoja de la jefatura (elíjala de nuevo en la lista)"&amp;" · ","")&amp;IF(OR(AND($E252&lt;&gt;"",NOT(ISNUMBER($E252))),AND($F252&lt;&gt;"",NOT(ISNUMBER($F252))),AND($G252&lt;&gt;"",NOT(ISNUMBER($G252)))),"Fecha no válida"&amp;" · ","")&amp;IF(AND(ISNUMBER($AM252),ISNUMBER($AN252),$AM252&gt;$AN252),"Inicio posterior a fecha límite"&amp;" · ","")&amp;IF(AND($V252="Macro",$H252&lt;&gt;"",OR(NOT(ISNUMBER($H252)),$H252&lt;0,$H252&gt;1)),"Peso fuera de rango"&amp;" · ","")&amp;IF(AND($V252="Sub",$H252&lt;&gt;""),"Las subactividades no llevan peso (valen igual dentro de su macroactividad)"&amp;" · ","")&amp;IF(AND(N($W252)&gt;0,COUNT($I252:$L252)&gt;0),"Con subactividades: deje vacías las semanas (se calculan solas)"&amp;" · ","")&amp;IF((COUNTIF($I252:$L252,"&gt;1")+COUNTIF($I252:$L252,"&lt;0")+COUNTA($I252:$L252)-COUNT($I252:$L252))&gt;0,"Avance fuera de rango 0-100%"&amp;" · ","")&amp;IF(OR(AND($J252&lt;&gt;"",$J252&lt;$I252),AND($K252&lt;&gt;"",$K252&lt;MAX($I252:$J252)),AND($L252&lt;&gt;"",$L252&lt;MAX($I252:$K252))),"Avance semanal decreciente"&amp;" · ","")&amp;IF(AND(ISNUMBER($AN252),$AN252&lt;FechaRef,IF($V252="Sub",N($X252),N($M252))&lt;1),"Vencida"&amp;" · ","")&amp;IF(AND(ObsObligatoria="Sí",ISNUMBER($AN252),$AN252&lt;FechaRef,IF($V252="Sub",N($X252),N($M252))&lt;1,$Q252=""),"Vencida sin observación"&amp;" · ",""))="","✔ OK","⚠ "&amp;LEFT(IF($C252="","Falta el nombre de la actividad"&amp;" · ","")&amp;IF(AND($V252="Sub",N($U252)=0),"Subactividad sin macroactividad arriba"&amp;" · ","")&amp;IF($AM252="","Sin fecha de inicio"&amp;" · ","")&amp;IF($AN252="","Sin fecha límite"&amp;" · ","")&amp;IF(AND(LEFT($C252,11)="[Jefatura] ",N($AL252)=0),"No se encuentra en la hoja de la jefatura (elíjala de nuevo en la lista)"&amp;" · ","")&amp;IF(OR(AND($E252&lt;&gt;"",NOT(ISNUMBER($E252))),AND($F252&lt;&gt;"",NOT(ISNUMBER($F252))),AND($G252&lt;&gt;"",NOT(ISNUMBER($G252)))),"Fecha no válida"&amp;" · ","")&amp;IF(AND(ISNUMBER($AM252),ISNUMBER($AN252),$AM252&gt;$AN252),"Inicio posterior a fecha límite"&amp;" · ","")&amp;IF(AND($V252="Macro",$H252&lt;&gt;"",OR(NOT(ISNUMBER($H252)),$H252&lt;0,$H252&gt;1)),"Peso fuera de rango"&amp;" · ","")&amp;IF(AND($V252="Sub",$H252&lt;&gt;""),"Las subactividades no llevan peso (valen igual dentro de su macroactividad)"&amp;" · ","")&amp;IF(AND(N($W252)&gt;0,COUNT($I252:$L252)&gt;0),"Con subactividades: deje vacías las semanas (se calculan solas)"&amp;" · ","")&amp;IF((COUNTIF($I252:$L252,"&gt;1")+COUNTIF($I252:$L252,"&lt;0")+COUNTA($I252:$L252)-COUNT($I252:$L252))&gt;0,"Avance fuera de rango 0-100%"&amp;" · ","")&amp;IF(OR(AND($J252&lt;&gt;"",$J252&lt;$I252),AND($K252&lt;&gt;"",$K252&lt;MAX($I252:$J252)),AND($L252&lt;&gt;"",$L252&lt;MAX($I252:$K252))),"Avance semanal decreciente"&amp;" · ","")&amp;IF(AND(ISNUMBER($AN252),$AN252&lt;FechaRef,IF($V252="Sub",N($X252),N($M252))&lt;1),"Vencida"&amp;" · ","")&amp;IF(AND(ObsObligatoria="Sí",ISNUMBER($AN252),$AN252&lt;FechaRef,IF($V252="Sub",N($X252),N($M252))&lt;1,$Q252=""),"Vencida sin observación"&amp;" · ",""),LEN(IF($C252="","Falta el nombre de la actividad"&amp;" · ","")&amp;IF(AND($V252="Sub",N($U252)=0),"Subactividad sin macroactividad arriba"&amp;" · ","")&amp;IF($AM252="","Sin fecha de inicio"&amp;" · ","")&amp;IF($AN252="","Sin fecha límite"&amp;" · ","")&amp;IF(AND(LEFT($C252,11)="[Jefatura] ",N($AL252)=0),"No se encuentra en la hoja de la jefatura (elíjala de nuevo en la lista)"&amp;" · ","")&amp;IF(OR(AND($E252&lt;&gt;"",NOT(ISNUMBER($E252))),AND($F252&lt;&gt;"",NOT(ISNUMBER($F252))),AND($G252&lt;&gt;"",NOT(ISNUMBER($G252)))),"Fecha no válida"&amp;" · ","")&amp;IF(AND(ISNUMBER($AM252),ISNUMBER($AN252),$AM252&gt;$AN252),"Inicio posterior a fecha límite"&amp;" · ","")&amp;IF(AND($V252="Macro",$H252&lt;&gt;"",OR(NOT(ISNUMBER($H252)),$H252&lt;0,$H252&gt;1)),"Peso fuera de rango"&amp;" · ","")&amp;IF(AND($V252="Sub",$H252&lt;&gt;""),"Las subactividades no llevan peso (valen igual dentro de su macroactividad)"&amp;" · ","")&amp;IF(AND(N($W252)&gt;0,COUNT($I252:$L252)&gt;0),"Con subactividades: deje vacías las semanas (se calculan solas)"&amp;" · ","")&amp;IF((COUNTIF($I252:$L252,"&gt;1")+COUNTIF($I252:$L252,"&lt;0")+COUNTA($I252:$L252)-COUNT($I252:$L252))&gt;0,"Avance fuera de rango 0-100%"&amp;" · ","")&amp;IF(OR(AND($J252&lt;&gt;"",$J252&lt;$I252),AND($K252&lt;&gt;"",$K252&lt;MAX($I252:$J252)),AND($L252&lt;&gt;"",$L252&lt;MAX($I252:$K252))),"Avance semanal decreciente"&amp;" · ","")&amp;IF(AND(ISNUMBER($AN252),$AN252&lt;FechaRef,IF($V252="Sub",N($X252),N($M252))&lt;1),"Vencida"&amp;" · ","")&amp;IF(AND(ObsObligatoria="Sí",ISNUMBER($AN252),$AN252&lt;FechaRef,IF($V252="Sub",N($X252),N($M252))&lt;1,$Q252=""),"Vencida sin observación"&amp;" · ",""))-3)))</f>
        <v/>
      </c>
      <c r="S252" s="64">
        <f>IF(NOT((COUNTA($B252:$D252)+COUNTA($G252:$L252)+COUNTA($Q252))&gt;0),"",IF(AND($V252="Sub",N($U252)&gt;0),IF(ISNUMBER(INDEX($AM$5:$AM$1000,$U252-4)),DATE(YEAR(INDEX($AM$5:$AM$1000,$U252-4)),MONTH(INDEX($AM$5:$AM$1000,$U252-4)),1),IF(ISNUMBER(INDEX($AN$5:$AN$1000,$U252-4)),DATE(YEAR(INDEX($AN$5:$AN$1000,$U252-4)),MONTH(INDEX($AN$5:$AN$1000,$U252-4)),1),MesCiclo)),IF(ISNUMBER($AM252),DATE(YEAR($AM252),MONTH($AM252),1),IF(ISNUMBER($AN252),DATE(YEAR($AN252),MONTH($AN252),1),MesCiclo))))</f>
        <v/>
      </c>
      <c r="T252" s="62">
        <f>IF(OR($S252="",$S252&lt;&gt;MesCiclo,$V252&lt;&gt;"Macro"),"",COUNTIFS($S$5:$S252,MesCiclo,$V$5:$V252,"Macro"))</f>
        <v/>
      </c>
      <c r="U252" s="62">
        <f>IF($V252="","",IF($V252="Macro",ROW(),IFERROR(LOOKUP(2,1/($V$5:$V252="Macro"),ROW($V$5:$V252)),0)))</f>
        <v/>
      </c>
      <c r="V252" s="62">
        <f>IF(NOT((COUNTA($B252:$D252)+COUNTA($G252:$L252)+COUNTA($Q252))&gt;0),"",IF($B252="Subactividad","Sub","Macro"))</f>
        <v/>
      </c>
      <c r="W252" s="62">
        <f>IF($V252="Macro",COUNTIFS($U$5:$U$1000,ROW(),$V$5:$V$1000,"Sub"),"")</f>
        <v/>
      </c>
      <c r="X252" s="62">
        <f>IF($V252="","",IF(ISNUMBER($G252),1,IFERROR(LOOKUP(2,1/($I252:$L252&lt;&gt;""),$I252:$L252),0)))</f>
        <v/>
      </c>
      <c r="Y252" s="62">
        <f>IF($V252="","",IF(AND(ISNUMBER($G252),$G252&lt;=IF($S252=MesCiclo,InicioCiclo,$S252+MOD(2-WEEKDAY($S252),7))+6),1,IF(ISNUMBER($I252),$I252,0)))</f>
        <v/>
      </c>
      <c r="Z252" s="62">
        <f>IF($V252="","",IF(AND(ISNUMBER($G252),$G252&lt;=IF($S252=MesCiclo,InicioCiclo,$S252+MOD(2-WEEKDAY($S252),7))+13),1,IF(ISNUMBER($J252),$J252,$Y252)))</f>
        <v/>
      </c>
      <c r="AA252" s="62">
        <f>IF($V252="","",IF(AND(ISNUMBER($G252),$G252&lt;=IF($S252=MesCiclo,InicioCiclo,$S252+MOD(2-WEEKDAY($S252),7))+20),1,IF(ISNUMBER($K252),$K252,$Z252)))</f>
        <v/>
      </c>
      <c r="AB252" s="62">
        <f>IF($V252="","",IF(AND(ISNUMBER($G252),$G252&lt;=IF($S252=MesCiclo,InicioCiclo,$S252+MOD(2-WEEKDAY($S252),7))+27),1,IF(ISNUMBER($L252),$L252,$AA252)))</f>
        <v/>
      </c>
      <c r="AC252" s="62">
        <f>IF($V252="","",IF(AND(ISNUMBER($G252),$G252&lt;=IF($S252=MesCiclo,InicioCiclo,$S252+MOD(2-WEEKDAY($S252),7))+6),1,IF(N($W252)&gt;0,AVERAGEIFS($Y$5:$Y$1000,$U$5:$U$1000,ROW(),$V$5:$V$1000,"Sub"),$Y252)))</f>
        <v/>
      </c>
      <c r="AD252" s="62">
        <f>IF($V252="","",IF(AND(ISNUMBER($G252),$G252&lt;=IF($S252=MesCiclo,InicioCiclo,$S252+MOD(2-WEEKDAY($S252),7))+13),1,IF(N($W252)&gt;0,AVERAGEIFS($Z$5:$Z$1000,$U$5:$U$1000,ROW(),$V$5:$V$1000,"Sub"),$Z252)))</f>
        <v/>
      </c>
      <c r="AE252" s="62">
        <f>IF($V252="","",IF(AND(ISNUMBER($G252),$G252&lt;=IF($S252=MesCiclo,InicioCiclo,$S252+MOD(2-WEEKDAY($S252),7))+20),1,IF(N($W252)&gt;0,AVERAGEIFS($AA$5:$AA$1000,$U$5:$U$1000,ROW(),$V$5:$V$1000,"Sub"),$AA252)))</f>
        <v/>
      </c>
      <c r="AF252" s="62">
        <f>IF($V252="","",IF(AND(ISNUMBER($G252),$G252&lt;=IF($S252=MesCiclo,InicioCiclo,$S252+MOD(2-WEEKDAY($S252),7))+27),1,IF(N($W252)&gt;0,AVERAGEIFS($AB$5:$AB$1000,$U$5:$U$1000,ROW(),$V$5:$V$1000,"Sub"),$AB252)))</f>
        <v/>
      </c>
      <c r="AG252" s="62">
        <f>IF($V252&lt;&gt;"Macro","",IF(COUNTIFS($S$5:$S$1000,$S252,$V$5:$V$1000,"Macro",$H$5:$H$1000,"&gt;0")=0,1/COUNTIFS($S$5:$S$1000,$S252,$V$5:$V$1000,"Macro"),IF(AND(ISNUMBER($H252),N($H252)&gt;0),$H252,SUMIFS($H$5:$H$1000,$S$5:$S$1000,$S252,$V$5:$V$1000,"Macro")/COUNTIFS($S$5:$S$1000,$S252,$V$5:$V$1000,"Macro",$H$5:$H$1000,"&gt;0"))/(COUNTIFS($S$5:$S$1000,$S252,$V$5:$V$1000,"Macro")*SUMIFS($H$5:$H$1000,$S$5:$S$1000,$S252,$V$5:$V$1000,"Macro")/COUNTIFS($S$5:$S$1000,$S252,$V$5:$V$1000,"Macro",$H$5:$H$1000,"&gt;0"))))</f>
        <v/>
      </c>
      <c r="AH252" s="62">
        <f>IF(NOT(AND($D252&lt;&gt;"",$V252="Macro")),"",IFERROR(CHOOSE(MATCH($D252,ListaPuestos,0),MATCH("[Jefatura] "&amp;$C252,'Cronograma R. Operacional'!$C$5:$C$1000,0),MATCH("[Jefatura] "&amp;$C252,'Cronograma R. Normativo'!$C$5:$C$1000,0),MATCH("[Jefatura] "&amp;$C252,'Cronograma R. Financiero'!$C$5:$C$1000,0),MATCH("[Jefatura] "&amp;$C252,'Cronograma Asistente Técnico'!$C$5:$C$1000,0)),0))</f>
        <v/>
      </c>
      <c r="AI252" s="62">
        <f>IF(AND(AND($D252&lt;&gt;"",$V252="Macro"),$S252=MesCiclo),COUNTIFS($D$5:$D252,$D252,$S$5:$S252,MesCiclo,$V$5:$V252,"Macro"),"")</f>
        <v/>
      </c>
      <c r="AJ252" s="62">
        <f>IF($AI252="","",$D252&amp;"|"&amp;$AI252)</f>
        <v/>
      </c>
      <c r="AK252" s="62">
        <f>IF(AND($D252&lt;&gt;"",$V252="Macro"),$D252&amp;"|"&amp;$C252,"")</f>
        <v/>
      </c>
      <c r="AL252" s="62">
        <f>""</f>
        <v/>
      </c>
      <c r="AM252" s="62">
        <f>IF(N($AL252)&gt;0,INDEX(rIni_ADM,$AL252),IF(ISNUMBER($E252),$E252,""))</f>
        <v/>
      </c>
      <c r="AN252" s="62">
        <f>IF(N($AL252)&gt;0,INDEX(rLim_ADM,$AL252),IF(ISNUMBER($F252),$F252,""))</f>
        <v/>
      </c>
    </row>
    <row r="253">
      <c r="A253" s="56">
        <f>IF(NOT((COUNTA($B253:$D253)+COUNTA($G253:$L253)+COUNTA($Q253))&gt;0),"",IF($V253="Macro",COUNTIFS($V$5:$V253,"Macro",$S$5:$S253,$S253),IF(N($U253)=0,"?",COUNTIFS(INDEX($V$5:$V$1000,1):INDEX($V$5:$V$1000,$U253-4),"Macro",INDEX($S$5:$S$1000,1):INDEX($S$5:$S$1000,$U253-4),INDEX($S$5:$S$1000,$U253-4))&amp;"."&amp;COUNTIFS($U$5:$U253,$U253,$V$5:$V253,"Sub"))))</f>
        <v/>
      </c>
      <c r="B253" s="57" t="n"/>
      <c r="C253" s="58" t="n"/>
      <c r="D253" s="58" t="n"/>
      <c r="E253" s="59" t="n"/>
      <c r="F253" s="59" t="n"/>
      <c r="G253" s="59" t="n"/>
      <c r="H253" s="60" t="n"/>
      <c r="I253" s="60" t="n"/>
      <c r="J253" s="60" t="n"/>
      <c r="K253" s="60" t="n"/>
      <c r="L253" s="60" t="n"/>
      <c r="M253" s="61">
        <f>IF(NOT((COUNTA($B253:$D253)+COUNTA($G253:$L253)+COUNTA($Q253))&gt;0),"",IF(AND($D253&lt;&gt;"",$V253="Macro"),IF(N($AH253)&gt;0,N(CHOOSE(MATCH($D253,ListaPuestos,0),INDEX('Cronograma R. Operacional'!$M$5:$M$1000,$AH253),INDEX('Cronograma R. Normativo'!$M$5:$M$1000,$AH253),INDEX('Cronograma R. Financiero'!$M$5:$M$1000,$AH253),INDEX('Cronograma Asistente Técnico'!$M$5:$M$1000,$AH253))),0),IF(ISNUMBER($G253),1,IF(N($W253)&gt;0,AVERAGEIFS($X$5:$X$1000,$U$5:$U$1000,ROW(),$V$5:$V$1000,"Sub"),$X253))))</f>
        <v/>
      </c>
      <c r="N253" s="56">
        <f>IF(OR($M253="",$V253="Sub"),"",IF($M253&gt;=1,"Completado",IF($M253&gt;0,"En curso","Pendiente")))</f>
        <v/>
      </c>
      <c r="O253" s="56">
        <f>IF(NOT((COUNTA($B253:$D253)+COUNTA($G253:$L253)+COUNTA($Q253))&gt;0),"",IF(AND(AND($D253&lt;&gt;"",$V253="Macro"),N($AH253)&gt;0),CHOOSE(MATCH($D253,ListaPuestos,0),INDEX('Cronograma R. Operacional'!$O$5:$O$1000,$AH253),INDEX('Cronograma R. Normativo'!$O$5:$O$1000,$AH253),INDEX('Cronograma R. Financiero'!$O$5:$O$1000,$AH253),INDEX('Cronograma Asistente Técnico'!$O$5:$O$1000,$AH253))&amp;"",IF(ISNUMBER($G253),IF(AND(ISNUMBER($AN253),$G253&gt;$AN253),"Cumplida con "&amp;($G253-$AN253)&amp;IF($G253-$AN253=1," día"," días")&amp;" de retraso","Cumplida"),IF(N($M253)&gt;=1,"Cumplida",IF(NOT(ISNUMBER($AN253)),"Sin fecha límite",IF($AN253&lt;FechaRef,"Vencida hace "&amp;(FechaRef-$AN253)&amp;IF(FechaRef-$AN253=1," día"," días"),IF($AN253=FechaRef,"Vence hoy",IF($AN253-FechaRef&lt;=DiasAlerta,"Vence en "&amp;($AN253-FechaRef)&amp;IF($AN253-FechaRef=1," día"," días"),"En plazo"))))))))</f>
        <v/>
      </c>
      <c r="P253" s="62">
        <f>IF(NOT((COUNTA($B253:$D253)+COUNTA($G253:$L253)+COUNTA($Q253))&gt;0),"",IF($D253="","Propia",IF($V253&lt;&gt;"Macro","Solo se delegan macroactividades",IF(N($AH253)&gt;0,"✔ Recibida por "&amp;$D253,"⚠ "&amp;$D253&amp;" aún no la agrega"))))</f>
        <v/>
      </c>
      <c r="Q253" s="58" t="n"/>
      <c r="R253" s="63">
        <f>IF(NOT((COUNTA($B253:$D253)+COUNTA($G253:$L253)+COUNTA($Q253))&gt;0),"",IF((IF($C253="","Falta el nombre de la actividad"&amp;" · ","")&amp;IF(AND($V253="Sub",N($U253)=0),"Subactividad sin macroactividad arriba"&amp;" · ","")&amp;IF($AM253="","Sin fecha de inicio"&amp;" · ","")&amp;IF($AN253="","Sin fecha límite"&amp;" · ","")&amp;IF(AND(LEFT($C253,11)="[Jefatura] ",N($AL253)=0),"No se encuentra en la hoja de la jefatura (elíjala de nuevo en la lista)"&amp;" · ","")&amp;IF(OR(AND($E253&lt;&gt;"",NOT(ISNUMBER($E253))),AND($F253&lt;&gt;"",NOT(ISNUMBER($F253))),AND($G253&lt;&gt;"",NOT(ISNUMBER($G253)))),"Fecha no válida"&amp;" · ","")&amp;IF(AND(ISNUMBER($AM253),ISNUMBER($AN253),$AM253&gt;$AN253),"Inicio posterior a fecha límite"&amp;" · ","")&amp;IF(AND($V253="Macro",$H253&lt;&gt;"",OR(NOT(ISNUMBER($H253)),$H253&lt;0,$H253&gt;1)),"Peso fuera de rango"&amp;" · ","")&amp;IF(AND($V253="Sub",$H253&lt;&gt;""),"Las subactividades no llevan peso (valen igual dentro de su macroactividad)"&amp;" · ","")&amp;IF(AND(N($W253)&gt;0,COUNT($I253:$L253)&gt;0),"Con subactividades: deje vacías las semanas (se calculan solas)"&amp;" · ","")&amp;IF((COUNTIF($I253:$L253,"&gt;1")+COUNTIF($I253:$L253,"&lt;0")+COUNTA($I253:$L253)-COUNT($I253:$L253))&gt;0,"Avance fuera de rango 0-100%"&amp;" · ","")&amp;IF(OR(AND($J253&lt;&gt;"",$J253&lt;$I253),AND($K253&lt;&gt;"",$K253&lt;MAX($I253:$J253)),AND($L253&lt;&gt;"",$L253&lt;MAX($I253:$K253))),"Avance semanal decreciente"&amp;" · ","")&amp;IF(AND(ISNUMBER($AN253),$AN253&lt;FechaRef,IF($V253="Sub",N($X253),N($M253))&lt;1),"Vencida"&amp;" · ","")&amp;IF(AND(ObsObligatoria="Sí",ISNUMBER($AN253),$AN253&lt;FechaRef,IF($V253="Sub",N($X253),N($M253))&lt;1,$Q253=""),"Vencida sin observación"&amp;" · ",""))="","✔ OK","⚠ "&amp;LEFT(IF($C253="","Falta el nombre de la actividad"&amp;" · ","")&amp;IF(AND($V253="Sub",N($U253)=0),"Subactividad sin macroactividad arriba"&amp;" · ","")&amp;IF($AM253="","Sin fecha de inicio"&amp;" · ","")&amp;IF($AN253="","Sin fecha límite"&amp;" · ","")&amp;IF(AND(LEFT($C253,11)="[Jefatura] ",N($AL253)=0),"No se encuentra en la hoja de la jefatura (elíjala de nuevo en la lista)"&amp;" · ","")&amp;IF(OR(AND($E253&lt;&gt;"",NOT(ISNUMBER($E253))),AND($F253&lt;&gt;"",NOT(ISNUMBER($F253))),AND($G253&lt;&gt;"",NOT(ISNUMBER($G253)))),"Fecha no válida"&amp;" · ","")&amp;IF(AND(ISNUMBER($AM253),ISNUMBER($AN253),$AM253&gt;$AN253),"Inicio posterior a fecha límite"&amp;" · ","")&amp;IF(AND($V253="Macro",$H253&lt;&gt;"",OR(NOT(ISNUMBER($H253)),$H253&lt;0,$H253&gt;1)),"Peso fuera de rango"&amp;" · ","")&amp;IF(AND($V253="Sub",$H253&lt;&gt;""),"Las subactividades no llevan peso (valen igual dentro de su macroactividad)"&amp;" · ","")&amp;IF(AND(N($W253)&gt;0,COUNT($I253:$L253)&gt;0),"Con subactividades: deje vacías las semanas (se calculan solas)"&amp;" · ","")&amp;IF((COUNTIF($I253:$L253,"&gt;1")+COUNTIF($I253:$L253,"&lt;0")+COUNTA($I253:$L253)-COUNT($I253:$L253))&gt;0,"Avance fuera de rango 0-100%"&amp;" · ","")&amp;IF(OR(AND($J253&lt;&gt;"",$J253&lt;$I253),AND($K253&lt;&gt;"",$K253&lt;MAX($I253:$J253)),AND($L253&lt;&gt;"",$L253&lt;MAX($I253:$K253))),"Avance semanal decreciente"&amp;" · ","")&amp;IF(AND(ISNUMBER($AN253),$AN253&lt;FechaRef,IF($V253="Sub",N($X253),N($M253))&lt;1),"Vencida"&amp;" · ","")&amp;IF(AND(ObsObligatoria="Sí",ISNUMBER($AN253),$AN253&lt;FechaRef,IF($V253="Sub",N($X253),N($M253))&lt;1,$Q253=""),"Vencida sin observación"&amp;" · ",""),LEN(IF($C253="","Falta el nombre de la actividad"&amp;" · ","")&amp;IF(AND($V253="Sub",N($U253)=0),"Subactividad sin macroactividad arriba"&amp;" · ","")&amp;IF($AM253="","Sin fecha de inicio"&amp;" · ","")&amp;IF($AN253="","Sin fecha límite"&amp;" · ","")&amp;IF(AND(LEFT($C253,11)="[Jefatura] ",N($AL253)=0),"No se encuentra en la hoja de la jefatura (elíjala de nuevo en la lista)"&amp;" · ","")&amp;IF(OR(AND($E253&lt;&gt;"",NOT(ISNUMBER($E253))),AND($F253&lt;&gt;"",NOT(ISNUMBER($F253))),AND($G253&lt;&gt;"",NOT(ISNUMBER($G253)))),"Fecha no válida"&amp;" · ","")&amp;IF(AND(ISNUMBER($AM253),ISNUMBER($AN253),$AM253&gt;$AN253),"Inicio posterior a fecha límite"&amp;" · ","")&amp;IF(AND($V253="Macro",$H253&lt;&gt;"",OR(NOT(ISNUMBER($H253)),$H253&lt;0,$H253&gt;1)),"Peso fuera de rango"&amp;" · ","")&amp;IF(AND($V253="Sub",$H253&lt;&gt;""),"Las subactividades no llevan peso (valen igual dentro de su macroactividad)"&amp;" · ","")&amp;IF(AND(N($W253)&gt;0,COUNT($I253:$L253)&gt;0),"Con subactividades: deje vacías las semanas (se calculan solas)"&amp;" · ","")&amp;IF((COUNTIF($I253:$L253,"&gt;1")+COUNTIF($I253:$L253,"&lt;0")+COUNTA($I253:$L253)-COUNT($I253:$L253))&gt;0,"Avance fuera de rango 0-100%"&amp;" · ","")&amp;IF(OR(AND($J253&lt;&gt;"",$J253&lt;$I253),AND($K253&lt;&gt;"",$K253&lt;MAX($I253:$J253)),AND($L253&lt;&gt;"",$L253&lt;MAX($I253:$K253))),"Avance semanal decreciente"&amp;" · ","")&amp;IF(AND(ISNUMBER($AN253),$AN253&lt;FechaRef,IF($V253="Sub",N($X253),N($M253))&lt;1),"Vencida"&amp;" · ","")&amp;IF(AND(ObsObligatoria="Sí",ISNUMBER($AN253),$AN253&lt;FechaRef,IF($V253="Sub",N($X253),N($M253))&lt;1,$Q253=""),"Vencida sin observación"&amp;" · ",""))-3)))</f>
        <v/>
      </c>
      <c r="S253" s="64">
        <f>IF(NOT((COUNTA($B253:$D253)+COUNTA($G253:$L253)+COUNTA($Q253))&gt;0),"",IF(AND($V253="Sub",N($U253)&gt;0),IF(ISNUMBER(INDEX($AM$5:$AM$1000,$U253-4)),DATE(YEAR(INDEX($AM$5:$AM$1000,$U253-4)),MONTH(INDEX($AM$5:$AM$1000,$U253-4)),1),IF(ISNUMBER(INDEX($AN$5:$AN$1000,$U253-4)),DATE(YEAR(INDEX($AN$5:$AN$1000,$U253-4)),MONTH(INDEX($AN$5:$AN$1000,$U253-4)),1),MesCiclo)),IF(ISNUMBER($AM253),DATE(YEAR($AM253),MONTH($AM253),1),IF(ISNUMBER($AN253),DATE(YEAR($AN253),MONTH($AN253),1),MesCiclo))))</f>
        <v/>
      </c>
      <c r="T253" s="62">
        <f>IF(OR($S253="",$S253&lt;&gt;MesCiclo,$V253&lt;&gt;"Macro"),"",COUNTIFS($S$5:$S253,MesCiclo,$V$5:$V253,"Macro"))</f>
        <v/>
      </c>
      <c r="U253" s="62">
        <f>IF($V253="","",IF($V253="Macro",ROW(),IFERROR(LOOKUP(2,1/($V$5:$V253="Macro"),ROW($V$5:$V253)),0)))</f>
        <v/>
      </c>
      <c r="V253" s="62">
        <f>IF(NOT((COUNTA($B253:$D253)+COUNTA($G253:$L253)+COUNTA($Q253))&gt;0),"",IF($B253="Subactividad","Sub","Macro"))</f>
        <v/>
      </c>
      <c r="W253" s="62">
        <f>IF($V253="Macro",COUNTIFS($U$5:$U$1000,ROW(),$V$5:$V$1000,"Sub"),"")</f>
        <v/>
      </c>
      <c r="X253" s="62">
        <f>IF($V253="","",IF(ISNUMBER($G253),1,IFERROR(LOOKUP(2,1/($I253:$L253&lt;&gt;""),$I253:$L253),0)))</f>
        <v/>
      </c>
      <c r="Y253" s="62">
        <f>IF($V253="","",IF(AND(ISNUMBER($G253),$G253&lt;=IF($S253=MesCiclo,InicioCiclo,$S253+MOD(2-WEEKDAY($S253),7))+6),1,IF(ISNUMBER($I253),$I253,0)))</f>
        <v/>
      </c>
      <c r="Z253" s="62">
        <f>IF($V253="","",IF(AND(ISNUMBER($G253),$G253&lt;=IF($S253=MesCiclo,InicioCiclo,$S253+MOD(2-WEEKDAY($S253),7))+13),1,IF(ISNUMBER($J253),$J253,$Y253)))</f>
        <v/>
      </c>
      <c r="AA253" s="62">
        <f>IF($V253="","",IF(AND(ISNUMBER($G253),$G253&lt;=IF($S253=MesCiclo,InicioCiclo,$S253+MOD(2-WEEKDAY($S253),7))+20),1,IF(ISNUMBER($K253),$K253,$Z253)))</f>
        <v/>
      </c>
      <c r="AB253" s="62">
        <f>IF($V253="","",IF(AND(ISNUMBER($G253),$G253&lt;=IF($S253=MesCiclo,InicioCiclo,$S253+MOD(2-WEEKDAY($S253),7))+27),1,IF(ISNUMBER($L253),$L253,$AA253)))</f>
        <v/>
      </c>
      <c r="AC253" s="62">
        <f>IF($V253="","",IF(AND(ISNUMBER($G253),$G253&lt;=IF($S253=MesCiclo,InicioCiclo,$S253+MOD(2-WEEKDAY($S253),7))+6),1,IF(N($W253)&gt;0,AVERAGEIFS($Y$5:$Y$1000,$U$5:$U$1000,ROW(),$V$5:$V$1000,"Sub"),$Y253)))</f>
        <v/>
      </c>
      <c r="AD253" s="62">
        <f>IF($V253="","",IF(AND(ISNUMBER($G253),$G253&lt;=IF($S253=MesCiclo,InicioCiclo,$S253+MOD(2-WEEKDAY($S253),7))+13),1,IF(N($W253)&gt;0,AVERAGEIFS($Z$5:$Z$1000,$U$5:$U$1000,ROW(),$V$5:$V$1000,"Sub"),$Z253)))</f>
        <v/>
      </c>
      <c r="AE253" s="62">
        <f>IF($V253="","",IF(AND(ISNUMBER($G253),$G253&lt;=IF($S253=MesCiclo,InicioCiclo,$S253+MOD(2-WEEKDAY($S253),7))+20),1,IF(N($W253)&gt;0,AVERAGEIFS($AA$5:$AA$1000,$U$5:$U$1000,ROW(),$V$5:$V$1000,"Sub"),$AA253)))</f>
        <v/>
      </c>
      <c r="AF253" s="62">
        <f>IF($V253="","",IF(AND(ISNUMBER($G253),$G253&lt;=IF($S253=MesCiclo,InicioCiclo,$S253+MOD(2-WEEKDAY($S253),7))+27),1,IF(N($W253)&gt;0,AVERAGEIFS($AB$5:$AB$1000,$U$5:$U$1000,ROW(),$V$5:$V$1000,"Sub"),$AB253)))</f>
        <v/>
      </c>
      <c r="AG253" s="62">
        <f>IF($V253&lt;&gt;"Macro","",IF(COUNTIFS($S$5:$S$1000,$S253,$V$5:$V$1000,"Macro",$H$5:$H$1000,"&gt;0")=0,1/COUNTIFS($S$5:$S$1000,$S253,$V$5:$V$1000,"Macro"),IF(AND(ISNUMBER($H253),N($H253)&gt;0),$H253,SUMIFS($H$5:$H$1000,$S$5:$S$1000,$S253,$V$5:$V$1000,"Macro")/COUNTIFS($S$5:$S$1000,$S253,$V$5:$V$1000,"Macro",$H$5:$H$1000,"&gt;0"))/(COUNTIFS($S$5:$S$1000,$S253,$V$5:$V$1000,"Macro")*SUMIFS($H$5:$H$1000,$S$5:$S$1000,$S253,$V$5:$V$1000,"Macro")/COUNTIFS($S$5:$S$1000,$S253,$V$5:$V$1000,"Macro",$H$5:$H$1000,"&gt;0"))))</f>
        <v/>
      </c>
      <c r="AH253" s="62">
        <f>IF(NOT(AND($D253&lt;&gt;"",$V253="Macro")),"",IFERROR(CHOOSE(MATCH($D253,ListaPuestos,0),MATCH("[Jefatura] "&amp;$C253,'Cronograma R. Operacional'!$C$5:$C$1000,0),MATCH("[Jefatura] "&amp;$C253,'Cronograma R. Normativo'!$C$5:$C$1000,0),MATCH("[Jefatura] "&amp;$C253,'Cronograma R. Financiero'!$C$5:$C$1000,0),MATCH("[Jefatura] "&amp;$C253,'Cronograma Asistente Técnico'!$C$5:$C$1000,0)),0))</f>
        <v/>
      </c>
      <c r="AI253" s="62">
        <f>IF(AND(AND($D253&lt;&gt;"",$V253="Macro"),$S253=MesCiclo),COUNTIFS($D$5:$D253,$D253,$S$5:$S253,MesCiclo,$V$5:$V253,"Macro"),"")</f>
        <v/>
      </c>
      <c r="AJ253" s="62">
        <f>IF($AI253="","",$D253&amp;"|"&amp;$AI253)</f>
        <v/>
      </c>
      <c r="AK253" s="62">
        <f>IF(AND($D253&lt;&gt;"",$V253="Macro"),$D253&amp;"|"&amp;$C253,"")</f>
        <v/>
      </c>
      <c r="AL253" s="62">
        <f>""</f>
        <v/>
      </c>
      <c r="AM253" s="62">
        <f>IF(N($AL253)&gt;0,INDEX(rIni_ADM,$AL253),IF(ISNUMBER($E253),$E253,""))</f>
        <v/>
      </c>
      <c r="AN253" s="62">
        <f>IF(N($AL253)&gt;0,INDEX(rLim_ADM,$AL253),IF(ISNUMBER($F253),$F253,""))</f>
        <v/>
      </c>
    </row>
    <row r="254">
      <c r="A254" s="56">
        <f>IF(NOT((COUNTA($B254:$D254)+COUNTA($G254:$L254)+COUNTA($Q254))&gt;0),"",IF($V254="Macro",COUNTIFS($V$5:$V254,"Macro",$S$5:$S254,$S254),IF(N($U254)=0,"?",COUNTIFS(INDEX($V$5:$V$1000,1):INDEX($V$5:$V$1000,$U254-4),"Macro",INDEX($S$5:$S$1000,1):INDEX($S$5:$S$1000,$U254-4),INDEX($S$5:$S$1000,$U254-4))&amp;"."&amp;COUNTIFS($U$5:$U254,$U254,$V$5:$V254,"Sub"))))</f>
        <v/>
      </c>
      <c r="B254" s="57" t="n"/>
      <c r="C254" s="58" t="n"/>
      <c r="D254" s="58" t="n"/>
      <c r="E254" s="59" t="n"/>
      <c r="F254" s="59" t="n"/>
      <c r="G254" s="59" t="n"/>
      <c r="H254" s="60" t="n"/>
      <c r="I254" s="60" t="n"/>
      <c r="J254" s="60" t="n"/>
      <c r="K254" s="60" t="n"/>
      <c r="L254" s="60" t="n"/>
      <c r="M254" s="61">
        <f>IF(NOT((COUNTA($B254:$D254)+COUNTA($G254:$L254)+COUNTA($Q254))&gt;0),"",IF(AND($D254&lt;&gt;"",$V254="Macro"),IF(N($AH254)&gt;0,N(CHOOSE(MATCH($D254,ListaPuestos,0),INDEX('Cronograma R. Operacional'!$M$5:$M$1000,$AH254),INDEX('Cronograma R. Normativo'!$M$5:$M$1000,$AH254),INDEX('Cronograma R. Financiero'!$M$5:$M$1000,$AH254),INDEX('Cronograma Asistente Técnico'!$M$5:$M$1000,$AH254))),0),IF(ISNUMBER($G254),1,IF(N($W254)&gt;0,AVERAGEIFS($X$5:$X$1000,$U$5:$U$1000,ROW(),$V$5:$V$1000,"Sub"),$X254))))</f>
        <v/>
      </c>
      <c r="N254" s="56">
        <f>IF(OR($M254="",$V254="Sub"),"",IF($M254&gt;=1,"Completado",IF($M254&gt;0,"En curso","Pendiente")))</f>
        <v/>
      </c>
      <c r="O254" s="56">
        <f>IF(NOT((COUNTA($B254:$D254)+COUNTA($G254:$L254)+COUNTA($Q254))&gt;0),"",IF(AND(AND($D254&lt;&gt;"",$V254="Macro"),N($AH254)&gt;0),CHOOSE(MATCH($D254,ListaPuestos,0),INDEX('Cronograma R. Operacional'!$O$5:$O$1000,$AH254),INDEX('Cronograma R. Normativo'!$O$5:$O$1000,$AH254),INDEX('Cronograma R. Financiero'!$O$5:$O$1000,$AH254),INDEX('Cronograma Asistente Técnico'!$O$5:$O$1000,$AH254))&amp;"",IF(ISNUMBER($G254),IF(AND(ISNUMBER($AN254),$G254&gt;$AN254),"Cumplida con "&amp;($G254-$AN254)&amp;IF($G254-$AN254=1," día"," días")&amp;" de retraso","Cumplida"),IF(N($M254)&gt;=1,"Cumplida",IF(NOT(ISNUMBER($AN254)),"Sin fecha límite",IF($AN254&lt;FechaRef,"Vencida hace "&amp;(FechaRef-$AN254)&amp;IF(FechaRef-$AN254=1," día"," días"),IF($AN254=FechaRef,"Vence hoy",IF($AN254-FechaRef&lt;=DiasAlerta,"Vence en "&amp;($AN254-FechaRef)&amp;IF($AN254-FechaRef=1," día"," días"),"En plazo"))))))))</f>
        <v/>
      </c>
      <c r="P254" s="62">
        <f>IF(NOT((COUNTA($B254:$D254)+COUNTA($G254:$L254)+COUNTA($Q254))&gt;0),"",IF($D254="","Propia",IF($V254&lt;&gt;"Macro","Solo se delegan macroactividades",IF(N($AH254)&gt;0,"✔ Recibida por "&amp;$D254,"⚠ "&amp;$D254&amp;" aún no la agrega"))))</f>
        <v/>
      </c>
      <c r="Q254" s="58" t="n"/>
      <c r="R254" s="63">
        <f>IF(NOT((COUNTA($B254:$D254)+COUNTA($G254:$L254)+COUNTA($Q254))&gt;0),"",IF((IF($C254="","Falta el nombre de la actividad"&amp;" · ","")&amp;IF(AND($V254="Sub",N($U254)=0),"Subactividad sin macroactividad arriba"&amp;" · ","")&amp;IF($AM254="","Sin fecha de inicio"&amp;" · ","")&amp;IF($AN254="","Sin fecha límite"&amp;" · ","")&amp;IF(AND(LEFT($C254,11)="[Jefatura] ",N($AL254)=0),"No se encuentra en la hoja de la jefatura (elíjala de nuevo en la lista)"&amp;" · ","")&amp;IF(OR(AND($E254&lt;&gt;"",NOT(ISNUMBER($E254))),AND($F254&lt;&gt;"",NOT(ISNUMBER($F254))),AND($G254&lt;&gt;"",NOT(ISNUMBER($G254)))),"Fecha no válida"&amp;" · ","")&amp;IF(AND(ISNUMBER($AM254),ISNUMBER($AN254),$AM254&gt;$AN254),"Inicio posterior a fecha límite"&amp;" · ","")&amp;IF(AND($V254="Macro",$H254&lt;&gt;"",OR(NOT(ISNUMBER($H254)),$H254&lt;0,$H254&gt;1)),"Peso fuera de rango"&amp;" · ","")&amp;IF(AND($V254="Sub",$H254&lt;&gt;""),"Las subactividades no llevan peso (valen igual dentro de su macroactividad)"&amp;" · ","")&amp;IF(AND(N($W254)&gt;0,COUNT($I254:$L254)&gt;0),"Con subactividades: deje vacías las semanas (se calculan solas)"&amp;" · ","")&amp;IF((COUNTIF($I254:$L254,"&gt;1")+COUNTIF($I254:$L254,"&lt;0")+COUNTA($I254:$L254)-COUNT($I254:$L254))&gt;0,"Avance fuera de rango 0-100%"&amp;" · ","")&amp;IF(OR(AND($J254&lt;&gt;"",$J254&lt;$I254),AND($K254&lt;&gt;"",$K254&lt;MAX($I254:$J254)),AND($L254&lt;&gt;"",$L254&lt;MAX($I254:$K254))),"Avance semanal decreciente"&amp;" · ","")&amp;IF(AND(ISNUMBER($AN254),$AN254&lt;FechaRef,IF($V254="Sub",N($X254),N($M254))&lt;1),"Vencida"&amp;" · ","")&amp;IF(AND(ObsObligatoria="Sí",ISNUMBER($AN254),$AN254&lt;FechaRef,IF($V254="Sub",N($X254),N($M254))&lt;1,$Q254=""),"Vencida sin observación"&amp;" · ",""))="","✔ OK","⚠ "&amp;LEFT(IF($C254="","Falta el nombre de la actividad"&amp;" · ","")&amp;IF(AND($V254="Sub",N($U254)=0),"Subactividad sin macroactividad arriba"&amp;" · ","")&amp;IF($AM254="","Sin fecha de inicio"&amp;" · ","")&amp;IF($AN254="","Sin fecha límite"&amp;" · ","")&amp;IF(AND(LEFT($C254,11)="[Jefatura] ",N($AL254)=0),"No se encuentra en la hoja de la jefatura (elíjala de nuevo en la lista)"&amp;" · ","")&amp;IF(OR(AND($E254&lt;&gt;"",NOT(ISNUMBER($E254))),AND($F254&lt;&gt;"",NOT(ISNUMBER($F254))),AND($G254&lt;&gt;"",NOT(ISNUMBER($G254)))),"Fecha no válida"&amp;" · ","")&amp;IF(AND(ISNUMBER($AM254),ISNUMBER($AN254),$AM254&gt;$AN254),"Inicio posterior a fecha límite"&amp;" · ","")&amp;IF(AND($V254="Macro",$H254&lt;&gt;"",OR(NOT(ISNUMBER($H254)),$H254&lt;0,$H254&gt;1)),"Peso fuera de rango"&amp;" · ","")&amp;IF(AND($V254="Sub",$H254&lt;&gt;""),"Las subactividades no llevan peso (valen igual dentro de su macroactividad)"&amp;" · ","")&amp;IF(AND(N($W254)&gt;0,COUNT($I254:$L254)&gt;0),"Con subactividades: deje vacías las semanas (se calculan solas)"&amp;" · ","")&amp;IF((COUNTIF($I254:$L254,"&gt;1")+COUNTIF($I254:$L254,"&lt;0")+COUNTA($I254:$L254)-COUNT($I254:$L254))&gt;0,"Avance fuera de rango 0-100%"&amp;" · ","")&amp;IF(OR(AND($J254&lt;&gt;"",$J254&lt;$I254),AND($K254&lt;&gt;"",$K254&lt;MAX($I254:$J254)),AND($L254&lt;&gt;"",$L254&lt;MAX($I254:$K254))),"Avance semanal decreciente"&amp;" · ","")&amp;IF(AND(ISNUMBER($AN254),$AN254&lt;FechaRef,IF($V254="Sub",N($X254),N($M254))&lt;1),"Vencida"&amp;" · ","")&amp;IF(AND(ObsObligatoria="Sí",ISNUMBER($AN254),$AN254&lt;FechaRef,IF($V254="Sub",N($X254),N($M254))&lt;1,$Q254=""),"Vencida sin observación"&amp;" · ",""),LEN(IF($C254="","Falta el nombre de la actividad"&amp;" · ","")&amp;IF(AND($V254="Sub",N($U254)=0),"Subactividad sin macroactividad arriba"&amp;" · ","")&amp;IF($AM254="","Sin fecha de inicio"&amp;" · ","")&amp;IF($AN254="","Sin fecha límite"&amp;" · ","")&amp;IF(AND(LEFT($C254,11)="[Jefatura] ",N($AL254)=0),"No se encuentra en la hoja de la jefatura (elíjala de nuevo en la lista)"&amp;" · ","")&amp;IF(OR(AND($E254&lt;&gt;"",NOT(ISNUMBER($E254))),AND($F254&lt;&gt;"",NOT(ISNUMBER($F254))),AND($G254&lt;&gt;"",NOT(ISNUMBER($G254)))),"Fecha no válida"&amp;" · ","")&amp;IF(AND(ISNUMBER($AM254),ISNUMBER($AN254),$AM254&gt;$AN254),"Inicio posterior a fecha límite"&amp;" · ","")&amp;IF(AND($V254="Macro",$H254&lt;&gt;"",OR(NOT(ISNUMBER($H254)),$H254&lt;0,$H254&gt;1)),"Peso fuera de rango"&amp;" · ","")&amp;IF(AND($V254="Sub",$H254&lt;&gt;""),"Las subactividades no llevan peso (valen igual dentro de su macroactividad)"&amp;" · ","")&amp;IF(AND(N($W254)&gt;0,COUNT($I254:$L254)&gt;0),"Con subactividades: deje vacías las semanas (se calculan solas)"&amp;" · ","")&amp;IF((COUNTIF($I254:$L254,"&gt;1")+COUNTIF($I254:$L254,"&lt;0")+COUNTA($I254:$L254)-COUNT($I254:$L254))&gt;0,"Avance fuera de rango 0-100%"&amp;" · ","")&amp;IF(OR(AND($J254&lt;&gt;"",$J254&lt;$I254),AND($K254&lt;&gt;"",$K254&lt;MAX($I254:$J254)),AND($L254&lt;&gt;"",$L254&lt;MAX($I254:$K254))),"Avance semanal decreciente"&amp;" · ","")&amp;IF(AND(ISNUMBER($AN254),$AN254&lt;FechaRef,IF($V254="Sub",N($X254),N($M254))&lt;1),"Vencida"&amp;" · ","")&amp;IF(AND(ObsObligatoria="Sí",ISNUMBER($AN254),$AN254&lt;FechaRef,IF($V254="Sub",N($X254),N($M254))&lt;1,$Q254=""),"Vencida sin observación"&amp;" · ",""))-3)))</f>
        <v/>
      </c>
      <c r="S254" s="64">
        <f>IF(NOT((COUNTA($B254:$D254)+COUNTA($G254:$L254)+COUNTA($Q254))&gt;0),"",IF(AND($V254="Sub",N($U254)&gt;0),IF(ISNUMBER(INDEX($AM$5:$AM$1000,$U254-4)),DATE(YEAR(INDEX($AM$5:$AM$1000,$U254-4)),MONTH(INDEX($AM$5:$AM$1000,$U254-4)),1),IF(ISNUMBER(INDEX($AN$5:$AN$1000,$U254-4)),DATE(YEAR(INDEX($AN$5:$AN$1000,$U254-4)),MONTH(INDEX($AN$5:$AN$1000,$U254-4)),1),MesCiclo)),IF(ISNUMBER($AM254),DATE(YEAR($AM254),MONTH($AM254),1),IF(ISNUMBER($AN254),DATE(YEAR($AN254),MONTH($AN254),1),MesCiclo))))</f>
        <v/>
      </c>
      <c r="T254" s="62">
        <f>IF(OR($S254="",$S254&lt;&gt;MesCiclo,$V254&lt;&gt;"Macro"),"",COUNTIFS($S$5:$S254,MesCiclo,$V$5:$V254,"Macro"))</f>
        <v/>
      </c>
      <c r="U254" s="62">
        <f>IF($V254="","",IF($V254="Macro",ROW(),IFERROR(LOOKUP(2,1/($V$5:$V254="Macro"),ROW($V$5:$V254)),0)))</f>
        <v/>
      </c>
      <c r="V254" s="62">
        <f>IF(NOT((COUNTA($B254:$D254)+COUNTA($G254:$L254)+COUNTA($Q254))&gt;0),"",IF($B254="Subactividad","Sub","Macro"))</f>
        <v/>
      </c>
      <c r="W254" s="62">
        <f>IF($V254="Macro",COUNTIFS($U$5:$U$1000,ROW(),$V$5:$V$1000,"Sub"),"")</f>
        <v/>
      </c>
      <c r="X254" s="62">
        <f>IF($V254="","",IF(ISNUMBER($G254),1,IFERROR(LOOKUP(2,1/($I254:$L254&lt;&gt;""),$I254:$L254),0)))</f>
        <v/>
      </c>
      <c r="Y254" s="62">
        <f>IF($V254="","",IF(AND(ISNUMBER($G254),$G254&lt;=IF($S254=MesCiclo,InicioCiclo,$S254+MOD(2-WEEKDAY($S254),7))+6),1,IF(ISNUMBER($I254),$I254,0)))</f>
        <v/>
      </c>
      <c r="Z254" s="62">
        <f>IF($V254="","",IF(AND(ISNUMBER($G254),$G254&lt;=IF($S254=MesCiclo,InicioCiclo,$S254+MOD(2-WEEKDAY($S254),7))+13),1,IF(ISNUMBER($J254),$J254,$Y254)))</f>
        <v/>
      </c>
      <c r="AA254" s="62">
        <f>IF($V254="","",IF(AND(ISNUMBER($G254),$G254&lt;=IF($S254=MesCiclo,InicioCiclo,$S254+MOD(2-WEEKDAY($S254),7))+20),1,IF(ISNUMBER($K254),$K254,$Z254)))</f>
        <v/>
      </c>
      <c r="AB254" s="62">
        <f>IF($V254="","",IF(AND(ISNUMBER($G254),$G254&lt;=IF($S254=MesCiclo,InicioCiclo,$S254+MOD(2-WEEKDAY($S254),7))+27),1,IF(ISNUMBER($L254),$L254,$AA254)))</f>
        <v/>
      </c>
      <c r="AC254" s="62">
        <f>IF($V254="","",IF(AND(ISNUMBER($G254),$G254&lt;=IF($S254=MesCiclo,InicioCiclo,$S254+MOD(2-WEEKDAY($S254),7))+6),1,IF(N($W254)&gt;0,AVERAGEIFS($Y$5:$Y$1000,$U$5:$U$1000,ROW(),$V$5:$V$1000,"Sub"),$Y254)))</f>
        <v/>
      </c>
      <c r="AD254" s="62">
        <f>IF($V254="","",IF(AND(ISNUMBER($G254),$G254&lt;=IF($S254=MesCiclo,InicioCiclo,$S254+MOD(2-WEEKDAY($S254),7))+13),1,IF(N($W254)&gt;0,AVERAGEIFS($Z$5:$Z$1000,$U$5:$U$1000,ROW(),$V$5:$V$1000,"Sub"),$Z254)))</f>
        <v/>
      </c>
      <c r="AE254" s="62">
        <f>IF($V254="","",IF(AND(ISNUMBER($G254),$G254&lt;=IF($S254=MesCiclo,InicioCiclo,$S254+MOD(2-WEEKDAY($S254),7))+20),1,IF(N($W254)&gt;0,AVERAGEIFS($AA$5:$AA$1000,$U$5:$U$1000,ROW(),$V$5:$V$1000,"Sub"),$AA254)))</f>
        <v/>
      </c>
      <c r="AF254" s="62">
        <f>IF($V254="","",IF(AND(ISNUMBER($G254),$G254&lt;=IF($S254=MesCiclo,InicioCiclo,$S254+MOD(2-WEEKDAY($S254),7))+27),1,IF(N($W254)&gt;0,AVERAGEIFS($AB$5:$AB$1000,$U$5:$U$1000,ROW(),$V$5:$V$1000,"Sub"),$AB254)))</f>
        <v/>
      </c>
      <c r="AG254" s="62">
        <f>IF($V254&lt;&gt;"Macro","",IF(COUNTIFS($S$5:$S$1000,$S254,$V$5:$V$1000,"Macro",$H$5:$H$1000,"&gt;0")=0,1/COUNTIFS($S$5:$S$1000,$S254,$V$5:$V$1000,"Macro"),IF(AND(ISNUMBER($H254),N($H254)&gt;0),$H254,SUMIFS($H$5:$H$1000,$S$5:$S$1000,$S254,$V$5:$V$1000,"Macro")/COUNTIFS($S$5:$S$1000,$S254,$V$5:$V$1000,"Macro",$H$5:$H$1000,"&gt;0"))/(COUNTIFS($S$5:$S$1000,$S254,$V$5:$V$1000,"Macro")*SUMIFS($H$5:$H$1000,$S$5:$S$1000,$S254,$V$5:$V$1000,"Macro")/COUNTIFS($S$5:$S$1000,$S254,$V$5:$V$1000,"Macro",$H$5:$H$1000,"&gt;0"))))</f>
        <v/>
      </c>
      <c r="AH254" s="62">
        <f>IF(NOT(AND($D254&lt;&gt;"",$V254="Macro")),"",IFERROR(CHOOSE(MATCH($D254,ListaPuestos,0),MATCH("[Jefatura] "&amp;$C254,'Cronograma R. Operacional'!$C$5:$C$1000,0),MATCH("[Jefatura] "&amp;$C254,'Cronograma R. Normativo'!$C$5:$C$1000,0),MATCH("[Jefatura] "&amp;$C254,'Cronograma R. Financiero'!$C$5:$C$1000,0),MATCH("[Jefatura] "&amp;$C254,'Cronograma Asistente Técnico'!$C$5:$C$1000,0)),0))</f>
        <v/>
      </c>
      <c r="AI254" s="62">
        <f>IF(AND(AND($D254&lt;&gt;"",$V254="Macro"),$S254=MesCiclo),COUNTIFS($D$5:$D254,$D254,$S$5:$S254,MesCiclo,$V$5:$V254,"Macro"),"")</f>
        <v/>
      </c>
      <c r="AJ254" s="62">
        <f>IF($AI254="","",$D254&amp;"|"&amp;$AI254)</f>
        <v/>
      </c>
      <c r="AK254" s="62">
        <f>IF(AND($D254&lt;&gt;"",$V254="Macro"),$D254&amp;"|"&amp;$C254,"")</f>
        <v/>
      </c>
      <c r="AL254" s="62">
        <f>""</f>
        <v/>
      </c>
      <c r="AM254" s="62">
        <f>IF(N($AL254)&gt;0,INDEX(rIni_ADM,$AL254),IF(ISNUMBER($E254),$E254,""))</f>
        <v/>
      </c>
      <c r="AN254" s="62">
        <f>IF(N($AL254)&gt;0,INDEX(rLim_ADM,$AL254),IF(ISNUMBER($F254),$F254,""))</f>
        <v/>
      </c>
    </row>
    <row r="255">
      <c r="A255" s="56">
        <f>IF(NOT((COUNTA($B255:$D255)+COUNTA($G255:$L255)+COUNTA($Q255))&gt;0),"",IF($V255="Macro",COUNTIFS($V$5:$V255,"Macro",$S$5:$S255,$S255),IF(N($U255)=0,"?",COUNTIFS(INDEX($V$5:$V$1000,1):INDEX($V$5:$V$1000,$U255-4),"Macro",INDEX($S$5:$S$1000,1):INDEX($S$5:$S$1000,$U255-4),INDEX($S$5:$S$1000,$U255-4))&amp;"."&amp;COUNTIFS($U$5:$U255,$U255,$V$5:$V255,"Sub"))))</f>
        <v/>
      </c>
      <c r="B255" s="57" t="n"/>
      <c r="C255" s="58" t="n"/>
      <c r="D255" s="58" t="n"/>
      <c r="E255" s="59" t="n"/>
      <c r="F255" s="59" t="n"/>
      <c r="G255" s="59" t="n"/>
      <c r="H255" s="60" t="n"/>
      <c r="I255" s="60" t="n"/>
      <c r="J255" s="60" t="n"/>
      <c r="K255" s="60" t="n"/>
      <c r="L255" s="60" t="n"/>
      <c r="M255" s="61">
        <f>IF(NOT((COUNTA($B255:$D255)+COUNTA($G255:$L255)+COUNTA($Q255))&gt;0),"",IF(AND($D255&lt;&gt;"",$V255="Macro"),IF(N($AH255)&gt;0,N(CHOOSE(MATCH($D255,ListaPuestos,0),INDEX('Cronograma R. Operacional'!$M$5:$M$1000,$AH255),INDEX('Cronograma R. Normativo'!$M$5:$M$1000,$AH255),INDEX('Cronograma R. Financiero'!$M$5:$M$1000,$AH255),INDEX('Cronograma Asistente Técnico'!$M$5:$M$1000,$AH255))),0),IF(ISNUMBER($G255),1,IF(N($W255)&gt;0,AVERAGEIFS($X$5:$X$1000,$U$5:$U$1000,ROW(),$V$5:$V$1000,"Sub"),$X255))))</f>
        <v/>
      </c>
      <c r="N255" s="56">
        <f>IF(OR($M255="",$V255="Sub"),"",IF($M255&gt;=1,"Completado",IF($M255&gt;0,"En curso","Pendiente")))</f>
        <v/>
      </c>
      <c r="O255" s="56">
        <f>IF(NOT((COUNTA($B255:$D255)+COUNTA($G255:$L255)+COUNTA($Q255))&gt;0),"",IF(AND(AND($D255&lt;&gt;"",$V255="Macro"),N($AH255)&gt;0),CHOOSE(MATCH($D255,ListaPuestos,0),INDEX('Cronograma R. Operacional'!$O$5:$O$1000,$AH255),INDEX('Cronograma R. Normativo'!$O$5:$O$1000,$AH255),INDEX('Cronograma R. Financiero'!$O$5:$O$1000,$AH255),INDEX('Cronograma Asistente Técnico'!$O$5:$O$1000,$AH255))&amp;"",IF(ISNUMBER($G255),IF(AND(ISNUMBER($AN255),$G255&gt;$AN255),"Cumplida con "&amp;($G255-$AN255)&amp;IF($G255-$AN255=1," día"," días")&amp;" de retraso","Cumplida"),IF(N($M255)&gt;=1,"Cumplida",IF(NOT(ISNUMBER($AN255)),"Sin fecha límite",IF($AN255&lt;FechaRef,"Vencida hace "&amp;(FechaRef-$AN255)&amp;IF(FechaRef-$AN255=1," día"," días"),IF($AN255=FechaRef,"Vence hoy",IF($AN255-FechaRef&lt;=DiasAlerta,"Vence en "&amp;($AN255-FechaRef)&amp;IF($AN255-FechaRef=1," día"," días"),"En plazo"))))))))</f>
        <v/>
      </c>
      <c r="P255" s="62">
        <f>IF(NOT((COUNTA($B255:$D255)+COUNTA($G255:$L255)+COUNTA($Q255))&gt;0),"",IF($D255="","Propia",IF($V255&lt;&gt;"Macro","Solo se delegan macroactividades",IF(N($AH255)&gt;0,"✔ Recibida por "&amp;$D255,"⚠ "&amp;$D255&amp;" aún no la agrega"))))</f>
        <v/>
      </c>
      <c r="Q255" s="58" t="n"/>
      <c r="R255" s="63">
        <f>IF(NOT((COUNTA($B255:$D255)+COUNTA($G255:$L255)+COUNTA($Q255))&gt;0),"",IF((IF($C255="","Falta el nombre de la actividad"&amp;" · ","")&amp;IF(AND($V255="Sub",N($U255)=0),"Subactividad sin macroactividad arriba"&amp;" · ","")&amp;IF($AM255="","Sin fecha de inicio"&amp;" · ","")&amp;IF($AN255="","Sin fecha límite"&amp;" · ","")&amp;IF(AND(LEFT($C255,11)="[Jefatura] ",N($AL255)=0),"No se encuentra en la hoja de la jefatura (elíjala de nuevo en la lista)"&amp;" · ","")&amp;IF(OR(AND($E255&lt;&gt;"",NOT(ISNUMBER($E255))),AND($F255&lt;&gt;"",NOT(ISNUMBER($F255))),AND($G255&lt;&gt;"",NOT(ISNUMBER($G255)))),"Fecha no válida"&amp;" · ","")&amp;IF(AND(ISNUMBER($AM255),ISNUMBER($AN255),$AM255&gt;$AN255),"Inicio posterior a fecha límite"&amp;" · ","")&amp;IF(AND($V255="Macro",$H255&lt;&gt;"",OR(NOT(ISNUMBER($H255)),$H255&lt;0,$H255&gt;1)),"Peso fuera de rango"&amp;" · ","")&amp;IF(AND($V255="Sub",$H255&lt;&gt;""),"Las subactividades no llevan peso (valen igual dentro de su macroactividad)"&amp;" · ","")&amp;IF(AND(N($W255)&gt;0,COUNT($I255:$L255)&gt;0),"Con subactividades: deje vacías las semanas (se calculan solas)"&amp;" · ","")&amp;IF((COUNTIF($I255:$L255,"&gt;1")+COUNTIF($I255:$L255,"&lt;0")+COUNTA($I255:$L255)-COUNT($I255:$L255))&gt;0,"Avance fuera de rango 0-100%"&amp;" · ","")&amp;IF(OR(AND($J255&lt;&gt;"",$J255&lt;$I255),AND($K255&lt;&gt;"",$K255&lt;MAX($I255:$J255)),AND($L255&lt;&gt;"",$L255&lt;MAX($I255:$K255))),"Avance semanal decreciente"&amp;" · ","")&amp;IF(AND(ISNUMBER($AN255),$AN255&lt;FechaRef,IF($V255="Sub",N($X255),N($M255))&lt;1),"Vencida"&amp;" · ","")&amp;IF(AND(ObsObligatoria="Sí",ISNUMBER($AN255),$AN255&lt;FechaRef,IF($V255="Sub",N($X255),N($M255))&lt;1,$Q255=""),"Vencida sin observación"&amp;" · ",""))="","✔ OK","⚠ "&amp;LEFT(IF($C255="","Falta el nombre de la actividad"&amp;" · ","")&amp;IF(AND($V255="Sub",N($U255)=0),"Subactividad sin macroactividad arriba"&amp;" · ","")&amp;IF($AM255="","Sin fecha de inicio"&amp;" · ","")&amp;IF($AN255="","Sin fecha límite"&amp;" · ","")&amp;IF(AND(LEFT($C255,11)="[Jefatura] ",N($AL255)=0),"No se encuentra en la hoja de la jefatura (elíjala de nuevo en la lista)"&amp;" · ","")&amp;IF(OR(AND($E255&lt;&gt;"",NOT(ISNUMBER($E255))),AND($F255&lt;&gt;"",NOT(ISNUMBER($F255))),AND($G255&lt;&gt;"",NOT(ISNUMBER($G255)))),"Fecha no válida"&amp;" · ","")&amp;IF(AND(ISNUMBER($AM255),ISNUMBER($AN255),$AM255&gt;$AN255),"Inicio posterior a fecha límite"&amp;" · ","")&amp;IF(AND($V255="Macro",$H255&lt;&gt;"",OR(NOT(ISNUMBER($H255)),$H255&lt;0,$H255&gt;1)),"Peso fuera de rango"&amp;" · ","")&amp;IF(AND($V255="Sub",$H255&lt;&gt;""),"Las subactividades no llevan peso (valen igual dentro de su macroactividad)"&amp;" · ","")&amp;IF(AND(N($W255)&gt;0,COUNT($I255:$L255)&gt;0),"Con subactividades: deje vacías las semanas (se calculan solas)"&amp;" · ","")&amp;IF((COUNTIF($I255:$L255,"&gt;1")+COUNTIF($I255:$L255,"&lt;0")+COUNTA($I255:$L255)-COUNT($I255:$L255))&gt;0,"Avance fuera de rango 0-100%"&amp;" · ","")&amp;IF(OR(AND($J255&lt;&gt;"",$J255&lt;$I255),AND($K255&lt;&gt;"",$K255&lt;MAX($I255:$J255)),AND($L255&lt;&gt;"",$L255&lt;MAX($I255:$K255))),"Avance semanal decreciente"&amp;" · ","")&amp;IF(AND(ISNUMBER($AN255),$AN255&lt;FechaRef,IF($V255="Sub",N($X255),N($M255))&lt;1),"Vencida"&amp;" · ","")&amp;IF(AND(ObsObligatoria="Sí",ISNUMBER($AN255),$AN255&lt;FechaRef,IF($V255="Sub",N($X255),N($M255))&lt;1,$Q255=""),"Vencida sin observación"&amp;" · ",""),LEN(IF($C255="","Falta el nombre de la actividad"&amp;" · ","")&amp;IF(AND($V255="Sub",N($U255)=0),"Subactividad sin macroactividad arriba"&amp;" · ","")&amp;IF($AM255="","Sin fecha de inicio"&amp;" · ","")&amp;IF($AN255="","Sin fecha límite"&amp;" · ","")&amp;IF(AND(LEFT($C255,11)="[Jefatura] ",N($AL255)=0),"No se encuentra en la hoja de la jefatura (elíjala de nuevo en la lista)"&amp;" · ","")&amp;IF(OR(AND($E255&lt;&gt;"",NOT(ISNUMBER($E255))),AND($F255&lt;&gt;"",NOT(ISNUMBER($F255))),AND($G255&lt;&gt;"",NOT(ISNUMBER($G255)))),"Fecha no válida"&amp;" · ","")&amp;IF(AND(ISNUMBER($AM255),ISNUMBER($AN255),$AM255&gt;$AN255),"Inicio posterior a fecha límite"&amp;" · ","")&amp;IF(AND($V255="Macro",$H255&lt;&gt;"",OR(NOT(ISNUMBER($H255)),$H255&lt;0,$H255&gt;1)),"Peso fuera de rango"&amp;" · ","")&amp;IF(AND($V255="Sub",$H255&lt;&gt;""),"Las subactividades no llevan peso (valen igual dentro de su macroactividad)"&amp;" · ","")&amp;IF(AND(N($W255)&gt;0,COUNT($I255:$L255)&gt;0),"Con subactividades: deje vacías las semanas (se calculan solas)"&amp;" · ","")&amp;IF((COUNTIF($I255:$L255,"&gt;1")+COUNTIF($I255:$L255,"&lt;0")+COUNTA($I255:$L255)-COUNT($I255:$L255))&gt;0,"Avance fuera de rango 0-100%"&amp;" · ","")&amp;IF(OR(AND($J255&lt;&gt;"",$J255&lt;$I255),AND($K255&lt;&gt;"",$K255&lt;MAX($I255:$J255)),AND($L255&lt;&gt;"",$L255&lt;MAX($I255:$K255))),"Avance semanal decreciente"&amp;" · ","")&amp;IF(AND(ISNUMBER($AN255),$AN255&lt;FechaRef,IF($V255="Sub",N($X255),N($M255))&lt;1),"Vencida"&amp;" · ","")&amp;IF(AND(ObsObligatoria="Sí",ISNUMBER($AN255),$AN255&lt;FechaRef,IF($V255="Sub",N($X255),N($M255))&lt;1,$Q255=""),"Vencida sin observación"&amp;" · ",""))-3)))</f>
        <v/>
      </c>
      <c r="S255" s="64">
        <f>IF(NOT((COUNTA($B255:$D255)+COUNTA($G255:$L255)+COUNTA($Q255))&gt;0),"",IF(AND($V255="Sub",N($U255)&gt;0),IF(ISNUMBER(INDEX($AM$5:$AM$1000,$U255-4)),DATE(YEAR(INDEX($AM$5:$AM$1000,$U255-4)),MONTH(INDEX($AM$5:$AM$1000,$U255-4)),1),IF(ISNUMBER(INDEX($AN$5:$AN$1000,$U255-4)),DATE(YEAR(INDEX($AN$5:$AN$1000,$U255-4)),MONTH(INDEX($AN$5:$AN$1000,$U255-4)),1),MesCiclo)),IF(ISNUMBER($AM255),DATE(YEAR($AM255),MONTH($AM255),1),IF(ISNUMBER($AN255),DATE(YEAR($AN255),MONTH($AN255),1),MesCiclo))))</f>
        <v/>
      </c>
      <c r="T255" s="62">
        <f>IF(OR($S255="",$S255&lt;&gt;MesCiclo,$V255&lt;&gt;"Macro"),"",COUNTIFS($S$5:$S255,MesCiclo,$V$5:$V255,"Macro"))</f>
        <v/>
      </c>
      <c r="U255" s="62">
        <f>IF($V255="","",IF($V255="Macro",ROW(),IFERROR(LOOKUP(2,1/($V$5:$V255="Macro"),ROW($V$5:$V255)),0)))</f>
        <v/>
      </c>
      <c r="V255" s="62">
        <f>IF(NOT((COUNTA($B255:$D255)+COUNTA($G255:$L255)+COUNTA($Q255))&gt;0),"",IF($B255="Subactividad","Sub","Macro"))</f>
        <v/>
      </c>
      <c r="W255" s="62">
        <f>IF($V255="Macro",COUNTIFS($U$5:$U$1000,ROW(),$V$5:$V$1000,"Sub"),"")</f>
        <v/>
      </c>
      <c r="X255" s="62">
        <f>IF($V255="","",IF(ISNUMBER($G255),1,IFERROR(LOOKUP(2,1/($I255:$L255&lt;&gt;""),$I255:$L255),0)))</f>
        <v/>
      </c>
      <c r="Y255" s="62">
        <f>IF($V255="","",IF(AND(ISNUMBER($G255),$G255&lt;=IF($S255=MesCiclo,InicioCiclo,$S255+MOD(2-WEEKDAY($S255),7))+6),1,IF(ISNUMBER($I255),$I255,0)))</f>
        <v/>
      </c>
      <c r="Z255" s="62">
        <f>IF($V255="","",IF(AND(ISNUMBER($G255),$G255&lt;=IF($S255=MesCiclo,InicioCiclo,$S255+MOD(2-WEEKDAY($S255),7))+13),1,IF(ISNUMBER($J255),$J255,$Y255)))</f>
        <v/>
      </c>
      <c r="AA255" s="62">
        <f>IF($V255="","",IF(AND(ISNUMBER($G255),$G255&lt;=IF($S255=MesCiclo,InicioCiclo,$S255+MOD(2-WEEKDAY($S255),7))+20),1,IF(ISNUMBER($K255),$K255,$Z255)))</f>
        <v/>
      </c>
      <c r="AB255" s="62">
        <f>IF($V255="","",IF(AND(ISNUMBER($G255),$G255&lt;=IF($S255=MesCiclo,InicioCiclo,$S255+MOD(2-WEEKDAY($S255),7))+27),1,IF(ISNUMBER($L255),$L255,$AA255)))</f>
        <v/>
      </c>
      <c r="AC255" s="62">
        <f>IF($V255="","",IF(AND(ISNUMBER($G255),$G255&lt;=IF($S255=MesCiclo,InicioCiclo,$S255+MOD(2-WEEKDAY($S255),7))+6),1,IF(N($W255)&gt;0,AVERAGEIFS($Y$5:$Y$1000,$U$5:$U$1000,ROW(),$V$5:$V$1000,"Sub"),$Y255)))</f>
        <v/>
      </c>
      <c r="AD255" s="62">
        <f>IF($V255="","",IF(AND(ISNUMBER($G255),$G255&lt;=IF($S255=MesCiclo,InicioCiclo,$S255+MOD(2-WEEKDAY($S255),7))+13),1,IF(N($W255)&gt;0,AVERAGEIFS($Z$5:$Z$1000,$U$5:$U$1000,ROW(),$V$5:$V$1000,"Sub"),$Z255)))</f>
        <v/>
      </c>
      <c r="AE255" s="62">
        <f>IF($V255="","",IF(AND(ISNUMBER($G255),$G255&lt;=IF($S255=MesCiclo,InicioCiclo,$S255+MOD(2-WEEKDAY($S255),7))+20),1,IF(N($W255)&gt;0,AVERAGEIFS($AA$5:$AA$1000,$U$5:$U$1000,ROW(),$V$5:$V$1000,"Sub"),$AA255)))</f>
        <v/>
      </c>
      <c r="AF255" s="62">
        <f>IF($V255="","",IF(AND(ISNUMBER($G255),$G255&lt;=IF($S255=MesCiclo,InicioCiclo,$S255+MOD(2-WEEKDAY($S255),7))+27),1,IF(N($W255)&gt;0,AVERAGEIFS($AB$5:$AB$1000,$U$5:$U$1000,ROW(),$V$5:$V$1000,"Sub"),$AB255)))</f>
        <v/>
      </c>
      <c r="AG255" s="62">
        <f>IF($V255&lt;&gt;"Macro","",IF(COUNTIFS($S$5:$S$1000,$S255,$V$5:$V$1000,"Macro",$H$5:$H$1000,"&gt;0")=0,1/COUNTIFS($S$5:$S$1000,$S255,$V$5:$V$1000,"Macro"),IF(AND(ISNUMBER($H255),N($H255)&gt;0),$H255,SUMIFS($H$5:$H$1000,$S$5:$S$1000,$S255,$V$5:$V$1000,"Macro")/COUNTIFS($S$5:$S$1000,$S255,$V$5:$V$1000,"Macro",$H$5:$H$1000,"&gt;0"))/(COUNTIFS($S$5:$S$1000,$S255,$V$5:$V$1000,"Macro")*SUMIFS($H$5:$H$1000,$S$5:$S$1000,$S255,$V$5:$V$1000,"Macro")/COUNTIFS($S$5:$S$1000,$S255,$V$5:$V$1000,"Macro",$H$5:$H$1000,"&gt;0"))))</f>
        <v/>
      </c>
      <c r="AH255" s="62">
        <f>IF(NOT(AND($D255&lt;&gt;"",$V255="Macro")),"",IFERROR(CHOOSE(MATCH($D255,ListaPuestos,0),MATCH("[Jefatura] "&amp;$C255,'Cronograma R. Operacional'!$C$5:$C$1000,0),MATCH("[Jefatura] "&amp;$C255,'Cronograma R. Normativo'!$C$5:$C$1000,0),MATCH("[Jefatura] "&amp;$C255,'Cronograma R. Financiero'!$C$5:$C$1000,0),MATCH("[Jefatura] "&amp;$C255,'Cronograma Asistente Técnico'!$C$5:$C$1000,0)),0))</f>
        <v/>
      </c>
      <c r="AI255" s="62">
        <f>IF(AND(AND($D255&lt;&gt;"",$V255="Macro"),$S255=MesCiclo),COUNTIFS($D$5:$D255,$D255,$S$5:$S255,MesCiclo,$V$5:$V255,"Macro"),"")</f>
        <v/>
      </c>
      <c r="AJ255" s="62">
        <f>IF($AI255="","",$D255&amp;"|"&amp;$AI255)</f>
        <v/>
      </c>
      <c r="AK255" s="62">
        <f>IF(AND($D255&lt;&gt;"",$V255="Macro"),$D255&amp;"|"&amp;$C255,"")</f>
        <v/>
      </c>
      <c r="AL255" s="62">
        <f>""</f>
        <v/>
      </c>
      <c r="AM255" s="62">
        <f>IF(N($AL255)&gt;0,INDEX(rIni_ADM,$AL255),IF(ISNUMBER($E255),$E255,""))</f>
        <v/>
      </c>
      <c r="AN255" s="62">
        <f>IF(N($AL255)&gt;0,INDEX(rLim_ADM,$AL255),IF(ISNUMBER($F255),$F255,""))</f>
        <v/>
      </c>
    </row>
    <row r="256">
      <c r="A256" s="56">
        <f>IF(NOT((COUNTA($B256:$D256)+COUNTA($G256:$L256)+COUNTA($Q256))&gt;0),"",IF($V256="Macro",COUNTIFS($V$5:$V256,"Macro",$S$5:$S256,$S256),IF(N($U256)=0,"?",COUNTIFS(INDEX($V$5:$V$1000,1):INDEX($V$5:$V$1000,$U256-4),"Macro",INDEX($S$5:$S$1000,1):INDEX($S$5:$S$1000,$U256-4),INDEX($S$5:$S$1000,$U256-4))&amp;"."&amp;COUNTIFS($U$5:$U256,$U256,$V$5:$V256,"Sub"))))</f>
        <v/>
      </c>
      <c r="B256" s="57" t="n"/>
      <c r="C256" s="58" t="n"/>
      <c r="D256" s="58" t="n"/>
      <c r="E256" s="59" t="n"/>
      <c r="F256" s="59" t="n"/>
      <c r="G256" s="59" t="n"/>
      <c r="H256" s="60" t="n"/>
      <c r="I256" s="60" t="n"/>
      <c r="J256" s="60" t="n"/>
      <c r="K256" s="60" t="n"/>
      <c r="L256" s="60" t="n"/>
      <c r="M256" s="61">
        <f>IF(NOT((COUNTA($B256:$D256)+COUNTA($G256:$L256)+COUNTA($Q256))&gt;0),"",IF(AND($D256&lt;&gt;"",$V256="Macro"),IF(N($AH256)&gt;0,N(CHOOSE(MATCH($D256,ListaPuestos,0),INDEX('Cronograma R. Operacional'!$M$5:$M$1000,$AH256),INDEX('Cronograma R. Normativo'!$M$5:$M$1000,$AH256),INDEX('Cronograma R. Financiero'!$M$5:$M$1000,$AH256),INDEX('Cronograma Asistente Técnico'!$M$5:$M$1000,$AH256))),0),IF(ISNUMBER($G256),1,IF(N($W256)&gt;0,AVERAGEIFS($X$5:$X$1000,$U$5:$U$1000,ROW(),$V$5:$V$1000,"Sub"),$X256))))</f>
        <v/>
      </c>
      <c r="N256" s="56">
        <f>IF(OR($M256="",$V256="Sub"),"",IF($M256&gt;=1,"Completado",IF($M256&gt;0,"En curso","Pendiente")))</f>
        <v/>
      </c>
      <c r="O256" s="56">
        <f>IF(NOT((COUNTA($B256:$D256)+COUNTA($G256:$L256)+COUNTA($Q256))&gt;0),"",IF(AND(AND($D256&lt;&gt;"",$V256="Macro"),N($AH256)&gt;0),CHOOSE(MATCH($D256,ListaPuestos,0),INDEX('Cronograma R. Operacional'!$O$5:$O$1000,$AH256),INDEX('Cronograma R. Normativo'!$O$5:$O$1000,$AH256),INDEX('Cronograma R. Financiero'!$O$5:$O$1000,$AH256),INDEX('Cronograma Asistente Técnico'!$O$5:$O$1000,$AH256))&amp;"",IF(ISNUMBER($G256),IF(AND(ISNUMBER($AN256),$G256&gt;$AN256),"Cumplida con "&amp;($G256-$AN256)&amp;IF($G256-$AN256=1," día"," días")&amp;" de retraso","Cumplida"),IF(N($M256)&gt;=1,"Cumplida",IF(NOT(ISNUMBER($AN256)),"Sin fecha límite",IF($AN256&lt;FechaRef,"Vencida hace "&amp;(FechaRef-$AN256)&amp;IF(FechaRef-$AN256=1," día"," días"),IF($AN256=FechaRef,"Vence hoy",IF($AN256-FechaRef&lt;=DiasAlerta,"Vence en "&amp;($AN256-FechaRef)&amp;IF($AN256-FechaRef=1," día"," días"),"En plazo"))))))))</f>
        <v/>
      </c>
      <c r="P256" s="62">
        <f>IF(NOT((COUNTA($B256:$D256)+COUNTA($G256:$L256)+COUNTA($Q256))&gt;0),"",IF($D256="","Propia",IF($V256&lt;&gt;"Macro","Solo se delegan macroactividades",IF(N($AH256)&gt;0,"✔ Recibida por "&amp;$D256,"⚠ "&amp;$D256&amp;" aún no la agrega"))))</f>
        <v/>
      </c>
      <c r="Q256" s="58" t="n"/>
      <c r="R256" s="63">
        <f>IF(NOT((COUNTA($B256:$D256)+COUNTA($G256:$L256)+COUNTA($Q256))&gt;0),"",IF((IF($C256="","Falta el nombre de la actividad"&amp;" · ","")&amp;IF(AND($V256="Sub",N($U256)=0),"Subactividad sin macroactividad arriba"&amp;" · ","")&amp;IF($AM256="","Sin fecha de inicio"&amp;" · ","")&amp;IF($AN256="","Sin fecha límite"&amp;" · ","")&amp;IF(AND(LEFT($C256,11)="[Jefatura] ",N($AL256)=0),"No se encuentra en la hoja de la jefatura (elíjala de nuevo en la lista)"&amp;" · ","")&amp;IF(OR(AND($E256&lt;&gt;"",NOT(ISNUMBER($E256))),AND($F256&lt;&gt;"",NOT(ISNUMBER($F256))),AND($G256&lt;&gt;"",NOT(ISNUMBER($G256)))),"Fecha no válida"&amp;" · ","")&amp;IF(AND(ISNUMBER($AM256),ISNUMBER($AN256),$AM256&gt;$AN256),"Inicio posterior a fecha límite"&amp;" · ","")&amp;IF(AND($V256="Macro",$H256&lt;&gt;"",OR(NOT(ISNUMBER($H256)),$H256&lt;0,$H256&gt;1)),"Peso fuera de rango"&amp;" · ","")&amp;IF(AND($V256="Sub",$H256&lt;&gt;""),"Las subactividades no llevan peso (valen igual dentro de su macroactividad)"&amp;" · ","")&amp;IF(AND(N($W256)&gt;0,COUNT($I256:$L256)&gt;0),"Con subactividades: deje vacías las semanas (se calculan solas)"&amp;" · ","")&amp;IF((COUNTIF($I256:$L256,"&gt;1")+COUNTIF($I256:$L256,"&lt;0")+COUNTA($I256:$L256)-COUNT($I256:$L256))&gt;0,"Avance fuera de rango 0-100%"&amp;" · ","")&amp;IF(OR(AND($J256&lt;&gt;"",$J256&lt;$I256),AND($K256&lt;&gt;"",$K256&lt;MAX($I256:$J256)),AND($L256&lt;&gt;"",$L256&lt;MAX($I256:$K256))),"Avance semanal decreciente"&amp;" · ","")&amp;IF(AND(ISNUMBER($AN256),$AN256&lt;FechaRef,IF($V256="Sub",N($X256),N($M256))&lt;1),"Vencida"&amp;" · ","")&amp;IF(AND(ObsObligatoria="Sí",ISNUMBER($AN256),$AN256&lt;FechaRef,IF($V256="Sub",N($X256),N($M256))&lt;1,$Q256=""),"Vencida sin observación"&amp;" · ",""))="","✔ OK","⚠ "&amp;LEFT(IF($C256="","Falta el nombre de la actividad"&amp;" · ","")&amp;IF(AND($V256="Sub",N($U256)=0),"Subactividad sin macroactividad arriba"&amp;" · ","")&amp;IF($AM256="","Sin fecha de inicio"&amp;" · ","")&amp;IF($AN256="","Sin fecha límite"&amp;" · ","")&amp;IF(AND(LEFT($C256,11)="[Jefatura] ",N($AL256)=0),"No se encuentra en la hoja de la jefatura (elíjala de nuevo en la lista)"&amp;" · ","")&amp;IF(OR(AND($E256&lt;&gt;"",NOT(ISNUMBER($E256))),AND($F256&lt;&gt;"",NOT(ISNUMBER($F256))),AND($G256&lt;&gt;"",NOT(ISNUMBER($G256)))),"Fecha no válida"&amp;" · ","")&amp;IF(AND(ISNUMBER($AM256),ISNUMBER($AN256),$AM256&gt;$AN256),"Inicio posterior a fecha límite"&amp;" · ","")&amp;IF(AND($V256="Macro",$H256&lt;&gt;"",OR(NOT(ISNUMBER($H256)),$H256&lt;0,$H256&gt;1)),"Peso fuera de rango"&amp;" · ","")&amp;IF(AND($V256="Sub",$H256&lt;&gt;""),"Las subactividades no llevan peso (valen igual dentro de su macroactividad)"&amp;" · ","")&amp;IF(AND(N($W256)&gt;0,COUNT($I256:$L256)&gt;0),"Con subactividades: deje vacías las semanas (se calculan solas)"&amp;" · ","")&amp;IF((COUNTIF($I256:$L256,"&gt;1")+COUNTIF($I256:$L256,"&lt;0")+COUNTA($I256:$L256)-COUNT($I256:$L256))&gt;0,"Avance fuera de rango 0-100%"&amp;" · ","")&amp;IF(OR(AND($J256&lt;&gt;"",$J256&lt;$I256),AND($K256&lt;&gt;"",$K256&lt;MAX($I256:$J256)),AND($L256&lt;&gt;"",$L256&lt;MAX($I256:$K256))),"Avance semanal decreciente"&amp;" · ","")&amp;IF(AND(ISNUMBER($AN256),$AN256&lt;FechaRef,IF($V256="Sub",N($X256),N($M256))&lt;1),"Vencida"&amp;" · ","")&amp;IF(AND(ObsObligatoria="Sí",ISNUMBER($AN256),$AN256&lt;FechaRef,IF($V256="Sub",N($X256),N($M256))&lt;1,$Q256=""),"Vencida sin observación"&amp;" · ",""),LEN(IF($C256="","Falta el nombre de la actividad"&amp;" · ","")&amp;IF(AND($V256="Sub",N($U256)=0),"Subactividad sin macroactividad arriba"&amp;" · ","")&amp;IF($AM256="","Sin fecha de inicio"&amp;" · ","")&amp;IF($AN256="","Sin fecha límite"&amp;" · ","")&amp;IF(AND(LEFT($C256,11)="[Jefatura] ",N($AL256)=0),"No se encuentra en la hoja de la jefatura (elíjala de nuevo en la lista)"&amp;" · ","")&amp;IF(OR(AND($E256&lt;&gt;"",NOT(ISNUMBER($E256))),AND($F256&lt;&gt;"",NOT(ISNUMBER($F256))),AND($G256&lt;&gt;"",NOT(ISNUMBER($G256)))),"Fecha no válida"&amp;" · ","")&amp;IF(AND(ISNUMBER($AM256),ISNUMBER($AN256),$AM256&gt;$AN256),"Inicio posterior a fecha límite"&amp;" · ","")&amp;IF(AND($V256="Macro",$H256&lt;&gt;"",OR(NOT(ISNUMBER($H256)),$H256&lt;0,$H256&gt;1)),"Peso fuera de rango"&amp;" · ","")&amp;IF(AND($V256="Sub",$H256&lt;&gt;""),"Las subactividades no llevan peso (valen igual dentro de su macroactividad)"&amp;" · ","")&amp;IF(AND(N($W256)&gt;0,COUNT($I256:$L256)&gt;0),"Con subactividades: deje vacías las semanas (se calculan solas)"&amp;" · ","")&amp;IF((COUNTIF($I256:$L256,"&gt;1")+COUNTIF($I256:$L256,"&lt;0")+COUNTA($I256:$L256)-COUNT($I256:$L256))&gt;0,"Avance fuera de rango 0-100%"&amp;" · ","")&amp;IF(OR(AND($J256&lt;&gt;"",$J256&lt;$I256),AND($K256&lt;&gt;"",$K256&lt;MAX($I256:$J256)),AND($L256&lt;&gt;"",$L256&lt;MAX($I256:$K256))),"Avance semanal decreciente"&amp;" · ","")&amp;IF(AND(ISNUMBER($AN256),$AN256&lt;FechaRef,IF($V256="Sub",N($X256),N($M256))&lt;1),"Vencida"&amp;" · ","")&amp;IF(AND(ObsObligatoria="Sí",ISNUMBER($AN256),$AN256&lt;FechaRef,IF($V256="Sub",N($X256),N($M256))&lt;1,$Q256=""),"Vencida sin observación"&amp;" · ",""))-3)))</f>
        <v/>
      </c>
      <c r="S256" s="64">
        <f>IF(NOT((COUNTA($B256:$D256)+COUNTA($G256:$L256)+COUNTA($Q256))&gt;0),"",IF(AND($V256="Sub",N($U256)&gt;0),IF(ISNUMBER(INDEX($AM$5:$AM$1000,$U256-4)),DATE(YEAR(INDEX($AM$5:$AM$1000,$U256-4)),MONTH(INDEX($AM$5:$AM$1000,$U256-4)),1),IF(ISNUMBER(INDEX($AN$5:$AN$1000,$U256-4)),DATE(YEAR(INDEX($AN$5:$AN$1000,$U256-4)),MONTH(INDEX($AN$5:$AN$1000,$U256-4)),1),MesCiclo)),IF(ISNUMBER($AM256),DATE(YEAR($AM256),MONTH($AM256),1),IF(ISNUMBER($AN256),DATE(YEAR($AN256),MONTH($AN256),1),MesCiclo))))</f>
        <v/>
      </c>
      <c r="T256" s="62">
        <f>IF(OR($S256="",$S256&lt;&gt;MesCiclo,$V256&lt;&gt;"Macro"),"",COUNTIFS($S$5:$S256,MesCiclo,$V$5:$V256,"Macro"))</f>
        <v/>
      </c>
      <c r="U256" s="62">
        <f>IF($V256="","",IF($V256="Macro",ROW(),IFERROR(LOOKUP(2,1/($V$5:$V256="Macro"),ROW($V$5:$V256)),0)))</f>
        <v/>
      </c>
      <c r="V256" s="62">
        <f>IF(NOT((COUNTA($B256:$D256)+COUNTA($G256:$L256)+COUNTA($Q256))&gt;0),"",IF($B256="Subactividad","Sub","Macro"))</f>
        <v/>
      </c>
      <c r="W256" s="62">
        <f>IF($V256="Macro",COUNTIFS($U$5:$U$1000,ROW(),$V$5:$V$1000,"Sub"),"")</f>
        <v/>
      </c>
      <c r="X256" s="62">
        <f>IF($V256="","",IF(ISNUMBER($G256),1,IFERROR(LOOKUP(2,1/($I256:$L256&lt;&gt;""),$I256:$L256),0)))</f>
        <v/>
      </c>
      <c r="Y256" s="62">
        <f>IF($V256="","",IF(AND(ISNUMBER($G256),$G256&lt;=IF($S256=MesCiclo,InicioCiclo,$S256+MOD(2-WEEKDAY($S256),7))+6),1,IF(ISNUMBER($I256),$I256,0)))</f>
        <v/>
      </c>
      <c r="Z256" s="62">
        <f>IF($V256="","",IF(AND(ISNUMBER($G256),$G256&lt;=IF($S256=MesCiclo,InicioCiclo,$S256+MOD(2-WEEKDAY($S256),7))+13),1,IF(ISNUMBER($J256),$J256,$Y256)))</f>
        <v/>
      </c>
      <c r="AA256" s="62">
        <f>IF($V256="","",IF(AND(ISNUMBER($G256),$G256&lt;=IF($S256=MesCiclo,InicioCiclo,$S256+MOD(2-WEEKDAY($S256),7))+20),1,IF(ISNUMBER($K256),$K256,$Z256)))</f>
        <v/>
      </c>
      <c r="AB256" s="62">
        <f>IF($V256="","",IF(AND(ISNUMBER($G256),$G256&lt;=IF($S256=MesCiclo,InicioCiclo,$S256+MOD(2-WEEKDAY($S256),7))+27),1,IF(ISNUMBER($L256),$L256,$AA256)))</f>
        <v/>
      </c>
      <c r="AC256" s="62">
        <f>IF($V256="","",IF(AND(ISNUMBER($G256),$G256&lt;=IF($S256=MesCiclo,InicioCiclo,$S256+MOD(2-WEEKDAY($S256),7))+6),1,IF(N($W256)&gt;0,AVERAGEIFS($Y$5:$Y$1000,$U$5:$U$1000,ROW(),$V$5:$V$1000,"Sub"),$Y256)))</f>
        <v/>
      </c>
      <c r="AD256" s="62">
        <f>IF($V256="","",IF(AND(ISNUMBER($G256),$G256&lt;=IF($S256=MesCiclo,InicioCiclo,$S256+MOD(2-WEEKDAY($S256),7))+13),1,IF(N($W256)&gt;0,AVERAGEIFS($Z$5:$Z$1000,$U$5:$U$1000,ROW(),$V$5:$V$1000,"Sub"),$Z256)))</f>
        <v/>
      </c>
      <c r="AE256" s="62">
        <f>IF($V256="","",IF(AND(ISNUMBER($G256),$G256&lt;=IF($S256=MesCiclo,InicioCiclo,$S256+MOD(2-WEEKDAY($S256),7))+20),1,IF(N($W256)&gt;0,AVERAGEIFS($AA$5:$AA$1000,$U$5:$U$1000,ROW(),$V$5:$V$1000,"Sub"),$AA256)))</f>
        <v/>
      </c>
      <c r="AF256" s="62">
        <f>IF($V256="","",IF(AND(ISNUMBER($G256),$G256&lt;=IF($S256=MesCiclo,InicioCiclo,$S256+MOD(2-WEEKDAY($S256),7))+27),1,IF(N($W256)&gt;0,AVERAGEIFS($AB$5:$AB$1000,$U$5:$U$1000,ROW(),$V$5:$V$1000,"Sub"),$AB256)))</f>
        <v/>
      </c>
      <c r="AG256" s="62">
        <f>IF($V256&lt;&gt;"Macro","",IF(COUNTIFS($S$5:$S$1000,$S256,$V$5:$V$1000,"Macro",$H$5:$H$1000,"&gt;0")=0,1/COUNTIFS($S$5:$S$1000,$S256,$V$5:$V$1000,"Macro"),IF(AND(ISNUMBER($H256),N($H256)&gt;0),$H256,SUMIFS($H$5:$H$1000,$S$5:$S$1000,$S256,$V$5:$V$1000,"Macro")/COUNTIFS($S$5:$S$1000,$S256,$V$5:$V$1000,"Macro",$H$5:$H$1000,"&gt;0"))/(COUNTIFS($S$5:$S$1000,$S256,$V$5:$V$1000,"Macro")*SUMIFS($H$5:$H$1000,$S$5:$S$1000,$S256,$V$5:$V$1000,"Macro")/COUNTIFS($S$5:$S$1000,$S256,$V$5:$V$1000,"Macro",$H$5:$H$1000,"&gt;0"))))</f>
        <v/>
      </c>
      <c r="AH256" s="62">
        <f>IF(NOT(AND($D256&lt;&gt;"",$V256="Macro")),"",IFERROR(CHOOSE(MATCH($D256,ListaPuestos,0),MATCH("[Jefatura] "&amp;$C256,'Cronograma R. Operacional'!$C$5:$C$1000,0),MATCH("[Jefatura] "&amp;$C256,'Cronograma R. Normativo'!$C$5:$C$1000,0),MATCH("[Jefatura] "&amp;$C256,'Cronograma R. Financiero'!$C$5:$C$1000,0),MATCH("[Jefatura] "&amp;$C256,'Cronograma Asistente Técnico'!$C$5:$C$1000,0)),0))</f>
        <v/>
      </c>
      <c r="AI256" s="62">
        <f>IF(AND(AND($D256&lt;&gt;"",$V256="Macro"),$S256=MesCiclo),COUNTIFS($D$5:$D256,$D256,$S$5:$S256,MesCiclo,$V$5:$V256,"Macro"),"")</f>
        <v/>
      </c>
      <c r="AJ256" s="62">
        <f>IF($AI256="","",$D256&amp;"|"&amp;$AI256)</f>
        <v/>
      </c>
      <c r="AK256" s="62">
        <f>IF(AND($D256&lt;&gt;"",$V256="Macro"),$D256&amp;"|"&amp;$C256,"")</f>
        <v/>
      </c>
      <c r="AL256" s="62">
        <f>""</f>
        <v/>
      </c>
      <c r="AM256" s="62">
        <f>IF(N($AL256)&gt;0,INDEX(rIni_ADM,$AL256),IF(ISNUMBER($E256),$E256,""))</f>
        <v/>
      </c>
      <c r="AN256" s="62">
        <f>IF(N($AL256)&gt;0,INDEX(rLim_ADM,$AL256),IF(ISNUMBER($F256),$F256,""))</f>
        <v/>
      </c>
    </row>
    <row r="257">
      <c r="A257" s="56">
        <f>IF(NOT((COUNTA($B257:$D257)+COUNTA($G257:$L257)+COUNTA($Q257))&gt;0),"",IF($V257="Macro",COUNTIFS($V$5:$V257,"Macro",$S$5:$S257,$S257),IF(N($U257)=0,"?",COUNTIFS(INDEX($V$5:$V$1000,1):INDEX($V$5:$V$1000,$U257-4),"Macro",INDEX($S$5:$S$1000,1):INDEX($S$5:$S$1000,$U257-4),INDEX($S$5:$S$1000,$U257-4))&amp;"."&amp;COUNTIFS($U$5:$U257,$U257,$V$5:$V257,"Sub"))))</f>
        <v/>
      </c>
      <c r="B257" s="57" t="n"/>
      <c r="C257" s="58" t="n"/>
      <c r="D257" s="58" t="n"/>
      <c r="E257" s="59" t="n"/>
      <c r="F257" s="59" t="n"/>
      <c r="G257" s="59" t="n"/>
      <c r="H257" s="60" t="n"/>
      <c r="I257" s="60" t="n"/>
      <c r="J257" s="60" t="n"/>
      <c r="K257" s="60" t="n"/>
      <c r="L257" s="60" t="n"/>
      <c r="M257" s="61">
        <f>IF(NOT((COUNTA($B257:$D257)+COUNTA($G257:$L257)+COUNTA($Q257))&gt;0),"",IF(AND($D257&lt;&gt;"",$V257="Macro"),IF(N($AH257)&gt;0,N(CHOOSE(MATCH($D257,ListaPuestos,0),INDEX('Cronograma R. Operacional'!$M$5:$M$1000,$AH257),INDEX('Cronograma R. Normativo'!$M$5:$M$1000,$AH257),INDEX('Cronograma R. Financiero'!$M$5:$M$1000,$AH257),INDEX('Cronograma Asistente Técnico'!$M$5:$M$1000,$AH257))),0),IF(ISNUMBER($G257),1,IF(N($W257)&gt;0,AVERAGEIFS($X$5:$X$1000,$U$5:$U$1000,ROW(),$V$5:$V$1000,"Sub"),$X257))))</f>
        <v/>
      </c>
      <c r="N257" s="56">
        <f>IF(OR($M257="",$V257="Sub"),"",IF($M257&gt;=1,"Completado",IF($M257&gt;0,"En curso","Pendiente")))</f>
        <v/>
      </c>
      <c r="O257" s="56">
        <f>IF(NOT((COUNTA($B257:$D257)+COUNTA($G257:$L257)+COUNTA($Q257))&gt;0),"",IF(AND(AND($D257&lt;&gt;"",$V257="Macro"),N($AH257)&gt;0),CHOOSE(MATCH($D257,ListaPuestos,0),INDEX('Cronograma R. Operacional'!$O$5:$O$1000,$AH257),INDEX('Cronograma R. Normativo'!$O$5:$O$1000,$AH257),INDEX('Cronograma R. Financiero'!$O$5:$O$1000,$AH257),INDEX('Cronograma Asistente Técnico'!$O$5:$O$1000,$AH257))&amp;"",IF(ISNUMBER($G257),IF(AND(ISNUMBER($AN257),$G257&gt;$AN257),"Cumplida con "&amp;($G257-$AN257)&amp;IF($G257-$AN257=1," día"," días")&amp;" de retraso","Cumplida"),IF(N($M257)&gt;=1,"Cumplida",IF(NOT(ISNUMBER($AN257)),"Sin fecha límite",IF($AN257&lt;FechaRef,"Vencida hace "&amp;(FechaRef-$AN257)&amp;IF(FechaRef-$AN257=1," día"," días"),IF($AN257=FechaRef,"Vence hoy",IF($AN257-FechaRef&lt;=DiasAlerta,"Vence en "&amp;($AN257-FechaRef)&amp;IF($AN257-FechaRef=1," día"," días"),"En plazo"))))))))</f>
        <v/>
      </c>
      <c r="P257" s="62">
        <f>IF(NOT((COUNTA($B257:$D257)+COUNTA($G257:$L257)+COUNTA($Q257))&gt;0),"",IF($D257="","Propia",IF($V257&lt;&gt;"Macro","Solo se delegan macroactividades",IF(N($AH257)&gt;0,"✔ Recibida por "&amp;$D257,"⚠ "&amp;$D257&amp;" aún no la agrega"))))</f>
        <v/>
      </c>
      <c r="Q257" s="58" t="n"/>
      <c r="R257" s="63">
        <f>IF(NOT((COUNTA($B257:$D257)+COUNTA($G257:$L257)+COUNTA($Q257))&gt;0),"",IF((IF($C257="","Falta el nombre de la actividad"&amp;" · ","")&amp;IF(AND($V257="Sub",N($U257)=0),"Subactividad sin macroactividad arriba"&amp;" · ","")&amp;IF($AM257="","Sin fecha de inicio"&amp;" · ","")&amp;IF($AN257="","Sin fecha límite"&amp;" · ","")&amp;IF(AND(LEFT($C257,11)="[Jefatura] ",N($AL257)=0),"No se encuentra en la hoja de la jefatura (elíjala de nuevo en la lista)"&amp;" · ","")&amp;IF(OR(AND($E257&lt;&gt;"",NOT(ISNUMBER($E257))),AND($F257&lt;&gt;"",NOT(ISNUMBER($F257))),AND($G257&lt;&gt;"",NOT(ISNUMBER($G257)))),"Fecha no válida"&amp;" · ","")&amp;IF(AND(ISNUMBER($AM257),ISNUMBER($AN257),$AM257&gt;$AN257),"Inicio posterior a fecha límite"&amp;" · ","")&amp;IF(AND($V257="Macro",$H257&lt;&gt;"",OR(NOT(ISNUMBER($H257)),$H257&lt;0,$H257&gt;1)),"Peso fuera de rango"&amp;" · ","")&amp;IF(AND($V257="Sub",$H257&lt;&gt;""),"Las subactividades no llevan peso (valen igual dentro de su macroactividad)"&amp;" · ","")&amp;IF(AND(N($W257)&gt;0,COUNT($I257:$L257)&gt;0),"Con subactividades: deje vacías las semanas (se calculan solas)"&amp;" · ","")&amp;IF((COUNTIF($I257:$L257,"&gt;1")+COUNTIF($I257:$L257,"&lt;0")+COUNTA($I257:$L257)-COUNT($I257:$L257))&gt;0,"Avance fuera de rango 0-100%"&amp;" · ","")&amp;IF(OR(AND($J257&lt;&gt;"",$J257&lt;$I257),AND($K257&lt;&gt;"",$K257&lt;MAX($I257:$J257)),AND($L257&lt;&gt;"",$L257&lt;MAX($I257:$K257))),"Avance semanal decreciente"&amp;" · ","")&amp;IF(AND(ISNUMBER($AN257),$AN257&lt;FechaRef,IF($V257="Sub",N($X257),N($M257))&lt;1),"Vencida"&amp;" · ","")&amp;IF(AND(ObsObligatoria="Sí",ISNUMBER($AN257),$AN257&lt;FechaRef,IF($V257="Sub",N($X257),N($M257))&lt;1,$Q257=""),"Vencida sin observación"&amp;" · ",""))="","✔ OK","⚠ "&amp;LEFT(IF($C257="","Falta el nombre de la actividad"&amp;" · ","")&amp;IF(AND($V257="Sub",N($U257)=0),"Subactividad sin macroactividad arriba"&amp;" · ","")&amp;IF($AM257="","Sin fecha de inicio"&amp;" · ","")&amp;IF($AN257="","Sin fecha límite"&amp;" · ","")&amp;IF(AND(LEFT($C257,11)="[Jefatura] ",N($AL257)=0),"No se encuentra en la hoja de la jefatura (elíjala de nuevo en la lista)"&amp;" · ","")&amp;IF(OR(AND($E257&lt;&gt;"",NOT(ISNUMBER($E257))),AND($F257&lt;&gt;"",NOT(ISNUMBER($F257))),AND($G257&lt;&gt;"",NOT(ISNUMBER($G257)))),"Fecha no válida"&amp;" · ","")&amp;IF(AND(ISNUMBER($AM257),ISNUMBER($AN257),$AM257&gt;$AN257),"Inicio posterior a fecha límite"&amp;" · ","")&amp;IF(AND($V257="Macro",$H257&lt;&gt;"",OR(NOT(ISNUMBER($H257)),$H257&lt;0,$H257&gt;1)),"Peso fuera de rango"&amp;" · ","")&amp;IF(AND($V257="Sub",$H257&lt;&gt;""),"Las subactividades no llevan peso (valen igual dentro de su macroactividad)"&amp;" · ","")&amp;IF(AND(N($W257)&gt;0,COUNT($I257:$L257)&gt;0),"Con subactividades: deje vacías las semanas (se calculan solas)"&amp;" · ","")&amp;IF((COUNTIF($I257:$L257,"&gt;1")+COUNTIF($I257:$L257,"&lt;0")+COUNTA($I257:$L257)-COUNT($I257:$L257))&gt;0,"Avance fuera de rango 0-100%"&amp;" · ","")&amp;IF(OR(AND($J257&lt;&gt;"",$J257&lt;$I257),AND($K257&lt;&gt;"",$K257&lt;MAX($I257:$J257)),AND($L257&lt;&gt;"",$L257&lt;MAX($I257:$K257))),"Avance semanal decreciente"&amp;" · ","")&amp;IF(AND(ISNUMBER($AN257),$AN257&lt;FechaRef,IF($V257="Sub",N($X257),N($M257))&lt;1),"Vencida"&amp;" · ","")&amp;IF(AND(ObsObligatoria="Sí",ISNUMBER($AN257),$AN257&lt;FechaRef,IF($V257="Sub",N($X257),N($M257))&lt;1,$Q257=""),"Vencida sin observación"&amp;" · ",""),LEN(IF($C257="","Falta el nombre de la actividad"&amp;" · ","")&amp;IF(AND($V257="Sub",N($U257)=0),"Subactividad sin macroactividad arriba"&amp;" · ","")&amp;IF($AM257="","Sin fecha de inicio"&amp;" · ","")&amp;IF($AN257="","Sin fecha límite"&amp;" · ","")&amp;IF(AND(LEFT($C257,11)="[Jefatura] ",N($AL257)=0),"No se encuentra en la hoja de la jefatura (elíjala de nuevo en la lista)"&amp;" · ","")&amp;IF(OR(AND($E257&lt;&gt;"",NOT(ISNUMBER($E257))),AND($F257&lt;&gt;"",NOT(ISNUMBER($F257))),AND($G257&lt;&gt;"",NOT(ISNUMBER($G257)))),"Fecha no válida"&amp;" · ","")&amp;IF(AND(ISNUMBER($AM257),ISNUMBER($AN257),$AM257&gt;$AN257),"Inicio posterior a fecha límite"&amp;" · ","")&amp;IF(AND($V257="Macro",$H257&lt;&gt;"",OR(NOT(ISNUMBER($H257)),$H257&lt;0,$H257&gt;1)),"Peso fuera de rango"&amp;" · ","")&amp;IF(AND($V257="Sub",$H257&lt;&gt;""),"Las subactividades no llevan peso (valen igual dentro de su macroactividad)"&amp;" · ","")&amp;IF(AND(N($W257)&gt;0,COUNT($I257:$L257)&gt;0),"Con subactividades: deje vacías las semanas (se calculan solas)"&amp;" · ","")&amp;IF((COUNTIF($I257:$L257,"&gt;1")+COUNTIF($I257:$L257,"&lt;0")+COUNTA($I257:$L257)-COUNT($I257:$L257))&gt;0,"Avance fuera de rango 0-100%"&amp;" · ","")&amp;IF(OR(AND($J257&lt;&gt;"",$J257&lt;$I257),AND($K257&lt;&gt;"",$K257&lt;MAX($I257:$J257)),AND($L257&lt;&gt;"",$L257&lt;MAX($I257:$K257))),"Avance semanal decreciente"&amp;" · ","")&amp;IF(AND(ISNUMBER($AN257),$AN257&lt;FechaRef,IF($V257="Sub",N($X257),N($M257))&lt;1),"Vencida"&amp;" · ","")&amp;IF(AND(ObsObligatoria="Sí",ISNUMBER($AN257),$AN257&lt;FechaRef,IF($V257="Sub",N($X257),N($M257))&lt;1,$Q257=""),"Vencida sin observación"&amp;" · ",""))-3)))</f>
        <v/>
      </c>
      <c r="S257" s="64">
        <f>IF(NOT((COUNTA($B257:$D257)+COUNTA($G257:$L257)+COUNTA($Q257))&gt;0),"",IF(AND($V257="Sub",N($U257)&gt;0),IF(ISNUMBER(INDEX($AM$5:$AM$1000,$U257-4)),DATE(YEAR(INDEX($AM$5:$AM$1000,$U257-4)),MONTH(INDEX($AM$5:$AM$1000,$U257-4)),1),IF(ISNUMBER(INDEX($AN$5:$AN$1000,$U257-4)),DATE(YEAR(INDEX($AN$5:$AN$1000,$U257-4)),MONTH(INDEX($AN$5:$AN$1000,$U257-4)),1),MesCiclo)),IF(ISNUMBER($AM257),DATE(YEAR($AM257),MONTH($AM257),1),IF(ISNUMBER($AN257),DATE(YEAR($AN257),MONTH($AN257),1),MesCiclo))))</f>
        <v/>
      </c>
      <c r="T257" s="62">
        <f>IF(OR($S257="",$S257&lt;&gt;MesCiclo,$V257&lt;&gt;"Macro"),"",COUNTIFS($S$5:$S257,MesCiclo,$V$5:$V257,"Macro"))</f>
        <v/>
      </c>
      <c r="U257" s="62">
        <f>IF($V257="","",IF($V257="Macro",ROW(),IFERROR(LOOKUP(2,1/($V$5:$V257="Macro"),ROW($V$5:$V257)),0)))</f>
        <v/>
      </c>
      <c r="V257" s="62">
        <f>IF(NOT((COUNTA($B257:$D257)+COUNTA($G257:$L257)+COUNTA($Q257))&gt;0),"",IF($B257="Subactividad","Sub","Macro"))</f>
        <v/>
      </c>
      <c r="W257" s="62">
        <f>IF($V257="Macro",COUNTIFS($U$5:$U$1000,ROW(),$V$5:$V$1000,"Sub"),"")</f>
        <v/>
      </c>
      <c r="X257" s="62">
        <f>IF($V257="","",IF(ISNUMBER($G257),1,IFERROR(LOOKUP(2,1/($I257:$L257&lt;&gt;""),$I257:$L257),0)))</f>
        <v/>
      </c>
      <c r="Y257" s="62">
        <f>IF($V257="","",IF(AND(ISNUMBER($G257),$G257&lt;=IF($S257=MesCiclo,InicioCiclo,$S257+MOD(2-WEEKDAY($S257),7))+6),1,IF(ISNUMBER($I257),$I257,0)))</f>
        <v/>
      </c>
      <c r="Z257" s="62">
        <f>IF($V257="","",IF(AND(ISNUMBER($G257),$G257&lt;=IF($S257=MesCiclo,InicioCiclo,$S257+MOD(2-WEEKDAY($S257),7))+13),1,IF(ISNUMBER($J257),$J257,$Y257)))</f>
        <v/>
      </c>
      <c r="AA257" s="62">
        <f>IF($V257="","",IF(AND(ISNUMBER($G257),$G257&lt;=IF($S257=MesCiclo,InicioCiclo,$S257+MOD(2-WEEKDAY($S257),7))+20),1,IF(ISNUMBER($K257),$K257,$Z257)))</f>
        <v/>
      </c>
      <c r="AB257" s="62">
        <f>IF($V257="","",IF(AND(ISNUMBER($G257),$G257&lt;=IF($S257=MesCiclo,InicioCiclo,$S257+MOD(2-WEEKDAY($S257),7))+27),1,IF(ISNUMBER($L257),$L257,$AA257)))</f>
        <v/>
      </c>
      <c r="AC257" s="62">
        <f>IF($V257="","",IF(AND(ISNUMBER($G257),$G257&lt;=IF($S257=MesCiclo,InicioCiclo,$S257+MOD(2-WEEKDAY($S257),7))+6),1,IF(N($W257)&gt;0,AVERAGEIFS($Y$5:$Y$1000,$U$5:$U$1000,ROW(),$V$5:$V$1000,"Sub"),$Y257)))</f>
        <v/>
      </c>
      <c r="AD257" s="62">
        <f>IF($V257="","",IF(AND(ISNUMBER($G257),$G257&lt;=IF($S257=MesCiclo,InicioCiclo,$S257+MOD(2-WEEKDAY($S257),7))+13),1,IF(N($W257)&gt;0,AVERAGEIFS($Z$5:$Z$1000,$U$5:$U$1000,ROW(),$V$5:$V$1000,"Sub"),$Z257)))</f>
        <v/>
      </c>
      <c r="AE257" s="62">
        <f>IF($V257="","",IF(AND(ISNUMBER($G257),$G257&lt;=IF($S257=MesCiclo,InicioCiclo,$S257+MOD(2-WEEKDAY($S257),7))+20),1,IF(N($W257)&gt;0,AVERAGEIFS($AA$5:$AA$1000,$U$5:$U$1000,ROW(),$V$5:$V$1000,"Sub"),$AA257)))</f>
        <v/>
      </c>
      <c r="AF257" s="62">
        <f>IF($V257="","",IF(AND(ISNUMBER($G257),$G257&lt;=IF($S257=MesCiclo,InicioCiclo,$S257+MOD(2-WEEKDAY($S257),7))+27),1,IF(N($W257)&gt;0,AVERAGEIFS($AB$5:$AB$1000,$U$5:$U$1000,ROW(),$V$5:$V$1000,"Sub"),$AB257)))</f>
        <v/>
      </c>
      <c r="AG257" s="62">
        <f>IF($V257&lt;&gt;"Macro","",IF(COUNTIFS($S$5:$S$1000,$S257,$V$5:$V$1000,"Macro",$H$5:$H$1000,"&gt;0")=0,1/COUNTIFS($S$5:$S$1000,$S257,$V$5:$V$1000,"Macro"),IF(AND(ISNUMBER($H257),N($H257)&gt;0),$H257,SUMIFS($H$5:$H$1000,$S$5:$S$1000,$S257,$V$5:$V$1000,"Macro")/COUNTIFS($S$5:$S$1000,$S257,$V$5:$V$1000,"Macro",$H$5:$H$1000,"&gt;0"))/(COUNTIFS($S$5:$S$1000,$S257,$V$5:$V$1000,"Macro")*SUMIFS($H$5:$H$1000,$S$5:$S$1000,$S257,$V$5:$V$1000,"Macro")/COUNTIFS($S$5:$S$1000,$S257,$V$5:$V$1000,"Macro",$H$5:$H$1000,"&gt;0"))))</f>
        <v/>
      </c>
      <c r="AH257" s="62">
        <f>IF(NOT(AND($D257&lt;&gt;"",$V257="Macro")),"",IFERROR(CHOOSE(MATCH($D257,ListaPuestos,0),MATCH("[Jefatura] "&amp;$C257,'Cronograma R. Operacional'!$C$5:$C$1000,0),MATCH("[Jefatura] "&amp;$C257,'Cronograma R. Normativo'!$C$5:$C$1000,0),MATCH("[Jefatura] "&amp;$C257,'Cronograma R. Financiero'!$C$5:$C$1000,0),MATCH("[Jefatura] "&amp;$C257,'Cronograma Asistente Técnico'!$C$5:$C$1000,0)),0))</f>
        <v/>
      </c>
      <c r="AI257" s="62">
        <f>IF(AND(AND($D257&lt;&gt;"",$V257="Macro"),$S257=MesCiclo),COUNTIFS($D$5:$D257,$D257,$S$5:$S257,MesCiclo,$V$5:$V257,"Macro"),"")</f>
        <v/>
      </c>
      <c r="AJ257" s="62">
        <f>IF($AI257="","",$D257&amp;"|"&amp;$AI257)</f>
        <v/>
      </c>
      <c r="AK257" s="62">
        <f>IF(AND($D257&lt;&gt;"",$V257="Macro"),$D257&amp;"|"&amp;$C257,"")</f>
        <v/>
      </c>
      <c r="AL257" s="62">
        <f>""</f>
        <v/>
      </c>
      <c r="AM257" s="62">
        <f>IF(N($AL257)&gt;0,INDEX(rIni_ADM,$AL257),IF(ISNUMBER($E257),$E257,""))</f>
        <v/>
      </c>
      <c r="AN257" s="62">
        <f>IF(N($AL257)&gt;0,INDEX(rLim_ADM,$AL257),IF(ISNUMBER($F257),$F257,""))</f>
        <v/>
      </c>
    </row>
    <row r="258">
      <c r="A258" s="56">
        <f>IF(NOT((COUNTA($B258:$D258)+COUNTA($G258:$L258)+COUNTA($Q258))&gt;0),"",IF($V258="Macro",COUNTIFS($V$5:$V258,"Macro",$S$5:$S258,$S258),IF(N($U258)=0,"?",COUNTIFS(INDEX($V$5:$V$1000,1):INDEX($V$5:$V$1000,$U258-4),"Macro",INDEX($S$5:$S$1000,1):INDEX($S$5:$S$1000,$U258-4),INDEX($S$5:$S$1000,$U258-4))&amp;"."&amp;COUNTIFS($U$5:$U258,$U258,$V$5:$V258,"Sub"))))</f>
        <v/>
      </c>
      <c r="B258" s="57" t="n"/>
      <c r="C258" s="58" t="n"/>
      <c r="D258" s="58" t="n"/>
      <c r="E258" s="59" t="n"/>
      <c r="F258" s="59" t="n"/>
      <c r="G258" s="59" t="n"/>
      <c r="H258" s="60" t="n"/>
      <c r="I258" s="60" t="n"/>
      <c r="J258" s="60" t="n"/>
      <c r="K258" s="60" t="n"/>
      <c r="L258" s="60" t="n"/>
      <c r="M258" s="61">
        <f>IF(NOT((COUNTA($B258:$D258)+COUNTA($G258:$L258)+COUNTA($Q258))&gt;0),"",IF(AND($D258&lt;&gt;"",$V258="Macro"),IF(N($AH258)&gt;0,N(CHOOSE(MATCH($D258,ListaPuestos,0),INDEX('Cronograma R. Operacional'!$M$5:$M$1000,$AH258),INDEX('Cronograma R. Normativo'!$M$5:$M$1000,$AH258),INDEX('Cronograma R. Financiero'!$M$5:$M$1000,$AH258),INDEX('Cronograma Asistente Técnico'!$M$5:$M$1000,$AH258))),0),IF(ISNUMBER($G258),1,IF(N($W258)&gt;0,AVERAGEIFS($X$5:$X$1000,$U$5:$U$1000,ROW(),$V$5:$V$1000,"Sub"),$X258))))</f>
        <v/>
      </c>
      <c r="N258" s="56">
        <f>IF(OR($M258="",$V258="Sub"),"",IF($M258&gt;=1,"Completado",IF($M258&gt;0,"En curso","Pendiente")))</f>
        <v/>
      </c>
      <c r="O258" s="56">
        <f>IF(NOT((COUNTA($B258:$D258)+COUNTA($G258:$L258)+COUNTA($Q258))&gt;0),"",IF(AND(AND($D258&lt;&gt;"",$V258="Macro"),N($AH258)&gt;0),CHOOSE(MATCH($D258,ListaPuestos,0),INDEX('Cronograma R. Operacional'!$O$5:$O$1000,$AH258),INDEX('Cronograma R. Normativo'!$O$5:$O$1000,$AH258),INDEX('Cronograma R. Financiero'!$O$5:$O$1000,$AH258),INDEX('Cronograma Asistente Técnico'!$O$5:$O$1000,$AH258))&amp;"",IF(ISNUMBER($G258),IF(AND(ISNUMBER($AN258),$G258&gt;$AN258),"Cumplida con "&amp;($G258-$AN258)&amp;IF($G258-$AN258=1," día"," días")&amp;" de retraso","Cumplida"),IF(N($M258)&gt;=1,"Cumplida",IF(NOT(ISNUMBER($AN258)),"Sin fecha límite",IF($AN258&lt;FechaRef,"Vencida hace "&amp;(FechaRef-$AN258)&amp;IF(FechaRef-$AN258=1," día"," días"),IF($AN258=FechaRef,"Vence hoy",IF($AN258-FechaRef&lt;=DiasAlerta,"Vence en "&amp;($AN258-FechaRef)&amp;IF($AN258-FechaRef=1," día"," días"),"En plazo"))))))))</f>
        <v/>
      </c>
      <c r="P258" s="62">
        <f>IF(NOT((COUNTA($B258:$D258)+COUNTA($G258:$L258)+COUNTA($Q258))&gt;0),"",IF($D258="","Propia",IF($V258&lt;&gt;"Macro","Solo se delegan macroactividades",IF(N($AH258)&gt;0,"✔ Recibida por "&amp;$D258,"⚠ "&amp;$D258&amp;" aún no la agrega"))))</f>
        <v/>
      </c>
      <c r="Q258" s="58" t="n"/>
      <c r="R258" s="63">
        <f>IF(NOT((COUNTA($B258:$D258)+COUNTA($G258:$L258)+COUNTA($Q258))&gt;0),"",IF((IF($C258="","Falta el nombre de la actividad"&amp;" · ","")&amp;IF(AND($V258="Sub",N($U258)=0),"Subactividad sin macroactividad arriba"&amp;" · ","")&amp;IF($AM258="","Sin fecha de inicio"&amp;" · ","")&amp;IF($AN258="","Sin fecha límite"&amp;" · ","")&amp;IF(AND(LEFT($C258,11)="[Jefatura] ",N($AL258)=0),"No se encuentra en la hoja de la jefatura (elíjala de nuevo en la lista)"&amp;" · ","")&amp;IF(OR(AND($E258&lt;&gt;"",NOT(ISNUMBER($E258))),AND($F258&lt;&gt;"",NOT(ISNUMBER($F258))),AND($G258&lt;&gt;"",NOT(ISNUMBER($G258)))),"Fecha no válida"&amp;" · ","")&amp;IF(AND(ISNUMBER($AM258),ISNUMBER($AN258),$AM258&gt;$AN258),"Inicio posterior a fecha límite"&amp;" · ","")&amp;IF(AND($V258="Macro",$H258&lt;&gt;"",OR(NOT(ISNUMBER($H258)),$H258&lt;0,$H258&gt;1)),"Peso fuera de rango"&amp;" · ","")&amp;IF(AND($V258="Sub",$H258&lt;&gt;""),"Las subactividades no llevan peso (valen igual dentro de su macroactividad)"&amp;" · ","")&amp;IF(AND(N($W258)&gt;0,COUNT($I258:$L258)&gt;0),"Con subactividades: deje vacías las semanas (se calculan solas)"&amp;" · ","")&amp;IF((COUNTIF($I258:$L258,"&gt;1")+COUNTIF($I258:$L258,"&lt;0")+COUNTA($I258:$L258)-COUNT($I258:$L258))&gt;0,"Avance fuera de rango 0-100%"&amp;" · ","")&amp;IF(OR(AND($J258&lt;&gt;"",$J258&lt;$I258),AND($K258&lt;&gt;"",$K258&lt;MAX($I258:$J258)),AND($L258&lt;&gt;"",$L258&lt;MAX($I258:$K258))),"Avance semanal decreciente"&amp;" · ","")&amp;IF(AND(ISNUMBER($AN258),$AN258&lt;FechaRef,IF($V258="Sub",N($X258),N($M258))&lt;1),"Vencida"&amp;" · ","")&amp;IF(AND(ObsObligatoria="Sí",ISNUMBER($AN258),$AN258&lt;FechaRef,IF($V258="Sub",N($X258),N($M258))&lt;1,$Q258=""),"Vencida sin observación"&amp;" · ",""))="","✔ OK","⚠ "&amp;LEFT(IF($C258="","Falta el nombre de la actividad"&amp;" · ","")&amp;IF(AND($V258="Sub",N($U258)=0),"Subactividad sin macroactividad arriba"&amp;" · ","")&amp;IF($AM258="","Sin fecha de inicio"&amp;" · ","")&amp;IF($AN258="","Sin fecha límite"&amp;" · ","")&amp;IF(AND(LEFT($C258,11)="[Jefatura] ",N($AL258)=0),"No se encuentra en la hoja de la jefatura (elíjala de nuevo en la lista)"&amp;" · ","")&amp;IF(OR(AND($E258&lt;&gt;"",NOT(ISNUMBER($E258))),AND($F258&lt;&gt;"",NOT(ISNUMBER($F258))),AND($G258&lt;&gt;"",NOT(ISNUMBER($G258)))),"Fecha no válida"&amp;" · ","")&amp;IF(AND(ISNUMBER($AM258),ISNUMBER($AN258),$AM258&gt;$AN258),"Inicio posterior a fecha límite"&amp;" · ","")&amp;IF(AND($V258="Macro",$H258&lt;&gt;"",OR(NOT(ISNUMBER($H258)),$H258&lt;0,$H258&gt;1)),"Peso fuera de rango"&amp;" · ","")&amp;IF(AND($V258="Sub",$H258&lt;&gt;""),"Las subactividades no llevan peso (valen igual dentro de su macroactividad)"&amp;" · ","")&amp;IF(AND(N($W258)&gt;0,COUNT($I258:$L258)&gt;0),"Con subactividades: deje vacías las semanas (se calculan solas)"&amp;" · ","")&amp;IF((COUNTIF($I258:$L258,"&gt;1")+COUNTIF($I258:$L258,"&lt;0")+COUNTA($I258:$L258)-COUNT($I258:$L258))&gt;0,"Avance fuera de rango 0-100%"&amp;" · ","")&amp;IF(OR(AND($J258&lt;&gt;"",$J258&lt;$I258),AND($K258&lt;&gt;"",$K258&lt;MAX($I258:$J258)),AND($L258&lt;&gt;"",$L258&lt;MAX($I258:$K258))),"Avance semanal decreciente"&amp;" · ","")&amp;IF(AND(ISNUMBER($AN258),$AN258&lt;FechaRef,IF($V258="Sub",N($X258),N($M258))&lt;1),"Vencida"&amp;" · ","")&amp;IF(AND(ObsObligatoria="Sí",ISNUMBER($AN258),$AN258&lt;FechaRef,IF($V258="Sub",N($X258),N($M258))&lt;1,$Q258=""),"Vencida sin observación"&amp;" · ",""),LEN(IF($C258="","Falta el nombre de la actividad"&amp;" · ","")&amp;IF(AND($V258="Sub",N($U258)=0),"Subactividad sin macroactividad arriba"&amp;" · ","")&amp;IF($AM258="","Sin fecha de inicio"&amp;" · ","")&amp;IF($AN258="","Sin fecha límite"&amp;" · ","")&amp;IF(AND(LEFT($C258,11)="[Jefatura] ",N($AL258)=0),"No se encuentra en la hoja de la jefatura (elíjala de nuevo en la lista)"&amp;" · ","")&amp;IF(OR(AND($E258&lt;&gt;"",NOT(ISNUMBER($E258))),AND($F258&lt;&gt;"",NOT(ISNUMBER($F258))),AND($G258&lt;&gt;"",NOT(ISNUMBER($G258)))),"Fecha no válida"&amp;" · ","")&amp;IF(AND(ISNUMBER($AM258),ISNUMBER($AN258),$AM258&gt;$AN258),"Inicio posterior a fecha límite"&amp;" · ","")&amp;IF(AND($V258="Macro",$H258&lt;&gt;"",OR(NOT(ISNUMBER($H258)),$H258&lt;0,$H258&gt;1)),"Peso fuera de rango"&amp;" · ","")&amp;IF(AND($V258="Sub",$H258&lt;&gt;""),"Las subactividades no llevan peso (valen igual dentro de su macroactividad)"&amp;" · ","")&amp;IF(AND(N($W258)&gt;0,COUNT($I258:$L258)&gt;0),"Con subactividades: deje vacías las semanas (se calculan solas)"&amp;" · ","")&amp;IF((COUNTIF($I258:$L258,"&gt;1")+COUNTIF($I258:$L258,"&lt;0")+COUNTA($I258:$L258)-COUNT($I258:$L258))&gt;0,"Avance fuera de rango 0-100%"&amp;" · ","")&amp;IF(OR(AND($J258&lt;&gt;"",$J258&lt;$I258),AND($K258&lt;&gt;"",$K258&lt;MAX($I258:$J258)),AND($L258&lt;&gt;"",$L258&lt;MAX($I258:$K258))),"Avance semanal decreciente"&amp;" · ","")&amp;IF(AND(ISNUMBER($AN258),$AN258&lt;FechaRef,IF($V258="Sub",N($X258),N($M258))&lt;1),"Vencida"&amp;" · ","")&amp;IF(AND(ObsObligatoria="Sí",ISNUMBER($AN258),$AN258&lt;FechaRef,IF($V258="Sub",N($X258),N($M258))&lt;1,$Q258=""),"Vencida sin observación"&amp;" · ",""))-3)))</f>
        <v/>
      </c>
      <c r="S258" s="64">
        <f>IF(NOT((COUNTA($B258:$D258)+COUNTA($G258:$L258)+COUNTA($Q258))&gt;0),"",IF(AND($V258="Sub",N($U258)&gt;0),IF(ISNUMBER(INDEX($AM$5:$AM$1000,$U258-4)),DATE(YEAR(INDEX($AM$5:$AM$1000,$U258-4)),MONTH(INDEX($AM$5:$AM$1000,$U258-4)),1),IF(ISNUMBER(INDEX($AN$5:$AN$1000,$U258-4)),DATE(YEAR(INDEX($AN$5:$AN$1000,$U258-4)),MONTH(INDEX($AN$5:$AN$1000,$U258-4)),1),MesCiclo)),IF(ISNUMBER($AM258),DATE(YEAR($AM258),MONTH($AM258),1),IF(ISNUMBER($AN258),DATE(YEAR($AN258),MONTH($AN258),1),MesCiclo))))</f>
        <v/>
      </c>
      <c r="T258" s="62">
        <f>IF(OR($S258="",$S258&lt;&gt;MesCiclo,$V258&lt;&gt;"Macro"),"",COUNTIFS($S$5:$S258,MesCiclo,$V$5:$V258,"Macro"))</f>
        <v/>
      </c>
      <c r="U258" s="62">
        <f>IF($V258="","",IF($V258="Macro",ROW(),IFERROR(LOOKUP(2,1/($V$5:$V258="Macro"),ROW($V$5:$V258)),0)))</f>
        <v/>
      </c>
      <c r="V258" s="62">
        <f>IF(NOT((COUNTA($B258:$D258)+COUNTA($G258:$L258)+COUNTA($Q258))&gt;0),"",IF($B258="Subactividad","Sub","Macro"))</f>
        <v/>
      </c>
      <c r="W258" s="62">
        <f>IF($V258="Macro",COUNTIFS($U$5:$U$1000,ROW(),$V$5:$V$1000,"Sub"),"")</f>
        <v/>
      </c>
      <c r="X258" s="62">
        <f>IF($V258="","",IF(ISNUMBER($G258),1,IFERROR(LOOKUP(2,1/($I258:$L258&lt;&gt;""),$I258:$L258),0)))</f>
        <v/>
      </c>
      <c r="Y258" s="62">
        <f>IF($V258="","",IF(AND(ISNUMBER($G258),$G258&lt;=IF($S258=MesCiclo,InicioCiclo,$S258+MOD(2-WEEKDAY($S258),7))+6),1,IF(ISNUMBER($I258),$I258,0)))</f>
        <v/>
      </c>
      <c r="Z258" s="62">
        <f>IF($V258="","",IF(AND(ISNUMBER($G258),$G258&lt;=IF($S258=MesCiclo,InicioCiclo,$S258+MOD(2-WEEKDAY($S258),7))+13),1,IF(ISNUMBER($J258),$J258,$Y258)))</f>
        <v/>
      </c>
      <c r="AA258" s="62">
        <f>IF($V258="","",IF(AND(ISNUMBER($G258),$G258&lt;=IF($S258=MesCiclo,InicioCiclo,$S258+MOD(2-WEEKDAY($S258),7))+20),1,IF(ISNUMBER($K258),$K258,$Z258)))</f>
        <v/>
      </c>
      <c r="AB258" s="62">
        <f>IF($V258="","",IF(AND(ISNUMBER($G258),$G258&lt;=IF($S258=MesCiclo,InicioCiclo,$S258+MOD(2-WEEKDAY($S258),7))+27),1,IF(ISNUMBER($L258),$L258,$AA258)))</f>
        <v/>
      </c>
      <c r="AC258" s="62">
        <f>IF($V258="","",IF(AND(ISNUMBER($G258),$G258&lt;=IF($S258=MesCiclo,InicioCiclo,$S258+MOD(2-WEEKDAY($S258),7))+6),1,IF(N($W258)&gt;0,AVERAGEIFS($Y$5:$Y$1000,$U$5:$U$1000,ROW(),$V$5:$V$1000,"Sub"),$Y258)))</f>
        <v/>
      </c>
      <c r="AD258" s="62">
        <f>IF($V258="","",IF(AND(ISNUMBER($G258),$G258&lt;=IF($S258=MesCiclo,InicioCiclo,$S258+MOD(2-WEEKDAY($S258),7))+13),1,IF(N($W258)&gt;0,AVERAGEIFS($Z$5:$Z$1000,$U$5:$U$1000,ROW(),$V$5:$V$1000,"Sub"),$Z258)))</f>
        <v/>
      </c>
      <c r="AE258" s="62">
        <f>IF($V258="","",IF(AND(ISNUMBER($G258),$G258&lt;=IF($S258=MesCiclo,InicioCiclo,$S258+MOD(2-WEEKDAY($S258),7))+20),1,IF(N($W258)&gt;0,AVERAGEIFS($AA$5:$AA$1000,$U$5:$U$1000,ROW(),$V$5:$V$1000,"Sub"),$AA258)))</f>
        <v/>
      </c>
      <c r="AF258" s="62">
        <f>IF($V258="","",IF(AND(ISNUMBER($G258),$G258&lt;=IF($S258=MesCiclo,InicioCiclo,$S258+MOD(2-WEEKDAY($S258),7))+27),1,IF(N($W258)&gt;0,AVERAGEIFS($AB$5:$AB$1000,$U$5:$U$1000,ROW(),$V$5:$V$1000,"Sub"),$AB258)))</f>
        <v/>
      </c>
      <c r="AG258" s="62">
        <f>IF($V258&lt;&gt;"Macro","",IF(COUNTIFS($S$5:$S$1000,$S258,$V$5:$V$1000,"Macro",$H$5:$H$1000,"&gt;0")=0,1/COUNTIFS($S$5:$S$1000,$S258,$V$5:$V$1000,"Macro"),IF(AND(ISNUMBER($H258),N($H258)&gt;0),$H258,SUMIFS($H$5:$H$1000,$S$5:$S$1000,$S258,$V$5:$V$1000,"Macro")/COUNTIFS($S$5:$S$1000,$S258,$V$5:$V$1000,"Macro",$H$5:$H$1000,"&gt;0"))/(COUNTIFS($S$5:$S$1000,$S258,$V$5:$V$1000,"Macro")*SUMIFS($H$5:$H$1000,$S$5:$S$1000,$S258,$V$5:$V$1000,"Macro")/COUNTIFS($S$5:$S$1000,$S258,$V$5:$V$1000,"Macro",$H$5:$H$1000,"&gt;0"))))</f>
        <v/>
      </c>
      <c r="AH258" s="62">
        <f>IF(NOT(AND($D258&lt;&gt;"",$V258="Macro")),"",IFERROR(CHOOSE(MATCH($D258,ListaPuestos,0),MATCH("[Jefatura] "&amp;$C258,'Cronograma R. Operacional'!$C$5:$C$1000,0),MATCH("[Jefatura] "&amp;$C258,'Cronograma R. Normativo'!$C$5:$C$1000,0),MATCH("[Jefatura] "&amp;$C258,'Cronograma R. Financiero'!$C$5:$C$1000,0),MATCH("[Jefatura] "&amp;$C258,'Cronograma Asistente Técnico'!$C$5:$C$1000,0)),0))</f>
        <v/>
      </c>
      <c r="AI258" s="62">
        <f>IF(AND(AND($D258&lt;&gt;"",$V258="Macro"),$S258=MesCiclo),COUNTIFS($D$5:$D258,$D258,$S$5:$S258,MesCiclo,$V$5:$V258,"Macro"),"")</f>
        <v/>
      </c>
      <c r="AJ258" s="62">
        <f>IF($AI258="","",$D258&amp;"|"&amp;$AI258)</f>
        <v/>
      </c>
      <c r="AK258" s="62">
        <f>IF(AND($D258&lt;&gt;"",$V258="Macro"),$D258&amp;"|"&amp;$C258,"")</f>
        <v/>
      </c>
      <c r="AL258" s="62">
        <f>""</f>
        <v/>
      </c>
      <c r="AM258" s="62">
        <f>IF(N($AL258)&gt;0,INDEX(rIni_ADM,$AL258),IF(ISNUMBER($E258),$E258,""))</f>
        <v/>
      </c>
      <c r="AN258" s="62">
        <f>IF(N($AL258)&gt;0,INDEX(rLim_ADM,$AL258),IF(ISNUMBER($F258),$F258,""))</f>
        <v/>
      </c>
    </row>
    <row r="259">
      <c r="A259" s="56">
        <f>IF(NOT((COUNTA($B259:$D259)+COUNTA($G259:$L259)+COUNTA($Q259))&gt;0),"",IF($V259="Macro",COUNTIFS($V$5:$V259,"Macro",$S$5:$S259,$S259),IF(N($U259)=0,"?",COUNTIFS(INDEX($V$5:$V$1000,1):INDEX($V$5:$V$1000,$U259-4),"Macro",INDEX($S$5:$S$1000,1):INDEX($S$5:$S$1000,$U259-4),INDEX($S$5:$S$1000,$U259-4))&amp;"."&amp;COUNTIFS($U$5:$U259,$U259,$V$5:$V259,"Sub"))))</f>
        <v/>
      </c>
      <c r="B259" s="57" t="n"/>
      <c r="C259" s="58" t="n"/>
      <c r="D259" s="58" t="n"/>
      <c r="E259" s="59" t="n"/>
      <c r="F259" s="59" t="n"/>
      <c r="G259" s="59" t="n"/>
      <c r="H259" s="60" t="n"/>
      <c r="I259" s="60" t="n"/>
      <c r="J259" s="60" t="n"/>
      <c r="K259" s="60" t="n"/>
      <c r="L259" s="60" t="n"/>
      <c r="M259" s="61">
        <f>IF(NOT((COUNTA($B259:$D259)+COUNTA($G259:$L259)+COUNTA($Q259))&gt;0),"",IF(AND($D259&lt;&gt;"",$V259="Macro"),IF(N($AH259)&gt;0,N(CHOOSE(MATCH($D259,ListaPuestos,0),INDEX('Cronograma R. Operacional'!$M$5:$M$1000,$AH259),INDEX('Cronograma R. Normativo'!$M$5:$M$1000,$AH259),INDEX('Cronograma R. Financiero'!$M$5:$M$1000,$AH259),INDEX('Cronograma Asistente Técnico'!$M$5:$M$1000,$AH259))),0),IF(ISNUMBER($G259),1,IF(N($W259)&gt;0,AVERAGEIFS($X$5:$X$1000,$U$5:$U$1000,ROW(),$V$5:$V$1000,"Sub"),$X259))))</f>
        <v/>
      </c>
      <c r="N259" s="56">
        <f>IF(OR($M259="",$V259="Sub"),"",IF($M259&gt;=1,"Completado",IF($M259&gt;0,"En curso","Pendiente")))</f>
        <v/>
      </c>
      <c r="O259" s="56">
        <f>IF(NOT((COUNTA($B259:$D259)+COUNTA($G259:$L259)+COUNTA($Q259))&gt;0),"",IF(AND(AND($D259&lt;&gt;"",$V259="Macro"),N($AH259)&gt;0),CHOOSE(MATCH($D259,ListaPuestos,0),INDEX('Cronograma R. Operacional'!$O$5:$O$1000,$AH259),INDEX('Cronograma R. Normativo'!$O$5:$O$1000,$AH259),INDEX('Cronograma R. Financiero'!$O$5:$O$1000,$AH259),INDEX('Cronograma Asistente Técnico'!$O$5:$O$1000,$AH259))&amp;"",IF(ISNUMBER($G259),IF(AND(ISNUMBER($AN259),$G259&gt;$AN259),"Cumplida con "&amp;($G259-$AN259)&amp;IF($G259-$AN259=1," día"," días")&amp;" de retraso","Cumplida"),IF(N($M259)&gt;=1,"Cumplida",IF(NOT(ISNUMBER($AN259)),"Sin fecha límite",IF($AN259&lt;FechaRef,"Vencida hace "&amp;(FechaRef-$AN259)&amp;IF(FechaRef-$AN259=1," día"," días"),IF($AN259=FechaRef,"Vence hoy",IF($AN259-FechaRef&lt;=DiasAlerta,"Vence en "&amp;($AN259-FechaRef)&amp;IF($AN259-FechaRef=1," día"," días"),"En plazo"))))))))</f>
        <v/>
      </c>
      <c r="P259" s="62">
        <f>IF(NOT((COUNTA($B259:$D259)+COUNTA($G259:$L259)+COUNTA($Q259))&gt;0),"",IF($D259="","Propia",IF($V259&lt;&gt;"Macro","Solo se delegan macroactividades",IF(N($AH259)&gt;0,"✔ Recibida por "&amp;$D259,"⚠ "&amp;$D259&amp;" aún no la agrega"))))</f>
        <v/>
      </c>
      <c r="Q259" s="58" t="n"/>
      <c r="R259" s="63">
        <f>IF(NOT((COUNTA($B259:$D259)+COUNTA($G259:$L259)+COUNTA($Q259))&gt;0),"",IF((IF($C259="","Falta el nombre de la actividad"&amp;" · ","")&amp;IF(AND($V259="Sub",N($U259)=0),"Subactividad sin macroactividad arriba"&amp;" · ","")&amp;IF($AM259="","Sin fecha de inicio"&amp;" · ","")&amp;IF($AN259="","Sin fecha límite"&amp;" · ","")&amp;IF(AND(LEFT($C259,11)="[Jefatura] ",N($AL259)=0),"No se encuentra en la hoja de la jefatura (elíjala de nuevo en la lista)"&amp;" · ","")&amp;IF(OR(AND($E259&lt;&gt;"",NOT(ISNUMBER($E259))),AND($F259&lt;&gt;"",NOT(ISNUMBER($F259))),AND($G259&lt;&gt;"",NOT(ISNUMBER($G259)))),"Fecha no válida"&amp;" · ","")&amp;IF(AND(ISNUMBER($AM259),ISNUMBER($AN259),$AM259&gt;$AN259),"Inicio posterior a fecha límite"&amp;" · ","")&amp;IF(AND($V259="Macro",$H259&lt;&gt;"",OR(NOT(ISNUMBER($H259)),$H259&lt;0,$H259&gt;1)),"Peso fuera de rango"&amp;" · ","")&amp;IF(AND($V259="Sub",$H259&lt;&gt;""),"Las subactividades no llevan peso (valen igual dentro de su macroactividad)"&amp;" · ","")&amp;IF(AND(N($W259)&gt;0,COUNT($I259:$L259)&gt;0),"Con subactividades: deje vacías las semanas (se calculan solas)"&amp;" · ","")&amp;IF((COUNTIF($I259:$L259,"&gt;1")+COUNTIF($I259:$L259,"&lt;0")+COUNTA($I259:$L259)-COUNT($I259:$L259))&gt;0,"Avance fuera de rango 0-100%"&amp;" · ","")&amp;IF(OR(AND($J259&lt;&gt;"",$J259&lt;$I259),AND($K259&lt;&gt;"",$K259&lt;MAX($I259:$J259)),AND($L259&lt;&gt;"",$L259&lt;MAX($I259:$K259))),"Avance semanal decreciente"&amp;" · ","")&amp;IF(AND(ISNUMBER($AN259),$AN259&lt;FechaRef,IF($V259="Sub",N($X259),N($M259))&lt;1),"Vencida"&amp;" · ","")&amp;IF(AND(ObsObligatoria="Sí",ISNUMBER($AN259),$AN259&lt;FechaRef,IF($V259="Sub",N($X259),N($M259))&lt;1,$Q259=""),"Vencida sin observación"&amp;" · ",""))="","✔ OK","⚠ "&amp;LEFT(IF($C259="","Falta el nombre de la actividad"&amp;" · ","")&amp;IF(AND($V259="Sub",N($U259)=0),"Subactividad sin macroactividad arriba"&amp;" · ","")&amp;IF($AM259="","Sin fecha de inicio"&amp;" · ","")&amp;IF($AN259="","Sin fecha límite"&amp;" · ","")&amp;IF(AND(LEFT($C259,11)="[Jefatura] ",N($AL259)=0),"No se encuentra en la hoja de la jefatura (elíjala de nuevo en la lista)"&amp;" · ","")&amp;IF(OR(AND($E259&lt;&gt;"",NOT(ISNUMBER($E259))),AND($F259&lt;&gt;"",NOT(ISNUMBER($F259))),AND($G259&lt;&gt;"",NOT(ISNUMBER($G259)))),"Fecha no válida"&amp;" · ","")&amp;IF(AND(ISNUMBER($AM259),ISNUMBER($AN259),$AM259&gt;$AN259),"Inicio posterior a fecha límite"&amp;" · ","")&amp;IF(AND($V259="Macro",$H259&lt;&gt;"",OR(NOT(ISNUMBER($H259)),$H259&lt;0,$H259&gt;1)),"Peso fuera de rango"&amp;" · ","")&amp;IF(AND($V259="Sub",$H259&lt;&gt;""),"Las subactividades no llevan peso (valen igual dentro de su macroactividad)"&amp;" · ","")&amp;IF(AND(N($W259)&gt;0,COUNT($I259:$L259)&gt;0),"Con subactividades: deje vacías las semanas (se calculan solas)"&amp;" · ","")&amp;IF((COUNTIF($I259:$L259,"&gt;1")+COUNTIF($I259:$L259,"&lt;0")+COUNTA($I259:$L259)-COUNT($I259:$L259))&gt;0,"Avance fuera de rango 0-100%"&amp;" · ","")&amp;IF(OR(AND($J259&lt;&gt;"",$J259&lt;$I259),AND($K259&lt;&gt;"",$K259&lt;MAX($I259:$J259)),AND($L259&lt;&gt;"",$L259&lt;MAX($I259:$K259))),"Avance semanal decreciente"&amp;" · ","")&amp;IF(AND(ISNUMBER($AN259),$AN259&lt;FechaRef,IF($V259="Sub",N($X259),N($M259))&lt;1),"Vencida"&amp;" · ","")&amp;IF(AND(ObsObligatoria="Sí",ISNUMBER($AN259),$AN259&lt;FechaRef,IF($V259="Sub",N($X259),N($M259))&lt;1,$Q259=""),"Vencida sin observación"&amp;" · ",""),LEN(IF($C259="","Falta el nombre de la actividad"&amp;" · ","")&amp;IF(AND($V259="Sub",N($U259)=0),"Subactividad sin macroactividad arriba"&amp;" · ","")&amp;IF($AM259="","Sin fecha de inicio"&amp;" · ","")&amp;IF($AN259="","Sin fecha límite"&amp;" · ","")&amp;IF(AND(LEFT($C259,11)="[Jefatura] ",N($AL259)=0),"No se encuentra en la hoja de la jefatura (elíjala de nuevo en la lista)"&amp;" · ","")&amp;IF(OR(AND($E259&lt;&gt;"",NOT(ISNUMBER($E259))),AND($F259&lt;&gt;"",NOT(ISNUMBER($F259))),AND($G259&lt;&gt;"",NOT(ISNUMBER($G259)))),"Fecha no válida"&amp;" · ","")&amp;IF(AND(ISNUMBER($AM259),ISNUMBER($AN259),$AM259&gt;$AN259),"Inicio posterior a fecha límite"&amp;" · ","")&amp;IF(AND($V259="Macro",$H259&lt;&gt;"",OR(NOT(ISNUMBER($H259)),$H259&lt;0,$H259&gt;1)),"Peso fuera de rango"&amp;" · ","")&amp;IF(AND($V259="Sub",$H259&lt;&gt;""),"Las subactividades no llevan peso (valen igual dentro de su macroactividad)"&amp;" · ","")&amp;IF(AND(N($W259)&gt;0,COUNT($I259:$L259)&gt;0),"Con subactividades: deje vacías las semanas (se calculan solas)"&amp;" · ","")&amp;IF((COUNTIF($I259:$L259,"&gt;1")+COUNTIF($I259:$L259,"&lt;0")+COUNTA($I259:$L259)-COUNT($I259:$L259))&gt;0,"Avance fuera de rango 0-100%"&amp;" · ","")&amp;IF(OR(AND($J259&lt;&gt;"",$J259&lt;$I259),AND($K259&lt;&gt;"",$K259&lt;MAX($I259:$J259)),AND($L259&lt;&gt;"",$L259&lt;MAX($I259:$K259))),"Avance semanal decreciente"&amp;" · ","")&amp;IF(AND(ISNUMBER($AN259),$AN259&lt;FechaRef,IF($V259="Sub",N($X259),N($M259))&lt;1),"Vencida"&amp;" · ","")&amp;IF(AND(ObsObligatoria="Sí",ISNUMBER($AN259),$AN259&lt;FechaRef,IF($V259="Sub",N($X259),N($M259))&lt;1,$Q259=""),"Vencida sin observación"&amp;" · ",""))-3)))</f>
        <v/>
      </c>
      <c r="S259" s="64">
        <f>IF(NOT((COUNTA($B259:$D259)+COUNTA($G259:$L259)+COUNTA($Q259))&gt;0),"",IF(AND($V259="Sub",N($U259)&gt;0),IF(ISNUMBER(INDEX($AM$5:$AM$1000,$U259-4)),DATE(YEAR(INDEX($AM$5:$AM$1000,$U259-4)),MONTH(INDEX($AM$5:$AM$1000,$U259-4)),1),IF(ISNUMBER(INDEX($AN$5:$AN$1000,$U259-4)),DATE(YEAR(INDEX($AN$5:$AN$1000,$U259-4)),MONTH(INDEX($AN$5:$AN$1000,$U259-4)),1),MesCiclo)),IF(ISNUMBER($AM259),DATE(YEAR($AM259),MONTH($AM259),1),IF(ISNUMBER($AN259),DATE(YEAR($AN259),MONTH($AN259),1),MesCiclo))))</f>
        <v/>
      </c>
      <c r="T259" s="62">
        <f>IF(OR($S259="",$S259&lt;&gt;MesCiclo,$V259&lt;&gt;"Macro"),"",COUNTIFS($S$5:$S259,MesCiclo,$V$5:$V259,"Macro"))</f>
        <v/>
      </c>
      <c r="U259" s="62">
        <f>IF($V259="","",IF($V259="Macro",ROW(),IFERROR(LOOKUP(2,1/($V$5:$V259="Macro"),ROW($V$5:$V259)),0)))</f>
        <v/>
      </c>
      <c r="V259" s="62">
        <f>IF(NOT((COUNTA($B259:$D259)+COUNTA($G259:$L259)+COUNTA($Q259))&gt;0),"",IF($B259="Subactividad","Sub","Macro"))</f>
        <v/>
      </c>
      <c r="W259" s="62">
        <f>IF($V259="Macro",COUNTIFS($U$5:$U$1000,ROW(),$V$5:$V$1000,"Sub"),"")</f>
        <v/>
      </c>
      <c r="X259" s="62">
        <f>IF($V259="","",IF(ISNUMBER($G259),1,IFERROR(LOOKUP(2,1/($I259:$L259&lt;&gt;""),$I259:$L259),0)))</f>
        <v/>
      </c>
      <c r="Y259" s="62">
        <f>IF($V259="","",IF(AND(ISNUMBER($G259),$G259&lt;=IF($S259=MesCiclo,InicioCiclo,$S259+MOD(2-WEEKDAY($S259),7))+6),1,IF(ISNUMBER($I259),$I259,0)))</f>
        <v/>
      </c>
      <c r="Z259" s="62">
        <f>IF($V259="","",IF(AND(ISNUMBER($G259),$G259&lt;=IF($S259=MesCiclo,InicioCiclo,$S259+MOD(2-WEEKDAY($S259),7))+13),1,IF(ISNUMBER($J259),$J259,$Y259)))</f>
        <v/>
      </c>
      <c r="AA259" s="62">
        <f>IF($V259="","",IF(AND(ISNUMBER($G259),$G259&lt;=IF($S259=MesCiclo,InicioCiclo,$S259+MOD(2-WEEKDAY($S259),7))+20),1,IF(ISNUMBER($K259),$K259,$Z259)))</f>
        <v/>
      </c>
      <c r="AB259" s="62">
        <f>IF($V259="","",IF(AND(ISNUMBER($G259),$G259&lt;=IF($S259=MesCiclo,InicioCiclo,$S259+MOD(2-WEEKDAY($S259),7))+27),1,IF(ISNUMBER($L259),$L259,$AA259)))</f>
        <v/>
      </c>
      <c r="AC259" s="62">
        <f>IF($V259="","",IF(AND(ISNUMBER($G259),$G259&lt;=IF($S259=MesCiclo,InicioCiclo,$S259+MOD(2-WEEKDAY($S259),7))+6),1,IF(N($W259)&gt;0,AVERAGEIFS($Y$5:$Y$1000,$U$5:$U$1000,ROW(),$V$5:$V$1000,"Sub"),$Y259)))</f>
        <v/>
      </c>
      <c r="AD259" s="62">
        <f>IF($V259="","",IF(AND(ISNUMBER($G259),$G259&lt;=IF($S259=MesCiclo,InicioCiclo,$S259+MOD(2-WEEKDAY($S259),7))+13),1,IF(N($W259)&gt;0,AVERAGEIFS($Z$5:$Z$1000,$U$5:$U$1000,ROW(),$V$5:$V$1000,"Sub"),$Z259)))</f>
        <v/>
      </c>
      <c r="AE259" s="62">
        <f>IF($V259="","",IF(AND(ISNUMBER($G259),$G259&lt;=IF($S259=MesCiclo,InicioCiclo,$S259+MOD(2-WEEKDAY($S259),7))+20),1,IF(N($W259)&gt;0,AVERAGEIFS($AA$5:$AA$1000,$U$5:$U$1000,ROW(),$V$5:$V$1000,"Sub"),$AA259)))</f>
        <v/>
      </c>
      <c r="AF259" s="62">
        <f>IF($V259="","",IF(AND(ISNUMBER($G259),$G259&lt;=IF($S259=MesCiclo,InicioCiclo,$S259+MOD(2-WEEKDAY($S259),7))+27),1,IF(N($W259)&gt;0,AVERAGEIFS($AB$5:$AB$1000,$U$5:$U$1000,ROW(),$V$5:$V$1000,"Sub"),$AB259)))</f>
        <v/>
      </c>
      <c r="AG259" s="62">
        <f>IF($V259&lt;&gt;"Macro","",IF(COUNTIFS($S$5:$S$1000,$S259,$V$5:$V$1000,"Macro",$H$5:$H$1000,"&gt;0")=0,1/COUNTIFS($S$5:$S$1000,$S259,$V$5:$V$1000,"Macro"),IF(AND(ISNUMBER($H259),N($H259)&gt;0),$H259,SUMIFS($H$5:$H$1000,$S$5:$S$1000,$S259,$V$5:$V$1000,"Macro")/COUNTIFS($S$5:$S$1000,$S259,$V$5:$V$1000,"Macro",$H$5:$H$1000,"&gt;0"))/(COUNTIFS($S$5:$S$1000,$S259,$V$5:$V$1000,"Macro")*SUMIFS($H$5:$H$1000,$S$5:$S$1000,$S259,$V$5:$V$1000,"Macro")/COUNTIFS($S$5:$S$1000,$S259,$V$5:$V$1000,"Macro",$H$5:$H$1000,"&gt;0"))))</f>
        <v/>
      </c>
      <c r="AH259" s="62">
        <f>IF(NOT(AND($D259&lt;&gt;"",$V259="Macro")),"",IFERROR(CHOOSE(MATCH($D259,ListaPuestos,0),MATCH("[Jefatura] "&amp;$C259,'Cronograma R. Operacional'!$C$5:$C$1000,0),MATCH("[Jefatura] "&amp;$C259,'Cronograma R. Normativo'!$C$5:$C$1000,0),MATCH("[Jefatura] "&amp;$C259,'Cronograma R. Financiero'!$C$5:$C$1000,0),MATCH("[Jefatura] "&amp;$C259,'Cronograma Asistente Técnico'!$C$5:$C$1000,0)),0))</f>
        <v/>
      </c>
      <c r="AI259" s="62">
        <f>IF(AND(AND($D259&lt;&gt;"",$V259="Macro"),$S259=MesCiclo),COUNTIFS($D$5:$D259,$D259,$S$5:$S259,MesCiclo,$V$5:$V259,"Macro"),"")</f>
        <v/>
      </c>
      <c r="AJ259" s="62">
        <f>IF($AI259="","",$D259&amp;"|"&amp;$AI259)</f>
        <v/>
      </c>
      <c r="AK259" s="62">
        <f>IF(AND($D259&lt;&gt;"",$V259="Macro"),$D259&amp;"|"&amp;$C259,"")</f>
        <v/>
      </c>
      <c r="AL259" s="62">
        <f>""</f>
        <v/>
      </c>
      <c r="AM259" s="62">
        <f>IF(N($AL259)&gt;0,INDEX(rIni_ADM,$AL259),IF(ISNUMBER($E259),$E259,""))</f>
        <v/>
      </c>
      <c r="AN259" s="62">
        <f>IF(N($AL259)&gt;0,INDEX(rLim_ADM,$AL259),IF(ISNUMBER($F259),$F259,""))</f>
        <v/>
      </c>
    </row>
    <row r="260">
      <c r="A260" s="56">
        <f>IF(NOT((COUNTA($B260:$D260)+COUNTA($G260:$L260)+COUNTA($Q260))&gt;0),"",IF($V260="Macro",COUNTIFS($V$5:$V260,"Macro",$S$5:$S260,$S260),IF(N($U260)=0,"?",COUNTIFS(INDEX($V$5:$V$1000,1):INDEX($V$5:$V$1000,$U260-4),"Macro",INDEX($S$5:$S$1000,1):INDEX($S$5:$S$1000,$U260-4),INDEX($S$5:$S$1000,$U260-4))&amp;"."&amp;COUNTIFS($U$5:$U260,$U260,$V$5:$V260,"Sub"))))</f>
        <v/>
      </c>
      <c r="B260" s="57" t="n"/>
      <c r="C260" s="58" t="n"/>
      <c r="D260" s="58" t="n"/>
      <c r="E260" s="59" t="n"/>
      <c r="F260" s="59" t="n"/>
      <c r="G260" s="59" t="n"/>
      <c r="H260" s="60" t="n"/>
      <c r="I260" s="60" t="n"/>
      <c r="J260" s="60" t="n"/>
      <c r="K260" s="60" t="n"/>
      <c r="L260" s="60" t="n"/>
      <c r="M260" s="61">
        <f>IF(NOT((COUNTA($B260:$D260)+COUNTA($G260:$L260)+COUNTA($Q260))&gt;0),"",IF(AND($D260&lt;&gt;"",$V260="Macro"),IF(N($AH260)&gt;0,N(CHOOSE(MATCH($D260,ListaPuestos,0),INDEX('Cronograma R. Operacional'!$M$5:$M$1000,$AH260),INDEX('Cronograma R. Normativo'!$M$5:$M$1000,$AH260),INDEX('Cronograma R. Financiero'!$M$5:$M$1000,$AH260),INDEX('Cronograma Asistente Técnico'!$M$5:$M$1000,$AH260))),0),IF(ISNUMBER($G260),1,IF(N($W260)&gt;0,AVERAGEIFS($X$5:$X$1000,$U$5:$U$1000,ROW(),$V$5:$V$1000,"Sub"),$X260))))</f>
        <v/>
      </c>
      <c r="N260" s="56">
        <f>IF(OR($M260="",$V260="Sub"),"",IF($M260&gt;=1,"Completado",IF($M260&gt;0,"En curso","Pendiente")))</f>
        <v/>
      </c>
      <c r="O260" s="56">
        <f>IF(NOT((COUNTA($B260:$D260)+COUNTA($G260:$L260)+COUNTA($Q260))&gt;0),"",IF(AND(AND($D260&lt;&gt;"",$V260="Macro"),N($AH260)&gt;0),CHOOSE(MATCH($D260,ListaPuestos,0),INDEX('Cronograma R. Operacional'!$O$5:$O$1000,$AH260),INDEX('Cronograma R. Normativo'!$O$5:$O$1000,$AH260),INDEX('Cronograma R. Financiero'!$O$5:$O$1000,$AH260),INDEX('Cronograma Asistente Técnico'!$O$5:$O$1000,$AH260))&amp;"",IF(ISNUMBER($G260),IF(AND(ISNUMBER($AN260),$G260&gt;$AN260),"Cumplida con "&amp;($G260-$AN260)&amp;IF($G260-$AN260=1," día"," días")&amp;" de retraso","Cumplida"),IF(N($M260)&gt;=1,"Cumplida",IF(NOT(ISNUMBER($AN260)),"Sin fecha límite",IF($AN260&lt;FechaRef,"Vencida hace "&amp;(FechaRef-$AN260)&amp;IF(FechaRef-$AN260=1," día"," días"),IF($AN260=FechaRef,"Vence hoy",IF($AN260-FechaRef&lt;=DiasAlerta,"Vence en "&amp;($AN260-FechaRef)&amp;IF($AN260-FechaRef=1," día"," días"),"En plazo"))))))))</f>
        <v/>
      </c>
      <c r="P260" s="62">
        <f>IF(NOT((COUNTA($B260:$D260)+COUNTA($G260:$L260)+COUNTA($Q260))&gt;0),"",IF($D260="","Propia",IF($V260&lt;&gt;"Macro","Solo se delegan macroactividades",IF(N($AH260)&gt;0,"✔ Recibida por "&amp;$D260,"⚠ "&amp;$D260&amp;" aún no la agrega"))))</f>
        <v/>
      </c>
      <c r="Q260" s="58" t="n"/>
      <c r="R260" s="63">
        <f>IF(NOT((COUNTA($B260:$D260)+COUNTA($G260:$L260)+COUNTA($Q260))&gt;0),"",IF((IF($C260="","Falta el nombre de la actividad"&amp;" · ","")&amp;IF(AND($V260="Sub",N($U260)=0),"Subactividad sin macroactividad arriba"&amp;" · ","")&amp;IF($AM260="","Sin fecha de inicio"&amp;" · ","")&amp;IF($AN260="","Sin fecha límite"&amp;" · ","")&amp;IF(AND(LEFT($C260,11)="[Jefatura] ",N($AL260)=0),"No se encuentra en la hoja de la jefatura (elíjala de nuevo en la lista)"&amp;" · ","")&amp;IF(OR(AND($E260&lt;&gt;"",NOT(ISNUMBER($E260))),AND($F260&lt;&gt;"",NOT(ISNUMBER($F260))),AND($G260&lt;&gt;"",NOT(ISNUMBER($G260)))),"Fecha no válida"&amp;" · ","")&amp;IF(AND(ISNUMBER($AM260),ISNUMBER($AN260),$AM260&gt;$AN260),"Inicio posterior a fecha límite"&amp;" · ","")&amp;IF(AND($V260="Macro",$H260&lt;&gt;"",OR(NOT(ISNUMBER($H260)),$H260&lt;0,$H260&gt;1)),"Peso fuera de rango"&amp;" · ","")&amp;IF(AND($V260="Sub",$H260&lt;&gt;""),"Las subactividades no llevan peso (valen igual dentro de su macroactividad)"&amp;" · ","")&amp;IF(AND(N($W260)&gt;0,COUNT($I260:$L260)&gt;0),"Con subactividades: deje vacías las semanas (se calculan solas)"&amp;" · ","")&amp;IF((COUNTIF($I260:$L260,"&gt;1")+COUNTIF($I260:$L260,"&lt;0")+COUNTA($I260:$L260)-COUNT($I260:$L260))&gt;0,"Avance fuera de rango 0-100%"&amp;" · ","")&amp;IF(OR(AND($J260&lt;&gt;"",$J260&lt;$I260),AND($K260&lt;&gt;"",$K260&lt;MAX($I260:$J260)),AND($L260&lt;&gt;"",$L260&lt;MAX($I260:$K260))),"Avance semanal decreciente"&amp;" · ","")&amp;IF(AND(ISNUMBER($AN260),$AN260&lt;FechaRef,IF($V260="Sub",N($X260),N($M260))&lt;1),"Vencida"&amp;" · ","")&amp;IF(AND(ObsObligatoria="Sí",ISNUMBER($AN260),$AN260&lt;FechaRef,IF($V260="Sub",N($X260),N($M260))&lt;1,$Q260=""),"Vencida sin observación"&amp;" · ",""))="","✔ OK","⚠ "&amp;LEFT(IF($C260="","Falta el nombre de la actividad"&amp;" · ","")&amp;IF(AND($V260="Sub",N($U260)=0),"Subactividad sin macroactividad arriba"&amp;" · ","")&amp;IF($AM260="","Sin fecha de inicio"&amp;" · ","")&amp;IF($AN260="","Sin fecha límite"&amp;" · ","")&amp;IF(AND(LEFT($C260,11)="[Jefatura] ",N($AL260)=0),"No se encuentra en la hoja de la jefatura (elíjala de nuevo en la lista)"&amp;" · ","")&amp;IF(OR(AND($E260&lt;&gt;"",NOT(ISNUMBER($E260))),AND($F260&lt;&gt;"",NOT(ISNUMBER($F260))),AND($G260&lt;&gt;"",NOT(ISNUMBER($G260)))),"Fecha no válida"&amp;" · ","")&amp;IF(AND(ISNUMBER($AM260),ISNUMBER($AN260),$AM260&gt;$AN260),"Inicio posterior a fecha límite"&amp;" · ","")&amp;IF(AND($V260="Macro",$H260&lt;&gt;"",OR(NOT(ISNUMBER($H260)),$H260&lt;0,$H260&gt;1)),"Peso fuera de rango"&amp;" · ","")&amp;IF(AND($V260="Sub",$H260&lt;&gt;""),"Las subactividades no llevan peso (valen igual dentro de su macroactividad)"&amp;" · ","")&amp;IF(AND(N($W260)&gt;0,COUNT($I260:$L260)&gt;0),"Con subactividades: deje vacías las semanas (se calculan solas)"&amp;" · ","")&amp;IF((COUNTIF($I260:$L260,"&gt;1")+COUNTIF($I260:$L260,"&lt;0")+COUNTA($I260:$L260)-COUNT($I260:$L260))&gt;0,"Avance fuera de rango 0-100%"&amp;" · ","")&amp;IF(OR(AND($J260&lt;&gt;"",$J260&lt;$I260),AND($K260&lt;&gt;"",$K260&lt;MAX($I260:$J260)),AND($L260&lt;&gt;"",$L260&lt;MAX($I260:$K260))),"Avance semanal decreciente"&amp;" · ","")&amp;IF(AND(ISNUMBER($AN260),$AN260&lt;FechaRef,IF($V260="Sub",N($X260),N($M260))&lt;1),"Vencida"&amp;" · ","")&amp;IF(AND(ObsObligatoria="Sí",ISNUMBER($AN260),$AN260&lt;FechaRef,IF($V260="Sub",N($X260),N($M260))&lt;1,$Q260=""),"Vencida sin observación"&amp;" · ",""),LEN(IF($C260="","Falta el nombre de la actividad"&amp;" · ","")&amp;IF(AND($V260="Sub",N($U260)=0),"Subactividad sin macroactividad arriba"&amp;" · ","")&amp;IF($AM260="","Sin fecha de inicio"&amp;" · ","")&amp;IF($AN260="","Sin fecha límite"&amp;" · ","")&amp;IF(AND(LEFT($C260,11)="[Jefatura] ",N($AL260)=0),"No se encuentra en la hoja de la jefatura (elíjala de nuevo en la lista)"&amp;" · ","")&amp;IF(OR(AND($E260&lt;&gt;"",NOT(ISNUMBER($E260))),AND($F260&lt;&gt;"",NOT(ISNUMBER($F260))),AND($G260&lt;&gt;"",NOT(ISNUMBER($G260)))),"Fecha no válida"&amp;" · ","")&amp;IF(AND(ISNUMBER($AM260),ISNUMBER($AN260),$AM260&gt;$AN260),"Inicio posterior a fecha límite"&amp;" · ","")&amp;IF(AND($V260="Macro",$H260&lt;&gt;"",OR(NOT(ISNUMBER($H260)),$H260&lt;0,$H260&gt;1)),"Peso fuera de rango"&amp;" · ","")&amp;IF(AND($V260="Sub",$H260&lt;&gt;""),"Las subactividades no llevan peso (valen igual dentro de su macroactividad)"&amp;" · ","")&amp;IF(AND(N($W260)&gt;0,COUNT($I260:$L260)&gt;0),"Con subactividades: deje vacías las semanas (se calculan solas)"&amp;" · ","")&amp;IF((COUNTIF($I260:$L260,"&gt;1")+COUNTIF($I260:$L260,"&lt;0")+COUNTA($I260:$L260)-COUNT($I260:$L260))&gt;0,"Avance fuera de rango 0-100%"&amp;" · ","")&amp;IF(OR(AND($J260&lt;&gt;"",$J260&lt;$I260),AND($K260&lt;&gt;"",$K260&lt;MAX($I260:$J260)),AND($L260&lt;&gt;"",$L260&lt;MAX($I260:$K260))),"Avance semanal decreciente"&amp;" · ","")&amp;IF(AND(ISNUMBER($AN260),$AN260&lt;FechaRef,IF($V260="Sub",N($X260),N($M260))&lt;1),"Vencida"&amp;" · ","")&amp;IF(AND(ObsObligatoria="Sí",ISNUMBER($AN260),$AN260&lt;FechaRef,IF($V260="Sub",N($X260),N($M260))&lt;1,$Q260=""),"Vencida sin observación"&amp;" · ",""))-3)))</f>
        <v/>
      </c>
      <c r="S260" s="64">
        <f>IF(NOT((COUNTA($B260:$D260)+COUNTA($G260:$L260)+COUNTA($Q260))&gt;0),"",IF(AND($V260="Sub",N($U260)&gt;0),IF(ISNUMBER(INDEX($AM$5:$AM$1000,$U260-4)),DATE(YEAR(INDEX($AM$5:$AM$1000,$U260-4)),MONTH(INDEX($AM$5:$AM$1000,$U260-4)),1),IF(ISNUMBER(INDEX($AN$5:$AN$1000,$U260-4)),DATE(YEAR(INDEX($AN$5:$AN$1000,$U260-4)),MONTH(INDEX($AN$5:$AN$1000,$U260-4)),1),MesCiclo)),IF(ISNUMBER($AM260),DATE(YEAR($AM260),MONTH($AM260),1),IF(ISNUMBER($AN260),DATE(YEAR($AN260),MONTH($AN260),1),MesCiclo))))</f>
        <v/>
      </c>
      <c r="T260" s="62">
        <f>IF(OR($S260="",$S260&lt;&gt;MesCiclo,$V260&lt;&gt;"Macro"),"",COUNTIFS($S$5:$S260,MesCiclo,$V$5:$V260,"Macro"))</f>
        <v/>
      </c>
      <c r="U260" s="62">
        <f>IF($V260="","",IF($V260="Macro",ROW(),IFERROR(LOOKUP(2,1/($V$5:$V260="Macro"),ROW($V$5:$V260)),0)))</f>
        <v/>
      </c>
      <c r="V260" s="62">
        <f>IF(NOT((COUNTA($B260:$D260)+COUNTA($G260:$L260)+COUNTA($Q260))&gt;0),"",IF($B260="Subactividad","Sub","Macro"))</f>
        <v/>
      </c>
      <c r="W260" s="62">
        <f>IF($V260="Macro",COUNTIFS($U$5:$U$1000,ROW(),$V$5:$V$1000,"Sub"),"")</f>
        <v/>
      </c>
      <c r="X260" s="62">
        <f>IF($V260="","",IF(ISNUMBER($G260),1,IFERROR(LOOKUP(2,1/($I260:$L260&lt;&gt;""),$I260:$L260),0)))</f>
        <v/>
      </c>
      <c r="Y260" s="62">
        <f>IF($V260="","",IF(AND(ISNUMBER($G260),$G260&lt;=IF($S260=MesCiclo,InicioCiclo,$S260+MOD(2-WEEKDAY($S260),7))+6),1,IF(ISNUMBER($I260),$I260,0)))</f>
        <v/>
      </c>
      <c r="Z260" s="62">
        <f>IF($V260="","",IF(AND(ISNUMBER($G260),$G260&lt;=IF($S260=MesCiclo,InicioCiclo,$S260+MOD(2-WEEKDAY($S260),7))+13),1,IF(ISNUMBER($J260),$J260,$Y260)))</f>
        <v/>
      </c>
      <c r="AA260" s="62">
        <f>IF($V260="","",IF(AND(ISNUMBER($G260),$G260&lt;=IF($S260=MesCiclo,InicioCiclo,$S260+MOD(2-WEEKDAY($S260),7))+20),1,IF(ISNUMBER($K260),$K260,$Z260)))</f>
        <v/>
      </c>
      <c r="AB260" s="62">
        <f>IF($V260="","",IF(AND(ISNUMBER($G260),$G260&lt;=IF($S260=MesCiclo,InicioCiclo,$S260+MOD(2-WEEKDAY($S260),7))+27),1,IF(ISNUMBER($L260),$L260,$AA260)))</f>
        <v/>
      </c>
      <c r="AC260" s="62">
        <f>IF($V260="","",IF(AND(ISNUMBER($G260),$G260&lt;=IF($S260=MesCiclo,InicioCiclo,$S260+MOD(2-WEEKDAY($S260),7))+6),1,IF(N($W260)&gt;0,AVERAGEIFS($Y$5:$Y$1000,$U$5:$U$1000,ROW(),$V$5:$V$1000,"Sub"),$Y260)))</f>
        <v/>
      </c>
      <c r="AD260" s="62">
        <f>IF($V260="","",IF(AND(ISNUMBER($G260),$G260&lt;=IF($S260=MesCiclo,InicioCiclo,$S260+MOD(2-WEEKDAY($S260),7))+13),1,IF(N($W260)&gt;0,AVERAGEIFS($Z$5:$Z$1000,$U$5:$U$1000,ROW(),$V$5:$V$1000,"Sub"),$Z260)))</f>
        <v/>
      </c>
      <c r="AE260" s="62">
        <f>IF($V260="","",IF(AND(ISNUMBER($G260),$G260&lt;=IF($S260=MesCiclo,InicioCiclo,$S260+MOD(2-WEEKDAY($S260),7))+20),1,IF(N($W260)&gt;0,AVERAGEIFS($AA$5:$AA$1000,$U$5:$U$1000,ROW(),$V$5:$V$1000,"Sub"),$AA260)))</f>
        <v/>
      </c>
      <c r="AF260" s="62">
        <f>IF($V260="","",IF(AND(ISNUMBER($G260),$G260&lt;=IF($S260=MesCiclo,InicioCiclo,$S260+MOD(2-WEEKDAY($S260),7))+27),1,IF(N($W260)&gt;0,AVERAGEIFS($AB$5:$AB$1000,$U$5:$U$1000,ROW(),$V$5:$V$1000,"Sub"),$AB260)))</f>
        <v/>
      </c>
      <c r="AG260" s="62">
        <f>IF($V260&lt;&gt;"Macro","",IF(COUNTIFS($S$5:$S$1000,$S260,$V$5:$V$1000,"Macro",$H$5:$H$1000,"&gt;0")=0,1/COUNTIFS($S$5:$S$1000,$S260,$V$5:$V$1000,"Macro"),IF(AND(ISNUMBER($H260),N($H260)&gt;0),$H260,SUMIFS($H$5:$H$1000,$S$5:$S$1000,$S260,$V$5:$V$1000,"Macro")/COUNTIFS($S$5:$S$1000,$S260,$V$5:$V$1000,"Macro",$H$5:$H$1000,"&gt;0"))/(COUNTIFS($S$5:$S$1000,$S260,$V$5:$V$1000,"Macro")*SUMIFS($H$5:$H$1000,$S$5:$S$1000,$S260,$V$5:$V$1000,"Macro")/COUNTIFS($S$5:$S$1000,$S260,$V$5:$V$1000,"Macro",$H$5:$H$1000,"&gt;0"))))</f>
        <v/>
      </c>
      <c r="AH260" s="62">
        <f>IF(NOT(AND($D260&lt;&gt;"",$V260="Macro")),"",IFERROR(CHOOSE(MATCH($D260,ListaPuestos,0),MATCH("[Jefatura] "&amp;$C260,'Cronograma R. Operacional'!$C$5:$C$1000,0),MATCH("[Jefatura] "&amp;$C260,'Cronograma R. Normativo'!$C$5:$C$1000,0),MATCH("[Jefatura] "&amp;$C260,'Cronograma R. Financiero'!$C$5:$C$1000,0),MATCH("[Jefatura] "&amp;$C260,'Cronograma Asistente Técnico'!$C$5:$C$1000,0)),0))</f>
        <v/>
      </c>
      <c r="AI260" s="62">
        <f>IF(AND(AND($D260&lt;&gt;"",$V260="Macro"),$S260=MesCiclo),COUNTIFS($D$5:$D260,$D260,$S$5:$S260,MesCiclo,$V$5:$V260,"Macro"),"")</f>
        <v/>
      </c>
      <c r="AJ260" s="62">
        <f>IF($AI260="","",$D260&amp;"|"&amp;$AI260)</f>
        <v/>
      </c>
      <c r="AK260" s="62">
        <f>IF(AND($D260&lt;&gt;"",$V260="Macro"),$D260&amp;"|"&amp;$C260,"")</f>
        <v/>
      </c>
      <c r="AL260" s="62">
        <f>""</f>
        <v/>
      </c>
      <c r="AM260" s="62">
        <f>IF(N($AL260)&gt;0,INDEX(rIni_ADM,$AL260),IF(ISNUMBER($E260),$E260,""))</f>
        <v/>
      </c>
      <c r="AN260" s="62">
        <f>IF(N($AL260)&gt;0,INDEX(rLim_ADM,$AL260),IF(ISNUMBER($F260),$F260,""))</f>
        <v/>
      </c>
    </row>
    <row r="261">
      <c r="A261" s="56">
        <f>IF(NOT((COUNTA($B261:$D261)+COUNTA($G261:$L261)+COUNTA($Q261))&gt;0),"",IF($V261="Macro",COUNTIFS($V$5:$V261,"Macro",$S$5:$S261,$S261),IF(N($U261)=0,"?",COUNTIFS(INDEX($V$5:$V$1000,1):INDEX($V$5:$V$1000,$U261-4),"Macro",INDEX($S$5:$S$1000,1):INDEX($S$5:$S$1000,$U261-4),INDEX($S$5:$S$1000,$U261-4))&amp;"."&amp;COUNTIFS($U$5:$U261,$U261,$V$5:$V261,"Sub"))))</f>
        <v/>
      </c>
      <c r="B261" s="57" t="n"/>
      <c r="C261" s="58" t="n"/>
      <c r="D261" s="58" t="n"/>
      <c r="E261" s="59" t="n"/>
      <c r="F261" s="59" t="n"/>
      <c r="G261" s="59" t="n"/>
      <c r="H261" s="60" t="n"/>
      <c r="I261" s="60" t="n"/>
      <c r="J261" s="60" t="n"/>
      <c r="K261" s="60" t="n"/>
      <c r="L261" s="60" t="n"/>
      <c r="M261" s="61">
        <f>IF(NOT((COUNTA($B261:$D261)+COUNTA($G261:$L261)+COUNTA($Q261))&gt;0),"",IF(AND($D261&lt;&gt;"",$V261="Macro"),IF(N($AH261)&gt;0,N(CHOOSE(MATCH($D261,ListaPuestos,0),INDEX('Cronograma R. Operacional'!$M$5:$M$1000,$AH261),INDEX('Cronograma R. Normativo'!$M$5:$M$1000,$AH261),INDEX('Cronograma R. Financiero'!$M$5:$M$1000,$AH261),INDEX('Cronograma Asistente Técnico'!$M$5:$M$1000,$AH261))),0),IF(ISNUMBER($G261),1,IF(N($W261)&gt;0,AVERAGEIFS($X$5:$X$1000,$U$5:$U$1000,ROW(),$V$5:$V$1000,"Sub"),$X261))))</f>
        <v/>
      </c>
      <c r="N261" s="56">
        <f>IF(OR($M261="",$V261="Sub"),"",IF($M261&gt;=1,"Completado",IF($M261&gt;0,"En curso","Pendiente")))</f>
        <v/>
      </c>
      <c r="O261" s="56">
        <f>IF(NOT((COUNTA($B261:$D261)+COUNTA($G261:$L261)+COUNTA($Q261))&gt;0),"",IF(AND(AND($D261&lt;&gt;"",$V261="Macro"),N($AH261)&gt;0),CHOOSE(MATCH($D261,ListaPuestos,0),INDEX('Cronograma R. Operacional'!$O$5:$O$1000,$AH261),INDEX('Cronograma R. Normativo'!$O$5:$O$1000,$AH261),INDEX('Cronograma R. Financiero'!$O$5:$O$1000,$AH261),INDEX('Cronograma Asistente Técnico'!$O$5:$O$1000,$AH261))&amp;"",IF(ISNUMBER($G261),IF(AND(ISNUMBER($AN261),$G261&gt;$AN261),"Cumplida con "&amp;($G261-$AN261)&amp;IF($G261-$AN261=1," día"," días")&amp;" de retraso","Cumplida"),IF(N($M261)&gt;=1,"Cumplida",IF(NOT(ISNUMBER($AN261)),"Sin fecha límite",IF($AN261&lt;FechaRef,"Vencida hace "&amp;(FechaRef-$AN261)&amp;IF(FechaRef-$AN261=1," día"," días"),IF($AN261=FechaRef,"Vence hoy",IF($AN261-FechaRef&lt;=DiasAlerta,"Vence en "&amp;($AN261-FechaRef)&amp;IF($AN261-FechaRef=1," día"," días"),"En plazo"))))))))</f>
        <v/>
      </c>
      <c r="P261" s="62">
        <f>IF(NOT((COUNTA($B261:$D261)+COUNTA($G261:$L261)+COUNTA($Q261))&gt;0),"",IF($D261="","Propia",IF($V261&lt;&gt;"Macro","Solo se delegan macroactividades",IF(N($AH261)&gt;0,"✔ Recibida por "&amp;$D261,"⚠ "&amp;$D261&amp;" aún no la agrega"))))</f>
        <v/>
      </c>
      <c r="Q261" s="58" t="n"/>
      <c r="R261" s="63">
        <f>IF(NOT((COUNTA($B261:$D261)+COUNTA($G261:$L261)+COUNTA($Q261))&gt;0),"",IF((IF($C261="","Falta el nombre de la actividad"&amp;" · ","")&amp;IF(AND($V261="Sub",N($U261)=0),"Subactividad sin macroactividad arriba"&amp;" · ","")&amp;IF($AM261="","Sin fecha de inicio"&amp;" · ","")&amp;IF($AN261="","Sin fecha límite"&amp;" · ","")&amp;IF(AND(LEFT($C261,11)="[Jefatura] ",N($AL261)=0),"No se encuentra en la hoja de la jefatura (elíjala de nuevo en la lista)"&amp;" · ","")&amp;IF(OR(AND($E261&lt;&gt;"",NOT(ISNUMBER($E261))),AND($F261&lt;&gt;"",NOT(ISNUMBER($F261))),AND($G261&lt;&gt;"",NOT(ISNUMBER($G261)))),"Fecha no válida"&amp;" · ","")&amp;IF(AND(ISNUMBER($AM261),ISNUMBER($AN261),$AM261&gt;$AN261),"Inicio posterior a fecha límite"&amp;" · ","")&amp;IF(AND($V261="Macro",$H261&lt;&gt;"",OR(NOT(ISNUMBER($H261)),$H261&lt;0,$H261&gt;1)),"Peso fuera de rango"&amp;" · ","")&amp;IF(AND($V261="Sub",$H261&lt;&gt;""),"Las subactividades no llevan peso (valen igual dentro de su macroactividad)"&amp;" · ","")&amp;IF(AND(N($W261)&gt;0,COUNT($I261:$L261)&gt;0),"Con subactividades: deje vacías las semanas (se calculan solas)"&amp;" · ","")&amp;IF((COUNTIF($I261:$L261,"&gt;1")+COUNTIF($I261:$L261,"&lt;0")+COUNTA($I261:$L261)-COUNT($I261:$L261))&gt;0,"Avance fuera de rango 0-100%"&amp;" · ","")&amp;IF(OR(AND($J261&lt;&gt;"",$J261&lt;$I261),AND($K261&lt;&gt;"",$K261&lt;MAX($I261:$J261)),AND($L261&lt;&gt;"",$L261&lt;MAX($I261:$K261))),"Avance semanal decreciente"&amp;" · ","")&amp;IF(AND(ISNUMBER($AN261),$AN261&lt;FechaRef,IF($V261="Sub",N($X261),N($M261))&lt;1),"Vencida"&amp;" · ","")&amp;IF(AND(ObsObligatoria="Sí",ISNUMBER($AN261),$AN261&lt;FechaRef,IF($V261="Sub",N($X261),N($M261))&lt;1,$Q261=""),"Vencida sin observación"&amp;" · ",""))="","✔ OK","⚠ "&amp;LEFT(IF($C261="","Falta el nombre de la actividad"&amp;" · ","")&amp;IF(AND($V261="Sub",N($U261)=0),"Subactividad sin macroactividad arriba"&amp;" · ","")&amp;IF($AM261="","Sin fecha de inicio"&amp;" · ","")&amp;IF($AN261="","Sin fecha límite"&amp;" · ","")&amp;IF(AND(LEFT($C261,11)="[Jefatura] ",N($AL261)=0),"No se encuentra en la hoja de la jefatura (elíjala de nuevo en la lista)"&amp;" · ","")&amp;IF(OR(AND($E261&lt;&gt;"",NOT(ISNUMBER($E261))),AND($F261&lt;&gt;"",NOT(ISNUMBER($F261))),AND($G261&lt;&gt;"",NOT(ISNUMBER($G261)))),"Fecha no válida"&amp;" · ","")&amp;IF(AND(ISNUMBER($AM261),ISNUMBER($AN261),$AM261&gt;$AN261),"Inicio posterior a fecha límite"&amp;" · ","")&amp;IF(AND($V261="Macro",$H261&lt;&gt;"",OR(NOT(ISNUMBER($H261)),$H261&lt;0,$H261&gt;1)),"Peso fuera de rango"&amp;" · ","")&amp;IF(AND($V261="Sub",$H261&lt;&gt;""),"Las subactividades no llevan peso (valen igual dentro de su macroactividad)"&amp;" · ","")&amp;IF(AND(N($W261)&gt;0,COUNT($I261:$L261)&gt;0),"Con subactividades: deje vacías las semanas (se calculan solas)"&amp;" · ","")&amp;IF((COUNTIF($I261:$L261,"&gt;1")+COUNTIF($I261:$L261,"&lt;0")+COUNTA($I261:$L261)-COUNT($I261:$L261))&gt;0,"Avance fuera de rango 0-100%"&amp;" · ","")&amp;IF(OR(AND($J261&lt;&gt;"",$J261&lt;$I261),AND($K261&lt;&gt;"",$K261&lt;MAX($I261:$J261)),AND($L261&lt;&gt;"",$L261&lt;MAX($I261:$K261))),"Avance semanal decreciente"&amp;" · ","")&amp;IF(AND(ISNUMBER($AN261),$AN261&lt;FechaRef,IF($V261="Sub",N($X261),N($M261))&lt;1),"Vencida"&amp;" · ","")&amp;IF(AND(ObsObligatoria="Sí",ISNUMBER($AN261),$AN261&lt;FechaRef,IF($V261="Sub",N($X261),N($M261))&lt;1,$Q261=""),"Vencida sin observación"&amp;" · ",""),LEN(IF($C261="","Falta el nombre de la actividad"&amp;" · ","")&amp;IF(AND($V261="Sub",N($U261)=0),"Subactividad sin macroactividad arriba"&amp;" · ","")&amp;IF($AM261="","Sin fecha de inicio"&amp;" · ","")&amp;IF($AN261="","Sin fecha límite"&amp;" · ","")&amp;IF(AND(LEFT($C261,11)="[Jefatura] ",N($AL261)=0),"No se encuentra en la hoja de la jefatura (elíjala de nuevo en la lista)"&amp;" · ","")&amp;IF(OR(AND($E261&lt;&gt;"",NOT(ISNUMBER($E261))),AND($F261&lt;&gt;"",NOT(ISNUMBER($F261))),AND($G261&lt;&gt;"",NOT(ISNUMBER($G261)))),"Fecha no válida"&amp;" · ","")&amp;IF(AND(ISNUMBER($AM261),ISNUMBER($AN261),$AM261&gt;$AN261),"Inicio posterior a fecha límite"&amp;" · ","")&amp;IF(AND($V261="Macro",$H261&lt;&gt;"",OR(NOT(ISNUMBER($H261)),$H261&lt;0,$H261&gt;1)),"Peso fuera de rango"&amp;" · ","")&amp;IF(AND($V261="Sub",$H261&lt;&gt;""),"Las subactividades no llevan peso (valen igual dentro de su macroactividad)"&amp;" · ","")&amp;IF(AND(N($W261)&gt;0,COUNT($I261:$L261)&gt;0),"Con subactividades: deje vacías las semanas (se calculan solas)"&amp;" · ","")&amp;IF((COUNTIF($I261:$L261,"&gt;1")+COUNTIF($I261:$L261,"&lt;0")+COUNTA($I261:$L261)-COUNT($I261:$L261))&gt;0,"Avance fuera de rango 0-100%"&amp;" · ","")&amp;IF(OR(AND($J261&lt;&gt;"",$J261&lt;$I261),AND($K261&lt;&gt;"",$K261&lt;MAX($I261:$J261)),AND($L261&lt;&gt;"",$L261&lt;MAX($I261:$K261))),"Avance semanal decreciente"&amp;" · ","")&amp;IF(AND(ISNUMBER($AN261),$AN261&lt;FechaRef,IF($V261="Sub",N($X261),N($M261))&lt;1),"Vencida"&amp;" · ","")&amp;IF(AND(ObsObligatoria="Sí",ISNUMBER($AN261),$AN261&lt;FechaRef,IF($V261="Sub",N($X261),N($M261))&lt;1,$Q261=""),"Vencida sin observación"&amp;" · ",""))-3)))</f>
        <v/>
      </c>
      <c r="S261" s="64">
        <f>IF(NOT((COUNTA($B261:$D261)+COUNTA($G261:$L261)+COUNTA($Q261))&gt;0),"",IF(AND($V261="Sub",N($U261)&gt;0),IF(ISNUMBER(INDEX($AM$5:$AM$1000,$U261-4)),DATE(YEAR(INDEX($AM$5:$AM$1000,$U261-4)),MONTH(INDEX($AM$5:$AM$1000,$U261-4)),1),IF(ISNUMBER(INDEX($AN$5:$AN$1000,$U261-4)),DATE(YEAR(INDEX($AN$5:$AN$1000,$U261-4)),MONTH(INDEX($AN$5:$AN$1000,$U261-4)),1),MesCiclo)),IF(ISNUMBER($AM261),DATE(YEAR($AM261),MONTH($AM261),1),IF(ISNUMBER($AN261),DATE(YEAR($AN261),MONTH($AN261),1),MesCiclo))))</f>
        <v/>
      </c>
      <c r="T261" s="62">
        <f>IF(OR($S261="",$S261&lt;&gt;MesCiclo,$V261&lt;&gt;"Macro"),"",COUNTIFS($S$5:$S261,MesCiclo,$V$5:$V261,"Macro"))</f>
        <v/>
      </c>
      <c r="U261" s="62">
        <f>IF($V261="","",IF($V261="Macro",ROW(),IFERROR(LOOKUP(2,1/($V$5:$V261="Macro"),ROW($V$5:$V261)),0)))</f>
        <v/>
      </c>
      <c r="V261" s="62">
        <f>IF(NOT((COUNTA($B261:$D261)+COUNTA($G261:$L261)+COUNTA($Q261))&gt;0),"",IF($B261="Subactividad","Sub","Macro"))</f>
        <v/>
      </c>
      <c r="W261" s="62">
        <f>IF($V261="Macro",COUNTIFS($U$5:$U$1000,ROW(),$V$5:$V$1000,"Sub"),"")</f>
        <v/>
      </c>
      <c r="X261" s="62">
        <f>IF($V261="","",IF(ISNUMBER($G261),1,IFERROR(LOOKUP(2,1/($I261:$L261&lt;&gt;""),$I261:$L261),0)))</f>
        <v/>
      </c>
      <c r="Y261" s="62">
        <f>IF($V261="","",IF(AND(ISNUMBER($G261),$G261&lt;=IF($S261=MesCiclo,InicioCiclo,$S261+MOD(2-WEEKDAY($S261),7))+6),1,IF(ISNUMBER($I261),$I261,0)))</f>
        <v/>
      </c>
      <c r="Z261" s="62">
        <f>IF($V261="","",IF(AND(ISNUMBER($G261),$G261&lt;=IF($S261=MesCiclo,InicioCiclo,$S261+MOD(2-WEEKDAY($S261),7))+13),1,IF(ISNUMBER($J261),$J261,$Y261)))</f>
        <v/>
      </c>
      <c r="AA261" s="62">
        <f>IF($V261="","",IF(AND(ISNUMBER($G261),$G261&lt;=IF($S261=MesCiclo,InicioCiclo,$S261+MOD(2-WEEKDAY($S261),7))+20),1,IF(ISNUMBER($K261),$K261,$Z261)))</f>
        <v/>
      </c>
      <c r="AB261" s="62">
        <f>IF($V261="","",IF(AND(ISNUMBER($G261),$G261&lt;=IF($S261=MesCiclo,InicioCiclo,$S261+MOD(2-WEEKDAY($S261),7))+27),1,IF(ISNUMBER($L261),$L261,$AA261)))</f>
        <v/>
      </c>
      <c r="AC261" s="62">
        <f>IF($V261="","",IF(AND(ISNUMBER($G261),$G261&lt;=IF($S261=MesCiclo,InicioCiclo,$S261+MOD(2-WEEKDAY($S261),7))+6),1,IF(N($W261)&gt;0,AVERAGEIFS($Y$5:$Y$1000,$U$5:$U$1000,ROW(),$V$5:$V$1000,"Sub"),$Y261)))</f>
        <v/>
      </c>
      <c r="AD261" s="62">
        <f>IF($V261="","",IF(AND(ISNUMBER($G261),$G261&lt;=IF($S261=MesCiclo,InicioCiclo,$S261+MOD(2-WEEKDAY($S261),7))+13),1,IF(N($W261)&gt;0,AVERAGEIFS($Z$5:$Z$1000,$U$5:$U$1000,ROW(),$V$5:$V$1000,"Sub"),$Z261)))</f>
        <v/>
      </c>
      <c r="AE261" s="62">
        <f>IF($V261="","",IF(AND(ISNUMBER($G261),$G261&lt;=IF($S261=MesCiclo,InicioCiclo,$S261+MOD(2-WEEKDAY($S261),7))+20),1,IF(N($W261)&gt;0,AVERAGEIFS($AA$5:$AA$1000,$U$5:$U$1000,ROW(),$V$5:$V$1000,"Sub"),$AA261)))</f>
        <v/>
      </c>
      <c r="AF261" s="62">
        <f>IF($V261="","",IF(AND(ISNUMBER($G261),$G261&lt;=IF($S261=MesCiclo,InicioCiclo,$S261+MOD(2-WEEKDAY($S261),7))+27),1,IF(N($W261)&gt;0,AVERAGEIFS($AB$5:$AB$1000,$U$5:$U$1000,ROW(),$V$5:$V$1000,"Sub"),$AB261)))</f>
        <v/>
      </c>
      <c r="AG261" s="62">
        <f>IF($V261&lt;&gt;"Macro","",IF(COUNTIFS($S$5:$S$1000,$S261,$V$5:$V$1000,"Macro",$H$5:$H$1000,"&gt;0")=0,1/COUNTIFS($S$5:$S$1000,$S261,$V$5:$V$1000,"Macro"),IF(AND(ISNUMBER($H261),N($H261)&gt;0),$H261,SUMIFS($H$5:$H$1000,$S$5:$S$1000,$S261,$V$5:$V$1000,"Macro")/COUNTIFS($S$5:$S$1000,$S261,$V$5:$V$1000,"Macro",$H$5:$H$1000,"&gt;0"))/(COUNTIFS($S$5:$S$1000,$S261,$V$5:$V$1000,"Macro")*SUMIFS($H$5:$H$1000,$S$5:$S$1000,$S261,$V$5:$V$1000,"Macro")/COUNTIFS($S$5:$S$1000,$S261,$V$5:$V$1000,"Macro",$H$5:$H$1000,"&gt;0"))))</f>
        <v/>
      </c>
      <c r="AH261" s="62">
        <f>IF(NOT(AND($D261&lt;&gt;"",$V261="Macro")),"",IFERROR(CHOOSE(MATCH($D261,ListaPuestos,0),MATCH("[Jefatura] "&amp;$C261,'Cronograma R. Operacional'!$C$5:$C$1000,0),MATCH("[Jefatura] "&amp;$C261,'Cronograma R. Normativo'!$C$5:$C$1000,0),MATCH("[Jefatura] "&amp;$C261,'Cronograma R. Financiero'!$C$5:$C$1000,0),MATCH("[Jefatura] "&amp;$C261,'Cronograma Asistente Técnico'!$C$5:$C$1000,0)),0))</f>
        <v/>
      </c>
      <c r="AI261" s="62">
        <f>IF(AND(AND($D261&lt;&gt;"",$V261="Macro"),$S261=MesCiclo),COUNTIFS($D$5:$D261,$D261,$S$5:$S261,MesCiclo,$V$5:$V261,"Macro"),"")</f>
        <v/>
      </c>
      <c r="AJ261" s="62">
        <f>IF($AI261="","",$D261&amp;"|"&amp;$AI261)</f>
        <v/>
      </c>
      <c r="AK261" s="62">
        <f>IF(AND($D261&lt;&gt;"",$V261="Macro"),$D261&amp;"|"&amp;$C261,"")</f>
        <v/>
      </c>
      <c r="AL261" s="62">
        <f>""</f>
        <v/>
      </c>
      <c r="AM261" s="62">
        <f>IF(N($AL261)&gt;0,INDEX(rIni_ADM,$AL261),IF(ISNUMBER($E261),$E261,""))</f>
        <v/>
      </c>
      <c r="AN261" s="62">
        <f>IF(N($AL261)&gt;0,INDEX(rLim_ADM,$AL261),IF(ISNUMBER($F261),$F261,""))</f>
        <v/>
      </c>
    </row>
    <row r="262">
      <c r="A262" s="56">
        <f>IF(NOT((COUNTA($B262:$D262)+COUNTA($G262:$L262)+COUNTA($Q262))&gt;0),"",IF($V262="Macro",COUNTIFS($V$5:$V262,"Macro",$S$5:$S262,$S262),IF(N($U262)=0,"?",COUNTIFS(INDEX($V$5:$V$1000,1):INDEX($V$5:$V$1000,$U262-4),"Macro",INDEX($S$5:$S$1000,1):INDEX($S$5:$S$1000,$U262-4),INDEX($S$5:$S$1000,$U262-4))&amp;"."&amp;COUNTIFS($U$5:$U262,$U262,$V$5:$V262,"Sub"))))</f>
        <v/>
      </c>
      <c r="B262" s="57" t="n"/>
      <c r="C262" s="58" t="n"/>
      <c r="D262" s="58" t="n"/>
      <c r="E262" s="59" t="n"/>
      <c r="F262" s="59" t="n"/>
      <c r="G262" s="59" t="n"/>
      <c r="H262" s="60" t="n"/>
      <c r="I262" s="60" t="n"/>
      <c r="J262" s="60" t="n"/>
      <c r="K262" s="60" t="n"/>
      <c r="L262" s="60" t="n"/>
      <c r="M262" s="61">
        <f>IF(NOT((COUNTA($B262:$D262)+COUNTA($G262:$L262)+COUNTA($Q262))&gt;0),"",IF(AND($D262&lt;&gt;"",$V262="Macro"),IF(N($AH262)&gt;0,N(CHOOSE(MATCH($D262,ListaPuestos,0),INDEX('Cronograma R. Operacional'!$M$5:$M$1000,$AH262),INDEX('Cronograma R. Normativo'!$M$5:$M$1000,$AH262),INDEX('Cronograma R. Financiero'!$M$5:$M$1000,$AH262),INDEX('Cronograma Asistente Técnico'!$M$5:$M$1000,$AH262))),0),IF(ISNUMBER($G262),1,IF(N($W262)&gt;0,AVERAGEIFS($X$5:$X$1000,$U$5:$U$1000,ROW(),$V$5:$V$1000,"Sub"),$X262))))</f>
        <v/>
      </c>
      <c r="N262" s="56">
        <f>IF(OR($M262="",$V262="Sub"),"",IF($M262&gt;=1,"Completado",IF($M262&gt;0,"En curso","Pendiente")))</f>
        <v/>
      </c>
      <c r="O262" s="56">
        <f>IF(NOT((COUNTA($B262:$D262)+COUNTA($G262:$L262)+COUNTA($Q262))&gt;0),"",IF(AND(AND($D262&lt;&gt;"",$V262="Macro"),N($AH262)&gt;0),CHOOSE(MATCH($D262,ListaPuestos,0),INDEX('Cronograma R. Operacional'!$O$5:$O$1000,$AH262),INDEX('Cronograma R. Normativo'!$O$5:$O$1000,$AH262),INDEX('Cronograma R. Financiero'!$O$5:$O$1000,$AH262),INDEX('Cronograma Asistente Técnico'!$O$5:$O$1000,$AH262))&amp;"",IF(ISNUMBER($G262),IF(AND(ISNUMBER($AN262),$G262&gt;$AN262),"Cumplida con "&amp;($G262-$AN262)&amp;IF($G262-$AN262=1," día"," días")&amp;" de retraso","Cumplida"),IF(N($M262)&gt;=1,"Cumplida",IF(NOT(ISNUMBER($AN262)),"Sin fecha límite",IF($AN262&lt;FechaRef,"Vencida hace "&amp;(FechaRef-$AN262)&amp;IF(FechaRef-$AN262=1," día"," días"),IF($AN262=FechaRef,"Vence hoy",IF($AN262-FechaRef&lt;=DiasAlerta,"Vence en "&amp;($AN262-FechaRef)&amp;IF($AN262-FechaRef=1," día"," días"),"En plazo"))))))))</f>
        <v/>
      </c>
      <c r="P262" s="62">
        <f>IF(NOT((COUNTA($B262:$D262)+COUNTA($G262:$L262)+COUNTA($Q262))&gt;0),"",IF($D262="","Propia",IF($V262&lt;&gt;"Macro","Solo se delegan macroactividades",IF(N($AH262)&gt;0,"✔ Recibida por "&amp;$D262,"⚠ "&amp;$D262&amp;" aún no la agrega"))))</f>
        <v/>
      </c>
      <c r="Q262" s="58" t="n"/>
      <c r="R262" s="63">
        <f>IF(NOT((COUNTA($B262:$D262)+COUNTA($G262:$L262)+COUNTA($Q262))&gt;0),"",IF((IF($C262="","Falta el nombre de la actividad"&amp;" · ","")&amp;IF(AND($V262="Sub",N($U262)=0),"Subactividad sin macroactividad arriba"&amp;" · ","")&amp;IF($AM262="","Sin fecha de inicio"&amp;" · ","")&amp;IF($AN262="","Sin fecha límite"&amp;" · ","")&amp;IF(AND(LEFT($C262,11)="[Jefatura] ",N($AL262)=0),"No se encuentra en la hoja de la jefatura (elíjala de nuevo en la lista)"&amp;" · ","")&amp;IF(OR(AND($E262&lt;&gt;"",NOT(ISNUMBER($E262))),AND($F262&lt;&gt;"",NOT(ISNUMBER($F262))),AND($G262&lt;&gt;"",NOT(ISNUMBER($G262)))),"Fecha no válida"&amp;" · ","")&amp;IF(AND(ISNUMBER($AM262),ISNUMBER($AN262),$AM262&gt;$AN262),"Inicio posterior a fecha límite"&amp;" · ","")&amp;IF(AND($V262="Macro",$H262&lt;&gt;"",OR(NOT(ISNUMBER($H262)),$H262&lt;0,$H262&gt;1)),"Peso fuera de rango"&amp;" · ","")&amp;IF(AND($V262="Sub",$H262&lt;&gt;""),"Las subactividades no llevan peso (valen igual dentro de su macroactividad)"&amp;" · ","")&amp;IF(AND(N($W262)&gt;0,COUNT($I262:$L262)&gt;0),"Con subactividades: deje vacías las semanas (se calculan solas)"&amp;" · ","")&amp;IF((COUNTIF($I262:$L262,"&gt;1")+COUNTIF($I262:$L262,"&lt;0")+COUNTA($I262:$L262)-COUNT($I262:$L262))&gt;0,"Avance fuera de rango 0-100%"&amp;" · ","")&amp;IF(OR(AND($J262&lt;&gt;"",$J262&lt;$I262),AND($K262&lt;&gt;"",$K262&lt;MAX($I262:$J262)),AND($L262&lt;&gt;"",$L262&lt;MAX($I262:$K262))),"Avance semanal decreciente"&amp;" · ","")&amp;IF(AND(ISNUMBER($AN262),$AN262&lt;FechaRef,IF($V262="Sub",N($X262),N($M262))&lt;1),"Vencida"&amp;" · ","")&amp;IF(AND(ObsObligatoria="Sí",ISNUMBER($AN262),$AN262&lt;FechaRef,IF($V262="Sub",N($X262),N($M262))&lt;1,$Q262=""),"Vencida sin observación"&amp;" · ",""))="","✔ OK","⚠ "&amp;LEFT(IF($C262="","Falta el nombre de la actividad"&amp;" · ","")&amp;IF(AND($V262="Sub",N($U262)=0),"Subactividad sin macroactividad arriba"&amp;" · ","")&amp;IF($AM262="","Sin fecha de inicio"&amp;" · ","")&amp;IF($AN262="","Sin fecha límite"&amp;" · ","")&amp;IF(AND(LEFT($C262,11)="[Jefatura] ",N($AL262)=0),"No se encuentra en la hoja de la jefatura (elíjala de nuevo en la lista)"&amp;" · ","")&amp;IF(OR(AND($E262&lt;&gt;"",NOT(ISNUMBER($E262))),AND($F262&lt;&gt;"",NOT(ISNUMBER($F262))),AND($G262&lt;&gt;"",NOT(ISNUMBER($G262)))),"Fecha no válida"&amp;" · ","")&amp;IF(AND(ISNUMBER($AM262),ISNUMBER($AN262),$AM262&gt;$AN262),"Inicio posterior a fecha límite"&amp;" · ","")&amp;IF(AND($V262="Macro",$H262&lt;&gt;"",OR(NOT(ISNUMBER($H262)),$H262&lt;0,$H262&gt;1)),"Peso fuera de rango"&amp;" · ","")&amp;IF(AND($V262="Sub",$H262&lt;&gt;""),"Las subactividades no llevan peso (valen igual dentro de su macroactividad)"&amp;" · ","")&amp;IF(AND(N($W262)&gt;0,COUNT($I262:$L262)&gt;0),"Con subactividades: deje vacías las semanas (se calculan solas)"&amp;" · ","")&amp;IF((COUNTIF($I262:$L262,"&gt;1")+COUNTIF($I262:$L262,"&lt;0")+COUNTA($I262:$L262)-COUNT($I262:$L262))&gt;0,"Avance fuera de rango 0-100%"&amp;" · ","")&amp;IF(OR(AND($J262&lt;&gt;"",$J262&lt;$I262),AND($K262&lt;&gt;"",$K262&lt;MAX($I262:$J262)),AND($L262&lt;&gt;"",$L262&lt;MAX($I262:$K262))),"Avance semanal decreciente"&amp;" · ","")&amp;IF(AND(ISNUMBER($AN262),$AN262&lt;FechaRef,IF($V262="Sub",N($X262),N($M262))&lt;1),"Vencida"&amp;" · ","")&amp;IF(AND(ObsObligatoria="Sí",ISNUMBER($AN262),$AN262&lt;FechaRef,IF($V262="Sub",N($X262),N($M262))&lt;1,$Q262=""),"Vencida sin observación"&amp;" · ",""),LEN(IF($C262="","Falta el nombre de la actividad"&amp;" · ","")&amp;IF(AND($V262="Sub",N($U262)=0),"Subactividad sin macroactividad arriba"&amp;" · ","")&amp;IF($AM262="","Sin fecha de inicio"&amp;" · ","")&amp;IF($AN262="","Sin fecha límite"&amp;" · ","")&amp;IF(AND(LEFT($C262,11)="[Jefatura] ",N($AL262)=0),"No se encuentra en la hoja de la jefatura (elíjala de nuevo en la lista)"&amp;" · ","")&amp;IF(OR(AND($E262&lt;&gt;"",NOT(ISNUMBER($E262))),AND($F262&lt;&gt;"",NOT(ISNUMBER($F262))),AND($G262&lt;&gt;"",NOT(ISNUMBER($G262)))),"Fecha no válida"&amp;" · ","")&amp;IF(AND(ISNUMBER($AM262),ISNUMBER($AN262),$AM262&gt;$AN262),"Inicio posterior a fecha límite"&amp;" · ","")&amp;IF(AND($V262="Macro",$H262&lt;&gt;"",OR(NOT(ISNUMBER($H262)),$H262&lt;0,$H262&gt;1)),"Peso fuera de rango"&amp;" · ","")&amp;IF(AND($V262="Sub",$H262&lt;&gt;""),"Las subactividades no llevan peso (valen igual dentro de su macroactividad)"&amp;" · ","")&amp;IF(AND(N($W262)&gt;0,COUNT($I262:$L262)&gt;0),"Con subactividades: deje vacías las semanas (se calculan solas)"&amp;" · ","")&amp;IF((COUNTIF($I262:$L262,"&gt;1")+COUNTIF($I262:$L262,"&lt;0")+COUNTA($I262:$L262)-COUNT($I262:$L262))&gt;0,"Avance fuera de rango 0-100%"&amp;" · ","")&amp;IF(OR(AND($J262&lt;&gt;"",$J262&lt;$I262),AND($K262&lt;&gt;"",$K262&lt;MAX($I262:$J262)),AND($L262&lt;&gt;"",$L262&lt;MAX($I262:$K262))),"Avance semanal decreciente"&amp;" · ","")&amp;IF(AND(ISNUMBER($AN262),$AN262&lt;FechaRef,IF($V262="Sub",N($X262),N($M262))&lt;1),"Vencida"&amp;" · ","")&amp;IF(AND(ObsObligatoria="Sí",ISNUMBER($AN262),$AN262&lt;FechaRef,IF($V262="Sub",N($X262),N($M262))&lt;1,$Q262=""),"Vencida sin observación"&amp;" · ",""))-3)))</f>
        <v/>
      </c>
      <c r="S262" s="64">
        <f>IF(NOT((COUNTA($B262:$D262)+COUNTA($G262:$L262)+COUNTA($Q262))&gt;0),"",IF(AND($V262="Sub",N($U262)&gt;0),IF(ISNUMBER(INDEX($AM$5:$AM$1000,$U262-4)),DATE(YEAR(INDEX($AM$5:$AM$1000,$U262-4)),MONTH(INDEX($AM$5:$AM$1000,$U262-4)),1),IF(ISNUMBER(INDEX($AN$5:$AN$1000,$U262-4)),DATE(YEAR(INDEX($AN$5:$AN$1000,$U262-4)),MONTH(INDEX($AN$5:$AN$1000,$U262-4)),1),MesCiclo)),IF(ISNUMBER($AM262),DATE(YEAR($AM262),MONTH($AM262),1),IF(ISNUMBER($AN262),DATE(YEAR($AN262),MONTH($AN262),1),MesCiclo))))</f>
        <v/>
      </c>
      <c r="T262" s="62">
        <f>IF(OR($S262="",$S262&lt;&gt;MesCiclo,$V262&lt;&gt;"Macro"),"",COUNTIFS($S$5:$S262,MesCiclo,$V$5:$V262,"Macro"))</f>
        <v/>
      </c>
      <c r="U262" s="62">
        <f>IF($V262="","",IF($V262="Macro",ROW(),IFERROR(LOOKUP(2,1/($V$5:$V262="Macro"),ROW($V$5:$V262)),0)))</f>
        <v/>
      </c>
      <c r="V262" s="62">
        <f>IF(NOT((COUNTA($B262:$D262)+COUNTA($G262:$L262)+COUNTA($Q262))&gt;0),"",IF($B262="Subactividad","Sub","Macro"))</f>
        <v/>
      </c>
      <c r="W262" s="62">
        <f>IF($V262="Macro",COUNTIFS($U$5:$U$1000,ROW(),$V$5:$V$1000,"Sub"),"")</f>
        <v/>
      </c>
      <c r="X262" s="62">
        <f>IF($V262="","",IF(ISNUMBER($G262),1,IFERROR(LOOKUP(2,1/($I262:$L262&lt;&gt;""),$I262:$L262),0)))</f>
        <v/>
      </c>
      <c r="Y262" s="62">
        <f>IF($V262="","",IF(AND(ISNUMBER($G262),$G262&lt;=IF($S262=MesCiclo,InicioCiclo,$S262+MOD(2-WEEKDAY($S262),7))+6),1,IF(ISNUMBER($I262),$I262,0)))</f>
        <v/>
      </c>
      <c r="Z262" s="62">
        <f>IF($V262="","",IF(AND(ISNUMBER($G262),$G262&lt;=IF($S262=MesCiclo,InicioCiclo,$S262+MOD(2-WEEKDAY($S262),7))+13),1,IF(ISNUMBER($J262),$J262,$Y262)))</f>
        <v/>
      </c>
      <c r="AA262" s="62">
        <f>IF($V262="","",IF(AND(ISNUMBER($G262),$G262&lt;=IF($S262=MesCiclo,InicioCiclo,$S262+MOD(2-WEEKDAY($S262),7))+20),1,IF(ISNUMBER($K262),$K262,$Z262)))</f>
        <v/>
      </c>
      <c r="AB262" s="62">
        <f>IF($V262="","",IF(AND(ISNUMBER($G262),$G262&lt;=IF($S262=MesCiclo,InicioCiclo,$S262+MOD(2-WEEKDAY($S262),7))+27),1,IF(ISNUMBER($L262),$L262,$AA262)))</f>
        <v/>
      </c>
      <c r="AC262" s="62">
        <f>IF($V262="","",IF(AND(ISNUMBER($G262),$G262&lt;=IF($S262=MesCiclo,InicioCiclo,$S262+MOD(2-WEEKDAY($S262),7))+6),1,IF(N($W262)&gt;0,AVERAGEIFS($Y$5:$Y$1000,$U$5:$U$1000,ROW(),$V$5:$V$1000,"Sub"),$Y262)))</f>
        <v/>
      </c>
      <c r="AD262" s="62">
        <f>IF($V262="","",IF(AND(ISNUMBER($G262),$G262&lt;=IF($S262=MesCiclo,InicioCiclo,$S262+MOD(2-WEEKDAY($S262),7))+13),1,IF(N($W262)&gt;0,AVERAGEIFS($Z$5:$Z$1000,$U$5:$U$1000,ROW(),$V$5:$V$1000,"Sub"),$Z262)))</f>
        <v/>
      </c>
      <c r="AE262" s="62">
        <f>IF($V262="","",IF(AND(ISNUMBER($G262),$G262&lt;=IF($S262=MesCiclo,InicioCiclo,$S262+MOD(2-WEEKDAY($S262),7))+20),1,IF(N($W262)&gt;0,AVERAGEIFS($AA$5:$AA$1000,$U$5:$U$1000,ROW(),$V$5:$V$1000,"Sub"),$AA262)))</f>
        <v/>
      </c>
      <c r="AF262" s="62">
        <f>IF($V262="","",IF(AND(ISNUMBER($G262),$G262&lt;=IF($S262=MesCiclo,InicioCiclo,$S262+MOD(2-WEEKDAY($S262),7))+27),1,IF(N($W262)&gt;0,AVERAGEIFS($AB$5:$AB$1000,$U$5:$U$1000,ROW(),$V$5:$V$1000,"Sub"),$AB262)))</f>
        <v/>
      </c>
      <c r="AG262" s="62">
        <f>IF($V262&lt;&gt;"Macro","",IF(COUNTIFS($S$5:$S$1000,$S262,$V$5:$V$1000,"Macro",$H$5:$H$1000,"&gt;0")=0,1/COUNTIFS($S$5:$S$1000,$S262,$V$5:$V$1000,"Macro"),IF(AND(ISNUMBER($H262),N($H262)&gt;0),$H262,SUMIFS($H$5:$H$1000,$S$5:$S$1000,$S262,$V$5:$V$1000,"Macro")/COUNTIFS($S$5:$S$1000,$S262,$V$5:$V$1000,"Macro",$H$5:$H$1000,"&gt;0"))/(COUNTIFS($S$5:$S$1000,$S262,$V$5:$V$1000,"Macro")*SUMIFS($H$5:$H$1000,$S$5:$S$1000,$S262,$V$5:$V$1000,"Macro")/COUNTIFS($S$5:$S$1000,$S262,$V$5:$V$1000,"Macro",$H$5:$H$1000,"&gt;0"))))</f>
        <v/>
      </c>
      <c r="AH262" s="62">
        <f>IF(NOT(AND($D262&lt;&gt;"",$V262="Macro")),"",IFERROR(CHOOSE(MATCH($D262,ListaPuestos,0),MATCH("[Jefatura] "&amp;$C262,'Cronograma R. Operacional'!$C$5:$C$1000,0),MATCH("[Jefatura] "&amp;$C262,'Cronograma R. Normativo'!$C$5:$C$1000,0),MATCH("[Jefatura] "&amp;$C262,'Cronograma R. Financiero'!$C$5:$C$1000,0),MATCH("[Jefatura] "&amp;$C262,'Cronograma Asistente Técnico'!$C$5:$C$1000,0)),0))</f>
        <v/>
      </c>
      <c r="AI262" s="62">
        <f>IF(AND(AND($D262&lt;&gt;"",$V262="Macro"),$S262=MesCiclo),COUNTIFS($D$5:$D262,$D262,$S$5:$S262,MesCiclo,$V$5:$V262,"Macro"),"")</f>
        <v/>
      </c>
      <c r="AJ262" s="62">
        <f>IF($AI262="","",$D262&amp;"|"&amp;$AI262)</f>
        <v/>
      </c>
      <c r="AK262" s="62">
        <f>IF(AND($D262&lt;&gt;"",$V262="Macro"),$D262&amp;"|"&amp;$C262,"")</f>
        <v/>
      </c>
      <c r="AL262" s="62">
        <f>""</f>
        <v/>
      </c>
      <c r="AM262" s="62">
        <f>IF(N($AL262)&gt;0,INDEX(rIni_ADM,$AL262),IF(ISNUMBER($E262),$E262,""))</f>
        <v/>
      </c>
      <c r="AN262" s="62">
        <f>IF(N($AL262)&gt;0,INDEX(rLim_ADM,$AL262),IF(ISNUMBER($F262),$F262,""))</f>
        <v/>
      </c>
    </row>
    <row r="263">
      <c r="A263" s="56">
        <f>IF(NOT((COUNTA($B263:$D263)+COUNTA($G263:$L263)+COUNTA($Q263))&gt;0),"",IF($V263="Macro",COUNTIFS($V$5:$V263,"Macro",$S$5:$S263,$S263),IF(N($U263)=0,"?",COUNTIFS(INDEX($V$5:$V$1000,1):INDEX($V$5:$V$1000,$U263-4),"Macro",INDEX($S$5:$S$1000,1):INDEX($S$5:$S$1000,$U263-4),INDEX($S$5:$S$1000,$U263-4))&amp;"."&amp;COUNTIFS($U$5:$U263,$U263,$V$5:$V263,"Sub"))))</f>
        <v/>
      </c>
      <c r="B263" s="57" t="n"/>
      <c r="C263" s="58" t="n"/>
      <c r="D263" s="58" t="n"/>
      <c r="E263" s="59" t="n"/>
      <c r="F263" s="59" t="n"/>
      <c r="G263" s="59" t="n"/>
      <c r="H263" s="60" t="n"/>
      <c r="I263" s="60" t="n"/>
      <c r="J263" s="60" t="n"/>
      <c r="K263" s="60" t="n"/>
      <c r="L263" s="60" t="n"/>
      <c r="M263" s="61">
        <f>IF(NOT((COUNTA($B263:$D263)+COUNTA($G263:$L263)+COUNTA($Q263))&gt;0),"",IF(AND($D263&lt;&gt;"",$V263="Macro"),IF(N($AH263)&gt;0,N(CHOOSE(MATCH($D263,ListaPuestos,0),INDEX('Cronograma R. Operacional'!$M$5:$M$1000,$AH263),INDEX('Cronograma R. Normativo'!$M$5:$M$1000,$AH263),INDEX('Cronograma R. Financiero'!$M$5:$M$1000,$AH263),INDEX('Cronograma Asistente Técnico'!$M$5:$M$1000,$AH263))),0),IF(ISNUMBER($G263),1,IF(N($W263)&gt;0,AVERAGEIFS($X$5:$X$1000,$U$5:$U$1000,ROW(),$V$5:$V$1000,"Sub"),$X263))))</f>
        <v/>
      </c>
      <c r="N263" s="56">
        <f>IF(OR($M263="",$V263="Sub"),"",IF($M263&gt;=1,"Completado",IF($M263&gt;0,"En curso","Pendiente")))</f>
        <v/>
      </c>
      <c r="O263" s="56">
        <f>IF(NOT((COUNTA($B263:$D263)+COUNTA($G263:$L263)+COUNTA($Q263))&gt;0),"",IF(AND(AND($D263&lt;&gt;"",$V263="Macro"),N($AH263)&gt;0),CHOOSE(MATCH($D263,ListaPuestos,0),INDEX('Cronograma R. Operacional'!$O$5:$O$1000,$AH263),INDEX('Cronograma R. Normativo'!$O$5:$O$1000,$AH263),INDEX('Cronograma R. Financiero'!$O$5:$O$1000,$AH263),INDEX('Cronograma Asistente Técnico'!$O$5:$O$1000,$AH263))&amp;"",IF(ISNUMBER($G263),IF(AND(ISNUMBER($AN263),$G263&gt;$AN263),"Cumplida con "&amp;($G263-$AN263)&amp;IF($G263-$AN263=1," día"," días")&amp;" de retraso","Cumplida"),IF(N($M263)&gt;=1,"Cumplida",IF(NOT(ISNUMBER($AN263)),"Sin fecha límite",IF($AN263&lt;FechaRef,"Vencida hace "&amp;(FechaRef-$AN263)&amp;IF(FechaRef-$AN263=1," día"," días"),IF($AN263=FechaRef,"Vence hoy",IF($AN263-FechaRef&lt;=DiasAlerta,"Vence en "&amp;($AN263-FechaRef)&amp;IF($AN263-FechaRef=1," día"," días"),"En plazo"))))))))</f>
        <v/>
      </c>
      <c r="P263" s="62">
        <f>IF(NOT((COUNTA($B263:$D263)+COUNTA($G263:$L263)+COUNTA($Q263))&gt;0),"",IF($D263="","Propia",IF($V263&lt;&gt;"Macro","Solo se delegan macroactividades",IF(N($AH263)&gt;0,"✔ Recibida por "&amp;$D263,"⚠ "&amp;$D263&amp;" aún no la agrega"))))</f>
        <v/>
      </c>
      <c r="Q263" s="58" t="n"/>
      <c r="R263" s="63">
        <f>IF(NOT((COUNTA($B263:$D263)+COUNTA($G263:$L263)+COUNTA($Q263))&gt;0),"",IF((IF($C263="","Falta el nombre de la actividad"&amp;" · ","")&amp;IF(AND($V263="Sub",N($U263)=0),"Subactividad sin macroactividad arriba"&amp;" · ","")&amp;IF($AM263="","Sin fecha de inicio"&amp;" · ","")&amp;IF($AN263="","Sin fecha límite"&amp;" · ","")&amp;IF(AND(LEFT($C263,11)="[Jefatura] ",N($AL263)=0),"No se encuentra en la hoja de la jefatura (elíjala de nuevo en la lista)"&amp;" · ","")&amp;IF(OR(AND($E263&lt;&gt;"",NOT(ISNUMBER($E263))),AND($F263&lt;&gt;"",NOT(ISNUMBER($F263))),AND($G263&lt;&gt;"",NOT(ISNUMBER($G263)))),"Fecha no válida"&amp;" · ","")&amp;IF(AND(ISNUMBER($AM263),ISNUMBER($AN263),$AM263&gt;$AN263),"Inicio posterior a fecha límite"&amp;" · ","")&amp;IF(AND($V263="Macro",$H263&lt;&gt;"",OR(NOT(ISNUMBER($H263)),$H263&lt;0,$H263&gt;1)),"Peso fuera de rango"&amp;" · ","")&amp;IF(AND($V263="Sub",$H263&lt;&gt;""),"Las subactividades no llevan peso (valen igual dentro de su macroactividad)"&amp;" · ","")&amp;IF(AND(N($W263)&gt;0,COUNT($I263:$L263)&gt;0),"Con subactividades: deje vacías las semanas (se calculan solas)"&amp;" · ","")&amp;IF((COUNTIF($I263:$L263,"&gt;1")+COUNTIF($I263:$L263,"&lt;0")+COUNTA($I263:$L263)-COUNT($I263:$L263))&gt;0,"Avance fuera de rango 0-100%"&amp;" · ","")&amp;IF(OR(AND($J263&lt;&gt;"",$J263&lt;$I263),AND($K263&lt;&gt;"",$K263&lt;MAX($I263:$J263)),AND($L263&lt;&gt;"",$L263&lt;MAX($I263:$K263))),"Avance semanal decreciente"&amp;" · ","")&amp;IF(AND(ISNUMBER($AN263),$AN263&lt;FechaRef,IF($V263="Sub",N($X263),N($M263))&lt;1),"Vencida"&amp;" · ","")&amp;IF(AND(ObsObligatoria="Sí",ISNUMBER($AN263),$AN263&lt;FechaRef,IF($V263="Sub",N($X263),N($M263))&lt;1,$Q263=""),"Vencida sin observación"&amp;" · ",""))="","✔ OK","⚠ "&amp;LEFT(IF($C263="","Falta el nombre de la actividad"&amp;" · ","")&amp;IF(AND($V263="Sub",N($U263)=0),"Subactividad sin macroactividad arriba"&amp;" · ","")&amp;IF($AM263="","Sin fecha de inicio"&amp;" · ","")&amp;IF($AN263="","Sin fecha límite"&amp;" · ","")&amp;IF(AND(LEFT($C263,11)="[Jefatura] ",N($AL263)=0),"No se encuentra en la hoja de la jefatura (elíjala de nuevo en la lista)"&amp;" · ","")&amp;IF(OR(AND($E263&lt;&gt;"",NOT(ISNUMBER($E263))),AND($F263&lt;&gt;"",NOT(ISNUMBER($F263))),AND($G263&lt;&gt;"",NOT(ISNUMBER($G263)))),"Fecha no válida"&amp;" · ","")&amp;IF(AND(ISNUMBER($AM263),ISNUMBER($AN263),$AM263&gt;$AN263),"Inicio posterior a fecha límite"&amp;" · ","")&amp;IF(AND($V263="Macro",$H263&lt;&gt;"",OR(NOT(ISNUMBER($H263)),$H263&lt;0,$H263&gt;1)),"Peso fuera de rango"&amp;" · ","")&amp;IF(AND($V263="Sub",$H263&lt;&gt;""),"Las subactividades no llevan peso (valen igual dentro de su macroactividad)"&amp;" · ","")&amp;IF(AND(N($W263)&gt;0,COUNT($I263:$L263)&gt;0),"Con subactividades: deje vacías las semanas (se calculan solas)"&amp;" · ","")&amp;IF((COUNTIF($I263:$L263,"&gt;1")+COUNTIF($I263:$L263,"&lt;0")+COUNTA($I263:$L263)-COUNT($I263:$L263))&gt;0,"Avance fuera de rango 0-100%"&amp;" · ","")&amp;IF(OR(AND($J263&lt;&gt;"",$J263&lt;$I263),AND($K263&lt;&gt;"",$K263&lt;MAX($I263:$J263)),AND($L263&lt;&gt;"",$L263&lt;MAX($I263:$K263))),"Avance semanal decreciente"&amp;" · ","")&amp;IF(AND(ISNUMBER($AN263),$AN263&lt;FechaRef,IF($V263="Sub",N($X263),N($M263))&lt;1),"Vencida"&amp;" · ","")&amp;IF(AND(ObsObligatoria="Sí",ISNUMBER($AN263),$AN263&lt;FechaRef,IF($V263="Sub",N($X263),N($M263))&lt;1,$Q263=""),"Vencida sin observación"&amp;" · ",""),LEN(IF($C263="","Falta el nombre de la actividad"&amp;" · ","")&amp;IF(AND($V263="Sub",N($U263)=0),"Subactividad sin macroactividad arriba"&amp;" · ","")&amp;IF($AM263="","Sin fecha de inicio"&amp;" · ","")&amp;IF($AN263="","Sin fecha límite"&amp;" · ","")&amp;IF(AND(LEFT($C263,11)="[Jefatura] ",N($AL263)=0),"No se encuentra en la hoja de la jefatura (elíjala de nuevo en la lista)"&amp;" · ","")&amp;IF(OR(AND($E263&lt;&gt;"",NOT(ISNUMBER($E263))),AND($F263&lt;&gt;"",NOT(ISNUMBER($F263))),AND($G263&lt;&gt;"",NOT(ISNUMBER($G263)))),"Fecha no válida"&amp;" · ","")&amp;IF(AND(ISNUMBER($AM263),ISNUMBER($AN263),$AM263&gt;$AN263),"Inicio posterior a fecha límite"&amp;" · ","")&amp;IF(AND($V263="Macro",$H263&lt;&gt;"",OR(NOT(ISNUMBER($H263)),$H263&lt;0,$H263&gt;1)),"Peso fuera de rango"&amp;" · ","")&amp;IF(AND($V263="Sub",$H263&lt;&gt;""),"Las subactividades no llevan peso (valen igual dentro de su macroactividad)"&amp;" · ","")&amp;IF(AND(N($W263)&gt;0,COUNT($I263:$L263)&gt;0),"Con subactividades: deje vacías las semanas (se calculan solas)"&amp;" · ","")&amp;IF((COUNTIF($I263:$L263,"&gt;1")+COUNTIF($I263:$L263,"&lt;0")+COUNTA($I263:$L263)-COUNT($I263:$L263))&gt;0,"Avance fuera de rango 0-100%"&amp;" · ","")&amp;IF(OR(AND($J263&lt;&gt;"",$J263&lt;$I263),AND($K263&lt;&gt;"",$K263&lt;MAX($I263:$J263)),AND($L263&lt;&gt;"",$L263&lt;MAX($I263:$K263))),"Avance semanal decreciente"&amp;" · ","")&amp;IF(AND(ISNUMBER($AN263),$AN263&lt;FechaRef,IF($V263="Sub",N($X263),N($M263))&lt;1),"Vencida"&amp;" · ","")&amp;IF(AND(ObsObligatoria="Sí",ISNUMBER($AN263),$AN263&lt;FechaRef,IF($V263="Sub",N($X263),N($M263))&lt;1,$Q263=""),"Vencida sin observación"&amp;" · ",""))-3)))</f>
        <v/>
      </c>
      <c r="S263" s="64">
        <f>IF(NOT((COUNTA($B263:$D263)+COUNTA($G263:$L263)+COUNTA($Q263))&gt;0),"",IF(AND($V263="Sub",N($U263)&gt;0),IF(ISNUMBER(INDEX($AM$5:$AM$1000,$U263-4)),DATE(YEAR(INDEX($AM$5:$AM$1000,$U263-4)),MONTH(INDEX($AM$5:$AM$1000,$U263-4)),1),IF(ISNUMBER(INDEX($AN$5:$AN$1000,$U263-4)),DATE(YEAR(INDEX($AN$5:$AN$1000,$U263-4)),MONTH(INDEX($AN$5:$AN$1000,$U263-4)),1),MesCiclo)),IF(ISNUMBER($AM263),DATE(YEAR($AM263),MONTH($AM263),1),IF(ISNUMBER($AN263),DATE(YEAR($AN263),MONTH($AN263),1),MesCiclo))))</f>
        <v/>
      </c>
      <c r="T263" s="62">
        <f>IF(OR($S263="",$S263&lt;&gt;MesCiclo,$V263&lt;&gt;"Macro"),"",COUNTIFS($S$5:$S263,MesCiclo,$V$5:$V263,"Macro"))</f>
        <v/>
      </c>
      <c r="U263" s="62">
        <f>IF($V263="","",IF($V263="Macro",ROW(),IFERROR(LOOKUP(2,1/($V$5:$V263="Macro"),ROW($V$5:$V263)),0)))</f>
        <v/>
      </c>
      <c r="V263" s="62">
        <f>IF(NOT((COUNTA($B263:$D263)+COUNTA($G263:$L263)+COUNTA($Q263))&gt;0),"",IF($B263="Subactividad","Sub","Macro"))</f>
        <v/>
      </c>
      <c r="W263" s="62">
        <f>IF($V263="Macro",COUNTIFS($U$5:$U$1000,ROW(),$V$5:$V$1000,"Sub"),"")</f>
        <v/>
      </c>
      <c r="X263" s="62">
        <f>IF($V263="","",IF(ISNUMBER($G263),1,IFERROR(LOOKUP(2,1/($I263:$L263&lt;&gt;""),$I263:$L263),0)))</f>
        <v/>
      </c>
      <c r="Y263" s="62">
        <f>IF($V263="","",IF(AND(ISNUMBER($G263),$G263&lt;=IF($S263=MesCiclo,InicioCiclo,$S263+MOD(2-WEEKDAY($S263),7))+6),1,IF(ISNUMBER($I263),$I263,0)))</f>
        <v/>
      </c>
      <c r="Z263" s="62">
        <f>IF($V263="","",IF(AND(ISNUMBER($G263),$G263&lt;=IF($S263=MesCiclo,InicioCiclo,$S263+MOD(2-WEEKDAY($S263),7))+13),1,IF(ISNUMBER($J263),$J263,$Y263)))</f>
        <v/>
      </c>
      <c r="AA263" s="62">
        <f>IF($V263="","",IF(AND(ISNUMBER($G263),$G263&lt;=IF($S263=MesCiclo,InicioCiclo,$S263+MOD(2-WEEKDAY($S263),7))+20),1,IF(ISNUMBER($K263),$K263,$Z263)))</f>
        <v/>
      </c>
      <c r="AB263" s="62">
        <f>IF($V263="","",IF(AND(ISNUMBER($G263),$G263&lt;=IF($S263=MesCiclo,InicioCiclo,$S263+MOD(2-WEEKDAY($S263),7))+27),1,IF(ISNUMBER($L263),$L263,$AA263)))</f>
        <v/>
      </c>
      <c r="AC263" s="62">
        <f>IF($V263="","",IF(AND(ISNUMBER($G263),$G263&lt;=IF($S263=MesCiclo,InicioCiclo,$S263+MOD(2-WEEKDAY($S263),7))+6),1,IF(N($W263)&gt;0,AVERAGEIFS($Y$5:$Y$1000,$U$5:$U$1000,ROW(),$V$5:$V$1000,"Sub"),$Y263)))</f>
        <v/>
      </c>
      <c r="AD263" s="62">
        <f>IF($V263="","",IF(AND(ISNUMBER($G263),$G263&lt;=IF($S263=MesCiclo,InicioCiclo,$S263+MOD(2-WEEKDAY($S263),7))+13),1,IF(N($W263)&gt;0,AVERAGEIFS($Z$5:$Z$1000,$U$5:$U$1000,ROW(),$V$5:$V$1000,"Sub"),$Z263)))</f>
        <v/>
      </c>
      <c r="AE263" s="62">
        <f>IF($V263="","",IF(AND(ISNUMBER($G263),$G263&lt;=IF($S263=MesCiclo,InicioCiclo,$S263+MOD(2-WEEKDAY($S263),7))+20),1,IF(N($W263)&gt;0,AVERAGEIFS($AA$5:$AA$1000,$U$5:$U$1000,ROW(),$V$5:$V$1000,"Sub"),$AA263)))</f>
        <v/>
      </c>
      <c r="AF263" s="62">
        <f>IF($V263="","",IF(AND(ISNUMBER($G263),$G263&lt;=IF($S263=MesCiclo,InicioCiclo,$S263+MOD(2-WEEKDAY($S263),7))+27),1,IF(N($W263)&gt;0,AVERAGEIFS($AB$5:$AB$1000,$U$5:$U$1000,ROW(),$V$5:$V$1000,"Sub"),$AB263)))</f>
        <v/>
      </c>
      <c r="AG263" s="62">
        <f>IF($V263&lt;&gt;"Macro","",IF(COUNTIFS($S$5:$S$1000,$S263,$V$5:$V$1000,"Macro",$H$5:$H$1000,"&gt;0")=0,1/COUNTIFS($S$5:$S$1000,$S263,$V$5:$V$1000,"Macro"),IF(AND(ISNUMBER($H263),N($H263)&gt;0),$H263,SUMIFS($H$5:$H$1000,$S$5:$S$1000,$S263,$V$5:$V$1000,"Macro")/COUNTIFS($S$5:$S$1000,$S263,$V$5:$V$1000,"Macro",$H$5:$H$1000,"&gt;0"))/(COUNTIFS($S$5:$S$1000,$S263,$V$5:$V$1000,"Macro")*SUMIFS($H$5:$H$1000,$S$5:$S$1000,$S263,$V$5:$V$1000,"Macro")/COUNTIFS($S$5:$S$1000,$S263,$V$5:$V$1000,"Macro",$H$5:$H$1000,"&gt;0"))))</f>
        <v/>
      </c>
      <c r="AH263" s="62">
        <f>IF(NOT(AND($D263&lt;&gt;"",$V263="Macro")),"",IFERROR(CHOOSE(MATCH($D263,ListaPuestos,0),MATCH("[Jefatura] "&amp;$C263,'Cronograma R. Operacional'!$C$5:$C$1000,0),MATCH("[Jefatura] "&amp;$C263,'Cronograma R. Normativo'!$C$5:$C$1000,0),MATCH("[Jefatura] "&amp;$C263,'Cronograma R. Financiero'!$C$5:$C$1000,0),MATCH("[Jefatura] "&amp;$C263,'Cronograma Asistente Técnico'!$C$5:$C$1000,0)),0))</f>
        <v/>
      </c>
      <c r="AI263" s="62">
        <f>IF(AND(AND($D263&lt;&gt;"",$V263="Macro"),$S263=MesCiclo),COUNTIFS($D$5:$D263,$D263,$S$5:$S263,MesCiclo,$V$5:$V263,"Macro"),"")</f>
        <v/>
      </c>
      <c r="AJ263" s="62">
        <f>IF($AI263="","",$D263&amp;"|"&amp;$AI263)</f>
        <v/>
      </c>
      <c r="AK263" s="62">
        <f>IF(AND($D263&lt;&gt;"",$V263="Macro"),$D263&amp;"|"&amp;$C263,"")</f>
        <v/>
      </c>
      <c r="AL263" s="62">
        <f>""</f>
        <v/>
      </c>
      <c r="AM263" s="62">
        <f>IF(N($AL263)&gt;0,INDEX(rIni_ADM,$AL263),IF(ISNUMBER($E263),$E263,""))</f>
        <v/>
      </c>
      <c r="AN263" s="62">
        <f>IF(N($AL263)&gt;0,INDEX(rLim_ADM,$AL263),IF(ISNUMBER($F263),$F263,""))</f>
        <v/>
      </c>
    </row>
    <row r="264">
      <c r="A264" s="56">
        <f>IF(NOT((COUNTA($B264:$D264)+COUNTA($G264:$L264)+COUNTA($Q264))&gt;0),"",IF($V264="Macro",COUNTIFS($V$5:$V264,"Macro",$S$5:$S264,$S264),IF(N($U264)=0,"?",COUNTIFS(INDEX($V$5:$V$1000,1):INDEX($V$5:$V$1000,$U264-4),"Macro",INDEX($S$5:$S$1000,1):INDEX($S$5:$S$1000,$U264-4),INDEX($S$5:$S$1000,$U264-4))&amp;"."&amp;COUNTIFS($U$5:$U264,$U264,$V$5:$V264,"Sub"))))</f>
        <v/>
      </c>
      <c r="B264" s="57" t="n"/>
      <c r="C264" s="58" t="n"/>
      <c r="D264" s="58" t="n"/>
      <c r="E264" s="59" t="n"/>
      <c r="F264" s="59" t="n"/>
      <c r="G264" s="59" t="n"/>
      <c r="H264" s="60" t="n"/>
      <c r="I264" s="60" t="n"/>
      <c r="J264" s="60" t="n"/>
      <c r="K264" s="60" t="n"/>
      <c r="L264" s="60" t="n"/>
      <c r="M264" s="61">
        <f>IF(NOT((COUNTA($B264:$D264)+COUNTA($G264:$L264)+COUNTA($Q264))&gt;0),"",IF(AND($D264&lt;&gt;"",$V264="Macro"),IF(N($AH264)&gt;0,N(CHOOSE(MATCH($D264,ListaPuestos,0),INDEX('Cronograma R. Operacional'!$M$5:$M$1000,$AH264),INDEX('Cronograma R. Normativo'!$M$5:$M$1000,$AH264),INDEX('Cronograma R. Financiero'!$M$5:$M$1000,$AH264),INDEX('Cronograma Asistente Técnico'!$M$5:$M$1000,$AH264))),0),IF(ISNUMBER($G264),1,IF(N($W264)&gt;0,AVERAGEIFS($X$5:$X$1000,$U$5:$U$1000,ROW(),$V$5:$V$1000,"Sub"),$X264))))</f>
        <v/>
      </c>
      <c r="N264" s="56">
        <f>IF(OR($M264="",$V264="Sub"),"",IF($M264&gt;=1,"Completado",IF($M264&gt;0,"En curso","Pendiente")))</f>
        <v/>
      </c>
      <c r="O264" s="56">
        <f>IF(NOT((COUNTA($B264:$D264)+COUNTA($G264:$L264)+COUNTA($Q264))&gt;0),"",IF(AND(AND($D264&lt;&gt;"",$V264="Macro"),N($AH264)&gt;0),CHOOSE(MATCH($D264,ListaPuestos,0),INDEX('Cronograma R. Operacional'!$O$5:$O$1000,$AH264),INDEX('Cronograma R. Normativo'!$O$5:$O$1000,$AH264),INDEX('Cronograma R. Financiero'!$O$5:$O$1000,$AH264),INDEX('Cronograma Asistente Técnico'!$O$5:$O$1000,$AH264))&amp;"",IF(ISNUMBER($G264),IF(AND(ISNUMBER($AN264),$G264&gt;$AN264),"Cumplida con "&amp;($G264-$AN264)&amp;IF($G264-$AN264=1," día"," días")&amp;" de retraso","Cumplida"),IF(N($M264)&gt;=1,"Cumplida",IF(NOT(ISNUMBER($AN264)),"Sin fecha límite",IF($AN264&lt;FechaRef,"Vencida hace "&amp;(FechaRef-$AN264)&amp;IF(FechaRef-$AN264=1," día"," días"),IF($AN264=FechaRef,"Vence hoy",IF($AN264-FechaRef&lt;=DiasAlerta,"Vence en "&amp;($AN264-FechaRef)&amp;IF($AN264-FechaRef=1," día"," días"),"En plazo"))))))))</f>
        <v/>
      </c>
      <c r="P264" s="62">
        <f>IF(NOT((COUNTA($B264:$D264)+COUNTA($G264:$L264)+COUNTA($Q264))&gt;0),"",IF($D264="","Propia",IF($V264&lt;&gt;"Macro","Solo se delegan macroactividades",IF(N($AH264)&gt;0,"✔ Recibida por "&amp;$D264,"⚠ "&amp;$D264&amp;" aún no la agrega"))))</f>
        <v/>
      </c>
      <c r="Q264" s="58" t="n"/>
      <c r="R264" s="63">
        <f>IF(NOT((COUNTA($B264:$D264)+COUNTA($G264:$L264)+COUNTA($Q264))&gt;0),"",IF((IF($C264="","Falta el nombre de la actividad"&amp;" · ","")&amp;IF(AND($V264="Sub",N($U264)=0),"Subactividad sin macroactividad arriba"&amp;" · ","")&amp;IF($AM264="","Sin fecha de inicio"&amp;" · ","")&amp;IF($AN264="","Sin fecha límite"&amp;" · ","")&amp;IF(AND(LEFT($C264,11)="[Jefatura] ",N($AL264)=0),"No se encuentra en la hoja de la jefatura (elíjala de nuevo en la lista)"&amp;" · ","")&amp;IF(OR(AND($E264&lt;&gt;"",NOT(ISNUMBER($E264))),AND($F264&lt;&gt;"",NOT(ISNUMBER($F264))),AND($G264&lt;&gt;"",NOT(ISNUMBER($G264)))),"Fecha no válida"&amp;" · ","")&amp;IF(AND(ISNUMBER($AM264),ISNUMBER($AN264),$AM264&gt;$AN264),"Inicio posterior a fecha límite"&amp;" · ","")&amp;IF(AND($V264="Macro",$H264&lt;&gt;"",OR(NOT(ISNUMBER($H264)),$H264&lt;0,$H264&gt;1)),"Peso fuera de rango"&amp;" · ","")&amp;IF(AND($V264="Sub",$H264&lt;&gt;""),"Las subactividades no llevan peso (valen igual dentro de su macroactividad)"&amp;" · ","")&amp;IF(AND(N($W264)&gt;0,COUNT($I264:$L264)&gt;0),"Con subactividades: deje vacías las semanas (se calculan solas)"&amp;" · ","")&amp;IF((COUNTIF($I264:$L264,"&gt;1")+COUNTIF($I264:$L264,"&lt;0")+COUNTA($I264:$L264)-COUNT($I264:$L264))&gt;0,"Avance fuera de rango 0-100%"&amp;" · ","")&amp;IF(OR(AND($J264&lt;&gt;"",$J264&lt;$I264),AND($K264&lt;&gt;"",$K264&lt;MAX($I264:$J264)),AND($L264&lt;&gt;"",$L264&lt;MAX($I264:$K264))),"Avance semanal decreciente"&amp;" · ","")&amp;IF(AND(ISNUMBER($AN264),$AN264&lt;FechaRef,IF($V264="Sub",N($X264),N($M264))&lt;1),"Vencida"&amp;" · ","")&amp;IF(AND(ObsObligatoria="Sí",ISNUMBER($AN264),$AN264&lt;FechaRef,IF($V264="Sub",N($X264),N($M264))&lt;1,$Q264=""),"Vencida sin observación"&amp;" · ",""))="","✔ OK","⚠ "&amp;LEFT(IF($C264="","Falta el nombre de la actividad"&amp;" · ","")&amp;IF(AND($V264="Sub",N($U264)=0),"Subactividad sin macroactividad arriba"&amp;" · ","")&amp;IF($AM264="","Sin fecha de inicio"&amp;" · ","")&amp;IF($AN264="","Sin fecha límite"&amp;" · ","")&amp;IF(AND(LEFT($C264,11)="[Jefatura] ",N($AL264)=0),"No se encuentra en la hoja de la jefatura (elíjala de nuevo en la lista)"&amp;" · ","")&amp;IF(OR(AND($E264&lt;&gt;"",NOT(ISNUMBER($E264))),AND($F264&lt;&gt;"",NOT(ISNUMBER($F264))),AND($G264&lt;&gt;"",NOT(ISNUMBER($G264)))),"Fecha no válida"&amp;" · ","")&amp;IF(AND(ISNUMBER($AM264),ISNUMBER($AN264),$AM264&gt;$AN264),"Inicio posterior a fecha límite"&amp;" · ","")&amp;IF(AND($V264="Macro",$H264&lt;&gt;"",OR(NOT(ISNUMBER($H264)),$H264&lt;0,$H264&gt;1)),"Peso fuera de rango"&amp;" · ","")&amp;IF(AND($V264="Sub",$H264&lt;&gt;""),"Las subactividades no llevan peso (valen igual dentro de su macroactividad)"&amp;" · ","")&amp;IF(AND(N($W264)&gt;0,COUNT($I264:$L264)&gt;0),"Con subactividades: deje vacías las semanas (se calculan solas)"&amp;" · ","")&amp;IF((COUNTIF($I264:$L264,"&gt;1")+COUNTIF($I264:$L264,"&lt;0")+COUNTA($I264:$L264)-COUNT($I264:$L264))&gt;0,"Avance fuera de rango 0-100%"&amp;" · ","")&amp;IF(OR(AND($J264&lt;&gt;"",$J264&lt;$I264),AND($K264&lt;&gt;"",$K264&lt;MAX($I264:$J264)),AND($L264&lt;&gt;"",$L264&lt;MAX($I264:$K264))),"Avance semanal decreciente"&amp;" · ","")&amp;IF(AND(ISNUMBER($AN264),$AN264&lt;FechaRef,IF($V264="Sub",N($X264),N($M264))&lt;1),"Vencida"&amp;" · ","")&amp;IF(AND(ObsObligatoria="Sí",ISNUMBER($AN264),$AN264&lt;FechaRef,IF($V264="Sub",N($X264),N($M264))&lt;1,$Q264=""),"Vencida sin observación"&amp;" · ",""),LEN(IF($C264="","Falta el nombre de la actividad"&amp;" · ","")&amp;IF(AND($V264="Sub",N($U264)=0),"Subactividad sin macroactividad arriba"&amp;" · ","")&amp;IF($AM264="","Sin fecha de inicio"&amp;" · ","")&amp;IF($AN264="","Sin fecha límite"&amp;" · ","")&amp;IF(AND(LEFT($C264,11)="[Jefatura] ",N($AL264)=0),"No se encuentra en la hoja de la jefatura (elíjala de nuevo en la lista)"&amp;" · ","")&amp;IF(OR(AND($E264&lt;&gt;"",NOT(ISNUMBER($E264))),AND($F264&lt;&gt;"",NOT(ISNUMBER($F264))),AND($G264&lt;&gt;"",NOT(ISNUMBER($G264)))),"Fecha no válida"&amp;" · ","")&amp;IF(AND(ISNUMBER($AM264),ISNUMBER($AN264),$AM264&gt;$AN264),"Inicio posterior a fecha límite"&amp;" · ","")&amp;IF(AND($V264="Macro",$H264&lt;&gt;"",OR(NOT(ISNUMBER($H264)),$H264&lt;0,$H264&gt;1)),"Peso fuera de rango"&amp;" · ","")&amp;IF(AND($V264="Sub",$H264&lt;&gt;""),"Las subactividades no llevan peso (valen igual dentro de su macroactividad)"&amp;" · ","")&amp;IF(AND(N($W264)&gt;0,COUNT($I264:$L264)&gt;0),"Con subactividades: deje vacías las semanas (se calculan solas)"&amp;" · ","")&amp;IF((COUNTIF($I264:$L264,"&gt;1")+COUNTIF($I264:$L264,"&lt;0")+COUNTA($I264:$L264)-COUNT($I264:$L264))&gt;0,"Avance fuera de rango 0-100%"&amp;" · ","")&amp;IF(OR(AND($J264&lt;&gt;"",$J264&lt;$I264),AND($K264&lt;&gt;"",$K264&lt;MAX($I264:$J264)),AND($L264&lt;&gt;"",$L264&lt;MAX($I264:$K264))),"Avance semanal decreciente"&amp;" · ","")&amp;IF(AND(ISNUMBER($AN264),$AN264&lt;FechaRef,IF($V264="Sub",N($X264),N($M264))&lt;1),"Vencida"&amp;" · ","")&amp;IF(AND(ObsObligatoria="Sí",ISNUMBER($AN264),$AN264&lt;FechaRef,IF($V264="Sub",N($X264),N($M264))&lt;1,$Q264=""),"Vencida sin observación"&amp;" · ",""))-3)))</f>
        <v/>
      </c>
      <c r="S264" s="64">
        <f>IF(NOT((COUNTA($B264:$D264)+COUNTA($G264:$L264)+COUNTA($Q264))&gt;0),"",IF(AND($V264="Sub",N($U264)&gt;0),IF(ISNUMBER(INDEX($AM$5:$AM$1000,$U264-4)),DATE(YEAR(INDEX($AM$5:$AM$1000,$U264-4)),MONTH(INDEX($AM$5:$AM$1000,$U264-4)),1),IF(ISNUMBER(INDEX($AN$5:$AN$1000,$U264-4)),DATE(YEAR(INDEX($AN$5:$AN$1000,$U264-4)),MONTH(INDEX($AN$5:$AN$1000,$U264-4)),1),MesCiclo)),IF(ISNUMBER($AM264),DATE(YEAR($AM264),MONTH($AM264),1),IF(ISNUMBER($AN264),DATE(YEAR($AN264),MONTH($AN264),1),MesCiclo))))</f>
        <v/>
      </c>
      <c r="T264" s="62">
        <f>IF(OR($S264="",$S264&lt;&gt;MesCiclo,$V264&lt;&gt;"Macro"),"",COUNTIFS($S$5:$S264,MesCiclo,$V$5:$V264,"Macro"))</f>
        <v/>
      </c>
      <c r="U264" s="62">
        <f>IF($V264="","",IF($V264="Macro",ROW(),IFERROR(LOOKUP(2,1/($V$5:$V264="Macro"),ROW($V$5:$V264)),0)))</f>
        <v/>
      </c>
      <c r="V264" s="62">
        <f>IF(NOT((COUNTA($B264:$D264)+COUNTA($G264:$L264)+COUNTA($Q264))&gt;0),"",IF($B264="Subactividad","Sub","Macro"))</f>
        <v/>
      </c>
      <c r="W264" s="62">
        <f>IF($V264="Macro",COUNTIFS($U$5:$U$1000,ROW(),$V$5:$V$1000,"Sub"),"")</f>
        <v/>
      </c>
      <c r="X264" s="62">
        <f>IF($V264="","",IF(ISNUMBER($G264),1,IFERROR(LOOKUP(2,1/($I264:$L264&lt;&gt;""),$I264:$L264),0)))</f>
        <v/>
      </c>
      <c r="Y264" s="62">
        <f>IF($V264="","",IF(AND(ISNUMBER($G264),$G264&lt;=IF($S264=MesCiclo,InicioCiclo,$S264+MOD(2-WEEKDAY($S264),7))+6),1,IF(ISNUMBER($I264),$I264,0)))</f>
        <v/>
      </c>
      <c r="Z264" s="62">
        <f>IF($V264="","",IF(AND(ISNUMBER($G264),$G264&lt;=IF($S264=MesCiclo,InicioCiclo,$S264+MOD(2-WEEKDAY($S264),7))+13),1,IF(ISNUMBER($J264),$J264,$Y264)))</f>
        <v/>
      </c>
      <c r="AA264" s="62">
        <f>IF($V264="","",IF(AND(ISNUMBER($G264),$G264&lt;=IF($S264=MesCiclo,InicioCiclo,$S264+MOD(2-WEEKDAY($S264),7))+20),1,IF(ISNUMBER($K264),$K264,$Z264)))</f>
        <v/>
      </c>
      <c r="AB264" s="62">
        <f>IF($V264="","",IF(AND(ISNUMBER($G264),$G264&lt;=IF($S264=MesCiclo,InicioCiclo,$S264+MOD(2-WEEKDAY($S264),7))+27),1,IF(ISNUMBER($L264),$L264,$AA264)))</f>
        <v/>
      </c>
      <c r="AC264" s="62">
        <f>IF($V264="","",IF(AND(ISNUMBER($G264),$G264&lt;=IF($S264=MesCiclo,InicioCiclo,$S264+MOD(2-WEEKDAY($S264),7))+6),1,IF(N($W264)&gt;0,AVERAGEIFS($Y$5:$Y$1000,$U$5:$U$1000,ROW(),$V$5:$V$1000,"Sub"),$Y264)))</f>
        <v/>
      </c>
      <c r="AD264" s="62">
        <f>IF($V264="","",IF(AND(ISNUMBER($G264),$G264&lt;=IF($S264=MesCiclo,InicioCiclo,$S264+MOD(2-WEEKDAY($S264),7))+13),1,IF(N($W264)&gt;0,AVERAGEIFS($Z$5:$Z$1000,$U$5:$U$1000,ROW(),$V$5:$V$1000,"Sub"),$Z264)))</f>
        <v/>
      </c>
      <c r="AE264" s="62">
        <f>IF($V264="","",IF(AND(ISNUMBER($G264),$G264&lt;=IF($S264=MesCiclo,InicioCiclo,$S264+MOD(2-WEEKDAY($S264),7))+20),1,IF(N($W264)&gt;0,AVERAGEIFS($AA$5:$AA$1000,$U$5:$U$1000,ROW(),$V$5:$V$1000,"Sub"),$AA264)))</f>
        <v/>
      </c>
      <c r="AF264" s="62">
        <f>IF($V264="","",IF(AND(ISNUMBER($G264),$G264&lt;=IF($S264=MesCiclo,InicioCiclo,$S264+MOD(2-WEEKDAY($S264),7))+27),1,IF(N($W264)&gt;0,AVERAGEIFS($AB$5:$AB$1000,$U$5:$U$1000,ROW(),$V$5:$V$1000,"Sub"),$AB264)))</f>
        <v/>
      </c>
      <c r="AG264" s="62">
        <f>IF($V264&lt;&gt;"Macro","",IF(COUNTIFS($S$5:$S$1000,$S264,$V$5:$V$1000,"Macro",$H$5:$H$1000,"&gt;0")=0,1/COUNTIFS($S$5:$S$1000,$S264,$V$5:$V$1000,"Macro"),IF(AND(ISNUMBER($H264),N($H264)&gt;0),$H264,SUMIFS($H$5:$H$1000,$S$5:$S$1000,$S264,$V$5:$V$1000,"Macro")/COUNTIFS($S$5:$S$1000,$S264,$V$5:$V$1000,"Macro",$H$5:$H$1000,"&gt;0"))/(COUNTIFS($S$5:$S$1000,$S264,$V$5:$V$1000,"Macro")*SUMIFS($H$5:$H$1000,$S$5:$S$1000,$S264,$V$5:$V$1000,"Macro")/COUNTIFS($S$5:$S$1000,$S264,$V$5:$V$1000,"Macro",$H$5:$H$1000,"&gt;0"))))</f>
        <v/>
      </c>
      <c r="AH264" s="62">
        <f>IF(NOT(AND($D264&lt;&gt;"",$V264="Macro")),"",IFERROR(CHOOSE(MATCH($D264,ListaPuestos,0),MATCH("[Jefatura] "&amp;$C264,'Cronograma R. Operacional'!$C$5:$C$1000,0),MATCH("[Jefatura] "&amp;$C264,'Cronograma R. Normativo'!$C$5:$C$1000,0),MATCH("[Jefatura] "&amp;$C264,'Cronograma R. Financiero'!$C$5:$C$1000,0),MATCH("[Jefatura] "&amp;$C264,'Cronograma Asistente Técnico'!$C$5:$C$1000,0)),0))</f>
        <v/>
      </c>
      <c r="AI264" s="62">
        <f>IF(AND(AND($D264&lt;&gt;"",$V264="Macro"),$S264=MesCiclo),COUNTIFS($D$5:$D264,$D264,$S$5:$S264,MesCiclo,$V$5:$V264,"Macro"),"")</f>
        <v/>
      </c>
      <c r="AJ264" s="62">
        <f>IF($AI264="","",$D264&amp;"|"&amp;$AI264)</f>
        <v/>
      </c>
      <c r="AK264" s="62">
        <f>IF(AND($D264&lt;&gt;"",$V264="Macro"),$D264&amp;"|"&amp;$C264,"")</f>
        <v/>
      </c>
      <c r="AL264" s="62">
        <f>""</f>
        <v/>
      </c>
      <c r="AM264" s="62">
        <f>IF(N($AL264)&gt;0,INDEX(rIni_ADM,$AL264),IF(ISNUMBER($E264),$E264,""))</f>
        <v/>
      </c>
      <c r="AN264" s="62">
        <f>IF(N($AL264)&gt;0,INDEX(rLim_ADM,$AL264),IF(ISNUMBER($F264),$F264,""))</f>
        <v/>
      </c>
    </row>
    <row r="265">
      <c r="A265" s="56">
        <f>IF(NOT((COUNTA($B265:$D265)+COUNTA($G265:$L265)+COUNTA($Q265))&gt;0),"",IF($V265="Macro",COUNTIFS($V$5:$V265,"Macro",$S$5:$S265,$S265),IF(N($U265)=0,"?",COUNTIFS(INDEX($V$5:$V$1000,1):INDEX($V$5:$V$1000,$U265-4),"Macro",INDEX($S$5:$S$1000,1):INDEX($S$5:$S$1000,$U265-4),INDEX($S$5:$S$1000,$U265-4))&amp;"."&amp;COUNTIFS($U$5:$U265,$U265,$V$5:$V265,"Sub"))))</f>
        <v/>
      </c>
      <c r="B265" s="57" t="n"/>
      <c r="C265" s="58" t="n"/>
      <c r="D265" s="58" t="n"/>
      <c r="E265" s="59" t="n"/>
      <c r="F265" s="59" t="n"/>
      <c r="G265" s="59" t="n"/>
      <c r="H265" s="60" t="n"/>
      <c r="I265" s="60" t="n"/>
      <c r="J265" s="60" t="n"/>
      <c r="K265" s="60" t="n"/>
      <c r="L265" s="60" t="n"/>
      <c r="M265" s="61">
        <f>IF(NOT((COUNTA($B265:$D265)+COUNTA($G265:$L265)+COUNTA($Q265))&gt;0),"",IF(AND($D265&lt;&gt;"",$V265="Macro"),IF(N($AH265)&gt;0,N(CHOOSE(MATCH($D265,ListaPuestos,0),INDEX('Cronograma R. Operacional'!$M$5:$M$1000,$AH265),INDEX('Cronograma R. Normativo'!$M$5:$M$1000,$AH265),INDEX('Cronograma R. Financiero'!$M$5:$M$1000,$AH265),INDEX('Cronograma Asistente Técnico'!$M$5:$M$1000,$AH265))),0),IF(ISNUMBER($G265),1,IF(N($W265)&gt;0,AVERAGEIFS($X$5:$X$1000,$U$5:$U$1000,ROW(),$V$5:$V$1000,"Sub"),$X265))))</f>
        <v/>
      </c>
      <c r="N265" s="56">
        <f>IF(OR($M265="",$V265="Sub"),"",IF($M265&gt;=1,"Completado",IF($M265&gt;0,"En curso","Pendiente")))</f>
        <v/>
      </c>
      <c r="O265" s="56">
        <f>IF(NOT((COUNTA($B265:$D265)+COUNTA($G265:$L265)+COUNTA($Q265))&gt;0),"",IF(AND(AND($D265&lt;&gt;"",$V265="Macro"),N($AH265)&gt;0),CHOOSE(MATCH($D265,ListaPuestos,0),INDEX('Cronograma R. Operacional'!$O$5:$O$1000,$AH265),INDEX('Cronograma R. Normativo'!$O$5:$O$1000,$AH265),INDEX('Cronograma R. Financiero'!$O$5:$O$1000,$AH265),INDEX('Cronograma Asistente Técnico'!$O$5:$O$1000,$AH265))&amp;"",IF(ISNUMBER($G265),IF(AND(ISNUMBER($AN265),$G265&gt;$AN265),"Cumplida con "&amp;($G265-$AN265)&amp;IF($G265-$AN265=1," día"," días")&amp;" de retraso","Cumplida"),IF(N($M265)&gt;=1,"Cumplida",IF(NOT(ISNUMBER($AN265)),"Sin fecha límite",IF($AN265&lt;FechaRef,"Vencida hace "&amp;(FechaRef-$AN265)&amp;IF(FechaRef-$AN265=1," día"," días"),IF($AN265=FechaRef,"Vence hoy",IF($AN265-FechaRef&lt;=DiasAlerta,"Vence en "&amp;($AN265-FechaRef)&amp;IF($AN265-FechaRef=1," día"," días"),"En plazo"))))))))</f>
        <v/>
      </c>
      <c r="P265" s="62">
        <f>IF(NOT((COUNTA($B265:$D265)+COUNTA($G265:$L265)+COUNTA($Q265))&gt;0),"",IF($D265="","Propia",IF($V265&lt;&gt;"Macro","Solo se delegan macroactividades",IF(N($AH265)&gt;0,"✔ Recibida por "&amp;$D265,"⚠ "&amp;$D265&amp;" aún no la agrega"))))</f>
        <v/>
      </c>
      <c r="Q265" s="58" t="n"/>
      <c r="R265" s="63">
        <f>IF(NOT((COUNTA($B265:$D265)+COUNTA($G265:$L265)+COUNTA($Q265))&gt;0),"",IF((IF($C265="","Falta el nombre de la actividad"&amp;" · ","")&amp;IF(AND($V265="Sub",N($U265)=0),"Subactividad sin macroactividad arriba"&amp;" · ","")&amp;IF($AM265="","Sin fecha de inicio"&amp;" · ","")&amp;IF($AN265="","Sin fecha límite"&amp;" · ","")&amp;IF(AND(LEFT($C265,11)="[Jefatura] ",N($AL265)=0),"No se encuentra en la hoja de la jefatura (elíjala de nuevo en la lista)"&amp;" · ","")&amp;IF(OR(AND($E265&lt;&gt;"",NOT(ISNUMBER($E265))),AND($F265&lt;&gt;"",NOT(ISNUMBER($F265))),AND($G265&lt;&gt;"",NOT(ISNUMBER($G265)))),"Fecha no válida"&amp;" · ","")&amp;IF(AND(ISNUMBER($AM265),ISNUMBER($AN265),$AM265&gt;$AN265),"Inicio posterior a fecha límite"&amp;" · ","")&amp;IF(AND($V265="Macro",$H265&lt;&gt;"",OR(NOT(ISNUMBER($H265)),$H265&lt;0,$H265&gt;1)),"Peso fuera de rango"&amp;" · ","")&amp;IF(AND($V265="Sub",$H265&lt;&gt;""),"Las subactividades no llevan peso (valen igual dentro de su macroactividad)"&amp;" · ","")&amp;IF(AND(N($W265)&gt;0,COUNT($I265:$L265)&gt;0),"Con subactividades: deje vacías las semanas (se calculan solas)"&amp;" · ","")&amp;IF((COUNTIF($I265:$L265,"&gt;1")+COUNTIF($I265:$L265,"&lt;0")+COUNTA($I265:$L265)-COUNT($I265:$L265))&gt;0,"Avance fuera de rango 0-100%"&amp;" · ","")&amp;IF(OR(AND($J265&lt;&gt;"",$J265&lt;$I265),AND($K265&lt;&gt;"",$K265&lt;MAX($I265:$J265)),AND($L265&lt;&gt;"",$L265&lt;MAX($I265:$K265))),"Avance semanal decreciente"&amp;" · ","")&amp;IF(AND(ISNUMBER($AN265),$AN265&lt;FechaRef,IF($V265="Sub",N($X265),N($M265))&lt;1),"Vencida"&amp;" · ","")&amp;IF(AND(ObsObligatoria="Sí",ISNUMBER($AN265),$AN265&lt;FechaRef,IF($V265="Sub",N($X265),N($M265))&lt;1,$Q265=""),"Vencida sin observación"&amp;" · ",""))="","✔ OK","⚠ "&amp;LEFT(IF($C265="","Falta el nombre de la actividad"&amp;" · ","")&amp;IF(AND($V265="Sub",N($U265)=0),"Subactividad sin macroactividad arriba"&amp;" · ","")&amp;IF($AM265="","Sin fecha de inicio"&amp;" · ","")&amp;IF($AN265="","Sin fecha límite"&amp;" · ","")&amp;IF(AND(LEFT($C265,11)="[Jefatura] ",N($AL265)=0),"No se encuentra en la hoja de la jefatura (elíjala de nuevo en la lista)"&amp;" · ","")&amp;IF(OR(AND($E265&lt;&gt;"",NOT(ISNUMBER($E265))),AND($F265&lt;&gt;"",NOT(ISNUMBER($F265))),AND($G265&lt;&gt;"",NOT(ISNUMBER($G265)))),"Fecha no válida"&amp;" · ","")&amp;IF(AND(ISNUMBER($AM265),ISNUMBER($AN265),$AM265&gt;$AN265),"Inicio posterior a fecha límite"&amp;" · ","")&amp;IF(AND($V265="Macro",$H265&lt;&gt;"",OR(NOT(ISNUMBER($H265)),$H265&lt;0,$H265&gt;1)),"Peso fuera de rango"&amp;" · ","")&amp;IF(AND($V265="Sub",$H265&lt;&gt;""),"Las subactividades no llevan peso (valen igual dentro de su macroactividad)"&amp;" · ","")&amp;IF(AND(N($W265)&gt;0,COUNT($I265:$L265)&gt;0),"Con subactividades: deje vacías las semanas (se calculan solas)"&amp;" · ","")&amp;IF((COUNTIF($I265:$L265,"&gt;1")+COUNTIF($I265:$L265,"&lt;0")+COUNTA($I265:$L265)-COUNT($I265:$L265))&gt;0,"Avance fuera de rango 0-100%"&amp;" · ","")&amp;IF(OR(AND($J265&lt;&gt;"",$J265&lt;$I265),AND($K265&lt;&gt;"",$K265&lt;MAX($I265:$J265)),AND($L265&lt;&gt;"",$L265&lt;MAX($I265:$K265))),"Avance semanal decreciente"&amp;" · ","")&amp;IF(AND(ISNUMBER($AN265),$AN265&lt;FechaRef,IF($V265="Sub",N($X265),N($M265))&lt;1),"Vencida"&amp;" · ","")&amp;IF(AND(ObsObligatoria="Sí",ISNUMBER($AN265),$AN265&lt;FechaRef,IF($V265="Sub",N($X265),N($M265))&lt;1,$Q265=""),"Vencida sin observación"&amp;" · ",""),LEN(IF($C265="","Falta el nombre de la actividad"&amp;" · ","")&amp;IF(AND($V265="Sub",N($U265)=0),"Subactividad sin macroactividad arriba"&amp;" · ","")&amp;IF($AM265="","Sin fecha de inicio"&amp;" · ","")&amp;IF($AN265="","Sin fecha límite"&amp;" · ","")&amp;IF(AND(LEFT($C265,11)="[Jefatura] ",N($AL265)=0),"No se encuentra en la hoja de la jefatura (elíjala de nuevo en la lista)"&amp;" · ","")&amp;IF(OR(AND($E265&lt;&gt;"",NOT(ISNUMBER($E265))),AND($F265&lt;&gt;"",NOT(ISNUMBER($F265))),AND($G265&lt;&gt;"",NOT(ISNUMBER($G265)))),"Fecha no válida"&amp;" · ","")&amp;IF(AND(ISNUMBER($AM265),ISNUMBER($AN265),$AM265&gt;$AN265),"Inicio posterior a fecha límite"&amp;" · ","")&amp;IF(AND($V265="Macro",$H265&lt;&gt;"",OR(NOT(ISNUMBER($H265)),$H265&lt;0,$H265&gt;1)),"Peso fuera de rango"&amp;" · ","")&amp;IF(AND($V265="Sub",$H265&lt;&gt;""),"Las subactividades no llevan peso (valen igual dentro de su macroactividad)"&amp;" · ","")&amp;IF(AND(N($W265)&gt;0,COUNT($I265:$L265)&gt;0),"Con subactividades: deje vacías las semanas (se calculan solas)"&amp;" · ","")&amp;IF((COUNTIF($I265:$L265,"&gt;1")+COUNTIF($I265:$L265,"&lt;0")+COUNTA($I265:$L265)-COUNT($I265:$L265))&gt;0,"Avance fuera de rango 0-100%"&amp;" · ","")&amp;IF(OR(AND($J265&lt;&gt;"",$J265&lt;$I265),AND($K265&lt;&gt;"",$K265&lt;MAX($I265:$J265)),AND($L265&lt;&gt;"",$L265&lt;MAX($I265:$K265))),"Avance semanal decreciente"&amp;" · ","")&amp;IF(AND(ISNUMBER($AN265),$AN265&lt;FechaRef,IF($V265="Sub",N($X265),N($M265))&lt;1),"Vencida"&amp;" · ","")&amp;IF(AND(ObsObligatoria="Sí",ISNUMBER($AN265),$AN265&lt;FechaRef,IF($V265="Sub",N($X265),N($M265))&lt;1,$Q265=""),"Vencida sin observación"&amp;" · ",""))-3)))</f>
        <v/>
      </c>
      <c r="S265" s="64">
        <f>IF(NOT((COUNTA($B265:$D265)+COUNTA($G265:$L265)+COUNTA($Q265))&gt;0),"",IF(AND($V265="Sub",N($U265)&gt;0),IF(ISNUMBER(INDEX($AM$5:$AM$1000,$U265-4)),DATE(YEAR(INDEX($AM$5:$AM$1000,$U265-4)),MONTH(INDEX($AM$5:$AM$1000,$U265-4)),1),IF(ISNUMBER(INDEX($AN$5:$AN$1000,$U265-4)),DATE(YEAR(INDEX($AN$5:$AN$1000,$U265-4)),MONTH(INDEX($AN$5:$AN$1000,$U265-4)),1),MesCiclo)),IF(ISNUMBER($AM265),DATE(YEAR($AM265),MONTH($AM265),1),IF(ISNUMBER($AN265),DATE(YEAR($AN265),MONTH($AN265),1),MesCiclo))))</f>
        <v/>
      </c>
      <c r="T265" s="62">
        <f>IF(OR($S265="",$S265&lt;&gt;MesCiclo,$V265&lt;&gt;"Macro"),"",COUNTIFS($S$5:$S265,MesCiclo,$V$5:$V265,"Macro"))</f>
        <v/>
      </c>
      <c r="U265" s="62">
        <f>IF($V265="","",IF($V265="Macro",ROW(),IFERROR(LOOKUP(2,1/($V$5:$V265="Macro"),ROW($V$5:$V265)),0)))</f>
        <v/>
      </c>
      <c r="V265" s="62">
        <f>IF(NOT((COUNTA($B265:$D265)+COUNTA($G265:$L265)+COUNTA($Q265))&gt;0),"",IF($B265="Subactividad","Sub","Macro"))</f>
        <v/>
      </c>
      <c r="W265" s="62">
        <f>IF($V265="Macro",COUNTIFS($U$5:$U$1000,ROW(),$V$5:$V$1000,"Sub"),"")</f>
        <v/>
      </c>
      <c r="X265" s="62">
        <f>IF($V265="","",IF(ISNUMBER($G265),1,IFERROR(LOOKUP(2,1/($I265:$L265&lt;&gt;""),$I265:$L265),0)))</f>
        <v/>
      </c>
      <c r="Y265" s="62">
        <f>IF($V265="","",IF(AND(ISNUMBER($G265),$G265&lt;=IF($S265=MesCiclo,InicioCiclo,$S265+MOD(2-WEEKDAY($S265),7))+6),1,IF(ISNUMBER($I265),$I265,0)))</f>
        <v/>
      </c>
      <c r="Z265" s="62">
        <f>IF($V265="","",IF(AND(ISNUMBER($G265),$G265&lt;=IF($S265=MesCiclo,InicioCiclo,$S265+MOD(2-WEEKDAY($S265),7))+13),1,IF(ISNUMBER($J265),$J265,$Y265)))</f>
        <v/>
      </c>
      <c r="AA265" s="62">
        <f>IF($V265="","",IF(AND(ISNUMBER($G265),$G265&lt;=IF($S265=MesCiclo,InicioCiclo,$S265+MOD(2-WEEKDAY($S265),7))+20),1,IF(ISNUMBER($K265),$K265,$Z265)))</f>
        <v/>
      </c>
      <c r="AB265" s="62">
        <f>IF($V265="","",IF(AND(ISNUMBER($G265),$G265&lt;=IF($S265=MesCiclo,InicioCiclo,$S265+MOD(2-WEEKDAY($S265),7))+27),1,IF(ISNUMBER($L265),$L265,$AA265)))</f>
        <v/>
      </c>
      <c r="AC265" s="62">
        <f>IF($V265="","",IF(AND(ISNUMBER($G265),$G265&lt;=IF($S265=MesCiclo,InicioCiclo,$S265+MOD(2-WEEKDAY($S265),7))+6),1,IF(N($W265)&gt;0,AVERAGEIFS($Y$5:$Y$1000,$U$5:$U$1000,ROW(),$V$5:$V$1000,"Sub"),$Y265)))</f>
        <v/>
      </c>
      <c r="AD265" s="62">
        <f>IF($V265="","",IF(AND(ISNUMBER($G265),$G265&lt;=IF($S265=MesCiclo,InicioCiclo,$S265+MOD(2-WEEKDAY($S265),7))+13),1,IF(N($W265)&gt;0,AVERAGEIFS($Z$5:$Z$1000,$U$5:$U$1000,ROW(),$V$5:$V$1000,"Sub"),$Z265)))</f>
        <v/>
      </c>
      <c r="AE265" s="62">
        <f>IF($V265="","",IF(AND(ISNUMBER($G265),$G265&lt;=IF($S265=MesCiclo,InicioCiclo,$S265+MOD(2-WEEKDAY($S265),7))+20),1,IF(N($W265)&gt;0,AVERAGEIFS($AA$5:$AA$1000,$U$5:$U$1000,ROW(),$V$5:$V$1000,"Sub"),$AA265)))</f>
        <v/>
      </c>
      <c r="AF265" s="62">
        <f>IF($V265="","",IF(AND(ISNUMBER($G265),$G265&lt;=IF($S265=MesCiclo,InicioCiclo,$S265+MOD(2-WEEKDAY($S265),7))+27),1,IF(N($W265)&gt;0,AVERAGEIFS($AB$5:$AB$1000,$U$5:$U$1000,ROW(),$V$5:$V$1000,"Sub"),$AB265)))</f>
        <v/>
      </c>
      <c r="AG265" s="62">
        <f>IF($V265&lt;&gt;"Macro","",IF(COUNTIFS($S$5:$S$1000,$S265,$V$5:$V$1000,"Macro",$H$5:$H$1000,"&gt;0")=0,1/COUNTIFS($S$5:$S$1000,$S265,$V$5:$V$1000,"Macro"),IF(AND(ISNUMBER($H265),N($H265)&gt;0),$H265,SUMIFS($H$5:$H$1000,$S$5:$S$1000,$S265,$V$5:$V$1000,"Macro")/COUNTIFS($S$5:$S$1000,$S265,$V$5:$V$1000,"Macro",$H$5:$H$1000,"&gt;0"))/(COUNTIFS($S$5:$S$1000,$S265,$V$5:$V$1000,"Macro")*SUMIFS($H$5:$H$1000,$S$5:$S$1000,$S265,$V$5:$V$1000,"Macro")/COUNTIFS($S$5:$S$1000,$S265,$V$5:$V$1000,"Macro",$H$5:$H$1000,"&gt;0"))))</f>
        <v/>
      </c>
      <c r="AH265" s="62">
        <f>IF(NOT(AND($D265&lt;&gt;"",$V265="Macro")),"",IFERROR(CHOOSE(MATCH($D265,ListaPuestos,0),MATCH("[Jefatura] "&amp;$C265,'Cronograma R. Operacional'!$C$5:$C$1000,0),MATCH("[Jefatura] "&amp;$C265,'Cronograma R. Normativo'!$C$5:$C$1000,0),MATCH("[Jefatura] "&amp;$C265,'Cronograma R. Financiero'!$C$5:$C$1000,0),MATCH("[Jefatura] "&amp;$C265,'Cronograma Asistente Técnico'!$C$5:$C$1000,0)),0))</f>
        <v/>
      </c>
      <c r="AI265" s="62">
        <f>IF(AND(AND($D265&lt;&gt;"",$V265="Macro"),$S265=MesCiclo),COUNTIFS($D$5:$D265,$D265,$S$5:$S265,MesCiclo,$V$5:$V265,"Macro"),"")</f>
        <v/>
      </c>
      <c r="AJ265" s="62">
        <f>IF($AI265="","",$D265&amp;"|"&amp;$AI265)</f>
        <v/>
      </c>
      <c r="AK265" s="62">
        <f>IF(AND($D265&lt;&gt;"",$V265="Macro"),$D265&amp;"|"&amp;$C265,"")</f>
        <v/>
      </c>
      <c r="AL265" s="62">
        <f>""</f>
        <v/>
      </c>
      <c r="AM265" s="62">
        <f>IF(N($AL265)&gt;0,INDEX(rIni_ADM,$AL265),IF(ISNUMBER($E265),$E265,""))</f>
        <v/>
      </c>
      <c r="AN265" s="62">
        <f>IF(N($AL265)&gt;0,INDEX(rLim_ADM,$AL265),IF(ISNUMBER($F265),$F265,""))</f>
        <v/>
      </c>
    </row>
    <row r="266">
      <c r="A266" s="56">
        <f>IF(NOT((COUNTA($B266:$D266)+COUNTA($G266:$L266)+COUNTA($Q266))&gt;0),"",IF($V266="Macro",COUNTIFS($V$5:$V266,"Macro",$S$5:$S266,$S266),IF(N($U266)=0,"?",COUNTIFS(INDEX($V$5:$V$1000,1):INDEX($V$5:$V$1000,$U266-4),"Macro",INDEX($S$5:$S$1000,1):INDEX($S$5:$S$1000,$U266-4),INDEX($S$5:$S$1000,$U266-4))&amp;"."&amp;COUNTIFS($U$5:$U266,$U266,$V$5:$V266,"Sub"))))</f>
        <v/>
      </c>
      <c r="B266" s="57" t="n"/>
      <c r="C266" s="58" t="n"/>
      <c r="D266" s="58" t="n"/>
      <c r="E266" s="59" t="n"/>
      <c r="F266" s="59" t="n"/>
      <c r="G266" s="59" t="n"/>
      <c r="H266" s="60" t="n"/>
      <c r="I266" s="60" t="n"/>
      <c r="J266" s="60" t="n"/>
      <c r="K266" s="60" t="n"/>
      <c r="L266" s="60" t="n"/>
      <c r="M266" s="61">
        <f>IF(NOT((COUNTA($B266:$D266)+COUNTA($G266:$L266)+COUNTA($Q266))&gt;0),"",IF(AND($D266&lt;&gt;"",$V266="Macro"),IF(N($AH266)&gt;0,N(CHOOSE(MATCH($D266,ListaPuestos,0),INDEX('Cronograma R. Operacional'!$M$5:$M$1000,$AH266),INDEX('Cronograma R. Normativo'!$M$5:$M$1000,$AH266),INDEX('Cronograma R. Financiero'!$M$5:$M$1000,$AH266),INDEX('Cronograma Asistente Técnico'!$M$5:$M$1000,$AH266))),0),IF(ISNUMBER($G266),1,IF(N($W266)&gt;0,AVERAGEIFS($X$5:$X$1000,$U$5:$U$1000,ROW(),$V$5:$V$1000,"Sub"),$X266))))</f>
        <v/>
      </c>
      <c r="N266" s="56">
        <f>IF(OR($M266="",$V266="Sub"),"",IF($M266&gt;=1,"Completado",IF($M266&gt;0,"En curso","Pendiente")))</f>
        <v/>
      </c>
      <c r="O266" s="56">
        <f>IF(NOT((COUNTA($B266:$D266)+COUNTA($G266:$L266)+COUNTA($Q266))&gt;0),"",IF(AND(AND($D266&lt;&gt;"",$V266="Macro"),N($AH266)&gt;0),CHOOSE(MATCH($D266,ListaPuestos,0),INDEX('Cronograma R. Operacional'!$O$5:$O$1000,$AH266),INDEX('Cronograma R. Normativo'!$O$5:$O$1000,$AH266),INDEX('Cronograma R. Financiero'!$O$5:$O$1000,$AH266),INDEX('Cronograma Asistente Técnico'!$O$5:$O$1000,$AH266))&amp;"",IF(ISNUMBER($G266),IF(AND(ISNUMBER($AN266),$G266&gt;$AN266),"Cumplida con "&amp;($G266-$AN266)&amp;IF($G266-$AN266=1," día"," días")&amp;" de retraso","Cumplida"),IF(N($M266)&gt;=1,"Cumplida",IF(NOT(ISNUMBER($AN266)),"Sin fecha límite",IF($AN266&lt;FechaRef,"Vencida hace "&amp;(FechaRef-$AN266)&amp;IF(FechaRef-$AN266=1," día"," días"),IF($AN266=FechaRef,"Vence hoy",IF($AN266-FechaRef&lt;=DiasAlerta,"Vence en "&amp;($AN266-FechaRef)&amp;IF($AN266-FechaRef=1," día"," días"),"En plazo"))))))))</f>
        <v/>
      </c>
      <c r="P266" s="62">
        <f>IF(NOT((COUNTA($B266:$D266)+COUNTA($G266:$L266)+COUNTA($Q266))&gt;0),"",IF($D266="","Propia",IF($V266&lt;&gt;"Macro","Solo se delegan macroactividades",IF(N($AH266)&gt;0,"✔ Recibida por "&amp;$D266,"⚠ "&amp;$D266&amp;" aún no la agrega"))))</f>
        <v/>
      </c>
      <c r="Q266" s="58" t="n"/>
      <c r="R266" s="63">
        <f>IF(NOT((COUNTA($B266:$D266)+COUNTA($G266:$L266)+COUNTA($Q266))&gt;0),"",IF((IF($C266="","Falta el nombre de la actividad"&amp;" · ","")&amp;IF(AND($V266="Sub",N($U266)=0),"Subactividad sin macroactividad arriba"&amp;" · ","")&amp;IF($AM266="","Sin fecha de inicio"&amp;" · ","")&amp;IF($AN266="","Sin fecha límite"&amp;" · ","")&amp;IF(AND(LEFT($C266,11)="[Jefatura] ",N($AL266)=0),"No se encuentra en la hoja de la jefatura (elíjala de nuevo en la lista)"&amp;" · ","")&amp;IF(OR(AND($E266&lt;&gt;"",NOT(ISNUMBER($E266))),AND($F266&lt;&gt;"",NOT(ISNUMBER($F266))),AND($G266&lt;&gt;"",NOT(ISNUMBER($G266)))),"Fecha no válida"&amp;" · ","")&amp;IF(AND(ISNUMBER($AM266),ISNUMBER($AN266),$AM266&gt;$AN266),"Inicio posterior a fecha límite"&amp;" · ","")&amp;IF(AND($V266="Macro",$H266&lt;&gt;"",OR(NOT(ISNUMBER($H266)),$H266&lt;0,$H266&gt;1)),"Peso fuera de rango"&amp;" · ","")&amp;IF(AND($V266="Sub",$H266&lt;&gt;""),"Las subactividades no llevan peso (valen igual dentro de su macroactividad)"&amp;" · ","")&amp;IF(AND(N($W266)&gt;0,COUNT($I266:$L266)&gt;0),"Con subactividades: deje vacías las semanas (se calculan solas)"&amp;" · ","")&amp;IF((COUNTIF($I266:$L266,"&gt;1")+COUNTIF($I266:$L266,"&lt;0")+COUNTA($I266:$L266)-COUNT($I266:$L266))&gt;0,"Avance fuera de rango 0-100%"&amp;" · ","")&amp;IF(OR(AND($J266&lt;&gt;"",$J266&lt;$I266),AND($K266&lt;&gt;"",$K266&lt;MAX($I266:$J266)),AND($L266&lt;&gt;"",$L266&lt;MAX($I266:$K266))),"Avance semanal decreciente"&amp;" · ","")&amp;IF(AND(ISNUMBER($AN266),$AN266&lt;FechaRef,IF($V266="Sub",N($X266),N($M266))&lt;1),"Vencida"&amp;" · ","")&amp;IF(AND(ObsObligatoria="Sí",ISNUMBER($AN266),$AN266&lt;FechaRef,IF($V266="Sub",N($X266),N($M266))&lt;1,$Q266=""),"Vencida sin observación"&amp;" · ",""))="","✔ OK","⚠ "&amp;LEFT(IF($C266="","Falta el nombre de la actividad"&amp;" · ","")&amp;IF(AND($V266="Sub",N($U266)=0),"Subactividad sin macroactividad arriba"&amp;" · ","")&amp;IF($AM266="","Sin fecha de inicio"&amp;" · ","")&amp;IF($AN266="","Sin fecha límite"&amp;" · ","")&amp;IF(AND(LEFT($C266,11)="[Jefatura] ",N($AL266)=0),"No se encuentra en la hoja de la jefatura (elíjala de nuevo en la lista)"&amp;" · ","")&amp;IF(OR(AND($E266&lt;&gt;"",NOT(ISNUMBER($E266))),AND($F266&lt;&gt;"",NOT(ISNUMBER($F266))),AND($G266&lt;&gt;"",NOT(ISNUMBER($G266)))),"Fecha no válida"&amp;" · ","")&amp;IF(AND(ISNUMBER($AM266),ISNUMBER($AN266),$AM266&gt;$AN266),"Inicio posterior a fecha límite"&amp;" · ","")&amp;IF(AND($V266="Macro",$H266&lt;&gt;"",OR(NOT(ISNUMBER($H266)),$H266&lt;0,$H266&gt;1)),"Peso fuera de rango"&amp;" · ","")&amp;IF(AND($V266="Sub",$H266&lt;&gt;""),"Las subactividades no llevan peso (valen igual dentro de su macroactividad)"&amp;" · ","")&amp;IF(AND(N($W266)&gt;0,COUNT($I266:$L266)&gt;0),"Con subactividades: deje vacías las semanas (se calculan solas)"&amp;" · ","")&amp;IF((COUNTIF($I266:$L266,"&gt;1")+COUNTIF($I266:$L266,"&lt;0")+COUNTA($I266:$L266)-COUNT($I266:$L266))&gt;0,"Avance fuera de rango 0-100%"&amp;" · ","")&amp;IF(OR(AND($J266&lt;&gt;"",$J266&lt;$I266),AND($K266&lt;&gt;"",$K266&lt;MAX($I266:$J266)),AND($L266&lt;&gt;"",$L266&lt;MAX($I266:$K266))),"Avance semanal decreciente"&amp;" · ","")&amp;IF(AND(ISNUMBER($AN266),$AN266&lt;FechaRef,IF($V266="Sub",N($X266),N($M266))&lt;1),"Vencida"&amp;" · ","")&amp;IF(AND(ObsObligatoria="Sí",ISNUMBER($AN266),$AN266&lt;FechaRef,IF($V266="Sub",N($X266),N($M266))&lt;1,$Q266=""),"Vencida sin observación"&amp;" · ",""),LEN(IF($C266="","Falta el nombre de la actividad"&amp;" · ","")&amp;IF(AND($V266="Sub",N($U266)=0),"Subactividad sin macroactividad arriba"&amp;" · ","")&amp;IF($AM266="","Sin fecha de inicio"&amp;" · ","")&amp;IF($AN266="","Sin fecha límite"&amp;" · ","")&amp;IF(AND(LEFT($C266,11)="[Jefatura] ",N($AL266)=0),"No se encuentra en la hoja de la jefatura (elíjala de nuevo en la lista)"&amp;" · ","")&amp;IF(OR(AND($E266&lt;&gt;"",NOT(ISNUMBER($E266))),AND($F266&lt;&gt;"",NOT(ISNUMBER($F266))),AND($G266&lt;&gt;"",NOT(ISNUMBER($G266)))),"Fecha no válida"&amp;" · ","")&amp;IF(AND(ISNUMBER($AM266),ISNUMBER($AN266),$AM266&gt;$AN266),"Inicio posterior a fecha límite"&amp;" · ","")&amp;IF(AND($V266="Macro",$H266&lt;&gt;"",OR(NOT(ISNUMBER($H266)),$H266&lt;0,$H266&gt;1)),"Peso fuera de rango"&amp;" · ","")&amp;IF(AND($V266="Sub",$H266&lt;&gt;""),"Las subactividades no llevan peso (valen igual dentro de su macroactividad)"&amp;" · ","")&amp;IF(AND(N($W266)&gt;0,COUNT($I266:$L266)&gt;0),"Con subactividades: deje vacías las semanas (se calculan solas)"&amp;" · ","")&amp;IF((COUNTIF($I266:$L266,"&gt;1")+COUNTIF($I266:$L266,"&lt;0")+COUNTA($I266:$L266)-COUNT($I266:$L266))&gt;0,"Avance fuera de rango 0-100%"&amp;" · ","")&amp;IF(OR(AND($J266&lt;&gt;"",$J266&lt;$I266),AND($K266&lt;&gt;"",$K266&lt;MAX($I266:$J266)),AND($L266&lt;&gt;"",$L266&lt;MAX($I266:$K266))),"Avance semanal decreciente"&amp;" · ","")&amp;IF(AND(ISNUMBER($AN266),$AN266&lt;FechaRef,IF($V266="Sub",N($X266),N($M266))&lt;1),"Vencida"&amp;" · ","")&amp;IF(AND(ObsObligatoria="Sí",ISNUMBER($AN266),$AN266&lt;FechaRef,IF($V266="Sub",N($X266),N($M266))&lt;1,$Q266=""),"Vencida sin observación"&amp;" · ",""))-3)))</f>
        <v/>
      </c>
      <c r="S266" s="64">
        <f>IF(NOT((COUNTA($B266:$D266)+COUNTA($G266:$L266)+COUNTA($Q266))&gt;0),"",IF(AND($V266="Sub",N($U266)&gt;0),IF(ISNUMBER(INDEX($AM$5:$AM$1000,$U266-4)),DATE(YEAR(INDEX($AM$5:$AM$1000,$U266-4)),MONTH(INDEX($AM$5:$AM$1000,$U266-4)),1),IF(ISNUMBER(INDEX($AN$5:$AN$1000,$U266-4)),DATE(YEAR(INDEX($AN$5:$AN$1000,$U266-4)),MONTH(INDEX($AN$5:$AN$1000,$U266-4)),1),MesCiclo)),IF(ISNUMBER($AM266),DATE(YEAR($AM266),MONTH($AM266),1),IF(ISNUMBER($AN266),DATE(YEAR($AN266),MONTH($AN266),1),MesCiclo))))</f>
        <v/>
      </c>
      <c r="T266" s="62">
        <f>IF(OR($S266="",$S266&lt;&gt;MesCiclo,$V266&lt;&gt;"Macro"),"",COUNTIFS($S$5:$S266,MesCiclo,$V$5:$V266,"Macro"))</f>
        <v/>
      </c>
      <c r="U266" s="62">
        <f>IF($V266="","",IF($V266="Macro",ROW(),IFERROR(LOOKUP(2,1/($V$5:$V266="Macro"),ROW($V$5:$V266)),0)))</f>
        <v/>
      </c>
      <c r="V266" s="62">
        <f>IF(NOT((COUNTA($B266:$D266)+COUNTA($G266:$L266)+COUNTA($Q266))&gt;0),"",IF($B266="Subactividad","Sub","Macro"))</f>
        <v/>
      </c>
      <c r="W266" s="62">
        <f>IF($V266="Macro",COUNTIFS($U$5:$U$1000,ROW(),$V$5:$V$1000,"Sub"),"")</f>
        <v/>
      </c>
      <c r="X266" s="62">
        <f>IF($V266="","",IF(ISNUMBER($G266),1,IFERROR(LOOKUP(2,1/($I266:$L266&lt;&gt;""),$I266:$L266),0)))</f>
        <v/>
      </c>
      <c r="Y266" s="62">
        <f>IF($V266="","",IF(AND(ISNUMBER($G266),$G266&lt;=IF($S266=MesCiclo,InicioCiclo,$S266+MOD(2-WEEKDAY($S266),7))+6),1,IF(ISNUMBER($I266),$I266,0)))</f>
        <v/>
      </c>
      <c r="Z266" s="62">
        <f>IF($V266="","",IF(AND(ISNUMBER($G266),$G266&lt;=IF($S266=MesCiclo,InicioCiclo,$S266+MOD(2-WEEKDAY($S266),7))+13),1,IF(ISNUMBER($J266),$J266,$Y266)))</f>
        <v/>
      </c>
      <c r="AA266" s="62">
        <f>IF($V266="","",IF(AND(ISNUMBER($G266),$G266&lt;=IF($S266=MesCiclo,InicioCiclo,$S266+MOD(2-WEEKDAY($S266),7))+20),1,IF(ISNUMBER($K266),$K266,$Z266)))</f>
        <v/>
      </c>
      <c r="AB266" s="62">
        <f>IF($V266="","",IF(AND(ISNUMBER($G266),$G266&lt;=IF($S266=MesCiclo,InicioCiclo,$S266+MOD(2-WEEKDAY($S266),7))+27),1,IF(ISNUMBER($L266),$L266,$AA266)))</f>
        <v/>
      </c>
      <c r="AC266" s="62">
        <f>IF($V266="","",IF(AND(ISNUMBER($G266),$G266&lt;=IF($S266=MesCiclo,InicioCiclo,$S266+MOD(2-WEEKDAY($S266),7))+6),1,IF(N($W266)&gt;0,AVERAGEIFS($Y$5:$Y$1000,$U$5:$U$1000,ROW(),$V$5:$V$1000,"Sub"),$Y266)))</f>
        <v/>
      </c>
      <c r="AD266" s="62">
        <f>IF($V266="","",IF(AND(ISNUMBER($G266),$G266&lt;=IF($S266=MesCiclo,InicioCiclo,$S266+MOD(2-WEEKDAY($S266),7))+13),1,IF(N($W266)&gt;0,AVERAGEIFS($Z$5:$Z$1000,$U$5:$U$1000,ROW(),$V$5:$V$1000,"Sub"),$Z266)))</f>
        <v/>
      </c>
      <c r="AE266" s="62">
        <f>IF($V266="","",IF(AND(ISNUMBER($G266),$G266&lt;=IF($S266=MesCiclo,InicioCiclo,$S266+MOD(2-WEEKDAY($S266),7))+20),1,IF(N($W266)&gt;0,AVERAGEIFS($AA$5:$AA$1000,$U$5:$U$1000,ROW(),$V$5:$V$1000,"Sub"),$AA266)))</f>
        <v/>
      </c>
      <c r="AF266" s="62">
        <f>IF($V266="","",IF(AND(ISNUMBER($G266),$G266&lt;=IF($S266=MesCiclo,InicioCiclo,$S266+MOD(2-WEEKDAY($S266),7))+27),1,IF(N($W266)&gt;0,AVERAGEIFS($AB$5:$AB$1000,$U$5:$U$1000,ROW(),$V$5:$V$1000,"Sub"),$AB266)))</f>
        <v/>
      </c>
      <c r="AG266" s="62">
        <f>IF($V266&lt;&gt;"Macro","",IF(COUNTIFS($S$5:$S$1000,$S266,$V$5:$V$1000,"Macro",$H$5:$H$1000,"&gt;0")=0,1/COUNTIFS($S$5:$S$1000,$S266,$V$5:$V$1000,"Macro"),IF(AND(ISNUMBER($H266),N($H266)&gt;0),$H266,SUMIFS($H$5:$H$1000,$S$5:$S$1000,$S266,$V$5:$V$1000,"Macro")/COUNTIFS($S$5:$S$1000,$S266,$V$5:$V$1000,"Macro",$H$5:$H$1000,"&gt;0"))/(COUNTIFS($S$5:$S$1000,$S266,$V$5:$V$1000,"Macro")*SUMIFS($H$5:$H$1000,$S$5:$S$1000,$S266,$V$5:$V$1000,"Macro")/COUNTIFS($S$5:$S$1000,$S266,$V$5:$V$1000,"Macro",$H$5:$H$1000,"&gt;0"))))</f>
        <v/>
      </c>
      <c r="AH266" s="62">
        <f>IF(NOT(AND($D266&lt;&gt;"",$V266="Macro")),"",IFERROR(CHOOSE(MATCH($D266,ListaPuestos,0),MATCH("[Jefatura] "&amp;$C266,'Cronograma R. Operacional'!$C$5:$C$1000,0),MATCH("[Jefatura] "&amp;$C266,'Cronograma R. Normativo'!$C$5:$C$1000,0),MATCH("[Jefatura] "&amp;$C266,'Cronograma R. Financiero'!$C$5:$C$1000,0),MATCH("[Jefatura] "&amp;$C266,'Cronograma Asistente Técnico'!$C$5:$C$1000,0)),0))</f>
        <v/>
      </c>
      <c r="AI266" s="62">
        <f>IF(AND(AND($D266&lt;&gt;"",$V266="Macro"),$S266=MesCiclo),COUNTIFS($D$5:$D266,$D266,$S$5:$S266,MesCiclo,$V$5:$V266,"Macro"),"")</f>
        <v/>
      </c>
      <c r="AJ266" s="62">
        <f>IF($AI266="","",$D266&amp;"|"&amp;$AI266)</f>
        <v/>
      </c>
      <c r="AK266" s="62">
        <f>IF(AND($D266&lt;&gt;"",$V266="Macro"),$D266&amp;"|"&amp;$C266,"")</f>
        <v/>
      </c>
      <c r="AL266" s="62">
        <f>""</f>
        <v/>
      </c>
      <c r="AM266" s="62">
        <f>IF(N($AL266)&gt;0,INDEX(rIni_ADM,$AL266),IF(ISNUMBER($E266),$E266,""))</f>
        <v/>
      </c>
      <c r="AN266" s="62">
        <f>IF(N($AL266)&gt;0,INDEX(rLim_ADM,$AL266),IF(ISNUMBER($F266),$F266,""))</f>
        <v/>
      </c>
    </row>
    <row r="267">
      <c r="A267" s="56">
        <f>IF(NOT((COUNTA($B267:$D267)+COUNTA($G267:$L267)+COUNTA($Q267))&gt;0),"",IF($V267="Macro",COUNTIFS($V$5:$V267,"Macro",$S$5:$S267,$S267),IF(N($U267)=0,"?",COUNTIFS(INDEX($V$5:$V$1000,1):INDEX($V$5:$V$1000,$U267-4),"Macro",INDEX($S$5:$S$1000,1):INDEX($S$5:$S$1000,$U267-4),INDEX($S$5:$S$1000,$U267-4))&amp;"."&amp;COUNTIFS($U$5:$U267,$U267,$V$5:$V267,"Sub"))))</f>
        <v/>
      </c>
      <c r="B267" s="57" t="n"/>
      <c r="C267" s="58" t="n"/>
      <c r="D267" s="58" t="n"/>
      <c r="E267" s="59" t="n"/>
      <c r="F267" s="59" t="n"/>
      <c r="G267" s="59" t="n"/>
      <c r="H267" s="60" t="n"/>
      <c r="I267" s="60" t="n"/>
      <c r="J267" s="60" t="n"/>
      <c r="K267" s="60" t="n"/>
      <c r="L267" s="60" t="n"/>
      <c r="M267" s="61">
        <f>IF(NOT((COUNTA($B267:$D267)+COUNTA($G267:$L267)+COUNTA($Q267))&gt;0),"",IF(AND($D267&lt;&gt;"",$V267="Macro"),IF(N($AH267)&gt;0,N(CHOOSE(MATCH($D267,ListaPuestos,0),INDEX('Cronograma R. Operacional'!$M$5:$M$1000,$AH267),INDEX('Cronograma R. Normativo'!$M$5:$M$1000,$AH267),INDEX('Cronograma R. Financiero'!$M$5:$M$1000,$AH267),INDEX('Cronograma Asistente Técnico'!$M$5:$M$1000,$AH267))),0),IF(ISNUMBER($G267),1,IF(N($W267)&gt;0,AVERAGEIFS($X$5:$X$1000,$U$5:$U$1000,ROW(),$V$5:$V$1000,"Sub"),$X267))))</f>
        <v/>
      </c>
      <c r="N267" s="56">
        <f>IF(OR($M267="",$V267="Sub"),"",IF($M267&gt;=1,"Completado",IF($M267&gt;0,"En curso","Pendiente")))</f>
        <v/>
      </c>
      <c r="O267" s="56">
        <f>IF(NOT((COUNTA($B267:$D267)+COUNTA($G267:$L267)+COUNTA($Q267))&gt;0),"",IF(AND(AND($D267&lt;&gt;"",$V267="Macro"),N($AH267)&gt;0),CHOOSE(MATCH($D267,ListaPuestos,0),INDEX('Cronograma R. Operacional'!$O$5:$O$1000,$AH267),INDEX('Cronograma R. Normativo'!$O$5:$O$1000,$AH267),INDEX('Cronograma R. Financiero'!$O$5:$O$1000,$AH267),INDEX('Cronograma Asistente Técnico'!$O$5:$O$1000,$AH267))&amp;"",IF(ISNUMBER($G267),IF(AND(ISNUMBER($AN267),$G267&gt;$AN267),"Cumplida con "&amp;($G267-$AN267)&amp;IF($G267-$AN267=1," día"," días")&amp;" de retraso","Cumplida"),IF(N($M267)&gt;=1,"Cumplida",IF(NOT(ISNUMBER($AN267)),"Sin fecha límite",IF($AN267&lt;FechaRef,"Vencida hace "&amp;(FechaRef-$AN267)&amp;IF(FechaRef-$AN267=1," día"," días"),IF($AN267=FechaRef,"Vence hoy",IF($AN267-FechaRef&lt;=DiasAlerta,"Vence en "&amp;($AN267-FechaRef)&amp;IF($AN267-FechaRef=1," día"," días"),"En plazo"))))))))</f>
        <v/>
      </c>
      <c r="P267" s="62">
        <f>IF(NOT((COUNTA($B267:$D267)+COUNTA($G267:$L267)+COUNTA($Q267))&gt;0),"",IF($D267="","Propia",IF($V267&lt;&gt;"Macro","Solo se delegan macroactividades",IF(N($AH267)&gt;0,"✔ Recibida por "&amp;$D267,"⚠ "&amp;$D267&amp;" aún no la agrega"))))</f>
        <v/>
      </c>
      <c r="Q267" s="58" t="n"/>
      <c r="R267" s="63">
        <f>IF(NOT((COUNTA($B267:$D267)+COUNTA($G267:$L267)+COUNTA($Q267))&gt;0),"",IF((IF($C267="","Falta el nombre de la actividad"&amp;" · ","")&amp;IF(AND($V267="Sub",N($U267)=0),"Subactividad sin macroactividad arriba"&amp;" · ","")&amp;IF($AM267="","Sin fecha de inicio"&amp;" · ","")&amp;IF($AN267="","Sin fecha límite"&amp;" · ","")&amp;IF(AND(LEFT($C267,11)="[Jefatura] ",N($AL267)=0),"No se encuentra en la hoja de la jefatura (elíjala de nuevo en la lista)"&amp;" · ","")&amp;IF(OR(AND($E267&lt;&gt;"",NOT(ISNUMBER($E267))),AND($F267&lt;&gt;"",NOT(ISNUMBER($F267))),AND($G267&lt;&gt;"",NOT(ISNUMBER($G267)))),"Fecha no válida"&amp;" · ","")&amp;IF(AND(ISNUMBER($AM267),ISNUMBER($AN267),$AM267&gt;$AN267),"Inicio posterior a fecha límite"&amp;" · ","")&amp;IF(AND($V267="Macro",$H267&lt;&gt;"",OR(NOT(ISNUMBER($H267)),$H267&lt;0,$H267&gt;1)),"Peso fuera de rango"&amp;" · ","")&amp;IF(AND($V267="Sub",$H267&lt;&gt;""),"Las subactividades no llevan peso (valen igual dentro de su macroactividad)"&amp;" · ","")&amp;IF(AND(N($W267)&gt;0,COUNT($I267:$L267)&gt;0),"Con subactividades: deje vacías las semanas (se calculan solas)"&amp;" · ","")&amp;IF((COUNTIF($I267:$L267,"&gt;1")+COUNTIF($I267:$L267,"&lt;0")+COUNTA($I267:$L267)-COUNT($I267:$L267))&gt;0,"Avance fuera de rango 0-100%"&amp;" · ","")&amp;IF(OR(AND($J267&lt;&gt;"",$J267&lt;$I267),AND($K267&lt;&gt;"",$K267&lt;MAX($I267:$J267)),AND($L267&lt;&gt;"",$L267&lt;MAX($I267:$K267))),"Avance semanal decreciente"&amp;" · ","")&amp;IF(AND(ISNUMBER($AN267),$AN267&lt;FechaRef,IF($V267="Sub",N($X267),N($M267))&lt;1),"Vencida"&amp;" · ","")&amp;IF(AND(ObsObligatoria="Sí",ISNUMBER($AN267),$AN267&lt;FechaRef,IF($V267="Sub",N($X267),N($M267))&lt;1,$Q267=""),"Vencida sin observación"&amp;" · ",""))="","✔ OK","⚠ "&amp;LEFT(IF($C267="","Falta el nombre de la actividad"&amp;" · ","")&amp;IF(AND($V267="Sub",N($U267)=0),"Subactividad sin macroactividad arriba"&amp;" · ","")&amp;IF($AM267="","Sin fecha de inicio"&amp;" · ","")&amp;IF($AN267="","Sin fecha límite"&amp;" · ","")&amp;IF(AND(LEFT($C267,11)="[Jefatura] ",N($AL267)=0),"No se encuentra en la hoja de la jefatura (elíjala de nuevo en la lista)"&amp;" · ","")&amp;IF(OR(AND($E267&lt;&gt;"",NOT(ISNUMBER($E267))),AND($F267&lt;&gt;"",NOT(ISNUMBER($F267))),AND($G267&lt;&gt;"",NOT(ISNUMBER($G267)))),"Fecha no válida"&amp;" · ","")&amp;IF(AND(ISNUMBER($AM267),ISNUMBER($AN267),$AM267&gt;$AN267),"Inicio posterior a fecha límite"&amp;" · ","")&amp;IF(AND($V267="Macro",$H267&lt;&gt;"",OR(NOT(ISNUMBER($H267)),$H267&lt;0,$H267&gt;1)),"Peso fuera de rango"&amp;" · ","")&amp;IF(AND($V267="Sub",$H267&lt;&gt;""),"Las subactividades no llevan peso (valen igual dentro de su macroactividad)"&amp;" · ","")&amp;IF(AND(N($W267)&gt;0,COUNT($I267:$L267)&gt;0),"Con subactividades: deje vacías las semanas (se calculan solas)"&amp;" · ","")&amp;IF((COUNTIF($I267:$L267,"&gt;1")+COUNTIF($I267:$L267,"&lt;0")+COUNTA($I267:$L267)-COUNT($I267:$L267))&gt;0,"Avance fuera de rango 0-100%"&amp;" · ","")&amp;IF(OR(AND($J267&lt;&gt;"",$J267&lt;$I267),AND($K267&lt;&gt;"",$K267&lt;MAX($I267:$J267)),AND($L267&lt;&gt;"",$L267&lt;MAX($I267:$K267))),"Avance semanal decreciente"&amp;" · ","")&amp;IF(AND(ISNUMBER($AN267),$AN267&lt;FechaRef,IF($V267="Sub",N($X267),N($M267))&lt;1),"Vencida"&amp;" · ","")&amp;IF(AND(ObsObligatoria="Sí",ISNUMBER($AN267),$AN267&lt;FechaRef,IF($V267="Sub",N($X267),N($M267))&lt;1,$Q267=""),"Vencida sin observación"&amp;" · ",""),LEN(IF($C267="","Falta el nombre de la actividad"&amp;" · ","")&amp;IF(AND($V267="Sub",N($U267)=0),"Subactividad sin macroactividad arriba"&amp;" · ","")&amp;IF($AM267="","Sin fecha de inicio"&amp;" · ","")&amp;IF($AN267="","Sin fecha límite"&amp;" · ","")&amp;IF(AND(LEFT($C267,11)="[Jefatura] ",N($AL267)=0),"No se encuentra en la hoja de la jefatura (elíjala de nuevo en la lista)"&amp;" · ","")&amp;IF(OR(AND($E267&lt;&gt;"",NOT(ISNUMBER($E267))),AND($F267&lt;&gt;"",NOT(ISNUMBER($F267))),AND($G267&lt;&gt;"",NOT(ISNUMBER($G267)))),"Fecha no válida"&amp;" · ","")&amp;IF(AND(ISNUMBER($AM267),ISNUMBER($AN267),$AM267&gt;$AN267),"Inicio posterior a fecha límite"&amp;" · ","")&amp;IF(AND($V267="Macro",$H267&lt;&gt;"",OR(NOT(ISNUMBER($H267)),$H267&lt;0,$H267&gt;1)),"Peso fuera de rango"&amp;" · ","")&amp;IF(AND($V267="Sub",$H267&lt;&gt;""),"Las subactividades no llevan peso (valen igual dentro de su macroactividad)"&amp;" · ","")&amp;IF(AND(N($W267)&gt;0,COUNT($I267:$L267)&gt;0),"Con subactividades: deje vacías las semanas (se calculan solas)"&amp;" · ","")&amp;IF((COUNTIF($I267:$L267,"&gt;1")+COUNTIF($I267:$L267,"&lt;0")+COUNTA($I267:$L267)-COUNT($I267:$L267))&gt;0,"Avance fuera de rango 0-100%"&amp;" · ","")&amp;IF(OR(AND($J267&lt;&gt;"",$J267&lt;$I267),AND($K267&lt;&gt;"",$K267&lt;MAX($I267:$J267)),AND($L267&lt;&gt;"",$L267&lt;MAX($I267:$K267))),"Avance semanal decreciente"&amp;" · ","")&amp;IF(AND(ISNUMBER($AN267),$AN267&lt;FechaRef,IF($V267="Sub",N($X267),N($M267))&lt;1),"Vencida"&amp;" · ","")&amp;IF(AND(ObsObligatoria="Sí",ISNUMBER($AN267),$AN267&lt;FechaRef,IF($V267="Sub",N($X267),N($M267))&lt;1,$Q267=""),"Vencida sin observación"&amp;" · ",""))-3)))</f>
        <v/>
      </c>
      <c r="S267" s="64">
        <f>IF(NOT((COUNTA($B267:$D267)+COUNTA($G267:$L267)+COUNTA($Q267))&gt;0),"",IF(AND($V267="Sub",N($U267)&gt;0),IF(ISNUMBER(INDEX($AM$5:$AM$1000,$U267-4)),DATE(YEAR(INDEX($AM$5:$AM$1000,$U267-4)),MONTH(INDEX($AM$5:$AM$1000,$U267-4)),1),IF(ISNUMBER(INDEX($AN$5:$AN$1000,$U267-4)),DATE(YEAR(INDEX($AN$5:$AN$1000,$U267-4)),MONTH(INDEX($AN$5:$AN$1000,$U267-4)),1),MesCiclo)),IF(ISNUMBER($AM267),DATE(YEAR($AM267),MONTH($AM267),1),IF(ISNUMBER($AN267),DATE(YEAR($AN267),MONTH($AN267),1),MesCiclo))))</f>
        <v/>
      </c>
      <c r="T267" s="62">
        <f>IF(OR($S267="",$S267&lt;&gt;MesCiclo,$V267&lt;&gt;"Macro"),"",COUNTIFS($S$5:$S267,MesCiclo,$V$5:$V267,"Macro"))</f>
        <v/>
      </c>
      <c r="U267" s="62">
        <f>IF($V267="","",IF($V267="Macro",ROW(),IFERROR(LOOKUP(2,1/($V$5:$V267="Macro"),ROW($V$5:$V267)),0)))</f>
        <v/>
      </c>
      <c r="V267" s="62">
        <f>IF(NOT((COUNTA($B267:$D267)+COUNTA($G267:$L267)+COUNTA($Q267))&gt;0),"",IF($B267="Subactividad","Sub","Macro"))</f>
        <v/>
      </c>
      <c r="W267" s="62">
        <f>IF($V267="Macro",COUNTIFS($U$5:$U$1000,ROW(),$V$5:$V$1000,"Sub"),"")</f>
        <v/>
      </c>
      <c r="X267" s="62">
        <f>IF($V267="","",IF(ISNUMBER($G267),1,IFERROR(LOOKUP(2,1/($I267:$L267&lt;&gt;""),$I267:$L267),0)))</f>
        <v/>
      </c>
      <c r="Y267" s="62">
        <f>IF($V267="","",IF(AND(ISNUMBER($G267),$G267&lt;=IF($S267=MesCiclo,InicioCiclo,$S267+MOD(2-WEEKDAY($S267),7))+6),1,IF(ISNUMBER($I267),$I267,0)))</f>
        <v/>
      </c>
      <c r="Z267" s="62">
        <f>IF($V267="","",IF(AND(ISNUMBER($G267),$G267&lt;=IF($S267=MesCiclo,InicioCiclo,$S267+MOD(2-WEEKDAY($S267),7))+13),1,IF(ISNUMBER($J267),$J267,$Y267)))</f>
        <v/>
      </c>
      <c r="AA267" s="62">
        <f>IF($V267="","",IF(AND(ISNUMBER($G267),$G267&lt;=IF($S267=MesCiclo,InicioCiclo,$S267+MOD(2-WEEKDAY($S267),7))+20),1,IF(ISNUMBER($K267),$K267,$Z267)))</f>
        <v/>
      </c>
      <c r="AB267" s="62">
        <f>IF($V267="","",IF(AND(ISNUMBER($G267),$G267&lt;=IF($S267=MesCiclo,InicioCiclo,$S267+MOD(2-WEEKDAY($S267),7))+27),1,IF(ISNUMBER($L267),$L267,$AA267)))</f>
        <v/>
      </c>
      <c r="AC267" s="62">
        <f>IF($V267="","",IF(AND(ISNUMBER($G267),$G267&lt;=IF($S267=MesCiclo,InicioCiclo,$S267+MOD(2-WEEKDAY($S267),7))+6),1,IF(N($W267)&gt;0,AVERAGEIFS($Y$5:$Y$1000,$U$5:$U$1000,ROW(),$V$5:$V$1000,"Sub"),$Y267)))</f>
        <v/>
      </c>
      <c r="AD267" s="62">
        <f>IF($V267="","",IF(AND(ISNUMBER($G267),$G267&lt;=IF($S267=MesCiclo,InicioCiclo,$S267+MOD(2-WEEKDAY($S267),7))+13),1,IF(N($W267)&gt;0,AVERAGEIFS($Z$5:$Z$1000,$U$5:$U$1000,ROW(),$V$5:$V$1000,"Sub"),$Z267)))</f>
        <v/>
      </c>
      <c r="AE267" s="62">
        <f>IF($V267="","",IF(AND(ISNUMBER($G267),$G267&lt;=IF($S267=MesCiclo,InicioCiclo,$S267+MOD(2-WEEKDAY($S267),7))+20),1,IF(N($W267)&gt;0,AVERAGEIFS($AA$5:$AA$1000,$U$5:$U$1000,ROW(),$V$5:$V$1000,"Sub"),$AA267)))</f>
        <v/>
      </c>
      <c r="AF267" s="62">
        <f>IF($V267="","",IF(AND(ISNUMBER($G267),$G267&lt;=IF($S267=MesCiclo,InicioCiclo,$S267+MOD(2-WEEKDAY($S267),7))+27),1,IF(N($W267)&gt;0,AVERAGEIFS($AB$5:$AB$1000,$U$5:$U$1000,ROW(),$V$5:$V$1000,"Sub"),$AB267)))</f>
        <v/>
      </c>
      <c r="AG267" s="62">
        <f>IF($V267&lt;&gt;"Macro","",IF(COUNTIFS($S$5:$S$1000,$S267,$V$5:$V$1000,"Macro",$H$5:$H$1000,"&gt;0")=0,1/COUNTIFS($S$5:$S$1000,$S267,$V$5:$V$1000,"Macro"),IF(AND(ISNUMBER($H267),N($H267)&gt;0),$H267,SUMIFS($H$5:$H$1000,$S$5:$S$1000,$S267,$V$5:$V$1000,"Macro")/COUNTIFS($S$5:$S$1000,$S267,$V$5:$V$1000,"Macro",$H$5:$H$1000,"&gt;0"))/(COUNTIFS($S$5:$S$1000,$S267,$V$5:$V$1000,"Macro")*SUMIFS($H$5:$H$1000,$S$5:$S$1000,$S267,$V$5:$V$1000,"Macro")/COUNTIFS($S$5:$S$1000,$S267,$V$5:$V$1000,"Macro",$H$5:$H$1000,"&gt;0"))))</f>
        <v/>
      </c>
      <c r="AH267" s="62">
        <f>IF(NOT(AND($D267&lt;&gt;"",$V267="Macro")),"",IFERROR(CHOOSE(MATCH($D267,ListaPuestos,0),MATCH("[Jefatura] "&amp;$C267,'Cronograma R. Operacional'!$C$5:$C$1000,0),MATCH("[Jefatura] "&amp;$C267,'Cronograma R. Normativo'!$C$5:$C$1000,0),MATCH("[Jefatura] "&amp;$C267,'Cronograma R. Financiero'!$C$5:$C$1000,0),MATCH("[Jefatura] "&amp;$C267,'Cronograma Asistente Técnico'!$C$5:$C$1000,0)),0))</f>
        <v/>
      </c>
      <c r="AI267" s="62">
        <f>IF(AND(AND($D267&lt;&gt;"",$V267="Macro"),$S267=MesCiclo),COUNTIFS($D$5:$D267,$D267,$S$5:$S267,MesCiclo,$V$5:$V267,"Macro"),"")</f>
        <v/>
      </c>
      <c r="AJ267" s="62">
        <f>IF($AI267="","",$D267&amp;"|"&amp;$AI267)</f>
        <v/>
      </c>
      <c r="AK267" s="62">
        <f>IF(AND($D267&lt;&gt;"",$V267="Macro"),$D267&amp;"|"&amp;$C267,"")</f>
        <v/>
      </c>
      <c r="AL267" s="62">
        <f>""</f>
        <v/>
      </c>
      <c r="AM267" s="62">
        <f>IF(N($AL267)&gt;0,INDEX(rIni_ADM,$AL267),IF(ISNUMBER($E267),$E267,""))</f>
        <v/>
      </c>
      <c r="AN267" s="62">
        <f>IF(N($AL267)&gt;0,INDEX(rLim_ADM,$AL267),IF(ISNUMBER($F267),$F267,""))</f>
        <v/>
      </c>
    </row>
    <row r="268">
      <c r="A268" s="56">
        <f>IF(NOT((COUNTA($B268:$D268)+COUNTA($G268:$L268)+COUNTA($Q268))&gt;0),"",IF($V268="Macro",COUNTIFS($V$5:$V268,"Macro",$S$5:$S268,$S268),IF(N($U268)=0,"?",COUNTIFS(INDEX($V$5:$V$1000,1):INDEX($V$5:$V$1000,$U268-4),"Macro",INDEX($S$5:$S$1000,1):INDEX($S$5:$S$1000,$U268-4),INDEX($S$5:$S$1000,$U268-4))&amp;"."&amp;COUNTIFS($U$5:$U268,$U268,$V$5:$V268,"Sub"))))</f>
        <v/>
      </c>
      <c r="B268" s="57" t="n"/>
      <c r="C268" s="58" t="n"/>
      <c r="D268" s="58" t="n"/>
      <c r="E268" s="59" t="n"/>
      <c r="F268" s="59" t="n"/>
      <c r="G268" s="59" t="n"/>
      <c r="H268" s="60" t="n"/>
      <c r="I268" s="60" t="n"/>
      <c r="J268" s="60" t="n"/>
      <c r="K268" s="60" t="n"/>
      <c r="L268" s="60" t="n"/>
      <c r="M268" s="61">
        <f>IF(NOT((COUNTA($B268:$D268)+COUNTA($G268:$L268)+COUNTA($Q268))&gt;0),"",IF(AND($D268&lt;&gt;"",$V268="Macro"),IF(N($AH268)&gt;0,N(CHOOSE(MATCH($D268,ListaPuestos,0),INDEX('Cronograma R. Operacional'!$M$5:$M$1000,$AH268),INDEX('Cronograma R. Normativo'!$M$5:$M$1000,$AH268),INDEX('Cronograma R. Financiero'!$M$5:$M$1000,$AH268),INDEX('Cronograma Asistente Técnico'!$M$5:$M$1000,$AH268))),0),IF(ISNUMBER($G268),1,IF(N($W268)&gt;0,AVERAGEIFS($X$5:$X$1000,$U$5:$U$1000,ROW(),$V$5:$V$1000,"Sub"),$X268))))</f>
        <v/>
      </c>
      <c r="N268" s="56">
        <f>IF(OR($M268="",$V268="Sub"),"",IF($M268&gt;=1,"Completado",IF($M268&gt;0,"En curso","Pendiente")))</f>
        <v/>
      </c>
      <c r="O268" s="56">
        <f>IF(NOT((COUNTA($B268:$D268)+COUNTA($G268:$L268)+COUNTA($Q268))&gt;0),"",IF(AND(AND($D268&lt;&gt;"",$V268="Macro"),N($AH268)&gt;0),CHOOSE(MATCH($D268,ListaPuestos,0),INDEX('Cronograma R. Operacional'!$O$5:$O$1000,$AH268),INDEX('Cronograma R. Normativo'!$O$5:$O$1000,$AH268),INDEX('Cronograma R. Financiero'!$O$5:$O$1000,$AH268),INDEX('Cronograma Asistente Técnico'!$O$5:$O$1000,$AH268))&amp;"",IF(ISNUMBER($G268),IF(AND(ISNUMBER($AN268),$G268&gt;$AN268),"Cumplida con "&amp;($G268-$AN268)&amp;IF($G268-$AN268=1," día"," días")&amp;" de retraso","Cumplida"),IF(N($M268)&gt;=1,"Cumplida",IF(NOT(ISNUMBER($AN268)),"Sin fecha límite",IF($AN268&lt;FechaRef,"Vencida hace "&amp;(FechaRef-$AN268)&amp;IF(FechaRef-$AN268=1," día"," días"),IF($AN268=FechaRef,"Vence hoy",IF($AN268-FechaRef&lt;=DiasAlerta,"Vence en "&amp;($AN268-FechaRef)&amp;IF($AN268-FechaRef=1," día"," días"),"En plazo"))))))))</f>
        <v/>
      </c>
      <c r="P268" s="62">
        <f>IF(NOT((COUNTA($B268:$D268)+COUNTA($G268:$L268)+COUNTA($Q268))&gt;0),"",IF($D268="","Propia",IF($V268&lt;&gt;"Macro","Solo se delegan macroactividades",IF(N($AH268)&gt;0,"✔ Recibida por "&amp;$D268,"⚠ "&amp;$D268&amp;" aún no la agrega"))))</f>
        <v/>
      </c>
      <c r="Q268" s="58" t="n"/>
      <c r="R268" s="63">
        <f>IF(NOT((COUNTA($B268:$D268)+COUNTA($G268:$L268)+COUNTA($Q268))&gt;0),"",IF((IF($C268="","Falta el nombre de la actividad"&amp;" · ","")&amp;IF(AND($V268="Sub",N($U268)=0),"Subactividad sin macroactividad arriba"&amp;" · ","")&amp;IF($AM268="","Sin fecha de inicio"&amp;" · ","")&amp;IF($AN268="","Sin fecha límite"&amp;" · ","")&amp;IF(AND(LEFT($C268,11)="[Jefatura] ",N($AL268)=0),"No se encuentra en la hoja de la jefatura (elíjala de nuevo en la lista)"&amp;" · ","")&amp;IF(OR(AND($E268&lt;&gt;"",NOT(ISNUMBER($E268))),AND($F268&lt;&gt;"",NOT(ISNUMBER($F268))),AND($G268&lt;&gt;"",NOT(ISNUMBER($G268)))),"Fecha no válida"&amp;" · ","")&amp;IF(AND(ISNUMBER($AM268),ISNUMBER($AN268),$AM268&gt;$AN268),"Inicio posterior a fecha límite"&amp;" · ","")&amp;IF(AND($V268="Macro",$H268&lt;&gt;"",OR(NOT(ISNUMBER($H268)),$H268&lt;0,$H268&gt;1)),"Peso fuera de rango"&amp;" · ","")&amp;IF(AND($V268="Sub",$H268&lt;&gt;""),"Las subactividades no llevan peso (valen igual dentro de su macroactividad)"&amp;" · ","")&amp;IF(AND(N($W268)&gt;0,COUNT($I268:$L268)&gt;0),"Con subactividades: deje vacías las semanas (se calculan solas)"&amp;" · ","")&amp;IF((COUNTIF($I268:$L268,"&gt;1")+COUNTIF($I268:$L268,"&lt;0")+COUNTA($I268:$L268)-COUNT($I268:$L268))&gt;0,"Avance fuera de rango 0-100%"&amp;" · ","")&amp;IF(OR(AND($J268&lt;&gt;"",$J268&lt;$I268),AND($K268&lt;&gt;"",$K268&lt;MAX($I268:$J268)),AND($L268&lt;&gt;"",$L268&lt;MAX($I268:$K268))),"Avance semanal decreciente"&amp;" · ","")&amp;IF(AND(ISNUMBER($AN268),$AN268&lt;FechaRef,IF($V268="Sub",N($X268),N($M268))&lt;1),"Vencida"&amp;" · ","")&amp;IF(AND(ObsObligatoria="Sí",ISNUMBER($AN268),$AN268&lt;FechaRef,IF($V268="Sub",N($X268),N($M268))&lt;1,$Q268=""),"Vencida sin observación"&amp;" · ",""))="","✔ OK","⚠ "&amp;LEFT(IF($C268="","Falta el nombre de la actividad"&amp;" · ","")&amp;IF(AND($V268="Sub",N($U268)=0),"Subactividad sin macroactividad arriba"&amp;" · ","")&amp;IF($AM268="","Sin fecha de inicio"&amp;" · ","")&amp;IF($AN268="","Sin fecha límite"&amp;" · ","")&amp;IF(AND(LEFT($C268,11)="[Jefatura] ",N($AL268)=0),"No se encuentra en la hoja de la jefatura (elíjala de nuevo en la lista)"&amp;" · ","")&amp;IF(OR(AND($E268&lt;&gt;"",NOT(ISNUMBER($E268))),AND($F268&lt;&gt;"",NOT(ISNUMBER($F268))),AND($G268&lt;&gt;"",NOT(ISNUMBER($G268)))),"Fecha no válida"&amp;" · ","")&amp;IF(AND(ISNUMBER($AM268),ISNUMBER($AN268),$AM268&gt;$AN268),"Inicio posterior a fecha límite"&amp;" · ","")&amp;IF(AND($V268="Macro",$H268&lt;&gt;"",OR(NOT(ISNUMBER($H268)),$H268&lt;0,$H268&gt;1)),"Peso fuera de rango"&amp;" · ","")&amp;IF(AND($V268="Sub",$H268&lt;&gt;""),"Las subactividades no llevan peso (valen igual dentro de su macroactividad)"&amp;" · ","")&amp;IF(AND(N($W268)&gt;0,COUNT($I268:$L268)&gt;0),"Con subactividades: deje vacías las semanas (se calculan solas)"&amp;" · ","")&amp;IF((COUNTIF($I268:$L268,"&gt;1")+COUNTIF($I268:$L268,"&lt;0")+COUNTA($I268:$L268)-COUNT($I268:$L268))&gt;0,"Avance fuera de rango 0-100%"&amp;" · ","")&amp;IF(OR(AND($J268&lt;&gt;"",$J268&lt;$I268),AND($K268&lt;&gt;"",$K268&lt;MAX($I268:$J268)),AND($L268&lt;&gt;"",$L268&lt;MAX($I268:$K268))),"Avance semanal decreciente"&amp;" · ","")&amp;IF(AND(ISNUMBER($AN268),$AN268&lt;FechaRef,IF($V268="Sub",N($X268),N($M268))&lt;1),"Vencida"&amp;" · ","")&amp;IF(AND(ObsObligatoria="Sí",ISNUMBER($AN268),$AN268&lt;FechaRef,IF($V268="Sub",N($X268),N($M268))&lt;1,$Q268=""),"Vencida sin observación"&amp;" · ",""),LEN(IF($C268="","Falta el nombre de la actividad"&amp;" · ","")&amp;IF(AND($V268="Sub",N($U268)=0),"Subactividad sin macroactividad arriba"&amp;" · ","")&amp;IF($AM268="","Sin fecha de inicio"&amp;" · ","")&amp;IF($AN268="","Sin fecha límite"&amp;" · ","")&amp;IF(AND(LEFT($C268,11)="[Jefatura] ",N($AL268)=0),"No se encuentra en la hoja de la jefatura (elíjala de nuevo en la lista)"&amp;" · ","")&amp;IF(OR(AND($E268&lt;&gt;"",NOT(ISNUMBER($E268))),AND($F268&lt;&gt;"",NOT(ISNUMBER($F268))),AND($G268&lt;&gt;"",NOT(ISNUMBER($G268)))),"Fecha no válida"&amp;" · ","")&amp;IF(AND(ISNUMBER($AM268),ISNUMBER($AN268),$AM268&gt;$AN268),"Inicio posterior a fecha límite"&amp;" · ","")&amp;IF(AND($V268="Macro",$H268&lt;&gt;"",OR(NOT(ISNUMBER($H268)),$H268&lt;0,$H268&gt;1)),"Peso fuera de rango"&amp;" · ","")&amp;IF(AND($V268="Sub",$H268&lt;&gt;""),"Las subactividades no llevan peso (valen igual dentro de su macroactividad)"&amp;" · ","")&amp;IF(AND(N($W268)&gt;0,COUNT($I268:$L268)&gt;0),"Con subactividades: deje vacías las semanas (se calculan solas)"&amp;" · ","")&amp;IF((COUNTIF($I268:$L268,"&gt;1")+COUNTIF($I268:$L268,"&lt;0")+COUNTA($I268:$L268)-COUNT($I268:$L268))&gt;0,"Avance fuera de rango 0-100%"&amp;" · ","")&amp;IF(OR(AND($J268&lt;&gt;"",$J268&lt;$I268),AND($K268&lt;&gt;"",$K268&lt;MAX($I268:$J268)),AND($L268&lt;&gt;"",$L268&lt;MAX($I268:$K268))),"Avance semanal decreciente"&amp;" · ","")&amp;IF(AND(ISNUMBER($AN268),$AN268&lt;FechaRef,IF($V268="Sub",N($X268),N($M268))&lt;1),"Vencida"&amp;" · ","")&amp;IF(AND(ObsObligatoria="Sí",ISNUMBER($AN268),$AN268&lt;FechaRef,IF($V268="Sub",N($X268),N($M268))&lt;1,$Q268=""),"Vencida sin observación"&amp;" · ",""))-3)))</f>
        <v/>
      </c>
      <c r="S268" s="64">
        <f>IF(NOT((COUNTA($B268:$D268)+COUNTA($G268:$L268)+COUNTA($Q268))&gt;0),"",IF(AND($V268="Sub",N($U268)&gt;0),IF(ISNUMBER(INDEX($AM$5:$AM$1000,$U268-4)),DATE(YEAR(INDEX($AM$5:$AM$1000,$U268-4)),MONTH(INDEX($AM$5:$AM$1000,$U268-4)),1),IF(ISNUMBER(INDEX($AN$5:$AN$1000,$U268-4)),DATE(YEAR(INDEX($AN$5:$AN$1000,$U268-4)),MONTH(INDEX($AN$5:$AN$1000,$U268-4)),1),MesCiclo)),IF(ISNUMBER($AM268),DATE(YEAR($AM268),MONTH($AM268),1),IF(ISNUMBER($AN268),DATE(YEAR($AN268),MONTH($AN268),1),MesCiclo))))</f>
        <v/>
      </c>
      <c r="T268" s="62">
        <f>IF(OR($S268="",$S268&lt;&gt;MesCiclo,$V268&lt;&gt;"Macro"),"",COUNTIFS($S$5:$S268,MesCiclo,$V$5:$V268,"Macro"))</f>
        <v/>
      </c>
      <c r="U268" s="62">
        <f>IF($V268="","",IF($V268="Macro",ROW(),IFERROR(LOOKUP(2,1/($V$5:$V268="Macro"),ROW($V$5:$V268)),0)))</f>
        <v/>
      </c>
      <c r="V268" s="62">
        <f>IF(NOT((COUNTA($B268:$D268)+COUNTA($G268:$L268)+COUNTA($Q268))&gt;0),"",IF($B268="Subactividad","Sub","Macro"))</f>
        <v/>
      </c>
      <c r="W268" s="62">
        <f>IF($V268="Macro",COUNTIFS($U$5:$U$1000,ROW(),$V$5:$V$1000,"Sub"),"")</f>
        <v/>
      </c>
      <c r="X268" s="62">
        <f>IF($V268="","",IF(ISNUMBER($G268),1,IFERROR(LOOKUP(2,1/($I268:$L268&lt;&gt;""),$I268:$L268),0)))</f>
        <v/>
      </c>
      <c r="Y268" s="62">
        <f>IF($V268="","",IF(AND(ISNUMBER($G268),$G268&lt;=IF($S268=MesCiclo,InicioCiclo,$S268+MOD(2-WEEKDAY($S268),7))+6),1,IF(ISNUMBER($I268),$I268,0)))</f>
        <v/>
      </c>
      <c r="Z268" s="62">
        <f>IF($V268="","",IF(AND(ISNUMBER($G268),$G268&lt;=IF($S268=MesCiclo,InicioCiclo,$S268+MOD(2-WEEKDAY($S268),7))+13),1,IF(ISNUMBER($J268),$J268,$Y268)))</f>
        <v/>
      </c>
      <c r="AA268" s="62">
        <f>IF($V268="","",IF(AND(ISNUMBER($G268),$G268&lt;=IF($S268=MesCiclo,InicioCiclo,$S268+MOD(2-WEEKDAY($S268),7))+20),1,IF(ISNUMBER($K268),$K268,$Z268)))</f>
        <v/>
      </c>
      <c r="AB268" s="62">
        <f>IF($V268="","",IF(AND(ISNUMBER($G268),$G268&lt;=IF($S268=MesCiclo,InicioCiclo,$S268+MOD(2-WEEKDAY($S268),7))+27),1,IF(ISNUMBER($L268),$L268,$AA268)))</f>
        <v/>
      </c>
      <c r="AC268" s="62">
        <f>IF($V268="","",IF(AND(ISNUMBER($G268),$G268&lt;=IF($S268=MesCiclo,InicioCiclo,$S268+MOD(2-WEEKDAY($S268),7))+6),1,IF(N($W268)&gt;0,AVERAGEIFS($Y$5:$Y$1000,$U$5:$U$1000,ROW(),$V$5:$V$1000,"Sub"),$Y268)))</f>
        <v/>
      </c>
      <c r="AD268" s="62">
        <f>IF($V268="","",IF(AND(ISNUMBER($G268),$G268&lt;=IF($S268=MesCiclo,InicioCiclo,$S268+MOD(2-WEEKDAY($S268),7))+13),1,IF(N($W268)&gt;0,AVERAGEIFS($Z$5:$Z$1000,$U$5:$U$1000,ROW(),$V$5:$V$1000,"Sub"),$Z268)))</f>
        <v/>
      </c>
      <c r="AE268" s="62">
        <f>IF($V268="","",IF(AND(ISNUMBER($G268),$G268&lt;=IF($S268=MesCiclo,InicioCiclo,$S268+MOD(2-WEEKDAY($S268),7))+20),1,IF(N($W268)&gt;0,AVERAGEIFS($AA$5:$AA$1000,$U$5:$U$1000,ROW(),$V$5:$V$1000,"Sub"),$AA268)))</f>
        <v/>
      </c>
      <c r="AF268" s="62">
        <f>IF($V268="","",IF(AND(ISNUMBER($G268),$G268&lt;=IF($S268=MesCiclo,InicioCiclo,$S268+MOD(2-WEEKDAY($S268),7))+27),1,IF(N($W268)&gt;0,AVERAGEIFS($AB$5:$AB$1000,$U$5:$U$1000,ROW(),$V$5:$V$1000,"Sub"),$AB268)))</f>
        <v/>
      </c>
      <c r="AG268" s="62">
        <f>IF($V268&lt;&gt;"Macro","",IF(COUNTIFS($S$5:$S$1000,$S268,$V$5:$V$1000,"Macro",$H$5:$H$1000,"&gt;0")=0,1/COUNTIFS($S$5:$S$1000,$S268,$V$5:$V$1000,"Macro"),IF(AND(ISNUMBER($H268),N($H268)&gt;0),$H268,SUMIFS($H$5:$H$1000,$S$5:$S$1000,$S268,$V$5:$V$1000,"Macro")/COUNTIFS($S$5:$S$1000,$S268,$V$5:$V$1000,"Macro",$H$5:$H$1000,"&gt;0"))/(COUNTIFS($S$5:$S$1000,$S268,$V$5:$V$1000,"Macro")*SUMIFS($H$5:$H$1000,$S$5:$S$1000,$S268,$V$5:$V$1000,"Macro")/COUNTIFS($S$5:$S$1000,$S268,$V$5:$V$1000,"Macro",$H$5:$H$1000,"&gt;0"))))</f>
        <v/>
      </c>
      <c r="AH268" s="62">
        <f>IF(NOT(AND($D268&lt;&gt;"",$V268="Macro")),"",IFERROR(CHOOSE(MATCH($D268,ListaPuestos,0),MATCH("[Jefatura] "&amp;$C268,'Cronograma R. Operacional'!$C$5:$C$1000,0),MATCH("[Jefatura] "&amp;$C268,'Cronograma R. Normativo'!$C$5:$C$1000,0),MATCH("[Jefatura] "&amp;$C268,'Cronograma R. Financiero'!$C$5:$C$1000,0),MATCH("[Jefatura] "&amp;$C268,'Cronograma Asistente Técnico'!$C$5:$C$1000,0)),0))</f>
        <v/>
      </c>
      <c r="AI268" s="62">
        <f>IF(AND(AND($D268&lt;&gt;"",$V268="Macro"),$S268=MesCiclo),COUNTIFS($D$5:$D268,$D268,$S$5:$S268,MesCiclo,$V$5:$V268,"Macro"),"")</f>
        <v/>
      </c>
      <c r="AJ268" s="62">
        <f>IF($AI268="","",$D268&amp;"|"&amp;$AI268)</f>
        <v/>
      </c>
      <c r="AK268" s="62">
        <f>IF(AND($D268&lt;&gt;"",$V268="Macro"),$D268&amp;"|"&amp;$C268,"")</f>
        <v/>
      </c>
      <c r="AL268" s="62">
        <f>""</f>
        <v/>
      </c>
      <c r="AM268" s="62">
        <f>IF(N($AL268)&gt;0,INDEX(rIni_ADM,$AL268),IF(ISNUMBER($E268),$E268,""))</f>
        <v/>
      </c>
      <c r="AN268" s="62">
        <f>IF(N($AL268)&gt;0,INDEX(rLim_ADM,$AL268),IF(ISNUMBER($F268),$F268,""))</f>
        <v/>
      </c>
    </row>
    <row r="269">
      <c r="A269" s="56">
        <f>IF(NOT((COUNTA($B269:$D269)+COUNTA($G269:$L269)+COUNTA($Q269))&gt;0),"",IF($V269="Macro",COUNTIFS($V$5:$V269,"Macro",$S$5:$S269,$S269),IF(N($U269)=0,"?",COUNTIFS(INDEX($V$5:$V$1000,1):INDEX($V$5:$V$1000,$U269-4),"Macro",INDEX($S$5:$S$1000,1):INDEX($S$5:$S$1000,$U269-4),INDEX($S$5:$S$1000,$U269-4))&amp;"."&amp;COUNTIFS($U$5:$U269,$U269,$V$5:$V269,"Sub"))))</f>
        <v/>
      </c>
      <c r="B269" s="57" t="n"/>
      <c r="C269" s="58" t="n"/>
      <c r="D269" s="58" t="n"/>
      <c r="E269" s="59" t="n"/>
      <c r="F269" s="59" t="n"/>
      <c r="G269" s="59" t="n"/>
      <c r="H269" s="60" t="n"/>
      <c r="I269" s="60" t="n"/>
      <c r="J269" s="60" t="n"/>
      <c r="K269" s="60" t="n"/>
      <c r="L269" s="60" t="n"/>
      <c r="M269" s="61">
        <f>IF(NOT((COUNTA($B269:$D269)+COUNTA($G269:$L269)+COUNTA($Q269))&gt;0),"",IF(AND($D269&lt;&gt;"",$V269="Macro"),IF(N($AH269)&gt;0,N(CHOOSE(MATCH($D269,ListaPuestos,0),INDEX('Cronograma R. Operacional'!$M$5:$M$1000,$AH269),INDEX('Cronograma R. Normativo'!$M$5:$M$1000,$AH269),INDEX('Cronograma R. Financiero'!$M$5:$M$1000,$AH269),INDEX('Cronograma Asistente Técnico'!$M$5:$M$1000,$AH269))),0),IF(ISNUMBER($G269),1,IF(N($W269)&gt;0,AVERAGEIFS($X$5:$X$1000,$U$5:$U$1000,ROW(),$V$5:$V$1000,"Sub"),$X269))))</f>
        <v/>
      </c>
      <c r="N269" s="56">
        <f>IF(OR($M269="",$V269="Sub"),"",IF($M269&gt;=1,"Completado",IF($M269&gt;0,"En curso","Pendiente")))</f>
        <v/>
      </c>
      <c r="O269" s="56">
        <f>IF(NOT((COUNTA($B269:$D269)+COUNTA($G269:$L269)+COUNTA($Q269))&gt;0),"",IF(AND(AND($D269&lt;&gt;"",$V269="Macro"),N($AH269)&gt;0),CHOOSE(MATCH($D269,ListaPuestos,0),INDEX('Cronograma R. Operacional'!$O$5:$O$1000,$AH269),INDEX('Cronograma R. Normativo'!$O$5:$O$1000,$AH269),INDEX('Cronograma R. Financiero'!$O$5:$O$1000,$AH269),INDEX('Cronograma Asistente Técnico'!$O$5:$O$1000,$AH269))&amp;"",IF(ISNUMBER($G269),IF(AND(ISNUMBER($AN269),$G269&gt;$AN269),"Cumplida con "&amp;($G269-$AN269)&amp;IF($G269-$AN269=1," día"," días")&amp;" de retraso","Cumplida"),IF(N($M269)&gt;=1,"Cumplida",IF(NOT(ISNUMBER($AN269)),"Sin fecha límite",IF($AN269&lt;FechaRef,"Vencida hace "&amp;(FechaRef-$AN269)&amp;IF(FechaRef-$AN269=1," día"," días"),IF($AN269=FechaRef,"Vence hoy",IF($AN269-FechaRef&lt;=DiasAlerta,"Vence en "&amp;($AN269-FechaRef)&amp;IF($AN269-FechaRef=1," día"," días"),"En plazo"))))))))</f>
        <v/>
      </c>
      <c r="P269" s="62">
        <f>IF(NOT((COUNTA($B269:$D269)+COUNTA($G269:$L269)+COUNTA($Q269))&gt;0),"",IF($D269="","Propia",IF($V269&lt;&gt;"Macro","Solo se delegan macroactividades",IF(N($AH269)&gt;0,"✔ Recibida por "&amp;$D269,"⚠ "&amp;$D269&amp;" aún no la agrega"))))</f>
        <v/>
      </c>
      <c r="Q269" s="58" t="n"/>
      <c r="R269" s="63">
        <f>IF(NOT((COUNTA($B269:$D269)+COUNTA($G269:$L269)+COUNTA($Q269))&gt;0),"",IF((IF($C269="","Falta el nombre de la actividad"&amp;" · ","")&amp;IF(AND($V269="Sub",N($U269)=0),"Subactividad sin macroactividad arriba"&amp;" · ","")&amp;IF($AM269="","Sin fecha de inicio"&amp;" · ","")&amp;IF($AN269="","Sin fecha límite"&amp;" · ","")&amp;IF(AND(LEFT($C269,11)="[Jefatura] ",N($AL269)=0),"No se encuentra en la hoja de la jefatura (elíjala de nuevo en la lista)"&amp;" · ","")&amp;IF(OR(AND($E269&lt;&gt;"",NOT(ISNUMBER($E269))),AND($F269&lt;&gt;"",NOT(ISNUMBER($F269))),AND($G269&lt;&gt;"",NOT(ISNUMBER($G269)))),"Fecha no válida"&amp;" · ","")&amp;IF(AND(ISNUMBER($AM269),ISNUMBER($AN269),$AM269&gt;$AN269),"Inicio posterior a fecha límite"&amp;" · ","")&amp;IF(AND($V269="Macro",$H269&lt;&gt;"",OR(NOT(ISNUMBER($H269)),$H269&lt;0,$H269&gt;1)),"Peso fuera de rango"&amp;" · ","")&amp;IF(AND($V269="Sub",$H269&lt;&gt;""),"Las subactividades no llevan peso (valen igual dentro de su macroactividad)"&amp;" · ","")&amp;IF(AND(N($W269)&gt;0,COUNT($I269:$L269)&gt;0),"Con subactividades: deje vacías las semanas (se calculan solas)"&amp;" · ","")&amp;IF((COUNTIF($I269:$L269,"&gt;1")+COUNTIF($I269:$L269,"&lt;0")+COUNTA($I269:$L269)-COUNT($I269:$L269))&gt;0,"Avance fuera de rango 0-100%"&amp;" · ","")&amp;IF(OR(AND($J269&lt;&gt;"",$J269&lt;$I269),AND($K269&lt;&gt;"",$K269&lt;MAX($I269:$J269)),AND($L269&lt;&gt;"",$L269&lt;MAX($I269:$K269))),"Avance semanal decreciente"&amp;" · ","")&amp;IF(AND(ISNUMBER($AN269),$AN269&lt;FechaRef,IF($V269="Sub",N($X269),N($M269))&lt;1),"Vencida"&amp;" · ","")&amp;IF(AND(ObsObligatoria="Sí",ISNUMBER($AN269),$AN269&lt;FechaRef,IF($V269="Sub",N($X269),N($M269))&lt;1,$Q269=""),"Vencida sin observación"&amp;" · ",""))="","✔ OK","⚠ "&amp;LEFT(IF($C269="","Falta el nombre de la actividad"&amp;" · ","")&amp;IF(AND($V269="Sub",N($U269)=0),"Subactividad sin macroactividad arriba"&amp;" · ","")&amp;IF($AM269="","Sin fecha de inicio"&amp;" · ","")&amp;IF($AN269="","Sin fecha límite"&amp;" · ","")&amp;IF(AND(LEFT($C269,11)="[Jefatura] ",N($AL269)=0),"No se encuentra en la hoja de la jefatura (elíjala de nuevo en la lista)"&amp;" · ","")&amp;IF(OR(AND($E269&lt;&gt;"",NOT(ISNUMBER($E269))),AND($F269&lt;&gt;"",NOT(ISNUMBER($F269))),AND($G269&lt;&gt;"",NOT(ISNUMBER($G269)))),"Fecha no válida"&amp;" · ","")&amp;IF(AND(ISNUMBER($AM269),ISNUMBER($AN269),$AM269&gt;$AN269),"Inicio posterior a fecha límite"&amp;" · ","")&amp;IF(AND($V269="Macro",$H269&lt;&gt;"",OR(NOT(ISNUMBER($H269)),$H269&lt;0,$H269&gt;1)),"Peso fuera de rango"&amp;" · ","")&amp;IF(AND($V269="Sub",$H269&lt;&gt;""),"Las subactividades no llevan peso (valen igual dentro de su macroactividad)"&amp;" · ","")&amp;IF(AND(N($W269)&gt;0,COUNT($I269:$L269)&gt;0),"Con subactividades: deje vacías las semanas (se calculan solas)"&amp;" · ","")&amp;IF((COUNTIF($I269:$L269,"&gt;1")+COUNTIF($I269:$L269,"&lt;0")+COUNTA($I269:$L269)-COUNT($I269:$L269))&gt;0,"Avance fuera de rango 0-100%"&amp;" · ","")&amp;IF(OR(AND($J269&lt;&gt;"",$J269&lt;$I269),AND($K269&lt;&gt;"",$K269&lt;MAX($I269:$J269)),AND($L269&lt;&gt;"",$L269&lt;MAX($I269:$K269))),"Avance semanal decreciente"&amp;" · ","")&amp;IF(AND(ISNUMBER($AN269),$AN269&lt;FechaRef,IF($V269="Sub",N($X269),N($M269))&lt;1),"Vencida"&amp;" · ","")&amp;IF(AND(ObsObligatoria="Sí",ISNUMBER($AN269),$AN269&lt;FechaRef,IF($V269="Sub",N($X269),N($M269))&lt;1,$Q269=""),"Vencida sin observación"&amp;" · ",""),LEN(IF($C269="","Falta el nombre de la actividad"&amp;" · ","")&amp;IF(AND($V269="Sub",N($U269)=0),"Subactividad sin macroactividad arriba"&amp;" · ","")&amp;IF($AM269="","Sin fecha de inicio"&amp;" · ","")&amp;IF($AN269="","Sin fecha límite"&amp;" · ","")&amp;IF(AND(LEFT($C269,11)="[Jefatura] ",N($AL269)=0),"No se encuentra en la hoja de la jefatura (elíjala de nuevo en la lista)"&amp;" · ","")&amp;IF(OR(AND($E269&lt;&gt;"",NOT(ISNUMBER($E269))),AND($F269&lt;&gt;"",NOT(ISNUMBER($F269))),AND($G269&lt;&gt;"",NOT(ISNUMBER($G269)))),"Fecha no válida"&amp;" · ","")&amp;IF(AND(ISNUMBER($AM269),ISNUMBER($AN269),$AM269&gt;$AN269),"Inicio posterior a fecha límite"&amp;" · ","")&amp;IF(AND($V269="Macro",$H269&lt;&gt;"",OR(NOT(ISNUMBER($H269)),$H269&lt;0,$H269&gt;1)),"Peso fuera de rango"&amp;" · ","")&amp;IF(AND($V269="Sub",$H269&lt;&gt;""),"Las subactividades no llevan peso (valen igual dentro de su macroactividad)"&amp;" · ","")&amp;IF(AND(N($W269)&gt;0,COUNT($I269:$L269)&gt;0),"Con subactividades: deje vacías las semanas (se calculan solas)"&amp;" · ","")&amp;IF((COUNTIF($I269:$L269,"&gt;1")+COUNTIF($I269:$L269,"&lt;0")+COUNTA($I269:$L269)-COUNT($I269:$L269))&gt;0,"Avance fuera de rango 0-100%"&amp;" · ","")&amp;IF(OR(AND($J269&lt;&gt;"",$J269&lt;$I269),AND($K269&lt;&gt;"",$K269&lt;MAX($I269:$J269)),AND($L269&lt;&gt;"",$L269&lt;MAX($I269:$K269))),"Avance semanal decreciente"&amp;" · ","")&amp;IF(AND(ISNUMBER($AN269),$AN269&lt;FechaRef,IF($V269="Sub",N($X269),N($M269))&lt;1),"Vencida"&amp;" · ","")&amp;IF(AND(ObsObligatoria="Sí",ISNUMBER($AN269),$AN269&lt;FechaRef,IF($V269="Sub",N($X269),N($M269))&lt;1,$Q269=""),"Vencida sin observación"&amp;" · ",""))-3)))</f>
        <v/>
      </c>
      <c r="S269" s="64">
        <f>IF(NOT((COUNTA($B269:$D269)+COUNTA($G269:$L269)+COUNTA($Q269))&gt;0),"",IF(AND($V269="Sub",N($U269)&gt;0),IF(ISNUMBER(INDEX($AM$5:$AM$1000,$U269-4)),DATE(YEAR(INDEX($AM$5:$AM$1000,$U269-4)),MONTH(INDEX($AM$5:$AM$1000,$U269-4)),1),IF(ISNUMBER(INDEX($AN$5:$AN$1000,$U269-4)),DATE(YEAR(INDEX($AN$5:$AN$1000,$U269-4)),MONTH(INDEX($AN$5:$AN$1000,$U269-4)),1),MesCiclo)),IF(ISNUMBER($AM269),DATE(YEAR($AM269),MONTH($AM269),1),IF(ISNUMBER($AN269),DATE(YEAR($AN269),MONTH($AN269),1),MesCiclo))))</f>
        <v/>
      </c>
      <c r="T269" s="62">
        <f>IF(OR($S269="",$S269&lt;&gt;MesCiclo,$V269&lt;&gt;"Macro"),"",COUNTIFS($S$5:$S269,MesCiclo,$V$5:$V269,"Macro"))</f>
        <v/>
      </c>
      <c r="U269" s="62">
        <f>IF($V269="","",IF($V269="Macro",ROW(),IFERROR(LOOKUP(2,1/($V$5:$V269="Macro"),ROW($V$5:$V269)),0)))</f>
        <v/>
      </c>
      <c r="V269" s="62">
        <f>IF(NOT((COUNTA($B269:$D269)+COUNTA($G269:$L269)+COUNTA($Q269))&gt;0),"",IF($B269="Subactividad","Sub","Macro"))</f>
        <v/>
      </c>
      <c r="W269" s="62">
        <f>IF($V269="Macro",COUNTIFS($U$5:$U$1000,ROW(),$V$5:$V$1000,"Sub"),"")</f>
        <v/>
      </c>
      <c r="X269" s="62">
        <f>IF($V269="","",IF(ISNUMBER($G269),1,IFERROR(LOOKUP(2,1/($I269:$L269&lt;&gt;""),$I269:$L269),0)))</f>
        <v/>
      </c>
      <c r="Y269" s="62">
        <f>IF($V269="","",IF(AND(ISNUMBER($G269),$G269&lt;=IF($S269=MesCiclo,InicioCiclo,$S269+MOD(2-WEEKDAY($S269),7))+6),1,IF(ISNUMBER($I269),$I269,0)))</f>
        <v/>
      </c>
      <c r="Z269" s="62">
        <f>IF($V269="","",IF(AND(ISNUMBER($G269),$G269&lt;=IF($S269=MesCiclo,InicioCiclo,$S269+MOD(2-WEEKDAY($S269),7))+13),1,IF(ISNUMBER($J269),$J269,$Y269)))</f>
        <v/>
      </c>
      <c r="AA269" s="62">
        <f>IF($V269="","",IF(AND(ISNUMBER($G269),$G269&lt;=IF($S269=MesCiclo,InicioCiclo,$S269+MOD(2-WEEKDAY($S269),7))+20),1,IF(ISNUMBER($K269),$K269,$Z269)))</f>
        <v/>
      </c>
      <c r="AB269" s="62">
        <f>IF($V269="","",IF(AND(ISNUMBER($G269),$G269&lt;=IF($S269=MesCiclo,InicioCiclo,$S269+MOD(2-WEEKDAY($S269),7))+27),1,IF(ISNUMBER($L269),$L269,$AA269)))</f>
        <v/>
      </c>
      <c r="AC269" s="62">
        <f>IF($V269="","",IF(AND(ISNUMBER($G269),$G269&lt;=IF($S269=MesCiclo,InicioCiclo,$S269+MOD(2-WEEKDAY($S269),7))+6),1,IF(N($W269)&gt;0,AVERAGEIFS($Y$5:$Y$1000,$U$5:$U$1000,ROW(),$V$5:$V$1000,"Sub"),$Y269)))</f>
        <v/>
      </c>
      <c r="AD269" s="62">
        <f>IF($V269="","",IF(AND(ISNUMBER($G269),$G269&lt;=IF($S269=MesCiclo,InicioCiclo,$S269+MOD(2-WEEKDAY($S269),7))+13),1,IF(N($W269)&gt;0,AVERAGEIFS($Z$5:$Z$1000,$U$5:$U$1000,ROW(),$V$5:$V$1000,"Sub"),$Z269)))</f>
        <v/>
      </c>
      <c r="AE269" s="62">
        <f>IF($V269="","",IF(AND(ISNUMBER($G269),$G269&lt;=IF($S269=MesCiclo,InicioCiclo,$S269+MOD(2-WEEKDAY($S269),7))+20),1,IF(N($W269)&gt;0,AVERAGEIFS($AA$5:$AA$1000,$U$5:$U$1000,ROW(),$V$5:$V$1000,"Sub"),$AA269)))</f>
        <v/>
      </c>
      <c r="AF269" s="62">
        <f>IF($V269="","",IF(AND(ISNUMBER($G269),$G269&lt;=IF($S269=MesCiclo,InicioCiclo,$S269+MOD(2-WEEKDAY($S269),7))+27),1,IF(N($W269)&gt;0,AVERAGEIFS($AB$5:$AB$1000,$U$5:$U$1000,ROW(),$V$5:$V$1000,"Sub"),$AB269)))</f>
        <v/>
      </c>
      <c r="AG269" s="62">
        <f>IF($V269&lt;&gt;"Macro","",IF(COUNTIFS($S$5:$S$1000,$S269,$V$5:$V$1000,"Macro",$H$5:$H$1000,"&gt;0")=0,1/COUNTIFS($S$5:$S$1000,$S269,$V$5:$V$1000,"Macro"),IF(AND(ISNUMBER($H269),N($H269)&gt;0),$H269,SUMIFS($H$5:$H$1000,$S$5:$S$1000,$S269,$V$5:$V$1000,"Macro")/COUNTIFS($S$5:$S$1000,$S269,$V$5:$V$1000,"Macro",$H$5:$H$1000,"&gt;0"))/(COUNTIFS($S$5:$S$1000,$S269,$V$5:$V$1000,"Macro")*SUMIFS($H$5:$H$1000,$S$5:$S$1000,$S269,$V$5:$V$1000,"Macro")/COUNTIFS($S$5:$S$1000,$S269,$V$5:$V$1000,"Macro",$H$5:$H$1000,"&gt;0"))))</f>
        <v/>
      </c>
      <c r="AH269" s="62">
        <f>IF(NOT(AND($D269&lt;&gt;"",$V269="Macro")),"",IFERROR(CHOOSE(MATCH($D269,ListaPuestos,0),MATCH("[Jefatura] "&amp;$C269,'Cronograma R. Operacional'!$C$5:$C$1000,0),MATCH("[Jefatura] "&amp;$C269,'Cronograma R. Normativo'!$C$5:$C$1000,0),MATCH("[Jefatura] "&amp;$C269,'Cronograma R. Financiero'!$C$5:$C$1000,0),MATCH("[Jefatura] "&amp;$C269,'Cronograma Asistente Técnico'!$C$5:$C$1000,0)),0))</f>
        <v/>
      </c>
      <c r="AI269" s="62">
        <f>IF(AND(AND($D269&lt;&gt;"",$V269="Macro"),$S269=MesCiclo),COUNTIFS($D$5:$D269,$D269,$S$5:$S269,MesCiclo,$V$5:$V269,"Macro"),"")</f>
        <v/>
      </c>
      <c r="AJ269" s="62">
        <f>IF($AI269="","",$D269&amp;"|"&amp;$AI269)</f>
        <v/>
      </c>
      <c r="AK269" s="62">
        <f>IF(AND($D269&lt;&gt;"",$V269="Macro"),$D269&amp;"|"&amp;$C269,"")</f>
        <v/>
      </c>
      <c r="AL269" s="62">
        <f>""</f>
        <v/>
      </c>
      <c r="AM269" s="62">
        <f>IF(N($AL269)&gt;0,INDEX(rIni_ADM,$AL269),IF(ISNUMBER($E269),$E269,""))</f>
        <v/>
      </c>
      <c r="AN269" s="62">
        <f>IF(N($AL269)&gt;0,INDEX(rLim_ADM,$AL269),IF(ISNUMBER($F269),$F269,""))</f>
        <v/>
      </c>
    </row>
    <row r="270">
      <c r="A270" s="56">
        <f>IF(NOT((COUNTA($B270:$D270)+COUNTA($G270:$L270)+COUNTA($Q270))&gt;0),"",IF($V270="Macro",COUNTIFS($V$5:$V270,"Macro",$S$5:$S270,$S270),IF(N($U270)=0,"?",COUNTIFS(INDEX($V$5:$V$1000,1):INDEX($V$5:$V$1000,$U270-4),"Macro",INDEX($S$5:$S$1000,1):INDEX($S$5:$S$1000,$U270-4),INDEX($S$5:$S$1000,$U270-4))&amp;"."&amp;COUNTIFS($U$5:$U270,$U270,$V$5:$V270,"Sub"))))</f>
        <v/>
      </c>
      <c r="B270" s="57" t="n"/>
      <c r="C270" s="58" t="n"/>
      <c r="D270" s="58" t="n"/>
      <c r="E270" s="59" t="n"/>
      <c r="F270" s="59" t="n"/>
      <c r="G270" s="59" t="n"/>
      <c r="H270" s="60" t="n"/>
      <c r="I270" s="60" t="n"/>
      <c r="J270" s="60" t="n"/>
      <c r="K270" s="60" t="n"/>
      <c r="L270" s="60" t="n"/>
      <c r="M270" s="61">
        <f>IF(NOT((COUNTA($B270:$D270)+COUNTA($G270:$L270)+COUNTA($Q270))&gt;0),"",IF(AND($D270&lt;&gt;"",$V270="Macro"),IF(N($AH270)&gt;0,N(CHOOSE(MATCH($D270,ListaPuestos,0),INDEX('Cronograma R. Operacional'!$M$5:$M$1000,$AH270),INDEX('Cronograma R. Normativo'!$M$5:$M$1000,$AH270),INDEX('Cronograma R. Financiero'!$M$5:$M$1000,$AH270),INDEX('Cronograma Asistente Técnico'!$M$5:$M$1000,$AH270))),0),IF(ISNUMBER($G270),1,IF(N($W270)&gt;0,AVERAGEIFS($X$5:$X$1000,$U$5:$U$1000,ROW(),$V$5:$V$1000,"Sub"),$X270))))</f>
        <v/>
      </c>
      <c r="N270" s="56">
        <f>IF(OR($M270="",$V270="Sub"),"",IF($M270&gt;=1,"Completado",IF($M270&gt;0,"En curso","Pendiente")))</f>
        <v/>
      </c>
      <c r="O270" s="56">
        <f>IF(NOT((COUNTA($B270:$D270)+COUNTA($G270:$L270)+COUNTA($Q270))&gt;0),"",IF(AND(AND($D270&lt;&gt;"",$V270="Macro"),N($AH270)&gt;0),CHOOSE(MATCH($D270,ListaPuestos,0),INDEX('Cronograma R. Operacional'!$O$5:$O$1000,$AH270),INDEX('Cronograma R. Normativo'!$O$5:$O$1000,$AH270),INDEX('Cronograma R. Financiero'!$O$5:$O$1000,$AH270),INDEX('Cronograma Asistente Técnico'!$O$5:$O$1000,$AH270))&amp;"",IF(ISNUMBER($G270),IF(AND(ISNUMBER($AN270),$G270&gt;$AN270),"Cumplida con "&amp;($G270-$AN270)&amp;IF($G270-$AN270=1," día"," días")&amp;" de retraso","Cumplida"),IF(N($M270)&gt;=1,"Cumplida",IF(NOT(ISNUMBER($AN270)),"Sin fecha límite",IF($AN270&lt;FechaRef,"Vencida hace "&amp;(FechaRef-$AN270)&amp;IF(FechaRef-$AN270=1," día"," días"),IF($AN270=FechaRef,"Vence hoy",IF($AN270-FechaRef&lt;=DiasAlerta,"Vence en "&amp;($AN270-FechaRef)&amp;IF($AN270-FechaRef=1," día"," días"),"En plazo"))))))))</f>
        <v/>
      </c>
      <c r="P270" s="62">
        <f>IF(NOT((COUNTA($B270:$D270)+COUNTA($G270:$L270)+COUNTA($Q270))&gt;0),"",IF($D270="","Propia",IF($V270&lt;&gt;"Macro","Solo se delegan macroactividades",IF(N($AH270)&gt;0,"✔ Recibida por "&amp;$D270,"⚠ "&amp;$D270&amp;" aún no la agrega"))))</f>
        <v/>
      </c>
      <c r="Q270" s="58" t="n"/>
      <c r="R270" s="63">
        <f>IF(NOT((COUNTA($B270:$D270)+COUNTA($G270:$L270)+COUNTA($Q270))&gt;0),"",IF((IF($C270="","Falta el nombre de la actividad"&amp;" · ","")&amp;IF(AND($V270="Sub",N($U270)=0),"Subactividad sin macroactividad arriba"&amp;" · ","")&amp;IF($AM270="","Sin fecha de inicio"&amp;" · ","")&amp;IF($AN270="","Sin fecha límite"&amp;" · ","")&amp;IF(AND(LEFT($C270,11)="[Jefatura] ",N($AL270)=0),"No se encuentra en la hoja de la jefatura (elíjala de nuevo en la lista)"&amp;" · ","")&amp;IF(OR(AND($E270&lt;&gt;"",NOT(ISNUMBER($E270))),AND($F270&lt;&gt;"",NOT(ISNUMBER($F270))),AND($G270&lt;&gt;"",NOT(ISNUMBER($G270)))),"Fecha no válida"&amp;" · ","")&amp;IF(AND(ISNUMBER($AM270),ISNUMBER($AN270),$AM270&gt;$AN270),"Inicio posterior a fecha límite"&amp;" · ","")&amp;IF(AND($V270="Macro",$H270&lt;&gt;"",OR(NOT(ISNUMBER($H270)),$H270&lt;0,$H270&gt;1)),"Peso fuera de rango"&amp;" · ","")&amp;IF(AND($V270="Sub",$H270&lt;&gt;""),"Las subactividades no llevan peso (valen igual dentro de su macroactividad)"&amp;" · ","")&amp;IF(AND(N($W270)&gt;0,COUNT($I270:$L270)&gt;0),"Con subactividades: deje vacías las semanas (se calculan solas)"&amp;" · ","")&amp;IF((COUNTIF($I270:$L270,"&gt;1")+COUNTIF($I270:$L270,"&lt;0")+COUNTA($I270:$L270)-COUNT($I270:$L270))&gt;0,"Avance fuera de rango 0-100%"&amp;" · ","")&amp;IF(OR(AND($J270&lt;&gt;"",$J270&lt;$I270),AND($K270&lt;&gt;"",$K270&lt;MAX($I270:$J270)),AND($L270&lt;&gt;"",$L270&lt;MAX($I270:$K270))),"Avance semanal decreciente"&amp;" · ","")&amp;IF(AND(ISNUMBER($AN270),$AN270&lt;FechaRef,IF($V270="Sub",N($X270),N($M270))&lt;1),"Vencida"&amp;" · ","")&amp;IF(AND(ObsObligatoria="Sí",ISNUMBER($AN270),$AN270&lt;FechaRef,IF($V270="Sub",N($X270),N($M270))&lt;1,$Q270=""),"Vencida sin observación"&amp;" · ",""))="","✔ OK","⚠ "&amp;LEFT(IF($C270="","Falta el nombre de la actividad"&amp;" · ","")&amp;IF(AND($V270="Sub",N($U270)=0),"Subactividad sin macroactividad arriba"&amp;" · ","")&amp;IF($AM270="","Sin fecha de inicio"&amp;" · ","")&amp;IF($AN270="","Sin fecha límite"&amp;" · ","")&amp;IF(AND(LEFT($C270,11)="[Jefatura] ",N($AL270)=0),"No se encuentra en la hoja de la jefatura (elíjala de nuevo en la lista)"&amp;" · ","")&amp;IF(OR(AND($E270&lt;&gt;"",NOT(ISNUMBER($E270))),AND($F270&lt;&gt;"",NOT(ISNUMBER($F270))),AND($G270&lt;&gt;"",NOT(ISNUMBER($G270)))),"Fecha no válida"&amp;" · ","")&amp;IF(AND(ISNUMBER($AM270),ISNUMBER($AN270),$AM270&gt;$AN270),"Inicio posterior a fecha límite"&amp;" · ","")&amp;IF(AND($V270="Macro",$H270&lt;&gt;"",OR(NOT(ISNUMBER($H270)),$H270&lt;0,$H270&gt;1)),"Peso fuera de rango"&amp;" · ","")&amp;IF(AND($V270="Sub",$H270&lt;&gt;""),"Las subactividades no llevan peso (valen igual dentro de su macroactividad)"&amp;" · ","")&amp;IF(AND(N($W270)&gt;0,COUNT($I270:$L270)&gt;0),"Con subactividades: deje vacías las semanas (se calculan solas)"&amp;" · ","")&amp;IF((COUNTIF($I270:$L270,"&gt;1")+COUNTIF($I270:$L270,"&lt;0")+COUNTA($I270:$L270)-COUNT($I270:$L270))&gt;0,"Avance fuera de rango 0-100%"&amp;" · ","")&amp;IF(OR(AND($J270&lt;&gt;"",$J270&lt;$I270),AND($K270&lt;&gt;"",$K270&lt;MAX($I270:$J270)),AND($L270&lt;&gt;"",$L270&lt;MAX($I270:$K270))),"Avance semanal decreciente"&amp;" · ","")&amp;IF(AND(ISNUMBER($AN270),$AN270&lt;FechaRef,IF($V270="Sub",N($X270),N($M270))&lt;1),"Vencida"&amp;" · ","")&amp;IF(AND(ObsObligatoria="Sí",ISNUMBER($AN270),$AN270&lt;FechaRef,IF($V270="Sub",N($X270),N($M270))&lt;1,$Q270=""),"Vencida sin observación"&amp;" · ",""),LEN(IF($C270="","Falta el nombre de la actividad"&amp;" · ","")&amp;IF(AND($V270="Sub",N($U270)=0),"Subactividad sin macroactividad arriba"&amp;" · ","")&amp;IF($AM270="","Sin fecha de inicio"&amp;" · ","")&amp;IF($AN270="","Sin fecha límite"&amp;" · ","")&amp;IF(AND(LEFT($C270,11)="[Jefatura] ",N($AL270)=0),"No se encuentra en la hoja de la jefatura (elíjala de nuevo en la lista)"&amp;" · ","")&amp;IF(OR(AND($E270&lt;&gt;"",NOT(ISNUMBER($E270))),AND($F270&lt;&gt;"",NOT(ISNUMBER($F270))),AND($G270&lt;&gt;"",NOT(ISNUMBER($G270)))),"Fecha no válida"&amp;" · ","")&amp;IF(AND(ISNUMBER($AM270),ISNUMBER($AN270),$AM270&gt;$AN270),"Inicio posterior a fecha límite"&amp;" · ","")&amp;IF(AND($V270="Macro",$H270&lt;&gt;"",OR(NOT(ISNUMBER($H270)),$H270&lt;0,$H270&gt;1)),"Peso fuera de rango"&amp;" · ","")&amp;IF(AND($V270="Sub",$H270&lt;&gt;""),"Las subactividades no llevan peso (valen igual dentro de su macroactividad)"&amp;" · ","")&amp;IF(AND(N($W270)&gt;0,COUNT($I270:$L270)&gt;0),"Con subactividades: deje vacías las semanas (se calculan solas)"&amp;" · ","")&amp;IF((COUNTIF($I270:$L270,"&gt;1")+COUNTIF($I270:$L270,"&lt;0")+COUNTA($I270:$L270)-COUNT($I270:$L270))&gt;0,"Avance fuera de rango 0-100%"&amp;" · ","")&amp;IF(OR(AND($J270&lt;&gt;"",$J270&lt;$I270),AND($K270&lt;&gt;"",$K270&lt;MAX($I270:$J270)),AND($L270&lt;&gt;"",$L270&lt;MAX($I270:$K270))),"Avance semanal decreciente"&amp;" · ","")&amp;IF(AND(ISNUMBER($AN270),$AN270&lt;FechaRef,IF($V270="Sub",N($X270),N($M270))&lt;1),"Vencida"&amp;" · ","")&amp;IF(AND(ObsObligatoria="Sí",ISNUMBER($AN270),$AN270&lt;FechaRef,IF($V270="Sub",N($X270),N($M270))&lt;1,$Q270=""),"Vencida sin observación"&amp;" · ",""))-3)))</f>
        <v/>
      </c>
      <c r="S270" s="64">
        <f>IF(NOT((COUNTA($B270:$D270)+COUNTA($G270:$L270)+COUNTA($Q270))&gt;0),"",IF(AND($V270="Sub",N($U270)&gt;0),IF(ISNUMBER(INDEX($AM$5:$AM$1000,$U270-4)),DATE(YEAR(INDEX($AM$5:$AM$1000,$U270-4)),MONTH(INDEX($AM$5:$AM$1000,$U270-4)),1),IF(ISNUMBER(INDEX($AN$5:$AN$1000,$U270-4)),DATE(YEAR(INDEX($AN$5:$AN$1000,$U270-4)),MONTH(INDEX($AN$5:$AN$1000,$U270-4)),1),MesCiclo)),IF(ISNUMBER($AM270),DATE(YEAR($AM270),MONTH($AM270),1),IF(ISNUMBER($AN270),DATE(YEAR($AN270),MONTH($AN270),1),MesCiclo))))</f>
        <v/>
      </c>
      <c r="T270" s="62">
        <f>IF(OR($S270="",$S270&lt;&gt;MesCiclo,$V270&lt;&gt;"Macro"),"",COUNTIFS($S$5:$S270,MesCiclo,$V$5:$V270,"Macro"))</f>
        <v/>
      </c>
      <c r="U270" s="62">
        <f>IF($V270="","",IF($V270="Macro",ROW(),IFERROR(LOOKUP(2,1/($V$5:$V270="Macro"),ROW($V$5:$V270)),0)))</f>
        <v/>
      </c>
      <c r="V270" s="62">
        <f>IF(NOT((COUNTA($B270:$D270)+COUNTA($G270:$L270)+COUNTA($Q270))&gt;0),"",IF($B270="Subactividad","Sub","Macro"))</f>
        <v/>
      </c>
      <c r="W270" s="62">
        <f>IF($V270="Macro",COUNTIFS($U$5:$U$1000,ROW(),$V$5:$V$1000,"Sub"),"")</f>
        <v/>
      </c>
      <c r="X270" s="62">
        <f>IF($V270="","",IF(ISNUMBER($G270),1,IFERROR(LOOKUP(2,1/($I270:$L270&lt;&gt;""),$I270:$L270),0)))</f>
        <v/>
      </c>
      <c r="Y270" s="62">
        <f>IF($V270="","",IF(AND(ISNUMBER($G270),$G270&lt;=IF($S270=MesCiclo,InicioCiclo,$S270+MOD(2-WEEKDAY($S270),7))+6),1,IF(ISNUMBER($I270),$I270,0)))</f>
        <v/>
      </c>
      <c r="Z270" s="62">
        <f>IF($V270="","",IF(AND(ISNUMBER($G270),$G270&lt;=IF($S270=MesCiclo,InicioCiclo,$S270+MOD(2-WEEKDAY($S270),7))+13),1,IF(ISNUMBER($J270),$J270,$Y270)))</f>
        <v/>
      </c>
      <c r="AA270" s="62">
        <f>IF($V270="","",IF(AND(ISNUMBER($G270),$G270&lt;=IF($S270=MesCiclo,InicioCiclo,$S270+MOD(2-WEEKDAY($S270),7))+20),1,IF(ISNUMBER($K270),$K270,$Z270)))</f>
        <v/>
      </c>
      <c r="AB270" s="62">
        <f>IF($V270="","",IF(AND(ISNUMBER($G270),$G270&lt;=IF($S270=MesCiclo,InicioCiclo,$S270+MOD(2-WEEKDAY($S270),7))+27),1,IF(ISNUMBER($L270),$L270,$AA270)))</f>
        <v/>
      </c>
      <c r="AC270" s="62">
        <f>IF($V270="","",IF(AND(ISNUMBER($G270),$G270&lt;=IF($S270=MesCiclo,InicioCiclo,$S270+MOD(2-WEEKDAY($S270),7))+6),1,IF(N($W270)&gt;0,AVERAGEIFS($Y$5:$Y$1000,$U$5:$U$1000,ROW(),$V$5:$V$1000,"Sub"),$Y270)))</f>
        <v/>
      </c>
      <c r="AD270" s="62">
        <f>IF($V270="","",IF(AND(ISNUMBER($G270),$G270&lt;=IF($S270=MesCiclo,InicioCiclo,$S270+MOD(2-WEEKDAY($S270),7))+13),1,IF(N($W270)&gt;0,AVERAGEIFS($Z$5:$Z$1000,$U$5:$U$1000,ROW(),$V$5:$V$1000,"Sub"),$Z270)))</f>
        <v/>
      </c>
      <c r="AE270" s="62">
        <f>IF($V270="","",IF(AND(ISNUMBER($G270),$G270&lt;=IF($S270=MesCiclo,InicioCiclo,$S270+MOD(2-WEEKDAY($S270),7))+20),1,IF(N($W270)&gt;0,AVERAGEIFS($AA$5:$AA$1000,$U$5:$U$1000,ROW(),$V$5:$V$1000,"Sub"),$AA270)))</f>
        <v/>
      </c>
      <c r="AF270" s="62">
        <f>IF($V270="","",IF(AND(ISNUMBER($G270),$G270&lt;=IF($S270=MesCiclo,InicioCiclo,$S270+MOD(2-WEEKDAY($S270),7))+27),1,IF(N($W270)&gt;0,AVERAGEIFS($AB$5:$AB$1000,$U$5:$U$1000,ROW(),$V$5:$V$1000,"Sub"),$AB270)))</f>
        <v/>
      </c>
      <c r="AG270" s="62">
        <f>IF($V270&lt;&gt;"Macro","",IF(COUNTIFS($S$5:$S$1000,$S270,$V$5:$V$1000,"Macro",$H$5:$H$1000,"&gt;0")=0,1/COUNTIFS($S$5:$S$1000,$S270,$V$5:$V$1000,"Macro"),IF(AND(ISNUMBER($H270),N($H270)&gt;0),$H270,SUMIFS($H$5:$H$1000,$S$5:$S$1000,$S270,$V$5:$V$1000,"Macro")/COUNTIFS($S$5:$S$1000,$S270,$V$5:$V$1000,"Macro",$H$5:$H$1000,"&gt;0"))/(COUNTIFS($S$5:$S$1000,$S270,$V$5:$V$1000,"Macro")*SUMIFS($H$5:$H$1000,$S$5:$S$1000,$S270,$V$5:$V$1000,"Macro")/COUNTIFS($S$5:$S$1000,$S270,$V$5:$V$1000,"Macro",$H$5:$H$1000,"&gt;0"))))</f>
        <v/>
      </c>
      <c r="AH270" s="62">
        <f>IF(NOT(AND($D270&lt;&gt;"",$V270="Macro")),"",IFERROR(CHOOSE(MATCH($D270,ListaPuestos,0),MATCH("[Jefatura] "&amp;$C270,'Cronograma R. Operacional'!$C$5:$C$1000,0),MATCH("[Jefatura] "&amp;$C270,'Cronograma R. Normativo'!$C$5:$C$1000,0),MATCH("[Jefatura] "&amp;$C270,'Cronograma R. Financiero'!$C$5:$C$1000,0),MATCH("[Jefatura] "&amp;$C270,'Cronograma Asistente Técnico'!$C$5:$C$1000,0)),0))</f>
        <v/>
      </c>
      <c r="AI270" s="62">
        <f>IF(AND(AND($D270&lt;&gt;"",$V270="Macro"),$S270=MesCiclo),COUNTIFS($D$5:$D270,$D270,$S$5:$S270,MesCiclo,$V$5:$V270,"Macro"),"")</f>
        <v/>
      </c>
      <c r="AJ270" s="62">
        <f>IF($AI270="","",$D270&amp;"|"&amp;$AI270)</f>
        <v/>
      </c>
      <c r="AK270" s="62">
        <f>IF(AND($D270&lt;&gt;"",$V270="Macro"),$D270&amp;"|"&amp;$C270,"")</f>
        <v/>
      </c>
      <c r="AL270" s="62">
        <f>""</f>
        <v/>
      </c>
      <c r="AM270" s="62">
        <f>IF(N($AL270)&gt;0,INDEX(rIni_ADM,$AL270),IF(ISNUMBER($E270),$E270,""))</f>
        <v/>
      </c>
      <c r="AN270" s="62">
        <f>IF(N($AL270)&gt;0,INDEX(rLim_ADM,$AL270),IF(ISNUMBER($F270),$F270,""))</f>
        <v/>
      </c>
    </row>
    <row r="271">
      <c r="A271" s="56">
        <f>IF(NOT((COUNTA($B271:$D271)+COUNTA($G271:$L271)+COUNTA($Q271))&gt;0),"",IF($V271="Macro",COUNTIFS($V$5:$V271,"Macro",$S$5:$S271,$S271),IF(N($U271)=0,"?",COUNTIFS(INDEX($V$5:$V$1000,1):INDEX($V$5:$V$1000,$U271-4),"Macro",INDEX($S$5:$S$1000,1):INDEX($S$5:$S$1000,$U271-4),INDEX($S$5:$S$1000,$U271-4))&amp;"."&amp;COUNTIFS($U$5:$U271,$U271,$V$5:$V271,"Sub"))))</f>
        <v/>
      </c>
      <c r="B271" s="57" t="n"/>
      <c r="C271" s="58" t="n"/>
      <c r="D271" s="58" t="n"/>
      <c r="E271" s="59" t="n"/>
      <c r="F271" s="59" t="n"/>
      <c r="G271" s="59" t="n"/>
      <c r="H271" s="60" t="n"/>
      <c r="I271" s="60" t="n"/>
      <c r="J271" s="60" t="n"/>
      <c r="K271" s="60" t="n"/>
      <c r="L271" s="60" t="n"/>
      <c r="M271" s="61">
        <f>IF(NOT((COUNTA($B271:$D271)+COUNTA($G271:$L271)+COUNTA($Q271))&gt;0),"",IF(AND($D271&lt;&gt;"",$V271="Macro"),IF(N($AH271)&gt;0,N(CHOOSE(MATCH($D271,ListaPuestos,0),INDEX('Cronograma R. Operacional'!$M$5:$M$1000,$AH271),INDEX('Cronograma R. Normativo'!$M$5:$M$1000,$AH271),INDEX('Cronograma R. Financiero'!$M$5:$M$1000,$AH271),INDEX('Cronograma Asistente Técnico'!$M$5:$M$1000,$AH271))),0),IF(ISNUMBER($G271),1,IF(N($W271)&gt;0,AVERAGEIFS($X$5:$X$1000,$U$5:$U$1000,ROW(),$V$5:$V$1000,"Sub"),$X271))))</f>
        <v/>
      </c>
      <c r="N271" s="56">
        <f>IF(OR($M271="",$V271="Sub"),"",IF($M271&gt;=1,"Completado",IF($M271&gt;0,"En curso","Pendiente")))</f>
        <v/>
      </c>
      <c r="O271" s="56">
        <f>IF(NOT((COUNTA($B271:$D271)+COUNTA($G271:$L271)+COUNTA($Q271))&gt;0),"",IF(AND(AND($D271&lt;&gt;"",$V271="Macro"),N($AH271)&gt;0),CHOOSE(MATCH($D271,ListaPuestos,0),INDEX('Cronograma R. Operacional'!$O$5:$O$1000,$AH271),INDEX('Cronograma R. Normativo'!$O$5:$O$1000,$AH271),INDEX('Cronograma R. Financiero'!$O$5:$O$1000,$AH271),INDEX('Cronograma Asistente Técnico'!$O$5:$O$1000,$AH271))&amp;"",IF(ISNUMBER($G271),IF(AND(ISNUMBER($AN271),$G271&gt;$AN271),"Cumplida con "&amp;($G271-$AN271)&amp;IF($G271-$AN271=1," día"," días")&amp;" de retraso","Cumplida"),IF(N($M271)&gt;=1,"Cumplida",IF(NOT(ISNUMBER($AN271)),"Sin fecha límite",IF($AN271&lt;FechaRef,"Vencida hace "&amp;(FechaRef-$AN271)&amp;IF(FechaRef-$AN271=1," día"," días"),IF($AN271=FechaRef,"Vence hoy",IF($AN271-FechaRef&lt;=DiasAlerta,"Vence en "&amp;($AN271-FechaRef)&amp;IF($AN271-FechaRef=1," día"," días"),"En plazo"))))))))</f>
        <v/>
      </c>
      <c r="P271" s="62">
        <f>IF(NOT((COUNTA($B271:$D271)+COUNTA($G271:$L271)+COUNTA($Q271))&gt;0),"",IF($D271="","Propia",IF($V271&lt;&gt;"Macro","Solo se delegan macroactividades",IF(N($AH271)&gt;0,"✔ Recibida por "&amp;$D271,"⚠ "&amp;$D271&amp;" aún no la agrega"))))</f>
        <v/>
      </c>
      <c r="Q271" s="58" t="n"/>
      <c r="R271" s="63">
        <f>IF(NOT((COUNTA($B271:$D271)+COUNTA($G271:$L271)+COUNTA($Q271))&gt;0),"",IF((IF($C271="","Falta el nombre de la actividad"&amp;" · ","")&amp;IF(AND($V271="Sub",N($U271)=0),"Subactividad sin macroactividad arriba"&amp;" · ","")&amp;IF($AM271="","Sin fecha de inicio"&amp;" · ","")&amp;IF($AN271="","Sin fecha límite"&amp;" · ","")&amp;IF(AND(LEFT($C271,11)="[Jefatura] ",N($AL271)=0),"No se encuentra en la hoja de la jefatura (elíjala de nuevo en la lista)"&amp;" · ","")&amp;IF(OR(AND($E271&lt;&gt;"",NOT(ISNUMBER($E271))),AND($F271&lt;&gt;"",NOT(ISNUMBER($F271))),AND($G271&lt;&gt;"",NOT(ISNUMBER($G271)))),"Fecha no válida"&amp;" · ","")&amp;IF(AND(ISNUMBER($AM271),ISNUMBER($AN271),$AM271&gt;$AN271),"Inicio posterior a fecha límite"&amp;" · ","")&amp;IF(AND($V271="Macro",$H271&lt;&gt;"",OR(NOT(ISNUMBER($H271)),$H271&lt;0,$H271&gt;1)),"Peso fuera de rango"&amp;" · ","")&amp;IF(AND($V271="Sub",$H271&lt;&gt;""),"Las subactividades no llevan peso (valen igual dentro de su macroactividad)"&amp;" · ","")&amp;IF(AND(N($W271)&gt;0,COUNT($I271:$L271)&gt;0),"Con subactividades: deje vacías las semanas (se calculan solas)"&amp;" · ","")&amp;IF((COUNTIF($I271:$L271,"&gt;1")+COUNTIF($I271:$L271,"&lt;0")+COUNTA($I271:$L271)-COUNT($I271:$L271))&gt;0,"Avance fuera de rango 0-100%"&amp;" · ","")&amp;IF(OR(AND($J271&lt;&gt;"",$J271&lt;$I271),AND($K271&lt;&gt;"",$K271&lt;MAX($I271:$J271)),AND($L271&lt;&gt;"",$L271&lt;MAX($I271:$K271))),"Avance semanal decreciente"&amp;" · ","")&amp;IF(AND(ISNUMBER($AN271),$AN271&lt;FechaRef,IF($V271="Sub",N($X271),N($M271))&lt;1),"Vencida"&amp;" · ","")&amp;IF(AND(ObsObligatoria="Sí",ISNUMBER($AN271),$AN271&lt;FechaRef,IF($V271="Sub",N($X271),N($M271))&lt;1,$Q271=""),"Vencida sin observación"&amp;" · ",""))="","✔ OK","⚠ "&amp;LEFT(IF($C271="","Falta el nombre de la actividad"&amp;" · ","")&amp;IF(AND($V271="Sub",N($U271)=0),"Subactividad sin macroactividad arriba"&amp;" · ","")&amp;IF($AM271="","Sin fecha de inicio"&amp;" · ","")&amp;IF($AN271="","Sin fecha límite"&amp;" · ","")&amp;IF(AND(LEFT($C271,11)="[Jefatura] ",N($AL271)=0),"No se encuentra en la hoja de la jefatura (elíjala de nuevo en la lista)"&amp;" · ","")&amp;IF(OR(AND($E271&lt;&gt;"",NOT(ISNUMBER($E271))),AND($F271&lt;&gt;"",NOT(ISNUMBER($F271))),AND($G271&lt;&gt;"",NOT(ISNUMBER($G271)))),"Fecha no válida"&amp;" · ","")&amp;IF(AND(ISNUMBER($AM271),ISNUMBER($AN271),$AM271&gt;$AN271),"Inicio posterior a fecha límite"&amp;" · ","")&amp;IF(AND($V271="Macro",$H271&lt;&gt;"",OR(NOT(ISNUMBER($H271)),$H271&lt;0,$H271&gt;1)),"Peso fuera de rango"&amp;" · ","")&amp;IF(AND($V271="Sub",$H271&lt;&gt;""),"Las subactividades no llevan peso (valen igual dentro de su macroactividad)"&amp;" · ","")&amp;IF(AND(N($W271)&gt;0,COUNT($I271:$L271)&gt;0),"Con subactividades: deje vacías las semanas (se calculan solas)"&amp;" · ","")&amp;IF((COUNTIF($I271:$L271,"&gt;1")+COUNTIF($I271:$L271,"&lt;0")+COUNTA($I271:$L271)-COUNT($I271:$L271))&gt;0,"Avance fuera de rango 0-100%"&amp;" · ","")&amp;IF(OR(AND($J271&lt;&gt;"",$J271&lt;$I271),AND($K271&lt;&gt;"",$K271&lt;MAX($I271:$J271)),AND($L271&lt;&gt;"",$L271&lt;MAX($I271:$K271))),"Avance semanal decreciente"&amp;" · ","")&amp;IF(AND(ISNUMBER($AN271),$AN271&lt;FechaRef,IF($V271="Sub",N($X271),N($M271))&lt;1),"Vencida"&amp;" · ","")&amp;IF(AND(ObsObligatoria="Sí",ISNUMBER($AN271),$AN271&lt;FechaRef,IF($V271="Sub",N($X271),N($M271))&lt;1,$Q271=""),"Vencida sin observación"&amp;" · ",""),LEN(IF($C271="","Falta el nombre de la actividad"&amp;" · ","")&amp;IF(AND($V271="Sub",N($U271)=0),"Subactividad sin macroactividad arriba"&amp;" · ","")&amp;IF($AM271="","Sin fecha de inicio"&amp;" · ","")&amp;IF($AN271="","Sin fecha límite"&amp;" · ","")&amp;IF(AND(LEFT($C271,11)="[Jefatura] ",N($AL271)=0),"No se encuentra en la hoja de la jefatura (elíjala de nuevo en la lista)"&amp;" · ","")&amp;IF(OR(AND($E271&lt;&gt;"",NOT(ISNUMBER($E271))),AND($F271&lt;&gt;"",NOT(ISNUMBER($F271))),AND($G271&lt;&gt;"",NOT(ISNUMBER($G271)))),"Fecha no válida"&amp;" · ","")&amp;IF(AND(ISNUMBER($AM271),ISNUMBER($AN271),$AM271&gt;$AN271),"Inicio posterior a fecha límite"&amp;" · ","")&amp;IF(AND($V271="Macro",$H271&lt;&gt;"",OR(NOT(ISNUMBER($H271)),$H271&lt;0,$H271&gt;1)),"Peso fuera de rango"&amp;" · ","")&amp;IF(AND($V271="Sub",$H271&lt;&gt;""),"Las subactividades no llevan peso (valen igual dentro de su macroactividad)"&amp;" · ","")&amp;IF(AND(N($W271)&gt;0,COUNT($I271:$L271)&gt;0),"Con subactividades: deje vacías las semanas (se calculan solas)"&amp;" · ","")&amp;IF((COUNTIF($I271:$L271,"&gt;1")+COUNTIF($I271:$L271,"&lt;0")+COUNTA($I271:$L271)-COUNT($I271:$L271))&gt;0,"Avance fuera de rango 0-100%"&amp;" · ","")&amp;IF(OR(AND($J271&lt;&gt;"",$J271&lt;$I271),AND($K271&lt;&gt;"",$K271&lt;MAX($I271:$J271)),AND($L271&lt;&gt;"",$L271&lt;MAX($I271:$K271))),"Avance semanal decreciente"&amp;" · ","")&amp;IF(AND(ISNUMBER($AN271),$AN271&lt;FechaRef,IF($V271="Sub",N($X271),N($M271))&lt;1),"Vencida"&amp;" · ","")&amp;IF(AND(ObsObligatoria="Sí",ISNUMBER($AN271),$AN271&lt;FechaRef,IF($V271="Sub",N($X271),N($M271))&lt;1,$Q271=""),"Vencida sin observación"&amp;" · ",""))-3)))</f>
        <v/>
      </c>
      <c r="S271" s="64">
        <f>IF(NOT((COUNTA($B271:$D271)+COUNTA($G271:$L271)+COUNTA($Q271))&gt;0),"",IF(AND($V271="Sub",N($U271)&gt;0),IF(ISNUMBER(INDEX($AM$5:$AM$1000,$U271-4)),DATE(YEAR(INDEX($AM$5:$AM$1000,$U271-4)),MONTH(INDEX($AM$5:$AM$1000,$U271-4)),1),IF(ISNUMBER(INDEX($AN$5:$AN$1000,$U271-4)),DATE(YEAR(INDEX($AN$5:$AN$1000,$U271-4)),MONTH(INDEX($AN$5:$AN$1000,$U271-4)),1),MesCiclo)),IF(ISNUMBER($AM271),DATE(YEAR($AM271),MONTH($AM271),1),IF(ISNUMBER($AN271),DATE(YEAR($AN271),MONTH($AN271),1),MesCiclo))))</f>
        <v/>
      </c>
      <c r="T271" s="62">
        <f>IF(OR($S271="",$S271&lt;&gt;MesCiclo,$V271&lt;&gt;"Macro"),"",COUNTIFS($S$5:$S271,MesCiclo,$V$5:$V271,"Macro"))</f>
        <v/>
      </c>
      <c r="U271" s="62">
        <f>IF($V271="","",IF($V271="Macro",ROW(),IFERROR(LOOKUP(2,1/($V$5:$V271="Macro"),ROW($V$5:$V271)),0)))</f>
        <v/>
      </c>
      <c r="V271" s="62">
        <f>IF(NOT((COUNTA($B271:$D271)+COUNTA($G271:$L271)+COUNTA($Q271))&gt;0),"",IF($B271="Subactividad","Sub","Macro"))</f>
        <v/>
      </c>
      <c r="W271" s="62">
        <f>IF($V271="Macro",COUNTIFS($U$5:$U$1000,ROW(),$V$5:$V$1000,"Sub"),"")</f>
        <v/>
      </c>
      <c r="X271" s="62">
        <f>IF($V271="","",IF(ISNUMBER($G271),1,IFERROR(LOOKUP(2,1/($I271:$L271&lt;&gt;""),$I271:$L271),0)))</f>
        <v/>
      </c>
      <c r="Y271" s="62">
        <f>IF($V271="","",IF(AND(ISNUMBER($G271),$G271&lt;=IF($S271=MesCiclo,InicioCiclo,$S271+MOD(2-WEEKDAY($S271),7))+6),1,IF(ISNUMBER($I271),$I271,0)))</f>
        <v/>
      </c>
      <c r="Z271" s="62">
        <f>IF($V271="","",IF(AND(ISNUMBER($G271),$G271&lt;=IF($S271=MesCiclo,InicioCiclo,$S271+MOD(2-WEEKDAY($S271),7))+13),1,IF(ISNUMBER($J271),$J271,$Y271)))</f>
        <v/>
      </c>
      <c r="AA271" s="62">
        <f>IF($V271="","",IF(AND(ISNUMBER($G271),$G271&lt;=IF($S271=MesCiclo,InicioCiclo,$S271+MOD(2-WEEKDAY($S271),7))+20),1,IF(ISNUMBER($K271),$K271,$Z271)))</f>
        <v/>
      </c>
      <c r="AB271" s="62">
        <f>IF($V271="","",IF(AND(ISNUMBER($G271),$G271&lt;=IF($S271=MesCiclo,InicioCiclo,$S271+MOD(2-WEEKDAY($S271),7))+27),1,IF(ISNUMBER($L271),$L271,$AA271)))</f>
        <v/>
      </c>
      <c r="AC271" s="62">
        <f>IF($V271="","",IF(AND(ISNUMBER($G271),$G271&lt;=IF($S271=MesCiclo,InicioCiclo,$S271+MOD(2-WEEKDAY($S271),7))+6),1,IF(N($W271)&gt;0,AVERAGEIFS($Y$5:$Y$1000,$U$5:$U$1000,ROW(),$V$5:$V$1000,"Sub"),$Y271)))</f>
        <v/>
      </c>
      <c r="AD271" s="62">
        <f>IF($V271="","",IF(AND(ISNUMBER($G271),$G271&lt;=IF($S271=MesCiclo,InicioCiclo,$S271+MOD(2-WEEKDAY($S271),7))+13),1,IF(N($W271)&gt;0,AVERAGEIFS($Z$5:$Z$1000,$U$5:$U$1000,ROW(),$V$5:$V$1000,"Sub"),$Z271)))</f>
        <v/>
      </c>
      <c r="AE271" s="62">
        <f>IF($V271="","",IF(AND(ISNUMBER($G271),$G271&lt;=IF($S271=MesCiclo,InicioCiclo,$S271+MOD(2-WEEKDAY($S271),7))+20),1,IF(N($W271)&gt;0,AVERAGEIFS($AA$5:$AA$1000,$U$5:$U$1000,ROW(),$V$5:$V$1000,"Sub"),$AA271)))</f>
        <v/>
      </c>
      <c r="AF271" s="62">
        <f>IF($V271="","",IF(AND(ISNUMBER($G271),$G271&lt;=IF($S271=MesCiclo,InicioCiclo,$S271+MOD(2-WEEKDAY($S271),7))+27),1,IF(N($W271)&gt;0,AVERAGEIFS($AB$5:$AB$1000,$U$5:$U$1000,ROW(),$V$5:$V$1000,"Sub"),$AB271)))</f>
        <v/>
      </c>
      <c r="AG271" s="62">
        <f>IF($V271&lt;&gt;"Macro","",IF(COUNTIFS($S$5:$S$1000,$S271,$V$5:$V$1000,"Macro",$H$5:$H$1000,"&gt;0")=0,1/COUNTIFS($S$5:$S$1000,$S271,$V$5:$V$1000,"Macro"),IF(AND(ISNUMBER($H271),N($H271)&gt;0),$H271,SUMIFS($H$5:$H$1000,$S$5:$S$1000,$S271,$V$5:$V$1000,"Macro")/COUNTIFS($S$5:$S$1000,$S271,$V$5:$V$1000,"Macro",$H$5:$H$1000,"&gt;0"))/(COUNTIFS($S$5:$S$1000,$S271,$V$5:$V$1000,"Macro")*SUMIFS($H$5:$H$1000,$S$5:$S$1000,$S271,$V$5:$V$1000,"Macro")/COUNTIFS($S$5:$S$1000,$S271,$V$5:$V$1000,"Macro",$H$5:$H$1000,"&gt;0"))))</f>
        <v/>
      </c>
      <c r="AH271" s="62">
        <f>IF(NOT(AND($D271&lt;&gt;"",$V271="Macro")),"",IFERROR(CHOOSE(MATCH($D271,ListaPuestos,0),MATCH("[Jefatura] "&amp;$C271,'Cronograma R. Operacional'!$C$5:$C$1000,0),MATCH("[Jefatura] "&amp;$C271,'Cronograma R. Normativo'!$C$5:$C$1000,0),MATCH("[Jefatura] "&amp;$C271,'Cronograma R. Financiero'!$C$5:$C$1000,0),MATCH("[Jefatura] "&amp;$C271,'Cronograma Asistente Técnico'!$C$5:$C$1000,0)),0))</f>
        <v/>
      </c>
      <c r="AI271" s="62">
        <f>IF(AND(AND($D271&lt;&gt;"",$V271="Macro"),$S271=MesCiclo),COUNTIFS($D$5:$D271,$D271,$S$5:$S271,MesCiclo,$V$5:$V271,"Macro"),"")</f>
        <v/>
      </c>
      <c r="AJ271" s="62">
        <f>IF($AI271="","",$D271&amp;"|"&amp;$AI271)</f>
        <v/>
      </c>
      <c r="AK271" s="62">
        <f>IF(AND($D271&lt;&gt;"",$V271="Macro"),$D271&amp;"|"&amp;$C271,"")</f>
        <v/>
      </c>
      <c r="AL271" s="62">
        <f>""</f>
        <v/>
      </c>
      <c r="AM271" s="62">
        <f>IF(N($AL271)&gt;0,INDEX(rIni_ADM,$AL271),IF(ISNUMBER($E271),$E271,""))</f>
        <v/>
      </c>
      <c r="AN271" s="62">
        <f>IF(N($AL271)&gt;0,INDEX(rLim_ADM,$AL271),IF(ISNUMBER($F271),$F271,""))</f>
        <v/>
      </c>
    </row>
    <row r="272">
      <c r="A272" s="56">
        <f>IF(NOT((COUNTA($B272:$D272)+COUNTA($G272:$L272)+COUNTA($Q272))&gt;0),"",IF($V272="Macro",COUNTIFS($V$5:$V272,"Macro",$S$5:$S272,$S272),IF(N($U272)=0,"?",COUNTIFS(INDEX($V$5:$V$1000,1):INDEX($V$5:$V$1000,$U272-4),"Macro",INDEX($S$5:$S$1000,1):INDEX($S$5:$S$1000,$U272-4),INDEX($S$5:$S$1000,$U272-4))&amp;"."&amp;COUNTIFS($U$5:$U272,$U272,$V$5:$V272,"Sub"))))</f>
        <v/>
      </c>
      <c r="B272" s="57" t="n"/>
      <c r="C272" s="58" t="n"/>
      <c r="D272" s="58" t="n"/>
      <c r="E272" s="59" t="n"/>
      <c r="F272" s="59" t="n"/>
      <c r="G272" s="59" t="n"/>
      <c r="H272" s="60" t="n"/>
      <c r="I272" s="60" t="n"/>
      <c r="J272" s="60" t="n"/>
      <c r="K272" s="60" t="n"/>
      <c r="L272" s="60" t="n"/>
      <c r="M272" s="61">
        <f>IF(NOT((COUNTA($B272:$D272)+COUNTA($G272:$L272)+COUNTA($Q272))&gt;0),"",IF(AND($D272&lt;&gt;"",$V272="Macro"),IF(N($AH272)&gt;0,N(CHOOSE(MATCH($D272,ListaPuestos,0),INDEX('Cronograma R. Operacional'!$M$5:$M$1000,$AH272),INDEX('Cronograma R. Normativo'!$M$5:$M$1000,$AH272),INDEX('Cronograma R. Financiero'!$M$5:$M$1000,$AH272),INDEX('Cronograma Asistente Técnico'!$M$5:$M$1000,$AH272))),0),IF(ISNUMBER($G272),1,IF(N($W272)&gt;0,AVERAGEIFS($X$5:$X$1000,$U$5:$U$1000,ROW(),$V$5:$V$1000,"Sub"),$X272))))</f>
        <v/>
      </c>
      <c r="N272" s="56">
        <f>IF(OR($M272="",$V272="Sub"),"",IF($M272&gt;=1,"Completado",IF($M272&gt;0,"En curso","Pendiente")))</f>
        <v/>
      </c>
      <c r="O272" s="56">
        <f>IF(NOT((COUNTA($B272:$D272)+COUNTA($G272:$L272)+COUNTA($Q272))&gt;0),"",IF(AND(AND($D272&lt;&gt;"",$V272="Macro"),N($AH272)&gt;0),CHOOSE(MATCH($D272,ListaPuestos,0),INDEX('Cronograma R. Operacional'!$O$5:$O$1000,$AH272),INDEX('Cronograma R. Normativo'!$O$5:$O$1000,$AH272),INDEX('Cronograma R. Financiero'!$O$5:$O$1000,$AH272),INDEX('Cronograma Asistente Técnico'!$O$5:$O$1000,$AH272))&amp;"",IF(ISNUMBER($G272),IF(AND(ISNUMBER($AN272),$G272&gt;$AN272),"Cumplida con "&amp;($G272-$AN272)&amp;IF($G272-$AN272=1," día"," días")&amp;" de retraso","Cumplida"),IF(N($M272)&gt;=1,"Cumplida",IF(NOT(ISNUMBER($AN272)),"Sin fecha límite",IF($AN272&lt;FechaRef,"Vencida hace "&amp;(FechaRef-$AN272)&amp;IF(FechaRef-$AN272=1," día"," días"),IF($AN272=FechaRef,"Vence hoy",IF($AN272-FechaRef&lt;=DiasAlerta,"Vence en "&amp;($AN272-FechaRef)&amp;IF($AN272-FechaRef=1," día"," días"),"En plazo"))))))))</f>
        <v/>
      </c>
      <c r="P272" s="62">
        <f>IF(NOT((COUNTA($B272:$D272)+COUNTA($G272:$L272)+COUNTA($Q272))&gt;0),"",IF($D272="","Propia",IF($V272&lt;&gt;"Macro","Solo se delegan macroactividades",IF(N($AH272)&gt;0,"✔ Recibida por "&amp;$D272,"⚠ "&amp;$D272&amp;" aún no la agrega"))))</f>
        <v/>
      </c>
      <c r="Q272" s="58" t="n"/>
      <c r="R272" s="63">
        <f>IF(NOT((COUNTA($B272:$D272)+COUNTA($G272:$L272)+COUNTA($Q272))&gt;0),"",IF((IF($C272="","Falta el nombre de la actividad"&amp;" · ","")&amp;IF(AND($V272="Sub",N($U272)=0),"Subactividad sin macroactividad arriba"&amp;" · ","")&amp;IF($AM272="","Sin fecha de inicio"&amp;" · ","")&amp;IF($AN272="","Sin fecha límite"&amp;" · ","")&amp;IF(AND(LEFT($C272,11)="[Jefatura] ",N($AL272)=0),"No se encuentra en la hoja de la jefatura (elíjala de nuevo en la lista)"&amp;" · ","")&amp;IF(OR(AND($E272&lt;&gt;"",NOT(ISNUMBER($E272))),AND($F272&lt;&gt;"",NOT(ISNUMBER($F272))),AND($G272&lt;&gt;"",NOT(ISNUMBER($G272)))),"Fecha no válida"&amp;" · ","")&amp;IF(AND(ISNUMBER($AM272),ISNUMBER($AN272),$AM272&gt;$AN272),"Inicio posterior a fecha límite"&amp;" · ","")&amp;IF(AND($V272="Macro",$H272&lt;&gt;"",OR(NOT(ISNUMBER($H272)),$H272&lt;0,$H272&gt;1)),"Peso fuera de rango"&amp;" · ","")&amp;IF(AND($V272="Sub",$H272&lt;&gt;""),"Las subactividades no llevan peso (valen igual dentro de su macroactividad)"&amp;" · ","")&amp;IF(AND(N($W272)&gt;0,COUNT($I272:$L272)&gt;0),"Con subactividades: deje vacías las semanas (se calculan solas)"&amp;" · ","")&amp;IF((COUNTIF($I272:$L272,"&gt;1")+COUNTIF($I272:$L272,"&lt;0")+COUNTA($I272:$L272)-COUNT($I272:$L272))&gt;0,"Avance fuera de rango 0-100%"&amp;" · ","")&amp;IF(OR(AND($J272&lt;&gt;"",$J272&lt;$I272),AND($K272&lt;&gt;"",$K272&lt;MAX($I272:$J272)),AND($L272&lt;&gt;"",$L272&lt;MAX($I272:$K272))),"Avance semanal decreciente"&amp;" · ","")&amp;IF(AND(ISNUMBER($AN272),$AN272&lt;FechaRef,IF($V272="Sub",N($X272),N($M272))&lt;1),"Vencida"&amp;" · ","")&amp;IF(AND(ObsObligatoria="Sí",ISNUMBER($AN272),$AN272&lt;FechaRef,IF($V272="Sub",N($X272),N($M272))&lt;1,$Q272=""),"Vencida sin observación"&amp;" · ",""))="","✔ OK","⚠ "&amp;LEFT(IF($C272="","Falta el nombre de la actividad"&amp;" · ","")&amp;IF(AND($V272="Sub",N($U272)=0),"Subactividad sin macroactividad arriba"&amp;" · ","")&amp;IF($AM272="","Sin fecha de inicio"&amp;" · ","")&amp;IF($AN272="","Sin fecha límite"&amp;" · ","")&amp;IF(AND(LEFT($C272,11)="[Jefatura] ",N($AL272)=0),"No se encuentra en la hoja de la jefatura (elíjala de nuevo en la lista)"&amp;" · ","")&amp;IF(OR(AND($E272&lt;&gt;"",NOT(ISNUMBER($E272))),AND($F272&lt;&gt;"",NOT(ISNUMBER($F272))),AND($G272&lt;&gt;"",NOT(ISNUMBER($G272)))),"Fecha no válida"&amp;" · ","")&amp;IF(AND(ISNUMBER($AM272),ISNUMBER($AN272),$AM272&gt;$AN272),"Inicio posterior a fecha límite"&amp;" · ","")&amp;IF(AND($V272="Macro",$H272&lt;&gt;"",OR(NOT(ISNUMBER($H272)),$H272&lt;0,$H272&gt;1)),"Peso fuera de rango"&amp;" · ","")&amp;IF(AND($V272="Sub",$H272&lt;&gt;""),"Las subactividades no llevan peso (valen igual dentro de su macroactividad)"&amp;" · ","")&amp;IF(AND(N($W272)&gt;0,COUNT($I272:$L272)&gt;0),"Con subactividades: deje vacías las semanas (se calculan solas)"&amp;" · ","")&amp;IF((COUNTIF($I272:$L272,"&gt;1")+COUNTIF($I272:$L272,"&lt;0")+COUNTA($I272:$L272)-COUNT($I272:$L272))&gt;0,"Avance fuera de rango 0-100%"&amp;" · ","")&amp;IF(OR(AND($J272&lt;&gt;"",$J272&lt;$I272),AND($K272&lt;&gt;"",$K272&lt;MAX($I272:$J272)),AND($L272&lt;&gt;"",$L272&lt;MAX($I272:$K272))),"Avance semanal decreciente"&amp;" · ","")&amp;IF(AND(ISNUMBER($AN272),$AN272&lt;FechaRef,IF($V272="Sub",N($X272),N($M272))&lt;1),"Vencida"&amp;" · ","")&amp;IF(AND(ObsObligatoria="Sí",ISNUMBER($AN272),$AN272&lt;FechaRef,IF($V272="Sub",N($X272),N($M272))&lt;1,$Q272=""),"Vencida sin observación"&amp;" · ",""),LEN(IF($C272="","Falta el nombre de la actividad"&amp;" · ","")&amp;IF(AND($V272="Sub",N($U272)=0),"Subactividad sin macroactividad arriba"&amp;" · ","")&amp;IF($AM272="","Sin fecha de inicio"&amp;" · ","")&amp;IF($AN272="","Sin fecha límite"&amp;" · ","")&amp;IF(AND(LEFT($C272,11)="[Jefatura] ",N($AL272)=0),"No se encuentra en la hoja de la jefatura (elíjala de nuevo en la lista)"&amp;" · ","")&amp;IF(OR(AND($E272&lt;&gt;"",NOT(ISNUMBER($E272))),AND($F272&lt;&gt;"",NOT(ISNUMBER($F272))),AND($G272&lt;&gt;"",NOT(ISNUMBER($G272)))),"Fecha no válida"&amp;" · ","")&amp;IF(AND(ISNUMBER($AM272),ISNUMBER($AN272),$AM272&gt;$AN272),"Inicio posterior a fecha límite"&amp;" · ","")&amp;IF(AND($V272="Macro",$H272&lt;&gt;"",OR(NOT(ISNUMBER($H272)),$H272&lt;0,$H272&gt;1)),"Peso fuera de rango"&amp;" · ","")&amp;IF(AND($V272="Sub",$H272&lt;&gt;""),"Las subactividades no llevan peso (valen igual dentro de su macroactividad)"&amp;" · ","")&amp;IF(AND(N($W272)&gt;0,COUNT($I272:$L272)&gt;0),"Con subactividades: deje vacías las semanas (se calculan solas)"&amp;" · ","")&amp;IF((COUNTIF($I272:$L272,"&gt;1")+COUNTIF($I272:$L272,"&lt;0")+COUNTA($I272:$L272)-COUNT($I272:$L272))&gt;0,"Avance fuera de rango 0-100%"&amp;" · ","")&amp;IF(OR(AND($J272&lt;&gt;"",$J272&lt;$I272),AND($K272&lt;&gt;"",$K272&lt;MAX($I272:$J272)),AND($L272&lt;&gt;"",$L272&lt;MAX($I272:$K272))),"Avance semanal decreciente"&amp;" · ","")&amp;IF(AND(ISNUMBER($AN272),$AN272&lt;FechaRef,IF($V272="Sub",N($X272),N($M272))&lt;1),"Vencida"&amp;" · ","")&amp;IF(AND(ObsObligatoria="Sí",ISNUMBER($AN272),$AN272&lt;FechaRef,IF($V272="Sub",N($X272),N($M272))&lt;1,$Q272=""),"Vencida sin observación"&amp;" · ",""))-3)))</f>
        <v/>
      </c>
      <c r="S272" s="64">
        <f>IF(NOT((COUNTA($B272:$D272)+COUNTA($G272:$L272)+COUNTA($Q272))&gt;0),"",IF(AND($V272="Sub",N($U272)&gt;0),IF(ISNUMBER(INDEX($AM$5:$AM$1000,$U272-4)),DATE(YEAR(INDEX($AM$5:$AM$1000,$U272-4)),MONTH(INDEX($AM$5:$AM$1000,$U272-4)),1),IF(ISNUMBER(INDEX($AN$5:$AN$1000,$U272-4)),DATE(YEAR(INDEX($AN$5:$AN$1000,$U272-4)),MONTH(INDEX($AN$5:$AN$1000,$U272-4)),1),MesCiclo)),IF(ISNUMBER($AM272),DATE(YEAR($AM272),MONTH($AM272),1),IF(ISNUMBER($AN272),DATE(YEAR($AN272),MONTH($AN272),1),MesCiclo))))</f>
        <v/>
      </c>
      <c r="T272" s="62">
        <f>IF(OR($S272="",$S272&lt;&gt;MesCiclo,$V272&lt;&gt;"Macro"),"",COUNTIFS($S$5:$S272,MesCiclo,$V$5:$V272,"Macro"))</f>
        <v/>
      </c>
      <c r="U272" s="62">
        <f>IF($V272="","",IF($V272="Macro",ROW(),IFERROR(LOOKUP(2,1/($V$5:$V272="Macro"),ROW($V$5:$V272)),0)))</f>
        <v/>
      </c>
      <c r="V272" s="62">
        <f>IF(NOT((COUNTA($B272:$D272)+COUNTA($G272:$L272)+COUNTA($Q272))&gt;0),"",IF($B272="Subactividad","Sub","Macro"))</f>
        <v/>
      </c>
      <c r="W272" s="62">
        <f>IF($V272="Macro",COUNTIFS($U$5:$U$1000,ROW(),$V$5:$V$1000,"Sub"),"")</f>
        <v/>
      </c>
      <c r="X272" s="62">
        <f>IF($V272="","",IF(ISNUMBER($G272),1,IFERROR(LOOKUP(2,1/($I272:$L272&lt;&gt;""),$I272:$L272),0)))</f>
        <v/>
      </c>
      <c r="Y272" s="62">
        <f>IF($V272="","",IF(AND(ISNUMBER($G272),$G272&lt;=IF($S272=MesCiclo,InicioCiclo,$S272+MOD(2-WEEKDAY($S272),7))+6),1,IF(ISNUMBER($I272),$I272,0)))</f>
        <v/>
      </c>
      <c r="Z272" s="62">
        <f>IF($V272="","",IF(AND(ISNUMBER($G272),$G272&lt;=IF($S272=MesCiclo,InicioCiclo,$S272+MOD(2-WEEKDAY($S272),7))+13),1,IF(ISNUMBER($J272),$J272,$Y272)))</f>
        <v/>
      </c>
      <c r="AA272" s="62">
        <f>IF($V272="","",IF(AND(ISNUMBER($G272),$G272&lt;=IF($S272=MesCiclo,InicioCiclo,$S272+MOD(2-WEEKDAY($S272),7))+20),1,IF(ISNUMBER($K272),$K272,$Z272)))</f>
        <v/>
      </c>
      <c r="AB272" s="62">
        <f>IF($V272="","",IF(AND(ISNUMBER($G272),$G272&lt;=IF($S272=MesCiclo,InicioCiclo,$S272+MOD(2-WEEKDAY($S272),7))+27),1,IF(ISNUMBER($L272),$L272,$AA272)))</f>
        <v/>
      </c>
      <c r="AC272" s="62">
        <f>IF($V272="","",IF(AND(ISNUMBER($G272),$G272&lt;=IF($S272=MesCiclo,InicioCiclo,$S272+MOD(2-WEEKDAY($S272),7))+6),1,IF(N($W272)&gt;0,AVERAGEIFS($Y$5:$Y$1000,$U$5:$U$1000,ROW(),$V$5:$V$1000,"Sub"),$Y272)))</f>
        <v/>
      </c>
      <c r="AD272" s="62">
        <f>IF($V272="","",IF(AND(ISNUMBER($G272),$G272&lt;=IF($S272=MesCiclo,InicioCiclo,$S272+MOD(2-WEEKDAY($S272),7))+13),1,IF(N($W272)&gt;0,AVERAGEIFS($Z$5:$Z$1000,$U$5:$U$1000,ROW(),$V$5:$V$1000,"Sub"),$Z272)))</f>
        <v/>
      </c>
      <c r="AE272" s="62">
        <f>IF($V272="","",IF(AND(ISNUMBER($G272),$G272&lt;=IF($S272=MesCiclo,InicioCiclo,$S272+MOD(2-WEEKDAY($S272),7))+20),1,IF(N($W272)&gt;0,AVERAGEIFS($AA$5:$AA$1000,$U$5:$U$1000,ROW(),$V$5:$V$1000,"Sub"),$AA272)))</f>
        <v/>
      </c>
      <c r="AF272" s="62">
        <f>IF($V272="","",IF(AND(ISNUMBER($G272),$G272&lt;=IF($S272=MesCiclo,InicioCiclo,$S272+MOD(2-WEEKDAY($S272),7))+27),1,IF(N($W272)&gt;0,AVERAGEIFS($AB$5:$AB$1000,$U$5:$U$1000,ROW(),$V$5:$V$1000,"Sub"),$AB272)))</f>
        <v/>
      </c>
      <c r="AG272" s="62">
        <f>IF($V272&lt;&gt;"Macro","",IF(COUNTIFS($S$5:$S$1000,$S272,$V$5:$V$1000,"Macro",$H$5:$H$1000,"&gt;0")=0,1/COUNTIFS($S$5:$S$1000,$S272,$V$5:$V$1000,"Macro"),IF(AND(ISNUMBER($H272),N($H272)&gt;0),$H272,SUMIFS($H$5:$H$1000,$S$5:$S$1000,$S272,$V$5:$V$1000,"Macro")/COUNTIFS($S$5:$S$1000,$S272,$V$5:$V$1000,"Macro",$H$5:$H$1000,"&gt;0"))/(COUNTIFS($S$5:$S$1000,$S272,$V$5:$V$1000,"Macro")*SUMIFS($H$5:$H$1000,$S$5:$S$1000,$S272,$V$5:$V$1000,"Macro")/COUNTIFS($S$5:$S$1000,$S272,$V$5:$V$1000,"Macro",$H$5:$H$1000,"&gt;0"))))</f>
        <v/>
      </c>
      <c r="AH272" s="62">
        <f>IF(NOT(AND($D272&lt;&gt;"",$V272="Macro")),"",IFERROR(CHOOSE(MATCH($D272,ListaPuestos,0),MATCH("[Jefatura] "&amp;$C272,'Cronograma R. Operacional'!$C$5:$C$1000,0),MATCH("[Jefatura] "&amp;$C272,'Cronograma R. Normativo'!$C$5:$C$1000,0),MATCH("[Jefatura] "&amp;$C272,'Cronograma R. Financiero'!$C$5:$C$1000,0),MATCH("[Jefatura] "&amp;$C272,'Cronograma Asistente Técnico'!$C$5:$C$1000,0)),0))</f>
        <v/>
      </c>
      <c r="AI272" s="62">
        <f>IF(AND(AND($D272&lt;&gt;"",$V272="Macro"),$S272=MesCiclo),COUNTIFS($D$5:$D272,$D272,$S$5:$S272,MesCiclo,$V$5:$V272,"Macro"),"")</f>
        <v/>
      </c>
      <c r="AJ272" s="62">
        <f>IF($AI272="","",$D272&amp;"|"&amp;$AI272)</f>
        <v/>
      </c>
      <c r="AK272" s="62">
        <f>IF(AND($D272&lt;&gt;"",$V272="Macro"),$D272&amp;"|"&amp;$C272,"")</f>
        <v/>
      </c>
      <c r="AL272" s="62">
        <f>""</f>
        <v/>
      </c>
      <c r="AM272" s="62">
        <f>IF(N($AL272)&gt;0,INDEX(rIni_ADM,$AL272),IF(ISNUMBER($E272),$E272,""))</f>
        <v/>
      </c>
      <c r="AN272" s="62">
        <f>IF(N($AL272)&gt;0,INDEX(rLim_ADM,$AL272),IF(ISNUMBER($F272),$F272,""))</f>
        <v/>
      </c>
    </row>
    <row r="273">
      <c r="A273" s="56">
        <f>IF(NOT((COUNTA($B273:$D273)+COUNTA($G273:$L273)+COUNTA($Q273))&gt;0),"",IF($V273="Macro",COUNTIFS($V$5:$V273,"Macro",$S$5:$S273,$S273),IF(N($U273)=0,"?",COUNTIFS(INDEX($V$5:$V$1000,1):INDEX($V$5:$V$1000,$U273-4),"Macro",INDEX($S$5:$S$1000,1):INDEX($S$5:$S$1000,$U273-4),INDEX($S$5:$S$1000,$U273-4))&amp;"."&amp;COUNTIFS($U$5:$U273,$U273,$V$5:$V273,"Sub"))))</f>
        <v/>
      </c>
      <c r="B273" s="57" t="n"/>
      <c r="C273" s="58" t="n"/>
      <c r="D273" s="58" t="n"/>
      <c r="E273" s="59" t="n"/>
      <c r="F273" s="59" t="n"/>
      <c r="G273" s="59" t="n"/>
      <c r="H273" s="60" t="n"/>
      <c r="I273" s="60" t="n"/>
      <c r="J273" s="60" t="n"/>
      <c r="K273" s="60" t="n"/>
      <c r="L273" s="60" t="n"/>
      <c r="M273" s="61">
        <f>IF(NOT((COUNTA($B273:$D273)+COUNTA($G273:$L273)+COUNTA($Q273))&gt;0),"",IF(AND($D273&lt;&gt;"",$V273="Macro"),IF(N($AH273)&gt;0,N(CHOOSE(MATCH($D273,ListaPuestos,0),INDEX('Cronograma R. Operacional'!$M$5:$M$1000,$AH273),INDEX('Cronograma R. Normativo'!$M$5:$M$1000,$AH273),INDEX('Cronograma R. Financiero'!$M$5:$M$1000,$AH273),INDEX('Cronograma Asistente Técnico'!$M$5:$M$1000,$AH273))),0),IF(ISNUMBER($G273),1,IF(N($W273)&gt;0,AVERAGEIFS($X$5:$X$1000,$U$5:$U$1000,ROW(),$V$5:$V$1000,"Sub"),$X273))))</f>
        <v/>
      </c>
      <c r="N273" s="56">
        <f>IF(OR($M273="",$V273="Sub"),"",IF($M273&gt;=1,"Completado",IF($M273&gt;0,"En curso","Pendiente")))</f>
        <v/>
      </c>
      <c r="O273" s="56">
        <f>IF(NOT((COUNTA($B273:$D273)+COUNTA($G273:$L273)+COUNTA($Q273))&gt;0),"",IF(AND(AND($D273&lt;&gt;"",$V273="Macro"),N($AH273)&gt;0),CHOOSE(MATCH($D273,ListaPuestos,0),INDEX('Cronograma R. Operacional'!$O$5:$O$1000,$AH273),INDEX('Cronograma R. Normativo'!$O$5:$O$1000,$AH273),INDEX('Cronograma R. Financiero'!$O$5:$O$1000,$AH273),INDEX('Cronograma Asistente Técnico'!$O$5:$O$1000,$AH273))&amp;"",IF(ISNUMBER($G273),IF(AND(ISNUMBER($AN273),$G273&gt;$AN273),"Cumplida con "&amp;($G273-$AN273)&amp;IF($G273-$AN273=1," día"," días")&amp;" de retraso","Cumplida"),IF(N($M273)&gt;=1,"Cumplida",IF(NOT(ISNUMBER($AN273)),"Sin fecha límite",IF($AN273&lt;FechaRef,"Vencida hace "&amp;(FechaRef-$AN273)&amp;IF(FechaRef-$AN273=1," día"," días"),IF($AN273=FechaRef,"Vence hoy",IF($AN273-FechaRef&lt;=DiasAlerta,"Vence en "&amp;($AN273-FechaRef)&amp;IF($AN273-FechaRef=1," día"," días"),"En plazo"))))))))</f>
        <v/>
      </c>
      <c r="P273" s="62">
        <f>IF(NOT((COUNTA($B273:$D273)+COUNTA($G273:$L273)+COUNTA($Q273))&gt;0),"",IF($D273="","Propia",IF($V273&lt;&gt;"Macro","Solo se delegan macroactividades",IF(N($AH273)&gt;0,"✔ Recibida por "&amp;$D273,"⚠ "&amp;$D273&amp;" aún no la agrega"))))</f>
        <v/>
      </c>
      <c r="Q273" s="58" t="n"/>
      <c r="R273" s="63">
        <f>IF(NOT((COUNTA($B273:$D273)+COUNTA($G273:$L273)+COUNTA($Q273))&gt;0),"",IF((IF($C273="","Falta el nombre de la actividad"&amp;" · ","")&amp;IF(AND($V273="Sub",N($U273)=0),"Subactividad sin macroactividad arriba"&amp;" · ","")&amp;IF($AM273="","Sin fecha de inicio"&amp;" · ","")&amp;IF($AN273="","Sin fecha límite"&amp;" · ","")&amp;IF(AND(LEFT($C273,11)="[Jefatura] ",N($AL273)=0),"No se encuentra en la hoja de la jefatura (elíjala de nuevo en la lista)"&amp;" · ","")&amp;IF(OR(AND($E273&lt;&gt;"",NOT(ISNUMBER($E273))),AND($F273&lt;&gt;"",NOT(ISNUMBER($F273))),AND($G273&lt;&gt;"",NOT(ISNUMBER($G273)))),"Fecha no válida"&amp;" · ","")&amp;IF(AND(ISNUMBER($AM273),ISNUMBER($AN273),$AM273&gt;$AN273),"Inicio posterior a fecha límite"&amp;" · ","")&amp;IF(AND($V273="Macro",$H273&lt;&gt;"",OR(NOT(ISNUMBER($H273)),$H273&lt;0,$H273&gt;1)),"Peso fuera de rango"&amp;" · ","")&amp;IF(AND($V273="Sub",$H273&lt;&gt;""),"Las subactividades no llevan peso (valen igual dentro de su macroactividad)"&amp;" · ","")&amp;IF(AND(N($W273)&gt;0,COUNT($I273:$L273)&gt;0),"Con subactividades: deje vacías las semanas (se calculan solas)"&amp;" · ","")&amp;IF((COUNTIF($I273:$L273,"&gt;1")+COUNTIF($I273:$L273,"&lt;0")+COUNTA($I273:$L273)-COUNT($I273:$L273))&gt;0,"Avance fuera de rango 0-100%"&amp;" · ","")&amp;IF(OR(AND($J273&lt;&gt;"",$J273&lt;$I273),AND($K273&lt;&gt;"",$K273&lt;MAX($I273:$J273)),AND($L273&lt;&gt;"",$L273&lt;MAX($I273:$K273))),"Avance semanal decreciente"&amp;" · ","")&amp;IF(AND(ISNUMBER($AN273),$AN273&lt;FechaRef,IF($V273="Sub",N($X273),N($M273))&lt;1),"Vencida"&amp;" · ","")&amp;IF(AND(ObsObligatoria="Sí",ISNUMBER($AN273),$AN273&lt;FechaRef,IF($V273="Sub",N($X273),N($M273))&lt;1,$Q273=""),"Vencida sin observación"&amp;" · ",""))="","✔ OK","⚠ "&amp;LEFT(IF($C273="","Falta el nombre de la actividad"&amp;" · ","")&amp;IF(AND($V273="Sub",N($U273)=0),"Subactividad sin macroactividad arriba"&amp;" · ","")&amp;IF($AM273="","Sin fecha de inicio"&amp;" · ","")&amp;IF($AN273="","Sin fecha límite"&amp;" · ","")&amp;IF(AND(LEFT($C273,11)="[Jefatura] ",N($AL273)=0),"No se encuentra en la hoja de la jefatura (elíjala de nuevo en la lista)"&amp;" · ","")&amp;IF(OR(AND($E273&lt;&gt;"",NOT(ISNUMBER($E273))),AND($F273&lt;&gt;"",NOT(ISNUMBER($F273))),AND($G273&lt;&gt;"",NOT(ISNUMBER($G273)))),"Fecha no válida"&amp;" · ","")&amp;IF(AND(ISNUMBER($AM273),ISNUMBER($AN273),$AM273&gt;$AN273),"Inicio posterior a fecha límite"&amp;" · ","")&amp;IF(AND($V273="Macro",$H273&lt;&gt;"",OR(NOT(ISNUMBER($H273)),$H273&lt;0,$H273&gt;1)),"Peso fuera de rango"&amp;" · ","")&amp;IF(AND($V273="Sub",$H273&lt;&gt;""),"Las subactividades no llevan peso (valen igual dentro de su macroactividad)"&amp;" · ","")&amp;IF(AND(N($W273)&gt;0,COUNT($I273:$L273)&gt;0),"Con subactividades: deje vacías las semanas (se calculan solas)"&amp;" · ","")&amp;IF((COUNTIF($I273:$L273,"&gt;1")+COUNTIF($I273:$L273,"&lt;0")+COUNTA($I273:$L273)-COUNT($I273:$L273))&gt;0,"Avance fuera de rango 0-100%"&amp;" · ","")&amp;IF(OR(AND($J273&lt;&gt;"",$J273&lt;$I273),AND($K273&lt;&gt;"",$K273&lt;MAX($I273:$J273)),AND($L273&lt;&gt;"",$L273&lt;MAX($I273:$K273))),"Avance semanal decreciente"&amp;" · ","")&amp;IF(AND(ISNUMBER($AN273),$AN273&lt;FechaRef,IF($V273="Sub",N($X273),N($M273))&lt;1),"Vencida"&amp;" · ","")&amp;IF(AND(ObsObligatoria="Sí",ISNUMBER($AN273),$AN273&lt;FechaRef,IF($V273="Sub",N($X273),N($M273))&lt;1,$Q273=""),"Vencida sin observación"&amp;" · ",""),LEN(IF($C273="","Falta el nombre de la actividad"&amp;" · ","")&amp;IF(AND($V273="Sub",N($U273)=0),"Subactividad sin macroactividad arriba"&amp;" · ","")&amp;IF($AM273="","Sin fecha de inicio"&amp;" · ","")&amp;IF($AN273="","Sin fecha límite"&amp;" · ","")&amp;IF(AND(LEFT($C273,11)="[Jefatura] ",N($AL273)=0),"No se encuentra en la hoja de la jefatura (elíjala de nuevo en la lista)"&amp;" · ","")&amp;IF(OR(AND($E273&lt;&gt;"",NOT(ISNUMBER($E273))),AND($F273&lt;&gt;"",NOT(ISNUMBER($F273))),AND($G273&lt;&gt;"",NOT(ISNUMBER($G273)))),"Fecha no válida"&amp;" · ","")&amp;IF(AND(ISNUMBER($AM273),ISNUMBER($AN273),$AM273&gt;$AN273),"Inicio posterior a fecha límite"&amp;" · ","")&amp;IF(AND($V273="Macro",$H273&lt;&gt;"",OR(NOT(ISNUMBER($H273)),$H273&lt;0,$H273&gt;1)),"Peso fuera de rango"&amp;" · ","")&amp;IF(AND($V273="Sub",$H273&lt;&gt;""),"Las subactividades no llevan peso (valen igual dentro de su macroactividad)"&amp;" · ","")&amp;IF(AND(N($W273)&gt;0,COUNT($I273:$L273)&gt;0),"Con subactividades: deje vacías las semanas (se calculan solas)"&amp;" · ","")&amp;IF((COUNTIF($I273:$L273,"&gt;1")+COUNTIF($I273:$L273,"&lt;0")+COUNTA($I273:$L273)-COUNT($I273:$L273))&gt;0,"Avance fuera de rango 0-100%"&amp;" · ","")&amp;IF(OR(AND($J273&lt;&gt;"",$J273&lt;$I273),AND($K273&lt;&gt;"",$K273&lt;MAX($I273:$J273)),AND($L273&lt;&gt;"",$L273&lt;MAX($I273:$K273))),"Avance semanal decreciente"&amp;" · ","")&amp;IF(AND(ISNUMBER($AN273),$AN273&lt;FechaRef,IF($V273="Sub",N($X273),N($M273))&lt;1),"Vencida"&amp;" · ","")&amp;IF(AND(ObsObligatoria="Sí",ISNUMBER($AN273),$AN273&lt;FechaRef,IF($V273="Sub",N($X273),N($M273))&lt;1,$Q273=""),"Vencida sin observación"&amp;" · ",""))-3)))</f>
        <v/>
      </c>
      <c r="S273" s="64">
        <f>IF(NOT((COUNTA($B273:$D273)+COUNTA($G273:$L273)+COUNTA($Q273))&gt;0),"",IF(AND($V273="Sub",N($U273)&gt;0),IF(ISNUMBER(INDEX($AM$5:$AM$1000,$U273-4)),DATE(YEAR(INDEX($AM$5:$AM$1000,$U273-4)),MONTH(INDEX($AM$5:$AM$1000,$U273-4)),1),IF(ISNUMBER(INDEX($AN$5:$AN$1000,$U273-4)),DATE(YEAR(INDEX($AN$5:$AN$1000,$U273-4)),MONTH(INDEX($AN$5:$AN$1000,$U273-4)),1),MesCiclo)),IF(ISNUMBER($AM273),DATE(YEAR($AM273),MONTH($AM273),1),IF(ISNUMBER($AN273),DATE(YEAR($AN273),MONTH($AN273),1),MesCiclo))))</f>
        <v/>
      </c>
      <c r="T273" s="62">
        <f>IF(OR($S273="",$S273&lt;&gt;MesCiclo,$V273&lt;&gt;"Macro"),"",COUNTIFS($S$5:$S273,MesCiclo,$V$5:$V273,"Macro"))</f>
        <v/>
      </c>
      <c r="U273" s="62">
        <f>IF($V273="","",IF($V273="Macro",ROW(),IFERROR(LOOKUP(2,1/($V$5:$V273="Macro"),ROW($V$5:$V273)),0)))</f>
        <v/>
      </c>
      <c r="V273" s="62">
        <f>IF(NOT((COUNTA($B273:$D273)+COUNTA($G273:$L273)+COUNTA($Q273))&gt;0),"",IF($B273="Subactividad","Sub","Macro"))</f>
        <v/>
      </c>
      <c r="W273" s="62">
        <f>IF($V273="Macro",COUNTIFS($U$5:$U$1000,ROW(),$V$5:$V$1000,"Sub"),"")</f>
        <v/>
      </c>
      <c r="X273" s="62">
        <f>IF($V273="","",IF(ISNUMBER($G273),1,IFERROR(LOOKUP(2,1/($I273:$L273&lt;&gt;""),$I273:$L273),0)))</f>
        <v/>
      </c>
      <c r="Y273" s="62">
        <f>IF($V273="","",IF(AND(ISNUMBER($G273),$G273&lt;=IF($S273=MesCiclo,InicioCiclo,$S273+MOD(2-WEEKDAY($S273),7))+6),1,IF(ISNUMBER($I273),$I273,0)))</f>
        <v/>
      </c>
      <c r="Z273" s="62">
        <f>IF($V273="","",IF(AND(ISNUMBER($G273),$G273&lt;=IF($S273=MesCiclo,InicioCiclo,$S273+MOD(2-WEEKDAY($S273),7))+13),1,IF(ISNUMBER($J273),$J273,$Y273)))</f>
        <v/>
      </c>
      <c r="AA273" s="62">
        <f>IF($V273="","",IF(AND(ISNUMBER($G273),$G273&lt;=IF($S273=MesCiclo,InicioCiclo,$S273+MOD(2-WEEKDAY($S273),7))+20),1,IF(ISNUMBER($K273),$K273,$Z273)))</f>
        <v/>
      </c>
      <c r="AB273" s="62">
        <f>IF($V273="","",IF(AND(ISNUMBER($G273),$G273&lt;=IF($S273=MesCiclo,InicioCiclo,$S273+MOD(2-WEEKDAY($S273),7))+27),1,IF(ISNUMBER($L273),$L273,$AA273)))</f>
        <v/>
      </c>
      <c r="AC273" s="62">
        <f>IF($V273="","",IF(AND(ISNUMBER($G273),$G273&lt;=IF($S273=MesCiclo,InicioCiclo,$S273+MOD(2-WEEKDAY($S273),7))+6),1,IF(N($W273)&gt;0,AVERAGEIFS($Y$5:$Y$1000,$U$5:$U$1000,ROW(),$V$5:$V$1000,"Sub"),$Y273)))</f>
        <v/>
      </c>
      <c r="AD273" s="62">
        <f>IF($V273="","",IF(AND(ISNUMBER($G273),$G273&lt;=IF($S273=MesCiclo,InicioCiclo,$S273+MOD(2-WEEKDAY($S273),7))+13),1,IF(N($W273)&gt;0,AVERAGEIFS($Z$5:$Z$1000,$U$5:$U$1000,ROW(),$V$5:$V$1000,"Sub"),$Z273)))</f>
        <v/>
      </c>
      <c r="AE273" s="62">
        <f>IF($V273="","",IF(AND(ISNUMBER($G273),$G273&lt;=IF($S273=MesCiclo,InicioCiclo,$S273+MOD(2-WEEKDAY($S273),7))+20),1,IF(N($W273)&gt;0,AVERAGEIFS($AA$5:$AA$1000,$U$5:$U$1000,ROW(),$V$5:$V$1000,"Sub"),$AA273)))</f>
        <v/>
      </c>
      <c r="AF273" s="62">
        <f>IF($V273="","",IF(AND(ISNUMBER($G273),$G273&lt;=IF($S273=MesCiclo,InicioCiclo,$S273+MOD(2-WEEKDAY($S273),7))+27),1,IF(N($W273)&gt;0,AVERAGEIFS($AB$5:$AB$1000,$U$5:$U$1000,ROW(),$V$5:$V$1000,"Sub"),$AB273)))</f>
        <v/>
      </c>
      <c r="AG273" s="62">
        <f>IF($V273&lt;&gt;"Macro","",IF(COUNTIFS($S$5:$S$1000,$S273,$V$5:$V$1000,"Macro",$H$5:$H$1000,"&gt;0")=0,1/COUNTIFS($S$5:$S$1000,$S273,$V$5:$V$1000,"Macro"),IF(AND(ISNUMBER($H273),N($H273)&gt;0),$H273,SUMIFS($H$5:$H$1000,$S$5:$S$1000,$S273,$V$5:$V$1000,"Macro")/COUNTIFS($S$5:$S$1000,$S273,$V$5:$V$1000,"Macro",$H$5:$H$1000,"&gt;0"))/(COUNTIFS($S$5:$S$1000,$S273,$V$5:$V$1000,"Macro")*SUMIFS($H$5:$H$1000,$S$5:$S$1000,$S273,$V$5:$V$1000,"Macro")/COUNTIFS($S$5:$S$1000,$S273,$V$5:$V$1000,"Macro",$H$5:$H$1000,"&gt;0"))))</f>
        <v/>
      </c>
      <c r="AH273" s="62">
        <f>IF(NOT(AND($D273&lt;&gt;"",$V273="Macro")),"",IFERROR(CHOOSE(MATCH($D273,ListaPuestos,0),MATCH("[Jefatura] "&amp;$C273,'Cronograma R. Operacional'!$C$5:$C$1000,0),MATCH("[Jefatura] "&amp;$C273,'Cronograma R. Normativo'!$C$5:$C$1000,0),MATCH("[Jefatura] "&amp;$C273,'Cronograma R. Financiero'!$C$5:$C$1000,0),MATCH("[Jefatura] "&amp;$C273,'Cronograma Asistente Técnico'!$C$5:$C$1000,0)),0))</f>
        <v/>
      </c>
      <c r="AI273" s="62">
        <f>IF(AND(AND($D273&lt;&gt;"",$V273="Macro"),$S273=MesCiclo),COUNTIFS($D$5:$D273,$D273,$S$5:$S273,MesCiclo,$V$5:$V273,"Macro"),"")</f>
        <v/>
      </c>
      <c r="AJ273" s="62">
        <f>IF($AI273="","",$D273&amp;"|"&amp;$AI273)</f>
        <v/>
      </c>
      <c r="AK273" s="62">
        <f>IF(AND($D273&lt;&gt;"",$V273="Macro"),$D273&amp;"|"&amp;$C273,"")</f>
        <v/>
      </c>
      <c r="AL273" s="62">
        <f>""</f>
        <v/>
      </c>
      <c r="AM273" s="62">
        <f>IF(N($AL273)&gt;0,INDEX(rIni_ADM,$AL273),IF(ISNUMBER($E273),$E273,""))</f>
        <v/>
      </c>
      <c r="AN273" s="62">
        <f>IF(N($AL273)&gt;0,INDEX(rLim_ADM,$AL273),IF(ISNUMBER($F273),$F273,""))</f>
        <v/>
      </c>
    </row>
    <row r="274">
      <c r="A274" s="56">
        <f>IF(NOT((COUNTA($B274:$D274)+COUNTA($G274:$L274)+COUNTA($Q274))&gt;0),"",IF($V274="Macro",COUNTIFS($V$5:$V274,"Macro",$S$5:$S274,$S274),IF(N($U274)=0,"?",COUNTIFS(INDEX($V$5:$V$1000,1):INDEX($V$5:$V$1000,$U274-4),"Macro",INDEX($S$5:$S$1000,1):INDEX($S$5:$S$1000,$U274-4),INDEX($S$5:$S$1000,$U274-4))&amp;"."&amp;COUNTIFS($U$5:$U274,$U274,$V$5:$V274,"Sub"))))</f>
        <v/>
      </c>
      <c r="B274" s="57" t="n"/>
      <c r="C274" s="58" t="n"/>
      <c r="D274" s="58" t="n"/>
      <c r="E274" s="59" t="n"/>
      <c r="F274" s="59" t="n"/>
      <c r="G274" s="59" t="n"/>
      <c r="H274" s="60" t="n"/>
      <c r="I274" s="60" t="n"/>
      <c r="J274" s="60" t="n"/>
      <c r="K274" s="60" t="n"/>
      <c r="L274" s="60" t="n"/>
      <c r="M274" s="61">
        <f>IF(NOT((COUNTA($B274:$D274)+COUNTA($G274:$L274)+COUNTA($Q274))&gt;0),"",IF(AND($D274&lt;&gt;"",$V274="Macro"),IF(N($AH274)&gt;0,N(CHOOSE(MATCH($D274,ListaPuestos,0),INDEX('Cronograma R. Operacional'!$M$5:$M$1000,$AH274),INDEX('Cronograma R. Normativo'!$M$5:$M$1000,$AH274),INDEX('Cronograma R. Financiero'!$M$5:$M$1000,$AH274),INDEX('Cronograma Asistente Técnico'!$M$5:$M$1000,$AH274))),0),IF(ISNUMBER($G274),1,IF(N($W274)&gt;0,AVERAGEIFS($X$5:$X$1000,$U$5:$U$1000,ROW(),$V$5:$V$1000,"Sub"),$X274))))</f>
        <v/>
      </c>
      <c r="N274" s="56">
        <f>IF(OR($M274="",$V274="Sub"),"",IF($M274&gt;=1,"Completado",IF($M274&gt;0,"En curso","Pendiente")))</f>
        <v/>
      </c>
      <c r="O274" s="56">
        <f>IF(NOT((COUNTA($B274:$D274)+COUNTA($G274:$L274)+COUNTA($Q274))&gt;0),"",IF(AND(AND($D274&lt;&gt;"",$V274="Macro"),N($AH274)&gt;0),CHOOSE(MATCH($D274,ListaPuestos,0),INDEX('Cronograma R. Operacional'!$O$5:$O$1000,$AH274),INDEX('Cronograma R. Normativo'!$O$5:$O$1000,$AH274),INDEX('Cronograma R. Financiero'!$O$5:$O$1000,$AH274),INDEX('Cronograma Asistente Técnico'!$O$5:$O$1000,$AH274))&amp;"",IF(ISNUMBER($G274),IF(AND(ISNUMBER($AN274),$G274&gt;$AN274),"Cumplida con "&amp;($G274-$AN274)&amp;IF($G274-$AN274=1," día"," días")&amp;" de retraso","Cumplida"),IF(N($M274)&gt;=1,"Cumplida",IF(NOT(ISNUMBER($AN274)),"Sin fecha límite",IF($AN274&lt;FechaRef,"Vencida hace "&amp;(FechaRef-$AN274)&amp;IF(FechaRef-$AN274=1," día"," días"),IF($AN274=FechaRef,"Vence hoy",IF($AN274-FechaRef&lt;=DiasAlerta,"Vence en "&amp;($AN274-FechaRef)&amp;IF($AN274-FechaRef=1," día"," días"),"En plazo"))))))))</f>
        <v/>
      </c>
      <c r="P274" s="62">
        <f>IF(NOT((COUNTA($B274:$D274)+COUNTA($G274:$L274)+COUNTA($Q274))&gt;0),"",IF($D274="","Propia",IF($V274&lt;&gt;"Macro","Solo se delegan macroactividades",IF(N($AH274)&gt;0,"✔ Recibida por "&amp;$D274,"⚠ "&amp;$D274&amp;" aún no la agrega"))))</f>
        <v/>
      </c>
      <c r="Q274" s="58" t="n"/>
      <c r="R274" s="63">
        <f>IF(NOT((COUNTA($B274:$D274)+COUNTA($G274:$L274)+COUNTA($Q274))&gt;0),"",IF((IF($C274="","Falta el nombre de la actividad"&amp;" · ","")&amp;IF(AND($V274="Sub",N($U274)=0),"Subactividad sin macroactividad arriba"&amp;" · ","")&amp;IF($AM274="","Sin fecha de inicio"&amp;" · ","")&amp;IF($AN274="","Sin fecha límite"&amp;" · ","")&amp;IF(AND(LEFT($C274,11)="[Jefatura] ",N($AL274)=0),"No se encuentra en la hoja de la jefatura (elíjala de nuevo en la lista)"&amp;" · ","")&amp;IF(OR(AND($E274&lt;&gt;"",NOT(ISNUMBER($E274))),AND($F274&lt;&gt;"",NOT(ISNUMBER($F274))),AND($G274&lt;&gt;"",NOT(ISNUMBER($G274)))),"Fecha no válida"&amp;" · ","")&amp;IF(AND(ISNUMBER($AM274),ISNUMBER($AN274),$AM274&gt;$AN274),"Inicio posterior a fecha límite"&amp;" · ","")&amp;IF(AND($V274="Macro",$H274&lt;&gt;"",OR(NOT(ISNUMBER($H274)),$H274&lt;0,$H274&gt;1)),"Peso fuera de rango"&amp;" · ","")&amp;IF(AND($V274="Sub",$H274&lt;&gt;""),"Las subactividades no llevan peso (valen igual dentro de su macroactividad)"&amp;" · ","")&amp;IF(AND(N($W274)&gt;0,COUNT($I274:$L274)&gt;0),"Con subactividades: deje vacías las semanas (se calculan solas)"&amp;" · ","")&amp;IF((COUNTIF($I274:$L274,"&gt;1")+COUNTIF($I274:$L274,"&lt;0")+COUNTA($I274:$L274)-COUNT($I274:$L274))&gt;0,"Avance fuera de rango 0-100%"&amp;" · ","")&amp;IF(OR(AND($J274&lt;&gt;"",$J274&lt;$I274),AND($K274&lt;&gt;"",$K274&lt;MAX($I274:$J274)),AND($L274&lt;&gt;"",$L274&lt;MAX($I274:$K274))),"Avance semanal decreciente"&amp;" · ","")&amp;IF(AND(ISNUMBER($AN274),$AN274&lt;FechaRef,IF($V274="Sub",N($X274),N($M274))&lt;1),"Vencida"&amp;" · ","")&amp;IF(AND(ObsObligatoria="Sí",ISNUMBER($AN274),$AN274&lt;FechaRef,IF($V274="Sub",N($X274),N($M274))&lt;1,$Q274=""),"Vencida sin observación"&amp;" · ",""))="","✔ OK","⚠ "&amp;LEFT(IF($C274="","Falta el nombre de la actividad"&amp;" · ","")&amp;IF(AND($V274="Sub",N($U274)=0),"Subactividad sin macroactividad arriba"&amp;" · ","")&amp;IF($AM274="","Sin fecha de inicio"&amp;" · ","")&amp;IF($AN274="","Sin fecha límite"&amp;" · ","")&amp;IF(AND(LEFT($C274,11)="[Jefatura] ",N($AL274)=0),"No se encuentra en la hoja de la jefatura (elíjala de nuevo en la lista)"&amp;" · ","")&amp;IF(OR(AND($E274&lt;&gt;"",NOT(ISNUMBER($E274))),AND($F274&lt;&gt;"",NOT(ISNUMBER($F274))),AND($G274&lt;&gt;"",NOT(ISNUMBER($G274)))),"Fecha no válida"&amp;" · ","")&amp;IF(AND(ISNUMBER($AM274),ISNUMBER($AN274),$AM274&gt;$AN274),"Inicio posterior a fecha límite"&amp;" · ","")&amp;IF(AND($V274="Macro",$H274&lt;&gt;"",OR(NOT(ISNUMBER($H274)),$H274&lt;0,$H274&gt;1)),"Peso fuera de rango"&amp;" · ","")&amp;IF(AND($V274="Sub",$H274&lt;&gt;""),"Las subactividades no llevan peso (valen igual dentro de su macroactividad)"&amp;" · ","")&amp;IF(AND(N($W274)&gt;0,COUNT($I274:$L274)&gt;0),"Con subactividades: deje vacías las semanas (se calculan solas)"&amp;" · ","")&amp;IF((COUNTIF($I274:$L274,"&gt;1")+COUNTIF($I274:$L274,"&lt;0")+COUNTA($I274:$L274)-COUNT($I274:$L274))&gt;0,"Avance fuera de rango 0-100%"&amp;" · ","")&amp;IF(OR(AND($J274&lt;&gt;"",$J274&lt;$I274),AND($K274&lt;&gt;"",$K274&lt;MAX($I274:$J274)),AND($L274&lt;&gt;"",$L274&lt;MAX($I274:$K274))),"Avance semanal decreciente"&amp;" · ","")&amp;IF(AND(ISNUMBER($AN274),$AN274&lt;FechaRef,IF($V274="Sub",N($X274),N($M274))&lt;1),"Vencida"&amp;" · ","")&amp;IF(AND(ObsObligatoria="Sí",ISNUMBER($AN274),$AN274&lt;FechaRef,IF($V274="Sub",N($X274),N($M274))&lt;1,$Q274=""),"Vencida sin observación"&amp;" · ",""),LEN(IF($C274="","Falta el nombre de la actividad"&amp;" · ","")&amp;IF(AND($V274="Sub",N($U274)=0),"Subactividad sin macroactividad arriba"&amp;" · ","")&amp;IF($AM274="","Sin fecha de inicio"&amp;" · ","")&amp;IF($AN274="","Sin fecha límite"&amp;" · ","")&amp;IF(AND(LEFT($C274,11)="[Jefatura] ",N($AL274)=0),"No se encuentra en la hoja de la jefatura (elíjala de nuevo en la lista)"&amp;" · ","")&amp;IF(OR(AND($E274&lt;&gt;"",NOT(ISNUMBER($E274))),AND($F274&lt;&gt;"",NOT(ISNUMBER($F274))),AND($G274&lt;&gt;"",NOT(ISNUMBER($G274)))),"Fecha no válida"&amp;" · ","")&amp;IF(AND(ISNUMBER($AM274),ISNUMBER($AN274),$AM274&gt;$AN274),"Inicio posterior a fecha límite"&amp;" · ","")&amp;IF(AND($V274="Macro",$H274&lt;&gt;"",OR(NOT(ISNUMBER($H274)),$H274&lt;0,$H274&gt;1)),"Peso fuera de rango"&amp;" · ","")&amp;IF(AND($V274="Sub",$H274&lt;&gt;""),"Las subactividades no llevan peso (valen igual dentro de su macroactividad)"&amp;" · ","")&amp;IF(AND(N($W274)&gt;0,COUNT($I274:$L274)&gt;0),"Con subactividades: deje vacías las semanas (se calculan solas)"&amp;" · ","")&amp;IF((COUNTIF($I274:$L274,"&gt;1")+COUNTIF($I274:$L274,"&lt;0")+COUNTA($I274:$L274)-COUNT($I274:$L274))&gt;0,"Avance fuera de rango 0-100%"&amp;" · ","")&amp;IF(OR(AND($J274&lt;&gt;"",$J274&lt;$I274),AND($K274&lt;&gt;"",$K274&lt;MAX($I274:$J274)),AND($L274&lt;&gt;"",$L274&lt;MAX($I274:$K274))),"Avance semanal decreciente"&amp;" · ","")&amp;IF(AND(ISNUMBER($AN274),$AN274&lt;FechaRef,IF($V274="Sub",N($X274),N($M274))&lt;1),"Vencida"&amp;" · ","")&amp;IF(AND(ObsObligatoria="Sí",ISNUMBER($AN274),$AN274&lt;FechaRef,IF($V274="Sub",N($X274),N($M274))&lt;1,$Q274=""),"Vencida sin observación"&amp;" · ",""))-3)))</f>
        <v/>
      </c>
      <c r="S274" s="64">
        <f>IF(NOT((COUNTA($B274:$D274)+COUNTA($G274:$L274)+COUNTA($Q274))&gt;0),"",IF(AND($V274="Sub",N($U274)&gt;0),IF(ISNUMBER(INDEX($AM$5:$AM$1000,$U274-4)),DATE(YEAR(INDEX($AM$5:$AM$1000,$U274-4)),MONTH(INDEX($AM$5:$AM$1000,$U274-4)),1),IF(ISNUMBER(INDEX($AN$5:$AN$1000,$U274-4)),DATE(YEAR(INDEX($AN$5:$AN$1000,$U274-4)),MONTH(INDEX($AN$5:$AN$1000,$U274-4)),1),MesCiclo)),IF(ISNUMBER($AM274),DATE(YEAR($AM274),MONTH($AM274),1),IF(ISNUMBER($AN274),DATE(YEAR($AN274),MONTH($AN274),1),MesCiclo))))</f>
        <v/>
      </c>
      <c r="T274" s="62">
        <f>IF(OR($S274="",$S274&lt;&gt;MesCiclo,$V274&lt;&gt;"Macro"),"",COUNTIFS($S$5:$S274,MesCiclo,$V$5:$V274,"Macro"))</f>
        <v/>
      </c>
      <c r="U274" s="62">
        <f>IF($V274="","",IF($V274="Macro",ROW(),IFERROR(LOOKUP(2,1/($V$5:$V274="Macro"),ROW($V$5:$V274)),0)))</f>
        <v/>
      </c>
      <c r="V274" s="62">
        <f>IF(NOT((COUNTA($B274:$D274)+COUNTA($G274:$L274)+COUNTA($Q274))&gt;0),"",IF($B274="Subactividad","Sub","Macro"))</f>
        <v/>
      </c>
      <c r="W274" s="62">
        <f>IF($V274="Macro",COUNTIFS($U$5:$U$1000,ROW(),$V$5:$V$1000,"Sub"),"")</f>
        <v/>
      </c>
      <c r="X274" s="62">
        <f>IF($V274="","",IF(ISNUMBER($G274),1,IFERROR(LOOKUP(2,1/($I274:$L274&lt;&gt;""),$I274:$L274),0)))</f>
        <v/>
      </c>
      <c r="Y274" s="62">
        <f>IF($V274="","",IF(AND(ISNUMBER($G274),$G274&lt;=IF($S274=MesCiclo,InicioCiclo,$S274+MOD(2-WEEKDAY($S274),7))+6),1,IF(ISNUMBER($I274),$I274,0)))</f>
        <v/>
      </c>
      <c r="Z274" s="62">
        <f>IF($V274="","",IF(AND(ISNUMBER($G274),$G274&lt;=IF($S274=MesCiclo,InicioCiclo,$S274+MOD(2-WEEKDAY($S274),7))+13),1,IF(ISNUMBER($J274),$J274,$Y274)))</f>
        <v/>
      </c>
      <c r="AA274" s="62">
        <f>IF($V274="","",IF(AND(ISNUMBER($G274),$G274&lt;=IF($S274=MesCiclo,InicioCiclo,$S274+MOD(2-WEEKDAY($S274),7))+20),1,IF(ISNUMBER($K274),$K274,$Z274)))</f>
        <v/>
      </c>
      <c r="AB274" s="62">
        <f>IF($V274="","",IF(AND(ISNUMBER($G274),$G274&lt;=IF($S274=MesCiclo,InicioCiclo,$S274+MOD(2-WEEKDAY($S274),7))+27),1,IF(ISNUMBER($L274),$L274,$AA274)))</f>
        <v/>
      </c>
      <c r="AC274" s="62">
        <f>IF($V274="","",IF(AND(ISNUMBER($G274),$G274&lt;=IF($S274=MesCiclo,InicioCiclo,$S274+MOD(2-WEEKDAY($S274),7))+6),1,IF(N($W274)&gt;0,AVERAGEIFS($Y$5:$Y$1000,$U$5:$U$1000,ROW(),$V$5:$V$1000,"Sub"),$Y274)))</f>
        <v/>
      </c>
      <c r="AD274" s="62">
        <f>IF($V274="","",IF(AND(ISNUMBER($G274),$G274&lt;=IF($S274=MesCiclo,InicioCiclo,$S274+MOD(2-WEEKDAY($S274),7))+13),1,IF(N($W274)&gt;0,AVERAGEIFS($Z$5:$Z$1000,$U$5:$U$1000,ROW(),$V$5:$V$1000,"Sub"),$Z274)))</f>
        <v/>
      </c>
      <c r="AE274" s="62">
        <f>IF($V274="","",IF(AND(ISNUMBER($G274),$G274&lt;=IF($S274=MesCiclo,InicioCiclo,$S274+MOD(2-WEEKDAY($S274),7))+20),1,IF(N($W274)&gt;0,AVERAGEIFS($AA$5:$AA$1000,$U$5:$U$1000,ROW(),$V$5:$V$1000,"Sub"),$AA274)))</f>
        <v/>
      </c>
      <c r="AF274" s="62">
        <f>IF($V274="","",IF(AND(ISNUMBER($G274),$G274&lt;=IF($S274=MesCiclo,InicioCiclo,$S274+MOD(2-WEEKDAY($S274),7))+27),1,IF(N($W274)&gt;0,AVERAGEIFS($AB$5:$AB$1000,$U$5:$U$1000,ROW(),$V$5:$V$1000,"Sub"),$AB274)))</f>
        <v/>
      </c>
      <c r="AG274" s="62">
        <f>IF($V274&lt;&gt;"Macro","",IF(COUNTIFS($S$5:$S$1000,$S274,$V$5:$V$1000,"Macro",$H$5:$H$1000,"&gt;0")=0,1/COUNTIFS($S$5:$S$1000,$S274,$V$5:$V$1000,"Macro"),IF(AND(ISNUMBER($H274),N($H274)&gt;0),$H274,SUMIFS($H$5:$H$1000,$S$5:$S$1000,$S274,$V$5:$V$1000,"Macro")/COUNTIFS($S$5:$S$1000,$S274,$V$5:$V$1000,"Macro",$H$5:$H$1000,"&gt;0"))/(COUNTIFS($S$5:$S$1000,$S274,$V$5:$V$1000,"Macro")*SUMIFS($H$5:$H$1000,$S$5:$S$1000,$S274,$V$5:$V$1000,"Macro")/COUNTIFS($S$5:$S$1000,$S274,$V$5:$V$1000,"Macro",$H$5:$H$1000,"&gt;0"))))</f>
        <v/>
      </c>
      <c r="AH274" s="62">
        <f>IF(NOT(AND($D274&lt;&gt;"",$V274="Macro")),"",IFERROR(CHOOSE(MATCH($D274,ListaPuestos,0),MATCH("[Jefatura] "&amp;$C274,'Cronograma R. Operacional'!$C$5:$C$1000,0),MATCH("[Jefatura] "&amp;$C274,'Cronograma R. Normativo'!$C$5:$C$1000,0),MATCH("[Jefatura] "&amp;$C274,'Cronograma R. Financiero'!$C$5:$C$1000,0),MATCH("[Jefatura] "&amp;$C274,'Cronograma Asistente Técnico'!$C$5:$C$1000,0)),0))</f>
        <v/>
      </c>
      <c r="AI274" s="62">
        <f>IF(AND(AND($D274&lt;&gt;"",$V274="Macro"),$S274=MesCiclo),COUNTIFS($D$5:$D274,$D274,$S$5:$S274,MesCiclo,$V$5:$V274,"Macro"),"")</f>
        <v/>
      </c>
      <c r="AJ274" s="62">
        <f>IF($AI274="","",$D274&amp;"|"&amp;$AI274)</f>
        <v/>
      </c>
      <c r="AK274" s="62">
        <f>IF(AND($D274&lt;&gt;"",$V274="Macro"),$D274&amp;"|"&amp;$C274,"")</f>
        <v/>
      </c>
      <c r="AL274" s="62">
        <f>""</f>
        <v/>
      </c>
      <c r="AM274" s="62">
        <f>IF(N($AL274)&gt;0,INDEX(rIni_ADM,$AL274),IF(ISNUMBER($E274),$E274,""))</f>
        <v/>
      </c>
      <c r="AN274" s="62">
        <f>IF(N($AL274)&gt;0,INDEX(rLim_ADM,$AL274),IF(ISNUMBER($F274),$F274,""))</f>
        <v/>
      </c>
    </row>
    <row r="275">
      <c r="A275" s="56">
        <f>IF(NOT((COUNTA($B275:$D275)+COUNTA($G275:$L275)+COUNTA($Q275))&gt;0),"",IF($V275="Macro",COUNTIFS($V$5:$V275,"Macro",$S$5:$S275,$S275),IF(N($U275)=0,"?",COUNTIFS(INDEX($V$5:$V$1000,1):INDEX($V$5:$V$1000,$U275-4),"Macro",INDEX($S$5:$S$1000,1):INDEX($S$5:$S$1000,$U275-4),INDEX($S$5:$S$1000,$U275-4))&amp;"."&amp;COUNTIFS($U$5:$U275,$U275,$V$5:$V275,"Sub"))))</f>
        <v/>
      </c>
      <c r="B275" s="57" t="n"/>
      <c r="C275" s="58" t="n"/>
      <c r="D275" s="58" t="n"/>
      <c r="E275" s="59" t="n"/>
      <c r="F275" s="59" t="n"/>
      <c r="G275" s="59" t="n"/>
      <c r="H275" s="60" t="n"/>
      <c r="I275" s="60" t="n"/>
      <c r="J275" s="60" t="n"/>
      <c r="K275" s="60" t="n"/>
      <c r="L275" s="60" t="n"/>
      <c r="M275" s="61">
        <f>IF(NOT((COUNTA($B275:$D275)+COUNTA($G275:$L275)+COUNTA($Q275))&gt;0),"",IF(AND($D275&lt;&gt;"",$V275="Macro"),IF(N($AH275)&gt;0,N(CHOOSE(MATCH($D275,ListaPuestos,0),INDEX('Cronograma R. Operacional'!$M$5:$M$1000,$AH275),INDEX('Cronograma R. Normativo'!$M$5:$M$1000,$AH275),INDEX('Cronograma R. Financiero'!$M$5:$M$1000,$AH275),INDEX('Cronograma Asistente Técnico'!$M$5:$M$1000,$AH275))),0),IF(ISNUMBER($G275),1,IF(N($W275)&gt;0,AVERAGEIFS($X$5:$X$1000,$U$5:$U$1000,ROW(),$V$5:$V$1000,"Sub"),$X275))))</f>
        <v/>
      </c>
      <c r="N275" s="56">
        <f>IF(OR($M275="",$V275="Sub"),"",IF($M275&gt;=1,"Completado",IF($M275&gt;0,"En curso","Pendiente")))</f>
        <v/>
      </c>
      <c r="O275" s="56">
        <f>IF(NOT((COUNTA($B275:$D275)+COUNTA($G275:$L275)+COUNTA($Q275))&gt;0),"",IF(AND(AND($D275&lt;&gt;"",$V275="Macro"),N($AH275)&gt;0),CHOOSE(MATCH($D275,ListaPuestos,0),INDEX('Cronograma R. Operacional'!$O$5:$O$1000,$AH275),INDEX('Cronograma R. Normativo'!$O$5:$O$1000,$AH275),INDEX('Cronograma R. Financiero'!$O$5:$O$1000,$AH275),INDEX('Cronograma Asistente Técnico'!$O$5:$O$1000,$AH275))&amp;"",IF(ISNUMBER($G275),IF(AND(ISNUMBER($AN275),$G275&gt;$AN275),"Cumplida con "&amp;($G275-$AN275)&amp;IF($G275-$AN275=1," día"," días")&amp;" de retraso","Cumplida"),IF(N($M275)&gt;=1,"Cumplida",IF(NOT(ISNUMBER($AN275)),"Sin fecha límite",IF($AN275&lt;FechaRef,"Vencida hace "&amp;(FechaRef-$AN275)&amp;IF(FechaRef-$AN275=1," día"," días"),IF($AN275=FechaRef,"Vence hoy",IF($AN275-FechaRef&lt;=DiasAlerta,"Vence en "&amp;($AN275-FechaRef)&amp;IF($AN275-FechaRef=1," día"," días"),"En plazo"))))))))</f>
        <v/>
      </c>
      <c r="P275" s="62">
        <f>IF(NOT((COUNTA($B275:$D275)+COUNTA($G275:$L275)+COUNTA($Q275))&gt;0),"",IF($D275="","Propia",IF($V275&lt;&gt;"Macro","Solo se delegan macroactividades",IF(N($AH275)&gt;0,"✔ Recibida por "&amp;$D275,"⚠ "&amp;$D275&amp;" aún no la agrega"))))</f>
        <v/>
      </c>
      <c r="Q275" s="58" t="n"/>
      <c r="R275" s="63">
        <f>IF(NOT((COUNTA($B275:$D275)+COUNTA($G275:$L275)+COUNTA($Q275))&gt;0),"",IF((IF($C275="","Falta el nombre de la actividad"&amp;" · ","")&amp;IF(AND($V275="Sub",N($U275)=0),"Subactividad sin macroactividad arriba"&amp;" · ","")&amp;IF($AM275="","Sin fecha de inicio"&amp;" · ","")&amp;IF($AN275="","Sin fecha límite"&amp;" · ","")&amp;IF(AND(LEFT($C275,11)="[Jefatura] ",N($AL275)=0),"No se encuentra en la hoja de la jefatura (elíjala de nuevo en la lista)"&amp;" · ","")&amp;IF(OR(AND($E275&lt;&gt;"",NOT(ISNUMBER($E275))),AND($F275&lt;&gt;"",NOT(ISNUMBER($F275))),AND($G275&lt;&gt;"",NOT(ISNUMBER($G275)))),"Fecha no válida"&amp;" · ","")&amp;IF(AND(ISNUMBER($AM275),ISNUMBER($AN275),$AM275&gt;$AN275),"Inicio posterior a fecha límite"&amp;" · ","")&amp;IF(AND($V275="Macro",$H275&lt;&gt;"",OR(NOT(ISNUMBER($H275)),$H275&lt;0,$H275&gt;1)),"Peso fuera de rango"&amp;" · ","")&amp;IF(AND($V275="Sub",$H275&lt;&gt;""),"Las subactividades no llevan peso (valen igual dentro de su macroactividad)"&amp;" · ","")&amp;IF(AND(N($W275)&gt;0,COUNT($I275:$L275)&gt;0),"Con subactividades: deje vacías las semanas (se calculan solas)"&amp;" · ","")&amp;IF((COUNTIF($I275:$L275,"&gt;1")+COUNTIF($I275:$L275,"&lt;0")+COUNTA($I275:$L275)-COUNT($I275:$L275))&gt;0,"Avance fuera de rango 0-100%"&amp;" · ","")&amp;IF(OR(AND($J275&lt;&gt;"",$J275&lt;$I275),AND($K275&lt;&gt;"",$K275&lt;MAX($I275:$J275)),AND($L275&lt;&gt;"",$L275&lt;MAX($I275:$K275))),"Avance semanal decreciente"&amp;" · ","")&amp;IF(AND(ISNUMBER($AN275),$AN275&lt;FechaRef,IF($V275="Sub",N($X275),N($M275))&lt;1),"Vencida"&amp;" · ","")&amp;IF(AND(ObsObligatoria="Sí",ISNUMBER($AN275),$AN275&lt;FechaRef,IF($V275="Sub",N($X275),N($M275))&lt;1,$Q275=""),"Vencida sin observación"&amp;" · ",""))="","✔ OK","⚠ "&amp;LEFT(IF($C275="","Falta el nombre de la actividad"&amp;" · ","")&amp;IF(AND($V275="Sub",N($U275)=0),"Subactividad sin macroactividad arriba"&amp;" · ","")&amp;IF($AM275="","Sin fecha de inicio"&amp;" · ","")&amp;IF($AN275="","Sin fecha límite"&amp;" · ","")&amp;IF(AND(LEFT($C275,11)="[Jefatura] ",N($AL275)=0),"No se encuentra en la hoja de la jefatura (elíjala de nuevo en la lista)"&amp;" · ","")&amp;IF(OR(AND($E275&lt;&gt;"",NOT(ISNUMBER($E275))),AND($F275&lt;&gt;"",NOT(ISNUMBER($F275))),AND($G275&lt;&gt;"",NOT(ISNUMBER($G275)))),"Fecha no válida"&amp;" · ","")&amp;IF(AND(ISNUMBER($AM275),ISNUMBER($AN275),$AM275&gt;$AN275),"Inicio posterior a fecha límite"&amp;" · ","")&amp;IF(AND($V275="Macro",$H275&lt;&gt;"",OR(NOT(ISNUMBER($H275)),$H275&lt;0,$H275&gt;1)),"Peso fuera de rango"&amp;" · ","")&amp;IF(AND($V275="Sub",$H275&lt;&gt;""),"Las subactividades no llevan peso (valen igual dentro de su macroactividad)"&amp;" · ","")&amp;IF(AND(N($W275)&gt;0,COUNT($I275:$L275)&gt;0),"Con subactividades: deje vacías las semanas (se calculan solas)"&amp;" · ","")&amp;IF((COUNTIF($I275:$L275,"&gt;1")+COUNTIF($I275:$L275,"&lt;0")+COUNTA($I275:$L275)-COUNT($I275:$L275))&gt;0,"Avance fuera de rango 0-100%"&amp;" · ","")&amp;IF(OR(AND($J275&lt;&gt;"",$J275&lt;$I275),AND($K275&lt;&gt;"",$K275&lt;MAX($I275:$J275)),AND($L275&lt;&gt;"",$L275&lt;MAX($I275:$K275))),"Avance semanal decreciente"&amp;" · ","")&amp;IF(AND(ISNUMBER($AN275),$AN275&lt;FechaRef,IF($V275="Sub",N($X275),N($M275))&lt;1),"Vencida"&amp;" · ","")&amp;IF(AND(ObsObligatoria="Sí",ISNUMBER($AN275),$AN275&lt;FechaRef,IF($V275="Sub",N($X275),N($M275))&lt;1,$Q275=""),"Vencida sin observación"&amp;" · ",""),LEN(IF($C275="","Falta el nombre de la actividad"&amp;" · ","")&amp;IF(AND($V275="Sub",N($U275)=0),"Subactividad sin macroactividad arriba"&amp;" · ","")&amp;IF($AM275="","Sin fecha de inicio"&amp;" · ","")&amp;IF($AN275="","Sin fecha límite"&amp;" · ","")&amp;IF(AND(LEFT($C275,11)="[Jefatura] ",N($AL275)=0),"No se encuentra en la hoja de la jefatura (elíjala de nuevo en la lista)"&amp;" · ","")&amp;IF(OR(AND($E275&lt;&gt;"",NOT(ISNUMBER($E275))),AND($F275&lt;&gt;"",NOT(ISNUMBER($F275))),AND($G275&lt;&gt;"",NOT(ISNUMBER($G275)))),"Fecha no válida"&amp;" · ","")&amp;IF(AND(ISNUMBER($AM275),ISNUMBER($AN275),$AM275&gt;$AN275),"Inicio posterior a fecha límite"&amp;" · ","")&amp;IF(AND($V275="Macro",$H275&lt;&gt;"",OR(NOT(ISNUMBER($H275)),$H275&lt;0,$H275&gt;1)),"Peso fuera de rango"&amp;" · ","")&amp;IF(AND($V275="Sub",$H275&lt;&gt;""),"Las subactividades no llevan peso (valen igual dentro de su macroactividad)"&amp;" · ","")&amp;IF(AND(N($W275)&gt;0,COUNT($I275:$L275)&gt;0),"Con subactividades: deje vacías las semanas (se calculan solas)"&amp;" · ","")&amp;IF((COUNTIF($I275:$L275,"&gt;1")+COUNTIF($I275:$L275,"&lt;0")+COUNTA($I275:$L275)-COUNT($I275:$L275))&gt;0,"Avance fuera de rango 0-100%"&amp;" · ","")&amp;IF(OR(AND($J275&lt;&gt;"",$J275&lt;$I275),AND($K275&lt;&gt;"",$K275&lt;MAX($I275:$J275)),AND($L275&lt;&gt;"",$L275&lt;MAX($I275:$K275))),"Avance semanal decreciente"&amp;" · ","")&amp;IF(AND(ISNUMBER($AN275),$AN275&lt;FechaRef,IF($V275="Sub",N($X275),N($M275))&lt;1),"Vencida"&amp;" · ","")&amp;IF(AND(ObsObligatoria="Sí",ISNUMBER($AN275),$AN275&lt;FechaRef,IF($V275="Sub",N($X275),N($M275))&lt;1,$Q275=""),"Vencida sin observación"&amp;" · ",""))-3)))</f>
        <v/>
      </c>
      <c r="S275" s="64">
        <f>IF(NOT((COUNTA($B275:$D275)+COUNTA($G275:$L275)+COUNTA($Q275))&gt;0),"",IF(AND($V275="Sub",N($U275)&gt;0),IF(ISNUMBER(INDEX($AM$5:$AM$1000,$U275-4)),DATE(YEAR(INDEX($AM$5:$AM$1000,$U275-4)),MONTH(INDEX($AM$5:$AM$1000,$U275-4)),1),IF(ISNUMBER(INDEX($AN$5:$AN$1000,$U275-4)),DATE(YEAR(INDEX($AN$5:$AN$1000,$U275-4)),MONTH(INDEX($AN$5:$AN$1000,$U275-4)),1),MesCiclo)),IF(ISNUMBER($AM275),DATE(YEAR($AM275),MONTH($AM275),1),IF(ISNUMBER($AN275),DATE(YEAR($AN275),MONTH($AN275),1),MesCiclo))))</f>
        <v/>
      </c>
      <c r="T275" s="62">
        <f>IF(OR($S275="",$S275&lt;&gt;MesCiclo,$V275&lt;&gt;"Macro"),"",COUNTIFS($S$5:$S275,MesCiclo,$V$5:$V275,"Macro"))</f>
        <v/>
      </c>
      <c r="U275" s="62">
        <f>IF($V275="","",IF($V275="Macro",ROW(),IFERROR(LOOKUP(2,1/($V$5:$V275="Macro"),ROW($V$5:$V275)),0)))</f>
        <v/>
      </c>
      <c r="V275" s="62">
        <f>IF(NOT((COUNTA($B275:$D275)+COUNTA($G275:$L275)+COUNTA($Q275))&gt;0),"",IF($B275="Subactividad","Sub","Macro"))</f>
        <v/>
      </c>
      <c r="W275" s="62">
        <f>IF($V275="Macro",COUNTIFS($U$5:$U$1000,ROW(),$V$5:$V$1000,"Sub"),"")</f>
        <v/>
      </c>
      <c r="X275" s="62">
        <f>IF($V275="","",IF(ISNUMBER($G275),1,IFERROR(LOOKUP(2,1/($I275:$L275&lt;&gt;""),$I275:$L275),0)))</f>
        <v/>
      </c>
      <c r="Y275" s="62">
        <f>IF($V275="","",IF(AND(ISNUMBER($G275),$G275&lt;=IF($S275=MesCiclo,InicioCiclo,$S275+MOD(2-WEEKDAY($S275),7))+6),1,IF(ISNUMBER($I275),$I275,0)))</f>
        <v/>
      </c>
      <c r="Z275" s="62">
        <f>IF($V275="","",IF(AND(ISNUMBER($G275),$G275&lt;=IF($S275=MesCiclo,InicioCiclo,$S275+MOD(2-WEEKDAY($S275),7))+13),1,IF(ISNUMBER($J275),$J275,$Y275)))</f>
        <v/>
      </c>
      <c r="AA275" s="62">
        <f>IF($V275="","",IF(AND(ISNUMBER($G275),$G275&lt;=IF($S275=MesCiclo,InicioCiclo,$S275+MOD(2-WEEKDAY($S275),7))+20),1,IF(ISNUMBER($K275),$K275,$Z275)))</f>
        <v/>
      </c>
      <c r="AB275" s="62">
        <f>IF($V275="","",IF(AND(ISNUMBER($G275),$G275&lt;=IF($S275=MesCiclo,InicioCiclo,$S275+MOD(2-WEEKDAY($S275),7))+27),1,IF(ISNUMBER($L275),$L275,$AA275)))</f>
        <v/>
      </c>
      <c r="AC275" s="62">
        <f>IF($V275="","",IF(AND(ISNUMBER($G275),$G275&lt;=IF($S275=MesCiclo,InicioCiclo,$S275+MOD(2-WEEKDAY($S275),7))+6),1,IF(N($W275)&gt;0,AVERAGEIFS($Y$5:$Y$1000,$U$5:$U$1000,ROW(),$V$5:$V$1000,"Sub"),$Y275)))</f>
        <v/>
      </c>
      <c r="AD275" s="62">
        <f>IF($V275="","",IF(AND(ISNUMBER($G275),$G275&lt;=IF($S275=MesCiclo,InicioCiclo,$S275+MOD(2-WEEKDAY($S275),7))+13),1,IF(N($W275)&gt;0,AVERAGEIFS($Z$5:$Z$1000,$U$5:$U$1000,ROW(),$V$5:$V$1000,"Sub"),$Z275)))</f>
        <v/>
      </c>
      <c r="AE275" s="62">
        <f>IF($V275="","",IF(AND(ISNUMBER($G275),$G275&lt;=IF($S275=MesCiclo,InicioCiclo,$S275+MOD(2-WEEKDAY($S275),7))+20),1,IF(N($W275)&gt;0,AVERAGEIFS($AA$5:$AA$1000,$U$5:$U$1000,ROW(),$V$5:$V$1000,"Sub"),$AA275)))</f>
        <v/>
      </c>
      <c r="AF275" s="62">
        <f>IF($V275="","",IF(AND(ISNUMBER($G275),$G275&lt;=IF($S275=MesCiclo,InicioCiclo,$S275+MOD(2-WEEKDAY($S275),7))+27),1,IF(N($W275)&gt;0,AVERAGEIFS($AB$5:$AB$1000,$U$5:$U$1000,ROW(),$V$5:$V$1000,"Sub"),$AB275)))</f>
        <v/>
      </c>
      <c r="AG275" s="62">
        <f>IF($V275&lt;&gt;"Macro","",IF(COUNTIFS($S$5:$S$1000,$S275,$V$5:$V$1000,"Macro",$H$5:$H$1000,"&gt;0")=0,1/COUNTIFS($S$5:$S$1000,$S275,$V$5:$V$1000,"Macro"),IF(AND(ISNUMBER($H275),N($H275)&gt;0),$H275,SUMIFS($H$5:$H$1000,$S$5:$S$1000,$S275,$V$5:$V$1000,"Macro")/COUNTIFS($S$5:$S$1000,$S275,$V$5:$V$1000,"Macro",$H$5:$H$1000,"&gt;0"))/(COUNTIFS($S$5:$S$1000,$S275,$V$5:$V$1000,"Macro")*SUMIFS($H$5:$H$1000,$S$5:$S$1000,$S275,$V$5:$V$1000,"Macro")/COUNTIFS($S$5:$S$1000,$S275,$V$5:$V$1000,"Macro",$H$5:$H$1000,"&gt;0"))))</f>
        <v/>
      </c>
      <c r="AH275" s="62">
        <f>IF(NOT(AND($D275&lt;&gt;"",$V275="Macro")),"",IFERROR(CHOOSE(MATCH($D275,ListaPuestos,0),MATCH("[Jefatura] "&amp;$C275,'Cronograma R. Operacional'!$C$5:$C$1000,0),MATCH("[Jefatura] "&amp;$C275,'Cronograma R. Normativo'!$C$5:$C$1000,0),MATCH("[Jefatura] "&amp;$C275,'Cronograma R. Financiero'!$C$5:$C$1000,0),MATCH("[Jefatura] "&amp;$C275,'Cronograma Asistente Técnico'!$C$5:$C$1000,0)),0))</f>
        <v/>
      </c>
      <c r="AI275" s="62">
        <f>IF(AND(AND($D275&lt;&gt;"",$V275="Macro"),$S275=MesCiclo),COUNTIFS($D$5:$D275,$D275,$S$5:$S275,MesCiclo,$V$5:$V275,"Macro"),"")</f>
        <v/>
      </c>
      <c r="AJ275" s="62">
        <f>IF($AI275="","",$D275&amp;"|"&amp;$AI275)</f>
        <v/>
      </c>
      <c r="AK275" s="62">
        <f>IF(AND($D275&lt;&gt;"",$V275="Macro"),$D275&amp;"|"&amp;$C275,"")</f>
        <v/>
      </c>
      <c r="AL275" s="62">
        <f>""</f>
        <v/>
      </c>
      <c r="AM275" s="62">
        <f>IF(N($AL275)&gt;0,INDEX(rIni_ADM,$AL275),IF(ISNUMBER($E275),$E275,""))</f>
        <v/>
      </c>
      <c r="AN275" s="62">
        <f>IF(N($AL275)&gt;0,INDEX(rLim_ADM,$AL275),IF(ISNUMBER($F275),$F275,""))</f>
        <v/>
      </c>
    </row>
    <row r="276">
      <c r="A276" s="56">
        <f>IF(NOT((COUNTA($B276:$D276)+COUNTA($G276:$L276)+COUNTA($Q276))&gt;0),"",IF($V276="Macro",COUNTIFS($V$5:$V276,"Macro",$S$5:$S276,$S276),IF(N($U276)=0,"?",COUNTIFS(INDEX($V$5:$V$1000,1):INDEX($V$5:$V$1000,$U276-4),"Macro",INDEX($S$5:$S$1000,1):INDEX($S$5:$S$1000,$U276-4),INDEX($S$5:$S$1000,$U276-4))&amp;"."&amp;COUNTIFS($U$5:$U276,$U276,$V$5:$V276,"Sub"))))</f>
        <v/>
      </c>
      <c r="B276" s="57" t="n"/>
      <c r="C276" s="58" t="n"/>
      <c r="D276" s="58" t="n"/>
      <c r="E276" s="59" t="n"/>
      <c r="F276" s="59" t="n"/>
      <c r="G276" s="59" t="n"/>
      <c r="H276" s="60" t="n"/>
      <c r="I276" s="60" t="n"/>
      <c r="J276" s="60" t="n"/>
      <c r="K276" s="60" t="n"/>
      <c r="L276" s="60" t="n"/>
      <c r="M276" s="61">
        <f>IF(NOT((COUNTA($B276:$D276)+COUNTA($G276:$L276)+COUNTA($Q276))&gt;0),"",IF(AND($D276&lt;&gt;"",$V276="Macro"),IF(N($AH276)&gt;0,N(CHOOSE(MATCH($D276,ListaPuestos,0),INDEX('Cronograma R. Operacional'!$M$5:$M$1000,$AH276),INDEX('Cronograma R. Normativo'!$M$5:$M$1000,$AH276),INDEX('Cronograma R. Financiero'!$M$5:$M$1000,$AH276),INDEX('Cronograma Asistente Técnico'!$M$5:$M$1000,$AH276))),0),IF(ISNUMBER($G276),1,IF(N($W276)&gt;0,AVERAGEIFS($X$5:$X$1000,$U$5:$U$1000,ROW(),$V$5:$V$1000,"Sub"),$X276))))</f>
        <v/>
      </c>
      <c r="N276" s="56">
        <f>IF(OR($M276="",$V276="Sub"),"",IF($M276&gt;=1,"Completado",IF($M276&gt;0,"En curso","Pendiente")))</f>
        <v/>
      </c>
      <c r="O276" s="56">
        <f>IF(NOT((COUNTA($B276:$D276)+COUNTA($G276:$L276)+COUNTA($Q276))&gt;0),"",IF(AND(AND($D276&lt;&gt;"",$V276="Macro"),N($AH276)&gt;0),CHOOSE(MATCH($D276,ListaPuestos,0),INDEX('Cronograma R. Operacional'!$O$5:$O$1000,$AH276),INDEX('Cronograma R. Normativo'!$O$5:$O$1000,$AH276),INDEX('Cronograma R. Financiero'!$O$5:$O$1000,$AH276),INDEX('Cronograma Asistente Técnico'!$O$5:$O$1000,$AH276))&amp;"",IF(ISNUMBER($G276),IF(AND(ISNUMBER($AN276),$G276&gt;$AN276),"Cumplida con "&amp;($G276-$AN276)&amp;IF($G276-$AN276=1," día"," días")&amp;" de retraso","Cumplida"),IF(N($M276)&gt;=1,"Cumplida",IF(NOT(ISNUMBER($AN276)),"Sin fecha límite",IF($AN276&lt;FechaRef,"Vencida hace "&amp;(FechaRef-$AN276)&amp;IF(FechaRef-$AN276=1," día"," días"),IF($AN276=FechaRef,"Vence hoy",IF($AN276-FechaRef&lt;=DiasAlerta,"Vence en "&amp;($AN276-FechaRef)&amp;IF($AN276-FechaRef=1," día"," días"),"En plazo"))))))))</f>
        <v/>
      </c>
      <c r="P276" s="62">
        <f>IF(NOT((COUNTA($B276:$D276)+COUNTA($G276:$L276)+COUNTA($Q276))&gt;0),"",IF($D276="","Propia",IF($V276&lt;&gt;"Macro","Solo se delegan macroactividades",IF(N($AH276)&gt;0,"✔ Recibida por "&amp;$D276,"⚠ "&amp;$D276&amp;" aún no la agrega"))))</f>
        <v/>
      </c>
      <c r="Q276" s="58" t="n"/>
      <c r="R276" s="63">
        <f>IF(NOT((COUNTA($B276:$D276)+COUNTA($G276:$L276)+COUNTA($Q276))&gt;0),"",IF((IF($C276="","Falta el nombre de la actividad"&amp;" · ","")&amp;IF(AND($V276="Sub",N($U276)=0),"Subactividad sin macroactividad arriba"&amp;" · ","")&amp;IF($AM276="","Sin fecha de inicio"&amp;" · ","")&amp;IF($AN276="","Sin fecha límite"&amp;" · ","")&amp;IF(AND(LEFT($C276,11)="[Jefatura] ",N($AL276)=0),"No se encuentra en la hoja de la jefatura (elíjala de nuevo en la lista)"&amp;" · ","")&amp;IF(OR(AND($E276&lt;&gt;"",NOT(ISNUMBER($E276))),AND($F276&lt;&gt;"",NOT(ISNUMBER($F276))),AND($G276&lt;&gt;"",NOT(ISNUMBER($G276)))),"Fecha no válida"&amp;" · ","")&amp;IF(AND(ISNUMBER($AM276),ISNUMBER($AN276),$AM276&gt;$AN276),"Inicio posterior a fecha límite"&amp;" · ","")&amp;IF(AND($V276="Macro",$H276&lt;&gt;"",OR(NOT(ISNUMBER($H276)),$H276&lt;0,$H276&gt;1)),"Peso fuera de rango"&amp;" · ","")&amp;IF(AND($V276="Sub",$H276&lt;&gt;""),"Las subactividades no llevan peso (valen igual dentro de su macroactividad)"&amp;" · ","")&amp;IF(AND(N($W276)&gt;0,COUNT($I276:$L276)&gt;0),"Con subactividades: deje vacías las semanas (se calculan solas)"&amp;" · ","")&amp;IF((COUNTIF($I276:$L276,"&gt;1")+COUNTIF($I276:$L276,"&lt;0")+COUNTA($I276:$L276)-COUNT($I276:$L276))&gt;0,"Avance fuera de rango 0-100%"&amp;" · ","")&amp;IF(OR(AND($J276&lt;&gt;"",$J276&lt;$I276),AND($K276&lt;&gt;"",$K276&lt;MAX($I276:$J276)),AND($L276&lt;&gt;"",$L276&lt;MAX($I276:$K276))),"Avance semanal decreciente"&amp;" · ","")&amp;IF(AND(ISNUMBER($AN276),$AN276&lt;FechaRef,IF($V276="Sub",N($X276),N($M276))&lt;1),"Vencida"&amp;" · ","")&amp;IF(AND(ObsObligatoria="Sí",ISNUMBER($AN276),$AN276&lt;FechaRef,IF($V276="Sub",N($X276),N($M276))&lt;1,$Q276=""),"Vencida sin observación"&amp;" · ",""))="","✔ OK","⚠ "&amp;LEFT(IF($C276="","Falta el nombre de la actividad"&amp;" · ","")&amp;IF(AND($V276="Sub",N($U276)=0),"Subactividad sin macroactividad arriba"&amp;" · ","")&amp;IF($AM276="","Sin fecha de inicio"&amp;" · ","")&amp;IF($AN276="","Sin fecha límite"&amp;" · ","")&amp;IF(AND(LEFT($C276,11)="[Jefatura] ",N($AL276)=0),"No se encuentra en la hoja de la jefatura (elíjala de nuevo en la lista)"&amp;" · ","")&amp;IF(OR(AND($E276&lt;&gt;"",NOT(ISNUMBER($E276))),AND($F276&lt;&gt;"",NOT(ISNUMBER($F276))),AND($G276&lt;&gt;"",NOT(ISNUMBER($G276)))),"Fecha no válida"&amp;" · ","")&amp;IF(AND(ISNUMBER($AM276),ISNUMBER($AN276),$AM276&gt;$AN276),"Inicio posterior a fecha límite"&amp;" · ","")&amp;IF(AND($V276="Macro",$H276&lt;&gt;"",OR(NOT(ISNUMBER($H276)),$H276&lt;0,$H276&gt;1)),"Peso fuera de rango"&amp;" · ","")&amp;IF(AND($V276="Sub",$H276&lt;&gt;""),"Las subactividades no llevan peso (valen igual dentro de su macroactividad)"&amp;" · ","")&amp;IF(AND(N($W276)&gt;0,COUNT($I276:$L276)&gt;0),"Con subactividades: deje vacías las semanas (se calculan solas)"&amp;" · ","")&amp;IF((COUNTIF($I276:$L276,"&gt;1")+COUNTIF($I276:$L276,"&lt;0")+COUNTA($I276:$L276)-COUNT($I276:$L276))&gt;0,"Avance fuera de rango 0-100%"&amp;" · ","")&amp;IF(OR(AND($J276&lt;&gt;"",$J276&lt;$I276),AND($K276&lt;&gt;"",$K276&lt;MAX($I276:$J276)),AND($L276&lt;&gt;"",$L276&lt;MAX($I276:$K276))),"Avance semanal decreciente"&amp;" · ","")&amp;IF(AND(ISNUMBER($AN276),$AN276&lt;FechaRef,IF($V276="Sub",N($X276),N($M276))&lt;1),"Vencida"&amp;" · ","")&amp;IF(AND(ObsObligatoria="Sí",ISNUMBER($AN276),$AN276&lt;FechaRef,IF($V276="Sub",N($X276),N($M276))&lt;1,$Q276=""),"Vencida sin observación"&amp;" · ",""),LEN(IF($C276="","Falta el nombre de la actividad"&amp;" · ","")&amp;IF(AND($V276="Sub",N($U276)=0),"Subactividad sin macroactividad arriba"&amp;" · ","")&amp;IF($AM276="","Sin fecha de inicio"&amp;" · ","")&amp;IF($AN276="","Sin fecha límite"&amp;" · ","")&amp;IF(AND(LEFT($C276,11)="[Jefatura] ",N($AL276)=0),"No se encuentra en la hoja de la jefatura (elíjala de nuevo en la lista)"&amp;" · ","")&amp;IF(OR(AND($E276&lt;&gt;"",NOT(ISNUMBER($E276))),AND($F276&lt;&gt;"",NOT(ISNUMBER($F276))),AND($G276&lt;&gt;"",NOT(ISNUMBER($G276)))),"Fecha no válida"&amp;" · ","")&amp;IF(AND(ISNUMBER($AM276),ISNUMBER($AN276),$AM276&gt;$AN276),"Inicio posterior a fecha límite"&amp;" · ","")&amp;IF(AND($V276="Macro",$H276&lt;&gt;"",OR(NOT(ISNUMBER($H276)),$H276&lt;0,$H276&gt;1)),"Peso fuera de rango"&amp;" · ","")&amp;IF(AND($V276="Sub",$H276&lt;&gt;""),"Las subactividades no llevan peso (valen igual dentro de su macroactividad)"&amp;" · ","")&amp;IF(AND(N($W276)&gt;0,COUNT($I276:$L276)&gt;0),"Con subactividades: deje vacías las semanas (se calculan solas)"&amp;" · ","")&amp;IF((COUNTIF($I276:$L276,"&gt;1")+COUNTIF($I276:$L276,"&lt;0")+COUNTA($I276:$L276)-COUNT($I276:$L276))&gt;0,"Avance fuera de rango 0-100%"&amp;" · ","")&amp;IF(OR(AND($J276&lt;&gt;"",$J276&lt;$I276),AND($K276&lt;&gt;"",$K276&lt;MAX($I276:$J276)),AND($L276&lt;&gt;"",$L276&lt;MAX($I276:$K276))),"Avance semanal decreciente"&amp;" · ","")&amp;IF(AND(ISNUMBER($AN276),$AN276&lt;FechaRef,IF($V276="Sub",N($X276),N($M276))&lt;1),"Vencida"&amp;" · ","")&amp;IF(AND(ObsObligatoria="Sí",ISNUMBER($AN276),$AN276&lt;FechaRef,IF($V276="Sub",N($X276),N($M276))&lt;1,$Q276=""),"Vencida sin observación"&amp;" · ",""))-3)))</f>
        <v/>
      </c>
      <c r="S276" s="64">
        <f>IF(NOT((COUNTA($B276:$D276)+COUNTA($G276:$L276)+COUNTA($Q276))&gt;0),"",IF(AND($V276="Sub",N($U276)&gt;0),IF(ISNUMBER(INDEX($AM$5:$AM$1000,$U276-4)),DATE(YEAR(INDEX($AM$5:$AM$1000,$U276-4)),MONTH(INDEX($AM$5:$AM$1000,$U276-4)),1),IF(ISNUMBER(INDEX($AN$5:$AN$1000,$U276-4)),DATE(YEAR(INDEX($AN$5:$AN$1000,$U276-4)),MONTH(INDEX($AN$5:$AN$1000,$U276-4)),1),MesCiclo)),IF(ISNUMBER($AM276),DATE(YEAR($AM276),MONTH($AM276),1),IF(ISNUMBER($AN276),DATE(YEAR($AN276),MONTH($AN276),1),MesCiclo))))</f>
        <v/>
      </c>
      <c r="T276" s="62">
        <f>IF(OR($S276="",$S276&lt;&gt;MesCiclo,$V276&lt;&gt;"Macro"),"",COUNTIFS($S$5:$S276,MesCiclo,$V$5:$V276,"Macro"))</f>
        <v/>
      </c>
      <c r="U276" s="62">
        <f>IF($V276="","",IF($V276="Macro",ROW(),IFERROR(LOOKUP(2,1/($V$5:$V276="Macro"),ROW($V$5:$V276)),0)))</f>
        <v/>
      </c>
      <c r="V276" s="62">
        <f>IF(NOT((COUNTA($B276:$D276)+COUNTA($G276:$L276)+COUNTA($Q276))&gt;0),"",IF($B276="Subactividad","Sub","Macro"))</f>
        <v/>
      </c>
      <c r="W276" s="62">
        <f>IF($V276="Macro",COUNTIFS($U$5:$U$1000,ROW(),$V$5:$V$1000,"Sub"),"")</f>
        <v/>
      </c>
      <c r="X276" s="62">
        <f>IF($V276="","",IF(ISNUMBER($G276),1,IFERROR(LOOKUP(2,1/($I276:$L276&lt;&gt;""),$I276:$L276),0)))</f>
        <v/>
      </c>
      <c r="Y276" s="62">
        <f>IF($V276="","",IF(AND(ISNUMBER($G276),$G276&lt;=IF($S276=MesCiclo,InicioCiclo,$S276+MOD(2-WEEKDAY($S276),7))+6),1,IF(ISNUMBER($I276),$I276,0)))</f>
        <v/>
      </c>
      <c r="Z276" s="62">
        <f>IF($V276="","",IF(AND(ISNUMBER($G276),$G276&lt;=IF($S276=MesCiclo,InicioCiclo,$S276+MOD(2-WEEKDAY($S276),7))+13),1,IF(ISNUMBER($J276),$J276,$Y276)))</f>
        <v/>
      </c>
      <c r="AA276" s="62">
        <f>IF($V276="","",IF(AND(ISNUMBER($G276),$G276&lt;=IF($S276=MesCiclo,InicioCiclo,$S276+MOD(2-WEEKDAY($S276),7))+20),1,IF(ISNUMBER($K276),$K276,$Z276)))</f>
        <v/>
      </c>
      <c r="AB276" s="62">
        <f>IF($V276="","",IF(AND(ISNUMBER($G276),$G276&lt;=IF($S276=MesCiclo,InicioCiclo,$S276+MOD(2-WEEKDAY($S276),7))+27),1,IF(ISNUMBER($L276),$L276,$AA276)))</f>
        <v/>
      </c>
      <c r="AC276" s="62">
        <f>IF($V276="","",IF(AND(ISNUMBER($G276),$G276&lt;=IF($S276=MesCiclo,InicioCiclo,$S276+MOD(2-WEEKDAY($S276),7))+6),1,IF(N($W276)&gt;0,AVERAGEIFS($Y$5:$Y$1000,$U$5:$U$1000,ROW(),$V$5:$V$1000,"Sub"),$Y276)))</f>
        <v/>
      </c>
      <c r="AD276" s="62">
        <f>IF($V276="","",IF(AND(ISNUMBER($G276),$G276&lt;=IF($S276=MesCiclo,InicioCiclo,$S276+MOD(2-WEEKDAY($S276),7))+13),1,IF(N($W276)&gt;0,AVERAGEIFS($Z$5:$Z$1000,$U$5:$U$1000,ROW(),$V$5:$V$1000,"Sub"),$Z276)))</f>
        <v/>
      </c>
      <c r="AE276" s="62">
        <f>IF($V276="","",IF(AND(ISNUMBER($G276),$G276&lt;=IF($S276=MesCiclo,InicioCiclo,$S276+MOD(2-WEEKDAY($S276),7))+20),1,IF(N($W276)&gt;0,AVERAGEIFS($AA$5:$AA$1000,$U$5:$U$1000,ROW(),$V$5:$V$1000,"Sub"),$AA276)))</f>
        <v/>
      </c>
      <c r="AF276" s="62">
        <f>IF($V276="","",IF(AND(ISNUMBER($G276),$G276&lt;=IF($S276=MesCiclo,InicioCiclo,$S276+MOD(2-WEEKDAY($S276),7))+27),1,IF(N($W276)&gt;0,AVERAGEIFS($AB$5:$AB$1000,$U$5:$U$1000,ROW(),$V$5:$V$1000,"Sub"),$AB276)))</f>
        <v/>
      </c>
      <c r="AG276" s="62">
        <f>IF($V276&lt;&gt;"Macro","",IF(COUNTIFS($S$5:$S$1000,$S276,$V$5:$V$1000,"Macro",$H$5:$H$1000,"&gt;0")=0,1/COUNTIFS($S$5:$S$1000,$S276,$V$5:$V$1000,"Macro"),IF(AND(ISNUMBER($H276),N($H276)&gt;0),$H276,SUMIFS($H$5:$H$1000,$S$5:$S$1000,$S276,$V$5:$V$1000,"Macro")/COUNTIFS($S$5:$S$1000,$S276,$V$5:$V$1000,"Macro",$H$5:$H$1000,"&gt;0"))/(COUNTIFS($S$5:$S$1000,$S276,$V$5:$V$1000,"Macro")*SUMIFS($H$5:$H$1000,$S$5:$S$1000,$S276,$V$5:$V$1000,"Macro")/COUNTIFS($S$5:$S$1000,$S276,$V$5:$V$1000,"Macro",$H$5:$H$1000,"&gt;0"))))</f>
        <v/>
      </c>
      <c r="AH276" s="62">
        <f>IF(NOT(AND($D276&lt;&gt;"",$V276="Macro")),"",IFERROR(CHOOSE(MATCH($D276,ListaPuestos,0),MATCH("[Jefatura] "&amp;$C276,'Cronograma R. Operacional'!$C$5:$C$1000,0),MATCH("[Jefatura] "&amp;$C276,'Cronograma R. Normativo'!$C$5:$C$1000,0),MATCH("[Jefatura] "&amp;$C276,'Cronograma R. Financiero'!$C$5:$C$1000,0),MATCH("[Jefatura] "&amp;$C276,'Cronograma Asistente Técnico'!$C$5:$C$1000,0)),0))</f>
        <v/>
      </c>
      <c r="AI276" s="62">
        <f>IF(AND(AND($D276&lt;&gt;"",$V276="Macro"),$S276=MesCiclo),COUNTIFS($D$5:$D276,$D276,$S$5:$S276,MesCiclo,$V$5:$V276,"Macro"),"")</f>
        <v/>
      </c>
      <c r="AJ276" s="62">
        <f>IF($AI276="","",$D276&amp;"|"&amp;$AI276)</f>
        <v/>
      </c>
      <c r="AK276" s="62">
        <f>IF(AND($D276&lt;&gt;"",$V276="Macro"),$D276&amp;"|"&amp;$C276,"")</f>
        <v/>
      </c>
      <c r="AL276" s="62">
        <f>""</f>
        <v/>
      </c>
      <c r="AM276" s="62">
        <f>IF(N($AL276)&gt;0,INDEX(rIni_ADM,$AL276),IF(ISNUMBER($E276),$E276,""))</f>
        <v/>
      </c>
      <c r="AN276" s="62">
        <f>IF(N($AL276)&gt;0,INDEX(rLim_ADM,$AL276),IF(ISNUMBER($F276),$F276,""))</f>
        <v/>
      </c>
    </row>
    <row r="277">
      <c r="A277" s="56">
        <f>IF(NOT((COUNTA($B277:$D277)+COUNTA($G277:$L277)+COUNTA($Q277))&gt;0),"",IF($V277="Macro",COUNTIFS($V$5:$V277,"Macro",$S$5:$S277,$S277),IF(N($U277)=0,"?",COUNTIFS(INDEX($V$5:$V$1000,1):INDEX($V$5:$V$1000,$U277-4),"Macro",INDEX($S$5:$S$1000,1):INDEX($S$5:$S$1000,$U277-4),INDEX($S$5:$S$1000,$U277-4))&amp;"."&amp;COUNTIFS($U$5:$U277,$U277,$V$5:$V277,"Sub"))))</f>
        <v/>
      </c>
      <c r="B277" s="57" t="n"/>
      <c r="C277" s="58" t="n"/>
      <c r="D277" s="58" t="n"/>
      <c r="E277" s="59" t="n"/>
      <c r="F277" s="59" t="n"/>
      <c r="G277" s="59" t="n"/>
      <c r="H277" s="60" t="n"/>
      <c r="I277" s="60" t="n"/>
      <c r="J277" s="60" t="n"/>
      <c r="K277" s="60" t="n"/>
      <c r="L277" s="60" t="n"/>
      <c r="M277" s="61">
        <f>IF(NOT((COUNTA($B277:$D277)+COUNTA($G277:$L277)+COUNTA($Q277))&gt;0),"",IF(AND($D277&lt;&gt;"",$V277="Macro"),IF(N($AH277)&gt;0,N(CHOOSE(MATCH($D277,ListaPuestos,0),INDEX('Cronograma R. Operacional'!$M$5:$M$1000,$AH277),INDEX('Cronograma R. Normativo'!$M$5:$M$1000,$AH277),INDEX('Cronograma R. Financiero'!$M$5:$M$1000,$AH277),INDEX('Cronograma Asistente Técnico'!$M$5:$M$1000,$AH277))),0),IF(ISNUMBER($G277),1,IF(N($W277)&gt;0,AVERAGEIFS($X$5:$X$1000,$U$5:$U$1000,ROW(),$V$5:$V$1000,"Sub"),$X277))))</f>
        <v/>
      </c>
      <c r="N277" s="56">
        <f>IF(OR($M277="",$V277="Sub"),"",IF($M277&gt;=1,"Completado",IF($M277&gt;0,"En curso","Pendiente")))</f>
        <v/>
      </c>
      <c r="O277" s="56">
        <f>IF(NOT((COUNTA($B277:$D277)+COUNTA($G277:$L277)+COUNTA($Q277))&gt;0),"",IF(AND(AND($D277&lt;&gt;"",$V277="Macro"),N($AH277)&gt;0),CHOOSE(MATCH($D277,ListaPuestos,0),INDEX('Cronograma R. Operacional'!$O$5:$O$1000,$AH277),INDEX('Cronograma R. Normativo'!$O$5:$O$1000,$AH277),INDEX('Cronograma R. Financiero'!$O$5:$O$1000,$AH277),INDEX('Cronograma Asistente Técnico'!$O$5:$O$1000,$AH277))&amp;"",IF(ISNUMBER($G277),IF(AND(ISNUMBER($AN277),$G277&gt;$AN277),"Cumplida con "&amp;($G277-$AN277)&amp;IF($G277-$AN277=1," día"," días")&amp;" de retraso","Cumplida"),IF(N($M277)&gt;=1,"Cumplida",IF(NOT(ISNUMBER($AN277)),"Sin fecha límite",IF($AN277&lt;FechaRef,"Vencida hace "&amp;(FechaRef-$AN277)&amp;IF(FechaRef-$AN277=1," día"," días"),IF($AN277=FechaRef,"Vence hoy",IF($AN277-FechaRef&lt;=DiasAlerta,"Vence en "&amp;($AN277-FechaRef)&amp;IF($AN277-FechaRef=1," día"," días"),"En plazo"))))))))</f>
        <v/>
      </c>
      <c r="P277" s="62">
        <f>IF(NOT((COUNTA($B277:$D277)+COUNTA($G277:$L277)+COUNTA($Q277))&gt;0),"",IF($D277="","Propia",IF($V277&lt;&gt;"Macro","Solo se delegan macroactividades",IF(N($AH277)&gt;0,"✔ Recibida por "&amp;$D277,"⚠ "&amp;$D277&amp;" aún no la agrega"))))</f>
        <v/>
      </c>
      <c r="Q277" s="58" t="n"/>
      <c r="R277" s="63">
        <f>IF(NOT((COUNTA($B277:$D277)+COUNTA($G277:$L277)+COUNTA($Q277))&gt;0),"",IF((IF($C277="","Falta el nombre de la actividad"&amp;" · ","")&amp;IF(AND($V277="Sub",N($U277)=0),"Subactividad sin macroactividad arriba"&amp;" · ","")&amp;IF($AM277="","Sin fecha de inicio"&amp;" · ","")&amp;IF($AN277="","Sin fecha límite"&amp;" · ","")&amp;IF(AND(LEFT($C277,11)="[Jefatura] ",N($AL277)=0),"No se encuentra en la hoja de la jefatura (elíjala de nuevo en la lista)"&amp;" · ","")&amp;IF(OR(AND($E277&lt;&gt;"",NOT(ISNUMBER($E277))),AND($F277&lt;&gt;"",NOT(ISNUMBER($F277))),AND($G277&lt;&gt;"",NOT(ISNUMBER($G277)))),"Fecha no válida"&amp;" · ","")&amp;IF(AND(ISNUMBER($AM277),ISNUMBER($AN277),$AM277&gt;$AN277),"Inicio posterior a fecha límite"&amp;" · ","")&amp;IF(AND($V277="Macro",$H277&lt;&gt;"",OR(NOT(ISNUMBER($H277)),$H277&lt;0,$H277&gt;1)),"Peso fuera de rango"&amp;" · ","")&amp;IF(AND($V277="Sub",$H277&lt;&gt;""),"Las subactividades no llevan peso (valen igual dentro de su macroactividad)"&amp;" · ","")&amp;IF(AND(N($W277)&gt;0,COUNT($I277:$L277)&gt;0),"Con subactividades: deje vacías las semanas (se calculan solas)"&amp;" · ","")&amp;IF((COUNTIF($I277:$L277,"&gt;1")+COUNTIF($I277:$L277,"&lt;0")+COUNTA($I277:$L277)-COUNT($I277:$L277))&gt;0,"Avance fuera de rango 0-100%"&amp;" · ","")&amp;IF(OR(AND($J277&lt;&gt;"",$J277&lt;$I277),AND($K277&lt;&gt;"",$K277&lt;MAX($I277:$J277)),AND($L277&lt;&gt;"",$L277&lt;MAX($I277:$K277))),"Avance semanal decreciente"&amp;" · ","")&amp;IF(AND(ISNUMBER($AN277),$AN277&lt;FechaRef,IF($V277="Sub",N($X277),N($M277))&lt;1),"Vencida"&amp;" · ","")&amp;IF(AND(ObsObligatoria="Sí",ISNUMBER($AN277),$AN277&lt;FechaRef,IF($V277="Sub",N($X277),N($M277))&lt;1,$Q277=""),"Vencida sin observación"&amp;" · ",""))="","✔ OK","⚠ "&amp;LEFT(IF($C277="","Falta el nombre de la actividad"&amp;" · ","")&amp;IF(AND($V277="Sub",N($U277)=0),"Subactividad sin macroactividad arriba"&amp;" · ","")&amp;IF($AM277="","Sin fecha de inicio"&amp;" · ","")&amp;IF($AN277="","Sin fecha límite"&amp;" · ","")&amp;IF(AND(LEFT($C277,11)="[Jefatura] ",N($AL277)=0),"No se encuentra en la hoja de la jefatura (elíjala de nuevo en la lista)"&amp;" · ","")&amp;IF(OR(AND($E277&lt;&gt;"",NOT(ISNUMBER($E277))),AND($F277&lt;&gt;"",NOT(ISNUMBER($F277))),AND($G277&lt;&gt;"",NOT(ISNUMBER($G277)))),"Fecha no válida"&amp;" · ","")&amp;IF(AND(ISNUMBER($AM277),ISNUMBER($AN277),$AM277&gt;$AN277),"Inicio posterior a fecha límite"&amp;" · ","")&amp;IF(AND($V277="Macro",$H277&lt;&gt;"",OR(NOT(ISNUMBER($H277)),$H277&lt;0,$H277&gt;1)),"Peso fuera de rango"&amp;" · ","")&amp;IF(AND($V277="Sub",$H277&lt;&gt;""),"Las subactividades no llevan peso (valen igual dentro de su macroactividad)"&amp;" · ","")&amp;IF(AND(N($W277)&gt;0,COUNT($I277:$L277)&gt;0),"Con subactividades: deje vacías las semanas (se calculan solas)"&amp;" · ","")&amp;IF((COUNTIF($I277:$L277,"&gt;1")+COUNTIF($I277:$L277,"&lt;0")+COUNTA($I277:$L277)-COUNT($I277:$L277))&gt;0,"Avance fuera de rango 0-100%"&amp;" · ","")&amp;IF(OR(AND($J277&lt;&gt;"",$J277&lt;$I277),AND($K277&lt;&gt;"",$K277&lt;MAX($I277:$J277)),AND($L277&lt;&gt;"",$L277&lt;MAX($I277:$K277))),"Avance semanal decreciente"&amp;" · ","")&amp;IF(AND(ISNUMBER($AN277),$AN277&lt;FechaRef,IF($V277="Sub",N($X277),N($M277))&lt;1),"Vencida"&amp;" · ","")&amp;IF(AND(ObsObligatoria="Sí",ISNUMBER($AN277),$AN277&lt;FechaRef,IF($V277="Sub",N($X277),N($M277))&lt;1,$Q277=""),"Vencida sin observación"&amp;" · ",""),LEN(IF($C277="","Falta el nombre de la actividad"&amp;" · ","")&amp;IF(AND($V277="Sub",N($U277)=0),"Subactividad sin macroactividad arriba"&amp;" · ","")&amp;IF($AM277="","Sin fecha de inicio"&amp;" · ","")&amp;IF($AN277="","Sin fecha límite"&amp;" · ","")&amp;IF(AND(LEFT($C277,11)="[Jefatura] ",N($AL277)=0),"No se encuentra en la hoja de la jefatura (elíjala de nuevo en la lista)"&amp;" · ","")&amp;IF(OR(AND($E277&lt;&gt;"",NOT(ISNUMBER($E277))),AND($F277&lt;&gt;"",NOT(ISNUMBER($F277))),AND($G277&lt;&gt;"",NOT(ISNUMBER($G277)))),"Fecha no válida"&amp;" · ","")&amp;IF(AND(ISNUMBER($AM277),ISNUMBER($AN277),$AM277&gt;$AN277),"Inicio posterior a fecha límite"&amp;" · ","")&amp;IF(AND($V277="Macro",$H277&lt;&gt;"",OR(NOT(ISNUMBER($H277)),$H277&lt;0,$H277&gt;1)),"Peso fuera de rango"&amp;" · ","")&amp;IF(AND($V277="Sub",$H277&lt;&gt;""),"Las subactividades no llevan peso (valen igual dentro de su macroactividad)"&amp;" · ","")&amp;IF(AND(N($W277)&gt;0,COUNT($I277:$L277)&gt;0),"Con subactividades: deje vacías las semanas (se calculan solas)"&amp;" · ","")&amp;IF((COUNTIF($I277:$L277,"&gt;1")+COUNTIF($I277:$L277,"&lt;0")+COUNTA($I277:$L277)-COUNT($I277:$L277))&gt;0,"Avance fuera de rango 0-100%"&amp;" · ","")&amp;IF(OR(AND($J277&lt;&gt;"",$J277&lt;$I277),AND($K277&lt;&gt;"",$K277&lt;MAX($I277:$J277)),AND($L277&lt;&gt;"",$L277&lt;MAX($I277:$K277))),"Avance semanal decreciente"&amp;" · ","")&amp;IF(AND(ISNUMBER($AN277),$AN277&lt;FechaRef,IF($V277="Sub",N($X277),N($M277))&lt;1),"Vencida"&amp;" · ","")&amp;IF(AND(ObsObligatoria="Sí",ISNUMBER($AN277),$AN277&lt;FechaRef,IF($V277="Sub",N($X277),N($M277))&lt;1,$Q277=""),"Vencida sin observación"&amp;" · ",""))-3)))</f>
        <v/>
      </c>
      <c r="S277" s="64">
        <f>IF(NOT((COUNTA($B277:$D277)+COUNTA($G277:$L277)+COUNTA($Q277))&gt;0),"",IF(AND($V277="Sub",N($U277)&gt;0),IF(ISNUMBER(INDEX($AM$5:$AM$1000,$U277-4)),DATE(YEAR(INDEX($AM$5:$AM$1000,$U277-4)),MONTH(INDEX($AM$5:$AM$1000,$U277-4)),1),IF(ISNUMBER(INDEX($AN$5:$AN$1000,$U277-4)),DATE(YEAR(INDEX($AN$5:$AN$1000,$U277-4)),MONTH(INDEX($AN$5:$AN$1000,$U277-4)),1),MesCiclo)),IF(ISNUMBER($AM277),DATE(YEAR($AM277),MONTH($AM277),1),IF(ISNUMBER($AN277),DATE(YEAR($AN277),MONTH($AN277),1),MesCiclo))))</f>
        <v/>
      </c>
      <c r="T277" s="62">
        <f>IF(OR($S277="",$S277&lt;&gt;MesCiclo,$V277&lt;&gt;"Macro"),"",COUNTIFS($S$5:$S277,MesCiclo,$V$5:$V277,"Macro"))</f>
        <v/>
      </c>
      <c r="U277" s="62">
        <f>IF($V277="","",IF($V277="Macro",ROW(),IFERROR(LOOKUP(2,1/($V$5:$V277="Macro"),ROW($V$5:$V277)),0)))</f>
        <v/>
      </c>
      <c r="V277" s="62">
        <f>IF(NOT((COUNTA($B277:$D277)+COUNTA($G277:$L277)+COUNTA($Q277))&gt;0),"",IF($B277="Subactividad","Sub","Macro"))</f>
        <v/>
      </c>
      <c r="W277" s="62">
        <f>IF($V277="Macro",COUNTIFS($U$5:$U$1000,ROW(),$V$5:$V$1000,"Sub"),"")</f>
        <v/>
      </c>
      <c r="X277" s="62">
        <f>IF($V277="","",IF(ISNUMBER($G277),1,IFERROR(LOOKUP(2,1/($I277:$L277&lt;&gt;""),$I277:$L277),0)))</f>
        <v/>
      </c>
      <c r="Y277" s="62">
        <f>IF($V277="","",IF(AND(ISNUMBER($G277),$G277&lt;=IF($S277=MesCiclo,InicioCiclo,$S277+MOD(2-WEEKDAY($S277),7))+6),1,IF(ISNUMBER($I277),$I277,0)))</f>
        <v/>
      </c>
      <c r="Z277" s="62">
        <f>IF($V277="","",IF(AND(ISNUMBER($G277),$G277&lt;=IF($S277=MesCiclo,InicioCiclo,$S277+MOD(2-WEEKDAY($S277),7))+13),1,IF(ISNUMBER($J277),$J277,$Y277)))</f>
        <v/>
      </c>
      <c r="AA277" s="62">
        <f>IF($V277="","",IF(AND(ISNUMBER($G277),$G277&lt;=IF($S277=MesCiclo,InicioCiclo,$S277+MOD(2-WEEKDAY($S277),7))+20),1,IF(ISNUMBER($K277),$K277,$Z277)))</f>
        <v/>
      </c>
      <c r="AB277" s="62">
        <f>IF($V277="","",IF(AND(ISNUMBER($G277),$G277&lt;=IF($S277=MesCiclo,InicioCiclo,$S277+MOD(2-WEEKDAY($S277),7))+27),1,IF(ISNUMBER($L277),$L277,$AA277)))</f>
        <v/>
      </c>
      <c r="AC277" s="62">
        <f>IF($V277="","",IF(AND(ISNUMBER($G277),$G277&lt;=IF($S277=MesCiclo,InicioCiclo,$S277+MOD(2-WEEKDAY($S277),7))+6),1,IF(N($W277)&gt;0,AVERAGEIFS($Y$5:$Y$1000,$U$5:$U$1000,ROW(),$V$5:$V$1000,"Sub"),$Y277)))</f>
        <v/>
      </c>
      <c r="AD277" s="62">
        <f>IF($V277="","",IF(AND(ISNUMBER($G277),$G277&lt;=IF($S277=MesCiclo,InicioCiclo,$S277+MOD(2-WEEKDAY($S277),7))+13),1,IF(N($W277)&gt;0,AVERAGEIFS($Z$5:$Z$1000,$U$5:$U$1000,ROW(),$V$5:$V$1000,"Sub"),$Z277)))</f>
        <v/>
      </c>
      <c r="AE277" s="62">
        <f>IF($V277="","",IF(AND(ISNUMBER($G277),$G277&lt;=IF($S277=MesCiclo,InicioCiclo,$S277+MOD(2-WEEKDAY($S277),7))+20),1,IF(N($W277)&gt;0,AVERAGEIFS($AA$5:$AA$1000,$U$5:$U$1000,ROW(),$V$5:$V$1000,"Sub"),$AA277)))</f>
        <v/>
      </c>
      <c r="AF277" s="62">
        <f>IF($V277="","",IF(AND(ISNUMBER($G277),$G277&lt;=IF($S277=MesCiclo,InicioCiclo,$S277+MOD(2-WEEKDAY($S277),7))+27),1,IF(N($W277)&gt;0,AVERAGEIFS($AB$5:$AB$1000,$U$5:$U$1000,ROW(),$V$5:$V$1000,"Sub"),$AB277)))</f>
        <v/>
      </c>
      <c r="AG277" s="62">
        <f>IF($V277&lt;&gt;"Macro","",IF(COUNTIFS($S$5:$S$1000,$S277,$V$5:$V$1000,"Macro",$H$5:$H$1000,"&gt;0")=0,1/COUNTIFS($S$5:$S$1000,$S277,$V$5:$V$1000,"Macro"),IF(AND(ISNUMBER($H277),N($H277)&gt;0),$H277,SUMIFS($H$5:$H$1000,$S$5:$S$1000,$S277,$V$5:$V$1000,"Macro")/COUNTIFS($S$5:$S$1000,$S277,$V$5:$V$1000,"Macro",$H$5:$H$1000,"&gt;0"))/(COUNTIFS($S$5:$S$1000,$S277,$V$5:$V$1000,"Macro")*SUMIFS($H$5:$H$1000,$S$5:$S$1000,$S277,$V$5:$V$1000,"Macro")/COUNTIFS($S$5:$S$1000,$S277,$V$5:$V$1000,"Macro",$H$5:$H$1000,"&gt;0"))))</f>
        <v/>
      </c>
      <c r="AH277" s="62">
        <f>IF(NOT(AND($D277&lt;&gt;"",$V277="Macro")),"",IFERROR(CHOOSE(MATCH($D277,ListaPuestos,0),MATCH("[Jefatura] "&amp;$C277,'Cronograma R. Operacional'!$C$5:$C$1000,0),MATCH("[Jefatura] "&amp;$C277,'Cronograma R. Normativo'!$C$5:$C$1000,0),MATCH("[Jefatura] "&amp;$C277,'Cronograma R. Financiero'!$C$5:$C$1000,0),MATCH("[Jefatura] "&amp;$C277,'Cronograma Asistente Técnico'!$C$5:$C$1000,0)),0))</f>
        <v/>
      </c>
      <c r="AI277" s="62">
        <f>IF(AND(AND($D277&lt;&gt;"",$V277="Macro"),$S277=MesCiclo),COUNTIFS($D$5:$D277,$D277,$S$5:$S277,MesCiclo,$V$5:$V277,"Macro"),"")</f>
        <v/>
      </c>
      <c r="AJ277" s="62">
        <f>IF($AI277="","",$D277&amp;"|"&amp;$AI277)</f>
        <v/>
      </c>
      <c r="AK277" s="62">
        <f>IF(AND($D277&lt;&gt;"",$V277="Macro"),$D277&amp;"|"&amp;$C277,"")</f>
        <v/>
      </c>
      <c r="AL277" s="62">
        <f>""</f>
        <v/>
      </c>
      <c r="AM277" s="62">
        <f>IF(N($AL277)&gt;0,INDEX(rIni_ADM,$AL277),IF(ISNUMBER($E277),$E277,""))</f>
        <v/>
      </c>
      <c r="AN277" s="62">
        <f>IF(N($AL277)&gt;0,INDEX(rLim_ADM,$AL277),IF(ISNUMBER($F277),$F277,""))</f>
        <v/>
      </c>
    </row>
    <row r="278">
      <c r="A278" s="56">
        <f>IF(NOT((COUNTA($B278:$D278)+COUNTA($G278:$L278)+COUNTA($Q278))&gt;0),"",IF($V278="Macro",COUNTIFS($V$5:$V278,"Macro",$S$5:$S278,$S278),IF(N($U278)=0,"?",COUNTIFS(INDEX($V$5:$V$1000,1):INDEX($V$5:$V$1000,$U278-4),"Macro",INDEX($S$5:$S$1000,1):INDEX($S$5:$S$1000,$U278-4),INDEX($S$5:$S$1000,$U278-4))&amp;"."&amp;COUNTIFS($U$5:$U278,$U278,$V$5:$V278,"Sub"))))</f>
        <v/>
      </c>
      <c r="B278" s="57" t="n"/>
      <c r="C278" s="58" t="n"/>
      <c r="D278" s="58" t="n"/>
      <c r="E278" s="59" t="n"/>
      <c r="F278" s="59" t="n"/>
      <c r="G278" s="59" t="n"/>
      <c r="H278" s="60" t="n"/>
      <c r="I278" s="60" t="n"/>
      <c r="J278" s="60" t="n"/>
      <c r="K278" s="60" t="n"/>
      <c r="L278" s="60" t="n"/>
      <c r="M278" s="61">
        <f>IF(NOT((COUNTA($B278:$D278)+COUNTA($G278:$L278)+COUNTA($Q278))&gt;0),"",IF(AND($D278&lt;&gt;"",$V278="Macro"),IF(N($AH278)&gt;0,N(CHOOSE(MATCH($D278,ListaPuestos,0),INDEX('Cronograma R. Operacional'!$M$5:$M$1000,$AH278),INDEX('Cronograma R. Normativo'!$M$5:$M$1000,$AH278),INDEX('Cronograma R. Financiero'!$M$5:$M$1000,$AH278),INDEX('Cronograma Asistente Técnico'!$M$5:$M$1000,$AH278))),0),IF(ISNUMBER($G278),1,IF(N($W278)&gt;0,AVERAGEIFS($X$5:$X$1000,$U$5:$U$1000,ROW(),$V$5:$V$1000,"Sub"),$X278))))</f>
        <v/>
      </c>
      <c r="N278" s="56">
        <f>IF(OR($M278="",$V278="Sub"),"",IF($M278&gt;=1,"Completado",IF($M278&gt;0,"En curso","Pendiente")))</f>
        <v/>
      </c>
      <c r="O278" s="56">
        <f>IF(NOT((COUNTA($B278:$D278)+COUNTA($G278:$L278)+COUNTA($Q278))&gt;0),"",IF(AND(AND($D278&lt;&gt;"",$V278="Macro"),N($AH278)&gt;0),CHOOSE(MATCH($D278,ListaPuestos,0),INDEX('Cronograma R. Operacional'!$O$5:$O$1000,$AH278),INDEX('Cronograma R. Normativo'!$O$5:$O$1000,$AH278),INDEX('Cronograma R. Financiero'!$O$5:$O$1000,$AH278),INDEX('Cronograma Asistente Técnico'!$O$5:$O$1000,$AH278))&amp;"",IF(ISNUMBER($G278),IF(AND(ISNUMBER($AN278),$G278&gt;$AN278),"Cumplida con "&amp;($G278-$AN278)&amp;IF($G278-$AN278=1," día"," días")&amp;" de retraso","Cumplida"),IF(N($M278)&gt;=1,"Cumplida",IF(NOT(ISNUMBER($AN278)),"Sin fecha límite",IF($AN278&lt;FechaRef,"Vencida hace "&amp;(FechaRef-$AN278)&amp;IF(FechaRef-$AN278=1," día"," días"),IF($AN278=FechaRef,"Vence hoy",IF($AN278-FechaRef&lt;=DiasAlerta,"Vence en "&amp;($AN278-FechaRef)&amp;IF($AN278-FechaRef=1," día"," días"),"En plazo"))))))))</f>
        <v/>
      </c>
      <c r="P278" s="62">
        <f>IF(NOT((COUNTA($B278:$D278)+COUNTA($G278:$L278)+COUNTA($Q278))&gt;0),"",IF($D278="","Propia",IF($V278&lt;&gt;"Macro","Solo se delegan macroactividades",IF(N($AH278)&gt;0,"✔ Recibida por "&amp;$D278,"⚠ "&amp;$D278&amp;" aún no la agrega"))))</f>
        <v/>
      </c>
      <c r="Q278" s="58" t="n"/>
      <c r="R278" s="63">
        <f>IF(NOT((COUNTA($B278:$D278)+COUNTA($G278:$L278)+COUNTA($Q278))&gt;0),"",IF((IF($C278="","Falta el nombre de la actividad"&amp;" · ","")&amp;IF(AND($V278="Sub",N($U278)=0),"Subactividad sin macroactividad arriba"&amp;" · ","")&amp;IF($AM278="","Sin fecha de inicio"&amp;" · ","")&amp;IF($AN278="","Sin fecha límite"&amp;" · ","")&amp;IF(AND(LEFT($C278,11)="[Jefatura] ",N($AL278)=0),"No se encuentra en la hoja de la jefatura (elíjala de nuevo en la lista)"&amp;" · ","")&amp;IF(OR(AND($E278&lt;&gt;"",NOT(ISNUMBER($E278))),AND($F278&lt;&gt;"",NOT(ISNUMBER($F278))),AND($G278&lt;&gt;"",NOT(ISNUMBER($G278)))),"Fecha no válida"&amp;" · ","")&amp;IF(AND(ISNUMBER($AM278),ISNUMBER($AN278),$AM278&gt;$AN278),"Inicio posterior a fecha límite"&amp;" · ","")&amp;IF(AND($V278="Macro",$H278&lt;&gt;"",OR(NOT(ISNUMBER($H278)),$H278&lt;0,$H278&gt;1)),"Peso fuera de rango"&amp;" · ","")&amp;IF(AND($V278="Sub",$H278&lt;&gt;""),"Las subactividades no llevan peso (valen igual dentro de su macroactividad)"&amp;" · ","")&amp;IF(AND(N($W278)&gt;0,COUNT($I278:$L278)&gt;0),"Con subactividades: deje vacías las semanas (se calculan solas)"&amp;" · ","")&amp;IF((COUNTIF($I278:$L278,"&gt;1")+COUNTIF($I278:$L278,"&lt;0")+COUNTA($I278:$L278)-COUNT($I278:$L278))&gt;0,"Avance fuera de rango 0-100%"&amp;" · ","")&amp;IF(OR(AND($J278&lt;&gt;"",$J278&lt;$I278),AND($K278&lt;&gt;"",$K278&lt;MAX($I278:$J278)),AND($L278&lt;&gt;"",$L278&lt;MAX($I278:$K278))),"Avance semanal decreciente"&amp;" · ","")&amp;IF(AND(ISNUMBER($AN278),$AN278&lt;FechaRef,IF($V278="Sub",N($X278),N($M278))&lt;1),"Vencida"&amp;" · ","")&amp;IF(AND(ObsObligatoria="Sí",ISNUMBER($AN278),$AN278&lt;FechaRef,IF($V278="Sub",N($X278),N($M278))&lt;1,$Q278=""),"Vencida sin observación"&amp;" · ",""))="","✔ OK","⚠ "&amp;LEFT(IF($C278="","Falta el nombre de la actividad"&amp;" · ","")&amp;IF(AND($V278="Sub",N($U278)=0),"Subactividad sin macroactividad arriba"&amp;" · ","")&amp;IF($AM278="","Sin fecha de inicio"&amp;" · ","")&amp;IF($AN278="","Sin fecha límite"&amp;" · ","")&amp;IF(AND(LEFT($C278,11)="[Jefatura] ",N($AL278)=0),"No se encuentra en la hoja de la jefatura (elíjala de nuevo en la lista)"&amp;" · ","")&amp;IF(OR(AND($E278&lt;&gt;"",NOT(ISNUMBER($E278))),AND($F278&lt;&gt;"",NOT(ISNUMBER($F278))),AND($G278&lt;&gt;"",NOT(ISNUMBER($G278)))),"Fecha no válida"&amp;" · ","")&amp;IF(AND(ISNUMBER($AM278),ISNUMBER($AN278),$AM278&gt;$AN278),"Inicio posterior a fecha límite"&amp;" · ","")&amp;IF(AND($V278="Macro",$H278&lt;&gt;"",OR(NOT(ISNUMBER($H278)),$H278&lt;0,$H278&gt;1)),"Peso fuera de rango"&amp;" · ","")&amp;IF(AND($V278="Sub",$H278&lt;&gt;""),"Las subactividades no llevan peso (valen igual dentro de su macroactividad)"&amp;" · ","")&amp;IF(AND(N($W278)&gt;0,COUNT($I278:$L278)&gt;0),"Con subactividades: deje vacías las semanas (se calculan solas)"&amp;" · ","")&amp;IF((COUNTIF($I278:$L278,"&gt;1")+COUNTIF($I278:$L278,"&lt;0")+COUNTA($I278:$L278)-COUNT($I278:$L278))&gt;0,"Avance fuera de rango 0-100%"&amp;" · ","")&amp;IF(OR(AND($J278&lt;&gt;"",$J278&lt;$I278),AND($K278&lt;&gt;"",$K278&lt;MAX($I278:$J278)),AND($L278&lt;&gt;"",$L278&lt;MAX($I278:$K278))),"Avance semanal decreciente"&amp;" · ","")&amp;IF(AND(ISNUMBER($AN278),$AN278&lt;FechaRef,IF($V278="Sub",N($X278),N($M278))&lt;1),"Vencida"&amp;" · ","")&amp;IF(AND(ObsObligatoria="Sí",ISNUMBER($AN278),$AN278&lt;FechaRef,IF($V278="Sub",N($X278),N($M278))&lt;1,$Q278=""),"Vencida sin observación"&amp;" · ",""),LEN(IF($C278="","Falta el nombre de la actividad"&amp;" · ","")&amp;IF(AND($V278="Sub",N($U278)=0),"Subactividad sin macroactividad arriba"&amp;" · ","")&amp;IF($AM278="","Sin fecha de inicio"&amp;" · ","")&amp;IF($AN278="","Sin fecha límite"&amp;" · ","")&amp;IF(AND(LEFT($C278,11)="[Jefatura] ",N($AL278)=0),"No se encuentra en la hoja de la jefatura (elíjala de nuevo en la lista)"&amp;" · ","")&amp;IF(OR(AND($E278&lt;&gt;"",NOT(ISNUMBER($E278))),AND($F278&lt;&gt;"",NOT(ISNUMBER($F278))),AND($G278&lt;&gt;"",NOT(ISNUMBER($G278)))),"Fecha no válida"&amp;" · ","")&amp;IF(AND(ISNUMBER($AM278),ISNUMBER($AN278),$AM278&gt;$AN278),"Inicio posterior a fecha límite"&amp;" · ","")&amp;IF(AND($V278="Macro",$H278&lt;&gt;"",OR(NOT(ISNUMBER($H278)),$H278&lt;0,$H278&gt;1)),"Peso fuera de rango"&amp;" · ","")&amp;IF(AND($V278="Sub",$H278&lt;&gt;""),"Las subactividades no llevan peso (valen igual dentro de su macroactividad)"&amp;" · ","")&amp;IF(AND(N($W278)&gt;0,COUNT($I278:$L278)&gt;0),"Con subactividades: deje vacías las semanas (se calculan solas)"&amp;" · ","")&amp;IF((COUNTIF($I278:$L278,"&gt;1")+COUNTIF($I278:$L278,"&lt;0")+COUNTA($I278:$L278)-COUNT($I278:$L278))&gt;0,"Avance fuera de rango 0-100%"&amp;" · ","")&amp;IF(OR(AND($J278&lt;&gt;"",$J278&lt;$I278),AND($K278&lt;&gt;"",$K278&lt;MAX($I278:$J278)),AND($L278&lt;&gt;"",$L278&lt;MAX($I278:$K278))),"Avance semanal decreciente"&amp;" · ","")&amp;IF(AND(ISNUMBER($AN278),$AN278&lt;FechaRef,IF($V278="Sub",N($X278),N($M278))&lt;1),"Vencida"&amp;" · ","")&amp;IF(AND(ObsObligatoria="Sí",ISNUMBER($AN278),$AN278&lt;FechaRef,IF($V278="Sub",N($X278),N($M278))&lt;1,$Q278=""),"Vencida sin observación"&amp;" · ",""))-3)))</f>
        <v/>
      </c>
      <c r="S278" s="64">
        <f>IF(NOT((COUNTA($B278:$D278)+COUNTA($G278:$L278)+COUNTA($Q278))&gt;0),"",IF(AND($V278="Sub",N($U278)&gt;0),IF(ISNUMBER(INDEX($AM$5:$AM$1000,$U278-4)),DATE(YEAR(INDEX($AM$5:$AM$1000,$U278-4)),MONTH(INDEX($AM$5:$AM$1000,$U278-4)),1),IF(ISNUMBER(INDEX($AN$5:$AN$1000,$U278-4)),DATE(YEAR(INDEX($AN$5:$AN$1000,$U278-4)),MONTH(INDEX($AN$5:$AN$1000,$U278-4)),1),MesCiclo)),IF(ISNUMBER($AM278),DATE(YEAR($AM278),MONTH($AM278),1),IF(ISNUMBER($AN278),DATE(YEAR($AN278),MONTH($AN278),1),MesCiclo))))</f>
        <v/>
      </c>
      <c r="T278" s="62">
        <f>IF(OR($S278="",$S278&lt;&gt;MesCiclo,$V278&lt;&gt;"Macro"),"",COUNTIFS($S$5:$S278,MesCiclo,$V$5:$V278,"Macro"))</f>
        <v/>
      </c>
      <c r="U278" s="62">
        <f>IF($V278="","",IF($V278="Macro",ROW(),IFERROR(LOOKUP(2,1/($V$5:$V278="Macro"),ROW($V$5:$V278)),0)))</f>
        <v/>
      </c>
      <c r="V278" s="62">
        <f>IF(NOT((COUNTA($B278:$D278)+COUNTA($G278:$L278)+COUNTA($Q278))&gt;0),"",IF($B278="Subactividad","Sub","Macro"))</f>
        <v/>
      </c>
      <c r="W278" s="62">
        <f>IF($V278="Macro",COUNTIFS($U$5:$U$1000,ROW(),$V$5:$V$1000,"Sub"),"")</f>
        <v/>
      </c>
      <c r="X278" s="62">
        <f>IF($V278="","",IF(ISNUMBER($G278),1,IFERROR(LOOKUP(2,1/($I278:$L278&lt;&gt;""),$I278:$L278),0)))</f>
        <v/>
      </c>
      <c r="Y278" s="62">
        <f>IF($V278="","",IF(AND(ISNUMBER($G278),$G278&lt;=IF($S278=MesCiclo,InicioCiclo,$S278+MOD(2-WEEKDAY($S278),7))+6),1,IF(ISNUMBER($I278),$I278,0)))</f>
        <v/>
      </c>
      <c r="Z278" s="62">
        <f>IF($V278="","",IF(AND(ISNUMBER($G278),$G278&lt;=IF($S278=MesCiclo,InicioCiclo,$S278+MOD(2-WEEKDAY($S278),7))+13),1,IF(ISNUMBER($J278),$J278,$Y278)))</f>
        <v/>
      </c>
      <c r="AA278" s="62">
        <f>IF($V278="","",IF(AND(ISNUMBER($G278),$G278&lt;=IF($S278=MesCiclo,InicioCiclo,$S278+MOD(2-WEEKDAY($S278),7))+20),1,IF(ISNUMBER($K278),$K278,$Z278)))</f>
        <v/>
      </c>
      <c r="AB278" s="62">
        <f>IF($V278="","",IF(AND(ISNUMBER($G278),$G278&lt;=IF($S278=MesCiclo,InicioCiclo,$S278+MOD(2-WEEKDAY($S278),7))+27),1,IF(ISNUMBER($L278),$L278,$AA278)))</f>
        <v/>
      </c>
      <c r="AC278" s="62">
        <f>IF($V278="","",IF(AND(ISNUMBER($G278),$G278&lt;=IF($S278=MesCiclo,InicioCiclo,$S278+MOD(2-WEEKDAY($S278),7))+6),1,IF(N($W278)&gt;0,AVERAGEIFS($Y$5:$Y$1000,$U$5:$U$1000,ROW(),$V$5:$V$1000,"Sub"),$Y278)))</f>
        <v/>
      </c>
      <c r="AD278" s="62">
        <f>IF($V278="","",IF(AND(ISNUMBER($G278),$G278&lt;=IF($S278=MesCiclo,InicioCiclo,$S278+MOD(2-WEEKDAY($S278),7))+13),1,IF(N($W278)&gt;0,AVERAGEIFS($Z$5:$Z$1000,$U$5:$U$1000,ROW(),$V$5:$V$1000,"Sub"),$Z278)))</f>
        <v/>
      </c>
      <c r="AE278" s="62">
        <f>IF($V278="","",IF(AND(ISNUMBER($G278),$G278&lt;=IF($S278=MesCiclo,InicioCiclo,$S278+MOD(2-WEEKDAY($S278),7))+20),1,IF(N($W278)&gt;0,AVERAGEIFS($AA$5:$AA$1000,$U$5:$U$1000,ROW(),$V$5:$V$1000,"Sub"),$AA278)))</f>
        <v/>
      </c>
      <c r="AF278" s="62">
        <f>IF($V278="","",IF(AND(ISNUMBER($G278),$G278&lt;=IF($S278=MesCiclo,InicioCiclo,$S278+MOD(2-WEEKDAY($S278),7))+27),1,IF(N($W278)&gt;0,AVERAGEIFS($AB$5:$AB$1000,$U$5:$U$1000,ROW(),$V$5:$V$1000,"Sub"),$AB278)))</f>
        <v/>
      </c>
      <c r="AG278" s="62">
        <f>IF($V278&lt;&gt;"Macro","",IF(COUNTIFS($S$5:$S$1000,$S278,$V$5:$V$1000,"Macro",$H$5:$H$1000,"&gt;0")=0,1/COUNTIFS($S$5:$S$1000,$S278,$V$5:$V$1000,"Macro"),IF(AND(ISNUMBER($H278),N($H278)&gt;0),$H278,SUMIFS($H$5:$H$1000,$S$5:$S$1000,$S278,$V$5:$V$1000,"Macro")/COUNTIFS($S$5:$S$1000,$S278,$V$5:$V$1000,"Macro",$H$5:$H$1000,"&gt;0"))/(COUNTIFS($S$5:$S$1000,$S278,$V$5:$V$1000,"Macro")*SUMIFS($H$5:$H$1000,$S$5:$S$1000,$S278,$V$5:$V$1000,"Macro")/COUNTIFS($S$5:$S$1000,$S278,$V$5:$V$1000,"Macro",$H$5:$H$1000,"&gt;0"))))</f>
        <v/>
      </c>
      <c r="AH278" s="62">
        <f>IF(NOT(AND($D278&lt;&gt;"",$V278="Macro")),"",IFERROR(CHOOSE(MATCH($D278,ListaPuestos,0),MATCH("[Jefatura] "&amp;$C278,'Cronograma R. Operacional'!$C$5:$C$1000,0),MATCH("[Jefatura] "&amp;$C278,'Cronograma R. Normativo'!$C$5:$C$1000,0),MATCH("[Jefatura] "&amp;$C278,'Cronograma R. Financiero'!$C$5:$C$1000,0),MATCH("[Jefatura] "&amp;$C278,'Cronograma Asistente Técnico'!$C$5:$C$1000,0)),0))</f>
        <v/>
      </c>
      <c r="AI278" s="62">
        <f>IF(AND(AND($D278&lt;&gt;"",$V278="Macro"),$S278=MesCiclo),COUNTIFS($D$5:$D278,$D278,$S$5:$S278,MesCiclo,$V$5:$V278,"Macro"),"")</f>
        <v/>
      </c>
      <c r="AJ278" s="62">
        <f>IF($AI278="","",$D278&amp;"|"&amp;$AI278)</f>
        <v/>
      </c>
      <c r="AK278" s="62">
        <f>IF(AND($D278&lt;&gt;"",$V278="Macro"),$D278&amp;"|"&amp;$C278,"")</f>
        <v/>
      </c>
      <c r="AL278" s="62">
        <f>""</f>
        <v/>
      </c>
      <c r="AM278" s="62">
        <f>IF(N($AL278)&gt;0,INDEX(rIni_ADM,$AL278),IF(ISNUMBER($E278),$E278,""))</f>
        <v/>
      </c>
      <c r="AN278" s="62">
        <f>IF(N($AL278)&gt;0,INDEX(rLim_ADM,$AL278),IF(ISNUMBER($F278),$F278,""))</f>
        <v/>
      </c>
    </row>
    <row r="279">
      <c r="A279" s="56">
        <f>IF(NOT((COUNTA($B279:$D279)+COUNTA($G279:$L279)+COUNTA($Q279))&gt;0),"",IF($V279="Macro",COUNTIFS($V$5:$V279,"Macro",$S$5:$S279,$S279),IF(N($U279)=0,"?",COUNTIFS(INDEX($V$5:$V$1000,1):INDEX($V$5:$V$1000,$U279-4),"Macro",INDEX($S$5:$S$1000,1):INDEX($S$5:$S$1000,$U279-4),INDEX($S$5:$S$1000,$U279-4))&amp;"."&amp;COUNTIFS($U$5:$U279,$U279,$V$5:$V279,"Sub"))))</f>
        <v/>
      </c>
      <c r="B279" s="57" t="n"/>
      <c r="C279" s="58" t="n"/>
      <c r="D279" s="58" t="n"/>
      <c r="E279" s="59" t="n"/>
      <c r="F279" s="59" t="n"/>
      <c r="G279" s="59" t="n"/>
      <c r="H279" s="60" t="n"/>
      <c r="I279" s="60" t="n"/>
      <c r="J279" s="60" t="n"/>
      <c r="K279" s="60" t="n"/>
      <c r="L279" s="60" t="n"/>
      <c r="M279" s="61">
        <f>IF(NOT((COUNTA($B279:$D279)+COUNTA($G279:$L279)+COUNTA($Q279))&gt;0),"",IF(AND($D279&lt;&gt;"",$V279="Macro"),IF(N($AH279)&gt;0,N(CHOOSE(MATCH($D279,ListaPuestos,0),INDEX('Cronograma R. Operacional'!$M$5:$M$1000,$AH279),INDEX('Cronograma R. Normativo'!$M$5:$M$1000,$AH279),INDEX('Cronograma R. Financiero'!$M$5:$M$1000,$AH279),INDEX('Cronograma Asistente Técnico'!$M$5:$M$1000,$AH279))),0),IF(ISNUMBER($G279),1,IF(N($W279)&gt;0,AVERAGEIFS($X$5:$X$1000,$U$5:$U$1000,ROW(),$V$5:$V$1000,"Sub"),$X279))))</f>
        <v/>
      </c>
      <c r="N279" s="56">
        <f>IF(OR($M279="",$V279="Sub"),"",IF($M279&gt;=1,"Completado",IF($M279&gt;0,"En curso","Pendiente")))</f>
        <v/>
      </c>
      <c r="O279" s="56">
        <f>IF(NOT((COUNTA($B279:$D279)+COUNTA($G279:$L279)+COUNTA($Q279))&gt;0),"",IF(AND(AND($D279&lt;&gt;"",$V279="Macro"),N($AH279)&gt;0),CHOOSE(MATCH($D279,ListaPuestos,0),INDEX('Cronograma R. Operacional'!$O$5:$O$1000,$AH279),INDEX('Cronograma R. Normativo'!$O$5:$O$1000,$AH279),INDEX('Cronograma R. Financiero'!$O$5:$O$1000,$AH279),INDEX('Cronograma Asistente Técnico'!$O$5:$O$1000,$AH279))&amp;"",IF(ISNUMBER($G279),IF(AND(ISNUMBER($AN279),$G279&gt;$AN279),"Cumplida con "&amp;($G279-$AN279)&amp;IF($G279-$AN279=1," día"," días")&amp;" de retraso","Cumplida"),IF(N($M279)&gt;=1,"Cumplida",IF(NOT(ISNUMBER($AN279)),"Sin fecha límite",IF($AN279&lt;FechaRef,"Vencida hace "&amp;(FechaRef-$AN279)&amp;IF(FechaRef-$AN279=1," día"," días"),IF($AN279=FechaRef,"Vence hoy",IF($AN279-FechaRef&lt;=DiasAlerta,"Vence en "&amp;($AN279-FechaRef)&amp;IF($AN279-FechaRef=1," día"," días"),"En plazo"))))))))</f>
        <v/>
      </c>
      <c r="P279" s="62">
        <f>IF(NOT((COUNTA($B279:$D279)+COUNTA($G279:$L279)+COUNTA($Q279))&gt;0),"",IF($D279="","Propia",IF($V279&lt;&gt;"Macro","Solo se delegan macroactividades",IF(N($AH279)&gt;0,"✔ Recibida por "&amp;$D279,"⚠ "&amp;$D279&amp;" aún no la agrega"))))</f>
        <v/>
      </c>
      <c r="Q279" s="58" t="n"/>
      <c r="R279" s="63">
        <f>IF(NOT((COUNTA($B279:$D279)+COUNTA($G279:$L279)+COUNTA($Q279))&gt;0),"",IF((IF($C279="","Falta el nombre de la actividad"&amp;" · ","")&amp;IF(AND($V279="Sub",N($U279)=0),"Subactividad sin macroactividad arriba"&amp;" · ","")&amp;IF($AM279="","Sin fecha de inicio"&amp;" · ","")&amp;IF($AN279="","Sin fecha límite"&amp;" · ","")&amp;IF(AND(LEFT($C279,11)="[Jefatura] ",N($AL279)=0),"No se encuentra en la hoja de la jefatura (elíjala de nuevo en la lista)"&amp;" · ","")&amp;IF(OR(AND($E279&lt;&gt;"",NOT(ISNUMBER($E279))),AND($F279&lt;&gt;"",NOT(ISNUMBER($F279))),AND($G279&lt;&gt;"",NOT(ISNUMBER($G279)))),"Fecha no válida"&amp;" · ","")&amp;IF(AND(ISNUMBER($AM279),ISNUMBER($AN279),$AM279&gt;$AN279),"Inicio posterior a fecha límite"&amp;" · ","")&amp;IF(AND($V279="Macro",$H279&lt;&gt;"",OR(NOT(ISNUMBER($H279)),$H279&lt;0,$H279&gt;1)),"Peso fuera de rango"&amp;" · ","")&amp;IF(AND($V279="Sub",$H279&lt;&gt;""),"Las subactividades no llevan peso (valen igual dentro de su macroactividad)"&amp;" · ","")&amp;IF(AND(N($W279)&gt;0,COUNT($I279:$L279)&gt;0),"Con subactividades: deje vacías las semanas (se calculan solas)"&amp;" · ","")&amp;IF((COUNTIF($I279:$L279,"&gt;1")+COUNTIF($I279:$L279,"&lt;0")+COUNTA($I279:$L279)-COUNT($I279:$L279))&gt;0,"Avance fuera de rango 0-100%"&amp;" · ","")&amp;IF(OR(AND($J279&lt;&gt;"",$J279&lt;$I279),AND($K279&lt;&gt;"",$K279&lt;MAX($I279:$J279)),AND($L279&lt;&gt;"",$L279&lt;MAX($I279:$K279))),"Avance semanal decreciente"&amp;" · ","")&amp;IF(AND(ISNUMBER($AN279),$AN279&lt;FechaRef,IF($V279="Sub",N($X279),N($M279))&lt;1),"Vencida"&amp;" · ","")&amp;IF(AND(ObsObligatoria="Sí",ISNUMBER($AN279),$AN279&lt;FechaRef,IF($V279="Sub",N($X279),N($M279))&lt;1,$Q279=""),"Vencida sin observación"&amp;" · ",""))="","✔ OK","⚠ "&amp;LEFT(IF($C279="","Falta el nombre de la actividad"&amp;" · ","")&amp;IF(AND($V279="Sub",N($U279)=0),"Subactividad sin macroactividad arriba"&amp;" · ","")&amp;IF($AM279="","Sin fecha de inicio"&amp;" · ","")&amp;IF($AN279="","Sin fecha límite"&amp;" · ","")&amp;IF(AND(LEFT($C279,11)="[Jefatura] ",N($AL279)=0),"No se encuentra en la hoja de la jefatura (elíjala de nuevo en la lista)"&amp;" · ","")&amp;IF(OR(AND($E279&lt;&gt;"",NOT(ISNUMBER($E279))),AND($F279&lt;&gt;"",NOT(ISNUMBER($F279))),AND($G279&lt;&gt;"",NOT(ISNUMBER($G279)))),"Fecha no válida"&amp;" · ","")&amp;IF(AND(ISNUMBER($AM279),ISNUMBER($AN279),$AM279&gt;$AN279),"Inicio posterior a fecha límite"&amp;" · ","")&amp;IF(AND($V279="Macro",$H279&lt;&gt;"",OR(NOT(ISNUMBER($H279)),$H279&lt;0,$H279&gt;1)),"Peso fuera de rango"&amp;" · ","")&amp;IF(AND($V279="Sub",$H279&lt;&gt;""),"Las subactividades no llevan peso (valen igual dentro de su macroactividad)"&amp;" · ","")&amp;IF(AND(N($W279)&gt;0,COUNT($I279:$L279)&gt;0),"Con subactividades: deje vacías las semanas (se calculan solas)"&amp;" · ","")&amp;IF((COUNTIF($I279:$L279,"&gt;1")+COUNTIF($I279:$L279,"&lt;0")+COUNTA($I279:$L279)-COUNT($I279:$L279))&gt;0,"Avance fuera de rango 0-100%"&amp;" · ","")&amp;IF(OR(AND($J279&lt;&gt;"",$J279&lt;$I279),AND($K279&lt;&gt;"",$K279&lt;MAX($I279:$J279)),AND($L279&lt;&gt;"",$L279&lt;MAX($I279:$K279))),"Avance semanal decreciente"&amp;" · ","")&amp;IF(AND(ISNUMBER($AN279),$AN279&lt;FechaRef,IF($V279="Sub",N($X279),N($M279))&lt;1),"Vencida"&amp;" · ","")&amp;IF(AND(ObsObligatoria="Sí",ISNUMBER($AN279),$AN279&lt;FechaRef,IF($V279="Sub",N($X279),N($M279))&lt;1,$Q279=""),"Vencida sin observación"&amp;" · ",""),LEN(IF($C279="","Falta el nombre de la actividad"&amp;" · ","")&amp;IF(AND($V279="Sub",N($U279)=0),"Subactividad sin macroactividad arriba"&amp;" · ","")&amp;IF($AM279="","Sin fecha de inicio"&amp;" · ","")&amp;IF($AN279="","Sin fecha límite"&amp;" · ","")&amp;IF(AND(LEFT($C279,11)="[Jefatura] ",N($AL279)=0),"No se encuentra en la hoja de la jefatura (elíjala de nuevo en la lista)"&amp;" · ","")&amp;IF(OR(AND($E279&lt;&gt;"",NOT(ISNUMBER($E279))),AND($F279&lt;&gt;"",NOT(ISNUMBER($F279))),AND($G279&lt;&gt;"",NOT(ISNUMBER($G279)))),"Fecha no válida"&amp;" · ","")&amp;IF(AND(ISNUMBER($AM279),ISNUMBER($AN279),$AM279&gt;$AN279),"Inicio posterior a fecha límite"&amp;" · ","")&amp;IF(AND($V279="Macro",$H279&lt;&gt;"",OR(NOT(ISNUMBER($H279)),$H279&lt;0,$H279&gt;1)),"Peso fuera de rango"&amp;" · ","")&amp;IF(AND($V279="Sub",$H279&lt;&gt;""),"Las subactividades no llevan peso (valen igual dentro de su macroactividad)"&amp;" · ","")&amp;IF(AND(N($W279)&gt;0,COUNT($I279:$L279)&gt;0),"Con subactividades: deje vacías las semanas (se calculan solas)"&amp;" · ","")&amp;IF((COUNTIF($I279:$L279,"&gt;1")+COUNTIF($I279:$L279,"&lt;0")+COUNTA($I279:$L279)-COUNT($I279:$L279))&gt;0,"Avance fuera de rango 0-100%"&amp;" · ","")&amp;IF(OR(AND($J279&lt;&gt;"",$J279&lt;$I279),AND($K279&lt;&gt;"",$K279&lt;MAX($I279:$J279)),AND($L279&lt;&gt;"",$L279&lt;MAX($I279:$K279))),"Avance semanal decreciente"&amp;" · ","")&amp;IF(AND(ISNUMBER($AN279),$AN279&lt;FechaRef,IF($V279="Sub",N($X279),N($M279))&lt;1),"Vencida"&amp;" · ","")&amp;IF(AND(ObsObligatoria="Sí",ISNUMBER($AN279),$AN279&lt;FechaRef,IF($V279="Sub",N($X279),N($M279))&lt;1,$Q279=""),"Vencida sin observación"&amp;" · ",""))-3)))</f>
        <v/>
      </c>
      <c r="S279" s="64">
        <f>IF(NOT((COUNTA($B279:$D279)+COUNTA($G279:$L279)+COUNTA($Q279))&gt;0),"",IF(AND($V279="Sub",N($U279)&gt;0),IF(ISNUMBER(INDEX($AM$5:$AM$1000,$U279-4)),DATE(YEAR(INDEX($AM$5:$AM$1000,$U279-4)),MONTH(INDEX($AM$5:$AM$1000,$U279-4)),1),IF(ISNUMBER(INDEX($AN$5:$AN$1000,$U279-4)),DATE(YEAR(INDEX($AN$5:$AN$1000,$U279-4)),MONTH(INDEX($AN$5:$AN$1000,$U279-4)),1),MesCiclo)),IF(ISNUMBER($AM279),DATE(YEAR($AM279),MONTH($AM279),1),IF(ISNUMBER($AN279),DATE(YEAR($AN279),MONTH($AN279),1),MesCiclo))))</f>
        <v/>
      </c>
      <c r="T279" s="62">
        <f>IF(OR($S279="",$S279&lt;&gt;MesCiclo,$V279&lt;&gt;"Macro"),"",COUNTIFS($S$5:$S279,MesCiclo,$V$5:$V279,"Macro"))</f>
        <v/>
      </c>
      <c r="U279" s="62">
        <f>IF($V279="","",IF($V279="Macro",ROW(),IFERROR(LOOKUP(2,1/($V$5:$V279="Macro"),ROW($V$5:$V279)),0)))</f>
        <v/>
      </c>
      <c r="V279" s="62">
        <f>IF(NOT((COUNTA($B279:$D279)+COUNTA($G279:$L279)+COUNTA($Q279))&gt;0),"",IF($B279="Subactividad","Sub","Macro"))</f>
        <v/>
      </c>
      <c r="W279" s="62">
        <f>IF($V279="Macro",COUNTIFS($U$5:$U$1000,ROW(),$V$5:$V$1000,"Sub"),"")</f>
        <v/>
      </c>
      <c r="X279" s="62">
        <f>IF($V279="","",IF(ISNUMBER($G279),1,IFERROR(LOOKUP(2,1/($I279:$L279&lt;&gt;""),$I279:$L279),0)))</f>
        <v/>
      </c>
      <c r="Y279" s="62">
        <f>IF($V279="","",IF(AND(ISNUMBER($G279),$G279&lt;=IF($S279=MesCiclo,InicioCiclo,$S279+MOD(2-WEEKDAY($S279),7))+6),1,IF(ISNUMBER($I279),$I279,0)))</f>
        <v/>
      </c>
      <c r="Z279" s="62">
        <f>IF($V279="","",IF(AND(ISNUMBER($G279),$G279&lt;=IF($S279=MesCiclo,InicioCiclo,$S279+MOD(2-WEEKDAY($S279),7))+13),1,IF(ISNUMBER($J279),$J279,$Y279)))</f>
        <v/>
      </c>
      <c r="AA279" s="62">
        <f>IF($V279="","",IF(AND(ISNUMBER($G279),$G279&lt;=IF($S279=MesCiclo,InicioCiclo,$S279+MOD(2-WEEKDAY($S279),7))+20),1,IF(ISNUMBER($K279),$K279,$Z279)))</f>
        <v/>
      </c>
      <c r="AB279" s="62">
        <f>IF($V279="","",IF(AND(ISNUMBER($G279),$G279&lt;=IF($S279=MesCiclo,InicioCiclo,$S279+MOD(2-WEEKDAY($S279),7))+27),1,IF(ISNUMBER($L279),$L279,$AA279)))</f>
        <v/>
      </c>
      <c r="AC279" s="62">
        <f>IF($V279="","",IF(AND(ISNUMBER($G279),$G279&lt;=IF($S279=MesCiclo,InicioCiclo,$S279+MOD(2-WEEKDAY($S279),7))+6),1,IF(N($W279)&gt;0,AVERAGEIFS($Y$5:$Y$1000,$U$5:$U$1000,ROW(),$V$5:$V$1000,"Sub"),$Y279)))</f>
        <v/>
      </c>
      <c r="AD279" s="62">
        <f>IF($V279="","",IF(AND(ISNUMBER($G279),$G279&lt;=IF($S279=MesCiclo,InicioCiclo,$S279+MOD(2-WEEKDAY($S279),7))+13),1,IF(N($W279)&gt;0,AVERAGEIFS($Z$5:$Z$1000,$U$5:$U$1000,ROW(),$V$5:$V$1000,"Sub"),$Z279)))</f>
        <v/>
      </c>
      <c r="AE279" s="62">
        <f>IF($V279="","",IF(AND(ISNUMBER($G279),$G279&lt;=IF($S279=MesCiclo,InicioCiclo,$S279+MOD(2-WEEKDAY($S279),7))+20),1,IF(N($W279)&gt;0,AVERAGEIFS($AA$5:$AA$1000,$U$5:$U$1000,ROW(),$V$5:$V$1000,"Sub"),$AA279)))</f>
        <v/>
      </c>
      <c r="AF279" s="62">
        <f>IF($V279="","",IF(AND(ISNUMBER($G279),$G279&lt;=IF($S279=MesCiclo,InicioCiclo,$S279+MOD(2-WEEKDAY($S279),7))+27),1,IF(N($W279)&gt;0,AVERAGEIFS($AB$5:$AB$1000,$U$5:$U$1000,ROW(),$V$5:$V$1000,"Sub"),$AB279)))</f>
        <v/>
      </c>
      <c r="AG279" s="62">
        <f>IF($V279&lt;&gt;"Macro","",IF(COUNTIFS($S$5:$S$1000,$S279,$V$5:$V$1000,"Macro",$H$5:$H$1000,"&gt;0")=0,1/COUNTIFS($S$5:$S$1000,$S279,$V$5:$V$1000,"Macro"),IF(AND(ISNUMBER($H279),N($H279)&gt;0),$H279,SUMIFS($H$5:$H$1000,$S$5:$S$1000,$S279,$V$5:$V$1000,"Macro")/COUNTIFS($S$5:$S$1000,$S279,$V$5:$V$1000,"Macro",$H$5:$H$1000,"&gt;0"))/(COUNTIFS($S$5:$S$1000,$S279,$V$5:$V$1000,"Macro")*SUMIFS($H$5:$H$1000,$S$5:$S$1000,$S279,$V$5:$V$1000,"Macro")/COUNTIFS($S$5:$S$1000,$S279,$V$5:$V$1000,"Macro",$H$5:$H$1000,"&gt;0"))))</f>
        <v/>
      </c>
      <c r="AH279" s="62">
        <f>IF(NOT(AND($D279&lt;&gt;"",$V279="Macro")),"",IFERROR(CHOOSE(MATCH($D279,ListaPuestos,0),MATCH("[Jefatura] "&amp;$C279,'Cronograma R. Operacional'!$C$5:$C$1000,0),MATCH("[Jefatura] "&amp;$C279,'Cronograma R. Normativo'!$C$5:$C$1000,0),MATCH("[Jefatura] "&amp;$C279,'Cronograma R. Financiero'!$C$5:$C$1000,0),MATCH("[Jefatura] "&amp;$C279,'Cronograma Asistente Técnico'!$C$5:$C$1000,0)),0))</f>
        <v/>
      </c>
      <c r="AI279" s="62">
        <f>IF(AND(AND($D279&lt;&gt;"",$V279="Macro"),$S279=MesCiclo),COUNTIFS($D$5:$D279,$D279,$S$5:$S279,MesCiclo,$V$5:$V279,"Macro"),"")</f>
        <v/>
      </c>
      <c r="AJ279" s="62">
        <f>IF($AI279="","",$D279&amp;"|"&amp;$AI279)</f>
        <v/>
      </c>
      <c r="AK279" s="62">
        <f>IF(AND($D279&lt;&gt;"",$V279="Macro"),$D279&amp;"|"&amp;$C279,"")</f>
        <v/>
      </c>
      <c r="AL279" s="62">
        <f>""</f>
        <v/>
      </c>
      <c r="AM279" s="62">
        <f>IF(N($AL279)&gt;0,INDEX(rIni_ADM,$AL279),IF(ISNUMBER($E279),$E279,""))</f>
        <v/>
      </c>
      <c r="AN279" s="62">
        <f>IF(N($AL279)&gt;0,INDEX(rLim_ADM,$AL279),IF(ISNUMBER($F279),$F279,""))</f>
        <v/>
      </c>
    </row>
    <row r="280">
      <c r="A280" s="56">
        <f>IF(NOT((COUNTA($B280:$D280)+COUNTA($G280:$L280)+COUNTA($Q280))&gt;0),"",IF($V280="Macro",COUNTIFS($V$5:$V280,"Macro",$S$5:$S280,$S280),IF(N($U280)=0,"?",COUNTIFS(INDEX($V$5:$V$1000,1):INDEX($V$5:$V$1000,$U280-4),"Macro",INDEX($S$5:$S$1000,1):INDEX($S$5:$S$1000,$U280-4),INDEX($S$5:$S$1000,$U280-4))&amp;"."&amp;COUNTIFS($U$5:$U280,$U280,$V$5:$V280,"Sub"))))</f>
        <v/>
      </c>
      <c r="B280" s="57" t="n"/>
      <c r="C280" s="58" t="n"/>
      <c r="D280" s="58" t="n"/>
      <c r="E280" s="59" t="n"/>
      <c r="F280" s="59" t="n"/>
      <c r="G280" s="59" t="n"/>
      <c r="H280" s="60" t="n"/>
      <c r="I280" s="60" t="n"/>
      <c r="J280" s="60" t="n"/>
      <c r="K280" s="60" t="n"/>
      <c r="L280" s="60" t="n"/>
      <c r="M280" s="61">
        <f>IF(NOT((COUNTA($B280:$D280)+COUNTA($G280:$L280)+COUNTA($Q280))&gt;0),"",IF(AND($D280&lt;&gt;"",$V280="Macro"),IF(N($AH280)&gt;0,N(CHOOSE(MATCH($D280,ListaPuestos,0),INDEX('Cronograma R. Operacional'!$M$5:$M$1000,$AH280),INDEX('Cronograma R. Normativo'!$M$5:$M$1000,$AH280),INDEX('Cronograma R. Financiero'!$M$5:$M$1000,$AH280),INDEX('Cronograma Asistente Técnico'!$M$5:$M$1000,$AH280))),0),IF(ISNUMBER($G280),1,IF(N($W280)&gt;0,AVERAGEIFS($X$5:$X$1000,$U$5:$U$1000,ROW(),$V$5:$V$1000,"Sub"),$X280))))</f>
        <v/>
      </c>
      <c r="N280" s="56">
        <f>IF(OR($M280="",$V280="Sub"),"",IF($M280&gt;=1,"Completado",IF($M280&gt;0,"En curso","Pendiente")))</f>
        <v/>
      </c>
      <c r="O280" s="56">
        <f>IF(NOT((COUNTA($B280:$D280)+COUNTA($G280:$L280)+COUNTA($Q280))&gt;0),"",IF(AND(AND($D280&lt;&gt;"",$V280="Macro"),N($AH280)&gt;0),CHOOSE(MATCH($D280,ListaPuestos,0),INDEX('Cronograma R. Operacional'!$O$5:$O$1000,$AH280),INDEX('Cronograma R. Normativo'!$O$5:$O$1000,$AH280),INDEX('Cronograma R. Financiero'!$O$5:$O$1000,$AH280),INDEX('Cronograma Asistente Técnico'!$O$5:$O$1000,$AH280))&amp;"",IF(ISNUMBER($G280),IF(AND(ISNUMBER($AN280),$G280&gt;$AN280),"Cumplida con "&amp;($G280-$AN280)&amp;IF($G280-$AN280=1," día"," días")&amp;" de retraso","Cumplida"),IF(N($M280)&gt;=1,"Cumplida",IF(NOT(ISNUMBER($AN280)),"Sin fecha límite",IF($AN280&lt;FechaRef,"Vencida hace "&amp;(FechaRef-$AN280)&amp;IF(FechaRef-$AN280=1," día"," días"),IF($AN280=FechaRef,"Vence hoy",IF($AN280-FechaRef&lt;=DiasAlerta,"Vence en "&amp;($AN280-FechaRef)&amp;IF($AN280-FechaRef=1," día"," días"),"En plazo"))))))))</f>
        <v/>
      </c>
      <c r="P280" s="62">
        <f>IF(NOT((COUNTA($B280:$D280)+COUNTA($G280:$L280)+COUNTA($Q280))&gt;0),"",IF($D280="","Propia",IF($V280&lt;&gt;"Macro","Solo se delegan macroactividades",IF(N($AH280)&gt;0,"✔ Recibida por "&amp;$D280,"⚠ "&amp;$D280&amp;" aún no la agrega"))))</f>
        <v/>
      </c>
      <c r="Q280" s="58" t="n"/>
      <c r="R280" s="63">
        <f>IF(NOT((COUNTA($B280:$D280)+COUNTA($G280:$L280)+COUNTA($Q280))&gt;0),"",IF((IF($C280="","Falta el nombre de la actividad"&amp;" · ","")&amp;IF(AND($V280="Sub",N($U280)=0),"Subactividad sin macroactividad arriba"&amp;" · ","")&amp;IF($AM280="","Sin fecha de inicio"&amp;" · ","")&amp;IF($AN280="","Sin fecha límite"&amp;" · ","")&amp;IF(AND(LEFT($C280,11)="[Jefatura] ",N($AL280)=0),"No se encuentra en la hoja de la jefatura (elíjala de nuevo en la lista)"&amp;" · ","")&amp;IF(OR(AND($E280&lt;&gt;"",NOT(ISNUMBER($E280))),AND($F280&lt;&gt;"",NOT(ISNUMBER($F280))),AND($G280&lt;&gt;"",NOT(ISNUMBER($G280)))),"Fecha no válida"&amp;" · ","")&amp;IF(AND(ISNUMBER($AM280),ISNUMBER($AN280),$AM280&gt;$AN280),"Inicio posterior a fecha límite"&amp;" · ","")&amp;IF(AND($V280="Macro",$H280&lt;&gt;"",OR(NOT(ISNUMBER($H280)),$H280&lt;0,$H280&gt;1)),"Peso fuera de rango"&amp;" · ","")&amp;IF(AND($V280="Sub",$H280&lt;&gt;""),"Las subactividades no llevan peso (valen igual dentro de su macroactividad)"&amp;" · ","")&amp;IF(AND(N($W280)&gt;0,COUNT($I280:$L280)&gt;0),"Con subactividades: deje vacías las semanas (se calculan solas)"&amp;" · ","")&amp;IF((COUNTIF($I280:$L280,"&gt;1")+COUNTIF($I280:$L280,"&lt;0")+COUNTA($I280:$L280)-COUNT($I280:$L280))&gt;0,"Avance fuera de rango 0-100%"&amp;" · ","")&amp;IF(OR(AND($J280&lt;&gt;"",$J280&lt;$I280),AND($K280&lt;&gt;"",$K280&lt;MAX($I280:$J280)),AND($L280&lt;&gt;"",$L280&lt;MAX($I280:$K280))),"Avance semanal decreciente"&amp;" · ","")&amp;IF(AND(ISNUMBER($AN280),$AN280&lt;FechaRef,IF($V280="Sub",N($X280),N($M280))&lt;1),"Vencida"&amp;" · ","")&amp;IF(AND(ObsObligatoria="Sí",ISNUMBER($AN280),$AN280&lt;FechaRef,IF($V280="Sub",N($X280),N($M280))&lt;1,$Q280=""),"Vencida sin observación"&amp;" · ",""))="","✔ OK","⚠ "&amp;LEFT(IF($C280="","Falta el nombre de la actividad"&amp;" · ","")&amp;IF(AND($V280="Sub",N($U280)=0),"Subactividad sin macroactividad arriba"&amp;" · ","")&amp;IF($AM280="","Sin fecha de inicio"&amp;" · ","")&amp;IF($AN280="","Sin fecha límite"&amp;" · ","")&amp;IF(AND(LEFT($C280,11)="[Jefatura] ",N($AL280)=0),"No se encuentra en la hoja de la jefatura (elíjala de nuevo en la lista)"&amp;" · ","")&amp;IF(OR(AND($E280&lt;&gt;"",NOT(ISNUMBER($E280))),AND($F280&lt;&gt;"",NOT(ISNUMBER($F280))),AND($G280&lt;&gt;"",NOT(ISNUMBER($G280)))),"Fecha no válida"&amp;" · ","")&amp;IF(AND(ISNUMBER($AM280),ISNUMBER($AN280),$AM280&gt;$AN280),"Inicio posterior a fecha límite"&amp;" · ","")&amp;IF(AND($V280="Macro",$H280&lt;&gt;"",OR(NOT(ISNUMBER($H280)),$H280&lt;0,$H280&gt;1)),"Peso fuera de rango"&amp;" · ","")&amp;IF(AND($V280="Sub",$H280&lt;&gt;""),"Las subactividades no llevan peso (valen igual dentro de su macroactividad)"&amp;" · ","")&amp;IF(AND(N($W280)&gt;0,COUNT($I280:$L280)&gt;0),"Con subactividades: deje vacías las semanas (se calculan solas)"&amp;" · ","")&amp;IF((COUNTIF($I280:$L280,"&gt;1")+COUNTIF($I280:$L280,"&lt;0")+COUNTA($I280:$L280)-COUNT($I280:$L280))&gt;0,"Avance fuera de rango 0-100%"&amp;" · ","")&amp;IF(OR(AND($J280&lt;&gt;"",$J280&lt;$I280),AND($K280&lt;&gt;"",$K280&lt;MAX($I280:$J280)),AND($L280&lt;&gt;"",$L280&lt;MAX($I280:$K280))),"Avance semanal decreciente"&amp;" · ","")&amp;IF(AND(ISNUMBER($AN280),$AN280&lt;FechaRef,IF($V280="Sub",N($X280),N($M280))&lt;1),"Vencida"&amp;" · ","")&amp;IF(AND(ObsObligatoria="Sí",ISNUMBER($AN280),$AN280&lt;FechaRef,IF($V280="Sub",N($X280),N($M280))&lt;1,$Q280=""),"Vencida sin observación"&amp;" · ",""),LEN(IF($C280="","Falta el nombre de la actividad"&amp;" · ","")&amp;IF(AND($V280="Sub",N($U280)=0),"Subactividad sin macroactividad arriba"&amp;" · ","")&amp;IF($AM280="","Sin fecha de inicio"&amp;" · ","")&amp;IF($AN280="","Sin fecha límite"&amp;" · ","")&amp;IF(AND(LEFT($C280,11)="[Jefatura] ",N($AL280)=0),"No se encuentra en la hoja de la jefatura (elíjala de nuevo en la lista)"&amp;" · ","")&amp;IF(OR(AND($E280&lt;&gt;"",NOT(ISNUMBER($E280))),AND($F280&lt;&gt;"",NOT(ISNUMBER($F280))),AND($G280&lt;&gt;"",NOT(ISNUMBER($G280)))),"Fecha no válida"&amp;" · ","")&amp;IF(AND(ISNUMBER($AM280),ISNUMBER($AN280),$AM280&gt;$AN280),"Inicio posterior a fecha límite"&amp;" · ","")&amp;IF(AND($V280="Macro",$H280&lt;&gt;"",OR(NOT(ISNUMBER($H280)),$H280&lt;0,$H280&gt;1)),"Peso fuera de rango"&amp;" · ","")&amp;IF(AND($V280="Sub",$H280&lt;&gt;""),"Las subactividades no llevan peso (valen igual dentro de su macroactividad)"&amp;" · ","")&amp;IF(AND(N($W280)&gt;0,COUNT($I280:$L280)&gt;0),"Con subactividades: deje vacías las semanas (se calculan solas)"&amp;" · ","")&amp;IF((COUNTIF($I280:$L280,"&gt;1")+COUNTIF($I280:$L280,"&lt;0")+COUNTA($I280:$L280)-COUNT($I280:$L280))&gt;0,"Avance fuera de rango 0-100%"&amp;" · ","")&amp;IF(OR(AND($J280&lt;&gt;"",$J280&lt;$I280),AND($K280&lt;&gt;"",$K280&lt;MAX($I280:$J280)),AND($L280&lt;&gt;"",$L280&lt;MAX($I280:$K280))),"Avance semanal decreciente"&amp;" · ","")&amp;IF(AND(ISNUMBER($AN280),$AN280&lt;FechaRef,IF($V280="Sub",N($X280),N($M280))&lt;1),"Vencida"&amp;" · ","")&amp;IF(AND(ObsObligatoria="Sí",ISNUMBER($AN280),$AN280&lt;FechaRef,IF($V280="Sub",N($X280),N($M280))&lt;1,$Q280=""),"Vencida sin observación"&amp;" · ",""))-3)))</f>
        <v/>
      </c>
      <c r="S280" s="64">
        <f>IF(NOT((COUNTA($B280:$D280)+COUNTA($G280:$L280)+COUNTA($Q280))&gt;0),"",IF(AND($V280="Sub",N($U280)&gt;0),IF(ISNUMBER(INDEX($AM$5:$AM$1000,$U280-4)),DATE(YEAR(INDEX($AM$5:$AM$1000,$U280-4)),MONTH(INDEX($AM$5:$AM$1000,$U280-4)),1),IF(ISNUMBER(INDEX($AN$5:$AN$1000,$U280-4)),DATE(YEAR(INDEX($AN$5:$AN$1000,$U280-4)),MONTH(INDEX($AN$5:$AN$1000,$U280-4)),1),MesCiclo)),IF(ISNUMBER($AM280),DATE(YEAR($AM280),MONTH($AM280),1),IF(ISNUMBER($AN280),DATE(YEAR($AN280),MONTH($AN280),1),MesCiclo))))</f>
        <v/>
      </c>
      <c r="T280" s="62">
        <f>IF(OR($S280="",$S280&lt;&gt;MesCiclo,$V280&lt;&gt;"Macro"),"",COUNTIFS($S$5:$S280,MesCiclo,$V$5:$V280,"Macro"))</f>
        <v/>
      </c>
      <c r="U280" s="62">
        <f>IF($V280="","",IF($V280="Macro",ROW(),IFERROR(LOOKUP(2,1/($V$5:$V280="Macro"),ROW($V$5:$V280)),0)))</f>
        <v/>
      </c>
      <c r="V280" s="62">
        <f>IF(NOT((COUNTA($B280:$D280)+COUNTA($G280:$L280)+COUNTA($Q280))&gt;0),"",IF($B280="Subactividad","Sub","Macro"))</f>
        <v/>
      </c>
      <c r="W280" s="62">
        <f>IF($V280="Macro",COUNTIFS($U$5:$U$1000,ROW(),$V$5:$V$1000,"Sub"),"")</f>
        <v/>
      </c>
      <c r="X280" s="62">
        <f>IF($V280="","",IF(ISNUMBER($G280),1,IFERROR(LOOKUP(2,1/($I280:$L280&lt;&gt;""),$I280:$L280),0)))</f>
        <v/>
      </c>
      <c r="Y280" s="62">
        <f>IF($V280="","",IF(AND(ISNUMBER($G280),$G280&lt;=IF($S280=MesCiclo,InicioCiclo,$S280+MOD(2-WEEKDAY($S280),7))+6),1,IF(ISNUMBER($I280),$I280,0)))</f>
        <v/>
      </c>
      <c r="Z280" s="62">
        <f>IF($V280="","",IF(AND(ISNUMBER($G280),$G280&lt;=IF($S280=MesCiclo,InicioCiclo,$S280+MOD(2-WEEKDAY($S280),7))+13),1,IF(ISNUMBER($J280),$J280,$Y280)))</f>
        <v/>
      </c>
      <c r="AA280" s="62">
        <f>IF($V280="","",IF(AND(ISNUMBER($G280),$G280&lt;=IF($S280=MesCiclo,InicioCiclo,$S280+MOD(2-WEEKDAY($S280),7))+20),1,IF(ISNUMBER($K280),$K280,$Z280)))</f>
        <v/>
      </c>
      <c r="AB280" s="62">
        <f>IF($V280="","",IF(AND(ISNUMBER($G280),$G280&lt;=IF($S280=MesCiclo,InicioCiclo,$S280+MOD(2-WEEKDAY($S280),7))+27),1,IF(ISNUMBER($L280),$L280,$AA280)))</f>
        <v/>
      </c>
      <c r="AC280" s="62">
        <f>IF($V280="","",IF(AND(ISNUMBER($G280),$G280&lt;=IF($S280=MesCiclo,InicioCiclo,$S280+MOD(2-WEEKDAY($S280),7))+6),1,IF(N($W280)&gt;0,AVERAGEIFS($Y$5:$Y$1000,$U$5:$U$1000,ROW(),$V$5:$V$1000,"Sub"),$Y280)))</f>
        <v/>
      </c>
      <c r="AD280" s="62">
        <f>IF($V280="","",IF(AND(ISNUMBER($G280),$G280&lt;=IF($S280=MesCiclo,InicioCiclo,$S280+MOD(2-WEEKDAY($S280),7))+13),1,IF(N($W280)&gt;0,AVERAGEIFS($Z$5:$Z$1000,$U$5:$U$1000,ROW(),$V$5:$V$1000,"Sub"),$Z280)))</f>
        <v/>
      </c>
      <c r="AE280" s="62">
        <f>IF($V280="","",IF(AND(ISNUMBER($G280),$G280&lt;=IF($S280=MesCiclo,InicioCiclo,$S280+MOD(2-WEEKDAY($S280),7))+20),1,IF(N($W280)&gt;0,AVERAGEIFS($AA$5:$AA$1000,$U$5:$U$1000,ROW(),$V$5:$V$1000,"Sub"),$AA280)))</f>
        <v/>
      </c>
      <c r="AF280" s="62">
        <f>IF($V280="","",IF(AND(ISNUMBER($G280),$G280&lt;=IF($S280=MesCiclo,InicioCiclo,$S280+MOD(2-WEEKDAY($S280),7))+27),1,IF(N($W280)&gt;0,AVERAGEIFS($AB$5:$AB$1000,$U$5:$U$1000,ROW(),$V$5:$V$1000,"Sub"),$AB280)))</f>
        <v/>
      </c>
      <c r="AG280" s="62">
        <f>IF($V280&lt;&gt;"Macro","",IF(COUNTIFS($S$5:$S$1000,$S280,$V$5:$V$1000,"Macro",$H$5:$H$1000,"&gt;0")=0,1/COUNTIFS($S$5:$S$1000,$S280,$V$5:$V$1000,"Macro"),IF(AND(ISNUMBER($H280),N($H280)&gt;0),$H280,SUMIFS($H$5:$H$1000,$S$5:$S$1000,$S280,$V$5:$V$1000,"Macro")/COUNTIFS($S$5:$S$1000,$S280,$V$5:$V$1000,"Macro",$H$5:$H$1000,"&gt;0"))/(COUNTIFS($S$5:$S$1000,$S280,$V$5:$V$1000,"Macro")*SUMIFS($H$5:$H$1000,$S$5:$S$1000,$S280,$V$5:$V$1000,"Macro")/COUNTIFS($S$5:$S$1000,$S280,$V$5:$V$1000,"Macro",$H$5:$H$1000,"&gt;0"))))</f>
        <v/>
      </c>
      <c r="AH280" s="62">
        <f>IF(NOT(AND($D280&lt;&gt;"",$V280="Macro")),"",IFERROR(CHOOSE(MATCH($D280,ListaPuestos,0),MATCH("[Jefatura] "&amp;$C280,'Cronograma R. Operacional'!$C$5:$C$1000,0),MATCH("[Jefatura] "&amp;$C280,'Cronograma R. Normativo'!$C$5:$C$1000,0),MATCH("[Jefatura] "&amp;$C280,'Cronograma R. Financiero'!$C$5:$C$1000,0),MATCH("[Jefatura] "&amp;$C280,'Cronograma Asistente Técnico'!$C$5:$C$1000,0)),0))</f>
        <v/>
      </c>
      <c r="AI280" s="62">
        <f>IF(AND(AND($D280&lt;&gt;"",$V280="Macro"),$S280=MesCiclo),COUNTIFS($D$5:$D280,$D280,$S$5:$S280,MesCiclo,$V$5:$V280,"Macro"),"")</f>
        <v/>
      </c>
      <c r="AJ280" s="62">
        <f>IF($AI280="","",$D280&amp;"|"&amp;$AI280)</f>
        <v/>
      </c>
      <c r="AK280" s="62">
        <f>IF(AND($D280&lt;&gt;"",$V280="Macro"),$D280&amp;"|"&amp;$C280,"")</f>
        <v/>
      </c>
      <c r="AL280" s="62">
        <f>""</f>
        <v/>
      </c>
      <c r="AM280" s="62">
        <f>IF(N($AL280)&gt;0,INDEX(rIni_ADM,$AL280),IF(ISNUMBER($E280),$E280,""))</f>
        <v/>
      </c>
      <c r="AN280" s="62">
        <f>IF(N($AL280)&gt;0,INDEX(rLim_ADM,$AL280),IF(ISNUMBER($F280),$F280,""))</f>
        <v/>
      </c>
    </row>
    <row r="281">
      <c r="A281" s="56">
        <f>IF(NOT((COUNTA($B281:$D281)+COUNTA($G281:$L281)+COUNTA($Q281))&gt;0),"",IF($V281="Macro",COUNTIFS($V$5:$V281,"Macro",$S$5:$S281,$S281),IF(N($U281)=0,"?",COUNTIFS(INDEX($V$5:$V$1000,1):INDEX($V$5:$V$1000,$U281-4),"Macro",INDEX($S$5:$S$1000,1):INDEX($S$5:$S$1000,$U281-4),INDEX($S$5:$S$1000,$U281-4))&amp;"."&amp;COUNTIFS($U$5:$U281,$U281,$V$5:$V281,"Sub"))))</f>
        <v/>
      </c>
      <c r="B281" s="57" t="n"/>
      <c r="C281" s="58" t="n"/>
      <c r="D281" s="58" t="n"/>
      <c r="E281" s="59" t="n"/>
      <c r="F281" s="59" t="n"/>
      <c r="G281" s="59" t="n"/>
      <c r="H281" s="60" t="n"/>
      <c r="I281" s="60" t="n"/>
      <c r="J281" s="60" t="n"/>
      <c r="K281" s="60" t="n"/>
      <c r="L281" s="60" t="n"/>
      <c r="M281" s="61">
        <f>IF(NOT((COUNTA($B281:$D281)+COUNTA($G281:$L281)+COUNTA($Q281))&gt;0),"",IF(AND($D281&lt;&gt;"",$V281="Macro"),IF(N($AH281)&gt;0,N(CHOOSE(MATCH($D281,ListaPuestos,0),INDEX('Cronograma R. Operacional'!$M$5:$M$1000,$AH281),INDEX('Cronograma R. Normativo'!$M$5:$M$1000,$AH281),INDEX('Cronograma R. Financiero'!$M$5:$M$1000,$AH281),INDEX('Cronograma Asistente Técnico'!$M$5:$M$1000,$AH281))),0),IF(ISNUMBER($G281),1,IF(N($W281)&gt;0,AVERAGEIFS($X$5:$X$1000,$U$5:$U$1000,ROW(),$V$5:$V$1000,"Sub"),$X281))))</f>
        <v/>
      </c>
      <c r="N281" s="56">
        <f>IF(OR($M281="",$V281="Sub"),"",IF($M281&gt;=1,"Completado",IF($M281&gt;0,"En curso","Pendiente")))</f>
        <v/>
      </c>
      <c r="O281" s="56">
        <f>IF(NOT((COUNTA($B281:$D281)+COUNTA($G281:$L281)+COUNTA($Q281))&gt;0),"",IF(AND(AND($D281&lt;&gt;"",$V281="Macro"),N($AH281)&gt;0),CHOOSE(MATCH($D281,ListaPuestos,0),INDEX('Cronograma R. Operacional'!$O$5:$O$1000,$AH281),INDEX('Cronograma R. Normativo'!$O$5:$O$1000,$AH281),INDEX('Cronograma R. Financiero'!$O$5:$O$1000,$AH281),INDEX('Cronograma Asistente Técnico'!$O$5:$O$1000,$AH281))&amp;"",IF(ISNUMBER($G281),IF(AND(ISNUMBER($AN281),$G281&gt;$AN281),"Cumplida con "&amp;($G281-$AN281)&amp;IF($G281-$AN281=1," día"," días")&amp;" de retraso","Cumplida"),IF(N($M281)&gt;=1,"Cumplida",IF(NOT(ISNUMBER($AN281)),"Sin fecha límite",IF($AN281&lt;FechaRef,"Vencida hace "&amp;(FechaRef-$AN281)&amp;IF(FechaRef-$AN281=1," día"," días"),IF($AN281=FechaRef,"Vence hoy",IF($AN281-FechaRef&lt;=DiasAlerta,"Vence en "&amp;($AN281-FechaRef)&amp;IF($AN281-FechaRef=1," día"," días"),"En plazo"))))))))</f>
        <v/>
      </c>
      <c r="P281" s="62">
        <f>IF(NOT((COUNTA($B281:$D281)+COUNTA($G281:$L281)+COUNTA($Q281))&gt;0),"",IF($D281="","Propia",IF($V281&lt;&gt;"Macro","Solo se delegan macroactividades",IF(N($AH281)&gt;0,"✔ Recibida por "&amp;$D281,"⚠ "&amp;$D281&amp;" aún no la agrega"))))</f>
        <v/>
      </c>
      <c r="Q281" s="58" t="n"/>
      <c r="R281" s="63">
        <f>IF(NOT((COUNTA($B281:$D281)+COUNTA($G281:$L281)+COUNTA($Q281))&gt;0),"",IF((IF($C281="","Falta el nombre de la actividad"&amp;" · ","")&amp;IF(AND($V281="Sub",N($U281)=0),"Subactividad sin macroactividad arriba"&amp;" · ","")&amp;IF($AM281="","Sin fecha de inicio"&amp;" · ","")&amp;IF($AN281="","Sin fecha límite"&amp;" · ","")&amp;IF(AND(LEFT($C281,11)="[Jefatura] ",N($AL281)=0),"No se encuentra en la hoja de la jefatura (elíjala de nuevo en la lista)"&amp;" · ","")&amp;IF(OR(AND($E281&lt;&gt;"",NOT(ISNUMBER($E281))),AND($F281&lt;&gt;"",NOT(ISNUMBER($F281))),AND($G281&lt;&gt;"",NOT(ISNUMBER($G281)))),"Fecha no válida"&amp;" · ","")&amp;IF(AND(ISNUMBER($AM281),ISNUMBER($AN281),$AM281&gt;$AN281),"Inicio posterior a fecha límite"&amp;" · ","")&amp;IF(AND($V281="Macro",$H281&lt;&gt;"",OR(NOT(ISNUMBER($H281)),$H281&lt;0,$H281&gt;1)),"Peso fuera de rango"&amp;" · ","")&amp;IF(AND($V281="Sub",$H281&lt;&gt;""),"Las subactividades no llevan peso (valen igual dentro de su macroactividad)"&amp;" · ","")&amp;IF(AND(N($W281)&gt;0,COUNT($I281:$L281)&gt;0),"Con subactividades: deje vacías las semanas (se calculan solas)"&amp;" · ","")&amp;IF((COUNTIF($I281:$L281,"&gt;1")+COUNTIF($I281:$L281,"&lt;0")+COUNTA($I281:$L281)-COUNT($I281:$L281))&gt;0,"Avance fuera de rango 0-100%"&amp;" · ","")&amp;IF(OR(AND($J281&lt;&gt;"",$J281&lt;$I281),AND($K281&lt;&gt;"",$K281&lt;MAX($I281:$J281)),AND($L281&lt;&gt;"",$L281&lt;MAX($I281:$K281))),"Avance semanal decreciente"&amp;" · ","")&amp;IF(AND(ISNUMBER($AN281),$AN281&lt;FechaRef,IF($V281="Sub",N($X281),N($M281))&lt;1),"Vencida"&amp;" · ","")&amp;IF(AND(ObsObligatoria="Sí",ISNUMBER($AN281),$AN281&lt;FechaRef,IF($V281="Sub",N($X281),N($M281))&lt;1,$Q281=""),"Vencida sin observación"&amp;" · ",""))="","✔ OK","⚠ "&amp;LEFT(IF($C281="","Falta el nombre de la actividad"&amp;" · ","")&amp;IF(AND($V281="Sub",N($U281)=0),"Subactividad sin macroactividad arriba"&amp;" · ","")&amp;IF($AM281="","Sin fecha de inicio"&amp;" · ","")&amp;IF($AN281="","Sin fecha límite"&amp;" · ","")&amp;IF(AND(LEFT($C281,11)="[Jefatura] ",N($AL281)=0),"No se encuentra en la hoja de la jefatura (elíjala de nuevo en la lista)"&amp;" · ","")&amp;IF(OR(AND($E281&lt;&gt;"",NOT(ISNUMBER($E281))),AND($F281&lt;&gt;"",NOT(ISNUMBER($F281))),AND($G281&lt;&gt;"",NOT(ISNUMBER($G281)))),"Fecha no válida"&amp;" · ","")&amp;IF(AND(ISNUMBER($AM281),ISNUMBER($AN281),$AM281&gt;$AN281),"Inicio posterior a fecha límite"&amp;" · ","")&amp;IF(AND($V281="Macro",$H281&lt;&gt;"",OR(NOT(ISNUMBER($H281)),$H281&lt;0,$H281&gt;1)),"Peso fuera de rango"&amp;" · ","")&amp;IF(AND($V281="Sub",$H281&lt;&gt;""),"Las subactividades no llevan peso (valen igual dentro de su macroactividad)"&amp;" · ","")&amp;IF(AND(N($W281)&gt;0,COUNT($I281:$L281)&gt;0),"Con subactividades: deje vacías las semanas (se calculan solas)"&amp;" · ","")&amp;IF((COUNTIF($I281:$L281,"&gt;1")+COUNTIF($I281:$L281,"&lt;0")+COUNTA($I281:$L281)-COUNT($I281:$L281))&gt;0,"Avance fuera de rango 0-100%"&amp;" · ","")&amp;IF(OR(AND($J281&lt;&gt;"",$J281&lt;$I281),AND($K281&lt;&gt;"",$K281&lt;MAX($I281:$J281)),AND($L281&lt;&gt;"",$L281&lt;MAX($I281:$K281))),"Avance semanal decreciente"&amp;" · ","")&amp;IF(AND(ISNUMBER($AN281),$AN281&lt;FechaRef,IF($V281="Sub",N($X281),N($M281))&lt;1),"Vencida"&amp;" · ","")&amp;IF(AND(ObsObligatoria="Sí",ISNUMBER($AN281),$AN281&lt;FechaRef,IF($V281="Sub",N($X281),N($M281))&lt;1,$Q281=""),"Vencida sin observación"&amp;" · ",""),LEN(IF($C281="","Falta el nombre de la actividad"&amp;" · ","")&amp;IF(AND($V281="Sub",N($U281)=0),"Subactividad sin macroactividad arriba"&amp;" · ","")&amp;IF($AM281="","Sin fecha de inicio"&amp;" · ","")&amp;IF($AN281="","Sin fecha límite"&amp;" · ","")&amp;IF(AND(LEFT($C281,11)="[Jefatura] ",N($AL281)=0),"No se encuentra en la hoja de la jefatura (elíjala de nuevo en la lista)"&amp;" · ","")&amp;IF(OR(AND($E281&lt;&gt;"",NOT(ISNUMBER($E281))),AND($F281&lt;&gt;"",NOT(ISNUMBER($F281))),AND($G281&lt;&gt;"",NOT(ISNUMBER($G281)))),"Fecha no válida"&amp;" · ","")&amp;IF(AND(ISNUMBER($AM281),ISNUMBER($AN281),$AM281&gt;$AN281),"Inicio posterior a fecha límite"&amp;" · ","")&amp;IF(AND($V281="Macro",$H281&lt;&gt;"",OR(NOT(ISNUMBER($H281)),$H281&lt;0,$H281&gt;1)),"Peso fuera de rango"&amp;" · ","")&amp;IF(AND($V281="Sub",$H281&lt;&gt;""),"Las subactividades no llevan peso (valen igual dentro de su macroactividad)"&amp;" · ","")&amp;IF(AND(N($W281)&gt;0,COUNT($I281:$L281)&gt;0),"Con subactividades: deje vacías las semanas (se calculan solas)"&amp;" · ","")&amp;IF((COUNTIF($I281:$L281,"&gt;1")+COUNTIF($I281:$L281,"&lt;0")+COUNTA($I281:$L281)-COUNT($I281:$L281))&gt;0,"Avance fuera de rango 0-100%"&amp;" · ","")&amp;IF(OR(AND($J281&lt;&gt;"",$J281&lt;$I281),AND($K281&lt;&gt;"",$K281&lt;MAX($I281:$J281)),AND($L281&lt;&gt;"",$L281&lt;MAX($I281:$K281))),"Avance semanal decreciente"&amp;" · ","")&amp;IF(AND(ISNUMBER($AN281),$AN281&lt;FechaRef,IF($V281="Sub",N($X281),N($M281))&lt;1),"Vencida"&amp;" · ","")&amp;IF(AND(ObsObligatoria="Sí",ISNUMBER($AN281),$AN281&lt;FechaRef,IF($V281="Sub",N($X281),N($M281))&lt;1,$Q281=""),"Vencida sin observación"&amp;" · ",""))-3)))</f>
        <v/>
      </c>
      <c r="S281" s="64">
        <f>IF(NOT((COUNTA($B281:$D281)+COUNTA($G281:$L281)+COUNTA($Q281))&gt;0),"",IF(AND($V281="Sub",N($U281)&gt;0),IF(ISNUMBER(INDEX($AM$5:$AM$1000,$U281-4)),DATE(YEAR(INDEX($AM$5:$AM$1000,$U281-4)),MONTH(INDEX($AM$5:$AM$1000,$U281-4)),1),IF(ISNUMBER(INDEX($AN$5:$AN$1000,$U281-4)),DATE(YEAR(INDEX($AN$5:$AN$1000,$U281-4)),MONTH(INDEX($AN$5:$AN$1000,$U281-4)),1),MesCiclo)),IF(ISNUMBER($AM281),DATE(YEAR($AM281),MONTH($AM281),1),IF(ISNUMBER($AN281),DATE(YEAR($AN281),MONTH($AN281),1),MesCiclo))))</f>
        <v/>
      </c>
      <c r="T281" s="62">
        <f>IF(OR($S281="",$S281&lt;&gt;MesCiclo,$V281&lt;&gt;"Macro"),"",COUNTIFS($S$5:$S281,MesCiclo,$V$5:$V281,"Macro"))</f>
        <v/>
      </c>
      <c r="U281" s="62">
        <f>IF($V281="","",IF($V281="Macro",ROW(),IFERROR(LOOKUP(2,1/($V$5:$V281="Macro"),ROW($V$5:$V281)),0)))</f>
        <v/>
      </c>
      <c r="V281" s="62">
        <f>IF(NOT((COUNTA($B281:$D281)+COUNTA($G281:$L281)+COUNTA($Q281))&gt;0),"",IF($B281="Subactividad","Sub","Macro"))</f>
        <v/>
      </c>
      <c r="W281" s="62">
        <f>IF($V281="Macro",COUNTIFS($U$5:$U$1000,ROW(),$V$5:$V$1000,"Sub"),"")</f>
        <v/>
      </c>
      <c r="X281" s="62">
        <f>IF($V281="","",IF(ISNUMBER($G281),1,IFERROR(LOOKUP(2,1/($I281:$L281&lt;&gt;""),$I281:$L281),0)))</f>
        <v/>
      </c>
      <c r="Y281" s="62">
        <f>IF($V281="","",IF(AND(ISNUMBER($G281),$G281&lt;=IF($S281=MesCiclo,InicioCiclo,$S281+MOD(2-WEEKDAY($S281),7))+6),1,IF(ISNUMBER($I281),$I281,0)))</f>
        <v/>
      </c>
      <c r="Z281" s="62">
        <f>IF($V281="","",IF(AND(ISNUMBER($G281),$G281&lt;=IF($S281=MesCiclo,InicioCiclo,$S281+MOD(2-WEEKDAY($S281),7))+13),1,IF(ISNUMBER($J281),$J281,$Y281)))</f>
        <v/>
      </c>
      <c r="AA281" s="62">
        <f>IF($V281="","",IF(AND(ISNUMBER($G281),$G281&lt;=IF($S281=MesCiclo,InicioCiclo,$S281+MOD(2-WEEKDAY($S281),7))+20),1,IF(ISNUMBER($K281),$K281,$Z281)))</f>
        <v/>
      </c>
      <c r="AB281" s="62">
        <f>IF($V281="","",IF(AND(ISNUMBER($G281),$G281&lt;=IF($S281=MesCiclo,InicioCiclo,$S281+MOD(2-WEEKDAY($S281),7))+27),1,IF(ISNUMBER($L281),$L281,$AA281)))</f>
        <v/>
      </c>
      <c r="AC281" s="62">
        <f>IF($V281="","",IF(AND(ISNUMBER($G281),$G281&lt;=IF($S281=MesCiclo,InicioCiclo,$S281+MOD(2-WEEKDAY($S281),7))+6),1,IF(N($W281)&gt;0,AVERAGEIFS($Y$5:$Y$1000,$U$5:$U$1000,ROW(),$V$5:$V$1000,"Sub"),$Y281)))</f>
        <v/>
      </c>
      <c r="AD281" s="62">
        <f>IF($V281="","",IF(AND(ISNUMBER($G281),$G281&lt;=IF($S281=MesCiclo,InicioCiclo,$S281+MOD(2-WEEKDAY($S281),7))+13),1,IF(N($W281)&gt;0,AVERAGEIFS($Z$5:$Z$1000,$U$5:$U$1000,ROW(),$V$5:$V$1000,"Sub"),$Z281)))</f>
        <v/>
      </c>
      <c r="AE281" s="62">
        <f>IF($V281="","",IF(AND(ISNUMBER($G281),$G281&lt;=IF($S281=MesCiclo,InicioCiclo,$S281+MOD(2-WEEKDAY($S281),7))+20),1,IF(N($W281)&gt;0,AVERAGEIFS($AA$5:$AA$1000,$U$5:$U$1000,ROW(),$V$5:$V$1000,"Sub"),$AA281)))</f>
        <v/>
      </c>
      <c r="AF281" s="62">
        <f>IF($V281="","",IF(AND(ISNUMBER($G281),$G281&lt;=IF($S281=MesCiclo,InicioCiclo,$S281+MOD(2-WEEKDAY($S281),7))+27),1,IF(N($W281)&gt;0,AVERAGEIFS($AB$5:$AB$1000,$U$5:$U$1000,ROW(),$V$5:$V$1000,"Sub"),$AB281)))</f>
        <v/>
      </c>
      <c r="AG281" s="62">
        <f>IF($V281&lt;&gt;"Macro","",IF(COUNTIFS($S$5:$S$1000,$S281,$V$5:$V$1000,"Macro",$H$5:$H$1000,"&gt;0")=0,1/COUNTIFS($S$5:$S$1000,$S281,$V$5:$V$1000,"Macro"),IF(AND(ISNUMBER($H281),N($H281)&gt;0),$H281,SUMIFS($H$5:$H$1000,$S$5:$S$1000,$S281,$V$5:$V$1000,"Macro")/COUNTIFS($S$5:$S$1000,$S281,$V$5:$V$1000,"Macro",$H$5:$H$1000,"&gt;0"))/(COUNTIFS($S$5:$S$1000,$S281,$V$5:$V$1000,"Macro")*SUMIFS($H$5:$H$1000,$S$5:$S$1000,$S281,$V$5:$V$1000,"Macro")/COUNTIFS($S$5:$S$1000,$S281,$V$5:$V$1000,"Macro",$H$5:$H$1000,"&gt;0"))))</f>
        <v/>
      </c>
      <c r="AH281" s="62">
        <f>IF(NOT(AND($D281&lt;&gt;"",$V281="Macro")),"",IFERROR(CHOOSE(MATCH($D281,ListaPuestos,0),MATCH("[Jefatura] "&amp;$C281,'Cronograma R. Operacional'!$C$5:$C$1000,0),MATCH("[Jefatura] "&amp;$C281,'Cronograma R. Normativo'!$C$5:$C$1000,0),MATCH("[Jefatura] "&amp;$C281,'Cronograma R. Financiero'!$C$5:$C$1000,0),MATCH("[Jefatura] "&amp;$C281,'Cronograma Asistente Técnico'!$C$5:$C$1000,0)),0))</f>
        <v/>
      </c>
      <c r="AI281" s="62">
        <f>IF(AND(AND($D281&lt;&gt;"",$V281="Macro"),$S281=MesCiclo),COUNTIFS($D$5:$D281,$D281,$S$5:$S281,MesCiclo,$V$5:$V281,"Macro"),"")</f>
        <v/>
      </c>
      <c r="AJ281" s="62">
        <f>IF($AI281="","",$D281&amp;"|"&amp;$AI281)</f>
        <v/>
      </c>
      <c r="AK281" s="62">
        <f>IF(AND($D281&lt;&gt;"",$V281="Macro"),$D281&amp;"|"&amp;$C281,"")</f>
        <v/>
      </c>
      <c r="AL281" s="62">
        <f>""</f>
        <v/>
      </c>
      <c r="AM281" s="62">
        <f>IF(N($AL281)&gt;0,INDEX(rIni_ADM,$AL281),IF(ISNUMBER($E281),$E281,""))</f>
        <v/>
      </c>
      <c r="AN281" s="62">
        <f>IF(N($AL281)&gt;0,INDEX(rLim_ADM,$AL281),IF(ISNUMBER($F281),$F281,""))</f>
        <v/>
      </c>
    </row>
    <row r="282">
      <c r="A282" s="56">
        <f>IF(NOT((COUNTA($B282:$D282)+COUNTA($G282:$L282)+COUNTA($Q282))&gt;0),"",IF($V282="Macro",COUNTIFS($V$5:$V282,"Macro",$S$5:$S282,$S282),IF(N($U282)=0,"?",COUNTIFS(INDEX($V$5:$V$1000,1):INDEX($V$5:$V$1000,$U282-4),"Macro",INDEX($S$5:$S$1000,1):INDEX($S$5:$S$1000,$U282-4),INDEX($S$5:$S$1000,$U282-4))&amp;"."&amp;COUNTIFS($U$5:$U282,$U282,$V$5:$V282,"Sub"))))</f>
        <v/>
      </c>
      <c r="B282" s="57" t="n"/>
      <c r="C282" s="58" t="n"/>
      <c r="D282" s="58" t="n"/>
      <c r="E282" s="59" t="n"/>
      <c r="F282" s="59" t="n"/>
      <c r="G282" s="59" t="n"/>
      <c r="H282" s="60" t="n"/>
      <c r="I282" s="60" t="n"/>
      <c r="J282" s="60" t="n"/>
      <c r="K282" s="60" t="n"/>
      <c r="L282" s="60" t="n"/>
      <c r="M282" s="61">
        <f>IF(NOT((COUNTA($B282:$D282)+COUNTA($G282:$L282)+COUNTA($Q282))&gt;0),"",IF(AND($D282&lt;&gt;"",$V282="Macro"),IF(N($AH282)&gt;0,N(CHOOSE(MATCH($D282,ListaPuestos,0),INDEX('Cronograma R. Operacional'!$M$5:$M$1000,$AH282),INDEX('Cronograma R. Normativo'!$M$5:$M$1000,$AH282),INDEX('Cronograma R. Financiero'!$M$5:$M$1000,$AH282),INDEX('Cronograma Asistente Técnico'!$M$5:$M$1000,$AH282))),0),IF(ISNUMBER($G282),1,IF(N($W282)&gt;0,AVERAGEIFS($X$5:$X$1000,$U$5:$U$1000,ROW(),$V$5:$V$1000,"Sub"),$X282))))</f>
        <v/>
      </c>
      <c r="N282" s="56">
        <f>IF(OR($M282="",$V282="Sub"),"",IF($M282&gt;=1,"Completado",IF($M282&gt;0,"En curso","Pendiente")))</f>
        <v/>
      </c>
      <c r="O282" s="56">
        <f>IF(NOT((COUNTA($B282:$D282)+COUNTA($G282:$L282)+COUNTA($Q282))&gt;0),"",IF(AND(AND($D282&lt;&gt;"",$V282="Macro"),N($AH282)&gt;0),CHOOSE(MATCH($D282,ListaPuestos,0),INDEX('Cronograma R. Operacional'!$O$5:$O$1000,$AH282),INDEX('Cronograma R. Normativo'!$O$5:$O$1000,$AH282),INDEX('Cronograma R. Financiero'!$O$5:$O$1000,$AH282),INDEX('Cronograma Asistente Técnico'!$O$5:$O$1000,$AH282))&amp;"",IF(ISNUMBER($G282),IF(AND(ISNUMBER($AN282),$G282&gt;$AN282),"Cumplida con "&amp;($G282-$AN282)&amp;IF($G282-$AN282=1," día"," días")&amp;" de retraso","Cumplida"),IF(N($M282)&gt;=1,"Cumplida",IF(NOT(ISNUMBER($AN282)),"Sin fecha límite",IF($AN282&lt;FechaRef,"Vencida hace "&amp;(FechaRef-$AN282)&amp;IF(FechaRef-$AN282=1," día"," días"),IF($AN282=FechaRef,"Vence hoy",IF($AN282-FechaRef&lt;=DiasAlerta,"Vence en "&amp;($AN282-FechaRef)&amp;IF($AN282-FechaRef=1," día"," días"),"En plazo"))))))))</f>
        <v/>
      </c>
      <c r="P282" s="62">
        <f>IF(NOT((COUNTA($B282:$D282)+COUNTA($G282:$L282)+COUNTA($Q282))&gt;0),"",IF($D282="","Propia",IF($V282&lt;&gt;"Macro","Solo se delegan macroactividades",IF(N($AH282)&gt;0,"✔ Recibida por "&amp;$D282,"⚠ "&amp;$D282&amp;" aún no la agrega"))))</f>
        <v/>
      </c>
      <c r="Q282" s="58" t="n"/>
      <c r="R282" s="63">
        <f>IF(NOT((COUNTA($B282:$D282)+COUNTA($G282:$L282)+COUNTA($Q282))&gt;0),"",IF((IF($C282="","Falta el nombre de la actividad"&amp;" · ","")&amp;IF(AND($V282="Sub",N($U282)=0),"Subactividad sin macroactividad arriba"&amp;" · ","")&amp;IF($AM282="","Sin fecha de inicio"&amp;" · ","")&amp;IF($AN282="","Sin fecha límite"&amp;" · ","")&amp;IF(AND(LEFT($C282,11)="[Jefatura] ",N($AL282)=0),"No se encuentra en la hoja de la jefatura (elíjala de nuevo en la lista)"&amp;" · ","")&amp;IF(OR(AND($E282&lt;&gt;"",NOT(ISNUMBER($E282))),AND($F282&lt;&gt;"",NOT(ISNUMBER($F282))),AND($G282&lt;&gt;"",NOT(ISNUMBER($G282)))),"Fecha no válida"&amp;" · ","")&amp;IF(AND(ISNUMBER($AM282),ISNUMBER($AN282),$AM282&gt;$AN282),"Inicio posterior a fecha límite"&amp;" · ","")&amp;IF(AND($V282="Macro",$H282&lt;&gt;"",OR(NOT(ISNUMBER($H282)),$H282&lt;0,$H282&gt;1)),"Peso fuera de rango"&amp;" · ","")&amp;IF(AND($V282="Sub",$H282&lt;&gt;""),"Las subactividades no llevan peso (valen igual dentro de su macroactividad)"&amp;" · ","")&amp;IF(AND(N($W282)&gt;0,COUNT($I282:$L282)&gt;0),"Con subactividades: deje vacías las semanas (se calculan solas)"&amp;" · ","")&amp;IF((COUNTIF($I282:$L282,"&gt;1")+COUNTIF($I282:$L282,"&lt;0")+COUNTA($I282:$L282)-COUNT($I282:$L282))&gt;0,"Avance fuera de rango 0-100%"&amp;" · ","")&amp;IF(OR(AND($J282&lt;&gt;"",$J282&lt;$I282),AND($K282&lt;&gt;"",$K282&lt;MAX($I282:$J282)),AND($L282&lt;&gt;"",$L282&lt;MAX($I282:$K282))),"Avance semanal decreciente"&amp;" · ","")&amp;IF(AND(ISNUMBER($AN282),$AN282&lt;FechaRef,IF($V282="Sub",N($X282),N($M282))&lt;1),"Vencida"&amp;" · ","")&amp;IF(AND(ObsObligatoria="Sí",ISNUMBER($AN282),$AN282&lt;FechaRef,IF($V282="Sub",N($X282),N($M282))&lt;1,$Q282=""),"Vencida sin observación"&amp;" · ",""))="","✔ OK","⚠ "&amp;LEFT(IF($C282="","Falta el nombre de la actividad"&amp;" · ","")&amp;IF(AND($V282="Sub",N($U282)=0),"Subactividad sin macroactividad arriba"&amp;" · ","")&amp;IF($AM282="","Sin fecha de inicio"&amp;" · ","")&amp;IF($AN282="","Sin fecha límite"&amp;" · ","")&amp;IF(AND(LEFT($C282,11)="[Jefatura] ",N($AL282)=0),"No se encuentra en la hoja de la jefatura (elíjala de nuevo en la lista)"&amp;" · ","")&amp;IF(OR(AND($E282&lt;&gt;"",NOT(ISNUMBER($E282))),AND($F282&lt;&gt;"",NOT(ISNUMBER($F282))),AND($G282&lt;&gt;"",NOT(ISNUMBER($G282)))),"Fecha no válida"&amp;" · ","")&amp;IF(AND(ISNUMBER($AM282),ISNUMBER($AN282),$AM282&gt;$AN282),"Inicio posterior a fecha límite"&amp;" · ","")&amp;IF(AND($V282="Macro",$H282&lt;&gt;"",OR(NOT(ISNUMBER($H282)),$H282&lt;0,$H282&gt;1)),"Peso fuera de rango"&amp;" · ","")&amp;IF(AND($V282="Sub",$H282&lt;&gt;""),"Las subactividades no llevan peso (valen igual dentro de su macroactividad)"&amp;" · ","")&amp;IF(AND(N($W282)&gt;0,COUNT($I282:$L282)&gt;0),"Con subactividades: deje vacías las semanas (se calculan solas)"&amp;" · ","")&amp;IF((COUNTIF($I282:$L282,"&gt;1")+COUNTIF($I282:$L282,"&lt;0")+COUNTA($I282:$L282)-COUNT($I282:$L282))&gt;0,"Avance fuera de rango 0-100%"&amp;" · ","")&amp;IF(OR(AND($J282&lt;&gt;"",$J282&lt;$I282),AND($K282&lt;&gt;"",$K282&lt;MAX($I282:$J282)),AND($L282&lt;&gt;"",$L282&lt;MAX($I282:$K282))),"Avance semanal decreciente"&amp;" · ","")&amp;IF(AND(ISNUMBER($AN282),$AN282&lt;FechaRef,IF($V282="Sub",N($X282),N($M282))&lt;1),"Vencida"&amp;" · ","")&amp;IF(AND(ObsObligatoria="Sí",ISNUMBER($AN282),$AN282&lt;FechaRef,IF($V282="Sub",N($X282),N($M282))&lt;1,$Q282=""),"Vencida sin observación"&amp;" · ",""),LEN(IF($C282="","Falta el nombre de la actividad"&amp;" · ","")&amp;IF(AND($V282="Sub",N($U282)=0),"Subactividad sin macroactividad arriba"&amp;" · ","")&amp;IF($AM282="","Sin fecha de inicio"&amp;" · ","")&amp;IF($AN282="","Sin fecha límite"&amp;" · ","")&amp;IF(AND(LEFT($C282,11)="[Jefatura] ",N($AL282)=0),"No se encuentra en la hoja de la jefatura (elíjala de nuevo en la lista)"&amp;" · ","")&amp;IF(OR(AND($E282&lt;&gt;"",NOT(ISNUMBER($E282))),AND($F282&lt;&gt;"",NOT(ISNUMBER($F282))),AND($G282&lt;&gt;"",NOT(ISNUMBER($G282)))),"Fecha no válida"&amp;" · ","")&amp;IF(AND(ISNUMBER($AM282),ISNUMBER($AN282),$AM282&gt;$AN282),"Inicio posterior a fecha límite"&amp;" · ","")&amp;IF(AND($V282="Macro",$H282&lt;&gt;"",OR(NOT(ISNUMBER($H282)),$H282&lt;0,$H282&gt;1)),"Peso fuera de rango"&amp;" · ","")&amp;IF(AND($V282="Sub",$H282&lt;&gt;""),"Las subactividades no llevan peso (valen igual dentro de su macroactividad)"&amp;" · ","")&amp;IF(AND(N($W282)&gt;0,COUNT($I282:$L282)&gt;0),"Con subactividades: deje vacías las semanas (se calculan solas)"&amp;" · ","")&amp;IF((COUNTIF($I282:$L282,"&gt;1")+COUNTIF($I282:$L282,"&lt;0")+COUNTA($I282:$L282)-COUNT($I282:$L282))&gt;0,"Avance fuera de rango 0-100%"&amp;" · ","")&amp;IF(OR(AND($J282&lt;&gt;"",$J282&lt;$I282),AND($K282&lt;&gt;"",$K282&lt;MAX($I282:$J282)),AND($L282&lt;&gt;"",$L282&lt;MAX($I282:$K282))),"Avance semanal decreciente"&amp;" · ","")&amp;IF(AND(ISNUMBER($AN282),$AN282&lt;FechaRef,IF($V282="Sub",N($X282),N($M282))&lt;1),"Vencida"&amp;" · ","")&amp;IF(AND(ObsObligatoria="Sí",ISNUMBER($AN282),$AN282&lt;FechaRef,IF($V282="Sub",N($X282),N($M282))&lt;1,$Q282=""),"Vencida sin observación"&amp;" · ",""))-3)))</f>
        <v/>
      </c>
      <c r="S282" s="64">
        <f>IF(NOT((COUNTA($B282:$D282)+COUNTA($G282:$L282)+COUNTA($Q282))&gt;0),"",IF(AND($V282="Sub",N($U282)&gt;0),IF(ISNUMBER(INDEX($AM$5:$AM$1000,$U282-4)),DATE(YEAR(INDEX($AM$5:$AM$1000,$U282-4)),MONTH(INDEX($AM$5:$AM$1000,$U282-4)),1),IF(ISNUMBER(INDEX($AN$5:$AN$1000,$U282-4)),DATE(YEAR(INDEX($AN$5:$AN$1000,$U282-4)),MONTH(INDEX($AN$5:$AN$1000,$U282-4)),1),MesCiclo)),IF(ISNUMBER($AM282),DATE(YEAR($AM282),MONTH($AM282),1),IF(ISNUMBER($AN282),DATE(YEAR($AN282),MONTH($AN282),1),MesCiclo))))</f>
        <v/>
      </c>
      <c r="T282" s="62">
        <f>IF(OR($S282="",$S282&lt;&gt;MesCiclo,$V282&lt;&gt;"Macro"),"",COUNTIFS($S$5:$S282,MesCiclo,$V$5:$V282,"Macro"))</f>
        <v/>
      </c>
      <c r="U282" s="62">
        <f>IF($V282="","",IF($V282="Macro",ROW(),IFERROR(LOOKUP(2,1/($V$5:$V282="Macro"),ROW($V$5:$V282)),0)))</f>
        <v/>
      </c>
      <c r="V282" s="62">
        <f>IF(NOT((COUNTA($B282:$D282)+COUNTA($G282:$L282)+COUNTA($Q282))&gt;0),"",IF($B282="Subactividad","Sub","Macro"))</f>
        <v/>
      </c>
      <c r="W282" s="62">
        <f>IF($V282="Macro",COUNTIFS($U$5:$U$1000,ROW(),$V$5:$V$1000,"Sub"),"")</f>
        <v/>
      </c>
      <c r="X282" s="62">
        <f>IF($V282="","",IF(ISNUMBER($G282),1,IFERROR(LOOKUP(2,1/($I282:$L282&lt;&gt;""),$I282:$L282),0)))</f>
        <v/>
      </c>
      <c r="Y282" s="62">
        <f>IF($V282="","",IF(AND(ISNUMBER($G282),$G282&lt;=IF($S282=MesCiclo,InicioCiclo,$S282+MOD(2-WEEKDAY($S282),7))+6),1,IF(ISNUMBER($I282),$I282,0)))</f>
        <v/>
      </c>
      <c r="Z282" s="62">
        <f>IF($V282="","",IF(AND(ISNUMBER($G282),$G282&lt;=IF($S282=MesCiclo,InicioCiclo,$S282+MOD(2-WEEKDAY($S282),7))+13),1,IF(ISNUMBER($J282),$J282,$Y282)))</f>
        <v/>
      </c>
      <c r="AA282" s="62">
        <f>IF($V282="","",IF(AND(ISNUMBER($G282),$G282&lt;=IF($S282=MesCiclo,InicioCiclo,$S282+MOD(2-WEEKDAY($S282),7))+20),1,IF(ISNUMBER($K282),$K282,$Z282)))</f>
        <v/>
      </c>
      <c r="AB282" s="62">
        <f>IF($V282="","",IF(AND(ISNUMBER($G282),$G282&lt;=IF($S282=MesCiclo,InicioCiclo,$S282+MOD(2-WEEKDAY($S282),7))+27),1,IF(ISNUMBER($L282),$L282,$AA282)))</f>
        <v/>
      </c>
      <c r="AC282" s="62">
        <f>IF($V282="","",IF(AND(ISNUMBER($G282),$G282&lt;=IF($S282=MesCiclo,InicioCiclo,$S282+MOD(2-WEEKDAY($S282),7))+6),1,IF(N($W282)&gt;0,AVERAGEIFS($Y$5:$Y$1000,$U$5:$U$1000,ROW(),$V$5:$V$1000,"Sub"),$Y282)))</f>
        <v/>
      </c>
      <c r="AD282" s="62">
        <f>IF($V282="","",IF(AND(ISNUMBER($G282),$G282&lt;=IF($S282=MesCiclo,InicioCiclo,$S282+MOD(2-WEEKDAY($S282),7))+13),1,IF(N($W282)&gt;0,AVERAGEIFS($Z$5:$Z$1000,$U$5:$U$1000,ROW(),$V$5:$V$1000,"Sub"),$Z282)))</f>
        <v/>
      </c>
      <c r="AE282" s="62">
        <f>IF($V282="","",IF(AND(ISNUMBER($G282),$G282&lt;=IF($S282=MesCiclo,InicioCiclo,$S282+MOD(2-WEEKDAY($S282),7))+20),1,IF(N($W282)&gt;0,AVERAGEIFS($AA$5:$AA$1000,$U$5:$U$1000,ROW(),$V$5:$V$1000,"Sub"),$AA282)))</f>
        <v/>
      </c>
      <c r="AF282" s="62">
        <f>IF($V282="","",IF(AND(ISNUMBER($G282),$G282&lt;=IF($S282=MesCiclo,InicioCiclo,$S282+MOD(2-WEEKDAY($S282),7))+27),1,IF(N($W282)&gt;0,AVERAGEIFS($AB$5:$AB$1000,$U$5:$U$1000,ROW(),$V$5:$V$1000,"Sub"),$AB282)))</f>
        <v/>
      </c>
      <c r="AG282" s="62">
        <f>IF($V282&lt;&gt;"Macro","",IF(COUNTIFS($S$5:$S$1000,$S282,$V$5:$V$1000,"Macro",$H$5:$H$1000,"&gt;0")=0,1/COUNTIFS($S$5:$S$1000,$S282,$V$5:$V$1000,"Macro"),IF(AND(ISNUMBER($H282),N($H282)&gt;0),$H282,SUMIFS($H$5:$H$1000,$S$5:$S$1000,$S282,$V$5:$V$1000,"Macro")/COUNTIFS($S$5:$S$1000,$S282,$V$5:$V$1000,"Macro",$H$5:$H$1000,"&gt;0"))/(COUNTIFS($S$5:$S$1000,$S282,$V$5:$V$1000,"Macro")*SUMIFS($H$5:$H$1000,$S$5:$S$1000,$S282,$V$5:$V$1000,"Macro")/COUNTIFS($S$5:$S$1000,$S282,$V$5:$V$1000,"Macro",$H$5:$H$1000,"&gt;0"))))</f>
        <v/>
      </c>
      <c r="AH282" s="62">
        <f>IF(NOT(AND($D282&lt;&gt;"",$V282="Macro")),"",IFERROR(CHOOSE(MATCH($D282,ListaPuestos,0),MATCH("[Jefatura] "&amp;$C282,'Cronograma R. Operacional'!$C$5:$C$1000,0),MATCH("[Jefatura] "&amp;$C282,'Cronograma R. Normativo'!$C$5:$C$1000,0),MATCH("[Jefatura] "&amp;$C282,'Cronograma R. Financiero'!$C$5:$C$1000,0),MATCH("[Jefatura] "&amp;$C282,'Cronograma Asistente Técnico'!$C$5:$C$1000,0)),0))</f>
        <v/>
      </c>
      <c r="AI282" s="62">
        <f>IF(AND(AND($D282&lt;&gt;"",$V282="Macro"),$S282=MesCiclo),COUNTIFS($D$5:$D282,$D282,$S$5:$S282,MesCiclo,$V$5:$V282,"Macro"),"")</f>
        <v/>
      </c>
      <c r="AJ282" s="62">
        <f>IF($AI282="","",$D282&amp;"|"&amp;$AI282)</f>
        <v/>
      </c>
      <c r="AK282" s="62">
        <f>IF(AND($D282&lt;&gt;"",$V282="Macro"),$D282&amp;"|"&amp;$C282,"")</f>
        <v/>
      </c>
      <c r="AL282" s="62">
        <f>""</f>
        <v/>
      </c>
      <c r="AM282" s="62">
        <f>IF(N($AL282)&gt;0,INDEX(rIni_ADM,$AL282),IF(ISNUMBER($E282),$E282,""))</f>
        <v/>
      </c>
      <c r="AN282" s="62">
        <f>IF(N($AL282)&gt;0,INDEX(rLim_ADM,$AL282),IF(ISNUMBER($F282),$F282,""))</f>
        <v/>
      </c>
    </row>
    <row r="283">
      <c r="A283" s="56">
        <f>IF(NOT((COUNTA($B283:$D283)+COUNTA($G283:$L283)+COUNTA($Q283))&gt;0),"",IF($V283="Macro",COUNTIFS($V$5:$V283,"Macro",$S$5:$S283,$S283),IF(N($U283)=0,"?",COUNTIFS(INDEX($V$5:$V$1000,1):INDEX($V$5:$V$1000,$U283-4),"Macro",INDEX($S$5:$S$1000,1):INDEX($S$5:$S$1000,$U283-4),INDEX($S$5:$S$1000,$U283-4))&amp;"."&amp;COUNTIFS($U$5:$U283,$U283,$V$5:$V283,"Sub"))))</f>
        <v/>
      </c>
      <c r="B283" s="57" t="n"/>
      <c r="C283" s="58" t="n"/>
      <c r="D283" s="58" t="n"/>
      <c r="E283" s="59" t="n"/>
      <c r="F283" s="59" t="n"/>
      <c r="G283" s="59" t="n"/>
      <c r="H283" s="60" t="n"/>
      <c r="I283" s="60" t="n"/>
      <c r="J283" s="60" t="n"/>
      <c r="K283" s="60" t="n"/>
      <c r="L283" s="60" t="n"/>
      <c r="M283" s="61">
        <f>IF(NOT((COUNTA($B283:$D283)+COUNTA($G283:$L283)+COUNTA($Q283))&gt;0),"",IF(AND($D283&lt;&gt;"",$V283="Macro"),IF(N($AH283)&gt;0,N(CHOOSE(MATCH($D283,ListaPuestos,0),INDEX('Cronograma R. Operacional'!$M$5:$M$1000,$AH283),INDEX('Cronograma R. Normativo'!$M$5:$M$1000,$AH283),INDEX('Cronograma R. Financiero'!$M$5:$M$1000,$AH283),INDEX('Cronograma Asistente Técnico'!$M$5:$M$1000,$AH283))),0),IF(ISNUMBER($G283),1,IF(N($W283)&gt;0,AVERAGEIFS($X$5:$X$1000,$U$5:$U$1000,ROW(),$V$5:$V$1000,"Sub"),$X283))))</f>
        <v/>
      </c>
      <c r="N283" s="56">
        <f>IF(OR($M283="",$V283="Sub"),"",IF($M283&gt;=1,"Completado",IF($M283&gt;0,"En curso","Pendiente")))</f>
        <v/>
      </c>
      <c r="O283" s="56">
        <f>IF(NOT((COUNTA($B283:$D283)+COUNTA($G283:$L283)+COUNTA($Q283))&gt;0),"",IF(AND(AND($D283&lt;&gt;"",$V283="Macro"),N($AH283)&gt;0),CHOOSE(MATCH($D283,ListaPuestos,0),INDEX('Cronograma R. Operacional'!$O$5:$O$1000,$AH283),INDEX('Cronograma R. Normativo'!$O$5:$O$1000,$AH283),INDEX('Cronograma R. Financiero'!$O$5:$O$1000,$AH283),INDEX('Cronograma Asistente Técnico'!$O$5:$O$1000,$AH283))&amp;"",IF(ISNUMBER($G283),IF(AND(ISNUMBER($AN283),$G283&gt;$AN283),"Cumplida con "&amp;($G283-$AN283)&amp;IF($G283-$AN283=1," día"," días")&amp;" de retraso","Cumplida"),IF(N($M283)&gt;=1,"Cumplida",IF(NOT(ISNUMBER($AN283)),"Sin fecha límite",IF($AN283&lt;FechaRef,"Vencida hace "&amp;(FechaRef-$AN283)&amp;IF(FechaRef-$AN283=1," día"," días"),IF($AN283=FechaRef,"Vence hoy",IF($AN283-FechaRef&lt;=DiasAlerta,"Vence en "&amp;($AN283-FechaRef)&amp;IF($AN283-FechaRef=1," día"," días"),"En plazo"))))))))</f>
        <v/>
      </c>
      <c r="P283" s="62">
        <f>IF(NOT((COUNTA($B283:$D283)+COUNTA($G283:$L283)+COUNTA($Q283))&gt;0),"",IF($D283="","Propia",IF($V283&lt;&gt;"Macro","Solo se delegan macroactividades",IF(N($AH283)&gt;0,"✔ Recibida por "&amp;$D283,"⚠ "&amp;$D283&amp;" aún no la agrega"))))</f>
        <v/>
      </c>
      <c r="Q283" s="58" t="n"/>
      <c r="R283" s="63">
        <f>IF(NOT((COUNTA($B283:$D283)+COUNTA($G283:$L283)+COUNTA($Q283))&gt;0),"",IF((IF($C283="","Falta el nombre de la actividad"&amp;" · ","")&amp;IF(AND($V283="Sub",N($U283)=0),"Subactividad sin macroactividad arriba"&amp;" · ","")&amp;IF($AM283="","Sin fecha de inicio"&amp;" · ","")&amp;IF($AN283="","Sin fecha límite"&amp;" · ","")&amp;IF(AND(LEFT($C283,11)="[Jefatura] ",N($AL283)=0),"No se encuentra en la hoja de la jefatura (elíjala de nuevo en la lista)"&amp;" · ","")&amp;IF(OR(AND($E283&lt;&gt;"",NOT(ISNUMBER($E283))),AND($F283&lt;&gt;"",NOT(ISNUMBER($F283))),AND($G283&lt;&gt;"",NOT(ISNUMBER($G283)))),"Fecha no válida"&amp;" · ","")&amp;IF(AND(ISNUMBER($AM283),ISNUMBER($AN283),$AM283&gt;$AN283),"Inicio posterior a fecha límite"&amp;" · ","")&amp;IF(AND($V283="Macro",$H283&lt;&gt;"",OR(NOT(ISNUMBER($H283)),$H283&lt;0,$H283&gt;1)),"Peso fuera de rango"&amp;" · ","")&amp;IF(AND($V283="Sub",$H283&lt;&gt;""),"Las subactividades no llevan peso (valen igual dentro de su macroactividad)"&amp;" · ","")&amp;IF(AND(N($W283)&gt;0,COUNT($I283:$L283)&gt;0),"Con subactividades: deje vacías las semanas (se calculan solas)"&amp;" · ","")&amp;IF((COUNTIF($I283:$L283,"&gt;1")+COUNTIF($I283:$L283,"&lt;0")+COUNTA($I283:$L283)-COUNT($I283:$L283))&gt;0,"Avance fuera de rango 0-100%"&amp;" · ","")&amp;IF(OR(AND($J283&lt;&gt;"",$J283&lt;$I283),AND($K283&lt;&gt;"",$K283&lt;MAX($I283:$J283)),AND($L283&lt;&gt;"",$L283&lt;MAX($I283:$K283))),"Avance semanal decreciente"&amp;" · ","")&amp;IF(AND(ISNUMBER($AN283),$AN283&lt;FechaRef,IF($V283="Sub",N($X283),N($M283))&lt;1),"Vencida"&amp;" · ","")&amp;IF(AND(ObsObligatoria="Sí",ISNUMBER($AN283),$AN283&lt;FechaRef,IF($V283="Sub",N($X283),N($M283))&lt;1,$Q283=""),"Vencida sin observación"&amp;" · ",""))="","✔ OK","⚠ "&amp;LEFT(IF($C283="","Falta el nombre de la actividad"&amp;" · ","")&amp;IF(AND($V283="Sub",N($U283)=0),"Subactividad sin macroactividad arriba"&amp;" · ","")&amp;IF($AM283="","Sin fecha de inicio"&amp;" · ","")&amp;IF($AN283="","Sin fecha límite"&amp;" · ","")&amp;IF(AND(LEFT($C283,11)="[Jefatura] ",N($AL283)=0),"No se encuentra en la hoja de la jefatura (elíjala de nuevo en la lista)"&amp;" · ","")&amp;IF(OR(AND($E283&lt;&gt;"",NOT(ISNUMBER($E283))),AND($F283&lt;&gt;"",NOT(ISNUMBER($F283))),AND($G283&lt;&gt;"",NOT(ISNUMBER($G283)))),"Fecha no válida"&amp;" · ","")&amp;IF(AND(ISNUMBER($AM283),ISNUMBER($AN283),$AM283&gt;$AN283),"Inicio posterior a fecha límite"&amp;" · ","")&amp;IF(AND($V283="Macro",$H283&lt;&gt;"",OR(NOT(ISNUMBER($H283)),$H283&lt;0,$H283&gt;1)),"Peso fuera de rango"&amp;" · ","")&amp;IF(AND($V283="Sub",$H283&lt;&gt;""),"Las subactividades no llevan peso (valen igual dentro de su macroactividad)"&amp;" · ","")&amp;IF(AND(N($W283)&gt;0,COUNT($I283:$L283)&gt;0),"Con subactividades: deje vacías las semanas (se calculan solas)"&amp;" · ","")&amp;IF((COUNTIF($I283:$L283,"&gt;1")+COUNTIF($I283:$L283,"&lt;0")+COUNTA($I283:$L283)-COUNT($I283:$L283))&gt;0,"Avance fuera de rango 0-100%"&amp;" · ","")&amp;IF(OR(AND($J283&lt;&gt;"",$J283&lt;$I283),AND($K283&lt;&gt;"",$K283&lt;MAX($I283:$J283)),AND($L283&lt;&gt;"",$L283&lt;MAX($I283:$K283))),"Avance semanal decreciente"&amp;" · ","")&amp;IF(AND(ISNUMBER($AN283),$AN283&lt;FechaRef,IF($V283="Sub",N($X283),N($M283))&lt;1),"Vencida"&amp;" · ","")&amp;IF(AND(ObsObligatoria="Sí",ISNUMBER($AN283),$AN283&lt;FechaRef,IF($V283="Sub",N($X283),N($M283))&lt;1,$Q283=""),"Vencida sin observación"&amp;" · ",""),LEN(IF($C283="","Falta el nombre de la actividad"&amp;" · ","")&amp;IF(AND($V283="Sub",N($U283)=0),"Subactividad sin macroactividad arriba"&amp;" · ","")&amp;IF($AM283="","Sin fecha de inicio"&amp;" · ","")&amp;IF($AN283="","Sin fecha límite"&amp;" · ","")&amp;IF(AND(LEFT($C283,11)="[Jefatura] ",N($AL283)=0),"No se encuentra en la hoja de la jefatura (elíjala de nuevo en la lista)"&amp;" · ","")&amp;IF(OR(AND($E283&lt;&gt;"",NOT(ISNUMBER($E283))),AND($F283&lt;&gt;"",NOT(ISNUMBER($F283))),AND($G283&lt;&gt;"",NOT(ISNUMBER($G283)))),"Fecha no válida"&amp;" · ","")&amp;IF(AND(ISNUMBER($AM283),ISNUMBER($AN283),$AM283&gt;$AN283),"Inicio posterior a fecha límite"&amp;" · ","")&amp;IF(AND($V283="Macro",$H283&lt;&gt;"",OR(NOT(ISNUMBER($H283)),$H283&lt;0,$H283&gt;1)),"Peso fuera de rango"&amp;" · ","")&amp;IF(AND($V283="Sub",$H283&lt;&gt;""),"Las subactividades no llevan peso (valen igual dentro de su macroactividad)"&amp;" · ","")&amp;IF(AND(N($W283)&gt;0,COUNT($I283:$L283)&gt;0),"Con subactividades: deje vacías las semanas (se calculan solas)"&amp;" · ","")&amp;IF((COUNTIF($I283:$L283,"&gt;1")+COUNTIF($I283:$L283,"&lt;0")+COUNTA($I283:$L283)-COUNT($I283:$L283))&gt;0,"Avance fuera de rango 0-100%"&amp;" · ","")&amp;IF(OR(AND($J283&lt;&gt;"",$J283&lt;$I283),AND($K283&lt;&gt;"",$K283&lt;MAX($I283:$J283)),AND($L283&lt;&gt;"",$L283&lt;MAX($I283:$K283))),"Avance semanal decreciente"&amp;" · ","")&amp;IF(AND(ISNUMBER($AN283),$AN283&lt;FechaRef,IF($V283="Sub",N($X283),N($M283))&lt;1),"Vencida"&amp;" · ","")&amp;IF(AND(ObsObligatoria="Sí",ISNUMBER($AN283),$AN283&lt;FechaRef,IF($V283="Sub",N($X283),N($M283))&lt;1,$Q283=""),"Vencida sin observación"&amp;" · ",""))-3)))</f>
        <v/>
      </c>
      <c r="S283" s="64">
        <f>IF(NOT((COUNTA($B283:$D283)+COUNTA($G283:$L283)+COUNTA($Q283))&gt;0),"",IF(AND($V283="Sub",N($U283)&gt;0),IF(ISNUMBER(INDEX($AM$5:$AM$1000,$U283-4)),DATE(YEAR(INDEX($AM$5:$AM$1000,$U283-4)),MONTH(INDEX($AM$5:$AM$1000,$U283-4)),1),IF(ISNUMBER(INDEX($AN$5:$AN$1000,$U283-4)),DATE(YEAR(INDEX($AN$5:$AN$1000,$U283-4)),MONTH(INDEX($AN$5:$AN$1000,$U283-4)),1),MesCiclo)),IF(ISNUMBER($AM283),DATE(YEAR($AM283),MONTH($AM283),1),IF(ISNUMBER($AN283),DATE(YEAR($AN283),MONTH($AN283),1),MesCiclo))))</f>
        <v/>
      </c>
      <c r="T283" s="62">
        <f>IF(OR($S283="",$S283&lt;&gt;MesCiclo,$V283&lt;&gt;"Macro"),"",COUNTIFS($S$5:$S283,MesCiclo,$V$5:$V283,"Macro"))</f>
        <v/>
      </c>
      <c r="U283" s="62">
        <f>IF($V283="","",IF($V283="Macro",ROW(),IFERROR(LOOKUP(2,1/($V$5:$V283="Macro"),ROW($V$5:$V283)),0)))</f>
        <v/>
      </c>
      <c r="V283" s="62">
        <f>IF(NOT((COUNTA($B283:$D283)+COUNTA($G283:$L283)+COUNTA($Q283))&gt;0),"",IF($B283="Subactividad","Sub","Macro"))</f>
        <v/>
      </c>
      <c r="W283" s="62">
        <f>IF($V283="Macro",COUNTIFS($U$5:$U$1000,ROW(),$V$5:$V$1000,"Sub"),"")</f>
        <v/>
      </c>
      <c r="X283" s="62">
        <f>IF($V283="","",IF(ISNUMBER($G283),1,IFERROR(LOOKUP(2,1/($I283:$L283&lt;&gt;""),$I283:$L283),0)))</f>
        <v/>
      </c>
      <c r="Y283" s="62">
        <f>IF($V283="","",IF(AND(ISNUMBER($G283),$G283&lt;=IF($S283=MesCiclo,InicioCiclo,$S283+MOD(2-WEEKDAY($S283),7))+6),1,IF(ISNUMBER($I283),$I283,0)))</f>
        <v/>
      </c>
      <c r="Z283" s="62">
        <f>IF($V283="","",IF(AND(ISNUMBER($G283),$G283&lt;=IF($S283=MesCiclo,InicioCiclo,$S283+MOD(2-WEEKDAY($S283),7))+13),1,IF(ISNUMBER($J283),$J283,$Y283)))</f>
        <v/>
      </c>
      <c r="AA283" s="62">
        <f>IF($V283="","",IF(AND(ISNUMBER($G283),$G283&lt;=IF($S283=MesCiclo,InicioCiclo,$S283+MOD(2-WEEKDAY($S283),7))+20),1,IF(ISNUMBER($K283),$K283,$Z283)))</f>
        <v/>
      </c>
      <c r="AB283" s="62">
        <f>IF($V283="","",IF(AND(ISNUMBER($G283),$G283&lt;=IF($S283=MesCiclo,InicioCiclo,$S283+MOD(2-WEEKDAY($S283),7))+27),1,IF(ISNUMBER($L283),$L283,$AA283)))</f>
        <v/>
      </c>
      <c r="AC283" s="62">
        <f>IF($V283="","",IF(AND(ISNUMBER($G283),$G283&lt;=IF($S283=MesCiclo,InicioCiclo,$S283+MOD(2-WEEKDAY($S283),7))+6),1,IF(N($W283)&gt;0,AVERAGEIFS($Y$5:$Y$1000,$U$5:$U$1000,ROW(),$V$5:$V$1000,"Sub"),$Y283)))</f>
        <v/>
      </c>
      <c r="AD283" s="62">
        <f>IF($V283="","",IF(AND(ISNUMBER($G283),$G283&lt;=IF($S283=MesCiclo,InicioCiclo,$S283+MOD(2-WEEKDAY($S283),7))+13),1,IF(N($W283)&gt;0,AVERAGEIFS($Z$5:$Z$1000,$U$5:$U$1000,ROW(),$V$5:$V$1000,"Sub"),$Z283)))</f>
        <v/>
      </c>
      <c r="AE283" s="62">
        <f>IF($V283="","",IF(AND(ISNUMBER($G283),$G283&lt;=IF($S283=MesCiclo,InicioCiclo,$S283+MOD(2-WEEKDAY($S283),7))+20),1,IF(N($W283)&gt;0,AVERAGEIFS($AA$5:$AA$1000,$U$5:$U$1000,ROW(),$V$5:$V$1000,"Sub"),$AA283)))</f>
        <v/>
      </c>
      <c r="AF283" s="62">
        <f>IF($V283="","",IF(AND(ISNUMBER($G283),$G283&lt;=IF($S283=MesCiclo,InicioCiclo,$S283+MOD(2-WEEKDAY($S283),7))+27),1,IF(N($W283)&gt;0,AVERAGEIFS($AB$5:$AB$1000,$U$5:$U$1000,ROW(),$V$5:$V$1000,"Sub"),$AB283)))</f>
        <v/>
      </c>
      <c r="AG283" s="62">
        <f>IF($V283&lt;&gt;"Macro","",IF(COUNTIFS($S$5:$S$1000,$S283,$V$5:$V$1000,"Macro",$H$5:$H$1000,"&gt;0")=0,1/COUNTIFS($S$5:$S$1000,$S283,$V$5:$V$1000,"Macro"),IF(AND(ISNUMBER($H283),N($H283)&gt;0),$H283,SUMIFS($H$5:$H$1000,$S$5:$S$1000,$S283,$V$5:$V$1000,"Macro")/COUNTIFS($S$5:$S$1000,$S283,$V$5:$V$1000,"Macro",$H$5:$H$1000,"&gt;0"))/(COUNTIFS($S$5:$S$1000,$S283,$V$5:$V$1000,"Macro")*SUMIFS($H$5:$H$1000,$S$5:$S$1000,$S283,$V$5:$V$1000,"Macro")/COUNTIFS($S$5:$S$1000,$S283,$V$5:$V$1000,"Macro",$H$5:$H$1000,"&gt;0"))))</f>
        <v/>
      </c>
      <c r="AH283" s="62">
        <f>IF(NOT(AND($D283&lt;&gt;"",$V283="Macro")),"",IFERROR(CHOOSE(MATCH($D283,ListaPuestos,0),MATCH("[Jefatura] "&amp;$C283,'Cronograma R. Operacional'!$C$5:$C$1000,0),MATCH("[Jefatura] "&amp;$C283,'Cronograma R. Normativo'!$C$5:$C$1000,0),MATCH("[Jefatura] "&amp;$C283,'Cronograma R. Financiero'!$C$5:$C$1000,0),MATCH("[Jefatura] "&amp;$C283,'Cronograma Asistente Técnico'!$C$5:$C$1000,0)),0))</f>
        <v/>
      </c>
      <c r="AI283" s="62">
        <f>IF(AND(AND($D283&lt;&gt;"",$V283="Macro"),$S283=MesCiclo),COUNTIFS($D$5:$D283,$D283,$S$5:$S283,MesCiclo,$V$5:$V283,"Macro"),"")</f>
        <v/>
      </c>
      <c r="AJ283" s="62">
        <f>IF($AI283="","",$D283&amp;"|"&amp;$AI283)</f>
        <v/>
      </c>
      <c r="AK283" s="62">
        <f>IF(AND($D283&lt;&gt;"",$V283="Macro"),$D283&amp;"|"&amp;$C283,"")</f>
        <v/>
      </c>
      <c r="AL283" s="62">
        <f>""</f>
        <v/>
      </c>
      <c r="AM283" s="62">
        <f>IF(N($AL283)&gt;0,INDEX(rIni_ADM,$AL283),IF(ISNUMBER($E283),$E283,""))</f>
        <v/>
      </c>
      <c r="AN283" s="62">
        <f>IF(N($AL283)&gt;0,INDEX(rLim_ADM,$AL283),IF(ISNUMBER($F283),$F283,""))</f>
        <v/>
      </c>
    </row>
    <row r="284">
      <c r="A284" s="56">
        <f>IF(NOT((COUNTA($B284:$D284)+COUNTA($G284:$L284)+COUNTA($Q284))&gt;0),"",IF($V284="Macro",COUNTIFS($V$5:$V284,"Macro",$S$5:$S284,$S284),IF(N($U284)=0,"?",COUNTIFS(INDEX($V$5:$V$1000,1):INDEX($V$5:$V$1000,$U284-4),"Macro",INDEX($S$5:$S$1000,1):INDEX($S$5:$S$1000,$U284-4),INDEX($S$5:$S$1000,$U284-4))&amp;"."&amp;COUNTIFS($U$5:$U284,$U284,$V$5:$V284,"Sub"))))</f>
        <v/>
      </c>
      <c r="B284" s="57" t="n"/>
      <c r="C284" s="58" t="n"/>
      <c r="D284" s="58" t="n"/>
      <c r="E284" s="59" t="n"/>
      <c r="F284" s="59" t="n"/>
      <c r="G284" s="59" t="n"/>
      <c r="H284" s="60" t="n"/>
      <c r="I284" s="60" t="n"/>
      <c r="J284" s="60" t="n"/>
      <c r="K284" s="60" t="n"/>
      <c r="L284" s="60" t="n"/>
      <c r="M284" s="61">
        <f>IF(NOT((COUNTA($B284:$D284)+COUNTA($G284:$L284)+COUNTA($Q284))&gt;0),"",IF(AND($D284&lt;&gt;"",$V284="Macro"),IF(N($AH284)&gt;0,N(CHOOSE(MATCH($D284,ListaPuestos,0),INDEX('Cronograma R. Operacional'!$M$5:$M$1000,$AH284),INDEX('Cronograma R. Normativo'!$M$5:$M$1000,$AH284),INDEX('Cronograma R. Financiero'!$M$5:$M$1000,$AH284),INDEX('Cronograma Asistente Técnico'!$M$5:$M$1000,$AH284))),0),IF(ISNUMBER($G284),1,IF(N($W284)&gt;0,AVERAGEIFS($X$5:$X$1000,$U$5:$U$1000,ROW(),$V$5:$V$1000,"Sub"),$X284))))</f>
        <v/>
      </c>
      <c r="N284" s="56">
        <f>IF(OR($M284="",$V284="Sub"),"",IF($M284&gt;=1,"Completado",IF($M284&gt;0,"En curso","Pendiente")))</f>
        <v/>
      </c>
      <c r="O284" s="56">
        <f>IF(NOT((COUNTA($B284:$D284)+COUNTA($G284:$L284)+COUNTA($Q284))&gt;0),"",IF(AND(AND($D284&lt;&gt;"",$V284="Macro"),N($AH284)&gt;0),CHOOSE(MATCH($D284,ListaPuestos,0),INDEX('Cronograma R. Operacional'!$O$5:$O$1000,$AH284),INDEX('Cronograma R. Normativo'!$O$5:$O$1000,$AH284),INDEX('Cronograma R. Financiero'!$O$5:$O$1000,$AH284),INDEX('Cronograma Asistente Técnico'!$O$5:$O$1000,$AH284))&amp;"",IF(ISNUMBER($G284),IF(AND(ISNUMBER($AN284),$G284&gt;$AN284),"Cumplida con "&amp;($G284-$AN284)&amp;IF($G284-$AN284=1," día"," días")&amp;" de retraso","Cumplida"),IF(N($M284)&gt;=1,"Cumplida",IF(NOT(ISNUMBER($AN284)),"Sin fecha límite",IF($AN284&lt;FechaRef,"Vencida hace "&amp;(FechaRef-$AN284)&amp;IF(FechaRef-$AN284=1," día"," días"),IF($AN284=FechaRef,"Vence hoy",IF($AN284-FechaRef&lt;=DiasAlerta,"Vence en "&amp;($AN284-FechaRef)&amp;IF($AN284-FechaRef=1," día"," días"),"En plazo"))))))))</f>
        <v/>
      </c>
      <c r="P284" s="62">
        <f>IF(NOT((COUNTA($B284:$D284)+COUNTA($G284:$L284)+COUNTA($Q284))&gt;0),"",IF($D284="","Propia",IF($V284&lt;&gt;"Macro","Solo se delegan macroactividades",IF(N($AH284)&gt;0,"✔ Recibida por "&amp;$D284,"⚠ "&amp;$D284&amp;" aún no la agrega"))))</f>
        <v/>
      </c>
      <c r="Q284" s="58" t="n"/>
      <c r="R284" s="63">
        <f>IF(NOT((COUNTA($B284:$D284)+COUNTA($G284:$L284)+COUNTA($Q284))&gt;0),"",IF((IF($C284="","Falta el nombre de la actividad"&amp;" · ","")&amp;IF(AND($V284="Sub",N($U284)=0),"Subactividad sin macroactividad arriba"&amp;" · ","")&amp;IF($AM284="","Sin fecha de inicio"&amp;" · ","")&amp;IF($AN284="","Sin fecha límite"&amp;" · ","")&amp;IF(AND(LEFT($C284,11)="[Jefatura] ",N($AL284)=0),"No se encuentra en la hoja de la jefatura (elíjala de nuevo en la lista)"&amp;" · ","")&amp;IF(OR(AND($E284&lt;&gt;"",NOT(ISNUMBER($E284))),AND($F284&lt;&gt;"",NOT(ISNUMBER($F284))),AND($G284&lt;&gt;"",NOT(ISNUMBER($G284)))),"Fecha no válida"&amp;" · ","")&amp;IF(AND(ISNUMBER($AM284),ISNUMBER($AN284),$AM284&gt;$AN284),"Inicio posterior a fecha límite"&amp;" · ","")&amp;IF(AND($V284="Macro",$H284&lt;&gt;"",OR(NOT(ISNUMBER($H284)),$H284&lt;0,$H284&gt;1)),"Peso fuera de rango"&amp;" · ","")&amp;IF(AND($V284="Sub",$H284&lt;&gt;""),"Las subactividades no llevan peso (valen igual dentro de su macroactividad)"&amp;" · ","")&amp;IF(AND(N($W284)&gt;0,COUNT($I284:$L284)&gt;0),"Con subactividades: deje vacías las semanas (se calculan solas)"&amp;" · ","")&amp;IF((COUNTIF($I284:$L284,"&gt;1")+COUNTIF($I284:$L284,"&lt;0")+COUNTA($I284:$L284)-COUNT($I284:$L284))&gt;0,"Avance fuera de rango 0-100%"&amp;" · ","")&amp;IF(OR(AND($J284&lt;&gt;"",$J284&lt;$I284),AND($K284&lt;&gt;"",$K284&lt;MAX($I284:$J284)),AND($L284&lt;&gt;"",$L284&lt;MAX($I284:$K284))),"Avance semanal decreciente"&amp;" · ","")&amp;IF(AND(ISNUMBER($AN284),$AN284&lt;FechaRef,IF($V284="Sub",N($X284),N($M284))&lt;1),"Vencida"&amp;" · ","")&amp;IF(AND(ObsObligatoria="Sí",ISNUMBER($AN284),$AN284&lt;FechaRef,IF($V284="Sub",N($X284),N($M284))&lt;1,$Q284=""),"Vencida sin observación"&amp;" · ",""))="","✔ OK","⚠ "&amp;LEFT(IF($C284="","Falta el nombre de la actividad"&amp;" · ","")&amp;IF(AND($V284="Sub",N($U284)=0),"Subactividad sin macroactividad arriba"&amp;" · ","")&amp;IF($AM284="","Sin fecha de inicio"&amp;" · ","")&amp;IF($AN284="","Sin fecha límite"&amp;" · ","")&amp;IF(AND(LEFT($C284,11)="[Jefatura] ",N($AL284)=0),"No se encuentra en la hoja de la jefatura (elíjala de nuevo en la lista)"&amp;" · ","")&amp;IF(OR(AND($E284&lt;&gt;"",NOT(ISNUMBER($E284))),AND($F284&lt;&gt;"",NOT(ISNUMBER($F284))),AND($G284&lt;&gt;"",NOT(ISNUMBER($G284)))),"Fecha no válida"&amp;" · ","")&amp;IF(AND(ISNUMBER($AM284),ISNUMBER($AN284),$AM284&gt;$AN284),"Inicio posterior a fecha límite"&amp;" · ","")&amp;IF(AND($V284="Macro",$H284&lt;&gt;"",OR(NOT(ISNUMBER($H284)),$H284&lt;0,$H284&gt;1)),"Peso fuera de rango"&amp;" · ","")&amp;IF(AND($V284="Sub",$H284&lt;&gt;""),"Las subactividades no llevan peso (valen igual dentro de su macroactividad)"&amp;" · ","")&amp;IF(AND(N($W284)&gt;0,COUNT($I284:$L284)&gt;0),"Con subactividades: deje vacías las semanas (se calculan solas)"&amp;" · ","")&amp;IF((COUNTIF($I284:$L284,"&gt;1")+COUNTIF($I284:$L284,"&lt;0")+COUNTA($I284:$L284)-COUNT($I284:$L284))&gt;0,"Avance fuera de rango 0-100%"&amp;" · ","")&amp;IF(OR(AND($J284&lt;&gt;"",$J284&lt;$I284),AND($K284&lt;&gt;"",$K284&lt;MAX($I284:$J284)),AND($L284&lt;&gt;"",$L284&lt;MAX($I284:$K284))),"Avance semanal decreciente"&amp;" · ","")&amp;IF(AND(ISNUMBER($AN284),$AN284&lt;FechaRef,IF($V284="Sub",N($X284),N($M284))&lt;1),"Vencida"&amp;" · ","")&amp;IF(AND(ObsObligatoria="Sí",ISNUMBER($AN284),$AN284&lt;FechaRef,IF($V284="Sub",N($X284),N($M284))&lt;1,$Q284=""),"Vencida sin observación"&amp;" · ",""),LEN(IF($C284="","Falta el nombre de la actividad"&amp;" · ","")&amp;IF(AND($V284="Sub",N($U284)=0),"Subactividad sin macroactividad arriba"&amp;" · ","")&amp;IF($AM284="","Sin fecha de inicio"&amp;" · ","")&amp;IF($AN284="","Sin fecha límite"&amp;" · ","")&amp;IF(AND(LEFT($C284,11)="[Jefatura] ",N($AL284)=0),"No se encuentra en la hoja de la jefatura (elíjala de nuevo en la lista)"&amp;" · ","")&amp;IF(OR(AND($E284&lt;&gt;"",NOT(ISNUMBER($E284))),AND($F284&lt;&gt;"",NOT(ISNUMBER($F284))),AND($G284&lt;&gt;"",NOT(ISNUMBER($G284)))),"Fecha no válida"&amp;" · ","")&amp;IF(AND(ISNUMBER($AM284),ISNUMBER($AN284),$AM284&gt;$AN284),"Inicio posterior a fecha límite"&amp;" · ","")&amp;IF(AND($V284="Macro",$H284&lt;&gt;"",OR(NOT(ISNUMBER($H284)),$H284&lt;0,$H284&gt;1)),"Peso fuera de rango"&amp;" · ","")&amp;IF(AND($V284="Sub",$H284&lt;&gt;""),"Las subactividades no llevan peso (valen igual dentro de su macroactividad)"&amp;" · ","")&amp;IF(AND(N($W284)&gt;0,COUNT($I284:$L284)&gt;0),"Con subactividades: deje vacías las semanas (se calculan solas)"&amp;" · ","")&amp;IF((COUNTIF($I284:$L284,"&gt;1")+COUNTIF($I284:$L284,"&lt;0")+COUNTA($I284:$L284)-COUNT($I284:$L284))&gt;0,"Avance fuera de rango 0-100%"&amp;" · ","")&amp;IF(OR(AND($J284&lt;&gt;"",$J284&lt;$I284),AND($K284&lt;&gt;"",$K284&lt;MAX($I284:$J284)),AND($L284&lt;&gt;"",$L284&lt;MAX($I284:$K284))),"Avance semanal decreciente"&amp;" · ","")&amp;IF(AND(ISNUMBER($AN284),$AN284&lt;FechaRef,IF($V284="Sub",N($X284),N($M284))&lt;1),"Vencida"&amp;" · ","")&amp;IF(AND(ObsObligatoria="Sí",ISNUMBER($AN284),$AN284&lt;FechaRef,IF($V284="Sub",N($X284),N($M284))&lt;1,$Q284=""),"Vencida sin observación"&amp;" · ",""))-3)))</f>
        <v/>
      </c>
      <c r="S284" s="64">
        <f>IF(NOT((COUNTA($B284:$D284)+COUNTA($G284:$L284)+COUNTA($Q284))&gt;0),"",IF(AND($V284="Sub",N($U284)&gt;0),IF(ISNUMBER(INDEX($AM$5:$AM$1000,$U284-4)),DATE(YEAR(INDEX($AM$5:$AM$1000,$U284-4)),MONTH(INDEX($AM$5:$AM$1000,$U284-4)),1),IF(ISNUMBER(INDEX($AN$5:$AN$1000,$U284-4)),DATE(YEAR(INDEX($AN$5:$AN$1000,$U284-4)),MONTH(INDEX($AN$5:$AN$1000,$U284-4)),1),MesCiclo)),IF(ISNUMBER($AM284),DATE(YEAR($AM284),MONTH($AM284),1),IF(ISNUMBER($AN284),DATE(YEAR($AN284),MONTH($AN284),1),MesCiclo))))</f>
        <v/>
      </c>
      <c r="T284" s="62">
        <f>IF(OR($S284="",$S284&lt;&gt;MesCiclo,$V284&lt;&gt;"Macro"),"",COUNTIFS($S$5:$S284,MesCiclo,$V$5:$V284,"Macro"))</f>
        <v/>
      </c>
      <c r="U284" s="62">
        <f>IF($V284="","",IF($V284="Macro",ROW(),IFERROR(LOOKUP(2,1/($V$5:$V284="Macro"),ROW($V$5:$V284)),0)))</f>
        <v/>
      </c>
      <c r="V284" s="62">
        <f>IF(NOT((COUNTA($B284:$D284)+COUNTA($G284:$L284)+COUNTA($Q284))&gt;0),"",IF($B284="Subactividad","Sub","Macro"))</f>
        <v/>
      </c>
      <c r="W284" s="62">
        <f>IF($V284="Macro",COUNTIFS($U$5:$U$1000,ROW(),$V$5:$V$1000,"Sub"),"")</f>
        <v/>
      </c>
      <c r="X284" s="62">
        <f>IF($V284="","",IF(ISNUMBER($G284),1,IFERROR(LOOKUP(2,1/($I284:$L284&lt;&gt;""),$I284:$L284),0)))</f>
        <v/>
      </c>
      <c r="Y284" s="62">
        <f>IF($V284="","",IF(AND(ISNUMBER($G284),$G284&lt;=IF($S284=MesCiclo,InicioCiclo,$S284+MOD(2-WEEKDAY($S284),7))+6),1,IF(ISNUMBER($I284),$I284,0)))</f>
        <v/>
      </c>
      <c r="Z284" s="62">
        <f>IF($V284="","",IF(AND(ISNUMBER($G284),$G284&lt;=IF($S284=MesCiclo,InicioCiclo,$S284+MOD(2-WEEKDAY($S284),7))+13),1,IF(ISNUMBER($J284),$J284,$Y284)))</f>
        <v/>
      </c>
      <c r="AA284" s="62">
        <f>IF($V284="","",IF(AND(ISNUMBER($G284),$G284&lt;=IF($S284=MesCiclo,InicioCiclo,$S284+MOD(2-WEEKDAY($S284),7))+20),1,IF(ISNUMBER($K284),$K284,$Z284)))</f>
        <v/>
      </c>
      <c r="AB284" s="62">
        <f>IF($V284="","",IF(AND(ISNUMBER($G284),$G284&lt;=IF($S284=MesCiclo,InicioCiclo,$S284+MOD(2-WEEKDAY($S284),7))+27),1,IF(ISNUMBER($L284),$L284,$AA284)))</f>
        <v/>
      </c>
      <c r="AC284" s="62">
        <f>IF($V284="","",IF(AND(ISNUMBER($G284),$G284&lt;=IF($S284=MesCiclo,InicioCiclo,$S284+MOD(2-WEEKDAY($S284),7))+6),1,IF(N($W284)&gt;0,AVERAGEIFS($Y$5:$Y$1000,$U$5:$U$1000,ROW(),$V$5:$V$1000,"Sub"),$Y284)))</f>
        <v/>
      </c>
      <c r="AD284" s="62">
        <f>IF($V284="","",IF(AND(ISNUMBER($G284),$G284&lt;=IF($S284=MesCiclo,InicioCiclo,$S284+MOD(2-WEEKDAY($S284),7))+13),1,IF(N($W284)&gt;0,AVERAGEIFS($Z$5:$Z$1000,$U$5:$U$1000,ROW(),$V$5:$V$1000,"Sub"),$Z284)))</f>
        <v/>
      </c>
      <c r="AE284" s="62">
        <f>IF($V284="","",IF(AND(ISNUMBER($G284),$G284&lt;=IF($S284=MesCiclo,InicioCiclo,$S284+MOD(2-WEEKDAY($S284),7))+20),1,IF(N($W284)&gt;0,AVERAGEIFS($AA$5:$AA$1000,$U$5:$U$1000,ROW(),$V$5:$V$1000,"Sub"),$AA284)))</f>
        <v/>
      </c>
      <c r="AF284" s="62">
        <f>IF($V284="","",IF(AND(ISNUMBER($G284),$G284&lt;=IF($S284=MesCiclo,InicioCiclo,$S284+MOD(2-WEEKDAY($S284),7))+27),1,IF(N($W284)&gt;0,AVERAGEIFS($AB$5:$AB$1000,$U$5:$U$1000,ROW(),$V$5:$V$1000,"Sub"),$AB284)))</f>
        <v/>
      </c>
      <c r="AG284" s="62">
        <f>IF($V284&lt;&gt;"Macro","",IF(COUNTIFS($S$5:$S$1000,$S284,$V$5:$V$1000,"Macro",$H$5:$H$1000,"&gt;0")=0,1/COUNTIFS($S$5:$S$1000,$S284,$V$5:$V$1000,"Macro"),IF(AND(ISNUMBER($H284),N($H284)&gt;0),$H284,SUMIFS($H$5:$H$1000,$S$5:$S$1000,$S284,$V$5:$V$1000,"Macro")/COUNTIFS($S$5:$S$1000,$S284,$V$5:$V$1000,"Macro",$H$5:$H$1000,"&gt;0"))/(COUNTIFS($S$5:$S$1000,$S284,$V$5:$V$1000,"Macro")*SUMIFS($H$5:$H$1000,$S$5:$S$1000,$S284,$V$5:$V$1000,"Macro")/COUNTIFS($S$5:$S$1000,$S284,$V$5:$V$1000,"Macro",$H$5:$H$1000,"&gt;0"))))</f>
        <v/>
      </c>
      <c r="AH284" s="62">
        <f>IF(NOT(AND($D284&lt;&gt;"",$V284="Macro")),"",IFERROR(CHOOSE(MATCH($D284,ListaPuestos,0),MATCH("[Jefatura] "&amp;$C284,'Cronograma R. Operacional'!$C$5:$C$1000,0),MATCH("[Jefatura] "&amp;$C284,'Cronograma R. Normativo'!$C$5:$C$1000,0),MATCH("[Jefatura] "&amp;$C284,'Cronograma R. Financiero'!$C$5:$C$1000,0),MATCH("[Jefatura] "&amp;$C284,'Cronograma Asistente Técnico'!$C$5:$C$1000,0)),0))</f>
        <v/>
      </c>
      <c r="AI284" s="62">
        <f>IF(AND(AND($D284&lt;&gt;"",$V284="Macro"),$S284=MesCiclo),COUNTIFS($D$5:$D284,$D284,$S$5:$S284,MesCiclo,$V$5:$V284,"Macro"),"")</f>
        <v/>
      </c>
      <c r="AJ284" s="62">
        <f>IF($AI284="","",$D284&amp;"|"&amp;$AI284)</f>
        <v/>
      </c>
      <c r="AK284" s="62">
        <f>IF(AND($D284&lt;&gt;"",$V284="Macro"),$D284&amp;"|"&amp;$C284,"")</f>
        <v/>
      </c>
      <c r="AL284" s="62">
        <f>""</f>
        <v/>
      </c>
      <c r="AM284" s="62">
        <f>IF(N($AL284)&gt;0,INDEX(rIni_ADM,$AL284),IF(ISNUMBER($E284),$E284,""))</f>
        <v/>
      </c>
      <c r="AN284" s="62">
        <f>IF(N($AL284)&gt;0,INDEX(rLim_ADM,$AL284),IF(ISNUMBER($F284),$F284,""))</f>
        <v/>
      </c>
    </row>
    <row r="285">
      <c r="A285" s="56">
        <f>IF(NOT((COUNTA($B285:$D285)+COUNTA($G285:$L285)+COUNTA($Q285))&gt;0),"",IF($V285="Macro",COUNTIFS($V$5:$V285,"Macro",$S$5:$S285,$S285),IF(N($U285)=0,"?",COUNTIFS(INDEX($V$5:$V$1000,1):INDEX($V$5:$V$1000,$U285-4),"Macro",INDEX($S$5:$S$1000,1):INDEX($S$5:$S$1000,$U285-4),INDEX($S$5:$S$1000,$U285-4))&amp;"."&amp;COUNTIFS($U$5:$U285,$U285,$V$5:$V285,"Sub"))))</f>
        <v/>
      </c>
      <c r="B285" s="57" t="n"/>
      <c r="C285" s="58" t="n"/>
      <c r="D285" s="58" t="n"/>
      <c r="E285" s="59" t="n"/>
      <c r="F285" s="59" t="n"/>
      <c r="G285" s="59" t="n"/>
      <c r="H285" s="60" t="n"/>
      <c r="I285" s="60" t="n"/>
      <c r="J285" s="60" t="n"/>
      <c r="K285" s="60" t="n"/>
      <c r="L285" s="60" t="n"/>
      <c r="M285" s="61">
        <f>IF(NOT((COUNTA($B285:$D285)+COUNTA($G285:$L285)+COUNTA($Q285))&gt;0),"",IF(AND($D285&lt;&gt;"",$V285="Macro"),IF(N($AH285)&gt;0,N(CHOOSE(MATCH($D285,ListaPuestos,0),INDEX('Cronograma R. Operacional'!$M$5:$M$1000,$AH285),INDEX('Cronograma R. Normativo'!$M$5:$M$1000,$AH285),INDEX('Cronograma R. Financiero'!$M$5:$M$1000,$AH285),INDEX('Cronograma Asistente Técnico'!$M$5:$M$1000,$AH285))),0),IF(ISNUMBER($G285),1,IF(N($W285)&gt;0,AVERAGEIFS($X$5:$X$1000,$U$5:$U$1000,ROW(),$V$5:$V$1000,"Sub"),$X285))))</f>
        <v/>
      </c>
      <c r="N285" s="56">
        <f>IF(OR($M285="",$V285="Sub"),"",IF($M285&gt;=1,"Completado",IF($M285&gt;0,"En curso","Pendiente")))</f>
        <v/>
      </c>
      <c r="O285" s="56">
        <f>IF(NOT((COUNTA($B285:$D285)+COUNTA($G285:$L285)+COUNTA($Q285))&gt;0),"",IF(AND(AND($D285&lt;&gt;"",$V285="Macro"),N($AH285)&gt;0),CHOOSE(MATCH($D285,ListaPuestos,0),INDEX('Cronograma R. Operacional'!$O$5:$O$1000,$AH285),INDEX('Cronograma R. Normativo'!$O$5:$O$1000,$AH285),INDEX('Cronograma R. Financiero'!$O$5:$O$1000,$AH285),INDEX('Cronograma Asistente Técnico'!$O$5:$O$1000,$AH285))&amp;"",IF(ISNUMBER($G285),IF(AND(ISNUMBER($AN285),$G285&gt;$AN285),"Cumplida con "&amp;($G285-$AN285)&amp;IF($G285-$AN285=1," día"," días")&amp;" de retraso","Cumplida"),IF(N($M285)&gt;=1,"Cumplida",IF(NOT(ISNUMBER($AN285)),"Sin fecha límite",IF($AN285&lt;FechaRef,"Vencida hace "&amp;(FechaRef-$AN285)&amp;IF(FechaRef-$AN285=1," día"," días"),IF($AN285=FechaRef,"Vence hoy",IF($AN285-FechaRef&lt;=DiasAlerta,"Vence en "&amp;($AN285-FechaRef)&amp;IF($AN285-FechaRef=1," día"," días"),"En plazo"))))))))</f>
        <v/>
      </c>
      <c r="P285" s="62">
        <f>IF(NOT((COUNTA($B285:$D285)+COUNTA($G285:$L285)+COUNTA($Q285))&gt;0),"",IF($D285="","Propia",IF($V285&lt;&gt;"Macro","Solo se delegan macroactividades",IF(N($AH285)&gt;0,"✔ Recibida por "&amp;$D285,"⚠ "&amp;$D285&amp;" aún no la agrega"))))</f>
        <v/>
      </c>
      <c r="Q285" s="58" t="n"/>
      <c r="R285" s="63">
        <f>IF(NOT((COUNTA($B285:$D285)+COUNTA($G285:$L285)+COUNTA($Q285))&gt;0),"",IF((IF($C285="","Falta el nombre de la actividad"&amp;" · ","")&amp;IF(AND($V285="Sub",N($U285)=0),"Subactividad sin macroactividad arriba"&amp;" · ","")&amp;IF($AM285="","Sin fecha de inicio"&amp;" · ","")&amp;IF($AN285="","Sin fecha límite"&amp;" · ","")&amp;IF(AND(LEFT($C285,11)="[Jefatura] ",N($AL285)=0),"No se encuentra en la hoja de la jefatura (elíjala de nuevo en la lista)"&amp;" · ","")&amp;IF(OR(AND($E285&lt;&gt;"",NOT(ISNUMBER($E285))),AND($F285&lt;&gt;"",NOT(ISNUMBER($F285))),AND($G285&lt;&gt;"",NOT(ISNUMBER($G285)))),"Fecha no válida"&amp;" · ","")&amp;IF(AND(ISNUMBER($AM285),ISNUMBER($AN285),$AM285&gt;$AN285),"Inicio posterior a fecha límite"&amp;" · ","")&amp;IF(AND($V285="Macro",$H285&lt;&gt;"",OR(NOT(ISNUMBER($H285)),$H285&lt;0,$H285&gt;1)),"Peso fuera de rango"&amp;" · ","")&amp;IF(AND($V285="Sub",$H285&lt;&gt;""),"Las subactividades no llevan peso (valen igual dentro de su macroactividad)"&amp;" · ","")&amp;IF(AND(N($W285)&gt;0,COUNT($I285:$L285)&gt;0),"Con subactividades: deje vacías las semanas (se calculan solas)"&amp;" · ","")&amp;IF((COUNTIF($I285:$L285,"&gt;1")+COUNTIF($I285:$L285,"&lt;0")+COUNTA($I285:$L285)-COUNT($I285:$L285))&gt;0,"Avance fuera de rango 0-100%"&amp;" · ","")&amp;IF(OR(AND($J285&lt;&gt;"",$J285&lt;$I285),AND($K285&lt;&gt;"",$K285&lt;MAX($I285:$J285)),AND($L285&lt;&gt;"",$L285&lt;MAX($I285:$K285))),"Avance semanal decreciente"&amp;" · ","")&amp;IF(AND(ISNUMBER($AN285),$AN285&lt;FechaRef,IF($V285="Sub",N($X285),N($M285))&lt;1),"Vencida"&amp;" · ","")&amp;IF(AND(ObsObligatoria="Sí",ISNUMBER($AN285),$AN285&lt;FechaRef,IF($V285="Sub",N($X285),N($M285))&lt;1,$Q285=""),"Vencida sin observación"&amp;" · ",""))="","✔ OK","⚠ "&amp;LEFT(IF($C285="","Falta el nombre de la actividad"&amp;" · ","")&amp;IF(AND($V285="Sub",N($U285)=0),"Subactividad sin macroactividad arriba"&amp;" · ","")&amp;IF($AM285="","Sin fecha de inicio"&amp;" · ","")&amp;IF($AN285="","Sin fecha límite"&amp;" · ","")&amp;IF(AND(LEFT($C285,11)="[Jefatura] ",N($AL285)=0),"No se encuentra en la hoja de la jefatura (elíjala de nuevo en la lista)"&amp;" · ","")&amp;IF(OR(AND($E285&lt;&gt;"",NOT(ISNUMBER($E285))),AND($F285&lt;&gt;"",NOT(ISNUMBER($F285))),AND($G285&lt;&gt;"",NOT(ISNUMBER($G285)))),"Fecha no válida"&amp;" · ","")&amp;IF(AND(ISNUMBER($AM285),ISNUMBER($AN285),$AM285&gt;$AN285),"Inicio posterior a fecha límite"&amp;" · ","")&amp;IF(AND($V285="Macro",$H285&lt;&gt;"",OR(NOT(ISNUMBER($H285)),$H285&lt;0,$H285&gt;1)),"Peso fuera de rango"&amp;" · ","")&amp;IF(AND($V285="Sub",$H285&lt;&gt;""),"Las subactividades no llevan peso (valen igual dentro de su macroactividad)"&amp;" · ","")&amp;IF(AND(N($W285)&gt;0,COUNT($I285:$L285)&gt;0),"Con subactividades: deje vacías las semanas (se calculan solas)"&amp;" · ","")&amp;IF((COUNTIF($I285:$L285,"&gt;1")+COUNTIF($I285:$L285,"&lt;0")+COUNTA($I285:$L285)-COUNT($I285:$L285))&gt;0,"Avance fuera de rango 0-100%"&amp;" · ","")&amp;IF(OR(AND($J285&lt;&gt;"",$J285&lt;$I285),AND($K285&lt;&gt;"",$K285&lt;MAX($I285:$J285)),AND($L285&lt;&gt;"",$L285&lt;MAX($I285:$K285))),"Avance semanal decreciente"&amp;" · ","")&amp;IF(AND(ISNUMBER($AN285),$AN285&lt;FechaRef,IF($V285="Sub",N($X285),N($M285))&lt;1),"Vencida"&amp;" · ","")&amp;IF(AND(ObsObligatoria="Sí",ISNUMBER($AN285),$AN285&lt;FechaRef,IF($V285="Sub",N($X285),N($M285))&lt;1,$Q285=""),"Vencida sin observación"&amp;" · ",""),LEN(IF($C285="","Falta el nombre de la actividad"&amp;" · ","")&amp;IF(AND($V285="Sub",N($U285)=0),"Subactividad sin macroactividad arriba"&amp;" · ","")&amp;IF($AM285="","Sin fecha de inicio"&amp;" · ","")&amp;IF($AN285="","Sin fecha límite"&amp;" · ","")&amp;IF(AND(LEFT($C285,11)="[Jefatura] ",N($AL285)=0),"No se encuentra en la hoja de la jefatura (elíjala de nuevo en la lista)"&amp;" · ","")&amp;IF(OR(AND($E285&lt;&gt;"",NOT(ISNUMBER($E285))),AND($F285&lt;&gt;"",NOT(ISNUMBER($F285))),AND($G285&lt;&gt;"",NOT(ISNUMBER($G285)))),"Fecha no válida"&amp;" · ","")&amp;IF(AND(ISNUMBER($AM285),ISNUMBER($AN285),$AM285&gt;$AN285),"Inicio posterior a fecha límite"&amp;" · ","")&amp;IF(AND($V285="Macro",$H285&lt;&gt;"",OR(NOT(ISNUMBER($H285)),$H285&lt;0,$H285&gt;1)),"Peso fuera de rango"&amp;" · ","")&amp;IF(AND($V285="Sub",$H285&lt;&gt;""),"Las subactividades no llevan peso (valen igual dentro de su macroactividad)"&amp;" · ","")&amp;IF(AND(N($W285)&gt;0,COUNT($I285:$L285)&gt;0),"Con subactividades: deje vacías las semanas (se calculan solas)"&amp;" · ","")&amp;IF((COUNTIF($I285:$L285,"&gt;1")+COUNTIF($I285:$L285,"&lt;0")+COUNTA($I285:$L285)-COUNT($I285:$L285))&gt;0,"Avance fuera de rango 0-100%"&amp;" · ","")&amp;IF(OR(AND($J285&lt;&gt;"",$J285&lt;$I285),AND($K285&lt;&gt;"",$K285&lt;MAX($I285:$J285)),AND($L285&lt;&gt;"",$L285&lt;MAX($I285:$K285))),"Avance semanal decreciente"&amp;" · ","")&amp;IF(AND(ISNUMBER($AN285),$AN285&lt;FechaRef,IF($V285="Sub",N($X285),N($M285))&lt;1),"Vencida"&amp;" · ","")&amp;IF(AND(ObsObligatoria="Sí",ISNUMBER($AN285),$AN285&lt;FechaRef,IF($V285="Sub",N($X285),N($M285))&lt;1,$Q285=""),"Vencida sin observación"&amp;" · ",""))-3)))</f>
        <v/>
      </c>
      <c r="S285" s="64">
        <f>IF(NOT((COUNTA($B285:$D285)+COUNTA($G285:$L285)+COUNTA($Q285))&gt;0),"",IF(AND($V285="Sub",N($U285)&gt;0),IF(ISNUMBER(INDEX($AM$5:$AM$1000,$U285-4)),DATE(YEAR(INDEX($AM$5:$AM$1000,$U285-4)),MONTH(INDEX($AM$5:$AM$1000,$U285-4)),1),IF(ISNUMBER(INDEX($AN$5:$AN$1000,$U285-4)),DATE(YEAR(INDEX($AN$5:$AN$1000,$U285-4)),MONTH(INDEX($AN$5:$AN$1000,$U285-4)),1),MesCiclo)),IF(ISNUMBER($AM285),DATE(YEAR($AM285),MONTH($AM285),1),IF(ISNUMBER($AN285),DATE(YEAR($AN285),MONTH($AN285),1),MesCiclo))))</f>
        <v/>
      </c>
      <c r="T285" s="62">
        <f>IF(OR($S285="",$S285&lt;&gt;MesCiclo,$V285&lt;&gt;"Macro"),"",COUNTIFS($S$5:$S285,MesCiclo,$V$5:$V285,"Macro"))</f>
        <v/>
      </c>
      <c r="U285" s="62">
        <f>IF($V285="","",IF($V285="Macro",ROW(),IFERROR(LOOKUP(2,1/($V$5:$V285="Macro"),ROW($V$5:$V285)),0)))</f>
        <v/>
      </c>
      <c r="V285" s="62">
        <f>IF(NOT((COUNTA($B285:$D285)+COUNTA($G285:$L285)+COUNTA($Q285))&gt;0),"",IF($B285="Subactividad","Sub","Macro"))</f>
        <v/>
      </c>
      <c r="W285" s="62">
        <f>IF($V285="Macro",COUNTIFS($U$5:$U$1000,ROW(),$V$5:$V$1000,"Sub"),"")</f>
        <v/>
      </c>
      <c r="X285" s="62">
        <f>IF($V285="","",IF(ISNUMBER($G285),1,IFERROR(LOOKUP(2,1/($I285:$L285&lt;&gt;""),$I285:$L285),0)))</f>
        <v/>
      </c>
      <c r="Y285" s="62">
        <f>IF($V285="","",IF(AND(ISNUMBER($G285),$G285&lt;=IF($S285=MesCiclo,InicioCiclo,$S285+MOD(2-WEEKDAY($S285),7))+6),1,IF(ISNUMBER($I285),$I285,0)))</f>
        <v/>
      </c>
      <c r="Z285" s="62">
        <f>IF($V285="","",IF(AND(ISNUMBER($G285),$G285&lt;=IF($S285=MesCiclo,InicioCiclo,$S285+MOD(2-WEEKDAY($S285),7))+13),1,IF(ISNUMBER($J285),$J285,$Y285)))</f>
        <v/>
      </c>
      <c r="AA285" s="62">
        <f>IF($V285="","",IF(AND(ISNUMBER($G285),$G285&lt;=IF($S285=MesCiclo,InicioCiclo,$S285+MOD(2-WEEKDAY($S285),7))+20),1,IF(ISNUMBER($K285),$K285,$Z285)))</f>
        <v/>
      </c>
      <c r="AB285" s="62">
        <f>IF($V285="","",IF(AND(ISNUMBER($G285),$G285&lt;=IF($S285=MesCiclo,InicioCiclo,$S285+MOD(2-WEEKDAY($S285),7))+27),1,IF(ISNUMBER($L285),$L285,$AA285)))</f>
        <v/>
      </c>
      <c r="AC285" s="62">
        <f>IF($V285="","",IF(AND(ISNUMBER($G285),$G285&lt;=IF($S285=MesCiclo,InicioCiclo,$S285+MOD(2-WEEKDAY($S285),7))+6),1,IF(N($W285)&gt;0,AVERAGEIFS($Y$5:$Y$1000,$U$5:$U$1000,ROW(),$V$5:$V$1000,"Sub"),$Y285)))</f>
        <v/>
      </c>
      <c r="AD285" s="62">
        <f>IF($V285="","",IF(AND(ISNUMBER($G285),$G285&lt;=IF($S285=MesCiclo,InicioCiclo,$S285+MOD(2-WEEKDAY($S285),7))+13),1,IF(N($W285)&gt;0,AVERAGEIFS($Z$5:$Z$1000,$U$5:$U$1000,ROW(),$V$5:$V$1000,"Sub"),$Z285)))</f>
        <v/>
      </c>
      <c r="AE285" s="62">
        <f>IF($V285="","",IF(AND(ISNUMBER($G285),$G285&lt;=IF($S285=MesCiclo,InicioCiclo,$S285+MOD(2-WEEKDAY($S285),7))+20),1,IF(N($W285)&gt;0,AVERAGEIFS($AA$5:$AA$1000,$U$5:$U$1000,ROW(),$V$5:$V$1000,"Sub"),$AA285)))</f>
        <v/>
      </c>
      <c r="AF285" s="62">
        <f>IF($V285="","",IF(AND(ISNUMBER($G285),$G285&lt;=IF($S285=MesCiclo,InicioCiclo,$S285+MOD(2-WEEKDAY($S285),7))+27),1,IF(N($W285)&gt;0,AVERAGEIFS($AB$5:$AB$1000,$U$5:$U$1000,ROW(),$V$5:$V$1000,"Sub"),$AB285)))</f>
        <v/>
      </c>
      <c r="AG285" s="62">
        <f>IF($V285&lt;&gt;"Macro","",IF(COUNTIFS($S$5:$S$1000,$S285,$V$5:$V$1000,"Macro",$H$5:$H$1000,"&gt;0")=0,1/COUNTIFS($S$5:$S$1000,$S285,$V$5:$V$1000,"Macro"),IF(AND(ISNUMBER($H285),N($H285)&gt;0),$H285,SUMIFS($H$5:$H$1000,$S$5:$S$1000,$S285,$V$5:$V$1000,"Macro")/COUNTIFS($S$5:$S$1000,$S285,$V$5:$V$1000,"Macro",$H$5:$H$1000,"&gt;0"))/(COUNTIFS($S$5:$S$1000,$S285,$V$5:$V$1000,"Macro")*SUMIFS($H$5:$H$1000,$S$5:$S$1000,$S285,$V$5:$V$1000,"Macro")/COUNTIFS($S$5:$S$1000,$S285,$V$5:$V$1000,"Macro",$H$5:$H$1000,"&gt;0"))))</f>
        <v/>
      </c>
      <c r="AH285" s="62">
        <f>IF(NOT(AND($D285&lt;&gt;"",$V285="Macro")),"",IFERROR(CHOOSE(MATCH($D285,ListaPuestos,0),MATCH("[Jefatura] "&amp;$C285,'Cronograma R. Operacional'!$C$5:$C$1000,0),MATCH("[Jefatura] "&amp;$C285,'Cronograma R. Normativo'!$C$5:$C$1000,0),MATCH("[Jefatura] "&amp;$C285,'Cronograma R. Financiero'!$C$5:$C$1000,0),MATCH("[Jefatura] "&amp;$C285,'Cronograma Asistente Técnico'!$C$5:$C$1000,0)),0))</f>
        <v/>
      </c>
      <c r="AI285" s="62">
        <f>IF(AND(AND($D285&lt;&gt;"",$V285="Macro"),$S285=MesCiclo),COUNTIFS($D$5:$D285,$D285,$S$5:$S285,MesCiclo,$V$5:$V285,"Macro"),"")</f>
        <v/>
      </c>
      <c r="AJ285" s="62">
        <f>IF($AI285="","",$D285&amp;"|"&amp;$AI285)</f>
        <v/>
      </c>
      <c r="AK285" s="62">
        <f>IF(AND($D285&lt;&gt;"",$V285="Macro"),$D285&amp;"|"&amp;$C285,"")</f>
        <v/>
      </c>
      <c r="AL285" s="62">
        <f>""</f>
        <v/>
      </c>
      <c r="AM285" s="62">
        <f>IF(N($AL285)&gt;0,INDEX(rIni_ADM,$AL285),IF(ISNUMBER($E285),$E285,""))</f>
        <v/>
      </c>
      <c r="AN285" s="62">
        <f>IF(N($AL285)&gt;0,INDEX(rLim_ADM,$AL285),IF(ISNUMBER($F285),$F285,""))</f>
        <v/>
      </c>
    </row>
    <row r="286">
      <c r="A286" s="56">
        <f>IF(NOT((COUNTA($B286:$D286)+COUNTA($G286:$L286)+COUNTA($Q286))&gt;0),"",IF($V286="Macro",COUNTIFS($V$5:$V286,"Macro",$S$5:$S286,$S286),IF(N($U286)=0,"?",COUNTIFS(INDEX($V$5:$V$1000,1):INDEX($V$5:$V$1000,$U286-4),"Macro",INDEX($S$5:$S$1000,1):INDEX($S$5:$S$1000,$U286-4),INDEX($S$5:$S$1000,$U286-4))&amp;"."&amp;COUNTIFS($U$5:$U286,$U286,$V$5:$V286,"Sub"))))</f>
        <v/>
      </c>
      <c r="B286" s="57" t="n"/>
      <c r="C286" s="58" t="n"/>
      <c r="D286" s="58" t="n"/>
      <c r="E286" s="59" t="n"/>
      <c r="F286" s="59" t="n"/>
      <c r="G286" s="59" t="n"/>
      <c r="H286" s="60" t="n"/>
      <c r="I286" s="60" t="n"/>
      <c r="J286" s="60" t="n"/>
      <c r="K286" s="60" t="n"/>
      <c r="L286" s="60" t="n"/>
      <c r="M286" s="61">
        <f>IF(NOT((COUNTA($B286:$D286)+COUNTA($G286:$L286)+COUNTA($Q286))&gt;0),"",IF(AND($D286&lt;&gt;"",$V286="Macro"),IF(N($AH286)&gt;0,N(CHOOSE(MATCH($D286,ListaPuestos,0),INDEX('Cronograma R. Operacional'!$M$5:$M$1000,$AH286),INDEX('Cronograma R. Normativo'!$M$5:$M$1000,$AH286),INDEX('Cronograma R. Financiero'!$M$5:$M$1000,$AH286),INDEX('Cronograma Asistente Técnico'!$M$5:$M$1000,$AH286))),0),IF(ISNUMBER($G286),1,IF(N($W286)&gt;0,AVERAGEIFS($X$5:$X$1000,$U$5:$U$1000,ROW(),$V$5:$V$1000,"Sub"),$X286))))</f>
        <v/>
      </c>
      <c r="N286" s="56">
        <f>IF(OR($M286="",$V286="Sub"),"",IF($M286&gt;=1,"Completado",IF($M286&gt;0,"En curso","Pendiente")))</f>
        <v/>
      </c>
      <c r="O286" s="56">
        <f>IF(NOT((COUNTA($B286:$D286)+COUNTA($G286:$L286)+COUNTA($Q286))&gt;0),"",IF(AND(AND($D286&lt;&gt;"",$V286="Macro"),N($AH286)&gt;0),CHOOSE(MATCH($D286,ListaPuestos,0),INDEX('Cronograma R. Operacional'!$O$5:$O$1000,$AH286),INDEX('Cronograma R. Normativo'!$O$5:$O$1000,$AH286),INDEX('Cronograma R. Financiero'!$O$5:$O$1000,$AH286),INDEX('Cronograma Asistente Técnico'!$O$5:$O$1000,$AH286))&amp;"",IF(ISNUMBER($G286),IF(AND(ISNUMBER($AN286),$G286&gt;$AN286),"Cumplida con "&amp;($G286-$AN286)&amp;IF($G286-$AN286=1," día"," días")&amp;" de retraso","Cumplida"),IF(N($M286)&gt;=1,"Cumplida",IF(NOT(ISNUMBER($AN286)),"Sin fecha límite",IF($AN286&lt;FechaRef,"Vencida hace "&amp;(FechaRef-$AN286)&amp;IF(FechaRef-$AN286=1," día"," días"),IF($AN286=FechaRef,"Vence hoy",IF($AN286-FechaRef&lt;=DiasAlerta,"Vence en "&amp;($AN286-FechaRef)&amp;IF($AN286-FechaRef=1," día"," días"),"En plazo"))))))))</f>
        <v/>
      </c>
      <c r="P286" s="62">
        <f>IF(NOT((COUNTA($B286:$D286)+COUNTA($G286:$L286)+COUNTA($Q286))&gt;0),"",IF($D286="","Propia",IF($V286&lt;&gt;"Macro","Solo se delegan macroactividades",IF(N($AH286)&gt;0,"✔ Recibida por "&amp;$D286,"⚠ "&amp;$D286&amp;" aún no la agrega"))))</f>
        <v/>
      </c>
      <c r="Q286" s="58" t="n"/>
      <c r="R286" s="63">
        <f>IF(NOT((COUNTA($B286:$D286)+COUNTA($G286:$L286)+COUNTA($Q286))&gt;0),"",IF((IF($C286="","Falta el nombre de la actividad"&amp;" · ","")&amp;IF(AND($V286="Sub",N($U286)=0),"Subactividad sin macroactividad arriba"&amp;" · ","")&amp;IF($AM286="","Sin fecha de inicio"&amp;" · ","")&amp;IF($AN286="","Sin fecha límite"&amp;" · ","")&amp;IF(AND(LEFT($C286,11)="[Jefatura] ",N($AL286)=0),"No se encuentra en la hoja de la jefatura (elíjala de nuevo en la lista)"&amp;" · ","")&amp;IF(OR(AND($E286&lt;&gt;"",NOT(ISNUMBER($E286))),AND($F286&lt;&gt;"",NOT(ISNUMBER($F286))),AND($G286&lt;&gt;"",NOT(ISNUMBER($G286)))),"Fecha no válida"&amp;" · ","")&amp;IF(AND(ISNUMBER($AM286),ISNUMBER($AN286),$AM286&gt;$AN286),"Inicio posterior a fecha límite"&amp;" · ","")&amp;IF(AND($V286="Macro",$H286&lt;&gt;"",OR(NOT(ISNUMBER($H286)),$H286&lt;0,$H286&gt;1)),"Peso fuera de rango"&amp;" · ","")&amp;IF(AND($V286="Sub",$H286&lt;&gt;""),"Las subactividades no llevan peso (valen igual dentro de su macroactividad)"&amp;" · ","")&amp;IF(AND(N($W286)&gt;0,COUNT($I286:$L286)&gt;0),"Con subactividades: deje vacías las semanas (se calculan solas)"&amp;" · ","")&amp;IF((COUNTIF($I286:$L286,"&gt;1")+COUNTIF($I286:$L286,"&lt;0")+COUNTA($I286:$L286)-COUNT($I286:$L286))&gt;0,"Avance fuera de rango 0-100%"&amp;" · ","")&amp;IF(OR(AND($J286&lt;&gt;"",$J286&lt;$I286),AND($K286&lt;&gt;"",$K286&lt;MAX($I286:$J286)),AND($L286&lt;&gt;"",$L286&lt;MAX($I286:$K286))),"Avance semanal decreciente"&amp;" · ","")&amp;IF(AND(ISNUMBER($AN286),$AN286&lt;FechaRef,IF($V286="Sub",N($X286),N($M286))&lt;1),"Vencida"&amp;" · ","")&amp;IF(AND(ObsObligatoria="Sí",ISNUMBER($AN286),$AN286&lt;FechaRef,IF($V286="Sub",N($X286),N($M286))&lt;1,$Q286=""),"Vencida sin observación"&amp;" · ",""))="","✔ OK","⚠ "&amp;LEFT(IF($C286="","Falta el nombre de la actividad"&amp;" · ","")&amp;IF(AND($V286="Sub",N($U286)=0),"Subactividad sin macroactividad arriba"&amp;" · ","")&amp;IF($AM286="","Sin fecha de inicio"&amp;" · ","")&amp;IF($AN286="","Sin fecha límite"&amp;" · ","")&amp;IF(AND(LEFT($C286,11)="[Jefatura] ",N($AL286)=0),"No se encuentra en la hoja de la jefatura (elíjala de nuevo en la lista)"&amp;" · ","")&amp;IF(OR(AND($E286&lt;&gt;"",NOT(ISNUMBER($E286))),AND($F286&lt;&gt;"",NOT(ISNUMBER($F286))),AND($G286&lt;&gt;"",NOT(ISNUMBER($G286)))),"Fecha no válida"&amp;" · ","")&amp;IF(AND(ISNUMBER($AM286),ISNUMBER($AN286),$AM286&gt;$AN286),"Inicio posterior a fecha límite"&amp;" · ","")&amp;IF(AND($V286="Macro",$H286&lt;&gt;"",OR(NOT(ISNUMBER($H286)),$H286&lt;0,$H286&gt;1)),"Peso fuera de rango"&amp;" · ","")&amp;IF(AND($V286="Sub",$H286&lt;&gt;""),"Las subactividades no llevan peso (valen igual dentro de su macroactividad)"&amp;" · ","")&amp;IF(AND(N($W286)&gt;0,COUNT($I286:$L286)&gt;0),"Con subactividades: deje vacías las semanas (se calculan solas)"&amp;" · ","")&amp;IF((COUNTIF($I286:$L286,"&gt;1")+COUNTIF($I286:$L286,"&lt;0")+COUNTA($I286:$L286)-COUNT($I286:$L286))&gt;0,"Avance fuera de rango 0-100%"&amp;" · ","")&amp;IF(OR(AND($J286&lt;&gt;"",$J286&lt;$I286),AND($K286&lt;&gt;"",$K286&lt;MAX($I286:$J286)),AND($L286&lt;&gt;"",$L286&lt;MAX($I286:$K286))),"Avance semanal decreciente"&amp;" · ","")&amp;IF(AND(ISNUMBER($AN286),$AN286&lt;FechaRef,IF($V286="Sub",N($X286),N($M286))&lt;1),"Vencida"&amp;" · ","")&amp;IF(AND(ObsObligatoria="Sí",ISNUMBER($AN286),$AN286&lt;FechaRef,IF($V286="Sub",N($X286),N($M286))&lt;1,$Q286=""),"Vencida sin observación"&amp;" · ",""),LEN(IF($C286="","Falta el nombre de la actividad"&amp;" · ","")&amp;IF(AND($V286="Sub",N($U286)=0),"Subactividad sin macroactividad arriba"&amp;" · ","")&amp;IF($AM286="","Sin fecha de inicio"&amp;" · ","")&amp;IF($AN286="","Sin fecha límite"&amp;" · ","")&amp;IF(AND(LEFT($C286,11)="[Jefatura] ",N($AL286)=0),"No se encuentra en la hoja de la jefatura (elíjala de nuevo en la lista)"&amp;" · ","")&amp;IF(OR(AND($E286&lt;&gt;"",NOT(ISNUMBER($E286))),AND($F286&lt;&gt;"",NOT(ISNUMBER($F286))),AND($G286&lt;&gt;"",NOT(ISNUMBER($G286)))),"Fecha no válida"&amp;" · ","")&amp;IF(AND(ISNUMBER($AM286),ISNUMBER($AN286),$AM286&gt;$AN286),"Inicio posterior a fecha límite"&amp;" · ","")&amp;IF(AND($V286="Macro",$H286&lt;&gt;"",OR(NOT(ISNUMBER($H286)),$H286&lt;0,$H286&gt;1)),"Peso fuera de rango"&amp;" · ","")&amp;IF(AND($V286="Sub",$H286&lt;&gt;""),"Las subactividades no llevan peso (valen igual dentro de su macroactividad)"&amp;" · ","")&amp;IF(AND(N($W286)&gt;0,COUNT($I286:$L286)&gt;0),"Con subactividades: deje vacías las semanas (se calculan solas)"&amp;" · ","")&amp;IF((COUNTIF($I286:$L286,"&gt;1")+COUNTIF($I286:$L286,"&lt;0")+COUNTA($I286:$L286)-COUNT($I286:$L286))&gt;0,"Avance fuera de rango 0-100%"&amp;" · ","")&amp;IF(OR(AND($J286&lt;&gt;"",$J286&lt;$I286),AND($K286&lt;&gt;"",$K286&lt;MAX($I286:$J286)),AND($L286&lt;&gt;"",$L286&lt;MAX($I286:$K286))),"Avance semanal decreciente"&amp;" · ","")&amp;IF(AND(ISNUMBER($AN286),$AN286&lt;FechaRef,IF($V286="Sub",N($X286),N($M286))&lt;1),"Vencida"&amp;" · ","")&amp;IF(AND(ObsObligatoria="Sí",ISNUMBER($AN286),$AN286&lt;FechaRef,IF($V286="Sub",N($X286),N($M286))&lt;1,$Q286=""),"Vencida sin observación"&amp;" · ",""))-3)))</f>
        <v/>
      </c>
      <c r="S286" s="64">
        <f>IF(NOT((COUNTA($B286:$D286)+COUNTA($G286:$L286)+COUNTA($Q286))&gt;0),"",IF(AND($V286="Sub",N($U286)&gt;0),IF(ISNUMBER(INDEX($AM$5:$AM$1000,$U286-4)),DATE(YEAR(INDEX($AM$5:$AM$1000,$U286-4)),MONTH(INDEX($AM$5:$AM$1000,$U286-4)),1),IF(ISNUMBER(INDEX($AN$5:$AN$1000,$U286-4)),DATE(YEAR(INDEX($AN$5:$AN$1000,$U286-4)),MONTH(INDEX($AN$5:$AN$1000,$U286-4)),1),MesCiclo)),IF(ISNUMBER($AM286),DATE(YEAR($AM286),MONTH($AM286),1),IF(ISNUMBER($AN286),DATE(YEAR($AN286),MONTH($AN286),1),MesCiclo))))</f>
        <v/>
      </c>
      <c r="T286" s="62">
        <f>IF(OR($S286="",$S286&lt;&gt;MesCiclo,$V286&lt;&gt;"Macro"),"",COUNTIFS($S$5:$S286,MesCiclo,$V$5:$V286,"Macro"))</f>
        <v/>
      </c>
      <c r="U286" s="62">
        <f>IF($V286="","",IF($V286="Macro",ROW(),IFERROR(LOOKUP(2,1/($V$5:$V286="Macro"),ROW($V$5:$V286)),0)))</f>
        <v/>
      </c>
      <c r="V286" s="62">
        <f>IF(NOT((COUNTA($B286:$D286)+COUNTA($G286:$L286)+COUNTA($Q286))&gt;0),"",IF($B286="Subactividad","Sub","Macro"))</f>
        <v/>
      </c>
      <c r="W286" s="62">
        <f>IF($V286="Macro",COUNTIFS($U$5:$U$1000,ROW(),$V$5:$V$1000,"Sub"),"")</f>
        <v/>
      </c>
      <c r="X286" s="62">
        <f>IF($V286="","",IF(ISNUMBER($G286),1,IFERROR(LOOKUP(2,1/($I286:$L286&lt;&gt;""),$I286:$L286),0)))</f>
        <v/>
      </c>
      <c r="Y286" s="62">
        <f>IF($V286="","",IF(AND(ISNUMBER($G286),$G286&lt;=IF($S286=MesCiclo,InicioCiclo,$S286+MOD(2-WEEKDAY($S286),7))+6),1,IF(ISNUMBER($I286),$I286,0)))</f>
        <v/>
      </c>
      <c r="Z286" s="62">
        <f>IF($V286="","",IF(AND(ISNUMBER($G286),$G286&lt;=IF($S286=MesCiclo,InicioCiclo,$S286+MOD(2-WEEKDAY($S286),7))+13),1,IF(ISNUMBER($J286),$J286,$Y286)))</f>
        <v/>
      </c>
      <c r="AA286" s="62">
        <f>IF($V286="","",IF(AND(ISNUMBER($G286),$G286&lt;=IF($S286=MesCiclo,InicioCiclo,$S286+MOD(2-WEEKDAY($S286),7))+20),1,IF(ISNUMBER($K286),$K286,$Z286)))</f>
        <v/>
      </c>
      <c r="AB286" s="62">
        <f>IF($V286="","",IF(AND(ISNUMBER($G286),$G286&lt;=IF($S286=MesCiclo,InicioCiclo,$S286+MOD(2-WEEKDAY($S286),7))+27),1,IF(ISNUMBER($L286),$L286,$AA286)))</f>
        <v/>
      </c>
      <c r="AC286" s="62">
        <f>IF($V286="","",IF(AND(ISNUMBER($G286),$G286&lt;=IF($S286=MesCiclo,InicioCiclo,$S286+MOD(2-WEEKDAY($S286),7))+6),1,IF(N($W286)&gt;0,AVERAGEIFS($Y$5:$Y$1000,$U$5:$U$1000,ROW(),$V$5:$V$1000,"Sub"),$Y286)))</f>
        <v/>
      </c>
      <c r="AD286" s="62">
        <f>IF($V286="","",IF(AND(ISNUMBER($G286),$G286&lt;=IF($S286=MesCiclo,InicioCiclo,$S286+MOD(2-WEEKDAY($S286),7))+13),1,IF(N($W286)&gt;0,AVERAGEIFS($Z$5:$Z$1000,$U$5:$U$1000,ROW(),$V$5:$V$1000,"Sub"),$Z286)))</f>
        <v/>
      </c>
      <c r="AE286" s="62">
        <f>IF($V286="","",IF(AND(ISNUMBER($G286),$G286&lt;=IF($S286=MesCiclo,InicioCiclo,$S286+MOD(2-WEEKDAY($S286),7))+20),1,IF(N($W286)&gt;0,AVERAGEIFS($AA$5:$AA$1000,$U$5:$U$1000,ROW(),$V$5:$V$1000,"Sub"),$AA286)))</f>
        <v/>
      </c>
      <c r="AF286" s="62">
        <f>IF($V286="","",IF(AND(ISNUMBER($G286),$G286&lt;=IF($S286=MesCiclo,InicioCiclo,$S286+MOD(2-WEEKDAY($S286),7))+27),1,IF(N($W286)&gt;0,AVERAGEIFS($AB$5:$AB$1000,$U$5:$U$1000,ROW(),$V$5:$V$1000,"Sub"),$AB286)))</f>
        <v/>
      </c>
      <c r="AG286" s="62">
        <f>IF($V286&lt;&gt;"Macro","",IF(COUNTIFS($S$5:$S$1000,$S286,$V$5:$V$1000,"Macro",$H$5:$H$1000,"&gt;0")=0,1/COUNTIFS($S$5:$S$1000,$S286,$V$5:$V$1000,"Macro"),IF(AND(ISNUMBER($H286),N($H286)&gt;0),$H286,SUMIFS($H$5:$H$1000,$S$5:$S$1000,$S286,$V$5:$V$1000,"Macro")/COUNTIFS($S$5:$S$1000,$S286,$V$5:$V$1000,"Macro",$H$5:$H$1000,"&gt;0"))/(COUNTIFS($S$5:$S$1000,$S286,$V$5:$V$1000,"Macro")*SUMIFS($H$5:$H$1000,$S$5:$S$1000,$S286,$V$5:$V$1000,"Macro")/COUNTIFS($S$5:$S$1000,$S286,$V$5:$V$1000,"Macro",$H$5:$H$1000,"&gt;0"))))</f>
        <v/>
      </c>
      <c r="AH286" s="62">
        <f>IF(NOT(AND($D286&lt;&gt;"",$V286="Macro")),"",IFERROR(CHOOSE(MATCH($D286,ListaPuestos,0),MATCH("[Jefatura] "&amp;$C286,'Cronograma R. Operacional'!$C$5:$C$1000,0),MATCH("[Jefatura] "&amp;$C286,'Cronograma R. Normativo'!$C$5:$C$1000,0),MATCH("[Jefatura] "&amp;$C286,'Cronograma R. Financiero'!$C$5:$C$1000,0),MATCH("[Jefatura] "&amp;$C286,'Cronograma Asistente Técnico'!$C$5:$C$1000,0)),0))</f>
        <v/>
      </c>
      <c r="AI286" s="62">
        <f>IF(AND(AND($D286&lt;&gt;"",$V286="Macro"),$S286=MesCiclo),COUNTIFS($D$5:$D286,$D286,$S$5:$S286,MesCiclo,$V$5:$V286,"Macro"),"")</f>
        <v/>
      </c>
      <c r="AJ286" s="62">
        <f>IF($AI286="","",$D286&amp;"|"&amp;$AI286)</f>
        <v/>
      </c>
      <c r="AK286" s="62">
        <f>IF(AND($D286&lt;&gt;"",$V286="Macro"),$D286&amp;"|"&amp;$C286,"")</f>
        <v/>
      </c>
      <c r="AL286" s="62">
        <f>""</f>
        <v/>
      </c>
      <c r="AM286" s="62">
        <f>IF(N($AL286)&gt;0,INDEX(rIni_ADM,$AL286),IF(ISNUMBER($E286),$E286,""))</f>
        <v/>
      </c>
      <c r="AN286" s="62">
        <f>IF(N($AL286)&gt;0,INDEX(rLim_ADM,$AL286),IF(ISNUMBER($F286),$F286,""))</f>
        <v/>
      </c>
    </row>
    <row r="287">
      <c r="A287" s="56">
        <f>IF(NOT((COUNTA($B287:$D287)+COUNTA($G287:$L287)+COUNTA($Q287))&gt;0),"",IF($V287="Macro",COUNTIFS($V$5:$V287,"Macro",$S$5:$S287,$S287),IF(N($U287)=0,"?",COUNTIFS(INDEX($V$5:$V$1000,1):INDEX($V$5:$V$1000,$U287-4),"Macro",INDEX($S$5:$S$1000,1):INDEX($S$5:$S$1000,$U287-4),INDEX($S$5:$S$1000,$U287-4))&amp;"."&amp;COUNTIFS($U$5:$U287,$U287,$V$5:$V287,"Sub"))))</f>
        <v/>
      </c>
      <c r="B287" s="57" t="n"/>
      <c r="C287" s="58" t="n"/>
      <c r="D287" s="58" t="n"/>
      <c r="E287" s="59" t="n"/>
      <c r="F287" s="59" t="n"/>
      <c r="G287" s="59" t="n"/>
      <c r="H287" s="60" t="n"/>
      <c r="I287" s="60" t="n"/>
      <c r="J287" s="60" t="n"/>
      <c r="K287" s="60" t="n"/>
      <c r="L287" s="60" t="n"/>
      <c r="M287" s="61">
        <f>IF(NOT((COUNTA($B287:$D287)+COUNTA($G287:$L287)+COUNTA($Q287))&gt;0),"",IF(AND($D287&lt;&gt;"",$V287="Macro"),IF(N($AH287)&gt;0,N(CHOOSE(MATCH($D287,ListaPuestos,0),INDEX('Cronograma R. Operacional'!$M$5:$M$1000,$AH287),INDEX('Cronograma R. Normativo'!$M$5:$M$1000,$AH287),INDEX('Cronograma R. Financiero'!$M$5:$M$1000,$AH287),INDEX('Cronograma Asistente Técnico'!$M$5:$M$1000,$AH287))),0),IF(ISNUMBER($G287),1,IF(N($W287)&gt;0,AVERAGEIFS($X$5:$X$1000,$U$5:$U$1000,ROW(),$V$5:$V$1000,"Sub"),$X287))))</f>
        <v/>
      </c>
      <c r="N287" s="56">
        <f>IF(OR($M287="",$V287="Sub"),"",IF($M287&gt;=1,"Completado",IF($M287&gt;0,"En curso","Pendiente")))</f>
        <v/>
      </c>
      <c r="O287" s="56">
        <f>IF(NOT((COUNTA($B287:$D287)+COUNTA($G287:$L287)+COUNTA($Q287))&gt;0),"",IF(AND(AND($D287&lt;&gt;"",$V287="Macro"),N($AH287)&gt;0),CHOOSE(MATCH($D287,ListaPuestos,0),INDEX('Cronograma R. Operacional'!$O$5:$O$1000,$AH287),INDEX('Cronograma R. Normativo'!$O$5:$O$1000,$AH287),INDEX('Cronograma R. Financiero'!$O$5:$O$1000,$AH287),INDEX('Cronograma Asistente Técnico'!$O$5:$O$1000,$AH287))&amp;"",IF(ISNUMBER($G287),IF(AND(ISNUMBER($AN287),$G287&gt;$AN287),"Cumplida con "&amp;($G287-$AN287)&amp;IF($G287-$AN287=1," día"," días")&amp;" de retraso","Cumplida"),IF(N($M287)&gt;=1,"Cumplida",IF(NOT(ISNUMBER($AN287)),"Sin fecha límite",IF($AN287&lt;FechaRef,"Vencida hace "&amp;(FechaRef-$AN287)&amp;IF(FechaRef-$AN287=1," día"," días"),IF($AN287=FechaRef,"Vence hoy",IF($AN287-FechaRef&lt;=DiasAlerta,"Vence en "&amp;($AN287-FechaRef)&amp;IF($AN287-FechaRef=1," día"," días"),"En plazo"))))))))</f>
        <v/>
      </c>
      <c r="P287" s="62">
        <f>IF(NOT((COUNTA($B287:$D287)+COUNTA($G287:$L287)+COUNTA($Q287))&gt;0),"",IF($D287="","Propia",IF($V287&lt;&gt;"Macro","Solo se delegan macroactividades",IF(N($AH287)&gt;0,"✔ Recibida por "&amp;$D287,"⚠ "&amp;$D287&amp;" aún no la agrega"))))</f>
        <v/>
      </c>
      <c r="Q287" s="58" t="n"/>
      <c r="R287" s="63">
        <f>IF(NOT((COUNTA($B287:$D287)+COUNTA($G287:$L287)+COUNTA($Q287))&gt;0),"",IF((IF($C287="","Falta el nombre de la actividad"&amp;" · ","")&amp;IF(AND($V287="Sub",N($U287)=0),"Subactividad sin macroactividad arriba"&amp;" · ","")&amp;IF($AM287="","Sin fecha de inicio"&amp;" · ","")&amp;IF($AN287="","Sin fecha límite"&amp;" · ","")&amp;IF(AND(LEFT($C287,11)="[Jefatura] ",N($AL287)=0),"No se encuentra en la hoja de la jefatura (elíjala de nuevo en la lista)"&amp;" · ","")&amp;IF(OR(AND($E287&lt;&gt;"",NOT(ISNUMBER($E287))),AND($F287&lt;&gt;"",NOT(ISNUMBER($F287))),AND($G287&lt;&gt;"",NOT(ISNUMBER($G287)))),"Fecha no válida"&amp;" · ","")&amp;IF(AND(ISNUMBER($AM287),ISNUMBER($AN287),$AM287&gt;$AN287),"Inicio posterior a fecha límite"&amp;" · ","")&amp;IF(AND($V287="Macro",$H287&lt;&gt;"",OR(NOT(ISNUMBER($H287)),$H287&lt;0,$H287&gt;1)),"Peso fuera de rango"&amp;" · ","")&amp;IF(AND($V287="Sub",$H287&lt;&gt;""),"Las subactividades no llevan peso (valen igual dentro de su macroactividad)"&amp;" · ","")&amp;IF(AND(N($W287)&gt;0,COUNT($I287:$L287)&gt;0),"Con subactividades: deje vacías las semanas (se calculan solas)"&amp;" · ","")&amp;IF((COUNTIF($I287:$L287,"&gt;1")+COUNTIF($I287:$L287,"&lt;0")+COUNTA($I287:$L287)-COUNT($I287:$L287))&gt;0,"Avance fuera de rango 0-100%"&amp;" · ","")&amp;IF(OR(AND($J287&lt;&gt;"",$J287&lt;$I287),AND($K287&lt;&gt;"",$K287&lt;MAX($I287:$J287)),AND($L287&lt;&gt;"",$L287&lt;MAX($I287:$K287))),"Avance semanal decreciente"&amp;" · ","")&amp;IF(AND(ISNUMBER($AN287),$AN287&lt;FechaRef,IF($V287="Sub",N($X287),N($M287))&lt;1),"Vencida"&amp;" · ","")&amp;IF(AND(ObsObligatoria="Sí",ISNUMBER($AN287),$AN287&lt;FechaRef,IF($V287="Sub",N($X287),N($M287))&lt;1,$Q287=""),"Vencida sin observación"&amp;" · ",""))="","✔ OK","⚠ "&amp;LEFT(IF($C287="","Falta el nombre de la actividad"&amp;" · ","")&amp;IF(AND($V287="Sub",N($U287)=0),"Subactividad sin macroactividad arriba"&amp;" · ","")&amp;IF($AM287="","Sin fecha de inicio"&amp;" · ","")&amp;IF($AN287="","Sin fecha límite"&amp;" · ","")&amp;IF(AND(LEFT($C287,11)="[Jefatura] ",N($AL287)=0),"No se encuentra en la hoja de la jefatura (elíjala de nuevo en la lista)"&amp;" · ","")&amp;IF(OR(AND($E287&lt;&gt;"",NOT(ISNUMBER($E287))),AND($F287&lt;&gt;"",NOT(ISNUMBER($F287))),AND($G287&lt;&gt;"",NOT(ISNUMBER($G287)))),"Fecha no válida"&amp;" · ","")&amp;IF(AND(ISNUMBER($AM287),ISNUMBER($AN287),$AM287&gt;$AN287),"Inicio posterior a fecha límite"&amp;" · ","")&amp;IF(AND($V287="Macro",$H287&lt;&gt;"",OR(NOT(ISNUMBER($H287)),$H287&lt;0,$H287&gt;1)),"Peso fuera de rango"&amp;" · ","")&amp;IF(AND($V287="Sub",$H287&lt;&gt;""),"Las subactividades no llevan peso (valen igual dentro de su macroactividad)"&amp;" · ","")&amp;IF(AND(N($W287)&gt;0,COUNT($I287:$L287)&gt;0),"Con subactividades: deje vacías las semanas (se calculan solas)"&amp;" · ","")&amp;IF((COUNTIF($I287:$L287,"&gt;1")+COUNTIF($I287:$L287,"&lt;0")+COUNTA($I287:$L287)-COUNT($I287:$L287))&gt;0,"Avance fuera de rango 0-100%"&amp;" · ","")&amp;IF(OR(AND($J287&lt;&gt;"",$J287&lt;$I287),AND($K287&lt;&gt;"",$K287&lt;MAX($I287:$J287)),AND($L287&lt;&gt;"",$L287&lt;MAX($I287:$K287))),"Avance semanal decreciente"&amp;" · ","")&amp;IF(AND(ISNUMBER($AN287),$AN287&lt;FechaRef,IF($V287="Sub",N($X287),N($M287))&lt;1),"Vencida"&amp;" · ","")&amp;IF(AND(ObsObligatoria="Sí",ISNUMBER($AN287),$AN287&lt;FechaRef,IF($V287="Sub",N($X287),N($M287))&lt;1,$Q287=""),"Vencida sin observación"&amp;" · ",""),LEN(IF($C287="","Falta el nombre de la actividad"&amp;" · ","")&amp;IF(AND($V287="Sub",N($U287)=0),"Subactividad sin macroactividad arriba"&amp;" · ","")&amp;IF($AM287="","Sin fecha de inicio"&amp;" · ","")&amp;IF($AN287="","Sin fecha límite"&amp;" · ","")&amp;IF(AND(LEFT($C287,11)="[Jefatura] ",N($AL287)=0),"No se encuentra en la hoja de la jefatura (elíjala de nuevo en la lista)"&amp;" · ","")&amp;IF(OR(AND($E287&lt;&gt;"",NOT(ISNUMBER($E287))),AND($F287&lt;&gt;"",NOT(ISNUMBER($F287))),AND($G287&lt;&gt;"",NOT(ISNUMBER($G287)))),"Fecha no válida"&amp;" · ","")&amp;IF(AND(ISNUMBER($AM287),ISNUMBER($AN287),$AM287&gt;$AN287),"Inicio posterior a fecha límite"&amp;" · ","")&amp;IF(AND($V287="Macro",$H287&lt;&gt;"",OR(NOT(ISNUMBER($H287)),$H287&lt;0,$H287&gt;1)),"Peso fuera de rango"&amp;" · ","")&amp;IF(AND($V287="Sub",$H287&lt;&gt;""),"Las subactividades no llevan peso (valen igual dentro de su macroactividad)"&amp;" · ","")&amp;IF(AND(N($W287)&gt;0,COUNT($I287:$L287)&gt;0),"Con subactividades: deje vacías las semanas (se calculan solas)"&amp;" · ","")&amp;IF((COUNTIF($I287:$L287,"&gt;1")+COUNTIF($I287:$L287,"&lt;0")+COUNTA($I287:$L287)-COUNT($I287:$L287))&gt;0,"Avance fuera de rango 0-100%"&amp;" · ","")&amp;IF(OR(AND($J287&lt;&gt;"",$J287&lt;$I287),AND($K287&lt;&gt;"",$K287&lt;MAX($I287:$J287)),AND($L287&lt;&gt;"",$L287&lt;MAX($I287:$K287))),"Avance semanal decreciente"&amp;" · ","")&amp;IF(AND(ISNUMBER($AN287),$AN287&lt;FechaRef,IF($V287="Sub",N($X287),N($M287))&lt;1),"Vencida"&amp;" · ","")&amp;IF(AND(ObsObligatoria="Sí",ISNUMBER($AN287),$AN287&lt;FechaRef,IF($V287="Sub",N($X287),N($M287))&lt;1,$Q287=""),"Vencida sin observación"&amp;" · ",""))-3)))</f>
        <v/>
      </c>
      <c r="S287" s="64">
        <f>IF(NOT((COUNTA($B287:$D287)+COUNTA($G287:$L287)+COUNTA($Q287))&gt;0),"",IF(AND($V287="Sub",N($U287)&gt;0),IF(ISNUMBER(INDEX($AM$5:$AM$1000,$U287-4)),DATE(YEAR(INDEX($AM$5:$AM$1000,$U287-4)),MONTH(INDEX($AM$5:$AM$1000,$U287-4)),1),IF(ISNUMBER(INDEX($AN$5:$AN$1000,$U287-4)),DATE(YEAR(INDEX($AN$5:$AN$1000,$U287-4)),MONTH(INDEX($AN$5:$AN$1000,$U287-4)),1),MesCiclo)),IF(ISNUMBER($AM287),DATE(YEAR($AM287),MONTH($AM287),1),IF(ISNUMBER($AN287),DATE(YEAR($AN287),MONTH($AN287),1),MesCiclo))))</f>
        <v/>
      </c>
      <c r="T287" s="62">
        <f>IF(OR($S287="",$S287&lt;&gt;MesCiclo,$V287&lt;&gt;"Macro"),"",COUNTIFS($S$5:$S287,MesCiclo,$V$5:$V287,"Macro"))</f>
        <v/>
      </c>
      <c r="U287" s="62">
        <f>IF($V287="","",IF($V287="Macro",ROW(),IFERROR(LOOKUP(2,1/($V$5:$V287="Macro"),ROW($V$5:$V287)),0)))</f>
        <v/>
      </c>
      <c r="V287" s="62">
        <f>IF(NOT((COUNTA($B287:$D287)+COUNTA($G287:$L287)+COUNTA($Q287))&gt;0),"",IF($B287="Subactividad","Sub","Macro"))</f>
        <v/>
      </c>
      <c r="W287" s="62">
        <f>IF($V287="Macro",COUNTIFS($U$5:$U$1000,ROW(),$V$5:$V$1000,"Sub"),"")</f>
        <v/>
      </c>
      <c r="X287" s="62">
        <f>IF($V287="","",IF(ISNUMBER($G287),1,IFERROR(LOOKUP(2,1/($I287:$L287&lt;&gt;""),$I287:$L287),0)))</f>
        <v/>
      </c>
      <c r="Y287" s="62">
        <f>IF($V287="","",IF(AND(ISNUMBER($G287),$G287&lt;=IF($S287=MesCiclo,InicioCiclo,$S287+MOD(2-WEEKDAY($S287),7))+6),1,IF(ISNUMBER($I287),$I287,0)))</f>
        <v/>
      </c>
      <c r="Z287" s="62">
        <f>IF($V287="","",IF(AND(ISNUMBER($G287),$G287&lt;=IF($S287=MesCiclo,InicioCiclo,$S287+MOD(2-WEEKDAY($S287),7))+13),1,IF(ISNUMBER($J287),$J287,$Y287)))</f>
        <v/>
      </c>
      <c r="AA287" s="62">
        <f>IF($V287="","",IF(AND(ISNUMBER($G287),$G287&lt;=IF($S287=MesCiclo,InicioCiclo,$S287+MOD(2-WEEKDAY($S287),7))+20),1,IF(ISNUMBER($K287),$K287,$Z287)))</f>
        <v/>
      </c>
      <c r="AB287" s="62">
        <f>IF($V287="","",IF(AND(ISNUMBER($G287),$G287&lt;=IF($S287=MesCiclo,InicioCiclo,$S287+MOD(2-WEEKDAY($S287),7))+27),1,IF(ISNUMBER($L287),$L287,$AA287)))</f>
        <v/>
      </c>
      <c r="AC287" s="62">
        <f>IF($V287="","",IF(AND(ISNUMBER($G287),$G287&lt;=IF($S287=MesCiclo,InicioCiclo,$S287+MOD(2-WEEKDAY($S287),7))+6),1,IF(N($W287)&gt;0,AVERAGEIFS($Y$5:$Y$1000,$U$5:$U$1000,ROW(),$V$5:$V$1000,"Sub"),$Y287)))</f>
        <v/>
      </c>
      <c r="AD287" s="62">
        <f>IF($V287="","",IF(AND(ISNUMBER($G287),$G287&lt;=IF($S287=MesCiclo,InicioCiclo,$S287+MOD(2-WEEKDAY($S287),7))+13),1,IF(N($W287)&gt;0,AVERAGEIFS($Z$5:$Z$1000,$U$5:$U$1000,ROW(),$V$5:$V$1000,"Sub"),$Z287)))</f>
        <v/>
      </c>
      <c r="AE287" s="62">
        <f>IF($V287="","",IF(AND(ISNUMBER($G287),$G287&lt;=IF($S287=MesCiclo,InicioCiclo,$S287+MOD(2-WEEKDAY($S287),7))+20),1,IF(N($W287)&gt;0,AVERAGEIFS($AA$5:$AA$1000,$U$5:$U$1000,ROW(),$V$5:$V$1000,"Sub"),$AA287)))</f>
        <v/>
      </c>
      <c r="AF287" s="62">
        <f>IF($V287="","",IF(AND(ISNUMBER($G287),$G287&lt;=IF($S287=MesCiclo,InicioCiclo,$S287+MOD(2-WEEKDAY($S287),7))+27),1,IF(N($W287)&gt;0,AVERAGEIFS($AB$5:$AB$1000,$U$5:$U$1000,ROW(),$V$5:$V$1000,"Sub"),$AB287)))</f>
        <v/>
      </c>
      <c r="AG287" s="62">
        <f>IF($V287&lt;&gt;"Macro","",IF(COUNTIFS($S$5:$S$1000,$S287,$V$5:$V$1000,"Macro",$H$5:$H$1000,"&gt;0")=0,1/COUNTIFS($S$5:$S$1000,$S287,$V$5:$V$1000,"Macro"),IF(AND(ISNUMBER($H287),N($H287)&gt;0),$H287,SUMIFS($H$5:$H$1000,$S$5:$S$1000,$S287,$V$5:$V$1000,"Macro")/COUNTIFS($S$5:$S$1000,$S287,$V$5:$V$1000,"Macro",$H$5:$H$1000,"&gt;0"))/(COUNTIFS($S$5:$S$1000,$S287,$V$5:$V$1000,"Macro")*SUMIFS($H$5:$H$1000,$S$5:$S$1000,$S287,$V$5:$V$1000,"Macro")/COUNTIFS($S$5:$S$1000,$S287,$V$5:$V$1000,"Macro",$H$5:$H$1000,"&gt;0"))))</f>
        <v/>
      </c>
      <c r="AH287" s="62">
        <f>IF(NOT(AND($D287&lt;&gt;"",$V287="Macro")),"",IFERROR(CHOOSE(MATCH($D287,ListaPuestos,0),MATCH("[Jefatura] "&amp;$C287,'Cronograma R. Operacional'!$C$5:$C$1000,0),MATCH("[Jefatura] "&amp;$C287,'Cronograma R. Normativo'!$C$5:$C$1000,0),MATCH("[Jefatura] "&amp;$C287,'Cronograma R. Financiero'!$C$5:$C$1000,0),MATCH("[Jefatura] "&amp;$C287,'Cronograma Asistente Técnico'!$C$5:$C$1000,0)),0))</f>
        <v/>
      </c>
      <c r="AI287" s="62">
        <f>IF(AND(AND($D287&lt;&gt;"",$V287="Macro"),$S287=MesCiclo),COUNTIFS($D$5:$D287,$D287,$S$5:$S287,MesCiclo,$V$5:$V287,"Macro"),"")</f>
        <v/>
      </c>
      <c r="AJ287" s="62">
        <f>IF($AI287="","",$D287&amp;"|"&amp;$AI287)</f>
        <v/>
      </c>
      <c r="AK287" s="62">
        <f>IF(AND($D287&lt;&gt;"",$V287="Macro"),$D287&amp;"|"&amp;$C287,"")</f>
        <v/>
      </c>
      <c r="AL287" s="62">
        <f>""</f>
        <v/>
      </c>
      <c r="AM287" s="62">
        <f>IF(N($AL287)&gt;0,INDEX(rIni_ADM,$AL287),IF(ISNUMBER($E287),$E287,""))</f>
        <v/>
      </c>
      <c r="AN287" s="62">
        <f>IF(N($AL287)&gt;0,INDEX(rLim_ADM,$AL287),IF(ISNUMBER($F287),$F287,""))</f>
        <v/>
      </c>
    </row>
    <row r="288">
      <c r="A288" s="56">
        <f>IF(NOT((COUNTA($B288:$D288)+COUNTA($G288:$L288)+COUNTA($Q288))&gt;0),"",IF($V288="Macro",COUNTIFS($V$5:$V288,"Macro",$S$5:$S288,$S288),IF(N($U288)=0,"?",COUNTIFS(INDEX($V$5:$V$1000,1):INDEX($V$5:$V$1000,$U288-4),"Macro",INDEX($S$5:$S$1000,1):INDEX($S$5:$S$1000,$U288-4),INDEX($S$5:$S$1000,$U288-4))&amp;"."&amp;COUNTIFS($U$5:$U288,$U288,$V$5:$V288,"Sub"))))</f>
        <v/>
      </c>
      <c r="B288" s="57" t="n"/>
      <c r="C288" s="58" t="n"/>
      <c r="D288" s="58" t="n"/>
      <c r="E288" s="59" t="n"/>
      <c r="F288" s="59" t="n"/>
      <c r="G288" s="59" t="n"/>
      <c r="H288" s="60" t="n"/>
      <c r="I288" s="60" t="n"/>
      <c r="J288" s="60" t="n"/>
      <c r="K288" s="60" t="n"/>
      <c r="L288" s="60" t="n"/>
      <c r="M288" s="61">
        <f>IF(NOT((COUNTA($B288:$D288)+COUNTA($G288:$L288)+COUNTA($Q288))&gt;0),"",IF(AND($D288&lt;&gt;"",$V288="Macro"),IF(N($AH288)&gt;0,N(CHOOSE(MATCH($D288,ListaPuestos,0),INDEX('Cronograma R. Operacional'!$M$5:$M$1000,$AH288),INDEX('Cronograma R. Normativo'!$M$5:$M$1000,$AH288),INDEX('Cronograma R. Financiero'!$M$5:$M$1000,$AH288),INDEX('Cronograma Asistente Técnico'!$M$5:$M$1000,$AH288))),0),IF(ISNUMBER($G288),1,IF(N($W288)&gt;0,AVERAGEIFS($X$5:$X$1000,$U$5:$U$1000,ROW(),$V$5:$V$1000,"Sub"),$X288))))</f>
        <v/>
      </c>
      <c r="N288" s="56">
        <f>IF(OR($M288="",$V288="Sub"),"",IF($M288&gt;=1,"Completado",IF($M288&gt;0,"En curso","Pendiente")))</f>
        <v/>
      </c>
      <c r="O288" s="56">
        <f>IF(NOT((COUNTA($B288:$D288)+COUNTA($G288:$L288)+COUNTA($Q288))&gt;0),"",IF(AND(AND($D288&lt;&gt;"",$V288="Macro"),N($AH288)&gt;0),CHOOSE(MATCH($D288,ListaPuestos,0),INDEX('Cronograma R. Operacional'!$O$5:$O$1000,$AH288),INDEX('Cronograma R. Normativo'!$O$5:$O$1000,$AH288),INDEX('Cronograma R. Financiero'!$O$5:$O$1000,$AH288),INDEX('Cronograma Asistente Técnico'!$O$5:$O$1000,$AH288))&amp;"",IF(ISNUMBER($G288),IF(AND(ISNUMBER($AN288),$G288&gt;$AN288),"Cumplida con "&amp;($G288-$AN288)&amp;IF($G288-$AN288=1," día"," días")&amp;" de retraso","Cumplida"),IF(N($M288)&gt;=1,"Cumplida",IF(NOT(ISNUMBER($AN288)),"Sin fecha límite",IF($AN288&lt;FechaRef,"Vencida hace "&amp;(FechaRef-$AN288)&amp;IF(FechaRef-$AN288=1," día"," días"),IF($AN288=FechaRef,"Vence hoy",IF($AN288-FechaRef&lt;=DiasAlerta,"Vence en "&amp;($AN288-FechaRef)&amp;IF($AN288-FechaRef=1," día"," días"),"En plazo"))))))))</f>
        <v/>
      </c>
      <c r="P288" s="62">
        <f>IF(NOT((COUNTA($B288:$D288)+COUNTA($G288:$L288)+COUNTA($Q288))&gt;0),"",IF($D288="","Propia",IF($V288&lt;&gt;"Macro","Solo se delegan macroactividades",IF(N($AH288)&gt;0,"✔ Recibida por "&amp;$D288,"⚠ "&amp;$D288&amp;" aún no la agrega"))))</f>
        <v/>
      </c>
      <c r="Q288" s="58" t="n"/>
      <c r="R288" s="63">
        <f>IF(NOT((COUNTA($B288:$D288)+COUNTA($G288:$L288)+COUNTA($Q288))&gt;0),"",IF((IF($C288="","Falta el nombre de la actividad"&amp;" · ","")&amp;IF(AND($V288="Sub",N($U288)=0),"Subactividad sin macroactividad arriba"&amp;" · ","")&amp;IF($AM288="","Sin fecha de inicio"&amp;" · ","")&amp;IF($AN288="","Sin fecha límite"&amp;" · ","")&amp;IF(AND(LEFT($C288,11)="[Jefatura] ",N($AL288)=0),"No se encuentra en la hoja de la jefatura (elíjala de nuevo en la lista)"&amp;" · ","")&amp;IF(OR(AND($E288&lt;&gt;"",NOT(ISNUMBER($E288))),AND($F288&lt;&gt;"",NOT(ISNUMBER($F288))),AND($G288&lt;&gt;"",NOT(ISNUMBER($G288)))),"Fecha no válida"&amp;" · ","")&amp;IF(AND(ISNUMBER($AM288),ISNUMBER($AN288),$AM288&gt;$AN288),"Inicio posterior a fecha límite"&amp;" · ","")&amp;IF(AND($V288="Macro",$H288&lt;&gt;"",OR(NOT(ISNUMBER($H288)),$H288&lt;0,$H288&gt;1)),"Peso fuera de rango"&amp;" · ","")&amp;IF(AND($V288="Sub",$H288&lt;&gt;""),"Las subactividades no llevan peso (valen igual dentro de su macroactividad)"&amp;" · ","")&amp;IF(AND(N($W288)&gt;0,COUNT($I288:$L288)&gt;0),"Con subactividades: deje vacías las semanas (se calculan solas)"&amp;" · ","")&amp;IF((COUNTIF($I288:$L288,"&gt;1")+COUNTIF($I288:$L288,"&lt;0")+COUNTA($I288:$L288)-COUNT($I288:$L288))&gt;0,"Avance fuera de rango 0-100%"&amp;" · ","")&amp;IF(OR(AND($J288&lt;&gt;"",$J288&lt;$I288),AND($K288&lt;&gt;"",$K288&lt;MAX($I288:$J288)),AND($L288&lt;&gt;"",$L288&lt;MAX($I288:$K288))),"Avance semanal decreciente"&amp;" · ","")&amp;IF(AND(ISNUMBER($AN288),$AN288&lt;FechaRef,IF($V288="Sub",N($X288),N($M288))&lt;1),"Vencida"&amp;" · ","")&amp;IF(AND(ObsObligatoria="Sí",ISNUMBER($AN288),$AN288&lt;FechaRef,IF($V288="Sub",N($X288),N($M288))&lt;1,$Q288=""),"Vencida sin observación"&amp;" · ",""))="","✔ OK","⚠ "&amp;LEFT(IF($C288="","Falta el nombre de la actividad"&amp;" · ","")&amp;IF(AND($V288="Sub",N($U288)=0),"Subactividad sin macroactividad arriba"&amp;" · ","")&amp;IF($AM288="","Sin fecha de inicio"&amp;" · ","")&amp;IF($AN288="","Sin fecha límite"&amp;" · ","")&amp;IF(AND(LEFT($C288,11)="[Jefatura] ",N($AL288)=0),"No se encuentra en la hoja de la jefatura (elíjala de nuevo en la lista)"&amp;" · ","")&amp;IF(OR(AND($E288&lt;&gt;"",NOT(ISNUMBER($E288))),AND($F288&lt;&gt;"",NOT(ISNUMBER($F288))),AND($G288&lt;&gt;"",NOT(ISNUMBER($G288)))),"Fecha no válida"&amp;" · ","")&amp;IF(AND(ISNUMBER($AM288),ISNUMBER($AN288),$AM288&gt;$AN288),"Inicio posterior a fecha límite"&amp;" · ","")&amp;IF(AND($V288="Macro",$H288&lt;&gt;"",OR(NOT(ISNUMBER($H288)),$H288&lt;0,$H288&gt;1)),"Peso fuera de rango"&amp;" · ","")&amp;IF(AND($V288="Sub",$H288&lt;&gt;""),"Las subactividades no llevan peso (valen igual dentro de su macroactividad)"&amp;" · ","")&amp;IF(AND(N($W288)&gt;0,COUNT($I288:$L288)&gt;0),"Con subactividades: deje vacías las semanas (se calculan solas)"&amp;" · ","")&amp;IF((COUNTIF($I288:$L288,"&gt;1")+COUNTIF($I288:$L288,"&lt;0")+COUNTA($I288:$L288)-COUNT($I288:$L288))&gt;0,"Avance fuera de rango 0-100%"&amp;" · ","")&amp;IF(OR(AND($J288&lt;&gt;"",$J288&lt;$I288),AND($K288&lt;&gt;"",$K288&lt;MAX($I288:$J288)),AND($L288&lt;&gt;"",$L288&lt;MAX($I288:$K288))),"Avance semanal decreciente"&amp;" · ","")&amp;IF(AND(ISNUMBER($AN288),$AN288&lt;FechaRef,IF($V288="Sub",N($X288),N($M288))&lt;1),"Vencida"&amp;" · ","")&amp;IF(AND(ObsObligatoria="Sí",ISNUMBER($AN288),$AN288&lt;FechaRef,IF($V288="Sub",N($X288),N($M288))&lt;1,$Q288=""),"Vencida sin observación"&amp;" · ",""),LEN(IF($C288="","Falta el nombre de la actividad"&amp;" · ","")&amp;IF(AND($V288="Sub",N($U288)=0),"Subactividad sin macroactividad arriba"&amp;" · ","")&amp;IF($AM288="","Sin fecha de inicio"&amp;" · ","")&amp;IF($AN288="","Sin fecha límite"&amp;" · ","")&amp;IF(AND(LEFT($C288,11)="[Jefatura] ",N($AL288)=0),"No se encuentra en la hoja de la jefatura (elíjala de nuevo en la lista)"&amp;" · ","")&amp;IF(OR(AND($E288&lt;&gt;"",NOT(ISNUMBER($E288))),AND($F288&lt;&gt;"",NOT(ISNUMBER($F288))),AND($G288&lt;&gt;"",NOT(ISNUMBER($G288)))),"Fecha no válida"&amp;" · ","")&amp;IF(AND(ISNUMBER($AM288),ISNUMBER($AN288),$AM288&gt;$AN288),"Inicio posterior a fecha límite"&amp;" · ","")&amp;IF(AND($V288="Macro",$H288&lt;&gt;"",OR(NOT(ISNUMBER($H288)),$H288&lt;0,$H288&gt;1)),"Peso fuera de rango"&amp;" · ","")&amp;IF(AND($V288="Sub",$H288&lt;&gt;""),"Las subactividades no llevan peso (valen igual dentro de su macroactividad)"&amp;" · ","")&amp;IF(AND(N($W288)&gt;0,COUNT($I288:$L288)&gt;0),"Con subactividades: deje vacías las semanas (se calculan solas)"&amp;" · ","")&amp;IF((COUNTIF($I288:$L288,"&gt;1")+COUNTIF($I288:$L288,"&lt;0")+COUNTA($I288:$L288)-COUNT($I288:$L288))&gt;0,"Avance fuera de rango 0-100%"&amp;" · ","")&amp;IF(OR(AND($J288&lt;&gt;"",$J288&lt;$I288),AND($K288&lt;&gt;"",$K288&lt;MAX($I288:$J288)),AND($L288&lt;&gt;"",$L288&lt;MAX($I288:$K288))),"Avance semanal decreciente"&amp;" · ","")&amp;IF(AND(ISNUMBER($AN288),$AN288&lt;FechaRef,IF($V288="Sub",N($X288),N($M288))&lt;1),"Vencida"&amp;" · ","")&amp;IF(AND(ObsObligatoria="Sí",ISNUMBER($AN288),$AN288&lt;FechaRef,IF($V288="Sub",N($X288),N($M288))&lt;1,$Q288=""),"Vencida sin observación"&amp;" · ",""))-3)))</f>
        <v/>
      </c>
      <c r="S288" s="64">
        <f>IF(NOT((COUNTA($B288:$D288)+COUNTA($G288:$L288)+COUNTA($Q288))&gt;0),"",IF(AND($V288="Sub",N($U288)&gt;0),IF(ISNUMBER(INDEX($AM$5:$AM$1000,$U288-4)),DATE(YEAR(INDEX($AM$5:$AM$1000,$U288-4)),MONTH(INDEX($AM$5:$AM$1000,$U288-4)),1),IF(ISNUMBER(INDEX($AN$5:$AN$1000,$U288-4)),DATE(YEAR(INDEX($AN$5:$AN$1000,$U288-4)),MONTH(INDEX($AN$5:$AN$1000,$U288-4)),1),MesCiclo)),IF(ISNUMBER($AM288),DATE(YEAR($AM288),MONTH($AM288),1),IF(ISNUMBER($AN288),DATE(YEAR($AN288),MONTH($AN288),1),MesCiclo))))</f>
        <v/>
      </c>
      <c r="T288" s="62">
        <f>IF(OR($S288="",$S288&lt;&gt;MesCiclo,$V288&lt;&gt;"Macro"),"",COUNTIFS($S$5:$S288,MesCiclo,$V$5:$V288,"Macro"))</f>
        <v/>
      </c>
      <c r="U288" s="62">
        <f>IF($V288="","",IF($V288="Macro",ROW(),IFERROR(LOOKUP(2,1/($V$5:$V288="Macro"),ROW($V$5:$V288)),0)))</f>
        <v/>
      </c>
      <c r="V288" s="62">
        <f>IF(NOT((COUNTA($B288:$D288)+COUNTA($G288:$L288)+COUNTA($Q288))&gt;0),"",IF($B288="Subactividad","Sub","Macro"))</f>
        <v/>
      </c>
      <c r="W288" s="62">
        <f>IF($V288="Macro",COUNTIFS($U$5:$U$1000,ROW(),$V$5:$V$1000,"Sub"),"")</f>
        <v/>
      </c>
      <c r="X288" s="62">
        <f>IF($V288="","",IF(ISNUMBER($G288),1,IFERROR(LOOKUP(2,1/($I288:$L288&lt;&gt;""),$I288:$L288),0)))</f>
        <v/>
      </c>
      <c r="Y288" s="62">
        <f>IF($V288="","",IF(AND(ISNUMBER($G288),$G288&lt;=IF($S288=MesCiclo,InicioCiclo,$S288+MOD(2-WEEKDAY($S288),7))+6),1,IF(ISNUMBER($I288),$I288,0)))</f>
        <v/>
      </c>
      <c r="Z288" s="62">
        <f>IF($V288="","",IF(AND(ISNUMBER($G288),$G288&lt;=IF($S288=MesCiclo,InicioCiclo,$S288+MOD(2-WEEKDAY($S288),7))+13),1,IF(ISNUMBER($J288),$J288,$Y288)))</f>
        <v/>
      </c>
      <c r="AA288" s="62">
        <f>IF($V288="","",IF(AND(ISNUMBER($G288),$G288&lt;=IF($S288=MesCiclo,InicioCiclo,$S288+MOD(2-WEEKDAY($S288),7))+20),1,IF(ISNUMBER($K288),$K288,$Z288)))</f>
        <v/>
      </c>
      <c r="AB288" s="62">
        <f>IF($V288="","",IF(AND(ISNUMBER($G288),$G288&lt;=IF($S288=MesCiclo,InicioCiclo,$S288+MOD(2-WEEKDAY($S288),7))+27),1,IF(ISNUMBER($L288),$L288,$AA288)))</f>
        <v/>
      </c>
      <c r="AC288" s="62">
        <f>IF($V288="","",IF(AND(ISNUMBER($G288),$G288&lt;=IF($S288=MesCiclo,InicioCiclo,$S288+MOD(2-WEEKDAY($S288),7))+6),1,IF(N($W288)&gt;0,AVERAGEIFS($Y$5:$Y$1000,$U$5:$U$1000,ROW(),$V$5:$V$1000,"Sub"),$Y288)))</f>
        <v/>
      </c>
      <c r="AD288" s="62">
        <f>IF($V288="","",IF(AND(ISNUMBER($G288),$G288&lt;=IF($S288=MesCiclo,InicioCiclo,$S288+MOD(2-WEEKDAY($S288),7))+13),1,IF(N($W288)&gt;0,AVERAGEIFS($Z$5:$Z$1000,$U$5:$U$1000,ROW(),$V$5:$V$1000,"Sub"),$Z288)))</f>
        <v/>
      </c>
      <c r="AE288" s="62">
        <f>IF($V288="","",IF(AND(ISNUMBER($G288),$G288&lt;=IF($S288=MesCiclo,InicioCiclo,$S288+MOD(2-WEEKDAY($S288),7))+20),1,IF(N($W288)&gt;0,AVERAGEIFS($AA$5:$AA$1000,$U$5:$U$1000,ROW(),$V$5:$V$1000,"Sub"),$AA288)))</f>
        <v/>
      </c>
      <c r="AF288" s="62">
        <f>IF($V288="","",IF(AND(ISNUMBER($G288),$G288&lt;=IF($S288=MesCiclo,InicioCiclo,$S288+MOD(2-WEEKDAY($S288),7))+27),1,IF(N($W288)&gt;0,AVERAGEIFS($AB$5:$AB$1000,$U$5:$U$1000,ROW(),$V$5:$V$1000,"Sub"),$AB288)))</f>
        <v/>
      </c>
      <c r="AG288" s="62">
        <f>IF($V288&lt;&gt;"Macro","",IF(COUNTIFS($S$5:$S$1000,$S288,$V$5:$V$1000,"Macro",$H$5:$H$1000,"&gt;0")=0,1/COUNTIFS($S$5:$S$1000,$S288,$V$5:$V$1000,"Macro"),IF(AND(ISNUMBER($H288),N($H288)&gt;0),$H288,SUMIFS($H$5:$H$1000,$S$5:$S$1000,$S288,$V$5:$V$1000,"Macro")/COUNTIFS($S$5:$S$1000,$S288,$V$5:$V$1000,"Macro",$H$5:$H$1000,"&gt;0"))/(COUNTIFS($S$5:$S$1000,$S288,$V$5:$V$1000,"Macro")*SUMIFS($H$5:$H$1000,$S$5:$S$1000,$S288,$V$5:$V$1000,"Macro")/COUNTIFS($S$5:$S$1000,$S288,$V$5:$V$1000,"Macro",$H$5:$H$1000,"&gt;0"))))</f>
        <v/>
      </c>
      <c r="AH288" s="62">
        <f>IF(NOT(AND($D288&lt;&gt;"",$V288="Macro")),"",IFERROR(CHOOSE(MATCH($D288,ListaPuestos,0),MATCH("[Jefatura] "&amp;$C288,'Cronograma R. Operacional'!$C$5:$C$1000,0),MATCH("[Jefatura] "&amp;$C288,'Cronograma R. Normativo'!$C$5:$C$1000,0),MATCH("[Jefatura] "&amp;$C288,'Cronograma R. Financiero'!$C$5:$C$1000,0),MATCH("[Jefatura] "&amp;$C288,'Cronograma Asistente Técnico'!$C$5:$C$1000,0)),0))</f>
        <v/>
      </c>
      <c r="AI288" s="62">
        <f>IF(AND(AND($D288&lt;&gt;"",$V288="Macro"),$S288=MesCiclo),COUNTIFS($D$5:$D288,$D288,$S$5:$S288,MesCiclo,$V$5:$V288,"Macro"),"")</f>
        <v/>
      </c>
      <c r="AJ288" s="62">
        <f>IF($AI288="","",$D288&amp;"|"&amp;$AI288)</f>
        <v/>
      </c>
      <c r="AK288" s="62">
        <f>IF(AND($D288&lt;&gt;"",$V288="Macro"),$D288&amp;"|"&amp;$C288,"")</f>
        <v/>
      </c>
      <c r="AL288" s="62">
        <f>""</f>
        <v/>
      </c>
      <c r="AM288" s="62">
        <f>IF(N($AL288)&gt;0,INDEX(rIni_ADM,$AL288),IF(ISNUMBER($E288),$E288,""))</f>
        <v/>
      </c>
      <c r="AN288" s="62">
        <f>IF(N($AL288)&gt;0,INDEX(rLim_ADM,$AL288),IF(ISNUMBER($F288),$F288,""))</f>
        <v/>
      </c>
    </row>
    <row r="289">
      <c r="A289" s="56">
        <f>IF(NOT((COUNTA($B289:$D289)+COUNTA($G289:$L289)+COUNTA($Q289))&gt;0),"",IF($V289="Macro",COUNTIFS($V$5:$V289,"Macro",$S$5:$S289,$S289),IF(N($U289)=0,"?",COUNTIFS(INDEX($V$5:$V$1000,1):INDEX($V$5:$V$1000,$U289-4),"Macro",INDEX($S$5:$S$1000,1):INDEX($S$5:$S$1000,$U289-4),INDEX($S$5:$S$1000,$U289-4))&amp;"."&amp;COUNTIFS($U$5:$U289,$U289,$V$5:$V289,"Sub"))))</f>
        <v/>
      </c>
      <c r="B289" s="57" t="n"/>
      <c r="C289" s="58" t="n"/>
      <c r="D289" s="58" t="n"/>
      <c r="E289" s="59" t="n"/>
      <c r="F289" s="59" t="n"/>
      <c r="G289" s="59" t="n"/>
      <c r="H289" s="60" t="n"/>
      <c r="I289" s="60" t="n"/>
      <c r="J289" s="60" t="n"/>
      <c r="K289" s="60" t="n"/>
      <c r="L289" s="60" t="n"/>
      <c r="M289" s="61">
        <f>IF(NOT((COUNTA($B289:$D289)+COUNTA($G289:$L289)+COUNTA($Q289))&gt;0),"",IF(AND($D289&lt;&gt;"",$V289="Macro"),IF(N($AH289)&gt;0,N(CHOOSE(MATCH($D289,ListaPuestos,0),INDEX('Cronograma R. Operacional'!$M$5:$M$1000,$AH289),INDEX('Cronograma R. Normativo'!$M$5:$M$1000,$AH289),INDEX('Cronograma R. Financiero'!$M$5:$M$1000,$AH289),INDEX('Cronograma Asistente Técnico'!$M$5:$M$1000,$AH289))),0),IF(ISNUMBER($G289),1,IF(N($W289)&gt;0,AVERAGEIFS($X$5:$X$1000,$U$5:$U$1000,ROW(),$V$5:$V$1000,"Sub"),$X289))))</f>
        <v/>
      </c>
      <c r="N289" s="56">
        <f>IF(OR($M289="",$V289="Sub"),"",IF($M289&gt;=1,"Completado",IF($M289&gt;0,"En curso","Pendiente")))</f>
        <v/>
      </c>
      <c r="O289" s="56">
        <f>IF(NOT((COUNTA($B289:$D289)+COUNTA($G289:$L289)+COUNTA($Q289))&gt;0),"",IF(AND(AND($D289&lt;&gt;"",$V289="Macro"),N($AH289)&gt;0),CHOOSE(MATCH($D289,ListaPuestos,0),INDEX('Cronograma R. Operacional'!$O$5:$O$1000,$AH289),INDEX('Cronograma R. Normativo'!$O$5:$O$1000,$AH289),INDEX('Cronograma R. Financiero'!$O$5:$O$1000,$AH289),INDEX('Cronograma Asistente Técnico'!$O$5:$O$1000,$AH289))&amp;"",IF(ISNUMBER($G289),IF(AND(ISNUMBER($AN289),$G289&gt;$AN289),"Cumplida con "&amp;($G289-$AN289)&amp;IF($G289-$AN289=1," día"," días")&amp;" de retraso","Cumplida"),IF(N($M289)&gt;=1,"Cumplida",IF(NOT(ISNUMBER($AN289)),"Sin fecha límite",IF($AN289&lt;FechaRef,"Vencida hace "&amp;(FechaRef-$AN289)&amp;IF(FechaRef-$AN289=1," día"," días"),IF($AN289=FechaRef,"Vence hoy",IF($AN289-FechaRef&lt;=DiasAlerta,"Vence en "&amp;($AN289-FechaRef)&amp;IF($AN289-FechaRef=1," día"," días"),"En plazo"))))))))</f>
        <v/>
      </c>
      <c r="P289" s="62">
        <f>IF(NOT((COUNTA($B289:$D289)+COUNTA($G289:$L289)+COUNTA($Q289))&gt;0),"",IF($D289="","Propia",IF($V289&lt;&gt;"Macro","Solo se delegan macroactividades",IF(N($AH289)&gt;0,"✔ Recibida por "&amp;$D289,"⚠ "&amp;$D289&amp;" aún no la agrega"))))</f>
        <v/>
      </c>
      <c r="Q289" s="58" t="n"/>
      <c r="R289" s="63">
        <f>IF(NOT((COUNTA($B289:$D289)+COUNTA($G289:$L289)+COUNTA($Q289))&gt;0),"",IF((IF($C289="","Falta el nombre de la actividad"&amp;" · ","")&amp;IF(AND($V289="Sub",N($U289)=0),"Subactividad sin macroactividad arriba"&amp;" · ","")&amp;IF($AM289="","Sin fecha de inicio"&amp;" · ","")&amp;IF($AN289="","Sin fecha límite"&amp;" · ","")&amp;IF(AND(LEFT($C289,11)="[Jefatura] ",N($AL289)=0),"No se encuentra en la hoja de la jefatura (elíjala de nuevo en la lista)"&amp;" · ","")&amp;IF(OR(AND($E289&lt;&gt;"",NOT(ISNUMBER($E289))),AND($F289&lt;&gt;"",NOT(ISNUMBER($F289))),AND($G289&lt;&gt;"",NOT(ISNUMBER($G289)))),"Fecha no válida"&amp;" · ","")&amp;IF(AND(ISNUMBER($AM289),ISNUMBER($AN289),$AM289&gt;$AN289),"Inicio posterior a fecha límite"&amp;" · ","")&amp;IF(AND($V289="Macro",$H289&lt;&gt;"",OR(NOT(ISNUMBER($H289)),$H289&lt;0,$H289&gt;1)),"Peso fuera de rango"&amp;" · ","")&amp;IF(AND($V289="Sub",$H289&lt;&gt;""),"Las subactividades no llevan peso (valen igual dentro de su macroactividad)"&amp;" · ","")&amp;IF(AND(N($W289)&gt;0,COUNT($I289:$L289)&gt;0),"Con subactividades: deje vacías las semanas (se calculan solas)"&amp;" · ","")&amp;IF((COUNTIF($I289:$L289,"&gt;1")+COUNTIF($I289:$L289,"&lt;0")+COUNTA($I289:$L289)-COUNT($I289:$L289))&gt;0,"Avance fuera de rango 0-100%"&amp;" · ","")&amp;IF(OR(AND($J289&lt;&gt;"",$J289&lt;$I289),AND($K289&lt;&gt;"",$K289&lt;MAX($I289:$J289)),AND($L289&lt;&gt;"",$L289&lt;MAX($I289:$K289))),"Avance semanal decreciente"&amp;" · ","")&amp;IF(AND(ISNUMBER($AN289),$AN289&lt;FechaRef,IF($V289="Sub",N($X289),N($M289))&lt;1),"Vencida"&amp;" · ","")&amp;IF(AND(ObsObligatoria="Sí",ISNUMBER($AN289),$AN289&lt;FechaRef,IF($V289="Sub",N($X289),N($M289))&lt;1,$Q289=""),"Vencida sin observación"&amp;" · ",""))="","✔ OK","⚠ "&amp;LEFT(IF($C289="","Falta el nombre de la actividad"&amp;" · ","")&amp;IF(AND($V289="Sub",N($U289)=0),"Subactividad sin macroactividad arriba"&amp;" · ","")&amp;IF($AM289="","Sin fecha de inicio"&amp;" · ","")&amp;IF($AN289="","Sin fecha límite"&amp;" · ","")&amp;IF(AND(LEFT($C289,11)="[Jefatura] ",N($AL289)=0),"No se encuentra en la hoja de la jefatura (elíjala de nuevo en la lista)"&amp;" · ","")&amp;IF(OR(AND($E289&lt;&gt;"",NOT(ISNUMBER($E289))),AND($F289&lt;&gt;"",NOT(ISNUMBER($F289))),AND($G289&lt;&gt;"",NOT(ISNUMBER($G289)))),"Fecha no válida"&amp;" · ","")&amp;IF(AND(ISNUMBER($AM289),ISNUMBER($AN289),$AM289&gt;$AN289),"Inicio posterior a fecha límite"&amp;" · ","")&amp;IF(AND($V289="Macro",$H289&lt;&gt;"",OR(NOT(ISNUMBER($H289)),$H289&lt;0,$H289&gt;1)),"Peso fuera de rango"&amp;" · ","")&amp;IF(AND($V289="Sub",$H289&lt;&gt;""),"Las subactividades no llevan peso (valen igual dentro de su macroactividad)"&amp;" · ","")&amp;IF(AND(N($W289)&gt;0,COUNT($I289:$L289)&gt;0),"Con subactividades: deje vacías las semanas (se calculan solas)"&amp;" · ","")&amp;IF((COUNTIF($I289:$L289,"&gt;1")+COUNTIF($I289:$L289,"&lt;0")+COUNTA($I289:$L289)-COUNT($I289:$L289))&gt;0,"Avance fuera de rango 0-100%"&amp;" · ","")&amp;IF(OR(AND($J289&lt;&gt;"",$J289&lt;$I289),AND($K289&lt;&gt;"",$K289&lt;MAX($I289:$J289)),AND($L289&lt;&gt;"",$L289&lt;MAX($I289:$K289))),"Avance semanal decreciente"&amp;" · ","")&amp;IF(AND(ISNUMBER($AN289),$AN289&lt;FechaRef,IF($V289="Sub",N($X289),N($M289))&lt;1),"Vencida"&amp;" · ","")&amp;IF(AND(ObsObligatoria="Sí",ISNUMBER($AN289),$AN289&lt;FechaRef,IF($V289="Sub",N($X289),N($M289))&lt;1,$Q289=""),"Vencida sin observación"&amp;" · ",""),LEN(IF($C289="","Falta el nombre de la actividad"&amp;" · ","")&amp;IF(AND($V289="Sub",N($U289)=0),"Subactividad sin macroactividad arriba"&amp;" · ","")&amp;IF($AM289="","Sin fecha de inicio"&amp;" · ","")&amp;IF($AN289="","Sin fecha límite"&amp;" · ","")&amp;IF(AND(LEFT($C289,11)="[Jefatura] ",N($AL289)=0),"No se encuentra en la hoja de la jefatura (elíjala de nuevo en la lista)"&amp;" · ","")&amp;IF(OR(AND($E289&lt;&gt;"",NOT(ISNUMBER($E289))),AND($F289&lt;&gt;"",NOT(ISNUMBER($F289))),AND($G289&lt;&gt;"",NOT(ISNUMBER($G289)))),"Fecha no válida"&amp;" · ","")&amp;IF(AND(ISNUMBER($AM289),ISNUMBER($AN289),$AM289&gt;$AN289),"Inicio posterior a fecha límite"&amp;" · ","")&amp;IF(AND($V289="Macro",$H289&lt;&gt;"",OR(NOT(ISNUMBER($H289)),$H289&lt;0,$H289&gt;1)),"Peso fuera de rango"&amp;" · ","")&amp;IF(AND($V289="Sub",$H289&lt;&gt;""),"Las subactividades no llevan peso (valen igual dentro de su macroactividad)"&amp;" · ","")&amp;IF(AND(N($W289)&gt;0,COUNT($I289:$L289)&gt;0),"Con subactividades: deje vacías las semanas (se calculan solas)"&amp;" · ","")&amp;IF((COUNTIF($I289:$L289,"&gt;1")+COUNTIF($I289:$L289,"&lt;0")+COUNTA($I289:$L289)-COUNT($I289:$L289))&gt;0,"Avance fuera de rango 0-100%"&amp;" · ","")&amp;IF(OR(AND($J289&lt;&gt;"",$J289&lt;$I289),AND($K289&lt;&gt;"",$K289&lt;MAX($I289:$J289)),AND($L289&lt;&gt;"",$L289&lt;MAX($I289:$K289))),"Avance semanal decreciente"&amp;" · ","")&amp;IF(AND(ISNUMBER($AN289),$AN289&lt;FechaRef,IF($V289="Sub",N($X289),N($M289))&lt;1),"Vencida"&amp;" · ","")&amp;IF(AND(ObsObligatoria="Sí",ISNUMBER($AN289),$AN289&lt;FechaRef,IF($V289="Sub",N($X289),N($M289))&lt;1,$Q289=""),"Vencida sin observación"&amp;" · ",""))-3)))</f>
        <v/>
      </c>
      <c r="S289" s="64">
        <f>IF(NOT((COUNTA($B289:$D289)+COUNTA($G289:$L289)+COUNTA($Q289))&gt;0),"",IF(AND($V289="Sub",N($U289)&gt;0),IF(ISNUMBER(INDEX($AM$5:$AM$1000,$U289-4)),DATE(YEAR(INDEX($AM$5:$AM$1000,$U289-4)),MONTH(INDEX($AM$5:$AM$1000,$U289-4)),1),IF(ISNUMBER(INDEX($AN$5:$AN$1000,$U289-4)),DATE(YEAR(INDEX($AN$5:$AN$1000,$U289-4)),MONTH(INDEX($AN$5:$AN$1000,$U289-4)),1),MesCiclo)),IF(ISNUMBER($AM289),DATE(YEAR($AM289),MONTH($AM289),1),IF(ISNUMBER($AN289),DATE(YEAR($AN289),MONTH($AN289),1),MesCiclo))))</f>
        <v/>
      </c>
      <c r="T289" s="62">
        <f>IF(OR($S289="",$S289&lt;&gt;MesCiclo,$V289&lt;&gt;"Macro"),"",COUNTIFS($S$5:$S289,MesCiclo,$V$5:$V289,"Macro"))</f>
        <v/>
      </c>
      <c r="U289" s="62">
        <f>IF($V289="","",IF($V289="Macro",ROW(),IFERROR(LOOKUP(2,1/($V$5:$V289="Macro"),ROW($V$5:$V289)),0)))</f>
        <v/>
      </c>
      <c r="V289" s="62">
        <f>IF(NOT((COUNTA($B289:$D289)+COUNTA($G289:$L289)+COUNTA($Q289))&gt;0),"",IF($B289="Subactividad","Sub","Macro"))</f>
        <v/>
      </c>
      <c r="W289" s="62">
        <f>IF($V289="Macro",COUNTIFS($U$5:$U$1000,ROW(),$V$5:$V$1000,"Sub"),"")</f>
        <v/>
      </c>
      <c r="X289" s="62">
        <f>IF($V289="","",IF(ISNUMBER($G289),1,IFERROR(LOOKUP(2,1/($I289:$L289&lt;&gt;""),$I289:$L289),0)))</f>
        <v/>
      </c>
      <c r="Y289" s="62">
        <f>IF($V289="","",IF(AND(ISNUMBER($G289),$G289&lt;=IF($S289=MesCiclo,InicioCiclo,$S289+MOD(2-WEEKDAY($S289),7))+6),1,IF(ISNUMBER($I289),$I289,0)))</f>
        <v/>
      </c>
      <c r="Z289" s="62">
        <f>IF($V289="","",IF(AND(ISNUMBER($G289),$G289&lt;=IF($S289=MesCiclo,InicioCiclo,$S289+MOD(2-WEEKDAY($S289),7))+13),1,IF(ISNUMBER($J289),$J289,$Y289)))</f>
        <v/>
      </c>
      <c r="AA289" s="62">
        <f>IF($V289="","",IF(AND(ISNUMBER($G289),$G289&lt;=IF($S289=MesCiclo,InicioCiclo,$S289+MOD(2-WEEKDAY($S289),7))+20),1,IF(ISNUMBER($K289),$K289,$Z289)))</f>
        <v/>
      </c>
      <c r="AB289" s="62">
        <f>IF($V289="","",IF(AND(ISNUMBER($G289),$G289&lt;=IF($S289=MesCiclo,InicioCiclo,$S289+MOD(2-WEEKDAY($S289),7))+27),1,IF(ISNUMBER($L289),$L289,$AA289)))</f>
        <v/>
      </c>
      <c r="AC289" s="62">
        <f>IF($V289="","",IF(AND(ISNUMBER($G289),$G289&lt;=IF($S289=MesCiclo,InicioCiclo,$S289+MOD(2-WEEKDAY($S289),7))+6),1,IF(N($W289)&gt;0,AVERAGEIFS($Y$5:$Y$1000,$U$5:$U$1000,ROW(),$V$5:$V$1000,"Sub"),$Y289)))</f>
        <v/>
      </c>
      <c r="AD289" s="62">
        <f>IF($V289="","",IF(AND(ISNUMBER($G289),$G289&lt;=IF($S289=MesCiclo,InicioCiclo,$S289+MOD(2-WEEKDAY($S289),7))+13),1,IF(N($W289)&gt;0,AVERAGEIFS($Z$5:$Z$1000,$U$5:$U$1000,ROW(),$V$5:$V$1000,"Sub"),$Z289)))</f>
        <v/>
      </c>
      <c r="AE289" s="62">
        <f>IF($V289="","",IF(AND(ISNUMBER($G289),$G289&lt;=IF($S289=MesCiclo,InicioCiclo,$S289+MOD(2-WEEKDAY($S289),7))+20),1,IF(N($W289)&gt;0,AVERAGEIFS($AA$5:$AA$1000,$U$5:$U$1000,ROW(),$V$5:$V$1000,"Sub"),$AA289)))</f>
        <v/>
      </c>
      <c r="AF289" s="62">
        <f>IF($V289="","",IF(AND(ISNUMBER($G289),$G289&lt;=IF($S289=MesCiclo,InicioCiclo,$S289+MOD(2-WEEKDAY($S289),7))+27),1,IF(N($W289)&gt;0,AVERAGEIFS($AB$5:$AB$1000,$U$5:$U$1000,ROW(),$V$5:$V$1000,"Sub"),$AB289)))</f>
        <v/>
      </c>
      <c r="AG289" s="62">
        <f>IF($V289&lt;&gt;"Macro","",IF(COUNTIFS($S$5:$S$1000,$S289,$V$5:$V$1000,"Macro",$H$5:$H$1000,"&gt;0")=0,1/COUNTIFS($S$5:$S$1000,$S289,$V$5:$V$1000,"Macro"),IF(AND(ISNUMBER($H289),N($H289)&gt;0),$H289,SUMIFS($H$5:$H$1000,$S$5:$S$1000,$S289,$V$5:$V$1000,"Macro")/COUNTIFS($S$5:$S$1000,$S289,$V$5:$V$1000,"Macro",$H$5:$H$1000,"&gt;0"))/(COUNTIFS($S$5:$S$1000,$S289,$V$5:$V$1000,"Macro")*SUMIFS($H$5:$H$1000,$S$5:$S$1000,$S289,$V$5:$V$1000,"Macro")/COUNTIFS($S$5:$S$1000,$S289,$V$5:$V$1000,"Macro",$H$5:$H$1000,"&gt;0"))))</f>
        <v/>
      </c>
      <c r="AH289" s="62">
        <f>IF(NOT(AND($D289&lt;&gt;"",$V289="Macro")),"",IFERROR(CHOOSE(MATCH($D289,ListaPuestos,0),MATCH("[Jefatura] "&amp;$C289,'Cronograma R. Operacional'!$C$5:$C$1000,0),MATCH("[Jefatura] "&amp;$C289,'Cronograma R. Normativo'!$C$5:$C$1000,0),MATCH("[Jefatura] "&amp;$C289,'Cronograma R. Financiero'!$C$5:$C$1000,0),MATCH("[Jefatura] "&amp;$C289,'Cronograma Asistente Técnico'!$C$5:$C$1000,0)),0))</f>
        <v/>
      </c>
      <c r="AI289" s="62">
        <f>IF(AND(AND($D289&lt;&gt;"",$V289="Macro"),$S289=MesCiclo),COUNTIFS($D$5:$D289,$D289,$S$5:$S289,MesCiclo,$V$5:$V289,"Macro"),"")</f>
        <v/>
      </c>
      <c r="AJ289" s="62">
        <f>IF($AI289="","",$D289&amp;"|"&amp;$AI289)</f>
        <v/>
      </c>
      <c r="AK289" s="62">
        <f>IF(AND($D289&lt;&gt;"",$V289="Macro"),$D289&amp;"|"&amp;$C289,"")</f>
        <v/>
      </c>
      <c r="AL289" s="62">
        <f>""</f>
        <v/>
      </c>
      <c r="AM289" s="62">
        <f>IF(N($AL289)&gt;0,INDEX(rIni_ADM,$AL289),IF(ISNUMBER($E289),$E289,""))</f>
        <v/>
      </c>
      <c r="AN289" s="62">
        <f>IF(N($AL289)&gt;0,INDEX(rLim_ADM,$AL289),IF(ISNUMBER($F289),$F289,""))</f>
        <v/>
      </c>
    </row>
    <row r="290">
      <c r="A290" s="56">
        <f>IF(NOT((COUNTA($B290:$D290)+COUNTA($G290:$L290)+COUNTA($Q290))&gt;0),"",IF($V290="Macro",COUNTIFS($V$5:$V290,"Macro",$S$5:$S290,$S290),IF(N($U290)=0,"?",COUNTIFS(INDEX($V$5:$V$1000,1):INDEX($V$5:$V$1000,$U290-4),"Macro",INDEX($S$5:$S$1000,1):INDEX($S$5:$S$1000,$U290-4),INDEX($S$5:$S$1000,$U290-4))&amp;"."&amp;COUNTIFS($U$5:$U290,$U290,$V$5:$V290,"Sub"))))</f>
        <v/>
      </c>
      <c r="B290" s="57" t="n"/>
      <c r="C290" s="58" t="n"/>
      <c r="D290" s="58" t="n"/>
      <c r="E290" s="59" t="n"/>
      <c r="F290" s="59" t="n"/>
      <c r="G290" s="59" t="n"/>
      <c r="H290" s="60" t="n"/>
      <c r="I290" s="60" t="n"/>
      <c r="J290" s="60" t="n"/>
      <c r="K290" s="60" t="n"/>
      <c r="L290" s="60" t="n"/>
      <c r="M290" s="61">
        <f>IF(NOT((COUNTA($B290:$D290)+COUNTA($G290:$L290)+COUNTA($Q290))&gt;0),"",IF(AND($D290&lt;&gt;"",$V290="Macro"),IF(N($AH290)&gt;0,N(CHOOSE(MATCH($D290,ListaPuestos,0),INDEX('Cronograma R. Operacional'!$M$5:$M$1000,$AH290),INDEX('Cronograma R. Normativo'!$M$5:$M$1000,$AH290),INDEX('Cronograma R. Financiero'!$M$5:$M$1000,$AH290),INDEX('Cronograma Asistente Técnico'!$M$5:$M$1000,$AH290))),0),IF(ISNUMBER($G290),1,IF(N($W290)&gt;0,AVERAGEIFS($X$5:$X$1000,$U$5:$U$1000,ROW(),$V$5:$V$1000,"Sub"),$X290))))</f>
        <v/>
      </c>
      <c r="N290" s="56">
        <f>IF(OR($M290="",$V290="Sub"),"",IF($M290&gt;=1,"Completado",IF($M290&gt;0,"En curso","Pendiente")))</f>
        <v/>
      </c>
      <c r="O290" s="56">
        <f>IF(NOT((COUNTA($B290:$D290)+COUNTA($G290:$L290)+COUNTA($Q290))&gt;0),"",IF(AND(AND($D290&lt;&gt;"",$V290="Macro"),N($AH290)&gt;0),CHOOSE(MATCH($D290,ListaPuestos,0),INDEX('Cronograma R. Operacional'!$O$5:$O$1000,$AH290),INDEX('Cronograma R. Normativo'!$O$5:$O$1000,$AH290),INDEX('Cronograma R. Financiero'!$O$5:$O$1000,$AH290),INDEX('Cronograma Asistente Técnico'!$O$5:$O$1000,$AH290))&amp;"",IF(ISNUMBER($G290),IF(AND(ISNUMBER($AN290),$G290&gt;$AN290),"Cumplida con "&amp;($G290-$AN290)&amp;IF($G290-$AN290=1," día"," días")&amp;" de retraso","Cumplida"),IF(N($M290)&gt;=1,"Cumplida",IF(NOT(ISNUMBER($AN290)),"Sin fecha límite",IF($AN290&lt;FechaRef,"Vencida hace "&amp;(FechaRef-$AN290)&amp;IF(FechaRef-$AN290=1," día"," días"),IF($AN290=FechaRef,"Vence hoy",IF($AN290-FechaRef&lt;=DiasAlerta,"Vence en "&amp;($AN290-FechaRef)&amp;IF($AN290-FechaRef=1," día"," días"),"En plazo"))))))))</f>
        <v/>
      </c>
      <c r="P290" s="62">
        <f>IF(NOT((COUNTA($B290:$D290)+COUNTA($G290:$L290)+COUNTA($Q290))&gt;0),"",IF($D290="","Propia",IF($V290&lt;&gt;"Macro","Solo se delegan macroactividades",IF(N($AH290)&gt;0,"✔ Recibida por "&amp;$D290,"⚠ "&amp;$D290&amp;" aún no la agrega"))))</f>
        <v/>
      </c>
      <c r="Q290" s="58" t="n"/>
      <c r="R290" s="63">
        <f>IF(NOT((COUNTA($B290:$D290)+COUNTA($G290:$L290)+COUNTA($Q290))&gt;0),"",IF((IF($C290="","Falta el nombre de la actividad"&amp;" · ","")&amp;IF(AND($V290="Sub",N($U290)=0),"Subactividad sin macroactividad arriba"&amp;" · ","")&amp;IF($AM290="","Sin fecha de inicio"&amp;" · ","")&amp;IF($AN290="","Sin fecha límite"&amp;" · ","")&amp;IF(AND(LEFT($C290,11)="[Jefatura] ",N($AL290)=0),"No se encuentra en la hoja de la jefatura (elíjala de nuevo en la lista)"&amp;" · ","")&amp;IF(OR(AND($E290&lt;&gt;"",NOT(ISNUMBER($E290))),AND($F290&lt;&gt;"",NOT(ISNUMBER($F290))),AND($G290&lt;&gt;"",NOT(ISNUMBER($G290)))),"Fecha no válida"&amp;" · ","")&amp;IF(AND(ISNUMBER($AM290),ISNUMBER($AN290),$AM290&gt;$AN290),"Inicio posterior a fecha límite"&amp;" · ","")&amp;IF(AND($V290="Macro",$H290&lt;&gt;"",OR(NOT(ISNUMBER($H290)),$H290&lt;0,$H290&gt;1)),"Peso fuera de rango"&amp;" · ","")&amp;IF(AND($V290="Sub",$H290&lt;&gt;""),"Las subactividades no llevan peso (valen igual dentro de su macroactividad)"&amp;" · ","")&amp;IF(AND(N($W290)&gt;0,COUNT($I290:$L290)&gt;0),"Con subactividades: deje vacías las semanas (se calculan solas)"&amp;" · ","")&amp;IF((COUNTIF($I290:$L290,"&gt;1")+COUNTIF($I290:$L290,"&lt;0")+COUNTA($I290:$L290)-COUNT($I290:$L290))&gt;0,"Avance fuera de rango 0-100%"&amp;" · ","")&amp;IF(OR(AND($J290&lt;&gt;"",$J290&lt;$I290),AND($K290&lt;&gt;"",$K290&lt;MAX($I290:$J290)),AND($L290&lt;&gt;"",$L290&lt;MAX($I290:$K290))),"Avance semanal decreciente"&amp;" · ","")&amp;IF(AND(ISNUMBER($AN290),$AN290&lt;FechaRef,IF($V290="Sub",N($X290),N($M290))&lt;1),"Vencida"&amp;" · ","")&amp;IF(AND(ObsObligatoria="Sí",ISNUMBER($AN290),$AN290&lt;FechaRef,IF($V290="Sub",N($X290),N($M290))&lt;1,$Q290=""),"Vencida sin observación"&amp;" · ",""))="","✔ OK","⚠ "&amp;LEFT(IF($C290="","Falta el nombre de la actividad"&amp;" · ","")&amp;IF(AND($V290="Sub",N($U290)=0),"Subactividad sin macroactividad arriba"&amp;" · ","")&amp;IF($AM290="","Sin fecha de inicio"&amp;" · ","")&amp;IF($AN290="","Sin fecha límite"&amp;" · ","")&amp;IF(AND(LEFT($C290,11)="[Jefatura] ",N($AL290)=0),"No se encuentra en la hoja de la jefatura (elíjala de nuevo en la lista)"&amp;" · ","")&amp;IF(OR(AND($E290&lt;&gt;"",NOT(ISNUMBER($E290))),AND($F290&lt;&gt;"",NOT(ISNUMBER($F290))),AND($G290&lt;&gt;"",NOT(ISNUMBER($G290)))),"Fecha no válida"&amp;" · ","")&amp;IF(AND(ISNUMBER($AM290),ISNUMBER($AN290),$AM290&gt;$AN290),"Inicio posterior a fecha límite"&amp;" · ","")&amp;IF(AND($V290="Macro",$H290&lt;&gt;"",OR(NOT(ISNUMBER($H290)),$H290&lt;0,$H290&gt;1)),"Peso fuera de rango"&amp;" · ","")&amp;IF(AND($V290="Sub",$H290&lt;&gt;""),"Las subactividades no llevan peso (valen igual dentro de su macroactividad)"&amp;" · ","")&amp;IF(AND(N($W290)&gt;0,COUNT($I290:$L290)&gt;0),"Con subactividades: deje vacías las semanas (se calculan solas)"&amp;" · ","")&amp;IF((COUNTIF($I290:$L290,"&gt;1")+COUNTIF($I290:$L290,"&lt;0")+COUNTA($I290:$L290)-COUNT($I290:$L290))&gt;0,"Avance fuera de rango 0-100%"&amp;" · ","")&amp;IF(OR(AND($J290&lt;&gt;"",$J290&lt;$I290),AND($K290&lt;&gt;"",$K290&lt;MAX($I290:$J290)),AND($L290&lt;&gt;"",$L290&lt;MAX($I290:$K290))),"Avance semanal decreciente"&amp;" · ","")&amp;IF(AND(ISNUMBER($AN290),$AN290&lt;FechaRef,IF($V290="Sub",N($X290),N($M290))&lt;1),"Vencida"&amp;" · ","")&amp;IF(AND(ObsObligatoria="Sí",ISNUMBER($AN290),$AN290&lt;FechaRef,IF($V290="Sub",N($X290),N($M290))&lt;1,$Q290=""),"Vencida sin observación"&amp;" · ",""),LEN(IF($C290="","Falta el nombre de la actividad"&amp;" · ","")&amp;IF(AND($V290="Sub",N($U290)=0),"Subactividad sin macroactividad arriba"&amp;" · ","")&amp;IF($AM290="","Sin fecha de inicio"&amp;" · ","")&amp;IF($AN290="","Sin fecha límite"&amp;" · ","")&amp;IF(AND(LEFT($C290,11)="[Jefatura] ",N($AL290)=0),"No se encuentra en la hoja de la jefatura (elíjala de nuevo en la lista)"&amp;" · ","")&amp;IF(OR(AND($E290&lt;&gt;"",NOT(ISNUMBER($E290))),AND($F290&lt;&gt;"",NOT(ISNUMBER($F290))),AND($G290&lt;&gt;"",NOT(ISNUMBER($G290)))),"Fecha no válida"&amp;" · ","")&amp;IF(AND(ISNUMBER($AM290),ISNUMBER($AN290),$AM290&gt;$AN290),"Inicio posterior a fecha límite"&amp;" · ","")&amp;IF(AND($V290="Macro",$H290&lt;&gt;"",OR(NOT(ISNUMBER($H290)),$H290&lt;0,$H290&gt;1)),"Peso fuera de rango"&amp;" · ","")&amp;IF(AND($V290="Sub",$H290&lt;&gt;""),"Las subactividades no llevan peso (valen igual dentro de su macroactividad)"&amp;" · ","")&amp;IF(AND(N($W290)&gt;0,COUNT($I290:$L290)&gt;0),"Con subactividades: deje vacías las semanas (se calculan solas)"&amp;" · ","")&amp;IF((COUNTIF($I290:$L290,"&gt;1")+COUNTIF($I290:$L290,"&lt;0")+COUNTA($I290:$L290)-COUNT($I290:$L290))&gt;0,"Avance fuera de rango 0-100%"&amp;" · ","")&amp;IF(OR(AND($J290&lt;&gt;"",$J290&lt;$I290),AND($K290&lt;&gt;"",$K290&lt;MAX($I290:$J290)),AND($L290&lt;&gt;"",$L290&lt;MAX($I290:$K290))),"Avance semanal decreciente"&amp;" · ","")&amp;IF(AND(ISNUMBER($AN290),$AN290&lt;FechaRef,IF($V290="Sub",N($X290),N($M290))&lt;1),"Vencida"&amp;" · ","")&amp;IF(AND(ObsObligatoria="Sí",ISNUMBER($AN290),$AN290&lt;FechaRef,IF($V290="Sub",N($X290),N($M290))&lt;1,$Q290=""),"Vencida sin observación"&amp;" · ",""))-3)))</f>
        <v/>
      </c>
      <c r="S290" s="64">
        <f>IF(NOT((COUNTA($B290:$D290)+COUNTA($G290:$L290)+COUNTA($Q290))&gt;0),"",IF(AND($V290="Sub",N($U290)&gt;0),IF(ISNUMBER(INDEX($AM$5:$AM$1000,$U290-4)),DATE(YEAR(INDEX($AM$5:$AM$1000,$U290-4)),MONTH(INDEX($AM$5:$AM$1000,$U290-4)),1),IF(ISNUMBER(INDEX($AN$5:$AN$1000,$U290-4)),DATE(YEAR(INDEX($AN$5:$AN$1000,$U290-4)),MONTH(INDEX($AN$5:$AN$1000,$U290-4)),1),MesCiclo)),IF(ISNUMBER($AM290),DATE(YEAR($AM290),MONTH($AM290),1),IF(ISNUMBER($AN290),DATE(YEAR($AN290),MONTH($AN290),1),MesCiclo))))</f>
        <v/>
      </c>
      <c r="T290" s="62">
        <f>IF(OR($S290="",$S290&lt;&gt;MesCiclo,$V290&lt;&gt;"Macro"),"",COUNTIFS($S$5:$S290,MesCiclo,$V$5:$V290,"Macro"))</f>
        <v/>
      </c>
      <c r="U290" s="62">
        <f>IF($V290="","",IF($V290="Macro",ROW(),IFERROR(LOOKUP(2,1/($V$5:$V290="Macro"),ROW($V$5:$V290)),0)))</f>
        <v/>
      </c>
      <c r="V290" s="62">
        <f>IF(NOT((COUNTA($B290:$D290)+COUNTA($G290:$L290)+COUNTA($Q290))&gt;0),"",IF($B290="Subactividad","Sub","Macro"))</f>
        <v/>
      </c>
      <c r="W290" s="62">
        <f>IF($V290="Macro",COUNTIFS($U$5:$U$1000,ROW(),$V$5:$V$1000,"Sub"),"")</f>
        <v/>
      </c>
      <c r="X290" s="62">
        <f>IF($V290="","",IF(ISNUMBER($G290),1,IFERROR(LOOKUP(2,1/($I290:$L290&lt;&gt;""),$I290:$L290),0)))</f>
        <v/>
      </c>
      <c r="Y290" s="62">
        <f>IF($V290="","",IF(AND(ISNUMBER($G290),$G290&lt;=IF($S290=MesCiclo,InicioCiclo,$S290+MOD(2-WEEKDAY($S290),7))+6),1,IF(ISNUMBER($I290),$I290,0)))</f>
        <v/>
      </c>
      <c r="Z290" s="62">
        <f>IF($V290="","",IF(AND(ISNUMBER($G290),$G290&lt;=IF($S290=MesCiclo,InicioCiclo,$S290+MOD(2-WEEKDAY($S290),7))+13),1,IF(ISNUMBER($J290),$J290,$Y290)))</f>
        <v/>
      </c>
      <c r="AA290" s="62">
        <f>IF($V290="","",IF(AND(ISNUMBER($G290),$G290&lt;=IF($S290=MesCiclo,InicioCiclo,$S290+MOD(2-WEEKDAY($S290),7))+20),1,IF(ISNUMBER($K290),$K290,$Z290)))</f>
        <v/>
      </c>
      <c r="AB290" s="62">
        <f>IF($V290="","",IF(AND(ISNUMBER($G290),$G290&lt;=IF($S290=MesCiclo,InicioCiclo,$S290+MOD(2-WEEKDAY($S290),7))+27),1,IF(ISNUMBER($L290),$L290,$AA290)))</f>
        <v/>
      </c>
      <c r="AC290" s="62">
        <f>IF($V290="","",IF(AND(ISNUMBER($G290),$G290&lt;=IF($S290=MesCiclo,InicioCiclo,$S290+MOD(2-WEEKDAY($S290),7))+6),1,IF(N($W290)&gt;0,AVERAGEIFS($Y$5:$Y$1000,$U$5:$U$1000,ROW(),$V$5:$V$1000,"Sub"),$Y290)))</f>
        <v/>
      </c>
      <c r="AD290" s="62">
        <f>IF($V290="","",IF(AND(ISNUMBER($G290),$G290&lt;=IF($S290=MesCiclo,InicioCiclo,$S290+MOD(2-WEEKDAY($S290),7))+13),1,IF(N($W290)&gt;0,AVERAGEIFS($Z$5:$Z$1000,$U$5:$U$1000,ROW(),$V$5:$V$1000,"Sub"),$Z290)))</f>
        <v/>
      </c>
      <c r="AE290" s="62">
        <f>IF($V290="","",IF(AND(ISNUMBER($G290),$G290&lt;=IF($S290=MesCiclo,InicioCiclo,$S290+MOD(2-WEEKDAY($S290),7))+20),1,IF(N($W290)&gt;0,AVERAGEIFS($AA$5:$AA$1000,$U$5:$U$1000,ROW(),$V$5:$V$1000,"Sub"),$AA290)))</f>
        <v/>
      </c>
      <c r="AF290" s="62">
        <f>IF($V290="","",IF(AND(ISNUMBER($G290),$G290&lt;=IF($S290=MesCiclo,InicioCiclo,$S290+MOD(2-WEEKDAY($S290),7))+27),1,IF(N($W290)&gt;0,AVERAGEIFS($AB$5:$AB$1000,$U$5:$U$1000,ROW(),$V$5:$V$1000,"Sub"),$AB290)))</f>
        <v/>
      </c>
      <c r="AG290" s="62">
        <f>IF($V290&lt;&gt;"Macro","",IF(COUNTIFS($S$5:$S$1000,$S290,$V$5:$V$1000,"Macro",$H$5:$H$1000,"&gt;0")=0,1/COUNTIFS($S$5:$S$1000,$S290,$V$5:$V$1000,"Macro"),IF(AND(ISNUMBER($H290),N($H290)&gt;0),$H290,SUMIFS($H$5:$H$1000,$S$5:$S$1000,$S290,$V$5:$V$1000,"Macro")/COUNTIFS($S$5:$S$1000,$S290,$V$5:$V$1000,"Macro",$H$5:$H$1000,"&gt;0"))/(COUNTIFS($S$5:$S$1000,$S290,$V$5:$V$1000,"Macro")*SUMIFS($H$5:$H$1000,$S$5:$S$1000,$S290,$V$5:$V$1000,"Macro")/COUNTIFS($S$5:$S$1000,$S290,$V$5:$V$1000,"Macro",$H$5:$H$1000,"&gt;0"))))</f>
        <v/>
      </c>
      <c r="AH290" s="62">
        <f>IF(NOT(AND($D290&lt;&gt;"",$V290="Macro")),"",IFERROR(CHOOSE(MATCH($D290,ListaPuestos,0),MATCH("[Jefatura] "&amp;$C290,'Cronograma R. Operacional'!$C$5:$C$1000,0),MATCH("[Jefatura] "&amp;$C290,'Cronograma R. Normativo'!$C$5:$C$1000,0),MATCH("[Jefatura] "&amp;$C290,'Cronograma R. Financiero'!$C$5:$C$1000,0),MATCH("[Jefatura] "&amp;$C290,'Cronograma Asistente Técnico'!$C$5:$C$1000,0)),0))</f>
        <v/>
      </c>
      <c r="AI290" s="62">
        <f>IF(AND(AND($D290&lt;&gt;"",$V290="Macro"),$S290=MesCiclo),COUNTIFS($D$5:$D290,$D290,$S$5:$S290,MesCiclo,$V$5:$V290,"Macro"),"")</f>
        <v/>
      </c>
      <c r="AJ290" s="62">
        <f>IF($AI290="","",$D290&amp;"|"&amp;$AI290)</f>
        <v/>
      </c>
      <c r="AK290" s="62">
        <f>IF(AND($D290&lt;&gt;"",$V290="Macro"),$D290&amp;"|"&amp;$C290,"")</f>
        <v/>
      </c>
      <c r="AL290" s="62">
        <f>""</f>
        <v/>
      </c>
      <c r="AM290" s="62">
        <f>IF(N($AL290)&gt;0,INDEX(rIni_ADM,$AL290),IF(ISNUMBER($E290),$E290,""))</f>
        <v/>
      </c>
      <c r="AN290" s="62">
        <f>IF(N($AL290)&gt;0,INDEX(rLim_ADM,$AL290),IF(ISNUMBER($F290),$F290,""))</f>
        <v/>
      </c>
    </row>
    <row r="291">
      <c r="A291" s="56">
        <f>IF(NOT((COUNTA($B291:$D291)+COUNTA($G291:$L291)+COUNTA($Q291))&gt;0),"",IF($V291="Macro",COUNTIFS($V$5:$V291,"Macro",$S$5:$S291,$S291),IF(N($U291)=0,"?",COUNTIFS(INDEX($V$5:$V$1000,1):INDEX($V$5:$V$1000,$U291-4),"Macro",INDEX($S$5:$S$1000,1):INDEX($S$5:$S$1000,$U291-4),INDEX($S$5:$S$1000,$U291-4))&amp;"."&amp;COUNTIFS($U$5:$U291,$U291,$V$5:$V291,"Sub"))))</f>
        <v/>
      </c>
      <c r="B291" s="57" t="n"/>
      <c r="C291" s="58" t="n"/>
      <c r="D291" s="58" t="n"/>
      <c r="E291" s="59" t="n"/>
      <c r="F291" s="59" t="n"/>
      <c r="G291" s="59" t="n"/>
      <c r="H291" s="60" t="n"/>
      <c r="I291" s="60" t="n"/>
      <c r="J291" s="60" t="n"/>
      <c r="K291" s="60" t="n"/>
      <c r="L291" s="60" t="n"/>
      <c r="M291" s="61">
        <f>IF(NOT((COUNTA($B291:$D291)+COUNTA($G291:$L291)+COUNTA($Q291))&gt;0),"",IF(AND($D291&lt;&gt;"",$V291="Macro"),IF(N($AH291)&gt;0,N(CHOOSE(MATCH($D291,ListaPuestos,0),INDEX('Cronograma R. Operacional'!$M$5:$M$1000,$AH291),INDEX('Cronograma R. Normativo'!$M$5:$M$1000,$AH291),INDEX('Cronograma R. Financiero'!$M$5:$M$1000,$AH291),INDEX('Cronograma Asistente Técnico'!$M$5:$M$1000,$AH291))),0),IF(ISNUMBER($G291),1,IF(N($W291)&gt;0,AVERAGEIFS($X$5:$X$1000,$U$5:$U$1000,ROW(),$V$5:$V$1000,"Sub"),$X291))))</f>
        <v/>
      </c>
      <c r="N291" s="56">
        <f>IF(OR($M291="",$V291="Sub"),"",IF($M291&gt;=1,"Completado",IF($M291&gt;0,"En curso","Pendiente")))</f>
        <v/>
      </c>
      <c r="O291" s="56">
        <f>IF(NOT((COUNTA($B291:$D291)+COUNTA($G291:$L291)+COUNTA($Q291))&gt;0),"",IF(AND(AND($D291&lt;&gt;"",$V291="Macro"),N($AH291)&gt;0),CHOOSE(MATCH($D291,ListaPuestos,0),INDEX('Cronograma R. Operacional'!$O$5:$O$1000,$AH291),INDEX('Cronograma R. Normativo'!$O$5:$O$1000,$AH291),INDEX('Cronograma R. Financiero'!$O$5:$O$1000,$AH291),INDEX('Cronograma Asistente Técnico'!$O$5:$O$1000,$AH291))&amp;"",IF(ISNUMBER($G291),IF(AND(ISNUMBER($AN291),$G291&gt;$AN291),"Cumplida con "&amp;($G291-$AN291)&amp;IF($G291-$AN291=1," día"," días")&amp;" de retraso","Cumplida"),IF(N($M291)&gt;=1,"Cumplida",IF(NOT(ISNUMBER($AN291)),"Sin fecha límite",IF($AN291&lt;FechaRef,"Vencida hace "&amp;(FechaRef-$AN291)&amp;IF(FechaRef-$AN291=1," día"," días"),IF($AN291=FechaRef,"Vence hoy",IF($AN291-FechaRef&lt;=DiasAlerta,"Vence en "&amp;($AN291-FechaRef)&amp;IF($AN291-FechaRef=1," día"," días"),"En plazo"))))))))</f>
        <v/>
      </c>
      <c r="P291" s="62">
        <f>IF(NOT((COUNTA($B291:$D291)+COUNTA($G291:$L291)+COUNTA($Q291))&gt;0),"",IF($D291="","Propia",IF($V291&lt;&gt;"Macro","Solo se delegan macroactividades",IF(N($AH291)&gt;0,"✔ Recibida por "&amp;$D291,"⚠ "&amp;$D291&amp;" aún no la agrega"))))</f>
        <v/>
      </c>
      <c r="Q291" s="58" t="n"/>
      <c r="R291" s="63">
        <f>IF(NOT((COUNTA($B291:$D291)+COUNTA($G291:$L291)+COUNTA($Q291))&gt;0),"",IF((IF($C291="","Falta el nombre de la actividad"&amp;" · ","")&amp;IF(AND($V291="Sub",N($U291)=0),"Subactividad sin macroactividad arriba"&amp;" · ","")&amp;IF($AM291="","Sin fecha de inicio"&amp;" · ","")&amp;IF($AN291="","Sin fecha límite"&amp;" · ","")&amp;IF(AND(LEFT($C291,11)="[Jefatura] ",N($AL291)=0),"No se encuentra en la hoja de la jefatura (elíjala de nuevo en la lista)"&amp;" · ","")&amp;IF(OR(AND($E291&lt;&gt;"",NOT(ISNUMBER($E291))),AND($F291&lt;&gt;"",NOT(ISNUMBER($F291))),AND($G291&lt;&gt;"",NOT(ISNUMBER($G291)))),"Fecha no válida"&amp;" · ","")&amp;IF(AND(ISNUMBER($AM291),ISNUMBER($AN291),$AM291&gt;$AN291),"Inicio posterior a fecha límite"&amp;" · ","")&amp;IF(AND($V291="Macro",$H291&lt;&gt;"",OR(NOT(ISNUMBER($H291)),$H291&lt;0,$H291&gt;1)),"Peso fuera de rango"&amp;" · ","")&amp;IF(AND($V291="Sub",$H291&lt;&gt;""),"Las subactividades no llevan peso (valen igual dentro de su macroactividad)"&amp;" · ","")&amp;IF(AND(N($W291)&gt;0,COUNT($I291:$L291)&gt;0),"Con subactividades: deje vacías las semanas (se calculan solas)"&amp;" · ","")&amp;IF((COUNTIF($I291:$L291,"&gt;1")+COUNTIF($I291:$L291,"&lt;0")+COUNTA($I291:$L291)-COUNT($I291:$L291))&gt;0,"Avance fuera de rango 0-100%"&amp;" · ","")&amp;IF(OR(AND($J291&lt;&gt;"",$J291&lt;$I291),AND($K291&lt;&gt;"",$K291&lt;MAX($I291:$J291)),AND($L291&lt;&gt;"",$L291&lt;MAX($I291:$K291))),"Avance semanal decreciente"&amp;" · ","")&amp;IF(AND(ISNUMBER($AN291),$AN291&lt;FechaRef,IF($V291="Sub",N($X291),N($M291))&lt;1),"Vencida"&amp;" · ","")&amp;IF(AND(ObsObligatoria="Sí",ISNUMBER($AN291),$AN291&lt;FechaRef,IF($V291="Sub",N($X291),N($M291))&lt;1,$Q291=""),"Vencida sin observación"&amp;" · ",""))="","✔ OK","⚠ "&amp;LEFT(IF($C291="","Falta el nombre de la actividad"&amp;" · ","")&amp;IF(AND($V291="Sub",N($U291)=0),"Subactividad sin macroactividad arriba"&amp;" · ","")&amp;IF($AM291="","Sin fecha de inicio"&amp;" · ","")&amp;IF($AN291="","Sin fecha límite"&amp;" · ","")&amp;IF(AND(LEFT($C291,11)="[Jefatura] ",N($AL291)=0),"No se encuentra en la hoja de la jefatura (elíjala de nuevo en la lista)"&amp;" · ","")&amp;IF(OR(AND($E291&lt;&gt;"",NOT(ISNUMBER($E291))),AND($F291&lt;&gt;"",NOT(ISNUMBER($F291))),AND($G291&lt;&gt;"",NOT(ISNUMBER($G291)))),"Fecha no válida"&amp;" · ","")&amp;IF(AND(ISNUMBER($AM291),ISNUMBER($AN291),$AM291&gt;$AN291),"Inicio posterior a fecha límite"&amp;" · ","")&amp;IF(AND($V291="Macro",$H291&lt;&gt;"",OR(NOT(ISNUMBER($H291)),$H291&lt;0,$H291&gt;1)),"Peso fuera de rango"&amp;" · ","")&amp;IF(AND($V291="Sub",$H291&lt;&gt;""),"Las subactividades no llevan peso (valen igual dentro de su macroactividad)"&amp;" · ","")&amp;IF(AND(N($W291)&gt;0,COUNT($I291:$L291)&gt;0),"Con subactividades: deje vacías las semanas (se calculan solas)"&amp;" · ","")&amp;IF((COUNTIF($I291:$L291,"&gt;1")+COUNTIF($I291:$L291,"&lt;0")+COUNTA($I291:$L291)-COUNT($I291:$L291))&gt;0,"Avance fuera de rango 0-100%"&amp;" · ","")&amp;IF(OR(AND($J291&lt;&gt;"",$J291&lt;$I291),AND($K291&lt;&gt;"",$K291&lt;MAX($I291:$J291)),AND($L291&lt;&gt;"",$L291&lt;MAX($I291:$K291))),"Avance semanal decreciente"&amp;" · ","")&amp;IF(AND(ISNUMBER($AN291),$AN291&lt;FechaRef,IF($V291="Sub",N($X291),N($M291))&lt;1),"Vencida"&amp;" · ","")&amp;IF(AND(ObsObligatoria="Sí",ISNUMBER($AN291),$AN291&lt;FechaRef,IF($V291="Sub",N($X291),N($M291))&lt;1,$Q291=""),"Vencida sin observación"&amp;" · ",""),LEN(IF($C291="","Falta el nombre de la actividad"&amp;" · ","")&amp;IF(AND($V291="Sub",N($U291)=0),"Subactividad sin macroactividad arriba"&amp;" · ","")&amp;IF($AM291="","Sin fecha de inicio"&amp;" · ","")&amp;IF($AN291="","Sin fecha límite"&amp;" · ","")&amp;IF(AND(LEFT($C291,11)="[Jefatura] ",N($AL291)=0),"No se encuentra en la hoja de la jefatura (elíjala de nuevo en la lista)"&amp;" · ","")&amp;IF(OR(AND($E291&lt;&gt;"",NOT(ISNUMBER($E291))),AND($F291&lt;&gt;"",NOT(ISNUMBER($F291))),AND($G291&lt;&gt;"",NOT(ISNUMBER($G291)))),"Fecha no válida"&amp;" · ","")&amp;IF(AND(ISNUMBER($AM291),ISNUMBER($AN291),$AM291&gt;$AN291),"Inicio posterior a fecha límite"&amp;" · ","")&amp;IF(AND($V291="Macro",$H291&lt;&gt;"",OR(NOT(ISNUMBER($H291)),$H291&lt;0,$H291&gt;1)),"Peso fuera de rango"&amp;" · ","")&amp;IF(AND($V291="Sub",$H291&lt;&gt;""),"Las subactividades no llevan peso (valen igual dentro de su macroactividad)"&amp;" · ","")&amp;IF(AND(N($W291)&gt;0,COUNT($I291:$L291)&gt;0),"Con subactividades: deje vacías las semanas (se calculan solas)"&amp;" · ","")&amp;IF((COUNTIF($I291:$L291,"&gt;1")+COUNTIF($I291:$L291,"&lt;0")+COUNTA($I291:$L291)-COUNT($I291:$L291))&gt;0,"Avance fuera de rango 0-100%"&amp;" · ","")&amp;IF(OR(AND($J291&lt;&gt;"",$J291&lt;$I291),AND($K291&lt;&gt;"",$K291&lt;MAX($I291:$J291)),AND($L291&lt;&gt;"",$L291&lt;MAX($I291:$K291))),"Avance semanal decreciente"&amp;" · ","")&amp;IF(AND(ISNUMBER($AN291),$AN291&lt;FechaRef,IF($V291="Sub",N($X291),N($M291))&lt;1),"Vencida"&amp;" · ","")&amp;IF(AND(ObsObligatoria="Sí",ISNUMBER($AN291),$AN291&lt;FechaRef,IF($V291="Sub",N($X291),N($M291))&lt;1,$Q291=""),"Vencida sin observación"&amp;" · ",""))-3)))</f>
        <v/>
      </c>
      <c r="S291" s="64">
        <f>IF(NOT((COUNTA($B291:$D291)+COUNTA($G291:$L291)+COUNTA($Q291))&gt;0),"",IF(AND($V291="Sub",N($U291)&gt;0),IF(ISNUMBER(INDEX($AM$5:$AM$1000,$U291-4)),DATE(YEAR(INDEX($AM$5:$AM$1000,$U291-4)),MONTH(INDEX($AM$5:$AM$1000,$U291-4)),1),IF(ISNUMBER(INDEX($AN$5:$AN$1000,$U291-4)),DATE(YEAR(INDEX($AN$5:$AN$1000,$U291-4)),MONTH(INDEX($AN$5:$AN$1000,$U291-4)),1),MesCiclo)),IF(ISNUMBER($AM291),DATE(YEAR($AM291),MONTH($AM291),1),IF(ISNUMBER($AN291),DATE(YEAR($AN291),MONTH($AN291),1),MesCiclo))))</f>
        <v/>
      </c>
      <c r="T291" s="62">
        <f>IF(OR($S291="",$S291&lt;&gt;MesCiclo,$V291&lt;&gt;"Macro"),"",COUNTIFS($S$5:$S291,MesCiclo,$V$5:$V291,"Macro"))</f>
        <v/>
      </c>
      <c r="U291" s="62">
        <f>IF($V291="","",IF($V291="Macro",ROW(),IFERROR(LOOKUP(2,1/($V$5:$V291="Macro"),ROW($V$5:$V291)),0)))</f>
        <v/>
      </c>
      <c r="V291" s="62">
        <f>IF(NOT((COUNTA($B291:$D291)+COUNTA($G291:$L291)+COUNTA($Q291))&gt;0),"",IF($B291="Subactividad","Sub","Macro"))</f>
        <v/>
      </c>
      <c r="W291" s="62">
        <f>IF($V291="Macro",COUNTIFS($U$5:$U$1000,ROW(),$V$5:$V$1000,"Sub"),"")</f>
        <v/>
      </c>
      <c r="X291" s="62">
        <f>IF($V291="","",IF(ISNUMBER($G291),1,IFERROR(LOOKUP(2,1/($I291:$L291&lt;&gt;""),$I291:$L291),0)))</f>
        <v/>
      </c>
      <c r="Y291" s="62">
        <f>IF($V291="","",IF(AND(ISNUMBER($G291),$G291&lt;=IF($S291=MesCiclo,InicioCiclo,$S291+MOD(2-WEEKDAY($S291),7))+6),1,IF(ISNUMBER($I291),$I291,0)))</f>
        <v/>
      </c>
      <c r="Z291" s="62">
        <f>IF($V291="","",IF(AND(ISNUMBER($G291),$G291&lt;=IF($S291=MesCiclo,InicioCiclo,$S291+MOD(2-WEEKDAY($S291),7))+13),1,IF(ISNUMBER($J291),$J291,$Y291)))</f>
        <v/>
      </c>
      <c r="AA291" s="62">
        <f>IF($V291="","",IF(AND(ISNUMBER($G291),$G291&lt;=IF($S291=MesCiclo,InicioCiclo,$S291+MOD(2-WEEKDAY($S291),7))+20),1,IF(ISNUMBER($K291),$K291,$Z291)))</f>
        <v/>
      </c>
      <c r="AB291" s="62">
        <f>IF($V291="","",IF(AND(ISNUMBER($G291),$G291&lt;=IF($S291=MesCiclo,InicioCiclo,$S291+MOD(2-WEEKDAY($S291),7))+27),1,IF(ISNUMBER($L291),$L291,$AA291)))</f>
        <v/>
      </c>
      <c r="AC291" s="62">
        <f>IF($V291="","",IF(AND(ISNUMBER($G291),$G291&lt;=IF($S291=MesCiclo,InicioCiclo,$S291+MOD(2-WEEKDAY($S291),7))+6),1,IF(N($W291)&gt;0,AVERAGEIFS($Y$5:$Y$1000,$U$5:$U$1000,ROW(),$V$5:$V$1000,"Sub"),$Y291)))</f>
        <v/>
      </c>
      <c r="AD291" s="62">
        <f>IF($V291="","",IF(AND(ISNUMBER($G291),$G291&lt;=IF($S291=MesCiclo,InicioCiclo,$S291+MOD(2-WEEKDAY($S291),7))+13),1,IF(N($W291)&gt;0,AVERAGEIFS($Z$5:$Z$1000,$U$5:$U$1000,ROW(),$V$5:$V$1000,"Sub"),$Z291)))</f>
        <v/>
      </c>
      <c r="AE291" s="62">
        <f>IF($V291="","",IF(AND(ISNUMBER($G291),$G291&lt;=IF($S291=MesCiclo,InicioCiclo,$S291+MOD(2-WEEKDAY($S291),7))+20),1,IF(N($W291)&gt;0,AVERAGEIFS($AA$5:$AA$1000,$U$5:$U$1000,ROW(),$V$5:$V$1000,"Sub"),$AA291)))</f>
        <v/>
      </c>
      <c r="AF291" s="62">
        <f>IF($V291="","",IF(AND(ISNUMBER($G291),$G291&lt;=IF($S291=MesCiclo,InicioCiclo,$S291+MOD(2-WEEKDAY($S291),7))+27),1,IF(N($W291)&gt;0,AVERAGEIFS($AB$5:$AB$1000,$U$5:$U$1000,ROW(),$V$5:$V$1000,"Sub"),$AB291)))</f>
        <v/>
      </c>
      <c r="AG291" s="62">
        <f>IF($V291&lt;&gt;"Macro","",IF(COUNTIFS($S$5:$S$1000,$S291,$V$5:$V$1000,"Macro",$H$5:$H$1000,"&gt;0")=0,1/COUNTIFS($S$5:$S$1000,$S291,$V$5:$V$1000,"Macro"),IF(AND(ISNUMBER($H291),N($H291)&gt;0),$H291,SUMIFS($H$5:$H$1000,$S$5:$S$1000,$S291,$V$5:$V$1000,"Macro")/COUNTIFS($S$5:$S$1000,$S291,$V$5:$V$1000,"Macro",$H$5:$H$1000,"&gt;0"))/(COUNTIFS($S$5:$S$1000,$S291,$V$5:$V$1000,"Macro")*SUMIFS($H$5:$H$1000,$S$5:$S$1000,$S291,$V$5:$V$1000,"Macro")/COUNTIFS($S$5:$S$1000,$S291,$V$5:$V$1000,"Macro",$H$5:$H$1000,"&gt;0"))))</f>
        <v/>
      </c>
      <c r="AH291" s="62">
        <f>IF(NOT(AND($D291&lt;&gt;"",$V291="Macro")),"",IFERROR(CHOOSE(MATCH($D291,ListaPuestos,0),MATCH("[Jefatura] "&amp;$C291,'Cronograma R. Operacional'!$C$5:$C$1000,0),MATCH("[Jefatura] "&amp;$C291,'Cronograma R. Normativo'!$C$5:$C$1000,0),MATCH("[Jefatura] "&amp;$C291,'Cronograma R. Financiero'!$C$5:$C$1000,0),MATCH("[Jefatura] "&amp;$C291,'Cronograma Asistente Técnico'!$C$5:$C$1000,0)),0))</f>
        <v/>
      </c>
      <c r="AI291" s="62">
        <f>IF(AND(AND($D291&lt;&gt;"",$V291="Macro"),$S291=MesCiclo),COUNTIFS($D$5:$D291,$D291,$S$5:$S291,MesCiclo,$V$5:$V291,"Macro"),"")</f>
        <v/>
      </c>
      <c r="AJ291" s="62">
        <f>IF($AI291="","",$D291&amp;"|"&amp;$AI291)</f>
        <v/>
      </c>
      <c r="AK291" s="62">
        <f>IF(AND($D291&lt;&gt;"",$V291="Macro"),$D291&amp;"|"&amp;$C291,"")</f>
        <v/>
      </c>
      <c r="AL291" s="62">
        <f>""</f>
        <v/>
      </c>
      <c r="AM291" s="62">
        <f>IF(N($AL291)&gt;0,INDEX(rIni_ADM,$AL291),IF(ISNUMBER($E291),$E291,""))</f>
        <v/>
      </c>
      <c r="AN291" s="62">
        <f>IF(N($AL291)&gt;0,INDEX(rLim_ADM,$AL291),IF(ISNUMBER($F291),$F291,""))</f>
        <v/>
      </c>
    </row>
    <row r="292">
      <c r="A292" s="56">
        <f>IF(NOT((COUNTA($B292:$D292)+COUNTA($G292:$L292)+COUNTA($Q292))&gt;0),"",IF($V292="Macro",COUNTIFS($V$5:$V292,"Macro",$S$5:$S292,$S292),IF(N($U292)=0,"?",COUNTIFS(INDEX($V$5:$V$1000,1):INDEX($V$5:$V$1000,$U292-4),"Macro",INDEX($S$5:$S$1000,1):INDEX($S$5:$S$1000,$U292-4),INDEX($S$5:$S$1000,$U292-4))&amp;"."&amp;COUNTIFS($U$5:$U292,$U292,$V$5:$V292,"Sub"))))</f>
        <v/>
      </c>
      <c r="B292" s="57" t="n"/>
      <c r="C292" s="58" t="n"/>
      <c r="D292" s="58" t="n"/>
      <c r="E292" s="59" t="n"/>
      <c r="F292" s="59" t="n"/>
      <c r="G292" s="59" t="n"/>
      <c r="H292" s="60" t="n"/>
      <c r="I292" s="60" t="n"/>
      <c r="J292" s="60" t="n"/>
      <c r="K292" s="60" t="n"/>
      <c r="L292" s="60" t="n"/>
      <c r="M292" s="61">
        <f>IF(NOT((COUNTA($B292:$D292)+COUNTA($G292:$L292)+COUNTA($Q292))&gt;0),"",IF(AND($D292&lt;&gt;"",$V292="Macro"),IF(N($AH292)&gt;0,N(CHOOSE(MATCH($D292,ListaPuestos,0),INDEX('Cronograma R. Operacional'!$M$5:$M$1000,$AH292),INDEX('Cronograma R. Normativo'!$M$5:$M$1000,$AH292),INDEX('Cronograma R. Financiero'!$M$5:$M$1000,$AH292),INDEX('Cronograma Asistente Técnico'!$M$5:$M$1000,$AH292))),0),IF(ISNUMBER($G292),1,IF(N($W292)&gt;0,AVERAGEIFS($X$5:$X$1000,$U$5:$U$1000,ROW(),$V$5:$V$1000,"Sub"),$X292))))</f>
        <v/>
      </c>
      <c r="N292" s="56">
        <f>IF(OR($M292="",$V292="Sub"),"",IF($M292&gt;=1,"Completado",IF($M292&gt;0,"En curso","Pendiente")))</f>
        <v/>
      </c>
      <c r="O292" s="56">
        <f>IF(NOT((COUNTA($B292:$D292)+COUNTA($G292:$L292)+COUNTA($Q292))&gt;0),"",IF(AND(AND($D292&lt;&gt;"",$V292="Macro"),N($AH292)&gt;0),CHOOSE(MATCH($D292,ListaPuestos,0),INDEX('Cronograma R. Operacional'!$O$5:$O$1000,$AH292),INDEX('Cronograma R. Normativo'!$O$5:$O$1000,$AH292),INDEX('Cronograma R. Financiero'!$O$5:$O$1000,$AH292),INDEX('Cronograma Asistente Técnico'!$O$5:$O$1000,$AH292))&amp;"",IF(ISNUMBER($G292),IF(AND(ISNUMBER($AN292),$G292&gt;$AN292),"Cumplida con "&amp;($G292-$AN292)&amp;IF($G292-$AN292=1," día"," días")&amp;" de retraso","Cumplida"),IF(N($M292)&gt;=1,"Cumplida",IF(NOT(ISNUMBER($AN292)),"Sin fecha límite",IF($AN292&lt;FechaRef,"Vencida hace "&amp;(FechaRef-$AN292)&amp;IF(FechaRef-$AN292=1," día"," días"),IF($AN292=FechaRef,"Vence hoy",IF($AN292-FechaRef&lt;=DiasAlerta,"Vence en "&amp;($AN292-FechaRef)&amp;IF($AN292-FechaRef=1," día"," días"),"En plazo"))))))))</f>
        <v/>
      </c>
      <c r="P292" s="62">
        <f>IF(NOT((COUNTA($B292:$D292)+COUNTA($G292:$L292)+COUNTA($Q292))&gt;0),"",IF($D292="","Propia",IF($V292&lt;&gt;"Macro","Solo se delegan macroactividades",IF(N($AH292)&gt;0,"✔ Recibida por "&amp;$D292,"⚠ "&amp;$D292&amp;" aún no la agrega"))))</f>
        <v/>
      </c>
      <c r="Q292" s="58" t="n"/>
      <c r="R292" s="63">
        <f>IF(NOT((COUNTA($B292:$D292)+COUNTA($G292:$L292)+COUNTA($Q292))&gt;0),"",IF((IF($C292="","Falta el nombre de la actividad"&amp;" · ","")&amp;IF(AND($V292="Sub",N($U292)=0),"Subactividad sin macroactividad arriba"&amp;" · ","")&amp;IF($AM292="","Sin fecha de inicio"&amp;" · ","")&amp;IF($AN292="","Sin fecha límite"&amp;" · ","")&amp;IF(AND(LEFT($C292,11)="[Jefatura] ",N($AL292)=0),"No se encuentra en la hoja de la jefatura (elíjala de nuevo en la lista)"&amp;" · ","")&amp;IF(OR(AND($E292&lt;&gt;"",NOT(ISNUMBER($E292))),AND($F292&lt;&gt;"",NOT(ISNUMBER($F292))),AND($G292&lt;&gt;"",NOT(ISNUMBER($G292)))),"Fecha no válida"&amp;" · ","")&amp;IF(AND(ISNUMBER($AM292),ISNUMBER($AN292),$AM292&gt;$AN292),"Inicio posterior a fecha límite"&amp;" · ","")&amp;IF(AND($V292="Macro",$H292&lt;&gt;"",OR(NOT(ISNUMBER($H292)),$H292&lt;0,$H292&gt;1)),"Peso fuera de rango"&amp;" · ","")&amp;IF(AND($V292="Sub",$H292&lt;&gt;""),"Las subactividades no llevan peso (valen igual dentro de su macroactividad)"&amp;" · ","")&amp;IF(AND(N($W292)&gt;0,COUNT($I292:$L292)&gt;0),"Con subactividades: deje vacías las semanas (se calculan solas)"&amp;" · ","")&amp;IF((COUNTIF($I292:$L292,"&gt;1")+COUNTIF($I292:$L292,"&lt;0")+COUNTA($I292:$L292)-COUNT($I292:$L292))&gt;0,"Avance fuera de rango 0-100%"&amp;" · ","")&amp;IF(OR(AND($J292&lt;&gt;"",$J292&lt;$I292),AND($K292&lt;&gt;"",$K292&lt;MAX($I292:$J292)),AND($L292&lt;&gt;"",$L292&lt;MAX($I292:$K292))),"Avance semanal decreciente"&amp;" · ","")&amp;IF(AND(ISNUMBER($AN292),$AN292&lt;FechaRef,IF($V292="Sub",N($X292),N($M292))&lt;1),"Vencida"&amp;" · ","")&amp;IF(AND(ObsObligatoria="Sí",ISNUMBER($AN292),$AN292&lt;FechaRef,IF($V292="Sub",N($X292),N($M292))&lt;1,$Q292=""),"Vencida sin observación"&amp;" · ",""))="","✔ OK","⚠ "&amp;LEFT(IF($C292="","Falta el nombre de la actividad"&amp;" · ","")&amp;IF(AND($V292="Sub",N($U292)=0),"Subactividad sin macroactividad arriba"&amp;" · ","")&amp;IF($AM292="","Sin fecha de inicio"&amp;" · ","")&amp;IF($AN292="","Sin fecha límite"&amp;" · ","")&amp;IF(AND(LEFT($C292,11)="[Jefatura] ",N($AL292)=0),"No se encuentra en la hoja de la jefatura (elíjala de nuevo en la lista)"&amp;" · ","")&amp;IF(OR(AND($E292&lt;&gt;"",NOT(ISNUMBER($E292))),AND($F292&lt;&gt;"",NOT(ISNUMBER($F292))),AND($G292&lt;&gt;"",NOT(ISNUMBER($G292)))),"Fecha no válida"&amp;" · ","")&amp;IF(AND(ISNUMBER($AM292),ISNUMBER($AN292),$AM292&gt;$AN292),"Inicio posterior a fecha límite"&amp;" · ","")&amp;IF(AND($V292="Macro",$H292&lt;&gt;"",OR(NOT(ISNUMBER($H292)),$H292&lt;0,$H292&gt;1)),"Peso fuera de rango"&amp;" · ","")&amp;IF(AND($V292="Sub",$H292&lt;&gt;""),"Las subactividades no llevan peso (valen igual dentro de su macroactividad)"&amp;" · ","")&amp;IF(AND(N($W292)&gt;0,COUNT($I292:$L292)&gt;0),"Con subactividades: deje vacías las semanas (se calculan solas)"&amp;" · ","")&amp;IF((COUNTIF($I292:$L292,"&gt;1")+COUNTIF($I292:$L292,"&lt;0")+COUNTA($I292:$L292)-COUNT($I292:$L292))&gt;0,"Avance fuera de rango 0-100%"&amp;" · ","")&amp;IF(OR(AND($J292&lt;&gt;"",$J292&lt;$I292),AND($K292&lt;&gt;"",$K292&lt;MAX($I292:$J292)),AND($L292&lt;&gt;"",$L292&lt;MAX($I292:$K292))),"Avance semanal decreciente"&amp;" · ","")&amp;IF(AND(ISNUMBER($AN292),$AN292&lt;FechaRef,IF($V292="Sub",N($X292),N($M292))&lt;1),"Vencida"&amp;" · ","")&amp;IF(AND(ObsObligatoria="Sí",ISNUMBER($AN292),$AN292&lt;FechaRef,IF($V292="Sub",N($X292),N($M292))&lt;1,$Q292=""),"Vencida sin observación"&amp;" · ",""),LEN(IF($C292="","Falta el nombre de la actividad"&amp;" · ","")&amp;IF(AND($V292="Sub",N($U292)=0),"Subactividad sin macroactividad arriba"&amp;" · ","")&amp;IF($AM292="","Sin fecha de inicio"&amp;" · ","")&amp;IF($AN292="","Sin fecha límite"&amp;" · ","")&amp;IF(AND(LEFT($C292,11)="[Jefatura] ",N($AL292)=0),"No se encuentra en la hoja de la jefatura (elíjala de nuevo en la lista)"&amp;" · ","")&amp;IF(OR(AND($E292&lt;&gt;"",NOT(ISNUMBER($E292))),AND($F292&lt;&gt;"",NOT(ISNUMBER($F292))),AND($G292&lt;&gt;"",NOT(ISNUMBER($G292)))),"Fecha no válida"&amp;" · ","")&amp;IF(AND(ISNUMBER($AM292),ISNUMBER($AN292),$AM292&gt;$AN292),"Inicio posterior a fecha límite"&amp;" · ","")&amp;IF(AND($V292="Macro",$H292&lt;&gt;"",OR(NOT(ISNUMBER($H292)),$H292&lt;0,$H292&gt;1)),"Peso fuera de rango"&amp;" · ","")&amp;IF(AND($V292="Sub",$H292&lt;&gt;""),"Las subactividades no llevan peso (valen igual dentro de su macroactividad)"&amp;" · ","")&amp;IF(AND(N($W292)&gt;0,COUNT($I292:$L292)&gt;0),"Con subactividades: deje vacías las semanas (se calculan solas)"&amp;" · ","")&amp;IF((COUNTIF($I292:$L292,"&gt;1")+COUNTIF($I292:$L292,"&lt;0")+COUNTA($I292:$L292)-COUNT($I292:$L292))&gt;0,"Avance fuera de rango 0-100%"&amp;" · ","")&amp;IF(OR(AND($J292&lt;&gt;"",$J292&lt;$I292),AND($K292&lt;&gt;"",$K292&lt;MAX($I292:$J292)),AND($L292&lt;&gt;"",$L292&lt;MAX($I292:$K292))),"Avance semanal decreciente"&amp;" · ","")&amp;IF(AND(ISNUMBER($AN292),$AN292&lt;FechaRef,IF($V292="Sub",N($X292),N($M292))&lt;1),"Vencida"&amp;" · ","")&amp;IF(AND(ObsObligatoria="Sí",ISNUMBER($AN292),$AN292&lt;FechaRef,IF($V292="Sub",N($X292),N($M292))&lt;1,$Q292=""),"Vencida sin observación"&amp;" · ",""))-3)))</f>
        <v/>
      </c>
      <c r="S292" s="64">
        <f>IF(NOT((COUNTA($B292:$D292)+COUNTA($G292:$L292)+COUNTA($Q292))&gt;0),"",IF(AND($V292="Sub",N($U292)&gt;0),IF(ISNUMBER(INDEX($AM$5:$AM$1000,$U292-4)),DATE(YEAR(INDEX($AM$5:$AM$1000,$U292-4)),MONTH(INDEX($AM$5:$AM$1000,$U292-4)),1),IF(ISNUMBER(INDEX($AN$5:$AN$1000,$U292-4)),DATE(YEAR(INDEX($AN$5:$AN$1000,$U292-4)),MONTH(INDEX($AN$5:$AN$1000,$U292-4)),1),MesCiclo)),IF(ISNUMBER($AM292),DATE(YEAR($AM292),MONTH($AM292),1),IF(ISNUMBER($AN292),DATE(YEAR($AN292),MONTH($AN292),1),MesCiclo))))</f>
        <v/>
      </c>
      <c r="T292" s="62">
        <f>IF(OR($S292="",$S292&lt;&gt;MesCiclo,$V292&lt;&gt;"Macro"),"",COUNTIFS($S$5:$S292,MesCiclo,$V$5:$V292,"Macro"))</f>
        <v/>
      </c>
      <c r="U292" s="62">
        <f>IF($V292="","",IF($V292="Macro",ROW(),IFERROR(LOOKUP(2,1/($V$5:$V292="Macro"),ROW($V$5:$V292)),0)))</f>
        <v/>
      </c>
      <c r="V292" s="62">
        <f>IF(NOT((COUNTA($B292:$D292)+COUNTA($G292:$L292)+COUNTA($Q292))&gt;0),"",IF($B292="Subactividad","Sub","Macro"))</f>
        <v/>
      </c>
      <c r="W292" s="62">
        <f>IF($V292="Macro",COUNTIFS($U$5:$U$1000,ROW(),$V$5:$V$1000,"Sub"),"")</f>
        <v/>
      </c>
      <c r="X292" s="62">
        <f>IF($V292="","",IF(ISNUMBER($G292),1,IFERROR(LOOKUP(2,1/($I292:$L292&lt;&gt;""),$I292:$L292),0)))</f>
        <v/>
      </c>
      <c r="Y292" s="62">
        <f>IF($V292="","",IF(AND(ISNUMBER($G292),$G292&lt;=IF($S292=MesCiclo,InicioCiclo,$S292+MOD(2-WEEKDAY($S292),7))+6),1,IF(ISNUMBER($I292),$I292,0)))</f>
        <v/>
      </c>
      <c r="Z292" s="62">
        <f>IF($V292="","",IF(AND(ISNUMBER($G292),$G292&lt;=IF($S292=MesCiclo,InicioCiclo,$S292+MOD(2-WEEKDAY($S292),7))+13),1,IF(ISNUMBER($J292),$J292,$Y292)))</f>
        <v/>
      </c>
      <c r="AA292" s="62">
        <f>IF($V292="","",IF(AND(ISNUMBER($G292),$G292&lt;=IF($S292=MesCiclo,InicioCiclo,$S292+MOD(2-WEEKDAY($S292),7))+20),1,IF(ISNUMBER($K292),$K292,$Z292)))</f>
        <v/>
      </c>
      <c r="AB292" s="62">
        <f>IF($V292="","",IF(AND(ISNUMBER($G292),$G292&lt;=IF($S292=MesCiclo,InicioCiclo,$S292+MOD(2-WEEKDAY($S292),7))+27),1,IF(ISNUMBER($L292),$L292,$AA292)))</f>
        <v/>
      </c>
      <c r="AC292" s="62">
        <f>IF($V292="","",IF(AND(ISNUMBER($G292),$G292&lt;=IF($S292=MesCiclo,InicioCiclo,$S292+MOD(2-WEEKDAY($S292),7))+6),1,IF(N($W292)&gt;0,AVERAGEIFS($Y$5:$Y$1000,$U$5:$U$1000,ROW(),$V$5:$V$1000,"Sub"),$Y292)))</f>
        <v/>
      </c>
      <c r="AD292" s="62">
        <f>IF($V292="","",IF(AND(ISNUMBER($G292),$G292&lt;=IF($S292=MesCiclo,InicioCiclo,$S292+MOD(2-WEEKDAY($S292),7))+13),1,IF(N($W292)&gt;0,AVERAGEIFS($Z$5:$Z$1000,$U$5:$U$1000,ROW(),$V$5:$V$1000,"Sub"),$Z292)))</f>
        <v/>
      </c>
      <c r="AE292" s="62">
        <f>IF($V292="","",IF(AND(ISNUMBER($G292),$G292&lt;=IF($S292=MesCiclo,InicioCiclo,$S292+MOD(2-WEEKDAY($S292),7))+20),1,IF(N($W292)&gt;0,AVERAGEIFS($AA$5:$AA$1000,$U$5:$U$1000,ROW(),$V$5:$V$1000,"Sub"),$AA292)))</f>
        <v/>
      </c>
      <c r="AF292" s="62">
        <f>IF($V292="","",IF(AND(ISNUMBER($G292),$G292&lt;=IF($S292=MesCiclo,InicioCiclo,$S292+MOD(2-WEEKDAY($S292),7))+27),1,IF(N($W292)&gt;0,AVERAGEIFS($AB$5:$AB$1000,$U$5:$U$1000,ROW(),$V$5:$V$1000,"Sub"),$AB292)))</f>
        <v/>
      </c>
      <c r="AG292" s="62">
        <f>IF($V292&lt;&gt;"Macro","",IF(COUNTIFS($S$5:$S$1000,$S292,$V$5:$V$1000,"Macro",$H$5:$H$1000,"&gt;0")=0,1/COUNTIFS($S$5:$S$1000,$S292,$V$5:$V$1000,"Macro"),IF(AND(ISNUMBER($H292),N($H292)&gt;0),$H292,SUMIFS($H$5:$H$1000,$S$5:$S$1000,$S292,$V$5:$V$1000,"Macro")/COUNTIFS($S$5:$S$1000,$S292,$V$5:$V$1000,"Macro",$H$5:$H$1000,"&gt;0"))/(COUNTIFS($S$5:$S$1000,$S292,$V$5:$V$1000,"Macro")*SUMIFS($H$5:$H$1000,$S$5:$S$1000,$S292,$V$5:$V$1000,"Macro")/COUNTIFS($S$5:$S$1000,$S292,$V$5:$V$1000,"Macro",$H$5:$H$1000,"&gt;0"))))</f>
        <v/>
      </c>
      <c r="AH292" s="62">
        <f>IF(NOT(AND($D292&lt;&gt;"",$V292="Macro")),"",IFERROR(CHOOSE(MATCH($D292,ListaPuestos,0),MATCH("[Jefatura] "&amp;$C292,'Cronograma R. Operacional'!$C$5:$C$1000,0),MATCH("[Jefatura] "&amp;$C292,'Cronograma R. Normativo'!$C$5:$C$1000,0),MATCH("[Jefatura] "&amp;$C292,'Cronograma R. Financiero'!$C$5:$C$1000,0),MATCH("[Jefatura] "&amp;$C292,'Cronograma Asistente Técnico'!$C$5:$C$1000,0)),0))</f>
        <v/>
      </c>
      <c r="AI292" s="62">
        <f>IF(AND(AND($D292&lt;&gt;"",$V292="Macro"),$S292=MesCiclo),COUNTIFS($D$5:$D292,$D292,$S$5:$S292,MesCiclo,$V$5:$V292,"Macro"),"")</f>
        <v/>
      </c>
      <c r="AJ292" s="62">
        <f>IF($AI292="","",$D292&amp;"|"&amp;$AI292)</f>
        <v/>
      </c>
      <c r="AK292" s="62">
        <f>IF(AND($D292&lt;&gt;"",$V292="Macro"),$D292&amp;"|"&amp;$C292,"")</f>
        <v/>
      </c>
      <c r="AL292" s="62">
        <f>""</f>
        <v/>
      </c>
      <c r="AM292" s="62">
        <f>IF(N($AL292)&gt;0,INDEX(rIni_ADM,$AL292),IF(ISNUMBER($E292),$E292,""))</f>
        <v/>
      </c>
      <c r="AN292" s="62">
        <f>IF(N($AL292)&gt;0,INDEX(rLim_ADM,$AL292),IF(ISNUMBER($F292),$F292,""))</f>
        <v/>
      </c>
    </row>
    <row r="293">
      <c r="A293" s="56">
        <f>IF(NOT((COUNTA($B293:$D293)+COUNTA($G293:$L293)+COUNTA($Q293))&gt;0),"",IF($V293="Macro",COUNTIFS($V$5:$V293,"Macro",$S$5:$S293,$S293),IF(N($U293)=0,"?",COUNTIFS(INDEX($V$5:$V$1000,1):INDEX($V$5:$V$1000,$U293-4),"Macro",INDEX($S$5:$S$1000,1):INDEX($S$5:$S$1000,$U293-4),INDEX($S$5:$S$1000,$U293-4))&amp;"."&amp;COUNTIFS($U$5:$U293,$U293,$V$5:$V293,"Sub"))))</f>
        <v/>
      </c>
      <c r="B293" s="57" t="n"/>
      <c r="C293" s="58" t="n"/>
      <c r="D293" s="58" t="n"/>
      <c r="E293" s="59" t="n"/>
      <c r="F293" s="59" t="n"/>
      <c r="G293" s="59" t="n"/>
      <c r="H293" s="60" t="n"/>
      <c r="I293" s="60" t="n"/>
      <c r="J293" s="60" t="n"/>
      <c r="K293" s="60" t="n"/>
      <c r="L293" s="60" t="n"/>
      <c r="M293" s="61">
        <f>IF(NOT((COUNTA($B293:$D293)+COUNTA($G293:$L293)+COUNTA($Q293))&gt;0),"",IF(AND($D293&lt;&gt;"",$V293="Macro"),IF(N($AH293)&gt;0,N(CHOOSE(MATCH($D293,ListaPuestos,0),INDEX('Cronograma R. Operacional'!$M$5:$M$1000,$AH293),INDEX('Cronograma R. Normativo'!$M$5:$M$1000,$AH293),INDEX('Cronograma R. Financiero'!$M$5:$M$1000,$AH293),INDEX('Cronograma Asistente Técnico'!$M$5:$M$1000,$AH293))),0),IF(ISNUMBER($G293),1,IF(N($W293)&gt;0,AVERAGEIFS($X$5:$X$1000,$U$5:$U$1000,ROW(),$V$5:$V$1000,"Sub"),$X293))))</f>
        <v/>
      </c>
      <c r="N293" s="56">
        <f>IF(OR($M293="",$V293="Sub"),"",IF($M293&gt;=1,"Completado",IF($M293&gt;0,"En curso","Pendiente")))</f>
        <v/>
      </c>
      <c r="O293" s="56">
        <f>IF(NOT((COUNTA($B293:$D293)+COUNTA($G293:$L293)+COUNTA($Q293))&gt;0),"",IF(AND(AND($D293&lt;&gt;"",$V293="Macro"),N($AH293)&gt;0),CHOOSE(MATCH($D293,ListaPuestos,0),INDEX('Cronograma R. Operacional'!$O$5:$O$1000,$AH293),INDEX('Cronograma R. Normativo'!$O$5:$O$1000,$AH293),INDEX('Cronograma R. Financiero'!$O$5:$O$1000,$AH293),INDEX('Cronograma Asistente Técnico'!$O$5:$O$1000,$AH293))&amp;"",IF(ISNUMBER($G293),IF(AND(ISNUMBER($AN293),$G293&gt;$AN293),"Cumplida con "&amp;($G293-$AN293)&amp;IF($G293-$AN293=1," día"," días")&amp;" de retraso","Cumplida"),IF(N($M293)&gt;=1,"Cumplida",IF(NOT(ISNUMBER($AN293)),"Sin fecha límite",IF($AN293&lt;FechaRef,"Vencida hace "&amp;(FechaRef-$AN293)&amp;IF(FechaRef-$AN293=1," día"," días"),IF($AN293=FechaRef,"Vence hoy",IF($AN293-FechaRef&lt;=DiasAlerta,"Vence en "&amp;($AN293-FechaRef)&amp;IF($AN293-FechaRef=1," día"," días"),"En plazo"))))))))</f>
        <v/>
      </c>
      <c r="P293" s="62">
        <f>IF(NOT((COUNTA($B293:$D293)+COUNTA($G293:$L293)+COUNTA($Q293))&gt;0),"",IF($D293="","Propia",IF($V293&lt;&gt;"Macro","Solo se delegan macroactividades",IF(N($AH293)&gt;0,"✔ Recibida por "&amp;$D293,"⚠ "&amp;$D293&amp;" aún no la agrega"))))</f>
        <v/>
      </c>
      <c r="Q293" s="58" t="n"/>
      <c r="R293" s="63">
        <f>IF(NOT((COUNTA($B293:$D293)+COUNTA($G293:$L293)+COUNTA($Q293))&gt;0),"",IF((IF($C293="","Falta el nombre de la actividad"&amp;" · ","")&amp;IF(AND($V293="Sub",N($U293)=0),"Subactividad sin macroactividad arriba"&amp;" · ","")&amp;IF($AM293="","Sin fecha de inicio"&amp;" · ","")&amp;IF($AN293="","Sin fecha límite"&amp;" · ","")&amp;IF(AND(LEFT($C293,11)="[Jefatura] ",N($AL293)=0),"No se encuentra en la hoja de la jefatura (elíjala de nuevo en la lista)"&amp;" · ","")&amp;IF(OR(AND($E293&lt;&gt;"",NOT(ISNUMBER($E293))),AND($F293&lt;&gt;"",NOT(ISNUMBER($F293))),AND($G293&lt;&gt;"",NOT(ISNUMBER($G293)))),"Fecha no válida"&amp;" · ","")&amp;IF(AND(ISNUMBER($AM293),ISNUMBER($AN293),$AM293&gt;$AN293),"Inicio posterior a fecha límite"&amp;" · ","")&amp;IF(AND($V293="Macro",$H293&lt;&gt;"",OR(NOT(ISNUMBER($H293)),$H293&lt;0,$H293&gt;1)),"Peso fuera de rango"&amp;" · ","")&amp;IF(AND($V293="Sub",$H293&lt;&gt;""),"Las subactividades no llevan peso (valen igual dentro de su macroactividad)"&amp;" · ","")&amp;IF(AND(N($W293)&gt;0,COUNT($I293:$L293)&gt;0),"Con subactividades: deje vacías las semanas (se calculan solas)"&amp;" · ","")&amp;IF((COUNTIF($I293:$L293,"&gt;1")+COUNTIF($I293:$L293,"&lt;0")+COUNTA($I293:$L293)-COUNT($I293:$L293))&gt;0,"Avance fuera de rango 0-100%"&amp;" · ","")&amp;IF(OR(AND($J293&lt;&gt;"",$J293&lt;$I293),AND($K293&lt;&gt;"",$K293&lt;MAX($I293:$J293)),AND($L293&lt;&gt;"",$L293&lt;MAX($I293:$K293))),"Avance semanal decreciente"&amp;" · ","")&amp;IF(AND(ISNUMBER($AN293),$AN293&lt;FechaRef,IF($V293="Sub",N($X293),N($M293))&lt;1),"Vencida"&amp;" · ","")&amp;IF(AND(ObsObligatoria="Sí",ISNUMBER($AN293),$AN293&lt;FechaRef,IF($V293="Sub",N($X293),N($M293))&lt;1,$Q293=""),"Vencida sin observación"&amp;" · ",""))="","✔ OK","⚠ "&amp;LEFT(IF($C293="","Falta el nombre de la actividad"&amp;" · ","")&amp;IF(AND($V293="Sub",N($U293)=0),"Subactividad sin macroactividad arriba"&amp;" · ","")&amp;IF($AM293="","Sin fecha de inicio"&amp;" · ","")&amp;IF($AN293="","Sin fecha límite"&amp;" · ","")&amp;IF(AND(LEFT($C293,11)="[Jefatura] ",N($AL293)=0),"No se encuentra en la hoja de la jefatura (elíjala de nuevo en la lista)"&amp;" · ","")&amp;IF(OR(AND($E293&lt;&gt;"",NOT(ISNUMBER($E293))),AND($F293&lt;&gt;"",NOT(ISNUMBER($F293))),AND($G293&lt;&gt;"",NOT(ISNUMBER($G293)))),"Fecha no válida"&amp;" · ","")&amp;IF(AND(ISNUMBER($AM293),ISNUMBER($AN293),$AM293&gt;$AN293),"Inicio posterior a fecha límite"&amp;" · ","")&amp;IF(AND($V293="Macro",$H293&lt;&gt;"",OR(NOT(ISNUMBER($H293)),$H293&lt;0,$H293&gt;1)),"Peso fuera de rango"&amp;" · ","")&amp;IF(AND($V293="Sub",$H293&lt;&gt;""),"Las subactividades no llevan peso (valen igual dentro de su macroactividad)"&amp;" · ","")&amp;IF(AND(N($W293)&gt;0,COUNT($I293:$L293)&gt;0),"Con subactividades: deje vacías las semanas (se calculan solas)"&amp;" · ","")&amp;IF((COUNTIF($I293:$L293,"&gt;1")+COUNTIF($I293:$L293,"&lt;0")+COUNTA($I293:$L293)-COUNT($I293:$L293))&gt;0,"Avance fuera de rango 0-100%"&amp;" · ","")&amp;IF(OR(AND($J293&lt;&gt;"",$J293&lt;$I293),AND($K293&lt;&gt;"",$K293&lt;MAX($I293:$J293)),AND($L293&lt;&gt;"",$L293&lt;MAX($I293:$K293))),"Avance semanal decreciente"&amp;" · ","")&amp;IF(AND(ISNUMBER($AN293),$AN293&lt;FechaRef,IF($V293="Sub",N($X293),N($M293))&lt;1),"Vencida"&amp;" · ","")&amp;IF(AND(ObsObligatoria="Sí",ISNUMBER($AN293),$AN293&lt;FechaRef,IF($V293="Sub",N($X293),N($M293))&lt;1,$Q293=""),"Vencida sin observación"&amp;" · ",""),LEN(IF($C293="","Falta el nombre de la actividad"&amp;" · ","")&amp;IF(AND($V293="Sub",N($U293)=0),"Subactividad sin macroactividad arriba"&amp;" · ","")&amp;IF($AM293="","Sin fecha de inicio"&amp;" · ","")&amp;IF($AN293="","Sin fecha límite"&amp;" · ","")&amp;IF(AND(LEFT($C293,11)="[Jefatura] ",N($AL293)=0),"No se encuentra en la hoja de la jefatura (elíjala de nuevo en la lista)"&amp;" · ","")&amp;IF(OR(AND($E293&lt;&gt;"",NOT(ISNUMBER($E293))),AND($F293&lt;&gt;"",NOT(ISNUMBER($F293))),AND($G293&lt;&gt;"",NOT(ISNUMBER($G293)))),"Fecha no válida"&amp;" · ","")&amp;IF(AND(ISNUMBER($AM293),ISNUMBER($AN293),$AM293&gt;$AN293),"Inicio posterior a fecha límite"&amp;" · ","")&amp;IF(AND($V293="Macro",$H293&lt;&gt;"",OR(NOT(ISNUMBER($H293)),$H293&lt;0,$H293&gt;1)),"Peso fuera de rango"&amp;" · ","")&amp;IF(AND($V293="Sub",$H293&lt;&gt;""),"Las subactividades no llevan peso (valen igual dentro de su macroactividad)"&amp;" · ","")&amp;IF(AND(N($W293)&gt;0,COUNT($I293:$L293)&gt;0),"Con subactividades: deje vacías las semanas (se calculan solas)"&amp;" · ","")&amp;IF((COUNTIF($I293:$L293,"&gt;1")+COUNTIF($I293:$L293,"&lt;0")+COUNTA($I293:$L293)-COUNT($I293:$L293))&gt;0,"Avance fuera de rango 0-100%"&amp;" · ","")&amp;IF(OR(AND($J293&lt;&gt;"",$J293&lt;$I293),AND($K293&lt;&gt;"",$K293&lt;MAX($I293:$J293)),AND($L293&lt;&gt;"",$L293&lt;MAX($I293:$K293))),"Avance semanal decreciente"&amp;" · ","")&amp;IF(AND(ISNUMBER($AN293),$AN293&lt;FechaRef,IF($V293="Sub",N($X293),N($M293))&lt;1),"Vencida"&amp;" · ","")&amp;IF(AND(ObsObligatoria="Sí",ISNUMBER($AN293),$AN293&lt;FechaRef,IF($V293="Sub",N($X293),N($M293))&lt;1,$Q293=""),"Vencida sin observación"&amp;" · ",""))-3)))</f>
        <v/>
      </c>
      <c r="S293" s="64">
        <f>IF(NOT((COUNTA($B293:$D293)+COUNTA($G293:$L293)+COUNTA($Q293))&gt;0),"",IF(AND($V293="Sub",N($U293)&gt;0),IF(ISNUMBER(INDEX($AM$5:$AM$1000,$U293-4)),DATE(YEAR(INDEX($AM$5:$AM$1000,$U293-4)),MONTH(INDEX($AM$5:$AM$1000,$U293-4)),1),IF(ISNUMBER(INDEX($AN$5:$AN$1000,$U293-4)),DATE(YEAR(INDEX($AN$5:$AN$1000,$U293-4)),MONTH(INDEX($AN$5:$AN$1000,$U293-4)),1),MesCiclo)),IF(ISNUMBER($AM293),DATE(YEAR($AM293),MONTH($AM293),1),IF(ISNUMBER($AN293),DATE(YEAR($AN293),MONTH($AN293),1),MesCiclo))))</f>
        <v/>
      </c>
      <c r="T293" s="62">
        <f>IF(OR($S293="",$S293&lt;&gt;MesCiclo,$V293&lt;&gt;"Macro"),"",COUNTIFS($S$5:$S293,MesCiclo,$V$5:$V293,"Macro"))</f>
        <v/>
      </c>
      <c r="U293" s="62">
        <f>IF($V293="","",IF($V293="Macro",ROW(),IFERROR(LOOKUP(2,1/($V$5:$V293="Macro"),ROW($V$5:$V293)),0)))</f>
        <v/>
      </c>
      <c r="V293" s="62">
        <f>IF(NOT((COUNTA($B293:$D293)+COUNTA($G293:$L293)+COUNTA($Q293))&gt;0),"",IF($B293="Subactividad","Sub","Macro"))</f>
        <v/>
      </c>
      <c r="W293" s="62">
        <f>IF($V293="Macro",COUNTIFS($U$5:$U$1000,ROW(),$V$5:$V$1000,"Sub"),"")</f>
        <v/>
      </c>
      <c r="X293" s="62">
        <f>IF($V293="","",IF(ISNUMBER($G293),1,IFERROR(LOOKUP(2,1/($I293:$L293&lt;&gt;""),$I293:$L293),0)))</f>
        <v/>
      </c>
      <c r="Y293" s="62">
        <f>IF($V293="","",IF(AND(ISNUMBER($G293),$G293&lt;=IF($S293=MesCiclo,InicioCiclo,$S293+MOD(2-WEEKDAY($S293),7))+6),1,IF(ISNUMBER($I293),$I293,0)))</f>
        <v/>
      </c>
      <c r="Z293" s="62">
        <f>IF($V293="","",IF(AND(ISNUMBER($G293),$G293&lt;=IF($S293=MesCiclo,InicioCiclo,$S293+MOD(2-WEEKDAY($S293),7))+13),1,IF(ISNUMBER($J293),$J293,$Y293)))</f>
        <v/>
      </c>
      <c r="AA293" s="62">
        <f>IF($V293="","",IF(AND(ISNUMBER($G293),$G293&lt;=IF($S293=MesCiclo,InicioCiclo,$S293+MOD(2-WEEKDAY($S293),7))+20),1,IF(ISNUMBER($K293),$K293,$Z293)))</f>
        <v/>
      </c>
      <c r="AB293" s="62">
        <f>IF($V293="","",IF(AND(ISNUMBER($G293),$G293&lt;=IF($S293=MesCiclo,InicioCiclo,$S293+MOD(2-WEEKDAY($S293),7))+27),1,IF(ISNUMBER($L293),$L293,$AA293)))</f>
        <v/>
      </c>
      <c r="AC293" s="62">
        <f>IF($V293="","",IF(AND(ISNUMBER($G293),$G293&lt;=IF($S293=MesCiclo,InicioCiclo,$S293+MOD(2-WEEKDAY($S293),7))+6),1,IF(N($W293)&gt;0,AVERAGEIFS($Y$5:$Y$1000,$U$5:$U$1000,ROW(),$V$5:$V$1000,"Sub"),$Y293)))</f>
        <v/>
      </c>
      <c r="AD293" s="62">
        <f>IF($V293="","",IF(AND(ISNUMBER($G293),$G293&lt;=IF($S293=MesCiclo,InicioCiclo,$S293+MOD(2-WEEKDAY($S293),7))+13),1,IF(N($W293)&gt;0,AVERAGEIFS($Z$5:$Z$1000,$U$5:$U$1000,ROW(),$V$5:$V$1000,"Sub"),$Z293)))</f>
        <v/>
      </c>
      <c r="AE293" s="62">
        <f>IF($V293="","",IF(AND(ISNUMBER($G293),$G293&lt;=IF($S293=MesCiclo,InicioCiclo,$S293+MOD(2-WEEKDAY($S293),7))+20),1,IF(N($W293)&gt;0,AVERAGEIFS($AA$5:$AA$1000,$U$5:$U$1000,ROW(),$V$5:$V$1000,"Sub"),$AA293)))</f>
        <v/>
      </c>
      <c r="AF293" s="62">
        <f>IF($V293="","",IF(AND(ISNUMBER($G293),$G293&lt;=IF($S293=MesCiclo,InicioCiclo,$S293+MOD(2-WEEKDAY($S293),7))+27),1,IF(N($W293)&gt;0,AVERAGEIFS($AB$5:$AB$1000,$U$5:$U$1000,ROW(),$V$5:$V$1000,"Sub"),$AB293)))</f>
        <v/>
      </c>
      <c r="AG293" s="62">
        <f>IF($V293&lt;&gt;"Macro","",IF(COUNTIFS($S$5:$S$1000,$S293,$V$5:$V$1000,"Macro",$H$5:$H$1000,"&gt;0")=0,1/COUNTIFS($S$5:$S$1000,$S293,$V$5:$V$1000,"Macro"),IF(AND(ISNUMBER($H293),N($H293)&gt;0),$H293,SUMIFS($H$5:$H$1000,$S$5:$S$1000,$S293,$V$5:$V$1000,"Macro")/COUNTIFS($S$5:$S$1000,$S293,$V$5:$V$1000,"Macro",$H$5:$H$1000,"&gt;0"))/(COUNTIFS($S$5:$S$1000,$S293,$V$5:$V$1000,"Macro")*SUMIFS($H$5:$H$1000,$S$5:$S$1000,$S293,$V$5:$V$1000,"Macro")/COUNTIFS($S$5:$S$1000,$S293,$V$5:$V$1000,"Macro",$H$5:$H$1000,"&gt;0"))))</f>
        <v/>
      </c>
      <c r="AH293" s="62">
        <f>IF(NOT(AND($D293&lt;&gt;"",$V293="Macro")),"",IFERROR(CHOOSE(MATCH($D293,ListaPuestos,0),MATCH("[Jefatura] "&amp;$C293,'Cronograma R. Operacional'!$C$5:$C$1000,0),MATCH("[Jefatura] "&amp;$C293,'Cronograma R. Normativo'!$C$5:$C$1000,0),MATCH("[Jefatura] "&amp;$C293,'Cronograma R. Financiero'!$C$5:$C$1000,0),MATCH("[Jefatura] "&amp;$C293,'Cronograma Asistente Técnico'!$C$5:$C$1000,0)),0))</f>
        <v/>
      </c>
      <c r="AI293" s="62">
        <f>IF(AND(AND($D293&lt;&gt;"",$V293="Macro"),$S293=MesCiclo),COUNTIFS($D$5:$D293,$D293,$S$5:$S293,MesCiclo,$V$5:$V293,"Macro"),"")</f>
        <v/>
      </c>
      <c r="AJ293" s="62">
        <f>IF($AI293="","",$D293&amp;"|"&amp;$AI293)</f>
        <v/>
      </c>
      <c r="AK293" s="62">
        <f>IF(AND($D293&lt;&gt;"",$V293="Macro"),$D293&amp;"|"&amp;$C293,"")</f>
        <v/>
      </c>
      <c r="AL293" s="62">
        <f>""</f>
        <v/>
      </c>
      <c r="AM293" s="62">
        <f>IF(N($AL293)&gt;0,INDEX(rIni_ADM,$AL293),IF(ISNUMBER($E293),$E293,""))</f>
        <v/>
      </c>
      <c r="AN293" s="62">
        <f>IF(N($AL293)&gt;0,INDEX(rLim_ADM,$AL293),IF(ISNUMBER($F293),$F293,""))</f>
        <v/>
      </c>
    </row>
    <row r="294">
      <c r="A294" s="56">
        <f>IF(NOT((COUNTA($B294:$D294)+COUNTA($G294:$L294)+COUNTA($Q294))&gt;0),"",IF($V294="Macro",COUNTIFS($V$5:$V294,"Macro",$S$5:$S294,$S294),IF(N($U294)=0,"?",COUNTIFS(INDEX($V$5:$V$1000,1):INDEX($V$5:$V$1000,$U294-4),"Macro",INDEX($S$5:$S$1000,1):INDEX($S$5:$S$1000,$U294-4),INDEX($S$5:$S$1000,$U294-4))&amp;"."&amp;COUNTIFS($U$5:$U294,$U294,$V$5:$V294,"Sub"))))</f>
        <v/>
      </c>
      <c r="B294" s="57" t="n"/>
      <c r="C294" s="58" t="n"/>
      <c r="D294" s="58" t="n"/>
      <c r="E294" s="59" t="n"/>
      <c r="F294" s="59" t="n"/>
      <c r="G294" s="59" t="n"/>
      <c r="H294" s="60" t="n"/>
      <c r="I294" s="60" t="n"/>
      <c r="J294" s="60" t="n"/>
      <c r="K294" s="60" t="n"/>
      <c r="L294" s="60" t="n"/>
      <c r="M294" s="61">
        <f>IF(NOT((COUNTA($B294:$D294)+COUNTA($G294:$L294)+COUNTA($Q294))&gt;0),"",IF(AND($D294&lt;&gt;"",$V294="Macro"),IF(N($AH294)&gt;0,N(CHOOSE(MATCH($D294,ListaPuestos,0),INDEX('Cronograma R. Operacional'!$M$5:$M$1000,$AH294),INDEX('Cronograma R. Normativo'!$M$5:$M$1000,$AH294),INDEX('Cronograma R. Financiero'!$M$5:$M$1000,$AH294),INDEX('Cronograma Asistente Técnico'!$M$5:$M$1000,$AH294))),0),IF(ISNUMBER($G294),1,IF(N($W294)&gt;0,AVERAGEIFS($X$5:$X$1000,$U$5:$U$1000,ROW(),$V$5:$V$1000,"Sub"),$X294))))</f>
        <v/>
      </c>
      <c r="N294" s="56">
        <f>IF(OR($M294="",$V294="Sub"),"",IF($M294&gt;=1,"Completado",IF($M294&gt;0,"En curso","Pendiente")))</f>
        <v/>
      </c>
      <c r="O294" s="56">
        <f>IF(NOT((COUNTA($B294:$D294)+COUNTA($G294:$L294)+COUNTA($Q294))&gt;0),"",IF(AND(AND($D294&lt;&gt;"",$V294="Macro"),N($AH294)&gt;0),CHOOSE(MATCH($D294,ListaPuestos,0),INDEX('Cronograma R. Operacional'!$O$5:$O$1000,$AH294),INDEX('Cronograma R. Normativo'!$O$5:$O$1000,$AH294),INDEX('Cronograma R. Financiero'!$O$5:$O$1000,$AH294),INDEX('Cronograma Asistente Técnico'!$O$5:$O$1000,$AH294))&amp;"",IF(ISNUMBER($G294),IF(AND(ISNUMBER($AN294),$G294&gt;$AN294),"Cumplida con "&amp;($G294-$AN294)&amp;IF($G294-$AN294=1," día"," días")&amp;" de retraso","Cumplida"),IF(N($M294)&gt;=1,"Cumplida",IF(NOT(ISNUMBER($AN294)),"Sin fecha límite",IF($AN294&lt;FechaRef,"Vencida hace "&amp;(FechaRef-$AN294)&amp;IF(FechaRef-$AN294=1," día"," días"),IF($AN294=FechaRef,"Vence hoy",IF($AN294-FechaRef&lt;=DiasAlerta,"Vence en "&amp;($AN294-FechaRef)&amp;IF($AN294-FechaRef=1," día"," días"),"En plazo"))))))))</f>
        <v/>
      </c>
      <c r="P294" s="62">
        <f>IF(NOT((COUNTA($B294:$D294)+COUNTA($G294:$L294)+COUNTA($Q294))&gt;0),"",IF($D294="","Propia",IF($V294&lt;&gt;"Macro","Solo se delegan macroactividades",IF(N($AH294)&gt;0,"✔ Recibida por "&amp;$D294,"⚠ "&amp;$D294&amp;" aún no la agrega"))))</f>
        <v/>
      </c>
      <c r="Q294" s="58" t="n"/>
      <c r="R294" s="63">
        <f>IF(NOT((COUNTA($B294:$D294)+COUNTA($G294:$L294)+COUNTA($Q294))&gt;0),"",IF((IF($C294="","Falta el nombre de la actividad"&amp;" · ","")&amp;IF(AND($V294="Sub",N($U294)=0),"Subactividad sin macroactividad arriba"&amp;" · ","")&amp;IF($AM294="","Sin fecha de inicio"&amp;" · ","")&amp;IF($AN294="","Sin fecha límite"&amp;" · ","")&amp;IF(AND(LEFT($C294,11)="[Jefatura] ",N($AL294)=0),"No se encuentra en la hoja de la jefatura (elíjala de nuevo en la lista)"&amp;" · ","")&amp;IF(OR(AND($E294&lt;&gt;"",NOT(ISNUMBER($E294))),AND($F294&lt;&gt;"",NOT(ISNUMBER($F294))),AND($G294&lt;&gt;"",NOT(ISNUMBER($G294)))),"Fecha no válida"&amp;" · ","")&amp;IF(AND(ISNUMBER($AM294),ISNUMBER($AN294),$AM294&gt;$AN294),"Inicio posterior a fecha límite"&amp;" · ","")&amp;IF(AND($V294="Macro",$H294&lt;&gt;"",OR(NOT(ISNUMBER($H294)),$H294&lt;0,$H294&gt;1)),"Peso fuera de rango"&amp;" · ","")&amp;IF(AND($V294="Sub",$H294&lt;&gt;""),"Las subactividades no llevan peso (valen igual dentro de su macroactividad)"&amp;" · ","")&amp;IF(AND(N($W294)&gt;0,COUNT($I294:$L294)&gt;0),"Con subactividades: deje vacías las semanas (se calculan solas)"&amp;" · ","")&amp;IF((COUNTIF($I294:$L294,"&gt;1")+COUNTIF($I294:$L294,"&lt;0")+COUNTA($I294:$L294)-COUNT($I294:$L294))&gt;0,"Avance fuera de rango 0-100%"&amp;" · ","")&amp;IF(OR(AND($J294&lt;&gt;"",$J294&lt;$I294),AND($K294&lt;&gt;"",$K294&lt;MAX($I294:$J294)),AND($L294&lt;&gt;"",$L294&lt;MAX($I294:$K294))),"Avance semanal decreciente"&amp;" · ","")&amp;IF(AND(ISNUMBER($AN294),$AN294&lt;FechaRef,IF($V294="Sub",N($X294),N($M294))&lt;1),"Vencida"&amp;" · ","")&amp;IF(AND(ObsObligatoria="Sí",ISNUMBER($AN294),$AN294&lt;FechaRef,IF($V294="Sub",N($X294),N($M294))&lt;1,$Q294=""),"Vencida sin observación"&amp;" · ",""))="","✔ OK","⚠ "&amp;LEFT(IF($C294="","Falta el nombre de la actividad"&amp;" · ","")&amp;IF(AND($V294="Sub",N($U294)=0),"Subactividad sin macroactividad arriba"&amp;" · ","")&amp;IF($AM294="","Sin fecha de inicio"&amp;" · ","")&amp;IF($AN294="","Sin fecha límite"&amp;" · ","")&amp;IF(AND(LEFT($C294,11)="[Jefatura] ",N($AL294)=0),"No se encuentra en la hoja de la jefatura (elíjala de nuevo en la lista)"&amp;" · ","")&amp;IF(OR(AND($E294&lt;&gt;"",NOT(ISNUMBER($E294))),AND($F294&lt;&gt;"",NOT(ISNUMBER($F294))),AND($G294&lt;&gt;"",NOT(ISNUMBER($G294)))),"Fecha no válida"&amp;" · ","")&amp;IF(AND(ISNUMBER($AM294),ISNUMBER($AN294),$AM294&gt;$AN294),"Inicio posterior a fecha límite"&amp;" · ","")&amp;IF(AND($V294="Macro",$H294&lt;&gt;"",OR(NOT(ISNUMBER($H294)),$H294&lt;0,$H294&gt;1)),"Peso fuera de rango"&amp;" · ","")&amp;IF(AND($V294="Sub",$H294&lt;&gt;""),"Las subactividades no llevan peso (valen igual dentro de su macroactividad)"&amp;" · ","")&amp;IF(AND(N($W294)&gt;0,COUNT($I294:$L294)&gt;0),"Con subactividades: deje vacías las semanas (se calculan solas)"&amp;" · ","")&amp;IF((COUNTIF($I294:$L294,"&gt;1")+COUNTIF($I294:$L294,"&lt;0")+COUNTA($I294:$L294)-COUNT($I294:$L294))&gt;0,"Avance fuera de rango 0-100%"&amp;" · ","")&amp;IF(OR(AND($J294&lt;&gt;"",$J294&lt;$I294),AND($K294&lt;&gt;"",$K294&lt;MAX($I294:$J294)),AND($L294&lt;&gt;"",$L294&lt;MAX($I294:$K294))),"Avance semanal decreciente"&amp;" · ","")&amp;IF(AND(ISNUMBER($AN294),$AN294&lt;FechaRef,IF($V294="Sub",N($X294),N($M294))&lt;1),"Vencida"&amp;" · ","")&amp;IF(AND(ObsObligatoria="Sí",ISNUMBER($AN294),$AN294&lt;FechaRef,IF($V294="Sub",N($X294),N($M294))&lt;1,$Q294=""),"Vencida sin observación"&amp;" · ",""),LEN(IF($C294="","Falta el nombre de la actividad"&amp;" · ","")&amp;IF(AND($V294="Sub",N($U294)=0),"Subactividad sin macroactividad arriba"&amp;" · ","")&amp;IF($AM294="","Sin fecha de inicio"&amp;" · ","")&amp;IF($AN294="","Sin fecha límite"&amp;" · ","")&amp;IF(AND(LEFT($C294,11)="[Jefatura] ",N($AL294)=0),"No se encuentra en la hoja de la jefatura (elíjala de nuevo en la lista)"&amp;" · ","")&amp;IF(OR(AND($E294&lt;&gt;"",NOT(ISNUMBER($E294))),AND($F294&lt;&gt;"",NOT(ISNUMBER($F294))),AND($G294&lt;&gt;"",NOT(ISNUMBER($G294)))),"Fecha no válida"&amp;" · ","")&amp;IF(AND(ISNUMBER($AM294),ISNUMBER($AN294),$AM294&gt;$AN294),"Inicio posterior a fecha límite"&amp;" · ","")&amp;IF(AND($V294="Macro",$H294&lt;&gt;"",OR(NOT(ISNUMBER($H294)),$H294&lt;0,$H294&gt;1)),"Peso fuera de rango"&amp;" · ","")&amp;IF(AND($V294="Sub",$H294&lt;&gt;""),"Las subactividades no llevan peso (valen igual dentro de su macroactividad)"&amp;" · ","")&amp;IF(AND(N($W294)&gt;0,COUNT($I294:$L294)&gt;0),"Con subactividades: deje vacías las semanas (se calculan solas)"&amp;" · ","")&amp;IF((COUNTIF($I294:$L294,"&gt;1")+COUNTIF($I294:$L294,"&lt;0")+COUNTA($I294:$L294)-COUNT($I294:$L294))&gt;0,"Avance fuera de rango 0-100%"&amp;" · ","")&amp;IF(OR(AND($J294&lt;&gt;"",$J294&lt;$I294),AND($K294&lt;&gt;"",$K294&lt;MAX($I294:$J294)),AND($L294&lt;&gt;"",$L294&lt;MAX($I294:$K294))),"Avance semanal decreciente"&amp;" · ","")&amp;IF(AND(ISNUMBER($AN294),$AN294&lt;FechaRef,IF($V294="Sub",N($X294),N($M294))&lt;1),"Vencida"&amp;" · ","")&amp;IF(AND(ObsObligatoria="Sí",ISNUMBER($AN294),$AN294&lt;FechaRef,IF($V294="Sub",N($X294),N($M294))&lt;1,$Q294=""),"Vencida sin observación"&amp;" · ",""))-3)))</f>
        <v/>
      </c>
      <c r="S294" s="64">
        <f>IF(NOT((COUNTA($B294:$D294)+COUNTA($G294:$L294)+COUNTA($Q294))&gt;0),"",IF(AND($V294="Sub",N($U294)&gt;0),IF(ISNUMBER(INDEX($AM$5:$AM$1000,$U294-4)),DATE(YEAR(INDEX($AM$5:$AM$1000,$U294-4)),MONTH(INDEX($AM$5:$AM$1000,$U294-4)),1),IF(ISNUMBER(INDEX($AN$5:$AN$1000,$U294-4)),DATE(YEAR(INDEX($AN$5:$AN$1000,$U294-4)),MONTH(INDEX($AN$5:$AN$1000,$U294-4)),1),MesCiclo)),IF(ISNUMBER($AM294),DATE(YEAR($AM294),MONTH($AM294),1),IF(ISNUMBER($AN294),DATE(YEAR($AN294),MONTH($AN294),1),MesCiclo))))</f>
        <v/>
      </c>
      <c r="T294" s="62">
        <f>IF(OR($S294="",$S294&lt;&gt;MesCiclo,$V294&lt;&gt;"Macro"),"",COUNTIFS($S$5:$S294,MesCiclo,$V$5:$V294,"Macro"))</f>
        <v/>
      </c>
      <c r="U294" s="62">
        <f>IF($V294="","",IF($V294="Macro",ROW(),IFERROR(LOOKUP(2,1/($V$5:$V294="Macro"),ROW($V$5:$V294)),0)))</f>
        <v/>
      </c>
      <c r="V294" s="62">
        <f>IF(NOT((COUNTA($B294:$D294)+COUNTA($G294:$L294)+COUNTA($Q294))&gt;0),"",IF($B294="Subactividad","Sub","Macro"))</f>
        <v/>
      </c>
      <c r="W294" s="62">
        <f>IF($V294="Macro",COUNTIFS($U$5:$U$1000,ROW(),$V$5:$V$1000,"Sub"),"")</f>
        <v/>
      </c>
      <c r="X294" s="62">
        <f>IF($V294="","",IF(ISNUMBER($G294),1,IFERROR(LOOKUP(2,1/($I294:$L294&lt;&gt;""),$I294:$L294),0)))</f>
        <v/>
      </c>
      <c r="Y294" s="62">
        <f>IF($V294="","",IF(AND(ISNUMBER($G294),$G294&lt;=IF($S294=MesCiclo,InicioCiclo,$S294+MOD(2-WEEKDAY($S294),7))+6),1,IF(ISNUMBER($I294),$I294,0)))</f>
        <v/>
      </c>
      <c r="Z294" s="62">
        <f>IF($V294="","",IF(AND(ISNUMBER($G294),$G294&lt;=IF($S294=MesCiclo,InicioCiclo,$S294+MOD(2-WEEKDAY($S294),7))+13),1,IF(ISNUMBER($J294),$J294,$Y294)))</f>
        <v/>
      </c>
      <c r="AA294" s="62">
        <f>IF($V294="","",IF(AND(ISNUMBER($G294),$G294&lt;=IF($S294=MesCiclo,InicioCiclo,$S294+MOD(2-WEEKDAY($S294),7))+20),1,IF(ISNUMBER($K294),$K294,$Z294)))</f>
        <v/>
      </c>
      <c r="AB294" s="62">
        <f>IF($V294="","",IF(AND(ISNUMBER($G294),$G294&lt;=IF($S294=MesCiclo,InicioCiclo,$S294+MOD(2-WEEKDAY($S294),7))+27),1,IF(ISNUMBER($L294),$L294,$AA294)))</f>
        <v/>
      </c>
      <c r="AC294" s="62">
        <f>IF($V294="","",IF(AND(ISNUMBER($G294),$G294&lt;=IF($S294=MesCiclo,InicioCiclo,$S294+MOD(2-WEEKDAY($S294),7))+6),1,IF(N($W294)&gt;0,AVERAGEIFS($Y$5:$Y$1000,$U$5:$U$1000,ROW(),$V$5:$V$1000,"Sub"),$Y294)))</f>
        <v/>
      </c>
      <c r="AD294" s="62">
        <f>IF($V294="","",IF(AND(ISNUMBER($G294),$G294&lt;=IF($S294=MesCiclo,InicioCiclo,$S294+MOD(2-WEEKDAY($S294),7))+13),1,IF(N($W294)&gt;0,AVERAGEIFS($Z$5:$Z$1000,$U$5:$U$1000,ROW(),$V$5:$V$1000,"Sub"),$Z294)))</f>
        <v/>
      </c>
      <c r="AE294" s="62">
        <f>IF($V294="","",IF(AND(ISNUMBER($G294),$G294&lt;=IF($S294=MesCiclo,InicioCiclo,$S294+MOD(2-WEEKDAY($S294),7))+20),1,IF(N($W294)&gt;0,AVERAGEIFS($AA$5:$AA$1000,$U$5:$U$1000,ROW(),$V$5:$V$1000,"Sub"),$AA294)))</f>
        <v/>
      </c>
      <c r="AF294" s="62">
        <f>IF($V294="","",IF(AND(ISNUMBER($G294),$G294&lt;=IF($S294=MesCiclo,InicioCiclo,$S294+MOD(2-WEEKDAY($S294),7))+27),1,IF(N($W294)&gt;0,AVERAGEIFS($AB$5:$AB$1000,$U$5:$U$1000,ROW(),$V$5:$V$1000,"Sub"),$AB294)))</f>
        <v/>
      </c>
      <c r="AG294" s="62">
        <f>IF($V294&lt;&gt;"Macro","",IF(COUNTIFS($S$5:$S$1000,$S294,$V$5:$V$1000,"Macro",$H$5:$H$1000,"&gt;0")=0,1/COUNTIFS($S$5:$S$1000,$S294,$V$5:$V$1000,"Macro"),IF(AND(ISNUMBER($H294),N($H294)&gt;0),$H294,SUMIFS($H$5:$H$1000,$S$5:$S$1000,$S294,$V$5:$V$1000,"Macro")/COUNTIFS($S$5:$S$1000,$S294,$V$5:$V$1000,"Macro",$H$5:$H$1000,"&gt;0"))/(COUNTIFS($S$5:$S$1000,$S294,$V$5:$V$1000,"Macro")*SUMIFS($H$5:$H$1000,$S$5:$S$1000,$S294,$V$5:$V$1000,"Macro")/COUNTIFS($S$5:$S$1000,$S294,$V$5:$V$1000,"Macro",$H$5:$H$1000,"&gt;0"))))</f>
        <v/>
      </c>
      <c r="AH294" s="62">
        <f>IF(NOT(AND($D294&lt;&gt;"",$V294="Macro")),"",IFERROR(CHOOSE(MATCH($D294,ListaPuestos,0),MATCH("[Jefatura] "&amp;$C294,'Cronograma R. Operacional'!$C$5:$C$1000,0),MATCH("[Jefatura] "&amp;$C294,'Cronograma R. Normativo'!$C$5:$C$1000,0),MATCH("[Jefatura] "&amp;$C294,'Cronograma R. Financiero'!$C$5:$C$1000,0),MATCH("[Jefatura] "&amp;$C294,'Cronograma Asistente Técnico'!$C$5:$C$1000,0)),0))</f>
        <v/>
      </c>
      <c r="AI294" s="62">
        <f>IF(AND(AND($D294&lt;&gt;"",$V294="Macro"),$S294=MesCiclo),COUNTIFS($D$5:$D294,$D294,$S$5:$S294,MesCiclo,$V$5:$V294,"Macro"),"")</f>
        <v/>
      </c>
      <c r="AJ294" s="62">
        <f>IF($AI294="","",$D294&amp;"|"&amp;$AI294)</f>
        <v/>
      </c>
      <c r="AK294" s="62">
        <f>IF(AND($D294&lt;&gt;"",$V294="Macro"),$D294&amp;"|"&amp;$C294,"")</f>
        <v/>
      </c>
      <c r="AL294" s="62">
        <f>""</f>
        <v/>
      </c>
      <c r="AM294" s="62">
        <f>IF(N($AL294)&gt;0,INDEX(rIni_ADM,$AL294),IF(ISNUMBER($E294),$E294,""))</f>
        <v/>
      </c>
      <c r="AN294" s="62">
        <f>IF(N($AL294)&gt;0,INDEX(rLim_ADM,$AL294),IF(ISNUMBER($F294),$F294,""))</f>
        <v/>
      </c>
    </row>
    <row r="295">
      <c r="A295" s="56">
        <f>IF(NOT((COUNTA($B295:$D295)+COUNTA($G295:$L295)+COUNTA($Q295))&gt;0),"",IF($V295="Macro",COUNTIFS($V$5:$V295,"Macro",$S$5:$S295,$S295),IF(N($U295)=0,"?",COUNTIFS(INDEX($V$5:$V$1000,1):INDEX($V$5:$V$1000,$U295-4),"Macro",INDEX($S$5:$S$1000,1):INDEX($S$5:$S$1000,$U295-4),INDEX($S$5:$S$1000,$U295-4))&amp;"."&amp;COUNTIFS($U$5:$U295,$U295,$V$5:$V295,"Sub"))))</f>
        <v/>
      </c>
      <c r="B295" s="57" t="n"/>
      <c r="C295" s="58" t="n"/>
      <c r="D295" s="58" t="n"/>
      <c r="E295" s="59" t="n"/>
      <c r="F295" s="59" t="n"/>
      <c r="G295" s="59" t="n"/>
      <c r="H295" s="60" t="n"/>
      <c r="I295" s="60" t="n"/>
      <c r="J295" s="60" t="n"/>
      <c r="K295" s="60" t="n"/>
      <c r="L295" s="60" t="n"/>
      <c r="M295" s="61">
        <f>IF(NOT((COUNTA($B295:$D295)+COUNTA($G295:$L295)+COUNTA($Q295))&gt;0),"",IF(AND($D295&lt;&gt;"",$V295="Macro"),IF(N($AH295)&gt;0,N(CHOOSE(MATCH($D295,ListaPuestos,0),INDEX('Cronograma R. Operacional'!$M$5:$M$1000,$AH295),INDEX('Cronograma R. Normativo'!$M$5:$M$1000,$AH295),INDEX('Cronograma R. Financiero'!$M$5:$M$1000,$AH295),INDEX('Cronograma Asistente Técnico'!$M$5:$M$1000,$AH295))),0),IF(ISNUMBER($G295),1,IF(N($W295)&gt;0,AVERAGEIFS($X$5:$X$1000,$U$5:$U$1000,ROW(),$V$5:$V$1000,"Sub"),$X295))))</f>
        <v/>
      </c>
      <c r="N295" s="56">
        <f>IF(OR($M295="",$V295="Sub"),"",IF($M295&gt;=1,"Completado",IF($M295&gt;0,"En curso","Pendiente")))</f>
        <v/>
      </c>
      <c r="O295" s="56">
        <f>IF(NOT((COUNTA($B295:$D295)+COUNTA($G295:$L295)+COUNTA($Q295))&gt;0),"",IF(AND(AND($D295&lt;&gt;"",$V295="Macro"),N($AH295)&gt;0),CHOOSE(MATCH($D295,ListaPuestos,0),INDEX('Cronograma R. Operacional'!$O$5:$O$1000,$AH295),INDEX('Cronograma R. Normativo'!$O$5:$O$1000,$AH295),INDEX('Cronograma R. Financiero'!$O$5:$O$1000,$AH295),INDEX('Cronograma Asistente Técnico'!$O$5:$O$1000,$AH295))&amp;"",IF(ISNUMBER($G295),IF(AND(ISNUMBER($AN295),$G295&gt;$AN295),"Cumplida con "&amp;($G295-$AN295)&amp;IF($G295-$AN295=1," día"," días")&amp;" de retraso","Cumplida"),IF(N($M295)&gt;=1,"Cumplida",IF(NOT(ISNUMBER($AN295)),"Sin fecha límite",IF($AN295&lt;FechaRef,"Vencida hace "&amp;(FechaRef-$AN295)&amp;IF(FechaRef-$AN295=1," día"," días"),IF($AN295=FechaRef,"Vence hoy",IF($AN295-FechaRef&lt;=DiasAlerta,"Vence en "&amp;($AN295-FechaRef)&amp;IF($AN295-FechaRef=1," día"," días"),"En plazo"))))))))</f>
        <v/>
      </c>
      <c r="P295" s="62">
        <f>IF(NOT((COUNTA($B295:$D295)+COUNTA($G295:$L295)+COUNTA($Q295))&gt;0),"",IF($D295="","Propia",IF($V295&lt;&gt;"Macro","Solo se delegan macroactividades",IF(N($AH295)&gt;0,"✔ Recibida por "&amp;$D295,"⚠ "&amp;$D295&amp;" aún no la agrega"))))</f>
        <v/>
      </c>
      <c r="Q295" s="58" t="n"/>
      <c r="R295" s="63">
        <f>IF(NOT((COUNTA($B295:$D295)+COUNTA($G295:$L295)+COUNTA($Q295))&gt;0),"",IF((IF($C295="","Falta el nombre de la actividad"&amp;" · ","")&amp;IF(AND($V295="Sub",N($U295)=0),"Subactividad sin macroactividad arriba"&amp;" · ","")&amp;IF($AM295="","Sin fecha de inicio"&amp;" · ","")&amp;IF($AN295="","Sin fecha límite"&amp;" · ","")&amp;IF(AND(LEFT($C295,11)="[Jefatura] ",N($AL295)=0),"No se encuentra en la hoja de la jefatura (elíjala de nuevo en la lista)"&amp;" · ","")&amp;IF(OR(AND($E295&lt;&gt;"",NOT(ISNUMBER($E295))),AND($F295&lt;&gt;"",NOT(ISNUMBER($F295))),AND($G295&lt;&gt;"",NOT(ISNUMBER($G295)))),"Fecha no válida"&amp;" · ","")&amp;IF(AND(ISNUMBER($AM295),ISNUMBER($AN295),$AM295&gt;$AN295),"Inicio posterior a fecha límite"&amp;" · ","")&amp;IF(AND($V295="Macro",$H295&lt;&gt;"",OR(NOT(ISNUMBER($H295)),$H295&lt;0,$H295&gt;1)),"Peso fuera de rango"&amp;" · ","")&amp;IF(AND($V295="Sub",$H295&lt;&gt;""),"Las subactividades no llevan peso (valen igual dentro de su macroactividad)"&amp;" · ","")&amp;IF(AND(N($W295)&gt;0,COUNT($I295:$L295)&gt;0),"Con subactividades: deje vacías las semanas (se calculan solas)"&amp;" · ","")&amp;IF((COUNTIF($I295:$L295,"&gt;1")+COUNTIF($I295:$L295,"&lt;0")+COUNTA($I295:$L295)-COUNT($I295:$L295))&gt;0,"Avance fuera de rango 0-100%"&amp;" · ","")&amp;IF(OR(AND($J295&lt;&gt;"",$J295&lt;$I295),AND($K295&lt;&gt;"",$K295&lt;MAX($I295:$J295)),AND($L295&lt;&gt;"",$L295&lt;MAX($I295:$K295))),"Avance semanal decreciente"&amp;" · ","")&amp;IF(AND(ISNUMBER($AN295),$AN295&lt;FechaRef,IF($V295="Sub",N($X295),N($M295))&lt;1),"Vencida"&amp;" · ","")&amp;IF(AND(ObsObligatoria="Sí",ISNUMBER($AN295),$AN295&lt;FechaRef,IF($V295="Sub",N($X295),N($M295))&lt;1,$Q295=""),"Vencida sin observación"&amp;" · ",""))="","✔ OK","⚠ "&amp;LEFT(IF($C295="","Falta el nombre de la actividad"&amp;" · ","")&amp;IF(AND($V295="Sub",N($U295)=0),"Subactividad sin macroactividad arriba"&amp;" · ","")&amp;IF($AM295="","Sin fecha de inicio"&amp;" · ","")&amp;IF($AN295="","Sin fecha límite"&amp;" · ","")&amp;IF(AND(LEFT($C295,11)="[Jefatura] ",N($AL295)=0),"No se encuentra en la hoja de la jefatura (elíjala de nuevo en la lista)"&amp;" · ","")&amp;IF(OR(AND($E295&lt;&gt;"",NOT(ISNUMBER($E295))),AND($F295&lt;&gt;"",NOT(ISNUMBER($F295))),AND($G295&lt;&gt;"",NOT(ISNUMBER($G295)))),"Fecha no válida"&amp;" · ","")&amp;IF(AND(ISNUMBER($AM295),ISNUMBER($AN295),$AM295&gt;$AN295),"Inicio posterior a fecha límite"&amp;" · ","")&amp;IF(AND($V295="Macro",$H295&lt;&gt;"",OR(NOT(ISNUMBER($H295)),$H295&lt;0,$H295&gt;1)),"Peso fuera de rango"&amp;" · ","")&amp;IF(AND($V295="Sub",$H295&lt;&gt;""),"Las subactividades no llevan peso (valen igual dentro de su macroactividad)"&amp;" · ","")&amp;IF(AND(N($W295)&gt;0,COUNT($I295:$L295)&gt;0),"Con subactividades: deje vacías las semanas (se calculan solas)"&amp;" · ","")&amp;IF((COUNTIF($I295:$L295,"&gt;1")+COUNTIF($I295:$L295,"&lt;0")+COUNTA($I295:$L295)-COUNT($I295:$L295))&gt;0,"Avance fuera de rango 0-100%"&amp;" · ","")&amp;IF(OR(AND($J295&lt;&gt;"",$J295&lt;$I295),AND($K295&lt;&gt;"",$K295&lt;MAX($I295:$J295)),AND($L295&lt;&gt;"",$L295&lt;MAX($I295:$K295))),"Avance semanal decreciente"&amp;" · ","")&amp;IF(AND(ISNUMBER($AN295),$AN295&lt;FechaRef,IF($V295="Sub",N($X295),N($M295))&lt;1),"Vencida"&amp;" · ","")&amp;IF(AND(ObsObligatoria="Sí",ISNUMBER($AN295),$AN295&lt;FechaRef,IF($V295="Sub",N($X295),N($M295))&lt;1,$Q295=""),"Vencida sin observación"&amp;" · ",""),LEN(IF($C295="","Falta el nombre de la actividad"&amp;" · ","")&amp;IF(AND($V295="Sub",N($U295)=0),"Subactividad sin macroactividad arriba"&amp;" · ","")&amp;IF($AM295="","Sin fecha de inicio"&amp;" · ","")&amp;IF($AN295="","Sin fecha límite"&amp;" · ","")&amp;IF(AND(LEFT($C295,11)="[Jefatura] ",N($AL295)=0),"No se encuentra en la hoja de la jefatura (elíjala de nuevo en la lista)"&amp;" · ","")&amp;IF(OR(AND($E295&lt;&gt;"",NOT(ISNUMBER($E295))),AND($F295&lt;&gt;"",NOT(ISNUMBER($F295))),AND($G295&lt;&gt;"",NOT(ISNUMBER($G295)))),"Fecha no válida"&amp;" · ","")&amp;IF(AND(ISNUMBER($AM295),ISNUMBER($AN295),$AM295&gt;$AN295),"Inicio posterior a fecha límite"&amp;" · ","")&amp;IF(AND($V295="Macro",$H295&lt;&gt;"",OR(NOT(ISNUMBER($H295)),$H295&lt;0,$H295&gt;1)),"Peso fuera de rango"&amp;" · ","")&amp;IF(AND($V295="Sub",$H295&lt;&gt;""),"Las subactividades no llevan peso (valen igual dentro de su macroactividad)"&amp;" · ","")&amp;IF(AND(N($W295)&gt;0,COUNT($I295:$L295)&gt;0),"Con subactividades: deje vacías las semanas (se calculan solas)"&amp;" · ","")&amp;IF((COUNTIF($I295:$L295,"&gt;1")+COUNTIF($I295:$L295,"&lt;0")+COUNTA($I295:$L295)-COUNT($I295:$L295))&gt;0,"Avance fuera de rango 0-100%"&amp;" · ","")&amp;IF(OR(AND($J295&lt;&gt;"",$J295&lt;$I295),AND($K295&lt;&gt;"",$K295&lt;MAX($I295:$J295)),AND($L295&lt;&gt;"",$L295&lt;MAX($I295:$K295))),"Avance semanal decreciente"&amp;" · ","")&amp;IF(AND(ISNUMBER($AN295),$AN295&lt;FechaRef,IF($V295="Sub",N($X295),N($M295))&lt;1),"Vencida"&amp;" · ","")&amp;IF(AND(ObsObligatoria="Sí",ISNUMBER($AN295),$AN295&lt;FechaRef,IF($V295="Sub",N($X295),N($M295))&lt;1,$Q295=""),"Vencida sin observación"&amp;" · ",""))-3)))</f>
        <v/>
      </c>
      <c r="S295" s="64">
        <f>IF(NOT((COUNTA($B295:$D295)+COUNTA($G295:$L295)+COUNTA($Q295))&gt;0),"",IF(AND($V295="Sub",N($U295)&gt;0),IF(ISNUMBER(INDEX($AM$5:$AM$1000,$U295-4)),DATE(YEAR(INDEX($AM$5:$AM$1000,$U295-4)),MONTH(INDEX($AM$5:$AM$1000,$U295-4)),1),IF(ISNUMBER(INDEX($AN$5:$AN$1000,$U295-4)),DATE(YEAR(INDEX($AN$5:$AN$1000,$U295-4)),MONTH(INDEX($AN$5:$AN$1000,$U295-4)),1),MesCiclo)),IF(ISNUMBER($AM295),DATE(YEAR($AM295),MONTH($AM295),1),IF(ISNUMBER($AN295),DATE(YEAR($AN295),MONTH($AN295),1),MesCiclo))))</f>
        <v/>
      </c>
      <c r="T295" s="62">
        <f>IF(OR($S295="",$S295&lt;&gt;MesCiclo,$V295&lt;&gt;"Macro"),"",COUNTIFS($S$5:$S295,MesCiclo,$V$5:$V295,"Macro"))</f>
        <v/>
      </c>
      <c r="U295" s="62">
        <f>IF($V295="","",IF($V295="Macro",ROW(),IFERROR(LOOKUP(2,1/($V$5:$V295="Macro"),ROW($V$5:$V295)),0)))</f>
        <v/>
      </c>
      <c r="V295" s="62">
        <f>IF(NOT((COUNTA($B295:$D295)+COUNTA($G295:$L295)+COUNTA($Q295))&gt;0),"",IF($B295="Subactividad","Sub","Macro"))</f>
        <v/>
      </c>
      <c r="W295" s="62">
        <f>IF($V295="Macro",COUNTIFS($U$5:$U$1000,ROW(),$V$5:$V$1000,"Sub"),"")</f>
        <v/>
      </c>
      <c r="X295" s="62">
        <f>IF($V295="","",IF(ISNUMBER($G295),1,IFERROR(LOOKUP(2,1/($I295:$L295&lt;&gt;""),$I295:$L295),0)))</f>
        <v/>
      </c>
      <c r="Y295" s="62">
        <f>IF($V295="","",IF(AND(ISNUMBER($G295),$G295&lt;=IF($S295=MesCiclo,InicioCiclo,$S295+MOD(2-WEEKDAY($S295),7))+6),1,IF(ISNUMBER($I295),$I295,0)))</f>
        <v/>
      </c>
      <c r="Z295" s="62">
        <f>IF($V295="","",IF(AND(ISNUMBER($G295),$G295&lt;=IF($S295=MesCiclo,InicioCiclo,$S295+MOD(2-WEEKDAY($S295),7))+13),1,IF(ISNUMBER($J295),$J295,$Y295)))</f>
        <v/>
      </c>
      <c r="AA295" s="62">
        <f>IF($V295="","",IF(AND(ISNUMBER($G295),$G295&lt;=IF($S295=MesCiclo,InicioCiclo,$S295+MOD(2-WEEKDAY($S295),7))+20),1,IF(ISNUMBER($K295),$K295,$Z295)))</f>
        <v/>
      </c>
      <c r="AB295" s="62">
        <f>IF($V295="","",IF(AND(ISNUMBER($G295),$G295&lt;=IF($S295=MesCiclo,InicioCiclo,$S295+MOD(2-WEEKDAY($S295),7))+27),1,IF(ISNUMBER($L295),$L295,$AA295)))</f>
        <v/>
      </c>
      <c r="AC295" s="62">
        <f>IF($V295="","",IF(AND(ISNUMBER($G295),$G295&lt;=IF($S295=MesCiclo,InicioCiclo,$S295+MOD(2-WEEKDAY($S295),7))+6),1,IF(N($W295)&gt;0,AVERAGEIFS($Y$5:$Y$1000,$U$5:$U$1000,ROW(),$V$5:$V$1000,"Sub"),$Y295)))</f>
        <v/>
      </c>
      <c r="AD295" s="62">
        <f>IF($V295="","",IF(AND(ISNUMBER($G295),$G295&lt;=IF($S295=MesCiclo,InicioCiclo,$S295+MOD(2-WEEKDAY($S295),7))+13),1,IF(N($W295)&gt;0,AVERAGEIFS($Z$5:$Z$1000,$U$5:$U$1000,ROW(),$V$5:$V$1000,"Sub"),$Z295)))</f>
        <v/>
      </c>
      <c r="AE295" s="62">
        <f>IF($V295="","",IF(AND(ISNUMBER($G295),$G295&lt;=IF($S295=MesCiclo,InicioCiclo,$S295+MOD(2-WEEKDAY($S295),7))+20),1,IF(N($W295)&gt;0,AVERAGEIFS($AA$5:$AA$1000,$U$5:$U$1000,ROW(),$V$5:$V$1000,"Sub"),$AA295)))</f>
        <v/>
      </c>
      <c r="AF295" s="62">
        <f>IF($V295="","",IF(AND(ISNUMBER($G295),$G295&lt;=IF($S295=MesCiclo,InicioCiclo,$S295+MOD(2-WEEKDAY($S295),7))+27),1,IF(N($W295)&gt;0,AVERAGEIFS($AB$5:$AB$1000,$U$5:$U$1000,ROW(),$V$5:$V$1000,"Sub"),$AB295)))</f>
        <v/>
      </c>
      <c r="AG295" s="62">
        <f>IF($V295&lt;&gt;"Macro","",IF(COUNTIFS($S$5:$S$1000,$S295,$V$5:$V$1000,"Macro",$H$5:$H$1000,"&gt;0")=0,1/COUNTIFS($S$5:$S$1000,$S295,$V$5:$V$1000,"Macro"),IF(AND(ISNUMBER($H295),N($H295)&gt;0),$H295,SUMIFS($H$5:$H$1000,$S$5:$S$1000,$S295,$V$5:$V$1000,"Macro")/COUNTIFS($S$5:$S$1000,$S295,$V$5:$V$1000,"Macro",$H$5:$H$1000,"&gt;0"))/(COUNTIFS($S$5:$S$1000,$S295,$V$5:$V$1000,"Macro")*SUMIFS($H$5:$H$1000,$S$5:$S$1000,$S295,$V$5:$V$1000,"Macro")/COUNTIFS($S$5:$S$1000,$S295,$V$5:$V$1000,"Macro",$H$5:$H$1000,"&gt;0"))))</f>
        <v/>
      </c>
      <c r="AH295" s="62">
        <f>IF(NOT(AND($D295&lt;&gt;"",$V295="Macro")),"",IFERROR(CHOOSE(MATCH($D295,ListaPuestos,0),MATCH("[Jefatura] "&amp;$C295,'Cronograma R. Operacional'!$C$5:$C$1000,0),MATCH("[Jefatura] "&amp;$C295,'Cronograma R. Normativo'!$C$5:$C$1000,0),MATCH("[Jefatura] "&amp;$C295,'Cronograma R. Financiero'!$C$5:$C$1000,0),MATCH("[Jefatura] "&amp;$C295,'Cronograma Asistente Técnico'!$C$5:$C$1000,0)),0))</f>
        <v/>
      </c>
      <c r="AI295" s="62">
        <f>IF(AND(AND($D295&lt;&gt;"",$V295="Macro"),$S295=MesCiclo),COUNTIFS($D$5:$D295,$D295,$S$5:$S295,MesCiclo,$V$5:$V295,"Macro"),"")</f>
        <v/>
      </c>
      <c r="AJ295" s="62">
        <f>IF($AI295="","",$D295&amp;"|"&amp;$AI295)</f>
        <v/>
      </c>
      <c r="AK295" s="62">
        <f>IF(AND($D295&lt;&gt;"",$V295="Macro"),$D295&amp;"|"&amp;$C295,"")</f>
        <v/>
      </c>
      <c r="AL295" s="62">
        <f>""</f>
        <v/>
      </c>
      <c r="AM295" s="62">
        <f>IF(N($AL295)&gt;0,INDEX(rIni_ADM,$AL295),IF(ISNUMBER($E295),$E295,""))</f>
        <v/>
      </c>
      <c r="AN295" s="62">
        <f>IF(N($AL295)&gt;0,INDEX(rLim_ADM,$AL295),IF(ISNUMBER($F295),$F295,""))</f>
        <v/>
      </c>
    </row>
    <row r="296">
      <c r="A296" s="56">
        <f>IF(NOT((COUNTA($B296:$D296)+COUNTA($G296:$L296)+COUNTA($Q296))&gt;0),"",IF($V296="Macro",COUNTIFS($V$5:$V296,"Macro",$S$5:$S296,$S296),IF(N($U296)=0,"?",COUNTIFS(INDEX($V$5:$V$1000,1):INDEX($V$5:$V$1000,$U296-4),"Macro",INDEX($S$5:$S$1000,1):INDEX($S$5:$S$1000,$U296-4),INDEX($S$5:$S$1000,$U296-4))&amp;"."&amp;COUNTIFS($U$5:$U296,$U296,$V$5:$V296,"Sub"))))</f>
        <v/>
      </c>
      <c r="B296" s="57" t="n"/>
      <c r="C296" s="58" t="n"/>
      <c r="D296" s="58" t="n"/>
      <c r="E296" s="59" t="n"/>
      <c r="F296" s="59" t="n"/>
      <c r="G296" s="59" t="n"/>
      <c r="H296" s="60" t="n"/>
      <c r="I296" s="60" t="n"/>
      <c r="J296" s="60" t="n"/>
      <c r="K296" s="60" t="n"/>
      <c r="L296" s="60" t="n"/>
      <c r="M296" s="61">
        <f>IF(NOT((COUNTA($B296:$D296)+COUNTA($G296:$L296)+COUNTA($Q296))&gt;0),"",IF(AND($D296&lt;&gt;"",$V296="Macro"),IF(N($AH296)&gt;0,N(CHOOSE(MATCH($D296,ListaPuestos,0),INDEX('Cronograma R. Operacional'!$M$5:$M$1000,$AH296),INDEX('Cronograma R. Normativo'!$M$5:$M$1000,$AH296),INDEX('Cronograma R. Financiero'!$M$5:$M$1000,$AH296),INDEX('Cronograma Asistente Técnico'!$M$5:$M$1000,$AH296))),0),IF(ISNUMBER($G296),1,IF(N($W296)&gt;0,AVERAGEIFS($X$5:$X$1000,$U$5:$U$1000,ROW(),$V$5:$V$1000,"Sub"),$X296))))</f>
        <v/>
      </c>
      <c r="N296" s="56">
        <f>IF(OR($M296="",$V296="Sub"),"",IF($M296&gt;=1,"Completado",IF($M296&gt;0,"En curso","Pendiente")))</f>
        <v/>
      </c>
      <c r="O296" s="56">
        <f>IF(NOT((COUNTA($B296:$D296)+COUNTA($G296:$L296)+COUNTA($Q296))&gt;0),"",IF(AND(AND($D296&lt;&gt;"",$V296="Macro"),N($AH296)&gt;0),CHOOSE(MATCH($D296,ListaPuestos,0),INDEX('Cronograma R. Operacional'!$O$5:$O$1000,$AH296),INDEX('Cronograma R. Normativo'!$O$5:$O$1000,$AH296),INDEX('Cronograma R. Financiero'!$O$5:$O$1000,$AH296),INDEX('Cronograma Asistente Técnico'!$O$5:$O$1000,$AH296))&amp;"",IF(ISNUMBER($G296),IF(AND(ISNUMBER($AN296),$G296&gt;$AN296),"Cumplida con "&amp;($G296-$AN296)&amp;IF($G296-$AN296=1," día"," días")&amp;" de retraso","Cumplida"),IF(N($M296)&gt;=1,"Cumplida",IF(NOT(ISNUMBER($AN296)),"Sin fecha límite",IF($AN296&lt;FechaRef,"Vencida hace "&amp;(FechaRef-$AN296)&amp;IF(FechaRef-$AN296=1," día"," días"),IF($AN296=FechaRef,"Vence hoy",IF($AN296-FechaRef&lt;=DiasAlerta,"Vence en "&amp;($AN296-FechaRef)&amp;IF($AN296-FechaRef=1," día"," días"),"En plazo"))))))))</f>
        <v/>
      </c>
      <c r="P296" s="62">
        <f>IF(NOT((COUNTA($B296:$D296)+COUNTA($G296:$L296)+COUNTA($Q296))&gt;0),"",IF($D296="","Propia",IF($V296&lt;&gt;"Macro","Solo se delegan macroactividades",IF(N($AH296)&gt;0,"✔ Recibida por "&amp;$D296,"⚠ "&amp;$D296&amp;" aún no la agrega"))))</f>
        <v/>
      </c>
      <c r="Q296" s="58" t="n"/>
      <c r="R296" s="63">
        <f>IF(NOT((COUNTA($B296:$D296)+COUNTA($G296:$L296)+COUNTA($Q296))&gt;0),"",IF((IF($C296="","Falta el nombre de la actividad"&amp;" · ","")&amp;IF(AND($V296="Sub",N($U296)=0),"Subactividad sin macroactividad arriba"&amp;" · ","")&amp;IF($AM296="","Sin fecha de inicio"&amp;" · ","")&amp;IF($AN296="","Sin fecha límite"&amp;" · ","")&amp;IF(AND(LEFT($C296,11)="[Jefatura] ",N($AL296)=0),"No se encuentra en la hoja de la jefatura (elíjala de nuevo en la lista)"&amp;" · ","")&amp;IF(OR(AND($E296&lt;&gt;"",NOT(ISNUMBER($E296))),AND($F296&lt;&gt;"",NOT(ISNUMBER($F296))),AND($G296&lt;&gt;"",NOT(ISNUMBER($G296)))),"Fecha no válida"&amp;" · ","")&amp;IF(AND(ISNUMBER($AM296),ISNUMBER($AN296),$AM296&gt;$AN296),"Inicio posterior a fecha límite"&amp;" · ","")&amp;IF(AND($V296="Macro",$H296&lt;&gt;"",OR(NOT(ISNUMBER($H296)),$H296&lt;0,$H296&gt;1)),"Peso fuera de rango"&amp;" · ","")&amp;IF(AND($V296="Sub",$H296&lt;&gt;""),"Las subactividades no llevan peso (valen igual dentro de su macroactividad)"&amp;" · ","")&amp;IF(AND(N($W296)&gt;0,COUNT($I296:$L296)&gt;0),"Con subactividades: deje vacías las semanas (se calculan solas)"&amp;" · ","")&amp;IF((COUNTIF($I296:$L296,"&gt;1")+COUNTIF($I296:$L296,"&lt;0")+COUNTA($I296:$L296)-COUNT($I296:$L296))&gt;0,"Avance fuera de rango 0-100%"&amp;" · ","")&amp;IF(OR(AND($J296&lt;&gt;"",$J296&lt;$I296),AND($K296&lt;&gt;"",$K296&lt;MAX($I296:$J296)),AND($L296&lt;&gt;"",$L296&lt;MAX($I296:$K296))),"Avance semanal decreciente"&amp;" · ","")&amp;IF(AND(ISNUMBER($AN296),$AN296&lt;FechaRef,IF($V296="Sub",N($X296),N($M296))&lt;1),"Vencida"&amp;" · ","")&amp;IF(AND(ObsObligatoria="Sí",ISNUMBER($AN296),$AN296&lt;FechaRef,IF($V296="Sub",N($X296),N($M296))&lt;1,$Q296=""),"Vencida sin observación"&amp;" · ",""))="","✔ OK","⚠ "&amp;LEFT(IF($C296="","Falta el nombre de la actividad"&amp;" · ","")&amp;IF(AND($V296="Sub",N($U296)=0),"Subactividad sin macroactividad arriba"&amp;" · ","")&amp;IF($AM296="","Sin fecha de inicio"&amp;" · ","")&amp;IF($AN296="","Sin fecha límite"&amp;" · ","")&amp;IF(AND(LEFT($C296,11)="[Jefatura] ",N($AL296)=0),"No se encuentra en la hoja de la jefatura (elíjala de nuevo en la lista)"&amp;" · ","")&amp;IF(OR(AND($E296&lt;&gt;"",NOT(ISNUMBER($E296))),AND($F296&lt;&gt;"",NOT(ISNUMBER($F296))),AND($G296&lt;&gt;"",NOT(ISNUMBER($G296)))),"Fecha no válida"&amp;" · ","")&amp;IF(AND(ISNUMBER($AM296),ISNUMBER($AN296),$AM296&gt;$AN296),"Inicio posterior a fecha límite"&amp;" · ","")&amp;IF(AND($V296="Macro",$H296&lt;&gt;"",OR(NOT(ISNUMBER($H296)),$H296&lt;0,$H296&gt;1)),"Peso fuera de rango"&amp;" · ","")&amp;IF(AND($V296="Sub",$H296&lt;&gt;""),"Las subactividades no llevan peso (valen igual dentro de su macroactividad)"&amp;" · ","")&amp;IF(AND(N($W296)&gt;0,COUNT($I296:$L296)&gt;0),"Con subactividades: deje vacías las semanas (se calculan solas)"&amp;" · ","")&amp;IF((COUNTIF($I296:$L296,"&gt;1")+COUNTIF($I296:$L296,"&lt;0")+COUNTA($I296:$L296)-COUNT($I296:$L296))&gt;0,"Avance fuera de rango 0-100%"&amp;" · ","")&amp;IF(OR(AND($J296&lt;&gt;"",$J296&lt;$I296),AND($K296&lt;&gt;"",$K296&lt;MAX($I296:$J296)),AND($L296&lt;&gt;"",$L296&lt;MAX($I296:$K296))),"Avance semanal decreciente"&amp;" · ","")&amp;IF(AND(ISNUMBER($AN296),$AN296&lt;FechaRef,IF($V296="Sub",N($X296),N($M296))&lt;1),"Vencida"&amp;" · ","")&amp;IF(AND(ObsObligatoria="Sí",ISNUMBER($AN296),$AN296&lt;FechaRef,IF($V296="Sub",N($X296),N($M296))&lt;1,$Q296=""),"Vencida sin observación"&amp;" · ",""),LEN(IF($C296="","Falta el nombre de la actividad"&amp;" · ","")&amp;IF(AND($V296="Sub",N($U296)=0),"Subactividad sin macroactividad arriba"&amp;" · ","")&amp;IF($AM296="","Sin fecha de inicio"&amp;" · ","")&amp;IF($AN296="","Sin fecha límite"&amp;" · ","")&amp;IF(AND(LEFT($C296,11)="[Jefatura] ",N($AL296)=0),"No se encuentra en la hoja de la jefatura (elíjala de nuevo en la lista)"&amp;" · ","")&amp;IF(OR(AND($E296&lt;&gt;"",NOT(ISNUMBER($E296))),AND($F296&lt;&gt;"",NOT(ISNUMBER($F296))),AND($G296&lt;&gt;"",NOT(ISNUMBER($G296)))),"Fecha no válida"&amp;" · ","")&amp;IF(AND(ISNUMBER($AM296),ISNUMBER($AN296),$AM296&gt;$AN296),"Inicio posterior a fecha límite"&amp;" · ","")&amp;IF(AND($V296="Macro",$H296&lt;&gt;"",OR(NOT(ISNUMBER($H296)),$H296&lt;0,$H296&gt;1)),"Peso fuera de rango"&amp;" · ","")&amp;IF(AND($V296="Sub",$H296&lt;&gt;""),"Las subactividades no llevan peso (valen igual dentro de su macroactividad)"&amp;" · ","")&amp;IF(AND(N($W296)&gt;0,COUNT($I296:$L296)&gt;0),"Con subactividades: deje vacías las semanas (se calculan solas)"&amp;" · ","")&amp;IF((COUNTIF($I296:$L296,"&gt;1")+COUNTIF($I296:$L296,"&lt;0")+COUNTA($I296:$L296)-COUNT($I296:$L296))&gt;0,"Avance fuera de rango 0-100%"&amp;" · ","")&amp;IF(OR(AND($J296&lt;&gt;"",$J296&lt;$I296),AND($K296&lt;&gt;"",$K296&lt;MAX($I296:$J296)),AND($L296&lt;&gt;"",$L296&lt;MAX($I296:$K296))),"Avance semanal decreciente"&amp;" · ","")&amp;IF(AND(ISNUMBER($AN296),$AN296&lt;FechaRef,IF($V296="Sub",N($X296),N($M296))&lt;1),"Vencida"&amp;" · ","")&amp;IF(AND(ObsObligatoria="Sí",ISNUMBER($AN296),$AN296&lt;FechaRef,IF($V296="Sub",N($X296),N($M296))&lt;1,$Q296=""),"Vencida sin observación"&amp;" · ",""))-3)))</f>
        <v/>
      </c>
      <c r="S296" s="64">
        <f>IF(NOT((COUNTA($B296:$D296)+COUNTA($G296:$L296)+COUNTA($Q296))&gt;0),"",IF(AND($V296="Sub",N($U296)&gt;0),IF(ISNUMBER(INDEX($AM$5:$AM$1000,$U296-4)),DATE(YEAR(INDEX($AM$5:$AM$1000,$U296-4)),MONTH(INDEX($AM$5:$AM$1000,$U296-4)),1),IF(ISNUMBER(INDEX($AN$5:$AN$1000,$U296-4)),DATE(YEAR(INDEX($AN$5:$AN$1000,$U296-4)),MONTH(INDEX($AN$5:$AN$1000,$U296-4)),1),MesCiclo)),IF(ISNUMBER($AM296),DATE(YEAR($AM296),MONTH($AM296),1),IF(ISNUMBER($AN296),DATE(YEAR($AN296),MONTH($AN296),1),MesCiclo))))</f>
        <v/>
      </c>
      <c r="T296" s="62">
        <f>IF(OR($S296="",$S296&lt;&gt;MesCiclo,$V296&lt;&gt;"Macro"),"",COUNTIFS($S$5:$S296,MesCiclo,$V$5:$V296,"Macro"))</f>
        <v/>
      </c>
      <c r="U296" s="62">
        <f>IF($V296="","",IF($V296="Macro",ROW(),IFERROR(LOOKUP(2,1/($V$5:$V296="Macro"),ROW($V$5:$V296)),0)))</f>
        <v/>
      </c>
      <c r="V296" s="62">
        <f>IF(NOT((COUNTA($B296:$D296)+COUNTA($G296:$L296)+COUNTA($Q296))&gt;0),"",IF($B296="Subactividad","Sub","Macro"))</f>
        <v/>
      </c>
      <c r="W296" s="62">
        <f>IF($V296="Macro",COUNTIFS($U$5:$U$1000,ROW(),$V$5:$V$1000,"Sub"),"")</f>
        <v/>
      </c>
      <c r="X296" s="62">
        <f>IF($V296="","",IF(ISNUMBER($G296),1,IFERROR(LOOKUP(2,1/($I296:$L296&lt;&gt;""),$I296:$L296),0)))</f>
        <v/>
      </c>
      <c r="Y296" s="62">
        <f>IF($V296="","",IF(AND(ISNUMBER($G296),$G296&lt;=IF($S296=MesCiclo,InicioCiclo,$S296+MOD(2-WEEKDAY($S296),7))+6),1,IF(ISNUMBER($I296),$I296,0)))</f>
        <v/>
      </c>
      <c r="Z296" s="62">
        <f>IF($V296="","",IF(AND(ISNUMBER($G296),$G296&lt;=IF($S296=MesCiclo,InicioCiclo,$S296+MOD(2-WEEKDAY($S296),7))+13),1,IF(ISNUMBER($J296),$J296,$Y296)))</f>
        <v/>
      </c>
      <c r="AA296" s="62">
        <f>IF($V296="","",IF(AND(ISNUMBER($G296),$G296&lt;=IF($S296=MesCiclo,InicioCiclo,$S296+MOD(2-WEEKDAY($S296),7))+20),1,IF(ISNUMBER($K296),$K296,$Z296)))</f>
        <v/>
      </c>
      <c r="AB296" s="62">
        <f>IF($V296="","",IF(AND(ISNUMBER($G296),$G296&lt;=IF($S296=MesCiclo,InicioCiclo,$S296+MOD(2-WEEKDAY($S296),7))+27),1,IF(ISNUMBER($L296),$L296,$AA296)))</f>
        <v/>
      </c>
      <c r="AC296" s="62">
        <f>IF($V296="","",IF(AND(ISNUMBER($G296),$G296&lt;=IF($S296=MesCiclo,InicioCiclo,$S296+MOD(2-WEEKDAY($S296),7))+6),1,IF(N($W296)&gt;0,AVERAGEIFS($Y$5:$Y$1000,$U$5:$U$1000,ROW(),$V$5:$V$1000,"Sub"),$Y296)))</f>
        <v/>
      </c>
      <c r="AD296" s="62">
        <f>IF($V296="","",IF(AND(ISNUMBER($G296),$G296&lt;=IF($S296=MesCiclo,InicioCiclo,$S296+MOD(2-WEEKDAY($S296),7))+13),1,IF(N($W296)&gt;0,AVERAGEIFS($Z$5:$Z$1000,$U$5:$U$1000,ROW(),$V$5:$V$1000,"Sub"),$Z296)))</f>
        <v/>
      </c>
      <c r="AE296" s="62">
        <f>IF($V296="","",IF(AND(ISNUMBER($G296),$G296&lt;=IF($S296=MesCiclo,InicioCiclo,$S296+MOD(2-WEEKDAY($S296),7))+20),1,IF(N($W296)&gt;0,AVERAGEIFS($AA$5:$AA$1000,$U$5:$U$1000,ROW(),$V$5:$V$1000,"Sub"),$AA296)))</f>
        <v/>
      </c>
      <c r="AF296" s="62">
        <f>IF($V296="","",IF(AND(ISNUMBER($G296),$G296&lt;=IF($S296=MesCiclo,InicioCiclo,$S296+MOD(2-WEEKDAY($S296),7))+27),1,IF(N($W296)&gt;0,AVERAGEIFS($AB$5:$AB$1000,$U$5:$U$1000,ROW(),$V$5:$V$1000,"Sub"),$AB296)))</f>
        <v/>
      </c>
      <c r="AG296" s="62">
        <f>IF($V296&lt;&gt;"Macro","",IF(COUNTIFS($S$5:$S$1000,$S296,$V$5:$V$1000,"Macro",$H$5:$H$1000,"&gt;0")=0,1/COUNTIFS($S$5:$S$1000,$S296,$V$5:$V$1000,"Macro"),IF(AND(ISNUMBER($H296),N($H296)&gt;0),$H296,SUMIFS($H$5:$H$1000,$S$5:$S$1000,$S296,$V$5:$V$1000,"Macro")/COUNTIFS($S$5:$S$1000,$S296,$V$5:$V$1000,"Macro",$H$5:$H$1000,"&gt;0"))/(COUNTIFS($S$5:$S$1000,$S296,$V$5:$V$1000,"Macro")*SUMIFS($H$5:$H$1000,$S$5:$S$1000,$S296,$V$5:$V$1000,"Macro")/COUNTIFS($S$5:$S$1000,$S296,$V$5:$V$1000,"Macro",$H$5:$H$1000,"&gt;0"))))</f>
        <v/>
      </c>
      <c r="AH296" s="62">
        <f>IF(NOT(AND($D296&lt;&gt;"",$V296="Macro")),"",IFERROR(CHOOSE(MATCH($D296,ListaPuestos,0),MATCH("[Jefatura] "&amp;$C296,'Cronograma R. Operacional'!$C$5:$C$1000,0),MATCH("[Jefatura] "&amp;$C296,'Cronograma R. Normativo'!$C$5:$C$1000,0),MATCH("[Jefatura] "&amp;$C296,'Cronograma R. Financiero'!$C$5:$C$1000,0),MATCH("[Jefatura] "&amp;$C296,'Cronograma Asistente Técnico'!$C$5:$C$1000,0)),0))</f>
        <v/>
      </c>
      <c r="AI296" s="62">
        <f>IF(AND(AND($D296&lt;&gt;"",$V296="Macro"),$S296=MesCiclo),COUNTIFS($D$5:$D296,$D296,$S$5:$S296,MesCiclo,$V$5:$V296,"Macro"),"")</f>
        <v/>
      </c>
      <c r="AJ296" s="62">
        <f>IF($AI296="","",$D296&amp;"|"&amp;$AI296)</f>
        <v/>
      </c>
      <c r="AK296" s="62">
        <f>IF(AND($D296&lt;&gt;"",$V296="Macro"),$D296&amp;"|"&amp;$C296,"")</f>
        <v/>
      </c>
      <c r="AL296" s="62">
        <f>""</f>
        <v/>
      </c>
      <c r="AM296" s="62">
        <f>IF(N($AL296)&gt;0,INDEX(rIni_ADM,$AL296),IF(ISNUMBER($E296),$E296,""))</f>
        <v/>
      </c>
      <c r="AN296" s="62">
        <f>IF(N($AL296)&gt;0,INDEX(rLim_ADM,$AL296),IF(ISNUMBER($F296),$F296,""))</f>
        <v/>
      </c>
    </row>
    <row r="297">
      <c r="A297" s="56">
        <f>IF(NOT((COUNTA($B297:$D297)+COUNTA($G297:$L297)+COUNTA($Q297))&gt;0),"",IF($V297="Macro",COUNTIFS($V$5:$V297,"Macro",$S$5:$S297,$S297),IF(N($U297)=0,"?",COUNTIFS(INDEX($V$5:$V$1000,1):INDEX($V$5:$V$1000,$U297-4),"Macro",INDEX($S$5:$S$1000,1):INDEX($S$5:$S$1000,$U297-4),INDEX($S$5:$S$1000,$U297-4))&amp;"."&amp;COUNTIFS($U$5:$U297,$U297,$V$5:$V297,"Sub"))))</f>
        <v/>
      </c>
      <c r="B297" s="57" t="n"/>
      <c r="C297" s="58" t="n"/>
      <c r="D297" s="58" t="n"/>
      <c r="E297" s="59" t="n"/>
      <c r="F297" s="59" t="n"/>
      <c r="G297" s="59" t="n"/>
      <c r="H297" s="60" t="n"/>
      <c r="I297" s="60" t="n"/>
      <c r="J297" s="60" t="n"/>
      <c r="K297" s="60" t="n"/>
      <c r="L297" s="60" t="n"/>
      <c r="M297" s="61">
        <f>IF(NOT((COUNTA($B297:$D297)+COUNTA($G297:$L297)+COUNTA($Q297))&gt;0),"",IF(AND($D297&lt;&gt;"",$V297="Macro"),IF(N($AH297)&gt;0,N(CHOOSE(MATCH($D297,ListaPuestos,0),INDEX('Cronograma R. Operacional'!$M$5:$M$1000,$AH297),INDEX('Cronograma R. Normativo'!$M$5:$M$1000,$AH297),INDEX('Cronograma R. Financiero'!$M$5:$M$1000,$AH297),INDEX('Cronograma Asistente Técnico'!$M$5:$M$1000,$AH297))),0),IF(ISNUMBER($G297),1,IF(N($W297)&gt;0,AVERAGEIFS($X$5:$X$1000,$U$5:$U$1000,ROW(),$V$5:$V$1000,"Sub"),$X297))))</f>
        <v/>
      </c>
      <c r="N297" s="56">
        <f>IF(OR($M297="",$V297="Sub"),"",IF($M297&gt;=1,"Completado",IF($M297&gt;0,"En curso","Pendiente")))</f>
        <v/>
      </c>
      <c r="O297" s="56">
        <f>IF(NOT((COUNTA($B297:$D297)+COUNTA($G297:$L297)+COUNTA($Q297))&gt;0),"",IF(AND(AND($D297&lt;&gt;"",$V297="Macro"),N($AH297)&gt;0),CHOOSE(MATCH($D297,ListaPuestos,0),INDEX('Cronograma R. Operacional'!$O$5:$O$1000,$AH297),INDEX('Cronograma R. Normativo'!$O$5:$O$1000,$AH297),INDEX('Cronograma R. Financiero'!$O$5:$O$1000,$AH297),INDEX('Cronograma Asistente Técnico'!$O$5:$O$1000,$AH297))&amp;"",IF(ISNUMBER($G297),IF(AND(ISNUMBER($AN297),$G297&gt;$AN297),"Cumplida con "&amp;($G297-$AN297)&amp;IF($G297-$AN297=1," día"," días")&amp;" de retraso","Cumplida"),IF(N($M297)&gt;=1,"Cumplida",IF(NOT(ISNUMBER($AN297)),"Sin fecha límite",IF($AN297&lt;FechaRef,"Vencida hace "&amp;(FechaRef-$AN297)&amp;IF(FechaRef-$AN297=1," día"," días"),IF($AN297=FechaRef,"Vence hoy",IF($AN297-FechaRef&lt;=DiasAlerta,"Vence en "&amp;($AN297-FechaRef)&amp;IF($AN297-FechaRef=1," día"," días"),"En plazo"))))))))</f>
        <v/>
      </c>
      <c r="P297" s="62">
        <f>IF(NOT((COUNTA($B297:$D297)+COUNTA($G297:$L297)+COUNTA($Q297))&gt;0),"",IF($D297="","Propia",IF($V297&lt;&gt;"Macro","Solo se delegan macroactividades",IF(N($AH297)&gt;0,"✔ Recibida por "&amp;$D297,"⚠ "&amp;$D297&amp;" aún no la agrega"))))</f>
        <v/>
      </c>
      <c r="Q297" s="58" t="n"/>
      <c r="R297" s="63">
        <f>IF(NOT((COUNTA($B297:$D297)+COUNTA($G297:$L297)+COUNTA($Q297))&gt;0),"",IF((IF($C297="","Falta el nombre de la actividad"&amp;" · ","")&amp;IF(AND($V297="Sub",N($U297)=0),"Subactividad sin macroactividad arriba"&amp;" · ","")&amp;IF($AM297="","Sin fecha de inicio"&amp;" · ","")&amp;IF($AN297="","Sin fecha límite"&amp;" · ","")&amp;IF(AND(LEFT($C297,11)="[Jefatura] ",N($AL297)=0),"No se encuentra en la hoja de la jefatura (elíjala de nuevo en la lista)"&amp;" · ","")&amp;IF(OR(AND($E297&lt;&gt;"",NOT(ISNUMBER($E297))),AND($F297&lt;&gt;"",NOT(ISNUMBER($F297))),AND($G297&lt;&gt;"",NOT(ISNUMBER($G297)))),"Fecha no válida"&amp;" · ","")&amp;IF(AND(ISNUMBER($AM297),ISNUMBER($AN297),$AM297&gt;$AN297),"Inicio posterior a fecha límite"&amp;" · ","")&amp;IF(AND($V297="Macro",$H297&lt;&gt;"",OR(NOT(ISNUMBER($H297)),$H297&lt;0,$H297&gt;1)),"Peso fuera de rango"&amp;" · ","")&amp;IF(AND($V297="Sub",$H297&lt;&gt;""),"Las subactividades no llevan peso (valen igual dentro de su macroactividad)"&amp;" · ","")&amp;IF(AND(N($W297)&gt;0,COUNT($I297:$L297)&gt;0),"Con subactividades: deje vacías las semanas (se calculan solas)"&amp;" · ","")&amp;IF((COUNTIF($I297:$L297,"&gt;1")+COUNTIF($I297:$L297,"&lt;0")+COUNTA($I297:$L297)-COUNT($I297:$L297))&gt;0,"Avance fuera de rango 0-100%"&amp;" · ","")&amp;IF(OR(AND($J297&lt;&gt;"",$J297&lt;$I297),AND($K297&lt;&gt;"",$K297&lt;MAX($I297:$J297)),AND($L297&lt;&gt;"",$L297&lt;MAX($I297:$K297))),"Avance semanal decreciente"&amp;" · ","")&amp;IF(AND(ISNUMBER($AN297),$AN297&lt;FechaRef,IF($V297="Sub",N($X297),N($M297))&lt;1),"Vencida"&amp;" · ","")&amp;IF(AND(ObsObligatoria="Sí",ISNUMBER($AN297),$AN297&lt;FechaRef,IF($V297="Sub",N($X297),N($M297))&lt;1,$Q297=""),"Vencida sin observación"&amp;" · ",""))="","✔ OK","⚠ "&amp;LEFT(IF($C297="","Falta el nombre de la actividad"&amp;" · ","")&amp;IF(AND($V297="Sub",N($U297)=0),"Subactividad sin macroactividad arriba"&amp;" · ","")&amp;IF($AM297="","Sin fecha de inicio"&amp;" · ","")&amp;IF($AN297="","Sin fecha límite"&amp;" · ","")&amp;IF(AND(LEFT($C297,11)="[Jefatura] ",N($AL297)=0),"No se encuentra en la hoja de la jefatura (elíjala de nuevo en la lista)"&amp;" · ","")&amp;IF(OR(AND($E297&lt;&gt;"",NOT(ISNUMBER($E297))),AND($F297&lt;&gt;"",NOT(ISNUMBER($F297))),AND($G297&lt;&gt;"",NOT(ISNUMBER($G297)))),"Fecha no válida"&amp;" · ","")&amp;IF(AND(ISNUMBER($AM297),ISNUMBER($AN297),$AM297&gt;$AN297),"Inicio posterior a fecha límite"&amp;" · ","")&amp;IF(AND($V297="Macro",$H297&lt;&gt;"",OR(NOT(ISNUMBER($H297)),$H297&lt;0,$H297&gt;1)),"Peso fuera de rango"&amp;" · ","")&amp;IF(AND($V297="Sub",$H297&lt;&gt;""),"Las subactividades no llevan peso (valen igual dentro de su macroactividad)"&amp;" · ","")&amp;IF(AND(N($W297)&gt;0,COUNT($I297:$L297)&gt;0),"Con subactividades: deje vacías las semanas (se calculan solas)"&amp;" · ","")&amp;IF((COUNTIF($I297:$L297,"&gt;1")+COUNTIF($I297:$L297,"&lt;0")+COUNTA($I297:$L297)-COUNT($I297:$L297))&gt;0,"Avance fuera de rango 0-100%"&amp;" · ","")&amp;IF(OR(AND($J297&lt;&gt;"",$J297&lt;$I297),AND($K297&lt;&gt;"",$K297&lt;MAX($I297:$J297)),AND($L297&lt;&gt;"",$L297&lt;MAX($I297:$K297))),"Avance semanal decreciente"&amp;" · ","")&amp;IF(AND(ISNUMBER($AN297),$AN297&lt;FechaRef,IF($V297="Sub",N($X297),N($M297))&lt;1),"Vencida"&amp;" · ","")&amp;IF(AND(ObsObligatoria="Sí",ISNUMBER($AN297),$AN297&lt;FechaRef,IF($V297="Sub",N($X297),N($M297))&lt;1,$Q297=""),"Vencida sin observación"&amp;" · ",""),LEN(IF($C297="","Falta el nombre de la actividad"&amp;" · ","")&amp;IF(AND($V297="Sub",N($U297)=0),"Subactividad sin macroactividad arriba"&amp;" · ","")&amp;IF($AM297="","Sin fecha de inicio"&amp;" · ","")&amp;IF($AN297="","Sin fecha límite"&amp;" · ","")&amp;IF(AND(LEFT($C297,11)="[Jefatura] ",N($AL297)=0),"No se encuentra en la hoja de la jefatura (elíjala de nuevo en la lista)"&amp;" · ","")&amp;IF(OR(AND($E297&lt;&gt;"",NOT(ISNUMBER($E297))),AND($F297&lt;&gt;"",NOT(ISNUMBER($F297))),AND($G297&lt;&gt;"",NOT(ISNUMBER($G297)))),"Fecha no válida"&amp;" · ","")&amp;IF(AND(ISNUMBER($AM297),ISNUMBER($AN297),$AM297&gt;$AN297),"Inicio posterior a fecha límite"&amp;" · ","")&amp;IF(AND($V297="Macro",$H297&lt;&gt;"",OR(NOT(ISNUMBER($H297)),$H297&lt;0,$H297&gt;1)),"Peso fuera de rango"&amp;" · ","")&amp;IF(AND($V297="Sub",$H297&lt;&gt;""),"Las subactividades no llevan peso (valen igual dentro de su macroactividad)"&amp;" · ","")&amp;IF(AND(N($W297)&gt;0,COUNT($I297:$L297)&gt;0),"Con subactividades: deje vacías las semanas (se calculan solas)"&amp;" · ","")&amp;IF((COUNTIF($I297:$L297,"&gt;1")+COUNTIF($I297:$L297,"&lt;0")+COUNTA($I297:$L297)-COUNT($I297:$L297))&gt;0,"Avance fuera de rango 0-100%"&amp;" · ","")&amp;IF(OR(AND($J297&lt;&gt;"",$J297&lt;$I297),AND($K297&lt;&gt;"",$K297&lt;MAX($I297:$J297)),AND($L297&lt;&gt;"",$L297&lt;MAX($I297:$K297))),"Avance semanal decreciente"&amp;" · ","")&amp;IF(AND(ISNUMBER($AN297),$AN297&lt;FechaRef,IF($V297="Sub",N($X297),N($M297))&lt;1),"Vencida"&amp;" · ","")&amp;IF(AND(ObsObligatoria="Sí",ISNUMBER($AN297),$AN297&lt;FechaRef,IF($V297="Sub",N($X297),N($M297))&lt;1,$Q297=""),"Vencida sin observación"&amp;" · ",""))-3)))</f>
        <v/>
      </c>
      <c r="S297" s="64">
        <f>IF(NOT((COUNTA($B297:$D297)+COUNTA($G297:$L297)+COUNTA($Q297))&gt;0),"",IF(AND($V297="Sub",N($U297)&gt;0),IF(ISNUMBER(INDEX($AM$5:$AM$1000,$U297-4)),DATE(YEAR(INDEX($AM$5:$AM$1000,$U297-4)),MONTH(INDEX($AM$5:$AM$1000,$U297-4)),1),IF(ISNUMBER(INDEX($AN$5:$AN$1000,$U297-4)),DATE(YEAR(INDEX($AN$5:$AN$1000,$U297-4)),MONTH(INDEX($AN$5:$AN$1000,$U297-4)),1),MesCiclo)),IF(ISNUMBER($AM297),DATE(YEAR($AM297),MONTH($AM297),1),IF(ISNUMBER($AN297),DATE(YEAR($AN297),MONTH($AN297),1),MesCiclo))))</f>
        <v/>
      </c>
      <c r="T297" s="62">
        <f>IF(OR($S297="",$S297&lt;&gt;MesCiclo,$V297&lt;&gt;"Macro"),"",COUNTIFS($S$5:$S297,MesCiclo,$V$5:$V297,"Macro"))</f>
        <v/>
      </c>
      <c r="U297" s="62">
        <f>IF($V297="","",IF($V297="Macro",ROW(),IFERROR(LOOKUP(2,1/($V$5:$V297="Macro"),ROW($V$5:$V297)),0)))</f>
        <v/>
      </c>
      <c r="V297" s="62">
        <f>IF(NOT((COUNTA($B297:$D297)+COUNTA($G297:$L297)+COUNTA($Q297))&gt;0),"",IF($B297="Subactividad","Sub","Macro"))</f>
        <v/>
      </c>
      <c r="W297" s="62">
        <f>IF($V297="Macro",COUNTIFS($U$5:$U$1000,ROW(),$V$5:$V$1000,"Sub"),"")</f>
        <v/>
      </c>
      <c r="X297" s="62">
        <f>IF($V297="","",IF(ISNUMBER($G297),1,IFERROR(LOOKUP(2,1/($I297:$L297&lt;&gt;""),$I297:$L297),0)))</f>
        <v/>
      </c>
      <c r="Y297" s="62">
        <f>IF($V297="","",IF(AND(ISNUMBER($G297),$G297&lt;=IF($S297=MesCiclo,InicioCiclo,$S297+MOD(2-WEEKDAY($S297),7))+6),1,IF(ISNUMBER($I297),$I297,0)))</f>
        <v/>
      </c>
      <c r="Z297" s="62">
        <f>IF($V297="","",IF(AND(ISNUMBER($G297),$G297&lt;=IF($S297=MesCiclo,InicioCiclo,$S297+MOD(2-WEEKDAY($S297),7))+13),1,IF(ISNUMBER($J297),$J297,$Y297)))</f>
        <v/>
      </c>
      <c r="AA297" s="62">
        <f>IF($V297="","",IF(AND(ISNUMBER($G297),$G297&lt;=IF($S297=MesCiclo,InicioCiclo,$S297+MOD(2-WEEKDAY($S297),7))+20),1,IF(ISNUMBER($K297),$K297,$Z297)))</f>
        <v/>
      </c>
      <c r="AB297" s="62">
        <f>IF($V297="","",IF(AND(ISNUMBER($G297),$G297&lt;=IF($S297=MesCiclo,InicioCiclo,$S297+MOD(2-WEEKDAY($S297),7))+27),1,IF(ISNUMBER($L297),$L297,$AA297)))</f>
        <v/>
      </c>
      <c r="AC297" s="62">
        <f>IF($V297="","",IF(AND(ISNUMBER($G297),$G297&lt;=IF($S297=MesCiclo,InicioCiclo,$S297+MOD(2-WEEKDAY($S297),7))+6),1,IF(N($W297)&gt;0,AVERAGEIFS($Y$5:$Y$1000,$U$5:$U$1000,ROW(),$V$5:$V$1000,"Sub"),$Y297)))</f>
        <v/>
      </c>
      <c r="AD297" s="62">
        <f>IF($V297="","",IF(AND(ISNUMBER($G297),$G297&lt;=IF($S297=MesCiclo,InicioCiclo,$S297+MOD(2-WEEKDAY($S297),7))+13),1,IF(N($W297)&gt;0,AVERAGEIFS($Z$5:$Z$1000,$U$5:$U$1000,ROW(),$V$5:$V$1000,"Sub"),$Z297)))</f>
        <v/>
      </c>
      <c r="AE297" s="62">
        <f>IF($V297="","",IF(AND(ISNUMBER($G297),$G297&lt;=IF($S297=MesCiclo,InicioCiclo,$S297+MOD(2-WEEKDAY($S297),7))+20),1,IF(N($W297)&gt;0,AVERAGEIFS($AA$5:$AA$1000,$U$5:$U$1000,ROW(),$V$5:$V$1000,"Sub"),$AA297)))</f>
        <v/>
      </c>
      <c r="AF297" s="62">
        <f>IF($V297="","",IF(AND(ISNUMBER($G297),$G297&lt;=IF($S297=MesCiclo,InicioCiclo,$S297+MOD(2-WEEKDAY($S297),7))+27),1,IF(N($W297)&gt;0,AVERAGEIFS($AB$5:$AB$1000,$U$5:$U$1000,ROW(),$V$5:$V$1000,"Sub"),$AB297)))</f>
        <v/>
      </c>
      <c r="AG297" s="62">
        <f>IF($V297&lt;&gt;"Macro","",IF(COUNTIFS($S$5:$S$1000,$S297,$V$5:$V$1000,"Macro",$H$5:$H$1000,"&gt;0")=0,1/COUNTIFS($S$5:$S$1000,$S297,$V$5:$V$1000,"Macro"),IF(AND(ISNUMBER($H297),N($H297)&gt;0),$H297,SUMIFS($H$5:$H$1000,$S$5:$S$1000,$S297,$V$5:$V$1000,"Macro")/COUNTIFS($S$5:$S$1000,$S297,$V$5:$V$1000,"Macro",$H$5:$H$1000,"&gt;0"))/(COUNTIFS($S$5:$S$1000,$S297,$V$5:$V$1000,"Macro")*SUMIFS($H$5:$H$1000,$S$5:$S$1000,$S297,$V$5:$V$1000,"Macro")/COUNTIFS($S$5:$S$1000,$S297,$V$5:$V$1000,"Macro",$H$5:$H$1000,"&gt;0"))))</f>
        <v/>
      </c>
      <c r="AH297" s="62">
        <f>IF(NOT(AND($D297&lt;&gt;"",$V297="Macro")),"",IFERROR(CHOOSE(MATCH($D297,ListaPuestos,0),MATCH("[Jefatura] "&amp;$C297,'Cronograma R. Operacional'!$C$5:$C$1000,0),MATCH("[Jefatura] "&amp;$C297,'Cronograma R. Normativo'!$C$5:$C$1000,0),MATCH("[Jefatura] "&amp;$C297,'Cronograma R. Financiero'!$C$5:$C$1000,0),MATCH("[Jefatura] "&amp;$C297,'Cronograma Asistente Técnico'!$C$5:$C$1000,0)),0))</f>
        <v/>
      </c>
      <c r="AI297" s="62">
        <f>IF(AND(AND($D297&lt;&gt;"",$V297="Macro"),$S297=MesCiclo),COUNTIFS($D$5:$D297,$D297,$S$5:$S297,MesCiclo,$V$5:$V297,"Macro"),"")</f>
        <v/>
      </c>
      <c r="AJ297" s="62">
        <f>IF($AI297="","",$D297&amp;"|"&amp;$AI297)</f>
        <v/>
      </c>
      <c r="AK297" s="62">
        <f>IF(AND($D297&lt;&gt;"",$V297="Macro"),$D297&amp;"|"&amp;$C297,"")</f>
        <v/>
      </c>
      <c r="AL297" s="62">
        <f>""</f>
        <v/>
      </c>
      <c r="AM297" s="62">
        <f>IF(N($AL297)&gt;0,INDEX(rIni_ADM,$AL297),IF(ISNUMBER($E297),$E297,""))</f>
        <v/>
      </c>
      <c r="AN297" s="62">
        <f>IF(N($AL297)&gt;0,INDEX(rLim_ADM,$AL297),IF(ISNUMBER($F297),$F297,""))</f>
        <v/>
      </c>
    </row>
    <row r="298">
      <c r="A298" s="56">
        <f>IF(NOT((COUNTA($B298:$D298)+COUNTA($G298:$L298)+COUNTA($Q298))&gt;0),"",IF($V298="Macro",COUNTIFS($V$5:$V298,"Macro",$S$5:$S298,$S298),IF(N($U298)=0,"?",COUNTIFS(INDEX($V$5:$V$1000,1):INDEX($V$5:$V$1000,$U298-4),"Macro",INDEX($S$5:$S$1000,1):INDEX($S$5:$S$1000,$U298-4),INDEX($S$5:$S$1000,$U298-4))&amp;"."&amp;COUNTIFS($U$5:$U298,$U298,$V$5:$V298,"Sub"))))</f>
        <v/>
      </c>
      <c r="B298" s="57" t="n"/>
      <c r="C298" s="58" t="n"/>
      <c r="D298" s="58" t="n"/>
      <c r="E298" s="59" t="n"/>
      <c r="F298" s="59" t="n"/>
      <c r="G298" s="59" t="n"/>
      <c r="H298" s="60" t="n"/>
      <c r="I298" s="60" t="n"/>
      <c r="J298" s="60" t="n"/>
      <c r="K298" s="60" t="n"/>
      <c r="L298" s="60" t="n"/>
      <c r="M298" s="61">
        <f>IF(NOT((COUNTA($B298:$D298)+COUNTA($G298:$L298)+COUNTA($Q298))&gt;0),"",IF(AND($D298&lt;&gt;"",$V298="Macro"),IF(N($AH298)&gt;0,N(CHOOSE(MATCH($D298,ListaPuestos,0),INDEX('Cronograma R. Operacional'!$M$5:$M$1000,$AH298),INDEX('Cronograma R. Normativo'!$M$5:$M$1000,$AH298),INDEX('Cronograma R. Financiero'!$M$5:$M$1000,$AH298),INDEX('Cronograma Asistente Técnico'!$M$5:$M$1000,$AH298))),0),IF(ISNUMBER($G298),1,IF(N($W298)&gt;0,AVERAGEIFS($X$5:$X$1000,$U$5:$U$1000,ROW(),$V$5:$V$1000,"Sub"),$X298))))</f>
        <v/>
      </c>
      <c r="N298" s="56">
        <f>IF(OR($M298="",$V298="Sub"),"",IF($M298&gt;=1,"Completado",IF($M298&gt;0,"En curso","Pendiente")))</f>
        <v/>
      </c>
      <c r="O298" s="56">
        <f>IF(NOT((COUNTA($B298:$D298)+COUNTA($G298:$L298)+COUNTA($Q298))&gt;0),"",IF(AND(AND($D298&lt;&gt;"",$V298="Macro"),N($AH298)&gt;0),CHOOSE(MATCH($D298,ListaPuestos,0),INDEX('Cronograma R. Operacional'!$O$5:$O$1000,$AH298),INDEX('Cronograma R. Normativo'!$O$5:$O$1000,$AH298),INDEX('Cronograma R. Financiero'!$O$5:$O$1000,$AH298),INDEX('Cronograma Asistente Técnico'!$O$5:$O$1000,$AH298))&amp;"",IF(ISNUMBER($G298),IF(AND(ISNUMBER($AN298),$G298&gt;$AN298),"Cumplida con "&amp;($G298-$AN298)&amp;IF($G298-$AN298=1," día"," días")&amp;" de retraso","Cumplida"),IF(N($M298)&gt;=1,"Cumplida",IF(NOT(ISNUMBER($AN298)),"Sin fecha límite",IF($AN298&lt;FechaRef,"Vencida hace "&amp;(FechaRef-$AN298)&amp;IF(FechaRef-$AN298=1," día"," días"),IF($AN298=FechaRef,"Vence hoy",IF($AN298-FechaRef&lt;=DiasAlerta,"Vence en "&amp;($AN298-FechaRef)&amp;IF($AN298-FechaRef=1," día"," días"),"En plazo"))))))))</f>
        <v/>
      </c>
      <c r="P298" s="62">
        <f>IF(NOT((COUNTA($B298:$D298)+COUNTA($G298:$L298)+COUNTA($Q298))&gt;0),"",IF($D298="","Propia",IF($V298&lt;&gt;"Macro","Solo se delegan macroactividades",IF(N($AH298)&gt;0,"✔ Recibida por "&amp;$D298,"⚠ "&amp;$D298&amp;" aún no la agrega"))))</f>
        <v/>
      </c>
      <c r="Q298" s="58" t="n"/>
      <c r="R298" s="63">
        <f>IF(NOT((COUNTA($B298:$D298)+COUNTA($G298:$L298)+COUNTA($Q298))&gt;0),"",IF((IF($C298="","Falta el nombre de la actividad"&amp;" · ","")&amp;IF(AND($V298="Sub",N($U298)=0),"Subactividad sin macroactividad arriba"&amp;" · ","")&amp;IF($AM298="","Sin fecha de inicio"&amp;" · ","")&amp;IF($AN298="","Sin fecha límite"&amp;" · ","")&amp;IF(AND(LEFT($C298,11)="[Jefatura] ",N($AL298)=0),"No se encuentra en la hoja de la jefatura (elíjala de nuevo en la lista)"&amp;" · ","")&amp;IF(OR(AND($E298&lt;&gt;"",NOT(ISNUMBER($E298))),AND($F298&lt;&gt;"",NOT(ISNUMBER($F298))),AND($G298&lt;&gt;"",NOT(ISNUMBER($G298)))),"Fecha no válida"&amp;" · ","")&amp;IF(AND(ISNUMBER($AM298),ISNUMBER($AN298),$AM298&gt;$AN298),"Inicio posterior a fecha límite"&amp;" · ","")&amp;IF(AND($V298="Macro",$H298&lt;&gt;"",OR(NOT(ISNUMBER($H298)),$H298&lt;0,$H298&gt;1)),"Peso fuera de rango"&amp;" · ","")&amp;IF(AND($V298="Sub",$H298&lt;&gt;""),"Las subactividades no llevan peso (valen igual dentro de su macroactividad)"&amp;" · ","")&amp;IF(AND(N($W298)&gt;0,COUNT($I298:$L298)&gt;0),"Con subactividades: deje vacías las semanas (se calculan solas)"&amp;" · ","")&amp;IF((COUNTIF($I298:$L298,"&gt;1")+COUNTIF($I298:$L298,"&lt;0")+COUNTA($I298:$L298)-COUNT($I298:$L298))&gt;0,"Avance fuera de rango 0-100%"&amp;" · ","")&amp;IF(OR(AND($J298&lt;&gt;"",$J298&lt;$I298),AND($K298&lt;&gt;"",$K298&lt;MAX($I298:$J298)),AND($L298&lt;&gt;"",$L298&lt;MAX($I298:$K298))),"Avance semanal decreciente"&amp;" · ","")&amp;IF(AND(ISNUMBER($AN298),$AN298&lt;FechaRef,IF($V298="Sub",N($X298),N($M298))&lt;1),"Vencida"&amp;" · ","")&amp;IF(AND(ObsObligatoria="Sí",ISNUMBER($AN298),$AN298&lt;FechaRef,IF($V298="Sub",N($X298),N($M298))&lt;1,$Q298=""),"Vencida sin observación"&amp;" · ",""))="","✔ OK","⚠ "&amp;LEFT(IF($C298="","Falta el nombre de la actividad"&amp;" · ","")&amp;IF(AND($V298="Sub",N($U298)=0),"Subactividad sin macroactividad arriba"&amp;" · ","")&amp;IF($AM298="","Sin fecha de inicio"&amp;" · ","")&amp;IF($AN298="","Sin fecha límite"&amp;" · ","")&amp;IF(AND(LEFT($C298,11)="[Jefatura] ",N($AL298)=0),"No se encuentra en la hoja de la jefatura (elíjala de nuevo en la lista)"&amp;" · ","")&amp;IF(OR(AND($E298&lt;&gt;"",NOT(ISNUMBER($E298))),AND($F298&lt;&gt;"",NOT(ISNUMBER($F298))),AND($G298&lt;&gt;"",NOT(ISNUMBER($G298)))),"Fecha no válida"&amp;" · ","")&amp;IF(AND(ISNUMBER($AM298),ISNUMBER($AN298),$AM298&gt;$AN298),"Inicio posterior a fecha límite"&amp;" · ","")&amp;IF(AND($V298="Macro",$H298&lt;&gt;"",OR(NOT(ISNUMBER($H298)),$H298&lt;0,$H298&gt;1)),"Peso fuera de rango"&amp;" · ","")&amp;IF(AND($V298="Sub",$H298&lt;&gt;""),"Las subactividades no llevan peso (valen igual dentro de su macroactividad)"&amp;" · ","")&amp;IF(AND(N($W298)&gt;0,COUNT($I298:$L298)&gt;0),"Con subactividades: deje vacías las semanas (se calculan solas)"&amp;" · ","")&amp;IF((COUNTIF($I298:$L298,"&gt;1")+COUNTIF($I298:$L298,"&lt;0")+COUNTA($I298:$L298)-COUNT($I298:$L298))&gt;0,"Avance fuera de rango 0-100%"&amp;" · ","")&amp;IF(OR(AND($J298&lt;&gt;"",$J298&lt;$I298),AND($K298&lt;&gt;"",$K298&lt;MAX($I298:$J298)),AND($L298&lt;&gt;"",$L298&lt;MAX($I298:$K298))),"Avance semanal decreciente"&amp;" · ","")&amp;IF(AND(ISNUMBER($AN298),$AN298&lt;FechaRef,IF($V298="Sub",N($X298),N($M298))&lt;1),"Vencida"&amp;" · ","")&amp;IF(AND(ObsObligatoria="Sí",ISNUMBER($AN298),$AN298&lt;FechaRef,IF($V298="Sub",N($X298),N($M298))&lt;1,$Q298=""),"Vencida sin observación"&amp;" · ",""),LEN(IF($C298="","Falta el nombre de la actividad"&amp;" · ","")&amp;IF(AND($V298="Sub",N($U298)=0),"Subactividad sin macroactividad arriba"&amp;" · ","")&amp;IF($AM298="","Sin fecha de inicio"&amp;" · ","")&amp;IF($AN298="","Sin fecha límite"&amp;" · ","")&amp;IF(AND(LEFT($C298,11)="[Jefatura] ",N($AL298)=0),"No se encuentra en la hoja de la jefatura (elíjala de nuevo en la lista)"&amp;" · ","")&amp;IF(OR(AND($E298&lt;&gt;"",NOT(ISNUMBER($E298))),AND($F298&lt;&gt;"",NOT(ISNUMBER($F298))),AND($G298&lt;&gt;"",NOT(ISNUMBER($G298)))),"Fecha no válida"&amp;" · ","")&amp;IF(AND(ISNUMBER($AM298),ISNUMBER($AN298),$AM298&gt;$AN298),"Inicio posterior a fecha límite"&amp;" · ","")&amp;IF(AND($V298="Macro",$H298&lt;&gt;"",OR(NOT(ISNUMBER($H298)),$H298&lt;0,$H298&gt;1)),"Peso fuera de rango"&amp;" · ","")&amp;IF(AND($V298="Sub",$H298&lt;&gt;""),"Las subactividades no llevan peso (valen igual dentro de su macroactividad)"&amp;" · ","")&amp;IF(AND(N($W298)&gt;0,COUNT($I298:$L298)&gt;0),"Con subactividades: deje vacías las semanas (se calculan solas)"&amp;" · ","")&amp;IF((COUNTIF($I298:$L298,"&gt;1")+COUNTIF($I298:$L298,"&lt;0")+COUNTA($I298:$L298)-COUNT($I298:$L298))&gt;0,"Avance fuera de rango 0-100%"&amp;" · ","")&amp;IF(OR(AND($J298&lt;&gt;"",$J298&lt;$I298),AND($K298&lt;&gt;"",$K298&lt;MAX($I298:$J298)),AND($L298&lt;&gt;"",$L298&lt;MAX($I298:$K298))),"Avance semanal decreciente"&amp;" · ","")&amp;IF(AND(ISNUMBER($AN298),$AN298&lt;FechaRef,IF($V298="Sub",N($X298),N($M298))&lt;1),"Vencida"&amp;" · ","")&amp;IF(AND(ObsObligatoria="Sí",ISNUMBER($AN298),$AN298&lt;FechaRef,IF($V298="Sub",N($X298),N($M298))&lt;1,$Q298=""),"Vencida sin observación"&amp;" · ",""))-3)))</f>
        <v/>
      </c>
      <c r="S298" s="64">
        <f>IF(NOT((COUNTA($B298:$D298)+COUNTA($G298:$L298)+COUNTA($Q298))&gt;0),"",IF(AND($V298="Sub",N($U298)&gt;0),IF(ISNUMBER(INDEX($AM$5:$AM$1000,$U298-4)),DATE(YEAR(INDEX($AM$5:$AM$1000,$U298-4)),MONTH(INDEX($AM$5:$AM$1000,$U298-4)),1),IF(ISNUMBER(INDEX($AN$5:$AN$1000,$U298-4)),DATE(YEAR(INDEX($AN$5:$AN$1000,$U298-4)),MONTH(INDEX($AN$5:$AN$1000,$U298-4)),1),MesCiclo)),IF(ISNUMBER($AM298),DATE(YEAR($AM298),MONTH($AM298),1),IF(ISNUMBER($AN298),DATE(YEAR($AN298),MONTH($AN298),1),MesCiclo))))</f>
        <v/>
      </c>
      <c r="T298" s="62">
        <f>IF(OR($S298="",$S298&lt;&gt;MesCiclo,$V298&lt;&gt;"Macro"),"",COUNTIFS($S$5:$S298,MesCiclo,$V$5:$V298,"Macro"))</f>
        <v/>
      </c>
      <c r="U298" s="62">
        <f>IF($V298="","",IF($V298="Macro",ROW(),IFERROR(LOOKUP(2,1/($V$5:$V298="Macro"),ROW($V$5:$V298)),0)))</f>
        <v/>
      </c>
      <c r="V298" s="62">
        <f>IF(NOT((COUNTA($B298:$D298)+COUNTA($G298:$L298)+COUNTA($Q298))&gt;0),"",IF($B298="Subactividad","Sub","Macro"))</f>
        <v/>
      </c>
      <c r="W298" s="62">
        <f>IF($V298="Macro",COUNTIFS($U$5:$U$1000,ROW(),$V$5:$V$1000,"Sub"),"")</f>
        <v/>
      </c>
      <c r="X298" s="62">
        <f>IF($V298="","",IF(ISNUMBER($G298),1,IFERROR(LOOKUP(2,1/($I298:$L298&lt;&gt;""),$I298:$L298),0)))</f>
        <v/>
      </c>
      <c r="Y298" s="62">
        <f>IF($V298="","",IF(AND(ISNUMBER($G298),$G298&lt;=IF($S298=MesCiclo,InicioCiclo,$S298+MOD(2-WEEKDAY($S298),7))+6),1,IF(ISNUMBER($I298),$I298,0)))</f>
        <v/>
      </c>
      <c r="Z298" s="62">
        <f>IF($V298="","",IF(AND(ISNUMBER($G298),$G298&lt;=IF($S298=MesCiclo,InicioCiclo,$S298+MOD(2-WEEKDAY($S298),7))+13),1,IF(ISNUMBER($J298),$J298,$Y298)))</f>
        <v/>
      </c>
      <c r="AA298" s="62">
        <f>IF($V298="","",IF(AND(ISNUMBER($G298),$G298&lt;=IF($S298=MesCiclo,InicioCiclo,$S298+MOD(2-WEEKDAY($S298),7))+20),1,IF(ISNUMBER($K298),$K298,$Z298)))</f>
        <v/>
      </c>
      <c r="AB298" s="62">
        <f>IF($V298="","",IF(AND(ISNUMBER($G298),$G298&lt;=IF($S298=MesCiclo,InicioCiclo,$S298+MOD(2-WEEKDAY($S298),7))+27),1,IF(ISNUMBER($L298),$L298,$AA298)))</f>
        <v/>
      </c>
      <c r="AC298" s="62">
        <f>IF($V298="","",IF(AND(ISNUMBER($G298),$G298&lt;=IF($S298=MesCiclo,InicioCiclo,$S298+MOD(2-WEEKDAY($S298),7))+6),1,IF(N($W298)&gt;0,AVERAGEIFS($Y$5:$Y$1000,$U$5:$U$1000,ROW(),$V$5:$V$1000,"Sub"),$Y298)))</f>
        <v/>
      </c>
      <c r="AD298" s="62">
        <f>IF($V298="","",IF(AND(ISNUMBER($G298),$G298&lt;=IF($S298=MesCiclo,InicioCiclo,$S298+MOD(2-WEEKDAY($S298),7))+13),1,IF(N($W298)&gt;0,AVERAGEIFS($Z$5:$Z$1000,$U$5:$U$1000,ROW(),$V$5:$V$1000,"Sub"),$Z298)))</f>
        <v/>
      </c>
      <c r="AE298" s="62">
        <f>IF($V298="","",IF(AND(ISNUMBER($G298),$G298&lt;=IF($S298=MesCiclo,InicioCiclo,$S298+MOD(2-WEEKDAY($S298),7))+20),1,IF(N($W298)&gt;0,AVERAGEIFS($AA$5:$AA$1000,$U$5:$U$1000,ROW(),$V$5:$V$1000,"Sub"),$AA298)))</f>
        <v/>
      </c>
      <c r="AF298" s="62">
        <f>IF($V298="","",IF(AND(ISNUMBER($G298),$G298&lt;=IF($S298=MesCiclo,InicioCiclo,$S298+MOD(2-WEEKDAY($S298),7))+27),1,IF(N($W298)&gt;0,AVERAGEIFS($AB$5:$AB$1000,$U$5:$U$1000,ROW(),$V$5:$V$1000,"Sub"),$AB298)))</f>
        <v/>
      </c>
      <c r="AG298" s="62">
        <f>IF($V298&lt;&gt;"Macro","",IF(COUNTIFS($S$5:$S$1000,$S298,$V$5:$V$1000,"Macro",$H$5:$H$1000,"&gt;0")=0,1/COUNTIFS($S$5:$S$1000,$S298,$V$5:$V$1000,"Macro"),IF(AND(ISNUMBER($H298),N($H298)&gt;0),$H298,SUMIFS($H$5:$H$1000,$S$5:$S$1000,$S298,$V$5:$V$1000,"Macro")/COUNTIFS($S$5:$S$1000,$S298,$V$5:$V$1000,"Macro",$H$5:$H$1000,"&gt;0"))/(COUNTIFS($S$5:$S$1000,$S298,$V$5:$V$1000,"Macro")*SUMIFS($H$5:$H$1000,$S$5:$S$1000,$S298,$V$5:$V$1000,"Macro")/COUNTIFS($S$5:$S$1000,$S298,$V$5:$V$1000,"Macro",$H$5:$H$1000,"&gt;0"))))</f>
        <v/>
      </c>
      <c r="AH298" s="62">
        <f>IF(NOT(AND($D298&lt;&gt;"",$V298="Macro")),"",IFERROR(CHOOSE(MATCH($D298,ListaPuestos,0),MATCH("[Jefatura] "&amp;$C298,'Cronograma R. Operacional'!$C$5:$C$1000,0),MATCH("[Jefatura] "&amp;$C298,'Cronograma R. Normativo'!$C$5:$C$1000,0),MATCH("[Jefatura] "&amp;$C298,'Cronograma R. Financiero'!$C$5:$C$1000,0),MATCH("[Jefatura] "&amp;$C298,'Cronograma Asistente Técnico'!$C$5:$C$1000,0)),0))</f>
        <v/>
      </c>
      <c r="AI298" s="62">
        <f>IF(AND(AND($D298&lt;&gt;"",$V298="Macro"),$S298=MesCiclo),COUNTIFS($D$5:$D298,$D298,$S$5:$S298,MesCiclo,$V$5:$V298,"Macro"),"")</f>
        <v/>
      </c>
      <c r="AJ298" s="62">
        <f>IF($AI298="","",$D298&amp;"|"&amp;$AI298)</f>
        <v/>
      </c>
      <c r="AK298" s="62">
        <f>IF(AND($D298&lt;&gt;"",$V298="Macro"),$D298&amp;"|"&amp;$C298,"")</f>
        <v/>
      </c>
      <c r="AL298" s="62">
        <f>""</f>
        <v/>
      </c>
      <c r="AM298" s="62">
        <f>IF(N($AL298)&gt;0,INDEX(rIni_ADM,$AL298),IF(ISNUMBER($E298),$E298,""))</f>
        <v/>
      </c>
      <c r="AN298" s="62">
        <f>IF(N($AL298)&gt;0,INDEX(rLim_ADM,$AL298),IF(ISNUMBER($F298),$F298,""))</f>
        <v/>
      </c>
    </row>
    <row r="299">
      <c r="A299" s="56">
        <f>IF(NOT((COUNTA($B299:$D299)+COUNTA($G299:$L299)+COUNTA($Q299))&gt;0),"",IF($V299="Macro",COUNTIFS($V$5:$V299,"Macro",$S$5:$S299,$S299),IF(N($U299)=0,"?",COUNTIFS(INDEX($V$5:$V$1000,1):INDEX($V$5:$V$1000,$U299-4),"Macro",INDEX($S$5:$S$1000,1):INDEX($S$5:$S$1000,$U299-4),INDEX($S$5:$S$1000,$U299-4))&amp;"."&amp;COUNTIFS($U$5:$U299,$U299,$V$5:$V299,"Sub"))))</f>
        <v/>
      </c>
      <c r="B299" s="57" t="n"/>
      <c r="C299" s="58" t="n"/>
      <c r="D299" s="58" t="n"/>
      <c r="E299" s="59" t="n"/>
      <c r="F299" s="59" t="n"/>
      <c r="G299" s="59" t="n"/>
      <c r="H299" s="60" t="n"/>
      <c r="I299" s="60" t="n"/>
      <c r="J299" s="60" t="n"/>
      <c r="K299" s="60" t="n"/>
      <c r="L299" s="60" t="n"/>
      <c r="M299" s="61">
        <f>IF(NOT((COUNTA($B299:$D299)+COUNTA($G299:$L299)+COUNTA($Q299))&gt;0),"",IF(AND($D299&lt;&gt;"",$V299="Macro"),IF(N($AH299)&gt;0,N(CHOOSE(MATCH($D299,ListaPuestos,0),INDEX('Cronograma R. Operacional'!$M$5:$M$1000,$AH299),INDEX('Cronograma R. Normativo'!$M$5:$M$1000,$AH299),INDEX('Cronograma R. Financiero'!$M$5:$M$1000,$AH299),INDEX('Cronograma Asistente Técnico'!$M$5:$M$1000,$AH299))),0),IF(ISNUMBER($G299),1,IF(N($W299)&gt;0,AVERAGEIFS($X$5:$X$1000,$U$5:$U$1000,ROW(),$V$5:$V$1000,"Sub"),$X299))))</f>
        <v/>
      </c>
      <c r="N299" s="56">
        <f>IF(OR($M299="",$V299="Sub"),"",IF($M299&gt;=1,"Completado",IF($M299&gt;0,"En curso","Pendiente")))</f>
        <v/>
      </c>
      <c r="O299" s="56">
        <f>IF(NOT((COUNTA($B299:$D299)+COUNTA($G299:$L299)+COUNTA($Q299))&gt;0),"",IF(AND(AND($D299&lt;&gt;"",$V299="Macro"),N($AH299)&gt;0),CHOOSE(MATCH($D299,ListaPuestos,0),INDEX('Cronograma R. Operacional'!$O$5:$O$1000,$AH299),INDEX('Cronograma R. Normativo'!$O$5:$O$1000,$AH299),INDEX('Cronograma R. Financiero'!$O$5:$O$1000,$AH299),INDEX('Cronograma Asistente Técnico'!$O$5:$O$1000,$AH299))&amp;"",IF(ISNUMBER($G299),IF(AND(ISNUMBER($AN299),$G299&gt;$AN299),"Cumplida con "&amp;($G299-$AN299)&amp;IF($G299-$AN299=1," día"," días")&amp;" de retraso","Cumplida"),IF(N($M299)&gt;=1,"Cumplida",IF(NOT(ISNUMBER($AN299)),"Sin fecha límite",IF($AN299&lt;FechaRef,"Vencida hace "&amp;(FechaRef-$AN299)&amp;IF(FechaRef-$AN299=1," día"," días"),IF($AN299=FechaRef,"Vence hoy",IF($AN299-FechaRef&lt;=DiasAlerta,"Vence en "&amp;($AN299-FechaRef)&amp;IF($AN299-FechaRef=1," día"," días"),"En plazo"))))))))</f>
        <v/>
      </c>
      <c r="P299" s="62">
        <f>IF(NOT((COUNTA($B299:$D299)+COUNTA($G299:$L299)+COUNTA($Q299))&gt;0),"",IF($D299="","Propia",IF($V299&lt;&gt;"Macro","Solo se delegan macroactividades",IF(N($AH299)&gt;0,"✔ Recibida por "&amp;$D299,"⚠ "&amp;$D299&amp;" aún no la agrega"))))</f>
        <v/>
      </c>
      <c r="Q299" s="58" t="n"/>
      <c r="R299" s="63">
        <f>IF(NOT((COUNTA($B299:$D299)+COUNTA($G299:$L299)+COUNTA($Q299))&gt;0),"",IF((IF($C299="","Falta el nombre de la actividad"&amp;" · ","")&amp;IF(AND($V299="Sub",N($U299)=0),"Subactividad sin macroactividad arriba"&amp;" · ","")&amp;IF($AM299="","Sin fecha de inicio"&amp;" · ","")&amp;IF($AN299="","Sin fecha límite"&amp;" · ","")&amp;IF(AND(LEFT($C299,11)="[Jefatura] ",N($AL299)=0),"No se encuentra en la hoja de la jefatura (elíjala de nuevo en la lista)"&amp;" · ","")&amp;IF(OR(AND($E299&lt;&gt;"",NOT(ISNUMBER($E299))),AND($F299&lt;&gt;"",NOT(ISNUMBER($F299))),AND($G299&lt;&gt;"",NOT(ISNUMBER($G299)))),"Fecha no válida"&amp;" · ","")&amp;IF(AND(ISNUMBER($AM299),ISNUMBER($AN299),$AM299&gt;$AN299),"Inicio posterior a fecha límite"&amp;" · ","")&amp;IF(AND($V299="Macro",$H299&lt;&gt;"",OR(NOT(ISNUMBER($H299)),$H299&lt;0,$H299&gt;1)),"Peso fuera de rango"&amp;" · ","")&amp;IF(AND($V299="Sub",$H299&lt;&gt;""),"Las subactividades no llevan peso (valen igual dentro de su macroactividad)"&amp;" · ","")&amp;IF(AND(N($W299)&gt;0,COUNT($I299:$L299)&gt;0),"Con subactividades: deje vacías las semanas (se calculan solas)"&amp;" · ","")&amp;IF((COUNTIF($I299:$L299,"&gt;1")+COUNTIF($I299:$L299,"&lt;0")+COUNTA($I299:$L299)-COUNT($I299:$L299))&gt;0,"Avance fuera de rango 0-100%"&amp;" · ","")&amp;IF(OR(AND($J299&lt;&gt;"",$J299&lt;$I299),AND($K299&lt;&gt;"",$K299&lt;MAX($I299:$J299)),AND($L299&lt;&gt;"",$L299&lt;MAX($I299:$K299))),"Avance semanal decreciente"&amp;" · ","")&amp;IF(AND(ISNUMBER($AN299),$AN299&lt;FechaRef,IF($V299="Sub",N($X299),N($M299))&lt;1),"Vencida"&amp;" · ","")&amp;IF(AND(ObsObligatoria="Sí",ISNUMBER($AN299),$AN299&lt;FechaRef,IF($V299="Sub",N($X299),N($M299))&lt;1,$Q299=""),"Vencida sin observación"&amp;" · ",""))="","✔ OK","⚠ "&amp;LEFT(IF($C299="","Falta el nombre de la actividad"&amp;" · ","")&amp;IF(AND($V299="Sub",N($U299)=0),"Subactividad sin macroactividad arriba"&amp;" · ","")&amp;IF($AM299="","Sin fecha de inicio"&amp;" · ","")&amp;IF($AN299="","Sin fecha límite"&amp;" · ","")&amp;IF(AND(LEFT($C299,11)="[Jefatura] ",N($AL299)=0),"No se encuentra en la hoja de la jefatura (elíjala de nuevo en la lista)"&amp;" · ","")&amp;IF(OR(AND($E299&lt;&gt;"",NOT(ISNUMBER($E299))),AND($F299&lt;&gt;"",NOT(ISNUMBER($F299))),AND($G299&lt;&gt;"",NOT(ISNUMBER($G299)))),"Fecha no válida"&amp;" · ","")&amp;IF(AND(ISNUMBER($AM299),ISNUMBER($AN299),$AM299&gt;$AN299),"Inicio posterior a fecha límite"&amp;" · ","")&amp;IF(AND($V299="Macro",$H299&lt;&gt;"",OR(NOT(ISNUMBER($H299)),$H299&lt;0,$H299&gt;1)),"Peso fuera de rango"&amp;" · ","")&amp;IF(AND($V299="Sub",$H299&lt;&gt;""),"Las subactividades no llevan peso (valen igual dentro de su macroactividad)"&amp;" · ","")&amp;IF(AND(N($W299)&gt;0,COUNT($I299:$L299)&gt;0),"Con subactividades: deje vacías las semanas (se calculan solas)"&amp;" · ","")&amp;IF((COUNTIF($I299:$L299,"&gt;1")+COUNTIF($I299:$L299,"&lt;0")+COUNTA($I299:$L299)-COUNT($I299:$L299))&gt;0,"Avance fuera de rango 0-100%"&amp;" · ","")&amp;IF(OR(AND($J299&lt;&gt;"",$J299&lt;$I299),AND($K299&lt;&gt;"",$K299&lt;MAX($I299:$J299)),AND($L299&lt;&gt;"",$L299&lt;MAX($I299:$K299))),"Avance semanal decreciente"&amp;" · ","")&amp;IF(AND(ISNUMBER($AN299),$AN299&lt;FechaRef,IF($V299="Sub",N($X299),N($M299))&lt;1),"Vencida"&amp;" · ","")&amp;IF(AND(ObsObligatoria="Sí",ISNUMBER($AN299),$AN299&lt;FechaRef,IF($V299="Sub",N($X299),N($M299))&lt;1,$Q299=""),"Vencida sin observación"&amp;" · ",""),LEN(IF($C299="","Falta el nombre de la actividad"&amp;" · ","")&amp;IF(AND($V299="Sub",N($U299)=0),"Subactividad sin macroactividad arriba"&amp;" · ","")&amp;IF($AM299="","Sin fecha de inicio"&amp;" · ","")&amp;IF($AN299="","Sin fecha límite"&amp;" · ","")&amp;IF(AND(LEFT($C299,11)="[Jefatura] ",N($AL299)=0),"No se encuentra en la hoja de la jefatura (elíjala de nuevo en la lista)"&amp;" · ","")&amp;IF(OR(AND($E299&lt;&gt;"",NOT(ISNUMBER($E299))),AND($F299&lt;&gt;"",NOT(ISNUMBER($F299))),AND($G299&lt;&gt;"",NOT(ISNUMBER($G299)))),"Fecha no válida"&amp;" · ","")&amp;IF(AND(ISNUMBER($AM299),ISNUMBER($AN299),$AM299&gt;$AN299),"Inicio posterior a fecha límite"&amp;" · ","")&amp;IF(AND($V299="Macro",$H299&lt;&gt;"",OR(NOT(ISNUMBER($H299)),$H299&lt;0,$H299&gt;1)),"Peso fuera de rango"&amp;" · ","")&amp;IF(AND($V299="Sub",$H299&lt;&gt;""),"Las subactividades no llevan peso (valen igual dentro de su macroactividad)"&amp;" · ","")&amp;IF(AND(N($W299)&gt;0,COUNT($I299:$L299)&gt;0),"Con subactividades: deje vacías las semanas (se calculan solas)"&amp;" · ","")&amp;IF((COUNTIF($I299:$L299,"&gt;1")+COUNTIF($I299:$L299,"&lt;0")+COUNTA($I299:$L299)-COUNT($I299:$L299))&gt;0,"Avance fuera de rango 0-100%"&amp;" · ","")&amp;IF(OR(AND($J299&lt;&gt;"",$J299&lt;$I299),AND($K299&lt;&gt;"",$K299&lt;MAX($I299:$J299)),AND($L299&lt;&gt;"",$L299&lt;MAX($I299:$K299))),"Avance semanal decreciente"&amp;" · ","")&amp;IF(AND(ISNUMBER($AN299),$AN299&lt;FechaRef,IF($V299="Sub",N($X299),N($M299))&lt;1),"Vencida"&amp;" · ","")&amp;IF(AND(ObsObligatoria="Sí",ISNUMBER($AN299),$AN299&lt;FechaRef,IF($V299="Sub",N($X299),N($M299))&lt;1,$Q299=""),"Vencida sin observación"&amp;" · ",""))-3)))</f>
        <v/>
      </c>
      <c r="S299" s="64">
        <f>IF(NOT((COUNTA($B299:$D299)+COUNTA($G299:$L299)+COUNTA($Q299))&gt;0),"",IF(AND($V299="Sub",N($U299)&gt;0),IF(ISNUMBER(INDEX($AM$5:$AM$1000,$U299-4)),DATE(YEAR(INDEX($AM$5:$AM$1000,$U299-4)),MONTH(INDEX($AM$5:$AM$1000,$U299-4)),1),IF(ISNUMBER(INDEX($AN$5:$AN$1000,$U299-4)),DATE(YEAR(INDEX($AN$5:$AN$1000,$U299-4)),MONTH(INDEX($AN$5:$AN$1000,$U299-4)),1),MesCiclo)),IF(ISNUMBER($AM299),DATE(YEAR($AM299),MONTH($AM299),1),IF(ISNUMBER($AN299),DATE(YEAR($AN299),MONTH($AN299),1),MesCiclo))))</f>
        <v/>
      </c>
      <c r="T299" s="62">
        <f>IF(OR($S299="",$S299&lt;&gt;MesCiclo,$V299&lt;&gt;"Macro"),"",COUNTIFS($S$5:$S299,MesCiclo,$V$5:$V299,"Macro"))</f>
        <v/>
      </c>
      <c r="U299" s="62">
        <f>IF($V299="","",IF($V299="Macro",ROW(),IFERROR(LOOKUP(2,1/($V$5:$V299="Macro"),ROW($V$5:$V299)),0)))</f>
        <v/>
      </c>
      <c r="V299" s="62">
        <f>IF(NOT((COUNTA($B299:$D299)+COUNTA($G299:$L299)+COUNTA($Q299))&gt;0),"",IF($B299="Subactividad","Sub","Macro"))</f>
        <v/>
      </c>
      <c r="W299" s="62">
        <f>IF($V299="Macro",COUNTIFS($U$5:$U$1000,ROW(),$V$5:$V$1000,"Sub"),"")</f>
        <v/>
      </c>
      <c r="X299" s="62">
        <f>IF($V299="","",IF(ISNUMBER($G299),1,IFERROR(LOOKUP(2,1/($I299:$L299&lt;&gt;""),$I299:$L299),0)))</f>
        <v/>
      </c>
      <c r="Y299" s="62">
        <f>IF($V299="","",IF(AND(ISNUMBER($G299),$G299&lt;=IF($S299=MesCiclo,InicioCiclo,$S299+MOD(2-WEEKDAY($S299),7))+6),1,IF(ISNUMBER($I299),$I299,0)))</f>
        <v/>
      </c>
      <c r="Z299" s="62">
        <f>IF($V299="","",IF(AND(ISNUMBER($G299),$G299&lt;=IF($S299=MesCiclo,InicioCiclo,$S299+MOD(2-WEEKDAY($S299),7))+13),1,IF(ISNUMBER($J299),$J299,$Y299)))</f>
        <v/>
      </c>
      <c r="AA299" s="62">
        <f>IF($V299="","",IF(AND(ISNUMBER($G299),$G299&lt;=IF($S299=MesCiclo,InicioCiclo,$S299+MOD(2-WEEKDAY($S299),7))+20),1,IF(ISNUMBER($K299),$K299,$Z299)))</f>
        <v/>
      </c>
      <c r="AB299" s="62">
        <f>IF($V299="","",IF(AND(ISNUMBER($G299),$G299&lt;=IF($S299=MesCiclo,InicioCiclo,$S299+MOD(2-WEEKDAY($S299),7))+27),1,IF(ISNUMBER($L299),$L299,$AA299)))</f>
        <v/>
      </c>
      <c r="AC299" s="62">
        <f>IF($V299="","",IF(AND(ISNUMBER($G299),$G299&lt;=IF($S299=MesCiclo,InicioCiclo,$S299+MOD(2-WEEKDAY($S299),7))+6),1,IF(N($W299)&gt;0,AVERAGEIFS($Y$5:$Y$1000,$U$5:$U$1000,ROW(),$V$5:$V$1000,"Sub"),$Y299)))</f>
        <v/>
      </c>
      <c r="AD299" s="62">
        <f>IF($V299="","",IF(AND(ISNUMBER($G299),$G299&lt;=IF($S299=MesCiclo,InicioCiclo,$S299+MOD(2-WEEKDAY($S299),7))+13),1,IF(N($W299)&gt;0,AVERAGEIFS($Z$5:$Z$1000,$U$5:$U$1000,ROW(),$V$5:$V$1000,"Sub"),$Z299)))</f>
        <v/>
      </c>
      <c r="AE299" s="62">
        <f>IF($V299="","",IF(AND(ISNUMBER($G299),$G299&lt;=IF($S299=MesCiclo,InicioCiclo,$S299+MOD(2-WEEKDAY($S299),7))+20),1,IF(N($W299)&gt;0,AVERAGEIFS($AA$5:$AA$1000,$U$5:$U$1000,ROW(),$V$5:$V$1000,"Sub"),$AA299)))</f>
        <v/>
      </c>
      <c r="AF299" s="62">
        <f>IF($V299="","",IF(AND(ISNUMBER($G299),$G299&lt;=IF($S299=MesCiclo,InicioCiclo,$S299+MOD(2-WEEKDAY($S299),7))+27),1,IF(N($W299)&gt;0,AVERAGEIFS($AB$5:$AB$1000,$U$5:$U$1000,ROW(),$V$5:$V$1000,"Sub"),$AB299)))</f>
        <v/>
      </c>
      <c r="AG299" s="62">
        <f>IF($V299&lt;&gt;"Macro","",IF(COUNTIFS($S$5:$S$1000,$S299,$V$5:$V$1000,"Macro",$H$5:$H$1000,"&gt;0")=0,1/COUNTIFS($S$5:$S$1000,$S299,$V$5:$V$1000,"Macro"),IF(AND(ISNUMBER($H299),N($H299)&gt;0),$H299,SUMIFS($H$5:$H$1000,$S$5:$S$1000,$S299,$V$5:$V$1000,"Macro")/COUNTIFS($S$5:$S$1000,$S299,$V$5:$V$1000,"Macro",$H$5:$H$1000,"&gt;0"))/(COUNTIFS($S$5:$S$1000,$S299,$V$5:$V$1000,"Macro")*SUMIFS($H$5:$H$1000,$S$5:$S$1000,$S299,$V$5:$V$1000,"Macro")/COUNTIFS($S$5:$S$1000,$S299,$V$5:$V$1000,"Macro",$H$5:$H$1000,"&gt;0"))))</f>
        <v/>
      </c>
      <c r="AH299" s="62">
        <f>IF(NOT(AND($D299&lt;&gt;"",$V299="Macro")),"",IFERROR(CHOOSE(MATCH($D299,ListaPuestos,0),MATCH("[Jefatura] "&amp;$C299,'Cronograma R. Operacional'!$C$5:$C$1000,0),MATCH("[Jefatura] "&amp;$C299,'Cronograma R. Normativo'!$C$5:$C$1000,0),MATCH("[Jefatura] "&amp;$C299,'Cronograma R. Financiero'!$C$5:$C$1000,0),MATCH("[Jefatura] "&amp;$C299,'Cronograma Asistente Técnico'!$C$5:$C$1000,0)),0))</f>
        <v/>
      </c>
      <c r="AI299" s="62">
        <f>IF(AND(AND($D299&lt;&gt;"",$V299="Macro"),$S299=MesCiclo),COUNTIFS($D$5:$D299,$D299,$S$5:$S299,MesCiclo,$V$5:$V299,"Macro"),"")</f>
        <v/>
      </c>
      <c r="AJ299" s="62">
        <f>IF($AI299="","",$D299&amp;"|"&amp;$AI299)</f>
        <v/>
      </c>
      <c r="AK299" s="62">
        <f>IF(AND($D299&lt;&gt;"",$V299="Macro"),$D299&amp;"|"&amp;$C299,"")</f>
        <v/>
      </c>
      <c r="AL299" s="62">
        <f>""</f>
        <v/>
      </c>
      <c r="AM299" s="62">
        <f>IF(N($AL299)&gt;0,INDEX(rIni_ADM,$AL299),IF(ISNUMBER($E299),$E299,""))</f>
        <v/>
      </c>
      <c r="AN299" s="62">
        <f>IF(N($AL299)&gt;0,INDEX(rLim_ADM,$AL299),IF(ISNUMBER($F299),$F299,""))</f>
        <v/>
      </c>
    </row>
    <row r="300">
      <c r="A300" s="56">
        <f>IF(NOT((COUNTA($B300:$D300)+COUNTA($G300:$L300)+COUNTA($Q300))&gt;0),"",IF($V300="Macro",COUNTIFS($V$5:$V300,"Macro",$S$5:$S300,$S300),IF(N($U300)=0,"?",COUNTIFS(INDEX($V$5:$V$1000,1):INDEX($V$5:$V$1000,$U300-4),"Macro",INDEX($S$5:$S$1000,1):INDEX($S$5:$S$1000,$U300-4),INDEX($S$5:$S$1000,$U300-4))&amp;"."&amp;COUNTIFS($U$5:$U300,$U300,$V$5:$V300,"Sub"))))</f>
        <v/>
      </c>
      <c r="B300" s="57" t="n"/>
      <c r="C300" s="58" t="n"/>
      <c r="D300" s="58" t="n"/>
      <c r="E300" s="59" t="n"/>
      <c r="F300" s="59" t="n"/>
      <c r="G300" s="59" t="n"/>
      <c r="H300" s="60" t="n"/>
      <c r="I300" s="60" t="n"/>
      <c r="J300" s="60" t="n"/>
      <c r="K300" s="60" t="n"/>
      <c r="L300" s="60" t="n"/>
      <c r="M300" s="61">
        <f>IF(NOT((COUNTA($B300:$D300)+COUNTA($G300:$L300)+COUNTA($Q300))&gt;0),"",IF(AND($D300&lt;&gt;"",$V300="Macro"),IF(N($AH300)&gt;0,N(CHOOSE(MATCH($D300,ListaPuestos,0),INDEX('Cronograma R. Operacional'!$M$5:$M$1000,$AH300),INDEX('Cronograma R. Normativo'!$M$5:$M$1000,$AH300),INDEX('Cronograma R. Financiero'!$M$5:$M$1000,$AH300),INDEX('Cronograma Asistente Técnico'!$M$5:$M$1000,$AH300))),0),IF(ISNUMBER($G300),1,IF(N($W300)&gt;0,AVERAGEIFS($X$5:$X$1000,$U$5:$U$1000,ROW(),$V$5:$V$1000,"Sub"),$X300))))</f>
        <v/>
      </c>
      <c r="N300" s="56">
        <f>IF(OR($M300="",$V300="Sub"),"",IF($M300&gt;=1,"Completado",IF($M300&gt;0,"En curso","Pendiente")))</f>
        <v/>
      </c>
      <c r="O300" s="56">
        <f>IF(NOT((COUNTA($B300:$D300)+COUNTA($G300:$L300)+COUNTA($Q300))&gt;0),"",IF(AND(AND($D300&lt;&gt;"",$V300="Macro"),N($AH300)&gt;0),CHOOSE(MATCH($D300,ListaPuestos,0),INDEX('Cronograma R. Operacional'!$O$5:$O$1000,$AH300),INDEX('Cronograma R. Normativo'!$O$5:$O$1000,$AH300),INDEX('Cronograma R. Financiero'!$O$5:$O$1000,$AH300),INDEX('Cronograma Asistente Técnico'!$O$5:$O$1000,$AH300))&amp;"",IF(ISNUMBER($G300),IF(AND(ISNUMBER($AN300),$G300&gt;$AN300),"Cumplida con "&amp;($G300-$AN300)&amp;IF($G300-$AN300=1," día"," días")&amp;" de retraso","Cumplida"),IF(N($M300)&gt;=1,"Cumplida",IF(NOT(ISNUMBER($AN300)),"Sin fecha límite",IF($AN300&lt;FechaRef,"Vencida hace "&amp;(FechaRef-$AN300)&amp;IF(FechaRef-$AN300=1," día"," días"),IF($AN300=FechaRef,"Vence hoy",IF($AN300-FechaRef&lt;=DiasAlerta,"Vence en "&amp;($AN300-FechaRef)&amp;IF($AN300-FechaRef=1," día"," días"),"En plazo"))))))))</f>
        <v/>
      </c>
      <c r="P300" s="62">
        <f>IF(NOT((COUNTA($B300:$D300)+COUNTA($G300:$L300)+COUNTA($Q300))&gt;0),"",IF($D300="","Propia",IF($V300&lt;&gt;"Macro","Solo se delegan macroactividades",IF(N($AH300)&gt;0,"✔ Recibida por "&amp;$D300,"⚠ "&amp;$D300&amp;" aún no la agrega"))))</f>
        <v/>
      </c>
      <c r="Q300" s="58" t="n"/>
      <c r="R300" s="63">
        <f>IF(NOT((COUNTA($B300:$D300)+COUNTA($G300:$L300)+COUNTA($Q300))&gt;0),"",IF((IF($C300="","Falta el nombre de la actividad"&amp;" · ","")&amp;IF(AND($V300="Sub",N($U300)=0),"Subactividad sin macroactividad arriba"&amp;" · ","")&amp;IF($AM300="","Sin fecha de inicio"&amp;" · ","")&amp;IF($AN300="","Sin fecha límite"&amp;" · ","")&amp;IF(AND(LEFT($C300,11)="[Jefatura] ",N($AL300)=0),"No se encuentra en la hoja de la jefatura (elíjala de nuevo en la lista)"&amp;" · ","")&amp;IF(OR(AND($E300&lt;&gt;"",NOT(ISNUMBER($E300))),AND($F300&lt;&gt;"",NOT(ISNUMBER($F300))),AND($G300&lt;&gt;"",NOT(ISNUMBER($G300)))),"Fecha no válida"&amp;" · ","")&amp;IF(AND(ISNUMBER($AM300),ISNUMBER($AN300),$AM300&gt;$AN300),"Inicio posterior a fecha límite"&amp;" · ","")&amp;IF(AND($V300="Macro",$H300&lt;&gt;"",OR(NOT(ISNUMBER($H300)),$H300&lt;0,$H300&gt;1)),"Peso fuera de rango"&amp;" · ","")&amp;IF(AND($V300="Sub",$H300&lt;&gt;""),"Las subactividades no llevan peso (valen igual dentro de su macroactividad)"&amp;" · ","")&amp;IF(AND(N($W300)&gt;0,COUNT($I300:$L300)&gt;0),"Con subactividades: deje vacías las semanas (se calculan solas)"&amp;" · ","")&amp;IF((COUNTIF($I300:$L300,"&gt;1")+COUNTIF($I300:$L300,"&lt;0")+COUNTA($I300:$L300)-COUNT($I300:$L300))&gt;0,"Avance fuera de rango 0-100%"&amp;" · ","")&amp;IF(OR(AND($J300&lt;&gt;"",$J300&lt;$I300),AND($K300&lt;&gt;"",$K300&lt;MAX($I300:$J300)),AND($L300&lt;&gt;"",$L300&lt;MAX($I300:$K300))),"Avance semanal decreciente"&amp;" · ","")&amp;IF(AND(ISNUMBER($AN300),$AN300&lt;FechaRef,IF($V300="Sub",N($X300),N($M300))&lt;1),"Vencida"&amp;" · ","")&amp;IF(AND(ObsObligatoria="Sí",ISNUMBER($AN300),$AN300&lt;FechaRef,IF($V300="Sub",N($X300),N($M300))&lt;1,$Q300=""),"Vencida sin observación"&amp;" · ",""))="","✔ OK","⚠ "&amp;LEFT(IF($C300="","Falta el nombre de la actividad"&amp;" · ","")&amp;IF(AND($V300="Sub",N($U300)=0),"Subactividad sin macroactividad arriba"&amp;" · ","")&amp;IF($AM300="","Sin fecha de inicio"&amp;" · ","")&amp;IF($AN300="","Sin fecha límite"&amp;" · ","")&amp;IF(AND(LEFT($C300,11)="[Jefatura] ",N($AL300)=0),"No se encuentra en la hoja de la jefatura (elíjala de nuevo en la lista)"&amp;" · ","")&amp;IF(OR(AND($E300&lt;&gt;"",NOT(ISNUMBER($E300))),AND($F300&lt;&gt;"",NOT(ISNUMBER($F300))),AND($G300&lt;&gt;"",NOT(ISNUMBER($G300)))),"Fecha no válida"&amp;" · ","")&amp;IF(AND(ISNUMBER($AM300),ISNUMBER($AN300),$AM300&gt;$AN300),"Inicio posterior a fecha límite"&amp;" · ","")&amp;IF(AND($V300="Macro",$H300&lt;&gt;"",OR(NOT(ISNUMBER($H300)),$H300&lt;0,$H300&gt;1)),"Peso fuera de rango"&amp;" · ","")&amp;IF(AND($V300="Sub",$H300&lt;&gt;""),"Las subactividades no llevan peso (valen igual dentro de su macroactividad)"&amp;" · ","")&amp;IF(AND(N($W300)&gt;0,COUNT($I300:$L300)&gt;0),"Con subactividades: deje vacías las semanas (se calculan solas)"&amp;" · ","")&amp;IF((COUNTIF($I300:$L300,"&gt;1")+COUNTIF($I300:$L300,"&lt;0")+COUNTA($I300:$L300)-COUNT($I300:$L300))&gt;0,"Avance fuera de rango 0-100%"&amp;" · ","")&amp;IF(OR(AND($J300&lt;&gt;"",$J300&lt;$I300),AND($K300&lt;&gt;"",$K300&lt;MAX($I300:$J300)),AND($L300&lt;&gt;"",$L300&lt;MAX($I300:$K300))),"Avance semanal decreciente"&amp;" · ","")&amp;IF(AND(ISNUMBER($AN300),$AN300&lt;FechaRef,IF($V300="Sub",N($X300),N($M300))&lt;1),"Vencida"&amp;" · ","")&amp;IF(AND(ObsObligatoria="Sí",ISNUMBER($AN300),$AN300&lt;FechaRef,IF($V300="Sub",N($X300),N($M300))&lt;1,$Q300=""),"Vencida sin observación"&amp;" · ",""),LEN(IF($C300="","Falta el nombre de la actividad"&amp;" · ","")&amp;IF(AND($V300="Sub",N($U300)=0),"Subactividad sin macroactividad arriba"&amp;" · ","")&amp;IF($AM300="","Sin fecha de inicio"&amp;" · ","")&amp;IF($AN300="","Sin fecha límite"&amp;" · ","")&amp;IF(AND(LEFT($C300,11)="[Jefatura] ",N($AL300)=0),"No se encuentra en la hoja de la jefatura (elíjala de nuevo en la lista)"&amp;" · ","")&amp;IF(OR(AND($E300&lt;&gt;"",NOT(ISNUMBER($E300))),AND($F300&lt;&gt;"",NOT(ISNUMBER($F300))),AND($G300&lt;&gt;"",NOT(ISNUMBER($G300)))),"Fecha no válida"&amp;" · ","")&amp;IF(AND(ISNUMBER($AM300),ISNUMBER($AN300),$AM300&gt;$AN300),"Inicio posterior a fecha límite"&amp;" · ","")&amp;IF(AND($V300="Macro",$H300&lt;&gt;"",OR(NOT(ISNUMBER($H300)),$H300&lt;0,$H300&gt;1)),"Peso fuera de rango"&amp;" · ","")&amp;IF(AND($V300="Sub",$H300&lt;&gt;""),"Las subactividades no llevan peso (valen igual dentro de su macroactividad)"&amp;" · ","")&amp;IF(AND(N($W300)&gt;0,COUNT($I300:$L300)&gt;0),"Con subactividades: deje vacías las semanas (se calculan solas)"&amp;" · ","")&amp;IF((COUNTIF($I300:$L300,"&gt;1")+COUNTIF($I300:$L300,"&lt;0")+COUNTA($I300:$L300)-COUNT($I300:$L300))&gt;0,"Avance fuera de rango 0-100%"&amp;" · ","")&amp;IF(OR(AND($J300&lt;&gt;"",$J300&lt;$I300),AND($K300&lt;&gt;"",$K300&lt;MAX($I300:$J300)),AND($L300&lt;&gt;"",$L300&lt;MAX($I300:$K300))),"Avance semanal decreciente"&amp;" · ","")&amp;IF(AND(ISNUMBER($AN300),$AN300&lt;FechaRef,IF($V300="Sub",N($X300),N($M300))&lt;1),"Vencida"&amp;" · ","")&amp;IF(AND(ObsObligatoria="Sí",ISNUMBER($AN300),$AN300&lt;FechaRef,IF($V300="Sub",N($X300),N($M300))&lt;1,$Q300=""),"Vencida sin observación"&amp;" · ",""))-3)))</f>
        <v/>
      </c>
      <c r="S300" s="64">
        <f>IF(NOT((COUNTA($B300:$D300)+COUNTA($G300:$L300)+COUNTA($Q300))&gt;0),"",IF(AND($V300="Sub",N($U300)&gt;0),IF(ISNUMBER(INDEX($AM$5:$AM$1000,$U300-4)),DATE(YEAR(INDEX($AM$5:$AM$1000,$U300-4)),MONTH(INDEX($AM$5:$AM$1000,$U300-4)),1),IF(ISNUMBER(INDEX($AN$5:$AN$1000,$U300-4)),DATE(YEAR(INDEX($AN$5:$AN$1000,$U300-4)),MONTH(INDEX($AN$5:$AN$1000,$U300-4)),1),MesCiclo)),IF(ISNUMBER($AM300),DATE(YEAR($AM300),MONTH($AM300),1),IF(ISNUMBER($AN300),DATE(YEAR($AN300),MONTH($AN300),1),MesCiclo))))</f>
        <v/>
      </c>
      <c r="T300" s="62">
        <f>IF(OR($S300="",$S300&lt;&gt;MesCiclo,$V300&lt;&gt;"Macro"),"",COUNTIFS($S$5:$S300,MesCiclo,$V$5:$V300,"Macro"))</f>
        <v/>
      </c>
      <c r="U300" s="62">
        <f>IF($V300="","",IF($V300="Macro",ROW(),IFERROR(LOOKUP(2,1/($V$5:$V300="Macro"),ROW($V$5:$V300)),0)))</f>
        <v/>
      </c>
      <c r="V300" s="62">
        <f>IF(NOT((COUNTA($B300:$D300)+COUNTA($G300:$L300)+COUNTA($Q300))&gt;0),"",IF($B300="Subactividad","Sub","Macro"))</f>
        <v/>
      </c>
      <c r="W300" s="62">
        <f>IF($V300="Macro",COUNTIFS($U$5:$U$1000,ROW(),$V$5:$V$1000,"Sub"),"")</f>
        <v/>
      </c>
      <c r="X300" s="62">
        <f>IF($V300="","",IF(ISNUMBER($G300),1,IFERROR(LOOKUP(2,1/($I300:$L300&lt;&gt;""),$I300:$L300),0)))</f>
        <v/>
      </c>
      <c r="Y300" s="62">
        <f>IF($V300="","",IF(AND(ISNUMBER($G300),$G300&lt;=IF($S300=MesCiclo,InicioCiclo,$S300+MOD(2-WEEKDAY($S300),7))+6),1,IF(ISNUMBER($I300),$I300,0)))</f>
        <v/>
      </c>
      <c r="Z300" s="62">
        <f>IF($V300="","",IF(AND(ISNUMBER($G300),$G300&lt;=IF($S300=MesCiclo,InicioCiclo,$S300+MOD(2-WEEKDAY($S300),7))+13),1,IF(ISNUMBER($J300),$J300,$Y300)))</f>
        <v/>
      </c>
      <c r="AA300" s="62">
        <f>IF($V300="","",IF(AND(ISNUMBER($G300),$G300&lt;=IF($S300=MesCiclo,InicioCiclo,$S300+MOD(2-WEEKDAY($S300),7))+20),1,IF(ISNUMBER($K300),$K300,$Z300)))</f>
        <v/>
      </c>
      <c r="AB300" s="62">
        <f>IF($V300="","",IF(AND(ISNUMBER($G300),$G300&lt;=IF($S300=MesCiclo,InicioCiclo,$S300+MOD(2-WEEKDAY($S300),7))+27),1,IF(ISNUMBER($L300),$L300,$AA300)))</f>
        <v/>
      </c>
      <c r="AC300" s="62">
        <f>IF($V300="","",IF(AND(ISNUMBER($G300),$G300&lt;=IF($S300=MesCiclo,InicioCiclo,$S300+MOD(2-WEEKDAY($S300),7))+6),1,IF(N($W300)&gt;0,AVERAGEIFS($Y$5:$Y$1000,$U$5:$U$1000,ROW(),$V$5:$V$1000,"Sub"),$Y300)))</f>
        <v/>
      </c>
      <c r="AD300" s="62">
        <f>IF($V300="","",IF(AND(ISNUMBER($G300),$G300&lt;=IF($S300=MesCiclo,InicioCiclo,$S300+MOD(2-WEEKDAY($S300),7))+13),1,IF(N($W300)&gt;0,AVERAGEIFS($Z$5:$Z$1000,$U$5:$U$1000,ROW(),$V$5:$V$1000,"Sub"),$Z300)))</f>
        <v/>
      </c>
      <c r="AE300" s="62">
        <f>IF($V300="","",IF(AND(ISNUMBER($G300),$G300&lt;=IF($S300=MesCiclo,InicioCiclo,$S300+MOD(2-WEEKDAY($S300),7))+20),1,IF(N($W300)&gt;0,AVERAGEIFS($AA$5:$AA$1000,$U$5:$U$1000,ROW(),$V$5:$V$1000,"Sub"),$AA300)))</f>
        <v/>
      </c>
      <c r="AF300" s="62">
        <f>IF($V300="","",IF(AND(ISNUMBER($G300),$G300&lt;=IF($S300=MesCiclo,InicioCiclo,$S300+MOD(2-WEEKDAY($S300),7))+27),1,IF(N($W300)&gt;0,AVERAGEIFS($AB$5:$AB$1000,$U$5:$U$1000,ROW(),$V$5:$V$1000,"Sub"),$AB300)))</f>
        <v/>
      </c>
      <c r="AG300" s="62">
        <f>IF($V300&lt;&gt;"Macro","",IF(COUNTIFS($S$5:$S$1000,$S300,$V$5:$V$1000,"Macro",$H$5:$H$1000,"&gt;0")=0,1/COUNTIFS($S$5:$S$1000,$S300,$V$5:$V$1000,"Macro"),IF(AND(ISNUMBER($H300),N($H300)&gt;0),$H300,SUMIFS($H$5:$H$1000,$S$5:$S$1000,$S300,$V$5:$V$1000,"Macro")/COUNTIFS($S$5:$S$1000,$S300,$V$5:$V$1000,"Macro",$H$5:$H$1000,"&gt;0"))/(COUNTIFS($S$5:$S$1000,$S300,$V$5:$V$1000,"Macro")*SUMIFS($H$5:$H$1000,$S$5:$S$1000,$S300,$V$5:$V$1000,"Macro")/COUNTIFS($S$5:$S$1000,$S300,$V$5:$V$1000,"Macro",$H$5:$H$1000,"&gt;0"))))</f>
        <v/>
      </c>
      <c r="AH300" s="62">
        <f>IF(NOT(AND($D300&lt;&gt;"",$V300="Macro")),"",IFERROR(CHOOSE(MATCH($D300,ListaPuestos,0),MATCH("[Jefatura] "&amp;$C300,'Cronograma R. Operacional'!$C$5:$C$1000,0),MATCH("[Jefatura] "&amp;$C300,'Cronograma R. Normativo'!$C$5:$C$1000,0),MATCH("[Jefatura] "&amp;$C300,'Cronograma R. Financiero'!$C$5:$C$1000,0),MATCH("[Jefatura] "&amp;$C300,'Cronograma Asistente Técnico'!$C$5:$C$1000,0)),0))</f>
        <v/>
      </c>
      <c r="AI300" s="62">
        <f>IF(AND(AND($D300&lt;&gt;"",$V300="Macro"),$S300=MesCiclo),COUNTIFS($D$5:$D300,$D300,$S$5:$S300,MesCiclo,$V$5:$V300,"Macro"),"")</f>
        <v/>
      </c>
      <c r="AJ300" s="62">
        <f>IF($AI300="","",$D300&amp;"|"&amp;$AI300)</f>
        <v/>
      </c>
      <c r="AK300" s="62">
        <f>IF(AND($D300&lt;&gt;"",$V300="Macro"),$D300&amp;"|"&amp;$C300,"")</f>
        <v/>
      </c>
      <c r="AL300" s="62">
        <f>""</f>
        <v/>
      </c>
      <c r="AM300" s="62">
        <f>IF(N($AL300)&gt;0,INDEX(rIni_ADM,$AL300),IF(ISNUMBER($E300),$E300,""))</f>
        <v/>
      </c>
      <c r="AN300" s="62">
        <f>IF(N($AL300)&gt;0,INDEX(rLim_ADM,$AL300),IF(ISNUMBER($F300),$F300,""))</f>
        <v/>
      </c>
    </row>
    <row r="301">
      <c r="A301" s="56">
        <f>IF(NOT((COUNTA($B301:$D301)+COUNTA($G301:$L301)+COUNTA($Q301))&gt;0),"",IF($V301="Macro",COUNTIFS($V$5:$V301,"Macro",$S$5:$S301,$S301),IF(N($U301)=0,"?",COUNTIFS(INDEX($V$5:$V$1000,1):INDEX($V$5:$V$1000,$U301-4),"Macro",INDEX($S$5:$S$1000,1):INDEX($S$5:$S$1000,$U301-4),INDEX($S$5:$S$1000,$U301-4))&amp;"."&amp;COUNTIFS($U$5:$U301,$U301,$V$5:$V301,"Sub"))))</f>
        <v/>
      </c>
      <c r="B301" s="57" t="n"/>
      <c r="C301" s="58" t="n"/>
      <c r="D301" s="58" t="n"/>
      <c r="E301" s="59" t="n"/>
      <c r="F301" s="59" t="n"/>
      <c r="G301" s="59" t="n"/>
      <c r="H301" s="60" t="n"/>
      <c r="I301" s="60" t="n"/>
      <c r="J301" s="60" t="n"/>
      <c r="K301" s="60" t="n"/>
      <c r="L301" s="60" t="n"/>
      <c r="M301" s="61">
        <f>IF(NOT((COUNTA($B301:$D301)+COUNTA($G301:$L301)+COUNTA($Q301))&gt;0),"",IF(AND($D301&lt;&gt;"",$V301="Macro"),IF(N($AH301)&gt;0,N(CHOOSE(MATCH($D301,ListaPuestos,0),INDEX('Cronograma R. Operacional'!$M$5:$M$1000,$AH301),INDEX('Cronograma R. Normativo'!$M$5:$M$1000,$AH301),INDEX('Cronograma R. Financiero'!$M$5:$M$1000,$AH301),INDEX('Cronograma Asistente Técnico'!$M$5:$M$1000,$AH301))),0),IF(ISNUMBER($G301),1,IF(N($W301)&gt;0,AVERAGEIFS($X$5:$X$1000,$U$5:$U$1000,ROW(),$V$5:$V$1000,"Sub"),$X301))))</f>
        <v/>
      </c>
      <c r="N301" s="56">
        <f>IF(OR($M301="",$V301="Sub"),"",IF($M301&gt;=1,"Completado",IF($M301&gt;0,"En curso","Pendiente")))</f>
        <v/>
      </c>
      <c r="O301" s="56">
        <f>IF(NOT((COUNTA($B301:$D301)+COUNTA($G301:$L301)+COUNTA($Q301))&gt;0),"",IF(AND(AND($D301&lt;&gt;"",$V301="Macro"),N($AH301)&gt;0),CHOOSE(MATCH($D301,ListaPuestos,0),INDEX('Cronograma R. Operacional'!$O$5:$O$1000,$AH301),INDEX('Cronograma R. Normativo'!$O$5:$O$1000,$AH301),INDEX('Cronograma R. Financiero'!$O$5:$O$1000,$AH301),INDEX('Cronograma Asistente Técnico'!$O$5:$O$1000,$AH301))&amp;"",IF(ISNUMBER($G301),IF(AND(ISNUMBER($AN301),$G301&gt;$AN301),"Cumplida con "&amp;($G301-$AN301)&amp;IF($G301-$AN301=1," día"," días")&amp;" de retraso","Cumplida"),IF(N($M301)&gt;=1,"Cumplida",IF(NOT(ISNUMBER($AN301)),"Sin fecha límite",IF($AN301&lt;FechaRef,"Vencida hace "&amp;(FechaRef-$AN301)&amp;IF(FechaRef-$AN301=1," día"," días"),IF($AN301=FechaRef,"Vence hoy",IF($AN301-FechaRef&lt;=DiasAlerta,"Vence en "&amp;($AN301-FechaRef)&amp;IF($AN301-FechaRef=1," día"," días"),"En plazo"))))))))</f>
        <v/>
      </c>
      <c r="P301" s="62">
        <f>IF(NOT((COUNTA($B301:$D301)+COUNTA($G301:$L301)+COUNTA($Q301))&gt;0),"",IF($D301="","Propia",IF($V301&lt;&gt;"Macro","Solo se delegan macroactividades",IF(N($AH301)&gt;0,"✔ Recibida por "&amp;$D301,"⚠ "&amp;$D301&amp;" aún no la agrega"))))</f>
        <v/>
      </c>
      <c r="Q301" s="58" t="n"/>
      <c r="R301" s="63">
        <f>IF(NOT((COUNTA($B301:$D301)+COUNTA($G301:$L301)+COUNTA($Q301))&gt;0),"",IF((IF($C301="","Falta el nombre de la actividad"&amp;" · ","")&amp;IF(AND($V301="Sub",N($U301)=0),"Subactividad sin macroactividad arriba"&amp;" · ","")&amp;IF($AM301="","Sin fecha de inicio"&amp;" · ","")&amp;IF($AN301="","Sin fecha límite"&amp;" · ","")&amp;IF(AND(LEFT($C301,11)="[Jefatura] ",N($AL301)=0),"No se encuentra en la hoja de la jefatura (elíjala de nuevo en la lista)"&amp;" · ","")&amp;IF(OR(AND($E301&lt;&gt;"",NOT(ISNUMBER($E301))),AND($F301&lt;&gt;"",NOT(ISNUMBER($F301))),AND($G301&lt;&gt;"",NOT(ISNUMBER($G301)))),"Fecha no válida"&amp;" · ","")&amp;IF(AND(ISNUMBER($AM301),ISNUMBER($AN301),$AM301&gt;$AN301),"Inicio posterior a fecha límite"&amp;" · ","")&amp;IF(AND($V301="Macro",$H301&lt;&gt;"",OR(NOT(ISNUMBER($H301)),$H301&lt;0,$H301&gt;1)),"Peso fuera de rango"&amp;" · ","")&amp;IF(AND($V301="Sub",$H301&lt;&gt;""),"Las subactividades no llevan peso (valen igual dentro de su macroactividad)"&amp;" · ","")&amp;IF(AND(N($W301)&gt;0,COUNT($I301:$L301)&gt;0),"Con subactividades: deje vacías las semanas (se calculan solas)"&amp;" · ","")&amp;IF((COUNTIF($I301:$L301,"&gt;1")+COUNTIF($I301:$L301,"&lt;0")+COUNTA($I301:$L301)-COUNT($I301:$L301))&gt;0,"Avance fuera de rango 0-100%"&amp;" · ","")&amp;IF(OR(AND($J301&lt;&gt;"",$J301&lt;$I301),AND($K301&lt;&gt;"",$K301&lt;MAX($I301:$J301)),AND($L301&lt;&gt;"",$L301&lt;MAX($I301:$K301))),"Avance semanal decreciente"&amp;" · ","")&amp;IF(AND(ISNUMBER($AN301),$AN301&lt;FechaRef,IF($V301="Sub",N($X301),N($M301))&lt;1),"Vencida"&amp;" · ","")&amp;IF(AND(ObsObligatoria="Sí",ISNUMBER($AN301),$AN301&lt;FechaRef,IF($V301="Sub",N($X301),N($M301))&lt;1,$Q301=""),"Vencida sin observación"&amp;" · ",""))="","✔ OK","⚠ "&amp;LEFT(IF($C301="","Falta el nombre de la actividad"&amp;" · ","")&amp;IF(AND($V301="Sub",N($U301)=0),"Subactividad sin macroactividad arriba"&amp;" · ","")&amp;IF($AM301="","Sin fecha de inicio"&amp;" · ","")&amp;IF($AN301="","Sin fecha límite"&amp;" · ","")&amp;IF(AND(LEFT($C301,11)="[Jefatura] ",N($AL301)=0),"No se encuentra en la hoja de la jefatura (elíjala de nuevo en la lista)"&amp;" · ","")&amp;IF(OR(AND($E301&lt;&gt;"",NOT(ISNUMBER($E301))),AND($F301&lt;&gt;"",NOT(ISNUMBER($F301))),AND($G301&lt;&gt;"",NOT(ISNUMBER($G301)))),"Fecha no válida"&amp;" · ","")&amp;IF(AND(ISNUMBER($AM301),ISNUMBER($AN301),$AM301&gt;$AN301),"Inicio posterior a fecha límite"&amp;" · ","")&amp;IF(AND($V301="Macro",$H301&lt;&gt;"",OR(NOT(ISNUMBER($H301)),$H301&lt;0,$H301&gt;1)),"Peso fuera de rango"&amp;" · ","")&amp;IF(AND($V301="Sub",$H301&lt;&gt;""),"Las subactividades no llevan peso (valen igual dentro de su macroactividad)"&amp;" · ","")&amp;IF(AND(N($W301)&gt;0,COUNT($I301:$L301)&gt;0),"Con subactividades: deje vacías las semanas (se calculan solas)"&amp;" · ","")&amp;IF((COUNTIF($I301:$L301,"&gt;1")+COUNTIF($I301:$L301,"&lt;0")+COUNTA($I301:$L301)-COUNT($I301:$L301))&gt;0,"Avance fuera de rango 0-100%"&amp;" · ","")&amp;IF(OR(AND($J301&lt;&gt;"",$J301&lt;$I301),AND($K301&lt;&gt;"",$K301&lt;MAX($I301:$J301)),AND($L301&lt;&gt;"",$L301&lt;MAX($I301:$K301))),"Avance semanal decreciente"&amp;" · ","")&amp;IF(AND(ISNUMBER($AN301),$AN301&lt;FechaRef,IF($V301="Sub",N($X301),N($M301))&lt;1),"Vencida"&amp;" · ","")&amp;IF(AND(ObsObligatoria="Sí",ISNUMBER($AN301),$AN301&lt;FechaRef,IF($V301="Sub",N($X301),N($M301))&lt;1,$Q301=""),"Vencida sin observación"&amp;" · ",""),LEN(IF($C301="","Falta el nombre de la actividad"&amp;" · ","")&amp;IF(AND($V301="Sub",N($U301)=0),"Subactividad sin macroactividad arriba"&amp;" · ","")&amp;IF($AM301="","Sin fecha de inicio"&amp;" · ","")&amp;IF($AN301="","Sin fecha límite"&amp;" · ","")&amp;IF(AND(LEFT($C301,11)="[Jefatura] ",N($AL301)=0),"No se encuentra en la hoja de la jefatura (elíjala de nuevo en la lista)"&amp;" · ","")&amp;IF(OR(AND($E301&lt;&gt;"",NOT(ISNUMBER($E301))),AND($F301&lt;&gt;"",NOT(ISNUMBER($F301))),AND($G301&lt;&gt;"",NOT(ISNUMBER($G301)))),"Fecha no válida"&amp;" · ","")&amp;IF(AND(ISNUMBER($AM301),ISNUMBER($AN301),$AM301&gt;$AN301),"Inicio posterior a fecha límite"&amp;" · ","")&amp;IF(AND($V301="Macro",$H301&lt;&gt;"",OR(NOT(ISNUMBER($H301)),$H301&lt;0,$H301&gt;1)),"Peso fuera de rango"&amp;" · ","")&amp;IF(AND($V301="Sub",$H301&lt;&gt;""),"Las subactividades no llevan peso (valen igual dentro de su macroactividad)"&amp;" · ","")&amp;IF(AND(N($W301)&gt;0,COUNT($I301:$L301)&gt;0),"Con subactividades: deje vacías las semanas (se calculan solas)"&amp;" · ","")&amp;IF((COUNTIF($I301:$L301,"&gt;1")+COUNTIF($I301:$L301,"&lt;0")+COUNTA($I301:$L301)-COUNT($I301:$L301))&gt;0,"Avance fuera de rango 0-100%"&amp;" · ","")&amp;IF(OR(AND($J301&lt;&gt;"",$J301&lt;$I301),AND($K301&lt;&gt;"",$K301&lt;MAX($I301:$J301)),AND($L301&lt;&gt;"",$L301&lt;MAX($I301:$K301))),"Avance semanal decreciente"&amp;" · ","")&amp;IF(AND(ISNUMBER($AN301),$AN301&lt;FechaRef,IF($V301="Sub",N($X301),N($M301))&lt;1),"Vencida"&amp;" · ","")&amp;IF(AND(ObsObligatoria="Sí",ISNUMBER($AN301),$AN301&lt;FechaRef,IF($V301="Sub",N($X301),N($M301))&lt;1,$Q301=""),"Vencida sin observación"&amp;" · ",""))-3)))</f>
        <v/>
      </c>
      <c r="S301" s="64">
        <f>IF(NOT((COUNTA($B301:$D301)+COUNTA($G301:$L301)+COUNTA($Q301))&gt;0),"",IF(AND($V301="Sub",N($U301)&gt;0),IF(ISNUMBER(INDEX($AM$5:$AM$1000,$U301-4)),DATE(YEAR(INDEX($AM$5:$AM$1000,$U301-4)),MONTH(INDEX($AM$5:$AM$1000,$U301-4)),1),IF(ISNUMBER(INDEX($AN$5:$AN$1000,$U301-4)),DATE(YEAR(INDEX($AN$5:$AN$1000,$U301-4)),MONTH(INDEX($AN$5:$AN$1000,$U301-4)),1),MesCiclo)),IF(ISNUMBER($AM301),DATE(YEAR($AM301),MONTH($AM301),1),IF(ISNUMBER($AN301),DATE(YEAR($AN301),MONTH($AN301),1),MesCiclo))))</f>
        <v/>
      </c>
      <c r="T301" s="62">
        <f>IF(OR($S301="",$S301&lt;&gt;MesCiclo,$V301&lt;&gt;"Macro"),"",COUNTIFS($S$5:$S301,MesCiclo,$V$5:$V301,"Macro"))</f>
        <v/>
      </c>
      <c r="U301" s="62">
        <f>IF($V301="","",IF($V301="Macro",ROW(),IFERROR(LOOKUP(2,1/($V$5:$V301="Macro"),ROW($V$5:$V301)),0)))</f>
        <v/>
      </c>
      <c r="V301" s="62">
        <f>IF(NOT((COUNTA($B301:$D301)+COUNTA($G301:$L301)+COUNTA($Q301))&gt;0),"",IF($B301="Subactividad","Sub","Macro"))</f>
        <v/>
      </c>
      <c r="W301" s="62">
        <f>IF($V301="Macro",COUNTIFS($U$5:$U$1000,ROW(),$V$5:$V$1000,"Sub"),"")</f>
        <v/>
      </c>
      <c r="X301" s="62">
        <f>IF($V301="","",IF(ISNUMBER($G301),1,IFERROR(LOOKUP(2,1/($I301:$L301&lt;&gt;""),$I301:$L301),0)))</f>
        <v/>
      </c>
      <c r="Y301" s="62">
        <f>IF($V301="","",IF(AND(ISNUMBER($G301),$G301&lt;=IF($S301=MesCiclo,InicioCiclo,$S301+MOD(2-WEEKDAY($S301),7))+6),1,IF(ISNUMBER($I301),$I301,0)))</f>
        <v/>
      </c>
      <c r="Z301" s="62">
        <f>IF($V301="","",IF(AND(ISNUMBER($G301),$G301&lt;=IF($S301=MesCiclo,InicioCiclo,$S301+MOD(2-WEEKDAY($S301),7))+13),1,IF(ISNUMBER($J301),$J301,$Y301)))</f>
        <v/>
      </c>
      <c r="AA301" s="62">
        <f>IF($V301="","",IF(AND(ISNUMBER($G301),$G301&lt;=IF($S301=MesCiclo,InicioCiclo,$S301+MOD(2-WEEKDAY($S301),7))+20),1,IF(ISNUMBER($K301),$K301,$Z301)))</f>
        <v/>
      </c>
      <c r="AB301" s="62">
        <f>IF($V301="","",IF(AND(ISNUMBER($G301),$G301&lt;=IF($S301=MesCiclo,InicioCiclo,$S301+MOD(2-WEEKDAY($S301),7))+27),1,IF(ISNUMBER($L301),$L301,$AA301)))</f>
        <v/>
      </c>
      <c r="AC301" s="62">
        <f>IF($V301="","",IF(AND(ISNUMBER($G301),$G301&lt;=IF($S301=MesCiclo,InicioCiclo,$S301+MOD(2-WEEKDAY($S301),7))+6),1,IF(N($W301)&gt;0,AVERAGEIFS($Y$5:$Y$1000,$U$5:$U$1000,ROW(),$V$5:$V$1000,"Sub"),$Y301)))</f>
        <v/>
      </c>
      <c r="AD301" s="62">
        <f>IF($V301="","",IF(AND(ISNUMBER($G301),$G301&lt;=IF($S301=MesCiclo,InicioCiclo,$S301+MOD(2-WEEKDAY($S301),7))+13),1,IF(N($W301)&gt;0,AVERAGEIFS($Z$5:$Z$1000,$U$5:$U$1000,ROW(),$V$5:$V$1000,"Sub"),$Z301)))</f>
        <v/>
      </c>
      <c r="AE301" s="62">
        <f>IF($V301="","",IF(AND(ISNUMBER($G301),$G301&lt;=IF($S301=MesCiclo,InicioCiclo,$S301+MOD(2-WEEKDAY($S301),7))+20),1,IF(N($W301)&gt;0,AVERAGEIFS($AA$5:$AA$1000,$U$5:$U$1000,ROW(),$V$5:$V$1000,"Sub"),$AA301)))</f>
        <v/>
      </c>
      <c r="AF301" s="62">
        <f>IF($V301="","",IF(AND(ISNUMBER($G301),$G301&lt;=IF($S301=MesCiclo,InicioCiclo,$S301+MOD(2-WEEKDAY($S301),7))+27),1,IF(N($W301)&gt;0,AVERAGEIFS($AB$5:$AB$1000,$U$5:$U$1000,ROW(),$V$5:$V$1000,"Sub"),$AB301)))</f>
        <v/>
      </c>
      <c r="AG301" s="62">
        <f>IF($V301&lt;&gt;"Macro","",IF(COUNTIFS($S$5:$S$1000,$S301,$V$5:$V$1000,"Macro",$H$5:$H$1000,"&gt;0")=0,1/COUNTIFS($S$5:$S$1000,$S301,$V$5:$V$1000,"Macro"),IF(AND(ISNUMBER($H301),N($H301)&gt;0),$H301,SUMIFS($H$5:$H$1000,$S$5:$S$1000,$S301,$V$5:$V$1000,"Macro")/COUNTIFS($S$5:$S$1000,$S301,$V$5:$V$1000,"Macro",$H$5:$H$1000,"&gt;0"))/(COUNTIFS($S$5:$S$1000,$S301,$V$5:$V$1000,"Macro")*SUMIFS($H$5:$H$1000,$S$5:$S$1000,$S301,$V$5:$V$1000,"Macro")/COUNTIFS($S$5:$S$1000,$S301,$V$5:$V$1000,"Macro",$H$5:$H$1000,"&gt;0"))))</f>
        <v/>
      </c>
      <c r="AH301" s="62">
        <f>IF(NOT(AND($D301&lt;&gt;"",$V301="Macro")),"",IFERROR(CHOOSE(MATCH($D301,ListaPuestos,0),MATCH("[Jefatura] "&amp;$C301,'Cronograma R. Operacional'!$C$5:$C$1000,0),MATCH("[Jefatura] "&amp;$C301,'Cronograma R. Normativo'!$C$5:$C$1000,0),MATCH("[Jefatura] "&amp;$C301,'Cronograma R. Financiero'!$C$5:$C$1000,0),MATCH("[Jefatura] "&amp;$C301,'Cronograma Asistente Técnico'!$C$5:$C$1000,0)),0))</f>
        <v/>
      </c>
      <c r="AI301" s="62">
        <f>IF(AND(AND($D301&lt;&gt;"",$V301="Macro"),$S301=MesCiclo),COUNTIFS($D$5:$D301,$D301,$S$5:$S301,MesCiclo,$V$5:$V301,"Macro"),"")</f>
        <v/>
      </c>
      <c r="AJ301" s="62">
        <f>IF($AI301="","",$D301&amp;"|"&amp;$AI301)</f>
        <v/>
      </c>
      <c r="AK301" s="62">
        <f>IF(AND($D301&lt;&gt;"",$V301="Macro"),$D301&amp;"|"&amp;$C301,"")</f>
        <v/>
      </c>
      <c r="AL301" s="62">
        <f>""</f>
        <v/>
      </c>
      <c r="AM301" s="62">
        <f>IF(N($AL301)&gt;0,INDEX(rIni_ADM,$AL301),IF(ISNUMBER($E301),$E301,""))</f>
        <v/>
      </c>
      <c r="AN301" s="62">
        <f>IF(N($AL301)&gt;0,INDEX(rLim_ADM,$AL301),IF(ISNUMBER($F301),$F301,""))</f>
        <v/>
      </c>
    </row>
    <row r="302">
      <c r="A302" s="56">
        <f>IF(NOT((COUNTA($B302:$D302)+COUNTA($G302:$L302)+COUNTA($Q302))&gt;0),"",IF($V302="Macro",COUNTIFS($V$5:$V302,"Macro",$S$5:$S302,$S302),IF(N($U302)=0,"?",COUNTIFS(INDEX($V$5:$V$1000,1):INDEX($V$5:$V$1000,$U302-4),"Macro",INDEX($S$5:$S$1000,1):INDEX($S$5:$S$1000,$U302-4),INDEX($S$5:$S$1000,$U302-4))&amp;"."&amp;COUNTIFS($U$5:$U302,$U302,$V$5:$V302,"Sub"))))</f>
        <v/>
      </c>
      <c r="B302" s="57" t="n"/>
      <c r="C302" s="58" t="n"/>
      <c r="D302" s="58" t="n"/>
      <c r="E302" s="59" t="n"/>
      <c r="F302" s="59" t="n"/>
      <c r="G302" s="59" t="n"/>
      <c r="H302" s="60" t="n"/>
      <c r="I302" s="60" t="n"/>
      <c r="J302" s="60" t="n"/>
      <c r="K302" s="60" t="n"/>
      <c r="L302" s="60" t="n"/>
      <c r="M302" s="61">
        <f>IF(NOT((COUNTA($B302:$D302)+COUNTA($G302:$L302)+COUNTA($Q302))&gt;0),"",IF(AND($D302&lt;&gt;"",$V302="Macro"),IF(N($AH302)&gt;0,N(CHOOSE(MATCH($D302,ListaPuestos,0),INDEX('Cronograma R. Operacional'!$M$5:$M$1000,$AH302),INDEX('Cronograma R. Normativo'!$M$5:$M$1000,$AH302),INDEX('Cronograma R. Financiero'!$M$5:$M$1000,$AH302),INDEX('Cronograma Asistente Técnico'!$M$5:$M$1000,$AH302))),0),IF(ISNUMBER($G302),1,IF(N($W302)&gt;0,AVERAGEIFS($X$5:$X$1000,$U$5:$U$1000,ROW(),$V$5:$V$1000,"Sub"),$X302))))</f>
        <v/>
      </c>
      <c r="N302" s="56">
        <f>IF(OR($M302="",$V302="Sub"),"",IF($M302&gt;=1,"Completado",IF($M302&gt;0,"En curso","Pendiente")))</f>
        <v/>
      </c>
      <c r="O302" s="56">
        <f>IF(NOT((COUNTA($B302:$D302)+COUNTA($G302:$L302)+COUNTA($Q302))&gt;0),"",IF(AND(AND($D302&lt;&gt;"",$V302="Macro"),N($AH302)&gt;0),CHOOSE(MATCH($D302,ListaPuestos,0),INDEX('Cronograma R. Operacional'!$O$5:$O$1000,$AH302),INDEX('Cronograma R. Normativo'!$O$5:$O$1000,$AH302),INDEX('Cronograma R. Financiero'!$O$5:$O$1000,$AH302),INDEX('Cronograma Asistente Técnico'!$O$5:$O$1000,$AH302))&amp;"",IF(ISNUMBER($G302),IF(AND(ISNUMBER($AN302),$G302&gt;$AN302),"Cumplida con "&amp;($G302-$AN302)&amp;IF($G302-$AN302=1," día"," días")&amp;" de retraso","Cumplida"),IF(N($M302)&gt;=1,"Cumplida",IF(NOT(ISNUMBER($AN302)),"Sin fecha límite",IF($AN302&lt;FechaRef,"Vencida hace "&amp;(FechaRef-$AN302)&amp;IF(FechaRef-$AN302=1," día"," días"),IF($AN302=FechaRef,"Vence hoy",IF($AN302-FechaRef&lt;=DiasAlerta,"Vence en "&amp;($AN302-FechaRef)&amp;IF($AN302-FechaRef=1," día"," días"),"En plazo"))))))))</f>
        <v/>
      </c>
      <c r="P302" s="62">
        <f>IF(NOT((COUNTA($B302:$D302)+COUNTA($G302:$L302)+COUNTA($Q302))&gt;0),"",IF($D302="","Propia",IF($V302&lt;&gt;"Macro","Solo se delegan macroactividades",IF(N($AH302)&gt;0,"✔ Recibida por "&amp;$D302,"⚠ "&amp;$D302&amp;" aún no la agrega"))))</f>
        <v/>
      </c>
      <c r="Q302" s="58" t="n"/>
      <c r="R302" s="63">
        <f>IF(NOT((COUNTA($B302:$D302)+COUNTA($G302:$L302)+COUNTA($Q302))&gt;0),"",IF((IF($C302="","Falta el nombre de la actividad"&amp;" · ","")&amp;IF(AND($V302="Sub",N($U302)=0),"Subactividad sin macroactividad arriba"&amp;" · ","")&amp;IF($AM302="","Sin fecha de inicio"&amp;" · ","")&amp;IF($AN302="","Sin fecha límite"&amp;" · ","")&amp;IF(AND(LEFT($C302,11)="[Jefatura] ",N($AL302)=0),"No se encuentra en la hoja de la jefatura (elíjala de nuevo en la lista)"&amp;" · ","")&amp;IF(OR(AND($E302&lt;&gt;"",NOT(ISNUMBER($E302))),AND($F302&lt;&gt;"",NOT(ISNUMBER($F302))),AND($G302&lt;&gt;"",NOT(ISNUMBER($G302)))),"Fecha no válida"&amp;" · ","")&amp;IF(AND(ISNUMBER($AM302),ISNUMBER($AN302),$AM302&gt;$AN302),"Inicio posterior a fecha límite"&amp;" · ","")&amp;IF(AND($V302="Macro",$H302&lt;&gt;"",OR(NOT(ISNUMBER($H302)),$H302&lt;0,$H302&gt;1)),"Peso fuera de rango"&amp;" · ","")&amp;IF(AND($V302="Sub",$H302&lt;&gt;""),"Las subactividades no llevan peso (valen igual dentro de su macroactividad)"&amp;" · ","")&amp;IF(AND(N($W302)&gt;0,COUNT($I302:$L302)&gt;0),"Con subactividades: deje vacías las semanas (se calculan solas)"&amp;" · ","")&amp;IF((COUNTIF($I302:$L302,"&gt;1")+COUNTIF($I302:$L302,"&lt;0")+COUNTA($I302:$L302)-COUNT($I302:$L302))&gt;0,"Avance fuera de rango 0-100%"&amp;" · ","")&amp;IF(OR(AND($J302&lt;&gt;"",$J302&lt;$I302),AND($K302&lt;&gt;"",$K302&lt;MAX($I302:$J302)),AND($L302&lt;&gt;"",$L302&lt;MAX($I302:$K302))),"Avance semanal decreciente"&amp;" · ","")&amp;IF(AND(ISNUMBER($AN302),$AN302&lt;FechaRef,IF($V302="Sub",N($X302),N($M302))&lt;1),"Vencida"&amp;" · ","")&amp;IF(AND(ObsObligatoria="Sí",ISNUMBER($AN302),$AN302&lt;FechaRef,IF($V302="Sub",N($X302),N($M302))&lt;1,$Q302=""),"Vencida sin observación"&amp;" · ",""))="","✔ OK","⚠ "&amp;LEFT(IF($C302="","Falta el nombre de la actividad"&amp;" · ","")&amp;IF(AND($V302="Sub",N($U302)=0),"Subactividad sin macroactividad arriba"&amp;" · ","")&amp;IF($AM302="","Sin fecha de inicio"&amp;" · ","")&amp;IF($AN302="","Sin fecha límite"&amp;" · ","")&amp;IF(AND(LEFT($C302,11)="[Jefatura] ",N($AL302)=0),"No se encuentra en la hoja de la jefatura (elíjala de nuevo en la lista)"&amp;" · ","")&amp;IF(OR(AND($E302&lt;&gt;"",NOT(ISNUMBER($E302))),AND($F302&lt;&gt;"",NOT(ISNUMBER($F302))),AND($G302&lt;&gt;"",NOT(ISNUMBER($G302)))),"Fecha no válida"&amp;" · ","")&amp;IF(AND(ISNUMBER($AM302),ISNUMBER($AN302),$AM302&gt;$AN302),"Inicio posterior a fecha límite"&amp;" · ","")&amp;IF(AND($V302="Macro",$H302&lt;&gt;"",OR(NOT(ISNUMBER($H302)),$H302&lt;0,$H302&gt;1)),"Peso fuera de rango"&amp;" · ","")&amp;IF(AND($V302="Sub",$H302&lt;&gt;""),"Las subactividades no llevan peso (valen igual dentro de su macroactividad)"&amp;" · ","")&amp;IF(AND(N($W302)&gt;0,COUNT($I302:$L302)&gt;0),"Con subactividades: deje vacías las semanas (se calculan solas)"&amp;" · ","")&amp;IF((COUNTIF($I302:$L302,"&gt;1")+COUNTIF($I302:$L302,"&lt;0")+COUNTA($I302:$L302)-COUNT($I302:$L302))&gt;0,"Avance fuera de rango 0-100%"&amp;" · ","")&amp;IF(OR(AND($J302&lt;&gt;"",$J302&lt;$I302),AND($K302&lt;&gt;"",$K302&lt;MAX($I302:$J302)),AND($L302&lt;&gt;"",$L302&lt;MAX($I302:$K302))),"Avance semanal decreciente"&amp;" · ","")&amp;IF(AND(ISNUMBER($AN302),$AN302&lt;FechaRef,IF($V302="Sub",N($X302),N($M302))&lt;1),"Vencida"&amp;" · ","")&amp;IF(AND(ObsObligatoria="Sí",ISNUMBER($AN302),$AN302&lt;FechaRef,IF($V302="Sub",N($X302),N($M302))&lt;1,$Q302=""),"Vencida sin observación"&amp;" · ",""),LEN(IF($C302="","Falta el nombre de la actividad"&amp;" · ","")&amp;IF(AND($V302="Sub",N($U302)=0),"Subactividad sin macroactividad arriba"&amp;" · ","")&amp;IF($AM302="","Sin fecha de inicio"&amp;" · ","")&amp;IF($AN302="","Sin fecha límite"&amp;" · ","")&amp;IF(AND(LEFT($C302,11)="[Jefatura] ",N($AL302)=0),"No se encuentra en la hoja de la jefatura (elíjala de nuevo en la lista)"&amp;" · ","")&amp;IF(OR(AND($E302&lt;&gt;"",NOT(ISNUMBER($E302))),AND($F302&lt;&gt;"",NOT(ISNUMBER($F302))),AND($G302&lt;&gt;"",NOT(ISNUMBER($G302)))),"Fecha no válida"&amp;" · ","")&amp;IF(AND(ISNUMBER($AM302),ISNUMBER($AN302),$AM302&gt;$AN302),"Inicio posterior a fecha límite"&amp;" · ","")&amp;IF(AND($V302="Macro",$H302&lt;&gt;"",OR(NOT(ISNUMBER($H302)),$H302&lt;0,$H302&gt;1)),"Peso fuera de rango"&amp;" · ","")&amp;IF(AND($V302="Sub",$H302&lt;&gt;""),"Las subactividades no llevan peso (valen igual dentro de su macroactividad)"&amp;" · ","")&amp;IF(AND(N($W302)&gt;0,COUNT($I302:$L302)&gt;0),"Con subactividades: deje vacías las semanas (se calculan solas)"&amp;" · ","")&amp;IF((COUNTIF($I302:$L302,"&gt;1")+COUNTIF($I302:$L302,"&lt;0")+COUNTA($I302:$L302)-COUNT($I302:$L302))&gt;0,"Avance fuera de rango 0-100%"&amp;" · ","")&amp;IF(OR(AND($J302&lt;&gt;"",$J302&lt;$I302),AND($K302&lt;&gt;"",$K302&lt;MAX($I302:$J302)),AND($L302&lt;&gt;"",$L302&lt;MAX($I302:$K302))),"Avance semanal decreciente"&amp;" · ","")&amp;IF(AND(ISNUMBER($AN302),$AN302&lt;FechaRef,IF($V302="Sub",N($X302),N($M302))&lt;1),"Vencida"&amp;" · ","")&amp;IF(AND(ObsObligatoria="Sí",ISNUMBER($AN302),$AN302&lt;FechaRef,IF($V302="Sub",N($X302),N($M302))&lt;1,$Q302=""),"Vencida sin observación"&amp;" · ",""))-3)))</f>
        <v/>
      </c>
      <c r="S302" s="64">
        <f>IF(NOT((COUNTA($B302:$D302)+COUNTA($G302:$L302)+COUNTA($Q302))&gt;0),"",IF(AND($V302="Sub",N($U302)&gt;0),IF(ISNUMBER(INDEX($AM$5:$AM$1000,$U302-4)),DATE(YEAR(INDEX($AM$5:$AM$1000,$U302-4)),MONTH(INDEX($AM$5:$AM$1000,$U302-4)),1),IF(ISNUMBER(INDEX($AN$5:$AN$1000,$U302-4)),DATE(YEAR(INDEX($AN$5:$AN$1000,$U302-4)),MONTH(INDEX($AN$5:$AN$1000,$U302-4)),1),MesCiclo)),IF(ISNUMBER($AM302),DATE(YEAR($AM302),MONTH($AM302),1),IF(ISNUMBER($AN302),DATE(YEAR($AN302),MONTH($AN302),1),MesCiclo))))</f>
        <v/>
      </c>
      <c r="T302" s="62">
        <f>IF(OR($S302="",$S302&lt;&gt;MesCiclo,$V302&lt;&gt;"Macro"),"",COUNTIFS($S$5:$S302,MesCiclo,$V$5:$V302,"Macro"))</f>
        <v/>
      </c>
      <c r="U302" s="62">
        <f>IF($V302="","",IF($V302="Macro",ROW(),IFERROR(LOOKUP(2,1/($V$5:$V302="Macro"),ROW($V$5:$V302)),0)))</f>
        <v/>
      </c>
      <c r="V302" s="62">
        <f>IF(NOT((COUNTA($B302:$D302)+COUNTA($G302:$L302)+COUNTA($Q302))&gt;0),"",IF($B302="Subactividad","Sub","Macro"))</f>
        <v/>
      </c>
      <c r="W302" s="62">
        <f>IF($V302="Macro",COUNTIFS($U$5:$U$1000,ROW(),$V$5:$V$1000,"Sub"),"")</f>
        <v/>
      </c>
      <c r="X302" s="62">
        <f>IF($V302="","",IF(ISNUMBER($G302),1,IFERROR(LOOKUP(2,1/($I302:$L302&lt;&gt;""),$I302:$L302),0)))</f>
        <v/>
      </c>
      <c r="Y302" s="62">
        <f>IF($V302="","",IF(AND(ISNUMBER($G302),$G302&lt;=IF($S302=MesCiclo,InicioCiclo,$S302+MOD(2-WEEKDAY($S302),7))+6),1,IF(ISNUMBER($I302),$I302,0)))</f>
        <v/>
      </c>
      <c r="Z302" s="62">
        <f>IF($V302="","",IF(AND(ISNUMBER($G302),$G302&lt;=IF($S302=MesCiclo,InicioCiclo,$S302+MOD(2-WEEKDAY($S302),7))+13),1,IF(ISNUMBER($J302),$J302,$Y302)))</f>
        <v/>
      </c>
      <c r="AA302" s="62">
        <f>IF($V302="","",IF(AND(ISNUMBER($G302),$G302&lt;=IF($S302=MesCiclo,InicioCiclo,$S302+MOD(2-WEEKDAY($S302),7))+20),1,IF(ISNUMBER($K302),$K302,$Z302)))</f>
        <v/>
      </c>
      <c r="AB302" s="62">
        <f>IF($V302="","",IF(AND(ISNUMBER($G302),$G302&lt;=IF($S302=MesCiclo,InicioCiclo,$S302+MOD(2-WEEKDAY($S302),7))+27),1,IF(ISNUMBER($L302),$L302,$AA302)))</f>
        <v/>
      </c>
      <c r="AC302" s="62">
        <f>IF($V302="","",IF(AND(ISNUMBER($G302),$G302&lt;=IF($S302=MesCiclo,InicioCiclo,$S302+MOD(2-WEEKDAY($S302),7))+6),1,IF(N($W302)&gt;0,AVERAGEIFS($Y$5:$Y$1000,$U$5:$U$1000,ROW(),$V$5:$V$1000,"Sub"),$Y302)))</f>
        <v/>
      </c>
      <c r="AD302" s="62">
        <f>IF($V302="","",IF(AND(ISNUMBER($G302),$G302&lt;=IF($S302=MesCiclo,InicioCiclo,$S302+MOD(2-WEEKDAY($S302),7))+13),1,IF(N($W302)&gt;0,AVERAGEIFS($Z$5:$Z$1000,$U$5:$U$1000,ROW(),$V$5:$V$1000,"Sub"),$Z302)))</f>
        <v/>
      </c>
      <c r="AE302" s="62">
        <f>IF($V302="","",IF(AND(ISNUMBER($G302),$G302&lt;=IF($S302=MesCiclo,InicioCiclo,$S302+MOD(2-WEEKDAY($S302),7))+20),1,IF(N($W302)&gt;0,AVERAGEIFS($AA$5:$AA$1000,$U$5:$U$1000,ROW(),$V$5:$V$1000,"Sub"),$AA302)))</f>
        <v/>
      </c>
      <c r="AF302" s="62">
        <f>IF($V302="","",IF(AND(ISNUMBER($G302),$G302&lt;=IF($S302=MesCiclo,InicioCiclo,$S302+MOD(2-WEEKDAY($S302),7))+27),1,IF(N($W302)&gt;0,AVERAGEIFS($AB$5:$AB$1000,$U$5:$U$1000,ROW(),$V$5:$V$1000,"Sub"),$AB302)))</f>
        <v/>
      </c>
      <c r="AG302" s="62">
        <f>IF($V302&lt;&gt;"Macro","",IF(COUNTIFS($S$5:$S$1000,$S302,$V$5:$V$1000,"Macro",$H$5:$H$1000,"&gt;0")=0,1/COUNTIFS($S$5:$S$1000,$S302,$V$5:$V$1000,"Macro"),IF(AND(ISNUMBER($H302),N($H302)&gt;0),$H302,SUMIFS($H$5:$H$1000,$S$5:$S$1000,$S302,$V$5:$V$1000,"Macro")/COUNTIFS($S$5:$S$1000,$S302,$V$5:$V$1000,"Macro",$H$5:$H$1000,"&gt;0"))/(COUNTIFS($S$5:$S$1000,$S302,$V$5:$V$1000,"Macro")*SUMIFS($H$5:$H$1000,$S$5:$S$1000,$S302,$V$5:$V$1000,"Macro")/COUNTIFS($S$5:$S$1000,$S302,$V$5:$V$1000,"Macro",$H$5:$H$1000,"&gt;0"))))</f>
        <v/>
      </c>
      <c r="AH302" s="62">
        <f>IF(NOT(AND($D302&lt;&gt;"",$V302="Macro")),"",IFERROR(CHOOSE(MATCH($D302,ListaPuestos,0),MATCH("[Jefatura] "&amp;$C302,'Cronograma R. Operacional'!$C$5:$C$1000,0),MATCH("[Jefatura] "&amp;$C302,'Cronograma R. Normativo'!$C$5:$C$1000,0),MATCH("[Jefatura] "&amp;$C302,'Cronograma R. Financiero'!$C$5:$C$1000,0),MATCH("[Jefatura] "&amp;$C302,'Cronograma Asistente Técnico'!$C$5:$C$1000,0)),0))</f>
        <v/>
      </c>
      <c r="AI302" s="62">
        <f>IF(AND(AND($D302&lt;&gt;"",$V302="Macro"),$S302=MesCiclo),COUNTIFS($D$5:$D302,$D302,$S$5:$S302,MesCiclo,$V$5:$V302,"Macro"),"")</f>
        <v/>
      </c>
      <c r="AJ302" s="62">
        <f>IF($AI302="","",$D302&amp;"|"&amp;$AI302)</f>
        <v/>
      </c>
      <c r="AK302" s="62">
        <f>IF(AND($D302&lt;&gt;"",$V302="Macro"),$D302&amp;"|"&amp;$C302,"")</f>
        <v/>
      </c>
      <c r="AL302" s="62">
        <f>""</f>
        <v/>
      </c>
      <c r="AM302" s="62">
        <f>IF(N($AL302)&gt;0,INDEX(rIni_ADM,$AL302),IF(ISNUMBER($E302),$E302,""))</f>
        <v/>
      </c>
      <c r="AN302" s="62">
        <f>IF(N($AL302)&gt;0,INDEX(rLim_ADM,$AL302),IF(ISNUMBER($F302),$F302,""))</f>
        <v/>
      </c>
    </row>
    <row r="303">
      <c r="A303" s="56">
        <f>IF(NOT((COUNTA($B303:$D303)+COUNTA($G303:$L303)+COUNTA($Q303))&gt;0),"",IF($V303="Macro",COUNTIFS($V$5:$V303,"Macro",$S$5:$S303,$S303),IF(N($U303)=0,"?",COUNTIFS(INDEX($V$5:$V$1000,1):INDEX($V$5:$V$1000,$U303-4),"Macro",INDEX($S$5:$S$1000,1):INDEX($S$5:$S$1000,$U303-4),INDEX($S$5:$S$1000,$U303-4))&amp;"."&amp;COUNTIFS($U$5:$U303,$U303,$V$5:$V303,"Sub"))))</f>
        <v/>
      </c>
      <c r="B303" s="57" t="n"/>
      <c r="C303" s="58" t="n"/>
      <c r="D303" s="58" t="n"/>
      <c r="E303" s="59" t="n"/>
      <c r="F303" s="59" t="n"/>
      <c r="G303" s="59" t="n"/>
      <c r="H303" s="60" t="n"/>
      <c r="I303" s="60" t="n"/>
      <c r="J303" s="60" t="n"/>
      <c r="K303" s="60" t="n"/>
      <c r="L303" s="60" t="n"/>
      <c r="M303" s="61">
        <f>IF(NOT((COUNTA($B303:$D303)+COUNTA($G303:$L303)+COUNTA($Q303))&gt;0),"",IF(AND($D303&lt;&gt;"",$V303="Macro"),IF(N($AH303)&gt;0,N(CHOOSE(MATCH($D303,ListaPuestos,0),INDEX('Cronograma R. Operacional'!$M$5:$M$1000,$AH303),INDEX('Cronograma R. Normativo'!$M$5:$M$1000,$AH303),INDEX('Cronograma R. Financiero'!$M$5:$M$1000,$AH303),INDEX('Cronograma Asistente Técnico'!$M$5:$M$1000,$AH303))),0),IF(ISNUMBER($G303),1,IF(N($W303)&gt;0,AVERAGEIFS($X$5:$X$1000,$U$5:$U$1000,ROW(),$V$5:$V$1000,"Sub"),$X303))))</f>
        <v/>
      </c>
      <c r="N303" s="56">
        <f>IF(OR($M303="",$V303="Sub"),"",IF($M303&gt;=1,"Completado",IF($M303&gt;0,"En curso","Pendiente")))</f>
        <v/>
      </c>
      <c r="O303" s="56">
        <f>IF(NOT((COUNTA($B303:$D303)+COUNTA($G303:$L303)+COUNTA($Q303))&gt;0),"",IF(AND(AND($D303&lt;&gt;"",$V303="Macro"),N($AH303)&gt;0),CHOOSE(MATCH($D303,ListaPuestos,0),INDEX('Cronograma R. Operacional'!$O$5:$O$1000,$AH303),INDEX('Cronograma R. Normativo'!$O$5:$O$1000,$AH303),INDEX('Cronograma R. Financiero'!$O$5:$O$1000,$AH303),INDEX('Cronograma Asistente Técnico'!$O$5:$O$1000,$AH303))&amp;"",IF(ISNUMBER($G303),IF(AND(ISNUMBER($AN303),$G303&gt;$AN303),"Cumplida con "&amp;($G303-$AN303)&amp;IF($G303-$AN303=1," día"," días")&amp;" de retraso","Cumplida"),IF(N($M303)&gt;=1,"Cumplida",IF(NOT(ISNUMBER($AN303)),"Sin fecha límite",IF($AN303&lt;FechaRef,"Vencida hace "&amp;(FechaRef-$AN303)&amp;IF(FechaRef-$AN303=1," día"," días"),IF($AN303=FechaRef,"Vence hoy",IF($AN303-FechaRef&lt;=DiasAlerta,"Vence en "&amp;($AN303-FechaRef)&amp;IF($AN303-FechaRef=1," día"," días"),"En plazo"))))))))</f>
        <v/>
      </c>
      <c r="P303" s="62">
        <f>IF(NOT((COUNTA($B303:$D303)+COUNTA($G303:$L303)+COUNTA($Q303))&gt;0),"",IF($D303="","Propia",IF($V303&lt;&gt;"Macro","Solo se delegan macroactividades",IF(N($AH303)&gt;0,"✔ Recibida por "&amp;$D303,"⚠ "&amp;$D303&amp;" aún no la agrega"))))</f>
        <v/>
      </c>
      <c r="Q303" s="58" t="n"/>
      <c r="R303" s="63">
        <f>IF(NOT((COUNTA($B303:$D303)+COUNTA($G303:$L303)+COUNTA($Q303))&gt;0),"",IF((IF($C303="","Falta el nombre de la actividad"&amp;" · ","")&amp;IF(AND($V303="Sub",N($U303)=0),"Subactividad sin macroactividad arriba"&amp;" · ","")&amp;IF($AM303="","Sin fecha de inicio"&amp;" · ","")&amp;IF($AN303="","Sin fecha límite"&amp;" · ","")&amp;IF(AND(LEFT($C303,11)="[Jefatura] ",N($AL303)=0),"No se encuentra en la hoja de la jefatura (elíjala de nuevo en la lista)"&amp;" · ","")&amp;IF(OR(AND($E303&lt;&gt;"",NOT(ISNUMBER($E303))),AND($F303&lt;&gt;"",NOT(ISNUMBER($F303))),AND($G303&lt;&gt;"",NOT(ISNUMBER($G303)))),"Fecha no válida"&amp;" · ","")&amp;IF(AND(ISNUMBER($AM303),ISNUMBER($AN303),$AM303&gt;$AN303),"Inicio posterior a fecha límite"&amp;" · ","")&amp;IF(AND($V303="Macro",$H303&lt;&gt;"",OR(NOT(ISNUMBER($H303)),$H303&lt;0,$H303&gt;1)),"Peso fuera de rango"&amp;" · ","")&amp;IF(AND($V303="Sub",$H303&lt;&gt;""),"Las subactividades no llevan peso (valen igual dentro de su macroactividad)"&amp;" · ","")&amp;IF(AND(N($W303)&gt;0,COUNT($I303:$L303)&gt;0),"Con subactividades: deje vacías las semanas (se calculan solas)"&amp;" · ","")&amp;IF((COUNTIF($I303:$L303,"&gt;1")+COUNTIF($I303:$L303,"&lt;0")+COUNTA($I303:$L303)-COUNT($I303:$L303))&gt;0,"Avance fuera de rango 0-100%"&amp;" · ","")&amp;IF(OR(AND($J303&lt;&gt;"",$J303&lt;$I303),AND($K303&lt;&gt;"",$K303&lt;MAX($I303:$J303)),AND($L303&lt;&gt;"",$L303&lt;MAX($I303:$K303))),"Avance semanal decreciente"&amp;" · ","")&amp;IF(AND(ISNUMBER($AN303),$AN303&lt;FechaRef,IF($V303="Sub",N($X303),N($M303))&lt;1),"Vencida"&amp;" · ","")&amp;IF(AND(ObsObligatoria="Sí",ISNUMBER($AN303),$AN303&lt;FechaRef,IF($V303="Sub",N($X303),N($M303))&lt;1,$Q303=""),"Vencida sin observación"&amp;" · ",""))="","✔ OK","⚠ "&amp;LEFT(IF($C303="","Falta el nombre de la actividad"&amp;" · ","")&amp;IF(AND($V303="Sub",N($U303)=0),"Subactividad sin macroactividad arriba"&amp;" · ","")&amp;IF($AM303="","Sin fecha de inicio"&amp;" · ","")&amp;IF($AN303="","Sin fecha límite"&amp;" · ","")&amp;IF(AND(LEFT($C303,11)="[Jefatura] ",N($AL303)=0),"No se encuentra en la hoja de la jefatura (elíjala de nuevo en la lista)"&amp;" · ","")&amp;IF(OR(AND($E303&lt;&gt;"",NOT(ISNUMBER($E303))),AND($F303&lt;&gt;"",NOT(ISNUMBER($F303))),AND($G303&lt;&gt;"",NOT(ISNUMBER($G303)))),"Fecha no válida"&amp;" · ","")&amp;IF(AND(ISNUMBER($AM303),ISNUMBER($AN303),$AM303&gt;$AN303),"Inicio posterior a fecha límite"&amp;" · ","")&amp;IF(AND($V303="Macro",$H303&lt;&gt;"",OR(NOT(ISNUMBER($H303)),$H303&lt;0,$H303&gt;1)),"Peso fuera de rango"&amp;" · ","")&amp;IF(AND($V303="Sub",$H303&lt;&gt;""),"Las subactividades no llevan peso (valen igual dentro de su macroactividad)"&amp;" · ","")&amp;IF(AND(N($W303)&gt;0,COUNT($I303:$L303)&gt;0),"Con subactividades: deje vacías las semanas (se calculan solas)"&amp;" · ","")&amp;IF((COUNTIF($I303:$L303,"&gt;1")+COUNTIF($I303:$L303,"&lt;0")+COUNTA($I303:$L303)-COUNT($I303:$L303))&gt;0,"Avance fuera de rango 0-100%"&amp;" · ","")&amp;IF(OR(AND($J303&lt;&gt;"",$J303&lt;$I303),AND($K303&lt;&gt;"",$K303&lt;MAX($I303:$J303)),AND($L303&lt;&gt;"",$L303&lt;MAX($I303:$K303))),"Avance semanal decreciente"&amp;" · ","")&amp;IF(AND(ISNUMBER($AN303),$AN303&lt;FechaRef,IF($V303="Sub",N($X303),N($M303))&lt;1),"Vencida"&amp;" · ","")&amp;IF(AND(ObsObligatoria="Sí",ISNUMBER($AN303),$AN303&lt;FechaRef,IF($V303="Sub",N($X303),N($M303))&lt;1,$Q303=""),"Vencida sin observación"&amp;" · ",""),LEN(IF($C303="","Falta el nombre de la actividad"&amp;" · ","")&amp;IF(AND($V303="Sub",N($U303)=0),"Subactividad sin macroactividad arriba"&amp;" · ","")&amp;IF($AM303="","Sin fecha de inicio"&amp;" · ","")&amp;IF($AN303="","Sin fecha límite"&amp;" · ","")&amp;IF(AND(LEFT($C303,11)="[Jefatura] ",N($AL303)=0),"No se encuentra en la hoja de la jefatura (elíjala de nuevo en la lista)"&amp;" · ","")&amp;IF(OR(AND($E303&lt;&gt;"",NOT(ISNUMBER($E303))),AND($F303&lt;&gt;"",NOT(ISNUMBER($F303))),AND($G303&lt;&gt;"",NOT(ISNUMBER($G303)))),"Fecha no válida"&amp;" · ","")&amp;IF(AND(ISNUMBER($AM303),ISNUMBER($AN303),$AM303&gt;$AN303),"Inicio posterior a fecha límite"&amp;" · ","")&amp;IF(AND($V303="Macro",$H303&lt;&gt;"",OR(NOT(ISNUMBER($H303)),$H303&lt;0,$H303&gt;1)),"Peso fuera de rango"&amp;" · ","")&amp;IF(AND($V303="Sub",$H303&lt;&gt;""),"Las subactividades no llevan peso (valen igual dentro de su macroactividad)"&amp;" · ","")&amp;IF(AND(N($W303)&gt;0,COUNT($I303:$L303)&gt;0),"Con subactividades: deje vacías las semanas (se calculan solas)"&amp;" · ","")&amp;IF((COUNTIF($I303:$L303,"&gt;1")+COUNTIF($I303:$L303,"&lt;0")+COUNTA($I303:$L303)-COUNT($I303:$L303))&gt;0,"Avance fuera de rango 0-100%"&amp;" · ","")&amp;IF(OR(AND($J303&lt;&gt;"",$J303&lt;$I303),AND($K303&lt;&gt;"",$K303&lt;MAX($I303:$J303)),AND($L303&lt;&gt;"",$L303&lt;MAX($I303:$K303))),"Avance semanal decreciente"&amp;" · ","")&amp;IF(AND(ISNUMBER($AN303),$AN303&lt;FechaRef,IF($V303="Sub",N($X303),N($M303))&lt;1),"Vencida"&amp;" · ","")&amp;IF(AND(ObsObligatoria="Sí",ISNUMBER($AN303),$AN303&lt;FechaRef,IF($V303="Sub",N($X303),N($M303))&lt;1,$Q303=""),"Vencida sin observación"&amp;" · ",""))-3)))</f>
        <v/>
      </c>
      <c r="S303" s="64">
        <f>IF(NOT((COUNTA($B303:$D303)+COUNTA($G303:$L303)+COUNTA($Q303))&gt;0),"",IF(AND($V303="Sub",N($U303)&gt;0),IF(ISNUMBER(INDEX($AM$5:$AM$1000,$U303-4)),DATE(YEAR(INDEX($AM$5:$AM$1000,$U303-4)),MONTH(INDEX($AM$5:$AM$1000,$U303-4)),1),IF(ISNUMBER(INDEX($AN$5:$AN$1000,$U303-4)),DATE(YEAR(INDEX($AN$5:$AN$1000,$U303-4)),MONTH(INDEX($AN$5:$AN$1000,$U303-4)),1),MesCiclo)),IF(ISNUMBER($AM303),DATE(YEAR($AM303),MONTH($AM303),1),IF(ISNUMBER($AN303),DATE(YEAR($AN303),MONTH($AN303),1),MesCiclo))))</f>
        <v/>
      </c>
      <c r="T303" s="62">
        <f>IF(OR($S303="",$S303&lt;&gt;MesCiclo,$V303&lt;&gt;"Macro"),"",COUNTIFS($S$5:$S303,MesCiclo,$V$5:$V303,"Macro"))</f>
        <v/>
      </c>
      <c r="U303" s="62">
        <f>IF($V303="","",IF($V303="Macro",ROW(),IFERROR(LOOKUP(2,1/($V$5:$V303="Macro"),ROW($V$5:$V303)),0)))</f>
        <v/>
      </c>
      <c r="V303" s="62">
        <f>IF(NOT((COUNTA($B303:$D303)+COUNTA($G303:$L303)+COUNTA($Q303))&gt;0),"",IF($B303="Subactividad","Sub","Macro"))</f>
        <v/>
      </c>
      <c r="W303" s="62">
        <f>IF($V303="Macro",COUNTIFS($U$5:$U$1000,ROW(),$V$5:$V$1000,"Sub"),"")</f>
        <v/>
      </c>
      <c r="X303" s="62">
        <f>IF($V303="","",IF(ISNUMBER($G303),1,IFERROR(LOOKUP(2,1/($I303:$L303&lt;&gt;""),$I303:$L303),0)))</f>
        <v/>
      </c>
      <c r="Y303" s="62">
        <f>IF($V303="","",IF(AND(ISNUMBER($G303),$G303&lt;=IF($S303=MesCiclo,InicioCiclo,$S303+MOD(2-WEEKDAY($S303),7))+6),1,IF(ISNUMBER($I303),$I303,0)))</f>
        <v/>
      </c>
      <c r="Z303" s="62">
        <f>IF($V303="","",IF(AND(ISNUMBER($G303),$G303&lt;=IF($S303=MesCiclo,InicioCiclo,$S303+MOD(2-WEEKDAY($S303),7))+13),1,IF(ISNUMBER($J303),$J303,$Y303)))</f>
        <v/>
      </c>
      <c r="AA303" s="62">
        <f>IF($V303="","",IF(AND(ISNUMBER($G303),$G303&lt;=IF($S303=MesCiclo,InicioCiclo,$S303+MOD(2-WEEKDAY($S303),7))+20),1,IF(ISNUMBER($K303),$K303,$Z303)))</f>
        <v/>
      </c>
      <c r="AB303" s="62">
        <f>IF($V303="","",IF(AND(ISNUMBER($G303),$G303&lt;=IF($S303=MesCiclo,InicioCiclo,$S303+MOD(2-WEEKDAY($S303),7))+27),1,IF(ISNUMBER($L303),$L303,$AA303)))</f>
        <v/>
      </c>
      <c r="AC303" s="62">
        <f>IF($V303="","",IF(AND(ISNUMBER($G303),$G303&lt;=IF($S303=MesCiclo,InicioCiclo,$S303+MOD(2-WEEKDAY($S303),7))+6),1,IF(N($W303)&gt;0,AVERAGEIFS($Y$5:$Y$1000,$U$5:$U$1000,ROW(),$V$5:$V$1000,"Sub"),$Y303)))</f>
        <v/>
      </c>
      <c r="AD303" s="62">
        <f>IF($V303="","",IF(AND(ISNUMBER($G303),$G303&lt;=IF($S303=MesCiclo,InicioCiclo,$S303+MOD(2-WEEKDAY($S303),7))+13),1,IF(N($W303)&gt;0,AVERAGEIFS($Z$5:$Z$1000,$U$5:$U$1000,ROW(),$V$5:$V$1000,"Sub"),$Z303)))</f>
        <v/>
      </c>
      <c r="AE303" s="62">
        <f>IF($V303="","",IF(AND(ISNUMBER($G303),$G303&lt;=IF($S303=MesCiclo,InicioCiclo,$S303+MOD(2-WEEKDAY($S303),7))+20),1,IF(N($W303)&gt;0,AVERAGEIFS($AA$5:$AA$1000,$U$5:$U$1000,ROW(),$V$5:$V$1000,"Sub"),$AA303)))</f>
        <v/>
      </c>
      <c r="AF303" s="62">
        <f>IF($V303="","",IF(AND(ISNUMBER($G303),$G303&lt;=IF($S303=MesCiclo,InicioCiclo,$S303+MOD(2-WEEKDAY($S303),7))+27),1,IF(N($W303)&gt;0,AVERAGEIFS($AB$5:$AB$1000,$U$5:$U$1000,ROW(),$V$5:$V$1000,"Sub"),$AB303)))</f>
        <v/>
      </c>
      <c r="AG303" s="62">
        <f>IF($V303&lt;&gt;"Macro","",IF(COUNTIFS($S$5:$S$1000,$S303,$V$5:$V$1000,"Macro",$H$5:$H$1000,"&gt;0")=0,1/COUNTIFS($S$5:$S$1000,$S303,$V$5:$V$1000,"Macro"),IF(AND(ISNUMBER($H303),N($H303)&gt;0),$H303,SUMIFS($H$5:$H$1000,$S$5:$S$1000,$S303,$V$5:$V$1000,"Macro")/COUNTIFS($S$5:$S$1000,$S303,$V$5:$V$1000,"Macro",$H$5:$H$1000,"&gt;0"))/(COUNTIFS($S$5:$S$1000,$S303,$V$5:$V$1000,"Macro")*SUMIFS($H$5:$H$1000,$S$5:$S$1000,$S303,$V$5:$V$1000,"Macro")/COUNTIFS($S$5:$S$1000,$S303,$V$5:$V$1000,"Macro",$H$5:$H$1000,"&gt;0"))))</f>
        <v/>
      </c>
      <c r="AH303" s="62">
        <f>IF(NOT(AND($D303&lt;&gt;"",$V303="Macro")),"",IFERROR(CHOOSE(MATCH($D303,ListaPuestos,0),MATCH("[Jefatura] "&amp;$C303,'Cronograma R. Operacional'!$C$5:$C$1000,0),MATCH("[Jefatura] "&amp;$C303,'Cronograma R. Normativo'!$C$5:$C$1000,0),MATCH("[Jefatura] "&amp;$C303,'Cronograma R. Financiero'!$C$5:$C$1000,0),MATCH("[Jefatura] "&amp;$C303,'Cronograma Asistente Técnico'!$C$5:$C$1000,0)),0))</f>
        <v/>
      </c>
      <c r="AI303" s="62">
        <f>IF(AND(AND($D303&lt;&gt;"",$V303="Macro"),$S303=MesCiclo),COUNTIFS($D$5:$D303,$D303,$S$5:$S303,MesCiclo,$V$5:$V303,"Macro"),"")</f>
        <v/>
      </c>
      <c r="AJ303" s="62">
        <f>IF($AI303="","",$D303&amp;"|"&amp;$AI303)</f>
        <v/>
      </c>
      <c r="AK303" s="62">
        <f>IF(AND($D303&lt;&gt;"",$V303="Macro"),$D303&amp;"|"&amp;$C303,"")</f>
        <v/>
      </c>
      <c r="AL303" s="62">
        <f>""</f>
        <v/>
      </c>
      <c r="AM303" s="62">
        <f>IF(N($AL303)&gt;0,INDEX(rIni_ADM,$AL303),IF(ISNUMBER($E303),$E303,""))</f>
        <v/>
      </c>
      <c r="AN303" s="62">
        <f>IF(N($AL303)&gt;0,INDEX(rLim_ADM,$AL303),IF(ISNUMBER($F303),$F303,""))</f>
        <v/>
      </c>
    </row>
    <row r="304">
      <c r="A304" s="56">
        <f>IF(NOT((COUNTA($B304:$D304)+COUNTA($G304:$L304)+COUNTA($Q304))&gt;0),"",IF($V304="Macro",COUNTIFS($V$5:$V304,"Macro",$S$5:$S304,$S304),IF(N($U304)=0,"?",COUNTIFS(INDEX($V$5:$V$1000,1):INDEX($V$5:$V$1000,$U304-4),"Macro",INDEX($S$5:$S$1000,1):INDEX($S$5:$S$1000,$U304-4),INDEX($S$5:$S$1000,$U304-4))&amp;"."&amp;COUNTIFS($U$5:$U304,$U304,$V$5:$V304,"Sub"))))</f>
        <v/>
      </c>
      <c r="B304" s="57" t="n"/>
      <c r="C304" s="58" t="n"/>
      <c r="D304" s="58" t="n"/>
      <c r="E304" s="59" t="n"/>
      <c r="F304" s="59" t="n"/>
      <c r="G304" s="59" t="n"/>
      <c r="H304" s="60" t="n"/>
      <c r="I304" s="60" t="n"/>
      <c r="J304" s="60" t="n"/>
      <c r="K304" s="60" t="n"/>
      <c r="L304" s="60" t="n"/>
      <c r="M304" s="61">
        <f>IF(NOT((COUNTA($B304:$D304)+COUNTA($G304:$L304)+COUNTA($Q304))&gt;0),"",IF(AND($D304&lt;&gt;"",$V304="Macro"),IF(N($AH304)&gt;0,N(CHOOSE(MATCH($D304,ListaPuestos,0),INDEX('Cronograma R. Operacional'!$M$5:$M$1000,$AH304),INDEX('Cronograma R. Normativo'!$M$5:$M$1000,$AH304),INDEX('Cronograma R. Financiero'!$M$5:$M$1000,$AH304),INDEX('Cronograma Asistente Técnico'!$M$5:$M$1000,$AH304))),0),IF(ISNUMBER($G304),1,IF(N($W304)&gt;0,AVERAGEIFS($X$5:$X$1000,$U$5:$U$1000,ROW(),$V$5:$V$1000,"Sub"),$X304))))</f>
        <v/>
      </c>
      <c r="N304" s="56">
        <f>IF(OR($M304="",$V304="Sub"),"",IF($M304&gt;=1,"Completado",IF($M304&gt;0,"En curso","Pendiente")))</f>
        <v/>
      </c>
      <c r="O304" s="56">
        <f>IF(NOT((COUNTA($B304:$D304)+COUNTA($G304:$L304)+COUNTA($Q304))&gt;0),"",IF(AND(AND($D304&lt;&gt;"",$V304="Macro"),N($AH304)&gt;0),CHOOSE(MATCH($D304,ListaPuestos,0),INDEX('Cronograma R. Operacional'!$O$5:$O$1000,$AH304),INDEX('Cronograma R. Normativo'!$O$5:$O$1000,$AH304),INDEX('Cronograma R. Financiero'!$O$5:$O$1000,$AH304),INDEX('Cronograma Asistente Técnico'!$O$5:$O$1000,$AH304))&amp;"",IF(ISNUMBER($G304),IF(AND(ISNUMBER($AN304),$G304&gt;$AN304),"Cumplida con "&amp;($G304-$AN304)&amp;IF($G304-$AN304=1," día"," días")&amp;" de retraso","Cumplida"),IF(N($M304)&gt;=1,"Cumplida",IF(NOT(ISNUMBER($AN304)),"Sin fecha límite",IF($AN304&lt;FechaRef,"Vencida hace "&amp;(FechaRef-$AN304)&amp;IF(FechaRef-$AN304=1," día"," días"),IF($AN304=FechaRef,"Vence hoy",IF($AN304-FechaRef&lt;=DiasAlerta,"Vence en "&amp;($AN304-FechaRef)&amp;IF($AN304-FechaRef=1," día"," días"),"En plazo"))))))))</f>
        <v/>
      </c>
      <c r="P304" s="62">
        <f>IF(NOT((COUNTA($B304:$D304)+COUNTA($G304:$L304)+COUNTA($Q304))&gt;0),"",IF($D304="","Propia",IF($V304&lt;&gt;"Macro","Solo se delegan macroactividades",IF(N($AH304)&gt;0,"✔ Recibida por "&amp;$D304,"⚠ "&amp;$D304&amp;" aún no la agrega"))))</f>
        <v/>
      </c>
      <c r="Q304" s="58" t="n"/>
      <c r="R304" s="63">
        <f>IF(NOT((COUNTA($B304:$D304)+COUNTA($G304:$L304)+COUNTA($Q304))&gt;0),"",IF((IF($C304="","Falta el nombre de la actividad"&amp;" · ","")&amp;IF(AND($V304="Sub",N($U304)=0),"Subactividad sin macroactividad arriba"&amp;" · ","")&amp;IF($AM304="","Sin fecha de inicio"&amp;" · ","")&amp;IF($AN304="","Sin fecha límite"&amp;" · ","")&amp;IF(AND(LEFT($C304,11)="[Jefatura] ",N($AL304)=0),"No se encuentra en la hoja de la jefatura (elíjala de nuevo en la lista)"&amp;" · ","")&amp;IF(OR(AND($E304&lt;&gt;"",NOT(ISNUMBER($E304))),AND($F304&lt;&gt;"",NOT(ISNUMBER($F304))),AND($G304&lt;&gt;"",NOT(ISNUMBER($G304)))),"Fecha no válida"&amp;" · ","")&amp;IF(AND(ISNUMBER($AM304),ISNUMBER($AN304),$AM304&gt;$AN304),"Inicio posterior a fecha límite"&amp;" · ","")&amp;IF(AND($V304="Macro",$H304&lt;&gt;"",OR(NOT(ISNUMBER($H304)),$H304&lt;0,$H304&gt;1)),"Peso fuera de rango"&amp;" · ","")&amp;IF(AND($V304="Sub",$H304&lt;&gt;""),"Las subactividades no llevan peso (valen igual dentro de su macroactividad)"&amp;" · ","")&amp;IF(AND(N($W304)&gt;0,COUNT($I304:$L304)&gt;0),"Con subactividades: deje vacías las semanas (se calculan solas)"&amp;" · ","")&amp;IF((COUNTIF($I304:$L304,"&gt;1")+COUNTIF($I304:$L304,"&lt;0")+COUNTA($I304:$L304)-COUNT($I304:$L304))&gt;0,"Avance fuera de rango 0-100%"&amp;" · ","")&amp;IF(OR(AND($J304&lt;&gt;"",$J304&lt;$I304),AND($K304&lt;&gt;"",$K304&lt;MAX($I304:$J304)),AND($L304&lt;&gt;"",$L304&lt;MAX($I304:$K304))),"Avance semanal decreciente"&amp;" · ","")&amp;IF(AND(ISNUMBER($AN304),$AN304&lt;FechaRef,IF($V304="Sub",N($X304),N($M304))&lt;1),"Vencida"&amp;" · ","")&amp;IF(AND(ObsObligatoria="Sí",ISNUMBER($AN304),$AN304&lt;FechaRef,IF($V304="Sub",N($X304),N($M304))&lt;1,$Q304=""),"Vencida sin observación"&amp;" · ",""))="","✔ OK","⚠ "&amp;LEFT(IF($C304="","Falta el nombre de la actividad"&amp;" · ","")&amp;IF(AND($V304="Sub",N($U304)=0),"Subactividad sin macroactividad arriba"&amp;" · ","")&amp;IF($AM304="","Sin fecha de inicio"&amp;" · ","")&amp;IF($AN304="","Sin fecha límite"&amp;" · ","")&amp;IF(AND(LEFT($C304,11)="[Jefatura] ",N($AL304)=0),"No se encuentra en la hoja de la jefatura (elíjala de nuevo en la lista)"&amp;" · ","")&amp;IF(OR(AND($E304&lt;&gt;"",NOT(ISNUMBER($E304))),AND($F304&lt;&gt;"",NOT(ISNUMBER($F304))),AND($G304&lt;&gt;"",NOT(ISNUMBER($G304)))),"Fecha no válida"&amp;" · ","")&amp;IF(AND(ISNUMBER($AM304),ISNUMBER($AN304),$AM304&gt;$AN304),"Inicio posterior a fecha límite"&amp;" · ","")&amp;IF(AND($V304="Macro",$H304&lt;&gt;"",OR(NOT(ISNUMBER($H304)),$H304&lt;0,$H304&gt;1)),"Peso fuera de rango"&amp;" · ","")&amp;IF(AND($V304="Sub",$H304&lt;&gt;""),"Las subactividades no llevan peso (valen igual dentro de su macroactividad)"&amp;" · ","")&amp;IF(AND(N($W304)&gt;0,COUNT($I304:$L304)&gt;0),"Con subactividades: deje vacías las semanas (se calculan solas)"&amp;" · ","")&amp;IF((COUNTIF($I304:$L304,"&gt;1")+COUNTIF($I304:$L304,"&lt;0")+COUNTA($I304:$L304)-COUNT($I304:$L304))&gt;0,"Avance fuera de rango 0-100%"&amp;" · ","")&amp;IF(OR(AND($J304&lt;&gt;"",$J304&lt;$I304),AND($K304&lt;&gt;"",$K304&lt;MAX($I304:$J304)),AND($L304&lt;&gt;"",$L304&lt;MAX($I304:$K304))),"Avance semanal decreciente"&amp;" · ","")&amp;IF(AND(ISNUMBER($AN304),$AN304&lt;FechaRef,IF($V304="Sub",N($X304),N($M304))&lt;1),"Vencida"&amp;" · ","")&amp;IF(AND(ObsObligatoria="Sí",ISNUMBER($AN304),$AN304&lt;FechaRef,IF($V304="Sub",N($X304),N($M304))&lt;1,$Q304=""),"Vencida sin observación"&amp;" · ",""),LEN(IF($C304="","Falta el nombre de la actividad"&amp;" · ","")&amp;IF(AND($V304="Sub",N($U304)=0),"Subactividad sin macroactividad arriba"&amp;" · ","")&amp;IF($AM304="","Sin fecha de inicio"&amp;" · ","")&amp;IF($AN304="","Sin fecha límite"&amp;" · ","")&amp;IF(AND(LEFT($C304,11)="[Jefatura] ",N($AL304)=0),"No se encuentra en la hoja de la jefatura (elíjala de nuevo en la lista)"&amp;" · ","")&amp;IF(OR(AND($E304&lt;&gt;"",NOT(ISNUMBER($E304))),AND($F304&lt;&gt;"",NOT(ISNUMBER($F304))),AND($G304&lt;&gt;"",NOT(ISNUMBER($G304)))),"Fecha no válida"&amp;" · ","")&amp;IF(AND(ISNUMBER($AM304),ISNUMBER($AN304),$AM304&gt;$AN304),"Inicio posterior a fecha límite"&amp;" · ","")&amp;IF(AND($V304="Macro",$H304&lt;&gt;"",OR(NOT(ISNUMBER($H304)),$H304&lt;0,$H304&gt;1)),"Peso fuera de rango"&amp;" · ","")&amp;IF(AND($V304="Sub",$H304&lt;&gt;""),"Las subactividades no llevan peso (valen igual dentro de su macroactividad)"&amp;" · ","")&amp;IF(AND(N($W304)&gt;0,COUNT($I304:$L304)&gt;0),"Con subactividades: deje vacías las semanas (se calculan solas)"&amp;" · ","")&amp;IF((COUNTIF($I304:$L304,"&gt;1")+COUNTIF($I304:$L304,"&lt;0")+COUNTA($I304:$L304)-COUNT($I304:$L304))&gt;0,"Avance fuera de rango 0-100%"&amp;" · ","")&amp;IF(OR(AND($J304&lt;&gt;"",$J304&lt;$I304),AND($K304&lt;&gt;"",$K304&lt;MAX($I304:$J304)),AND($L304&lt;&gt;"",$L304&lt;MAX($I304:$K304))),"Avance semanal decreciente"&amp;" · ","")&amp;IF(AND(ISNUMBER($AN304),$AN304&lt;FechaRef,IF($V304="Sub",N($X304),N($M304))&lt;1),"Vencida"&amp;" · ","")&amp;IF(AND(ObsObligatoria="Sí",ISNUMBER($AN304),$AN304&lt;FechaRef,IF($V304="Sub",N($X304),N($M304))&lt;1,$Q304=""),"Vencida sin observación"&amp;" · ",""))-3)))</f>
        <v/>
      </c>
      <c r="S304" s="64">
        <f>IF(NOT((COUNTA($B304:$D304)+COUNTA($G304:$L304)+COUNTA($Q304))&gt;0),"",IF(AND($V304="Sub",N($U304)&gt;0),IF(ISNUMBER(INDEX($AM$5:$AM$1000,$U304-4)),DATE(YEAR(INDEX($AM$5:$AM$1000,$U304-4)),MONTH(INDEX($AM$5:$AM$1000,$U304-4)),1),IF(ISNUMBER(INDEX($AN$5:$AN$1000,$U304-4)),DATE(YEAR(INDEX($AN$5:$AN$1000,$U304-4)),MONTH(INDEX($AN$5:$AN$1000,$U304-4)),1),MesCiclo)),IF(ISNUMBER($AM304),DATE(YEAR($AM304),MONTH($AM304),1),IF(ISNUMBER($AN304),DATE(YEAR($AN304),MONTH($AN304),1),MesCiclo))))</f>
        <v/>
      </c>
      <c r="T304" s="62">
        <f>IF(OR($S304="",$S304&lt;&gt;MesCiclo,$V304&lt;&gt;"Macro"),"",COUNTIFS($S$5:$S304,MesCiclo,$V$5:$V304,"Macro"))</f>
        <v/>
      </c>
      <c r="U304" s="62">
        <f>IF($V304="","",IF($V304="Macro",ROW(),IFERROR(LOOKUP(2,1/($V$5:$V304="Macro"),ROW($V$5:$V304)),0)))</f>
        <v/>
      </c>
      <c r="V304" s="62">
        <f>IF(NOT((COUNTA($B304:$D304)+COUNTA($G304:$L304)+COUNTA($Q304))&gt;0),"",IF($B304="Subactividad","Sub","Macro"))</f>
        <v/>
      </c>
      <c r="W304" s="62">
        <f>IF($V304="Macro",COUNTIFS($U$5:$U$1000,ROW(),$V$5:$V$1000,"Sub"),"")</f>
        <v/>
      </c>
      <c r="X304" s="62">
        <f>IF($V304="","",IF(ISNUMBER($G304),1,IFERROR(LOOKUP(2,1/($I304:$L304&lt;&gt;""),$I304:$L304),0)))</f>
        <v/>
      </c>
      <c r="Y304" s="62">
        <f>IF($V304="","",IF(AND(ISNUMBER($G304),$G304&lt;=IF($S304=MesCiclo,InicioCiclo,$S304+MOD(2-WEEKDAY($S304),7))+6),1,IF(ISNUMBER($I304),$I304,0)))</f>
        <v/>
      </c>
      <c r="Z304" s="62">
        <f>IF($V304="","",IF(AND(ISNUMBER($G304),$G304&lt;=IF($S304=MesCiclo,InicioCiclo,$S304+MOD(2-WEEKDAY($S304),7))+13),1,IF(ISNUMBER($J304),$J304,$Y304)))</f>
        <v/>
      </c>
      <c r="AA304" s="62">
        <f>IF($V304="","",IF(AND(ISNUMBER($G304),$G304&lt;=IF($S304=MesCiclo,InicioCiclo,$S304+MOD(2-WEEKDAY($S304),7))+20),1,IF(ISNUMBER($K304),$K304,$Z304)))</f>
        <v/>
      </c>
      <c r="AB304" s="62">
        <f>IF($V304="","",IF(AND(ISNUMBER($G304),$G304&lt;=IF($S304=MesCiclo,InicioCiclo,$S304+MOD(2-WEEKDAY($S304),7))+27),1,IF(ISNUMBER($L304),$L304,$AA304)))</f>
        <v/>
      </c>
      <c r="AC304" s="62">
        <f>IF($V304="","",IF(AND(ISNUMBER($G304),$G304&lt;=IF($S304=MesCiclo,InicioCiclo,$S304+MOD(2-WEEKDAY($S304),7))+6),1,IF(N($W304)&gt;0,AVERAGEIFS($Y$5:$Y$1000,$U$5:$U$1000,ROW(),$V$5:$V$1000,"Sub"),$Y304)))</f>
        <v/>
      </c>
      <c r="AD304" s="62">
        <f>IF($V304="","",IF(AND(ISNUMBER($G304),$G304&lt;=IF($S304=MesCiclo,InicioCiclo,$S304+MOD(2-WEEKDAY($S304),7))+13),1,IF(N($W304)&gt;0,AVERAGEIFS($Z$5:$Z$1000,$U$5:$U$1000,ROW(),$V$5:$V$1000,"Sub"),$Z304)))</f>
        <v/>
      </c>
      <c r="AE304" s="62">
        <f>IF($V304="","",IF(AND(ISNUMBER($G304),$G304&lt;=IF($S304=MesCiclo,InicioCiclo,$S304+MOD(2-WEEKDAY($S304),7))+20),1,IF(N($W304)&gt;0,AVERAGEIFS($AA$5:$AA$1000,$U$5:$U$1000,ROW(),$V$5:$V$1000,"Sub"),$AA304)))</f>
        <v/>
      </c>
      <c r="AF304" s="62">
        <f>IF($V304="","",IF(AND(ISNUMBER($G304),$G304&lt;=IF($S304=MesCiclo,InicioCiclo,$S304+MOD(2-WEEKDAY($S304),7))+27),1,IF(N($W304)&gt;0,AVERAGEIFS($AB$5:$AB$1000,$U$5:$U$1000,ROW(),$V$5:$V$1000,"Sub"),$AB304)))</f>
        <v/>
      </c>
      <c r="AG304" s="62">
        <f>IF($V304&lt;&gt;"Macro","",IF(COUNTIFS($S$5:$S$1000,$S304,$V$5:$V$1000,"Macro",$H$5:$H$1000,"&gt;0")=0,1/COUNTIFS($S$5:$S$1000,$S304,$V$5:$V$1000,"Macro"),IF(AND(ISNUMBER($H304),N($H304)&gt;0),$H304,SUMIFS($H$5:$H$1000,$S$5:$S$1000,$S304,$V$5:$V$1000,"Macro")/COUNTIFS($S$5:$S$1000,$S304,$V$5:$V$1000,"Macro",$H$5:$H$1000,"&gt;0"))/(COUNTIFS($S$5:$S$1000,$S304,$V$5:$V$1000,"Macro")*SUMIFS($H$5:$H$1000,$S$5:$S$1000,$S304,$V$5:$V$1000,"Macro")/COUNTIFS($S$5:$S$1000,$S304,$V$5:$V$1000,"Macro",$H$5:$H$1000,"&gt;0"))))</f>
        <v/>
      </c>
      <c r="AH304" s="62">
        <f>IF(NOT(AND($D304&lt;&gt;"",$V304="Macro")),"",IFERROR(CHOOSE(MATCH($D304,ListaPuestos,0),MATCH("[Jefatura] "&amp;$C304,'Cronograma R. Operacional'!$C$5:$C$1000,0),MATCH("[Jefatura] "&amp;$C304,'Cronograma R. Normativo'!$C$5:$C$1000,0),MATCH("[Jefatura] "&amp;$C304,'Cronograma R. Financiero'!$C$5:$C$1000,0),MATCH("[Jefatura] "&amp;$C304,'Cronograma Asistente Técnico'!$C$5:$C$1000,0)),0))</f>
        <v/>
      </c>
      <c r="AI304" s="62">
        <f>IF(AND(AND($D304&lt;&gt;"",$V304="Macro"),$S304=MesCiclo),COUNTIFS($D$5:$D304,$D304,$S$5:$S304,MesCiclo,$V$5:$V304,"Macro"),"")</f>
        <v/>
      </c>
      <c r="AJ304" s="62">
        <f>IF($AI304="","",$D304&amp;"|"&amp;$AI304)</f>
        <v/>
      </c>
      <c r="AK304" s="62">
        <f>IF(AND($D304&lt;&gt;"",$V304="Macro"),$D304&amp;"|"&amp;$C304,"")</f>
        <v/>
      </c>
      <c r="AL304" s="62">
        <f>""</f>
        <v/>
      </c>
      <c r="AM304" s="62">
        <f>IF(N($AL304)&gt;0,INDEX(rIni_ADM,$AL304),IF(ISNUMBER($E304),$E304,""))</f>
        <v/>
      </c>
      <c r="AN304" s="62">
        <f>IF(N($AL304)&gt;0,INDEX(rLim_ADM,$AL304),IF(ISNUMBER($F304),$F304,""))</f>
        <v/>
      </c>
    </row>
  </sheetData>
  <sheetProtection selectLockedCells="0" selectUnlockedCells="0" sheet="1" objects="0" insertRows="1" insertHyperlinks="1" autoFilter="0" scenarios="0" formatColumns="0" deleteColumns="1" insertColumns="1" pivotTables="1" deleteRows="1" formatCells="1" formatRows="0" sort="0"/>
  <mergeCells count="6">
    <mergeCell ref="A1:S1"/>
    <mergeCell ref="M3:O3"/>
    <mergeCell ref="E3:J3"/>
    <mergeCell ref="A2:S2"/>
    <mergeCell ref="K3:L3"/>
    <mergeCell ref="Q3:S3"/>
  </mergeCells>
  <conditionalFormatting sqref="M3:O3">
    <cfRule type="expression" priority="1" dxfId="8" stopIfTrue="1">
      <formula>COUNTIFS($S$5:$S$1000,MesCiclo,$O$5:$O$1000,"Vencida*")&gt;0</formula>
    </cfRule>
    <cfRule type="expression" priority="2" dxfId="9" stopIfTrue="1">
      <formula>COUNTIFS($S$5:$S$1000,MesCiclo,$O$5:$O$1000,"Vence*")&gt;0</formula>
    </cfRule>
    <cfRule type="expression" priority="3" dxfId="0">
      <formula>TRUE</formula>
    </cfRule>
  </conditionalFormatting>
  <conditionalFormatting sqref="C5:C1000">
    <cfRule type="expression" priority="4" dxfId="10" stopIfTrue="1">
      <formula>LEFT($C5,11)="[Jefatura] "</formula>
    </cfRule>
    <cfRule type="expression" priority="7" dxfId="11">
      <formula>$V5="Sub"</formula>
    </cfRule>
  </conditionalFormatting>
  <conditionalFormatting sqref="A5:C1000">
    <cfRule type="expression" priority="5" dxfId="5" stopIfTrue="1">
      <formula>AND($V5="Macro",$C5="")</formula>
    </cfRule>
    <cfRule type="expression" priority="6" dxfId="12">
      <formula>$V5="Macro"</formula>
    </cfRule>
  </conditionalFormatting>
  <conditionalFormatting sqref="P5:P1000">
    <cfRule type="expression" priority="8" dxfId="0">
      <formula>LEFT($P5,1)="✔"</formula>
    </cfRule>
    <cfRule type="expression" priority="9" dxfId="2">
      <formula>LEFT($P5,1)="⚠"</formula>
    </cfRule>
  </conditionalFormatting>
  <conditionalFormatting sqref="N5:N1000">
    <cfRule type="expression" priority="10" dxfId="0">
      <formula>$N5="Completado"</formula>
    </cfRule>
    <cfRule type="expression" priority="11" dxfId="4">
      <formula>$N5="En curso"</formula>
    </cfRule>
    <cfRule type="expression" priority="12" dxfId="5">
      <formula>$N5="Pendiente"</formula>
    </cfRule>
  </conditionalFormatting>
  <conditionalFormatting sqref="O5:O1000">
    <cfRule type="expression" priority="13" dxfId="8" stopIfTrue="1">
      <formula>LEFT($O5,7)="Vencida"</formula>
    </cfRule>
    <cfRule type="expression" priority="14" dxfId="9" stopIfTrue="1">
      <formula>LEFT($O5,5)="Vence"</formula>
    </cfRule>
    <cfRule type="expression" priority="15" dxfId="0" stopIfTrue="1">
      <formula>LEFT($O5,8)="Cumplida"</formula>
    </cfRule>
    <cfRule type="expression" priority="16" dxfId="13" stopIfTrue="1">
      <formula>$O5="En plazo"</formula>
    </cfRule>
    <cfRule type="expression" priority="17" dxfId="5">
      <formula>$O5="Sin fecha límite"</formula>
    </cfRule>
  </conditionalFormatting>
  <conditionalFormatting sqref="M5:M1000">
    <cfRule type="expression" priority="18" dxfId="14" stopIfTrue="1">
      <formula>$V5="Sub"</formula>
    </cfRule>
    <cfRule type="expression" priority="19" dxfId="0">
      <formula>AND(ISNUMBER($M5),$M5&gt;=1)</formula>
    </cfRule>
    <cfRule type="dataBar" priority="20">
      <dataBar showValue="1">
        <cfvo type="num" val="0"/>
        <cfvo type="num" val="1"/>
        <color rgb="005B9BD5"/>
      </dataBar>
    </cfRule>
  </conditionalFormatting>
  <conditionalFormatting sqref="G5:G1000">
    <cfRule type="expression" priority="21" dxfId="0">
      <formula>ISNUMBER($G5)</formula>
    </cfRule>
  </conditionalFormatting>
  <conditionalFormatting sqref="F5:F1000">
    <cfRule type="expression" priority="22" dxfId="6" stopIfTrue="1">
      <formula>AND(ISNUMBER($AN5),$AN5&lt;FechaRef,IF($V5="Sub",N($X5),N($M5))&lt;1)</formula>
    </cfRule>
    <cfRule type="expression" priority="23" dxfId="7">
      <formula>AND(ISNUMBER($AN5),$AN5&gt;=FechaRef,$AN5-FechaRef&lt;=DiasAlerta,IF($V5="Sub",N($X5),N($M5))&lt;1)</formula>
    </cfRule>
  </conditionalFormatting>
  <conditionalFormatting sqref="E5:F1000">
    <cfRule type="expression" priority="24" dxfId="10" stopIfTrue="1">
      <formula>AND(N($AL5)&gt;0)</formula>
    </cfRule>
    <cfRule type="expression" priority="25" dxfId="5" stopIfTrue="1">
      <formula>AND((COUNTA($B5:$D5)+COUNTA($G5:$L5)+COUNTA($Q5))&gt;0,$AM5="")</formula>
    </cfRule>
    <cfRule type="expression" priority="26" dxfId="6">
      <formula>AND(ISNUMBER($E5),ISNUMBER($F5),$E5&gt;$F5)</formula>
    </cfRule>
  </conditionalFormatting>
  <conditionalFormatting sqref="H5:H1000">
    <cfRule type="expression" priority="27" dxfId="5" stopIfTrue="1">
      <formula>AND($V5="Sub",$H5&lt;&gt;"")</formula>
    </cfRule>
    <cfRule type="expression" priority="28" dxfId="15" stopIfTrue="1">
      <formula>$V5="Sub"</formula>
    </cfRule>
  </conditionalFormatting>
  <conditionalFormatting sqref="I5:L1000">
    <cfRule type="expression" priority="29" dxfId="5" stopIfTrue="1">
      <formula>AND(N($W5)&gt;0,I5&lt;&gt;"")</formula>
    </cfRule>
    <cfRule type="expression" priority="30" dxfId="15" stopIfTrue="1">
      <formula>OR(N($W5)&gt;0,ISNUMBER($G5))</formula>
    </cfRule>
    <cfRule type="expression" priority="31" dxfId="5" stopIfTrue="1">
      <formula>AND(I5&lt;&gt;"",OR(NOT(ISNUMBER(I5)),I5&gt;1,I5&lt;0))</formula>
    </cfRule>
  </conditionalFormatting>
  <conditionalFormatting sqref="J5:L1000">
    <cfRule type="expression" priority="32" dxfId="6">
      <formula>AND(J5&lt;&gt;"",J5&lt;MAX($I5:I5))</formula>
    </cfRule>
  </conditionalFormatting>
  <conditionalFormatting sqref="Q5:Q1000">
    <cfRule type="expression" priority="33" dxfId="5">
      <formula>AND(ObsObligatoria="Sí",ISNUMBER($F5),$F5&lt;FechaRef,IF($V5="Sub",N($X5),N($M5))&lt;1,$Q5="")</formula>
    </cfRule>
  </conditionalFormatting>
  <conditionalFormatting sqref="R5:R1000">
    <cfRule type="expression" priority="34" dxfId="5">
      <formula>LEFT($R5,1)="⚠"</formula>
    </cfRule>
    <cfRule type="expression" priority="35" dxfId="16">
      <formula>LEFT($R5,1)="✔"</formula>
    </cfRule>
  </conditionalFormatting>
  <conditionalFormatting sqref="S5:S1000">
    <cfRule type="expression" priority="36" dxfId="1">
      <formula>AND($S5&lt;&gt;"",$S5=MesCiclo)</formula>
    </cfRule>
  </conditionalFormatting>
  <dataValidations count="6">
    <dataValidation sqref="B5:B1000" showDropDown="0" showInputMessage="1" showErrorMessage="1" allowBlank="1" errorTitle="Tipo no válido" error="Elija Macroactividad o Subactividad." promptTitle="Tipo" prompt="Macroactividad (lleva peso) o Subactividad (va debajo de su macroactividad). Vacío = Macroactividad." type="list">
      <formula1>"Macroactividad,Subactividad"</formula1>
    </dataValidation>
    <dataValidation sqref="E5:E1000 F5:F1000" showDropDown="0" showInputMessage="0" showErrorMessage="1" allowBlank="1" errorTitle="Fecha no válida" error="Ingrese una fecha válida (dd/mm/aaaa)." type="date" operator="greaterThan">
      <formula1>36526</formula1>
    </dataValidation>
    <dataValidation sqref="G5:G1000" showDropDown="0" showInputMessage="1" showErrorMessage="1" allowBlank="1" errorTitle="Fecha no válida" error="Ingrese una fecha válida (dd/mm/aaaa)." promptTitle="Fecha de cumplimiento" prompt="Escriba la fecha en que se cumplió. La actividad queda al 100% y ya no aparece vencida." type="date" operator="greaterThan">
      <formula1>36526</formula1>
    </dataValidation>
    <dataValidation sqref="H5:H1000" showDropDown="0" showInputMessage="1" showErrorMessage="1" allowBlank="1" errorTitle="Peso no permitido" error="Las subactividades NO llevan peso (su avance se promedia en la macroactividad). En una macroactividad ingrese un porcentaje entre 0% y 100% (por ejemplo 40%)." promptTitle="Peso (solo macroactividades)" prompt="Opcional. Vacío = todas las macroactividades del mes valen igual. Si escribe pesos, se ajustan solos a 100%. Las subactividades no llevan peso." type="custom">
      <formula1>AND(LEFT($B5,3)&lt;&gt;"Sub",ISNUMBER(H5),H5&gt;=0,H5&lt;=1)</formula1>
    </dataValidation>
    <dataValidation sqref="I5:L1000" showDropDown="0" showInputMessage="1" showErrorMessage="1" allowBlank="1" errorTitle="Avance no válido" error="Ingrese un porcentaje entre 0% y 100%. Deje la celda vacía si la semana no ha llegado." promptTitle="Avance parcial (opcional)" prompt="% TOTAL logrado hasta esta semana. Cuando termine, escriba la Fecha de cumplimiento. Si la macroactividad tiene subactividades, déjelo vacío." type="decimal" operator="between">
      <formula1>0</formula1>
      <formula2>1</formula2>
    </dataValidation>
    <dataValidation sqref="D5:D1000" showDropDown="0" showInputMessage="1" showErrorMessage="1" allowBlank="1" errorTitle="Puesto no válido" error="Elija un puesto de la lista o deje vacío (actividad de la jefatura)." promptTitle="Delegar a" prompt="Elija el puesto al que delega esta macroactividad. Vacío = la hace la jefatura." type="list">
      <formula1>ListaPuestos</formula1>
    </dataValidation>
  </dataValidations>
  <pageMargins left="0.4" right="0.4" top="0.5" bottom="0.5" header="0.5" footer="0.5"/>
  <pageSetup orientation="landscape" paperSize="1" fitToHeight="0" fitToWidth="1"/>
  <headerFooter>
    <oddHeader/>
    <oddFooter>&amp;C&amp;A – Página &amp;P de &amp;N</oddFooter>
    <evenHeader/>
    <evenFooter/>
    <firstHeader/>
    <firstFooter/>
  </headerFooter>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fitToPage="1"/>
  </sheetPr>
  <dimension ref="B1:Q29"/>
  <sheetViews>
    <sheetView showGridLines="0" zoomScale="90" workbookViewId="0">
      <pane xSplit="2" ySplit="5" topLeftCell="C6" activePane="bottomRight" state="frozen"/>
      <selection pane="topRight"/>
      <selection pane="bottomLeft"/>
      <selection pane="bottomRight" activeCell="A1" sqref="A1"/>
    </sheetView>
  </sheetViews>
  <sheetFormatPr baseColWidth="8" defaultRowHeight="15"/>
  <cols>
    <col width="2" customWidth="1" min="1" max="1"/>
    <col width="16"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8" customWidth="1" min="11" max="11"/>
    <col hidden="1" width="13" customWidth="1" min="13" max="13"/>
    <col hidden="1" width="13" customWidth="1" min="14" max="14"/>
    <col hidden="1" width="13" customWidth="1" min="15" max="15"/>
    <col hidden="1" width="13" customWidth="1" min="16" max="16"/>
    <col hidden="1" width="13" customWidth="1" min="17" max="17"/>
  </cols>
  <sheetData>
    <row r="1" ht="28" customHeight="1">
      <c r="B1" s="65" t="inlineStr">
        <is>
          <t>Historial mensual de actividades</t>
        </is>
      </c>
      <c r="C1" s="65" t="n"/>
      <c r="D1" s="65" t="n"/>
      <c r="E1" s="65" t="n"/>
      <c r="F1" s="65" t="n"/>
      <c r="G1" s="65" t="n"/>
      <c r="H1" s="65" t="n"/>
      <c r="I1" s="65" t="n"/>
      <c r="J1" s="65" t="n"/>
      <c r="K1" s="65" t="n"/>
    </row>
    <row r="2" ht="32" customHeight="1">
      <c r="B2" s="48" t="inlineStr">
        <is>
          <t>HOJA AUTOMÁTICA: resume cada mes con las actividades guardadas en los Cronogramas (nada se borra al empezar un mes). Empieza en octubre 2026 y muestra 24 meses (el mes actual se resalta en amarillo). «Sin datos» = el puesto no registró actividades ese mes; «Pesos ≠ 100%» = los pesos de ese mes no suman 100%.</t>
        </is>
      </c>
      <c r="C2" s="48" t="n"/>
      <c r="D2" s="48" t="n"/>
      <c r="E2" s="48" t="n"/>
      <c r="F2" s="48" t="n"/>
      <c r="G2" s="48" t="n"/>
      <c r="H2" s="48" t="n"/>
      <c r="I2" s="48" t="n"/>
      <c r="J2" s="48" t="n"/>
      <c r="K2" s="48" t="n"/>
    </row>
    <row r="4">
      <c r="B4" s="66" t="inlineStr">
        <is>
          <t>Mes</t>
        </is>
      </c>
      <c r="C4" s="67" t="inlineStr">
        <is>
          <t>Riesgo Operacional</t>
        </is>
      </c>
      <c r="D4" s="67" t="n"/>
      <c r="E4" s="68" t="inlineStr">
        <is>
          <t>Riesgo Normativo</t>
        </is>
      </c>
      <c r="F4" s="68" t="n"/>
      <c r="G4" s="69" t="inlineStr">
        <is>
          <t>Riesgo Financiero</t>
        </is>
      </c>
      <c r="H4" s="69" t="n"/>
      <c r="I4" s="7" t="inlineStr">
        <is>
          <t>Asistente Técnico de Riesgo</t>
        </is>
      </c>
      <c r="J4" s="7" t="n"/>
      <c r="K4" s="66" t="inlineStr">
        <is>
          <t>Avance general</t>
        </is>
      </c>
    </row>
    <row r="5" ht="28" customHeight="1">
      <c r="B5" s="66" t="n"/>
      <c r="C5" s="31" t="inlineStr">
        <is>
          <t>Avance</t>
        </is>
      </c>
      <c r="D5" s="31" t="inlineStr">
        <is>
          <t>Completadas / total</t>
        </is>
      </c>
      <c r="E5" s="31" t="inlineStr">
        <is>
          <t>Avance</t>
        </is>
      </c>
      <c r="F5" s="31" t="inlineStr">
        <is>
          <t>Completadas / total</t>
        </is>
      </c>
      <c r="G5" s="31" t="inlineStr">
        <is>
          <t>Avance</t>
        </is>
      </c>
      <c r="H5" s="31" t="inlineStr">
        <is>
          <t>Completadas / total</t>
        </is>
      </c>
      <c r="I5" s="31" t="inlineStr">
        <is>
          <t>Avance</t>
        </is>
      </c>
      <c r="J5" s="31" t="inlineStr">
        <is>
          <t>Completadas / total</t>
        </is>
      </c>
      <c r="K5" s="66" t="n"/>
      <c r="M5" t="inlineStr">
        <is>
          <t>Mes (gráfico)</t>
        </is>
      </c>
      <c r="N5" t="inlineStr">
        <is>
          <t>R. Operacional</t>
        </is>
      </c>
      <c r="O5" t="inlineStr">
        <is>
          <t>R. Normativo</t>
        </is>
      </c>
      <c r="P5" t="inlineStr">
        <is>
          <t>R. Financiero</t>
        </is>
      </c>
      <c r="Q5" t="inlineStr">
        <is>
          <t>Asistente Técnico</t>
        </is>
      </c>
    </row>
    <row r="6" ht="20" customHeight="1">
      <c r="B6" s="70">
        <f>DATE(YEAR(HistInicio),MONTH(HistInicio)+0,1)</f>
        <v/>
      </c>
      <c r="C6" s="20">
        <f>IF(COUNTIFS(rMes_RO,$B6,rTipo_RO,"Macro")=0,"Sin datos",IF(ABS(SUMIFS(rPeso_RO,rMes_RO,$B6,rTipo_RO,"Macro")-1)&gt;0.0001,"Pesos ≠ 100%",SUMPRODUCT(--((rMes_RO=$B6)*(rTipo_RO="Macro")),rPeso_RO,rAvance_RO)))</f>
        <v/>
      </c>
      <c r="D6" s="22">
        <f>IF(COUNTIFS(rMes_RO,$B6,rTipo_RO,"Macro")=0,"",COUNTIFS(rEstado_RO,"Completado",rMes_RO,$B6,rTipo_RO,"Macro")&amp;" / "&amp;COUNTIFS(rMes_RO,$B6,rTipo_RO,"Macro"))</f>
        <v/>
      </c>
      <c r="E6" s="20">
        <f>IF(COUNTIFS(rMes_RN,$B6,rTipo_RN,"Macro")=0,"Sin datos",IF(ABS(SUMIFS(rPeso_RN,rMes_RN,$B6,rTipo_RN,"Macro")-1)&gt;0.0001,"Pesos ≠ 100%",SUMPRODUCT(--((rMes_RN=$B6)*(rTipo_RN="Macro")),rPeso_RN,rAvance_RN)))</f>
        <v/>
      </c>
      <c r="F6" s="22">
        <f>IF(COUNTIFS(rMes_RN,$B6,rTipo_RN,"Macro")=0,"",COUNTIFS(rEstado_RN,"Completado",rMes_RN,$B6,rTipo_RN,"Macro")&amp;" / "&amp;COUNTIFS(rMes_RN,$B6,rTipo_RN,"Macro"))</f>
        <v/>
      </c>
      <c r="G6" s="20">
        <f>IF(COUNTIFS(rMes_RF,$B6,rTipo_RF,"Macro")=0,"Sin datos",IF(ABS(SUMIFS(rPeso_RF,rMes_RF,$B6,rTipo_RF,"Macro")-1)&gt;0.0001,"Pesos ≠ 100%",SUMPRODUCT(--((rMes_RF=$B6)*(rTipo_RF="Macro")),rPeso_RF,rAvance_RF)))</f>
        <v/>
      </c>
      <c r="H6" s="22">
        <f>IF(COUNTIFS(rMes_RF,$B6,rTipo_RF,"Macro")=0,"",COUNTIFS(rEstado_RF,"Completado",rMes_RF,$B6,rTipo_RF,"Macro")&amp;" / "&amp;COUNTIFS(rMes_RF,$B6,rTipo_RF,"Macro"))</f>
        <v/>
      </c>
      <c r="I6" s="20">
        <f>IF(COUNTIFS(rMes_ATR,$B6,rTipo_ATR,"Macro")=0,"Sin datos",IF(ABS(SUMIFS(rPeso_ATR,rMes_ATR,$B6,rTipo_ATR,"Macro")-1)&gt;0.0001,"Pesos ≠ 100%",SUMPRODUCT(--((rMes_ATR=$B6)*(rTipo_ATR="Macro")),rPeso_ATR,rAvance_ATR)))</f>
        <v/>
      </c>
      <c r="J6" s="22">
        <f>IF(COUNTIFS(rMes_ATR,$B6,rTipo_ATR,"Macro")=0,"",COUNTIFS(rEstado_ATR,"Completado",rMes_ATR,$B6,rTipo_ATR,"Macro")&amp;" / "&amp;COUNTIFS(rMes_ATR,$B6,rTipo_ATR,"Macro"))</f>
        <v/>
      </c>
      <c r="K6" s="71">
        <f>IF(COUNT(C6,E6,G6,I6)=4,AVERAGE(C6,E6,G6,I6),IF(COUNTIF(C6:J6,"Sin datos")=4,"Sin datos","No definitivo"))</f>
        <v/>
      </c>
      <c r="M6">
        <f>CHOOSE(MONTH(DATE(YEAR(MAX(HistInicio,EDATE(MesCiclo,-5))),MONTH(MAX(HistInicio,EDATE(MesCiclo,-5)))+0,1)),"ene","feb","mar","abr","may","jun","jul","ago","sep","oct","nov","dic")&amp;" "&amp;YEAR(DATE(YEAR(MAX(HistInicio,EDATE(MesCiclo,-5))),MONTH(MAX(HistInicio,EDATE(MesCiclo,-5)))+0,1))</f>
        <v/>
      </c>
      <c r="N6">
        <f>IFERROR(N(INDEX(C6:C29,MATCH(DATE(YEAR(MAX(HistInicio,EDATE(MesCiclo,-5))),MONTH(MAX(HistInicio,EDATE(MesCiclo,-5)))+0,1),B6:B29,0))),0)</f>
        <v/>
      </c>
      <c r="O6">
        <f>IFERROR(N(INDEX(E6:E29,MATCH(DATE(YEAR(MAX(HistInicio,EDATE(MesCiclo,-5))),MONTH(MAX(HistInicio,EDATE(MesCiclo,-5)))+0,1),B6:B29,0))),0)</f>
        <v/>
      </c>
      <c r="P6">
        <f>IFERROR(N(INDEX(G6:G29,MATCH(DATE(YEAR(MAX(HistInicio,EDATE(MesCiclo,-5))),MONTH(MAX(HistInicio,EDATE(MesCiclo,-5)))+0,1),B6:B29,0))),0)</f>
        <v/>
      </c>
      <c r="Q6">
        <f>IFERROR(N(INDEX(I6:I29,MATCH(DATE(YEAR(MAX(HistInicio,EDATE(MesCiclo,-5))),MONTH(MAX(HistInicio,EDATE(MesCiclo,-5)))+0,1),B6:B29,0))),0)</f>
        <v/>
      </c>
    </row>
    <row r="7" ht="20" customHeight="1">
      <c r="B7" s="70">
        <f>DATE(YEAR(HistInicio),MONTH(HistInicio)+1,1)</f>
        <v/>
      </c>
      <c r="C7" s="20">
        <f>IF(COUNTIFS(rMes_RO,$B7,rTipo_RO,"Macro")=0,"Sin datos",IF(ABS(SUMIFS(rPeso_RO,rMes_RO,$B7,rTipo_RO,"Macro")-1)&gt;0.0001,"Pesos ≠ 100%",SUMPRODUCT(--((rMes_RO=$B7)*(rTipo_RO="Macro")),rPeso_RO,rAvance_RO)))</f>
        <v/>
      </c>
      <c r="D7" s="22">
        <f>IF(COUNTIFS(rMes_RO,$B7,rTipo_RO,"Macro")=0,"",COUNTIFS(rEstado_RO,"Completado",rMes_RO,$B7,rTipo_RO,"Macro")&amp;" / "&amp;COUNTIFS(rMes_RO,$B7,rTipo_RO,"Macro"))</f>
        <v/>
      </c>
      <c r="E7" s="20">
        <f>IF(COUNTIFS(rMes_RN,$B7,rTipo_RN,"Macro")=0,"Sin datos",IF(ABS(SUMIFS(rPeso_RN,rMes_RN,$B7,rTipo_RN,"Macro")-1)&gt;0.0001,"Pesos ≠ 100%",SUMPRODUCT(--((rMes_RN=$B7)*(rTipo_RN="Macro")),rPeso_RN,rAvance_RN)))</f>
        <v/>
      </c>
      <c r="F7" s="22">
        <f>IF(COUNTIFS(rMes_RN,$B7,rTipo_RN,"Macro")=0,"",COUNTIFS(rEstado_RN,"Completado",rMes_RN,$B7,rTipo_RN,"Macro")&amp;" / "&amp;COUNTIFS(rMes_RN,$B7,rTipo_RN,"Macro"))</f>
        <v/>
      </c>
      <c r="G7" s="20">
        <f>IF(COUNTIFS(rMes_RF,$B7,rTipo_RF,"Macro")=0,"Sin datos",IF(ABS(SUMIFS(rPeso_RF,rMes_RF,$B7,rTipo_RF,"Macro")-1)&gt;0.0001,"Pesos ≠ 100%",SUMPRODUCT(--((rMes_RF=$B7)*(rTipo_RF="Macro")),rPeso_RF,rAvance_RF)))</f>
        <v/>
      </c>
      <c r="H7" s="22">
        <f>IF(COUNTIFS(rMes_RF,$B7,rTipo_RF,"Macro")=0,"",COUNTIFS(rEstado_RF,"Completado",rMes_RF,$B7,rTipo_RF,"Macro")&amp;" / "&amp;COUNTIFS(rMes_RF,$B7,rTipo_RF,"Macro"))</f>
        <v/>
      </c>
      <c r="I7" s="20">
        <f>IF(COUNTIFS(rMes_ATR,$B7,rTipo_ATR,"Macro")=0,"Sin datos",IF(ABS(SUMIFS(rPeso_ATR,rMes_ATR,$B7,rTipo_ATR,"Macro")-1)&gt;0.0001,"Pesos ≠ 100%",SUMPRODUCT(--((rMes_ATR=$B7)*(rTipo_ATR="Macro")),rPeso_ATR,rAvance_ATR)))</f>
        <v/>
      </c>
      <c r="J7" s="22">
        <f>IF(COUNTIFS(rMes_ATR,$B7,rTipo_ATR,"Macro")=0,"",COUNTIFS(rEstado_ATR,"Completado",rMes_ATR,$B7,rTipo_ATR,"Macro")&amp;" / "&amp;COUNTIFS(rMes_ATR,$B7,rTipo_ATR,"Macro"))</f>
        <v/>
      </c>
      <c r="K7" s="71">
        <f>IF(COUNT(C7,E7,G7,I7)=4,AVERAGE(C7,E7,G7,I7),IF(COUNTIF(C7:J7,"Sin datos")=4,"Sin datos","No definitivo"))</f>
        <v/>
      </c>
      <c r="M7">
        <f>CHOOSE(MONTH(DATE(YEAR(MAX(HistInicio,EDATE(MesCiclo,-5))),MONTH(MAX(HistInicio,EDATE(MesCiclo,-5)))+1,1)),"ene","feb","mar","abr","may","jun","jul","ago","sep","oct","nov","dic")&amp;" "&amp;YEAR(DATE(YEAR(MAX(HistInicio,EDATE(MesCiclo,-5))),MONTH(MAX(HistInicio,EDATE(MesCiclo,-5)))+1,1))</f>
        <v/>
      </c>
      <c r="N7">
        <f>IFERROR(N(INDEX(C6:C29,MATCH(DATE(YEAR(MAX(HistInicio,EDATE(MesCiclo,-5))),MONTH(MAX(HistInicio,EDATE(MesCiclo,-5)))+1,1),B6:B29,0))),0)</f>
        <v/>
      </c>
      <c r="O7">
        <f>IFERROR(N(INDEX(E6:E29,MATCH(DATE(YEAR(MAX(HistInicio,EDATE(MesCiclo,-5))),MONTH(MAX(HistInicio,EDATE(MesCiclo,-5)))+1,1),B6:B29,0))),0)</f>
        <v/>
      </c>
      <c r="P7">
        <f>IFERROR(N(INDEX(G6:G29,MATCH(DATE(YEAR(MAX(HistInicio,EDATE(MesCiclo,-5))),MONTH(MAX(HistInicio,EDATE(MesCiclo,-5)))+1,1),B6:B29,0))),0)</f>
        <v/>
      </c>
      <c r="Q7">
        <f>IFERROR(N(INDEX(I6:I29,MATCH(DATE(YEAR(MAX(HistInicio,EDATE(MesCiclo,-5))),MONTH(MAX(HistInicio,EDATE(MesCiclo,-5)))+1,1),B6:B29,0))),0)</f>
        <v/>
      </c>
    </row>
    <row r="8" ht="20" customHeight="1">
      <c r="B8" s="70">
        <f>DATE(YEAR(HistInicio),MONTH(HistInicio)+2,1)</f>
        <v/>
      </c>
      <c r="C8" s="20">
        <f>IF(COUNTIFS(rMes_RO,$B8,rTipo_RO,"Macro")=0,"Sin datos",IF(ABS(SUMIFS(rPeso_RO,rMes_RO,$B8,rTipo_RO,"Macro")-1)&gt;0.0001,"Pesos ≠ 100%",SUMPRODUCT(--((rMes_RO=$B8)*(rTipo_RO="Macro")),rPeso_RO,rAvance_RO)))</f>
        <v/>
      </c>
      <c r="D8" s="22">
        <f>IF(COUNTIFS(rMes_RO,$B8,rTipo_RO,"Macro")=0,"",COUNTIFS(rEstado_RO,"Completado",rMes_RO,$B8,rTipo_RO,"Macro")&amp;" / "&amp;COUNTIFS(rMes_RO,$B8,rTipo_RO,"Macro"))</f>
        <v/>
      </c>
      <c r="E8" s="20">
        <f>IF(COUNTIFS(rMes_RN,$B8,rTipo_RN,"Macro")=0,"Sin datos",IF(ABS(SUMIFS(rPeso_RN,rMes_RN,$B8,rTipo_RN,"Macro")-1)&gt;0.0001,"Pesos ≠ 100%",SUMPRODUCT(--((rMes_RN=$B8)*(rTipo_RN="Macro")),rPeso_RN,rAvance_RN)))</f>
        <v/>
      </c>
      <c r="F8" s="22">
        <f>IF(COUNTIFS(rMes_RN,$B8,rTipo_RN,"Macro")=0,"",COUNTIFS(rEstado_RN,"Completado",rMes_RN,$B8,rTipo_RN,"Macro")&amp;" / "&amp;COUNTIFS(rMes_RN,$B8,rTipo_RN,"Macro"))</f>
        <v/>
      </c>
      <c r="G8" s="20">
        <f>IF(COUNTIFS(rMes_RF,$B8,rTipo_RF,"Macro")=0,"Sin datos",IF(ABS(SUMIFS(rPeso_RF,rMes_RF,$B8,rTipo_RF,"Macro")-1)&gt;0.0001,"Pesos ≠ 100%",SUMPRODUCT(--((rMes_RF=$B8)*(rTipo_RF="Macro")),rPeso_RF,rAvance_RF)))</f>
        <v/>
      </c>
      <c r="H8" s="22">
        <f>IF(COUNTIFS(rMes_RF,$B8,rTipo_RF,"Macro")=0,"",COUNTIFS(rEstado_RF,"Completado",rMes_RF,$B8,rTipo_RF,"Macro")&amp;" / "&amp;COUNTIFS(rMes_RF,$B8,rTipo_RF,"Macro"))</f>
        <v/>
      </c>
      <c r="I8" s="20">
        <f>IF(COUNTIFS(rMes_ATR,$B8,rTipo_ATR,"Macro")=0,"Sin datos",IF(ABS(SUMIFS(rPeso_ATR,rMes_ATR,$B8,rTipo_ATR,"Macro")-1)&gt;0.0001,"Pesos ≠ 100%",SUMPRODUCT(--((rMes_ATR=$B8)*(rTipo_ATR="Macro")),rPeso_ATR,rAvance_ATR)))</f>
        <v/>
      </c>
      <c r="J8" s="22">
        <f>IF(COUNTIFS(rMes_ATR,$B8,rTipo_ATR,"Macro")=0,"",COUNTIFS(rEstado_ATR,"Completado",rMes_ATR,$B8,rTipo_ATR,"Macro")&amp;" / "&amp;COUNTIFS(rMes_ATR,$B8,rTipo_ATR,"Macro"))</f>
        <v/>
      </c>
      <c r="K8" s="71">
        <f>IF(COUNT(C8,E8,G8,I8)=4,AVERAGE(C8,E8,G8,I8),IF(COUNTIF(C8:J8,"Sin datos")=4,"Sin datos","No definitivo"))</f>
        <v/>
      </c>
      <c r="M8">
        <f>CHOOSE(MONTH(DATE(YEAR(MAX(HistInicio,EDATE(MesCiclo,-5))),MONTH(MAX(HistInicio,EDATE(MesCiclo,-5)))+2,1)),"ene","feb","mar","abr","may","jun","jul","ago","sep","oct","nov","dic")&amp;" "&amp;YEAR(DATE(YEAR(MAX(HistInicio,EDATE(MesCiclo,-5))),MONTH(MAX(HistInicio,EDATE(MesCiclo,-5)))+2,1))</f>
        <v/>
      </c>
      <c r="N8">
        <f>IFERROR(N(INDEX(C6:C29,MATCH(DATE(YEAR(MAX(HistInicio,EDATE(MesCiclo,-5))),MONTH(MAX(HistInicio,EDATE(MesCiclo,-5)))+2,1),B6:B29,0))),0)</f>
        <v/>
      </c>
      <c r="O8">
        <f>IFERROR(N(INDEX(E6:E29,MATCH(DATE(YEAR(MAX(HistInicio,EDATE(MesCiclo,-5))),MONTH(MAX(HistInicio,EDATE(MesCiclo,-5)))+2,1),B6:B29,0))),0)</f>
        <v/>
      </c>
      <c r="P8">
        <f>IFERROR(N(INDEX(G6:G29,MATCH(DATE(YEAR(MAX(HistInicio,EDATE(MesCiclo,-5))),MONTH(MAX(HistInicio,EDATE(MesCiclo,-5)))+2,1),B6:B29,0))),0)</f>
        <v/>
      </c>
      <c r="Q8">
        <f>IFERROR(N(INDEX(I6:I29,MATCH(DATE(YEAR(MAX(HistInicio,EDATE(MesCiclo,-5))),MONTH(MAX(HistInicio,EDATE(MesCiclo,-5)))+2,1),B6:B29,0))),0)</f>
        <v/>
      </c>
    </row>
    <row r="9" ht="20" customHeight="1">
      <c r="B9" s="70">
        <f>DATE(YEAR(HistInicio),MONTH(HistInicio)+3,1)</f>
        <v/>
      </c>
      <c r="C9" s="20">
        <f>IF(COUNTIFS(rMes_RO,$B9,rTipo_RO,"Macro")=0,"Sin datos",IF(ABS(SUMIFS(rPeso_RO,rMes_RO,$B9,rTipo_RO,"Macro")-1)&gt;0.0001,"Pesos ≠ 100%",SUMPRODUCT(--((rMes_RO=$B9)*(rTipo_RO="Macro")),rPeso_RO,rAvance_RO)))</f>
        <v/>
      </c>
      <c r="D9" s="22">
        <f>IF(COUNTIFS(rMes_RO,$B9,rTipo_RO,"Macro")=0,"",COUNTIFS(rEstado_RO,"Completado",rMes_RO,$B9,rTipo_RO,"Macro")&amp;" / "&amp;COUNTIFS(rMes_RO,$B9,rTipo_RO,"Macro"))</f>
        <v/>
      </c>
      <c r="E9" s="20">
        <f>IF(COUNTIFS(rMes_RN,$B9,rTipo_RN,"Macro")=0,"Sin datos",IF(ABS(SUMIFS(rPeso_RN,rMes_RN,$B9,rTipo_RN,"Macro")-1)&gt;0.0001,"Pesos ≠ 100%",SUMPRODUCT(--((rMes_RN=$B9)*(rTipo_RN="Macro")),rPeso_RN,rAvance_RN)))</f>
        <v/>
      </c>
      <c r="F9" s="22">
        <f>IF(COUNTIFS(rMes_RN,$B9,rTipo_RN,"Macro")=0,"",COUNTIFS(rEstado_RN,"Completado",rMes_RN,$B9,rTipo_RN,"Macro")&amp;" / "&amp;COUNTIFS(rMes_RN,$B9,rTipo_RN,"Macro"))</f>
        <v/>
      </c>
      <c r="G9" s="20">
        <f>IF(COUNTIFS(rMes_RF,$B9,rTipo_RF,"Macro")=0,"Sin datos",IF(ABS(SUMIFS(rPeso_RF,rMes_RF,$B9,rTipo_RF,"Macro")-1)&gt;0.0001,"Pesos ≠ 100%",SUMPRODUCT(--((rMes_RF=$B9)*(rTipo_RF="Macro")),rPeso_RF,rAvance_RF)))</f>
        <v/>
      </c>
      <c r="H9" s="22">
        <f>IF(COUNTIFS(rMes_RF,$B9,rTipo_RF,"Macro")=0,"",COUNTIFS(rEstado_RF,"Completado",rMes_RF,$B9,rTipo_RF,"Macro")&amp;" / "&amp;COUNTIFS(rMes_RF,$B9,rTipo_RF,"Macro"))</f>
        <v/>
      </c>
      <c r="I9" s="20">
        <f>IF(COUNTIFS(rMes_ATR,$B9,rTipo_ATR,"Macro")=0,"Sin datos",IF(ABS(SUMIFS(rPeso_ATR,rMes_ATR,$B9,rTipo_ATR,"Macro")-1)&gt;0.0001,"Pesos ≠ 100%",SUMPRODUCT(--((rMes_ATR=$B9)*(rTipo_ATR="Macro")),rPeso_ATR,rAvance_ATR)))</f>
        <v/>
      </c>
      <c r="J9" s="22">
        <f>IF(COUNTIFS(rMes_ATR,$B9,rTipo_ATR,"Macro")=0,"",COUNTIFS(rEstado_ATR,"Completado",rMes_ATR,$B9,rTipo_ATR,"Macro")&amp;" / "&amp;COUNTIFS(rMes_ATR,$B9,rTipo_ATR,"Macro"))</f>
        <v/>
      </c>
      <c r="K9" s="71">
        <f>IF(COUNT(C9,E9,G9,I9)=4,AVERAGE(C9,E9,G9,I9),IF(COUNTIF(C9:J9,"Sin datos")=4,"Sin datos","No definitivo"))</f>
        <v/>
      </c>
      <c r="M9">
        <f>CHOOSE(MONTH(DATE(YEAR(MAX(HistInicio,EDATE(MesCiclo,-5))),MONTH(MAX(HistInicio,EDATE(MesCiclo,-5)))+3,1)),"ene","feb","mar","abr","may","jun","jul","ago","sep","oct","nov","dic")&amp;" "&amp;YEAR(DATE(YEAR(MAX(HistInicio,EDATE(MesCiclo,-5))),MONTH(MAX(HistInicio,EDATE(MesCiclo,-5)))+3,1))</f>
        <v/>
      </c>
      <c r="N9">
        <f>IFERROR(N(INDEX(C6:C29,MATCH(DATE(YEAR(MAX(HistInicio,EDATE(MesCiclo,-5))),MONTH(MAX(HistInicio,EDATE(MesCiclo,-5)))+3,1),B6:B29,0))),0)</f>
        <v/>
      </c>
      <c r="O9">
        <f>IFERROR(N(INDEX(E6:E29,MATCH(DATE(YEAR(MAX(HistInicio,EDATE(MesCiclo,-5))),MONTH(MAX(HistInicio,EDATE(MesCiclo,-5)))+3,1),B6:B29,0))),0)</f>
        <v/>
      </c>
      <c r="P9">
        <f>IFERROR(N(INDEX(G6:G29,MATCH(DATE(YEAR(MAX(HistInicio,EDATE(MesCiclo,-5))),MONTH(MAX(HistInicio,EDATE(MesCiclo,-5)))+3,1),B6:B29,0))),0)</f>
        <v/>
      </c>
      <c r="Q9">
        <f>IFERROR(N(INDEX(I6:I29,MATCH(DATE(YEAR(MAX(HistInicio,EDATE(MesCiclo,-5))),MONTH(MAX(HistInicio,EDATE(MesCiclo,-5)))+3,1),B6:B29,0))),0)</f>
        <v/>
      </c>
    </row>
    <row r="10" ht="20" customHeight="1">
      <c r="B10" s="70">
        <f>DATE(YEAR(HistInicio),MONTH(HistInicio)+4,1)</f>
        <v/>
      </c>
      <c r="C10" s="20">
        <f>IF(COUNTIFS(rMes_RO,$B10,rTipo_RO,"Macro")=0,"Sin datos",IF(ABS(SUMIFS(rPeso_RO,rMes_RO,$B10,rTipo_RO,"Macro")-1)&gt;0.0001,"Pesos ≠ 100%",SUMPRODUCT(--((rMes_RO=$B10)*(rTipo_RO="Macro")),rPeso_RO,rAvance_RO)))</f>
        <v/>
      </c>
      <c r="D10" s="22">
        <f>IF(COUNTIFS(rMes_RO,$B10,rTipo_RO,"Macro")=0,"",COUNTIFS(rEstado_RO,"Completado",rMes_RO,$B10,rTipo_RO,"Macro")&amp;" / "&amp;COUNTIFS(rMes_RO,$B10,rTipo_RO,"Macro"))</f>
        <v/>
      </c>
      <c r="E10" s="20">
        <f>IF(COUNTIFS(rMes_RN,$B10,rTipo_RN,"Macro")=0,"Sin datos",IF(ABS(SUMIFS(rPeso_RN,rMes_RN,$B10,rTipo_RN,"Macro")-1)&gt;0.0001,"Pesos ≠ 100%",SUMPRODUCT(--((rMes_RN=$B10)*(rTipo_RN="Macro")),rPeso_RN,rAvance_RN)))</f>
        <v/>
      </c>
      <c r="F10" s="22">
        <f>IF(COUNTIFS(rMes_RN,$B10,rTipo_RN,"Macro")=0,"",COUNTIFS(rEstado_RN,"Completado",rMes_RN,$B10,rTipo_RN,"Macro")&amp;" / "&amp;COUNTIFS(rMes_RN,$B10,rTipo_RN,"Macro"))</f>
        <v/>
      </c>
      <c r="G10" s="20">
        <f>IF(COUNTIFS(rMes_RF,$B10,rTipo_RF,"Macro")=0,"Sin datos",IF(ABS(SUMIFS(rPeso_RF,rMes_RF,$B10,rTipo_RF,"Macro")-1)&gt;0.0001,"Pesos ≠ 100%",SUMPRODUCT(--((rMes_RF=$B10)*(rTipo_RF="Macro")),rPeso_RF,rAvance_RF)))</f>
        <v/>
      </c>
      <c r="H10" s="22">
        <f>IF(COUNTIFS(rMes_RF,$B10,rTipo_RF,"Macro")=0,"",COUNTIFS(rEstado_RF,"Completado",rMes_RF,$B10,rTipo_RF,"Macro")&amp;" / "&amp;COUNTIFS(rMes_RF,$B10,rTipo_RF,"Macro"))</f>
        <v/>
      </c>
      <c r="I10" s="20">
        <f>IF(COUNTIFS(rMes_ATR,$B10,rTipo_ATR,"Macro")=0,"Sin datos",IF(ABS(SUMIFS(rPeso_ATR,rMes_ATR,$B10,rTipo_ATR,"Macro")-1)&gt;0.0001,"Pesos ≠ 100%",SUMPRODUCT(--((rMes_ATR=$B10)*(rTipo_ATR="Macro")),rPeso_ATR,rAvance_ATR)))</f>
        <v/>
      </c>
      <c r="J10" s="22">
        <f>IF(COUNTIFS(rMes_ATR,$B10,rTipo_ATR,"Macro")=0,"",COUNTIFS(rEstado_ATR,"Completado",rMes_ATR,$B10,rTipo_ATR,"Macro")&amp;" / "&amp;COUNTIFS(rMes_ATR,$B10,rTipo_ATR,"Macro"))</f>
        <v/>
      </c>
      <c r="K10" s="71">
        <f>IF(COUNT(C10,E10,G10,I10)=4,AVERAGE(C10,E10,G10,I10),IF(COUNTIF(C10:J10,"Sin datos")=4,"Sin datos","No definitivo"))</f>
        <v/>
      </c>
      <c r="M10">
        <f>CHOOSE(MONTH(DATE(YEAR(MAX(HistInicio,EDATE(MesCiclo,-5))),MONTH(MAX(HistInicio,EDATE(MesCiclo,-5)))+4,1)),"ene","feb","mar","abr","may","jun","jul","ago","sep","oct","nov","dic")&amp;" "&amp;YEAR(DATE(YEAR(MAX(HistInicio,EDATE(MesCiclo,-5))),MONTH(MAX(HistInicio,EDATE(MesCiclo,-5)))+4,1))</f>
        <v/>
      </c>
      <c r="N10">
        <f>IFERROR(N(INDEX(C6:C29,MATCH(DATE(YEAR(MAX(HistInicio,EDATE(MesCiclo,-5))),MONTH(MAX(HistInicio,EDATE(MesCiclo,-5)))+4,1),B6:B29,0))),0)</f>
        <v/>
      </c>
      <c r="O10">
        <f>IFERROR(N(INDEX(E6:E29,MATCH(DATE(YEAR(MAX(HistInicio,EDATE(MesCiclo,-5))),MONTH(MAX(HistInicio,EDATE(MesCiclo,-5)))+4,1),B6:B29,0))),0)</f>
        <v/>
      </c>
      <c r="P10">
        <f>IFERROR(N(INDEX(G6:G29,MATCH(DATE(YEAR(MAX(HistInicio,EDATE(MesCiclo,-5))),MONTH(MAX(HistInicio,EDATE(MesCiclo,-5)))+4,1),B6:B29,0))),0)</f>
        <v/>
      </c>
      <c r="Q10">
        <f>IFERROR(N(INDEX(I6:I29,MATCH(DATE(YEAR(MAX(HistInicio,EDATE(MesCiclo,-5))),MONTH(MAX(HistInicio,EDATE(MesCiclo,-5)))+4,1),B6:B29,0))),0)</f>
        <v/>
      </c>
    </row>
    <row r="11" ht="20" customHeight="1">
      <c r="B11" s="70">
        <f>DATE(YEAR(HistInicio),MONTH(HistInicio)+5,1)</f>
        <v/>
      </c>
      <c r="C11" s="20">
        <f>IF(COUNTIFS(rMes_RO,$B11,rTipo_RO,"Macro")=0,"Sin datos",IF(ABS(SUMIFS(rPeso_RO,rMes_RO,$B11,rTipo_RO,"Macro")-1)&gt;0.0001,"Pesos ≠ 100%",SUMPRODUCT(--((rMes_RO=$B11)*(rTipo_RO="Macro")),rPeso_RO,rAvance_RO)))</f>
        <v/>
      </c>
      <c r="D11" s="22">
        <f>IF(COUNTIFS(rMes_RO,$B11,rTipo_RO,"Macro")=0,"",COUNTIFS(rEstado_RO,"Completado",rMes_RO,$B11,rTipo_RO,"Macro")&amp;" / "&amp;COUNTIFS(rMes_RO,$B11,rTipo_RO,"Macro"))</f>
        <v/>
      </c>
      <c r="E11" s="20">
        <f>IF(COUNTIFS(rMes_RN,$B11,rTipo_RN,"Macro")=0,"Sin datos",IF(ABS(SUMIFS(rPeso_RN,rMes_RN,$B11,rTipo_RN,"Macro")-1)&gt;0.0001,"Pesos ≠ 100%",SUMPRODUCT(--((rMes_RN=$B11)*(rTipo_RN="Macro")),rPeso_RN,rAvance_RN)))</f>
        <v/>
      </c>
      <c r="F11" s="22">
        <f>IF(COUNTIFS(rMes_RN,$B11,rTipo_RN,"Macro")=0,"",COUNTIFS(rEstado_RN,"Completado",rMes_RN,$B11,rTipo_RN,"Macro")&amp;" / "&amp;COUNTIFS(rMes_RN,$B11,rTipo_RN,"Macro"))</f>
        <v/>
      </c>
      <c r="G11" s="20">
        <f>IF(COUNTIFS(rMes_RF,$B11,rTipo_RF,"Macro")=0,"Sin datos",IF(ABS(SUMIFS(rPeso_RF,rMes_RF,$B11,rTipo_RF,"Macro")-1)&gt;0.0001,"Pesos ≠ 100%",SUMPRODUCT(--((rMes_RF=$B11)*(rTipo_RF="Macro")),rPeso_RF,rAvance_RF)))</f>
        <v/>
      </c>
      <c r="H11" s="22">
        <f>IF(COUNTIFS(rMes_RF,$B11,rTipo_RF,"Macro")=0,"",COUNTIFS(rEstado_RF,"Completado",rMes_RF,$B11,rTipo_RF,"Macro")&amp;" / "&amp;COUNTIFS(rMes_RF,$B11,rTipo_RF,"Macro"))</f>
        <v/>
      </c>
      <c r="I11" s="20">
        <f>IF(COUNTIFS(rMes_ATR,$B11,rTipo_ATR,"Macro")=0,"Sin datos",IF(ABS(SUMIFS(rPeso_ATR,rMes_ATR,$B11,rTipo_ATR,"Macro")-1)&gt;0.0001,"Pesos ≠ 100%",SUMPRODUCT(--((rMes_ATR=$B11)*(rTipo_ATR="Macro")),rPeso_ATR,rAvance_ATR)))</f>
        <v/>
      </c>
      <c r="J11" s="22">
        <f>IF(COUNTIFS(rMes_ATR,$B11,rTipo_ATR,"Macro")=0,"",COUNTIFS(rEstado_ATR,"Completado",rMes_ATR,$B11,rTipo_ATR,"Macro")&amp;" / "&amp;COUNTIFS(rMes_ATR,$B11,rTipo_ATR,"Macro"))</f>
        <v/>
      </c>
      <c r="K11" s="71">
        <f>IF(COUNT(C11,E11,G11,I11)=4,AVERAGE(C11,E11,G11,I11),IF(COUNTIF(C11:J11,"Sin datos")=4,"Sin datos","No definitivo"))</f>
        <v/>
      </c>
      <c r="M11">
        <f>CHOOSE(MONTH(DATE(YEAR(MAX(HistInicio,EDATE(MesCiclo,-5))),MONTH(MAX(HistInicio,EDATE(MesCiclo,-5)))+5,1)),"ene","feb","mar","abr","may","jun","jul","ago","sep","oct","nov","dic")&amp;" "&amp;YEAR(DATE(YEAR(MAX(HistInicio,EDATE(MesCiclo,-5))),MONTH(MAX(HistInicio,EDATE(MesCiclo,-5)))+5,1))</f>
        <v/>
      </c>
      <c r="N11">
        <f>IFERROR(N(INDEX(C6:C29,MATCH(DATE(YEAR(MAX(HistInicio,EDATE(MesCiclo,-5))),MONTH(MAX(HistInicio,EDATE(MesCiclo,-5)))+5,1),B6:B29,0))),0)</f>
        <v/>
      </c>
      <c r="O11">
        <f>IFERROR(N(INDEX(E6:E29,MATCH(DATE(YEAR(MAX(HistInicio,EDATE(MesCiclo,-5))),MONTH(MAX(HistInicio,EDATE(MesCiclo,-5)))+5,1),B6:B29,0))),0)</f>
        <v/>
      </c>
      <c r="P11">
        <f>IFERROR(N(INDEX(G6:G29,MATCH(DATE(YEAR(MAX(HistInicio,EDATE(MesCiclo,-5))),MONTH(MAX(HistInicio,EDATE(MesCiclo,-5)))+5,1),B6:B29,0))),0)</f>
        <v/>
      </c>
      <c r="Q11">
        <f>IFERROR(N(INDEX(I6:I29,MATCH(DATE(YEAR(MAX(HistInicio,EDATE(MesCiclo,-5))),MONTH(MAX(HistInicio,EDATE(MesCiclo,-5)))+5,1),B6:B29,0))),0)</f>
        <v/>
      </c>
    </row>
    <row r="12" ht="20" customHeight="1">
      <c r="B12" s="70">
        <f>DATE(YEAR(HistInicio),MONTH(HistInicio)+6,1)</f>
        <v/>
      </c>
      <c r="C12" s="20">
        <f>IF(COUNTIFS(rMes_RO,$B12,rTipo_RO,"Macro")=0,"Sin datos",IF(ABS(SUMIFS(rPeso_RO,rMes_RO,$B12,rTipo_RO,"Macro")-1)&gt;0.0001,"Pesos ≠ 100%",SUMPRODUCT(--((rMes_RO=$B12)*(rTipo_RO="Macro")),rPeso_RO,rAvance_RO)))</f>
        <v/>
      </c>
      <c r="D12" s="22">
        <f>IF(COUNTIFS(rMes_RO,$B12,rTipo_RO,"Macro")=0,"",COUNTIFS(rEstado_RO,"Completado",rMes_RO,$B12,rTipo_RO,"Macro")&amp;" / "&amp;COUNTIFS(rMes_RO,$B12,rTipo_RO,"Macro"))</f>
        <v/>
      </c>
      <c r="E12" s="20">
        <f>IF(COUNTIFS(rMes_RN,$B12,rTipo_RN,"Macro")=0,"Sin datos",IF(ABS(SUMIFS(rPeso_RN,rMes_RN,$B12,rTipo_RN,"Macro")-1)&gt;0.0001,"Pesos ≠ 100%",SUMPRODUCT(--((rMes_RN=$B12)*(rTipo_RN="Macro")),rPeso_RN,rAvance_RN)))</f>
        <v/>
      </c>
      <c r="F12" s="22">
        <f>IF(COUNTIFS(rMes_RN,$B12,rTipo_RN,"Macro")=0,"",COUNTIFS(rEstado_RN,"Completado",rMes_RN,$B12,rTipo_RN,"Macro")&amp;" / "&amp;COUNTIFS(rMes_RN,$B12,rTipo_RN,"Macro"))</f>
        <v/>
      </c>
      <c r="G12" s="20">
        <f>IF(COUNTIFS(rMes_RF,$B12,rTipo_RF,"Macro")=0,"Sin datos",IF(ABS(SUMIFS(rPeso_RF,rMes_RF,$B12,rTipo_RF,"Macro")-1)&gt;0.0001,"Pesos ≠ 100%",SUMPRODUCT(--((rMes_RF=$B12)*(rTipo_RF="Macro")),rPeso_RF,rAvance_RF)))</f>
        <v/>
      </c>
      <c r="H12" s="22">
        <f>IF(COUNTIFS(rMes_RF,$B12,rTipo_RF,"Macro")=0,"",COUNTIFS(rEstado_RF,"Completado",rMes_RF,$B12,rTipo_RF,"Macro")&amp;" / "&amp;COUNTIFS(rMes_RF,$B12,rTipo_RF,"Macro"))</f>
        <v/>
      </c>
      <c r="I12" s="20">
        <f>IF(COUNTIFS(rMes_ATR,$B12,rTipo_ATR,"Macro")=0,"Sin datos",IF(ABS(SUMIFS(rPeso_ATR,rMes_ATR,$B12,rTipo_ATR,"Macro")-1)&gt;0.0001,"Pesos ≠ 100%",SUMPRODUCT(--((rMes_ATR=$B12)*(rTipo_ATR="Macro")),rPeso_ATR,rAvance_ATR)))</f>
        <v/>
      </c>
      <c r="J12" s="22">
        <f>IF(COUNTIFS(rMes_ATR,$B12,rTipo_ATR,"Macro")=0,"",COUNTIFS(rEstado_ATR,"Completado",rMes_ATR,$B12,rTipo_ATR,"Macro")&amp;" / "&amp;COUNTIFS(rMes_ATR,$B12,rTipo_ATR,"Macro"))</f>
        <v/>
      </c>
      <c r="K12" s="71">
        <f>IF(COUNT(C12,E12,G12,I12)=4,AVERAGE(C12,E12,G12,I12),IF(COUNTIF(C12:J12,"Sin datos")=4,"Sin datos","No definitivo"))</f>
        <v/>
      </c>
    </row>
    <row r="13" ht="20" customHeight="1">
      <c r="B13" s="70">
        <f>DATE(YEAR(HistInicio),MONTH(HistInicio)+7,1)</f>
        <v/>
      </c>
      <c r="C13" s="20">
        <f>IF(COUNTIFS(rMes_RO,$B13,rTipo_RO,"Macro")=0,"Sin datos",IF(ABS(SUMIFS(rPeso_RO,rMes_RO,$B13,rTipo_RO,"Macro")-1)&gt;0.0001,"Pesos ≠ 100%",SUMPRODUCT(--((rMes_RO=$B13)*(rTipo_RO="Macro")),rPeso_RO,rAvance_RO)))</f>
        <v/>
      </c>
      <c r="D13" s="22">
        <f>IF(COUNTIFS(rMes_RO,$B13,rTipo_RO,"Macro")=0,"",COUNTIFS(rEstado_RO,"Completado",rMes_RO,$B13,rTipo_RO,"Macro")&amp;" / "&amp;COUNTIFS(rMes_RO,$B13,rTipo_RO,"Macro"))</f>
        <v/>
      </c>
      <c r="E13" s="20">
        <f>IF(COUNTIFS(rMes_RN,$B13,rTipo_RN,"Macro")=0,"Sin datos",IF(ABS(SUMIFS(rPeso_RN,rMes_RN,$B13,rTipo_RN,"Macro")-1)&gt;0.0001,"Pesos ≠ 100%",SUMPRODUCT(--((rMes_RN=$B13)*(rTipo_RN="Macro")),rPeso_RN,rAvance_RN)))</f>
        <v/>
      </c>
      <c r="F13" s="22">
        <f>IF(COUNTIFS(rMes_RN,$B13,rTipo_RN,"Macro")=0,"",COUNTIFS(rEstado_RN,"Completado",rMes_RN,$B13,rTipo_RN,"Macro")&amp;" / "&amp;COUNTIFS(rMes_RN,$B13,rTipo_RN,"Macro"))</f>
        <v/>
      </c>
      <c r="G13" s="20">
        <f>IF(COUNTIFS(rMes_RF,$B13,rTipo_RF,"Macro")=0,"Sin datos",IF(ABS(SUMIFS(rPeso_RF,rMes_RF,$B13,rTipo_RF,"Macro")-1)&gt;0.0001,"Pesos ≠ 100%",SUMPRODUCT(--((rMes_RF=$B13)*(rTipo_RF="Macro")),rPeso_RF,rAvance_RF)))</f>
        <v/>
      </c>
      <c r="H13" s="22">
        <f>IF(COUNTIFS(rMes_RF,$B13,rTipo_RF,"Macro")=0,"",COUNTIFS(rEstado_RF,"Completado",rMes_RF,$B13,rTipo_RF,"Macro")&amp;" / "&amp;COUNTIFS(rMes_RF,$B13,rTipo_RF,"Macro"))</f>
        <v/>
      </c>
      <c r="I13" s="20">
        <f>IF(COUNTIFS(rMes_ATR,$B13,rTipo_ATR,"Macro")=0,"Sin datos",IF(ABS(SUMIFS(rPeso_ATR,rMes_ATR,$B13,rTipo_ATR,"Macro")-1)&gt;0.0001,"Pesos ≠ 100%",SUMPRODUCT(--((rMes_ATR=$B13)*(rTipo_ATR="Macro")),rPeso_ATR,rAvance_ATR)))</f>
        <v/>
      </c>
      <c r="J13" s="22">
        <f>IF(COUNTIFS(rMes_ATR,$B13,rTipo_ATR,"Macro")=0,"",COUNTIFS(rEstado_ATR,"Completado",rMes_ATR,$B13,rTipo_ATR,"Macro")&amp;" / "&amp;COUNTIFS(rMes_ATR,$B13,rTipo_ATR,"Macro"))</f>
        <v/>
      </c>
      <c r="K13" s="71">
        <f>IF(COUNT(C13,E13,G13,I13)=4,AVERAGE(C13,E13,G13,I13),IF(COUNTIF(C13:J13,"Sin datos")=4,"Sin datos","No definitivo"))</f>
        <v/>
      </c>
    </row>
    <row r="14" ht="20" customHeight="1">
      <c r="B14" s="70">
        <f>DATE(YEAR(HistInicio),MONTH(HistInicio)+8,1)</f>
        <v/>
      </c>
      <c r="C14" s="20">
        <f>IF(COUNTIFS(rMes_RO,$B14,rTipo_RO,"Macro")=0,"Sin datos",IF(ABS(SUMIFS(rPeso_RO,rMes_RO,$B14,rTipo_RO,"Macro")-1)&gt;0.0001,"Pesos ≠ 100%",SUMPRODUCT(--((rMes_RO=$B14)*(rTipo_RO="Macro")),rPeso_RO,rAvance_RO)))</f>
        <v/>
      </c>
      <c r="D14" s="22">
        <f>IF(COUNTIFS(rMes_RO,$B14,rTipo_RO,"Macro")=0,"",COUNTIFS(rEstado_RO,"Completado",rMes_RO,$B14,rTipo_RO,"Macro")&amp;" / "&amp;COUNTIFS(rMes_RO,$B14,rTipo_RO,"Macro"))</f>
        <v/>
      </c>
      <c r="E14" s="20">
        <f>IF(COUNTIFS(rMes_RN,$B14,rTipo_RN,"Macro")=0,"Sin datos",IF(ABS(SUMIFS(rPeso_RN,rMes_RN,$B14,rTipo_RN,"Macro")-1)&gt;0.0001,"Pesos ≠ 100%",SUMPRODUCT(--((rMes_RN=$B14)*(rTipo_RN="Macro")),rPeso_RN,rAvance_RN)))</f>
        <v/>
      </c>
      <c r="F14" s="22">
        <f>IF(COUNTIFS(rMes_RN,$B14,rTipo_RN,"Macro")=0,"",COUNTIFS(rEstado_RN,"Completado",rMes_RN,$B14,rTipo_RN,"Macro")&amp;" / "&amp;COUNTIFS(rMes_RN,$B14,rTipo_RN,"Macro"))</f>
        <v/>
      </c>
      <c r="G14" s="20">
        <f>IF(COUNTIFS(rMes_RF,$B14,rTipo_RF,"Macro")=0,"Sin datos",IF(ABS(SUMIFS(rPeso_RF,rMes_RF,$B14,rTipo_RF,"Macro")-1)&gt;0.0001,"Pesos ≠ 100%",SUMPRODUCT(--((rMes_RF=$B14)*(rTipo_RF="Macro")),rPeso_RF,rAvance_RF)))</f>
        <v/>
      </c>
      <c r="H14" s="22">
        <f>IF(COUNTIFS(rMes_RF,$B14,rTipo_RF,"Macro")=0,"",COUNTIFS(rEstado_RF,"Completado",rMes_RF,$B14,rTipo_RF,"Macro")&amp;" / "&amp;COUNTIFS(rMes_RF,$B14,rTipo_RF,"Macro"))</f>
        <v/>
      </c>
      <c r="I14" s="20">
        <f>IF(COUNTIFS(rMes_ATR,$B14,rTipo_ATR,"Macro")=0,"Sin datos",IF(ABS(SUMIFS(rPeso_ATR,rMes_ATR,$B14,rTipo_ATR,"Macro")-1)&gt;0.0001,"Pesos ≠ 100%",SUMPRODUCT(--((rMes_ATR=$B14)*(rTipo_ATR="Macro")),rPeso_ATR,rAvance_ATR)))</f>
        <v/>
      </c>
      <c r="J14" s="22">
        <f>IF(COUNTIFS(rMes_ATR,$B14,rTipo_ATR,"Macro")=0,"",COUNTIFS(rEstado_ATR,"Completado",rMes_ATR,$B14,rTipo_ATR,"Macro")&amp;" / "&amp;COUNTIFS(rMes_ATR,$B14,rTipo_ATR,"Macro"))</f>
        <v/>
      </c>
      <c r="K14" s="71">
        <f>IF(COUNT(C14,E14,G14,I14)=4,AVERAGE(C14,E14,G14,I14),IF(COUNTIF(C14:J14,"Sin datos")=4,"Sin datos","No definitivo"))</f>
        <v/>
      </c>
    </row>
    <row r="15" ht="20" customHeight="1">
      <c r="B15" s="70">
        <f>DATE(YEAR(HistInicio),MONTH(HistInicio)+9,1)</f>
        <v/>
      </c>
      <c r="C15" s="20">
        <f>IF(COUNTIFS(rMes_RO,$B15,rTipo_RO,"Macro")=0,"Sin datos",IF(ABS(SUMIFS(rPeso_RO,rMes_RO,$B15,rTipo_RO,"Macro")-1)&gt;0.0001,"Pesos ≠ 100%",SUMPRODUCT(--((rMes_RO=$B15)*(rTipo_RO="Macro")),rPeso_RO,rAvance_RO)))</f>
        <v/>
      </c>
      <c r="D15" s="22">
        <f>IF(COUNTIFS(rMes_RO,$B15,rTipo_RO,"Macro")=0,"",COUNTIFS(rEstado_RO,"Completado",rMes_RO,$B15,rTipo_RO,"Macro")&amp;" / "&amp;COUNTIFS(rMes_RO,$B15,rTipo_RO,"Macro"))</f>
        <v/>
      </c>
      <c r="E15" s="20">
        <f>IF(COUNTIFS(rMes_RN,$B15,rTipo_RN,"Macro")=0,"Sin datos",IF(ABS(SUMIFS(rPeso_RN,rMes_RN,$B15,rTipo_RN,"Macro")-1)&gt;0.0001,"Pesos ≠ 100%",SUMPRODUCT(--((rMes_RN=$B15)*(rTipo_RN="Macro")),rPeso_RN,rAvance_RN)))</f>
        <v/>
      </c>
      <c r="F15" s="22">
        <f>IF(COUNTIFS(rMes_RN,$B15,rTipo_RN,"Macro")=0,"",COUNTIFS(rEstado_RN,"Completado",rMes_RN,$B15,rTipo_RN,"Macro")&amp;" / "&amp;COUNTIFS(rMes_RN,$B15,rTipo_RN,"Macro"))</f>
        <v/>
      </c>
      <c r="G15" s="20">
        <f>IF(COUNTIFS(rMes_RF,$B15,rTipo_RF,"Macro")=0,"Sin datos",IF(ABS(SUMIFS(rPeso_RF,rMes_RF,$B15,rTipo_RF,"Macro")-1)&gt;0.0001,"Pesos ≠ 100%",SUMPRODUCT(--((rMes_RF=$B15)*(rTipo_RF="Macro")),rPeso_RF,rAvance_RF)))</f>
        <v/>
      </c>
      <c r="H15" s="22">
        <f>IF(COUNTIFS(rMes_RF,$B15,rTipo_RF,"Macro")=0,"",COUNTIFS(rEstado_RF,"Completado",rMes_RF,$B15,rTipo_RF,"Macro")&amp;" / "&amp;COUNTIFS(rMes_RF,$B15,rTipo_RF,"Macro"))</f>
        <v/>
      </c>
      <c r="I15" s="20">
        <f>IF(COUNTIFS(rMes_ATR,$B15,rTipo_ATR,"Macro")=0,"Sin datos",IF(ABS(SUMIFS(rPeso_ATR,rMes_ATR,$B15,rTipo_ATR,"Macro")-1)&gt;0.0001,"Pesos ≠ 100%",SUMPRODUCT(--((rMes_ATR=$B15)*(rTipo_ATR="Macro")),rPeso_ATR,rAvance_ATR)))</f>
        <v/>
      </c>
      <c r="J15" s="22">
        <f>IF(COUNTIFS(rMes_ATR,$B15,rTipo_ATR,"Macro")=0,"",COUNTIFS(rEstado_ATR,"Completado",rMes_ATR,$B15,rTipo_ATR,"Macro")&amp;" / "&amp;COUNTIFS(rMes_ATR,$B15,rTipo_ATR,"Macro"))</f>
        <v/>
      </c>
      <c r="K15" s="71">
        <f>IF(COUNT(C15,E15,G15,I15)=4,AVERAGE(C15,E15,G15,I15),IF(COUNTIF(C15:J15,"Sin datos")=4,"Sin datos","No definitivo"))</f>
        <v/>
      </c>
    </row>
    <row r="16" ht="20" customHeight="1">
      <c r="B16" s="70">
        <f>DATE(YEAR(HistInicio),MONTH(HistInicio)+10,1)</f>
        <v/>
      </c>
      <c r="C16" s="20">
        <f>IF(COUNTIFS(rMes_RO,$B16,rTipo_RO,"Macro")=0,"Sin datos",IF(ABS(SUMIFS(rPeso_RO,rMes_RO,$B16,rTipo_RO,"Macro")-1)&gt;0.0001,"Pesos ≠ 100%",SUMPRODUCT(--((rMes_RO=$B16)*(rTipo_RO="Macro")),rPeso_RO,rAvance_RO)))</f>
        <v/>
      </c>
      <c r="D16" s="22">
        <f>IF(COUNTIFS(rMes_RO,$B16,rTipo_RO,"Macro")=0,"",COUNTIFS(rEstado_RO,"Completado",rMes_RO,$B16,rTipo_RO,"Macro")&amp;" / "&amp;COUNTIFS(rMes_RO,$B16,rTipo_RO,"Macro"))</f>
        <v/>
      </c>
      <c r="E16" s="20">
        <f>IF(COUNTIFS(rMes_RN,$B16,rTipo_RN,"Macro")=0,"Sin datos",IF(ABS(SUMIFS(rPeso_RN,rMes_RN,$B16,rTipo_RN,"Macro")-1)&gt;0.0001,"Pesos ≠ 100%",SUMPRODUCT(--((rMes_RN=$B16)*(rTipo_RN="Macro")),rPeso_RN,rAvance_RN)))</f>
        <v/>
      </c>
      <c r="F16" s="22">
        <f>IF(COUNTIFS(rMes_RN,$B16,rTipo_RN,"Macro")=0,"",COUNTIFS(rEstado_RN,"Completado",rMes_RN,$B16,rTipo_RN,"Macro")&amp;" / "&amp;COUNTIFS(rMes_RN,$B16,rTipo_RN,"Macro"))</f>
        <v/>
      </c>
      <c r="G16" s="20">
        <f>IF(COUNTIFS(rMes_RF,$B16,rTipo_RF,"Macro")=0,"Sin datos",IF(ABS(SUMIFS(rPeso_RF,rMes_RF,$B16,rTipo_RF,"Macro")-1)&gt;0.0001,"Pesos ≠ 100%",SUMPRODUCT(--((rMes_RF=$B16)*(rTipo_RF="Macro")),rPeso_RF,rAvance_RF)))</f>
        <v/>
      </c>
      <c r="H16" s="22">
        <f>IF(COUNTIFS(rMes_RF,$B16,rTipo_RF,"Macro")=0,"",COUNTIFS(rEstado_RF,"Completado",rMes_RF,$B16,rTipo_RF,"Macro")&amp;" / "&amp;COUNTIFS(rMes_RF,$B16,rTipo_RF,"Macro"))</f>
        <v/>
      </c>
      <c r="I16" s="20">
        <f>IF(COUNTIFS(rMes_ATR,$B16,rTipo_ATR,"Macro")=0,"Sin datos",IF(ABS(SUMIFS(rPeso_ATR,rMes_ATR,$B16,rTipo_ATR,"Macro")-1)&gt;0.0001,"Pesos ≠ 100%",SUMPRODUCT(--((rMes_ATR=$B16)*(rTipo_ATR="Macro")),rPeso_ATR,rAvance_ATR)))</f>
        <v/>
      </c>
      <c r="J16" s="22">
        <f>IF(COUNTIFS(rMes_ATR,$B16,rTipo_ATR,"Macro")=0,"",COUNTIFS(rEstado_ATR,"Completado",rMes_ATR,$B16,rTipo_ATR,"Macro")&amp;" / "&amp;COUNTIFS(rMes_ATR,$B16,rTipo_ATR,"Macro"))</f>
        <v/>
      </c>
      <c r="K16" s="71">
        <f>IF(COUNT(C16,E16,G16,I16)=4,AVERAGE(C16,E16,G16,I16),IF(COUNTIF(C16:J16,"Sin datos")=4,"Sin datos","No definitivo"))</f>
        <v/>
      </c>
    </row>
    <row r="17" ht="20" customHeight="1">
      <c r="B17" s="70">
        <f>DATE(YEAR(HistInicio),MONTH(HistInicio)+11,1)</f>
        <v/>
      </c>
      <c r="C17" s="20">
        <f>IF(COUNTIFS(rMes_RO,$B17,rTipo_RO,"Macro")=0,"Sin datos",IF(ABS(SUMIFS(rPeso_RO,rMes_RO,$B17,rTipo_RO,"Macro")-1)&gt;0.0001,"Pesos ≠ 100%",SUMPRODUCT(--((rMes_RO=$B17)*(rTipo_RO="Macro")),rPeso_RO,rAvance_RO)))</f>
        <v/>
      </c>
      <c r="D17" s="22">
        <f>IF(COUNTIFS(rMes_RO,$B17,rTipo_RO,"Macro")=0,"",COUNTIFS(rEstado_RO,"Completado",rMes_RO,$B17,rTipo_RO,"Macro")&amp;" / "&amp;COUNTIFS(rMes_RO,$B17,rTipo_RO,"Macro"))</f>
        <v/>
      </c>
      <c r="E17" s="20">
        <f>IF(COUNTIFS(rMes_RN,$B17,rTipo_RN,"Macro")=0,"Sin datos",IF(ABS(SUMIFS(rPeso_RN,rMes_RN,$B17,rTipo_RN,"Macro")-1)&gt;0.0001,"Pesos ≠ 100%",SUMPRODUCT(--((rMes_RN=$B17)*(rTipo_RN="Macro")),rPeso_RN,rAvance_RN)))</f>
        <v/>
      </c>
      <c r="F17" s="22">
        <f>IF(COUNTIFS(rMes_RN,$B17,rTipo_RN,"Macro")=0,"",COUNTIFS(rEstado_RN,"Completado",rMes_RN,$B17,rTipo_RN,"Macro")&amp;" / "&amp;COUNTIFS(rMes_RN,$B17,rTipo_RN,"Macro"))</f>
        <v/>
      </c>
      <c r="G17" s="20">
        <f>IF(COUNTIFS(rMes_RF,$B17,rTipo_RF,"Macro")=0,"Sin datos",IF(ABS(SUMIFS(rPeso_RF,rMes_RF,$B17,rTipo_RF,"Macro")-1)&gt;0.0001,"Pesos ≠ 100%",SUMPRODUCT(--((rMes_RF=$B17)*(rTipo_RF="Macro")),rPeso_RF,rAvance_RF)))</f>
        <v/>
      </c>
      <c r="H17" s="22">
        <f>IF(COUNTIFS(rMes_RF,$B17,rTipo_RF,"Macro")=0,"",COUNTIFS(rEstado_RF,"Completado",rMes_RF,$B17,rTipo_RF,"Macro")&amp;" / "&amp;COUNTIFS(rMes_RF,$B17,rTipo_RF,"Macro"))</f>
        <v/>
      </c>
      <c r="I17" s="20">
        <f>IF(COUNTIFS(rMes_ATR,$B17,rTipo_ATR,"Macro")=0,"Sin datos",IF(ABS(SUMIFS(rPeso_ATR,rMes_ATR,$B17,rTipo_ATR,"Macro")-1)&gt;0.0001,"Pesos ≠ 100%",SUMPRODUCT(--((rMes_ATR=$B17)*(rTipo_ATR="Macro")),rPeso_ATR,rAvance_ATR)))</f>
        <v/>
      </c>
      <c r="J17" s="22">
        <f>IF(COUNTIFS(rMes_ATR,$B17,rTipo_ATR,"Macro")=0,"",COUNTIFS(rEstado_ATR,"Completado",rMes_ATR,$B17,rTipo_ATR,"Macro")&amp;" / "&amp;COUNTIFS(rMes_ATR,$B17,rTipo_ATR,"Macro"))</f>
        <v/>
      </c>
      <c r="K17" s="71">
        <f>IF(COUNT(C17,E17,G17,I17)=4,AVERAGE(C17,E17,G17,I17),IF(COUNTIF(C17:J17,"Sin datos")=4,"Sin datos","No definitivo"))</f>
        <v/>
      </c>
    </row>
    <row r="18" ht="20" customHeight="1">
      <c r="B18" s="70">
        <f>DATE(YEAR(HistInicio),MONTH(HistInicio)+12,1)</f>
        <v/>
      </c>
      <c r="C18" s="20">
        <f>IF(COUNTIFS(rMes_RO,$B18,rTipo_RO,"Macro")=0,"Sin datos",IF(ABS(SUMIFS(rPeso_RO,rMes_RO,$B18,rTipo_RO,"Macro")-1)&gt;0.0001,"Pesos ≠ 100%",SUMPRODUCT(--((rMes_RO=$B18)*(rTipo_RO="Macro")),rPeso_RO,rAvance_RO)))</f>
        <v/>
      </c>
      <c r="D18" s="22">
        <f>IF(COUNTIFS(rMes_RO,$B18,rTipo_RO,"Macro")=0,"",COUNTIFS(rEstado_RO,"Completado",rMes_RO,$B18,rTipo_RO,"Macro")&amp;" / "&amp;COUNTIFS(rMes_RO,$B18,rTipo_RO,"Macro"))</f>
        <v/>
      </c>
      <c r="E18" s="20">
        <f>IF(COUNTIFS(rMes_RN,$B18,rTipo_RN,"Macro")=0,"Sin datos",IF(ABS(SUMIFS(rPeso_RN,rMes_RN,$B18,rTipo_RN,"Macro")-1)&gt;0.0001,"Pesos ≠ 100%",SUMPRODUCT(--((rMes_RN=$B18)*(rTipo_RN="Macro")),rPeso_RN,rAvance_RN)))</f>
        <v/>
      </c>
      <c r="F18" s="22">
        <f>IF(COUNTIFS(rMes_RN,$B18,rTipo_RN,"Macro")=0,"",COUNTIFS(rEstado_RN,"Completado",rMes_RN,$B18,rTipo_RN,"Macro")&amp;" / "&amp;COUNTIFS(rMes_RN,$B18,rTipo_RN,"Macro"))</f>
        <v/>
      </c>
      <c r="G18" s="20">
        <f>IF(COUNTIFS(rMes_RF,$B18,rTipo_RF,"Macro")=0,"Sin datos",IF(ABS(SUMIFS(rPeso_RF,rMes_RF,$B18,rTipo_RF,"Macro")-1)&gt;0.0001,"Pesos ≠ 100%",SUMPRODUCT(--((rMes_RF=$B18)*(rTipo_RF="Macro")),rPeso_RF,rAvance_RF)))</f>
        <v/>
      </c>
      <c r="H18" s="22">
        <f>IF(COUNTIFS(rMes_RF,$B18,rTipo_RF,"Macro")=0,"",COUNTIFS(rEstado_RF,"Completado",rMes_RF,$B18,rTipo_RF,"Macro")&amp;" / "&amp;COUNTIFS(rMes_RF,$B18,rTipo_RF,"Macro"))</f>
        <v/>
      </c>
      <c r="I18" s="20">
        <f>IF(COUNTIFS(rMes_ATR,$B18,rTipo_ATR,"Macro")=0,"Sin datos",IF(ABS(SUMIFS(rPeso_ATR,rMes_ATR,$B18,rTipo_ATR,"Macro")-1)&gt;0.0001,"Pesos ≠ 100%",SUMPRODUCT(--((rMes_ATR=$B18)*(rTipo_ATR="Macro")),rPeso_ATR,rAvance_ATR)))</f>
        <v/>
      </c>
      <c r="J18" s="22">
        <f>IF(COUNTIFS(rMes_ATR,$B18,rTipo_ATR,"Macro")=0,"",COUNTIFS(rEstado_ATR,"Completado",rMes_ATR,$B18,rTipo_ATR,"Macro")&amp;" / "&amp;COUNTIFS(rMes_ATR,$B18,rTipo_ATR,"Macro"))</f>
        <v/>
      </c>
      <c r="K18" s="71">
        <f>IF(COUNT(C18,E18,G18,I18)=4,AVERAGE(C18,E18,G18,I18),IF(COUNTIF(C18:J18,"Sin datos")=4,"Sin datos","No definitivo"))</f>
        <v/>
      </c>
    </row>
    <row r="19" ht="20" customHeight="1">
      <c r="B19" s="70">
        <f>DATE(YEAR(HistInicio),MONTH(HistInicio)+13,1)</f>
        <v/>
      </c>
      <c r="C19" s="20">
        <f>IF(COUNTIFS(rMes_RO,$B19,rTipo_RO,"Macro")=0,"Sin datos",IF(ABS(SUMIFS(rPeso_RO,rMes_RO,$B19,rTipo_RO,"Macro")-1)&gt;0.0001,"Pesos ≠ 100%",SUMPRODUCT(--((rMes_RO=$B19)*(rTipo_RO="Macro")),rPeso_RO,rAvance_RO)))</f>
        <v/>
      </c>
      <c r="D19" s="22">
        <f>IF(COUNTIFS(rMes_RO,$B19,rTipo_RO,"Macro")=0,"",COUNTIFS(rEstado_RO,"Completado",rMes_RO,$B19,rTipo_RO,"Macro")&amp;" / "&amp;COUNTIFS(rMes_RO,$B19,rTipo_RO,"Macro"))</f>
        <v/>
      </c>
      <c r="E19" s="20">
        <f>IF(COUNTIFS(rMes_RN,$B19,rTipo_RN,"Macro")=0,"Sin datos",IF(ABS(SUMIFS(rPeso_RN,rMes_RN,$B19,rTipo_RN,"Macro")-1)&gt;0.0001,"Pesos ≠ 100%",SUMPRODUCT(--((rMes_RN=$B19)*(rTipo_RN="Macro")),rPeso_RN,rAvance_RN)))</f>
        <v/>
      </c>
      <c r="F19" s="22">
        <f>IF(COUNTIFS(rMes_RN,$B19,rTipo_RN,"Macro")=0,"",COUNTIFS(rEstado_RN,"Completado",rMes_RN,$B19,rTipo_RN,"Macro")&amp;" / "&amp;COUNTIFS(rMes_RN,$B19,rTipo_RN,"Macro"))</f>
        <v/>
      </c>
      <c r="G19" s="20">
        <f>IF(COUNTIFS(rMes_RF,$B19,rTipo_RF,"Macro")=0,"Sin datos",IF(ABS(SUMIFS(rPeso_RF,rMes_RF,$B19,rTipo_RF,"Macro")-1)&gt;0.0001,"Pesos ≠ 100%",SUMPRODUCT(--((rMes_RF=$B19)*(rTipo_RF="Macro")),rPeso_RF,rAvance_RF)))</f>
        <v/>
      </c>
      <c r="H19" s="22">
        <f>IF(COUNTIFS(rMes_RF,$B19,rTipo_RF,"Macro")=0,"",COUNTIFS(rEstado_RF,"Completado",rMes_RF,$B19,rTipo_RF,"Macro")&amp;" / "&amp;COUNTIFS(rMes_RF,$B19,rTipo_RF,"Macro"))</f>
        <v/>
      </c>
      <c r="I19" s="20">
        <f>IF(COUNTIFS(rMes_ATR,$B19,rTipo_ATR,"Macro")=0,"Sin datos",IF(ABS(SUMIFS(rPeso_ATR,rMes_ATR,$B19,rTipo_ATR,"Macro")-1)&gt;0.0001,"Pesos ≠ 100%",SUMPRODUCT(--((rMes_ATR=$B19)*(rTipo_ATR="Macro")),rPeso_ATR,rAvance_ATR)))</f>
        <v/>
      </c>
      <c r="J19" s="22">
        <f>IF(COUNTIFS(rMes_ATR,$B19,rTipo_ATR,"Macro")=0,"",COUNTIFS(rEstado_ATR,"Completado",rMes_ATR,$B19,rTipo_ATR,"Macro")&amp;" / "&amp;COUNTIFS(rMes_ATR,$B19,rTipo_ATR,"Macro"))</f>
        <v/>
      </c>
      <c r="K19" s="71">
        <f>IF(COUNT(C19,E19,G19,I19)=4,AVERAGE(C19,E19,G19,I19),IF(COUNTIF(C19:J19,"Sin datos")=4,"Sin datos","No definitivo"))</f>
        <v/>
      </c>
    </row>
    <row r="20" ht="20" customHeight="1">
      <c r="B20" s="70">
        <f>DATE(YEAR(HistInicio),MONTH(HistInicio)+14,1)</f>
        <v/>
      </c>
      <c r="C20" s="20">
        <f>IF(COUNTIFS(rMes_RO,$B20,rTipo_RO,"Macro")=0,"Sin datos",IF(ABS(SUMIFS(rPeso_RO,rMes_RO,$B20,rTipo_RO,"Macro")-1)&gt;0.0001,"Pesos ≠ 100%",SUMPRODUCT(--((rMes_RO=$B20)*(rTipo_RO="Macro")),rPeso_RO,rAvance_RO)))</f>
        <v/>
      </c>
      <c r="D20" s="22">
        <f>IF(COUNTIFS(rMes_RO,$B20,rTipo_RO,"Macro")=0,"",COUNTIFS(rEstado_RO,"Completado",rMes_RO,$B20,rTipo_RO,"Macro")&amp;" / "&amp;COUNTIFS(rMes_RO,$B20,rTipo_RO,"Macro"))</f>
        <v/>
      </c>
      <c r="E20" s="20">
        <f>IF(COUNTIFS(rMes_RN,$B20,rTipo_RN,"Macro")=0,"Sin datos",IF(ABS(SUMIFS(rPeso_RN,rMes_RN,$B20,rTipo_RN,"Macro")-1)&gt;0.0001,"Pesos ≠ 100%",SUMPRODUCT(--((rMes_RN=$B20)*(rTipo_RN="Macro")),rPeso_RN,rAvance_RN)))</f>
        <v/>
      </c>
      <c r="F20" s="22">
        <f>IF(COUNTIFS(rMes_RN,$B20,rTipo_RN,"Macro")=0,"",COUNTIFS(rEstado_RN,"Completado",rMes_RN,$B20,rTipo_RN,"Macro")&amp;" / "&amp;COUNTIFS(rMes_RN,$B20,rTipo_RN,"Macro"))</f>
        <v/>
      </c>
      <c r="G20" s="20">
        <f>IF(COUNTIFS(rMes_RF,$B20,rTipo_RF,"Macro")=0,"Sin datos",IF(ABS(SUMIFS(rPeso_RF,rMes_RF,$B20,rTipo_RF,"Macro")-1)&gt;0.0001,"Pesos ≠ 100%",SUMPRODUCT(--((rMes_RF=$B20)*(rTipo_RF="Macro")),rPeso_RF,rAvance_RF)))</f>
        <v/>
      </c>
      <c r="H20" s="22">
        <f>IF(COUNTIFS(rMes_RF,$B20,rTipo_RF,"Macro")=0,"",COUNTIFS(rEstado_RF,"Completado",rMes_RF,$B20,rTipo_RF,"Macro")&amp;" / "&amp;COUNTIFS(rMes_RF,$B20,rTipo_RF,"Macro"))</f>
        <v/>
      </c>
      <c r="I20" s="20">
        <f>IF(COUNTIFS(rMes_ATR,$B20,rTipo_ATR,"Macro")=0,"Sin datos",IF(ABS(SUMIFS(rPeso_ATR,rMes_ATR,$B20,rTipo_ATR,"Macro")-1)&gt;0.0001,"Pesos ≠ 100%",SUMPRODUCT(--((rMes_ATR=$B20)*(rTipo_ATR="Macro")),rPeso_ATR,rAvance_ATR)))</f>
        <v/>
      </c>
      <c r="J20" s="22">
        <f>IF(COUNTIFS(rMes_ATR,$B20,rTipo_ATR,"Macro")=0,"",COUNTIFS(rEstado_ATR,"Completado",rMes_ATR,$B20,rTipo_ATR,"Macro")&amp;" / "&amp;COUNTIFS(rMes_ATR,$B20,rTipo_ATR,"Macro"))</f>
        <v/>
      </c>
      <c r="K20" s="71">
        <f>IF(COUNT(C20,E20,G20,I20)=4,AVERAGE(C20,E20,G20,I20),IF(COUNTIF(C20:J20,"Sin datos")=4,"Sin datos","No definitivo"))</f>
        <v/>
      </c>
    </row>
    <row r="21" ht="20" customHeight="1">
      <c r="B21" s="70">
        <f>DATE(YEAR(HistInicio),MONTH(HistInicio)+15,1)</f>
        <v/>
      </c>
      <c r="C21" s="20">
        <f>IF(COUNTIFS(rMes_RO,$B21,rTipo_RO,"Macro")=0,"Sin datos",IF(ABS(SUMIFS(rPeso_RO,rMes_RO,$B21,rTipo_RO,"Macro")-1)&gt;0.0001,"Pesos ≠ 100%",SUMPRODUCT(--((rMes_RO=$B21)*(rTipo_RO="Macro")),rPeso_RO,rAvance_RO)))</f>
        <v/>
      </c>
      <c r="D21" s="22">
        <f>IF(COUNTIFS(rMes_RO,$B21,rTipo_RO,"Macro")=0,"",COUNTIFS(rEstado_RO,"Completado",rMes_RO,$B21,rTipo_RO,"Macro")&amp;" / "&amp;COUNTIFS(rMes_RO,$B21,rTipo_RO,"Macro"))</f>
        <v/>
      </c>
      <c r="E21" s="20">
        <f>IF(COUNTIFS(rMes_RN,$B21,rTipo_RN,"Macro")=0,"Sin datos",IF(ABS(SUMIFS(rPeso_RN,rMes_RN,$B21,rTipo_RN,"Macro")-1)&gt;0.0001,"Pesos ≠ 100%",SUMPRODUCT(--((rMes_RN=$B21)*(rTipo_RN="Macro")),rPeso_RN,rAvance_RN)))</f>
        <v/>
      </c>
      <c r="F21" s="22">
        <f>IF(COUNTIFS(rMes_RN,$B21,rTipo_RN,"Macro")=0,"",COUNTIFS(rEstado_RN,"Completado",rMes_RN,$B21,rTipo_RN,"Macro")&amp;" / "&amp;COUNTIFS(rMes_RN,$B21,rTipo_RN,"Macro"))</f>
        <v/>
      </c>
      <c r="G21" s="20">
        <f>IF(COUNTIFS(rMes_RF,$B21,rTipo_RF,"Macro")=0,"Sin datos",IF(ABS(SUMIFS(rPeso_RF,rMes_RF,$B21,rTipo_RF,"Macro")-1)&gt;0.0001,"Pesos ≠ 100%",SUMPRODUCT(--((rMes_RF=$B21)*(rTipo_RF="Macro")),rPeso_RF,rAvance_RF)))</f>
        <v/>
      </c>
      <c r="H21" s="22">
        <f>IF(COUNTIFS(rMes_RF,$B21,rTipo_RF,"Macro")=0,"",COUNTIFS(rEstado_RF,"Completado",rMes_RF,$B21,rTipo_RF,"Macro")&amp;" / "&amp;COUNTIFS(rMes_RF,$B21,rTipo_RF,"Macro"))</f>
        <v/>
      </c>
      <c r="I21" s="20">
        <f>IF(COUNTIFS(rMes_ATR,$B21,rTipo_ATR,"Macro")=0,"Sin datos",IF(ABS(SUMIFS(rPeso_ATR,rMes_ATR,$B21,rTipo_ATR,"Macro")-1)&gt;0.0001,"Pesos ≠ 100%",SUMPRODUCT(--((rMes_ATR=$B21)*(rTipo_ATR="Macro")),rPeso_ATR,rAvance_ATR)))</f>
        <v/>
      </c>
      <c r="J21" s="22">
        <f>IF(COUNTIFS(rMes_ATR,$B21,rTipo_ATR,"Macro")=0,"",COUNTIFS(rEstado_ATR,"Completado",rMes_ATR,$B21,rTipo_ATR,"Macro")&amp;" / "&amp;COUNTIFS(rMes_ATR,$B21,rTipo_ATR,"Macro"))</f>
        <v/>
      </c>
      <c r="K21" s="71">
        <f>IF(COUNT(C21,E21,G21,I21)=4,AVERAGE(C21,E21,G21,I21),IF(COUNTIF(C21:J21,"Sin datos")=4,"Sin datos","No definitivo"))</f>
        <v/>
      </c>
    </row>
    <row r="22" ht="20" customHeight="1">
      <c r="B22" s="70">
        <f>DATE(YEAR(HistInicio),MONTH(HistInicio)+16,1)</f>
        <v/>
      </c>
      <c r="C22" s="20">
        <f>IF(COUNTIFS(rMes_RO,$B22,rTipo_RO,"Macro")=0,"Sin datos",IF(ABS(SUMIFS(rPeso_RO,rMes_RO,$B22,rTipo_RO,"Macro")-1)&gt;0.0001,"Pesos ≠ 100%",SUMPRODUCT(--((rMes_RO=$B22)*(rTipo_RO="Macro")),rPeso_RO,rAvance_RO)))</f>
        <v/>
      </c>
      <c r="D22" s="22">
        <f>IF(COUNTIFS(rMes_RO,$B22,rTipo_RO,"Macro")=0,"",COUNTIFS(rEstado_RO,"Completado",rMes_RO,$B22,rTipo_RO,"Macro")&amp;" / "&amp;COUNTIFS(rMes_RO,$B22,rTipo_RO,"Macro"))</f>
        <v/>
      </c>
      <c r="E22" s="20">
        <f>IF(COUNTIFS(rMes_RN,$B22,rTipo_RN,"Macro")=0,"Sin datos",IF(ABS(SUMIFS(rPeso_RN,rMes_RN,$B22,rTipo_RN,"Macro")-1)&gt;0.0001,"Pesos ≠ 100%",SUMPRODUCT(--((rMes_RN=$B22)*(rTipo_RN="Macro")),rPeso_RN,rAvance_RN)))</f>
        <v/>
      </c>
      <c r="F22" s="22">
        <f>IF(COUNTIFS(rMes_RN,$B22,rTipo_RN,"Macro")=0,"",COUNTIFS(rEstado_RN,"Completado",rMes_RN,$B22,rTipo_RN,"Macro")&amp;" / "&amp;COUNTIFS(rMes_RN,$B22,rTipo_RN,"Macro"))</f>
        <v/>
      </c>
      <c r="G22" s="20">
        <f>IF(COUNTIFS(rMes_RF,$B22,rTipo_RF,"Macro")=0,"Sin datos",IF(ABS(SUMIFS(rPeso_RF,rMes_RF,$B22,rTipo_RF,"Macro")-1)&gt;0.0001,"Pesos ≠ 100%",SUMPRODUCT(--((rMes_RF=$B22)*(rTipo_RF="Macro")),rPeso_RF,rAvance_RF)))</f>
        <v/>
      </c>
      <c r="H22" s="22">
        <f>IF(COUNTIFS(rMes_RF,$B22,rTipo_RF,"Macro")=0,"",COUNTIFS(rEstado_RF,"Completado",rMes_RF,$B22,rTipo_RF,"Macro")&amp;" / "&amp;COUNTIFS(rMes_RF,$B22,rTipo_RF,"Macro"))</f>
        <v/>
      </c>
      <c r="I22" s="20">
        <f>IF(COUNTIFS(rMes_ATR,$B22,rTipo_ATR,"Macro")=0,"Sin datos",IF(ABS(SUMIFS(rPeso_ATR,rMes_ATR,$B22,rTipo_ATR,"Macro")-1)&gt;0.0001,"Pesos ≠ 100%",SUMPRODUCT(--((rMes_ATR=$B22)*(rTipo_ATR="Macro")),rPeso_ATR,rAvance_ATR)))</f>
        <v/>
      </c>
      <c r="J22" s="22">
        <f>IF(COUNTIFS(rMes_ATR,$B22,rTipo_ATR,"Macro")=0,"",COUNTIFS(rEstado_ATR,"Completado",rMes_ATR,$B22,rTipo_ATR,"Macro")&amp;" / "&amp;COUNTIFS(rMes_ATR,$B22,rTipo_ATR,"Macro"))</f>
        <v/>
      </c>
      <c r="K22" s="71">
        <f>IF(COUNT(C22,E22,G22,I22)=4,AVERAGE(C22,E22,G22,I22),IF(COUNTIF(C22:J22,"Sin datos")=4,"Sin datos","No definitivo"))</f>
        <v/>
      </c>
    </row>
    <row r="23" ht="20" customHeight="1">
      <c r="B23" s="70">
        <f>DATE(YEAR(HistInicio),MONTH(HistInicio)+17,1)</f>
        <v/>
      </c>
      <c r="C23" s="20">
        <f>IF(COUNTIFS(rMes_RO,$B23,rTipo_RO,"Macro")=0,"Sin datos",IF(ABS(SUMIFS(rPeso_RO,rMes_RO,$B23,rTipo_RO,"Macro")-1)&gt;0.0001,"Pesos ≠ 100%",SUMPRODUCT(--((rMes_RO=$B23)*(rTipo_RO="Macro")),rPeso_RO,rAvance_RO)))</f>
        <v/>
      </c>
      <c r="D23" s="22">
        <f>IF(COUNTIFS(rMes_RO,$B23,rTipo_RO,"Macro")=0,"",COUNTIFS(rEstado_RO,"Completado",rMes_RO,$B23,rTipo_RO,"Macro")&amp;" / "&amp;COUNTIFS(rMes_RO,$B23,rTipo_RO,"Macro"))</f>
        <v/>
      </c>
      <c r="E23" s="20">
        <f>IF(COUNTIFS(rMes_RN,$B23,rTipo_RN,"Macro")=0,"Sin datos",IF(ABS(SUMIFS(rPeso_RN,rMes_RN,$B23,rTipo_RN,"Macro")-1)&gt;0.0001,"Pesos ≠ 100%",SUMPRODUCT(--((rMes_RN=$B23)*(rTipo_RN="Macro")),rPeso_RN,rAvance_RN)))</f>
        <v/>
      </c>
      <c r="F23" s="22">
        <f>IF(COUNTIFS(rMes_RN,$B23,rTipo_RN,"Macro")=0,"",COUNTIFS(rEstado_RN,"Completado",rMes_RN,$B23,rTipo_RN,"Macro")&amp;" / "&amp;COUNTIFS(rMes_RN,$B23,rTipo_RN,"Macro"))</f>
        <v/>
      </c>
      <c r="G23" s="20">
        <f>IF(COUNTIFS(rMes_RF,$B23,rTipo_RF,"Macro")=0,"Sin datos",IF(ABS(SUMIFS(rPeso_RF,rMes_RF,$B23,rTipo_RF,"Macro")-1)&gt;0.0001,"Pesos ≠ 100%",SUMPRODUCT(--((rMes_RF=$B23)*(rTipo_RF="Macro")),rPeso_RF,rAvance_RF)))</f>
        <v/>
      </c>
      <c r="H23" s="22">
        <f>IF(COUNTIFS(rMes_RF,$B23,rTipo_RF,"Macro")=0,"",COUNTIFS(rEstado_RF,"Completado",rMes_RF,$B23,rTipo_RF,"Macro")&amp;" / "&amp;COUNTIFS(rMes_RF,$B23,rTipo_RF,"Macro"))</f>
        <v/>
      </c>
      <c r="I23" s="20">
        <f>IF(COUNTIFS(rMes_ATR,$B23,rTipo_ATR,"Macro")=0,"Sin datos",IF(ABS(SUMIFS(rPeso_ATR,rMes_ATR,$B23,rTipo_ATR,"Macro")-1)&gt;0.0001,"Pesos ≠ 100%",SUMPRODUCT(--((rMes_ATR=$B23)*(rTipo_ATR="Macro")),rPeso_ATR,rAvance_ATR)))</f>
        <v/>
      </c>
      <c r="J23" s="22">
        <f>IF(COUNTIFS(rMes_ATR,$B23,rTipo_ATR,"Macro")=0,"",COUNTIFS(rEstado_ATR,"Completado",rMes_ATR,$B23,rTipo_ATR,"Macro")&amp;" / "&amp;COUNTIFS(rMes_ATR,$B23,rTipo_ATR,"Macro"))</f>
        <v/>
      </c>
      <c r="K23" s="71">
        <f>IF(COUNT(C23,E23,G23,I23)=4,AVERAGE(C23,E23,G23,I23),IF(COUNTIF(C23:J23,"Sin datos")=4,"Sin datos","No definitivo"))</f>
        <v/>
      </c>
    </row>
    <row r="24" ht="20" customHeight="1">
      <c r="B24" s="70">
        <f>DATE(YEAR(HistInicio),MONTH(HistInicio)+18,1)</f>
        <v/>
      </c>
      <c r="C24" s="20">
        <f>IF(COUNTIFS(rMes_RO,$B24,rTipo_RO,"Macro")=0,"Sin datos",IF(ABS(SUMIFS(rPeso_RO,rMes_RO,$B24,rTipo_RO,"Macro")-1)&gt;0.0001,"Pesos ≠ 100%",SUMPRODUCT(--((rMes_RO=$B24)*(rTipo_RO="Macro")),rPeso_RO,rAvance_RO)))</f>
        <v/>
      </c>
      <c r="D24" s="22">
        <f>IF(COUNTIFS(rMes_RO,$B24,rTipo_RO,"Macro")=0,"",COUNTIFS(rEstado_RO,"Completado",rMes_RO,$B24,rTipo_RO,"Macro")&amp;" / "&amp;COUNTIFS(rMes_RO,$B24,rTipo_RO,"Macro"))</f>
        <v/>
      </c>
      <c r="E24" s="20">
        <f>IF(COUNTIFS(rMes_RN,$B24,rTipo_RN,"Macro")=0,"Sin datos",IF(ABS(SUMIFS(rPeso_RN,rMes_RN,$B24,rTipo_RN,"Macro")-1)&gt;0.0001,"Pesos ≠ 100%",SUMPRODUCT(--((rMes_RN=$B24)*(rTipo_RN="Macro")),rPeso_RN,rAvance_RN)))</f>
        <v/>
      </c>
      <c r="F24" s="22">
        <f>IF(COUNTIFS(rMes_RN,$B24,rTipo_RN,"Macro")=0,"",COUNTIFS(rEstado_RN,"Completado",rMes_RN,$B24,rTipo_RN,"Macro")&amp;" / "&amp;COUNTIFS(rMes_RN,$B24,rTipo_RN,"Macro"))</f>
        <v/>
      </c>
      <c r="G24" s="20">
        <f>IF(COUNTIFS(rMes_RF,$B24,rTipo_RF,"Macro")=0,"Sin datos",IF(ABS(SUMIFS(rPeso_RF,rMes_RF,$B24,rTipo_RF,"Macro")-1)&gt;0.0001,"Pesos ≠ 100%",SUMPRODUCT(--((rMes_RF=$B24)*(rTipo_RF="Macro")),rPeso_RF,rAvance_RF)))</f>
        <v/>
      </c>
      <c r="H24" s="22">
        <f>IF(COUNTIFS(rMes_RF,$B24,rTipo_RF,"Macro")=0,"",COUNTIFS(rEstado_RF,"Completado",rMes_RF,$B24,rTipo_RF,"Macro")&amp;" / "&amp;COUNTIFS(rMes_RF,$B24,rTipo_RF,"Macro"))</f>
        <v/>
      </c>
      <c r="I24" s="20">
        <f>IF(COUNTIFS(rMes_ATR,$B24,rTipo_ATR,"Macro")=0,"Sin datos",IF(ABS(SUMIFS(rPeso_ATR,rMes_ATR,$B24,rTipo_ATR,"Macro")-1)&gt;0.0001,"Pesos ≠ 100%",SUMPRODUCT(--((rMes_ATR=$B24)*(rTipo_ATR="Macro")),rPeso_ATR,rAvance_ATR)))</f>
        <v/>
      </c>
      <c r="J24" s="22">
        <f>IF(COUNTIFS(rMes_ATR,$B24,rTipo_ATR,"Macro")=0,"",COUNTIFS(rEstado_ATR,"Completado",rMes_ATR,$B24,rTipo_ATR,"Macro")&amp;" / "&amp;COUNTIFS(rMes_ATR,$B24,rTipo_ATR,"Macro"))</f>
        <v/>
      </c>
      <c r="K24" s="71">
        <f>IF(COUNT(C24,E24,G24,I24)=4,AVERAGE(C24,E24,G24,I24),IF(COUNTIF(C24:J24,"Sin datos")=4,"Sin datos","No definitivo"))</f>
        <v/>
      </c>
    </row>
    <row r="25" ht="20" customHeight="1">
      <c r="B25" s="70">
        <f>DATE(YEAR(HistInicio),MONTH(HistInicio)+19,1)</f>
        <v/>
      </c>
      <c r="C25" s="20">
        <f>IF(COUNTIFS(rMes_RO,$B25,rTipo_RO,"Macro")=0,"Sin datos",IF(ABS(SUMIFS(rPeso_RO,rMes_RO,$B25,rTipo_RO,"Macro")-1)&gt;0.0001,"Pesos ≠ 100%",SUMPRODUCT(--((rMes_RO=$B25)*(rTipo_RO="Macro")),rPeso_RO,rAvance_RO)))</f>
        <v/>
      </c>
      <c r="D25" s="22">
        <f>IF(COUNTIFS(rMes_RO,$B25,rTipo_RO,"Macro")=0,"",COUNTIFS(rEstado_RO,"Completado",rMes_RO,$B25,rTipo_RO,"Macro")&amp;" / "&amp;COUNTIFS(rMes_RO,$B25,rTipo_RO,"Macro"))</f>
        <v/>
      </c>
      <c r="E25" s="20">
        <f>IF(COUNTIFS(rMes_RN,$B25,rTipo_RN,"Macro")=0,"Sin datos",IF(ABS(SUMIFS(rPeso_RN,rMes_RN,$B25,rTipo_RN,"Macro")-1)&gt;0.0001,"Pesos ≠ 100%",SUMPRODUCT(--((rMes_RN=$B25)*(rTipo_RN="Macro")),rPeso_RN,rAvance_RN)))</f>
        <v/>
      </c>
      <c r="F25" s="22">
        <f>IF(COUNTIFS(rMes_RN,$B25,rTipo_RN,"Macro")=0,"",COUNTIFS(rEstado_RN,"Completado",rMes_RN,$B25,rTipo_RN,"Macro")&amp;" / "&amp;COUNTIFS(rMes_RN,$B25,rTipo_RN,"Macro"))</f>
        <v/>
      </c>
      <c r="G25" s="20">
        <f>IF(COUNTIFS(rMes_RF,$B25,rTipo_RF,"Macro")=0,"Sin datos",IF(ABS(SUMIFS(rPeso_RF,rMes_RF,$B25,rTipo_RF,"Macro")-1)&gt;0.0001,"Pesos ≠ 100%",SUMPRODUCT(--((rMes_RF=$B25)*(rTipo_RF="Macro")),rPeso_RF,rAvance_RF)))</f>
        <v/>
      </c>
      <c r="H25" s="22">
        <f>IF(COUNTIFS(rMes_RF,$B25,rTipo_RF,"Macro")=0,"",COUNTIFS(rEstado_RF,"Completado",rMes_RF,$B25,rTipo_RF,"Macro")&amp;" / "&amp;COUNTIFS(rMes_RF,$B25,rTipo_RF,"Macro"))</f>
        <v/>
      </c>
      <c r="I25" s="20">
        <f>IF(COUNTIFS(rMes_ATR,$B25,rTipo_ATR,"Macro")=0,"Sin datos",IF(ABS(SUMIFS(rPeso_ATR,rMes_ATR,$B25,rTipo_ATR,"Macro")-1)&gt;0.0001,"Pesos ≠ 100%",SUMPRODUCT(--((rMes_ATR=$B25)*(rTipo_ATR="Macro")),rPeso_ATR,rAvance_ATR)))</f>
        <v/>
      </c>
      <c r="J25" s="22">
        <f>IF(COUNTIFS(rMes_ATR,$B25,rTipo_ATR,"Macro")=0,"",COUNTIFS(rEstado_ATR,"Completado",rMes_ATR,$B25,rTipo_ATR,"Macro")&amp;" / "&amp;COUNTIFS(rMes_ATR,$B25,rTipo_ATR,"Macro"))</f>
        <v/>
      </c>
      <c r="K25" s="71">
        <f>IF(COUNT(C25,E25,G25,I25)=4,AVERAGE(C25,E25,G25,I25),IF(COUNTIF(C25:J25,"Sin datos")=4,"Sin datos","No definitivo"))</f>
        <v/>
      </c>
    </row>
    <row r="26" ht="20" customHeight="1">
      <c r="B26" s="70">
        <f>DATE(YEAR(HistInicio),MONTH(HistInicio)+20,1)</f>
        <v/>
      </c>
      <c r="C26" s="20">
        <f>IF(COUNTIFS(rMes_RO,$B26,rTipo_RO,"Macro")=0,"Sin datos",IF(ABS(SUMIFS(rPeso_RO,rMes_RO,$B26,rTipo_RO,"Macro")-1)&gt;0.0001,"Pesos ≠ 100%",SUMPRODUCT(--((rMes_RO=$B26)*(rTipo_RO="Macro")),rPeso_RO,rAvance_RO)))</f>
        <v/>
      </c>
      <c r="D26" s="22">
        <f>IF(COUNTIFS(rMes_RO,$B26,rTipo_RO,"Macro")=0,"",COUNTIFS(rEstado_RO,"Completado",rMes_RO,$B26,rTipo_RO,"Macro")&amp;" / "&amp;COUNTIFS(rMes_RO,$B26,rTipo_RO,"Macro"))</f>
        <v/>
      </c>
      <c r="E26" s="20">
        <f>IF(COUNTIFS(rMes_RN,$B26,rTipo_RN,"Macro")=0,"Sin datos",IF(ABS(SUMIFS(rPeso_RN,rMes_RN,$B26,rTipo_RN,"Macro")-1)&gt;0.0001,"Pesos ≠ 100%",SUMPRODUCT(--((rMes_RN=$B26)*(rTipo_RN="Macro")),rPeso_RN,rAvance_RN)))</f>
        <v/>
      </c>
      <c r="F26" s="22">
        <f>IF(COUNTIFS(rMes_RN,$B26,rTipo_RN,"Macro")=0,"",COUNTIFS(rEstado_RN,"Completado",rMes_RN,$B26,rTipo_RN,"Macro")&amp;" / "&amp;COUNTIFS(rMes_RN,$B26,rTipo_RN,"Macro"))</f>
        <v/>
      </c>
      <c r="G26" s="20">
        <f>IF(COUNTIFS(rMes_RF,$B26,rTipo_RF,"Macro")=0,"Sin datos",IF(ABS(SUMIFS(rPeso_RF,rMes_RF,$B26,rTipo_RF,"Macro")-1)&gt;0.0001,"Pesos ≠ 100%",SUMPRODUCT(--((rMes_RF=$B26)*(rTipo_RF="Macro")),rPeso_RF,rAvance_RF)))</f>
        <v/>
      </c>
      <c r="H26" s="22">
        <f>IF(COUNTIFS(rMes_RF,$B26,rTipo_RF,"Macro")=0,"",COUNTIFS(rEstado_RF,"Completado",rMes_RF,$B26,rTipo_RF,"Macro")&amp;" / "&amp;COUNTIFS(rMes_RF,$B26,rTipo_RF,"Macro"))</f>
        <v/>
      </c>
      <c r="I26" s="20">
        <f>IF(COUNTIFS(rMes_ATR,$B26,rTipo_ATR,"Macro")=0,"Sin datos",IF(ABS(SUMIFS(rPeso_ATR,rMes_ATR,$B26,rTipo_ATR,"Macro")-1)&gt;0.0001,"Pesos ≠ 100%",SUMPRODUCT(--((rMes_ATR=$B26)*(rTipo_ATR="Macro")),rPeso_ATR,rAvance_ATR)))</f>
        <v/>
      </c>
      <c r="J26" s="22">
        <f>IF(COUNTIFS(rMes_ATR,$B26,rTipo_ATR,"Macro")=0,"",COUNTIFS(rEstado_ATR,"Completado",rMes_ATR,$B26,rTipo_ATR,"Macro")&amp;" / "&amp;COUNTIFS(rMes_ATR,$B26,rTipo_ATR,"Macro"))</f>
        <v/>
      </c>
      <c r="K26" s="71">
        <f>IF(COUNT(C26,E26,G26,I26)=4,AVERAGE(C26,E26,G26,I26),IF(COUNTIF(C26:J26,"Sin datos")=4,"Sin datos","No definitivo"))</f>
        <v/>
      </c>
    </row>
    <row r="27" ht="20" customHeight="1">
      <c r="B27" s="70">
        <f>DATE(YEAR(HistInicio),MONTH(HistInicio)+21,1)</f>
        <v/>
      </c>
      <c r="C27" s="20">
        <f>IF(COUNTIFS(rMes_RO,$B27,rTipo_RO,"Macro")=0,"Sin datos",IF(ABS(SUMIFS(rPeso_RO,rMes_RO,$B27,rTipo_RO,"Macro")-1)&gt;0.0001,"Pesos ≠ 100%",SUMPRODUCT(--((rMes_RO=$B27)*(rTipo_RO="Macro")),rPeso_RO,rAvance_RO)))</f>
        <v/>
      </c>
      <c r="D27" s="22">
        <f>IF(COUNTIFS(rMes_RO,$B27,rTipo_RO,"Macro")=0,"",COUNTIFS(rEstado_RO,"Completado",rMes_RO,$B27,rTipo_RO,"Macro")&amp;" / "&amp;COUNTIFS(rMes_RO,$B27,rTipo_RO,"Macro"))</f>
        <v/>
      </c>
      <c r="E27" s="20">
        <f>IF(COUNTIFS(rMes_RN,$B27,rTipo_RN,"Macro")=0,"Sin datos",IF(ABS(SUMIFS(rPeso_RN,rMes_RN,$B27,rTipo_RN,"Macro")-1)&gt;0.0001,"Pesos ≠ 100%",SUMPRODUCT(--((rMes_RN=$B27)*(rTipo_RN="Macro")),rPeso_RN,rAvance_RN)))</f>
        <v/>
      </c>
      <c r="F27" s="22">
        <f>IF(COUNTIFS(rMes_RN,$B27,rTipo_RN,"Macro")=0,"",COUNTIFS(rEstado_RN,"Completado",rMes_RN,$B27,rTipo_RN,"Macro")&amp;" / "&amp;COUNTIFS(rMes_RN,$B27,rTipo_RN,"Macro"))</f>
        <v/>
      </c>
      <c r="G27" s="20">
        <f>IF(COUNTIFS(rMes_RF,$B27,rTipo_RF,"Macro")=0,"Sin datos",IF(ABS(SUMIFS(rPeso_RF,rMes_RF,$B27,rTipo_RF,"Macro")-1)&gt;0.0001,"Pesos ≠ 100%",SUMPRODUCT(--((rMes_RF=$B27)*(rTipo_RF="Macro")),rPeso_RF,rAvance_RF)))</f>
        <v/>
      </c>
      <c r="H27" s="22">
        <f>IF(COUNTIFS(rMes_RF,$B27,rTipo_RF,"Macro")=0,"",COUNTIFS(rEstado_RF,"Completado",rMes_RF,$B27,rTipo_RF,"Macro")&amp;" / "&amp;COUNTIFS(rMes_RF,$B27,rTipo_RF,"Macro"))</f>
        <v/>
      </c>
      <c r="I27" s="20">
        <f>IF(COUNTIFS(rMes_ATR,$B27,rTipo_ATR,"Macro")=0,"Sin datos",IF(ABS(SUMIFS(rPeso_ATR,rMes_ATR,$B27,rTipo_ATR,"Macro")-1)&gt;0.0001,"Pesos ≠ 100%",SUMPRODUCT(--((rMes_ATR=$B27)*(rTipo_ATR="Macro")),rPeso_ATR,rAvance_ATR)))</f>
        <v/>
      </c>
      <c r="J27" s="22">
        <f>IF(COUNTIFS(rMes_ATR,$B27,rTipo_ATR,"Macro")=0,"",COUNTIFS(rEstado_ATR,"Completado",rMes_ATR,$B27,rTipo_ATR,"Macro")&amp;" / "&amp;COUNTIFS(rMes_ATR,$B27,rTipo_ATR,"Macro"))</f>
        <v/>
      </c>
      <c r="K27" s="71">
        <f>IF(COUNT(C27,E27,G27,I27)=4,AVERAGE(C27,E27,G27,I27),IF(COUNTIF(C27:J27,"Sin datos")=4,"Sin datos","No definitivo"))</f>
        <v/>
      </c>
    </row>
    <row r="28" ht="20" customHeight="1">
      <c r="B28" s="70">
        <f>DATE(YEAR(HistInicio),MONTH(HistInicio)+22,1)</f>
        <v/>
      </c>
      <c r="C28" s="20">
        <f>IF(COUNTIFS(rMes_RO,$B28,rTipo_RO,"Macro")=0,"Sin datos",IF(ABS(SUMIFS(rPeso_RO,rMes_RO,$B28,rTipo_RO,"Macro")-1)&gt;0.0001,"Pesos ≠ 100%",SUMPRODUCT(--((rMes_RO=$B28)*(rTipo_RO="Macro")),rPeso_RO,rAvance_RO)))</f>
        <v/>
      </c>
      <c r="D28" s="22">
        <f>IF(COUNTIFS(rMes_RO,$B28,rTipo_RO,"Macro")=0,"",COUNTIFS(rEstado_RO,"Completado",rMes_RO,$B28,rTipo_RO,"Macro")&amp;" / "&amp;COUNTIFS(rMes_RO,$B28,rTipo_RO,"Macro"))</f>
        <v/>
      </c>
      <c r="E28" s="20">
        <f>IF(COUNTIFS(rMes_RN,$B28,rTipo_RN,"Macro")=0,"Sin datos",IF(ABS(SUMIFS(rPeso_RN,rMes_RN,$B28,rTipo_RN,"Macro")-1)&gt;0.0001,"Pesos ≠ 100%",SUMPRODUCT(--((rMes_RN=$B28)*(rTipo_RN="Macro")),rPeso_RN,rAvance_RN)))</f>
        <v/>
      </c>
      <c r="F28" s="22">
        <f>IF(COUNTIFS(rMes_RN,$B28,rTipo_RN,"Macro")=0,"",COUNTIFS(rEstado_RN,"Completado",rMes_RN,$B28,rTipo_RN,"Macro")&amp;" / "&amp;COUNTIFS(rMes_RN,$B28,rTipo_RN,"Macro"))</f>
        <v/>
      </c>
      <c r="G28" s="20">
        <f>IF(COUNTIFS(rMes_RF,$B28,rTipo_RF,"Macro")=0,"Sin datos",IF(ABS(SUMIFS(rPeso_RF,rMes_RF,$B28,rTipo_RF,"Macro")-1)&gt;0.0001,"Pesos ≠ 100%",SUMPRODUCT(--((rMes_RF=$B28)*(rTipo_RF="Macro")),rPeso_RF,rAvance_RF)))</f>
        <v/>
      </c>
      <c r="H28" s="22">
        <f>IF(COUNTIFS(rMes_RF,$B28,rTipo_RF,"Macro")=0,"",COUNTIFS(rEstado_RF,"Completado",rMes_RF,$B28,rTipo_RF,"Macro")&amp;" / "&amp;COUNTIFS(rMes_RF,$B28,rTipo_RF,"Macro"))</f>
        <v/>
      </c>
      <c r="I28" s="20">
        <f>IF(COUNTIFS(rMes_ATR,$B28,rTipo_ATR,"Macro")=0,"Sin datos",IF(ABS(SUMIFS(rPeso_ATR,rMes_ATR,$B28,rTipo_ATR,"Macro")-1)&gt;0.0001,"Pesos ≠ 100%",SUMPRODUCT(--((rMes_ATR=$B28)*(rTipo_ATR="Macro")),rPeso_ATR,rAvance_ATR)))</f>
        <v/>
      </c>
      <c r="J28" s="22">
        <f>IF(COUNTIFS(rMes_ATR,$B28,rTipo_ATR,"Macro")=0,"",COUNTIFS(rEstado_ATR,"Completado",rMes_ATR,$B28,rTipo_ATR,"Macro")&amp;" / "&amp;COUNTIFS(rMes_ATR,$B28,rTipo_ATR,"Macro"))</f>
        <v/>
      </c>
      <c r="K28" s="71">
        <f>IF(COUNT(C28,E28,G28,I28)=4,AVERAGE(C28,E28,G28,I28),IF(COUNTIF(C28:J28,"Sin datos")=4,"Sin datos","No definitivo"))</f>
        <v/>
      </c>
    </row>
    <row r="29" ht="20" customHeight="1">
      <c r="B29" s="70">
        <f>DATE(YEAR(HistInicio),MONTH(HistInicio)+23,1)</f>
        <v/>
      </c>
      <c r="C29" s="20">
        <f>IF(COUNTIFS(rMes_RO,$B29,rTipo_RO,"Macro")=0,"Sin datos",IF(ABS(SUMIFS(rPeso_RO,rMes_RO,$B29,rTipo_RO,"Macro")-1)&gt;0.0001,"Pesos ≠ 100%",SUMPRODUCT(--((rMes_RO=$B29)*(rTipo_RO="Macro")),rPeso_RO,rAvance_RO)))</f>
        <v/>
      </c>
      <c r="D29" s="22">
        <f>IF(COUNTIFS(rMes_RO,$B29,rTipo_RO,"Macro")=0,"",COUNTIFS(rEstado_RO,"Completado",rMes_RO,$B29,rTipo_RO,"Macro")&amp;" / "&amp;COUNTIFS(rMes_RO,$B29,rTipo_RO,"Macro"))</f>
        <v/>
      </c>
      <c r="E29" s="20">
        <f>IF(COUNTIFS(rMes_RN,$B29,rTipo_RN,"Macro")=0,"Sin datos",IF(ABS(SUMIFS(rPeso_RN,rMes_RN,$B29,rTipo_RN,"Macro")-1)&gt;0.0001,"Pesos ≠ 100%",SUMPRODUCT(--((rMes_RN=$B29)*(rTipo_RN="Macro")),rPeso_RN,rAvance_RN)))</f>
        <v/>
      </c>
      <c r="F29" s="22">
        <f>IF(COUNTIFS(rMes_RN,$B29,rTipo_RN,"Macro")=0,"",COUNTIFS(rEstado_RN,"Completado",rMes_RN,$B29,rTipo_RN,"Macro")&amp;" / "&amp;COUNTIFS(rMes_RN,$B29,rTipo_RN,"Macro"))</f>
        <v/>
      </c>
      <c r="G29" s="20">
        <f>IF(COUNTIFS(rMes_RF,$B29,rTipo_RF,"Macro")=0,"Sin datos",IF(ABS(SUMIFS(rPeso_RF,rMes_RF,$B29,rTipo_RF,"Macro")-1)&gt;0.0001,"Pesos ≠ 100%",SUMPRODUCT(--((rMes_RF=$B29)*(rTipo_RF="Macro")),rPeso_RF,rAvance_RF)))</f>
        <v/>
      </c>
      <c r="H29" s="22">
        <f>IF(COUNTIFS(rMes_RF,$B29,rTipo_RF,"Macro")=0,"",COUNTIFS(rEstado_RF,"Completado",rMes_RF,$B29,rTipo_RF,"Macro")&amp;" / "&amp;COUNTIFS(rMes_RF,$B29,rTipo_RF,"Macro"))</f>
        <v/>
      </c>
      <c r="I29" s="20">
        <f>IF(COUNTIFS(rMes_ATR,$B29,rTipo_ATR,"Macro")=0,"Sin datos",IF(ABS(SUMIFS(rPeso_ATR,rMes_ATR,$B29,rTipo_ATR,"Macro")-1)&gt;0.0001,"Pesos ≠ 100%",SUMPRODUCT(--((rMes_ATR=$B29)*(rTipo_ATR="Macro")),rPeso_ATR,rAvance_ATR)))</f>
        <v/>
      </c>
      <c r="J29" s="22">
        <f>IF(COUNTIFS(rMes_ATR,$B29,rTipo_ATR,"Macro")=0,"",COUNTIFS(rEstado_ATR,"Completado",rMes_ATR,$B29,rTipo_ATR,"Macro")&amp;" / "&amp;COUNTIFS(rMes_ATR,$B29,rTipo_ATR,"Macro"))</f>
        <v/>
      </c>
      <c r="K29" s="71">
        <f>IF(COUNT(C29,E29,G29,I29)=4,AVERAGE(C29,E29,G29,I29),IF(COUNTIF(C29:J29,"Sin datos")=4,"Sin datos","No definitivo"))</f>
        <v/>
      </c>
    </row>
  </sheetData>
  <sheetProtection selectLockedCells="0" selectUnlockedCells="0" sheet="1" objects="0" insertRows="1" insertHyperlinks="1" autoFilter="1" scenarios="0" formatColumns="1" deleteColumns="1" insertColumns="1" pivotTables="1" deleteRows="1" formatCells="1" formatRows="1" sort="1"/>
  <mergeCells count="8">
    <mergeCell ref="G4:H4"/>
    <mergeCell ref="E4:F4"/>
    <mergeCell ref="I4:J4"/>
    <mergeCell ref="B1:K1"/>
    <mergeCell ref="B4:B5"/>
    <mergeCell ref="K4:K5"/>
    <mergeCell ref="B2:K2"/>
    <mergeCell ref="C4:D4"/>
  </mergeCells>
  <conditionalFormatting sqref="C6:K29">
    <cfRule type="expression" priority="1" dxfId="0">
      <formula>AND(ISNUMBER(C6),C6&gt;=1)</formula>
    </cfRule>
    <cfRule type="expression" priority="2" dxfId="17">
      <formula>AND(ISNUMBER(C6),C6&lt;1)</formula>
    </cfRule>
    <cfRule type="expression" priority="3" dxfId="7">
      <formula>OR(C6="Pesos ≠ 100%",C6="No definitivo")</formula>
    </cfRule>
    <cfRule type="expression" priority="4" dxfId="18">
      <formula>C6="Sin datos"</formula>
    </cfRule>
  </conditionalFormatting>
  <conditionalFormatting sqref="B6:B29">
    <cfRule type="expression" priority="5" dxfId="1">
      <formula>$B6=MesCiclo</formula>
    </cfRule>
  </conditionalFormatting>
  <pageMargins left="0.75" right="0.75" top="1" bottom="1" header="0.5" footer="0.5"/>
  <pageSetup orientation="landscape" fitToHeight="0" fitToWidth="1"/>
  <rowBreaks count="1" manualBreakCount="1">
    <brk id="30" min="0" max="16383" man="1"/>
  </rowBreaks>
  <drawing xmlns:r="http://schemas.openxmlformats.org/officeDocument/2006/relationships" r:id="rId1"/>
</worksheet>
</file>

<file path=xl/worksheets/sheet4.xml><?xml version="1.0" encoding="utf-8"?>
<worksheet xmlns="http://schemas.openxmlformats.org/spreadsheetml/2006/main">
  <sheetPr>
    <tabColor rgb="00C55A11"/>
    <outlinePr summaryBelow="1" summaryRight="1"/>
    <pageSetUpPr fitToPage="1"/>
  </sheetPr>
  <dimension ref="A1:AN304"/>
  <sheetViews>
    <sheetView showGridLines="0" zoomScale="90" workbookViewId="0">
      <pane xSplit="3" ySplit="4" topLeftCell="D5" activePane="bottomRight" state="frozen"/>
      <selection pane="topRight"/>
      <selection pane="bottomLeft"/>
      <selection pane="bottomRight" activeCell="A1" sqref="A1"/>
    </sheetView>
  </sheetViews>
  <sheetFormatPr baseColWidth="8" defaultRowHeight="15"/>
  <cols>
    <col width="7" customWidth="1" min="1" max="1"/>
    <col width="15" customWidth="1" min="2" max="2"/>
    <col width="48" customWidth="1" min="3" max="3"/>
    <col hidden="1" width="22" customWidth="1" min="4" max="4"/>
    <col width="12" customWidth="1" min="5" max="5"/>
    <col width="12" customWidth="1" min="6" max="6"/>
    <col width="14" customWidth="1" min="7" max="7"/>
    <col width="12" customWidth="1" min="8" max="8"/>
    <col width="10" customWidth="1" min="9" max="9"/>
    <col width="10" customWidth="1" min="10" max="10"/>
    <col width="10" customWidth="1" min="11" max="11"/>
    <col width="10" customWidth="1" min="12" max="12"/>
    <col width="12" customWidth="1" min="13" max="13"/>
    <col width="12" customWidth="1" min="14" max="14"/>
    <col width="24" customWidth="1" min="15" max="15"/>
    <col hidden="1" width="30" customWidth="1" min="16" max="16"/>
    <col width="36" customWidth="1" min="17" max="17"/>
    <col width="44" customWidth="1" min="18" max="18"/>
    <col width="14"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s>
  <sheetData>
    <row r="1" ht="28" customHeight="1">
      <c r="A1" s="72" t="inlineStr">
        <is>
          <t>Cronograma – Riesgo Operacional</t>
        </is>
      </c>
      <c r="B1" s="72" t="n"/>
      <c r="C1" s="72" t="n"/>
      <c r="D1" s="72" t="n"/>
      <c r="E1" s="72" t="n"/>
      <c r="F1" s="72" t="n"/>
      <c r="G1" s="72" t="n"/>
      <c r="H1" s="72" t="n"/>
      <c r="I1" s="72" t="n"/>
      <c r="J1" s="72" t="n"/>
      <c r="K1" s="72" t="n"/>
      <c r="L1" s="72" t="n"/>
      <c r="M1" s="72" t="n"/>
      <c r="N1" s="72" t="n"/>
      <c r="O1" s="72" t="n"/>
      <c r="P1" s="72" t="n"/>
      <c r="Q1" s="72" t="n"/>
      <c r="R1" s="72" t="n"/>
      <c r="S1" s="72" t="n"/>
    </row>
    <row r="2" ht="44" customHeight="1">
      <c r="A2" s="48" t="inlineStr">
        <is>
          <t>Llene solo las celdas GRIS SUAVE; las AZUL CLARO son automáticas. En «Tipo» elija Macroactividad o Subactividad: las subactividades van en las filas de ABAJO de su macroactividad (se ven con ↳) y su promedio da el % de la macroactividad. Cuando termine algo, escriba la FECHA DE CUMPLIMIENTO: queda al 100% y ya no aparece vencido. Si quiere registrar avances parciales, escriba en cada semana el % total logrado hasta esa semana. Cada mes agregue sus actividades debajo de las anteriores (no borre los meses pasados: quedan como historial).</t>
        </is>
      </c>
      <c r="B2" s="48" t="n"/>
      <c r="C2" s="48" t="n"/>
      <c r="D2" s="48" t="n"/>
      <c r="E2" s="48" t="n"/>
      <c r="F2" s="48" t="n"/>
      <c r="G2" s="48" t="n"/>
      <c r="H2" s="48" t="n"/>
      <c r="I2" s="48" t="n"/>
      <c r="J2" s="48" t="n"/>
      <c r="K2" s="48" t="n"/>
      <c r="L2" s="48" t="n"/>
      <c r="M2" s="48" t="n"/>
      <c r="N2" s="48" t="n"/>
      <c r="O2" s="48" t="n"/>
      <c r="P2" s="48" t="n"/>
      <c r="Q2" s="48" t="n"/>
      <c r="R2" s="48" t="n"/>
      <c r="S2" s="48" t="n"/>
    </row>
    <row r="3" ht="22" customHeight="1">
      <c r="A3" s="49" t="inlineStr">
        <is>
          <t>Llenar</t>
        </is>
      </c>
      <c r="B3" s="50" t="inlineStr">
        <is>
          <t>Automático</t>
        </is>
      </c>
      <c r="C3" s="73" t="inlineStr">
        <is>
          <t>Macroactividad (fila resaltada)</t>
        </is>
      </c>
      <c r="E3" s="6" t="inlineStr">
        <is>
          <t>Peso: solo macroactividades. Si lo deja vacío valen igual; si lo escribe, se ajusta solo a 100%.</t>
        </is>
      </c>
      <c r="F3" s="6" t="n"/>
      <c r="G3" s="6" t="n"/>
      <c r="H3" s="6" t="n"/>
      <c r="I3" s="6" t="n"/>
      <c r="J3" s="6" t="n"/>
      <c r="K3" s="52" t="inlineStr">
        <is>
          <t>Plazos del mes:</t>
        </is>
      </c>
      <c r="M3" s="43">
        <f>COUNTIFS($S$5:$S$1000,MesCiclo,$O$5:$O$1000,"Vencida*")&amp;" vencida(s)  ·  "&amp;COUNTIFS($S$5:$S$1000,MesCiclo,$O$5:$O$1000,"Vence*")&amp;" por vencer"</f>
        <v/>
      </c>
      <c r="N3" s="43" t="n"/>
      <c r="O3" s="43" t="n"/>
      <c r="Q3" s="45">
        <f>IF(COUNTIFS('Administración'!$D$5:$D$1000,"Riesgo Operacional",'Administración'!$S$5:$S$1000,MesCiclo,'Administración'!$V$5:$V$1000,"Macro")=0,"Sin actividades delegadas por la jefatura este mes","★ La jefatura le delegó "&amp;COUNTIFS('Administración'!$D$5:$D$1000,"Riesgo Operacional",'Administración'!$S$5:$S$1000,MesCiclo,'Administración'!$V$5:$V$1000,"Macro")&amp;" actividad(es) este mes · "&amp;(COUNTIFS('Administración'!$D$5:$D$1000,"Riesgo Operacional",'Administración'!$S$5:$S$1000,MesCiclo,'Administración'!$V$5:$V$1000,"Macro")-COUNTIFS('Administración'!$D$5:$D$1000,"Riesgo Operacional",'Administración'!$S$5:$S$1000,MesCiclo,'Administración'!$V$5:$V$1000,"Macro",'Administración'!$AH$5:$AH$1000,"&gt;0"))&amp;" pendiente(s) de agregar (elíjalas en la lista de «Actividad»). Cuentan en su avance del mes.")</f>
        <v/>
      </c>
      <c r="R3" s="45" t="n"/>
      <c r="S3" s="45" t="n"/>
    </row>
    <row r="4" ht="42" customHeight="1">
      <c r="A4" s="54" t="inlineStr">
        <is>
          <t>N°</t>
        </is>
      </c>
      <c r="B4" s="67" t="inlineStr">
        <is>
          <t>Tipo</t>
        </is>
      </c>
      <c r="C4" s="67" t="inlineStr">
        <is>
          <t>Actividad</t>
        </is>
      </c>
      <c r="D4" s="67" t="inlineStr">
        <is>
          <t>Delegar a</t>
        </is>
      </c>
      <c r="E4" s="67" t="inlineStr">
        <is>
          <t>Fecha de inicio</t>
        </is>
      </c>
      <c r="F4" s="67" t="inlineStr">
        <is>
          <t>Fecha límite</t>
        </is>
      </c>
      <c r="G4" s="67" t="inlineStr">
        <is>
          <t>Fecha de cumplimiento</t>
        </is>
      </c>
      <c r="H4" s="67" t="inlineStr">
        <is>
          <t>Peso (%)</t>
        </is>
      </c>
      <c r="I4" s="67" t="inlineStr">
        <is>
          <t>Avance Semana 1 (%)</t>
        </is>
      </c>
      <c r="J4" s="67" t="inlineStr">
        <is>
          <t>Avance Semana 2 (%)</t>
        </is>
      </c>
      <c r="K4" s="67" t="inlineStr">
        <is>
          <t>Avance Semana 3 (%)</t>
        </is>
      </c>
      <c r="L4" s="67" t="inlineStr">
        <is>
          <t>Avance Semana 4 (%)</t>
        </is>
      </c>
      <c r="M4" s="54" t="inlineStr">
        <is>
          <t>% de Avance Total Actual</t>
        </is>
      </c>
      <c r="N4" s="54" t="inlineStr">
        <is>
          <t>Estado</t>
        </is>
      </c>
      <c r="O4" s="54" t="inlineStr">
        <is>
          <t>Alerta de plazo</t>
        </is>
      </c>
      <c r="P4" s="54" t="inlineStr">
        <is>
          <t>Seguimiento de la delegación</t>
        </is>
      </c>
      <c r="Q4" s="67" t="inlineStr">
        <is>
          <t>Observaciones</t>
        </is>
      </c>
      <c r="R4" s="54" t="inlineStr">
        <is>
          <t>Revisión automática (alertas)</t>
        </is>
      </c>
      <c r="S4" s="54" t="inlineStr">
        <is>
          <t>Mes</t>
        </is>
      </c>
      <c r="T4" s="54" t="inlineStr">
        <is>
          <t>Orden en el mes (aux)</t>
        </is>
      </c>
      <c r="U4" s="54" t="inlineStr">
        <is>
          <t>Grupo (aux)</t>
        </is>
      </c>
      <c r="V4" s="54" t="inlineStr">
        <is>
          <t>Tipo (aux)</t>
        </is>
      </c>
      <c r="W4" s="54" t="inlineStr">
        <is>
          <t>N subactividades (aux)</t>
        </is>
      </c>
      <c r="X4" s="54" t="inlineStr">
        <is>
          <t>Avance propio (aux)</t>
        </is>
      </c>
      <c r="Y4" s="54" t="inlineStr">
        <is>
          <t>Propio S1 (aux)</t>
        </is>
      </c>
      <c r="Z4" s="54" t="inlineStr">
        <is>
          <t>Propio S2 (aux)</t>
        </is>
      </c>
      <c r="AA4" s="54" t="inlineStr">
        <is>
          <t>Propio S3 (aux)</t>
        </is>
      </c>
      <c r="AB4" s="54" t="inlineStr">
        <is>
          <t>Propio S4 (aux)</t>
        </is>
      </c>
      <c r="AC4" s="54" t="inlineStr">
        <is>
          <t>Efectivo S1 (aux)</t>
        </is>
      </c>
      <c r="AD4" s="54" t="inlineStr">
        <is>
          <t>Efectivo S2 (aux)</t>
        </is>
      </c>
      <c r="AE4" s="54" t="inlineStr">
        <is>
          <t>Efectivo S3 (aux)</t>
        </is>
      </c>
      <c r="AF4" s="54" t="inlineStr">
        <is>
          <t>Efectivo S4 (aux)</t>
        </is>
      </c>
      <c r="AG4" s="54" t="inlineStr">
        <is>
          <t>Peso efectivo (aux)</t>
        </is>
      </c>
      <c r="AH4" s="54" t="inlineStr">
        <is>
          <t>Fila en el puesto (aux)</t>
        </is>
      </c>
      <c r="AI4" s="54" t="inlineStr">
        <is>
          <t>N° delegada en el mes (aux)</t>
        </is>
      </c>
      <c r="AJ4" s="54" t="inlineStr">
        <is>
          <t>Clave delegada (aux)</t>
        </is>
      </c>
      <c r="AK4" s="54" t="inlineStr">
        <is>
          <t>Clave puesto-actividad (aux)</t>
        </is>
      </c>
      <c r="AL4" s="54" t="inlineStr">
        <is>
          <t>Fila en Administración (aux)</t>
        </is>
      </c>
      <c r="AM4" s="54" t="inlineStr">
        <is>
          <t>Inicio efectivo (aux)</t>
        </is>
      </c>
      <c r="AN4" s="54" t="inlineStr">
        <is>
          <t>Límite efectivo (aux)</t>
        </is>
      </c>
    </row>
    <row r="5">
      <c r="A5" s="56">
        <f>IF(NOT((COUNTA($B5:$D5)+COUNTA($G5:$L5)+COUNTA($Q5))&gt;0),"",IF($V5="Macro",COUNTIFS($V$5:$V5,"Macro",$S$5:$S5,$S5),IF(N($U5)=0,"?",COUNTIFS(INDEX($V$5:$V$1000,1):INDEX($V$5:$V$1000,$U5-4),"Macro",INDEX($S$5:$S$1000,1):INDEX($S$5:$S$1000,$U5-4),INDEX($S$5:$S$1000,$U5-4))&amp;"."&amp;COUNTIFS($U$5:$U5,$U5,$V$5:$V5,"Sub"))))</f>
        <v/>
      </c>
      <c r="B5" s="57" t="n"/>
      <c r="C5" s="58" t="inlineStr">
        <is>
          <t>Matriz de riesgos operativos</t>
        </is>
      </c>
      <c r="D5" s="58" t="n"/>
      <c r="E5" s="59" t="n">
        <v>46300</v>
      </c>
      <c r="F5" s="59" t="n">
        <v>46325</v>
      </c>
      <c r="G5" s="59" t="n"/>
      <c r="H5" s="60" t="n"/>
      <c r="I5" s="60" t="n"/>
      <c r="J5" s="60" t="n"/>
      <c r="K5" s="60" t="n"/>
      <c r="L5" s="60" t="n"/>
      <c r="M5" s="61">
        <f>IF(NOT((COUNTA($B5:$D5)+COUNTA($G5:$L5)+COUNTA($Q5))&gt;0),"",IF($V5="Sub",IFERROR($X5/INDEX($W$5:$W$1000,$U5-4),""),IF(ISNUMBER($G5),1,IF(N($W5)&gt;0,AVERAGEIFS($X$5:$X$1000,$U$5:$U$1000,ROW(),$V$5:$V$1000,"Sub"),$X5))))</f>
        <v/>
      </c>
      <c r="N5" s="56">
        <f>IF(OR($M5="",$V5="Sub"),"",IF($M5&gt;=1,"Completado",IF($M5&gt;0,"En curso","Pendiente")))</f>
        <v/>
      </c>
      <c r="O5" s="56">
        <f>IF(OR(NOT((COUNTA($B5:$D5)+COUNTA($G5:$L5)+COUNTA($Q5))&gt;0),$V5="Sub"),"",IF(ISNUMBER($G5),IF(AND(ISNUMBER($AN5),$G5&gt;$AN5),"Cumplida con "&amp;($G5-$AN5)&amp;IF($G5-$AN5=1," día"," días")&amp;" de retraso","Cumplida"),IF(N($M5)&gt;=1,"Cumplida",IF(NOT(ISNUMBER($AN5)),"Sin fecha límite",IF($AN5&lt;FechaRef,"Vencida hace "&amp;(FechaRef-$AN5)&amp;IF(FechaRef-$AN5=1," día"," días"),IF($AN5=FechaRef,"Vence hoy",IF($AN5-FechaRef&lt;=DiasAlerta,"Vence en "&amp;($AN5-FechaRef)&amp;IF($AN5-FechaRef=1," día"," días"),"En plazo")))))))</f>
        <v/>
      </c>
      <c r="P5" s="62" t="n"/>
      <c r="Q5" s="58" t="n"/>
      <c r="R5" s="63">
        <f>IF(NOT((COUNTA($B5:$D5)+COUNTA($G5:$L5)+COUNTA($Q5))&gt;0),"",IF((IF($C5="","Falta el nombre de la actividad"&amp;" · ","")&amp;IF(AND($V5="Sub",N($U5)=0),"Subactividad sin macroactividad arriba"&amp;" · ","")&amp;IF($AM5="","Sin fecha de inicio"&amp;" · ","")&amp;IF($AN5="","Sin fecha límite"&amp;" · ","")&amp;IF(AND(LEFT($C5,11)="[Jefatura] ",N($AL5)=0),"No se encuentra en la hoja de la jefatura (elíjala de nuevo en la lista)"&amp;" · ","")&amp;IF(OR(AND($E5&lt;&gt;"",NOT(ISNUMBER($E5))),AND($F5&lt;&gt;"",NOT(ISNUMBER($F5))),AND($G5&lt;&gt;"",NOT(ISNUMBER($G5)))),"Fecha no válida"&amp;" · ","")&amp;IF(AND(ISNUMBER($AM5),ISNUMBER($AN5),$AM5&gt;$AN5),"Inicio posterior a fecha límite"&amp;" · ","")&amp;IF(AND($V5="Macro",$H5&lt;&gt;"",OR(NOT(ISNUMBER($H5)),$H5&lt;0,$H5&gt;1)),"Peso fuera de rango"&amp;" · ","")&amp;IF(AND($V5="Sub",$H5&lt;&gt;""),"Las subactividades no llevan peso (valen igual dentro de su macroactividad)"&amp;" · ","")&amp;IF(AND(N($W5)&gt;0,COUNT($I5:$L5)&gt;0),"Con subactividades: deje vacías las semanas (se calculan solas)"&amp;" · ","")&amp;IF((COUNTIF($I5:$L5,"&gt;1")+COUNTIF($I5:$L5,"&lt;0")+COUNTA($I5:$L5)-COUNT($I5:$L5))&gt;0,"Avance fuera de rango 0-100%"&amp;" · ","")&amp;IF(OR(AND($J5&lt;&gt;"",$J5&lt;$I5),AND($K5&lt;&gt;"",$K5&lt;MAX($I5:$J5)),AND($L5&lt;&gt;"",$L5&lt;MAX($I5:$K5))),"Avance semanal decreciente"&amp;" · ","")&amp;IF(AND(ISNUMBER($AN5),$AN5&lt;FechaRef,IF($V5="Sub",N($X5),N($M5))&lt;1),"Vencida"&amp;" · ","")&amp;IF(AND(ObsObligatoria="Sí",ISNUMBER($AN5),$AN5&lt;FechaRef,IF($V5="Sub",N($X5),N($M5))&lt;1,$Q5=""),"Vencida sin observación"&amp;" · ",""))="","✔ OK","⚠ "&amp;LEFT(IF($C5="","Falta el nombre de la actividad"&amp;" · ","")&amp;IF(AND($V5="Sub",N($U5)=0),"Subactividad sin macroactividad arriba"&amp;" · ","")&amp;IF($AM5="","Sin fecha de inicio"&amp;" · ","")&amp;IF($AN5="","Sin fecha límite"&amp;" · ","")&amp;IF(AND(LEFT($C5,11)="[Jefatura] ",N($AL5)=0),"No se encuentra en la hoja de la jefatura (elíjala de nuevo en la lista)"&amp;" · ","")&amp;IF(OR(AND($E5&lt;&gt;"",NOT(ISNUMBER($E5))),AND($F5&lt;&gt;"",NOT(ISNUMBER($F5))),AND($G5&lt;&gt;"",NOT(ISNUMBER($G5)))),"Fecha no válida"&amp;" · ","")&amp;IF(AND(ISNUMBER($AM5),ISNUMBER($AN5),$AM5&gt;$AN5),"Inicio posterior a fecha límite"&amp;" · ","")&amp;IF(AND($V5="Macro",$H5&lt;&gt;"",OR(NOT(ISNUMBER($H5)),$H5&lt;0,$H5&gt;1)),"Peso fuera de rango"&amp;" · ","")&amp;IF(AND($V5="Sub",$H5&lt;&gt;""),"Las subactividades no llevan peso (valen igual dentro de su macroactividad)"&amp;" · ","")&amp;IF(AND(N($W5)&gt;0,COUNT($I5:$L5)&gt;0),"Con subactividades: deje vacías las semanas (se calculan solas)"&amp;" · ","")&amp;IF((COUNTIF($I5:$L5,"&gt;1")+COUNTIF($I5:$L5,"&lt;0")+COUNTA($I5:$L5)-COUNT($I5:$L5))&gt;0,"Avance fuera de rango 0-100%"&amp;" · ","")&amp;IF(OR(AND($J5&lt;&gt;"",$J5&lt;$I5),AND($K5&lt;&gt;"",$K5&lt;MAX($I5:$J5)),AND($L5&lt;&gt;"",$L5&lt;MAX($I5:$K5))),"Avance semanal decreciente"&amp;" · ","")&amp;IF(AND(ISNUMBER($AN5),$AN5&lt;FechaRef,IF($V5="Sub",N($X5),N($M5))&lt;1),"Vencida"&amp;" · ","")&amp;IF(AND(ObsObligatoria="Sí",ISNUMBER($AN5),$AN5&lt;FechaRef,IF($V5="Sub",N($X5),N($M5))&lt;1,$Q5=""),"Vencida sin observación"&amp;" · ",""),LEN(IF($C5="","Falta el nombre de la actividad"&amp;" · ","")&amp;IF(AND($V5="Sub",N($U5)=0),"Subactividad sin macroactividad arriba"&amp;" · ","")&amp;IF($AM5="","Sin fecha de inicio"&amp;" · ","")&amp;IF($AN5="","Sin fecha límite"&amp;" · ","")&amp;IF(AND(LEFT($C5,11)="[Jefatura] ",N($AL5)=0),"No se encuentra en la hoja de la jefatura (elíjala de nuevo en la lista)"&amp;" · ","")&amp;IF(OR(AND($E5&lt;&gt;"",NOT(ISNUMBER($E5))),AND($F5&lt;&gt;"",NOT(ISNUMBER($F5))),AND($G5&lt;&gt;"",NOT(ISNUMBER($G5)))),"Fecha no válida"&amp;" · ","")&amp;IF(AND(ISNUMBER($AM5),ISNUMBER($AN5),$AM5&gt;$AN5),"Inicio posterior a fecha límite"&amp;" · ","")&amp;IF(AND($V5="Macro",$H5&lt;&gt;"",OR(NOT(ISNUMBER($H5)),$H5&lt;0,$H5&gt;1)),"Peso fuera de rango"&amp;" · ","")&amp;IF(AND($V5="Sub",$H5&lt;&gt;""),"Las subactividades no llevan peso (valen igual dentro de su macroactividad)"&amp;" · ","")&amp;IF(AND(N($W5)&gt;0,COUNT($I5:$L5)&gt;0),"Con subactividades: deje vacías las semanas (se calculan solas)"&amp;" · ","")&amp;IF((COUNTIF($I5:$L5,"&gt;1")+COUNTIF($I5:$L5,"&lt;0")+COUNTA($I5:$L5)-COUNT($I5:$L5))&gt;0,"Avance fuera de rango 0-100%"&amp;" · ","")&amp;IF(OR(AND($J5&lt;&gt;"",$J5&lt;$I5),AND($K5&lt;&gt;"",$K5&lt;MAX($I5:$J5)),AND($L5&lt;&gt;"",$L5&lt;MAX($I5:$K5))),"Avance semanal decreciente"&amp;" · ","")&amp;IF(AND(ISNUMBER($AN5),$AN5&lt;FechaRef,IF($V5="Sub",N($X5),N($M5))&lt;1),"Vencida"&amp;" · ","")&amp;IF(AND(ObsObligatoria="Sí",ISNUMBER($AN5),$AN5&lt;FechaRef,IF($V5="Sub",N($X5),N($M5))&lt;1,$Q5=""),"Vencida sin observación"&amp;" · ",""))-3)))</f>
        <v/>
      </c>
      <c r="S5" s="64">
        <f>IF(NOT((COUNTA($B5:$D5)+COUNTA($G5:$L5)+COUNTA($Q5))&gt;0),"",IF(AND($V5="Sub",N($U5)&gt;0),IF(ISNUMBER(INDEX($AM$5:$AM$1000,$U5-4)),DATE(YEAR(INDEX($AM$5:$AM$1000,$U5-4)),MONTH(INDEX($AM$5:$AM$1000,$U5-4)),1),IF(ISNUMBER(INDEX($AN$5:$AN$1000,$U5-4)),DATE(YEAR(INDEX($AN$5:$AN$1000,$U5-4)),MONTH(INDEX($AN$5:$AN$1000,$U5-4)),1),MesCiclo)),IF(ISNUMBER($AM5),DATE(YEAR($AM5),MONTH($AM5),1),IF(ISNUMBER($AN5),DATE(YEAR($AN5),MONTH($AN5),1),MesCiclo))))</f>
        <v/>
      </c>
      <c r="T5" s="62">
        <f>IF(OR($S5="",$S5&lt;&gt;MesCiclo,$V5&lt;&gt;"Macro"),"",COUNTIFS($S$5:$S5,MesCiclo,$V$5:$V5,"Macro"))</f>
        <v/>
      </c>
      <c r="U5" s="62">
        <f>IF($V5="","",IF($V5="Macro",ROW(),IFERROR(LOOKUP(2,1/($V$5:$V5="Macro"),ROW($V$5:$V5)),0)))</f>
        <v/>
      </c>
      <c r="V5" s="62">
        <f>IF(NOT((COUNTA($B5:$D5)+COUNTA($G5:$L5)+COUNTA($Q5))&gt;0),"",IF($B5="Subactividad","Sub","Macro"))</f>
        <v/>
      </c>
      <c r="W5" s="62">
        <f>IF($V5="Macro",COUNTIFS($U$5:$U$1000,ROW(),$V$5:$V$1000,"Sub"),"")</f>
        <v/>
      </c>
      <c r="X5" s="62">
        <f>IF($V5="","",IF(ISNUMBER($G5),1,IFERROR(LOOKUP(2,1/($I5:$L5&lt;&gt;""),$I5:$L5),0)))</f>
        <v/>
      </c>
      <c r="Y5" s="62">
        <f>IF($V5="","",IF(AND(ISNUMBER($G5),$G5&lt;=IF($S5=MesCiclo,InicioCiclo,$S5+MOD(2-WEEKDAY($S5),7))+6),1,IF(ISNUMBER($I5),$I5,0)))</f>
        <v/>
      </c>
      <c r="Z5" s="62">
        <f>IF($V5="","",IF(AND(ISNUMBER($G5),$G5&lt;=IF($S5=MesCiclo,InicioCiclo,$S5+MOD(2-WEEKDAY($S5),7))+13),1,IF(ISNUMBER($J5),$J5,$Y5)))</f>
        <v/>
      </c>
      <c r="AA5" s="62">
        <f>IF($V5="","",IF(AND(ISNUMBER($G5),$G5&lt;=IF($S5=MesCiclo,InicioCiclo,$S5+MOD(2-WEEKDAY($S5),7))+20),1,IF(ISNUMBER($K5),$K5,$Z5)))</f>
        <v/>
      </c>
      <c r="AB5" s="62">
        <f>IF($V5="","",IF(AND(ISNUMBER($G5),$G5&lt;=IF($S5=MesCiclo,InicioCiclo,$S5+MOD(2-WEEKDAY($S5),7))+27),1,IF(ISNUMBER($L5),$L5,$AA5)))</f>
        <v/>
      </c>
      <c r="AC5" s="62">
        <f>IF($V5="","",IF(AND(ISNUMBER($G5),$G5&lt;=IF($S5=MesCiclo,InicioCiclo,$S5+MOD(2-WEEKDAY($S5),7))+6),1,IF(N($W5)&gt;0,AVERAGEIFS($Y$5:$Y$1000,$U$5:$U$1000,ROW(),$V$5:$V$1000,"Sub"),$Y5)))</f>
        <v/>
      </c>
      <c r="AD5" s="62">
        <f>IF($V5="","",IF(AND(ISNUMBER($G5),$G5&lt;=IF($S5=MesCiclo,InicioCiclo,$S5+MOD(2-WEEKDAY($S5),7))+13),1,IF(N($W5)&gt;0,AVERAGEIFS($Z$5:$Z$1000,$U$5:$U$1000,ROW(),$V$5:$V$1000,"Sub"),$Z5)))</f>
        <v/>
      </c>
      <c r="AE5" s="62">
        <f>IF($V5="","",IF(AND(ISNUMBER($G5),$G5&lt;=IF($S5=MesCiclo,InicioCiclo,$S5+MOD(2-WEEKDAY($S5),7))+20),1,IF(N($W5)&gt;0,AVERAGEIFS($AA$5:$AA$1000,$U$5:$U$1000,ROW(),$V$5:$V$1000,"Sub"),$AA5)))</f>
        <v/>
      </c>
      <c r="AF5" s="62">
        <f>IF($V5="","",IF(AND(ISNUMBER($G5),$G5&lt;=IF($S5=MesCiclo,InicioCiclo,$S5+MOD(2-WEEKDAY($S5),7))+27),1,IF(N($W5)&gt;0,AVERAGEIFS($AB$5:$AB$1000,$U$5:$U$1000,ROW(),$V$5:$V$1000,"Sub"),$AB5)))</f>
        <v/>
      </c>
      <c r="AG5" s="62">
        <f>IF($V5&lt;&gt;"Macro","",IF(COUNTIFS($S$5:$S$1000,$S5,$V$5:$V$1000,"Macro",$H$5:$H$1000,"&gt;0")=0,1/COUNTIFS($S$5:$S$1000,$S5,$V$5:$V$1000,"Macro"),IF(AND(ISNUMBER($H5),N($H5)&gt;0),$H5,SUMIFS($H$5:$H$1000,$S$5:$S$1000,$S5,$V$5:$V$1000,"Macro")/COUNTIFS($S$5:$S$1000,$S5,$V$5:$V$1000,"Macro",$H$5:$H$1000,"&gt;0"))/(COUNTIFS($S$5:$S$1000,$S5,$V$5:$V$1000,"Macro")*SUMIFS($H$5:$H$1000,$S$5:$S$1000,$S5,$V$5:$V$1000,"Macro")/COUNTIFS($S$5:$S$1000,$S5,$V$5:$V$1000,"Macro",$H$5:$H$1000,"&gt;0"))))</f>
        <v/>
      </c>
      <c r="AH5" s="62" t="n"/>
      <c r="AI5" s="62" t="n"/>
      <c r="AJ5" s="62" t="n"/>
      <c r="AK5" s="62" t="n"/>
      <c r="AL5" s="62">
        <f>IF(LEFT($C5,11)="[Jefatura] ",IFERROR(MATCH("Riesgo Operacional|"&amp;MID($C5,12,500),rDname_ADM,0),0),"")</f>
        <v/>
      </c>
      <c r="AM5" s="62">
        <f>IF(N($AL5)&gt;0,INDEX(rIni_ADM,$AL5),IF(ISNUMBER($E5),$E5,""))</f>
        <v/>
      </c>
      <c r="AN5" s="62">
        <f>IF(N($AL5)&gt;0,INDEX(rLim_ADM,$AL5),IF(ISNUMBER($F5),$F5,""))</f>
        <v/>
      </c>
    </row>
    <row r="6">
      <c r="A6" s="56">
        <f>IF(NOT((COUNTA($B6:$D6)+COUNTA($G6:$L6)+COUNTA($Q6))&gt;0),"",IF($V6="Macro",COUNTIFS($V$5:$V6,"Macro",$S$5:$S6,$S6),IF(N($U6)=0,"?",COUNTIFS(INDEX($V$5:$V$1000,1):INDEX($V$5:$V$1000,$U6-4),"Macro",INDEX($S$5:$S$1000,1):INDEX($S$5:$S$1000,$U6-4),INDEX($S$5:$S$1000,$U6-4))&amp;"."&amp;COUNTIFS($U$5:$U6,$U6,$V$5:$V6,"Sub"))))</f>
        <v/>
      </c>
      <c r="B6" s="57" t="inlineStr">
        <is>
          <t>Subactividad</t>
        </is>
      </c>
      <c r="C6" s="58" t="inlineStr">
        <is>
          <t>Levantar información</t>
        </is>
      </c>
      <c r="D6" s="58" t="n"/>
      <c r="E6" s="59" t="n">
        <v>46300</v>
      </c>
      <c r="F6" s="59" t="n">
        <v>46325</v>
      </c>
      <c r="G6" s="59" t="n"/>
      <c r="H6" s="60" t="n"/>
      <c r="I6" s="60" t="n">
        <v>0.5</v>
      </c>
      <c r="J6" s="60" t="n"/>
      <c r="K6" s="60" t="n"/>
      <c r="L6" s="60" t="n"/>
      <c r="M6" s="61">
        <f>IF(NOT((COUNTA($B6:$D6)+COUNTA($G6:$L6)+COUNTA($Q6))&gt;0),"",IF($V6="Sub",IFERROR($X6/INDEX($W$5:$W$1000,$U6-4),""),IF(ISNUMBER($G6),1,IF(N($W6)&gt;0,AVERAGEIFS($X$5:$X$1000,$U$5:$U$1000,ROW(),$V$5:$V$1000,"Sub"),$X6))))</f>
        <v/>
      </c>
      <c r="N6" s="56">
        <f>IF(OR($M6="",$V6="Sub"),"",IF($M6&gt;=1,"Completado",IF($M6&gt;0,"En curso","Pendiente")))</f>
        <v/>
      </c>
      <c r="O6" s="56">
        <f>IF(OR(NOT((COUNTA($B6:$D6)+COUNTA($G6:$L6)+COUNTA($Q6))&gt;0),$V6="Sub"),"",IF(ISNUMBER($G6),IF(AND(ISNUMBER($AN6),$G6&gt;$AN6),"Cumplida con "&amp;($G6-$AN6)&amp;IF($G6-$AN6=1," día"," días")&amp;" de retraso","Cumplida"),IF(N($M6)&gt;=1,"Cumplida",IF(NOT(ISNUMBER($AN6)),"Sin fecha límite",IF($AN6&lt;FechaRef,"Vencida hace "&amp;(FechaRef-$AN6)&amp;IF(FechaRef-$AN6=1," día"," días"),IF($AN6=FechaRef,"Vence hoy",IF($AN6-FechaRef&lt;=DiasAlerta,"Vence en "&amp;($AN6-FechaRef)&amp;IF($AN6-FechaRef=1," día"," días"),"En plazo")))))))</f>
        <v/>
      </c>
      <c r="P6" s="62" t="n"/>
      <c r="Q6" s="58" t="n"/>
      <c r="R6" s="63">
        <f>IF(NOT((COUNTA($B6:$D6)+COUNTA($G6:$L6)+COUNTA($Q6))&gt;0),"",IF((IF($C6="","Falta el nombre de la actividad"&amp;" · ","")&amp;IF(AND($V6="Sub",N($U6)=0),"Subactividad sin macroactividad arriba"&amp;" · ","")&amp;IF($AM6="","Sin fecha de inicio"&amp;" · ","")&amp;IF($AN6="","Sin fecha límite"&amp;" · ","")&amp;IF(AND(LEFT($C6,11)="[Jefatura] ",N($AL6)=0),"No se encuentra en la hoja de la jefatura (elíjala de nuevo en la lista)"&amp;" · ","")&amp;IF(OR(AND($E6&lt;&gt;"",NOT(ISNUMBER($E6))),AND($F6&lt;&gt;"",NOT(ISNUMBER($F6))),AND($G6&lt;&gt;"",NOT(ISNUMBER($G6)))),"Fecha no válida"&amp;" · ","")&amp;IF(AND(ISNUMBER($AM6),ISNUMBER($AN6),$AM6&gt;$AN6),"Inicio posterior a fecha límite"&amp;" · ","")&amp;IF(AND($V6="Macro",$H6&lt;&gt;"",OR(NOT(ISNUMBER($H6)),$H6&lt;0,$H6&gt;1)),"Peso fuera de rango"&amp;" · ","")&amp;IF(AND($V6="Sub",$H6&lt;&gt;""),"Las subactividades no llevan peso (valen igual dentro de su macroactividad)"&amp;" · ","")&amp;IF(AND(N($W6)&gt;0,COUNT($I6:$L6)&gt;0),"Con subactividades: deje vacías las semanas (se calculan solas)"&amp;" · ","")&amp;IF((COUNTIF($I6:$L6,"&gt;1")+COUNTIF($I6:$L6,"&lt;0")+COUNTA($I6:$L6)-COUNT($I6:$L6))&gt;0,"Avance fuera de rango 0-100%"&amp;" · ","")&amp;IF(OR(AND($J6&lt;&gt;"",$J6&lt;$I6),AND($K6&lt;&gt;"",$K6&lt;MAX($I6:$J6)),AND($L6&lt;&gt;"",$L6&lt;MAX($I6:$K6))),"Avance semanal decreciente"&amp;" · ","")&amp;IF(AND(ISNUMBER($AN6),$AN6&lt;FechaRef,IF($V6="Sub",N($X6),N($M6))&lt;1),"Vencida"&amp;" · ","")&amp;IF(AND(ObsObligatoria="Sí",ISNUMBER($AN6),$AN6&lt;FechaRef,IF($V6="Sub",N($X6),N($M6))&lt;1,$Q6=""),"Vencida sin observación"&amp;" · ",""))="","✔ OK","⚠ "&amp;LEFT(IF($C6="","Falta el nombre de la actividad"&amp;" · ","")&amp;IF(AND($V6="Sub",N($U6)=0),"Subactividad sin macroactividad arriba"&amp;" · ","")&amp;IF($AM6="","Sin fecha de inicio"&amp;" · ","")&amp;IF($AN6="","Sin fecha límite"&amp;" · ","")&amp;IF(AND(LEFT($C6,11)="[Jefatura] ",N($AL6)=0),"No se encuentra en la hoja de la jefatura (elíjala de nuevo en la lista)"&amp;" · ","")&amp;IF(OR(AND($E6&lt;&gt;"",NOT(ISNUMBER($E6))),AND($F6&lt;&gt;"",NOT(ISNUMBER($F6))),AND($G6&lt;&gt;"",NOT(ISNUMBER($G6)))),"Fecha no válida"&amp;" · ","")&amp;IF(AND(ISNUMBER($AM6),ISNUMBER($AN6),$AM6&gt;$AN6),"Inicio posterior a fecha límite"&amp;" · ","")&amp;IF(AND($V6="Macro",$H6&lt;&gt;"",OR(NOT(ISNUMBER($H6)),$H6&lt;0,$H6&gt;1)),"Peso fuera de rango"&amp;" · ","")&amp;IF(AND($V6="Sub",$H6&lt;&gt;""),"Las subactividades no llevan peso (valen igual dentro de su macroactividad)"&amp;" · ","")&amp;IF(AND(N($W6)&gt;0,COUNT($I6:$L6)&gt;0),"Con subactividades: deje vacías las semanas (se calculan solas)"&amp;" · ","")&amp;IF((COUNTIF($I6:$L6,"&gt;1")+COUNTIF($I6:$L6,"&lt;0")+COUNTA($I6:$L6)-COUNT($I6:$L6))&gt;0,"Avance fuera de rango 0-100%"&amp;" · ","")&amp;IF(OR(AND($J6&lt;&gt;"",$J6&lt;$I6),AND($K6&lt;&gt;"",$K6&lt;MAX($I6:$J6)),AND($L6&lt;&gt;"",$L6&lt;MAX($I6:$K6))),"Avance semanal decreciente"&amp;" · ","")&amp;IF(AND(ISNUMBER($AN6),$AN6&lt;FechaRef,IF($V6="Sub",N($X6),N($M6))&lt;1),"Vencida"&amp;" · ","")&amp;IF(AND(ObsObligatoria="Sí",ISNUMBER($AN6),$AN6&lt;FechaRef,IF($V6="Sub",N($X6),N($M6))&lt;1,$Q6=""),"Vencida sin observación"&amp;" · ",""),LEN(IF($C6="","Falta el nombre de la actividad"&amp;" · ","")&amp;IF(AND($V6="Sub",N($U6)=0),"Subactividad sin macroactividad arriba"&amp;" · ","")&amp;IF($AM6="","Sin fecha de inicio"&amp;" · ","")&amp;IF($AN6="","Sin fecha límite"&amp;" · ","")&amp;IF(AND(LEFT($C6,11)="[Jefatura] ",N($AL6)=0),"No se encuentra en la hoja de la jefatura (elíjala de nuevo en la lista)"&amp;" · ","")&amp;IF(OR(AND($E6&lt;&gt;"",NOT(ISNUMBER($E6))),AND($F6&lt;&gt;"",NOT(ISNUMBER($F6))),AND($G6&lt;&gt;"",NOT(ISNUMBER($G6)))),"Fecha no válida"&amp;" · ","")&amp;IF(AND(ISNUMBER($AM6),ISNUMBER($AN6),$AM6&gt;$AN6),"Inicio posterior a fecha límite"&amp;" · ","")&amp;IF(AND($V6="Macro",$H6&lt;&gt;"",OR(NOT(ISNUMBER($H6)),$H6&lt;0,$H6&gt;1)),"Peso fuera de rango"&amp;" · ","")&amp;IF(AND($V6="Sub",$H6&lt;&gt;""),"Las subactividades no llevan peso (valen igual dentro de su macroactividad)"&amp;" · ","")&amp;IF(AND(N($W6)&gt;0,COUNT($I6:$L6)&gt;0),"Con subactividades: deje vacías las semanas (se calculan solas)"&amp;" · ","")&amp;IF((COUNTIF($I6:$L6,"&gt;1")+COUNTIF($I6:$L6,"&lt;0")+COUNTA($I6:$L6)-COUNT($I6:$L6))&gt;0,"Avance fuera de rango 0-100%"&amp;" · ","")&amp;IF(OR(AND($J6&lt;&gt;"",$J6&lt;$I6),AND($K6&lt;&gt;"",$K6&lt;MAX($I6:$J6)),AND($L6&lt;&gt;"",$L6&lt;MAX($I6:$K6))),"Avance semanal decreciente"&amp;" · ","")&amp;IF(AND(ISNUMBER($AN6),$AN6&lt;FechaRef,IF($V6="Sub",N($X6),N($M6))&lt;1),"Vencida"&amp;" · ","")&amp;IF(AND(ObsObligatoria="Sí",ISNUMBER($AN6),$AN6&lt;FechaRef,IF($V6="Sub",N($X6),N($M6))&lt;1,$Q6=""),"Vencida sin observación"&amp;" · ",""))-3)))</f>
        <v/>
      </c>
      <c r="S6" s="64">
        <f>IF(NOT((COUNTA($B6:$D6)+COUNTA($G6:$L6)+COUNTA($Q6))&gt;0),"",IF(AND($V6="Sub",N($U6)&gt;0),IF(ISNUMBER(INDEX($AM$5:$AM$1000,$U6-4)),DATE(YEAR(INDEX($AM$5:$AM$1000,$U6-4)),MONTH(INDEX($AM$5:$AM$1000,$U6-4)),1),IF(ISNUMBER(INDEX($AN$5:$AN$1000,$U6-4)),DATE(YEAR(INDEX($AN$5:$AN$1000,$U6-4)),MONTH(INDEX($AN$5:$AN$1000,$U6-4)),1),MesCiclo)),IF(ISNUMBER($AM6),DATE(YEAR($AM6),MONTH($AM6),1),IF(ISNUMBER($AN6),DATE(YEAR($AN6),MONTH($AN6),1),MesCiclo))))</f>
        <v/>
      </c>
      <c r="T6" s="62">
        <f>IF(OR($S6="",$S6&lt;&gt;MesCiclo,$V6&lt;&gt;"Macro"),"",COUNTIFS($S$5:$S6,MesCiclo,$V$5:$V6,"Macro"))</f>
        <v/>
      </c>
      <c r="U6" s="62">
        <f>IF($V6="","",IF($V6="Macro",ROW(),IFERROR(LOOKUP(2,1/($V$5:$V6="Macro"),ROW($V$5:$V6)),0)))</f>
        <v/>
      </c>
      <c r="V6" s="62">
        <f>IF(NOT((COUNTA($B6:$D6)+COUNTA($G6:$L6)+COUNTA($Q6))&gt;0),"",IF($B6="Subactividad","Sub","Macro"))</f>
        <v/>
      </c>
      <c r="W6" s="62">
        <f>IF($V6="Macro",COUNTIFS($U$5:$U$1000,ROW(),$V$5:$V$1000,"Sub"),"")</f>
        <v/>
      </c>
      <c r="X6" s="62">
        <f>IF($V6="","",IF(ISNUMBER($G6),1,IFERROR(LOOKUP(2,1/($I6:$L6&lt;&gt;""),$I6:$L6),0)))</f>
        <v/>
      </c>
      <c r="Y6" s="62">
        <f>IF($V6="","",IF(AND(ISNUMBER($G6),$G6&lt;=IF($S6=MesCiclo,InicioCiclo,$S6+MOD(2-WEEKDAY($S6),7))+6),1,IF(ISNUMBER($I6),$I6,0)))</f>
        <v/>
      </c>
      <c r="Z6" s="62">
        <f>IF($V6="","",IF(AND(ISNUMBER($G6),$G6&lt;=IF($S6=MesCiclo,InicioCiclo,$S6+MOD(2-WEEKDAY($S6),7))+13),1,IF(ISNUMBER($J6),$J6,$Y6)))</f>
        <v/>
      </c>
      <c r="AA6" s="62">
        <f>IF($V6="","",IF(AND(ISNUMBER($G6),$G6&lt;=IF($S6=MesCiclo,InicioCiclo,$S6+MOD(2-WEEKDAY($S6),7))+20),1,IF(ISNUMBER($K6),$K6,$Z6)))</f>
        <v/>
      </c>
      <c r="AB6" s="62">
        <f>IF($V6="","",IF(AND(ISNUMBER($G6),$G6&lt;=IF($S6=MesCiclo,InicioCiclo,$S6+MOD(2-WEEKDAY($S6),7))+27),1,IF(ISNUMBER($L6),$L6,$AA6)))</f>
        <v/>
      </c>
      <c r="AC6" s="62">
        <f>IF($V6="","",IF(AND(ISNUMBER($G6),$G6&lt;=IF($S6=MesCiclo,InicioCiclo,$S6+MOD(2-WEEKDAY($S6),7))+6),1,IF(N($W6)&gt;0,AVERAGEIFS($Y$5:$Y$1000,$U$5:$U$1000,ROW(),$V$5:$V$1000,"Sub"),$Y6)))</f>
        <v/>
      </c>
      <c r="AD6" s="62">
        <f>IF($V6="","",IF(AND(ISNUMBER($G6),$G6&lt;=IF($S6=MesCiclo,InicioCiclo,$S6+MOD(2-WEEKDAY($S6),7))+13),1,IF(N($W6)&gt;0,AVERAGEIFS($Z$5:$Z$1000,$U$5:$U$1000,ROW(),$V$5:$V$1000,"Sub"),$Z6)))</f>
        <v/>
      </c>
      <c r="AE6" s="62">
        <f>IF($V6="","",IF(AND(ISNUMBER($G6),$G6&lt;=IF($S6=MesCiclo,InicioCiclo,$S6+MOD(2-WEEKDAY($S6),7))+20),1,IF(N($W6)&gt;0,AVERAGEIFS($AA$5:$AA$1000,$U$5:$U$1000,ROW(),$V$5:$V$1000,"Sub"),$AA6)))</f>
        <v/>
      </c>
      <c r="AF6" s="62">
        <f>IF($V6="","",IF(AND(ISNUMBER($G6),$G6&lt;=IF($S6=MesCiclo,InicioCiclo,$S6+MOD(2-WEEKDAY($S6),7))+27),1,IF(N($W6)&gt;0,AVERAGEIFS($AB$5:$AB$1000,$U$5:$U$1000,ROW(),$V$5:$V$1000,"Sub"),$AB6)))</f>
        <v/>
      </c>
      <c r="AG6" s="62">
        <f>IF($V6&lt;&gt;"Macro","",IF(COUNTIFS($S$5:$S$1000,$S6,$V$5:$V$1000,"Macro",$H$5:$H$1000,"&gt;0")=0,1/COUNTIFS($S$5:$S$1000,$S6,$V$5:$V$1000,"Macro"),IF(AND(ISNUMBER($H6),N($H6)&gt;0),$H6,SUMIFS($H$5:$H$1000,$S$5:$S$1000,$S6,$V$5:$V$1000,"Macro")/COUNTIFS($S$5:$S$1000,$S6,$V$5:$V$1000,"Macro",$H$5:$H$1000,"&gt;0"))/(COUNTIFS($S$5:$S$1000,$S6,$V$5:$V$1000,"Macro")*SUMIFS($H$5:$H$1000,$S$5:$S$1000,$S6,$V$5:$V$1000,"Macro")/COUNTIFS($S$5:$S$1000,$S6,$V$5:$V$1000,"Macro",$H$5:$H$1000,"&gt;0"))))</f>
        <v/>
      </c>
      <c r="AH6" s="62" t="n"/>
      <c r="AI6" s="62" t="n"/>
      <c r="AJ6" s="62" t="n"/>
      <c r="AK6" s="62" t="n"/>
      <c r="AL6" s="62">
        <f>IF(LEFT($C6,11)="[Jefatura] ",IFERROR(MATCH("Riesgo Operacional|"&amp;MID($C6,12,500),rDname_ADM,0),0),"")</f>
        <v/>
      </c>
      <c r="AM6" s="62">
        <f>IF(N($AL6)&gt;0,INDEX(rIni_ADM,$AL6),IF(ISNUMBER($E6),$E6,""))</f>
        <v/>
      </c>
      <c r="AN6" s="62">
        <f>IF(N($AL6)&gt;0,INDEX(rLim_ADM,$AL6),IF(ISNUMBER($F6),$F6,""))</f>
        <v/>
      </c>
    </row>
    <row r="7">
      <c r="A7" s="56">
        <f>IF(NOT((COUNTA($B7:$D7)+COUNTA($G7:$L7)+COUNTA($Q7))&gt;0),"",IF($V7="Macro",COUNTIFS($V$5:$V7,"Macro",$S$5:$S7,$S7),IF(N($U7)=0,"?",COUNTIFS(INDEX($V$5:$V$1000,1):INDEX($V$5:$V$1000,$U7-4),"Macro",INDEX($S$5:$S$1000,1):INDEX($S$5:$S$1000,$U7-4),INDEX($S$5:$S$1000,$U7-4))&amp;"."&amp;COUNTIFS($U$5:$U7,$U7,$V$5:$V7,"Sub"))))</f>
        <v/>
      </c>
      <c r="B7" s="57" t="inlineStr">
        <is>
          <t>Subactividad</t>
        </is>
      </c>
      <c r="C7" s="58" t="inlineStr">
        <is>
          <t>Validar con áreas</t>
        </is>
      </c>
      <c r="D7" s="58" t="n"/>
      <c r="E7" s="59" t="n">
        <v>46300</v>
      </c>
      <c r="F7" s="59" t="n">
        <v>46325</v>
      </c>
      <c r="G7" s="59" t="n"/>
      <c r="H7" s="60" t="n"/>
      <c r="I7" s="60" t="n">
        <v>0.5</v>
      </c>
      <c r="J7" s="60" t="n">
        <v>1</v>
      </c>
      <c r="K7" s="60" t="n"/>
      <c r="L7" s="60" t="n"/>
      <c r="M7" s="61">
        <f>IF(NOT((COUNTA($B7:$D7)+COUNTA($G7:$L7)+COUNTA($Q7))&gt;0),"",IF($V7="Sub",IFERROR($X7/INDEX($W$5:$W$1000,$U7-4),""),IF(ISNUMBER($G7),1,IF(N($W7)&gt;0,AVERAGEIFS($X$5:$X$1000,$U$5:$U$1000,ROW(),$V$5:$V$1000,"Sub"),$X7))))</f>
        <v/>
      </c>
      <c r="N7" s="56">
        <f>IF(OR($M7="",$V7="Sub"),"",IF($M7&gt;=1,"Completado",IF($M7&gt;0,"En curso","Pendiente")))</f>
        <v/>
      </c>
      <c r="O7" s="56">
        <f>IF(OR(NOT((COUNTA($B7:$D7)+COUNTA($G7:$L7)+COUNTA($Q7))&gt;0),$V7="Sub"),"",IF(ISNUMBER($G7),IF(AND(ISNUMBER($AN7),$G7&gt;$AN7),"Cumplida con "&amp;($G7-$AN7)&amp;IF($G7-$AN7=1," día"," días")&amp;" de retraso","Cumplida"),IF(N($M7)&gt;=1,"Cumplida",IF(NOT(ISNUMBER($AN7)),"Sin fecha límite",IF($AN7&lt;FechaRef,"Vencida hace "&amp;(FechaRef-$AN7)&amp;IF(FechaRef-$AN7=1," día"," días"),IF($AN7=FechaRef,"Vence hoy",IF($AN7-FechaRef&lt;=DiasAlerta,"Vence en "&amp;($AN7-FechaRef)&amp;IF($AN7-FechaRef=1," día"," días"),"En plazo")))))))</f>
        <v/>
      </c>
      <c r="P7" s="62" t="n"/>
      <c r="Q7" s="58" t="n"/>
      <c r="R7" s="63">
        <f>IF(NOT((COUNTA($B7:$D7)+COUNTA($G7:$L7)+COUNTA($Q7))&gt;0),"",IF((IF($C7="","Falta el nombre de la actividad"&amp;" · ","")&amp;IF(AND($V7="Sub",N($U7)=0),"Subactividad sin macroactividad arriba"&amp;" · ","")&amp;IF($AM7="","Sin fecha de inicio"&amp;" · ","")&amp;IF($AN7="","Sin fecha límite"&amp;" · ","")&amp;IF(AND(LEFT($C7,11)="[Jefatura] ",N($AL7)=0),"No se encuentra en la hoja de la jefatura (elíjala de nuevo en la lista)"&amp;" · ","")&amp;IF(OR(AND($E7&lt;&gt;"",NOT(ISNUMBER($E7))),AND($F7&lt;&gt;"",NOT(ISNUMBER($F7))),AND($G7&lt;&gt;"",NOT(ISNUMBER($G7)))),"Fecha no válida"&amp;" · ","")&amp;IF(AND(ISNUMBER($AM7),ISNUMBER($AN7),$AM7&gt;$AN7),"Inicio posterior a fecha límite"&amp;" · ","")&amp;IF(AND($V7="Macro",$H7&lt;&gt;"",OR(NOT(ISNUMBER($H7)),$H7&lt;0,$H7&gt;1)),"Peso fuera de rango"&amp;" · ","")&amp;IF(AND($V7="Sub",$H7&lt;&gt;""),"Las subactividades no llevan peso (valen igual dentro de su macroactividad)"&amp;" · ","")&amp;IF(AND(N($W7)&gt;0,COUNT($I7:$L7)&gt;0),"Con subactividades: deje vacías las semanas (se calculan solas)"&amp;" · ","")&amp;IF((COUNTIF($I7:$L7,"&gt;1")+COUNTIF($I7:$L7,"&lt;0")+COUNTA($I7:$L7)-COUNT($I7:$L7))&gt;0,"Avance fuera de rango 0-100%"&amp;" · ","")&amp;IF(OR(AND($J7&lt;&gt;"",$J7&lt;$I7),AND($K7&lt;&gt;"",$K7&lt;MAX($I7:$J7)),AND($L7&lt;&gt;"",$L7&lt;MAX($I7:$K7))),"Avance semanal decreciente"&amp;" · ","")&amp;IF(AND(ISNUMBER($AN7),$AN7&lt;FechaRef,IF($V7="Sub",N($X7),N($M7))&lt;1),"Vencida"&amp;" · ","")&amp;IF(AND(ObsObligatoria="Sí",ISNUMBER($AN7),$AN7&lt;FechaRef,IF($V7="Sub",N($X7),N($M7))&lt;1,$Q7=""),"Vencida sin observación"&amp;" · ",""))="","✔ OK","⚠ "&amp;LEFT(IF($C7="","Falta el nombre de la actividad"&amp;" · ","")&amp;IF(AND($V7="Sub",N($U7)=0),"Subactividad sin macroactividad arriba"&amp;" · ","")&amp;IF($AM7="","Sin fecha de inicio"&amp;" · ","")&amp;IF($AN7="","Sin fecha límite"&amp;" · ","")&amp;IF(AND(LEFT($C7,11)="[Jefatura] ",N($AL7)=0),"No se encuentra en la hoja de la jefatura (elíjala de nuevo en la lista)"&amp;" · ","")&amp;IF(OR(AND($E7&lt;&gt;"",NOT(ISNUMBER($E7))),AND($F7&lt;&gt;"",NOT(ISNUMBER($F7))),AND($G7&lt;&gt;"",NOT(ISNUMBER($G7)))),"Fecha no válida"&amp;" · ","")&amp;IF(AND(ISNUMBER($AM7),ISNUMBER($AN7),$AM7&gt;$AN7),"Inicio posterior a fecha límite"&amp;" · ","")&amp;IF(AND($V7="Macro",$H7&lt;&gt;"",OR(NOT(ISNUMBER($H7)),$H7&lt;0,$H7&gt;1)),"Peso fuera de rango"&amp;" · ","")&amp;IF(AND($V7="Sub",$H7&lt;&gt;""),"Las subactividades no llevan peso (valen igual dentro de su macroactividad)"&amp;" · ","")&amp;IF(AND(N($W7)&gt;0,COUNT($I7:$L7)&gt;0),"Con subactividades: deje vacías las semanas (se calculan solas)"&amp;" · ","")&amp;IF((COUNTIF($I7:$L7,"&gt;1")+COUNTIF($I7:$L7,"&lt;0")+COUNTA($I7:$L7)-COUNT($I7:$L7))&gt;0,"Avance fuera de rango 0-100%"&amp;" · ","")&amp;IF(OR(AND($J7&lt;&gt;"",$J7&lt;$I7),AND($K7&lt;&gt;"",$K7&lt;MAX($I7:$J7)),AND($L7&lt;&gt;"",$L7&lt;MAX($I7:$K7))),"Avance semanal decreciente"&amp;" · ","")&amp;IF(AND(ISNUMBER($AN7),$AN7&lt;FechaRef,IF($V7="Sub",N($X7),N($M7))&lt;1),"Vencida"&amp;" · ","")&amp;IF(AND(ObsObligatoria="Sí",ISNUMBER($AN7),$AN7&lt;FechaRef,IF($V7="Sub",N($X7),N($M7))&lt;1,$Q7=""),"Vencida sin observación"&amp;" · ",""),LEN(IF($C7="","Falta el nombre de la actividad"&amp;" · ","")&amp;IF(AND($V7="Sub",N($U7)=0),"Subactividad sin macroactividad arriba"&amp;" · ","")&amp;IF($AM7="","Sin fecha de inicio"&amp;" · ","")&amp;IF($AN7="","Sin fecha límite"&amp;" · ","")&amp;IF(AND(LEFT($C7,11)="[Jefatura] ",N($AL7)=0),"No se encuentra en la hoja de la jefatura (elíjala de nuevo en la lista)"&amp;" · ","")&amp;IF(OR(AND($E7&lt;&gt;"",NOT(ISNUMBER($E7))),AND($F7&lt;&gt;"",NOT(ISNUMBER($F7))),AND($G7&lt;&gt;"",NOT(ISNUMBER($G7)))),"Fecha no válida"&amp;" · ","")&amp;IF(AND(ISNUMBER($AM7),ISNUMBER($AN7),$AM7&gt;$AN7),"Inicio posterior a fecha límite"&amp;" · ","")&amp;IF(AND($V7="Macro",$H7&lt;&gt;"",OR(NOT(ISNUMBER($H7)),$H7&lt;0,$H7&gt;1)),"Peso fuera de rango"&amp;" · ","")&amp;IF(AND($V7="Sub",$H7&lt;&gt;""),"Las subactividades no llevan peso (valen igual dentro de su macroactividad)"&amp;" · ","")&amp;IF(AND(N($W7)&gt;0,COUNT($I7:$L7)&gt;0),"Con subactividades: deje vacías las semanas (se calculan solas)"&amp;" · ","")&amp;IF((COUNTIF($I7:$L7,"&gt;1")+COUNTIF($I7:$L7,"&lt;0")+COUNTA($I7:$L7)-COUNT($I7:$L7))&gt;0,"Avance fuera de rango 0-100%"&amp;" · ","")&amp;IF(OR(AND($J7&lt;&gt;"",$J7&lt;$I7),AND($K7&lt;&gt;"",$K7&lt;MAX($I7:$J7)),AND($L7&lt;&gt;"",$L7&lt;MAX($I7:$K7))),"Avance semanal decreciente"&amp;" · ","")&amp;IF(AND(ISNUMBER($AN7),$AN7&lt;FechaRef,IF($V7="Sub",N($X7),N($M7))&lt;1),"Vencida"&amp;" · ","")&amp;IF(AND(ObsObligatoria="Sí",ISNUMBER($AN7),$AN7&lt;FechaRef,IF($V7="Sub",N($X7),N($M7))&lt;1,$Q7=""),"Vencida sin observación"&amp;" · ",""))-3)))</f>
        <v/>
      </c>
      <c r="S7" s="64">
        <f>IF(NOT((COUNTA($B7:$D7)+COUNTA($G7:$L7)+COUNTA($Q7))&gt;0),"",IF(AND($V7="Sub",N($U7)&gt;0),IF(ISNUMBER(INDEX($AM$5:$AM$1000,$U7-4)),DATE(YEAR(INDEX($AM$5:$AM$1000,$U7-4)),MONTH(INDEX($AM$5:$AM$1000,$U7-4)),1),IF(ISNUMBER(INDEX($AN$5:$AN$1000,$U7-4)),DATE(YEAR(INDEX($AN$5:$AN$1000,$U7-4)),MONTH(INDEX($AN$5:$AN$1000,$U7-4)),1),MesCiclo)),IF(ISNUMBER($AM7),DATE(YEAR($AM7),MONTH($AM7),1),IF(ISNUMBER($AN7),DATE(YEAR($AN7),MONTH($AN7),1),MesCiclo))))</f>
        <v/>
      </c>
      <c r="T7" s="62">
        <f>IF(OR($S7="",$S7&lt;&gt;MesCiclo,$V7&lt;&gt;"Macro"),"",COUNTIFS($S$5:$S7,MesCiclo,$V$5:$V7,"Macro"))</f>
        <v/>
      </c>
      <c r="U7" s="62">
        <f>IF($V7="","",IF($V7="Macro",ROW(),IFERROR(LOOKUP(2,1/($V$5:$V7="Macro"),ROW($V$5:$V7)),0)))</f>
        <v/>
      </c>
      <c r="V7" s="62">
        <f>IF(NOT((COUNTA($B7:$D7)+COUNTA($G7:$L7)+COUNTA($Q7))&gt;0),"",IF($B7="Subactividad","Sub","Macro"))</f>
        <v/>
      </c>
      <c r="W7" s="62">
        <f>IF($V7="Macro",COUNTIFS($U$5:$U$1000,ROW(),$V$5:$V$1000,"Sub"),"")</f>
        <v/>
      </c>
      <c r="X7" s="62">
        <f>IF($V7="","",IF(ISNUMBER($G7),1,IFERROR(LOOKUP(2,1/($I7:$L7&lt;&gt;""),$I7:$L7),0)))</f>
        <v/>
      </c>
      <c r="Y7" s="62">
        <f>IF($V7="","",IF(AND(ISNUMBER($G7),$G7&lt;=IF($S7=MesCiclo,InicioCiclo,$S7+MOD(2-WEEKDAY($S7),7))+6),1,IF(ISNUMBER($I7),$I7,0)))</f>
        <v/>
      </c>
      <c r="Z7" s="62">
        <f>IF($V7="","",IF(AND(ISNUMBER($G7),$G7&lt;=IF($S7=MesCiclo,InicioCiclo,$S7+MOD(2-WEEKDAY($S7),7))+13),1,IF(ISNUMBER($J7),$J7,$Y7)))</f>
        <v/>
      </c>
      <c r="AA7" s="62">
        <f>IF($V7="","",IF(AND(ISNUMBER($G7),$G7&lt;=IF($S7=MesCiclo,InicioCiclo,$S7+MOD(2-WEEKDAY($S7),7))+20),1,IF(ISNUMBER($K7),$K7,$Z7)))</f>
        <v/>
      </c>
      <c r="AB7" s="62">
        <f>IF($V7="","",IF(AND(ISNUMBER($G7),$G7&lt;=IF($S7=MesCiclo,InicioCiclo,$S7+MOD(2-WEEKDAY($S7),7))+27),1,IF(ISNUMBER($L7),$L7,$AA7)))</f>
        <v/>
      </c>
      <c r="AC7" s="62">
        <f>IF($V7="","",IF(AND(ISNUMBER($G7),$G7&lt;=IF($S7=MesCiclo,InicioCiclo,$S7+MOD(2-WEEKDAY($S7),7))+6),1,IF(N($W7)&gt;0,AVERAGEIFS($Y$5:$Y$1000,$U$5:$U$1000,ROW(),$V$5:$V$1000,"Sub"),$Y7)))</f>
        <v/>
      </c>
      <c r="AD7" s="62">
        <f>IF($V7="","",IF(AND(ISNUMBER($G7),$G7&lt;=IF($S7=MesCiclo,InicioCiclo,$S7+MOD(2-WEEKDAY($S7),7))+13),1,IF(N($W7)&gt;0,AVERAGEIFS($Z$5:$Z$1000,$U$5:$U$1000,ROW(),$V$5:$V$1000,"Sub"),$Z7)))</f>
        <v/>
      </c>
      <c r="AE7" s="62">
        <f>IF($V7="","",IF(AND(ISNUMBER($G7),$G7&lt;=IF($S7=MesCiclo,InicioCiclo,$S7+MOD(2-WEEKDAY($S7),7))+20),1,IF(N($W7)&gt;0,AVERAGEIFS($AA$5:$AA$1000,$U$5:$U$1000,ROW(),$V$5:$V$1000,"Sub"),$AA7)))</f>
        <v/>
      </c>
      <c r="AF7" s="62">
        <f>IF($V7="","",IF(AND(ISNUMBER($G7),$G7&lt;=IF($S7=MesCiclo,InicioCiclo,$S7+MOD(2-WEEKDAY($S7),7))+27),1,IF(N($W7)&gt;0,AVERAGEIFS($AB$5:$AB$1000,$U$5:$U$1000,ROW(),$V$5:$V$1000,"Sub"),$AB7)))</f>
        <v/>
      </c>
      <c r="AG7" s="62">
        <f>IF($V7&lt;&gt;"Macro","",IF(COUNTIFS($S$5:$S$1000,$S7,$V$5:$V$1000,"Macro",$H$5:$H$1000,"&gt;0")=0,1/COUNTIFS($S$5:$S$1000,$S7,$V$5:$V$1000,"Macro"),IF(AND(ISNUMBER($H7),N($H7)&gt;0),$H7,SUMIFS($H$5:$H$1000,$S$5:$S$1000,$S7,$V$5:$V$1000,"Macro")/COUNTIFS($S$5:$S$1000,$S7,$V$5:$V$1000,"Macro",$H$5:$H$1000,"&gt;0"))/(COUNTIFS($S$5:$S$1000,$S7,$V$5:$V$1000,"Macro")*SUMIFS($H$5:$H$1000,$S$5:$S$1000,$S7,$V$5:$V$1000,"Macro")/COUNTIFS($S$5:$S$1000,$S7,$V$5:$V$1000,"Macro",$H$5:$H$1000,"&gt;0"))))</f>
        <v/>
      </c>
      <c r="AH7" s="62" t="n"/>
      <c r="AI7" s="62" t="n"/>
      <c r="AJ7" s="62" t="n"/>
      <c r="AK7" s="62" t="n"/>
      <c r="AL7" s="62">
        <f>IF(LEFT($C7,11)="[Jefatura] ",IFERROR(MATCH("Riesgo Operacional|"&amp;MID($C7,12,500),rDname_ADM,0),0),"")</f>
        <v/>
      </c>
      <c r="AM7" s="62">
        <f>IF(N($AL7)&gt;0,INDEX(rIni_ADM,$AL7),IF(ISNUMBER($E7),$E7,""))</f>
        <v/>
      </c>
      <c r="AN7" s="62">
        <f>IF(N($AL7)&gt;0,INDEX(rLim_ADM,$AL7),IF(ISNUMBER($F7),$F7,""))</f>
        <v/>
      </c>
    </row>
    <row r="8">
      <c r="A8" s="56">
        <f>IF(NOT((COUNTA($B8:$D8)+COUNTA($G8:$L8)+COUNTA($Q8))&gt;0),"",IF($V8="Macro",COUNTIFS($V$5:$V8,"Macro",$S$5:$S8,$S8),IF(N($U8)=0,"?",COUNTIFS(INDEX($V$5:$V$1000,1):INDEX($V$5:$V$1000,$U8-4),"Macro",INDEX($S$5:$S$1000,1):INDEX($S$5:$S$1000,$U8-4),INDEX($S$5:$S$1000,$U8-4))&amp;"."&amp;COUNTIFS($U$5:$U8,$U8,$V$5:$V8,"Sub"))))</f>
        <v/>
      </c>
      <c r="B8" s="57" t="inlineStr">
        <is>
          <t>Subactividad</t>
        </is>
      </c>
      <c r="C8" s="58" t="inlineStr">
        <is>
          <t>Elaborar matriz</t>
        </is>
      </c>
      <c r="D8" s="58" t="n"/>
      <c r="E8" s="59" t="n">
        <v>46300</v>
      </c>
      <c r="F8" s="59" t="n">
        <v>46325</v>
      </c>
      <c r="G8" s="59" t="n"/>
      <c r="H8" s="60" t="n"/>
      <c r="I8" s="60" t="n">
        <v>0</v>
      </c>
      <c r="J8" s="60" t="n"/>
      <c r="K8" s="60" t="n"/>
      <c r="L8" s="60" t="n"/>
      <c r="M8" s="61">
        <f>IF(NOT((COUNTA($B8:$D8)+COUNTA($G8:$L8)+COUNTA($Q8))&gt;0),"",IF($V8="Sub",IFERROR($X8/INDEX($W$5:$W$1000,$U8-4),""),IF(ISNUMBER($G8),1,IF(N($W8)&gt;0,AVERAGEIFS($X$5:$X$1000,$U$5:$U$1000,ROW(),$V$5:$V$1000,"Sub"),$X8))))</f>
        <v/>
      </c>
      <c r="N8" s="56">
        <f>IF(OR($M8="",$V8="Sub"),"",IF($M8&gt;=1,"Completado",IF($M8&gt;0,"En curso","Pendiente")))</f>
        <v/>
      </c>
      <c r="O8" s="56">
        <f>IF(OR(NOT((COUNTA($B8:$D8)+COUNTA($G8:$L8)+COUNTA($Q8))&gt;0),$V8="Sub"),"",IF(ISNUMBER($G8),IF(AND(ISNUMBER($AN8),$G8&gt;$AN8),"Cumplida con "&amp;($G8-$AN8)&amp;IF($G8-$AN8=1," día"," días")&amp;" de retraso","Cumplida"),IF(N($M8)&gt;=1,"Cumplida",IF(NOT(ISNUMBER($AN8)),"Sin fecha límite",IF($AN8&lt;FechaRef,"Vencida hace "&amp;(FechaRef-$AN8)&amp;IF(FechaRef-$AN8=1," día"," días"),IF($AN8=FechaRef,"Vence hoy",IF($AN8-FechaRef&lt;=DiasAlerta,"Vence en "&amp;($AN8-FechaRef)&amp;IF($AN8-FechaRef=1," día"," días"),"En plazo")))))))</f>
        <v/>
      </c>
      <c r="P8" s="62" t="n"/>
      <c r="Q8" s="58" t="n"/>
      <c r="R8" s="63">
        <f>IF(NOT((COUNTA($B8:$D8)+COUNTA($G8:$L8)+COUNTA($Q8))&gt;0),"",IF((IF($C8="","Falta el nombre de la actividad"&amp;" · ","")&amp;IF(AND($V8="Sub",N($U8)=0),"Subactividad sin macroactividad arriba"&amp;" · ","")&amp;IF($AM8="","Sin fecha de inicio"&amp;" · ","")&amp;IF($AN8="","Sin fecha límite"&amp;" · ","")&amp;IF(AND(LEFT($C8,11)="[Jefatura] ",N($AL8)=0),"No se encuentra en la hoja de la jefatura (elíjala de nuevo en la lista)"&amp;" · ","")&amp;IF(OR(AND($E8&lt;&gt;"",NOT(ISNUMBER($E8))),AND($F8&lt;&gt;"",NOT(ISNUMBER($F8))),AND($G8&lt;&gt;"",NOT(ISNUMBER($G8)))),"Fecha no válida"&amp;" · ","")&amp;IF(AND(ISNUMBER($AM8),ISNUMBER($AN8),$AM8&gt;$AN8),"Inicio posterior a fecha límite"&amp;" · ","")&amp;IF(AND($V8="Macro",$H8&lt;&gt;"",OR(NOT(ISNUMBER($H8)),$H8&lt;0,$H8&gt;1)),"Peso fuera de rango"&amp;" · ","")&amp;IF(AND($V8="Sub",$H8&lt;&gt;""),"Las subactividades no llevan peso (valen igual dentro de su macroactividad)"&amp;" · ","")&amp;IF(AND(N($W8)&gt;0,COUNT($I8:$L8)&gt;0),"Con subactividades: deje vacías las semanas (se calculan solas)"&amp;" · ","")&amp;IF((COUNTIF($I8:$L8,"&gt;1")+COUNTIF($I8:$L8,"&lt;0")+COUNTA($I8:$L8)-COUNT($I8:$L8))&gt;0,"Avance fuera de rango 0-100%"&amp;" · ","")&amp;IF(OR(AND($J8&lt;&gt;"",$J8&lt;$I8),AND($K8&lt;&gt;"",$K8&lt;MAX($I8:$J8)),AND($L8&lt;&gt;"",$L8&lt;MAX($I8:$K8))),"Avance semanal decreciente"&amp;" · ","")&amp;IF(AND(ISNUMBER($AN8),$AN8&lt;FechaRef,IF($V8="Sub",N($X8),N($M8))&lt;1),"Vencida"&amp;" · ","")&amp;IF(AND(ObsObligatoria="Sí",ISNUMBER($AN8),$AN8&lt;FechaRef,IF($V8="Sub",N($X8),N($M8))&lt;1,$Q8=""),"Vencida sin observación"&amp;" · ",""))="","✔ OK","⚠ "&amp;LEFT(IF($C8="","Falta el nombre de la actividad"&amp;" · ","")&amp;IF(AND($V8="Sub",N($U8)=0),"Subactividad sin macroactividad arriba"&amp;" · ","")&amp;IF($AM8="","Sin fecha de inicio"&amp;" · ","")&amp;IF($AN8="","Sin fecha límite"&amp;" · ","")&amp;IF(AND(LEFT($C8,11)="[Jefatura] ",N($AL8)=0),"No se encuentra en la hoja de la jefatura (elíjala de nuevo en la lista)"&amp;" · ","")&amp;IF(OR(AND($E8&lt;&gt;"",NOT(ISNUMBER($E8))),AND($F8&lt;&gt;"",NOT(ISNUMBER($F8))),AND($G8&lt;&gt;"",NOT(ISNUMBER($G8)))),"Fecha no válida"&amp;" · ","")&amp;IF(AND(ISNUMBER($AM8),ISNUMBER($AN8),$AM8&gt;$AN8),"Inicio posterior a fecha límite"&amp;" · ","")&amp;IF(AND($V8="Macro",$H8&lt;&gt;"",OR(NOT(ISNUMBER($H8)),$H8&lt;0,$H8&gt;1)),"Peso fuera de rango"&amp;" · ","")&amp;IF(AND($V8="Sub",$H8&lt;&gt;""),"Las subactividades no llevan peso (valen igual dentro de su macroactividad)"&amp;" · ","")&amp;IF(AND(N($W8)&gt;0,COUNT($I8:$L8)&gt;0),"Con subactividades: deje vacías las semanas (se calculan solas)"&amp;" · ","")&amp;IF((COUNTIF($I8:$L8,"&gt;1")+COUNTIF($I8:$L8,"&lt;0")+COUNTA($I8:$L8)-COUNT($I8:$L8))&gt;0,"Avance fuera de rango 0-100%"&amp;" · ","")&amp;IF(OR(AND($J8&lt;&gt;"",$J8&lt;$I8),AND($K8&lt;&gt;"",$K8&lt;MAX($I8:$J8)),AND($L8&lt;&gt;"",$L8&lt;MAX($I8:$K8))),"Avance semanal decreciente"&amp;" · ","")&amp;IF(AND(ISNUMBER($AN8),$AN8&lt;FechaRef,IF($V8="Sub",N($X8),N($M8))&lt;1),"Vencida"&amp;" · ","")&amp;IF(AND(ObsObligatoria="Sí",ISNUMBER($AN8),$AN8&lt;FechaRef,IF($V8="Sub",N($X8),N($M8))&lt;1,$Q8=""),"Vencida sin observación"&amp;" · ",""),LEN(IF($C8="","Falta el nombre de la actividad"&amp;" · ","")&amp;IF(AND($V8="Sub",N($U8)=0),"Subactividad sin macroactividad arriba"&amp;" · ","")&amp;IF($AM8="","Sin fecha de inicio"&amp;" · ","")&amp;IF($AN8="","Sin fecha límite"&amp;" · ","")&amp;IF(AND(LEFT($C8,11)="[Jefatura] ",N($AL8)=0),"No se encuentra en la hoja de la jefatura (elíjala de nuevo en la lista)"&amp;" · ","")&amp;IF(OR(AND($E8&lt;&gt;"",NOT(ISNUMBER($E8))),AND($F8&lt;&gt;"",NOT(ISNUMBER($F8))),AND($G8&lt;&gt;"",NOT(ISNUMBER($G8)))),"Fecha no válida"&amp;" · ","")&amp;IF(AND(ISNUMBER($AM8),ISNUMBER($AN8),$AM8&gt;$AN8),"Inicio posterior a fecha límite"&amp;" · ","")&amp;IF(AND($V8="Macro",$H8&lt;&gt;"",OR(NOT(ISNUMBER($H8)),$H8&lt;0,$H8&gt;1)),"Peso fuera de rango"&amp;" · ","")&amp;IF(AND($V8="Sub",$H8&lt;&gt;""),"Las subactividades no llevan peso (valen igual dentro de su macroactividad)"&amp;" · ","")&amp;IF(AND(N($W8)&gt;0,COUNT($I8:$L8)&gt;0),"Con subactividades: deje vacías las semanas (se calculan solas)"&amp;" · ","")&amp;IF((COUNTIF($I8:$L8,"&gt;1")+COUNTIF($I8:$L8,"&lt;0")+COUNTA($I8:$L8)-COUNT($I8:$L8))&gt;0,"Avance fuera de rango 0-100%"&amp;" · ","")&amp;IF(OR(AND($J8&lt;&gt;"",$J8&lt;$I8),AND($K8&lt;&gt;"",$K8&lt;MAX($I8:$J8)),AND($L8&lt;&gt;"",$L8&lt;MAX($I8:$K8))),"Avance semanal decreciente"&amp;" · ","")&amp;IF(AND(ISNUMBER($AN8),$AN8&lt;FechaRef,IF($V8="Sub",N($X8),N($M8))&lt;1),"Vencida"&amp;" · ","")&amp;IF(AND(ObsObligatoria="Sí",ISNUMBER($AN8),$AN8&lt;FechaRef,IF($V8="Sub",N($X8),N($M8))&lt;1,$Q8=""),"Vencida sin observación"&amp;" · ",""))-3)))</f>
        <v/>
      </c>
      <c r="S8" s="64">
        <f>IF(NOT((COUNTA($B8:$D8)+COUNTA($G8:$L8)+COUNTA($Q8))&gt;0),"",IF(AND($V8="Sub",N($U8)&gt;0),IF(ISNUMBER(INDEX($AM$5:$AM$1000,$U8-4)),DATE(YEAR(INDEX($AM$5:$AM$1000,$U8-4)),MONTH(INDEX($AM$5:$AM$1000,$U8-4)),1),IF(ISNUMBER(INDEX($AN$5:$AN$1000,$U8-4)),DATE(YEAR(INDEX($AN$5:$AN$1000,$U8-4)),MONTH(INDEX($AN$5:$AN$1000,$U8-4)),1),MesCiclo)),IF(ISNUMBER($AM8),DATE(YEAR($AM8),MONTH($AM8),1),IF(ISNUMBER($AN8),DATE(YEAR($AN8),MONTH($AN8),1),MesCiclo))))</f>
        <v/>
      </c>
      <c r="T8" s="62">
        <f>IF(OR($S8="",$S8&lt;&gt;MesCiclo,$V8&lt;&gt;"Macro"),"",COUNTIFS($S$5:$S8,MesCiclo,$V$5:$V8,"Macro"))</f>
        <v/>
      </c>
      <c r="U8" s="62">
        <f>IF($V8="","",IF($V8="Macro",ROW(),IFERROR(LOOKUP(2,1/($V$5:$V8="Macro"),ROW($V$5:$V8)),0)))</f>
        <v/>
      </c>
      <c r="V8" s="62">
        <f>IF(NOT((COUNTA($B8:$D8)+COUNTA($G8:$L8)+COUNTA($Q8))&gt;0),"",IF($B8="Subactividad","Sub","Macro"))</f>
        <v/>
      </c>
      <c r="W8" s="62">
        <f>IF($V8="Macro",COUNTIFS($U$5:$U$1000,ROW(),$V$5:$V$1000,"Sub"),"")</f>
        <v/>
      </c>
      <c r="X8" s="62">
        <f>IF($V8="","",IF(ISNUMBER($G8),1,IFERROR(LOOKUP(2,1/($I8:$L8&lt;&gt;""),$I8:$L8),0)))</f>
        <v/>
      </c>
      <c r="Y8" s="62">
        <f>IF($V8="","",IF(AND(ISNUMBER($G8),$G8&lt;=IF($S8=MesCiclo,InicioCiclo,$S8+MOD(2-WEEKDAY($S8),7))+6),1,IF(ISNUMBER($I8),$I8,0)))</f>
        <v/>
      </c>
      <c r="Z8" s="62">
        <f>IF($V8="","",IF(AND(ISNUMBER($G8),$G8&lt;=IF($S8=MesCiclo,InicioCiclo,$S8+MOD(2-WEEKDAY($S8),7))+13),1,IF(ISNUMBER($J8),$J8,$Y8)))</f>
        <v/>
      </c>
      <c r="AA8" s="62">
        <f>IF($V8="","",IF(AND(ISNUMBER($G8),$G8&lt;=IF($S8=MesCiclo,InicioCiclo,$S8+MOD(2-WEEKDAY($S8),7))+20),1,IF(ISNUMBER($K8),$K8,$Z8)))</f>
        <v/>
      </c>
      <c r="AB8" s="62">
        <f>IF($V8="","",IF(AND(ISNUMBER($G8),$G8&lt;=IF($S8=MesCiclo,InicioCiclo,$S8+MOD(2-WEEKDAY($S8),7))+27),1,IF(ISNUMBER($L8),$L8,$AA8)))</f>
        <v/>
      </c>
      <c r="AC8" s="62">
        <f>IF($V8="","",IF(AND(ISNUMBER($G8),$G8&lt;=IF($S8=MesCiclo,InicioCiclo,$S8+MOD(2-WEEKDAY($S8),7))+6),1,IF(N($W8)&gt;0,AVERAGEIFS($Y$5:$Y$1000,$U$5:$U$1000,ROW(),$V$5:$V$1000,"Sub"),$Y8)))</f>
        <v/>
      </c>
      <c r="AD8" s="62">
        <f>IF($V8="","",IF(AND(ISNUMBER($G8),$G8&lt;=IF($S8=MesCiclo,InicioCiclo,$S8+MOD(2-WEEKDAY($S8),7))+13),1,IF(N($W8)&gt;0,AVERAGEIFS($Z$5:$Z$1000,$U$5:$U$1000,ROW(),$V$5:$V$1000,"Sub"),$Z8)))</f>
        <v/>
      </c>
      <c r="AE8" s="62">
        <f>IF($V8="","",IF(AND(ISNUMBER($G8),$G8&lt;=IF($S8=MesCiclo,InicioCiclo,$S8+MOD(2-WEEKDAY($S8),7))+20),1,IF(N($W8)&gt;0,AVERAGEIFS($AA$5:$AA$1000,$U$5:$U$1000,ROW(),$V$5:$V$1000,"Sub"),$AA8)))</f>
        <v/>
      </c>
      <c r="AF8" s="62">
        <f>IF($V8="","",IF(AND(ISNUMBER($G8),$G8&lt;=IF($S8=MesCiclo,InicioCiclo,$S8+MOD(2-WEEKDAY($S8),7))+27),1,IF(N($W8)&gt;0,AVERAGEIFS($AB$5:$AB$1000,$U$5:$U$1000,ROW(),$V$5:$V$1000,"Sub"),$AB8)))</f>
        <v/>
      </c>
      <c r="AG8" s="62">
        <f>IF($V8&lt;&gt;"Macro","",IF(COUNTIFS($S$5:$S$1000,$S8,$V$5:$V$1000,"Macro",$H$5:$H$1000,"&gt;0")=0,1/COUNTIFS($S$5:$S$1000,$S8,$V$5:$V$1000,"Macro"),IF(AND(ISNUMBER($H8),N($H8)&gt;0),$H8,SUMIFS($H$5:$H$1000,$S$5:$S$1000,$S8,$V$5:$V$1000,"Macro")/COUNTIFS($S$5:$S$1000,$S8,$V$5:$V$1000,"Macro",$H$5:$H$1000,"&gt;0"))/(COUNTIFS($S$5:$S$1000,$S8,$V$5:$V$1000,"Macro")*SUMIFS($H$5:$H$1000,$S$5:$S$1000,$S8,$V$5:$V$1000,"Macro")/COUNTIFS($S$5:$S$1000,$S8,$V$5:$V$1000,"Macro",$H$5:$H$1000,"&gt;0"))))</f>
        <v/>
      </c>
      <c r="AH8" s="62" t="n"/>
      <c r="AI8" s="62" t="n"/>
      <c r="AJ8" s="62" t="n"/>
      <c r="AK8" s="62" t="n"/>
      <c r="AL8" s="62">
        <f>IF(LEFT($C8,11)="[Jefatura] ",IFERROR(MATCH("Riesgo Operacional|"&amp;MID($C8,12,500),rDname_ADM,0),0),"")</f>
        <v/>
      </c>
      <c r="AM8" s="62">
        <f>IF(N($AL8)&gt;0,INDEX(rIni_ADM,$AL8),IF(ISNUMBER($E8),$E8,""))</f>
        <v/>
      </c>
      <c r="AN8" s="62">
        <f>IF(N($AL8)&gt;0,INDEX(rLim_ADM,$AL8),IF(ISNUMBER($F8),$F8,""))</f>
        <v/>
      </c>
    </row>
    <row r="9">
      <c r="A9" s="56">
        <f>IF(NOT((COUNTA($B9:$D9)+COUNTA($G9:$L9)+COUNTA($Q9))&gt;0),"",IF($V9="Macro",COUNTIFS($V$5:$V9,"Macro",$S$5:$S9,$S9),IF(N($U9)=0,"?",COUNTIFS(INDEX($V$5:$V$1000,1):INDEX($V$5:$V$1000,$U9-4),"Macro",INDEX($S$5:$S$1000,1):INDEX($S$5:$S$1000,$U9-4),INDEX($S$5:$S$1000,$U9-4))&amp;"."&amp;COUNTIFS($U$5:$U9,$U9,$V$5:$V9,"Sub"))))</f>
        <v/>
      </c>
      <c r="B9" s="57" t="inlineStr">
        <is>
          <t>Subactividad</t>
        </is>
      </c>
      <c r="C9" s="58" t="inlineStr">
        <is>
          <t>Presentar a comité</t>
        </is>
      </c>
      <c r="D9" s="58" t="n"/>
      <c r="E9" s="59" t="n">
        <v>46300</v>
      </c>
      <c r="F9" s="59" t="n">
        <v>46325</v>
      </c>
      <c r="G9" s="59" t="n"/>
      <c r="H9" s="60" t="n"/>
      <c r="I9" s="60" t="n">
        <v>0.2</v>
      </c>
      <c r="J9" s="60" t="n">
        <v>0.5</v>
      </c>
      <c r="K9" s="60" t="n"/>
      <c r="L9" s="60" t="n"/>
      <c r="M9" s="61">
        <f>IF(NOT((COUNTA($B9:$D9)+COUNTA($G9:$L9)+COUNTA($Q9))&gt;0),"",IF($V9="Sub",IFERROR($X9/INDEX($W$5:$W$1000,$U9-4),""),IF(ISNUMBER($G9),1,IF(N($W9)&gt;0,AVERAGEIFS($X$5:$X$1000,$U$5:$U$1000,ROW(),$V$5:$V$1000,"Sub"),$X9))))</f>
        <v/>
      </c>
      <c r="N9" s="56">
        <f>IF(OR($M9="",$V9="Sub"),"",IF($M9&gt;=1,"Completado",IF($M9&gt;0,"En curso","Pendiente")))</f>
        <v/>
      </c>
      <c r="O9" s="56">
        <f>IF(OR(NOT((COUNTA($B9:$D9)+COUNTA($G9:$L9)+COUNTA($Q9))&gt;0),$V9="Sub"),"",IF(ISNUMBER($G9),IF(AND(ISNUMBER($AN9),$G9&gt;$AN9),"Cumplida con "&amp;($G9-$AN9)&amp;IF($G9-$AN9=1," día"," días")&amp;" de retraso","Cumplida"),IF(N($M9)&gt;=1,"Cumplida",IF(NOT(ISNUMBER($AN9)),"Sin fecha límite",IF($AN9&lt;FechaRef,"Vencida hace "&amp;(FechaRef-$AN9)&amp;IF(FechaRef-$AN9=1," día"," días"),IF($AN9=FechaRef,"Vence hoy",IF($AN9-FechaRef&lt;=DiasAlerta,"Vence en "&amp;($AN9-FechaRef)&amp;IF($AN9-FechaRef=1," día"," días"),"En plazo")))))))</f>
        <v/>
      </c>
      <c r="P9" s="62" t="n"/>
      <c r="Q9" s="58" t="n"/>
      <c r="R9" s="63">
        <f>IF(NOT((COUNTA($B9:$D9)+COUNTA($G9:$L9)+COUNTA($Q9))&gt;0),"",IF((IF($C9="","Falta el nombre de la actividad"&amp;" · ","")&amp;IF(AND($V9="Sub",N($U9)=0),"Subactividad sin macroactividad arriba"&amp;" · ","")&amp;IF($AM9="","Sin fecha de inicio"&amp;" · ","")&amp;IF($AN9="","Sin fecha límite"&amp;" · ","")&amp;IF(AND(LEFT($C9,11)="[Jefatura] ",N($AL9)=0),"No se encuentra en la hoja de la jefatura (elíjala de nuevo en la lista)"&amp;" · ","")&amp;IF(OR(AND($E9&lt;&gt;"",NOT(ISNUMBER($E9))),AND($F9&lt;&gt;"",NOT(ISNUMBER($F9))),AND($G9&lt;&gt;"",NOT(ISNUMBER($G9)))),"Fecha no válida"&amp;" · ","")&amp;IF(AND(ISNUMBER($AM9),ISNUMBER($AN9),$AM9&gt;$AN9),"Inicio posterior a fecha límite"&amp;" · ","")&amp;IF(AND($V9="Macro",$H9&lt;&gt;"",OR(NOT(ISNUMBER($H9)),$H9&lt;0,$H9&gt;1)),"Peso fuera de rango"&amp;" · ","")&amp;IF(AND($V9="Sub",$H9&lt;&gt;""),"Las subactividades no llevan peso (valen igual dentro de su macroactividad)"&amp;" · ","")&amp;IF(AND(N($W9)&gt;0,COUNT($I9:$L9)&gt;0),"Con subactividades: deje vacías las semanas (se calculan solas)"&amp;" · ","")&amp;IF((COUNTIF($I9:$L9,"&gt;1")+COUNTIF($I9:$L9,"&lt;0")+COUNTA($I9:$L9)-COUNT($I9:$L9))&gt;0,"Avance fuera de rango 0-100%"&amp;" · ","")&amp;IF(OR(AND($J9&lt;&gt;"",$J9&lt;$I9),AND($K9&lt;&gt;"",$K9&lt;MAX($I9:$J9)),AND($L9&lt;&gt;"",$L9&lt;MAX($I9:$K9))),"Avance semanal decreciente"&amp;" · ","")&amp;IF(AND(ISNUMBER($AN9),$AN9&lt;FechaRef,IF($V9="Sub",N($X9),N($M9))&lt;1),"Vencida"&amp;" · ","")&amp;IF(AND(ObsObligatoria="Sí",ISNUMBER($AN9),$AN9&lt;FechaRef,IF($V9="Sub",N($X9),N($M9))&lt;1,$Q9=""),"Vencida sin observación"&amp;" · ",""))="","✔ OK","⚠ "&amp;LEFT(IF($C9="","Falta el nombre de la actividad"&amp;" · ","")&amp;IF(AND($V9="Sub",N($U9)=0),"Subactividad sin macroactividad arriba"&amp;" · ","")&amp;IF($AM9="","Sin fecha de inicio"&amp;" · ","")&amp;IF($AN9="","Sin fecha límite"&amp;" · ","")&amp;IF(AND(LEFT($C9,11)="[Jefatura] ",N($AL9)=0),"No se encuentra en la hoja de la jefatura (elíjala de nuevo en la lista)"&amp;" · ","")&amp;IF(OR(AND($E9&lt;&gt;"",NOT(ISNUMBER($E9))),AND($F9&lt;&gt;"",NOT(ISNUMBER($F9))),AND($G9&lt;&gt;"",NOT(ISNUMBER($G9)))),"Fecha no válida"&amp;" · ","")&amp;IF(AND(ISNUMBER($AM9),ISNUMBER($AN9),$AM9&gt;$AN9),"Inicio posterior a fecha límite"&amp;" · ","")&amp;IF(AND($V9="Macro",$H9&lt;&gt;"",OR(NOT(ISNUMBER($H9)),$H9&lt;0,$H9&gt;1)),"Peso fuera de rango"&amp;" · ","")&amp;IF(AND($V9="Sub",$H9&lt;&gt;""),"Las subactividades no llevan peso (valen igual dentro de su macroactividad)"&amp;" · ","")&amp;IF(AND(N($W9)&gt;0,COUNT($I9:$L9)&gt;0),"Con subactividades: deje vacías las semanas (se calculan solas)"&amp;" · ","")&amp;IF((COUNTIF($I9:$L9,"&gt;1")+COUNTIF($I9:$L9,"&lt;0")+COUNTA($I9:$L9)-COUNT($I9:$L9))&gt;0,"Avance fuera de rango 0-100%"&amp;" · ","")&amp;IF(OR(AND($J9&lt;&gt;"",$J9&lt;$I9),AND($K9&lt;&gt;"",$K9&lt;MAX($I9:$J9)),AND($L9&lt;&gt;"",$L9&lt;MAX($I9:$K9))),"Avance semanal decreciente"&amp;" · ","")&amp;IF(AND(ISNUMBER($AN9),$AN9&lt;FechaRef,IF($V9="Sub",N($X9),N($M9))&lt;1),"Vencida"&amp;" · ","")&amp;IF(AND(ObsObligatoria="Sí",ISNUMBER($AN9),$AN9&lt;FechaRef,IF($V9="Sub",N($X9),N($M9))&lt;1,$Q9=""),"Vencida sin observación"&amp;" · ",""),LEN(IF($C9="","Falta el nombre de la actividad"&amp;" · ","")&amp;IF(AND($V9="Sub",N($U9)=0),"Subactividad sin macroactividad arriba"&amp;" · ","")&amp;IF($AM9="","Sin fecha de inicio"&amp;" · ","")&amp;IF($AN9="","Sin fecha límite"&amp;" · ","")&amp;IF(AND(LEFT($C9,11)="[Jefatura] ",N($AL9)=0),"No se encuentra en la hoja de la jefatura (elíjala de nuevo en la lista)"&amp;" · ","")&amp;IF(OR(AND($E9&lt;&gt;"",NOT(ISNUMBER($E9))),AND($F9&lt;&gt;"",NOT(ISNUMBER($F9))),AND($G9&lt;&gt;"",NOT(ISNUMBER($G9)))),"Fecha no válida"&amp;" · ","")&amp;IF(AND(ISNUMBER($AM9),ISNUMBER($AN9),$AM9&gt;$AN9),"Inicio posterior a fecha límite"&amp;" · ","")&amp;IF(AND($V9="Macro",$H9&lt;&gt;"",OR(NOT(ISNUMBER($H9)),$H9&lt;0,$H9&gt;1)),"Peso fuera de rango"&amp;" · ","")&amp;IF(AND($V9="Sub",$H9&lt;&gt;""),"Las subactividades no llevan peso (valen igual dentro de su macroactividad)"&amp;" · ","")&amp;IF(AND(N($W9)&gt;0,COUNT($I9:$L9)&gt;0),"Con subactividades: deje vacías las semanas (se calculan solas)"&amp;" · ","")&amp;IF((COUNTIF($I9:$L9,"&gt;1")+COUNTIF($I9:$L9,"&lt;0")+COUNTA($I9:$L9)-COUNT($I9:$L9))&gt;0,"Avance fuera de rango 0-100%"&amp;" · ","")&amp;IF(OR(AND($J9&lt;&gt;"",$J9&lt;$I9),AND($K9&lt;&gt;"",$K9&lt;MAX($I9:$J9)),AND($L9&lt;&gt;"",$L9&lt;MAX($I9:$K9))),"Avance semanal decreciente"&amp;" · ","")&amp;IF(AND(ISNUMBER($AN9),$AN9&lt;FechaRef,IF($V9="Sub",N($X9),N($M9))&lt;1),"Vencida"&amp;" · ","")&amp;IF(AND(ObsObligatoria="Sí",ISNUMBER($AN9),$AN9&lt;FechaRef,IF($V9="Sub",N($X9),N($M9))&lt;1,$Q9=""),"Vencida sin observación"&amp;" · ",""))-3)))</f>
        <v/>
      </c>
      <c r="S9" s="64">
        <f>IF(NOT((COUNTA($B9:$D9)+COUNTA($G9:$L9)+COUNTA($Q9))&gt;0),"",IF(AND($V9="Sub",N($U9)&gt;0),IF(ISNUMBER(INDEX($AM$5:$AM$1000,$U9-4)),DATE(YEAR(INDEX($AM$5:$AM$1000,$U9-4)),MONTH(INDEX($AM$5:$AM$1000,$U9-4)),1),IF(ISNUMBER(INDEX($AN$5:$AN$1000,$U9-4)),DATE(YEAR(INDEX($AN$5:$AN$1000,$U9-4)),MONTH(INDEX($AN$5:$AN$1000,$U9-4)),1),MesCiclo)),IF(ISNUMBER($AM9),DATE(YEAR($AM9),MONTH($AM9),1),IF(ISNUMBER($AN9),DATE(YEAR($AN9),MONTH($AN9),1),MesCiclo))))</f>
        <v/>
      </c>
      <c r="T9" s="62">
        <f>IF(OR($S9="",$S9&lt;&gt;MesCiclo,$V9&lt;&gt;"Macro"),"",COUNTIFS($S$5:$S9,MesCiclo,$V$5:$V9,"Macro"))</f>
        <v/>
      </c>
      <c r="U9" s="62">
        <f>IF($V9="","",IF($V9="Macro",ROW(),IFERROR(LOOKUP(2,1/($V$5:$V9="Macro"),ROW($V$5:$V9)),0)))</f>
        <v/>
      </c>
      <c r="V9" s="62">
        <f>IF(NOT((COUNTA($B9:$D9)+COUNTA($G9:$L9)+COUNTA($Q9))&gt;0),"",IF($B9="Subactividad","Sub","Macro"))</f>
        <v/>
      </c>
      <c r="W9" s="62">
        <f>IF($V9="Macro",COUNTIFS($U$5:$U$1000,ROW(),$V$5:$V$1000,"Sub"),"")</f>
        <v/>
      </c>
      <c r="X9" s="62">
        <f>IF($V9="","",IF(ISNUMBER($G9),1,IFERROR(LOOKUP(2,1/($I9:$L9&lt;&gt;""),$I9:$L9),0)))</f>
        <v/>
      </c>
      <c r="Y9" s="62">
        <f>IF($V9="","",IF(AND(ISNUMBER($G9),$G9&lt;=IF($S9=MesCiclo,InicioCiclo,$S9+MOD(2-WEEKDAY($S9),7))+6),1,IF(ISNUMBER($I9),$I9,0)))</f>
        <v/>
      </c>
      <c r="Z9" s="62">
        <f>IF($V9="","",IF(AND(ISNUMBER($G9),$G9&lt;=IF($S9=MesCiclo,InicioCiclo,$S9+MOD(2-WEEKDAY($S9),7))+13),1,IF(ISNUMBER($J9),$J9,$Y9)))</f>
        <v/>
      </c>
      <c r="AA9" s="62">
        <f>IF($V9="","",IF(AND(ISNUMBER($G9),$G9&lt;=IF($S9=MesCiclo,InicioCiclo,$S9+MOD(2-WEEKDAY($S9),7))+20),1,IF(ISNUMBER($K9),$K9,$Z9)))</f>
        <v/>
      </c>
      <c r="AB9" s="62">
        <f>IF($V9="","",IF(AND(ISNUMBER($G9),$G9&lt;=IF($S9=MesCiclo,InicioCiclo,$S9+MOD(2-WEEKDAY($S9),7))+27),1,IF(ISNUMBER($L9),$L9,$AA9)))</f>
        <v/>
      </c>
      <c r="AC9" s="62">
        <f>IF($V9="","",IF(AND(ISNUMBER($G9),$G9&lt;=IF($S9=MesCiclo,InicioCiclo,$S9+MOD(2-WEEKDAY($S9),7))+6),1,IF(N($W9)&gt;0,AVERAGEIFS($Y$5:$Y$1000,$U$5:$U$1000,ROW(),$V$5:$V$1000,"Sub"),$Y9)))</f>
        <v/>
      </c>
      <c r="AD9" s="62">
        <f>IF($V9="","",IF(AND(ISNUMBER($G9),$G9&lt;=IF($S9=MesCiclo,InicioCiclo,$S9+MOD(2-WEEKDAY($S9),7))+13),1,IF(N($W9)&gt;0,AVERAGEIFS($Z$5:$Z$1000,$U$5:$U$1000,ROW(),$V$5:$V$1000,"Sub"),$Z9)))</f>
        <v/>
      </c>
      <c r="AE9" s="62">
        <f>IF($V9="","",IF(AND(ISNUMBER($G9),$G9&lt;=IF($S9=MesCiclo,InicioCiclo,$S9+MOD(2-WEEKDAY($S9),7))+20),1,IF(N($W9)&gt;0,AVERAGEIFS($AA$5:$AA$1000,$U$5:$U$1000,ROW(),$V$5:$V$1000,"Sub"),$AA9)))</f>
        <v/>
      </c>
      <c r="AF9" s="62">
        <f>IF($V9="","",IF(AND(ISNUMBER($G9),$G9&lt;=IF($S9=MesCiclo,InicioCiclo,$S9+MOD(2-WEEKDAY($S9),7))+27),1,IF(N($W9)&gt;0,AVERAGEIFS($AB$5:$AB$1000,$U$5:$U$1000,ROW(),$V$5:$V$1000,"Sub"),$AB9)))</f>
        <v/>
      </c>
      <c r="AG9" s="62">
        <f>IF($V9&lt;&gt;"Macro","",IF(COUNTIFS($S$5:$S$1000,$S9,$V$5:$V$1000,"Macro",$H$5:$H$1000,"&gt;0")=0,1/COUNTIFS($S$5:$S$1000,$S9,$V$5:$V$1000,"Macro"),IF(AND(ISNUMBER($H9),N($H9)&gt;0),$H9,SUMIFS($H$5:$H$1000,$S$5:$S$1000,$S9,$V$5:$V$1000,"Macro")/COUNTIFS($S$5:$S$1000,$S9,$V$5:$V$1000,"Macro",$H$5:$H$1000,"&gt;0"))/(COUNTIFS($S$5:$S$1000,$S9,$V$5:$V$1000,"Macro")*SUMIFS($H$5:$H$1000,$S$5:$S$1000,$S9,$V$5:$V$1000,"Macro")/COUNTIFS($S$5:$S$1000,$S9,$V$5:$V$1000,"Macro",$H$5:$H$1000,"&gt;0"))))</f>
        <v/>
      </c>
      <c r="AH9" s="62" t="n"/>
      <c r="AI9" s="62" t="n"/>
      <c r="AJ9" s="62" t="n"/>
      <c r="AK9" s="62" t="n"/>
      <c r="AL9" s="62">
        <f>IF(LEFT($C9,11)="[Jefatura] ",IFERROR(MATCH("Riesgo Operacional|"&amp;MID($C9,12,500),rDname_ADM,0),0),"")</f>
        <v/>
      </c>
      <c r="AM9" s="62">
        <f>IF(N($AL9)&gt;0,INDEX(rIni_ADM,$AL9),IF(ISNUMBER($E9),$E9,""))</f>
        <v/>
      </c>
      <c r="AN9" s="62">
        <f>IF(N($AL9)&gt;0,INDEX(rLim_ADM,$AL9),IF(ISNUMBER($F9),$F9,""))</f>
        <v/>
      </c>
    </row>
    <row r="10">
      <c r="A10" s="56">
        <f>IF(NOT((COUNTA($B10:$D10)+COUNTA($G10:$L10)+COUNTA($Q10))&gt;0),"",IF($V10="Macro",COUNTIFS($V$5:$V10,"Macro",$S$5:$S10,$S10),IF(N($U10)=0,"?",COUNTIFS(INDEX($V$5:$V$1000,1):INDEX($V$5:$V$1000,$U10-4),"Macro",INDEX($S$5:$S$1000,1):INDEX($S$5:$S$1000,$U10-4),INDEX($S$5:$S$1000,$U10-4))&amp;"."&amp;COUNTIFS($U$5:$U10,$U10,$V$5:$V10,"Sub"))))</f>
        <v/>
      </c>
      <c r="B10" s="57" t="n"/>
      <c r="C10" s="58" t="inlineStr">
        <is>
          <t>Informe de eventos de pérdida</t>
        </is>
      </c>
      <c r="D10" s="58" t="n"/>
      <c r="E10" s="59" t="n">
        <v>46300</v>
      </c>
      <c r="F10" s="59" t="n">
        <v>46325</v>
      </c>
      <c r="G10" s="59" t="n"/>
      <c r="H10" s="60" t="n"/>
      <c r="I10" s="60" t="n">
        <v>0.3</v>
      </c>
      <c r="J10" s="60" t="n">
        <v>0.6</v>
      </c>
      <c r="K10" s="60" t="n"/>
      <c r="L10" s="60" t="n"/>
      <c r="M10" s="61">
        <f>IF(NOT((COUNTA($B10:$D10)+COUNTA($G10:$L10)+COUNTA($Q10))&gt;0),"",IF($V10="Sub",IFERROR($X10/INDEX($W$5:$W$1000,$U10-4),""),IF(ISNUMBER($G10),1,IF(N($W10)&gt;0,AVERAGEIFS($X$5:$X$1000,$U$5:$U$1000,ROW(),$V$5:$V$1000,"Sub"),$X10))))</f>
        <v/>
      </c>
      <c r="N10" s="56">
        <f>IF(OR($M10="",$V10="Sub"),"",IF($M10&gt;=1,"Completado",IF($M10&gt;0,"En curso","Pendiente")))</f>
        <v/>
      </c>
      <c r="O10" s="56">
        <f>IF(OR(NOT((COUNTA($B10:$D10)+COUNTA($G10:$L10)+COUNTA($Q10))&gt;0),$V10="Sub"),"",IF(ISNUMBER($G10),IF(AND(ISNUMBER($AN10),$G10&gt;$AN10),"Cumplida con "&amp;($G10-$AN10)&amp;IF($G10-$AN10=1," día"," días")&amp;" de retraso","Cumplida"),IF(N($M10)&gt;=1,"Cumplida",IF(NOT(ISNUMBER($AN10)),"Sin fecha límite",IF($AN10&lt;FechaRef,"Vencida hace "&amp;(FechaRef-$AN10)&amp;IF(FechaRef-$AN10=1," día"," días"),IF($AN10=FechaRef,"Vence hoy",IF($AN10-FechaRef&lt;=DiasAlerta,"Vence en "&amp;($AN10-FechaRef)&amp;IF($AN10-FechaRef=1," día"," días"),"En plazo")))))))</f>
        <v/>
      </c>
      <c r="P10" s="62" t="n"/>
      <c r="Q10" s="58" t="n"/>
      <c r="R10" s="63">
        <f>IF(NOT((COUNTA($B10:$D10)+COUNTA($G10:$L10)+COUNTA($Q10))&gt;0),"",IF((IF($C10="","Falta el nombre de la actividad"&amp;" · ","")&amp;IF(AND($V10="Sub",N($U10)=0),"Subactividad sin macroactividad arriba"&amp;" · ","")&amp;IF($AM10="","Sin fecha de inicio"&amp;" · ","")&amp;IF($AN10="","Sin fecha límite"&amp;" · ","")&amp;IF(AND(LEFT($C10,11)="[Jefatura] ",N($AL10)=0),"No se encuentra en la hoja de la jefatura (elíjala de nuevo en la lista)"&amp;" · ","")&amp;IF(OR(AND($E10&lt;&gt;"",NOT(ISNUMBER($E10))),AND($F10&lt;&gt;"",NOT(ISNUMBER($F10))),AND($G10&lt;&gt;"",NOT(ISNUMBER($G10)))),"Fecha no válida"&amp;" · ","")&amp;IF(AND(ISNUMBER($AM10),ISNUMBER($AN10),$AM10&gt;$AN10),"Inicio posterior a fecha límite"&amp;" · ","")&amp;IF(AND($V10="Macro",$H10&lt;&gt;"",OR(NOT(ISNUMBER($H10)),$H10&lt;0,$H10&gt;1)),"Peso fuera de rango"&amp;" · ","")&amp;IF(AND($V10="Sub",$H10&lt;&gt;""),"Las subactividades no llevan peso (valen igual dentro de su macroactividad)"&amp;" · ","")&amp;IF(AND(N($W10)&gt;0,COUNT($I10:$L10)&gt;0),"Con subactividades: deje vacías las semanas (se calculan solas)"&amp;" · ","")&amp;IF((COUNTIF($I10:$L10,"&gt;1")+COUNTIF($I10:$L10,"&lt;0")+COUNTA($I10:$L10)-COUNT($I10:$L10))&gt;0,"Avance fuera de rango 0-100%"&amp;" · ","")&amp;IF(OR(AND($J10&lt;&gt;"",$J10&lt;$I10),AND($K10&lt;&gt;"",$K10&lt;MAX($I10:$J10)),AND($L10&lt;&gt;"",$L10&lt;MAX($I10:$K10))),"Avance semanal decreciente"&amp;" · ","")&amp;IF(AND(ISNUMBER($AN10),$AN10&lt;FechaRef,IF($V10="Sub",N($X10),N($M10))&lt;1),"Vencida"&amp;" · ","")&amp;IF(AND(ObsObligatoria="Sí",ISNUMBER($AN10),$AN10&lt;FechaRef,IF($V10="Sub",N($X10),N($M10))&lt;1,$Q10=""),"Vencida sin observación"&amp;" · ",""))="","✔ OK","⚠ "&amp;LEFT(IF($C10="","Falta el nombre de la actividad"&amp;" · ","")&amp;IF(AND($V10="Sub",N($U10)=0),"Subactividad sin macroactividad arriba"&amp;" · ","")&amp;IF($AM10="","Sin fecha de inicio"&amp;" · ","")&amp;IF($AN10="","Sin fecha límite"&amp;" · ","")&amp;IF(AND(LEFT($C10,11)="[Jefatura] ",N($AL10)=0),"No se encuentra en la hoja de la jefatura (elíjala de nuevo en la lista)"&amp;" · ","")&amp;IF(OR(AND($E10&lt;&gt;"",NOT(ISNUMBER($E10))),AND($F10&lt;&gt;"",NOT(ISNUMBER($F10))),AND($G10&lt;&gt;"",NOT(ISNUMBER($G10)))),"Fecha no válida"&amp;" · ","")&amp;IF(AND(ISNUMBER($AM10),ISNUMBER($AN10),$AM10&gt;$AN10),"Inicio posterior a fecha límite"&amp;" · ","")&amp;IF(AND($V10="Macro",$H10&lt;&gt;"",OR(NOT(ISNUMBER($H10)),$H10&lt;0,$H10&gt;1)),"Peso fuera de rango"&amp;" · ","")&amp;IF(AND($V10="Sub",$H10&lt;&gt;""),"Las subactividades no llevan peso (valen igual dentro de su macroactividad)"&amp;" · ","")&amp;IF(AND(N($W10)&gt;0,COUNT($I10:$L10)&gt;0),"Con subactividades: deje vacías las semanas (se calculan solas)"&amp;" · ","")&amp;IF((COUNTIF($I10:$L10,"&gt;1")+COUNTIF($I10:$L10,"&lt;0")+COUNTA($I10:$L10)-COUNT($I10:$L10))&gt;0,"Avance fuera de rango 0-100%"&amp;" · ","")&amp;IF(OR(AND($J10&lt;&gt;"",$J10&lt;$I10),AND($K10&lt;&gt;"",$K10&lt;MAX($I10:$J10)),AND($L10&lt;&gt;"",$L10&lt;MAX($I10:$K10))),"Avance semanal decreciente"&amp;" · ","")&amp;IF(AND(ISNUMBER($AN10),$AN10&lt;FechaRef,IF($V10="Sub",N($X10),N($M10))&lt;1),"Vencida"&amp;" · ","")&amp;IF(AND(ObsObligatoria="Sí",ISNUMBER($AN10),$AN10&lt;FechaRef,IF($V10="Sub",N($X10),N($M10))&lt;1,$Q10=""),"Vencida sin observación"&amp;" · ",""),LEN(IF($C10="","Falta el nombre de la actividad"&amp;" · ","")&amp;IF(AND($V10="Sub",N($U10)=0),"Subactividad sin macroactividad arriba"&amp;" · ","")&amp;IF($AM10="","Sin fecha de inicio"&amp;" · ","")&amp;IF($AN10="","Sin fecha límite"&amp;" · ","")&amp;IF(AND(LEFT($C10,11)="[Jefatura] ",N($AL10)=0),"No se encuentra en la hoja de la jefatura (elíjala de nuevo en la lista)"&amp;" · ","")&amp;IF(OR(AND($E10&lt;&gt;"",NOT(ISNUMBER($E10))),AND($F10&lt;&gt;"",NOT(ISNUMBER($F10))),AND($G10&lt;&gt;"",NOT(ISNUMBER($G10)))),"Fecha no válida"&amp;" · ","")&amp;IF(AND(ISNUMBER($AM10),ISNUMBER($AN10),$AM10&gt;$AN10),"Inicio posterior a fecha límite"&amp;" · ","")&amp;IF(AND($V10="Macro",$H10&lt;&gt;"",OR(NOT(ISNUMBER($H10)),$H10&lt;0,$H10&gt;1)),"Peso fuera de rango"&amp;" · ","")&amp;IF(AND($V10="Sub",$H10&lt;&gt;""),"Las subactividades no llevan peso (valen igual dentro de su macroactividad)"&amp;" · ","")&amp;IF(AND(N($W10)&gt;0,COUNT($I10:$L10)&gt;0),"Con subactividades: deje vacías las semanas (se calculan solas)"&amp;" · ","")&amp;IF((COUNTIF($I10:$L10,"&gt;1")+COUNTIF($I10:$L10,"&lt;0")+COUNTA($I10:$L10)-COUNT($I10:$L10))&gt;0,"Avance fuera de rango 0-100%"&amp;" · ","")&amp;IF(OR(AND($J10&lt;&gt;"",$J10&lt;$I10),AND($K10&lt;&gt;"",$K10&lt;MAX($I10:$J10)),AND($L10&lt;&gt;"",$L10&lt;MAX($I10:$K10))),"Avance semanal decreciente"&amp;" · ","")&amp;IF(AND(ISNUMBER($AN10),$AN10&lt;FechaRef,IF($V10="Sub",N($X10),N($M10))&lt;1),"Vencida"&amp;" · ","")&amp;IF(AND(ObsObligatoria="Sí",ISNUMBER($AN10),$AN10&lt;FechaRef,IF($V10="Sub",N($X10),N($M10))&lt;1,$Q10=""),"Vencida sin observación"&amp;" · ",""))-3)))</f>
        <v/>
      </c>
      <c r="S10" s="64">
        <f>IF(NOT((COUNTA($B10:$D10)+COUNTA($G10:$L10)+COUNTA($Q10))&gt;0),"",IF(AND($V10="Sub",N($U10)&gt;0),IF(ISNUMBER(INDEX($AM$5:$AM$1000,$U10-4)),DATE(YEAR(INDEX($AM$5:$AM$1000,$U10-4)),MONTH(INDEX($AM$5:$AM$1000,$U10-4)),1),IF(ISNUMBER(INDEX($AN$5:$AN$1000,$U10-4)),DATE(YEAR(INDEX($AN$5:$AN$1000,$U10-4)),MONTH(INDEX($AN$5:$AN$1000,$U10-4)),1),MesCiclo)),IF(ISNUMBER($AM10),DATE(YEAR($AM10),MONTH($AM10),1),IF(ISNUMBER($AN10),DATE(YEAR($AN10),MONTH($AN10),1),MesCiclo))))</f>
        <v/>
      </c>
      <c r="T10" s="62">
        <f>IF(OR($S10="",$S10&lt;&gt;MesCiclo,$V10&lt;&gt;"Macro"),"",COUNTIFS($S$5:$S10,MesCiclo,$V$5:$V10,"Macro"))</f>
        <v/>
      </c>
      <c r="U10" s="62">
        <f>IF($V10="","",IF($V10="Macro",ROW(),IFERROR(LOOKUP(2,1/($V$5:$V10="Macro"),ROW($V$5:$V10)),0)))</f>
        <v/>
      </c>
      <c r="V10" s="62">
        <f>IF(NOT((COUNTA($B10:$D10)+COUNTA($G10:$L10)+COUNTA($Q10))&gt;0),"",IF($B10="Subactividad","Sub","Macro"))</f>
        <v/>
      </c>
      <c r="W10" s="62">
        <f>IF($V10="Macro",COUNTIFS($U$5:$U$1000,ROW(),$V$5:$V$1000,"Sub"),"")</f>
        <v/>
      </c>
      <c r="X10" s="62">
        <f>IF($V10="","",IF(ISNUMBER($G10),1,IFERROR(LOOKUP(2,1/($I10:$L10&lt;&gt;""),$I10:$L10),0)))</f>
        <v/>
      </c>
      <c r="Y10" s="62">
        <f>IF($V10="","",IF(AND(ISNUMBER($G10),$G10&lt;=IF($S10=MesCiclo,InicioCiclo,$S10+MOD(2-WEEKDAY($S10),7))+6),1,IF(ISNUMBER($I10),$I10,0)))</f>
        <v/>
      </c>
      <c r="Z10" s="62">
        <f>IF($V10="","",IF(AND(ISNUMBER($G10),$G10&lt;=IF($S10=MesCiclo,InicioCiclo,$S10+MOD(2-WEEKDAY($S10),7))+13),1,IF(ISNUMBER($J10),$J10,$Y10)))</f>
        <v/>
      </c>
      <c r="AA10" s="62">
        <f>IF($V10="","",IF(AND(ISNUMBER($G10),$G10&lt;=IF($S10=MesCiclo,InicioCiclo,$S10+MOD(2-WEEKDAY($S10),7))+20),1,IF(ISNUMBER($K10),$K10,$Z10)))</f>
        <v/>
      </c>
      <c r="AB10" s="62">
        <f>IF($V10="","",IF(AND(ISNUMBER($G10),$G10&lt;=IF($S10=MesCiclo,InicioCiclo,$S10+MOD(2-WEEKDAY($S10),7))+27),1,IF(ISNUMBER($L10),$L10,$AA10)))</f>
        <v/>
      </c>
      <c r="AC10" s="62">
        <f>IF($V10="","",IF(AND(ISNUMBER($G10),$G10&lt;=IF($S10=MesCiclo,InicioCiclo,$S10+MOD(2-WEEKDAY($S10),7))+6),1,IF(N($W10)&gt;0,AVERAGEIFS($Y$5:$Y$1000,$U$5:$U$1000,ROW(),$V$5:$V$1000,"Sub"),$Y10)))</f>
        <v/>
      </c>
      <c r="AD10" s="62">
        <f>IF($V10="","",IF(AND(ISNUMBER($G10),$G10&lt;=IF($S10=MesCiclo,InicioCiclo,$S10+MOD(2-WEEKDAY($S10),7))+13),1,IF(N($W10)&gt;0,AVERAGEIFS($Z$5:$Z$1000,$U$5:$U$1000,ROW(),$V$5:$V$1000,"Sub"),$Z10)))</f>
        <v/>
      </c>
      <c r="AE10" s="62">
        <f>IF($V10="","",IF(AND(ISNUMBER($G10),$G10&lt;=IF($S10=MesCiclo,InicioCiclo,$S10+MOD(2-WEEKDAY($S10),7))+20),1,IF(N($W10)&gt;0,AVERAGEIFS($AA$5:$AA$1000,$U$5:$U$1000,ROW(),$V$5:$V$1000,"Sub"),$AA10)))</f>
        <v/>
      </c>
      <c r="AF10" s="62">
        <f>IF($V10="","",IF(AND(ISNUMBER($G10),$G10&lt;=IF($S10=MesCiclo,InicioCiclo,$S10+MOD(2-WEEKDAY($S10),7))+27),1,IF(N($W10)&gt;0,AVERAGEIFS($AB$5:$AB$1000,$U$5:$U$1000,ROW(),$V$5:$V$1000,"Sub"),$AB10)))</f>
        <v/>
      </c>
      <c r="AG10" s="62">
        <f>IF($V10&lt;&gt;"Macro","",IF(COUNTIFS($S$5:$S$1000,$S10,$V$5:$V$1000,"Macro",$H$5:$H$1000,"&gt;0")=0,1/COUNTIFS($S$5:$S$1000,$S10,$V$5:$V$1000,"Macro"),IF(AND(ISNUMBER($H10),N($H10)&gt;0),$H10,SUMIFS($H$5:$H$1000,$S$5:$S$1000,$S10,$V$5:$V$1000,"Macro")/COUNTIFS($S$5:$S$1000,$S10,$V$5:$V$1000,"Macro",$H$5:$H$1000,"&gt;0"))/(COUNTIFS($S$5:$S$1000,$S10,$V$5:$V$1000,"Macro")*SUMIFS($H$5:$H$1000,$S$5:$S$1000,$S10,$V$5:$V$1000,"Macro")/COUNTIFS($S$5:$S$1000,$S10,$V$5:$V$1000,"Macro",$H$5:$H$1000,"&gt;0"))))</f>
        <v/>
      </c>
      <c r="AH10" s="62" t="n"/>
      <c r="AI10" s="62" t="n"/>
      <c r="AJ10" s="62" t="n"/>
      <c r="AK10" s="62" t="n"/>
      <c r="AL10" s="62">
        <f>IF(LEFT($C10,11)="[Jefatura] ",IFERROR(MATCH("Riesgo Operacional|"&amp;MID($C10,12,500),rDname_ADM,0),0),"")</f>
        <v/>
      </c>
      <c r="AM10" s="62">
        <f>IF(N($AL10)&gt;0,INDEX(rIni_ADM,$AL10),IF(ISNUMBER($E10),$E10,""))</f>
        <v/>
      </c>
      <c r="AN10" s="62">
        <f>IF(N($AL10)&gt;0,INDEX(rLim_ADM,$AL10),IF(ISNUMBER($F10),$F10,""))</f>
        <v/>
      </c>
    </row>
    <row r="11">
      <c r="A11" s="56">
        <f>IF(NOT((COUNTA($B11:$D11)+COUNTA($G11:$L11)+COUNTA($Q11))&gt;0),"",IF($V11="Macro",COUNTIFS($V$5:$V11,"Macro",$S$5:$S11,$S11),IF(N($U11)=0,"?",COUNTIFS(INDEX($V$5:$V$1000,1):INDEX($V$5:$V$1000,$U11-4),"Macro",INDEX($S$5:$S$1000,1):INDEX($S$5:$S$1000,$U11-4),INDEX($S$5:$S$1000,$U11-4))&amp;"."&amp;COUNTIFS($U$5:$U11,$U11,$V$5:$V11,"Sub"))))</f>
        <v/>
      </c>
      <c r="B11" s="57" t="n"/>
      <c r="C11" s="58" t="n"/>
      <c r="D11" s="58" t="n"/>
      <c r="E11" s="59">
        <f>IF(N($AL11)&gt;0,INDEX(rIni_ADM,$AL11),"")</f>
        <v/>
      </c>
      <c r="F11" s="59">
        <f>IF(N($AL11)&gt;0,INDEX(rLim_ADM,$AL11),"")</f>
        <v/>
      </c>
      <c r="G11" s="59" t="n"/>
      <c r="H11" s="60" t="n"/>
      <c r="I11" s="60" t="n"/>
      <c r="J11" s="60" t="n"/>
      <c r="K11" s="60" t="n"/>
      <c r="L11" s="60" t="n"/>
      <c r="M11" s="61">
        <f>IF(NOT((COUNTA($B11:$D11)+COUNTA($G11:$L11)+COUNTA($Q11))&gt;0),"",IF($V11="Sub",IFERROR($X11/INDEX($W$5:$W$1000,$U11-4),""),IF(ISNUMBER($G11),1,IF(N($W11)&gt;0,AVERAGEIFS($X$5:$X$1000,$U$5:$U$1000,ROW(),$V$5:$V$1000,"Sub"),$X11))))</f>
        <v/>
      </c>
      <c r="N11" s="56">
        <f>IF(OR($M11="",$V11="Sub"),"",IF($M11&gt;=1,"Completado",IF($M11&gt;0,"En curso","Pendiente")))</f>
        <v/>
      </c>
      <c r="O11" s="56">
        <f>IF(OR(NOT((COUNTA($B11:$D11)+COUNTA($G11:$L11)+COUNTA($Q11))&gt;0),$V11="Sub"),"",IF(ISNUMBER($G11),IF(AND(ISNUMBER($AN11),$G11&gt;$AN11),"Cumplida con "&amp;($G11-$AN11)&amp;IF($G11-$AN11=1," día"," días")&amp;" de retraso","Cumplida"),IF(N($M11)&gt;=1,"Cumplida",IF(NOT(ISNUMBER($AN11)),"Sin fecha límite",IF($AN11&lt;FechaRef,"Vencida hace "&amp;(FechaRef-$AN11)&amp;IF(FechaRef-$AN11=1," día"," días"),IF($AN11=FechaRef,"Vence hoy",IF($AN11-FechaRef&lt;=DiasAlerta,"Vence en "&amp;($AN11-FechaRef)&amp;IF($AN11-FechaRef=1," día"," días"),"En plazo")))))))</f>
        <v/>
      </c>
      <c r="P11" s="62" t="n"/>
      <c r="Q11" s="58" t="n"/>
      <c r="R11" s="63">
        <f>IF(NOT((COUNTA($B11:$D11)+COUNTA($G11:$L11)+COUNTA($Q11))&gt;0),"",IF((IF($C11="","Falta el nombre de la actividad"&amp;" · ","")&amp;IF(AND($V11="Sub",N($U11)=0),"Subactividad sin macroactividad arriba"&amp;" · ","")&amp;IF($AM11="","Sin fecha de inicio"&amp;" · ","")&amp;IF($AN11="","Sin fecha límite"&amp;" · ","")&amp;IF(AND(LEFT($C11,11)="[Jefatura] ",N($AL11)=0),"No se encuentra en la hoja de la jefatura (elíjala de nuevo en la lista)"&amp;" · ","")&amp;IF(OR(AND($E11&lt;&gt;"",NOT(ISNUMBER($E11))),AND($F11&lt;&gt;"",NOT(ISNUMBER($F11))),AND($G11&lt;&gt;"",NOT(ISNUMBER($G11)))),"Fecha no válida"&amp;" · ","")&amp;IF(AND(ISNUMBER($AM11),ISNUMBER($AN11),$AM11&gt;$AN11),"Inicio posterior a fecha límite"&amp;" · ","")&amp;IF(AND($V11="Macro",$H11&lt;&gt;"",OR(NOT(ISNUMBER($H11)),$H11&lt;0,$H11&gt;1)),"Peso fuera de rango"&amp;" · ","")&amp;IF(AND($V11="Sub",$H11&lt;&gt;""),"Las subactividades no llevan peso (valen igual dentro de su macroactividad)"&amp;" · ","")&amp;IF(AND(N($W11)&gt;0,COUNT($I11:$L11)&gt;0),"Con subactividades: deje vacías las semanas (se calculan solas)"&amp;" · ","")&amp;IF((COUNTIF($I11:$L11,"&gt;1")+COUNTIF($I11:$L11,"&lt;0")+COUNTA($I11:$L11)-COUNT($I11:$L11))&gt;0,"Avance fuera de rango 0-100%"&amp;" · ","")&amp;IF(OR(AND($J11&lt;&gt;"",$J11&lt;$I11),AND($K11&lt;&gt;"",$K11&lt;MAX($I11:$J11)),AND($L11&lt;&gt;"",$L11&lt;MAX($I11:$K11))),"Avance semanal decreciente"&amp;" · ","")&amp;IF(AND(ISNUMBER($AN11),$AN11&lt;FechaRef,IF($V11="Sub",N($X11),N($M11))&lt;1),"Vencida"&amp;" · ","")&amp;IF(AND(ObsObligatoria="Sí",ISNUMBER($AN11),$AN11&lt;FechaRef,IF($V11="Sub",N($X11),N($M11))&lt;1,$Q11=""),"Vencida sin observación"&amp;" · ",""))="","✔ OK","⚠ "&amp;LEFT(IF($C11="","Falta el nombre de la actividad"&amp;" · ","")&amp;IF(AND($V11="Sub",N($U11)=0),"Subactividad sin macroactividad arriba"&amp;" · ","")&amp;IF($AM11="","Sin fecha de inicio"&amp;" · ","")&amp;IF($AN11="","Sin fecha límite"&amp;" · ","")&amp;IF(AND(LEFT($C11,11)="[Jefatura] ",N($AL11)=0),"No se encuentra en la hoja de la jefatura (elíjala de nuevo en la lista)"&amp;" · ","")&amp;IF(OR(AND($E11&lt;&gt;"",NOT(ISNUMBER($E11))),AND($F11&lt;&gt;"",NOT(ISNUMBER($F11))),AND($G11&lt;&gt;"",NOT(ISNUMBER($G11)))),"Fecha no válida"&amp;" · ","")&amp;IF(AND(ISNUMBER($AM11),ISNUMBER($AN11),$AM11&gt;$AN11),"Inicio posterior a fecha límite"&amp;" · ","")&amp;IF(AND($V11="Macro",$H11&lt;&gt;"",OR(NOT(ISNUMBER($H11)),$H11&lt;0,$H11&gt;1)),"Peso fuera de rango"&amp;" · ","")&amp;IF(AND($V11="Sub",$H11&lt;&gt;""),"Las subactividades no llevan peso (valen igual dentro de su macroactividad)"&amp;" · ","")&amp;IF(AND(N($W11)&gt;0,COUNT($I11:$L11)&gt;0),"Con subactividades: deje vacías las semanas (se calculan solas)"&amp;" · ","")&amp;IF((COUNTIF($I11:$L11,"&gt;1")+COUNTIF($I11:$L11,"&lt;0")+COUNTA($I11:$L11)-COUNT($I11:$L11))&gt;0,"Avance fuera de rango 0-100%"&amp;" · ","")&amp;IF(OR(AND($J11&lt;&gt;"",$J11&lt;$I11),AND($K11&lt;&gt;"",$K11&lt;MAX($I11:$J11)),AND($L11&lt;&gt;"",$L11&lt;MAX($I11:$K11))),"Avance semanal decreciente"&amp;" · ","")&amp;IF(AND(ISNUMBER($AN11),$AN11&lt;FechaRef,IF($V11="Sub",N($X11),N($M11))&lt;1),"Vencida"&amp;" · ","")&amp;IF(AND(ObsObligatoria="Sí",ISNUMBER($AN11),$AN11&lt;FechaRef,IF($V11="Sub",N($X11),N($M11))&lt;1,$Q11=""),"Vencida sin observación"&amp;" · ",""),LEN(IF($C11="","Falta el nombre de la actividad"&amp;" · ","")&amp;IF(AND($V11="Sub",N($U11)=0),"Subactividad sin macroactividad arriba"&amp;" · ","")&amp;IF($AM11="","Sin fecha de inicio"&amp;" · ","")&amp;IF($AN11="","Sin fecha límite"&amp;" · ","")&amp;IF(AND(LEFT($C11,11)="[Jefatura] ",N($AL11)=0),"No se encuentra en la hoja de la jefatura (elíjala de nuevo en la lista)"&amp;" · ","")&amp;IF(OR(AND($E11&lt;&gt;"",NOT(ISNUMBER($E11))),AND($F11&lt;&gt;"",NOT(ISNUMBER($F11))),AND($G11&lt;&gt;"",NOT(ISNUMBER($G11)))),"Fecha no válida"&amp;" · ","")&amp;IF(AND(ISNUMBER($AM11),ISNUMBER($AN11),$AM11&gt;$AN11),"Inicio posterior a fecha límite"&amp;" · ","")&amp;IF(AND($V11="Macro",$H11&lt;&gt;"",OR(NOT(ISNUMBER($H11)),$H11&lt;0,$H11&gt;1)),"Peso fuera de rango"&amp;" · ","")&amp;IF(AND($V11="Sub",$H11&lt;&gt;""),"Las subactividades no llevan peso (valen igual dentro de su macroactividad)"&amp;" · ","")&amp;IF(AND(N($W11)&gt;0,COUNT($I11:$L11)&gt;0),"Con subactividades: deje vacías las semanas (se calculan solas)"&amp;" · ","")&amp;IF((COUNTIF($I11:$L11,"&gt;1")+COUNTIF($I11:$L11,"&lt;0")+COUNTA($I11:$L11)-COUNT($I11:$L11))&gt;0,"Avance fuera de rango 0-100%"&amp;" · ","")&amp;IF(OR(AND($J11&lt;&gt;"",$J11&lt;$I11),AND($K11&lt;&gt;"",$K11&lt;MAX($I11:$J11)),AND($L11&lt;&gt;"",$L11&lt;MAX($I11:$K11))),"Avance semanal decreciente"&amp;" · ","")&amp;IF(AND(ISNUMBER($AN11),$AN11&lt;FechaRef,IF($V11="Sub",N($X11),N($M11))&lt;1),"Vencida"&amp;" · ","")&amp;IF(AND(ObsObligatoria="Sí",ISNUMBER($AN11),$AN11&lt;FechaRef,IF($V11="Sub",N($X11),N($M11))&lt;1,$Q11=""),"Vencida sin observación"&amp;" · ",""))-3)))</f>
        <v/>
      </c>
      <c r="S11" s="64">
        <f>IF(NOT((COUNTA($B11:$D11)+COUNTA($G11:$L11)+COUNTA($Q11))&gt;0),"",IF(AND($V11="Sub",N($U11)&gt;0),IF(ISNUMBER(INDEX($AM$5:$AM$1000,$U11-4)),DATE(YEAR(INDEX($AM$5:$AM$1000,$U11-4)),MONTH(INDEX($AM$5:$AM$1000,$U11-4)),1),IF(ISNUMBER(INDEX($AN$5:$AN$1000,$U11-4)),DATE(YEAR(INDEX($AN$5:$AN$1000,$U11-4)),MONTH(INDEX($AN$5:$AN$1000,$U11-4)),1),MesCiclo)),IF(ISNUMBER($AM11),DATE(YEAR($AM11),MONTH($AM11),1),IF(ISNUMBER($AN11),DATE(YEAR($AN11),MONTH($AN11),1),MesCiclo))))</f>
        <v/>
      </c>
      <c r="T11" s="62">
        <f>IF(OR($S11="",$S11&lt;&gt;MesCiclo,$V11&lt;&gt;"Macro"),"",COUNTIFS($S$5:$S11,MesCiclo,$V$5:$V11,"Macro"))</f>
        <v/>
      </c>
      <c r="U11" s="62">
        <f>IF($V11="","",IF($V11="Macro",ROW(),IFERROR(LOOKUP(2,1/($V$5:$V11="Macro"),ROW($V$5:$V11)),0)))</f>
        <v/>
      </c>
      <c r="V11" s="62">
        <f>IF(NOT((COUNTA($B11:$D11)+COUNTA($G11:$L11)+COUNTA($Q11))&gt;0),"",IF($B11="Subactividad","Sub","Macro"))</f>
        <v/>
      </c>
      <c r="W11" s="62">
        <f>IF($V11="Macro",COUNTIFS($U$5:$U$1000,ROW(),$V$5:$V$1000,"Sub"),"")</f>
        <v/>
      </c>
      <c r="X11" s="62">
        <f>IF($V11="","",IF(ISNUMBER($G11),1,IFERROR(LOOKUP(2,1/($I11:$L11&lt;&gt;""),$I11:$L11),0)))</f>
        <v/>
      </c>
      <c r="Y11" s="62">
        <f>IF($V11="","",IF(AND(ISNUMBER($G11),$G11&lt;=IF($S11=MesCiclo,InicioCiclo,$S11+MOD(2-WEEKDAY($S11),7))+6),1,IF(ISNUMBER($I11),$I11,0)))</f>
        <v/>
      </c>
      <c r="Z11" s="62">
        <f>IF($V11="","",IF(AND(ISNUMBER($G11),$G11&lt;=IF($S11=MesCiclo,InicioCiclo,$S11+MOD(2-WEEKDAY($S11),7))+13),1,IF(ISNUMBER($J11),$J11,$Y11)))</f>
        <v/>
      </c>
      <c r="AA11" s="62">
        <f>IF($V11="","",IF(AND(ISNUMBER($G11),$G11&lt;=IF($S11=MesCiclo,InicioCiclo,$S11+MOD(2-WEEKDAY($S11),7))+20),1,IF(ISNUMBER($K11),$K11,$Z11)))</f>
        <v/>
      </c>
      <c r="AB11" s="62">
        <f>IF($V11="","",IF(AND(ISNUMBER($G11),$G11&lt;=IF($S11=MesCiclo,InicioCiclo,$S11+MOD(2-WEEKDAY($S11),7))+27),1,IF(ISNUMBER($L11),$L11,$AA11)))</f>
        <v/>
      </c>
      <c r="AC11" s="62">
        <f>IF($V11="","",IF(AND(ISNUMBER($G11),$G11&lt;=IF($S11=MesCiclo,InicioCiclo,$S11+MOD(2-WEEKDAY($S11),7))+6),1,IF(N($W11)&gt;0,AVERAGEIFS($Y$5:$Y$1000,$U$5:$U$1000,ROW(),$V$5:$V$1000,"Sub"),$Y11)))</f>
        <v/>
      </c>
      <c r="AD11" s="62">
        <f>IF($V11="","",IF(AND(ISNUMBER($G11),$G11&lt;=IF($S11=MesCiclo,InicioCiclo,$S11+MOD(2-WEEKDAY($S11),7))+13),1,IF(N($W11)&gt;0,AVERAGEIFS($Z$5:$Z$1000,$U$5:$U$1000,ROW(),$V$5:$V$1000,"Sub"),$Z11)))</f>
        <v/>
      </c>
      <c r="AE11" s="62">
        <f>IF($V11="","",IF(AND(ISNUMBER($G11),$G11&lt;=IF($S11=MesCiclo,InicioCiclo,$S11+MOD(2-WEEKDAY($S11),7))+20),1,IF(N($W11)&gt;0,AVERAGEIFS($AA$5:$AA$1000,$U$5:$U$1000,ROW(),$V$5:$V$1000,"Sub"),$AA11)))</f>
        <v/>
      </c>
      <c r="AF11" s="62">
        <f>IF($V11="","",IF(AND(ISNUMBER($G11),$G11&lt;=IF($S11=MesCiclo,InicioCiclo,$S11+MOD(2-WEEKDAY($S11),7))+27),1,IF(N($W11)&gt;0,AVERAGEIFS($AB$5:$AB$1000,$U$5:$U$1000,ROW(),$V$5:$V$1000,"Sub"),$AB11)))</f>
        <v/>
      </c>
      <c r="AG11" s="62">
        <f>IF($V11&lt;&gt;"Macro","",IF(COUNTIFS($S$5:$S$1000,$S11,$V$5:$V$1000,"Macro",$H$5:$H$1000,"&gt;0")=0,1/COUNTIFS($S$5:$S$1000,$S11,$V$5:$V$1000,"Macro"),IF(AND(ISNUMBER($H11),N($H11)&gt;0),$H11,SUMIFS($H$5:$H$1000,$S$5:$S$1000,$S11,$V$5:$V$1000,"Macro")/COUNTIFS($S$5:$S$1000,$S11,$V$5:$V$1000,"Macro",$H$5:$H$1000,"&gt;0"))/(COUNTIFS($S$5:$S$1000,$S11,$V$5:$V$1000,"Macro")*SUMIFS($H$5:$H$1000,$S$5:$S$1000,$S11,$V$5:$V$1000,"Macro")/COUNTIFS($S$5:$S$1000,$S11,$V$5:$V$1000,"Macro",$H$5:$H$1000,"&gt;0"))))</f>
        <v/>
      </c>
      <c r="AH11" s="62" t="n"/>
      <c r="AI11" s="62" t="n"/>
      <c r="AJ11" s="62" t="n"/>
      <c r="AK11" s="62" t="n"/>
      <c r="AL11" s="62">
        <f>IF(LEFT($C11,11)="[Jefatura] ",IFERROR(MATCH("Riesgo Operacional|"&amp;MID($C11,12,500),rDname_ADM,0),0),"")</f>
        <v/>
      </c>
      <c r="AM11" s="62">
        <f>IF(N($AL11)&gt;0,INDEX(rIni_ADM,$AL11),IF(ISNUMBER($E11),$E11,""))</f>
        <v/>
      </c>
      <c r="AN11" s="62">
        <f>IF(N($AL11)&gt;0,INDEX(rLim_ADM,$AL11),IF(ISNUMBER($F11),$F11,""))</f>
        <v/>
      </c>
    </row>
    <row r="12">
      <c r="A12" s="56">
        <f>IF(NOT((COUNTA($B12:$D12)+COUNTA($G12:$L12)+COUNTA($Q12))&gt;0),"",IF($V12="Macro",COUNTIFS($V$5:$V12,"Macro",$S$5:$S12,$S12),IF(N($U12)=0,"?",COUNTIFS(INDEX($V$5:$V$1000,1):INDEX($V$5:$V$1000,$U12-4),"Macro",INDEX($S$5:$S$1000,1):INDEX($S$5:$S$1000,$U12-4),INDEX($S$5:$S$1000,$U12-4))&amp;"."&amp;COUNTIFS($U$5:$U12,$U12,$V$5:$V12,"Sub"))))</f>
        <v/>
      </c>
      <c r="B12" s="57" t="n"/>
      <c r="C12" s="58" t="n"/>
      <c r="D12" s="58" t="n"/>
      <c r="E12" s="59">
        <f>IF(N($AL12)&gt;0,INDEX(rIni_ADM,$AL12),"")</f>
        <v/>
      </c>
      <c r="F12" s="59">
        <f>IF(N($AL12)&gt;0,INDEX(rLim_ADM,$AL12),"")</f>
        <v/>
      </c>
      <c r="G12" s="59" t="n"/>
      <c r="H12" s="60" t="n"/>
      <c r="I12" s="60" t="n"/>
      <c r="J12" s="60" t="n"/>
      <c r="K12" s="60" t="n"/>
      <c r="L12" s="60" t="n"/>
      <c r="M12" s="61">
        <f>IF(NOT((COUNTA($B12:$D12)+COUNTA($G12:$L12)+COUNTA($Q12))&gt;0),"",IF($V12="Sub",IFERROR($X12/INDEX($W$5:$W$1000,$U12-4),""),IF(ISNUMBER($G12),1,IF(N($W12)&gt;0,AVERAGEIFS($X$5:$X$1000,$U$5:$U$1000,ROW(),$V$5:$V$1000,"Sub"),$X12))))</f>
        <v/>
      </c>
      <c r="N12" s="56">
        <f>IF(OR($M12="",$V12="Sub"),"",IF($M12&gt;=1,"Completado",IF($M12&gt;0,"En curso","Pendiente")))</f>
        <v/>
      </c>
      <c r="O12" s="56">
        <f>IF(OR(NOT((COUNTA($B12:$D12)+COUNTA($G12:$L12)+COUNTA($Q12))&gt;0),$V12="Sub"),"",IF(ISNUMBER($G12),IF(AND(ISNUMBER($AN12),$G12&gt;$AN12),"Cumplida con "&amp;($G12-$AN12)&amp;IF($G12-$AN12=1," día"," días")&amp;" de retraso","Cumplida"),IF(N($M12)&gt;=1,"Cumplida",IF(NOT(ISNUMBER($AN12)),"Sin fecha límite",IF($AN12&lt;FechaRef,"Vencida hace "&amp;(FechaRef-$AN12)&amp;IF(FechaRef-$AN12=1," día"," días"),IF($AN12=FechaRef,"Vence hoy",IF($AN12-FechaRef&lt;=DiasAlerta,"Vence en "&amp;($AN12-FechaRef)&amp;IF($AN12-FechaRef=1," día"," días"),"En plazo")))))))</f>
        <v/>
      </c>
      <c r="P12" s="62" t="n"/>
      <c r="Q12" s="58" t="n"/>
      <c r="R12" s="63">
        <f>IF(NOT((COUNTA($B12:$D12)+COUNTA($G12:$L12)+COUNTA($Q12))&gt;0),"",IF((IF($C12="","Falta el nombre de la actividad"&amp;" · ","")&amp;IF(AND($V12="Sub",N($U12)=0),"Subactividad sin macroactividad arriba"&amp;" · ","")&amp;IF($AM12="","Sin fecha de inicio"&amp;" · ","")&amp;IF($AN12="","Sin fecha límite"&amp;" · ","")&amp;IF(AND(LEFT($C12,11)="[Jefatura] ",N($AL12)=0),"No se encuentra en la hoja de la jefatura (elíjala de nuevo en la lista)"&amp;" · ","")&amp;IF(OR(AND($E12&lt;&gt;"",NOT(ISNUMBER($E12))),AND($F12&lt;&gt;"",NOT(ISNUMBER($F12))),AND($G12&lt;&gt;"",NOT(ISNUMBER($G12)))),"Fecha no válida"&amp;" · ","")&amp;IF(AND(ISNUMBER($AM12),ISNUMBER($AN12),$AM12&gt;$AN12),"Inicio posterior a fecha límite"&amp;" · ","")&amp;IF(AND($V12="Macro",$H12&lt;&gt;"",OR(NOT(ISNUMBER($H12)),$H12&lt;0,$H12&gt;1)),"Peso fuera de rango"&amp;" · ","")&amp;IF(AND($V12="Sub",$H12&lt;&gt;""),"Las subactividades no llevan peso (valen igual dentro de su macroactividad)"&amp;" · ","")&amp;IF(AND(N($W12)&gt;0,COUNT($I12:$L12)&gt;0),"Con subactividades: deje vacías las semanas (se calculan solas)"&amp;" · ","")&amp;IF((COUNTIF($I12:$L12,"&gt;1")+COUNTIF($I12:$L12,"&lt;0")+COUNTA($I12:$L12)-COUNT($I12:$L12))&gt;0,"Avance fuera de rango 0-100%"&amp;" · ","")&amp;IF(OR(AND($J12&lt;&gt;"",$J12&lt;$I12),AND($K12&lt;&gt;"",$K12&lt;MAX($I12:$J12)),AND($L12&lt;&gt;"",$L12&lt;MAX($I12:$K12))),"Avance semanal decreciente"&amp;" · ","")&amp;IF(AND(ISNUMBER($AN12),$AN12&lt;FechaRef,IF($V12="Sub",N($X12),N($M12))&lt;1),"Vencida"&amp;" · ","")&amp;IF(AND(ObsObligatoria="Sí",ISNUMBER($AN12),$AN12&lt;FechaRef,IF($V12="Sub",N($X12),N($M12))&lt;1,$Q12=""),"Vencida sin observación"&amp;" · ",""))="","✔ OK","⚠ "&amp;LEFT(IF($C12="","Falta el nombre de la actividad"&amp;" · ","")&amp;IF(AND($V12="Sub",N($U12)=0),"Subactividad sin macroactividad arriba"&amp;" · ","")&amp;IF($AM12="","Sin fecha de inicio"&amp;" · ","")&amp;IF($AN12="","Sin fecha límite"&amp;" · ","")&amp;IF(AND(LEFT($C12,11)="[Jefatura] ",N($AL12)=0),"No se encuentra en la hoja de la jefatura (elíjala de nuevo en la lista)"&amp;" · ","")&amp;IF(OR(AND($E12&lt;&gt;"",NOT(ISNUMBER($E12))),AND($F12&lt;&gt;"",NOT(ISNUMBER($F12))),AND($G12&lt;&gt;"",NOT(ISNUMBER($G12)))),"Fecha no válida"&amp;" · ","")&amp;IF(AND(ISNUMBER($AM12),ISNUMBER($AN12),$AM12&gt;$AN12),"Inicio posterior a fecha límite"&amp;" · ","")&amp;IF(AND($V12="Macro",$H12&lt;&gt;"",OR(NOT(ISNUMBER($H12)),$H12&lt;0,$H12&gt;1)),"Peso fuera de rango"&amp;" · ","")&amp;IF(AND($V12="Sub",$H12&lt;&gt;""),"Las subactividades no llevan peso (valen igual dentro de su macroactividad)"&amp;" · ","")&amp;IF(AND(N($W12)&gt;0,COUNT($I12:$L12)&gt;0),"Con subactividades: deje vacías las semanas (se calculan solas)"&amp;" · ","")&amp;IF((COUNTIF($I12:$L12,"&gt;1")+COUNTIF($I12:$L12,"&lt;0")+COUNTA($I12:$L12)-COUNT($I12:$L12))&gt;0,"Avance fuera de rango 0-100%"&amp;" · ","")&amp;IF(OR(AND($J12&lt;&gt;"",$J12&lt;$I12),AND($K12&lt;&gt;"",$K12&lt;MAX($I12:$J12)),AND($L12&lt;&gt;"",$L12&lt;MAX($I12:$K12))),"Avance semanal decreciente"&amp;" · ","")&amp;IF(AND(ISNUMBER($AN12),$AN12&lt;FechaRef,IF($V12="Sub",N($X12),N($M12))&lt;1),"Vencida"&amp;" · ","")&amp;IF(AND(ObsObligatoria="Sí",ISNUMBER($AN12),$AN12&lt;FechaRef,IF($V12="Sub",N($X12),N($M12))&lt;1,$Q12=""),"Vencida sin observación"&amp;" · ",""),LEN(IF($C12="","Falta el nombre de la actividad"&amp;" · ","")&amp;IF(AND($V12="Sub",N($U12)=0),"Subactividad sin macroactividad arriba"&amp;" · ","")&amp;IF($AM12="","Sin fecha de inicio"&amp;" · ","")&amp;IF($AN12="","Sin fecha límite"&amp;" · ","")&amp;IF(AND(LEFT($C12,11)="[Jefatura] ",N($AL12)=0),"No se encuentra en la hoja de la jefatura (elíjala de nuevo en la lista)"&amp;" · ","")&amp;IF(OR(AND($E12&lt;&gt;"",NOT(ISNUMBER($E12))),AND($F12&lt;&gt;"",NOT(ISNUMBER($F12))),AND($G12&lt;&gt;"",NOT(ISNUMBER($G12)))),"Fecha no válida"&amp;" · ","")&amp;IF(AND(ISNUMBER($AM12),ISNUMBER($AN12),$AM12&gt;$AN12),"Inicio posterior a fecha límite"&amp;" · ","")&amp;IF(AND($V12="Macro",$H12&lt;&gt;"",OR(NOT(ISNUMBER($H12)),$H12&lt;0,$H12&gt;1)),"Peso fuera de rango"&amp;" · ","")&amp;IF(AND($V12="Sub",$H12&lt;&gt;""),"Las subactividades no llevan peso (valen igual dentro de su macroactividad)"&amp;" · ","")&amp;IF(AND(N($W12)&gt;0,COUNT($I12:$L12)&gt;0),"Con subactividades: deje vacías las semanas (se calculan solas)"&amp;" · ","")&amp;IF((COUNTIF($I12:$L12,"&gt;1")+COUNTIF($I12:$L12,"&lt;0")+COUNTA($I12:$L12)-COUNT($I12:$L12))&gt;0,"Avance fuera de rango 0-100%"&amp;" · ","")&amp;IF(OR(AND($J12&lt;&gt;"",$J12&lt;$I12),AND($K12&lt;&gt;"",$K12&lt;MAX($I12:$J12)),AND($L12&lt;&gt;"",$L12&lt;MAX($I12:$K12))),"Avance semanal decreciente"&amp;" · ","")&amp;IF(AND(ISNUMBER($AN12),$AN12&lt;FechaRef,IF($V12="Sub",N($X12),N($M12))&lt;1),"Vencida"&amp;" · ","")&amp;IF(AND(ObsObligatoria="Sí",ISNUMBER($AN12),$AN12&lt;FechaRef,IF($V12="Sub",N($X12),N($M12))&lt;1,$Q12=""),"Vencida sin observación"&amp;" · ",""))-3)))</f>
        <v/>
      </c>
      <c r="S12" s="64">
        <f>IF(NOT((COUNTA($B12:$D12)+COUNTA($G12:$L12)+COUNTA($Q12))&gt;0),"",IF(AND($V12="Sub",N($U12)&gt;0),IF(ISNUMBER(INDEX($AM$5:$AM$1000,$U12-4)),DATE(YEAR(INDEX($AM$5:$AM$1000,$U12-4)),MONTH(INDEX($AM$5:$AM$1000,$U12-4)),1),IF(ISNUMBER(INDEX($AN$5:$AN$1000,$U12-4)),DATE(YEAR(INDEX($AN$5:$AN$1000,$U12-4)),MONTH(INDEX($AN$5:$AN$1000,$U12-4)),1),MesCiclo)),IF(ISNUMBER($AM12),DATE(YEAR($AM12),MONTH($AM12),1),IF(ISNUMBER($AN12),DATE(YEAR($AN12),MONTH($AN12),1),MesCiclo))))</f>
        <v/>
      </c>
      <c r="T12" s="62">
        <f>IF(OR($S12="",$S12&lt;&gt;MesCiclo,$V12&lt;&gt;"Macro"),"",COUNTIFS($S$5:$S12,MesCiclo,$V$5:$V12,"Macro"))</f>
        <v/>
      </c>
      <c r="U12" s="62">
        <f>IF($V12="","",IF($V12="Macro",ROW(),IFERROR(LOOKUP(2,1/($V$5:$V12="Macro"),ROW($V$5:$V12)),0)))</f>
        <v/>
      </c>
      <c r="V12" s="62">
        <f>IF(NOT((COUNTA($B12:$D12)+COUNTA($G12:$L12)+COUNTA($Q12))&gt;0),"",IF($B12="Subactividad","Sub","Macro"))</f>
        <v/>
      </c>
      <c r="W12" s="62">
        <f>IF($V12="Macro",COUNTIFS($U$5:$U$1000,ROW(),$V$5:$V$1000,"Sub"),"")</f>
        <v/>
      </c>
      <c r="X12" s="62">
        <f>IF($V12="","",IF(ISNUMBER($G12),1,IFERROR(LOOKUP(2,1/($I12:$L12&lt;&gt;""),$I12:$L12),0)))</f>
        <v/>
      </c>
      <c r="Y12" s="62">
        <f>IF($V12="","",IF(AND(ISNUMBER($G12),$G12&lt;=IF($S12=MesCiclo,InicioCiclo,$S12+MOD(2-WEEKDAY($S12),7))+6),1,IF(ISNUMBER($I12),$I12,0)))</f>
        <v/>
      </c>
      <c r="Z12" s="62">
        <f>IF($V12="","",IF(AND(ISNUMBER($G12),$G12&lt;=IF($S12=MesCiclo,InicioCiclo,$S12+MOD(2-WEEKDAY($S12),7))+13),1,IF(ISNUMBER($J12),$J12,$Y12)))</f>
        <v/>
      </c>
      <c r="AA12" s="62">
        <f>IF($V12="","",IF(AND(ISNUMBER($G12),$G12&lt;=IF($S12=MesCiclo,InicioCiclo,$S12+MOD(2-WEEKDAY($S12),7))+20),1,IF(ISNUMBER($K12),$K12,$Z12)))</f>
        <v/>
      </c>
      <c r="AB12" s="62">
        <f>IF($V12="","",IF(AND(ISNUMBER($G12),$G12&lt;=IF($S12=MesCiclo,InicioCiclo,$S12+MOD(2-WEEKDAY($S12),7))+27),1,IF(ISNUMBER($L12),$L12,$AA12)))</f>
        <v/>
      </c>
      <c r="AC12" s="62">
        <f>IF($V12="","",IF(AND(ISNUMBER($G12),$G12&lt;=IF($S12=MesCiclo,InicioCiclo,$S12+MOD(2-WEEKDAY($S12),7))+6),1,IF(N($W12)&gt;0,AVERAGEIFS($Y$5:$Y$1000,$U$5:$U$1000,ROW(),$V$5:$V$1000,"Sub"),$Y12)))</f>
        <v/>
      </c>
      <c r="AD12" s="62">
        <f>IF($V12="","",IF(AND(ISNUMBER($G12),$G12&lt;=IF($S12=MesCiclo,InicioCiclo,$S12+MOD(2-WEEKDAY($S12),7))+13),1,IF(N($W12)&gt;0,AVERAGEIFS($Z$5:$Z$1000,$U$5:$U$1000,ROW(),$V$5:$V$1000,"Sub"),$Z12)))</f>
        <v/>
      </c>
      <c r="AE12" s="62">
        <f>IF($V12="","",IF(AND(ISNUMBER($G12),$G12&lt;=IF($S12=MesCiclo,InicioCiclo,$S12+MOD(2-WEEKDAY($S12),7))+20),1,IF(N($W12)&gt;0,AVERAGEIFS($AA$5:$AA$1000,$U$5:$U$1000,ROW(),$V$5:$V$1000,"Sub"),$AA12)))</f>
        <v/>
      </c>
      <c r="AF12" s="62">
        <f>IF($V12="","",IF(AND(ISNUMBER($G12),$G12&lt;=IF($S12=MesCiclo,InicioCiclo,$S12+MOD(2-WEEKDAY($S12),7))+27),1,IF(N($W12)&gt;0,AVERAGEIFS($AB$5:$AB$1000,$U$5:$U$1000,ROW(),$V$5:$V$1000,"Sub"),$AB12)))</f>
        <v/>
      </c>
      <c r="AG12" s="62">
        <f>IF($V12&lt;&gt;"Macro","",IF(COUNTIFS($S$5:$S$1000,$S12,$V$5:$V$1000,"Macro",$H$5:$H$1000,"&gt;0")=0,1/COUNTIFS($S$5:$S$1000,$S12,$V$5:$V$1000,"Macro"),IF(AND(ISNUMBER($H12),N($H12)&gt;0),$H12,SUMIFS($H$5:$H$1000,$S$5:$S$1000,$S12,$V$5:$V$1000,"Macro")/COUNTIFS($S$5:$S$1000,$S12,$V$5:$V$1000,"Macro",$H$5:$H$1000,"&gt;0"))/(COUNTIFS($S$5:$S$1000,$S12,$V$5:$V$1000,"Macro")*SUMIFS($H$5:$H$1000,$S$5:$S$1000,$S12,$V$5:$V$1000,"Macro")/COUNTIFS($S$5:$S$1000,$S12,$V$5:$V$1000,"Macro",$H$5:$H$1000,"&gt;0"))))</f>
        <v/>
      </c>
      <c r="AH12" s="62" t="n"/>
      <c r="AI12" s="62" t="n"/>
      <c r="AJ12" s="62" t="n"/>
      <c r="AK12" s="62" t="n"/>
      <c r="AL12" s="62">
        <f>IF(LEFT($C12,11)="[Jefatura] ",IFERROR(MATCH("Riesgo Operacional|"&amp;MID($C12,12,500),rDname_ADM,0),0),"")</f>
        <v/>
      </c>
      <c r="AM12" s="62">
        <f>IF(N($AL12)&gt;0,INDEX(rIni_ADM,$AL12),IF(ISNUMBER($E12),$E12,""))</f>
        <v/>
      </c>
      <c r="AN12" s="62">
        <f>IF(N($AL12)&gt;0,INDEX(rLim_ADM,$AL12),IF(ISNUMBER($F12),$F12,""))</f>
        <v/>
      </c>
    </row>
    <row r="13">
      <c r="A13" s="56">
        <f>IF(NOT((COUNTA($B13:$D13)+COUNTA($G13:$L13)+COUNTA($Q13))&gt;0),"",IF($V13="Macro",COUNTIFS($V$5:$V13,"Macro",$S$5:$S13,$S13),IF(N($U13)=0,"?",COUNTIFS(INDEX($V$5:$V$1000,1):INDEX($V$5:$V$1000,$U13-4),"Macro",INDEX($S$5:$S$1000,1):INDEX($S$5:$S$1000,$U13-4),INDEX($S$5:$S$1000,$U13-4))&amp;"."&amp;COUNTIFS($U$5:$U13,$U13,$V$5:$V13,"Sub"))))</f>
        <v/>
      </c>
      <c r="B13" s="57" t="n"/>
      <c r="C13" s="58" t="n"/>
      <c r="D13" s="58" t="n"/>
      <c r="E13" s="59">
        <f>IF(N($AL13)&gt;0,INDEX(rIni_ADM,$AL13),"")</f>
        <v/>
      </c>
      <c r="F13" s="59">
        <f>IF(N($AL13)&gt;0,INDEX(rLim_ADM,$AL13),"")</f>
        <v/>
      </c>
      <c r="G13" s="59" t="n"/>
      <c r="H13" s="60" t="n"/>
      <c r="I13" s="60" t="n"/>
      <c r="J13" s="60" t="n"/>
      <c r="K13" s="60" t="n"/>
      <c r="L13" s="60" t="n"/>
      <c r="M13" s="61">
        <f>IF(NOT((COUNTA($B13:$D13)+COUNTA($G13:$L13)+COUNTA($Q13))&gt;0),"",IF($V13="Sub",IFERROR($X13/INDEX($W$5:$W$1000,$U13-4),""),IF(ISNUMBER($G13),1,IF(N($W13)&gt;0,AVERAGEIFS($X$5:$X$1000,$U$5:$U$1000,ROW(),$V$5:$V$1000,"Sub"),$X13))))</f>
        <v/>
      </c>
      <c r="N13" s="56">
        <f>IF(OR($M13="",$V13="Sub"),"",IF($M13&gt;=1,"Completado",IF($M13&gt;0,"En curso","Pendiente")))</f>
        <v/>
      </c>
      <c r="O13" s="56">
        <f>IF(OR(NOT((COUNTA($B13:$D13)+COUNTA($G13:$L13)+COUNTA($Q13))&gt;0),$V13="Sub"),"",IF(ISNUMBER($G13),IF(AND(ISNUMBER($AN13),$G13&gt;$AN13),"Cumplida con "&amp;($G13-$AN13)&amp;IF($G13-$AN13=1," día"," días")&amp;" de retraso","Cumplida"),IF(N($M13)&gt;=1,"Cumplida",IF(NOT(ISNUMBER($AN13)),"Sin fecha límite",IF($AN13&lt;FechaRef,"Vencida hace "&amp;(FechaRef-$AN13)&amp;IF(FechaRef-$AN13=1," día"," días"),IF($AN13=FechaRef,"Vence hoy",IF($AN13-FechaRef&lt;=DiasAlerta,"Vence en "&amp;($AN13-FechaRef)&amp;IF($AN13-FechaRef=1," día"," días"),"En plazo")))))))</f>
        <v/>
      </c>
      <c r="P13" s="62" t="n"/>
      <c r="Q13" s="58" t="n"/>
      <c r="R13" s="63">
        <f>IF(NOT((COUNTA($B13:$D13)+COUNTA($G13:$L13)+COUNTA($Q13))&gt;0),"",IF((IF($C13="","Falta el nombre de la actividad"&amp;" · ","")&amp;IF(AND($V13="Sub",N($U13)=0),"Subactividad sin macroactividad arriba"&amp;" · ","")&amp;IF($AM13="","Sin fecha de inicio"&amp;" · ","")&amp;IF($AN13="","Sin fecha límite"&amp;" · ","")&amp;IF(AND(LEFT($C13,11)="[Jefatura] ",N($AL13)=0),"No se encuentra en la hoja de la jefatura (elíjala de nuevo en la lista)"&amp;" · ","")&amp;IF(OR(AND($E13&lt;&gt;"",NOT(ISNUMBER($E13))),AND($F13&lt;&gt;"",NOT(ISNUMBER($F13))),AND($G13&lt;&gt;"",NOT(ISNUMBER($G13)))),"Fecha no válida"&amp;" · ","")&amp;IF(AND(ISNUMBER($AM13),ISNUMBER($AN13),$AM13&gt;$AN13),"Inicio posterior a fecha límite"&amp;" · ","")&amp;IF(AND($V13="Macro",$H13&lt;&gt;"",OR(NOT(ISNUMBER($H13)),$H13&lt;0,$H13&gt;1)),"Peso fuera de rango"&amp;" · ","")&amp;IF(AND($V13="Sub",$H13&lt;&gt;""),"Las subactividades no llevan peso (valen igual dentro de su macroactividad)"&amp;" · ","")&amp;IF(AND(N($W13)&gt;0,COUNT($I13:$L13)&gt;0),"Con subactividades: deje vacías las semanas (se calculan solas)"&amp;" · ","")&amp;IF((COUNTIF($I13:$L13,"&gt;1")+COUNTIF($I13:$L13,"&lt;0")+COUNTA($I13:$L13)-COUNT($I13:$L13))&gt;0,"Avance fuera de rango 0-100%"&amp;" · ","")&amp;IF(OR(AND($J13&lt;&gt;"",$J13&lt;$I13),AND($K13&lt;&gt;"",$K13&lt;MAX($I13:$J13)),AND($L13&lt;&gt;"",$L13&lt;MAX($I13:$K13))),"Avance semanal decreciente"&amp;" · ","")&amp;IF(AND(ISNUMBER($AN13),$AN13&lt;FechaRef,IF($V13="Sub",N($X13),N($M13))&lt;1),"Vencida"&amp;" · ","")&amp;IF(AND(ObsObligatoria="Sí",ISNUMBER($AN13),$AN13&lt;FechaRef,IF($V13="Sub",N($X13),N($M13))&lt;1,$Q13=""),"Vencida sin observación"&amp;" · ",""))="","✔ OK","⚠ "&amp;LEFT(IF($C13="","Falta el nombre de la actividad"&amp;" · ","")&amp;IF(AND($V13="Sub",N($U13)=0),"Subactividad sin macroactividad arriba"&amp;" · ","")&amp;IF($AM13="","Sin fecha de inicio"&amp;" · ","")&amp;IF($AN13="","Sin fecha límite"&amp;" · ","")&amp;IF(AND(LEFT($C13,11)="[Jefatura] ",N($AL13)=0),"No se encuentra en la hoja de la jefatura (elíjala de nuevo en la lista)"&amp;" · ","")&amp;IF(OR(AND($E13&lt;&gt;"",NOT(ISNUMBER($E13))),AND($F13&lt;&gt;"",NOT(ISNUMBER($F13))),AND($G13&lt;&gt;"",NOT(ISNUMBER($G13)))),"Fecha no válida"&amp;" · ","")&amp;IF(AND(ISNUMBER($AM13),ISNUMBER($AN13),$AM13&gt;$AN13),"Inicio posterior a fecha límite"&amp;" · ","")&amp;IF(AND($V13="Macro",$H13&lt;&gt;"",OR(NOT(ISNUMBER($H13)),$H13&lt;0,$H13&gt;1)),"Peso fuera de rango"&amp;" · ","")&amp;IF(AND($V13="Sub",$H13&lt;&gt;""),"Las subactividades no llevan peso (valen igual dentro de su macroactividad)"&amp;" · ","")&amp;IF(AND(N($W13)&gt;0,COUNT($I13:$L13)&gt;0),"Con subactividades: deje vacías las semanas (se calculan solas)"&amp;" · ","")&amp;IF((COUNTIF($I13:$L13,"&gt;1")+COUNTIF($I13:$L13,"&lt;0")+COUNTA($I13:$L13)-COUNT($I13:$L13))&gt;0,"Avance fuera de rango 0-100%"&amp;" · ","")&amp;IF(OR(AND($J13&lt;&gt;"",$J13&lt;$I13),AND($K13&lt;&gt;"",$K13&lt;MAX($I13:$J13)),AND($L13&lt;&gt;"",$L13&lt;MAX($I13:$K13))),"Avance semanal decreciente"&amp;" · ","")&amp;IF(AND(ISNUMBER($AN13),$AN13&lt;FechaRef,IF($V13="Sub",N($X13),N($M13))&lt;1),"Vencida"&amp;" · ","")&amp;IF(AND(ObsObligatoria="Sí",ISNUMBER($AN13),$AN13&lt;FechaRef,IF($V13="Sub",N($X13),N($M13))&lt;1,$Q13=""),"Vencida sin observación"&amp;" · ",""),LEN(IF($C13="","Falta el nombre de la actividad"&amp;" · ","")&amp;IF(AND($V13="Sub",N($U13)=0),"Subactividad sin macroactividad arriba"&amp;" · ","")&amp;IF($AM13="","Sin fecha de inicio"&amp;" · ","")&amp;IF($AN13="","Sin fecha límite"&amp;" · ","")&amp;IF(AND(LEFT($C13,11)="[Jefatura] ",N($AL13)=0),"No se encuentra en la hoja de la jefatura (elíjala de nuevo en la lista)"&amp;" · ","")&amp;IF(OR(AND($E13&lt;&gt;"",NOT(ISNUMBER($E13))),AND($F13&lt;&gt;"",NOT(ISNUMBER($F13))),AND($G13&lt;&gt;"",NOT(ISNUMBER($G13)))),"Fecha no válida"&amp;" · ","")&amp;IF(AND(ISNUMBER($AM13),ISNUMBER($AN13),$AM13&gt;$AN13),"Inicio posterior a fecha límite"&amp;" · ","")&amp;IF(AND($V13="Macro",$H13&lt;&gt;"",OR(NOT(ISNUMBER($H13)),$H13&lt;0,$H13&gt;1)),"Peso fuera de rango"&amp;" · ","")&amp;IF(AND($V13="Sub",$H13&lt;&gt;""),"Las subactividades no llevan peso (valen igual dentro de su macroactividad)"&amp;" · ","")&amp;IF(AND(N($W13)&gt;0,COUNT($I13:$L13)&gt;0),"Con subactividades: deje vacías las semanas (se calculan solas)"&amp;" · ","")&amp;IF((COUNTIF($I13:$L13,"&gt;1")+COUNTIF($I13:$L13,"&lt;0")+COUNTA($I13:$L13)-COUNT($I13:$L13))&gt;0,"Avance fuera de rango 0-100%"&amp;" · ","")&amp;IF(OR(AND($J13&lt;&gt;"",$J13&lt;$I13),AND($K13&lt;&gt;"",$K13&lt;MAX($I13:$J13)),AND($L13&lt;&gt;"",$L13&lt;MAX($I13:$K13))),"Avance semanal decreciente"&amp;" · ","")&amp;IF(AND(ISNUMBER($AN13),$AN13&lt;FechaRef,IF($V13="Sub",N($X13),N($M13))&lt;1),"Vencida"&amp;" · ","")&amp;IF(AND(ObsObligatoria="Sí",ISNUMBER($AN13),$AN13&lt;FechaRef,IF($V13="Sub",N($X13),N($M13))&lt;1,$Q13=""),"Vencida sin observación"&amp;" · ",""))-3)))</f>
        <v/>
      </c>
      <c r="S13" s="64">
        <f>IF(NOT((COUNTA($B13:$D13)+COUNTA($G13:$L13)+COUNTA($Q13))&gt;0),"",IF(AND($V13="Sub",N($U13)&gt;0),IF(ISNUMBER(INDEX($AM$5:$AM$1000,$U13-4)),DATE(YEAR(INDEX($AM$5:$AM$1000,$U13-4)),MONTH(INDEX($AM$5:$AM$1000,$U13-4)),1),IF(ISNUMBER(INDEX($AN$5:$AN$1000,$U13-4)),DATE(YEAR(INDEX($AN$5:$AN$1000,$U13-4)),MONTH(INDEX($AN$5:$AN$1000,$U13-4)),1),MesCiclo)),IF(ISNUMBER($AM13),DATE(YEAR($AM13),MONTH($AM13),1),IF(ISNUMBER($AN13),DATE(YEAR($AN13),MONTH($AN13),1),MesCiclo))))</f>
        <v/>
      </c>
      <c r="T13" s="62">
        <f>IF(OR($S13="",$S13&lt;&gt;MesCiclo,$V13&lt;&gt;"Macro"),"",COUNTIFS($S$5:$S13,MesCiclo,$V$5:$V13,"Macro"))</f>
        <v/>
      </c>
      <c r="U13" s="62">
        <f>IF($V13="","",IF($V13="Macro",ROW(),IFERROR(LOOKUP(2,1/($V$5:$V13="Macro"),ROW($V$5:$V13)),0)))</f>
        <v/>
      </c>
      <c r="V13" s="62">
        <f>IF(NOT((COUNTA($B13:$D13)+COUNTA($G13:$L13)+COUNTA($Q13))&gt;0),"",IF($B13="Subactividad","Sub","Macro"))</f>
        <v/>
      </c>
      <c r="W13" s="62">
        <f>IF($V13="Macro",COUNTIFS($U$5:$U$1000,ROW(),$V$5:$V$1000,"Sub"),"")</f>
        <v/>
      </c>
      <c r="X13" s="62">
        <f>IF($V13="","",IF(ISNUMBER($G13),1,IFERROR(LOOKUP(2,1/($I13:$L13&lt;&gt;""),$I13:$L13),0)))</f>
        <v/>
      </c>
      <c r="Y13" s="62">
        <f>IF($V13="","",IF(AND(ISNUMBER($G13),$G13&lt;=IF($S13=MesCiclo,InicioCiclo,$S13+MOD(2-WEEKDAY($S13),7))+6),1,IF(ISNUMBER($I13),$I13,0)))</f>
        <v/>
      </c>
      <c r="Z13" s="62">
        <f>IF($V13="","",IF(AND(ISNUMBER($G13),$G13&lt;=IF($S13=MesCiclo,InicioCiclo,$S13+MOD(2-WEEKDAY($S13),7))+13),1,IF(ISNUMBER($J13),$J13,$Y13)))</f>
        <v/>
      </c>
      <c r="AA13" s="62">
        <f>IF($V13="","",IF(AND(ISNUMBER($G13),$G13&lt;=IF($S13=MesCiclo,InicioCiclo,$S13+MOD(2-WEEKDAY($S13),7))+20),1,IF(ISNUMBER($K13),$K13,$Z13)))</f>
        <v/>
      </c>
      <c r="AB13" s="62">
        <f>IF($V13="","",IF(AND(ISNUMBER($G13),$G13&lt;=IF($S13=MesCiclo,InicioCiclo,$S13+MOD(2-WEEKDAY($S13),7))+27),1,IF(ISNUMBER($L13),$L13,$AA13)))</f>
        <v/>
      </c>
      <c r="AC13" s="62">
        <f>IF($V13="","",IF(AND(ISNUMBER($G13),$G13&lt;=IF($S13=MesCiclo,InicioCiclo,$S13+MOD(2-WEEKDAY($S13),7))+6),1,IF(N($W13)&gt;0,AVERAGEIFS($Y$5:$Y$1000,$U$5:$U$1000,ROW(),$V$5:$V$1000,"Sub"),$Y13)))</f>
        <v/>
      </c>
      <c r="AD13" s="62">
        <f>IF($V13="","",IF(AND(ISNUMBER($G13),$G13&lt;=IF($S13=MesCiclo,InicioCiclo,$S13+MOD(2-WEEKDAY($S13),7))+13),1,IF(N($W13)&gt;0,AVERAGEIFS($Z$5:$Z$1000,$U$5:$U$1000,ROW(),$V$5:$V$1000,"Sub"),$Z13)))</f>
        <v/>
      </c>
      <c r="AE13" s="62">
        <f>IF($V13="","",IF(AND(ISNUMBER($G13),$G13&lt;=IF($S13=MesCiclo,InicioCiclo,$S13+MOD(2-WEEKDAY($S13),7))+20),1,IF(N($W13)&gt;0,AVERAGEIFS($AA$5:$AA$1000,$U$5:$U$1000,ROW(),$V$5:$V$1000,"Sub"),$AA13)))</f>
        <v/>
      </c>
      <c r="AF13" s="62">
        <f>IF($V13="","",IF(AND(ISNUMBER($G13),$G13&lt;=IF($S13=MesCiclo,InicioCiclo,$S13+MOD(2-WEEKDAY($S13),7))+27),1,IF(N($W13)&gt;0,AVERAGEIFS($AB$5:$AB$1000,$U$5:$U$1000,ROW(),$V$5:$V$1000,"Sub"),$AB13)))</f>
        <v/>
      </c>
      <c r="AG13" s="62">
        <f>IF($V13&lt;&gt;"Macro","",IF(COUNTIFS($S$5:$S$1000,$S13,$V$5:$V$1000,"Macro",$H$5:$H$1000,"&gt;0")=0,1/COUNTIFS($S$5:$S$1000,$S13,$V$5:$V$1000,"Macro"),IF(AND(ISNUMBER($H13),N($H13)&gt;0),$H13,SUMIFS($H$5:$H$1000,$S$5:$S$1000,$S13,$V$5:$V$1000,"Macro")/COUNTIFS($S$5:$S$1000,$S13,$V$5:$V$1000,"Macro",$H$5:$H$1000,"&gt;0"))/(COUNTIFS($S$5:$S$1000,$S13,$V$5:$V$1000,"Macro")*SUMIFS($H$5:$H$1000,$S$5:$S$1000,$S13,$V$5:$V$1000,"Macro")/COUNTIFS($S$5:$S$1000,$S13,$V$5:$V$1000,"Macro",$H$5:$H$1000,"&gt;0"))))</f>
        <v/>
      </c>
      <c r="AH13" s="62" t="n"/>
      <c r="AI13" s="62" t="n"/>
      <c r="AJ13" s="62" t="n"/>
      <c r="AK13" s="62" t="n"/>
      <c r="AL13" s="62">
        <f>IF(LEFT($C13,11)="[Jefatura] ",IFERROR(MATCH("Riesgo Operacional|"&amp;MID($C13,12,500),rDname_ADM,0),0),"")</f>
        <v/>
      </c>
      <c r="AM13" s="62">
        <f>IF(N($AL13)&gt;0,INDEX(rIni_ADM,$AL13),IF(ISNUMBER($E13),$E13,""))</f>
        <v/>
      </c>
      <c r="AN13" s="62">
        <f>IF(N($AL13)&gt;0,INDEX(rLim_ADM,$AL13),IF(ISNUMBER($F13),$F13,""))</f>
        <v/>
      </c>
    </row>
    <row r="14">
      <c r="A14" s="56">
        <f>IF(NOT((COUNTA($B14:$D14)+COUNTA($G14:$L14)+COUNTA($Q14))&gt;0),"",IF($V14="Macro",COUNTIFS($V$5:$V14,"Macro",$S$5:$S14,$S14),IF(N($U14)=0,"?",COUNTIFS(INDEX($V$5:$V$1000,1):INDEX($V$5:$V$1000,$U14-4),"Macro",INDEX($S$5:$S$1000,1):INDEX($S$5:$S$1000,$U14-4),INDEX($S$5:$S$1000,$U14-4))&amp;"."&amp;COUNTIFS($U$5:$U14,$U14,$V$5:$V14,"Sub"))))</f>
        <v/>
      </c>
      <c r="B14" s="57" t="n"/>
      <c r="C14" s="58" t="n"/>
      <c r="D14" s="58" t="n"/>
      <c r="E14" s="59">
        <f>IF(N($AL14)&gt;0,INDEX(rIni_ADM,$AL14),"")</f>
        <v/>
      </c>
      <c r="F14" s="59">
        <f>IF(N($AL14)&gt;0,INDEX(rLim_ADM,$AL14),"")</f>
        <v/>
      </c>
      <c r="G14" s="59" t="n"/>
      <c r="H14" s="60" t="n"/>
      <c r="I14" s="60" t="n"/>
      <c r="J14" s="60" t="n"/>
      <c r="K14" s="60" t="n"/>
      <c r="L14" s="60" t="n"/>
      <c r="M14" s="61">
        <f>IF(NOT((COUNTA($B14:$D14)+COUNTA($G14:$L14)+COUNTA($Q14))&gt;0),"",IF($V14="Sub",IFERROR($X14/INDEX($W$5:$W$1000,$U14-4),""),IF(ISNUMBER($G14),1,IF(N($W14)&gt;0,AVERAGEIFS($X$5:$X$1000,$U$5:$U$1000,ROW(),$V$5:$V$1000,"Sub"),$X14))))</f>
        <v/>
      </c>
      <c r="N14" s="56">
        <f>IF(OR($M14="",$V14="Sub"),"",IF($M14&gt;=1,"Completado",IF($M14&gt;0,"En curso","Pendiente")))</f>
        <v/>
      </c>
      <c r="O14" s="56">
        <f>IF(OR(NOT((COUNTA($B14:$D14)+COUNTA($G14:$L14)+COUNTA($Q14))&gt;0),$V14="Sub"),"",IF(ISNUMBER($G14),IF(AND(ISNUMBER($AN14),$G14&gt;$AN14),"Cumplida con "&amp;($G14-$AN14)&amp;IF($G14-$AN14=1," día"," días")&amp;" de retraso","Cumplida"),IF(N($M14)&gt;=1,"Cumplida",IF(NOT(ISNUMBER($AN14)),"Sin fecha límite",IF($AN14&lt;FechaRef,"Vencida hace "&amp;(FechaRef-$AN14)&amp;IF(FechaRef-$AN14=1," día"," días"),IF($AN14=FechaRef,"Vence hoy",IF($AN14-FechaRef&lt;=DiasAlerta,"Vence en "&amp;($AN14-FechaRef)&amp;IF($AN14-FechaRef=1," día"," días"),"En plazo")))))))</f>
        <v/>
      </c>
      <c r="P14" s="62" t="n"/>
      <c r="Q14" s="58" t="n"/>
      <c r="R14" s="63">
        <f>IF(NOT((COUNTA($B14:$D14)+COUNTA($G14:$L14)+COUNTA($Q14))&gt;0),"",IF((IF($C14="","Falta el nombre de la actividad"&amp;" · ","")&amp;IF(AND($V14="Sub",N($U14)=0),"Subactividad sin macroactividad arriba"&amp;" · ","")&amp;IF($AM14="","Sin fecha de inicio"&amp;" · ","")&amp;IF($AN14="","Sin fecha límite"&amp;" · ","")&amp;IF(AND(LEFT($C14,11)="[Jefatura] ",N($AL14)=0),"No se encuentra en la hoja de la jefatura (elíjala de nuevo en la lista)"&amp;" · ","")&amp;IF(OR(AND($E14&lt;&gt;"",NOT(ISNUMBER($E14))),AND($F14&lt;&gt;"",NOT(ISNUMBER($F14))),AND($G14&lt;&gt;"",NOT(ISNUMBER($G14)))),"Fecha no válida"&amp;" · ","")&amp;IF(AND(ISNUMBER($AM14),ISNUMBER($AN14),$AM14&gt;$AN14),"Inicio posterior a fecha límite"&amp;" · ","")&amp;IF(AND($V14="Macro",$H14&lt;&gt;"",OR(NOT(ISNUMBER($H14)),$H14&lt;0,$H14&gt;1)),"Peso fuera de rango"&amp;" · ","")&amp;IF(AND($V14="Sub",$H14&lt;&gt;""),"Las subactividades no llevan peso (valen igual dentro de su macroactividad)"&amp;" · ","")&amp;IF(AND(N($W14)&gt;0,COUNT($I14:$L14)&gt;0),"Con subactividades: deje vacías las semanas (se calculan solas)"&amp;" · ","")&amp;IF((COUNTIF($I14:$L14,"&gt;1")+COUNTIF($I14:$L14,"&lt;0")+COUNTA($I14:$L14)-COUNT($I14:$L14))&gt;0,"Avance fuera de rango 0-100%"&amp;" · ","")&amp;IF(OR(AND($J14&lt;&gt;"",$J14&lt;$I14),AND($K14&lt;&gt;"",$K14&lt;MAX($I14:$J14)),AND($L14&lt;&gt;"",$L14&lt;MAX($I14:$K14))),"Avance semanal decreciente"&amp;" · ","")&amp;IF(AND(ISNUMBER($AN14),$AN14&lt;FechaRef,IF($V14="Sub",N($X14),N($M14))&lt;1),"Vencida"&amp;" · ","")&amp;IF(AND(ObsObligatoria="Sí",ISNUMBER($AN14),$AN14&lt;FechaRef,IF($V14="Sub",N($X14),N($M14))&lt;1,$Q14=""),"Vencida sin observación"&amp;" · ",""))="","✔ OK","⚠ "&amp;LEFT(IF($C14="","Falta el nombre de la actividad"&amp;" · ","")&amp;IF(AND($V14="Sub",N($U14)=0),"Subactividad sin macroactividad arriba"&amp;" · ","")&amp;IF($AM14="","Sin fecha de inicio"&amp;" · ","")&amp;IF($AN14="","Sin fecha límite"&amp;" · ","")&amp;IF(AND(LEFT($C14,11)="[Jefatura] ",N($AL14)=0),"No se encuentra en la hoja de la jefatura (elíjala de nuevo en la lista)"&amp;" · ","")&amp;IF(OR(AND($E14&lt;&gt;"",NOT(ISNUMBER($E14))),AND($F14&lt;&gt;"",NOT(ISNUMBER($F14))),AND($G14&lt;&gt;"",NOT(ISNUMBER($G14)))),"Fecha no válida"&amp;" · ","")&amp;IF(AND(ISNUMBER($AM14),ISNUMBER($AN14),$AM14&gt;$AN14),"Inicio posterior a fecha límite"&amp;" · ","")&amp;IF(AND($V14="Macro",$H14&lt;&gt;"",OR(NOT(ISNUMBER($H14)),$H14&lt;0,$H14&gt;1)),"Peso fuera de rango"&amp;" · ","")&amp;IF(AND($V14="Sub",$H14&lt;&gt;""),"Las subactividades no llevan peso (valen igual dentro de su macroactividad)"&amp;" · ","")&amp;IF(AND(N($W14)&gt;0,COUNT($I14:$L14)&gt;0),"Con subactividades: deje vacías las semanas (se calculan solas)"&amp;" · ","")&amp;IF((COUNTIF($I14:$L14,"&gt;1")+COUNTIF($I14:$L14,"&lt;0")+COUNTA($I14:$L14)-COUNT($I14:$L14))&gt;0,"Avance fuera de rango 0-100%"&amp;" · ","")&amp;IF(OR(AND($J14&lt;&gt;"",$J14&lt;$I14),AND($K14&lt;&gt;"",$K14&lt;MAX($I14:$J14)),AND($L14&lt;&gt;"",$L14&lt;MAX($I14:$K14))),"Avance semanal decreciente"&amp;" · ","")&amp;IF(AND(ISNUMBER($AN14),$AN14&lt;FechaRef,IF($V14="Sub",N($X14),N($M14))&lt;1),"Vencida"&amp;" · ","")&amp;IF(AND(ObsObligatoria="Sí",ISNUMBER($AN14),$AN14&lt;FechaRef,IF($V14="Sub",N($X14),N($M14))&lt;1,$Q14=""),"Vencida sin observación"&amp;" · ",""),LEN(IF($C14="","Falta el nombre de la actividad"&amp;" · ","")&amp;IF(AND($V14="Sub",N($U14)=0),"Subactividad sin macroactividad arriba"&amp;" · ","")&amp;IF($AM14="","Sin fecha de inicio"&amp;" · ","")&amp;IF($AN14="","Sin fecha límite"&amp;" · ","")&amp;IF(AND(LEFT($C14,11)="[Jefatura] ",N($AL14)=0),"No se encuentra en la hoja de la jefatura (elíjala de nuevo en la lista)"&amp;" · ","")&amp;IF(OR(AND($E14&lt;&gt;"",NOT(ISNUMBER($E14))),AND($F14&lt;&gt;"",NOT(ISNUMBER($F14))),AND($G14&lt;&gt;"",NOT(ISNUMBER($G14)))),"Fecha no válida"&amp;" · ","")&amp;IF(AND(ISNUMBER($AM14),ISNUMBER($AN14),$AM14&gt;$AN14),"Inicio posterior a fecha límite"&amp;" · ","")&amp;IF(AND($V14="Macro",$H14&lt;&gt;"",OR(NOT(ISNUMBER($H14)),$H14&lt;0,$H14&gt;1)),"Peso fuera de rango"&amp;" · ","")&amp;IF(AND($V14="Sub",$H14&lt;&gt;""),"Las subactividades no llevan peso (valen igual dentro de su macroactividad)"&amp;" · ","")&amp;IF(AND(N($W14)&gt;0,COUNT($I14:$L14)&gt;0),"Con subactividades: deje vacías las semanas (se calculan solas)"&amp;" · ","")&amp;IF((COUNTIF($I14:$L14,"&gt;1")+COUNTIF($I14:$L14,"&lt;0")+COUNTA($I14:$L14)-COUNT($I14:$L14))&gt;0,"Avance fuera de rango 0-100%"&amp;" · ","")&amp;IF(OR(AND($J14&lt;&gt;"",$J14&lt;$I14),AND($K14&lt;&gt;"",$K14&lt;MAX($I14:$J14)),AND($L14&lt;&gt;"",$L14&lt;MAX($I14:$K14))),"Avance semanal decreciente"&amp;" · ","")&amp;IF(AND(ISNUMBER($AN14),$AN14&lt;FechaRef,IF($V14="Sub",N($X14),N($M14))&lt;1),"Vencida"&amp;" · ","")&amp;IF(AND(ObsObligatoria="Sí",ISNUMBER($AN14),$AN14&lt;FechaRef,IF($V14="Sub",N($X14),N($M14))&lt;1,$Q14=""),"Vencida sin observación"&amp;" · ",""))-3)))</f>
        <v/>
      </c>
      <c r="S14" s="64">
        <f>IF(NOT((COUNTA($B14:$D14)+COUNTA($G14:$L14)+COUNTA($Q14))&gt;0),"",IF(AND($V14="Sub",N($U14)&gt;0),IF(ISNUMBER(INDEX($AM$5:$AM$1000,$U14-4)),DATE(YEAR(INDEX($AM$5:$AM$1000,$U14-4)),MONTH(INDEX($AM$5:$AM$1000,$U14-4)),1),IF(ISNUMBER(INDEX($AN$5:$AN$1000,$U14-4)),DATE(YEAR(INDEX($AN$5:$AN$1000,$U14-4)),MONTH(INDEX($AN$5:$AN$1000,$U14-4)),1),MesCiclo)),IF(ISNUMBER($AM14),DATE(YEAR($AM14),MONTH($AM14),1),IF(ISNUMBER($AN14),DATE(YEAR($AN14),MONTH($AN14),1),MesCiclo))))</f>
        <v/>
      </c>
      <c r="T14" s="62">
        <f>IF(OR($S14="",$S14&lt;&gt;MesCiclo,$V14&lt;&gt;"Macro"),"",COUNTIFS($S$5:$S14,MesCiclo,$V$5:$V14,"Macro"))</f>
        <v/>
      </c>
      <c r="U14" s="62">
        <f>IF($V14="","",IF($V14="Macro",ROW(),IFERROR(LOOKUP(2,1/($V$5:$V14="Macro"),ROW($V$5:$V14)),0)))</f>
        <v/>
      </c>
      <c r="V14" s="62">
        <f>IF(NOT((COUNTA($B14:$D14)+COUNTA($G14:$L14)+COUNTA($Q14))&gt;0),"",IF($B14="Subactividad","Sub","Macro"))</f>
        <v/>
      </c>
      <c r="W14" s="62">
        <f>IF($V14="Macro",COUNTIFS($U$5:$U$1000,ROW(),$V$5:$V$1000,"Sub"),"")</f>
        <v/>
      </c>
      <c r="X14" s="62">
        <f>IF($V14="","",IF(ISNUMBER($G14),1,IFERROR(LOOKUP(2,1/($I14:$L14&lt;&gt;""),$I14:$L14),0)))</f>
        <v/>
      </c>
      <c r="Y14" s="62">
        <f>IF($V14="","",IF(AND(ISNUMBER($G14),$G14&lt;=IF($S14=MesCiclo,InicioCiclo,$S14+MOD(2-WEEKDAY($S14),7))+6),1,IF(ISNUMBER($I14),$I14,0)))</f>
        <v/>
      </c>
      <c r="Z14" s="62">
        <f>IF($V14="","",IF(AND(ISNUMBER($G14),$G14&lt;=IF($S14=MesCiclo,InicioCiclo,$S14+MOD(2-WEEKDAY($S14),7))+13),1,IF(ISNUMBER($J14),$J14,$Y14)))</f>
        <v/>
      </c>
      <c r="AA14" s="62">
        <f>IF($V14="","",IF(AND(ISNUMBER($G14),$G14&lt;=IF($S14=MesCiclo,InicioCiclo,$S14+MOD(2-WEEKDAY($S14),7))+20),1,IF(ISNUMBER($K14),$K14,$Z14)))</f>
        <v/>
      </c>
      <c r="AB14" s="62">
        <f>IF($V14="","",IF(AND(ISNUMBER($G14),$G14&lt;=IF($S14=MesCiclo,InicioCiclo,$S14+MOD(2-WEEKDAY($S14),7))+27),1,IF(ISNUMBER($L14),$L14,$AA14)))</f>
        <v/>
      </c>
      <c r="AC14" s="62">
        <f>IF($V14="","",IF(AND(ISNUMBER($G14),$G14&lt;=IF($S14=MesCiclo,InicioCiclo,$S14+MOD(2-WEEKDAY($S14),7))+6),1,IF(N($W14)&gt;0,AVERAGEIFS($Y$5:$Y$1000,$U$5:$U$1000,ROW(),$V$5:$V$1000,"Sub"),$Y14)))</f>
        <v/>
      </c>
      <c r="AD14" s="62">
        <f>IF($V14="","",IF(AND(ISNUMBER($G14),$G14&lt;=IF($S14=MesCiclo,InicioCiclo,$S14+MOD(2-WEEKDAY($S14),7))+13),1,IF(N($W14)&gt;0,AVERAGEIFS($Z$5:$Z$1000,$U$5:$U$1000,ROW(),$V$5:$V$1000,"Sub"),$Z14)))</f>
        <v/>
      </c>
      <c r="AE14" s="62">
        <f>IF($V14="","",IF(AND(ISNUMBER($G14),$G14&lt;=IF($S14=MesCiclo,InicioCiclo,$S14+MOD(2-WEEKDAY($S14),7))+20),1,IF(N($W14)&gt;0,AVERAGEIFS($AA$5:$AA$1000,$U$5:$U$1000,ROW(),$V$5:$V$1000,"Sub"),$AA14)))</f>
        <v/>
      </c>
      <c r="AF14" s="62">
        <f>IF($V14="","",IF(AND(ISNUMBER($G14),$G14&lt;=IF($S14=MesCiclo,InicioCiclo,$S14+MOD(2-WEEKDAY($S14),7))+27),1,IF(N($W14)&gt;0,AVERAGEIFS($AB$5:$AB$1000,$U$5:$U$1000,ROW(),$V$5:$V$1000,"Sub"),$AB14)))</f>
        <v/>
      </c>
      <c r="AG14" s="62">
        <f>IF($V14&lt;&gt;"Macro","",IF(COUNTIFS($S$5:$S$1000,$S14,$V$5:$V$1000,"Macro",$H$5:$H$1000,"&gt;0")=0,1/COUNTIFS($S$5:$S$1000,$S14,$V$5:$V$1000,"Macro"),IF(AND(ISNUMBER($H14),N($H14)&gt;0),$H14,SUMIFS($H$5:$H$1000,$S$5:$S$1000,$S14,$V$5:$V$1000,"Macro")/COUNTIFS($S$5:$S$1000,$S14,$V$5:$V$1000,"Macro",$H$5:$H$1000,"&gt;0"))/(COUNTIFS($S$5:$S$1000,$S14,$V$5:$V$1000,"Macro")*SUMIFS($H$5:$H$1000,$S$5:$S$1000,$S14,$V$5:$V$1000,"Macro")/COUNTIFS($S$5:$S$1000,$S14,$V$5:$V$1000,"Macro",$H$5:$H$1000,"&gt;0"))))</f>
        <v/>
      </c>
      <c r="AH14" s="62" t="n"/>
      <c r="AI14" s="62" t="n"/>
      <c r="AJ14" s="62" t="n"/>
      <c r="AK14" s="62" t="n"/>
      <c r="AL14" s="62">
        <f>IF(LEFT($C14,11)="[Jefatura] ",IFERROR(MATCH("Riesgo Operacional|"&amp;MID($C14,12,500),rDname_ADM,0),0),"")</f>
        <v/>
      </c>
      <c r="AM14" s="62">
        <f>IF(N($AL14)&gt;0,INDEX(rIni_ADM,$AL14),IF(ISNUMBER($E14),$E14,""))</f>
        <v/>
      </c>
      <c r="AN14" s="62">
        <f>IF(N($AL14)&gt;0,INDEX(rLim_ADM,$AL14),IF(ISNUMBER($F14),$F14,""))</f>
        <v/>
      </c>
    </row>
    <row r="15">
      <c r="A15" s="56">
        <f>IF(NOT((COUNTA($B15:$D15)+COUNTA($G15:$L15)+COUNTA($Q15))&gt;0),"",IF($V15="Macro",COUNTIFS($V$5:$V15,"Macro",$S$5:$S15,$S15),IF(N($U15)=0,"?",COUNTIFS(INDEX($V$5:$V$1000,1):INDEX($V$5:$V$1000,$U15-4),"Macro",INDEX($S$5:$S$1000,1):INDEX($S$5:$S$1000,$U15-4),INDEX($S$5:$S$1000,$U15-4))&amp;"."&amp;COUNTIFS($U$5:$U15,$U15,$V$5:$V15,"Sub"))))</f>
        <v/>
      </c>
      <c r="B15" s="57" t="n"/>
      <c r="C15" s="58" t="n"/>
      <c r="D15" s="58" t="n"/>
      <c r="E15" s="59">
        <f>IF(N($AL15)&gt;0,INDEX(rIni_ADM,$AL15),"")</f>
        <v/>
      </c>
      <c r="F15" s="59">
        <f>IF(N($AL15)&gt;0,INDEX(rLim_ADM,$AL15),"")</f>
        <v/>
      </c>
      <c r="G15" s="59" t="n"/>
      <c r="H15" s="60" t="n"/>
      <c r="I15" s="60" t="n"/>
      <c r="J15" s="60" t="n"/>
      <c r="K15" s="60" t="n"/>
      <c r="L15" s="60" t="n"/>
      <c r="M15" s="61">
        <f>IF(NOT((COUNTA($B15:$D15)+COUNTA($G15:$L15)+COUNTA($Q15))&gt;0),"",IF($V15="Sub",IFERROR($X15/INDEX($W$5:$W$1000,$U15-4),""),IF(ISNUMBER($G15),1,IF(N($W15)&gt;0,AVERAGEIFS($X$5:$X$1000,$U$5:$U$1000,ROW(),$V$5:$V$1000,"Sub"),$X15))))</f>
        <v/>
      </c>
      <c r="N15" s="56">
        <f>IF(OR($M15="",$V15="Sub"),"",IF($M15&gt;=1,"Completado",IF($M15&gt;0,"En curso","Pendiente")))</f>
        <v/>
      </c>
      <c r="O15" s="56">
        <f>IF(OR(NOT((COUNTA($B15:$D15)+COUNTA($G15:$L15)+COUNTA($Q15))&gt;0),$V15="Sub"),"",IF(ISNUMBER($G15),IF(AND(ISNUMBER($AN15),$G15&gt;$AN15),"Cumplida con "&amp;($G15-$AN15)&amp;IF($G15-$AN15=1," día"," días")&amp;" de retraso","Cumplida"),IF(N($M15)&gt;=1,"Cumplida",IF(NOT(ISNUMBER($AN15)),"Sin fecha límite",IF($AN15&lt;FechaRef,"Vencida hace "&amp;(FechaRef-$AN15)&amp;IF(FechaRef-$AN15=1," día"," días"),IF($AN15=FechaRef,"Vence hoy",IF($AN15-FechaRef&lt;=DiasAlerta,"Vence en "&amp;($AN15-FechaRef)&amp;IF($AN15-FechaRef=1," día"," días"),"En plazo")))))))</f>
        <v/>
      </c>
      <c r="P15" s="62" t="n"/>
      <c r="Q15" s="58" t="n"/>
      <c r="R15" s="63">
        <f>IF(NOT((COUNTA($B15:$D15)+COUNTA($G15:$L15)+COUNTA($Q15))&gt;0),"",IF((IF($C15="","Falta el nombre de la actividad"&amp;" · ","")&amp;IF(AND($V15="Sub",N($U15)=0),"Subactividad sin macroactividad arriba"&amp;" · ","")&amp;IF($AM15="","Sin fecha de inicio"&amp;" · ","")&amp;IF($AN15="","Sin fecha límite"&amp;" · ","")&amp;IF(AND(LEFT($C15,11)="[Jefatura] ",N($AL15)=0),"No se encuentra en la hoja de la jefatura (elíjala de nuevo en la lista)"&amp;" · ","")&amp;IF(OR(AND($E15&lt;&gt;"",NOT(ISNUMBER($E15))),AND($F15&lt;&gt;"",NOT(ISNUMBER($F15))),AND($G15&lt;&gt;"",NOT(ISNUMBER($G15)))),"Fecha no válida"&amp;" · ","")&amp;IF(AND(ISNUMBER($AM15),ISNUMBER($AN15),$AM15&gt;$AN15),"Inicio posterior a fecha límite"&amp;" · ","")&amp;IF(AND($V15="Macro",$H15&lt;&gt;"",OR(NOT(ISNUMBER($H15)),$H15&lt;0,$H15&gt;1)),"Peso fuera de rango"&amp;" · ","")&amp;IF(AND($V15="Sub",$H15&lt;&gt;""),"Las subactividades no llevan peso (valen igual dentro de su macroactividad)"&amp;" · ","")&amp;IF(AND(N($W15)&gt;0,COUNT($I15:$L15)&gt;0),"Con subactividades: deje vacías las semanas (se calculan solas)"&amp;" · ","")&amp;IF((COUNTIF($I15:$L15,"&gt;1")+COUNTIF($I15:$L15,"&lt;0")+COUNTA($I15:$L15)-COUNT($I15:$L15))&gt;0,"Avance fuera de rango 0-100%"&amp;" · ","")&amp;IF(OR(AND($J15&lt;&gt;"",$J15&lt;$I15),AND($K15&lt;&gt;"",$K15&lt;MAX($I15:$J15)),AND($L15&lt;&gt;"",$L15&lt;MAX($I15:$K15))),"Avance semanal decreciente"&amp;" · ","")&amp;IF(AND(ISNUMBER($AN15),$AN15&lt;FechaRef,IF($V15="Sub",N($X15),N($M15))&lt;1),"Vencida"&amp;" · ","")&amp;IF(AND(ObsObligatoria="Sí",ISNUMBER($AN15),$AN15&lt;FechaRef,IF($V15="Sub",N($X15),N($M15))&lt;1,$Q15=""),"Vencida sin observación"&amp;" · ",""))="","✔ OK","⚠ "&amp;LEFT(IF($C15="","Falta el nombre de la actividad"&amp;" · ","")&amp;IF(AND($V15="Sub",N($U15)=0),"Subactividad sin macroactividad arriba"&amp;" · ","")&amp;IF($AM15="","Sin fecha de inicio"&amp;" · ","")&amp;IF($AN15="","Sin fecha límite"&amp;" · ","")&amp;IF(AND(LEFT($C15,11)="[Jefatura] ",N($AL15)=0),"No se encuentra en la hoja de la jefatura (elíjala de nuevo en la lista)"&amp;" · ","")&amp;IF(OR(AND($E15&lt;&gt;"",NOT(ISNUMBER($E15))),AND($F15&lt;&gt;"",NOT(ISNUMBER($F15))),AND($G15&lt;&gt;"",NOT(ISNUMBER($G15)))),"Fecha no válida"&amp;" · ","")&amp;IF(AND(ISNUMBER($AM15),ISNUMBER($AN15),$AM15&gt;$AN15),"Inicio posterior a fecha límite"&amp;" · ","")&amp;IF(AND($V15="Macro",$H15&lt;&gt;"",OR(NOT(ISNUMBER($H15)),$H15&lt;0,$H15&gt;1)),"Peso fuera de rango"&amp;" · ","")&amp;IF(AND($V15="Sub",$H15&lt;&gt;""),"Las subactividades no llevan peso (valen igual dentro de su macroactividad)"&amp;" · ","")&amp;IF(AND(N($W15)&gt;0,COUNT($I15:$L15)&gt;0),"Con subactividades: deje vacías las semanas (se calculan solas)"&amp;" · ","")&amp;IF((COUNTIF($I15:$L15,"&gt;1")+COUNTIF($I15:$L15,"&lt;0")+COUNTA($I15:$L15)-COUNT($I15:$L15))&gt;0,"Avance fuera de rango 0-100%"&amp;" · ","")&amp;IF(OR(AND($J15&lt;&gt;"",$J15&lt;$I15),AND($K15&lt;&gt;"",$K15&lt;MAX($I15:$J15)),AND($L15&lt;&gt;"",$L15&lt;MAX($I15:$K15))),"Avance semanal decreciente"&amp;" · ","")&amp;IF(AND(ISNUMBER($AN15),$AN15&lt;FechaRef,IF($V15="Sub",N($X15),N($M15))&lt;1),"Vencida"&amp;" · ","")&amp;IF(AND(ObsObligatoria="Sí",ISNUMBER($AN15),$AN15&lt;FechaRef,IF($V15="Sub",N($X15),N($M15))&lt;1,$Q15=""),"Vencida sin observación"&amp;" · ",""),LEN(IF($C15="","Falta el nombre de la actividad"&amp;" · ","")&amp;IF(AND($V15="Sub",N($U15)=0),"Subactividad sin macroactividad arriba"&amp;" · ","")&amp;IF($AM15="","Sin fecha de inicio"&amp;" · ","")&amp;IF($AN15="","Sin fecha límite"&amp;" · ","")&amp;IF(AND(LEFT($C15,11)="[Jefatura] ",N($AL15)=0),"No se encuentra en la hoja de la jefatura (elíjala de nuevo en la lista)"&amp;" · ","")&amp;IF(OR(AND($E15&lt;&gt;"",NOT(ISNUMBER($E15))),AND($F15&lt;&gt;"",NOT(ISNUMBER($F15))),AND($G15&lt;&gt;"",NOT(ISNUMBER($G15)))),"Fecha no válida"&amp;" · ","")&amp;IF(AND(ISNUMBER($AM15),ISNUMBER($AN15),$AM15&gt;$AN15),"Inicio posterior a fecha límite"&amp;" · ","")&amp;IF(AND($V15="Macro",$H15&lt;&gt;"",OR(NOT(ISNUMBER($H15)),$H15&lt;0,$H15&gt;1)),"Peso fuera de rango"&amp;" · ","")&amp;IF(AND($V15="Sub",$H15&lt;&gt;""),"Las subactividades no llevan peso (valen igual dentro de su macroactividad)"&amp;" · ","")&amp;IF(AND(N($W15)&gt;0,COUNT($I15:$L15)&gt;0),"Con subactividades: deje vacías las semanas (se calculan solas)"&amp;" · ","")&amp;IF((COUNTIF($I15:$L15,"&gt;1")+COUNTIF($I15:$L15,"&lt;0")+COUNTA($I15:$L15)-COUNT($I15:$L15))&gt;0,"Avance fuera de rango 0-100%"&amp;" · ","")&amp;IF(OR(AND($J15&lt;&gt;"",$J15&lt;$I15),AND($K15&lt;&gt;"",$K15&lt;MAX($I15:$J15)),AND($L15&lt;&gt;"",$L15&lt;MAX($I15:$K15))),"Avance semanal decreciente"&amp;" · ","")&amp;IF(AND(ISNUMBER($AN15),$AN15&lt;FechaRef,IF($V15="Sub",N($X15),N($M15))&lt;1),"Vencida"&amp;" · ","")&amp;IF(AND(ObsObligatoria="Sí",ISNUMBER($AN15),$AN15&lt;FechaRef,IF($V15="Sub",N($X15),N($M15))&lt;1,$Q15=""),"Vencida sin observación"&amp;" · ",""))-3)))</f>
        <v/>
      </c>
      <c r="S15" s="64">
        <f>IF(NOT((COUNTA($B15:$D15)+COUNTA($G15:$L15)+COUNTA($Q15))&gt;0),"",IF(AND($V15="Sub",N($U15)&gt;0),IF(ISNUMBER(INDEX($AM$5:$AM$1000,$U15-4)),DATE(YEAR(INDEX($AM$5:$AM$1000,$U15-4)),MONTH(INDEX($AM$5:$AM$1000,$U15-4)),1),IF(ISNUMBER(INDEX($AN$5:$AN$1000,$U15-4)),DATE(YEAR(INDEX($AN$5:$AN$1000,$U15-4)),MONTH(INDEX($AN$5:$AN$1000,$U15-4)),1),MesCiclo)),IF(ISNUMBER($AM15),DATE(YEAR($AM15),MONTH($AM15),1),IF(ISNUMBER($AN15),DATE(YEAR($AN15),MONTH($AN15),1),MesCiclo))))</f>
        <v/>
      </c>
      <c r="T15" s="62">
        <f>IF(OR($S15="",$S15&lt;&gt;MesCiclo,$V15&lt;&gt;"Macro"),"",COUNTIFS($S$5:$S15,MesCiclo,$V$5:$V15,"Macro"))</f>
        <v/>
      </c>
      <c r="U15" s="62">
        <f>IF($V15="","",IF($V15="Macro",ROW(),IFERROR(LOOKUP(2,1/($V$5:$V15="Macro"),ROW($V$5:$V15)),0)))</f>
        <v/>
      </c>
      <c r="V15" s="62">
        <f>IF(NOT((COUNTA($B15:$D15)+COUNTA($G15:$L15)+COUNTA($Q15))&gt;0),"",IF($B15="Subactividad","Sub","Macro"))</f>
        <v/>
      </c>
      <c r="W15" s="62">
        <f>IF($V15="Macro",COUNTIFS($U$5:$U$1000,ROW(),$V$5:$V$1000,"Sub"),"")</f>
        <v/>
      </c>
      <c r="X15" s="62">
        <f>IF($V15="","",IF(ISNUMBER($G15),1,IFERROR(LOOKUP(2,1/($I15:$L15&lt;&gt;""),$I15:$L15),0)))</f>
        <v/>
      </c>
      <c r="Y15" s="62">
        <f>IF($V15="","",IF(AND(ISNUMBER($G15),$G15&lt;=IF($S15=MesCiclo,InicioCiclo,$S15+MOD(2-WEEKDAY($S15),7))+6),1,IF(ISNUMBER($I15),$I15,0)))</f>
        <v/>
      </c>
      <c r="Z15" s="62">
        <f>IF($V15="","",IF(AND(ISNUMBER($G15),$G15&lt;=IF($S15=MesCiclo,InicioCiclo,$S15+MOD(2-WEEKDAY($S15),7))+13),1,IF(ISNUMBER($J15),$J15,$Y15)))</f>
        <v/>
      </c>
      <c r="AA15" s="62">
        <f>IF($V15="","",IF(AND(ISNUMBER($G15),$G15&lt;=IF($S15=MesCiclo,InicioCiclo,$S15+MOD(2-WEEKDAY($S15),7))+20),1,IF(ISNUMBER($K15),$K15,$Z15)))</f>
        <v/>
      </c>
      <c r="AB15" s="62">
        <f>IF($V15="","",IF(AND(ISNUMBER($G15),$G15&lt;=IF($S15=MesCiclo,InicioCiclo,$S15+MOD(2-WEEKDAY($S15),7))+27),1,IF(ISNUMBER($L15),$L15,$AA15)))</f>
        <v/>
      </c>
      <c r="AC15" s="62">
        <f>IF($V15="","",IF(AND(ISNUMBER($G15),$G15&lt;=IF($S15=MesCiclo,InicioCiclo,$S15+MOD(2-WEEKDAY($S15),7))+6),1,IF(N($W15)&gt;0,AVERAGEIFS($Y$5:$Y$1000,$U$5:$U$1000,ROW(),$V$5:$V$1000,"Sub"),$Y15)))</f>
        <v/>
      </c>
      <c r="AD15" s="62">
        <f>IF($V15="","",IF(AND(ISNUMBER($G15),$G15&lt;=IF($S15=MesCiclo,InicioCiclo,$S15+MOD(2-WEEKDAY($S15),7))+13),1,IF(N($W15)&gt;0,AVERAGEIFS($Z$5:$Z$1000,$U$5:$U$1000,ROW(),$V$5:$V$1000,"Sub"),$Z15)))</f>
        <v/>
      </c>
      <c r="AE15" s="62">
        <f>IF($V15="","",IF(AND(ISNUMBER($G15),$G15&lt;=IF($S15=MesCiclo,InicioCiclo,$S15+MOD(2-WEEKDAY($S15),7))+20),1,IF(N($W15)&gt;0,AVERAGEIFS($AA$5:$AA$1000,$U$5:$U$1000,ROW(),$V$5:$V$1000,"Sub"),$AA15)))</f>
        <v/>
      </c>
      <c r="AF15" s="62">
        <f>IF($V15="","",IF(AND(ISNUMBER($G15),$G15&lt;=IF($S15=MesCiclo,InicioCiclo,$S15+MOD(2-WEEKDAY($S15),7))+27),1,IF(N($W15)&gt;0,AVERAGEIFS($AB$5:$AB$1000,$U$5:$U$1000,ROW(),$V$5:$V$1000,"Sub"),$AB15)))</f>
        <v/>
      </c>
      <c r="AG15" s="62">
        <f>IF($V15&lt;&gt;"Macro","",IF(COUNTIFS($S$5:$S$1000,$S15,$V$5:$V$1000,"Macro",$H$5:$H$1000,"&gt;0")=0,1/COUNTIFS($S$5:$S$1000,$S15,$V$5:$V$1000,"Macro"),IF(AND(ISNUMBER($H15),N($H15)&gt;0),$H15,SUMIFS($H$5:$H$1000,$S$5:$S$1000,$S15,$V$5:$V$1000,"Macro")/COUNTIFS($S$5:$S$1000,$S15,$V$5:$V$1000,"Macro",$H$5:$H$1000,"&gt;0"))/(COUNTIFS($S$5:$S$1000,$S15,$V$5:$V$1000,"Macro")*SUMIFS($H$5:$H$1000,$S$5:$S$1000,$S15,$V$5:$V$1000,"Macro")/COUNTIFS($S$5:$S$1000,$S15,$V$5:$V$1000,"Macro",$H$5:$H$1000,"&gt;0"))))</f>
        <v/>
      </c>
      <c r="AH15" s="62" t="n"/>
      <c r="AI15" s="62" t="n"/>
      <c r="AJ15" s="62" t="n"/>
      <c r="AK15" s="62" t="n"/>
      <c r="AL15" s="62">
        <f>IF(LEFT($C15,11)="[Jefatura] ",IFERROR(MATCH("Riesgo Operacional|"&amp;MID($C15,12,500),rDname_ADM,0),0),"")</f>
        <v/>
      </c>
      <c r="AM15" s="62">
        <f>IF(N($AL15)&gt;0,INDEX(rIni_ADM,$AL15),IF(ISNUMBER($E15),$E15,""))</f>
        <v/>
      </c>
      <c r="AN15" s="62">
        <f>IF(N($AL15)&gt;0,INDEX(rLim_ADM,$AL15),IF(ISNUMBER($F15),$F15,""))</f>
        <v/>
      </c>
    </row>
    <row r="16">
      <c r="A16" s="56">
        <f>IF(NOT((COUNTA($B16:$D16)+COUNTA($G16:$L16)+COUNTA($Q16))&gt;0),"",IF($V16="Macro",COUNTIFS($V$5:$V16,"Macro",$S$5:$S16,$S16),IF(N($U16)=0,"?",COUNTIFS(INDEX($V$5:$V$1000,1):INDEX($V$5:$V$1000,$U16-4),"Macro",INDEX($S$5:$S$1000,1):INDEX($S$5:$S$1000,$U16-4),INDEX($S$5:$S$1000,$U16-4))&amp;"."&amp;COUNTIFS($U$5:$U16,$U16,$V$5:$V16,"Sub"))))</f>
        <v/>
      </c>
      <c r="B16" s="57" t="n"/>
      <c r="C16" s="58" t="n"/>
      <c r="D16" s="58" t="n"/>
      <c r="E16" s="59">
        <f>IF(N($AL16)&gt;0,INDEX(rIni_ADM,$AL16),"")</f>
        <v/>
      </c>
      <c r="F16" s="59">
        <f>IF(N($AL16)&gt;0,INDEX(rLim_ADM,$AL16),"")</f>
        <v/>
      </c>
      <c r="G16" s="59" t="n"/>
      <c r="H16" s="60" t="n"/>
      <c r="I16" s="60" t="n"/>
      <c r="J16" s="60" t="n"/>
      <c r="K16" s="60" t="n"/>
      <c r="L16" s="60" t="n"/>
      <c r="M16" s="61">
        <f>IF(NOT((COUNTA($B16:$D16)+COUNTA($G16:$L16)+COUNTA($Q16))&gt;0),"",IF($V16="Sub",IFERROR($X16/INDEX($W$5:$W$1000,$U16-4),""),IF(ISNUMBER($G16),1,IF(N($W16)&gt;0,AVERAGEIFS($X$5:$X$1000,$U$5:$U$1000,ROW(),$V$5:$V$1000,"Sub"),$X16))))</f>
        <v/>
      </c>
      <c r="N16" s="56">
        <f>IF(OR($M16="",$V16="Sub"),"",IF($M16&gt;=1,"Completado",IF($M16&gt;0,"En curso","Pendiente")))</f>
        <v/>
      </c>
      <c r="O16" s="56">
        <f>IF(OR(NOT((COUNTA($B16:$D16)+COUNTA($G16:$L16)+COUNTA($Q16))&gt;0),$V16="Sub"),"",IF(ISNUMBER($G16),IF(AND(ISNUMBER($AN16),$G16&gt;$AN16),"Cumplida con "&amp;($G16-$AN16)&amp;IF($G16-$AN16=1," día"," días")&amp;" de retraso","Cumplida"),IF(N($M16)&gt;=1,"Cumplida",IF(NOT(ISNUMBER($AN16)),"Sin fecha límite",IF($AN16&lt;FechaRef,"Vencida hace "&amp;(FechaRef-$AN16)&amp;IF(FechaRef-$AN16=1," día"," días"),IF($AN16=FechaRef,"Vence hoy",IF($AN16-FechaRef&lt;=DiasAlerta,"Vence en "&amp;($AN16-FechaRef)&amp;IF($AN16-FechaRef=1," día"," días"),"En plazo")))))))</f>
        <v/>
      </c>
      <c r="P16" s="62" t="n"/>
      <c r="Q16" s="58" t="n"/>
      <c r="R16" s="63">
        <f>IF(NOT((COUNTA($B16:$D16)+COUNTA($G16:$L16)+COUNTA($Q16))&gt;0),"",IF((IF($C16="","Falta el nombre de la actividad"&amp;" · ","")&amp;IF(AND($V16="Sub",N($U16)=0),"Subactividad sin macroactividad arriba"&amp;" · ","")&amp;IF($AM16="","Sin fecha de inicio"&amp;" · ","")&amp;IF($AN16="","Sin fecha límite"&amp;" · ","")&amp;IF(AND(LEFT($C16,11)="[Jefatura] ",N($AL16)=0),"No se encuentra en la hoja de la jefatura (elíjala de nuevo en la lista)"&amp;" · ","")&amp;IF(OR(AND($E16&lt;&gt;"",NOT(ISNUMBER($E16))),AND($F16&lt;&gt;"",NOT(ISNUMBER($F16))),AND($G16&lt;&gt;"",NOT(ISNUMBER($G16)))),"Fecha no válida"&amp;" · ","")&amp;IF(AND(ISNUMBER($AM16),ISNUMBER($AN16),$AM16&gt;$AN16),"Inicio posterior a fecha límite"&amp;" · ","")&amp;IF(AND($V16="Macro",$H16&lt;&gt;"",OR(NOT(ISNUMBER($H16)),$H16&lt;0,$H16&gt;1)),"Peso fuera de rango"&amp;" · ","")&amp;IF(AND($V16="Sub",$H16&lt;&gt;""),"Las subactividades no llevan peso (valen igual dentro de su macroactividad)"&amp;" · ","")&amp;IF(AND(N($W16)&gt;0,COUNT($I16:$L16)&gt;0),"Con subactividades: deje vacías las semanas (se calculan solas)"&amp;" · ","")&amp;IF((COUNTIF($I16:$L16,"&gt;1")+COUNTIF($I16:$L16,"&lt;0")+COUNTA($I16:$L16)-COUNT($I16:$L16))&gt;0,"Avance fuera de rango 0-100%"&amp;" · ","")&amp;IF(OR(AND($J16&lt;&gt;"",$J16&lt;$I16),AND($K16&lt;&gt;"",$K16&lt;MAX($I16:$J16)),AND($L16&lt;&gt;"",$L16&lt;MAX($I16:$K16))),"Avance semanal decreciente"&amp;" · ","")&amp;IF(AND(ISNUMBER($AN16),$AN16&lt;FechaRef,IF($V16="Sub",N($X16),N($M16))&lt;1),"Vencida"&amp;" · ","")&amp;IF(AND(ObsObligatoria="Sí",ISNUMBER($AN16),$AN16&lt;FechaRef,IF($V16="Sub",N($X16),N($M16))&lt;1,$Q16=""),"Vencida sin observación"&amp;" · ",""))="","✔ OK","⚠ "&amp;LEFT(IF($C16="","Falta el nombre de la actividad"&amp;" · ","")&amp;IF(AND($V16="Sub",N($U16)=0),"Subactividad sin macroactividad arriba"&amp;" · ","")&amp;IF($AM16="","Sin fecha de inicio"&amp;" · ","")&amp;IF($AN16="","Sin fecha límite"&amp;" · ","")&amp;IF(AND(LEFT($C16,11)="[Jefatura] ",N($AL16)=0),"No se encuentra en la hoja de la jefatura (elíjala de nuevo en la lista)"&amp;" · ","")&amp;IF(OR(AND($E16&lt;&gt;"",NOT(ISNUMBER($E16))),AND($F16&lt;&gt;"",NOT(ISNUMBER($F16))),AND($G16&lt;&gt;"",NOT(ISNUMBER($G16)))),"Fecha no válida"&amp;" · ","")&amp;IF(AND(ISNUMBER($AM16),ISNUMBER($AN16),$AM16&gt;$AN16),"Inicio posterior a fecha límite"&amp;" · ","")&amp;IF(AND($V16="Macro",$H16&lt;&gt;"",OR(NOT(ISNUMBER($H16)),$H16&lt;0,$H16&gt;1)),"Peso fuera de rango"&amp;" · ","")&amp;IF(AND($V16="Sub",$H16&lt;&gt;""),"Las subactividades no llevan peso (valen igual dentro de su macroactividad)"&amp;" · ","")&amp;IF(AND(N($W16)&gt;0,COUNT($I16:$L16)&gt;0),"Con subactividades: deje vacías las semanas (se calculan solas)"&amp;" · ","")&amp;IF((COUNTIF($I16:$L16,"&gt;1")+COUNTIF($I16:$L16,"&lt;0")+COUNTA($I16:$L16)-COUNT($I16:$L16))&gt;0,"Avance fuera de rango 0-100%"&amp;" · ","")&amp;IF(OR(AND($J16&lt;&gt;"",$J16&lt;$I16),AND($K16&lt;&gt;"",$K16&lt;MAX($I16:$J16)),AND($L16&lt;&gt;"",$L16&lt;MAX($I16:$K16))),"Avance semanal decreciente"&amp;" · ","")&amp;IF(AND(ISNUMBER($AN16),$AN16&lt;FechaRef,IF($V16="Sub",N($X16),N($M16))&lt;1),"Vencida"&amp;" · ","")&amp;IF(AND(ObsObligatoria="Sí",ISNUMBER($AN16),$AN16&lt;FechaRef,IF($V16="Sub",N($X16),N($M16))&lt;1,$Q16=""),"Vencida sin observación"&amp;" · ",""),LEN(IF($C16="","Falta el nombre de la actividad"&amp;" · ","")&amp;IF(AND($V16="Sub",N($U16)=0),"Subactividad sin macroactividad arriba"&amp;" · ","")&amp;IF($AM16="","Sin fecha de inicio"&amp;" · ","")&amp;IF($AN16="","Sin fecha límite"&amp;" · ","")&amp;IF(AND(LEFT($C16,11)="[Jefatura] ",N($AL16)=0),"No se encuentra en la hoja de la jefatura (elíjala de nuevo en la lista)"&amp;" · ","")&amp;IF(OR(AND($E16&lt;&gt;"",NOT(ISNUMBER($E16))),AND($F16&lt;&gt;"",NOT(ISNUMBER($F16))),AND($G16&lt;&gt;"",NOT(ISNUMBER($G16)))),"Fecha no válida"&amp;" · ","")&amp;IF(AND(ISNUMBER($AM16),ISNUMBER($AN16),$AM16&gt;$AN16),"Inicio posterior a fecha límite"&amp;" · ","")&amp;IF(AND($V16="Macro",$H16&lt;&gt;"",OR(NOT(ISNUMBER($H16)),$H16&lt;0,$H16&gt;1)),"Peso fuera de rango"&amp;" · ","")&amp;IF(AND($V16="Sub",$H16&lt;&gt;""),"Las subactividades no llevan peso (valen igual dentro de su macroactividad)"&amp;" · ","")&amp;IF(AND(N($W16)&gt;0,COUNT($I16:$L16)&gt;0),"Con subactividades: deje vacías las semanas (se calculan solas)"&amp;" · ","")&amp;IF((COUNTIF($I16:$L16,"&gt;1")+COUNTIF($I16:$L16,"&lt;0")+COUNTA($I16:$L16)-COUNT($I16:$L16))&gt;0,"Avance fuera de rango 0-100%"&amp;" · ","")&amp;IF(OR(AND($J16&lt;&gt;"",$J16&lt;$I16),AND($K16&lt;&gt;"",$K16&lt;MAX($I16:$J16)),AND($L16&lt;&gt;"",$L16&lt;MAX($I16:$K16))),"Avance semanal decreciente"&amp;" · ","")&amp;IF(AND(ISNUMBER($AN16),$AN16&lt;FechaRef,IF($V16="Sub",N($X16),N($M16))&lt;1),"Vencida"&amp;" · ","")&amp;IF(AND(ObsObligatoria="Sí",ISNUMBER($AN16),$AN16&lt;FechaRef,IF($V16="Sub",N($X16),N($M16))&lt;1,$Q16=""),"Vencida sin observación"&amp;" · ",""))-3)))</f>
        <v/>
      </c>
      <c r="S16" s="64">
        <f>IF(NOT((COUNTA($B16:$D16)+COUNTA($G16:$L16)+COUNTA($Q16))&gt;0),"",IF(AND($V16="Sub",N($U16)&gt;0),IF(ISNUMBER(INDEX($AM$5:$AM$1000,$U16-4)),DATE(YEAR(INDEX($AM$5:$AM$1000,$U16-4)),MONTH(INDEX($AM$5:$AM$1000,$U16-4)),1),IF(ISNUMBER(INDEX($AN$5:$AN$1000,$U16-4)),DATE(YEAR(INDEX($AN$5:$AN$1000,$U16-4)),MONTH(INDEX($AN$5:$AN$1000,$U16-4)),1),MesCiclo)),IF(ISNUMBER($AM16),DATE(YEAR($AM16),MONTH($AM16),1),IF(ISNUMBER($AN16),DATE(YEAR($AN16),MONTH($AN16),1),MesCiclo))))</f>
        <v/>
      </c>
      <c r="T16" s="62">
        <f>IF(OR($S16="",$S16&lt;&gt;MesCiclo,$V16&lt;&gt;"Macro"),"",COUNTIFS($S$5:$S16,MesCiclo,$V$5:$V16,"Macro"))</f>
        <v/>
      </c>
      <c r="U16" s="62">
        <f>IF($V16="","",IF($V16="Macro",ROW(),IFERROR(LOOKUP(2,1/($V$5:$V16="Macro"),ROW($V$5:$V16)),0)))</f>
        <v/>
      </c>
      <c r="V16" s="62">
        <f>IF(NOT((COUNTA($B16:$D16)+COUNTA($G16:$L16)+COUNTA($Q16))&gt;0),"",IF($B16="Subactividad","Sub","Macro"))</f>
        <v/>
      </c>
      <c r="W16" s="62">
        <f>IF($V16="Macro",COUNTIFS($U$5:$U$1000,ROW(),$V$5:$V$1000,"Sub"),"")</f>
        <v/>
      </c>
      <c r="X16" s="62">
        <f>IF($V16="","",IF(ISNUMBER($G16),1,IFERROR(LOOKUP(2,1/($I16:$L16&lt;&gt;""),$I16:$L16),0)))</f>
        <v/>
      </c>
      <c r="Y16" s="62">
        <f>IF($V16="","",IF(AND(ISNUMBER($G16),$G16&lt;=IF($S16=MesCiclo,InicioCiclo,$S16+MOD(2-WEEKDAY($S16),7))+6),1,IF(ISNUMBER($I16),$I16,0)))</f>
        <v/>
      </c>
      <c r="Z16" s="62">
        <f>IF($V16="","",IF(AND(ISNUMBER($G16),$G16&lt;=IF($S16=MesCiclo,InicioCiclo,$S16+MOD(2-WEEKDAY($S16),7))+13),1,IF(ISNUMBER($J16),$J16,$Y16)))</f>
        <v/>
      </c>
      <c r="AA16" s="62">
        <f>IF($V16="","",IF(AND(ISNUMBER($G16),$G16&lt;=IF($S16=MesCiclo,InicioCiclo,$S16+MOD(2-WEEKDAY($S16),7))+20),1,IF(ISNUMBER($K16),$K16,$Z16)))</f>
        <v/>
      </c>
      <c r="AB16" s="62">
        <f>IF($V16="","",IF(AND(ISNUMBER($G16),$G16&lt;=IF($S16=MesCiclo,InicioCiclo,$S16+MOD(2-WEEKDAY($S16),7))+27),1,IF(ISNUMBER($L16),$L16,$AA16)))</f>
        <v/>
      </c>
      <c r="AC16" s="62">
        <f>IF($V16="","",IF(AND(ISNUMBER($G16),$G16&lt;=IF($S16=MesCiclo,InicioCiclo,$S16+MOD(2-WEEKDAY($S16),7))+6),1,IF(N($W16)&gt;0,AVERAGEIFS($Y$5:$Y$1000,$U$5:$U$1000,ROW(),$V$5:$V$1000,"Sub"),$Y16)))</f>
        <v/>
      </c>
      <c r="AD16" s="62">
        <f>IF($V16="","",IF(AND(ISNUMBER($G16),$G16&lt;=IF($S16=MesCiclo,InicioCiclo,$S16+MOD(2-WEEKDAY($S16),7))+13),1,IF(N($W16)&gt;0,AVERAGEIFS($Z$5:$Z$1000,$U$5:$U$1000,ROW(),$V$5:$V$1000,"Sub"),$Z16)))</f>
        <v/>
      </c>
      <c r="AE16" s="62">
        <f>IF($V16="","",IF(AND(ISNUMBER($G16),$G16&lt;=IF($S16=MesCiclo,InicioCiclo,$S16+MOD(2-WEEKDAY($S16),7))+20),1,IF(N($W16)&gt;0,AVERAGEIFS($AA$5:$AA$1000,$U$5:$U$1000,ROW(),$V$5:$V$1000,"Sub"),$AA16)))</f>
        <v/>
      </c>
      <c r="AF16" s="62">
        <f>IF($V16="","",IF(AND(ISNUMBER($G16),$G16&lt;=IF($S16=MesCiclo,InicioCiclo,$S16+MOD(2-WEEKDAY($S16),7))+27),1,IF(N($W16)&gt;0,AVERAGEIFS($AB$5:$AB$1000,$U$5:$U$1000,ROW(),$V$5:$V$1000,"Sub"),$AB16)))</f>
        <v/>
      </c>
      <c r="AG16" s="62">
        <f>IF($V16&lt;&gt;"Macro","",IF(COUNTIFS($S$5:$S$1000,$S16,$V$5:$V$1000,"Macro",$H$5:$H$1000,"&gt;0")=0,1/COUNTIFS($S$5:$S$1000,$S16,$V$5:$V$1000,"Macro"),IF(AND(ISNUMBER($H16),N($H16)&gt;0),$H16,SUMIFS($H$5:$H$1000,$S$5:$S$1000,$S16,$V$5:$V$1000,"Macro")/COUNTIFS($S$5:$S$1000,$S16,$V$5:$V$1000,"Macro",$H$5:$H$1000,"&gt;0"))/(COUNTIFS($S$5:$S$1000,$S16,$V$5:$V$1000,"Macro")*SUMIFS($H$5:$H$1000,$S$5:$S$1000,$S16,$V$5:$V$1000,"Macro")/COUNTIFS($S$5:$S$1000,$S16,$V$5:$V$1000,"Macro",$H$5:$H$1000,"&gt;0"))))</f>
        <v/>
      </c>
      <c r="AH16" s="62" t="n"/>
      <c r="AI16" s="62" t="n"/>
      <c r="AJ16" s="62" t="n"/>
      <c r="AK16" s="62" t="n"/>
      <c r="AL16" s="62">
        <f>IF(LEFT($C16,11)="[Jefatura] ",IFERROR(MATCH("Riesgo Operacional|"&amp;MID($C16,12,500),rDname_ADM,0),0),"")</f>
        <v/>
      </c>
      <c r="AM16" s="62">
        <f>IF(N($AL16)&gt;0,INDEX(rIni_ADM,$AL16),IF(ISNUMBER($E16),$E16,""))</f>
        <v/>
      </c>
      <c r="AN16" s="62">
        <f>IF(N($AL16)&gt;0,INDEX(rLim_ADM,$AL16),IF(ISNUMBER($F16),$F16,""))</f>
        <v/>
      </c>
    </row>
    <row r="17">
      <c r="A17" s="56">
        <f>IF(NOT((COUNTA($B17:$D17)+COUNTA($G17:$L17)+COUNTA($Q17))&gt;0),"",IF($V17="Macro",COUNTIFS($V$5:$V17,"Macro",$S$5:$S17,$S17),IF(N($U17)=0,"?",COUNTIFS(INDEX($V$5:$V$1000,1):INDEX($V$5:$V$1000,$U17-4),"Macro",INDEX($S$5:$S$1000,1):INDEX($S$5:$S$1000,$U17-4),INDEX($S$5:$S$1000,$U17-4))&amp;"."&amp;COUNTIFS($U$5:$U17,$U17,$V$5:$V17,"Sub"))))</f>
        <v/>
      </c>
      <c r="B17" s="57" t="n"/>
      <c r="C17" s="58" t="n"/>
      <c r="D17" s="58" t="n"/>
      <c r="E17" s="59">
        <f>IF(N($AL17)&gt;0,INDEX(rIni_ADM,$AL17),"")</f>
        <v/>
      </c>
      <c r="F17" s="59">
        <f>IF(N($AL17)&gt;0,INDEX(rLim_ADM,$AL17),"")</f>
        <v/>
      </c>
      <c r="G17" s="59" t="n"/>
      <c r="H17" s="60" t="n"/>
      <c r="I17" s="60" t="n"/>
      <c r="J17" s="60" t="n"/>
      <c r="K17" s="60" t="n"/>
      <c r="L17" s="60" t="n"/>
      <c r="M17" s="61">
        <f>IF(NOT((COUNTA($B17:$D17)+COUNTA($G17:$L17)+COUNTA($Q17))&gt;0),"",IF($V17="Sub",IFERROR($X17/INDEX($W$5:$W$1000,$U17-4),""),IF(ISNUMBER($G17),1,IF(N($W17)&gt;0,AVERAGEIFS($X$5:$X$1000,$U$5:$U$1000,ROW(),$V$5:$V$1000,"Sub"),$X17))))</f>
        <v/>
      </c>
      <c r="N17" s="56">
        <f>IF(OR($M17="",$V17="Sub"),"",IF($M17&gt;=1,"Completado",IF($M17&gt;0,"En curso","Pendiente")))</f>
        <v/>
      </c>
      <c r="O17" s="56">
        <f>IF(OR(NOT((COUNTA($B17:$D17)+COUNTA($G17:$L17)+COUNTA($Q17))&gt;0),$V17="Sub"),"",IF(ISNUMBER($G17),IF(AND(ISNUMBER($AN17),$G17&gt;$AN17),"Cumplida con "&amp;($G17-$AN17)&amp;IF($G17-$AN17=1," día"," días")&amp;" de retraso","Cumplida"),IF(N($M17)&gt;=1,"Cumplida",IF(NOT(ISNUMBER($AN17)),"Sin fecha límite",IF($AN17&lt;FechaRef,"Vencida hace "&amp;(FechaRef-$AN17)&amp;IF(FechaRef-$AN17=1," día"," días"),IF($AN17=FechaRef,"Vence hoy",IF($AN17-FechaRef&lt;=DiasAlerta,"Vence en "&amp;($AN17-FechaRef)&amp;IF($AN17-FechaRef=1," día"," días"),"En plazo")))))))</f>
        <v/>
      </c>
      <c r="P17" s="62" t="n"/>
      <c r="Q17" s="58" t="n"/>
      <c r="R17" s="63">
        <f>IF(NOT((COUNTA($B17:$D17)+COUNTA($G17:$L17)+COUNTA($Q17))&gt;0),"",IF((IF($C17="","Falta el nombre de la actividad"&amp;" · ","")&amp;IF(AND($V17="Sub",N($U17)=0),"Subactividad sin macroactividad arriba"&amp;" · ","")&amp;IF($AM17="","Sin fecha de inicio"&amp;" · ","")&amp;IF($AN17="","Sin fecha límite"&amp;" · ","")&amp;IF(AND(LEFT($C17,11)="[Jefatura] ",N($AL17)=0),"No se encuentra en la hoja de la jefatura (elíjala de nuevo en la lista)"&amp;" · ","")&amp;IF(OR(AND($E17&lt;&gt;"",NOT(ISNUMBER($E17))),AND($F17&lt;&gt;"",NOT(ISNUMBER($F17))),AND($G17&lt;&gt;"",NOT(ISNUMBER($G17)))),"Fecha no válida"&amp;" · ","")&amp;IF(AND(ISNUMBER($AM17),ISNUMBER($AN17),$AM17&gt;$AN17),"Inicio posterior a fecha límite"&amp;" · ","")&amp;IF(AND($V17="Macro",$H17&lt;&gt;"",OR(NOT(ISNUMBER($H17)),$H17&lt;0,$H17&gt;1)),"Peso fuera de rango"&amp;" · ","")&amp;IF(AND($V17="Sub",$H17&lt;&gt;""),"Las subactividades no llevan peso (valen igual dentro de su macroactividad)"&amp;" · ","")&amp;IF(AND(N($W17)&gt;0,COUNT($I17:$L17)&gt;0),"Con subactividades: deje vacías las semanas (se calculan solas)"&amp;" · ","")&amp;IF((COUNTIF($I17:$L17,"&gt;1")+COUNTIF($I17:$L17,"&lt;0")+COUNTA($I17:$L17)-COUNT($I17:$L17))&gt;0,"Avance fuera de rango 0-100%"&amp;" · ","")&amp;IF(OR(AND($J17&lt;&gt;"",$J17&lt;$I17),AND($K17&lt;&gt;"",$K17&lt;MAX($I17:$J17)),AND($L17&lt;&gt;"",$L17&lt;MAX($I17:$K17))),"Avance semanal decreciente"&amp;" · ","")&amp;IF(AND(ISNUMBER($AN17),$AN17&lt;FechaRef,IF($V17="Sub",N($X17),N($M17))&lt;1),"Vencida"&amp;" · ","")&amp;IF(AND(ObsObligatoria="Sí",ISNUMBER($AN17),$AN17&lt;FechaRef,IF($V17="Sub",N($X17),N($M17))&lt;1,$Q17=""),"Vencida sin observación"&amp;" · ",""))="","✔ OK","⚠ "&amp;LEFT(IF($C17="","Falta el nombre de la actividad"&amp;" · ","")&amp;IF(AND($V17="Sub",N($U17)=0),"Subactividad sin macroactividad arriba"&amp;" · ","")&amp;IF($AM17="","Sin fecha de inicio"&amp;" · ","")&amp;IF($AN17="","Sin fecha límite"&amp;" · ","")&amp;IF(AND(LEFT($C17,11)="[Jefatura] ",N($AL17)=0),"No se encuentra en la hoja de la jefatura (elíjala de nuevo en la lista)"&amp;" · ","")&amp;IF(OR(AND($E17&lt;&gt;"",NOT(ISNUMBER($E17))),AND($F17&lt;&gt;"",NOT(ISNUMBER($F17))),AND($G17&lt;&gt;"",NOT(ISNUMBER($G17)))),"Fecha no válida"&amp;" · ","")&amp;IF(AND(ISNUMBER($AM17),ISNUMBER($AN17),$AM17&gt;$AN17),"Inicio posterior a fecha límite"&amp;" · ","")&amp;IF(AND($V17="Macro",$H17&lt;&gt;"",OR(NOT(ISNUMBER($H17)),$H17&lt;0,$H17&gt;1)),"Peso fuera de rango"&amp;" · ","")&amp;IF(AND($V17="Sub",$H17&lt;&gt;""),"Las subactividades no llevan peso (valen igual dentro de su macroactividad)"&amp;" · ","")&amp;IF(AND(N($W17)&gt;0,COUNT($I17:$L17)&gt;0),"Con subactividades: deje vacías las semanas (se calculan solas)"&amp;" · ","")&amp;IF((COUNTIF($I17:$L17,"&gt;1")+COUNTIF($I17:$L17,"&lt;0")+COUNTA($I17:$L17)-COUNT($I17:$L17))&gt;0,"Avance fuera de rango 0-100%"&amp;" · ","")&amp;IF(OR(AND($J17&lt;&gt;"",$J17&lt;$I17),AND($K17&lt;&gt;"",$K17&lt;MAX($I17:$J17)),AND($L17&lt;&gt;"",$L17&lt;MAX($I17:$K17))),"Avance semanal decreciente"&amp;" · ","")&amp;IF(AND(ISNUMBER($AN17),$AN17&lt;FechaRef,IF($V17="Sub",N($X17),N($M17))&lt;1),"Vencida"&amp;" · ","")&amp;IF(AND(ObsObligatoria="Sí",ISNUMBER($AN17),$AN17&lt;FechaRef,IF($V17="Sub",N($X17),N($M17))&lt;1,$Q17=""),"Vencida sin observación"&amp;" · ",""),LEN(IF($C17="","Falta el nombre de la actividad"&amp;" · ","")&amp;IF(AND($V17="Sub",N($U17)=0),"Subactividad sin macroactividad arriba"&amp;" · ","")&amp;IF($AM17="","Sin fecha de inicio"&amp;" · ","")&amp;IF($AN17="","Sin fecha límite"&amp;" · ","")&amp;IF(AND(LEFT($C17,11)="[Jefatura] ",N($AL17)=0),"No se encuentra en la hoja de la jefatura (elíjala de nuevo en la lista)"&amp;" · ","")&amp;IF(OR(AND($E17&lt;&gt;"",NOT(ISNUMBER($E17))),AND($F17&lt;&gt;"",NOT(ISNUMBER($F17))),AND($G17&lt;&gt;"",NOT(ISNUMBER($G17)))),"Fecha no válida"&amp;" · ","")&amp;IF(AND(ISNUMBER($AM17),ISNUMBER($AN17),$AM17&gt;$AN17),"Inicio posterior a fecha límite"&amp;" · ","")&amp;IF(AND($V17="Macro",$H17&lt;&gt;"",OR(NOT(ISNUMBER($H17)),$H17&lt;0,$H17&gt;1)),"Peso fuera de rango"&amp;" · ","")&amp;IF(AND($V17="Sub",$H17&lt;&gt;""),"Las subactividades no llevan peso (valen igual dentro de su macroactividad)"&amp;" · ","")&amp;IF(AND(N($W17)&gt;0,COUNT($I17:$L17)&gt;0),"Con subactividades: deje vacías las semanas (se calculan solas)"&amp;" · ","")&amp;IF((COUNTIF($I17:$L17,"&gt;1")+COUNTIF($I17:$L17,"&lt;0")+COUNTA($I17:$L17)-COUNT($I17:$L17))&gt;0,"Avance fuera de rango 0-100%"&amp;" · ","")&amp;IF(OR(AND($J17&lt;&gt;"",$J17&lt;$I17),AND($K17&lt;&gt;"",$K17&lt;MAX($I17:$J17)),AND($L17&lt;&gt;"",$L17&lt;MAX($I17:$K17))),"Avance semanal decreciente"&amp;" · ","")&amp;IF(AND(ISNUMBER($AN17),$AN17&lt;FechaRef,IF($V17="Sub",N($X17),N($M17))&lt;1),"Vencida"&amp;" · ","")&amp;IF(AND(ObsObligatoria="Sí",ISNUMBER($AN17),$AN17&lt;FechaRef,IF($V17="Sub",N($X17),N($M17))&lt;1,$Q17=""),"Vencida sin observación"&amp;" · ",""))-3)))</f>
        <v/>
      </c>
      <c r="S17" s="64">
        <f>IF(NOT((COUNTA($B17:$D17)+COUNTA($G17:$L17)+COUNTA($Q17))&gt;0),"",IF(AND($V17="Sub",N($U17)&gt;0),IF(ISNUMBER(INDEX($AM$5:$AM$1000,$U17-4)),DATE(YEAR(INDEX($AM$5:$AM$1000,$U17-4)),MONTH(INDEX($AM$5:$AM$1000,$U17-4)),1),IF(ISNUMBER(INDEX($AN$5:$AN$1000,$U17-4)),DATE(YEAR(INDEX($AN$5:$AN$1000,$U17-4)),MONTH(INDEX($AN$5:$AN$1000,$U17-4)),1),MesCiclo)),IF(ISNUMBER($AM17),DATE(YEAR($AM17),MONTH($AM17),1),IF(ISNUMBER($AN17),DATE(YEAR($AN17),MONTH($AN17),1),MesCiclo))))</f>
        <v/>
      </c>
      <c r="T17" s="62">
        <f>IF(OR($S17="",$S17&lt;&gt;MesCiclo,$V17&lt;&gt;"Macro"),"",COUNTIFS($S$5:$S17,MesCiclo,$V$5:$V17,"Macro"))</f>
        <v/>
      </c>
      <c r="U17" s="62">
        <f>IF($V17="","",IF($V17="Macro",ROW(),IFERROR(LOOKUP(2,1/($V$5:$V17="Macro"),ROW($V$5:$V17)),0)))</f>
        <v/>
      </c>
      <c r="V17" s="62">
        <f>IF(NOT((COUNTA($B17:$D17)+COUNTA($G17:$L17)+COUNTA($Q17))&gt;0),"",IF($B17="Subactividad","Sub","Macro"))</f>
        <v/>
      </c>
      <c r="W17" s="62">
        <f>IF($V17="Macro",COUNTIFS($U$5:$U$1000,ROW(),$V$5:$V$1000,"Sub"),"")</f>
        <v/>
      </c>
      <c r="X17" s="62">
        <f>IF($V17="","",IF(ISNUMBER($G17),1,IFERROR(LOOKUP(2,1/($I17:$L17&lt;&gt;""),$I17:$L17),0)))</f>
        <v/>
      </c>
      <c r="Y17" s="62">
        <f>IF($V17="","",IF(AND(ISNUMBER($G17),$G17&lt;=IF($S17=MesCiclo,InicioCiclo,$S17+MOD(2-WEEKDAY($S17),7))+6),1,IF(ISNUMBER($I17),$I17,0)))</f>
        <v/>
      </c>
      <c r="Z17" s="62">
        <f>IF($V17="","",IF(AND(ISNUMBER($G17),$G17&lt;=IF($S17=MesCiclo,InicioCiclo,$S17+MOD(2-WEEKDAY($S17),7))+13),1,IF(ISNUMBER($J17),$J17,$Y17)))</f>
        <v/>
      </c>
      <c r="AA17" s="62">
        <f>IF($V17="","",IF(AND(ISNUMBER($G17),$G17&lt;=IF($S17=MesCiclo,InicioCiclo,$S17+MOD(2-WEEKDAY($S17),7))+20),1,IF(ISNUMBER($K17),$K17,$Z17)))</f>
        <v/>
      </c>
      <c r="AB17" s="62">
        <f>IF($V17="","",IF(AND(ISNUMBER($G17),$G17&lt;=IF($S17=MesCiclo,InicioCiclo,$S17+MOD(2-WEEKDAY($S17),7))+27),1,IF(ISNUMBER($L17),$L17,$AA17)))</f>
        <v/>
      </c>
      <c r="AC17" s="62">
        <f>IF($V17="","",IF(AND(ISNUMBER($G17),$G17&lt;=IF($S17=MesCiclo,InicioCiclo,$S17+MOD(2-WEEKDAY($S17),7))+6),1,IF(N($W17)&gt;0,AVERAGEIFS($Y$5:$Y$1000,$U$5:$U$1000,ROW(),$V$5:$V$1000,"Sub"),$Y17)))</f>
        <v/>
      </c>
      <c r="AD17" s="62">
        <f>IF($V17="","",IF(AND(ISNUMBER($G17),$G17&lt;=IF($S17=MesCiclo,InicioCiclo,$S17+MOD(2-WEEKDAY($S17),7))+13),1,IF(N($W17)&gt;0,AVERAGEIFS($Z$5:$Z$1000,$U$5:$U$1000,ROW(),$V$5:$V$1000,"Sub"),$Z17)))</f>
        <v/>
      </c>
      <c r="AE17" s="62">
        <f>IF($V17="","",IF(AND(ISNUMBER($G17),$G17&lt;=IF($S17=MesCiclo,InicioCiclo,$S17+MOD(2-WEEKDAY($S17),7))+20),1,IF(N($W17)&gt;0,AVERAGEIFS($AA$5:$AA$1000,$U$5:$U$1000,ROW(),$V$5:$V$1000,"Sub"),$AA17)))</f>
        <v/>
      </c>
      <c r="AF17" s="62">
        <f>IF($V17="","",IF(AND(ISNUMBER($G17),$G17&lt;=IF($S17=MesCiclo,InicioCiclo,$S17+MOD(2-WEEKDAY($S17),7))+27),1,IF(N($W17)&gt;0,AVERAGEIFS($AB$5:$AB$1000,$U$5:$U$1000,ROW(),$V$5:$V$1000,"Sub"),$AB17)))</f>
        <v/>
      </c>
      <c r="AG17" s="62">
        <f>IF($V17&lt;&gt;"Macro","",IF(COUNTIFS($S$5:$S$1000,$S17,$V$5:$V$1000,"Macro",$H$5:$H$1000,"&gt;0")=0,1/COUNTIFS($S$5:$S$1000,$S17,$V$5:$V$1000,"Macro"),IF(AND(ISNUMBER($H17),N($H17)&gt;0),$H17,SUMIFS($H$5:$H$1000,$S$5:$S$1000,$S17,$V$5:$V$1000,"Macro")/COUNTIFS($S$5:$S$1000,$S17,$V$5:$V$1000,"Macro",$H$5:$H$1000,"&gt;0"))/(COUNTIFS($S$5:$S$1000,$S17,$V$5:$V$1000,"Macro")*SUMIFS($H$5:$H$1000,$S$5:$S$1000,$S17,$V$5:$V$1000,"Macro")/COUNTIFS($S$5:$S$1000,$S17,$V$5:$V$1000,"Macro",$H$5:$H$1000,"&gt;0"))))</f>
        <v/>
      </c>
      <c r="AH17" s="62" t="n"/>
      <c r="AI17" s="62" t="n"/>
      <c r="AJ17" s="62" t="n"/>
      <c r="AK17" s="62" t="n"/>
      <c r="AL17" s="62">
        <f>IF(LEFT($C17,11)="[Jefatura] ",IFERROR(MATCH("Riesgo Operacional|"&amp;MID($C17,12,500),rDname_ADM,0),0),"")</f>
        <v/>
      </c>
      <c r="AM17" s="62">
        <f>IF(N($AL17)&gt;0,INDEX(rIni_ADM,$AL17),IF(ISNUMBER($E17),$E17,""))</f>
        <v/>
      </c>
      <c r="AN17" s="62">
        <f>IF(N($AL17)&gt;0,INDEX(rLim_ADM,$AL17),IF(ISNUMBER($F17),$F17,""))</f>
        <v/>
      </c>
    </row>
    <row r="18">
      <c r="A18" s="56">
        <f>IF(NOT((COUNTA($B18:$D18)+COUNTA($G18:$L18)+COUNTA($Q18))&gt;0),"",IF($V18="Macro",COUNTIFS($V$5:$V18,"Macro",$S$5:$S18,$S18),IF(N($U18)=0,"?",COUNTIFS(INDEX($V$5:$V$1000,1):INDEX($V$5:$V$1000,$U18-4),"Macro",INDEX($S$5:$S$1000,1):INDEX($S$5:$S$1000,$U18-4),INDEX($S$5:$S$1000,$U18-4))&amp;"."&amp;COUNTIFS($U$5:$U18,$U18,$V$5:$V18,"Sub"))))</f>
        <v/>
      </c>
      <c r="B18" s="57" t="n"/>
      <c r="C18" s="58" t="n"/>
      <c r="D18" s="58" t="n"/>
      <c r="E18" s="59">
        <f>IF(N($AL18)&gt;0,INDEX(rIni_ADM,$AL18),"")</f>
        <v/>
      </c>
      <c r="F18" s="59">
        <f>IF(N($AL18)&gt;0,INDEX(rLim_ADM,$AL18),"")</f>
        <v/>
      </c>
      <c r="G18" s="59" t="n"/>
      <c r="H18" s="60" t="n"/>
      <c r="I18" s="60" t="n"/>
      <c r="J18" s="60" t="n"/>
      <c r="K18" s="60" t="n"/>
      <c r="L18" s="60" t="n"/>
      <c r="M18" s="61">
        <f>IF(NOT((COUNTA($B18:$D18)+COUNTA($G18:$L18)+COUNTA($Q18))&gt;0),"",IF($V18="Sub",IFERROR($X18/INDEX($W$5:$W$1000,$U18-4),""),IF(ISNUMBER($G18),1,IF(N($W18)&gt;0,AVERAGEIFS($X$5:$X$1000,$U$5:$U$1000,ROW(),$V$5:$V$1000,"Sub"),$X18))))</f>
        <v/>
      </c>
      <c r="N18" s="56">
        <f>IF(OR($M18="",$V18="Sub"),"",IF($M18&gt;=1,"Completado",IF($M18&gt;0,"En curso","Pendiente")))</f>
        <v/>
      </c>
      <c r="O18" s="56">
        <f>IF(OR(NOT((COUNTA($B18:$D18)+COUNTA($G18:$L18)+COUNTA($Q18))&gt;0),$V18="Sub"),"",IF(ISNUMBER($G18),IF(AND(ISNUMBER($AN18),$G18&gt;$AN18),"Cumplida con "&amp;($G18-$AN18)&amp;IF($G18-$AN18=1," día"," días")&amp;" de retraso","Cumplida"),IF(N($M18)&gt;=1,"Cumplida",IF(NOT(ISNUMBER($AN18)),"Sin fecha límite",IF($AN18&lt;FechaRef,"Vencida hace "&amp;(FechaRef-$AN18)&amp;IF(FechaRef-$AN18=1," día"," días"),IF($AN18=FechaRef,"Vence hoy",IF($AN18-FechaRef&lt;=DiasAlerta,"Vence en "&amp;($AN18-FechaRef)&amp;IF($AN18-FechaRef=1," día"," días"),"En plazo")))))))</f>
        <v/>
      </c>
      <c r="P18" s="62" t="n"/>
      <c r="Q18" s="58" t="n"/>
      <c r="R18" s="63">
        <f>IF(NOT((COUNTA($B18:$D18)+COUNTA($G18:$L18)+COUNTA($Q18))&gt;0),"",IF((IF($C18="","Falta el nombre de la actividad"&amp;" · ","")&amp;IF(AND($V18="Sub",N($U18)=0),"Subactividad sin macroactividad arriba"&amp;" · ","")&amp;IF($AM18="","Sin fecha de inicio"&amp;" · ","")&amp;IF($AN18="","Sin fecha límite"&amp;" · ","")&amp;IF(AND(LEFT($C18,11)="[Jefatura] ",N($AL18)=0),"No se encuentra en la hoja de la jefatura (elíjala de nuevo en la lista)"&amp;" · ","")&amp;IF(OR(AND($E18&lt;&gt;"",NOT(ISNUMBER($E18))),AND($F18&lt;&gt;"",NOT(ISNUMBER($F18))),AND($G18&lt;&gt;"",NOT(ISNUMBER($G18)))),"Fecha no válida"&amp;" · ","")&amp;IF(AND(ISNUMBER($AM18),ISNUMBER($AN18),$AM18&gt;$AN18),"Inicio posterior a fecha límite"&amp;" · ","")&amp;IF(AND($V18="Macro",$H18&lt;&gt;"",OR(NOT(ISNUMBER($H18)),$H18&lt;0,$H18&gt;1)),"Peso fuera de rango"&amp;" · ","")&amp;IF(AND($V18="Sub",$H18&lt;&gt;""),"Las subactividades no llevan peso (valen igual dentro de su macroactividad)"&amp;" · ","")&amp;IF(AND(N($W18)&gt;0,COUNT($I18:$L18)&gt;0),"Con subactividades: deje vacías las semanas (se calculan solas)"&amp;" · ","")&amp;IF((COUNTIF($I18:$L18,"&gt;1")+COUNTIF($I18:$L18,"&lt;0")+COUNTA($I18:$L18)-COUNT($I18:$L18))&gt;0,"Avance fuera de rango 0-100%"&amp;" · ","")&amp;IF(OR(AND($J18&lt;&gt;"",$J18&lt;$I18),AND($K18&lt;&gt;"",$K18&lt;MAX($I18:$J18)),AND($L18&lt;&gt;"",$L18&lt;MAX($I18:$K18))),"Avance semanal decreciente"&amp;" · ","")&amp;IF(AND(ISNUMBER($AN18),$AN18&lt;FechaRef,IF($V18="Sub",N($X18),N($M18))&lt;1),"Vencida"&amp;" · ","")&amp;IF(AND(ObsObligatoria="Sí",ISNUMBER($AN18),$AN18&lt;FechaRef,IF($V18="Sub",N($X18),N($M18))&lt;1,$Q18=""),"Vencida sin observación"&amp;" · ",""))="","✔ OK","⚠ "&amp;LEFT(IF($C18="","Falta el nombre de la actividad"&amp;" · ","")&amp;IF(AND($V18="Sub",N($U18)=0),"Subactividad sin macroactividad arriba"&amp;" · ","")&amp;IF($AM18="","Sin fecha de inicio"&amp;" · ","")&amp;IF($AN18="","Sin fecha límite"&amp;" · ","")&amp;IF(AND(LEFT($C18,11)="[Jefatura] ",N($AL18)=0),"No se encuentra en la hoja de la jefatura (elíjala de nuevo en la lista)"&amp;" · ","")&amp;IF(OR(AND($E18&lt;&gt;"",NOT(ISNUMBER($E18))),AND($F18&lt;&gt;"",NOT(ISNUMBER($F18))),AND($G18&lt;&gt;"",NOT(ISNUMBER($G18)))),"Fecha no válida"&amp;" · ","")&amp;IF(AND(ISNUMBER($AM18),ISNUMBER($AN18),$AM18&gt;$AN18),"Inicio posterior a fecha límite"&amp;" · ","")&amp;IF(AND($V18="Macro",$H18&lt;&gt;"",OR(NOT(ISNUMBER($H18)),$H18&lt;0,$H18&gt;1)),"Peso fuera de rango"&amp;" · ","")&amp;IF(AND($V18="Sub",$H18&lt;&gt;""),"Las subactividades no llevan peso (valen igual dentro de su macroactividad)"&amp;" · ","")&amp;IF(AND(N($W18)&gt;0,COUNT($I18:$L18)&gt;0),"Con subactividades: deje vacías las semanas (se calculan solas)"&amp;" · ","")&amp;IF((COUNTIF($I18:$L18,"&gt;1")+COUNTIF($I18:$L18,"&lt;0")+COUNTA($I18:$L18)-COUNT($I18:$L18))&gt;0,"Avance fuera de rango 0-100%"&amp;" · ","")&amp;IF(OR(AND($J18&lt;&gt;"",$J18&lt;$I18),AND($K18&lt;&gt;"",$K18&lt;MAX($I18:$J18)),AND($L18&lt;&gt;"",$L18&lt;MAX($I18:$K18))),"Avance semanal decreciente"&amp;" · ","")&amp;IF(AND(ISNUMBER($AN18),$AN18&lt;FechaRef,IF($V18="Sub",N($X18),N($M18))&lt;1),"Vencida"&amp;" · ","")&amp;IF(AND(ObsObligatoria="Sí",ISNUMBER($AN18),$AN18&lt;FechaRef,IF($V18="Sub",N($X18),N($M18))&lt;1,$Q18=""),"Vencida sin observación"&amp;" · ",""),LEN(IF($C18="","Falta el nombre de la actividad"&amp;" · ","")&amp;IF(AND($V18="Sub",N($U18)=0),"Subactividad sin macroactividad arriba"&amp;" · ","")&amp;IF($AM18="","Sin fecha de inicio"&amp;" · ","")&amp;IF($AN18="","Sin fecha límite"&amp;" · ","")&amp;IF(AND(LEFT($C18,11)="[Jefatura] ",N($AL18)=0),"No se encuentra en la hoja de la jefatura (elíjala de nuevo en la lista)"&amp;" · ","")&amp;IF(OR(AND($E18&lt;&gt;"",NOT(ISNUMBER($E18))),AND($F18&lt;&gt;"",NOT(ISNUMBER($F18))),AND($G18&lt;&gt;"",NOT(ISNUMBER($G18)))),"Fecha no válida"&amp;" · ","")&amp;IF(AND(ISNUMBER($AM18),ISNUMBER($AN18),$AM18&gt;$AN18),"Inicio posterior a fecha límite"&amp;" · ","")&amp;IF(AND($V18="Macro",$H18&lt;&gt;"",OR(NOT(ISNUMBER($H18)),$H18&lt;0,$H18&gt;1)),"Peso fuera de rango"&amp;" · ","")&amp;IF(AND($V18="Sub",$H18&lt;&gt;""),"Las subactividades no llevan peso (valen igual dentro de su macroactividad)"&amp;" · ","")&amp;IF(AND(N($W18)&gt;0,COUNT($I18:$L18)&gt;0),"Con subactividades: deje vacías las semanas (se calculan solas)"&amp;" · ","")&amp;IF((COUNTIF($I18:$L18,"&gt;1")+COUNTIF($I18:$L18,"&lt;0")+COUNTA($I18:$L18)-COUNT($I18:$L18))&gt;0,"Avance fuera de rango 0-100%"&amp;" · ","")&amp;IF(OR(AND($J18&lt;&gt;"",$J18&lt;$I18),AND($K18&lt;&gt;"",$K18&lt;MAX($I18:$J18)),AND($L18&lt;&gt;"",$L18&lt;MAX($I18:$K18))),"Avance semanal decreciente"&amp;" · ","")&amp;IF(AND(ISNUMBER($AN18),$AN18&lt;FechaRef,IF($V18="Sub",N($X18),N($M18))&lt;1),"Vencida"&amp;" · ","")&amp;IF(AND(ObsObligatoria="Sí",ISNUMBER($AN18),$AN18&lt;FechaRef,IF($V18="Sub",N($X18),N($M18))&lt;1,$Q18=""),"Vencida sin observación"&amp;" · ",""))-3)))</f>
        <v/>
      </c>
      <c r="S18" s="64">
        <f>IF(NOT((COUNTA($B18:$D18)+COUNTA($G18:$L18)+COUNTA($Q18))&gt;0),"",IF(AND($V18="Sub",N($U18)&gt;0),IF(ISNUMBER(INDEX($AM$5:$AM$1000,$U18-4)),DATE(YEAR(INDEX($AM$5:$AM$1000,$U18-4)),MONTH(INDEX($AM$5:$AM$1000,$U18-4)),1),IF(ISNUMBER(INDEX($AN$5:$AN$1000,$U18-4)),DATE(YEAR(INDEX($AN$5:$AN$1000,$U18-4)),MONTH(INDEX($AN$5:$AN$1000,$U18-4)),1),MesCiclo)),IF(ISNUMBER($AM18),DATE(YEAR($AM18),MONTH($AM18),1),IF(ISNUMBER($AN18),DATE(YEAR($AN18),MONTH($AN18),1),MesCiclo))))</f>
        <v/>
      </c>
      <c r="T18" s="62">
        <f>IF(OR($S18="",$S18&lt;&gt;MesCiclo,$V18&lt;&gt;"Macro"),"",COUNTIFS($S$5:$S18,MesCiclo,$V$5:$V18,"Macro"))</f>
        <v/>
      </c>
      <c r="U18" s="62">
        <f>IF($V18="","",IF($V18="Macro",ROW(),IFERROR(LOOKUP(2,1/($V$5:$V18="Macro"),ROW($V$5:$V18)),0)))</f>
        <v/>
      </c>
      <c r="V18" s="62">
        <f>IF(NOT((COUNTA($B18:$D18)+COUNTA($G18:$L18)+COUNTA($Q18))&gt;0),"",IF($B18="Subactividad","Sub","Macro"))</f>
        <v/>
      </c>
      <c r="W18" s="62">
        <f>IF($V18="Macro",COUNTIFS($U$5:$U$1000,ROW(),$V$5:$V$1000,"Sub"),"")</f>
        <v/>
      </c>
      <c r="X18" s="62">
        <f>IF($V18="","",IF(ISNUMBER($G18),1,IFERROR(LOOKUP(2,1/($I18:$L18&lt;&gt;""),$I18:$L18),0)))</f>
        <v/>
      </c>
      <c r="Y18" s="62">
        <f>IF($V18="","",IF(AND(ISNUMBER($G18),$G18&lt;=IF($S18=MesCiclo,InicioCiclo,$S18+MOD(2-WEEKDAY($S18),7))+6),1,IF(ISNUMBER($I18),$I18,0)))</f>
        <v/>
      </c>
      <c r="Z18" s="62">
        <f>IF($V18="","",IF(AND(ISNUMBER($G18),$G18&lt;=IF($S18=MesCiclo,InicioCiclo,$S18+MOD(2-WEEKDAY($S18),7))+13),1,IF(ISNUMBER($J18),$J18,$Y18)))</f>
        <v/>
      </c>
      <c r="AA18" s="62">
        <f>IF($V18="","",IF(AND(ISNUMBER($G18),$G18&lt;=IF($S18=MesCiclo,InicioCiclo,$S18+MOD(2-WEEKDAY($S18),7))+20),1,IF(ISNUMBER($K18),$K18,$Z18)))</f>
        <v/>
      </c>
      <c r="AB18" s="62">
        <f>IF($V18="","",IF(AND(ISNUMBER($G18),$G18&lt;=IF($S18=MesCiclo,InicioCiclo,$S18+MOD(2-WEEKDAY($S18),7))+27),1,IF(ISNUMBER($L18),$L18,$AA18)))</f>
        <v/>
      </c>
      <c r="AC18" s="62">
        <f>IF($V18="","",IF(AND(ISNUMBER($G18),$G18&lt;=IF($S18=MesCiclo,InicioCiclo,$S18+MOD(2-WEEKDAY($S18),7))+6),1,IF(N($W18)&gt;0,AVERAGEIFS($Y$5:$Y$1000,$U$5:$U$1000,ROW(),$V$5:$V$1000,"Sub"),$Y18)))</f>
        <v/>
      </c>
      <c r="AD18" s="62">
        <f>IF($V18="","",IF(AND(ISNUMBER($G18),$G18&lt;=IF($S18=MesCiclo,InicioCiclo,$S18+MOD(2-WEEKDAY($S18),7))+13),1,IF(N($W18)&gt;0,AVERAGEIFS($Z$5:$Z$1000,$U$5:$U$1000,ROW(),$V$5:$V$1000,"Sub"),$Z18)))</f>
        <v/>
      </c>
      <c r="AE18" s="62">
        <f>IF($V18="","",IF(AND(ISNUMBER($G18),$G18&lt;=IF($S18=MesCiclo,InicioCiclo,$S18+MOD(2-WEEKDAY($S18),7))+20),1,IF(N($W18)&gt;0,AVERAGEIFS($AA$5:$AA$1000,$U$5:$U$1000,ROW(),$V$5:$V$1000,"Sub"),$AA18)))</f>
        <v/>
      </c>
      <c r="AF18" s="62">
        <f>IF($V18="","",IF(AND(ISNUMBER($G18),$G18&lt;=IF($S18=MesCiclo,InicioCiclo,$S18+MOD(2-WEEKDAY($S18),7))+27),1,IF(N($W18)&gt;0,AVERAGEIFS($AB$5:$AB$1000,$U$5:$U$1000,ROW(),$V$5:$V$1000,"Sub"),$AB18)))</f>
        <v/>
      </c>
      <c r="AG18" s="62">
        <f>IF($V18&lt;&gt;"Macro","",IF(COUNTIFS($S$5:$S$1000,$S18,$V$5:$V$1000,"Macro",$H$5:$H$1000,"&gt;0")=0,1/COUNTIFS($S$5:$S$1000,$S18,$V$5:$V$1000,"Macro"),IF(AND(ISNUMBER($H18),N($H18)&gt;0),$H18,SUMIFS($H$5:$H$1000,$S$5:$S$1000,$S18,$V$5:$V$1000,"Macro")/COUNTIFS($S$5:$S$1000,$S18,$V$5:$V$1000,"Macro",$H$5:$H$1000,"&gt;0"))/(COUNTIFS($S$5:$S$1000,$S18,$V$5:$V$1000,"Macro")*SUMIFS($H$5:$H$1000,$S$5:$S$1000,$S18,$V$5:$V$1000,"Macro")/COUNTIFS($S$5:$S$1000,$S18,$V$5:$V$1000,"Macro",$H$5:$H$1000,"&gt;0"))))</f>
        <v/>
      </c>
      <c r="AH18" s="62" t="n"/>
      <c r="AI18" s="62" t="n"/>
      <c r="AJ18" s="62" t="n"/>
      <c r="AK18" s="62" t="n"/>
      <c r="AL18" s="62">
        <f>IF(LEFT($C18,11)="[Jefatura] ",IFERROR(MATCH("Riesgo Operacional|"&amp;MID($C18,12,500),rDname_ADM,0),0),"")</f>
        <v/>
      </c>
      <c r="AM18" s="62">
        <f>IF(N($AL18)&gt;0,INDEX(rIni_ADM,$AL18),IF(ISNUMBER($E18),$E18,""))</f>
        <v/>
      </c>
      <c r="AN18" s="62">
        <f>IF(N($AL18)&gt;0,INDEX(rLim_ADM,$AL18),IF(ISNUMBER($F18),$F18,""))</f>
        <v/>
      </c>
    </row>
    <row r="19">
      <c r="A19" s="56">
        <f>IF(NOT((COUNTA($B19:$D19)+COUNTA($G19:$L19)+COUNTA($Q19))&gt;0),"",IF($V19="Macro",COUNTIFS($V$5:$V19,"Macro",$S$5:$S19,$S19),IF(N($U19)=0,"?",COUNTIFS(INDEX($V$5:$V$1000,1):INDEX($V$5:$V$1000,$U19-4),"Macro",INDEX($S$5:$S$1000,1):INDEX($S$5:$S$1000,$U19-4),INDEX($S$5:$S$1000,$U19-4))&amp;"."&amp;COUNTIFS($U$5:$U19,$U19,$V$5:$V19,"Sub"))))</f>
        <v/>
      </c>
      <c r="B19" s="57" t="n"/>
      <c r="C19" s="58" t="n"/>
      <c r="D19" s="58" t="n"/>
      <c r="E19" s="59">
        <f>IF(N($AL19)&gt;0,INDEX(rIni_ADM,$AL19),"")</f>
        <v/>
      </c>
      <c r="F19" s="59">
        <f>IF(N($AL19)&gt;0,INDEX(rLim_ADM,$AL19),"")</f>
        <v/>
      </c>
      <c r="G19" s="59" t="n"/>
      <c r="H19" s="60" t="n"/>
      <c r="I19" s="60" t="n"/>
      <c r="J19" s="60" t="n"/>
      <c r="K19" s="60" t="n"/>
      <c r="L19" s="60" t="n"/>
      <c r="M19" s="61">
        <f>IF(NOT((COUNTA($B19:$D19)+COUNTA($G19:$L19)+COUNTA($Q19))&gt;0),"",IF($V19="Sub",IFERROR($X19/INDEX($W$5:$W$1000,$U19-4),""),IF(ISNUMBER($G19),1,IF(N($W19)&gt;0,AVERAGEIFS($X$5:$X$1000,$U$5:$U$1000,ROW(),$V$5:$V$1000,"Sub"),$X19))))</f>
        <v/>
      </c>
      <c r="N19" s="56">
        <f>IF(OR($M19="",$V19="Sub"),"",IF($M19&gt;=1,"Completado",IF($M19&gt;0,"En curso","Pendiente")))</f>
        <v/>
      </c>
      <c r="O19" s="56">
        <f>IF(OR(NOT((COUNTA($B19:$D19)+COUNTA($G19:$L19)+COUNTA($Q19))&gt;0),$V19="Sub"),"",IF(ISNUMBER($G19),IF(AND(ISNUMBER($AN19),$G19&gt;$AN19),"Cumplida con "&amp;($G19-$AN19)&amp;IF($G19-$AN19=1," día"," días")&amp;" de retraso","Cumplida"),IF(N($M19)&gt;=1,"Cumplida",IF(NOT(ISNUMBER($AN19)),"Sin fecha límite",IF($AN19&lt;FechaRef,"Vencida hace "&amp;(FechaRef-$AN19)&amp;IF(FechaRef-$AN19=1," día"," días"),IF($AN19=FechaRef,"Vence hoy",IF($AN19-FechaRef&lt;=DiasAlerta,"Vence en "&amp;($AN19-FechaRef)&amp;IF($AN19-FechaRef=1," día"," días"),"En plazo")))))))</f>
        <v/>
      </c>
      <c r="P19" s="62" t="n"/>
      <c r="Q19" s="58" t="n"/>
      <c r="R19" s="63">
        <f>IF(NOT((COUNTA($B19:$D19)+COUNTA($G19:$L19)+COUNTA($Q19))&gt;0),"",IF((IF($C19="","Falta el nombre de la actividad"&amp;" · ","")&amp;IF(AND($V19="Sub",N($U19)=0),"Subactividad sin macroactividad arriba"&amp;" · ","")&amp;IF($AM19="","Sin fecha de inicio"&amp;" · ","")&amp;IF($AN19="","Sin fecha límite"&amp;" · ","")&amp;IF(AND(LEFT($C19,11)="[Jefatura] ",N($AL19)=0),"No se encuentra en la hoja de la jefatura (elíjala de nuevo en la lista)"&amp;" · ","")&amp;IF(OR(AND($E19&lt;&gt;"",NOT(ISNUMBER($E19))),AND($F19&lt;&gt;"",NOT(ISNUMBER($F19))),AND($G19&lt;&gt;"",NOT(ISNUMBER($G19)))),"Fecha no válida"&amp;" · ","")&amp;IF(AND(ISNUMBER($AM19),ISNUMBER($AN19),$AM19&gt;$AN19),"Inicio posterior a fecha límite"&amp;" · ","")&amp;IF(AND($V19="Macro",$H19&lt;&gt;"",OR(NOT(ISNUMBER($H19)),$H19&lt;0,$H19&gt;1)),"Peso fuera de rango"&amp;" · ","")&amp;IF(AND($V19="Sub",$H19&lt;&gt;""),"Las subactividades no llevan peso (valen igual dentro de su macroactividad)"&amp;" · ","")&amp;IF(AND(N($W19)&gt;0,COUNT($I19:$L19)&gt;0),"Con subactividades: deje vacías las semanas (se calculan solas)"&amp;" · ","")&amp;IF((COUNTIF($I19:$L19,"&gt;1")+COUNTIF($I19:$L19,"&lt;0")+COUNTA($I19:$L19)-COUNT($I19:$L19))&gt;0,"Avance fuera de rango 0-100%"&amp;" · ","")&amp;IF(OR(AND($J19&lt;&gt;"",$J19&lt;$I19),AND($K19&lt;&gt;"",$K19&lt;MAX($I19:$J19)),AND($L19&lt;&gt;"",$L19&lt;MAX($I19:$K19))),"Avance semanal decreciente"&amp;" · ","")&amp;IF(AND(ISNUMBER($AN19),$AN19&lt;FechaRef,IF($V19="Sub",N($X19),N($M19))&lt;1),"Vencida"&amp;" · ","")&amp;IF(AND(ObsObligatoria="Sí",ISNUMBER($AN19),$AN19&lt;FechaRef,IF($V19="Sub",N($X19),N($M19))&lt;1,$Q19=""),"Vencida sin observación"&amp;" · ",""))="","✔ OK","⚠ "&amp;LEFT(IF($C19="","Falta el nombre de la actividad"&amp;" · ","")&amp;IF(AND($V19="Sub",N($U19)=0),"Subactividad sin macroactividad arriba"&amp;" · ","")&amp;IF($AM19="","Sin fecha de inicio"&amp;" · ","")&amp;IF($AN19="","Sin fecha límite"&amp;" · ","")&amp;IF(AND(LEFT($C19,11)="[Jefatura] ",N($AL19)=0),"No se encuentra en la hoja de la jefatura (elíjala de nuevo en la lista)"&amp;" · ","")&amp;IF(OR(AND($E19&lt;&gt;"",NOT(ISNUMBER($E19))),AND($F19&lt;&gt;"",NOT(ISNUMBER($F19))),AND($G19&lt;&gt;"",NOT(ISNUMBER($G19)))),"Fecha no válida"&amp;" · ","")&amp;IF(AND(ISNUMBER($AM19),ISNUMBER($AN19),$AM19&gt;$AN19),"Inicio posterior a fecha límite"&amp;" · ","")&amp;IF(AND($V19="Macro",$H19&lt;&gt;"",OR(NOT(ISNUMBER($H19)),$H19&lt;0,$H19&gt;1)),"Peso fuera de rango"&amp;" · ","")&amp;IF(AND($V19="Sub",$H19&lt;&gt;""),"Las subactividades no llevan peso (valen igual dentro de su macroactividad)"&amp;" · ","")&amp;IF(AND(N($W19)&gt;0,COUNT($I19:$L19)&gt;0),"Con subactividades: deje vacías las semanas (se calculan solas)"&amp;" · ","")&amp;IF((COUNTIF($I19:$L19,"&gt;1")+COUNTIF($I19:$L19,"&lt;0")+COUNTA($I19:$L19)-COUNT($I19:$L19))&gt;0,"Avance fuera de rango 0-100%"&amp;" · ","")&amp;IF(OR(AND($J19&lt;&gt;"",$J19&lt;$I19),AND($K19&lt;&gt;"",$K19&lt;MAX($I19:$J19)),AND($L19&lt;&gt;"",$L19&lt;MAX($I19:$K19))),"Avance semanal decreciente"&amp;" · ","")&amp;IF(AND(ISNUMBER($AN19),$AN19&lt;FechaRef,IF($V19="Sub",N($X19),N($M19))&lt;1),"Vencida"&amp;" · ","")&amp;IF(AND(ObsObligatoria="Sí",ISNUMBER($AN19),$AN19&lt;FechaRef,IF($V19="Sub",N($X19),N($M19))&lt;1,$Q19=""),"Vencida sin observación"&amp;" · ",""),LEN(IF($C19="","Falta el nombre de la actividad"&amp;" · ","")&amp;IF(AND($V19="Sub",N($U19)=0),"Subactividad sin macroactividad arriba"&amp;" · ","")&amp;IF($AM19="","Sin fecha de inicio"&amp;" · ","")&amp;IF($AN19="","Sin fecha límite"&amp;" · ","")&amp;IF(AND(LEFT($C19,11)="[Jefatura] ",N($AL19)=0),"No se encuentra en la hoja de la jefatura (elíjala de nuevo en la lista)"&amp;" · ","")&amp;IF(OR(AND($E19&lt;&gt;"",NOT(ISNUMBER($E19))),AND($F19&lt;&gt;"",NOT(ISNUMBER($F19))),AND($G19&lt;&gt;"",NOT(ISNUMBER($G19)))),"Fecha no válida"&amp;" · ","")&amp;IF(AND(ISNUMBER($AM19),ISNUMBER($AN19),$AM19&gt;$AN19),"Inicio posterior a fecha límite"&amp;" · ","")&amp;IF(AND($V19="Macro",$H19&lt;&gt;"",OR(NOT(ISNUMBER($H19)),$H19&lt;0,$H19&gt;1)),"Peso fuera de rango"&amp;" · ","")&amp;IF(AND($V19="Sub",$H19&lt;&gt;""),"Las subactividades no llevan peso (valen igual dentro de su macroactividad)"&amp;" · ","")&amp;IF(AND(N($W19)&gt;0,COUNT($I19:$L19)&gt;0),"Con subactividades: deje vacías las semanas (se calculan solas)"&amp;" · ","")&amp;IF((COUNTIF($I19:$L19,"&gt;1")+COUNTIF($I19:$L19,"&lt;0")+COUNTA($I19:$L19)-COUNT($I19:$L19))&gt;0,"Avance fuera de rango 0-100%"&amp;" · ","")&amp;IF(OR(AND($J19&lt;&gt;"",$J19&lt;$I19),AND($K19&lt;&gt;"",$K19&lt;MAX($I19:$J19)),AND($L19&lt;&gt;"",$L19&lt;MAX($I19:$K19))),"Avance semanal decreciente"&amp;" · ","")&amp;IF(AND(ISNUMBER($AN19),$AN19&lt;FechaRef,IF($V19="Sub",N($X19),N($M19))&lt;1),"Vencida"&amp;" · ","")&amp;IF(AND(ObsObligatoria="Sí",ISNUMBER($AN19),$AN19&lt;FechaRef,IF($V19="Sub",N($X19),N($M19))&lt;1,$Q19=""),"Vencida sin observación"&amp;" · ",""))-3)))</f>
        <v/>
      </c>
      <c r="S19" s="64">
        <f>IF(NOT((COUNTA($B19:$D19)+COUNTA($G19:$L19)+COUNTA($Q19))&gt;0),"",IF(AND($V19="Sub",N($U19)&gt;0),IF(ISNUMBER(INDEX($AM$5:$AM$1000,$U19-4)),DATE(YEAR(INDEX($AM$5:$AM$1000,$U19-4)),MONTH(INDEX($AM$5:$AM$1000,$U19-4)),1),IF(ISNUMBER(INDEX($AN$5:$AN$1000,$U19-4)),DATE(YEAR(INDEX($AN$5:$AN$1000,$U19-4)),MONTH(INDEX($AN$5:$AN$1000,$U19-4)),1),MesCiclo)),IF(ISNUMBER($AM19),DATE(YEAR($AM19),MONTH($AM19),1),IF(ISNUMBER($AN19),DATE(YEAR($AN19),MONTH($AN19),1),MesCiclo))))</f>
        <v/>
      </c>
      <c r="T19" s="62">
        <f>IF(OR($S19="",$S19&lt;&gt;MesCiclo,$V19&lt;&gt;"Macro"),"",COUNTIFS($S$5:$S19,MesCiclo,$V$5:$V19,"Macro"))</f>
        <v/>
      </c>
      <c r="U19" s="62">
        <f>IF($V19="","",IF($V19="Macro",ROW(),IFERROR(LOOKUP(2,1/($V$5:$V19="Macro"),ROW($V$5:$V19)),0)))</f>
        <v/>
      </c>
      <c r="V19" s="62">
        <f>IF(NOT((COUNTA($B19:$D19)+COUNTA($G19:$L19)+COUNTA($Q19))&gt;0),"",IF($B19="Subactividad","Sub","Macro"))</f>
        <v/>
      </c>
      <c r="W19" s="62">
        <f>IF($V19="Macro",COUNTIFS($U$5:$U$1000,ROW(),$V$5:$V$1000,"Sub"),"")</f>
        <v/>
      </c>
      <c r="X19" s="62">
        <f>IF($V19="","",IF(ISNUMBER($G19),1,IFERROR(LOOKUP(2,1/($I19:$L19&lt;&gt;""),$I19:$L19),0)))</f>
        <v/>
      </c>
      <c r="Y19" s="62">
        <f>IF($V19="","",IF(AND(ISNUMBER($G19),$G19&lt;=IF($S19=MesCiclo,InicioCiclo,$S19+MOD(2-WEEKDAY($S19),7))+6),1,IF(ISNUMBER($I19),$I19,0)))</f>
        <v/>
      </c>
      <c r="Z19" s="62">
        <f>IF($V19="","",IF(AND(ISNUMBER($G19),$G19&lt;=IF($S19=MesCiclo,InicioCiclo,$S19+MOD(2-WEEKDAY($S19),7))+13),1,IF(ISNUMBER($J19),$J19,$Y19)))</f>
        <v/>
      </c>
      <c r="AA19" s="62">
        <f>IF($V19="","",IF(AND(ISNUMBER($G19),$G19&lt;=IF($S19=MesCiclo,InicioCiclo,$S19+MOD(2-WEEKDAY($S19),7))+20),1,IF(ISNUMBER($K19),$K19,$Z19)))</f>
        <v/>
      </c>
      <c r="AB19" s="62">
        <f>IF($V19="","",IF(AND(ISNUMBER($G19),$G19&lt;=IF($S19=MesCiclo,InicioCiclo,$S19+MOD(2-WEEKDAY($S19),7))+27),1,IF(ISNUMBER($L19),$L19,$AA19)))</f>
        <v/>
      </c>
      <c r="AC19" s="62">
        <f>IF($V19="","",IF(AND(ISNUMBER($G19),$G19&lt;=IF($S19=MesCiclo,InicioCiclo,$S19+MOD(2-WEEKDAY($S19),7))+6),1,IF(N($W19)&gt;0,AVERAGEIFS($Y$5:$Y$1000,$U$5:$U$1000,ROW(),$V$5:$V$1000,"Sub"),$Y19)))</f>
        <v/>
      </c>
      <c r="AD19" s="62">
        <f>IF($V19="","",IF(AND(ISNUMBER($G19),$G19&lt;=IF($S19=MesCiclo,InicioCiclo,$S19+MOD(2-WEEKDAY($S19),7))+13),1,IF(N($W19)&gt;0,AVERAGEIFS($Z$5:$Z$1000,$U$5:$U$1000,ROW(),$V$5:$V$1000,"Sub"),$Z19)))</f>
        <v/>
      </c>
      <c r="AE19" s="62">
        <f>IF($V19="","",IF(AND(ISNUMBER($G19),$G19&lt;=IF($S19=MesCiclo,InicioCiclo,$S19+MOD(2-WEEKDAY($S19),7))+20),1,IF(N($W19)&gt;0,AVERAGEIFS($AA$5:$AA$1000,$U$5:$U$1000,ROW(),$V$5:$V$1000,"Sub"),$AA19)))</f>
        <v/>
      </c>
      <c r="AF19" s="62">
        <f>IF($V19="","",IF(AND(ISNUMBER($G19),$G19&lt;=IF($S19=MesCiclo,InicioCiclo,$S19+MOD(2-WEEKDAY($S19),7))+27),1,IF(N($W19)&gt;0,AVERAGEIFS($AB$5:$AB$1000,$U$5:$U$1000,ROW(),$V$5:$V$1000,"Sub"),$AB19)))</f>
        <v/>
      </c>
      <c r="AG19" s="62">
        <f>IF($V19&lt;&gt;"Macro","",IF(COUNTIFS($S$5:$S$1000,$S19,$V$5:$V$1000,"Macro",$H$5:$H$1000,"&gt;0")=0,1/COUNTIFS($S$5:$S$1000,$S19,$V$5:$V$1000,"Macro"),IF(AND(ISNUMBER($H19),N($H19)&gt;0),$H19,SUMIFS($H$5:$H$1000,$S$5:$S$1000,$S19,$V$5:$V$1000,"Macro")/COUNTIFS($S$5:$S$1000,$S19,$V$5:$V$1000,"Macro",$H$5:$H$1000,"&gt;0"))/(COUNTIFS($S$5:$S$1000,$S19,$V$5:$V$1000,"Macro")*SUMIFS($H$5:$H$1000,$S$5:$S$1000,$S19,$V$5:$V$1000,"Macro")/COUNTIFS($S$5:$S$1000,$S19,$V$5:$V$1000,"Macro",$H$5:$H$1000,"&gt;0"))))</f>
        <v/>
      </c>
      <c r="AH19" s="62" t="n"/>
      <c r="AI19" s="62" t="n"/>
      <c r="AJ19" s="62" t="n"/>
      <c r="AK19" s="62" t="n"/>
      <c r="AL19" s="62">
        <f>IF(LEFT($C19,11)="[Jefatura] ",IFERROR(MATCH("Riesgo Operacional|"&amp;MID($C19,12,500),rDname_ADM,0),0),"")</f>
        <v/>
      </c>
      <c r="AM19" s="62">
        <f>IF(N($AL19)&gt;0,INDEX(rIni_ADM,$AL19),IF(ISNUMBER($E19),$E19,""))</f>
        <v/>
      </c>
      <c r="AN19" s="62">
        <f>IF(N($AL19)&gt;0,INDEX(rLim_ADM,$AL19),IF(ISNUMBER($F19),$F19,""))</f>
        <v/>
      </c>
    </row>
    <row r="20">
      <c r="A20" s="56">
        <f>IF(NOT((COUNTA($B20:$D20)+COUNTA($G20:$L20)+COUNTA($Q20))&gt;0),"",IF($V20="Macro",COUNTIFS($V$5:$V20,"Macro",$S$5:$S20,$S20),IF(N($U20)=0,"?",COUNTIFS(INDEX($V$5:$V$1000,1):INDEX($V$5:$V$1000,$U20-4),"Macro",INDEX($S$5:$S$1000,1):INDEX($S$5:$S$1000,$U20-4),INDEX($S$5:$S$1000,$U20-4))&amp;"."&amp;COUNTIFS($U$5:$U20,$U20,$V$5:$V20,"Sub"))))</f>
        <v/>
      </c>
      <c r="B20" s="57" t="n"/>
      <c r="C20" s="58" t="n"/>
      <c r="D20" s="58" t="n"/>
      <c r="E20" s="59">
        <f>IF(N($AL20)&gt;0,INDEX(rIni_ADM,$AL20),"")</f>
        <v/>
      </c>
      <c r="F20" s="59">
        <f>IF(N($AL20)&gt;0,INDEX(rLim_ADM,$AL20),"")</f>
        <v/>
      </c>
      <c r="G20" s="59" t="n"/>
      <c r="H20" s="60" t="n"/>
      <c r="I20" s="60" t="n"/>
      <c r="J20" s="60" t="n"/>
      <c r="K20" s="60" t="n"/>
      <c r="L20" s="60" t="n"/>
      <c r="M20" s="61">
        <f>IF(NOT((COUNTA($B20:$D20)+COUNTA($G20:$L20)+COUNTA($Q20))&gt;0),"",IF($V20="Sub",IFERROR($X20/INDEX($W$5:$W$1000,$U20-4),""),IF(ISNUMBER($G20),1,IF(N($W20)&gt;0,AVERAGEIFS($X$5:$X$1000,$U$5:$U$1000,ROW(),$V$5:$V$1000,"Sub"),$X20))))</f>
        <v/>
      </c>
      <c r="N20" s="56">
        <f>IF(OR($M20="",$V20="Sub"),"",IF($M20&gt;=1,"Completado",IF($M20&gt;0,"En curso","Pendiente")))</f>
        <v/>
      </c>
      <c r="O20" s="56">
        <f>IF(OR(NOT((COUNTA($B20:$D20)+COUNTA($G20:$L20)+COUNTA($Q20))&gt;0),$V20="Sub"),"",IF(ISNUMBER($G20),IF(AND(ISNUMBER($AN20),$G20&gt;$AN20),"Cumplida con "&amp;($G20-$AN20)&amp;IF($G20-$AN20=1," día"," días")&amp;" de retraso","Cumplida"),IF(N($M20)&gt;=1,"Cumplida",IF(NOT(ISNUMBER($AN20)),"Sin fecha límite",IF($AN20&lt;FechaRef,"Vencida hace "&amp;(FechaRef-$AN20)&amp;IF(FechaRef-$AN20=1," día"," días"),IF($AN20=FechaRef,"Vence hoy",IF($AN20-FechaRef&lt;=DiasAlerta,"Vence en "&amp;($AN20-FechaRef)&amp;IF($AN20-FechaRef=1," día"," días"),"En plazo")))))))</f>
        <v/>
      </c>
      <c r="P20" s="62" t="n"/>
      <c r="Q20" s="58" t="n"/>
      <c r="R20" s="63">
        <f>IF(NOT((COUNTA($B20:$D20)+COUNTA($G20:$L20)+COUNTA($Q20))&gt;0),"",IF((IF($C20="","Falta el nombre de la actividad"&amp;" · ","")&amp;IF(AND($V20="Sub",N($U20)=0),"Subactividad sin macroactividad arriba"&amp;" · ","")&amp;IF($AM20="","Sin fecha de inicio"&amp;" · ","")&amp;IF($AN20="","Sin fecha límite"&amp;" · ","")&amp;IF(AND(LEFT($C20,11)="[Jefatura] ",N($AL20)=0),"No se encuentra en la hoja de la jefatura (elíjala de nuevo en la lista)"&amp;" · ","")&amp;IF(OR(AND($E20&lt;&gt;"",NOT(ISNUMBER($E20))),AND($F20&lt;&gt;"",NOT(ISNUMBER($F20))),AND($G20&lt;&gt;"",NOT(ISNUMBER($G20)))),"Fecha no válida"&amp;" · ","")&amp;IF(AND(ISNUMBER($AM20),ISNUMBER($AN20),$AM20&gt;$AN20),"Inicio posterior a fecha límite"&amp;" · ","")&amp;IF(AND($V20="Macro",$H20&lt;&gt;"",OR(NOT(ISNUMBER($H20)),$H20&lt;0,$H20&gt;1)),"Peso fuera de rango"&amp;" · ","")&amp;IF(AND($V20="Sub",$H20&lt;&gt;""),"Las subactividades no llevan peso (valen igual dentro de su macroactividad)"&amp;" · ","")&amp;IF(AND(N($W20)&gt;0,COUNT($I20:$L20)&gt;0),"Con subactividades: deje vacías las semanas (se calculan solas)"&amp;" · ","")&amp;IF((COUNTIF($I20:$L20,"&gt;1")+COUNTIF($I20:$L20,"&lt;0")+COUNTA($I20:$L20)-COUNT($I20:$L20))&gt;0,"Avance fuera de rango 0-100%"&amp;" · ","")&amp;IF(OR(AND($J20&lt;&gt;"",$J20&lt;$I20),AND($K20&lt;&gt;"",$K20&lt;MAX($I20:$J20)),AND($L20&lt;&gt;"",$L20&lt;MAX($I20:$K20))),"Avance semanal decreciente"&amp;" · ","")&amp;IF(AND(ISNUMBER($AN20),$AN20&lt;FechaRef,IF($V20="Sub",N($X20),N($M20))&lt;1),"Vencida"&amp;" · ","")&amp;IF(AND(ObsObligatoria="Sí",ISNUMBER($AN20),$AN20&lt;FechaRef,IF($V20="Sub",N($X20),N($M20))&lt;1,$Q20=""),"Vencida sin observación"&amp;" · ",""))="","✔ OK","⚠ "&amp;LEFT(IF($C20="","Falta el nombre de la actividad"&amp;" · ","")&amp;IF(AND($V20="Sub",N($U20)=0),"Subactividad sin macroactividad arriba"&amp;" · ","")&amp;IF($AM20="","Sin fecha de inicio"&amp;" · ","")&amp;IF($AN20="","Sin fecha límite"&amp;" · ","")&amp;IF(AND(LEFT($C20,11)="[Jefatura] ",N($AL20)=0),"No se encuentra en la hoja de la jefatura (elíjala de nuevo en la lista)"&amp;" · ","")&amp;IF(OR(AND($E20&lt;&gt;"",NOT(ISNUMBER($E20))),AND($F20&lt;&gt;"",NOT(ISNUMBER($F20))),AND($G20&lt;&gt;"",NOT(ISNUMBER($G20)))),"Fecha no válida"&amp;" · ","")&amp;IF(AND(ISNUMBER($AM20),ISNUMBER($AN20),$AM20&gt;$AN20),"Inicio posterior a fecha límite"&amp;" · ","")&amp;IF(AND($V20="Macro",$H20&lt;&gt;"",OR(NOT(ISNUMBER($H20)),$H20&lt;0,$H20&gt;1)),"Peso fuera de rango"&amp;" · ","")&amp;IF(AND($V20="Sub",$H20&lt;&gt;""),"Las subactividades no llevan peso (valen igual dentro de su macroactividad)"&amp;" · ","")&amp;IF(AND(N($W20)&gt;0,COUNT($I20:$L20)&gt;0),"Con subactividades: deje vacías las semanas (se calculan solas)"&amp;" · ","")&amp;IF((COUNTIF($I20:$L20,"&gt;1")+COUNTIF($I20:$L20,"&lt;0")+COUNTA($I20:$L20)-COUNT($I20:$L20))&gt;0,"Avance fuera de rango 0-100%"&amp;" · ","")&amp;IF(OR(AND($J20&lt;&gt;"",$J20&lt;$I20),AND($K20&lt;&gt;"",$K20&lt;MAX($I20:$J20)),AND($L20&lt;&gt;"",$L20&lt;MAX($I20:$K20))),"Avance semanal decreciente"&amp;" · ","")&amp;IF(AND(ISNUMBER($AN20),$AN20&lt;FechaRef,IF($V20="Sub",N($X20),N($M20))&lt;1),"Vencida"&amp;" · ","")&amp;IF(AND(ObsObligatoria="Sí",ISNUMBER($AN20),$AN20&lt;FechaRef,IF($V20="Sub",N($X20),N($M20))&lt;1,$Q20=""),"Vencida sin observación"&amp;" · ",""),LEN(IF($C20="","Falta el nombre de la actividad"&amp;" · ","")&amp;IF(AND($V20="Sub",N($U20)=0),"Subactividad sin macroactividad arriba"&amp;" · ","")&amp;IF($AM20="","Sin fecha de inicio"&amp;" · ","")&amp;IF($AN20="","Sin fecha límite"&amp;" · ","")&amp;IF(AND(LEFT($C20,11)="[Jefatura] ",N($AL20)=0),"No se encuentra en la hoja de la jefatura (elíjala de nuevo en la lista)"&amp;" · ","")&amp;IF(OR(AND($E20&lt;&gt;"",NOT(ISNUMBER($E20))),AND($F20&lt;&gt;"",NOT(ISNUMBER($F20))),AND($G20&lt;&gt;"",NOT(ISNUMBER($G20)))),"Fecha no válida"&amp;" · ","")&amp;IF(AND(ISNUMBER($AM20),ISNUMBER($AN20),$AM20&gt;$AN20),"Inicio posterior a fecha límite"&amp;" · ","")&amp;IF(AND($V20="Macro",$H20&lt;&gt;"",OR(NOT(ISNUMBER($H20)),$H20&lt;0,$H20&gt;1)),"Peso fuera de rango"&amp;" · ","")&amp;IF(AND($V20="Sub",$H20&lt;&gt;""),"Las subactividades no llevan peso (valen igual dentro de su macroactividad)"&amp;" · ","")&amp;IF(AND(N($W20)&gt;0,COUNT($I20:$L20)&gt;0),"Con subactividades: deje vacías las semanas (se calculan solas)"&amp;" · ","")&amp;IF((COUNTIF($I20:$L20,"&gt;1")+COUNTIF($I20:$L20,"&lt;0")+COUNTA($I20:$L20)-COUNT($I20:$L20))&gt;0,"Avance fuera de rango 0-100%"&amp;" · ","")&amp;IF(OR(AND($J20&lt;&gt;"",$J20&lt;$I20),AND($K20&lt;&gt;"",$K20&lt;MAX($I20:$J20)),AND($L20&lt;&gt;"",$L20&lt;MAX($I20:$K20))),"Avance semanal decreciente"&amp;" · ","")&amp;IF(AND(ISNUMBER($AN20),$AN20&lt;FechaRef,IF($V20="Sub",N($X20),N($M20))&lt;1),"Vencida"&amp;" · ","")&amp;IF(AND(ObsObligatoria="Sí",ISNUMBER($AN20),$AN20&lt;FechaRef,IF($V20="Sub",N($X20),N($M20))&lt;1,$Q20=""),"Vencida sin observación"&amp;" · ",""))-3)))</f>
        <v/>
      </c>
      <c r="S20" s="64">
        <f>IF(NOT((COUNTA($B20:$D20)+COUNTA($G20:$L20)+COUNTA($Q20))&gt;0),"",IF(AND($V20="Sub",N($U20)&gt;0),IF(ISNUMBER(INDEX($AM$5:$AM$1000,$U20-4)),DATE(YEAR(INDEX($AM$5:$AM$1000,$U20-4)),MONTH(INDEX($AM$5:$AM$1000,$U20-4)),1),IF(ISNUMBER(INDEX($AN$5:$AN$1000,$U20-4)),DATE(YEAR(INDEX($AN$5:$AN$1000,$U20-4)),MONTH(INDEX($AN$5:$AN$1000,$U20-4)),1),MesCiclo)),IF(ISNUMBER($AM20),DATE(YEAR($AM20),MONTH($AM20),1),IF(ISNUMBER($AN20),DATE(YEAR($AN20),MONTH($AN20),1),MesCiclo))))</f>
        <v/>
      </c>
      <c r="T20" s="62">
        <f>IF(OR($S20="",$S20&lt;&gt;MesCiclo,$V20&lt;&gt;"Macro"),"",COUNTIFS($S$5:$S20,MesCiclo,$V$5:$V20,"Macro"))</f>
        <v/>
      </c>
      <c r="U20" s="62">
        <f>IF($V20="","",IF($V20="Macro",ROW(),IFERROR(LOOKUP(2,1/($V$5:$V20="Macro"),ROW($V$5:$V20)),0)))</f>
        <v/>
      </c>
      <c r="V20" s="62">
        <f>IF(NOT((COUNTA($B20:$D20)+COUNTA($G20:$L20)+COUNTA($Q20))&gt;0),"",IF($B20="Subactividad","Sub","Macro"))</f>
        <v/>
      </c>
      <c r="W20" s="62">
        <f>IF($V20="Macro",COUNTIFS($U$5:$U$1000,ROW(),$V$5:$V$1000,"Sub"),"")</f>
        <v/>
      </c>
      <c r="X20" s="62">
        <f>IF($V20="","",IF(ISNUMBER($G20),1,IFERROR(LOOKUP(2,1/($I20:$L20&lt;&gt;""),$I20:$L20),0)))</f>
        <v/>
      </c>
      <c r="Y20" s="62">
        <f>IF($V20="","",IF(AND(ISNUMBER($G20),$G20&lt;=IF($S20=MesCiclo,InicioCiclo,$S20+MOD(2-WEEKDAY($S20),7))+6),1,IF(ISNUMBER($I20),$I20,0)))</f>
        <v/>
      </c>
      <c r="Z20" s="62">
        <f>IF($V20="","",IF(AND(ISNUMBER($G20),$G20&lt;=IF($S20=MesCiclo,InicioCiclo,$S20+MOD(2-WEEKDAY($S20),7))+13),1,IF(ISNUMBER($J20),$J20,$Y20)))</f>
        <v/>
      </c>
      <c r="AA20" s="62">
        <f>IF($V20="","",IF(AND(ISNUMBER($G20),$G20&lt;=IF($S20=MesCiclo,InicioCiclo,$S20+MOD(2-WEEKDAY($S20),7))+20),1,IF(ISNUMBER($K20),$K20,$Z20)))</f>
        <v/>
      </c>
      <c r="AB20" s="62">
        <f>IF($V20="","",IF(AND(ISNUMBER($G20),$G20&lt;=IF($S20=MesCiclo,InicioCiclo,$S20+MOD(2-WEEKDAY($S20),7))+27),1,IF(ISNUMBER($L20),$L20,$AA20)))</f>
        <v/>
      </c>
      <c r="AC20" s="62">
        <f>IF($V20="","",IF(AND(ISNUMBER($G20),$G20&lt;=IF($S20=MesCiclo,InicioCiclo,$S20+MOD(2-WEEKDAY($S20),7))+6),1,IF(N($W20)&gt;0,AVERAGEIFS($Y$5:$Y$1000,$U$5:$U$1000,ROW(),$V$5:$V$1000,"Sub"),$Y20)))</f>
        <v/>
      </c>
      <c r="AD20" s="62">
        <f>IF($V20="","",IF(AND(ISNUMBER($G20),$G20&lt;=IF($S20=MesCiclo,InicioCiclo,$S20+MOD(2-WEEKDAY($S20),7))+13),1,IF(N($W20)&gt;0,AVERAGEIFS($Z$5:$Z$1000,$U$5:$U$1000,ROW(),$V$5:$V$1000,"Sub"),$Z20)))</f>
        <v/>
      </c>
      <c r="AE20" s="62">
        <f>IF($V20="","",IF(AND(ISNUMBER($G20),$G20&lt;=IF($S20=MesCiclo,InicioCiclo,$S20+MOD(2-WEEKDAY($S20),7))+20),1,IF(N($W20)&gt;0,AVERAGEIFS($AA$5:$AA$1000,$U$5:$U$1000,ROW(),$V$5:$V$1000,"Sub"),$AA20)))</f>
        <v/>
      </c>
      <c r="AF20" s="62">
        <f>IF($V20="","",IF(AND(ISNUMBER($G20),$G20&lt;=IF($S20=MesCiclo,InicioCiclo,$S20+MOD(2-WEEKDAY($S20),7))+27),1,IF(N($W20)&gt;0,AVERAGEIFS($AB$5:$AB$1000,$U$5:$U$1000,ROW(),$V$5:$V$1000,"Sub"),$AB20)))</f>
        <v/>
      </c>
      <c r="AG20" s="62">
        <f>IF($V20&lt;&gt;"Macro","",IF(COUNTIFS($S$5:$S$1000,$S20,$V$5:$V$1000,"Macro",$H$5:$H$1000,"&gt;0")=0,1/COUNTIFS($S$5:$S$1000,$S20,$V$5:$V$1000,"Macro"),IF(AND(ISNUMBER($H20),N($H20)&gt;0),$H20,SUMIFS($H$5:$H$1000,$S$5:$S$1000,$S20,$V$5:$V$1000,"Macro")/COUNTIFS($S$5:$S$1000,$S20,$V$5:$V$1000,"Macro",$H$5:$H$1000,"&gt;0"))/(COUNTIFS($S$5:$S$1000,$S20,$V$5:$V$1000,"Macro")*SUMIFS($H$5:$H$1000,$S$5:$S$1000,$S20,$V$5:$V$1000,"Macro")/COUNTIFS($S$5:$S$1000,$S20,$V$5:$V$1000,"Macro",$H$5:$H$1000,"&gt;0"))))</f>
        <v/>
      </c>
      <c r="AH20" s="62" t="n"/>
      <c r="AI20" s="62" t="n"/>
      <c r="AJ20" s="62" t="n"/>
      <c r="AK20" s="62" t="n"/>
      <c r="AL20" s="62">
        <f>IF(LEFT($C20,11)="[Jefatura] ",IFERROR(MATCH("Riesgo Operacional|"&amp;MID($C20,12,500),rDname_ADM,0),0),"")</f>
        <v/>
      </c>
      <c r="AM20" s="62">
        <f>IF(N($AL20)&gt;0,INDEX(rIni_ADM,$AL20),IF(ISNUMBER($E20),$E20,""))</f>
        <v/>
      </c>
      <c r="AN20" s="62">
        <f>IF(N($AL20)&gt;0,INDEX(rLim_ADM,$AL20),IF(ISNUMBER($F20),$F20,""))</f>
        <v/>
      </c>
    </row>
    <row r="21">
      <c r="A21" s="56">
        <f>IF(NOT((COUNTA($B21:$D21)+COUNTA($G21:$L21)+COUNTA($Q21))&gt;0),"",IF($V21="Macro",COUNTIFS($V$5:$V21,"Macro",$S$5:$S21,$S21),IF(N($U21)=0,"?",COUNTIFS(INDEX($V$5:$V$1000,1):INDEX($V$5:$V$1000,$U21-4),"Macro",INDEX($S$5:$S$1000,1):INDEX($S$5:$S$1000,$U21-4),INDEX($S$5:$S$1000,$U21-4))&amp;"."&amp;COUNTIFS($U$5:$U21,$U21,$V$5:$V21,"Sub"))))</f>
        <v/>
      </c>
      <c r="B21" s="57" t="n"/>
      <c r="C21" s="58" t="n"/>
      <c r="D21" s="58" t="n"/>
      <c r="E21" s="59">
        <f>IF(N($AL21)&gt;0,INDEX(rIni_ADM,$AL21),"")</f>
        <v/>
      </c>
      <c r="F21" s="59">
        <f>IF(N($AL21)&gt;0,INDEX(rLim_ADM,$AL21),"")</f>
        <v/>
      </c>
      <c r="G21" s="59" t="n"/>
      <c r="H21" s="60" t="n"/>
      <c r="I21" s="60" t="n"/>
      <c r="J21" s="60" t="n"/>
      <c r="K21" s="60" t="n"/>
      <c r="L21" s="60" t="n"/>
      <c r="M21" s="61">
        <f>IF(NOT((COUNTA($B21:$D21)+COUNTA($G21:$L21)+COUNTA($Q21))&gt;0),"",IF($V21="Sub",IFERROR($X21/INDEX($W$5:$W$1000,$U21-4),""),IF(ISNUMBER($G21),1,IF(N($W21)&gt;0,AVERAGEIFS($X$5:$X$1000,$U$5:$U$1000,ROW(),$V$5:$V$1000,"Sub"),$X21))))</f>
        <v/>
      </c>
      <c r="N21" s="56">
        <f>IF(OR($M21="",$V21="Sub"),"",IF($M21&gt;=1,"Completado",IF($M21&gt;0,"En curso","Pendiente")))</f>
        <v/>
      </c>
      <c r="O21" s="56">
        <f>IF(OR(NOT((COUNTA($B21:$D21)+COUNTA($G21:$L21)+COUNTA($Q21))&gt;0),$V21="Sub"),"",IF(ISNUMBER($G21),IF(AND(ISNUMBER($AN21),$G21&gt;$AN21),"Cumplida con "&amp;($G21-$AN21)&amp;IF($G21-$AN21=1," día"," días")&amp;" de retraso","Cumplida"),IF(N($M21)&gt;=1,"Cumplida",IF(NOT(ISNUMBER($AN21)),"Sin fecha límite",IF($AN21&lt;FechaRef,"Vencida hace "&amp;(FechaRef-$AN21)&amp;IF(FechaRef-$AN21=1," día"," días"),IF($AN21=FechaRef,"Vence hoy",IF($AN21-FechaRef&lt;=DiasAlerta,"Vence en "&amp;($AN21-FechaRef)&amp;IF($AN21-FechaRef=1," día"," días"),"En plazo")))))))</f>
        <v/>
      </c>
      <c r="P21" s="62" t="n"/>
      <c r="Q21" s="58" t="n"/>
      <c r="R21" s="63">
        <f>IF(NOT((COUNTA($B21:$D21)+COUNTA($G21:$L21)+COUNTA($Q21))&gt;0),"",IF((IF($C21="","Falta el nombre de la actividad"&amp;" · ","")&amp;IF(AND($V21="Sub",N($U21)=0),"Subactividad sin macroactividad arriba"&amp;" · ","")&amp;IF($AM21="","Sin fecha de inicio"&amp;" · ","")&amp;IF($AN21="","Sin fecha límite"&amp;" · ","")&amp;IF(AND(LEFT($C21,11)="[Jefatura] ",N($AL21)=0),"No se encuentra en la hoja de la jefatura (elíjala de nuevo en la lista)"&amp;" · ","")&amp;IF(OR(AND($E21&lt;&gt;"",NOT(ISNUMBER($E21))),AND($F21&lt;&gt;"",NOT(ISNUMBER($F21))),AND($G21&lt;&gt;"",NOT(ISNUMBER($G21)))),"Fecha no válida"&amp;" · ","")&amp;IF(AND(ISNUMBER($AM21),ISNUMBER($AN21),$AM21&gt;$AN21),"Inicio posterior a fecha límite"&amp;" · ","")&amp;IF(AND($V21="Macro",$H21&lt;&gt;"",OR(NOT(ISNUMBER($H21)),$H21&lt;0,$H21&gt;1)),"Peso fuera de rango"&amp;" · ","")&amp;IF(AND($V21="Sub",$H21&lt;&gt;""),"Las subactividades no llevan peso (valen igual dentro de su macroactividad)"&amp;" · ","")&amp;IF(AND(N($W21)&gt;0,COUNT($I21:$L21)&gt;0),"Con subactividades: deje vacías las semanas (se calculan solas)"&amp;" · ","")&amp;IF((COUNTIF($I21:$L21,"&gt;1")+COUNTIF($I21:$L21,"&lt;0")+COUNTA($I21:$L21)-COUNT($I21:$L21))&gt;0,"Avance fuera de rango 0-100%"&amp;" · ","")&amp;IF(OR(AND($J21&lt;&gt;"",$J21&lt;$I21),AND($K21&lt;&gt;"",$K21&lt;MAX($I21:$J21)),AND($L21&lt;&gt;"",$L21&lt;MAX($I21:$K21))),"Avance semanal decreciente"&amp;" · ","")&amp;IF(AND(ISNUMBER($AN21),$AN21&lt;FechaRef,IF($V21="Sub",N($X21),N($M21))&lt;1),"Vencida"&amp;" · ","")&amp;IF(AND(ObsObligatoria="Sí",ISNUMBER($AN21),$AN21&lt;FechaRef,IF($V21="Sub",N($X21),N($M21))&lt;1,$Q21=""),"Vencida sin observación"&amp;" · ",""))="","✔ OK","⚠ "&amp;LEFT(IF($C21="","Falta el nombre de la actividad"&amp;" · ","")&amp;IF(AND($V21="Sub",N($U21)=0),"Subactividad sin macroactividad arriba"&amp;" · ","")&amp;IF($AM21="","Sin fecha de inicio"&amp;" · ","")&amp;IF($AN21="","Sin fecha límite"&amp;" · ","")&amp;IF(AND(LEFT($C21,11)="[Jefatura] ",N($AL21)=0),"No se encuentra en la hoja de la jefatura (elíjala de nuevo en la lista)"&amp;" · ","")&amp;IF(OR(AND($E21&lt;&gt;"",NOT(ISNUMBER($E21))),AND($F21&lt;&gt;"",NOT(ISNUMBER($F21))),AND($G21&lt;&gt;"",NOT(ISNUMBER($G21)))),"Fecha no válida"&amp;" · ","")&amp;IF(AND(ISNUMBER($AM21),ISNUMBER($AN21),$AM21&gt;$AN21),"Inicio posterior a fecha límite"&amp;" · ","")&amp;IF(AND($V21="Macro",$H21&lt;&gt;"",OR(NOT(ISNUMBER($H21)),$H21&lt;0,$H21&gt;1)),"Peso fuera de rango"&amp;" · ","")&amp;IF(AND($V21="Sub",$H21&lt;&gt;""),"Las subactividades no llevan peso (valen igual dentro de su macroactividad)"&amp;" · ","")&amp;IF(AND(N($W21)&gt;0,COUNT($I21:$L21)&gt;0),"Con subactividades: deje vacías las semanas (se calculan solas)"&amp;" · ","")&amp;IF((COUNTIF($I21:$L21,"&gt;1")+COUNTIF($I21:$L21,"&lt;0")+COUNTA($I21:$L21)-COUNT($I21:$L21))&gt;0,"Avance fuera de rango 0-100%"&amp;" · ","")&amp;IF(OR(AND($J21&lt;&gt;"",$J21&lt;$I21),AND($K21&lt;&gt;"",$K21&lt;MAX($I21:$J21)),AND($L21&lt;&gt;"",$L21&lt;MAX($I21:$K21))),"Avance semanal decreciente"&amp;" · ","")&amp;IF(AND(ISNUMBER($AN21),$AN21&lt;FechaRef,IF($V21="Sub",N($X21),N($M21))&lt;1),"Vencida"&amp;" · ","")&amp;IF(AND(ObsObligatoria="Sí",ISNUMBER($AN21),$AN21&lt;FechaRef,IF($V21="Sub",N($X21),N($M21))&lt;1,$Q21=""),"Vencida sin observación"&amp;" · ",""),LEN(IF($C21="","Falta el nombre de la actividad"&amp;" · ","")&amp;IF(AND($V21="Sub",N($U21)=0),"Subactividad sin macroactividad arriba"&amp;" · ","")&amp;IF($AM21="","Sin fecha de inicio"&amp;" · ","")&amp;IF($AN21="","Sin fecha límite"&amp;" · ","")&amp;IF(AND(LEFT($C21,11)="[Jefatura] ",N($AL21)=0),"No se encuentra en la hoja de la jefatura (elíjala de nuevo en la lista)"&amp;" · ","")&amp;IF(OR(AND($E21&lt;&gt;"",NOT(ISNUMBER($E21))),AND($F21&lt;&gt;"",NOT(ISNUMBER($F21))),AND($G21&lt;&gt;"",NOT(ISNUMBER($G21)))),"Fecha no válida"&amp;" · ","")&amp;IF(AND(ISNUMBER($AM21),ISNUMBER($AN21),$AM21&gt;$AN21),"Inicio posterior a fecha límite"&amp;" · ","")&amp;IF(AND($V21="Macro",$H21&lt;&gt;"",OR(NOT(ISNUMBER($H21)),$H21&lt;0,$H21&gt;1)),"Peso fuera de rango"&amp;" · ","")&amp;IF(AND($V21="Sub",$H21&lt;&gt;""),"Las subactividades no llevan peso (valen igual dentro de su macroactividad)"&amp;" · ","")&amp;IF(AND(N($W21)&gt;0,COUNT($I21:$L21)&gt;0),"Con subactividades: deje vacías las semanas (se calculan solas)"&amp;" · ","")&amp;IF((COUNTIF($I21:$L21,"&gt;1")+COUNTIF($I21:$L21,"&lt;0")+COUNTA($I21:$L21)-COUNT($I21:$L21))&gt;0,"Avance fuera de rango 0-100%"&amp;" · ","")&amp;IF(OR(AND($J21&lt;&gt;"",$J21&lt;$I21),AND($K21&lt;&gt;"",$K21&lt;MAX($I21:$J21)),AND($L21&lt;&gt;"",$L21&lt;MAX($I21:$K21))),"Avance semanal decreciente"&amp;" · ","")&amp;IF(AND(ISNUMBER($AN21),$AN21&lt;FechaRef,IF($V21="Sub",N($X21),N($M21))&lt;1),"Vencida"&amp;" · ","")&amp;IF(AND(ObsObligatoria="Sí",ISNUMBER($AN21),$AN21&lt;FechaRef,IF($V21="Sub",N($X21),N($M21))&lt;1,$Q21=""),"Vencida sin observación"&amp;" · ",""))-3)))</f>
        <v/>
      </c>
      <c r="S21" s="64">
        <f>IF(NOT((COUNTA($B21:$D21)+COUNTA($G21:$L21)+COUNTA($Q21))&gt;0),"",IF(AND($V21="Sub",N($U21)&gt;0),IF(ISNUMBER(INDEX($AM$5:$AM$1000,$U21-4)),DATE(YEAR(INDEX($AM$5:$AM$1000,$U21-4)),MONTH(INDEX($AM$5:$AM$1000,$U21-4)),1),IF(ISNUMBER(INDEX($AN$5:$AN$1000,$U21-4)),DATE(YEAR(INDEX($AN$5:$AN$1000,$U21-4)),MONTH(INDEX($AN$5:$AN$1000,$U21-4)),1),MesCiclo)),IF(ISNUMBER($AM21),DATE(YEAR($AM21),MONTH($AM21),1),IF(ISNUMBER($AN21),DATE(YEAR($AN21),MONTH($AN21),1),MesCiclo))))</f>
        <v/>
      </c>
      <c r="T21" s="62">
        <f>IF(OR($S21="",$S21&lt;&gt;MesCiclo,$V21&lt;&gt;"Macro"),"",COUNTIFS($S$5:$S21,MesCiclo,$V$5:$V21,"Macro"))</f>
        <v/>
      </c>
      <c r="U21" s="62">
        <f>IF($V21="","",IF($V21="Macro",ROW(),IFERROR(LOOKUP(2,1/($V$5:$V21="Macro"),ROW($V$5:$V21)),0)))</f>
        <v/>
      </c>
      <c r="V21" s="62">
        <f>IF(NOT((COUNTA($B21:$D21)+COUNTA($G21:$L21)+COUNTA($Q21))&gt;0),"",IF($B21="Subactividad","Sub","Macro"))</f>
        <v/>
      </c>
      <c r="W21" s="62">
        <f>IF($V21="Macro",COUNTIFS($U$5:$U$1000,ROW(),$V$5:$V$1000,"Sub"),"")</f>
        <v/>
      </c>
      <c r="X21" s="62">
        <f>IF($V21="","",IF(ISNUMBER($G21),1,IFERROR(LOOKUP(2,1/($I21:$L21&lt;&gt;""),$I21:$L21),0)))</f>
        <v/>
      </c>
      <c r="Y21" s="62">
        <f>IF($V21="","",IF(AND(ISNUMBER($G21),$G21&lt;=IF($S21=MesCiclo,InicioCiclo,$S21+MOD(2-WEEKDAY($S21),7))+6),1,IF(ISNUMBER($I21),$I21,0)))</f>
        <v/>
      </c>
      <c r="Z21" s="62">
        <f>IF($V21="","",IF(AND(ISNUMBER($G21),$G21&lt;=IF($S21=MesCiclo,InicioCiclo,$S21+MOD(2-WEEKDAY($S21),7))+13),1,IF(ISNUMBER($J21),$J21,$Y21)))</f>
        <v/>
      </c>
      <c r="AA21" s="62">
        <f>IF($V21="","",IF(AND(ISNUMBER($G21),$G21&lt;=IF($S21=MesCiclo,InicioCiclo,$S21+MOD(2-WEEKDAY($S21),7))+20),1,IF(ISNUMBER($K21),$K21,$Z21)))</f>
        <v/>
      </c>
      <c r="AB21" s="62">
        <f>IF($V21="","",IF(AND(ISNUMBER($G21),$G21&lt;=IF($S21=MesCiclo,InicioCiclo,$S21+MOD(2-WEEKDAY($S21),7))+27),1,IF(ISNUMBER($L21),$L21,$AA21)))</f>
        <v/>
      </c>
      <c r="AC21" s="62">
        <f>IF($V21="","",IF(AND(ISNUMBER($G21),$G21&lt;=IF($S21=MesCiclo,InicioCiclo,$S21+MOD(2-WEEKDAY($S21),7))+6),1,IF(N($W21)&gt;0,AVERAGEIFS($Y$5:$Y$1000,$U$5:$U$1000,ROW(),$V$5:$V$1000,"Sub"),$Y21)))</f>
        <v/>
      </c>
      <c r="AD21" s="62">
        <f>IF($V21="","",IF(AND(ISNUMBER($G21),$G21&lt;=IF($S21=MesCiclo,InicioCiclo,$S21+MOD(2-WEEKDAY($S21),7))+13),1,IF(N($W21)&gt;0,AVERAGEIFS($Z$5:$Z$1000,$U$5:$U$1000,ROW(),$V$5:$V$1000,"Sub"),$Z21)))</f>
        <v/>
      </c>
      <c r="AE21" s="62">
        <f>IF($V21="","",IF(AND(ISNUMBER($G21),$G21&lt;=IF($S21=MesCiclo,InicioCiclo,$S21+MOD(2-WEEKDAY($S21),7))+20),1,IF(N($W21)&gt;0,AVERAGEIFS($AA$5:$AA$1000,$U$5:$U$1000,ROW(),$V$5:$V$1000,"Sub"),$AA21)))</f>
        <v/>
      </c>
      <c r="AF21" s="62">
        <f>IF($V21="","",IF(AND(ISNUMBER($G21),$G21&lt;=IF($S21=MesCiclo,InicioCiclo,$S21+MOD(2-WEEKDAY($S21),7))+27),1,IF(N($W21)&gt;0,AVERAGEIFS($AB$5:$AB$1000,$U$5:$U$1000,ROW(),$V$5:$V$1000,"Sub"),$AB21)))</f>
        <v/>
      </c>
      <c r="AG21" s="62">
        <f>IF($V21&lt;&gt;"Macro","",IF(COUNTIFS($S$5:$S$1000,$S21,$V$5:$V$1000,"Macro",$H$5:$H$1000,"&gt;0")=0,1/COUNTIFS($S$5:$S$1000,$S21,$V$5:$V$1000,"Macro"),IF(AND(ISNUMBER($H21),N($H21)&gt;0),$H21,SUMIFS($H$5:$H$1000,$S$5:$S$1000,$S21,$V$5:$V$1000,"Macro")/COUNTIFS($S$5:$S$1000,$S21,$V$5:$V$1000,"Macro",$H$5:$H$1000,"&gt;0"))/(COUNTIFS($S$5:$S$1000,$S21,$V$5:$V$1000,"Macro")*SUMIFS($H$5:$H$1000,$S$5:$S$1000,$S21,$V$5:$V$1000,"Macro")/COUNTIFS($S$5:$S$1000,$S21,$V$5:$V$1000,"Macro",$H$5:$H$1000,"&gt;0"))))</f>
        <v/>
      </c>
      <c r="AH21" s="62" t="n"/>
      <c r="AI21" s="62" t="n"/>
      <c r="AJ21" s="62" t="n"/>
      <c r="AK21" s="62" t="n"/>
      <c r="AL21" s="62">
        <f>IF(LEFT($C21,11)="[Jefatura] ",IFERROR(MATCH("Riesgo Operacional|"&amp;MID($C21,12,500),rDname_ADM,0),0),"")</f>
        <v/>
      </c>
      <c r="AM21" s="62">
        <f>IF(N($AL21)&gt;0,INDEX(rIni_ADM,$AL21),IF(ISNUMBER($E21),$E21,""))</f>
        <v/>
      </c>
      <c r="AN21" s="62">
        <f>IF(N($AL21)&gt;0,INDEX(rLim_ADM,$AL21),IF(ISNUMBER($F21),$F21,""))</f>
        <v/>
      </c>
    </row>
    <row r="22">
      <c r="A22" s="56">
        <f>IF(NOT((COUNTA($B22:$D22)+COUNTA($G22:$L22)+COUNTA($Q22))&gt;0),"",IF($V22="Macro",COUNTIFS($V$5:$V22,"Macro",$S$5:$S22,$S22),IF(N($U22)=0,"?",COUNTIFS(INDEX($V$5:$V$1000,1):INDEX($V$5:$V$1000,$U22-4),"Macro",INDEX($S$5:$S$1000,1):INDEX($S$5:$S$1000,$U22-4),INDEX($S$5:$S$1000,$U22-4))&amp;"."&amp;COUNTIFS($U$5:$U22,$U22,$V$5:$V22,"Sub"))))</f>
        <v/>
      </c>
      <c r="B22" s="57" t="n"/>
      <c r="C22" s="58" t="n"/>
      <c r="D22" s="58" t="n"/>
      <c r="E22" s="59">
        <f>IF(N($AL22)&gt;0,INDEX(rIni_ADM,$AL22),"")</f>
        <v/>
      </c>
      <c r="F22" s="59">
        <f>IF(N($AL22)&gt;0,INDEX(rLim_ADM,$AL22),"")</f>
        <v/>
      </c>
      <c r="G22" s="59" t="n"/>
      <c r="H22" s="60" t="n"/>
      <c r="I22" s="60" t="n"/>
      <c r="J22" s="60" t="n"/>
      <c r="K22" s="60" t="n"/>
      <c r="L22" s="60" t="n"/>
      <c r="M22" s="61">
        <f>IF(NOT((COUNTA($B22:$D22)+COUNTA($G22:$L22)+COUNTA($Q22))&gt;0),"",IF($V22="Sub",IFERROR($X22/INDEX($W$5:$W$1000,$U22-4),""),IF(ISNUMBER($G22),1,IF(N($W22)&gt;0,AVERAGEIFS($X$5:$X$1000,$U$5:$U$1000,ROW(),$V$5:$V$1000,"Sub"),$X22))))</f>
        <v/>
      </c>
      <c r="N22" s="56">
        <f>IF(OR($M22="",$V22="Sub"),"",IF($M22&gt;=1,"Completado",IF($M22&gt;0,"En curso","Pendiente")))</f>
        <v/>
      </c>
      <c r="O22" s="56">
        <f>IF(OR(NOT((COUNTA($B22:$D22)+COUNTA($G22:$L22)+COUNTA($Q22))&gt;0),$V22="Sub"),"",IF(ISNUMBER($G22),IF(AND(ISNUMBER($AN22),$G22&gt;$AN22),"Cumplida con "&amp;($G22-$AN22)&amp;IF($G22-$AN22=1," día"," días")&amp;" de retraso","Cumplida"),IF(N($M22)&gt;=1,"Cumplida",IF(NOT(ISNUMBER($AN22)),"Sin fecha límite",IF($AN22&lt;FechaRef,"Vencida hace "&amp;(FechaRef-$AN22)&amp;IF(FechaRef-$AN22=1," día"," días"),IF($AN22=FechaRef,"Vence hoy",IF($AN22-FechaRef&lt;=DiasAlerta,"Vence en "&amp;($AN22-FechaRef)&amp;IF($AN22-FechaRef=1," día"," días"),"En plazo")))))))</f>
        <v/>
      </c>
      <c r="P22" s="62" t="n"/>
      <c r="Q22" s="58" t="n"/>
      <c r="R22" s="63">
        <f>IF(NOT((COUNTA($B22:$D22)+COUNTA($G22:$L22)+COUNTA($Q22))&gt;0),"",IF((IF($C22="","Falta el nombre de la actividad"&amp;" · ","")&amp;IF(AND($V22="Sub",N($U22)=0),"Subactividad sin macroactividad arriba"&amp;" · ","")&amp;IF($AM22="","Sin fecha de inicio"&amp;" · ","")&amp;IF($AN22="","Sin fecha límite"&amp;" · ","")&amp;IF(AND(LEFT($C22,11)="[Jefatura] ",N($AL22)=0),"No se encuentra en la hoja de la jefatura (elíjala de nuevo en la lista)"&amp;" · ","")&amp;IF(OR(AND($E22&lt;&gt;"",NOT(ISNUMBER($E22))),AND($F22&lt;&gt;"",NOT(ISNUMBER($F22))),AND($G22&lt;&gt;"",NOT(ISNUMBER($G22)))),"Fecha no válida"&amp;" · ","")&amp;IF(AND(ISNUMBER($AM22),ISNUMBER($AN22),$AM22&gt;$AN22),"Inicio posterior a fecha límite"&amp;" · ","")&amp;IF(AND($V22="Macro",$H22&lt;&gt;"",OR(NOT(ISNUMBER($H22)),$H22&lt;0,$H22&gt;1)),"Peso fuera de rango"&amp;" · ","")&amp;IF(AND($V22="Sub",$H22&lt;&gt;""),"Las subactividades no llevan peso (valen igual dentro de su macroactividad)"&amp;" · ","")&amp;IF(AND(N($W22)&gt;0,COUNT($I22:$L22)&gt;0),"Con subactividades: deje vacías las semanas (se calculan solas)"&amp;" · ","")&amp;IF((COUNTIF($I22:$L22,"&gt;1")+COUNTIF($I22:$L22,"&lt;0")+COUNTA($I22:$L22)-COUNT($I22:$L22))&gt;0,"Avance fuera de rango 0-100%"&amp;" · ","")&amp;IF(OR(AND($J22&lt;&gt;"",$J22&lt;$I22),AND($K22&lt;&gt;"",$K22&lt;MAX($I22:$J22)),AND($L22&lt;&gt;"",$L22&lt;MAX($I22:$K22))),"Avance semanal decreciente"&amp;" · ","")&amp;IF(AND(ISNUMBER($AN22),$AN22&lt;FechaRef,IF($V22="Sub",N($X22),N($M22))&lt;1),"Vencida"&amp;" · ","")&amp;IF(AND(ObsObligatoria="Sí",ISNUMBER($AN22),$AN22&lt;FechaRef,IF($V22="Sub",N($X22),N($M22))&lt;1,$Q22=""),"Vencida sin observación"&amp;" · ",""))="","✔ OK","⚠ "&amp;LEFT(IF($C22="","Falta el nombre de la actividad"&amp;" · ","")&amp;IF(AND($V22="Sub",N($U22)=0),"Subactividad sin macroactividad arriba"&amp;" · ","")&amp;IF($AM22="","Sin fecha de inicio"&amp;" · ","")&amp;IF($AN22="","Sin fecha límite"&amp;" · ","")&amp;IF(AND(LEFT($C22,11)="[Jefatura] ",N($AL22)=0),"No se encuentra en la hoja de la jefatura (elíjala de nuevo en la lista)"&amp;" · ","")&amp;IF(OR(AND($E22&lt;&gt;"",NOT(ISNUMBER($E22))),AND($F22&lt;&gt;"",NOT(ISNUMBER($F22))),AND($G22&lt;&gt;"",NOT(ISNUMBER($G22)))),"Fecha no válida"&amp;" · ","")&amp;IF(AND(ISNUMBER($AM22),ISNUMBER($AN22),$AM22&gt;$AN22),"Inicio posterior a fecha límite"&amp;" · ","")&amp;IF(AND($V22="Macro",$H22&lt;&gt;"",OR(NOT(ISNUMBER($H22)),$H22&lt;0,$H22&gt;1)),"Peso fuera de rango"&amp;" · ","")&amp;IF(AND($V22="Sub",$H22&lt;&gt;""),"Las subactividades no llevan peso (valen igual dentro de su macroactividad)"&amp;" · ","")&amp;IF(AND(N($W22)&gt;0,COUNT($I22:$L22)&gt;0),"Con subactividades: deje vacías las semanas (se calculan solas)"&amp;" · ","")&amp;IF((COUNTIF($I22:$L22,"&gt;1")+COUNTIF($I22:$L22,"&lt;0")+COUNTA($I22:$L22)-COUNT($I22:$L22))&gt;0,"Avance fuera de rango 0-100%"&amp;" · ","")&amp;IF(OR(AND($J22&lt;&gt;"",$J22&lt;$I22),AND($K22&lt;&gt;"",$K22&lt;MAX($I22:$J22)),AND($L22&lt;&gt;"",$L22&lt;MAX($I22:$K22))),"Avance semanal decreciente"&amp;" · ","")&amp;IF(AND(ISNUMBER($AN22),$AN22&lt;FechaRef,IF($V22="Sub",N($X22),N($M22))&lt;1),"Vencida"&amp;" · ","")&amp;IF(AND(ObsObligatoria="Sí",ISNUMBER($AN22),$AN22&lt;FechaRef,IF($V22="Sub",N($X22),N($M22))&lt;1,$Q22=""),"Vencida sin observación"&amp;" · ",""),LEN(IF($C22="","Falta el nombre de la actividad"&amp;" · ","")&amp;IF(AND($V22="Sub",N($U22)=0),"Subactividad sin macroactividad arriba"&amp;" · ","")&amp;IF($AM22="","Sin fecha de inicio"&amp;" · ","")&amp;IF($AN22="","Sin fecha límite"&amp;" · ","")&amp;IF(AND(LEFT($C22,11)="[Jefatura] ",N($AL22)=0),"No se encuentra en la hoja de la jefatura (elíjala de nuevo en la lista)"&amp;" · ","")&amp;IF(OR(AND($E22&lt;&gt;"",NOT(ISNUMBER($E22))),AND($F22&lt;&gt;"",NOT(ISNUMBER($F22))),AND($G22&lt;&gt;"",NOT(ISNUMBER($G22)))),"Fecha no válida"&amp;" · ","")&amp;IF(AND(ISNUMBER($AM22),ISNUMBER($AN22),$AM22&gt;$AN22),"Inicio posterior a fecha límite"&amp;" · ","")&amp;IF(AND($V22="Macro",$H22&lt;&gt;"",OR(NOT(ISNUMBER($H22)),$H22&lt;0,$H22&gt;1)),"Peso fuera de rango"&amp;" · ","")&amp;IF(AND($V22="Sub",$H22&lt;&gt;""),"Las subactividades no llevan peso (valen igual dentro de su macroactividad)"&amp;" · ","")&amp;IF(AND(N($W22)&gt;0,COUNT($I22:$L22)&gt;0),"Con subactividades: deje vacías las semanas (se calculan solas)"&amp;" · ","")&amp;IF((COUNTIF($I22:$L22,"&gt;1")+COUNTIF($I22:$L22,"&lt;0")+COUNTA($I22:$L22)-COUNT($I22:$L22))&gt;0,"Avance fuera de rango 0-100%"&amp;" · ","")&amp;IF(OR(AND($J22&lt;&gt;"",$J22&lt;$I22),AND($K22&lt;&gt;"",$K22&lt;MAX($I22:$J22)),AND($L22&lt;&gt;"",$L22&lt;MAX($I22:$K22))),"Avance semanal decreciente"&amp;" · ","")&amp;IF(AND(ISNUMBER($AN22),$AN22&lt;FechaRef,IF($V22="Sub",N($X22),N($M22))&lt;1),"Vencida"&amp;" · ","")&amp;IF(AND(ObsObligatoria="Sí",ISNUMBER($AN22),$AN22&lt;FechaRef,IF($V22="Sub",N($X22),N($M22))&lt;1,$Q22=""),"Vencida sin observación"&amp;" · ",""))-3)))</f>
        <v/>
      </c>
      <c r="S22" s="64">
        <f>IF(NOT((COUNTA($B22:$D22)+COUNTA($G22:$L22)+COUNTA($Q22))&gt;0),"",IF(AND($V22="Sub",N($U22)&gt;0),IF(ISNUMBER(INDEX($AM$5:$AM$1000,$U22-4)),DATE(YEAR(INDEX($AM$5:$AM$1000,$U22-4)),MONTH(INDEX($AM$5:$AM$1000,$U22-4)),1),IF(ISNUMBER(INDEX($AN$5:$AN$1000,$U22-4)),DATE(YEAR(INDEX($AN$5:$AN$1000,$U22-4)),MONTH(INDEX($AN$5:$AN$1000,$U22-4)),1),MesCiclo)),IF(ISNUMBER($AM22),DATE(YEAR($AM22),MONTH($AM22),1),IF(ISNUMBER($AN22),DATE(YEAR($AN22),MONTH($AN22),1),MesCiclo))))</f>
        <v/>
      </c>
      <c r="T22" s="62">
        <f>IF(OR($S22="",$S22&lt;&gt;MesCiclo,$V22&lt;&gt;"Macro"),"",COUNTIFS($S$5:$S22,MesCiclo,$V$5:$V22,"Macro"))</f>
        <v/>
      </c>
      <c r="U22" s="62">
        <f>IF($V22="","",IF($V22="Macro",ROW(),IFERROR(LOOKUP(2,1/($V$5:$V22="Macro"),ROW($V$5:$V22)),0)))</f>
        <v/>
      </c>
      <c r="V22" s="62">
        <f>IF(NOT((COUNTA($B22:$D22)+COUNTA($G22:$L22)+COUNTA($Q22))&gt;0),"",IF($B22="Subactividad","Sub","Macro"))</f>
        <v/>
      </c>
      <c r="W22" s="62">
        <f>IF($V22="Macro",COUNTIFS($U$5:$U$1000,ROW(),$V$5:$V$1000,"Sub"),"")</f>
        <v/>
      </c>
      <c r="X22" s="62">
        <f>IF($V22="","",IF(ISNUMBER($G22),1,IFERROR(LOOKUP(2,1/($I22:$L22&lt;&gt;""),$I22:$L22),0)))</f>
        <v/>
      </c>
      <c r="Y22" s="62">
        <f>IF($V22="","",IF(AND(ISNUMBER($G22),$G22&lt;=IF($S22=MesCiclo,InicioCiclo,$S22+MOD(2-WEEKDAY($S22),7))+6),1,IF(ISNUMBER($I22),$I22,0)))</f>
        <v/>
      </c>
      <c r="Z22" s="62">
        <f>IF($V22="","",IF(AND(ISNUMBER($G22),$G22&lt;=IF($S22=MesCiclo,InicioCiclo,$S22+MOD(2-WEEKDAY($S22),7))+13),1,IF(ISNUMBER($J22),$J22,$Y22)))</f>
        <v/>
      </c>
      <c r="AA22" s="62">
        <f>IF($V22="","",IF(AND(ISNUMBER($G22),$G22&lt;=IF($S22=MesCiclo,InicioCiclo,$S22+MOD(2-WEEKDAY($S22),7))+20),1,IF(ISNUMBER($K22),$K22,$Z22)))</f>
        <v/>
      </c>
      <c r="AB22" s="62">
        <f>IF($V22="","",IF(AND(ISNUMBER($G22),$G22&lt;=IF($S22=MesCiclo,InicioCiclo,$S22+MOD(2-WEEKDAY($S22),7))+27),1,IF(ISNUMBER($L22),$L22,$AA22)))</f>
        <v/>
      </c>
      <c r="AC22" s="62">
        <f>IF($V22="","",IF(AND(ISNUMBER($G22),$G22&lt;=IF($S22=MesCiclo,InicioCiclo,$S22+MOD(2-WEEKDAY($S22),7))+6),1,IF(N($W22)&gt;0,AVERAGEIFS($Y$5:$Y$1000,$U$5:$U$1000,ROW(),$V$5:$V$1000,"Sub"),$Y22)))</f>
        <v/>
      </c>
      <c r="AD22" s="62">
        <f>IF($V22="","",IF(AND(ISNUMBER($G22),$G22&lt;=IF($S22=MesCiclo,InicioCiclo,$S22+MOD(2-WEEKDAY($S22),7))+13),1,IF(N($W22)&gt;0,AVERAGEIFS($Z$5:$Z$1000,$U$5:$U$1000,ROW(),$V$5:$V$1000,"Sub"),$Z22)))</f>
        <v/>
      </c>
      <c r="AE22" s="62">
        <f>IF($V22="","",IF(AND(ISNUMBER($G22),$G22&lt;=IF($S22=MesCiclo,InicioCiclo,$S22+MOD(2-WEEKDAY($S22),7))+20),1,IF(N($W22)&gt;0,AVERAGEIFS($AA$5:$AA$1000,$U$5:$U$1000,ROW(),$V$5:$V$1000,"Sub"),$AA22)))</f>
        <v/>
      </c>
      <c r="AF22" s="62">
        <f>IF($V22="","",IF(AND(ISNUMBER($G22),$G22&lt;=IF($S22=MesCiclo,InicioCiclo,$S22+MOD(2-WEEKDAY($S22),7))+27),1,IF(N($W22)&gt;0,AVERAGEIFS($AB$5:$AB$1000,$U$5:$U$1000,ROW(),$V$5:$V$1000,"Sub"),$AB22)))</f>
        <v/>
      </c>
      <c r="AG22" s="62">
        <f>IF($V22&lt;&gt;"Macro","",IF(COUNTIFS($S$5:$S$1000,$S22,$V$5:$V$1000,"Macro",$H$5:$H$1000,"&gt;0")=0,1/COUNTIFS($S$5:$S$1000,$S22,$V$5:$V$1000,"Macro"),IF(AND(ISNUMBER($H22),N($H22)&gt;0),$H22,SUMIFS($H$5:$H$1000,$S$5:$S$1000,$S22,$V$5:$V$1000,"Macro")/COUNTIFS($S$5:$S$1000,$S22,$V$5:$V$1000,"Macro",$H$5:$H$1000,"&gt;0"))/(COUNTIFS($S$5:$S$1000,$S22,$V$5:$V$1000,"Macro")*SUMIFS($H$5:$H$1000,$S$5:$S$1000,$S22,$V$5:$V$1000,"Macro")/COUNTIFS($S$5:$S$1000,$S22,$V$5:$V$1000,"Macro",$H$5:$H$1000,"&gt;0"))))</f>
        <v/>
      </c>
      <c r="AH22" s="62" t="n"/>
      <c r="AI22" s="62" t="n"/>
      <c r="AJ22" s="62" t="n"/>
      <c r="AK22" s="62" t="n"/>
      <c r="AL22" s="62">
        <f>IF(LEFT($C22,11)="[Jefatura] ",IFERROR(MATCH("Riesgo Operacional|"&amp;MID($C22,12,500),rDname_ADM,0),0),"")</f>
        <v/>
      </c>
      <c r="AM22" s="62">
        <f>IF(N($AL22)&gt;0,INDEX(rIni_ADM,$AL22),IF(ISNUMBER($E22),$E22,""))</f>
        <v/>
      </c>
      <c r="AN22" s="62">
        <f>IF(N($AL22)&gt;0,INDEX(rLim_ADM,$AL22),IF(ISNUMBER($F22),$F22,""))</f>
        <v/>
      </c>
    </row>
    <row r="23">
      <c r="A23" s="56">
        <f>IF(NOT((COUNTA($B23:$D23)+COUNTA($G23:$L23)+COUNTA($Q23))&gt;0),"",IF($V23="Macro",COUNTIFS($V$5:$V23,"Macro",$S$5:$S23,$S23),IF(N($U23)=0,"?",COUNTIFS(INDEX($V$5:$V$1000,1):INDEX($V$5:$V$1000,$U23-4),"Macro",INDEX($S$5:$S$1000,1):INDEX($S$5:$S$1000,$U23-4),INDEX($S$5:$S$1000,$U23-4))&amp;"."&amp;COUNTIFS($U$5:$U23,$U23,$V$5:$V23,"Sub"))))</f>
        <v/>
      </c>
      <c r="B23" s="57" t="n"/>
      <c r="C23" s="58" t="n"/>
      <c r="D23" s="58" t="n"/>
      <c r="E23" s="59">
        <f>IF(N($AL23)&gt;0,INDEX(rIni_ADM,$AL23),"")</f>
        <v/>
      </c>
      <c r="F23" s="59">
        <f>IF(N($AL23)&gt;0,INDEX(rLim_ADM,$AL23),"")</f>
        <v/>
      </c>
      <c r="G23" s="59" t="n"/>
      <c r="H23" s="60" t="n"/>
      <c r="I23" s="60" t="n"/>
      <c r="J23" s="60" t="n"/>
      <c r="K23" s="60" t="n"/>
      <c r="L23" s="60" t="n"/>
      <c r="M23" s="61">
        <f>IF(NOT((COUNTA($B23:$D23)+COUNTA($G23:$L23)+COUNTA($Q23))&gt;0),"",IF($V23="Sub",IFERROR($X23/INDEX($W$5:$W$1000,$U23-4),""),IF(ISNUMBER($G23),1,IF(N($W23)&gt;0,AVERAGEIFS($X$5:$X$1000,$U$5:$U$1000,ROW(),$V$5:$V$1000,"Sub"),$X23))))</f>
        <v/>
      </c>
      <c r="N23" s="56">
        <f>IF(OR($M23="",$V23="Sub"),"",IF($M23&gt;=1,"Completado",IF($M23&gt;0,"En curso","Pendiente")))</f>
        <v/>
      </c>
      <c r="O23" s="56">
        <f>IF(OR(NOT((COUNTA($B23:$D23)+COUNTA($G23:$L23)+COUNTA($Q23))&gt;0),$V23="Sub"),"",IF(ISNUMBER($G23),IF(AND(ISNUMBER($AN23),$G23&gt;$AN23),"Cumplida con "&amp;($G23-$AN23)&amp;IF($G23-$AN23=1," día"," días")&amp;" de retraso","Cumplida"),IF(N($M23)&gt;=1,"Cumplida",IF(NOT(ISNUMBER($AN23)),"Sin fecha límite",IF($AN23&lt;FechaRef,"Vencida hace "&amp;(FechaRef-$AN23)&amp;IF(FechaRef-$AN23=1," día"," días"),IF($AN23=FechaRef,"Vence hoy",IF($AN23-FechaRef&lt;=DiasAlerta,"Vence en "&amp;($AN23-FechaRef)&amp;IF($AN23-FechaRef=1," día"," días"),"En plazo")))))))</f>
        <v/>
      </c>
      <c r="P23" s="62" t="n"/>
      <c r="Q23" s="58" t="n"/>
      <c r="R23" s="63">
        <f>IF(NOT((COUNTA($B23:$D23)+COUNTA($G23:$L23)+COUNTA($Q23))&gt;0),"",IF((IF($C23="","Falta el nombre de la actividad"&amp;" · ","")&amp;IF(AND($V23="Sub",N($U23)=0),"Subactividad sin macroactividad arriba"&amp;" · ","")&amp;IF($AM23="","Sin fecha de inicio"&amp;" · ","")&amp;IF($AN23="","Sin fecha límite"&amp;" · ","")&amp;IF(AND(LEFT($C23,11)="[Jefatura] ",N($AL23)=0),"No se encuentra en la hoja de la jefatura (elíjala de nuevo en la lista)"&amp;" · ","")&amp;IF(OR(AND($E23&lt;&gt;"",NOT(ISNUMBER($E23))),AND($F23&lt;&gt;"",NOT(ISNUMBER($F23))),AND($G23&lt;&gt;"",NOT(ISNUMBER($G23)))),"Fecha no válida"&amp;" · ","")&amp;IF(AND(ISNUMBER($AM23),ISNUMBER($AN23),$AM23&gt;$AN23),"Inicio posterior a fecha límite"&amp;" · ","")&amp;IF(AND($V23="Macro",$H23&lt;&gt;"",OR(NOT(ISNUMBER($H23)),$H23&lt;0,$H23&gt;1)),"Peso fuera de rango"&amp;" · ","")&amp;IF(AND($V23="Sub",$H23&lt;&gt;""),"Las subactividades no llevan peso (valen igual dentro de su macroactividad)"&amp;" · ","")&amp;IF(AND(N($W23)&gt;0,COUNT($I23:$L23)&gt;0),"Con subactividades: deje vacías las semanas (se calculan solas)"&amp;" · ","")&amp;IF((COUNTIF($I23:$L23,"&gt;1")+COUNTIF($I23:$L23,"&lt;0")+COUNTA($I23:$L23)-COUNT($I23:$L23))&gt;0,"Avance fuera de rango 0-100%"&amp;" · ","")&amp;IF(OR(AND($J23&lt;&gt;"",$J23&lt;$I23),AND($K23&lt;&gt;"",$K23&lt;MAX($I23:$J23)),AND($L23&lt;&gt;"",$L23&lt;MAX($I23:$K23))),"Avance semanal decreciente"&amp;" · ","")&amp;IF(AND(ISNUMBER($AN23),$AN23&lt;FechaRef,IF($V23="Sub",N($X23),N($M23))&lt;1),"Vencida"&amp;" · ","")&amp;IF(AND(ObsObligatoria="Sí",ISNUMBER($AN23),$AN23&lt;FechaRef,IF($V23="Sub",N($X23),N($M23))&lt;1,$Q23=""),"Vencida sin observación"&amp;" · ",""))="","✔ OK","⚠ "&amp;LEFT(IF($C23="","Falta el nombre de la actividad"&amp;" · ","")&amp;IF(AND($V23="Sub",N($U23)=0),"Subactividad sin macroactividad arriba"&amp;" · ","")&amp;IF($AM23="","Sin fecha de inicio"&amp;" · ","")&amp;IF($AN23="","Sin fecha límite"&amp;" · ","")&amp;IF(AND(LEFT($C23,11)="[Jefatura] ",N($AL23)=0),"No se encuentra en la hoja de la jefatura (elíjala de nuevo en la lista)"&amp;" · ","")&amp;IF(OR(AND($E23&lt;&gt;"",NOT(ISNUMBER($E23))),AND($F23&lt;&gt;"",NOT(ISNUMBER($F23))),AND($G23&lt;&gt;"",NOT(ISNUMBER($G23)))),"Fecha no válida"&amp;" · ","")&amp;IF(AND(ISNUMBER($AM23),ISNUMBER($AN23),$AM23&gt;$AN23),"Inicio posterior a fecha límite"&amp;" · ","")&amp;IF(AND($V23="Macro",$H23&lt;&gt;"",OR(NOT(ISNUMBER($H23)),$H23&lt;0,$H23&gt;1)),"Peso fuera de rango"&amp;" · ","")&amp;IF(AND($V23="Sub",$H23&lt;&gt;""),"Las subactividades no llevan peso (valen igual dentro de su macroactividad)"&amp;" · ","")&amp;IF(AND(N($W23)&gt;0,COUNT($I23:$L23)&gt;0),"Con subactividades: deje vacías las semanas (se calculan solas)"&amp;" · ","")&amp;IF((COUNTIF($I23:$L23,"&gt;1")+COUNTIF($I23:$L23,"&lt;0")+COUNTA($I23:$L23)-COUNT($I23:$L23))&gt;0,"Avance fuera de rango 0-100%"&amp;" · ","")&amp;IF(OR(AND($J23&lt;&gt;"",$J23&lt;$I23),AND($K23&lt;&gt;"",$K23&lt;MAX($I23:$J23)),AND($L23&lt;&gt;"",$L23&lt;MAX($I23:$K23))),"Avance semanal decreciente"&amp;" · ","")&amp;IF(AND(ISNUMBER($AN23),$AN23&lt;FechaRef,IF($V23="Sub",N($X23),N($M23))&lt;1),"Vencida"&amp;" · ","")&amp;IF(AND(ObsObligatoria="Sí",ISNUMBER($AN23),$AN23&lt;FechaRef,IF($V23="Sub",N($X23),N($M23))&lt;1,$Q23=""),"Vencida sin observación"&amp;" · ",""),LEN(IF($C23="","Falta el nombre de la actividad"&amp;" · ","")&amp;IF(AND($V23="Sub",N($U23)=0),"Subactividad sin macroactividad arriba"&amp;" · ","")&amp;IF($AM23="","Sin fecha de inicio"&amp;" · ","")&amp;IF($AN23="","Sin fecha límite"&amp;" · ","")&amp;IF(AND(LEFT($C23,11)="[Jefatura] ",N($AL23)=0),"No se encuentra en la hoja de la jefatura (elíjala de nuevo en la lista)"&amp;" · ","")&amp;IF(OR(AND($E23&lt;&gt;"",NOT(ISNUMBER($E23))),AND($F23&lt;&gt;"",NOT(ISNUMBER($F23))),AND($G23&lt;&gt;"",NOT(ISNUMBER($G23)))),"Fecha no válida"&amp;" · ","")&amp;IF(AND(ISNUMBER($AM23),ISNUMBER($AN23),$AM23&gt;$AN23),"Inicio posterior a fecha límite"&amp;" · ","")&amp;IF(AND($V23="Macro",$H23&lt;&gt;"",OR(NOT(ISNUMBER($H23)),$H23&lt;0,$H23&gt;1)),"Peso fuera de rango"&amp;" · ","")&amp;IF(AND($V23="Sub",$H23&lt;&gt;""),"Las subactividades no llevan peso (valen igual dentro de su macroactividad)"&amp;" · ","")&amp;IF(AND(N($W23)&gt;0,COUNT($I23:$L23)&gt;0),"Con subactividades: deje vacías las semanas (se calculan solas)"&amp;" · ","")&amp;IF((COUNTIF($I23:$L23,"&gt;1")+COUNTIF($I23:$L23,"&lt;0")+COUNTA($I23:$L23)-COUNT($I23:$L23))&gt;0,"Avance fuera de rango 0-100%"&amp;" · ","")&amp;IF(OR(AND($J23&lt;&gt;"",$J23&lt;$I23),AND($K23&lt;&gt;"",$K23&lt;MAX($I23:$J23)),AND($L23&lt;&gt;"",$L23&lt;MAX($I23:$K23))),"Avance semanal decreciente"&amp;" · ","")&amp;IF(AND(ISNUMBER($AN23),$AN23&lt;FechaRef,IF($V23="Sub",N($X23),N($M23))&lt;1),"Vencida"&amp;" · ","")&amp;IF(AND(ObsObligatoria="Sí",ISNUMBER($AN23),$AN23&lt;FechaRef,IF($V23="Sub",N($X23),N($M23))&lt;1,$Q23=""),"Vencida sin observación"&amp;" · ",""))-3)))</f>
        <v/>
      </c>
      <c r="S23" s="64">
        <f>IF(NOT((COUNTA($B23:$D23)+COUNTA($G23:$L23)+COUNTA($Q23))&gt;0),"",IF(AND($V23="Sub",N($U23)&gt;0),IF(ISNUMBER(INDEX($AM$5:$AM$1000,$U23-4)),DATE(YEAR(INDEX($AM$5:$AM$1000,$U23-4)),MONTH(INDEX($AM$5:$AM$1000,$U23-4)),1),IF(ISNUMBER(INDEX($AN$5:$AN$1000,$U23-4)),DATE(YEAR(INDEX($AN$5:$AN$1000,$U23-4)),MONTH(INDEX($AN$5:$AN$1000,$U23-4)),1),MesCiclo)),IF(ISNUMBER($AM23),DATE(YEAR($AM23),MONTH($AM23),1),IF(ISNUMBER($AN23),DATE(YEAR($AN23),MONTH($AN23),1),MesCiclo))))</f>
        <v/>
      </c>
      <c r="T23" s="62">
        <f>IF(OR($S23="",$S23&lt;&gt;MesCiclo,$V23&lt;&gt;"Macro"),"",COUNTIFS($S$5:$S23,MesCiclo,$V$5:$V23,"Macro"))</f>
        <v/>
      </c>
      <c r="U23" s="62">
        <f>IF($V23="","",IF($V23="Macro",ROW(),IFERROR(LOOKUP(2,1/($V$5:$V23="Macro"),ROW($V$5:$V23)),0)))</f>
        <v/>
      </c>
      <c r="V23" s="62">
        <f>IF(NOT((COUNTA($B23:$D23)+COUNTA($G23:$L23)+COUNTA($Q23))&gt;0),"",IF($B23="Subactividad","Sub","Macro"))</f>
        <v/>
      </c>
      <c r="W23" s="62">
        <f>IF($V23="Macro",COUNTIFS($U$5:$U$1000,ROW(),$V$5:$V$1000,"Sub"),"")</f>
        <v/>
      </c>
      <c r="X23" s="62">
        <f>IF($V23="","",IF(ISNUMBER($G23),1,IFERROR(LOOKUP(2,1/($I23:$L23&lt;&gt;""),$I23:$L23),0)))</f>
        <v/>
      </c>
      <c r="Y23" s="62">
        <f>IF($V23="","",IF(AND(ISNUMBER($G23),$G23&lt;=IF($S23=MesCiclo,InicioCiclo,$S23+MOD(2-WEEKDAY($S23),7))+6),1,IF(ISNUMBER($I23),$I23,0)))</f>
        <v/>
      </c>
      <c r="Z23" s="62">
        <f>IF($V23="","",IF(AND(ISNUMBER($G23),$G23&lt;=IF($S23=MesCiclo,InicioCiclo,$S23+MOD(2-WEEKDAY($S23),7))+13),1,IF(ISNUMBER($J23),$J23,$Y23)))</f>
        <v/>
      </c>
      <c r="AA23" s="62">
        <f>IF($V23="","",IF(AND(ISNUMBER($G23),$G23&lt;=IF($S23=MesCiclo,InicioCiclo,$S23+MOD(2-WEEKDAY($S23),7))+20),1,IF(ISNUMBER($K23),$K23,$Z23)))</f>
        <v/>
      </c>
      <c r="AB23" s="62">
        <f>IF($V23="","",IF(AND(ISNUMBER($G23),$G23&lt;=IF($S23=MesCiclo,InicioCiclo,$S23+MOD(2-WEEKDAY($S23),7))+27),1,IF(ISNUMBER($L23),$L23,$AA23)))</f>
        <v/>
      </c>
      <c r="AC23" s="62">
        <f>IF($V23="","",IF(AND(ISNUMBER($G23),$G23&lt;=IF($S23=MesCiclo,InicioCiclo,$S23+MOD(2-WEEKDAY($S23),7))+6),1,IF(N($W23)&gt;0,AVERAGEIFS($Y$5:$Y$1000,$U$5:$U$1000,ROW(),$V$5:$V$1000,"Sub"),$Y23)))</f>
        <v/>
      </c>
      <c r="AD23" s="62">
        <f>IF($V23="","",IF(AND(ISNUMBER($G23),$G23&lt;=IF($S23=MesCiclo,InicioCiclo,$S23+MOD(2-WEEKDAY($S23),7))+13),1,IF(N($W23)&gt;0,AVERAGEIFS($Z$5:$Z$1000,$U$5:$U$1000,ROW(),$V$5:$V$1000,"Sub"),$Z23)))</f>
        <v/>
      </c>
      <c r="AE23" s="62">
        <f>IF($V23="","",IF(AND(ISNUMBER($G23),$G23&lt;=IF($S23=MesCiclo,InicioCiclo,$S23+MOD(2-WEEKDAY($S23),7))+20),1,IF(N($W23)&gt;0,AVERAGEIFS($AA$5:$AA$1000,$U$5:$U$1000,ROW(),$V$5:$V$1000,"Sub"),$AA23)))</f>
        <v/>
      </c>
      <c r="AF23" s="62">
        <f>IF($V23="","",IF(AND(ISNUMBER($G23),$G23&lt;=IF($S23=MesCiclo,InicioCiclo,$S23+MOD(2-WEEKDAY($S23),7))+27),1,IF(N($W23)&gt;0,AVERAGEIFS($AB$5:$AB$1000,$U$5:$U$1000,ROW(),$V$5:$V$1000,"Sub"),$AB23)))</f>
        <v/>
      </c>
      <c r="AG23" s="62">
        <f>IF($V23&lt;&gt;"Macro","",IF(COUNTIFS($S$5:$S$1000,$S23,$V$5:$V$1000,"Macro",$H$5:$H$1000,"&gt;0")=0,1/COUNTIFS($S$5:$S$1000,$S23,$V$5:$V$1000,"Macro"),IF(AND(ISNUMBER($H23),N($H23)&gt;0),$H23,SUMIFS($H$5:$H$1000,$S$5:$S$1000,$S23,$V$5:$V$1000,"Macro")/COUNTIFS($S$5:$S$1000,$S23,$V$5:$V$1000,"Macro",$H$5:$H$1000,"&gt;0"))/(COUNTIFS($S$5:$S$1000,$S23,$V$5:$V$1000,"Macro")*SUMIFS($H$5:$H$1000,$S$5:$S$1000,$S23,$V$5:$V$1000,"Macro")/COUNTIFS($S$5:$S$1000,$S23,$V$5:$V$1000,"Macro",$H$5:$H$1000,"&gt;0"))))</f>
        <v/>
      </c>
      <c r="AH23" s="62" t="n"/>
      <c r="AI23" s="62" t="n"/>
      <c r="AJ23" s="62" t="n"/>
      <c r="AK23" s="62" t="n"/>
      <c r="AL23" s="62">
        <f>IF(LEFT($C23,11)="[Jefatura] ",IFERROR(MATCH("Riesgo Operacional|"&amp;MID($C23,12,500),rDname_ADM,0),0),"")</f>
        <v/>
      </c>
      <c r="AM23" s="62">
        <f>IF(N($AL23)&gt;0,INDEX(rIni_ADM,$AL23),IF(ISNUMBER($E23),$E23,""))</f>
        <v/>
      </c>
      <c r="AN23" s="62">
        <f>IF(N($AL23)&gt;0,INDEX(rLim_ADM,$AL23),IF(ISNUMBER($F23),$F23,""))</f>
        <v/>
      </c>
    </row>
    <row r="24">
      <c r="A24" s="56">
        <f>IF(NOT((COUNTA($B24:$D24)+COUNTA($G24:$L24)+COUNTA($Q24))&gt;0),"",IF($V24="Macro",COUNTIFS($V$5:$V24,"Macro",$S$5:$S24,$S24),IF(N($U24)=0,"?",COUNTIFS(INDEX($V$5:$V$1000,1):INDEX($V$5:$V$1000,$U24-4),"Macro",INDEX($S$5:$S$1000,1):INDEX($S$5:$S$1000,$U24-4),INDEX($S$5:$S$1000,$U24-4))&amp;"."&amp;COUNTIFS($U$5:$U24,$U24,$V$5:$V24,"Sub"))))</f>
        <v/>
      </c>
      <c r="B24" s="57" t="n"/>
      <c r="C24" s="58" t="n"/>
      <c r="D24" s="58" t="n"/>
      <c r="E24" s="59">
        <f>IF(N($AL24)&gt;0,INDEX(rIni_ADM,$AL24),"")</f>
        <v/>
      </c>
      <c r="F24" s="59">
        <f>IF(N($AL24)&gt;0,INDEX(rLim_ADM,$AL24),"")</f>
        <v/>
      </c>
      <c r="G24" s="59" t="n"/>
      <c r="H24" s="60" t="n"/>
      <c r="I24" s="60" t="n"/>
      <c r="J24" s="60" t="n"/>
      <c r="K24" s="60" t="n"/>
      <c r="L24" s="60" t="n"/>
      <c r="M24" s="61">
        <f>IF(NOT((COUNTA($B24:$D24)+COUNTA($G24:$L24)+COUNTA($Q24))&gt;0),"",IF($V24="Sub",IFERROR($X24/INDEX($W$5:$W$1000,$U24-4),""),IF(ISNUMBER($G24),1,IF(N($W24)&gt;0,AVERAGEIFS($X$5:$X$1000,$U$5:$U$1000,ROW(),$V$5:$V$1000,"Sub"),$X24))))</f>
        <v/>
      </c>
      <c r="N24" s="56">
        <f>IF(OR($M24="",$V24="Sub"),"",IF($M24&gt;=1,"Completado",IF($M24&gt;0,"En curso","Pendiente")))</f>
        <v/>
      </c>
      <c r="O24" s="56">
        <f>IF(OR(NOT((COUNTA($B24:$D24)+COUNTA($G24:$L24)+COUNTA($Q24))&gt;0),$V24="Sub"),"",IF(ISNUMBER($G24),IF(AND(ISNUMBER($AN24),$G24&gt;$AN24),"Cumplida con "&amp;($G24-$AN24)&amp;IF($G24-$AN24=1," día"," días")&amp;" de retraso","Cumplida"),IF(N($M24)&gt;=1,"Cumplida",IF(NOT(ISNUMBER($AN24)),"Sin fecha límite",IF($AN24&lt;FechaRef,"Vencida hace "&amp;(FechaRef-$AN24)&amp;IF(FechaRef-$AN24=1," día"," días"),IF($AN24=FechaRef,"Vence hoy",IF($AN24-FechaRef&lt;=DiasAlerta,"Vence en "&amp;($AN24-FechaRef)&amp;IF($AN24-FechaRef=1," día"," días"),"En plazo")))))))</f>
        <v/>
      </c>
      <c r="P24" s="62" t="n"/>
      <c r="Q24" s="58" t="n"/>
      <c r="R24" s="63">
        <f>IF(NOT((COUNTA($B24:$D24)+COUNTA($G24:$L24)+COUNTA($Q24))&gt;0),"",IF((IF($C24="","Falta el nombre de la actividad"&amp;" · ","")&amp;IF(AND($V24="Sub",N($U24)=0),"Subactividad sin macroactividad arriba"&amp;" · ","")&amp;IF($AM24="","Sin fecha de inicio"&amp;" · ","")&amp;IF($AN24="","Sin fecha límite"&amp;" · ","")&amp;IF(AND(LEFT($C24,11)="[Jefatura] ",N($AL24)=0),"No se encuentra en la hoja de la jefatura (elíjala de nuevo en la lista)"&amp;" · ","")&amp;IF(OR(AND($E24&lt;&gt;"",NOT(ISNUMBER($E24))),AND($F24&lt;&gt;"",NOT(ISNUMBER($F24))),AND($G24&lt;&gt;"",NOT(ISNUMBER($G24)))),"Fecha no válida"&amp;" · ","")&amp;IF(AND(ISNUMBER($AM24),ISNUMBER($AN24),$AM24&gt;$AN24),"Inicio posterior a fecha límite"&amp;" · ","")&amp;IF(AND($V24="Macro",$H24&lt;&gt;"",OR(NOT(ISNUMBER($H24)),$H24&lt;0,$H24&gt;1)),"Peso fuera de rango"&amp;" · ","")&amp;IF(AND($V24="Sub",$H24&lt;&gt;""),"Las subactividades no llevan peso (valen igual dentro de su macroactividad)"&amp;" · ","")&amp;IF(AND(N($W24)&gt;0,COUNT($I24:$L24)&gt;0),"Con subactividades: deje vacías las semanas (se calculan solas)"&amp;" · ","")&amp;IF((COUNTIF($I24:$L24,"&gt;1")+COUNTIF($I24:$L24,"&lt;0")+COUNTA($I24:$L24)-COUNT($I24:$L24))&gt;0,"Avance fuera de rango 0-100%"&amp;" · ","")&amp;IF(OR(AND($J24&lt;&gt;"",$J24&lt;$I24),AND($K24&lt;&gt;"",$K24&lt;MAX($I24:$J24)),AND($L24&lt;&gt;"",$L24&lt;MAX($I24:$K24))),"Avance semanal decreciente"&amp;" · ","")&amp;IF(AND(ISNUMBER($AN24),$AN24&lt;FechaRef,IF($V24="Sub",N($X24),N($M24))&lt;1),"Vencida"&amp;" · ","")&amp;IF(AND(ObsObligatoria="Sí",ISNUMBER($AN24),$AN24&lt;FechaRef,IF($V24="Sub",N($X24),N($M24))&lt;1,$Q24=""),"Vencida sin observación"&amp;" · ",""))="","✔ OK","⚠ "&amp;LEFT(IF($C24="","Falta el nombre de la actividad"&amp;" · ","")&amp;IF(AND($V24="Sub",N($U24)=0),"Subactividad sin macroactividad arriba"&amp;" · ","")&amp;IF($AM24="","Sin fecha de inicio"&amp;" · ","")&amp;IF($AN24="","Sin fecha límite"&amp;" · ","")&amp;IF(AND(LEFT($C24,11)="[Jefatura] ",N($AL24)=0),"No se encuentra en la hoja de la jefatura (elíjala de nuevo en la lista)"&amp;" · ","")&amp;IF(OR(AND($E24&lt;&gt;"",NOT(ISNUMBER($E24))),AND($F24&lt;&gt;"",NOT(ISNUMBER($F24))),AND($G24&lt;&gt;"",NOT(ISNUMBER($G24)))),"Fecha no válida"&amp;" · ","")&amp;IF(AND(ISNUMBER($AM24),ISNUMBER($AN24),$AM24&gt;$AN24),"Inicio posterior a fecha límite"&amp;" · ","")&amp;IF(AND($V24="Macro",$H24&lt;&gt;"",OR(NOT(ISNUMBER($H24)),$H24&lt;0,$H24&gt;1)),"Peso fuera de rango"&amp;" · ","")&amp;IF(AND($V24="Sub",$H24&lt;&gt;""),"Las subactividades no llevan peso (valen igual dentro de su macroactividad)"&amp;" · ","")&amp;IF(AND(N($W24)&gt;0,COUNT($I24:$L24)&gt;0),"Con subactividades: deje vacías las semanas (se calculan solas)"&amp;" · ","")&amp;IF((COUNTIF($I24:$L24,"&gt;1")+COUNTIF($I24:$L24,"&lt;0")+COUNTA($I24:$L24)-COUNT($I24:$L24))&gt;0,"Avance fuera de rango 0-100%"&amp;" · ","")&amp;IF(OR(AND($J24&lt;&gt;"",$J24&lt;$I24),AND($K24&lt;&gt;"",$K24&lt;MAX($I24:$J24)),AND($L24&lt;&gt;"",$L24&lt;MAX($I24:$K24))),"Avance semanal decreciente"&amp;" · ","")&amp;IF(AND(ISNUMBER($AN24),$AN24&lt;FechaRef,IF($V24="Sub",N($X24),N($M24))&lt;1),"Vencida"&amp;" · ","")&amp;IF(AND(ObsObligatoria="Sí",ISNUMBER($AN24),$AN24&lt;FechaRef,IF($V24="Sub",N($X24),N($M24))&lt;1,$Q24=""),"Vencida sin observación"&amp;" · ",""),LEN(IF($C24="","Falta el nombre de la actividad"&amp;" · ","")&amp;IF(AND($V24="Sub",N($U24)=0),"Subactividad sin macroactividad arriba"&amp;" · ","")&amp;IF($AM24="","Sin fecha de inicio"&amp;" · ","")&amp;IF($AN24="","Sin fecha límite"&amp;" · ","")&amp;IF(AND(LEFT($C24,11)="[Jefatura] ",N($AL24)=0),"No se encuentra en la hoja de la jefatura (elíjala de nuevo en la lista)"&amp;" · ","")&amp;IF(OR(AND($E24&lt;&gt;"",NOT(ISNUMBER($E24))),AND($F24&lt;&gt;"",NOT(ISNUMBER($F24))),AND($G24&lt;&gt;"",NOT(ISNUMBER($G24)))),"Fecha no válida"&amp;" · ","")&amp;IF(AND(ISNUMBER($AM24),ISNUMBER($AN24),$AM24&gt;$AN24),"Inicio posterior a fecha límite"&amp;" · ","")&amp;IF(AND($V24="Macro",$H24&lt;&gt;"",OR(NOT(ISNUMBER($H24)),$H24&lt;0,$H24&gt;1)),"Peso fuera de rango"&amp;" · ","")&amp;IF(AND($V24="Sub",$H24&lt;&gt;""),"Las subactividades no llevan peso (valen igual dentro de su macroactividad)"&amp;" · ","")&amp;IF(AND(N($W24)&gt;0,COUNT($I24:$L24)&gt;0),"Con subactividades: deje vacías las semanas (se calculan solas)"&amp;" · ","")&amp;IF((COUNTIF($I24:$L24,"&gt;1")+COUNTIF($I24:$L24,"&lt;0")+COUNTA($I24:$L24)-COUNT($I24:$L24))&gt;0,"Avance fuera de rango 0-100%"&amp;" · ","")&amp;IF(OR(AND($J24&lt;&gt;"",$J24&lt;$I24),AND($K24&lt;&gt;"",$K24&lt;MAX($I24:$J24)),AND($L24&lt;&gt;"",$L24&lt;MAX($I24:$K24))),"Avance semanal decreciente"&amp;" · ","")&amp;IF(AND(ISNUMBER($AN24),$AN24&lt;FechaRef,IF($V24="Sub",N($X24),N($M24))&lt;1),"Vencida"&amp;" · ","")&amp;IF(AND(ObsObligatoria="Sí",ISNUMBER($AN24),$AN24&lt;FechaRef,IF($V24="Sub",N($X24),N($M24))&lt;1,$Q24=""),"Vencida sin observación"&amp;" · ",""))-3)))</f>
        <v/>
      </c>
      <c r="S24" s="64">
        <f>IF(NOT((COUNTA($B24:$D24)+COUNTA($G24:$L24)+COUNTA($Q24))&gt;0),"",IF(AND($V24="Sub",N($U24)&gt;0),IF(ISNUMBER(INDEX($AM$5:$AM$1000,$U24-4)),DATE(YEAR(INDEX($AM$5:$AM$1000,$U24-4)),MONTH(INDEX($AM$5:$AM$1000,$U24-4)),1),IF(ISNUMBER(INDEX($AN$5:$AN$1000,$U24-4)),DATE(YEAR(INDEX($AN$5:$AN$1000,$U24-4)),MONTH(INDEX($AN$5:$AN$1000,$U24-4)),1),MesCiclo)),IF(ISNUMBER($AM24),DATE(YEAR($AM24),MONTH($AM24),1),IF(ISNUMBER($AN24),DATE(YEAR($AN24),MONTH($AN24),1),MesCiclo))))</f>
        <v/>
      </c>
      <c r="T24" s="62">
        <f>IF(OR($S24="",$S24&lt;&gt;MesCiclo,$V24&lt;&gt;"Macro"),"",COUNTIFS($S$5:$S24,MesCiclo,$V$5:$V24,"Macro"))</f>
        <v/>
      </c>
      <c r="U24" s="62">
        <f>IF($V24="","",IF($V24="Macro",ROW(),IFERROR(LOOKUP(2,1/($V$5:$V24="Macro"),ROW($V$5:$V24)),0)))</f>
        <v/>
      </c>
      <c r="V24" s="62">
        <f>IF(NOT((COUNTA($B24:$D24)+COUNTA($G24:$L24)+COUNTA($Q24))&gt;0),"",IF($B24="Subactividad","Sub","Macro"))</f>
        <v/>
      </c>
      <c r="W24" s="62">
        <f>IF($V24="Macro",COUNTIFS($U$5:$U$1000,ROW(),$V$5:$V$1000,"Sub"),"")</f>
        <v/>
      </c>
      <c r="X24" s="62">
        <f>IF($V24="","",IF(ISNUMBER($G24),1,IFERROR(LOOKUP(2,1/($I24:$L24&lt;&gt;""),$I24:$L24),0)))</f>
        <v/>
      </c>
      <c r="Y24" s="62">
        <f>IF($V24="","",IF(AND(ISNUMBER($G24),$G24&lt;=IF($S24=MesCiclo,InicioCiclo,$S24+MOD(2-WEEKDAY($S24),7))+6),1,IF(ISNUMBER($I24),$I24,0)))</f>
        <v/>
      </c>
      <c r="Z24" s="62">
        <f>IF($V24="","",IF(AND(ISNUMBER($G24),$G24&lt;=IF($S24=MesCiclo,InicioCiclo,$S24+MOD(2-WEEKDAY($S24),7))+13),1,IF(ISNUMBER($J24),$J24,$Y24)))</f>
        <v/>
      </c>
      <c r="AA24" s="62">
        <f>IF($V24="","",IF(AND(ISNUMBER($G24),$G24&lt;=IF($S24=MesCiclo,InicioCiclo,$S24+MOD(2-WEEKDAY($S24),7))+20),1,IF(ISNUMBER($K24),$K24,$Z24)))</f>
        <v/>
      </c>
      <c r="AB24" s="62">
        <f>IF($V24="","",IF(AND(ISNUMBER($G24),$G24&lt;=IF($S24=MesCiclo,InicioCiclo,$S24+MOD(2-WEEKDAY($S24),7))+27),1,IF(ISNUMBER($L24),$L24,$AA24)))</f>
        <v/>
      </c>
      <c r="AC24" s="62">
        <f>IF($V24="","",IF(AND(ISNUMBER($G24),$G24&lt;=IF($S24=MesCiclo,InicioCiclo,$S24+MOD(2-WEEKDAY($S24),7))+6),1,IF(N($W24)&gt;0,AVERAGEIFS($Y$5:$Y$1000,$U$5:$U$1000,ROW(),$V$5:$V$1000,"Sub"),$Y24)))</f>
        <v/>
      </c>
      <c r="AD24" s="62">
        <f>IF($V24="","",IF(AND(ISNUMBER($G24),$G24&lt;=IF($S24=MesCiclo,InicioCiclo,$S24+MOD(2-WEEKDAY($S24),7))+13),1,IF(N($W24)&gt;0,AVERAGEIFS($Z$5:$Z$1000,$U$5:$U$1000,ROW(),$V$5:$V$1000,"Sub"),$Z24)))</f>
        <v/>
      </c>
      <c r="AE24" s="62">
        <f>IF($V24="","",IF(AND(ISNUMBER($G24),$G24&lt;=IF($S24=MesCiclo,InicioCiclo,$S24+MOD(2-WEEKDAY($S24),7))+20),1,IF(N($W24)&gt;0,AVERAGEIFS($AA$5:$AA$1000,$U$5:$U$1000,ROW(),$V$5:$V$1000,"Sub"),$AA24)))</f>
        <v/>
      </c>
      <c r="AF24" s="62">
        <f>IF($V24="","",IF(AND(ISNUMBER($G24),$G24&lt;=IF($S24=MesCiclo,InicioCiclo,$S24+MOD(2-WEEKDAY($S24),7))+27),1,IF(N($W24)&gt;0,AVERAGEIFS($AB$5:$AB$1000,$U$5:$U$1000,ROW(),$V$5:$V$1000,"Sub"),$AB24)))</f>
        <v/>
      </c>
      <c r="AG24" s="62">
        <f>IF($V24&lt;&gt;"Macro","",IF(COUNTIFS($S$5:$S$1000,$S24,$V$5:$V$1000,"Macro",$H$5:$H$1000,"&gt;0")=0,1/COUNTIFS($S$5:$S$1000,$S24,$V$5:$V$1000,"Macro"),IF(AND(ISNUMBER($H24),N($H24)&gt;0),$H24,SUMIFS($H$5:$H$1000,$S$5:$S$1000,$S24,$V$5:$V$1000,"Macro")/COUNTIFS($S$5:$S$1000,$S24,$V$5:$V$1000,"Macro",$H$5:$H$1000,"&gt;0"))/(COUNTIFS($S$5:$S$1000,$S24,$V$5:$V$1000,"Macro")*SUMIFS($H$5:$H$1000,$S$5:$S$1000,$S24,$V$5:$V$1000,"Macro")/COUNTIFS($S$5:$S$1000,$S24,$V$5:$V$1000,"Macro",$H$5:$H$1000,"&gt;0"))))</f>
        <v/>
      </c>
      <c r="AH24" s="62" t="n"/>
      <c r="AI24" s="62" t="n"/>
      <c r="AJ24" s="62" t="n"/>
      <c r="AK24" s="62" t="n"/>
      <c r="AL24" s="62">
        <f>IF(LEFT($C24,11)="[Jefatura] ",IFERROR(MATCH("Riesgo Operacional|"&amp;MID($C24,12,500),rDname_ADM,0),0),"")</f>
        <v/>
      </c>
      <c r="AM24" s="62">
        <f>IF(N($AL24)&gt;0,INDEX(rIni_ADM,$AL24),IF(ISNUMBER($E24),$E24,""))</f>
        <v/>
      </c>
      <c r="AN24" s="62">
        <f>IF(N($AL24)&gt;0,INDEX(rLim_ADM,$AL24),IF(ISNUMBER($F24),$F24,""))</f>
        <v/>
      </c>
    </row>
    <row r="25">
      <c r="A25" s="56">
        <f>IF(NOT((COUNTA($B25:$D25)+COUNTA($G25:$L25)+COUNTA($Q25))&gt;0),"",IF($V25="Macro",COUNTIFS($V$5:$V25,"Macro",$S$5:$S25,$S25),IF(N($U25)=0,"?",COUNTIFS(INDEX($V$5:$V$1000,1):INDEX($V$5:$V$1000,$U25-4),"Macro",INDEX($S$5:$S$1000,1):INDEX($S$5:$S$1000,$U25-4),INDEX($S$5:$S$1000,$U25-4))&amp;"."&amp;COUNTIFS($U$5:$U25,$U25,$V$5:$V25,"Sub"))))</f>
        <v/>
      </c>
      <c r="B25" s="57" t="n"/>
      <c r="C25" s="58" t="n"/>
      <c r="D25" s="58" t="n"/>
      <c r="E25" s="59">
        <f>IF(N($AL25)&gt;0,INDEX(rIni_ADM,$AL25),"")</f>
        <v/>
      </c>
      <c r="F25" s="59">
        <f>IF(N($AL25)&gt;0,INDEX(rLim_ADM,$AL25),"")</f>
        <v/>
      </c>
      <c r="G25" s="59" t="n"/>
      <c r="H25" s="60" t="n"/>
      <c r="I25" s="60" t="n"/>
      <c r="J25" s="60" t="n"/>
      <c r="K25" s="60" t="n"/>
      <c r="L25" s="60" t="n"/>
      <c r="M25" s="61">
        <f>IF(NOT((COUNTA($B25:$D25)+COUNTA($G25:$L25)+COUNTA($Q25))&gt;0),"",IF($V25="Sub",IFERROR($X25/INDEX($W$5:$W$1000,$U25-4),""),IF(ISNUMBER($G25),1,IF(N($W25)&gt;0,AVERAGEIFS($X$5:$X$1000,$U$5:$U$1000,ROW(),$V$5:$V$1000,"Sub"),$X25))))</f>
        <v/>
      </c>
      <c r="N25" s="56">
        <f>IF(OR($M25="",$V25="Sub"),"",IF($M25&gt;=1,"Completado",IF($M25&gt;0,"En curso","Pendiente")))</f>
        <v/>
      </c>
      <c r="O25" s="56">
        <f>IF(OR(NOT((COUNTA($B25:$D25)+COUNTA($G25:$L25)+COUNTA($Q25))&gt;0),$V25="Sub"),"",IF(ISNUMBER($G25),IF(AND(ISNUMBER($AN25),$G25&gt;$AN25),"Cumplida con "&amp;($G25-$AN25)&amp;IF($G25-$AN25=1," día"," días")&amp;" de retraso","Cumplida"),IF(N($M25)&gt;=1,"Cumplida",IF(NOT(ISNUMBER($AN25)),"Sin fecha límite",IF($AN25&lt;FechaRef,"Vencida hace "&amp;(FechaRef-$AN25)&amp;IF(FechaRef-$AN25=1," día"," días"),IF($AN25=FechaRef,"Vence hoy",IF($AN25-FechaRef&lt;=DiasAlerta,"Vence en "&amp;($AN25-FechaRef)&amp;IF($AN25-FechaRef=1," día"," días"),"En plazo")))))))</f>
        <v/>
      </c>
      <c r="P25" s="62" t="n"/>
      <c r="Q25" s="58" t="n"/>
      <c r="R25" s="63">
        <f>IF(NOT((COUNTA($B25:$D25)+COUNTA($G25:$L25)+COUNTA($Q25))&gt;0),"",IF((IF($C25="","Falta el nombre de la actividad"&amp;" · ","")&amp;IF(AND($V25="Sub",N($U25)=0),"Subactividad sin macroactividad arriba"&amp;" · ","")&amp;IF($AM25="","Sin fecha de inicio"&amp;" · ","")&amp;IF($AN25="","Sin fecha límite"&amp;" · ","")&amp;IF(AND(LEFT($C25,11)="[Jefatura] ",N($AL25)=0),"No se encuentra en la hoja de la jefatura (elíjala de nuevo en la lista)"&amp;" · ","")&amp;IF(OR(AND($E25&lt;&gt;"",NOT(ISNUMBER($E25))),AND($F25&lt;&gt;"",NOT(ISNUMBER($F25))),AND($G25&lt;&gt;"",NOT(ISNUMBER($G25)))),"Fecha no válida"&amp;" · ","")&amp;IF(AND(ISNUMBER($AM25),ISNUMBER($AN25),$AM25&gt;$AN25),"Inicio posterior a fecha límite"&amp;" · ","")&amp;IF(AND($V25="Macro",$H25&lt;&gt;"",OR(NOT(ISNUMBER($H25)),$H25&lt;0,$H25&gt;1)),"Peso fuera de rango"&amp;" · ","")&amp;IF(AND($V25="Sub",$H25&lt;&gt;""),"Las subactividades no llevan peso (valen igual dentro de su macroactividad)"&amp;" · ","")&amp;IF(AND(N($W25)&gt;0,COUNT($I25:$L25)&gt;0),"Con subactividades: deje vacías las semanas (se calculan solas)"&amp;" · ","")&amp;IF((COUNTIF($I25:$L25,"&gt;1")+COUNTIF($I25:$L25,"&lt;0")+COUNTA($I25:$L25)-COUNT($I25:$L25))&gt;0,"Avance fuera de rango 0-100%"&amp;" · ","")&amp;IF(OR(AND($J25&lt;&gt;"",$J25&lt;$I25),AND($K25&lt;&gt;"",$K25&lt;MAX($I25:$J25)),AND($L25&lt;&gt;"",$L25&lt;MAX($I25:$K25))),"Avance semanal decreciente"&amp;" · ","")&amp;IF(AND(ISNUMBER($AN25),$AN25&lt;FechaRef,IF($V25="Sub",N($X25),N($M25))&lt;1),"Vencida"&amp;" · ","")&amp;IF(AND(ObsObligatoria="Sí",ISNUMBER($AN25),$AN25&lt;FechaRef,IF($V25="Sub",N($X25),N($M25))&lt;1,$Q25=""),"Vencida sin observación"&amp;" · ",""))="","✔ OK","⚠ "&amp;LEFT(IF($C25="","Falta el nombre de la actividad"&amp;" · ","")&amp;IF(AND($V25="Sub",N($U25)=0),"Subactividad sin macroactividad arriba"&amp;" · ","")&amp;IF($AM25="","Sin fecha de inicio"&amp;" · ","")&amp;IF($AN25="","Sin fecha límite"&amp;" · ","")&amp;IF(AND(LEFT($C25,11)="[Jefatura] ",N($AL25)=0),"No se encuentra en la hoja de la jefatura (elíjala de nuevo en la lista)"&amp;" · ","")&amp;IF(OR(AND($E25&lt;&gt;"",NOT(ISNUMBER($E25))),AND($F25&lt;&gt;"",NOT(ISNUMBER($F25))),AND($G25&lt;&gt;"",NOT(ISNUMBER($G25)))),"Fecha no válida"&amp;" · ","")&amp;IF(AND(ISNUMBER($AM25),ISNUMBER($AN25),$AM25&gt;$AN25),"Inicio posterior a fecha límite"&amp;" · ","")&amp;IF(AND($V25="Macro",$H25&lt;&gt;"",OR(NOT(ISNUMBER($H25)),$H25&lt;0,$H25&gt;1)),"Peso fuera de rango"&amp;" · ","")&amp;IF(AND($V25="Sub",$H25&lt;&gt;""),"Las subactividades no llevan peso (valen igual dentro de su macroactividad)"&amp;" · ","")&amp;IF(AND(N($W25)&gt;0,COUNT($I25:$L25)&gt;0),"Con subactividades: deje vacías las semanas (se calculan solas)"&amp;" · ","")&amp;IF((COUNTIF($I25:$L25,"&gt;1")+COUNTIF($I25:$L25,"&lt;0")+COUNTA($I25:$L25)-COUNT($I25:$L25))&gt;0,"Avance fuera de rango 0-100%"&amp;" · ","")&amp;IF(OR(AND($J25&lt;&gt;"",$J25&lt;$I25),AND($K25&lt;&gt;"",$K25&lt;MAX($I25:$J25)),AND($L25&lt;&gt;"",$L25&lt;MAX($I25:$K25))),"Avance semanal decreciente"&amp;" · ","")&amp;IF(AND(ISNUMBER($AN25),$AN25&lt;FechaRef,IF($V25="Sub",N($X25),N($M25))&lt;1),"Vencida"&amp;" · ","")&amp;IF(AND(ObsObligatoria="Sí",ISNUMBER($AN25),$AN25&lt;FechaRef,IF($V25="Sub",N($X25),N($M25))&lt;1,$Q25=""),"Vencida sin observación"&amp;" · ",""),LEN(IF($C25="","Falta el nombre de la actividad"&amp;" · ","")&amp;IF(AND($V25="Sub",N($U25)=0),"Subactividad sin macroactividad arriba"&amp;" · ","")&amp;IF($AM25="","Sin fecha de inicio"&amp;" · ","")&amp;IF($AN25="","Sin fecha límite"&amp;" · ","")&amp;IF(AND(LEFT($C25,11)="[Jefatura] ",N($AL25)=0),"No se encuentra en la hoja de la jefatura (elíjala de nuevo en la lista)"&amp;" · ","")&amp;IF(OR(AND($E25&lt;&gt;"",NOT(ISNUMBER($E25))),AND($F25&lt;&gt;"",NOT(ISNUMBER($F25))),AND($G25&lt;&gt;"",NOT(ISNUMBER($G25)))),"Fecha no válida"&amp;" · ","")&amp;IF(AND(ISNUMBER($AM25),ISNUMBER($AN25),$AM25&gt;$AN25),"Inicio posterior a fecha límite"&amp;" · ","")&amp;IF(AND($V25="Macro",$H25&lt;&gt;"",OR(NOT(ISNUMBER($H25)),$H25&lt;0,$H25&gt;1)),"Peso fuera de rango"&amp;" · ","")&amp;IF(AND($V25="Sub",$H25&lt;&gt;""),"Las subactividades no llevan peso (valen igual dentro de su macroactividad)"&amp;" · ","")&amp;IF(AND(N($W25)&gt;0,COUNT($I25:$L25)&gt;0),"Con subactividades: deje vacías las semanas (se calculan solas)"&amp;" · ","")&amp;IF((COUNTIF($I25:$L25,"&gt;1")+COUNTIF($I25:$L25,"&lt;0")+COUNTA($I25:$L25)-COUNT($I25:$L25))&gt;0,"Avance fuera de rango 0-100%"&amp;" · ","")&amp;IF(OR(AND($J25&lt;&gt;"",$J25&lt;$I25),AND($K25&lt;&gt;"",$K25&lt;MAX($I25:$J25)),AND($L25&lt;&gt;"",$L25&lt;MAX($I25:$K25))),"Avance semanal decreciente"&amp;" · ","")&amp;IF(AND(ISNUMBER($AN25),$AN25&lt;FechaRef,IF($V25="Sub",N($X25),N($M25))&lt;1),"Vencida"&amp;" · ","")&amp;IF(AND(ObsObligatoria="Sí",ISNUMBER($AN25),$AN25&lt;FechaRef,IF($V25="Sub",N($X25),N($M25))&lt;1,$Q25=""),"Vencida sin observación"&amp;" · ",""))-3)))</f>
        <v/>
      </c>
      <c r="S25" s="64">
        <f>IF(NOT((COUNTA($B25:$D25)+COUNTA($G25:$L25)+COUNTA($Q25))&gt;0),"",IF(AND($V25="Sub",N($U25)&gt;0),IF(ISNUMBER(INDEX($AM$5:$AM$1000,$U25-4)),DATE(YEAR(INDEX($AM$5:$AM$1000,$U25-4)),MONTH(INDEX($AM$5:$AM$1000,$U25-4)),1),IF(ISNUMBER(INDEX($AN$5:$AN$1000,$U25-4)),DATE(YEAR(INDEX($AN$5:$AN$1000,$U25-4)),MONTH(INDEX($AN$5:$AN$1000,$U25-4)),1),MesCiclo)),IF(ISNUMBER($AM25),DATE(YEAR($AM25),MONTH($AM25),1),IF(ISNUMBER($AN25),DATE(YEAR($AN25),MONTH($AN25),1),MesCiclo))))</f>
        <v/>
      </c>
      <c r="T25" s="62">
        <f>IF(OR($S25="",$S25&lt;&gt;MesCiclo,$V25&lt;&gt;"Macro"),"",COUNTIFS($S$5:$S25,MesCiclo,$V$5:$V25,"Macro"))</f>
        <v/>
      </c>
      <c r="U25" s="62">
        <f>IF($V25="","",IF($V25="Macro",ROW(),IFERROR(LOOKUP(2,1/($V$5:$V25="Macro"),ROW($V$5:$V25)),0)))</f>
        <v/>
      </c>
      <c r="V25" s="62">
        <f>IF(NOT((COUNTA($B25:$D25)+COUNTA($G25:$L25)+COUNTA($Q25))&gt;0),"",IF($B25="Subactividad","Sub","Macro"))</f>
        <v/>
      </c>
      <c r="W25" s="62">
        <f>IF($V25="Macro",COUNTIFS($U$5:$U$1000,ROW(),$V$5:$V$1000,"Sub"),"")</f>
        <v/>
      </c>
      <c r="X25" s="62">
        <f>IF($V25="","",IF(ISNUMBER($G25),1,IFERROR(LOOKUP(2,1/($I25:$L25&lt;&gt;""),$I25:$L25),0)))</f>
        <v/>
      </c>
      <c r="Y25" s="62">
        <f>IF($V25="","",IF(AND(ISNUMBER($G25),$G25&lt;=IF($S25=MesCiclo,InicioCiclo,$S25+MOD(2-WEEKDAY($S25),7))+6),1,IF(ISNUMBER($I25),$I25,0)))</f>
        <v/>
      </c>
      <c r="Z25" s="62">
        <f>IF($V25="","",IF(AND(ISNUMBER($G25),$G25&lt;=IF($S25=MesCiclo,InicioCiclo,$S25+MOD(2-WEEKDAY($S25),7))+13),1,IF(ISNUMBER($J25),$J25,$Y25)))</f>
        <v/>
      </c>
      <c r="AA25" s="62">
        <f>IF($V25="","",IF(AND(ISNUMBER($G25),$G25&lt;=IF($S25=MesCiclo,InicioCiclo,$S25+MOD(2-WEEKDAY($S25),7))+20),1,IF(ISNUMBER($K25),$K25,$Z25)))</f>
        <v/>
      </c>
      <c r="AB25" s="62">
        <f>IF($V25="","",IF(AND(ISNUMBER($G25),$G25&lt;=IF($S25=MesCiclo,InicioCiclo,$S25+MOD(2-WEEKDAY($S25),7))+27),1,IF(ISNUMBER($L25),$L25,$AA25)))</f>
        <v/>
      </c>
      <c r="AC25" s="62">
        <f>IF($V25="","",IF(AND(ISNUMBER($G25),$G25&lt;=IF($S25=MesCiclo,InicioCiclo,$S25+MOD(2-WEEKDAY($S25),7))+6),1,IF(N($W25)&gt;0,AVERAGEIFS($Y$5:$Y$1000,$U$5:$U$1000,ROW(),$V$5:$V$1000,"Sub"),$Y25)))</f>
        <v/>
      </c>
      <c r="AD25" s="62">
        <f>IF($V25="","",IF(AND(ISNUMBER($G25),$G25&lt;=IF($S25=MesCiclo,InicioCiclo,$S25+MOD(2-WEEKDAY($S25),7))+13),1,IF(N($W25)&gt;0,AVERAGEIFS($Z$5:$Z$1000,$U$5:$U$1000,ROW(),$V$5:$V$1000,"Sub"),$Z25)))</f>
        <v/>
      </c>
      <c r="AE25" s="62">
        <f>IF($V25="","",IF(AND(ISNUMBER($G25),$G25&lt;=IF($S25=MesCiclo,InicioCiclo,$S25+MOD(2-WEEKDAY($S25),7))+20),1,IF(N($W25)&gt;0,AVERAGEIFS($AA$5:$AA$1000,$U$5:$U$1000,ROW(),$V$5:$V$1000,"Sub"),$AA25)))</f>
        <v/>
      </c>
      <c r="AF25" s="62">
        <f>IF($V25="","",IF(AND(ISNUMBER($G25),$G25&lt;=IF($S25=MesCiclo,InicioCiclo,$S25+MOD(2-WEEKDAY($S25),7))+27),1,IF(N($W25)&gt;0,AVERAGEIFS($AB$5:$AB$1000,$U$5:$U$1000,ROW(),$V$5:$V$1000,"Sub"),$AB25)))</f>
        <v/>
      </c>
      <c r="AG25" s="62">
        <f>IF($V25&lt;&gt;"Macro","",IF(COUNTIFS($S$5:$S$1000,$S25,$V$5:$V$1000,"Macro",$H$5:$H$1000,"&gt;0")=0,1/COUNTIFS($S$5:$S$1000,$S25,$V$5:$V$1000,"Macro"),IF(AND(ISNUMBER($H25),N($H25)&gt;0),$H25,SUMIFS($H$5:$H$1000,$S$5:$S$1000,$S25,$V$5:$V$1000,"Macro")/COUNTIFS($S$5:$S$1000,$S25,$V$5:$V$1000,"Macro",$H$5:$H$1000,"&gt;0"))/(COUNTIFS($S$5:$S$1000,$S25,$V$5:$V$1000,"Macro")*SUMIFS($H$5:$H$1000,$S$5:$S$1000,$S25,$V$5:$V$1000,"Macro")/COUNTIFS($S$5:$S$1000,$S25,$V$5:$V$1000,"Macro",$H$5:$H$1000,"&gt;0"))))</f>
        <v/>
      </c>
      <c r="AH25" s="62" t="n"/>
      <c r="AI25" s="62" t="n"/>
      <c r="AJ25" s="62" t="n"/>
      <c r="AK25" s="62" t="n"/>
      <c r="AL25" s="62">
        <f>IF(LEFT($C25,11)="[Jefatura] ",IFERROR(MATCH("Riesgo Operacional|"&amp;MID($C25,12,500),rDname_ADM,0),0),"")</f>
        <v/>
      </c>
      <c r="AM25" s="62">
        <f>IF(N($AL25)&gt;0,INDEX(rIni_ADM,$AL25),IF(ISNUMBER($E25),$E25,""))</f>
        <v/>
      </c>
      <c r="AN25" s="62">
        <f>IF(N($AL25)&gt;0,INDEX(rLim_ADM,$AL25),IF(ISNUMBER($F25),$F25,""))</f>
        <v/>
      </c>
    </row>
    <row r="26">
      <c r="A26" s="56">
        <f>IF(NOT((COUNTA($B26:$D26)+COUNTA($G26:$L26)+COUNTA($Q26))&gt;0),"",IF($V26="Macro",COUNTIFS($V$5:$V26,"Macro",$S$5:$S26,$S26),IF(N($U26)=0,"?",COUNTIFS(INDEX($V$5:$V$1000,1):INDEX($V$5:$V$1000,$U26-4),"Macro",INDEX($S$5:$S$1000,1):INDEX($S$5:$S$1000,$U26-4),INDEX($S$5:$S$1000,$U26-4))&amp;"."&amp;COUNTIFS($U$5:$U26,$U26,$V$5:$V26,"Sub"))))</f>
        <v/>
      </c>
      <c r="B26" s="57" t="n"/>
      <c r="C26" s="58" t="n"/>
      <c r="D26" s="58" t="n"/>
      <c r="E26" s="59">
        <f>IF(N($AL26)&gt;0,INDEX(rIni_ADM,$AL26),"")</f>
        <v/>
      </c>
      <c r="F26" s="59">
        <f>IF(N($AL26)&gt;0,INDEX(rLim_ADM,$AL26),"")</f>
        <v/>
      </c>
      <c r="G26" s="59" t="n"/>
      <c r="H26" s="60" t="n"/>
      <c r="I26" s="60" t="n"/>
      <c r="J26" s="60" t="n"/>
      <c r="K26" s="60" t="n"/>
      <c r="L26" s="60" t="n"/>
      <c r="M26" s="61">
        <f>IF(NOT((COUNTA($B26:$D26)+COUNTA($G26:$L26)+COUNTA($Q26))&gt;0),"",IF($V26="Sub",IFERROR($X26/INDEX($W$5:$W$1000,$U26-4),""),IF(ISNUMBER($G26),1,IF(N($W26)&gt;0,AVERAGEIFS($X$5:$X$1000,$U$5:$U$1000,ROW(),$V$5:$V$1000,"Sub"),$X26))))</f>
        <v/>
      </c>
      <c r="N26" s="56">
        <f>IF(OR($M26="",$V26="Sub"),"",IF($M26&gt;=1,"Completado",IF($M26&gt;0,"En curso","Pendiente")))</f>
        <v/>
      </c>
      <c r="O26" s="56">
        <f>IF(OR(NOT((COUNTA($B26:$D26)+COUNTA($G26:$L26)+COUNTA($Q26))&gt;0),$V26="Sub"),"",IF(ISNUMBER($G26),IF(AND(ISNUMBER($AN26),$G26&gt;$AN26),"Cumplida con "&amp;($G26-$AN26)&amp;IF($G26-$AN26=1," día"," días")&amp;" de retraso","Cumplida"),IF(N($M26)&gt;=1,"Cumplida",IF(NOT(ISNUMBER($AN26)),"Sin fecha límite",IF($AN26&lt;FechaRef,"Vencida hace "&amp;(FechaRef-$AN26)&amp;IF(FechaRef-$AN26=1," día"," días"),IF($AN26=FechaRef,"Vence hoy",IF($AN26-FechaRef&lt;=DiasAlerta,"Vence en "&amp;($AN26-FechaRef)&amp;IF($AN26-FechaRef=1," día"," días"),"En plazo")))))))</f>
        <v/>
      </c>
      <c r="P26" s="62" t="n"/>
      <c r="Q26" s="58" t="n"/>
      <c r="R26" s="63">
        <f>IF(NOT((COUNTA($B26:$D26)+COUNTA($G26:$L26)+COUNTA($Q26))&gt;0),"",IF((IF($C26="","Falta el nombre de la actividad"&amp;" · ","")&amp;IF(AND($V26="Sub",N($U26)=0),"Subactividad sin macroactividad arriba"&amp;" · ","")&amp;IF($AM26="","Sin fecha de inicio"&amp;" · ","")&amp;IF($AN26="","Sin fecha límite"&amp;" · ","")&amp;IF(AND(LEFT($C26,11)="[Jefatura] ",N($AL26)=0),"No se encuentra en la hoja de la jefatura (elíjala de nuevo en la lista)"&amp;" · ","")&amp;IF(OR(AND($E26&lt;&gt;"",NOT(ISNUMBER($E26))),AND($F26&lt;&gt;"",NOT(ISNUMBER($F26))),AND($G26&lt;&gt;"",NOT(ISNUMBER($G26)))),"Fecha no válida"&amp;" · ","")&amp;IF(AND(ISNUMBER($AM26),ISNUMBER($AN26),$AM26&gt;$AN26),"Inicio posterior a fecha límite"&amp;" · ","")&amp;IF(AND($V26="Macro",$H26&lt;&gt;"",OR(NOT(ISNUMBER($H26)),$H26&lt;0,$H26&gt;1)),"Peso fuera de rango"&amp;" · ","")&amp;IF(AND($V26="Sub",$H26&lt;&gt;""),"Las subactividades no llevan peso (valen igual dentro de su macroactividad)"&amp;" · ","")&amp;IF(AND(N($W26)&gt;0,COUNT($I26:$L26)&gt;0),"Con subactividades: deje vacías las semanas (se calculan solas)"&amp;" · ","")&amp;IF((COUNTIF($I26:$L26,"&gt;1")+COUNTIF($I26:$L26,"&lt;0")+COUNTA($I26:$L26)-COUNT($I26:$L26))&gt;0,"Avance fuera de rango 0-100%"&amp;" · ","")&amp;IF(OR(AND($J26&lt;&gt;"",$J26&lt;$I26),AND($K26&lt;&gt;"",$K26&lt;MAX($I26:$J26)),AND($L26&lt;&gt;"",$L26&lt;MAX($I26:$K26))),"Avance semanal decreciente"&amp;" · ","")&amp;IF(AND(ISNUMBER($AN26),$AN26&lt;FechaRef,IF($V26="Sub",N($X26),N($M26))&lt;1),"Vencida"&amp;" · ","")&amp;IF(AND(ObsObligatoria="Sí",ISNUMBER($AN26),$AN26&lt;FechaRef,IF($V26="Sub",N($X26),N($M26))&lt;1,$Q26=""),"Vencida sin observación"&amp;" · ",""))="","✔ OK","⚠ "&amp;LEFT(IF($C26="","Falta el nombre de la actividad"&amp;" · ","")&amp;IF(AND($V26="Sub",N($U26)=0),"Subactividad sin macroactividad arriba"&amp;" · ","")&amp;IF($AM26="","Sin fecha de inicio"&amp;" · ","")&amp;IF($AN26="","Sin fecha límite"&amp;" · ","")&amp;IF(AND(LEFT($C26,11)="[Jefatura] ",N($AL26)=0),"No se encuentra en la hoja de la jefatura (elíjala de nuevo en la lista)"&amp;" · ","")&amp;IF(OR(AND($E26&lt;&gt;"",NOT(ISNUMBER($E26))),AND($F26&lt;&gt;"",NOT(ISNUMBER($F26))),AND($G26&lt;&gt;"",NOT(ISNUMBER($G26)))),"Fecha no válida"&amp;" · ","")&amp;IF(AND(ISNUMBER($AM26),ISNUMBER($AN26),$AM26&gt;$AN26),"Inicio posterior a fecha límite"&amp;" · ","")&amp;IF(AND($V26="Macro",$H26&lt;&gt;"",OR(NOT(ISNUMBER($H26)),$H26&lt;0,$H26&gt;1)),"Peso fuera de rango"&amp;" · ","")&amp;IF(AND($V26="Sub",$H26&lt;&gt;""),"Las subactividades no llevan peso (valen igual dentro de su macroactividad)"&amp;" · ","")&amp;IF(AND(N($W26)&gt;0,COUNT($I26:$L26)&gt;0),"Con subactividades: deje vacías las semanas (se calculan solas)"&amp;" · ","")&amp;IF((COUNTIF($I26:$L26,"&gt;1")+COUNTIF($I26:$L26,"&lt;0")+COUNTA($I26:$L26)-COUNT($I26:$L26))&gt;0,"Avance fuera de rango 0-100%"&amp;" · ","")&amp;IF(OR(AND($J26&lt;&gt;"",$J26&lt;$I26),AND($K26&lt;&gt;"",$K26&lt;MAX($I26:$J26)),AND($L26&lt;&gt;"",$L26&lt;MAX($I26:$K26))),"Avance semanal decreciente"&amp;" · ","")&amp;IF(AND(ISNUMBER($AN26),$AN26&lt;FechaRef,IF($V26="Sub",N($X26),N($M26))&lt;1),"Vencida"&amp;" · ","")&amp;IF(AND(ObsObligatoria="Sí",ISNUMBER($AN26),$AN26&lt;FechaRef,IF($V26="Sub",N($X26),N($M26))&lt;1,$Q26=""),"Vencida sin observación"&amp;" · ",""),LEN(IF($C26="","Falta el nombre de la actividad"&amp;" · ","")&amp;IF(AND($V26="Sub",N($U26)=0),"Subactividad sin macroactividad arriba"&amp;" · ","")&amp;IF($AM26="","Sin fecha de inicio"&amp;" · ","")&amp;IF($AN26="","Sin fecha límite"&amp;" · ","")&amp;IF(AND(LEFT($C26,11)="[Jefatura] ",N($AL26)=0),"No se encuentra en la hoja de la jefatura (elíjala de nuevo en la lista)"&amp;" · ","")&amp;IF(OR(AND($E26&lt;&gt;"",NOT(ISNUMBER($E26))),AND($F26&lt;&gt;"",NOT(ISNUMBER($F26))),AND($G26&lt;&gt;"",NOT(ISNUMBER($G26)))),"Fecha no válida"&amp;" · ","")&amp;IF(AND(ISNUMBER($AM26),ISNUMBER($AN26),$AM26&gt;$AN26),"Inicio posterior a fecha límite"&amp;" · ","")&amp;IF(AND($V26="Macro",$H26&lt;&gt;"",OR(NOT(ISNUMBER($H26)),$H26&lt;0,$H26&gt;1)),"Peso fuera de rango"&amp;" · ","")&amp;IF(AND($V26="Sub",$H26&lt;&gt;""),"Las subactividades no llevan peso (valen igual dentro de su macroactividad)"&amp;" · ","")&amp;IF(AND(N($W26)&gt;0,COUNT($I26:$L26)&gt;0),"Con subactividades: deje vacías las semanas (se calculan solas)"&amp;" · ","")&amp;IF((COUNTIF($I26:$L26,"&gt;1")+COUNTIF($I26:$L26,"&lt;0")+COUNTA($I26:$L26)-COUNT($I26:$L26))&gt;0,"Avance fuera de rango 0-100%"&amp;" · ","")&amp;IF(OR(AND($J26&lt;&gt;"",$J26&lt;$I26),AND($K26&lt;&gt;"",$K26&lt;MAX($I26:$J26)),AND($L26&lt;&gt;"",$L26&lt;MAX($I26:$K26))),"Avance semanal decreciente"&amp;" · ","")&amp;IF(AND(ISNUMBER($AN26),$AN26&lt;FechaRef,IF($V26="Sub",N($X26),N($M26))&lt;1),"Vencida"&amp;" · ","")&amp;IF(AND(ObsObligatoria="Sí",ISNUMBER($AN26),$AN26&lt;FechaRef,IF($V26="Sub",N($X26),N($M26))&lt;1,$Q26=""),"Vencida sin observación"&amp;" · ",""))-3)))</f>
        <v/>
      </c>
      <c r="S26" s="64">
        <f>IF(NOT((COUNTA($B26:$D26)+COUNTA($G26:$L26)+COUNTA($Q26))&gt;0),"",IF(AND($V26="Sub",N($U26)&gt;0),IF(ISNUMBER(INDEX($AM$5:$AM$1000,$U26-4)),DATE(YEAR(INDEX($AM$5:$AM$1000,$U26-4)),MONTH(INDEX($AM$5:$AM$1000,$U26-4)),1),IF(ISNUMBER(INDEX($AN$5:$AN$1000,$U26-4)),DATE(YEAR(INDEX($AN$5:$AN$1000,$U26-4)),MONTH(INDEX($AN$5:$AN$1000,$U26-4)),1),MesCiclo)),IF(ISNUMBER($AM26),DATE(YEAR($AM26),MONTH($AM26),1),IF(ISNUMBER($AN26),DATE(YEAR($AN26),MONTH($AN26),1),MesCiclo))))</f>
        <v/>
      </c>
      <c r="T26" s="62">
        <f>IF(OR($S26="",$S26&lt;&gt;MesCiclo,$V26&lt;&gt;"Macro"),"",COUNTIFS($S$5:$S26,MesCiclo,$V$5:$V26,"Macro"))</f>
        <v/>
      </c>
      <c r="U26" s="62">
        <f>IF($V26="","",IF($V26="Macro",ROW(),IFERROR(LOOKUP(2,1/($V$5:$V26="Macro"),ROW($V$5:$V26)),0)))</f>
        <v/>
      </c>
      <c r="V26" s="62">
        <f>IF(NOT((COUNTA($B26:$D26)+COUNTA($G26:$L26)+COUNTA($Q26))&gt;0),"",IF($B26="Subactividad","Sub","Macro"))</f>
        <v/>
      </c>
      <c r="W26" s="62">
        <f>IF($V26="Macro",COUNTIFS($U$5:$U$1000,ROW(),$V$5:$V$1000,"Sub"),"")</f>
        <v/>
      </c>
      <c r="X26" s="62">
        <f>IF($V26="","",IF(ISNUMBER($G26),1,IFERROR(LOOKUP(2,1/($I26:$L26&lt;&gt;""),$I26:$L26),0)))</f>
        <v/>
      </c>
      <c r="Y26" s="62">
        <f>IF($V26="","",IF(AND(ISNUMBER($G26),$G26&lt;=IF($S26=MesCiclo,InicioCiclo,$S26+MOD(2-WEEKDAY($S26),7))+6),1,IF(ISNUMBER($I26),$I26,0)))</f>
        <v/>
      </c>
      <c r="Z26" s="62">
        <f>IF($V26="","",IF(AND(ISNUMBER($G26),$G26&lt;=IF($S26=MesCiclo,InicioCiclo,$S26+MOD(2-WEEKDAY($S26),7))+13),1,IF(ISNUMBER($J26),$J26,$Y26)))</f>
        <v/>
      </c>
      <c r="AA26" s="62">
        <f>IF($V26="","",IF(AND(ISNUMBER($G26),$G26&lt;=IF($S26=MesCiclo,InicioCiclo,$S26+MOD(2-WEEKDAY($S26),7))+20),1,IF(ISNUMBER($K26),$K26,$Z26)))</f>
        <v/>
      </c>
      <c r="AB26" s="62">
        <f>IF($V26="","",IF(AND(ISNUMBER($G26),$G26&lt;=IF($S26=MesCiclo,InicioCiclo,$S26+MOD(2-WEEKDAY($S26),7))+27),1,IF(ISNUMBER($L26),$L26,$AA26)))</f>
        <v/>
      </c>
      <c r="AC26" s="62">
        <f>IF($V26="","",IF(AND(ISNUMBER($G26),$G26&lt;=IF($S26=MesCiclo,InicioCiclo,$S26+MOD(2-WEEKDAY($S26),7))+6),1,IF(N($W26)&gt;0,AVERAGEIFS($Y$5:$Y$1000,$U$5:$U$1000,ROW(),$V$5:$V$1000,"Sub"),$Y26)))</f>
        <v/>
      </c>
      <c r="AD26" s="62">
        <f>IF($V26="","",IF(AND(ISNUMBER($G26),$G26&lt;=IF($S26=MesCiclo,InicioCiclo,$S26+MOD(2-WEEKDAY($S26),7))+13),1,IF(N($W26)&gt;0,AVERAGEIFS($Z$5:$Z$1000,$U$5:$U$1000,ROW(),$V$5:$V$1000,"Sub"),$Z26)))</f>
        <v/>
      </c>
      <c r="AE26" s="62">
        <f>IF($V26="","",IF(AND(ISNUMBER($G26),$G26&lt;=IF($S26=MesCiclo,InicioCiclo,$S26+MOD(2-WEEKDAY($S26),7))+20),1,IF(N($W26)&gt;0,AVERAGEIFS($AA$5:$AA$1000,$U$5:$U$1000,ROW(),$V$5:$V$1000,"Sub"),$AA26)))</f>
        <v/>
      </c>
      <c r="AF26" s="62">
        <f>IF($V26="","",IF(AND(ISNUMBER($G26),$G26&lt;=IF($S26=MesCiclo,InicioCiclo,$S26+MOD(2-WEEKDAY($S26),7))+27),1,IF(N($W26)&gt;0,AVERAGEIFS($AB$5:$AB$1000,$U$5:$U$1000,ROW(),$V$5:$V$1000,"Sub"),$AB26)))</f>
        <v/>
      </c>
      <c r="AG26" s="62">
        <f>IF($V26&lt;&gt;"Macro","",IF(COUNTIFS($S$5:$S$1000,$S26,$V$5:$V$1000,"Macro",$H$5:$H$1000,"&gt;0")=0,1/COUNTIFS($S$5:$S$1000,$S26,$V$5:$V$1000,"Macro"),IF(AND(ISNUMBER($H26),N($H26)&gt;0),$H26,SUMIFS($H$5:$H$1000,$S$5:$S$1000,$S26,$V$5:$V$1000,"Macro")/COUNTIFS($S$5:$S$1000,$S26,$V$5:$V$1000,"Macro",$H$5:$H$1000,"&gt;0"))/(COUNTIFS($S$5:$S$1000,$S26,$V$5:$V$1000,"Macro")*SUMIFS($H$5:$H$1000,$S$5:$S$1000,$S26,$V$5:$V$1000,"Macro")/COUNTIFS($S$5:$S$1000,$S26,$V$5:$V$1000,"Macro",$H$5:$H$1000,"&gt;0"))))</f>
        <v/>
      </c>
      <c r="AH26" s="62" t="n"/>
      <c r="AI26" s="62" t="n"/>
      <c r="AJ26" s="62" t="n"/>
      <c r="AK26" s="62" t="n"/>
      <c r="AL26" s="62">
        <f>IF(LEFT($C26,11)="[Jefatura] ",IFERROR(MATCH("Riesgo Operacional|"&amp;MID($C26,12,500),rDname_ADM,0),0),"")</f>
        <v/>
      </c>
      <c r="AM26" s="62">
        <f>IF(N($AL26)&gt;0,INDEX(rIni_ADM,$AL26),IF(ISNUMBER($E26),$E26,""))</f>
        <v/>
      </c>
      <c r="AN26" s="62">
        <f>IF(N($AL26)&gt;0,INDEX(rLim_ADM,$AL26),IF(ISNUMBER($F26),$F26,""))</f>
        <v/>
      </c>
    </row>
    <row r="27">
      <c r="A27" s="56">
        <f>IF(NOT((COUNTA($B27:$D27)+COUNTA($G27:$L27)+COUNTA($Q27))&gt;0),"",IF($V27="Macro",COUNTIFS($V$5:$V27,"Macro",$S$5:$S27,$S27),IF(N($U27)=0,"?",COUNTIFS(INDEX($V$5:$V$1000,1):INDEX($V$5:$V$1000,$U27-4),"Macro",INDEX($S$5:$S$1000,1):INDEX($S$5:$S$1000,$U27-4),INDEX($S$5:$S$1000,$U27-4))&amp;"."&amp;COUNTIFS($U$5:$U27,$U27,$V$5:$V27,"Sub"))))</f>
        <v/>
      </c>
      <c r="B27" s="57" t="n"/>
      <c r="C27" s="58" t="n"/>
      <c r="D27" s="58" t="n"/>
      <c r="E27" s="59">
        <f>IF(N($AL27)&gt;0,INDEX(rIni_ADM,$AL27),"")</f>
        <v/>
      </c>
      <c r="F27" s="59">
        <f>IF(N($AL27)&gt;0,INDEX(rLim_ADM,$AL27),"")</f>
        <v/>
      </c>
      <c r="G27" s="59" t="n"/>
      <c r="H27" s="60" t="n"/>
      <c r="I27" s="60" t="n"/>
      <c r="J27" s="60" t="n"/>
      <c r="K27" s="60" t="n"/>
      <c r="L27" s="60" t="n"/>
      <c r="M27" s="61">
        <f>IF(NOT((COUNTA($B27:$D27)+COUNTA($G27:$L27)+COUNTA($Q27))&gt;0),"",IF($V27="Sub",IFERROR($X27/INDEX($W$5:$W$1000,$U27-4),""),IF(ISNUMBER($G27),1,IF(N($W27)&gt;0,AVERAGEIFS($X$5:$X$1000,$U$5:$U$1000,ROW(),$V$5:$V$1000,"Sub"),$X27))))</f>
        <v/>
      </c>
      <c r="N27" s="56">
        <f>IF(OR($M27="",$V27="Sub"),"",IF($M27&gt;=1,"Completado",IF($M27&gt;0,"En curso","Pendiente")))</f>
        <v/>
      </c>
      <c r="O27" s="56">
        <f>IF(OR(NOT((COUNTA($B27:$D27)+COUNTA($G27:$L27)+COUNTA($Q27))&gt;0),$V27="Sub"),"",IF(ISNUMBER($G27),IF(AND(ISNUMBER($AN27),$G27&gt;$AN27),"Cumplida con "&amp;($G27-$AN27)&amp;IF($G27-$AN27=1," día"," días")&amp;" de retraso","Cumplida"),IF(N($M27)&gt;=1,"Cumplida",IF(NOT(ISNUMBER($AN27)),"Sin fecha límite",IF($AN27&lt;FechaRef,"Vencida hace "&amp;(FechaRef-$AN27)&amp;IF(FechaRef-$AN27=1," día"," días"),IF($AN27=FechaRef,"Vence hoy",IF($AN27-FechaRef&lt;=DiasAlerta,"Vence en "&amp;($AN27-FechaRef)&amp;IF($AN27-FechaRef=1," día"," días"),"En plazo")))))))</f>
        <v/>
      </c>
      <c r="P27" s="62" t="n"/>
      <c r="Q27" s="58" t="n"/>
      <c r="R27" s="63">
        <f>IF(NOT((COUNTA($B27:$D27)+COUNTA($G27:$L27)+COUNTA($Q27))&gt;0),"",IF((IF($C27="","Falta el nombre de la actividad"&amp;" · ","")&amp;IF(AND($V27="Sub",N($U27)=0),"Subactividad sin macroactividad arriba"&amp;" · ","")&amp;IF($AM27="","Sin fecha de inicio"&amp;" · ","")&amp;IF($AN27="","Sin fecha límite"&amp;" · ","")&amp;IF(AND(LEFT($C27,11)="[Jefatura] ",N($AL27)=0),"No se encuentra en la hoja de la jefatura (elíjala de nuevo en la lista)"&amp;" · ","")&amp;IF(OR(AND($E27&lt;&gt;"",NOT(ISNUMBER($E27))),AND($F27&lt;&gt;"",NOT(ISNUMBER($F27))),AND($G27&lt;&gt;"",NOT(ISNUMBER($G27)))),"Fecha no válida"&amp;" · ","")&amp;IF(AND(ISNUMBER($AM27),ISNUMBER($AN27),$AM27&gt;$AN27),"Inicio posterior a fecha límite"&amp;" · ","")&amp;IF(AND($V27="Macro",$H27&lt;&gt;"",OR(NOT(ISNUMBER($H27)),$H27&lt;0,$H27&gt;1)),"Peso fuera de rango"&amp;" · ","")&amp;IF(AND($V27="Sub",$H27&lt;&gt;""),"Las subactividades no llevan peso (valen igual dentro de su macroactividad)"&amp;" · ","")&amp;IF(AND(N($W27)&gt;0,COUNT($I27:$L27)&gt;0),"Con subactividades: deje vacías las semanas (se calculan solas)"&amp;" · ","")&amp;IF((COUNTIF($I27:$L27,"&gt;1")+COUNTIF($I27:$L27,"&lt;0")+COUNTA($I27:$L27)-COUNT($I27:$L27))&gt;0,"Avance fuera de rango 0-100%"&amp;" · ","")&amp;IF(OR(AND($J27&lt;&gt;"",$J27&lt;$I27),AND($K27&lt;&gt;"",$K27&lt;MAX($I27:$J27)),AND($L27&lt;&gt;"",$L27&lt;MAX($I27:$K27))),"Avance semanal decreciente"&amp;" · ","")&amp;IF(AND(ISNUMBER($AN27),$AN27&lt;FechaRef,IF($V27="Sub",N($X27),N($M27))&lt;1),"Vencida"&amp;" · ","")&amp;IF(AND(ObsObligatoria="Sí",ISNUMBER($AN27),$AN27&lt;FechaRef,IF($V27="Sub",N($X27),N($M27))&lt;1,$Q27=""),"Vencida sin observación"&amp;" · ",""))="","✔ OK","⚠ "&amp;LEFT(IF($C27="","Falta el nombre de la actividad"&amp;" · ","")&amp;IF(AND($V27="Sub",N($U27)=0),"Subactividad sin macroactividad arriba"&amp;" · ","")&amp;IF($AM27="","Sin fecha de inicio"&amp;" · ","")&amp;IF($AN27="","Sin fecha límite"&amp;" · ","")&amp;IF(AND(LEFT($C27,11)="[Jefatura] ",N($AL27)=0),"No se encuentra en la hoja de la jefatura (elíjala de nuevo en la lista)"&amp;" · ","")&amp;IF(OR(AND($E27&lt;&gt;"",NOT(ISNUMBER($E27))),AND($F27&lt;&gt;"",NOT(ISNUMBER($F27))),AND($G27&lt;&gt;"",NOT(ISNUMBER($G27)))),"Fecha no válida"&amp;" · ","")&amp;IF(AND(ISNUMBER($AM27),ISNUMBER($AN27),$AM27&gt;$AN27),"Inicio posterior a fecha límite"&amp;" · ","")&amp;IF(AND($V27="Macro",$H27&lt;&gt;"",OR(NOT(ISNUMBER($H27)),$H27&lt;0,$H27&gt;1)),"Peso fuera de rango"&amp;" · ","")&amp;IF(AND($V27="Sub",$H27&lt;&gt;""),"Las subactividades no llevan peso (valen igual dentro de su macroactividad)"&amp;" · ","")&amp;IF(AND(N($W27)&gt;0,COUNT($I27:$L27)&gt;0),"Con subactividades: deje vacías las semanas (se calculan solas)"&amp;" · ","")&amp;IF((COUNTIF($I27:$L27,"&gt;1")+COUNTIF($I27:$L27,"&lt;0")+COUNTA($I27:$L27)-COUNT($I27:$L27))&gt;0,"Avance fuera de rango 0-100%"&amp;" · ","")&amp;IF(OR(AND($J27&lt;&gt;"",$J27&lt;$I27),AND($K27&lt;&gt;"",$K27&lt;MAX($I27:$J27)),AND($L27&lt;&gt;"",$L27&lt;MAX($I27:$K27))),"Avance semanal decreciente"&amp;" · ","")&amp;IF(AND(ISNUMBER($AN27),$AN27&lt;FechaRef,IF($V27="Sub",N($X27),N($M27))&lt;1),"Vencida"&amp;" · ","")&amp;IF(AND(ObsObligatoria="Sí",ISNUMBER($AN27),$AN27&lt;FechaRef,IF($V27="Sub",N($X27),N($M27))&lt;1,$Q27=""),"Vencida sin observación"&amp;" · ",""),LEN(IF($C27="","Falta el nombre de la actividad"&amp;" · ","")&amp;IF(AND($V27="Sub",N($U27)=0),"Subactividad sin macroactividad arriba"&amp;" · ","")&amp;IF($AM27="","Sin fecha de inicio"&amp;" · ","")&amp;IF($AN27="","Sin fecha límite"&amp;" · ","")&amp;IF(AND(LEFT($C27,11)="[Jefatura] ",N($AL27)=0),"No se encuentra en la hoja de la jefatura (elíjala de nuevo en la lista)"&amp;" · ","")&amp;IF(OR(AND($E27&lt;&gt;"",NOT(ISNUMBER($E27))),AND($F27&lt;&gt;"",NOT(ISNUMBER($F27))),AND($G27&lt;&gt;"",NOT(ISNUMBER($G27)))),"Fecha no válida"&amp;" · ","")&amp;IF(AND(ISNUMBER($AM27),ISNUMBER($AN27),$AM27&gt;$AN27),"Inicio posterior a fecha límite"&amp;" · ","")&amp;IF(AND($V27="Macro",$H27&lt;&gt;"",OR(NOT(ISNUMBER($H27)),$H27&lt;0,$H27&gt;1)),"Peso fuera de rango"&amp;" · ","")&amp;IF(AND($V27="Sub",$H27&lt;&gt;""),"Las subactividades no llevan peso (valen igual dentro de su macroactividad)"&amp;" · ","")&amp;IF(AND(N($W27)&gt;0,COUNT($I27:$L27)&gt;0),"Con subactividades: deje vacías las semanas (se calculan solas)"&amp;" · ","")&amp;IF((COUNTIF($I27:$L27,"&gt;1")+COUNTIF($I27:$L27,"&lt;0")+COUNTA($I27:$L27)-COUNT($I27:$L27))&gt;0,"Avance fuera de rango 0-100%"&amp;" · ","")&amp;IF(OR(AND($J27&lt;&gt;"",$J27&lt;$I27),AND($K27&lt;&gt;"",$K27&lt;MAX($I27:$J27)),AND($L27&lt;&gt;"",$L27&lt;MAX($I27:$K27))),"Avance semanal decreciente"&amp;" · ","")&amp;IF(AND(ISNUMBER($AN27),$AN27&lt;FechaRef,IF($V27="Sub",N($X27),N($M27))&lt;1),"Vencida"&amp;" · ","")&amp;IF(AND(ObsObligatoria="Sí",ISNUMBER($AN27),$AN27&lt;FechaRef,IF($V27="Sub",N($X27),N($M27))&lt;1,$Q27=""),"Vencida sin observación"&amp;" · ",""))-3)))</f>
        <v/>
      </c>
      <c r="S27" s="64">
        <f>IF(NOT((COUNTA($B27:$D27)+COUNTA($G27:$L27)+COUNTA($Q27))&gt;0),"",IF(AND($V27="Sub",N($U27)&gt;0),IF(ISNUMBER(INDEX($AM$5:$AM$1000,$U27-4)),DATE(YEAR(INDEX($AM$5:$AM$1000,$U27-4)),MONTH(INDEX($AM$5:$AM$1000,$U27-4)),1),IF(ISNUMBER(INDEX($AN$5:$AN$1000,$U27-4)),DATE(YEAR(INDEX($AN$5:$AN$1000,$U27-4)),MONTH(INDEX($AN$5:$AN$1000,$U27-4)),1),MesCiclo)),IF(ISNUMBER($AM27),DATE(YEAR($AM27),MONTH($AM27),1),IF(ISNUMBER($AN27),DATE(YEAR($AN27),MONTH($AN27),1),MesCiclo))))</f>
        <v/>
      </c>
      <c r="T27" s="62">
        <f>IF(OR($S27="",$S27&lt;&gt;MesCiclo,$V27&lt;&gt;"Macro"),"",COUNTIFS($S$5:$S27,MesCiclo,$V$5:$V27,"Macro"))</f>
        <v/>
      </c>
      <c r="U27" s="62">
        <f>IF($V27="","",IF($V27="Macro",ROW(),IFERROR(LOOKUP(2,1/($V$5:$V27="Macro"),ROW($V$5:$V27)),0)))</f>
        <v/>
      </c>
      <c r="V27" s="62">
        <f>IF(NOT((COUNTA($B27:$D27)+COUNTA($G27:$L27)+COUNTA($Q27))&gt;0),"",IF($B27="Subactividad","Sub","Macro"))</f>
        <v/>
      </c>
      <c r="W27" s="62">
        <f>IF($V27="Macro",COUNTIFS($U$5:$U$1000,ROW(),$V$5:$V$1000,"Sub"),"")</f>
        <v/>
      </c>
      <c r="X27" s="62">
        <f>IF($V27="","",IF(ISNUMBER($G27),1,IFERROR(LOOKUP(2,1/($I27:$L27&lt;&gt;""),$I27:$L27),0)))</f>
        <v/>
      </c>
      <c r="Y27" s="62">
        <f>IF($V27="","",IF(AND(ISNUMBER($G27),$G27&lt;=IF($S27=MesCiclo,InicioCiclo,$S27+MOD(2-WEEKDAY($S27),7))+6),1,IF(ISNUMBER($I27),$I27,0)))</f>
        <v/>
      </c>
      <c r="Z27" s="62">
        <f>IF($V27="","",IF(AND(ISNUMBER($G27),$G27&lt;=IF($S27=MesCiclo,InicioCiclo,$S27+MOD(2-WEEKDAY($S27),7))+13),1,IF(ISNUMBER($J27),$J27,$Y27)))</f>
        <v/>
      </c>
      <c r="AA27" s="62">
        <f>IF($V27="","",IF(AND(ISNUMBER($G27),$G27&lt;=IF($S27=MesCiclo,InicioCiclo,$S27+MOD(2-WEEKDAY($S27),7))+20),1,IF(ISNUMBER($K27),$K27,$Z27)))</f>
        <v/>
      </c>
      <c r="AB27" s="62">
        <f>IF($V27="","",IF(AND(ISNUMBER($G27),$G27&lt;=IF($S27=MesCiclo,InicioCiclo,$S27+MOD(2-WEEKDAY($S27),7))+27),1,IF(ISNUMBER($L27),$L27,$AA27)))</f>
        <v/>
      </c>
      <c r="AC27" s="62">
        <f>IF($V27="","",IF(AND(ISNUMBER($G27),$G27&lt;=IF($S27=MesCiclo,InicioCiclo,$S27+MOD(2-WEEKDAY($S27),7))+6),1,IF(N($W27)&gt;0,AVERAGEIFS($Y$5:$Y$1000,$U$5:$U$1000,ROW(),$V$5:$V$1000,"Sub"),$Y27)))</f>
        <v/>
      </c>
      <c r="AD27" s="62">
        <f>IF($V27="","",IF(AND(ISNUMBER($G27),$G27&lt;=IF($S27=MesCiclo,InicioCiclo,$S27+MOD(2-WEEKDAY($S27),7))+13),1,IF(N($W27)&gt;0,AVERAGEIFS($Z$5:$Z$1000,$U$5:$U$1000,ROW(),$V$5:$V$1000,"Sub"),$Z27)))</f>
        <v/>
      </c>
      <c r="AE27" s="62">
        <f>IF($V27="","",IF(AND(ISNUMBER($G27),$G27&lt;=IF($S27=MesCiclo,InicioCiclo,$S27+MOD(2-WEEKDAY($S27),7))+20),1,IF(N($W27)&gt;0,AVERAGEIFS($AA$5:$AA$1000,$U$5:$U$1000,ROW(),$V$5:$V$1000,"Sub"),$AA27)))</f>
        <v/>
      </c>
      <c r="AF27" s="62">
        <f>IF($V27="","",IF(AND(ISNUMBER($G27),$G27&lt;=IF($S27=MesCiclo,InicioCiclo,$S27+MOD(2-WEEKDAY($S27),7))+27),1,IF(N($W27)&gt;0,AVERAGEIFS($AB$5:$AB$1000,$U$5:$U$1000,ROW(),$V$5:$V$1000,"Sub"),$AB27)))</f>
        <v/>
      </c>
      <c r="AG27" s="62">
        <f>IF($V27&lt;&gt;"Macro","",IF(COUNTIFS($S$5:$S$1000,$S27,$V$5:$V$1000,"Macro",$H$5:$H$1000,"&gt;0")=0,1/COUNTIFS($S$5:$S$1000,$S27,$V$5:$V$1000,"Macro"),IF(AND(ISNUMBER($H27),N($H27)&gt;0),$H27,SUMIFS($H$5:$H$1000,$S$5:$S$1000,$S27,$V$5:$V$1000,"Macro")/COUNTIFS($S$5:$S$1000,$S27,$V$5:$V$1000,"Macro",$H$5:$H$1000,"&gt;0"))/(COUNTIFS($S$5:$S$1000,$S27,$V$5:$V$1000,"Macro")*SUMIFS($H$5:$H$1000,$S$5:$S$1000,$S27,$V$5:$V$1000,"Macro")/COUNTIFS($S$5:$S$1000,$S27,$V$5:$V$1000,"Macro",$H$5:$H$1000,"&gt;0"))))</f>
        <v/>
      </c>
      <c r="AH27" s="62" t="n"/>
      <c r="AI27" s="62" t="n"/>
      <c r="AJ27" s="62" t="n"/>
      <c r="AK27" s="62" t="n"/>
      <c r="AL27" s="62">
        <f>IF(LEFT($C27,11)="[Jefatura] ",IFERROR(MATCH("Riesgo Operacional|"&amp;MID($C27,12,500),rDname_ADM,0),0),"")</f>
        <v/>
      </c>
      <c r="AM27" s="62">
        <f>IF(N($AL27)&gt;0,INDEX(rIni_ADM,$AL27),IF(ISNUMBER($E27),$E27,""))</f>
        <v/>
      </c>
      <c r="AN27" s="62">
        <f>IF(N($AL27)&gt;0,INDEX(rLim_ADM,$AL27),IF(ISNUMBER($F27),$F27,""))</f>
        <v/>
      </c>
    </row>
    <row r="28">
      <c r="A28" s="56">
        <f>IF(NOT((COUNTA($B28:$D28)+COUNTA($G28:$L28)+COUNTA($Q28))&gt;0),"",IF($V28="Macro",COUNTIFS($V$5:$V28,"Macro",$S$5:$S28,$S28),IF(N($U28)=0,"?",COUNTIFS(INDEX($V$5:$V$1000,1):INDEX($V$5:$V$1000,$U28-4),"Macro",INDEX($S$5:$S$1000,1):INDEX($S$5:$S$1000,$U28-4),INDEX($S$5:$S$1000,$U28-4))&amp;"."&amp;COUNTIFS($U$5:$U28,$U28,$V$5:$V28,"Sub"))))</f>
        <v/>
      </c>
      <c r="B28" s="57" t="n"/>
      <c r="C28" s="58" t="n"/>
      <c r="D28" s="58" t="n"/>
      <c r="E28" s="59">
        <f>IF(N($AL28)&gt;0,INDEX(rIni_ADM,$AL28),"")</f>
        <v/>
      </c>
      <c r="F28" s="59">
        <f>IF(N($AL28)&gt;0,INDEX(rLim_ADM,$AL28),"")</f>
        <v/>
      </c>
      <c r="G28" s="59" t="n"/>
      <c r="H28" s="60" t="n"/>
      <c r="I28" s="60" t="n"/>
      <c r="J28" s="60" t="n"/>
      <c r="K28" s="60" t="n"/>
      <c r="L28" s="60" t="n"/>
      <c r="M28" s="61">
        <f>IF(NOT((COUNTA($B28:$D28)+COUNTA($G28:$L28)+COUNTA($Q28))&gt;0),"",IF($V28="Sub",IFERROR($X28/INDEX($W$5:$W$1000,$U28-4),""),IF(ISNUMBER($G28),1,IF(N($W28)&gt;0,AVERAGEIFS($X$5:$X$1000,$U$5:$U$1000,ROW(),$V$5:$V$1000,"Sub"),$X28))))</f>
        <v/>
      </c>
      <c r="N28" s="56">
        <f>IF(OR($M28="",$V28="Sub"),"",IF($M28&gt;=1,"Completado",IF($M28&gt;0,"En curso","Pendiente")))</f>
        <v/>
      </c>
      <c r="O28" s="56">
        <f>IF(OR(NOT((COUNTA($B28:$D28)+COUNTA($G28:$L28)+COUNTA($Q28))&gt;0),$V28="Sub"),"",IF(ISNUMBER($G28),IF(AND(ISNUMBER($AN28),$G28&gt;$AN28),"Cumplida con "&amp;($G28-$AN28)&amp;IF($G28-$AN28=1," día"," días")&amp;" de retraso","Cumplida"),IF(N($M28)&gt;=1,"Cumplida",IF(NOT(ISNUMBER($AN28)),"Sin fecha límite",IF($AN28&lt;FechaRef,"Vencida hace "&amp;(FechaRef-$AN28)&amp;IF(FechaRef-$AN28=1," día"," días"),IF($AN28=FechaRef,"Vence hoy",IF($AN28-FechaRef&lt;=DiasAlerta,"Vence en "&amp;($AN28-FechaRef)&amp;IF($AN28-FechaRef=1," día"," días"),"En plazo")))))))</f>
        <v/>
      </c>
      <c r="P28" s="62" t="n"/>
      <c r="Q28" s="58" t="n"/>
      <c r="R28" s="63">
        <f>IF(NOT((COUNTA($B28:$D28)+COUNTA($G28:$L28)+COUNTA($Q28))&gt;0),"",IF((IF($C28="","Falta el nombre de la actividad"&amp;" · ","")&amp;IF(AND($V28="Sub",N($U28)=0),"Subactividad sin macroactividad arriba"&amp;" · ","")&amp;IF($AM28="","Sin fecha de inicio"&amp;" · ","")&amp;IF($AN28="","Sin fecha límite"&amp;" · ","")&amp;IF(AND(LEFT($C28,11)="[Jefatura] ",N($AL28)=0),"No se encuentra en la hoja de la jefatura (elíjala de nuevo en la lista)"&amp;" · ","")&amp;IF(OR(AND($E28&lt;&gt;"",NOT(ISNUMBER($E28))),AND($F28&lt;&gt;"",NOT(ISNUMBER($F28))),AND($G28&lt;&gt;"",NOT(ISNUMBER($G28)))),"Fecha no válida"&amp;" · ","")&amp;IF(AND(ISNUMBER($AM28),ISNUMBER($AN28),$AM28&gt;$AN28),"Inicio posterior a fecha límite"&amp;" · ","")&amp;IF(AND($V28="Macro",$H28&lt;&gt;"",OR(NOT(ISNUMBER($H28)),$H28&lt;0,$H28&gt;1)),"Peso fuera de rango"&amp;" · ","")&amp;IF(AND($V28="Sub",$H28&lt;&gt;""),"Las subactividades no llevan peso (valen igual dentro de su macroactividad)"&amp;" · ","")&amp;IF(AND(N($W28)&gt;0,COUNT($I28:$L28)&gt;0),"Con subactividades: deje vacías las semanas (se calculan solas)"&amp;" · ","")&amp;IF((COUNTIF($I28:$L28,"&gt;1")+COUNTIF($I28:$L28,"&lt;0")+COUNTA($I28:$L28)-COUNT($I28:$L28))&gt;0,"Avance fuera de rango 0-100%"&amp;" · ","")&amp;IF(OR(AND($J28&lt;&gt;"",$J28&lt;$I28),AND($K28&lt;&gt;"",$K28&lt;MAX($I28:$J28)),AND($L28&lt;&gt;"",$L28&lt;MAX($I28:$K28))),"Avance semanal decreciente"&amp;" · ","")&amp;IF(AND(ISNUMBER($AN28),$AN28&lt;FechaRef,IF($V28="Sub",N($X28),N($M28))&lt;1),"Vencida"&amp;" · ","")&amp;IF(AND(ObsObligatoria="Sí",ISNUMBER($AN28),$AN28&lt;FechaRef,IF($V28="Sub",N($X28),N($M28))&lt;1,$Q28=""),"Vencida sin observación"&amp;" · ",""))="","✔ OK","⚠ "&amp;LEFT(IF($C28="","Falta el nombre de la actividad"&amp;" · ","")&amp;IF(AND($V28="Sub",N($U28)=0),"Subactividad sin macroactividad arriba"&amp;" · ","")&amp;IF($AM28="","Sin fecha de inicio"&amp;" · ","")&amp;IF($AN28="","Sin fecha límite"&amp;" · ","")&amp;IF(AND(LEFT($C28,11)="[Jefatura] ",N($AL28)=0),"No se encuentra en la hoja de la jefatura (elíjala de nuevo en la lista)"&amp;" · ","")&amp;IF(OR(AND($E28&lt;&gt;"",NOT(ISNUMBER($E28))),AND($F28&lt;&gt;"",NOT(ISNUMBER($F28))),AND($G28&lt;&gt;"",NOT(ISNUMBER($G28)))),"Fecha no válida"&amp;" · ","")&amp;IF(AND(ISNUMBER($AM28),ISNUMBER($AN28),$AM28&gt;$AN28),"Inicio posterior a fecha límite"&amp;" · ","")&amp;IF(AND($V28="Macro",$H28&lt;&gt;"",OR(NOT(ISNUMBER($H28)),$H28&lt;0,$H28&gt;1)),"Peso fuera de rango"&amp;" · ","")&amp;IF(AND($V28="Sub",$H28&lt;&gt;""),"Las subactividades no llevan peso (valen igual dentro de su macroactividad)"&amp;" · ","")&amp;IF(AND(N($W28)&gt;0,COUNT($I28:$L28)&gt;0),"Con subactividades: deje vacías las semanas (se calculan solas)"&amp;" · ","")&amp;IF((COUNTIF($I28:$L28,"&gt;1")+COUNTIF($I28:$L28,"&lt;0")+COUNTA($I28:$L28)-COUNT($I28:$L28))&gt;0,"Avance fuera de rango 0-100%"&amp;" · ","")&amp;IF(OR(AND($J28&lt;&gt;"",$J28&lt;$I28),AND($K28&lt;&gt;"",$K28&lt;MAX($I28:$J28)),AND($L28&lt;&gt;"",$L28&lt;MAX($I28:$K28))),"Avance semanal decreciente"&amp;" · ","")&amp;IF(AND(ISNUMBER($AN28),$AN28&lt;FechaRef,IF($V28="Sub",N($X28),N($M28))&lt;1),"Vencida"&amp;" · ","")&amp;IF(AND(ObsObligatoria="Sí",ISNUMBER($AN28),$AN28&lt;FechaRef,IF($V28="Sub",N($X28),N($M28))&lt;1,$Q28=""),"Vencida sin observación"&amp;" · ",""),LEN(IF($C28="","Falta el nombre de la actividad"&amp;" · ","")&amp;IF(AND($V28="Sub",N($U28)=0),"Subactividad sin macroactividad arriba"&amp;" · ","")&amp;IF($AM28="","Sin fecha de inicio"&amp;" · ","")&amp;IF($AN28="","Sin fecha límite"&amp;" · ","")&amp;IF(AND(LEFT($C28,11)="[Jefatura] ",N($AL28)=0),"No se encuentra en la hoja de la jefatura (elíjala de nuevo en la lista)"&amp;" · ","")&amp;IF(OR(AND($E28&lt;&gt;"",NOT(ISNUMBER($E28))),AND($F28&lt;&gt;"",NOT(ISNUMBER($F28))),AND($G28&lt;&gt;"",NOT(ISNUMBER($G28)))),"Fecha no válida"&amp;" · ","")&amp;IF(AND(ISNUMBER($AM28),ISNUMBER($AN28),$AM28&gt;$AN28),"Inicio posterior a fecha límite"&amp;" · ","")&amp;IF(AND($V28="Macro",$H28&lt;&gt;"",OR(NOT(ISNUMBER($H28)),$H28&lt;0,$H28&gt;1)),"Peso fuera de rango"&amp;" · ","")&amp;IF(AND($V28="Sub",$H28&lt;&gt;""),"Las subactividades no llevan peso (valen igual dentro de su macroactividad)"&amp;" · ","")&amp;IF(AND(N($W28)&gt;0,COUNT($I28:$L28)&gt;0),"Con subactividades: deje vacías las semanas (se calculan solas)"&amp;" · ","")&amp;IF((COUNTIF($I28:$L28,"&gt;1")+COUNTIF($I28:$L28,"&lt;0")+COUNTA($I28:$L28)-COUNT($I28:$L28))&gt;0,"Avance fuera de rango 0-100%"&amp;" · ","")&amp;IF(OR(AND($J28&lt;&gt;"",$J28&lt;$I28),AND($K28&lt;&gt;"",$K28&lt;MAX($I28:$J28)),AND($L28&lt;&gt;"",$L28&lt;MAX($I28:$K28))),"Avance semanal decreciente"&amp;" · ","")&amp;IF(AND(ISNUMBER($AN28),$AN28&lt;FechaRef,IF($V28="Sub",N($X28),N($M28))&lt;1),"Vencida"&amp;" · ","")&amp;IF(AND(ObsObligatoria="Sí",ISNUMBER($AN28),$AN28&lt;FechaRef,IF($V28="Sub",N($X28),N($M28))&lt;1,$Q28=""),"Vencida sin observación"&amp;" · ",""))-3)))</f>
        <v/>
      </c>
      <c r="S28" s="64">
        <f>IF(NOT((COUNTA($B28:$D28)+COUNTA($G28:$L28)+COUNTA($Q28))&gt;0),"",IF(AND($V28="Sub",N($U28)&gt;0),IF(ISNUMBER(INDEX($AM$5:$AM$1000,$U28-4)),DATE(YEAR(INDEX($AM$5:$AM$1000,$U28-4)),MONTH(INDEX($AM$5:$AM$1000,$U28-4)),1),IF(ISNUMBER(INDEX($AN$5:$AN$1000,$U28-4)),DATE(YEAR(INDEX($AN$5:$AN$1000,$U28-4)),MONTH(INDEX($AN$5:$AN$1000,$U28-4)),1),MesCiclo)),IF(ISNUMBER($AM28),DATE(YEAR($AM28),MONTH($AM28),1),IF(ISNUMBER($AN28),DATE(YEAR($AN28),MONTH($AN28),1),MesCiclo))))</f>
        <v/>
      </c>
      <c r="T28" s="62">
        <f>IF(OR($S28="",$S28&lt;&gt;MesCiclo,$V28&lt;&gt;"Macro"),"",COUNTIFS($S$5:$S28,MesCiclo,$V$5:$V28,"Macro"))</f>
        <v/>
      </c>
      <c r="U28" s="62">
        <f>IF($V28="","",IF($V28="Macro",ROW(),IFERROR(LOOKUP(2,1/($V$5:$V28="Macro"),ROW($V$5:$V28)),0)))</f>
        <v/>
      </c>
      <c r="V28" s="62">
        <f>IF(NOT((COUNTA($B28:$D28)+COUNTA($G28:$L28)+COUNTA($Q28))&gt;0),"",IF($B28="Subactividad","Sub","Macro"))</f>
        <v/>
      </c>
      <c r="W28" s="62">
        <f>IF($V28="Macro",COUNTIFS($U$5:$U$1000,ROW(),$V$5:$V$1000,"Sub"),"")</f>
        <v/>
      </c>
      <c r="X28" s="62">
        <f>IF($V28="","",IF(ISNUMBER($G28),1,IFERROR(LOOKUP(2,1/($I28:$L28&lt;&gt;""),$I28:$L28),0)))</f>
        <v/>
      </c>
      <c r="Y28" s="62">
        <f>IF($V28="","",IF(AND(ISNUMBER($G28),$G28&lt;=IF($S28=MesCiclo,InicioCiclo,$S28+MOD(2-WEEKDAY($S28),7))+6),1,IF(ISNUMBER($I28),$I28,0)))</f>
        <v/>
      </c>
      <c r="Z28" s="62">
        <f>IF($V28="","",IF(AND(ISNUMBER($G28),$G28&lt;=IF($S28=MesCiclo,InicioCiclo,$S28+MOD(2-WEEKDAY($S28),7))+13),1,IF(ISNUMBER($J28),$J28,$Y28)))</f>
        <v/>
      </c>
      <c r="AA28" s="62">
        <f>IF($V28="","",IF(AND(ISNUMBER($G28),$G28&lt;=IF($S28=MesCiclo,InicioCiclo,$S28+MOD(2-WEEKDAY($S28),7))+20),1,IF(ISNUMBER($K28),$K28,$Z28)))</f>
        <v/>
      </c>
      <c r="AB28" s="62">
        <f>IF($V28="","",IF(AND(ISNUMBER($G28),$G28&lt;=IF($S28=MesCiclo,InicioCiclo,$S28+MOD(2-WEEKDAY($S28),7))+27),1,IF(ISNUMBER($L28),$L28,$AA28)))</f>
        <v/>
      </c>
      <c r="AC28" s="62">
        <f>IF($V28="","",IF(AND(ISNUMBER($G28),$G28&lt;=IF($S28=MesCiclo,InicioCiclo,$S28+MOD(2-WEEKDAY($S28),7))+6),1,IF(N($W28)&gt;0,AVERAGEIFS($Y$5:$Y$1000,$U$5:$U$1000,ROW(),$V$5:$V$1000,"Sub"),$Y28)))</f>
        <v/>
      </c>
      <c r="AD28" s="62">
        <f>IF($V28="","",IF(AND(ISNUMBER($G28),$G28&lt;=IF($S28=MesCiclo,InicioCiclo,$S28+MOD(2-WEEKDAY($S28),7))+13),1,IF(N($W28)&gt;0,AVERAGEIFS($Z$5:$Z$1000,$U$5:$U$1000,ROW(),$V$5:$V$1000,"Sub"),$Z28)))</f>
        <v/>
      </c>
      <c r="AE28" s="62">
        <f>IF($V28="","",IF(AND(ISNUMBER($G28),$G28&lt;=IF($S28=MesCiclo,InicioCiclo,$S28+MOD(2-WEEKDAY($S28),7))+20),1,IF(N($W28)&gt;0,AVERAGEIFS($AA$5:$AA$1000,$U$5:$U$1000,ROW(),$V$5:$V$1000,"Sub"),$AA28)))</f>
        <v/>
      </c>
      <c r="AF28" s="62">
        <f>IF($V28="","",IF(AND(ISNUMBER($G28),$G28&lt;=IF($S28=MesCiclo,InicioCiclo,$S28+MOD(2-WEEKDAY($S28),7))+27),1,IF(N($W28)&gt;0,AVERAGEIFS($AB$5:$AB$1000,$U$5:$U$1000,ROW(),$V$5:$V$1000,"Sub"),$AB28)))</f>
        <v/>
      </c>
      <c r="AG28" s="62">
        <f>IF($V28&lt;&gt;"Macro","",IF(COUNTIFS($S$5:$S$1000,$S28,$V$5:$V$1000,"Macro",$H$5:$H$1000,"&gt;0")=0,1/COUNTIFS($S$5:$S$1000,$S28,$V$5:$V$1000,"Macro"),IF(AND(ISNUMBER($H28),N($H28)&gt;0),$H28,SUMIFS($H$5:$H$1000,$S$5:$S$1000,$S28,$V$5:$V$1000,"Macro")/COUNTIFS($S$5:$S$1000,$S28,$V$5:$V$1000,"Macro",$H$5:$H$1000,"&gt;0"))/(COUNTIFS($S$5:$S$1000,$S28,$V$5:$V$1000,"Macro")*SUMIFS($H$5:$H$1000,$S$5:$S$1000,$S28,$V$5:$V$1000,"Macro")/COUNTIFS($S$5:$S$1000,$S28,$V$5:$V$1000,"Macro",$H$5:$H$1000,"&gt;0"))))</f>
        <v/>
      </c>
      <c r="AH28" s="62" t="n"/>
      <c r="AI28" s="62" t="n"/>
      <c r="AJ28" s="62" t="n"/>
      <c r="AK28" s="62" t="n"/>
      <c r="AL28" s="62">
        <f>IF(LEFT($C28,11)="[Jefatura] ",IFERROR(MATCH("Riesgo Operacional|"&amp;MID($C28,12,500),rDname_ADM,0),0),"")</f>
        <v/>
      </c>
      <c r="AM28" s="62">
        <f>IF(N($AL28)&gt;0,INDEX(rIni_ADM,$AL28),IF(ISNUMBER($E28),$E28,""))</f>
        <v/>
      </c>
      <c r="AN28" s="62">
        <f>IF(N($AL28)&gt;0,INDEX(rLim_ADM,$AL28),IF(ISNUMBER($F28),$F28,""))</f>
        <v/>
      </c>
    </row>
    <row r="29">
      <c r="A29" s="56">
        <f>IF(NOT((COUNTA($B29:$D29)+COUNTA($G29:$L29)+COUNTA($Q29))&gt;0),"",IF($V29="Macro",COUNTIFS($V$5:$V29,"Macro",$S$5:$S29,$S29),IF(N($U29)=0,"?",COUNTIFS(INDEX($V$5:$V$1000,1):INDEX($V$5:$V$1000,$U29-4),"Macro",INDEX($S$5:$S$1000,1):INDEX($S$5:$S$1000,$U29-4),INDEX($S$5:$S$1000,$U29-4))&amp;"."&amp;COUNTIFS($U$5:$U29,$U29,$V$5:$V29,"Sub"))))</f>
        <v/>
      </c>
      <c r="B29" s="57" t="n"/>
      <c r="C29" s="58" t="n"/>
      <c r="D29" s="58" t="n"/>
      <c r="E29" s="59">
        <f>IF(N($AL29)&gt;0,INDEX(rIni_ADM,$AL29),"")</f>
        <v/>
      </c>
      <c r="F29" s="59">
        <f>IF(N($AL29)&gt;0,INDEX(rLim_ADM,$AL29),"")</f>
        <v/>
      </c>
      <c r="G29" s="59" t="n"/>
      <c r="H29" s="60" t="n"/>
      <c r="I29" s="60" t="n"/>
      <c r="J29" s="60" t="n"/>
      <c r="K29" s="60" t="n"/>
      <c r="L29" s="60" t="n"/>
      <c r="M29" s="61">
        <f>IF(NOT((COUNTA($B29:$D29)+COUNTA($G29:$L29)+COUNTA($Q29))&gt;0),"",IF($V29="Sub",IFERROR($X29/INDEX($W$5:$W$1000,$U29-4),""),IF(ISNUMBER($G29),1,IF(N($W29)&gt;0,AVERAGEIFS($X$5:$X$1000,$U$5:$U$1000,ROW(),$V$5:$V$1000,"Sub"),$X29))))</f>
        <v/>
      </c>
      <c r="N29" s="56">
        <f>IF(OR($M29="",$V29="Sub"),"",IF($M29&gt;=1,"Completado",IF($M29&gt;0,"En curso","Pendiente")))</f>
        <v/>
      </c>
      <c r="O29" s="56">
        <f>IF(OR(NOT((COUNTA($B29:$D29)+COUNTA($G29:$L29)+COUNTA($Q29))&gt;0),$V29="Sub"),"",IF(ISNUMBER($G29),IF(AND(ISNUMBER($AN29),$G29&gt;$AN29),"Cumplida con "&amp;($G29-$AN29)&amp;IF($G29-$AN29=1," día"," días")&amp;" de retraso","Cumplida"),IF(N($M29)&gt;=1,"Cumplida",IF(NOT(ISNUMBER($AN29)),"Sin fecha límite",IF($AN29&lt;FechaRef,"Vencida hace "&amp;(FechaRef-$AN29)&amp;IF(FechaRef-$AN29=1," día"," días"),IF($AN29=FechaRef,"Vence hoy",IF($AN29-FechaRef&lt;=DiasAlerta,"Vence en "&amp;($AN29-FechaRef)&amp;IF($AN29-FechaRef=1," día"," días"),"En plazo")))))))</f>
        <v/>
      </c>
      <c r="P29" s="62" t="n"/>
      <c r="Q29" s="58" t="n"/>
      <c r="R29" s="63">
        <f>IF(NOT((COUNTA($B29:$D29)+COUNTA($G29:$L29)+COUNTA($Q29))&gt;0),"",IF((IF($C29="","Falta el nombre de la actividad"&amp;" · ","")&amp;IF(AND($V29="Sub",N($U29)=0),"Subactividad sin macroactividad arriba"&amp;" · ","")&amp;IF($AM29="","Sin fecha de inicio"&amp;" · ","")&amp;IF($AN29="","Sin fecha límite"&amp;" · ","")&amp;IF(AND(LEFT($C29,11)="[Jefatura] ",N($AL29)=0),"No se encuentra en la hoja de la jefatura (elíjala de nuevo en la lista)"&amp;" · ","")&amp;IF(OR(AND($E29&lt;&gt;"",NOT(ISNUMBER($E29))),AND($F29&lt;&gt;"",NOT(ISNUMBER($F29))),AND($G29&lt;&gt;"",NOT(ISNUMBER($G29)))),"Fecha no válida"&amp;" · ","")&amp;IF(AND(ISNUMBER($AM29),ISNUMBER($AN29),$AM29&gt;$AN29),"Inicio posterior a fecha límite"&amp;" · ","")&amp;IF(AND($V29="Macro",$H29&lt;&gt;"",OR(NOT(ISNUMBER($H29)),$H29&lt;0,$H29&gt;1)),"Peso fuera de rango"&amp;" · ","")&amp;IF(AND($V29="Sub",$H29&lt;&gt;""),"Las subactividades no llevan peso (valen igual dentro de su macroactividad)"&amp;" · ","")&amp;IF(AND(N($W29)&gt;0,COUNT($I29:$L29)&gt;0),"Con subactividades: deje vacías las semanas (se calculan solas)"&amp;" · ","")&amp;IF((COUNTIF($I29:$L29,"&gt;1")+COUNTIF($I29:$L29,"&lt;0")+COUNTA($I29:$L29)-COUNT($I29:$L29))&gt;0,"Avance fuera de rango 0-100%"&amp;" · ","")&amp;IF(OR(AND($J29&lt;&gt;"",$J29&lt;$I29),AND($K29&lt;&gt;"",$K29&lt;MAX($I29:$J29)),AND($L29&lt;&gt;"",$L29&lt;MAX($I29:$K29))),"Avance semanal decreciente"&amp;" · ","")&amp;IF(AND(ISNUMBER($AN29),$AN29&lt;FechaRef,IF($V29="Sub",N($X29),N($M29))&lt;1),"Vencida"&amp;" · ","")&amp;IF(AND(ObsObligatoria="Sí",ISNUMBER($AN29),$AN29&lt;FechaRef,IF($V29="Sub",N($X29),N($M29))&lt;1,$Q29=""),"Vencida sin observación"&amp;" · ",""))="","✔ OK","⚠ "&amp;LEFT(IF($C29="","Falta el nombre de la actividad"&amp;" · ","")&amp;IF(AND($V29="Sub",N($U29)=0),"Subactividad sin macroactividad arriba"&amp;" · ","")&amp;IF($AM29="","Sin fecha de inicio"&amp;" · ","")&amp;IF($AN29="","Sin fecha límite"&amp;" · ","")&amp;IF(AND(LEFT($C29,11)="[Jefatura] ",N($AL29)=0),"No se encuentra en la hoja de la jefatura (elíjala de nuevo en la lista)"&amp;" · ","")&amp;IF(OR(AND($E29&lt;&gt;"",NOT(ISNUMBER($E29))),AND($F29&lt;&gt;"",NOT(ISNUMBER($F29))),AND($G29&lt;&gt;"",NOT(ISNUMBER($G29)))),"Fecha no válida"&amp;" · ","")&amp;IF(AND(ISNUMBER($AM29),ISNUMBER($AN29),$AM29&gt;$AN29),"Inicio posterior a fecha límite"&amp;" · ","")&amp;IF(AND($V29="Macro",$H29&lt;&gt;"",OR(NOT(ISNUMBER($H29)),$H29&lt;0,$H29&gt;1)),"Peso fuera de rango"&amp;" · ","")&amp;IF(AND($V29="Sub",$H29&lt;&gt;""),"Las subactividades no llevan peso (valen igual dentro de su macroactividad)"&amp;" · ","")&amp;IF(AND(N($W29)&gt;0,COUNT($I29:$L29)&gt;0),"Con subactividades: deje vacías las semanas (se calculan solas)"&amp;" · ","")&amp;IF((COUNTIF($I29:$L29,"&gt;1")+COUNTIF($I29:$L29,"&lt;0")+COUNTA($I29:$L29)-COUNT($I29:$L29))&gt;0,"Avance fuera de rango 0-100%"&amp;" · ","")&amp;IF(OR(AND($J29&lt;&gt;"",$J29&lt;$I29),AND($K29&lt;&gt;"",$K29&lt;MAX($I29:$J29)),AND($L29&lt;&gt;"",$L29&lt;MAX($I29:$K29))),"Avance semanal decreciente"&amp;" · ","")&amp;IF(AND(ISNUMBER($AN29),$AN29&lt;FechaRef,IF($V29="Sub",N($X29),N($M29))&lt;1),"Vencida"&amp;" · ","")&amp;IF(AND(ObsObligatoria="Sí",ISNUMBER($AN29),$AN29&lt;FechaRef,IF($V29="Sub",N($X29),N($M29))&lt;1,$Q29=""),"Vencida sin observación"&amp;" · ",""),LEN(IF($C29="","Falta el nombre de la actividad"&amp;" · ","")&amp;IF(AND($V29="Sub",N($U29)=0),"Subactividad sin macroactividad arriba"&amp;" · ","")&amp;IF($AM29="","Sin fecha de inicio"&amp;" · ","")&amp;IF($AN29="","Sin fecha límite"&amp;" · ","")&amp;IF(AND(LEFT($C29,11)="[Jefatura] ",N($AL29)=0),"No se encuentra en la hoja de la jefatura (elíjala de nuevo en la lista)"&amp;" · ","")&amp;IF(OR(AND($E29&lt;&gt;"",NOT(ISNUMBER($E29))),AND($F29&lt;&gt;"",NOT(ISNUMBER($F29))),AND($G29&lt;&gt;"",NOT(ISNUMBER($G29)))),"Fecha no válida"&amp;" · ","")&amp;IF(AND(ISNUMBER($AM29),ISNUMBER($AN29),$AM29&gt;$AN29),"Inicio posterior a fecha límite"&amp;" · ","")&amp;IF(AND($V29="Macro",$H29&lt;&gt;"",OR(NOT(ISNUMBER($H29)),$H29&lt;0,$H29&gt;1)),"Peso fuera de rango"&amp;" · ","")&amp;IF(AND($V29="Sub",$H29&lt;&gt;""),"Las subactividades no llevan peso (valen igual dentro de su macroactividad)"&amp;" · ","")&amp;IF(AND(N($W29)&gt;0,COUNT($I29:$L29)&gt;0),"Con subactividades: deje vacías las semanas (se calculan solas)"&amp;" · ","")&amp;IF((COUNTIF($I29:$L29,"&gt;1")+COUNTIF($I29:$L29,"&lt;0")+COUNTA($I29:$L29)-COUNT($I29:$L29))&gt;0,"Avance fuera de rango 0-100%"&amp;" · ","")&amp;IF(OR(AND($J29&lt;&gt;"",$J29&lt;$I29),AND($K29&lt;&gt;"",$K29&lt;MAX($I29:$J29)),AND($L29&lt;&gt;"",$L29&lt;MAX($I29:$K29))),"Avance semanal decreciente"&amp;" · ","")&amp;IF(AND(ISNUMBER($AN29),$AN29&lt;FechaRef,IF($V29="Sub",N($X29),N($M29))&lt;1),"Vencida"&amp;" · ","")&amp;IF(AND(ObsObligatoria="Sí",ISNUMBER($AN29),$AN29&lt;FechaRef,IF($V29="Sub",N($X29),N($M29))&lt;1,$Q29=""),"Vencida sin observación"&amp;" · ",""))-3)))</f>
        <v/>
      </c>
      <c r="S29" s="64">
        <f>IF(NOT((COUNTA($B29:$D29)+COUNTA($G29:$L29)+COUNTA($Q29))&gt;0),"",IF(AND($V29="Sub",N($U29)&gt;0),IF(ISNUMBER(INDEX($AM$5:$AM$1000,$U29-4)),DATE(YEAR(INDEX($AM$5:$AM$1000,$U29-4)),MONTH(INDEX($AM$5:$AM$1000,$U29-4)),1),IF(ISNUMBER(INDEX($AN$5:$AN$1000,$U29-4)),DATE(YEAR(INDEX($AN$5:$AN$1000,$U29-4)),MONTH(INDEX($AN$5:$AN$1000,$U29-4)),1),MesCiclo)),IF(ISNUMBER($AM29),DATE(YEAR($AM29),MONTH($AM29),1),IF(ISNUMBER($AN29),DATE(YEAR($AN29),MONTH($AN29),1),MesCiclo))))</f>
        <v/>
      </c>
      <c r="T29" s="62">
        <f>IF(OR($S29="",$S29&lt;&gt;MesCiclo,$V29&lt;&gt;"Macro"),"",COUNTIFS($S$5:$S29,MesCiclo,$V$5:$V29,"Macro"))</f>
        <v/>
      </c>
      <c r="U29" s="62">
        <f>IF($V29="","",IF($V29="Macro",ROW(),IFERROR(LOOKUP(2,1/($V$5:$V29="Macro"),ROW($V$5:$V29)),0)))</f>
        <v/>
      </c>
      <c r="V29" s="62">
        <f>IF(NOT((COUNTA($B29:$D29)+COUNTA($G29:$L29)+COUNTA($Q29))&gt;0),"",IF($B29="Subactividad","Sub","Macro"))</f>
        <v/>
      </c>
      <c r="W29" s="62">
        <f>IF($V29="Macro",COUNTIFS($U$5:$U$1000,ROW(),$V$5:$V$1000,"Sub"),"")</f>
        <v/>
      </c>
      <c r="X29" s="62">
        <f>IF($V29="","",IF(ISNUMBER($G29),1,IFERROR(LOOKUP(2,1/($I29:$L29&lt;&gt;""),$I29:$L29),0)))</f>
        <v/>
      </c>
      <c r="Y29" s="62">
        <f>IF($V29="","",IF(AND(ISNUMBER($G29),$G29&lt;=IF($S29=MesCiclo,InicioCiclo,$S29+MOD(2-WEEKDAY($S29),7))+6),1,IF(ISNUMBER($I29),$I29,0)))</f>
        <v/>
      </c>
      <c r="Z29" s="62">
        <f>IF($V29="","",IF(AND(ISNUMBER($G29),$G29&lt;=IF($S29=MesCiclo,InicioCiclo,$S29+MOD(2-WEEKDAY($S29),7))+13),1,IF(ISNUMBER($J29),$J29,$Y29)))</f>
        <v/>
      </c>
      <c r="AA29" s="62">
        <f>IF($V29="","",IF(AND(ISNUMBER($G29),$G29&lt;=IF($S29=MesCiclo,InicioCiclo,$S29+MOD(2-WEEKDAY($S29),7))+20),1,IF(ISNUMBER($K29),$K29,$Z29)))</f>
        <v/>
      </c>
      <c r="AB29" s="62">
        <f>IF($V29="","",IF(AND(ISNUMBER($G29),$G29&lt;=IF($S29=MesCiclo,InicioCiclo,$S29+MOD(2-WEEKDAY($S29),7))+27),1,IF(ISNUMBER($L29),$L29,$AA29)))</f>
        <v/>
      </c>
      <c r="AC29" s="62">
        <f>IF($V29="","",IF(AND(ISNUMBER($G29),$G29&lt;=IF($S29=MesCiclo,InicioCiclo,$S29+MOD(2-WEEKDAY($S29),7))+6),1,IF(N($W29)&gt;0,AVERAGEIFS($Y$5:$Y$1000,$U$5:$U$1000,ROW(),$V$5:$V$1000,"Sub"),$Y29)))</f>
        <v/>
      </c>
      <c r="AD29" s="62">
        <f>IF($V29="","",IF(AND(ISNUMBER($G29),$G29&lt;=IF($S29=MesCiclo,InicioCiclo,$S29+MOD(2-WEEKDAY($S29),7))+13),1,IF(N($W29)&gt;0,AVERAGEIFS($Z$5:$Z$1000,$U$5:$U$1000,ROW(),$V$5:$V$1000,"Sub"),$Z29)))</f>
        <v/>
      </c>
      <c r="AE29" s="62">
        <f>IF($V29="","",IF(AND(ISNUMBER($G29),$G29&lt;=IF($S29=MesCiclo,InicioCiclo,$S29+MOD(2-WEEKDAY($S29),7))+20),1,IF(N($W29)&gt;0,AVERAGEIFS($AA$5:$AA$1000,$U$5:$U$1000,ROW(),$V$5:$V$1000,"Sub"),$AA29)))</f>
        <v/>
      </c>
      <c r="AF29" s="62">
        <f>IF($V29="","",IF(AND(ISNUMBER($G29),$G29&lt;=IF($S29=MesCiclo,InicioCiclo,$S29+MOD(2-WEEKDAY($S29),7))+27),1,IF(N($W29)&gt;0,AVERAGEIFS($AB$5:$AB$1000,$U$5:$U$1000,ROW(),$V$5:$V$1000,"Sub"),$AB29)))</f>
        <v/>
      </c>
      <c r="AG29" s="62">
        <f>IF($V29&lt;&gt;"Macro","",IF(COUNTIFS($S$5:$S$1000,$S29,$V$5:$V$1000,"Macro",$H$5:$H$1000,"&gt;0")=0,1/COUNTIFS($S$5:$S$1000,$S29,$V$5:$V$1000,"Macro"),IF(AND(ISNUMBER($H29),N($H29)&gt;0),$H29,SUMIFS($H$5:$H$1000,$S$5:$S$1000,$S29,$V$5:$V$1000,"Macro")/COUNTIFS($S$5:$S$1000,$S29,$V$5:$V$1000,"Macro",$H$5:$H$1000,"&gt;0"))/(COUNTIFS($S$5:$S$1000,$S29,$V$5:$V$1000,"Macro")*SUMIFS($H$5:$H$1000,$S$5:$S$1000,$S29,$V$5:$V$1000,"Macro")/COUNTIFS($S$5:$S$1000,$S29,$V$5:$V$1000,"Macro",$H$5:$H$1000,"&gt;0"))))</f>
        <v/>
      </c>
      <c r="AH29" s="62" t="n"/>
      <c r="AI29" s="62" t="n"/>
      <c r="AJ29" s="62" t="n"/>
      <c r="AK29" s="62" t="n"/>
      <c r="AL29" s="62">
        <f>IF(LEFT($C29,11)="[Jefatura] ",IFERROR(MATCH("Riesgo Operacional|"&amp;MID($C29,12,500),rDname_ADM,0),0),"")</f>
        <v/>
      </c>
      <c r="AM29" s="62">
        <f>IF(N($AL29)&gt;0,INDEX(rIni_ADM,$AL29),IF(ISNUMBER($E29),$E29,""))</f>
        <v/>
      </c>
      <c r="AN29" s="62">
        <f>IF(N($AL29)&gt;0,INDEX(rLim_ADM,$AL29),IF(ISNUMBER($F29),$F29,""))</f>
        <v/>
      </c>
    </row>
    <row r="30">
      <c r="A30" s="56">
        <f>IF(NOT((COUNTA($B30:$D30)+COUNTA($G30:$L30)+COUNTA($Q30))&gt;0),"",IF($V30="Macro",COUNTIFS($V$5:$V30,"Macro",$S$5:$S30,$S30),IF(N($U30)=0,"?",COUNTIFS(INDEX($V$5:$V$1000,1):INDEX($V$5:$V$1000,$U30-4),"Macro",INDEX($S$5:$S$1000,1):INDEX($S$5:$S$1000,$U30-4),INDEX($S$5:$S$1000,$U30-4))&amp;"."&amp;COUNTIFS($U$5:$U30,$U30,$V$5:$V30,"Sub"))))</f>
        <v/>
      </c>
      <c r="B30" s="57" t="n"/>
      <c r="C30" s="58" t="n"/>
      <c r="D30" s="58" t="n"/>
      <c r="E30" s="59">
        <f>IF(N($AL30)&gt;0,INDEX(rIni_ADM,$AL30),"")</f>
        <v/>
      </c>
      <c r="F30" s="59">
        <f>IF(N($AL30)&gt;0,INDEX(rLim_ADM,$AL30),"")</f>
        <v/>
      </c>
      <c r="G30" s="59" t="n"/>
      <c r="H30" s="60" t="n"/>
      <c r="I30" s="60" t="n"/>
      <c r="J30" s="60" t="n"/>
      <c r="K30" s="60" t="n"/>
      <c r="L30" s="60" t="n"/>
      <c r="M30" s="61">
        <f>IF(NOT((COUNTA($B30:$D30)+COUNTA($G30:$L30)+COUNTA($Q30))&gt;0),"",IF($V30="Sub",IFERROR($X30/INDEX($W$5:$W$1000,$U30-4),""),IF(ISNUMBER($G30),1,IF(N($W30)&gt;0,AVERAGEIFS($X$5:$X$1000,$U$5:$U$1000,ROW(),$V$5:$V$1000,"Sub"),$X30))))</f>
        <v/>
      </c>
      <c r="N30" s="56">
        <f>IF(OR($M30="",$V30="Sub"),"",IF($M30&gt;=1,"Completado",IF($M30&gt;0,"En curso","Pendiente")))</f>
        <v/>
      </c>
      <c r="O30" s="56">
        <f>IF(OR(NOT((COUNTA($B30:$D30)+COUNTA($G30:$L30)+COUNTA($Q30))&gt;0),$V30="Sub"),"",IF(ISNUMBER($G30),IF(AND(ISNUMBER($AN30),$G30&gt;$AN30),"Cumplida con "&amp;($G30-$AN30)&amp;IF($G30-$AN30=1," día"," días")&amp;" de retraso","Cumplida"),IF(N($M30)&gt;=1,"Cumplida",IF(NOT(ISNUMBER($AN30)),"Sin fecha límite",IF($AN30&lt;FechaRef,"Vencida hace "&amp;(FechaRef-$AN30)&amp;IF(FechaRef-$AN30=1," día"," días"),IF($AN30=FechaRef,"Vence hoy",IF($AN30-FechaRef&lt;=DiasAlerta,"Vence en "&amp;($AN30-FechaRef)&amp;IF($AN30-FechaRef=1," día"," días"),"En plazo")))))))</f>
        <v/>
      </c>
      <c r="P30" s="62" t="n"/>
      <c r="Q30" s="58" t="n"/>
      <c r="R30" s="63">
        <f>IF(NOT((COUNTA($B30:$D30)+COUNTA($G30:$L30)+COUNTA($Q30))&gt;0),"",IF((IF($C30="","Falta el nombre de la actividad"&amp;" · ","")&amp;IF(AND($V30="Sub",N($U30)=0),"Subactividad sin macroactividad arriba"&amp;" · ","")&amp;IF($AM30="","Sin fecha de inicio"&amp;" · ","")&amp;IF($AN30="","Sin fecha límite"&amp;" · ","")&amp;IF(AND(LEFT($C30,11)="[Jefatura] ",N($AL30)=0),"No se encuentra en la hoja de la jefatura (elíjala de nuevo en la lista)"&amp;" · ","")&amp;IF(OR(AND($E30&lt;&gt;"",NOT(ISNUMBER($E30))),AND($F30&lt;&gt;"",NOT(ISNUMBER($F30))),AND($G30&lt;&gt;"",NOT(ISNUMBER($G30)))),"Fecha no válida"&amp;" · ","")&amp;IF(AND(ISNUMBER($AM30),ISNUMBER($AN30),$AM30&gt;$AN30),"Inicio posterior a fecha límite"&amp;" · ","")&amp;IF(AND($V30="Macro",$H30&lt;&gt;"",OR(NOT(ISNUMBER($H30)),$H30&lt;0,$H30&gt;1)),"Peso fuera de rango"&amp;" · ","")&amp;IF(AND($V30="Sub",$H30&lt;&gt;""),"Las subactividades no llevan peso (valen igual dentro de su macroactividad)"&amp;" · ","")&amp;IF(AND(N($W30)&gt;0,COUNT($I30:$L30)&gt;0),"Con subactividades: deje vacías las semanas (se calculan solas)"&amp;" · ","")&amp;IF((COUNTIF($I30:$L30,"&gt;1")+COUNTIF($I30:$L30,"&lt;0")+COUNTA($I30:$L30)-COUNT($I30:$L30))&gt;0,"Avance fuera de rango 0-100%"&amp;" · ","")&amp;IF(OR(AND($J30&lt;&gt;"",$J30&lt;$I30),AND($K30&lt;&gt;"",$K30&lt;MAX($I30:$J30)),AND($L30&lt;&gt;"",$L30&lt;MAX($I30:$K30))),"Avance semanal decreciente"&amp;" · ","")&amp;IF(AND(ISNUMBER($AN30),$AN30&lt;FechaRef,IF($V30="Sub",N($X30),N($M30))&lt;1),"Vencida"&amp;" · ","")&amp;IF(AND(ObsObligatoria="Sí",ISNUMBER($AN30),$AN30&lt;FechaRef,IF($V30="Sub",N($X30),N($M30))&lt;1,$Q30=""),"Vencida sin observación"&amp;" · ",""))="","✔ OK","⚠ "&amp;LEFT(IF($C30="","Falta el nombre de la actividad"&amp;" · ","")&amp;IF(AND($V30="Sub",N($U30)=0),"Subactividad sin macroactividad arriba"&amp;" · ","")&amp;IF($AM30="","Sin fecha de inicio"&amp;" · ","")&amp;IF($AN30="","Sin fecha límite"&amp;" · ","")&amp;IF(AND(LEFT($C30,11)="[Jefatura] ",N($AL30)=0),"No se encuentra en la hoja de la jefatura (elíjala de nuevo en la lista)"&amp;" · ","")&amp;IF(OR(AND($E30&lt;&gt;"",NOT(ISNUMBER($E30))),AND($F30&lt;&gt;"",NOT(ISNUMBER($F30))),AND($G30&lt;&gt;"",NOT(ISNUMBER($G30)))),"Fecha no válida"&amp;" · ","")&amp;IF(AND(ISNUMBER($AM30),ISNUMBER($AN30),$AM30&gt;$AN30),"Inicio posterior a fecha límite"&amp;" · ","")&amp;IF(AND($V30="Macro",$H30&lt;&gt;"",OR(NOT(ISNUMBER($H30)),$H30&lt;0,$H30&gt;1)),"Peso fuera de rango"&amp;" · ","")&amp;IF(AND($V30="Sub",$H30&lt;&gt;""),"Las subactividades no llevan peso (valen igual dentro de su macroactividad)"&amp;" · ","")&amp;IF(AND(N($W30)&gt;0,COUNT($I30:$L30)&gt;0),"Con subactividades: deje vacías las semanas (se calculan solas)"&amp;" · ","")&amp;IF((COUNTIF($I30:$L30,"&gt;1")+COUNTIF($I30:$L30,"&lt;0")+COUNTA($I30:$L30)-COUNT($I30:$L30))&gt;0,"Avance fuera de rango 0-100%"&amp;" · ","")&amp;IF(OR(AND($J30&lt;&gt;"",$J30&lt;$I30),AND($K30&lt;&gt;"",$K30&lt;MAX($I30:$J30)),AND($L30&lt;&gt;"",$L30&lt;MAX($I30:$K30))),"Avance semanal decreciente"&amp;" · ","")&amp;IF(AND(ISNUMBER($AN30),$AN30&lt;FechaRef,IF($V30="Sub",N($X30),N($M30))&lt;1),"Vencida"&amp;" · ","")&amp;IF(AND(ObsObligatoria="Sí",ISNUMBER($AN30),$AN30&lt;FechaRef,IF($V30="Sub",N($X30),N($M30))&lt;1,$Q30=""),"Vencida sin observación"&amp;" · ",""),LEN(IF($C30="","Falta el nombre de la actividad"&amp;" · ","")&amp;IF(AND($V30="Sub",N($U30)=0),"Subactividad sin macroactividad arriba"&amp;" · ","")&amp;IF($AM30="","Sin fecha de inicio"&amp;" · ","")&amp;IF($AN30="","Sin fecha límite"&amp;" · ","")&amp;IF(AND(LEFT($C30,11)="[Jefatura] ",N($AL30)=0),"No se encuentra en la hoja de la jefatura (elíjala de nuevo en la lista)"&amp;" · ","")&amp;IF(OR(AND($E30&lt;&gt;"",NOT(ISNUMBER($E30))),AND($F30&lt;&gt;"",NOT(ISNUMBER($F30))),AND($G30&lt;&gt;"",NOT(ISNUMBER($G30)))),"Fecha no válida"&amp;" · ","")&amp;IF(AND(ISNUMBER($AM30),ISNUMBER($AN30),$AM30&gt;$AN30),"Inicio posterior a fecha límite"&amp;" · ","")&amp;IF(AND($V30="Macro",$H30&lt;&gt;"",OR(NOT(ISNUMBER($H30)),$H30&lt;0,$H30&gt;1)),"Peso fuera de rango"&amp;" · ","")&amp;IF(AND($V30="Sub",$H30&lt;&gt;""),"Las subactividades no llevan peso (valen igual dentro de su macroactividad)"&amp;" · ","")&amp;IF(AND(N($W30)&gt;0,COUNT($I30:$L30)&gt;0),"Con subactividades: deje vacías las semanas (se calculan solas)"&amp;" · ","")&amp;IF((COUNTIF($I30:$L30,"&gt;1")+COUNTIF($I30:$L30,"&lt;0")+COUNTA($I30:$L30)-COUNT($I30:$L30))&gt;0,"Avance fuera de rango 0-100%"&amp;" · ","")&amp;IF(OR(AND($J30&lt;&gt;"",$J30&lt;$I30),AND($K30&lt;&gt;"",$K30&lt;MAX($I30:$J30)),AND($L30&lt;&gt;"",$L30&lt;MAX($I30:$K30))),"Avance semanal decreciente"&amp;" · ","")&amp;IF(AND(ISNUMBER($AN30),$AN30&lt;FechaRef,IF($V30="Sub",N($X30),N($M30))&lt;1),"Vencida"&amp;" · ","")&amp;IF(AND(ObsObligatoria="Sí",ISNUMBER($AN30),$AN30&lt;FechaRef,IF($V30="Sub",N($X30),N($M30))&lt;1,$Q30=""),"Vencida sin observación"&amp;" · ",""))-3)))</f>
        <v/>
      </c>
      <c r="S30" s="64">
        <f>IF(NOT((COUNTA($B30:$D30)+COUNTA($G30:$L30)+COUNTA($Q30))&gt;0),"",IF(AND($V30="Sub",N($U30)&gt;0),IF(ISNUMBER(INDEX($AM$5:$AM$1000,$U30-4)),DATE(YEAR(INDEX($AM$5:$AM$1000,$U30-4)),MONTH(INDEX($AM$5:$AM$1000,$U30-4)),1),IF(ISNUMBER(INDEX($AN$5:$AN$1000,$U30-4)),DATE(YEAR(INDEX($AN$5:$AN$1000,$U30-4)),MONTH(INDEX($AN$5:$AN$1000,$U30-4)),1),MesCiclo)),IF(ISNUMBER($AM30),DATE(YEAR($AM30),MONTH($AM30),1),IF(ISNUMBER($AN30),DATE(YEAR($AN30),MONTH($AN30),1),MesCiclo))))</f>
        <v/>
      </c>
      <c r="T30" s="62">
        <f>IF(OR($S30="",$S30&lt;&gt;MesCiclo,$V30&lt;&gt;"Macro"),"",COUNTIFS($S$5:$S30,MesCiclo,$V$5:$V30,"Macro"))</f>
        <v/>
      </c>
      <c r="U30" s="62">
        <f>IF($V30="","",IF($V30="Macro",ROW(),IFERROR(LOOKUP(2,1/($V$5:$V30="Macro"),ROW($V$5:$V30)),0)))</f>
        <v/>
      </c>
      <c r="V30" s="62">
        <f>IF(NOT((COUNTA($B30:$D30)+COUNTA($G30:$L30)+COUNTA($Q30))&gt;0),"",IF($B30="Subactividad","Sub","Macro"))</f>
        <v/>
      </c>
      <c r="W30" s="62">
        <f>IF($V30="Macro",COUNTIFS($U$5:$U$1000,ROW(),$V$5:$V$1000,"Sub"),"")</f>
        <v/>
      </c>
      <c r="X30" s="62">
        <f>IF($V30="","",IF(ISNUMBER($G30),1,IFERROR(LOOKUP(2,1/($I30:$L30&lt;&gt;""),$I30:$L30),0)))</f>
        <v/>
      </c>
      <c r="Y30" s="62">
        <f>IF($V30="","",IF(AND(ISNUMBER($G30),$G30&lt;=IF($S30=MesCiclo,InicioCiclo,$S30+MOD(2-WEEKDAY($S30),7))+6),1,IF(ISNUMBER($I30),$I30,0)))</f>
        <v/>
      </c>
      <c r="Z30" s="62">
        <f>IF($V30="","",IF(AND(ISNUMBER($G30),$G30&lt;=IF($S30=MesCiclo,InicioCiclo,$S30+MOD(2-WEEKDAY($S30),7))+13),1,IF(ISNUMBER($J30),$J30,$Y30)))</f>
        <v/>
      </c>
      <c r="AA30" s="62">
        <f>IF($V30="","",IF(AND(ISNUMBER($G30),$G30&lt;=IF($S30=MesCiclo,InicioCiclo,$S30+MOD(2-WEEKDAY($S30),7))+20),1,IF(ISNUMBER($K30),$K30,$Z30)))</f>
        <v/>
      </c>
      <c r="AB30" s="62">
        <f>IF($V30="","",IF(AND(ISNUMBER($G30),$G30&lt;=IF($S30=MesCiclo,InicioCiclo,$S30+MOD(2-WEEKDAY($S30),7))+27),1,IF(ISNUMBER($L30),$L30,$AA30)))</f>
        <v/>
      </c>
      <c r="AC30" s="62">
        <f>IF($V30="","",IF(AND(ISNUMBER($G30),$G30&lt;=IF($S30=MesCiclo,InicioCiclo,$S30+MOD(2-WEEKDAY($S30),7))+6),1,IF(N($W30)&gt;0,AVERAGEIFS($Y$5:$Y$1000,$U$5:$U$1000,ROW(),$V$5:$V$1000,"Sub"),$Y30)))</f>
        <v/>
      </c>
      <c r="AD30" s="62">
        <f>IF($V30="","",IF(AND(ISNUMBER($G30),$G30&lt;=IF($S30=MesCiclo,InicioCiclo,$S30+MOD(2-WEEKDAY($S30),7))+13),1,IF(N($W30)&gt;0,AVERAGEIFS($Z$5:$Z$1000,$U$5:$U$1000,ROW(),$V$5:$V$1000,"Sub"),$Z30)))</f>
        <v/>
      </c>
      <c r="AE30" s="62">
        <f>IF($V30="","",IF(AND(ISNUMBER($G30),$G30&lt;=IF($S30=MesCiclo,InicioCiclo,$S30+MOD(2-WEEKDAY($S30),7))+20),1,IF(N($W30)&gt;0,AVERAGEIFS($AA$5:$AA$1000,$U$5:$U$1000,ROW(),$V$5:$V$1000,"Sub"),$AA30)))</f>
        <v/>
      </c>
      <c r="AF30" s="62">
        <f>IF($V30="","",IF(AND(ISNUMBER($G30),$G30&lt;=IF($S30=MesCiclo,InicioCiclo,$S30+MOD(2-WEEKDAY($S30),7))+27),1,IF(N($W30)&gt;0,AVERAGEIFS($AB$5:$AB$1000,$U$5:$U$1000,ROW(),$V$5:$V$1000,"Sub"),$AB30)))</f>
        <v/>
      </c>
      <c r="AG30" s="62">
        <f>IF($V30&lt;&gt;"Macro","",IF(COUNTIFS($S$5:$S$1000,$S30,$V$5:$V$1000,"Macro",$H$5:$H$1000,"&gt;0")=0,1/COUNTIFS($S$5:$S$1000,$S30,$V$5:$V$1000,"Macro"),IF(AND(ISNUMBER($H30),N($H30)&gt;0),$H30,SUMIFS($H$5:$H$1000,$S$5:$S$1000,$S30,$V$5:$V$1000,"Macro")/COUNTIFS($S$5:$S$1000,$S30,$V$5:$V$1000,"Macro",$H$5:$H$1000,"&gt;0"))/(COUNTIFS($S$5:$S$1000,$S30,$V$5:$V$1000,"Macro")*SUMIFS($H$5:$H$1000,$S$5:$S$1000,$S30,$V$5:$V$1000,"Macro")/COUNTIFS($S$5:$S$1000,$S30,$V$5:$V$1000,"Macro",$H$5:$H$1000,"&gt;0"))))</f>
        <v/>
      </c>
      <c r="AH30" s="62" t="n"/>
      <c r="AI30" s="62" t="n"/>
      <c r="AJ30" s="62" t="n"/>
      <c r="AK30" s="62" t="n"/>
      <c r="AL30" s="62">
        <f>IF(LEFT($C30,11)="[Jefatura] ",IFERROR(MATCH("Riesgo Operacional|"&amp;MID($C30,12,500),rDname_ADM,0),0),"")</f>
        <v/>
      </c>
      <c r="AM30" s="62">
        <f>IF(N($AL30)&gt;0,INDEX(rIni_ADM,$AL30),IF(ISNUMBER($E30),$E30,""))</f>
        <v/>
      </c>
      <c r="AN30" s="62">
        <f>IF(N($AL30)&gt;0,INDEX(rLim_ADM,$AL30),IF(ISNUMBER($F30),$F30,""))</f>
        <v/>
      </c>
    </row>
    <row r="31">
      <c r="A31" s="56">
        <f>IF(NOT((COUNTA($B31:$D31)+COUNTA($G31:$L31)+COUNTA($Q31))&gt;0),"",IF($V31="Macro",COUNTIFS($V$5:$V31,"Macro",$S$5:$S31,$S31),IF(N($U31)=0,"?",COUNTIFS(INDEX($V$5:$V$1000,1):INDEX($V$5:$V$1000,$U31-4),"Macro",INDEX($S$5:$S$1000,1):INDEX($S$5:$S$1000,$U31-4),INDEX($S$5:$S$1000,$U31-4))&amp;"."&amp;COUNTIFS($U$5:$U31,$U31,$V$5:$V31,"Sub"))))</f>
        <v/>
      </c>
      <c r="B31" s="57" t="n"/>
      <c r="C31" s="58" t="n"/>
      <c r="D31" s="58" t="n"/>
      <c r="E31" s="59">
        <f>IF(N($AL31)&gt;0,INDEX(rIni_ADM,$AL31),"")</f>
        <v/>
      </c>
      <c r="F31" s="59">
        <f>IF(N($AL31)&gt;0,INDEX(rLim_ADM,$AL31),"")</f>
        <v/>
      </c>
      <c r="G31" s="59" t="n"/>
      <c r="H31" s="60" t="n"/>
      <c r="I31" s="60" t="n"/>
      <c r="J31" s="60" t="n"/>
      <c r="K31" s="60" t="n"/>
      <c r="L31" s="60" t="n"/>
      <c r="M31" s="61">
        <f>IF(NOT((COUNTA($B31:$D31)+COUNTA($G31:$L31)+COUNTA($Q31))&gt;0),"",IF($V31="Sub",IFERROR($X31/INDEX($W$5:$W$1000,$U31-4),""),IF(ISNUMBER($G31),1,IF(N($W31)&gt;0,AVERAGEIFS($X$5:$X$1000,$U$5:$U$1000,ROW(),$V$5:$V$1000,"Sub"),$X31))))</f>
        <v/>
      </c>
      <c r="N31" s="56">
        <f>IF(OR($M31="",$V31="Sub"),"",IF($M31&gt;=1,"Completado",IF($M31&gt;0,"En curso","Pendiente")))</f>
        <v/>
      </c>
      <c r="O31" s="56">
        <f>IF(OR(NOT((COUNTA($B31:$D31)+COUNTA($G31:$L31)+COUNTA($Q31))&gt;0),$V31="Sub"),"",IF(ISNUMBER($G31),IF(AND(ISNUMBER($AN31),$G31&gt;$AN31),"Cumplida con "&amp;($G31-$AN31)&amp;IF($G31-$AN31=1," día"," días")&amp;" de retraso","Cumplida"),IF(N($M31)&gt;=1,"Cumplida",IF(NOT(ISNUMBER($AN31)),"Sin fecha límite",IF($AN31&lt;FechaRef,"Vencida hace "&amp;(FechaRef-$AN31)&amp;IF(FechaRef-$AN31=1," día"," días"),IF($AN31=FechaRef,"Vence hoy",IF($AN31-FechaRef&lt;=DiasAlerta,"Vence en "&amp;($AN31-FechaRef)&amp;IF($AN31-FechaRef=1," día"," días"),"En plazo")))))))</f>
        <v/>
      </c>
      <c r="P31" s="62" t="n"/>
      <c r="Q31" s="58" t="n"/>
      <c r="R31" s="63">
        <f>IF(NOT((COUNTA($B31:$D31)+COUNTA($G31:$L31)+COUNTA($Q31))&gt;0),"",IF((IF($C31="","Falta el nombre de la actividad"&amp;" · ","")&amp;IF(AND($V31="Sub",N($U31)=0),"Subactividad sin macroactividad arriba"&amp;" · ","")&amp;IF($AM31="","Sin fecha de inicio"&amp;" · ","")&amp;IF($AN31="","Sin fecha límite"&amp;" · ","")&amp;IF(AND(LEFT($C31,11)="[Jefatura] ",N($AL31)=0),"No se encuentra en la hoja de la jefatura (elíjala de nuevo en la lista)"&amp;" · ","")&amp;IF(OR(AND($E31&lt;&gt;"",NOT(ISNUMBER($E31))),AND($F31&lt;&gt;"",NOT(ISNUMBER($F31))),AND($G31&lt;&gt;"",NOT(ISNUMBER($G31)))),"Fecha no válida"&amp;" · ","")&amp;IF(AND(ISNUMBER($AM31),ISNUMBER($AN31),$AM31&gt;$AN31),"Inicio posterior a fecha límite"&amp;" · ","")&amp;IF(AND($V31="Macro",$H31&lt;&gt;"",OR(NOT(ISNUMBER($H31)),$H31&lt;0,$H31&gt;1)),"Peso fuera de rango"&amp;" · ","")&amp;IF(AND($V31="Sub",$H31&lt;&gt;""),"Las subactividades no llevan peso (valen igual dentro de su macroactividad)"&amp;" · ","")&amp;IF(AND(N($W31)&gt;0,COUNT($I31:$L31)&gt;0),"Con subactividades: deje vacías las semanas (se calculan solas)"&amp;" · ","")&amp;IF((COUNTIF($I31:$L31,"&gt;1")+COUNTIF($I31:$L31,"&lt;0")+COUNTA($I31:$L31)-COUNT($I31:$L31))&gt;0,"Avance fuera de rango 0-100%"&amp;" · ","")&amp;IF(OR(AND($J31&lt;&gt;"",$J31&lt;$I31),AND($K31&lt;&gt;"",$K31&lt;MAX($I31:$J31)),AND($L31&lt;&gt;"",$L31&lt;MAX($I31:$K31))),"Avance semanal decreciente"&amp;" · ","")&amp;IF(AND(ISNUMBER($AN31),$AN31&lt;FechaRef,IF($V31="Sub",N($X31),N($M31))&lt;1),"Vencida"&amp;" · ","")&amp;IF(AND(ObsObligatoria="Sí",ISNUMBER($AN31),$AN31&lt;FechaRef,IF($V31="Sub",N($X31),N($M31))&lt;1,$Q31=""),"Vencida sin observación"&amp;" · ",""))="","✔ OK","⚠ "&amp;LEFT(IF($C31="","Falta el nombre de la actividad"&amp;" · ","")&amp;IF(AND($V31="Sub",N($U31)=0),"Subactividad sin macroactividad arriba"&amp;" · ","")&amp;IF($AM31="","Sin fecha de inicio"&amp;" · ","")&amp;IF($AN31="","Sin fecha límite"&amp;" · ","")&amp;IF(AND(LEFT($C31,11)="[Jefatura] ",N($AL31)=0),"No se encuentra en la hoja de la jefatura (elíjala de nuevo en la lista)"&amp;" · ","")&amp;IF(OR(AND($E31&lt;&gt;"",NOT(ISNUMBER($E31))),AND($F31&lt;&gt;"",NOT(ISNUMBER($F31))),AND($G31&lt;&gt;"",NOT(ISNUMBER($G31)))),"Fecha no válida"&amp;" · ","")&amp;IF(AND(ISNUMBER($AM31),ISNUMBER($AN31),$AM31&gt;$AN31),"Inicio posterior a fecha límite"&amp;" · ","")&amp;IF(AND($V31="Macro",$H31&lt;&gt;"",OR(NOT(ISNUMBER($H31)),$H31&lt;0,$H31&gt;1)),"Peso fuera de rango"&amp;" · ","")&amp;IF(AND($V31="Sub",$H31&lt;&gt;""),"Las subactividades no llevan peso (valen igual dentro de su macroactividad)"&amp;" · ","")&amp;IF(AND(N($W31)&gt;0,COUNT($I31:$L31)&gt;0),"Con subactividades: deje vacías las semanas (se calculan solas)"&amp;" · ","")&amp;IF((COUNTIF($I31:$L31,"&gt;1")+COUNTIF($I31:$L31,"&lt;0")+COUNTA($I31:$L31)-COUNT($I31:$L31))&gt;0,"Avance fuera de rango 0-100%"&amp;" · ","")&amp;IF(OR(AND($J31&lt;&gt;"",$J31&lt;$I31),AND($K31&lt;&gt;"",$K31&lt;MAX($I31:$J31)),AND($L31&lt;&gt;"",$L31&lt;MAX($I31:$K31))),"Avance semanal decreciente"&amp;" · ","")&amp;IF(AND(ISNUMBER($AN31),$AN31&lt;FechaRef,IF($V31="Sub",N($X31),N($M31))&lt;1),"Vencida"&amp;" · ","")&amp;IF(AND(ObsObligatoria="Sí",ISNUMBER($AN31),$AN31&lt;FechaRef,IF($V31="Sub",N($X31),N($M31))&lt;1,$Q31=""),"Vencida sin observación"&amp;" · ",""),LEN(IF($C31="","Falta el nombre de la actividad"&amp;" · ","")&amp;IF(AND($V31="Sub",N($U31)=0),"Subactividad sin macroactividad arriba"&amp;" · ","")&amp;IF($AM31="","Sin fecha de inicio"&amp;" · ","")&amp;IF($AN31="","Sin fecha límite"&amp;" · ","")&amp;IF(AND(LEFT($C31,11)="[Jefatura] ",N($AL31)=0),"No se encuentra en la hoja de la jefatura (elíjala de nuevo en la lista)"&amp;" · ","")&amp;IF(OR(AND($E31&lt;&gt;"",NOT(ISNUMBER($E31))),AND($F31&lt;&gt;"",NOT(ISNUMBER($F31))),AND($G31&lt;&gt;"",NOT(ISNUMBER($G31)))),"Fecha no válida"&amp;" · ","")&amp;IF(AND(ISNUMBER($AM31),ISNUMBER($AN31),$AM31&gt;$AN31),"Inicio posterior a fecha límite"&amp;" · ","")&amp;IF(AND($V31="Macro",$H31&lt;&gt;"",OR(NOT(ISNUMBER($H31)),$H31&lt;0,$H31&gt;1)),"Peso fuera de rango"&amp;" · ","")&amp;IF(AND($V31="Sub",$H31&lt;&gt;""),"Las subactividades no llevan peso (valen igual dentro de su macroactividad)"&amp;" · ","")&amp;IF(AND(N($W31)&gt;0,COUNT($I31:$L31)&gt;0),"Con subactividades: deje vacías las semanas (se calculan solas)"&amp;" · ","")&amp;IF((COUNTIF($I31:$L31,"&gt;1")+COUNTIF($I31:$L31,"&lt;0")+COUNTA($I31:$L31)-COUNT($I31:$L31))&gt;0,"Avance fuera de rango 0-100%"&amp;" · ","")&amp;IF(OR(AND($J31&lt;&gt;"",$J31&lt;$I31),AND($K31&lt;&gt;"",$K31&lt;MAX($I31:$J31)),AND($L31&lt;&gt;"",$L31&lt;MAX($I31:$K31))),"Avance semanal decreciente"&amp;" · ","")&amp;IF(AND(ISNUMBER($AN31),$AN31&lt;FechaRef,IF($V31="Sub",N($X31),N($M31))&lt;1),"Vencida"&amp;" · ","")&amp;IF(AND(ObsObligatoria="Sí",ISNUMBER($AN31),$AN31&lt;FechaRef,IF($V31="Sub",N($X31),N($M31))&lt;1,$Q31=""),"Vencida sin observación"&amp;" · ",""))-3)))</f>
        <v/>
      </c>
      <c r="S31" s="64">
        <f>IF(NOT((COUNTA($B31:$D31)+COUNTA($G31:$L31)+COUNTA($Q31))&gt;0),"",IF(AND($V31="Sub",N($U31)&gt;0),IF(ISNUMBER(INDEX($AM$5:$AM$1000,$U31-4)),DATE(YEAR(INDEX($AM$5:$AM$1000,$U31-4)),MONTH(INDEX($AM$5:$AM$1000,$U31-4)),1),IF(ISNUMBER(INDEX($AN$5:$AN$1000,$U31-4)),DATE(YEAR(INDEX($AN$5:$AN$1000,$U31-4)),MONTH(INDEX($AN$5:$AN$1000,$U31-4)),1),MesCiclo)),IF(ISNUMBER($AM31),DATE(YEAR($AM31),MONTH($AM31),1),IF(ISNUMBER($AN31),DATE(YEAR($AN31),MONTH($AN31),1),MesCiclo))))</f>
        <v/>
      </c>
      <c r="T31" s="62">
        <f>IF(OR($S31="",$S31&lt;&gt;MesCiclo,$V31&lt;&gt;"Macro"),"",COUNTIFS($S$5:$S31,MesCiclo,$V$5:$V31,"Macro"))</f>
        <v/>
      </c>
      <c r="U31" s="62">
        <f>IF($V31="","",IF($V31="Macro",ROW(),IFERROR(LOOKUP(2,1/($V$5:$V31="Macro"),ROW($V$5:$V31)),0)))</f>
        <v/>
      </c>
      <c r="V31" s="62">
        <f>IF(NOT((COUNTA($B31:$D31)+COUNTA($G31:$L31)+COUNTA($Q31))&gt;0),"",IF($B31="Subactividad","Sub","Macro"))</f>
        <v/>
      </c>
      <c r="W31" s="62">
        <f>IF($V31="Macro",COUNTIFS($U$5:$U$1000,ROW(),$V$5:$V$1000,"Sub"),"")</f>
        <v/>
      </c>
      <c r="X31" s="62">
        <f>IF($V31="","",IF(ISNUMBER($G31),1,IFERROR(LOOKUP(2,1/($I31:$L31&lt;&gt;""),$I31:$L31),0)))</f>
        <v/>
      </c>
      <c r="Y31" s="62">
        <f>IF($V31="","",IF(AND(ISNUMBER($G31),$G31&lt;=IF($S31=MesCiclo,InicioCiclo,$S31+MOD(2-WEEKDAY($S31),7))+6),1,IF(ISNUMBER($I31),$I31,0)))</f>
        <v/>
      </c>
      <c r="Z31" s="62">
        <f>IF($V31="","",IF(AND(ISNUMBER($G31),$G31&lt;=IF($S31=MesCiclo,InicioCiclo,$S31+MOD(2-WEEKDAY($S31),7))+13),1,IF(ISNUMBER($J31),$J31,$Y31)))</f>
        <v/>
      </c>
      <c r="AA31" s="62">
        <f>IF($V31="","",IF(AND(ISNUMBER($G31),$G31&lt;=IF($S31=MesCiclo,InicioCiclo,$S31+MOD(2-WEEKDAY($S31),7))+20),1,IF(ISNUMBER($K31),$K31,$Z31)))</f>
        <v/>
      </c>
      <c r="AB31" s="62">
        <f>IF($V31="","",IF(AND(ISNUMBER($G31),$G31&lt;=IF($S31=MesCiclo,InicioCiclo,$S31+MOD(2-WEEKDAY($S31),7))+27),1,IF(ISNUMBER($L31),$L31,$AA31)))</f>
        <v/>
      </c>
      <c r="AC31" s="62">
        <f>IF($V31="","",IF(AND(ISNUMBER($G31),$G31&lt;=IF($S31=MesCiclo,InicioCiclo,$S31+MOD(2-WEEKDAY($S31),7))+6),1,IF(N($W31)&gt;0,AVERAGEIFS($Y$5:$Y$1000,$U$5:$U$1000,ROW(),$V$5:$V$1000,"Sub"),$Y31)))</f>
        <v/>
      </c>
      <c r="AD31" s="62">
        <f>IF($V31="","",IF(AND(ISNUMBER($G31),$G31&lt;=IF($S31=MesCiclo,InicioCiclo,$S31+MOD(2-WEEKDAY($S31),7))+13),1,IF(N($W31)&gt;0,AVERAGEIFS($Z$5:$Z$1000,$U$5:$U$1000,ROW(),$V$5:$V$1000,"Sub"),$Z31)))</f>
        <v/>
      </c>
      <c r="AE31" s="62">
        <f>IF($V31="","",IF(AND(ISNUMBER($G31),$G31&lt;=IF($S31=MesCiclo,InicioCiclo,$S31+MOD(2-WEEKDAY($S31),7))+20),1,IF(N($W31)&gt;0,AVERAGEIFS($AA$5:$AA$1000,$U$5:$U$1000,ROW(),$V$5:$V$1000,"Sub"),$AA31)))</f>
        <v/>
      </c>
      <c r="AF31" s="62">
        <f>IF($V31="","",IF(AND(ISNUMBER($G31),$G31&lt;=IF($S31=MesCiclo,InicioCiclo,$S31+MOD(2-WEEKDAY($S31),7))+27),1,IF(N($W31)&gt;0,AVERAGEIFS($AB$5:$AB$1000,$U$5:$U$1000,ROW(),$V$5:$V$1000,"Sub"),$AB31)))</f>
        <v/>
      </c>
      <c r="AG31" s="62">
        <f>IF($V31&lt;&gt;"Macro","",IF(COUNTIFS($S$5:$S$1000,$S31,$V$5:$V$1000,"Macro",$H$5:$H$1000,"&gt;0")=0,1/COUNTIFS($S$5:$S$1000,$S31,$V$5:$V$1000,"Macro"),IF(AND(ISNUMBER($H31),N($H31)&gt;0),$H31,SUMIFS($H$5:$H$1000,$S$5:$S$1000,$S31,$V$5:$V$1000,"Macro")/COUNTIFS($S$5:$S$1000,$S31,$V$5:$V$1000,"Macro",$H$5:$H$1000,"&gt;0"))/(COUNTIFS($S$5:$S$1000,$S31,$V$5:$V$1000,"Macro")*SUMIFS($H$5:$H$1000,$S$5:$S$1000,$S31,$V$5:$V$1000,"Macro")/COUNTIFS($S$5:$S$1000,$S31,$V$5:$V$1000,"Macro",$H$5:$H$1000,"&gt;0"))))</f>
        <v/>
      </c>
      <c r="AH31" s="62" t="n"/>
      <c r="AI31" s="62" t="n"/>
      <c r="AJ31" s="62" t="n"/>
      <c r="AK31" s="62" t="n"/>
      <c r="AL31" s="62">
        <f>IF(LEFT($C31,11)="[Jefatura] ",IFERROR(MATCH("Riesgo Operacional|"&amp;MID($C31,12,500),rDname_ADM,0),0),"")</f>
        <v/>
      </c>
      <c r="AM31" s="62">
        <f>IF(N($AL31)&gt;0,INDEX(rIni_ADM,$AL31),IF(ISNUMBER($E31),$E31,""))</f>
        <v/>
      </c>
      <c r="AN31" s="62">
        <f>IF(N($AL31)&gt;0,INDEX(rLim_ADM,$AL31),IF(ISNUMBER($F31),$F31,""))</f>
        <v/>
      </c>
    </row>
    <row r="32">
      <c r="A32" s="56">
        <f>IF(NOT((COUNTA($B32:$D32)+COUNTA($G32:$L32)+COUNTA($Q32))&gt;0),"",IF($V32="Macro",COUNTIFS($V$5:$V32,"Macro",$S$5:$S32,$S32),IF(N($U32)=0,"?",COUNTIFS(INDEX($V$5:$V$1000,1):INDEX($V$5:$V$1000,$U32-4),"Macro",INDEX($S$5:$S$1000,1):INDEX($S$5:$S$1000,$U32-4),INDEX($S$5:$S$1000,$U32-4))&amp;"."&amp;COUNTIFS($U$5:$U32,$U32,$V$5:$V32,"Sub"))))</f>
        <v/>
      </c>
      <c r="B32" s="57" t="n"/>
      <c r="C32" s="58" t="n"/>
      <c r="D32" s="58" t="n"/>
      <c r="E32" s="59">
        <f>IF(N($AL32)&gt;0,INDEX(rIni_ADM,$AL32),"")</f>
        <v/>
      </c>
      <c r="F32" s="59">
        <f>IF(N($AL32)&gt;0,INDEX(rLim_ADM,$AL32),"")</f>
        <v/>
      </c>
      <c r="G32" s="59" t="n"/>
      <c r="H32" s="60" t="n"/>
      <c r="I32" s="60" t="n"/>
      <c r="J32" s="60" t="n"/>
      <c r="K32" s="60" t="n"/>
      <c r="L32" s="60" t="n"/>
      <c r="M32" s="61">
        <f>IF(NOT((COUNTA($B32:$D32)+COUNTA($G32:$L32)+COUNTA($Q32))&gt;0),"",IF($V32="Sub",IFERROR($X32/INDEX($W$5:$W$1000,$U32-4),""),IF(ISNUMBER($G32),1,IF(N($W32)&gt;0,AVERAGEIFS($X$5:$X$1000,$U$5:$U$1000,ROW(),$V$5:$V$1000,"Sub"),$X32))))</f>
        <v/>
      </c>
      <c r="N32" s="56">
        <f>IF(OR($M32="",$V32="Sub"),"",IF($M32&gt;=1,"Completado",IF($M32&gt;0,"En curso","Pendiente")))</f>
        <v/>
      </c>
      <c r="O32" s="56">
        <f>IF(OR(NOT((COUNTA($B32:$D32)+COUNTA($G32:$L32)+COUNTA($Q32))&gt;0),$V32="Sub"),"",IF(ISNUMBER($G32),IF(AND(ISNUMBER($AN32),$G32&gt;$AN32),"Cumplida con "&amp;($G32-$AN32)&amp;IF($G32-$AN32=1," día"," días")&amp;" de retraso","Cumplida"),IF(N($M32)&gt;=1,"Cumplida",IF(NOT(ISNUMBER($AN32)),"Sin fecha límite",IF($AN32&lt;FechaRef,"Vencida hace "&amp;(FechaRef-$AN32)&amp;IF(FechaRef-$AN32=1," día"," días"),IF($AN32=FechaRef,"Vence hoy",IF($AN32-FechaRef&lt;=DiasAlerta,"Vence en "&amp;($AN32-FechaRef)&amp;IF($AN32-FechaRef=1," día"," días"),"En plazo")))))))</f>
        <v/>
      </c>
      <c r="P32" s="62" t="n"/>
      <c r="Q32" s="58" t="n"/>
      <c r="R32" s="63">
        <f>IF(NOT((COUNTA($B32:$D32)+COUNTA($G32:$L32)+COUNTA($Q32))&gt;0),"",IF((IF($C32="","Falta el nombre de la actividad"&amp;" · ","")&amp;IF(AND($V32="Sub",N($U32)=0),"Subactividad sin macroactividad arriba"&amp;" · ","")&amp;IF($AM32="","Sin fecha de inicio"&amp;" · ","")&amp;IF($AN32="","Sin fecha límite"&amp;" · ","")&amp;IF(AND(LEFT($C32,11)="[Jefatura] ",N($AL32)=0),"No se encuentra en la hoja de la jefatura (elíjala de nuevo en la lista)"&amp;" · ","")&amp;IF(OR(AND($E32&lt;&gt;"",NOT(ISNUMBER($E32))),AND($F32&lt;&gt;"",NOT(ISNUMBER($F32))),AND($G32&lt;&gt;"",NOT(ISNUMBER($G32)))),"Fecha no válida"&amp;" · ","")&amp;IF(AND(ISNUMBER($AM32),ISNUMBER($AN32),$AM32&gt;$AN32),"Inicio posterior a fecha límite"&amp;" · ","")&amp;IF(AND($V32="Macro",$H32&lt;&gt;"",OR(NOT(ISNUMBER($H32)),$H32&lt;0,$H32&gt;1)),"Peso fuera de rango"&amp;" · ","")&amp;IF(AND($V32="Sub",$H32&lt;&gt;""),"Las subactividades no llevan peso (valen igual dentro de su macroactividad)"&amp;" · ","")&amp;IF(AND(N($W32)&gt;0,COUNT($I32:$L32)&gt;0),"Con subactividades: deje vacías las semanas (se calculan solas)"&amp;" · ","")&amp;IF((COUNTIF($I32:$L32,"&gt;1")+COUNTIF($I32:$L32,"&lt;0")+COUNTA($I32:$L32)-COUNT($I32:$L32))&gt;0,"Avance fuera de rango 0-100%"&amp;" · ","")&amp;IF(OR(AND($J32&lt;&gt;"",$J32&lt;$I32),AND($K32&lt;&gt;"",$K32&lt;MAX($I32:$J32)),AND($L32&lt;&gt;"",$L32&lt;MAX($I32:$K32))),"Avance semanal decreciente"&amp;" · ","")&amp;IF(AND(ISNUMBER($AN32),$AN32&lt;FechaRef,IF($V32="Sub",N($X32),N($M32))&lt;1),"Vencida"&amp;" · ","")&amp;IF(AND(ObsObligatoria="Sí",ISNUMBER($AN32),$AN32&lt;FechaRef,IF($V32="Sub",N($X32),N($M32))&lt;1,$Q32=""),"Vencida sin observación"&amp;" · ",""))="","✔ OK","⚠ "&amp;LEFT(IF($C32="","Falta el nombre de la actividad"&amp;" · ","")&amp;IF(AND($V32="Sub",N($U32)=0),"Subactividad sin macroactividad arriba"&amp;" · ","")&amp;IF($AM32="","Sin fecha de inicio"&amp;" · ","")&amp;IF($AN32="","Sin fecha límite"&amp;" · ","")&amp;IF(AND(LEFT($C32,11)="[Jefatura] ",N($AL32)=0),"No se encuentra en la hoja de la jefatura (elíjala de nuevo en la lista)"&amp;" · ","")&amp;IF(OR(AND($E32&lt;&gt;"",NOT(ISNUMBER($E32))),AND($F32&lt;&gt;"",NOT(ISNUMBER($F32))),AND($G32&lt;&gt;"",NOT(ISNUMBER($G32)))),"Fecha no válida"&amp;" · ","")&amp;IF(AND(ISNUMBER($AM32),ISNUMBER($AN32),$AM32&gt;$AN32),"Inicio posterior a fecha límite"&amp;" · ","")&amp;IF(AND($V32="Macro",$H32&lt;&gt;"",OR(NOT(ISNUMBER($H32)),$H32&lt;0,$H32&gt;1)),"Peso fuera de rango"&amp;" · ","")&amp;IF(AND($V32="Sub",$H32&lt;&gt;""),"Las subactividades no llevan peso (valen igual dentro de su macroactividad)"&amp;" · ","")&amp;IF(AND(N($W32)&gt;0,COUNT($I32:$L32)&gt;0),"Con subactividades: deje vacías las semanas (se calculan solas)"&amp;" · ","")&amp;IF((COUNTIF($I32:$L32,"&gt;1")+COUNTIF($I32:$L32,"&lt;0")+COUNTA($I32:$L32)-COUNT($I32:$L32))&gt;0,"Avance fuera de rango 0-100%"&amp;" · ","")&amp;IF(OR(AND($J32&lt;&gt;"",$J32&lt;$I32),AND($K32&lt;&gt;"",$K32&lt;MAX($I32:$J32)),AND($L32&lt;&gt;"",$L32&lt;MAX($I32:$K32))),"Avance semanal decreciente"&amp;" · ","")&amp;IF(AND(ISNUMBER($AN32),$AN32&lt;FechaRef,IF($V32="Sub",N($X32),N($M32))&lt;1),"Vencida"&amp;" · ","")&amp;IF(AND(ObsObligatoria="Sí",ISNUMBER($AN32),$AN32&lt;FechaRef,IF($V32="Sub",N($X32),N($M32))&lt;1,$Q32=""),"Vencida sin observación"&amp;" · ",""),LEN(IF($C32="","Falta el nombre de la actividad"&amp;" · ","")&amp;IF(AND($V32="Sub",N($U32)=0),"Subactividad sin macroactividad arriba"&amp;" · ","")&amp;IF($AM32="","Sin fecha de inicio"&amp;" · ","")&amp;IF($AN32="","Sin fecha límite"&amp;" · ","")&amp;IF(AND(LEFT($C32,11)="[Jefatura] ",N($AL32)=0),"No se encuentra en la hoja de la jefatura (elíjala de nuevo en la lista)"&amp;" · ","")&amp;IF(OR(AND($E32&lt;&gt;"",NOT(ISNUMBER($E32))),AND($F32&lt;&gt;"",NOT(ISNUMBER($F32))),AND($G32&lt;&gt;"",NOT(ISNUMBER($G32)))),"Fecha no válida"&amp;" · ","")&amp;IF(AND(ISNUMBER($AM32),ISNUMBER($AN32),$AM32&gt;$AN32),"Inicio posterior a fecha límite"&amp;" · ","")&amp;IF(AND($V32="Macro",$H32&lt;&gt;"",OR(NOT(ISNUMBER($H32)),$H32&lt;0,$H32&gt;1)),"Peso fuera de rango"&amp;" · ","")&amp;IF(AND($V32="Sub",$H32&lt;&gt;""),"Las subactividades no llevan peso (valen igual dentro de su macroactividad)"&amp;" · ","")&amp;IF(AND(N($W32)&gt;0,COUNT($I32:$L32)&gt;0),"Con subactividades: deje vacías las semanas (se calculan solas)"&amp;" · ","")&amp;IF((COUNTIF($I32:$L32,"&gt;1")+COUNTIF($I32:$L32,"&lt;0")+COUNTA($I32:$L32)-COUNT($I32:$L32))&gt;0,"Avance fuera de rango 0-100%"&amp;" · ","")&amp;IF(OR(AND($J32&lt;&gt;"",$J32&lt;$I32),AND($K32&lt;&gt;"",$K32&lt;MAX($I32:$J32)),AND($L32&lt;&gt;"",$L32&lt;MAX($I32:$K32))),"Avance semanal decreciente"&amp;" · ","")&amp;IF(AND(ISNUMBER($AN32),$AN32&lt;FechaRef,IF($V32="Sub",N($X32),N($M32))&lt;1),"Vencida"&amp;" · ","")&amp;IF(AND(ObsObligatoria="Sí",ISNUMBER($AN32),$AN32&lt;FechaRef,IF($V32="Sub",N($X32),N($M32))&lt;1,$Q32=""),"Vencida sin observación"&amp;" · ",""))-3)))</f>
        <v/>
      </c>
      <c r="S32" s="64">
        <f>IF(NOT((COUNTA($B32:$D32)+COUNTA($G32:$L32)+COUNTA($Q32))&gt;0),"",IF(AND($V32="Sub",N($U32)&gt;0),IF(ISNUMBER(INDEX($AM$5:$AM$1000,$U32-4)),DATE(YEAR(INDEX($AM$5:$AM$1000,$U32-4)),MONTH(INDEX($AM$5:$AM$1000,$U32-4)),1),IF(ISNUMBER(INDEX($AN$5:$AN$1000,$U32-4)),DATE(YEAR(INDEX($AN$5:$AN$1000,$U32-4)),MONTH(INDEX($AN$5:$AN$1000,$U32-4)),1),MesCiclo)),IF(ISNUMBER($AM32),DATE(YEAR($AM32),MONTH($AM32),1),IF(ISNUMBER($AN32),DATE(YEAR($AN32),MONTH($AN32),1),MesCiclo))))</f>
        <v/>
      </c>
      <c r="T32" s="62">
        <f>IF(OR($S32="",$S32&lt;&gt;MesCiclo,$V32&lt;&gt;"Macro"),"",COUNTIFS($S$5:$S32,MesCiclo,$V$5:$V32,"Macro"))</f>
        <v/>
      </c>
      <c r="U32" s="62">
        <f>IF($V32="","",IF($V32="Macro",ROW(),IFERROR(LOOKUP(2,1/($V$5:$V32="Macro"),ROW($V$5:$V32)),0)))</f>
        <v/>
      </c>
      <c r="V32" s="62">
        <f>IF(NOT((COUNTA($B32:$D32)+COUNTA($G32:$L32)+COUNTA($Q32))&gt;0),"",IF($B32="Subactividad","Sub","Macro"))</f>
        <v/>
      </c>
      <c r="W32" s="62">
        <f>IF($V32="Macro",COUNTIFS($U$5:$U$1000,ROW(),$V$5:$V$1000,"Sub"),"")</f>
        <v/>
      </c>
      <c r="X32" s="62">
        <f>IF($V32="","",IF(ISNUMBER($G32),1,IFERROR(LOOKUP(2,1/($I32:$L32&lt;&gt;""),$I32:$L32),0)))</f>
        <v/>
      </c>
      <c r="Y32" s="62">
        <f>IF($V32="","",IF(AND(ISNUMBER($G32),$G32&lt;=IF($S32=MesCiclo,InicioCiclo,$S32+MOD(2-WEEKDAY($S32),7))+6),1,IF(ISNUMBER($I32),$I32,0)))</f>
        <v/>
      </c>
      <c r="Z32" s="62">
        <f>IF($V32="","",IF(AND(ISNUMBER($G32),$G32&lt;=IF($S32=MesCiclo,InicioCiclo,$S32+MOD(2-WEEKDAY($S32),7))+13),1,IF(ISNUMBER($J32),$J32,$Y32)))</f>
        <v/>
      </c>
      <c r="AA32" s="62">
        <f>IF($V32="","",IF(AND(ISNUMBER($G32),$G32&lt;=IF($S32=MesCiclo,InicioCiclo,$S32+MOD(2-WEEKDAY($S32),7))+20),1,IF(ISNUMBER($K32),$K32,$Z32)))</f>
        <v/>
      </c>
      <c r="AB32" s="62">
        <f>IF($V32="","",IF(AND(ISNUMBER($G32),$G32&lt;=IF($S32=MesCiclo,InicioCiclo,$S32+MOD(2-WEEKDAY($S32),7))+27),1,IF(ISNUMBER($L32),$L32,$AA32)))</f>
        <v/>
      </c>
      <c r="AC32" s="62">
        <f>IF($V32="","",IF(AND(ISNUMBER($G32),$G32&lt;=IF($S32=MesCiclo,InicioCiclo,$S32+MOD(2-WEEKDAY($S32),7))+6),1,IF(N($W32)&gt;0,AVERAGEIFS($Y$5:$Y$1000,$U$5:$U$1000,ROW(),$V$5:$V$1000,"Sub"),$Y32)))</f>
        <v/>
      </c>
      <c r="AD32" s="62">
        <f>IF($V32="","",IF(AND(ISNUMBER($G32),$G32&lt;=IF($S32=MesCiclo,InicioCiclo,$S32+MOD(2-WEEKDAY($S32),7))+13),1,IF(N($W32)&gt;0,AVERAGEIFS($Z$5:$Z$1000,$U$5:$U$1000,ROW(),$V$5:$V$1000,"Sub"),$Z32)))</f>
        <v/>
      </c>
      <c r="AE32" s="62">
        <f>IF($V32="","",IF(AND(ISNUMBER($G32),$G32&lt;=IF($S32=MesCiclo,InicioCiclo,$S32+MOD(2-WEEKDAY($S32),7))+20),1,IF(N($W32)&gt;0,AVERAGEIFS($AA$5:$AA$1000,$U$5:$U$1000,ROW(),$V$5:$V$1000,"Sub"),$AA32)))</f>
        <v/>
      </c>
      <c r="AF32" s="62">
        <f>IF($V32="","",IF(AND(ISNUMBER($G32),$G32&lt;=IF($S32=MesCiclo,InicioCiclo,$S32+MOD(2-WEEKDAY($S32),7))+27),1,IF(N($W32)&gt;0,AVERAGEIFS($AB$5:$AB$1000,$U$5:$U$1000,ROW(),$V$5:$V$1000,"Sub"),$AB32)))</f>
        <v/>
      </c>
      <c r="AG32" s="62">
        <f>IF($V32&lt;&gt;"Macro","",IF(COUNTIFS($S$5:$S$1000,$S32,$V$5:$V$1000,"Macro",$H$5:$H$1000,"&gt;0")=0,1/COUNTIFS($S$5:$S$1000,$S32,$V$5:$V$1000,"Macro"),IF(AND(ISNUMBER($H32),N($H32)&gt;0),$H32,SUMIFS($H$5:$H$1000,$S$5:$S$1000,$S32,$V$5:$V$1000,"Macro")/COUNTIFS($S$5:$S$1000,$S32,$V$5:$V$1000,"Macro",$H$5:$H$1000,"&gt;0"))/(COUNTIFS($S$5:$S$1000,$S32,$V$5:$V$1000,"Macro")*SUMIFS($H$5:$H$1000,$S$5:$S$1000,$S32,$V$5:$V$1000,"Macro")/COUNTIFS($S$5:$S$1000,$S32,$V$5:$V$1000,"Macro",$H$5:$H$1000,"&gt;0"))))</f>
        <v/>
      </c>
      <c r="AH32" s="62" t="n"/>
      <c r="AI32" s="62" t="n"/>
      <c r="AJ32" s="62" t="n"/>
      <c r="AK32" s="62" t="n"/>
      <c r="AL32" s="62">
        <f>IF(LEFT($C32,11)="[Jefatura] ",IFERROR(MATCH("Riesgo Operacional|"&amp;MID($C32,12,500),rDname_ADM,0),0),"")</f>
        <v/>
      </c>
      <c r="AM32" s="62">
        <f>IF(N($AL32)&gt;0,INDEX(rIni_ADM,$AL32),IF(ISNUMBER($E32),$E32,""))</f>
        <v/>
      </c>
      <c r="AN32" s="62">
        <f>IF(N($AL32)&gt;0,INDEX(rLim_ADM,$AL32),IF(ISNUMBER($F32),$F32,""))</f>
        <v/>
      </c>
    </row>
    <row r="33">
      <c r="A33" s="56">
        <f>IF(NOT((COUNTA($B33:$D33)+COUNTA($G33:$L33)+COUNTA($Q33))&gt;0),"",IF($V33="Macro",COUNTIFS($V$5:$V33,"Macro",$S$5:$S33,$S33),IF(N($U33)=0,"?",COUNTIFS(INDEX($V$5:$V$1000,1):INDEX($V$5:$V$1000,$U33-4),"Macro",INDEX($S$5:$S$1000,1):INDEX($S$5:$S$1000,$U33-4),INDEX($S$5:$S$1000,$U33-4))&amp;"."&amp;COUNTIFS($U$5:$U33,$U33,$V$5:$V33,"Sub"))))</f>
        <v/>
      </c>
      <c r="B33" s="57" t="n"/>
      <c r="C33" s="58" t="n"/>
      <c r="D33" s="58" t="n"/>
      <c r="E33" s="59">
        <f>IF(N($AL33)&gt;0,INDEX(rIni_ADM,$AL33),"")</f>
        <v/>
      </c>
      <c r="F33" s="59">
        <f>IF(N($AL33)&gt;0,INDEX(rLim_ADM,$AL33),"")</f>
        <v/>
      </c>
      <c r="G33" s="59" t="n"/>
      <c r="H33" s="60" t="n"/>
      <c r="I33" s="60" t="n"/>
      <c r="J33" s="60" t="n"/>
      <c r="K33" s="60" t="n"/>
      <c r="L33" s="60" t="n"/>
      <c r="M33" s="61">
        <f>IF(NOT((COUNTA($B33:$D33)+COUNTA($G33:$L33)+COUNTA($Q33))&gt;0),"",IF($V33="Sub",IFERROR($X33/INDEX($W$5:$W$1000,$U33-4),""),IF(ISNUMBER($G33),1,IF(N($W33)&gt;0,AVERAGEIFS($X$5:$X$1000,$U$5:$U$1000,ROW(),$V$5:$V$1000,"Sub"),$X33))))</f>
        <v/>
      </c>
      <c r="N33" s="56">
        <f>IF(OR($M33="",$V33="Sub"),"",IF($M33&gt;=1,"Completado",IF($M33&gt;0,"En curso","Pendiente")))</f>
        <v/>
      </c>
      <c r="O33" s="56">
        <f>IF(OR(NOT((COUNTA($B33:$D33)+COUNTA($G33:$L33)+COUNTA($Q33))&gt;0),$V33="Sub"),"",IF(ISNUMBER($G33),IF(AND(ISNUMBER($AN33),$G33&gt;$AN33),"Cumplida con "&amp;($G33-$AN33)&amp;IF($G33-$AN33=1," día"," días")&amp;" de retraso","Cumplida"),IF(N($M33)&gt;=1,"Cumplida",IF(NOT(ISNUMBER($AN33)),"Sin fecha límite",IF($AN33&lt;FechaRef,"Vencida hace "&amp;(FechaRef-$AN33)&amp;IF(FechaRef-$AN33=1," día"," días"),IF($AN33=FechaRef,"Vence hoy",IF($AN33-FechaRef&lt;=DiasAlerta,"Vence en "&amp;($AN33-FechaRef)&amp;IF($AN33-FechaRef=1," día"," días"),"En plazo")))))))</f>
        <v/>
      </c>
      <c r="P33" s="62" t="n"/>
      <c r="Q33" s="58" t="n"/>
      <c r="R33" s="63">
        <f>IF(NOT((COUNTA($B33:$D33)+COUNTA($G33:$L33)+COUNTA($Q33))&gt;0),"",IF((IF($C33="","Falta el nombre de la actividad"&amp;" · ","")&amp;IF(AND($V33="Sub",N($U33)=0),"Subactividad sin macroactividad arriba"&amp;" · ","")&amp;IF($AM33="","Sin fecha de inicio"&amp;" · ","")&amp;IF($AN33="","Sin fecha límite"&amp;" · ","")&amp;IF(AND(LEFT($C33,11)="[Jefatura] ",N($AL33)=0),"No se encuentra en la hoja de la jefatura (elíjala de nuevo en la lista)"&amp;" · ","")&amp;IF(OR(AND($E33&lt;&gt;"",NOT(ISNUMBER($E33))),AND($F33&lt;&gt;"",NOT(ISNUMBER($F33))),AND($G33&lt;&gt;"",NOT(ISNUMBER($G33)))),"Fecha no válida"&amp;" · ","")&amp;IF(AND(ISNUMBER($AM33),ISNUMBER($AN33),$AM33&gt;$AN33),"Inicio posterior a fecha límite"&amp;" · ","")&amp;IF(AND($V33="Macro",$H33&lt;&gt;"",OR(NOT(ISNUMBER($H33)),$H33&lt;0,$H33&gt;1)),"Peso fuera de rango"&amp;" · ","")&amp;IF(AND($V33="Sub",$H33&lt;&gt;""),"Las subactividades no llevan peso (valen igual dentro de su macroactividad)"&amp;" · ","")&amp;IF(AND(N($W33)&gt;0,COUNT($I33:$L33)&gt;0),"Con subactividades: deje vacías las semanas (se calculan solas)"&amp;" · ","")&amp;IF((COUNTIF($I33:$L33,"&gt;1")+COUNTIF($I33:$L33,"&lt;0")+COUNTA($I33:$L33)-COUNT($I33:$L33))&gt;0,"Avance fuera de rango 0-100%"&amp;" · ","")&amp;IF(OR(AND($J33&lt;&gt;"",$J33&lt;$I33),AND($K33&lt;&gt;"",$K33&lt;MAX($I33:$J33)),AND($L33&lt;&gt;"",$L33&lt;MAX($I33:$K33))),"Avance semanal decreciente"&amp;" · ","")&amp;IF(AND(ISNUMBER($AN33),$AN33&lt;FechaRef,IF($V33="Sub",N($X33),N($M33))&lt;1),"Vencida"&amp;" · ","")&amp;IF(AND(ObsObligatoria="Sí",ISNUMBER($AN33),$AN33&lt;FechaRef,IF($V33="Sub",N($X33),N($M33))&lt;1,$Q33=""),"Vencida sin observación"&amp;" · ",""))="","✔ OK","⚠ "&amp;LEFT(IF($C33="","Falta el nombre de la actividad"&amp;" · ","")&amp;IF(AND($V33="Sub",N($U33)=0),"Subactividad sin macroactividad arriba"&amp;" · ","")&amp;IF($AM33="","Sin fecha de inicio"&amp;" · ","")&amp;IF($AN33="","Sin fecha límite"&amp;" · ","")&amp;IF(AND(LEFT($C33,11)="[Jefatura] ",N($AL33)=0),"No se encuentra en la hoja de la jefatura (elíjala de nuevo en la lista)"&amp;" · ","")&amp;IF(OR(AND($E33&lt;&gt;"",NOT(ISNUMBER($E33))),AND($F33&lt;&gt;"",NOT(ISNUMBER($F33))),AND($G33&lt;&gt;"",NOT(ISNUMBER($G33)))),"Fecha no válida"&amp;" · ","")&amp;IF(AND(ISNUMBER($AM33),ISNUMBER($AN33),$AM33&gt;$AN33),"Inicio posterior a fecha límite"&amp;" · ","")&amp;IF(AND($V33="Macro",$H33&lt;&gt;"",OR(NOT(ISNUMBER($H33)),$H33&lt;0,$H33&gt;1)),"Peso fuera de rango"&amp;" · ","")&amp;IF(AND($V33="Sub",$H33&lt;&gt;""),"Las subactividades no llevan peso (valen igual dentro de su macroactividad)"&amp;" · ","")&amp;IF(AND(N($W33)&gt;0,COUNT($I33:$L33)&gt;0),"Con subactividades: deje vacías las semanas (se calculan solas)"&amp;" · ","")&amp;IF((COUNTIF($I33:$L33,"&gt;1")+COUNTIF($I33:$L33,"&lt;0")+COUNTA($I33:$L33)-COUNT($I33:$L33))&gt;0,"Avance fuera de rango 0-100%"&amp;" · ","")&amp;IF(OR(AND($J33&lt;&gt;"",$J33&lt;$I33),AND($K33&lt;&gt;"",$K33&lt;MAX($I33:$J33)),AND($L33&lt;&gt;"",$L33&lt;MAX($I33:$K33))),"Avance semanal decreciente"&amp;" · ","")&amp;IF(AND(ISNUMBER($AN33),$AN33&lt;FechaRef,IF($V33="Sub",N($X33),N($M33))&lt;1),"Vencida"&amp;" · ","")&amp;IF(AND(ObsObligatoria="Sí",ISNUMBER($AN33),$AN33&lt;FechaRef,IF($V33="Sub",N($X33),N($M33))&lt;1,$Q33=""),"Vencida sin observación"&amp;" · ",""),LEN(IF($C33="","Falta el nombre de la actividad"&amp;" · ","")&amp;IF(AND($V33="Sub",N($U33)=0),"Subactividad sin macroactividad arriba"&amp;" · ","")&amp;IF($AM33="","Sin fecha de inicio"&amp;" · ","")&amp;IF($AN33="","Sin fecha límite"&amp;" · ","")&amp;IF(AND(LEFT($C33,11)="[Jefatura] ",N($AL33)=0),"No se encuentra en la hoja de la jefatura (elíjala de nuevo en la lista)"&amp;" · ","")&amp;IF(OR(AND($E33&lt;&gt;"",NOT(ISNUMBER($E33))),AND($F33&lt;&gt;"",NOT(ISNUMBER($F33))),AND($G33&lt;&gt;"",NOT(ISNUMBER($G33)))),"Fecha no válida"&amp;" · ","")&amp;IF(AND(ISNUMBER($AM33),ISNUMBER($AN33),$AM33&gt;$AN33),"Inicio posterior a fecha límite"&amp;" · ","")&amp;IF(AND($V33="Macro",$H33&lt;&gt;"",OR(NOT(ISNUMBER($H33)),$H33&lt;0,$H33&gt;1)),"Peso fuera de rango"&amp;" · ","")&amp;IF(AND($V33="Sub",$H33&lt;&gt;""),"Las subactividades no llevan peso (valen igual dentro de su macroactividad)"&amp;" · ","")&amp;IF(AND(N($W33)&gt;0,COUNT($I33:$L33)&gt;0),"Con subactividades: deje vacías las semanas (se calculan solas)"&amp;" · ","")&amp;IF((COUNTIF($I33:$L33,"&gt;1")+COUNTIF($I33:$L33,"&lt;0")+COUNTA($I33:$L33)-COUNT($I33:$L33))&gt;0,"Avance fuera de rango 0-100%"&amp;" · ","")&amp;IF(OR(AND($J33&lt;&gt;"",$J33&lt;$I33),AND($K33&lt;&gt;"",$K33&lt;MAX($I33:$J33)),AND($L33&lt;&gt;"",$L33&lt;MAX($I33:$K33))),"Avance semanal decreciente"&amp;" · ","")&amp;IF(AND(ISNUMBER($AN33),$AN33&lt;FechaRef,IF($V33="Sub",N($X33),N($M33))&lt;1),"Vencida"&amp;" · ","")&amp;IF(AND(ObsObligatoria="Sí",ISNUMBER($AN33),$AN33&lt;FechaRef,IF($V33="Sub",N($X33),N($M33))&lt;1,$Q33=""),"Vencida sin observación"&amp;" · ",""))-3)))</f>
        <v/>
      </c>
      <c r="S33" s="64">
        <f>IF(NOT((COUNTA($B33:$D33)+COUNTA($G33:$L33)+COUNTA($Q33))&gt;0),"",IF(AND($V33="Sub",N($U33)&gt;0),IF(ISNUMBER(INDEX($AM$5:$AM$1000,$U33-4)),DATE(YEAR(INDEX($AM$5:$AM$1000,$U33-4)),MONTH(INDEX($AM$5:$AM$1000,$U33-4)),1),IF(ISNUMBER(INDEX($AN$5:$AN$1000,$U33-4)),DATE(YEAR(INDEX($AN$5:$AN$1000,$U33-4)),MONTH(INDEX($AN$5:$AN$1000,$U33-4)),1),MesCiclo)),IF(ISNUMBER($AM33),DATE(YEAR($AM33),MONTH($AM33),1),IF(ISNUMBER($AN33),DATE(YEAR($AN33),MONTH($AN33),1),MesCiclo))))</f>
        <v/>
      </c>
      <c r="T33" s="62">
        <f>IF(OR($S33="",$S33&lt;&gt;MesCiclo,$V33&lt;&gt;"Macro"),"",COUNTIFS($S$5:$S33,MesCiclo,$V$5:$V33,"Macro"))</f>
        <v/>
      </c>
      <c r="U33" s="62">
        <f>IF($V33="","",IF($V33="Macro",ROW(),IFERROR(LOOKUP(2,1/($V$5:$V33="Macro"),ROW($V$5:$V33)),0)))</f>
        <v/>
      </c>
      <c r="V33" s="62">
        <f>IF(NOT((COUNTA($B33:$D33)+COUNTA($G33:$L33)+COUNTA($Q33))&gt;0),"",IF($B33="Subactividad","Sub","Macro"))</f>
        <v/>
      </c>
      <c r="W33" s="62">
        <f>IF($V33="Macro",COUNTIFS($U$5:$U$1000,ROW(),$V$5:$V$1000,"Sub"),"")</f>
        <v/>
      </c>
      <c r="X33" s="62">
        <f>IF($V33="","",IF(ISNUMBER($G33),1,IFERROR(LOOKUP(2,1/($I33:$L33&lt;&gt;""),$I33:$L33),0)))</f>
        <v/>
      </c>
      <c r="Y33" s="62">
        <f>IF($V33="","",IF(AND(ISNUMBER($G33),$G33&lt;=IF($S33=MesCiclo,InicioCiclo,$S33+MOD(2-WEEKDAY($S33),7))+6),1,IF(ISNUMBER($I33),$I33,0)))</f>
        <v/>
      </c>
      <c r="Z33" s="62">
        <f>IF($V33="","",IF(AND(ISNUMBER($G33),$G33&lt;=IF($S33=MesCiclo,InicioCiclo,$S33+MOD(2-WEEKDAY($S33),7))+13),1,IF(ISNUMBER($J33),$J33,$Y33)))</f>
        <v/>
      </c>
      <c r="AA33" s="62">
        <f>IF($V33="","",IF(AND(ISNUMBER($G33),$G33&lt;=IF($S33=MesCiclo,InicioCiclo,$S33+MOD(2-WEEKDAY($S33),7))+20),1,IF(ISNUMBER($K33),$K33,$Z33)))</f>
        <v/>
      </c>
      <c r="AB33" s="62">
        <f>IF($V33="","",IF(AND(ISNUMBER($G33),$G33&lt;=IF($S33=MesCiclo,InicioCiclo,$S33+MOD(2-WEEKDAY($S33),7))+27),1,IF(ISNUMBER($L33),$L33,$AA33)))</f>
        <v/>
      </c>
      <c r="AC33" s="62">
        <f>IF($V33="","",IF(AND(ISNUMBER($G33),$G33&lt;=IF($S33=MesCiclo,InicioCiclo,$S33+MOD(2-WEEKDAY($S33),7))+6),1,IF(N($W33)&gt;0,AVERAGEIFS($Y$5:$Y$1000,$U$5:$U$1000,ROW(),$V$5:$V$1000,"Sub"),$Y33)))</f>
        <v/>
      </c>
      <c r="AD33" s="62">
        <f>IF($V33="","",IF(AND(ISNUMBER($G33),$G33&lt;=IF($S33=MesCiclo,InicioCiclo,$S33+MOD(2-WEEKDAY($S33),7))+13),1,IF(N($W33)&gt;0,AVERAGEIFS($Z$5:$Z$1000,$U$5:$U$1000,ROW(),$V$5:$V$1000,"Sub"),$Z33)))</f>
        <v/>
      </c>
      <c r="AE33" s="62">
        <f>IF($V33="","",IF(AND(ISNUMBER($G33),$G33&lt;=IF($S33=MesCiclo,InicioCiclo,$S33+MOD(2-WEEKDAY($S33),7))+20),1,IF(N($W33)&gt;0,AVERAGEIFS($AA$5:$AA$1000,$U$5:$U$1000,ROW(),$V$5:$V$1000,"Sub"),$AA33)))</f>
        <v/>
      </c>
      <c r="AF33" s="62">
        <f>IF($V33="","",IF(AND(ISNUMBER($G33),$G33&lt;=IF($S33=MesCiclo,InicioCiclo,$S33+MOD(2-WEEKDAY($S33),7))+27),1,IF(N($W33)&gt;0,AVERAGEIFS($AB$5:$AB$1000,$U$5:$U$1000,ROW(),$V$5:$V$1000,"Sub"),$AB33)))</f>
        <v/>
      </c>
      <c r="AG33" s="62">
        <f>IF($V33&lt;&gt;"Macro","",IF(COUNTIFS($S$5:$S$1000,$S33,$V$5:$V$1000,"Macro",$H$5:$H$1000,"&gt;0")=0,1/COUNTIFS($S$5:$S$1000,$S33,$V$5:$V$1000,"Macro"),IF(AND(ISNUMBER($H33),N($H33)&gt;0),$H33,SUMIFS($H$5:$H$1000,$S$5:$S$1000,$S33,$V$5:$V$1000,"Macro")/COUNTIFS($S$5:$S$1000,$S33,$V$5:$V$1000,"Macro",$H$5:$H$1000,"&gt;0"))/(COUNTIFS($S$5:$S$1000,$S33,$V$5:$V$1000,"Macro")*SUMIFS($H$5:$H$1000,$S$5:$S$1000,$S33,$V$5:$V$1000,"Macro")/COUNTIFS($S$5:$S$1000,$S33,$V$5:$V$1000,"Macro",$H$5:$H$1000,"&gt;0"))))</f>
        <v/>
      </c>
      <c r="AH33" s="62" t="n"/>
      <c r="AI33" s="62" t="n"/>
      <c r="AJ33" s="62" t="n"/>
      <c r="AK33" s="62" t="n"/>
      <c r="AL33" s="62">
        <f>IF(LEFT($C33,11)="[Jefatura] ",IFERROR(MATCH("Riesgo Operacional|"&amp;MID($C33,12,500),rDname_ADM,0),0),"")</f>
        <v/>
      </c>
      <c r="AM33" s="62">
        <f>IF(N($AL33)&gt;0,INDEX(rIni_ADM,$AL33),IF(ISNUMBER($E33),$E33,""))</f>
        <v/>
      </c>
      <c r="AN33" s="62">
        <f>IF(N($AL33)&gt;0,INDEX(rLim_ADM,$AL33),IF(ISNUMBER($F33),$F33,""))</f>
        <v/>
      </c>
    </row>
    <row r="34">
      <c r="A34" s="56">
        <f>IF(NOT((COUNTA($B34:$D34)+COUNTA($G34:$L34)+COUNTA($Q34))&gt;0),"",IF($V34="Macro",COUNTIFS($V$5:$V34,"Macro",$S$5:$S34,$S34),IF(N($U34)=0,"?",COUNTIFS(INDEX($V$5:$V$1000,1):INDEX($V$5:$V$1000,$U34-4),"Macro",INDEX($S$5:$S$1000,1):INDEX($S$5:$S$1000,$U34-4),INDEX($S$5:$S$1000,$U34-4))&amp;"."&amp;COUNTIFS($U$5:$U34,$U34,$V$5:$V34,"Sub"))))</f>
        <v/>
      </c>
      <c r="B34" s="57" t="n"/>
      <c r="C34" s="58" t="n"/>
      <c r="D34" s="58" t="n"/>
      <c r="E34" s="59">
        <f>IF(N($AL34)&gt;0,INDEX(rIni_ADM,$AL34),"")</f>
        <v/>
      </c>
      <c r="F34" s="59">
        <f>IF(N($AL34)&gt;0,INDEX(rLim_ADM,$AL34),"")</f>
        <v/>
      </c>
      <c r="G34" s="59" t="n"/>
      <c r="H34" s="60" t="n"/>
      <c r="I34" s="60" t="n"/>
      <c r="J34" s="60" t="n"/>
      <c r="K34" s="60" t="n"/>
      <c r="L34" s="60" t="n"/>
      <c r="M34" s="61">
        <f>IF(NOT((COUNTA($B34:$D34)+COUNTA($G34:$L34)+COUNTA($Q34))&gt;0),"",IF($V34="Sub",IFERROR($X34/INDEX($W$5:$W$1000,$U34-4),""),IF(ISNUMBER($G34),1,IF(N($W34)&gt;0,AVERAGEIFS($X$5:$X$1000,$U$5:$U$1000,ROW(),$V$5:$V$1000,"Sub"),$X34))))</f>
        <v/>
      </c>
      <c r="N34" s="56">
        <f>IF(OR($M34="",$V34="Sub"),"",IF($M34&gt;=1,"Completado",IF($M34&gt;0,"En curso","Pendiente")))</f>
        <v/>
      </c>
      <c r="O34" s="56">
        <f>IF(OR(NOT((COUNTA($B34:$D34)+COUNTA($G34:$L34)+COUNTA($Q34))&gt;0),$V34="Sub"),"",IF(ISNUMBER($G34),IF(AND(ISNUMBER($AN34),$G34&gt;$AN34),"Cumplida con "&amp;($G34-$AN34)&amp;IF($G34-$AN34=1," día"," días")&amp;" de retraso","Cumplida"),IF(N($M34)&gt;=1,"Cumplida",IF(NOT(ISNUMBER($AN34)),"Sin fecha límite",IF($AN34&lt;FechaRef,"Vencida hace "&amp;(FechaRef-$AN34)&amp;IF(FechaRef-$AN34=1," día"," días"),IF($AN34=FechaRef,"Vence hoy",IF($AN34-FechaRef&lt;=DiasAlerta,"Vence en "&amp;($AN34-FechaRef)&amp;IF($AN34-FechaRef=1," día"," días"),"En plazo")))))))</f>
        <v/>
      </c>
      <c r="P34" s="62" t="n"/>
      <c r="Q34" s="58" t="n"/>
      <c r="R34" s="63">
        <f>IF(NOT((COUNTA($B34:$D34)+COUNTA($G34:$L34)+COUNTA($Q34))&gt;0),"",IF((IF($C34="","Falta el nombre de la actividad"&amp;" · ","")&amp;IF(AND($V34="Sub",N($U34)=0),"Subactividad sin macroactividad arriba"&amp;" · ","")&amp;IF($AM34="","Sin fecha de inicio"&amp;" · ","")&amp;IF($AN34="","Sin fecha límite"&amp;" · ","")&amp;IF(AND(LEFT($C34,11)="[Jefatura] ",N($AL34)=0),"No se encuentra en la hoja de la jefatura (elíjala de nuevo en la lista)"&amp;" · ","")&amp;IF(OR(AND($E34&lt;&gt;"",NOT(ISNUMBER($E34))),AND($F34&lt;&gt;"",NOT(ISNUMBER($F34))),AND($G34&lt;&gt;"",NOT(ISNUMBER($G34)))),"Fecha no válida"&amp;" · ","")&amp;IF(AND(ISNUMBER($AM34),ISNUMBER($AN34),$AM34&gt;$AN34),"Inicio posterior a fecha límite"&amp;" · ","")&amp;IF(AND($V34="Macro",$H34&lt;&gt;"",OR(NOT(ISNUMBER($H34)),$H34&lt;0,$H34&gt;1)),"Peso fuera de rango"&amp;" · ","")&amp;IF(AND($V34="Sub",$H34&lt;&gt;""),"Las subactividades no llevan peso (valen igual dentro de su macroactividad)"&amp;" · ","")&amp;IF(AND(N($W34)&gt;0,COUNT($I34:$L34)&gt;0),"Con subactividades: deje vacías las semanas (se calculan solas)"&amp;" · ","")&amp;IF((COUNTIF($I34:$L34,"&gt;1")+COUNTIF($I34:$L34,"&lt;0")+COUNTA($I34:$L34)-COUNT($I34:$L34))&gt;0,"Avance fuera de rango 0-100%"&amp;" · ","")&amp;IF(OR(AND($J34&lt;&gt;"",$J34&lt;$I34),AND($K34&lt;&gt;"",$K34&lt;MAX($I34:$J34)),AND($L34&lt;&gt;"",$L34&lt;MAX($I34:$K34))),"Avance semanal decreciente"&amp;" · ","")&amp;IF(AND(ISNUMBER($AN34),$AN34&lt;FechaRef,IF($V34="Sub",N($X34),N($M34))&lt;1),"Vencida"&amp;" · ","")&amp;IF(AND(ObsObligatoria="Sí",ISNUMBER($AN34),$AN34&lt;FechaRef,IF($V34="Sub",N($X34),N($M34))&lt;1,$Q34=""),"Vencida sin observación"&amp;" · ",""))="","✔ OK","⚠ "&amp;LEFT(IF($C34="","Falta el nombre de la actividad"&amp;" · ","")&amp;IF(AND($V34="Sub",N($U34)=0),"Subactividad sin macroactividad arriba"&amp;" · ","")&amp;IF($AM34="","Sin fecha de inicio"&amp;" · ","")&amp;IF($AN34="","Sin fecha límite"&amp;" · ","")&amp;IF(AND(LEFT($C34,11)="[Jefatura] ",N($AL34)=0),"No se encuentra en la hoja de la jefatura (elíjala de nuevo en la lista)"&amp;" · ","")&amp;IF(OR(AND($E34&lt;&gt;"",NOT(ISNUMBER($E34))),AND($F34&lt;&gt;"",NOT(ISNUMBER($F34))),AND($G34&lt;&gt;"",NOT(ISNUMBER($G34)))),"Fecha no válida"&amp;" · ","")&amp;IF(AND(ISNUMBER($AM34),ISNUMBER($AN34),$AM34&gt;$AN34),"Inicio posterior a fecha límite"&amp;" · ","")&amp;IF(AND($V34="Macro",$H34&lt;&gt;"",OR(NOT(ISNUMBER($H34)),$H34&lt;0,$H34&gt;1)),"Peso fuera de rango"&amp;" · ","")&amp;IF(AND($V34="Sub",$H34&lt;&gt;""),"Las subactividades no llevan peso (valen igual dentro de su macroactividad)"&amp;" · ","")&amp;IF(AND(N($W34)&gt;0,COUNT($I34:$L34)&gt;0),"Con subactividades: deje vacías las semanas (se calculan solas)"&amp;" · ","")&amp;IF((COUNTIF($I34:$L34,"&gt;1")+COUNTIF($I34:$L34,"&lt;0")+COUNTA($I34:$L34)-COUNT($I34:$L34))&gt;0,"Avance fuera de rango 0-100%"&amp;" · ","")&amp;IF(OR(AND($J34&lt;&gt;"",$J34&lt;$I34),AND($K34&lt;&gt;"",$K34&lt;MAX($I34:$J34)),AND($L34&lt;&gt;"",$L34&lt;MAX($I34:$K34))),"Avance semanal decreciente"&amp;" · ","")&amp;IF(AND(ISNUMBER($AN34),$AN34&lt;FechaRef,IF($V34="Sub",N($X34),N($M34))&lt;1),"Vencida"&amp;" · ","")&amp;IF(AND(ObsObligatoria="Sí",ISNUMBER($AN34),$AN34&lt;FechaRef,IF($V34="Sub",N($X34),N($M34))&lt;1,$Q34=""),"Vencida sin observación"&amp;" · ",""),LEN(IF($C34="","Falta el nombre de la actividad"&amp;" · ","")&amp;IF(AND($V34="Sub",N($U34)=0),"Subactividad sin macroactividad arriba"&amp;" · ","")&amp;IF($AM34="","Sin fecha de inicio"&amp;" · ","")&amp;IF($AN34="","Sin fecha límite"&amp;" · ","")&amp;IF(AND(LEFT($C34,11)="[Jefatura] ",N($AL34)=0),"No se encuentra en la hoja de la jefatura (elíjala de nuevo en la lista)"&amp;" · ","")&amp;IF(OR(AND($E34&lt;&gt;"",NOT(ISNUMBER($E34))),AND($F34&lt;&gt;"",NOT(ISNUMBER($F34))),AND($G34&lt;&gt;"",NOT(ISNUMBER($G34)))),"Fecha no válida"&amp;" · ","")&amp;IF(AND(ISNUMBER($AM34),ISNUMBER($AN34),$AM34&gt;$AN34),"Inicio posterior a fecha límite"&amp;" · ","")&amp;IF(AND($V34="Macro",$H34&lt;&gt;"",OR(NOT(ISNUMBER($H34)),$H34&lt;0,$H34&gt;1)),"Peso fuera de rango"&amp;" · ","")&amp;IF(AND($V34="Sub",$H34&lt;&gt;""),"Las subactividades no llevan peso (valen igual dentro de su macroactividad)"&amp;" · ","")&amp;IF(AND(N($W34)&gt;0,COUNT($I34:$L34)&gt;0),"Con subactividades: deje vacías las semanas (se calculan solas)"&amp;" · ","")&amp;IF((COUNTIF($I34:$L34,"&gt;1")+COUNTIF($I34:$L34,"&lt;0")+COUNTA($I34:$L34)-COUNT($I34:$L34))&gt;0,"Avance fuera de rango 0-100%"&amp;" · ","")&amp;IF(OR(AND($J34&lt;&gt;"",$J34&lt;$I34),AND($K34&lt;&gt;"",$K34&lt;MAX($I34:$J34)),AND($L34&lt;&gt;"",$L34&lt;MAX($I34:$K34))),"Avance semanal decreciente"&amp;" · ","")&amp;IF(AND(ISNUMBER($AN34),$AN34&lt;FechaRef,IF($V34="Sub",N($X34),N($M34))&lt;1),"Vencida"&amp;" · ","")&amp;IF(AND(ObsObligatoria="Sí",ISNUMBER($AN34),$AN34&lt;FechaRef,IF($V34="Sub",N($X34),N($M34))&lt;1,$Q34=""),"Vencida sin observación"&amp;" · ",""))-3)))</f>
        <v/>
      </c>
      <c r="S34" s="64">
        <f>IF(NOT((COUNTA($B34:$D34)+COUNTA($G34:$L34)+COUNTA($Q34))&gt;0),"",IF(AND($V34="Sub",N($U34)&gt;0),IF(ISNUMBER(INDEX($AM$5:$AM$1000,$U34-4)),DATE(YEAR(INDEX($AM$5:$AM$1000,$U34-4)),MONTH(INDEX($AM$5:$AM$1000,$U34-4)),1),IF(ISNUMBER(INDEX($AN$5:$AN$1000,$U34-4)),DATE(YEAR(INDEX($AN$5:$AN$1000,$U34-4)),MONTH(INDEX($AN$5:$AN$1000,$U34-4)),1),MesCiclo)),IF(ISNUMBER($AM34),DATE(YEAR($AM34),MONTH($AM34),1),IF(ISNUMBER($AN34),DATE(YEAR($AN34),MONTH($AN34),1),MesCiclo))))</f>
        <v/>
      </c>
      <c r="T34" s="62">
        <f>IF(OR($S34="",$S34&lt;&gt;MesCiclo,$V34&lt;&gt;"Macro"),"",COUNTIFS($S$5:$S34,MesCiclo,$V$5:$V34,"Macro"))</f>
        <v/>
      </c>
      <c r="U34" s="62">
        <f>IF($V34="","",IF($V34="Macro",ROW(),IFERROR(LOOKUP(2,1/($V$5:$V34="Macro"),ROW($V$5:$V34)),0)))</f>
        <v/>
      </c>
      <c r="V34" s="62">
        <f>IF(NOT((COUNTA($B34:$D34)+COUNTA($G34:$L34)+COUNTA($Q34))&gt;0),"",IF($B34="Subactividad","Sub","Macro"))</f>
        <v/>
      </c>
      <c r="W34" s="62">
        <f>IF($V34="Macro",COUNTIFS($U$5:$U$1000,ROW(),$V$5:$V$1000,"Sub"),"")</f>
        <v/>
      </c>
      <c r="X34" s="62">
        <f>IF($V34="","",IF(ISNUMBER($G34),1,IFERROR(LOOKUP(2,1/($I34:$L34&lt;&gt;""),$I34:$L34),0)))</f>
        <v/>
      </c>
      <c r="Y34" s="62">
        <f>IF($V34="","",IF(AND(ISNUMBER($G34),$G34&lt;=IF($S34=MesCiclo,InicioCiclo,$S34+MOD(2-WEEKDAY($S34),7))+6),1,IF(ISNUMBER($I34),$I34,0)))</f>
        <v/>
      </c>
      <c r="Z34" s="62">
        <f>IF($V34="","",IF(AND(ISNUMBER($G34),$G34&lt;=IF($S34=MesCiclo,InicioCiclo,$S34+MOD(2-WEEKDAY($S34),7))+13),1,IF(ISNUMBER($J34),$J34,$Y34)))</f>
        <v/>
      </c>
      <c r="AA34" s="62">
        <f>IF($V34="","",IF(AND(ISNUMBER($G34),$G34&lt;=IF($S34=MesCiclo,InicioCiclo,$S34+MOD(2-WEEKDAY($S34),7))+20),1,IF(ISNUMBER($K34),$K34,$Z34)))</f>
        <v/>
      </c>
      <c r="AB34" s="62">
        <f>IF($V34="","",IF(AND(ISNUMBER($G34),$G34&lt;=IF($S34=MesCiclo,InicioCiclo,$S34+MOD(2-WEEKDAY($S34),7))+27),1,IF(ISNUMBER($L34),$L34,$AA34)))</f>
        <v/>
      </c>
      <c r="AC34" s="62">
        <f>IF($V34="","",IF(AND(ISNUMBER($G34),$G34&lt;=IF($S34=MesCiclo,InicioCiclo,$S34+MOD(2-WEEKDAY($S34),7))+6),1,IF(N($W34)&gt;0,AVERAGEIFS($Y$5:$Y$1000,$U$5:$U$1000,ROW(),$V$5:$V$1000,"Sub"),$Y34)))</f>
        <v/>
      </c>
      <c r="AD34" s="62">
        <f>IF($V34="","",IF(AND(ISNUMBER($G34),$G34&lt;=IF($S34=MesCiclo,InicioCiclo,$S34+MOD(2-WEEKDAY($S34),7))+13),1,IF(N($W34)&gt;0,AVERAGEIFS($Z$5:$Z$1000,$U$5:$U$1000,ROW(),$V$5:$V$1000,"Sub"),$Z34)))</f>
        <v/>
      </c>
      <c r="AE34" s="62">
        <f>IF($V34="","",IF(AND(ISNUMBER($G34),$G34&lt;=IF($S34=MesCiclo,InicioCiclo,$S34+MOD(2-WEEKDAY($S34),7))+20),1,IF(N($W34)&gt;0,AVERAGEIFS($AA$5:$AA$1000,$U$5:$U$1000,ROW(),$V$5:$V$1000,"Sub"),$AA34)))</f>
        <v/>
      </c>
      <c r="AF34" s="62">
        <f>IF($V34="","",IF(AND(ISNUMBER($G34),$G34&lt;=IF($S34=MesCiclo,InicioCiclo,$S34+MOD(2-WEEKDAY($S34),7))+27),1,IF(N($W34)&gt;0,AVERAGEIFS($AB$5:$AB$1000,$U$5:$U$1000,ROW(),$V$5:$V$1000,"Sub"),$AB34)))</f>
        <v/>
      </c>
      <c r="AG34" s="62">
        <f>IF($V34&lt;&gt;"Macro","",IF(COUNTIFS($S$5:$S$1000,$S34,$V$5:$V$1000,"Macro",$H$5:$H$1000,"&gt;0")=0,1/COUNTIFS($S$5:$S$1000,$S34,$V$5:$V$1000,"Macro"),IF(AND(ISNUMBER($H34),N($H34)&gt;0),$H34,SUMIFS($H$5:$H$1000,$S$5:$S$1000,$S34,$V$5:$V$1000,"Macro")/COUNTIFS($S$5:$S$1000,$S34,$V$5:$V$1000,"Macro",$H$5:$H$1000,"&gt;0"))/(COUNTIFS($S$5:$S$1000,$S34,$V$5:$V$1000,"Macro")*SUMIFS($H$5:$H$1000,$S$5:$S$1000,$S34,$V$5:$V$1000,"Macro")/COUNTIFS($S$5:$S$1000,$S34,$V$5:$V$1000,"Macro",$H$5:$H$1000,"&gt;0"))))</f>
        <v/>
      </c>
      <c r="AH34" s="62" t="n"/>
      <c r="AI34" s="62" t="n"/>
      <c r="AJ34" s="62" t="n"/>
      <c r="AK34" s="62" t="n"/>
      <c r="AL34" s="62">
        <f>IF(LEFT($C34,11)="[Jefatura] ",IFERROR(MATCH("Riesgo Operacional|"&amp;MID($C34,12,500),rDname_ADM,0),0),"")</f>
        <v/>
      </c>
      <c r="AM34" s="62">
        <f>IF(N($AL34)&gt;0,INDEX(rIni_ADM,$AL34),IF(ISNUMBER($E34),$E34,""))</f>
        <v/>
      </c>
      <c r="AN34" s="62">
        <f>IF(N($AL34)&gt;0,INDEX(rLim_ADM,$AL34),IF(ISNUMBER($F34),$F34,""))</f>
        <v/>
      </c>
    </row>
    <row r="35">
      <c r="A35" s="56">
        <f>IF(NOT((COUNTA($B35:$D35)+COUNTA($G35:$L35)+COUNTA($Q35))&gt;0),"",IF($V35="Macro",COUNTIFS($V$5:$V35,"Macro",$S$5:$S35,$S35),IF(N($U35)=0,"?",COUNTIFS(INDEX($V$5:$V$1000,1):INDEX($V$5:$V$1000,$U35-4),"Macro",INDEX($S$5:$S$1000,1):INDEX($S$5:$S$1000,$U35-4),INDEX($S$5:$S$1000,$U35-4))&amp;"."&amp;COUNTIFS($U$5:$U35,$U35,$V$5:$V35,"Sub"))))</f>
        <v/>
      </c>
      <c r="B35" s="57" t="n"/>
      <c r="C35" s="58" t="n"/>
      <c r="D35" s="58" t="n"/>
      <c r="E35" s="59">
        <f>IF(N($AL35)&gt;0,INDEX(rIni_ADM,$AL35),"")</f>
        <v/>
      </c>
      <c r="F35" s="59">
        <f>IF(N($AL35)&gt;0,INDEX(rLim_ADM,$AL35),"")</f>
        <v/>
      </c>
      <c r="G35" s="59" t="n"/>
      <c r="H35" s="60" t="n"/>
      <c r="I35" s="60" t="n"/>
      <c r="J35" s="60" t="n"/>
      <c r="K35" s="60" t="n"/>
      <c r="L35" s="60" t="n"/>
      <c r="M35" s="61">
        <f>IF(NOT((COUNTA($B35:$D35)+COUNTA($G35:$L35)+COUNTA($Q35))&gt;0),"",IF($V35="Sub",IFERROR($X35/INDEX($W$5:$W$1000,$U35-4),""),IF(ISNUMBER($G35),1,IF(N($W35)&gt;0,AVERAGEIFS($X$5:$X$1000,$U$5:$U$1000,ROW(),$V$5:$V$1000,"Sub"),$X35))))</f>
        <v/>
      </c>
      <c r="N35" s="56">
        <f>IF(OR($M35="",$V35="Sub"),"",IF($M35&gt;=1,"Completado",IF($M35&gt;0,"En curso","Pendiente")))</f>
        <v/>
      </c>
      <c r="O35" s="56">
        <f>IF(OR(NOT((COUNTA($B35:$D35)+COUNTA($G35:$L35)+COUNTA($Q35))&gt;0),$V35="Sub"),"",IF(ISNUMBER($G35),IF(AND(ISNUMBER($AN35),$G35&gt;$AN35),"Cumplida con "&amp;($G35-$AN35)&amp;IF($G35-$AN35=1," día"," días")&amp;" de retraso","Cumplida"),IF(N($M35)&gt;=1,"Cumplida",IF(NOT(ISNUMBER($AN35)),"Sin fecha límite",IF($AN35&lt;FechaRef,"Vencida hace "&amp;(FechaRef-$AN35)&amp;IF(FechaRef-$AN35=1," día"," días"),IF($AN35=FechaRef,"Vence hoy",IF($AN35-FechaRef&lt;=DiasAlerta,"Vence en "&amp;($AN35-FechaRef)&amp;IF($AN35-FechaRef=1," día"," días"),"En plazo")))))))</f>
        <v/>
      </c>
      <c r="P35" s="62" t="n"/>
      <c r="Q35" s="58" t="n"/>
      <c r="R35" s="63">
        <f>IF(NOT((COUNTA($B35:$D35)+COUNTA($G35:$L35)+COUNTA($Q35))&gt;0),"",IF((IF($C35="","Falta el nombre de la actividad"&amp;" · ","")&amp;IF(AND($V35="Sub",N($U35)=0),"Subactividad sin macroactividad arriba"&amp;" · ","")&amp;IF($AM35="","Sin fecha de inicio"&amp;" · ","")&amp;IF($AN35="","Sin fecha límite"&amp;" · ","")&amp;IF(AND(LEFT($C35,11)="[Jefatura] ",N($AL35)=0),"No se encuentra en la hoja de la jefatura (elíjala de nuevo en la lista)"&amp;" · ","")&amp;IF(OR(AND($E35&lt;&gt;"",NOT(ISNUMBER($E35))),AND($F35&lt;&gt;"",NOT(ISNUMBER($F35))),AND($G35&lt;&gt;"",NOT(ISNUMBER($G35)))),"Fecha no válida"&amp;" · ","")&amp;IF(AND(ISNUMBER($AM35),ISNUMBER($AN35),$AM35&gt;$AN35),"Inicio posterior a fecha límite"&amp;" · ","")&amp;IF(AND($V35="Macro",$H35&lt;&gt;"",OR(NOT(ISNUMBER($H35)),$H35&lt;0,$H35&gt;1)),"Peso fuera de rango"&amp;" · ","")&amp;IF(AND($V35="Sub",$H35&lt;&gt;""),"Las subactividades no llevan peso (valen igual dentro de su macroactividad)"&amp;" · ","")&amp;IF(AND(N($W35)&gt;0,COUNT($I35:$L35)&gt;0),"Con subactividades: deje vacías las semanas (se calculan solas)"&amp;" · ","")&amp;IF((COUNTIF($I35:$L35,"&gt;1")+COUNTIF($I35:$L35,"&lt;0")+COUNTA($I35:$L35)-COUNT($I35:$L35))&gt;0,"Avance fuera de rango 0-100%"&amp;" · ","")&amp;IF(OR(AND($J35&lt;&gt;"",$J35&lt;$I35),AND($K35&lt;&gt;"",$K35&lt;MAX($I35:$J35)),AND($L35&lt;&gt;"",$L35&lt;MAX($I35:$K35))),"Avance semanal decreciente"&amp;" · ","")&amp;IF(AND(ISNUMBER($AN35),$AN35&lt;FechaRef,IF($V35="Sub",N($X35),N($M35))&lt;1),"Vencida"&amp;" · ","")&amp;IF(AND(ObsObligatoria="Sí",ISNUMBER($AN35),$AN35&lt;FechaRef,IF($V35="Sub",N($X35),N($M35))&lt;1,$Q35=""),"Vencida sin observación"&amp;" · ",""))="","✔ OK","⚠ "&amp;LEFT(IF($C35="","Falta el nombre de la actividad"&amp;" · ","")&amp;IF(AND($V35="Sub",N($U35)=0),"Subactividad sin macroactividad arriba"&amp;" · ","")&amp;IF($AM35="","Sin fecha de inicio"&amp;" · ","")&amp;IF($AN35="","Sin fecha límite"&amp;" · ","")&amp;IF(AND(LEFT($C35,11)="[Jefatura] ",N($AL35)=0),"No se encuentra en la hoja de la jefatura (elíjala de nuevo en la lista)"&amp;" · ","")&amp;IF(OR(AND($E35&lt;&gt;"",NOT(ISNUMBER($E35))),AND($F35&lt;&gt;"",NOT(ISNUMBER($F35))),AND($G35&lt;&gt;"",NOT(ISNUMBER($G35)))),"Fecha no válida"&amp;" · ","")&amp;IF(AND(ISNUMBER($AM35),ISNUMBER($AN35),$AM35&gt;$AN35),"Inicio posterior a fecha límite"&amp;" · ","")&amp;IF(AND($V35="Macro",$H35&lt;&gt;"",OR(NOT(ISNUMBER($H35)),$H35&lt;0,$H35&gt;1)),"Peso fuera de rango"&amp;" · ","")&amp;IF(AND($V35="Sub",$H35&lt;&gt;""),"Las subactividades no llevan peso (valen igual dentro de su macroactividad)"&amp;" · ","")&amp;IF(AND(N($W35)&gt;0,COUNT($I35:$L35)&gt;0),"Con subactividades: deje vacías las semanas (se calculan solas)"&amp;" · ","")&amp;IF((COUNTIF($I35:$L35,"&gt;1")+COUNTIF($I35:$L35,"&lt;0")+COUNTA($I35:$L35)-COUNT($I35:$L35))&gt;0,"Avance fuera de rango 0-100%"&amp;" · ","")&amp;IF(OR(AND($J35&lt;&gt;"",$J35&lt;$I35),AND($K35&lt;&gt;"",$K35&lt;MAX($I35:$J35)),AND($L35&lt;&gt;"",$L35&lt;MAX($I35:$K35))),"Avance semanal decreciente"&amp;" · ","")&amp;IF(AND(ISNUMBER($AN35),$AN35&lt;FechaRef,IF($V35="Sub",N($X35),N($M35))&lt;1),"Vencida"&amp;" · ","")&amp;IF(AND(ObsObligatoria="Sí",ISNUMBER($AN35),$AN35&lt;FechaRef,IF($V35="Sub",N($X35),N($M35))&lt;1,$Q35=""),"Vencida sin observación"&amp;" · ",""),LEN(IF($C35="","Falta el nombre de la actividad"&amp;" · ","")&amp;IF(AND($V35="Sub",N($U35)=0),"Subactividad sin macroactividad arriba"&amp;" · ","")&amp;IF($AM35="","Sin fecha de inicio"&amp;" · ","")&amp;IF($AN35="","Sin fecha límite"&amp;" · ","")&amp;IF(AND(LEFT($C35,11)="[Jefatura] ",N($AL35)=0),"No se encuentra en la hoja de la jefatura (elíjala de nuevo en la lista)"&amp;" · ","")&amp;IF(OR(AND($E35&lt;&gt;"",NOT(ISNUMBER($E35))),AND($F35&lt;&gt;"",NOT(ISNUMBER($F35))),AND($G35&lt;&gt;"",NOT(ISNUMBER($G35)))),"Fecha no válida"&amp;" · ","")&amp;IF(AND(ISNUMBER($AM35),ISNUMBER($AN35),$AM35&gt;$AN35),"Inicio posterior a fecha límite"&amp;" · ","")&amp;IF(AND($V35="Macro",$H35&lt;&gt;"",OR(NOT(ISNUMBER($H35)),$H35&lt;0,$H35&gt;1)),"Peso fuera de rango"&amp;" · ","")&amp;IF(AND($V35="Sub",$H35&lt;&gt;""),"Las subactividades no llevan peso (valen igual dentro de su macroactividad)"&amp;" · ","")&amp;IF(AND(N($W35)&gt;0,COUNT($I35:$L35)&gt;0),"Con subactividades: deje vacías las semanas (se calculan solas)"&amp;" · ","")&amp;IF((COUNTIF($I35:$L35,"&gt;1")+COUNTIF($I35:$L35,"&lt;0")+COUNTA($I35:$L35)-COUNT($I35:$L35))&gt;0,"Avance fuera de rango 0-100%"&amp;" · ","")&amp;IF(OR(AND($J35&lt;&gt;"",$J35&lt;$I35),AND($K35&lt;&gt;"",$K35&lt;MAX($I35:$J35)),AND($L35&lt;&gt;"",$L35&lt;MAX($I35:$K35))),"Avance semanal decreciente"&amp;" · ","")&amp;IF(AND(ISNUMBER($AN35),$AN35&lt;FechaRef,IF($V35="Sub",N($X35),N($M35))&lt;1),"Vencida"&amp;" · ","")&amp;IF(AND(ObsObligatoria="Sí",ISNUMBER($AN35),$AN35&lt;FechaRef,IF($V35="Sub",N($X35),N($M35))&lt;1,$Q35=""),"Vencida sin observación"&amp;" · ",""))-3)))</f>
        <v/>
      </c>
      <c r="S35" s="64">
        <f>IF(NOT((COUNTA($B35:$D35)+COUNTA($G35:$L35)+COUNTA($Q35))&gt;0),"",IF(AND($V35="Sub",N($U35)&gt;0),IF(ISNUMBER(INDEX($AM$5:$AM$1000,$U35-4)),DATE(YEAR(INDEX($AM$5:$AM$1000,$U35-4)),MONTH(INDEX($AM$5:$AM$1000,$U35-4)),1),IF(ISNUMBER(INDEX($AN$5:$AN$1000,$U35-4)),DATE(YEAR(INDEX($AN$5:$AN$1000,$U35-4)),MONTH(INDEX($AN$5:$AN$1000,$U35-4)),1),MesCiclo)),IF(ISNUMBER($AM35),DATE(YEAR($AM35),MONTH($AM35),1),IF(ISNUMBER($AN35),DATE(YEAR($AN35),MONTH($AN35),1),MesCiclo))))</f>
        <v/>
      </c>
      <c r="T35" s="62">
        <f>IF(OR($S35="",$S35&lt;&gt;MesCiclo,$V35&lt;&gt;"Macro"),"",COUNTIFS($S$5:$S35,MesCiclo,$V$5:$V35,"Macro"))</f>
        <v/>
      </c>
      <c r="U35" s="62">
        <f>IF($V35="","",IF($V35="Macro",ROW(),IFERROR(LOOKUP(2,1/($V$5:$V35="Macro"),ROW($V$5:$V35)),0)))</f>
        <v/>
      </c>
      <c r="V35" s="62">
        <f>IF(NOT((COUNTA($B35:$D35)+COUNTA($G35:$L35)+COUNTA($Q35))&gt;0),"",IF($B35="Subactividad","Sub","Macro"))</f>
        <v/>
      </c>
      <c r="W35" s="62">
        <f>IF($V35="Macro",COUNTIFS($U$5:$U$1000,ROW(),$V$5:$V$1000,"Sub"),"")</f>
        <v/>
      </c>
      <c r="X35" s="62">
        <f>IF($V35="","",IF(ISNUMBER($G35),1,IFERROR(LOOKUP(2,1/($I35:$L35&lt;&gt;""),$I35:$L35),0)))</f>
        <v/>
      </c>
      <c r="Y35" s="62">
        <f>IF($V35="","",IF(AND(ISNUMBER($G35),$G35&lt;=IF($S35=MesCiclo,InicioCiclo,$S35+MOD(2-WEEKDAY($S35),7))+6),1,IF(ISNUMBER($I35),$I35,0)))</f>
        <v/>
      </c>
      <c r="Z35" s="62">
        <f>IF($V35="","",IF(AND(ISNUMBER($G35),$G35&lt;=IF($S35=MesCiclo,InicioCiclo,$S35+MOD(2-WEEKDAY($S35),7))+13),1,IF(ISNUMBER($J35),$J35,$Y35)))</f>
        <v/>
      </c>
      <c r="AA35" s="62">
        <f>IF($V35="","",IF(AND(ISNUMBER($G35),$G35&lt;=IF($S35=MesCiclo,InicioCiclo,$S35+MOD(2-WEEKDAY($S35),7))+20),1,IF(ISNUMBER($K35),$K35,$Z35)))</f>
        <v/>
      </c>
      <c r="AB35" s="62">
        <f>IF($V35="","",IF(AND(ISNUMBER($G35),$G35&lt;=IF($S35=MesCiclo,InicioCiclo,$S35+MOD(2-WEEKDAY($S35),7))+27),1,IF(ISNUMBER($L35),$L35,$AA35)))</f>
        <v/>
      </c>
      <c r="AC35" s="62">
        <f>IF($V35="","",IF(AND(ISNUMBER($G35),$G35&lt;=IF($S35=MesCiclo,InicioCiclo,$S35+MOD(2-WEEKDAY($S35),7))+6),1,IF(N($W35)&gt;0,AVERAGEIFS($Y$5:$Y$1000,$U$5:$U$1000,ROW(),$V$5:$V$1000,"Sub"),$Y35)))</f>
        <v/>
      </c>
      <c r="AD35" s="62">
        <f>IF($V35="","",IF(AND(ISNUMBER($G35),$G35&lt;=IF($S35=MesCiclo,InicioCiclo,$S35+MOD(2-WEEKDAY($S35),7))+13),1,IF(N($W35)&gt;0,AVERAGEIFS($Z$5:$Z$1000,$U$5:$U$1000,ROW(),$V$5:$V$1000,"Sub"),$Z35)))</f>
        <v/>
      </c>
      <c r="AE35" s="62">
        <f>IF($V35="","",IF(AND(ISNUMBER($G35),$G35&lt;=IF($S35=MesCiclo,InicioCiclo,$S35+MOD(2-WEEKDAY($S35),7))+20),1,IF(N($W35)&gt;0,AVERAGEIFS($AA$5:$AA$1000,$U$5:$U$1000,ROW(),$V$5:$V$1000,"Sub"),$AA35)))</f>
        <v/>
      </c>
      <c r="AF35" s="62">
        <f>IF($V35="","",IF(AND(ISNUMBER($G35),$G35&lt;=IF($S35=MesCiclo,InicioCiclo,$S35+MOD(2-WEEKDAY($S35),7))+27),1,IF(N($W35)&gt;0,AVERAGEIFS($AB$5:$AB$1000,$U$5:$U$1000,ROW(),$V$5:$V$1000,"Sub"),$AB35)))</f>
        <v/>
      </c>
      <c r="AG35" s="62">
        <f>IF($V35&lt;&gt;"Macro","",IF(COUNTIFS($S$5:$S$1000,$S35,$V$5:$V$1000,"Macro",$H$5:$H$1000,"&gt;0")=0,1/COUNTIFS($S$5:$S$1000,$S35,$V$5:$V$1000,"Macro"),IF(AND(ISNUMBER($H35),N($H35)&gt;0),$H35,SUMIFS($H$5:$H$1000,$S$5:$S$1000,$S35,$V$5:$V$1000,"Macro")/COUNTIFS($S$5:$S$1000,$S35,$V$5:$V$1000,"Macro",$H$5:$H$1000,"&gt;0"))/(COUNTIFS($S$5:$S$1000,$S35,$V$5:$V$1000,"Macro")*SUMIFS($H$5:$H$1000,$S$5:$S$1000,$S35,$V$5:$V$1000,"Macro")/COUNTIFS($S$5:$S$1000,$S35,$V$5:$V$1000,"Macro",$H$5:$H$1000,"&gt;0"))))</f>
        <v/>
      </c>
      <c r="AH35" s="62" t="n"/>
      <c r="AI35" s="62" t="n"/>
      <c r="AJ35" s="62" t="n"/>
      <c r="AK35" s="62" t="n"/>
      <c r="AL35" s="62">
        <f>IF(LEFT($C35,11)="[Jefatura] ",IFERROR(MATCH("Riesgo Operacional|"&amp;MID($C35,12,500),rDname_ADM,0),0),"")</f>
        <v/>
      </c>
      <c r="AM35" s="62">
        <f>IF(N($AL35)&gt;0,INDEX(rIni_ADM,$AL35),IF(ISNUMBER($E35),$E35,""))</f>
        <v/>
      </c>
      <c r="AN35" s="62">
        <f>IF(N($AL35)&gt;0,INDEX(rLim_ADM,$AL35),IF(ISNUMBER($F35),$F35,""))</f>
        <v/>
      </c>
    </row>
    <row r="36">
      <c r="A36" s="56">
        <f>IF(NOT((COUNTA($B36:$D36)+COUNTA($G36:$L36)+COUNTA($Q36))&gt;0),"",IF($V36="Macro",COUNTIFS($V$5:$V36,"Macro",$S$5:$S36,$S36),IF(N($U36)=0,"?",COUNTIFS(INDEX($V$5:$V$1000,1):INDEX($V$5:$V$1000,$U36-4),"Macro",INDEX($S$5:$S$1000,1):INDEX($S$5:$S$1000,$U36-4),INDEX($S$5:$S$1000,$U36-4))&amp;"."&amp;COUNTIFS($U$5:$U36,$U36,$V$5:$V36,"Sub"))))</f>
        <v/>
      </c>
      <c r="B36" s="57" t="n"/>
      <c r="C36" s="58" t="n"/>
      <c r="D36" s="58" t="n"/>
      <c r="E36" s="59">
        <f>IF(N($AL36)&gt;0,INDEX(rIni_ADM,$AL36),"")</f>
        <v/>
      </c>
      <c r="F36" s="59">
        <f>IF(N($AL36)&gt;0,INDEX(rLim_ADM,$AL36),"")</f>
        <v/>
      </c>
      <c r="G36" s="59" t="n"/>
      <c r="H36" s="60" t="n"/>
      <c r="I36" s="60" t="n"/>
      <c r="J36" s="60" t="n"/>
      <c r="K36" s="60" t="n"/>
      <c r="L36" s="60" t="n"/>
      <c r="M36" s="61">
        <f>IF(NOT((COUNTA($B36:$D36)+COUNTA($G36:$L36)+COUNTA($Q36))&gt;0),"",IF($V36="Sub",IFERROR($X36/INDEX($W$5:$W$1000,$U36-4),""),IF(ISNUMBER($G36),1,IF(N($W36)&gt;0,AVERAGEIFS($X$5:$X$1000,$U$5:$U$1000,ROW(),$V$5:$V$1000,"Sub"),$X36))))</f>
        <v/>
      </c>
      <c r="N36" s="56">
        <f>IF(OR($M36="",$V36="Sub"),"",IF($M36&gt;=1,"Completado",IF($M36&gt;0,"En curso","Pendiente")))</f>
        <v/>
      </c>
      <c r="O36" s="56">
        <f>IF(OR(NOT((COUNTA($B36:$D36)+COUNTA($G36:$L36)+COUNTA($Q36))&gt;0),$V36="Sub"),"",IF(ISNUMBER($G36),IF(AND(ISNUMBER($AN36),$G36&gt;$AN36),"Cumplida con "&amp;($G36-$AN36)&amp;IF($G36-$AN36=1," día"," días")&amp;" de retraso","Cumplida"),IF(N($M36)&gt;=1,"Cumplida",IF(NOT(ISNUMBER($AN36)),"Sin fecha límite",IF($AN36&lt;FechaRef,"Vencida hace "&amp;(FechaRef-$AN36)&amp;IF(FechaRef-$AN36=1," día"," días"),IF($AN36=FechaRef,"Vence hoy",IF($AN36-FechaRef&lt;=DiasAlerta,"Vence en "&amp;($AN36-FechaRef)&amp;IF($AN36-FechaRef=1," día"," días"),"En plazo")))))))</f>
        <v/>
      </c>
      <c r="P36" s="62" t="n"/>
      <c r="Q36" s="58" t="n"/>
      <c r="R36" s="63">
        <f>IF(NOT((COUNTA($B36:$D36)+COUNTA($G36:$L36)+COUNTA($Q36))&gt;0),"",IF((IF($C36="","Falta el nombre de la actividad"&amp;" · ","")&amp;IF(AND($V36="Sub",N($U36)=0),"Subactividad sin macroactividad arriba"&amp;" · ","")&amp;IF($AM36="","Sin fecha de inicio"&amp;" · ","")&amp;IF($AN36="","Sin fecha límite"&amp;" · ","")&amp;IF(AND(LEFT($C36,11)="[Jefatura] ",N($AL36)=0),"No se encuentra en la hoja de la jefatura (elíjala de nuevo en la lista)"&amp;" · ","")&amp;IF(OR(AND($E36&lt;&gt;"",NOT(ISNUMBER($E36))),AND($F36&lt;&gt;"",NOT(ISNUMBER($F36))),AND($G36&lt;&gt;"",NOT(ISNUMBER($G36)))),"Fecha no válida"&amp;" · ","")&amp;IF(AND(ISNUMBER($AM36),ISNUMBER($AN36),$AM36&gt;$AN36),"Inicio posterior a fecha límite"&amp;" · ","")&amp;IF(AND($V36="Macro",$H36&lt;&gt;"",OR(NOT(ISNUMBER($H36)),$H36&lt;0,$H36&gt;1)),"Peso fuera de rango"&amp;" · ","")&amp;IF(AND($V36="Sub",$H36&lt;&gt;""),"Las subactividades no llevan peso (valen igual dentro de su macroactividad)"&amp;" · ","")&amp;IF(AND(N($W36)&gt;0,COUNT($I36:$L36)&gt;0),"Con subactividades: deje vacías las semanas (se calculan solas)"&amp;" · ","")&amp;IF((COUNTIF($I36:$L36,"&gt;1")+COUNTIF($I36:$L36,"&lt;0")+COUNTA($I36:$L36)-COUNT($I36:$L36))&gt;0,"Avance fuera de rango 0-100%"&amp;" · ","")&amp;IF(OR(AND($J36&lt;&gt;"",$J36&lt;$I36),AND($K36&lt;&gt;"",$K36&lt;MAX($I36:$J36)),AND($L36&lt;&gt;"",$L36&lt;MAX($I36:$K36))),"Avance semanal decreciente"&amp;" · ","")&amp;IF(AND(ISNUMBER($AN36),$AN36&lt;FechaRef,IF($V36="Sub",N($X36),N($M36))&lt;1),"Vencida"&amp;" · ","")&amp;IF(AND(ObsObligatoria="Sí",ISNUMBER($AN36),$AN36&lt;FechaRef,IF($V36="Sub",N($X36),N($M36))&lt;1,$Q36=""),"Vencida sin observación"&amp;" · ",""))="","✔ OK","⚠ "&amp;LEFT(IF($C36="","Falta el nombre de la actividad"&amp;" · ","")&amp;IF(AND($V36="Sub",N($U36)=0),"Subactividad sin macroactividad arriba"&amp;" · ","")&amp;IF($AM36="","Sin fecha de inicio"&amp;" · ","")&amp;IF($AN36="","Sin fecha límite"&amp;" · ","")&amp;IF(AND(LEFT($C36,11)="[Jefatura] ",N($AL36)=0),"No se encuentra en la hoja de la jefatura (elíjala de nuevo en la lista)"&amp;" · ","")&amp;IF(OR(AND($E36&lt;&gt;"",NOT(ISNUMBER($E36))),AND($F36&lt;&gt;"",NOT(ISNUMBER($F36))),AND($G36&lt;&gt;"",NOT(ISNUMBER($G36)))),"Fecha no válida"&amp;" · ","")&amp;IF(AND(ISNUMBER($AM36),ISNUMBER($AN36),$AM36&gt;$AN36),"Inicio posterior a fecha límite"&amp;" · ","")&amp;IF(AND($V36="Macro",$H36&lt;&gt;"",OR(NOT(ISNUMBER($H36)),$H36&lt;0,$H36&gt;1)),"Peso fuera de rango"&amp;" · ","")&amp;IF(AND($V36="Sub",$H36&lt;&gt;""),"Las subactividades no llevan peso (valen igual dentro de su macroactividad)"&amp;" · ","")&amp;IF(AND(N($W36)&gt;0,COUNT($I36:$L36)&gt;0),"Con subactividades: deje vacías las semanas (se calculan solas)"&amp;" · ","")&amp;IF((COUNTIF($I36:$L36,"&gt;1")+COUNTIF($I36:$L36,"&lt;0")+COUNTA($I36:$L36)-COUNT($I36:$L36))&gt;0,"Avance fuera de rango 0-100%"&amp;" · ","")&amp;IF(OR(AND($J36&lt;&gt;"",$J36&lt;$I36),AND($K36&lt;&gt;"",$K36&lt;MAX($I36:$J36)),AND($L36&lt;&gt;"",$L36&lt;MAX($I36:$K36))),"Avance semanal decreciente"&amp;" · ","")&amp;IF(AND(ISNUMBER($AN36),$AN36&lt;FechaRef,IF($V36="Sub",N($X36),N($M36))&lt;1),"Vencida"&amp;" · ","")&amp;IF(AND(ObsObligatoria="Sí",ISNUMBER($AN36),$AN36&lt;FechaRef,IF($V36="Sub",N($X36),N($M36))&lt;1,$Q36=""),"Vencida sin observación"&amp;" · ",""),LEN(IF($C36="","Falta el nombre de la actividad"&amp;" · ","")&amp;IF(AND($V36="Sub",N($U36)=0),"Subactividad sin macroactividad arriba"&amp;" · ","")&amp;IF($AM36="","Sin fecha de inicio"&amp;" · ","")&amp;IF($AN36="","Sin fecha límite"&amp;" · ","")&amp;IF(AND(LEFT($C36,11)="[Jefatura] ",N($AL36)=0),"No se encuentra en la hoja de la jefatura (elíjala de nuevo en la lista)"&amp;" · ","")&amp;IF(OR(AND($E36&lt;&gt;"",NOT(ISNUMBER($E36))),AND($F36&lt;&gt;"",NOT(ISNUMBER($F36))),AND($G36&lt;&gt;"",NOT(ISNUMBER($G36)))),"Fecha no válida"&amp;" · ","")&amp;IF(AND(ISNUMBER($AM36),ISNUMBER($AN36),$AM36&gt;$AN36),"Inicio posterior a fecha límite"&amp;" · ","")&amp;IF(AND($V36="Macro",$H36&lt;&gt;"",OR(NOT(ISNUMBER($H36)),$H36&lt;0,$H36&gt;1)),"Peso fuera de rango"&amp;" · ","")&amp;IF(AND($V36="Sub",$H36&lt;&gt;""),"Las subactividades no llevan peso (valen igual dentro de su macroactividad)"&amp;" · ","")&amp;IF(AND(N($W36)&gt;0,COUNT($I36:$L36)&gt;0),"Con subactividades: deje vacías las semanas (se calculan solas)"&amp;" · ","")&amp;IF((COUNTIF($I36:$L36,"&gt;1")+COUNTIF($I36:$L36,"&lt;0")+COUNTA($I36:$L36)-COUNT($I36:$L36))&gt;0,"Avance fuera de rango 0-100%"&amp;" · ","")&amp;IF(OR(AND($J36&lt;&gt;"",$J36&lt;$I36),AND($K36&lt;&gt;"",$K36&lt;MAX($I36:$J36)),AND($L36&lt;&gt;"",$L36&lt;MAX($I36:$K36))),"Avance semanal decreciente"&amp;" · ","")&amp;IF(AND(ISNUMBER($AN36),$AN36&lt;FechaRef,IF($V36="Sub",N($X36),N($M36))&lt;1),"Vencida"&amp;" · ","")&amp;IF(AND(ObsObligatoria="Sí",ISNUMBER($AN36),$AN36&lt;FechaRef,IF($V36="Sub",N($X36),N($M36))&lt;1,$Q36=""),"Vencida sin observación"&amp;" · ",""))-3)))</f>
        <v/>
      </c>
      <c r="S36" s="64">
        <f>IF(NOT((COUNTA($B36:$D36)+COUNTA($G36:$L36)+COUNTA($Q36))&gt;0),"",IF(AND($V36="Sub",N($U36)&gt;0),IF(ISNUMBER(INDEX($AM$5:$AM$1000,$U36-4)),DATE(YEAR(INDEX($AM$5:$AM$1000,$U36-4)),MONTH(INDEX($AM$5:$AM$1000,$U36-4)),1),IF(ISNUMBER(INDEX($AN$5:$AN$1000,$U36-4)),DATE(YEAR(INDEX($AN$5:$AN$1000,$U36-4)),MONTH(INDEX($AN$5:$AN$1000,$U36-4)),1),MesCiclo)),IF(ISNUMBER($AM36),DATE(YEAR($AM36),MONTH($AM36),1),IF(ISNUMBER($AN36),DATE(YEAR($AN36),MONTH($AN36),1),MesCiclo))))</f>
        <v/>
      </c>
      <c r="T36" s="62">
        <f>IF(OR($S36="",$S36&lt;&gt;MesCiclo,$V36&lt;&gt;"Macro"),"",COUNTIFS($S$5:$S36,MesCiclo,$V$5:$V36,"Macro"))</f>
        <v/>
      </c>
      <c r="U36" s="62">
        <f>IF($V36="","",IF($V36="Macro",ROW(),IFERROR(LOOKUP(2,1/($V$5:$V36="Macro"),ROW($V$5:$V36)),0)))</f>
        <v/>
      </c>
      <c r="V36" s="62">
        <f>IF(NOT((COUNTA($B36:$D36)+COUNTA($G36:$L36)+COUNTA($Q36))&gt;0),"",IF($B36="Subactividad","Sub","Macro"))</f>
        <v/>
      </c>
      <c r="W36" s="62">
        <f>IF($V36="Macro",COUNTIFS($U$5:$U$1000,ROW(),$V$5:$V$1000,"Sub"),"")</f>
        <v/>
      </c>
      <c r="X36" s="62">
        <f>IF($V36="","",IF(ISNUMBER($G36),1,IFERROR(LOOKUP(2,1/($I36:$L36&lt;&gt;""),$I36:$L36),0)))</f>
        <v/>
      </c>
      <c r="Y36" s="62">
        <f>IF($V36="","",IF(AND(ISNUMBER($G36),$G36&lt;=IF($S36=MesCiclo,InicioCiclo,$S36+MOD(2-WEEKDAY($S36),7))+6),1,IF(ISNUMBER($I36),$I36,0)))</f>
        <v/>
      </c>
      <c r="Z36" s="62">
        <f>IF($V36="","",IF(AND(ISNUMBER($G36),$G36&lt;=IF($S36=MesCiclo,InicioCiclo,$S36+MOD(2-WEEKDAY($S36),7))+13),1,IF(ISNUMBER($J36),$J36,$Y36)))</f>
        <v/>
      </c>
      <c r="AA36" s="62">
        <f>IF($V36="","",IF(AND(ISNUMBER($G36),$G36&lt;=IF($S36=MesCiclo,InicioCiclo,$S36+MOD(2-WEEKDAY($S36),7))+20),1,IF(ISNUMBER($K36),$K36,$Z36)))</f>
        <v/>
      </c>
      <c r="AB36" s="62">
        <f>IF($V36="","",IF(AND(ISNUMBER($G36),$G36&lt;=IF($S36=MesCiclo,InicioCiclo,$S36+MOD(2-WEEKDAY($S36),7))+27),1,IF(ISNUMBER($L36),$L36,$AA36)))</f>
        <v/>
      </c>
      <c r="AC36" s="62">
        <f>IF($V36="","",IF(AND(ISNUMBER($G36),$G36&lt;=IF($S36=MesCiclo,InicioCiclo,$S36+MOD(2-WEEKDAY($S36),7))+6),1,IF(N($W36)&gt;0,AVERAGEIFS($Y$5:$Y$1000,$U$5:$U$1000,ROW(),$V$5:$V$1000,"Sub"),$Y36)))</f>
        <v/>
      </c>
      <c r="AD36" s="62">
        <f>IF($V36="","",IF(AND(ISNUMBER($G36),$G36&lt;=IF($S36=MesCiclo,InicioCiclo,$S36+MOD(2-WEEKDAY($S36),7))+13),1,IF(N($W36)&gt;0,AVERAGEIFS($Z$5:$Z$1000,$U$5:$U$1000,ROW(),$V$5:$V$1000,"Sub"),$Z36)))</f>
        <v/>
      </c>
      <c r="AE36" s="62">
        <f>IF($V36="","",IF(AND(ISNUMBER($G36),$G36&lt;=IF($S36=MesCiclo,InicioCiclo,$S36+MOD(2-WEEKDAY($S36),7))+20),1,IF(N($W36)&gt;0,AVERAGEIFS($AA$5:$AA$1000,$U$5:$U$1000,ROW(),$V$5:$V$1000,"Sub"),$AA36)))</f>
        <v/>
      </c>
      <c r="AF36" s="62">
        <f>IF($V36="","",IF(AND(ISNUMBER($G36),$G36&lt;=IF($S36=MesCiclo,InicioCiclo,$S36+MOD(2-WEEKDAY($S36),7))+27),1,IF(N($W36)&gt;0,AVERAGEIFS($AB$5:$AB$1000,$U$5:$U$1000,ROW(),$V$5:$V$1000,"Sub"),$AB36)))</f>
        <v/>
      </c>
      <c r="AG36" s="62">
        <f>IF($V36&lt;&gt;"Macro","",IF(COUNTIFS($S$5:$S$1000,$S36,$V$5:$V$1000,"Macro",$H$5:$H$1000,"&gt;0")=0,1/COUNTIFS($S$5:$S$1000,$S36,$V$5:$V$1000,"Macro"),IF(AND(ISNUMBER($H36),N($H36)&gt;0),$H36,SUMIFS($H$5:$H$1000,$S$5:$S$1000,$S36,$V$5:$V$1000,"Macro")/COUNTIFS($S$5:$S$1000,$S36,$V$5:$V$1000,"Macro",$H$5:$H$1000,"&gt;0"))/(COUNTIFS($S$5:$S$1000,$S36,$V$5:$V$1000,"Macro")*SUMIFS($H$5:$H$1000,$S$5:$S$1000,$S36,$V$5:$V$1000,"Macro")/COUNTIFS($S$5:$S$1000,$S36,$V$5:$V$1000,"Macro",$H$5:$H$1000,"&gt;0"))))</f>
        <v/>
      </c>
      <c r="AH36" s="62" t="n"/>
      <c r="AI36" s="62" t="n"/>
      <c r="AJ36" s="62" t="n"/>
      <c r="AK36" s="62" t="n"/>
      <c r="AL36" s="62">
        <f>IF(LEFT($C36,11)="[Jefatura] ",IFERROR(MATCH("Riesgo Operacional|"&amp;MID($C36,12,500),rDname_ADM,0),0),"")</f>
        <v/>
      </c>
      <c r="AM36" s="62">
        <f>IF(N($AL36)&gt;0,INDEX(rIni_ADM,$AL36),IF(ISNUMBER($E36),$E36,""))</f>
        <v/>
      </c>
      <c r="AN36" s="62">
        <f>IF(N($AL36)&gt;0,INDEX(rLim_ADM,$AL36),IF(ISNUMBER($F36),$F36,""))</f>
        <v/>
      </c>
    </row>
    <row r="37">
      <c r="A37" s="56">
        <f>IF(NOT((COUNTA($B37:$D37)+COUNTA($G37:$L37)+COUNTA($Q37))&gt;0),"",IF($V37="Macro",COUNTIFS($V$5:$V37,"Macro",$S$5:$S37,$S37),IF(N($U37)=0,"?",COUNTIFS(INDEX($V$5:$V$1000,1):INDEX($V$5:$V$1000,$U37-4),"Macro",INDEX($S$5:$S$1000,1):INDEX($S$5:$S$1000,$U37-4),INDEX($S$5:$S$1000,$U37-4))&amp;"."&amp;COUNTIFS($U$5:$U37,$U37,$V$5:$V37,"Sub"))))</f>
        <v/>
      </c>
      <c r="B37" s="57" t="n"/>
      <c r="C37" s="58" t="n"/>
      <c r="D37" s="58" t="n"/>
      <c r="E37" s="59">
        <f>IF(N($AL37)&gt;0,INDEX(rIni_ADM,$AL37),"")</f>
        <v/>
      </c>
      <c r="F37" s="59">
        <f>IF(N($AL37)&gt;0,INDEX(rLim_ADM,$AL37),"")</f>
        <v/>
      </c>
      <c r="G37" s="59" t="n"/>
      <c r="H37" s="60" t="n"/>
      <c r="I37" s="60" t="n"/>
      <c r="J37" s="60" t="n"/>
      <c r="K37" s="60" t="n"/>
      <c r="L37" s="60" t="n"/>
      <c r="M37" s="61">
        <f>IF(NOT((COUNTA($B37:$D37)+COUNTA($G37:$L37)+COUNTA($Q37))&gt;0),"",IF($V37="Sub",IFERROR($X37/INDEX($W$5:$W$1000,$U37-4),""),IF(ISNUMBER($G37),1,IF(N($W37)&gt;0,AVERAGEIFS($X$5:$X$1000,$U$5:$U$1000,ROW(),$V$5:$V$1000,"Sub"),$X37))))</f>
        <v/>
      </c>
      <c r="N37" s="56">
        <f>IF(OR($M37="",$V37="Sub"),"",IF($M37&gt;=1,"Completado",IF($M37&gt;0,"En curso","Pendiente")))</f>
        <v/>
      </c>
      <c r="O37" s="56">
        <f>IF(OR(NOT((COUNTA($B37:$D37)+COUNTA($G37:$L37)+COUNTA($Q37))&gt;0),$V37="Sub"),"",IF(ISNUMBER($G37),IF(AND(ISNUMBER($AN37),$G37&gt;$AN37),"Cumplida con "&amp;($G37-$AN37)&amp;IF($G37-$AN37=1," día"," días")&amp;" de retraso","Cumplida"),IF(N($M37)&gt;=1,"Cumplida",IF(NOT(ISNUMBER($AN37)),"Sin fecha límite",IF($AN37&lt;FechaRef,"Vencida hace "&amp;(FechaRef-$AN37)&amp;IF(FechaRef-$AN37=1," día"," días"),IF($AN37=FechaRef,"Vence hoy",IF($AN37-FechaRef&lt;=DiasAlerta,"Vence en "&amp;($AN37-FechaRef)&amp;IF($AN37-FechaRef=1," día"," días"),"En plazo")))))))</f>
        <v/>
      </c>
      <c r="P37" s="62" t="n"/>
      <c r="Q37" s="58" t="n"/>
      <c r="R37" s="63">
        <f>IF(NOT((COUNTA($B37:$D37)+COUNTA($G37:$L37)+COUNTA($Q37))&gt;0),"",IF((IF($C37="","Falta el nombre de la actividad"&amp;" · ","")&amp;IF(AND($V37="Sub",N($U37)=0),"Subactividad sin macroactividad arriba"&amp;" · ","")&amp;IF($AM37="","Sin fecha de inicio"&amp;" · ","")&amp;IF($AN37="","Sin fecha límite"&amp;" · ","")&amp;IF(AND(LEFT($C37,11)="[Jefatura] ",N($AL37)=0),"No se encuentra en la hoja de la jefatura (elíjala de nuevo en la lista)"&amp;" · ","")&amp;IF(OR(AND($E37&lt;&gt;"",NOT(ISNUMBER($E37))),AND($F37&lt;&gt;"",NOT(ISNUMBER($F37))),AND($G37&lt;&gt;"",NOT(ISNUMBER($G37)))),"Fecha no válida"&amp;" · ","")&amp;IF(AND(ISNUMBER($AM37),ISNUMBER($AN37),$AM37&gt;$AN37),"Inicio posterior a fecha límite"&amp;" · ","")&amp;IF(AND($V37="Macro",$H37&lt;&gt;"",OR(NOT(ISNUMBER($H37)),$H37&lt;0,$H37&gt;1)),"Peso fuera de rango"&amp;" · ","")&amp;IF(AND($V37="Sub",$H37&lt;&gt;""),"Las subactividades no llevan peso (valen igual dentro de su macroactividad)"&amp;" · ","")&amp;IF(AND(N($W37)&gt;0,COUNT($I37:$L37)&gt;0),"Con subactividades: deje vacías las semanas (se calculan solas)"&amp;" · ","")&amp;IF((COUNTIF($I37:$L37,"&gt;1")+COUNTIF($I37:$L37,"&lt;0")+COUNTA($I37:$L37)-COUNT($I37:$L37))&gt;0,"Avance fuera de rango 0-100%"&amp;" · ","")&amp;IF(OR(AND($J37&lt;&gt;"",$J37&lt;$I37),AND($K37&lt;&gt;"",$K37&lt;MAX($I37:$J37)),AND($L37&lt;&gt;"",$L37&lt;MAX($I37:$K37))),"Avance semanal decreciente"&amp;" · ","")&amp;IF(AND(ISNUMBER($AN37),$AN37&lt;FechaRef,IF($V37="Sub",N($X37),N($M37))&lt;1),"Vencida"&amp;" · ","")&amp;IF(AND(ObsObligatoria="Sí",ISNUMBER($AN37),$AN37&lt;FechaRef,IF($V37="Sub",N($X37),N($M37))&lt;1,$Q37=""),"Vencida sin observación"&amp;" · ",""))="","✔ OK","⚠ "&amp;LEFT(IF($C37="","Falta el nombre de la actividad"&amp;" · ","")&amp;IF(AND($V37="Sub",N($U37)=0),"Subactividad sin macroactividad arriba"&amp;" · ","")&amp;IF($AM37="","Sin fecha de inicio"&amp;" · ","")&amp;IF($AN37="","Sin fecha límite"&amp;" · ","")&amp;IF(AND(LEFT($C37,11)="[Jefatura] ",N($AL37)=0),"No se encuentra en la hoja de la jefatura (elíjala de nuevo en la lista)"&amp;" · ","")&amp;IF(OR(AND($E37&lt;&gt;"",NOT(ISNUMBER($E37))),AND($F37&lt;&gt;"",NOT(ISNUMBER($F37))),AND($G37&lt;&gt;"",NOT(ISNUMBER($G37)))),"Fecha no válida"&amp;" · ","")&amp;IF(AND(ISNUMBER($AM37),ISNUMBER($AN37),$AM37&gt;$AN37),"Inicio posterior a fecha límite"&amp;" · ","")&amp;IF(AND($V37="Macro",$H37&lt;&gt;"",OR(NOT(ISNUMBER($H37)),$H37&lt;0,$H37&gt;1)),"Peso fuera de rango"&amp;" · ","")&amp;IF(AND($V37="Sub",$H37&lt;&gt;""),"Las subactividades no llevan peso (valen igual dentro de su macroactividad)"&amp;" · ","")&amp;IF(AND(N($W37)&gt;0,COUNT($I37:$L37)&gt;0),"Con subactividades: deje vacías las semanas (se calculan solas)"&amp;" · ","")&amp;IF((COUNTIF($I37:$L37,"&gt;1")+COUNTIF($I37:$L37,"&lt;0")+COUNTA($I37:$L37)-COUNT($I37:$L37))&gt;0,"Avance fuera de rango 0-100%"&amp;" · ","")&amp;IF(OR(AND($J37&lt;&gt;"",$J37&lt;$I37),AND($K37&lt;&gt;"",$K37&lt;MAX($I37:$J37)),AND($L37&lt;&gt;"",$L37&lt;MAX($I37:$K37))),"Avance semanal decreciente"&amp;" · ","")&amp;IF(AND(ISNUMBER($AN37),$AN37&lt;FechaRef,IF($V37="Sub",N($X37),N($M37))&lt;1),"Vencida"&amp;" · ","")&amp;IF(AND(ObsObligatoria="Sí",ISNUMBER($AN37),$AN37&lt;FechaRef,IF($V37="Sub",N($X37),N($M37))&lt;1,$Q37=""),"Vencida sin observación"&amp;" · ",""),LEN(IF($C37="","Falta el nombre de la actividad"&amp;" · ","")&amp;IF(AND($V37="Sub",N($U37)=0),"Subactividad sin macroactividad arriba"&amp;" · ","")&amp;IF($AM37="","Sin fecha de inicio"&amp;" · ","")&amp;IF($AN37="","Sin fecha límite"&amp;" · ","")&amp;IF(AND(LEFT($C37,11)="[Jefatura] ",N($AL37)=0),"No se encuentra en la hoja de la jefatura (elíjala de nuevo en la lista)"&amp;" · ","")&amp;IF(OR(AND($E37&lt;&gt;"",NOT(ISNUMBER($E37))),AND($F37&lt;&gt;"",NOT(ISNUMBER($F37))),AND($G37&lt;&gt;"",NOT(ISNUMBER($G37)))),"Fecha no válida"&amp;" · ","")&amp;IF(AND(ISNUMBER($AM37),ISNUMBER($AN37),$AM37&gt;$AN37),"Inicio posterior a fecha límite"&amp;" · ","")&amp;IF(AND($V37="Macro",$H37&lt;&gt;"",OR(NOT(ISNUMBER($H37)),$H37&lt;0,$H37&gt;1)),"Peso fuera de rango"&amp;" · ","")&amp;IF(AND($V37="Sub",$H37&lt;&gt;""),"Las subactividades no llevan peso (valen igual dentro de su macroactividad)"&amp;" · ","")&amp;IF(AND(N($W37)&gt;0,COUNT($I37:$L37)&gt;0),"Con subactividades: deje vacías las semanas (se calculan solas)"&amp;" · ","")&amp;IF((COUNTIF($I37:$L37,"&gt;1")+COUNTIF($I37:$L37,"&lt;0")+COUNTA($I37:$L37)-COUNT($I37:$L37))&gt;0,"Avance fuera de rango 0-100%"&amp;" · ","")&amp;IF(OR(AND($J37&lt;&gt;"",$J37&lt;$I37),AND($K37&lt;&gt;"",$K37&lt;MAX($I37:$J37)),AND($L37&lt;&gt;"",$L37&lt;MAX($I37:$K37))),"Avance semanal decreciente"&amp;" · ","")&amp;IF(AND(ISNUMBER($AN37),$AN37&lt;FechaRef,IF($V37="Sub",N($X37),N($M37))&lt;1),"Vencida"&amp;" · ","")&amp;IF(AND(ObsObligatoria="Sí",ISNUMBER($AN37),$AN37&lt;FechaRef,IF($V37="Sub",N($X37),N($M37))&lt;1,$Q37=""),"Vencida sin observación"&amp;" · ",""))-3)))</f>
        <v/>
      </c>
      <c r="S37" s="64">
        <f>IF(NOT((COUNTA($B37:$D37)+COUNTA($G37:$L37)+COUNTA($Q37))&gt;0),"",IF(AND($V37="Sub",N($U37)&gt;0),IF(ISNUMBER(INDEX($AM$5:$AM$1000,$U37-4)),DATE(YEAR(INDEX($AM$5:$AM$1000,$U37-4)),MONTH(INDEX($AM$5:$AM$1000,$U37-4)),1),IF(ISNUMBER(INDEX($AN$5:$AN$1000,$U37-4)),DATE(YEAR(INDEX($AN$5:$AN$1000,$U37-4)),MONTH(INDEX($AN$5:$AN$1000,$U37-4)),1),MesCiclo)),IF(ISNUMBER($AM37),DATE(YEAR($AM37),MONTH($AM37),1),IF(ISNUMBER($AN37),DATE(YEAR($AN37),MONTH($AN37),1),MesCiclo))))</f>
        <v/>
      </c>
      <c r="T37" s="62">
        <f>IF(OR($S37="",$S37&lt;&gt;MesCiclo,$V37&lt;&gt;"Macro"),"",COUNTIFS($S$5:$S37,MesCiclo,$V$5:$V37,"Macro"))</f>
        <v/>
      </c>
      <c r="U37" s="62">
        <f>IF($V37="","",IF($V37="Macro",ROW(),IFERROR(LOOKUP(2,1/($V$5:$V37="Macro"),ROW($V$5:$V37)),0)))</f>
        <v/>
      </c>
      <c r="V37" s="62">
        <f>IF(NOT((COUNTA($B37:$D37)+COUNTA($G37:$L37)+COUNTA($Q37))&gt;0),"",IF($B37="Subactividad","Sub","Macro"))</f>
        <v/>
      </c>
      <c r="W37" s="62">
        <f>IF($V37="Macro",COUNTIFS($U$5:$U$1000,ROW(),$V$5:$V$1000,"Sub"),"")</f>
        <v/>
      </c>
      <c r="X37" s="62">
        <f>IF($V37="","",IF(ISNUMBER($G37),1,IFERROR(LOOKUP(2,1/($I37:$L37&lt;&gt;""),$I37:$L37),0)))</f>
        <v/>
      </c>
      <c r="Y37" s="62">
        <f>IF($V37="","",IF(AND(ISNUMBER($G37),$G37&lt;=IF($S37=MesCiclo,InicioCiclo,$S37+MOD(2-WEEKDAY($S37),7))+6),1,IF(ISNUMBER($I37),$I37,0)))</f>
        <v/>
      </c>
      <c r="Z37" s="62">
        <f>IF($V37="","",IF(AND(ISNUMBER($G37),$G37&lt;=IF($S37=MesCiclo,InicioCiclo,$S37+MOD(2-WEEKDAY($S37),7))+13),1,IF(ISNUMBER($J37),$J37,$Y37)))</f>
        <v/>
      </c>
      <c r="AA37" s="62">
        <f>IF($V37="","",IF(AND(ISNUMBER($G37),$G37&lt;=IF($S37=MesCiclo,InicioCiclo,$S37+MOD(2-WEEKDAY($S37),7))+20),1,IF(ISNUMBER($K37),$K37,$Z37)))</f>
        <v/>
      </c>
      <c r="AB37" s="62">
        <f>IF($V37="","",IF(AND(ISNUMBER($G37),$G37&lt;=IF($S37=MesCiclo,InicioCiclo,$S37+MOD(2-WEEKDAY($S37),7))+27),1,IF(ISNUMBER($L37),$L37,$AA37)))</f>
        <v/>
      </c>
      <c r="AC37" s="62">
        <f>IF($V37="","",IF(AND(ISNUMBER($G37),$G37&lt;=IF($S37=MesCiclo,InicioCiclo,$S37+MOD(2-WEEKDAY($S37),7))+6),1,IF(N($W37)&gt;0,AVERAGEIFS($Y$5:$Y$1000,$U$5:$U$1000,ROW(),$V$5:$V$1000,"Sub"),$Y37)))</f>
        <v/>
      </c>
      <c r="AD37" s="62">
        <f>IF($V37="","",IF(AND(ISNUMBER($G37),$G37&lt;=IF($S37=MesCiclo,InicioCiclo,$S37+MOD(2-WEEKDAY($S37),7))+13),1,IF(N($W37)&gt;0,AVERAGEIFS($Z$5:$Z$1000,$U$5:$U$1000,ROW(),$V$5:$V$1000,"Sub"),$Z37)))</f>
        <v/>
      </c>
      <c r="AE37" s="62">
        <f>IF($V37="","",IF(AND(ISNUMBER($G37),$G37&lt;=IF($S37=MesCiclo,InicioCiclo,$S37+MOD(2-WEEKDAY($S37),7))+20),1,IF(N($W37)&gt;0,AVERAGEIFS($AA$5:$AA$1000,$U$5:$U$1000,ROW(),$V$5:$V$1000,"Sub"),$AA37)))</f>
        <v/>
      </c>
      <c r="AF37" s="62">
        <f>IF($V37="","",IF(AND(ISNUMBER($G37),$G37&lt;=IF($S37=MesCiclo,InicioCiclo,$S37+MOD(2-WEEKDAY($S37),7))+27),1,IF(N($W37)&gt;0,AVERAGEIFS($AB$5:$AB$1000,$U$5:$U$1000,ROW(),$V$5:$V$1000,"Sub"),$AB37)))</f>
        <v/>
      </c>
      <c r="AG37" s="62">
        <f>IF($V37&lt;&gt;"Macro","",IF(COUNTIFS($S$5:$S$1000,$S37,$V$5:$V$1000,"Macro",$H$5:$H$1000,"&gt;0")=0,1/COUNTIFS($S$5:$S$1000,$S37,$V$5:$V$1000,"Macro"),IF(AND(ISNUMBER($H37),N($H37)&gt;0),$H37,SUMIFS($H$5:$H$1000,$S$5:$S$1000,$S37,$V$5:$V$1000,"Macro")/COUNTIFS($S$5:$S$1000,$S37,$V$5:$V$1000,"Macro",$H$5:$H$1000,"&gt;0"))/(COUNTIFS($S$5:$S$1000,$S37,$V$5:$V$1000,"Macro")*SUMIFS($H$5:$H$1000,$S$5:$S$1000,$S37,$V$5:$V$1000,"Macro")/COUNTIFS($S$5:$S$1000,$S37,$V$5:$V$1000,"Macro",$H$5:$H$1000,"&gt;0"))))</f>
        <v/>
      </c>
      <c r="AH37" s="62" t="n"/>
      <c r="AI37" s="62" t="n"/>
      <c r="AJ37" s="62" t="n"/>
      <c r="AK37" s="62" t="n"/>
      <c r="AL37" s="62">
        <f>IF(LEFT($C37,11)="[Jefatura] ",IFERROR(MATCH("Riesgo Operacional|"&amp;MID($C37,12,500),rDname_ADM,0),0),"")</f>
        <v/>
      </c>
      <c r="AM37" s="62">
        <f>IF(N($AL37)&gt;0,INDEX(rIni_ADM,$AL37),IF(ISNUMBER($E37),$E37,""))</f>
        <v/>
      </c>
      <c r="AN37" s="62">
        <f>IF(N($AL37)&gt;0,INDEX(rLim_ADM,$AL37),IF(ISNUMBER($F37),$F37,""))</f>
        <v/>
      </c>
    </row>
    <row r="38">
      <c r="A38" s="56">
        <f>IF(NOT((COUNTA($B38:$D38)+COUNTA($G38:$L38)+COUNTA($Q38))&gt;0),"",IF($V38="Macro",COUNTIFS($V$5:$V38,"Macro",$S$5:$S38,$S38),IF(N($U38)=0,"?",COUNTIFS(INDEX($V$5:$V$1000,1):INDEX($V$5:$V$1000,$U38-4),"Macro",INDEX($S$5:$S$1000,1):INDEX($S$5:$S$1000,$U38-4),INDEX($S$5:$S$1000,$U38-4))&amp;"."&amp;COUNTIFS($U$5:$U38,$U38,$V$5:$V38,"Sub"))))</f>
        <v/>
      </c>
      <c r="B38" s="57" t="n"/>
      <c r="C38" s="58" t="n"/>
      <c r="D38" s="58" t="n"/>
      <c r="E38" s="59">
        <f>IF(N($AL38)&gt;0,INDEX(rIni_ADM,$AL38),"")</f>
        <v/>
      </c>
      <c r="F38" s="59">
        <f>IF(N($AL38)&gt;0,INDEX(rLim_ADM,$AL38),"")</f>
        <v/>
      </c>
      <c r="G38" s="59" t="n"/>
      <c r="H38" s="60" t="n"/>
      <c r="I38" s="60" t="n"/>
      <c r="J38" s="60" t="n"/>
      <c r="K38" s="60" t="n"/>
      <c r="L38" s="60" t="n"/>
      <c r="M38" s="61">
        <f>IF(NOT((COUNTA($B38:$D38)+COUNTA($G38:$L38)+COUNTA($Q38))&gt;0),"",IF($V38="Sub",IFERROR($X38/INDEX($W$5:$W$1000,$U38-4),""),IF(ISNUMBER($G38),1,IF(N($W38)&gt;0,AVERAGEIFS($X$5:$X$1000,$U$5:$U$1000,ROW(),$V$5:$V$1000,"Sub"),$X38))))</f>
        <v/>
      </c>
      <c r="N38" s="56">
        <f>IF(OR($M38="",$V38="Sub"),"",IF($M38&gt;=1,"Completado",IF($M38&gt;0,"En curso","Pendiente")))</f>
        <v/>
      </c>
      <c r="O38" s="56">
        <f>IF(OR(NOT((COUNTA($B38:$D38)+COUNTA($G38:$L38)+COUNTA($Q38))&gt;0),$V38="Sub"),"",IF(ISNUMBER($G38),IF(AND(ISNUMBER($AN38),$G38&gt;$AN38),"Cumplida con "&amp;($G38-$AN38)&amp;IF($G38-$AN38=1," día"," días")&amp;" de retraso","Cumplida"),IF(N($M38)&gt;=1,"Cumplida",IF(NOT(ISNUMBER($AN38)),"Sin fecha límite",IF($AN38&lt;FechaRef,"Vencida hace "&amp;(FechaRef-$AN38)&amp;IF(FechaRef-$AN38=1," día"," días"),IF($AN38=FechaRef,"Vence hoy",IF($AN38-FechaRef&lt;=DiasAlerta,"Vence en "&amp;($AN38-FechaRef)&amp;IF($AN38-FechaRef=1," día"," días"),"En plazo")))))))</f>
        <v/>
      </c>
      <c r="P38" s="62" t="n"/>
      <c r="Q38" s="58" t="n"/>
      <c r="R38" s="63">
        <f>IF(NOT((COUNTA($B38:$D38)+COUNTA($G38:$L38)+COUNTA($Q38))&gt;0),"",IF((IF($C38="","Falta el nombre de la actividad"&amp;" · ","")&amp;IF(AND($V38="Sub",N($U38)=0),"Subactividad sin macroactividad arriba"&amp;" · ","")&amp;IF($AM38="","Sin fecha de inicio"&amp;" · ","")&amp;IF($AN38="","Sin fecha límite"&amp;" · ","")&amp;IF(AND(LEFT($C38,11)="[Jefatura] ",N($AL38)=0),"No se encuentra en la hoja de la jefatura (elíjala de nuevo en la lista)"&amp;" · ","")&amp;IF(OR(AND($E38&lt;&gt;"",NOT(ISNUMBER($E38))),AND($F38&lt;&gt;"",NOT(ISNUMBER($F38))),AND($G38&lt;&gt;"",NOT(ISNUMBER($G38)))),"Fecha no válida"&amp;" · ","")&amp;IF(AND(ISNUMBER($AM38),ISNUMBER($AN38),$AM38&gt;$AN38),"Inicio posterior a fecha límite"&amp;" · ","")&amp;IF(AND($V38="Macro",$H38&lt;&gt;"",OR(NOT(ISNUMBER($H38)),$H38&lt;0,$H38&gt;1)),"Peso fuera de rango"&amp;" · ","")&amp;IF(AND($V38="Sub",$H38&lt;&gt;""),"Las subactividades no llevan peso (valen igual dentro de su macroactividad)"&amp;" · ","")&amp;IF(AND(N($W38)&gt;0,COUNT($I38:$L38)&gt;0),"Con subactividades: deje vacías las semanas (se calculan solas)"&amp;" · ","")&amp;IF((COUNTIF($I38:$L38,"&gt;1")+COUNTIF($I38:$L38,"&lt;0")+COUNTA($I38:$L38)-COUNT($I38:$L38))&gt;0,"Avance fuera de rango 0-100%"&amp;" · ","")&amp;IF(OR(AND($J38&lt;&gt;"",$J38&lt;$I38),AND($K38&lt;&gt;"",$K38&lt;MAX($I38:$J38)),AND($L38&lt;&gt;"",$L38&lt;MAX($I38:$K38))),"Avance semanal decreciente"&amp;" · ","")&amp;IF(AND(ISNUMBER($AN38),$AN38&lt;FechaRef,IF($V38="Sub",N($X38),N($M38))&lt;1),"Vencida"&amp;" · ","")&amp;IF(AND(ObsObligatoria="Sí",ISNUMBER($AN38),$AN38&lt;FechaRef,IF($V38="Sub",N($X38),N($M38))&lt;1,$Q38=""),"Vencida sin observación"&amp;" · ",""))="","✔ OK","⚠ "&amp;LEFT(IF($C38="","Falta el nombre de la actividad"&amp;" · ","")&amp;IF(AND($V38="Sub",N($U38)=0),"Subactividad sin macroactividad arriba"&amp;" · ","")&amp;IF($AM38="","Sin fecha de inicio"&amp;" · ","")&amp;IF($AN38="","Sin fecha límite"&amp;" · ","")&amp;IF(AND(LEFT($C38,11)="[Jefatura] ",N($AL38)=0),"No se encuentra en la hoja de la jefatura (elíjala de nuevo en la lista)"&amp;" · ","")&amp;IF(OR(AND($E38&lt;&gt;"",NOT(ISNUMBER($E38))),AND($F38&lt;&gt;"",NOT(ISNUMBER($F38))),AND($G38&lt;&gt;"",NOT(ISNUMBER($G38)))),"Fecha no válida"&amp;" · ","")&amp;IF(AND(ISNUMBER($AM38),ISNUMBER($AN38),$AM38&gt;$AN38),"Inicio posterior a fecha límite"&amp;" · ","")&amp;IF(AND($V38="Macro",$H38&lt;&gt;"",OR(NOT(ISNUMBER($H38)),$H38&lt;0,$H38&gt;1)),"Peso fuera de rango"&amp;" · ","")&amp;IF(AND($V38="Sub",$H38&lt;&gt;""),"Las subactividades no llevan peso (valen igual dentro de su macroactividad)"&amp;" · ","")&amp;IF(AND(N($W38)&gt;0,COUNT($I38:$L38)&gt;0),"Con subactividades: deje vacías las semanas (se calculan solas)"&amp;" · ","")&amp;IF((COUNTIF($I38:$L38,"&gt;1")+COUNTIF($I38:$L38,"&lt;0")+COUNTA($I38:$L38)-COUNT($I38:$L38))&gt;0,"Avance fuera de rango 0-100%"&amp;" · ","")&amp;IF(OR(AND($J38&lt;&gt;"",$J38&lt;$I38),AND($K38&lt;&gt;"",$K38&lt;MAX($I38:$J38)),AND($L38&lt;&gt;"",$L38&lt;MAX($I38:$K38))),"Avance semanal decreciente"&amp;" · ","")&amp;IF(AND(ISNUMBER($AN38),$AN38&lt;FechaRef,IF($V38="Sub",N($X38),N($M38))&lt;1),"Vencida"&amp;" · ","")&amp;IF(AND(ObsObligatoria="Sí",ISNUMBER($AN38),$AN38&lt;FechaRef,IF($V38="Sub",N($X38),N($M38))&lt;1,$Q38=""),"Vencida sin observación"&amp;" · ",""),LEN(IF($C38="","Falta el nombre de la actividad"&amp;" · ","")&amp;IF(AND($V38="Sub",N($U38)=0),"Subactividad sin macroactividad arriba"&amp;" · ","")&amp;IF($AM38="","Sin fecha de inicio"&amp;" · ","")&amp;IF($AN38="","Sin fecha límite"&amp;" · ","")&amp;IF(AND(LEFT($C38,11)="[Jefatura] ",N($AL38)=0),"No se encuentra en la hoja de la jefatura (elíjala de nuevo en la lista)"&amp;" · ","")&amp;IF(OR(AND($E38&lt;&gt;"",NOT(ISNUMBER($E38))),AND($F38&lt;&gt;"",NOT(ISNUMBER($F38))),AND($G38&lt;&gt;"",NOT(ISNUMBER($G38)))),"Fecha no válida"&amp;" · ","")&amp;IF(AND(ISNUMBER($AM38),ISNUMBER($AN38),$AM38&gt;$AN38),"Inicio posterior a fecha límite"&amp;" · ","")&amp;IF(AND($V38="Macro",$H38&lt;&gt;"",OR(NOT(ISNUMBER($H38)),$H38&lt;0,$H38&gt;1)),"Peso fuera de rango"&amp;" · ","")&amp;IF(AND($V38="Sub",$H38&lt;&gt;""),"Las subactividades no llevan peso (valen igual dentro de su macroactividad)"&amp;" · ","")&amp;IF(AND(N($W38)&gt;0,COUNT($I38:$L38)&gt;0),"Con subactividades: deje vacías las semanas (se calculan solas)"&amp;" · ","")&amp;IF((COUNTIF($I38:$L38,"&gt;1")+COUNTIF($I38:$L38,"&lt;0")+COUNTA($I38:$L38)-COUNT($I38:$L38))&gt;0,"Avance fuera de rango 0-100%"&amp;" · ","")&amp;IF(OR(AND($J38&lt;&gt;"",$J38&lt;$I38),AND($K38&lt;&gt;"",$K38&lt;MAX($I38:$J38)),AND($L38&lt;&gt;"",$L38&lt;MAX($I38:$K38))),"Avance semanal decreciente"&amp;" · ","")&amp;IF(AND(ISNUMBER($AN38),$AN38&lt;FechaRef,IF($V38="Sub",N($X38),N($M38))&lt;1),"Vencida"&amp;" · ","")&amp;IF(AND(ObsObligatoria="Sí",ISNUMBER($AN38),$AN38&lt;FechaRef,IF($V38="Sub",N($X38),N($M38))&lt;1,$Q38=""),"Vencida sin observación"&amp;" · ",""))-3)))</f>
        <v/>
      </c>
      <c r="S38" s="64">
        <f>IF(NOT((COUNTA($B38:$D38)+COUNTA($G38:$L38)+COUNTA($Q38))&gt;0),"",IF(AND($V38="Sub",N($U38)&gt;0),IF(ISNUMBER(INDEX($AM$5:$AM$1000,$U38-4)),DATE(YEAR(INDEX($AM$5:$AM$1000,$U38-4)),MONTH(INDEX($AM$5:$AM$1000,$U38-4)),1),IF(ISNUMBER(INDEX($AN$5:$AN$1000,$U38-4)),DATE(YEAR(INDEX($AN$5:$AN$1000,$U38-4)),MONTH(INDEX($AN$5:$AN$1000,$U38-4)),1),MesCiclo)),IF(ISNUMBER($AM38),DATE(YEAR($AM38),MONTH($AM38),1),IF(ISNUMBER($AN38),DATE(YEAR($AN38),MONTH($AN38),1),MesCiclo))))</f>
        <v/>
      </c>
      <c r="T38" s="62">
        <f>IF(OR($S38="",$S38&lt;&gt;MesCiclo,$V38&lt;&gt;"Macro"),"",COUNTIFS($S$5:$S38,MesCiclo,$V$5:$V38,"Macro"))</f>
        <v/>
      </c>
      <c r="U38" s="62">
        <f>IF($V38="","",IF($V38="Macro",ROW(),IFERROR(LOOKUP(2,1/($V$5:$V38="Macro"),ROW($V$5:$V38)),0)))</f>
        <v/>
      </c>
      <c r="V38" s="62">
        <f>IF(NOT((COUNTA($B38:$D38)+COUNTA($G38:$L38)+COUNTA($Q38))&gt;0),"",IF($B38="Subactividad","Sub","Macro"))</f>
        <v/>
      </c>
      <c r="W38" s="62">
        <f>IF($V38="Macro",COUNTIFS($U$5:$U$1000,ROW(),$V$5:$V$1000,"Sub"),"")</f>
        <v/>
      </c>
      <c r="X38" s="62">
        <f>IF($V38="","",IF(ISNUMBER($G38),1,IFERROR(LOOKUP(2,1/($I38:$L38&lt;&gt;""),$I38:$L38),0)))</f>
        <v/>
      </c>
      <c r="Y38" s="62">
        <f>IF($V38="","",IF(AND(ISNUMBER($G38),$G38&lt;=IF($S38=MesCiclo,InicioCiclo,$S38+MOD(2-WEEKDAY($S38),7))+6),1,IF(ISNUMBER($I38),$I38,0)))</f>
        <v/>
      </c>
      <c r="Z38" s="62">
        <f>IF($V38="","",IF(AND(ISNUMBER($G38),$G38&lt;=IF($S38=MesCiclo,InicioCiclo,$S38+MOD(2-WEEKDAY($S38),7))+13),1,IF(ISNUMBER($J38),$J38,$Y38)))</f>
        <v/>
      </c>
      <c r="AA38" s="62">
        <f>IF($V38="","",IF(AND(ISNUMBER($G38),$G38&lt;=IF($S38=MesCiclo,InicioCiclo,$S38+MOD(2-WEEKDAY($S38),7))+20),1,IF(ISNUMBER($K38),$K38,$Z38)))</f>
        <v/>
      </c>
      <c r="AB38" s="62">
        <f>IF($V38="","",IF(AND(ISNUMBER($G38),$G38&lt;=IF($S38=MesCiclo,InicioCiclo,$S38+MOD(2-WEEKDAY($S38),7))+27),1,IF(ISNUMBER($L38),$L38,$AA38)))</f>
        <v/>
      </c>
      <c r="AC38" s="62">
        <f>IF($V38="","",IF(AND(ISNUMBER($G38),$G38&lt;=IF($S38=MesCiclo,InicioCiclo,$S38+MOD(2-WEEKDAY($S38),7))+6),1,IF(N($W38)&gt;0,AVERAGEIFS($Y$5:$Y$1000,$U$5:$U$1000,ROW(),$V$5:$V$1000,"Sub"),$Y38)))</f>
        <v/>
      </c>
      <c r="AD38" s="62">
        <f>IF($V38="","",IF(AND(ISNUMBER($G38),$G38&lt;=IF($S38=MesCiclo,InicioCiclo,$S38+MOD(2-WEEKDAY($S38),7))+13),1,IF(N($W38)&gt;0,AVERAGEIFS($Z$5:$Z$1000,$U$5:$U$1000,ROW(),$V$5:$V$1000,"Sub"),$Z38)))</f>
        <v/>
      </c>
      <c r="AE38" s="62">
        <f>IF($V38="","",IF(AND(ISNUMBER($G38),$G38&lt;=IF($S38=MesCiclo,InicioCiclo,$S38+MOD(2-WEEKDAY($S38),7))+20),1,IF(N($W38)&gt;0,AVERAGEIFS($AA$5:$AA$1000,$U$5:$U$1000,ROW(),$V$5:$V$1000,"Sub"),$AA38)))</f>
        <v/>
      </c>
      <c r="AF38" s="62">
        <f>IF($V38="","",IF(AND(ISNUMBER($G38),$G38&lt;=IF($S38=MesCiclo,InicioCiclo,$S38+MOD(2-WEEKDAY($S38),7))+27),1,IF(N($W38)&gt;0,AVERAGEIFS($AB$5:$AB$1000,$U$5:$U$1000,ROW(),$V$5:$V$1000,"Sub"),$AB38)))</f>
        <v/>
      </c>
      <c r="AG38" s="62">
        <f>IF($V38&lt;&gt;"Macro","",IF(COUNTIFS($S$5:$S$1000,$S38,$V$5:$V$1000,"Macro",$H$5:$H$1000,"&gt;0")=0,1/COUNTIFS($S$5:$S$1000,$S38,$V$5:$V$1000,"Macro"),IF(AND(ISNUMBER($H38),N($H38)&gt;0),$H38,SUMIFS($H$5:$H$1000,$S$5:$S$1000,$S38,$V$5:$V$1000,"Macro")/COUNTIFS($S$5:$S$1000,$S38,$V$5:$V$1000,"Macro",$H$5:$H$1000,"&gt;0"))/(COUNTIFS($S$5:$S$1000,$S38,$V$5:$V$1000,"Macro")*SUMIFS($H$5:$H$1000,$S$5:$S$1000,$S38,$V$5:$V$1000,"Macro")/COUNTIFS($S$5:$S$1000,$S38,$V$5:$V$1000,"Macro",$H$5:$H$1000,"&gt;0"))))</f>
        <v/>
      </c>
      <c r="AH38" s="62" t="n"/>
      <c r="AI38" s="62" t="n"/>
      <c r="AJ38" s="62" t="n"/>
      <c r="AK38" s="62" t="n"/>
      <c r="AL38" s="62">
        <f>IF(LEFT($C38,11)="[Jefatura] ",IFERROR(MATCH("Riesgo Operacional|"&amp;MID($C38,12,500),rDname_ADM,0),0),"")</f>
        <v/>
      </c>
      <c r="AM38" s="62">
        <f>IF(N($AL38)&gt;0,INDEX(rIni_ADM,$AL38),IF(ISNUMBER($E38),$E38,""))</f>
        <v/>
      </c>
      <c r="AN38" s="62">
        <f>IF(N($AL38)&gt;0,INDEX(rLim_ADM,$AL38),IF(ISNUMBER($F38),$F38,""))</f>
        <v/>
      </c>
    </row>
    <row r="39">
      <c r="A39" s="56">
        <f>IF(NOT((COUNTA($B39:$D39)+COUNTA($G39:$L39)+COUNTA($Q39))&gt;0),"",IF($V39="Macro",COUNTIFS($V$5:$V39,"Macro",$S$5:$S39,$S39),IF(N($U39)=0,"?",COUNTIFS(INDEX($V$5:$V$1000,1):INDEX($V$5:$V$1000,$U39-4),"Macro",INDEX($S$5:$S$1000,1):INDEX($S$5:$S$1000,$U39-4),INDEX($S$5:$S$1000,$U39-4))&amp;"."&amp;COUNTIFS($U$5:$U39,$U39,$V$5:$V39,"Sub"))))</f>
        <v/>
      </c>
      <c r="B39" s="57" t="n"/>
      <c r="C39" s="58" t="n"/>
      <c r="D39" s="58" t="n"/>
      <c r="E39" s="59">
        <f>IF(N($AL39)&gt;0,INDEX(rIni_ADM,$AL39),"")</f>
        <v/>
      </c>
      <c r="F39" s="59">
        <f>IF(N($AL39)&gt;0,INDEX(rLim_ADM,$AL39),"")</f>
        <v/>
      </c>
      <c r="G39" s="59" t="n"/>
      <c r="H39" s="60" t="n"/>
      <c r="I39" s="60" t="n"/>
      <c r="J39" s="60" t="n"/>
      <c r="K39" s="60" t="n"/>
      <c r="L39" s="60" t="n"/>
      <c r="M39" s="61">
        <f>IF(NOT((COUNTA($B39:$D39)+COUNTA($G39:$L39)+COUNTA($Q39))&gt;0),"",IF($V39="Sub",IFERROR($X39/INDEX($W$5:$W$1000,$U39-4),""),IF(ISNUMBER($G39),1,IF(N($W39)&gt;0,AVERAGEIFS($X$5:$X$1000,$U$5:$U$1000,ROW(),$V$5:$V$1000,"Sub"),$X39))))</f>
        <v/>
      </c>
      <c r="N39" s="56">
        <f>IF(OR($M39="",$V39="Sub"),"",IF($M39&gt;=1,"Completado",IF($M39&gt;0,"En curso","Pendiente")))</f>
        <v/>
      </c>
      <c r="O39" s="56">
        <f>IF(OR(NOT((COUNTA($B39:$D39)+COUNTA($G39:$L39)+COUNTA($Q39))&gt;0),$V39="Sub"),"",IF(ISNUMBER($G39),IF(AND(ISNUMBER($AN39),$G39&gt;$AN39),"Cumplida con "&amp;($G39-$AN39)&amp;IF($G39-$AN39=1," día"," días")&amp;" de retraso","Cumplida"),IF(N($M39)&gt;=1,"Cumplida",IF(NOT(ISNUMBER($AN39)),"Sin fecha límite",IF($AN39&lt;FechaRef,"Vencida hace "&amp;(FechaRef-$AN39)&amp;IF(FechaRef-$AN39=1," día"," días"),IF($AN39=FechaRef,"Vence hoy",IF($AN39-FechaRef&lt;=DiasAlerta,"Vence en "&amp;($AN39-FechaRef)&amp;IF($AN39-FechaRef=1," día"," días"),"En plazo")))))))</f>
        <v/>
      </c>
      <c r="P39" s="62" t="n"/>
      <c r="Q39" s="58" t="n"/>
      <c r="R39" s="63">
        <f>IF(NOT((COUNTA($B39:$D39)+COUNTA($G39:$L39)+COUNTA($Q39))&gt;0),"",IF((IF($C39="","Falta el nombre de la actividad"&amp;" · ","")&amp;IF(AND($V39="Sub",N($U39)=0),"Subactividad sin macroactividad arriba"&amp;" · ","")&amp;IF($AM39="","Sin fecha de inicio"&amp;" · ","")&amp;IF($AN39="","Sin fecha límite"&amp;" · ","")&amp;IF(AND(LEFT($C39,11)="[Jefatura] ",N($AL39)=0),"No se encuentra en la hoja de la jefatura (elíjala de nuevo en la lista)"&amp;" · ","")&amp;IF(OR(AND($E39&lt;&gt;"",NOT(ISNUMBER($E39))),AND($F39&lt;&gt;"",NOT(ISNUMBER($F39))),AND($G39&lt;&gt;"",NOT(ISNUMBER($G39)))),"Fecha no válida"&amp;" · ","")&amp;IF(AND(ISNUMBER($AM39),ISNUMBER($AN39),$AM39&gt;$AN39),"Inicio posterior a fecha límite"&amp;" · ","")&amp;IF(AND($V39="Macro",$H39&lt;&gt;"",OR(NOT(ISNUMBER($H39)),$H39&lt;0,$H39&gt;1)),"Peso fuera de rango"&amp;" · ","")&amp;IF(AND($V39="Sub",$H39&lt;&gt;""),"Las subactividades no llevan peso (valen igual dentro de su macroactividad)"&amp;" · ","")&amp;IF(AND(N($W39)&gt;0,COUNT($I39:$L39)&gt;0),"Con subactividades: deje vacías las semanas (se calculan solas)"&amp;" · ","")&amp;IF((COUNTIF($I39:$L39,"&gt;1")+COUNTIF($I39:$L39,"&lt;0")+COUNTA($I39:$L39)-COUNT($I39:$L39))&gt;0,"Avance fuera de rango 0-100%"&amp;" · ","")&amp;IF(OR(AND($J39&lt;&gt;"",$J39&lt;$I39),AND($K39&lt;&gt;"",$K39&lt;MAX($I39:$J39)),AND($L39&lt;&gt;"",$L39&lt;MAX($I39:$K39))),"Avance semanal decreciente"&amp;" · ","")&amp;IF(AND(ISNUMBER($AN39),$AN39&lt;FechaRef,IF($V39="Sub",N($X39),N($M39))&lt;1),"Vencida"&amp;" · ","")&amp;IF(AND(ObsObligatoria="Sí",ISNUMBER($AN39),$AN39&lt;FechaRef,IF($V39="Sub",N($X39),N($M39))&lt;1,$Q39=""),"Vencida sin observación"&amp;" · ",""))="","✔ OK","⚠ "&amp;LEFT(IF($C39="","Falta el nombre de la actividad"&amp;" · ","")&amp;IF(AND($V39="Sub",N($U39)=0),"Subactividad sin macroactividad arriba"&amp;" · ","")&amp;IF($AM39="","Sin fecha de inicio"&amp;" · ","")&amp;IF($AN39="","Sin fecha límite"&amp;" · ","")&amp;IF(AND(LEFT($C39,11)="[Jefatura] ",N($AL39)=0),"No se encuentra en la hoja de la jefatura (elíjala de nuevo en la lista)"&amp;" · ","")&amp;IF(OR(AND($E39&lt;&gt;"",NOT(ISNUMBER($E39))),AND($F39&lt;&gt;"",NOT(ISNUMBER($F39))),AND($G39&lt;&gt;"",NOT(ISNUMBER($G39)))),"Fecha no válida"&amp;" · ","")&amp;IF(AND(ISNUMBER($AM39),ISNUMBER($AN39),$AM39&gt;$AN39),"Inicio posterior a fecha límite"&amp;" · ","")&amp;IF(AND($V39="Macro",$H39&lt;&gt;"",OR(NOT(ISNUMBER($H39)),$H39&lt;0,$H39&gt;1)),"Peso fuera de rango"&amp;" · ","")&amp;IF(AND($V39="Sub",$H39&lt;&gt;""),"Las subactividades no llevan peso (valen igual dentro de su macroactividad)"&amp;" · ","")&amp;IF(AND(N($W39)&gt;0,COUNT($I39:$L39)&gt;0),"Con subactividades: deje vacías las semanas (se calculan solas)"&amp;" · ","")&amp;IF((COUNTIF($I39:$L39,"&gt;1")+COUNTIF($I39:$L39,"&lt;0")+COUNTA($I39:$L39)-COUNT($I39:$L39))&gt;0,"Avance fuera de rango 0-100%"&amp;" · ","")&amp;IF(OR(AND($J39&lt;&gt;"",$J39&lt;$I39),AND($K39&lt;&gt;"",$K39&lt;MAX($I39:$J39)),AND($L39&lt;&gt;"",$L39&lt;MAX($I39:$K39))),"Avance semanal decreciente"&amp;" · ","")&amp;IF(AND(ISNUMBER($AN39),$AN39&lt;FechaRef,IF($V39="Sub",N($X39),N($M39))&lt;1),"Vencida"&amp;" · ","")&amp;IF(AND(ObsObligatoria="Sí",ISNUMBER($AN39),$AN39&lt;FechaRef,IF($V39="Sub",N($X39),N($M39))&lt;1,$Q39=""),"Vencida sin observación"&amp;" · ",""),LEN(IF($C39="","Falta el nombre de la actividad"&amp;" · ","")&amp;IF(AND($V39="Sub",N($U39)=0),"Subactividad sin macroactividad arriba"&amp;" · ","")&amp;IF($AM39="","Sin fecha de inicio"&amp;" · ","")&amp;IF($AN39="","Sin fecha límite"&amp;" · ","")&amp;IF(AND(LEFT($C39,11)="[Jefatura] ",N($AL39)=0),"No se encuentra en la hoja de la jefatura (elíjala de nuevo en la lista)"&amp;" · ","")&amp;IF(OR(AND($E39&lt;&gt;"",NOT(ISNUMBER($E39))),AND($F39&lt;&gt;"",NOT(ISNUMBER($F39))),AND($G39&lt;&gt;"",NOT(ISNUMBER($G39)))),"Fecha no válida"&amp;" · ","")&amp;IF(AND(ISNUMBER($AM39),ISNUMBER($AN39),$AM39&gt;$AN39),"Inicio posterior a fecha límite"&amp;" · ","")&amp;IF(AND($V39="Macro",$H39&lt;&gt;"",OR(NOT(ISNUMBER($H39)),$H39&lt;0,$H39&gt;1)),"Peso fuera de rango"&amp;" · ","")&amp;IF(AND($V39="Sub",$H39&lt;&gt;""),"Las subactividades no llevan peso (valen igual dentro de su macroactividad)"&amp;" · ","")&amp;IF(AND(N($W39)&gt;0,COUNT($I39:$L39)&gt;0),"Con subactividades: deje vacías las semanas (se calculan solas)"&amp;" · ","")&amp;IF((COUNTIF($I39:$L39,"&gt;1")+COUNTIF($I39:$L39,"&lt;0")+COUNTA($I39:$L39)-COUNT($I39:$L39))&gt;0,"Avance fuera de rango 0-100%"&amp;" · ","")&amp;IF(OR(AND($J39&lt;&gt;"",$J39&lt;$I39),AND($K39&lt;&gt;"",$K39&lt;MAX($I39:$J39)),AND($L39&lt;&gt;"",$L39&lt;MAX($I39:$K39))),"Avance semanal decreciente"&amp;" · ","")&amp;IF(AND(ISNUMBER($AN39),$AN39&lt;FechaRef,IF($V39="Sub",N($X39),N($M39))&lt;1),"Vencida"&amp;" · ","")&amp;IF(AND(ObsObligatoria="Sí",ISNUMBER($AN39),$AN39&lt;FechaRef,IF($V39="Sub",N($X39),N($M39))&lt;1,$Q39=""),"Vencida sin observación"&amp;" · ",""))-3)))</f>
        <v/>
      </c>
      <c r="S39" s="64">
        <f>IF(NOT((COUNTA($B39:$D39)+COUNTA($G39:$L39)+COUNTA($Q39))&gt;0),"",IF(AND($V39="Sub",N($U39)&gt;0),IF(ISNUMBER(INDEX($AM$5:$AM$1000,$U39-4)),DATE(YEAR(INDEX($AM$5:$AM$1000,$U39-4)),MONTH(INDEX($AM$5:$AM$1000,$U39-4)),1),IF(ISNUMBER(INDEX($AN$5:$AN$1000,$U39-4)),DATE(YEAR(INDEX($AN$5:$AN$1000,$U39-4)),MONTH(INDEX($AN$5:$AN$1000,$U39-4)),1),MesCiclo)),IF(ISNUMBER($AM39),DATE(YEAR($AM39),MONTH($AM39),1),IF(ISNUMBER($AN39),DATE(YEAR($AN39),MONTH($AN39),1),MesCiclo))))</f>
        <v/>
      </c>
      <c r="T39" s="62">
        <f>IF(OR($S39="",$S39&lt;&gt;MesCiclo,$V39&lt;&gt;"Macro"),"",COUNTIFS($S$5:$S39,MesCiclo,$V$5:$V39,"Macro"))</f>
        <v/>
      </c>
      <c r="U39" s="62">
        <f>IF($V39="","",IF($V39="Macro",ROW(),IFERROR(LOOKUP(2,1/($V$5:$V39="Macro"),ROW($V$5:$V39)),0)))</f>
        <v/>
      </c>
      <c r="V39" s="62">
        <f>IF(NOT((COUNTA($B39:$D39)+COUNTA($G39:$L39)+COUNTA($Q39))&gt;0),"",IF($B39="Subactividad","Sub","Macro"))</f>
        <v/>
      </c>
      <c r="W39" s="62">
        <f>IF($V39="Macro",COUNTIFS($U$5:$U$1000,ROW(),$V$5:$V$1000,"Sub"),"")</f>
        <v/>
      </c>
      <c r="X39" s="62">
        <f>IF($V39="","",IF(ISNUMBER($G39),1,IFERROR(LOOKUP(2,1/($I39:$L39&lt;&gt;""),$I39:$L39),0)))</f>
        <v/>
      </c>
      <c r="Y39" s="62">
        <f>IF($V39="","",IF(AND(ISNUMBER($G39),$G39&lt;=IF($S39=MesCiclo,InicioCiclo,$S39+MOD(2-WEEKDAY($S39),7))+6),1,IF(ISNUMBER($I39),$I39,0)))</f>
        <v/>
      </c>
      <c r="Z39" s="62">
        <f>IF($V39="","",IF(AND(ISNUMBER($G39),$G39&lt;=IF($S39=MesCiclo,InicioCiclo,$S39+MOD(2-WEEKDAY($S39),7))+13),1,IF(ISNUMBER($J39),$J39,$Y39)))</f>
        <v/>
      </c>
      <c r="AA39" s="62">
        <f>IF($V39="","",IF(AND(ISNUMBER($G39),$G39&lt;=IF($S39=MesCiclo,InicioCiclo,$S39+MOD(2-WEEKDAY($S39),7))+20),1,IF(ISNUMBER($K39),$K39,$Z39)))</f>
        <v/>
      </c>
      <c r="AB39" s="62">
        <f>IF($V39="","",IF(AND(ISNUMBER($G39),$G39&lt;=IF($S39=MesCiclo,InicioCiclo,$S39+MOD(2-WEEKDAY($S39),7))+27),1,IF(ISNUMBER($L39),$L39,$AA39)))</f>
        <v/>
      </c>
      <c r="AC39" s="62">
        <f>IF($V39="","",IF(AND(ISNUMBER($G39),$G39&lt;=IF($S39=MesCiclo,InicioCiclo,$S39+MOD(2-WEEKDAY($S39),7))+6),1,IF(N($W39)&gt;0,AVERAGEIFS($Y$5:$Y$1000,$U$5:$U$1000,ROW(),$V$5:$V$1000,"Sub"),$Y39)))</f>
        <v/>
      </c>
      <c r="AD39" s="62">
        <f>IF($V39="","",IF(AND(ISNUMBER($G39),$G39&lt;=IF($S39=MesCiclo,InicioCiclo,$S39+MOD(2-WEEKDAY($S39),7))+13),1,IF(N($W39)&gt;0,AVERAGEIFS($Z$5:$Z$1000,$U$5:$U$1000,ROW(),$V$5:$V$1000,"Sub"),$Z39)))</f>
        <v/>
      </c>
      <c r="AE39" s="62">
        <f>IF($V39="","",IF(AND(ISNUMBER($G39),$G39&lt;=IF($S39=MesCiclo,InicioCiclo,$S39+MOD(2-WEEKDAY($S39),7))+20),1,IF(N($W39)&gt;0,AVERAGEIFS($AA$5:$AA$1000,$U$5:$U$1000,ROW(),$V$5:$V$1000,"Sub"),$AA39)))</f>
        <v/>
      </c>
      <c r="AF39" s="62">
        <f>IF($V39="","",IF(AND(ISNUMBER($G39),$G39&lt;=IF($S39=MesCiclo,InicioCiclo,$S39+MOD(2-WEEKDAY($S39),7))+27),1,IF(N($W39)&gt;0,AVERAGEIFS($AB$5:$AB$1000,$U$5:$U$1000,ROW(),$V$5:$V$1000,"Sub"),$AB39)))</f>
        <v/>
      </c>
      <c r="AG39" s="62">
        <f>IF($V39&lt;&gt;"Macro","",IF(COUNTIFS($S$5:$S$1000,$S39,$V$5:$V$1000,"Macro",$H$5:$H$1000,"&gt;0")=0,1/COUNTIFS($S$5:$S$1000,$S39,$V$5:$V$1000,"Macro"),IF(AND(ISNUMBER($H39),N($H39)&gt;0),$H39,SUMIFS($H$5:$H$1000,$S$5:$S$1000,$S39,$V$5:$V$1000,"Macro")/COUNTIFS($S$5:$S$1000,$S39,$V$5:$V$1000,"Macro",$H$5:$H$1000,"&gt;0"))/(COUNTIFS($S$5:$S$1000,$S39,$V$5:$V$1000,"Macro")*SUMIFS($H$5:$H$1000,$S$5:$S$1000,$S39,$V$5:$V$1000,"Macro")/COUNTIFS($S$5:$S$1000,$S39,$V$5:$V$1000,"Macro",$H$5:$H$1000,"&gt;0"))))</f>
        <v/>
      </c>
      <c r="AH39" s="62" t="n"/>
      <c r="AI39" s="62" t="n"/>
      <c r="AJ39" s="62" t="n"/>
      <c r="AK39" s="62" t="n"/>
      <c r="AL39" s="62">
        <f>IF(LEFT($C39,11)="[Jefatura] ",IFERROR(MATCH("Riesgo Operacional|"&amp;MID($C39,12,500),rDname_ADM,0),0),"")</f>
        <v/>
      </c>
      <c r="AM39" s="62">
        <f>IF(N($AL39)&gt;0,INDEX(rIni_ADM,$AL39),IF(ISNUMBER($E39),$E39,""))</f>
        <v/>
      </c>
      <c r="AN39" s="62">
        <f>IF(N($AL39)&gt;0,INDEX(rLim_ADM,$AL39),IF(ISNUMBER($F39),$F39,""))</f>
        <v/>
      </c>
    </row>
    <row r="40">
      <c r="A40" s="56">
        <f>IF(NOT((COUNTA($B40:$D40)+COUNTA($G40:$L40)+COUNTA($Q40))&gt;0),"",IF($V40="Macro",COUNTIFS($V$5:$V40,"Macro",$S$5:$S40,$S40),IF(N($U40)=0,"?",COUNTIFS(INDEX($V$5:$V$1000,1):INDEX($V$5:$V$1000,$U40-4),"Macro",INDEX($S$5:$S$1000,1):INDEX($S$5:$S$1000,$U40-4),INDEX($S$5:$S$1000,$U40-4))&amp;"."&amp;COUNTIFS($U$5:$U40,$U40,$V$5:$V40,"Sub"))))</f>
        <v/>
      </c>
      <c r="B40" s="57" t="n"/>
      <c r="C40" s="58" t="n"/>
      <c r="D40" s="58" t="n"/>
      <c r="E40" s="59">
        <f>IF(N($AL40)&gt;0,INDEX(rIni_ADM,$AL40),"")</f>
        <v/>
      </c>
      <c r="F40" s="59">
        <f>IF(N($AL40)&gt;0,INDEX(rLim_ADM,$AL40),"")</f>
        <v/>
      </c>
      <c r="G40" s="59" t="n"/>
      <c r="H40" s="60" t="n"/>
      <c r="I40" s="60" t="n"/>
      <c r="J40" s="60" t="n"/>
      <c r="K40" s="60" t="n"/>
      <c r="L40" s="60" t="n"/>
      <c r="M40" s="61">
        <f>IF(NOT((COUNTA($B40:$D40)+COUNTA($G40:$L40)+COUNTA($Q40))&gt;0),"",IF($V40="Sub",IFERROR($X40/INDEX($W$5:$W$1000,$U40-4),""),IF(ISNUMBER($G40),1,IF(N($W40)&gt;0,AVERAGEIFS($X$5:$X$1000,$U$5:$U$1000,ROW(),$V$5:$V$1000,"Sub"),$X40))))</f>
        <v/>
      </c>
      <c r="N40" s="56">
        <f>IF(OR($M40="",$V40="Sub"),"",IF($M40&gt;=1,"Completado",IF($M40&gt;0,"En curso","Pendiente")))</f>
        <v/>
      </c>
      <c r="O40" s="56">
        <f>IF(OR(NOT((COUNTA($B40:$D40)+COUNTA($G40:$L40)+COUNTA($Q40))&gt;0),$V40="Sub"),"",IF(ISNUMBER($G40),IF(AND(ISNUMBER($AN40),$G40&gt;$AN40),"Cumplida con "&amp;($G40-$AN40)&amp;IF($G40-$AN40=1," día"," días")&amp;" de retraso","Cumplida"),IF(N($M40)&gt;=1,"Cumplida",IF(NOT(ISNUMBER($AN40)),"Sin fecha límite",IF($AN40&lt;FechaRef,"Vencida hace "&amp;(FechaRef-$AN40)&amp;IF(FechaRef-$AN40=1," día"," días"),IF($AN40=FechaRef,"Vence hoy",IF($AN40-FechaRef&lt;=DiasAlerta,"Vence en "&amp;($AN40-FechaRef)&amp;IF($AN40-FechaRef=1," día"," días"),"En plazo")))))))</f>
        <v/>
      </c>
      <c r="P40" s="62" t="n"/>
      <c r="Q40" s="58" t="n"/>
      <c r="R40" s="63">
        <f>IF(NOT((COUNTA($B40:$D40)+COUNTA($G40:$L40)+COUNTA($Q40))&gt;0),"",IF((IF($C40="","Falta el nombre de la actividad"&amp;" · ","")&amp;IF(AND($V40="Sub",N($U40)=0),"Subactividad sin macroactividad arriba"&amp;" · ","")&amp;IF($AM40="","Sin fecha de inicio"&amp;" · ","")&amp;IF($AN40="","Sin fecha límite"&amp;" · ","")&amp;IF(AND(LEFT($C40,11)="[Jefatura] ",N($AL40)=0),"No se encuentra en la hoja de la jefatura (elíjala de nuevo en la lista)"&amp;" · ","")&amp;IF(OR(AND($E40&lt;&gt;"",NOT(ISNUMBER($E40))),AND($F40&lt;&gt;"",NOT(ISNUMBER($F40))),AND($G40&lt;&gt;"",NOT(ISNUMBER($G40)))),"Fecha no válida"&amp;" · ","")&amp;IF(AND(ISNUMBER($AM40),ISNUMBER($AN40),$AM40&gt;$AN40),"Inicio posterior a fecha límite"&amp;" · ","")&amp;IF(AND($V40="Macro",$H40&lt;&gt;"",OR(NOT(ISNUMBER($H40)),$H40&lt;0,$H40&gt;1)),"Peso fuera de rango"&amp;" · ","")&amp;IF(AND($V40="Sub",$H40&lt;&gt;""),"Las subactividades no llevan peso (valen igual dentro de su macroactividad)"&amp;" · ","")&amp;IF(AND(N($W40)&gt;0,COUNT($I40:$L40)&gt;0),"Con subactividades: deje vacías las semanas (se calculan solas)"&amp;" · ","")&amp;IF((COUNTIF($I40:$L40,"&gt;1")+COUNTIF($I40:$L40,"&lt;0")+COUNTA($I40:$L40)-COUNT($I40:$L40))&gt;0,"Avance fuera de rango 0-100%"&amp;" · ","")&amp;IF(OR(AND($J40&lt;&gt;"",$J40&lt;$I40),AND($K40&lt;&gt;"",$K40&lt;MAX($I40:$J40)),AND($L40&lt;&gt;"",$L40&lt;MAX($I40:$K40))),"Avance semanal decreciente"&amp;" · ","")&amp;IF(AND(ISNUMBER($AN40),$AN40&lt;FechaRef,IF($V40="Sub",N($X40),N($M40))&lt;1),"Vencida"&amp;" · ","")&amp;IF(AND(ObsObligatoria="Sí",ISNUMBER($AN40),$AN40&lt;FechaRef,IF($V40="Sub",N($X40),N($M40))&lt;1,$Q40=""),"Vencida sin observación"&amp;" · ",""))="","✔ OK","⚠ "&amp;LEFT(IF($C40="","Falta el nombre de la actividad"&amp;" · ","")&amp;IF(AND($V40="Sub",N($U40)=0),"Subactividad sin macroactividad arriba"&amp;" · ","")&amp;IF($AM40="","Sin fecha de inicio"&amp;" · ","")&amp;IF($AN40="","Sin fecha límite"&amp;" · ","")&amp;IF(AND(LEFT($C40,11)="[Jefatura] ",N($AL40)=0),"No se encuentra en la hoja de la jefatura (elíjala de nuevo en la lista)"&amp;" · ","")&amp;IF(OR(AND($E40&lt;&gt;"",NOT(ISNUMBER($E40))),AND($F40&lt;&gt;"",NOT(ISNUMBER($F40))),AND($G40&lt;&gt;"",NOT(ISNUMBER($G40)))),"Fecha no válida"&amp;" · ","")&amp;IF(AND(ISNUMBER($AM40),ISNUMBER($AN40),$AM40&gt;$AN40),"Inicio posterior a fecha límite"&amp;" · ","")&amp;IF(AND($V40="Macro",$H40&lt;&gt;"",OR(NOT(ISNUMBER($H40)),$H40&lt;0,$H40&gt;1)),"Peso fuera de rango"&amp;" · ","")&amp;IF(AND($V40="Sub",$H40&lt;&gt;""),"Las subactividades no llevan peso (valen igual dentro de su macroactividad)"&amp;" · ","")&amp;IF(AND(N($W40)&gt;0,COUNT($I40:$L40)&gt;0),"Con subactividades: deje vacías las semanas (se calculan solas)"&amp;" · ","")&amp;IF((COUNTIF($I40:$L40,"&gt;1")+COUNTIF($I40:$L40,"&lt;0")+COUNTA($I40:$L40)-COUNT($I40:$L40))&gt;0,"Avance fuera de rango 0-100%"&amp;" · ","")&amp;IF(OR(AND($J40&lt;&gt;"",$J40&lt;$I40),AND($K40&lt;&gt;"",$K40&lt;MAX($I40:$J40)),AND($L40&lt;&gt;"",$L40&lt;MAX($I40:$K40))),"Avance semanal decreciente"&amp;" · ","")&amp;IF(AND(ISNUMBER($AN40),$AN40&lt;FechaRef,IF($V40="Sub",N($X40),N($M40))&lt;1),"Vencida"&amp;" · ","")&amp;IF(AND(ObsObligatoria="Sí",ISNUMBER($AN40),$AN40&lt;FechaRef,IF($V40="Sub",N($X40),N($M40))&lt;1,$Q40=""),"Vencida sin observación"&amp;" · ",""),LEN(IF($C40="","Falta el nombre de la actividad"&amp;" · ","")&amp;IF(AND($V40="Sub",N($U40)=0),"Subactividad sin macroactividad arriba"&amp;" · ","")&amp;IF($AM40="","Sin fecha de inicio"&amp;" · ","")&amp;IF($AN40="","Sin fecha límite"&amp;" · ","")&amp;IF(AND(LEFT($C40,11)="[Jefatura] ",N($AL40)=0),"No se encuentra en la hoja de la jefatura (elíjala de nuevo en la lista)"&amp;" · ","")&amp;IF(OR(AND($E40&lt;&gt;"",NOT(ISNUMBER($E40))),AND($F40&lt;&gt;"",NOT(ISNUMBER($F40))),AND($G40&lt;&gt;"",NOT(ISNUMBER($G40)))),"Fecha no válida"&amp;" · ","")&amp;IF(AND(ISNUMBER($AM40),ISNUMBER($AN40),$AM40&gt;$AN40),"Inicio posterior a fecha límite"&amp;" · ","")&amp;IF(AND($V40="Macro",$H40&lt;&gt;"",OR(NOT(ISNUMBER($H40)),$H40&lt;0,$H40&gt;1)),"Peso fuera de rango"&amp;" · ","")&amp;IF(AND($V40="Sub",$H40&lt;&gt;""),"Las subactividades no llevan peso (valen igual dentro de su macroactividad)"&amp;" · ","")&amp;IF(AND(N($W40)&gt;0,COUNT($I40:$L40)&gt;0),"Con subactividades: deje vacías las semanas (se calculan solas)"&amp;" · ","")&amp;IF((COUNTIF($I40:$L40,"&gt;1")+COUNTIF($I40:$L40,"&lt;0")+COUNTA($I40:$L40)-COUNT($I40:$L40))&gt;0,"Avance fuera de rango 0-100%"&amp;" · ","")&amp;IF(OR(AND($J40&lt;&gt;"",$J40&lt;$I40),AND($K40&lt;&gt;"",$K40&lt;MAX($I40:$J40)),AND($L40&lt;&gt;"",$L40&lt;MAX($I40:$K40))),"Avance semanal decreciente"&amp;" · ","")&amp;IF(AND(ISNUMBER($AN40),$AN40&lt;FechaRef,IF($V40="Sub",N($X40),N($M40))&lt;1),"Vencida"&amp;" · ","")&amp;IF(AND(ObsObligatoria="Sí",ISNUMBER($AN40),$AN40&lt;FechaRef,IF($V40="Sub",N($X40),N($M40))&lt;1,$Q40=""),"Vencida sin observación"&amp;" · ",""))-3)))</f>
        <v/>
      </c>
      <c r="S40" s="64">
        <f>IF(NOT((COUNTA($B40:$D40)+COUNTA($G40:$L40)+COUNTA($Q40))&gt;0),"",IF(AND($V40="Sub",N($U40)&gt;0),IF(ISNUMBER(INDEX($AM$5:$AM$1000,$U40-4)),DATE(YEAR(INDEX($AM$5:$AM$1000,$U40-4)),MONTH(INDEX($AM$5:$AM$1000,$U40-4)),1),IF(ISNUMBER(INDEX($AN$5:$AN$1000,$U40-4)),DATE(YEAR(INDEX($AN$5:$AN$1000,$U40-4)),MONTH(INDEX($AN$5:$AN$1000,$U40-4)),1),MesCiclo)),IF(ISNUMBER($AM40),DATE(YEAR($AM40),MONTH($AM40),1),IF(ISNUMBER($AN40),DATE(YEAR($AN40),MONTH($AN40),1),MesCiclo))))</f>
        <v/>
      </c>
      <c r="T40" s="62">
        <f>IF(OR($S40="",$S40&lt;&gt;MesCiclo,$V40&lt;&gt;"Macro"),"",COUNTIFS($S$5:$S40,MesCiclo,$V$5:$V40,"Macro"))</f>
        <v/>
      </c>
      <c r="U40" s="62">
        <f>IF($V40="","",IF($V40="Macro",ROW(),IFERROR(LOOKUP(2,1/($V$5:$V40="Macro"),ROW($V$5:$V40)),0)))</f>
        <v/>
      </c>
      <c r="V40" s="62">
        <f>IF(NOT((COUNTA($B40:$D40)+COUNTA($G40:$L40)+COUNTA($Q40))&gt;0),"",IF($B40="Subactividad","Sub","Macro"))</f>
        <v/>
      </c>
      <c r="W40" s="62">
        <f>IF($V40="Macro",COUNTIFS($U$5:$U$1000,ROW(),$V$5:$V$1000,"Sub"),"")</f>
        <v/>
      </c>
      <c r="X40" s="62">
        <f>IF($V40="","",IF(ISNUMBER($G40),1,IFERROR(LOOKUP(2,1/($I40:$L40&lt;&gt;""),$I40:$L40),0)))</f>
        <v/>
      </c>
      <c r="Y40" s="62">
        <f>IF($V40="","",IF(AND(ISNUMBER($G40),$G40&lt;=IF($S40=MesCiclo,InicioCiclo,$S40+MOD(2-WEEKDAY($S40),7))+6),1,IF(ISNUMBER($I40),$I40,0)))</f>
        <v/>
      </c>
      <c r="Z40" s="62">
        <f>IF($V40="","",IF(AND(ISNUMBER($G40),$G40&lt;=IF($S40=MesCiclo,InicioCiclo,$S40+MOD(2-WEEKDAY($S40),7))+13),1,IF(ISNUMBER($J40),$J40,$Y40)))</f>
        <v/>
      </c>
      <c r="AA40" s="62">
        <f>IF($V40="","",IF(AND(ISNUMBER($G40),$G40&lt;=IF($S40=MesCiclo,InicioCiclo,$S40+MOD(2-WEEKDAY($S40),7))+20),1,IF(ISNUMBER($K40),$K40,$Z40)))</f>
        <v/>
      </c>
      <c r="AB40" s="62">
        <f>IF($V40="","",IF(AND(ISNUMBER($G40),$G40&lt;=IF($S40=MesCiclo,InicioCiclo,$S40+MOD(2-WEEKDAY($S40),7))+27),1,IF(ISNUMBER($L40),$L40,$AA40)))</f>
        <v/>
      </c>
      <c r="AC40" s="62">
        <f>IF($V40="","",IF(AND(ISNUMBER($G40),$G40&lt;=IF($S40=MesCiclo,InicioCiclo,$S40+MOD(2-WEEKDAY($S40),7))+6),1,IF(N($W40)&gt;0,AVERAGEIFS($Y$5:$Y$1000,$U$5:$U$1000,ROW(),$V$5:$V$1000,"Sub"),$Y40)))</f>
        <v/>
      </c>
      <c r="AD40" s="62">
        <f>IF($V40="","",IF(AND(ISNUMBER($G40),$G40&lt;=IF($S40=MesCiclo,InicioCiclo,$S40+MOD(2-WEEKDAY($S40),7))+13),1,IF(N($W40)&gt;0,AVERAGEIFS($Z$5:$Z$1000,$U$5:$U$1000,ROW(),$V$5:$V$1000,"Sub"),$Z40)))</f>
        <v/>
      </c>
      <c r="AE40" s="62">
        <f>IF($V40="","",IF(AND(ISNUMBER($G40),$G40&lt;=IF($S40=MesCiclo,InicioCiclo,$S40+MOD(2-WEEKDAY($S40),7))+20),1,IF(N($W40)&gt;0,AVERAGEIFS($AA$5:$AA$1000,$U$5:$U$1000,ROW(),$V$5:$V$1000,"Sub"),$AA40)))</f>
        <v/>
      </c>
      <c r="AF40" s="62">
        <f>IF($V40="","",IF(AND(ISNUMBER($G40),$G40&lt;=IF($S40=MesCiclo,InicioCiclo,$S40+MOD(2-WEEKDAY($S40),7))+27),1,IF(N($W40)&gt;0,AVERAGEIFS($AB$5:$AB$1000,$U$5:$U$1000,ROW(),$V$5:$V$1000,"Sub"),$AB40)))</f>
        <v/>
      </c>
      <c r="AG40" s="62">
        <f>IF($V40&lt;&gt;"Macro","",IF(COUNTIFS($S$5:$S$1000,$S40,$V$5:$V$1000,"Macro",$H$5:$H$1000,"&gt;0")=0,1/COUNTIFS($S$5:$S$1000,$S40,$V$5:$V$1000,"Macro"),IF(AND(ISNUMBER($H40),N($H40)&gt;0),$H40,SUMIFS($H$5:$H$1000,$S$5:$S$1000,$S40,$V$5:$V$1000,"Macro")/COUNTIFS($S$5:$S$1000,$S40,$V$5:$V$1000,"Macro",$H$5:$H$1000,"&gt;0"))/(COUNTIFS($S$5:$S$1000,$S40,$V$5:$V$1000,"Macro")*SUMIFS($H$5:$H$1000,$S$5:$S$1000,$S40,$V$5:$V$1000,"Macro")/COUNTIFS($S$5:$S$1000,$S40,$V$5:$V$1000,"Macro",$H$5:$H$1000,"&gt;0"))))</f>
        <v/>
      </c>
      <c r="AH40" s="62" t="n"/>
      <c r="AI40" s="62" t="n"/>
      <c r="AJ40" s="62" t="n"/>
      <c r="AK40" s="62" t="n"/>
      <c r="AL40" s="62">
        <f>IF(LEFT($C40,11)="[Jefatura] ",IFERROR(MATCH("Riesgo Operacional|"&amp;MID($C40,12,500),rDname_ADM,0),0),"")</f>
        <v/>
      </c>
      <c r="AM40" s="62">
        <f>IF(N($AL40)&gt;0,INDEX(rIni_ADM,$AL40),IF(ISNUMBER($E40),$E40,""))</f>
        <v/>
      </c>
      <c r="AN40" s="62">
        <f>IF(N($AL40)&gt;0,INDEX(rLim_ADM,$AL40),IF(ISNUMBER($F40),$F40,""))</f>
        <v/>
      </c>
    </row>
    <row r="41">
      <c r="A41" s="56">
        <f>IF(NOT((COUNTA($B41:$D41)+COUNTA($G41:$L41)+COUNTA($Q41))&gt;0),"",IF($V41="Macro",COUNTIFS($V$5:$V41,"Macro",$S$5:$S41,$S41),IF(N($U41)=0,"?",COUNTIFS(INDEX($V$5:$V$1000,1):INDEX($V$5:$V$1000,$U41-4),"Macro",INDEX($S$5:$S$1000,1):INDEX($S$5:$S$1000,$U41-4),INDEX($S$5:$S$1000,$U41-4))&amp;"."&amp;COUNTIFS($U$5:$U41,$U41,$V$5:$V41,"Sub"))))</f>
        <v/>
      </c>
      <c r="B41" s="57" t="n"/>
      <c r="C41" s="58" t="n"/>
      <c r="D41" s="58" t="n"/>
      <c r="E41" s="59">
        <f>IF(N($AL41)&gt;0,INDEX(rIni_ADM,$AL41),"")</f>
        <v/>
      </c>
      <c r="F41" s="59">
        <f>IF(N($AL41)&gt;0,INDEX(rLim_ADM,$AL41),"")</f>
        <v/>
      </c>
      <c r="G41" s="59" t="n"/>
      <c r="H41" s="60" t="n"/>
      <c r="I41" s="60" t="n"/>
      <c r="J41" s="60" t="n"/>
      <c r="K41" s="60" t="n"/>
      <c r="L41" s="60" t="n"/>
      <c r="M41" s="61">
        <f>IF(NOT((COUNTA($B41:$D41)+COUNTA($G41:$L41)+COUNTA($Q41))&gt;0),"",IF($V41="Sub",IFERROR($X41/INDEX($W$5:$W$1000,$U41-4),""),IF(ISNUMBER($G41),1,IF(N($W41)&gt;0,AVERAGEIFS($X$5:$X$1000,$U$5:$U$1000,ROW(),$V$5:$V$1000,"Sub"),$X41))))</f>
        <v/>
      </c>
      <c r="N41" s="56">
        <f>IF(OR($M41="",$V41="Sub"),"",IF($M41&gt;=1,"Completado",IF($M41&gt;0,"En curso","Pendiente")))</f>
        <v/>
      </c>
      <c r="O41" s="56">
        <f>IF(OR(NOT((COUNTA($B41:$D41)+COUNTA($G41:$L41)+COUNTA($Q41))&gt;0),$V41="Sub"),"",IF(ISNUMBER($G41),IF(AND(ISNUMBER($AN41),$G41&gt;$AN41),"Cumplida con "&amp;($G41-$AN41)&amp;IF($G41-$AN41=1," día"," días")&amp;" de retraso","Cumplida"),IF(N($M41)&gt;=1,"Cumplida",IF(NOT(ISNUMBER($AN41)),"Sin fecha límite",IF($AN41&lt;FechaRef,"Vencida hace "&amp;(FechaRef-$AN41)&amp;IF(FechaRef-$AN41=1," día"," días"),IF($AN41=FechaRef,"Vence hoy",IF($AN41-FechaRef&lt;=DiasAlerta,"Vence en "&amp;($AN41-FechaRef)&amp;IF($AN41-FechaRef=1," día"," días"),"En plazo")))))))</f>
        <v/>
      </c>
      <c r="P41" s="62" t="n"/>
      <c r="Q41" s="58" t="n"/>
      <c r="R41" s="63">
        <f>IF(NOT((COUNTA($B41:$D41)+COUNTA($G41:$L41)+COUNTA($Q41))&gt;0),"",IF((IF($C41="","Falta el nombre de la actividad"&amp;" · ","")&amp;IF(AND($V41="Sub",N($U41)=0),"Subactividad sin macroactividad arriba"&amp;" · ","")&amp;IF($AM41="","Sin fecha de inicio"&amp;" · ","")&amp;IF($AN41="","Sin fecha límite"&amp;" · ","")&amp;IF(AND(LEFT($C41,11)="[Jefatura] ",N($AL41)=0),"No se encuentra en la hoja de la jefatura (elíjala de nuevo en la lista)"&amp;" · ","")&amp;IF(OR(AND($E41&lt;&gt;"",NOT(ISNUMBER($E41))),AND($F41&lt;&gt;"",NOT(ISNUMBER($F41))),AND($G41&lt;&gt;"",NOT(ISNUMBER($G41)))),"Fecha no válida"&amp;" · ","")&amp;IF(AND(ISNUMBER($AM41),ISNUMBER($AN41),$AM41&gt;$AN41),"Inicio posterior a fecha límite"&amp;" · ","")&amp;IF(AND($V41="Macro",$H41&lt;&gt;"",OR(NOT(ISNUMBER($H41)),$H41&lt;0,$H41&gt;1)),"Peso fuera de rango"&amp;" · ","")&amp;IF(AND($V41="Sub",$H41&lt;&gt;""),"Las subactividades no llevan peso (valen igual dentro de su macroactividad)"&amp;" · ","")&amp;IF(AND(N($W41)&gt;0,COUNT($I41:$L41)&gt;0),"Con subactividades: deje vacías las semanas (se calculan solas)"&amp;" · ","")&amp;IF((COUNTIF($I41:$L41,"&gt;1")+COUNTIF($I41:$L41,"&lt;0")+COUNTA($I41:$L41)-COUNT($I41:$L41))&gt;0,"Avance fuera de rango 0-100%"&amp;" · ","")&amp;IF(OR(AND($J41&lt;&gt;"",$J41&lt;$I41),AND($K41&lt;&gt;"",$K41&lt;MAX($I41:$J41)),AND($L41&lt;&gt;"",$L41&lt;MAX($I41:$K41))),"Avance semanal decreciente"&amp;" · ","")&amp;IF(AND(ISNUMBER($AN41),$AN41&lt;FechaRef,IF($V41="Sub",N($X41),N($M41))&lt;1),"Vencida"&amp;" · ","")&amp;IF(AND(ObsObligatoria="Sí",ISNUMBER($AN41),$AN41&lt;FechaRef,IF($V41="Sub",N($X41),N($M41))&lt;1,$Q41=""),"Vencida sin observación"&amp;" · ",""))="","✔ OK","⚠ "&amp;LEFT(IF($C41="","Falta el nombre de la actividad"&amp;" · ","")&amp;IF(AND($V41="Sub",N($U41)=0),"Subactividad sin macroactividad arriba"&amp;" · ","")&amp;IF($AM41="","Sin fecha de inicio"&amp;" · ","")&amp;IF($AN41="","Sin fecha límite"&amp;" · ","")&amp;IF(AND(LEFT($C41,11)="[Jefatura] ",N($AL41)=0),"No se encuentra en la hoja de la jefatura (elíjala de nuevo en la lista)"&amp;" · ","")&amp;IF(OR(AND($E41&lt;&gt;"",NOT(ISNUMBER($E41))),AND($F41&lt;&gt;"",NOT(ISNUMBER($F41))),AND($G41&lt;&gt;"",NOT(ISNUMBER($G41)))),"Fecha no válida"&amp;" · ","")&amp;IF(AND(ISNUMBER($AM41),ISNUMBER($AN41),$AM41&gt;$AN41),"Inicio posterior a fecha límite"&amp;" · ","")&amp;IF(AND($V41="Macro",$H41&lt;&gt;"",OR(NOT(ISNUMBER($H41)),$H41&lt;0,$H41&gt;1)),"Peso fuera de rango"&amp;" · ","")&amp;IF(AND($V41="Sub",$H41&lt;&gt;""),"Las subactividades no llevan peso (valen igual dentro de su macroactividad)"&amp;" · ","")&amp;IF(AND(N($W41)&gt;0,COUNT($I41:$L41)&gt;0),"Con subactividades: deje vacías las semanas (se calculan solas)"&amp;" · ","")&amp;IF((COUNTIF($I41:$L41,"&gt;1")+COUNTIF($I41:$L41,"&lt;0")+COUNTA($I41:$L41)-COUNT($I41:$L41))&gt;0,"Avance fuera de rango 0-100%"&amp;" · ","")&amp;IF(OR(AND($J41&lt;&gt;"",$J41&lt;$I41),AND($K41&lt;&gt;"",$K41&lt;MAX($I41:$J41)),AND($L41&lt;&gt;"",$L41&lt;MAX($I41:$K41))),"Avance semanal decreciente"&amp;" · ","")&amp;IF(AND(ISNUMBER($AN41),$AN41&lt;FechaRef,IF($V41="Sub",N($X41),N($M41))&lt;1),"Vencida"&amp;" · ","")&amp;IF(AND(ObsObligatoria="Sí",ISNUMBER($AN41),$AN41&lt;FechaRef,IF($V41="Sub",N($X41),N($M41))&lt;1,$Q41=""),"Vencida sin observación"&amp;" · ",""),LEN(IF($C41="","Falta el nombre de la actividad"&amp;" · ","")&amp;IF(AND($V41="Sub",N($U41)=0),"Subactividad sin macroactividad arriba"&amp;" · ","")&amp;IF($AM41="","Sin fecha de inicio"&amp;" · ","")&amp;IF($AN41="","Sin fecha límite"&amp;" · ","")&amp;IF(AND(LEFT($C41,11)="[Jefatura] ",N($AL41)=0),"No se encuentra en la hoja de la jefatura (elíjala de nuevo en la lista)"&amp;" · ","")&amp;IF(OR(AND($E41&lt;&gt;"",NOT(ISNUMBER($E41))),AND($F41&lt;&gt;"",NOT(ISNUMBER($F41))),AND($G41&lt;&gt;"",NOT(ISNUMBER($G41)))),"Fecha no válida"&amp;" · ","")&amp;IF(AND(ISNUMBER($AM41),ISNUMBER($AN41),$AM41&gt;$AN41),"Inicio posterior a fecha límite"&amp;" · ","")&amp;IF(AND($V41="Macro",$H41&lt;&gt;"",OR(NOT(ISNUMBER($H41)),$H41&lt;0,$H41&gt;1)),"Peso fuera de rango"&amp;" · ","")&amp;IF(AND($V41="Sub",$H41&lt;&gt;""),"Las subactividades no llevan peso (valen igual dentro de su macroactividad)"&amp;" · ","")&amp;IF(AND(N($W41)&gt;0,COUNT($I41:$L41)&gt;0),"Con subactividades: deje vacías las semanas (se calculan solas)"&amp;" · ","")&amp;IF((COUNTIF($I41:$L41,"&gt;1")+COUNTIF($I41:$L41,"&lt;0")+COUNTA($I41:$L41)-COUNT($I41:$L41))&gt;0,"Avance fuera de rango 0-100%"&amp;" · ","")&amp;IF(OR(AND($J41&lt;&gt;"",$J41&lt;$I41),AND($K41&lt;&gt;"",$K41&lt;MAX($I41:$J41)),AND($L41&lt;&gt;"",$L41&lt;MAX($I41:$K41))),"Avance semanal decreciente"&amp;" · ","")&amp;IF(AND(ISNUMBER($AN41),$AN41&lt;FechaRef,IF($V41="Sub",N($X41),N($M41))&lt;1),"Vencida"&amp;" · ","")&amp;IF(AND(ObsObligatoria="Sí",ISNUMBER($AN41),$AN41&lt;FechaRef,IF($V41="Sub",N($X41),N($M41))&lt;1,$Q41=""),"Vencida sin observación"&amp;" · ",""))-3)))</f>
        <v/>
      </c>
      <c r="S41" s="64">
        <f>IF(NOT((COUNTA($B41:$D41)+COUNTA($G41:$L41)+COUNTA($Q41))&gt;0),"",IF(AND($V41="Sub",N($U41)&gt;0),IF(ISNUMBER(INDEX($AM$5:$AM$1000,$U41-4)),DATE(YEAR(INDEX($AM$5:$AM$1000,$U41-4)),MONTH(INDEX($AM$5:$AM$1000,$U41-4)),1),IF(ISNUMBER(INDEX($AN$5:$AN$1000,$U41-4)),DATE(YEAR(INDEX($AN$5:$AN$1000,$U41-4)),MONTH(INDEX($AN$5:$AN$1000,$U41-4)),1),MesCiclo)),IF(ISNUMBER($AM41),DATE(YEAR($AM41),MONTH($AM41),1),IF(ISNUMBER($AN41),DATE(YEAR($AN41),MONTH($AN41),1),MesCiclo))))</f>
        <v/>
      </c>
      <c r="T41" s="62">
        <f>IF(OR($S41="",$S41&lt;&gt;MesCiclo,$V41&lt;&gt;"Macro"),"",COUNTIFS($S$5:$S41,MesCiclo,$V$5:$V41,"Macro"))</f>
        <v/>
      </c>
      <c r="U41" s="62">
        <f>IF($V41="","",IF($V41="Macro",ROW(),IFERROR(LOOKUP(2,1/($V$5:$V41="Macro"),ROW($V$5:$V41)),0)))</f>
        <v/>
      </c>
      <c r="V41" s="62">
        <f>IF(NOT((COUNTA($B41:$D41)+COUNTA($G41:$L41)+COUNTA($Q41))&gt;0),"",IF($B41="Subactividad","Sub","Macro"))</f>
        <v/>
      </c>
      <c r="W41" s="62">
        <f>IF($V41="Macro",COUNTIFS($U$5:$U$1000,ROW(),$V$5:$V$1000,"Sub"),"")</f>
        <v/>
      </c>
      <c r="X41" s="62">
        <f>IF($V41="","",IF(ISNUMBER($G41),1,IFERROR(LOOKUP(2,1/($I41:$L41&lt;&gt;""),$I41:$L41),0)))</f>
        <v/>
      </c>
      <c r="Y41" s="62">
        <f>IF($V41="","",IF(AND(ISNUMBER($G41),$G41&lt;=IF($S41=MesCiclo,InicioCiclo,$S41+MOD(2-WEEKDAY($S41),7))+6),1,IF(ISNUMBER($I41),$I41,0)))</f>
        <v/>
      </c>
      <c r="Z41" s="62">
        <f>IF($V41="","",IF(AND(ISNUMBER($G41),$G41&lt;=IF($S41=MesCiclo,InicioCiclo,$S41+MOD(2-WEEKDAY($S41),7))+13),1,IF(ISNUMBER($J41),$J41,$Y41)))</f>
        <v/>
      </c>
      <c r="AA41" s="62">
        <f>IF($V41="","",IF(AND(ISNUMBER($G41),$G41&lt;=IF($S41=MesCiclo,InicioCiclo,$S41+MOD(2-WEEKDAY($S41),7))+20),1,IF(ISNUMBER($K41),$K41,$Z41)))</f>
        <v/>
      </c>
      <c r="AB41" s="62">
        <f>IF($V41="","",IF(AND(ISNUMBER($G41),$G41&lt;=IF($S41=MesCiclo,InicioCiclo,$S41+MOD(2-WEEKDAY($S41),7))+27),1,IF(ISNUMBER($L41),$L41,$AA41)))</f>
        <v/>
      </c>
      <c r="AC41" s="62">
        <f>IF($V41="","",IF(AND(ISNUMBER($G41),$G41&lt;=IF($S41=MesCiclo,InicioCiclo,$S41+MOD(2-WEEKDAY($S41),7))+6),1,IF(N($W41)&gt;0,AVERAGEIFS($Y$5:$Y$1000,$U$5:$U$1000,ROW(),$V$5:$V$1000,"Sub"),$Y41)))</f>
        <v/>
      </c>
      <c r="AD41" s="62">
        <f>IF($V41="","",IF(AND(ISNUMBER($G41),$G41&lt;=IF($S41=MesCiclo,InicioCiclo,$S41+MOD(2-WEEKDAY($S41),7))+13),1,IF(N($W41)&gt;0,AVERAGEIFS($Z$5:$Z$1000,$U$5:$U$1000,ROW(),$V$5:$V$1000,"Sub"),$Z41)))</f>
        <v/>
      </c>
      <c r="AE41" s="62">
        <f>IF($V41="","",IF(AND(ISNUMBER($G41),$G41&lt;=IF($S41=MesCiclo,InicioCiclo,$S41+MOD(2-WEEKDAY($S41),7))+20),1,IF(N($W41)&gt;0,AVERAGEIFS($AA$5:$AA$1000,$U$5:$U$1000,ROW(),$V$5:$V$1000,"Sub"),$AA41)))</f>
        <v/>
      </c>
      <c r="AF41" s="62">
        <f>IF($V41="","",IF(AND(ISNUMBER($G41),$G41&lt;=IF($S41=MesCiclo,InicioCiclo,$S41+MOD(2-WEEKDAY($S41),7))+27),1,IF(N($W41)&gt;0,AVERAGEIFS($AB$5:$AB$1000,$U$5:$U$1000,ROW(),$V$5:$V$1000,"Sub"),$AB41)))</f>
        <v/>
      </c>
      <c r="AG41" s="62">
        <f>IF($V41&lt;&gt;"Macro","",IF(COUNTIFS($S$5:$S$1000,$S41,$V$5:$V$1000,"Macro",$H$5:$H$1000,"&gt;0")=0,1/COUNTIFS($S$5:$S$1000,$S41,$V$5:$V$1000,"Macro"),IF(AND(ISNUMBER($H41),N($H41)&gt;0),$H41,SUMIFS($H$5:$H$1000,$S$5:$S$1000,$S41,$V$5:$V$1000,"Macro")/COUNTIFS($S$5:$S$1000,$S41,$V$5:$V$1000,"Macro",$H$5:$H$1000,"&gt;0"))/(COUNTIFS($S$5:$S$1000,$S41,$V$5:$V$1000,"Macro")*SUMIFS($H$5:$H$1000,$S$5:$S$1000,$S41,$V$5:$V$1000,"Macro")/COUNTIFS($S$5:$S$1000,$S41,$V$5:$V$1000,"Macro",$H$5:$H$1000,"&gt;0"))))</f>
        <v/>
      </c>
      <c r="AH41" s="62" t="n"/>
      <c r="AI41" s="62" t="n"/>
      <c r="AJ41" s="62" t="n"/>
      <c r="AK41" s="62" t="n"/>
      <c r="AL41" s="62">
        <f>IF(LEFT($C41,11)="[Jefatura] ",IFERROR(MATCH("Riesgo Operacional|"&amp;MID($C41,12,500),rDname_ADM,0),0),"")</f>
        <v/>
      </c>
      <c r="AM41" s="62">
        <f>IF(N($AL41)&gt;0,INDEX(rIni_ADM,$AL41),IF(ISNUMBER($E41),$E41,""))</f>
        <v/>
      </c>
      <c r="AN41" s="62">
        <f>IF(N($AL41)&gt;0,INDEX(rLim_ADM,$AL41),IF(ISNUMBER($F41),$F41,""))</f>
        <v/>
      </c>
    </row>
    <row r="42">
      <c r="A42" s="56">
        <f>IF(NOT((COUNTA($B42:$D42)+COUNTA($G42:$L42)+COUNTA($Q42))&gt;0),"",IF($V42="Macro",COUNTIFS($V$5:$V42,"Macro",$S$5:$S42,$S42),IF(N($U42)=0,"?",COUNTIFS(INDEX($V$5:$V$1000,1):INDEX($V$5:$V$1000,$U42-4),"Macro",INDEX($S$5:$S$1000,1):INDEX($S$5:$S$1000,$U42-4),INDEX($S$5:$S$1000,$U42-4))&amp;"."&amp;COUNTIFS($U$5:$U42,$U42,$V$5:$V42,"Sub"))))</f>
        <v/>
      </c>
      <c r="B42" s="57" t="n"/>
      <c r="C42" s="58" t="n"/>
      <c r="D42" s="58" t="n"/>
      <c r="E42" s="59">
        <f>IF(N($AL42)&gt;0,INDEX(rIni_ADM,$AL42),"")</f>
        <v/>
      </c>
      <c r="F42" s="59">
        <f>IF(N($AL42)&gt;0,INDEX(rLim_ADM,$AL42),"")</f>
        <v/>
      </c>
      <c r="G42" s="59" t="n"/>
      <c r="H42" s="60" t="n"/>
      <c r="I42" s="60" t="n"/>
      <c r="J42" s="60" t="n"/>
      <c r="K42" s="60" t="n"/>
      <c r="L42" s="60" t="n"/>
      <c r="M42" s="61">
        <f>IF(NOT((COUNTA($B42:$D42)+COUNTA($G42:$L42)+COUNTA($Q42))&gt;0),"",IF($V42="Sub",IFERROR($X42/INDEX($W$5:$W$1000,$U42-4),""),IF(ISNUMBER($G42),1,IF(N($W42)&gt;0,AVERAGEIFS($X$5:$X$1000,$U$5:$U$1000,ROW(),$V$5:$V$1000,"Sub"),$X42))))</f>
        <v/>
      </c>
      <c r="N42" s="56">
        <f>IF(OR($M42="",$V42="Sub"),"",IF($M42&gt;=1,"Completado",IF($M42&gt;0,"En curso","Pendiente")))</f>
        <v/>
      </c>
      <c r="O42" s="56">
        <f>IF(OR(NOT((COUNTA($B42:$D42)+COUNTA($G42:$L42)+COUNTA($Q42))&gt;0),$V42="Sub"),"",IF(ISNUMBER($G42),IF(AND(ISNUMBER($AN42),$G42&gt;$AN42),"Cumplida con "&amp;($G42-$AN42)&amp;IF($G42-$AN42=1," día"," días")&amp;" de retraso","Cumplida"),IF(N($M42)&gt;=1,"Cumplida",IF(NOT(ISNUMBER($AN42)),"Sin fecha límite",IF($AN42&lt;FechaRef,"Vencida hace "&amp;(FechaRef-$AN42)&amp;IF(FechaRef-$AN42=1," día"," días"),IF($AN42=FechaRef,"Vence hoy",IF($AN42-FechaRef&lt;=DiasAlerta,"Vence en "&amp;($AN42-FechaRef)&amp;IF($AN42-FechaRef=1," día"," días"),"En plazo")))))))</f>
        <v/>
      </c>
      <c r="P42" s="62" t="n"/>
      <c r="Q42" s="58" t="n"/>
      <c r="R42" s="63">
        <f>IF(NOT((COUNTA($B42:$D42)+COUNTA($G42:$L42)+COUNTA($Q42))&gt;0),"",IF((IF($C42="","Falta el nombre de la actividad"&amp;" · ","")&amp;IF(AND($V42="Sub",N($U42)=0),"Subactividad sin macroactividad arriba"&amp;" · ","")&amp;IF($AM42="","Sin fecha de inicio"&amp;" · ","")&amp;IF($AN42="","Sin fecha límite"&amp;" · ","")&amp;IF(AND(LEFT($C42,11)="[Jefatura] ",N($AL42)=0),"No se encuentra en la hoja de la jefatura (elíjala de nuevo en la lista)"&amp;" · ","")&amp;IF(OR(AND($E42&lt;&gt;"",NOT(ISNUMBER($E42))),AND($F42&lt;&gt;"",NOT(ISNUMBER($F42))),AND($G42&lt;&gt;"",NOT(ISNUMBER($G42)))),"Fecha no válida"&amp;" · ","")&amp;IF(AND(ISNUMBER($AM42),ISNUMBER($AN42),$AM42&gt;$AN42),"Inicio posterior a fecha límite"&amp;" · ","")&amp;IF(AND($V42="Macro",$H42&lt;&gt;"",OR(NOT(ISNUMBER($H42)),$H42&lt;0,$H42&gt;1)),"Peso fuera de rango"&amp;" · ","")&amp;IF(AND($V42="Sub",$H42&lt;&gt;""),"Las subactividades no llevan peso (valen igual dentro de su macroactividad)"&amp;" · ","")&amp;IF(AND(N($W42)&gt;0,COUNT($I42:$L42)&gt;0),"Con subactividades: deje vacías las semanas (se calculan solas)"&amp;" · ","")&amp;IF((COUNTIF($I42:$L42,"&gt;1")+COUNTIF($I42:$L42,"&lt;0")+COUNTA($I42:$L42)-COUNT($I42:$L42))&gt;0,"Avance fuera de rango 0-100%"&amp;" · ","")&amp;IF(OR(AND($J42&lt;&gt;"",$J42&lt;$I42),AND($K42&lt;&gt;"",$K42&lt;MAX($I42:$J42)),AND($L42&lt;&gt;"",$L42&lt;MAX($I42:$K42))),"Avance semanal decreciente"&amp;" · ","")&amp;IF(AND(ISNUMBER($AN42),$AN42&lt;FechaRef,IF($V42="Sub",N($X42),N($M42))&lt;1),"Vencida"&amp;" · ","")&amp;IF(AND(ObsObligatoria="Sí",ISNUMBER($AN42),$AN42&lt;FechaRef,IF($V42="Sub",N($X42),N($M42))&lt;1,$Q42=""),"Vencida sin observación"&amp;" · ",""))="","✔ OK","⚠ "&amp;LEFT(IF($C42="","Falta el nombre de la actividad"&amp;" · ","")&amp;IF(AND($V42="Sub",N($U42)=0),"Subactividad sin macroactividad arriba"&amp;" · ","")&amp;IF($AM42="","Sin fecha de inicio"&amp;" · ","")&amp;IF($AN42="","Sin fecha límite"&amp;" · ","")&amp;IF(AND(LEFT($C42,11)="[Jefatura] ",N($AL42)=0),"No se encuentra en la hoja de la jefatura (elíjala de nuevo en la lista)"&amp;" · ","")&amp;IF(OR(AND($E42&lt;&gt;"",NOT(ISNUMBER($E42))),AND($F42&lt;&gt;"",NOT(ISNUMBER($F42))),AND($G42&lt;&gt;"",NOT(ISNUMBER($G42)))),"Fecha no válida"&amp;" · ","")&amp;IF(AND(ISNUMBER($AM42),ISNUMBER($AN42),$AM42&gt;$AN42),"Inicio posterior a fecha límite"&amp;" · ","")&amp;IF(AND($V42="Macro",$H42&lt;&gt;"",OR(NOT(ISNUMBER($H42)),$H42&lt;0,$H42&gt;1)),"Peso fuera de rango"&amp;" · ","")&amp;IF(AND($V42="Sub",$H42&lt;&gt;""),"Las subactividades no llevan peso (valen igual dentro de su macroactividad)"&amp;" · ","")&amp;IF(AND(N($W42)&gt;0,COUNT($I42:$L42)&gt;0),"Con subactividades: deje vacías las semanas (se calculan solas)"&amp;" · ","")&amp;IF((COUNTIF($I42:$L42,"&gt;1")+COUNTIF($I42:$L42,"&lt;0")+COUNTA($I42:$L42)-COUNT($I42:$L42))&gt;0,"Avance fuera de rango 0-100%"&amp;" · ","")&amp;IF(OR(AND($J42&lt;&gt;"",$J42&lt;$I42),AND($K42&lt;&gt;"",$K42&lt;MAX($I42:$J42)),AND($L42&lt;&gt;"",$L42&lt;MAX($I42:$K42))),"Avance semanal decreciente"&amp;" · ","")&amp;IF(AND(ISNUMBER($AN42),$AN42&lt;FechaRef,IF($V42="Sub",N($X42),N($M42))&lt;1),"Vencida"&amp;" · ","")&amp;IF(AND(ObsObligatoria="Sí",ISNUMBER($AN42),$AN42&lt;FechaRef,IF($V42="Sub",N($X42),N($M42))&lt;1,$Q42=""),"Vencida sin observación"&amp;" · ",""),LEN(IF($C42="","Falta el nombre de la actividad"&amp;" · ","")&amp;IF(AND($V42="Sub",N($U42)=0),"Subactividad sin macroactividad arriba"&amp;" · ","")&amp;IF($AM42="","Sin fecha de inicio"&amp;" · ","")&amp;IF($AN42="","Sin fecha límite"&amp;" · ","")&amp;IF(AND(LEFT($C42,11)="[Jefatura] ",N($AL42)=0),"No se encuentra en la hoja de la jefatura (elíjala de nuevo en la lista)"&amp;" · ","")&amp;IF(OR(AND($E42&lt;&gt;"",NOT(ISNUMBER($E42))),AND($F42&lt;&gt;"",NOT(ISNUMBER($F42))),AND($G42&lt;&gt;"",NOT(ISNUMBER($G42)))),"Fecha no válida"&amp;" · ","")&amp;IF(AND(ISNUMBER($AM42),ISNUMBER($AN42),$AM42&gt;$AN42),"Inicio posterior a fecha límite"&amp;" · ","")&amp;IF(AND($V42="Macro",$H42&lt;&gt;"",OR(NOT(ISNUMBER($H42)),$H42&lt;0,$H42&gt;1)),"Peso fuera de rango"&amp;" · ","")&amp;IF(AND($V42="Sub",$H42&lt;&gt;""),"Las subactividades no llevan peso (valen igual dentro de su macroactividad)"&amp;" · ","")&amp;IF(AND(N($W42)&gt;0,COUNT($I42:$L42)&gt;0),"Con subactividades: deje vacías las semanas (se calculan solas)"&amp;" · ","")&amp;IF((COUNTIF($I42:$L42,"&gt;1")+COUNTIF($I42:$L42,"&lt;0")+COUNTA($I42:$L42)-COUNT($I42:$L42))&gt;0,"Avance fuera de rango 0-100%"&amp;" · ","")&amp;IF(OR(AND($J42&lt;&gt;"",$J42&lt;$I42),AND($K42&lt;&gt;"",$K42&lt;MAX($I42:$J42)),AND($L42&lt;&gt;"",$L42&lt;MAX($I42:$K42))),"Avance semanal decreciente"&amp;" · ","")&amp;IF(AND(ISNUMBER($AN42),$AN42&lt;FechaRef,IF($V42="Sub",N($X42),N($M42))&lt;1),"Vencida"&amp;" · ","")&amp;IF(AND(ObsObligatoria="Sí",ISNUMBER($AN42),$AN42&lt;FechaRef,IF($V42="Sub",N($X42),N($M42))&lt;1,$Q42=""),"Vencida sin observación"&amp;" · ",""))-3)))</f>
        <v/>
      </c>
      <c r="S42" s="64">
        <f>IF(NOT((COUNTA($B42:$D42)+COUNTA($G42:$L42)+COUNTA($Q42))&gt;0),"",IF(AND($V42="Sub",N($U42)&gt;0),IF(ISNUMBER(INDEX($AM$5:$AM$1000,$U42-4)),DATE(YEAR(INDEX($AM$5:$AM$1000,$U42-4)),MONTH(INDEX($AM$5:$AM$1000,$U42-4)),1),IF(ISNUMBER(INDEX($AN$5:$AN$1000,$U42-4)),DATE(YEAR(INDEX($AN$5:$AN$1000,$U42-4)),MONTH(INDEX($AN$5:$AN$1000,$U42-4)),1),MesCiclo)),IF(ISNUMBER($AM42),DATE(YEAR($AM42),MONTH($AM42),1),IF(ISNUMBER($AN42),DATE(YEAR($AN42),MONTH($AN42),1),MesCiclo))))</f>
        <v/>
      </c>
      <c r="T42" s="62">
        <f>IF(OR($S42="",$S42&lt;&gt;MesCiclo,$V42&lt;&gt;"Macro"),"",COUNTIFS($S$5:$S42,MesCiclo,$V$5:$V42,"Macro"))</f>
        <v/>
      </c>
      <c r="U42" s="62">
        <f>IF($V42="","",IF($V42="Macro",ROW(),IFERROR(LOOKUP(2,1/($V$5:$V42="Macro"),ROW($V$5:$V42)),0)))</f>
        <v/>
      </c>
      <c r="V42" s="62">
        <f>IF(NOT((COUNTA($B42:$D42)+COUNTA($G42:$L42)+COUNTA($Q42))&gt;0),"",IF($B42="Subactividad","Sub","Macro"))</f>
        <v/>
      </c>
      <c r="W42" s="62">
        <f>IF($V42="Macro",COUNTIFS($U$5:$U$1000,ROW(),$V$5:$V$1000,"Sub"),"")</f>
        <v/>
      </c>
      <c r="X42" s="62">
        <f>IF($V42="","",IF(ISNUMBER($G42),1,IFERROR(LOOKUP(2,1/($I42:$L42&lt;&gt;""),$I42:$L42),0)))</f>
        <v/>
      </c>
      <c r="Y42" s="62">
        <f>IF($V42="","",IF(AND(ISNUMBER($G42),$G42&lt;=IF($S42=MesCiclo,InicioCiclo,$S42+MOD(2-WEEKDAY($S42),7))+6),1,IF(ISNUMBER($I42),$I42,0)))</f>
        <v/>
      </c>
      <c r="Z42" s="62">
        <f>IF($V42="","",IF(AND(ISNUMBER($G42),$G42&lt;=IF($S42=MesCiclo,InicioCiclo,$S42+MOD(2-WEEKDAY($S42),7))+13),1,IF(ISNUMBER($J42),$J42,$Y42)))</f>
        <v/>
      </c>
      <c r="AA42" s="62">
        <f>IF($V42="","",IF(AND(ISNUMBER($G42),$G42&lt;=IF($S42=MesCiclo,InicioCiclo,$S42+MOD(2-WEEKDAY($S42),7))+20),1,IF(ISNUMBER($K42),$K42,$Z42)))</f>
        <v/>
      </c>
      <c r="AB42" s="62">
        <f>IF($V42="","",IF(AND(ISNUMBER($G42),$G42&lt;=IF($S42=MesCiclo,InicioCiclo,$S42+MOD(2-WEEKDAY($S42),7))+27),1,IF(ISNUMBER($L42),$L42,$AA42)))</f>
        <v/>
      </c>
      <c r="AC42" s="62">
        <f>IF($V42="","",IF(AND(ISNUMBER($G42),$G42&lt;=IF($S42=MesCiclo,InicioCiclo,$S42+MOD(2-WEEKDAY($S42),7))+6),1,IF(N($W42)&gt;0,AVERAGEIFS($Y$5:$Y$1000,$U$5:$U$1000,ROW(),$V$5:$V$1000,"Sub"),$Y42)))</f>
        <v/>
      </c>
      <c r="AD42" s="62">
        <f>IF($V42="","",IF(AND(ISNUMBER($G42),$G42&lt;=IF($S42=MesCiclo,InicioCiclo,$S42+MOD(2-WEEKDAY($S42),7))+13),1,IF(N($W42)&gt;0,AVERAGEIFS($Z$5:$Z$1000,$U$5:$U$1000,ROW(),$V$5:$V$1000,"Sub"),$Z42)))</f>
        <v/>
      </c>
      <c r="AE42" s="62">
        <f>IF($V42="","",IF(AND(ISNUMBER($G42),$G42&lt;=IF($S42=MesCiclo,InicioCiclo,$S42+MOD(2-WEEKDAY($S42),7))+20),1,IF(N($W42)&gt;0,AVERAGEIFS($AA$5:$AA$1000,$U$5:$U$1000,ROW(),$V$5:$V$1000,"Sub"),$AA42)))</f>
        <v/>
      </c>
      <c r="AF42" s="62">
        <f>IF($V42="","",IF(AND(ISNUMBER($G42),$G42&lt;=IF($S42=MesCiclo,InicioCiclo,$S42+MOD(2-WEEKDAY($S42),7))+27),1,IF(N($W42)&gt;0,AVERAGEIFS($AB$5:$AB$1000,$U$5:$U$1000,ROW(),$V$5:$V$1000,"Sub"),$AB42)))</f>
        <v/>
      </c>
      <c r="AG42" s="62">
        <f>IF($V42&lt;&gt;"Macro","",IF(COUNTIFS($S$5:$S$1000,$S42,$V$5:$V$1000,"Macro",$H$5:$H$1000,"&gt;0")=0,1/COUNTIFS($S$5:$S$1000,$S42,$V$5:$V$1000,"Macro"),IF(AND(ISNUMBER($H42),N($H42)&gt;0),$H42,SUMIFS($H$5:$H$1000,$S$5:$S$1000,$S42,$V$5:$V$1000,"Macro")/COUNTIFS($S$5:$S$1000,$S42,$V$5:$V$1000,"Macro",$H$5:$H$1000,"&gt;0"))/(COUNTIFS($S$5:$S$1000,$S42,$V$5:$V$1000,"Macro")*SUMIFS($H$5:$H$1000,$S$5:$S$1000,$S42,$V$5:$V$1000,"Macro")/COUNTIFS($S$5:$S$1000,$S42,$V$5:$V$1000,"Macro",$H$5:$H$1000,"&gt;0"))))</f>
        <v/>
      </c>
      <c r="AH42" s="62" t="n"/>
      <c r="AI42" s="62" t="n"/>
      <c r="AJ42" s="62" t="n"/>
      <c r="AK42" s="62" t="n"/>
      <c r="AL42" s="62">
        <f>IF(LEFT($C42,11)="[Jefatura] ",IFERROR(MATCH("Riesgo Operacional|"&amp;MID($C42,12,500),rDname_ADM,0),0),"")</f>
        <v/>
      </c>
      <c r="AM42" s="62">
        <f>IF(N($AL42)&gt;0,INDEX(rIni_ADM,$AL42),IF(ISNUMBER($E42),$E42,""))</f>
        <v/>
      </c>
      <c r="AN42" s="62">
        <f>IF(N($AL42)&gt;0,INDEX(rLim_ADM,$AL42),IF(ISNUMBER($F42),$F42,""))</f>
        <v/>
      </c>
    </row>
    <row r="43">
      <c r="A43" s="56">
        <f>IF(NOT((COUNTA($B43:$D43)+COUNTA($G43:$L43)+COUNTA($Q43))&gt;0),"",IF($V43="Macro",COUNTIFS($V$5:$V43,"Macro",$S$5:$S43,$S43),IF(N($U43)=0,"?",COUNTIFS(INDEX($V$5:$V$1000,1):INDEX($V$5:$V$1000,$U43-4),"Macro",INDEX($S$5:$S$1000,1):INDEX($S$5:$S$1000,$U43-4),INDEX($S$5:$S$1000,$U43-4))&amp;"."&amp;COUNTIFS($U$5:$U43,$U43,$V$5:$V43,"Sub"))))</f>
        <v/>
      </c>
      <c r="B43" s="57" t="n"/>
      <c r="C43" s="58" t="n"/>
      <c r="D43" s="58" t="n"/>
      <c r="E43" s="59">
        <f>IF(N($AL43)&gt;0,INDEX(rIni_ADM,$AL43),"")</f>
        <v/>
      </c>
      <c r="F43" s="59">
        <f>IF(N($AL43)&gt;0,INDEX(rLim_ADM,$AL43),"")</f>
        <v/>
      </c>
      <c r="G43" s="59" t="n"/>
      <c r="H43" s="60" t="n"/>
      <c r="I43" s="60" t="n"/>
      <c r="J43" s="60" t="n"/>
      <c r="K43" s="60" t="n"/>
      <c r="L43" s="60" t="n"/>
      <c r="M43" s="61">
        <f>IF(NOT((COUNTA($B43:$D43)+COUNTA($G43:$L43)+COUNTA($Q43))&gt;0),"",IF($V43="Sub",IFERROR($X43/INDEX($W$5:$W$1000,$U43-4),""),IF(ISNUMBER($G43),1,IF(N($W43)&gt;0,AVERAGEIFS($X$5:$X$1000,$U$5:$U$1000,ROW(),$V$5:$V$1000,"Sub"),$X43))))</f>
        <v/>
      </c>
      <c r="N43" s="56">
        <f>IF(OR($M43="",$V43="Sub"),"",IF($M43&gt;=1,"Completado",IF($M43&gt;0,"En curso","Pendiente")))</f>
        <v/>
      </c>
      <c r="O43" s="56">
        <f>IF(OR(NOT((COUNTA($B43:$D43)+COUNTA($G43:$L43)+COUNTA($Q43))&gt;0),$V43="Sub"),"",IF(ISNUMBER($G43),IF(AND(ISNUMBER($AN43),$G43&gt;$AN43),"Cumplida con "&amp;($G43-$AN43)&amp;IF($G43-$AN43=1," día"," días")&amp;" de retraso","Cumplida"),IF(N($M43)&gt;=1,"Cumplida",IF(NOT(ISNUMBER($AN43)),"Sin fecha límite",IF($AN43&lt;FechaRef,"Vencida hace "&amp;(FechaRef-$AN43)&amp;IF(FechaRef-$AN43=1," día"," días"),IF($AN43=FechaRef,"Vence hoy",IF($AN43-FechaRef&lt;=DiasAlerta,"Vence en "&amp;($AN43-FechaRef)&amp;IF($AN43-FechaRef=1," día"," días"),"En plazo")))))))</f>
        <v/>
      </c>
      <c r="P43" s="62" t="n"/>
      <c r="Q43" s="58" t="n"/>
      <c r="R43" s="63">
        <f>IF(NOT((COUNTA($B43:$D43)+COUNTA($G43:$L43)+COUNTA($Q43))&gt;0),"",IF((IF($C43="","Falta el nombre de la actividad"&amp;" · ","")&amp;IF(AND($V43="Sub",N($U43)=0),"Subactividad sin macroactividad arriba"&amp;" · ","")&amp;IF($AM43="","Sin fecha de inicio"&amp;" · ","")&amp;IF($AN43="","Sin fecha límite"&amp;" · ","")&amp;IF(AND(LEFT($C43,11)="[Jefatura] ",N($AL43)=0),"No se encuentra en la hoja de la jefatura (elíjala de nuevo en la lista)"&amp;" · ","")&amp;IF(OR(AND($E43&lt;&gt;"",NOT(ISNUMBER($E43))),AND($F43&lt;&gt;"",NOT(ISNUMBER($F43))),AND($G43&lt;&gt;"",NOT(ISNUMBER($G43)))),"Fecha no válida"&amp;" · ","")&amp;IF(AND(ISNUMBER($AM43),ISNUMBER($AN43),$AM43&gt;$AN43),"Inicio posterior a fecha límite"&amp;" · ","")&amp;IF(AND($V43="Macro",$H43&lt;&gt;"",OR(NOT(ISNUMBER($H43)),$H43&lt;0,$H43&gt;1)),"Peso fuera de rango"&amp;" · ","")&amp;IF(AND($V43="Sub",$H43&lt;&gt;""),"Las subactividades no llevan peso (valen igual dentro de su macroactividad)"&amp;" · ","")&amp;IF(AND(N($W43)&gt;0,COUNT($I43:$L43)&gt;0),"Con subactividades: deje vacías las semanas (se calculan solas)"&amp;" · ","")&amp;IF((COUNTIF($I43:$L43,"&gt;1")+COUNTIF($I43:$L43,"&lt;0")+COUNTA($I43:$L43)-COUNT($I43:$L43))&gt;0,"Avance fuera de rango 0-100%"&amp;" · ","")&amp;IF(OR(AND($J43&lt;&gt;"",$J43&lt;$I43),AND($K43&lt;&gt;"",$K43&lt;MAX($I43:$J43)),AND($L43&lt;&gt;"",$L43&lt;MAX($I43:$K43))),"Avance semanal decreciente"&amp;" · ","")&amp;IF(AND(ISNUMBER($AN43),$AN43&lt;FechaRef,IF($V43="Sub",N($X43),N($M43))&lt;1),"Vencida"&amp;" · ","")&amp;IF(AND(ObsObligatoria="Sí",ISNUMBER($AN43),$AN43&lt;FechaRef,IF($V43="Sub",N($X43),N($M43))&lt;1,$Q43=""),"Vencida sin observación"&amp;" · ",""))="","✔ OK","⚠ "&amp;LEFT(IF($C43="","Falta el nombre de la actividad"&amp;" · ","")&amp;IF(AND($V43="Sub",N($U43)=0),"Subactividad sin macroactividad arriba"&amp;" · ","")&amp;IF($AM43="","Sin fecha de inicio"&amp;" · ","")&amp;IF($AN43="","Sin fecha límite"&amp;" · ","")&amp;IF(AND(LEFT($C43,11)="[Jefatura] ",N($AL43)=0),"No se encuentra en la hoja de la jefatura (elíjala de nuevo en la lista)"&amp;" · ","")&amp;IF(OR(AND($E43&lt;&gt;"",NOT(ISNUMBER($E43))),AND($F43&lt;&gt;"",NOT(ISNUMBER($F43))),AND($G43&lt;&gt;"",NOT(ISNUMBER($G43)))),"Fecha no válida"&amp;" · ","")&amp;IF(AND(ISNUMBER($AM43),ISNUMBER($AN43),$AM43&gt;$AN43),"Inicio posterior a fecha límite"&amp;" · ","")&amp;IF(AND($V43="Macro",$H43&lt;&gt;"",OR(NOT(ISNUMBER($H43)),$H43&lt;0,$H43&gt;1)),"Peso fuera de rango"&amp;" · ","")&amp;IF(AND($V43="Sub",$H43&lt;&gt;""),"Las subactividades no llevan peso (valen igual dentro de su macroactividad)"&amp;" · ","")&amp;IF(AND(N($W43)&gt;0,COUNT($I43:$L43)&gt;0),"Con subactividades: deje vacías las semanas (se calculan solas)"&amp;" · ","")&amp;IF((COUNTIF($I43:$L43,"&gt;1")+COUNTIF($I43:$L43,"&lt;0")+COUNTA($I43:$L43)-COUNT($I43:$L43))&gt;0,"Avance fuera de rango 0-100%"&amp;" · ","")&amp;IF(OR(AND($J43&lt;&gt;"",$J43&lt;$I43),AND($K43&lt;&gt;"",$K43&lt;MAX($I43:$J43)),AND($L43&lt;&gt;"",$L43&lt;MAX($I43:$K43))),"Avance semanal decreciente"&amp;" · ","")&amp;IF(AND(ISNUMBER($AN43),$AN43&lt;FechaRef,IF($V43="Sub",N($X43),N($M43))&lt;1),"Vencida"&amp;" · ","")&amp;IF(AND(ObsObligatoria="Sí",ISNUMBER($AN43),$AN43&lt;FechaRef,IF($V43="Sub",N($X43),N($M43))&lt;1,$Q43=""),"Vencida sin observación"&amp;" · ",""),LEN(IF($C43="","Falta el nombre de la actividad"&amp;" · ","")&amp;IF(AND($V43="Sub",N($U43)=0),"Subactividad sin macroactividad arriba"&amp;" · ","")&amp;IF($AM43="","Sin fecha de inicio"&amp;" · ","")&amp;IF($AN43="","Sin fecha límite"&amp;" · ","")&amp;IF(AND(LEFT($C43,11)="[Jefatura] ",N($AL43)=0),"No se encuentra en la hoja de la jefatura (elíjala de nuevo en la lista)"&amp;" · ","")&amp;IF(OR(AND($E43&lt;&gt;"",NOT(ISNUMBER($E43))),AND($F43&lt;&gt;"",NOT(ISNUMBER($F43))),AND($G43&lt;&gt;"",NOT(ISNUMBER($G43)))),"Fecha no válida"&amp;" · ","")&amp;IF(AND(ISNUMBER($AM43),ISNUMBER($AN43),$AM43&gt;$AN43),"Inicio posterior a fecha límite"&amp;" · ","")&amp;IF(AND($V43="Macro",$H43&lt;&gt;"",OR(NOT(ISNUMBER($H43)),$H43&lt;0,$H43&gt;1)),"Peso fuera de rango"&amp;" · ","")&amp;IF(AND($V43="Sub",$H43&lt;&gt;""),"Las subactividades no llevan peso (valen igual dentro de su macroactividad)"&amp;" · ","")&amp;IF(AND(N($W43)&gt;0,COUNT($I43:$L43)&gt;0),"Con subactividades: deje vacías las semanas (se calculan solas)"&amp;" · ","")&amp;IF((COUNTIF($I43:$L43,"&gt;1")+COUNTIF($I43:$L43,"&lt;0")+COUNTA($I43:$L43)-COUNT($I43:$L43))&gt;0,"Avance fuera de rango 0-100%"&amp;" · ","")&amp;IF(OR(AND($J43&lt;&gt;"",$J43&lt;$I43),AND($K43&lt;&gt;"",$K43&lt;MAX($I43:$J43)),AND($L43&lt;&gt;"",$L43&lt;MAX($I43:$K43))),"Avance semanal decreciente"&amp;" · ","")&amp;IF(AND(ISNUMBER($AN43),$AN43&lt;FechaRef,IF($V43="Sub",N($X43),N($M43))&lt;1),"Vencida"&amp;" · ","")&amp;IF(AND(ObsObligatoria="Sí",ISNUMBER($AN43),$AN43&lt;FechaRef,IF($V43="Sub",N($X43),N($M43))&lt;1,$Q43=""),"Vencida sin observación"&amp;" · ",""))-3)))</f>
        <v/>
      </c>
      <c r="S43" s="64">
        <f>IF(NOT((COUNTA($B43:$D43)+COUNTA($G43:$L43)+COUNTA($Q43))&gt;0),"",IF(AND($V43="Sub",N($U43)&gt;0),IF(ISNUMBER(INDEX($AM$5:$AM$1000,$U43-4)),DATE(YEAR(INDEX($AM$5:$AM$1000,$U43-4)),MONTH(INDEX($AM$5:$AM$1000,$U43-4)),1),IF(ISNUMBER(INDEX($AN$5:$AN$1000,$U43-4)),DATE(YEAR(INDEX($AN$5:$AN$1000,$U43-4)),MONTH(INDEX($AN$5:$AN$1000,$U43-4)),1),MesCiclo)),IF(ISNUMBER($AM43),DATE(YEAR($AM43),MONTH($AM43),1),IF(ISNUMBER($AN43),DATE(YEAR($AN43),MONTH($AN43),1),MesCiclo))))</f>
        <v/>
      </c>
      <c r="T43" s="62">
        <f>IF(OR($S43="",$S43&lt;&gt;MesCiclo,$V43&lt;&gt;"Macro"),"",COUNTIFS($S$5:$S43,MesCiclo,$V$5:$V43,"Macro"))</f>
        <v/>
      </c>
      <c r="U43" s="62">
        <f>IF($V43="","",IF($V43="Macro",ROW(),IFERROR(LOOKUP(2,1/($V$5:$V43="Macro"),ROW($V$5:$V43)),0)))</f>
        <v/>
      </c>
      <c r="V43" s="62">
        <f>IF(NOT((COUNTA($B43:$D43)+COUNTA($G43:$L43)+COUNTA($Q43))&gt;0),"",IF($B43="Subactividad","Sub","Macro"))</f>
        <v/>
      </c>
      <c r="W43" s="62">
        <f>IF($V43="Macro",COUNTIFS($U$5:$U$1000,ROW(),$V$5:$V$1000,"Sub"),"")</f>
        <v/>
      </c>
      <c r="X43" s="62">
        <f>IF($V43="","",IF(ISNUMBER($G43),1,IFERROR(LOOKUP(2,1/($I43:$L43&lt;&gt;""),$I43:$L43),0)))</f>
        <v/>
      </c>
      <c r="Y43" s="62">
        <f>IF($V43="","",IF(AND(ISNUMBER($G43),$G43&lt;=IF($S43=MesCiclo,InicioCiclo,$S43+MOD(2-WEEKDAY($S43),7))+6),1,IF(ISNUMBER($I43),$I43,0)))</f>
        <v/>
      </c>
      <c r="Z43" s="62">
        <f>IF($V43="","",IF(AND(ISNUMBER($G43),$G43&lt;=IF($S43=MesCiclo,InicioCiclo,$S43+MOD(2-WEEKDAY($S43),7))+13),1,IF(ISNUMBER($J43),$J43,$Y43)))</f>
        <v/>
      </c>
      <c r="AA43" s="62">
        <f>IF($V43="","",IF(AND(ISNUMBER($G43),$G43&lt;=IF($S43=MesCiclo,InicioCiclo,$S43+MOD(2-WEEKDAY($S43),7))+20),1,IF(ISNUMBER($K43),$K43,$Z43)))</f>
        <v/>
      </c>
      <c r="AB43" s="62">
        <f>IF($V43="","",IF(AND(ISNUMBER($G43),$G43&lt;=IF($S43=MesCiclo,InicioCiclo,$S43+MOD(2-WEEKDAY($S43),7))+27),1,IF(ISNUMBER($L43),$L43,$AA43)))</f>
        <v/>
      </c>
      <c r="AC43" s="62">
        <f>IF($V43="","",IF(AND(ISNUMBER($G43),$G43&lt;=IF($S43=MesCiclo,InicioCiclo,$S43+MOD(2-WEEKDAY($S43),7))+6),1,IF(N($W43)&gt;0,AVERAGEIFS($Y$5:$Y$1000,$U$5:$U$1000,ROW(),$V$5:$V$1000,"Sub"),$Y43)))</f>
        <v/>
      </c>
      <c r="AD43" s="62">
        <f>IF($V43="","",IF(AND(ISNUMBER($G43),$G43&lt;=IF($S43=MesCiclo,InicioCiclo,$S43+MOD(2-WEEKDAY($S43),7))+13),1,IF(N($W43)&gt;0,AVERAGEIFS($Z$5:$Z$1000,$U$5:$U$1000,ROW(),$V$5:$V$1000,"Sub"),$Z43)))</f>
        <v/>
      </c>
      <c r="AE43" s="62">
        <f>IF($V43="","",IF(AND(ISNUMBER($G43),$G43&lt;=IF($S43=MesCiclo,InicioCiclo,$S43+MOD(2-WEEKDAY($S43),7))+20),1,IF(N($W43)&gt;0,AVERAGEIFS($AA$5:$AA$1000,$U$5:$U$1000,ROW(),$V$5:$V$1000,"Sub"),$AA43)))</f>
        <v/>
      </c>
      <c r="AF43" s="62">
        <f>IF($V43="","",IF(AND(ISNUMBER($G43),$G43&lt;=IF($S43=MesCiclo,InicioCiclo,$S43+MOD(2-WEEKDAY($S43),7))+27),1,IF(N($W43)&gt;0,AVERAGEIFS($AB$5:$AB$1000,$U$5:$U$1000,ROW(),$V$5:$V$1000,"Sub"),$AB43)))</f>
        <v/>
      </c>
      <c r="AG43" s="62">
        <f>IF($V43&lt;&gt;"Macro","",IF(COUNTIFS($S$5:$S$1000,$S43,$V$5:$V$1000,"Macro",$H$5:$H$1000,"&gt;0")=0,1/COUNTIFS($S$5:$S$1000,$S43,$V$5:$V$1000,"Macro"),IF(AND(ISNUMBER($H43),N($H43)&gt;0),$H43,SUMIFS($H$5:$H$1000,$S$5:$S$1000,$S43,$V$5:$V$1000,"Macro")/COUNTIFS($S$5:$S$1000,$S43,$V$5:$V$1000,"Macro",$H$5:$H$1000,"&gt;0"))/(COUNTIFS($S$5:$S$1000,$S43,$V$5:$V$1000,"Macro")*SUMIFS($H$5:$H$1000,$S$5:$S$1000,$S43,$V$5:$V$1000,"Macro")/COUNTIFS($S$5:$S$1000,$S43,$V$5:$V$1000,"Macro",$H$5:$H$1000,"&gt;0"))))</f>
        <v/>
      </c>
      <c r="AH43" s="62" t="n"/>
      <c r="AI43" s="62" t="n"/>
      <c r="AJ43" s="62" t="n"/>
      <c r="AK43" s="62" t="n"/>
      <c r="AL43" s="62">
        <f>IF(LEFT($C43,11)="[Jefatura] ",IFERROR(MATCH("Riesgo Operacional|"&amp;MID($C43,12,500),rDname_ADM,0),0),"")</f>
        <v/>
      </c>
      <c r="AM43" s="62">
        <f>IF(N($AL43)&gt;0,INDEX(rIni_ADM,$AL43),IF(ISNUMBER($E43),$E43,""))</f>
        <v/>
      </c>
      <c r="AN43" s="62">
        <f>IF(N($AL43)&gt;0,INDEX(rLim_ADM,$AL43),IF(ISNUMBER($F43),$F43,""))</f>
        <v/>
      </c>
    </row>
    <row r="44">
      <c r="A44" s="56">
        <f>IF(NOT((COUNTA($B44:$D44)+COUNTA($G44:$L44)+COUNTA($Q44))&gt;0),"",IF($V44="Macro",COUNTIFS($V$5:$V44,"Macro",$S$5:$S44,$S44),IF(N($U44)=0,"?",COUNTIFS(INDEX($V$5:$V$1000,1):INDEX($V$5:$V$1000,$U44-4),"Macro",INDEX($S$5:$S$1000,1):INDEX($S$5:$S$1000,$U44-4),INDEX($S$5:$S$1000,$U44-4))&amp;"."&amp;COUNTIFS($U$5:$U44,$U44,$V$5:$V44,"Sub"))))</f>
        <v/>
      </c>
      <c r="B44" s="57" t="n"/>
      <c r="C44" s="58" t="n"/>
      <c r="D44" s="58" t="n"/>
      <c r="E44" s="59">
        <f>IF(N($AL44)&gt;0,INDEX(rIni_ADM,$AL44),"")</f>
        <v/>
      </c>
      <c r="F44" s="59">
        <f>IF(N($AL44)&gt;0,INDEX(rLim_ADM,$AL44),"")</f>
        <v/>
      </c>
      <c r="G44" s="59" t="n"/>
      <c r="H44" s="60" t="n"/>
      <c r="I44" s="60" t="n"/>
      <c r="J44" s="60" t="n"/>
      <c r="K44" s="60" t="n"/>
      <c r="L44" s="60" t="n"/>
      <c r="M44" s="61">
        <f>IF(NOT((COUNTA($B44:$D44)+COUNTA($G44:$L44)+COUNTA($Q44))&gt;0),"",IF($V44="Sub",IFERROR($X44/INDEX($W$5:$W$1000,$U44-4),""),IF(ISNUMBER($G44),1,IF(N($W44)&gt;0,AVERAGEIFS($X$5:$X$1000,$U$5:$U$1000,ROW(),$V$5:$V$1000,"Sub"),$X44))))</f>
        <v/>
      </c>
      <c r="N44" s="56">
        <f>IF(OR($M44="",$V44="Sub"),"",IF($M44&gt;=1,"Completado",IF($M44&gt;0,"En curso","Pendiente")))</f>
        <v/>
      </c>
      <c r="O44" s="56">
        <f>IF(OR(NOT((COUNTA($B44:$D44)+COUNTA($G44:$L44)+COUNTA($Q44))&gt;0),$V44="Sub"),"",IF(ISNUMBER($G44),IF(AND(ISNUMBER($AN44),$G44&gt;$AN44),"Cumplida con "&amp;($G44-$AN44)&amp;IF($G44-$AN44=1," día"," días")&amp;" de retraso","Cumplida"),IF(N($M44)&gt;=1,"Cumplida",IF(NOT(ISNUMBER($AN44)),"Sin fecha límite",IF($AN44&lt;FechaRef,"Vencida hace "&amp;(FechaRef-$AN44)&amp;IF(FechaRef-$AN44=1," día"," días"),IF($AN44=FechaRef,"Vence hoy",IF($AN44-FechaRef&lt;=DiasAlerta,"Vence en "&amp;($AN44-FechaRef)&amp;IF($AN44-FechaRef=1," día"," días"),"En plazo")))))))</f>
        <v/>
      </c>
      <c r="P44" s="62" t="n"/>
      <c r="Q44" s="58" t="n"/>
      <c r="R44" s="63">
        <f>IF(NOT((COUNTA($B44:$D44)+COUNTA($G44:$L44)+COUNTA($Q44))&gt;0),"",IF((IF($C44="","Falta el nombre de la actividad"&amp;" · ","")&amp;IF(AND($V44="Sub",N($U44)=0),"Subactividad sin macroactividad arriba"&amp;" · ","")&amp;IF($AM44="","Sin fecha de inicio"&amp;" · ","")&amp;IF($AN44="","Sin fecha límite"&amp;" · ","")&amp;IF(AND(LEFT($C44,11)="[Jefatura] ",N($AL44)=0),"No se encuentra en la hoja de la jefatura (elíjala de nuevo en la lista)"&amp;" · ","")&amp;IF(OR(AND($E44&lt;&gt;"",NOT(ISNUMBER($E44))),AND($F44&lt;&gt;"",NOT(ISNUMBER($F44))),AND($G44&lt;&gt;"",NOT(ISNUMBER($G44)))),"Fecha no válida"&amp;" · ","")&amp;IF(AND(ISNUMBER($AM44),ISNUMBER($AN44),$AM44&gt;$AN44),"Inicio posterior a fecha límite"&amp;" · ","")&amp;IF(AND($V44="Macro",$H44&lt;&gt;"",OR(NOT(ISNUMBER($H44)),$H44&lt;0,$H44&gt;1)),"Peso fuera de rango"&amp;" · ","")&amp;IF(AND($V44="Sub",$H44&lt;&gt;""),"Las subactividades no llevan peso (valen igual dentro de su macroactividad)"&amp;" · ","")&amp;IF(AND(N($W44)&gt;0,COUNT($I44:$L44)&gt;0),"Con subactividades: deje vacías las semanas (se calculan solas)"&amp;" · ","")&amp;IF((COUNTIF($I44:$L44,"&gt;1")+COUNTIF($I44:$L44,"&lt;0")+COUNTA($I44:$L44)-COUNT($I44:$L44))&gt;0,"Avance fuera de rango 0-100%"&amp;" · ","")&amp;IF(OR(AND($J44&lt;&gt;"",$J44&lt;$I44),AND($K44&lt;&gt;"",$K44&lt;MAX($I44:$J44)),AND($L44&lt;&gt;"",$L44&lt;MAX($I44:$K44))),"Avance semanal decreciente"&amp;" · ","")&amp;IF(AND(ISNUMBER($AN44),$AN44&lt;FechaRef,IF($V44="Sub",N($X44),N($M44))&lt;1),"Vencida"&amp;" · ","")&amp;IF(AND(ObsObligatoria="Sí",ISNUMBER($AN44),$AN44&lt;FechaRef,IF($V44="Sub",N($X44),N($M44))&lt;1,$Q44=""),"Vencida sin observación"&amp;" · ",""))="","✔ OK","⚠ "&amp;LEFT(IF($C44="","Falta el nombre de la actividad"&amp;" · ","")&amp;IF(AND($V44="Sub",N($U44)=0),"Subactividad sin macroactividad arriba"&amp;" · ","")&amp;IF($AM44="","Sin fecha de inicio"&amp;" · ","")&amp;IF($AN44="","Sin fecha límite"&amp;" · ","")&amp;IF(AND(LEFT($C44,11)="[Jefatura] ",N($AL44)=0),"No se encuentra en la hoja de la jefatura (elíjala de nuevo en la lista)"&amp;" · ","")&amp;IF(OR(AND($E44&lt;&gt;"",NOT(ISNUMBER($E44))),AND($F44&lt;&gt;"",NOT(ISNUMBER($F44))),AND($G44&lt;&gt;"",NOT(ISNUMBER($G44)))),"Fecha no válida"&amp;" · ","")&amp;IF(AND(ISNUMBER($AM44),ISNUMBER($AN44),$AM44&gt;$AN44),"Inicio posterior a fecha límite"&amp;" · ","")&amp;IF(AND($V44="Macro",$H44&lt;&gt;"",OR(NOT(ISNUMBER($H44)),$H44&lt;0,$H44&gt;1)),"Peso fuera de rango"&amp;" · ","")&amp;IF(AND($V44="Sub",$H44&lt;&gt;""),"Las subactividades no llevan peso (valen igual dentro de su macroactividad)"&amp;" · ","")&amp;IF(AND(N($W44)&gt;0,COUNT($I44:$L44)&gt;0),"Con subactividades: deje vacías las semanas (se calculan solas)"&amp;" · ","")&amp;IF((COUNTIF($I44:$L44,"&gt;1")+COUNTIF($I44:$L44,"&lt;0")+COUNTA($I44:$L44)-COUNT($I44:$L44))&gt;0,"Avance fuera de rango 0-100%"&amp;" · ","")&amp;IF(OR(AND($J44&lt;&gt;"",$J44&lt;$I44),AND($K44&lt;&gt;"",$K44&lt;MAX($I44:$J44)),AND($L44&lt;&gt;"",$L44&lt;MAX($I44:$K44))),"Avance semanal decreciente"&amp;" · ","")&amp;IF(AND(ISNUMBER($AN44),$AN44&lt;FechaRef,IF($V44="Sub",N($X44),N($M44))&lt;1),"Vencida"&amp;" · ","")&amp;IF(AND(ObsObligatoria="Sí",ISNUMBER($AN44),$AN44&lt;FechaRef,IF($V44="Sub",N($X44),N($M44))&lt;1,$Q44=""),"Vencida sin observación"&amp;" · ",""),LEN(IF($C44="","Falta el nombre de la actividad"&amp;" · ","")&amp;IF(AND($V44="Sub",N($U44)=0),"Subactividad sin macroactividad arriba"&amp;" · ","")&amp;IF($AM44="","Sin fecha de inicio"&amp;" · ","")&amp;IF($AN44="","Sin fecha límite"&amp;" · ","")&amp;IF(AND(LEFT($C44,11)="[Jefatura] ",N($AL44)=0),"No se encuentra en la hoja de la jefatura (elíjala de nuevo en la lista)"&amp;" · ","")&amp;IF(OR(AND($E44&lt;&gt;"",NOT(ISNUMBER($E44))),AND($F44&lt;&gt;"",NOT(ISNUMBER($F44))),AND($G44&lt;&gt;"",NOT(ISNUMBER($G44)))),"Fecha no válida"&amp;" · ","")&amp;IF(AND(ISNUMBER($AM44),ISNUMBER($AN44),$AM44&gt;$AN44),"Inicio posterior a fecha límite"&amp;" · ","")&amp;IF(AND($V44="Macro",$H44&lt;&gt;"",OR(NOT(ISNUMBER($H44)),$H44&lt;0,$H44&gt;1)),"Peso fuera de rango"&amp;" · ","")&amp;IF(AND($V44="Sub",$H44&lt;&gt;""),"Las subactividades no llevan peso (valen igual dentro de su macroactividad)"&amp;" · ","")&amp;IF(AND(N($W44)&gt;0,COUNT($I44:$L44)&gt;0),"Con subactividades: deje vacías las semanas (se calculan solas)"&amp;" · ","")&amp;IF((COUNTIF($I44:$L44,"&gt;1")+COUNTIF($I44:$L44,"&lt;0")+COUNTA($I44:$L44)-COUNT($I44:$L44))&gt;0,"Avance fuera de rango 0-100%"&amp;" · ","")&amp;IF(OR(AND($J44&lt;&gt;"",$J44&lt;$I44),AND($K44&lt;&gt;"",$K44&lt;MAX($I44:$J44)),AND($L44&lt;&gt;"",$L44&lt;MAX($I44:$K44))),"Avance semanal decreciente"&amp;" · ","")&amp;IF(AND(ISNUMBER($AN44),$AN44&lt;FechaRef,IF($V44="Sub",N($X44),N($M44))&lt;1),"Vencida"&amp;" · ","")&amp;IF(AND(ObsObligatoria="Sí",ISNUMBER($AN44),$AN44&lt;FechaRef,IF($V44="Sub",N($X44),N($M44))&lt;1,$Q44=""),"Vencida sin observación"&amp;" · ",""))-3)))</f>
        <v/>
      </c>
      <c r="S44" s="64">
        <f>IF(NOT((COUNTA($B44:$D44)+COUNTA($G44:$L44)+COUNTA($Q44))&gt;0),"",IF(AND($V44="Sub",N($U44)&gt;0),IF(ISNUMBER(INDEX($AM$5:$AM$1000,$U44-4)),DATE(YEAR(INDEX($AM$5:$AM$1000,$U44-4)),MONTH(INDEX($AM$5:$AM$1000,$U44-4)),1),IF(ISNUMBER(INDEX($AN$5:$AN$1000,$U44-4)),DATE(YEAR(INDEX($AN$5:$AN$1000,$U44-4)),MONTH(INDEX($AN$5:$AN$1000,$U44-4)),1),MesCiclo)),IF(ISNUMBER($AM44),DATE(YEAR($AM44),MONTH($AM44),1),IF(ISNUMBER($AN44),DATE(YEAR($AN44),MONTH($AN44),1),MesCiclo))))</f>
        <v/>
      </c>
      <c r="T44" s="62">
        <f>IF(OR($S44="",$S44&lt;&gt;MesCiclo,$V44&lt;&gt;"Macro"),"",COUNTIFS($S$5:$S44,MesCiclo,$V$5:$V44,"Macro"))</f>
        <v/>
      </c>
      <c r="U44" s="62">
        <f>IF($V44="","",IF($V44="Macro",ROW(),IFERROR(LOOKUP(2,1/($V$5:$V44="Macro"),ROW($V$5:$V44)),0)))</f>
        <v/>
      </c>
      <c r="V44" s="62">
        <f>IF(NOT((COUNTA($B44:$D44)+COUNTA($G44:$L44)+COUNTA($Q44))&gt;0),"",IF($B44="Subactividad","Sub","Macro"))</f>
        <v/>
      </c>
      <c r="W44" s="62">
        <f>IF($V44="Macro",COUNTIFS($U$5:$U$1000,ROW(),$V$5:$V$1000,"Sub"),"")</f>
        <v/>
      </c>
      <c r="X44" s="62">
        <f>IF($V44="","",IF(ISNUMBER($G44),1,IFERROR(LOOKUP(2,1/($I44:$L44&lt;&gt;""),$I44:$L44),0)))</f>
        <v/>
      </c>
      <c r="Y44" s="62">
        <f>IF($V44="","",IF(AND(ISNUMBER($G44),$G44&lt;=IF($S44=MesCiclo,InicioCiclo,$S44+MOD(2-WEEKDAY($S44),7))+6),1,IF(ISNUMBER($I44),$I44,0)))</f>
        <v/>
      </c>
      <c r="Z44" s="62">
        <f>IF($V44="","",IF(AND(ISNUMBER($G44),$G44&lt;=IF($S44=MesCiclo,InicioCiclo,$S44+MOD(2-WEEKDAY($S44),7))+13),1,IF(ISNUMBER($J44),$J44,$Y44)))</f>
        <v/>
      </c>
      <c r="AA44" s="62">
        <f>IF($V44="","",IF(AND(ISNUMBER($G44),$G44&lt;=IF($S44=MesCiclo,InicioCiclo,$S44+MOD(2-WEEKDAY($S44),7))+20),1,IF(ISNUMBER($K44),$K44,$Z44)))</f>
        <v/>
      </c>
      <c r="AB44" s="62">
        <f>IF($V44="","",IF(AND(ISNUMBER($G44),$G44&lt;=IF($S44=MesCiclo,InicioCiclo,$S44+MOD(2-WEEKDAY($S44),7))+27),1,IF(ISNUMBER($L44),$L44,$AA44)))</f>
        <v/>
      </c>
      <c r="AC44" s="62">
        <f>IF($V44="","",IF(AND(ISNUMBER($G44),$G44&lt;=IF($S44=MesCiclo,InicioCiclo,$S44+MOD(2-WEEKDAY($S44),7))+6),1,IF(N($W44)&gt;0,AVERAGEIFS($Y$5:$Y$1000,$U$5:$U$1000,ROW(),$V$5:$V$1000,"Sub"),$Y44)))</f>
        <v/>
      </c>
      <c r="AD44" s="62">
        <f>IF($V44="","",IF(AND(ISNUMBER($G44),$G44&lt;=IF($S44=MesCiclo,InicioCiclo,$S44+MOD(2-WEEKDAY($S44),7))+13),1,IF(N($W44)&gt;0,AVERAGEIFS($Z$5:$Z$1000,$U$5:$U$1000,ROW(),$V$5:$V$1000,"Sub"),$Z44)))</f>
        <v/>
      </c>
      <c r="AE44" s="62">
        <f>IF($V44="","",IF(AND(ISNUMBER($G44),$G44&lt;=IF($S44=MesCiclo,InicioCiclo,$S44+MOD(2-WEEKDAY($S44),7))+20),1,IF(N($W44)&gt;0,AVERAGEIFS($AA$5:$AA$1000,$U$5:$U$1000,ROW(),$V$5:$V$1000,"Sub"),$AA44)))</f>
        <v/>
      </c>
      <c r="AF44" s="62">
        <f>IF($V44="","",IF(AND(ISNUMBER($G44),$G44&lt;=IF($S44=MesCiclo,InicioCiclo,$S44+MOD(2-WEEKDAY($S44),7))+27),1,IF(N($W44)&gt;0,AVERAGEIFS($AB$5:$AB$1000,$U$5:$U$1000,ROW(),$V$5:$V$1000,"Sub"),$AB44)))</f>
        <v/>
      </c>
      <c r="AG44" s="62">
        <f>IF($V44&lt;&gt;"Macro","",IF(COUNTIFS($S$5:$S$1000,$S44,$V$5:$V$1000,"Macro",$H$5:$H$1000,"&gt;0")=0,1/COUNTIFS($S$5:$S$1000,$S44,$V$5:$V$1000,"Macro"),IF(AND(ISNUMBER($H44),N($H44)&gt;0),$H44,SUMIFS($H$5:$H$1000,$S$5:$S$1000,$S44,$V$5:$V$1000,"Macro")/COUNTIFS($S$5:$S$1000,$S44,$V$5:$V$1000,"Macro",$H$5:$H$1000,"&gt;0"))/(COUNTIFS($S$5:$S$1000,$S44,$V$5:$V$1000,"Macro")*SUMIFS($H$5:$H$1000,$S$5:$S$1000,$S44,$V$5:$V$1000,"Macro")/COUNTIFS($S$5:$S$1000,$S44,$V$5:$V$1000,"Macro",$H$5:$H$1000,"&gt;0"))))</f>
        <v/>
      </c>
      <c r="AH44" s="62" t="n"/>
      <c r="AI44" s="62" t="n"/>
      <c r="AJ44" s="62" t="n"/>
      <c r="AK44" s="62" t="n"/>
      <c r="AL44" s="62">
        <f>IF(LEFT($C44,11)="[Jefatura] ",IFERROR(MATCH("Riesgo Operacional|"&amp;MID($C44,12,500),rDname_ADM,0),0),"")</f>
        <v/>
      </c>
      <c r="AM44" s="62">
        <f>IF(N($AL44)&gt;0,INDEX(rIni_ADM,$AL44),IF(ISNUMBER($E44),$E44,""))</f>
        <v/>
      </c>
      <c r="AN44" s="62">
        <f>IF(N($AL44)&gt;0,INDEX(rLim_ADM,$AL44),IF(ISNUMBER($F44),$F44,""))</f>
        <v/>
      </c>
    </row>
    <row r="45">
      <c r="A45" s="56">
        <f>IF(NOT((COUNTA($B45:$D45)+COUNTA($G45:$L45)+COUNTA($Q45))&gt;0),"",IF($V45="Macro",COUNTIFS($V$5:$V45,"Macro",$S$5:$S45,$S45),IF(N($U45)=0,"?",COUNTIFS(INDEX($V$5:$V$1000,1):INDEX($V$5:$V$1000,$U45-4),"Macro",INDEX($S$5:$S$1000,1):INDEX($S$5:$S$1000,$U45-4),INDEX($S$5:$S$1000,$U45-4))&amp;"."&amp;COUNTIFS($U$5:$U45,$U45,$V$5:$V45,"Sub"))))</f>
        <v/>
      </c>
      <c r="B45" s="57" t="n"/>
      <c r="C45" s="58" t="n"/>
      <c r="D45" s="58" t="n"/>
      <c r="E45" s="59">
        <f>IF(N($AL45)&gt;0,INDEX(rIni_ADM,$AL45),"")</f>
        <v/>
      </c>
      <c r="F45" s="59">
        <f>IF(N($AL45)&gt;0,INDEX(rLim_ADM,$AL45),"")</f>
        <v/>
      </c>
      <c r="G45" s="59" t="n"/>
      <c r="H45" s="60" t="n"/>
      <c r="I45" s="60" t="n"/>
      <c r="J45" s="60" t="n"/>
      <c r="K45" s="60" t="n"/>
      <c r="L45" s="60" t="n"/>
      <c r="M45" s="61">
        <f>IF(NOT((COUNTA($B45:$D45)+COUNTA($G45:$L45)+COUNTA($Q45))&gt;0),"",IF($V45="Sub",IFERROR($X45/INDEX($W$5:$W$1000,$U45-4),""),IF(ISNUMBER($G45),1,IF(N($W45)&gt;0,AVERAGEIFS($X$5:$X$1000,$U$5:$U$1000,ROW(),$V$5:$V$1000,"Sub"),$X45))))</f>
        <v/>
      </c>
      <c r="N45" s="56">
        <f>IF(OR($M45="",$V45="Sub"),"",IF($M45&gt;=1,"Completado",IF($M45&gt;0,"En curso","Pendiente")))</f>
        <v/>
      </c>
      <c r="O45" s="56">
        <f>IF(OR(NOT((COUNTA($B45:$D45)+COUNTA($G45:$L45)+COUNTA($Q45))&gt;0),$V45="Sub"),"",IF(ISNUMBER($G45),IF(AND(ISNUMBER($AN45),$G45&gt;$AN45),"Cumplida con "&amp;($G45-$AN45)&amp;IF($G45-$AN45=1," día"," días")&amp;" de retraso","Cumplida"),IF(N($M45)&gt;=1,"Cumplida",IF(NOT(ISNUMBER($AN45)),"Sin fecha límite",IF($AN45&lt;FechaRef,"Vencida hace "&amp;(FechaRef-$AN45)&amp;IF(FechaRef-$AN45=1," día"," días"),IF($AN45=FechaRef,"Vence hoy",IF($AN45-FechaRef&lt;=DiasAlerta,"Vence en "&amp;($AN45-FechaRef)&amp;IF($AN45-FechaRef=1," día"," días"),"En plazo")))))))</f>
        <v/>
      </c>
      <c r="P45" s="62" t="n"/>
      <c r="Q45" s="58" t="n"/>
      <c r="R45" s="63">
        <f>IF(NOT((COUNTA($B45:$D45)+COUNTA($G45:$L45)+COUNTA($Q45))&gt;0),"",IF((IF($C45="","Falta el nombre de la actividad"&amp;" · ","")&amp;IF(AND($V45="Sub",N($U45)=0),"Subactividad sin macroactividad arriba"&amp;" · ","")&amp;IF($AM45="","Sin fecha de inicio"&amp;" · ","")&amp;IF($AN45="","Sin fecha límite"&amp;" · ","")&amp;IF(AND(LEFT($C45,11)="[Jefatura] ",N($AL45)=0),"No se encuentra en la hoja de la jefatura (elíjala de nuevo en la lista)"&amp;" · ","")&amp;IF(OR(AND($E45&lt;&gt;"",NOT(ISNUMBER($E45))),AND($F45&lt;&gt;"",NOT(ISNUMBER($F45))),AND($G45&lt;&gt;"",NOT(ISNUMBER($G45)))),"Fecha no válida"&amp;" · ","")&amp;IF(AND(ISNUMBER($AM45),ISNUMBER($AN45),$AM45&gt;$AN45),"Inicio posterior a fecha límite"&amp;" · ","")&amp;IF(AND($V45="Macro",$H45&lt;&gt;"",OR(NOT(ISNUMBER($H45)),$H45&lt;0,$H45&gt;1)),"Peso fuera de rango"&amp;" · ","")&amp;IF(AND($V45="Sub",$H45&lt;&gt;""),"Las subactividades no llevan peso (valen igual dentro de su macroactividad)"&amp;" · ","")&amp;IF(AND(N($W45)&gt;0,COUNT($I45:$L45)&gt;0),"Con subactividades: deje vacías las semanas (se calculan solas)"&amp;" · ","")&amp;IF((COUNTIF($I45:$L45,"&gt;1")+COUNTIF($I45:$L45,"&lt;0")+COUNTA($I45:$L45)-COUNT($I45:$L45))&gt;0,"Avance fuera de rango 0-100%"&amp;" · ","")&amp;IF(OR(AND($J45&lt;&gt;"",$J45&lt;$I45),AND($K45&lt;&gt;"",$K45&lt;MAX($I45:$J45)),AND($L45&lt;&gt;"",$L45&lt;MAX($I45:$K45))),"Avance semanal decreciente"&amp;" · ","")&amp;IF(AND(ISNUMBER($AN45),$AN45&lt;FechaRef,IF($V45="Sub",N($X45),N($M45))&lt;1),"Vencida"&amp;" · ","")&amp;IF(AND(ObsObligatoria="Sí",ISNUMBER($AN45),$AN45&lt;FechaRef,IF($V45="Sub",N($X45),N($M45))&lt;1,$Q45=""),"Vencida sin observación"&amp;" · ",""))="","✔ OK","⚠ "&amp;LEFT(IF($C45="","Falta el nombre de la actividad"&amp;" · ","")&amp;IF(AND($V45="Sub",N($U45)=0),"Subactividad sin macroactividad arriba"&amp;" · ","")&amp;IF($AM45="","Sin fecha de inicio"&amp;" · ","")&amp;IF($AN45="","Sin fecha límite"&amp;" · ","")&amp;IF(AND(LEFT($C45,11)="[Jefatura] ",N($AL45)=0),"No se encuentra en la hoja de la jefatura (elíjala de nuevo en la lista)"&amp;" · ","")&amp;IF(OR(AND($E45&lt;&gt;"",NOT(ISNUMBER($E45))),AND($F45&lt;&gt;"",NOT(ISNUMBER($F45))),AND($G45&lt;&gt;"",NOT(ISNUMBER($G45)))),"Fecha no válida"&amp;" · ","")&amp;IF(AND(ISNUMBER($AM45),ISNUMBER($AN45),$AM45&gt;$AN45),"Inicio posterior a fecha límite"&amp;" · ","")&amp;IF(AND($V45="Macro",$H45&lt;&gt;"",OR(NOT(ISNUMBER($H45)),$H45&lt;0,$H45&gt;1)),"Peso fuera de rango"&amp;" · ","")&amp;IF(AND($V45="Sub",$H45&lt;&gt;""),"Las subactividades no llevan peso (valen igual dentro de su macroactividad)"&amp;" · ","")&amp;IF(AND(N($W45)&gt;0,COUNT($I45:$L45)&gt;0),"Con subactividades: deje vacías las semanas (se calculan solas)"&amp;" · ","")&amp;IF((COUNTIF($I45:$L45,"&gt;1")+COUNTIF($I45:$L45,"&lt;0")+COUNTA($I45:$L45)-COUNT($I45:$L45))&gt;0,"Avance fuera de rango 0-100%"&amp;" · ","")&amp;IF(OR(AND($J45&lt;&gt;"",$J45&lt;$I45),AND($K45&lt;&gt;"",$K45&lt;MAX($I45:$J45)),AND($L45&lt;&gt;"",$L45&lt;MAX($I45:$K45))),"Avance semanal decreciente"&amp;" · ","")&amp;IF(AND(ISNUMBER($AN45),$AN45&lt;FechaRef,IF($V45="Sub",N($X45),N($M45))&lt;1),"Vencida"&amp;" · ","")&amp;IF(AND(ObsObligatoria="Sí",ISNUMBER($AN45),$AN45&lt;FechaRef,IF($V45="Sub",N($X45),N($M45))&lt;1,$Q45=""),"Vencida sin observación"&amp;" · ",""),LEN(IF($C45="","Falta el nombre de la actividad"&amp;" · ","")&amp;IF(AND($V45="Sub",N($U45)=0),"Subactividad sin macroactividad arriba"&amp;" · ","")&amp;IF($AM45="","Sin fecha de inicio"&amp;" · ","")&amp;IF($AN45="","Sin fecha límite"&amp;" · ","")&amp;IF(AND(LEFT($C45,11)="[Jefatura] ",N($AL45)=0),"No se encuentra en la hoja de la jefatura (elíjala de nuevo en la lista)"&amp;" · ","")&amp;IF(OR(AND($E45&lt;&gt;"",NOT(ISNUMBER($E45))),AND($F45&lt;&gt;"",NOT(ISNUMBER($F45))),AND($G45&lt;&gt;"",NOT(ISNUMBER($G45)))),"Fecha no válida"&amp;" · ","")&amp;IF(AND(ISNUMBER($AM45),ISNUMBER($AN45),$AM45&gt;$AN45),"Inicio posterior a fecha límite"&amp;" · ","")&amp;IF(AND($V45="Macro",$H45&lt;&gt;"",OR(NOT(ISNUMBER($H45)),$H45&lt;0,$H45&gt;1)),"Peso fuera de rango"&amp;" · ","")&amp;IF(AND($V45="Sub",$H45&lt;&gt;""),"Las subactividades no llevan peso (valen igual dentro de su macroactividad)"&amp;" · ","")&amp;IF(AND(N($W45)&gt;0,COUNT($I45:$L45)&gt;0),"Con subactividades: deje vacías las semanas (se calculan solas)"&amp;" · ","")&amp;IF((COUNTIF($I45:$L45,"&gt;1")+COUNTIF($I45:$L45,"&lt;0")+COUNTA($I45:$L45)-COUNT($I45:$L45))&gt;0,"Avance fuera de rango 0-100%"&amp;" · ","")&amp;IF(OR(AND($J45&lt;&gt;"",$J45&lt;$I45),AND($K45&lt;&gt;"",$K45&lt;MAX($I45:$J45)),AND($L45&lt;&gt;"",$L45&lt;MAX($I45:$K45))),"Avance semanal decreciente"&amp;" · ","")&amp;IF(AND(ISNUMBER($AN45),$AN45&lt;FechaRef,IF($V45="Sub",N($X45),N($M45))&lt;1),"Vencida"&amp;" · ","")&amp;IF(AND(ObsObligatoria="Sí",ISNUMBER($AN45),$AN45&lt;FechaRef,IF($V45="Sub",N($X45),N($M45))&lt;1,$Q45=""),"Vencida sin observación"&amp;" · ",""))-3)))</f>
        <v/>
      </c>
      <c r="S45" s="64">
        <f>IF(NOT((COUNTA($B45:$D45)+COUNTA($G45:$L45)+COUNTA($Q45))&gt;0),"",IF(AND($V45="Sub",N($U45)&gt;0),IF(ISNUMBER(INDEX($AM$5:$AM$1000,$U45-4)),DATE(YEAR(INDEX($AM$5:$AM$1000,$U45-4)),MONTH(INDEX($AM$5:$AM$1000,$U45-4)),1),IF(ISNUMBER(INDEX($AN$5:$AN$1000,$U45-4)),DATE(YEAR(INDEX($AN$5:$AN$1000,$U45-4)),MONTH(INDEX($AN$5:$AN$1000,$U45-4)),1),MesCiclo)),IF(ISNUMBER($AM45),DATE(YEAR($AM45),MONTH($AM45),1),IF(ISNUMBER($AN45),DATE(YEAR($AN45),MONTH($AN45),1),MesCiclo))))</f>
        <v/>
      </c>
      <c r="T45" s="62">
        <f>IF(OR($S45="",$S45&lt;&gt;MesCiclo,$V45&lt;&gt;"Macro"),"",COUNTIFS($S$5:$S45,MesCiclo,$V$5:$V45,"Macro"))</f>
        <v/>
      </c>
      <c r="U45" s="62">
        <f>IF($V45="","",IF($V45="Macro",ROW(),IFERROR(LOOKUP(2,1/($V$5:$V45="Macro"),ROW($V$5:$V45)),0)))</f>
        <v/>
      </c>
      <c r="V45" s="62">
        <f>IF(NOT((COUNTA($B45:$D45)+COUNTA($G45:$L45)+COUNTA($Q45))&gt;0),"",IF($B45="Subactividad","Sub","Macro"))</f>
        <v/>
      </c>
      <c r="W45" s="62">
        <f>IF($V45="Macro",COUNTIFS($U$5:$U$1000,ROW(),$V$5:$V$1000,"Sub"),"")</f>
        <v/>
      </c>
      <c r="X45" s="62">
        <f>IF($V45="","",IF(ISNUMBER($G45),1,IFERROR(LOOKUP(2,1/($I45:$L45&lt;&gt;""),$I45:$L45),0)))</f>
        <v/>
      </c>
      <c r="Y45" s="62">
        <f>IF($V45="","",IF(AND(ISNUMBER($G45),$G45&lt;=IF($S45=MesCiclo,InicioCiclo,$S45+MOD(2-WEEKDAY($S45),7))+6),1,IF(ISNUMBER($I45),$I45,0)))</f>
        <v/>
      </c>
      <c r="Z45" s="62">
        <f>IF($V45="","",IF(AND(ISNUMBER($G45),$G45&lt;=IF($S45=MesCiclo,InicioCiclo,$S45+MOD(2-WEEKDAY($S45),7))+13),1,IF(ISNUMBER($J45),$J45,$Y45)))</f>
        <v/>
      </c>
      <c r="AA45" s="62">
        <f>IF($V45="","",IF(AND(ISNUMBER($G45),$G45&lt;=IF($S45=MesCiclo,InicioCiclo,$S45+MOD(2-WEEKDAY($S45),7))+20),1,IF(ISNUMBER($K45),$K45,$Z45)))</f>
        <v/>
      </c>
      <c r="AB45" s="62">
        <f>IF($V45="","",IF(AND(ISNUMBER($G45),$G45&lt;=IF($S45=MesCiclo,InicioCiclo,$S45+MOD(2-WEEKDAY($S45),7))+27),1,IF(ISNUMBER($L45),$L45,$AA45)))</f>
        <v/>
      </c>
      <c r="AC45" s="62">
        <f>IF($V45="","",IF(AND(ISNUMBER($G45),$G45&lt;=IF($S45=MesCiclo,InicioCiclo,$S45+MOD(2-WEEKDAY($S45),7))+6),1,IF(N($W45)&gt;0,AVERAGEIFS($Y$5:$Y$1000,$U$5:$U$1000,ROW(),$V$5:$V$1000,"Sub"),$Y45)))</f>
        <v/>
      </c>
      <c r="AD45" s="62">
        <f>IF($V45="","",IF(AND(ISNUMBER($G45),$G45&lt;=IF($S45=MesCiclo,InicioCiclo,$S45+MOD(2-WEEKDAY($S45),7))+13),1,IF(N($W45)&gt;0,AVERAGEIFS($Z$5:$Z$1000,$U$5:$U$1000,ROW(),$V$5:$V$1000,"Sub"),$Z45)))</f>
        <v/>
      </c>
      <c r="AE45" s="62">
        <f>IF($V45="","",IF(AND(ISNUMBER($G45),$G45&lt;=IF($S45=MesCiclo,InicioCiclo,$S45+MOD(2-WEEKDAY($S45),7))+20),1,IF(N($W45)&gt;0,AVERAGEIFS($AA$5:$AA$1000,$U$5:$U$1000,ROW(),$V$5:$V$1000,"Sub"),$AA45)))</f>
        <v/>
      </c>
      <c r="AF45" s="62">
        <f>IF($V45="","",IF(AND(ISNUMBER($G45),$G45&lt;=IF($S45=MesCiclo,InicioCiclo,$S45+MOD(2-WEEKDAY($S45),7))+27),1,IF(N($W45)&gt;0,AVERAGEIFS($AB$5:$AB$1000,$U$5:$U$1000,ROW(),$V$5:$V$1000,"Sub"),$AB45)))</f>
        <v/>
      </c>
      <c r="AG45" s="62">
        <f>IF($V45&lt;&gt;"Macro","",IF(COUNTIFS($S$5:$S$1000,$S45,$V$5:$V$1000,"Macro",$H$5:$H$1000,"&gt;0")=0,1/COUNTIFS($S$5:$S$1000,$S45,$V$5:$V$1000,"Macro"),IF(AND(ISNUMBER($H45),N($H45)&gt;0),$H45,SUMIFS($H$5:$H$1000,$S$5:$S$1000,$S45,$V$5:$V$1000,"Macro")/COUNTIFS($S$5:$S$1000,$S45,$V$5:$V$1000,"Macro",$H$5:$H$1000,"&gt;0"))/(COUNTIFS($S$5:$S$1000,$S45,$V$5:$V$1000,"Macro")*SUMIFS($H$5:$H$1000,$S$5:$S$1000,$S45,$V$5:$V$1000,"Macro")/COUNTIFS($S$5:$S$1000,$S45,$V$5:$V$1000,"Macro",$H$5:$H$1000,"&gt;0"))))</f>
        <v/>
      </c>
      <c r="AH45" s="62" t="n"/>
      <c r="AI45" s="62" t="n"/>
      <c r="AJ45" s="62" t="n"/>
      <c r="AK45" s="62" t="n"/>
      <c r="AL45" s="62">
        <f>IF(LEFT($C45,11)="[Jefatura] ",IFERROR(MATCH("Riesgo Operacional|"&amp;MID($C45,12,500),rDname_ADM,0),0),"")</f>
        <v/>
      </c>
      <c r="AM45" s="62">
        <f>IF(N($AL45)&gt;0,INDEX(rIni_ADM,$AL45),IF(ISNUMBER($E45),$E45,""))</f>
        <v/>
      </c>
      <c r="AN45" s="62">
        <f>IF(N($AL45)&gt;0,INDEX(rLim_ADM,$AL45),IF(ISNUMBER($F45),$F45,""))</f>
        <v/>
      </c>
    </row>
    <row r="46">
      <c r="A46" s="56">
        <f>IF(NOT((COUNTA($B46:$D46)+COUNTA($G46:$L46)+COUNTA($Q46))&gt;0),"",IF($V46="Macro",COUNTIFS($V$5:$V46,"Macro",$S$5:$S46,$S46),IF(N($U46)=0,"?",COUNTIFS(INDEX($V$5:$V$1000,1):INDEX($V$5:$V$1000,$U46-4),"Macro",INDEX($S$5:$S$1000,1):INDEX($S$5:$S$1000,$U46-4),INDEX($S$5:$S$1000,$U46-4))&amp;"."&amp;COUNTIFS($U$5:$U46,$U46,$V$5:$V46,"Sub"))))</f>
        <v/>
      </c>
      <c r="B46" s="57" t="n"/>
      <c r="C46" s="58" t="n"/>
      <c r="D46" s="58" t="n"/>
      <c r="E46" s="59">
        <f>IF(N($AL46)&gt;0,INDEX(rIni_ADM,$AL46),"")</f>
        <v/>
      </c>
      <c r="F46" s="59">
        <f>IF(N($AL46)&gt;0,INDEX(rLim_ADM,$AL46),"")</f>
        <v/>
      </c>
      <c r="G46" s="59" t="n"/>
      <c r="H46" s="60" t="n"/>
      <c r="I46" s="60" t="n"/>
      <c r="J46" s="60" t="n"/>
      <c r="K46" s="60" t="n"/>
      <c r="L46" s="60" t="n"/>
      <c r="M46" s="61">
        <f>IF(NOT((COUNTA($B46:$D46)+COUNTA($G46:$L46)+COUNTA($Q46))&gt;0),"",IF($V46="Sub",IFERROR($X46/INDEX($W$5:$W$1000,$U46-4),""),IF(ISNUMBER($G46),1,IF(N($W46)&gt;0,AVERAGEIFS($X$5:$X$1000,$U$5:$U$1000,ROW(),$V$5:$V$1000,"Sub"),$X46))))</f>
        <v/>
      </c>
      <c r="N46" s="56">
        <f>IF(OR($M46="",$V46="Sub"),"",IF($M46&gt;=1,"Completado",IF($M46&gt;0,"En curso","Pendiente")))</f>
        <v/>
      </c>
      <c r="O46" s="56">
        <f>IF(OR(NOT((COUNTA($B46:$D46)+COUNTA($G46:$L46)+COUNTA($Q46))&gt;0),$V46="Sub"),"",IF(ISNUMBER($G46),IF(AND(ISNUMBER($AN46),$G46&gt;$AN46),"Cumplida con "&amp;($G46-$AN46)&amp;IF($G46-$AN46=1," día"," días")&amp;" de retraso","Cumplida"),IF(N($M46)&gt;=1,"Cumplida",IF(NOT(ISNUMBER($AN46)),"Sin fecha límite",IF($AN46&lt;FechaRef,"Vencida hace "&amp;(FechaRef-$AN46)&amp;IF(FechaRef-$AN46=1," día"," días"),IF($AN46=FechaRef,"Vence hoy",IF($AN46-FechaRef&lt;=DiasAlerta,"Vence en "&amp;($AN46-FechaRef)&amp;IF($AN46-FechaRef=1," día"," días"),"En plazo")))))))</f>
        <v/>
      </c>
      <c r="P46" s="62" t="n"/>
      <c r="Q46" s="58" t="n"/>
      <c r="R46" s="63">
        <f>IF(NOT((COUNTA($B46:$D46)+COUNTA($G46:$L46)+COUNTA($Q46))&gt;0),"",IF((IF($C46="","Falta el nombre de la actividad"&amp;" · ","")&amp;IF(AND($V46="Sub",N($U46)=0),"Subactividad sin macroactividad arriba"&amp;" · ","")&amp;IF($AM46="","Sin fecha de inicio"&amp;" · ","")&amp;IF($AN46="","Sin fecha límite"&amp;" · ","")&amp;IF(AND(LEFT($C46,11)="[Jefatura] ",N($AL46)=0),"No se encuentra en la hoja de la jefatura (elíjala de nuevo en la lista)"&amp;" · ","")&amp;IF(OR(AND($E46&lt;&gt;"",NOT(ISNUMBER($E46))),AND($F46&lt;&gt;"",NOT(ISNUMBER($F46))),AND($G46&lt;&gt;"",NOT(ISNUMBER($G46)))),"Fecha no válida"&amp;" · ","")&amp;IF(AND(ISNUMBER($AM46),ISNUMBER($AN46),$AM46&gt;$AN46),"Inicio posterior a fecha límite"&amp;" · ","")&amp;IF(AND($V46="Macro",$H46&lt;&gt;"",OR(NOT(ISNUMBER($H46)),$H46&lt;0,$H46&gt;1)),"Peso fuera de rango"&amp;" · ","")&amp;IF(AND($V46="Sub",$H46&lt;&gt;""),"Las subactividades no llevan peso (valen igual dentro de su macroactividad)"&amp;" · ","")&amp;IF(AND(N($W46)&gt;0,COUNT($I46:$L46)&gt;0),"Con subactividades: deje vacías las semanas (se calculan solas)"&amp;" · ","")&amp;IF((COUNTIF($I46:$L46,"&gt;1")+COUNTIF($I46:$L46,"&lt;0")+COUNTA($I46:$L46)-COUNT($I46:$L46))&gt;0,"Avance fuera de rango 0-100%"&amp;" · ","")&amp;IF(OR(AND($J46&lt;&gt;"",$J46&lt;$I46),AND($K46&lt;&gt;"",$K46&lt;MAX($I46:$J46)),AND($L46&lt;&gt;"",$L46&lt;MAX($I46:$K46))),"Avance semanal decreciente"&amp;" · ","")&amp;IF(AND(ISNUMBER($AN46),$AN46&lt;FechaRef,IF($V46="Sub",N($X46),N($M46))&lt;1),"Vencida"&amp;" · ","")&amp;IF(AND(ObsObligatoria="Sí",ISNUMBER($AN46),$AN46&lt;FechaRef,IF($V46="Sub",N($X46),N($M46))&lt;1,$Q46=""),"Vencida sin observación"&amp;" · ",""))="","✔ OK","⚠ "&amp;LEFT(IF($C46="","Falta el nombre de la actividad"&amp;" · ","")&amp;IF(AND($V46="Sub",N($U46)=0),"Subactividad sin macroactividad arriba"&amp;" · ","")&amp;IF($AM46="","Sin fecha de inicio"&amp;" · ","")&amp;IF($AN46="","Sin fecha límite"&amp;" · ","")&amp;IF(AND(LEFT($C46,11)="[Jefatura] ",N($AL46)=0),"No se encuentra en la hoja de la jefatura (elíjala de nuevo en la lista)"&amp;" · ","")&amp;IF(OR(AND($E46&lt;&gt;"",NOT(ISNUMBER($E46))),AND($F46&lt;&gt;"",NOT(ISNUMBER($F46))),AND($G46&lt;&gt;"",NOT(ISNUMBER($G46)))),"Fecha no válida"&amp;" · ","")&amp;IF(AND(ISNUMBER($AM46),ISNUMBER($AN46),$AM46&gt;$AN46),"Inicio posterior a fecha límite"&amp;" · ","")&amp;IF(AND($V46="Macro",$H46&lt;&gt;"",OR(NOT(ISNUMBER($H46)),$H46&lt;0,$H46&gt;1)),"Peso fuera de rango"&amp;" · ","")&amp;IF(AND($V46="Sub",$H46&lt;&gt;""),"Las subactividades no llevan peso (valen igual dentro de su macroactividad)"&amp;" · ","")&amp;IF(AND(N($W46)&gt;0,COUNT($I46:$L46)&gt;0),"Con subactividades: deje vacías las semanas (se calculan solas)"&amp;" · ","")&amp;IF((COUNTIF($I46:$L46,"&gt;1")+COUNTIF($I46:$L46,"&lt;0")+COUNTA($I46:$L46)-COUNT($I46:$L46))&gt;0,"Avance fuera de rango 0-100%"&amp;" · ","")&amp;IF(OR(AND($J46&lt;&gt;"",$J46&lt;$I46),AND($K46&lt;&gt;"",$K46&lt;MAX($I46:$J46)),AND($L46&lt;&gt;"",$L46&lt;MAX($I46:$K46))),"Avance semanal decreciente"&amp;" · ","")&amp;IF(AND(ISNUMBER($AN46),$AN46&lt;FechaRef,IF($V46="Sub",N($X46),N($M46))&lt;1),"Vencida"&amp;" · ","")&amp;IF(AND(ObsObligatoria="Sí",ISNUMBER($AN46),$AN46&lt;FechaRef,IF($V46="Sub",N($X46),N($M46))&lt;1,$Q46=""),"Vencida sin observación"&amp;" · ",""),LEN(IF($C46="","Falta el nombre de la actividad"&amp;" · ","")&amp;IF(AND($V46="Sub",N($U46)=0),"Subactividad sin macroactividad arriba"&amp;" · ","")&amp;IF($AM46="","Sin fecha de inicio"&amp;" · ","")&amp;IF($AN46="","Sin fecha límite"&amp;" · ","")&amp;IF(AND(LEFT($C46,11)="[Jefatura] ",N($AL46)=0),"No se encuentra en la hoja de la jefatura (elíjala de nuevo en la lista)"&amp;" · ","")&amp;IF(OR(AND($E46&lt;&gt;"",NOT(ISNUMBER($E46))),AND($F46&lt;&gt;"",NOT(ISNUMBER($F46))),AND($G46&lt;&gt;"",NOT(ISNUMBER($G46)))),"Fecha no válida"&amp;" · ","")&amp;IF(AND(ISNUMBER($AM46),ISNUMBER($AN46),$AM46&gt;$AN46),"Inicio posterior a fecha límite"&amp;" · ","")&amp;IF(AND($V46="Macro",$H46&lt;&gt;"",OR(NOT(ISNUMBER($H46)),$H46&lt;0,$H46&gt;1)),"Peso fuera de rango"&amp;" · ","")&amp;IF(AND($V46="Sub",$H46&lt;&gt;""),"Las subactividades no llevan peso (valen igual dentro de su macroactividad)"&amp;" · ","")&amp;IF(AND(N($W46)&gt;0,COUNT($I46:$L46)&gt;0),"Con subactividades: deje vacías las semanas (se calculan solas)"&amp;" · ","")&amp;IF((COUNTIF($I46:$L46,"&gt;1")+COUNTIF($I46:$L46,"&lt;0")+COUNTA($I46:$L46)-COUNT($I46:$L46))&gt;0,"Avance fuera de rango 0-100%"&amp;" · ","")&amp;IF(OR(AND($J46&lt;&gt;"",$J46&lt;$I46),AND($K46&lt;&gt;"",$K46&lt;MAX($I46:$J46)),AND($L46&lt;&gt;"",$L46&lt;MAX($I46:$K46))),"Avance semanal decreciente"&amp;" · ","")&amp;IF(AND(ISNUMBER($AN46),$AN46&lt;FechaRef,IF($V46="Sub",N($X46),N($M46))&lt;1),"Vencida"&amp;" · ","")&amp;IF(AND(ObsObligatoria="Sí",ISNUMBER($AN46),$AN46&lt;FechaRef,IF($V46="Sub",N($X46),N($M46))&lt;1,$Q46=""),"Vencida sin observación"&amp;" · ",""))-3)))</f>
        <v/>
      </c>
      <c r="S46" s="64">
        <f>IF(NOT((COUNTA($B46:$D46)+COUNTA($G46:$L46)+COUNTA($Q46))&gt;0),"",IF(AND($V46="Sub",N($U46)&gt;0),IF(ISNUMBER(INDEX($AM$5:$AM$1000,$U46-4)),DATE(YEAR(INDEX($AM$5:$AM$1000,$U46-4)),MONTH(INDEX($AM$5:$AM$1000,$U46-4)),1),IF(ISNUMBER(INDEX($AN$5:$AN$1000,$U46-4)),DATE(YEAR(INDEX($AN$5:$AN$1000,$U46-4)),MONTH(INDEX($AN$5:$AN$1000,$U46-4)),1),MesCiclo)),IF(ISNUMBER($AM46),DATE(YEAR($AM46),MONTH($AM46),1),IF(ISNUMBER($AN46),DATE(YEAR($AN46),MONTH($AN46),1),MesCiclo))))</f>
        <v/>
      </c>
      <c r="T46" s="62">
        <f>IF(OR($S46="",$S46&lt;&gt;MesCiclo,$V46&lt;&gt;"Macro"),"",COUNTIFS($S$5:$S46,MesCiclo,$V$5:$V46,"Macro"))</f>
        <v/>
      </c>
      <c r="U46" s="62">
        <f>IF($V46="","",IF($V46="Macro",ROW(),IFERROR(LOOKUP(2,1/($V$5:$V46="Macro"),ROW($V$5:$V46)),0)))</f>
        <v/>
      </c>
      <c r="V46" s="62">
        <f>IF(NOT((COUNTA($B46:$D46)+COUNTA($G46:$L46)+COUNTA($Q46))&gt;0),"",IF($B46="Subactividad","Sub","Macro"))</f>
        <v/>
      </c>
      <c r="W46" s="62">
        <f>IF($V46="Macro",COUNTIFS($U$5:$U$1000,ROW(),$V$5:$V$1000,"Sub"),"")</f>
        <v/>
      </c>
      <c r="X46" s="62">
        <f>IF($V46="","",IF(ISNUMBER($G46),1,IFERROR(LOOKUP(2,1/($I46:$L46&lt;&gt;""),$I46:$L46),0)))</f>
        <v/>
      </c>
      <c r="Y46" s="62">
        <f>IF($V46="","",IF(AND(ISNUMBER($G46),$G46&lt;=IF($S46=MesCiclo,InicioCiclo,$S46+MOD(2-WEEKDAY($S46),7))+6),1,IF(ISNUMBER($I46),$I46,0)))</f>
        <v/>
      </c>
      <c r="Z46" s="62">
        <f>IF($V46="","",IF(AND(ISNUMBER($G46),$G46&lt;=IF($S46=MesCiclo,InicioCiclo,$S46+MOD(2-WEEKDAY($S46),7))+13),1,IF(ISNUMBER($J46),$J46,$Y46)))</f>
        <v/>
      </c>
      <c r="AA46" s="62">
        <f>IF($V46="","",IF(AND(ISNUMBER($G46),$G46&lt;=IF($S46=MesCiclo,InicioCiclo,$S46+MOD(2-WEEKDAY($S46),7))+20),1,IF(ISNUMBER($K46),$K46,$Z46)))</f>
        <v/>
      </c>
      <c r="AB46" s="62">
        <f>IF($V46="","",IF(AND(ISNUMBER($G46),$G46&lt;=IF($S46=MesCiclo,InicioCiclo,$S46+MOD(2-WEEKDAY($S46),7))+27),1,IF(ISNUMBER($L46),$L46,$AA46)))</f>
        <v/>
      </c>
      <c r="AC46" s="62">
        <f>IF($V46="","",IF(AND(ISNUMBER($G46),$G46&lt;=IF($S46=MesCiclo,InicioCiclo,$S46+MOD(2-WEEKDAY($S46),7))+6),1,IF(N($W46)&gt;0,AVERAGEIFS($Y$5:$Y$1000,$U$5:$U$1000,ROW(),$V$5:$V$1000,"Sub"),$Y46)))</f>
        <v/>
      </c>
      <c r="AD46" s="62">
        <f>IF($V46="","",IF(AND(ISNUMBER($G46),$G46&lt;=IF($S46=MesCiclo,InicioCiclo,$S46+MOD(2-WEEKDAY($S46),7))+13),1,IF(N($W46)&gt;0,AVERAGEIFS($Z$5:$Z$1000,$U$5:$U$1000,ROW(),$V$5:$V$1000,"Sub"),$Z46)))</f>
        <v/>
      </c>
      <c r="AE46" s="62">
        <f>IF($V46="","",IF(AND(ISNUMBER($G46),$G46&lt;=IF($S46=MesCiclo,InicioCiclo,$S46+MOD(2-WEEKDAY($S46),7))+20),1,IF(N($W46)&gt;0,AVERAGEIFS($AA$5:$AA$1000,$U$5:$U$1000,ROW(),$V$5:$V$1000,"Sub"),$AA46)))</f>
        <v/>
      </c>
      <c r="AF46" s="62">
        <f>IF($V46="","",IF(AND(ISNUMBER($G46),$G46&lt;=IF($S46=MesCiclo,InicioCiclo,$S46+MOD(2-WEEKDAY($S46),7))+27),1,IF(N($W46)&gt;0,AVERAGEIFS($AB$5:$AB$1000,$U$5:$U$1000,ROW(),$V$5:$V$1000,"Sub"),$AB46)))</f>
        <v/>
      </c>
      <c r="AG46" s="62">
        <f>IF($V46&lt;&gt;"Macro","",IF(COUNTIFS($S$5:$S$1000,$S46,$V$5:$V$1000,"Macro",$H$5:$H$1000,"&gt;0")=0,1/COUNTIFS($S$5:$S$1000,$S46,$V$5:$V$1000,"Macro"),IF(AND(ISNUMBER($H46),N($H46)&gt;0),$H46,SUMIFS($H$5:$H$1000,$S$5:$S$1000,$S46,$V$5:$V$1000,"Macro")/COUNTIFS($S$5:$S$1000,$S46,$V$5:$V$1000,"Macro",$H$5:$H$1000,"&gt;0"))/(COUNTIFS($S$5:$S$1000,$S46,$V$5:$V$1000,"Macro")*SUMIFS($H$5:$H$1000,$S$5:$S$1000,$S46,$V$5:$V$1000,"Macro")/COUNTIFS($S$5:$S$1000,$S46,$V$5:$V$1000,"Macro",$H$5:$H$1000,"&gt;0"))))</f>
        <v/>
      </c>
      <c r="AH46" s="62" t="n"/>
      <c r="AI46" s="62" t="n"/>
      <c r="AJ46" s="62" t="n"/>
      <c r="AK46" s="62" t="n"/>
      <c r="AL46" s="62">
        <f>IF(LEFT($C46,11)="[Jefatura] ",IFERROR(MATCH("Riesgo Operacional|"&amp;MID($C46,12,500),rDname_ADM,0),0),"")</f>
        <v/>
      </c>
      <c r="AM46" s="62">
        <f>IF(N($AL46)&gt;0,INDEX(rIni_ADM,$AL46),IF(ISNUMBER($E46),$E46,""))</f>
        <v/>
      </c>
      <c r="AN46" s="62">
        <f>IF(N($AL46)&gt;0,INDEX(rLim_ADM,$AL46),IF(ISNUMBER($F46),$F46,""))</f>
        <v/>
      </c>
    </row>
    <row r="47">
      <c r="A47" s="56">
        <f>IF(NOT((COUNTA($B47:$D47)+COUNTA($G47:$L47)+COUNTA($Q47))&gt;0),"",IF($V47="Macro",COUNTIFS($V$5:$V47,"Macro",$S$5:$S47,$S47),IF(N($U47)=0,"?",COUNTIFS(INDEX($V$5:$V$1000,1):INDEX($V$5:$V$1000,$U47-4),"Macro",INDEX($S$5:$S$1000,1):INDEX($S$5:$S$1000,$U47-4),INDEX($S$5:$S$1000,$U47-4))&amp;"."&amp;COUNTIFS($U$5:$U47,$U47,$V$5:$V47,"Sub"))))</f>
        <v/>
      </c>
      <c r="B47" s="57" t="n"/>
      <c r="C47" s="58" t="n"/>
      <c r="D47" s="58" t="n"/>
      <c r="E47" s="59">
        <f>IF(N($AL47)&gt;0,INDEX(rIni_ADM,$AL47),"")</f>
        <v/>
      </c>
      <c r="F47" s="59">
        <f>IF(N($AL47)&gt;0,INDEX(rLim_ADM,$AL47),"")</f>
        <v/>
      </c>
      <c r="G47" s="59" t="n"/>
      <c r="H47" s="60" t="n"/>
      <c r="I47" s="60" t="n"/>
      <c r="J47" s="60" t="n"/>
      <c r="K47" s="60" t="n"/>
      <c r="L47" s="60" t="n"/>
      <c r="M47" s="61">
        <f>IF(NOT((COUNTA($B47:$D47)+COUNTA($G47:$L47)+COUNTA($Q47))&gt;0),"",IF($V47="Sub",IFERROR($X47/INDEX($W$5:$W$1000,$U47-4),""),IF(ISNUMBER($G47),1,IF(N($W47)&gt;0,AVERAGEIFS($X$5:$X$1000,$U$5:$U$1000,ROW(),$V$5:$V$1000,"Sub"),$X47))))</f>
        <v/>
      </c>
      <c r="N47" s="56">
        <f>IF(OR($M47="",$V47="Sub"),"",IF($M47&gt;=1,"Completado",IF($M47&gt;0,"En curso","Pendiente")))</f>
        <v/>
      </c>
      <c r="O47" s="56">
        <f>IF(OR(NOT((COUNTA($B47:$D47)+COUNTA($G47:$L47)+COUNTA($Q47))&gt;0),$V47="Sub"),"",IF(ISNUMBER($G47),IF(AND(ISNUMBER($AN47),$G47&gt;$AN47),"Cumplida con "&amp;($G47-$AN47)&amp;IF($G47-$AN47=1," día"," días")&amp;" de retraso","Cumplida"),IF(N($M47)&gt;=1,"Cumplida",IF(NOT(ISNUMBER($AN47)),"Sin fecha límite",IF($AN47&lt;FechaRef,"Vencida hace "&amp;(FechaRef-$AN47)&amp;IF(FechaRef-$AN47=1," día"," días"),IF($AN47=FechaRef,"Vence hoy",IF($AN47-FechaRef&lt;=DiasAlerta,"Vence en "&amp;($AN47-FechaRef)&amp;IF($AN47-FechaRef=1," día"," días"),"En plazo")))))))</f>
        <v/>
      </c>
      <c r="P47" s="62" t="n"/>
      <c r="Q47" s="58" t="n"/>
      <c r="R47" s="63">
        <f>IF(NOT((COUNTA($B47:$D47)+COUNTA($G47:$L47)+COUNTA($Q47))&gt;0),"",IF((IF($C47="","Falta el nombre de la actividad"&amp;" · ","")&amp;IF(AND($V47="Sub",N($U47)=0),"Subactividad sin macroactividad arriba"&amp;" · ","")&amp;IF($AM47="","Sin fecha de inicio"&amp;" · ","")&amp;IF($AN47="","Sin fecha límite"&amp;" · ","")&amp;IF(AND(LEFT($C47,11)="[Jefatura] ",N($AL47)=0),"No se encuentra en la hoja de la jefatura (elíjala de nuevo en la lista)"&amp;" · ","")&amp;IF(OR(AND($E47&lt;&gt;"",NOT(ISNUMBER($E47))),AND($F47&lt;&gt;"",NOT(ISNUMBER($F47))),AND($G47&lt;&gt;"",NOT(ISNUMBER($G47)))),"Fecha no válida"&amp;" · ","")&amp;IF(AND(ISNUMBER($AM47),ISNUMBER($AN47),$AM47&gt;$AN47),"Inicio posterior a fecha límite"&amp;" · ","")&amp;IF(AND($V47="Macro",$H47&lt;&gt;"",OR(NOT(ISNUMBER($H47)),$H47&lt;0,$H47&gt;1)),"Peso fuera de rango"&amp;" · ","")&amp;IF(AND($V47="Sub",$H47&lt;&gt;""),"Las subactividades no llevan peso (valen igual dentro de su macroactividad)"&amp;" · ","")&amp;IF(AND(N($W47)&gt;0,COUNT($I47:$L47)&gt;0),"Con subactividades: deje vacías las semanas (se calculan solas)"&amp;" · ","")&amp;IF((COUNTIF($I47:$L47,"&gt;1")+COUNTIF($I47:$L47,"&lt;0")+COUNTA($I47:$L47)-COUNT($I47:$L47))&gt;0,"Avance fuera de rango 0-100%"&amp;" · ","")&amp;IF(OR(AND($J47&lt;&gt;"",$J47&lt;$I47),AND($K47&lt;&gt;"",$K47&lt;MAX($I47:$J47)),AND($L47&lt;&gt;"",$L47&lt;MAX($I47:$K47))),"Avance semanal decreciente"&amp;" · ","")&amp;IF(AND(ISNUMBER($AN47),$AN47&lt;FechaRef,IF($V47="Sub",N($X47),N($M47))&lt;1),"Vencida"&amp;" · ","")&amp;IF(AND(ObsObligatoria="Sí",ISNUMBER($AN47),$AN47&lt;FechaRef,IF($V47="Sub",N($X47),N($M47))&lt;1,$Q47=""),"Vencida sin observación"&amp;" · ",""))="","✔ OK","⚠ "&amp;LEFT(IF($C47="","Falta el nombre de la actividad"&amp;" · ","")&amp;IF(AND($V47="Sub",N($U47)=0),"Subactividad sin macroactividad arriba"&amp;" · ","")&amp;IF($AM47="","Sin fecha de inicio"&amp;" · ","")&amp;IF($AN47="","Sin fecha límite"&amp;" · ","")&amp;IF(AND(LEFT($C47,11)="[Jefatura] ",N($AL47)=0),"No se encuentra en la hoja de la jefatura (elíjala de nuevo en la lista)"&amp;" · ","")&amp;IF(OR(AND($E47&lt;&gt;"",NOT(ISNUMBER($E47))),AND($F47&lt;&gt;"",NOT(ISNUMBER($F47))),AND($G47&lt;&gt;"",NOT(ISNUMBER($G47)))),"Fecha no válida"&amp;" · ","")&amp;IF(AND(ISNUMBER($AM47),ISNUMBER($AN47),$AM47&gt;$AN47),"Inicio posterior a fecha límite"&amp;" · ","")&amp;IF(AND($V47="Macro",$H47&lt;&gt;"",OR(NOT(ISNUMBER($H47)),$H47&lt;0,$H47&gt;1)),"Peso fuera de rango"&amp;" · ","")&amp;IF(AND($V47="Sub",$H47&lt;&gt;""),"Las subactividades no llevan peso (valen igual dentro de su macroactividad)"&amp;" · ","")&amp;IF(AND(N($W47)&gt;0,COUNT($I47:$L47)&gt;0),"Con subactividades: deje vacías las semanas (se calculan solas)"&amp;" · ","")&amp;IF((COUNTIF($I47:$L47,"&gt;1")+COUNTIF($I47:$L47,"&lt;0")+COUNTA($I47:$L47)-COUNT($I47:$L47))&gt;0,"Avance fuera de rango 0-100%"&amp;" · ","")&amp;IF(OR(AND($J47&lt;&gt;"",$J47&lt;$I47),AND($K47&lt;&gt;"",$K47&lt;MAX($I47:$J47)),AND($L47&lt;&gt;"",$L47&lt;MAX($I47:$K47))),"Avance semanal decreciente"&amp;" · ","")&amp;IF(AND(ISNUMBER($AN47),$AN47&lt;FechaRef,IF($V47="Sub",N($X47),N($M47))&lt;1),"Vencida"&amp;" · ","")&amp;IF(AND(ObsObligatoria="Sí",ISNUMBER($AN47),$AN47&lt;FechaRef,IF($V47="Sub",N($X47),N($M47))&lt;1,$Q47=""),"Vencida sin observación"&amp;" · ",""),LEN(IF($C47="","Falta el nombre de la actividad"&amp;" · ","")&amp;IF(AND($V47="Sub",N($U47)=0),"Subactividad sin macroactividad arriba"&amp;" · ","")&amp;IF($AM47="","Sin fecha de inicio"&amp;" · ","")&amp;IF($AN47="","Sin fecha límite"&amp;" · ","")&amp;IF(AND(LEFT($C47,11)="[Jefatura] ",N($AL47)=0),"No se encuentra en la hoja de la jefatura (elíjala de nuevo en la lista)"&amp;" · ","")&amp;IF(OR(AND($E47&lt;&gt;"",NOT(ISNUMBER($E47))),AND($F47&lt;&gt;"",NOT(ISNUMBER($F47))),AND($G47&lt;&gt;"",NOT(ISNUMBER($G47)))),"Fecha no válida"&amp;" · ","")&amp;IF(AND(ISNUMBER($AM47),ISNUMBER($AN47),$AM47&gt;$AN47),"Inicio posterior a fecha límite"&amp;" · ","")&amp;IF(AND($V47="Macro",$H47&lt;&gt;"",OR(NOT(ISNUMBER($H47)),$H47&lt;0,$H47&gt;1)),"Peso fuera de rango"&amp;" · ","")&amp;IF(AND($V47="Sub",$H47&lt;&gt;""),"Las subactividades no llevan peso (valen igual dentro de su macroactividad)"&amp;" · ","")&amp;IF(AND(N($W47)&gt;0,COUNT($I47:$L47)&gt;0),"Con subactividades: deje vacías las semanas (se calculan solas)"&amp;" · ","")&amp;IF((COUNTIF($I47:$L47,"&gt;1")+COUNTIF($I47:$L47,"&lt;0")+COUNTA($I47:$L47)-COUNT($I47:$L47))&gt;0,"Avance fuera de rango 0-100%"&amp;" · ","")&amp;IF(OR(AND($J47&lt;&gt;"",$J47&lt;$I47),AND($K47&lt;&gt;"",$K47&lt;MAX($I47:$J47)),AND($L47&lt;&gt;"",$L47&lt;MAX($I47:$K47))),"Avance semanal decreciente"&amp;" · ","")&amp;IF(AND(ISNUMBER($AN47),$AN47&lt;FechaRef,IF($V47="Sub",N($X47),N($M47))&lt;1),"Vencida"&amp;" · ","")&amp;IF(AND(ObsObligatoria="Sí",ISNUMBER($AN47),$AN47&lt;FechaRef,IF($V47="Sub",N($X47),N($M47))&lt;1,$Q47=""),"Vencida sin observación"&amp;" · ",""))-3)))</f>
        <v/>
      </c>
      <c r="S47" s="64">
        <f>IF(NOT((COUNTA($B47:$D47)+COUNTA($G47:$L47)+COUNTA($Q47))&gt;0),"",IF(AND($V47="Sub",N($U47)&gt;0),IF(ISNUMBER(INDEX($AM$5:$AM$1000,$U47-4)),DATE(YEAR(INDEX($AM$5:$AM$1000,$U47-4)),MONTH(INDEX($AM$5:$AM$1000,$U47-4)),1),IF(ISNUMBER(INDEX($AN$5:$AN$1000,$U47-4)),DATE(YEAR(INDEX($AN$5:$AN$1000,$U47-4)),MONTH(INDEX($AN$5:$AN$1000,$U47-4)),1),MesCiclo)),IF(ISNUMBER($AM47),DATE(YEAR($AM47),MONTH($AM47),1),IF(ISNUMBER($AN47),DATE(YEAR($AN47),MONTH($AN47),1),MesCiclo))))</f>
        <v/>
      </c>
      <c r="T47" s="62">
        <f>IF(OR($S47="",$S47&lt;&gt;MesCiclo,$V47&lt;&gt;"Macro"),"",COUNTIFS($S$5:$S47,MesCiclo,$V$5:$V47,"Macro"))</f>
        <v/>
      </c>
      <c r="U47" s="62">
        <f>IF($V47="","",IF($V47="Macro",ROW(),IFERROR(LOOKUP(2,1/($V$5:$V47="Macro"),ROW($V$5:$V47)),0)))</f>
        <v/>
      </c>
      <c r="V47" s="62">
        <f>IF(NOT((COUNTA($B47:$D47)+COUNTA($G47:$L47)+COUNTA($Q47))&gt;0),"",IF($B47="Subactividad","Sub","Macro"))</f>
        <v/>
      </c>
      <c r="W47" s="62">
        <f>IF($V47="Macro",COUNTIFS($U$5:$U$1000,ROW(),$V$5:$V$1000,"Sub"),"")</f>
        <v/>
      </c>
      <c r="X47" s="62">
        <f>IF($V47="","",IF(ISNUMBER($G47),1,IFERROR(LOOKUP(2,1/($I47:$L47&lt;&gt;""),$I47:$L47),0)))</f>
        <v/>
      </c>
      <c r="Y47" s="62">
        <f>IF($V47="","",IF(AND(ISNUMBER($G47),$G47&lt;=IF($S47=MesCiclo,InicioCiclo,$S47+MOD(2-WEEKDAY($S47),7))+6),1,IF(ISNUMBER($I47),$I47,0)))</f>
        <v/>
      </c>
      <c r="Z47" s="62">
        <f>IF($V47="","",IF(AND(ISNUMBER($G47),$G47&lt;=IF($S47=MesCiclo,InicioCiclo,$S47+MOD(2-WEEKDAY($S47),7))+13),1,IF(ISNUMBER($J47),$J47,$Y47)))</f>
        <v/>
      </c>
      <c r="AA47" s="62">
        <f>IF($V47="","",IF(AND(ISNUMBER($G47),$G47&lt;=IF($S47=MesCiclo,InicioCiclo,$S47+MOD(2-WEEKDAY($S47),7))+20),1,IF(ISNUMBER($K47),$K47,$Z47)))</f>
        <v/>
      </c>
      <c r="AB47" s="62">
        <f>IF($V47="","",IF(AND(ISNUMBER($G47),$G47&lt;=IF($S47=MesCiclo,InicioCiclo,$S47+MOD(2-WEEKDAY($S47),7))+27),1,IF(ISNUMBER($L47),$L47,$AA47)))</f>
        <v/>
      </c>
      <c r="AC47" s="62">
        <f>IF($V47="","",IF(AND(ISNUMBER($G47),$G47&lt;=IF($S47=MesCiclo,InicioCiclo,$S47+MOD(2-WEEKDAY($S47),7))+6),1,IF(N($W47)&gt;0,AVERAGEIFS($Y$5:$Y$1000,$U$5:$U$1000,ROW(),$V$5:$V$1000,"Sub"),$Y47)))</f>
        <v/>
      </c>
      <c r="AD47" s="62">
        <f>IF($V47="","",IF(AND(ISNUMBER($G47),$G47&lt;=IF($S47=MesCiclo,InicioCiclo,$S47+MOD(2-WEEKDAY($S47),7))+13),1,IF(N($W47)&gt;0,AVERAGEIFS($Z$5:$Z$1000,$U$5:$U$1000,ROW(),$V$5:$V$1000,"Sub"),$Z47)))</f>
        <v/>
      </c>
      <c r="AE47" s="62">
        <f>IF($V47="","",IF(AND(ISNUMBER($G47),$G47&lt;=IF($S47=MesCiclo,InicioCiclo,$S47+MOD(2-WEEKDAY($S47),7))+20),1,IF(N($W47)&gt;0,AVERAGEIFS($AA$5:$AA$1000,$U$5:$U$1000,ROW(),$V$5:$V$1000,"Sub"),$AA47)))</f>
        <v/>
      </c>
      <c r="AF47" s="62">
        <f>IF($V47="","",IF(AND(ISNUMBER($G47),$G47&lt;=IF($S47=MesCiclo,InicioCiclo,$S47+MOD(2-WEEKDAY($S47),7))+27),1,IF(N($W47)&gt;0,AVERAGEIFS($AB$5:$AB$1000,$U$5:$U$1000,ROW(),$V$5:$V$1000,"Sub"),$AB47)))</f>
        <v/>
      </c>
      <c r="AG47" s="62">
        <f>IF($V47&lt;&gt;"Macro","",IF(COUNTIFS($S$5:$S$1000,$S47,$V$5:$V$1000,"Macro",$H$5:$H$1000,"&gt;0")=0,1/COUNTIFS($S$5:$S$1000,$S47,$V$5:$V$1000,"Macro"),IF(AND(ISNUMBER($H47),N($H47)&gt;0),$H47,SUMIFS($H$5:$H$1000,$S$5:$S$1000,$S47,$V$5:$V$1000,"Macro")/COUNTIFS($S$5:$S$1000,$S47,$V$5:$V$1000,"Macro",$H$5:$H$1000,"&gt;0"))/(COUNTIFS($S$5:$S$1000,$S47,$V$5:$V$1000,"Macro")*SUMIFS($H$5:$H$1000,$S$5:$S$1000,$S47,$V$5:$V$1000,"Macro")/COUNTIFS($S$5:$S$1000,$S47,$V$5:$V$1000,"Macro",$H$5:$H$1000,"&gt;0"))))</f>
        <v/>
      </c>
      <c r="AH47" s="62" t="n"/>
      <c r="AI47" s="62" t="n"/>
      <c r="AJ47" s="62" t="n"/>
      <c r="AK47" s="62" t="n"/>
      <c r="AL47" s="62">
        <f>IF(LEFT($C47,11)="[Jefatura] ",IFERROR(MATCH("Riesgo Operacional|"&amp;MID($C47,12,500),rDname_ADM,0),0),"")</f>
        <v/>
      </c>
      <c r="AM47" s="62">
        <f>IF(N($AL47)&gt;0,INDEX(rIni_ADM,$AL47),IF(ISNUMBER($E47),$E47,""))</f>
        <v/>
      </c>
      <c r="AN47" s="62">
        <f>IF(N($AL47)&gt;0,INDEX(rLim_ADM,$AL47),IF(ISNUMBER($F47),$F47,""))</f>
        <v/>
      </c>
    </row>
    <row r="48">
      <c r="A48" s="56">
        <f>IF(NOT((COUNTA($B48:$D48)+COUNTA($G48:$L48)+COUNTA($Q48))&gt;0),"",IF($V48="Macro",COUNTIFS($V$5:$V48,"Macro",$S$5:$S48,$S48),IF(N($U48)=0,"?",COUNTIFS(INDEX($V$5:$V$1000,1):INDEX($V$5:$V$1000,$U48-4),"Macro",INDEX($S$5:$S$1000,1):INDEX($S$5:$S$1000,$U48-4),INDEX($S$5:$S$1000,$U48-4))&amp;"."&amp;COUNTIFS($U$5:$U48,$U48,$V$5:$V48,"Sub"))))</f>
        <v/>
      </c>
      <c r="B48" s="57" t="n"/>
      <c r="C48" s="58" t="n"/>
      <c r="D48" s="58" t="n"/>
      <c r="E48" s="59">
        <f>IF(N($AL48)&gt;0,INDEX(rIni_ADM,$AL48),"")</f>
        <v/>
      </c>
      <c r="F48" s="59">
        <f>IF(N($AL48)&gt;0,INDEX(rLim_ADM,$AL48),"")</f>
        <v/>
      </c>
      <c r="G48" s="59" t="n"/>
      <c r="H48" s="60" t="n"/>
      <c r="I48" s="60" t="n"/>
      <c r="J48" s="60" t="n"/>
      <c r="K48" s="60" t="n"/>
      <c r="L48" s="60" t="n"/>
      <c r="M48" s="61">
        <f>IF(NOT((COUNTA($B48:$D48)+COUNTA($G48:$L48)+COUNTA($Q48))&gt;0),"",IF($V48="Sub",IFERROR($X48/INDEX($W$5:$W$1000,$U48-4),""),IF(ISNUMBER($G48),1,IF(N($W48)&gt;0,AVERAGEIFS($X$5:$X$1000,$U$5:$U$1000,ROW(),$V$5:$V$1000,"Sub"),$X48))))</f>
        <v/>
      </c>
      <c r="N48" s="56">
        <f>IF(OR($M48="",$V48="Sub"),"",IF($M48&gt;=1,"Completado",IF($M48&gt;0,"En curso","Pendiente")))</f>
        <v/>
      </c>
      <c r="O48" s="56">
        <f>IF(OR(NOT((COUNTA($B48:$D48)+COUNTA($G48:$L48)+COUNTA($Q48))&gt;0),$V48="Sub"),"",IF(ISNUMBER($G48),IF(AND(ISNUMBER($AN48),$G48&gt;$AN48),"Cumplida con "&amp;($G48-$AN48)&amp;IF($G48-$AN48=1," día"," días")&amp;" de retraso","Cumplida"),IF(N($M48)&gt;=1,"Cumplida",IF(NOT(ISNUMBER($AN48)),"Sin fecha límite",IF($AN48&lt;FechaRef,"Vencida hace "&amp;(FechaRef-$AN48)&amp;IF(FechaRef-$AN48=1," día"," días"),IF($AN48=FechaRef,"Vence hoy",IF($AN48-FechaRef&lt;=DiasAlerta,"Vence en "&amp;($AN48-FechaRef)&amp;IF($AN48-FechaRef=1," día"," días"),"En plazo")))))))</f>
        <v/>
      </c>
      <c r="P48" s="62" t="n"/>
      <c r="Q48" s="58" t="n"/>
      <c r="R48" s="63">
        <f>IF(NOT((COUNTA($B48:$D48)+COUNTA($G48:$L48)+COUNTA($Q48))&gt;0),"",IF((IF($C48="","Falta el nombre de la actividad"&amp;" · ","")&amp;IF(AND($V48="Sub",N($U48)=0),"Subactividad sin macroactividad arriba"&amp;" · ","")&amp;IF($AM48="","Sin fecha de inicio"&amp;" · ","")&amp;IF($AN48="","Sin fecha límite"&amp;" · ","")&amp;IF(AND(LEFT($C48,11)="[Jefatura] ",N($AL48)=0),"No se encuentra en la hoja de la jefatura (elíjala de nuevo en la lista)"&amp;" · ","")&amp;IF(OR(AND($E48&lt;&gt;"",NOT(ISNUMBER($E48))),AND($F48&lt;&gt;"",NOT(ISNUMBER($F48))),AND($G48&lt;&gt;"",NOT(ISNUMBER($G48)))),"Fecha no válida"&amp;" · ","")&amp;IF(AND(ISNUMBER($AM48),ISNUMBER($AN48),$AM48&gt;$AN48),"Inicio posterior a fecha límite"&amp;" · ","")&amp;IF(AND($V48="Macro",$H48&lt;&gt;"",OR(NOT(ISNUMBER($H48)),$H48&lt;0,$H48&gt;1)),"Peso fuera de rango"&amp;" · ","")&amp;IF(AND($V48="Sub",$H48&lt;&gt;""),"Las subactividades no llevan peso (valen igual dentro de su macroactividad)"&amp;" · ","")&amp;IF(AND(N($W48)&gt;0,COUNT($I48:$L48)&gt;0),"Con subactividades: deje vacías las semanas (se calculan solas)"&amp;" · ","")&amp;IF((COUNTIF($I48:$L48,"&gt;1")+COUNTIF($I48:$L48,"&lt;0")+COUNTA($I48:$L48)-COUNT($I48:$L48))&gt;0,"Avance fuera de rango 0-100%"&amp;" · ","")&amp;IF(OR(AND($J48&lt;&gt;"",$J48&lt;$I48),AND($K48&lt;&gt;"",$K48&lt;MAX($I48:$J48)),AND($L48&lt;&gt;"",$L48&lt;MAX($I48:$K48))),"Avance semanal decreciente"&amp;" · ","")&amp;IF(AND(ISNUMBER($AN48),$AN48&lt;FechaRef,IF($V48="Sub",N($X48),N($M48))&lt;1),"Vencida"&amp;" · ","")&amp;IF(AND(ObsObligatoria="Sí",ISNUMBER($AN48),$AN48&lt;FechaRef,IF($V48="Sub",N($X48),N($M48))&lt;1,$Q48=""),"Vencida sin observación"&amp;" · ",""))="","✔ OK","⚠ "&amp;LEFT(IF($C48="","Falta el nombre de la actividad"&amp;" · ","")&amp;IF(AND($V48="Sub",N($U48)=0),"Subactividad sin macroactividad arriba"&amp;" · ","")&amp;IF($AM48="","Sin fecha de inicio"&amp;" · ","")&amp;IF($AN48="","Sin fecha límite"&amp;" · ","")&amp;IF(AND(LEFT($C48,11)="[Jefatura] ",N($AL48)=0),"No se encuentra en la hoja de la jefatura (elíjala de nuevo en la lista)"&amp;" · ","")&amp;IF(OR(AND($E48&lt;&gt;"",NOT(ISNUMBER($E48))),AND($F48&lt;&gt;"",NOT(ISNUMBER($F48))),AND($G48&lt;&gt;"",NOT(ISNUMBER($G48)))),"Fecha no válida"&amp;" · ","")&amp;IF(AND(ISNUMBER($AM48),ISNUMBER($AN48),$AM48&gt;$AN48),"Inicio posterior a fecha límite"&amp;" · ","")&amp;IF(AND($V48="Macro",$H48&lt;&gt;"",OR(NOT(ISNUMBER($H48)),$H48&lt;0,$H48&gt;1)),"Peso fuera de rango"&amp;" · ","")&amp;IF(AND($V48="Sub",$H48&lt;&gt;""),"Las subactividades no llevan peso (valen igual dentro de su macroactividad)"&amp;" · ","")&amp;IF(AND(N($W48)&gt;0,COUNT($I48:$L48)&gt;0),"Con subactividades: deje vacías las semanas (se calculan solas)"&amp;" · ","")&amp;IF((COUNTIF($I48:$L48,"&gt;1")+COUNTIF($I48:$L48,"&lt;0")+COUNTA($I48:$L48)-COUNT($I48:$L48))&gt;0,"Avance fuera de rango 0-100%"&amp;" · ","")&amp;IF(OR(AND($J48&lt;&gt;"",$J48&lt;$I48),AND($K48&lt;&gt;"",$K48&lt;MAX($I48:$J48)),AND($L48&lt;&gt;"",$L48&lt;MAX($I48:$K48))),"Avance semanal decreciente"&amp;" · ","")&amp;IF(AND(ISNUMBER($AN48),$AN48&lt;FechaRef,IF($V48="Sub",N($X48),N($M48))&lt;1),"Vencida"&amp;" · ","")&amp;IF(AND(ObsObligatoria="Sí",ISNUMBER($AN48),$AN48&lt;FechaRef,IF($V48="Sub",N($X48),N($M48))&lt;1,$Q48=""),"Vencida sin observación"&amp;" · ",""),LEN(IF($C48="","Falta el nombre de la actividad"&amp;" · ","")&amp;IF(AND($V48="Sub",N($U48)=0),"Subactividad sin macroactividad arriba"&amp;" · ","")&amp;IF($AM48="","Sin fecha de inicio"&amp;" · ","")&amp;IF($AN48="","Sin fecha límite"&amp;" · ","")&amp;IF(AND(LEFT($C48,11)="[Jefatura] ",N($AL48)=0),"No se encuentra en la hoja de la jefatura (elíjala de nuevo en la lista)"&amp;" · ","")&amp;IF(OR(AND($E48&lt;&gt;"",NOT(ISNUMBER($E48))),AND($F48&lt;&gt;"",NOT(ISNUMBER($F48))),AND($G48&lt;&gt;"",NOT(ISNUMBER($G48)))),"Fecha no válida"&amp;" · ","")&amp;IF(AND(ISNUMBER($AM48),ISNUMBER($AN48),$AM48&gt;$AN48),"Inicio posterior a fecha límite"&amp;" · ","")&amp;IF(AND($V48="Macro",$H48&lt;&gt;"",OR(NOT(ISNUMBER($H48)),$H48&lt;0,$H48&gt;1)),"Peso fuera de rango"&amp;" · ","")&amp;IF(AND($V48="Sub",$H48&lt;&gt;""),"Las subactividades no llevan peso (valen igual dentro de su macroactividad)"&amp;" · ","")&amp;IF(AND(N($W48)&gt;0,COUNT($I48:$L48)&gt;0),"Con subactividades: deje vacías las semanas (se calculan solas)"&amp;" · ","")&amp;IF((COUNTIF($I48:$L48,"&gt;1")+COUNTIF($I48:$L48,"&lt;0")+COUNTA($I48:$L48)-COUNT($I48:$L48))&gt;0,"Avance fuera de rango 0-100%"&amp;" · ","")&amp;IF(OR(AND($J48&lt;&gt;"",$J48&lt;$I48),AND($K48&lt;&gt;"",$K48&lt;MAX($I48:$J48)),AND($L48&lt;&gt;"",$L48&lt;MAX($I48:$K48))),"Avance semanal decreciente"&amp;" · ","")&amp;IF(AND(ISNUMBER($AN48),$AN48&lt;FechaRef,IF($V48="Sub",N($X48),N($M48))&lt;1),"Vencida"&amp;" · ","")&amp;IF(AND(ObsObligatoria="Sí",ISNUMBER($AN48),$AN48&lt;FechaRef,IF($V48="Sub",N($X48),N($M48))&lt;1,$Q48=""),"Vencida sin observación"&amp;" · ",""))-3)))</f>
        <v/>
      </c>
      <c r="S48" s="64">
        <f>IF(NOT((COUNTA($B48:$D48)+COUNTA($G48:$L48)+COUNTA($Q48))&gt;0),"",IF(AND($V48="Sub",N($U48)&gt;0),IF(ISNUMBER(INDEX($AM$5:$AM$1000,$U48-4)),DATE(YEAR(INDEX($AM$5:$AM$1000,$U48-4)),MONTH(INDEX($AM$5:$AM$1000,$U48-4)),1),IF(ISNUMBER(INDEX($AN$5:$AN$1000,$U48-4)),DATE(YEAR(INDEX($AN$5:$AN$1000,$U48-4)),MONTH(INDEX($AN$5:$AN$1000,$U48-4)),1),MesCiclo)),IF(ISNUMBER($AM48),DATE(YEAR($AM48),MONTH($AM48),1),IF(ISNUMBER($AN48),DATE(YEAR($AN48),MONTH($AN48),1),MesCiclo))))</f>
        <v/>
      </c>
      <c r="T48" s="62">
        <f>IF(OR($S48="",$S48&lt;&gt;MesCiclo,$V48&lt;&gt;"Macro"),"",COUNTIFS($S$5:$S48,MesCiclo,$V$5:$V48,"Macro"))</f>
        <v/>
      </c>
      <c r="U48" s="62">
        <f>IF($V48="","",IF($V48="Macro",ROW(),IFERROR(LOOKUP(2,1/($V$5:$V48="Macro"),ROW($V$5:$V48)),0)))</f>
        <v/>
      </c>
      <c r="V48" s="62">
        <f>IF(NOT((COUNTA($B48:$D48)+COUNTA($G48:$L48)+COUNTA($Q48))&gt;0),"",IF($B48="Subactividad","Sub","Macro"))</f>
        <v/>
      </c>
      <c r="W48" s="62">
        <f>IF($V48="Macro",COUNTIFS($U$5:$U$1000,ROW(),$V$5:$V$1000,"Sub"),"")</f>
        <v/>
      </c>
      <c r="X48" s="62">
        <f>IF($V48="","",IF(ISNUMBER($G48),1,IFERROR(LOOKUP(2,1/($I48:$L48&lt;&gt;""),$I48:$L48),0)))</f>
        <v/>
      </c>
      <c r="Y48" s="62">
        <f>IF($V48="","",IF(AND(ISNUMBER($G48),$G48&lt;=IF($S48=MesCiclo,InicioCiclo,$S48+MOD(2-WEEKDAY($S48),7))+6),1,IF(ISNUMBER($I48),$I48,0)))</f>
        <v/>
      </c>
      <c r="Z48" s="62">
        <f>IF($V48="","",IF(AND(ISNUMBER($G48),$G48&lt;=IF($S48=MesCiclo,InicioCiclo,$S48+MOD(2-WEEKDAY($S48),7))+13),1,IF(ISNUMBER($J48),$J48,$Y48)))</f>
        <v/>
      </c>
      <c r="AA48" s="62">
        <f>IF($V48="","",IF(AND(ISNUMBER($G48),$G48&lt;=IF($S48=MesCiclo,InicioCiclo,$S48+MOD(2-WEEKDAY($S48),7))+20),1,IF(ISNUMBER($K48),$K48,$Z48)))</f>
        <v/>
      </c>
      <c r="AB48" s="62">
        <f>IF($V48="","",IF(AND(ISNUMBER($G48),$G48&lt;=IF($S48=MesCiclo,InicioCiclo,$S48+MOD(2-WEEKDAY($S48),7))+27),1,IF(ISNUMBER($L48),$L48,$AA48)))</f>
        <v/>
      </c>
      <c r="AC48" s="62">
        <f>IF($V48="","",IF(AND(ISNUMBER($G48),$G48&lt;=IF($S48=MesCiclo,InicioCiclo,$S48+MOD(2-WEEKDAY($S48),7))+6),1,IF(N($W48)&gt;0,AVERAGEIFS($Y$5:$Y$1000,$U$5:$U$1000,ROW(),$V$5:$V$1000,"Sub"),$Y48)))</f>
        <v/>
      </c>
      <c r="AD48" s="62">
        <f>IF($V48="","",IF(AND(ISNUMBER($G48),$G48&lt;=IF($S48=MesCiclo,InicioCiclo,$S48+MOD(2-WEEKDAY($S48),7))+13),1,IF(N($W48)&gt;0,AVERAGEIFS($Z$5:$Z$1000,$U$5:$U$1000,ROW(),$V$5:$V$1000,"Sub"),$Z48)))</f>
        <v/>
      </c>
      <c r="AE48" s="62">
        <f>IF($V48="","",IF(AND(ISNUMBER($G48),$G48&lt;=IF($S48=MesCiclo,InicioCiclo,$S48+MOD(2-WEEKDAY($S48),7))+20),1,IF(N($W48)&gt;0,AVERAGEIFS($AA$5:$AA$1000,$U$5:$U$1000,ROW(),$V$5:$V$1000,"Sub"),$AA48)))</f>
        <v/>
      </c>
      <c r="AF48" s="62">
        <f>IF($V48="","",IF(AND(ISNUMBER($G48),$G48&lt;=IF($S48=MesCiclo,InicioCiclo,$S48+MOD(2-WEEKDAY($S48),7))+27),1,IF(N($W48)&gt;0,AVERAGEIFS($AB$5:$AB$1000,$U$5:$U$1000,ROW(),$V$5:$V$1000,"Sub"),$AB48)))</f>
        <v/>
      </c>
      <c r="AG48" s="62">
        <f>IF($V48&lt;&gt;"Macro","",IF(COUNTIFS($S$5:$S$1000,$S48,$V$5:$V$1000,"Macro",$H$5:$H$1000,"&gt;0")=0,1/COUNTIFS($S$5:$S$1000,$S48,$V$5:$V$1000,"Macro"),IF(AND(ISNUMBER($H48),N($H48)&gt;0),$H48,SUMIFS($H$5:$H$1000,$S$5:$S$1000,$S48,$V$5:$V$1000,"Macro")/COUNTIFS($S$5:$S$1000,$S48,$V$5:$V$1000,"Macro",$H$5:$H$1000,"&gt;0"))/(COUNTIFS($S$5:$S$1000,$S48,$V$5:$V$1000,"Macro")*SUMIFS($H$5:$H$1000,$S$5:$S$1000,$S48,$V$5:$V$1000,"Macro")/COUNTIFS($S$5:$S$1000,$S48,$V$5:$V$1000,"Macro",$H$5:$H$1000,"&gt;0"))))</f>
        <v/>
      </c>
      <c r="AH48" s="62" t="n"/>
      <c r="AI48" s="62" t="n"/>
      <c r="AJ48" s="62" t="n"/>
      <c r="AK48" s="62" t="n"/>
      <c r="AL48" s="62">
        <f>IF(LEFT($C48,11)="[Jefatura] ",IFERROR(MATCH("Riesgo Operacional|"&amp;MID($C48,12,500),rDname_ADM,0),0),"")</f>
        <v/>
      </c>
      <c r="AM48" s="62">
        <f>IF(N($AL48)&gt;0,INDEX(rIni_ADM,$AL48),IF(ISNUMBER($E48),$E48,""))</f>
        <v/>
      </c>
      <c r="AN48" s="62">
        <f>IF(N($AL48)&gt;0,INDEX(rLim_ADM,$AL48),IF(ISNUMBER($F48),$F48,""))</f>
        <v/>
      </c>
    </row>
    <row r="49">
      <c r="A49" s="56">
        <f>IF(NOT((COUNTA($B49:$D49)+COUNTA($G49:$L49)+COUNTA($Q49))&gt;0),"",IF($V49="Macro",COUNTIFS($V$5:$V49,"Macro",$S$5:$S49,$S49),IF(N($U49)=0,"?",COUNTIFS(INDEX($V$5:$V$1000,1):INDEX($V$5:$V$1000,$U49-4),"Macro",INDEX($S$5:$S$1000,1):INDEX($S$5:$S$1000,$U49-4),INDEX($S$5:$S$1000,$U49-4))&amp;"."&amp;COUNTIFS($U$5:$U49,$U49,$V$5:$V49,"Sub"))))</f>
        <v/>
      </c>
      <c r="B49" s="57" t="n"/>
      <c r="C49" s="58" t="n"/>
      <c r="D49" s="58" t="n"/>
      <c r="E49" s="59">
        <f>IF(N($AL49)&gt;0,INDEX(rIni_ADM,$AL49),"")</f>
        <v/>
      </c>
      <c r="F49" s="59">
        <f>IF(N($AL49)&gt;0,INDEX(rLim_ADM,$AL49),"")</f>
        <v/>
      </c>
      <c r="G49" s="59" t="n"/>
      <c r="H49" s="60" t="n"/>
      <c r="I49" s="60" t="n"/>
      <c r="J49" s="60" t="n"/>
      <c r="K49" s="60" t="n"/>
      <c r="L49" s="60" t="n"/>
      <c r="M49" s="61">
        <f>IF(NOT((COUNTA($B49:$D49)+COUNTA($G49:$L49)+COUNTA($Q49))&gt;0),"",IF($V49="Sub",IFERROR($X49/INDEX($W$5:$W$1000,$U49-4),""),IF(ISNUMBER($G49),1,IF(N($W49)&gt;0,AVERAGEIFS($X$5:$X$1000,$U$5:$U$1000,ROW(),$V$5:$V$1000,"Sub"),$X49))))</f>
        <v/>
      </c>
      <c r="N49" s="56">
        <f>IF(OR($M49="",$V49="Sub"),"",IF($M49&gt;=1,"Completado",IF($M49&gt;0,"En curso","Pendiente")))</f>
        <v/>
      </c>
      <c r="O49" s="56">
        <f>IF(OR(NOT((COUNTA($B49:$D49)+COUNTA($G49:$L49)+COUNTA($Q49))&gt;0),$V49="Sub"),"",IF(ISNUMBER($G49),IF(AND(ISNUMBER($AN49),$G49&gt;$AN49),"Cumplida con "&amp;($G49-$AN49)&amp;IF($G49-$AN49=1," día"," días")&amp;" de retraso","Cumplida"),IF(N($M49)&gt;=1,"Cumplida",IF(NOT(ISNUMBER($AN49)),"Sin fecha límite",IF($AN49&lt;FechaRef,"Vencida hace "&amp;(FechaRef-$AN49)&amp;IF(FechaRef-$AN49=1," día"," días"),IF($AN49=FechaRef,"Vence hoy",IF($AN49-FechaRef&lt;=DiasAlerta,"Vence en "&amp;($AN49-FechaRef)&amp;IF($AN49-FechaRef=1," día"," días"),"En plazo")))))))</f>
        <v/>
      </c>
      <c r="P49" s="62" t="n"/>
      <c r="Q49" s="58" t="n"/>
      <c r="R49" s="63">
        <f>IF(NOT((COUNTA($B49:$D49)+COUNTA($G49:$L49)+COUNTA($Q49))&gt;0),"",IF((IF($C49="","Falta el nombre de la actividad"&amp;" · ","")&amp;IF(AND($V49="Sub",N($U49)=0),"Subactividad sin macroactividad arriba"&amp;" · ","")&amp;IF($AM49="","Sin fecha de inicio"&amp;" · ","")&amp;IF($AN49="","Sin fecha límite"&amp;" · ","")&amp;IF(AND(LEFT($C49,11)="[Jefatura] ",N($AL49)=0),"No se encuentra en la hoja de la jefatura (elíjala de nuevo en la lista)"&amp;" · ","")&amp;IF(OR(AND($E49&lt;&gt;"",NOT(ISNUMBER($E49))),AND($F49&lt;&gt;"",NOT(ISNUMBER($F49))),AND($G49&lt;&gt;"",NOT(ISNUMBER($G49)))),"Fecha no válida"&amp;" · ","")&amp;IF(AND(ISNUMBER($AM49),ISNUMBER($AN49),$AM49&gt;$AN49),"Inicio posterior a fecha límite"&amp;" · ","")&amp;IF(AND($V49="Macro",$H49&lt;&gt;"",OR(NOT(ISNUMBER($H49)),$H49&lt;0,$H49&gt;1)),"Peso fuera de rango"&amp;" · ","")&amp;IF(AND($V49="Sub",$H49&lt;&gt;""),"Las subactividades no llevan peso (valen igual dentro de su macroactividad)"&amp;" · ","")&amp;IF(AND(N($W49)&gt;0,COUNT($I49:$L49)&gt;0),"Con subactividades: deje vacías las semanas (se calculan solas)"&amp;" · ","")&amp;IF((COUNTIF($I49:$L49,"&gt;1")+COUNTIF($I49:$L49,"&lt;0")+COUNTA($I49:$L49)-COUNT($I49:$L49))&gt;0,"Avance fuera de rango 0-100%"&amp;" · ","")&amp;IF(OR(AND($J49&lt;&gt;"",$J49&lt;$I49),AND($K49&lt;&gt;"",$K49&lt;MAX($I49:$J49)),AND($L49&lt;&gt;"",$L49&lt;MAX($I49:$K49))),"Avance semanal decreciente"&amp;" · ","")&amp;IF(AND(ISNUMBER($AN49),$AN49&lt;FechaRef,IF($V49="Sub",N($X49),N($M49))&lt;1),"Vencida"&amp;" · ","")&amp;IF(AND(ObsObligatoria="Sí",ISNUMBER($AN49),$AN49&lt;FechaRef,IF($V49="Sub",N($X49),N($M49))&lt;1,$Q49=""),"Vencida sin observación"&amp;" · ",""))="","✔ OK","⚠ "&amp;LEFT(IF($C49="","Falta el nombre de la actividad"&amp;" · ","")&amp;IF(AND($V49="Sub",N($U49)=0),"Subactividad sin macroactividad arriba"&amp;" · ","")&amp;IF($AM49="","Sin fecha de inicio"&amp;" · ","")&amp;IF($AN49="","Sin fecha límite"&amp;" · ","")&amp;IF(AND(LEFT($C49,11)="[Jefatura] ",N($AL49)=0),"No se encuentra en la hoja de la jefatura (elíjala de nuevo en la lista)"&amp;" · ","")&amp;IF(OR(AND($E49&lt;&gt;"",NOT(ISNUMBER($E49))),AND($F49&lt;&gt;"",NOT(ISNUMBER($F49))),AND($G49&lt;&gt;"",NOT(ISNUMBER($G49)))),"Fecha no válida"&amp;" · ","")&amp;IF(AND(ISNUMBER($AM49),ISNUMBER($AN49),$AM49&gt;$AN49),"Inicio posterior a fecha límite"&amp;" · ","")&amp;IF(AND($V49="Macro",$H49&lt;&gt;"",OR(NOT(ISNUMBER($H49)),$H49&lt;0,$H49&gt;1)),"Peso fuera de rango"&amp;" · ","")&amp;IF(AND($V49="Sub",$H49&lt;&gt;""),"Las subactividades no llevan peso (valen igual dentro de su macroactividad)"&amp;" · ","")&amp;IF(AND(N($W49)&gt;0,COUNT($I49:$L49)&gt;0),"Con subactividades: deje vacías las semanas (se calculan solas)"&amp;" · ","")&amp;IF((COUNTIF($I49:$L49,"&gt;1")+COUNTIF($I49:$L49,"&lt;0")+COUNTA($I49:$L49)-COUNT($I49:$L49))&gt;0,"Avance fuera de rango 0-100%"&amp;" · ","")&amp;IF(OR(AND($J49&lt;&gt;"",$J49&lt;$I49),AND($K49&lt;&gt;"",$K49&lt;MAX($I49:$J49)),AND($L49&lt;&gt;"",$L49&lt;MAX($I49:$K49))),"Avance semanal decreciente"&amp;" · ","")&amp;IF(AND(ISNUMBER($AN49),$AN49&lt;FechaRef,IF($V49="Sub",N($X49),N($M49))&lt;1),"Vencida"&amp;" · ","")&amp;IF(AND(ObsObligatoria="Sí",ISNUMBER($AN49),$AN49&lt;FechaRef,IF($V49="Sub",N($X49),N($M49))&lt;1,$Q49=""),"Vencida sin observación"&amp;" · ",""),LEN(IF($C49="","Falta el nombre de la actividad"&amp;" · ","")&amp;IF(AND($V49="Sub",N($U49)=0),"Subactividad sin macroactividad arriba"&amp;" · ","")&amp;IF($AM49="","Sin fecha de inicio"&amp;" · ","")&amp;IF($AN49="","Sin fecha límite"&amp;" · ","")&amp;IF(AND(LEFT($C49,11)="[Jefatura] ",N($AL49)=0),"No se encuentra en la hoja de la jefatura (elíjala de nuevo en la lista)"&amp;" · ","")&amp;IF(OR(AND($E49&lt;&gt;"",NOT(ISNUMBER($E49))),AND($F49&lt;&gt;"",NOT(ISNUMBER($F49))),AND($G49&lt;&gt;"",NOT(ISNUMBER($G49)))),"Fecha no válida"&amp;" · ","")&amp;IF(AND(ISNUMBER($AM49),ISNUMBER($AN49),$AM49&gt;$AN49),"Inicio posterior a fecha límite"&amp;" · ","")&amp;IF(AND($V49="Macro",$H49&lt;&gt;"",OR(NOT(ISNUMBER($H49)),$H49&lt;0,$H49&gt;1)),"Peso fuera de rango"&amp;" · ","")&amp;IF(AND($V49="Sub",$H49&lt;&gt;""),"Las subactividades no llevan peso (valen igual dentro de su macroactividad)"&amp;" · ","")&amp;IF(AND(N($W49)&gt;0,COUNT($I49:$L49)&gt;0),"Con subactividades: deje vacías las semanas (se calculan solas)"&amp;" · ","")&amp;IF((COUNTIF($I49:$L49,"&gt;1")+COUNTIF($I49:$L49,"&lt;0")+COUNTA($I49:$L49)-COUNT($I49:$L49))&gt;0,"Avance fuera de rango 0-100%"&amp;" · ","")&amp;IF(OR(AND($J49&lt;&gt;"",$J49&lt;$I49),AND($K49&lt;&gt;"",$K49&lt;MAX($I49:$J49)),AND($L49&lt;&gt;"",$L49&lt;MAX($I49:$K49))),"Avance semanal decreciente"&amp;" · ","")&amp;IF(AND(ISNUMBER($AN49),$AN49&lt;FechaRef,IF($V49="Sub",N($X49),N($M49))&lt;1),"Vencida"&amp;" · ","")&amp;IF(AND(ObsObligatoria="Sí",ISNUMBER($AN49),$AN49&lt;FechaRef,IF($V49="Sub",N($X49),N($M49))&lt;1,$Q49=""),"Vencida sin observación"&amp;" · ",""))-3)))</f>
        <v/>
      </c>
      <c r="S49" s="64">
        <f>IF(NOT((COUNTA($B49:$D49)+COUNTA($G49:$L49)+COUNTA($Q49))&gt;0),"",IF(AND($V49="Sub",N($U49)&gt;0),IF(ISNUMBER(INDEX($AM$5:$AM$1000,$U49-4)),DATE(YEAR(INDEX($AM$5:$AM$1000,$U49-4)),MONTH(INDEX($AM$5:$AM$1000,$U49-4)),1),IF(ISNUMBER(INDEX($AN$5:$AN$1000,$U49-4)),DATE(YEAR(INDEX($AN$5:$AN$1000,$U49-4)),MONTH(INDEX($AN$5:$AN$1000,$U49-4)),1),MesCiclo)),IF(ISNUMBER($AM49),DATE(YEAR($AM49),MONTH($AM49),1),IF(ISNUMBER($AN49),DATE(YEAR($AN49),MONTH($AN49),1),MesCiclo))))</f>
        <v/>
      </c>
      <c r="T49" s="62">
        <f>IF(OR($S49="",$S49&lt;&gt;MesCiclo,$V49&lt;&gt;"Macro"),"",COUNTIFS($S$5:$S49,MesCiclo,$V$5:$V49,"Macro"))</f>
        <v/>
      </c>
      <c r="U49" s="62">
        <f>IF($V49="","",IF($V49="Macro",ROW(),IFERROR(LOOKUP(2,1/($V$5:$V49="Macro"),ROW($V$5:$V49)),0)))</f>
        <v/>
      </c>
      <c r="V49" s="62">
        <f>IF(NOT((COUNTA($B49:$D49)+COUNTA($G49:$L49)+COUNTA($Q49))&gt;0),"",IF($B49="Subactividad","Sub","Macro"))</f>
        <v/>
      </c>
      <c r="W49" s="62">
        <f>IF($V49="Macro",COUNTIFS($U$5:$U$1000,ROW(),$V$5:$V$1000,"Sub"),"")</f>
        <v/>
      </c>
      <c r="X49" s="62">
        <f>IF($V49="","",IF(ISNUMBER($G49),1,IFERROR(LOOKUP(2,1/($I49:$L49&lt;&gt;""),$I49:$L49),0)))</f>
        <v/>
      </c>
      <c r="Y49" s="62">
        <f>IF($V49="","",IF(AND(ISNUMBER($G49),$G49&lt;=IF($S49=MesCiclo,InicioCiclo,$S49+MOD(2-WEEKDAY($S49),7))+6),1,IF(ISNUMBER($I49),$I49,0)))</f>
        <v/>
      </c>
      <c r="Z49" s="62">
        <f>IF($V49="","",IF(AND(ISNUMBER($G49),$G49&lt;=IF($S49=MesCiclo,InicioCiclo,$S49+MOD(2-WEEKDAY($S49),7))+13),1,IF(ISNUMBER($J49),$J49,$Y49)))</f>
        <v/>
      </c>
      <c r="AA49" s="62">
        <f>IF($V49="","",IF(AND(ISNUMBER($G49),$G49&lt;=IF($S49=MesCiclo,InicioCiclo,$S49+MOD(2-WEEKDAY($S49),7))+20),1,IF(ISNUMBER($K49),$K49,$Z49)))</f>
        <v/>
      </c>
      <c r="AB49" s="62">
        <f>IF($V49="","",IF(AND(ISNUMBER($G49),$G49&lt;=IF($S49=MesCiclo,InicioCiclo,$S49+MOD(2-WEEKDAY($S49),7))+27),1,IF(ISNUMBER($L49),$L49,$AA49)))</f>
        <v/>
      </c>
      <c r="AC49" s="62">
        <f>IF($V49="","",IF(AND(ISNUMBER($G49),$G49&lt;=IF($S49=MesCiclo,InicioCiclo,$S49+MOD(2-WEEKDAY($S49),7))+6),1,IF(N($W49)&gt;0,AVERAGEIFS($Y$5:$Y$1000,$U$5:$U$1000,ROW(),$V$5:$V$1000,"Sub"),$Y49)))</f>
        <v/>
      </c>
      <c r="AD49" s="62">
        <f>IF($V49="","",IF(AND(ISNUMBER($G49),$G49&lt;=IF($S49=MesCiclo,InicioCiclo,$S49+MOD(2-WEEKDAY($S49),7))+13),1,IF(N($W49)&gt;0,AVERAGEIFS($Z$5:$Z$1000,$U$5:$U$1000,ROW(),$V$5:$V$1000,"Sub"),$Z49)))</f>
        <v/>
      </c>
      <c r="AE49" s="62">
        <f>IF($V49="","",IF(AND(ISNUMBER($G49),$G49&lt;=IF($S49=MesCiclo,InicioCiclo,$S49+MOD(2-WEEKDAY($S49),7))+20),1,IF(N($W49)&gt;0,AVERAGEIFS($AA$5:$AA$1000,$U$5:$U$1000,ROW(),$V$5:$V$1000,"Sub"),$AA49)))</f>
        <v/>
      </c>
      <c r="AF49" s="62">
        <f>IF($V49="","",IF(AND(ISNUMBER($G49),$G49&lt;=IF($S49=MesCiclo,InicioCiclo,$S49+MOD(2-WEEKDAY($S49),7))+27),1,IF(N($W49)&gt;0,AVERAGEIFS($AB$5:$AB$1000,$U$5:$U$1000,ROW(),$V$5:$V$1000,"Sub"),$AB49)))</f>
        <v/>
      </c>
      <c r="AG49" s="62">
        <f>IF($V49&lt;&gt;"Macro","",IF(COUNTIFS($S$5:$S$1000,$S49,$V$5:$V$1000,"Macro",$H$5:$H$1000,"&gt;0")=0,1/COUNTIFS($S$5:$S$1000,$S49,$V$5:$V$1000,"Macro"),IF(AND(ISNUMBER($H49),N($H49)&gt;0),$H49,SUMIFS($H$5:$H$1000,$S$5:$S$1000,$S49,$V$5:$V$1000,"Macro")/COUNTIFS($S$5:$S$1000,$S49,$V$5:$V$1000,"Macro",$H$5:$H$1000,"&gt;0"))/(COUNTIFS($S$5:$S$1000,$S49,$V$5:$V$1000,"Macro")*SUMIFS($H$5:$H$1000,$S$5:$S$1000,$S49,$V$5:$V$1000,"Macro")/COUNTIFS($S$5:$S$1000,$S49,$V$5:$V$1000,"Macro",$H$5:$H$1000,"&gt;0"))))</f>
        <v/>
      </c>
      <c r="AH49" s="62" t="n"/>
      <c r="AI49" s="62" t="n"/>
      <c r="AJ49" s="62" t="n"/>
      <c r="AK49" s="62" t="n"/>
      <c r="AL49" s="62">
        <f>IF(LEFT($C49,11)="[Jefatura] ",IFERROR(MATCH("Riesgo Operacional|"&amp;MID($C49,12,500),rDname_ADM,0),0),"")</f>
        <v/>
      </c>
      <c r="AM49" s="62">
        <f>IF(N($AL49)&gt;0,INDEX(rIni_ADM,$AL49),IF(ISNUMBER($E49),$E49,""))</f>
        <v/>
      </c>
      <c r="AN49" s="62">
        <f>IF(N($AL49)&gt;0,INDEX(rLim_ADM,$AL49),IF(ISNUMBER($F49),$F49,""))</f>
        <v/>
      </c>
    </row>
    <row r="50">
      <c r="A50" s="56">
        <f>IF(NOT((COUNTA($B50:$D50)+COUNTA($G50:$L50)+COUNTA($Q50))&gt;0),"",IF($V50="Macro",COUNTIFS($V$5:$V50,"Macro",$S$5:$S50,$S50),IF(N($U50)=0,"?",COUNTIFS(INDEX($V$5:$V$1000,1):INDEX($V$5:$V$1000,$U50-4),"Macro",INDEX($S$5:$S$1000,1):INDEX($S$5:$S$1000,$U50-4),INDEX($S$5:$S$1000,$U50-4))&amp;"."&amp;COUNTIFS($U$5:$U50,$U50,$V$5:$V50,"Sub"))))</f>
        <v/>
      </c>
      <c r="B50" s="57" t="n"/>
      <c r="C50" s="58" t="n"/>
      <c r="D50" s="58" t="n"/>
      <c r="E50" s="59">
        <f>IF(N($AL50)&gt;0,INDEX(rIni_ADM,$AL50),"")</f>
        <v/>
      </c>
      <c r="F50" s="59">
        <f>IF(N($AL50)&gt;0,INDEX(rLim_ADM,$AL50),"")</f>
        <v/>
      </c>
      <c r="G50" s="59" t="n"/>
      <c r="H50" s="60" t="n"/>
      <c r="I50" s="60" t="n"/>
      <c r="J50" s="60" t="n"/>
      <c r="K50" s="60" t="n"/>
      <c r="L50" s="60" t="n"/>
      <c r="M50" s="61">
        <f>IF(NOT((COUNTA($B50:$D50)+COUNTA($G50:$L50)+COUNTA($Q50))&gt;0),"",IF($V50="Sub",IFERROR($X50/INDEX($W$5:$W$1000,$U50-4),""),IF(ISNUMBER($G50),1,IF(N($W50)&gt;0,AVERAGEIFS($X$5:$X$1000,$U$5:$U$1000,ROW(),$V$5:$V$1000,"Sub"),$X50))))</f>
        <v/>
      </c>
      <c r="N50" s="56">
        <f>IF(OR($M50="",$V50="Sub"),"",IF($M50&gt;=1,"Completado",IF($M50&gt;0,"En curso","Pendiente")))</f>
        <v/>
      </c>
      <c r="O50" s="56">
        <f>IF(OR(NOT((COUNTA($B50:$D50)+COUNTA($G50:$L50)+COUNTA($Q50))&gt;0),$V50="Sub"),"",IF(ISNUMBER($G50),IF(AND(ISNUMBER($AN50),$G50&gt;$AN50),"Cumplida con "&amp;($G50-$AN50)&amp;IF($G50-$AN50=1," día"," días")&amp;" de retraso","Cumplida"),IF(N($M50)&gt;=1,"Cumplida",IF(NOT(ISNUMBER($AN50)),"Sin fecha límite",IF($AN50&lt;FechaRef,"Vencida hace "&amp;(FechaRef-$AN50)&amp;IF(FechaRef-$AN50=1," día"," días"),IF($AN50=FechaRef,"Vence hoy",IF($AN50-FechaRef&lt;=DiasAlerta,"Vence en "&amp;($AN50-FechaRef)&amp;IF($AN50-FechaRef=1," día"," días"),"En plazo")))))))</f>
        <v/>
      </c>
      <c r="P50" s="62" t="n"/>
      <c r="Q50" s="58" t="n"/>
      <c r="R50" s="63">
        <f>IF(NOT((COUNTA($B50:$D50)+COUNTA($G50:$L50)+COUNTA($Q50))&gt;0),"",IF((IF($C50="","Falta el nombre de la actividad"&amp;" · ","")&amp;IF(AND($V50="Sub",N($U50)=0),"Subactividad sin macroactividad arriba"&amp;" · ","")&amp;IF($AM50="","Sin fecha de inicio"&amp;" · ","")&amp;IF($AN50="","Sin fecha límite"&amp;" · ","")&amp;IF(AND(LEFT($C50,11)="[Jefatura] ",N($AL50)=0),"No se encuentra en la hoja de la jefatura (elíjala de nuevo en la lista)"&amp;" · ","")&amp;IF(OR(AND($E50&lt;&gt;"",NOT(ISNUMBER($E50))),AND($F50&lt;&gt;"",NOT(ISNUMBER($F50))),AND($G50&lt;&gt;"",NOT(ISNUMBER($G50)))),"Fecha no válida"&amp;" · ","")&amp;IF(AND(ISNUMBER($AM50),ISNUMBER($AN50),$AM50&gt;$AN50),"Inicio posterior a fecha límite"&amp;" · ","")&amp;IF(AND($V50="Macro",$H50&lt;&gt;"",OR(NOT(ISNUMBER($H50)),$H50&lt;0,$H50&gt;1)),"Peso fuera de rango"&amp;" · ","")&amp;IF(AND($V50="Sub",$H50&lt;&gt;""),"Las subactividades no llevan peso (valen igual dentro de su macroactividad)"&amp;" · ","")&amp;IF(AND(N($W50)&gt;0,COUNT($I50:$L50)&gt;0),"Con subactividades: deje vacías las semanas (se calculan solas)"&amp;" · ","")&amp;IF((COUNTIF($I50:$L50,"&gt;1")+COUNTIF($I50:$L50,"&lt;0")+COUNTA($I50:$L50)-COUNT($I50:$L50))&gt;0,"Avance fuera de rango 0-100%"&amp;" · ","")&amp;IF(OR(AND($J50&lt;&gt;"",$J50&lt;$I50),AND($K50&lt;&gt;"",$K50&lt;MAX($I50:$J50)),AND($L50&lt;&gt;"",$L50&lt;MAX($I50:$K50))),"Avance semanal decreciente"&amp;" · ","")&amp;IF(AND(ISNUMBER($AN50),$AN50&lt;FechaRef,IF($V50="Sub",N($X50),N($M50))&lt;1),"Vencida"&amp;" · ","")&amp;IF(AND(ObsObligatoria="Sí",ISNUMBER($AN50),$AN50&lt;FechaRef,IF($V50="Sub",N($X50),N($M50))&lt;1,$Q50=""),"Vencida sin observación"&amp;" · ",""))="","✔ OK","⚠ "&amp;LEFT(IF($C50="","Falta el nombre de la actividad"&amp;" · ","")&amp;IF(AND($V50="Sub",N($U50)=0),"Subactividad sin macroactividad arriba"&amp;" · ","")&amp;IF($AM50="","Sin fecha de inicio"&amp;" · ","")&amp;IF($AN50="","Sin fecha límite"&amp;" · ","")&amp;IF(AND(LEFT($C50,11)="[Jefatura] ",N($AL50)=0),"No se encuentra en la hoja de la jefatura (elíjala de nuevo en la lista)"&amp;" · ","")&amp;IF(OR(AND($E50&lt;&gt;"",NOT(ISNUMBER($E50))),AND($F50&lt;&gt;"",NOT(ISNUMBER($F50))),AND($G50&lt;&gt;"",NOT(ISNUMBER($G50)))),"Fecha no válida"&amp;" · ","")&amp;IF(AND(ISNUMBER($AM50),ISNUMBER($AN50),$AM50&gt;$AN50),"Inicio posterior a fecha límite"&amp;" · ","")&amp;IF(AND($V50="Macro",$H50&lt;&gt;"",OR(NOT(ISNUMBER($H50)),$H50&lt;0,$H50&gt;1)),"Peso fuera de rango"&amp;" · ","")&amp;IF(AND($V50="Sub",$H50&lt;&gt;""),"Las subactividades no llevan peso (valen igual dentro de su macroactividad)"&amp;" · ","")&amp;IF(AND(N($W50)&gt;0,COUNT($I50:$L50)&gt;0),"Con subactividades: deje vacías las semanas (se calculan solas)"&amp;" · ","")&amp;IF((COUNTIF($I50:$L50,"&gt;1")+COUNTIF($I50:$L50,"&lt;0")+COUNTA($I50:$L50)-COUNT($I50:$L50))&gt;0,"Avance fuera de rango 0-100%"&amp;" · ","")&amp;IF(OR(AND($J50&lt;&gt;"",$J50&lt;$I50),AND($K50&lt;&gt;"",$K50&lt;MAX($I50:$J50)),AND($L50&lt;&gt;"",$L50&lt;MAX($I50:$K50))),"Avance semanal decreciente"&amp;" · ","")&amp;IF(AND(ISNUMBER($AN50),$AN50&lt;FechaRef,IF($V50="Sub",N($X50),N($M50))&lt;1),"Vencida"&amp;" · ","")&amp;IF(AND(ObsObligatoria="Sí",ISNUMBER($AN50),$AN50&lt;FechaRef,IF($V50="Sub",N($X50),N($M50))&lt;1,$Q50=""),"Vencida sin observación"&amp;" · ",""),LEN(IF($C50="","Falta el nombre de la actividad"&amp;" · ","")&amp;IF(AND($V50="Sub",N($U50)=0),"Subactividad sin macroactividad arriba"&amp;" · ","")&amp;IF($AM50="","Sin fecha de inicio"&amp;" · ","")&amp;IF($AN50="","Sin fecha límite"&amp;" · ","")&amp;IF(AND(LEFT($C50,11)="[Jefatura] ",N($AL50)=0),"No se encuentra en la hoja de la jefatura (elíjala de nuevo en la lista)"&amp;" · ","")&amp;IF(OR(AND($E50&lt;&gt;"",NOT(ISNUMBER($E50))),AND($F50&lt;&gt;"",NOT(ISNUMBER($F50))),AND($G50&lt;&gt;"",NOT(ISNUMBER($G50)))),"Fecha no válida"&amp;" · ","")&amp;IF(AND(ISNUMBER($AM50),ISNUMBER($AN50),$AM50&gt;$AN50),"Inicio posterior a fecha límite"&amp;" · ","")&amp;IF(AND($V50="Macro",$H50&lt;&gt;"",OR(NOT(ISNUMBER($H50)),$H50&lt;0,$H50&gt;1)),"Peso fuera de rango"&amp;" · ","")&amp;IF(AND($V50="Sub",$H50&lt;&gt;""),"Las subactividades no llevan peso (valen igual dentro de su macroactividad)"&amp;" · ","")&amp;IF(AND(N($W50)&gt;0,COUNT($I50:$L50)&gt;0),"Con subactividades: deje vacías las semanas (se calculan solas)"&amp;" · ","")&amp;IF((COUNTIF($I50:$L50,"&gt;1")+COUNTIF($I50:$L50,"&lt;0")+COUNTA($I50:$L50)-COUNT($I50:$L50))&gt;0,"Avance fuera de rango 0-100%"&amp;" · ","")&amp;IF(OR(AND($J50&lt;&gt;"",$J50&lt;$I50),AND($K50&lt;&gt;"",$K50&lt;MAX($I50:$J50)),AND($L50&lt;&gt;"",$L50&lt;MAX($I50:$K50))),"Avance semanal decreciente"&amp;" · ","")&amp;IF(AND(ISNUMBER($AN50),$AN50&lt;FechaRef,IF($V50="Sub",N($X50),N($M50))&lt;1),"Vencida"&amp;" · ","")&amp;IF(AND(ObsObligatoria="Sí",ISNUMBER($AN50),$AN50&lt;FechaRef,IF($V50="Sub",N($X50),N($M50))&lt;1,$Q50=""),"Vencida sin observación"&amp;" · ",""))-3)))</f>
        <v/>
      </c>
      <c r="S50" s="64">
        <f>IF(NOT((COUNTA($B50:$D50)+COUNTA($G50:$L50)+COUNTA($Q50))&gt;0),"",IF(AND($V50="Sub",N($U50)&gt;0),IF(ISNUMBER(INDEX($AM$5:$AM$1000,$U50-4)),DATE(YEAR(INDEX($AM$5:$AM$1000,$U50-4)),MONTH(INDEX($AM$5:$AM$1000,$U50-4)),1),IF(ISNUMBER(INDEX($AN$5:$AN$1000,$U50-4)),DATE(YEAR(INDEX($AN$5:$AN$1000,$U50-4)),MONTH(INDEX($AN$5:$AN$1000,$U50-4)),1),MesCiclo)),IF(ISNUMBER($AM50),DATE(YEAR($AM50),MONTH($AM50),1),IF(ISNUMBER($AN50),DATE(YEAR($AN50),MONTH($AN50),1),MesCiclo))))</f>
        <v/>
      </c>
      <c r="T50" s="62">
        <f>IF(OR($S50="",$S50&lt;&gt;MesCiclo,$V50&lt;&gt;"Macro"),"",COUNTIFS($S$5:$S50,MesCiclo,$V$5:$V50,"Macro"))</f>
        <v/>
      </c>
      <c r="U50" s="62">
        <f>IF($V50="","",IF($V50="Macro",ROW(),IFERROR(LOOKUP(2,1/($V$5:$V50="Macro"),ROW($V$5:$V50)),0)))</f>
        <v/>
      </c>
      <c r="V50" s="62">
        <f>IF(NOT((COUNTA($B50:$D50)+COUNTA($G50:$L50)+COUNTA($Q50))&gt;0),"",IF($B50="Subactividad","Sub","Macro"))</f>
        <v/>
      </c>
      <c r="W50" s="62">
        <f>IF($V50="Macro",COUNTIFS($U$5:$U$1000,ROW(),$V$5:$V$1000,"Sub"),"")</f>
        <v/>
      </c>
      <c r="X50" s="62">
        <f>IF($V50="","",IF(ISNUMBER($G50),1,IFERROR(LOOKUP(2,1/($I50:$L50&lt;&gt;""),$I50:$L50),0)))</f>
        <v/>
      </c>
      <c r="Y50" s="62">
        <f>IF($V50="","",IF(AND(ISNUMBER($G50),$G50&lt;=IF($S50=MesCiclo,InicioCiclo,$S50+MOD(2-WEEKDAY($S50),7))+6),1,IF(ISNUMBER($I50),$I50,0)))</f>
        <v/>
      </c>
      <c r="Z50" s="62">
        <f>IF($V50="","",IF(AND(ISNUMBER($G50),$G50&lt;=IF($S50=MesCiclo,InicioCiclo,$S50+MOD(2-WEEKDAY($S50),7))+13),1,IF(ISNUMBER($J50),$J50,$Y50)))</f>
        <v/>
      </c>
      <c r="AA50" s="62">
        <f>IF($V50="","",IF(AND(ISNUMBER($G50),$G50&lt;=IF($S50=MesCiclo,InicioCiclo,$S50+MOD(2-WEEKDAY($S50),7))+20),1,IF(ISNUMBER($K50),$K50,$Z50)))</f>
        <v/>
      </c>
      <c r="AB50" s="62">
        <f>IF($V50="","",IF(AND(ISNUMBER($G50),$G50&lt;=IF($S50=MesCiclo,InicioCiclo,$S50+MOD(2-WEEKDAY($S50),7))+27),1,IF(ISNUMBER($L50),$L50,$AA50)))</f>
        <v/>
      </c>
      <c r="AC50" s="62">
        <f>IF($V50="","",IF(AND(ISNUMBER($G50),$G50&lt;=IF($S50=MesCiclo,InicioCiclo,$S50+MOD(2-WEEKDAY($S50),7))+6),1,IF(N($W50)&gt;0,AVERAGEIFS($Y$5:$Y$1000,$U$5:$U$1000,ROW(),$V$5:$V$1000,"Sub"),$Y50)))</f>
        <v/>
      </c>
      <c r="AD50" s="62">
        <f>IF($V50="","",IF(AND(ISNUMBER($G50),$G50&lt;=IF($S50=MesCiclo,InicioCiclo,$S50+MOD(2-WEEKDAY($S50),7))+13),1,IF(N($W50)&gt;0,AVERAGEIFS($Z$5:$Z$1000,$U$5:$U$1000,ROW(),$V$5:$V$1000,"Sub"),$Z50)))</f>
        <v/>
      </c>
      <c r="AE50" s="62">
        <f>IF($V50="","",IF(AND(ISNUMBER($G50),$G50&lt;=IF($S50=MesCiclo,InicioCiclo,$S50+MOD(2-WEEKDAY($S50),7))+20),1,IF(N($W50)&gt;0,AVERAGEIFS($AA$5:$AA$1000,$U$5:$U$1000,ROW(),$V$5:$V$1000,"Sub"),$AA50)))</f>
        <v/>
      </c>
      <c r="AF50" s="62">
        <f>IF($V50="","",IF(AND(ISNUMBER($G50),$G50&lt;=IF($S50=MesCiclo,InicioCiclo,$S50+MOD(2-WEEKDAY($S50),7))+27),1,IF(N($W50)&gt;0,AVERAGEIFS($AB$5:$AB$1000,$U$5:$U$1000,ROW(),$V$5:$V$1000,"Sub"),$AB50)))</f>
        <v/>
      </c>
      <c r="AG50" s="62">
        <f>IF($V50&lt;&gt;"Macro","",IF(COUNTIFS($S$5:$S$1000,$S50,$V$5:$V$1000,"Macro",$H$5:$H$1000,"&gt;0")=0,1/COUNTIFS($S$5:$S$1000,$S50,$V$5:$V$1000,"Macro"),IF(AND(ISNUMBER($H50),N($H50)&gt;0),$H50,SUMIFS($H$5:$H$1000,$S$5:$S$1000,$S50,$V$5:$V$1000,"Macro")/COUNTIFS($S$5:$S$1000,$S50,$V$5:$V$1000,"Macro",$H$5:$H$1000,"&gt;0"))/(COUNTIFS($S$5:$S$1000,$S50,$V$5:$V$1000,"Macro")*SUMIFS($H$5:$H$1000,$S$5:$S$1000,$S50,$V$5:$V$1000,"Macro")/COUNTIFS($S$5:$S$1000,$S50,$V$5:$V$1000,"Macro",$H$5:$H$1000,"&gt;0"))))</f>
        <v/>
      </c>
      <c r="AH50" s="62" t="n"/>
      <c r="AI50" s="62" t="n"/>
      <c r="AJ50" s="62" t="n"/>
      <c r="AK50" s="62" t="n"/>
      <c r="AL50" s="62">
        <f>IF(LEFT($C50,11)="[Jefatura] ",IFERROR(MATCH("Riesgo Operacional|"&amp;MID($C50,12,500),rDname_ADM,0),0),"")</f>
        <v/>
      </c>
      <c r="AM50" s="62">
        <f>IF(N($AL50)&gt;0,INDEX(rIni_ADM,$AL50),IF(ISNUMBER($E50),$E50,""))</f>
        <v/>
      </c>
      <c r="AN50" s="62">
        <f>IF(N($AL50)&gt;0,INDEX(rLim_ADM,$AL50),IF(ISNUMBER($F50),$F50,""))</f>
        <v/>
      </c>
    </row>
    <row r="51">
      <c r="A51" s="56">
        <f>IF(NOT((COUNTA($B51:$D51)+COUNTA($G51:$L51)+COUNTA($Q51))&gt;0),"",IF($V51="Macro",COUNTIFS($V$5:$V51,"Macro",$S$5:$S51,$S51),IF(N($U51)=0,"?",COUNTIFS(INDEX($V$5:$V$1000,1):INDEX($V$5:$V$1000,$U51-4),"Macro",INDEX($S$5:$S$1000,1):INDEX($S$5:$S$1000,$U51-4),INDEX($S$5:$S$1000,$U51-4))&amp;"."&amp;COUNTIFS($U$5:$U51,$U51,$V$5:$V51,"Sub"))))</f>
        <v/>
      </c>
      <c r="B51" s="57" t="n"/>
      <c r="C51" s="58" t="n"/>
      <c r="D51" s="58" t="n"/>
      <c r="E51" s="59">
        <f>IF(N($AL51)&gt;0,INDEX(rIni_ADM,$AL51),"")</f>
        <v/>
      </c>
      <c r="F51" s="59">
        <f>IF(N($AL51)&gt;0,INDEX(rLim_ADM,$AL51),"")</f>
        <v/>
      </c>
      <c r="G51" s="59" t="n"/>
      <c r="H51" s="60" t="n"/>
      <c r="I51" s="60" t="n"/>
      <c r="J51" s="60" t="n"/>
      <c r="K51" s="60" t="n"/>
      <c r="L51" s="60" t="n"/>
      <c r="M51" s="61">
        <f>IF(NOT((COUNTA($B51:$D51)+COUNTA($G51:$L51)+COUNTA($Q51))&gt;0),"",IF($V51="Sub",IFERROR($X51/INDEX($W$5:$W$1000,$U51-4),""),IF(ISNUMBER($G51),1,IF(N($W51)&gt;0,AVERAGEIFS($X$5:$X$1000,$U$5:$U$1000,ROW(),$V$5:$V$1000,"Sub"),$X51))))</f>
        <v/>
      </c>
      <c r="N51" s="56">
        <f>IF(OR($M51="",$V51="Sub"),"",IF($M51&gt;=1,"Completado",IF($M51&gt;0,"En curso","Pendiente")))</f>
        <v/>
      </c>
      <c r="O51" s="56">
        <f>IF(OR(NOT((COUNTA($B51:$D51)+COUNTA($G51:$L51)+COUNTA($Q51))&gt;0),$V51="Sub"),"",IF(ISNUMBER($G51),IF(AND(ISNUMBER($AN51),$G51&gt;$AN51),"Cumplida con "&amp;($G51-$AN51)&amp;IF($G51-$AN51=1," día"," días")&amp;" de retraso","Cumplida"),IF(N($M51)&gt;=1,"Cumplida",IF(NOT(ISNUMBER($AN51)),"Sin fecha límite",IF($AN51&lt;FechaRef,"Vencida hace "&amp;(FechaRef-$AN51)&amp;IF(FechaRef-$AN51=1," día"," días"),IF($AN51=FechaRef,"Vence hoy",IF($AN51-FechaRef&lt;=DiasAlerta,"Vence en "&amp;($AN51-FechaRef)&amp;IF($AN51-FechaRef=1," día"," días"),"En plazo")))))))</f>
        <v/>
      </c>
      <c r="P51" s="62" t="n"/>
      <c r="Q51" s="58" t="n"/>
      <c r="R51" s="63">
        <f>IF(NOT((COUNTA($B51:$D51)+COUNTA($G51:$L51)+COUNTA($Q51))&gt;0),"",IF((IF($C51="","Falta el nombre de la actividad"&amp;" · ","")&amp;IF(AND($V51="Sub",N($U51)=0),"Subactividad sin macroactividad arriba"&amp;" · ","")&amp;IF($AM51="","Sin fecha de inicio"&amp;" · ","")&amp;IF($AN51="","Sin fecha límite"&amp;" · ","")&amp;IF(AND(LEFT($C51,11)="[Jefatura] ",N($AL51)=0),"No se encuentra en la hoja de la jefatura (elíjala de nuevo en la lista)"&amp;" · ","")&amp;IF(OR(AND($E51&lt;&gt;"",NOT(ISNUMBER($E51))),AND($F51&lt;&gt;"",NOT(ISNUMBER($F51))),AND($G51&lt;&gt;"",NOT(ISNUMBER($G51)))),"Fecha no válida"&amp;" · ","")&amp;IF(AND(ISNUMBER($AM51),ISNUMBER($AN51),$AM51&gt;$AN51),"Inicio posterior a fecha límite"&amp;" · ","")&amp;IF(AND($V51="Macro",$H51&lt;&gt;"",OR(NOT(ISNUMBER($H51)),$H51&lt;0,$H51&gt;1)),"Peso fuera de rango"&amp;" · ","")&amp;IF(AND($V51="Sub",$H51&lt;&gt;""),"Las subactividades no llevan peso (valen igual dentro de su macroactividad)"&amp;" · ","")&amp;IF(AND(N($W51)&gt;0,COUNT($I51:$L51)&gt;0),"Con subactividades: deje vacías las semanas (se calculan solas)"&amp;" · ","")&amp;IF((COUNTIF($I51:$L51,"&gt;1")+COUNTIF($I51:$L51,"&lt;0")+COUNTA($I51:$L51)-COUNT($I51:$L51))&gt;0,"Avance fuera de rango 0-100%"&amp;" · ","")&amp;IF(OR(AND($J51&lt;&gt;"",$J51&lt;$I51),AND($K51&lt;&gt;"",$K51&lt;MAX($I51:$J51)),AND($L51&lt;&gt;"",$L51&lt;MAX($I51:$K51))),"Avance semanal decreciente"&amp;" · ","")&amp;IF(AND(ISNUMBER($AN51),$AN51&lt;FechaRef,IF($V51="Sub",N($X51),N($M51))&lt;1),"Vencida"&amp;" · ","")&amp;IF(AND(ObsObligatoria="Sí",ISNUMBER($AN51),$AN51&lt;FechaRef,IF($V51="Sub",N($X51),N($M51))&lt;1,$Q51=""),"Vencida sin observación"&amp;" · ",""))="","✔ OK","⚠ "&amp;LEFT(IF($C51="","Falta el nombre de la actividad"&amp;" · ","")&amp;IF(AND($V51="Sub",N($U51)=0),"Subactividad sin macroactividad arriba"&amp;" · ","")&amp;IF($AM51="","Sin fecha de inicio"&amp;" · ","")&amp;IF($AN51="","Sin fecha límite"&amp;" · ","")&amp;IF(AND(LEFT($C51,11)="[Jefatura] ",N($AL51)=0),"No se encuentra en la hoja de la jefatura (elíjala de nuevo en la lista)"&amp;" · ","")&amp;IF(OR(AND($E51&lt;&gt;"",NOT(ISNUMBER($E51))),AND($F51&lt;&gt;"",NOT(ISNUMBER($F51))),AND($G51&lt;&gt;"",NOT(ISNUMBER($G51)))),"Fecha no válida"&amp;" · ","")&amp;IF(AND(ISNUMBER($AM51),ISNUMBER($AN51),$AM51&gt;$AN51),"Inicio posterior a fecha límite"&amp;" · ","")&amp;IF(AND($V51="Macro",$H51&lt;&gt;"",OR(NOT(ISNUMBER($H51)),$H51&lt;0,$H51&gt;1)),"Peso fuera de rango"&amp;" · ","")&amp;IF(AND($V51="Sub",$H51&lt;&gt;""),"Las subactividades no llevan peso (valen igual dentro de su macroactividad)"&amp;" · ","")&amp;IF(AND(N($W51)&gt;0,COUNT($I51:$L51)&gt;0),"Con subactividades: deje vacías las semanas (se calculan solas)"&amp;" · ","")&amp;IF((COUNTIF($I51:$L51,"&gt;1")+COUNTIF($I51:$L51,"&lt;0")+COUNTA($I51:$L51)-COUNT($I51:$L51))&gt;0,"Avance fuera de rango 0-100%"&amp;" · ","")&amp;IF(OR(AND($J51&lt;&gt;"",$J51&lt;$I51),AND($K51&lt;&gt;"",$K51&lt;MAX($I51:$J51)),AND($L51&lt;&gt;"",$L51&lt;MAX($I51:$K51))),"Avance semanal decreciente"&amp;" · ","")&amp;IF(AND(ISNUMBER($AN51),$AN51&lt;FechaRef,IF($V51="Sub",N($X51),N($M51))&lt;1),"Vencida"&amp;" · ","")&amp;IF(AND(ObsObligatoria="Sí",ISNUMBER($AN51),$AN51&lt;FechaRef,IF($V51="Sub",N($X51),N($M51))&lt;1,$Q51=""),"Vencida sin observación"&amp;" · ",""),LEN(IF($C51="","Falta el nombre de la actividad"&amp;" · ","")&amp;IF(AND($V51="Sub",N($U51)=0),"Subactividad sin macroactividad arriba"&amp;" · ","")&amp;IF($AM51="","Sin fecha de inicio"&amp;" · ","")&amp;IF($AN51="","Sin fecha límite"&amp;" · ","")&amp;IF(AND(LEFT($C51,11)="[Jefatura] ",N($AL51)=0),"No se encuentra en la hoja de la jefatura (elíjala de nuevo en la lista)"&amp;" · ","")&amp;IF(OR(AND($E51&lt;&gt;"",NOT(ISNUMBER($E51))),AND($F51&lt;&gt;"",NOT(ISNUMBER($F51))),AND($G51&lt;&gt;"",NOT(ISNUMBER($G51)))),"Fecha no válida"&amp;" · ","")&amp;IF(AND(ISNUMBER($AM51),ISNUMBER($AN51),$AM51&gt;$AN51),"Inicio posterior a fecha límite"&amp;" · ","")&amp;IF(AND($V51="Macro",$H51&lt;&gt;"",OR(NOT(ISNUMBER($H51)),$H51&lt;0,$H51&gt;1)),"Peso fuera de rango"&amp;" · ","")&amp;IF(AND($V51="Sub",$H51&lt;&gt;""),"Las subactividades no llevan peso (valen igual dentro de su macroactividad)"&amp;" · ","")&amp;IF(AND(N($W51)&gt;0,COUNT($I51:$L51)&gt;0),"Con subactividades: deje vacías las semanas (se calculan solas)"&amp;" · ","")&amp;IF((COUNTIF($I51:$L51,"&gt;1")+COUNTIF($I51:$L51,"&lt;0")+COUNTA($I51:$L51)-COUNT($I51:$L51))&gt;0,"Avance fuera de rango 0-100%"&amp;" · ","")&amp;IF(OR(AND($J51&lt;&gt;"",$J51&lt;$I51),AND($K51&lt;&gt;"",$K51&lt;MAX($I51:$J51)),AND($L51&lt;&gt;"",$L51&lt;MAX($I51:$K51))),"Avance semanal decreciente"&amp;" · ","")&amp;IF(AND(ISNUMBER($AN51),$AN51&lt;FechaRef,IF($V51="Sub",N($X51),N($M51))&lt;1),"Vencida"&amp;" · ","")&amp;IF(AND(ObsObligatoria="Sí",ISNUMBER($AN51),$AN51&lt;FechaRef,IF($V51="Sub",N($X51),N($M51))&lt;1,$Q51=""),"Vencida sin observación"&amp;" · ",""))-3)))</f>
        <v/>
      </c>
      <c r="S51" s="64">
        <f>IF(NOT((COUNTA($B51:$D51)+COUNTA($G51:$L51)+COUNTA($Q51))&gt;0),"",IF(AND($V51="Sub",N($U51)&gt;0),IF(ISNUMBER(INDEX($AM$5:$AM$1000,$U51-4)),DATE(YEAR(INDEX($AM$5:$AM$1000,$U51-4)),MONTH(INDEX($AM$5:$AM$1000,$U51-4)),1),IF(ISNUMBER(INDEX($AN$5:$AN$1000,$U51-4)),DATE(YEAR(INDEX($AN$5:$AN$1000,$U51-4)),MONTH(INDEX($AN$5:$AN$1000,$U51-4)),1),MesCiclo)),IF(ISNUMBER($AM51),DATE(YEAR($AM51),MONTH($AM51),1),IF(ISNUMBER($AN51),DATE(YEAR($AN51),MONTH($AN51),1),MesCiclo))))</f>
        <v/>
      </c>
      <c r="T51" s="62">
        <f>IF(OR($S51="",$S51&lt;&gt;MesCiclo,$V51&lt;&gt;"Macro"),"",COUNTIFS($S$5:$S51,MesCiclo,$V$5:$V51,"Macro"))</f>
        <v/>
      </c>
      <c r="U51" s="62">
        <f>IF($V51="","",IF($V51="Macro",ROW(),IFERROR(LOOKUP(2,1/($V$5:$V51="Macro"),ROW($V$5:$V51)),0)))</f>
        <v/>
      </c>
      <c r="V51" s="62">
        <f>IF(NOT((COUNTA($B51:$D51)+COUNTA($G51:$L51)+COUNTA($Q51))&gt;0),"",IF($B51="Subactividad","Sub","Macro"))</f>
        <v/>
      </c>
      <c r="W51" s="62">
        <f>IF($V51="Macro",COUNTIFS($U$5:$U$1000,ROW(),$V$5:$V$1000,"Sub"),"")</f>
        <v/>
      </c>
      <c r="X51" s="62">
        <f>IF($V51="","",IF(ISNUMBER($G51),1,IFERROR(LOOKUP(2,1/($I51:$L51&lt;&gt;""),$I51:$L51),0)))</f>
        <v/>
      </c>
      <c r="Y51" s="62">
        <f>IF($V51="","",IF(AND(ISNUMBER($G51),$G51&lt;=IF($S51=MesCiclo,InicioCiclo,$S51+MOD(2-WEEKDAY($S51),7))+6),1,IF(ISNUMBER($I51),$I51,0)))</f>
        <v/>
      </c>
      <c r="Z51" s="62">
        <f>IF($V51="","",IF(AND(ISNUMBER($G51),$G51&lt;=IF($S51=MesCiclo,InicioCiclo,$S51+MOD(2-WEEKDAY($S51),7))+13),1,IF(ISNUMBER($J51),$J51,$Y51)))</f>
        <v/>
      </c>
      <c r="AA51" s="62">
        <f>IF($V51="","",IF(AND(ISNUMBER($G51),$G51&lt;=IF($S51=MesCiclo,InicioCiclo,$S51+MOD(2-WEEKDAY($S51),7))+20),1,IF(ISNUMBER($K51),$K51,$Z51)))</f>
        <v/>
      </c>
      <c r="AB51" s="62">
        <f>IF($V51="","",IF(AND(ISNUMBER($G51),$G51&lt;=IF($S51=MesCiclo,InicioCiclo,$S51+MOD(2-WEEKDAY($S51),7))+27),1,IF(ISNUMBER($L51),$L51,$AA51)))</f>
        <v/>
      </c>
      <c r="AC51" s="62">
        <f>IF($V51="","",IF(AND(ISNUMBER($G51),$G51&lt;=IF($S51=MesCiclo,InicioCiclo,$S51+MOD(2-WEEKDAY($S51),7))+6),1,IF(N($W51)&gt;0,AVERAGEIFS($Y$5:$Y$1000,$U$5:$U$1000,ROW(),$V$5:$V$1000,"Sub"),$Y51)))</f>
        <v/>
      </c>
      <c r="AD51" s="62">
        <f>IF($V51="","",IF(AND(ISNUMBER($G51),$G51&lt;=IF($S51=MesCiclo,InicioCiclo,$S51+MOD(2-WEEKDAY($S51),7))+13),1,IF(N($W51)&gt;0,AVERAGEIFS($Z$5:$Z$1000,$U$5:$U$1000,ROW(),$V$5:$V$1000,"Sub"),$Z51)))</f>
        <v/>
      </c>
      <c r="AE51" s="62">
        <f>IF($V51="","",IF(AND(ISNUMBER($G51),$G51&lt;=IF($S51=MesCiclo,InicioCiclo,$S51+MOD(2-WEEKDAY($S51),7))+20),1,IF(N($W51)&gt;0,AVERAGEIFS($AA$5:$AA$1000,$U$5:$U$1000,ROW(),$V$5:$V$1000,"Sub"),$AA51)))</f>
        <v/>
      </c>
      <c r="AF51" s="62">
        <f>IF($V51="","",IF(AND(ISNUMBER($G51),$G51&lt;=IF($S51=MesCiclo,InicioCiclo,$S51+MOD(2-WEEKDAY($S51),7))+27),1,IF(N($W51)&gt;0,AVERAGEIFS($AB$5:$AB$1000,$U$5:$U$1000,ROW(),$V$5:$V$1000,"Sub"),$AB51)))</f>
        <v/>
      </c>
      <c r="AG51" s="62">
        <f>IF($V51&lt;&gt;"Macro","",IF(COUNTIFS($S$5:$S$1000,$S51,$V$5:$V$1000,"Macro",$H$5:$H$1000,"&gt;0")=0,1/COUNTIFS($S$5:$S$1000,$S51,$V$5:$V$1000,"Macro"),IF(AND(ISNUMBER($H51),N($H51)&gt;0),$H51,SUMIFS($H$5:$H$1000,$S$5:$S$1000,$S51,$V$5:$V$1000,"Macro")/COUNTIFS($S$5:$S$1000,$S51,$V$5:$V$1000,"Macro",$H$5:$H$1000,"&gt;0"))/(COUNTIFS($S$5:$S$1000,$S51,$V$5:$V$1000,"Macro")*SUMIFS($H$5:$H$1000,$S$5:$S$1000,$S51,$V$5:$V$1000,"Macro")/COUNTIFS($S$5:$S$1000,$S51,$V$5:$V$1000,"Macro",$H$5:$H$1000,"&gt;0"))))</f>
        <v/>
      </c>
      <c r="AH51" s="62" t="n"/>
      <c r="AI51" s="62" t="n"/>
      <c r="AJ51" s="62" t="n"/>
      <c r="AK51" s="62" t="n"/>
      <c r="AL51" s="62">
        <f>IF(LEFT($C51,11)="[Jefatura] ",IFERROR(MATCH("Riesgo Operacional|"&amp;MID($C51,12,500),rDname_ADM,0),0),"")</f>
        <v/>
      </c>
      <c r="AM51" s="62">
        <f>IF(N($AL51)&gt;0,INDEX(rIni_ADM,$AL51),IF(ISNUMBER($E51),$E51,""))</f>
        <v/>
      </c>
      <c r="AN51" s="62">
        <f>IF(N($AL51)&gt;0,INDEX(rLim_ADM,$AL51),IF(ISNUMBER($F51),$F51,""))</f>
        <v/>
      </c>
    </row>
    <row r="52">
      <c r="A52" s="56">
        <f>IF(NOT((COUNTA($B52:$D52)+COUNTA($G52:$L52)+COUNTA($Q52))&gt;0),"",IF($V52="Macro",COUNTIFS($V$5:$V52,"Macro",$S$5:$S52,$S52),IF(N($U52)=0,"?",COUNTIFS(INDEX($V$5:$V$1000,1):INDEX($V$5:$V$1000,$U52-4),"Macro",INDEX($S$5:$S$1000,1):INDEX($S$5:$S$1000,$U52-4),INDEX($S$5:$S$1000,$U52-4))&amp;"."&amp;COUNTIFS($U$5:$U52,$U52,$V$5:$V52,"Sub"))))</f>
        <v/>
      </c>
      <c r="B52" s="57" t="n"/>
      <c r="C52" s="58" t="n"/>
      <c r="D52" s="58" t="n"/>
      <c r="E52" s="59">
        <f>IF(N($AL52)&gt;0,INDEX(rIni_ADM,$AL52),"")</f>
        <v/>
      </c>
      <c r="F52" s="59">
        <f>IF(N($AL52)&gt;0,INDEX(rLim_ADM,$AL52),"")</f>
        <v/>
      </c>
      <c r="G52" s="59" t="n"/>
      <c r="H52" s="60" t="n"/>
      <c r="I52" s="60" t="n"/>
      <c r="J52" s="60" t="n"/>
      <c r="K52" s="60" t="n"/>
      <c r="L52" s="60" t="n"/>
      <c r="M52" s="61">
        <f>IF(NOT((COUNTA($B52:$D52)+COUNTA($G52:$L52)+COUNTA($Q52))&gt;0),"",IF($V52="Sub",IFERROR($X52/INDEX($W$5:$W$1000,$U52-4),""),IF(ISNUMBER($G52),1,IF(N($W52)&gt;0,AVERAGEIFS($X$5:$X$1000,$U$5:$U$1000,ROW(),$V$5:$V$1000,"Sub"),$X52))))</f>
        <v/>
      </c>
      <c r="N52" s="56">
        <f>IF(OR($M52="",$V52="Sub"),"",IF($M52&gt;=1,"Completado",IF($M52&gt;0,"En curso","Pendiente")))</f>
        <v/>
      </c>
      <c r="O52" s="56">
        <f>IF(OR(NOT((COUNTA($B52:$D52)+COUNTA($G52:$L52)+COUNTA($Q52))&gt;0),$V52="Sub"),"",IF(ISNUMBER($G52),IF(AND(ISNUMBER($AN52),$G52&gt;$AN52),"Cumplida con "&amp;($G52-$AN52)&amp;IF($G52-$AN52=1," día"," días")&amp;" de retraso","Cumplida"),IF(N($M52)&gt;=1,"Cumplida",IF(NOT(ISNUMBER($AN52)),"Sin fecha límite",IF($AN52&lt;FechaRef,"Vencida hace "&amp;(FechaRef-$AN52)&amp;IF(FechaRef-$AN52=1," día"," días"),IF($AN52=FechaRef,"Vence hoy",IF($AN52-FechaRef&lt;=DiasAlerta,"Vence en "&amp;($AN52-FechaRef)&amp;IF($AN52-FechaRef=1," día"," días"),"En plazo")))))))</f>
        <v/>
      </c>
      <c r="P52" s="62" t="n"/>
      <c r="Q52" s="58" t="n"/>
      <c r="R52" s="63">
        <f>IF(NOT((COUNTA($B52:$D52)+COUNTA($G52:$L52)+COUNTA($Q52))&gt;0),"",IF((IF($C52="","Falta el nombre de la actividad"&amp;" · ","")&amp;IF(AND($V52="Sub",N($U52)=0),"Subactividad sin macroactividad arriba"&amp;" · ","")&amp;IF($AM52="","Sin fecha de inicio"&amp;" · ","")&amp;IF($AN52="","Sin fecha límite"&amp;" · ","")&amp;IF(AND(LEFT($C52,11)="[Jefatura] ",N($AL52)=0),"No se encuentra en la hoja de la jefatura (elíjala de nuevo en la lista)"&amp;" · ","")&amp;IF(OR(AND($E52&lt;&gt;"",NOT(ISNUMBER($E52))),AND($F52&lt;&gt;"",NOT(ISNUMBER($F52))),AND($G52&lt;&gt;"",NOT(ISNUMBER($G52)))),"Fecha no válida"&amp;" · ","")&amp;IF(AND(ISNUMBER($AM52),ISNUMBER($AN52),$AM52&gt;$AN52),"Inicio posterior a fecha límite"&amp;" · ","")&amp;IF(AND($V52="Macro",$H52&lt;&gt;"",OR(NOT(ISNUMBER($H52)),$H52&lt;0,$H52&gt;1)),"Peso fuera de rango"&amp;" · ","")&amp;IF(AND($V52="Sub",$H52&lt;&gt;""),"Las subactividades no llevan peso (valen igual dentro de su macroactividad)"&amp;" · ","")&amp;IF(AND(N($W52)&gt;0,COUNT($I52:$L52)&gt;0),"Con subactividades: deje vacías las semanas (se calculan solas)"&amp;" · ","")&amp;IF((COUNTIF($I52:$L52,"&gt;1")+COUNTIF($I52:$L52,"&lt;0")+COUNTA($I52:$L52)-COUNT($I52:$L52))&gt;0,"Avance fuera de rango 0-100%"&amp;" · ","")&amp;IF(OR(AND($J52&lt;&gt;"",$J52&lt;$I52),AND($K52&lt;&gt;"",$K52&lt;MAX($I52:$J52)),AND($L52&lt;&gt;"",$L52&lt;MAX($I52:$K52))),"Avance semanal decreciente"&amp;" · ","")&amp;IF(AND(ISNUMBER($AN52),$AN52&lt;FechaRef,IF($V52="Sub",N($X52),N($M52))&lt;1),"Vencida"&amp;" · ","")&amp;IF(AND(ObsObligatoria="Sí",ISNUMBER($AN52),$AN52&lt;FechaRef,IF($V52="Sub",N($X52),N($M52))&lt;1,$Q52=""),"Vencida sin observación"&amp;" · ",""))="","✔ OK","⚠ "&amp;LEFT(IF($C52="","Falta el nombre de la actividad"&amp;" · ","")&amp;IF(AND($V52="Sub",N($U52)=0),"Subactividad sin macroactividad arriba"&amp;" · ","")&amp;IF($AM52="","Sin fecha de inicio"&amp;" · ","")&amp;IF($AN52="","Sin fecha límite"&amp;" · ","")&amp;IF(AND(LEFT($C52,11)="[Jefatura] ",N($AL52)=0),"No se encuentra en la hoja de la jefatura (elíjala de nuevo en la lista)"&amp;" · ","")&amp;IF(OR(AND($E52&lt;&gt;"",NOT(ISNUMBER($E52))),AND($F52&lt;&gt;"",NOT(ISNUMBER($F52))),AND($G52&lt;&gt;"",NOT(ISNUMBER($G52)))),"Fecha no válida"&amp;" · ","")&amp;IF(AND(ISNUMBER($AM52),ISNUMBER($AN52),$AM52&gt;$AN52),"Inicio posterior a fecha límite"&amp;" · ","")&amp;IF(AND($V52="Macro",$H52&lt;&gt;"",OR(NOT(ISNUMBER($H52)),$H52&lt;0,$H52&gt;1)),"Peso fuera de rango"&amp;" · ","")&amp;IF(AND($V52="Sub",$H52&lt;&gt;""),"Las subactividades no llevan peso (valen igual dentro de su macroactividad)"&amp;" · ","")&amp;IF(AND(N($W52)&gt;0,COUNT($I52:$L52)&gt;0),"Con subactividades: deje vacías las semanas (se calculan solas)"&amp;" · ","")&amp;IF((COUNTIF($I52:$L52,"&gt;1")+COUNTIF($I52:$L52,"&lt;0")+COUNTA($I52:$L52)-COUNT($I52:$L52))&gt;0,"Avance fuera de rango 0-100%"&amp;" · ","")&amp;IF(OR(AND($J52&lt;&gt;"",$J52&lt;$I52),AND($K52&lt;&gt;"",$K52&lt;MAX($I52:$J52)),AND($L52&lt;&gt;"",$L52&lt;MAX($I52:$K52))),"Avance semanal decreciente"&amp;" · ","")&amp;IF(AND(ISNUMBER($AN52),$AN52&lt;FechaRef,IF($V52="Sub",N($X52),N($M52))&lt;1),"Vencida"&amp;" · ","")&amp;IF(AND(ObsObligatoria="Sí",ISNUMBER($AN52),$AN52&lt;FechaRef,IF($V52="Sub",N($X52),N($M52))&lt;1,$Q52=""),"Vencida sin observación"&amp;" · ",""),LEN(IF($C52="","Falta el nombre de la actividad"&amp;" · ","")&amp;IF(AND($V52="Sub",N($U52)=0),"Subactividad sin macroactividad arriba"&amp;" · ","")&amp;IF($AM52="","Sin fecha de inicio"&amp;" · ","")&amp;IF($AN52="","Sin fecha límite"&amp;" · ","")&amp;IF(AND(LEFT($C52,11)="[Jefatura] ",N($AL52)=0),"No se encuentra en la hoja de la jefatura (elíjala de nuevo en la lista)"&amp;" · ","")&amp;IF(OR(AND($E52&lt;&gt;"",NOT(ISNUMBER($E52))),AND($F52&lt;&gt;"",NOT(ISNUMBER($F52))),AND($G52&lt;&gt;"",NOT(ISNUMBER($G52)))),"Fecha no válida"&amp;" · ","")&amp;IF(AND(ISNUMBER($AM52),ISNUMBER($AN52),$AM52&gt;$AN52),"Inicio posterior a fecha límite"&amp;" · ","")&amp;IF(AND($V52="Macro",$H52&lt;&gt;"",OR(NOT(ISNUMBER($H52)),$H52&lt;0,$H52&gt;1)),"Peso fuera de rango"&amp;" · ","")&amp;IF(AND($V52="Sub",$H52&lt;&gt;""),"Las subactividades no llevan peso (valen igual dentro de su macroactividad)"&amp;" · ","")&amp;IF(AND(N($W52)&gt;0,COUNT($I52:$L52)&gt;0),"Con subactividades: deje vacías las semanas (se calculan solas)"&amp;" · ","")&amp;IF((COUNTIF($I52:$L52,"&gt;1")+COUNTIF($I52:$L52,"&lt;0")+COUNTA($I52:$L52)-COUNT($I52:$L52))&gt;0,"Avance fuera de rango 0-100%"&amp;" · ","")&amp;IF(OR(AND($J52&lt;&gt;"",$J52&lt;$I52),AND($K52&lt;&gt;"",$K52&lt;MAX($I52:$J52)),AND($L52&lt;&gt;"",$L52&lt;MAX($I52:$K52))),"Avance semanal decreciente"&amp;" · ","")&amp;IF(AND(ISNUMBER($AN52),$AN52&lt;FechaRef,IF($V52="Sub",N($X52),N($M52))&lt;1),"Vencida"&amp;" · ","")&amp;IF(AND(ObsObligatoria="Sí",ISNUMBER($AN52),$AN52&lt;FechaRef,IF($V52="Sub",N($X52),N($M52))&lt;1,$Q52=""),"Vencida sin observación"&amp;" · ",""))-3)))</f>
        <v/>
      </c>
      <c r="S52" s="64">
        <f>IF(NOT((COUNTA($B52:$D52)+COUNTA($G52:$L52)+COUNTA($Q52))&gt;0),"",IF(AND($V52="Sub",N($U52)&gt;0),IF(ISNUMBER(INDEX($AM$5:$AM$1000,$U52-4)),DATE(YEAR(INDEX($AM$5:$AM$1000,$U52-4)),MONTH(INDEX($AM$5:$AM$1000,$U52-4)),1),IF(ISNUMBER(INDEX($AN$5:$AN$1000,$U52-4)),DATE(YEAR(INDEX($AN$5:$AN$1000,$U52-4)),MONTH(INDEX($AN$5:$AN$1000,$U52-4)),1),MesCiclo)),IF(ISNUMBER($AM52),DATE(YEAR($AM52),MONTH($AM52),1),IF(ISNUMBER($AN52),DATE(YEAR($AN52),MONTH($AN52),1),MesCiclo))))</f>
        <v/>
      </c>
      <c r="T52" s="62">
        <f>IF(OR($S52="",$S52&lt;&gt;MesCiclo,$V52&lt;&gt;"Macro"),"",COUNTIFS($S$5:$S52,MesCiclo,$V$5:$V52,"Macro"))</f>
        <v/>
      </c>
      <c r="U52" s="62">
        <f>IF($V52="","",IF($V52="Macro",ROW(),IFERROR(LOOKUP(2,1/($V$5:$V52="Macro"),ROW($V$5:$V52)),0)))</f>
        <v/>
      </c>
      <c r="V52" s="62">
        <f>IF(NOT((COUNTA($B52:$D52)+COUNTA($G52:$L52)+COUNTA($Q52))&gt;0),"",IF($B52="Subactividad","Sub","Macro"))</f>
        <v/>
      </c>
      <c r="W52" s="62">
        <f>IF($V52="Macro",COUNTIFS($U$5:$U$1000,ROW(),$V$5:$V$1000,"Sub"),"")</f>
        <v/>
      </c>
      <c r="X52" s="62">
        <f>IF($V52="","",IF(ISNUMBER($G52),1,IFERROR(LOOKUP(2,1/($I52:$L52&lt;&gt;""),$I52:$L52),0)))</f>
        <v/>
      </c>
      <c r="Y52" s="62">
        <f>IF($V52="","",IF(AND(ISNUMBER($G52),$G52&lt;=IF($S52=MesCiclo,InicioCiclo,$S52+MOD(2-WEEKDAY($S52),7))+6),1,IF(ISNUMBER($I52),$I52,0)))</f>
        <v/>
      </c>
      <c r="Z52" s="62">
        <f>IF($V52="","",IF(AND(ISNUMBER($G52),$G52&lt;=IF($S52=MesCiclo,InicioCiclo,$S52+MOD(2-WEEKDAY($S52),7))+13),1,IF(ISNUMBER($J52),$J52,$Y52)))</f>
        <v/>
      </c>
      <c r="AA52" s="62">
        <f>IF($V52="","",IF(AND(ISNUMBER($G52),$G52&lt;=IF($S52=MesCiclo,InicioCiclo,$S52+MOD(2-WEEKDAY($S52),7))+20),1,IF(ISNUMBER($K52),$K52,$Z52)))</f>
        <v/>
      </c>
      <c r="AB52" s="62">
        <f>IF($V52="","",IF(AND(ISNUMBER($G52),$G52&lt;=IF($S52=MesCiclo,InicioCiclo,$S52+MOD(2-WEEKDAY($S52),7))+27),1,IF(ISNUMBER($L52),$L52,$AA52)))</f>
        <v/>
      </c>
      <c r="AC52" s="62">
        <f>IF($V52="","",IF(AND(ISNUMBER($G52),$G52&lt;=IF($S52=MesCiclo,InicioCiclo,$S52+MOD(2-WEEKDAY($S52),7))+6),1,IF(N($W52)&gt;0,AVERAGEIFS($Y$5:$Y$1000,$U$5:$U$1000,ROW(),$V$5:$V$1000,"Sub"),$Y52)))</f>
        <v/>
      </c>
      <c r="AD52" s="62">
        <f>IF($V52="","",IF(AND(ISNUMBER($G52),$G52&lt;=IF($S52=MesCiclo,InicioCiclo,$S52+MOD(2-WEEKDAY($S52),7))+13),1,IF(N($W52)&gt;0,AVERAGEIFS($Z$5:$Z$1000,$U$5:$U$1000,ROW(),$V$5:$V$1000,"Sub"),$Z52)))</f>
        <v/>
      </c>
      <c r="AE52" s="62">
        <f>IF($V52="","",IF(AND(ISNUMBER($G52),$G52&lt;=IF($S52=MesCiclo,InicioCiclo,$S52+MOD(2-WEEKDAY($S52),7))+20),1,IF(N($W52)&gt;0,AVERAGEIFS($AA$5:$AA$1000,$U$5:$U$1000,ROW(),$V$5:$V$1000,"Sub"),$AA52)))</f>
        <v/>
      </c>
      <c r="AF52" s="62">
        <f>IF($V52="","",IF(AND(ISNUMBER($G52),$G52&lt;=IF($S52=MesCiclo,InicioCiclo,$S52+MOD(2-WEEKDAY($S52),7))+27),1,IF(N($W52)&gt;0,AVERAGEIFS($AB$5:$AB$1000,$U$5:$U$1000,ROW(),$V$5:$V$1000,"Sub"),$AB52)))</f>
        <v/>
      </c>
      <c r="AG52" s="62">
        <f>IF($V52&lt;&gt;"Macro","",IF(COUNTIFS($S$5:$S$1000,$S52,$V$5:$V$1000,"Macro",$H$5:$H$1000,"&gt;0")=0,1/COUNTIFS($S$5:$S$1000,$S52,$V$5:$V$1000,"Macro"),IF(AND(ISNUMBER($H52),N($H52)&gt;0),$H52,SUMIFS($H$5:$H$1000,$S$5:$S$1000,$S52,$V$5:$V$1000,"Macro")/COUNTIFS($S$5:$S$1000,$S52,$V$5:$V$1000,"Macro",$H$5:$H$1000,"&gt;0"))/(COUNTIFS($S$5:$S$1000,$S52,$V$5:$V$1000,"Macro")*SUMIFS($H$5:$H$1000,$S$5:$S$1000,$S52,$V$5:$V$1000,"Macro")/COUNTIFS($S$5:$S$1000,$S52,$V$5:$V$1000,"Macro",$H$5:$H$1000,"&gt;0"))))</f>
        <v/>
      </c>
      <c r="AH52" s="62" t="n"/>
      <c r="AI52" s="62" t="n"/>
      <c r="AJ52" s="62" t="n"/>
      <c r="AK52" s="62" t="n"/>
      <c r="AL52" s="62">
        <f>IF(LEFT($C52,11)="[Jefatura] ",IFERROR(MATCH("Riesgo Operacional|"&amp;MID($C52,12,500),rDname_ADM,0),0),"")</f>
        <v/>
      </c>
      <c r="AM52" s="62">
        <f>IF(N($AL52)&gt;0,INDEX(rIni_ADM,$AL52),IF(ISNUMBER($E52),$E52,""))</f>
        <v/>
      </c>
      <c r="AN52" s="62">
        <f>IF(N($AL52)&gt;0,INDEX(rLim_ADM,$AL52),IF(ISNUMBER($F52),$F52,""))</f>
        <v/>
      </c>
    </row>
    <row r="53">
      <c r="A53" s="56">
        <f>IF(NOT((COUNTA($B53:$D53)+COUNTA($G53:$L53)+COUNTA($Q53))&gt;0),"",IF($V53="Macro",COUNTIFS($V$5:$V53,"Macro",$S$5:$S53,$S53),IF(N($U53)=0,"?",COUNTIFS(INDEX($V$5:$V$1000,1):INDEX($V$5:$V$1000,$U53-4),"Macro",INDEX($S$5:$S$1000,1):INDEX($S$5:$S$1000,$U53-4),INDEX($S$5:$S$1000,$U53-4))&amp;"."&amp;COUNTIFS($U$5:$U53,$U53,$V$5:$V53,"Sub"))))</f>
        <v/>
      </c>
      <c r="B53" s="57" t="n"/>
      <c r="C53" s="58" t="n"/>
      <c r="D53" s="58" t="n"/>
      <c r="E53" s="59">
        <f>IF(N($AL53)&gt;0,INDEX(rIni_ADM,$AL53),"")</f>
        <v/>
      </c>
      <c r="F53" s="59">
        <f>IF(N($AL53)&gt;0,INDEX(rLim_ADM,$AL53),"")</f>
        <v/>
      </c>
      <c r="G53" s="59" t="n"/>
      <c r="H53" s="60" t="n"/>
      <c r="I53" s="60" t="n"/>
      <c r="J53" s="60" t="n"/>
      <c r="K53" s="60" t="n"/>
      <c r="L53" s="60" t="n"/>
      <c r="M53" s="61">
        <f>IF(NOT((COUNTA($B53:$D53)+COUNTA($G53:$L53)+COUNTA($Q53))&gt;0),"",IF($V53="Sub",IFERROR($X53/INDEX($W$5:$W$1000,$U53-4),""),IF(ISNUMBER($G53),1,IF(N($W53)&gt;0,AVERAGEIFS($X$5:$X$1000,$U$5:$U$1000,ROW(),$V$5:$V$1000,"Sub"),$X53))))</f>
        <v/>
      </c>
      <c r="N53" s="56">
        <f>IF(OR($M53="",$V53="Sub"),"",IF($M53&gt;=1,"Completado",IF($M53&gt;0,"En curso","Pendiente")))</f>
        <v/>
      </c>
      <c r="O53" s="56">
        <f>IF(OR(NOT((COUNTA($B53:$D53)+COUNTA($G53:$L53)+COUNTA($Q53))&gt;0),$V53="Sub"),"",IF(ISNUMBER($G53),IF(AND(ISNUMBER($AN53),$G53&gt;$AN53),"Cumplida con "&amp;($G53-$AN53)&amp;IF($G53-$AN53=1," día"," días")&amp;" de retraso","Cumplida"),IF(N($M53)&gt;=1,"Cumplida",IF(NOT(ISNUMBER($AN53)),"Sin fecha límite",IF($AN53&lt;FechaRef,"Vencida hace "&amp;(FechaRef-$AN53)&amp;IF(FechaRef-$AN53=1," día"," días"),IF($AN53=FechaRef,"Vence hoy",IF($AN53-FechaRef&lt;=DiasAlerta,"Vence en "&amp;($AN53-FechaRef)&amp;IF($AN53-FechaRef=1," día"," días"),"En plazo")))))))</f>
        <v/>
      </c>
      <c r="P53" s="62" t="n"/>
      <c r="Q53" s="58" t="n"/>
      <c r="R53" s="63">
        <f>IF(NOT((COUNTA($B53:$D53)+COUNTA($G53:$L53)+COUNTA($Q53))&gt;0),"",IF((IF($C53="","Falta el nombre de la actividad"&amp;" · ","")&amp;IF(AND($V53="Sub",N($U53)=0),"Subactividad sin macroactividad arriba"&amp;" · ","")&amp;IF($AM53="","Sin fecha de inicio"&amp;" · ","")&amp;IF($AN53="","Sin fecha límite"&amp;" · ","")&amp;IF(AND(LEFT($C53,11)="[Jefatura] ",N($AL53)=0),"No se encuentra en la hoja de la jefatura (elíjala de nuevo en la lista)"&amp;" · ","")&amp;IF(OR(AND($E53&lt;&gt;"",NOT(ISNUMBER($E53))),AND($F53&lt;&gt;"",NOT(ISNUMBER($F53))),AND($G53&lt;&gt;"",NOT(ISNUMBER($G53)))),"Fecha no válida"&amp;" · ","")&amp;IF(AND(ISNUMBER($AM53),ISNUMBER($AN53),$AM53&gt;$AN53),"Inicio posterior a fecha límite"&amp;" · ","")&amp;IF(AND($V53="Macro",$H53&lt;&gt;"",OR(NOT(ISNUMBER($H53)),$H53&lt;0,$H53&gt;1)),"Peso fuera de rango"&amp;" · ","")&amp;IF(AND($V53="Sub",$H53&lt;&gt;""),"Las subactividades no llevan peso (valen igual dentro de su macroactividad)"&amp;" · ","")&amp;IF(AND(N($W53)&gt;0,COUNT($I53:$L53)&gt;0),"Con subactividades: deje vacías las semanas (se calculan solas)"&amp;" · ","")&amp;IF((COUNTIF($I53:$L53,"&gt;1")+COUNTIF($I53:$L53,"&lt;0")+COUNTA($I53:$L53)-COUNT($I53:$L53))&gt;0,"Avance fuera de rango 0-100%"&amp;" · ","")&amp;IF(OR(AND($J53&lt;&gt;"",$J53&lt;$I53),AND($K53&lt;&gt;"",$K53&lt;MAX($I53:$J53)),AND($L53&lt;&gt;"",$L53&lt;MAX($I53:$K53))),"Avance semanal decreciente"&amp;" · ","")&amp;IF(AND(ISNUMBER($AN53),$AN53&lt;FechaRef,IF($V53="Sub",N($X53),N($M53))&lt;1),"Vencida"&amp;" · ","")&amp;IF(AND(ObsObligatoria="Sí",ISNUMBER($AN53),$AN53&lt;FechaRef,IF($V53="Sub",N($X53),N($M53))&lt;1,$Q53=""),"Vencida sin observación"&amp;" · ",""))="","✔ OK","⚠ "&amp;LEFT(IF($C53="","Falta el nombre de la actividad"&amp;" · ","")&amp;IF(AND($V53="Sub",N($U53)=0),"Subactividad sin macroactividad arriba"&amp;" · ","")&amp;IF($AM53="","Sin fecha de inicio"&amp;" · ","")&amp;IF($AN53="","Sin fecha límite"&amp;" · ","")&amp;IF(AND(LEFT($C53,11)="[Jefatura] ",N($AL53)=0),"No se encuentra en la hoja de la jefatura (elíjala de nuevo en la lista)"&amp;" · ","")&amp;IF(OR(AND($E53&lt;&gt;"",NOT(ISNUMBER($E53))),AND($F53&lt;&gt;"",NOT(ISNUMBER($F53))),AND($G53&lt;&gt;"",NOT(ISNUMBER($G53)))),"Fecha no válida"&amp;" · ","")&amp;IF(AND(ISNUMBER($AM53),ISNUMBER($AN53),$AM53&gt;$AN53),"Inicio posterior a fecha límite"&amp;" · ","")&amp;IF(AND($V53="Macro",$H53&lt;&gt;"",OR(NOT(ISNUMBER($H53)),$H53&lt;0,$H53&gt;1)),"Peso fuera de rango"&amp;" · ","")&amp;IF(AND($V53="Sub",$H53&lt;&gt;""),"Las subactividades no llevan peso (valen igual dentro de su macroactividad)"&amp;" · ","")&amp;IF(AND(N($W53)&gt;0,COUNT($I53:$L53)&gt;0),"Con subactividades: deje vacías las semanas (se calculan solas)"&amp;" · ","")&amp;IF((COUNTIF($I53:$L53,"&gt;1")+COUNTIF($I53:$L53,"&lt;0")+COUNTA($I53:$L53)-COUNT($I53:$L53))&gt;0,"Avance fuera de rango 0-100%"&amp;" · ","")&amp;IF(OR(AND($J53&lt;&gt;"",$J53&lt;$I53),AND($K53&lt;&gt;"",$K53&lt;MAX($I53:$J53)),AND($L53&lt;&gt;"",$L53&lt;MAX($I53:$K53))),"Avance semanal decreciente"&amp;" · ","")&amp;IF(AND(ISNUMBER($AN53),$AN53&lt;FechaRef,IF($V53="Sub",N($X53),N($M53))&lt;1),"Vencida"&amp;" · ","")&amp;IF(AND(ObsObligatoria="Sí",ISNUMBER($AN53),$AN53&lt;FechaRef,IF($V53="Sub",N($X53),N($M53))&lt;1,$Q53=""),"Vencida sin observación"&amp;" · ",""),LEN(IF($C53="","Falta el nombre de la actividad"&amp;" · ","")&amp;IF(AND($V53="Sub",N($U53)=0),"Subactividad sin macroactividad arriba"&amp;" · ","")&amp;IF($AM53="","Sin fecha de inicio"&amp;" · ","")&amp;IF($AN53="","Sin fecha límite"&amp;" · ","")&amp;IF(AND(LEFT($C53,11)="[Jefatura] ",N($AL53)=0),"No se encuentra en la hoja de la jefatura (elíjala de nuevo en la lista)"&amp;" · ","")&amp;IF(OR(AND($E53&lt;&gt;"",NOT(ISNUMBER($E53))),AND($F53&lt;&gt;"",NOT(ISNUMBER($F53))),AND($G53&lt;&gt;"",NOT(ISNUMBER($G53)))),"Fecha no válida"&amp;" · ","")&amp;IF(AND(ISNUMBER($AM53),ISNUMBER($AN53),$AM53&gt;$AN53),"Inicio posterior a fecha límite"&amp;" · ","")&amp;IF(AND($V53="Macro",$H53&lt;&gt;"",OR(NOT(ISNUMBER($H53)),$H53&lt;0,$H53&gt;1)),"Peso fuera de rango"&amp;" · ","")&amp;IF(AND($V53="Sub",$H53&lt;&gt;""),"Las subactividades no llevan peso (valen igual dentro de su macroactividad)"&amp;" · ","")&amp;IF(AND(N($W53)&gt;0,COUNT($I53:$L53)&gt;0),"Con subactividades: deje vacías las semanas (se calculan solas)"&amp;" · ","")&amp;IF((COUNTIF($I53:$L53,"&gt;1")+COUNTIF($I53:$L53,"&lt;0")+COUNTA($I53:$L53)-COUNT($I53:$L53))&gt;0,"Avance fuera de rango 0-100%"&amp;" · ","")&amp;IF(OR(AND($J53&lt;&gt;"",$J53&lt;$I53),AND($K53&lt;&gt;"",$K53&lt;MAX($I53:$J53)),AND($L53&lt;&gt;"",$L53&lt;MAX($I53:$K53))),"Avance semanal decreciente"&amp;" · ","")&amp;IF(AND(ISNUMBER($AN53),$AN53&lt;FechaRef,IF($V53="Sub",N($X53),N($M53))&lt;1),"Vencida"&amp;" · ","")&amp;IF(AND(ObsObligatoria="Sí",ISNUMBER($AN53),$AN53&lt;FechaRef,IF($V53="Sub",N($X53),N($M53))&lt;1,$Q53=""),"Vencida sin observación"&amp;" · ",""))-3)))</f>
        <v/>
      </c>
      <c r="S53" s="64">
        <f>IF(NOT((COUNTA($B53:$D53)+COUNTA($G53:$L53)+COUNTA($Q53))&gt;0),"",IF(AND($V53="Sub",N($U53)&gt;0),IF(ISNUMBER(INDEX($AM$5:$AM$1000,$U53-4)),DATE(YEAR(INDEX($AM$5:$AM$1000,$U53-4)),MONTH(INDEX($AM$5:$AM$1000,$U53-4)),1),IF(ISNUMBER(INDEX($AN$5:$AN$1000,$U53-4)),DATE(YEAR(INDEX($AN$5:$AN$1000,$U53-4)),MONTH(INDEX($AN$5:$AN$1000,$U53-4)),1),MesCiclo)),IF(ISNUMBER($AM53),DATE(YEAR($AM53),MONTH($AM53),1),IF(ISNUMBER($AN53),DATE(YEAR($AN53),MONTH($AN53),1),MesCiclo))))</f>
        <v/>
      </c>
      <c r="T53" s="62">
        <f>IF(OR($S53="",$S53&lt;&gt;MesCiclo,$V53&lt;&gt;"Macro"),"",COUNTIFS($S$5:$S53,MesCiclo,$V$5:$V53,"Macro"))</f>
        <v/>
      </c>
      <c r="U53" s="62">
        <f>IF($V53="","",IF($V53="Macro",ROW(),IFERROR(LOOKUP(2,1/($V$5:$V53="Macro"),ROW($V$5:$V53)),0)))</f>
        <v/>
      </c>
      <c r="V53" s="62">
        <f>IF(NOT((COUNTA($B53:$D53)+COUNTA($G53:$L53)+COUNTA($Q53))&gt;0),"",IF($B53="Subactividad","Sub","Macro"))</f>
        <v/>
      </c>
      <c r="W53" s="62">
        <f>IF($V53="Macro",COUNTIFS($U$5:$U$1000,ROW(),$V$5:$V$1000,"Sub"),"")</f>
        <v/>
      </c>
      <c r="X53" s="62">
        <f>IF($V53="","",IF(ISNUMBER($G53),1,IFERROR(LOOKUP(2,1/($I53:$L53&lt;&gt;""),$I53:$L53),0)))</f>
        <v/>
      </c>
      <c r="Y53" s="62">
        <f>IF($V53="","",IF(AND(ISNUMBER($G53),$G53&lt;=IF($S53=MesCiclo,InicioCiclo,$S53+MOD(2-WEEKDAY($S53),7))+6),1,IF(ISNUMBER($I53),$I53,0)))</f>
        <v/>
      </c>
      <c r="Z53" s="62">
        <f>IF($V53="","",IF(AND(ISNUMBER($G53),$G53&lt;=IF($S53=MesCiclo,InicioCiclo,$S53+MOD(2-WEEKDAY($S53),7))+13),1,IF(ISNUMBER($J53),$J53,$Y53)))</f>
        <v/>
      </c>
      <c r="AA53" s="62">
        <f>IF($V53="","",IF(AND(ISNUMBER($G53),$G53&lt;=IF($S53=MesCiclo,InicioCiclo,$S53+MOD(2-WEEKDAY($S53),7))+20),1,IF(ISNUMBER($K53),$K53,$Z53)))</f>
        <v/>
      </c>
      <c r="AB53" s="62">
        <f>IF($V53="","",IF(AND(ISNUMBER($G53),$G53&lt;=IF($S53=MesCiclo,InicioCiclo,$S53+MOD(2-WEEKDAY($S53),7))+27),1,IF(ISNUMBER($L53),$L53,$AA53)))</f>
        <v/>
      </c>
      <c r="AC53" s="62">
        <f>IF($V53="","",IF(AND(ISNUMBER($G53),$G53&lt;=IF($S53=MesCiclo,InicioCiclo,$S53+MOD(2-WEEKDAY($S53),7))+6),1,IF(N($W53)&gt;0,AVERAGEIFS($Y$5:$Y$1000,$U$5:$U$1000,ROW(),$V$5:$V$1000,"Sub"),$Y53)))</f>
        <v/>
      </c>
      <c r="AD53" s="62">
        <f>IF($V53="","",IF(AND(ISNUMBER($G53),$G53&lt;=IF($S53=MesCiclo,InicioCiclo,$S53+MOD(2-WEEKDAY($S53),7))+13),1,IF(N($W53)&gt;0,AVERAGEIFS($Z$5:$Z$1000,$U$5:$U$1000,ROW(),$V$5:$V$1000,"Sub"),$Z53)))</f>
        <v/>
      </c>
      <c r="AE53" s="62">
        <f>IF($V53="","",IF(AND(ISNUMBER($G53),$G53&lt;=IF($S53=MesCiclo,InicioCiclo,$S53+MOD(2-WEEKDAY($S53),7))+20),1,IF(N($W53)&gt;0,AVERAGEIFS($AA$5:$AA$1000,$U$5:$U$1000,ROW(),$V$5:$V$1000,"Sub"),$AA53)))</f>
        <v/>
      </c>
      <c r="AF53" s="62">
        <f>IF($V53="","",IF(AND(ISNUMBER($G53),$G53&lt;=IF($S53=MesCiclo,InicioCiclo,$S53+MOD(2-WEEKDAY($S53),7))+27),1,IF(N($W53)&gt;0,AVERAGEIFS($AB$5:$AB$1000,$U$5:$U$1000,ROW(),$V$5:$V$1000,"Sub"),$AB53)))</f>
        <v/>
      </c>
      <c r="AG53" s="62">
        <f>IF($V53&lt;&gt;"Macro","",IF(COUNTIFS($S$5:$S$1000,$S53,$V$5:$V$1000,"Macro",$H$5:$H$1000,"&gt;0")=0,1/COUNTIFS($S$5:$S$1000,$S53,$V$5:$V$1000,"Macro"),IF(AND(ISNUMBER($H53),N($H53)&gt;0),$H53,SUMIFS($H$5:$H$1000,$S$5:$S$1000,$S53,$V$5:$V$1000,"Macro")/COUNTIFS($S$5:$S$1000,$S53,$V$5:$V$1000,"Macro",$H$5:$H$1000,"&gt;0"))/(COUNTIFS($S$5:$S$1000,$S53,$V$5:$V$1000,"Macro")*SUMIFS($H$5:$H$1000,$S$5:$S$1000,$S53,$V$5:$V$1000,"Macro")/COUNTIFS($S$5:$S$1000,$S53,$V$5:$V$1000,"Macro",$H$5:$H$1000,"&gt;0"))))</f>
        <v/>
      </c>
      <c r="AH53" s="62" t="n"/>
      <c r="AI53" s="62" t="n"/>
      <c r="AJ53" s="62" t="n"/>
      <c r="AK53" s="62" t="n"/>
      <c r="AL53" s="62">
        <f>IF(LEFT($C53,11)="[Jefatura] ",IFERROR(MATCH("Riesgo Operacional|"&amp;MID($C53,12,500),rDname_ADM,0),0),"")</f>
        <v/>
      </c>
      <c r="AM53" s="62">
        <f>IF(N($AL53)&gt;0,INDEX(rIni_ADM,$AL53),IF(ISNUMBER($E53),$E53,""))</f>
        <v/>
      </c>
      <c r="AN53" s="62">
        <f>IF(N($AL53)&gt;0,INDEX(rLim_ADM,$AL53),IF(ISNUMBER($F53),$F53,""))</f>
        <v/>
      </c>
    </row>
    <row r="54">
      <c r="A54" s="56">
        <f>IF(NOT((COUNTA($B54:$D54)+COUNTA($G54:$L54)+COUNTA($Q54))&gt;0),"",IF($V54="Macro",COUNTIFS($V$5:$V54,"Macro",$S$5:$S54,$S54),IF(N($U54)=0,"?",COUNTIFS(INDEX($V$5:$V$1000,1):INDEX($V$5:$V$1000,$U54-4),"Macro",INDEX($S$5:$S$1000,1):INDEX($S$5:$S$1000,$U54-4),INDEX($S$5:$S$1000,$U54-4))&amp;"."&amp;COUNTIFS($U$5:$U54,$U54,$V$5:$V54,"Sub"))))</f>
        <v/>
      </c>
      <c r="B54" s="57" t="n"/>
      <c r="C54" s="58" t="n"/>
      <c r="D54" s="58" t="n"/>
      <c r="E54" s="59">
        <f>IF(N($AL54)&gt;0,INDEX(rIni_ADM,$AL54),"")</f>
        <v/>
      </c>
      <c r="F54" s="59">
        <f>IF(N($AL54)&gt;0,INDEX(rLim_ADM,$AL54),"")</f>
        <v/>
      </c>
      <c r="G54" s="59" t="n"/>
      <c r="H54" s="60" t="n"/>
      <c r="I54" s="60" t="n"/>
      <c r="J54" s="60" t="n"/>
      <c r="K54" s="60" t="n"/>
      <c r="L54" s="60" t="n"/>
      <c r="M54" s="61">
        <f>IF(NOT((COUNTA($B54:$D54)+COUNTA($G54:$L54)+COUNTA($Q54))&gt;0),"",IF($V54="Sub",IFERROR($X54/INDEX($W$5:$W$1000,$U54-4),""),IF(ISNUMBER($G54),1,IF(N($W54)&gt;0,AVERAGEIFS($X$5:$X$1000,$U$5:$U$1000,ROW(),$V$5:$V$1000,"Sub"),$X54))))</f>
        <v/>
      </c>
      <c r="N54" s="56">
        <f>IF(OR($M54="",$V54="Sub"),"",IF($M54&gt;=1,"Completado",IF($M54&gt;0,"En curso","Pendiente")))</f>
        <v/>
      </c>
      <c r="O54" s="56">
        <f>IF(OR(NOT((COUNTA($B54:$D54)+COUNTA($G54:$L54)+COUNTA($Q54))&gt;0),$V54="Sub"),"",IF(ISNUMBER($G54),IF(AND(ISNUMBER($AN54),$G54&gt;$AN54),"Cumplida con "&amp;($G54-$AN54)&amp;IF($G54-$AN54=1," día"," días")&amp;" de retraso","Cumplida"),IF(N($M54)&gt;=1,"Cumplida",IF(NOT(ISNUMBER($AN54)),"Sin fecha límite",IF($AN54&lt;FechaRef,"Vencida hace "&amp;(FechaRef-$AN54)&amp;IF(FechaRef-$AN54=1," día"," días"),IF($AN54=FechaRef,"Vence hoy",IF($AN54-FechaRef&lt;=DiasAlerta,"Vence en "&amp;($AN54-FechaRef)&amp;IF($AN54-FechaRef=1," día"," días"),"En plazo")))))))</f>
        <v/>
      </c>
      <c r="P54" s="62" t="n"/>
      <c r="Q54" s="58" t="n"/>
      <c r="R54" s="63">
        <f>IF(NOT((COUNTA($B54:$D54)+COUNTA($G54:$L54)+COUNTA($Q54))&gt;0),"",IF((IF($C54="","Falta el nombre de la actividad"&amp;" · ","")&amp;IF(AND($V54="Sub",N($U54)=0),"Subactividad sin macroactividad arriba"&amp;" · ","")&amp;IF($AM54="","Sin fecha de inicio"&amp;" · ","")&amp;IF($AN54="","Sin fecha límite"&amp;" · ","")&amp;IF(AND(LEFT($C54,11)="[Jefatura] ",N($AL54)=0),"No se encuentra en la hoja de la jefatura (elíjala de nuevo en la lista)"&amp;" · ","")&amp;IF(OR(AND($E54&lt;&gt;"",NOT(ISNUMBER($E54))),AND($F54&lt;&gt;"",NOT(ISNUMBER($F54))),AND($G54&lt;&gt;"",NOT(ISNUMBER($G54)))),"Fecha no válida"&amp;" · ","")&amp;IF(AND(ISNUMBER($AM54),ISNUMBER($AN54),$AM54&gt;$AN54),"Inicio posterior a fecha límite"&amp;" · ","")&amp;IF(AND($V54="Macro",$H54&lt;&gt;"",OR(NOT(ISNUMBER($H54)),$H54&lt;0,$H54&gt;1)),"Peso fuera de rango"&amp;" · ","")&amp;IF(AND($V54="Sub",$H54&lt;&gt;""),"Las subactividades no llevan peso (valen igual dentro de su macroactividad)"&amp;" · ","")&amp;IF(AND(N($W54)&gt;0,COUNT($I54:$L54)&gt;0),"Con subactividades: deje vacías las semanas (se calculan solas)"&amp;" · ","")&amp;IF((COUNTIF($I54:$L54,"&gt;1")+COUNTIF($I54:$L54,"&lt;0")+COUNTA($I54:$L54)-COUNT($I54:$L54))&gt;0,"Avance fuera de rango 0-100%"&amp;" · ","")&amp;IF(OR(AND($J54&lt;&gt;"",$J54&lt;$I54),AND($K54&lt;&gt;"",$K54&lt;MAX($I54:$J54)),AND($L54&lt;&gt;"",$L54&lt;MAX($I54:$K54))),"Avance semanal decreciente"&amp;" · ","")&amp;IF(AND(ISNUMBER($AN54),$AN54&lt;FechaRef,IF($V54="Sub",N($X54),N($M54))&lt;1),"Vencida"&amp;" · ","")&amp;IF(AND(ObsObligatoria="Sí",ISNUMBER($AN54),$AN54&lt;FechaRef,IF($V54="Sub",N($X54),N($M54))&lt;1,$Q54=""),"Vencida sin observación"&amp;" · ",""))="","✔ OK","⚠ "&amp;LEFT(IF($C54="","Falta el nombre de la actividad"&amp;" · ","")&amp;IF(AND($V54="Sub",N($U54)=0),"Subactividad sin macroactividad arriba"&amp;" · ","")&amp;IF($AM54="","Sin fecha de inicio"&amp;" · ","")&amp;IF($AN54="","Sin fecha límite"&amp;" · ","")&amp;IF(AND(LEFT($C54,11)="[Jefatura] ",N($AL54)=0),"No se encuentra en la hoja de la jefatura (elíjala de nuevo en la lista)"&amp;" · ","")&amp;IF(OR(AND($E54&lt;&gt;"",NOT(ISNUMBER($E54))),AND($F54&lt;&gt;"",NOT(ISNUMBER($F54))),AND($G54&lt;&gt;"",NOT(ISNUMBER($G54)))),"Fecha no válida"&amp;" · ","")&amp;IF(AND(ISNUMBER($AM54),ISNUMBER($AN54),$AM54&gt;$AN54),"Inicio posterior a fecha límite"&amp;" · ","")&amp;IF(AND($V54="Macro",$H54&lt;&gt;"",OR(NOT(ISNUMBER($H54)),$H54&lt;0,$H54&gt;1)),"Peso fuera de rango"&amp;" · ","")&amp;IF(AND($V54="Sub",$H54&lt;&gt;""),"Las subactividades no llevan peso (valen igual dentro de su macroactividad)"&amp;" · ","")&amp;IF(AND(N($W54)&gt;0,COUNT($I54:$L54)&gt;0),"Con subactividades: deje vacías las semanas (se calculan solas)"&amp;" · ","")&amp;IF((COUNTIF($I54:$L54,"&gt;1")+COUNTIF($I54:$L54,"&lt;0")+COUNTA($I54:$L54)-COUNT($I54:$L54))&gt;0,"Avance fuera de rango 0-100%"&amp;" · ","")&amp;IF(OR(AND($J54&lt;&gt;"",$J54&lt;$I54),AND($K54&lt;&gt;"",$K54&lt;MAX($I54:$J54)),AND($L54&lt;&gt;"",$L54&lt;MAX($I54:$K54))),"Avance semanal decreciente"&amp;" · ","")&amp;IF(AND(ISNUMBER($AN54),$AN54&lt;FechaRef,IF($V54="Sub",N($X54),N($M54))&lt;1),"Vencida"&amp;" · ","")&amp;IF(AND(ObsObligatoria="Sí",ISNUMBER($AN54),$AN54&lt;FechaRef,IF($V54="Sub",N($X54),N($M54))&lt;1,$Q54=""),"Vencida sin observación"&amp;" · ",""),LEN(IF($C54="","Falta el nombre de la actividad"&amp;" · ","")&amp;IF(AND($V54="Sub",N($U54)=0),"Subactividad sin macroactividad arriba"&amp;" · ","")&amp;IF($AM54="","Sin fecha de inicio"&amp;" · ","")&amp;IF($AN54="","Sin fecha límite"&amp;" · ","")&amp;IF(AND(LEFT($C54,11)="[Jefatura] ",N($AL54)=0),"No se encuentra en la hoja de la jefatura (elíjala de nuevo en la lista)"&amp;" · ","")&amp;IF(OR(AND($E54&lt;&gt;"",NOT(ISNUMBER($E54))),AND($F54&lt;&gt;"",NOT(ISNUMBER($F54))),AND($G54&lt;&gt;"",NOT(ISNUMBER($G54)))),"Fecha no válida"&amp;" · ","")&amp;IF(AND(ISNUMBER($AM54),ISNUMBER($AN54),$AM54&gt;$AN54),"Inicio posterior a fecha límite"&amp;" · ","")&amp;IF(AND($V54="Macro",$H54&lt;&gt;"",OR(NOT(ISNUMBER($H54)),$H54&lt;0,$H54&gt;1)),"Peso fuera de rango"&amp;" · ","")&amp;IF(AND($V54="Sub",$H54&lt;&gt;""),"Las subactividades no llevan peso (valen igual dentro de su macroactividad)"&amp;" · ","")&amp;IF(AND(N($W54)&gt;0,COUNT($I54:$L54)&gt;0),"Con subactividades: deje vacías las semanas (se calculan solas)"&amp;" · ","")&amp;IF((COUNTIF($I54:$L54,"&gt;1")+COUNTIF($I54:$L54,"&lt;0")+COUNTA($I54:$L54)-COUNT($I54:$L54))&gt;0,"Avance fuera de rango 0-100%"&amp;" · ","")&amp;IF(OR(AND($J54&lt;&gt;"",$J54&lt;$I54),AND($K54&lt;&gt;"",$K54&lt;MAX($I54:$J54)),AND($L54&lt;&gt;"",$L54&lt;MAX($I54:$K54))),"Avance semanal decreciente"&amp;" · ","")&amp;IF(AND(ISNUMBER($AN54),$AN54&lt;FechaRef,IF($V54="Sub",N($X54),N($M54))&lt;1),"Vencida"&amp;" · ","")&amp;IF(AND(ObsObligatoria="Sí",ISNUMBER($AN54),$AN54&lt;FechaRef,IF($V54="Sub",N($X54),N($M54))&lt;1,$Q54=""),"Vencida sin observación"&amp;" · ",""))-3)))</f>
        <v/>
      </c>
      <c r="S54" s="64">
        <f>IF(NOT((COUNTA($B54:$D54)+COUNTA($G54:$L54)+COUNTA($Q54))&gt;0),"",IF(AND($V54="Sub",N($U54)&gt;0),IF(ISNUMBER(INDEX($AM$5:$AM$1000,$U54-4)),DATE(YEAR(INDEX($AM$5:$AM$1000,$U54-4)),MONTH(INDEX($AM$5:$AM$1000,$U54-4)),1),IF(ISNUMBER(INDEX($AN$5:$AN$1000,$U54-4)),DATE(YEAR(INDEX($AN$5:$AN$1000,$U54-4)),MONTH(INDEX($AN$5:$AN$1000,$U54-4)),1),MesCiclo)),IF(ISNUMBER($AM54),DATE(YEAR($AM54),MONTH($AM54),1),IF(ISNUMBER($AN54),DATE(YEAR($AN54),MONTH($AN54),1),MesCiclo))))</f>
        <v/>
      </c>
      <c r="T54" s="62">
        <f>IF(OR($S54="",$S54&lt;&gt;MesCiclo,$V54&lt;&gt;"Macro"),"",COUNTIFS($S$5:$S54,MesCiclo,$V$5:$V54,"Macro"))</f>
        <v/>
      </c>
      <c r="U54" s="62">
        <f>IF($V54="","",IF($V54="Macro",ROW(),IFERROR(LOOKUP(2,1/($V$5:$V54="Macro"),ROW($V$5:$V54)),0)))</f>
        <v/>
      </c>
      <c r="V54" s="62">
        <f>IF(NOT((COUNTA($B54:$D54)+COUNTA($G54:$L54)+COUNTA($Q54))&gt;0),"",IF($B54="Subactividad","Sub","Macro"))</f>
        <v/>
      </c>
      <c r="W54" s="62">
        <f>IF($V54="Macro",COUNTIFS($U$5:$U$1000,ROW(),$V$5:$V$1000,"Sub"),"")</f>
        <v/>
      </c>
      <c r="X54" s="62">
        <f>IF($V54="","",IF(ISNUMBER($G54),1,IFERROR(LOOKUP(2,1/($I54:$L54&lt;&gt;""),$I54:$L54),0)))</f>
        <v/>
      </c>
      <c r="Y54" s="62">
        <f>IF($V54="","",IF(AND(ISNUMBER($G54),$G54&lt;=IF($S54=MesCiclo,InicioCiclo,$S54+MOD(2-WEEKDAY($S54),7))+6),1,IF(ISNUMBER($I54),$I54,0)))</f>
        <v/>
      </c>
      <c r="Z54" s="62">
        <f>IF($V54="","",IF(AND(ISNUMBER($G54),$G54&lt;=IF($S54=MesCiclo,InicioCiclo,$S54+MOD(2-WEEKDAY($S54),7))+13),1,IF(ISNUMBER($J54),$J54,$Y54)))</f>
        <v/>
      </c>
      <c r="AA54" s="62">
        <f>IF($V54="","",IF(AND(ISNUMBER($G54),$G54&lt;=IF($S54=MesCiclo,InicioCiclo,$S54+MOD(2-WEEKDAY($S54),7))+20),1,IF(ISNUMBER($K54),$K54,$Z54)))</f>
        <v/>
      </c>
      <c r="AB54" s="62">
        <f>IF($V54="","",IF(AND(ISNUMBER($G54),$G54&lt;=IF($S54=MesCiclo,InicioCiclo,$S54+MOD(2-WEEKDAY($S54),7))+27),1,IF(ISNUMBER($L54),$L54,$AA54)))</f>
        <v/>
      </c>
      <c r="AC54" s="62">
        <f>IF($V54="","",IF(AND(ISNUMBER($G54),$G54&lt;=IF($S54=MesCiclo,InicioCiclo,$S54+MOD(2-WEEKDAY($S54),7))+6),1,IF(N($W54)&gt;0,AVERAGEIFS($Y$5:$Y$1000,$U$5:$U$1000,ROW(),$V$5:$V$1000,"Sub"),$Y54)))</f>
        <v/>
      </c>
      <c r="AD54" s="62">
        <f>IF($V54="","",IF(AND(ISNUMBER($G54),$G54&lt;=IF($S54=MesCiclo,InicioCiclo,$S54+MOD(2-WEEKDAY($S54),7))+13),1,IF(N($W54)&gt;0,AVERAGEIFS($Z$5:$Z$1000,$U$5:$U$1000,ROW(),$V$5:$V$1000,"Sub"),$Z54)))</f>
        <v/>
      </c>
      <c r="AE54" s="62">
        <f>IF($V54="","",IF(AND(ISNUMBER($G54),$G54&lt;=IF($S54=MesCiclo,InicioCiclo,$S54+MOD(2-WEEKDAY($S54),7))+20),1,IF(N($W54)&gt;0,AVERAGEIFS($AA$5:$AA$1000,$U$5:$U$1000,ROW(),$V$5:$V$1000,"Sub"),$AA54)))</f>
        <v/>
      </c>
      <c r="AF54" s="62">
        <f>IF($V54="","",IF(AND(ISNUMBER($G54),$G54&lt;=IF($S54=MesCiclo,InicioCiclo,$S54+MOD(2-WEEKDAY($S54),7))+27),1,IF(N($W54)&gt;0,AVERAGEIFS($AB$5:$AB$1000,$U$5:$U$1000,ROW(),$V$5:$V$1000,"Sub"),$AB54)))</f>
        <v/>
      </c>
      <c r="AG54" s="62">
        <f>IF($V54&lt;&gt;"Macro","",IF(COUNTIFS($S$5:$S$1000,$S54,$V$5:$V$1000,"Macro",$H$5:$H$1000,"&gt;0")=0,1/COUNTIFS($S$5:$S$1000,$S54,$V$5:$V$1000,"Macro"),IF(AND(ISNUMBER($H54),N($H54)&gt;0),$H54,SUMIFS($H$5:$H$1000,$S$5:$S$1000,$S54,$V$5:$V$1000,"Macro")/COUNTIFS($S$5:$S$1000,$S54,$V$5:$V$1000,"Macro",$H$5:$H$1000,"&gt;0"))/(COUNTIFS($S$5:$S$1000,$S54,$V$5:$V$1000,"Macro")*SUMIFS($H$5:$H$1000,$S$5:$S$1000,$S54,$V$5:$V$1000,"Macro")/COUNTIFS($S$5:$S$1000,$S54,$V$5:$V$1000,"Macro",$H$5:$H$1000,"&gt;0"))))</f>
        <v/>
      </c>
      <c r="AH54" s="62" t="n"/>
      <c r="AI54" s="62" t="n"/>
      <c r="AJ54" s="62" t="n"/>
      <c r="AK54" s="62" t="n"/>
      <c r="AL54" s="62">
        <f>IF(LEFT($C54,11)="[Jefatura] ",IFERROR(MATCH("Riesgo Operacional|"&amp;MID($C54,12,500),rDname_ADM,0),0),"")</f>
        <v/>
      </c>
      <c r="AM54" s="62">
        <f>IF(N($AL54)&gt;0,INDEX(rIni_ADM,$AL54),IF(ISNUMBER($E54),$E54,""))</f>
        <v/>
      </c>
      <c r="AN54" s="62">
        <f>IF(N($AL54)&gt;0,INDEX(rLim_ADM,$AL54),IF(ISNUMBER($F54),$F54,""))</f>
        <v/>
      </c>
    </row>
    <row r="55">
      <c r="A55" s="56">
        <f>IF(NOT((COUNTA($B55:$D55)+COUNTA($G55:$L55)+COUNTA($Q55))&gt;0),"",IF($V55="Macro",COUNTIFS($V$5:$V55,"Macro",$S$5:$S55,$S55),IF(N($U55)=0,"?",COUNTIFS(INDEX($V$5:$V$1000,1):INDEX($V$5:$V$1000,$U55-4),"Macro",INDEX($S$5:$S$1000,1):INDEX($S$5:$S$1000,$U55-4),INDEX($S$5:$S$1000,$U55-4))&amp;"."&amp;COUNTIFS($U$5:$U55,$U55,$V$5:$V55,"Sub"))))</f>
        <v/>
      </c>
      <c r="B55" s="57" t="n"/>
      <c r="C55" s="58" t="n"/>
      <c r="D55" s="58" t="n"/>
      <c r="E55" s="59">
        <f>IF(N($AL55)&gt;0,INDEX(rIni_ADM,$AL55),"")</f>
        <v/>
      </c>
      <c r="F55" s="59">
        <f>IF(N($AL55)&gt;0,INDEX(rLim_ADM,$AL55),"")</f>
        <v/>
      </c>
      <c r="G55" s="59" t="n"/>
      <c r="H55" s="60" t="n"/>
      <c r="I55" s="60" t="n"/>
      <c r="J55" s="60" t="n"/>
      <c r="K55" s="60" t="n"/>
      <c r="L55" s="60" t="n"/>
      <c r="M55" s="61">
        <f>IF(NOT((COUNTA($B55:$D55)+COUNTA($G55:$L55)+COUNTA($Q55))&gt;0),"",IF($V55="Sub",IFERROR($X55/INDEX($W$5:$W$1000,$U55-4),""),IF(ISNUMBER($G55),1,IF(N($W55)&gt;0,AVERAGEIFS($X$5:$X$1000,$U$5:$U$1000,ROW(),$V$5:$V$1000,"Sub"),$X55))))</f>
        <v/>
      </c>
      <c r="N55" s="56">
        <f>IF(OR($M55="",$V55="Sub"),"",IF($M55&gt;=1,"Completado",IF($M55&gt;0,"En curso","Pendiente")))</f>
        <v/>
      </c>
      <c r="O55" s="56">
        <f>IF(OR(NOT((COUNTA($B55:$D55)+COUNTA($G55:$L55)+COUNTA($Q55))&gt;0),$V55="Sub"),"",IF(ISNUMBER($G55),IF(AND(ISNUMBER($AN55),$G55&gt;$AN55),"Cumplida con "&amp;($G55-$AN55)&amp;IF($G55-$AN55=1," día"," días")&amp;" de retraso","Cumplida"),IF(N($M55)&gt;=1,"Cumplida",IF(NOT(ISNUMBER($AN55)),"Sin fecha límite",IF($AN55&lt;FechaRef,"Vencida hace "&amp;(FechaRef-$AN55)&amp;IF(FechaRef-$AN55=1," día"," días"),IF($AN55=FechaRef,"Vence hoy",IF($AN55-FechaRef&lt;=DiasAlerta,"Vence en "&amp;($AN55-FechaRef)&amp;IF($AN55-FechaRef=1," día"," días"),"En plazo")))))))</f>
        <v/>
      </c>
      <c r="P55" s="62" t="n"/>
      <c r="Q55" s="58" t="n"/>
      <c r="R55" s="63">
        <f>IF(NOT((COUNTA($B55:$D55)+COUNTA($G55:$L55)+COUNTA($Q55))&gt;0),"",IF((IF($C55="","Falta el nombre de la actividad"&amp;" · ","")&amp;IF(AND($V55="Sub",N($U55)=0),"Subactividad sin macroactividad arriba"&amp;" · ","")&amp;IF($AM55="","Sin fecha de inicio"&amp;" · ","")&amp;IF($AN55="","Sin fecha límite"&amp;" · ","")&amp;IF(AND(LEFT($C55,11)="[Jefatura] ",N($AL55)=0),"No se encuentra en la hoja de la jefatura (elíjala de nuevo en la lista)"&amp;" · ","")&amp;IF(OR(AND($E55&lt;&gt;"",NOT(ISNUMBER($E55))),AND($F55&lt;&gt;"",NOT(ISNUMBER($F55))),AND($G55&lt;&gt;"",NOT(ISNUMBER($G55)))),"Fecha no válida"&amp;" · ","")&amp;IF(AND(ISNUMBER($AM55),ISNUMBER($AN55),$AM55&gt;$AN55),"Inicio posterior a fecha límite"&amp;" · ","")&amp;IF(AND($V55="Macro",$H55&lt;&gt;"",OR(NOT(ISNUMBER($H55)),$H55&lt;0,$H55&gt;1)),"Peso fuera de rango"&amp;" · ","")&amp;IF(AND($V55="Sub",$H55&lt;&gt;""),"Las subactividades no llevan peso (valen igual dentro de su macroactividad)"&amp;" · ","")&amp;IF(AND(N($W55)&gt;0,COUNT($I55:$L55)&gt;0),"Con subactividades: deje vacías las semanas (se calculan solas)"&amp;" · ","")&amp;IF((COUNTIF($I55:$L55,"&gt;1")+COUNTIF($I55:$L55,"&lt;0")+COUNTA($I55:$L55)-COUNT($I55:$L55))&gt;0,"Avance fuera de rango 0-100%"&amp;" · ","")&amp;IF(OR(AND($J55&lt;&gt;"",$J55&lt;$I55),AND($K55&lt;&gt;"",$K55&lt;MAX($I55:$J55)),AND($L55&lt;&gt;"",$L55&lt;MAX($I55:$K55))),"Avance semanal decreciente"&amp;" · ","")&amp;IF(AND(ISNUMBER($AN55),$AN55&lt;FechaRef,IF($V55="Sub",N($X55),N($M55))&lt;1),"Vencida"&amp;" · ","")&amp;IF(AND(ObsObligatoria="Sí",ISNUMBER($AN55),$AN55&lt;FechaRef,IF($V55="Sub",N($X55),N($M55))&lt;1,$Q55=""),"Vencida sin observación"&amp;" · ",""))="","✔ OK","⚠ "&amp;LEFT(IF($C55="","Falta el nombre de la actividad"&amp;" · ","")&amp;IF(AND($V55="Sub",N($U55)=0),"Subactividad sin macroactividad arriba"&amp;" · ","")&amp;IF($AM55="","Sin fecha de inicio"&amp;" · ","")&amp;IF($AN55="","Sin fecha límite"&amp;" · ","")&amp;IF(AND(LEFT($C55,11)="[Jefatura] ",N($AL55)=0),"No se encuentra en la hoja de la jefatura (elíjala de nuevo en la lista)"&amp;" · ","")&amp;IF(OR(AND($E55&lt;&gt;"",NOT(ISNUMBER($E55))),AND($F55&lt;&gt;"",NOT(ISNUMBER($F55))),AND($G55&lt;&gt;"",NOT(ISNUMBER($G55)))),"Fecha no válida"&amp;" · ","")&amp;IF(AND(ISNUMBER($AM55),ISNUMBER($AN55),$AM55&gt;$AN55),"Inicio posterior a fecha límite"&amp;" · ","")&amp;IF(AND($V55="Macro",$H55&lt;&gt;"",OR(NOT(ISNUMBER($H55)),$H55&lt;0,$H55&gt;1)),"Peso fuera de rango"&amp;" · ","")&amp;IF(AND($V55="Sub",$H55&lt;&gt;""),"Las subactividades no llevan peso (valen igual dentro de su macroactividad)"&amp;" · ","")&amp;IF(AND(N($W55)&gt;0,COUNT($I55:$L55)&gt;0),"Con subactividades: deje vacías las semanas (se calculan solas)"&amp;" · ","")&amp;IF((COUNTIF($I55:$L55,"&gt;1")+COUNTIF($I55:$L55,"&lt;0")+COUNTA($I55:$L55)-COUNT($I55:$L55))&gt;0,"Avance fuera de rango 0-100%"&amp;" · ","")&amp;IF(OR(AND($J55&lt;&gt;"",$J55&lt;$I55),AND($K55&lt;&gt;"",$K55&lt;MAX($I55:$J55)),AND($L55&lt;&gt;"",$L55&lt;MAX($I55:$K55))),"Avance semanal decreciente"&amp;" · ","")&amp;IF(AND(ISNUMBER($AN55),$AN55&lt;FechaRef,IF($V55="Sub",N($X55),N($M55))&lt;1),"Vencida"&amp;" · ","")&amp;IF(AND(ObsObligatoria="Sí",ISNUMBER($AN55),$AN55&lt;FechaRef,IF($V55="Sub",N($X55),N($M55))&lt;1,$Q55=""),"Vencida sin observación"&amp;" · ",""),LEN(IF($C55="","Falta el nombre de la actividad"&amp;" · ","")&amp;IF(AND($V55="Sub",N($U55)=0),"Subactividad sin macroactividad arriba"&amp;" · ","")&amp;IF($AM55="","Sin fecha de inicio"&amp;" · ","")&amp;IF($AN55="","Sin fecha límite"&amp;" · ","")&amp;IF(AND(LEFT($C55,11)="[Jefatura] ",N($AL55)=0),"No se encuentra en la hoja de la jefatura (elíjala de nuevo en la lista)"&amp;" · ","")&amp;IF(OR(AND($E55&lt;&gt;"",NOT(ISNUMBER($E55))),AND($F55&lt;&gt;"",NOT(ISNUMBER($F55))),AND($G55&lt;&gt;"",NOT(ISNUMBER($G55)))),"Fecha no válida"&amp;" · ","")&amp;IF(AND(ISNUMBER($AM55),ISNUMBER($AN55),$AM55&gt;$AN55),"Inicio posterior a fecha límite"&amp;" · ","")&amp;IF(AND($V55="Macro",$H55&lt;&gt;"",OR(NOT(ISNUMBER($H55)),$H55&lt;0,$H55&gt;1)),"Peso fuera de rango"&amp;" · ","")&amp;IF(AND($V55="Sub",$H55&lt;&gt;""),"Las subactividades no llevan peso (valen igual dentro de su macroactividad)"&amp;" · ","")&amp;IF(AND(N($W55)&gt;0,COUNT($I55:$L55)&gt;0),"Con subactividades: deje vacías las semanas (se calculan solas)"&amp;" · ","")&amp;IF((COUNTIF($I55:$L55,"&gt;1")+COUNTIF($I55:$L55,"&lt;0")+COUNTA($I55:$L55)-COUNT($I55:$L55))&gt;0,"Avance fuera de rango 0-100%"&amp;" · ","")&amp;IF(OR(AND($J55&lt;&gt;"",$J55&lt;$I55),AND($K55&lt;&gt;"",$K55&lt;MAX($I55:$J55)),AND($L55&lt;&gt;"",$L55&lt;MAX($I55:$K55))),"Avance semanal decreciente"&amp;" · ","")&amp;IF(AND(ISNUMBER($AN55),$AN55&lt;FechaRef,IF($V55="Sub",N($X55),N($M55))&lt;1),"Vencida"&amp;" · ","")&amp;IF(AND(ObsObligatoria="Sí",ISNUMBER($AN55),$AN55&lt;FechaRef,IF($V55="Sub",N($X55),N($M55))&lt;1,$Q55=""),"Vencida sin observación"&amp;" · ",""))-3)))</f>
        <v/>
      </c>
      <c r="S55" s="64">
        <f>IF(NOT((COUNTA($B55:$D55)+COUNTA($G55:$L55)+COUNTA($Q55))&gt;0),"",IF(AND($V55="Sub",N($U55)&gt;0),IF(ISNUMBER(INDEX($AM$5:$AM$1000,$U55-4)),DATE(YEAR(INDEX($AM$5:$AM$1000,$U55-4)),MONTH(INDEX($AM$5:$AM$1000,$U55-4)),1),IF(ISNUMBER(INDEX($AN$5:$AN$1000,$U55-4)),DATE(YEAR(INDEX($AN$5:$AN$1000,$U55-4)),MONTH(INDEX($AN$5:$AN$1000,$U55-4)),1),MesCiclo)),IF(ISNUMBER($AM55),DATE(YEAR($AM55),MONTH($AM55),1),IF(ISNUMBER($AN55),DATE(YEAR($AN55),MONTH($AN55),1),MesCiclo))))</f>
        <v/>
      </c>
      <c r="T55" s="62">
        <f>IF(OR($S55="",$S55&lt;&gt;MesCiclo,$V55&lt;&gt;"Macro"),"",COUNTIFS($S$5:$S55,MesCiclo,$V$5:$V55,"Macro"))</f>
        <v/>
      </c>
      <c r="U55" s="62">
        <f>IF($V55="","",IF($V55="Macro",ROW(),IFERROR(LOOKUP(2,1/($V$5:$V55="Macro"),ROW($V$5:$V55)),0)))</f>
        <v/>
      </c>
      <c r="V55" s="62">
        <f>IF(NOT((COUNTA($B55:$D55)+COUNTA($G55:$L55)+COUNTA($Q55))&gt;0),"",IF($B55="Subactividad","Sub","Macro"))</f>
        <v/>
      </c>
      <c r="W55" s="62">
        <f>IF($V55="Macro",COUNTIFS($U$5:$U$1000,ROW(),$V$5:$V$1000,"Sub"),"")</f>
        <v/>
      </c>
      <c r="X55" s="62">
        <f>IF($V55="","",IF(ISNUMBER($G55),1,IFERROR(LOOKUP(2,1/($I55:$L55&lt;&gt;""),$I55:$L55),0)))</f>
        <v/>
      </c>
      <c r="Y55" s="62">
        <f>IF($V55="","",IF(AND(ISNUMBER($G55),$G55&lt;=IF($S55=MesCiclo,InicioCiclo,$S55+MOD(2-WEEKDAY($S55),7))+6),1,IF(ISNUMBER($I55),$I55,0)))</f>
        <v/>
      </c>
      <c r="Z55" s="62">
        <f>IF($V55="","",IF(AND(ISNUMBER($G55),$G55&lt;=IF($S55=MesCiclo,InicioCiclo,$S55+MOD(2-WEEKDAY($S55),7))+13),1,IF(ISNUMBER($J55),$J55,$Y55)))</f>
        <v/>
      </c>
      <c r="AA55" s="62">
        <f>IF($V55="","",IF(AND(ISNUMBER($G55),$G55&lt;=IF($S55=MesCiclo,InicioCiclo,$S55+MOD(2-WEEKDAY($S55),7))+20),1,IF(ISNUMBER($K55),$K55,$Z55)))</f>
        <v/>
      </c>
      <c r="AB55" s="62">
        <f>IF($V55="","",IF(AND(ISNUMBER($G55),$G55&lt;=IF($S55=MesCiclo,InicioCiclo,$S55+MOD(2-WEEKDAY($S55),7))+27),1,IF(ISNUMBER($L55),$L55,$AA55)))</f>
        <v/>
      </c>
      <c r="AC55" s="62">
        <f>IF($V55="","",IF(AND(ISNUMBER($G55),$G55&lt;=IF($S55=MesCiclo,InicioCiclo,$S55+MOD(2-WEEKDAY($S55),7))+6),1,IF(N($W55)&gt;0,AVERAGEIFS($Y$5:$Y$1000,$U$5:$U$1000,ROW(),$V$5:$V$1000,"Sub"),$Y55)))</f>
        <v/>
      </c>
      <c r="AD55" s="62">
        <f>IF($V55="","",IF(AND(ISNUMBER($G55),$G55&lt;=IF($S55=MesCiclo,InicioCiclo,$S55+MOD(2-WEEKDAY($S55),7))+13),1,IF(N($W55)&gt;0,AVERAGEIFS($Z$5:$Z$1000,$U$5:$U$1000,ROW(),$V$5:$V$1000,"Sub"),$Z55)))</f>
        <v/>
      </c>
      <c r="AE55" s="62">
        <f>IF($V55="","",IF(AND(ISNUMBER($G55),$G55&lt;=IF($S55=MesCiclo,InicioCiclo,$S55+MOD(2-WEEKDAY($S55),7))+20),1,IF(N($W55)&gt;0,AVERAGEIFS($AA$5:$AA$1000,$U$5:$U$1000,ROW(),$V$5:$V$1000,"Sub"),$AA55)))</f>
        <v/>
      </c>
      <c r="AF55" s="62">
        <f>IF($V55="","",IF(AND(ISNUMBER($G55),$G55&lt;=IF($S55=MesCiclo,InicioCiclo,$S55+MOD(2-WEEKDAY($S55),7))+27),1,IF(N($W55)&gt;0,AVERAGEIFS($AB$5:$AB$1000,$U$5:$U$1000,ROW(),$V$5:$V$1000,"Sub"),$AB55)))</f>
        <v/>
      </c>
      <c r="AG55" s="62">
        <f>IF($V55&lt;&gt;"Macro","",IF(COUNTIFS($S$5:$S$1000,$S55,$V$5:$V$1000,"Macro",$H$5:$H$1000,"&gt;0")=0,1/COUNTIFS($S$5:$S$1000,$S55,$V$5:$V$1000,"Macro"),IF(AND(ISNUMBER($H55),N($H55)&gt;0),$H55,SUMIFS($H$5:$H$1000,$S$5:$S$1000,$S55,$V$5:$V$1000,"Macro")/COUNTIFS($S$5:$S$1000,$S55,$V$5:$V$1000,"Macro",$H$5:$H$1000,"&gt;0"))/(COUNTIFS($S$5:$S$1000,$S55,$V$5:$V$1000,"Macro")*SUMIFS($H$5:$H$1000,$S$5:$S$1000,$S55,$V$5:$V$1000,"Macro")/COUNTIFS($S$5:$S$1000,$S55,$V$5:$V$1000,"Macro",$H$5:$H$1000,"&gt;0"))))</f>
        <v/>
      </c>
      <c r="AH55" s="62" t="n"/>
      <c r="AI55" s="62" t="n"/>
      <c r="AJ55" s="62" t="n"/>
      <c r="AK55" s="62" t="n"/>
      <c r="AL55" s="62">
        <f>IF(LEFT($C55,11)="[Jefatura] ",IFERROR(MATCH("Riesgo Operacional|"&amp;MID($C55,12,500),rDname_ADM,0),0),"")</f>
        <v/>
      </c>
      <c r="AM55" s="62">
        <f>IF(N($AL55)&gt;0,INDEX(rIni_ADM,$AL55),IF(ISNUMBER($E55),$E55,""))</f>
        <v/>
      </c>
      <c r="AN55" s="62">
        <f>IF(N($AL55)&gt;0,INDEX(rLim_ADM,$AL55),IF(ISNUMBER($F55),$F55,""))</f>
        <v/>
      </c>
    </row>
    <row r="56">
      <c r="A56" s="56">
        <f>IF(NOT((COUNTA($B56:$D56)+COUNTA($G56:$L56)+COUNTA($Q56))&gt;0),"",IF($V56="Macro",COUNTIFS($V$5:$V56,"Macro",$S$5:$S56,$S56),IF(N($U56)=0,"?",COUNTIFS(INDEX($V$5:$V$1000,1):INDEX($V$5:$V$1000,$U56-4),"Macro",INDEX($S$5:$S$1000,1):INDEX($S$5:$S$1000,$U56-4),INDEX($S$5:$S$1000,$U56-4))&amp;"."&amp;COUNTIFS($U$5:$U56,$U56,$V$5:$V56,"Sub"))))</f>
        <v/>
      </c>
      <c r="B56" s="57" t="n"/>
      <c r="C56" s="58" t="n"/>
      <c r="D56" s="58" t="n"/>
      <c r="E56" s="59">
        <f>IF(N($AL56)&gt;0,INDEX(rIni_ADM,$AL56),"")</f>
        <v/>
      </c>
      <c r="F56" s="59">
        <f>IF(N($AL56)&gt;0,INDEX(rLim_ADM,$AL56),"")</f>
        <v/>
      </c>
      <c r="G56" s="59" t="n"/>
      <c r="H56" s="60" t="n"/>
      <c r="I56" s="60" t="n"/>
      <c r="J56" s="60" t="n"/>
      <c r="K56" s="60" t="n"/>
      <c r="L56" s="60" t="n"/>
      <c r="M56" s="61">
        <f>IF(NOT((COUNTA($B56:$D56)+COUNTA($G56:$L56)+COUNTA($Q56))&gt;0),"",IF($V56="Sub",IFERROR($X56/INDEX($W$5:$W$1000,$U56-4),""),IF(ISNUMBER($G56),1,IF(N($W56)&gt;0,AVERAGEIFS($X$5:$X$1000,$U$5:$U$1000,ROW(),$V$5:$V$1000,"Sub"),$X56))))</f>
        <v/>
      </c>
      <c r="N56" s="56">
        <f>IF(OR($M56="",$V56="Sub"),"",IF($M56&gt;=1,"Completado",IF($M56&gt;0,"En curso","Pendiente")))</f>
        <v/>
      </c>
      <c r="O56" s="56">
        <f>IF(OR(NOT((COUNTA($B56:$D56)+COUNTA($G56:$L56)+COUNTA($Q56))&gt;0),$V56="Sub"),"",IF(ISNUMBER($G56),IF(AND(ISNUMBER($AN56),$G56&gt;$AN56),"Cumplida con "&amp;($G56-$AN56)&amp;IF($G56-$AN56=1," día"," días")&amp;" de retraso","Cumplida"),IF(N($M56)&gt;=1,"Cumplida",IF(NOT(ISNUMBER($AN56)),"Sin fecha límite",IF($AN56&lt;FechaRef,"Vencida hace "&amp;(FechaRef-$AN56)&amp;IF(FechaRef-$AN56=1," día"," días"),IF($AN56=FechaRef,"Vence hoy",IF($AN56-FechaRef&lt;=DiasAlerta,"Vence en "&amp;($AN56-FechaRef)&amp;IF($AN56-FechaRef=1," día"," días"),"En plazo")))))))</f>
        <v/>
      </c>
      <c r="P56" s="62" t="n"/>
      <c r="Q56" s="58" t="n"/>
      <c r="R56" s="63">
        <f>IF(NOT((COUNTA($B56:$D56)+COUNTA($G56:$L56)+COUNTA($Q56))&gt;0),"",IF((IF($C56="","Falta el nombre de la actividad"&amp;" · ","")&amp;IF(AND($V56="Sub",N($U56)=0),"Subactividad sin macroactividad arriba"&amp;" · ","")&amp;IF($AM56="","Sin fecha de inicio"&amp;" · ","")&amp;IF($AN56="","Sin fecha límite"&amp;" · ","")&amp;IF(AND(LEFT($C56,11)="[Jefatura] ",N($AL56)=0),"No se encuentra en la hoja de la jefatura (elíjala de nuevo en la lista)"&amp;" · ","")&amp;IF(OR(AND($E56&lt;&gt;"",NOT(ISNUMBER($E56))),AND($F56&lt;&gt;"",NOT(ISNUMBER($F56))),AND($G56&lt;&gt;"",NOT(ISNUMBER($G56)))),"Fecha no válida"&amp;" · ","")&amp;IF(AND(ISNUMBER($AM56),ISNUMBER($AN56),$AM56&gt;$AN56),"Inicio posterior a fecha límite"&amp;" · ","")&amp;IF(AND($V56="Macro",$H56&lt;&gt;"",OR(NOT(ISNUMBER($H56)),$H56&lt;0,$H56&gt;1)),"Peso fuera de rango"&amp;" · ","")&amp;IF(AND($V56="Sub",$H56&lt;&gt;""),"Las subactividades no llevan peso (valen igual dentro de su macroactividad)"&amp;" · ","")&amp;IF(AND(N($W56)&gt;0,COUNT($I56:$L56)&gt;0),"Con subactividades: deje vacías las semanas (se calculan solas)"&amp;" · ","")&amp;IF((COUNTIF($I56:$L56,"&gt;1")+COUNTIF($I56:$L56,"&lt;0")+COUNTA($I56:$L56)-COUNT($I56:$L56))&gt;0,"Avance fuera de rango 0-100%"&amp;" · ","")&amp;IF(OR(AND($J56&lt;&gt;"",$J56&lt;$I56),AND($K56&lt;&gt;"",$K56&lt;MAX($I56:$J56)),AND($L56&lt;&gt;"",$L56&lt;MAX($I56:$K56))),"Avance semanal decreciente"&amp;" · ","")&amp;IF(AND(ISNUMBER($AN56),$AN56&lt;FechaRef,IF($V56="Sub",N($X56),N($M56))&lt;1),"Vencida"&amp;" · ","")&amp;IF(AND(ObsObligatoria="Sí",ISNUMBER($AN56),$AN56&lt;FechaRef,IF($V56="Sub",N($X56),N($M56))&lt;1,$Q56=""),"Vencida sin observación"&amp;" · ",""))="","✔ OK","⚠ "&amp;LEFT(IF($C56="","Falta el nombre de la actividad"&amp;" · ","")&amp;IF(AND($V56="Sub",N($U56)=0),"Subactividad sin macroactividad arriba"&amp;" · ","")&amp;IF($AM56="","Sin fecha de inicio"&amp;" · ","")&amp;IF($AN56="","Sin fecha límite"&amp;" · ","")&amp;IF(AND(LEFT($C56,11)="[Jefatura] ",N($AL56)=0),"No se encuentra en la hoja de la jefatura (elíjala de nuevo en la lista)"&amp;" · ","")&amp;IF(OR(AND($E56&lt;&gt;"",NOT(ISNUMBER($E56))),AND($F56&lt;&gt;"",NOT(ISNUMBER($F56))),AND($G56&lt;&gt;"",NOT(ISNUMBER($G56)))),"Fecha no válida"&amp;" · ","")&amp;IF(AND(ISNUMBER($AM56),ISNUMBER($AN56),$AM56&gt;$AN56),"Inicio posterior a fecha límite"&amp;" · ","")&amp;IF(AND($V56="Macro",$H56&lt;&gt;"",OR(NOT(ISNUMBER($H56)),$H56&lt;0,$H56&gt;1)),"Peso fuera de rango"&amp;" · ","")&amp;IF(AND($V56="Sub",$H56&lt;&gt;""),"Las subactividades no llevan peso (valen igual dentro de su macroactividad)"&amp;" · ","")&amp;IF(AND(N($W56)&gt;0,COUNT($I56:$L56)&gt;0),"Con subactividades: deje vacías las semanas (se calculan solas)"&amp;" · ","")&amp;IF((COUNTIF($I56:$L56,"&gt;1")+COUNTIF($I56:$L56,"&lt;0")+COUNTA($I56:$L56)-COUNT($I56:$L56))&gt;0,"Avance fuera de rango 0-100%"&amp;" · ","")&amp;IF(OR(AND($J56&lt;&gt;"",$J56&lt;$I56),AND($K56&lt;&gt;"",$K56&lt;MAX($I56:$J56)),AND($L56&lt;&gt;"",$L56&lt;MAX($I56:$K56))),"Avance semanal decreciente"&amp;" · ","")&amp;IF(AND(ISNUMBER($AN56),$AN56&lt;FechaRef,IF($V56="Sub",N($X56),N($M56))&lt;1),"Vencida"&amp;" · ","")&amp;IF(AND(ObsObligatoria="Sí",ISNUMBER($AN56),$AN56&lt;FechaRef,IF($V56="Sub",N($X56),N($M56))&lt;1,$Q56=""),"Vencida sin observación"&amp;" · ",""),LEN(IF($C56="","Falta el nombre de la actividad"&amp;" · ","")&amp;IF(AND($V56="Sub",N($U56)=0),"Subactividad sin macroactividad arriba"&amp;" · ","")&amp;IF($AM56="","Sin fecha de inicio"&amp;" · ","")&amp;IF($AN56="","Sin fecha límite"&amp;" · ","")&amp;IF(AND(LEFT($C56,11)="[Jefatura] ",N($AL56)=0),"No se encuentra en la hoja de la jefatura (elíjala de nuevo en la lista)"&amp;" · ","")&amp;IF(OR(AND($E56&lt;&gt;"",NOT(ISNUMBER($E56))),AND($F56&lt;&gt;"",NOT(ISNUMBER($F56))),AND($G56&lt;&gt;"",NOT(ISNUMBER($G56)))),"Fecha no válida"&amp;" · ","")&amp;IF(AND(ISNUMBER($AM56),ISNUMBER($AN56),$AM56&gt;$AN56),"Inicio posterior a fecha límite"&amp;" · ","")&amp;IF(AND($V56="Macro",$H56&lt;&gt;"",OR(NOT(ISNUMBER($H56)),$H56&lt;0,$H56&gt;1)),"Peso fuera de rango"&amp;" · ","")&amp;IF(AND($V56="Sub",$H56&lt;&gt;""),"Las subactividades no llevan peso (valen igual dentro de su macroactividad)"&amp;" · ","")&amp;IF(AND(N($W56)&gt;0,COUNT($I56:$L56)&gt;0),"Con subactividades: deje vacías las semanas (se calculan solas)"&amp;" · ","")&amp;IF((COUNTIF($I56:$L56,"&gt;1")+COUNTIF($I56:$L56,"&lt;0")+COUNTA($I56:$L56)-COUNT($I56:$L56))&gt;0,"Avance fuera de rango 0-100%"&amp;" · ","")&amp;IF(OR(AND($J56&lt;&gt;"",$J56&lt;$I56),AND($K56&lt;&gt;"",$K56&lt;MAX($I56:$J56)),AND($L56&lt;&gt;"",$L56&lt;MAX($I56:$K56))),"Avance semanal decreciente"&amp;" · ","")&amp;IF(AND(ISNUMBER($AN56),$AN56&lt;FechaRef,IF($V56="Sub",N($X56),N($M56))&lt;1),"Vencida"&amp;" · ","")&amp;IF(AND(ObsObligatoria="Sí",ISNUMBER($AN56),$AN56&lt;FechaRef,IF($V56="Sub",N($X56),N($M56))&lt;1,$Q56=""),"Vencida sin observación"&amp;" · ",""))-3)))</f>
        <v/>
      </c>
      <c r="S56" s="64">
        <f>IF(NOT((COUNTA($B56:$D56)+COUNTA($G56:$L56)+COUNTA($Q56))&gt;0),"",IF(AND($V56="Sub",N($U56)&gt;0),IF(ISNUMBER(INDEX($AM$5:$AM$1000,$U56-4)),DATE(YEAR(INDEX($AM$5:$AM$1000,$U56-4)),MONTH(INDEX($AM$5:$AM$1000,$U56-4)),1),IF(ISNUMBER(INDEX($AN$5:$AN$1000,$U56-4)),DATE(YEAR(INDEX($AN$5:$AN$1000,$U56-4)),MONTH(INDEX($AN$5:$AN$1000,$U56-4)),1),MesCiclo)),IF(ISNUMBER($AM56),DATE(YEAR($AM56),MONTH($AM56),1),IF(ISNUMBER($AN56),DATE(YEAR($AN56),MONTH($AN56),1),MesCiclo))))</f>
        <v/>
      </c>
      <c r="T56" s="62">
        <f>IF(OR($S56="",$S56&lt;&gt;MesCiclo,$V56&lt;&gt;"Macro"),"",COUNTIFS($S$5:$S56,MesCiclo,$V$5:$V56,"Macro"))</f>
        <v/>
      </c>
      <c r="U56" s="62">
        <f>IF($V56="","",IF($V56="Macro",ROW(),IFERROR(LOOKUP(2,1/($V$5:$V56="Macro"),ROW($V$5:$V56)),0)))</f>
        <v/>
      </c>
      <c r="V56" s="62">
        <f>IF(NOT((COUNTA($B56:$D56)+COUNTA($G56:$L56)+COUNTA($Q56))&gt;0),"",IF($B56="Subactividad","Sub","Macro"))</f>
        <v/>
      </c>
      <c r="W56" s="62">
        <f>IF($V56="Macro",COUNTIFS($U$5:$U$1000,ROW(),$V$5:$V$1000,"Sub"),"")</f>
        <v/>
      </c>
      <c r="X56" s="62">
        <f>IF($V56="","",IF(ISNUMBER($G56),1,IFERROR(LOOKUP(2,1/($I56:$L56&lt;&gt;""),$I56:$L56),0)))</f>
        <v/>
      </c>
      <c r="Y56" s="62">
        <f>IF($V56="","",IF(AND(ISNUMBER($G56),$G56&lt;=IF($S56=MesCiclo,InicioCiclo,$S56+MOD(2-WEEKDAY($S56),7))+6),1,IF(ISNUMBER($I56),$I56,0)))</f>
        <v/>
      </c>
      <c r="Z56" s="62">
        <f>IF($V56="","",IF(AND(ISNUMBER($G56),$G56&lt;=IF($S56=MesCiclo,InicioCiclo,$S56+MOD(2-WEEKDAY($S56),7))+13),1,IF(ISNUMBER($J56),$J56,$Y56)))</f>
        <v/>
      </c>
      <c r="AA56" s="62">
        <f>IF($V56="","",IF(AND(ISNUMBER($G56),$G56&lt;=IF($S56=MesCiclo,InicioCiclo,$S56+MOD(2-WEEKDAY($S56),7))+20),1,IF(ISNUMBER($K56),$K56,$Z56)))</f>
        <v/>
      </c>
      <c r="AB56" s="62">
        <f>IF($V56="","",IF(AND(ISNUMBER($G56),$G56&lt;=IF($S56=MesCiclo,InicioCiclo,$S56+MOD(2-WEEKDAY($S56),7))+27),1,IF(ISNUMBER($L56),$L56,$AA56)))</f>
        <v/>
      </c>
      <c r="AC56" s="62">
        <f>IF($V56="","",IF(AND(ISNUMBER($G56),$G56&lt;=IF($S56=MesCiclo,InicioCiclo,$S56+MOD(2-WEEKDAY($S56),7))+6),1,IF(N($W56)&gt;0,AVERAGEIFS($Y$5:$Y$1000,$U$5:$U$1000,ROW(),$V$5:$V$1000,"Sub"),$Y56)))</f>
        <v/>
      </c>
      <c r="AD56" s="62">
        <f>IF($V56="","",IF(AND(ISNUMBER($G56),$G56&lt;=IF($S56=MesCiclo,InicioCiclo,$S56+MOD(2-WEEKDAY($S56),7))+13),1,IF(N($W56)&gt;0,AVERAGEIFS($Z$5:$Z$1000,$U$5:$U$1000,ROW(),$V$5:$V$1000,"Sub"),$Z56)))</f>
        <v/>
      </c>
      <c r="AE56" s="62">
        <f>IF($V56="","",IF(AND(ISNUMBER($G56),$G56&lt;=IF($S56=MesCiclo,InicioCiclo,$S56+MOD(2-WEEKDAY($S56),7))+20),1,IF(N($W56)&gt;0,AVERAGEIFS($AA$5:$AA$1000,$U$5:$U$1000,ROW(),$V$5:$V$1000,"Sub"),$AA56)))</f>
        <v/>
      </c>
      <c r="AF56" s="62">
        <f>IF($V56="","",IF(AND(ISNUMBER($G56),$G56&lt;=IF($S56=MesCiclo,InicioCiclo,$S56+MOD(2-WEEKDAY($S56),7))+27),1,IF(N($W56)&gt;0,AVERAGEIFS($AB$5:$AB$1000,$U$5:$U$1000,ROW(),$V$5:$V$1000,"Sub"),$AB56)))</f>
        <v/>
      </c>
      <c r="AG56" s="62">
        <f>IF($V56&lt;&gt;"Macro","",IF(COUNTIFS($S$5:$S$1000,$S56,$V$5:$V$1000,"Macro",$H$5:$H$1000,"&gt;0")=0,1/COUNTIFS($S$5:$S$1000,$S56,$V$5:$V$1000,"Macro"),IF(AND(ISNUMBER($H56),N($H56)&gt;0),$H56,SUMIFS($H$5:$H$1000,$S$5:$S$1000,$S56,$V$5:$V$1000,"Macro")/COUNTIFS($S$5:$S$1000,$S56,$V$5:$V$1000,"Macro",$H$5:$H$1000,"&gt;0"))/(COUNTIFS($S$5:$S$1000,$S56,$V$5:$V$1000,"Macro")*SUMIFS($H$5:$H$1000,$S$5:$S$1000,$S56,$V$5:$V$1000,"Macro")/COUNTIFS($S$5:$S$1000,$S56,$V$5:$V$1000,"Macro",$H$5:$H$1000,"&gt;0"))))</f>
        <v/>
      </c>
      <c r="AH56" s="62" t="n"/>
      <c r="AI56" s="62" t="n"/>
      <c r="AJ56" s="62" t="n"/>
      <c r="AK56" s="62" t="n"/>
      <c r="AL56" s="62">
        <f>IF(LEFT($C56,11)="[Jefatura] ",IFERROR(MATCH("Riesgo Operacional|"&amp;MID($C56,12,500),rDname_ADM,0),0),"")</f>
        <v/>
      </c>
      <c r="AM56" s="62">
        <f>IF(N($AL56)&gt;0,INDEX(rIni_ADM,$AL56),IF(ISNUMBER($E56),$E56,""))</f>
        <v/>
      </c>
      <c r="AN56" s="62">
        <f>IF(N($AL56)&gt;0,INDEX(rLim_ADM,$AL56),IF(ISNUMBER($F56),$F56,""))</f>
        <v/>
      </c>
    </row>
    <row r="57">
      <c r="A57" s="56">
        <f>IF(NOT((COUNTA($B57:$D57)+COUNTA($G57:$L57)+COUNTA($Q57))&gt;0),"",IF($V57="Macro",COUNTIFS($V$5:$V57,"Macro",$S$5:$S57,$S57),IF(N($U57)=0,"?",COUNTIFS(INDEX($V$5:$V$1000,1):INDEX($V$5:$V$1000,$U57-4),"Macro",INDEX($S$5:$S$1000,1):INDEX($S$5:$S$1000,$U57-4),INDEX($S$5:$S$1000,$U57-4))&amp;"."&amp;COUNTIFS($U$5:$U57,$U57,$V$5:$V57,"Sub"))))</f>
        <v/>
      </c>
      <c r="B57" s="57" t="n"/>
      <c r="C57" s="58" t="n"/>
      <c r="D57" s="58" t="n"/>
      <c r="E57" s="59">
        <f>IF(N($AL57)&gt;0,INDEX(rIni_ADM,$AL57),"")</f>
        <v/>
      </c>
      <c r="F57" s="59">
        <f>IF(N($AL57)&gt;0,INDEX(rLim_ADM,$AL57),"")</f>
        <v/>
      </c>
      <c r="G57" s="59" t="n"/>
      <c r="H57" s="60" t="n"/>
      <c r="I57" s="60" t="n"/>
      <c r="J57" s="60" t="n"/>
      <c r="K57" s="60" t="n"/>
      <c r="L57" s="60" t="n"/>
      <c r="M57" s="61">
        <f>IF(NOT((COUNTA($B57:$D57)+COUNTA($G57:$L57)+COUNTA($Q57))&gt;0),"",IF($V57="Sub",IFERROR($X57/INDEX($W$5:$W$1000,$U57-4),""),IF(ISNUMBER($G57),1,IF(N($W57)&gt;0,AVERAGEIFS($X$5:$X$1000,$U$5:$U$1000,ROW(),$V$5:$V$1000,"Sub"),$X57))))</f>
        <v/>
      </c>
      <c r="N57" s="56">
        <f>IF(OR($M57="",$V57="Sub"),"",IF($M57&gt;=1,"Completado",IF($M57&gt;0,"En curso","Pendiente")))</f>
        <v/>
      </c>
      <c r="O57" s="56">
        <f>IF(OR(NOT((COUNTA($B57:$D57)+COUNTA($G57:$L57)+COUNTA($Q57))&gt;0),$V57="Sub"),"",IF(ISNUMBER($G57),IF(AND(ISNUMBER($AN57),$G57&gt;$AN57),"Cumplida con "&amp;($G57-$AN57)&amp;IF($G57-$AN57=1," día"," días")&amp;" de retraso","Cumplida"),IF(N($M57)&gt;=1,"Cumplida",IF(NOT(ISNUMBER($AN57)),"Sin fecha límite",IF($AN57&lt;FechaRef,"Vencida hace "&amp;(FechaRef-$AN57)&amp;IF(FechaRef-$AN57=1," día"," días"),IF($AN57=FechaRef,"Vence hoy",IF($AN57-FechaRef&lt;=DiasAlerta,"Vence en "&amp;($AN57-FechaRef)&amp;IF($AN57-FechaRef=1," día"," días"),"En plazo")))))))</f>
        <v/>
      </c>
      <c r="P57" s="62" t="n"/>
      <c r="Q57" s="58" t="n"/>
      <c r="R57" s="63">
        <f>IF(NOT((COUNTA($B57:$D57)+COUNTA($G57:$L57)+COUNTA($Q57))&gt;0),"",IF((IF($C57="","Falta el nombre de la actividad"&amp;" · ","")&amp;IF(AND($V57="Sub",N($U57)=0),"Subactividad sin macroactividad arriba"&amp;" · ","")&amp;IF($AM57="","Sin fecha de inicio"&amp;" · ","")&amp;IF($AN57="","Sin fecha límite"&amp;" · ","")&amp;IF(AND(LEFT($C57,11)="[Jefatura] ",N($AL57)=0),"No se encuentra en la hoja de la jefatura (elíjala de nuevo en la lista)"&amp;" · ","")&amp;IF(OR(AND($E57&lt;&gt;"",NOT(ISNUMBER($E57))),AND($F57&lt;&gt;"",NOT(ISNUMBER($F57))),AND($G57&lt;&gt;"",NOT(ISNUMBER($G57)))),"Fecha no válida"&amp;" · ","")&amp;IF(AND(ISNUMBER($AM57),ISNUMBER($AN57),$AM57&gt;$AN57),"Inicio posterior a fecha límite"&amp;" · ","")&amp;IF(AND($V57="Macro",$H57&lt;&gt;"",OR(NOT(ISNUMBER($H57)),$H57&lt;0,$H57&gt;1)),"Peso fuera de rango"&amp;" · ","")&amp;IF(AND($V57="Sub",$H57&lt;&gt;""),"Las subactividades no llevan peso (valen igual dentro de su macroactividad)"&amp;" · ","")&amp;IF(AND(N($W57)&gt;0,COUNT($I57:$L57)&gt;0),"Con subactividades: deje vacías las semanas (se calculan solas)"&amp;" · ","")&amp;IF((COUNTIF($I57:$L57,"&gt;1")+COUNTIF($I57:$L57,"&lt;0")+COUNTA($I57:$L57)-COUNT($I57:$L57))&gt;0,"Avance fuera de rango 0-100%"&amp;" · ","")&amp;IF(OR(AND($J57&lt;&gt;"",$J57&lt;$I57),AND($K57&lt;&gt;"",$K57&lt;MAX($I57:$J57)),AND($L57&lt;&gt;"",$L57&lt;MAX($I57:$K57))),"Avance semanal decreciente"&amp;" · ","")&amp;IF(AND(ISNUMBER($AN57),$AN57&lt;FechaRef,IF($V57="Sub",N($X57),N($M57))&lt;1),"Vencida"&amp;" · ","")&amp;IF(AND(ObsObligatoria="Sí",ISNUMBER($AN57),$AN57&lt;FechaRef,IF($V57="Sub",N($X57),N($M57))&lt;1,$Q57=""),"Vencida sin observación"&amp;" · ",""))="","✔ OK","⚠ "&amp;LEFT(IF($C57="","Falta el nombre de la actividad"&amp;" · ","")&amp;IF(AND($V57="Sub",N($U57)=0),"Subactividad sin macroactividad arriba"&amp;" · ","")&amp;IF($AM57="","Sin fecha de inicio"&amp;" · ","")&amp;IF($AN57="","Sin fecha límite"&amp;" · ","")&amp;IF(AND(LEFT($C57,11)="[Jefatura] ",N($AL57)=0),"No se encuentra en la hoja de la jefatura (elíjala de nuevo en la lista)"&amp;" · ","")&amp;IF(OR(AND($E57&lt;&gt;"",NOT(ISNUMBER($E57))),AND($F57&lt;&gt;"",NOT(ISNUMBER($F57))),AND($G57&lt;&gt;"",NOT(ISNUMBER($G57)))),"Fecha no válida"&amp;" · ","")&amp;IF(AND(ISNUMBER($AM57),ISNUMBER($AN57),$AM57&gt;$AN57),"Inicio posterior a fecha límite"&amp;" · ","")&amp;IF(AND($V57="Macro",$H57&lt;&gt;"",OR(NOT(ISNUMBER($H57)),$H57&lt;0,$H57&gt;1)),"Peso fuera de rango"&amp;" · ","")&amp;IF(AND($V57="Sub",$H57&lt;&gt;""),"Las subactividades no llevan peso (valen igual dentro de su macroactividad)"&amp;" · ","")&amp;IF(AND(N($W57)&gt;0,COUNT($I57:$L57)&gt;0),"Con subactividades: deje vacías las semanas (se calculan solas)"&amp;" · ","")&amp;IF((COUNTIF($I57:$L57,"&gt;1")+COUNTIF($I57:$L57,"&lt;0")+COUNTA($I57:$L57)-COUNT($I57:$L57))&gt;0,"Avance fuera de rango 0-100%"&amp;" · ","")&amp;IF(OR(AND($J57&lt;&gt;"",$J57&lt;$I57),AND($K57&lt;&gt;"",$K57&lt;MAX($I57:$J57)),AND($L57&lt;&gt;"",$L57&lt;MAX($I57:$K57))),"Avance semanal decreciente"&amp;" · ","")&amp;IF(AND(ISNUMBER($AN57),$AN57&lt;FechaRef,IF($V57="Sub",N($X57),N($M57))&lt;1),"Vencida"&amp;" · ","")&amp;IF(AND(ObsObligatoria="Sí",ISNUMBER($AN57),$AN57&lt;FechaRef,IF($V57="Sub",N($X57),N($M57))&lt;1,$Q57=""),"Vencida sin observación"&amp;" · ",""),LEN(IF($C57="","Falta el nombre de la actividad"&amp;" · ","")&amp;IF(AND($V57="Sub",N($U57)=0),"Subactividad sin macroactividad arriba"&amp;" · ","")&amp;IF($AM57="","Sin fecha de inicio"&amp;" · ","")&amp;IF($AN57="","Sin fecha límite"&amp;" · ","")&amp;IF(AND(LEFT($C57,11)="[Jefatura] ",N($AL57)=0),"No se encuentra en la hoja de la jefatura (elíjala de nuevo en la lista)"&amp;" · ","")&amp;IF(OR(AND($E57&lt;&gt;"",NOT(ISNUMBER($E57))),AND($F57&lt;&gt;"",NOT(ISNUMBER($F57))),AND($G57&lt;&gt;"",NOT(ISNUMBER($G57)))),"Fecha no válida"&amp;" · ","")&amp;IF(AND(ISNUMBER($AM57),ISNUMBER($AN57),$AM57&gt;$AN57),"Inicio posterior a fecha límite"&amp;" · ","")&amp;IF(AND($V57="Macro",$H57&lt;&gt;"",OR(NOT(ISNUMBER($H57)),$H57&lt;0,$H57&gt;1)),"Peso fuera de rango"&amp;" · ","")&amp;IF(AND($V57="Sub",$H57&lt;&gt;""),"Las subactividades no llevan peso (valen igual dentro de su macroactividad)"&amp;" · ","")&amp;IF(AND(N($W57)&gt;0,COUNT($I57:$L57)&gt;0),"Con subactividades: deje vacías las semanas (se calculan solas)"&amp;" · ","")&amp;IF((COUNTIF($I57:$L57,"&gt;1")+COUNTIF($I57:$L57,"&lt;0")+COUNTA($I57:$L57)-COUNT($I57:$L57))&gt;0,"Avance fuera de rango 0-100%"&amp;" · ","")&amp;IF(OR(AND($J57&lt;&gt;"",$J57&lt;$I57),AND($K57&lt;&gt;"",$K57&lt;MAX($I57:$J57)),AND($L57&lt;&gt;"",$L57&lt;MAX($I57:$K57))),"Avance semanal decreciente"&amp;" · ","")&amp;IF(AND(ISNUMBER($AN57),$AN57&lt;FechaRef,IF($V57="Sub",N($X57),N($M57))&lt;1),"Vencida"&amp;" · ","")&amp;IF(AND(ObsObligatoria="Sí",ISNUMBER($AN57),$AN57&lt;FechaRef,IF($V57="Sub",N($X57),N($M57))&lt;1,$Q57=""),"Vencida sin observación"&amp;" · ",""))-3)))</f>
        <v/>
      </c>
      <c r="S57" s="64">
        <f>IF(NOT((COUNTA($B57:$D57)+COUNTA($G57:$L57)+COUNTA($Q57))&gt;0),"",IF(AND($V57="Sub",N($U57)&gt;0),IF(ISNUMBER(INDEX($AM$5:$AM$1000,$U57-4)),DATE(YEAR(INDEX($AM$5:$AM$1000,$U57-4)),MONTH(INDEX($AM$5:$AM$1000,$U57-4)),1),IF(ISNUMBER(INDEX($AN$5:$AN$1000,$U57-4)),DATE(YEAR(INDEX($AN$5:$AN$1000,$U57-4)),MONTH(INDEX($AN$5:$AN$1000,$U57-4)),1),MesCiclo)),IF(ISNUMBER($AM57),DATE(YEAR($AM57),MONTH($AM57),1),IF(ISNUMBER($AN57),DATE(YEAR($AN57),MONTH($AN57),1),MesCiclo))))</f>
        <v/>
      </c>
      <c r="T57" s="62">
        <f>IF(OR($S57="",$S57&lt;&gt;MesCiclo,$V57&lt;&gt;"Macro"),"",COUNTIFS($S$5:$S57,MesCiclo,$V$5:$V57,"Macro"))</f>
        <v/>
      </c>
      <c r="U57" s="62">
        <f>IF($V57="","",IF($V57="Macro",ROW(),IFERROR(LOOKUP(2,1/($V$5:$V57="Macro"),ROW($V$5:$V57)),0)))</f>
        <v/>
      </c>
      <c r="V57" s="62">
        <f>IF(NOT((COUNTA($B57:$D57)+COUNTA($G57:$L57)+COUNTA($Q57))&gt;0),"",IF($B57="Subactividad","Sub","Macro"))</f>
        <v/>
      </c>
      <c r="W57" s="62">
        <f>IF($V57="Macro",COUNTIFS($U$5:$U$1000,ROW(),$V$5:$V$1000,"Sub"),"")</f>
        <v/>
      </c>
      <c r="X57" s="62">
        <f>IF($V57="","",IF(ISNUMBER($G57),1,IFERROR(LOOKUP(2,1/($I57:$L57&lt;&gt;""),$I57:$L57),0)))</f>
        <v/>
      </c>
      <c r="Y57" s="62">
        <f>IF($V57="","",IF(AND(ISNUMBER($G57),$G57&lt;=IF($S57=MesCiclo,InicioCiclo,$S57+MOD(2-WEEKDAY($S57),7))+6),1,IF(ISNUMBER($I57),$I57,0)))</f>
        <v/>
      </c>
      <c r="Z57" s="62">
        <f>IF($V57="","",IF(AND(ISNUMBER($G57),$G57&lt;=IF($S57=MesCiclo,InicioCiclo,$S57+MOD(2-WEEKDAY($S57),7))+13),1,IF(ISNUMBER($J57),$J57,$Y57)))</f>
        <v/>
      </c>
      <c r="AA57" s="62">
        <f>IF($V57="","",IF(AND(ISNUMBER($G57),$G57&lt;=IF($S57=MesCiclo,InicioCiclo,$S57+MOD(2-WEEKDAY($S57),7))+20),1,IF(ISNUMBER($K57),$K57,$Z57)))</f>
        <v/>
      </c>
      <c r="AB57" s="62">
        <f>IF($V57="","",IF(AND(ISNUMBER($G57),$G57&lt;=IF($S57=MesCiclo,InicioCiclo,$S57+MOD(2-WEEKDAY($S57),7))+27),1,IF(ISNUMBER($L57),$L57,$AA57)))</f>
        <v/>
      </c>
      <c r="AC57" s="62">
        <f>IF($V57="","",IF(AND(ISNUMBER($G57),$G57&lt;=IF($S57=MesCiclo,InicioCiclo,$S57+MOD(2-WEEKDAY($S57),7))+6),1,IF(N($W57)&gt;0,AVERAGEIFS($Y$5:$Y$1000,$U$5:$U$1000,ROW(),$V$5:$V$1000,"Sub"),$Y57)))</f>
        <v/>
      </c>
      <c r="AD57" s="62">
        <f>IF($V57="","",IF(AND(ISNUMBER($G57),$G57&lt;=IF($S57=MesCiclo,InicioCiclo,$S57+MOD(2-WEEKDAY($S57),7))+13),1,IF(N($W57)&gt;0,AVERAGEIFS($Z$5:$Z$1000,$U$5:$U$1000,ROW(),$V$5:$V$1000,"Sub"),$Z57)))</f>
        <v/>
      </c>
      <c r="AE57" s="62">
        <f>IF($V57="","",IF(AND(ISNUMBER($G57),$G57&lt;=IF($S57=MesCiclo,InicioCiclo,$S57+MOD(2-WEEKDAY($S57),7))+20),1,IF(N($W57)&gt;0,AVERAGEIFS($AA$5:$AA$1000,$U$5:$U$1000,ROW(),$V$5:$V$1000,"Sub"),$AA57)))</f>
        <v/>
      </c>
      <c r="AF57" s="62">
        <f>IF($V57="","",IF(AND(ISNUMBER($G57),$G57&lt;=IF($S57=MesCiclo,InicioCiclo,$S57+MOD(2-WEEKDAY($S57),7))+27),1,IF(N($W57)&gt;0,AVERAGEIFS($AB$5:$AB$1000,$U$5:$U$1000,ROW(),$V$5:$V$1000,"Sub"),$AB57)))</f>
        <v/>
      </c>
      <c r="AG57" s="62">
        <f>IF($V57&lt;&gt;"Macro","",IF(COUNTIFS($S$5:$S$1000,$S57,$V$5:$V$1000,"Macro",$H$5:$H$1000,"&gt;0")=0,1/COUNTIFS($S$5:$S$1000,$S57,$V$5:$V$1000,"Macro"),IF(AND(ISNUMBER($H57),N($H57)&gt;0),$H57,SUMIFS($H$5:$H$1000,$S$5:$S$1000,$S57,$V$5:$V$1000,"Macro")/COUNTIFS($S$5:$S$1000,$S57,$V$5:$V$1000,"Macro",$H$5:$H$1000,"&gt;0"))/(COUNTIFS($S$5:$S$1000,$S57,$V$5:$V$1000,"Macro")*SUMIFS($H$5:$H$1000,$S$5:$S$1000,$S57,$V$5:$V$1000,"Macro")/COUNTIFS($S$5:$S$1000,$S57,$V$5:$V$1000,"Macro",$H$5:$H$1000,"&gt;0"))))</f>
        <v/>
      </c>
      <c r="AH57" s="62" t="n"/>
      <c r="AI57" s="62" t="n"/>
      <c r="AJ57" s="62" t="n"/>
      <c r="AK57" s="62" t="n"/>
      <c r="AL57" s="62">
        <f>IF(LEFT($C57,11)="[Jefatura] ",IFERROR(MATCH("Riesgo Operacional|"&amp;MID($C57,12,500),rDname_ADM,0),0),"")</f>
        <v/>
      </c>
      <c r="AM57" s="62">
        <f>IF(N($AL57)&gt;0,INDEX(rIni_ADM,$AL57),IF(ISNUMBER($E57),$E57,""))</f>
        <v/>
      </c>
      <c r="AN57" s="62">
        <f>IF(N($AL57)&gt;0,INDEX(rLim_ADM,$AL57),IF(ISNUMBER($F57),$F57,""))</f>
        <v/>
      </c>
    </row>
    <row r="58">
      <c r="A58" s="56">
        <f>IF(NOT((COUNTA($B58:$D58)+COUNTA($G58:$L58)+COUNTA($Q58))&gt;0),"",IF($V58="Macro",COUNTIFS($V$5:$V58,"Macro",$S$5:$S58,$S58),IF(N($U58)=0,"?",COUNTIFS(INDEX($V$5:$V$1000,1):INDEX($V$5:$V$1000,$U58-4),"Macro",INDEX($S$5:$S$1000,1):INDEX($S$5:$S$1000,$U58-4),INDEX($S$5:$S$1000,$U58-4))&amp;"."&amp;COUNTIFS($U$5:$U58,$U58,$V$5:$V58,"Sub"))))</f>
        <v/>
      </c>
      <c r="B58" s="57" t="n"/>
      <c r="C58" s="58" t="n"/>
      <c r="D58" s="58" t="n"/>
      <c r="E58" s="59">
        <f>IF(N($AL58)&gt;0,INDEX(rIni_ADM,$AL58),"")</f>
        <v/>
      </c>
      <c r="F58" s="59">
        <f>IF(N($AL58)&gt;0,INDEX(rLim_ADM,$AL58),"")</f>
        <v/>
      </c>
      <c r="G58" s="59" t="n"/>
      <c r="H58" s="60" t="n"/>
      <c r="I58" s="60" t="n"/>
      <c r="J58" s="60" t="n"/>
      <c r="K58" s="60" t="n"/>
      <c r="L58" s="60" t="n"/>
      <c r="M58" s="61">
        <f>IF(NOT((COUNTA($B58:$D58)+COUNTA($G58:$L58)+COUNTA($Q58))&gt;0),"",IF($V58="Sub",IFERROR($X58/INDEX($W$5:$W$1000,$U58-4),""),IF(ISNUMBER($G58),1,IF(N($W58)&gt;0,AVERAGEIFS($X$5:$X$1000,$U$5:$U$1000,ROW(),$V$5:$V$1000,"Sub"),$X58))))</f>
        <v/>
      </c>
      <c r="N58" s="56">
        <f>IF(OR($M58="",$V58="Sub"),"",IF($M58&gt;=1,"Completado",IF($M58&gt;0,"En curso","Pendiente")))</f>
        <v/>
      </c>
      <c r="O58" s="56">
        <f>IF(OR(NOT((COUNTA($B58:$D58)+COUNTA($G58:$L58)+COUNTA($Q58))&gt;0),$V58="Sub"),"",IF(ISNUMBER($G58),IF(AND(ISNUMBER($AN58),$G58&gt;$AN58),"Cumplida con "&amp;($G58-$AN58)&amp;IF($G58-$AN58=1," día"," días")&amp;" de retraso","Cumplida"),IF(N($M58)&gt;=1,"Cumplida",IF(NOT(ISNUMBER($AN58)),"Sin fecha límite",IF($AN58&lt;FechaRef,"Vencida hace "&amp;(FechaRef-$AN58)&amp;IF(FechaRef-$AN58=1," día"," días"),IF($AN58=FechaRef,"Vence hoy",IF($AN58-FechaRef&lt;=DiasAlerta,"Vence en "&amp;($AN58-FechaRef)&amp;IF($AN58-FechaRef=1," día"," días"),"En plazo")))))))</f>
        <v/>
      </c>
      <c r="P58" s="62" t="n"/>
      <c r="Q58" s="58" t="n"/>
      <c r="R58" s="63">
        <f>IF(NOT((COUNTA($B58:$D58)+COUNTA($G58:$L58)+COUNTA($Q58))&gt;0),"",IF((IF($C58="","Falta el nombre de la actividad"&amp;" · ","")&amp;IF(AND($V58="Sub",N($U58)=0),"Subactividad sin macroactividad arriba"&amp;" · ","")&amp;IF($AM58="","Sin fecha de inicio"&amp;" · ","")&amp;IF($AN58="","Sin fecha límite"&amp;" · ","")&amp;IF(AND(LEFT($C58,11)="[Jefatura] ",N($AL58)=0),"No se encuentra en la hoja de la jefatura (elíjala de nuevo en la lista)"&amp;" · ","")&amp;IF(OR(AND($E58&lt;&gt;"",NOT(ISNUMBER($E58))),AND($F58&lt;&gt;"",NOT(ISNUMBER($F58))),AND($G58&lt;&gt;"",NOT(ISNUMBER($G58)))),"Fecha no válida"&amp;" · ","")&amp;IF(AND(ISNUMBER($AM58),ISNUMBER($AN58),$AM58&gt;$AN58),"Inicio posterior a fecha límite"&amp;" · ","")&amp;IF(AND($V58="Macro",$H58&lt;&gt;"",OR(NOT(ISNUMBER($H58)),$H58&lt;0,$H58&gt;1)),"Peso fuera de rango"&amp;" · ","")&amp;IF(AND($V58="Sub",$H58&lt;&gt;""),"Las subactividades no llevan peso (valen igual dentro de su macroactividad)"&amp;" · ","")&amp;IF(AND(N($W58)&gt;0,COUNT($I58:$L58)&gt;0),"Con subactividades: deje vacías las semanas (se calculan solas)"&amp;" · ","")&amp;IF((COUNTIF($I58:$L58,"&gt;1")+COUNTIF($I58:$L58,"&lt;0")+COUNTA($I58:$L58)-COUNT($I58:$L58))&gt;0,"Avance fuera de rango 0-100%"&amp;" · ","")&amp;IF(OR(AND($J58&lt;&gt;"",$J58&lt;$I58),AND($K58&lt;&gt;"",$K58&lt;MAX($I58:$J58)),AND($L58&lt;&gt;"",$L58&lt;MAX($I58:$K58))),"Avance semanal decreciente"&amp;" · ","")&amp;IF(AND(ISNUMBER($AN58),$AN58&lt;FechaRef,IF($V58="Sub",N($X58),N($M58))&lt;1),"Vencida"&amp;" · ","")&amp;IF(AND(ObsObligatoria="Sí",ISNUMBER($AN58),$AN58&lt;FechaRef,IF($V58="Sub",N($X58),N($M58))&lt;1,$Q58=""),"Vencida sin observación"&amp;" · ",""))="","✔ OK","⚠ "&amp;LEFT(IF($C58="","Falta el nombre de la actividad"&amp;" · ","")&amp;IF(AND($V58="Sub",N($U58)=0),"Subactividad sin macroactividad arriba"&amp;" · ","")&amp;IF($AM58="","Sin fecha de inicio"&amp;" · ","")&amp;IF($AN58="","Sin fecha límite"&amp;" · ","")&amp;IF(AND(LEFT($C58,11)="[Jefatura] ",N($AL58)=0),"No se encuentra en la hoja de la jefatura (elíjala de nuevo en la lista)"&amp;" · ","")&amp;IF(OR(AND($E58&lt;&gt;"",NOT(ISNUMBER($E58))),AND($F58&lt;&gt;"",NOT(ISNUMBER($F58))),AND($G58&lt;&gt;"",NOT(ISNUMBER($G58)))),"Fecha no válida"&amp;" · ","")&amp;IF(AND(ISNUMBER($AM58),ISNUMBER($AN58),$AM58&gt;$AN58),"Inicio posterior a fecha límite"&amp;" · ","")&amp;IF(AND($V58="Macro",$H58&lt;&gt;"",OR(NOT(ISNUMBER($H58)),$H58&lt;0,$H58&gt;1)),"Peso fuera de rango"&amp;" · ","")&amp;IF(AND($V58="Sub",$H58&lt;&gt;""),"Las subactividades no llevan peso (valen igual dentro de su macroactividad)"&amp;" · ","")&amp;IF(AND(N($W58)&gt;0,COUNT($I58:$L58)&gt;0),"Con subactividades: deje vacías las semanas (se calculan solas)"&amp;" · ","")&amp;IF((COUNTIF($I58:$L58,"&gt;1")+COUNTIF($I58:$L58,"&lt;0")+COUNTA($I58:$L58)-COUNT($I58:$L58))&gt;0,"Avance fuera de rango 0-100%"&amp;" · ","")&amp;IF(OR(AND($J58&lt;&gt;"",$J58&lt;$I58),AND($K58&lt;&gt;"",$K58&lt;MAX($I58:$J58)),AND($L58&lt;&gt;"",$L58&lt;MAX($I58:$K58))),"Avance semanal decreciente"&amp;" · ","")&amp;IF(AND(ISNUMBER($AN58),$AN58&lt;FechaRef,IF($V58="Sub",N($X58),N($M58))&lt;1),"Vencida"&amp;" · ","")&amp;IF(AND(ObsObligatoria="Sí",ISNUMBER($AN58),$AN58&lt;FechaRef,IF($V58="Sub",N($X58),N($M58))&lt;1,$Q58=""),"Vencida sin observación"&amp;" · ",""),LEN(IF($C58="","Falta el nombre de la actividad"&amp;" · ","")&amp;IF(AND($V58="Sub",N($U58)=0),"Subactividad sin macroactividad arriba"&amp;" · ","")&amp;IF($AM58="","Sin fecha de inicio"&amp;" · ","")&amp;IF($AN58="","Sin fecha límite"&amp;" · ","")&amp;IF(AND(LEFT($C58,11)="[Jefatura] ",N($AL58)=0),"No se encuentra en la hoja de la jefatura (elíjala de nuevo en la lista)"&amp;" · ","")&amp;IF(OR(AND($E58&lt;&gt;"",NOT(ISNUMBER($E58))),AND($F58&lt;&gt;"",NOT(ISNUMBER($F58))),AND($G58&lt;&gt;"",NOT(ISNUMBER($G58)))),"Fecha no válida"&amp;" · ","")&amp;IF(AND(ISNUMBER($AM58),ISNUMBER($AN58),$AM58&gt;$AN58),"Inicio posterior a fecha límite"&amp;" · ","")&amp;IF(AND($V58="Macro",$H58&lt;&gt;"",OR(NOT(ISNUMBER($H58)),$H58&lt;0,$H58&gt;1)),"Peso fuera de rango"&amp;" · ","")&amp;IF(AND($V58="Sub",$H58&lt;&gt;""),"Las subactividades no llevan peso (valen igual dentro de su macroactividad)"&amp;" · ","")&amp;IF(AND(N($W58)&gt;0,COUNT($I58:$L58)&gt;0),"Con subactividades: deje vacías las semanas (se calculan solas)"&amp;" · ","")&amp;IF((COUNTIF($I58:$L58,"&gt;1")+COUNTIF($I58:$L58,"&lt;0")+COUNTA($I58:$L58)-COUNT($I58:$L58))&gt;0,"Avance fuera de rango 0-100%"&amp;" · ","")&amp;IF(OR(AND($J58&lt;&gt;"",$J58&lt;$I58),AND($K58&lt;&gt;"",$K58&lt;MAX($I58:$J58)),AND($L58&lt;&gt;"",$L58&lt;MAX($I58:$K58))),"Avance semanal decreciente"&amp;" · ","")&amp;IF(AND(ISNUMBER($AN58),$AN58&lt;FechaRef,IF($V58="Sub",N($X58),N($M58))&lt;1),"Vencida"&amp;" · ","")&amp;IF(AND(ObsObligatoria="Sí",ISNUMBER($AN58),$AN58&lt;FechaRef,IF($V58="Sub",N($X58),N($M58))&lt;1,$Q58=""),"Vencida sin observación"&amp;" · ",""))-3)))</f>
        <v/>
      </c>
      <c r="S58" s="64">
        <f>IF(NOT((COUNTA($B58:$D58)+COUNTA($G58:$L58)+COUNTA($Q58))&gt;0),"",IF(AND($V58="Sub",N($U58)&gt;0),IF(ISNUMBER(INDEX($AM$5:$AM$1000,$U58-4)),DATE(YEAR(INDEX($AM$5:$AM$1000,$U58-4)),MONTH(INDEX($AM$5:$AM$1000,$U58-4)),1),IF(ISNUMBER(INDEX($AN$5:$AN$1000,$U58-4)),DATE(YEAR(INDEX($AN$5:$AN$1000,$U58-4)),MONTH(INDEX($AN$5:$AN$1000,$U58-4)),1),MesCiclo)),IF(ISNUMBER($AM58),DATE(YEAR($AM58),MONTH($AM58),1),IF(ISNUMBER($AN58),DATE(YEAR($AN58),MONTH($AN58),1),MesCiclo))))</f>
        <v/>
      </c>
      <c r="T58" s="62">
        <f>IF(OR($S58="",$S58&lt;&gt;MesCiclo,$V58&lt;&gt;"Macro"),"",COUNTIFS($S$5:$S58,MesCiclo,$V$5:$V58,"Macro"))</f>
        <v/>
      </c>
      <c r="U58" s="62">
        <f>IF($V58="","",IF($V58="Macro",ROW(),IFERROR(LOOKUP(2,1/($V$5:$V58="Macro"),ROW($V$5:$V58)),0)))</f>
        <v/>
      </c>
      <c r="V58" s="62">
        <f>IF(NOT((COUNTA($B58:$D58)+COUNTA($G58:$L58)+COUNTA($Q58))&gt;0),"",IF($B58="Subactividad","Sub","Macro"))</f>
        <v/>
      </c>
      <c r="W58" s="62">
        <f>IF($V58="Macro",COUNTIFS($U$5:$U$1000,ROW(),$V$5:$V$1000,"Sub"),"")</f>
        <v/>
      </c>
      <c r="X58" s="62">
        <f>IF($V58="","",IF(ISNUMBER($G58),1,IFERROR(LOOKUP(2,1/($I58:$L58&lt;&gt;""),$I58:$L58),0)))</f>
        <v/>
      </c>
      <c r="Y58" s="62">
        <f>IF($V58="","",IF(AND(ISNUMBER($G58),$G58&lt;=IF($S58=MesCiclo,InicioCiclo,$S58+MOD(2-WEEKDAY($S58),7))+6),1,IF(ISNUMBER($I58),$I58,0)))</f>
        <v/>
      </c>
      <c r="Z58" s="62">
        <f>IF($V58="","",IF(AND(ISNUMBER($G58),$G58&lt;=IF($S58=MesCiclo,InicioCiclo,$S58+MOD(2-WEEKDAY($S58),7))+13),1,IF(ISNUMBER($J58),$J58,$Y58)))</f>
        <v/>
      </c>
      <c r="AA58" s="62">
        <f>IF($V58="","",IF(AND(ISNUMBER($G58),$G58&lt;=IF($S58=MesCiclo,InicioCiclo,$S58+MOD(2-WEEKDAY($S58),7))+20),1,IF(ISNUMBER($K58),$K58,$Z58)))</f>
        <v/>
      </c>
      <c r="AB58" s="62">
        <f>IF($V58="","",IF(AND(ISNUMBER($G58),$G58&lt;=IF($S58=MesCiclo,InicioCiclo,$S58+MOD(2-WEEKDAY($S58),7))+27),1,IF(ISNUMBER($L58),$L58,$AA58)))</f>
        <v/>
      </c>
      <c r="AC58" s="62">
        <f>IF($V58="","",IF(AND(ISNUMBER($G58),$G58&lt;=IF($S58=MesCiclo,InicioCiclo,$S58+MOD(2-WEEKDAY($S58),7))+6),1,IF(N($W58)&gt;0,AVERAGEIFS($Y$5:$Y$1000,$U$5:$U$1000,ROW(),$V$5:$V$1000,"Sub"),$Y58)))</f>
        <v/>
      </c>
      <c r="AD58" s="62">
        <f>IF($V58="","",IF(AND(ISNUMBER($G58),$G58&lt;=IF($S58=MesCiclo,InicioCiclo,$S58+MOD(2-WEEKDAY($S58),7))+13),1,IF(N($W58)&gt;0,AVERAGEIFS($Z$5:$Z$1000,$U$5:$U$1000,ROW(),$V$5:$V$1000,"Sub"),$Z58)))</f>
        <v/>
      </c>
      <c r="AE58" s="62">
        <f>IF($V58="","",IF(AND(ISNUMBER($G58),$G58&lt;=IF($S58=MesCiclo,InicioCiclo,$S58+MOD(2-WEEKDAY($S58),7))+20),1,IF(N($W58)&gt;0,AVERAGEIFS($AA$5:$AA$1000,$U$5:$U$1000,ROW(),$V$5:$V$1000,"Sub"),$AA58)))</f>
        <v/>
      </c>
      <c r="AF58" s="62">
        <f>IF($V58="","",IF(AND(ISNUMBER($G58),$G58&lt;=IF($S58=MesCiclo,InicioCiclo,$S58+MOD(2-WEEKDAY($S58),7))+27),1,IF(N($W58)&gt;0,AVERAGEIFS($AB$5:$AB$1000,$U$5:$U$1000,ROW(),$V$5:$V$1000,"Sub"),$AB58)))</f>
        <v/>
      </c>
      <c r="AG58" s="62">
        <f>IF($V58&lt;&gt;"Macro","",IF(COUNTIFS($S$5:$S$1000,$S58,$V$5:$V$1000,"Macro",$H$5:$H$1000,"&gt;0")=0,1/COUNTIFS($S$5:$S$1000,$S58,$V$5:$V$1000,"Macro"),IF(AND(ISNUMBER($H58),N($H58)&gt;0),$H58,SUMIFS($H$5:$H$1000,$S$5:$S$1000,$S58,$V$5:$V$1000,"Macro")/COUNTIFS($S$5:$S$1000,$S58,$V$5:$V$1000,"Macro",$H$5:$H$1000,"&gt;0"))/(COUNTIFS($S$5:$S$1000,$S58,$V$5:$V$1000,"Macro")*SUMIFS($H$5:$H$1000,$S$5:$S$1000,$S58,$V$5:$V$1000,"Macro")/COUNTIFS($S$5:$S$1000,$S58,$V$5:$V$1000,"Macro",$H$5:$H$1000,"&gt;0"))))</f>
        <v/>
      </c>
      <c r="AH58" s="62" t="n"/>
      <c r="AI58" s="62" t="n"/>
      <c r="AJ58" s="62" t="n"/>
      <c r="AK58" s="62" t="n"/>
      <c r="AL58" s="62">
        <f>IF(LEFT($C58,11)="[Jefatura] ",IFERROR(MATCH("Riesgo Operacional|"&amp;MID($C58,12,500),rDname_ADM,0),0),"")</f>
        <v/>
      </c>
      <c r="AM58" s="62">
        <f>IF(N($AL58)&gt;0,INDEX(rIni_ADM,$AL58),IF(ISNUMBER($E58),$E58,""))</f>
        <v/>
      </c>
      <c r="AN58" s="62">
        <f>IF(N($AL58)&gt;0,INDEX(rLim_ADM,$AL58),IF(ISNUMBER($F58),$F58,""))</f>
        <v/>
      </c>
    </row>
    <row r="59">
      <c r="A59" s="56">
        <f>IF(NOT((COUNTA($B59:$D59)+COUNTA($G59:$L59)+COUNTA($Q59))&gt;0),"",IF($V59="Macro",COUNTIFS($V$5:$V59,"Macro",$S$5:$S59,$S59),IF(N($U59)=0,"?",COUNTIFS(INDEX($V$5:$V$1000,1):INDEX($V$5:$V$1000,$U59-4),"Macro",INDEX($S$5:$S$1000,1):INDEX($S$5:$S$1000,$U59-4),INDEX($S$5:$S$1000,$U59-4))&amp;"."&amp;COUNTIFS($U$5:$U59,$U59,$V$5:$V59,"Sub"))))</f>
        <v/>
      </c>
      <c r="B59" s="57" t="n"/>
      <c r="C59" s="58" t="n"/>
      <c r="D59" s="58" t="n"/>
      <c r="E59" s="59">
        <f>IF(N($AL59)&gt;0,INDEX(rIni_ADM,$AL59),"")</f>
        <v/>
      </c>
      <c r="F59" s="59">
        <f>IF(N($AL59)&gt;0,INDEX(rLim_ADM,$AL59),"")</f>
        <v/>
      </c>
      <c r="G59" s="59" t="n"/>
      <c r="H59" s="60" t="n"/>
      <c r="I59" s="60" t="n"/>
      <c r="J59" s="60" t="n"/>
      <c r="K59" s="60" t="n"/>
      <c r="L59" s="60" t="n"/>
      <c r="M59" s="61">
        <f>IF(NOT((COUNTA($B59:$D59)+COUNTA($G59:$L59)+COUNTA($Q59))&gt;0),"",IF($V59="Sub",IFERROR($X59/INDEX($W$5:$W$1000,$U59-4),""),IF(ISNUMBER($G59),1,IF(N($W59)&gt;0,AVERAGEIFS($X$5:$X$1000,$U$5:$U$1000,ROW(),$V$5:$V$1000,"Sub"),$X59))))</f>
        <v/>
      </c>
      <c r="N59" s="56">
        <f>IF(OR($M59="",$V59="Sub"),"",IF($M59&gt;=1,"Completado",IF($M59&gt;0,"En curso","Pendiente")))</f>
        <v/>
      </c>
      <c r="O59" s="56">
        <f>IF(OR(NOT((COUNTA($B59:$D59)+COUNTA($G59:$L59)+COUNTA($Q59))&gt;0),$V59="Sub"),"",IF(ISNUMBER($G59),IF(AND(ISNUMBER($AN59),$G59&gt;$AN59),"Cumplida con "&amp;($G59-$AN59)&amp;IF($G59-$AN59=1," día"," días")&amp;" de retraso","Cumplida"),IF(N($M59)&gt;=1,"Cumplida",IF(NOT(ISNUMBER($AN59)),"Sin fecha límite",IF($AN59&lt;FechaRef,"Vencida hace "&amp;(FechaRef-$AN59)&amp;IF(FechaRef-$AN59=1," día"," días"),IF($AN59=FechaRef,"Vence hoy",IF($AN59-FechaRef&lt;=DiasAlerta,"Vence en "&amp;($AN59-FechaRef)&amp;IF($AN59-FechaRef=1," día"," días"),"En plazo")))))))</f>
        <v/>
      </c>
      <c r="P59" s="62" t="n"/>
      <c r="Q59" s="58" t="n"/>
      <c r="R59" s="63">
        <f>IF(NOT((COUNTA($B59:$D59)+COUNTA($G59:$L59)+COUNTA($Q59))&gt;0),"",IF((IF($C59="","Falta el nombre de la actividad"&amp;" · ","")&amp;IF(AND($V59="Sub",N($U59)=0),"Subactividad sin macroactividad arriba"&amp;" · ","")&amp;IF($AM59="","Sin fecha de inicio"&amp;" · ","")&amp;IF($AN59="","Sin fecha límite"&amp;" · ","")&amp;IF(AND(LEFT($C59,11)="[Jefatura] ",N($AL59)=0),"No se encuentra en la hoja de la jefatura (elíjala de nuevo en la lista)"&amp;" · ","")&amp;IF(OR(AND($E59&lt;&gt;"",NOT(ISNUMBER($E59))),AND($F59&lt;&gt;"",NOT(ISNUMBER($F59))),AND($G59&lt;&gt;"",NOT(ISNUMBER($G59)))),"Fecha no válida"&amp;" · ","")&amp;IF(AND(ISNUMBER($AM59),ISNUMBER($AN59),$AM59&gt;$AN59),"Inicio posterior a fecha límite"&amp;" · ","")&amp;IF(AND($V59="Macro",$H59&lt;&gt;"",OR(NOT(ISNUMBER($H59)),$H59&lt;0,$H59&gt;1)),"Peso fuera de rango"&amp;" · ","")&amp;IF(AND($V59="Sub",$H59&lt;&gt;""),"Las subactividades no llevan peso (valen igual dentro de su macroactividad)"&amp;" · ","")&amp;IF(AND(N($W59)&gt;0,COUNT($I59:$L59)&gt;0),"Con subactividades: deje vacías las semanas (se calculan solas)"&amp;" · ","")&amp;IF((COUNTIF($I59:$L59,"&gt;1")+COUNTIF($I59:$L59,"&lt;0")+COUNTA($I59:$L59)-COUNT($I59:$L59))&gt;0,"Avance fuera de rango 0-100%"&amp;" · ","")&amp;IF(OR(AND($J59&lt;&gt;"",$J59&lt;$I59),AND($K59&lt;&gt;"",$K59&lt;MAX($I59:$J59)),AND($L59&lt;&gt;"",$L59&lt;MAX($I59:$K59))),"Avance semanal decreciente"&amp;" · ","")&amp;IF(AND(ISNUMBER($AN59),$AN59&lt;FechaRef,IF($V59="Sub",N($X59),N($M59))&lt;1),"Vencida"&amp;" · ","")&amp;IF(AND(ObsObligatoria="Sí",ISNUMBER($AN59),$AN59&lt;FechaRef,IF($V59="Sub",N($X59),N($M59))&lt;1,$Q59=""),"Vencida sin observación"&amp;" · ",""))="","✔ OK","⚠ "&amp;LEFT(IF($C59="","Falta el nombre de la actividad"&amp;" · ","")&amp;IF(AND($V59="Sub",N($U59)=0),"Subactividad sin macroactividad arriba"&amp;" · ","")&amp;IF($AM59="","Sin fecha de inicio"&amp;" · ","")&amp;IF($AN59="","Sin fecha límite"&amp;" · ","")&amp;IF(AND(LEFT($C59,11)="[Jefatura] ",N($AL59)=0),"No se encuentra en la hoja de la jefatura (elíjala de nuevo en la lista)"&amp;" · ","")&amp;IF(OR(AND($E59&lt;&gt;"",NOT(ISNUMBER($E59))),AND($F59&lt;&gt;"",NOT(ISNUMBER($F59))),AND($G59&lt;&gt;"",NOT(ISNUMBER($G59)))),"Fecha no válida"&amp;" · ","")&amp;IF(AND(ISNUMBER($AM59),ISNUMBER($AN59),$AM59&gt;$AN59),"Inicio posterior a fecha límite"&amp;" · ","")&amp;IF(AND($V59="Macro",$H59&lt;&gt;"",OR(NOT(ISNUMBER($H59)),$H59&lt;0,$H59&gt;1)),"Peso fuera de rango"&amp;" · ","")&amp;IF(AND($V59="Sub",$H59&lt;&gt;""),"Las subactividades no llevan peso (valen igual dentro de su macroactividad)"&amp;" · ","")&amp;IF(AND(N($W59)&gt;0,COUNT($I59:$L59)&gt;0),"Con subactividades: deje vacías las semanas (se calculan solas)"&amp;" · ","")&amp;IF((COUNTIF($I59:$L59,"&gt;1")+COUNTIF($I59:$L59,"&lt;0")+COUNTA($I59:$L59)-COUNT($I59:$L59))&gt;0,"Avance fuera de rango 0-100%"&amp;" · ","")&amp;IF(OR(AND($J59&lt;&gt;"",$J59&lt;$I59),AND($K59&lt;&gt;"",$K59&lt;MAX($I59:$J59)),AND($L59&lt;&gt;"",$L59&lt;MAX($I59:$K59))),"Avance semanal decreciente"&amp;" · ","")&amp;IF(AND(ISNUMBER($AN59),$AN59&lt;FechaRef,IF($V59="Sub",N($X59),N($M59))&lt;1),"Vencida"&amp;" · ","")&amp;IF(AND(ObsObligatoria="Sí",ISNUMBER($AN59),$AN59&lt;FechaRef,IF($V59="Sub",N($X59),N($M59))&lt;1,$Q59=""),"Vencida sin observación"&amp;" · ",""),LEN(IF($C59="","Falta el nombre de la actividad"&amp;" · ","")&amp;IF(AND($V59="Sub",N($U59)=0),"Subactividad sin macroactividad arriba"&amp;" · ","")&amp;IF($AM59="","Sin fecha de inicio"&amp;" · ","")&amp;IF($AN59="","Sin fecha límite"&amp;" · ","")&amp;IF(AND(LEFT($C59,11)="[Jefatura] ",N($AL59)=0),"No se encuentra en la hoja de la jefatura (elíjala de nuevo en la lista)"&amp;" · ","")&amp;IF(OR(AND($E59&lt;&gt;"",NOT(ISNUMBER($E59))),AND($F59&lt;&gt;"",NOT(ISNUMBER($F59))),AND($G59&lt;&gt;"",NOT(ISNUMBER($G59)))),"Fecha no válida"&amp;" · ","")&amp;IF(AND(ISNUMBER($AM59),ISNUMBER($AN59),$AM59&gt;$AN59),"Inicio posterior a fecha límite"&amp;" · ","")&amp;IF(AND($V59="Macro",$H59&lt;&gt;"",OR(NOT(ISNUMBER($H59)),$H59&lt;0,$H59&gt;1)),"Peso fuera de rango"&amp;" · ","")&amp;IF(AND($V59="Sub",$H59&lt;&gt;""),"Las subactividades no llevan peso (valen igual dentro de su macroactividad)"&amp;" · ","")&amp;IF(AND(N($W59)&gt;0,COUNT($I59:$L59)&gt;0),"Con subactividades: deje vacías las semanas (se calculan solas)"&amp;" · ","")&amp;IF((COUNTIF($I59:$L59,"&gt;1")+COUNTIF($I59:$L59,"&lt;0")+COUNTA($I59:$L59)-COUNT($I59:$L59))&gt;0,"Avance fuera de rango 0-100%"&amp;" · ","")&amp;IF(OR(AND($J59&lt;&gt;"",$J59&lt;$I59),AND($K59&lt;&gt;"",$K59&lt;MAX($I59:$J59)),AND($L59&lt;&gt;"",$L59&lt;MAX($I59:$K59))),"Avance semanal decreciente"&amp;" · ","")&amp;IF(AND(ISNUMBER($AN59),$AN59&lt;FechaRef,IF($V59="Sub",N($X59),N($M59))&lt;1),"Vencida"&amp;" · ","")&amp;IF(AND(ObsObligatoria="Sí",ISNUMBER($AN59),$AN59&lt;FechaRef,IF($V59="Sub",N($X59),N($M59))&lt;1,$Q59=""),"Vencida sin observación"&amp;" · ",""))-3)))</f>
        <v/>
      </c>
      <c r="S59" s="64">
        <f>IF(NOT((COUNTA($B59:$D59)+COUNTA($G59:$L59)+COUNTA($Q59))&gt;0),"",IF(AND($V59="Sub",N($U59)&gt;0),IF(ISNUMBER(INDEX($AM$5:$AM$1000,$U59-4)),DATE(YEAR(INDEX($AM$5:$AM$1000,$U59-4)),MONTH(INDEX($AM$5:$AM$1000,$U59-4)),1),IF(ISNUMBER(INDEX($AN$5:$AN$1000,$U59-4)),DATE(YEAR(INDEX($AN$5:$AN$1000,$U59-4)),MONTH(INDEX($AN$5:$AN$1000,$U59-4)),1),MesCiclo)),IF(ISNUMBER($AM59),DATE(YEAR($AM59),MONTH($AM59),1),IF(ISNUMBER($AN59),DATE(YEAR($AN59),MONTH($AN59),1),MesCiclo))))</f>
        <v/>
      </c>
      <c r="T59" s="62">
        <f>IF(OR($S59="",$S59&lt;&gt;MesCiclo,$V59&lt;&gt;"Macro"),"",COUNTIFS($S$5:$S59,MesCiclo,$V$5:$V59,"Macro"))</f>
        <v/>
      </c>
      <c r="U59" s="62">
        <f>IF($V59="","",IF($V59="Macro",ROW(),IFERROR(LOOKUP(2,1/($V$5:$V59="Macro"),ROW($V$5:$V59)),0)))</f>
        <v/>
      </c>
      <c r="V59" s="62">
        <f>IF(NOT((COUNTA($B59:$D59)+COUNTA($G59:$L59)+COUNTA($Q59))&gt;0),"",IF($B59="Subactividad","Sub","Macro"))</f>
        <v/>
      </c>
      <c r="W59" s="62">
        <f>IF($V59="Macro",COUNTIFS($U$5:$U$1000,ROW(),$V$5:$V$1000,"Sub"),"")</f>
        <v/>
      </c>
      <c r="X59" s="62">
        <f>IF($V59="","",IF(ISNUMBER($G59),1,IFERROR(LOOKUP(2,1/($I59:$L59&lt;&gt;""),$I59:$L59),0)))</f>
        <v/>
      </c>
      <c r="Y59" s="62">
        <f>IF($V59="","",IF(AND(ISNUMBER($G59),$G59&lt;=IF($S59=MesCiclo,InicioCiclo,$S59+MOD(2-WEEKDAY($S59),7))+6),1,IF(ISNUMBER($I59),$I59,0)))</f>
        <v/>
      </c>
      <c r="Z59" s="62">
        <f>IF($V59="","",IF(AND(ISNUMBER($G59),$G59&lt;=IF($S59=MesCiclo,InicioCiclo,$S59+MOD(2-WEEKDAY($S59),7))+13),1,IF(ISNUMBER($J59),$J59,$Y59)))</f>
        <v/>
      </c>
      <c r="AA59" s="62">
        <f>IF($V59="","",IF(AND(ISNUMBER($G59),$G59&lt;=IF($S59=MesCiclo,InicioCiclo,$S59+MOD(2-WEEKDAY($S59),7))+20),1,IF(ISNUMBER($K59),$K59,$Z59)))</f>
        <v/>
      </c>
      <c r="AB59" s="62">
        <f>IF($V59="","",IF(AND(ISNUMBER($G59),$G59&lt;=IF($S59=MesCiclo,InicioCiclo,$S59+MOD(2-WEEKDAY($S59),7))+27),1,IF(ISNUMBER($L59),$L59,$AA59)))</f>
        <v/>
      </c>
      <c r="AC59" s="62">
        <f>IF($V59="","",IF(AND(ISNUMBER($G59),$G59&lt;=IF($S59=MesCiclo,InicioCiclo,$S59+MOD(2-WEEKDAY($S59),7))+6),1,IF(N($W59)&gt;0,AVERAGEIFS($Y$5:$Y$1000,$U$5:$U$1000,ROW(),$V$5:$V$1000,"Sub"),$Y59)))</f>
        <v/>
      </c>
      <c r="AD59" s="62">
        <f>IF($V59="","",IF(AND(ISNUMBER($G59),$G59&lt;=IF($S59=MesCiclo,InicioCiclo,$S59+MOD(2-WEEKDAY($S59),7))+13),1,IF(N($W59)&gt;0,AVERAGEIFS($Z$5:$Z$1000,$U$5:$U$1000,ROW(),$V$5:$V$1000,"Sub"),$Z59)))</f>
        <v/>
      </c>
      <c r="AE59" s="62">
        <f>IF($V59="","",IF(AND(ISNUMBER($G59),$G59&lt;=IF($S59=MesCiclo,InicioCiclo,$S59+MOD(2-WEEKDAY($S59),7))+20),1,IF(N($W59)&gt;0,AVERAGEIFS($AA$5:$AA$1000,$U$5:$U$1000,ROW(),$V$5:$V$1000,"Sub"),$AA59)))</f>
        <v/>
      </c>
      <c r="AF59" s="62">
        <f>IF($V59="","",IF(AND(ISNUMBER($G59),$G59&lt;=IF($S59=MesCiclo,InicioCiclo,$S59+MOD(2-WEEKDAY($S59),7))+27),1,IF(N($W59)&gt;0,AVERAGEIFS($AB$5:$AB$1000,$U$5:$U$1000,ROW(),$V$5:$V$1000,"Sub"),$AB59)))</f>
        <v/>
      </c>
      <c r="AG59" s="62">
        <f>IF($V59&lt;&gt;"Macro","",IF(COUNTIFS($S$5:$S$1000,$S59,$V$5:$V$1000,"Macro",$H$5:$H$1000,"&gt;0")=0,1/COUNTIFS($S$5:$S$1000,$S59,$V$5:$V$1000,"Macro"),IF(AND(ISNUMBER($H59),N($H59)&gt;0),$H59,SUMIFS($H$5:$H$1000,$S$5:$S$1000,$S59,$V$5:$V$1000,"Macro")/COUNTIFS($S$5:$S$1000,$S59,$V$5:$V$1000,"Macro",$H$5:$H$1000,"&gt;0"))/(COUNTIFS($S$5:$S$1000,$S59,$V$5:$V$1000,"Macro")*SUMIFS($H$5:$H$1000,$S$5:$S$1000,$S59,$V$5:$V$1000,"Macro")/COUNTIFS($S$5:$S$1000,$S59,$V$5:$V$1000,"Macro",$H$5:$H$1000,"&gt;0"))))</f>
        <v/>
      </c>
      <c r="AH59" s="62" t="n"/>
      <c r="AI59" s="62" t="n"/>
      <c r="AJ59" s="62" t="n"/>
      <c r="AK59" s="62" t="n"/>
      <c r="AL59" s="62">
        <f>IF(LEFT($C59,11)="[Jefatura] ",IFERROR(MATCH("Riesgo Operacional|"&amp;MID($C59,12,500),rDname_ADM,0),0),"")</f>
        <v/>
      </c>
      <c r="AM59" s="62">
        <f>IF(N($AL59)&gt;0,INDEX(rIni_ADM,$AL59),IF(ISNUMBER($E59),$E59,""))</f>
        <v/>
      </c>
      <c r="AN59" s="62">
        <f>IF(N($AL59)&gt;0,INDEX(rLim_ADM,$AL59),IF(ISNUMBER($F59),$F59,""))</f>
        <v/>
      </c>
    </row>
    <row r="60">
      <c r="A60" s="56">
        <f>IF(NOT((COUNTA($B60:$D60)+COUNTA($G60:$L60)+COUNTA($Q60))&gt;0),"",IF($V60="Macro",COUNTIFS($V$5:$V60,"Macro",$S$5:$S60,$S60),IF(N($U60)=0,"?",COUNTIFS(INDEX($V$5:$V$1000,1):INDEX($V$5:$V$1000,$U60-4),"Macro",INDEX($S$5:$S$1000,1):INDEX($S$5:$S$1000,$U60-4),INDEX($S$5:$S$1000,$U60-4))&amp;"."&amp;COUNTIFS($U$5:$U60,$U60,$V$5:$V60,"Sub"))))</f>
        <v/>
      </c>
      <c r="B60" s="57" t="n"/>
      <c r="C60" s="58" t="n"/>
      <c r="D60" s="58" t="n"/>
      <c r="E60" s="59">
        <f>IF(N($AL60)&gt;0,INDEX(rIni_ADM,$AL60),"")</f>
        <v/>
      </c>
      <c r="F60" s="59">
        <f>IF(N($AL60)&gt;0,INDEX(rLim_ADM,$AL60),"")</f>
        <v/>
      </c>
      <c r="G60" s="59" t="n"/>
      <c r="H60" s="60" t="n"/>
      <c r="I60" s="60" t="n"/>
      <c r="J60" s="60" t="n"/>
      <c r="K60" s="60" t="n"/>
      <c r="L60" s="60" t="n"/>
      <c r="M60" s="61">
        <f>IF(NOT((COUNTA($B60:$D60)+COUNTA($G60:$L60)+COUNTA($Q60))&gt;0),"",IF($V60="Sub",IFERROR($X60/INDEX($W$5:$W$1000,$U60-4),""),IF(ISNUMBER($G60),1,IF(N($W60)&gt;0,AVERAGEIFS($X$5:$X$1000,$U$5:$U$1000,ROW(),$V$5:$V$1000,"Sub"),$X60))))</f>
        <v/>
      </c>
      <c r="N60" s="56">
        <f>IF(OR($M60="",$V60="Sub"),"",IF($M60&gt;=1,"Completado",IF($M60&gt;0,"En curso","Pendiente")))</f>
        <v/>
      </c>
      <c r="O60" s="56">
        <f>IF(OR(NOT((COUNTA($B60:$D60)+COUNTA($G60:$L60)+COUNTA($Q60))&gt;0),$V60="Sub"),"",IF(ISNUMBER($G60),IF(AND(ISNUMBER($AN60),$G60&gt;$AN60),"Cumplida con "&amp;($G60-$AN60)&amp;IF($G60-$AN60=1," día"," días")&amp;" de retraso","Cumplida"),IF(N($M60)&gt;=1,"Cumplida",IF(NOT(ISNUMBER($AN60)),"Sin fecha límite",IF($AN60&lt;FechaRef,"Vencida hace "&amp;(FechaRef-$AN60)&amp;IF(FechaRef-$AN60=1," día"," días"),IF($AN60=FechaRef,"Vence hoy",IF($AN60-FechaRef&lt;=DiasAlerta,"Vence en "&amp;($AN60-FechaRef)&amp;IF($AN60-FechaRef=1," día"," días"),"En plazo")))))))</f>
        <v/>
      </c>
      <c r="P60" s="62" t="n"/>
      <c r="Q60" s="58" t="n"/>
      <c r="R60" s="63">
        <f>IF(NOT((COUNTA($B60:$D60)+COUNTA($G60:$L60)+COUNTA($Q60))&gt;0),"",IF((IF($C60="","Falta el nombre de la actividad"&amp;" · ","")&amp;IF(AND($V60="Sub",N($U60)=0),"Subactividad sin macroactividad arriba"&amp;" · ","")&amp;IF($AM60="","Sin fecha de inicio"&amp;" · ","")&amp;IF($AN60="","Sin fecha límite"&amp;" · ","")&amp;IF(AND(LEFT($C60,11)="[Jefatura] ",N($AL60)=0),"No se encuentra en la hoja de la jefatura (elíjala de nuevo en la lista)"&amp;" · ","")&amp;IF(OR(AND($E60&lt;&gt;"",NOT(ISNUMBER($E60))),AND($F60&lt;&gt;"",NOT(ISNUMBER($F60))),AND($G60&lt;&gt;"",NOT(ISNUMBER($G60)))),"Fecha no válida"&amp;" · ","")&amp;IF(AND(ISNUMBER($AM60),ISNUMBER($AN60),$AM60&gt;$AN60),"Inicio posterior a fecha límite"&amp;" · ","")&amp;IF(AND($V60="Macro",$H60&lt;&gt;"",OR(NOT(ISNUMBER($H60)),$H60&lt;0,$H60&gt;1)),"Peso fuera de rango"&amp;" · ","")&amp;IF(AND($V60="Sub",$H60&lt;&gt;""),"Las subactividades no llevan peso (valen igual dentro de su macroactividad)"&amp;" · ","")&amp;IF(AND(N($W60)&gt;0,COUNT($I60:$L60)&gt;0),"Con subactividades: deje vacías las semanas (se calculan solas)"&amp;" · ","")&amp;IF((COUNTIF($I60:$L60,"&gt;1")+COUNTIF($I60:$L60,"&lt;0")+COUNTA($I60:$L60)-COUNT($I60:$L60))&gt;0,"Avance fuera de rango 0-100%"&amp;" · ","")&amp;IF(OR(AND($J60&lt;&gt;"",$J60&lt;$I60),AND($K60&lt;&gt;"",$K60&lt;MAX($I60:$J60)),AND($L60&lt;&gt;"",$L60&lt;MAX($I60:$K60))),"Avance semanal decreciente"&amp;" · ","")&amp;IF(AND(ISNUMBER($AN60),$AN60&lt;FechaRef,IF($V60="Sub",N($X60),N($M60))&lt;1),"Vencida"&amp;" · ","")&amp;IF(AND(ObsObligatoria="Sí",ISNUMBER($AN60),$AN60&lt;FechaRef,IF($V60="Sub",N($X60),N($M60))&lt;1,$Q60=""),"Vencida sin observación"&amp;" · ",""))="","✔ OK","⚠ "&amp;LEFT(IF($C60="","Falta el nombre de la actividad"&amp;" · ","")&amp;IF(AND($V60="Sub",N($U60)=0),"Subactividad sin macroactividad arriba"&amp;" · ","")&amp;IF($AM60="","Sin fecha de inicio"&amp;" · ","")&amp;IF($AN60="","Sin fecha límite"&amp;" · ","")&amp;IF(AND(LEFT($C60,11)="[Jefatura] ",N($AL60)=0),"No se encuentra en la hoja de la jefatura (elíjala de nuevo en la lista)"&amp;" · ","")&amp;IF(OR(AND($E60&lt;&gt;"",NOT(ISNUMBER($E60))),AND($F60&lt;&gt;"",NOT(ISNUMBER($F60))),AND($G60&lt;&gt;"",NOT(ISNUMBER($G60)))),"Fecha no válida"&amp;" · ","")&amp;IF(AND(ISNUMBER($AM60),ISNUMBER($AN60),$AM60&gt;$AN60),"Inicio posterior a fecha límite"&amp;" · ","")&amp;IF(AND($V60="Macro",$H60&lt;&gt;"",OR(NOT(ISNUMBER($H60)),$H60&lt;0,$H60&gt;1)),"Peso fuera de rango"&amp;" · ","")&amp;IF(AND($V60="Sub",$H60&lt;&gt;""),"Las subactividades no llevan peso (valen igual dentro de su macroactividad)"&amp;" · ","")&amp;IF(AND(N($W60)&gt;0,COUNT($I60:$L60)&gt;0),"Con subactividades: deje vacías las semanas (se calculan solas)"&amp;" · ","")&amp;IF((COUNTIF($I60:$L60,"&gt;1")+COUNTIF($I60:$L60,"&lt;0")+COUNTA($I60:$L60)-COUNT($I60:$L60))&gt;0,"Avance fuera de rango 0-100%"&amp;" · ","")&amp;IF(OR(AND($J60&lt;&gt;"",$J60&lt;$I60),AND($K60&lt;&gt;"",$K60&lt;MAX($I60:$J60)),AND($L60&lt;&gt;"",$L60&lt;MAX($I60:$K60))),"Avance semanal decreciente"&amp;" · ","")&amp;IF(AND(ISNUMBER($AN60),$AN60&lt;FechaRef,IF($V60="Sub",N($X60),N($M60))&lt;1),"Vencida"&amp;" · ","")&amp;IF(AND(ObsObligatoria="Sí",ISNUMBER($AN60),$AN60&lt;FechaRef,IF($V60="Sub",N($X60),N($M60))&lt;1,$Q60=""),"Vencida sin observación"&amp;" · ",""),LEN(IF($C60="","Falta el nombre de la actividad"&amp;" · ","")&amp;IF(AND($V60="Sub",N($U60)=0),"Subactividad sin macroactividad arriba"&amp;" · ","")&amp;IF($AM60="","Sin fecha de inicio"&amp;" · ","")&amp;IF($AN60="","Sin fecha límite"&amp;" · ","")&amp;IF(AND(LEFT($C60,11)="[Jefatura] ",N($AL60)=0),"No se encuentra en la hoja de la jefatura (elíjala de nuevo en la lista)"&amp;" · ","")&amp;IF(OR(AND($E60&lt;&gt;"",NOT(ISNUMBER($E60))),AND($F60&lt;&gt;"",NOT(ISNUMBER($F60))),AND($G60&lt;&gt;"",NOT(ISNUMBER($G60)))),"Fecha no válida"&amp;" · ","")&amp;IF(AND(ISNUMBER($AM60),ISNUMBER($AN60),$AM60&gt;$AN60),"Inicio posterior a fecha límite"&amp;" · ","")&amp;IF(AND($V60="Macro",$H60&lt;&gt;"",OR(NOT(ISNUMBER($H60)),$H60&lt;0,$H60&gt;1)),"Peso fuera de rango"&amp;" · ","")&amp;IF(AND($V60="Sub",$H60&lt;&gt;""),"Las subactividades no llevan peso (valen igual dentro de su macroactividad)"&amp;" · ","")&amp;IF(AND(N($W60)&gt;0,COUNT($I60:$L60)&gt;0),"Con subactividades: deje vacías las semanas (se calculan solas)"&amp;" · ","")&amp;IF((COUNTIF($I60:$L60,"&gt;1")+COUNTIF($I60:$L60,"&lt;0")+COUNTA($I60:$L60)-COUNT($I60:$L60))&gt;0,"Avance fuera de rango 0-100%"&amp;" · ","")&amp;IF(OR(AND($J60&lt;&gt;"",$J60&lt;$I60),AND($K60&lt;&gt;"",$K60&lt;MAX($I60:$J60)),AND($L60&lt;&gt;"",$L60&lt;MAX($I60:$K60))),"Avance semanal decreciente"&amp;" · ","")&amp;IF(AND(ISNUMBER($AN60),$AN60&lt;FechaRef,IF($V60="Sub",N($X60),N($M60))&lt;1),"Vencida"&amp;" · ","")&amp;IF(AND(ObsObligatoria="Sí",ISNUMBER($AN60),$AN60&lt;FechaRef,IF($V60="Sub",N($X60),N($M60))&lt;1,$Q60=""),"Vencida sin observación"&amp;" · ",""))-3)))</f>
        <v/>
      </c>
      <c r="S60" s="64">
        <f>IF(NOT((COUNTA($B60:$D60)+COUNTA($G60:$L60)+COUNTA($Q60))&gt;0),"",IF(AND($V60="Sub",N($U60)&gt;0),IF(ISNUMBER(INDEX($AM$5:$AM$1000,$U60-4)),DATE(YEAR(INDEX($AM$5:$AM$1000,$U60-4)),MONTH(INDEX($AM$5:$AM$1000,$U60-4)),1),IF(ISNUMBER(INDEX($AN$5:$AN$1000,$U60-4)),DATE(YEAR(INDEX($AN$5:$AN$1000,$U60-4)),MONTH(INDEX($AN$5:$AN$1000,$U60-4)),1),MesCiclo)),IF(ISNUMBER($AM60),DATE(YEAR($AM60),MONTH($AM60),1),IF(ISNUMBER($AN60),DATE(YEAR($AN60),MONTH($AN60),1),MesCiclo))))</f>
        <v/>
      </c>
      <c r="T60" s="62">
        <f>IF(OR($S60="",$S60&lt;&gt;MesCiclo,$V60&lt;&gt;"Macro"),"",COUNTIFS($S$5:$S60,MesCiclo,$V$5:$V60,"Macro"))</f>
        <v/>
      </c>
      <c r="U60" s="62">
        <f>IF($V60="","",IF($V60="Macro",ROW(),IFERROR(LOOKUP(2,1/($V$5:$V60="Macro"),ROW($V$5:$V60)),0)))</f>
        <v/>
      </c>
      <c r="V60" s="62">
        <f>IF(NOT((COUNTA($B60:$D60)+COUNTA($G60:$L60)+COUNTA($Q60))&gt;0),"",IF($B60="Subactividad","Sub","Macro"))</f>
        <v/>
      </c>
      <c r="W60" s="62">
        <f>IF($V60="Macro",COUNTIFS($U$5:$U$1000,ROW(),$V$5:$V$1000,"Sub"),"")</f>
        <v/>
      </c>
      <c r="X60" s="62">
        <f>IF($V60="","",IF(ISNUMBER($G60),1,IFERROR(LOOKUP(2,1/($I60:$L60&lt;&gt;""),$I60:$L60),0)))</f>
        <v/>
      </c>
      <c r="Y60" s="62">
        <f>IF($V60="","",IF(AND(ISNUMBER($G60),$G60&lt;=IF($S60=MesCiclo,InicioCiclo,$S60+MOD(2-WEEKDAY($S60),7))+6),1,IF(ISNUMBER($I60),$I60,0)))</f>
        <v/>
      </c>
      <c r="Z60" s="62">
        <f>IF($V60="","",IF(AND(ISNUMBER($G60),$G60&lt;=IF($S60=MesCiclo,InicioCiclo,$S60+MOD(2-WEEKDAY($S60),7))+13),1,IF(ISNUMBER($J60),$J60,$Y60)))</f>
        <v/>
      </c>
      <c r="AA60" s="62">
        <f>IF($V60="","",IF(AND(ISNUMBER($G60),$G60&lt;=IF($S60=MesCiclo,InicioCiclo,$S60+MOD(2-WEEKDAY($S60),7))+20),1,IF(ISNUMBER($K60),$K60,$Z60)))</f>
        <v/>
      </c>
      <c r="AB60" s="62">
        <f>IF($V60="","",IF(AND(ISNUMBER($G60),$G60&lt;=IF($S60=MesCiclo,InicioCiclo,$S60+MOD(2-WEEKDAY($S60),7))+27),1,IF(ISNUMBER($L60),$L60,$AA60)))</f>
        <v/>
      </c>
      <c r="AC60" s="62">
        <f>IF($V60="","",IF(AND(ISNUMBER($G60),$G60&lt;=IF($S60=MesCiclo,InicioCiclo,$S60+MOD(2-WEEKDAY($S60),7))+6),1,IF(N($W60)&gt;0,AVERAGEIFS($Y$5:$Y$1000,$U$5:$U$1000,ROW(),$V$5:$V$1000,"Sub"),$Y60)))</f>
        <v/>
      </c>
      <c r="AD60" s="62">
        <f>IF($V60="","",IF(AND(ISNUMBER($G60),$G60&lt;=IF($S60=MesCiclo,InicioCiclo,$S60+MOD(2-WEEKDAY($S60),7))+13),1,IF(N($W60)&gt;0,AVERAGEIFS($Z$5:$Z$1000,$U$5:$U$1000,ROW(),$V$5:$V$1000,"Sub"),$Z60)))</f>
        <v/>
      </c>
      <c r="AE60" s="62">
        <f>IF($V60="","",IF(AND(ISNUMBER($G60),$G60&lt;=IF($S60=MesCiclo,InicioCiclo,$S60+MOD(2-WEEKDAY($S60),7))+20),1,IF(N($W60)&gt;0,AVERAGEIFS($AA$5:$AA$1000,$U$5:$U$1000,ROW(),$V$5:$V$1000,"Sub"),$AA60)))</f>
        <v/>
      </c>
      <c r="AF60" s="62">
        <f>IF($V60="","",IF(AND(ISNUMBER($G60),$G60&lt;=IF($S60=MesCiclo,InicioCiclo,$S60+MOD(2-WEEKDAY($S60),7))+27),1,IF(N($W60)&gt;0,AVERAGEIFS($AB$5:$AB$1000,$U$5:$U$1000,ROW(),$V$5:$V$1000,"Sub"),$AB60)))</f>
        <v/>
      </c>
      <c r="AG60" s="62">
        <f>IF($V60&lt;&gt;"Macro","",IF(COUNTIFS($S$5:$S$1000,$S60,$V$5:$V$1000,"Macro",$H$5:$H$1000,"&gt;0")=0,1/COUNTIFS($S$5:$S$1000,$S60,$V$5:$V$1000,"Macro"),IF(AND(ISNUMBER($H60),N($H60)&gt;0),$H60,SUMIFS($H$5:$H$1000,$S$5:$S$1000,$S60,$V$5:$V$1000,"Macro")/COUNTIFS($S$5:$S$1000,$S60,$V$5:$V$1000,"Macro",$H$5:$H$1000,"&gt;0"))/(COUNTIFS($S$5:$S$1000,$S60,$V$5:$V$1000,"Macro")*SUMIFS($H$5:$H$1000,$S$5:$S$1000,$S60,$V$5:$V$1000,"Macro")/COUNTIFS($S$5:$S$1000,$S60,$V$5:$V$1000,"Macro",$H$5:$H$1000,"&gt;0"))))</f>
        <v/>
      </c>
      <c r="AH60" s="62" t="n"/>
      <c r="AI60" s="62" t="n"/>
      <c r="AJ60" s="62" t="n"/>
      <c r="AK60" s="62" t="n"/>
      <c r="AL60" s="62">
        <f>IF(LEFT($C60,11)="[Jefatura] ",IFERROR(MATCH("Riesgo Operacional|"&amp;MID($C60,12,500),rDname_ADM,0),0),"")</f>
        <v/>
      </c>
      <c r="AM60" s="62">
        <f>IF(N($AL60)&gt;0,INDEX(rIni_ADM,$AL60),IF(ISNUMBER($E60),$E60,""))</f>
        <v/>
      </c>
      <c r="AN60" s="62">
        <f>IF(N($AL60)&gt;0,INDEX(rLim_ADM,$AL60),IF(ISNUMBER($F60),$F60,""))</f>
        <v/>
      </c>
    </row>
    <row r="61">
      <c r="A61" s="56">
        <f>IF(NOT((COUNTA($B61:$D61)+COUNTA($G61:$L61)+COUNTA($Q61))&gt;0),"",IF($V61="Macro",COUNTIFS($V$5:$V61,"Macro",$S$5:$S61,$S61),IF(N($U61)=0,"?",COUNTIFS(INDEX($V$5:$V$1000,1):INDEX($V$5:$V$1000,$U61-4),"Macro",INDEX($S$5:$S$1000,1):INDEX($S$5:$S$1000,$U61-4),INDEX($S$5:$S$1000,$U61-4))&amp;"."&amp;COUNTIFS($U$5:$U61,$U61,$V$5:$V61,"Sub"))))</f>
        <v/>
      </c>
      <c r="B61" s="57" t="n"/>
      <c r="C61" s="58" t="n"/>
      <c r="D61" s="58" t="n"/>
      <c r="E61" s="59">
        <f>IF(N($AL61)&gt;0,INDEX(rIni_ADM,$AL61),"")</f>
        <v/>
      </c>
      <c r="F61" s="59">
        <f>IF(N($AL61)&gt;0,INDEX(rLim_ADM,$AL61),"")</f>
        <v/>
      </c>
      <c r="G61" s="59" t="n"/>
      <c r="H61" s="60" t="n"/>
      <c r="I61" s="60" t="n"/>
      <c r="J61" s="60" t="n"/>
      <c r="K61" s="60" t="n"/>
      <c r="L61" s="60" t="n"/>
      <c r="M61" s="61">
        <f>IF(NOT((COUNTA($B61:$D61)+COUNTA($G61:$L61)+COUNTA($Q61))&gt;0),"",IF($V61="Sub",IFERROR($X61/INDEX($W$5:$W$1000,$U61-4),""),IF(ISNUMBER($G61),1,IF(N($W61)&gt;0,AVERAGEIFS($X$5:$X$1000,$U$5:$U$1000,ROW(),$V$5:$V$1000,"Sub"),$X61))))</f>
        <v/>
      </c>
      <c r="N61" s="56">
        <f>IF(OR($M61="",$V61="Sub"),"",IF($M61&gt;=1,"Completado",IF($M61&gt;0,"En curso","Pendiente")))</f>
        <v/>
      </c>
      <c r="O61" s="56">
        <f>IF(OR(NOT((COUNTA($B61:$D61)+COUNTA($G61:$L61)+COUNTA($Q61))&gt;0),$V61="Sub"),"",IF(ISNUMBER($G61),IF(AND(ISNUMBER($AN61),$G61&gt;$AN61),"Cumplida con "&amp;($G61-$AN61)&amp;IF($G61-$AN61=1," día"," días")&amp;" de retraso","Cumplida"),IF(N($M61)&gt;=1,"Cumplida",IF(NOT(ISNUMBER($AN61)),"Sin fecha límite",IF($AN61&lt;FechaRef,"Vencida hace "&amp;(FechaRef-$AN61)&amp;IF(FechaRef-$AN61=1," día"," días"),IF($AN61=FechaRef,"Vence hoy",IF($AN61-FechaRef&lt;=DiasAlerta,"Vence en "&amp;($AN61-FechaRef)&amp;IF($AN61-FechaRef=1," día"," días"),"En plazo")))))))</f>
        <v/>
      </c>
      <c r="P61" s="62" t="n"/>
      <c r="Q61" s="58" t="n"/>
      <c r="R61" s="63">
        <f>IF(NOT((COUNTA($B61:$D61)+COUNTA($G61:$L61)+COUNTA($Q61))&gt;0),"",IF((IF($C61="","Falta el nombre de la actividad"&amp;" · ","")&amp;IF(AND($V61="Sub",N($U61)=0),"Subactividad sin macroactividad arriba"&amp;" · ","")&amp;IF($AM61="","Sin fecha de inicio"&amp;" · ","")&amp;IF($AN61="","Sin fecha límite"&amp;" · ","")&amp;IF(AND(LEFT($C61,11)="[Jefatura] ",N($AL61)=0),"No se encuentra en la hoja de la jefatura (elíjala de nuevo en la lista)"&amp;" · ","")&amp;IF(OR(AND($E61&lt;&gt;"",NOT(ISNUMBER($E61))),AND($F61&lt;&gt;"",NOT(ISNUMBER($F61))),AND($G61&lt;&gt;"",NOT(ISNUMBER($G61)))),"Fecha no válida"&amp;" · ","")&amp;IF(AND(ISNUMBER($AM61),ISNUMBER($AN61),$AM61&gt;$AN61),"Inicio posterior a fecha límite"&amp;" · ","")&amp;IF(AND($V61="Macro",$H61&lt;&gt;"",OR(NOT(ISNUMBER($H61)),$H61&lt;0,$H61&gt;1)),"Peso fuera de rango"&amp;" · ","")&amp;IF(AND($V61="Sub",$H61&lt;&gt;""),"Las subactividades no llevan peso (valen igual dentro de su macroactividad)"&amp;" · ","")&amp;IF(AND(N($W61)&gt;0,COUNT($I61:$L61)&gt;0),"Con subactividades: deje vacías las semanas (se calculan solas)"&amp;" · ","")&amp;IF((COUNTIF($I61:$L61,"&gt;1")+COUNTIF($I61:$L61,"&lt;0")+COUNTA($I61:$L61)-COUNT($I61:$L61))&gt;0,"Avance fuera de rango 0-100%"&amp;" · ","")&amp;IF(OR(AND($J61&lt;&gt;"",$J61&lt;$I61),AND($K61&lt;&gt;"",$K61&lt;MAX($I61:$J61)),AND($L61&lt;&gt;"",$L61&lt;MAX($I61:$K61))),"Avance semanal decreciente"&amp;" · ","")&amp;IF(AND(ISNUMBER($AN61),$AN61&lt;FechaRef,IF($V61="Sub",N($X61),N($M61))&lt;1),"Vencida"&amp;" · ","")&amp;IF(AND(ObsObligatoria="Sí",ISNUMBER($AN61),$AN61&lt;FechaRef,IF($V61="Sub",N($X61),N($M61))&lt;1,$Q61=""),"Vencida sin observación"&amp;" · ",""))="","✔ OK","⚠ "&amp;LEFT(IF($C61="","Falta el nombre de la actividad"&amp;" · ","")&amp;IF(AND($V61="Sub",N($U61)=0),"Subactividad sin macroactividad arriba"&amp;" · ","")&amp;IF($AM61="","Sin fecha de inicio"&amp;" · ","")&amp;IF($AN61="","Sin fecha límite"&amp;" · ","")&amp;IF(AND(LEFT($C61,11)="[Jefatura] ",N($AL61)=0),"No se encuentra en la hoja de la jefatura (elíjala de nuevo en la lista)"&amp;" · ","")&amp;IF(OR(AND($E61&lt;&gt;"",NOT(ISNUMBER($E61))),AND($F61&lt;&gt;"",NOT(ISNUMBER($F61))),AND($G61&lt;&gt;"",NOT(ISNUMBER($G61)))),"Fecha no válida"&amp;" · ","")&amp;IF(AND(ISNUMBER($AM61),ISNUMBER($AN61),$AM61&gt;$AN61),"Inicio posterior a fecha límite"&amp;" · ","")&amp;IF(AND($V61="Macro",$H61&lt;&gt;"",OR(NOT(ISNUMBER($H61)),$H61&lt;0,$H61&gt;1)),"Peso fuera de rango"&amp;" · ","")&amp;IF(AND($V61="Sub",$H61&lt;&gt;""),"Las subactividades no llevan peso (valen igual dentro de su macroactividad)"&amp;" · ","")&amp;IF(AND(N($W61)&gt;0,COUNT($I61:$L61)&gt;0),"Con subactividades: deje vacías las semanas (se calculan solas)"&amp;" · ","")&amp;IF((COUNTIF($I61:$L61,"&gt;1")+COUNTIF($I61:$L61,"&lt;0")+COUNTA($I61:$L61)-COUNT($I61:$L61))&gt;0,"Avance fuera de rango 0-100%"&amp;" · ","")&amp;IF(OR(AND($J61&lt;&gt;"",$J61&lt;$I61),AND($K61&lt;&gt;"",$K61&lt;MAX($I61:$J61)),AND($L61&lt;&gt;"",$L61&lt;MAX($I61:$K61))),"Avance semanal decreciente"&amp;" · ","")&amp;IF(AND(ISNUMBER($AN61),$AN61&lt;FechaRef,IF($V61="Sub",N($X61),N($M61))&lt;1),"Vencida"&amp;" · ","")&amp;IF(AND(ObsObligatoria="Sí",ISNUMBER($AN61),$AN61&lt;FechaRef,IF($V61="Sub",N($X61),N($M61))&lt;1,$Q61=""),"Vencida sin observación"&amp;" · ",""),LEN(IF($C61="","Falta el nombre de la actividad"&amp;" · ","")&amp;IF(AND($V61="Sub",N($U61)=0),"Subactividad sin macroactividad arriba"&amp;" · ","")&amp;IF($AM61="","Sin fecha de inicio"&amp;" · ","")&amp;IF($AN61="","Sin fecha límite"&amp;" · ","")&amp;IF(AND(LEFT($C61,11)="[Jefatura] ",N($AL61)=0),"No se encuentra en la hoja de la jefatura (elíjala de nuevo en la lista)"&amp;" · ","")&amp;IF(OR(AND($E61&lt;&gt;"",NOT(ISNUMBER($E61))),AND($F61&lt;&gt;"",NOT(ISNUMBER($F61))),AND($G61&lt;&gt;"",NOT(ISNUMBER($G61)))),"Fecha no válida"&amp;" · ","")&amp;IF(AND(ISNUMBER($AM61),ISNUMBER($AN61),$AM61&gt;$AN61),"Inicio posterior a fecha límite"&amp;" · ","")&amp;IF(AND($V61="Macro",$H61&lt;&gt;"",OR(NOT(ISNUMBER($H61)),$H61&lt;0,$H61&gt;1)),"Peso fuera de rango"&amp;" · ","")&amp;IF(AND($V61="Sub",$H61&lt;&gt;""),"Las subactividades no llevan peso (valen igual dentro de su macroactividad)"&amp;" · ","")&amp;IF(AND(N($W61)&gt;0,COUNT($I61:$L61)&gt;0),"Con subactividades: deje vacías las semanas (se calculan solas)"&amp;" · ","")&amp;IF((COUNTIF($I61:$L61,"&gt;1")+COUNTIF($I61:$L61,"&lt;0")+COUNTA($I61:$L61)-COUNT($I61:$L61))&gt;0,"Avance fuera de rango 0-100%"&amp;" · ","")&amp;IF(OR(AND($J61&lt;&gt;"",$J61&lt;$I61),AND($K61&lt;&gt;"",$K61&lt;MAX($I61:$J61)),AND($L61&lt;&gt;"",$L61&lt;MAX($I61:$K61))),"Avance semanal decreciente"&amp;" · ","")&amp;IF(AND(ISNUMBER($AN61),$AN61&lt;FechaRef,IF($V61="Sub",N($X61),N($M61))&lt;1),"Vencida"&amp;" · ","")&amp;IF(AND(ObsObligatoria="Sí",ISNUMBER($AN61),$AN61&lt;FechaRef,IF($V61="Sub",N($X61),N($M61))&lt;1,$Q61=""),"Vencida sin observación"&amp;" · ",""))-3)))</f>
        <v/>
      </c>
      <c r="S61" s="64">
        <f>IF(NOT((COUNTA($B61:$D61)+COUNTA($G61:$L61)+COUNTA($Q61))&gt;0),"",IF(AND($V61="Sub",N($U61)&gt;0),IF(ISNUMBER(INDEX($AM$5:$AM$1000,$U61-4)),DATE(YEAR(INDEX($AM$5:$AM$1000,$U61-4)),MONTH(INDEX($AM$5:$AM$1000,$U61-4)),1),IF(ISNUMBER(INDEX($AN$5:$AN$1000,$U61-4)),DATE(YEAR(INDEX($AN$5:$AN$1000,$U61-4)),MONTH(INDEX($AN$5:$AN$1000,$U61-4)),1),MesCiclo)),IF(ISNUMBER($AM61),DATE(YEAR($AM61),MONTH($AM61),1),IF(ISNUMBER($AN61),DATE(YEAR($AN61),MONTH($AN61),1),MesCiclo))))</f>
        <v/>
      </c>
      <c r="T61" s="62">
        <f>IF(OR($S61="",$S61&lt;&gt;MesCiclo,$V61&lt;&gt;"Macro"),"",COUNTIFS($S$5:$S61,MesCiclo,$V$5:$V61,"Macro"))</f>
        <v/>
      </c>
      <c r="U61" s="62">
        <f>IF($V61="","",IF($V61="Macro",ROW(),IFERROR(LOOKUP(2,1/($V$5:$V61="Macro"),ROW($V$5:$V61)),0)))</f>
        <v/>
      </c>
      <c r="V61" s="62">
        <f>IF(NOT((COUNTA($B61:$D61)+COUNTA($G61:$L61)+COUNTA($Q61))&gt;0),"",IF($B61="Subactividad","Sub","Macro"))</f>
        <v/>
      </c>
      <c r="W61" s="62">
        <f>IF($V61="Macro",COUNTIFS($U$5:$U$1000,ROW(),$V$5:$V$1000,"Sub"),"")</f>
        <v/>
      </c>
      <c r="X61" s="62">
        <f>IF($V61="","",IF(ISNUMBER($G61),1,IFERROR(LOOKUP(2,1/($I61:$L61&lt;&gt;""),$I61:$L61),0)))</f>
        <v/>
      </c>
      <c r="Y61" s="62">
        <f>IF($V61="","",IF(AND(ISNUMBER($G61),$G61&lt;=IF($S61=MesCiclo,InicioCiclo,$S61+MOD(2-WEEKDAY($S61),7))+6),1,IF(ISNUMBER($I61),$I61,0)))</f>
        <v/>
      </c>
      <c r="Z61" s="62">
        <f>IF($V61="","",IF(AND(ISNUMBER($G61),$G61&lt;=IF($S61=MesCiclo,InicioCiclo,$S61+MOD(2-WEEKDAY($S61),7))+13),1,IF(ISNUMBER($J61),$J61,$Y61)))</f>
        <v/>
      </c>
      <c r="AA61" s="62">
        <f>IF($V61="","",IF(AND(ISNUMBER($G61),$G61&lt;=IF($S61=MesCiclo,InicioCiclo,$S61+MOD(2-WEEKDAY($S61),7))+20),1,IF(ISNUMBER($K61),$K61,$Z61)))</f>
        <v/>
      </c>
      <c r="AB61" s="62">
        <f>IF($V61="","",IF(AND(ISNUMBER($G61),$G61&lt;=IF($S61=MesCiclo,InicioCiclo,$S61+MOD(2-WEEKDAY($S61),7))+27),1,IF(ISNUMBER($L61),$L61,$AA61)))</f>
        <v/>
      </c>
      <c r="AC61" s="62">
        <f>IF($V61="","",IF(AND(ISNUMBER($G61),$G61&lt;=IF($S61=MesCiclo,InicioCiclo,$S61+MOD(2-WEEKDAY($S61),7))+6),1,IF(N($W61)&gt;0,AVERAGEIFS($Y$5:$Y$1000,$U$5:$U$1000,ROW(),$V$5:$V$1000,"Sub"),$Y61)))</f>
        <v/>
      </c>
      <c r="AD61" s="62">
        <f>IF($V61="","",IF(AND(ISNUMBER($G61),$G61&lt;=IF($S61=MesCiclo,InicioCiclo,$S61+MOD(2-WEEKDAY($S61),7))+13),1,IF(N($W61)&gt;0,AVERAGEIFS($Z$5:$Z$1000,$U$5:$U$1000,ROW(),$V$5:$V$1000,"Sub"),$Z61)))</f>
        <v/>
      </c>
      <c r="AE61" s="62">
        <f>IF($V61="","",IF(AND(ISNUMBER($G61),$G61&lt;=IF($S61=MesCiclo,InicioCiclo,$S61+MOD(2-WEEKDAY($S61),7))+20),1,IF(N($W61)&gt;0,AVERAGEIFS($AA$5:$AA$1000,$U$5:$U$1000,ROW(),$V$5:$V$1000,"Sub"),$AA61)))</f>
        <v/>
      </c>
      <c r="AF61" s="62">
        <f>IF($V61="","",IF(AND(ISNUMBER($G61),$G61&lt;=IF($S61=MesCiclo,InicioCiclo,$S61+MOD(2-WEEKDAY($S61),7))+27),1,IF(N($W61)&gt;0,AVERAGEIFS($AB$5:$AB$1000,$U$5:$U$1000,ROW(),$V$5:$V$1000,"Sub"),$AB61)))</f>
        <v/>
      </c>
      <c r="AG61" s="62">
        <f>IF($V61&lt;&gt;"Macro","",IF(COUNTIFS($S$5:$S$1000,$S61,$V$5:$V$1000,"Macro",$H$5:$H$1000,"&gt;0")=0,1/COUNTIFS($S$5:$S$1000,$S61,$V$5:$V$1000,"Macro"),IF(AND(ISNUMBER($H61),N($H61)&gt;0),$H61,SUMIFS($H$5:$H$1000,$S$5:$S$1000,$S61,$V$5:$V$1000,"Macro")/COUNTIFS($S$5:$S$1000,$S61,$V$5:$V$1000,"Macro",$H$5:$H$1000,"&gt;0"))/(COUNTIFS($S$5:$S$1000,$S61,$V$5:$V$1000,"Macro")*SUMIFS($H$5:$H$1000,$S$5:$S$1000,$S61,$V$5:$V$1000,"Macro")/COUNTIFS($S$5:$S$1000,$S61,$V$5:$V$1000,"Macro",$H$5:$H$1000,"&gt;0"))))</f>
        <v/>
      </c>
      <c r="AH61" s="62" t="n"/>
      <c r="AI61" s="62" t="n"/>
      <c r="AJ61" s="62" t="n"/>
      <c r="AK61" s="62" t="n"/>
      <c r="AL61" s="62">
        <f>IF(LEFT($C61,11)="[Jefatura] ",IFERROR(MATCH("Riesgo Operacional|"&amp;MID($C61,12,500),rDname_ADM,0),0),"")</f>
        <v/>
      </c>
      <c r="AM61" s="62">
        <f>IF(N($AL61)&gt;0,INDEX(rIni_ADM,$AL61),IF(ISNUMBER($E61),$E61,""))</f>
        <v/>
      </c>
      <c r="AN61" s="62">
        <f>IF(N($AL61)&gt;0,INDEX(rLim_ADM,$AL61),IF(ISNUMBER($F61),$F61,""))</f>
        <v/>
      </c>
    </row>
    <row r="62">
      <c r="A62" s="56">
        <f>IF(NOT((COUNTA($B62:$D62)+COUNTA($G62:$L62)+COUNTA($Q62))&gt;0),"",IF($V62="Macro",COUNTIFS($V$5:$V62,"Macro",$S$5:$S62,$S62),IF(N($U62)=0,"?",COUNTIFS(INDEX($V$5:$V$1000,1):INDEX($V$5:$V$1000,$U62-4),"Macro",INDEX($S$5:$S$1000,1):INDEX($S$5:$S$1000,$U62-4),INDEX($S$5:$S$1000,$U62-4))&amp;"."&amp;COUNTIFS($U$5:$U62,$U62,$V$5:$V62,"Sub"))))</f>
        <v/>
      </c>
      <c r="B62" s="57" t="n"/>
      <c r="C62" s="58" t="n"/>
      <c r="D62" s="58" t="n"/>
      <c r="E62" s="59">
        <f>IF(N($AL62)&gt;0,INDEX(rIni_ADM,$AL62),"")</f>
        <v/>
      </c>
      <c r="F62" s="59">
        <f>IF(N($AL62)&gt;0,INDEX(rLim_ADM,$AL62),"")</f>
        <v/>
      </c>
      <c r="G62" s="59" t="n"/>
      <c r="H62" s="60" t="n"/>
      <c r="I62" s="60" t="n"/>
      <c r="J62" s="60" t="n"/>
      <c r="K62" s="60" t="n"/>
      <c r="L62" s="60" t="n"/>
      <c r="M62" s="61">
        <f>IF(NOT((COUNTA($B62:$D62)+COUNTA($G62:$L62)+COUNTA($Q62))&gt;0),"",IF($V62="Sub",IFERROR($X62/INDEX($W$5:$W$1000,$U62-4),""),IF(ISNUMBER($G62),1,IF(N($W62)&gt;0,AVERAGEIFS($X$5:$X$1000,$U$5:$U$1000,ROW(),$V$5:$V$1000,"Sub"),$X62))))</f>
        <v/>
      </c>
      <c r="N62" s="56">
        <f>IF(OR($M62="",$V62="Sub"),"",IF($M62&gt;=1,"Completado",IF($M62&gt;0,"En curso","Pendiente")))</f>
        <v/>
      </c>
      <c r="O62" s="56">
        <f>IF(OR(NOT((COUNTA($B62:$D62)+COUNTA($G62:$L62)+COUNTA($Q62))&gt;0),$V62="Sub"),"",IF(ISNUMBER($G62),IF(AND(ISNUMBER($AN62),$G62&gt;$AN62),"Cumplida con "&amp;($G62-$AN62)&amp;IF($G62-$AN62=1," día"," días")&amp;" de retraso","Cumplida"),IF(N($M62)&gt;=1,"Cumplida",IF(NOT(ISNUMBER($AN62)),"Sin fecha límite",IF($AN62&lt;FechaRef,"Vencida hace "&amp;(FechaRef-$AN62)&amp;IF(FechaRef-$AN62=1," día"," días"),IF($AN62=FechaRef,"Vence hoy",IF($AN62-FechaRef&lt;=DiasAlerta,"Vence en "&amp;($AN62-FechaRef)&amp;IF($AN62-FechaRef=1," día"," días"),"En plazo")))))))</f>
        <v/>
      </c>
      <c r="P62" s="62" t="n"/>
      <c r="Q62" s="58" t="n"/>
      <c r="R62" s="63">
        <f>IF(NOT((COUNTA($B62:$D62)+COUNTA($G62:$L62)+COUNTA($Q62))&gt;0),"",IF((IF($C62="","Falta el nombre de la actividad"&amp;" · ","")&amp;IF(AND($V62="Sub",N($U62)=0),"Subactividad sin macroactividad arriba"&amp;" · ","")&amp;IF($AM62="","Sin fecha de inicio"&amp;" · ","")&amp;IF($AN62="","Sin fecha límite"&amp;" · ","")&amp;IF(AND(LEFT($C62,11)="[Jefatura] ",N($AL62)=0),"No se encuentra en la hoja de la jefatura (elíjala de nuevo en la lista)"&amp;" · ","")&amp;IF(OR(AND($E62&lt;&gt;"",NOT(ISNUMBER($E62))),AND($F62&lt;&gt;"",NOT(ISNUMBER($F62))),AND($G62&lt;&gt;"",NOT(ISNUMBER($G62)))),"Fecha no válida"&amp;" · ","")&amp;IF(AND(ISNUMBER($AM62),ISNUMBER($AN62),$AM62&gt;$AN62),"Inicio posterior a fecha límite"&amp;" · ","")&amp;IF(AND($V62="Macro",$H62&lt;&gt;"",OR(NOT(ISNUMBER($H62)),$H62&lt;0,$H62&gt;1)),"Peso fuera de rango"&amp;" · ","")&amp;IF(AND($V62="Sub",$H62&lt;&gt;""),"Las subactividades no llevan peso (valen igual dentro de su macroactividad)"&amp;" · ","")&amp;IF(AND(N($W62)&gt;0,COUNT($I62:$L62)&gt;0),"Con subactividades: deje vacías las semanas (se calculan solas)"&amp;" · ","")&amp;IF((COUNTIF($I62:$L62,"&gt;1")+COUNTIF($I62:$L62,"&lt;0")+COUNTA($I62:$L62)-COUNT($I62:$L62))&gt;0,"Avance fuera de rango 0-100%"&amp;" · ","")&amp;IF(OR(AND($J62&lt;&gt;"",$J62&lt;$I62),AND($K62&lt;&gt;"",$K62&lt;MAX($I62:$J62)),AND($L62&lt;&gt;"",$L62&lt;MAX($I62:$K62))),"Avance semanal decreciente"&amp;" · ","")&amp;IF(AND(ISNUMBER($AN62),$AN62&lt;FechaRef,IF($V62="Sub",N($X62),N($M62))&lt;1),"Vencida"&amp;" · ","")&amp;IF(AND(ObsObligatoria="Sí",ISNUMBER($AN62),$AN62&lt;FechaRef,IF($V62="Sub",N($X62),N($M62))&lt;1,$Q62=""),"Vencida sin observación"&amp;" · ",""))="","✔ OK","⚠ "&amp;LEFT(IF($C62="","Falta el nombre de la actividad"&amp;" · ","")&amp;IF(AND($V62="Sub",N($U62)=0),"Subactividad sin macroactividad arriba"&amp;" · ","")&amp;IF($AM62="","Sin fecha de inicio"&amp;" · ","")&amp;IF($AN62="","Sin fecha límite"&amp;" · ","")&amp;IF(AND(LEFT($C62,11)="[Jefatura] ",N($AL62)=0),"No se encuentra en la hoja de la jefatura (elíjala de nuevo en la lista)"&amp;" · ","")&amp;IF(OR(AND($E62&lt;&gt;"",NOT(ISNUMBER($E62))),AND($F62&lt;&gt;"",NOT(ISNUMBER($F62))),AND($G62&lt;&gt;"",NOT(ISNUMBER($G62)))),"Fecha no válida"&amp;" · ","")&amp;IF(AND(ISNUMBER($AM62),ISNUMBER($AN62),$AM62&gt;$AN62),"Inicio posterior a fecha límite"&amp;" · ","")&amp;IF(AND($V62="Macro",$H62&lt;&gt;"",OR(NOT(ISNUMBER($H62)),$H62&lt;0,$H62&gt;1)),"Peso fuera de rango"&amp;" · ","")&amp;IF(AND($V62="Sub",$H62&lt;&gt;""),"Las subactividades no llevan peso (valen igual dentro de su macroactividad)"&amp;" · ","")&amp;IF(AND(N($W62)&gt;0,COUNT($I62:$L62)&gt;0),"Con subactividades: deje vacías las semanas (se calculan solas)"&amp;" · ","")&amp;IF((COUNTIF($I62:$L62,"&gt;1")+COUNTIF($I62:$L62,"&lt;0")+COUNTA($I62:$L62)-COUNT($I62:$L62))&gt;0,"Avance fuera de rango 0-100%"&amp;" · ","")&amp;IF(OR(AND($J62&lt;&gt;"",$J62&lt;$I62),AND($K62&lt;&gt;"",$K62&lt;MAX($I62:$J62)),AND($L62&lt;&gt;"",$L62&lt;MAX($I62:$K62))),"Avance semanal decreciente"&amp;" · ","")&amp;IF(AND(ISNUMBER($AN62),$AN62&lt;FechaRef,IF($V62="Sub",N($X62),N($M62))&lt;1),"Vencida"&amp;" · ","")&amp;IF(AND(ObsObligatoria="Sí",ISNUMBER($AN62),$AN62&lt;FechaRef,IF($V62="Sub",N($X62),N($M62))&lt;1,$Q62=""),"Vencida sin observación"&amp;" · ",""),LEN(IF($C62="","Falta el nombre de la actividad"&amp;" · ","")&amp;IF(AND($V62="Sub",N($U62)=0),"Subactividad sin macroactividad arriba"&amp;" · ","")&amp;IF($AM62="","Sin fecha de inicio"&amp;" · ","")&amp;IF($AN62="","Sin fecha límite"&amp;" · ","")&amp;IF(AND(LEFT($C62,11)="[Jefatura] ",N($AL62)=0),"No se encuentra en la hoja de la jefatura (elíjala de nuevo en la lista)"&amp;" · ","")&amp;IF(OR(AND($E62&lt;&gt;"",NOT(ISNUMBER($E62))),AND($F62&lt;&gt;"",NOT(ISNUMBER($F62))),AND($G62&lt;&gt;"",NOT(ISNUMBER($G62)))),"Fecha no válida"&amp;" · ","")&amp;IF(AND(ISNUMBER($AM62),ISNUMBER($AN62),$AM62&gt;$AN62),"Inicio posterior a fecha límite"&amp;" · ","")&amp;IF(AND($V62="Macro",$H62&lt;&gt;"",OR(NOT(ISNUMBER($H62)),$H62&lt;0,$H62&gt;1)),"Peso fuera de rango"&amp;" · ","")&amp;IF(AND($V62="Sub",$H62&lt;&gt;""),"Las subactividades no llevan peso (valen igual dentro de su macroactividad)"&amp;" · ","")&amp;IF(AND(N($W62)&gt;0,COUNT($I62:$L62)&gt;0),"Con subactividades: deje vacías las semanas (se calculan solas)"&amp;" · ","")&amp;IF((COUNTIF($I62:$L62,"&gt;1")+COUNTIF($I62:$L62,"&lt;0")+COUNTA($I62:$L62)-COUNT($I62:$L62))&gt;0,"Avance fuera de rango 0-100%"&amp;" · ","")&amp;IF(OR(AND($J62&lt;&gt;"",$J62&lt;$I62),AND($K62&lt;&gt;"",$K62&lt;MAX($I62:$J62)),AND($L62&lt;&gt;"",$L62&lt;MAX($I62:$K62))),"Avance semanal decreciente"&amp;" · ","")&amp;IF(AND(ISNUMBER($AN62),$AN62&lt;FechaRef,IF($V62="Sub",N($X62),N($M62))&lt;1),"Vencida"&amp;" · ","")&amp;IF(AND(ObsObligatoria="Sí",ISNUMBER($AN62),$AN62&lt;FechaRef,IF($V62="Sub",N($X62),N($M62))&lt;1,$Q62=""),"Vencida sin observación"&amp;" · ",""))-3)))</f>
        <v/>
      </c>
      <c r="S62" s="64">
        <f>IF(NOT((COUNTA($B62:$D62)+COUNTA($G62:$L62)+COUNTA($Q62))&gt;0),"",IF(AND($V62="Sub",N($U62)&gt;0),IF(ISNUMBER(INDEX($AM$5:$AM$1000,$U62-4)),DATE(YEAR(INDEX($AM$5:$AM$1000,$U62-4)),MONTH(INDEX($AM$5:$AM$1000,$U62-4)),1),IF(ISNUMBER(INDEX($AN$5:$AN$1000,$U62-4)),DATE(YEAR(INDEX($AN$5:$AN$1000,$U62-4)),MONTH(INDEX($AN$5:$AN$1000,$U62-4)),1),MesCiclo)),IF(ISNUMBER($AM62),DATE(YEAR($AM62),MONTH($AM62),1),IF(ISNUMBER($AN62),DATE(YEAR($AN62),MONTH($AN62),1),MesCiclo))))</f>
        <v/>
      </c>
      <c r="T62" s="62">
        <f>IF(OR($S62="",$S62&lt;&gt;MesCiclo,$V62&lt;&gt;"Macro"),"",COUNTIFS($S$5:$S62,MesCiclo,$V$5:$V62,"Macro"))</f>
        <v/>
      </c>
      <c r="U62" s="62">
        <f>IF($V62="","",IF($V62="Macro",ROW(),IFERROR(LOOKUP(2,1/($V$5:$V62="Macro"),ROW($V$5:$V62)),0)))</f>
        <v/>
      </c>
      <c r="V62" s="62">
        <f>IF(NOT((COUNTA($B62:$D62)+COUNTA($G62:$L62)+COUNTA($Q62))&gt;0),"",IF($B62="Subactividad","Sub","Macro"))</f>
        <v/>
      </c>
      <c r="W62" s="62">
        <f>IF($V62="Macro",COUNTIFS($U$5:$U$1000,ROW(),$V$5:$V$1000,"Sub"),"")</f>
        <v/>
      </c>
      <c r="X62" s="62">
        <f>IF($V62="","",IF(ISNUMBER($G62),1,IFERROR(LOOKUP(2,1/($I62:$L62&lt;&gt;""),$I62:$L62),0)))</f>
        <v/>
      </c>
      <c r="Y62" s="62">
        <f>IF($V62="","",IF(AND(ISNUMBER($G62),$G62&lt;=IF($S62=MesCiclo,InicioCiclo,$S62+MOD(2-WEEKDAY($S62),7))+6),1,IF(ISNUMBER($I62),$I62,0)))</f>
        <v/>
      </c>
      <c r="Z62" s="62">
        <f>IF($V62="","",IF(AND(ISNUMBER($G62),$G62&lt;=IF($S62=MesCiclo,InicioCiclo,$S62+MOD(2-WEEKDAY($S62),7))+13),1,IF(ISNUMBER($J62),$J62,$Y62)))</f>
        <v/>
      </c>
      <c r="AA62" s="62">
        <f>IF($V62="","",IF(AND(ISNUMBER($G62),$G62&lt;=IF($S62=MesCiclo,InicioCiclo,$S62+MOD(2-WEEKDAY($S62),7))+20),1,IF(ISNUMBER($K62),$K62,$Z62)))</f>
        <v/>
      </c>
      <c r="AB62" s="62">
        <f>IF($V62="","",IF(AND(ISNUMBER($G62),$G62&lt;=IF($S62=MesCiclo,InicioCiclo,$S62+MOD(2-WEEKDAY($S62),7))+27),1,IF(ISNUMBER($L62),$L62,$AA62)))</f>
        <v/>
      </c>
      <c r="AC62" s="62">
        <f>IF($V62="","",IF(AND(ISNUMBER($G62),$G62&lt;=IF($S62=MesCiclo,InicioCiclo,$S62+MOD(2-WEEKDAY($S62),7))+6),1,IF(N($W62)&gt;0,AVERAGEIFS($Y$5:$Y$1000,$U$5:$U$1000,ROW(),$V$5:$V$1000,"Sub"),$Y62)))</f>
        <v/>
      </c>
      <c r="AD62" s="62">
        <f>IF($V62="","",IF(AND(ISNUMBER($G62),$G62&lt;=IF($S62=MesCiclo,InicioCiclo,$S62+MOD(2-WEEKDAY($S62),7))+13),1,IF(N($W62)&gt;0,AVERAGEIFS($Z$5:$Z$1000,$U$5:$U$1000,ROW(),$V$5:$V$1000,"Sub"),$Z62)))</f>
        <v/>
      </c>
      <c r="AE62" s="62">
        <f>IF($V62="","",IF(AND(ISNUMBER($G62),$G62&lt;=IF($S62=MesCiclo,InicioCiclo,$S62+MOD(2-WEEKDAY($S62),7))+20),1,IF(N($W62)&gt;0,AVERAGEIFS($AA$5:$AA$1000,$U$5:$U$1000,ROW(),$V$5:$V$1000,"Sub"),$AA62)))</f>
        <v/>
      </c>
      <c r="AF62" s="62">
        <f>IF($V62="","",IF(AND(ISNUMBER($G62),$G62&lt;=IF($S62=MesCiclo,InicioCiclo,$S62+MOD(2-WEEKDAY($S62),7))+27),1,IF(N($W62)&gt;0,AVERAGEIFS($AB$5:$AB$1000,$U$5:$U$1000,ROW(),$V$5:$V$1000,"Sub"),$AB62)))</f>
        <v/>
      </c>
      <c r="AG62" s="62">
        <f>IF($V62&lt;&gt;"Macro","",IF(COUNTIFS($S$5:$S$1000,$S62,$V$5:$V$1000,"Macro",$H$5:$H$1000,"&gt;0")=0,1/COUNTIFS($S$5:$S$1000,$S62,$V$5:$V$1000,"Macro"),IF(AND(ISNUMBER($H62),N($H62)&gt;0),$H62,SUMIFS($H$5:$H$1000,$S$5:$S$1000,$S62,$V$5:$V$1000,"Macro")/COUNTIFS($S$5:$S$1000,$S62,$V$5:$V$1000,"Macro",$H$5:$H$1000,"&gt;0"))/(COUNTIFS($S$5:$S$1000,$S62,$V$5:$V$1000,"Macro")*SUMIFS($H$5:$H$1000,$S$5:$S$1000,$S62,$V$5:$V$1000,"Macro")/COUNTIFS($S$5:$S$1000,$S62,$V$5:$V$1000,"Macro",$H$5:$H$1000,"&gt;0"))))</f>
        <v/>
      </c>
      <c r="AH62" s="62" t="n"/>
      <c r="AI62" s="62" t="n"/>
      <c r="AJ62" s="62" t="n"/>
      <c r="AK62" s="62" t="n"/>
      <c r="AL62" s="62">
        <f>IF(LEFT($C62,11)="[Jefatura] ",IFERROR(MATCH("Riesgo Operacional|"&amp;MID($C62,12,500),rDname_ADM,0),0),"")</f>
        <v/>
      </c>
      <c r="AM62" s="62">
        <f>IF(N($AL62)&gt;0,INDEX(rIni_ADM,$AL62),IF(ISNUMBER($E62),$E62,""))</f>
        <v/>
      </c>
      <c r="AN62" s="62">
        <f>IF(N($AL62)&gt;0,INDEX(rLim_ADM,$AL62),IF(ISNUMBER($F62),$F62,""))</f>
        <v/>
      </c>
    </row>
    <row r="63">
      <c r="A63" s="56">
        <f>IF(NOT((COUNTA($B63:$D63)+COUNTA($G63:$L63)+COUNTA($Q63))&gt;0),"",IF($V63="Macro",COUNTIFS($V$5:$V63,"Macro",$S$5:$S63,$S63),IF(N($U63)=0,"?",COUNTIFS(INDEX($V$5:$V$1000,1):INDEX($V$5:$V$1000,$U63-4),"Macro",INDEX($S$5:$S$1000,1):INDEX($S$5:$S$1000,$U63-4),INDEX($S$5:$S$1000,$U63-4))&amp;"."&amp;COUNTIFS($U$5:$U63,$U63,$V$5:$V63,"Sub"))))</f>
        <v/>
      </c>
      <c r="B63" s="57" t="n"/>
      <c r="C63" s="58" t="n"/>
      <c r="D63" s="58" t="n"/>
      <c r="E63" s="59">
        <f>IF(N($AL63)&gt;0,INDEX(rIni_ADM,$AL63),"")</f>
        <v/>
      </c>
      <c r="F63" s="59">
        <f>IF(N($AL63)&gt;0,INDEX(rLim_ADM,$AL63),"")</f>
        <v/>
      </c>
      <c r="G63" s="59" t="n"/>
      <c r="H63" s="60" t="n"/>
      <c r="I63" s="60" t="n"/>
      <c r="J63" s="60" t="n"/>
      <c r="K63" s="60" t="n"/>
      <c r="L63" s="60" t="n"/>
      <c r="M63" s="61">
        <f>IF(NOT((COUNTA($B63:$D63)+COUNTA($G63:$L63)+COUNTA($Q63))&gt;0),"",IF($V63="Sub",IFERROR($X63/INDEX($W$5:$W$1000,$U63-4),""),IF(ISNUMBER($G63),1,IF(N($W63)&gt;0,AVERAGEIFS($X$5:$X$1000,$U$5:$U$1000,ROW(),$V$5:$V$1000,"Sub"),$X63))))</f>
        <v/>
      </c>
      <c r="N63" s="56">
        <f>IF(OR($M63="",$V63="Sub"),"",IF($M63&gt;=1,"Completado",IF($M63&gt;0,"En curso","Pendiente")))</f>
        <v/>
      </c>
      <c r="O63" s="56">
        <f>IF(OR(NOT((COUNTA($B63:$D63)+COUNTA($G63:$L63)+COUNTA($Q63))&gt;0),$V63="Sub"),"",IF(ISNUMBER($G63),IF(AND(ISNUMBER($AN63),$G63&gt;$AN63),"Cumplida con "&amp;($G63-$AN63)&amp;IF($G63-$AN63=1," día"," días")&amp;" de retraso","Cumplida"),IF(N($M63)&gt;=1,"Cumplida",IF(NOT(ISNUMBER($AN63)),"Sin fecha límite",IF($AN63&lt;FechaRef,"Vencida hace "&amp;(FechaRef-$AN63)&amp;IF(FechaRef-$AN63=1," día"," días"),IF($AN63=FechaRef,"Vence hoy",IF($AN63-FechaRef&lt;=DiasAlerta,"Vence en "&amp;($AN63-FechaRef)&amp;IF($AN63-FechaRef=1," día"," días"),"En plazo")))))))</f>
        <v/>
      </c>
      <c r="P63" s="62" t="n"/>
      <c r="Q63" s="58" t="n"/>
      <c r="R63" s="63">
        <f>IF(NOT((COUNTA($B63:$D63)+COUNTA($G63:$L63)+COUNTA($Q63))&gt;0),"",IF((IF($C63="","Falta el nombre de la actividad"&amp;" · ","")&amp;IF(AND($V63="Sub",N($U63)=0),"Subactividad sin macroactividad arriba"&amp;" · ","")&amp;IF($AM63="","Sin fecha de inicio"&amp;" · ","")&amp;IF($AN63="","Sin fecha límite"&amp;" · ","")&amp;IF(AND(LEFT($C63,11)="[Jefatura] ",N($AL63)=0),"No se encuentra en la hoja de la jefatura (elíjala de nuevo en la lista)"&amp;" · ","")&amp;IF(OR(AND($E63&lt;&gt;"",NOT(ISNUMBER($E63))),AND($F63&lt;&gt;"",NOT(ISNUMBER($F63))),AND($G63&lt;&gt;"",NOT(ISNUMBER($G63)))),"Fecha no válida"&amp;" · ","")&amp;IF(AND(ISNUMBER($AM63),ISNUMBER($AN63),$AM63&gt;$AN63),"Inicio posterior a fecha límite"&amp;" · ","")&amp;IF(AND($V63="Macro",$H63&lt;&gt;"",OR(NOT(ISNUMBER($H63)),$H63&lt;0,$H63&gt;1)),"Peso fuera de rango"&amp;" · ","")&amp;IF(AND($V63="Sub",$H63&lt;&gt;""),"Las subactividades no llevan peso (valen igual dentro de su macroactividad)"&amp;" · ","")&amp;IF(AND(N($W63)&gt;0,COUNT($I63:$L63)&gt;0),"Con subactividades: deje vacías las semanas (se calculan solas)"&amp;" · ","")&amp;IF((COUNTIF($I63:$L63,"&gt;1")+COUNTIF($I63:$L63,"&lt;0")+COUNTA($I63:$L63)-COUNT($I63:$L63))&gt;0,"Avance fuera de rango 0-100%"&amp;" · ","")&amp;IF(OR(AND($J63&lt;&gt;"",$J63&lt;$I63),AND($K63&lt;&gt;"",$K63&lt;MAX($I63:$J63)),AND($L63&lt;&gt;"",$L63&lt;MAX($I63:$K63))),"Avance semanal decreciente"&amp;" · ","")&amp;IF(AND(ISNUMBER($AN63),$AN63&lt;FechaRef,IF($V63="Sub",N($X63),N($M63))&lt;1),"Vencida"&amp;" · ","")&amp;IF(AND(ObsObligatoria="Sí",ISNUMBER($AN63),$AN63&lt;FechaRef,IF($V63="Sub",N($X63),N($M63))&lt;1,$Q63=""),"Vencida sin observación"&amp;" · ",""))="","✔ OK","⚠ "&amp;LEFT(IF($C63="","Falta el nombre de la actividad"&amp;" · ","")&amp;IF(AND($V63="Sub",N($U63)=0),"Subactividad sin macroactividad arriba"&amp;" · ","")&amp;IF($AM63="","Sin fecha de inicio"&amp;" · ","")&amp;IF($AN63="","Sin fecha límite"&amp;" · ","")&amp;IF(AND(LEFT($C63,11)="[Jefatura] ",N($AL63)=0),"No se encuentra en la hoja de la jefatura (elíjala de nuevo en la lista)"&amp;" · ","")&amp;IF(OR(AND($E63&lt;&gt;"",NOT(ISNUMBER($E63))),AND($F63&lt;&gt;"",NOT(ISNUMBER($F63))),AND($G63&lt;&gt;"",NOT(ISNUMBER($G63)))),"Fecha no válida"&amp;" · ","")&amp;IF(AND(ISNUMBER($AM63),ISNUMBER($AN63),$AM63&gt;$AN63),"Inicio posterior a fecha límite"&amp;" · ","")&amp;IF(AND($V63="Macro",$H63&lt;&gt;"",OR(NOT(ISNUMBER($H63)),$H63&lt;0,$H63&gt;1)),"Peso fuera de rango"&amp;" · ","")&amp;IF(AND($V63="Sub",$H63&lt;&gt;""),"Las subactividades no llevan peso (valen igual dentro de su macroactividad)"&amp;" · ","")&amp;IF(AND(N($W63)&gt;0,COUNT($I63:$L63)&gt;0),"Con subactividades: deje vacías las semanas (se calculan solas)"&amp;" · ","")&amp;IF((COUNTIF($I63:$L63,"&gt;1")+COUNTIF($I63:$L63,"&lt;0")+COUNTA($I63:$L63)-COUNT($I63:$L63))&gt;0,"Avance fuera de rango 0-100%"&amp;" · ","")&amp;IF(OR(AND($J63&lt;&gt;"",$J63&lt;$I63),AND($K63&lt;&gt;"",$K63&lt;MAX($I63:$J63)),AND($L63&lt;&gt;"",$L63&lt;MAX($I63:$K63))),"Avance semanal decreciente"&amp;" · ","")&amp;IF(AND(ISNUMBER($AN63),$AN63&lt;FechaRef,IF($V63="Sub",N($X63),N($M63))&lt;1),"Vencida"&amp;" · ","")&amp;IF(AND(ObsObligatoria="Sí",ISNUMBER($AN63),$AN63&lt;FechaRef,IF($V63="Sub",N($X63),N($M63))&lt;1,$Q63=""),"Vencida sin observación"&amp;" · ",""),LEN(IF($C63="","Falta el nombre de la actividad"&amp;" · ","")&amp;IF(AND($V63="Sub",N($U63)=0),"Subactividad sin macroactividad arriba"&amp;" · ","")&amp;IF($AM63="","Sin fecha de inicio"&amp;" · ","")&amp;IF($AN63="","Sin fecha límite"&amp;" · ","")&amp;IF(AND(LEFT($C63,11)="[Jefatura] ",N($AL63)=0),"No se encuentra en la hoja de la jefatura (elíjala de nuevo en la lista)"&amp;" · ","")&amp;IF(OR(AND($E63&lt;&gt;"",NOT(ISNUMBER($E63))),AND($F63&lt;&gt;"",NOT(ISNUMBER($F63))),AND($G63&lt;&gt;"",NOT(ISNUMBER($G63)))),"Fecha no válida"&amp;" · ","")&amp;IF(AND(ISNUMBER($AM63),ISNUMBER($AN63),$AM63&gt;$AN63),"Inicio posterior a fecha límite"&amp;" · ","")&amp;IF(AND($V63="Macro",$H63&lt;&gt;"",OR(NOT(ISNUMBER($H63)),$H63&lt;0,$H63&gt;1)),"Peso fuera de rango"&amp;" · ","")&amp;IF(AND($V63="Sub",$H63&lt;&gt;""),"Las subactividades no llevan peso (valen igual dentro de su macroactividad)"&amp;" · ","")&amp;IF(AND(N($W63)&gt;0,COUNT($I63:$L63)&gt;0),"Con subactividades: deje vacías las semanas (se calculan solas)"&amp;" · ","")&amp;IF((COUNTIF($I63:$L63,"&gt;1")+COUNTIF($I63:$L63,"&lt;0")+COUNTA($I63:$L63)-COUNT($I63:$L63))&gt;0,"Avance fuera de rango 0-100%"&amp;" · ","")&amp;IF(OR(AND($J63&lt;&gt;"",$J63&lt;$I63),AND($K63&lt;&gt;"",$K63&lt;MAX($I63:$J63)),AND($L63&lt;&gt;"",$L63&lt;MAX($I63:$K63))),"Avance semanal decreciente"&amp;" · ","")&amp;IF(AND(ISNUMBER($AN63),$AN63&lt;FechaRef,IF($V63="Sub",N($X63),N($M63))&lt;1),"Vencida"&amp;" · ","")&amp;IF(AND(ObsObligatoria="Sí",ISNUMBER($AN63),$AN63&lt;FechaRef,IF($V63="Sub",N($X63),N($M63))&lt;1,$Q63=""),"Vencida sin observación"&amp;" · ",""))-3)))</f>
        <v/>
      </c>
      <c r="S63" s="64">
        <f>IF(NOT((COUNTA($B63:$D63)+COUNTA($G63:$L63)+COUNTA($Q63))&gt;0),"",IF(AND($V63="Sub",N($U63)&gt;0),IF(ISNUMBER(INDEX($AM$5:$AM$1000,$U63-4)),DATE(YEAR(INDEX($AM$5:$AM$1000,$U63-4)),MONTH(INDEX($AM$5:$AM$1000,$U63-4)),1),IF(ISNUMBER(INDEX($AN$5:$AN$1000,$U63-4)),DATE(YEAR(INDEX($AN$5:$AN$1000,$U63-4)),MONTH(INDEX($AN$5:$AN$1000,$U63-4)),1),MesCiclo)),IF(ISNUMBER($AM63),DATE(YEAR($AM63),MONTH($AM63),1),IF(ISNUMBER($AN63),DATE(YEAR($AN63),MONTH($AN63),1),MesCiclo))))</f>
        <v/>
      </c>
      <c r="T63" s="62">
        <f>IF(OR($S63="",$S63&lt;&gt;MesCiclo,$V63&lt;&gt;"Macro"),"",COUNTIFS($S$5:$S63,MesCiclo,$V$5:$V63,"Macro"))</f>
        <v/>
      </c>
      <c r="U63" s="62">
        <f>IF($V63="","",IF($V63="Macro",ROW(),IFERROR(LOOKUP(2,1/($V$5:$V63="Macro"),ROW($V$5:$V63)),0)))</f>
        <v/>
      </c>
      <c r="V63" s="62">
        <f>IF(NOT((COUNTA($B63:$D63)+COUNTA($G63:$L63)+COUNTA($Q63))&gt;0),"",IF($B63="Subactividad","Sub","Macro"))</f>
        <v/>
      </c>
      <c r="W63" s="62">
        <f>IF($V63="Macro",COUNTIFS($U$5:$U$1000,ROW(),$V$5:$V$1000,"Sub"),"")</f>
        <v/>
      </c>
      <c r="X63" s="62">
        <f>IF($V63="","",IF(ISNUMBER($G63),1,IFERROR(LOOKUP(2,1/($I63:$L63&lt;&gt;""),$I63:$L63),0)))</f>
        <v/>
      </c>
      <c r="Y63" s="62">
        <f>IF($V63="","",IF(AND(ISNUMBER($G63),$G63&lt;=IF($S63=MesCiclo,InicioCiclo,$S63+MOD(2-WEEKDAY($S63),7))+6),1,IF(ISNUMBER($I63),$I63,0)))</f>
        <v/>
      </c>
      <c r="Z63" s="62">
        <f>IF($V63="","",IF(AND(ISNUMBER($G63),$G63&lt;=IF($S63=MesCiclo,InicioCiclo,$S63+MOD(2-WEEKDAY($S63),7))+13),1,IF(ISNUMBER($J63),$J63,$Y63)))</f>
        <v/>
      </c>
      <c r="AA63" s="62">
        <f>IF($V63="","",IF(AND(ISNUMBER($G63),$G63&lt;=IF($S63=MesCiclo,InicioCiclo,$S63+MOD(2-WEEKDAY($S63),7))+20),1,IF(ISNUMBER($K63),$K63,$Z63)))</f>
        <v/>
      </c>
      <c r="AB63" s="62">
        <f>IF($V63="","",IF(AND(ISNUMBER($G63),$G63&lt;=IF($S63=MesCiclo,InicioCiclo,$S63+MOD(2-WEEKDAY($S63),7))+27),1,IF(ISNUMBER($L63),$L63,$AA63)))</f>
        <v/>
      </c>
      <c r="AC63" s="62">
        <f>IF($V63="","",IF(AND(ISNUMBER($G63),$G63&lt;=IF($S63=MesCiclo,InicioCiclo,$S63+MOD(2-WEEKDAY($S63),7))+6),1,IF(N($W63)&gt;0,AVERAGEIFS($Y$5:$Y$1000,$U$5:$U$1000,ROW(),$V$5:$V$1000,"Sub"),$Y63)))</f>
        <v/>
      </c>
      <c r="AD63" s="62">
        <f>IF($V63="","",IF(AND(ISNUMBER($G63),$G63&lt;=IF($S63=MesCiclo,InicioCiclo,$S63+MOD(2-WEEKDAY($S63),7))+13),1,IF(N($W63)&gt;0,AVERAGEIFS($Z$5:$Z$1000,$U$5:$U$1000,ROW(),$V$5:$V$1000,"Sub"),$Z63)))</f>
        <v/>
      </c>
      <c r="AE63" s="62">
        <f>IF($V63="","",IF(AND(ISNUMBER($G63),$G63&lt;=IF($S63=MesCiclo,InicioCiclo,$S63+MOD(2-WEEKDAY($S63),7))+20),1,IF(N($W63)&gt;0,AVERAGEIFS($AA$5:$AA$1000,$U$5:$U$1000,ROW(),$V$5:$V$1000,"Sub"),$AA63)))</f>
        <v/>
      </c>
      <c r="AF63" s="62">
        <f>IF($V63="","",IF(AND(ISNUMBER($G63),$G63&lt;=IF($S63=MesCiclo,InicioCiclo,$S63+MOD(2-WEEKDAY($S63),7))+27),1,IF(N($W63)&gt;0,AVERAGEIFS($AB$5:$AB$1000,$U$5:$U$1000,ROW(),$V$5:$V$1000,"Sub"),$AB63)))</f>
        <v/>
      </c>
      <c r="AG63" s="62">
        <f>IF($V63&lt;&gt;"Macro","",IF(COUNTIFS($S$5:$S$1000,$S63,$V$5:$V$1000,"Macro",$H$5:$H$1000,"&gt;0")=0,1/COUNTIFS($S$5:$S$1000,$S63,$V$5:$V$1000,"Macro"),IF(AND(ISNUMBER($H63),N($H63)&gt;0),$H63,SUMIFS($H$5:$H$1000,$S$5:$S$1000,$S63,$V$5:$V$1000,"Macro")/COUNTIFS($S$5:$S$1000,$S63,$V$5:$V$1000,"Macro",$H$5:$H$1000,"&gt;0"))/(COUNTIFS($S$5:$S$1000,$S63,$V$5:$V$1000,"Macro")*SUMIFS($H$5:$H$1000,$S$5:$S$1000,$S63,$V$5:$V$1000,"Macro")/COUNTIFS($S$5:$S$1000,$S63,$V$5:$V$1000,"Macro",$H$5:$H$1000,"&gt;0"))))</f>
        <v/>
      </c>
      <c r="AH63" s="62" t="n"/>
      <c r="AI63" s="62" t="n"/>
      <c r="AJ63" s="62" t="n"/>
      <c r="AK63" s="62" t="n"/>
      <c r="AL63" s="62">
        <f>IF(LEFT($C63,11)="[Jefatura] ",IFERROR(MATCH("Riesgo Operacional|"&amp;MID($C63,12,500),rDname_ADM,0),0),"")</f>
        <v/>
      </c>
      <c r="AM63" s="62">
        <f>IF(N($AL63)&gt;0,INDEX(rIni_ADM,$AL63),IF(ISNUMBER($E63),$E63,""))</f>
        <v/>
      </c>
      <c r="AN63" s="62">
        <f>IF(N($AL63)&gt;0,INDEX(rLim_ADM,$AL63),IF(ISNUMBER($F63),$F63,""))</f>
        <v/>
      </c>
    </row>
    <row r="64">
      <c r="A64" s="56">
        <f>IF(NOT((COUNTA($B64:$D64)+COUNTA($G64:$L64)+COUNTA($Q64))&gt;0),"",IF($V64="Macro",COUNTIFS($V$5:$V64,"Macro",$S$5:$S64,$S64),IF(N($U64)=0,"?",COUNTIFS(INDEX($V$5:$V$1000,1):INDEX($V$5:$V$1000,$U64-4),"Macro",INDEX($S$5:$S$1000,1):INDEX($S$5:$S$1000,$U64-4),INDEX($S$5:$S$1000,$U64-4))&amp;"."&amp;COUNTIFS($U$5:$U64,$U64,$V$5:$V64,"Sub"))))</f>
        <v/>
      </c>
      <c r="B64" s="57" t="n"/>
      <c r="C64" s="58" t="n"/>
      <c r="D64" s="58" t="n"/>
      <c r="E64" s="59">
        <f>IF(N($AL64)&gt;0,INDEX(rIni_ADM,$AL64),"")</f>
        <v/>
      </c>
      <c r="F64" s="59">
        <f>IF(N($AL64)&gt;0,INDEX(rLim_ADM,$AL64),"")</f>
        <v/>
      </c>
      <c r="G64" s="59" t="n"/>
      <c r="H64" s="60" t="n"/>
      <c r="I64" s="60" t="n"/>
      <c r="J64" s="60" t="n"/>
      <c r="K64" s="60" t="n"/>
      <c r="L64" s="60" t="n"/>
      <c r="M64" s="61">
        <f>IF(NOT((COUNTA($B64:$D64)+COUNTA($G64:$L64)+COUNTA($Q64))&gt;0),"",IF($V64="Sub",IFERROR($X64/INDEX($W$5:$W$1000,$U64-4),""),IF(ISNUMBER($G64),1,IF(N($W64)&gt;0,AVERAGEIFS($X$5:$X$1000,$U$5:$U$1000,ROW(),$V$5:$V$1000,"Sub"),$X64))))</f>
        <v/>
      </c>
      <c r="N64" s="56">
        <f>IF(OR($M64="",$V64="Sub"),"",IF($M64&gt;=1,"Completado",IF($M64&gt;0,"En curso","Pendiente")))</f>
        <v/>
      </c>
      <c r="O64" s="56">
        <f>IF(OR(NOT((COUNTA($B64:$D64)+COUNTA($G64:$L64)+COUNTA($Q64))&gt;0),$V64="Sub"),"",IF(ISNUMBER($G64),IF(AND(ISNUMBER($AN64),$G64&gt;$AN64),"Cumplida con "&amp;($G64-$AN64)&amp;IF($G64-$AN64=1," día"," días")&amp;" de retraso","Cumplida"),IF(N($M64)&gt;=1,"Cumplida",IF(NOT(ISNUMBER($AN64)),"Sin fecha límite",IF($AN64&lt;FechaRef,"Vencida hace "&amp;(FechaRef-$AN64)&amp;IF(FechaRef-$AN64=1," día"," días"),IF($AN64=FechaRef,"Vence hoy",IF($AN64-FechaRef&lt;=DiasAlerta,"Vence en "&amp;($AN64-FechaRef)&amp;IF($AN64-FechaRef=1," día"," días"),"En plazo")))))))</f>
        <v/>
      </c>
      <c r="P64" s="62" t="n"/>
      <c r="Q64" s="58" t="n"/>
      <c r="R64" s="63">
        <f>IF(NOT((COUNTA($B64:$D64)+COUNTA($G64:$L64)+COUNTA($Q64))&gt;0),"",IF((IF($C64="","Falta el nombre de la actividad"&amp;" · ","")&amp;IF(AND($V64="Sub",N($U64)=0),"Subactividad sin macroactividad arriba"&amp;" · ","")&amp;IF($AM64="","Sin fecha de inicio"&amp;" · ","")&amp;IF($AN64="","Sin fecha límite"&amp;" · ","")&amp;IF(AND(LEFT($C64,11)="[Jefatura] ",N($AL64)=0),"No se encuentra en la hoja de la jefatura (elíjala de nuevo en la lista)"&amp;" · ","")&amp;IF(OR(AND($E64&lt;&gt;"",NOT(ISNUMBER($E64))),AND($F64&lt;&gt;"",NOT(ISNUMBER($F64))),AND($G64&lt;&gt;"",NOT(ISNUMBER($G64)))),"Fecha no válida"&amp;" · ","")&amp;IF(AND(ISNUMBER($AM64),ISNUMBER($AN64),$AM64&gt;$AN64),"Inicio posterior a fecha límite"&amp;" · ","")&amp;IF(AND($V64="Macro",$H64&lt;&gt;"",OR(NOT(ISNUMBER($H64)),$H64&lt;0,$H64&gt;1)),"Peso fuera de rango"&amp;" · ","")&amp;IF(AND($V64="Sub",$H64&lt;&gt;""),"Las subactividades no llevan peso (valen igual dentro de su macroactividad)"&amp;" · ","")&amp;IF(AND(N($W64)&gt;0,COUNT($I64:$L64)&gt;0),"Con subactividades: deje vacías las semanas (se calculan solas)"&amp;" · ","")&amp;IF((COUNTIF($I64:$L64,"&gt;1")+COUNTIF($I64:$L64,"&lt;0")+COUNTA($I64:$L64)-COUNT($I64:$L64))&gt;0,"Avance fuera de rango 0-100%"&amp;" · ","")&amp;IF(OR(AND($J64&lt;&gt;"",$J64&lt;$I64),AND($K64&lt;&gt;"",$K64&lt;MAX($I64:$J64)),AND($L64&lt;&gt;"",$L64&lt;MAX($I64:$K64))),"Avance semanal decreciente"&amp;" · ","")&amp;IF(AND(ISNUMBER($AN64),$AN64&lt;FechaRef,IF($V64="Sub",N($X64),N($M64))&lt;1),"Vencida"&amp;" · ","")&amp;IF(AND(ObsObligatoria="Sí",ISNUMBER($AN64),$AN64&lt;FechaRef,IF($V64="Sub",N($X64),N($M64))&lt;1,$Q64=""),"Vencida sin observación"&amp;" · ",""))="","✔ OK","⚠ "&amp;LEFT(IF($C64="","Falta el nombre de la actividad"&amp;" · ","")&amp;IF(AND($V64="Sub",N($U64)=0),"Subactividad sin macroactividad arriba"&amp;" · ","")&amp;IF($AM64="","Sin fecha de inicio"&amp;" · ","")&amp;IF($AN64="","Sin fecha límite"&amp;" · ","")&amp;IF(AND(LEFT($C64,11)="[Jefatura] ",N($AL64)=0),"No se encuentra en la hoja de la jefatura (elíjala de nuevo en la lista)"&amp;" · ","")&amp;IF(OR(AND($E64&lt;&gt;"",NOT(ISNUMBER($E64))),AND($F64&lt;&gt;"",NOT(ISNUMBER($F64))),AND($G64&lt;&gt;"",NOT(ISNUMBER($G64)))),"Fecha no válida"&amp;" · ","")&amp;IF(AND(ISNUMBER($AM64),ISNUMBER($AN64),$AM64&gt;$AN64),"Inicio posterior a fecha límite"&amp;" · ","")&amp;IF(AND($V64="Macro",$H64&lt;&gt;"",OR(NOT(ISNUMBER($H64)),$H64&lt;0,$H64&gt;1)),"Peso fuera de rango"&amp;" · ","")&amp;IF(AND($V64="Sub",$H64&lt;&gt;""),"Las subactividades no llevan peso (valen igual dentro de su macroactividad)"&amp;" · ","")&amp;IF(AND(N($W64)&gt;0,COUNT($I64:$L64)&gt;0),"Con subactividades: deje vacías las semanas (se calculan solas)"&amp;" · ","")&amp;IF((COUNTIF($I64:$L64,"&gt;1")+COUNTIF($I64:$L64,"&lt;0")+COUNTA($I64:$L64)-COUNT($I64:$L64))&gt;0,"Avance fuera de rango 0-100%"&amp;" · ","")&amp;IF(OR(AND($J64&lt;&gt;"",$J64&lt;$I64),AND($K64&lt;&gt;"",$K64&lt;MAX($I64:$J64)),AND($L64&lt;&gt;"",$L64&lt;MAX($I64:$K64))),"Avance semanal decreciente"&amp;" · ","")&amp;IF(AND(ISNUMBER($AN64),$AN64&lt;FechaRef,IF($V64="Sub",N($X64),N($M64))&lt;1),"Vencida"&amp;" · ","")&amp;IF(AND(ObsObligatoria="Sí",ISNUMBER($AN64),$AN64&lt;FechaRef,IF($V64="Sub",N($X64),N($M64))&lt;1,$Q64=""),"Vencida sin observación"&amp;" · ",""),LEN(IF($C64="","Falta el nombre de la actividad"&amp;" · ","")&amp;IF(AND($V64="Sub",N($U64)=0),"Subactividad sin macroactividad arriba"&amp;" · ","")&amp;IF($AM64="","Sin fecha de inicio"&amp;" · ","")&amp;IF($AN64="","Sin fecha límite"&amp;" · ","")&amp;IF(AND(LEFT($C64,11)="[Jefatura] ",N($AL64)=0),"No se encuentra en la hoja de la jefatura (elíjala de nuevo en la lista)"&amp;" · ","")&amp;IF(OR(AND($E64&lt;&gt;"",NOT(ISNUMBER($E64))),AND($F64&lt;&gt;"",NOT(ISNUMBER($F64))),AND($G64&lt;&gt;"",NOT(ISNUMBER($G64)))),"Fecha no válida"&amp;" · ","")&amp;IF(AND(ISNUMBER($AM64),ISNUMBER($AN64),$AM64&gt;$AN64),"Inicio posterior a fecha límite"&amp;" · ","")&amp;IF(AND($V64="Macro",$H64&lt;&gt;"",OR(NOT(ISNUMBER($H64)),$H64&lt;0,$H64&gt;1)),"Peso fuera de rango"&amp;" · ","")&amp;IF(AND($V64="Sub",$H64&lt;&gt;""),"Las subactividades no llevan peso (valen igual dentro de su macroactividad)"&amp;" · ","")&amp;IF(AND(N($W64)&gt;0,COUNT($I64:$L64)&gt;0),"Con subactividades: deje vacías las semanas (se calculan solas)"&amp;" · ","")&amp;IF((COUNTIF($I64:$L64,"&gt;1")+COUNTIF($I64:$L64,"&lt;0")+COUNTA($I64:$L64)-COUNT($I64:$L64))&gt;0,"Avance fuera de rango 0-100%"&amp;" · ","")&amp;IF(OR(AND($J64&lt;&gt;"",$J64&lt;$I64),AND($K64&lt;&gt;"",$K64&lt;MAX($I64:$J64)),AND($L64&lt;&gt;"",$L64&lt;MAX($I64:$K64))),"Avance semanal decreciente"&amp;" · ","")&amp;IF(AND(ISNUMBER($AN64),$AN64&lt;FechaRef,IF($V64="Sub",N($X64),N($M64))&lt;1),"Vencida"&amp;" · ","")&amp;IF(AND(ObsObligatoria="Sí",ISNUMBER($AN64),$AN64&lt;FechaRef,IF($V64="Sub",N($X64),N($M64))&lt;1,$Q64=""),"Vencida sin observación"&amp;" · ",""))-3)))</f>
        <v/>
      </c>
      <c r="S64" s="64">
        <f>IF(NOT((COUNTA($B64:$D64)+COUNTA($G64:$L64)+COUNTA($Q64))&gt;0),"",IF(AND($V64="Sub",N($U64)&gt;0),IF(ISNUMBER(INDEX($AM$5:$AM$1000,$U64-4)),DATE(YEAR(INDEX($AM$5:$AM$1000,$U64-4)),MONTH(INDEX($AM$5:$AM$1000,$U64-4)),1),IF(ISNUMBER(INDEX($AN$5:$AN$1000,$U64-4)),DATE(YEAR(INDEX($AN$5:$AN$1000,$U64-4)),MONTH(INDEX($AN$5:$AN$1000,$U64-4)),1),MesCiclo)),IF(ISNUMBER($AM64),DATE(YEAR($AM64),MONTH($AM64),1),IF(ISNUMBER($AN64),DATE(YEAR($AN64),MONTH($AN64),1),MesCiclo))))</f>
        <v/>
      </c>
      <c r="T64" s="62">
        <f>IF(OR($S64="",$S64&lt;&gt;MesCiclo,$V64&lt;&gt;"Macro"),"",COUNTIFS($S$5:$S64,MesCiclo,$V$5:$V64,"Macro"))</f>
        <v/>
      </c>
      <c r="U64" s="62">
        <f>IF($V64="","",IF($V64="Macro",ROW(),IFERROR(LOOKUP(2,1/($V$5:$V64="Macro"),ROW($V$5:$V64)),0)))</f>
        <v/>
      </c>
      <c r="V64" s="62">
        <f>IF(NOT((COUNTA($B64:$D64)+COUNTA($G64:$L64)+COUNTA($Q64))&gt;0),"",IF($B64="Subactividad","Sub","Macro"))</f>
        <v/>
      </c>
      <c r="W64" s="62">
        <f>IF($V64="Macro",COUNTIFS($U$5:$U$1000,ROW(),$V$5:$V$1000,"Sub"),"")</f>
        <v/>
      </c>
      <c r="X64" s="62">
        <f>IF($V64="","",IF(ISNUMBER($G64),1,IFERROR(LOOKUP(2,1/($I64:$L64&lt;&gt;""),$I64:$L64),0)))</f>
        <v/>
      </c>
      <c r="Y64" s="62">
        <f>IF($V64="","",IF(AND(ISNUMBER($G64),$G64&lt;=IF($S64=MesCiclo,InicioCiclo,$S64+MOD(2-WEEKDAY($S64),7))+6),1,IF(ISNUMBER($I64),$I64,0)))</f>
        <v/>
      </c>
      <c r="Z64" s="62">
        <f>IF($V64="","",IF(AND(ISNUMBER($G64),$G64&lt;=IF($S64=MesCiclo,InicioCiclo,$S64+MOD(2-WEEKDAY($S64),7))+13),1,IF(ISNUMBER($J64),$J64,$Y64)))</f>
        <v/>
      </c>
      <c r="AA64" s="62">
        <f>IF($V64="","",IF(AND(ISNUMBER($G64),$G64&lt;=IF($S64=MesCiclo,InicioCiclo,$S64+MOD(2-WEEKDAY($S64),7))+20),1,IF(ISNUMBER($K64),$K64,$Z64)))</f>
        <v/>
      </c>
      <c r="AB64" s="62">
        <f>IF($V64="","",IF(AND(ISNUMBER($G64),$G64&lt;=IF($S64=MesCiclo,InicioCiclo,$S64+MOD(2-WEEKDAY($S64),7))+27),1,IF(ISNUMBER($L64),$L64,$AA64)))</f>
        <v/>
      </c>
      <c r="AC64" s="62">
        <f>IF($V64="","",IF(AND(ISNUMBER($G64),$G64&lt;=IF($S64=MesCiclo,InicioCiclo,$S64+MOD(2-WEEKDAY($S64),7))+6),1,IF(N($W64)&gt;0,AVERAGEIFS($Y$5:$Y$1000,$U$5:$U$1000,ROW(),$V$5:$V$1000,"Sub"),$Y64)))</f>
        <v/>
      </c>
      <c r="AD64" s="62">
        <f>IF($V64="","",IF(AND(ISNUMBER($G64),$G64&lt;=IF($S64=MesCiclo,InicioCiclo,$S64+MOD(2-WEEKDAY($S64),7))+13),1,IF(N($W64)&gt;0,AVERAGEIFS($Z$5:$Z$1000,$U$5:$U$1000,ROW(),$V$5:$V$1000,"Sub"),$Z64)))</f>
        <v/>
      </c>
      <c r="AE64" s="62">
        <f>IF($V64="","",IF(AND(ISNUMBER($G64),$G64&lt;=IF($S64=MesCiclo,InicioCiclo,$S64+MOD(2-WEEKDAY($S64),7))+20),1,IF(N($W64)&gt;0,AVERAGEIFS($AA$5:$AA$1000,$U$5:$U$1000,ROW(),$V$5:$V$1000,"Sub"),$AA64)))</f>
        <v/>
      </c>
      <c r="AF64" s="62">
        <f>IF($V64="","",IF(AND(ISNUMBER($G64),$G64&lt;=IF($S64=MesCiclo,InicioCiclo,$S64+MOD(2-WEEKDAY($S64),7))+27),1,IF(N($W64)&gt;0,AVERAGEIFS($AB$5:$AB$1000,$U$5:$U$1000,ROW(),$V$5:$V$1000,"Sub"),$AB64)))</f>
        <v/>
      </c>
      <c r="AG64" s="62">
        <f>IF($V64&lt;&gt;"Macro","",IF(COUNTIFS($S$5:$S$1000,$S64,$V$5:$V$1000,"Macro",$H$5:$H$1000,"&gt;0")=0,1/COUNTIFS($S$5:$S$1000,$S64,$V$5:$V$1000,"Macro"),IF(AND(ISNUMBER($H64),N($H64)&gt;0),$H64,SUMIFS($H$5:$H$1000,$S$5:$S$1000,$S64,$V$5:$V$1000,"Macro")/COUNTIFS($S$5:$S$1000,$S64,$V$5:$V$1000,"Macro",$H$5:$H$1000,"&gt;0"))/(COUNTIFS($S$5:$S$1000,$S64,$V$5:$V$1000,"Macro")*SUMIFS($H$5:$H$1000,$S$5:$S$1000,$S64,$V$5:$V$1000,"Macro")/COUNTIFS($S$5:$S$1000,$S64,$V$5:$V$1000,"Macro",$H$5:$H$1000,"&gt;0"))))</f>
        <v/>
      </c>
      <c r="AH64" s="62" t="n"/>
      <c r="AI64" s="62" t="n"/>
      <c r="AJ64" s="62" t="n"/>
      <c r="AK64" s="62" t="n"/>
      <c r="AL64" s="62">
        <f>IF(LEFT($C64,11)="[Jefatura] ",IFERROR(MATCH("Riesgo Operacional|"&amp;MID($C64,12,500),rDname_ADM,0),0),"")</f>
        <v/>
      </c>
      <c r="AM64" s="62">
        <f>IF(N($AL64)&gt;0,INDEX(rIni_ADM,$AL64),IF(ISNUMBER($E64),$E64,""))</f>
        <v/>
      </c>
      <c r="AN64" s="62">
        <f>IF(N($AL64)&gt;0,INDEX(rLim_ADM,$AL64),IF(ISNUMBER($F64),$F64,""))</f>
        <v/>
      </c>
    </row>
    <row r="65">
      <c r="A65" s="56">
        <f>IF(NOT((COUNTA($B65:$D65)+COUNTA($G65:$L65)+COUNTA($Q65))&gt;0),"",IF($V65="Macro",COUNTIFS($V$5:$V65,"Macro",$S$5:$S65,$S65),IF(N($U65)=0,"?",COUNTIFS(INDEX($V$5:$V$1000,1):INDEX($V$5:$V$1000,$U65-4),"Macro",INDEX($S$5:$S$1000,1):INDEX($S$5:$S$1000,$U65-4),INDEX($S$5:$S$1000,$U65-4))&amp;"."&amp;COUNTIFS($U$5:$U65,$U65,$V$5:$V65,"Sub"))))</f>
        <v/>
      </c>
      <c r="B65" s="57" t="n"/>
      <c r="C65" s="58" t="n"/>
      <c r="D65" s="58" t="n"/>
      <c r="E65" s="59">
        <f>IF(N($AL65)&gt;0,INDEX(rIni_ADM,$AL65),"")</f>
        <v/>
      </c>
      <c r="F65" s="59">
        <f>IF(N($AL65)&gt;0,INDEX(rLim_ADM,$AL65),"")</f>
        <v/>
      </c>
      <c r="G65" s="59" t="n"/>
      <c r="H65" s="60" t="n"/>
      <c r="I65" s="60" t="n"/>
      <c r="J65" s="60" t="n"/>
      <c r="K65" s="60" t="n"/>
      <c r="L65" s="60" t="n"/>
      <c r="M65" s="61">
        <f>IF(NOT((COUNTA($B65:$D65)+COUNTA($G65:$L65)+COUNTA($Q65))&gt;0),"",IF($V65="Sub",IFERROR($X65/INDEX($W$5:$W$1000,$U65-4),""),IF(ISNUMBER($G65),1,IF(N($W65)&gt;0,AVERAGEIFS($X$5:$X$1000,$U$5:$U$1000,ROW(),$V$5:$V$1000,"Sub"),$X65))))</f>
        <v/>
      </c>
      <c r="N65" s="56">
        <f>IF(OR($M65="",$V65="Sub"),"",IF($M65&gt;=1,"Completado",IF($M65&gt;0,"En curso","Pendiente")))</f>
        <v/>
      </c>
      <c r="O65" s="56">
        <f>IF(OR(NOT((COUNTA($B65:$D65)+COUNTA($G65:$L65)+COUNTA($Q65))&gt;0),$V65="Sub"),"",IF(ISNUMBER($G65),IF(AND(ISNUMBER($AN65),$G65&gt;$AN65),"Cumplida con "&amp;($G65-$AN65)&amp;IF($G65-$AN65=1," día"," días")&amp;" de retraso","Cumplida"),IF(N($M65)&gt;=1,"Cumplida",IF(NOT(ISNUMBER($AN65)),"Sin fecha límite",IF($AN65&lt;FechaRef,"Vencida hace "&amp;(FechaRef-$AN65)&amp;IF(FechaRef-$AN65=1," día"," días"),IF($AN65=FechaRef,"Vence hoy",IF($AN65-FechaRef&lt;=DiasAlerta,"Vence en "&amp;($AN65-FechaRef)&amp;IF($AN65-FechaRef=1," día"," días"),"En plazo")))))))</f>
        <v/>
      </c>
      <c r="P65" s="62" t="n"/>
      <c r="Q65" s="58" t="n"/>
      <c r="R65" s="63">
        <f>IF(NOT((COUNTA($B65:$D65)+COUNTA($G65:$L65)+COUNTA($Q65))&gt;0),"",IF((IF($C65="","Falta el nombre de la actividad"&amp;" · ","")&amp;IF(AND($V65="Sub",N($U65)=0),"Subactividad sin macroactividad arriba"&amp;" · ","")&amp;IF($AM65="","Sin fecha de inicio"&amp;" · ","")&amp;IF($AN65="","Sin fecha límite"&amp;" · ","")&amp;IF(AND(LEFT($C65,11)="[Jefatura] ",N($AL65)=0),"No se encuentra en la hoja de la jefatura (elíjala de nuevo en la lista)"&amp;" · ","")&amp;IF(OR(AND($E65&lt;&gt;"",NOT(ISNUMBER($E65))),AND($F65&lt;&gt;"",NOT(ISNUMBER($F65))),AND($G65&lt;&gt;"",NOT(ISNUMBER($G65)))),"Fecha no válida"&amp;" · ","")&amp;IF(AND(ISNUMBER($AM65),ISNUMBER($AN65),$AM65&gt;$AN65),"Inicio posterior a fecha límite"&amp;" · ","")&amp;IF(AND($V65="Macro",$H65&lt;&gt;"",OR(NOT(ISNUMBER($H65)),$H65&lt;0,$H65&gt;1)),"Peso fuera de rango"&amp;" · ","")&amp;IF(AND($V65="Sub",$H65&lt;&gt;""),"Las subactividades no llevan peso (valen igual dentro de su macroactividad)"&amp;" · ","")&amp;IF(AND(N($W65)&gt;0,COUNT($I65:$L65)&gt;0),"Con subactividades: deje vacías las semanas (se calculan solas)"&amp;" · ","")&amp;IF((COUNTIF($I65:$L65,"&gt;1")+COUNTIF($I65:$L65,"&lt;0")+COUNTA($I65:$L65)-COUNT($I65:$L65))&gt;0,"Avance fuera de rango 0-100%"&amp;" · ","")&amp;IF(OR(AND($J65&lt;&gt;"",$J65&lt;$I65),AND($K65&lt;&gt;"",$K65&lt;MAX($I65:$J65)),AND($L65&lt;&gt;"",$L65&lt;MAX($I65:$K65))),"Avance semanal decreciente"&amp;" · ","")&amp;IF(AND(ISNUMBER($AN65),$AN65&lt;FechaRef,IF($V65="Sub",N($X65),N($M65))&lt;1),"Vencida"&amp;" · ","")&amp;IF(AND(ObsObligatoria="Sí",ISNUMBER($AN65),$AN65&lt;FechaRef,IF($V65="Sub",N($X65),N($M65))&lt;1,$Q65=""),"Vencida sin observación"&amp;" · ",""))="","✔ OK","⚠ "&amp;LEFT(IF($C65="","Falta el nombre de la actividad"&amp;" · ","")&amp;IF(AND($V65="Sub",N($U65)=0),"Subactividad sin macroactividad arriba"&amp;" · ","")&amp;IF($AM65="","Sin fecha de inicio"&amp;" · ","")&amp;IF($AN65="","Sin fecha límite"&amp;" · ","")&amp;IF(AND(LEFT($C65,11)="[Jefatura] ",N($AL65)=0),"No se encuentra en la hoja de la jefatura (elíjala de nuevo en la lista)"&amp;" · ","")&amp;IF(OR(AND($E65&lt;&gt;"",NOT(ISNUMBER($E65))),AND($F65&lt;&gt;"",NOT(ISNUMBER($F65))),AND($G65&lt;&gt;"",NOT(ISNUMBER($G65)))),"Fecha no válida"&amp;" · ","")&amp;IF(AND(ISNUMBER($AM65),ISNUMBER($AN65),$AM65&gt;$AN65),"Inicio posterior a fecha límite"&amp;" · ","")&amp;IF(AND($V65="Macro",$H65&lt;&gt;"",OR(NOT(ISNUMBER($H65)),$H65&lt;0,$H65&gt;1)),"Peso fuera de rango"&amp;" · ","")&amp;IF(AND($V65="Sub",$H65&lt;&gt;""),"Las subactividades no llevan peso (valen igual dentro de su macroactividad)"&amp;" · ","")&amp;IF(AND(N($W65)&gt;0,COUNT($I65:$L65)&gt;0),"Con subactividades: deje vacías las semanas (se calculan solas)"&amp;" · ","")&amp;IF((COUNTIF($I65:$L65,"&gt;1")+COUNTIF($I65:$L65,"&lt;0")+COUNTA($I65:$L65)-COUNT($I65:$L65))&gt;0,"Avance fuera de rango 0-100%"&amp;" · ","")&amp;IF(OR(AND($J65&lt;&gt;"",$J65&lt;$I65),AND($K65&lt;&gt;"",$K65&lt;MAX($I65:$J65)),AND($L65&lt;&gt;"",$L65&lt;MAX($I65:$K65))),"Avance semanal decreciente"&amp;" · ","")&amp;IF(AND(ISNUMBER($AN65),$AN65&lt;FechaRef,IF($V65="Sub",N($X65),N($M65))&lt;1),"Vencida"&amp;" · ","")&amp;IF(AND(ObsObligatoria="Sí",ISNUMBER($AN65),$AN65&lt;FechaRef,IF($V65="Sub",N($X65),N($M65))&lt;1,$Q65=""),"Vencida sin observación"&amp;" · ",""),LEN(IF($C65="","Falta el nombre de la actividad"&amp;" · ","")&amp;IF(AND($V65="Sub",N($U65)=0),"Subactividad sin macroactividad arriba"&amp;" · ","")&amp;IF($AM65="","Sin fecha de inicio"&amp;" · ","")&amp;IF($AN65="","Sin fecha límite"&amp;" · ","")&amp;IF(AND(LEFT($C65,11)="[Jefatura] ",N($AL65)=0),"No se encuentra en la hoja de la jefatura (elíjala de nuevo en la lista)"&amp;" · ","")&amp;IF(OR(AND($E65&lt;&gt;"",NOT(ISNUMBER($E65))),AND($F65&lt;&gt;"",NOT(ISNUMBER($F65))),AND($G65&lt;&gt;"",NOT(ISNUMBER($G65)))),"Fecha no válida"&amp;" · ","")&amp;IF(AND(ISNUMBER($AM65),ISNUMBER($AN65),$AM65&gt;$AN65),"Inicio posterior a fecha límite"&amp;" · ","")&amp;IF(AND($V65="Macro",$H65&lt;&gt;"",OR(NOT(ISNUMBER($H65)),$H65&lt;0,$H65&gt;1)),"Peso fuera de rango"&amp;" · ","")&amp;IF(AND($V65="Sub",$H65&lt;&gt;""),"Las subactividades no llevan peso (valen igual dentro de su macroactividad)"&amp;" · ","")&amp;IF(AND(N($W65)&gt;0,COUNT($I65:$L65)&gt;0),"Con subactividades: deje vacías las semanas (se calculan solas)"&amp;" · ","")&amp;IF((COUNTIF($I65:$L65,"&gt;1")+COUNTIF($I65:$L65,"&lt;0")+COUNTA($I65:$L65)-COUNT($I65:$L65))&gt;0,"Avance fuera de rango 0-100%"&amp;" · ","")&amp;IF(OR(AND($J65&lt;&gt;"",$J65&lt;$I65),AND($K65&lt;&gt;"",$K65&lt;MAX($I65:$J65)),AND($L65&lt;&gt;"",$L65&lt;MAX($I65:$K65))),"Avance semanal decreciente"&amp;" · ","")&amp;IF(AND(ISNUMBER($AN65),$AN65&lt;FechaRef,IF($V65="Sub",N($X65),N($M65))&lt;1),"Vencida"&amp;" · ","")&amp;IF(AND(ObsObligatoria="Sí",ISNUMBER($AN65),$AN65&lt;FechaRef,IF($V65="Sub",N($X65),N($M65))&lt;1,$Q65=""),"Vencida sin observación"&amp;" · ",""))-3)))</f>
        <v/>
      </c>
      <c r="S65" s="64">
        <f>IF(NOT((COUNTA($B65:$D65)+COUNTA($G65:$L65)+COUNTA($Q65))&gt;0),"",IF(AND($V65="Sub",N($U65)&gt;0),IF(ISNUMBER(INDEX($AM$5:$AM$1000,$U65-4)),DATE(YEAR(INDEX($AM$5:$AM$1000,$U65-4)),MONTH(INDEX($AM$5:$AM$1000,$U65-4)),1),IF(ISNUMBER(INDEX($AN$5:$AN$1000,$U65-4)),DATE(YEAR(INDEX($AN$5:$AN$1000,$U65-4)),MONTH(INDEX($AN$5:$AN$1000,$U65-4)),1),MesCiclo)),IF(ISNUMBER($AM65),DATE(YEAR($AM65),MONTH($AM65),1),IF(ISNUMBER($AN65),DATE(YEAR($AN65),MONTH($AN65),1),MesCiclo))))</f>
        <v/>
      </c>
      <c r="T65" s="62">
        <f>IF(OR($S65="",$S65&lt;&gt;MesCiclo,$V65&lt;&gt;"Macro"),"",COUNTIFS($S$5:$S65,MesCiclo,$V$5:$V65,"Macro"))</f>
        <v/>
      </c>
      <c r="U65" s="62">
        <f>IF($V65="","",IF($V65="Macro",ROW(),IFERROR(LOOKUP(2,1/($V$5:$V65="Macro"),ROW($V$5:$V65)),0)))</f>
        <v/>
      </c>
      <c r="V65" s="62">
        <f>IF(NOT((COUNTA($B65:$D65)+COUNTA($G65:$L65)+COUNTA($Q65))&gt;0),"",IF($B65="Subactividad","Sub","Macro"))</f>
        <v/>
      </c>
      <c r="W65" s="62">
        <f>IF($V65="Macro",COUNTIFS($U$5:$U$1000,ROW(),$V$5:$V$1000,"Sub"),"")</f>
        <v/>
      </c>
      <c r="X65" s="62">
        <f>IF($V65="","",IF(ISNUMBER($G65),1,IFERROR(LOOKUP(2,1/($I65:$L65&lt;&gt;""),$I65:$L65),0)))</f>
        <v/>
      </c>
      <c r="Y65" s="62">
        <f>IF($V65="","",IF(AND(ISNUMBER($G65),$G65&lt;=IF($S65=MesCiclo,InicioCiclo,$S65+MOD(2-WEEKDAY($S65),7))+6),1,IF(ISNUMBER($I65),$I65,0)))</f>
        <v/>
      </c>
      <c r="Z65" s="62">
        <f>IF($V65="","",IF(AND(ISNUMBER($G65),$G65&lt;=IF($S65=MesCiclo,InicioCiclo,$S65+MOD(2-WEEKDAY($S65),7))+13),1,IF(ISNUMBER($J65),$J65,$Y65)))</f>
        <v/>
      </c>
      <c r="AA65" s="62">
        <f>IF($V65="","",IF(AND(ISNUMBER($G65),$G65&lt;=IF($S65=MesCiclo,InicioCiclo,$S65+MOD(2-WEEKDAY($S65),7))+20),1,IF(ISNUMBER($K65),$K65,$Z65)))</f>
        <v/>
      </c>
      <c r="AB65" s="62">
        <f>IF($V65="","",IF(AND(ISNUMBER($G65),$G65&lt;=IF($S65=MesCiclo,InicioCiclo,$S65+MOD(2-WEEKDAY($S65),7))+27),1,IF(ISNUMBER($L65),$L65,$AA65)))</f>
        <v/>
      </c>
      <c r="AC65" s="62">
        <f>IF($V65="","",IF(AND(ISNUMBER($G65),$G65&lt;=IF($S65=MesCiclo,InicioCiclo,$S65+MOD(2-WEEKDAY($S65),7))+6),1,IF(N($W65)&gt;0,AVERAGEIFS($Y$5:$Y$1000,$U$5:$U$1000,ROW(),$V$5:$V$1000,"Sub"),$Y65)))</f>
        <v/>
      </c>
      <c r="AD65" s="62">
        <f>IF($V65="","",IF(AND(ISNUMBER($G65),$G65&lt;=IF($S65=MesCiclo,InicioCiclo,$S65+MOD(2-WEEKDAY($S65),7))+13),1,IF(N($W65)&gt;0,AVERAGEIFS($Z$5:$Z$1000,$U$5:$U$1000,ROW(),$V$5:$V$1000,"Sub"),$Z65)))</f>
        <v/>
      </c>
      <c r="AE65" s="62">
        <f>IF($V65="","",IF(AND(ISNUMBER($G65),$G65&lt;=IF($S65=MesCiclo,InicioCiclo,$S65+MOD(2-WEEKDAY($S65),7))+20),1,IF(N($W65)&gt;0,AVERAGEIFS($AA$5:$AA$1000,$U$5:$U$1000,ROW(),$V$5:$V$1000,"Sub"),$AA65)))</f>
        <v/>
      </c>
      <c r="AF65" s="62">
        <f>IF($V65="","",IF(AND(ISNUMBER($G65),$G65&lt;=IF($S65=MesCiclo,InicioCiclo,$S65+MOD(2-WEEKDAY($S65),7))+27),1,IF(N($W65)&gt;0,AVERAGEIFS($AB$5:$AB$1000,$U$5:$U$1000,ROW(),$V$5:$V$1000,"Sub"),$AB65)))</f>
        <v/>
      </c>
      <c r="AG65" s="62">
        <f>IF($V65&lt;&gt;"Macro","",IF(COUNTIFS($S$5:$S$1000,$S65,$V$5:$V$1000,"Macro",$H$5:$H$1000,"&gt;0")=0,1/COUNTIFS($S$5:$S$1000,$S65,$V$5:$V$1000,"Macro"),IF(AND(ISNUMBER($H65),N($H65)&gt;0),$H65,SUMIFS($H$5:$H$1000,$S$5:$S$1000,$S65,$V$5:$V$1000,"Macro")/COUNTIFS($S$5:$S$1000,$S65,$V$5:$V$1000,"Macro",$H$5:$H$1000,"&gt;0"))/(COUNTIFS($S$5:$S$1000,$S65,$V$5:$V$1000,"Macro")*SUMIFS($H$5:$H$1000,$S$5:$S$1000,$S65,$V$5:$V$1000,"Macro")/COUNTIFS($S$5:$S$1000,$S65,$V$5:$V$1000,"Macro",$H$5:$H$1000,"&gt;0"))))</f>
        <v/>
      </c>
      <c r="AH65" s="62" t="n"/>
      <c r="AI65" s="62" t="n"/>
      <c r="AJ65" s="62" t="n"/>
      <c r="AK65" s="62" t="n"/>
      <c r="AL65" s="62">
        <f>IF(LEFT($C65,11)="[Jefatura] ",IFERROR(MATCH("Riesgo Operacional|"&amp;MID($C65,12,500),rDname_ADM,0),0),"")</f>
        <v/>
      </c>
      <c r="AM65" s="62">
        <f>IF(N($AL65)&gt;0,INDEX(rIni_ADM,$AL65),IF(ISNUMBER($E65),$E65,""))</f>
        <v/>
      </c>
      <c r="AN65" s="62">
        <f>IF(N($AL65)&gt;0,INDEX(rLim_ADM,$AL65),IF(ISNUMBER($F65),$F65,""))</f>
        <v/>
      </c>
    </row>
    <row r="66">
      <c r="A66" s="56">
        <f>IF(NOT((COUNTA($B66:$D66)+COUNTA($G66:$L66)+COUNTA($Q66))&gt;0),"",IF($V66="Macro",COUNTIFS($V$5:$V66,"Macro",$S$5:$S66,$S66),IF(N($U66)=0,"?",COUNTIFS(INDEX($V$5:$V$1000,1):INDEX($V$5:$V$1000,$U66-4),"Macro",INDEX($S$5:$S$1000,1):INDEX($S$5:$S$1000,$U66-4),INDEX($S$5:$S$1000,$U66-4))&amp;"."&amp;COUNTIFS($U$5:$U66,$U66,$V$5:$V66,"Sub"))))</f>
        <v/>
      </c>
      <c r="B66" s="57" t="n"/>
      <c r="C66" s="58" t="n"/>
      <c r="D66" s="58" t="n"/>
      <c r="E66" s="59">
        <f>IF(N($AL66)&gt;0,INDEX(rIni_ADM,$AL66),"")</f>
        <v/>
      </c>
      <c r="F66" s="59">
        <f>IF(N($AL66)&gt;0,INDEX(rLim_ADM,$AL66),"")</f>
        <v/>
      </c>
      <c r="G66" s="59" t="n"/>
      <c r="H66" s="60" t="n"/>
      <c r="I66" s="60" t="n"/>
      <c r="J66" s="60" t="n"/>
      <c r="K66" s="60" t="n"/>
      <c r="L66" s="60" t="n"/>
      <c r="M66" s="61">
        <f>IF(NOT((COUNTA($B66:$D66)+COUNTA($G66:$L66)+COUNTA($Q66))&gt;0),"",IF($V66="Sub",IFERROR($X66/INDEX($W$5:$W$1000,$U66-4),""),IF(ISNUMBER($G66),1,IF(N($W66)&gt;0,AVERAGEIFS($X$5:$X$1000,$U$5:$U$1000,ROW(),$V$5:$V$1000,"Sub"),$X66))))</f>
        <v/>
      </c>
      <c r="N66" s="56">
        <f>IF(OR($M66="",$V66="Sub"),"",IF($M66&gt;=1,"Completado",IF($M66&gt;0,"En curso","Pendiente")))</f>
        <v/>
      </c>
      <c r="O66" s="56">
        <f>IF(OR(NOT((COUNTA($B66:$D66)+COUNTA($G66:$L66)+COUNTA($Q66))&gt;0),$V66="Sub"),"",IF(ISNUMBER($G66),IF(AND(ISNUMBER($AN66),$G66&gt;$AN66),"Cumplida con "&amp;($G66-$AN66)&amp;IF($G66-$AN66=1," día"," días")&amp;" de retraso","Cumplida"),IF(N($M66)&gt;=1,"Cumplida",IF(NOT(ISNUMBER($AN66)),"Sin fecha límite",IF($AN66&lt;FechaRef,"Vencida hace "&amp;(FechaRef-$AN66)&amp;IF(FechaRef-$AN66=1," día"," días"),IF($AN66=FechaRef,"Vence hoy",IF($AN66-FechaRef&lt;=DiasAlerta,"Vence en "&amp;($AN66-FechaRef)&amp;IF($AN66-FechaRef=1," día"," días"),"En plazo")))))))</f>
        <v/>
      </c>
      <c r="P66" s="62" t="n"/>
      <c r="Q66" s="58" t="n"/>
      <c r="R66" s="63">
        <f>IF(NOT((COUNTA($B66:$D66)+COUNTA($G66:$L66)+COUNTA($Q66))&gt;0),"",IF((IF($C66="","Falta el nombre de la actividad"&amp;" · ","")&amp;IF(AND($V66="Sub",N($U66)=0),"Subactividad sin macroactividad arriba"&amp;" · ","")&amp;IF($AM66="","Sin fecha de inicio"&amp;" · ","")&amp;IF($AN66="","Sin fecha límite"&amp;" · ","")&amp;IF(AND(LEFT($C66,11)="[Jefatura] ",N($AL66)=0),"No se encuentra en la hoja de la jefatura (elíjala de nuevo en la lista)"&amp;" · ","")&amp;IF(OR(AND($E66&lt;&gt;"",NOT(ISNUMBER($E66))),AND($F66&lt;&gt;"",NOT(ISNUMBER($F66))),AND($G66&lt;&gt;"",NOT(ISNUMBER($G66)))),"Fecha no válida"&amp;" · ","")&amp;IF(AND(ISNUMBER($AM66),ISNUMBER($AN66),$AM66&gt;$AN66),"Inicio posterior a fecha límite"&amp;" · ","")&amp;IF(AND($V66="Macro",$H66&lt;&gt;"",OR(NOT(ISNUMBER($H66)),$H66&lt;0,$H66&gt;1)),"Peso fuera de rango"&amp;" · ","")&amp;IF(AND($V66="Sub",$H66&lt;&gt;""),"Las subactividades no llevan peso (valen igual dentro de su macroactividad)"&amp;" · ","")&amp;IF(AND(N($W66)&gt;0,COUNT($I66:$L66)&gt;0),"Con subactividades: deje vacías las semanas (se calculan solas)"&amp;" · ","")&amp;IF((COUNTIF($I66:$L66,"&gt;1")+COUNTIF($I66:$L66,"&lt;0")+COUNTA($I66:$L66)-COUNT($I66:$L66))&gt;0,"Avance fuera de rango 0-100%"&amp;" · ","")&amp;IF(OR(AND($J66&lt;&gt;"",$J66&lt;$I66),AND($K66&lt;&gt;"",$K66&lt;MAX($I66:$J66)),AND($L66&lt;&gt;"",$L66&lt;MAX($I66:$K66))),"Avance semanal decreciente"&amp;" · ","")&amp;IF(AND(ISNUMBER($AN66),$AN66&lt;FechaRef,IF($V66="Sub",N($X66),N($M66))&lt;1),"Vencida"&amp;" · ","")&amp;IF(AND(ObsObligatoria="Sí",ISNUMBER($AN66),$AN66&lt;FechaRef,IF($V66="Sub",N($X66),N($M66))&lt;1,$Q66=""),"Vencida sin observación"&amp;" · ",""))="","✔ OK","⚠ "&amp;LEFT(IF($C66="","Falta el nombre de la actividad"&amp;" · ","")&amp;IF(AND($V66="Sub",N($U66)=0),"Subactividad sin macroactividad arriba"&amp;" · ","")&amp;IF($AM66="","Sin fecha de inicio"&amp;" · ","")&amp;IF($AN66="","Sin fecha límite"&amp;" · ","")&amp;IF(AND(LEFT($C66,11)="[Jefatura] ",N($AL66)=0),"No se encuentra en la hoja de la jefatura (elíjala de nuevo en la lista)"&amp;" · ","")&amp;IF(OR(AND($E66&lt;&gt;"",NOT(ISNUMBER($E66))),AND($F66&lt;&gt;"",NOT(ISNUMBER($F66))),AND($G66&lt;&gt;"",NOT(ISNUMBER($G66)))),"Fecha no válida"&amp;" · ","")&amp;IF(AND(ISNUMBER($AM66),ISNUMBER($AN66),$AM66&gt;$AN66),"Inicio posterior a fecha límite"&amp;" · ","")&amp;IF(AND($V66="Macro",$H66&lt;&gt;"",OR(NOT(ISNUMBER($H66)),$H66&lt;0,$H66&gt;1)),"Peso fuera de rango"&amp;" · ","")&amp;IF(AND($V66="Sub",$H66&lt;&gt;""),"Las subactividades no llevan peso (valen igual dentro de su macroactividad)"&amp;" · ","")&amp;IF(AND(N($W66)&gt;0,COUNT($I66:$L66)&gt;0),"Con subactividades: deje vacías las semanas (se calculan solas)"&amp;" · ","")&amp;IF((COUNTIF($I66:$L66,"&gt;1")+COUNTIF($I66:$L66,"&lt;0")+COUNTA($I66:$L66)-COUNT($I66:$L66))&gt;0,"Avance fuera de rango 0-100%"&amp;" · ","")&amp;IF(OR(AND($J66&lt;&gt;"",$J66&lt;$I66),AND($K66&lt;&gt;"",$K66&lt;MAX($I66:$J66)),AND($L66&lt;&gt;"",$L66&lt;MAX($I66:$K66))),"Avance semanal decreciente"&amp;" · ","")&amp;IF(AND(ISNUMBER($AN66),$AN66&lt;FechaRef,IF($V66="Sub",N($X66),N($M66))&lt;1),"Vencida"&amp;" · ","")&amp;IF(AND(ObsObligatoria="Sí",ISNUMBER($AN66),$AN66&lt;FechaRef,IF($V66="Sub",N($X66),N($M66))&lt;1,$Q66=""),"Vencida sin observación"&amp;" · ",""),LEN(IF($C66="","Falta el nombre de la actividad"&amp;" · ","")&amp;IF(AND($V66="Sub",N($U66)=0),"Subactividad sin macroactividad arriba"&amp;" · ","")&amp;IF($AM66="","Sin fecha de inicio"&amp;" · ","")&amp;IF($AN66="","Sin fecha límite"&amp;" · ","")&amp;IF(AND(LEFT($C66,11)="[Jefatura] ",N($AL66)=0),"No se encuentra en la hoja de la jefatura (elíjala de nuevo en la lista)"&amp;" · ","")&amp;IF(OR(AND($E66&lt;&gt;"",NOT(ISNUMBER($E66))),AND($F66&lt;&gt;"",NOT(ISNUMBER($F66))),AND($G66&lt;&gt;"",NOT(ISNUMBER($G66)))),"Fecha no válida"&amp;" · ","")&amp;IF(AND(ISNUMBER($AM66),ISNUMBER($AN66),$AM66&gt;$AN66),"Inicio posterior a fecha límite"&amp;" · ","")&amp;IF(AND($V66="Macro",$H66&lt;&gt;"",OR(NOT(ISNUMBER($H66)),$H66&lt;0,$H66&gt;1)),"Peso fuera de rango"&amp;" · ","")&amp;IF(AND($V66="Sub",$H66&lt;&gt;""),"Las subactividades no llevan peso (valen igual dentro de su macroactividad)"&amp;" · ","")&amp;IF(AND(N($W66)&gt;0,COUNT($I66:$L66)&gt;0),"Con subactividades: deje vacías las semanas (se calculan solas)"&amp;" · ","")&amp;IF((COUNTIF($I66:$L66,"&gt;1")+COUNTIF($I66:$L66,"&lt;0")+COUNTA($I66:$L66)-COUNT($I66:$L66))&gt;0,"Avance fuera de rango 0-100%"&amp;" · ","")&amp;IF(OR(AND($J66&lt;&gt;"",$J66&lt;$I66),AND($K66&lt;&gt;"",$K66&lt;MAX($I66:$J66)),AND($L66&lt;&gt;"",$L66&lt;MAX($I66:$K66))),"Avance semanal decreciente"&amp;" · ","")&amp;IF(AND(ISNUMBER($AN66),$AN66&lt;FechaRef,IF($V66="Sub",N($X66),N($M66))&lt;1),"Vencida"&amp;" · ","")&amp;IF(AND(ObsObligatoria="Sí",ISNUMBER($AN66),$AN66&lt;FechaRef,IF($V66="Sub",N($X66),N($M66))&lt;1,$Q66=""),"Vencida sin observación"&amp;" · ",""))-3)))</f>
        <v/>
      </c>
      <c r="S66" s="64">
        <f>IF(NOT((COUNTA($B66:$D66)+COUNTA($G66:$L66)+COUNTA($Q66))&gt;0),"",IF(AND($V66="Sub",N($U66)&gt;0),IF(ISNUMBER(INDEX($AM$5:$AM$1000,$U66-4)),DATE(YEAR(INDEX($AM$5:$AM$1000,$U66-4)),MONTH(INDEX($AM$5:$AM$1000,$U66-4)),1),IF(ISNUMBER(INDEX($AN$5:$AN$1000,$U66-4)),DATE(YEAR(INDEX($AN$5:$AN$1000,$U66-4)),MONTH(INDEX($AN$5:$AN$1000,$U66-4)),1),MesCiclo)),IF(ISNUMBER($AM66),DATE(YEAR($AM66),MONTH($AM66),1),IF(ISNUMBER($AN66),DATE(YEAR($AN66),MONTH($AN66),1),MesCiclo))))</f>
        <v/>
      </c>
      <c r="T66" s="62">
        <f>IF(OR($S66="",$S66&lt;&gt;MesCiclo,$V66&lt;&gt;"Macro"),"",COUNTIFS($S$5:$S66,MesCiclo,$V$5:$V66,"Macro"))</f>
        <v/>
      </c>
      <c r="U66" s="62">
        <f>IF($V66="","",IF($V66="Macro",ROW(),IFERROR(LOOKUP(2,1/($V$5:$V66="Macro"),ROW($V$5:$V66)),0)))</f>
        <v/>
      </c>
      <c r="V66" s="62">
        <f>IF(NOT((COUNTA($B66:$D66)+COUNTA($G66:$L66)+COUNTA($Q66))&gt;0),"",IF($B66="Subactividad","Sub","Macro"))</f>
        <v/>
      </c>
      <c r="W66" s="62">
        <f>IF($V66="Macro",COUNTIFS($U$5:$U$1000,ROW(),$V$5:$V$1000,"Sub"),"")</f>
        <v/>
      </c>
      <c r="X66" s="62">
        <f>IF($V66="","",IF(ISNUMBER($G66),1,IFERROR(LOOKUP(2,1/($I66:$L66&lt;&gt;""),$I66:$L66),0)))</f>
        <v/>
      </c>
      <c r="Y66" s="62">
        <f>IF($V66="","",IF(AND(ISNUMBER($G66),$G66&lt;=IF($S66=MesCiclo,InicioCiclo,$S66+MOD(2-WEEKDAY($S66),7))+6),1,IF(ISNUMBER($I66),$I66,0)))</f>
        <v/>
      </c>
      <c r="Z66" s="62">
        <f>IF($V66="","",IF(AND(ISNUMBER($G66),$G66&lt;=IF($S66=MesCiclo,InicioCiclo,$S66+MOD(2-WEEKDAY($S66),7))+13),1,IF(ISNUMBER($J66),$J66,$Y66)))</f>
        <v/>
      </c>
      <c r="AA66" s="62">
        <f>IF($V66="","",IF(AND(ISNUMBER($G66),$G66&lt;=IF($S66=MesCiclo,InicioCiclo,$S66+MOD(2-WEEKDAY($S66),7))+20),1,IF(ISNUMBER($K66),$K66,$Z66)))</f>
        <v/>
      </c>
      <c r="AB66" s="62">
        <f>IF($V66="","",IF(AND(ISNUMBER($G66),$G66&lt;=IF($S66=MesCiclo,InicioCiclo,$S66+MOD(2-WEEKDAY($S66),7))+27),1,IF(ISNUMBER($L66),$L66,$AA66)))</f>
        <v/>
      </c>
      <c r="AC66" s="62">
        <f>IF($V66="","",IF(AND(ISNUMBER($G66),$G66&lt;=IF($S66=MesCiclo,InicioCiclo,$S66+MOD(2-WEEKDAY($S66),7))+6),1,IF(N($W66)&gt;0,AVERAGEIFS($Y$5:$Y$1000,$U$5:$U$1000,ROW(),$V$5:$V$1000,"Sub"),$Y66)))</f>
        <v/>
      </c>
      <c r="AD66" s="62">
        <f>IF($V66="","",IF(AND(ISNUMBER($G66),$G66&lt;=IF($S66=MesCiclo,InicioCiclo,$S66+MOD(2-WEEKDAY($S66),7))+13),1,IF(N($W66)&gt;0,AVERAGEIFS($Z$5:$Z$1000,$U$5:$U$1000,ROW(),$V$5:$V$1000,"Sub"),$Z66)))</f>
        <v/>
      </c>
      <c r="AE66" s="62">
        <f>IF($V66="","",IF(AND(ISNUMBER($G66),$G66&lt;=IF($S66=MesCiclo,InicioCiclo,$S66+MOD(2-WEEKDAY($S66),7))+20),1,IF(N($W66)&gt;0,AVERAGEIFS($AA$5:$AA$1000,$U$5:$U$1000,ROW(),$V$5:$V$1000,"Sub"),$AA66)))</f>
        <v/>
      </c>
      <c r="AF66" s="62">
        <f>IF($V66="","",IF(AND(ISNUMBER($G66),$G66&lt;=IF($S66=MesCiclo,InicioCiclo,$S66+MOD(2-WEEKDAY($S66),7))+27),1,IF(N($W66)&gt;0,AVERAGEIFS($AB$5:$AB$1000,$U$5:$U$1000,ROW(),$V$5:$V$1000,"Sub"),$AB66)))</f>
        <v/>
      </c>
      <c r="AG66" s="62">
        <f>IF($V66&lt;&gt;"Macro","",IF(COUNTIFS($S$5:$S$1000,$S66,$V$5:$V$1000,"Macro",$H$5:$H$1000,"&gt;0")=0,1/COUNTIFS($S$5:$S$1000,$S66,$V$5:$V$1000,"Macro"),IF(AND(ISNUMBER($H66),N($H66)&gt;0),$H66,SUMIFS($H$5:$H$1000,$S$5:$S$1000,$S66,$V$5:$V$1000,"Macro")/COUNTIFS($S$5:$S$1000,$S66,$V$5:$V$1000,"Macro",$H$5:$H$1000,"&gt;0"))/(COUNTIFS($S$5:$S$1000,$S66,$V$5:$V$1000,"Macro")*SUMIFS($H$5:$H$1000,$S$5:$S$1000,$S66,$V$5:$V$1000,"Macro")/COUNTIFS($S$5:$S$1000,$S66,$V$5:$V$1000,"Macro",$H$5:$H$1000,"&gt;0"))))</f>
        <v/>
      </c>
      <c r="AH66" s="62" t="n"/>
      <c r="AI66" s="62" t="n"/>
      <c r="AJ66" s="62" t="n"/>
      <c r="AK66" s="62" t="n"/>
      <c r="AL66" s="62">
        <f>IF(LEFT($C66,11)="[Jefatura] ",IFERROR(MATCH("Riesgo Operacional|"&amp;MID($C66,12,500),rDname_ADM,0),0),"")</f>
        <v/>
      </c>
      <c r="AM66" s="62">
        <f>IF(N($AL66)&gt;0,INDEX(rIni_ADM,$AL66),IF(ISNUMBER($E66),$E66,""))</f>
        <v/>
      </c>
      <c r="AN66" s="62">
        <f>IF(N($AL66)&gt;0,INDEX(rLim_ADM,$AL66),IF(ISNUMBER($F66),$F66,""))</f>
        <v/>
      </c>
    </row>
    <row r="67">
      <c r="A67" s="56">
        <f>IF(NOT((COUNTA($B67:$D67)+COUNTA($G67:$L67)+COUNTA($Q67))&gt;0),"",IF($V67="Macro",COUNTIFS($V$5:$V67,"Macro",$S$5:$S67,$S67),IF(N($U67)=0,"?",COUNTIFS(INDEX($V$5:$V$1000,1):INDEX($V$5:$V$1000,$U67-4),"Macro",INDEX($S$5:$S$1000,1):INDEX($S$5:$S$1000,$U67-4),INDEX($S$5:$S$1000,$U67-4))&amp;"."&amp;COUNTIFS($U$5:$U67,$U67,$V$5:$V67,"Sub"))))</f>
        <v/>
      </c>
      <c r="B67" s="57" t="n"/>
      <c r="C67" s="58" t="n"/>
      <c r="D67" s="58" t="n"/>
      <c r="E67" s="59">
        <f>IF(N($AL67)&gt;0,INDEX(rIni_ADM,$AL67),"")</f>
        <v/>
      </c>
      <c r="F67" s="59">
        <f>IF(N($AL67)&gt;0,INDEX(rLim_ADM,$AL67),"")</f>
        <v/>
      </c>
      <c r="G67" s="59" t="n"/>
      <c r="H67" s="60" t="n"/>
      <c r="I67" s="60" t="n"/>
      <c r="J67" s="60" t="n"/>
      <c r="K67" s="60" t="n"/>
      <c r="L67" s="60" t="n"/>
      <c r="M67" s="61">
        <f>IF(NOT((COUNTA($B67:$D67)+COUNTA($G67:$L67)+COUNTA($Q67))&gt;0),"",IF($V67="Sub",IFERROR($X67/INDEX($W$5:$W$1000,$U67-4),""),IF(ISNUMBER($G67),1,IF(N($W67)&gt;0,AVERAGEIFS($X$5:$X$1000,$U$5:$U$1000,ROW(),$V$5:$V$1000,"Sub"),$X67))))</f>
        <v/>
      </c>
      <c r="N67" s="56">
        <f>IF(OR($M67="",$V67="Sub"),"",IF($M67&gt;=1,"Completado",IF($M67&gt;0,"En curso","Pendiente")))</f>
        <v/>
      </c>
      <c r="O67" s="56">
        <f>IF(OR(NOT((COUNTA($B67:$D67)+COUNTA($G67:$L67)+COUNTA($Q67))&gt;0),$V67="Sub"),"",IF(ISNUMBER($G67),IF(AND(ISNUMBER($AN67),$G67&gt;$AN67),"Cumplida con "&amp;($G67-$AN67)&amp;IF($G67-$AN67=1," día"," días")&amp;" de retraso","Cumplida"),IF(N($M67)&gt;=1,"Cumplida",IF(NOT(ISNUMBER($AN67)),"Sin fecha límite",IF($AN67&lt;FechaRef,"Vencida hace "&amp;(FechaRef-$AN67)&amp;IF(FechaRef-$AN67=1," día"," días"),IF($AN67=FechaRef,"Vence hoy",IF($AN67-FechaRef&lt;=DiasAlerta,"Vence en "&amp;($AN67-FechaRef)&amp;IF($AN67-FechaRef=1," día"," días"),"En plazo")))))))</f>
        <v/>
      </c>
      <c r="P67" s="62" t="n"/>
      <c r="Q67" s="58" t="n"/>
      <c r="R67" s="63">
        <f>IF(NOT((COUNTA($B67:$D67)+COUNTA($G67:$L67)+COUNTA($Q67))&gt;0),"",IF((IF($C67="","Falta el nombre de la actividad"&amp;" · ","")&amp;IF(AND($V67="Sub",N($U67)=0),"Subactividad sin macroactividad arriba"&amp;" · ","")&amp;IF($AM67="","Sin fecha de inicio"&amp;" · ","")&amp;IF($AN67="","Sin fecha límite"&amp;" · ","")&amp;IF(AND(LEFT($C67,11)="[Jefatura] ",N($AL67)=0),"No se encuentra en la hoja de la jefatura (elíjala de nuevo en la lista)"&amp;" · ","")&amp;IF(OR(AND($E67&lt;&gt;"",NOT(ISNUMBER($E67))),AND($F67&lt;&gt;"",NOT(ISNUMBER($F67))),AND($G67&lt;&gt;"",NOT(ISNUMBER($G67)))),"Fecha no válida"&amp;" · ","")&amp;IF(AND(ISNUMBER($AM67),ISNUMBER($AN67),$AM67&gt;$AN67),"Inicio posterior a fecha límite"&amp;" · ","")&amp;IF(AND($V67="Macro",$H67&lt;&gt;"",OR(NOT(ISNUMBER($H67)),$H67&lt;0,$H67&gt;1)),"Peso fuera de rango"&amp;" · ","")&amp;IF(AND($V67="Sub",$H67&lt;&gt;""),"Las subactividades no llevan peso (valen igual dentro de su macroactividad)"&amp;" · ","")&amp;IF(AND(N($W67)&gt;0,COUNT($I67:$L67)&gt;0),"Con subactividades: deje vacías las semanas (se calculan solas)"&amp;" · ","")&amp;IF((COUNTIF($I67:$L67,"&gt;1")+COUNTIF($I67:$L67,"&lt;0")+COUNTA($I67:$L67)-COUNT($I67:$L67))&gt;0,"Avance fuera de rango 0-100%"&amp;" · ","")&amp;IF(OR(AND($J67&lt;&gt;"",$J67&lt;$I67),AND($K67&lt;&gt;"",$K67&lt;MAX($I67:$J67)),AND($L67&lt;&gt;"",$L67&lt;MAX($I67:$K67))),"Avance semanal decreciente"&amp;" · ","")&amp;IF(AND(ISNUMBER($AN67),$AN67&lt;FechaRef,IF($V67="Sub",N($X67),N($M67))&lt;1),"Vencida"&amp;" · ","")&amp;IF(AND(ObsObligatoria="Sí",ISNUMBER($AN67),$AN67&lt;FechaRef,IF($V67="Sub",N($X67),N($M67))&lt;1,$Q67=""),"Vencida sin observación"&amp;" · ",""))="","✔ OK","⚠ "&amp;LEFT(IF($C67="","Falta el nombre de la actividad"&amp;" · ","")&amp;IF(AND($V67="Sub",N($U67)=0),"Subactividad sin macroactividad arriba"&amp;" · ","")&amp;IF($AM67="","Sin fecha de inicio"&amp;" · ","")&amp;IF($AN67="","Sin fecha límite"&amp;" · ","")&amp;IF(AND(LEFT($C67,11)="[Jefatura] ",N($AL67)=0),"No se encuentra en la hoja de la jefatura (elíjala de nuevo en la lista)"&amp;" · ","")&amp;IF(OR(AND($E67&lt;&gt;"",NOT(ISNUMBER($E67))),AND($F67&lt;&gt;"",NOT(ISNUMBER($F67))),AND($G67&lt;&gt;"",NOT(ISNUMBER($G67)))),"Fecha no válida"&amp;" · ","")&amp;IF(AND(ISNUMBER($AM67),ISNUMBER($AN67),$AM67&gt;$AN67),"Inicio posterior a fecha límite"&amp;" · ","")&amp;IF(AND($V67="Macro",$H67&lt;&gt;"",OR(NOT(ISNUMBER($H67)),$H67&lt;0,$H67&gt;1)),"Peso fuera de rango"&amp;" · ","")&amp;IF(AND($V67="Sub",$H67&lt;&gt;""),"Las subactividades no llevan peso (valen igual dentro de su macroactividad)"&amp;" · ","")&amp;IF(AND(N($W67)&gt;0,COUNT($I67:$L67)&gt;0),"Con subactividades: deje vacías las semanas (se calculan solas)"&amp;" · ","")&amp;IF((COUNTIF($I67:$L67,"&gt;1")+COUNTIF($I67:$L67,"&lt;0")+COUNTA($I67:$L67)-COUNT($I67:$L67))&gt;0,"Avance fuera de rango 0-100%"&amp;" · ","")&amp;IF(OR(AND($J67&lt;&gt;"",$J67&lt;$I67),AND($K67&lt;&gt;"",$K67&lt;MAX($I67:$J67)),AND($L67&lt;&gt;"",$L67&lt;MAX($I67:$K67))),"Avance semanal decreciente"&amp;" · ","")&amp;IF(AND(ISNUMBER($AN67),$AN67&lt;FechaRef,IF($V67="Sub",N($X67),N($M67))&lt;1),"Vencida"&amp;" · ","")&amp;IF(AND(ObsObligatoria="Sí",ISNUMBER($AN67),$AN67&lt;FechaRef,IF($V67="Sub",N($X67),N($M67))&lt;1,$Q67=""),"Vencida sin observación"&amp;" · ",""),LEN(IF($C67="","Falta el nombre de la actividad"&amp;" · ","")&amp;IF(AND($V67="Sub",N($U67)=0),"Subactividad sin macroactividad arriba"&amp;" · ","")&amp;IF($AM67="","Sin fecha de inicio"&amp;" · ","")&amp;IF($AN67="","Sin fecha límite"&amp;" · ","")&amp;IF(AND(LEFT($C67,11)="[Jefatura] ",N($AL67)=0),"No se encuentra en la hoja de la jefatura (elíjala de nuevo en la lista)"&amp;" · ","")&amp;IF(OR(AND($E67&lt;&gt;"",NOT(ISNUMBER($E67))),AND($F67&lt;&gt;"",NOT(ISNUMBER($F67))),AND($G67&lt;&gt;"",NOT(ISNUMBER($G67)))),"Fecha no válida"&amp;" · ","")&amp;IF(AND(ISNUMBER($AM67),ISNUMBER($AN67),$AM67&gt;$AN67),"Inicio posterior a fecha límite"&amp;" · ","")&amp;IF(AND($V67="Macro",$H67&lt;&gt;"",OR(NOT(ISNUMBER($H67)),$H67&lt;0,$H67&gt;1)),"Peso fuera de rango"&amp;" · ","")&amp;IF(AND($V67="Sub",$H67&lt;&gt;""),"Las subactividades no llevan peso (valen igual dentro de su macroactividad)"&amp;" · ","")&amp;IF(AND(N($W67)&gt;0,COUNT($I67:$L67)&gt;0),"Con subactividades: deje vacías las semanas (se calculan solas)"&amp;" · ","")&amp;IF((COUNTIF($I67:$L67,"&gt;1")+COUNTIF($I67:$L67,"&lt;0")+COUNTA($I67:$L67)-COUNT($I67:$L67))&gt;0,"Avance fuera de rango 0-100%"&amp;" · ","")&amp;IF(OR(AND($J67&lt;&gt;"",$J67&lt;$I67),AND($K67&lt;&gt;"",$K67&lt;MAX($I67:$J67)),AND($L67&lt;&gt;"",$L67&lt;MAX($I67:$K67))),"Avance semanal decreciente"&amp;" · ","")&amp;IF(AND(ISNUMBER($AN67),$AN67&lt;FechaRef,IF($V67="Sub",N($X67),N($M67))&lt;1),"Vencida"&amp;" · ","")&amp;IF(AND(ObsObligatoria="Sí",ISNUMBER($AN67),$AN67&lt;FechaRef,IF($V67="Sub",N($X67),N($M67))&lt;1,$Q67=""),"Vencida sin observación"&amp;" · ",""))-3)))</f>
        <v/>
      </c>
      <c r="S67" s="64">
        <f>IF(NOT((COUNTA($B67:$D67)+COUNTA($G67:$L67)+COUNTA($Q67))&gt;0),"",IF(AND($V67="Sub",N($U67)&gt;0),IF(ISNUMBER(INDEX($AM$5:$AM$1000,$U67-4)),DATE(YEAR(INDEX($AM$5:$AM$1000,$U67-4)),MONTH(INDEX($AM$5:$AM$1000,$U67-4)),1),IF(ISNUMBER(INDEX($AN$5:$AN$1000,$U67-4)),DATE(YEAR(INDEX($AN$5:$AN$1000,$U67-4)),MONTH(INDEX($AN$5:$AN$1000,$U67-4)),1),MesCiclo)),IF(ISNUMBER($AM67),DATE(YEAR($AM67),MONTH($AM67),1),IF(ISNUMBER($AN67),DATE(YEAR($AN67),MONTH($AN67),1),MesCiclo))))</f>
        <v/>
      </c>
      <c r="T67" s="62">
        <f>IF(OR($S67="",$S67&lt;&gt;MesCiclo,$V67&lt;&gt;"Macro"),"",COUNTIFS($S$5:$S67,MesCiclo,$V$5:$V67,"Macro"))</f>
        <v/>
      </c>
      <c r="U67" s="62">
        <f>IF($V67="","",IF($V67="Macro",ROW(),IFERROR(LOOKUP(2,1/($V$5:$V67="Macro"),ROW($V$5:$V67)),0)))</f>
        <v/>
      </c>
      <c r="V67" s="62">
        <f>IF(NOT((COUNTA($B67:$D67)+COUNTA($G67:$L67)+COUNTA($Q67))&gt;0),"",IF($B67="Subactividad","Sub","Macro"))</f>
        <v/>
      </c>
      <c r="W67" s="62">
        <f>IF($V67="Macro",COUNTIFS($U$5:$U$1000,ROW(),$V$5:$V$1000,"Sub"),"")</f>
        <v/>
      </c>
      <c r="X67" s="62">
        <f>IF($V67="","",IF(ISNUMBER($G67),1,IFERROR(LOOKUP(2,1/($I67:$L67&lt;&gt;""),$I67:$L67),0)))</f>
        <v/>
      </c>
      <c r="Y67" s="62">
        <f>IF($V67="","",IF(AND(ISNUMBER($G67),$G67&lt;=IF($S67=MesCiclo,InicioCiclo,$S67+MOD(2-WEEKDAY($S67),7))+6),1,IF(ISNUMBER($I67),$I67,0)))</f>
        <v/>
      </c>
      <c r="Z67" s="62">
        <f>IF($V67="","",IF(AND(ISNUMBER($G67),$G67&lt;=IF($S67=MesCiclo,InicioCiclo,$S67+MOD(2-WEEKDAY($S67),7))+13),1,IF(ISNUMBER($J67),$J67,$Y67)))</f>
        <v/>
      </c>
      <c r="AA67" s="62">
        <f>IF($V67="","",IF(AND(ISNUMBER($G67),$G67&lt;=IF($S67=MesCiclo,InicioCiclo,$S67+MOD(2-WEEKDAY($S67),7))+20),1,IF(ISNUMBER($K67),$K67,$Z67)))</f>
        <v/>
      </c>
      <c r="AB67" s="62">
        <f>IF($V67="","",IF(AND(ISNUMBER($G67),$G67&lt;=IF($S67=MesCiclo,InicioCiclo,$S67+MOD(2-WEEKDAY($S67),7))+27),1,IF(ISNUMBER($L67),$L67,$AA67)))</f>
        <v/>
      </c>
      <c r="AC67" s="62">
        <f>IF($V67="","",IF(AND(ISNUMBER($G67),$G67&lt;=IF($S67=MesCiclo,InicioCiclo,$S67+MOD(2-WEEKDAY($S67),7))+6),1,IF(N($W67)&gt;0,AVERAGEIFS($Y$5:$Y$1000,$U$5:$U$1000,ROW(),$V$5:$V$1000,"Sub"),$Y67)))</f>
        <v/>
      </c>
      <c r="AD67" s="62">
        <f>IF($V67="","",IF(AND(ISNUMBER($G67),$G67&lt;=IF($S67=MesCiclo,InicioCiclo,$S67+MOD(2-WEEKDAY($S67),7))+13),1,IF(N($W67)&gt;0,AVERAGEIFS($Z$5:$Z$1000,$U$5:$U$1000,ROW(),$V$5:$V$1000,"Sub"),$Z67)))</f>
        <v/>
      </c>
      <c r="AE67" s="62">
        <f>IF($V67="","",IF(AND(ISNUMBER($G67),$G67&lt;=IF($S67=MesCiclo,InicioCiclo,$S67+MOD(2-WEEKDAY($S67),7))+20),1,IF(N($W67)&gt;0,AVERAGEIFS($AA$5:$AA$1000,$U$5:$U$1000,ROW(),$V$5:$V$1000,"Sub"),$AA67)))</f>
        <v/>
      </c>
      <c r="AF67" s="62">
        <f>IF($V67="","",IF(AND(ISNUMBER($G67),$G67&lt;=IF($S67=MesCiclo,InicioCiclo,$S67+MOD(2-WEEKDAY($S67),7))+27),1,IF(N($W67)&gt;0,AVERAGEIFS($AB$5:$AB$1000,$U$5:$U$1000,ROW(),$V$5:$V$1000,"Sub"),$AB67)))</f>
        <v/>
      </c>
      <c r="AG67" s="62">
        <f>IF($V67&lt;&gt;"Macro","",IF(COUNTIFS($S$5:$S$1000,$S67,$V$5:$V$1000,"Macro",$H$5:$H$1000,"&gt;0")=0,1/COUNTIFS($S$5:$S$1000,$S67,$V$5:$V$1000,"Macro"),IF(AND(ISNUMBER($H67),N($H67)&gt;0),$H67,SUMIFS($H$5:$H$1000,$S$5:$S$1000,$S67,$V$5:$V$1000,"Macro")/COUNTIFS($S$5:$S$1000,$S67,$V$5:$V$1000,"Macro",$H$5:$H$1000,"&gt;0"))/(COUNTIFS($S$5:$S$1000,$S67,$V$5:$V$1000,"Macro")*SUMIFS($H$5:$H$1000,$S$5:$S$1000,$S67,$V$5:$V$1000,"Macro")/COUNTIFS($S$5:$S$1000,$S67,$V$5:$V$1000,"Macro",$H$5:$H$1000,"&gt;0"))))</f>
        <v/>
      </c>
      <c r="AH67" s="62" t="n"/>
      <c r="AI67" s="62" t="n"/>
      <c r="AJ67" s="62" t="n"/>
      <c r="AK67" s="62" t="n"/>
      <c r="AL67" s="62">
        <f>IF(LEFT($C67,11)="[Jefatura] ",IFERROR(MATCH("Riesgo Operacional|"&amp;MID($C67,12,500),rDname_ADM,0),0),"")</f>
        <v/>
      </c>
      <c r="AM67" s="62">
        <f>IF(N($AL67)&gt;0,INDEX(rIni_ADM,$AL67),IF(ISNUMBER($E67),$E67,""))</f>
        <v/>
      </c>
      <c r="AN67" s="62">
        <f>IF(N($AL67)&gt;0,INDEX(rLim_ADM,$AL67),IF(ISNUMBER($F67),$F67,""))</f>
        <v/>
      </c>
    </row>
    <row r="68">
      <c r="A68" s="56">
        <f>IF(NOT((COUNTA($B68:$D68)+COUNTA($G68:$L68)+COUNTA($Q68))&gt;0),"",IF($V68="Macro",COUNTIFS($V$5:$V68,"Macro",$S$5:$S68,$S68),IF(N($U68)=0,"?",COUNTIFS(INDEX($V$5:$V$1000,1):INDEX($V$5:$V$1000,$U68-4),"Macro",INDEX($S$5:$S$1000,1):INDEX($S$5:$S$1000,$U68-4),INDEX($S$5:$S$1000,$U68-4))&amp;"."&amp;COUNTIFS($U$5:$U68,$U68,$V$5:$V68,"Sub"))))</f>
        <v/>
      </c>
      <c r="B68" s="57" t="n"/>
      <c r="C68" s="58" t="n"/>
      <c r="D68" s="58" t="n"/>
      <c r="E68" s="59">
        <f>IF(N($AL68)&gt;0,INDEX(rIni_ADM,$AL68),"")</f>
        <v/>
      </c>
      <c r="F68" s="59">
        <f>IF(N($AL68)&gt;0,INDEX(rLim_ADM,$AL68),"")</f>
        <v/>
      </c>
      <c r="G68" s="59" t="n"/>
      <c r="H68" s="60" t="n"/>
      <c r="I68" s="60" t="n"/>
      <c r="J68" s="60" t="n"/>
      <c r="K68" s="60" t="n"/>
      <c r="L68" s="60" t="n"/>
      <c r="M68" s="61">
        <f>IF(NOT((COUNTA($B68:$D68)+COUNTA($G68:$L68)+COUNTA($Q68))&gt;0),"",IF($V68="Sub",IFERROR($X68/INDEX($W$5:$W$1000,$U68-4),""),IF(ISNUMBER($G68),1,IF(N($W68)&gt;0,AVERAGEIFS($X$5:$X$1000,$U$5:$U$1000,ROW(),$V$5:$V$1000,"Sub"),$X68))))</f>
        <v/>
      </c>
      <c r="N68" s="56">
        <f>IF(OR($M68="",$V68="Sub"),"",IF($M68&gt;=1,"Completado",IF($M68&gt;0,"En curso","Pendiente")))</f>
        <v/>
      </c>
      <c r="O68" s="56">
        <f>IF(OR(NOT((COUNTA($B68:$D68)+COUNTA($G68:$L68)+COUNTA($Q68))&gt;0),$V68="Sub"),"",IF(ISNUMBER($G68),IF(AND(ISNUMBER($AN68),$G68&gt;$AN68),"Cumplida con "&amp;($G68-$AN68)&amp;IF($G68-$AN68=1," día"," días")&amp;" de retraso","Cumplida"),IF(N($M68)&gt;=1,"Cumplida",IF(NOT(ISNUMBER($AN68)),"Sin fecha límite",IF($AN68&lt;FechaRef,"Vencida hace "&amp;(FechaRef-$AN68)&amp;IF(FechaRef-$AN68=1," día"," días"),IF($AN68=FechaRef,"Vence hoy",IF($AN68-FechaRef&lt;=DiasAlerta,"Vence en "&amp;($AN68-FechaRef)&amp;IF($AN68-FechaRef=1," día"," días"),"En plazo")))))))</f>
        <v/>
      </c>
      <c r="P68" s="62" t="n"/>
      <c r="Q68" s="58" t="n"/>
      <c r="R68" s="63">
        <f>IF(NOT((COUNTA($B68:$D68)+COUNTA($G68:$L68)+COUNTA($Q68))&gt;0),"",IF((IF($C68="","Falta el nombre de la actividad"&amp;" · ","")&amp;IF(AND($V68="Sub",N($U68)=0),"Subactividad sin macroactividad arriba"&amp;" · ","")&amp;IF($AM68="","Sin fecha de inicio"&amp;" · ","")&amp;IF($AN68="","Sin fecha límite"&amp;" · ","")&amp;IF(AND(LEFT($C68,11)="[Jefatura] ",N($AL68)=0),"No se encuentra en la hoja de la jefatura (elíjala de nuevo en la lista)"&amp;" · ","")&amp;IF(OR(AND($E68&lt;&gt;"",NOT(ISNUMBER($E68))),AND($F68&lt;&gt;"",NOT(ISNUMBER($F68))),AND($G68&lt;&gt;"",NOT(ISNUMBER($G68)))),"Fecha no válida"&amp;" · ","")&amp;IF(AND(ISNUMBER($AM68),ISNUMBER($AN68),$AM68&gt;$AN68),"Inicio posterior a fecha límite"&amp;" · ","")&amp;IF(AND($V68="Macro",$H68&lt;&gt;"",OR(NOT(ISNUMBER($H68)),$H68&lt;0,$H68&gt;1)),"Peso fuera de rango"&amp;" · ","")&amp;IF(AND($V68="Sub",$H68&lt;&gt;""),"Las subactividades no llevan peso (valen igual dentro de su macroactividad)"&amp;" · ","")&amp;IF(AND(N($W68)&gt;0,COUNT($I68:$L68)&gt;0),"Con subactividades: deje vacías las semanas (se calculan solas)"&amp;" · ","")&amp;IF((COUNTIF($I68:$L68,"&gt;1")+COUNTIF($I68:$L68,"&lt;0")+COUNTA($I68:$L68)-COUNT($I68:$L68))&gt;0,"Avance fuera de rango 0-100%"&amp;" · ","")&amp;IF(OR(AND($J68&lt;&gt;"",$J68&lt;$I68),AND($K68&lt;&gt;"",$K68&lt;MAX($I68:$J68)),AND($L68&lt;&gt;"",$L68&lt;MAX($I68:$K68))),"Avance semanal decreciente"&amp;" · ","")&amp;IF(AND(ISNUMBER($AN68),$AN68&lt;FechaRef,IF($V68="Sub",N($X68),N($M68))&lt;1),"Vencida"&amp;" · ","")&amp;IF(AND(ObsObligatoria="Sí",ISNUMBER($AN68),$AN68&lt;FechaRef,IF($V68="Sub",N($X68),N($M68))&lt;1,$Q68=""),"Vencida sin observación"&amp;" · ",""))="","✔ OK","⚠ "&amp;LEFT(IF($C68="","Falta el nombre de la actividad"&amp;" · ","")&amp;IF(AND($V68="Sub",N($U68)=0),"Subactividad sin macroactividad arriba"&amp;" · ","")&amp;IF($AM68="","Sin fecha de inicio"&amp;" · ","")&amp;IF($AN68="","Sin fecha límite"&amp;" · ","")&amp;IF(AND(LEFT($C68,11)="[Jefatura] ",N($AL68)=0),"No se encuentra en la hoja de la jefatura (elíjala de nuevo en la lista)"&amp;" · ","")&amp;IF(OR(AND($E68&lt;&gt;"",NOT(ISNUMBER($E68))),AND($F68&lt;&gt;"",NOT(ISNUMBER($F68))),AND($G68&lt;&gt;"",NOT(ISNUMBER($G68)))),"Fecha no válida"&amp;" · ","")&amp;IF(AND(ISNUMBER($AM68),ISNUMBER($AN68),$AM68&gt;$AN68),"Inicio posterior a fecha límite"&amp;" · ","")&amp;IF(AND($V68="Macro",$H68&lt;&gt;"",OR(NOT(ISNUMBER($H68)),$H68&lt;0,$H68&gt;1)),"Peso fuera de rango"&amp;" · ","")&amp;IF(AND($V68="Sub",$H68&lt;&gt;""),"Las subactividades no llevan peso (valen igual dentro de su macroactividad)"&amp;" · ","")&amp;IF(AND(N($W68)&gt;0,COUNT($I68:$L68)&gt;0),"Con subactividades: deje vacías las semanas (se calculan solas)"&amp;" · ","")&amp;IF((COUNTIF($I68:$L68,"&gt;1")+COUNTIF($I68:$L68,"&lt;0")+COUNTA($I68:$L68)-COUNT($I68:$L68))&gt;0,"Avance fuera de rango 0-100%"&amp;" · ","")&amp;IF(OR(AND($J68&lt;&gt;"",$J68&lt;$I68),AND($K68&lt;&gt;"",$K68&lt;MAX($I68:$J68)),AND($L68&lt;&gt;"",$L68&lt;MAX($I68:$K68))),"Avance semanal decreciente"&amp;" · ","")&amp;IF(AND(ISNUMBER($AN68),$AN68&lt;FechaRef,IF($V68="Sub",N($X68),N($M68))&lt;1),"Vencida"&amp;" · ","")&amp;IF(AND(ObsObligatoria="Sí",ISNUMBER($AN68),$AN68&lt;FechaRef,IF($V68="Sub",N($X68),N($M68))&lt;1,$Q68=""),"Vencida sin observación"&amp;" · ",""),LEN(IF($C68="","Falta el nombre de la actividad"&amp;" · ","")&amp;IF(AND($V68="Sub",N($U68)=0),"Subactividad sin macroactividad arriba"&amp;" · ","")&amp;IF($AM68="","Sin fecha de inicio"&amp;" · ","")&amp;IF($AN68="","Sin fecha límite"&amp;" · ","")&amp;IF(AND(LEFT($C68,11)="[Jefatura] ",N($AL68)=0),"No se encuentra en la hoja de la jefatura (elíjala de nuevo en la lista)"&amp;" · ","")&amp;IF(OR(AND($E68&lt;&gt;"",NOT(ISNUMBER($E68))),AND($F68&lt;&gt;"",NOT(ISNUMBER($F68))),AND($G68&lt;&gt;"",NOT(ISNUMBER($G68)))),"Fecha no válida"&amp;" · ","")&amp;IF(AND(ISNUMBER($AM68),ISNUMBER($AN68),$AM68&gt;$AN68),"Inicio posterior a fecha límite"&amp;" · ","")&amp;IF(AND($V68="Macro",$H68&lt;&gt;"",OR(NOT(ISNUMBER($H68)),$H68&lt;0,$H68&gt;1)),"Peso fuera de rango"&amp;" · ","")&amp;IF(AND($V68="Sub",$H68&lt;&gt;""),"Las subactividades no llevan peso (valen igual dentro de su macroactividad)"&amp;" · ","")&amp;IF(AND(N($W68)&gt;0,COUNT($I68:$L68)&gt;0),"Con subactividades: deje vacías las semanas (se calculan solas)"&amp;" · ","")&amp;IF((COUNTIF($I68:$L68,"&gt;1")+COUNTIF($I68:$L68,"&lt;0")+COUNTA($I68:$L68)-COUNT($I68:$L68))&gt;0,"Avance fuera de rango 0-100%"&amp;" · ","")&amp;IF(OR(AND($J68&lt;&gt;"",$J68&lt;$I68),AND($K68&lt;&gt;"",$K68&lt;MAX($I68:$J68)),AND($L68&lt;&gt;"",$L68&lt;MAX($I68:$K68))),"Avance semanal decreciente"&amp;" · ","")&amp;IF(AND(ISNUMBER($AN68),$AN68&lt;FechaRef,IF($V68="Sub",N($X68),N($M68))&lt;1),"Vencida"&amp;" · ","")&amp;IF(AND(ObsObligatoria="Sí",ISNUMBER($AN68),$AN68&lt;FechaRef,IF($V68="Sub",N($X68),N($M68))&lt;1,$Q68=""),"Vencida sin observación"&amp;" · ",""))-3)))</f>
        <v/>
      </c>
      <c r="S68" s="64">
        <f>IF(NOT((COUNTA($B68:$D68)+COUNTA($G68:$L68)+COUNTA($Q68))&gt;0),"",IF(AND($V68="Sub",N($U68)&gt;0),IF(ISNUMBER(INDEX($AM$5:$AM$1000,$U68-4)),DATE(YEAR(INDEX($AM$5:$AM$1000,$U68-4)),MONTH(INDEX($AM$5:$AM$1000,$U68-4)),1),IF(ISNUMBER(INDEX($AN$5:$AN$1000,$U68-4)),DATE(YEAR(INDEX($AN$5:$AN$1000,$U68-4)),MONTH(INDEX($AN$5:$AN$1000,$U68-4)),1),MesCiclo)),IF(ISNUMBER($AM68),DATE(YEAR($AM68),MONTH($AM68),1),IF(ISNUMBER($AN68),DATE(YEAR($AN68),MONTH($AN68),1),MesCiclo))))</f>
        <v/>
      </c>
      <c r="T68" s="62">
        <f>IF(OR($S68="",$S68&lt;&gt;MesCiclo,$V68&lt;&gt;"Macro"),"",COUNTIFS($S$5:$S68,MesCiclo,$V$5:$V68,"Macro"))</f>
        <v/>
      </c>
      <c r="U68" s="62">
        <f>IF($V68="","",IF($V68="Macro",ROW(),IFERROR(LOOKUP(2,1/($V$5:$V68="Macro"),ROW($V$5:$V68)),0)))</f>
        <v/>
      </c>
      <c r="V68" s="62">
        <f>IF(NOT((COUNTA($B68:$D68)+COUNTA($G68:$L68)+COUNTA($Q68))&gt;0),"",IF($B68="Subactividad","Sub","Macro"))</f>
        <v/>
      </c>
      <c r="W68" s="62">
        <f>IF($V68="Macro",COUNTIFS($U$5:$U$1000,ROW(),$V$5:$V$1000,"Sub"),"")</f>
        <v/>
      </c>
      <c r="X68" s="62">
        <f>IF($V68="","",IF(ISNUMBER($G68),1,IFERROR(LOOKUP(2,1/($I68:$L68&lt;&gt;""),$I68:$L68),0)))</f>
        <v/>
      </c>
      <c r="Y68" s="62">
        <f>IF($V68="","",IF(AND(ISNUMBER($G68),$G68&lt;=IF($S68=MesCiclo,InicioCiclo,$S68+MOD(2-WEEKDAY($S68),7))+6),1,IF(ISNUMBER($I68),$I68,0)))</f>
        <v/>
      </c>
      <c r="Z68" s="62">
        <f>IF($V68="","",IF(AND(ISNUMBER($G68),$G68&lt;=IF($S68=MesCiclo,InicioCiclo,$S68+MOD(2-WEEKDAY($S68),7))+13),1,IF(ISNUMBER($J68),$J68,$Y68)))</f>
        <v/>
      </c>
      <c r="AA68" s="62">
        <f>IF($V68="","",IF(AND(ISNUMBER($G68),$G68&lt;=IF($S68=MesCiclo,InicioCiclo,$S68+MOD(2-WEEKDAY($S68),7))+20),1,IF(ISNUMBER($K68),$K68,$Z68)))</f>
        <v/>
      </c>
      <c r="AB68" s="62">
        <f>IF($V68="","",IF(AND(ISNUMBER($G68),$G68&lt;=IF($S68=MesCiclo,InicioCiclo,$S68+MOD(2-WEEKDAY($S68),7))+27),1,IF(ISNUMBER($L68),$L68,$AA68)))</f>
        <v/>
      </c>
      <c r="AC68" s="62">
        <f>IF($V68="","",IF(AND(ISNUMBER($G68),$G68&lt;=IF($S68=MesCiclo,InicioCiclo,$S68+MOD(2-WEEKDAY($S68),7))+6),1,IF(N($W68)&gt;0,AVERAGEIFS($Y$5:$Y$1000,$U$5:$U$1000,ROW(),$V$5:$V$1000,"Sub"),$Y68)))</f>
        <v/>
      </c>
      <c r="AD68" s="62">
        <f>IF($V68="","",IF(AND(ISNUMBER($G68),$G68&lt;=IF($S68=MesCiclo,InicioCiclo,$S68+MOD(2-WEEKDAY($S68),7))+13),1,IF(N($W68)&gt;0,AVERAGEIFS($Z$5:$Z$1000,$U$5:$U$1000,ROW(),$V$5:$V$1000,"Sub"),$Z68)))</f>
        <v/>
      </c>
      <c r="AE68" s="62">
        <f>IF($V68="","",IF(AND(ISNUMBER($G68),$G68&lt;=IF($S68=MesCiclo,InicioCiclo,$S68+MOD(2-WEEKDAY($S68),7))+20),1,IF(N($W68)&gt;0,AVERAGEIFS($AA$5:$AA$1000,$U$5:$U$1000,ROW(),$V$5:$V$1000,"Sub"),$AA68)))</f>
        <v/>
      </c>
      <c r="AF68" s="62">
        <f>IF($V68="","",IF(AND(ISNUMBER($G68),$G68&lt;=IF($S68=MesCiclo,InicioCiclo,$S68+MOD(2-WEEKDAY($S68),7))+27),1,IF(N($W68)&gt;0,AVERAGEIFS($AB$5:$AB$1000,$U$5:$U$1000,ROW(),$V$5:$V$1000,"Sub"),$AB68)))</f>
        <v/>
      </c>
      <c r="AG68" s="62">
        <f>IF($V68&lt;&gt;"Macro","",IF(COUNTIFS($S$5:$S$1000,$S68,$V$5:$V$1000,"Macro",$H$5:$H$1000,"&gt;0")=0,1/COUNTIFS($S$5:$S$1000,$S68,$V$5:$V$1000,"Macro"),IF(AND(ISNUMBER($H68),N($H68)&gt;0),$H68,SUMIFS($H$5:$H$1000,$S$5:$S$1000,$S68,$V$5:$V$1000,"Macro")/COUNTIFS($S$5:$S$1000,$S68,$V$5:$V$1000,"Macro",$H$5:$H$1000,"&gt;0"))/(COUNTIFS($S$5:$S$1000,$S68,$V$5:$V$1000,"Macro")*SUMIFS($H$5:$H$1000,$S$5:$S$1000,$S68,$V$5:$V$1000,"Macro")/COUNTIFS($S$5:$S$1000,$S68,$V$5:$V$1000,"Macro",$H$5:$H$1000,"&gt;0"))))</f>
        <v/>
      </c>
      <c r="AH68" s="62" t="n"/>
      <c r="AI68" s="62" t="n"/>
      <c r="AJ68" s="62" t="n"/>
      <c r="AK68" s="62" t="n"/>
      <c r="AL68" s="62">
        <f>IF(LEFT($C68,11)="[Jefatura] ",IFERROR(MATCH("Riesgo Operacional|"&amp;MID($C68,12,500),rDname_ADM,0),0),"")</f>
        <v/>
      </c>
      <c r="AM68" s="62">
        <f>IF(N($AL68)&gt;0,INDEX(rIni_ADM,$AL68),IF(ISNUMBER($E68),$E68,""))</f>
        <v/>
      </c>
      <c r="AN68" s="62">
        <f>IF(N($AL68)&gt;0,INDEX(rLim_ADM,$AL68),IF(ISNUMBER($F68),$F68,""))</f>
        <v/>
      </c>
    </row>
    <row r="69">
      <c r="A69" s="56">
        <f>IF(NOT((COUNTA($B69:$D69)+COUNTA($G69:$L69)+COUNTA($Q69))&gt;0),"",IF($V69="Macro",COUNTIFS($V$5:$V69,"Macro",$S$5:$S69,$S69),IF(N($U69)=0,"?",COUNTIFS(INDEX($V$5:$V$1000,1):INDEX($V$5:$V$1000,$U69-4),"Macro",INDEX($S$5:$S$1000,1):INDEX($S$5:$S$1000,$U69-4),INDEX($S$5:$S$1000,$U69-4))&amp;"."&amp;COUNTIFS($U$5:$U69,$U69,$V$5:$V69,"Sub"))))</f>
        <v/>
      </c>
      <c r="B69" s="57" t="n"/>
      <c r="C69" s="58" t="n"/>
      <c r="D69" s="58" t="n"/>
      <c r="E69" s="59">
        <f>IF(N($AL69)&gt;0,INDEX(rIni_ADM,$AL69),"")</f>
        <v/>
      </c>
      <c r="F69" s="59">
        <f>IF(N($AL69)&gt;0,INDEX(rLim_ADM,$AL69),"")</f>
        <v/>
      </c>
      <c r="G69" s="59" t="n"/>
      <c r="H69" s="60" t="n"/>
      <c r="I69" s="60" t="n"/>
      <c r="J69" s="60" t="n"/>
      <c r="K69" s="60" t="n"/>
      <c r="L69" s="60" t="n"/>
      <c r="M69" s="61">
        <f>IF(NOT((COUNTA($B69:$D69)+COUNTA($G69:$L69)+COUNTA($Q69))&gt;0),"",IF($V69="Sub",IFERROR($X69/INDEX($W$5:$W$1000,$U69-4),""),IF(ISNUMBER($G69),1,IF(N($W69)&gt;0,AVERAGEIFS($X$5:$X$1000,$U$5:$U$1000,ROW(),$V$5:$V$1000,"Sub"),$X69))))</f>
        <v/>
      </c>
      <c r="N69" s="56">
        <f>IF(OR($M69="",$V69="Sub"),"",IF($M69&gt;=1,"Completado",IF($M69&gt;0,"En curso","Pendiente")))</f>
        <v/>
      </c>
      <c r="O69" s="56">
        <f>IF(OR(NOT((COUNTA($B69:$D69)+COUNTA($G69:$L69)+COUNTA($Q69))&gt;0),$V69="Sub"),"",IF(ISNUMBER($G69),IF(AND(ISNUMBER($AN69),$G69&gt;$AN69),"Cumplida con "&amp;($G69-$AN69)&amp;IF($G69-$AN69=1," día"," días")&amp;" de retraso","Cumplida"),IF(N($M69)&gt;=1,"Cumplida",IF(NOT(ISNUMBER($AN69)),"Sin fecha límite",IF($AN69&lt;FechaRef,"Vencida hace "&amp;(FechaRef-$AN69)&amp;IF(FechaRef-$AN69=1," día"," días"),IF($AN69=FechaRef,"Vence hoy",IF($AN69-FechaRef&lt;=DiasAlerta,"Vence en "&amp;($AN69-FechaRef)&amp;IF($AN69-FechaRef=1," día"," días"),"En plazo")))))))</f>
        <v/>
      </c>
      <c r="P69" s="62" t="n"/>
      <c r="Q69" s="58" t="n"/>
      <c r="R69" s="63">
        <f>IF(NOT((COUNTA($B69:$D69)+COUNTA($G69:$L69)+COUNTA($Q69))&gt;0),"",IF((IF($C69="","Falta el nombre de la actividad"&amp;" · ","")&amp;IF(AND($V69="Sub",N($U69)=0),"Subactividad sin macroactividad arriba"&amp;" · ","")&amp;IF($AM69="","Sin fecha de inicio"&amp;" · ","")&amp;IF($AN69="","Sin fecha límite"&amp;" · ","")&amp;IF(AND(LEFT($C69,11)="[Jefatura] ",N($AL69)=0),"No se encuentra en la hoja de la jefatura (elíjala de nuevo en la lista)"&amp;" · ","")&amp;IF(OR(AND($E69&lt;&gt;"",NOT(ISNUMBER($E69))),AND($F69&lt;&gt;"",NOT(ISNUMBER($F69))),AND($G69&lt;&gt;"",NOT(ISNUMBER($G69)))),"Fecha no válida"&amp;" · ","")&amp;IF(AND(ISNUMBER($AM69),ISNUMBER($AN69),$AM69&gt;$AN69),"Inicio posterior a fecha límite"&amp;" · ","")&amp;IF(AND($V69="Macro",$H69&lt;&gt;"",OR(NOT(ISNUMBER($H69)),$H69&lt;0,$H69&gt;1)),"Peso fuera de rango"&amp;" · ","")&amp;IF(AND($V69="Sub",$H69&lt;&gt;""),"Las subactividades no llevan peso (valen igual dentro de su macroactividad)"&amp;" · ","")&amp;IF(AND(N($W69)&gt;0,COUNT($I69:$L69)&gt;0),"Con subactividades: deje vacías las semanas (se calculan solas)"&amp;" · ","")&amp;IF((COUNTIF($I69:$L69,"&gt;1")+COUNTIF($I69:$L69,"&lt;0")+COUNTA($I69:$L69)-COUNT($I69:$L69))&gt;0,"Avance fuera de rango 0-100%"&amp;" · ","")&amp;IF(OR(AND($J69&lt;&gt;"",$J69&lt;$I69),AND($K69&lt;&gt;"",$K69&lt;MAX($I69:$J69)),AND($L69&lt;&gt;"",$L69&lt;MAX($I69:$K69))),"Avance semanal decreciente"&amp;" · ","")&amp;IF(AND(ISNUMBER($AN69),$AN69&lt;FechaRef,IF($V69="Sub",N($X69),N($M69))&lt;1),"Vencida"&amp;" · ","")&amp;IF(AND(ObsObligatoria="Sí",ISNUMBER($AN69),$AN69&lt;FechaRef,IF($V69="Sub",N($X69),N($M69))&lt;1,$Q69=""),"Vencida sin observación"&amp;" · ",""))="","✔ OK","⚠ "&amp;LEFT(IF($C69="","Falta el nombre de la actividad"&amp;" · ","")&amp;IF(AND($V69="Sub",N($U69)=0),"Subactividad sin macroactividad arriba"&amp;" · ","")&amp;IF($AM69="","Sin fecha de inicio"&amp;" · ","")&amp;IF($AN69="","Sin fecha límite"&amp;" · ","")&amp;IF(AND(LEFT($C69,11)="[Jefatura] ",N($AL69)=0),"No se encuentra en la hoja de la jefatura (elíjala de nuevo en la lista)"&amp;" · ","")&amp;IF(OR(AND($E69&lt;&gt;"",NOT(ISNUMBER($E69))),AND($F69&lt;&gt;"",NOT(ISNUMBER($F69))),AND($G69&lt;&gt;"",NOT(ISNUMBER($G69)))),"Fecha no válida"&amp;" · ","")&amp;IF(AND(ISNUMBER($AM69),ISNUMBER($AN69),$AM69&gt;$AN69),"Inicio posterior a fecha límite"&amp;" · ","")&amp;IF(AND($V69="Macro",$H69&lt;&gt;"",OR(NOT(ISNUMBER($H69)),$H69&lt;0,$H69&gt;1)),"Peso fuera de rango"&amp;" · ","")&amp;IF(AND($V69="Sub",$H69&lt;&gt;""),"Las subactividades no llevan peso (valen igual dentro de su macroactividad)"&amp;" · ","")&amp;IF(AND(N($W69)&gt;0,COUNT($I69:$L69)&gt;0),"Con subactividades: deje vacías las semanas (se calculan solas)"&amp;" · ","")&amp;IF((COUNTIF($I69:$L69,"&gt;1")+COUNTIF($I69:$L69,"&lt;0")+COUNTA($I69:$L69)-COUNT($I69:$L69))&gt;0,"Avance fuera de rango 0-100%"&amp;" · ","")&amp;IF(OR(AND($J69&lt;&gt;"",$J69&lt;$I69),AND($K69&lt;&gt;"",$K69&lt;MAX($I69:$J69)),AND($L69&lt;&gt;"",$L69&lt;MAX($I69:$K69))),"Avance semanal decreciente"&amp;" · ","")&amp;IF(AND(ISNUMBER($AN69),$AN69&lt;FechaRef,IF($V69="Sub",N($X69),N($M69))&lt;1),"Vencida"&amp;" · ","")&amp;IF(AND(ObsObligatoria="Sí",ISNUMBER($AN69),$AN69&lt;FechaRef,IF($V69="Sub",N($X69),N($M69))&lt;1,$Q69=""),"Vencida sin observación"&amp;" · ",""),LEN(IF($C69="","Falta el nombre de la actividad"&amp;" · ","")&amp;IF(AND($V69="Sub",N($U69)=0),"Subactividad sin macroactividad arriba"&amp;" · ","")&amp;IF($AM69="","Sin fecha de inicio"&amp;" · ","")&amp;IF($AN69="","Sin fecha límite"&amp;" · ","")&amp;IF(AND(LEFT($C69,11)="[Jefatura] ",N($AL69)=0),"No se encuentra en la hoja de la jefatura (elíjala de nuevo en la lista)"&amp;" · ","")&amp;IF(OR(AND($E69&lt;&gt;"",NOT(ISNUMBER($E69))),AND($F69&lt;&gt;"",NOT(ISNUMBER($F69))),AND($G69&lt;&gt;"",NOT(ISNUMBER($G69)))),"Fecha no válida"&amp;" · ","")&amp;IF(AND(ISNUMBER($AM69),ISNUMBER($AN69),$AM69&gt;$AN69),"Inicio posterior a fecha límite"&amp;" · ","")&amp;IF(AND($V69="Macro",$H69&lt;&gt;"",OR(NOT(ISNUMBER($H69)),$H69&lt;0,$H69&gt;1)),"Peso fuera de rango"&amp;" · ","")&amp;IF(AND($V69="Sub",$H69&lt;&gt;""),"Las subactividades no llevan peso (valen igual dentro de su macroactividad)"&amp;" · ","")&amp;IF(AND(N($W69)&gt;0,COUNT($I69:$L69)&gt;0),"Con subactividades: deje vacías las semanas (se calculan solas)"&amp;" · ","")&amp;IF((COUNTIF($I69:$L69,"&gt;1")+COUNTIF($I69:$L69,"&lt;0")+COUNTA($I69:$L69)-COUNT($I69:$L69))&gt;0,"Avance fuera de rango 0-100%"&amp;" · ","")&amp;IF(OR(AND($J69&lt;&gt;"",$J69&lt;$I69),AND($K69&lt;&gt;"",$K69&lt;MAX($I69:$J69)),AND($L69&lt;&gt;"",$L69&lt;MAX($I69:$K69))),"Avance semanal decreciente"&amp;" · ","")&amp;IF(AND(ISNUMBER($AN69),$AN69&lt;FechaRef,IF($V69="Sub",N($X69),N($M69))&lt;1),"Vencida"&amp;" · ","")&amp;IF(AND(ObsObligatoria="Sí",ISNUMBER($AN69),$AN69&lt;FechaRef,IF($V69="Sub",N($X69),N($M69))&lt;1,$Q69=""),"Vencida sin observación"&amp;" · ",""))-3)))</f>
        <v/>
      </c>
      <c r="S69" s="64">
        <f>IF(NOT((COUNTA($B69:$D69)+COUNTA($G69:$L69)+COUNTA($Q69))&gt;0),"",IF(AND($V69="Sub",N($U69)&gt;0),IF(ISNUMBER(INDEX($AM$5:$AM$1000,$U69-4)),DATE(YEAR(INDEX($AM$5:$AM$1000,$U69-4)),MONTH(INDEX($AM$5:$AM$1000,$U69-4)),1),IF(ISNUMBER(INDEX($AN$5:$AN$1000,$U69-4)),DATE(YEAR(INDEX($AN$5:$AN$1000,$U69-4)),MONTH(INDEX($AN$5:$AN$1000,$U69-4)),1),MesCiclo)),IF(ISNUMBER($AM69),DATE(YEAR($AM69),MONTH($AM69),1),IF(ISNUMBER($AN69),DATE(YEAR($AN69),MONTH($AN69),1),MesCiclo))))</f>
        <v/>
      </c>
      <c r="T69" s="62">
        <f>IF(OR($S69="",$S69&lt;&gt;MesCiclo,$V69&lt;&gt;"Macro"),"",COUNTIFS($S$5:$S69,MesCiclo,$V$5:$V69,"Macro"))</f>
        <v/>
      </c>
      <c r="U69" s="62">
        <f>IF($V69="","",IF($V69="Macro",ROW(),IFERROR(LOOKUP(2,1/($V$5:$V69="Macro"),ROW($V$5:$V69)),0)))</f>
        <v/>
      </c>
      <c r="V69" s="62">
        <f>IF(NOT((COUNTA($B69:$D69)+COUNTA($G69:$L69)+COUNTA($Q69))&gt;0),"",IF($B69="Subactividad","Sub","Macro"))</f>
        <v/>
      </c>
      <c r="W69" s="62">
        <f>IF($V69="Macro",COUNTIFS($U$5:$U$1000,ROW(),$V$5:$V$1000,"Sub"),"")</f>
        <v/>
      </c>
      <c r="X69" s="62">
        <f>IF($V69="","",IF(ISNUMBER($G69),1,IFERROR(LOOKUP(2,1/($I69:$L69&lt;&gt;""),$I69:$L69),0)))</f>
        <v/>
      </c>
      <c r="Y69" s="62">
        <f>IF($V69="","",IF(AND(ISNUMBER($G69),$G69&lt;=IF($S69=MesCiclo,InicioCiclo,$S69+MOD(2-WEEKDAY($S69),7))+6),1,IF(ISNUMBER($I69),$I69,0)))</f>
        <v/>
      </c>
      <c r="Z69" s="62">
        <f>IF($V69="","",IF(AND(ISNUMBER($G69),$G69&lt;=IF($S69=MesCiclo,InicioCiclo,$S69+MOD(2-WEEKDAY($S69),7))+13),1,IF(ISNUMBER($J69),$J69,$Y69)))</f>
        <v/>
      </c>
      <c r="AA69" s="62">
        <f>IF($V69="","",IF(AND(ISNUMBER($G69),$G69&lt;=IF($S69=MesCiclo,InicioCiclo,$S69+MOD(2-WEEKDAY($S69),7))+20),1,IF(ISNUMBER($K69),$K69,$Z69)))</f>
        <v/>
      </c>
      <c r="AB69" s="62">
        <f>IF($V69="","",IF(AND(ISNUMBER($G69),$G69&lt;=IF($S69=MesCiclo,InicioCiclo,$S69+MOD(2-WEEKDAY($S69),7))+27),1,IF(ISNUMBER($L69),$L69,$AA69)))</f>
        <v/>
      </c>
      <c r="AC69" s="62">
        <f>IF($V69="","",IF(AND(ISNUMBER($G69),$G69&lt;=IF($S69=MesCiclo,InicioCiclo,$S69+MOD(2-WEEKDAY($S69),7))+6),1,IF(N($W69)&gt;0,AVERAGEIFS($Y$5:$Y$1000,$U$5:$U$1000,ROW(),$V$5:$V$1000,"Sub"),$Y69)))</f>
        <v/>
      </c>
      <c r="AD69" s="62">
        <f>IF($V69="","",IF(AND(ISNUMBER($G69),$G69&lt;=IF($S69=MesCiclo,InicioCiclo,$S69+MOD(2-WEEKDAY($S69),7))+13),1,IF(N($W69)&gt;0,AVERAGEIFS($Z$5:$Z$1000,$U$5:$U$1000,ROW(),$V$5:$V$1000,"Sub"),$Z69)))</f>
        <v/>
      </c>
      <c r="AE69" s="62">
        <f>IF($V69="","",IF(AND(ISNUMBER($G69),$G69&lt;=IF($S69=MesCiclo,InicioCiclo,$S69+MOD(2-WEEKDAY($S69),7))+20),1,IF(N($W69)&gt;0,AVERAGEIFS($AA$5:$AA$1000,$U$5:$U$1000,ROW(),$V$5:$V$1000,"Sub"),$AA69)))</f>
        <v/>
      </c>
      <c r="AF69" s="62">
        <f>IF($V69="","",IF(AND(ISNUMBER($G69),$G69&lt;=IF($S69=MesCiclo,InicioCiclo,$S69+MOD(2-WEEKDAY($S69),7))+27),1,IF(N($W69)&gt;0,AVERAGEIFS($AB$5:$AB$1000,$U$5:$U$1000,ROW(),$V$5:$V$1000,"Sub"),$AB69)))</f>
        <v/>
      </c>
      <c r="AG69" s="62">
        <f>IF($V69&lt;&gt;"Macro","",IF(COUNTIFS($S$5:$S$1000,$S69,$V$5:$V$1000,"Macro",$H$5:$H$1000,"&gt;0")=0,1/COUNTIFS($S$5:$S$1000,$S69,$V$5:$V$1000,"Macro"),IF(AND(ISNUMBER($H69),N($H69)&gt;0),$H69,SUMIFS($H$5:$H$1000,$S$5:$S$1000,$S69,$V$5:$V$1000,"Macro")/COUNTIFS($S$5:$S$1000,$S69,$V$5:$V$1000,"Macro",$H$5:$H$1000,"&gt;0"))/(COUNTIFS($S$5:$S$1000,$S69,$V$5:$V$1000,"Macro")*SUMIFS($H$5:$H$1000,$S$5:$S$1000,$S69,$V$5:$V$1000,"Macro")/COUNTIFS($S$5:$S$1000,$S69,$V$5:$V$1000,"Macro",$H$5:$H$1000,"&gt;0"))))</f>
        <v/>
      </c>
      <c r="AH69" s="62" t="n"/>
      <c r="AI69" s="62" t="n"/>
      <c r="AJ69" s="62" t="n"/>
      <c r="AK69" s="62" t="n"/>
      <c r="AL69" s="62">
        <f>IF(LEFT($C69,11)="[Jefatura] ",IFERROR(MATCH("Riesgo Operacional|"&amp;MID($C69,12,500),rDname_ADM,0),0),"")</f>
        <v/>
      </c>
      <c r="AM69" s="62">
        <f>IF(N($AL69)&gt;0,INDEX(rIni_ADM,$AL69),IF(ISNUMBER($E69),$E69,""))</f>
        <v/>
      </c>
      <c r="AN69" s="62">
        <f>IF(N($AL69)&gt;0,INDEX(rLim_ADM,$AL69),IF(ISNUMBER($F69),$F69,""))</f>
        <v/>
      </c>
    </row>
    <row r="70">
      <c r="A70" s="56">
        <f>IF(NOT((COUNTA($B70:$D70)+COUNTA($G70:$L70)+COUNTA($Q70))&gt;0),"",IF($V70="Macro",COUNTIFS($V$5:$V70,"Macro",$S$5:$S70,$S70),IF(N($U70)=0,"?",COUNTIFS(INDEX($V$5:$V$1000,1):INDEX($V$5:$V$1000,$U70-4),"Macro",INDEX($S$5:$S$1000,1):INDEX($S$5:$S$1000,$U70-4),INDEX($S$5:$S$1000,$U70-4))&amp;"."&amp;COUNTIFS($U$5:$U70,$U70,$V$5:$V70,"Sub"))))</f>
        <v/>
      </c>
      <c r="B70" s="57" t="n"/>
      <c r="C70" s="58" t="n"/>
      <c r="D70" s="58" t="n"/>
      <c r="E70" s="59">
        <f>IF(N($AL70)&gt;0,INDEX(rIni_ADM,$AL70),"")</f>
        <v/>
      </c>
      <c r="F70" s="59">
        <f>IF(N($AL70)&gt;0,INDEX(rLim_ADM,$AL70),"")</f>
        <v/>
      </c>
      <c r="G70" s="59" t="n"/>
      <c r="H70" s="60" t="n"/>
      <c r="I70" s="60" t="n"/>
      <c r="J70" s="60" t="n"/>
      <c r="K70" s="60" t="n"/>
      <c r="L70" s="60" t="n"/>
      <c r="M70" s="61">
        <f>IF(NOT((COUNTA($B70:$D70)+COUNTA($G70:$L70)+COUNTA($Q70))&gt;0),"",IF($V70="Sub",IFERROR($X70/INDEX($W$5:$W$1000,$U70-4),""),IF(ISNUMBER($G70),1,IF(N($W70)&gt;0,AVERAGEIFS($X$5:$X$1000,$U$5:$U$1000,ROW(),$V$5:$V$1000,"Sub"),$X70))))</f>
        <v/>
      </c>
      <c r="N70" s="56">
        <f>IF(OR($M70="",$V70="Sub"),"",IF($M70&gt;=1,"Completado",IF($M70&gt;0,"En curso","Pendiente")))</f>
        <v/>
      </c>
      <c r="O70" s="56">
        <f>IF(OR(NOT((COUNTA($B70:$D70)+COUNTA($G70:$L70)+COUNTA($Q70))&gt;0),$V70="Sub"),"",IF(ISNUMBER($G70),IF(AND(ISNUMBER($AN70),$G70&gt;$AN70),"Cumplida con "&amp;($G70-$AN70)&amp;IF($G70-$AN70=1," día"," días")&amp;" de retraso","Cumplida"),IF(N($M70)&gt;=1,"Cumplida",IF(NOT(ISNUMBER($AN70)),"Sin fecha límite",IF($AN70&lt;FechaRef,"Vencida hace "&amp;(FechaRef-$AN70)&amp;IF(FechaRef-$AN70=1," día"," días"),IF($AN70=FechaRef,"Vence hoy",IF($AN70-FechaRef&lt;=DiasAlerta,"Vence en "&amp;($AN70-FechaRef)&amp;IF($AN70-FechaRef=1," día"," días"),"En plazo")))))))</f>
        <v/>
      </c>
      <c r="P70" s="62" t="n"/>
      <c r="Q70" s="58" t="n"/>
      <c r="R70" s="63">
        <f>IF(NOT((COUNTA($B70:$D70)+COUNTA($G70:$L70)+COUNTA($Q70))&gt;0),"",IF((IF($C70="","Falta el nombre de la actividad"&amp;" · ","")&amp;IF(AND($V70="Sub",N($U70)=0),"Subactividad sin macroactividad arriba"&amp;" · ","")&amp;IF($AM70="","Sin fecha de inicio"&amp;" · ","")&amp;IF($AN70="","Sin fecha límite"&amp;" · ","")&amp;IF(AND(LEFT($C70,11)="[Jefatura] ",N($AL70)=0),"No se encuentra en la hoja de la jefatura (elíjala de nuevo en la lista)"&amp;" · ","")&amp;IF(OR(AND($E70&lt;&gt;"",NOT(ISNUMBER($E70))),AND($F70&lt;&gt;"",NOT(ISNUMBER($F70))),AND($G70&lt;&gt;"",NOT(ISNUMBER($G70)))),"Fecha no válida"&amp;" · ","")&amp;IF(AND(ISNUMBER($AM70),ISNUMBER($AN70),$AM70&gt;$AN70),"Inicio posterior a fecha límite"&amp;" · ","")&amp;IF(AND($V70="Macro",$H70&lt;&gt;"",OR(NOT(ISNUMBER($H70)),$H70&lt;0,$H70&gt;1)),"Peso fuera de rango"&amp;" · ","")&amp;IF(AND($V70="Sub",$H70&lt;&gt;""),"Las subactividades no llevan peso (valen igual dentro de su macroactividad)"&amp;" · ","")&amp;IF(AND(N($W70)&gt;0,COUNT($I70:$L70)&gt;0),"Con subactividades: deje vacías las semanas (se calculan solas)"&amp;" · ","")&amp;IF((COUNTIF($I70:$L70,"&gt;1")+COUNTIF($I70:$L70,"&lt;0")+COUNTA($I70:$L70)-COUNT($I70:$L70))&gt;0,"Avance fuera de rango 0-100%"&amp;" · ","")&amp;IF(OR(AND($J70&lt;&gt;"",$J70&lt;$I70),AND($K70&lt;&gt;"",$K70&lt;MAX($I70:$J70)),AND($L70&lt;&gt;"",$L70&lt;MAX($I70:$K70))),"Avance semanal decreciente"&amp;" · ","")&amp;IF(AND(ISNUMBER($AN70),$AN70&lt;FechaRef,IF($V70="Sub",N($X70),N($M70))&lt;1),"Vencida"&amp;" · ","")&amp;IF(AND(ObsObligatoria="Sí",ISNUMBER($AN70),$AN70&lt;FechaRef,IF($V70="Sub",N($X70),N($M70))&lt;1,$Q70=""),"Vencida sin observación"&amp;" · ",""))="","✔ OK","⚠ "&amp;LEFT(IF($C70="","Falta el nombre de la actividad"&amp;" · ","")&amp;IF(AND($V70="Sub",N($U70)=0),"Subactividad sin macroactividad arriba"&amp;" · ","")&amp;IF($AM70="","Sin fecha de inicio"&amp;" · ","")&amp;IF($AN70="","Sin fecha límite"&amp;" · ","")&amp;IF(AND(LEFT($C70,11)="[Jefatura] ",N($AL70)=0),"No se encuentra en la hoja de la jefatura (elíjala de nuevo en la lista)"&amp;" · ","")&amp;IF(OR(AND($E70&lt;&gt;"",NOT(ISNUMBER($E70))),AND($F70&lt;&gt;"",NOT(ISNUMBER($F70))),AND($G70&lt;&gt;"",NOT(ISNUMBER($G70)))),"Fecha no válida"&amp;" · ","")&amp;IF(AND(ISNUMBER($AM70),ISNUMBER($AN70),$AM70&gt;$AN70),"Inicio posterior a fecha límite"&amp;" · ","")&amp;IF(AND($V70="Macro",$H70&lt;&gt;"",OR(NOT(ISNUMBER($H70)),$H70&lt;0,$H70&gt;1)),"Peso fuera de rango"&amp;" · ","")&amp;IF(AND($V70="Sub",$H70&lt;&gt;""),"Las subactividades no llevan peso (valen igual dentro de su macroactividad)"&amp;" · ","")&amp;IF(AND(N($W70)&gt;0,COUNT($I70:$L70)&gt;0),"Con subactividades: deje vacías las semanas (se calculan solas)"&amp;" · ","")&amp;IF((COUNTIF($I70:$L70,"&gt;1")+COUNTIF($I70:$L70,"&lt;0")+COUNTA($I70:$L70)-COUNT($I70:$L70))&gt;0,"Avance fuera de rango 0-100%"&amp;" · ","")&amp;IF(OR(AND($J70&lt;&gt;"",$J70&lt;$I70),AND($K70&lt;&gt;"",$K70&lt;MAX($I70:$J70)),AND($L70&lt;&gt;"",$L70&lt;MAX($I70:$K70))),"Avance semanal decreciente"&amp;" · ","")&amp;IF(AND(ISNUMBER($AN70),$AN70&lt;FechaRef,IF($V70="Sub",N($X70),N($M70))&lt;1),"Vencida"&amp;" · ","")&amp;IF(AND(ObsObligatoria="Sí",ISNUMBER($AN70),$AN70&lt;FechaRef,IF($V70="Sub",N($X70),N($M70))&lt;1,$Q70=""),"Vencida sin observación"&amp;" · ",""),LEN(IF($C70="","Falta el nombre de la actividad"&amp;" · ","")&amp;IF(AND($V70="Sub",N($U70)=0),"Subactividad sin macroactividad arriba"&amp;" · ","")&amp;IF($AM70="","Sin fecha de inicio"&amp;" · ","")&amp;IF($AN70="","Sin fecha límite"&amp;" · ","")&amp;IF(AND(LEFT($C70,11)="[Jefatura] ",N($AL70)=0),"No se encuentra en la hoja de la jefatura (elíjala de nuevo en la lista)"&amp;" · ","")&amp;IF(OR(AND($E70&lt;&gt;"",NOT(ISNUMBER($E70))),AND($F70&lt;&gt;"",NOT(ISNUMBER($F70))),AND($G70&lt;&gt;"",NOT(ISNUMBER($G70)))),"Fecha no válida"&amp;" · ","")&amp;IF(AND(ISNUMBER($AM70),ISNUMBER($AN70),$AM70&gt;$AN70),"Inicio posterior a fecha límite"&amp;" · ","")&amp;IF(AND($V70="Macro",$H70&lt;&gt;"",OR(NOT(ISNUMBER($H70)),$H70&lt;0,$H70&gt;1)),"Peso fuera de rango"&amp;" · ","")&amp;IF(AND($V70="Sub",$H70&lt;&gt;""),"Las subactividades no llevan peso (valen igual dentro de su macroactividad)"&amp;" · ","")&amp;IF(AND(N($W70)&gt;0,COUNT($I70:$L70)&gt;0),"Con subactividades: deje vacías las semanas (se calculan solas)"&amp;" · ","")&amp;IF((COUNTIF($I70:$L70,"&gt;1")+COUNTIF($I70:$L70,"&lt;0")+COUNTA($I70:$L70)-COUNT($I70:$L70))&gt;0,"Avance fuera de rango 0-100%"&amp;" · ","")&amp;IF(OR(AND($J70&lt;&gt;"",$J70&lt;$I70),AND($K70&lt;&gt;"",$K70&lt;MAX($I70:$J70)),AND($L70&lt;&gt;"",$L70&lt;MAX($I70:$K70))),"Avance semanal decreciente"&amp;" · ","")&amp;IF(AND(ISNUMBER($AN70),$AN70&lt;FechaRef,IF($V70="Sub",N($X70),N($M70))&lt;1),"Vencida"&amp;" · ","")&amp;IF(AND(ObsObligatoria="Sí",ISNUMBER($AN70),$AN70&lt;FechaRef,IF($V70="Sub",N($X70),N($M70))&lt;1,$Q70=""),"Vencida sin observación"&amp;" · ",""))-3)))</f>
        <v/>
      </c>
      <c r="S70" s="64">
        <f>IF(NOT((COUNTA($B70:$D70)+COUNTA($G70:$L70)+COUNTA($Q70))&gt;0),"",IF(AND($V70="Sub",N($U70)&gt;0),IF(ISNUMBER(INDEX($AM$5:$AM$1000,$U70-4)),DATE(YEAR(INDEX($AM$5:$AM$1000,$U70-4)),MONTH(INDEX($AM$5:$AM$1000,$U70-4)),1),IF(ISNUMBER(INDEX($AN$5:$AN$1000,$U70-4)),DATE(YEAR(INDEX($AN$5:$AN$1000,$U70-4)),MONTH(INDEX($AN$5:$AN$1000,$U70-4)),1),MesCiclo)),IF(ISNUMBER($AM70),DATE(YEAR($AM70),MONTH($AM70),1),IF(ISNUMBER($AN70),DATE(YEAR($AN70),MONTH($AN70),1),MesCiclo))))</f>
        <v/>
      </c>
      <c r="T70" s="62">
        <f>IF(OR($S70="",$S70&lt;&gt;MesCiclo,$V70&lt;&gt;"Macro"),"",COUNTIFS($S$5:$S70,MesCiclo,$V$5:$V70,"Macro"))</f>
        <v/>
      </c>
      <c r="U70" s="62">
        <f>IF($V70="","",IF($V70="Macro",ROW(),IFERROR(LOOKUP(2,1/($V$5:$V70="Macro"),ROW($V$5:$V70)),0)))</f>
        <v/>
      </c>
      <c r="V70" s="62">
        <f>IF(NOT((COUNTA($B70:$D70)+COUNTA($G70:$L70)+COUNTA($Q70))&gt;0),"",IF($B70="Subactividad","Sub","Macro"))</f>
        <v/>
      </c>
      <c r="W70" s="62">
        <f>IF($V70="Macro",COUNTIFS($U$5:$U$1000,ROW(),$V$5:$V$1000,"Sub"),"")</f>
        <v/>
      </c>
      <c r="X70" s="62">
        <f>IF($V70="","",IF(ISNUMBER($G70),1,IFERROR(LOOKUP(2,1/($I70:$L70&lt;&gt;""),$I70:$L70),0)))</f>
        <v/>
      </c>
      <c r="Y70" s="62">
        <f>IF($V70="","",IF(AND(ISNUMBER($G70),$G70&lt;=IF($S70=MesCiclo,InicioCiclo,$S70+MOD(2-WEEKDAY($S70),7))+6),1,IF(ISNUMBER($I70),$I70,0)))</f>
        <v/>
      </c>
      <c r="Z70" s="62">
        <f>IF($V70="","",IF(AND(ISNUMBER($G70),$G70&lt;=IF($S70=MesCiclo,InicioCiclo,$S70+MOD(2-WEEKDAY($S70),7))+13),1,IF(ISNUMBER($J70),$J70,$Y70)))</f>
        <v/>
      </c>
      <c r="AA70" s="62">
        <f>IF($V70="","",IF(AND(ISNUMBER($G70),$G70&lt;=IF($S70=MesCiclo,InicioCiclo,$S70+MOD(2-WEEKDAY($S70),7))+20),1,IF(ISNUMBER($K70),$K70,$Z70)))</f>
        <v/>
      </c>
      <c r="AB70" s="62">
        <f>IF($V70="","",IF(AND(ISNUMBER($G70),$G70&lt;=IF($S70=MesCiclo,InicioCiclo,$S70+MOD(2-WEEKDAY($S70),7))+27),1,IF(ISNUMBER($L70),$L70,$AA70)))</f>
        <v/>
      </c>
      <c r="AC70" s="62">
        <f>IF($V70="","",IF(AND(ISNUMBER($G70),$G70&lt;=IF($S70=MesCiclo,InicioCiclo,$S70+MOD(2-WEEKDAY($S70),7))+6),1,IF(N($W70)&gt;0,AVERAGEIFS($Y$5:$Y$1000,$U$5:$U$1000,ROW(),$V$5:$V$1000,"Sub"),$Y70)))</f>
        <v/>
      </c>
      <c r="AD70" s="62">
        <f>IF($V70="","",IF(AND(ISNUMBER($G70),$G70&lt;=IF($S70=MesCiclo,InicioCiclo,$S70+MOD(2-WEEKDAY($S70),7))+13),1,IF(N($W70)&gt;0,AVERAGEIFS($Z$5:$Z$1000,$U$5:$U$1000,ROW(),$V$5:$V$1000,"Sub"),$Z70)))</f>
        <v/>
      </c>
      <c r="AE70" s="62">
        <f>IF($V70="","",IF(AND(ISNUMBER($G70),$G70&lt;=IF($S70=MesCiclo,InicioCiclo,$S70+MOD(2-WEEKDAY($S70),7))+20),1,IF(N($W70)&gt;0,AVERAGEIFS($AA$5:$AA$1000,$U$5:$U$1000,ROW(),$V$5:$V$1000,"Sub"),$AA70)))</f>
        <v/>
      </c>
      <c r="AF70" s="62">
        <f>IF($V70="","",IF(AND(ISNUMBER($G70),$G70&lt;=IF($S70=MesCiclo,InicioCiclo,$S70+MOD(2-WEEKDAY($S70),7))+27),1,IF(N($W70)&gt;0,AVERAGEIFS($AB$5:$AB$1000,$U$5:$U$1000,ROW(),$V$5:$V$1000,"Sub"),$AB70)))</f>
        <v/>
      </c>
      <c r="AG70" s="62">
        <f>IF($V70&lt;&gt;"Macro","",IF(COUNTIFS($S$5:$S$1000,$S70,$V$5:$V$1000,"Macro",$H$5:$H$1000,"&gt;0")=0,1/COUNTIFS($S$5:$S$1000,$S70,$V$5:$V$1000,"Macro"),IF(AND(ISNUMBER($H70),N($H70)&gt;0),$H70,SUMIFS($H$5:$H$1000,$S$5:$S$1000,$S70,$V$5:$V$1000,"Macro")/COUNTIFS($S$5:$S$1000,$S70,$V$5:$V$1000,"Macro",$H$5:$H$1000,"&gt;0"))/(COUNTIFS($S$5:$S$1000,$S70,$V$5:$V$1000,"Macro")*SUMIFS($H$5:$H$1000,$S$5:$S$1000,$S70,$V$5:$V$1000,"Macro")/COUNTIFS($S$5:$S$1000,$S70,$V$5:$V$1000,"Macro",$H$5:$H$1000,"&gt;0"))))</f>
        <v/>
      </c>
      <c r="AH70" s="62" t="n"/>
      <c r="AI70" s="62" t="n"/>
      <c r="AJ70" s="62" t="n"/>
      <c r="AK70" s="62" t="n"/>
      <c r="AL70" s="62">
        <f>IF(LEFT($C70,11)="[Jefatura] ",IFERROR(MATCH("Riesgo Operacional|"&amp;MID($C70,12,500),rDname_ADM,0),0),"")</f>
        <v/>
      </c>
      <c r="AM70" s="62">
        <f>IF(N($AL70)&gt;0,INDEX(rIni_ADM,$AL70),IF(ISNUMBER($E70),$E70,""))</f>
        <v/>
      </c>
      <c r="AN70" s="62">
        <f>IF(N($AL70)&gt;0,INDEX(rLim_ADM,$AL70),IF(ISNUMBER($F70),$F70,""))</f>
        <v/>
      </c>
    </row>
    <row r="71">
      <c r="A71" s="56">
        <f>IF(NOT((COUNTA($B71:$D71)+COUNTA($G71:$L71)+COUNTA($Q71))&gt;0),"",IF($V71="Macro",COUNTIFS($V$5:$V71,"Macro",$S$5:$S71,$S71),IF(N($U71)=0,"?",COUNTIFS(INDEX($V$5:$V$1000,1):INDEX($V$5:$V$1000,$U71-4),"Macro",INDEX($S$5:$S$1000,1):INDEX($S$5:$S$1000,$U71-4),INDEX($S$5:$S$1000,$U71-4))&amp;"."&amp;COUNTIFS($U$5:$U71,$U71,$V$5:$V71,"Sub"))))</f>
        <v/>
      </c>
      <c r="B71" s="57" t="n"/>
      <c r="C71" s="58" t="n"/>
      <c r="D71" s="58" t="n"/>
      <c r="E71" s="59">
        <f>IF(N($AL71)&gt;0,INDEX(rIni_ADM,$AL71),"")</f>
        <v/>
      </c>
      <c r="F71" s="59">
        <f>IF(N($AL71)&gt;0,INDEX(rLim_ADM,$AL71),"")</f>
        <v/>
      </c>
      <c r="G71" s="59" t="n"/>
      <c r="H71" s="60" t="n"/>
      <c r="I71" s="60" t="n"/>
      <c r="J71" s="60" t="n"/>
      <c r="K71" s="60" t="n"/>
      <c r="L71" s="60" t="n"/>
      <c r="M71" s="61">
        <f>IF(NOT((COUNTA($B71:$D71)+COUNTA($G71:$L71)+COUNTA($Q71))&gt;0),"",IF($V71="Sub",IFERROR($X71/INDEX($W$5:$W$1000,$U71-4),""),IF(ISNUMBER($G71),1,IF(N($W71)&gt;0,AVERAGEIFS($X$5:$X$1000,$U$5:$U$1000,ROW(),$V$5:$V$1000,"Sub"),$X71))))</f>
        <v/>
      </c>
      <c r="N71" s="56">
        <f>IF(OR($M71="",$V71="Sub"),"",IF($M71&gt;=1,"Completado",IF($M71&gt;0,"En curso","Pendiente")))</f>
        <v/>
      </c>
      <c r="O71" s="56">
        <f>IF(OR(NOT((COUNTA($B71:$D71)+COUNTA($G71:$L71)+COUNTA($Q71))&gt;0),$V71="Sub"),"",IF(ISNUMBER($G71),IF(AND(ISNUMBER($AN71),$G71&gt;$AN71),"Cumplida con "&amp;($G71-$AN71)&amp;IF($G71-$AN71=1," día"," días")&amp;" de retraso","Cumplida"),IF(N($M71)&gt;=1,"Cumplida",IF(NOT(ISNUMBER($AN71)),"Sin fecha límite",IF($AN71&lt;FechaRef,"Vencida hace "&amp;(FechaRef-$AN71)&amp;IF(FechaRef-$AN71=1," día"," días"),IF($AN71=FechaRef,"Vence hoy",IF($AN71-FechaRef&lt;=DiasAlerta,"Vence en "&amp;($AN71-FechaRef)&amp;IF($AN71-FechaRef=1," día"," días"),"En plazo")))))))</f>
        <v/>
      </c>
      <c r="P71" s="62" t="n"/>
      <c r="Q71" s="58" t="n"/>
      <c r="R71" s="63">
        <f>IF(NOT((COUNTA($B71:$D71)+COUNTA($G71:$L71)+COUNTA($Q71))&gt;0),"",IF((IF($C71="","Falta el nombre de la actividad"&amp;" · ","")&amp;IF(AND($V71="Sub",N($U71)=0),"Subactividad sin macroactividad arriba"&amp;" · ","")&amp;IF($AM71="","Sin fecha de inicio"&amp;" · ","")&amp;IF($AN71="","Sin fecha límite"&amp;" · ","")&amp;IF(AND(LEFT($C71,11)="[Jefatura] ",N($AL71)=0),"No se encuentra en la hoja de la jefatura (elíjala de nuevo en la lista)"&amp;" · ","")&amp;IF(OR(AND($E71&lt;&gt;"",NOT(ISNUMBER($E71))),AND($F71&lt;&gt;"",NOT(ISNUMBER($F71))),AND($G71&lt;&gt;"",NOT(ISNUMBER($G71)))),"Fecha no válida"&amp;" · ","")&amp;IF(AND(ISNUMBER($AM71),ISNUMBER($AN71),$AM71&gt;$AN71),"Inicio posterior a fecha límite"&amp;" · ","")&amp;IF(AND($V71="Macro",$H71&lt;&gt;"",OR(NOT(ISNUMBER($H71)),$H71&lt;0,$H71&gt;1)),"Peso fuera de rango"&amp;" · ","")&amp;IF(AND($V71="Sub",$H71&lt;&gt;""),"Las subactividades no llevan peso (valen igual dentro de su macroactividad)"&amp;" · ","")&amp;IF(AND(N($W71)&gt;0,COUNT($I71:$L71)&gt;0),"Con subactividades: deje vacías las semanas (se calculan solas)"&amp;" · ","")&amp;IF((COUNTIF($I71:$L71,"&gt;1")+COUNTIF($I71:$L71,"&lt;0")+COUNTA($I71:$L71)-COUNT($I71:$L71))&gt;0,"Avance fuera de rango 0-100%"&amp;" · ","")&amp;IF(OR(AND($J71&lt;&gt;"",$J71&lt;$I71),AND($K71&lt;&gt;"",$K71&lt;MAX($I71:$J71)),AND($L71&lt;&gt;"",$L71&lt;MAX($I71:$K71))),"Avance semanal decreciente"&amp;" · ","")&amp;IF(AND(ISNUMBER($AN71),$AN71&lt;FechaRef,IF($V71="Sub",N($X71),N($M71))&lt;1),"Vencida"&amp;" · ","")&amp;IF(AND(ObsObligatoria="Sí",ISNUMBER($AN71),$AN71&lt;FechaRef,IF($V71="Sub",N($X71),N($M71))&lt;1,$Q71=""),"Vencida sin observación"&amp;" · ",""))="","✔ OK","⚠ "&amp;LEFT(IF($C71="","Falta el nombre de la actividad"&amp;" · ","")&amp;IF(AND($V71="Sub",N($U71)=0),"Subactividad sin macroactividad arriba"&amp;" · ","")&amp;IF($AM71="","Sin fecha de inicio"&amp;" · ","")&amp;IF($AN71="","Sin fecha límite"&amp;" · ","")&amp;IF(AND(LEFT($C71,11)="[Jefatura] ",N($AL71)=0),"No se encuentra en la hoja de la jefatura (elíjala de nuevo en la lista)"&amp;" · ","")&amp;IF(OR(AND($E71&lt;&gt;"",NOT(ISNUMBER($E71))),AND($F71&lt;&gt;"",NOT(ISNUMBER($F71))),AND($G71&lt;&gt;"",NOT(ISNUMBER($G71)))),"Fecha no válida"&amp;" · ","")&amp;IF(AND(ISNUMBER($AM71),ISNUMBER($AN71),$AM71&gt;$AN71),"Inicio posterior a fecha límite"&amp;" · ","")&amp;IF(AND($V71="Macro",$H71&lt;&gt;"",OR(NOT(ISNUMBER($H71)),$H71&lt;0,$H71&gt;1)),"Peso fuera de rango"&amp;" · ","")&amp;IF(AND($V71="Sub",$H71&lt;&gt;""),"Las subactividades no llevan peso (valen igual dentro de su macroactividad)"&amp;" · ","")&amp;IF(AND(N($W71)&gt;0,COUNT($I71:$L71)&gt;0),"Con subactividades: deje vacías las semanas (se calculan solas)"&amp;" · ","")&amp;IF((COUNTIF($I71:$L71,"&gt;1")+COUNTIF($I71:$L71,"&lt;0")+COUNTA($I71:$L71)-COUNT($I71:$L71))&gt;0,"Avance fuera de rango 0-100%"&amp;" · ","")&amp;IF(OR(AND($J71&lt;&gt;"",$J71&lt;$I71),AND($K71&lt;&gt;"",$K71&lt;MAX($I71:$J71)),AND($L71&lt;&gt;"",$L71&lt;MAX($I71:$K71))),"Avance semanal decreciente"&amp;" · ","")&amp;IF(AND(ISNUMBER($AN71),$AN71&lt;FechaRef,IF($V71="Sub",N($X71),N($M71))&lt;1),"Vencida"&amp;" · ","")&amp;IF(AND(ObsObligatoria="Sí",ISNUMBER($AN71),$AN71&lt;FechaRef,IF($V71="Sub",N($X71),N($M71))&lt;1,$Q71=""),"Vencida sin observación"&amp;" · ",""),LEN(IF($C71="","Falta el nombre de la actividad"&amp;" · ","")&amp;IF(AND($V71="Sub",N($U71)=0),"Subactividad sin macroactividad arriba"&amp;" · ","")&amp;IF($AM71="","Sin fecha de inicio"&amp;" · ","")&amp;IF($AN71="","Sin fecha límite"&amp;" · ","")&amp;IF(AND(LEFT($C71,11)="[Jefatura] ",N($AL71)=0),"No se encuentra en la hoja de la jefatura (elíjala de nuevo en la lista)"&amp;" · ","")&amp;IF(OR(AND($E71&lt;&gt;"",NOT(ISNUMBER($E71))),AND($F71&lt;&gt;"",NOT(ISNUMBER($F71))),AND($G71&lt;&gt;"",NOT(ISNUMBER($G71)))),"Fecha no válida"&amp;" · ","")&amp;IF(AND(ISNUMBER($AM71),ISNUMBER($AN71),$AM71&gt;$AN71),"Inicio posterior a fecha límite"&amp;" · ","")&amp;IF(AND($V71="Macro",$H71&lt;&gt;"",OR(NOT(ISNUMBER($H71)),$H71&lt;0,$H71&gt;1)),"Peso fuera de rango"&amp;" · ","")&amp;IF(AND($V71="Sub",$H71&lt;&gt;""),"Las subactividades no llevan peso (valen igual dentro de su macroactividad)"&amp;" · ","")&amp;IF(AND(N($W71)&gt;0,COUNT($I71:$L71)&gt;0),"Con subactividades: deje vacías las semanas (se calculan solas)"&amp;" · ","")&amp;IF((COUNTIF($I71:$L71,"&gt;1")+COUNTIF($I71:$L71,"&lt;0")+COUNTA($I71:$L71)-COUNT($I71:$L71))&gt;0,"Avance fuera de rango 0-100%"&amp;" · ","")&amp;IF(OR(AND($J71&lt;&gt;"",$J71&lt;$I71),AND($K71&lt;&gt;"",$K71&lt;MAX($I71:$J71)),AND($L71&lt;&gt;"",$L71&lt;MAX($I71:$K71))),"Avance semanal decreciente"&amp;" · ","")&amp;IF(AND(ISNUMBER($AN71),$AN71&lt;FechaRef,IF($V71="Sub",N($X71),N($M71))&lt;1),"Vencida"&amp;" · ","")&amp;IF(AND(ObsObligatoria="Sí",ISNUMBER($AN71),$AN71&lt;FechaRef,IF($V71="Sub",N($X71),N($M71))&lt;1,$Q71=""),"Vencida sin observación"&amp;" · ",""))-3)))</f>
        <v/>
      </c>
      <c r="S71" s="64">
        <f>IF(NOT((COUNTA($B71:$D71)+COUNTA($G71:$L71)+COUNTA($Q71))&gt;0),"",IF(AND($V71="Sub",N($U71)&gt;0),IF(ISNUMBER(INDEX($AM$5:$AM$1000,$U71-4)),DATE(YEAR(INDEX($AM$5:$AM$1000,$U71-4)),MONTH(INDEX($AM$5:$AM$1000,$U71-4)),1),IF(ISNUMBER(INDEX($AN$5:$AN$1000,$U71-4)),DATE(YEAR(INDEX($AN$5:$AN$1000,$U71-4)),MONTH(INDEX($AN$5:$AN$1000,$U71-4)),1),MesCiclo)),IF(ISNUMBER($AM71),DATE(YEAR($AM71),MONTH($AM71),1),IF(ISNUMBER($AN71),DATE(YEAR($AN71),MONTH($AN71),1),MesCiclo))))</f>
        <v/>
      </c>
      <c r="T71" s="62">
        <f>IF(OR($S71="",$S71&lt;&gt;MesCiclo,$V71&lt;&gt;"Macro"),"",COUNTIFS($S$5:$S71,MesCiclo,$V$5:$V71,"Macro"))</f>
        <v/>
      </c>
      <c r="U71" s="62">
        <f>IF($V71="","",IF($V71="Macro",ROW(),IFERROR(LOOKUP(2,1/($V$5:$V71="Macro"),ROW($V$5:$V71)),0)))</f>
        <v/>
      </c>
      <c r="V71" s="62">
        <f>IF(NOT((COUNTA($B71:$D71)+COUNTA($G71:$L71)+COUNTA($Q71))&gt;0),"",IF($B71="Subactividad","Sub","Macro"))</f>
        <v/>
      </c>
      <c r="W71" s="62">
        <f>IF($V71="Macro",COUNTIFS($U$5:$U$1000,ROW(),$V$5:$V$1000,"Sub"),"")</f>
        <v/>
      </c>
      <c r="X71" s="62">
        <f>IF($V71="","",IF(ISNUMBER($G71),1,IFERROR(LOOKUP(2,1/($I71:$L71&lt;&gt;""),$I71:$L71),0)))</f>
        <v/>
      </c>
      <c r="Y71" s="62">
        <f>IF($V71="","",IF(AND(ISNUMBER($G71),$G71&lt;=IF($S71=MesCiclo,InicioCiclo,$S71+MOD(2-WEEKDAY($S71),7))+6),1,IF(ISNUMBER($I71),$I71,0)))</f>
        <v/>
      </c>
      <c r="Z71" s="62">
        <f>IF($V71="","",IF(AND(ISNUMBER($G71),$G71&lt;=IF($S71=MesCiclo,InicioCiclo,$S71+MOD(2-WEEKDAY($S71),7))+13),1,IF(ISNUMBER($J71),$J71,$Y71)))</f>
        <v/>
      </c>
      <c r="AA71" s="62">
        <f>IF($V71="","",IF(AND(ISNUMBER($G71),$G71&lt;=IF($S71=MesCiclo,InicioCiclo,$S71+MOD(2-WEEKDAY($S71),7))+20),1,IF(ISNUMBER($K71),$K71,$Z71)))</f>
        <v/>
      </c>
      <c r="AB71" s="62">
        <f>IF($V71="","",IF(AND(ISNUMBER($G71),$G71&lt;=IF($S71=MesCiclo,InicioCiclo,$S71+MOD(2-WEEKDAY($S71),7))+27),1,IF(ISNUMBER($L71),$L71,$AA71)))</f>
        <v/>
      </c>
      <c r="AC71" s="62">
        <f>IF($V71="","",IF(AND(ISNUMBER($G71),$G71&lt;=IF($S71=MesCiclo,InicioCiclo,$S71+MOD(2-WEEKDAY($S71),7))+6),1,IF(N($W71)&gt;0,AVERAGEIFS($Y$5:$Y$1000,$U$5:$U$1000,ROW(),$V$5:$V$1000,"Sub"),$Y71)))</f>
        <v/>
      </c>
      <c r="AD71" s="62">
        <f>IF($V71="","",IF(AND(ISNUMBER($G71),$G71&lt;=IF($S71=MesCiclo,InicioCiclo,$S71+MOD(2-WEEKDAY($S71),7))+13),1,IF(N($W71)&gt;0,AVERAGEIFS($Z$5:$Z$1000,$U$5:$U$1000,ROW(),$V$5:$V$1000,"Sub"),$Z71)))</f>
        <v/>
      </c>
      <c r="AE71" s="62">
        <f>IF($V71="","",IF(AND(ISNUMBER($G71),$G71&lt;=IF($S71=MesCiclo,InicioCiclo,$S71+MOD(2-WEEKDAY($S71),7))+20),1,IF(N($W71)&gt;0,AVERAGEIFS($AA$5:$AA$1000,$U$5:$U$1000,ROW(),$V$5:$V$1000,"Sub"),$AA71)))</f>
        <v/>
      </c>
      <c r="AF71" s="62">
        <f>IF($V71="","",IF(AND(ISNUMBER($G71),$G71&lt;=IF($S71=MesCiclo,InicioCiclo,$S71+MOD(2-WEEKDAY($S71),7))+27),1,IF(N($W71)&gt;0,AVERAGEIFS($AB$5:$AB$1000,$U$5:$U$1000,ROW(),$V$5:$V$1000,"Sub"),$AB71)))</f>
        <v/>
      </c>
      <c r="AG71" s="62">
        <f>IF($V71&lt;&gt;"Macro","",IF(COUNTIFS($S$5:$S$1000,$S71,$V$5:$V$1000,"Macro",$H$5:$H$1000,"&gt;0")=0,1/COUNTIFS($S$5:$S$1000,$S71,$V$5:$V$1000,"Macro"),IF(AND(ISNUMBER($H71),N($H71)&gt;0),$H71,SUMIFS($H$5:$H$1000,$S$5:$S$1000,$S71,$V$5:$V$1000,"Macro")/COUNTIFS($S$5:$S$1000,$S71,$V$5:$V$1000,"Macro",$H$5:$H$1000,"&gt;0"))/(COUNTIFS($S$5:$S$1000,$S71,$V$5:$V$1000,"Macro")*SUMIFS($H$5:$H$1000,$S$5:$S$1000,$S71,$V$5:$V$1000,"Macro")/COUNTIFS($S$5:$S$1000,$S71,$V$5:$V$1000,"Macro",$H$5:$H$1000,"&gt;0"))))</f>
        <v/>
      </c>
      <c r="AH71" s="62" t="n"/>
      <c r="AI71" s="62" t="n"/>
      <c r="AJ71" s="62" t="n"/>
      <c r="AK71" s="62" t="n"/>
      <c r="AL71" s="62">
        <f>IF(LEFT($C71,11)="[Jefatura] ",IFERROR(MATCH("Riesgo Operacional|"&amp;MID($C71,12,500),rDname_ADM,0),0),"")</f>
        <v/>
      </c>
      <c r="AM71" s="62">
        <f>IF(N($AL71)&gt;0,INDEX(rIni_ADM,$AL71),IF(ISNUMBER($E71),$E71,""))</f>
        <v/>
      </c>
      <c r="AN71" s="62">
        <f>IF(N($AL71)&gt;0,INDEX(rLim_ADM,$AL71),IF(ISNUMBER($F71),$F71,""))</f>
        <v/>
      </c>
    </row>
    <row r="72">
      <c r="A72" s="56">
        <f>IF(NOT((COUNTA($B72:$D72)+COUNTA($G72:$L72)+COUNTA($Q72))&gt;0),"",IF($V72="Macro",COUNTIFS($V$5:$V72,"Macro",$S$5:$S72,$S72),IF(N($U72)=0,"?",COUNTIFS(INDEX($V$5:$V$1000,1):INDEX($V$5:$V$1000,$U72-4),"Macro",INDEX($S$5:$S$1000,1):INDEX($S$5:$S$1000,$U72-4),INDEX($S$5:$S$1000,$U72-4))&amp;"."&amp;COUNTIFS($U$5:$U72,$U72,$V$5:$V72,"Sub"))))</f>
        <v/>
      </c>
      <c r="B72" s="57" t="n"/>
      <c r="C72" s="58" t="n"/>
      <c r="D72" s="58" t="n"/>
      <c r="E72" s="59">
        <f>IF(N($AL72)&gt;0,INDEX(rIni_ADM,$AL72),"")</f>
        <v/>
      </c>
      <c r="F72" s="59">
        <f>IF(N($AL72)&gt;0,INDEX(rLim_ADM,$AL72),"")</f>
        <v/>
      </c>
      <c r="G72" s="59" t="n"/>
      <c r="H72" s="60" t="n"/>
      <c r="I72" s="60" t="n"/>
      <c r="J72" s="60" t="n"/>
      <c r="K72" s="60" t="n"/>
      <c r="L72" s="60" t="n"/>
      <c r="M72" s="61">
        <f>IF(NOT((COUNTA($B72:$D72)+COUNTA($G72:$L72)+COUNTA($Q72))&gt;0),"",IF($V72="Sub",IFERROR($X72/INDEX($W$5:$W$1000,$U72-4),""),IF(ISNUMBER($G72),1,IF(N($W72)&gt;0,AVERAGEIFS($X$5:$X$1000,$U$5:$U$1000,ROW(),$V$5:$V$1000,"Sub"),$X72))))</f>
        <v/>
      </c>
      <c r="N72" s="56">
        <f>IF(OR($M72="",$V72="Sub"),"",IF($M72&gt;=1,"Completado",IF($M72&gt;0,"En curso","Pendiente")))</f>
        <v/>
      </c>
      <c r="O72" s="56">
        <f>IF(OR(NOT((COUNTA($B72:$D72)+COUNTA($G72:$L72)+COUNTA($Q72))&gt;0),$V72="Sub"),"",IF(ISNUMBER($G72),IF(AND(ISNUMBER($AN72),$G72&gt;$AN72),"Cumplida con "&amp;($G72-$AN72)&amp;IF($G72-$AN72=1," día"," días")&amp;" de retraso","Cumplida"),IF(N($M72)&gt;=1,"Cumplida",IF(NOT(ISNUMBER($AN72)),"Sin fecha límite",IF($AN72&lt;FechaRef,"Vencida hace "&amp;(FechaRef-$AN72)&amp;IF(FechaRef-$AN72=1," día"," días"),IF($AN72=FechaRef,"Vence hoy",IF($AN72-FechaRef&lt;=DiasAlerta,"Vence en "&amp;($AN72-FechaRef)&amp;IF($AN72-FechaRef=1," día"," días"),"En plazo")))))))</f>
        <v/>
      </c>
      <c r="P72" s="62" t="n"/>
      <c r="Q72" s="58" t="n"/>
      <c r="R72" s="63">
        <f>IF(NOT((COUNTA($B72:$D72)+COUNTA($G72:$L72)+COUNTA($Q72))&gt;0),"",IF((IF($C72="","Falta el nombre de la actividad"&amp;" · ","")&amp;IF(AND($V72="Sub",N($U72)=0),"Subactividad sin macroactividad arriba"&amp;" · ","")&amp;IF($AM72="","Sin fecha de inicio"&amp;" · ","")&amp;IF($AN72="","Sin fecha límite"&amp;" · ","")&amp;IF(AND(LEFT($C72,11)="[Jefatura] ",N($AL72)=0),"No se encuentra en la hoja de la jefatura (elíjala de nuevo en la lista)"&amp;" · ","")&amp;IF(OR(AND($E72&lt;&gt;"",NOT(ISNUMBER($E72))),AND($F72&lt;&gt;"",NOT(ISNUMBER($F72))),AND($G72&lt;&gt;"",NOT(ISNUMBER($G72)))),"Fecha no válida"&amp;" · ","")&amp;IF(AND(ISNUMBER($AM72),ISNUMBER($AN72),$AM72&gt;$AN72),"Inicio posterior a fecha límite"&amp;" · ","")&amp;IF(AND($V72="Macro",$H72&lt;&gt;"",OR(NOT(ISNUMBER($H72)),$H72&lt;0,$H72&gt;1)),"Peso fuera de rango"&amp;" · ","")&amp;IF(AND($V72="Sub",$H72&lt;&gt;""),"Las subactividades no llevan peso (valen igual dentro de su macroactividad)"&amp;" · ","")&amp;IF(AND(N($W72)&gt;0,COUNT($I72:$L72)&gt;0),"Con subactividades: deje vacías las semanas (se calculan solas)"&amp;" · ","")&amp;IF((COUNTIF($I72:$L72,"&gt;1")+COUNTIF($I72:$L72,"&lt;0")+COUNTA($I72:$L72)-COUNT($I72:$L72))&gt;0,"Avance fuera de rango 0-100%"&amp;" · ","")&amp;IF(OR(AND($J72&lt;&gt;"",$J72&lt;$I72),AND($K72&lt;&gt;"",$K72&lt;MAX($I72:$J72)),AND($L72&lt;&gt;"",$L72&lt;MAX($I72:$K72))),"Avance semanal decreciente"&amp;" · ","")&amp;IF(AND(ISNUMBER($AN72),$AN72&lt;FechaRef,IF($V72="Sub",N($X72),N($M72))&lt;1),"Vencida"&amp;" · ","")&amp;IF(AND(ObsObligatoria="Sí",ISNUMBER($AN72),$AN72&lt;FechaRef,IF($V72="Sub",N($X72),N($M72))&lt;1,$Q72=""),"Vencida sin observación"&amp;" · ",""))="","✔ OK","⚠ "&amp;LEFT(IF($C72="","Falta el nombre de la actividad"&amp;" · ","")&amp;IF(AND($V72="Sub",N($U72)=0),"Subactividad sin macroactividad arriba"&amp;" · ","")&amp;IF($AM72="","Sin fecha de inicio"&amp;" · ","")&amp;IF($AN72="","Sin fecha límite"&amp;" · ","")&amp;IF(AND(LEFT($C72,11)="[Jefatura] ",N($AL72)=0),"No se encuentra en la hoja de la jefatura (elíjala de nuevo en la lista)"&amp;" · ","")&amp;IF(OR(AND($E72&lt;&gt;"",NOT(ISNUMBER($E72))),AND($F72&lt;&gt;"",NOT(ISNUMBER($F72))),AND($G72&lt;&gt;"",NOT(ISNUMBER($G72)))),"Fecha no válida"&amp;" · ","")&amp;IF(AND(ISNUMBER($AM72),ISNUMBER($AN72),$AM72&gt;$AN72),"Inicio posterior a fecha límite"&amp;" · ","")&amp;IF(AND($V72="Macro",$H72&lt;&gt;"",OR(NOT(ISNUMBER($H72)),$H72&lt;0,$H72&gt;1)),"Peso fuera de rango"&amp;" · ","")&amp;IF(AND($V72="Sub",$H72&lt;&gt;""),"Las subactividades no llevan peso (valen igual dentro de su macroactividad)"&amp;" · ","")&amp;IF(AND(N($W72)&gt;0,COUNT($I72:$L72)&gt;0),"Con subactividades: deje vacías las semanas (se calculan solas)"&amp;" · ","")&amp;IF((COUNTIF($I72:$L72,"&gt;1")+COUNTIF($I72:$L72,"&lt;0")+COUNTA($I72:$L72)-COUNT($I72:$L72))&gt;0,"Avance fuera de rango 0-100%"&amp;" · ","")&amp;IF(OR(AND($J72&lt;&gt;"",$J72&lt;$I72),AND($K72&lt;&gt;"",$K72&lt;MAX($I72:$J72)),AND($L72&lt;&gt;"",$L72&lt;MAX($I72:$K72))),"Avance semanal decreciente"&amp;" · ","")&amp;IF(AND(ISNUMBER($AN72),$AN72&lt;FechaRef,IF($V72="Sub",N($X72),N($M72))&lt;1),"Vencida"&amp;" · ","")&amp;IF(AND(ObsObligatoria="Sí",ISNUMBER($AN72),$AN72&lt;FechaRef,IF($V72="Sub",N($X72),N($M72))&lt;1,$Q72=""),"Vencida sin observación"&amp;" · ",""),LEN(IF($C72="","Falta el nombre de la actividad"&amp;" · ","")&amp;IF(AND($V72="Sub",N($U72)=0),"Subactividad sin macroactividad arriba"&amp;" · ","")&amp;IF($AM72="","Sin fecha de inicio"&amp;" · ","")&amp;IF($AN72="","Sin fecha límite"&amp;" · ","")&amp;IF(AND(LEFT($C72,11)="[Jefatura] ",N($AL72)=0),"No se encuentra en la hoja de la jefatura (elíjala de nuevo en la lista)"&amp;" · ","")&amp;IF(OR(AND($E72&lt;&gt;"",NOT(ISNUMBER($E72))),AND($F72&lt;&gt;"",NOT(ISNUMBER($F72))),AND($G72&lt;&gt;"",NOT(ISNUMBER($G72)))),"Fecha no válida"&amp;" · ","")&amp;IF(AND(ISNUMBER($AM72),ISNUMBER($AN72),$AM72&gt;$AN72),"Inicio posterior a fecha límite"&amp;" · ","")&amp;IF(AND($V72="Macro",$H72&lt;&gt;"",OR(NOT(ISNUMBER($H72)),$H72&lt;0,$H72&gt;1)),"Peso fuera de rango"&amp;" · ","")&amp;IF(AND($V72="Sub",$H72&lt;&gt;""),"Las subactividades no llevan peso (valen igual dentro de su macroactividad)"&amp;" · ","")&amp;IF(AND(N($W72)&gt;0,COUNT($I72:$L72)&gt;0),"Con subactividades: deje vacías las semanas (se calculan solas)"&amp;" · ","")&amp;IF((COUNTIF($I72:$L72,"&gt;1")+COUNTIF($I72:$L72,"&lt;0")+COUNTA($I72:$L72)-COUNT($I72:$L72))&gt;0,"Avance fuera de rango 0-100%"&amp;" · ","")&amp;IF(OR(AND($J72&lt;&gt;"",$J72&lt;$I72),AND($K72&lt;&gt;"",$K72&lt;MAX($I72:$J72)),AND($L72&lt;&gt;"",$L72&lt;MAX($I72:$K72))),"Avance semanal decreciente"&amp;" · ","")&amp;IF(AND(ISNUMBER($AN72),$AN72&lt;FechaRef,IF($V72="Sub",N($X72),N($M72))&lt;1),"Vencida"&amp;" · ","")&amp;IF(AND(ObsObligatoria="Sí",ISNUMBER($AN72),$AN72&lt;FechaRef,IF($V72="Sub",N($X72),N($M72))&lt;1,$Q72=""),"Vencida sin observación"&amp;" · ",""))-3)))</f>
        <v/>
      </c>
      <c r="S72" s="64">
        <f>IF(NOT((COUNTA($B72:$D72)+COUNTA($G72:$L72)+COUNTA($Q72))&gt;0),"",IF(AND($V72="Sub",N($U72)&gt;0),IF(ISNUMBER(INDEX($AM$5:$AM$1000,$U72-4)),DATE(YEAR(INDEX($AM$5:$AM$1000,$U72-4)),MONTH(INDEX($AM$5:$AM$1000,$U72-4)),1),IF(ISNUMBER(INDEX($AN$5:$AN$1000,$U72-4)),DATE(YEAR(INDEX($AN$5:$AN$1000,$U72-4)),MONTH(INDEX($AN$5:$AN$1000,$U72-4)),1),MesCiclo)),IF(ISNUMBER($AM72),DATE(YEAR($AM72),MONTH($AM72),1),IF(ISNUMBER($AN72),DATE(YEAR($AN72),MONTH($AN72),1),MesCiclo))))</f>
        <v/>
      </c>
      <c r="T72" s="62">
        <f>IF(OR($S72="",$S72&lt;&gt;MesCiclo,$V72&lt;&gt;"Macro"),"",COUNTIFS($S$5:$S72,MesCiclo,$V$5:$V72,"Macro"))</f>
        <v/>
      </c>
      <c r="U72" s="62">
        <f>IF($V72="","",IF($V72="Macro",ROW(),IFERROR(LOOKUP(2,1/($V$5:$V72="Macro"),ROW($V$5:$V72)),0)))</f>
        <v/>
      </c>
      <c r="V72" s="62">
        <f>IF(NOT((COUNTA($B72:$D72)+COUNTA($G72:$L72)+COUNTA($Q72))&gt;0),"",IF($B72="Subactividad","Sub","Macro"))</f>
        <v/>
      </c>
      <c r="W72" s="62">
        <f>IF($V72="Macro",COUNTIFS($U$5:$U$1000,ROW(),$V$5:$V$1000,"Sub"),"")</f>
        <v/>
      </c>
      <c r="X72" s="62">
        <f>IF($V72="","",IF(ISNUMBER($G72),1,IFERROR(LOOKUP(2,1/($I72:$L72&lt;&gt;""),$I72:$L72),0)))</f>
        <v/>
      </c>
      <c r="Y72" s="62">
        <f>IF($V72="","",IF(AND(ISNUMBER($G72),$G72&lt;=IF($S72=MesCiclo,InicioCiclo,$S72+MOD(2-WEEKDAY($S72),7))+6),1,IF(ISNUMBER($I72),$I72,0)))</f>
        <v/>
      </c>
      <c r="Z72" s="62">
        <f>IF($V72="","",IF(AND(ISNUMBER($G72),$G72&lt;=IF($S72=MesCiclo,InicioCiclo,$S72+MOD(2-WEEKDAY($S72),7))+13),1,IF(ISNUMBER($J72),$J72,$Y72)))</f>
        <v/>
      </c>
      <c r="AA72" s="62">
        <f>IF($V72="","",IF(AND(ISNUMBER($G72),$G72&lt;=IF($S72=MesCiclo,InicioCiclo,$S72+MOD(2-WEEKDAY($S72),7))+20),1,IF(ISNUMBER($K72),$K72,$Z72)))</f>
        <v/>
      </c>
      <c r="AB72" s="62">
        <f>IF($V72="","",IF(AND(ISNUMBER($G72),$G72&lt;=IF($S72=MesCiclo,InicioCiclo,$S72+MOD(2-WEEKDAY($S72),7))+27),1,IF(ISNUMBER($L72),$L72,$AA72)))</f>
        <v/>
      </c>
      <c r="AC72" s="62">
        <f>IF($V72="","",IF(AND(ISNUMBER($G72),$G72&lt;=IF($S72=MesCiclo,InicioCiclo,$S72+MOD(2-WEEKDAY($S72),7))+6),1,IF(N($W72)&gt;0,AVERAGEIFS($Y$5:$Y$1000,$U$5:$U$1000,ROW(),$V$5:$V$1000,"Sub"),$Y72)))</f>
        <v/>
      </c>
      <c r="AD72" s="62">
        <f>IF($V72="","",IF(AND(ISNUMBER($G72),$G72&lt;=IF($S72=MesCiclo,InicioCiclo,$S72+MOD(2-WEEKDAY($S72),7))+13),1,IF(N($W72)&gt;0,AVERAGEIFS($Z$5:$Z$1000,$U$5:$U$1000,ROW(),$V$5:$V$1000,"Sub"),$Z72)))</f>
        <v/>
      </c>
      <c r="AE72" s="62">
        <f>IF($V72="","",IF(AND(ISNUMBER($G72),$G72&lt;=IF($S72=MesCiclo,InicioCiclo,$S72+MOD(2-WEEKDAY($S72),7))+20),1,IF(N($W72)&gt;0,AVERAGEIFS($AA$5:$AA$1000,$U$5:$U$1000,ROW(),$V$5:$V$1000,"Sub"),$AA72)))</f>
        <v/>
      </c>
      <c r="AF72" s="62">
        <f>IF($V72="","",IF(AND(ISNUMBER($G72),$G72&lt;=IF($S72=MesCiclo,InicioCiclo,$S72+MOD(2-WEEKDAY($S72),7))+27),1,IF(N($W72)&gt;0,AVERAGEIFS($AB$5:$AB$1000,$U$5:$U$1000,ROW(),$V$5:$V$1000,"Sub"),$AB72)))</f>
        <v/>
      </c>
      <c r="AG72" s="62">
        <f>IF($V72&lt;&gt;"Macro","",IF(COUNTIFS($S$5:$S$1000,$S72,$V$5:$V$1000,"Macro",$H$5:$H$1000,"&gt;0")=0,1/COUNTIFS($S$5:$S$1000,$S72,$V$5:$V$1000,"Macro"),IF(AND(ISNUMBER($H72),N($H72)&gt;0),$H72,SUMIFS($H$5:$H$1000,$S$5:$S$1000,$S72,$V$5:$V$1000,"Macro")/COUNTIFS($S$5:$S$1000,$S72,$V$5:$V$1000,"Macro",$H$5:$H$1000,"&gt;0"))/(COUNTIFS($S$5:$S$1000,$S72,$V$5:$V$1000,"Macro")*SUMIFS($H$5:$H$1000,$S$5:$S$1000,$S72,$V$5:$V$1000,"Macro")/COUNTIFS($S$5:$S$1000,$S72,$V$5:$V$1000,"Macro",$H$5:$H$1000,"&gt;0"))))</f>
        <v/>
      </c>
      <c r="AH72" s="62" t="n"/>
      <c r="AI72" s="62" t="n"/>
      <c r="AJ72" s="62" t="n"/>
      <c r="AK72" s="62" t="n"/>
      <c r="AL72" s="62">
        <f>IF(LEFT($C72,11)="[Jefatura] ",IFERROR(MATCH("Riesgo Operacional|"&amp;MID($C72,12,500),rDname_ADM,0),0),"")</f>
        <v/>
      </c>
      <c r="AM72" s="62">
        <f>IF(N($AL72)&gt;0,INDEX(rIni_ADM,$AL72),IF(ISNUMBER($E72),$E72,""))</f>
        <v/>
      </c>
      <c r="AN72" s="62">
        <f>IF(N($AL72)&gt;0,INDEX(rLim_ADM,$AL72),IF(ISNUMBER($F72),$F72,""))</f>
        <v/>
      </c>
    </row>
    <row r="73">
      <c r="A73" s="56">
        <f>IF(NOT((COUNTA($B73:$D73)+COUNTA($G73:$L73)+COUNTA($Q73))&gt;0),"",IF($V73="Macro",COUNTIFS($V$5:$V73,"Macro",$S$5:$S73,$S73),IF(N($U73)=0,"?",COUNTIFS(INDEX($V$5:$V$1000,1):INDEX($V$5:$V$1000,$U73-4),"Macro",INDEX($S$5:$S$1000,1):INDEX($S$5:$S$1000,$U73-4),INDEX($S$5:$S$1000,$U73-4))&amp;"."&amp;COUNTIFS($U$5:$U73,$U73,$V$5:$V73,"Sub"))))</f>
        <v/>
      </c>
      <c r="B73" s="57" t="n"/>
      <c r="C73" s="58" t="n"/>
      <c r="D73" s="58" t="n"/>
      <c r="E73" s="59">
        <f>IF(N($AL73)&gt;0,INDEX(rIni_ADM,$AL73),"")</f>
        <v/>
      </c>
      <c r="F73" s="59">
        <f>IF(N($AL73)&gt;0,INDEX(rLim_ADM,$AL73),"")</f>
        <v/>
      </c>
      <c r="G73" s="59" t="n"/>
      <c r="H73" s="60" t="n"/>
      <c r="I73" s="60" t="n"/>
      <c r="J73" s="60" t="n"/>
      <c r="K73" s="60" t="n"/>
      <c r="L73" s="60" t="n"/>
      <c r="M73" s="61">
        <f>IF(NOT((COUNTA($B73:$D73)+COUNTA($G73:$L73)+COUNTA($Q73))&gt;0),"",IF($V73="Sub",IFERROR($X73/INDEX($W$5:$W$1000,$U73-4),""),IF(ISNUMBER($G73),1,IF(N($W73)&gt;0,AVERAGEIFS($X$5:$X$1000,$U$5:$U$1000,ROW(),$V$5:$V$1000,"Sub"),$X73))))</f>
        <v/>
      </c>
      <c r="N73" s="56">
        <f>IF(OR($M73="",$V73="Sub"),"",IF($M73&gt;=1,"Completado",IF($M73&gt;0,"En curso","Pendiente")))</f>
        <v/>
      </c>
      <c r="O73" s="56">
        <f>IF(OR(NOT((COUNTA($B73:$D73)+COUNTA($G73:$L73)+COUNTA($Q73))&gt;0),$V73="Sub"),"",IF(ISNUMBER($G73),IF(AND(ISNUMBER($AN73),$G73&gt;$AN73),"Cumplida con "&amp;($G73-$AN73)&amp;IF($G73-$AN73=1," día"," días")&amp;" de retraso","Cumplida"),IF(N($M73)&gt;=1,"Cumplida",IF(NOT(ISNUMBER($AN73)),"Sin fecha límite",IF($AN73&lt;FechaRef,"Vencida hace "&amp;(FechaRef-$AN73)&amp;IF(FechaRef-$AN73=1," día"," días"),IF($AN73=FechaRef,"Vence hoy",IF($AN73-FechaRef&lt;=DiasAlerta,"Vence en "&amp;($AN73-FechaRef)&amp;IF($AN73-FechaRef=1," día"," días"),"En plazo")))))))</f>
        <v/>
      </c>
      <c r="P73" s="62" t="n"/>
      <c r="Q73" s="58" t="n"/>
      <c r="R73" s="63">
        <f>IF(NOT((COUNTA($B73:$D73)+COUNTA($G73:$L73)+COUNTA($Q73))&gt;0),"",IF((IF($C73="","Falta el nombre de la actividad"&amp;" · ","")&amp;IF(AND($V73="Sub",N($U73)=0),"Subactividad sin macroactividad arriba"&amp;" · ","")&amp;IF($AM73="","Sin fecha de inicio"&amp;" · ","")&amp;IF($AN73="","Sin fecha límite"&amp;" · ","")&amp;IF(AND(LEFT($C73,11)="[Jefatura] ",N($AL73)=0),"No se encuentra en la hoja de la jefatura (elíjala de nuevo en la lista)"&amp;" · ","")&amp;IF(OR(AND($E73&lt;&gt;"",NOT(ISNUMBER($E73))),AND($F73&lt;&gt;"",NOT(ISNUMBER($F73))),AND($G73&lt;&gt;"",NOT(ISNUMBER($G73)))),"Fecha no válida"&amp;" · ","")&amp;IF(AND(ISNUMBER($AM73),ISNUMBER($AN73),$AM73&gt;$AN73),"Inicio posterior a fecha límite"&amp;" · ","")&amp;IF(AND($V73="Macro",$H73&lt;&gt;"",OR(NOT(ISNUMBER($H73)),$H73&lt;0,$H73&gt;1)),"Peso fuera de rango"&amp;" · ","")&amp;IF(AND($V73="Sub",$H73&lt;&gt;""),"Las subactividades no llevan peso (valen igual dentro de su macroactividad)"&amp;" · ","")&amp;IF(AND(N($W73)&gt;0,COUNT($I73:$L73)&gt;0),"Con subactividades: deje vacías las semanas (se calculan solas)"&amp;" · ","")&amp;IF((COUNTIF($I73:$L73,"&gt;1")+COUNTIF($I73:$L73,"&lt;0")+COUNTA($I73:$L73)-COUNT($I73:$L73))&gt;0,"Avance fuera de rango 0-100%"&amp;" · ","")&amp;IF(OR(AND($J73&lt;&gt;"",$J73&lt;$I73),AND($K73&lt;&gt;"",$K73&lt;MAX($I73:$J73)),AND($L73&lt;&gt;"",$L73&lt;MAX($I73:$K73))),"Avance semanal decreciente"&amp;" · ","")&amp;IF(AND(ISNUMBER($AN73),$AN73&lt;FechaRef,IF($V73="Sub",N($X73),N($M73))&lt;1),"Vencida"&amp;" · ","")&amp;IF(AND(ObsObligatoria="Sí",ISNUMBER($AN73),$AN73&lt;FechaRef,IF($V73="Sub",N($X73),N($M73))&lt;1,$Q73=""),"Vencida sin observación"&amp;" · ",""))="","✔ OK","⚠ "&amp;LEFT(IF($C73="","Falta el nombre de la actividad"&amp;" · ","")&amp;IF(AND($V73="Sub",N($U73)=0),"Subactividad sin macroactividad arriba"&amp;" · ","")&amp;IF($AM73="","Sin fecha de inicio"&amp;" · ","")&amp;IF($AN73="","Sin fecha límite"&amp;" · ","")&amp;IF(AND(LEFT($C73,11)="[Jefatura] ",N($AL73)=0),"No se encuentra en la hoja de la jefatura (elíjala de nuevo en la lista)"&amp;" · ","")&amp;IF(OR(AND($E73&lt;&gt;"",NOT(ISNUMBER($E73))),AND($F73&lt;&gt;"",NOT(ISNUMBER($F73))),AND($G73&lt;&gt;"",NOT(ISNUMBER($G73)))),"Fecha no válida"&amp;" · ","")&amp;IF(AND(ISNUMBER($AM73),ISNUMBER($AN73),$AM73&gt;$AN73),"Inicio posterior a fecha límite"&amp;" · ","")&amp;IF(AND($V73="Macro",$H73&lt;&gt;"",OR(NOT(ISNUMBER($H73)),$H73&lt;0,$H73&gt;1)),"Peso fuera de rango"&amp;" · ","")&amp;IF(AND($V73="Sub",$H73&lt;&gt;""),"Las subactividades no llevan peso (valen igual dentro de su macroactividad)"&amp;" · ","")&amp;IF(AND(N($W73)&gt;0,COUNT($I73:$L73)&gt;0),"Con subactividades: deje vacías las semanas (se calculan solas)"&amp;" · ","")&amp;IF((COUNTIF($I73:$L73,"&gt;1")+COUNTIF($I73:$L73,"&lt;0")+COUNTA($I73:$L73)-COUNT($I73:$L73))&gt;0,"Avance fuera de rango 0-100%"&amp;" · ","")&amp;IF(OR(AND($J73&lt;&gt;"",$J73&lt;$I73),AND($K73&lt;&gt;"",$K73&lt;MAX($I73:$J73)),AND($L73&lt;&gt;"",$L73&lt;MAX($I73:$K73))),"Avance semanal decreciente"&amp;" · ","")&amp;IF(AND(ISNUMBER($AN73),$AN73&lt;FechaRef,IF($V73="Sub",N($X73),N($M73))&lt;1),"Vencida"&amp;" · ","")&amp;IF(AND(ObsObligatoria="Sí",ISNUMBER($AN73),$AN73&lt;FechaRef,IF($V73="Sub",N($X73),N($M73))&lt;1,$Q73=""),"Vencida sin observación"&amp;" · ",""),LEN(IF($C73="","Falta el nombre de la actividad"&amp;" · ","")&amp;IF(AND($V73="Sub",N($U73)=0),"Subactividad sin macroactividad arriba"&amp;" · ","")&amp;IF($AM73="","Sin fecha de inicio"&amp;" · ","")&amp;IF($AN73="","Sin fecha límite"&amp;" · ","")&amp;IF(AND(LEFT($C73,11)="[Jefatura] ",N($AL73)=0),"No se encuentra en la hoja de la jefatura (elíjala de nuevo en la lista)"&amp;" · ","")&amp;IF(OR(AND($E73&lt;&gt;"",NOT(ISNUMBER($E73))),AND($F73&lt;&gt;"",NOT(ISNUMBER($F73))),AND($G73&lt;&gt;"",NOT(ISNUMBER($G73)))),"Fecha no válida"&amp;" · ","")&amp;IF(AND(ISNUMBER($AM73),ISNUMBER($AN73),$AM73&gt;$AN73),"Inicio posterior a fecha límite"&amp;" · ","")&amp;IF(AND($V73="Macro",$H73&lt;&gt;"",OR(NOT(ISNUMBER($H73)),$H73&lt;0,$H73&gt;1)),"Peso fuera de rango"&amp;" · ","")&amp;IF(AND($V73="Sub",$H73&lt;&gt;""),"Las subactividades no llevan peso (valen igual dentro de su macroactividad)"&amp;" · ","")&amp;IF(AND(N($W73)&gt;0,COUNT($I73:$L73)&gt;0),"Con subactividades: deje vacías las semanas (se calculan solas)"&amp;" · ","")&amp;IF((COUNTIF($I73:$L73,"&gt;1")+COUNTIF($I73:$L73,"&lt;0")+COUNTA($I73:$L73)-COUNT($I73:$L73))&gt;0,"Avance fuera de rango 0-100%"&amp;" · ","")&amp;IF(OR(AND($J73&lt;&gt;"",$J73&lt;$I73),AND($K73&lt;&gt;"",$K73&lt;MAX($I73:$J73)),AND($L73&lt;&gt;"",$L73&lt;MAX($I73:$K73))),"Avance semanal decreciente"&amp;" · ","")&amp;IF(AND(ISNUMBER($AN73),$AN73&lt;FechaRef,IF($V73="Sub",N($X73),N($M73))&lt;1),"Vencida"&amp;" · ","")&amp;IF(AND(ObsObligatoria="Sí",ISNUMBER($AN73),$AN73&lt;FechaRef,IF($V73="Sub",N($X73),N($M73))&lt;1,$Q73=""),"Vencida sin observación"&amp;" · ",""))-3)))</f>
        <v/>
      </c>
      <c r="S73" s="64">
        <f>IF(NOT((COUNTA($B73:$D73)+COUNTA($G73:$L73)+COUNTA($Q73))&gt;0),"",IF(AND($V73="Sub",N($U73)&gt;0),IF(ISNUMBER(INDEX($AM$5:$AM$1000,$U73-4)),DATE(YEAR(INDEX($AM$5:$AM$1000,$U73-4)),MONTH(INDEX($AM$5:$AM$1000,$U73-4)),1),IF(ISNUMBER(INDEX($AN$5:$AN$1000,$U73-4)),DATE(YEAR(INDEX($AN$5:$AN$1000,$U73-4)),MONTH(INDEX($AN$5:$AN$1000,$U73-4)),1),MesCiclo)),IF(ISNUMBER($AM73),DATE(YEAR($AM73),MONTH($AM73),1),IF(ISNUMBER($AN73),DATE(YEAR($AN73),MONTH($AN73),1),MesCiclo))))</f>
        <v/>
      </c>
      <c r="T73" s="62">
        <f>IF(OR($S73="",$S73&lt;&gt;MesCiclo,$V73&lt;&gt;"Macro"),"",COUNTIFS($S$5:$S73,MesCiclo,$V$5:$V73,"Macro"))</f>
        <v/>
      </c>
      <c r="U73" s="62">
        <f>IF($V73="","",IF($V73="Macro",ROW(),IFERROR(LOOKUP(2,1/($V$5:$V73="Macro"),ROW($V$5:$V73)),0)))</f>
        <v/>
      </c>
      <c r="V73" s="62">
        <f>IF(NOT((COUNTA($B73:$D73)+COUNTA($G73:$L73)+COUNTA($Q73))&gt;0),"",IF($B73="Subactividad","Sub","Macro"))</f>
        <v/>
      </c>
      <c r="W73" s="62">
        <f>IF($V73="Macro",COUNTIFS($U$5:$U$1000,ROW(),$V$5:$V$1000,"Sub"),"")</f>
        <v/>
      </c>
      <c r="X73" s="62">
        <f>IF($V73="","",IF(ISNUMBER($G73),1,IFERROR(LOOKUP(2,1/($I73:$L73&lt;&gt;""),$I73:$L73),0)))</f>
        <v/>
      </c>
      <c r="Y73" s="62">
        <f>IF($V73="","",IF(AND(ISNUMBER($G73),$G73&lt;=IF($S73=MesCiclo,InicioCiclo,$S73+MOD(2-WEEKDAY($S73),7))+6),1,IF(ISNUMBER($I73),$I73,0)))</f>
        <v/>
      </c>
      <c r="Z73" s="62">
        <f>IF($V73="","",IF(AND(ISNUMBER($G73),$G73&lt;=IF($S73=MesCiclo,InicioCiclo,$S73+MOD(2-WEEKDAY($S73),7))+13),1,IF(ISNUMBER($J73),$J73,$Y73)))</f>
        <v/>
      </c>
      <c r="AA73" s="62">
        <f>IF($V73="","",IF(AND(ISNUMBER($G73),$G73&lt;=IF($S73=MesCiclo,InicioCiclo,$S73+MOD(2-WEEKDAY($S73),7))+20),1,IF(ISNUMBER($K73),$K73,$Z73)))</f>
        <v/>
      </c>
      <c r="AB73" s="62">
        <f>IF($V73="","",IF(AND(ISNUMBER($G73),$G73&lt;=IF($S73=MesCiclo,InicioCiclo,$S73+MOD(2-WEEKDAY($S73),7))+27),1,IF(ISNUMBER($L73),$L73,$AA73)))</f>
        <v/>
      </c>
      <c r="AC73" s="62">
        <f>IF($V73="","",IF(AND(ISNUMBER($G73),$G73&lt;=IF($S73=MesCiclo,InicioCiclo,$S73+MOD(2-WEEKDAY($S73),7))+6),1,IF(N($W73)&gt;0,AVERAGEIFS($Y$5:$Y$1000,$U$5:$U$1000,ROW(),$V$5:$V$1000,"Sub"),$Y73)))</f>
        <v/>
      </c>
      <c r="AD73" s="62">
        <f>IF($V73="","",IF(AND(ISNUMBER($G73),$G73&lt;=IF($S73=MesCiclo,InicioCiclo,$S73+MOD(2-WEEKDAY($S73),7))+13),1,IF(N($W73)&gt;0,AVERAGEIFS($Z$5:$Z$1000,$U$5:$U$1000,ROW(),$V$5:$V$1000,"Sub"),$Z73)))</f>
        <v/>
      </c>
      <c r="AE73" s="62">
        <f>IF($V73="","",IF(AND(ISNUMBER($G73),$G73&lt;=IF($S73=MesCiclo,InicioCiclo,$S73+MOD(2-WEEKDAY($S73),7))+20),1,IF(N($W73)&gt;0,AVERAGEIFS($AA$5:$AA$1000,$U$5:$U$1000,ROW(),$V$5:$V$1000,"Sub"),$AA73)))</f>
        <v/>
      </c>
      <c r="AF73" s="62">
        <f>IF($V73="","",IF(AND(ISNUMBER($G73),$G73&lt;=IF($S73=MesCiclo,InicioCiclo,$S73+MOD(2-WEEKDAY($S73),7))+27),1,IF(N($W73)&gt;0,AVERAGEIFS($AB$5:$AB$1000,$U$5:$U$1000,ROW(),$V$5:$V$1000,"Sub"),$AB73)))</f>
        <v/>
      </c>
      <c r="AG73" s="62">
        <f>IF($V73&lt;&gt;"Macro","",IF(COUNTIFS($S$5:$S$1000,$S73,$V$5:$V$1000,"Macro",$H$5:$H$1000,"&gt;0")=0,1/COUNTIFS($S$5:$S$1000,$S73,$V$5:$V$1000,"Macro"),IF(AND(ISNUMBER($H73),N($H73)&gt;0),$H73,SUMIFS($H$5:$H$1000,$S$5:$S$1000,$S73,$V$5:$V$1000,"Macro")/COUNTIFS($S$5:$S$1000,$S73,$V$5:$V$1000,"Macro",$H$5:$H$1000,"&gt;0"))/(COUNTIFS($S$5:$S$1000,$S73,$V$5:$V$1000,"Macro")*SUMIFS($H$5:$H$1000,$S$5:$S$1000,$S73,$V$5:$V$1000,"Macro")/COUNTIFS($S$5:$S$1000,$S73,$V$5:$V$1000,"Macro",$H$5:$H$1000,"&gt;0"))))</f>
        <v/>
      </c>
      <c r="AH73" s="62" t="n"/>
      <c r="AI73" s="62" t="n"/>
      <c r="AJ73" s="62" t="n"/>
      <c r="AK73" s="62" t="n"/>
      <c r="AL73" s="62">
        <f>IF(LEFT($C73,11)="[Jefatura] ",IFERROR(MATCH("Riesgo Operacional|"&amp;MID($C73,12,500),rDname_ADM,0),0),"")</f>
        <v/>
      </c>
      <c r="AM73" s="62">
        <f>IF(N($AL73)&gt;0,INDEX(rIni_ADM,$AL73),IF(ISNUMBER($E73),$E73,""))</f>
        <v/>
      </c>
      <c r="AN73" s="62">
        <f>IF(N($AL73)&gt;0,INDEX(rLim_ADM,$AL73),IF(ISNUMBER($F73),$F73,""))</f>
        <v/>
      </c>
    </row>
    <row r="74">
      <c r="A74" s="56">
        <f>IF(NOT((COUNTA($B74:$D74)+COUNTA($G74:$L74)+COUNTA($Q74))&gt;0),"",IF($V74="Macro",COUNTIFS($V$5:$V74,"Macro",$S$5:$S74,$S74),IF(N($U74)=0,"?",COUNTIFS(INDEX($V$5:$V$1000,1):INDEX($V$5:$V$1000,$U74-4),"Macro",INDEX($S$5:$S$1000,1):INDEX($S$5:$S$1000,$U74-4),INDEX($S$5:$S$1000,$U74-4))&amp;"."&amp;COUNTIFS($U$5:$U74,$U74,$V$5:$V74,"Sub"))))</f>
        <v/>
      </c>
      <c r="B74" s="57" t="n"/>
      <c r="C74" s="58" t="n"/>
      <c r="D74" s="58" t="n"/>
      <c r="E74" s="59">
        <f>IF(N($AL74)&gt;0,INDEX(rIni_ADM,$AL74),"")</f>
        <v/>
      </c>
      <c r="F74" s="59">
        <f>IF(N($AL74)&gt;0,INDEX(rLim_ADM,$AL74),"")</f>
        <v/>
      </c>
      <c r="G74" s="59" t="n"/>
      <c r="H74" s="60" t="n"/>
      <c r="I74" s="60" t="n"/>
      <c r="J74" s="60" t="n"/>
      <c r="K74" s="60" t="n"/>
      <c r="L74" s="60" t="n"/>
      <c r="M74" s="61">
        <f>IF(NOT((COUNTA($B74:$D74)+COUNTA($G74:$L74)+COUNTA($Q74))&gt;0),"",IF($V74="Sub",IFERROR($X74/INDEX($W$5:$W$1000,$U74-4),""),IF(ISNUMBER($G74),1,IF(N($W74)&gt;0,AVERAGEIFS($X$5:$X$1000,$U$5:$U$1000,ROW(),$V$5:$V$1000,"Sub"),$X74))))</f>
        <v/>
      </c>
      <c r="N74" s="56">
        <f>IF(OR($M74="",$V74="Sub"),"",IF($M74&gt;=1,"Completado",IF($M74&gt;0,"En curso","Pendiente")))</f>
        <v/>
      </c>
      <c r="O74" s="56">
        <f>IF(OR(NOT((COUNTA($B74:$D74)+COUNTA($G74:$L74)+COUNTA($Q74))&gt;0),$V74="Sub"),"",IF(ISNUMBER($G74),IF(AND(ISNUMBER($AN74),$G74&gt;$AN74),"Cumplida con "&amp;($G74-$AN74)&amp;IF($G74-$AN74=1," día"," días")&amp;" de retraso","Cumplida"),IF(N($M74)&gt;=1,"Cumplida",IF(NOT(ISNUMBER($AN74)),"Sin fecha límite",IF($AN74&lt;FechaRef,"Vencida hace "&amp;(FechaRef-$AN74)&amp;IF(FechaRef-$AN74=1," día"," días"),IF($AN74=FechaRef,"Vence hoy",IF($AN74-FechaRef&lt;=DiasAlerta,"Vence en "&amp;($AN74-FechaRef)&amp;IF($AN74-FechaRef=1," día"," días"),"En plazo")))))))</f>
        <v/>
      </c>
      <c r="P74" s="62" t="n"/>
      <c r="Q74" s="58" t="n"/>
      <c r="R74" s="63">
        <f>IF(NOT((COUNTA($B74:$D74)+COUNTA($G74:$L74)+COUNTA($Q74))&gt;0),"",IF((IF($C74="","Falta el nombre de la actividad"&amp;" · ","")&amp;IF(AND($V74="Sub",N($U74)=0),"Subactividad sin macroactividad arriba"&amp;" · ","")&amp;IF($AM74="","Sin fecha de inicio"&amp;" · ","")&amp;IF($AN74="","Sin fecha límite"&amp;" · ","")&amp;IF(AND(LEFT($C74,11)="[Jefatura] ",N($AL74)=0),"No se encuentra en la hoja de la jefatura (elíjala de nuevo en la lista)"&amp;" · ","")&amp;IF(OR(AND($E74&lt;&gt;"",NOT(ISNUMBER($E74))),AND($F74&lt;&gt;"",NOT(ISNUMBER($F74))),AND($G74&lt;&gt;"",NOT(ISNUMBER($G74)))),"Fecha no válida"&amp;" · ","")&amp;IF(AND(ISNUMBER($AM74),ISNUMBER($AN74),$AM74&gt;$AN74),"Inicio posterior a fecha límite"&amp;" · ","")&amp;IF(AND($V74="Macro",$H74&lt;&gt;"",OR(NOT(ISNUMBER($H74)),$H74&lt;0,$H74&gt;1)),"Peso fuera de rango"&amp;" · ","")&amp;IF(AND($V74="Sub",$H74&lt;&gt;""),"Las subactividades no llevan peso (valen igual dentro de su macroactividad)"&amp;" · ","")&amp;IF(AND(N($W74)&gt;0,COUNT($I74:$L74)&gt;0),"Con subactividades: deje vacías las semanas (se calculan solas)"&amp;" · ","")&amp;IF((COUNTIF($I74:$L74,"&gt;1")+COUNTIF($I74:$L74,"&lt;0")+COUNTA($I74:$L74)-COUNT($I74:$L74))&gt;0,"Avance fuera de rango 0-100%"&amp;" · ","")&amp;IF(OR(AND($J74&lt;&gt;"",$J74&lt;$I74),AND($K74&lt;&gt;"",$K74&lt;MAX($I74:$J74)),AND($L74&lt;&gt;"",$L74&lt;MAX($I74:$K74))),"Avance semanal decreciente"&amp;" · ","")&amp;IF(AND(ISNUMBER($AN74),$AN74&lt;FechaRef,IF($V74="Sub",N($X74),N($M74))&lt;1),"Vencida"&amp;" · ","")&amp;IF(AND(ObsObligatoria="Sí",ISNUMBER($AN74),$AN74&lt;FechaRef,IF($V74="Sub",N($X74),N($M74))&lt;1,$Q74=""),"Vencida sin observación"&amp;" · ",""))="","✔ OK","⚠ "&amp;LEFT(IF($C74="","Falta el nombre de la actividad"&amp;" · ","")&amp;IF(AND($V74="Sub",N($U74)=0),"Subactividad sin macroactividad arriba"&amp;" · ","")&amp;IF($AM74="","Sin fecha de inicio"&amp;" · ","")&amp;IF($AN74="","Sin fecha límite"&amp;" · ","")&amp;IF(AND(LEFT($C74,11)="[Jefatura] ",N($AL74)=0),"No se encuentra en la hoja de la jefatura (elíjala de nuevo en la lista)"&amp;" · ","")&amp;IF(OR(AND($E74&lt;&gt;"",NOT(ISNUMBER($E74))),AND($F74&lt;&gt;"",NOT(ISNUMBER($F74))),AND($G74&lt;&gt;"",NOT(ISNUMBER($G74)))),"Fecha no válida"&amp;" · ","")&amp;IF(AND(ISNUMBER($AM74),ISNUMBER($AN74),$AM74&gt;$AN74),"Inicio posterior a fecha límite"&amp;" · ","")&amp;IF(AND($V74="Macro",$H74&lt;&gt;"",OR(NOT(ISNUMBER($H74)),$H74&lt;0,$H74&gt;1)),"Peso fuera de rango"&amp;" · ","")&amp;IF(AND($V74="Sub",$H74&lt;&gt;""),"Las subactividades no llevan peso (valen igual dentro de su macroactividad)"&amp;" · ","")&amp;IF(AND(N($W74)&gt;0,COUNT($I74:$L74)&gt;0),"Con subactividades: deje vacías las semanas (se calculan solas)"&amp;" · ","")&amp;IF((COUNTIF($I74:$L74,"&gt;1")+COUNTIF($I74:$L74,"&lt;0")+COUNTA($I74:$L74)-COUNT($I74:$L74))&gt;0,"Avance fuera de rango 0-100%"&amp;" · ","")&amp;IF(OR(AND($J74&lt;&gt;"",$J74&lt;$I74),AND($K74&lt;&gt;"",$K74&lt;MAX($I74:$J74)),AND($L74&lt;&gt;"",$L74&lt;MAX($I74:$K74))),"Avance semanal decreciente"&amp;" · ","")&amp;IF(AND(ISNUMBER($AN74),$AN74&lt;FechaRef,IF($V74="Sub",N($X74),N($M74))&lt;1),"Vencida"&amp;" · ","")&amp;IF(AND(ObsObligatoria="Sí",ISNUMBER($AN74),$AN74&lt;FechaRef,IF($V74="Sub",N($X74),N($M74))&lt;1,$Q74=""),"Vencida sin observación"&amp;" · ",""),LEN(IF($C74="","Falta el nombre de la actividad"&amp;" · ","")&amp;IF(AND($V74="Sub",N($U74)=0),"Subactividad sin macroactividad arriba"&amp;" · ","")&amp;IF($AM74="","Sin fecha de inicio"&amp;" · ","")&amp;IF($AN74="","Sin fecha límite"&amp;" · ","")&amp;IF(AND(LEFT($C74,11)="[Jefatura] ",N($AL74)=0),"No se encuentra en la hoja de la jefatura (elíjala de nuevo en la lista)"&amp;" · ","")&amp;IF(OR(AND($E74&lt;&gt;"",NOT(ISNUMBER($E74))),AND($F74&lt;&gt;"",NOT(ISNUMBER($F74))),AND($G74&lt;&gt;"",NOT(ISNUMBER($G74)))),"Fecha no válida"&amp;" · ","")&amp;IF(AND(ISNUMBER($AM74),ISNUMBER($AN74),$AM74&gt;$AN74),"Inicio posterior a fecha límite"&amp;" · ","")&amp;IF(AND($V74="Macro",$H74&lt;&gt;"",OR(NOT(ISNUMBER($H74)),$H74&lt;0,$H74&gt;1)),"Peso fuera de rango"&amp;" · ","")&amp;IF(AND($V74="Sub",$H74&lt;&gt;""),"Las subactividades no llevan peso (valen igual dentro de su macroactividad)"&amp;" · ","")&amp;IF(AND(N($W74)&gt;0,COUNT($I74:$L74)&gt;0),"Con subactividades: deje vacías las semanas (se calculan solas)"&amp;" · ","")&amp;IF((COUNTIF($I74:$L74,"&gt;1")+COUNTIF($I74:$L74,"&lt;0")+COUNTA($I74:$L74)-COUNT($I74:$L74))&gt;0,"Avance fuera de rango 0-100%"&amp;" · ","")&amp;IF(OR(AND($J74&lt;&gt;"",$J74&lt;$I74),AND($K74&lt;&gt;"",$K74&lt;MAX($I74:$J74)),AND($L74&lt;&gt;"",$L74&lt;MAX($I74:$K74))),"Avance semanal decreciente"&amp;" · ","")&amp;IF(AND(ISNUMBER($AN74),$AN74&lt;FechaRef,IF($V74="Sub",N($X74),N($M74))&lt;1),"Vencida"&amp;" · ","")&amp;IF(AND(ObsObligatoria="Sí",ISNUMBER($AN74),$AN74&lt;FechaRef,IF($V74="Sub",N($X74),N($M74))&lt;1,$Q74=""),"Vencida sin observación"&amp;" · ",""))-3)))</f>
        <v/>
      </c>
      <c r="S74" s="64">
        <f>IF(NOT((COUNTA($B74:$D74)+COUNTA($G74:$L74)+COUNTA($Q74))&gt;0),"",IF(AND($V74="Sub",N($U74)&gt;0),IF(ISNUMBER(INDEX($AM$5:$AM$1000,$U74-4)),DATE(YEAR(INDEX($AM$5:$AM$1000,$U74-4)),MONTH(INDEX($AM$5:$AM$1000,$U74-4)),1),IF(ISNUMBER(INDEX($AN$5:$AN$1000,$U74-4)),DATE(YEAR(INDEX($AN$5:$AN$1000,$U74-4)),MONTH(INDEX($AN$5:$AN$1000,$U74-4)),1),MesCiclo)),IF(ISNUMBER($AM74),DATE(YEAR($AM74),MONTH($AM74),1),IF(ISNUMBER($AN74),DATE(YEAR($AN74),MONTH($AN74),1),MesCiclo))))</f>
        <v/>
      </c>
      <c r="T74" s="62">
        <f>IF(OR($S74="",$S74&lt;&gt;MesCiclo,$V74&lt;&gt;"Macro"),"",COUNTIFS($S$5:$S74,MesCiclo,$V$5:$V74,"Macro"))</f>
        <v/>
      </c>
      <c r="U74" s="62">
        <f>IF($V74="","",IF($V74="Macro",ROW(),IFERROR(LOOKUP(2,1/($V$5:$V74="Macro"),ROW($V$5:$V74)),0)))</f>
        <v/>
      </c>
      <c r="V74" s="62">
        <f>IF(NOT((COUNTA($B74:$D74)+COUNTA($G74:$L74)+COUNTA($Q74))&gt;0),"",IF($B74="Subactividad","Sub","Macro"))</f>
        <v/>
      </c>
      <c r="W74" s="62">
        <f>IF($V74="Macro",COUNTIFS($U$5:$U$1000,ROW(),$V$5:$V$1000,"Sub"),"")</f>
        <v/>
      </c>
      <c r="X74" s="62">
        <f>IF($V74="","",IF(ISNUMBER($G74),1,IFERROR(LOOKUP(2,1/($I74:$L74&lt;&gt;""),$I74:$L74),0)))</f>
        <v/>
      </c>
      <c r="Y74" s="62">
        <f>IF($V74="","",IF(AND(ISNUMBER($G74),$G74&lt;=IF($S74=MesCiclo,InicioCiclo,$S74+MOD(2-WEEKDAY($S74),7))+6),1,IF(ISNUMBER($I74),$I74,0)))</f>
        <v/>
      </c>
      <c r="Z74" s="62">
        <f>IF($V74="","",IF(AND(ISNUMBER($G74),$G74&lt;=IF($S74=MesCiclo,InicioCiclo,$S74+MOD(2-WEEKDAY($S74),7))+13),1,IF(ISNUMBER($J74),$J74,$Y74)))</f>
        <v/>
      </c>
      <c r="AA74" s="62">
        <f>IF($V74="","",IF(AND(ISNUMBER($G74),$G74&lt;=IF($S74=MesCiclo,InicioCiclo,$S74+MOD(2-WEEKDAY($S74),7))+20),1,IF(ISNUMBER($K74),$K74,$Z74)))</f>
        <v/>
      </c>
      <c r="AB74" s="62">
        <f>IF($V74="","",IF(AND(ISNUMBER($G74),$G74&lt;=IF($S74=MesCiclo,InicioCiclo,$S74+MOD(2-WEEKDAY($S74),7))+27),1,IF(ISNUMBER($L74),$L74,$AA74)))</f>
        <v/>
      </c>
      <c r="AC74" s="62">
        <f>IF($V74="","",IF(AND(ISNUMBER($G74),$G74&lt;=IF($S74=MesCiclo,InicioCiclo,$S74+MOD(2-WEEKDAY($S74),7))+6),1,IF(N($W74)&gt;0,AVERAGEIFS($Y$5:$Y$1000,$U$5:$U$1000,ROW(),$V$5:$V$1000,"Sub"),$Y74)))</f>
        <v/>
      </c>
      <c r="AD74" s="62">
        <f>IF($V74="","",IF(AND(ISNUMBER($G74),$G74&lt;=IF($S74=MesCiclo,InicioCiclo,$S74+MOD(2-WEEKDAY($S74),7))+13),1,IF(N($W74)&gt;0,AVERAGEIFS($Z$5:$Z$1000,$U$5:$U$1000,ROW(),$V$5:$V$1000,"Sub"),$Z74)))</f>
        <v/>
      </c>
      <c r="AE74" s="62">
        <f>IF($V74="","",IF(AND(ISNUMBER($G74),$G74&lt;=IF($S74=MesCiclo,InicioCiclo,$S74+MOD(2-WEEKDAY($S74),7))+20),1,IF(N($W74)&gt;0,AVERAGEIFS($AA$5:$AA$1000,$U$5:$U$1000,ROW(),$V$5:$V$1000,"Sub"),$AA74)))</f>
        <v/>
      </c>
      <c r="AF74" s="62">
        <f>IF($V74="","",IF(AND(ISNUMBER($G74),$G74&lt;=IF($S74=MesCiclo,InicioCiclo,$S74+MOD(2-WEEKDAY($S74),7))+27),1,IF(N($W74)&gt;0,AVERAGEIFS($AB$5:$AB$1000,$U$5:$U$1000,ROW(),$V$5:$V$1000,"Sub"),$AB74)))</f>
        <v/>
      </c>
      <c r="AG74" s="62">
        <f>IF($V74&lt;&gt;"Macro","",IF(COUNTIFS($S$5:$S$1000,$S74,$V$5:$V$1000,"Macro",$H$5:$H$1000,"&gt;0")=0,1/COUNTIFS($S$5:$S$1000,$S74,$V$5:$V$1000,"Macro"),IF(AND(ISNUMBER($H74),N($H74)&gt;0),$H74,SUMIFS($H$5:$H$1000,$S$5:$S$1000,$S74,$V$5:$V$1000,"Macro")/COUNTIFS($S$5:$S$1000,$S74,$V$5:$V$1000,"Macro",$H$5:$H$1000,"&gt;0"))/(COUNTIFS($S$5:$S$1000,$S74,$V$5:$V$1000,"Macro")*SUMIFS($H$5:$H$1000,$S$5:$S$1000,$S74,$V$5:$V$1000,"Macro")/COUNTIFS($S$5:$S$1000,$S74,$V$5:$V$1000,"Macro",$H$5:$H$1000,"&gt;0"))))</f>
        <v/>
      </c>
      <c r="AH74" s="62" t="n"/>
      <c r="AI74" s="62" t="n"/>
      <c r="AJ74" s="62" t="n"/>
      <c r="AK74" s="62" t="n"/>
      <c r="AL74" s="62">
        <f>IF(LEFT($C74,11)="[Jefatura] ",IFERROR(MATCH("Riesgo Operacional|"&amp;MID($C74,12,500),rDname_ADM,0),0),"")</f>
        <v/>
      </c>
      <c r="AM74" s="62">
        <f>IF(N($AL74)&gt;0,INDEX(rIni_ADM,$AL74),IF(ISNUMBER($E74),$E74,""))</f>
        <v/>
      </c>
      <c r="AN74" s="62">
        <f>IF(N($AL74)&gt;0,INDEX(rLim_ADM,$AL74),IF(ISNUMBER($F74),$F74,""))</f>
        <v/>
      </c>
    </row>
    <row r="75">
      <c r="A75" s="56">
        <f>IF(NOT((COUNTA($B75:$D75)+COUNTA($G75:$L75)+COUNTA($Q75))&gt;0),"",IF($V75="Macro",COUNTIFS($V$5:$V75,"Macro",$S$5:$S75,$S75),IF(N($U75)=0,"?",COUNTIFS(INDEX($V$5:$V$1000,1):INDEX($V$5:$V$1000,$U75-4),"Macro",INDEX($S$5:$S$1000,1):INDEX($S$5:$S$1000,$U75-4),INDEX($S$5:$S$1000,$U75-4))&amp;"."&amp;COUNTIFS($U$5:$U75,$U75,$V$5:$V75,"Sub"))))</f>
        <v/>
      </c>
      <c r="B75" s="57" t="n"/>
      <c r="C75" s="58" t="n"/>
      <c r="D75" s="58" t="n"/>
      <c r="E75" s="59">
        <f>IF(N($AL75)&gt;0,INDEX(rIni_ADM,$AL75),"")</f>
        <v/>
      </c>
      <c r="F75" s="59">
        <f>IF(N($AL75)&gt;0,INDEX(rLim_ADM,$AL75),"")</f>
        <v/>
      </c>
      <c r="G75" s="59" t="n"/>
      <c r="H75" s="60" t="n"/>
      <c r="I75" s="60" t="n"/>
      <c r="J75" s="60" t="n"/>
      <c r="K75" s="60" t="n"/>
      <c r="L75" s="60" t="n"/>
      <c r="M75" s="61">
        <f>IF(NOT((COUNTA($B75:$D75)+COUNTA($G75:$L75)+COUNTA($Q75))&gt;0),"",IF($V75="Sub",IFERROR($X75/INDEX($W$5:$W$1000,$U75-4),""),IF(ISNUMBER($G75),1,IF(N($W75)&gt;0,AVERAGEIFS($X$5:$X$1000,$U$5:$U$1000,ROW(),$V$5:$V$1000,"Sub"),$X75))))</f>
        <v/>
      </c>
      <c r="N75" s="56">
        <f>IF(OR($M75="",$V75="Sub"),"",IF($M75&gt;=1,"Completado",IF($M75&gt;0,"En curso","Pendiente")))</f>
        <v/>
      </c>
      <c r="O75" s="56">
        <f>IF(OR(NOT((COUNTA($B75:$D75)+COUNTA($G75:$L75)+COUNTA($Q75))&gt;0),$V75="Sub"),"",IF(ISNUMBER($G75),IF(AND(ISNUMBER($AN75),$G75&gt;$AN75),"Cumplida con "&amp;($G75-$AN75)&amp;IF($G75-$AN75=1," día"," días")&amp;" de retraso","Cumplida"),IF(N($M75)&gt;=1,"Cumplida",IF(NOT(ISNUMBER($AN75)),"Sin fecha límite",IF($AN75&lt;FechaRef,"Vencida hace "&amp;(FechaRef-$AN75)&amp;IF(FechaRef-$AN75=1," día"," días"),IF($AN75=FechaRef,"Vence hoy",IF($AN75-FechaRef&lt;=DiasAlerta,"Vence en "&amp;($AN75-FechaRef)&amp;IF($AN75-FechaRef=1," día"," días"),"En plazo")))))))</f>
        <v/>
      </c>
      <c r="P75" s="62" t="n"/>
      <c r="Q75" s="58" t="n"/>
      <c r="R75" s="63">
        <f>IF(NOT((COUNTA($B75:$D75)+COUNTA($G75:$L75)+COUNTA($Q75))&gt;0),"",IF((IF($C75="","Falta el nombre de la actividad"&amp;" · ","")&amp;IF(AND($V75="Sub",N($U75)=0),"Subactividad sin macroactividad arriba"&amp;" · ","")&amp;IF($AM75="","Sin fecha de inicio"&amp;" · ","")&amp;IF($AN75="","Sin fecha límite"&amp;" · ","")&amp;IF(AND(LEFT($C75,11)="[Jefatura] ",N($AL75)=0),"No se encuentra en la hoja de la jefatura (elíjala de nuevo en la lista)"&amp;" · ","")&amp;IF(OR(AND($E75&lt;&gt;"",NOT(ISNUMBER($E75))),AND($F75&lt;&gt;"",NOT(ISNUMBER($F75))),AND($G75&lt;&gt;"",NOT(ISNUMBER($G75)))),"Fecha no válida"&amp;" · ","")&amp;IF(AND(ISNUMBER($AM75),ISNUMBER($AN75),$AM75&gt;$AN75),"Inicio posterior a fecha límite"&amp;" · ","")&amp;IF(AND($V75="Macro",$H75&lt;&gt;"",OR(NOT(ISNUMBER($H75)),$H75&lt;0,$H75&gt;1)),"Peso fuera de rango"&amp;" · ","")&amp;IF(AND($V75="Sub",$H75&lt;&gt;""),"Las subactividades no llevan peso (valen igual dentro de su macroactividad)"&amp;" · ","")&amp;IF(AND(N($W75)&gt;0,COUNT($I75:$L75)&gt;0),"Con subactividades: deje vacías las semanas (se calculan solas)"&amp;" · ","")&amp;IF((COUNTIF($I75:$L75,"&gt;1")+COUNTIF($I75:$L75,"&lt;0")+COUNTA($I75:$L75)-COUNT($I75:$L75))&gt;0,"Avance fuera de rango 0-100%"&amp;" · ","")&amp;IF(OR(AND($J75&lt;&gt;"",$J75&lt;$I75),AND($K75&lt;&gt;"",$K75&lt;MAX($I75:$J75)),AND($L75&lt;&gt;"",$L75&lt;MAX($I75:$K75))),"Avance semanal decreciente"&amp;" · ","")&amp;IF(AND(ISNUMBER($AN75),$AN75&lt;FechaRef,IF($V75="Sub",N($X75),N($M75))&lt;1),"Vencida"&amp;" · ","")&amp;IF(AND(ObsObligatoria="Sí",ISNUMBER($AN75),$AN75&lt;FechaRef,IF($V75="Sub",N($X75),N($M75))&lt;1,$Q75=""),"Vencida sin observación"&amp;" · ",""))="","✔ OK","⚠ "&amp;LEFT(IF($C75="","Falta el nombre de la actividad"&amp;" · ","")&amp;IF(AND($V75="Sub",N($U75)=0),"Subactividad sin macroactividad arriba"&amp;" · ","")&amp;IF($AM75="","Sin fecha de inicio"&amp;" · ","")&amp;IF($AN75="","Sin fecha límite"&amp;" · ","")&amp;IF(AND(LEFT($C75,11)="[Jefatura] ",N($AL75)=0),"No se encuentra en la hoja de la jefatura (elíjala de nuevo en la lista)"&amp;" · ","")&amp;IF(OR(AND($E75&lt;&gt;"",NOT(ISNUMBER($E75))),AND($F75&lt;&gt;"",NOT(ISNUMBER($F75))),AND($G75&lt;&gt;"",NOT(ISNUMBER($G75)))),"Fecha no válida"&amp;" · ","")&amp;IF(AND(ISNUMBER($AM75),ISNUMBER($AN75),$AM75&gt;$AN75),"Inicio posterior a fecha límite"&amp;" · ","")&amp;IF(AND($V75="Macro",$H75&lt;&gt;"",OR(NOT(ISNUMBER($H75)),$H75&lt;0,$H75&gt;1)),"Peso fuera de rango"&amp;" · ","")&amp;IF(AND($V75="Sub",$H75&lt;&gt;""),"Las subactividades no llevan peso (valen igual dentro de su macroactividad)"&amp;" · ","")&amp;IF(AND(N($W75)&gt;0,COUNT($I75:$L75)&gt;0),"Con subactividades: deje vacías las semanas (se calculan solas)"&amp;" · ","")&amp;IF((COUNTIF($I75:$L75,"&gt;1")+COUNTIF($I75:$L75,"&lt;0")+COUNTA($I75:$L75)-COUNT($I75:$L75))&gt;0,"Avance fuera de rango 0-100%"&amp;" · ","")&amp;IF(OR(AND($J75&lt;&gt;"",$J75&lt;$I75),AND($K75&lt;&gt;"",$K75&lt;MAX($I75:$J75)),AND($L75&lt;&gt;"",$L75&lt;MAX($I75:$K75))),"Avance semanal decreciente"&amp;" · ","")&amp;IF(AND(ISNUMBER($AN75),$AN75&lt;FechaRef,IF($V75="Sub",N($X75),N($M75))&lt;1),"Vencida"&amp;" · ","")&amp;IF(AND(ObsObligatoria="Sí",ISNUMBER($AN75),$AN75&lt;FechaRef,IF($V75="Sub",N($X75),N($M75))&lt;1,$Q75=""),"Vencida sin observación"&amp;" · ",""),LEN(IF($C75="","Falta el nombre de la actividad"&amp;" · ","")&amp;IF(AND($V75="Sub",N($U75)=0),"Subactividad sin macroactividad arriba"&amp;" · ","")&amp;IF($AM75="","Sin fecha de inicio"&amp;" · ","")&amp;IF($AN75="","Sin fecha límite"&amp;" · ","")&amp;IF(AND(LEFT($C75,11)="[Jefatura] ",N($AL75)=0),"No se encuentra en la hoja de la jefatura (elíjala de nuevo en la lista)"&amp;" · ","")&amp;IF(OR(AND($E75&lt;&gt;"",NOT(ISNUMBER($E75))),AND($F75&lt;&gt;"",NOT(ISNUMBER($F75))),AND($G75&lt;&gt;"",NOT(ISNUMBER($G75)))),"Fecha no válida"&amp;" · ","")&amp;IF(AND(ISNUMBER($AM75),ISNUMBER($AN75),$AM75&gt;$AN75),"Inicio posterior a fecha límite"&amp;" · ","")&amp;IF(AND($V75="Macro",$H75&lt;&gt;"",OR(NOT(ISNUMBER($H75)),$H75&lt;0,$H75&gt;1)),"Peso fuera de rango"&amp;" · ","")&amp;IF(AND($V75="Sub",$H75&lt;&gt;""),"Las subactividades no llevan peso (valen igual dentro de su macroactividad)"&amp;" · ","")&amp;IF(AND(N($W75)&gt;0,COUNT($I75:$L75)&gt;0),"Con subactividades: deje vacías las semanas (se calculan solas)"&amp;" · ","")&amp;IF((COUNTIF($I75:$L75,"&gt;1")+COUNTIF($I75:$L75,"&lt;0")+COUNTA($I75:$L75)-COUNT($I75:$L75))&gt;0,"Avance fuera de rango 0-100%"&amp;" · ","")&amp;IF(OR(AND($J75&lt;&gt;"",$J75&lt;$I75),AND($K75&lt;&gt;"",$K75&lt;MAX($I75:$J75)),AND($L75&lt;&gt;"",$L75&lt;MAX($I75:$K75))),"Avance semanal decreciente"&amp;" · ","")&amp;IF(AND(ISNUMBER($AN75),$AN75&lt;FechaRef,IF($V75="Sub",N($X75),N($M75))&lt;1),"Vencida"&amp;" · ","")&amp;IF(AND(ObsObligatoria="Sí",ISNUMBER($AN75),$AN75&lt;FechaRef,IF($V75="Sub",N($X75),N($M75))&lt;1,$Q75=""),"Vencida sin observación"&amp;" · ",""))-3)))</f>
        <v/>
      </c>
      <c r="S75" s="64">
        <f>IF(NOT((COUNTA($B75:$D75)+COUNTA($G75:$L75)+COUNTA($Q75))&gt;0),"",IF(AND($V75="Sub",N($U75)&gt;0),IF(ISNUMBER(INDEX($AM$5:$AM$1000,$U75-4)),DATE(YEAR(INDEX($AM$5:$AM$1000,$U75-4)),MONTH(INDEX($AM$5:$AM$1000,$U75-4)),1),IF(ISNUMBER(INDEX($AN$5:$AN$1000,$U75-4)),DATE(YEAR(INDEX($AN$5:$AN$1000,$U75-4)),MONTH(INDEX($AN$5:$AN$1000,$U75-4)),1),MesCiclo)),IF(ISNUMBER($AM75),DATE(YEAR($AM75),MONTH($AM75),1),IF(ISNUMBER($AN75),DATE(YEAR($AN75),MONTH($AN75),1),MesCiclo))))</f>
        <v/>
      </c>
      <c r="T75" s="62">
        <f>IF(OR($S75="",$S75&lt;&gt;MesCiclo,$V75&lt;&gt;"Macro"),"",COUNTIFS($S$5:$S75,MesCiclo,$V$5:$V75,"Macro"))</f>
        <v/>
      </c>
      <c r="U75" s="62">
        <f>IF($V75="","",IF($V75="Macro",ROW(),IFERROR(LOOKUP(2,1/($V$5:$V75="Macro"),ROW($V$5:$V75)),0)))</f>
        <v/>
      </c>
      <c r="V75" s="62">
        <f>IF(NOT((COUNTA($B75:$D75)+COUNTA($G75:$L75)+COUNTA($Q75))&gt;0),"",IF($B75="Subactividad","Sub","Macro"))</f>
        <v/>
      </c>
      <c r="W75" s="62">
        <f>IF($V75="Macro",COUNTIFS($U$5:$U$1000,ROW(),$V$5:$V$1000,"Sub"),"")</f>
        <v/>
      </c>
      <c r="X75" s="62">
        <f>IF($V75="","",IF(ISNUMBER($G75),1,IFERROR(LOOKUP(2,1/($I75:$L75&lt;&gt;""),$I75:$L75),0)))</f>
        <v/>
      </c>
      <c r="Y75" s="62">
        <f>IF($V75="","",IF(AND(ISNUMBER($G75),$G75&lt;=IF($S75=MesCiclo,InicioCiclo,$S75+MOD(2-WEEKDAY($S75),7))+6),1,IF(ISNUMBER($I75),$I75,0)))</f>
        <v/>
      </c>
      <c r="Z75" s="62">
        <f>IF($V75="","",IF(AND(ISNUMBER($G75),$G75&lt;=IF($S75=MesCiclo,InicioCiclo,$S75+MOD(2-WEEKDAY($S75),7))+13),1,IF(ISNUMBER($J75),$J75,$Y75)))</f>
        <v/>
      </c>
      <c r="AA75" s="62">
        <f>IF($V75="","",IF(AND(ISNUMBER($G75),$G75&lt;=IF($S75=MesCiclo,InicioCiclo,$S75+MOD(2-WEEKDAY($S75),7))+20),1,IF(ISNUMBER($K75),$K75,$Z75)))</f>
        <v/>
      </c>
      <c r="AB75" s="62">
        <f>IF($V75="","",IF(AND(ISNUMBER($G75),$G75&lt;=IF($S75=MesCiclo,InicioCiclo,$S75+MOD(2-WEEKDAY($S75),7))+27),1,IF(ISNUMBER($L75),$L75,$AA75)))</f>
        <v/>
      </c>
      <c r="AC75" s="62">
        <f>IF($V75="","",IF(AND(ISNUMBER($G75),$G75&lt;=IF($S75=MesCiclo,InicioCiclo,$S75+MOD(2-WEEKDAY($S75),7))+6),1,IF(N($W75)&gt;0,AVERAGEIFS($Y$5:$Y$1000,$U$5:$U$1000,ROW(),$V$5:$V$1000,"Sub"),$Y75)))</f>
        <v/>
      </c>
      <c r="AD75" s="62">
        <f>IF($V75="","",IF(AND(ISNUMBER($G75),$G75&lt;=IF($S75=MesCiclo,InicioCiclo,$S75+MOD(2-WEEKDAY($S75),7))+13),1,IF(N($W75)&gt;0,AVERAGEIFS($Z$5:$Z$1000,$U$5:$U$1000,ROW(),$V$5:$V$1000,"Sub"),$Z75)))</f>
        <v/>
      </c>
      <c r="AE75" s="62">
        <f>IF($V75="","",IF(AND(ISNUMBER($G75),$G75&lt;=IF($S75=MesCiclo,InicioCiclo,$S75+MOD(2-WEEKDAY($S75),7))+20),1,IF(N($W75)&gt;0,AVERAGEIFS($AA$5:$AA$1000,$U$5:$U$1000,ROW(),$V$5:$V$1000,"Sub"),$AA75)))</f>
        <v/>
      </c>
      <c r="AF75" s="62">
        <f>IF($V75="","",IF(AND(ISNUMBER($G75),$G75&lt;=IF($S75=MesCiclo,InicioCiclo,$S75+MOD(2-WEEKDAY($S75),7))+27),1,IF(N($W75)&gt;0,AVERAGEIFS($AB$5:$AB$1000,$U$5:$U$1000,ROW(),$V$5:$V$1000,"Sub"),$AB75)))</f>
        <v/>
      </c>
      <c r="AG75" s="62">
        <f>IF($V75&lt;&gt;"Macro","",IF(COUNTIFS($S$5:$S$1000,$S75,$V$5:$V$1000,"Macro",$H$5:$H$1000,"&gt;0")=0,1/COUNTIFS($S$5:$S$1000,$S75,$V$5:$V$1000,"Macro"),IF(AND(ISNUMBER($H75),N($H75)&gt;0),$H75,SUMIFS($H$5:$H$1000,$S$5:$S$1000,$S75,$V$5:$V$1000,"Macro")/COUNTIFS($S$5:$S$1000,$S75,$V$5:$V$1000,"Macro",$H$5:$H$1000,"&gt;0"))/(COUNTIFS($S$5:$S$1000,$S75,$V$5:$V$1000,"Macro")*SUMIFS($H$5:$H$1000,$S$5:$S$1000,$S75,$V$5:$V$1000,"Macro")/COUNTIFS($S$5:$S$1000,$S75,$V$5:$V$1000,"Macro",$H$5:$H$1000,"&gt;0"))))</f>
        <v/>
      </c>
      <c r="AH75" s="62" t="n"/>
      <c r="AI75" s="62" t="n"/>
      <c r="AJ75" s="62" t="n"/>
      <c r="AK75" s="62" t="n"/>
      <c r="AL75" s="62">
        <f>IF(LEFT($C75,11)="[Jefatura] ",IFERROR(MATCH("Riesgo Operacional|"&amp;MID($C75,12,500),rDname_ADM,0),0),"")</f>
        <v/>
      </c>
      <c r="AM75" s="62">
        <f>IF(N($AL75)&gt;0,INDEX(rIni_ADM,$AL75),IF(ISNUMBER($E75),$E75,""))</f>
        <v/>
      </c>
      <c r="AN75" s="62">
        <f>IF(N($AL75)&gt;0,INDEX(rLim_ADM,$AL75),IF(ISNUMBER($F75),$F75,""))</f>
        <v/>
      </c>
    </row>
    <row r="76">
      <c r="A76" s="56">
        <f>IF(NOT((COUNTA($B76:$D76)+COUNTA($G76:$L76)+COUNTA($Q76))&gt;0),"",IF($V76="Macro",COUNTIFS($V$5:$V76,"Macro",$S$5:$S76,$S76),IF(N($U76)=0,"?",COUNTIFS(INDEX($V$5:$V$1000,1):INDEX($V$5:$V$1000,$U76-4),"Macro",INDEX($S$5:$S$1000,1):INDEX($S$5:$S$1000,$U76-4),INDEX($S$5:$S$1000,$U76-4))&amp;"."&amp;COUNTIFS($U$5:$U76,$U76,$V$5:$V76,"Sub"))))</f>
        <v/>
      </c>
      <c r="B76" s="57" t="n"/>
      <c r="C76" s="58" t="n"/>
      <c r="D76" s="58" t="n"/>
      <c r="E76" s="59">
        <f>IF(N($AL76)&gt;0,INDEX(rIni_ADM,$AL76),"")</f>
        <v/>
      </c>
      <c r="F76" s="59">
        <f>IF(N($AL76)&gt;0,INDEX(rLim_ADM,$AL76),"")</f>
        <v/>
      </c>
      <c r="G76" s="59" t="n"/>
      <c r="H76" s="60" t="n"/>
      <c r="I76" s="60" t="n"/>
      <c r="J76" s="60" t="n"/>
      <c r="K76" s="60" t="n"/>
      <c r="L76" s="60" t="n"/>
      <c r="M76" s="61">
        <f>IF(NOT((COUNTA($B76:$D76)+COUNTA($G76:$L76)+COUNTA($Q76))&gt;0),"",IF($V76="Sub",IFERROR($X76/INDEX($W$5:$W$1000,$U76-4),""),IF(ISNUMBER($G76),1,IF(N($W76)&gt;0,AVERAGEIFS($X$5:$X$1000,$U$5:$U$1000,ROW(),$V$5:$V$1000,"Sub"),$X76))))</f>
        <v/>
      </c>
      <c r="N76" s="56">
        <f>IF(OR($M76="",$V76="Sub"),"",IF($M76&gt;=1,"Completado",IF($M76&gt;0,"En curso","Pendiente")))</f>
        <v/>
      </c>
      <c r="O76" s="56">
        <f>IF(OR(NOT((COUNTA($B76:$D76)+COUNTA($G76:$L76)+COUNTA($Q76))&gt;0),$V76="Sub"),"",IF(ISNUMBER($G76),IF(AND(ISNUMBER($AN76),$G76&gt;$AN76),"Cumplida con "&amp;($G76-$AN76)&amp;IF($G76-$AN76=1," día"," días")&amp;" de retraso","Cumplida"),IF(N($M76)&gt;=1,"Cumplida",IF(NOT(ISNUMBER($AN76)),"Sin fecha límite",IF($AN76&lt;FechaRef,"Vencida hace "&amp;(FechaRef-$AN76)&amp;IF(FechaRef-$AN76=1," día"," días"),IF($AN76=FechaRef,"Vence hoy",IF($AN76-FechaRef&lt;=DiasAlerta,"Vence en "&amp;($AN76-FechaRef)&amp;IF($AN76-FechaRef=1," día"," días"),"En plazo")))))))</f>
        <v/>
      </c>
      <c r="P76" s="62" t="n"/>
      <c r="Q76" s="58" t="n"/>
      <c r="R76" s="63">
        <f>IF(NOT((COUNTA($B76:$D76)+COUNTA($G76:$L76)+COUNTA($Q76))&gt;0),"",IF((IF($C76="","Falta el nombre de la actividad"&amp;" · ","")&amp;IF(AND($V76="Sub",N($U76)=0),"Subactividad sin macroactividad arriba"&amp;" · ","")&amp;IF($AM76="","Sin fecha de inicio"&amp;" · ","")&amp;IF($AN76="","Sin fecha límite"&amp;" · ","")&amp;IF(AND(LEFT($C76,11)="[Jefatura] ",N($AL76)=0),"No se encuentra en la hoja de la jefatura (elíjala de nuevo en la lista)"&amp;" · ","")&amp;IF(OR(AND($E76&lt;&gt;"",NOT(ISNUMBER($E76))),AND($F76&lt;&gt;"",NOT(ISNUMBER($F76))),AND($G76&lt;&gt;"",NOT(ISNUMBER($G76)))),"Fecha no válida"&amp;" · ","")&amp;IF(AND(ISNUMBER($AM76),ISNUMBER($AN76),$AM76&gt;$AN76),"Inicio posterior a fecha límite"&amp;" · ","")&amp;IF(AND($V76="Macro",$H76&lt;&gt;"",OR(NOT(ISNUMBER($H76)),$H76&lt;0,$H76&gt;1)),"Peso fuera de rango"&amp;" · ","")&amp;IF(AND($V76="Sub",$H76&lt;&gt;""),"Las subactividades no llevan peso (valen igual dentro de su macroactividad)"&amp;" · ","")&amp;IF(AND(N($W76)&gt;0,COUNT($I76:$L76)&gt;0),"Con subactividades: deje vacías las semanas (se calculan solas)"&amp;" · ","")&amp;IF((COUNTIF($I76:$L76,"&gt;1")+COUNTIF($I76:$L76,"&lt;0")+COUNTA($I76:$L76)-COUNT($I76:$L76))&gt;0,"Avance fuera de rango 0-100%"&amp;" · ","")&amp;IF(OR(AND($J76&lt;&gt;"",$J76&lt;$I76),AND($K76&lt;&gt;"",$K76&lt;MAX($I76:$J76)),AND($L76&lt;&gt;"",$L76&lt;MAX($I76:$K76))),"Avance semanal decreciente"&amp;" · ","")&amp;IF(AND(ISNUMBER($AN76),$AN76&lt;FechaRef,IF($V76="Sub",N($X76),N($M76))&lt;1),"Vencida"&amp;" · ","")&amp;IF(AND(ObsObligatoria="Sí",ISNUMBER($AN76),$AN76&lt;FechaRef,IF($V76="Sub",N($X76),N($M76))&lt;1,$Q76=""),"Vencida sin observación"&amp;" · ",""))="","✔ OK","⚠ "&amp;LEFT(IF($C76="","Falta el nombre de la actividad"&amp;" · ","")&amp;IF(AND($V76="Sub",N($U76)=0),"Subactividad sin macroactividad arriba"&amp;" · ","")&amp;IF($AM76="","Sin fecha de inicio"&amp;" · ","")&amp;IF($AN76="","Sin fecha límite"&amp;" · ","")&amp;IF(AND(LEFT($C76,11)="[Jefatura] ",N($AL76)=0),"No se encuentra en la hoja de la jefatura (elíjala de nuevo en la lista)"&amp;" · ","")&amp;IF(OR(AND($E76&lt;&gt;"",NOT(ISNUMBER($E76))),AND($F76&lt;&gt;"",NOT(ISNUMBER($F76))),AND($G76&lt;&gt;"",NOT(ISNUMBER($G76)))),"Fecha no válida"&amp;" · ","")&amp;IF(AND(ISNUMBER($AM76),ISNUMBER($AN76),$AM76&gt;$AN76),"Inicio posterior a fecha límite"&amp;" · ","")&amp;IF(AND($V76="Macro",$H76&lt;&gt;"",OR(NOT(ISNUMBER($H76)),$H76&lt;0,$H76&gt;1)),"Peso fuera de rango"&amp;" · ","")&amp;IF(AND($V76="Sub",$H76&lt;&gt;""),"Las subactividades no llevan peso (valen igual dentro de su macroactividad)"&amp;" · ","")&amp;IF(AND(N($W76)&gt;0,COUNT($I76:$L76)&gt;0),"Con subactividades: deje vacías las semanas (se calculan solas)"&amp;" · ","")&amp;IF((COUNTIF($I76:$L76,"&gt;1")+COUNTIF($I76:$L76,"&lt;0")+COUNTA($I76:$L76)-COUNT($I76:$L76))&gt;0,"Avance fuera de rango 0-100%"&amp;" · ","")&amp;IF(OR(AND($J76&lt;&gt;"",$J76&lt;$I76),AND($K76&lt;&gt;"",$K76&lt;MAX($I76:$J76)),AND($L76&lt;&gt;"",$L76&lt;MAX($I76:$K76))),"Avance semanal decreciente"&amp;" · ","")&amp;IF(AND(ISNUMBER($AN76),$AN76&lt;FechaRef,IF($V76="Sub",N($X76),N($M76))&lt;1),"Vencida"&amp;" · ","")&amp;IF(AND(ObsObligatoria="Sí",ISNUMBER($AN76),$AN76&lt;FechaRef,IF($V76="Sub",N($X76),N($M76))&lt;1,$Q76=""),"Vencida sin observación"&amp;" · ",""),LEN(IF($C76="","Falta el nombre de la actividad"&amp;" · ","")&amp;IF(AND($V76="Sub",N($U76)=0),"Subactividad sin macroactividad arriba"&amp;" · ","")&amp;IF($AM76="","Sin fecha de inicio"&amp;" · ","")&amp;IF($AN76="","Sin fecha límite"&amp;" · ","")&amp;IF(AND(LEFT($C76,11)="[Jefatura] ",N($AL76)=0),"No se encuentra en la hoja de la jefatura (elíjala de nuevo en la lista)"&amp;" · ","")&amp;IF(OR(AND($E76&lt;&gt;"",NOT(ISNUMBER($E76))),AND($F76&lt;&gt;"",NOT(ISNUMBER($F76))),AND($G76&lt;&gt;"",NOT(ISNUMBER($G76)))),"Fecha no válida"&amp;" · ","")&amp;IF(AND(ISNUMBER($AM76),ISNUMBER($AN76),$AM76&gt;$AN76),"Inicio posterior a fecha límite"&amp;" · ","")&amp;IF(AND($V76="Macro",$H76&lt;&gt;"",OR(NOT(ISNUMBER($H76)),$H76&lt;0,$H76&gt;1)),"Peso fuera de rango"&amp;" · ","")&amp;IF(AND($V76="Sub",$H76&lt;&gt;""),"Las subactividades no llevan peso (valen igual dentro de su macroactividad)"&amp;" · ","")&amp;IF(AND(N($W76)&gt;0,COUNT($I76:$L76)&gt;0),"Con subactividades: deje vacías las semanas (se calculan solas)"&amp;" · ","")&amp;IF((COUNTIF($I76:$L76,"&gt;1")+COUNTIF($I76:$L76,"&lt;0")+COUNTA($I76:$L76)-COUNT($I76:$L76))&gt;0,"Avance fuera de rango 0-100%"&amp;" · ","")&amp;IF(OR(AND($J76&lt;&gt;"",$J76&lt;$I76),AND($K76&lt;&gt;"",$K76&lt;MAX($I76:$J76)),AND($L76&lt;&gt;"",$L76&lt;MAX($I76:$K76))),"Avance semanal decreciente"&amp;" · ","")&amp;IF(AND(ISNUMBER($AN76),$AN76&lt;FechaRef,IF($V76="Sub",N($X76),N($M76))&lt;1),"Vencida"&amp;" · ","")&amp;IF(AND(ObsObligatoria="Sí",ISNUMBER($AN76),$AN76&lt;FechaRef,IF($V76="Sub",N($X76),N($M76))&lt;1,$Q76=""),"Vencida sin observación"&amp;" · ",""))-3)))</f>
        <v/>
      </c>
      <c r="S76" s="64">
        <f>IF(NOT((COUNTA($B76:$D76)+COUNTA($G76:$L76)+COUNTA($Q76))&gt;0),"",IF(AND($V76="Sub",N($U76)&gt;0),IF(ISNUMBER(INDEX($AM$5:$AM$1000,$U76-4)),DATE(YEAR(INDEX($AM$5:$AM$1000,$U76-4)),MONTH(INDEX($AM$5:$AM$1000,$U76-4)),1),IF(ISNUMBER(INDEX($AN$5:$AN$1000,$U76-4)),DATE(YEAR(INDEX($AN$5:$AN$1000,$U76-4)),MONTH(INDEX($AN$5:$AN$1000,$U76-4)),1),MesCiclo)),IF(ISNUMBER($AM76),DATE(YEAR($AM76),MONTH($AM76),1),IF(ISNUMBER($AN76),DATE(YEAR($AN76),MONTH($AN76),1),MesCiclo))))</f>
        <v/>
      </c>
      <c r="T76" s="62">
        <f>IF(OR($S76="",$S76&lt;&gt;MesCiclo,$V76&lt;&gt;"Macro"),"",COUNTIFS($S$5:$S76,MesCiclo,$V$5:$V76,"Macro"))</f>
        <v/>
      </c>
      <c r="U76" s="62">
        <f>IF($V76="","",IF($V76="Macro",ROW(),IFERROR(LOOKUP(2,1/($V$5:$V76="Macro"),ROW($V$5:$V76)),0)))</f>
        <v/>
      </c>
      <c r="V76" s="62">
        <f>IF(NOT((COUNTA($B76:$D76)+COUNTA($G76:$L76)+COUNTA($Q76))&gt;0),"",IF($B76="Subactividad","Sub","Macro"))</f>
        <v/>
      </c>
      <c r="W76" s="62">
        <f>IF($V76="Macro",COUNTIFS($U$5:$U$1000,ROW(),$V$5:$V$1000,"Sub"),"")</f>
        <v/>
      </c>
      <c r="X76" s="62">
        <f>IF($V76="","",IF(ISNUMBER($G76),1,IFERROR(LOOKUP(2,1/($I76:$L76&lt;&gt;""),$I76:$L76),0)))</f>
        <v/>
      </c>
      <c r="Y76" s="62">
        <f>IF($V76="","",IF(AND(ISNUMBER($G76),$G76&lt;=IF($S76=MesCiclo,InicioCiclo,$S76+MOD(2-WEEKDAY($S76),7))+6),1,IF(ISNUMBER($I76),$I76,0)))</f>
        <v/>
      </c>
      <c r="Z76" s="62">
        <f>IF($V76="","",IF(AND(ISNUMBER($G76),$G76&lt;=IF($S76=MesCiclo,InicioCiclo,$S76+MOD(2-WEEKDAY($S76),7))+13),1,IF(ISNUMBER($J76),$J76,$Y76)))</f>
        <v/>
      </c>
      <c r="AA76" s="62">
        <f>IF($V76="","",IF(AND(ISNUMBER($G76),$G76&lt;=IF($S76=MesCiclo,InicioCiclo,$S76+MOD(2-WEEKDAY($S76),7))+20),1,IF(ISNUMBER($K76),$K76,$Z76)))</f>
        <v/>
      </c>
      <c r="AB76" s="62">
        <f>IF($V76="","",IF(AND(ISNUMBER($G76),$G76&lt;=IF($S76=MesCiclo,InicioCiclo,$S76+MOD(2-WEEKDAY($S76),7))+27),1,IF(ISNUMBER($L76),$L76,$AA76)))</f>
        <v/>
      </c>
      <c r="AC76" s="62">
        <f>IF($V76="","",IF(AND(ISNUMBER($G76),$G76&lt;=IF($S76=MesCiclo,InicioCiclo,$S76+MOD(2-WEEKDAY($S76),7))+6),1,IF(N($W76)&gt;0,AVERAGEIFS($Y$5:$Y$1000,$U$5:$U$1000,ROW(),$V$5:$V$1000,"Sub"),$Y76)))</f>
        <v/>
      </c>
      <c r="AD76" s="62">
        <f>IF($V76="","",IF(AND(ISNUMBER($G76),$G76&lt;=IF($S76=MesCiclo,InicioCiclo,$S76+MOD(2-WEEKDAY($S76),7))+13),1,IF(N($W76)&gt;0,AVERAGEIFS($Z$5:$Z$1000,$U$5:$U$1000,ROW(),$V$5:$V$1000,"Sub"),$Z76)))</f>
        <v/>
      </c>
      <c r="AE76" s="62">
        <f>IF($V76="","",IF(AND(ISNUMBER($G76),$G76&lt;=IF($S76=MesCiclo,InicioCiclo,$S76+MOD(2-WEEKDAY($S76),7))+20),1,IF(N($W76)&gt;0,AVERAGEIFS($AA$5:$AA$1000,$U$5:$U$1000,ROW(),$V$5:$V$1000,"Sub"),$AA76)))</f>
        <v/>
      </c>
      <c r="AF76" s="62">
        <f>IF($V76="","",IF(AND(ISNUMBER($G76),$G76&lt;=IF($S76=MesCiclo,InicioCiclo,$S76+MOD(2-WEEKDAY($S76),7))+27),1,IF(N($W76)&gt;0,AVERAGEIFS($AB$5:$AB$1000,$U$5:$U$1000,ROW(),$V$5:$V$1000,"Sub"),$AB76)))</f>
        <v/>
      </c>
      <c r="AG76" s="62">
        <f>IF($V76&lt;&gt;"Macro","",IF(COUNTIFS($S$5:$S$1000,$S76,$V$5:$V$1000,"Macro",$H$5:$H$1000,"&gt;0")=0,1/COUNTIFS($S$5:$S$1000,$S76,$V$5:$V$1000,"Macro"),IF(AND(ISNUMBER($H76),N($H76)&gt;0),$H76,SUMIFS($H$5:$H$1000,$S$5:$S$1000,$S76,$V$5:$V$1000,"Macro")/COUNTIFS($S$5:$S$1000,$S76,$V$5:$V$1000,"Macro",$H$5:$H$1000,"&gt;0"))/(COUNTIFS($S$5:$S$1000,$S76,$V$5:$V$1000,"Macro")*SUMIFS($H$5:$H$1000,$S$5:$S$1000,$S76,$V$5:$V$1000,"Macro")/COUNTIFS($S$5:$S$1000,$S76,$V$5:$V$1000,"Macro",$H$5:$H$1000,"&gt;0"))))</f>
        <v/>
      </c>
      <c r="AH76" s="62" t="n"/>
      <c r="AI76" s="62" t="n"/>
      <c r="AJ76" s="62" t="n"/>
      <c r="AK76" s="62" t="n"/>
      <c r="AL76" s="62">
        <f>IF(LEFT($C76,11)="[Jefatura] ",IFERROR(MATCH("Riesgo Operacional|"&amp;MID($C76,12,500),rDname_ADM,0),0),"")</f>
        <v/>
      </c>
      <c r="AM76" s="62">
        <f>IF(N($AL76)&gt;0,INDEX(rIni_ADM,$AL76),IF(ISNUMBER($E76),$E76,""))</f>
        <v/>
      </c>
      <c r="AN76" s="62">
        <f>IF(N($AL76)&gt;0,INDEX(rLim_ADM,$AL76),IF(ISNUMBER($F76),$F76,""))</f>
        <v/>
      </c>
    </row>
    <row r="77">
      <c r="A77" s="56">
        <f>IF(NOT((COUNTA($B77:$D77)+COUNTA($G77:$L77)+COUNTA($Q77))&gt;0),"",IF($V77="Macro",COUNTIFS($V$5:$V77,"Macro",$S$5:$S77,$S77),IF(N($U77)=0,"?",COUNTIFS(INDEX($V$5:$V$1000,1):INDEX($V$5:$V$1000,$U77-4),"Macro",INDEX($S$5:$S$1000,1):INDEX($S$5:$S$1000,$U77-4),INDEX($S$5:$S$1000,$U77-4))&amp;"."&amp;COUNTIFS($U$5:$U77,$U77,$V$5:$V77,"Sub"))))</f>
        <v/>
      </c>
      <c r="B77" s="57" t="n"/>
      <c r="C77" s="58" t="n"/>
      <c r="D77" s="58" t="n"/>
      <c r="E77" s="59">
        <f>IF(N($AL77)&gt;0,INDEX(rIni_ADM,$AL77),"")</f>
        <v/>
      </c>
      <c r="F77" s="59">
        <f>IF(N($AL77)&gt;0,INDEX(rLim_ADM,$AL77),"")</f>
        <v/>
      </c>
      <c r="G77" s="59" t="n"/>
      <c r="H77" s="60" t="n"/>
      <c r="I77" s="60" t="n"/>
      <c r="J77" s="60" t="n"/>
      <c r="K77" s="60" t="n"/>
      <c r="L77" s="60" t="n"/>
      <c r="M77" s="61">
        <f>IF(NOT((COUNTA($B77:$D77)+COUNTA($G77:$L77)+COUNTA($Q77))&gt;0),"",IF($V77="Sub",IFERROR($X77/INDEX($W$5:$W$1000,$U77-4),""),IF(ISNUMBER($G77),1,IF(N($W77)&gt;0,AVERAGEIFS($X$5:$X$1000,$U$5:$U$1000,ROW(),$V$5:$V$1000,"Sub"),$X77))))</f>
        <v/>
      </c>
      <c r="N77" s="56">
        <f>IF(OR($M77="",$V77="Sub"),"",IF($M77&gt;=1,"Completado",IF($M77&gt;0,"En curso","Pendiente")))</f>
        <v/>
      </c>
      <c r="O77" s="56">
        <f>IF(OR(NOT((COUNTA($B77:$D77)+COUNTA($G77:$L77)+COUNTA($Q77))&gt;0),$V77="Sub"),"",IF(ISNUMBER($G77),IF(AND(ISNUMBER($AN77),$G77&gt;$AN77),"Cumplida con "&amp;($G77-$AN77)&amp;IF($G77-$AN77=1," día"," días")&amp;" de retraso","Cumplida"),IF(N($M77)&gt;=1,"Cumplida",IF(NOT(ISNUMBER($AN77)),"Sin fecha límite",IF($AN77&lt;FechaRef,"Vencida hace "&amp;(FechaRef-$AN77)&amp;IF(FechaRef-$AN77=1," día"," días"),IF($AN77=FechaRef,"Vence hoy",IF($AN77-FechaRef&lt;=DiasAlerta,"Vence en "&amp;($AN77-FechaRef)&amp;IF($AN77-FechaRef=1," día"," días"),"En plazo")))))))</f>
        <v/>
      </c>
      <c r="P77" s="62" t="n"/>
      <c r="Q77" s="58" t="n"/>
      <c r="R77" s="63">
        <f>IF(NOT((COUNTA($B77:$D77)+COUNTA($G77:$L77)+COUNTA($Q77))&gt;0),"",IF((IF($C77="","Falta el nombre de la actividad"&amp;" · ","")&amp;IF(AND($V77="Sub",N($U77)=0),"Subactividad sin macroactividad arriba"&amp;" · ","")&amp;IF($AM77="","Sin fecha de inicio"&amp;" · ","")&amp;IF($AN77="","Sin fecha límite"&amp;" · ","")&amp;IF(AND(LEFT($C77,11)="[Jefatura] ",N($AL77)=0),"No se encuentra en la hoja de la jefatura (elíjala de nuevo en la lista)"&amp;" · ","")&amp;IF(OR(AND($E77&lt;&gt;"",NOT(ISNUMBER($E77))),AND($F77&lt;&gt;"",NOT(ISNUMBER($F77))),AND($G77&lt;&gt;"",NOT(ISNUMBER($G77)))),"Fecha no válida"&amp;" · ","")&amp;IF(AND(ISNUMBER($AM77),ISNUMBER($AN77),$AM77&gt;$AN77),"Inicio posterior a fecha límite"&amp;" · ","")&amp;IF(AND($V77="Macro",$H77&lt;&gt;"",OR(NOT(ISNUMBER($H77)),$H77&lt;0,$H77&gt;1)),"Peso fuera de rango"&amp;" · ","")&amp;IF(AND($V77="Sub",$H77&lt;&gt;""),"Las subactividades no llevan peso (valen igual dentro de su macroactividad)"&amp;" · ","")&amp;IF(AND(N($W77)&gt;0,COUNT($I77:$L77)&gt;0),"Con subactividades: deje vacías las semanas (se calculan solas)"&amp;" · ","")&amp;IF((COUNTIF($I77:$L77,"&gt;1")+COUNTIF($I77:$L77,"&lt;0")+COUNTA($I77:$L77)-COUNT($I77:$L77))&gt;0,"Avance fuera de rango 0-100%"&amp;" · ","")&amp;IF(OR(AND($J77&lt;&gt;"",$J77&lt;$I77),AND($K77&lt;&gt;"",$K77&lt;MAX($I77:$J77)),AND($L77&lt;&gt;"",$L77&lt;MAX($I77:$K77))),"Avance semanal decreciente"&amp;" · ","")&amp;IF(AND(ISNUMBER($AN77),$AN77&lt;FechaRef,IF($V77="Sub",N($X77),N($M77))&lt;1),"Vencida"&amp;" · ","")&amp;IF(AND(ObsObligatoria="Sí",ISNUMBER($AN77),$AN77&lt;FechaRef,IF($V77="Sub",N($X77),N($M77))&lt;1,$Q77=""),"Vencida sin observación"&amp;" · ",""))="","✔ OK","⚠ "&amp;LEFT(IF($C77="","Falta el nombre de la actividad"&amp;" · ","")&amp;IF(AND($V77="Sub",N($U77)=0),"Subactividad sin macroactividad arriba"&amp;" · ","")&amp;IF($AM77="","Sin fecha de inicio"&amp;" · ","")&amp;IF($AN77="","Sin fecha límite"&amp;" · ","")&amp;IF(AND(LEFT($C77,11)="[Jefatura] ",N($AL77)=0),"No se encuentra en la hoja de la jefatura (elíjala de nuevo en la lista)"&amp;" · ","")&amp;IF(OR(AND($E77&lt;&gt;"",NOT(ISNUMBER($E77))),AND($F77&lt;&gt;"",NOT(ISNUMBER($F77))),AND($G77&lt;&gt;"",NOT(ISNUMBER($G77)))),"Fecha no válida"&amp;" · ","")&amp;IF(AND(ISNUMBER($AM77),ISNUMBER($AN77),$AM77&gt;$AN77),"Inicio posterior a fecha límite"&amp;" · ","")&amp;IF(AND($V77="Macro",$H77&lt;&gt;"",OR(NOT(ISNUMBER($H77)),$H77&lt;0,$H77&gt;1)),"Peso fuera de rango"&amp;" · ","")&amp;IF(AND($V77="Sub",$H77&lt;&gt;""),"Las subactividades no llevan peso (valen igual dentro de su macroactividad)"&amp;" · ","")&amp;IF(AND(N($W77)&gt;0,COUNT($I77:$L77)&gt;0),"Con subactividades: deje vacías las semanas (se calculan solas)"&amp;" · ","")&amp;IF((COUNTIF($I77:$L77,"&gt;1")+COUNTIF($I77:$L77,"&lt;0")+COUNTA($I77:$L77)-COUNT($I77:$L77))&gt;0,"Avance fuera de rango 0-100%"&amp;" · ","")&amp;IF(OR(AND($J77&lt;&gt;"",$J77&lt;$I77),AND($K77&lt;&gt;"",$K77&lt;MAX($I77:$J77)),AND($L77&lt;&gt;"",$L77&lt;MAX($I77:$K77))),"Avance semanal decreciente"&amp;" · ","")&amp;IF(AND(ISNUMBER($AN77),$AN77&lt;FechaRef,IF($V77="Sub",N($X77),N($M77))&lt;1),"Vencida"&amp;" · ","")&amp;IF(AND(ObsObligatoria="Sí",ISNUMBER($AN77),$AN77&lt;FechaRef,IF($V77="Sub",N($X77),N($M77))&lt;1,$Q77=""),"Vencida sin observación"&amp;" · ",""),LEN(IF($C77="","Falta el nombre de la actividad"&amp;" · ","")&amp;IF(AND($V77="Sub",N($U77)=0),"Subactividad sin macroactividad arriba"&amp;" · ","")&amp;IF($AM77="","Sin fecha de inicio"&amp;" · ","")&amp;IF($AN77="","Sin fecha límite"&amp;" · ","")&amp;IF(AND(LEFT($C77,11)="[Jefatura] ",N($AL77)=0),"No se encuentra en la hoja de la jefatura (elíjala de nuevo en la lista)"&amp;" · ","")&amp;IF(OR(AND($E77&lt;&gt;"",NOT(ISNUMBER($E77))),AND($F77&lt;&gt;"",NOT(ISNUMBER($F77))),AND($G77&lt;&gt;"",NOT(ISNUMBER($G77)))),"Fecha no válida"&amp;" · ","")&amp;IF(AND(ISNUMBER($AM77),ISNUMBER($AN77),$AM77&gt;$AN77),"Inicio posterior a fecha límite"&amp;" · ","")&amp;IF(AND($V77="Macro",$H77&lt;&gt;"",OR(NOT(ISNUMBER($H77)),$H77&lt;0,$H77&gt;1)),"Peso fuera de rango"&amp;" · ","")&amp;IF(AND($V77="Sub",$H77&lt;&gt;""),"Las subactividades no llevan peso (valen igual dentro de su macroactividad)"&amp;" · ","")&amp;IF(AND(N($W77)&gt;0,COUNT($I77:$L77)&gt;0),"Con subactividades: deje vacías las semanas (se calculan solas)"&amp;" · ","")&amp;IF((COUNTIF($I77:$L77,"&gt;1")+COUNTIF($I77:$L77,"&lt;0")+COUNTA($I77:$L77)-COUNT($I77:$L77))&gt;0,"Avance fuera de rango 0-100%"&amp;" · ","")&amp;IF(OR(AND($J77&lt;&gt;"",$J77&lt;$I77),AND($K77&lt;&gt;"",$K77&lt;MAX($I77:$J77)),AND($L77&lt;&gt;"",$L77&lt;MAX($I77:$K77))),"Avance semanal decreciente"&amp;" · ","")&amp;IF(AND(ISNUMBER($AN77),$AN77&lt;FechaRef,IF($V77="Sub",N($X77),N($M77))&lt;1),"Vencida"&amp;" · ","")&amp;IF(AND(ObsObligatoria="Sí",ISNUMBER($AN77),$AN77&lt;FechaRef,IF($V77="Sub",N($X77),N($M77))&lt;1,$Q77=""),"Vencida sin observación"&amp;" · ",""))-3)))</f>
        <v/>
      </c>
      <c r="S77" s="64">
        <f>IF(NOT((COUNTA($B77:$D77)+COUNTA($G77:$L77)+COUNTA($Q77))&gt;0),"",IF(AND($V77="Sub",N($U77)&gt;0),IF(ISNUMBER(INDEX($AM$5:$AM$1000,$U77-4)),DATE(YEAR(INDEX($AM$5:$AM$1000,$U77-4)),MONTH(INDEX($AM$5:$AM$1000,$U77-4)),1),IF(ISNUMBER(INDEX($AN$5:$AN$1000,$U77-4)),DATE(YEAR(INDEX($AN$5:$AN$1000,$U77-4)),MONTH(INDEX($AN$5:$AN$1000,$U77-4)),1),MesCiclo)),IF(ISNUMBER($AM77),DATE(YEAR($AM77),MONTH($AM77),1),IF(ISNUMBER($AN77),DATE(YEAR($AN77),MONTH($AN77),1),MesCiclo))))</f>
        <v/>
      </c>
      <c r="T77" s="62">
        <f>IF(OR($S77="",$S77&lt;&gt;MesCiclo,$V77&lt;&gt;"Macro"),"",COUNTIFS($S$5:$S77,MesCiclo,$V$5:$V77,"Macro"))</f>
        <v/>
      </c>
      <c r="U77" s="62">
        <f>IF($V77="","",IF($V77="Macro",ROW(),IFERROR(LOOKUP(2,1/($V$5:$V77="Macro"),ROW($V$5:$V77)),0)))</f>
        <v/>
      </c>
      <c r="V77" s="62">
        <f>IF(NOT((COUNTA($B77:$D77)+COUNTA($G77:$L77)+COUNTA($Q77))&gt;0),"",IF($B77="Subactividad","Sub","Macro"))</f>
        <v/>
      </c>
      <c r="W77" s="62">
        <f>IF($V77="Macro",COUNTIFS($U$5:$U$1000,ROW(),$V$5:$V$1000,"Sub"),"")</f>
        <v/>
      </c>
      <c r="X77" s="62">
        <f>IF($V77="","",IF(ISNUMBER($G77),1,IFERROR(LOOKUP(2,1/($I77:$L77&lt;&gt;""),$I77:$L77),0)))</f>
        <v/>
      </c>
      <c r="Y77" s="62">
        <f>IF($V77="","",IF(AND(ISNUMBER($G77),$G77&lt;=IF($S77=MesCiclo,InicioCiclo,$S77+MOD(2-WEEKDAY($S77),7))+6),1,IF(ISNUMBER($I77),$I77,0)))</f>
        <v/>
      </c>
      <c r="Z77" s="62">
        <f>IF($V77="","",IF(AND(ISNUMBER($G77),$G77&lt;=IF($S77=MesCiclo,InicioCiclo,$S77+MOD(2-WEEKDAY($S77),7))+13),1,IF(ISNUMBER($J77),$J77,$Y77)))</f>
        <v/>
      </c>
      <c r="AA77" s="62">
        <f>IF($V77="","",IF(AND(ISNUMBER($G77),$G77&lt;=IF($S77=MesCiclo,InicioCiclo,$S77+MOD(2-WEEKDAY($S77),7))+20),1,IF(ISNUMBER($K77),$K77,$Z77)))</f>
        <v/>
      </c>
      <c r="AB77" s="62">
        <f>IF($V77="","",IF(AND(ISNUMBER($G77),$G77&lt;=IF($S77=MesCiclo,InicioCiclo,$S77+MOD(2-WEEKDAY($S77),7))+27),1,IF(ISNUMBER($L77),$L77,$AA77)))</f>
        <v/>
      </c>
      <c r="AC77" s="62">
        <f>IF($V77="","",IF(AND(ISNUMBER($G77),$G77&lt;=IF($S77=MesCiclo,InicioCiclo,$S77+MOD(2-WEEKDAY($S77),7))+6),1,IF(N($W77)&gt;0,AVERAGEIFS($Y$5:$Y$1000,$U$5:$U$1000,ROW(),$V$5:$V$1000,"Sub"),$Y77)))</f>
        <v/>
      </c>
      <c r="AD77" s="62">
        <f>IF($V77="","",IF(AND(ISNUMBER($G77),$G77&lt;=IF($S77=MesCiclo,InicioCiclo,$S77+MOD(2-WEEKDAY($S77),7))+13),1,IF(N($W77)&gt;0,AVERAGEIFS($Z$5:$Z$1000,$U$5:$U$1000,ROW(),$V$5:$V$1000,"Sub"),$Z77)))</f>
        <v/>
      </c>
      <c r="AE77" s="62">
        <f>IF($V77="","",IF(AND(ISNUMBER($G77),$G77&lt;=IF($S77=MesCiclo,InicioCiclo,$S77+MOD(2-WEEKDAY($S77),7))+20),1,IF(N($W77)&gt;0,AVERAGEIFS($AA$5:$AA$1000,$U$5:$U$1000,ROW(),$V$5:$V$1000,"Sub"),$AA77)))</f>
        <v/>
      </c>
      <c r="AF77" s="62">
        <f>IF($V77="","",IF(AND(ISNUMBER($G77),$G77&lt;=IF($S77=MesCiclo,InicioCiclo,$S77+MOD(2-WEEKDAY($S77),7))+27),1,IF(N($W77)&gt;0,AVERAGEIFS($AB$5:$AB$1000,$U$5:$U$1000,ROW(),$V$5:$V$1000,"Sub"),$AB77)))</f>
        <v/>
      </c>
      <c r="AG77" s="62">
        <f>IF($V77&lt;&gt;"Macro","",IF(COUNTIFS($S$5:$S$1000,$S77,$V$5:$V$1000,"Macro",$H$5:$H$1000,"&gt;0")=0,1/COUNTIFS($S$5:$S$1000,$S77,$V$5:$V$1000,"Macro"),IF(AND(ISNUMBER($H77),N($H77)&gt;0),$H77,SUMIFS($H$5:$H$1000,$S$5:$S$1000,$S77,$V$5:$V$1000,"Macro")/COUNTIFS($S$5:$S$1000,$S77,$V$5:$V$1000,"Macro",$H$5:$H$1000,"&gt;0"))/(COUNTIFS($S$5:$S$1000,$S77,$V$5:$V$1000,"Macro")*SUMIFS($H$5:$H$1000,$S$5:$S$1000,$S77,$V$5:$V$1000,"Macro")/COUNTIFS($S$5:$S$1000,$S77,$V$5:$V$1000,"Macro",$H$5:$H$1000,"&gt;0"))))</f>
        <v/>
      </c>
      <c r="AH77" s="62" t="n"/>
      <c r="AI77" s="62" t="n"/>
      <c r="AJ77" s="62" t="n"/>
      <c r="AK77" s="62" t="n"/>
      <c r="AL77" s="62">
        <f>IF(LEFT($C77,11)="[Jefatura] ",IFERROR(MATCH("Riesgo Operacional|"&amp;MID($C77,12,500),rDname_ADM,0),0),"")</f>
        <v/>
      </c>
      <c r="AM77" s="62">
        <f>IF(N($AL77)&gt;0,INDEX(rIni_ADM,$AL77),IF(ISNUMBER($E77),$E77,""))</f>
        <v/>
      </c>
      <c r="AN77" s="62">
        <f>IF(N($AL77)&gt;0,INDEX(rLim_ADM,$AL77),IF(ISNUMBER($F77),$F77,""))</f>
        <v/>
      </c>
    </row>
    <row r="78">
      <c r="A78" s="56">
        <f>IF(NOT((COUNTA($B78:$D78)+COUNTA($G78:$L78)+COUNTA($Q78))&gt;0),"",IF($V78="Macro",COUNTIFS($V$5:$V78,"Macro",$S$5:$S78,$S78),IF(N($U78)=0,"?",COUNTIFS(INDEX($V$5:$V$1000,1):INDEX($V$5:$V$1000,$U78-4),"Macro",INDEX($S$5:$S$1000,1):INDEX($S$5:$S$1000,$U78-4),INDEX($S$5:$S$1000,$U78-4))&amp;"."&amp;COUNTIFS($U$5:$U78,$U78,$V$5:$V78,"Sub"))))</f>
        <v/>
      </c>
      <c r="B78" s="57" t="n"/>
      <c r="C78" s="58" t="n"/>
      <c r="D78" s="58" t="n"/>
      <c r="E78" s="59">
        <f>IF(N($AL78)&gt;0,INDEX(rIni_ADM,$AL78),"")</f>
        <v/>
      </c>
      <c r="F78" s="59">
        <f>IF(N($AL78)&gt;0,INDEX(rLim_ADM,$AL78),"")</f>
        <v/>
      </c>
      <c r="G78" s="59" t="n"/>
      <c r="H78" s="60" t="n"/>
      <c r="I78" s="60" t="n"/>
      <c r="J78" s="60" t="n"/>
      <c r="K78" s="60" t="n"/>
      <c r="L78" s="60" t="n"/>
      <c r="M78" s="61">
        <f>IF(NOT((COUNTA($B78:$D78)+COUNTA($G78:$L78)+COUNTA($Q78))&gt;0),"",IF($V78="Sub",IFERROR($X78/INDEX($W$5:$W$1000,$U78-4),""),IF(ISNUMBER($G78),1,IF(N($W78)&gt;0,AVERAGEIFS($X$5:$X$1000,$U$5:$U$1000,ROW(),$V$5:$V$1000,"Sub"),$X78))))</f>
        <v/>
      </c>
      <c r="N78" s="56">
        <f>IF(OR($M78="",$V78="Sub"),"",IF($M78&gt;=1,"Completado",IF($M78&gt;0,"En curso","Pendiente")))</f>
        <v/>
      </c>
      <c r="O78" s="56">
        <f>IF(OR(NOT((COUNTA($B78:$D78)+COUNTA($G78:$L78)+COUNTA($Q78))&gt;0),$V78="Sub"),"",IF(ISNUMBER($G78),IF(AND(ISNUMBER($AN78),$G78&gt;$AN78),"Cumplida con "&amp;($G78-$AN78)&amp;IF($G78-$AN78=1," día"," días")&amp;" de retraso","Cumplida"),IF(N($M78)&gt;=1,"Cumplida",IF(NOT(ISNUMBER($AN78)),"Sin fecha límite",IF($AN78&lt;FechaRef,"Vencida hace "&amp;(FechaRef-$AN78)&amp;IF(FechaRef-$AN78=1," día"," días"),IF($AN78=FechaRef,"Vence hoy",IF($AN78-FechaRef&lt;=DiasAlerta,"Vence en "&amp;($AN78-FechaRef)&amp;IF($AN78-FechaRef=1," día"," días"),"En plazo")))))))</f>
        <v/>
      </c>
      <c r="P78" s="62" t="n"/>
      <c r="Q78" s="58" t="n"/>
      <c r="R78" s="63">
        <f>IF(NOT((COUNTA($B78:$D78)+COUNTA($G78:$L78)+COUNTA($Q78))&gt;0),"",IF((IF($C78="","Falta el nombre de la actividad"&amp;" · ","")&amp;IF(AND($V78="Sub",N($U78)=0),"Subactividad sin macroactividad arriba"&amp;" · ","")&amp;IF($AM78="","Sin fecha de inicio"&amp;" · ","")&amp;IF($AN78="","Sin fecha límite"&amp;" · ","")&amp;IF(AND(LEFT($C78,11)="[Jefatura] ",N($AL78)=0),"No se encuentra en la hoja de la jefatura (elíjala de nuevo en la lista)"&amp;" · ","")&amp;IF(OR(AND($E78&lt;&gt;"",NOT(ISNUMBER($E78))),AND($F78&lt;&gt;"",NOT(ISNUMBER($F78))),AND($G78&lt;&gt;"",NOT(ISNUMBER($G78)))),"Fecha no válida"&amp;" · ","")&amp;IF(AND(ISNUMBER($AM78),ISNUMBER($AN78),$AM78&gt;$AN78),"Inicio posterior a fecha límite"&amp;" · ","")&amp;IF(AND($V78="Macro",$H78&lt;&gt;"",OR(NOT(ISNUMBER($H78)),$H78&lt;0,$H78&gt;1)),"Peso fuera de rango"&amp;" · ","")&amp;IF(AND($V78="Sub",$H78&lt;&gt;""),"Las subactividades no llevan peso (valen igual dentro de su macroactividad)"&amp;" · ","")&amp;IF(AND(N($W78)&gt;0,COUNT($I78:$L78)&gt;0),"Con subactividades: deje vacías las semanas (se calculan solas)"&amp;" · ","")&amp;IF((COUNTIF($I78:$L78,"&gt;1")+COUNTIF($I78:$L78,"&lt;0")+COUNTA($I78:$L78)-COUNT($I78:$L78))&gt;0,"Avance fuera de rango 0-100%"&amp;" · ","")&amp;IF(OR(AND($J78&lt;&gt;"",$J78&lt;$I78),AND($K78&lt;&gt;"",$K78&lt;MAX($I78:$J78)),AND($L78&lt;&gt;"",$L78&lt;MAX($I78:$K78))),"Avance semanal decreciente"&amp;" · ","")&amp;IF(AND(ISNUMBER($AN78),$AN78&lt;FechaRef,IF($V78="Sub",N($X78),N($M78))&lt;1),"Vencida"&amp;" · ","")&amp;IF(AND(ObsObligatoria="Sí",ISNUMBER($AN78),$AN78&lt;FechaRef,IF($V78="Sub",N($X78),N($M78))&lt;1,$Q78=""),"Vencida sin observación"&amp;" · ",""))="","✔ OK","⚠ "&amp;LEFT(IF($C78="","Falta el nombre de la actividad"&amp;" · ","")&amp;IF(AND($V78="Sub",N($U78)=0),"Subactividad sin macroactividad arriba"&amp;" · ","")&amp;IF($AM78="","Sin fecha de inicio"&amp;" · ","")&amp;IF($AN78="","Sin fecha límite"&amp;" · ","")&amp;IF(AND(LEFT($C78,11)="[Jefatura] ",N($AL78)=0),"No se encuentra en la hoja de la jefatura (elíjala de nuevo en la lista)"&amp;" · ","")&amp;IF(OR(AND($E78&lt;&gt;"",NOT(ISNUMBER($E78))),AND($F78&lt;&gt;"",NOT(ISNUMBER($F78))),AND($G78&lt;&gt;"",NOT(ISNUMBER($G78)))),"Fecha no válida"&amp;" · ","")&amp;IF(AND(ISNUMBER($AM78),ISNUMBER($AN78),$AM78&gt;$AN78),"Inicio posterior a fecha límite"&amp;" · ","")&amp;IF(AND($V78="Macro",$H78&lt;&gt;"",OR(NOT(ISNUMBER($H78)),$H78&lt;0,$H78&gt;1)),"Peso fuera de rango"&amp;" · ","")&amp;IF(AND($V78="Sub",$H78&lt;&gt;""),"Las subactividades no llevan peso (valen igual dentro de su macroactividad)"&amp;" · ","")&amp;IF(AND(N($W78)&gt;0,COUNT($I78:$L78)&gt;0),"Con subactividades: deje vacías las semanas (se calculan solas)"&amp;" · ","")&amp;IF((COUNTIF($I78:$L78,"&gt;1")+COUNTIF($I78:$L78,"&lt;0")+COUNTA($I78:$L78)-COUNT($I78:$L78))&gt;0,"Avance fuera de rango 0-100%"&amp;" · ","")&amp;IF(OR(AND($J78&lt;&gt;"",$J78&lt;$I78),AND($K78&lt;&gt;"",$K78&lt;MAX($I78:$J78)),AND($L78&lt;&gt;"",$L78&lt;MAX($I78:$K78))),"Avance semanal decreciente"&amp;" · ","")&amp;IF(AND(ISNUMBER($AN78),$AN78&lt;FechaRef,IF($V78="Sub",N($X78),N($M78))&lt;1),"Vencida"&amp;" · ","")&amp;IF(AND(ObsObligatoria="Sí",ISNUMBER($AN78),$AN78&lt;FechaRef,IF($V78="Sub",N($X78),N($M78))&lt;1,$Q78=""),"Vencida sin observación"&amp;" · ",""),LEN(IF($C78="","Falta el nombre de la actividad"&amp;" · ","")&amp;IF(AND($V78="Sub",N($U78)=0),"Subactividad sin macroactividad arriba"&amp;" · ","")&amp;IF($AM78="","Sin fecha de inicio"&amp;" · ","")&amp;IF($AN78="","Sin fecha límite"&amp;" · ","")&amp;IF(AND(LEFT($C78,11)="[Jefatura] ",N($AL78)=0),"No se encuentra en la hoja de la jefatura (elíjala de nuevo en la lista)"&amp;" · ","")&amp;IF(OR(AND($E78&lt;&gt;"",NOT(ISNUMBER($E78))),AND($F78&lt;&gt;"",NOT(ISNUMBER($F78))),AND($G78&lt;&gt;"",NOT(ISNUMBER($G78)))),"Fecha no válida"&amp;" · ","")&amp;IF(AND(ISNUMBER($AM78),ISNUMBER($AN78),$AM78&gt;$AN78),"Inicio posterior a fecha límite"&amp;" · ","")&amp;IF(AND($V78="Macro",$H78&lt;&gt;"",OR(NOT(ISNUMBER($H78)),$H78&lt;0,$H78&gt;1)),"Peso fuera de rango"&amp;" · ","")&amp;IF(AND($V78="Sub",$H78&lt;&gt;""),"Las subactividades no llevan peso (valen igual dentro de su macroactividad)"&amp;" · ","")&amp;IF(AND(N($W78)&gt;0,COUNT($I78:$L78)&gt;0),"Con subactividades: deje vacías las semanas (se calculan solas)"&amp;" · ","")&amp;IF((COUNTIF($I78:$L78,"&gt;1")+COUNTIF($I78:$L78,"&lt;0")+COUNTA($I78:$L78)-COUNT($I78:$L78))&gt;0,"Avance fuera de rango 0-100%"&amp;" · ","")&amp;IF(OR(AND($J78&lt;&gt;"",$J78&lt;$I78),AND($K78&lt;&gt;"",$K78&lt;MAX($I78:$J78)),AND($L78&lt;&gt;"",$L78&lt;MAX($I78:$K78))),"Avance semanal decreciente"&amp;" · ","")&amp;IF(AND(ISNUMBER($AN78),$AN78&lt;FechaRef,IF($V78="Sub",N($X78),N($M78))&lt;1),"Vencida"&amp;" · ","")&amp;IF(AND(ObsObligatoria="Sí",ISNUMBER($AN78),$AN78&lt;FechaRef,IF($V78="Sub",N($X78),N($M78))&lt;1,$Q78=""),"Vencida sin observación"&amp;" · ",""))-3)))</f>
        <v/>
      </c>
      <c r="S78" s="64">
        <f>IF(NOT((COUNTA($B78:$D78)+COUNTA($G78:$L78)+COUNTA($Q78))&gt;0),"",IF(AND($V78="Sub",N($U78)&gt;0),IF(ISNUMBER(INDEX($AM$5:$AM$1000,$U78-4)),DATE(YEAR(INDEX($AM$5:$AM$1000,$U78-4)),MONTH(INDEX($AM$5:$AM$1000,$U78-4)),1),IF(ISNUMBER(INDEX($AN$5:$AN$1000,$U78-4)),DATE(YEAR(INDEX($AN$5:$AN$1000,$U78-4)),MONTH(INDEX($AN$5:$AN$1000,$U78-4)),1),MesCiclo)),IF(ISNUMBER($AM78),DATE(YEAR($AM78),MONTH($AM78),1),IF(ISNUMBER($AN78),DATE(YEAR($AN78),MONTH($AN78),1),MesCiclo))))</f>
        <v/>
      </c>
      <c r="T78" s="62">
        <f>IF(OR($S78="",$S78&lt;&gt;MesCiclo,$V78&lt;&gt;"Macro"),"",COUNTIFS($S$5:$S78,MesCiclo,$V$5:$V78,"Macro"))</f>
        <v/>
      </c>
      <c r="U78" s="62">
        <f>IF($V78="","",IF($V78="Macro",ROW(),IFERROR(LOOKUP(2,1/($V$5:$V78="Macro"),ROW($V$5:$V78)),0)))</f>
        <v/>
      </c>
      <c r="V78" s="62">
        <f>IF(NOT((COUNTA($B78:$D78)+COUNTA($G78:$L78)+COUNTA($Q78))&gt;0),"",IF($B78="Subactividad","Sub","Macro"))</f>
        <v/>
      </c>
      <c r="W78" s="62">
        <f>IF($V78="Macro",COUNTIFS($U$5:$U$1000,ROW(),$V$5:$V$1000,"Sub"),"")</f>
        <v/>
      </c>
      <c r="X78" s="62">
        <f>IF($V78="","",IF(ISNUMBER($G78),1,IFERROR(LOOKUP(2,1/($I78:$L78&lt;&gt;""),$I78:$L78),0)))</f>
        <v/>
      </c>
      <c r="Y78" s="62">
        <f>IF($V78="","",IF(AND(ISNUMBER($G78),$G78&lt;=IF($S78=MesCiclo,InicioCiclo,$S78+MOD(2-WEEKDAY($S78),7))+6),1,IF(ISNUMBER($I78),$I78,0)))</f>
        <v/>
      </c>
      <c r="Z78" s="62">
        <f>IF($V78="","",IF(AND(ISNUMBER($G78),$G78&lt;=IF($S78=MesCiclo,InicioCiclo,$S78+MOD(2-WEEKDAY($S78),7))+13),1,IF(ISNUMBER($J78),$J78,$Y78)))</f>
        <v/>
      </c>
      <c r="AA78" s="62">
        <f>IF($V78="","",IF(AND(ISNUMBER($G78),$G78&lt;=IF($S78=MesCiclo,InicioCiclo,$S78+MOD(2-WEEKDAY($S78),7))+20),1,IF(ISNUMBER($K78),$K78,$Z78)))</f>
        <v/>
      </c>
      <c r="AB78" s="62">
        <f>IF($V78="","",IF(AND(ISNUMBER($G78),$G78&lt;=IF($S78=MesCiclo,InicioCiclo,$S78+MOD(2-WEEKDAY($S78),7))+27),1,IF(ISNUMBER($L78),$L78,$AA78)))</f>
        <v/>
      </c>
      <c r="AC78" s="62">
        <f>IF($V78="","",IF(AND(ISNUMBER($G78),$G78&lt;=IF($S78=MesCiclo,InicioCiclo,$S78+MOD(2-WEEKDAY($S78),7))+6),1,IF(N($W78)&gt;0,AVERAGEIFS($Y$5:$Y$1000,$U$5:$U$1000,ROW(),$V$5:$V$1000,"Sub"),$Y78)))</f>
        <v/>
      </c>
      <c r="AD78" s="62">
        <f>IF($V78="","",IF(AND(ISNUMBER($G78),$G78&lt;=IF($S78=MesCiclo,InicioCiclo,$S78+MOD(2-WEEKDAY($S78),7))+13),1,IF(N($W78)&gt;0,AVERAGEIFS($Z$5:$Z$1000,$U$5:$U$1000,ROW(),$V$5:$V$1000,"Sub"),$Z78)))</f>
        <v/>
      </c>
      <c r="AE78" s="62">
        <f>IF($V78="","",IF(AND(ISNUMBER($G78),$G78&lt;=IF($S78=MesCiclo,InicioCiclo,$S78+MOD(2-WEEKDAY($S78),7))+20),1,IF(N($W78)&gt;0,AVERAGEIFS($AA$5:$AA$1000,$U$5:$U$1000,ROW(),$V$5:$V$1000,"Sub"),$AA78)))</f>
        <v/>
      </c>
      <c r="AF78" s="62">
        <f>IF($V78="","",IF(AND(ISNUMBER($G78),$G78&lt;=IF($S78=MesCiclo,InicioCiclo,$S78+MOD(2-WEEKDAY($S78),7))+27),1,IF(N($W78)&gt;0,AVERAGEIFS($AB$5:$AB$1000,$U$5:$U$1000,ROW(),$V$5:$V$1000,"Sub"),$AB78)))</f>
        <v/>
      </c>
      <c r="AG78" s="62">
        <f>IF($V78&lt;&gt;"Macro","",IF(COUNTIFS($S$5:$S$1000,$S78,$V$5:$V$1000,"Macro",$H$5:$H$1000,"&gt;0")=0,1/COUNTIFS($S$5:$S$1000,$S78,$V$5:$V$1000,"Macro"),IF(AND(ISNUMBER($H78),N($H78)&gt;0),$H78,SUMIFS($H$5:$H$1000,$S$5:$S$1000,$S78,$V$5:$V$1000,"Macro")/COUNTIFS($S$5:$S$1000,$S78,$V$5:$V$1000,"Macro",$H$5:$H$1000,"&gt;0"))/(COUNTIFS($S$5:$S$1000,$S78,$V$5:$V$1000,"Macro")*SUMIFS($H$5:$H$1000,$S$5:$S$1000,$S78,$V$5:$V$1000,"Macro")/COUNTIFS($S$5:$S$1000,$S78,$V$5:$V$1000,"Macro",$H$5:$H$1000,"&gt;0"))))</f>
        <v/>
      </c>
      <c r="AH78" s="62" t="n"/>
      <c r="AI78" s="62" t="n"/>
      <c r="AJ78" s="62" t="n"/>
      <c r="AK78" s="62" t="n"/>
      <c r="AL78" s="62">
        <f>IF(LEFT($C78,11)="[Jefatura] ",IFERROR(MATCH("Riesgo Operacional|"&amp;MID($C78,12,500),rDname_ADM,0),0),"")</f>
        <v/>
      </c>
      <c r="AM78" s="62">
        <f>IF(N($AL78)&gt;0,INDEX(rIni_ADM,$AL78),IF(ISNUMBER($E78),$E78,""))</f>
        <v/>
      </c>
      <c r="AN78" s="62">
        <f>IF(N($AL78)&gt;0,INDEX(rLim_ADM,$AL78),IF(ISNUMBER($F78),$F78,""))</f>
        <v/>
      </c>
    </row>
    <row r="79">
      <c r="A79" s="56">
        <f>IF(NOT((COUNTA($B79:$D79)+COUNTA($G79:$L79)+COUNTA($Q79))&gt;0),"",IF($V79="Macro",COUNTIFS($V$5:$V79,"Macro",$S$5:$S79,$S79),IF(N($U79)=0,"?",COUNTIFS(INDEX($V$5:$V$1000,1):INDEX($V$5:$V$1000,$U79-4),"Macro",INDEX($S$5:$S$1000,1):INDEX($S$5:$S$1000,$U79-4),INDEX($S$5:$S$1000,$U79-4))&amp;"."&amp;COUNTIFS($U$5:$U79,$U79,$V$5:$V79,"Sub"))))</f>
        <v/>
      </c>
      <c r="B79" s="57" t="n"/>
      <c r="C79" s="58" t="n"/>
      <c r="D79" s="58" t="n"/>
      <c r="E79" s="59">
        <f>IF(N($AL79)&gt;0,INDEX(rIni_ADM,$AL79),"")</f>
        <v/>
      </c>
      <c r="F79" s="59">
        <f>IF(N($AL79)&gt;0,INDEX(rLim_ADM,$AL79),"")</f>
        <v/>
      </c>
      <c r="G79" s="59" t="n"/>
      <c r="H79" s="60" t="n"/>
      <c r="I79" s="60" t="n"/>
      <c r="J79" s="60" t="n"/>
      <c r="K79" s="60" t="n"/>
      <c r="L79" s="60" t="n"/>
      <c r="M79" s="61">
        <f>IF(NOT((COUNTA($B79:$D79)+COUNTA($G79:$L79)+COUNTA($Q79))&gt;0),"",IF($V79="Sub",IFERROR($X79/INDEX($W$5:$W$1000,$U79-4),""),IF(ISNUMBER($G79),1,IF(N($W79)&gt;0,AVERAGEIFS($X$5:$X$1000,$U$5:$U$1000,ROW(),$V$5:$V$1000,"Sub"),$X79))))</f>
        <v/>
      </c>
      <c r="N79" s="56">
        <f>IF(OR($M79="",$V79="Sub"),"",IF($M79&gt;=1,"Completado",IF($M79&gt;0,"En curso","Pendiente")))</f>
        <v/>
      </c>
      <c r="O79" s="56">
        <f>IF(OR(NOT((COUNTA($B79:$D79)+COUNTA($G79:$L79)+COUNTA($Q79))&gt;0),$V79="Sub"),"",IF(ISNUMBER($G79),IF(AND(ISNUMBER($AN79),$G79&gt;$AN79),"Cumplida con "&amp;($G79-$AN79)&amp;IF($G79-$AN79=1," día"," días")&amp;" de retraso","Cumplida"),IF(N($M79)&gt;=1,"Cumplida",IF(NOT(ISNUMBER($AN79)),"Sin fecha límite",IF($AN79&lt;FechaRef,"Vencida hace "&amp;(FechaRef-$AN79)&amp;IF(FechaRef-$AN79=1," día"," días"),IF($AN79=FechaRef,"Vence hoy",IF($AN79-FechaRef&lt;=DiasAlerta,"Vence en "&amp;($AN79-FechaRef)&amp;IF($AN79-FechaRef=1," día"," días"),"En plazo")))))))</f>
        <v/>
      </c>
      <c r="P79" s="62" t="n"/>
      <c r="Q79" s="58" t="n"/>
      <c r="R79" s="63">
        <f>IF(NOT((COUNTA($B79:$D79)+COUNTA($G79:$L79)+COUNTA($Q79))&gt;0),"",IF((IF($C79="","Falta el nombre de la actividad"&amp;" · ","")&amp;IF(AND($V79="Sub",N($U79)=0),"Subactividad sin macroactividad arriba"&amp;" · ","")&amp;IF($AM79="","Sin fecha de inicio"&amp;" · ","")&amp;IF($AN79="","Sin fecha límite"&amp;" · ","")&amp;IF(AND(LEFT($C79,11)="[Jefatura] ",N($AL79)=0),"No se encuentra en la hoja de la jefatura (elíjala de nuevo en la lista)"&amp;" · ","")&amp;IF(OR(AND($E79&lt;&gt;"",NOT(ISNUMBER($E79))),AND($F79&lt;&gt;"",NOT(ISNUMBER($F79))),AND($G79&lt;&gt;"",NOT(ISNUMBER($G79)))),"Fecha no válida"&amp;" · ","")&amp;IF(AND(ISNUMBER($AM79),ISNUMBER($AN79),$AM79&gt;$AN79),"Inicio posterior a fecha límite"&amp;" · ","")&amp;IF(AND($V79="Macro",$H79&lt;&gt;"",OR(NOT(ISNUMBER($H79)),$H79&lt;0,$H79&gt;1)),"Peso fuera de rango"&amp;" · ","")&amp;IF(AND($V79="Sub",$H79&lt;&gt;""),"Las subactividades no llevan peso (valen igual dentro de su macroactividad)"&amp;" · ","")&amp;IF(AND(N($W79)&gt;0,COUNT($I79:$L79)&gt;0),"Con subactividades: deje vacías las semanas (se calculan solas)"&amp;" · ","")&amp;IF((COUNTIF($I79:$L79,"&gt;1")+COUNTIF($I79:$L79,"&lt;0")+COUNTA($I79:$L79)-COUNT($I79:$L79))&gt;0,"Avance fuera de rango 0-100%"&amp;" · ","")&amp;IF(OR(AND($J79&lt;&gt;"",$J79&lt;$I79),AND($K79&lt;&gt;"",$K79&lt;MAX($I79:$J79)),AND($L79&lt;&gt;"",$L79&lt;MAX($I79:$K79))),"Avance semanal decreciente"&amp;" · ","")&amp;IF(AND(ISNUMBER($AN79),$AN79&lt;FechaRef,IF($V79="Sub",N($X79),N($M79))&lt;1),"Vencida"&amp;" · ","")&amp;IF(AND(ObsObligatoria="Sí",ISNUMBER($AN79),$AN79&lt;FechaRef,IF($V79="Sub",N($X79),N($M79))&lt;1,$Q79=""),"Vencida sin observación"&amp;" · ",""))="","✔ OK","⚠ "&amp;LEFT(IF($C79="","Falta el nombre de la actividad"&amp;" · ","")&amp;IF(AND($V79="Sub",N($U79)=0),"Subactividad sin macroactividad arriba"&amp;" · ","")&amp;IF($AM79="","Sin fecha de inicio"&amp;" · ","")&amp;IF($AN79="","Sin fecha límite"&amp;" · ","")&amp;IF(AND(LEFT($C79,11)="[Jefatura] ",N($AL79)=0),"No se encuentra en la hoja de la jefatura (elíjala de nuevo en la lista)"&amp;" · ","")&amp;IF(OR(AND($E79&lt;&gt;"",NOT(ISNUMBER($E79))),AND($F79&lt;&gt;"",NOT(ISNUMBER($F79))),AND($G79&lt;&gt;"",NOT(ISNUMBER($G79)))),"Fecha no válida"&amp;" · ","")&amp;IF(AND(ISNUMBER($AM79),ISNUMBER($AN79),$AM79&gt;$AN79),"Inicio posterior a fecha límite"&amp;" · ","")&amp;IF(AND($V79="Macro",$H79&lt;&gt;"",OR(NOT(ISNUMBER($H79)),$H79&lt;0,$H79&gt;1)),"Peso fuera de rango"&amp;" · ","")&amp;IF(AND($V79="Sub",$H79&lt;&gt;""),"Las subactividades no llevan peso (valen igual dentro de su macroactividad)"&amp;" · ","")&amp;IF(AND(N($W79)&gt;0,COUNT($I79:$L79)&gt;0),"Con subactividades: deje vacías las semanas (se calculan solas)"&amp;" · ","")&amp;IF((COUNTIF($I79:$L79,"&gt;1")+COUNTIF($I79:$L79,"&lt;0")+COUNTA($I79:$L79)-COUNT($I79:$L79))&gt;0,"Avance fuera de rango 0-100%"&amp;" · ","")&amp;IF(OR(AND($J79&lt;&gt;"",$J79&lt;$I79),AND($K79&lt;&gt;"",$K79&lt;MAX($I79:$J79)),AND($L79&lt;&gt;"",$L79&lt;MAX($I79:$K79))),"Avance semanal decreciente"&amp;" · ","")&amp;IF(AND(ISNUMBER($AN79),$AN79&lt;FechaRef,IF($V79="Sub",N($X79),N($M79))&lt;1),"Vencida"&amp;" · ","")&amp;IF(AND(ObsObligatoria="Sí",ISNUMBER($AN79),$AN79&lt;FechaRef,IF($V79="Sub",N($X79),N($M79))&lt;1,$Q79=""),"Vencida sin observación"&amp;" · ",""),LEN(IF($C79="","Falta el nombre de la actividad"&amp;" · ","")&amp;IF(AND($V79="Sub",N($U79)=0),"Subactividad sin macroactividad arriba"&amp;" · ","")&amp;IF($AM79="","Sin fecha de inicio"&amp;" · ","")&amp;IF($AN79="","Sin fecha límite"&amp;" · ","")&amp;IF(AND(LEFT($C79,11)="[Jefatura] ",N($AL79)=0),"No se encuentra en la hoja de la jefatura (elíjala de nuevo en la lista)"&amp;" · ","")&amp;IF(OR(AND($E79&lt;&gt;"",NOT(ISNUMBER($E79))),AND($F79&lt;&gt;"",NOT(ISNUMBER($F79))),AND($G79&lt;&gt;"",NOT(ISNUMBER($G79)))),"Fecha no válida"&amp;" · ","")&amp;IF(AND(ISNUMBER($AM79),ISNUMBER($AN79),$AM79&gt;$AN79),"Inicio posterior a fecha límite"&amp;" · ","")&amp;IF(AND($V79="Macro",$H79&lt;&gt;"",OR(NOT(ISNUMBER($H79)),$H79&lt;0,$H79&gt;1)),"Peso fuera de rango"&amp;" · ","")&amp;IF(AND($V79="Sub",$H79&lt;&gt;""),"Las subactividades no llevan peso (valen igual dentro de su macroactividad)"&amp;" · ","")&amp;IF(AND(N($W79)&gt;0,COUNT($I79:$L79)&gt;0),"Con subactividades: deje vacías las semanas (se calculan solas)"&amp;" · ","")&amp;IF((COUNTIF($I79:$L79,"&gt;1")+COUNTIF($I79:$L79,"&lt;0")+COUNTA($I79:$L79)-COUNT($I79:$L79))&gt;0,"Avance fuera de rango 0-100%"&amp;" · ","")&amp;IF(OR(AND($J79&lt;&gt;"",$J79&lt;$I79),AND($K79&lt;&gt;"",$K79&lt;MAX($I79:$J79)),AND($L79&lt;&gt;"",$L79&lt;MAX($I79:$K79))),"Avance semanal decreciente"&amp;" · ","")&amp;IF(AND(ISNUMBER($AN79),$AN79&lt;FechaRef,IF($V79="Sub",N($X79),N($M79))&lt;1),"Vencida"&amp;" · ","")&amp;IF(AND(ObsObligatoria="Sí",ISNUMBER($AN79),$AN79&lt;FechaRef,IF($V79="Sub",N($X79),N($M79))&lt;1,$Q79=""),"Vencida sin observación"&amp;" · ",""))-3)))</f>
        <v/>
      </c>
      <c r="S79" s="64">
        <f>IF(NOT((COUNTA($B79:$D79)+COUNTA($G79:$L79)+COUNTA($Q79))&gt;0),"",IF(AND($V79="Sub",N($U79)&gt;0),IF(ISNUMBER(INDEX($AM$5:$AM$1000,$U79-4)),DATE(YEAR(INDEX($AM$5:$AM$1000,$U79-4)),MONTH(INDEX($AM$5:$AM$1000,$U79-4)),1),IF(ISNUMBER(INDEX($AN$5:$AN$1000,$U79-4)),DATE(YEAR(INDEX($AN$5:$AN$1000,$U79-4)),MONTH(INDEX($AN$5:$AN$1000,$U79-4)),1),MesCiclo)),IF(ISNUMBER($AM79),DATE(YEAR($AM79),MONTH($AM79),1),IF(ISNUMBER($AN79),DATE(YEAR($AN79),MONTH($AN79),1),MesCiclo))))</f>
        <v/>
      </c>
      <c r="T79" s="62">
        <f>IF(OR($S79="",$S79&lt;&gt;MesCiclo,$V79&lt;&gt;"Macro"),"",COUNTIFS($S$5:$S79,MesCiclo,$V$5:$V79,"Macro"))</f>
        <v/>
      </c>
      <c r="U79" s="62">
        <f>IF($V79="","",IF($V79="Macro",ROW(),IFERROR(LOOKUP(2,1/($V$5:$V79="Macro"),ROW($V$5:$V79)),0)))</f>
        <v/>
      </c>
      <c r="V79" s="62">
        <f>IF(NOT((COUNTA($B79:$D79)+COUNTA($G79:$L79)+COUNTA($Q79))&gt;0),"",IF($B79="Subactividad","Sub","Macro"))</f>
        <v/>
      </c>
      <c r="W79" s="62">
        <f>IF($V79="Macro",COUNTIFS($U$5:$U$1000,ROW(),$V$5:$V$1000,"Sub"),"")</f>
        <v/>
      </c>
      <c r="X79" s="62">
        <f>IF($V79="","",IF(ISNUMBER($G79),1,IFERROR(LOOKUP(2,1/($I79:$L79&lt;&gt;""),$I79:$L79),0)))</f>
        <v/>
      </c>
      <c r="Y79" s="62">
        <f>IF($V79="","",IF(AND(ISNUMBER($G79),$G79&lt;=IF($S79=MesCiclo,InicioCiclo,$S79+MOD(2-WEEKDAY($S79),7))+6),1,IF(ISNUMBER($I79),$I79,0)))</f>
        <v/>
      </c>
      <c r="Z79" s="62">
        <f>IF($V79="","",IF(AND(ISNUMBER($G79),$G79&lt;=IF($S79=MesCiclo,InicioCiclo,$S79+MOD(2-WEEKDAY($S79),7))+13),1,IF(ISNUMBER($J79),$J79,$Y79)))</f>
        <v/>
      </c>
      <c r="AA79" s="62">
        <f>IF($V79="","",IF(AND(ISNUMBER($G79),$G79&lt;=IF($S79=MesCiclo,InicioCiclo,$S79+MOD(2-WEEKDAY($S79),7))+20),1,IF(ISNUMBER($K79),$K79,$Z79)))</f>
        <v/>
      </c>
      <c r="AB79" s="62">
        <f>IF($V79="","",IF(AND(ISNUMBER($G79),$G79&lt;=IF($S79=MesCiclo,InicioCiclo,$S79+MOD(2-WEEKDAY($S79),7))+27),1,IF(ISNUMBER($L79),$L79,$AA79)))</f>
        <v/>
      </c>
      <c r="AC79" s="62">
        <f>IF($V79="","",IF(AND(ISNUMBER($G79),$G79&lt;=IF($S79=MesCiclo,InicioCiclo,$S79+MOD(2-WEEKDAY($S79),7))+6),1,IF(N($W79)&gt;0,AVERAGEIFS($Y$5:$Y$1000,$U$5:$U$1000,ROW(),$V$5:$V$1000,"Sub"),$Y79)))</f>
        <v/>
      </c>
      <c r="AD79" s="62">
        <f>IF($V79="","",IF(AND(ISNUMBER($G79),$G79&lt;=IF($S79=MesCiclo,InicioCiclo,$S79+MOD(2-WEEKDAY($S79),7))+13),1,IF(N($W79)&gt;0,AVERAGEIFS($Z$5:$Z$1000,$U$5:$U$1000,ROW(),$V$5:$V$1000,"Sub"),$Z79)))</f>
        <v/>
      </c>
      <c r="AE79" s="62">
        <f>IF($V79="","",IF(AND(ISNUMBER($G79),$G79&lt;=IF($S79=MesCiclo,InicioCiclo,$S79+MOD(2-WEEKDAY($S79),7))+20),1,IF(N($W79)&gt;0,AVERAGEIFS($AA$5:$AA$1000,$U$5:$U$1000,ROW(),$V$5:$V$1000,"Sub"),$AA79)))</f>
        <v/>
      </c>
      <c r="AF79" s="62">
        <f>IF($V79="","",IF(AND(ISNUMBER($G79),$G79&lt;=IF($S79=MesCiclo,InicioCiclo,$S79+MOD(2-WEEKDAY($S79),7))+27),1,IF(N($W79)&gt;0,AVERAGEIFS($AB$5:$AB$1000,$U$5:$U$1000,ROW(),$V$5:$V$1000,"Sub"),$AB79)))</f>
        <v/>
      </c>
      <c r="AG79" s="62">
        <f>IF($V79&lt;&gt;"Macro","",IF(COUNTIFS($S$5:$S$1000,$S79,$V$5:$V$1000,"Macro",$H$5:$H$1000,"&gt;0")=0,1/COUNTIFS($S$5:$S$1000,$S79,$V$5:$V$1000,"Macro"),IF(AND(ISNUMBER($H79),N($H79)&gt;0),$H79,SUMIFS($H$5:$H$1000,$S$5:$S$1000,$S79,$V$5:$V$1000,"Macro")/COUNTIFS($S$5:$S$1000,$S79,$V$5:$V$1000,"Macro",$H$5:$H$1000,"&gt;0"))/(COUNTIFS($S$5:$S$1000,$S79,$V$5:$V$1000,"Macro")*SUMIFS($H$5:$H$1000,$S$5:$S$1000,$S79,$V$5:$V$1000,"Macro")/COUNTIFS($S$5:$S$1000,$S79,$V$5:$V$1000,"Macro",$H$5:$H$1000,"&gt;0"))))</f>
        <v/>
      </c>
      <c r="AH79" s="62" t="n"/>
      <c r="AI79" s="62" t="n"/>
      <c r="AJ79" s="62" t="n"/>
      <c r="AK79" s="62" t="n"/>
      <c r="AL79" s="62">
        <f>IF(LEFT($C79,11)="[Jefatura] ",IFERROR(MATCH("Riesgo Operacional|"&amp;MID($C79,12,500),rDname_ADM,0),0),"")</f>
        <v/>
      </c>
      <c r="AM79" s="62">
        <f>IF(N($AL79)&gt;0,INDEX(rIni_ADM,$AL79),IF(ISNUMBER($E79),$E79,""))</f>
        <v/>
      </c>
      <c r="AN79" s="62">
        <f>IF(N($AL79)&gt;0,INDEX(rLim_ADM,$AL79),IF(ISNUMBER($F79),$F79,""))</f>
        <v/>
      </c>
    </row>
    <row r="80">
      <c r="A80" s="56">
        <f>IF(NOT((COUNTA($B80:$D80)+COUNTA($G80:$L80)+COUNTA($Q80))&gt;0),"",IF($V80="Macro",COUNTIFS($V$5:$V80,"Macro",$S$5:$S80,$S80),IF(N($U80)=0,"?",COUNTIFS(INDEX($V$5:$V$1000,1):INDEX($V$5:$V$1000,$U80-4),"Macro",INDEX($S$5:$S$1000,1):INDEX($S$5:$S$1000,$U80-4),INDEX($S$5:$S$1000,$U80-4))&amp;"."&amp;COUNTIFS($U$5:$U80,$U80,$V$5:$V80,"Sub"))))</f>
        <v/>
      </c>
      <c r="B80" s="57" t="n"/>
      <c r="C80" s="58" t="n"/>
      <c r="D80" s="58" t="n"/>
      <c r="E80" s="59">
        <f>IF(N($AL80)&gt;0,INDEX(rIni_ADM,$AL80),"")</f>
        <v/>
      </c>
      <c r="F80" s="59">
        <f>IF(N($AL80)&gt;0,INDEX(rLim_ADM,$AL80),"")</f>
        <v/>
      </c>
      <c r="G80" s="59" t="n"/>
      <c r="H80" s="60" t="n"/>
      <c r="I80" s="60" t="n"/>
      <c r="J80" s="60" t="n"/>
      <c r="K80" s="60" t="n"/>
      <c r="L80" s="60" t="n"/>
      <c r="M80" s="61">
        <f>IF(NOT((COUNTA($B80:$D80)+COUNTA($G80:$L80)+COUNTA($Q80))&gt;0),"",IF($V80="Sub",IFERROR($X80/INDEX($W$5:$W$1000,$U80-4),""),IF(ISNUMBER($G80),1,IF(N($W80)&gt;0,AVERAGEIFS($X$5:$X$1000,$U$5:$U$1000,ROW(),$V$5:$V$1000,"Sub"),$X80))))</f>
        <v/>
      </c>
      <c r="N80" s="56">
        <f>IF(OR($M80="",$V80="Sub"),"",IF($M80&gt;=1,"Completado",IF($M80&gt;0,"En curso","Pendiente")))</f>
        <v/>
      </c>
      <c r="O80" s="56">
        <f>IF(OR(NOT((COUNTA($B80:$D80)+COUNTA($G80:$L80)+COUNTA($Q80))&gt;0),$V80="Sub"),"",IF(ISNUMBER($G80),IF(AND(ISNUMBER($AN80),$G80&gt;$AN80),"Cumplida con "&amp;($G80-$AN80)&amp;IF($G80-$AN80=1," día"," días")&amp;" de retraso","Cumplida"),IF(N($M80)&gt;=1,"Cumplida",IF(NOT(ISNUMBER($AN80)),"Sin fecha límite",IF($AN80&lt;FechaRef,"Vencida hace "&amp;(FechaRef-$AN80)&amp;IF(FechaRef-$AN80=1," día"," días"),IF($AN80=FechaRef,"Vence hoy",IF($AN80-FechaRef&lt;=DiasAlerta,"Vence en "&amp;($AN80-FechaRef)&amp;IF($AN80-FechaRef=1," día"," días"),"En plazo")))))))</f>
        <v/>
      </c>
      <c r="P80" s="62" t="n"/>
      <c r="Q80" s="58" t="n"/>
      <c r="R80" s="63">
        <f>IF(NOT((COUNTA($B80:$D80)+COUNTA($G80:$L80)+COUNTA($Q80))&gt;0),"",IF((IF($C80="","Falta el nombre de la actividad"&amp;" · ","")&amp;IF(AND($V80="Sub",N($U80)=0),"Subactividad sin macroactividad arriba"&amp;" · ","")&amp;IF($AM80="","Sin fecha de inicio"&amp;" · ","")&amp;IF($AN80="","Sin fecha límite"&amp;" · ","")&amp;IF(AND(LEFT($C80,11)="[Jefatura] ",N($AL80)=0),"No se encuentra en la hoja de la jefatura (elíjala de nuevo en la lista)"&amp;" · ","")&amp;IF(OR(AND($E80&lt;&gt;"",NOT(ISNUMBER($E80))),AND($F80&lt;&gt;"",NOT(ISNUMBER($F80))),AND($G80&lt;&gt;"",NOT(ISNUMBER($G80)))),"Fecha no válida"&amp;" · ","")&amp;IF(AND(ISNUMBER($AM80),ISNUMBER($AN80),$AM80&gt;$AN80),"Inicio posterior a fecha límite"&amp;" · ","")&amp;IF(AND($V80="Macro",$H80&lt;&gt;"",OR(NOT(ISNUMBER($H80)),$H80&lt;0,$H80&gt;1)),"Peso fuera de rango"&amp;" · ","")&amp;IF(AND($V80="Sub",$H80&lt;&gt;""),"Las subactividades no llevan peso (valen igual dentro de su macroactividad)"&amp;" · ","")&amp;IF(AND(N($W80)&gt;0,COUNT($I80:$L80)&gt;0),"Con subactividades: deje vacías las semanas (se calculan solas)"&amp;" · ","")&amp;IF((COUNTIF($I80:$L80,"&gt;1")+COUNTIF($I80:$L80,"&lt;0")+COUNTA($I80:$L80)-COUNT($I80:$L80))&gt;0,"Avance fuera de rango 0-100%"&amp;" · ","")&amp;IF(OR(AND($J80&lt;&gt;"",$J80&lt;$I80),AND($K80&lt;&gt;"",$K80&lt;MAX($I80:$J80)),AND($L80&lt;&gt;"",$L80&lt;MAX($I80:$K80))),"Avance semanal decreciente"&amp;" · ","")&amp;IF(AND(ISNUMBER($AN80),$AN80&lt;FechaRef,IF($V80="Sub",N($X80),N($M80))&lt;1),"Vencida"&amp;" · ","")&amp;IF(AND(ObsObligatoria="Sí",ISNUMBER($AN80),$AN80&lt;FechaRef,IF($V80="Sub",N($X80),N($M80))&lt;1,$Q80=""),"Vencida sin observación"&amp;" · ",""))="","✔ OK","⚠ "&amp;LEFT(IF($C80="","Falta el nombre de la actividad"&amp;" · ","")&amp;IF(AND($V80="Sub",N($U80)=0),"Subactividad sin macroactividad arriba"&amp;" · ","")&amp;IF($AM80="","Sin fecha de inicio"&amp;" · ","")&amp;IF($AN80="","Sin fecha límite"&amp;" · ","")&amp;IF(AND(LEFT($C80,11)="[Jefatura] ",N($AL80)=0),"No se encuentra en la hoja de la jefatura (elíjala de nuevo en la lista)"&amp;" · ","")&amp;IF(OR(AND($E80&lt;&gt;"",NOT(ISNUMBER($E80))),AND($F80&lt;&gt;"",NOT(ISNUMBER($F80))),AND($G80&lt;&gt;"",NOT(ISNUMBER($G80)))),"Fecha no válida"&amp;" · ","")&amp;IF(AND(ISNUMBER($AM80),ISNUMBER($AN80),$AM80&gt;$AN80),"Inicio posterior a fecha límite"&amp;" · ","")&amp;IF(AND($V80="Macro",$H80&lt;&gt;"",OR(NOT(ISNUMBER($H80)),$H80&lt;0,$H80&gt;1)),"Peso fuera de rango"&amp;" · ","")&amp;IF(AND($V80="Sub",$H80&lt;&gt;""),"Las subactividades no llevan peso (valen igual dentro de su macroactividad)"&amp;" · ","")&amp;IF(AND(N($W80)&gt;0,COUNT($I80:$L80)&gt;0),"Con subactividades: deje vacías las semanas (se calculan solas)"&amp;" · ","")&amp;IF((COUNTIF($I80:$L80,"&gt;1")+COUNTIF($I80:$L80,"&lt;0")+COUNTA($I80:$L80)-COUNT($I80:$L80))&gt;0,"Avance fuera de rango 0-100%"&amp;" · ","")&amp;IF(OR(AND($J80&lt;&gt;"",$J80&lt;$I80),AND($K80&lt;&gt;"",$K80&lt;MAX($I80:$J80)),AND($L80&lt;&gt;"",$L80&lt;MAX($I80:$K80))),"Avance semanal decreciente"&amp;" · ","")&amp;IF(AND(ISNUMBER($AN80),$AN80&lt;FechaRef,IF($V80="Sub",N($X80),N($M80))&lt;1),"Vencida"&amp;" · ","")&amp;IF(AND(ObsObligatoria="Sí",ISNUMBER($AN80),$AN80&lt;FechaRef,IF($V80="Sub",N($X80),N($M80))&lt;1,$Q80=""),"Vencida sin observación"&amp;" · ",""),LEN(IF($C80="","Falta el nombre de la actividad"&amp;" · ","")&amp;IF(AND($V80="Sub",N($U80)=0),"Subactividad sin macroactividad arriba"&amp;" · ","")&amp;IF($AM80="","Sin fecha de inicio"&amp;" · ","")&amp;IF($AN80="","Sin fecha límite"&amp;" · ","")&amp;IF(AND(LEFT($C80,11)="[Jefatura] ",N($AL80)=0),"No se encuentra en la hoja de la jefatura (elíjala de nuevo en la lista)"&amp;" · ","")&amp;IF(OR(AND($E80&lt;&gt;"",NOT(ISNUMBER($E80))),AND($F80&lt;&gt;"",NOT(ISNUMBER($F80))),AND($G80&lt;&gt;"",NOT(ISNUMBER($G80)))),"Fecha no válida"&amp;" · ","")&amp;IF(AND(ISNUMBER($AM80),ISNUMBER($AN80),$AM80&gt;$AN80),"Inicio posterior a fecha límite"&amp;" · ","")&amp;IF(AND($V80="Macro",$H80&lt;&gt;"",OR(NOT(ISNUMBER($H80)),$H80&lt;0,$H80&gt;1)),"Peso fuera de rango"&amp;" · ","")&amp;IF(AND($V80="Sub",$H80&lt;&gt;""),"Las subactividades no llevan peso (valen igual dentro de su macroactividad)"&amp;" · ","")&amp;IF(AND(N($W80)&gt;0,COUNT($I80:$L80)&gt;0),"Con subactividades: deje vacías las semanas (se calculan solas)"&amp;" · ","")&amp;IF((COUNTIF($I80:$L80,"&gt;1")+COUNTIF($I80:$L80,"&lt;0")+COUNTA($I80:$L80)-COUNT($I80:$L80))&gt;0,"Avance fuera de rango 0-100%"&amp;" · ","")&amp;IF(OR(AND($J80&lt;&gt;"",$J80&lt;$I80),AND($K80&lt;&gt;"",$K80&lt;MAX($I80:$J80)),AND($L80&lt;&gt;"",$L80&lt;MAX($I80:$K80))),"Avance semanal decreciente"&amp;" · ","")&amp;IF(AND(ISNUMBER($AN80),$AN80&lt;FechaRef,IF($V80="Sub",N($X80),N($M80))&lt;1),"Vencida"&amp;" · ","")&amp;IF(AND(ObsObligatoria="Sí",ISNUMBER($AN80),$AN80&lt;FechaRef,IF($V80="Sub",N($X80),N($M80))&lt;1,$Q80=""),"Vencida sin observación"&amp;" · ",""))-3)))</f>
        <v/>
      </c>
      <c r="S80" s="64">
        <f>IF(NOT((COUNTA($B80:$D80)+COUNTA($G80:$L80)+COUNTA($Q80))&gt;0),"",IF(AND($V80="Sub",N($U80)&gt;0),IF(ISNUMBER(INDEX($AM$5:$AM$1000,$U80-4)),DATE(YEAR(INDEX($AM$5:$AM$1000,$U80-4)),MONTH(INDEX($AM$5:$AM$1000,$U80-4)),1),IF(ISNUMBER(INDEX($AN$5:$AN$1000,$U80-4)),DATE(YEAR(INDEX($AN$5:$AN$1000,$U80-4)),MONTH(INDEX($AN$5:$AN$1000,$U80-4)),1),MesCiclo)),IF(ISNUMBER($AM80),DATE(YEAR($AM80),MONTH($AM80),1),IF(ISNUMBER($AN80),DATE(YEAR($AN80),MONTH($AN80),1),MesCiclo))))</f>
        <v/>
      </c>
      <c r="T80" s="62">
        <f>IF(OR($S80="",$S80&lt;&gt;MesCiclo,$V80&lt;&gt;"Macro"),"",COUNTIFS($S$5:$S80,MesCiclo,$V$5:$V80,"Macro"))</f>
        <v/>
      </c>
      <c r="U80" s="62">
        <f>IF($V80="","",IF($V80="Macro",ROW(),IFERROR(LOOKUP(2,1/($V$5:$V80="Macro"),ROW($V$5:$V80)),0)))</f>
        <v/>
      </c>
      <c r="V80" s="62">
        <f>IF(NOT((COUNTA($B80:$D80)+COUNTA($G80:$L80)+COUNTA($Q80))&gt;0),"",IF($B80="Subactividad","Sub","Macro"))</f>
        <v/>
      </c>
      <c r="W80" s="62">
        <f>IF($V80="Macro",COUNTIFS($U$5:$U$1000,ROW(),$V$5:$V$1000,"Sub"),"")</f>
        <v/>
      </c>
      <c r="X80" s="62">
        <f>IF($V80="","",IF(ISNUMBER($G80),1,IFERROR(LOOKUP(2,1/($I80:$L80&lt;&gt;""),$I80:$L80),0)))</f>
        <v/>
      </c>
      <c r="Y80" s="62">
        <f>IF($V80="","",IF(AND(ISNUMBER($G80),$G80&lt;=IF($S80=MesCiclo,InicioCiclo,$S80+MOD(2-WEEKDAY($S80),7))+6),1,IF(ISNUMBER($I80),$I80,0)))</f>
        <v/>
      </c>
      <c r="Z80" s="62">
        <f>IF($V80="","",IF(AND(ISNUMBER($G80),$G80&lt;=IF($S80=MesCiclo,InicioCiclo,$S80+MOD(2-WEEKDAY($S80),7))+13),1,IF(ISNUMBER($J80),$J80,$Y80)))</f>
        <v/>
      </c>
      <c r="AA80" s="62">
        <f>IF($V80="","",IF(AND(ISNUMBER($G80),$G80&lt;=IF($S80=MesCiclo,InicioCiclo,$S80+MOD(2-WEEKDAY($S80),7))+20),1,IF(ISNUMBER($K80),$K80,$Z80)))</f>
        <v/>
      </c>
      <c r="AB80" s="62">
        <f>IF($V80="","",IF(AND(ISNUMBER($G80),$G80&lt;=IF($S80=MesCiclo,InicioCiclo,$S80+MOD(2-WEEKDAY($S80),7))+27),1,IF(ISNUMBER($L80),$L80,$AA80)))</f>
        <v/>
      </c>
      <c r="AC80" s="62">
        <f>IF($V80="","",IF(AND(ISNUMBER($G80),$G80&lt;=IF($S80=MesCiclo,InicioCiclo,$S80+MOD(2-WEEKDAY($S80),7))+6),1,IF(N($W80)&gt;0,AVERAGEIFS($Y$5:$Y$1000,$U$5:$U$1000,ROW(),$V$5:$V$1000,"Sub"),$Y80)))</f>
        <v/>
      </c>
      <c r="AD80" s="62">
        <f>IF($V80="","",IF(AND(ISNUMBER($G80),$G80&lt;=IF($S80=MesCiclo,InicioCiclo,$S80+MOD(2-WEEKDAY($S80),7))+13),1,IF(N($W80)&gt;0,AVERAGEIFS($Z$5:$Z$1000,$U$5:$U$1000,ROW(),$V$5:$V$1000,"Sub"),$Z80)))</f>
        <v/>
      </c>
      <c r="AE80" s="62">
        <f>IF($V80="","",IF(AND(ISNUMBER($G80),$G80&lt;=IF($S80=MesCiclo,InicioCiclo,$S80+MOD(2-WEEKDAY($S80),7))+20),1,IF(N($W80)&gt;0,AVERAGEIFS($AA$5:$AA$1000,$U$5:$U$1000,ROW(),$V$5:$V$1000,"Sub"),$AA80)))</f>
        <v/>
      </c>
      <c r="AF80" s="62">
        <f>IF($V80="","",IF(AND(ISNUMBER($G80),$G80&lt;=IF($S80=MesCiclo,InicioCiclo,$S80+MOD(2-WEEKDAY($S80),7))+27),1,IF(N($W80)&gt;0,AVERAGEIFS($AB$5:$AB$1000,$U$5:$U$1000,ROW(),$V$5:$V$1000,"Sub"),$AB80)))</f>
        <v/>
      </c>
      <c r="AG80" s="62">
        <f>IF($V80&lt;&gt;"Macro","",IF(COUNTIFS($S$5:$S$1000,$S80,$V$5:$V$1000,"Macro",$H$5:$H$1000,"&gt;0")=0,1/COUNTIFS($S$5:$S$1000,$S80,$V$5:$V$1000,"Macro"),IF(AND(ISNUMBER($H80),N($H80)&gt;0),$H80,SUMIFS($H$5:$H$1000,$S$5:$S$1000,$S80,$V$5:$V$1000,"Macro")/COUNTIFS($S$5:$S$1000,$S80,$V$5:$V$1000,"Macro",$H$5:$H$1000,"&gt;0"))/(COUNTIFS($S$5:$S$1000,$S80,$V$5:$V$1000,"Macro")*SUMIFS($H$5:$H$1000,$S$5:$S$1000,$S80,$V$5:$V$1000,"Macro")/COUNTIFS($S$5:$S$1000,$S80,$V$5:$V$1000,"Macro",$H$5:$H$1000,"&gt;0"))))</f>
        <v/>
      </c>
      <c r="AH80" s="62" t="n"/>
      <c r="AI80" s="62" t="n"/>
      <c r="AJ80" s="62" t="n"/>
      <c r="AK80" s="62" t="n"/>
      <c r="AL80" s="62">
        <f>IF(LEFT($C80,11)="[Jefatura] ",IFERROR(MATCH("Riesgo Operacional|"&amp;MID($C80,12,500),rDname_ADM,0),0),"")</f>
        <v/>
      </c>
      <c r="AM80" s="62">
        <f>IF(N($AL80)&gt;0,INDEX(rIni_ADM,$AL80),IF(ISNUMBER($E80),$E80,""))</f>
        <v/>
      </c>
      <c r="AN80" s="62">
        <f>IF(N($AL80)&gt;0,INDEX(rLim_ADM,$AL80),IF(ISNUMBER($F80),$F80,""))</f>
        <v/>
      </c>
    </row>
    <row r="81">
      <c r="A81" s="56">
        <f>IF(NOT((COUNTA($B81:$D81)+COUNTA($G81:$L81)+COUNTA($Q81))&gt;0),"",IF($V81="Macro",COUNTIFS($V$5:$V81,"Macro",$S$5:$S81,$S81),IF(N($U81)=0,"?",COUNTIFS(INDEX($V$5:$V$1000,1):INDEX($V$5:$V$1000,$U81-4),"Macro",INDEX($S$5:$S$1000,1):INDEX($S$5:$S$1000,$U81-4),INDEX($S$5:$S$1000,$U81-4))&amp;"."&amp;COUNTIFS($U$5:$U81,$U81,$V$5:$V81,"Sub"))))</f>
        <v/>
      </c>
      <c r="B81" s="57" t="n"/>
      <c r="C81" s="58" t="n"/>
      <c r="D81" s="58" t="n"/>
      <c r="E81" s="59">
        <f>IF(N($AL81)&gt;0,INDEX(rIni_ADM,$AL81),"")</f>
        <v/>
      </c>
      <c r="F81" s="59">
        <f>IF(N($AL81)&gt;0,INDEX(rLim_ADM,$AL81),"")</f>
        <v/>
      </c>
      <c r="G81" s="59" t="n"/>
      <c r="H81" s="60" t="n"/>
      <c r="I81" s="60" t="n"/>
      <c r="J81" s="60" t="n"/>
      <c r="K81" s="60" t="n"/>
      <c r="L81" s="60" t="n"/>
      <c r="M81" s="61">
        <f>IF(NOT((COUNTA($B81:$D81)+COUNTA($G81:$L81)+COUNTA($Q81))&gt;0),"",IF($V81="Sub",IFERROR($X81/INDEX($W$5:$W$1000,$U81-4),""),IF(ISNUMBER($G81),1,IF(N($W81)&gt;0,AVERAGEIFS($X$5:$X$1000,$U$5:$U$1000,ROW(),$V$5:$V$1000,"Sub"),$X81))))</f>
        <v/>
      </c>
      <c r="N81" s="56">
        <f>IF(OR($M81="",$V81="Sub"),"",IF($M81&gt;=1,"Completado",IF($M81&gt;0,"En curso","Pendiente")))</f>
        <v/>
      </c>
      <c r="O81" s="56">
        <f>IF(OR(NOT((COUNTA($B81:$D81)+COUNTA($G81:$L81)+COUNTA($Q81))&gt;0),$V81="Sub"),"",IF(ISNUMBER($G81),IF(AND(ISNUMBER($AN81),$G81&gt;$AN81),"Cumplida con "&amp;($G81-$AN81)&amp;IF($G81-$AN81=1," día"," días")&amp;" de retraso","Cumplida"),IF(N($M81)&gt;=1,"Cumplida",IF(NOT(ISNUMBER($AN81)),"Sin fecha límite",IF($AN81&lt;FechaRef,"Vencida hace "&amp;(FechaRef-$AN81)&amp;IF(FechaRef-$AN81=1," día"," días"),IF($AN81=FechaRef,"Vence hoy",IF($AN81-FechaRef&lt;=DiasAlerta,"Vence en "&amp;($AN81-FechaRef)&amp;IF($AN81-FechaRef=1," día"," días"),"En plazo")))))))</f>
        <v/>
      </c>
      <c r="P81" s="62" t="n"/>
      <c r="Q81" s="58" t="n"/>
      <c r="R81" s="63">
        <f>IF(NOT((COUNTA($B81:$D81)+COUNTA($G81:$L81)+COUNTA($Q81))&gt;0),"",IF((IF($C81="","Falta el nombre de la actividad"&amp;" · ","")&amp;IF(AND($V81="Sub",N($U81)=0),"Subactividad sin macroactividad arriba"&amp;" · ","")&amp;IF($AM81="","Sin fecha de inicio"&amp;" · ","")&amp;IF($AN81="","Sin fecha límite"&amp;" · ","")&amp;IF(AND(LEFT($C81,11)="[Jefatura] ",N($AL81)=0),"No se encuentra en la hoja de la jefatura (elíjala de nuevo en la lista)"&amp;" · ","")&amp;IF(OR(AND($E81&lt;&gt;"",NOT(ISNUMBER($E81))),AND($F81&lt;&gt;"",NOT(ISNUMBER($F81))),AND($G81&lt;&gt;"",NOT(ISNUMBER($G81)))),"Fecha no válida"&amp;" · ","")&amp;IF(AND(ISNUMBER($AM81),ISNUMBER($AN81),$AM81&gt;$AN81),"Inicio posterior a fecha límite"&amp;" · ","")&amp;IF(AND($V81="Macro",$H81&lt;&gt;"",OR(NOT(ISNUMBER($H81)),$H81&lt;0,$H81&gt;1)),"Peso fuera de rango"&amp;" · ","")&amp;IF(AND($V81="Sub",$H81&lt;&gt;""),"Las subactividades no llevan peso (valen igual dentro de su macroactividad)"&amp;" · ","")&amp;IF(AND(N($W81)&gt;0,COUNT($I81:$L81)&gt;0),"Con subactividades: deje vacías las semanas (se calculan solas)"&amp;" · ","")&amp;IF((COUNTIF($I81:$L81,"&gt;1")+COUNTIF($I81:$L81,"&lt;0")+COUNTA($I81:$L81)-COUNT($I81:$L81))&gt;0,"Avance fuera de rango 0-100%"&amp;" · ","")&amp;IF(OR(AND($J81&lt;&gt;"",$J81&lt;$I81),AND($K81&lt;&gt;"",$K81&lt;MAX($I81:$J81)),AND($L81&lt;&gt;"",$L81&lt;MAX($I81:$K81))),"Avance semanal decreciente"&amp;" · ","")&amp;IF(AND(ISNUMBER($AN81),$AN81&lt;FechaRef,IF($V81="Sub",N($X81),N($M81))&lt;1),"Vencida"&amp;" · ","")&amp;IF(AND(ObsObligatoria="Sí",ISNUMBER($AN81),$AN81&lt;FechaRef,IF($V81="Sub",N($X81),N($M81))&lt;1,$Q81=""),"Vencida sin observación"&amp;" · ",""))="","✔ OK","⚠ "&amp;LEFT(IF($C81="","Falta el nombre de la actividad"&amp;" · ","")&amp;IF(AND($V81="Sub",N($U81)=0),"Subactividad sin macroactividad arriba"&amp;" · ","")&amp;IF($AM81="","Sin fecha de inicio"&amp;" · ","")&amp;IF($AN81="","Sin fecha límite"&amp;" · ","")&amp;IF(AND(LEFT($C81,11)="[Jefatura] ",N($AL81)=0),"No se encuentra en la hoja de la jefatura (elíjala de nuevo en la lista)"&amp;" · ","")&amp;IF(OR(AND($E81&lt;&gt;"",NOT(ISNUMBER($E81))),AND($F81&lt;&gt;"",NOT(ISNUMBER($F81))),AND($G81&lt;&gt;"",NOT(ISNUMBER($G81)))),"Fecha no válida"&amp;" · ","")&amp;IF(AND(ISNUMBER($AM81),ISNUMBER($AN81),$AM81&gt;$AN81),"Inicio posterior a fecha límite"&amp;" · ","")&amp;IF(AND($V81="Macro",$H81&lt;&gt;"",OR(NOT(ISNUMBER($H81)),$H81&lt;0,$H81&gt;1)),"Peso fuera de rango"&amp;" · ","")&amp;IF(AND($V81="Sub",$H81&lt;&gt;""),"Las subactividades no llevan peso (valen igual dentro de su macroactividad)"&amp;" · ","")&amp;IF(AND(N($W81)&gt;0,COUNT($I81:$L81)&gt;0),"Con subactividades: deje vacías las semanas (se calculan solas)"&amp;" · ","")&amp;IF((COUNTIF($I81:$L81,"&gt;1")+COUNTIF($I81:$L81,"&lt;0")+COUNTA($I81:$L81)-COUNT($I81:$L81))&gt;0,"Avance fuera de rango 0-100%"&amp;" · ","")&amp;IF(OR(AND($J81&lt;&gt;"",$J81&lt;$I81),AND($K81&lt;&gt;"",$K81&lt;MAX($I81:$J81)),AND($L81&lt;&gt;"",$L81&lt;MAX($I81:$K81))),"Avance semanal decreciente"&amp;" · ","")&amp;IF(AND(ISNUMBER($AN81),$AN81&lt;FechaRef,IF($V81="Sub",N($X81),N($M81))&lt;1),"Vencida"&amp;" · ","")&amp;IF(AND(ObsObligatoria="Sí",ISNUMBER($AN81),$AN81&lt;FechaRef,IF($V81="Sub",N($X81),N($M81))&lt;1,$Q81=""),"Vencida sin observación"&amp;" · ",""),LEN(IF($C81="","Falta el nombre de la actividad"&amp;" · ","")&amp;IF(AND($V81="Sub",N($U81)=0),"Subactividad sin macroactividad arriba"&amp;" · ","")&amp;IF($AM81="","Sin fecha de inicio"&amp;" · ","")&amp;IF($AN81="","Sin fecha límite"&amp;" · ","")&amp;IF(AND(LEFT($C81,11)="[Jefatura] ",N($AL81)=0),"No se encuentra en la hoja de la jefatura (elíjala de nuevo en la lista)"&amp;" · ","")&amp;IF(OR(AND($E81&lt;&gt;"",NOT(ISNUMBER($E81))),AND($F81&lt;&gt;"",NOT(ISNUMBER($F81))),AND($G81&lt;&gt;"",NOT(ISNUMBER($G81)))),"Fecha no válida"&amp;" · ","")&amp;IF(AND(ISNUMBER($AM81),ISNUMBER($AN81),$AM81&gt;$AN81),"Inicio posterior a fecha límite"&amp;" · ","")&amp;IF(AND($V81="Macro",$H81&lt;&gt;"",OR(NOT(ISNUMBER($H81)),$H81&lt;0,$H81&gt;1)),"Peso fuera de rango"&amp;" · ","")&amp;IF(AND($V81="Sub",$H81&lt;&gt;""),"Las subactividades no llevan peso (valen igual dentro de su macroactividad)"&amp;" · ","")&amp;IF(AND(N($W81)&gt;0,COUNT($I81:$L81)&gt;0),"Con subactividades: deje vacías las semanas (se calculan solas)"&amp;" · ","")&amp;IF((COUNTIF($I81:$L81,"&gt;1")+COUNTIF($I81:$L81,"&lt;0")+COUNTA($I81:$L81)-COUNT($I81:$L81))&gt;0,"Avance fuera de rango 0-100%"&amp;" · ","")&amp;IF(OR(AND($J81&lt;&gt;"",$J81&lt;$I81),AND($K81&lt;&gt;"",$K81&lt;MAX($I81:$J81)),AND($L81&lt;&gt;"",$L81&lt;MAX($I81:$K81))),"Avance semanal decreciente"&amp;" · ","")&amp;IF(AND(ISNUMBER($AN81),$AN81&lt;FechaRef,IF($V81="Sub",N($X81),N($M81))&lt;1),"Vencida"&amp;" · ","")&amp;IF(AND(ObsObligatoria="Sí",ISNUMBER($AN81),$AN81&lt;FechaRef,IF($V81="Sub",N($X81),N($M81))&lt;1,$Q81=""),"Vencida sin observación"&amp;" · ",""))-3)))</f>
        <v/>
      </c>
      <c r="S81" s="64">
        <f>IF(NOT((COUNTA($B81:$D81)+COUNTA($G81:$L81)+COUNTA($Q81))&gt;0),"",IF(AND($V81="Sub",N($U81)&gt;0),IF(ISNUMBER(INDEX($AM$5:$AM$1000,$U81-4)),DATE(YEAR(INDEX($AM$5:$AM$1000,$U81-4)),MONTH(INDEX($AM$5:$AM$1000,$U81-4)),1),IF(ISNUMBER(INDEX($AN$5:$AN$1000,$U81-4)),DATE(YEAR(INDEX($AN$5:$AN$1000,$U81-4)),MONTH(INDEX($AN$5:$AN$1000,$U81-4)),1),MesCiclo)),IF(ISNUMBER($AM81),DATE(YEAR($AM81),MONTH($AM81),1),IF(ISNUMBER($AN81),DATE(YEAR($AN81),MONTH($AN81),1),MesCiclo))))</f>
        <v/>
      </c>
      <c r="T81" s="62">
        <f>IF(OR($S81="",$S81&lt;&gt;MesCiclo,$V81&lt;&gt;"Macro"),"",COUNTIFS($S$5:$S81,MesCiclo,$V$5:$V81,"Macro"))</f>
        <v/>
      </c>
      <c r="U81" s="62">
        <f>IF($V81="","",IF($V81="Macro",ROW(),IFERROR(LOOKUP(2,1/($V$5:$V81="Macro"),ROW($V$5:$V81)),0)))</f>
        <v/>
      </c>
      <c r="V81" s="62">
        <f>IF(NOT((COUNTA($B81:$D81)+COUNTA($G81:$L81)+COUNTA($Q81))&gt;0),"",IF($B81="Subactividad","Sub","Macro"))</f>
        <v/>
      </c>
      <c r="W81" s="62">
        <f>IF($V81="Macro",COUNTIFS($U$5:$U$1000,ROW(),$V$5:$V$1000,"Sub"),"")</f>
        <v/>
      </c>
      <c r="X81" s="62">
        <f>IF($V81="","",IF(ISNUMBER($G81),1,IFERROR(LOOKUP(2,1/($I81:$L81&lt;&gt;""),$I81:$L81),0)))</f>
        <v/>
      </c>
      <c r="Y81" s="62">
        <f>IF($V81="","",IF(AND(ISNUMBER($G81),$G81&lt;=IF($S81=MesCiclo,InicioCiclo,$S81+MOD(2-WEEKDAY($S81),7))+6),1,IF(ISNUMBER($I81),$I81,0)))</f>
        <v/>
      </c>
      <c r="Z81" s="62">
        <f>IF($V81="","",IF(AND(ISNUMBER($G81),$G81&lt;=IF($S81=MesCiclo,InicioCiclo,$S81+MOD(2-WEEKDAY($S81),7))+13),1,IF(ISNUMBER($J81),$J81,$Y81)))</f>
        <v/>
      </c>
      <c r="AA81" s="62">
        <f>IF($V81="","",IF(AND(ISNUMBER($G81),$G81&lt;=IF($S81=MesCiclo,InicioCiclo,$S81+MOD(2-WEEKDAY($S81),7))+20),1,IF(ISNUMBER($K81),$K81,$Z81)))</f>
        <v/>
      </c>
      <c r="AB81" s="62">
        <f>IF($V81="","",IF(AND(ISNUMBER($G81),$G81&lt;=IF($S81=MesCiclo,InicioCiclo,$S81+MOD(2-WEEKDAY($S81),7))+27),1,IF(ISNUMBER($L81),$L81,$AA81)))</f>
        <v/>
      </c>
      <c r="AC81" s="62">
        <f>IF($V81="","",IF(AND(ISNUMBER($G81),$G81&lt;=IF($S81=MesCiclo,InicioCiclo,$S81+MOD(2-WEEKDAY($S81),7))+6),1,IF(N($W81)&gt;0,AVERAGEIFS($Y$5:$Y$1000,$U$5:$U$1000,ROW(),$V$5:$V$1000,"Sub"),$Y81)))</f>
        <v/>
      </c>
      <c r="AD81" s="62">
        <f>IF($V81="","",IF(AND(ISNUMBER($G81),$G81&lt;=IF($S81=MesCiclo,InicioCiclo,$S81+MOD(2-WEEKDAY($S81),7))+13),1,IF(N($W81)&gt;0,AVERAGEIFS($Z$5:$Z$1000,$U$5:$U$1000,ROW(),$V$5:$V$1000,"Sub"),$Z81)))</f>
        <v/>
      </c>
      <c r="AE81" s="62">
        <f>IF($V81="","",IF(AND(ISNUMBER($G81),$G81&lt;=IF($S81=MesCiclo,InicioCiclo,$S81+MOD(2-WEEKDAY($S81),7))+20),1,IF(N($W81)&gt;0,AVERAGEIFS($AA$5:$AA$1000,$U$5:$U$1000,ROW(),$V$5:$V$1000,"Sub"),$AA81)))</f>
        <v/>
      </c>
      <c r="AF81" s="62">
        <f>IF($V81="","",IF(AND(ISNUMBER($G81),$G81&lt;=IF($S81=MesCiclo,InicioCiclo,$S81+MOD(2-WEEKDAY($S81),7))+27),1,IF(N($W81)&gt;0,AVERAGEIFS($AB$5:$AB$1000,$U$5:$U$1000,ROW(),$V$5:$V$1000,"Sub"),$AB81)))</f>
        <v/>
      </c>
      <c r="AG81" s="62">
        <f>IF($V81&lt;&gt;"Macro","",IF(COUNTIFS($S$5:$S$1000,$S81,$V$5:$V$1000,"Macro",$H$5:$H$1000,"&gt;0")=0,1/COUNTIFS($S$5:$S$1000,$S81,$V$5:$V$1000,"Macro"),IF(AND(ISNUMBER($H81),N($H81)&gt;0),$H81,SUMIFS($H$5:$H$1000,$S$5:$S$1000,$S81,$V$5:$V$1000,"Macro")/COUNTIFS($S$5:$S$1000,$S81,$V$5:$V$1000,"Macro",$H$5:$H$1000,"&gt;0"))/(COUNTIFS($S$5:$S$1000,$S81,$V$5:$V$1000,"Macro")*SUMIFS($H$5:$H$1000,$S$5:$S$1000,$S81,$V$5:$V$1000,"Macro")/COUNTIFS($S$5:$S$1000,$S81,$V$5:$V$1000,"Macro",$H$5:$H$1000,"&gt;0"))))</f>
        <v/>
      </c>
      <c r="AH81" s="62" t="n"/>
      <c r="AI81" s="62" t="n"/>
      <c r="AJ81" s="62" t="n"/>
      <c r="AK81" s="62" t="n"/>
      <c r="AL81" s="62">
        <f>IF(LEFT($C81,11)="[Jefatura] ",IFERROR(MATCH("Riesgo Operacional|"&amp;MID($C81,12,500),rDname_ADM,0),0),"")</f>
        <v/>
      </c>
      <c r="AM81" s="62">
        <f>IF(N($AL81)&gt;0,INDEX(rIni_ADM,$AL81),IF(ISNUMBER($E81),$E81,""))</f>
        <v/>
      </c>
      <c r="AN81" s="62">
        <f>IF(N($AL81)&gt;0,INDEX(rLim_ADM,$AL81),IF(ISNUMBER($F81),$F81,""))</f>
        <v/>
      </c>
    </row>
    <row r="82">
      <c r="A82" s="56">
        <f>IF(NOT((COUNTA($B82:$D82)+COUNTA($G82:$L82)+COUNTA($Q82))&gt;0),"",IF($V82="Macro",COUNTIFS($V$5:$V82,"Macro",$S$5:$S82,$S82),IF(N($U82)=0,"?",COUNTIFS(INDEX($V$5:$V$1000,1):INDEX($V$5:$V$1000,$U82-4),"Macro",INDEX($S$5:$S$1000,1):INDEX($S$5:$S$1000,$U82-4),INDEX($S$5:$S$1000,$U82-4))&amp;"."&amp;COUNTIFS($U$5:$U82,$U82,$V$5:$V82,"Sub"))))</f>
        <v/>
      </c>
      <c r="B82" s="57" t="n"/>
      <c r="C82" s="58" t="n"/>
      <c r="D82" s="58" t="n"/>
      <c r="E82" s="59">
        <f>IF(N($AL82)&gt;0,INDEX(rIni_ADM,$AL82),"")</f>
        <v/>
      </c>
      <c r="F82" s="59">
        <f>IF(N($AL82)&gt;0,INDEX(rLim_ADM,$AL82),"")</f>
        <v/>
      </c>
      <c r="G82" s="59" t="n"/>
      <c r="H82" s="60" t="n"/>
      <c r="I82" s="60" t="n"/>
      <c r="J82" s="60" t="n"/>
      <c r="K82" s="60" t="n"/>
      <c r="L82" s="60" t="n"/>
      <c r="M82" s="61">
        <f>IF(NOT((COUNTA($B82:$D82)+COUNTA($G82:$L82)+COUNTA($Q82))&gt;0),"",IF($V82="Sub",IFERROR($X82/INDEX($W$5:$W$1000,$U82-4),""),IF(ISNUMBER($G82),1,IF(N($W82)&gt;0,AVERAGEIFS($X$5:$X$1000,$U$5:$U$1000,ROW(),$V$5:$V$1000,"Sub"),$X82))))</f>
        <v/>
      </c>
      <c r="N82" s="56">
        <f>IF(OR($M82="",$V82="Sub"),"",IF($M82&gt;=1,"Completado",IF($M82&gt;0,"En curso","Pendiente")))</f>
        <v/>
      </c>
      <c r="O82" s="56">
        <f>IF(OR(NOT((COUNTA($B82:$D82)+COUNTA($G82:$L82)+COUNTA($Q82))&gt;0),$V82="Sub"),"",IF(ISNUMBER($G82),IF(AND(ISNUMBER($AN82),$G82&gt;$AN82),"Cumplida con "&amp;($G82-$AN82)&amp;IF($G82-$AN82=1," día"," días")&amp;" de retraso","Cumplida"),IF(N($M82)&gt;=1,"Cumplida",IF(NOT(ISNUMBER($AN82)),"Sin fecha límite",IF($AN82&lt;FechaRef,"Vencida hace "&amp;(FechaRef-$AN82)&amp;IF(FechaRef-$AN82=1," día"," días"),IF($AN82=FechaRef,"Vence hoy",IF($AN82-FechaRef&lt;=DiasAlerta,"Vence en "&amp;($AN82-FechaRef)&amp;IF($AN82-FechaRef=1," día"," días"),"En plazo")))))))</f>
        <v/>
      </c>
      <c r="P82" s="62" t="n"/>
      <c r="Q82" s="58" t="n"/>
      <c r="R82" s="63">
        <f>IF(NOT((COUNTA($B82:$D82)+COUNTA($G82:$L82)+COUNTA($Q82))&gt;0),"",IF((IF($C82="","Falta el nombre de la actividad"&amp;" · ","")&amp;IF(AND($V82="Sub",N($U82)=0),"Subactividad sin macroactividad arriba"&amp;" · ","")&amp;IF($AM82="","Sin fecha de inicio"&amp;" · ","")&amp;IF($AN82="","Sin fecha límite"&amp;" · ","")&amp;IF(AND(LEFT($C82,11)="[Jefatura] ",N($AL82)=0),"No se encuentra en la hoja de la jefatura (elíjala de nuevo en la lista)"&amp;" · ","")&amp;IF(OR(AND($E82&lt;&gt;"",NOT(ISNUMBER($E82))),AND($F82&lt;&gt;"",NOT(ISNUMBER($F82))),AND($G82&lt;&gt;"",NOT(ISNUMBER($G82)))),"Fecha no válida"&amp;" · ","")&amp;IF(AND(ISNUMBER($AM82),ISNUMBER($AN82),$AM82&gt;$AN82),"Inicio posterior a fecha límite"&amp;" · ","")&amp;IF(AND($V82="Macro",$H82&lt;&gt;"",OR(NOT(ISNUMBER($H82)),$H82&lt;0,$H82&gt;1)),"Peso fuera de rango"&amp;" · ","")&amp;IF(AND($V82="Sub",$H82&lt;&gt;""),"Las subactividades no llevan peso (valen igual dentro de su macroactividad)"&amp;" · ","")&amp;IF(AND(N($W82)&gt;0,COUNT($I82:$L82)&gt;0),"Con subactividades: deje vacías las semanas (se calculan solas)"&amp;" · ","")&amp;IF((COUNTIF($I82:$L82,"&gt;1")+COUNTIF($I82:$L82,"&lt;0")+COUNTA($I82:$L82)-COUNT($I82:$L82))&gt;0,"Avance fuera de rango 0-100%"&amp;" · ","")&amp;IF(OR(AND($J82&lt;&gt;"",$J82&lt;$I82),AND($K82&lt;&gt;"",$K82&lt;MAX($I82:$J82)),AND($L82&lt;&gt;"",$L82&lt;MAX($I82:$K82))),"Avance semanal decreciente"&amp;" · ","")&amp;IF(AND(ISNUMBER($AN82),$AN82&lt;FechaRef,IF($V82="Sub",N($X82),N($M82))&lt;1),"Vencida"&amp;" · ","")&amp;IF(AND(ObsObligatoria="Sí",ISNUMBER($AN82),$AN82&lt;FechaRef,IF($V82="Sub",N($X82),N($M82))&lt;1,$Q82=""),"Vencida sin observación"&amp;" · ",""))="","✔ OK","⚠ "&amp;LEFT(IF($C82="","Falta el nombre de la actividad"&amp;" · ","")&amp;IF(AND($V82="Sub",N($U82)=0),"Subactividad sin macroactividad arriba"&amp;" · ","")&amp;IF($AM82="","Sin fecha de inicio"&amp;" · ","")&amp;IF($AN82="","Sin fecha límite"&amp;" · ","")&amp;IF(AND(LEFT($C82,11)="[Jefatura] ",N($AL82)=0),"No se encuentra en la hoja de la jefatura (elíjala de nuevo en la lista)"&amp;" · ","")&amp;IF(OR(AND($E82&lt;&gt;"",NOT(ISNUMBER($E82))),AND($F82&lt;&gt;"",NOT(ISNUMBER($F82))),AND($G82&lt;&gt;"",NOT(ISNUMBER($G82)))),"Fecha no válida"&amp;" · ","")&amp;IF(AND(ISNUMBER($AM82),ISNUMBER($AN82),$AM82&gt;$AN82),"Inicio posterior a fecha límite"&amp;" · ","")&amp;IF(AND($V82="Macro",$H82&lt;&gt;"",OR(NOT(ISNUMBER($H82)),$H82&lt;0,$H82&gt;1)),"Peso fuera de rango"&amp;" · ","")&amp;IF(AND($V82="Sub",$H82&lt;&gt;""),"Las subactividades no llevan peso (valen igual dentro de su macroactividad)"&amp;" · ","")&amp;IF(AND(N($W82)&gt;0,COUNT($I82:$L82)&gt;0),"Con subactividades: deje vacías las semanas (se calculan solas)"&amp;" · ","")&amp;IF((COUNTIF($I82:$L82,"&gt;1")+COUNTIF($I82:$L82,"&lt;0")+COUNTA($I82:$L82)-COUNT($I82:$L82))&gt;0,"Avance fuera de rango 0-100%"&amp;" · ","")&amp;IF(OR(AND($J82&lt;&gt;"",$J82&lt;$I82),AND($K82&lt;&gt;"",$K82&lt;MAX($I82:$J82)),AND($L82&lt;&gt;"",$L82&lt;MAX($I82:$K82))),"Avance semanal decreciente"&amp;" · ","")&amp;IF(AND(ISNUMBER($AN82),$AN82&lt;FechaRef,IF($V82="Sub",N($X82),N($M82))&lt;1),"Vencida"&amp;" · ","")&amp;IF(AND(ObsObligatoria="Sí",ISNUMBER($AN82),$AN82&lt;FechaRef,IF($V82="Sub",N($X82),N($M82))&lt;1,$Q82=""),"Vencida sin observación"&amp;" · ",""),LEN(IF($C82="","Falta el nombre de la actividad"&amp;" · ","")&amp;IF(AND($V82="Sub",N($U82)=0),"Subactividad sin macroactividad arriba"&amp;" · ","")&amp;IF($AM82="","Sin fecha de inicio"&amp;" · ","")&amp;IF($AN82="","Sin fecha límite"&amp;" · ","")&amp;IF(AND(LEFT($C82,11)="[Jefatura] ",N($AL82)=0),"No se encuentra en la hoja de la jefatura (elíjala de nuevo en la lista)"&amp;" · ","")&amp;IF(OR(AND($E82&lt;&gt;"",NOT(ISNUMBER($E82))),AND($F82&lt;&gt;"",NOT(ISNUMBER($F82))),AND($G82&lt;&gt;"",NOT(ISNUMBER($G82)))),"Fecha no válida"&amp;" · ","")&amp;IF(AND(ISNUMBER($AM82),ISNUMBER($AN82),$AM82&gt;$AN82),"Inicio posterior a fecha límite"&amp;" · ","")&amp;IF(AND($V82="Macro",$H82&lt;&gt;"",OR(NOT(ISNUMBER($H82)),$H82&lt;0,$H82&gt;1)),"Peso fuera de rango"&amp;" · ","")&amp;IF(AND($V82="Sub",$H82&lt;&gt;""),"Las subactividades no llevan peso (valen igual dentro de su macroactividad)"&amp;" · ","")&amp;IF(AND(N($W82)&gt;0,COUNT($I82:$L82)&gt;0),"Con subactividades: deje vacías las semanas (se calculan solas)"&amp;" · ","")&amp;IF((COUNTIF($I82:$L82,"&gt;1")+COUNTIF($I82:$L82,"&lt;0")+COUNTA($I82:$L82)-COUNT($I82:$L82))&gt;0,"Avance fuera de rango 0-100%"&amp;" · ","")&amp;IF(OR(AND($J82&lt;&gt;"",$J82&lt;$I82),AND($K82&lt;&gt;"",$K82&lt;MAX($I82:$J82)),AND($L82&lt;&gt;"",$L82&lt;MAX($I82:$K82))),"Avance semanal decreciente"&amp;" · ","")&amp;IF(AND(ISNUMBER($AN82),$AN82&lt;FechaRef,IF($V82="Sub",N($X82),N($M82))&lt;1),"Vencida"&amp;" · ","")&amp;IF(AND(ObsObligatoria="Sí",ISNUMBER($AN82),$AN82&lt;FechaRef,IF($V82="Sub",N($X82),N($M82))&lt;1,$Q82=""),"Vencida sin observación"&amp;" · ",""))-3)))</f>
        <v/>
      </c>
      <c r="S82" s="64">
        <f>IF(NOT((COUNTA($B82:$D82)+COUNTA($G82:$L82)+COUNTA($Q82))&gt;0),"",IF(AND($V82="Sub",N($U82)&gt;0),IF(ISNUMBER(INDEX($AM$5:$AM$1000,$U82-4)),DATE(YEAR(INDEX($AM$5:$AM$1000,$U82-4)),MONTH(INDEX($AM$5:$AM$1000,$U82-4)),1),IF(ISNUMBER(INDEX($AN$5:$AN$1000,$U82-4)),DATE(YEAR(INDEX($AN$5:$AN$1000,$U82-4)),MONTH(INDEX($AN$5:$AN$1000,$U82-4)),1),MesCiclo)),IF(ISNUMBER($AM82),DATE(YEAR($AM82),MONTH($AM82),1),IF(ISNUMBER($AN82),DATE(YEAR($AN82),MONTH($AN82),1),MesCiclo))))</f>
        <v/>
      </c>
      <c r="T82" s="62">
        <f>IF(OR($S82="",$S82&lt;&gt;MesCiclo,$V82&lt;&gt;"Macro"),"",COUNTIFS($S$5:$S82,MesCiclo,$V$5:$V82,"Macro"))</f>
        <v/>
      </c>
      <c r="U82" s="62">
        <f>IF($V82="","",IF($V82="Macro",ROW(),IFERROR(LOOKUP(2,1/($V$5:$V82="Macro"),ROW($V$5:$V82)),0)))</f>
        <v/>
      </c>
      <c r="V82" s="62">
        <f>IF(NOT((COUNTA($B82:$D82)+COUNTA($G82:$L82)+COUNTA($Q82))&gt;0),"",IF($B82="Subactividad","Sub","Macro"))</f>
        <v/>
      </c>
      <c r="W82" s="62">
        <f>IF($V82="Macro",COUNTIFS($U$5:$U$1000,ROW(),$V$5:$V$1000,"Sub"),"")</f>
        <v/>
      </c>
      <c r="X82" s="62">
        <f>IF($V82="","",IF(ISNUMBER($G82),1,IFERROR(LOOKUP(2,1/($I82:$L82&lt;&gt;""),$I82:$L82),0)))</f>
        <v/>
      </c>
      <c r="Y82" s="62">
        <f>IF($V82="","",IF(AND(ISNUMBER($G82),$G82&lt;=IF($S82=MesCiclo,InicioCiclo,$S82+MOD(2-WEEKDAY($S82),7))+6),1,IF(ISNUMBER($I82),$I82,0)))</f>
        <v/>
      </c>
      <c r="Z82" s="62">
        <f>IF($V82="","",IF(AND(ISNUMBER($G82),$G82&lt;=IF($S82=MesCiclo,InicioCiclo,$S82+MOD(2-WEEKDAY($S82),7))+13),1,IF(ISNUMBER($J82),$J82,$Y82)))</f>
        <v/>
      </c>
      <c r="AA82" s="62">
        <f>IF($V82="","",IF(AND(ISNUMBER($G82),$G82&lt;=IF($S82=MesCiclo,InicioCiclo,$S82+MOD(2-WEEKDAY($S82),7))+20),1,IF(ISNUMBER($K82),$K82,$Z82)))</f>
        <v/>
      </c>
      <c r="AB82" s="62">
        <f>IF($V82="","",IF(AND(ISNUMBER($G82),$G82&lt;=IF($S82=MesCiclo,InicioCiclo,$S82+MOD(2-WEEKDAY($S82),7))+27),1,IF(ISNUMBER($L82),$L82,$AA82)))</f>
        <v/>
      </c>
      <c r="AC82" s="62">
        <f>IF($V82="","",IF(AND(ISNUMBER($G82),$G82&lt;=IF($S82=MesCiclo,InicioCiclo,$S82+MOD(2-WEEKDAY($S82),7))+6),1,IF(N($W82)&gt;0,AVERAGEIFS($Y$5:$Y$1000,$U$5:$U$1000,ROW(),$V$5:$V$1000,"Sub"),$Y82)))</f>
        <v/>
      </c>
      <c r="AD82" s="62">
        <f>IF($V82="","",IF(AND(ISNUMBER($G82),$G82&lt;=IF($S82=MesCiclo,InicioCiclo,$S82+MOD(2-WEEKDAY($S82),7))+13),1,IF(N($W82)&gt;0,AVERAGEIFS($Z$5:$Z$1000,$U$5:$U$1000,ROW(),$V$5:$V$1000,"Sub"),$Z82)))</f>
        <v/>
      </c>
      <c r="AE82" s="62">
        <f>IF($V82="","",IF(AND(ISNUMBER($G82),$G82&lt;=IF($S82=MesCiclo,InicioCiclo,$S82+MOD(2-WEEKDAY($S82),7))+20),1,IF(N($W82)&gt;0,AVERAGEIFS($AA$5:$AA$1000,$U$5:$U$1000,ROW(),$V$5:$V$1000,"Sub"),$AA82)))</f>
        <v/>
      </c>
      <c r="AF82" s="62">
        <f>IF($V82="","",IF(AND(ISNUMBER($G82),$G82&lt;=IF($S82=MesCiclo,InicioCiclo,$S82+MOD(2-WEEKDAY($S82),7))+27),1,IF(N($W82)&gt;0,AVERAGEIFS($AB$5:$AB$1000,$U$5:$U$1000,ROW(),$V$5:$V$1000,"Sub"),$AB82)))</f>
        <v/>
      </c>
      <c r="AG82" s="62">
        <f>IF($V82&lt;&gt;"Macro","",IF(COUNTIFS($S$5:$S$1000,$S82,$V$5:$V$1000,"Macro",$H$5:$H$1000,"&gt;0")=0,1/COUNTIFS($S$5:$S$1000,$S82,$V$5:$V$1000,"Macro"),IF(AND(ISNUMBER($H82),N($H82)&gt;0),$H82,SUMIFS($H$5:$H$1000,$S$5:$S$1000,$S82,$V$5:$V$1000,"Macro")/COUNTIFS($S$5:$S$1000,$S82,$V$5:$V$1000,"Macro",$H$5:$H$1000,"&gt;0"))/(COUNTIFS($S$5:$S$1000,$S82,$V$5:$V$1000,"Macro")*SUMIFS($H$5:$H$1000,$S$5:$S$1000,$S82,$V$5:$V$1000,"Macro")/COUNTIFS($S$5:$S$1000,$S82,$V$5:$V$1000,"Macro",$H$5:$H$1000,"&gt;0"))))</f>
        <v/>
      </c>
      <c r="AH82" s="62" t="n"/>
      <c r="AI82" s="62" t="n"/>
      <c r="AJ82" s="62" t="n"/>
      <c r="AK82" s="62" t="n"/>
      <c r="AL82" s="62">
        <f>IF(LEFT($C82,11)="[Jefatura] ",IFERROR(MATCH("Riesgo Operacional|"&amp;MID($C82,12,500),rDname_ADM,0),0),"")</f>
        <v/>
      </c>
      <c r="AM82" s="62">
        <f>IF(N($AL82)&gt;0,INDEX(rIni_ADM,$AL82),IF(ISNUMBER($E82),$E82,""))</f>
        <v/>
      </c>
      <c r="AN82" s="62">
        <f>IF(N($AL82)&gt;0,INDEX(rLim_ADM,$AL82),IF(ISNUMBER($F82),$F82,""))</f>
        <v/>
      </c>
    </row>
    <row r="83">
      <c r="A83" s="56">
        <f>IF(NOT((COUNTA($B83:$D83)+COUNTA($G83:$L83)+COUNTA($Q83))&gt;0),"",IF($V83="Macro",COUNTIFS($V$5:$V83,"Macro",$S$5:$S83,$S83),IF(N($U83)=0,"?",COUNTIFS(INDEX($V$5:$V$1000,1):INDEX($V$5:$V$1000,$U83-4),"Macro",INDEX($S$5:$S$1000,1):INDEX($S$5:$S$1000,$U83-4),INDEX($S$5:$S$1000,$U83-4))&amp;"."&amp;COUNTIFS($U$5:$U83,$U83,$V$5:$V83,"Sub"))))</f>
        <v/>
      </c>
      <c r="B83" s="57" t="n"/>
      <c r="C83" s="58" t="n"/>
      <c r="D83" s="58" t="n"/>
      <c r="E83" s="59">
        <f>IF(N($AL83)&gt;0,INDEX(rIni_ADM,$AL83),"")</f>
        <v/>
      </c>
      <c r="F83" s="59">
        <f>IF(N($AL83)&gt;0,INDEX(rLim_ADM,$AL83),"")</f>
        <v/>
      </c>
      <c r="G83" s="59" t="n"/>
      <c r="H83" s="60" t="n"/>
      <c r="I83" s="60" t="n"/>
      <c r="J83" s="60" t="n"/>
      <c r="K83" s="60" t="n"/>
      <c r="L83" s="60" t="n"/>
      <c r="M83" s="61">
        <f>IF(NOT((COUNTA($B83:$D83)+COUNTA($G83:$L83)+COUNTA($Q83))&gt;0),"",IF($V83="Sub",IFERROR($X83/INDEX($W$5:$W$1000,$U83-4),""),IF(ISNUMBER($G83),1,IF(N($W83)&gt;0,AVERAGEIFS($X$5:$X$1000,$U$5:$U$1000,ROW(),$V$5:$V$1000,"Sub"),$X83))))</f>
        <v/>
      </c>
      <c r="N83" s="56">
        <f>IF(OR($M83="",$V83="Sub"),"",IF($M83&gt;=1,"Completado",IF($M83&gt;0,"En curso","Pendiente")))</f>
        <v/>
      </c>
      <c r="O83" s="56">
        <f>IF(OR(NOT((COUNTA($B83:$D83)+COUNTA($G83:$L83)+COUNTA($Q83))&gt;0),$V83="Sub"),"",IF(ISNUMBER($G83),IF(AND(ISNUMBER($AN83),$G83&gt;$AN83),"Cumplida con "&amp;($G83-$AN83)&amp;IF($G83-$AN83=1," día"," días")&amp;" de retraso","Cumplida"),IF(N($M83)&gt;=1,"Cumplida",IF(NOT(ISNUMBER($AN83)),"Sin fecha límite",IF($AN83&lt;FechaRef,"Vencida hace "&amp;(FechaRef-$AN83)&amp;IF(FechaRef-$AN83=1," día"," días"),IF($AN83=FechaRef,"Vence hoy",IF($AN83-FechaRef&lt;=DiasAlerta,"Vence en "&amp;($AN83-FechaRef)&amp;IF($AN83-FechaRef=1," día"," días"),"En plazo")))))))</f>
        <v/>
      </c>
      <c r="P83" s="62" t="n"/>
      <c r="Q83" s="58" t="n"/>
      <c r="R83" s="63">
        <f>IF(NOT((COUNTA($B83:$D83)+COUNTA($G83:$L83)+COUNTA($Q83))&gt;0),"",IF((IF($C83="","Falta el nombre de la actividad"&amp;" · ","")&amp;IF(AND($V83="Sub",N($U83)=0),"Subactividad sin macroactividad arriba"&amp;" · ","")&amp;IF($AM83="","Sin fecha de inicio"&amp;" · ","")&amp;IF($AN83="","Sin fecha límite"&amp;" · ","")&amp;IF(AND(LEFT($C83,11)="[Jefatura] ",N($AL83)=0),"No se encuentra en la hoja de la jefatura (elíjala de nuevo en la lista)"&amp;" · ","")&amp;IF(OR(AND($E83&lt;&gt;"",NOT(ISNUMBER($E83))),AND($F83&lt;&gt;"",NOT(ISNUMBER($F83))),AND($G83&lt;&gt;"",NOT(ISNUMBER($G83)))),"Fecha no válida"&amp;" · ","")&amp;IF(AND(ISNUMBER($AM83),ISNUMBER($AN83),$AM83&gt;$AN83),"Inicio posterior a fecha límite"&amp;" · ","")&amp;IF(AND($V83="Macro",$H83&lt;&gt;"",OR(NOT(ISNUMBER($H83)),$H83&lt;0,$H83&gt;1)),"Peso fuera de rango"&amp;" · ","")&amp;IF(AND($V83="Sub",$H83&lt;&gt;""),"Las subactividades no llevan peso (valen igual dentro de su macroactividad)"&amp;" · ","")&amp;IF(AND(N($W83)&gt;0,COUNT($I83:$L83)&gt;0),"Con subactividades: deje vacías las semanas (se calculan solas)"&amp;" · ","")&amp;IF((COUNTIF($I83:$L83,"&gt;1")+COUNTIF($I83:$L83,"&lt;0")+COUNTA($I83:$L83)-COUNT($I83:$L83))&gt;0,"Avance fuera de rango 0-100%"&amp;" · ","")&amp;IF(OR(AND($J83&lt;&gt;"",$J83&lt;$I83),AND($K83&lt;&gt;"",$K83&lt;MAX($I83:$J83)),AND($L83&lt;&gt;"",$L83&lt;MAX($I83:$K83))),"Avance semanal decreciente"&amp;" · ","")&amp;IF(AND(ISNUMBER($AN83),$AN83&lt;FechaRef,IF($V83="Sub",N($X83),N($M83))&lt;1),"Vencida"&amp;" · ","")&amp;IF(AND(ObsObligatoria="Sí",ISNUMBER($AN83),$AN83&lt;FechaRef,IF($V83="Sub",N($X83),N($M83))&lt;1,$Q83=""),"Vencida sin observación"&amp;" · ",""))="","✔ OK","⚠ "&amp;LEFT(IF($C83="","Falta el nombre de la actividad"&amp;" · ","")&amp;IF(AND($V83="Sub",N($U83)=0),"Subactividad sin macroactividad arriba"&amp;" · ","")&amp;IF($AM83="","Sin fecha de inicio"&amp;" · ","")&amp;IF($AN83="","Sin fecha límite"&amp;" · ","")&amp;IF(AND(LEFT($C83,11)="[Jefatura] ",N($AL83)=0),"No se encuentra en la hoja de la jefatura (elíjala de nuevo en la lista)"&amp;" · ","")&amp;IF(OR(AND($E83&lt;&gt;"",NOT(ISNUMBER($E83))),AND($F83&lt;&gt;"",NOT(ISNUMBER($F83))),AND($G83&lt;&gt;"",NOT(ISNUMBER($G83)))),"Fecha no válida"&amp;" · ","")&amp;IF(AND(ISNUMBER($AM83),ISNUMBER($AN83),$AM83&gt;$AN83),"Inicio posterior a fecha límite"&amp;" · ","")&amp;IF(AND($V83="Macro",$H83&lt;&gt;"",OR(NOT(ISNUMBER($H83)),$H83&lt;0,$H83&gt;1)),"Peso fuera de rango"&amp;" · ","")&amp;IF(AND($V83="Sub",$H83&lt;&gt;""),"Las subactividades no llevan peso (valen igual dentro de su macroactividad)"&amp;" · ","")&amp;IF(AND(N($W83)&gt;0,COUNT($I83:$L83)&gt;0),"Con subactividades: deje vacías las semanas (se calculan solas)"&amp;" · ","")&amp;IF((COUNTIF($I83:$L83,"&gt;1")+COUNTIF($I83:$L83,"&lt;0")+COUNTA($I83:$L83)-COUNT($I83:$L83))&gt;0,"Avance fuera de rango 0-100%"&amp;" · ","")&amp;IF(OR(AND($J83&lt;&gt;"",$J83&lt;$I83),AND($K83&lt;&gt;"",$K83&lt;MAX($I83:$J83)),AND($L83&lt;&gt;"",$L83&lt;MAX($I83:$K83))),"Avance semanal decreciente"&amp;" · ","")&amp;IF(AND(ISNUMBER($AN83),$AN83&lt;FechaRef,IF($V83="Sub",N($X83),N($M83))&lt;1),"Vencida"&amp;" · ","")&amp;IF(AND(ObsObligatoria="Sí",ISNUMBER($AN83),$AN83&lt;FechaRef,IF($V83="Sub",N($X83),N($M83))&lt;1,$Q83=""),"Vencida sin observación"&amp;" · ",""),LEN(IF($C83="","Falta el nombre de la actividad"&amp;" · ","")&amp;IF(AND($V83="Sub",N($U83)=0),"Subactividad sin macroactividad arriba"&amp;" · ","")&amp;IF($AM83="","Sin fecha de inicio"&amp;" · ","")&amp;IF($AN83="","Sin fecha límite"&amp;" · ","")&amp;IF(AND(LEFT($C83,11)="[Jefatura] ",N($AL83)=0),"No se encuentra en la hoja de la jefatura (elíjala de nuevo en la lista)"&amp;" · ","")&amp;IF(OR(AND($E83&lt;&gt;"",NOT(ISNUMBER($E83))),AND($F83&lt;&gt;"",NOT(ISNUMBER($F83))),AND($G83&lt;&gt;"",NOT(ISNUMBER($G83)))),"Fecha no válida"&amp;" · ","")&amp;IF(AND(ISNUMBER($AM83),ISNUMBER($AN83),$AM83&gt;$AN83),"Inicio posterior a fecha límite"&amp;" · ","")&amp;IF(AND($V83="Macro",$H83&lt;&gt;"",OR(NOT(ISNUMBER($H83)),$H83&lt;0,$H83&gt;1)),"Peso fuera de rango"&amp;" · ","")&amp;IF(AND($V83="Sub",$H83&lt;&gt;""),"Las subactividades no llevan peso (valen igual dentro de su macroactividad)"&amp;" · ","")&amp;IF(AND(N($W83)&gt;0,COUNT($I83:$L83)&gt;0),"Con subactividades: deje vacías las semanas (se calculan solas)"&amp;" · ","")&amp;IF((COUNTIF($I83:$L83,"&gt;1")+COUNTIF($I83:$L83,"&lt;0")+COUNTA($I83:$L83)-COUNT($I83:$L83))&gt;0,"Avance fuera de rango 0-100%"&amp;" · ","")&amp;IF(OR(AND($J83&lt;&gt;"",$J83&lt;$I83),AND($K83&lt;&gt;"",$K83&lt;MAX($I83:$J83)),AND($L83&lt;&gt;"",$L83&lt;MAX($I83:$K83))),"Avance semanal decreciente"&amp;" · ","")&amp;IF(AND(ISNUMBER($AN83),$AN83&lt;FechaRef,IF($V83="Sub",N($X83),N($M83))&lt;1),"Vencida"&amp;" · ","")&amp;IF(AND(ObsObligatoria="Sí",ISNUMBER($AN83),$AN83&lt;FechaRef,IF($V83="Sub",N($X83),N($M83))&lt;1,$Q83=""),"Vencida sin observación"&amp;" · ",""))-3)))</f>
        <v/>
      </c>
      <c r="S83" s="64">
        <f>IF(NOT((COUNTA($B83:$D83)+COUNTA($G83:$L83)+COUNTA($Q83))&gt;0),"",IF(AND($V83="Sub",N($U83)&gt;0),IF(ISNUMBER(INDEX($AM$5:$AM$1000,$U83-4)),DATE(YEAR(INDEX($AM$5:$AM$1000,$U83-4)),MONTH(INDEX($AM$5:$AM$1000,$U83-4)),1),IF(ISNUMBER(INDEX($AN$5:$AN$1000,$U83-4)),DATE(YEAR(INDEX($AN$5:$AN$1000,$U83-4)),MONTH(INDEX($AN$5:$AN$1000,$U83-4)),1),MesCiclo)),IF(ISNUMBER($AM83),DATE(YEAR($AM83),MONTH($AM83),1),IF(ISNUMBER($AN83),DATE(YEAR($AN83),MONTH($AN83),1),MesCiclo))))</f>
        <v/>
      </c>
      <c r="T83" s="62">
        <f>IF(OR($S83="",$S83&lt;&gt;MesCiclo,$V83&lt;&gt;"Macro"),"",COUNTIFS($S$5:$S83,MesCiclo,$V$5:$V83,"Macro"))</f>
        <v/>
      </c>
      <c r="U83" s="62">
        <f>IF($V83="","",IF($V83="Macro",ROW(),IFERROR(LOOKUP(2,1/($V$5:$V83="Macro"),ROW($V$5:$V83)),0)))</f>
        <v/>
      </c>
      <c r="V83" s="62">
        <f>IF(NOT((COUNTA($B83:$D83)+COUNTA($G83:$L83)+COUNTA($Q83))&gt;0),"",IF($B83="Subactividad","Sub","Macro"))</f>
        <v/>
      </c>
      <c r="W83" s="62">
        <f>IF($V83="Macro",COUNTIFS($U$5:$U$1000,ROW(),$V$5:$V$1000,"Sub"),"")</f>
        <v/>
      </c>
      <c r="X83" s="62">
        <f>IF($V83="","",IF(ISNUMBER($G83),1,IFERROR(LOOKUP(2,1/($I83:$L83&lt;&gt;""),$I83:$L83),0)))</f>
        <v/>
      </c>
      <c r="Y83" s="62">
        <f>IF($V83="","",IF(AND(ISNUMBER($G83),$G83&lt;=IF($S83=MesCiclo,InicioCiclo,$S83+MOD(2-WEEKDAY($S83),7))+6),1,IF(ISNUMBER($I83),$I83,0)))</f>
        <v/>
      </c>
      <c r="Z83" s="62">
        <f>IF($V83="","",IF(AND(ISNUMBER($G83),$G83&lt;=IF($S83=MesCiclo,InicioCiclo,$S83+MOD(2-WEEKDAY($S83),7))+13),1,IF(ISNUMBER($J83),$J83,$Y83)))</f>
        <v/>
      </c>
      <c r="AA83" s="62">
        <f>IF($V83="","",IF(AND(ISNUMBER($G83),$G83&lt;=IF($S83=MesCiclo,InicioCiclo,$S83+MOD(2-WEEKDAY($S83),7))+20),1,IF(ISNUMBER($K83),$K83,$Z83)))</f>
        <v/>
      </c>
      <c r="AB83" s="62">
        <f>IF($V83="","",IF(AND(ISNUMBER($G83),$G83&lt;=IF($S83=MesCiclo,InicioCiclo,$S83+MOD(2-WEEKDAY($S83),7))+27),1,IF(ISNUMBER($L83),$L83,$AA83)))</f>
        <v/>
      </c>
      <c r="AC83" s="62">
        <f>IF($V83="","",IF(AND(ISNUMBER($G83),$G83&lt;=IF($S83=MesCiclo,InicioCiclo,$S83+MOD(2-WEEKDAY($S83),7))+6),1,IF(N($W83)&gt;0,AVERAGEIFS($Y$5:$Y$1000,$U$5:$U$1000,ROW(),$V$5:$V$1000,"Sub"),$Y83)))</f>
        <v/>
      </c>
      <c r="AD83" s="62">
        <f>IF($V83="","",IF(AND(ISNUMBER($G83),$G83&lt;=IF($S83=MesCiclo,InicioCiclo,$S83+MOD(2-WEEKDAY($S83),7))+13),1,IF(N($W83)&gt;0,AVERAGEIFS($Z$5:$Z$1000,$U$5:$U$1000,ROW(),$V$5:$V$1000,"Sub"),$Z83)))</f>
        <v/>
      </c>
      <c r="AE83" s="62">
        <f>IF($V83="","",IF(AND(ISNUMBER($G83),$G83&lt;=IF($S83=MesCiclo,InicioCiclo,$S83+MOD(2-WEEKDAY($S83),7))+20),1,IF(N($W83)&gt;0,AVERAGEIFS($AA$5:$AA$1000,$U$5:$U$1000,ROW(),$V$5:$V$1000,"Sub"),$AA83)))</f>
        <v/>
      </c>
      <c r="AF83" s="62">
        <f>IF($V83="","",IF(AND(ISNUMBER($G83),$G83&lt;=IF($S83=MesCiclo,InicioCiclo,$S83+MOD(2-WEEKDAY($S83),7))+27),1,IF(N($W83)&gt;0,AVERAGEIFS($AB$5:$AB$1000,$U$5:$U$1000,ROW(),$V$5:$V$1000,"Sub"),$AB83)))</f>
        <v/>
      </c>
      <c r="AG83" s="62">
        <f>IF($V83&lt;&gt;"Macro","",IF(COUNTIFS($S$5:$S$1000,$S83,$V$5:$V$1000,"Macro",$H$5:$H$1000,"&gt;0")=0,1/COUNTIFS($S$5:$S$1000,$S83,$V$5:$V$1000,"Macro"),IF(AND(ISNUMBER($H83),N($H83)&gt;0),$H83,SUMIFS($H$5:$H$1000,$S$5:$S$1000,$S83,$V$5:$V$1000,"Macro")/COUNTIFS($S$5:$S$1000,$S83,$V$5:$V$1000,"Macro",$H$5:$H$1000,"&gt;0"))/(COUNTIFS($S$5:$S$1000,$S83,$V$5:$V$1000,"Macro")*SUMIFS($H$5:$H$1000,$S$5:$S$1000,$S83,$V$5:$V$1000,"Macro")/COUNTIFS($S$5:$S$1000,$S83,$V$5:$V$1000,"Macro",$H$5:$H$1000,"&gt;0"))))</f>
        <v/>
      </c>
      <c r="AH83" s="62" t="n"/>
      <c r="AI83" s="62" t="n"/>
      <c r="AJ83" s="62" t="n"/>
      <c r="AK83" s="62" t="n"/>
      <c r="AL83" s="62">
        <f>IF(LEFT($C83,11)="[Jefatura] ",IFERROR(MATCH("Riesgo Operacional|"&amp;MID($C83,12,500),rDname_ADM,0),0),"")</f>
        <v/>
      </c>
      <c r="AM83" s="62">
        <f>IF(N($AL83)&gt;0,INDEX(rIni_ADM,$AL83),IF(ISNUMBER($E83),$E83,""))</f>
        <v/>
      </c>
      <c r="AN83" s="62">
        <f>IF(N($AL83)&gt;0,INDEX(rLim_ADM,$AL83),IF(ISNUMBER($F83),$F83,""))</f>
        <v/>
      </c>
    </row>
    <row r="84">
      <c r="A84" s="56">
        <f>IF(NOT((COUNTA($B84:$D84)+COUNTA($G84:$L84)+COUNTA($Q84))&gt;0),"",IF($V84="Macro",COUNTIFS($V$5:$V84,"Macro",$S$5:$S84,$S84),IF(N($U84)=0,"?",COUNTIFS(INDEX($V$5:$V$1000,1):INDEX($V$5:$V$1000,$U84-4),"Macro",INDEX($S$5:$S$1000,1):INDEX($S$5:$S$1000,$U84-4),INDEX($S$5:$S$1000,$U84-4))&amp;"."&amp;COUNTIFS($U$5:$U84,$U84,$V$5:$V84,"Sub"))))</f>
        <v/>
      </c>
      <c r="B84" s="57" t="n"/>
      <c r="C84" s="58" t="n"/>
      <c r="D84" s="58" t="n"/>
      <c r="E84" s="59">
        <f>IF(N($AL84)&gt;0,INDEX(rIni_ADM,$AL84),"")</f>
        <v/>
      </c>
      <c r="F84" s="59">
        <f>IF(N($AL84)&gt;0,INDEX(rLim_ADM,$AL84),"")</f>
        <v/>
      </c>
      <c r="G84" s="59" t="n"/>
      <c r="H84" s="60" t="n"/>
      <c r="I84" s="60" t="n"/>
      <c r="J84" s="60" t="n"/>
      <c r="K84" s="60" t="n"/>
      <c r="L84" s="60" t="n"/>
      <c r="M84" s="61">
        <f>IF(NOT((COUNTA($B84:$D84)+COUNTA($G84:$L84)+COUNTA($Q84))&gt;0),"",IF($V84="Sub",IFERROR($X84/INDEX($W$5:$W$1000,$U84-4),""),IF(ISNUMBER($G84),1,IF(N($W84)&gt;0,AVERAGEIFS($X$5:$X$1000,$U$5:$U$1000,ROW(),$V$5:$V$1000,"Sub"),$X84))))</f>
        <v/>
      </c>
      <c r="N84" s="56">
        <f>IF(OR($M84="",$V84="Sub"),"",IF($M84&gt;=1,"Completado",IF($M84&gt;0,"En curso","Pendiente")))</f>
        <v/>
      </c>
      <c r="O84" s="56">
        <f>IF(OR(NOT((COUNTA($B84:$D84)+COUNTA($G84:$L84)+COUNTA($Q84))&gt;0),$V84="Sub"),"",IF(ISNUMBER($G84),IF(AND(ISNUMBER($AN84),$G84&gt;$AN84),"Cumplida con "&amp;($G84-$AN84)&amp;IF($G84-$AN84=1," día"," días")&amp;" de retraso","Cumplida"),IF(N($M84)&gt;=1,"Cumplida",IF(NOT(ISNUMBER($AN84)),"Sin fecha límite",IF($AN84&lt;FechaRef,"Vencida hace "&amp;(FechaRef-$AN84)&amp;IF(FechaRef-$AN84=1," día"," días"),IF($AN84=FechaRef,"Vence hoy",IF($AN84-FechaRef&lt;=DiasAlerta,"Vence en "&amp;($AN84-FechaRef)&amp;IF($AN84-FechaRef=1," día"," días"),"En plazo")))))))</f>
        <v/>
      </c>
      <c r="P84" s="62" t="n"/>
      <c r="Q84" s="58" t="n"/>
      <c r="R84" s="63">
        <f>IF(NOT((COUNTA($B84:$D84)+COUNTA($G84:$L84)+COUNTA($Q84))&gt;0),"",IF((IF($C84="","Falta el nombre de la actividad"&amp;" · ","")&amp;IF(AND($V84="Sub",N($U84)=0),"Subactividad sin macroactividad arriba"&amp;" · ","")&amp;IF($AM84="","Sin fecha de inicio"&amp;" · ","")&amp;IF($AN84="","Sin fecha límite"&amp;" · ","")&amp;IF(AND(LEFT($C84,11)="[Jefatura] ",N($AL84)=0),"No se encuentra en la hoja de la jefatura (elíjala de nuevo en la lista)"&amp;" · ","")&amp;IF(OR(AND($E84&lt;&gt;"",NOT(ISNUMBER($E84))),AND($F84&lt;&gt;"",NOT(ISNUMBER($F84))),AND($G84&lt;&gt;"",NOT(ISNUMBER($G84)))),"Fecha no válida"&amp;" · ","")&amp;IF(AND(ISNUMBER($AM84),ISNUMBER($AN84),$AM84&gt;$AN84),"Inicio posterior a fecha límite"&amp;" · ","")&amp;IF(AND($V84="Macro",$H84&lt;&gt;"",OR(NOT(ISNUMBER($H84)),$H84&lt;0,$H84&gt;1)),"Peso fuera de rango"&amp;" · ","")&amp;IF(AND($V84="Sub",$H84&lt;&gt;""),"Las subactividades no llevan peso (valen igual dentro de su macroactividad)"&amp;" · ","")&amp;IF(AND(N($W84)&gt;0,COUNT($I84:$L84)&gt;0),"Con subactividades: deje vacías las semanas (se calculan solas)"&amp;" · ","")&amp;IF((COUNTIF($I84:$L84,"&gt;1")+COUNTIF($I84:$L84,"&lt;0")+COUNTA($I84:$L84)-COUNT($I84:$L84))&gt;0,"Avance fuera de rango 0-100%"&amp;" · ","")&amp;IF(OR(AND($J84&lt;&gt;"",$J84&lt;$I84),AND($K84&lt;&gt;"",$K84&lt;MAX($I84:$J84)),AND($L84&lt;&gt;"",$L84&lt;MAX($I84:$K84))),"Avance semanal decreciente"&amp;" · ","")&amp;IF(AND(ISNUMBER($AN84),$AN84&lt;FechaRef,IF($V84="Sub",N($X84),N($M84))&lt;1),"Vencida"&amp;" · ","")&amp;IF(AND(ObsObligatoria="Sí",ISNUMBER($AN84),$AN84&lt;FechaRef,IF($V84="Sub",N($X84),N($M84))&lt;1,$Q84=""),"Vencida sin observación"&amp;" · ",""))="","✔ OK","⚠ "&amp;LEFT(IF($C84="","Falta el nombre de la actividad"&amp;" · ","")&amp;IF(AND($V84="Sub",N($U84)=0),"Subactividad sin macroactividad arriba"&amp;" · ","")&amp;IF($AM84="","Sin fecha de inicio"&amp;" · ","")&amp;IF($AN84="","Sin fecha límite"&amp;" · ","")&amp;IF(AND(LEFT($C84,11)="[Jefatura] ",N($AL84)=0),"No se encuentra en la hoja de la jefatura (elíjala de nuevo en la lista)"&amp;" · ","")&amp;IF(OR(AND($E84&lt;&gt;"",NOT(ISNUMBER($E84))),AND($F84&lt;&gt;"",NOT(ISNUMBER($F84))),AND($G84&lt;&gt;"",NOT(ISNUMBER($G84)))),"Fecha no válida"&amp;" · ","")&amp;IF(AND(ISNUMBER($AM84),ISNUMBER($AN84),$AM84&gt;$AN84),"Inicio posterior a fecha límite"&amp;" · ","")&amp;IF(AND($V84="Macro",$H84&lt;&gt;"",OR(NOT(ISNUMBER($H84)),$H84&lt;0,$H84&gt;1)),"Peso fuera de rango"&amp;" · ","")&amp;IF(AND($V84="Sub",$H84&lt;&gt;""),"Las subactividades no llevan peso (valen igual dentro de su macroactividad)"&amp;" · ","")&amp;IF(AND(N($W84)&gt;0,COUNT($I84:$L84)&gt;0),"Con subactividades: deje vacías las semanas (se calculan solas)"&amp;" · ","")&amp;IF((COUNTIF($I84:$L84,"&gt;1")+COUNTIF($I84:$L84,"&lt;0")+COUNTA($I84:$L84)-COUNT($I84:$L84))&gt;0,"Avance fuera de rango 0-100%"&amp;" · ","")&amp;IF(OR(AND($J84&lt;&gt;"",$J84&lt;$I84),AND($K84&lt;&gt;"",$K84&lt;MAX($I84:$J84)),AND($L84&lt;&gt;"",$L84&lt;MAX($I84:$K84))),"Avance semanal decreciente"&amp;" · ","")&amp;IF(AND(ISNUMBER($AN84),$AN84&lt;FechaRef,IF($V84="Sub",N($X84),N($M84))&lt;1),"Vencida"&amp;" · ","")&amp;IF(AND(ObsObligatoria="Sí",ISNUMBER($AN84),$AN84&lt;FechaRef,IF($V84="Sub",N($X84),N($M84))&lt;1,$Q84=""),"Vencida sin observación"&amp;" · ",""),LEN(IF($C84="","Falta el nombre de la actividad"&amp;" · ","")&amp;IF(AND($V84="Sub",N($U84)=0),"Subactividad sin macroactividad arriba"&amp;" · ","")&amp;IF($AM84="","Sin fecha de inicio"&amp;" · ","")&amp;IF($AN84="","Sin fecha límite"&amp;" · ","")&amp;IF(AND(LEFT($C84,11)="[Jefatura] ",N($AL84)=0),"No se encuentra en la hoja de la jefatura (elíjala de nuevo en la lista)"&amp;" · ","")&amp;IF(OR(AND($E84&lt;&gt;"",NOT(ISNUMBER($E84))),AND($F84&lt;&gt;"",NOT(ISNUMBER($F84))),AND($G84&lt;&gt;"",NOT(ISNUMBER($G84)))),"Fecha no válida"&amp;" · ","")&amp;IF(AND(ISNUMBER($AM84),ISNUMBER($AN84),$AM84&gt;$AN84),"Inicio posterior a fecha límite"&amp;" · ","")&amp;IF(AND($V84="Macro",$H84&lt;&gt;"",OR(NOT(ISNUMBER($H84)),$H84&lt;0,$H84&gt;1)),"Peso fuera de rango"&amp;" · ","")&amp;IF(AND($V84="Sub",$H84&lt;&gt;""),"Las subactividades no llevan peso (valen igual dentro de su macroactividad)"&amp;" · ","")&amp;IF(AND(N($W84)&gt;0,COUNT($I84:$L84)&gt;0),"Con subactividades: deje vacías las semanas (se calculan solas)"&amp;" · ","")&amp;IF((COUNTIF($I84:$L84,"&gt;1")+COUNTIF($I84:$L84,"&lt;0")+COUNTA($I84:$L84)-COUNT($I84:$L84))&gt;0,"Avance fuera de rango 0-100%"&amp;" · ","")&amp;IF(OR(AND($J84&lt;&gt;"",$J84&lt;$I84),AND($K84&lt;&gt;"",$K84&lt;MAX($I84:$J84)),AND($L84&lt;&gt;"",$L84&lt;MAX($I84:$K84))),"Avance semanal decreciente"&amp;" · ","")&amp;IF(AND(ISNUMBER($AN84),$AN84&lt;FechaRef,IF($V84="Sub",N($X84),N($M84))&lt;1),"Vencida"&amp;" · ","")&amp;IF(AND(ObsObligatoria="Sí",ISNUMBER($AN84),$AN84&lt;FechaRef,IF($V84="Sub",N($X84),N($M84))&lt;1,$Q84=""),"Vencida sin observación"&amp;" · ",""))-3)))</f>
        <v/>
      </c>
      <c r="S84" s="64">
        <f>IF(NOT((COUNTA($B84:$D84)+COUNTA($G84:$L84)+COUNTA($Q84))&gt;0),"",IF(AND($V84="Sub",N($U84)&gt;0),IF(ISNUMBER(INDEX($AM$5:$AM$1000,$U84-4)),DATE(YEAR(INDEX($AM$5:$AM$1000,$U84-4)),MONTH(INDEX($AM$5:$AM$1000,$U84-4)),1),IF(ISNUMBER(INDEX($AN$5:$AN$1000,$U84-4)),DATE(YEAR(INDEX($AN$5:$AN$1000,$U84-4)),MONTH(INDEX($AN$5:$AN$1000,$U84-4)),1),MesCiclo)),IF(ISNUMBER($AM84),DATE(YEAR($AM84),MONTH($AM84),1),IF(ISNUMBER($AN84),DATE(YEAR($AN84),MONTH($AN84),1),MesCiclo))))</f>
        <v/>
      </c>
      <c r="T84" s="62">
        <f>IF(OR($S84="",$S84&lt;&gt;MesCiclo,$V84&lt;&gt;"Macro"),"",COUNTIFS($S$5:$S84,MesCiclo,$V$5:$V84,"Macro"))</f>
        <v/>
      </c>
      <c r="U84" s="62">
        <f>IF($V84="","",IF($V84="Macro",ROW(),IFERROR(LOOKUP(2,1/($V$5:$V84="Macro"),ROW($V$5:$V84)),0)))</f>
        <v/>
      </c>
      <c r="V84" s="62">
        <f>IF(NOT((COUNTA($B84:$D84)+COUNTA($G84:$L84)+COUNTA($Q84))&gt;0),"",IF($B84="Subactividad","Sub","Macro"))</f>
        <v/>
      </c>
      <c r="W84" s="62">
        <f>IF($V84="Macro",COUNTIFS($U$5:$U$1000,ROW(),$V$5:$V$1000,"Sub"),"")</f>
        <v/>
      </c>
      <c r="X84" s="62">
        <f>IF($V84="","",IF(ISNUMBER($G84),1,IFERROR(LOOKUP(2,1/($I84:$L84&lt;&gt;""),$I84:$L84),0)))</f>
        <v/>
      </c>
      <c r="Y84" s="62">
        <f>IF($V84="","",IF(AND(ISNUMBER($G84),$G84&lt;=IF($S84=MesCiclo,InicioCiclo,$S84+MOD(2-WEEKDAY($S84),7))+6),1,IF(ISNUMBER($I84),$I84,0)))</f>
        <v/>
      </c>
      <c r="Z84" s="62">
        <f>IF($V84="","",IF(AND(ISNUMBER($G84),$G84&lt;=IF($S84=MesCiclo,InicioCiclo,$S84+MOD(2-WEEKDAY($S84),7))+13),1,IF(ISNUMBER($J84),$J84,$Y84)))</f>
        <v/>
      </c>
      <c r="AA84" s="62">
        <f>IF($V84="","",IF(AND(ISNUMBER($G84),$G84&lt;=IF($S84=MesCiclo,InicioCiclo,$S84+MOD(2-WEEKDAY($S84),7))+20),1,IF(ISNUMBER($K84),$K84,$Z84)))</f>
        <v/>
      </c>
      <c r="AB84" s="62">
        <f>IF($V84="","",IF(AND(ISNUMBER($G84),$G84&lt;=IF($S84=MesCiclo,InicioCiclo,$S84+MOD(2-WEEKDAY($S84),7))+27),1,IF(ISNUMBER($L84),$L84,$AA84)))</f>
        <v/>
      </c>
      <c r="AC84" s="62">
        <f>IF($V84="","",IF(AND(ISNUMBER($G84),$G84&lt;=IF($S84=MesCiclo,InicioCiclo,$S84+MOD(2-WEEKDAY($S84),7))+6),1,IF(N($W84)&gt;0,AVERAGEIFS($Y$5:$Y$1000,$U$5:$U$1000,ROW(),$V$5:$V$1000,"Sub"),$Y84)))</f>
        <v/>
      </c>
      <c r="AD84" s="62">
        <f>IF($V84="","",IF(AND(ISNUMBER($G84),$G84&lt;=IF($S84=MesCiclo,InicioCiclo,$S84+MOD(2-WEEKDAY($S84),7))+13),1,IF(N($W84)&gt;0,AVERAGEIFS($Z$5:$Z$1000,$U$5:$U$1000,ROW(),$V$5:$V$1000,"Sub"),$Z84)))</f>
        <v/>
      </c>
      <c r="AE84" s="62">
        <f>IF($V84="","",IF(AND(ISNUMBER($G84),$G84&lt;=IF($S84=MesCiclo,InicioCiclo,$S84+MOD(2-WEEKDAY($S84),7))+20),1,IF(N($W84)&gt;0,AVERAGEIFS($AA$5:$AA$1000,$U$5:$U$1000,ROW(),$V$5:$V$1000,"Sub"),$AA84)))</f>
        <v/>
      </c>
      <c r="AF84" s="62">
        <f>IF($V84="","",IF(AND(ISNUMBER($G84),$G84&lt;=IF($S84=MesCiclo,InicioCiclo,$S84+MOD(2-WEEKDAY($S84),7))+27),1,IF(N($W84)&gt;0,AVERAGEIFS($AB$5:$AB$1000,$U$5:$U$1000,ROW(),$V$5:$V$1000,"Sub"),$AB84)))</f>
        <v/>
      </c>
      <c r="AG84" s="62">
        <f>IF($V84&lt;&gt;"Macro","",IF(COUNTIFS($S$5:$S$1000,$S84,$V$5:$V$1000,"Macro",$H$5:$H$1000,"&gt;0")=0,1/COUNTIFS($S$5:$S$1000,$S84,$V$5:$V$1000,"Macro"),IF(AND(ISNUMBER($H84),N($H84)&gt;0),$H84,SUMIFS($H$5:$H$1000,$S$5:$S$1000,$S84,$V$5:$V$1000,"Macro")/COUNTIFS($S$5:$S$1000,$S84,$V$5:$V$1000,"Macro",$H$5:$H$1000,"&gt;0"))/(COUNTIFS($S$5:$S$1000,$S84,$V$5:$V$1000,"Macro")*SUMIFS($H$5:$H$1000,$S$5:$S$1000,$S84,$V$5:$V$1000,"Macro")/COUNTIFS($S$5:$S$1000,$S84,$V$5:$V$1000,"Macro",$H$5:$H$1000,"&gt;0"))))</f>
        <v/>
      </c>
      <c r="AH84" s="62" t="n"/>
      <c r="AI84" s="62" t="n"/>
      <c r="AJ84" s="62" t="n"/>
      <c r="AK84" s="62" t="n"/>
      <c r="AL84" s="62">
        <f>IF(LEFT($C84,11)="[Jefatura] ",IFERROR(MATCH("Riesgo Operacional|"&amp;MID($C84,12,500),rDname_ADM,0),0),"")</f>
        <v/>
      </c>
      <c r="AM84" s="62">
        <f>IF(N($AL84)&gt;0,INDEX(rIni_ADM,$AL84),IF(ISNUMBER($E84),$E84,""))</f>
        <v/>
      </c>
      <c r="AN84" s="62">
        <f>IF(N($AL84)&gt;0,INDEX(rLim_ADM,$AL84),IF(ISNUMBER($F84),$F84,""))</f>
        <v/>
      </c>
    </row>
    <row r="85">
      <c r="A85" s="56">
        <f>IF(NOT((COUNTA($B85:$D85)+COUNTA($G85:$L85)+COUNTA($Q85))&gt;0),"",IF($V85="Macro",COUNTIFS($V$5:$V85,"Macro",$S$5:$S85,$S85),IF(N($U85)=0,"?",COUNTIFS(INDEX($V$5:$V$1000,1):INDEX($V$5:$V$1000,$U85-4),"Macro",INDEX($S$5:$S$1000,1):INDEX($S$5:$S$1000,$U85-4),INDEX($S$5:$S$1000,$U85-4))&amp;"."&amp;COUNTIFS($U$5:$U85,$U85,$V$5:$V85,"Sub"))))</f>
        <v/>
      </c>
      <c r="B85" s="57" t="n"/>
      <c r="C85" s="58" t="n"/>
      <c r="D85" s="58" t="n"/>
      <c r="E85" s="59">
        <f>IF(N($AL85)&gt;0,INDEX(rIni_ADM,$AL85),"")</f>
        <v/>
      </c>
      <c r="F85" s="59">
        <f>IF(N($AL85)&gt;0,INDEX(rLim_ADM,$AL85),"")</f>
        <v/>
      </c>
      <c r="G85" s="59" t="n"/>
      <c r="H85" s="60" t="n"/>
      <c r="I85" s="60" t="n"/>
      <c r="J85" s="60" t="n"/>
      <c r="K85" s="60" t="n"/>
      <c r="L85" s="60" t="n"/>
      <c r="M85" s="61">
        <f>IF(NOT((COUNTA($B85:$D85)+COUNTA($G85:$L85)+COUNTA($Q85))&gt;0),"",IF($V85="Sub",IFERROR($X85/INDEX($W$5:$W$1000,$U85-4),""),IF(ISNUMBER($G85),1,IF(N($W85)&gt;0,AVERAGEIFS($X$5:$X$1000,$U$5:$U$1000,ROW(),$V$5:$V$1000,"Sub"),$X85))))</f>
        <v/>
      </c>
      <c r="N85" s="56">
        <f>IF(OR($M85="",$V85="Sub"),"",IF($M85&gt;=1,"Completado",IF($M85&gt;0,"En curso","Pendiente")))</f>
        <v/>
      </c>
      <c r="O85" s="56">
        <f>IF(OR(NOT((COUNTA($B85:$D85)+COUNTA($G85:$L85)+COUNTA($Q85))&gt;0),$V85="Sub"),"",IF(ISNUMBER($G85),IF(AND(ISNUMBER($AN85),$G85&gt;$AN85),"Cumplida con "&amp;($G85-$AN85)&amp;IF($G85-$AN85=1," día"," días")&amp;" de retraso","Cumplida"),IF(N($M85)&gt;=1,"Cumplida",IF(NOT(ISNUMBER($AN85)),"Sin fecha límite",IF($AN85&lt;FechaRef,"Vencida hace "&amp;(FechaRef-$AN85)&amp;IF(FechaRef-$AN85=1," día"," días"),IF($AN85=FechaRef,"Vence hoy",IF($AN85-FechaRef&lt;=DiasAlerta,"Vence en "&amp;($AN85-FechaRef)&amp;IF($AN85-FechaRef=1," día"," días"),"En plazo")))))))</f>
        <v/>
      </c>
      <c r="P85" s="62" t="n"/>
      <c r="Q85" s="58" t="n"/>
      <c r="R85" s="63">
        <f>IF(NOT((COUNTA($B85:$D85)+COUNTA($G85:$L85)+COUNTA($Q85))&gt;0),"",IF((IF($C85="","Falta el nombre de la actividad"&amp;" · ","")&amp;IF(AND($V85="Sub",N($U85)=0),"Subactividad sin macroactividad arriba"&amp;" · ","")&amp;IF($AM85="","Sin fecha de inicio"&amp;" · ","")&amp;IF($AN85="","Sin fecha límite"&amp;" · ","")&amp;IF(AND(LEFT($C85,11)="[Jefatura] ",N($AL85)=0),"No se encuentra en la hoja de la jefatura (elíjala de nuevo en la lista)"&amp;" · ","")&amp;IF(OR(AND($E85&lt;&gt;"",NOT(ISNUMBER($E85))),AND($F85&lt;&gt;"",NOT(ISNUMBER($F85))),AND($G85&lt;&gt;"",NOT(ISNUMBER($G85)))),"Fecha no válida"&amp;" · ","")&amp;IF(AND(ISNUMBER($AM85),ISNUMBER($AN85),$AM85&gt;$AN85),"Inicio posterior a fecha límite"&amp;" · ","")&amp;IF(AND($V85="Macro",$H85&lt;&gt;"",OR(NOT(ISNUMBER($H85)),$H85&lt;0,$H85&gt;1)),"Peso fuera de rango"&amp;" · ","")&amp;IF(AND($V85="Sub",$H85&lt;&gt;""),"Las subactividades no llevan peso (valen igual dentro de su macroactividad)"&amp;" · ","")&amp;IF(AND(N($W85)&gt;0,COUNT($I85:$L85)&gt;0),"Con subactividades: deje vacías las semanas (se calculan solas)"&amp;" · ","")&amp;IF((COUNTIF($I85:$L85,"&gt;1")+COUNTIF($I85:$L85,"&lt;0")+COUNTA($I85:$L85)-COUNT($I85:$L85))&gt;0,"Avance fuera de rango 0-100%"&amp;" · ","")&amp;IF(OR(AND($J85&lt;&gt;"",$J85&lt;$I85),AND($K85&lt;&gt;"",$K85&lt;MAX($I85:$J85)),AND($L85&lt;&gt;"",$L85&lt;MAX($I85:$K85))),"Avance semanal decreciente"&amp;" · ","")&amp;IF(AND(ISNUMBER($AN85),$AN85&lt;FechaRef,IF($V85="Sub",N($X85),N($M85))&lt;1),"Vencida"&amp;" · ","")&amp;IF(AND(ObsObligatoria="Sí",ISNUMBER($AN85),$AN85&lt;FechaRef,IF($V85="Sub",N($X85),N($M85))&lt;1,$Q85=""),"Vencida sin observación"&amp;" · ",""))="","✔ OK","⚠ "&amp;LEFT(IF($C85="","Falta el nombre de la actividad"&amp;" · ","")&amp;IF(AND($V85="Sub",N($U85)=0),"Subactividad sin macroactividad arriba"&amp;" · ","")&amp;IF($AM85="","Sin fecha de inicio"&amp;" · ","")&amp;IF($AN85="","Sin fecha límite"&amp;" · ","")&amp;IF(AND(LEFT($C85,11)="[Jefatura] ",N($AL85)=0),"No se encuentra en la hoja de la jefatura (elíjala de nuevo en la lista)"&amp;" · ","")&amp;IF(OR(AND($E85&lt;&gt;"",NOT(ISNUMBER($E85))),AND($F85&lt;&gt;"",NOT(ISNUMBER($F85))),AND($G85&lt;&gt;"",NOT(ISNUMBER($G85)))),"Fecha no válida"&amp;" · ","")&amp;IF(AND(ISNUMBER($AM85),ISNUMBER($AN85),$AM85&gt;$AN85),"Inicio posterior a fecha límite"&amp;" · ","")&amp;IF(AND($V85="Macro",$H85&lt;&gt;"",OR(NOT(ISNUMBER($H85)),$H85&lt;0,$H85&gt;1)),"Peso fuera de rango"&amp;" · ","")&amp;IF(AND($V85="Sub",$H85&lt;&gt;""),"Las subactividades no llevan peso (valen igual dentro de su macroactividad)"&amp;" · ","")&amp;IF(AND(N($W85)&gt;0,COUNT($I85:$L85)&gt;0),"Con subactividades: deje vacías las semanas (se calculan solas)"&amp;" · ","")&amp;IF((COUNTIF($I85:$L85,"&gt;1")+COUNTIF($I85:$L85,"&lt;0")+COUNTA($I85:$L85)-COUNT($I85:$L85))&gt;0,"Avance fuera de rango 0-100%"&amp;" · ","")&amp;IF(OR(AND($J85&lt;&gt;"",$J85&lt;$I85),AND($K85&lt;&gt;"",$K85&lt;MAX($I85:$J85)),AND($L85&lt;&gt;"",$L85&lt;MAX($I85:$K85))),"Avance semanal decreciente"&amp;" · ","")&amp;IF(AND(ISNUMBER($AN85),$AN85&lt;FechaRef,IF($V85="Sub",N($X85),N($M85))&lt;1),"Vencida"&amp;" · ","")&amp;IF(AND(ObsObligatoria="Sí",ISNUMBER($AN85),$AN85&lt;FechaRef,IF($V85="Sub",N($X85),N($M85))&lt;1,$Q85=""),"Vencida sin observación"&amp;" · ",""),LEN(IF($C85="","Falta el nombre de la actividad"&amp;" · ","")&amp;IF(AND($V85="Sub",N($U85)=0),"Subactividad sin macroactividad arriba"&amp;" · ","")&amp;IF($AM85="","Sin fecha de inicio"&amp;" · ","")&amp;IF($AN85="","Sin fecha límite"&amp;" · ","")&amp;IF(AND(LEFT($C85,11)="[Jefatura] ",N($AL85)=0),"No se encuentra en la hoja de la jefatura (elíjala de nuevo en la lista)"&amp;" · ","")&amp;IF(OR(AND($E85&lt;&gt;"",NOT(ISNUMBER($E85))),AND($F85&lt;&gt;"",NOT(ISNUMBER($F85))),AND($G85&lt;&gt;"",NOT(ISNUMBER($G85)))),"Fecha no válida"&amp;" · ","")&amp;IF(AND(ISNUMBER($AM85),ISNUMBER($AN85),$AM85&gt;$AN85),"Inicio posterior a fecha límite"&amp;" · ","")&amp;IF(AND($V85="Macro",$H85&lt;&gt;"",OR(NOT(ISNUMBER($H85)),$H85&lt;0,$H85&gt;1)),"Peso fuera de rango"&amp;" · ","")&amp;IF(AND($V85="Sub",$H85&lt;&gt;""),"Las subactividades no llevan peso (valen igual dentro de su macroactividad)"&amp;" · ","")&amp;IF(AND(N($W85)&gt;0,COUNT($I85:$L85)&gt;0),"Con subactividades: deje vacías las semanas (se calculan solas)"&amp;" · ","")&amp;IF((COUNTIF($I85:$L85,"&gt;1")+COUNTIF($I85:$L85,"&lt;0")+COUNTA($I85:$L85)-COUNT($I85:$L85))&gt;0,"Avance fuera de rango 0-100%"&amp;" · ","")&amp;IF(OR(AND($J85&lt;&gt;"",$J85&lt;$I85),AND($K85&lt;&gt;"",$K85&lt;MAX($I85:$J85)),AND($L85&lt;&gt;"",$L85&lt;MAX($I85:$K85))),"Avance semanal decreciente"&amp;" · ","")&amp;IF(AND(ISNUMBER($AN85),$AN85&lt;FechaRef,IF($V85="Sub",N($X85),N($M85))&lt;1),"Vencida"&amp;" · ","")&amp;IF(AND(ObsObligatoria="Sí",ISNUMBER($AN85),$AN85&lt;FechaRef,IF($V85="Sub",N($X85),N($M85))&lt;1,$Q85=""),"Vencida sin observación"&amp;" · ",""))-3)))</f>
        <v/>
      </c>
      <c r="S85" s="64">
        <f>IF(NOT((COUNTA($B85:$D85)+COUNTA($G85:$L85)+COUNTA($Q85))&gt;0),"",IF(AND($V85="Sub",N($U85)&gt;0),IF(ISNUMBER(INDEX($AM$5:$AM$1000,$U85-4)),DATE(YEAR(INDEX($AM$5:$AM$1000,$U85-4)),MONTH(INDEX($AM$5:$AM$1000,$U85-4)),1),IF(ISNUMBER(INDEX($AN$5:$AN$1000,$U85-4)),DATE(YEAR(INDEX($AN$5:$AN$1000,$U85-4)),MONTH(INDEX($AN$5:$AN$1000,$U85-4)),1),MesCiclo)),IF(ISNUMBER($AM85),DATE(YEAR($AM85),MONTH($AM85),1),IF(ISNUMBER($AN85),DATE(YEAR($AN85),MONTH($AN85),1),MesCiclo))))</f>
        <v/>
      </c>
      <c r="T85" s="62">
        <f>IF(OR($S85="",$S85&lt;&gt;MesCiclo,$V85&lt;&gt;"Macro"),"",COUNTIFS($S$5:$S85,MesCiclo,$V$5:$V85,"Macro"))</f>
        <v/>
      </c>
      <c r="U85" s="62">
        <f>IF($V85="","",IF($V85="Macro",ROW(),IFERROR(LOOKUP(2,1/($V$5:$V85="Macro"),ROW($V$5:$V85)),0)))</f>
        <v/>
      </c>
      <c r="V85" s="62">
        <f>IF(NOT((COUNTA($B85:$D85)+COUNTA($G85:$L85)+COUNTA($Q85))&gt;0),"",IF($B85="Subactividad","Sub","Macro"))</f>
        <v/>
      </c>
      <c r="W85" s="62">
        <f>IF($V85="Macro",COUNTIFS($U$5:$U$1000,ROW(),$V$5:$V$1000,"Sub"),"")</f>
        <v/>
      </c>
      <c r="X85" s="62">
        <f>IF($V85="","",IF(ISNUMBER($G85),1,IFERROR(LOOKUP(2,1/($I85:$L85&lt;&gt;""),$I85:$L85),0)))</f>
        <v/>
      </c>
      <c r="Y85" s="62">
        <f>IF($V85="","",IF(AND(ISNUMBER($G85),$G85&lt;=IF($S85=MesCiclo,InicioCiclo,$S85+MOD(2-WEEKDAY($S85),7))+6),1,IF(ISNUMBER($I85),$I85,0)))</f>
        <v/>
      </c>
      <c r="Z85" s="62">
        <f>IF($V85="","",IF(AND(ISNUMBER($G85),$G85&lt;=IF($S85=MesCiclo,InicioCiclo,$S85+MOD(2-WEEKDAY($S85),7))+13),1,IF(ISNUMBER($J85),$J85,$Y85)))</f>
        <v/>
      </c>
      <c r="AA85" s="62">
        <f>IF($V85="","",IF(AND(ISNUMBER($G85),$G85&lt;=IF($S85=MesCiclo,InicioCiclo,$S85+MOD(2-WEEKDAY($S85),7))+20),1,IF(ISNUMBER($K85),$K85,$Z85)))</f>
        <v/>
      </c>
      <c r="AB85" s="62">
        <f>IF($V85="","",IF(AND(ISNUMBER($G85),$G85&lt;=IF($S85=MesCiclo,InicioCiclo,$S85+MOD(2-WEEKDAY($S85),7))+27),1,IF(ISNUMBER($L85),$L85,$AA85)))</f>
        <v/>
      </c>
      <c r="AC85" s="62">
        <f>IF($V85="","",IF(AND(ISNUMBER($G85),$G85&lt;=IF($S85=MesCiclo,InicioCiclo,$S85+MOD(2-WEEKDAY($S85),7))+6),1,IF(N($W85)&gt;0,AVERAGEIFS($Y$5:$Y$1000,$U$5:$U$1000,ROW(),$V$5:$V$1000,"Sub"),$Y85)))</f>
        <v/>
      </c>
      <c r="AD85" s="62">
        <f>IF($V85="","",IF(AND(ISNUMBER($G85),$G85&lt;=IF($S85=MesCiclo,InicioCiclo,$S85+MOD(2-WEEKDAY($S85),7))+13),1,IF(N($W85)&gt;0,AVERAGEIFS($Z$5:$Z$1000,$U$5:$U$1000,ROW(),$V$5:$V$1000,"Sub"),$Z85)))</f>
        <v/>
      </c>
      <c r="AE85" s="62">
        <f>IF($V85="","",IF(AND(ISNUMBER($G85),$G85&lt;=IF($S85=MesCiclo,InicioCiclo,$S85+MOD(2-WEEKDAY($S85),7))+20),1,IF(N($W85)&gt;0,AVERAGEIFS($AA$5:$AA$1000,$U$5:$U$1000,ROW(),$V$5:$V$1000,"Sub"),$AA85)))</f>
        <v/>
      </c>
      <c r="AF85" s="62">
        <f>IF($V85="","",IF(AND(ISNUMBER($G85),$G85&lt;=IF($S85=MesCiclo,InicioCiclo,$S85+MOD(2-WEEKDAY($S85),7))+27),1,IF(N($W85)&gt;0,AVERAGEIFS($AB$5:$AB$1000,$U$5:$U$1000,ROW(),$V$5:$V$1000,"Sub"),$AB85)))</f>
        <v/>
      </c>
      <c r="AG85" s="62">
        <f>IF($V85&lt;&gt;"Macro","",IF(COUNTIFS($S$5:$S$1000,$S85,$V$5:$V$1000,"Macro",$H$5:$H$1000,"&gt;0")=0,1/COUNTIFS($S$5:$S$1000,$S85,$V$5:$V$1000,"Macro"),IF(AND(ISNUMBER($H85),N($H85)&gt;0),$H85,SUMIFS($H$5:$H$1000,$S$5:$S$1000,$S85,$V$5:$V$1000,"Macro")/COUNTIFS($S$5:$S$1000,$S85,$V$5:$V$1000,"Macro",$H$5:$H$1000,"&gt;0"))/(COUNTIFS($S$5:$S$1000,$S85,$V$5:$V$1000,"Macro")*SUMIFS($H$5:$H$1000,$S$5:$S$1000,$S85,$V$5:$V$1000,"Macro")/COUNTIFS($S$5:$S$1000,$S85,$V$5:$V$1000,"Macro",$H$5:$H$1000,"&gt;0"))))</f>
        <v/>
      </c>
      <c r="AH85" s="62" t="n"/>
      <c r="AI85" s="62" t="n"/>
      <c r="AJ85" s="62" t="n"/>
      <c r="AK85" s="62" t="n"/>
      <c r="AL85" s="62">
        <f>IF(LEFT($C85,11)="[Jefatura] ",IFERROR(MATCH("Riesgo Operacional|"&amp;MID($C85,12,500),rDname_ADM,0),0),"")</f>
        <v/>
      </c>
      <c r="AM85" s="62">
        <f>IF(N($AL85)&gt;0,INDEX(rIni_ADM,$AL85),IF(ISNUMBER($E85),$E85,""))</f>
        <v/>
      </c>
      <c r="AN85" s="62">
        <f>IF(N($AL85)&gt;0,INDEX(rLim_ADM,$AL85),IF(ISNUMBER($F85),$F85,""))</f>
        <v/>
      </c>
    </row>
    <row r="86">
      <c r="A86" s="56">
        <f>IF(NOT((COUNTA($B86:$D86)+COUNTA($G86:$L86)+COUNTA($Q86))&gt;0),"",IF($V86="Macro",COUNTIFS($V$5:$V86,"Macro",$S$5:$S86,$S86),IF(N($U86)=0,"?",COUNTIFS(INDEX($V$5:$V$1000,1):INDEX($V$5:$V$1000,$U86-4),"Macro",INDEX($S$5:$S$1000,1):INDEX($S$5:$S$1000,$U86-4),INDEX($S$5:$S$1000,$U86-4))&amp;"."&amp;COUNTIFS($U$5:$U86,$U86,$V$5:$V86,"Sub"))))</f>
        <v/>
      </c>
      <c r="B86" s="57" t="n"/>
      <c r="C86" s="58" t="n"/>
      <c r="D86" s="58" t="n"/>
      <c r="E86" s="59">
        <f>IF(N($AL86)&gt;0,INDEX(rIni_ADM,$AL86),"")</f>
        <v/>
      </c>
      <c r="F86" s="59">
        <f>IF(N($AL86)&gt;0,INDEX(rLim_ADM,$AL86),"")</f>
        <v/>
      </c>
      <c r="G86" s="59" t="n"/>
      <c r="H86" s="60" t="n"/>
      <c r="I86" s="60" t="n"/>
      <c r="J86" s="60" t="n"/>
      <c r="K86" s="60" t="n"/>
      <c r="L86" s="60" t="n"/>
      <c r="M86" s="61">
        <f>IF(NOT((COUNTA($B86:$D86)+COUNTA($G86:$L86)+COUNTA($Q86))&gt;0),"",IF($V86="Sub",IFERROR($X86/INDEX($W$5:$W$1000,$U86-4),""),IF(ISNUMBER($G86),1,IF(N($W86)&gt;0,AVERAGEIFS($X$5:$X$1000,$U$5:$U$1000,ROW(),$V$5:$V$1000,"Sub"),$X86))))</f>
        <v/>
      </c>
      <c r="N86" s="56">
        <f>IF(OR($M86="",$V86="Sub"),"",IF($M86&gt;=1,"Completado",IF($M86&gt;0,"En curso","Pendiente")))</f>
        <v/>
      </c>
      <c r="O86" s="56">
        <f>IF(OR(NOT((COUNTA($B86:$D86)+COUNTA($G86:$L86)+COUNTA($Q86))&gt;0),$V86="Sub"),"",IF(ISNUMBER($G86),IF(AND(ISNUMBER($AN86),$G86&gt;$AN86),"Cumplida con "&amp;($G86-$AN86)&amp;IF($G86-$AN86=1," día"," días")&amp;" de retraso","Cumplida"),IF(N($M86)&gt;=1,"Cumplida",IF(NOT(ISNUMBER($AN86)),"Sin fecha límite",IF($AN86&lt;FechaRef,"Vencida hace "&amp;(FechaRef-$AN86)&amp;IF(FechaRef-$AN86=1," día"," días"),IF($AN86=FechaRef,"Vence hoy",IF($AN86-FechaRef&lt;=DiasAlerta,"Vence en "&amp;($AN86-FechaRef)&amp;IF($AN86-FechaRef=1," día"," días"),"En plazo")))))))</f>
        <v/>
      </c>
      <c r="P86" s="62" t="n"/>
      <c r="Q86" s="58" t="n"/>
      <c r="R86" s="63">
        <f>IF(NOT((COUNTA($B86:$D86)+COUNTA($G86:$L86)+COUNTA($Q86))&gt;0),"",IF((IF($C86="","Falta el nombre de la actividad"&amp;" · ","")&amp;IF(AND($V86="Sub",N($U86)=0),"Subactividad sin macroactividad arriba"&amp;" · ","")&amp;IF($AM86="","Sin fecha de inicio"&amp;" · ","")&amp;IF($AN86="","Sin fecha límite"&amp;" · ","")&amp;IF(AND(LEFT($C86,11)="[Jefatura] ",N($AL86)=0),"No se encuentra en la hoja de la jefatura (elíjala de nuevo en la lista)"&amp;" · ","")&amp;IF(OR(AND($E86&lt;&gt;"",NOT(ISNUMBER($E86))),AND($F86&lt;&gt;"",NOT(ISNUMBER($F86))),AND($G86&lt;&gt;"",NOT(ISNUMBER($G86)))),"Fecha no válida"&amp;" · ","")&amp;IF(AND(ISNUMBER($AM86),ISNUMBER($AN86),$AM86&gt;$AN86),"Inicio posterior a fecha límite"&amp;" · ","")&amp;IF(AND($V86="Macro",$H86&lt;&gt;"",OR(NOT(ISNUMBER($H86)),$H86&lt;0,$H86&gt;1)),"Peso fuera de rango"&amp;" · ","")&amp;IF(AND($V86="Sub",$H86&lt;&gt;""),"Las subactividades no llevan peso (valen igual dentro de su macroactividad)"&amp;" · ","")&amp;IF(AND(N($W86)&gt;0,COUNT($I86:$L86)&gt;0),"Con subactividades: deje vacías las semanas (se calculan solas)"&amp;" · ","")&amp;IF((COUNTIF($I86:$L86,"&gt;1")+COUNTIF($I86:$L86,"&lt;0")+COUNTA($I86:$L86)-COUNT($I86:$L86))&gt;0,"Avance fuera de rango 0-100%"&amp;" · ","")&amp;IF(OR(AND($J86&lt;&gt;"",$J86&lt;$I86),AND($K86&lt;&gt;"",$K86&lt;MAX($I86:$J86)),AND($L86&lt;&gt;"",$L86&lt;MAX($I86:$K86))),"Avance semanal decreciente"&amp;" · ","")&amp;IF(AND(ISNUMBER($AN86),$AN86&lt;FechaRef,IF($V86="Sub",N($X86),N($M86))&lt;1),"Vencida"&amp;" · ","")&amp;IF(AND(ObsObligatoria="Sí",ISNUMBER($AN86),$AN86&lt;FechaRef,IF($V86="Sub",N($X86),N($M86))&lt;1,$Q86=""),"Vencida sin observación"&amp;" · ",""))="","✔ OK","⚠ "&amp;LEFT(IF($C86="","Falta el nombre de la actividad"&amp;" · ","")&amp;IF(AND($V86="Sub",N($U86)=0),"Subactividad sin macroactividad arriba"&amp;" · ","")&amp;IF($AM86="","Sin fecha de inicio"&amp;" · ","")&amp;IF($AN86="","Sin fecha límite"&amp;" · ","")&amp;IF(AND(LEFT($C86,11)="[Jefatura] ",N($AL86)=0),"No se encuentra en la hoja de la jefatura (elíjala de nuevo en la lista)"&amp;" · ","")&amp;IF(OR(AND($E86&lt;&gt;"",NOT(ISNUMBER($E86))),AND($F86&lt;&gt;"",NOT(ISNUMBER($F86))),AND($G86&lt;&gt;"",NOT(ISNUMBER($G86)))),"Fecha no válida"&amp;" · ","")&amp;IF(AND(ISNUMBER($AM86),ISNUMBER($AN86),$AM86&gt;$AN86),"Inicio posterior a fecha límite"&amp;" · ","")&amp;IF(AND($V86="Macro",$H86&lt;&gt;"",OR(NOT(ISNUMBER($H86)),$H86&lt;0,$H86&gt;1)),"Peso fuera de rango"&amp;" · ","")&amp;IF(AND($V86="Sub",$H86&lt;&gt;""),"Las subactividades no llevan peso (valen igual dentro de su macroactividad)"&amp;" · ","")&amp;IF(AND(N($W86)&gt;0,COUNT($I86:$L86)&gt;0),"Con subactividades: deje vacías las semanas (se calculan solas)"&amp;" · ","")&amp;IF((COUNTIF($I86:$L86,"&gt;1")+COUNTIF($I86:$L86,"&lt;0")+COUNTA($I86:$L86)-COUNT($I86:$L86))&gt;0,"Avance fuera de rango 0-100%"&amp;" · ","")&amp;IF(OR(AND($J86&lt;&gt;"",$J86&lt;$I86),AND($K86&lt;&gt;"",$K86&lt;MAX($I86:$J86)),AND($L86&lt;&gt;"",$L86&lt;MAX($I86:$K86))),"Avance semanal decreciente"&amp;" · ","")&amp;IF(AND(ISNUMBER($AN86),$AN86&lt;FechaRef,IF($V86="Sub",N($X86),N($M86))&lt;1),"Vencida"&amp;" · ","")&amp;IF(AND(ObsObligatoria="Sí",ISNUMBER($AN86),$AN86&lt;FechaRef,IF($V86="Sub",N($X86),N($M86))&lt;1,$Q86=""),"Vencida sin observación"&amp;" · ",""),LEN(IF($C86="","Falta el nombre de la actividad"&amp;" · ","")&amp;IF(AND($V86="Sub",N($U86)=0),"Subactividad sin macroactividad arriba"&amp;" · ","")&amp;IF($AM86="","Sin fecha de inicio"&amp;" · ","")&amp;IF($AN86="","Sin fecha límite"&amp;" · ","")&amp;IF(AND(LEFT($C86,11)="[Jefatura] ",N($AL86)=0),"No se encuentra en la hoja de la jefatura (elíjala de nuevo en la lista)"&amp;" · ","")&amp;IF(OR(AND($E86&lt;&gt;"",NOT(ISNUMBER($E86))),AND($F86&lt;&gt;"",NOT(ISNUMBER($F86))),AND($G86&lt;&gt;"",NOT(ISNUMBER($G86)))),"Fecha no válida"&amp;" · ","")&amp;IF(AND(ISNUMBER($AM86),ISNUMBER($AN86),$AM86&gt;$AN86),"Inicio posterior a fecha límite"&amp;" · ","")&amp;IF(AND($V86="Macro",$H86&lt;&gt;"",OR(NOT(ISNUMBER($H86)),$H86&lt;0,$H86&gt;1)),"Peso fuera de rango"&amp;" · ","")&amp;IF(AND($V86="Sub",$H86&lt;&gt;""),"Las subactividades no llevan peso (valen igual dentro de su macroactividad)"&amp;" · ","")&amp;IF(AND(N($W86)&gt;0,COUNT($I86:$L86)&gt;0),"Con subactividades: deje vacías las semanas (se calculan solas)"&amp;" · ","")&amp;IF((COUNTIF($I86:$L86,"&gt;1")+COUNTIF($I86:$L86,"&lt;0")+COUNTA($I86:$L86)-COUNT($I86:$L86))&gt;0,"Avance fuera de rango 0-100%"&amp;" · ","")&amp;IF(OR(AND($J86&lt;&gt;"",$J86&lt;$I86),AND($K86&lt;&gt;"",$K86&lt;MAX($I86:$J86)),AND($L86&lt;&gt;"",$L86&lt;MAX($I86:$K86))),"Avance semanal decreciente"&amp;" · ","")&amp;IF(AND(ISNUMBER($AN86),$AN86&lt;FechaRef,IF($V86="Sub",N($X86),N($M86))&lt;1),"Vencida"&amp;" · ","")&amp;IF(AND(ObsObligatoria="Sí",ISNUMBER($AN86),$AN86&lt;FechaRef,IF($V86="Sub",N($X86),N($M86))&lt;1,$Q86=""),"Vencida sin observación"&amp;" · ",""))-3)))</f>
        <v/>
      </c>
      <c r="S86" s="64">
        <f>IF(NOT((COUNTA($B86:$D86)+COUNTA($G86:$L86)+COUNTA($Q86))&gt;0),"",IF(AND($V86="Sub",N($U86)&gt;0),IF(ISNUMBER(INDEX($AM$5:$AM$1000,$U86-4)),DATE(YEAR(INDEX($AM$5:$AM$1000,$U86-4)),MONTH(INDEX($AM$5:$AM$1000,$U86-4)),1),IF(ISNUMBER(INDEX($AN$5:$AN$1000,$U86-4)),DATE(YEAR(INDEX($AN$5:$AN$1000,$U86-4)),MONTH(INDEX($AN$5:$AN$1000,$U86-4)),1),MesCiclo)),IF(ISNUMBER($AM86),DATE(YEAR($AM86),MONTH($AM86),1),IF(ISNUMBER($AN86),DATE(YEAR($AN86),MONTH($AN86),1),MesCiclo))))</f>
        <v/>
      </c>
      <c r="T86" s="62">
        <f>IF(OR($S86="",$S86&lt;&gt;MesCiclo,$V86&lt;&gt;"Macro"),"",COUNTIFS($S$5:$S86,MesCiclo,$V$5:$V86,"Macro"))</f>
        <v/>
      </c>
      <c r="U86" s="62">
        <f>IF($V86="","",IF($V86="Macro",ROW(),IFERROR(LOOKUP(2,1/($V$5:$V86="Macro"),ROW($V$5:$V86)),0)))</f>
        <v/>
      </c>
      <c r="V86" s="62">
        <f>IF(NOT((COUNTA($B86:$D86)+COUNTA($G86:$L86)+COUNTA($Q86))&gt;0),"",IF($B86="Subactividad","Sub","Macro"))</f>
        <v/>
      </c>
      <c r="W86" s="62">
        <f>IF($V86="Macro",COUNTIFS($U$5:$U$1000,ROW(),$V$5:$V$1000,"Sub"),"")</f>
        <v/>
      </c>
      <c r="X86" s="62">
        <f>IF($V86="","",IF(ISNUMBER($G86),1,IFERROR(LOOKUP(2,1/($I86:$L86&lt;&gt;""),$I86:$L86),0)))</f>
        <v/>
      </c>
      <c r="Y86" s="62">
        <f>IF($V86="","",IF(AND(ISNUMBER($G86),$G86&lt;=IF($S86=MesCiclo,InicioCiclo,$S86+MOD(2-WEEKDAY($S86),7))+6),1,IF(ISNUMBER($I86),$I86,0)))</f>
        <v/>
      </c>
      <c r="Z86" s="62">
        <f>IF($V86="","",IF(AND(ISNUMBER($G86),$G86&lt;=IF($S86=MesCiclo,InicioCiclo,$S86+MOD(2-WEEKDAY($S86),7))+13),1,IF(ISNUMBER($J86),$J86,$Y86)))</f>
        <v/>
      </c>
      <c r="AA86" s="62">
        <f>IF($V86="","",IF(AND(ISNUMBER($G86),$G86&lt;=IF($S86=MesCiclo,InicioCiclo,$S86+MOD(2-WEEKDAY($S86),7))+20),1,IF(ISNUMBER($K86),$K86,$Z86)))</f>
        <v/>
      </c>
      <c r="AB86" s="62">
        <f>IF($V86="","",IF(AND(ISNUMBER($G86),$G86&lt;=IF($S86=MesCiclo,InicioCiclo,$S86+MOD(2-WEEKDAY($S86),7))+27),1,IF(ISNUMBER($L86),$L86,$AA86)))</f>
        <v/>
      </c>
      <c r="AC86" s="62">
        <f>IF($V86="","",IF(AND(ISNUMBER($G86),$G86&lt;=IF($S86=MesCiclo,InicioCiclo,$S86+MOD(2-WEEKDAY($S86),7))+6),1,IF(N($W86)&gt;0,AVERAGEIFS($Y$5:$Y$1000,$U$5:$U$1000,ROW(),$V$5:$V$1000,"Sub"),$Y86)))</f>
        <v/>
      </c>
      <c r="AD86" s="62">
        <f>IF($V86="","",IF(AND(ISNUMBER($G86),$G86&lt;=IF($S86=MesCiclo,InicioCiclo,$S86+MOD(2-WEEKDAY($S86),7))+13),1,IF(N($W86)&gt;0,AVERAGEIFS($Z$5:$Z$1000,$U$5:$U$1000,ROW(),$V$5:$V$1000,"Sub"),$Z86)))</f>
        <v/>
      </c>
      <c r="AE86" s="62">
        <f>IF($V86="","",IF(AND(ISNUMBER($G86),$G86&lt;=IF($S86=MesCiclo,InicioCiclo,$S86+MOD(2-WEEKDAY($S86),7))+20),1,IF(N($W86)&gt;0,AVERAGEIFS($AA$5:$AA$1000,$U$5:$U$1000,ROW(),$V$5:$V$1000,"Sub"),$AA86)))</f>
        <v/>
      </c>
      <c r="AF86" s="62">
        <f>IF($V86="","",IF(AND(ISNUMBER($G86),$G86&lt;=IF($S86=MesCiclo,InicioCiclo,$S86+MOD(2-WEEKDAY($S86),7))+27),1,IF(N($W86)&gt;0,AVERAGEIFS($AB$5:$AB$1000,$U$5:$U$1000,ROW(),$V$5:$V$1000,"Sub"),$AB86)))</f>
        <v/>
      </c>
      <c r="AG86" s="62">
        <f>IF($V86&lt;&gt;"Macro","",IF(COUNTIFS($S$5:$S$1000,$S86,$V$5:$V$1000,"Macro",$H$5:$H$1000,"&gt;0")=0,1/COUNTIFS($S$5:$S$1000,$S86,$V$5:$V$1000,"Macro"),IF(AND(ISNUMBER($H86),N($H86)&gt;0),$H86,SUMIFS($H$5:$H$1000,$S$5:$S$1000,$S86,$V$5:$V$1000,"Macro")/COUNTIFS($S$5:$S$1000,$S86,$V$5:$V$1000,"Macro",$H$5:$H$1000,"&gt;0"))/(COUNTIFS($S$5:$S$1000,$S86,$V$5:$V$1000,"Macro")*SUMIFS($H$5:$H$1000,$S$5:$S$1000,$S86,$V$5:$V$1000,"Macro")/COUNTIFS($S$5:$S$1000,$S86,$V$5:$V$1000,"Macro",$H$5:$H$1000,"&gt;0"))))</f>
        <v/>
      </c>
      <c r="AH86" s="62" t="n"/>
      <c r="AI86" s="62" t="n"/>
      <c r="AJ86" s="62" t="n"/>
      <c r="AK86" s="62" t="n"/>
      <c r="AL86" s="62">
        <f>IF(LEFT($C86,11)="[Jefatura] ",IFERROR(MATCH("Riesgo Operacional|"&amp;MID($C86,12,500),rDname_ADM,0),0),"")</f>
        <v/>
      </c>
      <c r="AM86" s="62">
        <f>IF(N($AL86)&gt;0,INDEX(rIni_ADM,$AL86),IF(ISNUMBER($E86),$E86,""))</f>
        <v/>
      </c>
      <c r="AN86" s="62">
        <f>IF(N($AL86)&gt;0,INDEX(rLim_ADM,$AL86),IF(ISNUMBER($F86),$F86,""))</f>
        <v/>
      </c>
    </row>
    <row r="87">
      <c r="A87" s="56">
        <f>IF(NOT((COUNTA($B87:$D87)+COUNTA($G87:$L87)+COUNTA($Q87))&gt;0),"",IF($V87="Macro",COUNTIFS($V$5:$V87,"Macro",$S$5:$S87,$S87),IF(N($U87)=0,"?",COUNTIFS(INDEX($V$5:$V$1000,1):INDEX($V$5:$V$1000,$U87-4),"Macro",INDEX($S$5:$S$1000,1):INDEX($S$5:$S$1000,$U87-4),INDEX($S$5:$S$1000,$U87-4))&amp;"."&amp;COUNTIFS($U$5:$U87,$U87,$V$5:$V87,"Sub"))))</f>
        <v/>
      </c>
      <c r="B87" s="57" t="n"/>
      <c r="C87" s="58" t="n"/>
      <c r="D87" s="58" t="n"/>
      <c r="E87" s="59">
        <f>IF(N($AL87)&gt;0,INDEX(rIni_ADM,$AL87),"")</f>
        <v/>
      </c>
      <c r="F87" s="59">
        <f>IF(N($AL87)&gt;0,INDEX(rLim_ADM,$AL87),"")</f>
        <v/>
      </c>
      <c r="G87" s="59" t="n"/>
      <c r="H87" s="60" t="n"/>
      <c r="I87" s="60" t="n"/>
      <c r="J87" s="60" t="n"/>
      <c r="K87" s="60" t="n"/>
      <c r="L87" s="60" t="n"/>
      <c r="M87" s="61">
        <f>IF(NOT((COUNTA($B87:$D87)+COUNTA($G87:$L87)+COUNTA($Q87))&gt;0),"",IF($V87="Sub",IFERROR($X87/INDEX($W$5:$W$1000,$U87-4),""),IF(ISNUMBER($G87),1,IF(N($W87)&gt;0,AVERAGEIFS($X$5:$X$1000,$U$5:$U$1000,ROW(),$V$5:$V$1000,"Sub"),$X87))))</f>
        <v/>
      </c>
      <c r="N87" s="56">
        <f>IF(OR($M87="",$V87="Sub"),"",IF($M87&gt;=1,"Completado",IF($M87&gt;0,"En curso","Pendiente")))</f>
        <v/>
      </c>
      <c r="O87" s="56">
        <f>IF(OR(NOT((COUNTA($B87:$D87)+COUNTA($G87:$L87)+COUNTA($Q87))&gt;0),$V87="Sub"),"",IF(ISNUMBER($G87),IF(AND(ISNUMBER($AN87),$G87&gt;$AN87),"Cumplida con "&amp;($G87-$AN87)&amp;IF($G87-$AN87=1," día"," días")&amp;" de retraso","Cumplida"),IF(N($M87)&gt;=1,"Cumplida",IF(NOT(ISNUMBER($AN87)),"Sin fecha límite",IF($AN87&lt;FechaRef,"Vencida hace "&amp;(FechaRef-$AN87)&amp;IF(FechaRef-$AN87=1," día"," días"),IF($AN87=FechaRef,"Vence hoy",IF($AN87-FechaRef&lt;=DiasAlerta,"Vence en "&amp;($AN87-FechaRef)&amp;IF($AN87-FechaRef=1," día"," días"),"En plazo")))))))</f>
        <v/>
      </c>
      <c r="P87" s="62" t="n"/>
      <c r="Q87" s="58" t="n"/>
      <c r="R87" s="63">
        <f>IF(NOT((COUNTA($B87:$D87)+COUNTA($G87:$L87)+COUNTA($Q87))&gt;0),"",IF((IF($C87="","Falta el nombre de la actividad"&amp;" · ","")&amp;IF(AND($V87="Sub",N($U87)=0),"Subactividad sin macroactividad arriba"&amp;" · ","")&amp;IF($AM87="","Sin fecha de inicio"&amp;" · ","")&amp;IF($AN87="","Sin fecha límite"&amp;" · ","")&amp;IF(AND(LEFT($C87,11)="[Jefatura] ",N($AL87)=0),"No se encuentra en la hoja de la jefatura (elíjala de nuevo en la lista)"&amp;" · ","")&amp;IF(OR(AND($E87&lt;&gt;"",NOT(ISNUMBER($E87))),AND($F87&lt;&gt;"",NOT(ISNUMBER($F87))),AND($G87&lt;&gt;"",NOT(ISNUMBER($G87)))),"Fecha no válida"&amp;" · ","")&amp;IF(AND(ISNUMBER($AM87),ISNUMBER($AN87),$AM87&gt;$AN87),"Inicio posterior a fecha límite"&amp;" · ","")&amp;IF(AND($V87="Macro",$H87&lt;&gt;"",OR(NOT(ISNUMBER($H87)),$H87&lt;0,$H87&gt;1)),"Peso fuera de rango"&amp;" · ","")&amp;IF(AND($V87="Sub",$H87&lt;&gt;""),"Las subactividades no llevan peso (valen igual dentro de su macroactividad)"&amp;" · ","")&amp;IF(AND(N($W87)&gt;0,COUNT($I87:$L87)&gt;0),"Con subactividades: deje vacías las semanas (se calculan solas)"&amp;" · ","")&amp;IF((COUNTIF($I87:$L87,"&gt;1")+COUNTIF($I87:$L87,"&lt;0")+COUNTA($I87:$L87)-COUNT($I87:$L87))&gt;0,"Avance fuera de rango 0-100%"&amp;" · ","")&amp;IF(OR(AND($J87&lt;&gt;"",$J87&lt;$I87),AND($K87&lt;&gt;"",$K87&lt;MAX($I87:$J87)),AND($L87&lt;&gt;"",$L87&lt;MAX($I87:$K87))),"Avance semanal decreciente"&amp;" · ","")&amp;IF(AND(ISNUMBER($AN87),$AN87&lt;FechaRef,IF($V87="Sub",N($X87),N($M87))&lt;1),"Vencida"&amp;" · ","")&amp;IF(AND(ObsObligatoria="Sí",ISNUMBER($AN87),$AN87&lt;FechaRef,IF($V87="Sub",N($X87),N($M87))&lt;1,$Q87=""),"Vencida sin observación"&amp;" · ",""))="","✔ OK","⚠ "&amp;LEFT(IF($C87="","Falta el nombre de la actividad"&amp;" · ","")&amp;IF(AND($V87="Sub",N($U87)=0),"Subactividad sin macroactividad arriba"&amp;" · ","")&amp;IF($AM87="","Sin fecha de inicio"&amp;" · ","")&amp;IF($AN87="","Sin fecha límite"&amp;" · ","")&amp;IF(AND(LEFT($C87,11)="[Jefatura] ",N($AL87)=0),"No se encuentra en la hoja de la jefatura (elíjala de nuevo en la lista)"&amp;" · ","")&amp;IF(OR(AND($E87&lt;&gt;"",NOT(ISNUMBER($E87))),AND($F87&lt;&gt;"",NOT(ISNUMBER($F87))),AND($G87&lt;&gt;"",NOT(ISNUMBER($G87)))),"Fecha no válida"&amp;" · ","")&amp;IF(AND(ISNUMBER($AM87),ISNUMBER($AN87),$AM87&gt;$AN87),"Inicio posterior a fecha límite"&amp;" · ","")&amp;IF(AND($V87="Macro",$H87&lt;&gt;"",OR(NOT(ISNUMBER($H87)),$H87&lt;0,$H87&gt;1)),"Peso fuera de rango"&amp;" · ","")&amp;IF(AND($V87="Sub",$H87&lt;&gt;""),"Las subactividades no llevan peso (valen igual dentro de su macroactividad)"&amp;" · ","")&amp;IF(AND(N($W87)&gt;0,COUNT($I87:$L87)&gt;0),"Con subactividades: deje vacías las semanas (se calculan solas)"&amp;" · ","")&amp;IF((COUNTIF($I87:$L87,"&gt;1")+COUNTIF($I87:$L87,"&lt;0")+COUNTA($I87:$L87)-COUNT($I87:$L87))&gt;0,"Avance fuera de rango 0-100%"&amp;" · ","")&amp;IF(OR(AND($J87&lt;&gt;"",$J87&lt;$I87),AND($K87&lt;&gt;"",$K87&lt;MAX($I87:$J87)),AND($L87&lt;&gt;"",$L87&lt;MAX($I87:$K87))),"Avance semanal decreciente"&amp;" · ","")&amp;IF(AND(ISNUMBER($AN87),$AN87&lt;FechaRef,IF($V87="Sub",N($X87),N($M87))&lt;1),"Vencida"&amp;" · ","")&amp;IF(AND(ObsObligatoria="Sí",ISNUMBER($AN87),$AN87&lt;FechaRef,IF($V87="Sub",N($X87),N($M87))&lt;1,$Q87=""),"Vencida sin observación"&amp;" · ",""),LEN(IF($C87="","Falta el nombre de la actividad"&amp;" · ","")&amp;IF(AND($V87="Sub",N($U87)=0),"Subactividad sin macroactividad arriba"&amp;" · ","")&amp;IF($AM87="","Sin fecha de inicio"&amp;" · ","")&amp;IF($AN87="","Sin fecha límite"&amp;" · ","")&amp;IF(AND(LEFT($C87,11)="[Jefatura] ",N($AL87)=0),"No se encuentra en la hoja de la jefatura (elíjala de nuevo en la lista)"&amp;" · ","")&amp;IF(OR(AND($E87&lt;&gt;"",NOT(ISNUMBER($E87))),AND($F87&lt;&gt;"",NOT(ISNUMBER($F87))),AND($G87&lt;&gt;"",NOT(ISNUMBER($G87)))),"Fecha no válida"&amp;" · ","")&amp;IF(AND(ISNUMBER($AM87),ISNUMBER($AN87),$AM87&gt;$AN87),"Inicio posterior a fecha límite"&amp;" · ","")&amp;IF(AND($V87="Macro",$H87&lt;&gt;"",OR(NOT(ISNUMBER($H87)),$H87&lt;0,$H87&gt;1)),"Peso fuera de rango"&amp;" · ","")&amp;IF(AND($V87="Sub",$H87&lt;&gt;""),"Las subactividades no llevan peso (valen igual dentro de su macroactividad)"&amp;" · ","")&amp;IF(AND(N($W87)&gt;0,COUNT($I87:$L87)&gt;0),"Con subactividades: deje vacías las semanas (se calculan solas)"&amp;" · ","")&amp;IF((COUNTIF($I87:$L87,"&gt;1")+COUNTIF($I87:$L87,"&lt;0")+COUNTA($I87:$L87)-COUNT($I87:$L87))&gt;0,"Avance fuera de rango 0-100%"&amp;" · ","")&amp;IF(OR(AND($J87&lt;&gt;"",$J87&lt;$I87),AND($K87&lt;&gt;"",$K87&lt;MAX($I87:$J87)),AND($L87&lt;&gt;"",$L87&lt;MAX($I87:$K87))),"Avance semanal decreciente"&amp;" · ","")&amp;IF(AND(ISNUMBER($AN87),$AN87&lt;FechaRef,IF($V87="Sub",N($X87),N($M87))&lt;1),"Vencida"&amp;" · ","")&amp;IF(AND(ObsObligatoria="Sí",ISNUMBER($AN87),$AN87&lt;FechaRef,IF($V87="Sub",N($X87),N($M87))&lt;1,$Q87=""),"Vencida sin observación"&amp;" · ",""))-3)))</f>
        <v/>
      </c>
      <c r="S87" s="64">
        <f>IF(NOT((COUNTA($B87:$D87)+COUNTA($G87:$L87)+COUNTA($Q87))&gt;0),"",IF(AND($V87="Sub",N($U87)&gt;0),IF(ISNUMBER(INDEX($AM$5:$AM$1000,$U87-4)),DATE(YEAR(INDEX($AM$5:$AM$1000,$U87-4)),MONTH(INDEX($AM$5:$AM$1000,$U87-4)),1),IF(ISNUMBER(INDEX($AN$5:$AN$1000,$U87-4)),DATE(YEAR(INDEX($AN$5:$AN$1000,$U87-4)),MONTH(INDEX($AN$5:$AN$1000,$U87-4)),1),MesCiclo)),IF(ISNUMBER($AM87),DATE(YEAR($AM87),MONTH($AM87),1),IF(ISNUMBER($AN87),DATE(YEAR($AN87),MONTH($AN87),1),MesCiclo))))</f>
        <v/>
      </c>
      <c r="T87" s="62">
        <f>IF(OR($S87="",$S87&lt;&gt;MesCiclo,$V87&lt;&gt;"Macro"),"",COUNTIFS($S$5:$S87,MesCiclo,$V$5:$V87,"Macro"))</f>
        <v/>
      </c>
      <c r="U87" s="62">
        <f>IF($V87="","",IF($V87="Macro",ROW(),IFERROR(LOOKUP(2,1/($V$5:$V87="Macro"),ROW($V$5:$V87)),0)))</f>
        <v/>
      </c>
      <c r="V87" s="62">
        <f>IF(NOT((COUNTA($B87:$D87)+COUNTA($G87:$L87)+COUNTA($Q87))&gt;0),"",IF($B87="Subactividad","Sub","Macro"))</f>
        <v/>
      </c>
      <c r="W87" s="62">
        <f>IF($V87="Macro",COUNTIFS($U$5:$U$1000,ROW(),$V$5:$V$1000,"Sub"),"")</f>
        <v/>
      </c>
      <c r="X87" s="62">
        <f>IF($V87="","",IF(ISNUMBER($G87),1,IFERROR(LOOKUP(2,1/($I87:$L87&lt;&gt;""),$I87:$L87),0)))</f>
        <v/>
      </c>
      <c r="Y87" s="62">
        <f>IF($V87="","",IF(AND(ISNUMBER($G87),$G87&lt;=IF($S87=MesCiclo,InicioCiclo,$S87+MOD(2-WEEKDAY($S87),7))+6),1,IF(ISNUMBER($I87),$I87,0)))</f>
        <v/>
      </c>
      <c r="Z87" s="62">
        <f>IF($V87="","",IF(AND(ISNUMBER($G87),$G87&lt;=IF($S87=MesCiclo,InicioCiclo,$S87+MOD(2-WEEKDAY($S87),7))+13),1,IF(ISNUMBER($J87),$J87,$Y87)))</f>
        <v/>
      </c>
      <c r="AA87" s="62">
        <f>IF($V87="","",IF(AND(ISNUMBER($G87),$G87&lt;=IF($S87=MesCiclo,InicioCiclo,$S87+MOD(2-WEEKDAY($S87),7))+20),1,IF(ISNUMBER($K87),$K87,$Z87)))</f>
        <v/>
      </c>
      <c r="AB87" s="62">
        <f>IF($V87="","",IF(AND(ISNUMBER($G87),$G87&lt;=IF($S87=MesCiclo,InicioCiclo,$S87+MOD(2-WEEKDAY($S87),7))+27),1,IF(ISNUMBER($L87),$L87,$AA87)))</f>
        <v/>
      </c>
      <c r="AC87" s="62">
        <f>IF($V87="","",IF(AND(ISNUMBER($G87),$G87&lt;=IF($S87=MesCiclo,InicioCiclo,$S87+MOD(2-WEEKDAY($S87),7))+6),1,IF(N($W87)&gt;0,AVERAGEIFS($Y$5:$Y$1000,$U$5:$U$1000,ROW(),$V$5:$V$1000,"Sub"),$Y87)))</f>
        <v/>
      </c>
      <c r="AD87" s="62">
        <f>IF($V87="","",IF(AND(ISNUMBER($G87),$G87&lt;=IF($S87=MesCiclo,InicioCiclo,$S87+MOD(2-WEEKDAY($S87),7))+13),1,IF(N($W87)&gt;0,AVERAGEIFS($Z$5:$Z$1000,$U$5:$U$1000,ROW(),$V$5:$V$1000,"Sub"),$Z87)))</f>
        <v/>
      </c>
      <c r="AE87" s="62">
        <f>IF($V87="","",IF(AND(ISNUMBER($G87),$G87&lt;=IF($S87=MesCiclo,InicioCiclo,$S87+MOD(2-WEEKDAY($S87),7))+20),1,IF(N($W87)&gt;0,AVERAGEIFS($AA$5:$AA$1000,$U$5:$U$1000,ROW(),$V$5:$V$1000,"Sub"),$AA87)))</f>
        <v/>
      </c>
      <c r="AF87" s="62">
        <f>IF($V87="","",IF(AND(ISNUMBER($G87),$G87&lt;=IF($S87=MesCiclo,InicioCiclo,$S87+MOD(2-WEEKDAY($S87),7))+27),1,IF(N($W87)&gt;0,AVERAGEIFS($AB$5:$AB$1000,$U$5:$U$1000,ROW(),$V$5:$V$1000,"Sub"),$AB87)))</f>
        <v/>
      </c>
      <c r="AG87" s="62">
        <f>IF($V87&lt;&gt;"Macro","",IF(COUNTIFS($S$5:$S$1000,$S87,$V$5:$V$1000,"Macro",$H$5:$H$1000,"&gt;0")=0,1/COUNTIFS($S$5:$S$1000,$S87,$V$5:$V$1000,"Macro"),IF(AND(ISNUMBER($H87),N($H87)&gt;0),$H87,SUMIFS($H$5:$H$1000,$S$5:$S$1000,$S87,$V$5:$V$1000,"Macro")/COUNTIFS($S$5:$S$1000,$S87,$V$5:$V$1000,"Macro",$H$5:$H$1000,"&gt;0"))/(COUNTIFS($S$5:$S$1000,$S87,$V$5:$V$1000,"Macro")*SUMIFS($H$5:$H$1000,$S$5:$S$1000,$S87,$V$5:$V$1000,"Macro")/COUNTIFS($S$5:$S$1000,$S87,$V$5:$V$1000,"Macro",$H$5:$H$1000,"&gt;0"))))</f>
        <v/>
      </c>
      <c r="AH87" s="62" t="n"/>
      <c r="AI87" s="62" t="n"/>
      <c r="AJ87" s="62" t="n"/>
      <c r="AK87" s="62" t="n"/>
      <c r="AL87" s="62">
        <f>IF(LEFT($C87,11)="[Jefatura] ",IFERROR(MATCH("Riesgo Operacional|"&amp;MID($C87,12,500),rDname_ADM,0),0),"")</f>
        <v/>
      </c>
      <c r="AM87" s="62">
        <f>IF(N($AL87)&gt;0,INDEX(rIni_ADM,$AL87),IF(ISNUMBER($E87),$E87,""))</f>
        <v/>
      </c>
      <c r="AN87" s="62">
        <f>IF(N($AL87)&gt;0,INDEX(rLim_ADM,$AL87),IF(ISNUMBER($F87),$F87,""))</f>
        <v/>
      </c>
    </row>
    <row r="88">
      <c r="A88" s="56">
        <f>IF(NOT((COUNTA($B88:$D88)+COUNTA($G88:$L88)+COUNTA($Q88))&gt;0),"",IF($V88="Macro",COUNTIFS($V$5:$V88,"Macro",$S$5:$S88,$S88),IF(N($U88)=0,"?",COUNTIFS(INDEX($V$5:$V$1000,1):INDEX($V$5:$V$1000,$U88-4),"Macro",INDEX($S$5:$S$1000,1):INDEX($S$5:$S$1000,$U88-4),INDEX($S$5:$S$1000,$U88-4))&amp;"."&amp;COUNTIFS($U$5:$U88,$U88,$V$5:$V88,"Sub"))))</f>
        <v/>
      </c>
      <c r="B88" s="57" t="n"/>
      <c r="C88" s="58" t="n"/>
      <c r="D88" s="58" t="n"/>
      <c r="E88" s="59">
        <f>IF(N($AL88)&gt;0,INDEX(rIni_ADM,$AL88),"")</f>
        <v/>
      </c>
      <c r="F88" s="59">
        <f>IF(N($AL88)&gt;0,INDEX(rLim_ADM,$AL88),"")</f>
        <v/>
      </c>
      <c r="G88" s="59" t="n"/>
      <c r="H88" s="60" t="n"/>
      <c r="I88" s="60" t="n"/>
      <c r="J88" s="60" t="n"/>
      <c r="K88" s="60" t="n"/>
      <c r="L88" s="60" t="n"/>
      <c r="M88" s="61">
        <f>IF(NOT((COUNTA($B88:$D88)+COUNTA($G88:$L88)+COUNTA($Q88))&gt;0),"",IF($V88="Sub",IFERROR($X88/INDEX($W$5:$W$1000,$U88-4),""),IF(ISNUMBER($G88),1,IF(N($W88)&gt;0,AVERAGEIFS($X$5:$X$1000,$U$5:$U$1000,ROW(),$V$5:$V$1000,"Sub"),$X88))))</f>
        <v/>
      </c>
      <c r="N88" s="56">
        <f>IF(OR($M88="",$V88="Sub"),"",IF($M88&gt;=1,"Completado",IF($M88&gt;0,"En curso","Pendiente")))</f>
        <v/>
      </c>
      <c r="O88" s="56">
        <f>IF(OR(NOT((COUNTA($B88:$D88)+COUNTA($G88:$L88)+COUNTA($Q88))&gt;0),$V88="Sub"),"",IF(ISNUMBER($G88),IF(AND(ISNUMBER($AN88),$G88&gt;$AN88),"Cumplida con "&amp;($G88-$AN88)&amp;IF($G88-$AN88=1," día"," días")&amp;" de retraso","Cumplida"),IF(N($M88)&gt;=1,"Cumplida",IF(NOT(ISNUMBER($AN88)),"Sin fecha límite",IF($AN88&lt;FechaRef,"Vencida hace "&amp;(FechaRef-$AN88)&amp;IF(FechaRef-$AN88=1," día"," días"),IF($AN88=FechaRef,"Vence hoy",IF($AN88-FechaRef&lt;=DiasAlerta,"Vence en "&amp;($AN88-FechaRef)&amp;IF($AN88-FechaRef=1," día"," días"),"En plazo")))))))</f>
        <v/>
      </c>
      <c r="P88" s="62" t="n"/>
      <c r="Q88" s="58" t="n"/>
      <c r="R88" s="63">
        <f>IF(NOT((COUNTA($B88:$D88)+COUNTA($G88:$L88)+COUNTA($Q88))&gt;0),"",IF((IF($C88="","Falta el nombre de la actividad"&amp;" · ","")&amp;IF(AND($V88="Sub",N($U88)=0),"Subactividad sin macroactividad arriba"&amp;" · ","")&amp;IF($AM88="","Sin fecha de inicio"&amp;" · ","")&amp;IF($AN88="","Sin fecha límite"&amp;" · ","")&amp;IF(AND(LEFT($C88,11)="[Jefatura] ",N($AL88)=0),"No se encuentra en la hoja de la jefatura (elíjala de nuevo en la lista)"&amp;" · ","")&amp;IF(OR(AND($E88&lt;&gt;"",NOT(ISNUMBER($E88))),AND($F88&lt;&gt;"",NOT(ISNUMBER($F88))),AND($G88&lt;&gt;"",NOT(ISNUMBER($G88)))),"Fecha no válida"&amp;" · ","")&amp;IF(AND(ISNUMBER($AM88),ISNUMBER($AN88),$AM88&gt;$AN88),"Inicio posterior a fecha límite"&amp;" · ","")&amp;IF(AND($V88="Macro",$H88&lt;&gt;"",OR(NOT(ISNUMBER($H88)),$H88&lt;0,$H88&gt;1)),"Peso fuera de rango"&amp;" · ","")&amp;IF(AND($V88="Sub",$H88&lt;&gt;""),"Las subactividades no llevan peso (valen igual dentro de su macroactividad)"&amp;" · ","")&amp;IF(AND(N($W88)&gt;0,COUNT($I88:$L88)&gt;0),"Con subactividades: deje vacías las semanas (se calculan solas)"&amp;" · ","")&amp;IF((COUNTIF($I88:$L88,"&gt;1")+COUNTIF($I88:$L88,"&lt;0")+COUNTA($I88:$L88)-COUNT($I88:$L88))&gt;0,"Avance fuera de rango 0-100%"&amp;" · ","")&amp;IF(OR(AND($J88&lt;&gt;"",$J88&lt;$I88),AND($K88&lt;&gt;"",$K88&lt;MAX($I88:$J88)),AND($L88&lt;&gt;"",$L88&lt;MAX($I88:$K88))),"Avance semanal decreciente"&amp;" · ","")&amp;IF(AND(ISNUMBER($AN88),$AN88&lt;FechaRef,IF($V88="Sub",N($X88),N($M88))&lt;1),"Vencida"&amp;" · ","")&amp;IF(AND(ObsObligatoria="Sí",ISNUMBER($AN88),$AN88&lt;FechaRef,IF($V88="Sub",N($X88),N($M88))&lt;1,$Q88=""),"Vencida sin observación"&amp;" · ",""))="","✔ OK","⚠ "&amp;LEFT(IF($C88="","Falta el nombre de la actividad"&amp;" · ","")&amp;IF(AND($V88="Sub",N($U88)=0),"Subactividad sin macroactividad arriba"&amp;" · ","")&amp;IF($AM88="","Sin fecha de inicio"&amp;" · ","")&amp;IF($AN88="","Sin fecha límite"&amp;" · ","")&amp;IF(AND(LEFT($C88,11)="[Jefatura] ",N($AL88)=0),"No se encuentra en la hoja de la jefatura (elíjala de nuevo en la lista)"&amp;" · ","")&amp;IF(OR(AND($E88&lt;&gt;"",NOT(ISNUMBER($E88))),AND($F88&lt;&gt;"",NOT(ISNUMBER($F88))),AND($G88&lt;&gt;"",NOT(ISNUMBER($G88)))),"Fecha no válida"&amp;" · ","")&amp;IF(AND(ISNUMBER($AM88),ISNUMBER($AN88),$AM88&gt;$AN88),"Inicio posterior a fecha límite"&amp;" · ","")&amp;IF(AND($V88="Macro",$H88&lt;&gt;"",OR(NOT(ISNUMBER($H88)),$H88&lt;0,$H88&gt;1)),"Peso fuera de rango"&amp;" · ","")&amp;IF(AND($V88="Sub",$H88&lt;&gt;""),"Las subactividades no llevan peso (valen igual dentro de su macroactividad)"&amp;" · ","")&amp;IF(AND(N($W88)&gt;0,COUNT($I88:$L88)&gt;0),"Con subactividades: deje vacías las semanas (se calculan solas)"&amp;" · ","")&amp;IF((COUNTIF($I88:$L88,"&gt;1")+COUNTIF($I88:$L88,"&lt;0")+COUNTA($I88:$L88)-COUNT($I88:$L88))&gt;0,"Avance fuera de rango 0-100%"&amp;" · ","")&amp;IF(OR(AND($J88&lt;&gt;"",$J88&lt;$I88),AND($K88&lt;&gt;"",$K88&lt;MAX($I88:$J88)),AND($L88&lt;&gt;"",$L88&lt;MAX($I88:$K88))),"Avance semanal decreciente"&amp;" · ","")&amp;IF(AND(ISNUMBER($AN88),$AN88&lt;FechaRef,IF($V88="Sub",N($X88),N($M88))&lt;1),"Vencida"&amp;" · ","")&amp;IF(AND(ObsObligatoria="Sí",ISNUMBER($AN88),$AN88&lt;FechaRef,IF($V88="Sub",N($X88),N($M88))&lt;1,$Q88=""),"Vencida sin observación"&amp;" · ",""),LEN(IF($C88="","Falta el nombre de la actividad"&amp;" · ","")&amp;IF(AND($V88="Sub",N($U88)=0),"Subactividad sin macroactividad arriba"&amp;" · ","")&amp;IF($AM88="","Sin fecha de inicio"&amp;" · ","")&amp;IF($AN88="","Sin fecha límite"&amp;" · ","")&amp;IF(AND(LEFT($C88,11)="[Jefatura] ",N($AL88)=0),"No se encuentra en la hoja de la jefatura (elíjala de nuevo en la lista)"&amp;" · ","")&amp;IF(OR(AND($E88&lt;&gt;"",NOT(ISNUMBER($E88))),AND($F88&lt;&gt;"",NOT(ISNUMBER($F88))),AND($G88&lt;&gt;"",NOT(ISNUMBER($G88)))),"Fecha no válida"&amp;" · ","")&amp;IF(AND(ISNUMBER($AM88),ISNUMBER($AN88),$AM88&gt;$AN88),"Inicio posterior a fecha límite"&amp;" · ","")&amp;IF(AND($V88="Macro",$H88&lt;&gt;"",OR(NOT(ISNUMBER($H88)),$H88&lt;0,$H88&gt;1)),"Peso fuera de rango"&amp;" · ","")&amp;IF(AND($V88="Sub",$H88&lt;&gt;""),"Las subactividades no llevan peso (valen igual dentro de su macroactividad)"&amp;" · ","")&amp;IF(AND(N($W88)&gt;0,COUNT($I88:$L88)&gt;0),"Con subactividades: deje vacías las semanas (se calculan solas)"&amp;" · ","")&amp;IF((COUNTIF($I88:$L88,"&gt;1")+COUNTIF($I88:$L88,"&lt;0")+COUNTA($I88:$L88)-COUNT($I88:$L88))&gt;0,"Avance fuera de rango 0-100%"&amp;" · ","")&amp;IF(OR(AND($J88&lt;&gt;"",$J88&lt;$I88),AND($K88&lt;&gt;"",$K88&lt;MAX($I88:$J88)),AND($L88&lt;&gt;"",$L88&lt;MAX($I88:$K88))),"Avance semanal decreciente"&amp;" · ","")&amp;IF(AND(ISNUMBER($AN88),$AN88&lt;FechaRef,IF($V88="Sub",N($X88),N($M88))&lt;1),"Vencida"&amp;" · ","")&amp;IF(AND(ObsObligatoria="Sí",ISNUMBER($AN88),$AN88&lt;FechaRef,IF($V88="Sub",N($X88),N($M88))&lt;1,$Q88=""),"Vencida sin observación"&amp;" · ",""))-3)))</f>
        <v/>
      </c>
      <c r="S88" s="64">
        <f>IF(NOT((COUNTA($B88:$D88)+COUNTA($G88:$L88)+COUNTA($Q88))&gt;0),"",IF(AND($V88="Sub",N($U88)&gt;0),IF(ISNUMBER(INDEX($AM$5:$AM$1000,$U88-4)),DATE(YEAR(INDEX($AM$5:$AM$1000,$U88-4)),MONTH(INDEX($AM$5:$AM$1000,$U88-4)),1),IF(ISNUMBER(INDEX($AN$5:$AN$1000,$U88-4)),DATE(YEAR(INDEX($AN$5:$AN$1000,$U88-4)),MONTH(INDEX($AN$5:$AN$1000,$U88-4)),1),MesCiclo)),IF(ISNUMBER($AM88),DATE(YEAR($AM88),MONTH($AM88),1),IF(ISNUMBER($AN88),DATE(YEAR($AN88),MONTH($AN88),1),MesCiclo))))</f>
        <v/>
      </c>
      <c r="T88" s="62">
        <f>IF(OR($S88="",$S88&lt;&gt;MesCiclo,$V88&lt;&gt;"Macro"),"",COUNTIFS($S$5:$S88,MesCiclo,$V$5:$V88,"Macro"))</f>
        <v/>
      </c>
      <c r="U88" s="62">
        <f>IF($V88="","",IF($V88="Macro",ROW(),IFERROR(LOOKUP(2,1/($V$5:$V88="Macro"),ROW($V$5:$V88)),0)))</f>
        <v/>
      </c>
      <c r="V88" s="62">
        <f>IF(NOT((COUNTA($B88:$D88)+COUNTA($G88:$L88)+COUNTA($Q88))&gt;0),"",IF($B88="Subactividad","Sub","Macro"))</f>
        <v/>
      </c>
      <c r="W88" s="62">
        <f>IF($V88="Macro",COUNTIFS($U$5:$U$1000,ROW(),$V$5:$V$1000,"Sub"),"")</f>
        <v/>
      </c>
      <c r="X88" s="62">
        <f>IF($V88="","",IF(ISNUMBER($G88),1,IFERROR(LOOKUP(2,1/($I88:$L88&lt;&gt;""),$I88:$L88),0)))</f>
        <v/>
      </c>
      <c r="Y88" s="62">
        <f>IF($V88="","",IF(AND(ISNUMBER($G88),$G88&lt;=IF($S88=MesCiclo,InicioCiclo,$S88+MOD(2-WEEKDAY($S88),7))+6),1,IF(ISNUMBER($I88),$I88,0)))</f>
        <v/>
      </c>
      <c r="Z88" s="62">
        <f>IF($V88="","",IF(AND(ISNUMBER($G88),$G88&lt;=IF($S88=MesCiclo,InicioCiclo,$S88+MOD(2-WEEKDAY($S88),7))+13),1,IF(ISNUMBER($J88),$J88,$Y88)))</f>
        <v/>
      </c>
      <c r="AA88" s="62">
        <f>IF($V88="","",IF(AND(ISNUMBER($G88),$G88&lt;=IF($S88=MesCiclo,InicioCiclo,$S88+MOD(2-WEEKDAY($S88),7))+20),1,IF(ISNUMBER($K88),$K88,$Z88)))</f>
        <v/>
      </c>
      <c r="AB88" s="62">
        <f>IF($V88="","",IF(AND(ISNUMBER($G88),$G88&lt;=IF($S88=MesCiclo,InicioCiclo,$S88+MOD(2-WEEKDAY($S88),7))+27),1,IF(ISNUMBER($L88),$L88,$AA88)))</f>
        <v/>
      </c>
      <c r="AC88" s="62">
        <f>IF($V88="","",IF(AND(ISNUMBER($G88),$G88&lt;=IF($S88=MesCiclo,InicioCiclo,$S88+MOD(2-WEEKDAY($S88),7))+6),1,IF(N($W88)&gt;0,AVERAGEIFS($Y$5:$Y$1000,$U$5:$U$1000,ROW(),$V$5:$V$1000,"Sub"),$Y88)))</f>
        <v/>
      </c>
      <c r="AD88" s="62">
        <f>IF($V88="","",IF(AND(ISNUMBER($G88),$G88&lt;=IF($S88=MesCiclo,InicioCiclo,$S88+MOD(2-WEEKDAY($S88),7))+13),1,IF(N($W88)&gt;0,AVERAGEIFS($Z$5:$Z$1000,$U$5:$U$1000,ROW(),$V$5:$V$1000,"Sub"),$Z88)))</f>
        <v/>
      </c>
      <c r="AE88" s="62">
        <f>IF($V88="","",IF(AND(ISNUMBER($G88),$G88&lt;=IF($S88=MesCiclo,InicioCiclo,$S88+MOD(2-WEEKDAY($S88),7))+20),1,IF(N($W88)&gt;0,AVERAGEIFS($AA$5:$AA$1000,$U$5:$U$1000,ROW(),$V$5:$V$1000,"Sub"),$AA88)))</f>
        <v/>
      </c>
      <c r="AF88" s="62">
        <f>IF($V88="","",IF(AND(ISNUMBER($G88),$G88&lt;=IF($S88=MesCiclo,InicioCiclo,$S88+MOD(2-WEEKDAY($S88),7))+27),1,IF(N($W88)&gt;0,AVERAGEIFS($AB$5:$AB$1000,$U$5:$U$1000,ROW(),$V$5:$V$1000,"Sub"),$AB88)))</f>
        <v/>
      </c>
      <c r="AG88" s="62">
        <f>IF($V88&lt;&gt;"Macro","",IF(COUNTIFS($S$5:$S$1000,$S88,$V$5:$V$1000,"Macro",$H$5:$H$1000,"&gt;0")=0,1/COUNTIFS($S$5:$S$1000,$S88,$V$5:$V$1000,"Macro"),IF(AND(ISNUMBER($H88),N($H88)&gt;0),$H88,SUMIFS($H$5:$H$1000,$S$5:$S$1000,$S88,$V$5:$V$1000,"Macro")/COUNTIFS($S$5:$S$1000,$S88,$V$5:$V$1000,"Macro",$H$5:$H$1000,"&gt;0"))/(COUNTIFS($S$5:$S$1000,$S88,$V$5:$V$1000,"Macro")*SUMIFS($H$5:$H$1000,$S$5:$S$1000,$S88,$V$5:$V$1000,"Macro")/COUNTIFS($S$5:$S$1000,$S88,$V$5:$V$1000,"Macro",$H$5:$H$1000,"&gt;0"))))</f>
        <v/>
      </c>
      <c r="AH88" s="62" t="n"/>
      <c r="AI88" s="62" t="n"/>
      <c r="AJ88" s="62" t="n"/>
      <c r="AK88" s="62" t="n"/>
      <c r="AL88" s="62">
        <f>IF(LEFT($C88,11)="[Jefatura] ",IFERROR(MATCH("Riesgo Operacional|"&amp;MID($C88,12,500),rDname_ADM,0),0),"")</f>
        <v/>
      </c>
      <c r="AM88" s="62">
        <f>IF(N($AL88)&gt;0,INDEX(rIni_ADM,$AL88),IF(ISNUMBER($E88),$E88,""))</f>
        <v/>
      </c>
      <c r="AN88" s="62">
        <f>IF(N($AL88)&gt;0,INDEX(rLim_ADM,$AL88),IF(ISNUMBER($F88),$F88,""))</f>
        <v/>
      </c>
    </row>
    <row r="89">
      <c r="A89" s="56">
        <f>IF(NOT((COUNTA($B89:$D89)+COUNTA($G89:$L89)+COUNTA($Q89))&gt;0),"",IF($V89="Macro",COUNTIFS($V$5:$V89,"Macro",$S$5:$S89,$S89),IF(N($U89)=0,"?",COUNTIFS(INDEX($V$5:$V$1000,1):INDEX($V$5:$V$1000,$U89-4),"Macro",INDEX($S$5:$S$1000,1):INDEX($S$5:$S$1000,$U89-4),INDEX($S$5:$S$1000,$U89-4))&amp;"."&amp;COUNTIFS($U$5:$U89,$U89,$V$5:$V89,"Sub"))))</f>
        <v/>
      </c>
      <c r="B89" s="57" t="n"/>
      <c r="C89" s="58" t="n"/>
      <c r="D89" s="58" t="n"/>
      <c r="E89" s="59">
        <f>IF(N($AL89)&gt;0,INDEX(rIni_ADM,$AL89),"")</f>
        <v/>
      </c>
      <c r="F89" s="59">
        <f>IF(N($AL89)&gt;0,INDEX(rLim_ADM,$AL89),"")</f>
        <v/>
      </c>
      <c r="G89" s="59" t="n"/>
      <c r="H89" s="60" t="n"/>
      <c r="I89" s="60" t="n"/>
      <c r="J89" s="60" t="n"/>
      <c r="K89" s="60" t="n"/>
      <c r="L89" s="60" t="n"/>
      <c r="M89" s="61">
        <f>IF(NOT((COUNTA($B89:$D89)+COUNTA($G89:$L89)+COUNTA($Q89))&gt;0),"",IF($V89="Sub",IFERROR($X89/INDEX($W$5:$W$1000,$U89-4),""),IF(ISNUMBER($G89),1,IF(N($W89)&gt;0,AVERAGEIFS($X$5:$X$1000,$U$5:$U$1000,ROW(),$V$5:$V$1000,"Sub"),$X89))))</f>
        <v/>
      </c>
      <c r="N89" s="56">
        <f>IF(OR($M89="",$V89="Sub"),"",IF($M89&gt;=1,"Completado",IF($M89&gt;0,"En curso","Pendiente")))</f>
        <v/>
      </c>
      <c r="O89" s="56">
        <f>IF(OR(NOT((COUNTA($B89:$D89)+COUNTA($G89:$L89)+COUNTA($Q89))&gt;0),$V89="Sub"),"",IF(ISNUMBER($G89),IF(AND(ISNUMBER($AN89),$G89&gt;$AN89),"Cumplida con "&amp;($G89-$AN89)&amp;IF($G89-$AN89=1," día"," días")&amp;" de retraso","Cumplida"),IF(N($M89)&gt;=1,"Cumplida",IF(NOT(ISNUMBER($AN89)),"Sin fecha límite",IF($AN89&lt;FechaRef,"Vencida hace "&amp;(FechaRef-$AN89)&amp;IF(FechaRef-$AN89=1," día"," días"),IF($AN89=FechaRef,"Vence hoy",IF($AN89-FechaRef&lt;=DiasAlerta,"Vence en "&amp;($AN89-FechaRef)&amp;IF($AN89-FechaRef=1," día"," días"),"En plazo")))))))</f>
        <v/>
      </c>
      <c r="P89" s="62" t="n"/>
      <c r="Q89" s="58" t="n"/>
      <c r="R89" s="63">
        <f>IF(NOT((COUNTA($B89:$D89)+COUNTA($G89:$L89)+COUNTA($Q89))&gt;0),"",IF((IF($C89="","Falta el nombre de la actividad"&amp;" · ","")&amp;IF(AND($V89="Sub",N($U89)=0),"Subactividad sin macroactividad arriba"&amp;" · ","")&amp;IF($AM89="","Sin fecha de inicio"&amp;" · ","")&amp;IF($AN89="","Sin fecha límite"&amp;" · ","")&amp;IF(AND(LEFT($C89,11)="[Jefatura] ",N($AL89)=0),"No se encuentra en la hoja de la jefatura (elíjala de nuevo en la lista)"&amp;" · ","")&amp;IF(OR(AND($E89&lt;&gt;"",NOT(ISNUMBER($E89))),AND($F89&lt;&gt;"",NOT(ISNUMBER($F89))),AND($G89&lt;&gt;"",NOT(ISNUMBER($G89)))),"Fecha no válida"&amp;" · ","")&amp;IF(AND(ISNUMBER($AM89),ISNUMBER($AN89),$AM89&gt;$AN89),"Inicio posterior a fecha límite"&amp;" · ","")&amp;IF(AND($V89="Macro",$H89&lt;&gt;"",OR(NOT(ISNUMBER($H89)),$H89&lt;0,$H89&gt;1)),"Peso fuera de rango"&amp;" · ","")&amp;IF(AND($V89="Sub",$H89&lt;&gt;""),"Las subactividades no llevan peso (valen igual dentro de su macroactividad)"&amp;" · ","")&amp;IF(AND(N($W89)&gt;0,COUNT($I89:$L89)&gt;0),"Con subactividades: deje vacías las semanas (se calculan solas)"&amp;" · ","")&amp;IF((COUNTIF($I89:$L89,"&gt;1")+COUNTIF($I89:$L89,"&lt;0")+COUNTA($I89:$L89)-COUNT($I89:$L89))&gt;0,"Avance fuera de rango 0-100%"&amp;" · ","")&amp;IF(OR(AND($J89&lt;&gt;"",$J89&lt;$I89),AND($K89&lt;&gt;"",$K89&lt;MAX($I89:$J89)),AND($L89&lt;&gt;"",$L89&lt;MAX($I89:$K89))),"Avance semanal decreciente"&amp;" · ","")&amp;IF(AND(ISNUMBER($AN89),$AN89&lt;FechaRef,IF($V89="Sub",N($X89),N($M89))&lt;1),"Vencida"&amp;" · ","")&amp;IF(AND(ObsObligatoria="Sí",ISNUMBER($AN89),$AN89&lt;FechaRef,IF($V89="Sub",N($X89),N($M89))&lt;1,$Q89=""),"Vencida sin observación"&amp;" · ",""))="","✔ OK","⚠ "&amp;LEFT(IF($C89="","Falta el nombre de la actividad"&amp;" · ","")&amp;IF(AND($V89="Sub",N($U89)=0),"Subactividad sin macroactividad arriba"&amp;" · ","")&amp;IF($AM89="","Sin fecha de inicio"&amp;" · ","")&amp;IF($AN89="","Sin fecha límite"&amp;" · ","")&amp;IF(AND(LEFT($C89,11)="[Jefatura] ",N($AL89)=0),"No se encuentra en la hoja de la jefatura (elíjala de nuevo en la lista)"&amp;" · ","")&amp;IF(OR(AND($E89&lt;&gt;"",NOT(ISNUMBER($E89))),AND($F89&lt;&gt;"",NOT(ISNUMBER($F89))),AND($G89&lt;&gt;"",NOT(ISNUMBER($G89)))),"Fecha no válida"&amp;" · ","")&amp;IF(AND(ISNUMBER($AM89),ISNUMBER($AN89),$AM89&gt;$AN89),"Inicio posterior a fecha límite"&amp;" · ","")&amp;IF(AND($V89="Macro",$H89&lt;&gt;"",OR(NOT(ISNUMBER($H89)),$H89&lt;0,$H89&gt;1)),"Peso fuera de rango"&amp;" · ","")&amp;IF(AND($V89="Sub",$H89&lt;&gt;""),"Las subactividades no llevan peso (valen igual dentro de su macroactividad)"&amp;" · ","")&amp;IF(AND(N($W89)&gt;0,COUNT($I89:$L89)&gt;0),"Con subactividades: deje vacías las semanas (se calculan solas)"&amp;" · ","")&amp;IF((COUNTIF($I89:$L89,"&gt;1")+COUNTIF($I89:$L89,"&lt;0")+COUNTA($I89:$L89)-COUNT($I89:$L89))&gt;0,"Avance fuera de rango 0-100%"&amp;" · ","")&amp;IF(OR(AND($J89&lt;&gt;"",$J89&lt;$I89),AND($K89&lt;&gt;"",$K89&lt;MAX($I89:$J89)),AND($L89&lt;&gt;"",$L89&lt;MAX($I89:$K89))),"Avance semanal decreciente"&amp;" · ","")&amp;IF(AND(ISNUMBER($AN89),$AN89&lt;FechaRef,IF($V89="Sub",N($X89),N($M89))&lt;1),"Vencida"&amp;" · ","")&amp;IF(AND(ObsObligatoria="Sí",ISNUMBER($AN89),$AN89&lt;FechaRef,IF($V89="Sub",N($X89),N($M89))&lt;1,$Q89=""),"Vencida sin observación"&amp;" · ",""),LEN(IF($C89="","Falta el nombre de la actividad"&amp;" · ","")&amp;IF(AND($V89="Sub",N($U89)=0),"Subactividad sin macroactividad arriba"&amp;" · ","")&amp;IF($AM89="","Sin fecha de inicio"&amp;" · ","")&amp;IF($AN89="","Sin fecha límite"&amp;" · ","")&amp;IF(AND(LEFT($C89,11)="[Jefatura] ",N($AL89)=0),"No se encuentra en la hoja de la jefatura (elíjala de nuevo en la lista)"&amp;" · ","")&amp;IF(OR(AND($E89&lt;&gt;"",NOT(ISNUMBER($E89))),AND($F89&lt;&gt;"",NOT(ISNUMBER($F89))),AND($G89&lt;&gt;"",NOT(ISNUMBER($G89)))),"Fecha no válida"&amp;" · ","")&amp;IF(AND(ISNUMBER($AM89),ISNUMBER($AN89),$AM89&gt;$AN89),"Inicio posterior a fecha límite"&amp;" · ","")&amp;IF(AND($V89="Macro",$H89&lt;&gt;"",OR(NOT(ISNUMBER($H89)),$H89&lt;0,$H89&gt;1)),"Peso fuera de rango"&amp;" · ","")&amp;IF(AND($V89="Sub",$H89&lt;&gt;""),"Las subactividades no llevan peso (valen igual dentro de su macroactividad)"&amp;" · ","")&amp;IF(AND(N($W89)&gt;0,COUNT($I89:$L89)&gt;0),"Con subactividades: deje vacías las semanas (se calculan solas)"&amp;" · ","")&amp;IF((COUNTIF($I89:$L89,"&gt;1")+COUNTIF($I89:$L89,"&lt;0")+COUNTA($I89:$L89)-COUNT($I89:$L89))&gt;0,"Avance fuera de rango 0-100%"&amp;" · ","")&amp;IF(OR(AND($J89&lt;&gt;"",$J89&lt;$I89),AND($K89&lt;&gt;"",$K89&lt;MAX($I89:$J89)),AND($L89&lt;&gt;"",$L89&lt;MAX($I89:$K89))),"Avance semanal decreciente"&amp;" · ","")&amp;IF(AND(ISNUMBER($AN89),$AN89&lt;FechaRef,IF($V89="Sub",N($X89),N($M89))&lt;1),"Vencida"&amp;" · ","")&amp;IF(AND(ObsObligatoria="Sí",ISNUMBER($AN89),$AN89&lt;FechaRef,IF($V89="Sub",N($X89),N($M89))&lt;1,$Q89=""),"Vencida sin observación"&amp;" · ",""))-3)))</f>
        <v/>
      </c>
      <c r="S89" s="64">
        <f>IF(NOT((COUNTA($B89:$D89)+COUNTA($G89:$L89)+COUNTA($Q89))&gt;0),"",IF(AND($V89="Sub",N($U89)&gt;0),IF(ISNUMBER(INDEX($AM$5:$AM$1000,$U89-4)),DATE(YEAR(INDEX($AM$5:$AM$1000,$U89-4)),MONTH(INDEX($AM$5:$AM$1000,$U89-4)),1),IF(ISNUMBER(INDEX($AN$5:$AN$1000,$U89-4)),DATE(YEAR(INDEX($AN$5:$AN$1000,$U89-4)),MONTH(INDEX($AN$5:$AN$1000,$U89-4)),1),MesCiclo)),IF(ISNUMBER($AM89),DATE(YEAR($AM89),MONTH($AM89),1),IF(ISNUMBER($AN89),DATE(YEAR($AN89),MONTH($AN89),1),MesCiclo))))</f>
        <v/>
      </c>
      <c r="T89" s="62">
        <f>IF(OR($S89="",$S89&lt;&gt;MesCiclo,$V89&lt;&gt;"Macro"),"",COUNTIFS($S$5:$S89,MesCiclo,$V$5:$V89,"Macro"))</f>
        <v/>
      </c>
      <c r="U89" s="62">
        <f>IF($V89="","",IF($V89="Macro",ROW(),IFERROR(LOOKUP(2,1/($V$5:$V89="Macro"),ROW($V$5:$V89)),0)))</f>
        <v/>
      </c>
      <c r="V89" s="62">
        <f>IF(NOT((COUNTA($B89:$D89)+COUNTA($G89:$L89)+COUNTA($Q89))&gt;0),"",IF($B89="Subactividad","Sub","Macro"))</f>
        <v/>
      </c>
      <c r="W89" s="62">
        <f>IF($V89="Macro",COUNTIFS($U$5:$U$1000,ROW(),$V$5:$V$1000,"Sub"),"")</f>
        <v/>
      </c>
      <c r="X89" s="62">
        <f>IF($V89="","",IF(ISNUMBER($G89),1,IFERROR(LOOKUP(2,1/($I89:$L89&lt;&gt;""),$I89:$L89),0)))</f>
        <v/>
      </c>
      <c r="Y89" s="62">
        <f>IF($V89="","",IF(AND(ISNUMBER($G89),$G89&lt;=IF($S89=MesCiclo,InicioCiclo,$S89+MOD(2-WEEKDAY($S89),7))+6),1,IF(ISNUMBER($I89),$I89,0)))</f>
        <v/>
      </c>
      <c r="Z89" s="62">
        <f>IF($V89="","",IF(AND(ISNUMBER($G89),$G89&lt;=IF($S89=MesCiclo,InicioCiclo,$S89+MOD(2-WEEKDAY($S89),7))+13),1,IF(ISNUMBER($J89),$J89,$Y89)))</f>
        <v/>
      </c>
      <c r="AA89" s="62">
        <f>IF($V89="","",IF(AND(ISNUMBER($G89),$G89&lt;=IF($S89=MesCiclo,InicioCiclo,$S89+MOD(2-WEEKDAY($S89),7))+20),1,IF(ISNUMBER($K89),$K89,$Z89)))</f>
        <v/>
      </c>
      <c r="AB89" s="62">
        <f>IF($V89="","",IF(AND(ISNUMBER($G89),$G89&lt;=IF($S89=MesCiclo,InicioCiclo,$S89+MOD(2-WEEKDAY($S89),7))+27),1,IF(ISNUMBER($L89),$L89,$AA89)))</f>
        <v/>
      </c>
      <c r="AC89" s="62">
        <f>IF($V89="","",IF(AND(ISNUMBER($G89),$G89&lt;=IF($S89=MesCiclo,InicioCiclo,$S89+MOD(2-WEEKDAY($S89),7))+6),1,IF(N($W89)&gt;0,AVERAGEIFS($Y$5:$Y$1000,$U$5:$U$1000,ROW(),$V$5:$V$1000,"Sub"),$Y89)))</f>
        <v/>
      </c>
      <c r="AD89" s="62">
        <f>IF($V89="","",IF(AND(ISNUMBER($G89),$G89&lt;=IF($S89=MesCiclo,InicioCiclo,$S89+MOD(2-WEEKDAY($S89),7))+13),1,IF(N($W89)&gt;0,AVERAGEIFS($Z$5:$Z$1000,$U$5:$U$1000,ROW(),$V$5:$V$1000,"Sub"),$Z89)))</f>
        <v/>
      </c>
      <c r="AE89" s="62">
        <f>IF($V89="","",IF(AND(ISNUMBER($G89),$G89&lt;=IF($S89=MesCiclo,InicioCiclo,$S89+MOD(2-WEEKDAY($S89),7))+20),1,IF(N($W89)&gt;0,AVERAGEIFS($AA$5:$AA$1000,$U$5:$U$1000,ROW(),$V$5:$V$1000,"Sub"),$AA89)))</f>
        <v/>
      </c>
      <c r="AF89" s="62">
        <f>IF($V89="","",IF(AND(ISNUMBER($G89),$G89&lt;=IF($S89=MesCiclo,InicioCiclo,$S89+MOD(2-WEEKDAY($S89),7))+27),1,IF(N($W89)&gt;0,AVERAGEIFS($AB$5:$AB$1000,$U$5:$U$1000,ROW(),$V$5:$V$1000,"Sub"),$AB89)))</f>
        <v/>
      </c>
      <c r="AG89" s="62">
        <f>IF($V89&lt;&gt;"Macro","",IF(COUNTIFS($S$5:$S$1000,$S89,$V$5:$V$1000,"Macro",$H$5:$H$1000,"&gt;0")=0,1/COUNTIFS($S$5:$S$1000,$S89,$V$5:$V$1000,"Macro"),IF(AND(ISNUMBER($H89),N($H89)&gt;0),$H89,SUMIFS($H$5:$H$1000,$S$5:$S$1000,$S89,$V$5:$V$1000,"Macro")/COUNTIFS($S$5:$S$1000,$S89,$V$5:$V$1000,"Macro",$H$5:$H$1000,"&gt;0"))/(COUNTIFS($S$5:$S$1000,$S89,$V$5:$V$1000,"Macro")*SUMIFS($H$5:$H$1000,$S$5:$S$1000,$S89,$V$5:$V$1000,"Macro")/COUNTIFS($S$5:$S$1000,$S89,$V$5:$V$1000,"Macro",$H$5:$H$1000,"&gt;0"))))</f>
        <v/>
      </c>
      <c r="AH89" s="62" t="n"/>
      <c r="AI89" s="62" t="n"/>
      <c r="AJ89" s="62" t="n"/>
      <c r="AK89" s="62" t="n"/>
      <c r="AL89" s="62">
        <f>IF(LEFT($C89,11)="[Jefatura] ",IFERROR(MATCH("Riesgo Operacional|"&amp;MID($C89,12,500),rDname_ADM,0),0),"")</f>
        <v/>
      </c>
      <c r="AM89" s="62">
        <f>IF(N($AL89)&gt;0,INDEX(rIni_ADM,$AL89),IF(ISNUMBER($E89),$E89,""))</f>
        <v/>
      </c>
      <c r="AN89" s="62">
        <f>IF(N($AL89)&gt;0,INDEX(rLim_ADM,$AL89),IF(ISNUMBER($F89),$F89,""))</f>
        <v/>
      </c>
    </row>
    <row r="90">
      <c r="A90" s="56">
        <f>IF(NOT((COUNTA($B90:$D90)+COUNTA($G90:$L90)+COUNTA($Q90))&gt;0),"",IF($V90="Macro",COUNTIFS($V$5:$V90,"Macro",$S$5:$S90,$S90),IF(N($U90)=0,"?",COUNTIFS(INDEX($V$5:$V$1000,1):INDEX($V$5:$V$1000,$U90-4),"Macro",INDEX($S$5:$S$1000,1):INDEX($S$5:$S$1000,$U90-4),INDEX($S$5:$S$1000,$U90-4))&amp;"."&amp;COUNTIFS($U$5:$U90,$U90,$V$5:$V90,"Sub"))))</f>
        <v/>
      </c>
      <c r="B90" s="57" t="n"/>
      <c r="C90" s="58" t="n"/>
      <c r="D90" s="58" t="n"/>
      <c r="E90" s="59">
        <f>IF(N($AL90)&gt;0,INDEX(rIni_ADM,$AL90),"")</f>
        <v/>
      </c>
      <c r="F90" s="59">
        <f>IF(N($AL90)&gt;0,INDEX(rLim_ADM,$AL90),"")</f>
        <v/>
      </c>
      <c r="G90" s="59" t="n"/>
      <c r="H90" s="60" t="n"/>
      <c r="I90" s="60" t="n"/>
      <c r="J90" s="60" t="n"/>
      <c r="K90" s="60" t="n"/>
      <c r="L90" s="60" t="n"/>
      <c r="M90" s="61">
        <f>IF(NOT((COUNTA($B90:$D90)+COUNTA($G90:$L90)+COUNTA($Q90))&gt;0),"",IF($V90="Sub",IFERROR($X90/INDEX($W$5:$W$1000,$U90-4),""),IF(ISNUMBER($G90),1,IF(N($W90)&gt;0,AVERAGEIFS($X$5:$X$1000,$U$5:$U$1000,ROW(),$V$5:$V$1000,"Sub"),$X90))))</f>
        <v/>
      </c>
      <c r="N90" s="56">
        <f>IF(OR($M90="",$V90="Sub"),"",IF($M90&gt;=1,"Completado",IF($M90&gt;0,"En curso","Pendiente")))</f>
        <v/>
      </c>
      <c r="O90" s="56">
        <f>IF(OR(NOT((COUNTA($B90:$D90)+COUNTA($G90:$L90)+COUNTA($Q90))&gt;0),$V90="Sub"),"",IF(ISNUMBER($G90),IF(AND(ISNUMBER($AN90),$G90&gt;$AN90),"Cumplida con "&amp;($G90-$AN90)&amp;IF($G90-$AN90=1," día"," días")&amp;" de retraso","Cumplida"),IF(N($M90)&gt;=1,"Cumplida",IF(NOT(ISNUMBER($AN90)),"Sin fecha límite",IF($AN90&lt;FechaRef,"Vencida hace "&amp;(FechaRef-$AN90)&amp;IF(FechaRef-$AN90=1," día"," días"),IF($AN90=FechaRef,"Vence hoy",IF($AN90-FechaRef&lt;=DiasAlerta,"Vence en "&amp;($AN90-FechaRef)&amp;IF($AN90-FechaRef=1," día"," días"),"En plazo")))))))</f>
        <v/>
      </c>
      <c r="P90" s="62" t="n"/>
      <c r="Q90" s="58" t="n"/>
      <c r="R90" s="63">
        <f>IF(NOT((COUNTA($B90:$D90)+COUNTA($G90:$L90)+COUNTA($Q90))&gt;0),"",IF((IF($C90="","Falta el nombre de la actividad"&amp;" · ","")&amp;IF(AND($V90="Sub",N($U90)=0),"Subactividad sin macroactividad arriba"&amp;" · ","")&amp;IF($AM90="","Sin fecha de inicio"&amp;" · ","")&amp;IF($AN90="","Sin fecha límite"&amp;" · ","")&amp;IF(AND(LEFT($C90,11)="[Jefatura] ",N($AL90)=0),"No se encuentra en la hoja de la jefatura (elíjala de nuevo en la lista)"&amp;" · ","")&amp;IF(OR(AND($E90&lt;&gt;"",NOT(ISNUMBER($E90))),AND($F90&lt;&gt;"",NOT(ISNUMBER($F90))),AND($G90&lt;&gt;"",NOT(ISNUMBER($G90)))),"Fecha no válida"&amp;" · ","")&amp;IF(AND(ISNUMBER($AM90),ISNUMBER($AN90),$AM90&gt;$AN90),"Inicio posterior a fecha límite"&amp;" · ","")&amp;IF(AND($V90="Macro",$H90&lt;&gt;"",OR(NOT(ISNUMBER($H90)),$H90&lt;0,$H90&gt;1)),"Peso fuera de rango"&amp;" · ","")&amp;IF(AND($V90="Sub",$H90&lt;&gt;""),"Las subactividades no llevan peso (valen igual dentro de su macroactividad)"&amp;" · ","")&amp;IF(AND(N($W90)&gt;0,COUNT($I90:$L90)&gt;0),"Con subactividades: deje vacías las semanas (se calculan solas)"&amp;" · ","")&amp;IF((COUNTIF($I90:$L90,"&gt;1")+COUNTIF($I90:$L90,"&lt;0")+COUNTA($I90:$L90)-COUNT($I90:$L90))&gt;0,"Avance fuera de rango 0-100%"&amp;" · ","")&amp;IF(OR(AND($J90&lt;&gt;"",$J90&lt;$I90),AND($K90&lt;&gt;"",$K90&lt;MAX($I90:$J90)),AND($L90&lt;&gt;"",$L90&lt;MAX($I90:$K90))),"Avance semanal decreciente"&amp;" · ","")&amp;IF(AND(ISNUMBER($AN90),$AN90&lt;FechaRef,IF($V90="Sub",N($X90),N($M90))&lt;1),"Vencida"&amp;" · ","")&amp;IF(AND(ObsObligatoria="Sí",ISNUMBER($AN90),$AN90&lt;FechaRef,IF($V90="Sub",N($X90),N($M90))&lt;1,$Q90=""),"Vencida sin observación"&amp;" · ",""))="","✔ OK","⚠ "&amp;LEFT(IF($C90="","Falta el nombre de la actividad"&amp;" · ","")&amp;IF(AND($V90="Sub",N($U90)=0),"Subactividad sin macroactividad arriba"&amp;" · ","")&amp;IF($AM90="","Sin fecha de inicio"&amp;" · ","")&amp;IF($AN90="","Sin fecha límite"&amp;" · ","")&amp;IF(AND(LEFT($C90,11)="[Jefatura] ",N($AL90)=0),"No se encuentra en la hoja de la jefatura (elíjala de nuevo en la lista)"&amp;" · ","")&amp;IF(OR(AND($E90&lt;&gt;"",NOT(ISNUMBER($E90))),AND($F90&lt;&gt;"",NOT(ISNUMBER($F90))),AND($G90&lt;&gt;"",NOT(ISNUMBER($G90)))),"Fecha no válida"&amp;" · ","")&amp;IF(AND(ISNUMBER($AM90),ISNUMBER($AN90),$AM90&gt;$AN90),"Inicio posterior a fecha límite"&amp;" · ","")&amp;IF(AND($V90="Macro",$H90&lt;&gt;"",OR(NOT(ISNUMBER($H90)),$H90&lt;0,$H90&gt;1)),"Peso fuera de rango"&amp;" · ","")&amp;IF(AND($V90="Sub",$H90&lt;&gt;""),"Las subactividades no llevan peso (valen igual dentro de su macroactividad)"&amp;" · ","")&amp;IF(AND(N($W90)&gt;0,COUNT($I90:$L90)&gt;0),"Con subactividades: deje vacías las semanas (se calculan solas)"&amp;" · ","")&amp;IF((COUNTIF($I90:$L90,"&gt;1")+COUNTIF($I90:$L90,"&lt;0")+COUNTA($I90:$L90)-COUNT($I90:$L90))&gt;0,"Avance fuera de rango 0-100%"&amp;" · ","")&amp;IF(OR(AND($J90&lt;&gt;"",$J90&lt;$I90),AND($K90&lt;&gt;"",$K90&lt;MAX($I90:$J90)),AND($L90&lt;&gt;"",$L90&lt;MAX($I90:$K90))),"Avance semanal decreciente"&amp;" · ","")&amp;IF(AND(ISNUMBER($AN90),$AN90&lt;FechaRef,IF($V90="Sub",N($X90),N($M90))&lt;1),"Vencida"&amp;" · ","")&amp;IF(AND(ObsObligatoria="Sí",ISNUMBER($AN90),$AN90&lt;FechaRef,IF($V90="Sub",N($X90),N($M90))&lt;1,$Q90=""),"Vencida sin observación"&amp;" · ",""),LEN(IF($C90="","Falta el nombre de la actividad"&amp;" · ","")&amp;IF(AND($V90="Sub",N($U90)=0),"Subactividad sin macroactividad arriba"&amp;" · ","")&amp;IF($AM90="","Sin fecha de inicio"&amp;" · ","")&amp;IF($AN90="","Sin fecha límite"&amp;" · ","")&amp;IF(AND(LEFT($C90,11)="[Jefatura] ",N($AL90)=0),"No se encuentra en la hoja de la jefatura (elíjala de nuevo en la lista)"&amp;" · ","")&amp;IF(OR(AND($E90&lt;&gt;"",NOT(ISNUMBER($E90))),AND($F90&lt;&gt;"",NOT(ISNUMBER($F90))),AND($G90&lt;&gt;"",NOT(ISNUMBER($G90)))),"Fecha no válida"&amp;" · ","")&amp;IF(AND(ISNUMBER($AM90),ISNUMBER($AN90),$AM90&gt;$AN90),"Inicio posterior a fecha límite"&amp;" · ","")&amp;IF(AND($V90="Macro",$H90&lt;&gt;"",OR(NOT(ISNUMBER($H90)),$H90&lt;0,$H90&gt;1)),"Peso fuera de rango"&amp;" · ","")&amp;IF(AND($V90="Sub",$H90&lt;&gt;""),"Las subactividades no llevan peso (valen igual dentro de su macroactividad)"&amp;" · ","")&amp;IF(AND(N($W90)&gt;0,COUNT($I90:$L90)&gt;0),"Con subactividades: deje vacías las semanas (se calculan solas)"&amp;" · ","")&amp;IF((COUNTIF($I90:$L90,"&gt;1")+COUNTIF($I90:$L90,"&lt;0")+COUNTA($I90:$L90)-COUNT($I90:$L90))&gt;0,"Avance fuera de rango 0-100%"&amp;" · ","")&amp;IF(OR(AND($J90&lt;&gt;"",$J90&lt;$I90),AND($K90&lt;&gt;"",$K90&lt;MAX($I90:$J90)),AND($L90&lt;&gt;"",$L90&lt;MAX($I90:$K90))),"Avance semanal decreciente"&amp;" · ","")&amp;IF(AND(ISNUMBER($AN90),$AN90&lt;FechaRef,IF($V90="Sub",N($X90),N($M90))&lt;1),"Vencida"&amp;" · ","")&amp;IF(AND(ObsObligatoria="Sí",ISNUMBER($AN90),$AN90&lt;FechaRef,IF($V90="Sub",N($X90),N($M90))&lt;1,$Q90=""),"Vencida sin observación"&amp;" · ",""))-3)))</f>
        <v/>
      </c>
      <c r="S90" s="64">
        <f>IF(NOT((COUNTA($B90:$D90)+COUNTA($G90:$L90)+COUNTA($Q90))&gt;0),"",IF(AND($V90="Sub",N($U90)&gt;0),IF(ISNUMBER(INDEX($AM$5:$AM$1000,$U90-4)),DATE(YEAR(INDEX($AM$5:$AM$1000,$U90-4)),MONTH(INDEX($AM$5:$AM$1000,$U90-4)),1),IF(ISNUMBER(INDEX($AN$5:$AN$1000,$U90-4)),DATE(YEAR(INDEX($AN$5:$AN$1000,$U90-4)),MONTH(INDEX($AN$5:$AN$1000,$U90-4)),1),MesCiclo)),IF(ISNUMBER($AM90),DATE(YEAR($AM90),MONTH($AM90),1),IF(ISNUMBER($AN90),DATE(YEAR($AN90),MONTH($AN90),1),MesCiclo))))</f>
        <v/>
      </c>
      <c r="T90" s="62">
        <f>IF(OR($S90="",$S90&lt;&gt;MesCiclo,$V90&lt;&gt;"Macro"),"",COUNTIFS($S$5:$S90,MesCiclo,$V$5:$V90,"Macro"))</f>
        <v/>
      </c>
      <c r="U90" s="62">
        <f>IF($V90="","",IF($V90="Macro",ROW(),IFERROR(LOOKUP(2,1/($V$5:$V90="Macro"),ROW($V$5:$V90)),0)))</f>
        <v/>
      </c>
      <c r="V90" s="62">
        <f>IF(NOT((COUNTA($B90:$D90)+COUNTA($G90:$L90)+COUNTA($Q90))&gt;0),"",IF($B90="Subactividad","Sub","Macro"))</f>
        <v/>
      </c>
      <c r="W90" s="62">
        <f>IF($V90="Macro",COUNTIFS($U$5:$U$1000,ROW(),$V$5:$V$1000,"Sub"),"")</f>
        <v/>
      </c>
      <c r="X90" s="62">
        <f>IF($V90="","",IF(ISNUMBER($G90),1,IFERROR(LOOKUP(2,1/($I90:$L90&lt;&gt;""),$I90:$L90),0)))</f>
        <v/>
      </c>
      <c r="Y90" s="62">
        <f>IF($V90="","",IF(AND(ISNUMBER($G90),$G90&lt;=IF($S90=MesCiclo,InicioCiclo,$S90+MOD(2-WEEKDAY($S90),7))+6),1,IF(ISNUMBER($I90),$I90,0)))</f>
        <v/>
      </c>
      <c r="Z90" s="62">
        <f>IF($V90="","",IF(AND(ISNUMBER($G90),$G90&lt;=IF($S90=MesCiclo,InicioCiclo,$S90+MOD(2-WEEKDAY($S90),7))+13),1,IF(ISNUMBER($J90),$J90,$Y90)))</f>
        <v/>
      </c>
      <c r="AA90" s="62">
        <f>IF($V90="","",IF(AND(ISNUMBER($G90),$G90&lt;=IF($S90=MesCiclo,InicioCiclo,$S90+MOD(2-WEEKDAY($S90),7))+20),1,IF(ISNUMBER($K90),$K90,$Z90)))</f>
        <v/>
      </c>
      <c r="AB90" s="62">
        <f>IF($V90="","",IF(AND(ISNUMBER($G90),$G90&lt;=IF($S90=MesCiclo,InicioCiclo,$S90+MOD(2-WEEKDAY($S90),7))+27),1,IF(ISNUMBER($L90),$L90,$AA90)))</f>
        <v/>
      </c>
      <c r="AC90" s="62">
        <f>IF($V90="","",IF(AND(ISNUMBER($G90),$G90&lt;=IF($S90=MesCiclo,InicioCiclo,$S90+MOD(2-WEEKDAY($S90),7))+6),1,IF(N($W90)&gt;0,AVERAGEIFS($Y$5:$Y$1000,$U$5:$U$1000,ROW(),$V$5:$V$1000,"Sub"),$Y90)))</f>
        <v/>
      </c>
      <c r="AD90" s="62">
        <f>IF($V90="","",IF(AND(ISNUMBER($G90),$G90&lt;=IF($S90=MesCiclo,InicioCiclo,$S90+MOD(2-WEEKDAY($S90),7))+13),1,IF(N($W90)&gt;0,AVERAGEIFS($Z$5:$Z$1000,$U$5:$U$1000,ROW(),$V$5:$V$1000,"Sub"),$Z90)))</f>
        <v/>
      </c>
      <c r="AE90" s="62">
        <f>IF($V90="","",IF(AND(ISNUMBER($G90),$G90&lt;=IF($S90=MesCiclo,InicioCiclo,$S90+MOD(2-WEEKDAY($S90),7))+20),1,IF(N($W90)&gt;0,AVERAGEIFS($AA$5:$AA$1000,$U$5:$U$1000,ROW(),$V$5:$V$1000,"Sub"),$AA90)))</f>
        <v/>
      </c>
      <c r="AF90" s="62">
        <f>IF($V90="","",IF(AND(ISNUMBER($G90),$G90&lt;=IF($S90=MesCiclo,InicioCiclo,$S90+MOD(2-WEEKDAY($S90),7))+27),1,IF(N($W90)&gt;0,AVERAGEIFS($AB$5:$AB$1000,$U$5:$U$1000,ROW(),$V$5:$V$1000,"Sub"),$AB90)))</f>
        <v/>
      </c>
      <c r="AG90" s="62">
        <f>IF($V90&lt;&gt;"Macro","",IF(COUNTIFS($S$5:$S$1000,$S90,$V$5:$V$1000,"Macro",$H$5:$H$1000,"&gt;0")=0,1/COUNTIFS($S$5:$S$1000,$S90,$V$5:$V$1000,"Macro"),IF(AND(ISNUMBER($H90),N($H90)&gt;0),$H90,SUMIFS($H$5:$H$1000,$S$5:$S$1000,$S90,$V$5:$V$1000,"Macro")/COUNTIFS($S$5:$S$1000,$S90,$V$5:$V$1000,"Macro",$H$5:$H$1000,"&gt;0"))/(COUNTIFS($S$5:$S$1000,$S90,$V$5:$V$1000,"Macro")*SUMIFS($H$5:$H$1000,$S$5:$S$1000,$S90,$V$5:$V$1000,"Macro")/COUNTIFS($S$5:$S$1000,$S90,$V$5:$V$1000,"Macro",$H$5:$H$1000,"&gt;0"))))</f>
        <v/>
      </c>
      <c r="AH90" s="62" t="n"/>
      <c r="AI90" s="62" t="n"/>
      <c r="AJ90" s="62" t="n"/>
      <c r="AK90" s="62" t="n"/>
      <c r="AL90" s="62">
        <f>IF(LEFT($C90,11)="[Jefatura] ",IFERROR(MATCH("Riesgo Operacional|"&amp;MID($C90,12,500),rDname_ADM,0),0),"")</f>
        <v/>
      </c>
      <c r="AM90" s="62">
        <f>IF(N($AL90)&gt;0,INDEX(rIni_ADM,$AL90),IF(ISNUMBER($E90),$E90,""))</f>
        <v/>
      </c>
      <c r="AN90" s="62">
        <f>IF(N($AL90)&gt;0,INDEX(rLim_ADM,$AL90),IF(ISNUMBER($F90),$F90,""))</f>
        <v/>
      </c>
    </row>
    <row r="91">
      <c r="A91" s="56">
        <f>IF(NOT((COUNTA($B91:$D91)+COUNTA($G91:$L91)+COUNTA($Q91))&gt;0),"",IF($V91="Macro",COUNTIFS($V$5:$V91,"Macro",$S$5:$S91,$S91),IF(N($U91)=0,"?",COUNTIFS(INDEX($V$5:$V$1000,1):INDEX($V$5:$V$1000,$U91-4),"Macro",INDEX($S$5:$S$1000,1):INDEX($S$5:$S$1000,$U91-4),INDEX($S$5:$S$1000,$U91-4))&amp;"."&amp;COUNTIFS($U$5:$U91,$U91,$V$5:$V91,"Sub"))))</f>
        <v/>
      </c>
      <c r="B91" s="57" t="n"/>
      <c r="C91" s="58" t="n"/>
      <c r="D91" s="58" t="n"/>
      <c r="E91" s="59">
        <f>IF(N($AL91)&gt;0,INDEX(rIni_ADM,$AL91),"")</f>
        <v/>
      </c>
      <c r="F91" s="59">
        <f>IF(N($AL91)&gt;0,INDEX(rLim_ADM,$AL91),"")</f>
        <v/>
      </c>
      <c r="G91" s="59" t="n"/>
      <c r="H91" s="60" t="n"/>
      <c r="I91" s="60" t="n"/>
      <c r="J91" s="60" t="n"/>
      <c r="K91" s="60" t="n"/>
      <c r="L91" s="60" t="n"/>
      <c r="M91" s="61">
        <f>IF(NOT((COUNTA($B91:$D91)+COUNTA($G91:$L91)+COUNTA($Q91))&gt;0),"",IF($V91="Sub",IFERROR($X91/INDEX($W$5:$W$1000,$U91-4),""),IF(ISNUMBER($G91),1,IF(N($W91)&gt;0,AVERAGEIFS($X$5:$X$1000,$U$5:$U$1000,ROW(),$V$5:$V$1000,"Sub"),$X91))))</f>
        <v/>
      </c>
      <c r="N91" s="56">
        <f>IF(OR($M91="",$V91="Sub"),"",IF($M91&gt;=1,"Completado",IF($M91&gt;0,"En curso","Pendiente")))</f>
        <v/>
      </c>
      <c r="O91" s="56">
        <f>IF(OR(NOT((COUNTA($B91:$D91)+COUNTA($G91:$L91)+COUNTA($Q91))&gt;0),$V91="Sub"),"",IF(ISNUMBER($G91),IF(AND(ISNUMBER($AN91),$G91&gt;$AN91),"Cumplida con "&amp;($G91-$AN91)&amp;IF($G91-$AN91=1," día"," días")&amp;" de retraso","Cumplida"),IF(N($M91)&gt;=1,"Cumplida",IF(NOT(ISNUMBER($AN91)),"Sin fecha límite",IF($AN91&lt;FechaRef,"Vencida hace "&amp;(FechaRef-$AN91)&amp;IF(FechaRef-$AN91=1," día"," días"),IF($AN91=FechaRef,"Vence hoy",IF($AN91-FechaRef&lt;=DiasAlerta,"Vence en "&amp;($AN91-FechaRef)&amp;IF($AN91-FechaRef=1," día"," días"),"En plazo")))))))</f>
        <v/>
      </c>
      <c r="P91" s="62" t="n"/>
      <c r="Q91" s="58" t="n"/>
      <c r="R91" s="63">
        <f>IF(NOT((COUNTA($B91:$D91)+COUNTA($G91:$L91)+COUNTA($Q91))&gt;0),"",IF((IF($C91="","Falta el nombre de la actividad"&amp;" · ","")&amp;IF(AND($V91="Sub",N($U91)=0),"Subactividad sin macroactividad arriba"&amp;" · ","")&amp;IF($AM91="","Sin fecha de inicio"&amp;" · ","")&amp;IF($AN91="","Sin fecha límite"&amp;" · ","")&amp;IF(AND(LEFT($C91,11)="[Jefatura] ",N($AL91)=0),"No se encuentra en la hoja de la jefatura (elíjala de nuevo en la lista)"&amp;" · ","")&amp;IF(OR(AND($E91&lt;&gt;"",NOT(ISNUMBER($E91))),AND($F91&lt;&gt;"",NOT(ISNUMBER($F91))),AND($G91&lt;&gt;"",NOT(ISNUMBER($G91)))),"Fecha no válida"&amp;" · ","")&amp;IF(AND(ISNUMBER($AM91),ISNUMBER($AN91),$AM91&gt;$AN91),"Inicio posterior a fecha límite"&amp;" · ","")&amp;IF(AND($V91="Macro",$H91&lt;&gt;"",OR(NOT(ISNUMBER($H91)),$H91&lt;0,$H91&gt;1)),"Peso fuera de rango"&amp;" · ","")&amp;IF(AND($V91="Sub",$H91&lt;&gt;""),"Las subactividades no llevan peso (valen igual dentro de su macroactividad)"&amp;" · ","")&amp;IF(AND(N($W91)&gt;0,COUNT($I91:$L91)&gt;0),"Con subactividades: deje vacías las semanas (se calculan solas)"&amp;" · ","")&amp;IF((COUNTIF($I91:$L91,"&gt;1")+COUNTIF($I91:$L91,"&lt;0")+COUNTA($I91:$L91)-COUNT($I91:$L91))&gt;0,"Avance fuera de rango 0-100%"&amp;" · ","")&amp;IF(OR(AND($J91&lt;&gt;"",$J91&lt;$I91),AND($K91&lt;&gt;"",$K91&lt;MAX($I91:$J91)),AND($L91&lt;&gt;"",$L91&lt;MAX($I91:$K91))),"Avance semanal decreciente"&amp;" · ","")&amp;IF(AND(ISNUMBER($AN91),$AN91&lt;FechaRef,IF($V91="Sub",N($X91),N($M91))&lt;1),"Vencida"&amp;" · ","")&amp;IF(AND(ObsObligatoria="Sí",ISNUMBER($AN91),$AN91&lt;FechaRef,IF($V91="Sub",N($X91),N($M91))&lt;1,$Q91=""),"Vencida sin observación"&amp;" · ",""))="","✔ OK","⚠ "&amp;LEFT(IF($C91="","Falta el nombre de la actividad"&amp;" · ","")&amp;IF(AND($V91="Sub",N($U91)=0),"Subactividad sin macroactividad arriba"&amp;" · ","")&amp;IF($AM91="","Sin fecha de inicio"&amp;" · ","")&amp;IF($AN91="","Sin fecha límite"&amp;" · ","")&amp;IF(AND(LEFT($C91,11)="[Jefatura] ",N($AL91)=0),"No se encuentra en la hoja de la jefatura (elíjala de nuevo en la lista)"&amp;" · ","")&amp;IF(OR(AND($E91&lt;&gt;"",NOT(ISNUMBER($E91))),AND($F91&lt;&gt;"",NOT(ISNUMBER($F91))),AND($G91&lt;&gt;"",NOT(ISNUMBER($G91)))),"Fecha no válida"&amp;" · ","")&amp;IF(AND(ISNUMBER($AM91),ISNUMBER($AN91),$AM91&gt;$AN91),"Inicio posterior a fecha límite"&amp;" · ","")&amp;IF(AND($V91="Macro",$H91&lt;&gt;"",OR(NOT(ISNUMBER($H91)),$H91&lt;0,$H91&gt;1)),"Peso fuera de rango"&amp;" · ","")&amp;IF(AND($V91="Sub",$H91&lt;&gt;""),"Las subactividades no llevan peso (valen igual dentro de su macroactividad)"&amp;" · ","")&amp;IF(AND(N($W91)&gt;0,COUNT($I91:$L91)&gt;0),"Con subactividades: deje vacías las semanas (se calculan solas)"&amp;" · ","")&amp;IF((COUNTIF($I91:$L91,"&gt;1")+COUNTIF($I91:$L91,"&lt;0")+COUNTA($I91:$L91)-COUNT($I91:$L91))&gt;0,"Avance fuera de rango 0-100%"&amp;" · ","")&amp;IF(OR(AND($J91&lt;&gt;"",$J91&lt;$I91),AND($K91&lt;&gt;"",$K91&lt;MAX($I91:$J91)),AND($L91&lt;&gt;"",$L91&lt;MAX($I91:$K91))),"Avance semanal decreciente"&amp;" · ","")&amp;IF(AND(ISNUMBER($AN91),$AN91&lt;FechaRef,IF($V91="Sub",N($X91),N($M91))&lt;1),"Vencida"&amp;" · ","")&amp;IF(AND(ObsObligatoria="Sí",ISNUMBER($AN91),$AN91&lt;FechaRef,IF($V91="Sub",N($X91),N($M91))&lt;1,$Q91=""),"Vencida sin observación"&amp;" · ",""),LEN(IF($C91="","Falta el nombre de la actividad"&amp;" · ","")&amp;IF(AND($V91="Sub",N($U91)=0),"Subactividad sin macroactividad arriba"&amp;" · ","")&amp;IF($AM91="","Sin fecha de inicio"&amp;" · ","")&amp;IF($AN91="","Sin fecha límite"&amp;" · ","")&amp;IF(AND(LEFT($C91,11)="[Jefatura] ",N($AL91)=0),"No se encuentra en la hoja de la jefatura (elíjala de nuevo en la lista)"&amp;" · ","")&amp;IF(OR(AND($E91&lt;&gt;"",NOT(ISNUMBER($E91))),AND($F91&lt;&gt;"",NOT(ISNUMBER($F91))),AND($G91&lt;&gt;"",NOT(ISNUMBER($G91)))),"Fecha no válida"&amp;" · ","")&amp;IF(AND(ISNUMBER($AM91),ISNUMBER($AN91),$AM91&gt;$AN91),"Inicio posterior a fecha límite"&amp;" · ","")&amp;IF(AND($V91="Macro",$H91&lt;&gt;"",OR(NOT(ISNUMBER($H91)),$H91&lt;0,$H91&gt;1)),"Peso fuera de rango"&amp;" · ","")&amp;IF(AND($V91="Sub",$H91&lt;&gt;""),"Las subactividades no llevan peso (valen igual dentro de su macroactividad)"&amp;" · ","")&amp;IF(AND(N($W91)&gt;0,COUNT($I91:$L91)&gt;0),"Con subactividades: deje vacías las semanas (se calculan solas)"&amp;" · ","")&amp;IF((COUNTIF($I91:$L91,"&gt;1")+COUNTIF($I91:$L91,"&lt;0")+COUNTA($I91:$L91)-COUNT($I91:$L91))&gt;0,"Avance fuera de rango 0-100%"&amp;" · ","")&amp;IF(OR(AND($J91&lt;&gt;"",$J91&lt;$I91),AND($K91&lt;&gt;"",$K91&lt;MAX($I91:$J91)),AND($L91&lt;&gt;"",$L91&lt;MAX($I91:$K91))),"Avance semanal decreciente"&amp;" · ","")&amp;IF(AND(ISNUMBER($AN91),$AN91&lt;FechaRef,IF($V91="Sub",N($X91),N($M91))&lt;1),"Vencida"&amp;" · ","")&amp;IF(AND(ObsObligatoria="Sí",ISNUMBER($AN91),$AN91&lt;FechaRef,IF($V91="Sub",N($X91),N($M91))&lt;1,$Q91=""),"Vencida sin observación"&amp;" · ",""))-3)))</f>
        <v/>
      </c>
      <c r="S91" s="64">
        <f>IF(NOT((COUNTA($B91:$D91)+COUNTA($G91:$L91)+COUNTA($Q91))&gt;0),"",IF(AND($V91="Sub",N($U91)&gt;0),IF(ISNUMBER(INDEX($AM$5:$AM$1000,$U91-4)),DATE(YEAR(INDEX($AM$5:$AM$1000,$U91-4)),MONTH(INDEX($AM$5:$AM$1000,$U91-4)),1),IF(ISNUMBER(INDEX($AN$5:$AN$1000,$U91-4)),DATE(YEAR(INDEX($AN$5:$AN$1000,$U91-4)),MONTH(INDEX($AN$5:$AN$1000,$U91-4)),1),MesCiclo)),IF(ISNUMBER($AM91),DATE(YEAR($AM91),MONTH($AM91),1),IF(ISNUMBER($AN91),DATE(YEAR($AN91),MONTH($AN91),1),MesCiclo))))</f>
        <v/>
      </c>
      <c r="T91" s="62">
        <f>IF(OR($S91="",$S91&lt;&gt;MesCiclo,$V91&lt;&gt;"Macro"),"",COUNTIFS($S$5:$S91,MesCiclo,$V$5:$V91,"Macro"))</f>
        <v/>
      </c>
      <c r="U91" s="62">
        <f>IF($V91="","",IF($V91="Macro",ROW(),IFERROR(LOOKUP(2,1/($V$5:$V91="Macro"),ROW($V$5:$V91)),0)))</f>
        <v/>
      </c>
      <c r="V91" s="62">
        <f>IF(NOT((COUNTA($B91:$D91)+COUNTA($G91:$L91)+COUNTA($Q91))&gt;0),"",IF($B91="Subactividad","Sub","Macro"))</f>
        <v/>
      </c>
      <c r="W91" s="62">
        <f>IF($V91="Macro",COUNTIFS($U$5:$U$1000,ROW(),$V$5:$V$1000,"Sub"),"")</f>
        <v/>
      </c>
      <c r="X91" s="62">
        <f>IF($V91="","",IF(ISNUMBER($G91),1,IFERROR(LOOKUP(2,1/($I91:$L91&lt;&gt;""),$I91:$L91),0)))</f>
        <v/>
      </c>
      <c r="Y91" s="62">
        <f>IF($V91="","",IF(AND(ISNUMBER($G91),$G91&lt;=IF($S91=MesCiclo,InicioCiclo,$S91+MOD(2-WEEKDAY($S91),7))+6),1,IF(ISNUMBER($I91),$I91,0)))</f>
        <v/>
      </c>
      <c r="Z91" s="62">
        <f>IF($V91="","",IF(AND(ISNUMBER($G91),$G91&lt;=IF($S91=MesCiclo,InicioCiclo,$S91+MOD(2-WEEKDAY($S91),7))+13),1,IF(ISNUMBER($J91),$J91,$Y91)))</f>
        <v/>
      </c>
      <c r="AA91" s="62">
        <f>IF($V91="","",IF(AND(ISNUMBER($G91),$G91&lt;=IF($S91=MesCiclo,InicioCiclo,$S91+MOD(2-WEEKDAY($S91),7))+20),1,IF(ISNUMBER($K91),$K91,$Z91)))</f>
        <v/>
      </c>
      <c r="AB91" s="62">
        <f>IF($V91="","",IF(AND(ISNUMBER($G91),$G91&lt;=IF($S91=MesCiclo,InicioCiclo,$S91+MOD(2-WEEKDAY($S91),7))+27),1,IF(ISNUMBER($L91),$L91,$AA91)))</f>
        <v/>
      </c>
      <c r="AC91" s="62">
        <f>IF($V91="","",IF(AND(ISNUMBER($G91),$G91&lt;=IF($S91=MesCiclo,InicioCiclo,$S91+MOD(2-WEEKDAY($S91),7))+6),1,IF(N($W91)&gt;0,AVERAGEIFS($Y$5:$Y$1000,$U$5:$U$1000,ROW(),$V$5:$V$1000,"Sub"),$Y91)))</f>
        <v/>
      </c>
      <c r="AD91" s="62">
        <f>IF($V91="","",IF(AND(ISNUMBER($G91),$G91&lt;=IF($S91=MesCiclo,InicioCiclo,$S91+MOD(2-WEEKDAY($S91),7))+13),1,IF(N($W91)&gt;0,AVERAGEIFS($Z$5:$Z$1000,$U$5:$U$1000,ROW(),$V$5:$V$1000,"Sub"),$Z91)))</f>
        <v/>
      </c>
      <c r="AE91" s="62">
        <f>IF($V91="","",IF(AND(ISNUMBER($G91),$G91&lt;=IF($S91=MesCiclo,InicioCiclo,$S91+MOD(2-WEEKDAY($S91),7))+20),1,IF(N($W91)&gt;0,AVERAGEIFS($AA$5:$AA$1000,$U$5:$U$1000,ROW(),$V$5:$V$1000,"Sub"),$AA91)))</f>
        <v/>
      </c>
      <c r="AF91" s="62">
        <f>IF($V91="","",IF(AND(ISNUMBER($G91),$G91&lt;=IF($S91=MesCiclo,InicioCiclo,$S91+MOD(2-WEEKDAY($S91),7))+27),1,IF(N($W91)&gt;0,AVERAGEIFS($AB$5:$AB$1000,$U$5:$U$1000,ROW(),$V$5:$V$1000,"Sub"),$AB91)))</f>
        <v/>
      </c>
      <c r="AG91" s="62">
        <f>IF($V91&lt;&gt;"Macro","",IF(COUNTIFS($S$5:$S$1000,$S91,$V$5:$V$1000,"Macro",$H$5:$H$1000,"&gt;0")=0,1/COUNTIFS($S$5:$S$1000,$S91,$V$5:$V$1000,"Macro"),IF(AND(ISNUMBER($H91),N($H91)&gt;0),$H91,SUMIFS($H$5:$H$1000,$S$5:$S$1000,$S91,$V$5:$V$1000,"Macro")/COUNTIFS($S$5:$S$1000,$S91,$V$5:$V$1000,"Macro",$H$5:$H$1000,"&gt;0"))/(COUNTIFS($S$5:$S$1000,$S91,$V$5:$V$1000,"Macro")*SUMIFS($H$5:$H$1000,$S$5:$S$1000,$S91,$V$5:$V$1000,"Macro")/COUNTIFS($S$5:$S$1000,$S91,$V$5:$V$1000,"Macro",$H$5:$H$1000,"&gt;0"))))</f>
        <v/>
      </c>
      <c r="AH91" s="62" t="n"/>
      <c r="AI91" s="62" t="n"/>
      <c r="AJ91" s="62" t="n"/>
      <c r="AK91" s="62" t="n"/>
      <c r="AL91" s="62">
        <f>IF(LEFT($C91,11)="[Jefatura] ",IFERROR(MATCH("Riesgo Operacional|"&amp;MID($C91,12,500),rDname_ADM,0),0),"")</f>
        <v/>
      </c>
      <c r="AM91" s="62">
        <f>IF(N($AL91)&gt;0,INDEX(rIni_ADM,$AL91),IF(ISNUMBER($E91),$E91,""))</f>
        <v/>
      </c>
      <c r="AN91" s="62">
        <f>IF(N($AL91)&gt;0,INDEX(rLim_ADM,$AL91),IF(ISNUMBER($F91),$F91,""))</f>
        <v/>
      </c>
    </row>
    <row r="92">
      <c r="A92" s="56">
        <f>IF(NOT((COUNTA($B92:$D92)+COUNTA($G92:$L92)+COUNTA($Q92))&gt;0),"",IF($V92="Macro",COUNTIFS($V$5:$V92,"Macro",$S$5:$S92,$S92),IF(N($U92)=0,"?",COUNTIFS(INDEX($V$5:$V$1000,1):INDEX($V$5:$V$1000,$U92-4),"Macro",INDEX($S$5:$S$1000,1):INDEX($S$5:$S$1000,$U92-4),INDEX($S$5:$S$1000,$U92-4))&amp;"."&amp;COUNTIFS($U$5:$U92,$U92,$V$5:$V92,"Sub"))))</f>
        <v/>
      </c>
      <c r="B92" s="57" t="n"/>
      <c r="C92" s="58" t="n"/>
      <c r="D92" s="58" t="n"/>
      <c r="E92" s="59">
        <f>IF(N($AL92)&gt;0,INDEX(rIni_ADM,$AL92),"")</f>
        <v/>
      </c>
      <c r="F92" s="59">
        <f>IF(N($AL92)&gt;0,INDEX(rLim_ADM,$AL92),"")</f>
        <v/>
      </c>
      <c r="G92" s="59" t="n"/>
      <c r="H92" s="60" t="n"/>
      <c r="I92" s="60" t="n"/>
      <c r="J92" s="60" t="n"/>
      <c r="K92" s="60" t="n"/>
      <c r="L92" s="60" t="n"/>
      <c r="M92" s="61">
        <f>IF(NOT((COUNTA($B92:$D92)+COUNTA($G92:$L92)+COUNTA($Q92))&gt;0),"",IF($V92="Sub",IFERROR($X92/INDEX($W$5:$W$1000,$U92-4),""),IF(ISNUMBER($G92),1,IF(N($W92)&gt;0,AVERAGEIFS($X$5:$X$1000,$U$5:$U$1000,ROW(),$V$5:$V$1000,"Sub"),$X92))))</f>
        <v/>
      </c>
      <c r="N92" s="56">
        <f>IF(OR($M92="",$V92="Sub"),"",IF($M92&gt;=1,"Completado",IF($M92&gt;0,"En curso","Pendiente")))</f>
        <v/>
      </c>
      <c r="O92" s="56">
        <f>IF(OR(NOT((COUNTA($B92:$D92)+COUNTA($G92:$L92)+COUNTA($Q92))&gt;0),$V92="Sub"),"",IF(ISNUMBER($G92),IF(AND(ISNUMBER($AN92),$G92&gt;$AN92),"Cumplida con "&amp;($G92-$AN92)&amp;IF($G92-$AN92=1," día"," días")&amp;" de retraso","Cumplida"),IF(N($M92)&gt;=1,"Cumplida",IF(NOT(ISNUMBER($AN92)),"Sin fecha límite",IF($AN92&lt;FechaRef,"Vencida hace "&amp;(FechaRef-$AN92)&amp;IF(FechaRef-$AN92=1," día"," días"),IF($AN92=FechaRef,"Vence hoy",IF($AN92-FechaRef&lt;=DiasAlerta,"Vence en "&amp;($AN92-FechaRef)&amp;IF($AN92-FechaRef=1," día"," días"),"En plazo")))))))</f>
        <v/>
      </c>
      <c r="P92" s="62" t="n"/>
      <c r="Q92" s="58" t="n"/>
      <c r="R92" s="63">
        <f>IF(NOT((COUNTA($B92:$D92)+COUNTA($G92:$L92)+COUNTA($Q92))&gt;0),"",IF((IF($C92="","Falta el nombre de la actividad"&amp;" · ","")&amp;IF(AND($V92="Sub",N($U92)=0),"Subactividad sin macroactividad arriba"&amp;" · ","")&amp;IF($AM92="","Sin fecha de inicio"&amp;" · ","")&amp;IF($AN92="","Sin fecha límite"&amp;" · ","")&amp;IF(AND(LEFT($C92,11)="[Jefatura] ",N($AL92)=0),"No se encuentra en la hoja de la jefatura (elíjala de nuevo en la lista)"&amp;" · ","")&amp;IF(OR(AND($E92&lt;&gt;"",NOT(ISNUMBER($E92))),AND($F92&lt;&gt;"",NOT(ISNUMBER($F92))),AND($G92&lt;&gt;"",NOT(ISNUMBER($G92)))),"Fecha no válida"&amp;" · ","")&amp;IF(AND(ISNUMBER($AM92),ISNUMBER($AN92),$AM92&gt;$AN92),"Inicio posterior a fecha límite"&amp;" · ","")&amp;IF(AND($V92="Macro",$H92&lt;&gt;"",OR(NOT(ISNUMBER($H92)),$H92&lt;0,$H92&gt;1)),"Peso fuera de rango"&amp;" · ","")&amp;IF(AND($V92="Sub",$H92&lt;&gt;""),"Las subactividades no llevan peso (valen igual dentro de su macroactividad)"&amp;" · ","")&amp;IF(AND(N($W92)&gt;0,COUNT($I92:$L92)&gt;0),"Con subactividades: deje vacías las semanas (se calculan solas)"&amp;" · ","")&amp;IF((COUNTIF($I92:$L92,"&gt;1")+COUNTIF($I92:$L92,"&lt;0")+COUNTA($I92:$L92)-COUNT($I92:$L92))&gt;0,"Avance fuera de rango 0-100%"&amp;" · ","")&amp;IF(OR(AND($J92&lt;&gt;"",$J92&lt;$I92),AND($K92&lt;&gt;"",$K92&lt;MAX($I92:$J92)),AND($L92&lt;&gt;"",$L92&lt;MAX($I92:$K92))),"Avance semanal decreciente"&amp;" · ","")&amp;IF(AND(ISNUMBER($AN92),$AN92&lt;FechaRef,IF($V92="Sub",N($X92),N($M92))&lt;1),"Vencida"&amp;" · ","")&amp;IF(AND(ObsObligatoria="Sí",ISNUMBER($AN92),$AN92&lt;FechaRef,IF($V92="Sub",N($X92),N($M92))&lt;1,$Q92=""),"Vencida sin observación"&amp;" · ",""))="","✔ OK","⚠ "&amp;LEFT(IF($C92="","Falta el nombre de la actividad"&amp;" · ","")&amp;IF(AND($V92="Sub",N($U92)=0),"Subactividad sin macroactividad arriba"&amp;" · ","")&amp;IF($AM92="","Sin fecha de inicio"&amp;" · ","")&amp;IF($AN92="","Sin fecha límite"&amp;" · ","")&amp;IF(AND(LEFT($C92,11)="[Jefatura] ",N($AL92)=0),"No se encuentra en la hoja de la jefatura (elíjala de nuevo en la lista)"&amp;" · ","")&amp;IF(OR(AND($E92&lt;&gt;"",NOT(ISNUMBER($E92))),AND($F92&lt;&gt;"",NOT(ISNUMBER($F92))),AND($G92&lt;&gt;"",NOT(ISNUMBER($G92)))),"Fecha no válida"&amp;" · ","")&amp;IF(AND(ISNUMBER($AM92),ISNUMBER($AN92),$AM92&gt;$AN92),"Inicio posterior a fecha límite"&amp;" · ","")&amp;IF(AND($V92="Macro",$H92&lt;&gt;"",OR(NOT(ISNUMBER($H92)),$H92&lt;0,$H92&gt;1)),"Peso fuera de rango"&amp;" · ","")&amp;IF(AND($V92="Sub",$H92&lt;&gt;""),"Las subactividades no llevan peso (valen igual dentro de su macroactividad)"&amp;" · ","")&amp;IF(AND(N($W92)&gt;0,COUNT($I92:$L92)&gt;0),"Con subactividades: deje vacías las semanas (se calculan solas)"&amp;" · ","")&amp;IF((COUNTIF($I92:$L92,"&gt;1")+COUNTIF($I92:$L92,"&lt;0")+COUNTA($I92:$L92)-COUNT($I92:$L92))&gt;0,"Avance fuera de rango 0-100%"&amp;" · ","")&amp;IF(OR(AND($J92&lt;&gt;"",$J92&lt;$I92),AND($K92&lt;&gt;"",$K92&lt;MAX($I92:$J92)),AND($L92&lt;&gt;"",$L92&lt;MAX($I92:$K92))),"Avance semanal decreciente"&amp;" · ","")&amp;IF(AND(ISNUMBER($AN92),$AN92&lt;FechaRef,IF($V92="Sub",N($X92),N($M92))&lt;1),"Vencida"&amp;" · ","")&amp;IF(AND(ObsObligatoria="Sí",ISNUMBER($AN92),$AN92&lt;FechaRef,IF($V92="Sub",N($X92),N($M92))&lt;1,$Q92=""),"Vencida sin observación"&amp;" · ",""),LEN(IF($C92="","Falta el nombre de la actividad"&amp;" · ","")&amp;IF(AND($V92="Sub",N($U92)=0),"Subactividad sin macroactividad arriba"&amp;" · ","")&amp;IF($AM92="","Sin fecha de inicio"&amp;" · ","")&amp;IF($AN92="","Sin fecha límite"&amp;" · ","")&amp;IF(AND(LEFT($C92,11)="[Jefatura] ",N($AL92)=0),"No se encuentra en la hoja de la jefatura (elíjala de nuevo en la lista)"&amp;" · ","")&amp;IF(OR(AND($E92&lt;&gt;"",NOT(ISNUMBER($E92))),AND($F92&lt;&gt;"",NOT(ISNUMBER($F92))),AND($G92&lt;&gt;"",NOT(ISNUMBER($G92)))),"Fecha no válida"&amp;" · ","")&amp;IF(AND(ISNUMBER($AM92),ISNUMBER($AN92),$AM92&gt;$AN92),"Inicio posterior a fecha límite"&amp;" · ","")&amp;IF(AND($V92="Macro",$H92&lt;&gt;"",OR(NOT(ISNUMBER($H92)),$H92&lt;0,$H92&gt;1)),"Peso fuera de rango"&amp;" · ","")&amp;IF(AND($V92="Sub",$H92&lt;&gt;""),"Las subactividades no llevan peso (valen igual dentro de su macroactividad)"&amp;" · ","")&amp;IF(AND(N($W92)&gt;0,COUNT($I92:$L92)&gt;0),"Con subactividades: deje vacías las semanas (se calculan solas)"&amp;" · ","")&amp;IF((COUNTIF($I92:$L92,"&gt;1")+COUNTIF($I92:$L92,"&lt;0")+COUNTA($I92:$L92)-COUNT($I92:$L92))&gt;0,"Avance fuera de rango 0-100%"&amp;" · ","")&amp;IF(OR(AND($J92&lt;&gt;"",$J92&lt;$I92),AND($K92&lt;&gt;"",$K92&lt;MAX($I92:$J92)),AND($L92&lt;&gt;"",$L92&lt;MAX($I92:$K92))),"Avance semanal decreciente"&amp;" · ","")&amp;IF(AND(ISNUMBER($AN92),$AN92&lt;FechaRef,IF($V92="Sub",N($X92),N($M92))&lt;1),"Vencida"&amp;" · ","")&amp;IF(AND(ObsObligatoria="Sí",ISNUMBER($AN92),$AN92&lt;FechaRef,IF($V92="Sub",N($X92),N($M92))&lt;1,$Q92=""),"Vencida sin observación"&amp;" · ",""))-3)))</f>
        <v/>
      </c>
      <c r="S92" s="64">
        <f>IF(NOT((COUNTA($B92:$D92)+COUNTA($G92:$L92)+COUNTA($Q92))&gt;0),"",IF(AND($V92="Sub",N($U92)&gt;0),IF(ISNUMBER(INDEX($AM$5:$AM$1000,$U92-4)),DATE(YEAR(INDEX($AM$5:$AM$1000,$U92-4)),MONTH(INDEX($AM$5:$AM$1000,$U92-4)),1),IF(ISNUMBER(INDEX($AN$5:$AN$1000,$U92-4)),DATE(YEAR(INDEX($AN$5:$AN$1000,$U92-4)),MONTH(INDEX($AN$5:$AN$1000,$U92-4)),1),MesCiclo)),IF(ISNUMBER($AM92),DATE(YEAR($AM92),MONTH($AM92),1),IF(ISNUMBER($AN92),DATE(YEAR($AN92),MONTH($AN92),1),MesCiclo))))</f>
        <v/>
      </c>
      <c r="T92" s="62">
        <f>IF(OR($S92="",$S92&lt;&gt;MesCiclo,$V92&lt;&gt;"Macro"),"",COUNTIFS($S$5:$S92,MesCiclo,$V$5:$V92,"Macro"))</f>
        <v/>
      </c>
      <c r="U92" s="62">
        <f>IF($V92="","",IF($V92="Macro",ROW(),IFERROR(LOOKUP(2,1/($V$5:$V92="Macro"),ROW($V$5:$V92)),0)))</f>
        <v/>
      </c>
      <c r="V92" s="62">
        <f>IF(NOT((COUNTA($B92:$D92)+COUNTA($G92:$L92)+COUNTA($Q92))&gt;0),"",IF($B92="Subactividad","Sub","Macro"))</f>
        <v/>
      </c>
      <c r="W92" s="62">
        <f>IF($V92="Macro",COUNTIFS($U$5:$U$1000,ROW(),$V$5:$V$1000,"Sub"),"")</f>
        <v/>
      </c>
      <c r="X92" s="62">
        <f>IF($V92="","",IF(ISNUMBER($G92),1,IFERROR(LOOKUP(2,1/($I92:$L92&lt;&gt;""),$I92:$L92),0)))</f>
        <v/>
      </c>
      <c r="Y92" s="62">
        <f>IF($V92="","",IF(AND(ISNUMBER($G92),$G92&lt;=IF($S92=MesCiclo,InicioCiclo,$S92+MOD(2-WEEKDAY($S92),7))+6),1,IF(ISNUMBER($I92),$I92,0)))</f>
        <v/>
      </c>
      <c r="Z92" s="62">
        <f>IF($V92="","",IF(AND(ISNUMBER($G92),$G92&lt;=IF($S92=MesCiclo,InicioCiclo,$S92+MOD(2-WEEKDAY($S92),7))+13),1,IF(ISNUMBER($J92),$J92,$Y92)))</f>
        <v/>
      </c>
      <c r="AA92" s="62">
        <f>IF($V92="","",IF(AND(ISNUMBER($G92),$G92&lt;=IF($S92=MesCiclo,InicioCiclo,$S92+MOD(2-WEEKDAY($S92),7))+20),1,IF(ISNUMBER($K92),$K92,$Z92)))</f>
        <v/>
      </c>
      <c r="AB92" s="62">
        <f>IF($V92="","",IF(AND(ISNUMBER($G92),$G92&lt;=IF($S92=MesCiclo,InicioCiclo,$S92+MOD(2-WEEKDAY($S92),7))+27),1,IF(ISNUMBER($L92),$L92,$AA92)))</f>
        <v/>
      </c>
      <c r="AC92" s="62">
        <f>IF($V92="","",IF(AND(ISNUMBER($G92),$G92&lt;=IF($S92=MesCiclo,InicioCiclo,$S92+MOD(2-WEEKDAY($S92),7))+6),1,IF(N($W92)&gt;0,AVERAGEIFS($Y$5:$Y$1000,$U$5:$U$1000,ROW(),$V$5:$V$1000,"Sub"),$Y92)))</f>
        <v/>
      </c>
      <c r="AD92" s="62">
        <f>IF($V92="","",IF(AND(ISNUMBER($G92),$G92&lt;=IF($S92=MesCiclo,InicioCiclo,$S92+MOD(2-WEEKDAY($S92),7))+13),1,IF(N($W92)&gt;0,AVERAGEIFS($Z$5:$Z$1000,$U$5:$U$1000,ROW(),$V$5:$V$1000,"Sub"),$Z92)))</f>
        <v/>
      </c>
      <c r="AE92" s="62">
        <f>IF($V92="","",IF(AND(ISNUMBER($G92),$G92&lt;=IF($S92=MesCiclo,InicioCiclo,$S92+MOD(2-WEEKDAY($S92),7))+20),1,IF(N($W92)&gt;0,AVERAGEIFS($AA$5:$AA$1000,$U$5:$U$1000,ROW(),$V$5:$V$1000,"Sub"),$AA92)))</f>
        <v/>
      </c>
      <c r="AF92" s="62">
        <f>IF($V92="","",IF(AND(ISNUMBER($G92),$G92&lt;=IF($S92=MesCiclo,InicioCiclo,$S92+MOD(2-WEEKDAY($S92),7))+27),1,IF(N($W92)&gt;0,AVERAGEIFS($AB$5:$AB$1000,$U$5:$U$1000,ROW(),$V$5:$V$1000,"Sub"),$AB92)))</f>
        <v/>
      </c>
      <c r="AG92" s="62">
        <f>IF($V92&lt;&gt;"Macro","",IF(COUNTIFS($S$5:$S$1000,$S92,$V$5:$V$1000,"Macro",$H$5:$H$1000,"&gt;0")=0,1/COUNTIFS($S$5:$S$1000,$S92,$V$5:$V$1000,"Macro"),IF(AND(ISNUMBER($H92),N($H92)&gt;0),$H92,SUMIFS($H$5:$H$1000,$S$5:$S$1000,$S92,$V$5:$V$1000,"Macro")/COUNTIFS($S$5:$S$1000,$S92,$V$5:$V$1000,"Macro",$H$5:$H$1000,"&gt;0"))/(COUNTIFS($S$5:$S$1000,$S92,$V$5:$V$1000,"Macro")*SUMIFS($H$5:$H$1000,$S$5:$S$1000,$S92,$V$5:$V$1000,"Macro")/COUNTIFS($S$5:$S$1000,$S92,$V$5:$V$1000,"Macro",$H$5:$H$1000,"&gt;0"))))</f>
        <v/>
      </c>
      <c r="AH92" s="62" t="n"/>
      <c r="AI92" s="62" t="n"/>
      <c r="AJ92" s="62" t="n"/>
      <c r="AK92" s="62" t="n"/>
      <c r="AL92" s="62">
        <f>IF(LEFT($C92,11)="[Jefatura] ",IFERROR(MATCH("Riesgo Operacional|"&amp;MID($C92,12,500),rDname_ADM,0),0),"")</f>
        <v/>
      </c>
      <c r="AM92" s="62">
        <f>IF(N($AL92)&gt;0,INDEX(rIni_ADM,$AL92),IF(ISNUMBER($E92),$E92,""))</f>
        <v/>
      </c>
      <c r="AN92" s="62">
        <f>IF(N($AL92)&gt;0,INDEX(rLim_ADM,$AL92),IF(ISNUMBER($F92),$F92,""))</f>
        <v/>
      </c>
    </row>
    <row r="93">
      <c r="A93" s="56">
        <f>IF(NOT((COUNTA($B93:$D93)+COUNTA($G93:$L93)+COUNTA($Q93))&gt;0),"",IF($V93="Macro",COUNTIFS($V$5:$V93,"Macro",$S$5:$S93,$S93),IF(N($U93)=0,"?",COUNTIFS(INDEX($V$5:$V$1000,1):INDEX($V$5:$V$1000,$U93-4),"Macro",INDEX($S$5:$S$1000,1):INDEX($S$5:$S$1000,$U93-4),INDEX($S$5:$S$1000,$U93-4))&amp;"."&amp;COUNTIFS($U$5:$U93,$U93,$V$5:$V93,"Sub"))))</f>
        <v/>
      </c>
      <c r="B93" s="57" t="n"/>
      <c r="C93" s="58" t="n"/>
      <c r="D93" s="58" t="n"/>
      <c r="E93" s="59">
        <f>IF(N($AL93)&gt;0,INDEX(rIni_ADM,$AL93),"")</f>
        <v/>
      </c>
      <c r="F93" s="59">
        <f>IF(N($AL93)&gt;0,INDEX(rLim_ADM,$AL93),"")</f>
        <v/>
      </c>
      <c r="G93" s="59" t="n"/>
      <c r="H93" s="60" t="n"/>
      <c r="I93" s="60" t="n"/>
      <c r="J93" s="60" t="n"/>
      <c r="K93" s="60" t="n"/>
      <c r="L93" s="60" t="n"/>
      <c r="M93" s="61">
        <f>IF(NOT((COUNTA($B93:$D93)+COUNTA($G93:$L93)+COUNTA($Q93))&gt;0),"",IF($V93="Sub",IFERROR($X93/INDEX($W$5:$W$1000,$U93-4),""),IF(ISNUMBER($G93),1,IF(N($W93)&gt;0,AVERAGEIFS($X$5:$X$1000,$U$5:$U$1000,ROW(),$V$5:$V$1000,"Sub"),$X93))))</f>
        <v/>
      </c>
      <c r="N93" s="56">
        <f>IF(OR($M93="",$V93="Sub"),"",IF($M93&gt;=1,"Completado",IF($M93&gt;0,"En curso","Pendiente")))</f>
        <v/>
      </c>
      <c r="O93" s="56">
        <f>IF(OR(NOT((COUNTA($B93:$D93)+COUNTA($G93:$L93)+COUNTA($Q93))&gt;0),$V93="Sub"),"",IF(ISNUMBER($G93),IF(AND(ISNUMBER($AN93),$G93&gt;$AN93),"Cumplida con "&amp;($G93-$AN93)&amp;IF($G93-$AN93=1," día"," días")&amp;" de retraso","Cumplida"),IF(N($M93)&gt;=1,"Cumplida",IF(NOT(ISNUMBER($AN93)),"Sin fecha límite",IF($AN93&lt;FechaRef,"Vencida hace "&amp;(FechaRef-$AN93)&amp;IF(FechaRef-$AN93=1," día"," días"),IF($AN93=FechaRef,"Vence hoy",IF($AN93-FechaRef&lt;=DiasAlerta,"Vence en "&amp;($AN93-FechaRef)&amp;IF($AN93-FechaRef=1," día"," días"),"En plazo")))))))</f>
        <v/>
      </c>
      <c r="P93" s="62" t="n"/>
      <c r="Q93" s="58" t="n"/>
      <c r="R93" s="63">
        <f>IF(NOT((COUNTA($B93:$D93)+COUNTA($G93:$L93)+COUNTA($Q93))&gt;0),"",IF((IF($C93="","Falta el nombre de la actividad"&amp;" · ","")&amp;IF(AND($V93="Sub",N($U93)=0),"Subactividad sin macroactividad arriba"&amp;" · ","")&amp;IF($AM93="","Sin fecha de inicio"&amp;" · ","")&amp;IF($AN93="","Sin fecha límite"&amp;" · ","")&amp;IF(AND(LEFT($C93,11)="[Jefatura] ",N($AL93)=0),"No se encuentra en la hoja de la jefatura (elíjala de nuevo en la lista)"&amp;" · ","")&amp;IF(OR(AND($E93&lt;&gt;"",NOT(ISNUMBER($E93))),AND($F93&lt;&gt;"",NOT(ISNUMBER($F93))),AND($G93&lt;&gt;"",NOT(ISNUMBER($G93)))),"Fecha no válida"&amp;" · ","")&amp;IF(AND(ISNUMBER($AM93),ISNUMBER($AN93),$AM93&gt;$AN93),"Inicio posterior a fecha límite"&amp;" · ","")&amp;IF(AND($V93="Macro",$H93&lt;&gt;"",OR(NOT(ISNUMBER($H93)),$H93&lt;0,$H93&gt;1)),"Peso fuera de rango"&amp;" · ","")&amp;IF(AND($V93="Sub",$H93&lt;&gt;""),"Las subactividades no llevan peso (valen igual dentro de su macroactividad)"&amp;" · ","")&amp;IF(AND(N($W93)&gt;0,COUNT($I93:$L93)&gt;0),"Con subactividades: deje vacías las semanas (se calculan solas)"&amp;" · ","")&amp;IF((COUNTIF($I93:$L93,"&gt;1")+COUNTIF($I93:$L93,"&lt;0")+COUNTA($I93:$L93)-COUNT($I93:$L93))&gt;0,"Avance fuera de rango 0-100%"&amp;" · ","")&amp;IF(OR(AND($J93&lt;&gt;"",$J93&lt;$I93),AND($K93&lt;&gt;"",$K93&lt;MAX($I93:$J93)),AND($L93&lt;&gt;"",$L93&lt;MAX($I93:$K93))),"Avance semanal decreciente"&amp;" · ","")&amp;IF(AND(ISNUMBER($AN93),$AN93&lt;FechaRef,IF($V93="Sub",N($X93),N($M93))&lt;1),"Vencida"&amp;" · ","")&amp;IF(AND(ObsObligatoria="Sí",ISNUMBER($AN93),$AN93&lt;FechaRef,IF($V93="Sub",N($X93),N($M93))&lt;1,$Q93=""),"Vencida sin observación"&amp;" · ",""))="","✔ OK","⚠ "&amp;LEFT(IF($C93="","Falta el nombre de la actividad"&amp;" · ","")&amp;IF(AND($V93="Sub",N($U93)=0),"Subactividad sin macroactividad arriba"&amp;" · ","")&amp;IF($AM93="","Sin fecha de inicio"&amp;" · ","")&amp;IF($AN93="","Sin fecha límite"&amp;" · ","")&amp;IF(AND(LEFT($C93,11)="[Jefatura] ",N($AL93)=0),"No se encuentra en la hoja de la jefatura (elíjala de nuevo en la lista)"&amp;" · ","")&amp;IF(OR(AND($E93&lt;&gt;"",NOT(ISNUMBER($E93))),AND($F93&lt;&gt;"",NOT(ISNUMBER($F93))),AND($G93&lt;&gt;"",NOT(ISNUMBER($G93)))),"Fecha no válida"&amp;" · ","")&amp;IF(AND(ISNUMBER($AM93),ISNUMBER($AN93),$AM93&gt;$AN93),"Inicio posterior a fecha límite"&amp;" · ","")&amp;IF(AND($V93="Macro",$H93&lt;&gt;"",OR(NOT(ISNUMBER($H93)),$H93&lt;0,$H93&gt;1)),"Peso fuera de rango"&amp;" · ","")&amp;IF(AND($V93="Sub",$H93&lt;&gt;""),"Las subactividades no llevan peso (valen igual dentro de su macroactividad)"&amp;" · ","")&amp;IF(AND(N($W93)&gt;0,COUNT($I93:$L93)&gt;0),"Con subactividades: deje vacías las semanas (se calculan solas)"&amp;" · ","")&amp;IF((COUNTIF($I93:$L93,"&gt;1")+COUNTIF($I93:$L93,"&lt;0")+COUNTA($I93:$L93)-COUNT($I93:$L93))&gt;0,"Avance fuera de rango 0-100%"&amp;" · ","")&amp;IF(OR(AND($J93&lt;&gt;"",$J93&lt;$I93),AND($K93&lt;&gt;"",$K93&lt;MAX($I93:$J93)),AND($L93&lt;&gt;"",$L93&lt;MAX($I93:$K93))),"Avance semanal decreciente"&amp;" · ","")&amp;IF(AND(ISNUMBER($AN93),$AN93&lt;FechaRef,IF($V93="Sub",N($X93),N($M93))&lt;1),"Vencida"&amp;" · ","")&amp;IF(AND(ObsObligatoria="Sí",ISNUMBER($AN93),$AN93&lt;FechaRef,IF($V93="Sub",N($X93),N($M93))&lt;1,$Q93=""),"Vencida sin observación"&amp;" · ",""),LEN(IF($C93="","Falta el nombre de la actividad"&amp;" · ","")&amp;IF(AND($V93="Sub",N($U93)=0),"Subactividad sin macroactividad arriba"&amp;" · ","")&amp;IF($AM93="","Sin fecha de inicio"&amp;" · ","")&amp;IF($AN93="","Sin fecha límite"&amp;" · ","")&amp;IF(AND(LEFT($C93,11)="[Jefatura] ",N($AL93)=0),"No se encuentra en la hoja de la jefatura (elíjala de nuevo en la lista)"&amp;" · ","")&amp;IF(OR(AND($E93&lt;&gt;"",NOT(ISNUMBER($E93))),AND($F93&lt;&gt;"",NOT(ISNUMBER($F93))),AND($G93&lt;&gt;"",NOT(ISNUMBER($G93)))),"Fecha no válida"&amp;" · ","")&amp;IF(AND(ISNUMBER($AM93),ISNUMBER($AN93),$AM93&gt;$AN93),"Inicio posterior a fecha límite"&amp;" · ","")&amp;IF(AND($V93="Macro",$H93&lt;&gt;"",OR(NOT(ISNUMBER($H93)),$H93&lt;0,$H93&gt;1)),"Peso fuera de rango"&amp;" · ","")&amp;IF(AND($V93="Sub",$H93&lt;&gt;""),"Las subactividades no llevan peso (valen igual dentro de su macroactividad)"&amp;" · ","")&amp;IF(AND(N($W93)&gt;0,COUNT($I93:$L93)&gt;0),"Con subactividades: deje vacías las semanas (se calculan solas)"&amp;" · ","")&amp;IF((COUNTIF($I93:$L93,"&gt;1")+COUNTIF($I93:$L93,"&lt;0")+COUNTA($I93:$L93)-COUNT($I93:$L93))&gt;0,"Avance fuera de rango 0-100%"&amp;" · ","")&amp;IF(OR(AND($J93&lt;&gt;"",$J93&lt;$I93),AND($K93&lt;&gt;"",$K93&lt;MAX($I93:$J93)),AND($L93&lt;&gt;"",$L93&lt;MAX($I93:$K93))),"Avance semanal decreciente"&amp;" · ","")&amp;IF(AND(ISNUMBER($AN93),$AN93&lt;FechaRef,IF($V93="Sub",N($X93),N($M93))&lt;1),"Vencida"&amp;" · ","")&amp;IF(AND(ObsObligatoria="Sí",ISNUMBER($AN93),$AN93&lt;FechaRef,IF($V93="Sub",N($X93),N($M93))&lt;1,$Q93=""),"Vencida sin observación"&amp;" · ",""))-3)))</f>
        <v/>
      </c>
      <c r="S93" s="64">
        <f>IF(NOT((COUNTA($B93:$D93)+COUNTA($G93:$L93)+COUNTA($Q93))&gt;0),"",IF(AND($V93="Sub",N($U93)&gt;0),IF(ISNUMBER(INDEX($AM$5:$AM$1000,$U93-4)),DATE(YEAR(INDEX($AM$5:$AM$1000,$U93-4)),MONTH(INDEX($AM$5:$AM$1000,$U93-4)),1),IF(ISNUMBER(INDEX($AN$5:$AN$1000,$U93-4)),DATE(YEAR(INDEX($AN$5:$AN$1000,$U93-4)),MONTH(INDEX($AN$5:$AN$1000,$U93-4)),1),MesCiclo)),IF(ISNUMBER($AM93),DATE(YEAR($AM93),MONTH($AM93),1),IF(ISNUMBER($AN93),DATE(YEAR($AN93),MONTH($AN93),1),MesCiclo))))</f>
        <v/>
      </c>
      <c r="T93" s="62">
        <f>IF(OR($S93="",$S93&lt;&gt;MesCiclo,$V93&lt;&gt;"Macro"),"",COUNTIFS($S$5:$S93,MesCiclo,$V$5:$V93,"Macro"))</f>
        <v/>
      </c>
      <c r="U93" s="62">
        <f>IF($V93="","",IF($V93="Macro",ROW(),IFERROR(LOOKUP(2,1/($V$5:$V93="Macro"),ROW($V$5:$V93)),0)))</f>
        <v/>
      </c>
      <c r="V93" s="62">
        <f>IF(NOT((COUNTA($B93:$D93)+COUNTA($G93:$L93)+COUNTA($Q93))&gt;0),"",IF($B93="Subactividad","Sub","Macro"))</f>
        <v/>
      </c>
      <c r="W93" s="62">
        <f>IF($V93="Macro",COUNTIFS($U$5:$U$1000,ROW(),$V$5:$V$1000,"Sub"),"")</f>
        <v/>
      </c>
      <c r="X93" s="62">
        <f>IF($V93="","",IF(ISNUMBER($G93),1,IFERROR(LOOKUP(2,1/($I93:$L93&lt;&gt;""),$I93:$L93),0)))</f>
        <v/>
      </c>
      <c r="Y93" s="62">
        <f>IF($V93="","",IF(AND(ISNUMBER($G93),$G93&lt;=IF($S93=MesCiclo,InicioCiclo,$S93+MOD(2-WEEKDAY($S93),7))+6),1,IF(ISNUMBER($I93),$I93,0)))</f>
        <v/>
      </c>
      <c r="Z93" s="62">
        <f>IF($V93="","",IF(AND(ISNUMBER($G93),$G93&lt;=IF($S93=MesCiclo,InicioCiclo,$S93+MOD(2-WEEKDAY($S93),7))+13),1,IF(ISNUMBER($J93),$J93,$Y93)))</f>
        <v/>
      </c>
      <c r="AA93" s="62">
        <f>IF($V93="","",IF(AND(ISNUMBER($G93),$G93&lt;=IF($S93=MesCiclo,InicioCiclo,$S93+MOD(2-WEEKDAY($S93),7))+20),1,IF(ISNUMBER($K93),$K93,$Z93)))</f>
        <v/>
      </c>
      <c r="AB93" s="62">
        <f>IF($V93="","",IF(AND(ISNUMBER($G93),$G93&lt;=IF($S93=MesCiclo,InicioCiclo,$S93+MOD(2-WEEKDAY($S93),7))+27),1,IF(ISNUMBER($L93),$L93,$AA93)))</f>
        <v/>
      </c>
      <c r="AC93" s="62">
        <f>IF($V93="","",IF(AND(ISNUMBER($G93),$G93&lt;=IF($S93=MesCiclo,InicioCiclo,$S93+MOD(2-WEEKDAY($S93),7))+6),1,IF(N($W93)&gt;0,AVERAGEIFS($Y$5:$Y$1000,$U$5:$U$1000,ROW(),$V$5:$V$1000,"Sub"),$Y93)))</f>
        <v/>
      </c>
      <c r="AD93" s="62">
        <f>IF($V93="","",IF(AND(ISNUMBER($G93),$G93&lt;=IF($S93=MesCiclo,InicioCiclo,$S93+MOD(2-WEEKDAY($S93),7))+13),1,IF(N($W93)&gt;0,AVERAGEIFS($Z$5:$Z$1000,$U$5:$U$1000,ROW(),$V$5:$V$1000,"Sub"),$Z93)))</f>
        <v/>
      </c>
      <c r="AE93" s="62">
        <f>IF($V93="","",IF(AND(ISNUMBER($G93),$G93&lt;=IF($S93=MesCiclo,InicioCiclo,$S93+MOD(2-WEEKDAY($S93),7))+20),1,IF(N($W93)&gt;0,AVERAGEIFS($AA$5:$AA$1000,$U$5:$U$1000,ROW(),$V$5:$V$1000,"Sub"),$AA93)))</f>
        <v/>
      </c>
      <c r="AF93" s="62">
        <f>IF($V93="","",IF(AND(ISNUMBER($G93),$G93&lt;=IF($S93=MesCiclo,InicioCiclo,$S93+MOD(2-WEEKDAY($S93),7))+27),1,IF(N($W93)&gt;0,AVERAGEIFS($AB$5:$AB$1000,$U$5:$U$1000,ROW(),$V$5:$V$1000,"Sub"),$AB93)))</f>
        <v/>
      </c>
      <c r="AG93" s="62">
        <f>IF($V93&lt;&gt;"Macro","",IF(COUNTIFS($S$5:$S$1000,$S93,$V$5:$V$1000,"Macro",$H$5:$H$1000,"&gt;0")=0,1/COUNTIFS($S$5:$S$1000,$S93,$V$5:$V$1000,"Macro"),IF(AND(ISNUMBER($H93),N($H93)&gt;0),$H93,SUMIFS($H$5:$H$1000,$S$5:$S$1000,$S93,$V$5:$V$1000,"Macro")/COUNTIFS($S$5:$S$1000,$S93,$V$5:$V$1000,"Macro",$H$5:$H$1000,"&gt;0"))/(COUNTIFS($S$5:$S$1000,$S93,$V$5:$V$1000,"Macro")*SUMIFS($H$5:$H$1000,$S$5:$S$1000,$S93,$V$5:$V$1000,"Macro")/COUNTIFS($S$5:$S$1000,$S93,$V$5:$V$1000,"Macro",$H$5:$H$1000,"&gt;0"))))</f>
        <v/>
      </c>
      <c r="AH93" s="62" t="n"/>
      <c r="AI93" s="62" t="n"/>
      <c r="AJ93" s="62" t="n"/>
      <c r="AK93" s="62" t="n"/>
      <c r="AL93" s="62">
        <f>IF(LEFT($C93,11)="[Jefatura] ",IFERROR(MATCH("Riesgo Operacional|"&amp;MID($C93,12,500),rDname_ADM,0),0),"")</f>
        <v/>
      </c>
      <c r="AM93" s="62">
        <f>IF(N($AL93)&gt;0,INDEX(rIni_ADM,$AL93),IF(ISNUMBER($E93),$E93,""))</f>
        <v/>
      </c>
      <c r="AN93" s="62">
        <f>IF(N($AL93)&gt;0,INDEX(rLim_ADM,$AL93),IF(ISNUMBER($F93),$F93,""))</f>
        <v/>
      </c>
    </row>
    <row r="94">
      <c r="A94" s="56">
        <f>IF(NOT((COUNTA($B94:$D94)+COUNTA($G94:$L94)+COUNTA($Q94))&gt;0),"",IF($V94="Macro",COUNTIFS($V$5:$V94,"Macro",$S$5:$S94,$S94),IF(N($U94)=0,"?",COUNTIFS(INDEX($V$5:$V$1000,1):INDEX($V$5:$V$1000,$U94-4),"Macro",INDEX($S$5:$S$1000,1):INDEX($S$5:$S$1000,$U94-4),INDEX($S$5:$S$1000,$U94-4))&amp;"."&amp;COUNTIFS($U$5:$U94,$U94,$V$5:$V94,"Sub"))))</f>
        <v/>
      </c>
      <c r="B94" s="57" t="n"/>
      <c r="C94" s="58" t="n"/>
      <c r="D94" s="58" t="n"/>
      <c r="E94" s="59">
        <f>IF(N($AL94)&gt;0,INDEX(rIni_ADM,$AL94),"")</f>
        <v/>
      </c>
      <c r="F94" s="59">
        <f>IF(N($AL94)&gt;0,INDEX(rLim_ADM,$AL94),"")</f>
        <v/>
      </c>
      <c r="G94" s="59" t="n"/>
      <c r="H94" s="60" t="n"/>
      <c r="I94" s="60" t="n"/>
      <c r="J94" s="60" t="n"/>
      <c r="K94" s="60" t="n"/>
      <c r="L94" s="60" t="n"/>
      <c r="M94" s="61">
        <f>IF(NOT((COUNTA($B94:$D94)+COUNTA($G94:$L94)+COUNTA($Q94))&gt;0),"",IF($V94="Sub",IFERROR($X94/INDEX($W$5:$W$1000,$U94-4),""),IF(ISNUMBER($G94),1,IF(N($W94)&gt;0,AVERAGEIFS($X$5:$X$1000,$U$5:$U$1000,ROW(),$V$5:$V$1000,"Sub"),$X94))))</f>
        <v/>
      </c>
      <c r="N94" s="56">
        <f>IF(OR($M94="",$V94="Sub"),"",IF($M94&gt;=1,"Completado",IF($M94&gt;0,"En curso","Pendiente")))</f>
        <v/>
      </c>
      <c r="O94" s="56">
        <f>IF(OR(NOT((COUNTA($B94:$D94)+COUNTA($G94:$L94)+COUNTA($Q94))&gt;0),$V94="Sub"),"",IF(ISNUMBER($G94),IF(AND(ISNUMBER($AN94),$G94&gt;$AN94),"Cumplida con "&amp;($G94-$AN94)&amp;IF($G94-$AN94=1," día"," días")&amp;" de retraso","Cumplida"),IF(N($M94)&gt;=1,"Cumplida",IF(NOT(ISNUMBER($AN94)),"Sin fecha límite",IF($AN94&lt;FechaRef,"Vencida hace "&amp;(FechaRef-$AN94)&amp;IF(FechaRef-$AN94=1," día"," días"),IF($AN94=FechaRef,"Vence hoy",IF($AN94-FechaRef&lt;=DiasAlerta,"Vence en "&amp;($AN94-FechaRef)&amp;IF($AN94-FechaRef=1," día"," días"),"En plazo")))))))</f>
        <v/>
      </c>
      <c r="P94" s="62" t="n"/>
      <c r="Q94" s="58" t="n"/>
      <c r="R94" s="63">
        <f>IF(NOT((COUNTA($B94:$D94)+COUNTA($G94:$L94)+COUNTA($Q94))&gt;0),"",IF((IF($C94="","Falta el nombre de la actividad"&amp;" · ","")&amp;IF(AND($V94="Sub",N($U94)=0),"Subactividad sin macroactividad arriba"&amp;" · ","")&amp;IF($AM94="","Sin fecha de inicio"&amp;" · ","")&amp;IF($AN94="","Sin fecha límite"&amp;" · ","")&amp;IF(AND(LEFT($C94,11)="[Jefatura] ",N($AL94)=0),"No se encuentra en la hoja de la jefatura (elíjala de nuevo en la lista)"&amp;" · ","")&amp;IF(OR(AND($E94&lt;&gt;"",NOT(ISNUMBER($E94))),AND($F94&lt;&gt;"",NOT(ISNUMBER($F94))),AND($G94&lt;&gt;"",NOT(ISNUMBER($G94)))),"Fecha no válida"&amp;" · ","")&amp;IF(AND(ISNUMBER($AM94),ISNUMBER($AN94),$AM94&gt;$AN94),"Inicio posterior a fecha límite"&amp;" · ","")&amp;IF(AND($V94="Macro",$H94&lt;&gt;"",OR(NOT(ISNUMBER($H94)),$H94&lt;0,$H94&gt;1)),"Peso fuera de rango"&amp;" · ","")&amp;IF(AND($V94="Sub",$H94&lt;&gt;""),"Las subactividades no llevan peso (valen igual dentro de su macroactividad)"&amp;" · ","")&amp;IF(AND(N($W94)&gt;0,COUNT($I94:$L94)&gt;0),"Con subactividades: deje vacías las semanas (se calculan solas)"&amp;" · ","")&amp;IF((COUNTIF($I94:$L94,"&gt;1")+COUNTIF($I94:$L94,"&lt;0")+COUNTA($I94:$L94)-COUNT($I94:$L94))&gt;0,"Avance fuera de rango 0-100%"&amp;" · ","")&amp;IF(OR(AND($J94&lt;&gt;"",$J94&lt;$I94),AND($K94&lt;&gt;"",$K94&lt;MAX($I94:$J94)),AND($L94&lt;&gt;"",$L94&lt;MAX($I94:$K94))),"Avance semanal decreciente"&amp;" · ","")&amp;IF(AND(ISNUMBER($AN94),$AN94&lt;FechaRef,IF($V94="Sub",N($X94),N($M94))&lt;1),"Vencida"&amp;" · ","")&amp;IF(AND(ObsObligatoria="Sí",ISNUMBER($AN94),$AN94&lt;FechaRef,IF($V94="Sub",N($X94),N($M94))&lt;1,$Q94=""),"Vencida sin observación"&amp;" · ",""))="","✔ OK","⚠ "&amp;LEFT(IF($C94="","Falta el nombre de la actividad"&amp;" · ","")&amp;IF(AND($V94="Sub",N($U94)=0),"Subactividad sin macroactividad arriba"&amp;" · ","")&amp;IF($AM94="","Sin fecha de inicio"&amp;" · ","")&amp;IF($AN94="","Sin fecha límite"&amp;" · ","")&amp;IF(AND(LEFT($C94,11)="[Jefatura] ",N($AL94)=0),"No se encuentra en la hoja de la jefatura (elíjala de nuevo en la lista)"&amp;" · ","")&amp;IF(OR(AND($E94&lt;&gt;"",NOT(ISNUMBER($E94))),AND($F94&lt;&gt;"",NOT(ISNUMBER($F94))),AND($G94&lt;&gt;"",NOT(ISNUMBER($G94)))),"Fecha no válida"&amp;" · ","")&amp;IF(AND(ISNUMBER($AM94),ISNUMBER($AN94),$AM94&gt;$AN94),"Inicio posterior a fecha límite"&amp;" · ","")&amp;IF(AND($V94="Macro",$H94&lt;&gt;"",OR(NOT(ISNUMBER($H94)),$H94&lt;0,$H94&gt;1)),"Peso fuera de rango"&amp;" · ","")&amp;IF(AND($V94="Sub",$H94&lt;&gt;""),"Las subactividades no llevan peso (valen igual dentro de su macroactividad)"&amp;" · ","")&amp;IF(AND(N($W94)&gt;0,COUNT($I94:$L94)&gt;0),"Con subactividades: deje vacías las semanas (se calculan solas)"&amp;" · ","")&amp;IF((COUNTIF($I94:$L94,"&gt;1")+COUNTIF($I94:$L94,"&lt;0")+COUNTA($I94:$L94)-COUNT($I94:$L94))&gt;0,"Avance fuera de rango 0-100%"&amp;" · ","")&amp;IF(OR(AND($J94&lt;&gt;"",$J94&lt;$I94),AND($K94&lt;&gt;"",$K94&lt;MAX($I94:$J94)),AND($L94&lt;&gt;"",$L94&lt;MAX($I94:$K94))),"Avance semanal decreciente"&amp;" · ","")&amp;IF(AND(ISNUMBER($AN94),$AN94&lt;FechaRef,IF($V94="Sub",N($X94),N($M94))&lt;1),"Vencida"&amp;" · ","")&amp;IF(AND(ObsObligatoria="Sí",ISNUMBER($AN94),$AN94&lt;FechaRef,IF($V94="Sub",N($X94),N($M94))&lt;1,$Q94=""),"Vencida sin observación"&amp;" · ",""),LEN(IF($C94="","Falta el nombre de la actividad"&amp;" · ","")&amp;IF(AND($V94="Sub",N($U94)=0),"Subactividad sin macroactividad arriba"&amp;" · ","")&amp;IF($AM94="","Sin fecha de inicio"&amp;" · ","")&amp;IF($AN94="","Sin fecha límite"&amp;" · ","")&amp;IF(AND(LEFT($C94,11)="[Jefatura] ",N($AL94)=0),"No se encuentra en la hoja de la jefatura (elíjala de nuevo en la lista)"&amp;" · ","")&amp;IF(OR(AND($E94&lt;&gt;"",NOT(ISNUMBER($E94))),AND($F94&lt;&gt;"",NOT(ISNUMBER($F94))),AND($G94&lt;&gt;"",NOT(ISNUMBER($G94)))),"Fecha no válida"&amp;" · ","")&amp;IF(AND(ISNUMBER($AM94),ISNUMBER($AN94),$AM94&gt;$AN94),"Inicio posterior a fecha límite"&amp;" · ","")&amp;IF(AND($V94="Macro",$H94&lt;&gt;"",OR(NOT(ISNUMBER($H94)),$H94&lt;0,$H94&gt;1)),"Peso fuera de rango"&amp;" · ","")&amp;IF(AND($V94="Sub",$H94&lt;&gt;""),"Las subactividades no llevan peso (valen igual dentro de su macroactividad)"&amp;" · ","")&amp;IF(AND(N($W94)&gt;0,COUNT($I94:$L94)&gt;0),"Con subactividades: deje vacías las semanas (se calculan solas)"&amp;" · ","")&amp;IF((COUNTIF($I94:$L94,"&gt;1")+COUNTIF($I94:$L94,"&lt;0")+COUNTA($I94:$L94)-COUNT($I94:$L94))&gt;0,"Avance fuera de rango 0-100%"&amp;" · ","")&amp;IF(OR(AND($J94&lt;&gt;"",$J94&lt;$I94),AND($K94&lt;&gt;"",$K94&lt;MAX($I94:$J94)),AND($L94&lt;&gt;"",$L94&lt;MAX($I94:$K94))),"Avance semanal decreciente"&amp;" · ","")&amp;IF(AND(ISNUMBER($AN94),$AN94&lt;FechaRef,IF($V94="Sub",N($X94),N($M94))&lt;1),"Vencida"&amp;" · ","")&amp;IF(AND(ObsObligatoria="Sí",ISNUMBER($AN94),$AN94&lt;FechaRef,IF($V94="Sub",N($X94),N($M94))&lt;1,$Q94=""),"Vencida sin observación"&amp;" · ",""))-3)))</f>
        <v/>
      </c>
      <c r="S94" s="64">
        <f>IF(NOT((COUNTA($B94:$D94)+COUNTA($G94:$L94)+COUNTA($Q94))&gt;0),"",IF(AND($V94="Sub",N($U94)&gt;0),IF(ISNUMBER(INDEX($AM$5:$AM$1000,$U94-4)),DATE(YEAR(INDEX($AM$5:$AM$1000,$U94-4)),MONTH(INDEX($AM$5:$AM$1000,$U94-4)),1),IF(ISNUMBER(INDEX($AN$5:$AN$1000,$U94-4)),DATE(YEAR(INDEX($AN$5:$AN$1000,$U94-4)),MONTH(INDEX($AN$5:$AN$1000,$U94-4)),1),MesCiclo)),IF(ISNUMBER($AM94),DATE(YEAR($AM94),MONTH($AM94),1),IF(ISNUMBER($AN94),DATE(YEAR($AN94),MONTH($AN94),1),MesCiclo))))</f>
        <v/>
      </c>
      <c r="T94" s="62">
        <f>IF(OR($S94="",$S94&lt;&gt;MesCiclo,$V94&lt;&gt;"Macro"),"",COUNTIFS($S$5:$S94,MesCiclo,$V$5:$V94,"Macro"))</f>
        <v/>
      </c>
      <c r="U94" s="62">
        <f>IF($V94="","",IF($V94="Macro",ROW(),IFERROR(LOOKUP(2,1/($V$5:$V94="Macro"),ROW($V$5:$V94)),0)))</f>
        <v/>
      </c>
      <c r="V94" s="62">
        <f>IF(NOT((COUNTA($B94:$D94)+COUNTA($G94:$L94)+COUNTA($Q94))&gt;0),"",IF($B94="Subactividad","Sub","Macro"))</f>
        <v/>
      </c>
      <c r="W94" s="62">
        <f>IF($V94="Macro",COUNTIFS($U$5:$U$1000,ROW(),$V$5:$V$1000,"Sub"),"")</f>
        <v/>
      </c>
      <c r="X94" s="62">
        <f>IF($V94="","",IF(ISNUMBER($G94),1,IFERROR(LOOKUP(2,1/($I94:$L94&lt;&gt;""),$I94:$L94),0)))</f>
        <v/>
      </c>
      <c r="Y94" s="62">
        <f>IF($V94="","",IF(AND(ISNUMBER($G94),$G94&lt;=IF($S94=MesCiclo,InicioCiclo,$S94+MOD(2-WEEKDAY($S94),7))+6),1,IF(ISNUMBER($I94),$I94,0)))</f>
        <v/>
      </c>
      <c r="Z94" s="62">
        <f>IF($V94="","",IF(AND(ISNUMBER($G94),$G94&lt;=IF($S94=MesCiclo,InicioCiclo,$S94+MOD(2-WEEKDAY($S94),7))+13),1,IF(ISNUMBER($J94),$J94,$Y94)))</f>
        <v/>
      </c>
      <c r="AA94" s="62">
        <f>IF($V94="","",IF(AND(ISNUMBER($G94),$G94&lt;=IF($S94=MesCiclo,InicioCiclo,$S94+MOD(2-WEEKDAY($S94),7))+20),1,IF(ISNUMBER($K94),$K94,$Z94)))</f>
        <v/>
      </c>
      <c r="AB94" s="62">
        <f>IF($V94="","",IF(AND(ISNUMBER($G94),$G94&lt;=IF($S94=MesCiclo,InicioCiclo,$S94+MOD(2-WEEKDAY($S94),7))+27),1,IF(ISNUMBER($L94),$L94,$AA94)))</f>
        <v/>
      </c>
      <c r="AC94" s="62">
        <f>IF($V94="","",IF(AND(ISNUMBER($G94),$G94&lt;=IF($S94=MesCiclo,InicioCiclo,$S94+MOD(2-WEEKDAY($S94),7))+6),1,IF(N($W94)&gt;0,AVERAGEIFS($Y$5:$Y$1000,$U$5:$U$1000,ROW(),$V$5:$V$1000,"Sub"),$Y94)))</f>
        <v/>
      </c>
      <c r="AD94" s="62">
        <f>IF($V94="","",IF(AND(ISNUMBER($G94),$G94&lt;=IF($S94=MesCiclo,InicioCiclo,$S94+MOD(2-WEEKDAY($S94),7))+13),1,IF(N($W94)&gt;0,AVERAGEIFS($Z$5:$Z$1000,$U$5:$U$1000,ROW(),$V$5:$V$1000,"Sub"),$Z94)))</f>
        <v/>
      </c>
      <c r="AE94" s="62">
        <f>IF($V94="","",IF(AND(ISNUMBER($G94),$G94&lt;=IF($S94=MesCiclo,InicioCiclo,$S94+MOD(2-WEEKDAY($S94),7))+20),1,IF(N($W94)&gt;0,AVERAGEIFS($AA$5:$AA$1000,$U$5:$U$1000,ROW(),$V$5:$V$1000,"Sub"),$AA94)))</f>
        <v/>
      </c>
      <c r="AF94" s="62">
        <f>IF($V94="","",IF(AND(ISNUMBER($G94),$G94&lt;=IF($S94=MesCiclo,InicioCiclo,$S94+MOD(2-WEEKDAY($S94),7))+27),1,IF(N($W94)&gt;0,AVERAGEIFS($AB$5:$AB$1000,$U$5:$U$1000,ROW(),$V$5:$V$1000,"Sub"),$AB94)))</f>
        <v/>
      </c>
      <c r="AG94" s="62">
        <f>IF($V94&lt;&gt;"Macro","",IF(COUNTIFS($S$5:$S$1000,$S94,$V$5:$V$1000,"Macro",$H$5:$H$1000,"&gt;0")=0,1/COUNTIFS($S$5:$S$1000,$S94,$V$5:$V$1000,"Macro"),IF(AND(ISNUMBER($H94),N($H94)&gt;0),$H94,SUMIFS($H$5:$H$1000,$S$5:$S$1000,$S94,$V$5:$V$1000,"Macro")/COUNTIFS($S$5:$S$1000,$S94,$V$5:$V$1000,"Macro",$H$5:$H$1000,"&gt;0"))/(COUNTIFS($S$5:$S$1000,$S94,$V$5:$V$1000,"Macro")*SUMIFS($H$5:$H$1000,$S$5:$S$1000,$S94,$V$5:$V$1000,"Macro")/COUNTIFS($S$5:$S$1000,$S94,$V$5:$V$1000,"Macro",$H$5:$H$1000,"&gt;0"))))</f>
        <v/>
      </c>
      <c r="AH94" s="62" t="n"/>
      <c r="AI94" s="62" t="n"/>
      <c r="AJ94" s="62" t="n"/>
      <c r="AK94" s="62" t="n"/>
      <c r="AL94" s="62">
        <f>IF(LEFT($C94,11)="[Jefatura] ",IFERROR(MATCH("Riesgo Operacional|"&amp;MID($C94,12,500),rDname_ADM,0),0),"")</f>
        <v/>
      </c>
      <c r="AM94" s="62">
        <f>IF(N($AL94)&gt;0,INDEX(rIni_ADM,$AL94),IF(ISNUMBER($E94),$E94,""))</f>
        <v/>
      </c>
      <c r="AN94" s="62">
        <f>IF(N($AL94)&gt;0,INDEX(rLim_ADM,$AL94),IF(ISNUMBER($F94),$F94,""))</f>
        <v/>
      </c>
    </row>
    <row r="95">
      <c r="A95" s="56">
        <f>IF(NOT((COUNTA($B95:$D95)+COUNTA($G95:$L95)+COUNTA($Q95))&gt;0),"",IF($V95="Macro",COUNTIFS($V$5:$V95,"Macro",$S$5:$S95,$S95),IF(N($U95)=0,"?",COUNTIFS(INDEX($V$5:$V$1000,1):INDEX($V$5:$V$1000,$U95-4),"Macro",INDEX($S$5:$S$1000,1):INDEX($S$5:$S$1000,$U95-4),INDEX($S$5:$S$1000,$U95-4))&amp;"."&amp;COUNTIFS($U$5:$U95,$U95,$V$5:$V95,"Sub"))))</f>
        <v/>
      </c>
      <c r="B95" s="57" t="n"/>
      <c r="C95" s="58" t="n"/>
      <c r="D95" s="58" t="n"/>
      <c r="E95" s="59">
        <f>IF(N($AL95)&gt;0,INDEX(rIni_ADM,$AL95),"")</f>
        <v/>
      </c>
      <c r="F95" s="59">
        <f>IF(N($AL95)&gt;0,INDEX(rLim_ADM,$AL95),"")</f>
        <v/>
      </c>
      <c r="G95" s="59" t="n"/>
      <c r="H95" s="60" t="n"/>
      <c r="I95" s="60" t="n"/>
      <c r="J95" s="60" t="n"/>
      <c r="K95" s="60" t="n"/>
      <c r="L95" s="60" t="n"/>
      <c r="M95" s="61">
        <f>IF(NOT((COUNTA($B95:$D95)+COUNTA($G95:$L95)+COUNTA($Q95))&gt;0),"",IF($V95="Sub",IFERROR($X95/INDEX($W$5:$W$1000,$U95-4),""),IF(ISNUMBER($G95),1,IF(N($W95)&gt;0,AVERAGEIFS($X$5:$X$1000,$U$5:$U$1000,ROW(),$V$5:$V$1000,"Sub"),$X95))))</f>
        <v/>
      </c>
      <c r="N95" s="56">
        <f>IF(OR($M95="",$V95="Sub"),"",IF($M95&gt;=1,"Completado",IF($M95&gt;0,"En curso","Pendiente")))</f>
        <v/>
      </c>
      <c r="O95" s="56">
        <f>IF(OR(NOT((COUNTA($B95:$D95)+COUNTA($G95:$L95)+COUNTA($Q95))&gt;0),$V95="Sub"),"",IF(ISNUMBER($G95),IF(AND(ISNUMBER($AN95),$G95&gt;$AN95),"Cumplida con "&amp;($G95-$AN95)&amp;IF($G95-$AN95=1," día"," días")&amp;" de retraso","Cumplida"),IF(N($M95)&gt;=1,"Cumplida",IF(NOT(ISNUMBER($AN95)),"Sin fecha límite",IF($AN95&lt;FechaRef,"Vencida hace "&amp;(FechaRef-$AN95)&amp;IF(FechaRef-$AN95=1," día"," días"),IF($AN95=FechaRef,"Vence hoy",IF($AN95-FechaRef&lt;=DiasAlerta,"Vence en "&amp;($AN95-FechaRef)&amp;IF($AN95-FechaRef=1," día"," días"),"En plazo")))))))</f>
        <v/>
      </c>
      <c r="P95" s="62" t="n"/>
      <c r="Q95" s="58" t="n"/>
      <c r="R95" s="63">
        <f>IF(NOT((COUNTA($B95:$D95)+COUNTA($G95:$L95)+COUNTA($Q95))&gt;0),"",IF((IF($C95="","Falta el nombre de la actividad"&amp;" · ","")&amp;IF(AND($V95="Sub",N($U95)=0),"Subactividad sin macroactividad arriba"&amp;" · ","")&amp;IF($AM95="","Sin fecha de inicio"&amp;" · ","")&amp;IF($AN95="","Sin fecha límite"&amp;" · ","")&amp;IF(AND(LEFT($C95,11)="[Jefatura] ",N($AL95)=0),"No se encuentra en la hoja de la jefatura (elíjala de nuevo en la lista)"&amp;" · ","")&amp;IF(OR(AND($E95&lt;&gt;"",NOT(ISNUMBER($E95))),AND($F95&lt;&gt;"",NOT(ISNUMBER($F95))),AND($G95&lt;&gt;"",NOT(ISNUMBER($G95)))),"Fecha no válida"&amp;" · ","")&amp;IF(AND(ISNUMBER($AM95),ISNUMBER($AN95),$AM95&gt;$AN95),"Inicio posterior a fecha límite"&amp;" · ","")&amp;IF(AND($V95="Macro",$H95&lt;&gt;"",OR(NOT(ISNUMBER($H95)),$H95&lt;0,$H95&gt;1)),"Peso fuera de rango"&amp;" · ","")&amp;IF(AND($V95="Sub",$H95&lt;&gt;""),"Las subactividades no llevan peso (valen igual dentro de su macroactividad)"&amp;" · ","")&amp;IF(AND(N($W95)&gt;0,COUNT($I95:$L95)&gt;0),"Con subactividades: deje vacías las semanas (se calculan solas)"&amp;" · ","")&amp;IF((COUNTIF($I95:$L95,"&gt;1")+COUNTIF($I95:$L95,"&lt;0")+COUNTA($I95:$L95)-COUNT($I95:$L95))&gt;0,"Avance fuera de rango 0-100%"&amp;" · ","")&amp;IF(OR(AND($J95&lt;&gt;"",$J95&lt;$I95),AND($K95&lt;&gt;"",$K95&lt;MAX($I95:$J95)),AND($L95&lt;&gt;"",$L95&lt;MAX($I95:$K95))),"Avance semanal decreciente"&amp;" · ","")&amp;IF(AND(ISNUMBER($AN95),$AN95&lt;FechaRef,IF($V95="Sub",N($X95),N($M95))&lt;1),"Vencida"&amp;" · ","")&amp;IF(AND(ObsObligatoria="Sí",ISNUMBER($AN95),$AN95&lt;FechaRef,IF($V95="Sub",N($X95),N($M95))&lt;1,$Q95=""),"Vencida sin observación"&amp;" · ",""))="","✔ OK","⚠ "&amp;LEFT(IF($C95="","Falta el nombre de la actividad"&amp;" · ","")&amp;IF(AND($V95="Sub",N($U95)=0),"Subactividad sin macroactividad arriba"&amp;" · ","")&amp;IF($AM95="","Sin fecha de inicio"&amp;" · ","")&amp;IF($AN95="","Sin fecha límite"&amp;" · ","")&amp;IF(AND(LEFT($C95,11)="[Jefatura] ",N($AL95)=0),"No se encuentra en la hoja de la jefatura (elíjala de nuevo en la lista)"&amp;" · ","")&amp;IF(OR(AND($E95&lt;&gt;"",NOT(ISNUMBER($E95))),AND($F95&lt;&gt;"",NOT(ISNUMBER($F95))),AND($G95&lt;&gt;"",NOT(ISNUMBER($G95)))),"Fecha no válida"&amp;" · ","")&amp;IF(AND(ISNUMBER($AM95),ISNUMBER($AN95),$AM95&gt;$AN95),"Inicio posterior a fecha límite"&amp;" · ","")&amp;IF(AND($V95="Macro",$H95&lt;&gt;"",OR(NOT(ISNUMBER($H95)),$H95&lt;0,$H95&gt;1)),"Peso fuera de rango"&amp;" · ","")&amp;IF(AND($V95="Sub",$H95&lt;&gt;""),"Las subactividades no llevan peso (valen igual dentro de su macroactividad)"&amp;" · ","")&amp;IF(AND(N($W95)&gt;0,COUNT($I95:$L95)&gt;0),"Con subactividades: deje vacías las semanas (se calculan solas)"&amp;" · ","")&amp;IF((COUNTIF($I95:$L95,"&gt;1")+COUNTIF($I95:$L95,"&lt;0")+COUNTA($I95:$L95)-COUNT($I95:$L95))&gt;0,"Avance fuera de rango 0-100%"&amp;" · ","")&amp;IF(OR(AND($J95&lt;&gt;"",$J95&lt;$I95),AND($K95&lt;&gt;"",$K95&lt;MAX($I95:$J95)),AND($L95&lt;&gt;"",$L95&lt;MAX($I95:$K95))),"Avance semanal decreciente"&amp;" · ","")&amp;IF(AND(ISNUMBER($AN95),$AN95&lt;FechaRef,IF($V95="Sub",N($X95),N($M95))&lt;1),"Vencida"&amp;" · ","")&amp;IF(AND(ObsObligatoria="Sí",ISNUMBER($AN95),$AN95&lt;FechaRef,IF($V95="Sub",N($X95),N($M95))&lt;1,$Q95=""),"Vencida sin observación"&amp;" · ",""),LEN(IF($C95="","Falta el nombre de la actividad"&amp;" · ","")&amp;IF(AND($V95="Sub",N($U95)=0),"Subactividad sin macroactividad arriba"&amp;" · ","")&amp;IF($AM95="","Sin fecha de inicio"&amp;" · ","")&amp;IF($AN95="","Sin fecha límite"&amp;" · ","")&amp;IF(AND(LEFT($C95,11)="[Jefatura] ",N($AL95)=0),"No se encuentra en la hoja de la jefatura (elíjala de nuevo en la lista)"&amp;" · ","")&amp;IF(OR(AND($E95&lt;&gt;"",NOT(ISNUMBER($E95))),AND($F95&lt;&gt;"",NOT(ISNUMBER($F95))),AND($G95&lt;&gt;"",NOT(ISNUMBER($G95)))),"Fecha no válida"&amp;" · ","")&amp;IF(AND(ISNUMBER($AM95),ISNUMBER($AN95),$AM95&gt;$AN95),"Inicio posterior a fecha límite"&amp;" · ","")&amp;IF(AND($V95="Macro",$H95&lt;&gt;"",OR(NOT(ISNUMBER($H95)),$H95&lt;0,$H95&gt;1)),"Peso fuera de rango"&amp;" · ","")&amp;IF(AND($V95="Sub",$H95&lt;&gt;""),"Las subactividades no llevan peso (valen igual dentro de su macroactividad)"&amp;" · ","")&amp;IF(AND(N($W95)&gt;0,COUNT($I95:$L95)&gt;0),"Con subactividades: deje vacías las semanas (se calculan solas)"&amp;" · ","")&amp;IF((COUNTIF($I95:$L95,"&gt;1")+COUNTIF($I95:$L95,"&lt;0")+COUNTA($I95:$L95)-COUNT($I95:$L95))&gt;0,"Avance fuera de rango 0-100%"&amp;" · ","")&amp;IF(OR(AND($J95&lt;&gt;"",$J95&lt;$I95),AND($K95&lt;&gt;"",$K95&lt;MAX($I95:$J95)),AND($L95&lt;&gt;"",$L95&lt;MAX($I95:$K95))),"Avance semanal decreciente"&amp;" · ","")&amp;IF(AND(ISNUMBER($AN95),$AN95&lt;FechaRef,IF($V95="Sub",N($X95),N($M95))&lt;1),"Vencida"&amp;" · ","")&amp;IF(AND(ObsObligatoria="Sí",ISNUMBER($AN95),$AN95&lt;FechaRef,IF($V95="Sub",N($X95),N($M95))&lt;1,$Q95=""),"Vencida sin observación"&amp;" · ",""))-3)))</f>
        <v/>
      </c>
      <c r="S95" s="64">
        <f>IF(NOT((COUNTA($B95:$D95)+COUNTA($G95:$L95)+COUNTA($Q95))&gt;0),"",IF(AND($V95="Sub",N($U95)&gt;0),IF(ISNUMBER(INDEX($AM$5:$AM$1000,$U95-4)),DATE(YEAR(INDEX($AM$5:$AM$1000,$U95-4)),MONTH(INDEX($AM$5:$AM$1000,$U95-4)),1),IF(ISNUMBER(INDEX($AN$5:$AN$1000,$U95-4)),DATE(YEAR(INDEX($AN$5:$AN$1000,$U95-4)),MONTH(INDEX($AN$5:$AN$1000,$U95-4)),1),MesCiclo)),IF(ISNUMBER($AM95),DATE(YEAR($AM95),MONTH($AM95),1),IF(ISNUMBER($AN95),DATE(YEAR($AN95),MONTH($AN95),1),MesCiclo))))</f>
        <v/>
      </c>
      <c r="T95" s="62">
        <f>IF(OR($S95="",$S95&lt;&gt;MesCiclo,$V95&lt;&gt;"Macro"),"",COUNTIFS($S$5:$S95,MesCiclo,$V$5:$V95,"Macro"))</f>
        <v/>
      </c>
      <c r="U95" s="62">
        <f>IF($V95="","",IF($V95="Macro",ROW(),IFERROR(LOOKUP(2,1/($V$5:$V95="Macro"),ROW($V$5:$V95)),0)))</f>
        <v/>
      </c>
      <c r="V95" s="62">
        <f>IF(NOT((COUNTA($B95:$D95)+COUNTA($G95:$L95)+COUNTA($Q95))&gt;0),"",IF($B95="Subactividad","Sub","Macro"))</f>
        <v/>
      </c>
      <c r="W95" s="62">
        <f>IF($V95="Macro",COUNTIFS($U$5:$U$1000,ROW(),$V$5:$V$1000,"Sub"),"")</f>
        <v/>
      </c>
      <c r="X95" s="62">
        <f>IF($V95="","",IF(ISNUMBER($G95),1,IFERROR(LOOKUP(2,1/($I95:$L95&lt;&gt;""),$I95:$L95),0)))</f>
        <v/>
      </c>
      <c r="Y95" s="62">
        <f>IF($V95="","",IF(AND(ISNUMBER($G95),$G95&lt;=IF($S95=MesCiclo,InicioCiclo,$S95+MOD(2-WEEKDAY($S95),7))+6),1,IF(ISNUMBER($I95),$I95,0)))</f>
        <v/>
      </c>
      <c r="Z95" s="62">
        <f>IF($V95="","",IF(AND(ISNUMBER($G95),$G95&lt;=IF($S95=MesCiclo,InicioCiclo,$S95+MOD(2-WEEKDAY($S95),7))+13),1,IF(ISNUMBER($J95),$J95,$Y95)))</f>
        <v/>
      </c>
      <c r="AA95" s="62">
        <f>IF($V95="","",IF(AND(ISNUMBER($G95),$G95&lt;=IF($S95=MesCiclo,InicioCiclo,$S95+MOD(2-WEEKDAY($S95),7))+20),1,IF(ISNUMBER($K95),$K95,$Z95)))</f>
        <v/>
      </c>
      <c r="AB95" s="62">
        <f>IF($V95="","",IF(AND(ISNUMBER($G95),$G95&lt;=IF($S95=MesCiclo,InicioCiclo,$S95+MOD(2-WEEKDAY($S95),7))+27),1,IF(ISNUMBER($L95),$L95,$AA95)))</f>
        <v/>
      </c>
      <c r="AC95" s="62">
        <f>IF($V95="","",IF(AND(ISNUMBER($G95),$G95&lt;=IF($S95=MesCiclo,InicioCiclo,$S95+MOD(2-WEEKDAY($S95),7))+6),1,IF(N($W95)&gt;0,AVERAGEIFS($Y$5:$Y$1000,$U$5:$U$1000,ROW(),$V$5:$V$1000,"Sub"),$Y95)))</f>
        <v/>
      </c>
      <c r="AD95" s="62">
        <f>IF($V95="","",IF(AND(ISNUMBER($G95),$G95&lt;=IF($S95=MesCiclo,InicioCiclo,$S95+MOD(2-WEEKDAY($S95),7))+13),1,IF(N($W95)&gt;0,AVERAGEIFS($Z$5:$Z$1000,$U$5:$U$1000,ROW(),$V$5:$V$1000,"Sub"),$Z95)))</f>
        <v/>
      </c>
      <c r="AE95" s="62">
        <f>IF($V95="","",IF(AND(ISNUMBER($G95),$G95&lt;=IF($S95=MesCiclo,InicioCiclo,$S95+MOD(2-WEEKDAY($S95),7))+20),1,IF(N($W95)&gt;0,AVERAGEIFS($AA$5:$AA$1000,$U$5:$U$1000,ROW(),$V$5:$V$1000,"Sub"),$AA95)))</f>
        <v/>
      </c>
      <c r="AF95" s="62">
        <f>IF($V95="","",IF(AND(ISNUMBER($G95),$G95&lt;=IF($S95=MesCiclo,InicioCiclo,$S95+MOD(2-WEEKDAY($S95),7))+27),1,IF(N($W95)&gt;0,AVERAGEIFS($AB$5:$AB$1000,$U$5:$U$1000,ROW(),$V$5:$V$1000,"Sub"),$AB95)))</f>
        <v/>
      </c>
      <c r="AG95" s="62">
        <f>IF($V95&lt;&gt;"Macro","",IF(COUNTIFS($S$5:$S$1000,$S95,$V$5:$V$1000,"Macro",$H$5:$H$1000,"&gt;0")=0,1/COUNTIFS($S$5:$S$1000,$S95,$V$5:$V$1000,"Macro"),IF(AND(ISNUMBER($H95),N($H95)&gt;0),$H95,SUMIFS($H$5:$H$1000,$S$5:$S$1000,$S95,$V$5:$V$1000,"Macro")/COUNTIFS($S$5:$S$1000,$S95,$V$5:$V$1000,"Macro",$H$5:$H$1000,"&gt;0"))/(COUNTIFS($S$5:$S$1000,$S95,$V$5:$V$1000,"Macro")*SUMIFS($H$5:$H$1000,$S$5:$S$1000,$S95,$V$5:$V$1000,"Macro")/COUNTIFS($S$5:$S$1000,$S95,$V$5:$V$1000,"Macro",$H$5:$H$1000,"&gt;0"))))</f>
        <v/>
      </c>
      <c r="AH95" s="62" t="n"/>
      <c r="AI95" s="62" t="n"/>
      <c r="AJ95" s="62" t="n"/>
      <c r="AK95" s="62" t="n"/>
      <c r="AL95" s="62">
        <f>IF(LEFT($C95,11)="[Jefatura] ",IFERROR(MATCH("Riesgo Operacional|"&amp;MID($C95,12,500),rDname_ADM,0),0),"")</f>
        <v/>
      </c>
      <c r="AM95" s="62">
        <f>IF(N($AL95)&gt;0,INDEX(rIni_ADM,$AL95),IF(ISNUMBER($E95),$E95,""))</f>
        <v/>
      </c>
      <c r="AN95" s="62">
        <f>IF(N($AL95)&gt;0,INDEX(rLim_ADM,$AL95),IF(ISNUMBER($F95),$F95,""))</f>
        <v/>
      </c>
    </row>
    <row r="96">
      <c r="A96" s="56">
        <f>IF(NOT((COUNTA($B96:$D96)+COUNTA($G96:$L96)+COUNTA($Q96))&gt;0),"",IF($V96="Macro",COUNTIFS($V$5:$V96,"Macro",$S$5:$S96,$S96),IF(N($U96)=0,"?",COUNTIFS(INDEX($V$5:$V$1000,1):INDEX($V$5:$V$1000,$U96-4),"Macro",INDEX($S$5:$S$1000,1):INDEX($S$5:$S$1000,$U96-4),INDEX($S$5:$S$1000,$U96-4))&amp;"."&amp;COUNTIFS($U$5:$U96,$U96,$V$5:$V96,"Sub"))))</f>
        <v/>
      </c>
      <c r="B96" s="57" t="n"/>
      <c r="C96" s="58" t="n"/>
      <c r="D96" s="58" t="n"/>
      <c r="E96" s="59">
        <f>IF(N($AL96)&gt;0,INDEX(rIni_ADM,$AL96),"")</f>
        <v/>
      </c>
      <c r="F96" s="59">
        <f>IF(N($AL96)&gt;0,INDEX(rLim_ADM,$AL96),"")</f>
        <v/>
      </c>
      <c r="G96" s="59" t="n"/>
      <c r="H96" s="60" t="n"/>
      <c r="I96" s="60" t="n"/>
      <c r="J96" s="60" t="n"/>
      <c r="K96" s="60" t="n"/>
      <c r="L96" s="60" t="n"/>
      <c r="M96" s="61">
        <f>IF(NOT((COUNTA($B96:$D96)+COUNTA($G96:$L96)+COUNTA($Q96))&gt;0),"",IF($V96="Sub",IFERROR($X96/INDEX($W$5:$W$1000,$U96-4),""),IF(ISNUMBER($G96),1,IF(N($W96)&gt;0,AVERAGEIFS($X$5:$X$1000,$U$5:$U$1000,ROW(),$V$5:$V$1000,"Sub"),$X96))))</f>
        <v/>
      </c>
      <c r="N96" s="56">
        <f>IF(OR($M96="",$V96="Sub"),"",IF($M96&gt;=1,"Completado",IF($M96&gt;0,"En curso","Pendiente")))</f>
        <v/>
      </c>
      <c r="O96" s="56">
        <f>IF(OR(NOT((COUNTA($B96:$D96)+COUNTA($G96:$L96)+COUNTA($Q96))&gt;0),$V96="Sub"),"",IF(ISNUMBER($G96),IF(AND(ISNUMBER($AN96),$G96&gt;$AN96),"Cumplida con "&amp;($G96-$AN96)&amp;IF($G96-$AN96=1," día"," días")&amp;" de retraso","Cumplida"),IF(N($M96)&gt;=1,"Cumplida",IF(NOT(ISNUMBER($AN96)),"Sin fecha límite",IF($AN96&lt;FechaRef,"Vencida hace "&amp;(FechaRef-$AN96)&amp;IF(FechaRef-$AN96=1," día"," días"),IF($AN96=FechaRef,"Vence hoy",IF($AN96-FechaRef&lt;=DiasAlerta,"Vence en "&amp;($AN96-FechaRef)&amp;IF($AN96-FechaRef=1," día"," días"),"En plazo")))))))</f>
        <v/>
      </c>
      <c r="P96" s="62" t="n"/>
      <c r="Q96" s="58" t="n"/>
      <c r="R96" s="63">
        <f>IF(NOT((COUNTA($B96:$D96)+COUNTA($G96:$L96)+COUNTA($Q96))&gt;0),"",IF((IF($C96="","Falta el nombre de la actividad"&amp;" · ","")&amp;IF(AND($V96="Sub",N($U96)=0),"Subactividad sin macroactividad arriba"&amp;" · ","")&amp;IF($AM96="","Sin fecha de inicio"&amp;" · ","")&amp;IF($AN96="","Sin fecha límite"&amp;" · ","")&amp;IF(AND(LEFT($C96,11)="[Jefatura] ",N($AL96)=0),"No se encuentra en la hoja de la jefatura (elíjala de nuevo en la lista)"&amp;" · ","")&amp;IF(OR(AND($E96&lt;&gt;"",NOT(ISNUMBER($E96))),AND($F96&lt;&gt;"",NOT(ISNUMBER($F96))),AND($G96&lt;&gt;"",NOT(ISNUMBER($G96)))),"Fecha no válida"&amp;" · ","")&amp;IF(AND(ISNUMBER($AM96),ISNUMBER($AN96),$AM96&gt;$AN96),"Inicio posterior a fecha límite"&amp;" · ","")&amp;IF(AND($V96="Macro",$H96&lt;&gt;"",OR(NOT(ISNUMBER($H96)),$H96&lt;0,$H96&gt;1)),"Peso fuera de rango"&amp;" · ","")&amp;IF(AND($V96="Sub",$H96&lt;&gt;""),"Las subactividades no llevan peso (valen igual dentro de su macroactividad)"&amp;" · ","")&amp;IF(AND(N($W96)&gt;0,COUNT($I96:$L96)&gt;0),"Con subactividades: deje vacías las semanas (se calculan solas)"&amp;" · ","")&amp;IF((COUNTIF($I96:$L96,"&gt;1")+COUNTIF($I96:$L96,"&lt;0")+COUNTA($I96:$L96)-COUNT($I96:$L96))&gt;0,"Avance fuera de rango 0-100%"&amp;" · ","")&amp;IF(OR(AND($J96&lt;&gt;"",$J96&lt;$I96),AND($K96&lt;&gt;"",$K96&lt;MAX($I96:$J96)),AND($L96&lt;&gt;"",$L96&lt;MAX($I96:$K96))),"Avance semanal decreciente"&amp;" · ","")&amp;IF(AND(ISNUMBER($AN96),$AN96&lt;FechaRef,IF($V96="Sub",N($X96),N($M96))&lt;1),"Vencida"&amp;" · ","")&amp;IF(AND(ObsObligatoria="Sí",ISNUMBER($AN96),$AN96&lt;FechaRef,IF($V96="Sub",N($X96),N($M96))&lt;1,$Q96=""),"Vencida sin observación"&amp;" · ",""))="","✔ OK","⚠ "&amp;LEFT(IF($C96="","Falta el nombre de la actividad"&amp;" · ","")&amp;IF(AND($V96="Sub",N($U96)=0),"Subactividad sin macroactividad arriba"&amp;" · ","")&amp;IF($AM96="","Sin fecha de inicio"&amp;" · ","")&amp;IF($AN96="","Sin fecha límite"&amp;" · ","")&amp;IF(AND(LEFT($C96,11)="[Jefatura] ",N($AL96)=0),"No se encuentra en la hoja de la jefatura (elíjala de nuevo en la lista)"&amp;" · ","")&amp;IF(OR(AND($E96&lt;&gt;"",NOT(ISNUMBER($E96))),AND($F96&lt;&gt;"",NOT(ISNUMBER($F96))),AND($G96&lt;&gt;"",NOT(ISNUMBER($G96)))),"Fecha no válida"&amp;" · ","")&amp;IF(AND(ISNUMBER($AM96),ISNUMBER($AN96),$AM96&gt;$AN96),"Inicio posterior a fecha límite"&amp;" · ","")&amp;IF(AND($V96="Macro",$H96&lt;&gt;"",OR(NOT(ISNUMBER($H96)),$H96&lt;0,$H96&gt;1)),"Peso fuera de rango"&amp;" · ","")&amp;IF(AND($V96="Sub",$H96&lt;&gt;""),"Las subactividades no llevan peso (valen igual dentro de su macroactividad)"&amp;" · ","")&amp;IF(AND(N($W96)&gt;0,COUNT($I96:$L96)&gt;0),"Con subactividades: deje vacías las semanas (se calculan solas)"&amp;" · ","")&amp;IF((COUNTIF($I96:$L96,"&gt;1")+COUNTIF($I96:$L96,"&lt;0")+COUNTA($I96:$L96)-COUNT($I96:$L96))&gt;0,"Avance fuera de rango 0-100%"&amp;" · ","")&amp;IF(OR(AND($J96&lt;&gt;"",$J96&lt;$I96),AND($K96&lt;&gt;"",$K96&lt;MAX($I96:$J96)),AND($L96&lt;&gt;"",$L96&lt;MAX($I96:$K96))),"Avance semanal decreciente"&amp;" · ","")&amp;IF(AND(ISNUMBER($AN96),$AN96&lt;FechaRef,IF($V96="Sub",N($X96),N($M96))&lt;1),"Vencida"&amp;" · ","")&amp;IF(AND(ObsObligatoria="Sí",ISNUMBER($AN96),$AN96&lt;FechaRef,IF($V96="Sub",N($X96),N($M96))&lt;1,$Q96=""),"Vencida sin observación"&amp;" · ",""),LEN(IF($C96="","Falta el nombre de la actividad"&amp;" · ","")&amp;IF(AND($V96="Sub",N($U96)=0),"Subactividad sin macroactividad arriba"&amp;" · ","")&amp;IF($AM96="","Sin fecha de inicio"&amp;" · ","")&amp;IF($AN96="","Sin fecha límite"&amp;" · ","")&amp;IF(AND(LEFT($C96,11)="[Jefatura] ",N($AL96)=0),"No se encuentra en la hoja de la jefatura (elíjala de nuevo en la lista)"&amp;" · ","")&amp;IF(OR(AND($E96&lt;&gt;"",NOT(ISNUMBER($E96))),AND($F96&lt;&gt;"",NOT(ISNUMBER($F96))),AND($G96&lt;&gt;"",NOT(ISNUMBER($G96)))),"Fecha no válida"&amp;" · ","")&amp;IF(AND(ISNUMBER($AM96),ISNUMBER($AN96),$AM96&gt;$AN96),"Inicio posterior a fecha límite"&amp;" · ","")&amp;IF(AND($V96="Macro",$H96&lt;&gt;"",OR(NOT(ISNUMBER($H96)),$H96&lt;0,$H96&gt;1)),"Peso fuera de rango"&amp;" · ","")&amp;IF(AND($V96="Sub",$H96&lt;&gt;""),"Las subactividades no llevan peso (valen igual dentro de su macroactividad)"&amp;" · ","")&amp;IF(AND(N($W96)&gt;0,COUNT($I96:$L96)&gt;0),"Con subactividades: deje vacías las semanas (se calculan solas)"&amp;" · ","")&amp;IF((COUNTIF($I96:$L96,"&gt;1")+COUNTIF($I96:$L96,"&lt;0")+COUNTA($I96:$L96)-COUNT($I96:$L96))&gt;0,"Avance fuera de rango 0-100%"&amp;" · ","")&amp;IF(OR(AND($J96&lt;&gt;"",$J96&lt;$I96),AND($K96&lt;&gt;"",$K96&lt;MAX($I96:$J96)),AND($L96&lt;&gt;"",$L96&lt;MAX($I96:$K96))),"Avance semanal decreciente"&amp;" · ","")&amp;IF(AND(ISNUMBER($AN96),$AN96&lt;FechaRef,IF($V96="Sub",N($X96),N($M96))&lt;1),"Vencida"&amp;" · ","")&amp;IF(AND(ObsObligatoria="Sí",ISNUMBER($AN96),$AN96&lt;FechaRef,IF($V96="Sub",N($X96),N($M96))&lt;1,$Q96=""),"Vencida sin observación"&amp;" · ",""))-3)))</f>
        <v/>
      </c>
      <c r="S96" s="64">
        <f>IF(NOT((COUNTA($B96:$D96)+COUNTA($G96:$L96)+COUNTA($Q96))&gt;0),"",IF(AND($V96="Sub",N($U96)&gt;0),IF(ISNUMBER(INDEX($AM$5:$AM$1000,$U96-4)),DATE(YEAR(INDEX($AM$5:$AM$1000,$U96-4)),MONTH(INDEX($AM$5:$AM$1000,$U96-4)),1),IF(ISNUMBER(INDEX($AN$5:$AN$1000,$U96-4)),DATE(YEAR(INDEX($AN$5:$AN$1000,$U96-4)),MONTH(INDEX($AN$5:$AN$1000,$U96-4)),1),MesCiclo)),IF(ISNUMBER($AM96),DATE(YEAR($AM96),MONTH($AM96),1),IF(ISNUMBER($AN96),DATE(YEAR($AN96),MONTH($AN96),1),MesCiclo))))</f>
        <v/>
      </c>
      <c r="T96" s="62">
        <f>IF(OR($S96="",$S96&lt;&gt;MesCiclo,$V96&lt;&gt;"Macro"),"",COUNTIFS($S$5:$S96,MesCiclo,$V$5:$V96,"Macro"))</f>
        <v/>
      </c>
      <c r="U96" s="62">
        <f>IF($V96="","",IF($V96="Macro",ROW(),IFERROR(LOOKUP(2,1/($V$5:$V96="Macro"),ROW($V$5:$V96)),0)))</f>
        <v/>
      </c>
      <c r="V96" s="62">
        <f>IF(NOT((COUNTA($B96:$D96)+COUNTA($G96:$L96)+COUNTA($Q96))&gt;0),"",IF($B96="Subactividad","Sub","Macro"))</f>
        <v/>
      </c>
      <c r="W96" s="62">
        <f>IF($V96="Macro",COUNTIFS($U$5:$U$1000,ROW(),$V$5:$V$1000,"Sub"),"")</f>
        <v/>
      </c>
      <c r="X96" s="62">
        <f>IF($V96="","",IF(ISNUMBER($G96),1,IFERROR(LOOKUP(2,1/($I96:$L96&lt;&gt;""),$I96:$L96),0)))</f>
        <v/>
      </c>
      <c r="Y96" s="62">
        <f>IF($V96="","",IF(AND(ISNUMBER($G96),$G96&lt;=IF($S96=MesCiclo,InicioCiclo,$S96+MOD(2-WEEKDAY($S96),7))+6),1,IF(ISNUMBER($I96),$I96,0)))</f>
        <v/>
      </c>
      <c r="Z96" s="62">
        <f>IF($V96="","",IF(AND(ISNUMBER($G96),$G96&lt;=IF($S96=MesCiclo,InicioCiclo,$S96+MOD(2-WEEKDAY($S96),7))+13),1,IF(ISNUMBER($J96),$J96,$Y96)))</f>
        <v/>
      </c>
      <c r="AA96" s="62">
        <f>IF($V96="","",IF(AND(ISNUMBER($G96),$G96&lt;=IF($S96=MesCiclo,InicioCiclo,$S96+MOD(2-WEEKDAY($S96),7))+20),1,IF(ISNUMBER($K96),$K96,$Z96)))</f>
        <v/>
      </c>
      <c r="AB96" s="62">
        <f>IF($V96="","",IF(AND(ISNUMBER($G96),$G96&lt;=IF($S96=MesCiclo,InicioCiclo,$S96+MOD(2-WEEKDAY($S96),7))+27),1,IF(ISNUMBER($L96),$L96,$AA96)))</f>
        <v/>
      </c>
      <c r="AC96" s="62">
        <f>IF($V96="","",IF(AND(ISNUMBER($G96),$G96&lt;=IF($S96=MesCiclo,InicioCiclo,$S96+MOD(2-WEEKDAY($S96),7))+6),1,IF(N($W96)&gt;0,AVERAGEIFS($Y$5:$Y$1000,$U$5:$U$1000,ROW(),$V$5:$V$1000,"Sub"),$Y96)))</f>
        <v/>
      </c>
      <c r="AD96" s="62">
        <f>IF($V96="","",IF(AND(ISNUMBER($G96),$G96&lt;=IF($S96=MesCiclo,InicioCiclo,$S96+MOD(2-WEEKDAY($S96),7))+13),1,IF(N($W96)&gt;0,AVERAGEIFS($Z$5:$Z$1000,$U$5:$U$1000,ROW(),$V$5:$V$1000,"Sub"),$Z96)))</f>
        <v/>
      </c>
      <c r="AE96" s="62">
        <f>IF($V96="","",IF(AND(ISNUMBER($G96),$G96&lt;=IF($S96=MesCiclo,InicioCiclo,$S96+MOD(2-WEEKDAY($S96),7))+20),1,IF(N($W96)&gt;0,AVERAGEIFS($AA$5:$AA$1000,$U$5:$U$1000,ROW(),$V$5:$V$1000,"Sub"),$AA96)))</f>
        <v/>
      </c>
      <c r="AF96" s="62">
        <f>IF($V96="","",IF(AND(ISNUMBER($G96),$G96&lt;=IF($S96=MesCiclo,InicioCiclo,$S96+MOD(2-WEEKDAY($S96),7))+27),1,IF(N($W96)&gt;0,AVERAGEIFS($AB$5:$AB$1000,$U$5:$U$1000,ROW(),$V$5:$V$1000,"Sub"),$AB96)))</f>
        <v/>
      </c>
      <c r="AG96" s="62">
        <f>IF($V96&lt;&gt;"Macro","",IF(COUNTIFS($S$5:$S$1000,$S96,$V$5:$V$1000,"Macro",$H$5:$H$1000,"&gt;0")=0,1/COUNTIFS($S$5:$S$1000,$S96,$V$5:$V$1000,"Macro"),IF(AND(ISNUMBER($H96),N($H96)&gt;0),$H96,SUMIFS($H$5:$H$1000,$S$5:$S$1000,$S96,$V$5:$V$1000,"Macro")/COUNTIFS($S$5:$S$1000,$S96,$V$5:$V$1000,"Macro",$H$5:$H$1000,"&gt;0"))/(COUNTIFS($S$5:$S$1000,$S96,$V$5:$V$1000,"Macro")*SUMIFS($H$5:$H$1000,$S$5:$S$1000,$S96,$V$5:$V$1000,"Macro")/COUNTIFS($S$5:$S$1000,$S96,$V$5:$V$1000,"Macro",$H$5:$H$1000,"&gt;0"))))</f>
        <v/>
      </c>
      <c r="AH96" s="62" t="n"/>
      <c r="AI96" s="62" t="n"/>
      <c r="AJ96" s="62" t="n"/>
      <c r="AK96" s="62" t="n"/>
      <c r="AL96" s="62">
        <f>IF(LEFT($C96,11)="[Jefatura] ",IFERROR(MATCH("Riesgo Operacional|"&amp;MID($C96,12,500),rDname_ADM,0),0),"")</f>
        <v/>
      </c>
      <c r="AM96" s="62">
        <f>IF(N($AL96)&gt;0,INDEX(rIni_ADM,$AL96),IF(ISNUMBER($E96),$E96,""))</f>
        <v/>
      </c>
      <c r="AN96" s="62">
        <f>IF(N($AL96)&gt;0,INDEX(rLim_ADM,$AL96),IF(ISNUMBER($F96),$F96,""))</f>
        <v/>
      </c>
    </row>
    <row r="97">
      <c r="A97" s="56">
        <f>IF(NOT((COUNTA($B97:$D97)+COUNTA($G97:$L97)+COUNTA($Q97))&gt;0),"",IF($V97="Macro",COUNTIFS($V$5:$V97,"Macro",$S$5:$S97,$S97),IF(N($U97)=0,"?",COUNTIFS(INDEX($V$5:$V$1000,1):INDEX($V$5:$V$1000,$U97-4),"Macro",INDEX($S$5:$S$1000,1):INDEX($S$5:$S$1000,$U97-4),INDEX($S$5:$S$1000,$U97-4))&amp;"."&amp;COUNTIFS($U$5:$U97,$U97,$V$5:$V97,"Sub"))))</f>
        <v/>
      </c>
      <c r="B97" s="57" t="n"/>
      <c r="C97" s="58" t="n"/>
      <c r="D97" s="58" t="n"/>
      <c r="E97" s="59">
        <f>IF(N($AL97)&gt;0,INDEX(rIni_ADM,$AL97),"")</f>
        <v/>
      </c>
      <c r="F97" s="59">
        <f>IF(N($AL97)&gt;0,INDEX(rLim_ADM,$AL97),"")</f>
        <v/>
      </c>
      <c r="G97" s="59" t="n"/>
      <c r="H97" s="60" t="n"/>
      <c r="I97" s="60" t="n"/>
      <c r="J97" s="60" t="n"/>
      <c r="K97" s="60" t="n"/>
      <c r="L97" s="60" t="n"/>
      <c r="M97" s="61">
        <f>IF(NOT((COUNTA($B97:$D97)+COUNTA($G97:$L97)+COUNTA($Q97))&gt;0),"",IF($V97="Sub",IFERROR($X97/INDEX($W$5:$W$1000,$U97-4),""),IF(ISNUMBER($G97),1,IF(N($W97)&gt;0,AVERAGEIFS($X$5:$X$1000,$U$5:$U$1000,ROW(),$V$5:$V$1000,"Sub"),$X97))))</f>
        <v/>
      </c>
      <c r="N97" s="56">
        <f>IF(OR($M97="",$V97="Sub"),"",IF($M97&gt;=1,"Completado",IF($M97&gt;0,"En curso","Pendiente")))</f>
        <v/>
      </c>
      <c r="O97" s="56">
        <f>IF(OR(NOT((COUNTA($B97:$D97)+COUNTA($G97:$L97)+COUNTA($Q97))&gt;0),$V97="Sub"),"",IF(ISNUMBER($G97),IF(AND(ISNUMBER($AN97),$G97&gt;$AN97),"Cumplida con "&amp;($G97-$AN97)&amp;IF($G97-$AN97=1," día"," días")&amp;" de retraso","Cumplida"),IF(N($M97)&gt;=1,"Cumplida",IF(NOT(ISNUMBER($AN97)),"Sin fecha límite",IF($AN97&lt;FechaRef,"Vencida hace "&amp;(FechaRef-$AN97)&amp;IF(FechaRef-$AN97=1," día"," días"),IF($AN97=FechaRef,"Vence hoy",IF($AN97-FechaRef&lt;=DiasAlerta,"Vence en "&amp;($AN97-FechaRef)&amp;IF($AN97-FechaRef=1," día"," días"),"En plazo")))))))</f>
        <v/>
      </c>
      <c r="P97" s="62" t="n"/>
      <c r="Q97" s="58" t="n"/>
      <c r="R97" s="63">
        <f>IF(NOT((COUNTA($B97:$D97)+COUNTA($G97:$L97)+COUNTA($Q97))&gt;0),"",IF((IF($C97="","Falta el nombre de la actividad"&amp;" · ","")&amp;IF(AND($V97="Sub",N($U97)=0),"Subactividad sin macroactividad arriba"&amp;" · ","")&amp;IF($AM97="","Sin fecha de inicio"&amp;" · ","")&amp;IF($AN97="","Sin fecha límite"&amp;" · ","")&amp;IF(AND(LEFT($C97,11)="[Jefatura] ",N($AL97)=0),"No se encuentra en la hoja de la jefatura (elíjala de nuevo en la lista)"&amp;" · ","")&amp;IF(OR(AND($E97&lt;&gt;"",NOT(ISNUMBER($E97))),AND($F97&lt;&gt;"",NOT(ISNUMBER($F97))),AND($G97&lt;&gt;"",NOT(ISNUMBER($G97)))),"Fecha no válida"&amp;" · ","")&amp;IF(AND(ISNUMBER($AM97),ISNUMBER($AN97),$AM97&gt;$AN97),"Inicio posterior a fecha límite"&amp;" · ","")&amp;IF(AND($V97="Macro",$H97&lt;&gt;"",OR(NOT(ISNUMBER($H97)),$H97&lt;0,$H97&gt;1)),"Peso fuera de rango"&amp;" · ","")&amp;IF(AND($V97="Sub",$H97&lt;&gt;""),"Las subactividades no llevan peso (valen igual dentro de su macroactividad)"&amp;" · ","")&amp;IF(AND(N($W97)&gt;0,COUNT($I97:$L97)&gt;0),"Con subactividades: deje vacías las semanas (se calculan solas)"&amp;" · ","")&amp;IF((COUNTIF($I97:$L97,"&gt;1")+COUNTIF($I97:$L97,"&lt;0")+COUNTA($I97:$L97)-COUNT($I97:$L97))&gt;0,"Avance fuera de rango 0-100%"&amp;" · ","")&amp;IF(OR(AND($J97&lt;&gt;"",$J97&lt;$I97),AND($K97&lt;&gt;"",$K97&lt;MAX($I97:$J97)),AND($L97&lt;&gt;"",$L97&lt;MAX($I97:$K97))),"Avance semanal decreciente"&amp;" · ","")&amp;IF(AND(ISNUMBER($AN97),$AN97&lt;FechaRef,IF($V97="Sub",N($X97),N($M97))&lt;1),"Vencida"&amp;" · ","")&amp;IF(AND(ObsObligatoria="Sí",ISNUMBER($AN97),$AN97&lt;FechaRef,IF($V97="Sub",N($X97),N($M97))&lt;1,$Q97=""),"Vencida sin observación"&amp;" · ",""))="","✔ OK","⚠ "&amp;LEFT(IF($C97="","Falta el nombre de la actividad"&amp;" · ","")&amp;IF(AND($V97="Sub",N($U97)=0),"Subactividad sin macroactividad arriba"&amp;" · ","")&amp;IF($AM97="","Sin fecha de inicio"&amp;" · ","")&amp;IF($AN97="","Sin fecha límite"&amp;" · ","")&amp;IF(AND(LEFT($C97,11)="[Jefatura] ",N($AL97)=0),"No se encuentra en la hoja de la jefatura (elíjala de nuevo en la lista)"&amp;" · ","")&amp;IF(OR(AND($E97&lt;&gt;"",NOT(ISNUMBER($E97))),AND($F97&lt;&gt;"",NOT(ISNUMBER($F97))),AND($G97&lt;&gt;"",NOT(ISNUMBER($G97)))),"Fecha no válida"&amp;" · ","")&amp;IF(AND(ISNUMBER($AM97),ISNUMBER($AN97),$AM97&gt;$AN97),"Inicio posterior a fecha límite"&amp;" · ","")&amp;IF(AND($V97="Macro",$H97&lt;&gt;"",OR(NOT(ISNUMBER($H97)),$H97&lt;0,$H97&gt;1)),"Peso fuera de rango"&amp;" · ","")&amp;IF(AND($V97="Sub",$H97&lt;&gt;""),"Las subactividades no llevan peso (valen igual dentro de su macroactividad)"&amp;" · ","")&amp;IF(AND(N($W97)&gt;0,COUNT($I97:$L97)&gt;0),"Con subactividades: deje vacías las semanas (se calculan solas)"&amp;" · ","")&amp;IF((COUNTIF($I97:$L97,"&gt;1")+COUNTIF($I97:$L97,"&lt;0")+COUNTA($I97:$L97)-COUNT($I97:$L97))&gt;0,"Avance fuera de rango 0-100%"&amp;" · ","")&amp;IF(OR(AND($J97&lt;&gt;"",$J97&lt;$I97),AND($K97&lt;&gt;"",$K97&lt;MAX($I97:$J97)),AND($L97&lt;&gt;"",$L97&lt;MAX($I97:$K97))),"Avance semanal decreciente"&amp;" · ","")&amp;IF(AND(ISNUMBER($AN97),$AN97&lt;FechaRef,IF($V97="Sub",N($X97),N($M97))&lt;1),"Vencida"&amp;" · ","")&amp;IF(AND(ObsObligatoria="Sí",ISNUMBER($AN97),$AN97&lt;FechaRef,IF($V97="Sub",N($X97),N($M97))&lt;1,$Q97=""),"Vencida sin observación"&amp;" · ",""),LEN(IF($C97="","Falta el nombre de la actividad"&amp;" · ","")&amp;IF(AND($V97="Sub",N($U97)=0),"Subactividad sin macroactividad arriba"&amp;" · ","")&amp;IF($AM97="","Sin fecha de inicio"&amp;" · ","")&amp;IF($AN97="","Sin fecha límite"&amp;" · ","")&amp;IF(AND(LEFT($C97,11)="[Jefatura] ",N($AL97)=0),"No se encuentra en la hoja de la jefatura (elíjala de nuevo en la lista)"&amp;" · ","")&amp;IF(OR(AND($E97&lt;&gt;"",NOT(ISNUMBER($E97))),AND($F97&lt;&gt;"",NOT(ISNUMBER($F97))),AND($G97&lt;&gt;"",NOT(ISNUMBER($G97)))),"Fecha no válida"&amp;" · ","")&amp;IF(AND(ISNUMBER($AM97),ISNUMBER($AN97),$AM97&gt;$AN97),"Inicio posterior a fecha límite"&amp;" · ","")&amp;IF(AND($V97="Macro",$H97&lt;&gt;"",OR(NOT(ISNUMBER($H97)),$H97&lt;0,$H97&gt;1)),"Peso fuera de rango"&amp;" · ","")&amp;IF(AND($V97="Sub",$H97&lt;&gt;""),"Las subactividades no llevan peso (valen igual dentro de su macroactividad)"&amp;" · ","")&amp;IF(AND(N($W97)&gt;0,COUNT($I97:$L97)&gt;0),"Con subactividades: deje vacías las semanas (se calculan solas)"&amp;" · ","")&amp;IF((COUNTIF($I97:$L97,"&gt;1")+COUNTIF($I97:$L97,"&lt;0")+COUNTA($I97:$L97)-COUNT($I97:$L97))&gt;0,"Avance fuera de rango 0-100%"&amp;" · ","")&amp;IF(OR(AND($J97&lt;&gt;"",$J97&lt;$I97),AND($K97&lt;&gt;"",$K97&lt;MAX($I97:$J97)),AND($L97&lt;&gt;"",$L97&lt;MAX($I97:$K97))),"Avance semanal decreciente"&amp;" · ","")&amp;IF(AND(ISNUMBER($AN97),$AN97&lt;FechaRef,IF($V97="Sub",N($X97),N($M97))&lt;1),"Vencida"&amp;" · ","")&amp;IF(AND(ObsObligatoria="Sí",ISNUMBER($AN97),$AN97&lt;FechaRef,IF($V97="Sub",N($X97),N($M97))&lt;1,$Q97=""),"Vencida sin observación"&amp;" · ",""))-3)))</f>
        <v/>
      </c>
      <c r="S97" s="64">
        <f>IF(NOT((COUNTA($B97:$D97)+COUNTA($G97:$L97)+COUNTA($Q97))&gt;0),"",IF(AND($V97="Sub",N($U97)&gt;0),IF(ISNUMBER(INDEX($AM$5:$AM$1000,$U97-4)),DATE(YEAR(INDEX($AM$5:$AM$1000,$U97-4)),MONTH(INDEX($AM$5:$AM$1000,$U97-4)),1),IF(ISNUMBER(INDEX($AN$5:$AN$1000,$U97-4)),DATE(YEAR(INDEX($AN$5:$AN$1000,$U97-4)),MONTH(INDEX($AN$5:$AN$1000,$U97-4)),1),MesCiclo)),IF(ISNUMBER($AM97),DATE(YEAR($AM97),MONTH($AM97),1),IF(ISNUMBER($AN97),DATE(YEAR($AN97),MONTH($AN97),1),MesCiclo))))</f>
        <v/>
      </c>
      <c r="T97" s="62">
        <f>IF(OR($S97="",$S97&lt;&gt;MesCiclo,$V97&lt;&gt;"Macro"),"",COUNTIFS($S$5:$S97,MesCiclo,$V$5:$V97,"Macro"))</f>
        <v/>
      </c>
      <c r="U97" s="62">
        <f>IF($V97="","",IF($V97="Macro",ROW(),IFERROR(LOOKUP(2,1/($V$5:$V97="Macro"),ROW($V$5:$V97)),0)))</f>
        <v/>
      </c>
      <c r="V97" s="62">
        <f>IF(NOT((COUNTA($B97:$D97)+COUNTA($G97:$L97)+COUNTA($Q97))&gt;0),"",IF($B97="Subactividad","Sub","Macro"))</f>
        <v/>
      </c>
      <c r="W97" s="62">
        <f>IF($V97="Macro",COUNTIFS($U$5:$U$1000,ROW(),$V$5:$V$1000,"Sub"),"")</f>
        <v/>
      </c>
      <c r="X97" s="62">
        <f>IF($V97="","",IF(ISNUMBER($G97),1,IFERROR(LOOKUP(2,1/($I97:$L97&lt;&gt;""),$I97:$L97),0)))</f>
        <v/>
      </c>
      <c r="Y97" s="62">
        <f>IF($V97="","",IF(AND(ISNUMBER($G97),$G97&lt;=IF($S97=MesCiclo,InicioCiclo,$S97+MOD(2-WEEKDAY($S97),7))+6),1,IF(ISNUMBER($I97),$I97,0)))</f>
        <v/>
      </c>
      <c r="Z97" s="62">
        <f>IF($V97="","",IF(AND(ISNUMBER($G97),$G97&lt;=IF($S97=MesCiclo,InicioCiclo,$S97+MOD(2-WEEKDAY($S97),7))+13),1,IF(ISNUMBER($J97),$J97,$Y97)))</f>
        <v/>
      </c>
      <c r="AA97" s="62">
        <f>IF($V97="","",IF(AND(ISNUMBER($G97),$G97&lt;=IF($S97=MesCiclo,InicioCiclo,$S97+MOD(2-WEEKDAY($S97),7))+20),1,IF(ISNUMBER($K97),$K97,$Z97)))</f>
        <v/>
      </c>
      <c r="AB97" s="62">
        <f>IF($V97="","",IF(AND(ISNUMBER($G97),$G97&lt;=IF($S97=MesCiclo,InicioCiclo,$S97+MOD(2-WEEKDAY($S97),7))+27),1,IF(ISNUMBER($L97),$L97,$AA97)))</f>
        <v/>
      </c>
      <c r="AC97" s="62">
        <f>IF($V97="","",IF(AND(ISNUMBER($G97),$G97&lt;=IF($S97=MesCiclo,InicioCiclo,$S97+MOD(2-WEEKDAY($S97),7))+6),1,IF(N($W97)&gt;0,AVERAGEIFS($Y$5:$Y$1000,$U$5:$U$1000,ROW(),$V$5:$V$1000,"Sub"),$Y97)))</f>
        <v/>
      </c>
      <c r="AD97" s="62">
        <f>IF($V97="","",IF(AND(ISNUMBER($G97),$G97&lt;=IF($S97=MesCiclo,InicioCiclo,$S97+MOD(2-WEEKDAY($S97),7))+13),1,IF(N($W97)&gt;0,AVERAGEIFS($Z$5:$Z$1000,$U$5:$U$1000,ROW(),$V$5:$V$1000,"Sub"),$Z97)))</f>
        <v/>
      </c>
      <c r="AE97" s="62">
        <f>IF($V97="","",IF(AND(ISNUMBER($G97),$G97&lt;=IF($S97=MesCiclo,InicioCiclo,$S97+MOD(2-WEEKDAY($S97),7))+20),1,IF(N($W97)&gt;0,AVERAGEIFS($AA$5:$AA$1000,$U$5:$U$1000,ROW(),$V$5:$V$1000,"Sub"),$AA97)))</f>
        <v/>
      </c>
      <c r="AF97" s="62">
        <f>IF($V97="","",IF(AND(ISNUMBER($G97),$G97&lt;=IF($S97=MesCiclo,InicioCiclo,$S97+MOD(2-WEEKDAY($S97),7))+27),1,IF(N($W97)&gt;0,AVERAGEIFS($AB$5:$AB$1000,$U$5:$U$1000,ROW(),$V$5:$V$1000,"Sub"),$AB97)))</f>
        <v/>
      </c>
      <c r="AG97" s="62">
        <f>IF($V97&lt;&gt;"Macro","",IF(COUNTIFS($S$5:$S$1000,$S97,$V$5:$V$1000,"Macro",$H$5:$H$1000,"&gt;0")=0,1/COUNTIFS($S$5:$S$1000,$S97,$V$5:$V$1000,"Macro"),IF(AND(ISNUMBER($H97),N($H97)&gt;0),$H97,SUMIFS($H$5:$H$1000,$S$5:$S$1000,$S97,$V$5:$V$1000,"Macro")/COUNTIFS($S$5:$S$1000,$S97,$V$5:$V$1000,"Macro",$H$5:$H$1000,"&gt;0"))/(COUNTIFS($S$5:$S$1000,$S97,$V$5:$V$1000,"Macro")*SUMIFS($H$5:$H$1000,$S$5:$S$1000,$S97,$V$5:$V$1000,"Macro")/COUNTIFS($S$5:$S$1000,$S97,$V$5:$V$1000,"Macro",$H$5:$H$1000,"&gt;0"))))</f>
        <v/>
      </c>
      <c r="AH97" s="62" t="n"/>
      <c r="AI97" s="62" t="n"/>
      <c r="AJ97" s="62" t="n"/>
      <c r="AK97" s="62" t="n"/>
      <c r="AL97" s="62">
        <f>IF(LEFT($C97,11)="[Jefatura] ",IFERROR(MATCH("Riesgo Operacional|"&amp;MID($C97,12,500),rDname_ADM,0),0),"")</f>
        <v/>
      </c>
      <c r="AM97" s="62">
        <f>IF(N($AL97)&gt;0,INDEX(rIni_ADM,$AL97),IF(ISNUMBER($E97),$E97,""))</f>
        <v/>
      </c>
      <c r="AN97" s="62">
        <f>IF(N($AL97)&gt;0,INDEX(rLim_ADM,$AL97),IF(ISNUMBER($F97),$F97,""))</f>
        <v/>
      </c>
    </row>
    <row r="98">
      <c r="A98" s="56">
        <f>IF(NOT((COUNTA($B98:$D98)+COUNTA($G98:$L98)+COUNTA($Q98))&gt;0),"",IF($V98="Macro",COUNTIFS($V$5:$V98,"Macro",$S$5:$S98,$S98),IF(N($U98)=0,"?",COUNTIFS(INDEX($V$5:$V$1000,1):INDEX($V$5:$V$1000,$U98-4),"Macro",INDEX($S$5:$S$1000,1):INDEX($S$5:$S$1000,$U98-4),INDEX($S$5:$S$1000,$U98-4))&amp;"."&amp;COUNTIFS($U$5:$U98,$U98,$V$5:$V98,"Sub"))))</f>
        <v/>
      </c>
      <c r="B98" s="57" t="n"/>
      <c r="C98" s="58" t="n"/>
      <c r="D98" s="58" t="n"/>
      <c r="E98" s="59">
        <f>IF(N($AL98)&gt;0,INDEX(rIni_ADM,$AL98),"")</f>
        <v/>
      </c>
      <c r="F98" s="59">
        <f>IF(N($AL98)&gt;0,INDEX(rLim_ADM,$AL98),"")</f>
        <v/>
      </c>
      <c r="G98" s="59" t="n"/>
      <c r="H98" s="60" t="n"/>
      <c r="I98" s="60" t="n"/>
      <c r="J98" s="60" t="n"/>
      <c r="K98" s="60" t="n"/>
      <c r="L98" s="60" t="n"/>
      <c r="M98" s="61">
        <f>IF(NOT((COUNTA($B98:$D98)+COUNTA($G98:$L98)+COUNTA($Q98))&gt;0),"",IF($V98="Sub",IFERROR($X98/INDEX($W$5:$W$1000,$U98-4),""),IF(ISNUMBER($G98),1,IF(N($W98)&gt;0,AVERAGEIFS($X$5:$X$1000,$U$5:$U$1000,ROW(),$V$5:$V$1000,"Sub"),$X98))))</f>
        <v/>
      </c>
      <c r="N98" s="56">
        <f>IF(OR($M98="",$V98="Sub"),"",IF($M98&gt;=1,"Completado",IF($M98&gt;0,"En curso","Pendiente")))</f>
        <v/>
      </c>
      <c r="O98" s="56">
        <f>IF(OR(NOT((COUNTA($B98:$D98)+COUNTA($G98:$L98)+COUNTA($Q98))&gt;0),$V98="Sub"),"",IF(ISNUMBER($G98),IF(AND(ISNUMBER($AN98),$G98&gt;$AN98),"Cumplida con "&amp;($G98-$AN98)&amp;IF($G98-$AN98=1," día"," días")&amp;" de retraso","Cumplida"),IF(N($M98)&gt;=1,"Cumplida",IF(NOT(ISNUMBER($AN98)),"Sin fecha límite",IF($AN98&lt;FechaRef,"Vencida hace "&amp;(FechaRef-$AN98)&amp;IF(FechaRef-$AN98=1," día"," días"),IF($AN98=FechaRef,"Vence hoy",IF($AN98-FechaRef&lt;=DiasAlerta,"Vence en "&amp;($AN98-FechaRef)&amp;IF($AN98-FechaRef=1," día"," días"),"En plazo")))))))</f>
        <v/>
      </c>
      <c r="P98" s="62" t="n"/>
      <c r="Q98" s="58" t="n"/>
      <c r="R98" s="63">
        <f>IF(NOT((COUNTA($B98:$D98)+COUNTA($G98:$L98)+COUNTA($Q98))&gt;0),"",IF((IF($C98="","Falta el nombre de la actividad"&amp;" · ","")&amp;IF(AND($V98="Sub",N($U98)=0),"Subactividad sin macroactividad arriba"&amp;" · ","")&amp;IF($AM98="","Sin fecha de inicio"&amp;" · ","")&amp;IF($AN98="","Sin fecha límite"&amp;" · ","")&amp;IF(AND(LEFT($C98,11)="[Jefatura] ",N($AL98)=0),"No se encuentra en la hoja de la jefatura (elíjala de nuevo en la lista)"&amp;" · ","")&amp;IF(OR(AND($E98&lt;&gt;"",NOT(ISNUMBER($E98))),AND($F98&lt;&gt;"",NOT(ISNUMBER($F98))),AND($G98&lt;&gt;"",NOT(ISNUMBER($G98)))),"Fecha no válida"&amp;" · ","")&amp;IF(AND(ISNUMBER($AM98),ISNUMBER($AN98),$AM98&gt;$AN98),"Inicio posterior a fecha límite"&amp;" · ","")&amp;IF(AND($V98="Macro",$H98&lt;&gt;"",OR(NOT(ISNUMBER($H98)),$H98&lt;0,$H98&gt;1)),"Peso fuera de rango"&amp;" · ","")&amp;IF(AND($V98="Sub",$H98&lt;&gt;""),"Las subactividades no llevan peso (valen igual dentro de su macroactividad)"&amp;" · ","")&amp;IF(AND(N($W98)&gt;0,COUNT($I98:$L98)&gt;0),"Con subactividades: deje vacías las semanas (se calculan solas)"&amp;" · ","")&amp;IF((COUNTIF($I98:$L98,"&gt;1")+COUNTIF($I98:$L98,"&lt;0")+COUNTA($I98:$L98)-COUNT($I98:$L98))&gt;0,"Avance fuera de rango 0-100%"&amp;" · ","")&amp;IF(OR(AND($J98&lt;&gt;"",$J98&lt;$I98),AND($K98&lt;&gt;"",$K98&lt;MAX($I98:$J98)),AND($L98&lt;&gt;"",$L98&lt;MAX($I98:$K98))),"Avance semanal decreciente"&amp;" · ","")&amp;IF(AND(ISNUMBER($AN98),$AN98&lt;FechaRef,IF($V98="Sub",N($X98),N($M98))&lt;1),"Vencida"&amp;" · ","")&amp;IF(AND(ObsObligatoria="Sí",ISNUMBER($AN98),$AN98&lt;FechaRef,IF($V98="Sub",N($X98),N($M98))&lt;1,$Q98=""),"Vencida sin observación"&amp;" · ",""))="","✔ OK","⚠ "&amp;LEFT(IF($C98="","Falta el nombre de la actividad"&amp;" · ","")&amp;IF(AND($V98="Sub",N($U98)=0),"Subactividad sin macroactividad arriba"&amp;" · ","")&amp;IF($AM98="","Sin fecha de inicio"&amp;" · ","")&amp;IF($AN98="","Sin fecha límite"&amp;" · ","")&amp;IF(AND(LEFT($C98,11)="[Jefatura] ",N($AL98)=0),"No se encuentra en la hoja de la jefatura (elíjala de nuevo en la lista)"&amp;" · ","")&amp;IF(OR(AND($E98&lt;&gt;"",NOT(ISNUMBER($E98))),AND($F98&lt;&gt;"",NOT(ISNUMBER($F98))),AND($G98&lt;&gt;"",NOT(ISNUMBER($G98)))),"Fecha no válida"&amp;" · ","")&amp;IF(AND(ISNUMBER($AM98),ISNUMBER($AN98),$AM98&gt;$AN98),"Inicio posterior a fecha límite"&amp;" · ","")&amp;IF(AND($V98="Macro",$H98&lt;&gt;"",OR(NOT(ISNUMBER($H98)),$H98&lt;0,$H98&gt;1)),"Peso fuera de rango"&amp;" · ","")&amp;IF(AND($V98="Sub",$H98&lt;&gt;""),"Las subactividades no llevan peso (valen igual dentro de su macroactividad)"&amp;" · ","")&amp;IF(AND(N($W98)&gt;0,COUNT($I98:$L98)&gt;0),"Con subactividades: deje vacías las semanas (se calculan solas)"&amp;" · ","")&amp;IF((COUNTIF($I98:$L98,"&gt;1")+COUNTIF($I98:$L98,"&lt;0")+COUNTA($I98:$L98)-COUNT($I98:$L98))&gt;0,"Avance fuera de rango 0-100%"&amp;" · ","")&amp;IF(OR(AND($J98&lt;&gt;"",$J98&lt;$I98),AND($K98&lt;&gt;"",$K98&lt;MAX($I98:$J98)),AND($L98&lt;&gt;"",$L98&lt;MAX($I98:$K98))),"Avance semanal decreciente"&amp;" · ","")&amp;IF(AND(ISNUMBER($AN98),$AN98&lt;FechaRef,IF($V98="Sub",N($X98),N($M98))&lt;1),"Vencida"&amp;" · ","")&amp;IF(AND(ObsObligatoria="Sí",ISNUMBER($AN98),$AN98&lt;FechaRef,IF($V98="Sub",N($X98),N($M98))&lt;1,$Q98=""),"Vencida sin observación"&amp;" · ",""),LEN(IF($C98="","Falta el nombre de la actividad"&amp;" · ","")&amp;IF(AND($V98="Sub",N($U98)=0),"Subactividad sin macroactividad arriba"&amp;" · ","")&amp;IF($AM98="","Sin fecha de inicio"&amp;" · ","")&amp;IF($AN98="","Sin fecha límite"&amp;" · ","")&amp;IF(AND(LEFT($C98,11)="[Jefatura] ",N($AL98)=0),"No se encuentra en la hoja de la jefatura (elíjala de nuevo en la lista)"&amp;" · ","")&amp;IF(OR(AND($E98&lt;&gt;"",NOT(ISNUMBER($E98))),AND($F98&lt;&gt;"",NOT(ISNUMBER($F98))),AND($G98&lt;&gt;"",NOT(ISNUMBER($G98)))),"Fecha no válida"&amp;" · ","")&amp;IF(AND(ISNUMBER($AM98),ISNUMBER($AN98),$AM98&gt;$AN98),"Inicio posterior a fecha límite"&amp;" · ","")&amp;IF(AND($V98="Macro",$H98&lt;&gt;"",OR(NOT(ISNUMBER($H98)),$H98&lt;0,$H98&gt;1)),"Peso fuera de rango"&amp;" · ","")&amp;IF(AND($V98="Sub",$H98&lt;&gt;""),"Las subactividades no llevan peso (valen igual dentro de su macroactividad)"&amp;" · ","")&amp;IF(AND(N($W98)&gt;0,COUNT($I98:$L98)&gt;0),"Con subactividades: deje vacías las semanas (se calculan solas)"&amp;" · ","")&amp;IF((COUNTIF($I98:$L98,"&gt;1")+COUNTIF($I98:$L98,"&lt;0")+COUNTA($I98:$L98)-COUNT($I98:$L98))&gt;0,"Avance fuera de rango 0-100%"&amp;" · ","")&amp;IF(OR(AND($J98&lt;&gt;"",$J98&lt;$I98),AND($K98&lt;&gt;"",$K98&lt;MAX($I98:$J98)),AND($L98&lt;&gt;"",$L98&lt;MAX($I98:$K98))),"Avance semanal decreciente"&amp;" · ","")&amp;IF(AND(ISNUMBER($AN98),$AN98&lt;FechaRef,IF($V98="Sub",N($X98),N($M98))&lt;1),"Vencida"&amp;" · ","")&amp;IF(AND(ObsObligatoria="Sí",ISNUMBER($AN98),$AN98&lt;FechaRef,IF($V98="Sub",N($X98),N($M98))&lt;1,$Q98=""),"Vencida sin observación"&amp;" · ",""))-3)))</f>
        <v/>
      </c>
      <c r="S98" s="64">
        <f>IF(NOT((COUNTA($B98:$D98)+COUNTA($G98:$L98)+COUNTA($Q98))&gt;0),"",IF(AND($V98="Sub",N($U98)&gt;0),IF(ISNUMBER(INDEX($AM$5:$AM$1000,$U98-4)),DATE(YEAR(INDEX($AM$5:$AM$1000,$U98-4)),MONTH(INDEX($AM$5:$AM$1000,$U98-4)),1),IF(ISNUMBER(INDEX($AN$5:$AN$1000,$U98-4)),DATE(YEAR(INDEX($AN$5:$AN$1000,$U98-4)),MONTH(INDEX($AN$5:$AN$1000,$U98-4)),1),MesCiclo)),IF(ISNUMBER($AM98),DATE(YEAR($AM98),MONTH($AM98),1),IF(ISNUMBER($AN98),DATE(YEAR($AN98),MONTH($AN98),1),MesCiclo))))</f>
        <v/>
      </c>
      <c r="T98" s="62">
        <f>IF(OR($S98="",$S98&lt;&gt;MesCiclo,$V98&lt;&gt;"Macro"),"",COUNTIFS($S$5:$S98,MesCiclo,$V$5:$V98,"Macro"))</f>
        <v/>
      </c>
      <c r="U98" s="62">
        <f>IF($V98="","",IF($V98="Macro",ROW(),IFERROR(LOOKUP(2,1/($V$5:$V98="Macro"),ROW($V$5:$V98)),0)))</f>
        <v/>
      </c>
      <c r="V98" s="62">
        <f>IF(NOT((COUNTA($B98:$D98)+COUNTA($G98:$L98)+COUNTA($Q98))&gt;0),"",IF($B98="Subactividad","Sub","Macro"))</f>
        <v/>
      </c>
      <c r="W98" s="62">
        <f>IF($V98="Macro",COUNTIFS($U$5:$U$1000,ROW(),$V$5:$V$1000,"Sub"),"")</f>
        <v/>
      </c>
      <c r="X98" s="62">
        <f>IF($V98="","",IF(ISNUMBER($G98),1,IFERROR(LOOKUP(2,1/($I98:$L98&lt;&gt;""),$I98:$L98),0)))</f>
        <v/>
      </c>
      <c r="Y98" s="62">
        <f>IF($V98="","",IF(AND(ISNUMBER($G98),$G98&lt;=IF($S98=MesCiclo,InicioCiclo,$S98+MOD(2-WEEKDAY($S98),7))+6),1,IF(ISNUMBER($I98),$I98,0)))</f>
        <v/>
      </c>
      <c r="Z98" s="62">
        <f>IF($V98="","",IF(AND(ISNUMBER($G98),$G98&lt;=IF($S98=MesCiclo,InicioCiclo,$S98+MOD(2-WEEKDAY($S98),7))+13),1,IF(ISNUMBER($J98),$J98,$Y98)))</f>
        <v/>
      </c>
      <c r="AA98" s="62">
        <f>IF($V98="","",IF(AND(ISNUMBER($G98),$G98&lt;=IF($S98=MesCiclo,InicioCiclo,$S98+MOD(2-WEEKDAY($S98),7))+20),1,IF(ISNUMBER($K98),$K98,$Z98)))</f>
        <v/>
      </c>
      <c r="AB98" s="62">
        <f>IF($V98="","",IF(AND(ISNUMBER($G98),$G98&lt;=IF($S98=MesCiclo,InicioCiclo,$S98+MOD(2-WEEKDAY($S98),7))+27),1,IF(ISNUMBER($L98),$L98,$AA98)))</f>
        <v/>
      </c>
      <c r="AC98" s="62">
        <f>IF($V98="","",IF(AND(ISNUMBER($G98),$G98&lt;=IF($S98=MesCiclo,InicioCiclo,$S98+MOD(2-WEEKDAY($S98),7))+6),1,IF(N($W98)&gt;0,AVERAGEIFS($Y$5:$Y$1000,$U$5:$U$1000,ROW(),$V$5:$V$1000,"Sub"),$Y98)))</f>
        <v/>
      </c>
      <c r="AD98" s="62">
        <f>IF($V98="","",IF(AND(ISNUMBER($G98),$G98&lt;=IF($S98=MesCiclo,InicioCiclo,$S98+MOD(2-WEEKDAY($S98),7))+13),1,IF(N($W98)&gt;0,AVERAGEIFS($Z$5:$Z$1000,$U$5:$U$1000,ROW(),$V$5:$V$1000,"Sub"),$Z98)))</f>
        <v/>
      </c>
      <c r="AE98" s="62">
        <f>IF($V98="","",IF(AND(ISNUMBER($G98),$G98&lt;=IF($S98=MesCiclo,InicioCiclo,$S98+MOD(2-WEEKDAY($S98),7))+20),1,IF(N($W98)&gt;0,AVERAGEIFS($AA$5:$AA$1000,$U$5:$U$1000,ROW(),$V$5:$V$1000,"Sub"),$AA98)))</f>
        <v/>
      </c>
      <c r="AF98" s="62">
        <f>IF($V98="","",IF(AND(ISNUMBER($G98),$G98&lt;=IF($S98=MesCiclo,InicioCiclo,$S98+MOD(2-WEEKDAY($S98),7))+27),1,IF(N($W98)&gt;0,AVERAGEIFS($AB$5:$AB$1000,$U$5:$U$1000,ROW(),$V$5:$V$1000,"Sub"),$AB98)))</f>
        <v/>
      </c>
      <c r="AG98" s="62">
        <f>IF($V98&lt;&gt;"Macro","",IF(COUNTIFS($S$5:$S$1000,$S98,$V$5:$V$1000,"Macro",$H$5:$H$1000,"&gt;0")=0,1/COUNTIFS($S$5:$S$1000,$S98,$V$5:$V$1000,"Macro"),IF(AND(ISNUMBER($H98),N($H98)&gt;0),$H98,SUMIFS($H$5:$H$1000,$S$5:$S$1000,$S98,$V$5:$V$1000,"Macro")/COUNTIFS($S$5:$S$1000,$S98,$V$5:$V$1000,"Macro",$H$5:$H$1000,"&gt;0"))/(COUNTIFS($S$5:$S$1000,$S98,$V$5:$V$1000,"Macro")*SUMIFS($H$5:$H$1000,$S$5:$S$1000,$S98,$V$5:$V$1000,"Macro")/COUNTIFS($S$5:$S$1000,$S98,$V$5:$V$1000,"Macro",$H$5:$H$1000,"&gt;0"))))</f>
        <v/>
      </c>
      <c r="AH98" s="62" t="n"/>
      <c r="AI98" s="62" t="n"/>
      <c r="AJ98" s="62" t="n"/>
      <c r="AK98" s="62" t="n"/>
      <c r="AL98" s="62">
        <f>IF(LEFT($C98,11)="[Jefatura] ",IFERROR(MATCH("Riesgo Operacional|"&amp;MID($C98,12,500),rDname_ADM,0),0),"")</f>
        <v/>
      </c>
      <c r="AM98" s="62">
        <f>IF(N($AL98)&gt;0,INDEX(rIni_ADM,$AL98),IF(ISNUMBER($E98),$E98,""))</f>
        <v/>
      </c>
      <c r="AN98" s="62">
        <f>IF(N($AL98)&gt;0,INDEX(rLim_ADM,$AL98),IF(ISNUMBER($F98),$F98,""))</f>
        <v/>
      </c>
    </row>
    <row r="99">
      <c r="A99" s="56">
        <f>IF(NOT((COUNTA($B99:$D99)+COUNTA($G99:$L99)+COUNTA($Q99))&gt;0),"",IF($V99="Macro",COUNTIFS($V$5:$V99,"Macro",$S$5:$S99,$S99),IF(N($U99)=0,"?",COUNTIFS(INDEX($V$5:$V$1000,1):INDEX($V$5:$V$1000,$U99-4),"Macro",INDEX($S$5:$S$1000,1):INDEX($S$5:$S$1000,$U99-4),INDEX($S$5:$S$1000,$U99-4))&amp;"."&amp;COUNTIFS($U$5:$U99,$U99,$V$5:$V99,"Sub"))))</f>
        <v/>
      </c>
      <c r="B99" s="57" t="n"/>
      <c r="C99" s="58" t="n"/>
      <c r="D99" s="58" t="n"/>
      <c r="E99" s="59">
        <f>IF(N($AL99)&gt;0,INDEX(rIni_ADM,$AL99),"")</f>
        <v/>
      </c>
      <c r="F99" s="59">
        <f>IF(N($AL99)&gt;0,INDEX(rLim_ADM,$AL99),"")</f>
        <v/>
      </c>
      <c r="G99" s="59" t="n"/>
      <c r="H99" s="60" t="n"/>
      <c r="I99" s="60" t="n"/>
      <c r="J99" s="60" t="n"/>
      <c r="K99" s="60" t="n"/>
      <c r="L99" s="60" t="n"/>
      <c r="M99" s="61">
        <f>IF(NOT((COUNTA($B99:$D99)+COUNTA($G99:$L99)+COUNTA($Q99))&gt;0),"",IF($V99="Sub",IFERROR($X99/INDEX($W$5:$W$1000,$U99-4),""),IF(ISNUMBER($G99),1,IF(N($W99)&gt;0,AVERAGEIFS($X$5:$X$1000,$U$5:$U$1000,ROW(),$V$5:$V$1000,"Sub"),$X99))))</f>
        <v/>
      </c>
      <c r="N99" s="56">
        <f>IF(OR($M99="",$V99="Sub"),"",IF($M99&gt;=1,"Completado",IF($M99&gt;0,"En curso","Pendiente")))</f>
        <v/>
      </c>
      <c r="O99" s="56">
        <f>IF(OR(NOT((COUNTA($B99:$D99)+COUNTA($G99:$L99)+COUNTA($Q99))&gt;0),$V99="Sub"),"",IF(ISNUMBER($G99),IF(AND(ISNUMBER($AN99),$G99&gt;$AN99),"Cumplida con "&amp;($G99-$AN99)&amp;IF($G99-$AN99=1," día"," días")&amp;" de retraso","Cumplida"),IF(N($M99)&gt;=1,"Cumplida",IF(NOT(ISNUMBER($AN99)),"Sin fecha límite",IF($AN99&lt;FechaRef,"Vencida hace "&amp;(FechaRef-$AN99)&amp;IF(FechaRef-$AN99=1," día"," días"),IF($AN99=FechaRef,"Vence hoy",IF($AN99-FechaRef&lt;=DiasAlerta,"Vence en "&amp;($AN99-FechaRef)&amp;IF($AN99-FechaRef=1," día"," días"),"En plazo")))))))</f>
        <v/>
      </c>
      <c r="P99" s="62" t="n"/>
      <c r="Q99" s="58" t="n"/>
      <c r="R99" s="63">
        <f>IF(NOT((COUNTA($B99:$D99)+COUNTA($G99:$L99)+COUNTA($Q99))&gt;0),"",IF((IF($C99="","Falta el nombre de la actividad"&amp;" · ","")&amp;IF(AND($V99="Sub",N($U99)=0),"Subactividad sin macroactividad arriba"&amp;" · ","")&amp;IF($AM99="","Sin fecha de inicio"&amp;" · ","")&amp;IF($AN99="","Sin fecha límite"&amp;" · ","")&amp;IF(AND(LEFT($C99,11)="[Jefatura] ",N($AL99)=0),"No se encuentra en la hoja de la jefatura (elíjala de nuevo en la lista)"&amp;" · ","")&amp;IF(OR(AND($E99&lt;&gt;"",NOT(ISNUMBER($E99))),AND($F99&lt;&gt;"",NOT(ISNUMBER($F99))),AND($G99&lt;&gt;"",NOT(ISNUMBER($G99)))),"Fecha no válida"&amp;" · ","")&amp;IF(AND(ISNUMBER($AM99),ISNUMBER($AN99),$AM99&gt;$AN99),"Inicio posterior a fecha límite"&amp;" · ","")&amp;IF(AND($V99="Macro",$H99&lt;&gt;"",OR(NOT(ISNUMBER($H99)),$H99&lt;0,$H99&gt;1)),"Peso fuera de rango"&amp;" · ","")&amp;IF(AND($V99="Sub",$H99&lt;&gt;""),"Las subactividades no llevan peso (valen igual dentro de su macroactividad)"&amp;" · ","")&amp;IF(AND(N($W99)&gt;0,COUNT($I99:$L99)&gt;0),"Con subactividades: deje vacías las semanas (se calculan solas)"&amp;" · ","")&amp;IF((COUNTIF($I99:$L99,"&gt;1")+COUNTIF($I99:$L99,"&lt;0")+COUNTA($I99:$L99)-COUNT($I99:$L99))&gt;0,"Avance fuera de rango 0-100%"&amp;" · ","")&amp;IF(OR(AND($J99&lt;&gt;"",$J99&lt;$I99),AND($K99&lt;&gt;"",$K99&lt;MAX($I99:$J99)),AND($L99&lt;&gt;"",$L99&lt;MAX($I99:$K99))),"Avance semanal decreciente"&amp;" · ","")&amp;IF(AND(ISNUMBER($AN99),$AN99&lt;FechaRef,IF($V99="Sub",N($X99),N($M99))&lt;1),"Vencida"&amp;" · ","")&amp;IF(AND(ObsObligatoria="Sí",ISNUMBER($AN99),$AN99&lt;FechaRef,IF($V99="Sub",N($X99),N($M99))&lt;1,$Q99=""),"Vencida sin observación"&amp;" · ",""))="","✔ OK","⚠ "&amp;LEFT(IF($C99="","Falta el nombre de la actividad"&amp;" · ","")&amp;IF(AND($V99="Sub",N($U99)=0),"Subactividad sin macroactividad arriba"&amp;" · ","")&amp;IF($AM99="","Sin fecha de inicio"&amp;" · ","")&amp;IF($AN99="","Sin fecha límite"&amp;" · ","")&amp;IF(AND(LEFT($C99,11)="[Jefatura] ",N($AL99)=0),"No se encuentra en la hoja de la jefatura (elíjala de nuevo en la lista)"&amp;" · ","")&amp;IF(OR(AND($E99&lt;&gt;"",NOT(ISNUMBER($E99))),AND($F99&lt;&gt;"",NOT(ISNUMBER($F99))),AND($G99&lt;&gt;"",NOT(ISNUMBER($G99)))),"Fecha no válida"&amp;" · ","")&amp;IF(AND(ISNUMBER($AM99),ISNUMBER($AN99),$AM99&gt;$AN99),"Inicio posterior a fecha límite"&amp;" · ","")&amp;IF(AND($V99="Macro",$H99&lt;&gt;"",OR(NOT(ISNUMBER($H99)),$H99&lt;0,$H99&gt;1)),"Peso fuera de rango"&amp;" · ","")&amp;IF(AND($V99="Sub",$H99&lt;&gt;""),"Las subactividades no llevan peso (valen igual dentro de su macroactividad)"&amp;" · ","")&amp;IF(AND(N($W99)&gt;0,COUNT($I99:$L99)&gt;0),"Con subactividades: deje vacías las semanas (se calculan solas)"&amp;" · ","")&amp;IF((COUNTIF($I99:$L99,"&gt;1")+COUNTIF($I99:$L99,"&lt;0")+COUNTA($I99:$L99)-COUNT($I99:$L99))&gt;0,"Avance fuera de rango 0-100%"&amp;" · ","")&amp;IF(OR(AND($J99&lt;&gt;"",$J99&lt;$I99),AND($K99&lt;&gt;"",$K99&lt;MAX($I99:$J99)),AND($L99&lt;&gt;"",$L99&lt;MAX($I99:$K99))),"Avance semanal decreciente"&amp;" · ","")&amp;IF(AND(ISNUMBER($AN99),$AN99&lt;FechaRef,IF($V99="Sub",N($X99),N($M99))&lt;1),"Vencida"&amp;" · ","")&amp;IF(AND(ObsObligatoria="Sí",ISNUMBER($AN99),$AN99&lt;FechaRef,IF($V99="Sub",N($X99),N($M99))&lt;1,$Q99=""),"Vencida sin observación"&amp;" · ",""),LEN(IF($C99="","Falta el nombre de la actividad"&amp;" · ","")&amp;IF(AND($V99="Sub",N($U99)=0),"Subactividad sin macroactividad arriba"&amp;" · ","")&amp;IF($AM99="","Sin fecha de inicio"&amp;" · ","")&amp;IF($AN99="","Sin fecha límite"&amp;" · ","")&amp;IF(AND(LEFT($C99,11)="[Jefatura] ",N($AL99)=0),"No se encuentra en la hoja de la jefatura (elíjala de nuevo en la lista)"&amp;" · ","")&amp;IF(OR(AND($E99&lt;&gt;"",NOT(ISNUMBER($E99))),AND($F99&lt;&gt;"",NOT(ISNUMBER($F99))),AND($G99&lt;&gt;"",NOT(ISNUMBER($G99)))),"Fecha no válida"&amp;" · ","")&amp;IF(AND(ISNUMBER($AM99),ISNUMBER($AN99),$AM99&gt;$AN99),"Inicio posterior a fecha límite"&amp;" · ","")&amp;IF(AND($V99="Macro",$H99&lt;&gt;"",OR(NOT(ISNUMBER($H99)),$H99&lt;0,$H99&gt;1)),"Peso fuera de rango"&amp;" · ","")&amp;IF(AND($V99="Sub",$H99&lt;&gt;""),"Las subactividades no llevan peso (valen igual dentro de su macroactividad)"&amp;" · ","")&amp;IF(AND(N($W99)&gt;0,COUNT($I99:$L99)&gt;0),"Con subactividades: deje vacías las semanas (se calculan solas)"&amp;" · ","")&amp;IF((COUNTIF($I99:$L99,"&gt;1")+COUNTIF($I99:$L99,"&lt;0")+COUNTA($I99:$L99)-COUNT($I99:$L99))&gt;0,"Avance fuera de rango 0-100%"&amp;" · ","")&amp;IF(OR(AND($J99&lt;&gt;"",$J99&lt;$I99),AND($K99&lt;&gt;"",$K99&lt;MAX($I99:$J99)),AND($L99&lt;&gt;"",$L99&lt;MAX($I99:$K99))),"Avance semanal decreciente"&amp;" · ","")&amp;IF(AND(ISNUMBER($AN99),$AN99&lt;FechaRef,IF($V99="Sub",N($X99),N($M99))&lt;1),"Vencida"&amp;" · ","")&amp;IF(AND(ObsObligatoria="Sí",ISNUMBER($AN99),$AN99&lt;FechaRef,IF($V99="Sub",N($X99),N($M99))&lt;1,$Q99=""),"Vencida sin observación"&amp;" · ",""))-3)))</f>
        <v/>
      </c>
      <c r="S99" s="64">
        <f>IF(NOT((COUNTA($B99:$D99)+COUNTA($G99:$L99)+COUNTA($Q99))&gt;0),"",IF(AND($V99="Sub",N($U99)&gt;0),IF(ISNUMBER(INDEX($AM$5:$AM$1000,$U99-4)),DATE(YEAR(INDEX($AM$5:$AM$1000,$U99-4)),MONTH(INDEX($AM$5:$AM$1000,$U99-4)),1),IF(ISNUMBER(INDEX($AN$5:$AN$1000,$U99-4)),DATE(YEAR(INDEX($AN$5:$AN$1000,$U99-4)),MONTH(INDEX($AN$5:$AN$1000,$U99-4)),1),MesCiclo)),IF(ISNUMBER($AM99),DATE(YEAR($AM99),MONTH($AM99),1),IF(ISNUMBER($AN99),DATE(YEAR($AN99),MONTH($AN99),1),MesCiclo))))</f>
        <v/>
      </c>
      <c r="T99" s="62">
        <f>IF(OR($S99="",$S99&lt;&gt;MesCiclo,$V99&lt;&gt;"Macro"),"",COUNTIFS($S$5:$S99,MesCiclo,$V$5:$V99,"Macro"))</f>
        <v/>
      </c>
      <c r="U99" s="62">
        <f>IF($V99="","",IF($V99="Macro",ROW(),IFERROR(LOOKUP(2,1/($V$5:$V99="Macro"),ROW($V$5:$V99)),0)))</f>
        <v/>
      </c>
      <c r="V99" s="62">
        <f>IF(NOT((COUNTA($B99:$D99)+COUNTA($G99:$L99)+COUNTA($Q99))&gt;0),"",IF($B99="Subactividad","Sub","Macro"))</f>
        <v/>
      </c>
      <c r="W99" s="62">
        <f>IF($V99="Macro",COUNTIFS($U$5:$U$1000,ROW(),$V$5:$V$1000,"Sub"),"")</f>
        <v/>
      </c>
      <c r="X99" s="62">
        <f>IF($V99="","",IF(ISNUMBER($G99),1,IFERROR(LOOKUP(2,1/($I99:$L99&lt;&gt;""),$I99:$L99),0)))</f>
        <v/>
      </c>
      <c r="Y99" s="62">
        <f>IF($V99="","",IF(AND(ISNUMBER($G99),$G99&lt;=IF($S99=MesCiclo,InicioCiclo,$S99+MOD(2-WEEKDAY($S99),7))+6),1,IF(ISNUMBER($I99),$I99,0)))</f>
        <v/>
      </c>
      <c r="Z99" s="62">
        <f>IF($V99="","",IF(AND(ISNUMBER($G99),$G99&lt;=IF($S99=MesCiclo,InicioCiclo,$S99+MOD(2-WEEKDAY($S99),7))+13),1,IF(ISNUMBER($J99),$J99,$Y99)))</f>
        <v/>
      </c>
      <c r="AA99" s="62">
        <f>IF($V99="","",IF(AND(ISNUMBER($G99),$G99&lt;=IF($S99=MesCiclo,InicioCiclo,$S99+MOD(2-WEEKDAY($S99),7))+20),1,IF(ISNUMBER($K99),$K99,$Z99)))</f>
        <v/>
      </c>
      <c r="AB99" s="62">
        <f>IF($V99="","",IF(AND(ISNUMBER($G99),$G99&lt;=IF($S99=MesCiclo,InicioCiclo,$S99+MOD(2-WEEKDAY($S99),7))+27),1,IF(ISNUMBER($L99),$L99,$AA99)))</f>
        <v/>
      </c>
      <c r="AC99" s="62">
        <f>IF($V99="","",IF(AND(ISNUMBER($G99),$G99&lt;=IF($S99=MesCiclo,InicioCiclo,$S99+MOD(2-WEEKDAY($S99),7))+6),1,IF(N($W99)&gt;0,AVERAGEIFS($Y$5:$Y$1000,$U$5:$U$1000,ROW(),$V$5:$V$1000,"Sub"),$Y99)))</f>
        <v/>
      </c>
      <c r="AD99" s="62">
        <f>IF($V99="","",IF(AND(ISNUMBER($G99),$G99&lt;=IF($S99=MesCiclo,InicioCiclo,$S99+MOD(2-WEEKDAY($S99),7))+13),1,IF(N($W99)&gt;0,AVERAGEIFS($Z$5:$Z$1000,$U$5:$U$1000,ROW(),$V$5:$V$1000,"Sub"),$Z99)))</f>
        <v/>
      </c>
      <c r="AE99" s="62">
        <f>IF($V99="","",IF(AND(ISNUMBER($G99),$G99&lt;=IF($S99=MesCiclo,InicioCiclo,$S99+MOD(2-WEEKDAY($S99),7))+20),1,IF(N($W99)&gt;0,AVERAGEIFS($AA$5:$AA$1000,$U$5:$U$1000,ROW(),$V$5:$V$1000,"Sub"),$AA99)))</f>
        <v/>
      </c>
      <c r="AF99" s="62">
        <f>IF($V99="","",IF(AND(ISNUMBER($G99),$G99&lt;=IF($S99=MesCiclo,InicioCiclo,$S99+MOD(2-WEEKDAY($S99),7))+27),1,IF(N($W99)&gt;0,AVERAGEIFS($AB$5:$AB$1000,$U$5:$U$1000,ROW(),$V$5:$V$1000,"Sub"),$AB99)))</f>
        <v/>
      </c>
      <c r="AG99" s="62">
        <f>IF($V99&lt;&gt;"Macro","",IF(COUNTIFS($S$5:$S$1000,$S99,$V$5:$V$1000,"Macro",$H$5:$H$1000,"&gt;0")=0,1/COUNTIFS($S$5:$S$1000,$S99,$V$5:$V$1000,"Macro"),IF(AND(ISNUMBER($H99),N($H99)&gt;0),$H99,SUMIFS($H$5:$H$1000,$S$5:$S$1000,$S99,$V$5:$V$1000,"Macro")/COUNTIFS($S$5:$S$1000,$S99,$V$5:$V$1000,"Macro",$H$5:$H$1000,"&gt;0"))/(COUNTIFS($S$5:$S$1000,$S99,$V$5:$V$1000,"Macro")*SUMIFS($H$5:$H$1000,$S$5:$S$1000,$S99,$V$5:$V$1000,"Macro")/COUNTIFS($S$5:$S$1000,$S99,$V$5:$V$1000,"Macro",$H$5:$H$1000,"&gt;0"))))</f>
        <v/>
      </c>
      <c r="AH99" s="62" t="n"/>
      <c r="AI99" s="62" t="n"/>
      <c r="AJ99" s="62" t="n"/>
      <c r="AK99" s="62" t="n"/>
      <c r="AL99" s="62">
        <f>IF(LEFT($C99,11)="[Jefatura] ",IFERROR(MATCH("Riesgo Operacional|"&amp;MID($C99,12,500),rDname_ADM,0),0),"")</f>
        <v/>
      </c>
      <c r="AM99" s="62">
        <f>IF(N($AL99)&gt;0,INDEX(rIni_ADM,$AL99),IF(ISNUMBER($E99),$E99,""))</f>
        <v/>
      </c>
      <c r="AN99" s="62">
        <f>IF(N($AL99)&gt;0,INDEX(rLim_ADM,$AL99),IF(ISNUMBER($F99),$F99,""))</f>
        <v/>
      </c>
    </row>
    <row r="100">
      <c r="A100" s="56">
        <f>IF(NOT((COUNTA($B100:$D100)+COUNTA($G100:$L100)+COUNTA($Q100))&gt;0),"",IF($V100="Macro",COUNTIFS($V$5:$V100,"Macro",$S$5:$S100,$S100),IF(N($U100)=0,"?",COUNTIFS(INDEX($V$5:$V$1000,1):INDEX($V$5:$V$1000,$U100-4),"Macro",INDEX($S$5:$S$1000,1):INDEX($S$5:$S$1000,$U100-4),INDEX($S$5:$S$1000,$U100-4))&amp;"."&amp;COUNTIFS($U$5:$U100,$U100,$V$5:$V100,"Sub"))))</f>
        <v/>
      </c>
      <c r="B100" s="57" t="n"/>
      <c r="C100" s="58" t="n"/>
      <c r="D100" s="58" t="n"/>
      <c r="E100" s="59">
        <f>IF(N($AL100)&gt;0,INDEX(rIni_ADM,$AL100),"")</f>
        <v/>
      </c>
      <c r="F100" s="59">
        <f>IF(N($AL100)&gt;0,INDEX(rLim_ADM,$AL100),"")</f>
        <v/>
      </c>
      <c r="G100" s="59" t="n"/>
      <c r="H100" s="60" t="n"/>
      <c r="I100" s="60" t="n"/>
      <c r="J100" s="60" t="n"/>
      <c r="K100" s="60" t="n"/>
      <c r="L100" s="60" t="n"/>
      <c r="M100" s="61">
        <f>IF(NOT((COUNTA($B100:$D100)+COUNTA($G100:$L100)+COUNTA($Q100))&gt;0),"",IF($V100="Sub",IFERROR($X100/INDEX($W$5:$W$1000,$U100-4),""),IF(ISNUMBER($G100),1,IF(N($W100)&gt;0,AVERAGEIFS($X$5:$X$1000,$U$5:$U$1000,ROW(),$V$5:$V$1000,"Sub"),$X100))))</f>
        <v/>
      </c>
      <c r="N100" s="56">
        <f>IF(OR($M100="",$V100="Sub"),"",IF($M100&gt;=1,"Completado",IF($M100&gt;0,"En curso","Pendiente")))</f>
        <v/>
      </c>
      <c r="O100" s="56">
        <f>IF(OR(NOT((COUNTA($B100:$D100)+COUNTA($G100:$L100)+COUNTA($Q100))&gt;0),$V100="Sub"),"",IF(ISNUMBER($G100),IF(AND(ISNUMBER($AN100),$G100&gt;$AN100),"Cumplida con "&amp;($G100-$AN100)&amp;IF($G100-$AN100=1," día"," días")&amp;" de retraso","Cumplida"),IF(N($M100)&gt;=1,"Cumplida",IF(NOT(ISNUMBER($AN100)),"Sin fecha límite",IF($AN100&lt;FechaRef,"Vencida hace "&amp;(FechaRef-$AN100)&amp;IF(FechaRef-$AN100=1," día"," días"),IF($AN100=FechaRef,"Vence hoy",IF($AN100-FechaRef&lt;=DiasAlerta,"Vence en "&amp;($AN100-FechaRef)&amp;IF($AN100-FechaRef=1," día"," días"),"En plazo")))))))</f>
        <v/>
      </c>
      <c r="P100" s="62" t="n"/>
      <c r="Q100" s="58" t="n"/>
      <c r="R100" s="63">
        <f>IF(NOT((COUNTA($B100:$D100)+COUNTA($G100:$L100)+COUNTA($Q100))&gt;0),"",IF((IF($C100="","Falta el nombre de la actividad"&amp;" · ","")&amp;IF(AND($V100="Sub",N($U100)=0),"Subactividad sin macroactividad arriba"&amp;" · ","")&amp;IF($AM100="","Sin fecha de inicio"&amp;" · ","")&amp;IF($AN100="","Sin fecha límite"&amp;" · ","")&amp;IF(AND(LEFT($C100,11)="[Jefatura] ",N($AL100)=0),"No se encuentra en la hoja de la jefatura (elíjala de nuevo en la lista)"&amp;" · ","")&amp;IF(OR(AND($E100&lt;&gt;"",NOT(ISNUMBER($E100))),AND($F100&lt;&gt;"",NOT(ISNUMBER($F100))),AND($G100&lt;&gt;"",NOT(ISNUMBER($G100)))),"Fecha no válida"&amp;" · ","")&amp;IF(AND(ISNUMBER($AM100),ISNUMBER($AN100),$AM100&gt;$AN100),"Inicio posterior a fecha límite"&amp;" · ","")&amp;IF(AND($V100="Macro",$H100&lt;&gt;"",OR(NOT(ISNUMBER($H100)),$H100&lt;0,$H100&gt;1)),"Peso fuera de rango"&amp;" · ","")&amp;IF(AND($V100="Sub",$H100&lt;&gt;""),"Las subactividades no llevan peso (valen igual dentro de su macroactividad)"&amp;" · ","")&amp;IF(AND(N($W100)&gt;0,COUNT($I100:$L100)&gt;0),"Con subactividades: deje vacías las semanas (se calculan solas)"&amp;" · ","")&amp;IF((COUNTIF($I100:$L100,"&gt;1")+COUNTIF($I100:$L100,"&lt;0")+COUNTA($I100:$L100)-COUNT($I100:$L100))&gt;0,"Avance fuera de rango 0-100%"&amp;" · ","")&amp;IF(OR(AND($J100&lt;&gt;"",$J100&lt;$I100),AND($K100&lt;&gt;"",$K100&lt;MAX($I100:$J100)),AND($L100&lt;&gt;"",$L100&lt;MAX($I100:$K100))),"Avance semanal decreciente"&amp;" · ","")&amp;IF(AND(ISNUMBER($AN100),$AN100&lt;FechaRef,IF($V100="Sub",N($X100),N($M100))&lt;1),"Vencida"&amp;" · ","")&amp;IF(AND(ObsObligatoria="Sí",ISNUMBER($AN100),$AN100&lt;FechaRef,IF($V100="Sub",N($X100),N($M100))&lt;1,$Q100=""),"Vencida sin observación"&amp;" · ",""))="","✔ OK","⚠ "&amp;LEFT(IF($C100="","Falta el nombre de la actividad"&amp;" · ","")&amp;IF(AND($V100="Sub",N($U100)=0),"Subactividad sin macroactividad arriba"&amp;" · ","")&amp;IF($AM100="","Sin fecha de inicio"&amp;" · ","")&amp;IF($AN100="","Sin fecha límite"&amp;" · ","")&amp;IF(AND(LEFT($C100,11)="[Jefatura] ",N($AL100)=0),"No se encuentra en la hoja de la jefatura (elíjala de nuevo en la lista)"&amp;" · ","")&amp;IF(OR(AND($E100&lt;&gt;"",NOT(ISNUMBER($E100))),AND($F100&lt;&gt;"",NOT(ISNUMBER($F100))),AND($G100&lt;&gt;"",NOT(ISNUMBER($G100)))),"Fecha no válida"&amp;" · ","")&amp;IF(AND(ISNUMBER($AM100),ISNUMBER($AN100),$AM100&gt;$AN100),"Inicio posterior a fecha límite"&amp;" · ","")&amp;IF(AND($V100="Macro",$H100&lt;&gt;"",OR(NOT(ISNUMBER($H100)),$H100&lt;0,$H100&gt;1)),"Peso fuera de rango"&amp;" · ","")&amp;IF(AND($V100="Sub",$H100&lt;&gt;""),"Las subactividades no llevan peso (valen igual dentro de su macroactividad)"&amp;" · ","")&amp;IF(AND(N($W100)&gt;0,COUNT($I100:$L100)&gt;0),"Con subactividades: deje vacías las semanas (se calculan solas)"&amp;" · ","")&amp;IF((COUNTIF($I100:$L100,"&gt;1")+COUNTIF($I100:$L100,"&lt;0")+COUNTA($I100:$L100)-COUNT($I100:$L100))&gt;0,"Avance fuera de rango 0-100%"&amp;" · ","")&amp;IF(OR(AND($J100&lt;&gt;"",$J100&lt;$I100),AND($K100&lt;&gt;"",$K100&lt;MAX($I100:$J100)),AND($L100&lt;&gt;"",$L100&lt;MAX($I100:$K100))),"Avance semanal decreciente"&amp;" · ","")&amp;IF(AND(ISNUMBER($AN100),$AN100&lt;FechaRef,IF($V100="Sub",N($X100),N($M100))&lt;1),"Vencida"&amp;" · ","")&amp;IF(AND(ObsObligatoria="Sí",ISNUMBER($AN100),$AN100&lt;FechaRef,IF($V100="Sub",N($X100),N($M100))&lt;1,$Q100=""),"Vencida sin observación"&amp;" · ",""),LEN(IF($C100="","Falta el nombre de la actividad"&amp;" · ","")&amp;IF(AND($V100="Sub",N($U100)=0),"Subactividad sin macroactividad arriba"&amp;" · ","")&amp;IF($AM100="","Sin fecha de inicio"&amp;" · ","")&amp;IF($AN100="","Sin fecha límite"&amp;" · ","")&amp;IF(AND(LEFT($C100,11)="[Jefatura] ",N($AL100)=0),"No se encuentra en la hoja de la jefatura (elíjala de nuevo en la lista)"&amp;" · ","")&amp;IF(OR(AND($E100&lt;&gt;"",NOT(ISNUMBER($E100))),AND($F100&lt;&gt;"",NOT(ISNUMBER($F100))),AND($G100&lt;&gt;"",NOT(ISNUMBER($G100)))),"Fecha no válida"&amp;" · ","")&amp;IF(AND(ISNUMBER($AM100),ISNUMBER($AN100),$AM100&gt;$AN100),"Inicio posterior a fecha límite"&amp;" · ","")&amp;IF(AND($V100="Macro",$H100&lt;&gt;"",OR(NOT(ISNUMBER($H100)),$H100&lt;0,$H100&gt;1)),"Peso fuera de rango"&amp;" · ","")&amp;IF(AND($V100="Sub",$H100&lt;&gt;""),"Las subactividades no llevan peso (valen igual dentro de su macroactividad)"&amp;" · ","")&amp;IF(AND(N($W100)&gt;0,COUNT($I100:$L100)&gt;0),"Con subactividades: deje vacías las semanas (se calculan solas)"&amp;" · ","")&amp;IF((COUNTIF($I100:$L100,"&gt;1")+COUNTIF($I100:$L100,"&lt;0")+COUNTA($I100:$L100)-COUNT($I100:$L100))&gt;0,"Avance fuera de rango 0-100%"&amp;" · ","")&amp;IF(OR(AND($J100&lt;&gt;"",$J100&lt;$I100),AND($K100&lt;&gt;"",$K100&lt;MAX($I100:$J100)),AND($L100&lt;&gt;"",$L100&lt;MAX($I100:$K100))),"Avance semanal decreciente"&amp;" · ","")&amp;IF(AND(ISNUMBER($AN100),$AN100&lt;FechaRef,IF($V100="Sub",N($X100),N($M100))&lt;1),"Vencida"&amp;" · ","")&amp;IF(AND(ObsObligatoria="Sí",ISNUMBER($AN100),$AN100&lt;FechaRef,IF($V100="Sub",N($X100),N($M100))&lt;1,$Q100=""),"Vencida sin observación"&amp;" · ",""))-3)))</f>
        <v/>
      </c>
      <c r="S100" s="64">
        <f>IF(NOT((COUNTA($B100:$D100)+COUNTA($G100:$L100)+COUNTA($Q100))&gt;0),"",IF(AND($V100="Sub",N($U100)&gt;0),IF(ISNUMBER(INDEX($AM$5:$AM$1000,$U100-4)),DATE(YEAR(INDEX($AM$5:$AM$1000,$U100-4)),MONTH(INDEX($AM$5:$AM$1000,$U100-4)),1),IF(ISNUMBER(INDEX($AN$5:$AN$1000,$U100-4)),DATE(YEAR(INDEX($AN$5:$AN$1000,$U100-4)),MONTH(INDEX($AN$5:$AN$1000,$U100-4)),1),MesCiclo)),IF(ISNUMBER($AM100),DATE(YEAR($AM100),MONTH($AM100),1),IF(ISNUMBER($AN100),DATE(YEAR($AN100),MONTH($AN100),1),MesCiclo))))</f>
        <v/>
      </c>
      <c r="T100" s="62">
        <f>IF(OR($S100="",$S100&lt;&gt;MesCiclo,$V100&lt;&gt;"Macro"),"",COUNTIFS($S$5:$S100,MesCiclo,$V$5:$V100,"Macro"))</f>
        <v/>
      </c>
      <c r="U100" s="62">
        <f>IF($V100="","",IF($V100="Macro",ROW(),IFERROR(LOOKUP(2,1/($V$5:$V100="Macro"),ROW($V$5:$V100)),0)))</f>
        <v/>
      </c>
      <c r="V100" s="62">
        <f>IF(NOT((COUNTA($B100:$D100)+COUNTA($G100:$L100)+COUNTA($Q100))&gt;0),"",IF($B100="Subactividad","Sub","Macro"))</f>
        <v/>
      </c>
      <c r="W100" s="62">
        <f>IF($V100="Macro",COUNTIFS($U$5:$U$1000,ROW(),$V$5:$V$1000,"Sub"),"")</f>
        <v/>
      </c>
      <c r="X100" s="62">
        <f>IF($V100="","",IF(ISNUMBER($G100),1,IFERROR(LOOKUP(2,1/($I100:$L100&lt;&gt;""),$I100:$L100),0)))</f>
        <v/>
      </c>
      <c r="Y100" s="62">
        <f>IF($V100="","",IF(AND(ISNUMBER($G100),$G100&lt;=IF($S100=MesCiclo,InicioCiclo,$S100+MOD(2-WEEKDAY($S100),7))+6),1,IF(ISNUMBER($I100),$I100,0)))</f>
        <v/>
      </c>
      <c r="Z100" s="62">
        <f>IF($V100="","",IF(AND(ISNUMBER($G100),$G100&lt;=IF($S100=MesCiclo,InicioCiclo,$S100+MOD(2-WEEKDAY($S100),7))+13),1,IF(ISNUMBER($J100),$J100,$Y100)))</f>
        <v/>
      </c>
      <c r="AA100" s="62">
        <f>IF($V100="","",IF(AND(ISNUMBER($G100),$G100&lt;=IF($S100=MesCiclo,InicioCiclo,$S100+MOD(2-WEEKDAY($S100),7))+20),1,IF(ISNUMBER($K100),$K100,$Z100)))</f>
        <v/>
      </c>
      <c r="AB100" s="62">
        <f>IF($V100="","",IF(AND(ISNUMBER($G100),$G100&lt;=IF($S100=MesCiclo,InicioCiclo,$S100+MOD(2-WEEKDAY($S100),7))+27),1,IF(ISNUMBER($L100),$L100,$AA100)))</f>
        <v/>
      </c>
      <c r="AC100" s="62">
        <f>IF($V100="","",IF(AND(ISNUMBER($G100),$G100&lt;=IF($S100=MesCiclo,InicioCiclo,$S100+MOD(2-WEEKDAY($S100),7))+6),1,IF(N($W100)&gt;0,AVERAGEIFS($Y$5:$Y$1000,$U$5:$U$1000,ROW(),$V$5:$V$1000,"Sub"),$Y100)))</f>
        <v/>
      </c>
      <c r="AD100" s="62">
        <f>IF($V100="","",IF(AND(ISNUMBER($G100),$G100&lt;=IF($S100=MesCiclo,InicioCiclo,$S100+MOD(2-WEEKDAY($S100),7))+13),1,IF(N($W100)&gt;0,AVERAGEIFS($Z$5:$Z$1000,$U$5:$U$1000,ROW(),$V$5:$V$1000,"Sub"),$Z100)))</f>
        <v/>
      </c>
      <c r="AE100" s="62">
        <f>IF($V100="","",IF(AND(ISNUMBER($G100),$G100&lt;=IF($S100=MesCiclo,InicioCiclo,$S100+MOD(2-WEEKDAY($S100),7))+20),1,IF(N($W100)&gt;0,AVERAGEIFS($AA$5:$AA$1000,$U$5:$U$1000,ROW(),$V$5:$V$1000,"Sub"),$AA100)))</f>
        <v/>
      </c>
      <c r="AF100" s="62">
        <f>IF($V100="","",IF(AND(ISNUMBER($G100),$G100&lt;=IF($S100=MesCiclo,InicioCiclo,$S100+MOD(2-WEEKDAY($S100),7))+27),1,IF(N($W100)&gt;0,AVERAGEIFS($AB$5:$AB$1000,$U$5:$U$1000,ROW(),$V$5:$V$1000,"Sub"),$AB100)))</f>
        <v/>
      </c>
      <c r="AG100" s="62">
        <f>IF($V100&lt;&gt;"Macro","",IF(COUNTIFS($S$5:$S$1000,$S100,$V$5:$V$1000,"Macro",$H$5:$H$1000,"&gt;0")=0,1/COUNTIFS($S$5:$S$1000,$S100,$V$5:$V$1000,"Macro"),IF(AND(ISNUMBER($H100),N($H100)&gt;0),$H100,SUMIFS($H$5:$H$1000,$S$5:$S$1000,$S100,$V$5:$V$1000,"Macro")/COUNTIFS($S$5:$S$1000,$S100,$V$5:$V$1000,"Macro",$H$5:$H$1000,"&gt;0"))/(COUNTIFS($S$5:$S$1000,$S100,$V$5:$V$1000,"Macro")*SUMIFS($H$5:$H$1000,$S$5:$S$1000,$S100,$V$5:$V$1000,"Macro")/COUNTIFS($S$5:$S$1000,$S100,$V$5:$V$1000,"Macro",$H$5:$H$1000,"&gt;0"))))</f>
        <v/>
      </c>
      <c r="AH100" s="62" t="n"/>
      <c r="AI100" s="62" t="n"/>
      <c r="AJ100" s="62" t="n"/>
      <c r="AK100" s="62" t="n"/>
      <c r="AL100" s="62">
        <f>IF(LEFT($C100,11)="[Jefatura] ",IFERROR(MATCH("Riesgo Operacional|"&amp;MID($C100,12,500),rDname_ADM,0),0),"")</f>
        <v/>
      </c>
      <c r="AM100" s="62">
        <f>IF(N($AL100)&gt;0,INDEX(rIni_ADM,$AL100),IF(ISNUMBER($E100),$E100,""))</f>
        <v/>
      </c>
      <c r="AN100" s="62">
        <f>IF(N($AL100)&gt;0,INDEX(rLim_ADM,$AL100),IF(ISNUMBER($F100),$F100,""))</f>
        <v/>
      </c>
    </row>
    <row r="101">
      <c r="A101" s="56">
        <f>IF(NOT((COUNTA($B101:$D101)+COUNTA($G101:$L101)+COUNTA($Q101))&gt;0),"",IF($V101="Macro",COUNTIFS($V$5:$V101,"Macro",$S$5:$S101,$S101),IF(N($U101)=0,"?",COUNTIFS(INDEX($V$5:$V$1000,1):INDEX($V$5:$V$1000,$U101-4),"Macro",INDEX($S$5:$S$1000,1):INDEX($S$5:$S$1000,$U101-4),INDEX($S$5:$S$1000,$U101-4))&amp;"."&amp;COUNTIFS($U$5:$U101,$U101,$V$5:$V101,"Sub"))))</f>
        <v/>
      </c>
      <c r="B101" s="57" t="n"/>
      <c r="C101" s="58" t="n"/>
      <c r="D101" s="58" t="n"/>
      <c r="E101" s="59">
        <f>IF(N($AL101)&gt;0,INDEX(rIni_ADM,$AL101),"")</f>
        <v/>
      </c>
      <c r="F101" s="59">
        <f>IF(N($AL101)&gt;0,INDEX(rLim_ADM,$AL101),"")</f>
        <v/>
      </c>
      <c r="G101" s="59" t="n"/>
      <c r="H101" s="60" t="n"/>
      <c r="I101" s="60" t="n"/>
      <c r="J101" s="60" t="n"/>
      <c r="K101" s="60" t="n"/>
      <c r="L101" s="60" t="n"/>
      <c r="M101" s="61">
        <f>IF(NOT((COUNTA($B101:$D101)+COUNTA($G101:$L101)+COUNTA($Q101))&gt;0),"",IF($V101="Sub",IFERROR($X101/INDEX($W$5:$W$1000,$U101-4),""),IF(ISNUMBER($G101),1,IF(N($W101)&gt;0,AVERAGEIFS($X$5:$X$1000,$U$5:$U$1000,ROW(),$V$5:$V$1000,"Sub"),$X101))))</f>
        <v/>
      </c>
      <c r="N101" s="56">
        <f>IF(OR($M101="",$V101="Sub"),"",IF($M101&gt;=1,"Completado",IF($M101&gt;0,"En curso","Pendiente")))</f>
        <v/>
      </c>
      <c r="O101" s="56">
        <f>IF(OR(NOT((COUNTA($B101:$D101)+COUNTA($G101:$L101)+COUNTA($Q101))&gt;0),$V101="Sub"),"",IF(ISNUMBER($G101),IF(AND(ISNUMBER($AN101),$G101&gt;$AN101),"Cumplida con "&amp;($G101-$AN101)&amp;IF($G101-$AN101=1," día"," días")&amp;" de retraso","Cumplida"),IF(N($M101)&gt;=1,"Cumplida",IF(NOT(ISNUMBER($AN101)),"Sin fecha límite",IF($AN101&lt;FechaRef,"Vencida hace "&amp;(FechaRef-$AN101)&amp;IF(FechaRef-$AN101=1," día"," días"),IF($AN101=FechaRef,"Vence hoy",IF($AN101-FechaRef&lt;=DiasAlerta,"Vence en "&amp;($AN101-FechaRef)&amp;IF($AN101-FechaRef=1," día"," días"),"En plazo")))))))</f>
        <v/>
      </c>
      <c r="P101" s="62" t="n"/>
      <c r="Q101" s="58" t="n"/>
      <c r="R101" s="63">
        <f>IF(NOT((COUNTA($B101:$D101)+COUNTA($G101:$L101)+COUNTA($Q101))&gt;0),"",IF((IF($C101="","Falta el nombre de la actividad"&amp;" · ","")&amp;IF(AND($V101="Sub",N($U101)=0),"Subactividad sin macroactividad arriba"&amp;" · ","")&amp;IF($AM101="","Sin fecha de inicio"&amp;" · ","")&amp;IF($AN101="","Sin fecha límite"&amp;" · ","")&amp;IF(AND(LEFT($C101,11)="[Jefatura] ",N($AL101)=0),"No se encuentra en la hoja de la jefatura (elíjala de nuevo en la lista)"&amp;" · ","")&amp;IF(OR(AND($E101&lt;&gt;"",NOT(ISNUMBER($E101))),AND($F101&lt;&gt;"",NOT(ISNUMBER($F101))),AND($G101&lt;&gt;"",NOT(ISNUMBER($G101)))),"Fecha no válida"&amp;" · ","")&amp;IF(AND(ISNUMBER($AM101),ISNUMBER($AN101),$AM101&gt;$AN101),"Inicio posterior a fecha límite"&amp;" · ","")&amp;IF(AND($V101="Macro",$H101&lt;&gt;"",OR(NOT(ISNUMBER($H101)),$H101&lt;0,$H101&gt;1)),"Peso fuera de rango"&amp;" · ","")&amp;IF(AND($V101="Sub",$H101&lt;&gt;""),"Las subactividades no llevan peso (valen igual dentro de su macroactividad)"&amp;" · ","")&amp;IF(AND(N($W101)&gt;0,COUNT($I101:$L101)&gt;0),"Con subactividades: deje vacías las semanas (se calculan solas)"&amp;" · ","")&amp;IF((COUNTIF($I101:$L101,"&gt;1")+COUNTIF($I101:$L101,"&lt;0")+COUNTA($I101:$L101)-COUNT($I101:$L101))&gt;0,"Avance fuera de rango 0-100%"&amp;" · ","")&amp;IF(OR(AND($J101&lt;&gt;"",$J101&lt;$I101),AND($K101&lt;&gt;"",$K101&lt;MAX($I101:$J101)),AND($L101&lt;&gt;"",$L101&lt;MAX($I101:$K101))),"Avance semanal decreciente"&amp;" · ","")&amp;IF(AND(ISNUMBER($AN101),$AN101&lt;FechaRef,IF($V101="Sub",N($X101),N($M101))&lt;1),"Vencida"&amp;" · ","")&amp;IF(AND(ObsObligatoria="Sí",ISNUMBER($AN101),$AN101&lt;FechaRef,IF($V101="Sub",N($X101),N($M101))&lt;1,$Q101=""),"Vencida sin observación"&amp;" · ",""))="","✔ OK","⚠ "&amp;LEFT(IF($C101="","Falta el nombre de la actividad"&amp;" · ","")&amp;IF(AND($V101="Sub",N($U101)=0),"Subactividad sin macroactividad arriba"&amp;" · ","")&amp;IF($AM101="","Sin fecha de inicio"&amp;" · ","")&amp;IF($AN101="","Sin fecha límite"&amp;" · ","")&amp;IF(AND(LEFT($C101,11)="[Jefatura] ",N($AL101)=0),"No se encuentra en la hoja de la jefatura (elíjala de nuevo en la lista)"&amp;" · ","")&amp;IF(OR(AND($E101&lt;&gt;"",NOT(ISNUMBER($E101))),AND($F101&lt;&gt;"",NOT(ISNUMBER($F101))),AND($G101&lt;&gt;"",NOT(ISNUMBER($G101)))),"Fecha no válida"&amp;" · ","")&amp;IF(AND(ISNUMBER($AM101),ISNUMBER($AN101),$AM101&gt;$AN101),"Inicio posterior a fecha límite"&amp;" · ","")&amp;IF(AND($V101="Macro",$H101&lt;&gt;"",OR(NOT(ISNUMBER($H101)),$H101&lt;0,$H101&gt;1)),"Peso fuera de rango"&amp;" · ","")&amp;IF(AND($V101="Sub",$H101&lt;&gt;""),"Las subactividades no llevan peso (valen igual dentro de su macroactividad)"&amp;" · ","")&amp;IF(AND(N($W101)&gt;0,COUNT($I101:$L101)&gt;0),"Con subactividades: deje vacías las semanas (se calculan solas)"&amp;" · ","")&amp;IF((COUNTIF($I101:$L101,"&gt;1")+COUNTIF($I101:$L101,"&lt;0")+COUNTA($I101:$L101)-COUNT($I101:$L101))&gt;0,"Avance fuera de rango 0-100%"&amp;" · ","")&amp;IF(OR(AND($J101&lt;&gt;"",$J101&lt;$I101),AND($K101&lt;&gt;"",$K101&lt;MAX($I101:$J101)),AND($L101&lt;&gt;"",$L101&lt;MAX($I101:$K101))),"Avance semanal decreciente"&amp;" · ","")&amp;IF(AND(ISNUMBER($AN101),$AN101&lt;FechaRef,IF($V101="Sub",N($X101),N($M101))&lt;1),"Vencida"&amp;" · ","")&amp;IF(AND(ObsObligatoria="Sí",ISNUMBER($AN101),$AN101&lt;FechaRef,IF($V101="Sub",N($X101),N($M101))&lt;1,$Q101=""),"Vencida sin observación"&amp;" · ",""),LEN(IF($C101="","Falta el nombre de la actividad"&amp;" · ","")&amp;IF(AND($V101="Sub",N($U101)=0),"Subactividad sin macroactividad arriba"&amp;" · ","")&amp;IF($AM101="","Sin fecha de inicio"&amp;" · ","")&amp;IF($AN101="","Sin fecha límite"&amp;" · ","")&amp;IF(AND(LEFT($C101,11)="[Jefatura] ",N($AL101)=0),"No se encuentra en la hoja de la jefatura (elíjala de nuevo en la lista)"&amp;" · ","")&amp;IF(OR(AND($E101&lt;&gt;"",NOT(ISNUMBER($E101))),AND($F101&lt;&gt;"",NOT(ISNUMBER($F101))),AND($G101&lt;&gt;"",NOT(ISNUMBER($G101)))),"Fecha no válida"&amp;" · ","")&amp;IF(AND(ISNUMBER($AM101),ISNUMBER($AN101),$AM101&gt;$AN101),"Inicio posterior a fecha límite"&amp;" · ","")&amp;IF(AND($V101="Macro",$H101&lt;&gt;"",OR(NOT(ISNUMBER($H101)),$H101&lt;0,$H101&gt;1)),"Peso fuera de rango"&amp;" · ","")&amp;IF(AND($V101="Sub",$H101&lt;&gt;""),"Las subactividades no llevan peso (valen igual dentro de su macroactividad)"&amp;" · ","")&amp;IF(AND(N($W101)&gt;0,COUNT($I101:$L101)&gt;0),"Con subactividades: deje vacías las semanas (se calculan solas)"&amp;" · ","")&amp;IF((COUNTIF($I101:$L101,"&gt;1")+COUNTIF($I101:$L101,"&lt;0")+COUNTA($I101:$L101)-COUNT($I101:$L101))&gt;0,"Avance fuera de rango 0-100%"&amp;" · ","")&amp;IF(OR(AND($J101&lt;&gt;"",$J101&lt;$I101),AND($K101&lt;&gt;"",$K101&lt;MAX($I101:$J101)),AND($L101&lt;&gt;"",$L101&lt;MAX($I101:$K101))),"Avance semanal decreciente"&amp;" · ","")&amp;IF(AND(ISNUMBER($AN101),$AN101&lt;FechaRef,IF($V101="Sub",N($X101),N($M101))&lt;1),"Vencida"&amp;" · ","")&amp;IF(AND(ObsObligatoria="Sí",ISNUMBER($AN101),$AN101&lt;FechaRef,IF($V101="Sub",N($X101),N($M101))&lt;1,$Q101=""),"Vencida sin observación"&amp;" · ",""))-3)))</f>
        <v/>
      </c>
      <c r="S101" s="64">
        <f>IF(NOT((COUNTA($B101:$D101)+COUNTA($G101:$L101)+COUNTA($Q101))&gt;0),"",IF(AND($V101="Sub",N($U101)&gt;0),IF(ISNUMBER(INDEX($AM$5:$AM$1000,$U101-4)),DATE(YEAR(INDEX($AM$5:$AM$1000,$U101-4)),MONTH(INDEX($AM$5:$AM$1000,$U101-4)),1),IF(ISNUMBER(INDEX($AN$5:$AN$1000,$U101-4)),DATE(YEAR(INDEX($AN$5:$AN$1000,$U101-4)),MONTH(INDEX($AN$5:$AN$1000,$U101-4)),1),MesCiclo)),IF(ISNUMBER($AM101),DATE(YEAR($AM101),MONTH($AM101),1),IF(ISNUMBER($AN101),DATE(YEAR($AN101),MONTH($AN101),1),MesCiclo))))</f>
        <v/>
      </c>
      <c r="T101" s="62">
        <f>IF(OR($S101="",$S101&lt;&gt;MesCiclo,$V101&lt;&gt;"Macro"),"",COUNTIFS($S$5:$S101,MesCiclo,$V$5:$V101,"Macro"))</f>
        <v/>
      </c>
      <c r="U101" s="62">
        <f>IF($V101="","",IF($V101="Macro",ROW(),IFERROR(LOOKUP(2,1/($V$5:$V101="Macro"),ROW($V$5:$V101)),0)))</f>
        <v/>
      </c>
      <c r="V101" s="62">
        <f>IF(NOT((COUNTA($B101:$D101)+COUNTA($G101:$L101)+COUNTA($Q101))&gt;0),"",IF($B101="Subactividad","Sub","Macro"))</f>
        <v/>
      </c>
      <c r="W101" s="62">
        <f>IF($V101="Macro",COUNTIFS($U$5:$U$1000,ROW(),$V$5:$V$1000,"Sub"),"")</f>
        <v/>
      </c>
      <c r="X101" s="62">
        <f>IF($V101="","",IF(ISNUMBER($G101),1,IFERROR(LOOKUP(2,1/($I101:$L101&lt;&gt;""),$I101:$L101),0)))</f>
        <v/>
      </c>
      <c r="Y101" s="62">
        <f>IF($V101="","",IF(AND(ISNUMBER($G101),$G101&lt;=IF($S101=MesCiclo,InicioCiclo,$S101+MOD(2-WEEKDAY($S101),7))+6),1,IF(ISNUMBER($I101),$I101,0)))</f>
        <v/>
      </c>
      <c r="Z101" s="62">
        <f>IF($V101="","",IF(AND(ISNUMBER($G101),$G101&lt;=IF($S101=MesCiclo,InicioCiclo,$S101+MOD(2-WEEKDAY($S101),7))+13),1,IF(ISNUMBER($J101),$J101,$Y101)))</f>
        <v/>
      </c>
      <c r="AA101" s="62">
        <f>IF($V101="","",IF(AND(ISNUMBER($G101),$G101&lt;=IF($S101=MesCiclo,InicioCiclo,$S101+MOD(2-WEEKDAY($S101),7))+20),1,IF(ISNUMBER($K101),$K101,$Z101)))</f>
        <v/>
      </c>
      <c r="AB101" s="62">
        <f>IF($V101="","",IF(AND(ISNUMBER($G101),$G101&lt;=IF($S101=MesCiclo,InicioCiclo,$S101+MOD(2-WEEKDAY($S101),7))+27),1,IF(ISNUMBER($L101),$L101,$AA101)))</f>
        <v/>
      </c>
      <c r="AC101" s="62">
        <f>IF($V101="","",IF(AND(ISNUMBER($G101),$G101&lt;=IF($S101=MesCiclo,InicioCiclo,$S101+MOD(2-WEEKDAY($S101),7))+6),1,IF(N($W101)&gt;0,AVERAGEIFS($Y$5:$Y$1000,$U$5:$U$1000,ROW(),$V$5:$V$1000,"Sub"),$Y101)))</f>
        <v/>
      </c>
      <c r="AD101" s="62">
        <f>IF($V101="","",IF(AND(ISNUMBER($G101),$G101&lt;=IF($S101=MesCiclo,InicioCiclo,$S101+MOD(2-WEEKDAY($S101),7))+13),1,IF(N($W101)&gt;0,AVERAGEIFS($Z$5:$Z$1000,$U$5:$U$1000,ROW(),$V$5:$V$1000,"Sub"),$Z101)))</f>
        <v/>
      </c>
      <c r="AE101" s="62">
        <f>IF($V101="","",IF(AND(ISNUMBER($G101),$G101&lt;=IF($S101=MesCiclo,InicioCiclo,$S101+MOD(2-WEEKDAY($S101),7))+20),1,IF(N($W101)&gt;0,AVERAGEIFS($AA$5:$AA$1000,$U$5:$U$1000,ROW(),$V$5:$V$1000,"Sub"),$AA101)))</f>
        <v/>
      </c>
      <c r="AF101" s="62">
        <f>IF($V101="","",IF(AND(ISNUMBER($G101),$G101&lt;=IF($S101=MesCiclo,InicioCiclo,$S101+MOD(2-WEEKDAY($S101),7))+27),1,IF(N($W101)&gt;0,AVERAGEIFS($AB$5:$AB$1000,$U$5:$U$1000,ROW(),$V$5:$V$1000,"Sub"),$AB101)))</f>
        <v/>
      </c>
      <c r="AG101" s="62">
        <f>IF($V101&lt;&gt;"Macro","",IF(COUNTIFS($S$5:$S$1000,$S101,$V$5:$V$1000,"Macro",$H$5:$H$1000,"&gt;0")=0,1/COUNTIFS($S$5:$S$1000,$S101,$V$5:$V$1000,"Macro"),IF(AND(ISNUMBER($H101),N($H101)&gt;0),$H101,SUMIFS($H$5:$H$1000,$S$5:$S$1000,$S101,$V$5:$V$1000,"Macro")/COUNTIFS($S$5:$S$1000,$S101,$V$5:$V$1000,"Macro",$H$5:$H$1000,"&gt;0"))/(COUNTIFS($S$5:$S$1000,$S101,$V$5:$V$1000,"Macro")*SUMIFS($H$5:$H$1000,$S$5:$S$1000,$S101,$V$5:$V$1000,"Macro")/COUNTIFS($S$5:$S$1000,$S101,$V$5:$V$1000,"Macro",$H$5:$H$1000,"&gt;0"))))</f>
        <v/>
      </c>
      <c r="AH101" s="62" t="n"/>
      <c r="AI101" s="62" t="n"/>
      <c r="AJ101" s="62" t="n"/>
      <c r="AK101" s="62" t="n"/>
      <c r="AL101" s="62">
        <f>IF(LEFT($C101,11)="[Jefatura] ",IFERROR(MATCH("Riesgo Operacional|"&amp;MID($C101,12,500),rDname_ADM,0),0),"")</f>
        <v/>
      </c>
      <c r="AM101" s="62">
        <f>IF(N($AL101)&gt;0,INDEX(rIni_ADM,$AL101),IF(ISNUMBER($E101),$E101,""))</f>
        <v/>
      </c>
      <c r="AN101" s="62">
        <f>IF(N($AL101)&gt;0,INDEX(rLim_ADM,$AL101),IF(ISNUMBER($F101),$F101,""))</f>
        <v/>
      </c>
    </row>
    <row r="102">
      <c r="A102" s="56">
        <f>IF(NOT((COUNTA($B102:$D102)+COUNTA($G102:$L102)+COUNTA($Q102))&gt;0),"",IF($V102="Macro",COUNTIFS($V$5:$V102,"Macro",$S$5:$S102,$S102),IF(N($U102)=0,"?",COUNTIFS(INDEX($V$5:$V$1000,1):INDEX($V$5:$V$1000,$U102-4),"Macro",INDEX($S$5:$S$1000,1):INDEX($S$5:$S$1000,$U102-4),INDEX($S$5:$S$1000,$U102-4))&amp;"."&amp;COUNTIFS($U$5:$U102,$U102,$V$5:$V102,"Sub"))))</f>
        <v/>
      </c>
      <c r="B102" s="57" t="n"/>
      <c r="C102" s="58" t="n"/>
      <c r="D102" s="58" t="n"/>
      <c r="E102" s="59">
        <f>IF(N($AL102)&gt;0,INDEX(rIni_ADM,$AL102),"")</f>
        <v/>
      </c>
      <c r="F102" s="59">
        <f>IF(N($AL102)&gt;0,INDEX(rLim_ADM,$AL102),"")</f>
        <v/>
      </c>
      <c r="G102" s="59" t="n"/>
      <c r="H102" s="60" t="n"/>
      <c r="I102" s="60" t="n"/>
      <c r="J102" s="60" t="n"/>
      <c r="K102" s="60" t="n"/>
      <c r="L102" s="60" t="n"/>
      <c r="M102" s="61">
        <f>IF(NOT((COUNTA($B102:$D102)+COUNTA($G102:$L102)+COUNTA($Q102))&gt;0),"",IF($V102="Sub",IFERROR($X102/INDEX($W$5:$W$1000,$U102-4),""),IF(ISNUMBER($G102),1,IF(N($W102)&gt;0,AVERAGEIFS($X$5:$X$1000,$U$5:$U$1000,ROW(),$V$5:$V$1000,"Sub"),$X102))))</f>
        <v/>
      </c>
      <c r="N102" s="56">
        <f>IF(OR($M102="",$V102="Sub"),"",IF($M102&gt;=1,"Completado",IF($M102&gt;0,"En curso","Pendiente")))</f>
        <v/>
      </c>
      <c r="O102" s="56">
        <f>IF(OR(NOT((COUNTA($B102:$D102)+COUNTA($G102:$L102)+COUNTA($Q102))&gt;0),$V102="Sub"),"",IF(ISNUMBER($G102),IF(AND(ISNUMBER($AN102),$G102&gt;$AN102),"Cumplida con "&amp;($G102-$AN102)&amp;IF($G102-$AN102=1," día"," días")&amp;" de retraso","Cumplida"),IF(N($M102)&gt;=1,"Cumplida",IF(NOT(ISNUMBER($AN102)),"Sin fecha límite",IF($AN102&lt;FechaRef,"Vencida hace "&amp;(FechaRef-$AN102)&amp;IF(FechaRef-$AN102=1," día"," días"),IF($AN102=FechaRef,"Vence hoy",IF($AN102-FechaRef&lt;=DiasAlerta,"Vence en "&amp;($AN102-FechaRef)&amp;IF($AN102-FechaRef=1," día"," días"),"En plazo")))))))</f>
        <v/>
      </c>
      <c r="P102" s="62" t="n"/>
      <c r="Q102" s="58" t="n"/>
      <c r="R102" s="63">
        <f>IF(NOT((COUNTA($B102:$D102)+COUNTA($G102:$L102)+COUNTA($Q102))&gt;0),"",IF((IF($C102="","Falta el nombre de la actividad"&amp;" · ","")&amp;IF(AND($V102="Sub",N($U102)=0),"Subactividad sin macroactividad arriba"&amp;" · ","")&amp;IF($AM102="","Sin fecha de inicio"&amp;" · ","")&amp;IF($AN102="","Sin fecha límite"&amp;" · ","")&amp;IF(AND(LEFT($C102,11)="[Jefatura] ",N($AL102)=0),"No se encuentra en la hoja de la jefatura (elíjala de nuevo en la lista)"&amp;" · ","")&amp;IF(OR(AND($E102&lt;&gt;"",NOT(ISNUMBER($E102))),AND($F102&lt;&gt;"",NOT(ISNUMBER($F102))),AND($G102&lt;&gt;"",NOT(ISNUMBER($G102)))),"Fecha no válida"&amp;" · ","")&amp;IF(AND(ISNUMBER($AM102),ISNUMBER($AN102),$AM102&gt;$AN102),"Inicio posterior a fecha límite"&amp;" · ","")&amp;IF(AND($V102="Macro",$H102&lt;&gt;"",OR(NOT(ISNUMBER($H102)),$H102&lt;0,$H102&gt;1)),"Peso fuera de rango"&amp;" · ","")&amp;IF(AND($V102="Sub",$H102&lt;&gt;""),"Las subactividades no llevan peso (valen igual dentro de su macroactividad)"&amp;" · ","")&amp;IF(AND(N($W102)&gt;0,COUNT($I102:$L102)&gt;0),"Con subactividades: deje vacías las semanas (se calculan solas)"&amp;" · ","")&amp;IF((COUNTIF($I102:$L102,"&gt;1")+COUNTIF($I102:$L102,"&lt;0")+COUNTA($I102:$L102)-COUNT($I102:$L102))&gt;0,"Avance fuera de rango 0-100%"&amp;" · ","")&amp;IF(OR(AND($J102&lt;&gt;"",$J102&lt;$I102),AND($K102&lt;&gt;"",$K102&lt;MAX($I102:$J102)),AND($L102&lt;&gt;"",$L102&lt;MAX($I102:$K102))),"Avance semanal decreciente"&amp;" · ","")&amp;IF(AND(ISNUMBER($AN102),$AN102&lt;FechaRef,IF($V102="Sub",N($X102),N($M102))&lt;1),"Vencida"&amp;" · ","")&amp;IF(AND(ObsObligatoria="Sí",ISNUMBER($AN102),$AN102&lt;FechaRef,IF($V102="Sub",N($X102),N($M102))&lt;1,$Q102=""),"Vencida sin observación"&amp;" · ",""))="","✔ OK","⚠ "&amp;LEFT(IF($C102="","Falta el nombre de la actividad"&amp;" · ","")&amp;IF(AND($V102="Sub",N($U102)=0),"Subactividad sin macroactividad arriba"&amp;" · ","")&amp;IF($AM102="","Sin fecha de inicio"&amp;" · ","")&amp;IF($AN102="","Sin fecha límite"&amp;" · ","")&amp;IF(AND(LEFT($C102,11)="[Jefatura] ",N($AL102)=0),"No se encuentra en la hoja de la jefatura (elíjala de nuevo en la lista)"&amp;" · ","")&amp;IF(OR(AND($E102&lt;&gt;"",NOT(ISNUMBER($E102))),AND($F102&lt;&gt;"",NOT(ISNUMBER($F102))),AND($G102&lt;&gt;"",NOT(ISNUMBER($G102)))),"Fecha no válida"&amp;" · ","")&amp;IF(AND(ISNUMBER($AM102),ISNUMBER($AN102),$AM102&gt;$AN102),"Inicio posterior a fecha límite"&amp;" · ","")&amp;IF(AND($V102="Macro",$H102&lt;&gt;"",OR(NOT(ISNUMBER($H102)),$H102&lt;0,$H102&gt;1)),"Peso fuera de rango"&amp;" · ","")&amp;IF(AND($V102="Sub",$H102&lt;&gt;""),"Las subactividades no llevan peso (valen igual dentro de su macroactividad)"&amp;" · ","")&amp;IF(AND(N($W102)&gt;0,COUNT($I102:$L102)&gt;0),"Con subactividades: deje vacías las semanas (se calculan solas)"&amp;" · ","")&amp;IF((COUNTIF($I102:$L102,"&gt;1")+COUNTIF($I102:$L102,"&lt;0")+COUNTA($I102:$L102)-COUNT($I102:$L102))&gt;0,"Avance fuera de rango 0-100%"&amp;" · ","")&amp;IF(OR(AND($J102&lt;&gt;"",$J102&lt;$I102),AND($K102&lt;&gt;"",$K102&lt;MAX($I102:$J102)),AND($L102&lt;&gt;"",$L102&lt;MAX($I102:$K102))),"Avance semanal decreciente"&amp;" · ","")&amp;IF(AND(ISNUMBER($AN102),$AN102&lt;FechaRef,IF($V102="Sub",N($X102),N($M102))&lt;1),"Vencida"&amp;" · ","")&amp;IF(AND(ObsObligatoria="Sí",ISNUMBER($AN102),$AN102&lt;FechaRef,IF($V102="Sub",N($X102),N($M102))&lt;1,$Q102=""),"Vencida sin observación"&amp;" · ",""),LEN(IF($C102="","Falta el nombre de la actividad"&amp;" · ","")&amp;IF(AND($V102="Sub",N($U102)=0),"Subactividad sin macroactividad arriba"&amp;" · ","")&amp;IF($AM102="","Sin fecha de inicio"&amp;" · ","")&amp;IF($AN102="","Sin fecha límite"&amp;" · ","")&amp;IF(AND(LEFT($C102,11)="[Jefatura] ",N($AL102)=0),"No se encuentra en la hoja de la jefatura (elíjala de nuevo en la lista)"&amp;" · ","")&amp;IF(OR(AND($E102&lt;&gt;"",NOT(ISNUMBER($E102))),AND($F102&lt;&gt;"",NOT(ISNUMBER($F102))),AND($G102&lt;&gt;"",NOT(ISNUMBER($G102)))),"Fecha no válida"&amp;" · ","")&amp;IF(AND(ISNUMBER($AM102),ISNUMBER($AN102),$AM102&gt;$AN102),"Inicio posterior a fecha límite"&amp;" · ","")&amp;IF(AND($V102="Macro",$H102&lt;&gt;"",OR(NOT(ISNUMBER($H102)),$H102&lt;0,$H102&gt;1)),"Peso fuera de rango"&amp;" · ","")&amp;IF(AND($V102="Sub",$H102&lt;&gt;""),"Las subactividades no llevan peso (valen igual dentro de su macroactividad)"&amp;" · ","")&amp;IF(AND(N($W102)&gt;0,COUNT($I102:$L102)&gt;0),"Con subactividades: deje vacías las semanas (se calculan solas)"&amp;" · ","")&amp;IF((COUNTIF($I102:$L102,"&gt;1")+COUNTIF($I102:$L102,"&lt;0")+COUNTA($I102:$L102)-COUNT($I102:$L102))&gt;0,"Avance fuera de rango 0-100%"&amp;" · ","")&amp;IF(OR(AND($J102&lt;&gt;"",$J102&lt;$I102),AND($K102&lt;&gt;"",$K102&lt;MAX($I102:$J102)),AND($L102&lt;&gt;"",$L102&lt;MAX($I102:$K102))),"Avance semanal decreciente"&amp;" · ","")&amp;IF(AND(ISNUMBER($AN102),$AN102&lt;FechaRef,IF($V102="Sub",N($X102),N($M102))&lt;1),"Vencida"&amp;" · ","")&amp;IF(AND(ObsObligatoria="Sí",ISNUMBER($AN102),$AN102&lt;FechaRef,IF($V102="Sub",N($X102),N($M102))&lt;1,$Q102=""),"Vencida sin observación"&amp;" · ",""))-3)))</f>
        <v/>
      </c>
      <c r="S102" s="64">
        <f>IF(NOT((COUNTA($B102:$D102)+COUNTA($G102:$L102)+COUNTA($Q102))&gt;0),"",IF(AND($V102="Sub",N($U102)&gt;0),IF(ISNUMBER(INDEX($AM$5:$AM$1000,$U102-4)),DATE(YEAR(INDEX($AM$5:$AM$1000,$U102-4)),MONTH(INDEX($AM$5:$AM$1000,$U102-4)),1),IF(ISNUMBER(INDEX($AN$5:$AN$1000,$U102-4)),DATE(YEAR(INDEX($AN$5:$AN$1000,$U102-4)),MONTH(INDEX($AN$5:$AN$1000,$U102-4)),1),MesCiclo)),IF(ISNUMBER($AM102),DATE(YEAR($AM102),MONTH($AM102),1),IF(ISNUMBER($AN102),DATE(YEAR($AN102),MONTH($AN102),1),MesCiclo))))</f>
        <v/>
      </c>
      <c r="T102" s="62">
        <f>IF(OR($S102="",$S102&lt;&gt;MesCiclo,$V102&lt;&gt;"Macro"),"",COUNTIFS($S$5:$S102,MesCiclo,$V$5:$V102,"Macro"))</f>
        <v/>
      </c>
      <c r="U102" s="62">
        <f>IF($V102="","",IF($V102="Macro",ROW(),IFERROR(LOOKUP(2,1/($V$5:$V102="Macro"),ROW($V$5:$V102)),0)))</f>
        <v/>
      </c>
      <c r="V102" s="62">
        <f>IF(NOT((COUNTA($B102:$D102)+COUNTA($G102:$L102)+COUNTA($Q102))&gt;0),"",IF($B102="Subactividad","Sub","Macro"))</f>
        <v/>
      </c>
      <c r="W102" s="62">
        <f>IF($V102="Macro",COUNTIFS($U$5:$U$1000,ROW(),$V$5:$V$1000,"Sub"),"")</f>
        <v/>
      </c>
      <c r="X102" s="62">
        <f>IF($V102="","",IF(ISNUMBER($G102),1,IFERROR(LOOKUP(2,1/($I102:$L102&lt;&gt;""),$I102:$L102),0)))</f>
        <v/>
      </c>
      <c r="Y102" s="62">
        <f>IF($V102="","",IF(AND(ISNUMBER($G102),$G102&lt;=IF($S102=MesCiclo,InicioCiclo,$S102+MOD(2-WEEKDAY($S102),7))+6),1,IF(ISNUMBER($I102),$I102,0)))</f>
        <v/>
      </c>
      <c r="Z102" s="62">
        <f>IF($V102="","",IF(AND(ISNUMBER($G102),$G102&lt;=IF($S102=MesCiclo,InicioCiclo,$S102+MOD(2-WEEKDAY($S102),7))+13),1,IF(ISNUMBER($J102),$J102,$Y102)))</f>
        <v/>
      </c>
      <c r="AA102" s="62">
        <f>IF($V102="","",IF(AND(ISNUMBER($G102),$G102&lt;=IF($S102=MesCiclo,InicioCiclo,$S102+MOD(2-WEEKDAY($S102),7))+20),1,IF(ISNUMBER($K102),$K102,$Z102)))</f>
        <v/>
      </c>
      <c r="AB102" s="62">
        <f>IF($V102="","",IF(AND(ISNUMBER($G102),$G102&lt;=IF($S102=MesCiclo,InicioCiclo,$S102+MOD(2-WEEKDAY($S102),7))+27),1,IF(ISNUMBER($L102),$L102,$AA102)))</f>
        <v/>
      </c>
      <c r="AC102" s="62">
        <f>IF($V102="","",IF(AND(ISNUMBER($G102),$G102&lt;=IF($S102=MesCiclo,InicioCiclo,$S102+MOD(2-WEEKDAY($S102),7))+6),1,IF(N($W102)&gt;0,AVERAGEIFS($Y$5:$Y$1000,$U$5:$U$1000,ROW(),$V$5:$V$1000,"Sub"),$Y102)))</f>
        <v/>
      </c>
      <c r="AD102" s="62">
        <f>IF($V102="","",IF(AND(ISNUMBER($G102),$G102&lt;=IF($S102=MesCiclo,InicioCiclo,$S102+MOD(2-WEEKDAY($S102),7))+13),1,IF(N($W102)&gt;0,AVERAGEIFS($Z$5:$Z$1000,$U$5:$U$1000,ROW(),$V$5:$V$1000,"Sub"),$Z102)))</f>
        <v/>
      </c>
      <c r="AE102" s="62">
        <f>IF($V102="","",IF(AND(ISNUMBER($G102),$G102&lt;=IF($S102=MesCiclo,InicioCiclo,$S102+MOD(2-WEEKDAY($S102),7))+20),1,IF(N($W102)&gt;0,AVERAGEIFS($AA$5:$AA$1000,$U$5:$U$1000,ROW(),$V$5:$V$1000,"Sub"),$AA102)))</f>
        <v/>
      </c>
      <c r="AF102" s="62">
        <f>IF($V102="","",IF(AND(ISNUMBER($G102),$G102&lt;=IF($S102=MesCiclo,InicioCiclo,$S102+MOD(2-WEEKDAY($S102),7))+27),1,IF(N($W102)&gt;0,AVERAGEIFS($AB$5:$AB$1000,$U$5:$U$1000,ROW(),$V$5:$V$1000,"Sub"),$AB102)))</f>
        <v/>
      </c>
      <c r="AG102" s="62">
        <f>IF($V102&lt;&gt;"Macro","",IF(COUNTIFS($S$5:$S$1000,$S102,$V$5:$V$1000,"Macro",$H$5:$H$1000,"&gt;0")=0,1/COUNTIFS($S$5:$S$1000,$S102,$V$5:$V$1000,"Macro"),IF(AND(ISNUMBER($H102),N($H102)&gt;0),$H102,SUMIFS($H$5:$H$1000,$S$5:$S$1000,$S102,$V$5:$V$1000,"Macro")/COUNTIFS($S$5:$S$1000,$S102,$V$5:$V$1000,"Macro",$H$5:$H$1000,"&gt;0"))/(COUNTIFS($S$5:$S$1000,$S102,$V$5:$V$1000,"Macro")*SUMIFS($H$5:$H$1000,$S$5:$S$1000,$S102,$V$5:$V$1000,"Macro")/COUNTIFS($S$5:$S$1000,$S102,$V$5:$V$1000,"Macro",$H$5:$H$1000,"&gt;0"))))</f>
        <v/>
      </c>
      <c r="AH102" s="62" t="n"/>
      <c r="AI102" s="62" t="n"/>
      <c r="AJ102" s="62" t="n"/>
      <c r="AK102" s="62" t="n"/>
      <c r="AL102" s="62">
        <f>IF(LEFT($C102,11)="[Jefatura] ",IFERROR(MATCH("Riesgo Operacional|"&amp;MID($C102,12,500),rDname_ADM,0),0),"")</f>
        <v/>
      </c>
      <c r="AM102" s="62">
        <f>IF(N($AL102)&gt;0,INDEX(rIni_ADM,$AL102),IF(ISNUMBER($E102),$E102,""))</f>
        <v/>
      </c>
      <c r="AN102" s="62">
        <f>IF(N($AL102)&gt;0,INDEX(rLim_ADM,$AL102),IF(ISNUMBER($F102),$F102,""))</f>
        <v/>
      </c>
    </row>
    <row r="103">
      <c r="A103" s="56">
        <f>IF(NOT((COUNTA($B103:$D103)+COUNTA($G103:$L103)+COUNTA($Q103))&gt;0),"",IF($V103="Macro",COUNTIFS($V$5:$V103,"Macro",$S$5:$S103,$S103),IF(N($U103)=0,"?",COUNTIFS(INDEX($V$5:$V$1000,1):INDEX($V$5:$V$1000,$U103-4),"Macro",INDEX($S$5:$S$1000,1):INDEX($S$5:$S$1000,$U103-4),INDEX($S$5:$S$1000,$U103-4))&amp;"."&amp;COUNTIFS($U$5:$U103,$U103,$V$5:$V103,"Sub"))))</f>
        <v/>
      </c>
      <c r="B103" s="57" t="n"/>
      <c r="C103" s="58" t="n"/>
      <c r="D103" s="58" t="n"/>
      <c r="E103" s="59">
        <f>IF(N($AL103)&gt;0,INDEX(rIni_ADM,$AL103),"")</f>
        <v/>
      </c>
      <c r="F103" s="59">
        <f>IF(N($AL103)&gt;0,INDEX(rLim_ADM,$AL103),"")</f>
        <v/>
      </c>
      <c r="G103" s="59" t="n"/>
      <c r="H103" s="60" t="n"/>
      <c r="I103" s="60" t="n"/>
      <c r="J103" s="60" t="n"/>
      <c r="K103" s="60" t="n"/>
      <c r="L103" s="60" t="n"/>
      <c r="M103" s="61">
        <f>IF(NOT((COUNTA($B103:$D103)+COUNTA($G103:$L103)+COUNTA($Q103))&gt;0),"",IF($V103="Sub",IFERROR($X103/INDEX($W$5:$W$1000,$U103-4),""),IF(ISNUMBER($G103),1,IF(N($W103)&gt;0,AVERAGEIFS($X$5:$X$1000,$U$5:$U$1000,ROW(),$V$5:$V$1000,"Sub"),$X103))))</f>
        <v/>
      </c>
      <c r="N103" s="56">
        <f>IF(OR($M103="",$V103="Sub"),"",IF($M103&gt;=1,"Completado",IF($M103&gt;0,"En curso","Pendiente")))</f>
        <v/>
      </c>
      <c r="O103" s="56">
        <f>IF(OR(NOT((COUNTA($B103:$D103)+COUNTA($G103:$L103)+COUNTA($Q103))&gt;0),$V103="Sub"),"",IF(ISNUMBER($G103),IF(AND(ISNUMBER($AN103),$G103&gt;$AN103),"Cumplida con "&amp;($G103-$AN103)&amp;IF($G103-$AN103=1," día"," días")&amp;" de retraso","Cumplida"),IF(N($M103)&gt;=1,"Cumplida",IF(NOT(ISNUMBER($AN103)),"Sin fecha límite",IF($AN103&lt;FechaRef,"Vencida hace "&amp;(FechaRef-$AN103)&amp;IF(FechaRef-$AN103=1," día"," días"),IF($AN103=FechaRef,"Vence hoy",IF($AN103-FechaRef&lt;=DiasAlerta,"Vence en "&amp;($AN103-FechaRef)&amp;IF($AN103-FechaRef=1," día"," días"),"En plazo")))))))</f>
        <v/>
      </c>
      <c r="P103" s="62" t="n"/>
      <c r="Q103" s="58" t="n"/>
      <c r="R103" s="63">
        <f>IF(NOT((COUNTA($B103:$D103)+COUNTA($G103:$L103)+COUNTA($Q103))&gt;0),"",IF((IF($C103="","Falta el nombre de la actividad"&amp;" · ","")&amp;IF(AND($V103="Sub",N($U103)=0),"Subactividad sin macroactividad arriba"&amp;" · ","")&amp;IF($AM103="","Sin fecha de inicio"&amp;" · ","")&amp;IF($AN103="","Sin fecha límite"&amp;" · ","")&amp;IF(AND(LEFT($C103,11)="[Jefatura] ",N($AL103)=0),"No se encuentra en la hoja de la jefatura (elíjala de nuevo en la lista)"&amp;" · ","")&amp;IF(OR(AND($E103&lt;&gt;"",NOT(ISNUMBER($E103))),AND($F103&lt;&gt;"",NOT(ISNUMBER($F103))),AND($G103&lt;&gt;"",NOT(ISNUMBER($G103)))),"Fecha no válida"&amp;" · ","")&amp;IF(AND(ISNUMBER($AM103),ISNUMBER($AN103),$AM103&gt;$AN103),"Inicio posterior a fecha límite"&amp;" · ","")&amp;IF(AND($V103="Macro",$H103&lt;&gt;"",OR(NOT(ISNUMBER($H103)),$H103&lt;0,$H103&gt;1)),"Peso fuera de rango"&amp;" · ","")&amp;IF(AND($V103="Sub",$H103&lt;&gt;""),"Las subactividades no llevan peso (valen igual dentro de su macroactividad)"&amp;" · ","")&amp;IF(AND(N($W103)&gt;0,COUNT($I103:$L103)&gt;0),"Con subactividades: deje vacías las semanas (se calculan solas)"&amp;" · ","")&amp;IF((COUNTIF($I103:$L103,"&gt;1")+COUNTIF($I103:$L103,"&lt;0")+COUNTA($I103:$L103)-COUNT($I103:$L103))&gt;0,"Avance fuera de rango 0-100%"&amp;" · ","")&amp;IF(OR(AND($J103&lt;&gt;"",$J103&lt;$I103),AND($K103&lt;&gt;"",$K103&lt;MAX($I103:$J103)),AND($L103&lt;&gt;"",$L103&lt;MAX($I103:$K103))),"Avance semanal decreciente"&amp;" · ","")&amp;IF(AND(ISNUMBER($AN103),$AN103&lt;FechaRef,IF($V103="Sub",N($X103),N($M103))&lt;1),"Vencida"&amp;" · ","")&amp;IF(AND(ObsObligatoria="Sí",ISNUMBER($AN103),$AN103&lt;FechaRef,IF($V103="Sub",N($X103),N($M103))&lt;1,$Q103=""),"Vencida sin observación"&amp;" · ",""))="","✔ OK","⚠ "&amp;LEFT(IF($C103="","Falta el nombre de la actividad"&amp;" · ","")&amp;IF(AND($V103="Sub",N($U103)=0),"Subactividad sin macroactividad arriba"&amp;" · ","")&amp;IF($AM103="","Sin fecha de inicio"&amp;" · ","")&amp;IF($AN103="","Sin fecha límite"&amp;" · ","")&amp;IF(AND(LEFT($C103,11)="[Jefatura] ",N($AL103)=0),"No se encuentra en la hoja de la jefatura (elíjala de nuevo en la lista)"&amp;" · ","")&amp;IF(OR(AND($E103&lt;&gt;"",NOT(ISNUMBER($E103))),AND($F103&lt;&gt;"",NOT(ISNUMBER($F103))),AND($G103&lt;&gt;"",NOT(ISNUMBER($G103)))),"Fecha no válida"&amp;" · ","")&amp;IF(AND(ISNUMBER($AM103),ISNUMBER($AN103),$AM103&gt;$AN103),"Inicio posterior a fecha límite"&amp;" · ","")&amp;IF(AND($V103="Macro",$H103&lt;&gt;"",OR(NOT(ISNUMBER($H103)),$H103&lt;0,$H103&gt;1)),"Peso fuera de rango"&amp;" · ","")&amp;IF(AND($V103="Sub",$H103&lt;&gt;""),"Las subactividades no llevan peso (valen igual dentro de su macroactividad)"&amp;" · ","")&amp;IF(AND(N($W103)&gt;0,COUNT($I103:$L103)&gt;0),"Con subactividades: deje vacías las semanas (se calculan solas)"&amp;" · ","")&amp;IF((COUNTIF($I103:$L103,"&gt;1")+COUNTIF($I103:$L103,"&lt;0")+COUNTA($I103:$L103)-COUNT($I103:$L103))&gt;0,"Avance fuera de rango 0-100%"&amp;" · ","")&amp;IF(OR(AND($J103&lt;&gt;"",$J103&lt;$I103),AND($K103&lt;&gt;"",$K103&lt;MAX($I103:$J103)),AND($L103&lt;&gt;"",$L103&lt;MAX($I103:$K103))),"Avance semanal decreciente"&amp;" · ","")&amp;IF(AND(ISNUMBER($AN103),$AN103&lt;FechaRef,IF($V103="Sub",N($X103),N($M103))&lt;1),"Vencida"&amp;" · ","")&amp;IF(AND(ObsObligatoria="Sí",ISNUMBER($AN103),$AN103&lt;FechaRef,IF($V103="Sub",N($X103),N($M103))&lt;1,$Q103=""),"Vencida sin observación"&amp;" · ",""),LEN(IF($C103="","Falta el nombre de la actividad"&amp;" · ","")&amp;IF(AND($V103="Sub",N($U103)=0),"Subactividad sin macroactividad arriba"&amp;" · ","")&amp;IF($AM103="","Sin fecha de inicio"&amp;" · ","")&amp;IF($AN103="","Sin fecha límite"&amp;" · ","")&amp;IF(AND(LEFT($C103,11)="[Jefatura] ",N($AL103)=0),"No se encuentra en la hoja de la jefatura (elíjala de nuevo en la lista)"&amp;" · ","")&amp;IF(OR(AND($E103&lt;&gt;"",NOT(ISNUMBER($E103))),AND($F103&lt;&gt;"",NOT(ISNUMBER($F103))),AND($G103&lt;&gt;"",NOT(ISNUMBER($G103)))),"Fecha no válida"&amp;" · ","")&amp;IF(AND(ISNUMBER($AM103),ISNUMBER($AN103),$AM103&gt;$AN103),"Inicio posterior a fecha límite"&amp;" · ","")&amp;IF(AND($V103="Macro",$H103&lt;&gt;"",OR(NOT(ISNUMBER($H103)),$H103&lt;0,$H103&gt;1)),"Peso fuera de rango"&amp;" · ","")&amp;IF(AND($V103="Sub",$H103&lt;&gt;""),"Las subactividades no llevan peso (valen igual dentro de su macroactividad)"&amp;" · ","")&amp;IF(AND(N($W103)&gt;0,COUNT($I103:$L103)&gt;0),"Con subactividades: deje vacías las semanas (se calculan solas)"&amp;" · ","")&amp;IF((COUNTIF($I103:$L103,"&gt;1")+COUNTIF($I103:$L103,"&lt;0")+COUNTA($I103:$L103)-COUNT($I103:$L103))&gt;0,"Avance fuera de rango 0-100%"&amp;" · ","")&amp;IF(OR(AND($J103&lt;&gt;"",$J103&lt;$I103),AND($K103&lt;&gt;"",$K103&lt;MAX($I103:$J103)),AND($L103&lt;&gt;"",$L103&lt;MAX($I103:$K103))),"Avance semanal decreciente"&amp;" · ","")&amp;IF(AND(ISNUMBER($AN103),$AN103&lt;FechaRef,IF($V103="Sub",N($X103),N($M103))&lt;1),"Vencida"&amp;" · ","")&amp;IF(AND(ObsObligatoria="Sí",ISNUMBER($AN103),$AN103&lt;FechaRef,IF($V103="Sub",N($X103),N($M103))&lt;1,$Q103=""),"Vencida sin observación"&amp;" · ",""))-3)))</f>
        <v/>
      </c>
      <c r="S103" s="64">
        <f>IF(NOT((COUNTA($B103:$D103)+COUNTA($G103:$L103)+COUNTA($Q103))&gt;0),"",IF(AND($V103="Sub",N($U103)&gt;0),IF(ISNUMBER(INDEX($AM$5:$AM$1000,$U103-4)),DATE(YEAR(INDEX($AM$5:$AM$1000,$U103-4)),MONTH(INDEX($AM$5:$AM$1000,$U103-4)),1),IF(ISNUMBER(INDEX($AN$5:$AN$1000,$U103-4)),DATE(YEAR(INDEX($AN$5:$AN$1000,$U103-4)),MONTH(INDEX($AN$5:$AN$1000,$U103-4)),1),MesCiclo)),IF(ISNUMBER($AM103),DATE(YEAR($AM103),MONTH($AM103),1),IF(ISNUMBER($AN103),DATE(YEAR($AN103),MONTH($AN103),1),MesCiclo))))</f>
        <v/>
      </c>
      <c r="T103" s="62">
        <f>IF(OR($S103="",$S103&lt;&gt;MesCiclo,$V103&lt;&gt;"Macro"),"",COUNTIFS($S$5:$S103,MesCiclo,$V$5:$V103,"Macro"))</f>
        <v/>
      </c>
      <c r="U103" s="62">
        <f>IF($V103="","",IF($V103="Macro",ROW(),IFERROR(LOOKUP(2,1/($V$5:$V103="Macro"),ROW($V$5:$V103)),0)))</f>
        <v/>
      </c>
      <c r="V103" s="62">
        <f>IF(NOT((COUNTA($B103:$D103)+COUNTA($G103:$L103)+COUNTA($Q103))&gt;0),"",IF($B103="Subactividad","Sub","Macro"))</f>
        <v/>
      </c>
      <c r="W103" s="62">
        <f>IF($V103="Macro",COUNTIFS($U$5:$U$1000,ROW(),$V$5:$V$1000,"Sub"),"")</f>
        <v/>
      </c>
      <c r="X103" s="62">
        <f>IF($V103="","",IF(ISNUMBER($G103),1,IFERROR(LOOKUP(2,1/($I103:$L103&lt;&gt;""),$I103:$L103),0)))</f>
        <v/>
      </c>
      <c r="Y103" s="62">
        <f>IF($V103="","",IF(AND(ISNUMBER($G103),$G103&lt;=IF($S103=MesCiclo,InicioCiclo,$S103+MOD(2-WEEKDAY($S103),7))+6),1,IF(ISNUMBER($I103),$I103,0)))</f>
        <v/>
      </c>
      <c r="Z103" s="62">
        <f>IF($V103="","",IF(AND(ISNUMBER($G103),$G103&lt;=IF($S103=MesCiclo,InicioCiclo,$S103+MOD(2-WEEKDAY($S103),7))+13),1,IF(ISNUMBER($J103),$J103,$Y103)))</f>
        <v/>
      </c>
      <c r="AA103" s="62">
        <f>IF($V103="","",IF(AND(ISNUMBER($G103),$G103&lt;=IF($S103=MesCiclo,InicioCiclo,$S103+MOD(2-WEEKDAY($S103),7))+20),1,IF(ISNUMBER($K103),$K103,$Z103)))</f>
        <v/>
      </c>
      <c r="AB103" s="62">
        <f>IF($V103="","",IF(AND(ISNUMBER($G103),$G103&lt;=IF($S103=MesCiclo,InicioCiclo,$S103+MOD(2-WEEKDAY($S103),7))+27),1,IF(ISNUMBER($L103),$L103,$AA103)))</f>
        <v/>
      </c>
      <c r="AC103" s="62">
        <f>IF($V103="","",IF(AND(ISNUMBER($G103),$G103&lt;=IF($S103=MesCiclo,InicioCiclo,$S103+MOD(2-WEEKDAY($S103),7))+6),1,IF(N($W103)&gt;0,AVERAGEIFS($Y$5:$Y$1000,$U$5:$U$1000,ROW(),$V$5:$V$1000,"Sub"),$Y103)))</f>
        <v/>
      </c>
      <c r="AD103" s="62">
        <f>IF($V103="","",IF(AND(ISNUMBER($G103),$G103&lt;=IF($S103=MesCiclo,InicioCiclo,$S103+MOD(2-WEEKDAY($S103),7))+13),1,IF(N($W103)&gt;0,AVERAGEIFS($Z$5:$Z$1000,$U$5:$U$1000,ROW(),$V$5:$V$1000,"Sub"),$Z103)))</f>
        <v/>
      </c>
      <c r="AE103" s="62">
        <f>IF($V103="","",IF(AND(ISNUMBER($G103),$G103&lt;=IF($S103=MesCiclo,InicioCiclo,$S103+MOD(2-WEEKDAY($S103),7))+20),1,IF(N($W103)&gt;0,AVERAGEIFS($AA$5:$AA$1000,$U$5:$U$1000,ROW(),$V$5:$V$1000,"Sub"),$AA103)))</f>
        <v/>
      </c>
      <c r="AF103" s="62">
        <f>IF($V103="","",IF(AND(ISNUMBER($G103),$G103&lt;=IF($S103=MesCiclo,InicioCiclo,$S103+MOD(2-WEEKDAY($S103),7))+27),1,IF(N($W103)&gt;0,AVERAGEIFS($AB$5:$AB$1000,$U$5:$U$1000,ROW(),$V$5:$V$1000,"Sub"),$AB103)))</f>
        <v/>
      </c>
      <c r="AG103" s="62">
        <f>IF($V103&lt;&gt;"Macro","",IF(COUNTIFS($S$5:$S$1000,$S103,$V$5:$V$1000,"Macro",$H$5:$H$1000,"&gt;0")=0,1/COUNTIFS($S$5:$S$1000,$S103,$V$5:$V$1000,"Macro"),IF(AND(ISNUMBER($H103),N($H103)&gt;0),$H103,SUMIFS($H$5:$H$1000,$S$5:$S$1000,$S103,$V$5:$V$1000,"Macro")/COUNTIFS($S$5:$S$1000,$S103,$V$5:$V$1000,"Macro",$H$5:$H$1000,"&gt;0"))/(COUNTIFS($S$5:$S$1000,$S103,$V$5:$V$1000,"Macro")*SUMIFS($H$5:$H$1000,$S$5:$S$1000,$S103,$V$5:$V$1000,"Macro")/COUNTIFS($S$5:$S$1000,$S103,$V$5:$V$1000,"Macro",$H$5:$H$1000,"&gt;0"))))</f>
        <v/>
      </c>
      <c r="AH103" s="62" t="n"/>
      <c r="AI103" s="62" t="n"/>
      <c r="AJ103" s="62" t="n"/>
      <c r="AK103" s="62" t="n"/>
      <c r="AL103" s="62">
        <f>IF(LEFT($C103,11)="[Jefatura] ",IFERROR(MATCH("Riesgo Operacional|"&amp;MID($C103,12,500),rDname_ADM,0),0),"")</f>
        <v/>
      </c>
      <c r="AM103" s="62">
        <f>IF(N($AL103)&gt;0,INDEX(rIni_ADM,$AL103),IF(ISNUMBER($E103),$E103,""))</f>
        <v/>
      </c>
      <c r="AN103" s="62">
        <f>IF(N($AL103)&gt;0,INDEX(rLim_ADM,$AL103),IF(ISNUMBER($F103),$F103,""))</f>
        <v/>
      </c>
    </row>
    <row r="104">
      <c r="A104" s="56">
        <f>IF(NOT((COUNTA($B104:$D104)+COUNTA($G104:$L104)+COUNTA($Q104))&gt;0),"",IF($V104="Macro",COUNTIFS($V$5:$V104,"Macro",$S$5:$S104,$S104),IF(N($U104)=0,"?",COUNTIFS(INDEX($V$5:$V$1000,1):INDEX($V$5:$V$1000,$U104-4),"Macro",INDEX($S$5:$S$1000,1):INDEX($S$5:$S$1000,$U104-4),INDEX($S$5:$S$1000,$U104-4))&amp;"."&amp;COUNTIFS($U$5:$U104,$U104,$V$5:$V104,"Sub"))))</f>
        <v/>
      </c>
      <c r="B104" s="57" t="n"/>
      <c r="C104" s="58" t="n"/>
      <c r="D104" s="58" t="n"/>
      <c r="E104" s="59">
        <f>IF(N($AL104)&gt;0,INDEX(rIni_ADM,$AL104),"")</f>
        <v/>
      </c>
      <c r="F104" s="59">
        <f>IF(N($AL104)&gt;0,INDEX(rLim_ADM,$AL104),"")</f>
        <v/>
      </c>
      <c r="G104" s="59" t="n"/>
      <c r="H104" s="60" t="n"/>
      <c r="I104" s="60" t="n"/>
      <c r="J104" s="60" t="n"/>
      <c r="K104" s="60" t="n"/>
      <c r="L104" s="60" t="n"/>
      <c r="M104" s="61">
        <f>IF(NOT((COUNTA($B104:$D104)+COUNTA($G104:$L104)+COUNTA($Q104))&gt;0),"",IF($V104="Sub",IFERROR($X104/INDEX($W$5:$W$1000,$U104-4),""),IF(ISNUMBER($G104),1,IF(N($W104)&gt;0,AVERAGEIFS($X$5:$X$1000,$U$5:$U$1000,ROW(),$V$5:$V$1000,"Sub"),$X104))))</f>
        <v/>
      </c>
      <c r="N104" s="56">
        <f>IF(OR($M104="",$V104="Sub"),"",IF($M104&gt;=1,"Completado",IF($M104&gt;0,"En curso","Pendiente")))</f>
        <v/>
      </c>
      <c r="O104" s="56">
        <f>IF(OR(NOT((COUNTA($B104:$D104)+COUNTA($G104:$L104)+COUNTA($Q104))&gt;0),$V104="Sub"),"",IF(ISNUMBER($G104),IF(AND(ISNUMBER($AN104),$G104&gt;$AN104),"Cumplida con "&amp;($G104-$AN104)&amp;IF($G104-$AN104=1," día"," días")&amp;" de retraso","Cumplida"),IF(N($M104)&gt;=1,"Cumplida",IF(NOT(ISNUMBER($AN104)),"Sin fecha límite",IF($AN104&lt;FechaRef,"Vencida hace "&amp;(FechaRef-$AN104)&amp;IF(FechaRef-$AN104=1," día"," días"),IF($AN104=FechaRef,"Vence hoy",IF($AN104-FechaRef&lt;=DiasAlerta,"Vence en "&amp;($AN104-FechaRef)&amp;IF($AN104-FechaRef=1," día"," días"),"En plazo")))))))</f>
        <v/>
      </c>
      <c r="P104" s="62" t="n"/>
      <c r="Q104" s="58" t="n"/>
      <c r="R104" s="63">
        <f>IF(NOT((COUNTA($B104:$D104)+COUNTA($G104:$L104)+COUNTA($Q104))&gt;0),"",IF((IF($C104="","Falta el nombre de la actividad"&amp;" · ","")&amp;IF(AND($V104="Sub",N($U104)=0),"Subactividad sin macroactividad arriba"&amp;" · ","")&amp;IF($AM104="","Sin fecha de inicio"&amp;" · ","")&amp;IF($AN104="","Sin fecha límite"&amp;" · ","")&amp;IF(AND(LEFT($C104,11)="[Jefatura] ",N($AL104)=0),"No se encuentra en la hoja de la jefatura (elíjala de nuevo en la lista)"&amp;" · ","")&amp;IF(OR(AND($E104&lt;&gt;"",NOT(ISNUMBER($E104))),AND($F104&lt;&gt;"",NOT(ISNUMBER($F104))),AND($G104&lt;&gt;"",NOT(ISNUMBER($G104)))),"Fecha no válida"&amp;" · ","")&amp;IF(AND(ISNUMBER($AM104),ISNUMBER($AN104),$AM104&gt;$AN104),"Inicio posterior a fecha límite"&amp;" · ","")&amp;IF(AND($V104="Macro",$H104&lt;&gt;"",OR(NOT(ISNUMBER($H104)),$H104&lt;0,$H104&gt;1)),"Peso fuera de rango"&amp;" · ","")&amp;IF(AND($V104="Sub",$H104&lt;&gt;""),"Las subactividades no llevan peso (valen igual dentro de su macroactividad)"&amp;" · ","")&amp;IF(AND(N($W104)&gt;0,COUNT($I104:$L104)&gt;0),"Con subactividades: deje vacías las semanas (se calculan solas)"&amp;" · ","")&amp;IF((COUNTIF($I104:$L104,"&gt;1")+COUNTIF($I104:$L104,"&lt;0")+COUNTA($I104:$L104)-COUNT($I104:$L104))&gt;0,"Avance fuera de rango 0-100%"&amp;" · ","")&amp;IF(OR(AND($J104&lt;&gt;"",$J104&lt;$I104),AND($K104&lt;&gt;"",$K104&lt;MAX($I104:$J104)),AND($L104&lt;&gt;"",$L104&lt;MAX($I104:$K104))),"Avance semanal decreciente"&amp;" · ","")&amp;IF(AND(ISNUMBER($AN104),$AN104&lt;FechaRef,IF($V104="Sub",N($X104),N($M104))&lt;1),"Vencida"&amp;" · ","")&amp;IF(AND(ObsObligatoria="Sí",ISNUMBER($AN104),$AN104&lt;FechaRef,IF($V104="Sub",N($X104),N($M104))&lt;1,$Q104=""),"Vencida sin observación"&amp;" · ",""))="","✔ OK","⚠ "&amp;LEFT(IF($C104="","Falta el nombre de la actividad"&amp;" · ","")&amp;IF(AND($V104="Sub",N($U104)=0),"Subactividad sin macroactividad arriba"&amp;" · ","")&amp;IF($AM104="","Sin fecha de inicio"&amp;" · ","")&amp;IF($AN104="","Sin fecha límite"&amp;" · ","")&amp;IF(AND(LEFT($C104,11)="[Jefatura] ",N($AL104)=0),"No se encuentra en la hoja de la jefatura (elíjala de nuevo en la lista)"&amp;" · ","")&amp;IF(OR(AND($E104&lt;&gt;"",NOT(ISNUMBER($E104))),AND($F104&lt;&gt;"",NOT(ISNUMBER($F104))),AND($G104&lt;&gt;"",NOT(ISNUMBER($G104)))),"Fecha no válida"&amp;" · ","")&amp;IF(AND(ISNUMBER($AM104),ISNUMBER($AN104),$AM104&gt;$AN104),"Inicio posterior a fecha límite"&amp;" · ","")&amp;IF(AND($V104="Macro",$H104&lt;&gt;"",OR(NOT(ISNUMBER($H104)),$H104&lt;0,$H104&gt;1)),"Peso fuera de rango"&amp;" · ","")&amp;IF(AND($V104="Sub",$H104&lt;&gt;""),"Las subactividades no llevan peso (valen igual dentro de su macroactividad)"&amp;" · ","")&amp;IF(AND(N($W104)&gt;0,COUNT($I104:$L104)&gt;0),"Con subactividades: deje vacías las semanas (se calculan solas)"&amp;" · ","")&amp;IF((COUNTIF($I104:$L104,"&gt;1")+COUNTIF($I104:$L104,"&lt;0")+COUNTA($I104:$L104)-COUNT($I104:$L104))&gt;0,"Avance fuera de rango 0-100%"&amp;" · ","")&amp;IF(OR(AND($J104&lt;&gt;"",$J104&lt;$I104),AND($K104&lt;&gt;"",$K104&lt;MAX($I104:$J104)),AND($L104&lt;&gt;"",$L104&lt;MAX($I104:$K104))),"Avance semanal decreciente"&amp;" · ","")&amp;IF(AND(ISNUMBER($AN104),$AN104&lt;FechaRef,IF($V104="Sub",N($X104),N($M104))&lt;1),"Vencida"&amp;" · ","")&amp;IF(AND(ObsObligatoria="Sí",ISNUMBER($AN104),$AN104&lt;FechaRef,IF($V104="Sub",N($X104),N($M104))&lt;1,$Q104=""),"Vencida sin observación"&amp;" · ",""),LEN(IF($C104="","Falta el nombre de la actividad"&amp;" · ","")&amp;IF(AND($V104="Sub",N($U104)=0),"Subactividad sin macroactividad arriba"&amp;" · ","")&amp;IF($AM104="","Sin fecha de inicio"&amp;" · ","")&amp;IF($AN104="","Sin fecha límite"&amp;" · ","")&amp;IF(AND(LEFT($C104,11)="[Jefatura] ",N($AL104)=0),"No se encuentra en la hoja de la jefatura (elíjala de nuevo en la lista)"&amp;" · ","")&amp;IF(OR(AND($E104&lt;&gt;"",NOT(ISNUMBER($E104))),AND($F104&lt;&gt;"",NOT(ISNUMBER($F104))),AND($G104&lt;&gt;"",NOT(ISNUMBER($G104)))),"Fecha no válida"&amp;" · ","")&amp;IF(AND(ISNUMBER($AM104),ISNUMBER($AN104),$AM104&gt;$AN104),"Inicio posterior a fecha límite"&amp;" · ","")&amp;IF(AND($V104="Macro",$H104&lt;&gt;"",OR(NOT(ISNUMBER($H104)),$H104&lt;0,$H104&gt;1)),"Peso fuera de rango"&amp;" · ","")&amp;IF(AND($V104="Sub",$H104&lt;&gt;""),"Las subactividades no llevan peso (valen igual dentro de su macroactividad)"&amp;" · ","")&amp;IF(AND(N($W104)&gt;0,COUNT($I104:$L104)&gt;0),"Con subactividades: deje vacías las semanas (se calculan solas)"&amp;" · ","")&amp;IF((COUNTIF($I104:$L104,"&gt;1")+COUNTIF($I104:$L104,"&lt;0")+COUNTA($I104:$L104)-COUNT($I104:$L104))&gt;0,"Avance fuera de rango 0-100%"&amp;" · ","")&amp;IF(OR(AND($J104&lt;&gt;"",$J104&lt;$I104),AND($K104&lt;&gt;"",$K104&lt;MAX($I104:$J104)),AND($L104&lt;&gt;"",$L104&lt;MAX($I104:$K104))),"Avance semanal decreciente"&amp;" · ","")&amp;IF(AND(ISNUMBER($AN104),$AN104&lt;FechaRef,IF($V104="Sub",N($X104),N($M104))&lt;1),"Vencida"&amp;" · ","")&amp;IF(AND(ObsObligatoria="Sí",ISNUMBER($AN104),$AN104&lt;FechaRef,IF($V104="Sub",N($X104),N($M104))&lt;1,$Q104=""),"Vencida sin observación"&amp;" · ",""))-3)))</f>
        <v/>
      </c>
      <c r="S104" s="64">
        <f>IF(NOT((COUNTA($B104:$D104)+COUNTA($G104:$L104)+COUNTA($Q104))&gt;0),"",IF(AND($V104="Sub",N($U104)&gt;0),IF(ISNUMBER(INDEX($AM$5:$AM$1000,$U104-4)),DATE(YEAR(INDEX($AM$5:$AM$1000,$U104-4)),MONTH(INDEX($AM$5:$AM$1000,$U104-4)),1),IF(ISNUMBER(INDEX($AN$5:$AN$1000,$U104-4)),DATE(YEAR(INDEX($AN$5:$AN$1000,$U104-4)),MONTH(INDEX($AN$5:$AN$1000,$U104-4)),1),MesCiclo)),IF(ISNUMBER($AM104),DATE(YEAR($AM104),MONTH($AM104),1),IF(ISNUMBER($AN104),DATE(YEAR($AN104),MONTH($AN104),1),MesCiclo))))</f>
        <v/>
      </c>
      <c r="T104" s="62">
        <f>IF(OR($S104="",$S104&lt;&gt;MesCiclo,$V104&lt;&gt;"Macro"),"",COUNTIFS($S$5:$S104,MesCiclo,$V$5:$V104,"Macro"))</f>
        <v/>
      </c>
      <c r="U104" s="62">
        <f>IF($V104="","",IF($V104="Macro",ROW(),IFERROR(LOOKUP(2,1/($V$5:$V104="Macro"),ROW($V$5:$V104)),0)))</f>
        <v/>
      </c>
      <c r="V104" s="62">
        <f>IF(NOT((COUNTA($B104:$D104)+COUNTA($G104:$L104)+COUNTA($Q104))&gt;0),"",IF($B104="Subactividad","Sub","Macro"))</f>
        <v/>
      </c>
      <c r="W104" s="62">
        <f>IF($V104="Macro",COUNTIFS($U$5:$U$1000,ROW(),$V$5:$V$1000,"Sub"),"")</f>
        <v/>
      </c>
      <c r="X104" s="62">
        <f>IF($V104="","",IF(ISNUMBER($G104),1,IFERROR(LOOKUP(2,1/($I104:$L104&lt;&gt;""),$I104:$L104),0)))</f>
        <v/>
      </c>
      <c r="Y104" s="62">
        <f>IF($V104="","",IF(AND(ISNUMBER($G104),$G104&lt;=IF($S104=MesCiclo,InicioCiclo,$S104+MOD(2-WEEKDAY($S104),7))+6),1,IF(ISNUMBER($I104),$I104,0)))</f>
        <v/>
      </c>
      <c r="Z104" s="62">
        <f>IF($V104="","",IF(AND(ISNUMBER($G104),$G104&lt;=IF($S104=MesCiclo,InicioCiclo,$S104+MOD(2-WEEKDAY($S104),7))+13),1,IF(ISNUMBER($J104),$J104,$Y104)))</f>
        <v/>
      </c>
      <c r="AA104" s="62">
        <f>IF($V104="","",IF(AND(ISNUMBER($G104),$G104&lt;=IF($S104=MesCiclo,InicioCiclo,$S104+MOD(2-WEEKDAY($S104),7))+20),1,IF(ISNUMBER($K104),$K104,$Z104)))</f>
        <v/>
      </c>
      <c r="AB104" s="62">
        <f>IF($V104="","",IF(AND(ISNUMBER($G104),$G104&lt;=IF($S104=MesCiclo,InicioCiclo,$S104+MOD(2-WEEKDAY($S104),7))+27),1,IF(ISNUMBER($L104),$L104,$AA104)))</f>
        <v/>
      </c>
      <c r="AC104" s="62">
        <f>IF($V104="","",IF(AND(ISNUMBER($G104),$G104&lt;=IF($S104=MesCiclo,InicioCiclo,$S104+MOD(2-WEEKDAY($S104),7))+6),1,IF(N($W104)&gt;0,AVERAGEIFS($Y$5:$Y$1000,$U$5:$U$1000,ROW(),$V$5:$V$1000,"Sub"),$Y104)))</f>
        <v/>
      </c>
      <c r="AD104" s="62">
        <f>IF($V104="","",IF(AND(ISNUMBER($G104),$G104&lt;=IF($S104=MesCiclo,InicioCiclo,$S104+MOD(2-WEEKDAY($S104),7))+13),1,IF(N($W104)&gt;0,AVERAGEIFS($Z$5:$Z$1000,$U$5:$U$1000,ROW(),$V$5:$V$1000,"Sub"),$Z104)))</f>
        <v/>
      </c>
      <c r="AE104" s="62">
        <f>IF($V104="","",IF(AND(ISNUMBER($G104),$G104&lt;=IF($S104=MesCiclo,InicioCiclo,$S104+MOD(2-WEEKDAY($S104),7))+20),1,IF(N($W104)&gt;0,AVERAGEIFS($AA$5:$AA$1000,$U$5:$U$1000,ROW(),$V$5:$V$1000,"Sub"),$AA104)))</f>
        <v/>
      </c>
      <c r="AF104" s="62">
        <f>IF($V104="","",IF(AND(ISNUMBER($G104),$G104&lt;=IF($S104=MesCiclo,InicioCiclo,$S104+MOD(2-WEEKDAY($S104),7))+27),1,IF(N($W104)&gt;0,AVERAGEIFS($AB$5:$AB$1000,$U$5:$U$1000,ROW(),$V$5:$V$1000,"Sub"),$AB104)))</f>
        <v/>
      </c>
      <c r="AG104" s="62">
        <f>IF($V104&lt;&gt;"Macro","",IF(COUNTIFS($S$5:$S$1000,$S104,$V$5:$V$1000,"Macro",$H$5:$H$1000,"&gt;0")=0,1/COUNTIFS($S$5:$S$1000,$S104,$V$5:$V$1000,"Macro"),IF(AND(ISNUMBER($H104),N($H104)&gt;0),$H104,SUMIFS($H$5:$H$1000,$S$5:$S$1000,$S104,$V$5:$V$1000,"Macro")/COUNTIFS($S$5:$S$1000,$S104,$V$5:$V$1000,"Macro",$H$5:$H$1000,"&gt;0"))/(COUNTIFS($S$5:$S$1000,$S104,$V$5:$V$1000,"Macro")*SUMIFS($H$5:$H$1000,$S$5:$S$1000,$S104,$V$5:$V$1000,"Macro")/COUNTIFS($S$5:$S$1000,$S104,$V$5:$V$1000,"Macro",$H$5:$H$1000,"&gt;0"))))</f>
        <v/>
      </c>
      <c r="AH104" s="62" t="n"/>
      <c r="AI104" s="62" t="n"/>
      <c r="AJ104" s="62" t="n"/>
      <c r="AK104" s="62" t="n"/>
      <c r="AL104" s="62">
        <f>IF(LEFT($C104,11)="[Jefatura] ",IFERROR(MATCH("Riesgo Operacional|"&amp;MID($C104,12,500),rDname_ADM,0),0),"")</f>
        <v/>
      </c>
      <c r="AM104" s="62">
        <f>IF(N($AL104)&gt;0,INDEX(rIni_ADM,$AL104),IF(ISNUMBER($E104),$E104,""))</f>
        <v/>
      </c>
      <c r="AN104" s="62">
        <f>IF(N($AL104)&gt;0,INDEX(rLim_ADM,$AL104),IF(ISNUMBER($F104),$F104,""))</f>
        <v/>
      </c>
    </row>
    <row r="105">
      <c r="A105" s="56">
        <f>IF(NOT((COUNTA($B105:$D105)+COUNTA($G105:$L105)+COUNTA($Q105))&gt;0),"",IF($V105="Macro",COUNTIFS($V$5:$V105,"Macro",$S$5:$S105,$S105),IF(N($U105)=0,"?",COUNTIFS(INDEX($V$5:$V$1000,1):INDEX($V$5:$V$1000,$U105-4),"Macro",INDEX($S$5:$S$1000,1):INDEX($S$5:$S$1000,$U105-4),INDEX($S$5:$S$1000,$U105-4))&amp;"."&amp;COUNTIFS($U$5:$U105,$U105,$V$5:$V105,"Sub"))))</f>
        <v/>
      </c>
      <c r="B105" s="57" t="n"/>
      <c r="C105" s="58" t="n"/>
      <c r="D105" s="58" t="n"/>
      <c r="E105" s="59">
        <f>IF(N($AL105)&gt;0,INDEX(rIni_ADM,$AL105),"")</f>
        <v/>
      </c>
      <c r="F105" s="59">
        <f>IF(N($AL105)&gt;0,INDEX(rLim_ADM,$AL105),"")</f>
        <v/>
      </c>
      <c r="G105" s="59" t="n"/>
      <c r="H105" s="60" t="n"/>
      <c r="I105" s="60" t="n"/>
      <c r="J105" s="60" t="n"/>
      <c r="K105" s="60" t="n"/>
      <c r="L105" s="60" t="n"/>
      <c r="M105" s="61">
        <f>IF(NOT((COUNTA($B105:$D105)+COUNTA($G105:$L105)+COUNTA($Q105))&gt;0),"",IF($V105="Sub",IFERROR($X105/INDEX($W$5:$W$1000,$U105-4),""),IF(ISNUMBER($G105),1,IF(N($W105)&gt;0,AVERAGEIFS($X$5:$X$1000,$U$5:$U$1000,ROW(),$V$5:$V$1000,"Sub"),$X105))))</f>
        <v/>
      </c>
      <c r="N105" s="56">
        <f>IF(OR($M105="",$V105="Sub"),"",IF($M105&gt;=1,"Completado",IF($M105&gt;0,"En curso","Pendiente")))</f>
        <v/>
      </c>
      <c r="O105" s="56">
        <f>IF(OR(NOT((COUNTA($B105:$D105)+COUNTA($G105:$L105)+COUNTA($Q105))&gt;0),$V105="Sub"),"",IF(ISNUMBER($G105),IF(AND(ISNUMBER($AN105),$G105&gt;$AN105),"Cumplida con "&amp;($G105-$AN105)&amp;IF($G105-$AN105=1," día"," días")&amp;" de retraso","Cumplida"),IF(N($M105)&gt;=1,"Cumplida",IF(NOT(ISNUMBER($AN105)),"Sin fecha límite",IF($AN105&lt;FechaRef,"Vencida hace "&amp;(FechaRef-$AN105)&amp;IF(FechaRef-$AN105=1," día"," días"),IF($AN105=FechaRef,"Vence hoy",IF($AN105-FechaRef&lt;=DiasAlerta,"Vence en "&amp;($AN105-FechaRef)&amp;IF($AN105-FechaRef=1," día"," días"),"En plazo")))))))</f>
        <v/>
      </c>
      <c r="P105" s="62" t="n"/>
      <c r="Q105" s="58" t="n"/>
      <c r="R105" s="63">
        <f>IF(NOT((COUNTA($B105:$D105)+COUNTA($G105:$L105)+COUNTA($Q105))&gt;0),"",IF((IF($C105="","Falta el nombre de la actividad"&amp;" · ","")&amp;IF(AND($V105="Sub",N($U105)=0),"Subactividad sin macroactividad arriba"&amp;" · ","")&amp;IF($AM105="","Sin fecha de inicio"&amp;" · ","")&amp;IF($AN105="","Sin fecha límite"&amp;" · ","")&amp;IF(AND(LEFT($C105,11)="[Jefatura] ",N($AL105)=0),"No se encuentra en la hoja de la jefatura (elíjala de nuevo en la lista)"&amp;" · ","")&amp;IF(OR(AND($E105&lt;&gt;"",NOT(ISNUMBER($E105))),AND($F105&lt;&gt;"",NOT(ISNUMBER($F105))),AND($G105&lt;&gt;"",NOT(ISNUMBER($G105)))),"Fecha no válida"&amp;" · ","")&amp;IF(AND(ISNUMBER($AM105),ISNUMBER($AN105),$AM105&gt;$AN105),"Inicio posterior a fecha límite"&amp;" · ","")&amp;IF(AND($V105="Macro",$H105&lt;&gt;"",OR(NOT(ISNUMBER($H105)),$H105&lt;0,$H105&gt;1)),"Peso fuera de rango"&amp;" · ","")&amp;IF(AND($V105="Sub",$H105&lt;&gt;""),"Las subactividades no llevan peso (valen igual dentro de su macroactividad)"&amp;" · ","")&amp;IF(AND(N($W105)&gt;0,COUNT($I105:$L105)&gt;0),"Con subactividades: deje vacías las semanas (se calculan solas)"&amp;" · ","")&amp;IF((COUNTIF($I105:$L105,"&gt;1")+COUNTIF($I105:$L105,"&lt;0")+COUNTA($I105:$L105)-COUNT($I105:$L105))&gt;0,"Avance fuera de rango 0-100%"&amp;" · ","")&amp;IF(OR(AND($J105&lt;&gt;"",$J105&lt;$I105),AND($K105&lt;&gt;"",$K105&lt;MAX($I105:$J105)),AND($L105&lt;&gt;"",$L105&lt;MAX($I105:$K105))),"Avance semanal decreciente"&amp;" · ","")&amp;IF(AND(ISNUMBER($AN105),$AN105&lt;FechaRef,IF($V105="Sub",N($X105),N($M105))&lt;1),"Vencida"&amp;" · ","")&amp;IF(AND(ObsObligatoria="Sí",ISNUMBER($AN105),$AN105&lt;FechaRef,IF($V105="Sub",N($X105),N($M105))&lt;1,$Q105=""),"Vencida sin observación"&amp;" · ",""))="","✔ OK","⚠ "&amp;LEFT(IF($C105="","Falta el nombre de la actividad"&amp;" · ","")&amp;IF(AND($V105="Sub",N($U105)=0),"Subactividad sin macroactividad arriba"&amp;" · ","")&amp;IF($AM105="","Sin fecha de inicio"&amp;" · ","")&amp;IF($AN105="","Sin fecha límite"&amp;" · ","")&amp;IF(AND(LEFT($C105,11)="[Jefatura] ",N($AL105)=0),"No se encuentra en la hoja de la jefatura (elíjala de nuevo en la lista)"&amp;" · ","")&amp;IF(OR(AND($E105&lt;&gt;"",NOT(ISNUMBER($E105))),AND($F105&lt;&gt;"",NOT(ISNUMBER($F105))),AND($G105&lt;&gt;"",NOT(ISNUMBER($G105)))),"Fecha no válida"&amp;" · ","")&amp;IF(AND(ISNUMBER($AM105),ISNUMBER($AN105),$AM105&gt;$AN105),"Inicio posterior a fecha límite"&amp;" · ","")&amp;IF(AND($V105="Macro",$H105&lt;&gt;"",OR(NOT(ISNUMBER($H105)),$H105&lt;0,$H105&gt;1)),"Peso fuera de rango"&amp;" · ","")&amp;IF(AND($V105="Sub",$H105&lt;&gt;""),"Las subactividades no llevan peso (valen igual dentro de su macroactividad)"&amp;" · ","")&amp;IF(AND(N($W105)&gt;0,COUNT($I105:$L105)&gt;0),"Con subactividades: deje vacías las semanas (se calculan solas)"&amp;" · ","")&amp;IF((COUNTIF($I105:$L105,"&gt;1")+COUNTIF($I105:$L105,"&lt;0")+COUNTA($I105:$L105)-COUNT($I105:$L105))&gt;0,"Avance fuera de rango 0-100%"&amp;" · ","")&amp;IF(OR(AND($J105&lt;&gt;"",$J105&lt;$I105),AND($K105&lt;&gt;"",$K105&lt;MAX($I105:$J105)),AND($L105&lt;&gt;"",$L105&lt;MAX($I105:$K105))),"Avance semanal decreciente"&amp;" · ","")&amp;IF(AND(ISNUMBER($AN105),$AN105&lt;FechaRef,IF($V105="Sub",N($X105),N($M105))&lt;1),"Vencida"&amp;" · ","")&amp;IF(AND(ObsObligatoria="Sí",ISNUMBER($AN105),$AN105&lt;FechaRef,IF($V105="Sub",N($X105),N($M105))&lt;1,$Q105=""),"Vencida sin observación"&amp;" · ",""),LEN(IF($C105="","Falta el nombre de la actividad"&amp;" · ","")&amp;IF(AND($V105="Sub",N($U105)=0),"Subactividad sin macroactividad arriba"&amp;" · ","")&amp;IF($AM105="","Sin fecha de inicio"&amp;" · ","")&amp;IF($AN105="","Sin fecha límite"&amp;" · ","")&amp;IF(AND(LEFT($C105,11)="[Jefatura] ",N($AL105)=0),"No se encuentra en la hoja de la jefatura (elíjala de nuevo en la lista)"&amp;" · ","")&amp;IF(OR(AND($E105&lt;&gt;"",NOT(ISNUMBER($E105))),AND($F105&lt;&gt;"",NOT(ISNUMBER($F105))),AND($G105&lt;&gt;"",NOT(ISNUMBER($G105)))),"Fecha no válida"&amp;" · ","")&amp;IF(AND(ISNUMBER($AM105),ISNUMBER($AN105),$AM105&gt;$AN105),"Inicio posterior a fecha límite"&amp;" · ","")&amp;IF(AND($V105="Macro",$H105&lt;&gt;"",OR(NOT(ISNUMBER($H105)),$H105&lt;0,$H105&gt;1)),"Peso fuera de rango"&amp;" · ","")&amp;IF(AND($V105="Sub",$H105&lt;&gt;""),"Las subactividades no llevan peso (valen igual dentro de su macroactividad)"&amp;" · ","")&amp;IF(AND(N($W105)&gt;0,COUNT($I105:$L105)&gt;0),"Con subactividades: deje vacías las semanas (se calculan solas)"&amp;" · ","")&amp;IF((COUNTIF($I105:$L105,"&gt;1")+COUNTIF($I105:$L105,"&lt;0")+COUNTA($I105:$L105)-COUNT($I105:$L105))&gt;0,"Avance fuera de rango 0-100%"&amp;" · ","")&amp;IF(OR(AND($J105&lt;&gt;"",$J105&lt;$I105),AND($K105&lt;&gt;"",$K105&lt;MAX($I105:$J105)),AND($L105&lt;&gt;"",$L105&lt;MAX($I105:$K105))),"Avance semanal decreciente"&amp;" · ","")&amp;IF(AND(ISNUMBER($AN105),$AN105&lt;FechaRef,IF($V105="Sub",N($X105),N($M105))&lt;1),"Vencida"&amp;" · ","")&amp;IF(AND(ObsObligatoria="Sí",ISNUMBER($AN105),$AN105&lt;FechaRef,IF($V105="Sub",N($X105),N($M105))&lt;1,$Q105=""),"Vencida sin observación"&amp;" · ",""))-3)))</f>
        <v/>
      </c>
      <c r="S105" s="64">
        <f>IF(NOT((COUNTA($B105:$D105)+COUNTA($G105:$L105)+COUNTA($Q105))&gt;0),"",IF(AND($V105="Sub",N($U105)&gt;0),IF(ISNUMBER(INDEX($AM$5:$AM$1000,$U105-4)),DATE(YEAR(INDEX($AM$5:$AM$1000,$U105-4)),MONTH(INDEX($AM$5:$AM$1000,$U105-4)),1),IF(ISNUMBER(INDEX($AN$5:$AN$1000,$U105-4)),DATE(YEAR(INDEX($AN$5:$AN$1000,$U105-4)),MONTH(INDEX($AN$5:$AN$1000,$U105-4)),1),MesCiclo)),IF(ISNUMBER($AM105),DATE(YEAR($AM105),MONTH($AM105),1),IF(ISNUMBER($AN105),DATE(YEAR($AN105),MONTH($AN105),1),MesCiclo))))</f>
        <v/>
      </c>
      <c r="T105" s="62">
        <f>IF(OR($S105="",$S105&lt;&gt;MesCiclo,$V105&lt;&gt;"Macro"),"",COUNTIFS($S$5:$S105,MesCiclo,$V$5:$V105,"Macro"))</f>
        <v/>
      </c>
      <c r="U105" s="62">
        <f>IF($V105="","",IF($V105="Macro",ROW(),IFERROR(LOOKUP(2,1/($V$5:$V105="Macro"),ROW($V$5:$V105)),0)))</f>
        <v/>
      </c>
      <c r="V105" s="62">
        <f>IF(NOT((COUNTA($B105:$D105)+COUNTA($G105:$L105)+COUNTA($Q105))&gt;0),"",IF($B105="Subactividad","Sub","Macro"))</f>
        <v/>
      </c>
      <c r="W105" s="62">
        <f>IF($V105="Macro",COUNTIFS($U$5:$U$1000,ROW(),$V$5:$V$1000,"Sub"),"")</f>
        <v/>
      </c>
      <c r="X105" s="62">
        <f>IF($V105="","",IF(ISNUMBER($G105),1,IFERROR(LOOKUP(2,1/($I105:$L105&lt;&gt;""),$I105:$L105),0)))</f>
        <v/>
      </c>
      <c r="Y105" s="62">
        <f>IF($V105="","",IF(AND(ISNUMBER($G105),$G105&lt;=IF($S105=MesCiclo,InicioCiclo,$S105+MOD(2-WEEKDAY($S105),7))+6),1,IF(ISNUMBER($I105),$I105,0)))</f>
        <v/>
      </c>
      <c r="Z105" s="62">
        <f>IF($V105="","",IF(AND(ISNUMBER($G105),$G105&lt;=IF($S105=MesCiclo,InicioCiclo,$S105+MOD(2-WEEKDAY($S105),7))+13),1,IF(ISNUMBER($J105),$J105,$Y105)))</f>
        <v/>
      </c>
      <c r="AA105" s="62">
        <f>IF($V105="","",IF(AND(ISNUMBER($G105),$G105&lt;=IF($S105=MesCiclo,InicioCiclo,$S105+MOD(2-WEEKDAY($S105),7))+20),1,IF(ISNUMBER($K105),$K105,$Z105)))</f>
        <v/>
      </c>
      <c r="AB105" s="62">
        <f>IF($V105="","",IF(AND(ISNUMBER($G105),$G105&lt;=IF($S105=MesCiclo,InicioCiclo,$S105+MOD(2-WEEKDAY($S105),7))+27),1,IF(ISNUMBER($L105),$L105,$AA105)))</f>
        <v/>
      </c>
      <c r="AC105" s="62">
        <f>IF($V105="","",IF(AND(ISNUMBER($G105),$G105&lt;=IF($S105=MesCiclo,InicioCiclo,$S105+MOD(2-WEEKDAY($S105),7))+6),1,IF(N($W105)&gt;0,AVERAGEIFS($Y$5:$Y$1000,$U$5:$U$1000,ROW(),$V$5:$V$1000,"Sub"),$Y105)))</f>
        <v/>
      </c>
      <c r="AD105" s="62">
        <f>IF($V105="","",IF(AND(ISNUMBER($G105),$G105&lt;=IF($S105=MesCiclo,InicioCiclo,$S105+MOD(2-WEEKDAY($S105),7))+13),1,IF(N($W105)&gt;0,AVERAGEIFS($Z$5:$Z$1000,$U$5:$U$1000,ROW(),$V$5:$V$1000,"Sub"),$Z105)))</f>
        <v/>
      </c>
      <c r="AE105" s="62">
        <f>IF($V105="","",IF(AND(ISNUMBER($G105),$G105&lt;=IF($S105=MesCiclo,InicioCiclo,$S105+MOD(2-WEEKDAY($S105),7))+20),1,IF(N($W105)&gt;0,AVERAGEIFS($AA$5:$AA$1000,$U$5:$U$1000,ROW(),$V$5:$V$1000,"Sub"),$AA105)))</f>
        <v/>
      </c>
      <c r="AF105" s="62">
        <f>IF($V105="","",IF(AND(ISNUMBER($G105),$G105&lt;=IF($S105=MesCiclo,InicioCiclo,$S105+MOD(2-WEEKDAY($S105),7))+27),1,IF(N($W105)&gt;0,AVERAGEIFS($AB$5:$AB$1000,$U$5:$U$1000,ROW(),$V$5:$V$1000,"Sub"),$AB105)))</f>
        <v/>
      </c>
      <c r="AG105" s="62">
        <f>IF($V105&lt;&gt;"Macro","",IF(COUNTIFS($S$5:$S$1000,$S105,$V$5:$V$1000,"Macro",$H$5:$H$1000,"&gt;0")=0,1/COUNTIFS($S$5:$S$1000,$S105,$V$5:$V$1000,"Macro"),IF(AND(ISNUMBER($H105),N($H105)&gt;0),$H105,SUMIFS($H$5:$H$1000,$S$5:$S$1000,$S105,$V$5:$V$1000,"Macro")/COUNTIFS($S$5:$S$1000,$S105,$V$5:$V$1000,"Macro",$H$5:$H$1000,"&gt;0"))/(COUNTIFS($S$5:$S$1000,$S105,$V$5:$V$1000,"Macro")*SUMIFS($H$5:$H$1000,$S$5:$S$1000,$S105,$V$5:$V$1000,"Macro")/COUNTIFS($S$5:$S$1000,$S105,$V$5:$V$1000,"Macro",$H$5:$H$1000,"&gt;0"))))</f>
        <v/>
      </c>
      <c r="AH105" s="62" t="n"/>
      <c r="AI105" s="62" t="n"/>
      <c r="AJ105" s="62" t="n"/>
      <c r="AK105" s="62" t="n"/>
      <c r="AL105" s="62">
        <f>IF(LEFT($C105,11)="[Jefatura] ",IFERROR(MATCH("Riesgo Operacional|"&amp;MID($C105,12,500),rDname_ADM,0),0),"")</f>
        <v/>
      </c>
      <c r="AM105" s="62">
        <f>IF(N($AL105)&gt;0,INDEX(rIni_ADM,$AL105),IF(ISNUMBER($E105),$E105,""))</f>
        <v/>
      </c>
      <c r="AN105" s="62">
        <f>IF(N($AL105)&gt;0,INDEX(rLim_ADM,$AL105),IF(ISNUMBER($F105),$F105,""))</f>
        <v/>
      </c>
    </row>
    <row r="106">
      <c r="A106" s="56">
        <f>IF(NOT((COUNTA($B106:$D106)+COUNTA($G106:$L106)+COUNTA($Q106))&gt;0),"",IF($V106="Macro",COUNTIFS($V$5:$V106,"Macro",$S$5:$S106,$S106),IF(N($U106)=0,"?",COUNTIFS(INDEX($V$5:$V$1000,1):INDEX($V$5:$V$1000,$U106-4),"Macro",INDEX($S$5:$S$1000,1):INDEX($S$5:$S$1000,$U106-4),INDEX($S$5:$S$1000,$U106-4))&amp;"."&amp;COUNTIFS($U$5:$U106,$U106,$V$5:$V106,"Sub"))))</f>
        <v/>
      </c>
      <c r="B106" s="57" t="n"/>
      <c r="C106" s="58" t="n"/>
      <c r="D106" s="58" t="n"/>
      <c r="E106" s="59">
        <f>IF(N($AL106)&gt;0,INDEX(rIni_ADM,$AL106),"")</f>
        <v/>
      </c>
      <c r="F106" s="59">
        <f>IF(N($AL106)&gt;0,INDEX(rLim_ADM,$AL106),"")</f>
        <v/>
      </c>
      <c r="G106" s="59" t="n"/>
      <c r="H106" s="60" t="n"/>
      <c r="I106" s="60" t="n"/>
      <c r="J106" s="60" t="n"/>
      <c r="K106" s="60" t="n"/>
      <c r="L106" s="60" t="n"/>
      <c r="M106" s="61">
        <f>IF(NOT((COUNTA($B106:$D106)+COUNTA($G106:$L106)+COUNTA($Q106))&gt;0),"",IF($V106="Sub",IFERROR($X106/INDEX($W$5:$W$1000,$U106-4),""),IF(ISNUMBER($G106),1,IF(N($W106)&gt;0,AVERAGEIFS($X$5:$X$1000,$U$5:$U$1000,ROW(),$V$5:$V$1000,"Sub"),$X106))))</f>
        <v/>
      </c>
      <c r="N106" s="56">
        <f>IF(OR($M106="",$V106="Sub"),"",IF($M106&gt;=1,"Completado",IF($M106&gt;0,"En curso","Pendiente")))</f>
        <v/>
      </c>
      <c r="O106" s="56">
        <f>IF(OR(NOT((COUNTA($B106:$D106)+COUNTA($G106:$L106)+COUNTA($Q106))&gt;0),$V106="Sub"),"",IF(ISNUMBER($G106),IF(AND(ISNUMBER($AN106),$G106&gt;$AN106),"Cumplida con "&amp;($G106-$AN106)&amp;IF($G106-$AN106=1," día"," días")&amp;" de retraso","Cumplida"),IF(N($M106)&gt;=1,"Cumplida",IF(NOT(ISNUMBER($AN106)),"Sin fecha límite",IF($AN106&lt;FechaRef,"Vencida hace "&amp;(FechaRef-$AN106)&amp;IF(FechaRef-$AN106=1," día"," días"),IF($AN106=FechaRef,"Vence hoy",IF($AN106-FechaRef&lt;=DiasAlerta,"Vence en "&amp;($AN106-FechaRef)&amp;IF($AN106-FechaRef=1," día"," días"),"En plazo")))))))</f>
        <v/>
      </c>
      <c r="P106" s="62" t="n"/>
      <c r="Q106" s="58" t="n"/>
      <c r="R106" s="63">
        <f>IF(NOT((COUNTA($B106:$D106)+COUNTA($G106:$L106)+COUNTA($Q106))&gt;0),"",IF((IF($C106="","Falta el nombre de la actividad"&amp;" · ","")&amp;IF(AND($V106="Sub",N($U106)=0),"Subactividad sin macroactividad arriba"&amp;" · ","")&amp;IF($AM106="","Sin fecha de inicio"&amp;" · ","")&amp;IF($AN106="","Sin fecha límite"&amp;" · ","")&amp;IF(AND(LEFT($C106,11)="[Jefatura] ",N($AL106)=0),"No se encuentra en la hoja de la jefatura (elíjala de nuevo en la lista)"&amp;" · ","")&amp;IF(OR(AND($E106&lt;&gt;"",NOT(ISNUMBER($E106))),AND($F106&lt;&gt;"",NOT(ISNUMBER($F106))),AND($G106&lt;&gt;"",NOT(ISNUMBER($G106)))),"Fecha no válida"&amp;" · ","")&amp;IF(AND(ISNUMBER($AM106),ISNUMBER($AN106),$AM106&gt;$AN106),"Inicio posterior a fecha límite"&amp;" · ","")&amp;IF(AND($V106="Macro",$H106&lt;&gt;"",OR(NOT(ISNUMBER($H106)),$H106&lt;0,$H106&gt;1)),"Peso fuera de rango"&amp;" · ","")&amp;IF(AND($V106="Sub",$H106&lt;&gt;""),"Las subactividades no llevan peso (valen igual dentro de su macroactividad)"&amp;" · ","")&amp;IF(AND(N($W106)&gt;0,COUNT($I106:$L106)&gt;0),"Con subactividades: deje vacías las semanas (se calculan solas)"&amp;" · ","")&amp;IF((COUNTIF($I106:$L106,"&gt;1")+COUNTIF($I106:$L106,"&lt;0")+COUNTA($I106:$L106)-COUNT($I106:$L106))&gt;0,"Avance fuera de rango 0-100%"&amp;" · ","")&amp;IF(OR(AND($J106&lt;&gt;"",$J106&lt;$I106),AND($K106&lt;&gt;"",$K106&lt;MAX($I106:$J106)),AND($L106&lt;&gt;"",$L106&lt;MAX($I106:$K106))),"Avance semanal decreciente"&amp;" · ","")&amp;IF(AND(ISNUMBER($AN106),$AN106&lt;FechaRef,IF($V106="Sub",N($X106),N($M106))&lt;1),"Vencida"&amp;" · ","")&amp;IF(AND(ObsObligatoria="Sí",ISNUMBER($AN106),$AN106&lt;FechaRef,IF($V106="Sub",N($X106),N($M106))&lt;1,$Q106=""),"Vencida sin observación"&amp;" · ",""))="","✔ OK","⚠ "&amp;LEFT(IF($C106="","Falta el nombre de la actividad"&amp;" · ","")&amp;IF(AND($V106="Sub",N($U106)=0),"Subactividad sin macroactividad arriba"&amp;" · ","")&amp;IF($AM106="","Sin fecha de inicio"&amp;" · ","")&amp;IF($AN106="","Sin fecha límite"&amp;" · ","")&amp;IF(AND(LEFT($C106,11)="[Jefatura] ",N($AL106)=0),"No se encuentra en la hoja de la jefatura (elíjala de nuevo en la lista)"&amp;" · ","")&amp;IF(OR(AND($E106&lt;&gt;"",NOT(ISNUMBER($E106))),AND($F106&lt;&gt;"",NOT(ISNUMBER($F106))),AND($G106&lt;&gt;"",NOT(ISNUMBER($G106)))),"Fecha no válida"&amp;" · ","")&amp;IF(AND(ISNUMBER($AM106),ISNUMBER($AN106),$AM106&gt;$AN106),"Inicio posterior a fecha límite"&amp;" · ","")&amp;IF(AND($V106="Macro",$H106&lt;&gt;"",OR(NOT(ISNUMBER($H106)),$H106&lt;0,$H106&gt;1)),"Peso fuera de rango"&amp;" · ","")&amp;IF(AND($V106="Sub",$H106&lt;&gt;""),"Las subactividades no llevan peso (valen igual dentro de su macroactividad)"&amp;" · ","")&amp;IF(AND(N($W106)&gt;0,COUNT($I106:$L106)&gt;0),"Con subactividades: deje vacías las semanas (se calculan solas)"&amp;" · ","")&amp;IF((COUNTIF($I106:$L106,"&gt;1")+COUNTIF($I106:$L106,"&lt;0")+COUNTA($I106:$L106)-COUNT($I106:$L106))&gt;0,"Avance fuera de rango 0-100%"&amp;" · ","")&amp;IF(OR(AND($J106&lt;&gt;"",$J106&lt;$I106),AND($K106&lt;&gt;"",$K106&lt;MAX($I106:$J106)),AND($L106&lt;&gt;"",$L106&lt;MAX($I106:$K106))),"Avance semanal decreciente"&amp;" · ","")&amp;IF(AND(ISNUMBER($AN106),$AN106&lt;FechaRef,IF($V106="Sub",N($X106),N($M106))&lt;1),"Vencida"&amp;" · ","")&amp;IF(AND(ObsObligatoria="Sí",ISNUMBER($AN106),$AN106&lt;FechaRef,IF($V106="Sub",N($X106),N($M106))&lt;1,$Q106=""),"Vencida sin observación"&amp;" · ",""),LEN(IF($C106="","Falta el nombre de la actividad"&amp;" · ","")&amp;IF(AND($V106="Sub",N($U106)=0),"Subactividad sin macroactividad arriba"&amp;" · ","")&amp;IF($AM106="","Sin fecha de inicio"&amp;" · ","")&amp;IF($AN106="","Sin fecha límite"&amp;" · ","")&amp;IF(AND(LEFT($C106,11)="[Jefatura] ",N($AL106)=0),"No se encuentra en la hoja de la jefatura (elíjala de nuevo en la lista)"&amp;" · ","")&amp;IF(OR(AND($E106&lt;&gt;"",NOT(ISNUMBER($E106))),AND($F106&lt;&gt;"",NOT(ISNUMBER($F106))),AND($G106&lt;&gt;"",NOT(ISNUMBER($G106)))),"Fecha no válida"&amp;" · ","")&amp;IF(AND(ISNUMBER($AM106),ISNUMBER($AN106),$AM106&gt;$AN106),"Inicio posterior a fecha límite"&amp;" · ","")&amp;IF(AND($V106="Macro",$H106&lt;&gt;"",OR(NOT(ISNUMBER($H106)),$H106&lt;0,$H106&gt;1)),"Peso fuera de rango"&amp;" · ","")&amp;IF(AND($V106="Sub",$H106&lt;&gt;""),"Las subactividades no llevan peso (valen igual dentro de su macroactividad)"&amp;" · ","")&amp;IF(AND(N($W106)&gt;0,COUNT($I106:$L106)&gt;0),"Con subactividades: deje vacías las semanas (se calculan solas)"&amp;" · ","")&amp;IF((COUNTIF($I106:$L106,"&gt;1")+COUNTIF($I106:$L106,"&lt;0")+COUNTA($I106:$L106)-COUNT($I106:$L106))&gt;0,"Avance fuera de rango 0-100%"&amp;" · ","")&amp;IF(OR(AND($J106&lt;&gt;"",$J106&lt;$I106),AND($K106&lt;&gt;"",$K106&lt;MAX($I106:$J106)),AND($L106&lt;&gt;"",$L106&lt;MAX($I106:$K106))),"Avance semanal decreciente"&amp;" · ","")&amp;IF(AND(ISNUMBER($AN106),$AN106&lt;FechaRef,IF($V106="Sub",N($X106),N($M106))&lt;1),"Vencida"&amp;" · ","")&amp;IF(AND(ObsObligatoria="Sí",ISNUMBER($AN106),$AN106&lt;FechaRef,IF($V106="Sub",N($X106),N($M106))&lt;1,$Q106=""),"Vencida sin observación"&amp;" · ",""))-3)))</f>
        <v/>
      </c>
      <c r="S106" s="64">
        <f>IF(NOT((COUNTA($B106:$D106)+COUNTA($G106:$L106)+COUNTA($Q106))&gt;0),"",IF(AND($V106="Sub",N($U106)&gt;0),IF(ISNUMBER(INDEX($AM$5:$AM$1000,$U106-4)),DATE(YEAR(INDEX($AM$5:$AM$1000,$U106-4)),MONTH(INDEX($AM$5:$AM$1000,$U106-4)),1),IF(ISNUMBER(INDEX($AN$5:$AN$1000,$U106-4)),DATE(YEAR(INDEX($AN$5:$AN$1000,$U106-4)),MONTH(INDEX($AN$5:$AN$1000,$U106-4)),1),MesCiclo)),IF(ISNUMBER($AM106),DATE(YEAR($AM106),MONTH($AM106),1),IF(ISNUMBER($AN106),DATE(YEAR($AN106),MONTH($AN106),1),MesCiclo))))</f>
        <v/>
      </c>
      <c r="T106" s="62">
        <f>IF(OR($S106="",$S106&lt;&gt;MesCiclo,$V106&lt;&gt;"Macro"),"",COUNTIFS($S$5:$S106,MesCiclo,$V$5:$V106,"Macro"))</f>
        <v/>
      </c>
      <c r="U106" s="62">
        <f>IF($V106="","",IF($V106="Macro",ROW(),IFERROR(LOOKUP(2,1/($V$5:$V106="Macro"),ROW($V$5:$V106)),0)))</f>
        <v/>
      </c>
      <c r="V106" s="62">
        <f>IF(NOT((COUNTA($B106:$D106)+COUNTA($G106:$L106)+COUNTA($Q106))&gt;0),"",IF($B106="Subactividad","Sub","Macro"))</f>
        <v/>
      </c>
      <c r="W106" s="62">
        <f>IF($V106="Macro",COUNTIFS($U$5:$U$1000,ROW(),$V$5:$V$1000,"Sub"),"")</f>
        <v/>
      </c>
      <c r="X106" s="62">
        <f>IF($V106="","",IF(ISNUMBER($G106),1,IFERROR(LOOKUP(2,1/($I106:$L106&lt;&gt;""),$I106:$L106),0)))</f>
        <v/>
      </c>
      <c r="Y106" s="62">
        <f>IF($V106="","",IF(AND(ISNUMBER($G106),$G106&lt;=IF($S106=MesCiclo,InicioCiclo,$S106+MOD(2-WEEKDAY($S106),7))+6),1,IF(ISNUMBER($I106),$I106,0)))</f>
        <v/>
      </c>
      <c r="Z106" s="62">
        <f>IF($V106="","",IF(AND(ISNUMBER($G106),$G106&lt;=IF($S106=MesCiclo,InicioCiclo,$S106+MOD(2-WEEKDAY($S106),7))+13),1,IF(ISNUMBER($J106),$J106,$Y106)))</f>
        <v/>
      </c>
      <c r="AA106" s="62">
        <f>IF($V106="","",IF(AND(ISNUMBER($G106),$G106&lt;=IF($S106=MesCiclo,InicioCiclo,$S106+MOD(2-WEEKDAY($S106),7))+20),1,IF(ISNUMBER($K106),$K106,$Z106)))</f>
        <v/>
      </c>
      <c r="AB106" s="62">
        <f>IF($V106="","",IF(AND(ISNUMBER($G106),$G106&lt;=IF($S106=MesCiclo,InicioCiclo,$S106+MOD(2-WEEKDAY($S106),7))+27),1,IF(ISNUMBER($L106),$L106,$AA106)))</f>
        <v/>
      </c>
      <c r="AC106" s="62">
        <f>IF($V106="","",IF(AND(ISNUMBER($G106),$G106&lt;=IF($S106=MesCiclo,InicioCiclo,$S106+MOD(2-WEEKDAY($S106),7))+6),1,IF(N($W106)&gt;0,AVERAGEIFS($Y$5:$Y$1000,$U$5:$U$1000,ROW(),$V$5:$V$1000,"Sub"),$Y106)))</f>
        <v/>
      </c>
      <c r="AD106" s="62">
        <f>IF($V106="","",IF(AND(ISNUMBER($G106),$G106&lt;=IF($S106=MesCiclo,InicioCiclo,$S106+MOD(2-WEEKDAY($S106),7))+13),1,IF(N($W106)&gt;0,AVERAGEIFS($Z$5:$Z$1000,$U$5:$U$1000,ROW(),$V$5:$V$1000,"Sub"),$Z106)))</f>
        <v/>
      </c>
      <c r="AE106" s="62">
        <f>IF($V106="","",IF(AND(ISNUMBER($G106),$G106&lt;=IF($S106=MesCiclo,InicioCiclo,$S106+MOD(2-WEEKDAY($S106),7))+20),1,IF(N($W106)&gt;0,AVERAGEIFS($AA$5:$AA$1000,$U$5:$U$1000,ROW(),$V$5:$V$1000,"Sub"),$AA106)))</f>
        <v/>
      </c>
      <c r="AF106" s="62">
        <f>IF($V106="","",IF(AND(ISNUMBER($G106),$G106&lt;=IF($S106=MesCiclo,InicioCiclo,$S106+MOD(2-WEEKDAY($S106),7))+27),1,IF(N($W106)&gt;0,AVERAGEIFS($AB$5:$AB$1000,$U$5:$U$1000,ROW(),$V$5:$V$1000,"Sub"),$AB106)))</f>
        <v/>
      </c>
      <c r="AG106" s="62">
        <f>IF($V106&lt;&gt;"Macro","",IF(COUNTIFS($S$5:$S$1000,$S106,$V$5:$V$1000,"Macro",$H$5:$H$1000,"&gt;0")=0,1/COUNTIFS($S$5:$S$1000,$S106,$V$5:$V$1000,"Macro"),IF(AND(ISNUMBER($H106),N($H106)&gt;0),$H106,SUMIFS($H$5:$H$1000,$S$5:$S$1000,$S106,$V$5:$V$1000,"Macro")/COUNTIFS($S$5:$S$1000,$S106,$V$5:$V$1000,"Macro",$H$5:$H$1000,"&gt;0"))/(COUNTIFS($S$5:$S$1000,$S106,$V$5:$V$1000,"Macro")*SUMIFS($H$5:$H$1000,$S$5:$S$1000,$S106,$V$5:$V$1000,"Macro")/COUNTIFS($S$5:$S$1000,$S106,$V$5:$V$1000,"Macro",$H$5:$H$1000,"&gt;0"))))</f>
        <v/>
      </c>
      <c r="AH106" s="62" t="n"/>
      <c r="AI106" s="62" t="n"/>
      <c r="AJ106" s="62" t="n"/>
      <c r="AK106" s="62" t="n"/>
      <c r="AL106" s="62">
        <f>IF(LEFT($C106,11)="[Jefatura] ",IFERROR(MATCH("Riesgo Operacional|"&amp;MID($C106,12,500),rDname_ADM,0),0),"")</f>
        <v/>
      </c>
      <c r="AM106" s="62">
        <f>IF(N($AL106)&gt;0,INDEX(rIni_ADM,$AL106),IF(ISNUMBER($E106),$E106,""))</f>
        <v/>
      </c>
      <c r="AN106" s="62">
        <f>IF(N($AL106)&gt;0,INDEX(rLim_ADM,$AL106),IF(ISNUMBER($F106),$F106,""))</f>
        <v/>
      </c>
    </row>
    <row r="107">
      <c r="A107" s="56">
        <f>IF(NOT((COUNTA($B107:$D107)+COUNTA($G107:$L107)+COUNTA($Q107))&gt;0),"",IF($V107="Macro",COUNTIFS($V$5:$V107,"Macro",$S$5:$S107,$S107),IF(N($U107)=0,"?",COUNTIFS(INDEX($V$5:$V$1000,1):INDEX($V$5:$V$1000,$U107-4),"Macro",INDEX($S$5:$S$1000,1):INDEX($S$5:$S$1000,$U107-4),INDEX($S$5:$S$1000,$U107-4))&amp;"."&amp;COUNTIFS($U$5:$U107,$U107,$V$5:$V107,"Sub"))))</f>
        <v/>
      </c>
      <c r="B107" s="57" t="n"/>
      <c r="C107" s="58" t="n"/>
      <c r="D107" s="58" t="n"/>
      <c r="E107" s="59">
        <f>IF(N($AL107)&gt;0,INDEX(rIni_ADM,$AL107),"")</f>
        <v/>
      </c>
      <c r="F107" s="59">
        <f>IF(N($AL107)&gt;0,INDEX(rLim_ADM,$AL107),"")</f>
        <v/>
      </c>
      <c r="G107" s="59" t="n"/>
      <c r="H107" s="60" t="n"/>
      <c r="I107" s="60" t="n"/>
      <c r="J107" s="60" t="n"/>
      <c r="K107" s="60" t="n"/>
      <c r="L107" s="60" t="n"/>
      <c r="M107" s="61">
        <f>IF(NOT((COUNTA($B107:$D107)+COUNTA($G107:$L107)+COUNTA($Q107))&gt;0),"",IF($V107="Sub",IFERROR($X107/INDEX($W$5:$W$1000,$U107-4),""),IF(ISNUMBER($G107),1,IF(N($W107)&gt;0,AVERAGEIFS($X$5:$X$1000,$U$5:$U$1000,ROW(),$V$5:$V$1000,"Sub"),$X107))))</f>
        <v/>
      </c>
      <c r="N107" s="56">
        <f>IF(OR($M107="",$V107="Sub"),"",IF($M107&gt;=1,"Completado",IF($M107&gt;0,"En curso","Pendiente")))</f>
        <v/>
      </c>
      <c r="O107" s="56">
        <f>IF(OR(NOT((COUNTA($B107:$D107)+COUNTA($G107:$L107)+COUNTA($Q107))&gt;0),$V107="Sub"),"",IF(ISNUMBER($G107),IF(AND(ISNUMBER($AN107),$G107&gt;$AN107),"Cumplida con "&amp;($G107-$AN107)&amp;IF($G107-$AN107=1," día"," días")&amp;" de retraso","Cumplida"),IF(N($M107)&gt;=1,"Cumplida",IF(NOT(ISNUMBER($AN107)),"Sin fecha límite",IF($AN107&lt;FechaRef,"Vencida hace "&amp;(FechaRef-$AN107)&amp;IF(FechaRef-$AN107=1," día"," días"),IF($AN107=FechaRef,"Vence hoy",IF($AN107-FechaRef&lt;=DiasAlerta,"Vence en "&amp;($AN107-FechaRef)&amp;IF($AN107-FechaRef=1," día"," días"),"En plazo")))))))</f>
        <v/>
      </c>
      <c r="P107" s="62" t="n"/>
      <c r="Q107" s="58" t="n"/>
      <c r="R107" s="63">
        <f>IF(NOT((COUNTA($B107:$D107)+COUNTA($G107:$L107)+COUNTA($Q107))&gt;0),"",IF((IF($C107="","Falta el nombre de la actividad"&amp;" · ","")&amp;IF(AND($V107="Sub",N($U107)=0),"Subactividad sin macroactividad arriba"&amp;" · ","")&amp;IF($AM107="","Sin fecha de inicio"&amp;" · ","")&amp;IF($AN107="","Sin fecha límite"&amp;" · ","")&amp;IF(AND(LEFT($C107,11)="[Jefatura] ",N($AL107)=0),"No se encuentra en la hoja de la jefatura (elíjala de nuevo en la lista)"&amp;" · ","")&amp;IF(OR(AND($E107&lt;&gt;"",NOT(ISNUMBER($E107))),AND($F107&lt;&gt;"",NOT(ISNUMBER($F107))),AND($G107&lt;&gt;"",NOT(ISNUMBER($G107)))),"Fecha no válida"&amp;" · ","")&amp;IF(AND(ISNUMBER($AM107),ISNUMBER($AN107),$AM107&gt;$AN107),"Inicio posterior a fecha límite"&amp;" · ","")&amp;IF(AND($V107="Macro",$H107&lt;&gt;"",OR(NOT(ISNUMBER($H107)),$H107&lt;0,$H107&gt;1)),"Peso fuera de rango"&amp;" · ","")&amp;IF(AND($V107="Sub",$H107&lt;&gt;""),"Las subactividades no llevan peso (valen igual dentro de su macroactividad)"&amp;" · ","")&amp;IF(AND(N($W107)&gt;0,COUNT($I107:$L107)&gt;0),"Con subactividades: deje vacías las semanas (se calculan solas)"&amp;" · ","")&amp;IF((COUNTIF($I107:$L107,"&gt;1")+COUNTIF($I107:$L107,"&lt;0")+COUNTA($I107:$L107)-COUNT($I107:$L107))&gt;0,"Avance fuera de rango 0-100%"&amp;" · ","")&amp;IF(OR(AND($J107&lt;&gt;"",$J107&lt;$I107),AND($K107&lt;&gt;"",$K107&lt;MAX($I107:$J107)),AND($L107&lt;&gt;"",$L107&lt;MAX($I107:$K107))),"Avance semanal decreciente"&amp;" · ","")&amp;IF(AND(ISNUMBER($AN107),$AN107&lt;FechaRef,IF($V107="Sub",N($X107),N($M107))&lt;1),"Vencida"&amp;" · ","")&amp;IF(AND(ObsObligatoria="Sí",ISNUMBER($AN107),$AN107&lt;FechaRef,IF($V107="Sub",N($X107),N($M107))&lt;1,$Q107=""),"Vencida sin observación"&amp;" · ",""))="","✔ OK","⚠ "&amp;LEFT(IF($C107="","Falta el nombre de la actividad"&amp;" · ","")&amp;IF(AND($V107="Sub",N($U107)=0),"Subactividad sin macroactividad arriba"&amp;" · ","")&amp;IF($AM107="","Sin fecha de inicio"&amp;" · ","")&amp;IF($AN107="","Sin fecha límite"&amp;" · ","")&amp;IF(AND(LEFT($C107,11)="[Jefatura] ",N($AL107)=0),"No se encuentra en la hoja de la jefatura (elíjala de nuevo en la lista)"&amp;" · ","")&amp;IF(OR(AND($E107&lt;&gt;"",NOT(ISNUMBER($E107))),AND($F107&lt;&gt;"",NOT(ISNUMBER($F107))),AND($G107&lt;&gt;"",NOT(ISNUMBER($G107)))),"Fecha no válida"&amp;" · ","")&amp;IF(AND(ISNUMBER($AM107),ISNUMBER($AN107),$AM107&gt;$AN107),"Inicio posterior a fecha límite"&amp;" · ","")&amp;IF(AND($V107="Macro",$H107&lt;&gt;"",OR(NOT(ISNUMBER($H107)),$H107&lt;0,$H107&gt;1)),"Peso fuera de rango"&amp;" · ","")&amp;IF(AND($V107="Sub",$H107&lt;&gt;""),"Las subactividades no llevan peso (valen igual dentro de su macroactividad)"&amp;" · ","")&amp;IF(AND(N($W107)&gt;0,COUNT($I107:$L107)&gt;0),"Con subactividades: deje vacías las semanas (se calculan solas)"&amp;" · ","")&amp;IF((COUNTIF($I107:$L107,"&gt;1")+COUNTIF($I107:$L107,"&lt;0")+COUNTA($I107:$L107)-COUNT($I107:$L107))&gt;0,"Avance fuera de rango 0-100%"&amp;" · ","")&amp;IF(OR(AND($J107&lt;&gt;"",$J107&lt;$I107),AND($K107&lt;&gt;"",$K107&lt;MAX($I107:$J107)),AND($L107&lt;&gt;"",$L107&lt;MAX($I107:$K107))),"Avance semanal decreciente"&amp;" · ","")&amp;IF(AND(ISNUMBER($AN107),$AN107&lt;FechaRef,IF($V107="Sub",N($X107),N($M107))&lt;1),"Vencida"&amp;" · ","")&amp;IF(AND(ObsObligatoria="Sí",ISNUMBER($AN107),$AN107&lt;FechaRef,IF($V107="Sub",N($X107),N($M107))&lt;1,$Q107=""),"Vencida sin observación"&amp;" · ",""),LEN(IF($C107="","Falta el nombre de la actividad"&amp;" · ","")&amp;IF(AND($V107="Sub",N($U107)=0),"Subactividad sin macroactividad arriba"&amp;" · ","")&amp;IF($AM107="","Sin fecha de inicio"&amp;" · ","")&amp;IF($AN107="","Sin fecha límite"&amp;" · ","")&amp;IF(AND(LEFT($C107,11)="[Jefatura] ",N($AL107)=0),"No se encuentra en la hoja de la jefatura (elíjala de nuevo en la lista)"&amp;" · ","")&amp;IF(OR(AND($E107&lt;&gt;"",NOT(ISNUMBER($E107))),AND($F107&lt;&gt;"",NOT(ISNUMBER($F107))),AND($G107&lt;&gt;"",NOT(ISNUMBER($G107)))),"Fecha no válida"&amp;" · ","")&amp;IF(AND(ISNUMBER($AM107),ISNUMBER($AN107),$AM107&gt;$AN107),"Inicio posterior a fecha límite"&amp;" · ","")&amp;IF(AND($V107="Macro",$H107&lt;&gt;"",OR(NOT(ISNUMBER($H107)),$H107&lt;0,$H107&gt;1)),"Peso fuera de rango"&amp;" · ","")&amp;IF(AND($V107="Sub",$H107&lt;&gt;""),"Las subactividades no llevan peso (valen igual dentro de su macroactividad)"&amp;" · ","")&amp;IF(AND(N($W107)&gt;0,COUNT($I107:$L107)&gt;0),"Con subactividades: deje vacías las semanas (se calculan solas)"&amp;" · ","")&amp;IF((COUNTIF($I107:$L107,"&gt;1")+COUNTIF($I107:$L107,"&lt;0")+COUNTA($I107:$L107)-COUNT($I107:$L107))&gt;0,"Avance fuera de rango 0-100%"&amp;" · ","")&amp;IF(OR(AND($J107&lt;&gt;"",$J107&lt;$I107),AND($K107&lt;&gt;"",$K107&lt;MAX($I107:$J107)),AND($L107&lt;&gt;"",$L107&lt;MAX($I107:$K107))),"Avance semanal decreciente"&amp;" · ","")&amp;IF(AND(ISNUMBER($AN107),$AN107&lt;FechaRef,IF($V107="Sub",N($X107),N($M107))&lt;1),"Vencida"&amp;" · ","")&amp;IF(AND(ObsObligatoria="Sí",ISNUMBER($AN107),$AN107&lt;FechaRef,IF($V107="Sub",N($X107),N($M107))&lt;1,$Q107=""),"Vencida sin observación"&amp;" · ",""))-3)))</f>
        <v/>
      </c>
      <c r="S107" s="64">
        <f>IF(NOT((COUNTA($B107:$D107)+COUNTA($G107:$L107)+COUNTA($Q107))&gt;0),"",IF(AND($V107="Sub",N($U107)&gt;0),IF(ISNUMBER(INDEX($AM$5:$AM$1000,$U107-4)),DATE(YEAR(INDEX($AM$5:$AM$1000,$U107-4)),MONTH(INDEX($AM$5:$AM$1000,$U107-4)),1),IF(ISNUMBER(INDEX($AN$5:$AN$1000,$U107-4)),DATE(YEAR(INDEX($AN$5:$AN$1000,$U107-4)),MONTH(INDEX($AN$5:$AN$1000,$U107-4)),1),MesCiclo)),IF(ISNUMBER($AM107),DATE(YEAR($AM107),MONTH($AM107),1),IF(ISNUMBER($AN107),DATE(YEAR($AN107),MONTH($AN107),1),MesCiclo))))</f>
        <v/>
      </c>
      <c r="T107" s="62">
        <f>IF(OR($S107="",$S107&lt;&gt;MesCiclo,$V107&lt;&gt;"Macro"),"",COUNTIFS($S$5:$S107,MesCiclo,$V$5:$V107,"Macro"))</f>
        <v/>
      </c>
      <c r="U107" s="62">
        <f>IF($V107="","",IF($V107="Macro",ROW(),IFERROR(LOOKUP(2,1/($V$5:$V107="Macro"),ROW($V$5:$V107)),0)))</f>
        <v/>
      </c>
      <c r="V107" s="62">
        <f>IF(NOT((COUNTA($B107:$D107)+COUNTA($G107:$L107)+COUNTA($Q107))&gt;0),"",IF($B107="Subactividad","Sub","Macro"))</f>
        <v/>
      </c>
      <c r="W107" s="62">
        <f>IF($V107="Macro",COUNTIFS($U$5:$U$1000,ROW(),$V$5:$V$1000,"Sub"),"")</f>
        <v/>
      </c>
      <c r="X107" s="62">
        <f>IF($V107="","",IF(ISNUMBER($G107),1,IFERROR(LOOKUP(2,1/($I107:$L107&lt;&gt;""),$I107:$L107),0)))</f>
        <v/>
      </c>
      <c r="Y107" s="62">
        <f>IF($V107="","",IF(AND(ISNUMBER($G107),$G107&lt;=IF($S107=MesCiclo,InicioCiclo,$S107+MOD(2-WEEKDAY($S107),7))+6),1,IF(ISNUMBER($I107),$I107,0)))</f>
        <v/>
      </c>
      <c r="Z107" s="62">
        <f>IF($V107="","",IF(AND(ISNUMBER($G107),$G107&lt;=IF($S107=MesCiclo,InicioCiclo,$S107+MOD(2-WEEKDAY($S107),7))+13),1,IF(ISNUMBER($J107),$J107,$Y107)))</f>
        <v/>
      </c>
      <c r="AA107" s="62">
        <f>IF($V107="","",IF(AND(ISNUMBER($G107),$G107&lt;=IF($S107=MesCiclo,InicioCiclo,$S107+MOD(2-WEEKDAY($S107),7))+20),1,IF(ISNUMBER($K107),$K107,$Z107)))</f>
        <v/>
      </c>
      <c r="AB107" s="62">
        <f>IF($V107="","",IF(AND(ISNUMBER($G107),$G107&lt;=IF($S107=MesCiclo,InicioCiclo,$S107+MOD(2-WEEKDAY($S107),7))+27),1,IF(ISNUMBER($L107),$L107,$AA107)))</f>
        <v/>
      </c>
      <c r="AC107" s="62">
        <f>IF($V107="","",IF(AND(ISNUMBER($G107),$G107&lt;=IF($S107=MesCiclo,InicioCiclo,$S107+MOD(2-WEEKDAY($S107),7))+6),1,IF(N($W107)&gt;0,AVERAGEIFS($Y$5:$Y$1000,$U$5:$U$1000,ROW(),$V$5:$V$1000,"Sub"),$Y107)))</f>
        <v/>
      </c>
      <c r="AD107" s="62">
        <f>IF($V107="","",IF(AND(ISNUMBER($G107),$G107&lt;=IF($S107=MesCiclo,InicioCiclo,$S107+MOD(2-WEEKDAY($S107),7))+13),1,IF(N($W107)&gt;0,AVERAGEIFS($Z$5:$Z$1000,$U$5:$U$1000,ROW(),$V$5:$V$1000,"Sub"),$Z107)))</f>
        <v/>
      </c>
      <c r="AE107" s="62">
        <f>IF($V107="","",IF(AND(ISNUMBER($G107),$G107&lt;=IF($S107=MesCiclo,InicioCiclo,$S107+MOD(2-WEEKDAY($S107),7))+20),1,IF(N($W107)&gt;0,AVERAGEIFS($AA$5:$AA$1000,$U$5:$U$1000,ROW(),$V$5:$V$1000,"Sub"),$AA107)))</f>
        <v/>
      </c>
      <c r="AF107" s="62">
        <f>IF($V107="","",IF(AND(ISNUMBER($G107),$G107&lt;=IF($S107=MesCiclo,InicioCiclo,$S107+MOD(2-WEEKDAY($S107),7))+27),1,IF(N($W107)&gt;0,AVERAGEIFS($AB$5:$AB$1000,$U$5:$U$1000,ROW(),$V$5:$V$1000,"Sub"),$AB107)))</f>
        <v/>
      </c>
      <c r="AG107" s="62">
        <f>IF($V107&lt;&gt;"Macro","",IF(COUNTIFS($S$5:$S$1000,$S107,$V$5:$V$1000,"Macro",$H$5:$H$1000,"&gt;0")=0,1/COUNTIFS($S$5:$S$1000,$S107,$V$5:$V$1000,"Macro"),IF(AND(ISNUMBER($H107),N($H107)&gt;0),$H107,SUMIFS($H$5:$H$1000,$S$5:$S$1000,$S107,$V$5:$V$1000,"Macro")/COUNTIFS($S$5:$S$1000,$S107,$V$5:$V$1000,"Macro",$H$5:$H$1000,"&gt;0"))/(COUNTIFS($S$5:$S$1000,$S107,$V$5:$V$1000,"Macro")*SUMIFS($H$5:$H$1000,$S$5:$S$1000,$S107,$V$5:$V$1000,"Macro")/COUNTIFS($S$5:$S$1000,$S107,$V$5:$V$1000,"Macro",$H$5:$H$1000,"&gt;0"))))</f>
        <v/>
      </c>
      <c r="AH107" s="62" t="n"/>
      <c r="AI107" s="62" t="n"/>
      <c r="AJ107" s="62" t="n"/>
      <c r="AK107" s="62" t="n"/>
      <c r="AL107" s="62">
        <f>IF(LEFT($C107,11)="[Jefatura] ",IFERROR(MATCH("Riesgo Operacional|"&amp;MID($C107,12,500),rDname_ADM,0),0),"")</f>
        <v/>
      </c>
      <c r="AM107" s="62">
        <f>IF(N($AL107)&gt;0,INDEX(rIni_ADM,$AL107),IF(ISNUMBER($E107),$E107,""))</f>
        <v/>
      </c>
      <c r="AN107" s="62">
        <f>IF(N($AL107)&gt;0,INDEX(rLim_ADM,$AL107),IF(ISNUMBER($F107),$F107,""))</f>
        <v/>
      </c>
    </row>
    <row r="108">
      <c r="A108" s="56">
        <f>IF(NOT((COUNTA($B108:$D108)+COUNTA($G108:$L108)+COUNTA($Q108))&gt;0),"",IF($V108="Macro",COUNTIFS($V$5:$V108,"Macro",$S$5:$S108,$S108),IF(N($U108)=0,"?",COUNTIFS(INDEX($V$5:$V$1000,1):INDEX($V$5:$V$1000,$U108-4),"Macro",INDEX($S$5:$S$1000,1):INDEX($S$5:$S$1000,$U108-4),INDEX($S$5:$S$1000,$U108-4))&amp;"."&amp;COUNTIFS($U$5:$U108,$U108,$V$5:$V108,"Sub"))))</f>
        <v/>
      </c>
      <c r="B108" s="57" t="n"/>
      <c r="C108" s="58" t="n"/>
      <c r="D108" s="58" t="n"/>
      <c r="E108" s="59">
        <f>IF(N($AL108)&gt;0,INDEX(rIni_ADM,$AL108),"")</f>
        <v/>
      </c>
      <c r="F108" s="59">
        <f>IF(N($AL108)&gt;0,INDEX(rLim_ADM,$AL108),"")</f>
        <v/>
      </c>
      <c r="G108" s="59" t="n"/>
      <c r="H108" s="60" t="n"/>
      <c r="I108" s="60" t="n"/>
      <c r="J108" s="60" t="n"/>
      <c r="K108" s="60" t="n"/>
      <c r="L108" s="60" t="n"/>
      <c r="M108" s="61">
        <f>IF(NOT((COUNTA($B108:$D108)+COUNTA($G108:$L108)+COUNTA($Q108))&gt;0),"",IF($V108="Sub",IFERROR($X108/INDEX($W$5:$W$1000,$U108-4),""),IF(ISNUMBER($G108),1,IF(N($W108)&gt;0,AVERAGEIFS($X$5:$X$1000,$U$5:$U$1000,ROW(),$V$5:$V$1000,"Sub"),$X108))))</f>
        <v/>
      </c>
      <c r="N108" s="56">
        <f>IF(OR($M108="",$V108="Sub"),"",IF($M108&gt;=1,"Completado",IF($M108&gt;0,"En curso","Pendiente")))</f>
        <v/>
      </c>
      <c r="O108" s="56">
        <f>IF(OR(NOT((COUNTA($B108:$D108)+COUNTA($G108:$L108)+COUNTA($Q108))&gt;0),$V108="Sub"),"",IF(ISNUMBER($G108),IF(AND(ISNUMBER($AN108),$G108&gt;$AN108),"Cumplida con "&amp;($G108-$AN108)&amp;IF($G108-$AN108=1," día"," días")&amp;" de retraso","Cumplida"),IF(N($M108)&gt;=1,"Cumplida",IF(NOT(ISNUMBER($AN108)),"Sin fecha límite",IF($AN108&lt;FechaRef,"Vencida hace "&amp;(FechaRef-$AN108)&amp;IF(FechaRef-$AN108=1," día"," días"),IF($AN108=FechaRef,"Vence hoy",IF($AN108-FechaRef&lt;=DiasAlerta,"Vence en "&amp;($AN108-FechaRef)&amp;IF($AN108-FechaRef=1," día"," días"),"En plazo")))))))</f>
        <v/>
      </c>
      <c r="P108" s="62" t="n"/>
      <c r="Q108" s="58" t="n"/>
      <c r="R108" s="63">
        <f>IF(NOT((COUNTA($B108:$D108)+COUNTA($G108:$L108)+COUNTA($Q108))&gt;0),"",IF((IF($C108="","Falta el nombre de la actividad"&amp;" · ","")&amp;IF(AND($V108="Sub",N($U108)=0),"Subactividad sin macroactividad arriba"&amp;" · ","")&amp;IF($AM108="","Sin fecha de inicio"&amp;" · ","")&amp;IF($AN108="","Sin fecha límite"&amp;" · ","")&amp;IF(AND(LEFT($C108,11)="[Jefatura] ",N($AL108)=0),"No se encuentra en la hoja de la jefatura (elíjala de nuevo en la lista)"&amp;" · ","")&amp;IF(OR(AND($E108&lt;&gt;"",NOT(ISNUMBER($E108))),AND($F108&lt;&gt;"",NOT(ISNUMBER($F108))),AND($G108&lt;&gt;"",NOT(ISNUMBER($G108)))),"Fecha no válida"&amp;" · ","")&amp;IF(AND(ISNUMBER($AM108),ISNUMBER($AN108),$AM108&gt;$AN108),"Inicio posterior a fecha límite"&amp;" · ","")&amp;IF(AND($V108="Macro",$H108&lt;&gt;"",OR(NOT(ISNUMBER($H108)),$H108&lt;0,$H108&gt;1)),"Peso fuera de rango"&amp;" · ","")&amp;IF(AND($V108="Sub",$H108&lt;&gt;""),"Las subactividades no llevan peso (valen igual dentro de su macroactividad)"&amp;" · ","")&amp;IF(AND(N($W108)&gt;0,COUNT($I108:$L108)&gt;0),"Con subactividades: deje vacías las semanas (se calculan solas)"&amp;" · ","")&amp;IF((COUNTIF($I108:$L108,"&gt;1")+COUNTIF($I108:$L108,"&lt;0")+COUNTA($I108:$L108)-COUNT($I108:$L108))&gt;0,"Avance fuera de rango 0-100%"&amp;" · ","")&amp;IF(OR(AND($J108&lt;&gt;"",$J108&lt;$I108),AND($K108&lt;&gt;"",$K108&lt;MAX($I108:$J108)),AND($L108&lt;&gt;"",$L108&lt;MAX($I108:$K108))),"Avance semanal decreciente"&amp;" · ","")&amp;IF(AND(ISNUMBER($AN108),$AN108&lt;FechaRef,IF($V108="Sub",N($X108),N($M108))&lt;1),"Vencida"&amp;" · ","")&amp;IF(AND(ObsObligatoria="Sí",ISNUMBER($AN108),$AN108&lt;FechaRef,IF($V108="Sub",N($X108),N($M108))&lt;1,$Q108=""),"Vencida sin observación"&amp;" · ",""))="","✔ OK","⚠ "&amp;LEFT(IF($C108="","Falta el nombre de la actividad"&amp;" · ","")&amp;IF(AND($V108="Sub",N($U108)=0),"Subactividad sin macroactividad arriba"&amp;" · ","")&amp;IF($AM108="","Sin fecha de inicio"&amp;" · ","")&amp;IF($AN108="","Sin fecha límite"&amp;" · ","")&amp;IF(AND(LEFT($C108,11)="[Jefatura] ",N($AL108)=0),"No se encuentra en la hoja de la jefatura (elíjala de nuevo en la lista)"&amp;" · ","")&amp;IF(OR(AND($E108&lt;&gt;"",NOT(ISNUMBER($E108))),AND($F108&lt;&gt;"",NOT(ISNUMBER($F108))),AND($G108&lt;&gt;"",NOT(ISNUMBER($G108)))),"Fecha no válida"&amp;" · ","")&amp;IF(AND(ISNUMBER($AM108),ISNUMBER($AN108),$AM108&gt;$AN108),"Inicio posterior a fecha límite"&amp;" · ","")&amp;IF(AND($V108="Macro",$H108&lt;&gt;"",OR(NOT(ISNUMBER($H108)),$H108&lt;0,$H108&gt;1)),"Peso fuera de rango"&amp;" · ","")&amp;IF(AND($V108="Sub",$H108&lt;&gt;""),"Las subactividades no llevan peso (valen igual dentro de su macroactividad)"&amp;" · ","")&amp;IF(AND(N($W108)&gt;0,COUNT($I108:$L108)&gt;0),"Con subactividades: deje vacías las semanas (se calculan solas)"&amp;" · ","")&amp;IF((COUNTIF($I108:$L108,"&gt;1")+COUNTIF($I108:$L108,"&lt;0")+COUNTA($I108:$L108)-COUNT($I108:$L108))&gt;0,"Avance fuera de rango 0-100%"&amp;" · ","")&amp;IF(OR(AND($J108&lt;&gt;"",$J108&lt;$I108),AND($K108&lt;&gt;"",$K108&lt;MAX($I108:$J108)),AND($L108&lt;&gt;"",$L108&lt;MAX($I108:$K108))),"Avance semanal decreciente"&amp;" · ","")&amp;IF(AND(ISNUMBER($AN108),$AN108&lt;FechaRef,IF($V108="Sub",N($X108),N($M108))&lt;1),"Vencida"&amp;" · ","")&amp;IF(AND(ObsObligatoria="Sí",ISNUMBER($AN108),$AN108&lt;FechaRef,IF($V108="Sub",N($X108),N($M108))&lt;1,$Q108=""),"Vencida sin observación"&amp;" · ",""),LEN(IF($C108="","Falta el nombre de la actividad"&amp;" · ","")&amp;IF(AND($V108="Sub",N($U108)=0),"Subactividad sin macroactividad arriba"&amp;" · ","")&amp;IF($AM108="","Sin fecha de inicio"&amp;" · ","")&amp;IF($AN108="","Sin fecha límite"&amp;" · ","")&amp;IF(AND(LEFT($C108,11)="[Jefatura] ",N($AL108)=0),"No se encuentra en la hoja de la jefatura (elíjala de nuevo en la lista)"&amp;" · ","")&amp;IF(OR(AND($E108&lt;&gt;"",NOT(ISNUMBER($E108))),AND($F108&lt;&gt;"",NOT(ISNUMBER($F108))),AND($G108&lt;&gt;"",NOT(ISNUMBER($G108)))),"Fecha no válida"&amp;" · ","")&amp;IF(AND(ISNUMBER($AM108),ISNUMBER($AN108),$AM108&gt;$AN108),"Inicio posterior a fecha límite"&amp;" · ","")&amp;IF(AND($V108="Macro",$H108&lt;&gt;"",OR(NOT(ISNUMBER($H108)),$H108&lt;0,$H108&gt;1)),"Peso fuera de rango"&amp;" · ","")&amp;IF(AND($V108="Sub",$H108&lt;&gt;""),"Las subactividades no llevan peso (valen igual dentro de su macroactividad)"&amp;" · ","")&amp;IF(AND(N($W108)&gt;0,COUNT($I108:$L108)&gt;0),"Con subactividades: deje vacías las semanas (se calculan solas)"&amp;" · ","")&amp;IF((COUNTIF($I108:$L108,"&gt;1")+COUNTIF($I108:$L108,"&lt;0")+COUNTA($I108:$L108)-COUNT($I108:$L108))&gt;0,"Avance fuera de rango 0-100%"&amp;" · ","")&amp;IF(OR(AND($J108&lt;&gt;"",$J108&lt;$I108),AND($K108&lt;&gt;"",$K108&lt;MAX($I108:$J108)),AND($L108&lt;&gt;"",$L108&lt;MAX($I108:$K108))),"Avance semanal decreciente"&amp;" · ","")&amp;IF(AND(ISNUMBER($AN108),$AN108&lt;FechaRef,IF($V108="Sub",N($X108),N($M108))&lt;1),"Vencida"&amp;" · ","")&amp;IF(AND(ObsObligatoria="Sí",ISNUMBER($AN108),$AN108&lt;FechaRef,IF($V108="Sub",N($X108),N($M108))&lt;1,$Q108=""),"Vencida sin observación"&amp;" · ",""))-3)))</f>
        <v/>
      </c>
      <c r="S108" s="64">
        <f>IF(NOT((COUNTA($B108:$D108)+COUNTA($G108:$L108)+COUNTA($Q108))&gt;0),"",IF(AND($V108="Sub",N($U108)&gt;0),IF(ISNUMBER(INDEX($AM$5:$AM$1000,$U108-4)),DATE(YEAR(INDEX($AM$5:$AM$1000,$U108-4)),MONTH(INDEX($AM$5:$AM$1000,$U108-4)),1),IF(ISNUMBER(INDEX($AN$5:$AN$1000,$U108-4)),DATE(YEAR(INDEX($AN$5:$AN$1000,$U108-4)),MONTH(INDEX($AN$5:$AN$1000,$U108-4)),1),MesCiclo)),IF(ISNUMBER($AM108),DATE(YEAR($AM108),MONTH($AM108),1),IF(ISNUMBER($AN108),DATE(YEAR($AN108),MONTH($AN108),1),MesCiclo))))</f>
        <v/>
      </c>
      <c r="T108" s="62">
        <f>IF(OR($S108="",$S108&lt;&gt;MesCiclo,$V108&lt;&gt;"Macro"),"",COUNTIFS($S$5:$S108,MesCiclo,$V$5:$V108,"Macro"))</f>
        <v/>
      </c>
      <c r="U108" s="62">
        <f>IF($V108="","",IF($V108="Macro",ROW(),IFERROR(LOOKUP(2,1/($V$5:$V108="Macro"),ROW($V$5:$V108)),0)))</f>
        <v/>
      </c>
      <c r="V108" s="62">
        <f>IF(NOT((COUNTA($B108:$D108)+COUNTA($G108:$L108)+COUNTA($Q108))&gt;0),"",IF($B108="Subactividad","Sub","Macro"))</f>
        <v/>
      </c>
      <c r="W108" s="62">
        <f>IF($V108="Macro",COUNTIFS($U$5:$U$1000,ROW(),$V$5:$V$1000,"Sub"),"")</f>
        <v/>
      </c>
      <c r="X108" s="62">
        <f>IF($V108="","",IF(ISNUMBER($G108),1,IFERROR(LOOKUP(2,1/($I108:$L108&lt;&gt;""),$I108:$L108),0)))</f>
        <v/>
      </c>
      <c r="Y108" s="62">
        <f>IF($V108="","",IF(AND(ISNUMBER($G108),$G108&lt;=IF($S108=MesCiclo,InicioCiclo,$S108+MOD(2-WEEKDAY($S108),7))+6),1,IF(ISNUMBER($I108),$I108,0)))</f>
        <v/>
      </c>
      <c r="Z108" s="62">
        <f>IF($V108="","",IF(AND(ISNUMBER($G108),$G108&lt;=IF($S108=MesCiclo,InicioCiclo,$S108+MOD(2-WEEKDAY($S108),7))+13),1,IF(ISNUMBER($J108),$J108,$Y108)))</f>
        <v/>
      </c>
      <c r="AA108" s="62">
        <f>IF($V108="","",IF(AND(ISNUMBER($G108),$G108&lt;=IF($S108=MesCiclo,InicioCiclo,$S108+MOD(2-WEEKDAY($S108),7))+20),1,IF(ISNUMBER($K108),$K108,$Z108)))</f>
        <v/>
      </c>
      <c r="AB108" s="62">
        <f>IF($V108="","",IF(AND(ISNUMBER($G108),$G108&lt;=IF($S108=MesCiclo,InicioCiclo,$S108+MOD(2-WEEKDAY($S108),7))+27),1,IF(ISNUMBER($L108),$L108,$AA108)))</f>
        <v/>
      </c>
      <c r="AC108" s="62">
        <f>IF($V108="","",IF(AND(ISNUMBER($G108),$G108&lt;=IF($S108=MesCiclo,InicioCiclo,$S108+MOD(2-WEEKDAY($S108),7))+6),1,IF(N($W108)&gt;0,AVERAGEIFS($Y$5:$Y$1000,$U$5:$U$1000,ROW(),$V$5:$V$1000,"Sub"),$Y108)))</f>
        <v/>
      </c>
      <c r="AD108" s="62">
        <f>IF($V108="","",IF(AND(ISNUMBER($G108),$G108&lt;=IF($S108=MesCiclo,InicioCiclo,$S108+MOD(2-WEEKDAY($S108),7))+13),1,IF(N($W108)&gt;0,AVERAGEIFS($Z$5:$Z$1000,$U$5:$U$1000,ROW(),$V$5:$V$1000,"Sub"),$Z108)))</f>
        <v/>
      </c>
      <c r="AE108" s="62">
        <f>IF($V108="","",IF(AND(ISNUMBER($G108),$G108&lt;=IF($S108=MesCiclo,InicioCiclo,$S108+MOD(2-WEEKDAY($S108),7))+20),1,IF(N($W108)&gt;0,AVERAGEIFS($AA$5:$AA$1000,$U$5:$U$1000,ROW(),$V$5:$V$1000,"Sub"),$AA108)))</f>
        <v/>
      </c>
      <c r="AF108" s="62">
        <f>IF($V108="","",IF(AND(ISNUMBER($G108),$G108&lt;=IF($S108=MesCiclo,InicioCiclo,$S108+MOD(2-WEEKDAY($S108),7))+27),1,IF(N($W108)&gt;0,AVERAGEIFS($AB$5:$AB$1000,$U$5:$U$1000,ROW(),$V$5:$V$1000,"Sub"),$AB108)))</f>
        <v/>
      </c>
      <c r="AG108" s="62">
        <f>IF($V108&lt;&gt;"Macro","",IF(COUNTIFS($S$5:$S$1000,$S108,$V$5:$V$1000,"Macro",$H$5:$H$1000,"&gt;0")=0,1/COUNTIFS($S$5:$S$1000,$S108,$V$5:$V$1000,"Macro"),IF(AND(ISNUMBER($H108),N($H108)&gt;0),$H108,SUMIFS($H$5:$H$1000,$S$5:$S$1000,$S108,$V$5:$V$1000,"Macro")/COUNTIFS($S$5:$S$1000,$S108,$V$5:$V$1000,"Macro",$H$5:$H$1000,"&gt;0"))/(COUNTIFS($S$5:$S$1000,$S108,$V$5:$V$1000,"Macro")*SUMIFS($H$5:$H$1000,$S$5:$S$1000,$S108,$V$5:$V$1000,"Macro")/COUNTIFS($S$5:$S$1000,$S108,$V$5:$V$1000,"Macro",$H$5:$H$1000,"&gt;0"))))</f>
        <v/>
      </c>
      <c r="AH108" s="62" t="n"/>
      <c r="AI108" s="62" t="n"/>
      <c r="AJ108" s="62" t="n"/>
      <c r="AK108" s="62" t="n"/>
      <c r="AL108" s="62">
        <f>IF(LEFT($C108,11)="[Jefatura] ",IFERROR(MATCH("Riesgo Operacional|"&amp;MID($C108,12,500),rDname_ADM,0),0),"")</f>
        <v/>
      </c>
      <c r="AM108" s="62">
        <f>IF(N($AL108)&gt;0,INDEX(rIni_ADM,$AL108),IF(ISNUMBER($E108),$E108,""))</f>
        <v/>
      </c>
      <c r="AN108" s="62">
        <f>IF(N($AL108)&gt;0,INDEX(rLim_ADM,$AL108),IF(ISNUMBER($F108),$F108,""))</f>
        <v/>
      </c>
    </row>
    <row r="109">
      <c r="A109" s="56">
        <f>IF(NOT((COUNTA($B109:$D109)+COUNTA($G109:$L109)+COUNTA($Q109))&gt;0),"",IF($V109="Macro",COUNTIFS($V$5:$V109,"Macro",$S$5:$S109,$S109),IF(N($U109)=0,"?",COUNTIFS(INDEX($V$5:$V$1000,1):INDEX($V$5:$V$1000,$U109-4),"Macro",INDEX($S$5:$S$1000,1):INDEX($S$5:$S$1000,$U109-4),INDEX($S$5:$S$1000,$U109-4))&amp;"."&amp;COUNTIFS($U$5:$U109,$U109,$V$5:$V109,"Sub"))))</f>
        <v/>
      </c>
      <c r="B109" s="57" t="n"/>
      <c r="C109" s="58" t="n"/>
      <c r="D109" s="58" t="n"/>
      <c r="E109" s="59">
        <f>IF(N($AL109)&gt;0,INDEX(rIni_ADM,$AL109),"")</f>
        <v/>
      </c>
      <c r="F109" s="59">
        <f>IF(N($AL109)&gt;0,INDEX(rLim_ADM,$AL109),"")</f>
        <v/>
      </c>
      <c r="G109" s="59" t="n"/>
      <c r="H109" s="60" t="n"/>
      <c r="I109" s="60" t="n"/>
      <c r="J109" s="60" t="n"/>
      <c r="K109" s="60" t="n"/>
      <c r="L109" s="60" t="n"/>
      <c r="M109" s="61">
        <f>IF(NOT((COUNTA($B109:$D109)+COUNTA($G109:$L109)+COUNTA($Q109))&gt;0),"",IF($V109="Sub",IFERROR($X109/INDEX($W$5:$W$1000,$U109-4),""),IF(ISNUMBER($G109),1,IF(N($W109)&gt;0,AVERAGEIFS($X$5:$X$1000,$U$5:$U$1000,ROW(),$V$5:$V$1000,"Sub"),$X109))))</f>
        <v/>
      </c>
      <c r="N109" s="56">
        <f>IF(OR($M109="",$V109="Sub"),"",IF($M109&gt;=1,"Completado",IF($M109&gt;0,"En curso","Pendiente")))</f>
        <v/>
      </c>
      <c r="O109" s="56">
        <f>IF(OR(NOT((COUNTA($B109:$D109)+COUNTA($G109:$L109)+COUNTA($Q109))&gt;0),$V109="Sub"),"",IF(ISNUMBER($G109),IF(AND(ISNUMBER($AN109),$G109&gt;$AN109),"Cumplida con "&amp;($G109-$AN109)&amp;IF($G109-$AN109=1," día"," días")&amp;" de retraso","Cumplida"),IF(N($M109)&gt;=1,"Cumplida",IF(NOT(ISNUMBER($AN109)),"Sin fecha límite",IF($AN109&lt;FechaRef,"Vencida hace "&amp;(FechaRef-$AN109)&amp;IF(FechaRef-$AN109=1," día"," días"),IF($AN109=FechaRef,"Vence hoy",IF($AN109-FechaRef&lt;=DiasAlerta,"Vence en "&amp;($AN109-FechaRef)&amp;IF($AN109-FechaRef=1," día"," días"),"En plazo")))))))</f>
        <v/>
      </c>
      <c r="P109" s="62" t="n"/>
      <c r="Q109" s="58" t="n"/>
      <c r="R109" s="63">
        <f>IF(NOT((COUNTA($B109:$D109)+COUNTA($G109:$L109)+COUNTA($Q109))&gt;0),"",IF((IF($C109="","Falta el nombre de la actividad"&amp;" · ","")&amp;IF(AND($V109="Sub",N($U109)=0),"Subactividad sin macroactividad arriba"&amp;" · ","")&amp;IF($AM109="","Sin fecha de inicio"&amp;" · ","")&amp;IF($AN109="","Sin fecha límite"&amp;" · ","")&amp;IF(AND(LEFT($C109,11)="[Jefatura] ",N($AL109)=0),"No se encuentra en la hoja de la jefatura (elíjala de nuevo en la lista)"&amp;" · ","")&amp;IF(OR(AND($E109&lt;&gt;"",NOT(ISNUMBER($E109))),AND($F109&lt;&gt;"",NOT(ISNUMBER($F109))),AND($G109&lt;&gt;"",NOT(ISNUMBER($G109)))),"Fecha no válida"&amp;" · ","")&amp;IF(AND(ISNUMBER($AM109),ISNUMBER($AN109),$AM109&gt;$AN109),"Inicio posterior a fecha límite"&amp;" · ","")&amp;IF(AND($V109="Macro",$H109&lt;&gt;"",OR(NOT(ISNUMBER($H109)),$H109&lt;0,$H109&gt;1)),"Peso fuera de rango"&amp;" · ","")&amp;IF(AND($V109="Sub",$H109&lt;&gt;""),"Las subactividades no llevan peso (valen igual dentro de su macroactividad)"&amp;" · ","")&amp;IF(AND(N($W109)&gt;0,COUNT($I109:$L109)&gt;0),"Con subactividades: deje vacías las semanas (se calculan solas)"&amp;" · ","")&amp;IF((COUNTIF($I109:$L109,"&gt;1")+COUNTIF($I109:$L109,"&lt;0")+COUNTA($I109:$L109)-COUNT($I109:$L109))&gt;0,"Avance fuera de rango 0-100%"&amp;" · ","")&amp;IF(OR(AND($J109&lt;&gt;"",$J109&lt;$I109),AND($K109&lt;&gt;"",$K109&lt;MAX($I109:$J109)),AND($L109&lt;&gt;"",$L109&lt;MAX($I109:$K109))),"Avance semanal decreciente"&amp;" · ","")&amp;IF(AND(ISNUMBER($AN109),$AN109&lt;FechaRef,IF($V109="Sub",N($X109),N($M109))&lt;1),"Vencida"&amp;" · ","")&amp;IF(AND(ObsObligatoria="Sí",ISNUMBER($AN109),$AN109&lt;FechaRef,IF($V109="Sub",N($X109),N($M109))&lt;1,$Q109=""),"Vencida sin observación"&amp;" · ",""))="","✔ OK","⚠ "&amp;LEFT(IF($C109="","Falta el nombre de la actividad"&amp;" · ","")&amp;IF(AND($V109="Sub",N($U109)=0),"Subactividad sin macroactividad arriba"&amp;" · ","")&amp;IF($AM109="","Sin fecha de inicio"&amp;" · ","")&amp;IF($AN109="","Sin fecha límite"&amp;" · ","")&amp;IF(AND(LEFT($C109,11)="[Jefatura] ",N($AL109)=0),"No se encuentra en la hoja de la jefatura (elíjala de nuevo en la lista)"&amp;" · ","")&amp;IF(OR(AND($E109&lt;&gt;"",NOT(ISNUMBER($E109))),AND($F109&lt;&gt;"",NOT(ISNUMBER($F109))),AND($G109&lt;&gt;"",NOT(ISNUMBER($G109)))),"Fecha no válida"&amp;" · ","")&amp;IF(AND(ISNUMBER($AM109),ISNUMBER($AN109),$AM109&gt;$AN109),"Inicio posterior a fecha límite"&amp;" · ","")&amp;IF(AND($V109="Macro",$H109&lt;&gt;"",OR(NOT(ISNUMBER($H109)),$H109&lt;0,$H109&gt;1)),"Peso fuera de rango"&amp;" · ","")&amp;IF(AND($V109="Sub",$H109&lt;&gt;""),"Las subactividades no llevan peso (valen igual dentro de su macroactividad)"&amp;" · ","")&amp;IF(AND(N($W109)&gt;0,COUNT($I109:$L109)&gt;0),"Con subactividades: deje vacías las semanas (se calculan solas)"&amp;" · ","")&amp;IF((COUNTIF($I109:$L109,"&gt;1")+COUNTIF($I109:$L109,"&lt;0")+COUNTA($I109:$L109)-COUNT($I109:$L109))&gt;0,"Avance fuera de rango 0-100%"&amp;" · ","")&amp;IF(OR(AND($J109&lt;&gt;"",$J109&lt;$I109),AND($K109&lt;&gt;"",$K109&lt;MAX($I109:$J109)),AND($L109&lt;&gt;"",$L109&lt;MAX($I109:$K109))),"Avance semanal decreciente"&amp;" · ","")&amp;IF(AND(ISNUMBER($AN109),$AN109&lt;FechaRef,IF($V109="Sub",N($X109),N($M109))&lt;1),"Vencida"&amp;" · ","")&amp;IF(AND(ObsObligatoria="Sí",ISNUMBER($AN109),$AN109&lt;FechaRef,IF($V109="Sub",N($X109),N($M109))&lt;1,$Q109=""),"Vencida sin observación"&amp;" · ",""),LEN(IF($C109="","Falta el nombre de la actividad"&amp;" · ","")&amp;IF(AND($V109="Sub",N($U109)=0),"Subactividad sin macroactividad arriba"&amp;" · ","")&amp;IF($AM109="","Sin fecha de inicio"&amp;" · ","")&amp;IF($AN109="","Sin fecha límite"&amp;" · ","")&amp;IF(AND(LEFT($C109,11)="[Jefatura] ",N($AL109)=0),"No se encuentra en la hoja de la jefatura (elíjala de nuevo en la lista)"&amp;" · ","")&amp;IF(OR(AND($E109&lt;&gt;"",NOT(ISNUMBER($E109))),AND($F109&lt;&gt;"",NOT(ISNUMBER($F109))),AND($G109&lt;&gt;"",NOT(ISNUMBER($G109)))),"Fecha no válida"&amp;" · ","")&amp;IF(AND(ISNUMBER($AM109),ISNUMBER($AN109),$AM109&gt;$AN109),"Inicio posterior a fecha límite"&amp;" · ","")&amp;IF(AND($V109="Macro",$H109&lt;&gt;"",OR(NOT(ISNUMBER($H109)),$H109&lt;0,$H109&gt;1)),"Peso fuera de rango"&amp;" · ","")&amp;IF(AND($V109="Sub",$H109&lt;&gt;""),"Las subactividades no llevan peso (valen igual dentro de su macroactividad)"&amp;" · ","")&amp;IF(AND(N($W109)&gt;0,COUNT($I109:$L109)&gt;0),"Con subactividades: deje vacías las semanas (se calculan solas)"&amp;" · ","")&amp;IF((COUNTIF($I109:$L109,"&gt;1")+COUNTIF($I109:$L109,"&lt;0")+COUNTA($I109:$L109)-COUNT($I109:$L109))&gt;0,"Avance fuera de rango 0-100%"&amp;" · ","")&amp;IF(OR(AND($J109&lt;&gt;"",$J109&lt;$I109),AND($K109&lt;&gt;"",$K109&lt;MAX($I109:$J109)),AND($L109&lt;&gt;"",$L109&lt;MAX($I109:$K109))),"Avance semanal decreciente"&amp;" · ","")&amp;IF(AND(ISNUMBER($AN109),$AN109&lt;FechaRef,IF($V109="Sub",N($X109),N($M109))&lt;1),"Vencida"&amp;" · ","")&amp;IF(AND(ObsObligatoria="Sí",ISNUMBER($AN109),$AN109&lt;FechaRef,IF($V109="Sub",N($X109),N($M109))&lt;1,$Q109=""),"Vencida sin observación"&amp;" · ",""))-3)))</f>
        <v/>
      </c>
      <c r="S109" s="64">
        <f>IF(NOT((COUNTA($B109:$D109)+COUNTA($G109:$L109)+COUNTA($Q109))&gt;0),"",IF(AND($V109="Sub",N($U109)&gt;0),IF(ISNUMBER(INDEX($AM$5:$AM$1000,$U109-4)),DATE(YEAR(INDEX($AM$5:$AM$1000,$U109-4)),MONTH(INDEX($AM$5:$AM$1000,$U109-4)),1),IF(ISNUMBER(INDEX($AN$5:$AN$1000,$U109-4)),DATE(YEAR(INDEX($AN$5:$AN$1000,$U109-4)),MONTH(INDEX($AN$5:$AN$1000,$U109-4)),1),MesCiclo)),IF(ISNUMBER($AM109),DATE(YEAR($AM109),MONTH($AM109),1),IF(ISNUMBER($AN109),DATE(YEAR($AN109),MONTH($AN109),1),MesCiclo))))</f>
        <v/>
      </c>
      <c r="T109" s="62">
        <f>IF(OR($S109="",$S109&lt;&gt;MesCiclo,$V109&lt;&gt;"Macro"),"",COUNTIFS($S$5:$S109,MesCiclo,$V$5:$V109,"Macro"))</f>
        <v/>
      </c>
      <c r="U109" s="62">
        <f>IF($V109="","",IF($V109="Macro",ROW(),IFERROR(LOOKUP(2,1/($V$5:$V109="Macro"),ROW($V$5:$V109)),0)))</f>
        <v/>
      </c>
      <c r="V109" s="62">
        <f>IF(NOT((COUNTA($B109:$D109)+COUNTA($G109:$L109)+COUNTA($Q109))&gt;0),"",IF($B109="Subactividad","Sub","Macro"))</f>
        <v/>
      </c>
      <c r="W109" s="62">
        <f>IF($V109="Macro",COUNTIFS($U$5:$U$1000,ROW(),$V$5:$V$1000,"Sub"),"")</f>
        <v/>
      </c>
      <c r="X109" s="62">
        <f>IF($V109="","",IF(ISNUMBER($G109),1,IFERROR(LOOKUP(2,1/($I109:$L109&lt;&gt;""),$I109:$L109),0)))</f>
        <v/>
      </c>
      <c r="Y109" s="62">
        <f>IF($V109="","",IF(AND(ISNUMBER($G109),$G109&lt;=IF($S109=MesCiclo,InicioCiclo,$S109+MOD(2-WEEKDAY($S109),7))+6),1,IF(ISNUMBER($I109),$I109,0)))</f>
        <v/>
      </c>
      <c r="Z109" s="62">
        <f>IF($V109="","",IF(AND(ISNUMBER($G109),$G109&lt;=IF($S109=MesCiclo,InicioCiclo,$S109+MOD(2-WEEKDAY($S109),7))+13),1,IF(ISNUMBER($J109),$J109,$Y109)))</f>
        <v/>
      </c>
      <c r="AA109" s="62">
        <f>IF($V109="","",IF(AND(ISNUMBER($G109),$G109&lt;=IF($S109=MesCiclo,InicioCiclo,$S109+MOD(2-WEEKDAY($S109),7))+20),1,IF(ISNUMBER($K109),$K109,$Z109)))</f>
        <v/>
      </c>
      <c r="AB109" s="62">
        <f>IF($V109="","",IF(AND(ISNUMBER($G109),$G109&lt;=IF($S109=MesCiclo,InicioCiclo,$S109+MOD(2-WEEKDAY($S109),7))+27),1,IF(ISNUMBER($L109),$L109,$AA109)))</f>
        <v/>
      </c>
      <c r="AC109" s="62">
        <f>IF($V109="","",IF(AND(ISNUMBER($G109),$G109&lt;=IF($S109=MesCiclo,InicioCiclo,$S109+MOD(2-WEEKDAY($S109),7))+6),1,IF(N($W109)&gt;0,AVERAGEIFS($Y$5:$Y$1000,$U$5:$U$1000,ROW(),$V$5:$V$1000,"Sub"),$Y109)))</f>
        <v/>
      </c>
      <c r="AD109" s="62">
        <f>IF($V109="","",IF(AND(ISNUMBER($G109),$G109&lt;=IF($S109=MesCiclo,InicioCiclo,$S109+MOD(2-WEEKDAY($S109),7))+13),1,IF(N($W109)&gt;0,AVERAGEIFS($Z$5:$Z$1000,$U$5:$U$1000,ROW(),$V$5:$V$1000,"Sub"),$Z109)))</f>
        <v/>
      </c>
      <c r="AE109" s="62">
        <f>IF($V109="","",IF(AND(ISNUMBER($G109),$G109&lt;=IF($S109=MesCiclo,InicioCiclo,$S109+MOD(2-WEEKDAY($S109),7))+20),1,IF(N($W109)&gt;0,AVERAGEIFS($AA$5:$AA$1000,$U$5:$U$1000,ROW(),$V$5:$V$1000,"Sub"),$AA109)))</f>
        <v/>
      </c>
      <c r="AF109" s="62">
        <f>IF($V109="","",IF(AND(ISNUMBER($G109),$G109&lt;=IF($S109=MesCiclo,InicioCiclo,$S109+MOD(2-WEEKDAY($S109),7))+27),1,IF(N($W109)&gt;0,AVERAGEIFS($AB$5:$AB$1000,$U$5:$U$1000,ROW(),$V$5:$V$1000,"Sub"),$AB109)))</f>
        <v/>
      </c>
      <c r="AG109" s="62">
        <f>IF($V109&lt;&gt;"Macro","",IF(COUNTIFS($S$5:$S$1000,$S109,$V$5:$V$1000,"Macro",$H$5:$H$1000,"&gt;0")=0,1/COUNTIFS($S$5:$S$1000,$S109,$V$5:$V$1000,"Macro"),IF(AND(ISNUMBER($H109),N($H109)&gt;0),$H109,SUMIFS($H$5:$H$1000,$S$5:$S$1000,$S109,$V$5:$V$1000,"Macro")/COUNTIFS($S$5:$S$1000,$S109,$V$5:$V$1000,"Macro",$H$5:$H$1000,"&gt;0"))/(COUNTIFS($S$5:$S$1000,$S109,$V$5:$V$1000,"Macro")*SUMIFS($H$5:$H$1000,$S$5:$S$1000,$S109,$V$5:$V$1000,"Macro")/COUNTIFS($S$5:$S$1000,$S109,$V$5:$V$1000,"Macro",$H$5:$H$1000,"&gt;0"))))</f>
        <v/>
      </c>
      <c r="AH109" s="62" t="n"/>
      <c r="AI109" s="62" t="n"/>
      <c r="AJ109" s="62" t="n"/>
      <c r="AK109" s="62" t="n"/>
      <c r="AL109" s="62">
        <f>IF(LEFT($C109,11)="[Jefatura] ",IFERROR(MATCH("Riesgo Operacional|"&amp;MID($C109,12,500),rDname_ADM,0),0),"")</f>
        <v/>
      </c>
      <c r="AM109" s="62">
        <f>IF(N($AL109)&gt;0,INDEX(rIni_ADM,$AL109),IF(ISNUMBER($E109),$E109,""))</f>
        <v/>
      </c>
      <c r="AN109" s="62">
        <f>IF(N($AL109)&gt;0,INDEX(rLim_ADM,$AL109),IF(ISNUMBER($F109),$F109,""))</f>
        <v/>
      </c>
    </row>
    <row r="110">
      <c r="A110" s="56">
        <f>IF(NOT((COUNTA($B110:$D110)+COUNTA($G110:$L110)+COUNTA($Q110))&gt;0),"",IF($V110="Macro",COUNTIFS($V$5:$V110,"Macro",$S$5:$S110,$S110),IF(N($U110)=0,"?",COUNTIFS(INDEX($V$5:$V$1000,1):INDEX($V$5:$V$1000,$U110-4),"Macro",INDEX($S$5:$S$1000,1):INDEX($S$5:$S$1000,$U110-4),INDEX($S$5:$S$1000,$U110-4))&amp;"."&amp;COUNTIFS($U$5:$U110,$U110,$V$5:$V110,"Sub"))))</f>
        <v/>
      </c>
      <c r="B110" s="57" t="n"/>
      <c r="C110" s="58" t="n"/>
      <c r="D110" s="58" t="n"/>
      <c r="E110" s="59">
        <f>IF(N($AL110)&gt;0,INDEX(rIni_ADM,$AL110),"")</f>
        <v/>
      </c>
      <c r="F110" s="59">
        <f>IF(N($AL110)&gt;0,INDEX(rLim_ADM,$AL110),"")</f>
        <v/>
      </c>
      <c r="G110" s="59" t="n"/>
      <c r="H110" s="60" t="n"/>
      <c r="I110" s="60" t="n"/>
      <c r="J110" s="60" t="n"/>
      <c r="K110" s="60" t="n"/>
      <c r="L110" s="60" t="n"/>
      <c r="M110" s="61">
        <f>IF(NOT((COUNTA($B110:$D110)+COUNTA($G110:$L110)+COUNTA($Q110))&gt;0),"",IF($V110="Sub",IFERROR($X110/INDEX($W$5:$W$1000,$U110-4),""),IF(ISNUMBER($G110),1,IF(N($W110)&gt;0,AVERAGEIFS($X$5:$X$1000,$U$5:$U$1000,ROW(),$V$5:$V$1000,"Sub"),$X110))))</f>
        <v/>
      </c>
      <c r="N110" s="56">
        <f>IF(OR($M110="",$V110="Sub"),"",IF($M110&gt;=1,"Completado",IF($M110&gt;0,"En curso","Pendiente")))</f>
        <v/>
      </c>
      <c r="O110" s="56">
        <f>IF(OR(NOT((COUNTA($B110:$D110)+COUNTA($G110:$L110)+COUNTA($Q110))&gt;0),$V110="Sub"),"",IF(ISNUMBER($G110),IF(AND(ISNUMBER($AN110),$G110&gt;$AN110),"Cumplida con "&amp;($G110-$AN110)&amp;IF($G110-$AN110=1," día"," días")&amp;" de retraso","Cumplida"),IF(N($M110)&gt;=1,"Cumplida",IF(NOT(ISNUMBER($AN110)),"Sin fecha límite",IF($AN110&lt;FechaRef,"Vencida hace "&amp;(FechaRef-$AN110)&amp;IF(FechaRef-$AN110=1," día"," días"),IF($AN110=FechaRef,"Vence hoy",IF($AN110-FechaRef&lt;=DiasAlerta,"Vence en "&amp;($AN110-FechaRef)&amp;IF($AN110-FechaRef=1," día"," días"),"En plazo")))))))</f>
        <v/>
      </c>
      <c r="P110" s="62" t="n"/>
      <c r="Q110" s="58" t="n"/>
      <c r="R110" s="63">
        <f>IF(NOT((COUNTA($B110:$D110)+COUNTA($G110:$L110)+COUNTA($Q110))&gt;0),"",IF((IF($C110="","Falta el nombre de la actividad"&amp;" · ","")&amp;IF(AND($V110="Sub",N($U110)=0),"Subactividad sin macroactividad arriba"&amp;" · ","")&amp;IF($AM110="","Sin fecha de inicio"&amp;" · ","")&amp;IF($AN110="","Sin fecha límite"&amp;" · ","")&amp;IF(AND(LEFT($C110,11)="[Jefatura] ",N($AL110)=0),"No se encuentra en la hoja de la jefatura (elíjala de nuevo en la lista)"&amp;" · ","")&amp;IF(OR(AND($E110&lt;&gt;"",NOT(ISNUMBER($E110))),AND($F110&lt;&gt;"",NOT(ISNUMBER($F110))),AND($G110&lt;&gt;"",NOT(ISNUMBER($G110)))),"Fecha no válida"&amp;" · ","")&amp;IF(AND(ISNUMBER($AM110),ISNUMBER($AN110),$AM110&gt;$AN110),"Inicio posterior a fecha límite"&amp;" · ","")&amp;IF(AND($V110="Macro",$H110&lt;&gt;"",OR(NOT(ISNUMBER($H110)),$H110&lt;0,$H110&gt;1)),"Peso fuera de rango"&amp;" · ","")&amp;IF(AND($V110="Sub",$H110&lt;&gt;""),"Las subactividades no llevan peso (valen igual dentro de su macroactividad)"&amp;" · ","")&amp;IF(AND(N($W110)&gt;0,COUNT($I110:$L110)&gt;0),"Con subactividades: deje vacías las semanas (se calculan solas)"&amp;" · ","")&amp;IF((COUNTIF($I110:$L110,"&gt;1")+COUNTIF($I110:$L110,"&lt;0")+COUNTA($I110:$L110)-COUNT($I110:$L110))&gt;0,"Avance fuera de rango 0-100%"&amp;" · ","")&amp;IF(OR(AND($J110&lt;&gt;"",$J110&lt;$I110),AND($K110&lt;&gt;"",$K110&lt;MAX($I110:$J110)),AND($L110&lt;&gt;"",$L110&lt;MAX($I110:$K110))),"Avance semanal decreciente"&amp;" · ","")&amp;IF(AND(ISNUMBER($AN110),$AN110&lt;FechaRef,IF($V110="Sub",N($X110),N($M110))&lt;1),"Vencida"&amp;" · ","")&amp;IF(AND(ObsObligatoria="Sí",ISNUMBER($AN110),$AN110&lt;FechaRef,IF($V110="Sub",N($X110),N($M110))&lt;1,$Q110=""),"Vencida sin observación"&amp;" · ",""))="","✔ OK","⚠ "&amp;LEFT(IF($C110="","Falta el nombre de la actividad"&amp;" · ","")&amp;IF(AND($V110="Sub",N($U110)=0),"Subactividad sin macroactividad arriba"&amp;" · ","")&amp;IF($AM110="","Sin fecha de inicio"&amp;" · ","")&amp;IF($AN110="","Sin fecha límite"&amp;" · ","")&amp;IF(AND(LEFT($C110,11)="[Jefatura] ",N($AL110)=0),"No se encuentra en la hoja de la jefatura (elíjala de nuevo en la lista)"&amp;" · ","")&amp;IF(OR(AND($E110&lt;&gt;"",NOT(ISNUMBER($E110))),AND($F110&lt;&gt;"",NOT(ISNUMBER($F110))),AND($G110&lt;&gt;"",NOT(ISNUMBER($G110)))),"Fecha no válida"&amp;" · ","")&amp;IF(AND(ISNUMBER($AM110),ISNUMBER($AN110),$AM110&gt;$AN110),"Inicio posterior a fecha límite"&amp;" · ","")&amp;IF(AND($V110="Macro",$H110&lt;&gt;"",OR(NOT(ISNUMBER($H110)),$H110&lt;0,$H110&gt;1)),"Peso fuera de rango"&amp;" · ","")&amp;IF(AND($V110="Sub",$H110&lt;&gt;""),"Las subactividades no llevan peso (valen igual dentro de su macroactividad)"&amp;" · ","")&amp;IF(AND(N($W110)&gt;0,COUNT($I110:$L110)&gt;0),"Con subactividades: deje vacías las semanas (se calculan solas)"&amp;" · ","")&amp;IF((COUNTIF($I110:$L110,"&gt;1")+COUNTIF($I110:$L110,"&lt;0")+COUNTA($I110:$L110)-COUNT($I110:$L110))&gt;0,"Avance fuera de rango 0-100%"&amp;" · ","")&amp;IF(OR(AND($J110&lt;&gt;"",$J110&lt;$I110),AND($K110&lt;&gt;"",$K110&lt;MAX($I110:$J110)),AND($L110&lt;&gt;"",$L110&lt;MAX($I110:$K110))),"Avance semanal decreciente"&amp;" · ","")&amp;IF(AND(ISNUMBER($AN110),$AN110&lt;FechaRef,IF($V110="Sub",N($X110),N($M110))&lt;1),"Vencida"&amp;" · ","")&amp;IF(AND(ObsObligatoria="Sí",ISNUMBER($AN110),$AN110&lt;FechaRef,IF($V110="Sub",N($X110),N($M110))&lt;1,$Q110=""),"Vencida sin observación"&amp;" · ",""),LEN(IF($C110="","Falta el nombre de la actividad"&amp;" · ","")&amp;IF(AND($V110="Sub",N($U110)=0),"Subactividad sin macroactividad arriba"&amp;" · ","")&amp;IF($AM110="","Sin fecha de inicio"&amp;" · ","")&amp;IF($AN110="","Sin fecha límite"&amp;" · ","")&amp;IF(AND(LEFT($C110,11)="[Jefatura] ",N($AL110)=0),"No se encuentra en la hoja de la jefatura (elíjala de nuevo en la lista)"&amp;" · ","")&amp;IF(OR(AND($E110&lt;&gt;"",NOT(ISNUMBER($E110))),AND($F110&lt;&gt;"",NOT(ISNUMBER($F110))),AND($G110&lt;&gt;"",NOT(ISNUMBER($G110)))),"Fecha no válida"&amp;" · ","")&amp;IF(AND(ISNUMBER($AM110),ISNUMBER($AN110),$AM110&gt;$AN110),"Inicio posterior a fecha límite"&amp;" · ","")&amp;IF(AND($V110="Macro",$H110&lt;&gt;"",OR(NOT(ISNUMBER($H110)),$H110&lt;0,$H110&gt;1)),"Peso fuera de rango"&amp;" · ","")&amp;IF(AND($V110="Sub",$H110&lt;&gt;""),"Las subactividades no llevan peso (valen igual dentro de su macroactividad)"&amp;" · ","")&amp;IF(AND(N($W110)&gt;0,COUNT($I110:$L110)&gt;0),"Con subactividades: deje vacías las semanas (se calculan solas)"&amp;" · ","")&amp;IF((COUNTIF($I110:$L110,"&gt;1")+COUNTIF($I110:$L110,"&lt;0")+COUNTA($I110:$L110)-COUNT($I110:$L110))&gt;0,"Avance fuera de rango 0-100%"&amp;" · ","")&amp;IF(OR(AND($J110&lt;&gt;"",$J110&lt;$I110),AND($K110&lt;&gt;"",$K110&lt;MAX($I110:$J110)),AND($L110&lt;&gt;"",$L110&lt;MAX($I110:$K110))),"Avance semanal decreciente"&amp;" · ","")&amp;IF(AND(ISNUMBER($AN110),$AN110&lt;FechaRef,IF($V110="Sub",N($X110),N($M110))&lt;1),"Vencida"&amp;" · ","")&amp;IF(AND(ObsObligatoria="Sí",ISNUMBER($AN110),$AN110&lt;FechaRef,IF($V110="Sub",N($X110),N($M110))&lt;1,$Q110=""),"Vencida sin observación"&amp;" · ",""))-3)))</f>
        <v/>
      </c>
      <c r="S110" s="64">
        <f>IF(NOT((COUNTA($B110:$D110)+COUNTA($G110:$L110)+COUNTA($Q110))&gt;0),"",IF(AND($V110="Sub",N($U110)&gt;0),IF(ISNUMBER(INDEX($AM$5:$AM$1000,$U110-4)),DATE(YEAR(INDEX($AM$5:$AM$1000,$U110-4)),MONTH(INDEX($AM$5:$AM$1000,$U110-4)),1),IF(ISNUMBER(INDEX($AN$5:$AN$1000,$U110-4)),DATE(YEAR(INDEX($AN$5:$AN$1000,$U110-4)),MONTH(INDEX($AN$5:$AN$1000,$U110-4)),1),MesCiclo)),IF(ISNUMBER($AM110),DATE(YEAR($AM110),MONTH($AM110),1),IF(ISNUMBER($AN110),DATE(YEAR($AN110),MONTH($AN110),1),MesCiclo))))</f>
        <v/>
      </c>
      <c r="T110" s="62">
        <f>IF(OR($S110="",$S110&lt;&gt;MesCiclo,$V110&lt;&gt;"Macro"),"",COUNTIFS($S$5:$S110,MesCiclo,$V$5:$V110,"Macro"))</f>
        <v/>
      </c>
      <c r="U110" s="62">
        <f>IF($V110="","",IF($V110="Macro",ROW(),IFERROR(LOOKUP(2,1/($V$5:$V110="Macro"),ROW($V$5:$V110)),0)))</f>
        <v/>
      </c>
      <c r="V110" s="62">
        <f>IF(NOT((COUNTA($B110:$D110)+COUNTA($G110:$L110)+COUNTA($Q110))&gt;0),"",IF($B110="Subactividad","Sub","Macro"))</f>
        <v/>
      </c>
      <c r="W110" s="62">
        <f>IF($V110="Macro",COUNTIFS($U$5:$U$1000,ROW(),$V$5:$V$1000,"Sub"),"")</f>
        <v/>
      </c>
      <c r="X110" s="62">
        <f>IF($V110="","",IF(ISNUMBER($G110),1,IFERROR(LOOKUP(2,1/($I110:$L110&lt;&gt;""),$I110:$L110),0)))</f>
        <v/>
      </c>
      <c r="Y110" s="62">
        <f>IF($V110="","",IF(AND(ISNUMBER($G110),$G110&lt;=IF($S110=MesCiclo,InicioCiclo,$S110+MOD(2-WEEKDAY($S110),7))+6),1,IF(ISNUMBER($I110),$I110,0)))</f>
        <v/>
      </c>
      <c r="Z110" s="62">
        <f>IF($V110="","",IF(AND(ISNUMBER($G110),$G110&lt;=IF($S110=MesCiclo,InicioCiclo,$S110+MOD(2-WEEKDAY($S110),7))+13),1,IF(ISNUMBER($J110),$J110,$Y110)))</f>
        <v/>
      </c>
      <c r="AA110" s="62">
        <f>IF($V110="","",IF(AND(ISNUMBER($G110),$G110&lt;=IF($S110=MesCiclo,InicioCiclo,$S110+MOD(2-WEEKDAY($S110),7))+20),1,IF(ISNUMBER($K110),$K110,$Z110)))</f>
        <v/>
      </c>
      <c r="AB110" s="62">
        <f>IF($V110="","",IF(AND(ISNUMBER($G110),$G110&lt;=IF($S110=MesCiclo,InicioCiclo,$S110+MOD(2-WEEKDAY($S110),7))+27),1,IF(ISNUMBER($L110),$L110,$AA110)))</f>
        <v/>
      </c>
      <c r="AC110" s="62">
        <f>IF($V110="","",IF(AND(ISNUMBER($G110),$G110&lt;=IF($S110=MesCiclo,InicioCiclo,$S110+MOD(2-WEEKDAY($S110),7))+6),1,IF(N($W110)&gt;0,AVERAGEIFS($Y$5:$Y$1000,$U$5:$U$1000,ROW(),$V$5:$V$1000,"Sub"),$Y110)))</f>
        <v/>
      </c>
      <c r="AD110" s="62">
        <f>IF($V110="","",IF(AND(ISNUMBER($G110),$G110&lt;=IF($S110=MesCiclo,InicioCiclo,$S110+MOD(2-WEEKDAY($S110),7))+13),1,IF(N($W110)&gt;0,AVERAGEIFS($Z$5:$Z$1000,$U$5:$U$1000,ROW(),$V$5:$V$1000,"Sub"),$Z110)))</f>
        <v/>
      </c>
      <c r="AE110" s="62">
        <f>IF($V110="","",IF(AND(ISNUMBER($G110),$G110&lt;=IF($S110=MesCiclo,InicioCiclo,$S110+MOD(2-WEEKDAY($S110),7))+20),1,IF(N($W110)&gt;0,AVERAGEIFS($AA$5:$AA$1000,$U$5:$U$1000,ROW(),$V$5:$V$1000,"Sub"),$AA110)))</f>
        <v/>
      </c>
      <c r="AF110" s="62">
        <f>IF($V110="","",IF(AND(ISNUMBER($G110),$G110&lt;=IF($S110=MesCiclo,InicioCiclo,$S110+MOD(2-WEEKDAY($S110),7))+27),1,IF(N($W110)&gt;0,AVERAGEIFS($AB$5:$AB$1000,$U$5:$U$1000,ROW(),$V$5:$V$1000,"Sub"),$AB110)))</f>
        <v/>
      </c>
      <c r="AG110" s="62">
        <f>IF($V110&lt;&gt;"Macro","",IF(COUNTIFS($S$5:$S$1000,$S110,$V$5:$V$1000,"Macro",$H$5:$H$1000,"&gt;0")=0,1/COUNTIFS($S$5:$S$1000,$S110,$V$5:$V$1000,"Macro"),IF(AND(ISNUMBER($H110),N($H110)&gt;0),$H110,SUMIFS($H$5:$H$1000,$S$5:$S$1000,$S110,$V$5:$V$1000,"Macro")/COUNTIFS($S$5:$S$1000,$S110,$V$5:$V$1000,"Macro",$H$5:$H$1000,"&gt;0"))/(COUNTIFS($S$5:$S$1000,$S110,$V$5:$V$1000,"Macro")*SUMIFS($H$5:$H$1000,$S$5:$S$1000,$S110,$V$5:$V$1000,"Macro")/COUNTIFS($S$5:$S$1000,$S110,$V$5:$V$1000,"Macro",$H$5:$H$1000,"&gt;0"))))</f>
        <v/>
      </c>
      <c r="AH110" s="62" t="n"/>
      <c r="AI110" s="62" t="n"/>
      <c r="AJ110" s="62" t="n"/>
      <c r="AK110" s="62" t="n"/>
      <c r="AL110" s="62">
        <f>IF(LEFT($C110,11)="[Jefatura] ",IFERROR(MATCH("Riesgo Operacional|"&amp;MID($C110,12,500),rDname_ADM,0),0),"")</f>
        <v/>
      </c>
      <c r="AM110" s="62">
        <f>IF(N($AL110)&gt;0,INDEX(rIni_ADM,$AL110),IF(ISNUMBER($E110),$E110,""))</f>
        <v/>
      </c>
      <c r="AN110" s="62">
        <f>IF(N($AL110)&gt;0,INDEX(rLim_ADM,$AL110),IF(ISNUMBER($F110),$F110,""))</f>
        <v/>
      </c>
    </row>
    <row r="111">
      <c r="A111" s="56">
        <f>IF(NOT((COUNTA($B111:$D111)+COUNTA($G111:$L111)+COUNTA($Q111))&gt;0),"",IF($V111="Macro",COUNTIFS($V$5:$V111,"Macro",$S$5:$S111,$S111),IF(N($U111)=0,"?",COUNTIFS(INDEX($V$5:$V$1000,1):INDEX($V$5:$V$1000,$U111-4),"Macro",INDEX($S$5:$S$1000,1):INDEX($S$5:$S$1000,$U111-4),INDEX($S$5:$S$1000,$U111-4))&amp;"."&amp;COUNTIFS($U$5:$U111,$U111,$V$5:$V111,"Sub"))))</f>
        <v/>
      </c>
      <c r="B111" s="57" t="n"/>
      <c r="C111" s="58" t="n"/>
      <c r="D111" s="58" t="n"/>
      <c r="E111" s="59">
        <f>IF(N($AL111)&gt;0,INDEX(rIni_ADM,$AL111),"")</f>
        <v/>
      </c>
      <c r="F111" s="59">
        <f>IF(N($AL111)&gt;0,INDEX(rLim_ADM,$AL111),"")</f>
        <v/>
      </c>
      <c r="G111" s="59" t="n"/>
      <c r="H111" s="60" t="n"/>
      <c r="I111" s="60" t="n"/>
      <c r="J111" s="60" t="n"/>
      <c r="K111" s="60" t="n"/>
      <c r="L111" s="60" t="n"/>
      <c r="M111" s="61">
        <f>IF(NOT((COUNTA($B111:$D111)+COUNTA($G111:$L111)+COUNTA($Q111))&gt;0),"",IF($V111="Sub",IFERROR($X111/INDEX($W$5:$W$1000,$U111-4),""),IF(ISNUMBER($G111),1,IF(N($W111)&gt;0,AVERAGEIFS($X$5:$X$1000,$U$5:$U$1000,ROW(),$V$5:$V$1000,"Sub"),$X111))))</f>
        <v/>
      </c>
      <c r="N111" s="56">
        <f>IF(OR($M111="",$V111="Sub"),"",IF($M111&gt;=1,"Completado",IF($M111&gt;0,"En curso","Pendiente")))</f>
        <v/>
      </c>
      <c r="O111" s="56">
        <f>IF(OR(NOT((COUNTA($B111:$D111)+COUNTA($G111:$L111)+COUNTA($Q111))&gt;0),$V111="Sub"),"",IF(ISNUMBER($G111),IF(AND(ISNUMBER($AN111),$G111&gt;$AN111),"Cumplida con "&amp;($G111-$AN111)&amp;IF($G111-$AN111=1," día"," días")&amp;" de retraso","Cumplida"),IF(N($M111)&gt;=1,"Cumplida",IF(NOT(ISNUMBER($AN111)),"Sin fecha límite",IF($AN111&lt;FechaRef,"Vencida hace "&amp;(FechaRef-$AN111)&amp;IF(FechaRef-$AN111=1," día"," días"),IF($AN111=FechaRef,"Vence hoy",IF($AN111-FechaRef&lt;=DiasAlerta,"Vence en "&amp;($AN111-FechaRef)&amp;IF($AN111-FechaRef=1," día"," días"),"En plazo")))))))</f>
        <v/>
      </c>
      <c r="P111" s="62" t="n"/>
      <c r="Q111" s="58" t="n"/>
      <c r="R111" s="63">
        <f>IF(NOT((COUNTA($B111:$D111)+COUNTA($G111:$L111)+COUNTA($Q111))&gt;0),"",IF((IF($C111="","Falta el nombre de la actividad"&amp;" · ","")&amp;IF(AND($V111="Sub",N($U111)=0),"Subactividad sin macroactividad arriba"&amp;" · ","")&amp;IF($AM111="","Sin fecha de inicio"&amp;" · ","")&amp;IF($AN111="","Sin fecha límite"&amp;" · ","")&amp;IF(AND(LEFT($C111,11)="[Jefatura] ",N($AL111)=0),"No se encuentra en la hoja de la jefatura (elíjala de nuevo en la lista)"&amp;" · ","")&amp;IF(OR(AND($E111&lt;&gt;"",NOT(ISNUMBER($E111))),AND($F111&lt;&gt;"",NOT(ISNUMBER($F111))),AND($G111&lt;&gt;"",NOT(ISNUMBER($G111)))),"Fecha no válida"&amp;" · ","")&amp;IF(AND(ISNUMBER($AM111),ISNUMBER($AN111),$AM111&gt;$AN111),"Inicio posterior a fecha límite"&amp;" · ","")&amp;IF(AND($V111="Macro",$H111&lt;&gt;"",OR(NOT(ISNUMBER($H111)),$H111&lt;0,$H111&gt;1)),"Peso fuera de rango"&amp;" · ","")&amp;IF(AND($V111="Sub",$H111&lt;&gt;""),"Las subactividades no llevan peso (valen igual dentro de su macroactividad)"&amp;" · ","")&amp;IF(AND(N($W111)&gt;0,COUNT($I111:$L111)&gt;0),"Con subactividades: deje vacías las semanas (se calculan solas)"&amp;" · ","")&amp;IF((COUNTIF($I111:$L111,"&gt;1")+COUNTIF($I111:$L111,"&lt;0")+COUNTA($I111:$L111)-COUNT($I111:$L111))&gt;0,"Avance fuera de rango 0-100%"&amp;" · ","")&amp;IF(OR(AND($J111&lt;&gt;"",$J111&lt;$I111),AND($K111&lt;&gt;"",$K111&lt;MAX($I111:$J111)),AND($L111&lt;&gt;"",$L111&lt;MAX($I111:$K111))),"Avance semanal decreciente"&amp;" · ","")&amp;IF(AND(ISNUMBER($AN111),$AN111&lt;FechaRef,IF($V111="Sub",N($X111),N($M111))&lt;1),"Vencida"&amp;" · ","")&amp;IF(AND(ObsObligatoria="Sí",ISNUMBER($AN111),$AN111&lt;FechaRef,IF($V111="Sub",N($X111),N($M111))&lt;1,$Q111=""),"Vencida sin observación"&amp;" · ",""))="","✔ OK","⚠ "&amp;LEFT(IF($C111="","Falta el nombre de la actividad"&amp;" · ","")&amp;IF(AND($V111="Sub",N($U111)=0),"Subactividad sin macroactividad arriba"&amp;" · ","")&amp;IF($AM111="","Sin fecha de inicio"&amp;" · ","")&amp;IF($AN111="","Sin fecha límite"&amp;" · ","")&amp;IF(AND(LEFT($C111,11)="[Jefatura] ",N($AL111)=0),"No se encuentra en la hoja de la jefatura (elíjala de nuevo en la lista)"&amp;" · ","")&amp;IF(OR(AND($E111&lt;&gt;"",NOT(ISNUMBER($E111))),AND($F111&lt;&gt;"",NOT(ISNUMBER($F111))),AND($G111&lt;&gt;"",NOT(ISNUMBER($G111)))),"Fecha no válida"&amp;" · ","")&amp;IF(AND(ISNUMBER($AM111),ISNUMBER($AN111),$AM111&gt;$AN111),"Inicio posterior a fecha límite"&amp;" · ","")&amp;IF(AND($V111="Macro",$H111&lt;&gt;"",OR(NOT(ISNUMBER($H111)),$H111&lt;0,$H111&gt;1)),"Peso fuera de rango"&amp;" · ","")&amp;IF(AND($V111="Sub",$H111&lt;&gt;""),"Las subactividades no llevan peso (valen igual dentro de su macroactividad)"&amp;" · ","")&amp;IF(AND(N($W111)&gt;0,COUNT($I111:$L111)&gt;0),"Con subactividades: deje vacías las semanas (se calculan solas)"&amp;" · ","")&amp;IF((COUNTIF($I111:$L111,"&gt;1")+COUNTIF($I111:$L111,"&lt;0")+COUNTA($I111:$L111)-COUNT($I111:$L111))&gt;0,"Avance fuera de rango 0-100%"&amp;" · ","")&amp;IF(OR(AND($J111&lt;&gt;"",$J111&lt;$I111),AND($K111&lt;&gt;"",$K111&lt;MAX($I111:$J111)),AND($L111&lt;&gt;"",$L111&lt;MAX($I111:$K111))),"Avance semanal decreciente"&amp;" · ","")&amp;IF(AND(ISNUMBER($AN111),$AN111&lt;FechaRef,IF($V111="Sub",N($X111),N($M111))&lt;1),"Vencida"&amp;" · ","")&amp;IF(AND(ObsObligatoria="Sí",ISNUMBER($AN111),$AN111&lt;FechaRef,IF($V111="Sub",N($X111),N($M111))&lt;1,$Q111=""),"Vencida sin observación"&amp;" · ",""),LEN(IF($C111="","Falta el nombre de la actividad"&amp;" · ","")&amp;IF(AND($V111="Sub",N($U111)=0),"Subactividad sin macroactividad arriba"&amp;" · ","")&amp;IF($AM111="","Sin fecha de inicio"&amp;" · ","")&amp;IF($AN111="","Sin fecha límite"&amp;" · ","")&amp;IF(AND(LEFT($C111,11)="[Jefatura] ",N($AL111)=0),"No se encuentra en la hoja de la jefatura (elíjala de nuevo en la lista)"&amp;" · ","")&amp;IF(OR(AND($E111&lt;&gt;"",NOT(ISNUMBER($E111))),AND($F111&lt;&gt;"",NOT(ISNUMBER($F111))),AND($G111&lt;&gt;"",NOT(ISNUMBER($G111)))),"Fecha no válida"&amp;" · ","")&amp;IF(AND(ISNUMBER($AM111),ISNUMBER($AN111),$AM111&gt;$AN111),"Inicio posterior a fecha límite"&amp;" · ","")&amp;IF(AND($V111="Macro",$H111&lt;&gt;"",OR(NOT(ISNUMBER($H111)),$H111&lt;0,$H111&gt;1)),"Peso fuera de rango"&amp;" · ","")&amp;IF(AND($V111="Sub",$H111&lt;&gt;""),"Las subactividades no llevan peso (valen igual dentro de su macroactividad)"&amp;" · ","")&amp;IF(AND(N($W111)&gt;0,COUNT($I111:$L111)&gt;0),"Con subactividades: deje vacías las semanas (se calculan solas)"&amp;" · ","")&amp;IF((COUNTIF($I111:$L111,"&gt;1")+COUNTIF($I111:$L111,"&lt;0")+COUNTA($I111:$L111)-COUNT($I111:$L111))&gt;0,"Avance fuera de rango 0-100%"&amp;" · ","")&amp;IF(OR(AND($J111&lt;&gt;"",$J111&lt;$I111),AND($K111&lt;&gt;"",$K111&lt;MAX($I111:$J111)),AND($L111&lt;&gt;"",$L111&lt;MAX($I111:$K111))),"Avance semanal decreciente"&amp;" · ","")&amp;IF(AND(ISNUMBER($AN111),$AN111&lt;FechaRef,IF($V111="Sub",N($X111),N($M111))&lt;1),"Vencida"&amp;" · ","")&amp;IF(AND(ObsObligatoria="Sí",ISNUMBER($AN111),$AN111&lt;FechaRef,IF($V111="Sub",N($X111),N($M111))&lt;1,$Q111=""),"Vencida sin observación"&amp;" · ",""))-3)))</f>
        <v/>
      </c>
      <c r="S111" s="64">
        <f>IF(NOT((COUNTA($B111:$D111)+COUNTA($G111:$L111)+COUNTA($Q111))&gt;0),"",IF(AND($V111="Sub",N($U111)&gt;0),IF(ISNUMBER(INDEX($AM$5:$AM$1000,$U111-4)),DATE(YEAR(INDEX($AM$5:$AM$1000,$U111-4)),MONTH(INDEX($AM$5:$AM$1000,$U111-4)),1),IF(ISNUMBER(INDEX($AN$5:$AN$1000,$U111-4)),DATE(YEAR(INDEX($AN$5:$AN$1000,$U111-4)),MONTH(INDEX($AN$5:$AN$1000,$U111-4)),1),MesCiclo)),IF(ISNUMBER($AM111),DATE(YEAR($AM111),MONTH($AM111),1),IF(ISNUMBER($AN111),DATE(YEAR($AN111),MONTH($AN111),1),MesCiclo))))</f>
        <v/>
      </c>
      <c r="T111" s="62">
        <f>IF(OR($S111="",$S111&lt;&gt;MesCiclo,$V111&lt;&gt;"Macro"),"",COUNTIFS($S$5:$S111,MesCiclo,$V$5:$V111,"Macro"))</f>
        <v/>
      </c>
      <c r="U111" s="62">
        <f>IF($V111="","",IF($V111="Macro",ROW(),IFERROR(LOOKUP(2,1/($V$5:$V111="Macro"),ROW($V$5:$V111)),0)))</f>
        <v/>
      </c>
      <c r="V111" s="62">
        <f>IF(NOT((COUNTA($B111:$D111)+COUNTA($G111:$L111)+COUNTA($Q111))&gt;0),"",IF($B111="Subactividad","Sub","Macro"))</f>
        <v/>
      </c>
      <c r="W111" s="62">
        <f>IF($V111="Macro",COUNTIFS($U$5:$U$1000,ROW(),$V$5:$V$1000,"Sub"),"")</f>
        <v/>
      </c>
      <c r="X111" s="62">
        <f>IF($V111="","",IF(ISNUMBER($G111),1,IFERROR(LOOKUP(2,1/($I111:$L111&lt;&gt;""),$I111:$L111),0)))</f>
        <v/>
      </c>
      <c r="Y111" s="62">
        <f>IF($V111="","",IF(AND(ISNUMBER($G111),$G111&lt;=IF($S111=MesCiclo,InicioCiclo,$S111+MOD(2-WEEKDAY($S111),7))+6),1,IF(ISNUMBER($I111),$I111,0)))</f>
        <v/>
      </c>
      <c r="Z111" s="62">
        <f>IF($V111="","",IF(AND(ISNUMBER($G111),$G111&lt;=IF($S111=MesCiclo,InicioCiclo,$S111+MOD(2-WEEKDAY($S111),7))+13),1,IF(ISNUMBER($J111),$J111,$Y111)))</f>
        <v/>
      </c>
      <c r="AA111" s="62">
        <f>IF($V111="","",IF(AND(ISNUMBER($G111),$G111&lt;=IF($S111=MesCiclo,InicioCiclo,$S111+MOD(2-WEEKDAY($S111),7))+20),1,IF(ISNUMBER($K111),$K111,$Z111)))</f>
        <v/>
      </c>
      <c r="AB111" s="62">
        <f>IF($V111="","",IF(AND(ISNUMBER($G111),$G111&lt;=IF($S111=MesCiclo,InicioCiclo,$S111+MOD(2-WEEKDAY($S111),7))+27),1,IF(ISNUMBER($L111),$L111,$AA111)))</f>
        <v/>
      </c>
      <c r="AC111" s="62">
        <f>IF($V111="","",IF(AND(ISNUMBER($G111),$G111&lt;=IF($S111=MesCiclo,InicioCiclo,$S111+MOD(2-WEEKDAY($S111),7))+6),1,IF(N($W111)&gt;0,AVERAGEIFS($Y$5:$Y$1000,$U$5:$U$1000,ROW(),$V$5:$V$1000,"Sub"),$Y111)))</f>
        <v/>
      </c>
      <c r="AD111" s="62">
        <f>IF($V111="","",IF(AND(ISNUMBER($G111),$G111&lt;=IF($S111=MesCiclo,InicioCiclo,$S111+MOD(2-WEEKDAY($S111),7))+13),1,IF(N($W111)&gt;0,AVERAGEIFS($Z$5:$Z$1000,$U$5:$U$1000,ROW(),$V$5:$V$1000,"Sub"),$Z111)))</f>
        <v/>
      </c>
      <c r="AE111" s="62">
        <f>IF($V111="","",IF(AND(ISNUMBER($G111),$G111&lt;=IF($S111=MesCiclo,InicioCiclo,$S111+MOD(2-WEEKDAY($S111),7))+20),1,IF(N($W111)&gt;0,AVERAGEIFS($AA$5:$AA$1000,$U$5:$U$1000,ROW(),$V$5:$V$1000,"Sub"),$AA111)))</f>
        <v/>
      </c>
      <c r="AF111" s="62">
        <f>IF($V111="","",IF(AND(ISNUMBER($G111),$G111&lt;=IF($S111=MesCiclo,InicioCiclo,$S111+MOD(2-WEEKDAY($S111),7))+27),1,IF(N($W111)&gt;0,AVERAGEIFS($AB$5:$AB$1000,$U$5:$U$1000,ROW(),$V$5:$V$1000,"Sub"),$AB111)))</f>
        <v/>
      </c>
      <c r="AG111" s="62">
        <f>IF($V111&lt;&gt;"Macro","",IF(COUNTIFS($S$5:$S$1000,$S111,$V$5:$V$1000,"Macro",$H$5:$H$1000,"&gt;0")=0,1/COUNTIFS($S$5:$S$1000,$S111,$V$5:$V$1000,"Macro"),IF(AND(ISNUMBER($H111),N($H111)&gt;0),$H111,SUMIFS($H$5:$H$1000,$S$5:$S$1000,$S111,$V$5:$V$1000,"Macro")/COUNTIFS($S$5:$S$1000,$S111,$V$5:$V$1000,"Macro",$H$5:$H$1000,"&gt;0"))/(COUNTIFS($S$5:$S$1000,$S111,$V$5:$V$1000,"Macro")*SUMIFS($H$5:$H$1000,$S$5:$S$1000,$S111,$V$5:$V$1000,"Macro")/COUNTIFS($S$5:$S$1000,$S111,$V$5:$V$1000,"Macro",$H$5:$H$1000,"&gt;0"))))</f>
        <v/>
      </c>
      <c r="AH111" s="62" t="n"/>
      <c r="AI111" s="62" t="n"/>
      <c r="AJ111" s="62" t="n"/>
      <c r="AK111" s="62" t="n"/>
      <c r="AL111" s="62">
        <f>IF(LEFT($C111,11)="[Jefatura] ",IFERROR(MATCH("Riesgo Operacional|"&amp;MID($C111,12,500),rDname_ADM,0),0),"")</f>
        <v/>
      </c>
      <c r="AM111" s="62">
        <f>IF(N($AL111)&gt;0,INDEX(rIni_ADM,$AL111),IF(ISNUMBER($E111),$E111,""))</f>
        <v/>
      </c>
      <c r="AN111" s="62">
        <f>IF(N($AL111)&gt;0,INDEX(rLim_ADM,$AL111),IF(ISNUMBER($F111),$F111,""))</f>
        <v/>
      </c>
    </row>
    <row r="112">
      <c r="A112" s="56">
        <f>IF(NOT((COUNTA($B112:$D112)+COUNTA($G112:$L112)+COUNTA($Q112))&gt;0),"",IF($V112="Macro",COUNTIFS($V$5:$V112,"Macro",$S$5:$S112,$S112),IF(N($U112)=0,"?",COUNTIFS(INDEX($V$5:$V$1000,1):INDEX($V$5:$V$1000,$U112-4),"Macro",INDEX($S$5:$S$1000,1):INDEX($S$5:$S$1000,$U112-4),INDEX($S$5:$S$1000,$U112-4))&amp;"."&amp;COUNTIFS($U$5:$U112,$U112,$V$5:$V112,"Sub"))))</f>
        <v/>
      </c>
      <c r="B112" s="57" t="n"/>
      <c r="C112" s="58" t="n"/>
      <c r="D112" s="58" t="n"/>
      <c r="E112" s="59">
        <f>IF(N($AL112)&gt;0,INDEX(rIni_ADM,$AL112),"")</f>
        <v/>
      </c>
      <c r="F112" s="59">
        <f>IF(N($AL112)&gt;0,INDEX(rLim_ADM,$AL112),"")</f>
        <v/>
      </c>
      <c r="G112" s="59" t="n"/>
      <c r="H112" s="60" t="n"/>
      <c r="I112" s="60" t="n"/>
      <c r="J112" s="60" t="n"/>
      <c r="K112" s="60" t="n"/>
      <c r="L112" s="60" t="n"/>
      <c r="M112" s="61">
        <f>IF(NOT((COUNTA($B112:$D112)+COUNTA($G112:$L112)+COUNTA($Q112))&gt;0),"",IF($V112="Sub",IFERROR($X112/INDEX($W$5:$W$1000,$U112-4),""),IF(ISNUMBER($G112),1,IF(N($W112)&gt;0,AVERAGEIFS($X$5:$X$1000,$U$5:$U$1000,ROW(),$V$5:$V$1000,"Sub"),$X112))))</f>
        <v/>
      </c>
      <c r="N112" s="56">
        <f>IF(OR($M112="",$V112="Sub"),"",IF($M112&gt;=1,"Completado",IF($M112&gt;0,"En curso","Pendiente")))</f>
        <v/>
      </c>
      <c r="O112" s="56">
        <f>IF(OR(NOT((COUNTA($B112:$D112)+COUNTA($G112:$L112)+COUNTA($Q112))&gt;0),$V112="Sub"),"",IF(ISNUMBER($G112),IF(AND(ISNUMBER($AN112),$G112&gt;$AN112),"Cumplida con "&amp;($G112-$AN112)&amp;IF($G112-$AN112=1," día"," días")&amp;" de retraso","Cumplida"),IF(N($M112)&gt;=1,"Cumplida",IF(NOT(ISNUMBER($AN112)),"Sin fecha límite",IF($AN112&lt;FechaRef,"Vencida hace "&amp;(FechaRef-$AN112)&amp;IF(FechaRef-$AN112=1," día"," días"),IF($AN112=FechaRef,"Vence hoy",IF($AN112-FechaRef&lt;=DiasAlerta,"Vence en "&amp;($AN112-FechaRef)&amp;IF($AN112-FechaRef=1," día"," días"),"En plazo")))))))</f>
        <v/>
      </c>
      <c r="P112" s="62" t="n"/>
      <c r="Q112" s="58" t="n"/>
      <c r="R112" s="63">
        <f>IF(NOT((COUNTA($B112:$D112)+COUNTA($G112:$L112)+COUNTA($Q112))&gt;0),"",IF((IF($C112="","Falta el nombre de la actividad"&amp;" · ","")&amp;IF(AND($V112="Sub",N($U112)=0),"Subactividad sin macroactividad arriba"&amp;" · ","")&amp;IF($AM112="","Sin fecha de inicio"&amp;" · ","")&amp;IF($AN112="","Sin fecha límite"&amp;" · ","")&amp;IF(AND(LEFT($C112,11)="[Jefatura] ",N($AL112)=0),"No se encuentra en la hoja de la jefatura (elíjala de nuevo en la lista)"&amp;" · ","")&amp;IF(OR(AND($E112&lt;&gt;"",NOT(ISNUMBER($E112))),AND($F112&lt;&gt;"",NOT(ISNUMBER($F112))),AND($G112&lt;&gt;"",NOT(ISNUMBER($G112)))),"Fecha no válida"&amp;" · ","")&amp;IF(AND(ISNUMBER($AM112),ISNUMBER($AN112),$AM112&gt;$AN112),"Inicio posterior a fecha límite"&amp;" · ","")&amp;IF(AND($V112="Macro",$H112&lt;&gt;"",OR(NOT(ISNUMBER($H112)),$H112&lt;0,$H112&gt;1)),"Peso fuera de rango"&amp;" · ","")&amp;IF(AND($V112="Sub",$H112&lt;&gt;""),"Las subactividades no llevan peso (valen igual dentro de su macroactividad)"&amp;" · ","")&amp;IF(AND(N($W112)&gt;0,COUNT($I112:$L112)&gt;0),"Con subactividades: deje vacías las semanas (se calculan solas)"&amp;" · ","")&amp;IF((COUNTIF($I112:$L112,"&gt;1")+COUNTIF($I112:$L112,"&lt;0")+COUNTA($I112:$L112)-COUNT($I112:$L112))&gt;0,"Avance fuera de rango 0-100%"&amp;" · ","")&amp;IF(OR(AND($J112&lt;&gt;"",$J112&lt;$I112),AND($K112&lt;&gt;"",$K112&lt;MAX($I112:$J112)),AND($L112&lt;&gt;"",$L112&lt;MAX($I112:$K112))),"Avance semanal decreciente"&amp;" · ","")&amp;IF(AND(ISNUMBER($AN112),$AN112&lt;FechaRef,IF($V112="Sub",N($X112),N($M112))&lt;1),"Vencida"&amp;" · ","")&amp;IF(AND(ObsObligatoria="Sí",ISNUMBER($AN112),$AN112&lt;FechaRef,IF($V112="Sub",N($X112),N($M112))&lt;1,$Q112=""),"Vencida sin observación"&amp;" · ",""))="","✔ OK","⚠ "&amp;LEFT(IF($C112="","Falta el nombre de la actividad"&amp;" · ","")&amp;IF(AND($V112="Sub",N($U112)=0),"Subactividad sin macroactividad arriba"&amp;" · ","")&amp;IF($AM112="","Sin fecha de inicio"&amp;" · ","")&amp;IF($AN112="","Sin fecha límite"&amp;" · ","")&amp;IF(AND(LEFT($C112,11)="[Jefatura] ",N($AL112)=0),"No se encuentra en la hoja de la jefatura (elíjala de nuevo en la lista)"&amp;" · ","")&amp;IF(OR(AND($E112&lt;&gt;"",NOT(ISNUMBER($E112))),AND($F112&lt;&gt;"",NOT(ISNUMBER($F112))),AND($G112&lt;&gt;"",NOT(ISNUMBER($G112)))),"Fecha no válida"&amp;" · ","")&amp;IF(AND(ISNUMBER($AM112),ISNUMBER($AN112),$AM112&gt;$AN112),"Inicio posterior a fecha límite"&amp;" · ","")&amp;IF(AND($V112="Macro",$H112&lt;&gt;"",OR(NOT(ISNUMBER($H112)),$H112&lt;0,$H112&gt;1)),"Peso fuera de rango"&amp;" · ","")&amp;IF(AND($V112="Sub",$H112&lt;&gt;""),"Las subactividades no llevan peso (valen igual dentro de su macroactividad)"&amp;" · ","")&amp;IF(AND(N($W112)&gt;0,COUNT($I112:$L112)&gt;0),"Con subactividades: deje vacías las semanas (se calculan solas)"&amp;" · ","")&amp;IF((COUNTIF($I112:$L112,"&gt;1")+COUNTIF($I112:$L112,"&lt;0")+COUNTA($I112:$L112)-COUNT($I112:$L112))&gt;0,"Avance fuera de rango 0-100%"&amp;" · ","")&amp;IF(OR(AND($J112&lt;&gt;"",$J112&lt;$I112),AND($K112&lt;&gt;"",$K112&lt;MAX($I112:$J112)),AND($L112&lt;&gt;"",$L112&lt;MAX($I112:$K112))),"Avance semanal decreciente"&amp;" · ","")&amp;IF(AND(ISNUMBER($AN112),$AN112&lt;FechaRef,IF($V112="Sub",N($X112),N($M112))&lt;1),"Vencida"&amp;" · ","")&amp;IF(AND(ObsObligatoria="Sí",ISNUMBER($AN112),$AN112&lt;FechaRef,IF($V112="Sub",N($X112),N($M112))&lt;1,$Q112=""),"Vencida sin observación"&amp;" · ",""),LEN(IF($C112="","Falta el nombre de la actividad"&amp;" · ","")&amp;IF(AND($V112="Sub",N($U112)=0),"Subactividad sin macroactividad arriba"&amp;" · ","")&amp;IF($AM112="","Sin fecha de inicio"&amp;" · ","")&amp;IF($AN112="","Sin fecha límite"&amp;" · ","")&amp;IF(AND(LEFT($C112,11)="[Jefatura] ",N($AL112)=0),"No se encuentra en la hoja de la jefatura (elíjala de nuevo en la lista)"&amp;" · ","")&amp;IF(OR(AND($E112&lt;&gt;"",NOT(ISNUMBER($E112))),AND($F112&lt;&gt;"",NOT(ISNUMBER($F112))),AND($G112&lt;&gt;"",NOT(ISNUMBER($G112)))),"Fecha no válida"&amp;" · ","")&amp;IF(AND(ISNUMBER($AM112),ISNUMBER($AN112),$AM112&gt;$AN112),"Inicio posterior a fecha límite"&amp;" · ","")&amp;IF(AND($V112="Macro",$H112&lt;&gt;"",OR(NOT(ISNUMBER($H112)),$H112&lt;0,$H112&gt;1)),"Peso fuera de rango"&amp;" · ","")&amp;IF(AND($V112="Sub",$H112&lt;&gt;""),"Las subactividades no llevan peso (valen igual dentro de su macroactividad)"&amp;" · ","")&amp;IF(AND(N($W112)&gt;0,COUNT($I112:$L112)&gt;0),"Con subactividades: deje vacías las semanas (se calculan solas)"&amp;" · ","")&amp;IF((COUNTIF($I112:$L112,"&gt;1")+COUNTIF($I112:$L112,"&lt;0")+COUNTA($I112:$L112)-COUNT($I112:$L112))&gt;0,"Avance fuera de rango 0-100%"&amp;" · ","")&amp;IF(OR(AND($J112&lt;&gt;"",$J112&lt;$I112),AND($K112&lt;&gt;"",$K112&lt;MAX($I112:$J112)),AND($L112&lt;&gt;"",$L112&lt;MAX($I112:$K112))),"Avance semanal decreciente"&amp;" · ","")&amp;IF(AND(ISNUMBER($AN112),$AN112&lt;FechaRef,IF($V112="Sub",N($X112),N($M112))&lt;1),"Vencida"&amp;" · ","")&amp;IF(AND(ObsObligatoria="Sí",ISNUMBER($AN112),$AN112&lt;FechaRef,IF($V112="Sub",N($X112),N($M112))&lt;1,$Q112=""),"Vencida sin observación"&amp;" · ",""))-3)))</f>
        <v/>
      </c>
      <c r="S112" s="64">
        <f>IF(NOT((COUNTA($B112:$D112)+COUNTA($G112:$L112)+COUNTA($Q112))&gt;0),"",IF(AND($V112="Sub",N($U112)&gt;0),IF(ISNUMBER(INDEX($AM$5:$AM$1000,$U112-4)),DATE(YEAR(INDEX($AM$5:$AM$1000,$U112-4)),MONTH(INDEX($AM$5:$AM$1000,$U112-4)),1),IF(ISNUMBER(INDEX($AN$5:$AN$1000,$U112-4)),DATE(YEAR(INDEX($AN$5:$AN$1000,$U112-4)),MONTH(INDEX($AN$5:$AN$1000,$U112-4)),1),MesCiclo)),IF(ISNUMBER($AM112),DATE(YEAR($AM112),MONTH($AM112),1),IF(ISNUMBER($AN112),DATE(YEAR($AN112),MONTH($AN112),1),MesCiclo))))</f>
        <v/>
      </c>
      <c r="T112" s="62">
        <f>IF(OR($S112="",$S112&lt;&gt;MesCiclo,$V112&lt;&gt;"Macro"),"",COUNTIFS($S$5:$S112,MesCiclo,$V$5:$V112,"Macro"))</f>
        <v/>
      </c>
      <c r="U112" s="62">
        <f>IF($V112="","",IF($V112="Macro",ROW(),IFERROR(LOOKUP(2,1/($V$5:$V112="Macro"),ROW($V$5:$V112)),0)))</f>
        <v/>
      </c>
      <c r="V112" s="62">
        <f>IF(NOT((COUNTA($B112:$D112)+COUNTA($G112:$L112)+COUNTA($Q112))&gt;0),"",IF($B112="Subactividad","Sub","Macro"))</f>
        <v/>
      </c>
      <c r="W112" s="62">
        <f>IF($V112="Macro",COUNTIFS($U$5:$U$1000,ROW(),$V$5:$V$1000,"Sub"),"")</f>
        <v/>
      </c>
      <c r="X112" s="62">
        <f>IF($V112="","",IF(ISNUMBER($G112),1,IFERROR(LOOKUP(2,1/($I112:$L112&lt;&gt;""),$I112:$L112),0)))</f>
        <v/>
      </c>
      <c r="Y112" s="62">
        <f>IF($V112="","",IF(AND(ISNUMBER($G112),$G112&lt;=IF($S112=MesCiclo,InicioCiclo,$S112+MOD(2-WEEKDAY($S112),7))+6),1,IF(ISNUMBER($I112),$I112,0)))</f>
        <v/>
      </c>
      <c r="Z112" s="62">
        <f>IF($V112="","",IF(AND(ISNUMBER($G112),$G112&lt;=IF($S112=MesCiclo,InicioCiclo,$S112+MOD(2-WEEKDAY($S112),7))+13),1,IF(ISNUMBER($J112),$J112,$Y112)))</f>
        <v/>
      </c>
      <c r="AA112" s="62">
        <f>IF($V112="","",IF(AND(ISNUMBER($G112),$G112&lt;=IF($S112=MesCiclo,InicioCiclo,$S112+MOD(2-WEEKDAY($S112),7))+20),1,IF(ISNUMBER($K112),$K112,$Z112)))</f>
        <v/>
      </c>
      <c r="AB112" s="62">
        <f>IF($V112="","",IF(AND(ISNUMBER($G112),$G112&lt;=IF($S112=MesCiclo,InicioCiclo,$S112+MOD(2-WEEKDAY($S112),7))+27),1,IF(ISNUMBER($L112),$L112,$AA112)))</f>
        <v/>
      </c>
      <c r="AC112" s="62">
        <f>IF($V112="","",IF(AND(ISNUMBER($G112),$G112&lt;=IF($S112=MesCiclo,InicioCiclo,$S112+MOD(2-WEEKDAY($S112),7))+6),1,IF(N($W112)&gt;0,AVERAGEIFS($Y$5:$Y$1000,$U$5:$U$1000,ROW(),$V$5:$V$1000,"Sub"),$Y112)))</f>
        <v/>
      </c>
      <c r="AD112" s="62">
        <f>IF($V112="","",IF(AND(ISNUMBER($G112),$G112&lt;=IF($S112=MesCiclo,InicioCiclo,$S112+MOD(2-WEEKDAY($S112),7))+13),1,IF(N($W112)&gt;0,AVERAGEIFS($Z$5:$Z$1000,$U$5:$U$1000,ROW(),$V$5:$V$1000,"Sub"),$Z112)))</f>
        <v/>
      </c>
      <c r="AE112" s="62">
        <f>IF($V112="","",IF(AND(ISNUMBER($G112),$G112&lt;=IF($S112=MesCiclo,InicioCiclo,$S112+MOD(2-WEEKDAY($S112),7))+20),1,IF(N($W112)&gt;0,AVERAGEIFS($AA$5:$AA$1000,$U$5:$U$1000,ROW(),$V$5:$V$1000,"Sub"),$AA112)))</f>
        <v/>
      </c>
      <c r="AF112" s="62">
        <f>IF($V112="","",IF(AND(ISNUMBER($G112),$G112&lt;=IF($S112=MesCiclo,InicioCiclo,$S112+MOD(2-WEEKDAY($S112),7))+27),1,IF(N($W112)&gt;0,AVERAGEIFS($AB$5:$AB$1000,$U$5:$U$1000,ROW(),$V$5:$V$1000,"Sub"),$AB112)))</f>
        <v/>
      </c>
      <c r="AG112" s="62">
        <f>IF($V112&lt;&gt;"Macro","",IF(COUNTIFS($S$5:$S$1000,$S112,$V$5:$V$1000,"Macro",$H$5:$H$1000,"&gt;0")=0,1/COUNTIFS($S$5:$S$1000,$S112,$V$5:$V$1000,"Macro"),IF(AND(ISNUMBER($H112),N($H112)&gt;0),$H112,SUMIFS($H$5:$H$1000,$S$5:$S$1000,$S112,$V$5:$V$1000,"Macro")/COUNTIFS($S$5:$S$1000,$S112,$V$5:$V$1000,"Macro",$H$5:$H$1000,"&gt;0"))/(COUNTIFS($S$5:$S$1000,$S112,$V$5:$V$1000,"Macro")*SUMIFS($H$5:$H$1000,$S$5:$S$1000,$S112,$V$5:$V$1000,"Macro")/COUNTIFS($S$5:$S$1000,$S112,$V$5:$V$1000,"Macro",$H$5:$H$1000,"&gt;0"))))</f>
        <v/>
      </c>
      <c r="AH112" s="62" t="n"/>
      <c r="AI112" s="62" t="n"/>
      <c r="AJ112" s="62" t="n"/>
      <c r="AK112" s="62" t="n"/>
      <c r="AL112" s="62">
        <f>IF(LEFT($C112,11)="[Jefatura] ",IFERROR(MATCH("Riesgo Operacional|"&amp;MID($C112,12,500),rDname_ADM,0),0),"")</f>
        <v/>
      </c>
      <c r="AM112" s="62">
        <f>IF(N($AL112)&gt;0,INDEX(rIni_ADM,$AL112),IF(ISNUMBER($E112),$E112,""))</f>
        <v/>
      </c>
      <c r="AN112" s="62">
        <f>IF(N($AL112)&gt;0,INDEX(rLim_ADM,$AL112),IF(ISNUMBER($F112),$F112,""))</f>
        <v/>
      </c>
    </row>
    <row r="113">
      <c r="A113" s="56">
        <f>IF(NOT((COUNTA($B113:$D113)+COUNTA($G113:$L113)+COUNTA($Q113))&gt;0),"",IF($V113="Macro",COUNTIFS($V$5:$V113,"Macro",$S$5:$S113,$S113),IF(N($U113)=0,"?",COUNTIFS(INDEX($V$5:$V$1000,1):INDEX($V$5:$V$1000,$U113-4),"Macro",INDEX($S$5:$S$1000,1):INDEX($S$5:$S$1000,$U113-4),INDEX($S$5:$S$1000,$U113-4))&amp;"."&amp;COUNTIFS($U$5:$U113,$U113,$V$5:$V113,"Sub"))))</f>
        <v/>
      </c>
      <c r="B113" s="57" t="n"/>
      <c r="C113" s="58" t="n"/>
      <c r="D113" s="58" t="n"/>
      <c r="E113" s="59">
        <f>IF(N($AL113)&gt;0,INDEX(rIni_ADM,$AL113),"")</f>
        <v/>
      </c>
      <c r="F113" s="59">
        <f>IF(N($AL113)&gt;0,INDEX(rLim_ADM,$AL113),"")</f>
        <v/>
      </c>
      <c r="G113" s="59" t="n"/>
      <c r="H113" s="60" t="n"/>
      <c r="I113" s="60" t="n"/>
      <c r="J113" s="60" t="n"/>
      <c r="K113" s="60" t="n"/>
      <c r="L113" s="60" t="n"/>
      <c r="M113" s="61">
        <f>IF(NOT((COUNTA($B113:$D113)+COUNTA($G113:$L113)+COUNTA($Q113))&gt;0),"",IF($V113="Sub",IFERROR($X113/INDEX($W$5:$W$1000,$U113-4),""),IF(ISNUMBER($G113),1,IF(N($W113)&gt;0,AVERAGEIFS($X$5:$X$1000,$U$5:$U$1000,ROW(),$V$5:$V$1000,"Sub"),$X113))))</f>
        <v/>
      </c>
      <c r="N113" s="56">
        <f>IF(OR($M113="",$V113="Sub"),"",IF($M113&gt;=1,"Completado",IF($M113&gt;0,"En curso","Pendiente")))</f>
        <v/>
      </c>
      <c r="O113" s="56">
        <f>IF(OR(NOT((COUNTA($B113:$D113)+COUNTA($G113:$L113)+COUNTA($Q113))&gt;0),$V113="Sub"),"",IF(ISNUMBER($G113),IF(AND(ISNUMBER($AN113),$G113&gt;$AN113),"Cumplida con "&amp;($G113-$AN113)&amp;IF($G113-$AN113=1," día"," días")&amp;" de retraso","Cumplida"),IF(N($M113)&gt;=1,"Cumplida",IF(NOT(ISNUMBER($AN113)),"Sin fecha límite",IF($AN113&lt;FechaRef,"Vencida hace "&amp;(FechaRef-$AN113)&amp;IF(FechaRef-$AN113=1," día"," días"),IF($AN113=FechaRef,"Vence hoy",IF($AN113-FechaRef&lt;=DiasAlerta,"Vence en "&amp;($AN113-FechaRef)&amp;IF($AN113-FechaRef=1," día"," días"),"En plazo")))))))</f>
        <v/>
      </c>
      <c r="P113" s="62" t="n"/>
      <c r="Q113" s="58" t="n"/>
      <c r="R113" s="63">
        <f>IF(NOT((COUNTA($B113:$D113)+COUNTA($G113:$L113)+COUNTA($Q113))&gt;0),"",IF((IF($C113="","Falta el nombre de la actividad"&amp;" · ","")&amp;IF(AND($V113="Sub",N($U113)=0),"Subactividad sin macroactividad arriba"&amp;" · ","")&amp;IF($AM113="","Sin fecha de inicio"&amp;" · ","")&amp;IF($AN113="","Sin fecha límite"&amp;" · ","")&amp;IF(AND(LEFT($C113,11)="[Jefatura] ",N($AL113)=0),"No se encuentra en la hoja de la jefatura (elíjala de nuevo en la lista)"&amp;" · ","")&amp;IF(OR(AND($E113&lt;&gt;"",NOT(ISNUMBER($E113))),AND($F113&lt;&gt;"",NOT(ISNUMBER($F113))),AND($G113&lt;&gt;"",NOT(ISNUMBER($G113)))),"Fecha no válida"&amp;" · ","")&amp;IF(AND(ISNUMBER($AM113),ISNUMBER($AN113),$AM113&gt;$AN113),"Inicio posterior a fecha límite"&amp;" · ","")&amp;IF(AND($V113="Macro",$H113&lt;&gt;"",OR(NOT(ISNUMBER($H113)),$H113&lt;0,$H113&gt;1)),"Peso fuera de rango"&amp;" · ","")&amp;IF(AND($V113="Sub",$H113&lt;&gt;""),"Las subactividades no llevan peso (valen igual dentro de su macroactividad)"&amp;" · ","")&amp;IF(AND(N($W113)&gt;0,COUNT($I113:$L113)&gt;0),"Con subactividades: deje vacías las semanas (se calculan solas)"&amp;" · ","")&amp;IF((COUNTIF($I113:$L113,"&gt;1")+COUNTIF($I113:$L113,"&lt;0")+COUNTA($I113:$L113)-COUNT($I113:$L113))&gt;0,"Avance fuera de rango 0-100%"&amp;" · ","")&amp;IF(OR(AND($J113&lt;&gt;"",$J113&lt;$I113),AND($K113&lt;&gt;"",$K113&lt;MAX($I113:$J113)),AND($L113&lt;&gt;"",$L113&lt;MAX($I113:$K113))),"Avance semanal decreciente"&amp;" · ","")&amp;IF(AND(ISNUMBER($AN113),$AN113&lt;FechaRef,IF($V113="Sub",N($X113),N($M113))&lt;1),"Vencida"&amp;" · ","")&amp;IF(AND(ObsObligatoria="Sí",ISNUMBER($AN113),$AN113&lt;FechaRef,IF($V113="Sub",N($X113),N($M113))&lt;1,$Q113=""),"Vencida sin observación"&amp;" · ",""))="","✔ OK","⚠ "&amp;LEFT(IF($C113="","Falta el nombre de la actividad"&amp;" · ","")&amp;IF(AND($V113="Sub",N($U113)=0),"Subactividad sin macroactividad arriba"&amp;" · ","")&amp;IF($AM113="","Sin fecha de inicio"&amp;" · ","")&amp;IF($AN113="","Sin fecha límite"&amp;" · ","")&amp;IF(AND(LEFT($C113,11)="[Jefatura] ",N($AL113)=0),"No se encuentra en la hoja de la jefatura (elíjala de nuevo en la lista)"&amp;" · ","")&amp;IF(OR(AND($E113&lt;&gt;"",NOT(ISNUMBER($E113))),AND($F113&lt;&gt;"",NOT(ISNUMBER($F113))),AND($G113&lt;&gt;"",NOT(ISNUMBER($G113)))),"Fecha no válida"&amp;" · ","")&amp;IF(AND(ISNUMBER($AM113),ISNUMBER($AN113),$AM113&gt;$AN113),"Inicio posterior a fecha límite"&amp;" · ","")&amp;IF(AND($V113="Macro",$H113&lt;&gt;"",OR(NOT(ISNUMBER($H113)),$H113&lt;0,$H113&gt;1)),"Peso fuera de rango"&amp;" · ","")&amp;IF(AND($V113="Sub",$H113&lt;&gt;""),"Las subactividades no llevan peso (valen igual dentro de su macroactividad)"&amp;" · ","")&amp;IF(AND(N($W113)&gt;0,COUNT($I113:$L113)&gt;0),"Con subactividades: deje vacías las semanas (se calculan solas)"&amp;" · ","")&amp;IF((COUNTIF($I113:$L113,"&gt;1")+COUNTIF($I113:$L113,"&lt;0")+COUNTA($I113:$L113)-COUNT($I113:$L113))&gt;0,"Avance fuera de rango 0-100%"&amp;" · ","")&amp;IF(OR(AND($J113&lt;&gt;"",$J113&lt;$I113),AND($K113&lt;&gt;"",$K113&lt;MAX($I113:$J113)),AND($L113&lt;&gt;"",$L113&lt;MAX($I113:$K113))),"Avance semanal decreciente"&amp;" · ","")&amp;IF(AND(ISNUMBER($AN113),$AN113&lt;FechaRef,IF($V113="Sub",N($X113),N($M113))&lt;1),"Vencida"&amp;" · ","")&amp;IF(AND(ObsObligatoria="Sí",ISNUMBER($AN113),$AN113&lt;FechaRef,IF($V113="Sub",N($X113),N($M113))&lt;1,$Q113=""),"Vencida sin observación"&amp;" · ",""),LEN(IF($C113="","Falta el nombre de la actividad"&amp;" · ","")&amp;IF(AND($V113="Sub",N($U113)=0),"Subactividad sin macroactividad arriba"&amp;" · ","")&amp;IF($AM113="","Sin fecha de inicio"&amp;" · ","")&amp;IF($AN113="","Sin fecha límite"&amp;" · ","")&amp;IF(AND(LEFT($C113,11)="[Jefatura] ",N($AL113)=0),"No se encuentra en la hoja de la jefatura (elíjala de nuevo en la lista)"&amp;" · ","")&amp;IF(OR(AND($E113&lt;&gt;"",NOT(ISNUMBER($E113))),AND($F113&lt;&gt;"",NOT(ISNUMBER($F113))),AND($G113&lt;&gt;"",NOT(ISNUMBER($G113)))),"Fecha no válida"&amp;" · ","")&amp;IF(AND(ISNUMBER($AM113),ISNUMBER($AN113),$AM113&gt;$AN113),"Inicio posterior a fecha límite"&amp;" · ","")&amp;IF(AND($V113="Macro",$H113&lt;&gt;"",OR(NOT(ISNUMBER($H113)),$H113&lt;0,$H113&gt;1)),"Peso fuera de rango"&amp;" · ","")&amp;IF(AND($V113="Sub",$H113&lt;&gt;""),"Las subactividades no llevan peso (valen igual dentro de su macroactividad)"&amp;" · ","")&amp;IF(AND(N($W113)&gt;0,COUNT($I113:$L113)&gt;0),"Con subactividades: deje vacías las semanas (se calculan solas)"&amp;" · ","")&amp;IF((COUNTIF($I113:$L113,"&gt;1")+COUNTIF($I113:$L113,"&lt;0")+COUNTA($I113:$L113)-COUNT($I113:$L113))&gt;0,"Avance fuera de rango 0-100%"&amp;" · ","")&amp;IF(OR(AND($J113&lt;&gt;"",$J113&lt;$I113),AND($K113&lt;&gt;"",$K113&lt;MAX($I113:$J113)),AND($L113&lt;&gt;"",$L113&lt;MAX($I113:$K113))),"Avance semanal decreciente"&amp;" · ","")&amp;IF(AND(ISNUMBER($AN113),$AN113&lt;FechaRef,IF($V113="Sub",N($X113),N($M113))&lt;1),"Vencida"&amp;" · ","")&amp;IF(AND(ObsObligatoria="Sí",ISNUMBER($AN113),$AN113&lt;FechaRef,IF($V113="Sub",N($X113),N($M113))&lt;1,$Q113=""),"Vencida sin observación"&amp;" · ",""))-3)))</f>
        <v/>
      </c>
      <c r="S113" s="64">
        <f>IF(NOT((COUNTA($B113:$D113)+COUNTA($G113:$L113)+COUNTA($Q113))&gt;0),"",IF(AND($V113="Sub",N($U113)&gt;0),IF(ISNUMBER(INDEX($AM$5:$AM$1000,$U113-4)),DATE(YEAR(INDEX($AM$5:$AM$1000,$U113-4)),MONTH(INDEX($AM$5:$AM$1000,$U113-4)),1),IF(ISNUMBER(INDEX($AN$5:$AN$1000,$U113-4)),DATE(YEAR(INDEX($AN$5:$AN$1000,$U113-4)),MONTH(INDEX($AN$5:$AN$1000,$U113-4)),1),MesCiclo)),IF(ISNUMBER($AM113),DATE(YEAR($AM113),MONTH($AM113),1),IF(ISNUMBER($AN113),DATE(YEAR($AN113),MONTH($AN113),1),MesCiclo))))</f>
        <v/>
      </c>
      <c r="T113" s="62">
        <f>IF(OR($S113="",$S113&lt;&gt;MesCiclo,$V113&lt;&gt;"Macro"),"",COUNTIFS($S$5:$S113,MesCiclo,$V$5:$V113,"Macro"))</f>
        <v/>
      </c>
      <c r="U113" s="62">
        <f>IF($V113="","",IF($V113="Macro",ROW(),IFERROR(LOOKUP(2,1/($V$5:$V113="Macro"),ROW($V$5:$V113)),0)))</f>
        <v/>
      </c>
      <c r="V113" s="62">
        <f>IF(NOT((COUNTA($B113:$D113)+COUNTA($G113:$L113)+COUNTA($Q113))&gt;0),"",IF($B113="Subactividad","Sub","Macro"))</f>
        <v/>
      </c>
      <c r="W113" s="62">
        <f>IF($V113="Macro",COUNTIFS($U$5:$U$1000,ROW(),$V$5:$V$1000,"Sub"),"")</f>
        <v/>
      </c>
      <c r="X113" s="62">
        <f>IF($V113="","",IF(ISNUMBER($G113),1,IFERROR(LOOKUP(2,1/($I113:$L113&lt;&gt;""),$I113:$L113),0)))</f>
        <v/>
      </c>
      <c r="Y113" s="62">
        <f>IF($V113="","",IF(AND(ISNUMBER($G113),$G113&lt;=IF($S113=MesCiclo,InicioCiclo,$S113+MOD(2-WEEKDAY($S113),7))+6),1,IF(ISNUMBER($I113),$I113,0)))</f>
        <v/>
      </c>
      <c r="Z113" s="62">
        <f>IF($V113="","",IF(AND(ISNUMBER($G113),$G113&lt;=IF($S113=MesCiclo,InicioCiclo,$S113+MOD(2-WEEKDAY($S113),7))+13),1,IF(ISNUMBER($J113),$J113,$Y113)))</f>
        <v/>
      </c>
      <c r="AA113" s="62">
        <f>IF($V113="","",IF(AND(ISNUMBER($G113),$G113&lt;=IF($S113=MesCiclo,InicioCiclo,$S113+MOD(2-WEEKDAY($S113),7))+20),1,IF(ISNUMBER($K113),$K113,$Z113)))</f>
        <v/>
      </c>
      <c r="AB113" s="62">
        <f>IF($V113="","",IF(AND(ISNUMBER($G113),$G113&lt;=IF($S113=MesCiclo,InicioCiclo,$S113+MOD(2-WEEKDAY($S113),7))+27),1,IF(ISNUMBER($L113),$L113,$AA113)))</f>
        <v/>
      </c>
      <c r="AC113" s="62">
        <f>IF($V113="","",IF(AND(ISNUMBER($G113),$G113&lt;=IF($S113=MesCiclo,InicioCiclo,$S113+MOD(2-WEEKDAY($S113),7))+6),1,IF(N($W113)&gt;0,AVERAGEIFS($Y$5:$Y$1000,$U$5:$U$1000,ROW(),$V$5:$V$1000,"Sub"),$Y113)))</f>
        <v/>
      </c>
      <c r="AD113" s="62">
        <f>IF($V113="","",IF(AND(ISNUMBER($G113),$G113&lt;=IF($S113=MesCiclo,InicioCiclo,$S113+MOD(2-WEEKDAY($S113),7))+13),1,IF(N($W113)&gt;0,AVERAGEIFS($Z$5:$Z$1000,$U$5:$U$1000,ROW(),$V$5:$V$1000,"Sub"),$Z113)))</f>
        <v/>
      </c>
      <c r="AE113" s="62">
        <f>IF($V113="","",IF(AND(ISNUMBER($G113),$G113&lt;=IF($S113=MesCiclo,InicioCiclo,$S113+MOD(2-WEEKDAY($S113),7))+20),1,IF(N($W113)&gt;0,AVERAGEIFS($AA$5:$AA$1000,$U$5:$U$1000,ROW(),$V$5:$V$1000,"Sub"),$AA113)))</f>
        <v/>
      </c>
      <c r="AF113" s="62">
        <f>IF($V113="","",IF(AND(ISNUMBER($G113),$G113&lt;=IF($S113=MesCiclo,InicioCiclo,$S113+MOD(2-WEEKDAY($S113),7))+27),1,IF(N($W113)&gt;0,AVERAGEIFS($AB$5:$AB$1000,$U$5:$U$1000,ROW(),$V$5:$V$1000,"Sub"),$AB113)))</f>
        <v/>
      </c>
      <c r="AG113" s="62">
        <f>IF($V113&lt;&gt;"Macro","",IF(COUNTIFS($S$5:$S$1000,$S113,$V$5:$V$1000,"Macro",$H$5:$H$1000,"&gt;0")=0,1/COUNTIFS($S$5:$S$1000,$S113,$V$5:$V$1000,"Macro"),IF(AND(ISNUMBER($H113),N($H113)&gt;0),$H113,SUMIFS($H$5:$H$1000,$S$5:$S$1000,$S113,$V$5:$V$1000,"Macro")/COUNTIFS($S$5:$S$1000,$S113,$V$5:$V$1000,"Macro",$H$5:$H$1000,"&gt;0"))/(COUNTIFS($S$5:$S$1000,$S113,$V$5:$V$1000,"Macro")*SUMIFS($H$5:$H$1000,$S$5:$S$1000,$S113,$V$5:$V$1000,"Macro")/COUNTIFS($S$5:$S$1000,$S113,$V$5:$V$1000,"Macro",$H$5:$H$1000,"&gt;0"))))</f>
        <v/>
      </c>
      <c r="AH113" s="62" t="n"/>
      <c r="AI113" s="62" t="n"/>
      <c r="AJ113" s="62" t="n"/>
      <c r="AK113" s="62" t="n"/>
      <c r="AL113" s="62">
        <f>IF(LEFT($C113,11)="[Jefatura] ",IFERROR(MATCH("Riesgo Operacional|"&amp;MID($C113,12,500),rDname_ADM,0),0),"")</f>
        <v/>
      </c>
      <c r="AM113" s="62">
        <f>IF(N($AL113)&gt;0,INDEX(rIni_ADM,$AL113),IF(ISNUMBER($E113),$E113,""))</f>
        <v/>
      </c>
      <c r="AN113" s="62">
        <f>IF(N($AL113)&gt;0,INDEX(rLim_ADM,$AL113),IF(ISNUMBER($F113),$F113,""))</f>
        <v/>
      </c>
    </row>
    <row r="114">
      <c r="A114" s="56">
        <f>IF(NOT((COUNTA($B114:$D114)+COUNTA($G114:$L114)+COUNTA($Q114))&gt;0),"",IF($V114="Macro",COUNTIFS($V$5:$V114,"Macro",$S$5:$S114,$S114),IF(N($U114)=0,"?",COUNTIFS(INDEX($V$5:$V$1000,1):INDEX($V$5:$V$1000,$U114-4),"Macro",INDEX($S$5:$S$1000,1):INDEX($S$5:$S$1000,$U114-4),INDEX($S$5:$S$1000,$U114-4))&amp;"."&amp;COUNTIFS($U$5:$U114,$U114,$V$5:$V114,"Sub"))))</f>
        <v/>
      </c>
      <c r="B114" s="57" t="n"/>
      <c r="C114" s="58" t="n"/>
      <c r="D114" s="58" t="n"/>
      <c r="E114" s="59">
        <f>IF(N($AL114)&gt;0,INDEX(rIni_ADM,$AL114),"")</f>
        <v/>
      </c>
      <c r="F114" s="59">
        <f>IF(N($AL114)&gt;0,INDEX(rLim_ADM,$AL114),"")</f>
        <v/>
      </c>
      <c r="G114" s="59" t="n"/>
      <c r="H114" s="60" t="n"/>
      <c r="I114" s="60" t="n"/>
      <c r="J114" s="60" t="n"/>
      <c r="K114" s="60" t="n"/>
      <c r="L114" s="60" t="n"/>
      <c r="M114" s="61">
        <f>IF(NOT((COUNTA($B114:$D114)+COUNTA($G114:$L114)+COUNTA($Q114))&gt;0),"",IF($V114="Sub",IFERROR($X114/INDEX($W$5:$W$1000,$U114-4),""),IF(ISNUMBER($G114),1,IF(N($W114)&gt;0,AVERAGEIFS($X$5:$X$1000,$U$5:$U$1000,ROW(),$V$5:$V$1000,"Sub"),$X114))))</f>
        <v/>
      </c>
      <c r="N114" s="56">
        <f>IF(OR($M114="",$V114="Sub"),"",IF($M114&gt;=1,"Completado",IF($M114&gt;0,"En curso","Pendiente")))</f>
        <v/>
      </c>
      <c r="O114" s="56">
        <f>IF(OR(NOT((COUNTA($B114:$D114)+COUNTA($G114:$L114)+COUNTA($Q114))&gt;0),$V114="Sub"),"",IF(ISNUMBER($G114),IF(AND(ISNUMBER($AN114),$G114&gt;$AN114),"Cumplida con "&amp;($G114-$AN114)&amp;IF($G114-$AN114=1," día"," días")&amp;" de retraso","Cumplida"),IF(N($M114)&gt;=1,"Cumplida",IF(NOT(ISNUMBER($AN114)),"Sin fecha límite",IF($AN114&lt;FechaRef,"Vencida hace "&amp;(FechaRef-$AN114)&amp;IF(FechaRef-$AN114=1," día"," días"),IF($AN114=FechaRef,"Vence hoy",IF($AN114-FechaRef&lt;=DiasAlerta,"Vence en "&amp;($AN114-FechaRef)&amp;IF($AN114-FechaRef=1," día"," días"),"En plazo")))))))</f>
        <v/>
      </c>
      <c r="P114" s="62" t="n"/>
      <c r="Q114" s="58" t="n"/>
      <c r="R114" s="63">
        <f>IF(NOT((COUNTA($B114:$D114)+COUNTA($G114:$L114)+COUNTA($Q114))&gt;0),"",IF((IF($C114="","Falta el nombre de la actividad"&amp;" · ","")&amp;IF(AND($V114="Sub",N($U114)=0),"Subactividad sin macroactividad arriba"&amp;" · ","")&amp;IF($AM114="","Sin fecha de inicio"&amp;" · ","")&amp;IF($AN114="","Sin fecha límite"&amp;" · ","")&amp;IF(AND(LEFT($C114,11)="[Jefatura] ",N($AL114)=0),"No se encuentra en la hoja de la jefatura (elíjala de nuevo en la lista)"&amp;" · ","")&amp;IF(OR(AND($E114&lt;&gt;"",NOT(ISNUMBER($E114))),AND($F114&lt;&gt;"",NOT(ISNUMBER($F114))),AND($G114&lt;&gt;"",NOT(ISNUMBER($G114)))),"Fecha no válida"&amp;" · ","")&amp;IF(AND(ISNUMBER($AM114),ISNUMBER($AN114),$AM114&gt;$AN114),"Inicio posterior a fecha límite"&amp;" · ","")&amp;IF(AND($V114="Macro",$H114&lt;&gt;"",OR(NOT(ISNUMBER($H114)),$H114&lt;0,$H114&gt;1)),"Peso fuera de rango"&amp;" · ","")&amp;IF(AND($V114="Sub",$H114&lt;&gt;""),"Las subactividades no llevan peso (valen igual dentro de su macroactividad)"&amp;" · ","")&amp;IF(AND(N($W114)&gt;0,COUNT($I114:$L114)&gt;0),"Con subactividades: deje vacías las semanas (se calculan solas)"&amp;" · ","")&amp;IF((COUNTIF($I114:$L114,"&gt;1")+COUNTIF($I114:$L114,"&lt;0")+COUNTA($I114:$L114)-COUNT($I114:$L114))&gt;0,"Avance fuera de rango 0-100%"&amp;" · ","")&amp;IF(OR(AND($J114&lt;&gt;"",$J114&lt;$I114),AND($K114&lt;&gt;"",$K114&lt;MAX($I114:$J114)),AND($L114&lt;&gt;"",$L114&lt;MAX($I114:$K114))),"Avance semanal decreciente"&amp;" · ","")&amp;IF(AND(ISNUMBER($AN114),$AN114&lt;FechaRef,IF($V114="Sub",N($X114),N($M114))&lt;1),"Vencida"&amp;" · ","")&amp;IF(AND(ObsObligatoria="Sí",ISNUMBER($AN114),$AN114&lt;FechaRef,IF($V114="Sub",N($X114),N($M114))&lt;1,$Q114=""),"Vencida sin observación"&amp;" · ",""))="","✔ OK","⚠ "&amp;LEFT(IF($C114="","Falta el nombre de la actividad"&amp;" · ","")&amp;IF(AND($V114="Sub",N($U114)=0),"Subactividad sin macroactividad arriba"&amp;" · ","")&amp;IF($AM114="","Sin fecha de inicio"&amp;" · ","")&amp;IF($AN114="","Sin fecha límite"&amp;" · ","")&amp;IF(AND(LEFT($C114,11)="[Jefatura] ",N($AL114)=0),"No se encuentra en la hoja de la jefatura (elíjala de nuevo en la lista)"&amp;" · ","")&amp;IF(OR(AND($E114&lt;&gt;"",NOT(ISNUMBER($E114))),AND($F114&lt;&gt;"",NOT(ISNUMBER($F114))),AND($G114&lt;&gt;"",NOT(ISNUMBER($G114)))),"Fecha no válida"&amp;" · ","")&amp;IF(AND(ISNUMBER($AM114),ISNUMBER($AN114),$AM114&gt;$AN114),"Inicio posterior a fecha límite"&amp;" · ","")&amp;IF(AND($V114="Macro",$H114&lt;&gt;"",OR(NOT(ISNUMBER($H114)),$H114&lt;0,$H114&gt;1)),"Peso fuera de rango"&amp;" · ","")&amp;IF(AND($V114="Sub",$H114&lt;&gt;""),"Las subactividades no llevan peso (valen igual dentro de su macroactividad)"&amp;" · ","")&amp;IF(AND(N($W114)&gt;0,COUNT($I114:$L114)&gt;0),"Con subactividades: deje vacías las semanas (se calculan solas)"&amp;" · ","")&amp;IF((COUNTIF($I114:$L114,"&gt;1")+COUNTIF($I114:$L114,"&lt;0")+COUNTA($I114:$L114)-COUNT($I114:$L114))&gt;0,"Avance fuera de rango 0-100%"&amp;" · ","")&amp;IF(OR(AND($J114&lt;&gt;"",$J114&lt;$I114),AND($K114&lt;&gt;"",$K114&lt;MAX($I114:$J114)),AND($L114&lt;&gt;"",$L114&lt;MAX($I114:$K114))),"Avance semanal decreciente"&amp;" · ","")&amp;IF(AND(ISNUMBER($AN114),$AN114&lt;FechaRef,IF($V114="Sub",N($X114),N($M114))&lt;1),"Vencida"&amp;" · ","")&amp;IF(AND(ObsObligatoria="Sí",ISNUMBER($AN114),$AN114&lt;FechaRef,IF($V114="Sub",N($X114),N($M114))&lt;1,$Q114=""),"Vencida sin observación"&amp;" · ",""),LEN(IF($C114="","Falta el nombre de la actividad"&amp;" · ","")&amp;IF(AND($V114="Sub",N($U114)=0),"Subactividad sin macroactividad arriba"&amp;" · ","")&amp;IF($AM114="","Sin fecha de inicio"&amp;" · ","")&amp;IF($AN114="","Sin fecha límite"&amp;" · ","")&amp;IF(AND(LEFT($C114,11)="[Jefatura] ",N($AL114)=0),"No se encuentra en la hoja de la jefatura (elíjala de nuevo en la lista)"&amp;" · ","")&amp;IF(OR(AND($E114&lt;&gt;"",NOT(ISNUMBER($E114))),AND($F114&lt;&gt;"",NOT(ISNUMBER($F114))),AND($G114&lt;&gt;"",NOT(ISNUMBER($G114)))),"Fecha no válida"&amp;" · ","")&amp;IF(AND(ISNUMBER($AM114),ISNUMBER($AN114),$AM114&gt;$AN114),"Inicio posterior a fecha límite"&amp;" · ","")&amp;IF(AND($V114="Macro",$H114&lt;&gt;"",OR(NOT(ISNUMBER($H114)),$H114&lt;0,$H114&gt;1)),"Peso fuera de rango"&amp;" · ","")&amp;IF(AND($V114="Sub",$H114&lt;&gt;""),"Las subactividades no llevan peso (valen igual dentro de su macroactividad)"&amp;" · ","")&amp;IF(AND(N($W114)&gt;0,COUNT($I114:$L114)&gt;0),"Con subactividades: deje vacías las semanas (se calculan solas)"&amp;" · ","")&amp;IF((COUNTIF($I114:$L114,"&gt;1")+COUNTIF($I114:$L114,"&lt;0")+COUNTA($I114:$L114)-COUNT($I114:$L114))&gt;0,"Avance fuera de rango 0-100%"&amp;" · ","")&amp;IF(OR(AND($J114&lt;&gt;"",$J114&lt;$I114),AND($K114&lt;&gt;"",$K114&lt;MAX($I114:$J114)),AND($L114&lt;&gt;"",$L114&lt;MAX($I114:$K114))),"Avance semanal decreciente"&amp;" · ","")&amp;IF(AND(ISNUMBER($AN114),$AN114&lt;FechaRef,IF($V114="Sub",N($X114),N($M114))&lt;1),"Vencida"&amp;" · ","")&amp;IF(AND(ObsObligatoria="Sí",ISNUMBER($AN114),$AN114&lt;FechaRef,IF($V114="Sub",N($X114),N($M114))&lt;1,$Q114=""),"Vencida sin observación"&amp;" · ",""))-3)))</f>
        <v/>
      </c>
      <c r="S114" s="64">
        <f>IF(NOT((COUNTA($B114:$D114)+COUNTA($G114:$L114)+COUNTA($Q114))&gt;0),"",IF(AND($V114="Sub",N($U114)&gt;0),IF(ISNUMBER(INDEX($AM$5:$AM$1000,$U114-4)),DATE(YEAR(INDEX($AM$5:$AM$1000,$U114-4)),MONTH(INDEX($AM$5:$AM$1000,$U114-4)),1),IF(ISNUMBER(INDEX($AN$5:$AN$1000,$U114-4)),DATE(YEAR(INDEX($AN$5:$AN$1000,$U114-4)),MONTH(INDEX($AN$5:$AN$1000,$U114-4)),1),MesCiclo)),IF(ISNUMBER($AM114),DATE(YEAR($AM114),MONTH($AM114),1),IF(ISNUMBER($AN114),DATE(YEAR($AN114),MONTH($AN114),1),MesCiclo))))</f>
        <v/>
      </c>
      <c r="T114" s="62">
        <f>IF(OR($S114="",$S114&lt;&gt;MesCiclo,$V114&lt;&gt;"Macro"),"",COUNTIFS($S$5:$S114,MesCiclo,$V$5:$V114,"Macro"))</f>
        <v/>
      </c>
      <c r="U114" s="62">
        <f>IF($V114="","",IF($V114="Macro",ROW(),IFERROR(LOOKUP(2,1/($V$5:$V114="Macro"),ROW($V$5:$V114)),0)))</f>
        <v/>
      </c>
      <c r="V114" s="62">
        <f>IF(NOT((COUNTA($B114:$D114)+COUNTA($G114:$L114)+COUNTA($Q114))&gt;0),"",IF($B114="Subactividad","Sub","Macro"))</f>
        <v/>
      </c>
      <c r="W114" s="62">
        <f>IF($V114="Macro",COUNTIFS($U$5:$U$1000,ROW(),$V$5:$V$1000,"Sub"),"")</f>
        <v/>
      </c>
      <c r="X114" s="62">
        <f>IF($V114="","",IF(ISNUMBER($G114),1,IFERROR(LOOKUP(2,1/($I114:$L114&lt;&gt;""),$I114:$L114),0)))</f>
        <v/>
      </c>
      <c r="Y114" s="62">
        <f>IF($V114="","",IF(AND(ISNUMBER($G114),$G114&lt;=IF($S114=MesCiclo,InicioCiclo,$S114+MOD(2-WEEKDAY($S114),7))+6),1,IF(ISNUMBER($I114),$I114,0)))</f>
        <v/>
      </c>
      <c r="Z114" s="62">
        <f>IF($V114="","",IF(AND(ISNUMBER($G114),$G114&lt;=IF($S114=MesCiclo,InicioCiclo,$S114+MOD(2-WEEKDAY($S114),7))+13),1,IF(ISNUMBER($J114),$J114,$Y114)))</f>
        <v/>
      </c>
      <c r="AA114" s="62">
        <f>IF($V114="","",IF(AND(ISNUMBER($G114),$G114&lt;=IF($S114=MesCiclo,InicioCiclo,$S114+MOD(2-WEEKDAY($S114),7))+20),1,IF(ISNUMBER($K114),$K114,$Z114)))</f>
        <v/>
      </c>
      <c r="AB114" s="62">
        <f>IF($V114="","",IF(AND(ISNUMBER($G114),$G114&lt;=IF($S114=MesCiclo,InicioCiclo,$S114+MOD(2-WEEKDAY($S114),7))+27),1,IF(ISNUMBER($L114),$L114,$AA114)))</f>
        <v/>
      </c>
      <c r="AC114" s="62">
        <f>IF($V114="","",IF(AND(ISNUMBER($G114),$G114&lt;=IF($S114=MesCiclo,InicioCiclo,$S114+MOD(2-WEEKDAY($S114),7))+6),1,IF(N($W114)&gt;0,AVERAGEIFS($Y$5:$Y$1000,$U$5:$U$1000,ROW(),$V$5:$V$1000,"Sub"),$Y114)))</f>
        <v/>
      </c>
      <c r="AD114" s="62">
        <f>IF($V114="","",IF(AND(ISNUMBER($G114),$G114&lt;=IF($S114=MesCiclo,InicioCiclo,$S114+MOD(2-WEEKDAY($S114),7))+13),1,IF(N($W114)&gt;0,AVERAGEIFS($Z$5:$Z$1000,$U$5:$U$1000,ROW(),$V$5:$V$1000,"Sub"),$Z114)))</f>
        <v/>
      </c>
      <c r="AE114" s="62">
        <f>IF($V114="","",IF(AND(ISNUMBER($G114),$G114&lt;=IF($S114=MesCiclo,InicioCiclo,$S114+MOD(2-WEEKDAY($S114),7))+20),1,IF(N($W114)&gt;0,AVERAGEIFS($AA$5:$AA$1000,$U$5:$U$1000,ROW(),$V$5:$V$1000,"Sub"),$AA114)))</f>
        <v/>
      </c>
      <c r="AF114" s="62">
        <f>IF($V114="","",IF(AND(ISNUMBER($G114),$G114&lt;=IF($S114=MesCiclo,InicioCiclo,$S114+MOD(2-WEEKDAY($S114),7))+27),1,IF(N($W114)&gt;0,AVERAGEIFS($AB$5:$AB$1000,$U$5:$U$1000,ROW(),$V$5:$V$1000,"Sub"),$AB114)))</f>
        <v/>
      </c>
      <c r="AG114" s="62">
        <f>IF($V114&lt;&gt;"Macro","",IF(COUNTIFS($S$5:$S$1000,$S114,$V$5:$V$1000,"Macro",$H$5:$H$1000,"&gt;0")=0,1/COUNTIFS($S$5:$S$1000,$S114,$V$5:$V$1000,"Macro"),IF(AND(ISNUMBER($H114),N($H114)&gt;0),$H114,SUMIFS($H$5:$H$1000,$S$5:$S$1000,$S114,$V$5:$V$1000,"Macro")/COUNTIFS($S$5:$S$1000,$S114,$V$5:$V$1000,"Macro",$H$5:$H$1000,"&gt;0"))/(COUNTIFS($S$5:$S$1000,$S114,$V$5:$V$1000,"Macro")*SUMIFS($H$5:$H$1000,$S$5:$S$1000,$S114,$V$5:$V$1000,"Macro")/COUNTIFS($S$5:$S$1000,$S114,$V$5:$V$1000,"Macro",$H$5:$H$1000,"&gt;0"))))</f>
        <v/>
      </c>
      <c r="AH114" s="62" t="n"/>
      <c r="AI114" s="62" t="n"/>
      <c r="AJ114" s="62" t="n"/>
      <c r="AK114" s="62" t="n"/>
      <c r="AL114" s="62">
        <f>IF(LEFT($C114,11)="[Jefatura] ",IFERROR(MATCH("Riesgo Operacional|"&amp;MID($C114,12,500),rDname_ADM,0),0),"")</f>
        <v/>
      </c>
      <c r="AM114" s="62">
        <f>IF(N($AL114)&gt;0,INDEX(rIni_ADM,$AL114),IF(ISNUMBER($E114),$E114,""))</f>
        <v/>
      </c>
      <c r="AN114" s="62">
        <f>IF(N($AL114)&gt;0,INDEX(rLim_ADM,$AL114),IF(ISNUMBER($F114),$F114,""))</f>
        <v/>
      </c>
    </row>
    <row r="115">
      <c r="A115" s="56">
        <f>IF(NOT((COUNTA($B115:$D115)+COUNTA($G115:$L115)+COUNTA($Q115))&gt;0),"",IF($V115="Macro",COUNTIFS($V$5:$V115,"Macro",$S$5:$S115,$S115),IF(N($U115)=0,"?",COUNTIFS(INDEX($V$5:$V$1000,1):INDEX($V$5:$V$1000,$U115-4),"Macro",INDEX($S$5:$S$1000,1):INDEX($S$5:$S$1000,$U115-4),INDEX($S$5:$S$1000,$U115-4))&amp;"."&amp;COUNTIFS($U$5:$U115,$U115,$V$5:$V115,"Sub"))))</f>
        <v/>
      </c>
      <c r="B115" s="57" t="n"/>
      <c r="C115" s="58" t="n"/>
      <c r="D115" s="58" t="n"/>
      <c r="E115" s="59">
        <f>IF(N($AL115)&gt;0,INDEX(rIni_ADM,$AL115),"")</f>
        <v/>
      </c>
      <c r="F115" s="59">
        <f>IF(N($AL115)&gt;0,INDEX(rLim_ADM,$AL115),"")</f>
        <v/>
      </c>
      <c r="G115" s="59" t="n"/>
      <c r="H115" s="60" t="n"/>
      <c r="I115" s="60" t="n"/>
      <c r="J115" s="60" t="n"/>
      <c r="K115" s="60" t="n"/>
      <c r="L115" s="60" t="n"/>
      <c r="M115" s="61">
        <f>IF(NOT((COUNTA($B115:$D115)+COUNTA($G115:$L115)+COUNTA($Q115))&gt;0),"",IF($V115="Sub",IFERROR($X115/INDEX($W$5:$W$1000,$U115-4),""),IF(ISNUMBER($G115),1,IF(N($W115)&gt;0,AVERAGEIFS($X$5:$X$1000,$U$5:$U$1000,ROW(),$V$5:$V$1000,"Sub"),$X115))))</f>
        <v/>
      </c>
      <c r="N115" s="56">
        <f>IF(OR($M115="",$V115="Sub"),"",IF($M115&gt;=1,"Completado",IF($M115&gt;0,"En curso","Pendiente")))</f>
        <v/>
      </c>
      <c r="O115" s="56">
        <f>IF(OR(NOT((COUNTA($B115:$D115)+COUNTA($G115:$L115)+COUNTA($Q115))&gt;0),$V115="Sub"),"",IF(ISNUMBER($G115),IF(AND(ISNUMBER($AN115),$G115&gt;$AN115),"Cumplida con "&amp;($G115-$AN115)&amp;IF($G115-$AN115=1," día"," días")&amp;" de retraso","Cumplida"),IF(N($M115)&gt;=1,"Cumplida",IF(NOT(ISNUMBER($AN115)),"Sin fecha límite",IF($AN115&lt;FechaRef,"Vencida hace "&amp;(FechaRef-$AN115)&amp;IF(FechaRef-$AN115=1," día"," días"),IF($AN115=FechaRef,"Vence hoy",IF($AN115-FechaRef&lt;=DiasAlerta,"Vence en "&amp;($AN115-FechaRef)&amp;IF($AN115-FechaRef=1," día"," días"),"En plazo")))))))</f>
        <v/>
      </c>
      <c r="P115" s="62" t="n"/>
      <c r="Q115" s="58" t="n"/>
      <c r="R115" s="63">
        <f>IF(NOT((COUNTA($B115:$D115)+COUNTA($G115:$L115)+COUNTA($Q115))&gt;0),"",IF((IF($C115="","Falta el nombre de la actividad"&amp;" · ","")&amp;IF(AND($V115="Sub",N($U115)=0),"Subactividad sin macroactividad arriba"&amp;" · ","")&amp;IF($AM115="","Sin fecha de inicio"&amp;" · ","")&amp;IF($AN115="","Sin fecha límite"&amp;" · ","")&amp;IF(AND(LEFT($C115,11)="[Jefatura] ",N($AL115)=0),"No se encuentra en la hoja de la jefatura (elíjala de nuevo en la lista)"&amp;" · ","")&amp;IF(OR(AND($E115&lt;&gt;"",NOT(ISNUMBER($E115))),AND($F115&lt;&gt;"",NOT(ISNUMBER($F115))),AND($G115&lt;&gt;"",NOT(ISNUMBER($G115)))),"Fecha no válida"&amp;" · ","")&amp;IF(AND(ISNUMBER($AM115),ISNUMBER($AN115),$AM115&gt;$AN115),"Inicio posterior a fecha límite"&amp;" · ","")&amp;IF(AND($V115="Macro",$H115&lt;&gt;"",OR(NOT(ISNUMBER($H115)),$H115&lt;0,$H115&gt;1)),"Peso fuera de rango"&amp;" · ","")&amp;IF(AND($V115="Sub",$H115&lt;&gt;""),"Las subactividades no llevan peso (valen igual dentro de su macroactividad)"&amp;" · ","")&amp;IF(AND(N($W115)&gt;0,COUNT($I115:$L115)&gt;0),"Con subactividades: deje vacías las semanas (se calculan solas)"&amp;" · ","")&amp;IF((COUNTIF($I115:$L115,"&gt;1")+COUNTIF($I115:$L115,"&lt;0")+COUNTA($I115:$L115)-COUNT($I115:$L115))&gt;0,"Avance fuera de rango 0-100%"&amp;" · ","")&amp;IF(OR(AND($J115&lt;&gt;"",$J115&lt;$I115),AND($K115&lt;&gt;"",$K115&lt;MAX($I115:$J115)),AND($L115&lt;&gt;"",$L115&lt;MAX($I115:$K115))),"Avance semanal decreciente"&amp;" · ","")&amp;IF(AND(ISNUMBER($AN115),$AN115&lt;FechaRef,IF($V115="Sub",N($X115),N($M115))&lt;1),"Vencida"&amp;" · ","")&amp;IF(AND(ObsObligatoria="Sí",ISNUMBER($AN115),$AN115&lt;FechaRef,IF($V115="Sub",N($X115),N($M115))&lt;1,$Q115=""),"Vencida sin observación"&amp;" · ",""))="","✔ OK","⚠ "&amp;LEFT(IF($C115="","Falta el nombre de la actividad"&amp;" · ","")&amp;IF(AND($V115="Sub",N($U115)=0),"Subactividad sin macroactividad arriba"&amp;" · ","")&amp;IF($AM115="","Sin fecha de inicio"&amp;" · ","")&amp;IF($AN115="","Sin fecha límite"&amp;" · ","")&amp;IF(AND(LEFT($C115,11)="[Jefatura] ",N($AL115)=0),"No se encuentra en la hoja de la jefatura (elíjala de nuevo en la lista)"&amp;" · ","")&amp;IF(OR(AND($E115&lt;&gt;"",NOT(ISNUMBER($E115))),AND($F115&lt;&gt;"",NOT(ISNUMBER($F115))),AND($G115&lt;&gt;"",NOT(ISNUMBER($G115)))),"Fecha no válida"&amp;" · ","")&amp;IF(AND(ISNUMBER($AM115),ISNUMBER($AN115),$AM115&gt;$AN115),"Inicio posterior a fecha límite"&amp;" · ","")&amp;IF(AND($V115="Macro",$H115&lt;&gt;"",OR(NOT(ISNUMBER($H115)),$H115&lt;0,$H115&gt;1)),"Peso fuera de rango"&amp;" · ","")&amp;IF(AND($V115="Sub",$H115&lt;&gt;""),"Las subactividades no llevan peso (valen igual dentro de su macroactividad)"&amp;" · ","")&amp;IF(AND(N($W115)&gt;0,COUNT($I115:$L115)&gt;0),"Con subactividades: deje vacías las semanas (se calculan solas)"&amp;" · ","")&amp;IF((COUNTIF($I115:$L115,"&gt;1")+COUNTIF($I115:$L115,"&lt;0")+COUNTA($I115:$L115)-COUNT($I115:$L115))&gt;0,"Avance fuera de rango 0-100%"&amp;" · ","")&amp;IF(OR(AND($J115&lt;&gt;"",$J115&lt;$I115),AND($K115&lt;&gt;"",$K115&lt;MAX($I115:$J115)),AND($L115&lt;&gt;"",$L115&lt;MAX($I115:$K115))),"Avance semanal decreciente"&amp;" · ","")&amp;IF(AND(ISNUMBER($AN115),$AN115&lt;FechaRef,IF($V115="Sub",N($X115),N($M115))&lt;1),"Vencida"&amp;" · ","")&amp;IF(AND(ObsObligatoria="Sí",ISNUMBER($AN115),$AN115&lt;FechaRef,IF($V115="Sub",N($X115),N($M115))&lt;1,$Q115=""),"Vencida sin observación"&amp;" · ",""),LEN(IF($C115="","Falta el nombre de la actividad"&amp;" · ","")&amp;IF(AND($V115="Sub",N($U115)=0),"Subactividad sin macroactividad arriba"&amp;" · ","")&amp;IF($AM115="","Sin fecha de inicio"&amp;" · ","")&amp;IF($AN115="","Sin fecha límite"&amp;" · ","")&amp;IF(AND(LEFT($C115,11)="[Jefatura] ",N($AL115)=0),"No se encuentra en la hoja de la jefatura (elíjala de nuevo en la lista)"&amp;" · ","")&amp;IF(OR(AND($E115&lt;&gt;"",NOT(ISNUMBER($E115))),AND($F115&lt;&gt;"",NOT(ISNUMBER($F115))),AND($G115&lt;&gt;"",NOT(ISNUMBER($G115)))),"Fecha no válida"&amp;" · ","")&amp;IF(AND(ISNUMBER($AM115),ISNUMBER($AN115),$AM115&gt;$AN115),"Inicio posterior a fecha límite"&amp;" · ","")&amp;IF(AND($V115="Macro",$H115&lt;&gt;"",OR(NOT(ISNUMBER($H115)),$H115&lt;0,$H115&gt;1)),"Peso fuera de rango"&amp;" · ","")&amp;IF(AND($V115="Sub",$H115&lt;&gt;""),"Las subactividades no llevan peso (valen igual dentro de su macroactividad)"&amp;" · ","")&amp;IF(AND(N($W115)&gt;0,COUNT($I115:$L115)&gt;0),"Con subactividades: deje vacías las semanas (se calculan solas)"&amp;" · ","")&amp;IF((COUNTIF($I115:$L115,"&gt;1")+COUNTIF($I115:$L115,"&lt;0")+COUNTA($I115:$L115)-COUNT($I115:$L115))&gt;0,"Avance fuera de rango 0-100%"&amp;" · ","")&amp;IF(OR(AND($J115&lt;&gt;"",$J115&lt;$I115),AND($K115&lt;&gt;"",$K115&lt;MAX($I115:$J115)),AND($L115&lt;&gt;"",$L115&lt;MAX($I115:$K115))),"Avance semanal decreciente"&amp;" · ","")&amp;IF(AND(ISNUMBER($AN115),$AN115&lt;FechaRef,IF($V115="Sub",N($X115),N($M115))&lt;1),"Vencida"&amp;" · ","")&amp;IF(AND(ObsObligatoria="Sí",ISNUMBER($AN115),$AN115&lt;FechaRef,IF($V115="Sub",N($X115),N($M115))&lt;1,$Q115=""),"Vencida sin observación"&amp;" · ",""))-3)))</f>
        <v/>
      </c>
      <c r="S115" s="64">
        <f>IF(NOT((COUNTA($B115:$D115)+COUNTA($G115:$L115)+COUNTA($Q115))&gt;0),"",IF(AND($V115="Sub",N($U115)&gt;0),IF(ISNUMBER(INDEX($AM$5:$AM$1000,$U115-4)),DATE(YEAR(INDEX($AM$5:$AM$1000,$U115-4)),MONTH(INDEX($AM$5:$AM$1000,$U115-4)),1),IF(ISNUMBER(INDEX($AN$5:$AN$1000,$U115-4)),DATE(YEAR(INDEX($AN$5:$AN$1000,$U115-4)),MONTH(INDEX($AN$5:$AN$1000,$U115-4)),1),MesCiclo)),IF(ISNUMBER($AM115),DATE(YEAR($AM115),MONTH($AM115),1),IF(ISNUMBER($AN115),DATE(YEAR($AN115),MONTH($AN115),1),MesCiclo))))</f>
        <v/>
      </c>
      <c r="T115" s="62">
        <f>IF(OR($S115="",$S115&lt;&gt;MesCiclo,$V115&lt;&gt;"Macro"),"",COUNTIFS($S$5:$S115,MesCiclo,$V$5:$V115,"Macro"))</f>
        <v/>
      </c>
      <c r="U115" s="62">
        <f>IF($V115="","",IF($V115="Macro",ROW(),IFERROR(LOOKUP(2,1/($V$5:$V115="Macro"),ROW($V$5:$V115)),0)))</f>
        <v/>
      </c>
      <c r="V115" s="62">
        <f>IF(NOT((COUNTA($B115:$D115)+COUNTA($G115:$L115)+COUNTA($Q115))&gt;0),"",IF($B115="Subactividad","Sub","Macro"))</f>
        <v/>
      </c>
      <c r="W115" s="62">
        <f>IF($V115="Macro",COUNTIFS($U$5:$U$1000,ROW(),$V$5:$V$1000,"Sub"),"")</f>
        <v/>
      </c>
      <c r="X115" s="62">
        <f>IF($V115="","",IF(ISNUMBER($G115),1,IFERROR(LOOKUP(2,1/($I115:$L115&lt;&gt;""),$I115:$L115),0)))</f>
        <v/>
      </c>
      <c r="Y115" s="62">
        <f>IF($V115="","",IF(AND(ISNUMBER($G115),$G115&lt;=IF($S115=MesCiclo,InicioCiclo,$S115+MOD(2-WEEKDAY($S115),7))+6),1,IF(ISNUMBER($I115),$I115,0)))</f>
        <v/>
      </c>
      <c r="Z115" s="62">
        <f>IF($V115="","",IF(AND(ISNUMBER($G115),$G115&lt;=IF($S115=MesCiclo,InicioCiclo,$S115+MOD(2-WEEKDAY($S115),7))+13),1,IF(ISNUMBER($J115),$J115,$Y115)))</f>
        <v/>
      </c>
      <c r="AA115" s="62">
        <f>IF($V115="","",IF(AND(ISNUMBER($G115),$G115&lt;=IF($S115=MesCiclo,InicioCiclo,$S115+MOD(2-WEEKDAY($S115),7))+20),1,IF(ISNUMBER($K115),$K115,$Z115)))</f>
        <v/>
      </c>
      <c r="AB115" s="62">
        <f>IF($V115="","",IF(AND(ISNUMBER($G115),$G115&lt;=IF($S115=MesCiclo,InicioCiclo,$S115+MOD(2-WEEKDAY($S115),7))+27),1,IF(ISNUMBER($L115),$L115,$AA115)))</f>
        <v/>
      </c>
      <c r="AC115" s="62">
        <f>IF($V115="","",IF(AND(ISNUMBER($G115),$G115&lt;=IF($S115=MesCiclo,InicioCiclo,$S115+MOD(2-WEEKDAY($S115),7))+6),1,IF(N($W115)&gt;0,AVERAGEIFS($Y$5:$Y$1000,$U$5:$U$1000,ROW(),$V$5:$V$1000,"Sub"),$Y115)))</f>
        <v/>
      </c>
      <c r="AD115" s="62">
        <f>IF($V115="","",IF(AND(ISNUMBER($G115),$G115&lt;=IF($S115=MesCiclo,InicioCiclo,$S115+MOD(2-WEEKDAY($S115),7))+13),1,IF(N($W115)&gt;0,AVERAGEIFS($Z$5:$Z$1000,$U$5:$U$1000,ROW(),$V$5:$V$1000,"Sub"),$Z115)))</f>
        <v/>
      </c>
      <c r="AE115" s="62">
        <f>IF($V115="","",IF(AND(ISNUMBER($G115),$G115&lt;=IF($S115=MesCiclo,InicioCiclo,$S115+MOD(2-WEEKDAY($S115),7))+20),1,IF(N($W115)&gt;0,AVERAGEIFS($AA$5:$AA$1000,$U$5:$U$1000,ROW(),$V$5:$V$1000,"Sub"),$AA115)))</f>
        <v/>
      </c>
      <c r="AF115" s="62">
        <f>IF($V115="","",IF(AND(ISNUMBER($G115),$G115&lt;=IF($S115=MesCiclo,InicioCiclo,$S115+MOD(2-WEEKDAY($S115),7))+27),1,IF(N($W115)&gt;0,AVERAGEIFS($AB$5:$AB$1000,$U$5:$U$1000,ROW(),$V$5:$V$1000,"Sub"),$AB115)))</f>
        <v/>
      </c>
      <c r="AG115" s="62">
        <f>IF($V115&lt;&gt;"Macro","",IF(COUNTIFS($S$5:$S$1000,$S115,$V$5:$V$1000,"Macro",$H$5:$H$1000,"&gt;0")=0,1/COUNTIFS($S$5:$S$1000,$S115,$V$5:$V$1000,"Macro"),IF(AND(ISNUMBER($H115),N($H115)&gt;0),$H115,SUMIFS($H$5:$H$1000,$S$5:$S$1000,$S115,$V$5:$V$1000,"Macro")/COUNTIFS($S$5:$S$1000,$S115,$V$5:$V$1000,"Macro",$H$5:$H$1000,"&gt;0"))/(COUNTIFS($S$5:$S$1000,$S115,$V$5:$V$1000,"Macro")*SUMIFS($H$5:$H$1000,$S$5:$S$1000,$S115,$V$5:$V$1000,"Macro")/COUNTIFS($S$5:$S$1000,$S115,$V$5:$V$1000,"Macro",$H$5:$H$1000,"&gt;0"))))</f>
        <v/>
      </c>
      <c r="AH115" s="62" t="n"/>
      <c r="AI115" s="62" t="n"/>
      <c r="AJ115" s="62" t="n"/>
      <c r="AK115" s="62" t="n"/>
      <c r="AL115" s="62">
        <f>IF(LEFT($C115,11)="[Jefatura] ",IFERROR(MATCH("Riesgo Operacional|"&amp;MID($C115,12,500),rDname_ADM,0),0),"")</f>
        <v/>
      </c>
      <c r="AM115" s="62">
        <f>IF(N($AL115)&gt;0,INDEX(rIni_ADM,$AL115),IF(ISNUMBER($E115),$E115,""))</f>
        <v/>
      </c>
      <c r="AN115" s="62">
        <f>IF(N($AL115)&gt;0,INDEX(rLim_ADM,$AL115),IF(ISNUMBER($F115),$F115,""))</f>
        <v/>
      </c>
    </row>
    <row r="116">
      <c r="A116" s="56">
        <f>IF(NOT((COUNTA($B116:$D116)+COUNTA($G116:$L116)+COUNTA($Q116))&gt;0),"",IF($V116="Macro",COUNTIFS($V$5:$V116,"Macro",$S$5:$S116,$S116),IF(N($U116)=0,"?",COUNTIFS(INDEX($V$5:$V$1000,1):INDEX($V$5:$V$1000,$U116-4),"Macro",INDEX($S$5:$S$1000,1):INDEX($S$5:$S$1000,$U116-4),INDEX($S$5:$S$1000,$U116-4))&amp;"."&amp;COUNTIFS($U$5:$U116,$U116,$V$5:$V116,"Sub"))))</f>
        <v/>
      </c>
      <c r="B116" s="57" t="n"/>
      <c r="C116" s="58" t="n"/>
      <c r="D116" s="58" t="n"/>
      <c r="E116" s="59">
        <f>IF(N($AL116)&gt;0,INDEX(rIni_ADM,$AL116),"")</f>
        <v/>
      </c>
      <c r="F116" s="59">
        <f>IF(N($AL116)&gt;0,INDEX(rLim_ADM,$AL116),"")</f>
        <v/>
      </c>
      <c r="G116" s="59" t="n"/>
      <c r="H116" s="60" t="n"/>
      <c r="I116" s="60" t="n"/>
      <c r="J116" s="60" t="n"/>
      <c r="K116" s="60" t="n"/>
      <c r="L116" s="60" t="n"/>
      <c r="M116" s="61">
        <f>IF(NOT((COUNTA($B116:$D116)+COUNTA($G116:$L116)+COUNTA($Q116))&gt;0),"",IF($V116="Sub",IFERROR($X116/INDEX($W$5:$W$1000,$U116-4),""),IF(ISNUMBER($G116),1,IF(N($W116)&gt;0,AVERAGEIFS($X$5:$X$1000,$U$5:$U$1000,ROW(),$V$5:$V$1000,"Sub"),$X116))))</f>
        <v/>
      </c>
      <c r="N116" s="56">
        <f>IF(OR($M116="",$V116="Sub"),"",IF($M116&gt;=1,"Completado",IF($M116&gt;0,"En curso","Pendiente")))</f>
        <v/>
      </c>
      <c r="O116" s="56">
        <f>IF(OR(NOT((COUNTA($B116:$D116)+COUNTA($G116:$L116)+COUNTA($Q116))&gt;0),$V116="Sub"),"",IF(ISNUMBER($G116),IF(AND(ISNUMBER($AN116),$G116&gt;$AN116),"Cumplida con "&amp;($G116-$AN116)&amp;IF($G116-$AN116=1," día"," días")&amp;" de retraso","Cumplida"),IF(N($M116)&gt;=1,"Cumplida",IF(NOT(ISNUMBER($AN116)),"Sin fecha límite",IF($AN116&lt;FechaRef,"Vencida hace "&amp;(FechaRef-$AN116)&amp;IF(FechaRef-$AN116=1," día"," días"),IF($AN116=FechaRef,"Vence hoy",IF($AN116-FechaRef&lt;=DiasAlerta,"Vence en "&amp;($AN116-FechaRef)&amp;IF($AN116-FechaRef=1," día"," días"),"En plazo")))))))</f>
        <v/>
      </c>
      <c r="P116" s="62" t="n"/>
      <c r="Q116" s="58" t="n"/>
      <c r="R116" s="63">
        <f>IF(NOT((COUNTA($B116:$D116)+COUNTA($G116:$L116)+COUNTA($Q116))&gt;0),"",IF((IF($C116="","Falta el nombre de la actividad"&amp;" · ","")&amp;IF(AND($V116="Sub",N($U116)=0),"Subactividad sin macroactividad arriba"&amp;" · ","")&amp;IF($AM116="","Sin fecha de inicio"&amp;" · ","")&amp;IF($AN116="","Sin fecha límite"&amp;" · ","")&amp;IF(AND(LEFT($C116,11)="[Jefatura] ",N($AL116)=0),"No se encuentra en la hoja de la jefatura (elíjala de nuevo en la lista)"&amp;" · ","")&amp;IF(OR(AND($E116&lt;&gt;"",NOT(ISNUMBER($E116))),AND($F116&lt;&gt;"",NOT(ISNUMBER($F116))),AND($G116&lt;&gt;"",NOT(ISNUMBER($G116)))),"Fecha no válida"&amp;" · ","")&amp;IF(AND(ISNUMBER($AM116),ISNUMBER($AN116),$AM116&gt;$AN116),"Inicio posterior a fecha límite"&amp;" · ","")&amp;IF(AND($V116="Macro",$H116&lt;&gt;"",OR(NOT(ISNUMBER($H116)),$H116&lt;0,$H116&gt;1)),"Peso fuera de rango"&amp;" · ","")&amp;IF(AND($V116="Sub",$H116&lt;&gt;""),"Las subactividades no llevan peso (valen igual dentro de su macroactividad)"&amp;" · ","")&amp;IF(AND(N($W116)&gt;0,COUNT($I116:$L116)&gt;0),"Con subactividades: deje vacías las semanas (se calculan solas)"&amp;" · ","")&amp;IF((COUNTIF($I116:$L116,"&gt;1")+COUNTIF($I116:$L116,"&lt;0")+COUNTA($I116:$L116)-COUNT($I116:$L116))&gt;0,"Avance fuera de rango 0-100%"&amp;" · ","")&amp;IF(OR(AND($J116&lt;&gt;"",$J116&lt;$I116),AND($K116&lt;&gt;"",$K116&lt;MAX($I116:$J116)),AND($L116&lt;&gt;"",$L116&lt;MAX($I116:$K116))),"Avance semanal decreciente"&amp;" · ","")&amp;IF(AND(ISNUMBER($AN116),$AN116&lt;FechaRef,IF($V116="Sub",N($X116),N($M116))&lt;1),"Vencida"&amp;" · ","")&amp;IF(AND(ObsObligatoria="Sí",ISNUMBER($AN116),$AN116&lt;FechaRef,IF($V116="Sub",N($X116),N($M116))&lt;1,$Q116=""),"Vencida sin observación"&amp;" · ",""))="","✔ OK","⚠ "&amp;LEFT(IF($C116="","Falta el nombre de la actividad"&amp;" · ","")&amp;IF(AND($V116="Sub",N($U116)=0),"Subactividad sin macroactividad arriba"&amp;" · ","")&amp;IF($AM116="","Sin fecha de inicio"&amp;" · ","")&amp;IF($AN116="","Sin fecha límite"&amp;" · ","")&amp;IF(AND(LEFT($C116,11)="[Jefatura] ",N($AL116)=0),"No se encuentra en la hoja de la jefatura (elíjala de nuevo en la lista)"&amp;" · ","")&amp;IF(OR(AND($E116&lt;&gt;"",NOT(ISNUMBER($E116))),AND($F116&lt;&gt;"",NOT(ISNUMBER($F116))),AND($G116&lt;&gt;"",NOT(ISNUMBER($G116)))),"Fecha no válida"&amp;" · ","")&amp;IF(AND(ISNUMBER($AM116),ISNUMBER($AN116),$AM116&gt;$AN116),"Inicio posterior a fecha límite"&amp;" · ","")&amp;IF(AND($V116="Macro",$H116&lt;&gt;"",OR(NOT(ISNUMBER($H116)),$H116&lt;0,$H116&gt;1)),"Peso fuera de rango"&amp;" · ","")&amp;IF(AND($V116="Sub",$H116&lt;&gt;""),"Las subactividades no llevan peso (valen igual dentro de su macroactividad)"&amp;" · ","")&amp;IF(AND(N($W116)&gt;0,COUNT($I116:$L116)&gt;0),"Con subactividades: deje vacías las semanas (se calculan solas)"&amp;" · ","")&amp;IF((COUNTIF($I116:$L116,"&gt;1")+COUNTIF($I116:$L116,"&lt;0")+COUNTA($I116:$L116)-COUNT($I116:$L116))&gt;0,"Avance fuera de rango 0-100%"&amp;" · ","")&amp;IF(OR(AND($J116&lt;&gt;"",$J116&lt;$I116),AND($K116&lt;&gt;"",$K116&lt;MAX($I116:$J116)),AND($L116&lt;&gt;"",$L116&lt;MAX($I116:$K116))),"Avance semanal decreciente"&amp;" · ","")&amp;IF(AND(ISNUMBER($AN116),$AN116&lt;FechaRef,IF($V116="Sub",N($X116),N($M116))&lt;1),"Vencida"&amp;" · ","")&amp;IF(AND(ObsObligatoria="Sí",ISNUMBER($AN116),$AN116&lt;FechaRef,IF($V116="Sub",N($X116),N($M116))&lt;1,$Q116=""),"Vencida sin observación"&amp;" · ",""),LEN(IF($C116="","Falta el nombre de la actividad"&amp;" · ","")&amp;IF(AND($V116="Sub",N($U116)=0),"Subactividad sin macroactividad arriba"&amp;" · ","")&amp;IF($AM116="","Sin fecha de inicio"&amp;" · ","")&amp;IF($AN116="","Sin fecha límite"&amp;" · ","")&amp;IF(AND(LEFT($C116,11)="[Jefatura] ",N($AL116)=0),"No se encuentra en la hoja de la jefatura (elíjala de nuevo en la lista)"&amp;" · ","")&amp;IF(OR(AND($E116&lt;&gt;"",NOT(ISNUMBER($E116))),AND($F116&lt;&gt;"",NOT(ISNUMBER($F116))),AND($G116&lt;&gt;"",NOT(ISNUMBER($G116)))),"Fecha no válida"&amp;" · ","")&amp;IF(AND(ISNUMBER($AM116),ISNUMBER($AN116),$AM116&gt;$AN116),"Inicio posterior a fecha límite"&amp;" · ","")&amp;IF(AND($V116="Macro",$H116&lt;&gt;"",OR(NOT(ISNUMBER($H116)),$H116&lt;0,$H116&gt;1)),"Peso fuera de rango"&amp;" · ","")&amp;IF(AND($V116="Sub",$H116&lt;&gt;""),"Las subactividades no llevan peso (valen igual dentro de su macroactividad)"&amp;" · ","")&amp;IF(AND(N($W116)&gt;0,COUNT($I116:$L116)&gt;0),"Con subactividades: deje vacías las semanas (se calculan solas)"&amp;" · ","")&amp;IF((COUNTIF($I116:$L116,"&gt;1")+COUNTIF($I116:$L116,"&lt;0")+COUNTA($I116:$L116)-COUNT($I116:$L116))&gt;0,"Avance fuera de rango 0-100%"&amp;" · ","")&amp;IF(OR(AND($J116&lt;&gt;"",$J116&lt;$I116),AND($K116&lt;&gt;"",$K116&lt;MAX($I116:$J116)),AND($L116&lt;&gt;"",$L116&lt;MAX($I116:$K116))),"Avance semanal decreciente"&amp;" · ","")&amp;IF(AND(ISNUMBER($AN116),$AN116&lt;FechaRef,IF($V116="Sub",N($X116),N($M116))&lt;1),"Vencida"&amp;" · ","")&amp;IF(AND(ObsObligatoria="Sí",ISNUMBER($AN116),$AN116&lt;FechaRef,IF($V116="Sub",N($X116),N($M116))&lt;1,$Q116=""),"Vencida sin observación"&amp;" · ",""))-3)))</f>
        <v/>
      </c>
      <c r="S116" s="64">
        <f>IF(NOT((COUNTA($B116:$D116)+COUNTA($G116:$L116)+COUNTA($Q116))&gt;0),"",IF(AND($V116="Sub",N($U116)&gt;0),IF(ISNUMBER(INDEX($AM$5:$AM$1000,$U116-4)),DATE(YEAR(INDEX($AM$5:$AM$1000,$U116-4)),MONTH(INDEX($AM$5:$AM$1000,$U116-4)),1),IF(ISNUMBER(INDEX($AN$5:$AN$1000,$U116-4)),DATE(YEAR(INDEX($AN$5:$AN$1000,$U116-4)),MONTH(INDEX($AN$5:$AN$1000,$U116-4)),1),MesCiclo)),IF(ISNUMBER($AM116),DATE(YEAR($AM116),MONTH($AM116),1),IF(ISNUMBER($AN116),DATE(YEAR($AN116),MONTH($AN116),1),MesCiclo))))</f>
        <v/>
      </c>
      <c r="T116" s="62">
        <f>IF(OR($S116="",$S116&lt;&gt;MesCiclo,$V116&lt;&gt;"Macro"),"",COUNTIFS($S$5:$S116,MesCiclo,$V$5:$V116,"Macro"))</f>
        <v/>
      </c>
      <c r="U116" s="62">
        <f>IF($V116="","",IF($V116="Macro",ROW(),IFERROR(LOOKUP(2,1/($V$5:$V116="Macro"),ROW($V$5:$V116)),0)))</f>
        <v/>
      </c>
      <c r="V116" s="62">
        <f>IF(NOT((COUNTA($B116:$D116)+COUNTA($G116:$L116)+COUNTA($Q116))&gt;0),"",IF($B116="Subactividad","Sub","Macro"))</f>
        <v/>
      </c>
      <c r="W116" s="62">
        <f>IF($V116="Macro",COUNTIFS($U$5:$U$1000,ROW(),$V$5:$V$1000,"Sub"),"")</f>
        <v/>
      </c>
      <c r="X116" s="62">
        <f>IF($V116="","",IF(ISNUMBER($G116),1,IFERROR(LOOKUP(2,1/($I116:$L116&lt;&gt;""),$I116:$L116),0)))</f>
        <v/>
      </c>
      <c r="Y116" s="62">
        <f>IF($V116="","",IF(AND(ISNUMBER($G116),$G116&lt;=IF($S116=MesCiclo,InicioCiclo,$S116+MOD(2-WEEKDAY($S116),7))+6),1,IF(ISNUMBER($I116),$I116,0)))</f>
        <v/>
      </c>
      <c r="Z116" s="62">
        <f>IF($V116="","",IF(AND(ISNUMBER($G116),$G116&lt;=IF($S116=MesCiclo,InicioCiclo,$S116+MOD(2-WEEKDAY($S116),7))+13),1,IF(ISNUMBER($J116),$J116,$Y116)))</f>
        <v/>
      </c>
      <c r="AA116" s="62">
        <f>IF($V116="","",IF(AND(ISNUMBER($G116),$G116&lt;=IF($S116=MesCiclo,InicioCiclo,$S116+MOD(2-WEEKDAY($S116),7))+20),1,IF(ISNUMBER($K116),$K116,$Z116)))</f>
        <v/>
      </c>
      <c r="AB116" s="62">
        <f>IF($V116="","",IF(AND(ISNUMBER($G116),$G116&lt;=IF($S116=MesCiclo,InicioCiclo,$S116+MOD(2-WEEKDAY($S116),7))+27),1,IF(ISNUMBER($L116),$L116,$AA116)))</f>
        <v/>
      </c>
      <c r="AC116" s="62">
        <f>IF($V116="","",IF(AND(ISNUMBER($G116),$G116&lt;=IF($S116=MesCiclo,InicioCiclo,$S116+MOD(2-WEEKDAY($S116),7))+6),1,IF(N($W116)&gt;0,AVERAGEIFS($Y$5:$Y$1000,$U$5:$U$1000,ROW(),$V$5:$V$1000,"Sub"),$Y116)))</f>
        <v/>
      </c>
      <c r="AD116" s="62">
        <f>IF($V116="","",IF(AND(ISNUMBER($G116),$G116&lt;=IF($S116=MesCiclo,InicioCiclo,$S116+MOD(2-WEEKDAY($S116),7))+13),1,IF(N($W116)&gt;0,AVERAGEIFS($Z$5:$Z$1000,$U$5:$U$1000,ROW(),$V$5:$V$1000,"Sub"),$Z116)))</f>
        <v/>
      </c>
      <c r="AE116" s="62">
        <f>IF($V116="","",IF(AND(ISNUMBER($G116),$G116&lt;=IF($S116=MesCiclo,InicioCiclo,$S116+MOD(2-WEEKDAY($S116),7))+20),1,IF(N($W116)&gt;0,AVERAGEIFS($AA$5:$AA$1000,$U$5:$U$1000,ROW(),$V$5:$V$1000,"Sub"),$AA116)))</f>
        <v/>
      </c>
      <c r="AF116" s="62">
        <f>IF($V116="","",IF(AND(ISNUMBER($G116),$G116&lt;=IF($S116=MesCiclo,InicioCiclo,$S116+MOD(2-WEEKDAY($S116),7))+27),1,IF(N($W116)&gt;0,AVERAGEIFS($AB$5:$AB$1000,$U$5:$U$1000,ROW(),$V$5:$V$1000,"Sub"),$AB116)))</f>
        <v/>
      </c>
      <c r="AG116" s="62">
        <f>IF($V116&lt;&gt;"Macro","",IF(COUNTIFS($S$5:$S$1000,$S116,$V$5:$V$1000,"Macro",$H$5:$H$1000,"&gt;0")=0,1/COUNTIFS($S$5:$S$1000,$S116,$V$5:$V$1000,"Macro"),IF(AND(ISNUMBER($H116),N($H116)&gt;0),$H116,SUMIFS($H$5:$H$1000,$S$5:$S$1000,$S116,$V$5:$V$1000,"Macro")/COUNTIFS($S$5:$S$1000,$S116,$V$5:$V$1000,"Macro",$H$5:$H$1000,"&gt;0"))/(COUNTIFS($S$5:$S$1000,$S116,$V$5:$V$1000,"Macro")*SUMIFS($H$5:$H$1000,$S$5:$S$1000,$S116,$V$5:$V$1000,"Macro")/COUNTIFS($S$5:$S$1000,$S116,$V$5:$V$1000,"Macro",$H$5:$H$1000,"&gt;0"))))</f>
        <v/>
      </c>
      <c r="AH116" s="62" t="n"/>
      <c r="AI116" s="62" t="n"/>
      <c r="AJ116" s="62" t="n"/>
      <c r="AK116" s="62" t="n"/>
      <c r="AL116" s="62">
        <f>IF(LEFT($C116,11)="[Jefatura] ",IFERROR(MATCH("Riesgo Operacional|"&amp;MID($C116,12,500),rDname_ADM,0),0),"")</f>
        <v/>
      </c>
      <c r="AM116" s="62">
        <f>IF(N($AL116)&gt;0,INDEX(rIni_ADM,$AL116),IF(ISNUMBER($E116),$E116,""))</f>
        <v/>
      </c>
      <c r="AN116" s="62">
        <f>IF(N($AL116)&gt;0,INDEX(rLim_ADM,$AL116),IF(ISNUMBER($F116),$F116,""))</f>
        <v/>
      </c>
    </row>
    <row r="117">
      <c r="A117" s="56">
        <f>IF(NOT((COUNTA($B117:$D117)+COUNTA($G117:$L117)+COUNTA($Q117))&gt;0),"",IF($V117="Macro",COUNTIFS($V$5:$V117,"Macro",$S$5:$S117,$S117),IF(N($U117)=0,"?",COUNTIFS(INDEX($V$5:$V$1000,1):INDEX($V$5:$V$1000,$U117-4),"Macro",INDEX($S$5:$S$1000,1):INDEX($S$5:$S$1000,$U117-4),INDEX($S$5:$S$1000,$U117-4))&amp;"."&amp;COUNTIFS($U$5:$U117,$U117,$V$5:$V117,"Sub"))))</f>
        <v/>
      </c>
      <c r="B117" s="57" t="n"/>
      <c r="C117" s="58" t="n"/>
      <c r="D117" s="58" t="n"/>
      <c r="E117" s="59">
        <f>IF(N($AL117)&gt;0,INDEX(rIni_ADM,$AL117),"")</f>
        <v/>
      </c>
      <c r="F117" s="59">
        <f>IF(N($AL117)&gt;0,INDEX(rLim_ADM,$AL117),"")</f>
        <v/>
      </c>
      <c r="G117" s="59" t="n"/>
      <c r="H117" s="60" t="n"/>
      <c r="I117" s="60" t="n"/>
      <c r="J117" s="60" t="n"/>
      <c r="K117" s="60" t="n"/>
      <c r="L117" s="60" t="n"/>
      <c r="M117" s="61">
        <f>IF(NOT((COUNTA($B117:$D117)+COUNTA($G117:$L117)+COUNTA($Q117))&gt;0),"",IF($V117="Sub",IFERROR($X117/INDEX($W$5:$W$1000,$U117-4),""),IF(ISNUMBER($G117),1,IF(N($W117)&gt;0,AVERAGEIFS($X$5:$X$1000,$U$5:$U$1000,ROW(),$V$5:$V$1000,"Sub"),$X117))))</f>
        <v/>
      </c>
      <c r="N117" s="56">
        <f>IF(OR($M117="",$V117="Sub"),"",IF($M117&gt;=1,"Completado",IF($M117&gt;0,"En curso","Pendiente")))</f>
        <v/>
      </c>
      <c r="O117" s="56">
        <f>IF(OR(NOT((COUNTA($B117:$D117)+COUNTA($G117:$L117)+COUNTA($Q117))&gt;0),$V117="Sub"),"",IF(ISNUMBER($G117),IF(AND(ISNUMBER($AN117),$G117&gt;$AN117),"Cumplida con "&amp;($G117-$AN117)&amp;IF($G117-$AN117=1," día"," días")&amp;" de retraso","Cumplida"),IF(N($M117)&gt;=1,"Cumplida",IF(NOT(ISNUMBER($AN117)),"Sin fecha límite",IF($AN117&lt;FechaRef,"Vencida hace "&amp;(FechaRef-$AN117)&amp;IF(FechaRef-$AN117=1," día"," días"),IF($AN117=FechaRef,"Vence hoy",IF($AN117-FechaRef&lt;=DiasAlerta,"Vence en "&amp;($AN117-FechaRef)&amp;IF($AN117-FechaRef=1," día"," días"),"En plazo")))))))</f>
        <v/>
      </c>
      <c r="P117" s="62" t="n"/>
      <c r="Q117" s="58" t="n"/>
      <c r="R117" s="63">
        <f>IF(NOT((COUNTA($B117:$D117)+COUNTA($G117:$L117)+COUNTA($Q117))&gt;0),"",IF((IF($C117="","Falta el nombre de la actividad"&amp;" · ","")&amp;IF(AND($V117="Sub",N($U117)=0),"Subactividad sin macroactividad arriba"&amp;" · ","")&amp;IF($AM117="","Sin fecha de inicio"&amp;" · ","")&amp;IF($AN117="","Sin fecha límite"&amp;" · ","")&amp;IF(AND(LEFT($C117,11)="[Jefatura] ",N($AL117)=0),"No se encuentra en la hoja de la jefatura (elíjala de nuevo en la lista)"&amp;" · ","")&amp;IF(OR(AND($E117&lt;&gt;"",NOT(ISNUMBER($E117))),AND($F117&lt;&gt;"",NOT(ISNUMBER($F117))),AND($G117&lt;&gt;"",NOT(ISNUMBER($G117)))),"Fecha no válida"&amp;" · ","")&amp;IF(AND(ISNUMBER($AM117),ISNUMBER($AN117),$AM117&gt;$AN117),"Inicio posterior a fecha límite"&amp;" · ","")&amp;IF(AND($V117="Macro",$H117&lt;&gt;"",OR(NOT(ISNUMBER($H117)),$H117&lt;0,$H117&gt;1)),"Peso fuera de rango"&amp;" · ","")&amp;IF(AND($V117="Sub",$H117&lt;&gt;""),"Las subactividades no llevan peso (valen igual dentro de su macroactividad)"&amp;" · ","")&amp;IF(AND(N($W117)&gt;0,COUNT($I117:$L117)&gt;0),"Con subactividades: deje vacías las semanas (se calculan solas)"&amp;" · ","")&amp;IF((COUNTIF($I117:$L117,"&gt;1")+COUNTIF($I117:$L117,"&lt;0")+COUNTA($I117:$L117)-COUNT($I117:$L117))&gt;0,"Avance fuera de rango 0-100%"&amp;" · ","")&amp;IF(OR(AND($J117&lt;&gt;"",$J117&lt;$I117),AND($K117&lt;&gt;"",$K117&lt;MAX($I117:$J117)),AND($L117&lt;&gt;"",$L117&lt;MAX($I117:$K117))),"Avance semanal decreciente"&amp;" · ","")&amp;IF(AND(ISNUMBER($AN117),$AN117&lt;FechaRef,IF($V117="Sub",N($X117),N($M117))&lt;1),"Vencida"&amp;" · ","")&amp;IF(AND(ObsObligatoria="Sí",ISNUMBER($AN117),$AN117&lt;FechaRef,IF($V117="Sub",N($X117),N($M117))&lt;1,$Q117=""),"Vencida sin observación"&amp;" · ",""))="","✔ OK","⚠ "&amp;LEFT(IF($C117="","Falta el nombre de la actividad"&amp;" · ","")&amp;IF(AND($V117="Sub",N($U117)=0),"Subactividad sin macroactividad arriba"&amp;" · ","")&amp;IF($AM117="","Sin fecha de inicio"&amp;" · ","")&amp;IF($AN117="","Sin fecha límite"&amp;" · ","")&amp;IF(AND(LEFT($C117,11)="[Jefatura] ",N($AL117)=0),"No se encuentra en la hoja de la jefatura (elíjala de nuevo en la lista)"&amp;" · ","")&amp;IF(OR(AND($E117&lt;&gt;"",NOT(ISNUMBER($E117))),AND($F117&lt;&gt;"",NOT(ISNUMBER($F117))),AND($G117&lt;&gt;"",NOT(ISNUMBER($G117)))),"Fecha no válida"&amp;" · ","")&amp;IF(AND(ISNUMBER($AM117),ISNUMBER($AN117),$AM117&gt;$AN117),"Inicio posterior a fecha límite"&amp;" · ","")&amp;IF(AND($V117="Macro",$H117&lt;&gt;"",OR(NOT(ISNUMBER($H117)),$H117&lt;0,$H117&gt;1)),"Peso fuera de rango"&amp;" · ","")&amp;IF(AND($V117="Sub",$H117&lt;&gt;""),"Las subactividades no llevan peso (valen igual dentro de su macroactividad)"&amp;" · ","")&amp;IF(AND(N($W117)&gt;0,COUNT($I117:$L117)&gt;0),"Con subactividades: deje vacías las semanas (se calculan solas)"&amp;" · ","")&amp;IF((COUNTIF($I117:$L117,"&gt;1")+COUNTIF($I117:$L117,"&lt;0")+COUNTA($I117:$L117)-COUNT($I117:$L117))&gt;0,"Avance fuera de rango 0-100%"&amp;" · ","")&amp;IF(OR(AND($J117&lt;&gt;"",$J117&lt;$I117),AND($K117&lt;&gt;"",$K117&lt;MAX($I117:$J117)),AND($L117&lt;&gt;"",$L117&lt;MAX($I117:$K117))),"Avance semanal decreciente"&amp;" · ","")&amp;IF(AND(ISNUMBER($AN117),$AN117&lt;FechaRef,IF($V117="Sub",N($X117),N($M117))&lt;1),"Vencida"&amp;" · ","")&amp;IF(AND(ObsObligatoria="Sí",ISNUMBER($AN117),$AN117&lt;FechaRef,IF($V117="Sub",N($X117),N($M117))&lt;1,$Q117=""),"Vencida sin observación"&amp;" · ",""),LEN(IF($C117="","Falta el nombre de la actividad"&amp;" · ","")&amp;IF(AND($V117="Sub",N($U117)=0),"Subactividad sin macroactividad arriba"&amp;" · ","")&amp;IF($AM117="","Sin fecha de inicio"&amp;" · ","")&amp;IF($AN117="","Sin fecha límite"&amp;" · ","")&amp;IF(AND(LEFT($C117,11)="[Jefatura] ",N($AL117)=0),"No se encuentra en la hoja de la jefatura (elíjala de nuevo en la lista)"&amp;" · ","")&amp;IF(OR(AND($E117&lt;&gt;"",NOT(ISNUMBER($E117))),AND($F117&lt;&gt;"",NOT(ISNUMBER($F117))),AND($G117&lt;&gt;"",NOT(ISNUMBER($G117)))),"Fecha no válida"&amp;" · ","")&amp;IF(AND(ISNUMBER($AM117),ISNUMBER($AN117),$AM117&gt;$AN117),"Inicio posterior a fecha límite"&amp;" · ","")&amp;IF(AND($V117="Macro",$H117&lt;&gt;"",OR(NOT(ISNUMBER($H117)),$H117&lt;0,$H117&gt;1)),"Peso fuera de rango"&amp;" · ","")&amp;IF(AND($V117="Sub",$H117&lt;&gt;""),"Las subactividades no llevan peso (valen igual dentro de su macroactividad)"&amp;" · ","")&amp;IF(AND(N($W117)&gt;0,COUNT($I117:$L117)&gt;0),"Con subactividades: deje vacías las semanas (se calculan solas)"&amp;" · ","")&amp;IF((COUNTIF($I117:$L117,"&gt;1")+COUNTIF($I117:$L117,"&lt;0")+COUNTA($I117:$L117)-COUNT($I117:$L117))&gt;0,"Avance fuera de rango 0-100%"&amp;" · ","")&amp;IF(OR(AND($J117&lt;&gt;"",$J117&lt;$I117),AND($K117&lt;&gt;"",$K117&lt;MAX($I117:$J117)),AND($L117&lt;&gt;"",$L117&lt;MAX($I117:$K117))),"Avance semanal decreciente"&amp;" · ","")&amp;IF(AND(ISNUMBER($AN117),$AN117&lt;FechaRef,IF($V117="Sub",N($X117),N($M117))&lt;1),"Vencida"&amp;" · ","")&amp;IF(AND(ObsObligatoria="Sí",ISNUMBER($AN117),$AN117&lt;FechaRef,IF($V117="Sub",N($X117),N($M117))&lt;1,$Q117=""),"Vencida sin observación"&amp;" · ",""))-3)))</f>
        <v/>
      </c>
      <c r="S117" s="64">
        <f>IF(NOT((COUNTA($B117:$D117)+COUNTA($G117:$L117)+COUNTA($Q117))&gt;0),"",IF(AND($V117="Sub",N($U117)&gt;0),IF(ISNUMBER(INDEX($AM$5:$AM$1000,$U117-4)),DATE(YEAR(INDEX($AM$5:$AM$1000,$U117-4)),MONTH(INDEX($AM$5:$AM$1000,$U117-4)),1),IF(ISNUMBER(INDEX($AN$5:$AN$1000,$U117-4)),DATE(YEAR(INDEX($AN$5:$AN$1000,$U117-4)),MONTH(INDEX($AN$5:$AN$1000,$U117-4)),1),MesCiclo)),IF(ISNUMBER($AM117),DATE(YEAR($AM117),MONTH($AM117),1),IF(ISNUMBER($AN117),DATE(YEAR($AN117),MONTH($AN117),1),MesCiclo))))</f>
        <v/>
      </c>
      <c r="T117" s="62">
        <f>IF(OR($S117="",$S117&lt;&gt;MesCiclo,$V117&lt;&gt;"Macro"),"",COUNTIFS($S$5:$S117,MesCiclo,$V$5:$V117,"Macro"))</f>
        <v/>
      </c>
      <c r="U117" s="62">
        <f>IF($V117="","",IF($V117="Macro",ROW(),IFERROR(LOOKUP(2,1/($V$5:$V117="Macro"),ROW($V$5:$V117)),0)))</f>
        <v/>
      </c>
      <c r="V117" s="62">
        <f>IF(NOT((COUNTA($B117:$D117)+COUNTA($G117:$L117)+COUNTA($Q117))&gt;0),"",IF($B117="Subactividad","Sub","Macro"))</f>
        <v/>
      </c>
      <c r="W117" s="62">
        <f>IF($V117="Macro",COUNTIFS($U$5:$U$1000,ROW(),$V$5:$V$1000,"Sub"),"")</f>
        <v/>
      </c>
      <c r="X117" s="62">
        <f>IF($V117="","",IF(ISNUMBER($G117),1,IFERROR(LOOKUP(2,1/($I117:$L117&lt;&gt;""),$I117:$L117),0)))</f>
        <v/>
      </c>
      <c r="Y117" s="62">
        <f>IF($V117="","",IF(AND(ISNUMBER($G117),$G117&lt;=IF($S117=MesCiclo,InicioCiclo,$S117+MOD(2-WEEKDAY($S117),7))+6),1,IF(ISNUMBER($I117),$I117,0)))</f>
        <v/>
      </c>
      <c r="Z117" s="62">
        <f>IF($V117="","",IF(AND(ISNUMBER($G117),$G117&lt;=IF($S117=MesCiclo,InicioCiclo,$S117+MOD(2-WEEKDAY($S117),7))+13),1,IF(ISNUMBER($J117),$J117,$Y117)))</f>
        <v/>
      </c>
      <c r="AA117" s="62">
        <f>IF($V117="","",IF(AND(ISNUMBER($G117),$G117&lt;=IF($S117=MesCiclo,InicioCiclo,$S117+MOD(2-WEEKDAY($S117),7))+20),1,IF(ISNUMBER($K117),$K117,$Z117)))</f>
        <v/>
      </c>
      <c r="AB117" s="62">
        <f>IF($V117="","",IF(AND(ISNUMBER($G117),$G117&lt;=IF($S117=MesCiclo,InicioCiclo,$S117+MOD(2-WEEKDAY($S117),7))+27),1,IF(ISNUMBER($L117),$L117,$AA117)))</f>
        <v/>
      </c>
      <c r="AC117" s="62">
        <f>IF($V117="","",IF(AND(ISNUMBER($G117),$G117&lt;=IF($S117=MesCiclo,InicioCiclo,$S117+MOD(2-WEEKDAY($S117),7))+6),1,IF(N($W117)&gt;0,AVERAGEIFS($Y$5:$Y$1000,$U$5:$U$1000,ROW(),$V$5:$V$1000,"Sub"),$Y117)))</f>
        <v/>
      </c>
      <c r="AD117" s="62">
        <f>IF($V117="","",IF(AND(ISNUMBER($G117),$G117&lt;=IF($S117=MesCiclo,InicioCiclo,$S117+MOD(2-WEEKDAY($S117),7))+13),1,IF(N($W117)&gt;0,AVERAGEIFS($Z$5:$Z$1000,$U$5:$U$1000,ROW(),$V$5:$V$1000,"Sub"),$Z117)))</f>
        <v/>
      </c>
      <c r="AE117" s="62">
        <f>IF($V117="","",IF(AND(ISNUMBER($G117),$G117&lt;=IF($S117=MesCiclo,InicioCiclo,$S117+MOD(2-WEEKDAY($S117),7))+20),1,IF(N($W117)&gt;0,AVERAGEIFS($AA$5:$AA$1000,$U$5:$U$1000,ROW(),$V$5:$V$1000,"Sub"),$AA117)))</f>
        <v/>
      </c>
      <c r="AF117" s="62">
        <f>IF($V117="","",IF(AND(ISNUMBER($G117),$G117&lt;=IF($S117=MesCiclo,InicioCiclo,$S117+MOD(2-WEEKDAY($S117),7))+27),1,IF(N($W117)&gt;0,AVERAGEIFS($AB$5:$AB$1000,$U$5:$U$1000,ROW(),$V$5:$V$1000,"Sub"),$AB117)))</f>
        <v/>
      </c>
      <c r="AG117" s="62">
        <f>IF($V117&lt;&gt;"Macro","",IF(COUNTIFS($S$5:$S$1000,$S117,$V$5:$V$1000,"Macro",$H$5:$H$1000,"&gt;0")=0,1/COUNTIFS($S$5:$S$1000,$S117,$V$5:$V$1000,"Macro"),IF(AND(ISNUMBER($H117),N($H117)&gt;0),$H117,SUMIFS($H$5:$H$1000,$S$5:$S$1000,$S117,$V$5:$V$1000,"Macro")/COUNTIFS($S$5:$S$1000,$S117,$V$5:$V$1000,"Macro",$H$5:$H$1000,"&gt;0"))/(COUNTIFS($S$5:$S$1000,$S117,$V$5:$V$1000,"Macro")*SUMIFS($H$5:$H$1000,$S$5:$S$1000,$S117,$V$5:$V$1000,"Macro")/COUNTIFS($S$5:$S$1000,$S117,$V$5:$V$1000,"Macro",$H$5:$H$1000,"&gt;0"))))</f>
        <v/>
      </c>
      <c r="AH117" s="62" t="n"/>
      <c r="AI117" s="62" t="n"/>
      <c r="AJ117" s="62" t="n"/>
      <c r="AK117" s="62" t="n"/>
      <c r="AL117" s="62">
        <f>IF(LEFT($C117,11)="[Jefatura] ",IFERROR(MATCH("Riesgo Operacional|"&amp;MID($C117,12,500),rDname_ADM,0),0),"")</f>
        <v/>
      </c>
      <c r="AM117" s="62">
        <f>IF(N($AL117)&gt;0,INDEX(rIni_ADM,$AL117),IF(ISNUMBER($E117),$E117,""))</f>
        <v/>
      </c>
      <c r="AN117" s="62">
        <f>IF(N($AL117)&gt;0,INDEX(rLim_ADM,$AL117),IF(ISNUMBER($F117),$F117,""))</f>
        <v/>
      </c>
    </row>
    <row r="118">
      <c r="A118" s="56">
        <f>IF(NOT((COUNTA($B118:$D118)+COUNTA($G118:$L118)+COUNTA($Q118))&gt;0),"",IF($V118="Macro",COUNTIFS($V$5:$V118,"Macro",$S$5:$S118,$S118),IF(N($U118)=0,"?",COUNTIFS(INDEX($V$5:$V$1000,1):INDEX($V$5:$V$1000,$U118-4),"Macro",INDEX($S$5:$S$1000,1):INDEX($S$5:$S$1000,$U118-4),INDEX($S$5:$S$1000,$U118-4))&amp;"."&amp;COUNTIFS($U$5:$U118,$U118,$V$5:$V118,"Sub"))))</f>
        <v/>
      </c>
      <c r="B118" s="57" t="n"/>
      <c r="C118" s="58" t="n"/>
      <c r="D118" s="58" t="n"/>
      <c r="E118" s="59">
        <f>IF(N($AL118)&gt;0,INDEX(rIni_ADM,$AL118),"")</f>
        <v/>
      </c>
      <c r="F118" s="59">
        <f>IF(N($AL118)&gt;0,INDEX(rLim_ADM,$AL118),"")</f>
        <v/>
      </c>
      <c r="G118" s="59" t="n"/>
      <c r="H118" s="60" t="n"/>
      <c r="I118" s="60" t="n"/>
      <c r="J118" s="60" t="n"/>
      <c r="K118" s="60" t="n"/>
      <c r="L118" s="60" t="n"/>
      <c r="M118" s="61">
        <f>IF(NOT((COUNTA($B118:$D118)+COUNTA($G118:$L118)+COUNTA($Q118))&gt;0),"",IF($V118="Sub",IFERROR($X118/INDEX($W$5:$W$1000,$U118-4),""),IF(ISNUMBER($G118),1,IF(N($W118)&gt;0,AVERAGEIFS($X$5:$X$1000,$U$5:$U$1000,ROW(),$V$5:$V$1000,"Sub"),$X118))))</f>
        <v/>
      </c>
      <c r="N118" s="56">
        <f>IF(OR($M118="",$V118="Sub"),"",IF($M118&gt;=1,"Completado",IF($M118&gt;0,"En curso","Pendiente")))</f>
        <v/>
      </c>
      <c r="O118" s="56">
        <f>IF(OR(NOT((COUNTA($B118:$D118)+COUNTA($G118:$L118)+COUNTA($Q118))&gt;0),$V118="Sub"),"",IF(ISNUMBER($G118),IF(AND(ISNUMBER($AN118),$G118&gt;$AN118),"Cumplida con "&amp;($G118-$AN118)&amp;IF($G118-$AN118=1," día"," días")&amp;" de retraso","Cumplida"),IF(N($M118)&gt;=1,"Cumplida",IF(NOT(ISNUMBER($AN118)),"Sin fecha límite",IF($AN118&lt;FechaRef,"Vencida hace "&amp;(FechaRef-$AN118)&amp;IF(FechaRef-$AN118=1," día"," días"),IF($AN118=FechaRef,"Vence hoy",IF($AN118-FechaRef&lt;=DiasAlerta,"Vence en "&amp;($AN118-FechaRef)&amp;IF($AN118-FechaRef=1," día"," días"),"En plazo")))))))</f>
        <v/>
      </c>
      <c r="P118" s="62" t="n"/>
      <c r="Q118" s="58" t="n"/>
      <c r="R118" s="63">
        <f>IF(NOT((COUNTA($B118:$D118)+COUNTA($G118:$L118)+COUNTA($Q118))&gt;0),"",IF((IF($C118="","Falta el nombre de la actividad"&amp;" · ","")&amp;IF(AND($V118="Sub",N($U118)=0),"Subactividad sin macroactividad arriba"&amp;" · ","")&amp;IF($AM118="","Sin fecha de inicio"&amp;" · ","")&amp;IF($AN118="","Sin fecha límite"&amp;" · ","")&amp;IF(AND(LEFT($C118,11)="[Jefatura] ",N($AL118)=0),"No se encuentra en la hoja de la jefatura (elíjala de nuevo en la lista)"&amp;" · ","")&amp;IF(OR(AND($E118&lt;&gt;"",NOT(ISNUMBER($E118))),AND($F118&lt;&gt;"",NOT(ISNUMBER($F118))),AND($G118&lt;&gt;"",NOT(ISNUMBER($G118)))),"Fecha no válida"&amp;" · ","")&amp;IF(AND(ISNUMBER($AM118),ISNUMBER($AN118),$AM118&gt;$AN118),"Inicio posterior a fecha límite"&amp;" · ","")&amp;IF(AND($V118="Macro",$H118&lt;&gt;"",OR(NOT(ISNUMBER($H118)),$H118&lt;0,$H118&gt;1)),"Peso fuera de rango"&amp;" · ","")&amp;IF(AND($V118="Sub",$H118&lt;&gt;""),"Las subactividades no llevan peso (valen igual dentro de su macroactividad)"&amp;" · ","")&amp;IF(AND(N($W118)&gt;0,COUNT($I118:$L118)&gt;0),"Con subactividades: deje vacías las semanas (se calculan solas)"&amp;" · ","")&amp;IF((COUNTIF($I118:$L118,"&gt;1")+COUNTIF($I118:$L118,"&lt;0")+COUNTA($I118:$L118)-COUNT($I118:$L118))&gt;0,"Avance fuera de rango 0-100%"&amp;" · ","")&amp;IF(OR(AND($J118&lt;&gt;"",$J118&lt;$I118),AND($K118&lt;&gt;"",$K118&lt;MAX($I118:$J118)),AND($L118&lt;&gt;"",$L118&lt;MAX($I118:$K118))),"Avance semanal decreciente"&amp;" · ","")&amp;IF(AND(ISNUMBER($AN118),$AN118&lt;FechaRef,IF($V118="Sub",N($X118),N($M118))&lt;1),"Vencida"&amp;" · ","")&amp;IF(AND(ObsObligatoria="Sí",ISNUMBER($AN118),$AN118&lt;FechaRef,IF($V118="Sub",N($X118),N($M118))&lt;1,$Q118=""),"Vencida sin observación"&amp;" · ",""))="","✔ OK","⚠ "&amp;LEFT(IF($C118="","Falta el nombre de la actividad"&amp;" · ","")&amp;IF(AND($V118="Sub",N($U118)=0),"Subactividad sin macroactividad arriba"&amp;" · ","")&amp;IF($AM118="","Sin fecha de inicio"&amp;" · ","")&amp;IF($AN118="","Sin fecha límite"&amp;" · ","")&amp;IF(AND(LEFT($C118,11)="[Jefatura] ",N($AL118)=0),"No se encuentra en la hoja de la jefatura (elíjala de nuevo en la lista)"&amp;" · ","")&amp;IF(OR(AND($E118&lt;&gt;"",NOT(ISNUMBER($E118))),AND($F118&lt;&gt;"",NOT(ISNUMBER($F118))),AND($G118&lt;&gt;"",NOT(ISNUMBER($G118)))),"Fecha no válida"&amp;" · ","")&amp;IF(AND(ISNUMBER($AM118),ISNUMBER($AN118),$AM118&gt;$AN118),"Inicio posterior a fecha límite"&amp;" · ","")&amp;IF(AND($V118="Macro",$H118&lt;&gt;"",OR(NOT(ISNUMBER($H118)),$H118&lt;0,$H118&gt;1)),"Peso fuera de rango"&amp;" · ","")&amp;IF(AND($V118="Sub",$H118&lt;&gt;""),"Las subactividades no llevan peso (valen igual dentro de su macroactividad)"&amp;" · ","")&amp;IF(AND(N($W118)&gt;0,COUNT($I118:$L118)&gt;0),"Con subactividades: deje vacías las semanas (se calculan solas)"&amp;" · ","")&amp;IF((COUNTIF($I118:$L118,"&gt;1")+COUNTIF($I118:$L118,"&lt;0")+COUNTA($I118:$L118)-COUNT($I118:$L118))&gt;0,"Avance fuera de rango 0-100%"&amp;" · ","")&amp;IF(OR(AND($J118&lt;&gt;"",$J118&lt;$I118),AND($K118&lt;&gt;"",$K118&lt;MAX($I118:$J118)),AND($L118&lt;&gt;"",$L118&lt;MAX($I118:$K118))),"Avance semanal decreciente"&amp;" · ","")&amp;IF(AND(ISNUMBER($AN118),$AN118&lt;FechaRef,IF($V118="Sub",N($X118),N($M118))&lt;1),"Vencida"&amp;" · ","")&amp;IF(AND(ObsObligatoria="Sí",ISNUMBER($AN118),$AN118&lt;FechaRef,IF($V118="Sub",N($X118),N($M118))&lt;1,$Q118=""),"Vencida sin observación"&amp;" · ",""),LEN(IF($C118="","Falta el nombre de la actividad"&amp;" · ","")&amp;IF(AND($V118="Sub",N($U118)=0),"Subactividad sin macroactividad arriba"&amp;" · ","")&amp;IF($AM118="","Sin fecha de inicio"&amp;" · ","")&amp;IF($AN118="","Sin fecha límite"&amp;" · ","")&amp;IF(AND(LEFT($C118,11)="[Jefatura] ",N($AL118)=0),"No se encuentra en la hoja de la jefatura (elíjala de nuevo en la lista)"&amp;" · ","")&amp;IF(OR(AND($E118&lt;&gt;"",NOT(ISNUMBER($E118))),AND($F118&lt;&gt;"",NOT(ISNUMBER($F118))),AND($G118&lt;&gt;"",NOT(ISNUMBER($G118)))),"Fecha no válida"&amp;" · ","")&amp;IF(AND(ISNUMBER($AM118),ISNUMBER($AN118),$AM118&gt;$AN118),"Inicio posterior a fecha límite"&amp;" · ","")&amp;IF(AND($V118="Macro",$H118&lt;&gt;"",OR(NOT(ISNUMBER($H118)),$H118&lt;0,$H118&gt;1)),"Peso fuera de rango"&amp;" · ","")&amp;IF(AND($V118="Sub",$H118&lt;&gt;""),"Las subactividades no llevan peso (valen igual dentro de su macroactividad)"&amp;" · ","")&amp;IF(AND(N($W118)&gt;0,COUNT($I118:$L118)&gt;0),"Con subactividades: deje vacías las semanas (se calculan solas)"&amp;" · ","")&amp;IF((COUNTIF($I118:$L118,"&gt;1")+COUNTIF($I118:$L118,"&lt;0")+COUNTA($I118:$L118)-COUNT($I118:$L118))&gt;0,"Avance fuera de rango 0-100%"&amp;" · ","")&amp;IF(OR(AND($J118&lt;&gt;"",$J118&lt;$I118),AND($K118&lt;&gt;"",$K118&lt;MAX($I118:$J118)),AND($L118&lt;&gt;"",$L118&lt;MAX($I118:$K118))),"Avance semanal decreciente"&amp;" · ","")&amp;IF(AND(ISNUMBER($AN118),$AN118&lt;FechaRef,IF($V118="Sub",N($X118),N($M118))&lt;1),"Vencida"&amp;" · ","")&amp;IF(AND(ObsObligatoria="Sí",ISNUMBER($AN118),$AN118&lt;FechaRef,IF($V118="Sub",N($X118),N($M118))&lt;1,$Q118=""),"Vencida sin observación"&amp;" · ",""))-3)))</f>
        <v/>
      </c>
      <c r="S118" s="64">
        <f>IF(NOT((COUNTA($B118:$D118)+COUNTA($G118:$L118)+COUNTA($Q118))&gt;0),"",IF(AND($V118="Sub",N($U118)&gt;0),IF(ISNUMBER(INDEX($AM$5:$AM$1000,$U118-4)),DATE(YEAR(INDEX($AM$5:$AM$1000,$U118-4)),MONTH(INDEX($AM$5:$AM$1000,$U118-4)),1),IF(ISNUMBER(INDEX($AN$5:$AN$1000,$U118-4)),DATE(YEAR(INDEX($AN$5:$AN$1000,$U118-4)),MONTH(INDEX($AN$5:$AN$1000,$U118-4)),1),MesCiclo)),IF(ISNUMBER($AM118),DATE(YEAR($AM118),MONTH($AM118),1),IF(ISNUMBER($AN118),DATE(YEAR($AN118),MONTH($AN118),1),MesCiclo))))</f>
        <v/>
      </c>
      <c r="T118" s="62">
        <f>IF(OR($S118="",$S118&lt;&gt;MesCiclo,$V118&lt;&gt;"Macro"),"",COUNTIFS($S$5:$S118,MesCiclo,$V$5:$V118,"Macro"))</f>
        <v/>
      </c>
      <c r="U118" s="62">
        <f>IF($V118="","",IF($V118="Macro",ROW(),IFERROR(LOOKUP(2,1/($V$5:$V118="Macro"),ROW($V$5:$V118)),0)))</f>
        <v/>
      </c>
      <c r="V118" s="62">
        <f>IF(NOT((COUNTA($B118:$D118)+COUNTA($G118:$L118)+COUNTA($Q118))&gt;0),"",IF($B118="Subactividad","Sub","Macro"))</f>
        <v/>
      </c>
      <c r="W118" s="62">
        <f>IF($V118="Macro",COUNTIFS($U$5:$U$1000,ROW(),$V$5:$V$1000,"Sub"),"")</f>
        <v/>
      </c>
      <c r="X118" s="62">
        <f>IF($V118="","",IF(ISNUMBER($G118),1,IFERROR(LOOKUP(2,1/($I118:$L118&lt;&gt;""),$I118:$L118),0)))</f>
        <v/>
      </c>
      <c r="Y118" s="62">
        <f>IF($V118="","",IF(AND(ISNUMBER($G118),$G118&lt;=IF($S118=MesCiclo,InicioCiclo,$S118+MOD(2-WEEKDAY($S118),7))+6),1,IF(ISNUMBER($I118),$I118,0)))</f>
        <v/>
      </c>
      <c r="Z118" s="62">
        <f>IF($V118="","",IF(AND(ISNUMBER($G118),$G118&lt;=IF($S118=MesCiclo,InicioCiclo,$S118+MOD(2-WEEKDAY($S118),7))+13),1,IF(ISNUMBER($J118),$J118,$Y118)))</f>
        <v/>
      </c>
      <c r="AA118" s="62">
        <f>IF($V118="","",IF(AND(ISNUMBER($G118),$G118&lt;=IF($S118=MesCiclo,InicioCiclo,$S118+MOD(2-WEEKDAY($S118),7))+20),1,IF(ISNUMBER($K118),$K118,$Z118)))</f>
        <v/>
      </c>
      <c r="AB118" s="62">
        <f>IF($V118="","",IF(AND(ISNUMBER($G118),$G118&lt;=IF($S118=MesCiclo,InicioCiclo,$S118+MOD(2-WEEKDAY($S118),7))+27),1,IF(ISNUMBER($L118),$L118,$AA118)))</f>
        <v/>
      </c>
      <c r="AC118" s="62">
        <f>IF($V118="","",IF(AND(ISNUMBER($G118),$G118&lt;=IF($S118=MesCiclo,InicioCiclo,$S118+MOD(2-WEEKDAY($S118),7))+6),1,IF(N($W118)&gt;0,AVERAGEIFS($Y$5:$Y$1000,$U$5:$U$1000,ROW(),$V$5:$V$1000,"Sub"),$Y118)))</f>
        <v/>
      </c>
      <c r="AD118" s="62">
        <f>IF($V118="","",IF(AND(ISNUMBER($G118),$G118&lt;=IF($S118=MesCiclo,InicioCiclo,$S118+MOD(2-WEEKDAY($S118),7))+13),1,IF(N($W118)&gt;0,AVERAGEIFS($Z$5:$Z$1000,$U$5:$U$1000,ROW(),$V$5:$V$1000,"Sub"),$Z118)))</f>
        <v/>
      </c>
      <c r="AE118" s="62">
        <f>IF($V118="","",IF(AND(ISNUMBER($G118),$G118&lt;=IF($S118=MesCiclo,InicioCiclo,$S118+MOD(2-WEEKDAY($S118),7))+20),1,IF(N($W118)&gt;0,AVERAGEIFS($AA$5:$AA$1000,$U$5:$U$1000,ROW(),$V$5:$V$1000,"Sub"),$AA118)))</f>
        <v/>
      </c>
      <c r="AF118" s="62">
        <f>IF($V118="","",IF(AND(ISNUMBER($G118),$G118&lt;=IF($S118=MesCiclo,InicioCiclo,$S118+MOD(2-WEEKDAY($S118),7))+27),1,IF(N($W118)&gt;0,AVERAGEIFS($AB$5:$AB$1000,$U$5:$U$1000,ROW(),$V$5:$V$1000,"Sub"),$AB118)))</f>
        <v/>
      </c>
      <c r="AG118" s="62">
        <f>IF($V118&lt;&gt;"Macro","",IF(COUNTIFS($S$5:$S$1000,$S118,$V$5:$V$1000,"Macro",$H$5:$H$1000,"&gt;0")=0,1/COUNTIFS($S$5:$S$1000,$S118,$V$5:$V$1000,"Macro"),IF(AND(ISNUMBER($H118),N($H118)&gt;0),$H118,SUMIFS($H$5:$H$1000,$S$5:$S$1000,$S118,$V$5:$V$1000,"Macro")/COUNTIFS($S$5:$S$1000,$S118,$V$5:$V$1000,"Macro",$H$5:$H$1000,"&gt;0"))/(COUNTIFS($S$5:$S$1000,$S118,$V$5:$V$1000,"Macro")*SUMIFS($H$5:$H$1000,$S$5:$S$1000,$S118,$V$5:$V$1000,"Macro")/COUNTIFS($S$5:$S$1000,$S118,$V$5:$V$1000,"Macro",$H$5:$H$1000,"&gt;0"))))</f>
        <v/>
      </c>
      <c r="AH118" s="62" t="n"/>
      <c r="AI118" s="62" t="n"/>
      <c r="AJ118" s="62" t="n"/>
      <c r="AK118" s="62" t="n"/>
      <c r="AL118" s="62">
        <f>IF(LEFT($C118,11)="[Jefatura] ",IFERROR(MATCH("Riesgo Operacional|"&amp;MID($C118,12,500),rDname_ADM,0),0),"")</f>
        <v/>
      </c>
      <c r="AM118" s="62">
        <f>IF(N($AL118)&gt;0,INDEX(rIni_ADM,$AL118),IF(ISNUMBER($E118),$E118,""))</f>
        <v/>
      </c>
      <c r="AN118" s="62">
        <f>IF(N($AL118)&gt;0,INDEX(rLim_ADM,$AL118),IF(ISNUMBER($F118),$F118,""))</f>
        <v/>
      </c>
    </row>
    <row r="119">
      <c r="A119" s="56">
        <f>IF(NOT((COUNTA($B119:$D119)+COUNTA($G119:$L119)+COUNTA($Q119))&gt;0),"",IF($V119="Macro",COUNTIFS($V$5:$V119,"Macro",$S$5:$S119,$S119),IF(N($U119)=0,"?",COUNTIFS(INDEX($V$5:$V$1000,1):INDEX($V$5:$V$1000,$U119-4),"Macro",INDEX($S$5:$S$1000,1):INDEX($S$5:$S$1000,$U119-4),INDEX($S$5:$S$1000,$U119-4))&amp;"."&amp;COUNTIFS($U$5:$U119,$U119,$V$5:$V119,"Sub"))))</f>
        <v/>
      </c>
      <c r="B119" s="57" t="n"/>
      <c r="C119" s="58" t="n"/>
      <c r="D119" s="58" t="n"/>
      <c r="E119" s="59">
        <f>IF(N($AL119)&gt;0,INDEX(rIni_ADM,$AL119),"")</f>
        <v/>
      </c>
      <c r="F119" s="59">
        <f>IF(N($AL119)&gt;0,INDEX(rLim_ADM,$AL119),"")</f>
        <v/>
      </c>
      <c r="G119" s="59" t="n"/>
      <c r="H119" s="60" t="n"/>
      <c r="I119" s="60" t="n"/>
      <c r="J119" s="60" t="n"/>
      <c r="K119" s="60" t="n"/>
      <c r="L119" s="60" t="n"/>
      <c r="M119" s="61">
        <f>IF(NOT((COUNTA($B119:$D119)+COUNTA($G119:$L119)+COUNTA($Q119))&gt;0),"",IF($V119="Sub",IFERROR($X119/INDEX($W$5:$W$1000,$U119-4),""),IF(ISNUMBER($G119),1,IF(N($W119)&gt;0,AVERAGEIFS($X$5:$X$1000,$U$5:$U$1000,ROW(),$V$5:$V$1000,"Sub"),$X119))))</f>
        <v/>
      </c>
      <c r="N119" s="56">
        <f>IF(OR($M119="",$V119="Sub"),"",IF($M119&gt;=1,"Completado",IF($M119&gt;0,"En curso","Pendiente")))</f>
        <v/>
      </c>
      <c r="O119" s="56">
        <f>IF(OR(NOT((COUNTA($B119:$D119)+COUNTA($G119:$L119)+COUNTA($Q119))&gt;0),$V119="Sub"),"",IF(ISNUMBER($G119),IF(AND(ISNUMBER($AN119),$G119&gt;$AN119),"Cumplida con "&amp;($G119-$AN119)&amp;IF($G119-$AN119=1," día"," días")&amp;" de retraso","Cumplida"),IF(N($M119)&gt;=1,"Cumplida",IF(NOT(ISNUMBER($AN119)),"Sin fecha límite",IF($AN119&lt;FechaRef,"Vencida hace "&amp;(FechaRef-$AN119)&amp;IF(FechaRef-$AN119=1," día"," días"),IF($AN119=FechaRef,"Vence hoy",IF($AN119-FechaRef&lt;=DiasAlerta,"Vence en "&amp;($AN119-FechaRef)&amp;IF($AN119-FechaRef=1," día"," días"),"En plazo")))))))</f>
        <v/>
      </c>
      <c r="P119" s="62" t="n"/>
      <c r="Q119" s="58" t="n"/>
      <c r="R119" s="63">
        <f>IF(NOT((COUNTA($B119:$D119)+COUNTA($G119:$L119)+COUNTA($Q119))&gt;0),"",IF((IF($C119="","Falta el nombre de la actividad"&amp;" · ","")&amp;IF(AND($V119="Sub",N($U119)=0),"Subactividad sin macroactividad arriba"&amp;" · ","")&amp;IF($AM119="","Sin fecha de inicio"&amp;" · ","")&amp;IF($AN119="","Sin fecha límite"&amp;" · ","")&amp;IF(AND(LEFT($C119,11)="[Jefatura] ",N($AL119)=0),"No se encuentra en la hoja de la jefatura (elíjala de nuevo en la lista)"&amp;" · ","")&amp;IF(OR(AND($E119&lt;&gt;"",NOT(ISNUMBER($E119))),AND($F119&lt;&gt;"",NOT(ISNUMBER($F119))),AND($G119&lt;&gt;"",NOT(ISNUMBER($G119)))),"Fecha no válida"&amp;" · ","")&amp;IF(AND(ISNUMBER($AM119),ISNUMBER($AN119),$AM119&gt;$AN119),"Inicio posterior a fecha límite"&amp;" · ","")&amp;IF(AND($V119="Macro",$H119&lt;&gt;"",OR(NOT(ISNUMBER($H119)),$H119&lt;0,$H119&gt;1)),"Peso fuera de rango"&amp;" · ","")&amp;IF(AND($V119="Sub",$H119&lt;&gt;""),"Las subactividades no llevan peso (valen igual dentro de su macroactividad)"&amp;" · ","")&amp;IF(AND(N($W119)&gt;0,COUNT($I119:$L119)&gt;0),"Con subactividades: deje vacías las semanas (se calculan solas)"&amp;" · ","")&amp;IF((COUNTIF($I119:$L119,"&gt;1")+COUNTIF($I119:$L119,"&lt;0")+COUNTA($I119:$L119)-COUNT($I119:$L119))&gt;0,"Avance fuera de rango 0-100%"&amp;" · ","")&amp;IF(OR(AND($J119&lt;&gt;"",$J119&lt;$I119),AND($K119&lt;&gt;"",$K119&lt;MAX($I119:$J119)),AND($L119&lt;&gt;"",$L119&lt;MAX($I119:$K119))),"Avance semanal decreciente"&amp;" · ","")&amp;IF(AND(ISNUMBER($AN119),$AN119&lt;FechaRef,IF($V119="Sub",N($X119),N($M119))&lt;1),"Vencida"&amp;" · ","")&amp;IF(AND(ObsObligatoria="Sí",ISNUMBER($AN119),$AN119&lt;FechaRef,IF($V119="Sub",N($X119),N($M119))&lt;1,$Q119=""),"Vencida sin observación"&amp;" · ",""))="","✔ OK","⚠ "&amp;LEFT(IF($C119="","Falta el nombre de la actividad"&amp;" · ","")&amp;IF(AND($V119="Sub",N($U119)=0),"Subactividad sin macroactividad arriba"&amp;" · ","")&amp;IF($AM119="","Sin fecha de inicio"&amp;" · ","")&amp;IF($AN119="","Sin fecha límite"&amp;" · ","")&amp;IF(AND(LEFT($C119,11)="[Jefatura] ",N($AL119)=0),"No se encuentra en la hoja de la jefatura (elíjala de nuevo en la lista)"&amp;" · ","")&amp;IF(OR(AND($E119&lt;&gt;"",NOT(ISNUMBER($E119))),AND($F119&lt;&gt;"",NOT(ISNUMBER($F119))),AND($G119&lt;&gt;"",NOT(ISNUMBER($G119)))),"Fecha no válida"&amp;" · ","")&amp;IF(AND(ISNUMBER($AM119),ISNUMBER($AN119),$AM119&gt;$AN119),"Inicio posterior a fecha límite"&amp;" · ","")&amp;IF(AND($V119="Macro",$H119&lt;&gt;"",OR(NOT(ISNUMBER($H119)),$H119&lt;0,$H119&gt;1)),"Peso fuera de rango"&amp;" · ","")&amp;IF(AND($V119="Sub",$H119&lt;&gt;""),"Las subactividades no llevan peso (valen igual dentro de su macroactividad)"&amp;" · ","")&amp;IF(AND(N($W119)&gt;0,COUNT($I119:$L119)&gt;0),"Con subactividades: deje vacías las semanas (se calculan solas)"&amp;" · ","")&amp;IF((COUNTIF($I119:$L119,"&gt;1")+COUNTIF($I119:$L119,"&lt;0")+COUNTA($I119:$L119)-COUNT($I119:$L119))&gt;0,"Avance fuera de rango 0-100%"&amp;" · ","")&amp;IF(OR(AND($J119&lt;&gt;"",$J119&lt;$I119),AND($K119&lt;&gt;"",$K119&lt;MAX($I119:$J119)),AND($L119&lt;&gt;"",$L119&lt;MAX($I119:$K119))),"Avance semanal decreciente"&amp;" · ","")&amp;IF(AND(ISNUMBER($AN119),$AN119&lt;FechaRef,IF($V119="Sub",N($X119),N($M119))&lt;1),"Vencida"&amp;" · ","")&amp;IF(AND(ObsObligatoria="Sí",ISNUMBER($AN119),$AN119&lt;FechaRef,IF($V119="Sub",N($X119),N($M119))&lt;1,$Q119=""),"Vencida sin observación"&amp;" · ",""),LEN(IF($C119="","Falta el nombre de la actividad"&amp;" · ","")&amp;IF(AND($V119="Sub",N($U119)=0),"Subactividad sin macroactividad arriba"&amp;" · ","")&amp;IF($AM119="","Sin fecha de inicio"&amp;" · ","")&amp;IF($AN119="","Sin fecha límite"&amp;" · ","")&amp;IF(AND(LEFT($C119,11)="[Jefatura] ",N($AL119)=0),"No se encuentra en la hoja de la jefatura (elíjala de nuevo en la lista)"&amp;" · ","")&amp;IF(OR(AND($E119&lt;&gt;"",NOT(ISNUMBER($E119))),AND($F119&lt;&gt;"",NOT(ISNUMBER($F119))),AND($G119&lt;&gt;"",NOT(ISNUMBER($G119)))),"Fecha no válida"&amp;" · ","")&amp;IF(AND(ISNUMBER($AM119),ISNUMBER($AN119),$AM119&gt;$AN119),"Inicio posterior a fecha límite"&amp;" · ","")&amp;IF(AND($V119="Macro",$H119&lt;&gt;"",OR(NOT(ISNUMBER($H119)),$H119&lt;0,$H119&gt;1)),"Peso fuera de rango"&amp;" · ","")&amp;IF(AND($V119="Sub",$H119&lt;&gt;""),"Las subactividades no llevan peso (valen igual dentro de su macroactividad)"&amp;" · ","")&amp;IF(AND(N($W119)&gt;0,COUNT($I119:$L119)&gt;0),"Con subactividades: deje vacías las semanas (se calculan solas)"&amp;" · ","")&amp;IF((COUNTIF($I119:$L119,"&gt;1")+COUNTIF($I119:$L119,"&lt;0")+COUNTA($I119:$L119)-COUNT($I119:$L119))&gt;0,"Avance fuera de rango 0-100%"&amp;" · ","")&amp;IF(OR(AND($J119&lt;&gt;"",$J119&lt;$I119),AND($K119&lt;&gt;"",$K119&lt;MAX($I119:$J119)),AND($L119&lt;&gt;"",$L119&lt;MAX($I119:$K119))),"Avance semanal decreciente"&amp;" · ","")&amp;IF(AND(ISNUMBER($AN119),$AN119&lt;FechaRef,IF($V119="Sub",N($X119),N($M119))&lt;1),"Vencida"&amp;" · ","")&amp;IF(AND(ObsObligatoria="Sí",ISNUMBER($AN119),$AN119&lt;FechaRef,IF($V119="Sub",N($X119),N($M119))&lt;1,$Q119=""),"Vencida sin observación"&amp;" · ",""))-3)))</f>
        <v/>
      </c>
      <c r="S119" s="64">
        <f>IF(NOT((COUNTA($B119:$D119)+COUNTA($G119:$L119)+COUNTA($Q119))&gt;0),"",IF(AND($V119="Sub",N($U119)&gt;0),IF(ISNUMBER(INDEX($AM$5:$AM$1000,$U119-4)),DATE(YEAR(INDEX($AM$5:$AM$1000,$U119-4)),MONTH(INDEX($AM$5:$AM$1000,$U119-4)),1),IF(ISNUMBER(INDEX($AN$5:$AN$1000,$U119-4)),DATE(YEAR(INDEX($AN$5:$AN$1000,$U119-4)),MONTH(INDEX($AN$5:$AN$1000,$U119-4)),1),MesCiclo)),IF(ISNUMBER($AM119),DATE(YEAR($AM119),MONTH($AM119),1),IF(ISNUMBER($AN119),DATE(YEAR($AN119),MONTH($AN119),1),MesCiclo))))</f>
        <v/>
      </c>
      <c r="T119" s="62">
        <f>IF(OR($S119="",$S119&lt;&gt;MesCiclo,$V119&lt;&gt;"Macro"),"",COUNTIFS($S$5:$S119,MesCiclo,$V$5:$V119,"Macro"))</f>
        <v/>
      </c>
      <c r="U119" s="62">
        <f>IF($V119="","",IF($V119="Macro",ROW(),IFERROR(LOOKUP(2,1/($V$5:$V119="Macro"),ROW($V$5:$V119)),0)))</f>
        <v/>
      </c>
      <c r="V119" s="62">
        <f>IF(NOT((COUNTA($B119:$D119)+COUNTA($G119:$L119)+COUNTA($Q119))&gt;0),"",IF($B119="Subactividad","Sub","Macro"))</f>
        <v/>
      </c>
      <c r="W119" s="62">
        <f>IF($V119="Macro",COUNTIFS($U$5:$U$1000,ROW(),$V$5:$V$1000,"Sub"),"")</f>
        <v/>
      </c>
      <c r="X119" s="62">
        <f>IF($V119="","",IF(ISNUMBER($G119),1,IFERROR(LOOKUP(2,1/($I119:$L119&lt;&gt;""),$I119:$L119),0)))</f>
        <v/>
      </c>
      <c r="Y119" s="62">
        <f>IF($V119="","",IF(AND(ISNUMBER($G119),$G119&lt;=IF($S119=MesCiclo,InicioCiclo,$S119+MOD(2-WEEKDAY($S119),7))+6),1,IF(ISNUMBER($I119),$I119,0)))</f>
        <v/>
      </c>
      <c r="Z119" s="62">
        <f>IF($V119="","",IF(AND(ISNUMBER($G119),$G119&lt;=IF($S119=MesCiclo,InicioCiclo,$S119+MOD(2-WEEKDAY($S119),7))+13),1,IF(ISNUMBER($J119),$J119,$Y119)))</f>
        <v/>
      </c>
      <c r="AA119" s="62">
        <f>IF($V119="","",IF(AND(ISNUMBER($G119),$G119&lt;=IF($S119=MesCiclo,InicioCiclo,$S119+MOD(2-WEEKDAY($S119),7))+20),1,IF(ISNUMBER($K119),$K119,$Z119)))</f>
        <v/>
      </c>
      <c r="AB119" s="62">
        <f>IF($V119="","",IF(AND(ISNUMBER($G119),$G119&lt;=IF($S119=MesCiclo,InicioCiclo,$S119+MOD(2-WEEKDAY($S119),7))+27),1,IF(ISNUMBER($L119),$L119,$AA119)))</f>
        <v/>
      </c>
      <c r="AC119" s="62">
        <f>IF($V119="","",IF(AND(ISNUMBER($G119),$G119&lt;=IF($S119=MesCiclo,InicioCiclo,$S119+MOD(2-WEEKDAY($S119),7))+6),1,IF(N($W119)&gt;0,AVERAGEIFS($Y$5:$Y$1000,$U$5:$U$1000,ROW(),$V$5:$V$1000,"Sub"),$Y119)))</f>
        <v/>
      </c>
      <c r="AD119" s="62">
        <f>IF($V119="","",IF(AND(ISNUMBER($G119),$G119&lt;=IF($S119=MesCiclo,InicioCiclo,$S119+MOD(2-WEEKDAY($S119),7))+13),1,IF(N($W119)&gt;0,AVERAGEIFS($Z$5:$Z$1000,$U$5:$U$1000,ROW(),$V$5:$V$1000,"Sub"),$Z119)))</f>
        <v/>
      </c>
      <c r="AE119" s="62">
        <f>IF($V119="","",IF(AND(ISNUMBER($G119),$G119&lt;=IF($S119=MesCiclo,InicioCiclo,$S119+MOD(2-WEEKDAY($S119),7))+20),1,IF(N($W119)&gt;0,AVERAGEIFS($AA$5:$AA$1000,$U$5:$U$1000,ROW(),$V$5:$V$1000,"Sub"),$AA119)))</f>
        <v/>
      </c>
      <c r="AF119" s="62">
        <f>IF($V119="","",IF(AND(ISNUMBER($G119),$G119&lt;=IF($S119=MesCiclo,InicioCiclo,$S119+MOD(2-WEEKDAY($S119),7))+27),1,IF(N($W119)&gt;0,AVERAGEIFS($AB$5:$AB$1000,$U$5:$U$1000,ROW(),$V$5:$V$1000,"Sub"),$AB119)))</f>
        <v/>
      </c>
      <c r="AG119" s="62">
        <f>IF($V119&lt;&gt;"Macro","",IF(COUNTIFS($S$5:$S$1000,$S119,$V$5:$V$1000,"Macro",$H$5:$H$1000,"&gt;0")=0,1/COUNTIFS($S$5:$S$1000,$S119,$V$5:$V$1000,"Macro"),IF(AND(ISNUMBER($H119),N($H119)&gt;0),$H119,SUMIFS($H$5:$H$1000,$S$5:$S$1000,$S119,$V$5:$V$1000,"Macro")/COUNTIFS($S$5:$S$1000,$S119,$V$5:$V$1000,"Macro",$H$5:$H$1000,"&gt;0"))/(COUNTIFS($S$5:$S$1000,$S119,$V$5:$V$1000,"Macro")*SUMIFS($H$5:$H$1000,$S$5:$S$1000,$S119,$V$5:$V$1000,"Macro")/COUNTIFS($S$5:$S$1000,$S119,$V$5:$V$1000,"Macro",$H$5:$H$1000,"&gt;0"))))</f>
        <v/>
      </c>
      <c r="AH119" s="62" t="n"/>
      <c r="AI119" s="62" t="n"/>
      <c r="AJ119" s="62" t="n"/>
      <c r="AK119" s="62" t="n"/>
      <c r="AL119" s="62">
        <f>IF(LEFT($C119,11)="[Jefatura] ",IFERROR(MATCH("Riesgo Operacional|"&amp;MID($C119,12,500),rDname_ADM,0),0),"")</f>
        <v/>
      </c>
      <c r="AM119" s="62">
        <f>IF(N($AL119)&gt;0,INDEX(rIni_ADM,$AL119),IF(ISNUMBER($E119),$E119,""))</f>
        <v/>
      </c>
      <c r="AN119" s="62">
        <f>IF(N($AL119)&gt;0,INDEX(rLim_ADM,$AL119),IF(ISNUMBER($F119),$F119,""))</f>
        <v/>
      </c>
    </row>
    <row r="120">
      <c r="A120" s="56">
        <f>IF(NOT((COUNTA($B120:$D120)+COUNTA($G120:$L120)+COUNTA($Q120))&gt;0),"",IF($V120="Macro",COUNTIFS($V$5:$V120,"Macro",$S$5:$S120,$S120),IF(N($U120)=0,"?",COUNTIFS(INDEX($V$5:$V$1000,1):INDEX($V$5:$V$1000,$U120-4),"Macro",INDEX($S$5:$S$1000,1):INDEX($S$5:$S$1000,$U120-4),INDEX($S$5:$S$1000,$U120-4))&amp;"."&amp;COUNTIFS($U$5:$U120,$U120,$V$5:$V120,"Sub"))))</f>
        <v/>
      </c>
      <c r="B120" s="57" t="n"/>
      <c r="C120" s="58" t="n"/>
      <c r="D120" s="58" t="n"/>
      <c r="E120" s="59">
        <f>IF(N($AL120)&gt;0,INDEX(rIni_ADM,$AL120),"")</f>
        <v/>
      </c>
      <c r="F120" s="59">
        <f>IF(N($AL120)&gt;0,INDEX(rLim_ADM,$AL120),"")</f>
        <v/>
      </c>
      <c r="G120" s="59" t="n"/>
      <c r="H120" s="60" t="n"/>
      <c r="I120" s="60" t="n"/>
      <c r="J120" s="60" t="n"/>
      <c r="K120" s="60" t="n"/>
      <c r="L120" s="60" t="n"/>
      <c r="M120" s="61">
        <f>IF(NOT((COUNTA($B120:$D120)+COUNTA($G120:$L120)+COUNTA($Q120))&gt;0),"",IF($V120="Sub",IFERROR($X120/INDEX($W$5:$W$1000,$U120-4),""),IF(ISNUMBER($G120),1,IF(N($W120)&gt;0,AVERAGEIFS($X$5:$X$1000,$U$5:$U$1000,ROW(),$V$5:$V$1000,"Sub"),$X120))))</f>
        <v/>
      </c>
      <c r="N120" s="56">
        <f>IF(OR($M120="",$V120="Sub"),"",IF($M120&gt;=1,"Completado",IF($M120&gt;0,"En curso","Pendiente")))</f>
        <v/>
      </c>
      <c r="O120" s="56">
        <f>IF(OR(NOT((COUNTA($B120:$D120)+COUNTA($G120:$L120)+COUNTA($Q120))&gt;0),$V120="Sub"),"",IF(ISNUMBER($G120),IF(AND(ISNUMBER($AN120),$G120&gt;$AN120),"Cumplida con "&amp;($G120-$AN120)&amp;IF($G120-$AN120=1," día"," días")&amp;" de retraso","Cumplida"),IF(N($M120)&gt;=1,"Cumplida",IF(NOT(ISNUMBER($AN120)),"Sin fecha límite",IF($AN120&lt;FechaRef,"Vencida hace "&amp;(FechaRef-$AN120)&amp;IF(FechaRef-$AN120=1," día"," días"),IF($AN120=FechaRef,"Vence hoy",IF($AN120-FechaRef&lt;=DiasAlerta,"Vence en "&amp;($AN120-FechaRef)&amp;IF($AN120-FechaRef=1," día"," días"),"En plazo")))))))</f>
        <v/>
      </c>
      <c r="P120" s="62" t="n"/>
      <c r="Q120" s="58" t="n"/>
      <c r="R120" s="63">
        <f>IF(NOT((COUNTA($B120:$D120)+COUNTA($G120:$L120)+COUNTA($Q120))&gt;0),"",IF((IF($C120="","Falta el nombre de la actividad"&amp;" · ","")&amp;IF(AND($V120="Sub",N($U120)=0),"Subactividad sin macroactividad arriba"&amp;" · ","")&amp;IF($AM120="","Sin fecha de inicio"&amp;" · ","")&amp;IF($AN120="","Sin fecha límite"&amp;" · ","")&amp;IF(AND(LEFT($C120,11)="[Jefatura] ",N($AL120)=0),"No se encuentra en la hoja de la jefatura (elíjala de nuevo en la lista)"&amp;" · ","")&amp;IF(OR(AND($E120&lt;&gt;"",NOT(ISNUMBER($E120))),AND($F120&lt;&gt;"",NOT(ISNUMBER($F120))),AND($G120&lt;&gt;"",NOT(ISNUMBER($G120)))),"Fecha no válida"&amp;" · ","")&amp;IF(AND(ISNUMBER($AM120),ISNUMBER($AN120),$AM120&gt;$AN120),"Inicio posterior a fecha límite"&amp;" · ","")&amp;IF(AND($V120="Macro",$H120&lt;&gt;"",OR(NOT(ISNUMBER($H120)),$H120&lt;0,$H120&gt;1)),"Peso fuera de rango"&amp;" · ","")&amp;IF(AND($V120="Sub",$H120&lt;&gt;""),"Las subactividades no llevan peso (valen igual dentro de su macroactividad)"&amp;" · ","")&amp;IF(AND(N($W120)&gt;0,COUNT($I120:$L120)&gt;0),"Con subactividades: deje vacías las semanas (se calculan solas)"&amp;" · ","")&amp;IF((COUNTIF($I120:$L120,"&gt;1")+COUNTIF($I120:$L120,"&lt;0")+COUNTA($I120:$L120)-COUNT($I120:$L120))&gt;0,"Avance fuera de rango 0-100%"&amp;" · ","")&amp;IF(OR(AND($J120&lt;&gt;"",$J120&lt;$I120),AND($K120&lt;&gt;"",$K120&lt;MAX($I120:$J120)),AND($L120&lt;&gt;"",$L120&lt;MAX($I120:$K120))),"Avance semanal decreciente"&amp;" · ","")&amp;IF(AND(ISNUMBER($AN120),$AN120&lt;FechaRef,IF($V120="Sub",N($X120),N($M120))&lt;1),"Vencida"&amp;" · ","")&amp;IF(AND(ObsObligatoria="Sí",ISNUMBER($AN120),$AN120&lt;FechaRef,IF($V120="Sub",N($X120),N($M120))&lt;1,$Q120=""),"Vencida sin observación"&amp;" · ",""))="","✔ OK","⚠ "&amp;LEFT(IF($C120="","Falta el nombre de la actividad"&amp;" · ","")&amp;IF(AND($V120="Sub",N($U120)=0),"Subactividad sin macroactividad arriba"&amp;" · ","")&amp;IF($AM120="","Sin fecha de inicio"&amp;" · ","")&amp;IF($AN120="","Sin fecha límite"&amp;" · ","")&amp;IF(AND(LEFT($C120,11)="[Jefatura] ",N($AL120)=0),"No se encuentra en la hoja de la jefatura (elíjala de nuevo en la lista)"&amp;" · ","")&amp;IF(OR(AND($E120&lt;&gt;"",NOT(ISNUMBER($E120))),AND($F120&lt;&gt;"",NOT(ISNUMBER($F120))),AND($G120&lt;&gt;"",NOT(ISNUMBER($G120)))),"Fecha no válida"&amp;" · ","")&amp;IF(AND(ISNUMBER($AM120),ISNUMBER($AN120),$AM120&gt;$AN120),"Inicio posterior a fecha límite"&amp;" · ","")&amp;IF(AND($V120="Macro",$H120&lt;&gt;"",OR(NOT(ISNUMBER($H120)),$H120&lt;0,$H120&gt;1)),"Peso fuera de rango"&amp;" · ","")&amp;IF(AND($V120="Sub",$H120&lt;&gt;""),"Las subactividades no llevan peso (valen igual dentro de su macroactividad)"&amp;" · ","")&amp;IF(AND(N($W120)&gt;0,COUNT($I120:$L120)&gt;0),"Con subactividades: deje vacías las semanas (se calculan solas)"&amp;" · ","")&amp;IF((COUNTIF($I120:$L120,"&gt;1")+COUNTIF($I120:$L120,"&lt;0")+COUNTA($I120:$L120)-COUNT($I120:$L120))&gt;0,"Avance fuera de rango 0-100%"&amp;" · ","")&amp;IF(OR(AND($J120&lt;&gt;"",$J120&lt;$I120),AND($K120&lt;&gt;"",$K120&lt;MAX($I120:$J120)),AND($L120&lt;&gt;"",$L120&lt;MAX($I120:$K120))),"Avance semanal decreciente"&amp;" · ","")&amp;IF(AND(ISNUMBER($AN120),$AN120&lt;FechaRef,IF($V120="Sub",N($X120),N($M120))&lt;1),"Vencida"&amp;" · ","")&amp;IF(AND(ObsObligatoria="Sí",ISNUMBER($AN120),$AN120&lt;FechaRef,IF($V120="Sub",N($X120),N($M120))&lt;1,$Q120=""),"Vencida sin observación"&amp;" · ",""),LEN(IF($C120="","Falta el nombre de la actividad"&amp;" · ","")&amp;IF(AND($V120="Sub",N($U120)=0),"Subactividad sin macroactividad arriba"&amp;" · ","")&amp;IF($AM120="","Sin fecha de inicio"&amp;" · ","")&amp;IF($AN120="","Sin fecha límite"&amp;" · ","")&amp;IF(AND(LEFT($C120,11)="[Jefatura] ",N($AL120)=0),"No se encuentra en la hoja de la jefatura (elíjala de nuevo en la lista)"&amp;" · ","")&amp;IF(OR(AND($E120&lt;&gt;"",NOT(ISNUMBER($E120))),AND($F120&lt;&gt;"",NOT(ISNUMBER($F120))),AND($G120&lt;&gt;"",NOT(ISNUMBER($G120)))),"Fecha no válida"&amp;" · ","")&amp;IF(AND(ISNUMBER($AM120),ISNUMBER($AN120),$AM120&gt;$AN120),"Inicio posterior a fecha límite"&amp;" · ","")&amp;IF(AND($V120="Macro",$H120&lt;&gt;"",OR(NOT(ISNUMBER($H120)),$H120&lt;0,$H120&gt;1)),"Peso fuera de rango"&amp;" · ","")&amp;IF(AND($V120="Sub",$H120&lt;&gt;""),"Las subactividades no llevan peso (valen igual dentro de su macroactividad)"&amp;" · ","")&amp;IF(AND(N($W120)&gt;0,COUNT($I120:$L120)&gt;0),"Con subactividades: deje vacías las semanas (se calculan solas)"&amp;" · ","")&amp;IF((COUNTIF($I120:$L120,"&gt;1")+COUNTIF($I120:$L120,"&lt;0")+COUNTA($I120:$L120)-COUNT($I120:$L120))&gt;0,"Avance fuera de rango 0-100%"&amp;" · ","")&amp;IF(OR(AND($J120&lt;&gt;"",$J120&lt;$I120),AND($K120&lt;&gt;"",$K120&lt;MAX($I120:$J120)),AND($L120&lt;&gt;"",$L120&lt;MAX($I120:$K120))),"Avance semanal decreciente"&amp;" · ","")&amp;IF(AND(ISNUMBER($AN120),$AN120&lt;FechaRef,IF($V120="Sub",N($X120),N($M120))&lt;1),"Vencida"&amp;" · ","")&amp;IF(AND(ObsObligatoria="Sí",ISNUMBER($AN120),$AN120&lt;FechaRef,IF($V120="Sub",N($X120),N($M120))&lt;1,$Q120=""),"Vencida sin observación"&amp;" · ",""))-3)))</f>
        <v/>
      </c>
      <c r="S120" s="64">
        <f>IF(NOT((COUNTA($B120:$D120)+COUNTA($G120:$L120)+COUNTA($Q120))&gt;0),"",IF(AND($V120="Sub",N($U120)&gt;0),IF(ISNUMBER(INDEX($AM$5:$AM$1000,$U120-4)),DATE(YEAR(INDEX($AM$5:$AM$1000,$U120-4)),MONTH(INDEX($AM$5:$AM$1000,$U120-4)),1),IF(ISNUMBER(INDEX($AN$5:$AN$1000,$U120-4)),DATE(YEAR(INDEX($AN$5:$AN$1000,$U120-4)),MONTH(INDEX($AN$5:$AN$1000,$U120-4)),1),MesCiclo)),IF(ISNUMBER($AM120),DATE(YEAR($AM120),MONTH($AM120),1),IF(ISNUMBER($AN120),DATE(YEAR($AN120),MONTH($AN120),1),MesCiclo))))</f>
        <v/>
      </c>
      <c r="T120" s="62">
        <f>IF(OR($S120="",$S120&lt;&gt;MesCiclo,$V120&lt;&gt;"Macro"),"",COUNTIFS($S$5:$S120,MesCiclo,$V$5:$V120,"Macro"))</f>
        <v/>
      </c>
      <c r="U120" s="62">
        <f>IF($V120="","",IF($V120="Macro",ROW(),IFERROR(LOOKUP(2,1/($V$5:$V120="Macro"),ROW($V$5:$V120)),0)))</f>
        <v/>
      </c>
      <c r="V120" s="62">
        <f>IF(NOT((COUNTA($B120:$D120)+COUNTA($G120:$L120)+COUNTA($Q120))&gt;0),"",IF($B120="Subactividad","Sub","Macro"))</f>
        <v/>
      </c>
      <c r="W120" s="62">
        <f>IF($V120="Macro",COUNTIFS($U$5:$U$1000,ROW(),$V$5:$V$1000,"Sub"),"")</f>
        <v/>
      </c>
      <c r="X120" s="62">
        <f>IF($V120="","",IF(ISNUMBER($G120),1,IFERROR(LOOKUP(2,1/($I120:$L120&lt;&gt;""),$I120:$L120),0)))</f>
        <v/>
      </c>
      <c r="Y120" s="62">
        <f>IF($V120="","",IF(AND(ISNUMBER($G120),$G120&lt;=IF($S120=MesCiclo,InicioCiclo,$S120+MOD(2-WEEKDAY($S120),7))+6),1,IF(ISNUMBER($I120),$I120,0)))</f>
        <v/>
      </c>
      <c r="Z120" s="62">
        <f>IF($V120="","",IF(AND(ISNUMBER($G120),$G120&lt;=IF($S120=MesCiclo,InicioCiclo,$S120+MOD(2-WEEKDAY($S120),7))+13),1,IF(ISNUMBER($J120),$J120,$Y120)))</f>
        <v/>
      </c>
      <c r="AA120" s="62">
        <f>IF($V120="","",IF(AND(ISNUMBER($G120),$G120&lt;=IF($S120=MesCiclo,InicioCiclo,$S120+MOD(2-WEEKDAY($S120),7))+20),1,IF(ISNUMBER($K120),$K120,$Z120)))</f>
        <v/>
      </c>
      <c r="AB120" s="62">
        <f>IF($V120="","",IF(AND(ISNUMBER($G120),$G120&lt;=IF($S120=MesCiclo,InicioCiclo,$S120+MOD(2-WEEKDAY($S120),7))+27),1,IF(ISNUMBER($L120),$L120,$AA120)))</f>
        <v/>
      </c>
      <c r="AC120" s="62">
        <f>IF($V120="","",IF(AND(ISNUMBER($G120),$G120&lt;=IF($S120=MesCiclo,InicioCiclo,$S120+MOD(2-WEEKDAY($S120),7))+6),1,IF(N($W120)&gt;0,AVERAGEIFS($Y$5:$Y$1000,$U$5:$U$1000,ROW(),$V$5:$V$1000,"Sub"),$Y120)))</f>
        <v/>
      </c>
      <c r="AD120" s="62">
        <f>IF($V120="","",IF(AND(ISNUMBER($G120),$G120&lt;=IF($S120=MesCiclo,InicioCiclo,$S120+MOD(2-WEEKDAY($S120),7))+13),1,IF(N($W120)&gt;0,AVERAGEIFS($Z$5:$Z$1000,$U$5:$U$1000,ROW(),$V$5:$V$1000,"Sub"),$Z120)))</f>
        <v/>
      </c>
      <c r="AE120" s="62">
        <f>IF($V120="","",IF(AND(ISNUMBER($G120),$G120&lt;=IF($S120=MesCiclo,InicioCiclo,$S120+MOD(2-WEEKDAY($S120),7))+20),1,IF(N($W120)&gt;0,AVERAGEIFS($AA$5:$AA$1000,$U$5:$U$1000,ROW(),$V$5:$V$1000,"Sub"),$AA120)))</f>
        <v/>
      </c>
      <c r="AF120" s="62">
        <f>IF($V120="","",IF(AND(ISNUMBER($G120),$G120&lt;=IF($S120=MesCiclo,InicioCiclo,$S120+MOD(2-WEEKDAY($S120),7))+27),1,IF(N($W120)&gt;0,AVERAGEIFS($AB$5:$AB$1000,$U$5:$U$1000,ROW(),$V$5:$V$1000,"Sub"),$AB120)))</f>
        <v/>
      </c>
      <c r="AG120" s="62">
        <f>IF($V120&lt;&gt;"Macro","",IF(COUNTIFS($S$5:$S$1000,$S120,$V$5:$V$1000,"Macro",$H$5:$H$1000,"&gt;0")=0,1/COUNTIFS($S$5:$S$1000,$S120,$V$5:$V$1000,"Macro"),IF(AND(ISNUMBER($H120),N($H120)&gt;0),$H120,SUMIFS($H$5:$H$1000,$S$5:$S$1000,$S120,$V$5:$V$1000,"Macro")/COUNTIFS($S$5:$S$1000,$S120,$V$5:$V$1000,"Macro",$H$5:$H$1000,"&gt;0"))/(COUNTIFS($S$5:$S$1000,$S120,$V$5:$V$1000,"Macro")*SUMIFS($H$5:$H$1000,$S$5:$S$1000,$S120,$V$5:$V$1000,"Macro")/COUNTIFS($S$5:$S$1000,$S120,$V$5:$V$1000,"Macro",$H$5:$H$1000,"&gt;0"))))</f>
        <v/>
      </c>
      <c r="AH120" s="62" t="n"/>
      <c r="AI120" s="62" t="n"/>
      <c r="AJ120" s="62" t="n"/>
      <c r="AK120" s="62" t="n"/>
      <c r="AL120" s="62">
        <f>IF(LEFT($C120,11)="[Jefatura] ",IFERROR(MATCH("Riesgo Operacional|"&amp;MID($C120,12,500),rDname_ADM,0),0),"")</f>
        <v/>
      </c>
      <c r="AM120" s="62">
        <f>IF(N($AL120)&gt;0,INDEX(rIni_ADM,$AL120),IF(ISNUMBER($E120),$E120,""))</f>
        <v/>
      </c>
      <c r="AN120" s="62">
        <f>IF(N($AL120)&gt;0,INDEX(rLim_ADM,$AL120),IF(ISNUMBER($F120),$F120,""))</f>
        <v/>
      </c>
    </row>
    <row r="121">
      <c r="A121" s="56">
        <f>IF(NOT((COUNTA($B121:$D121)+COUNTA($G121:$L121)+COUNTA($Q121))&gt;0),"",IF($V121="Macro",COUNTIFS($V$5:$V121,"Macro",$S$5:$S121,$S121),IF(N($U121)=0,"?",COUNTIFS(INDEX($V$5:$V$1000,1):INDEX($V$5:$V$1000,$U121-4),"Macro",INDEX($S$5:$S$1000,1):INDEX($S$5:$S$1000,$U121-4),INDEX($S$5:$S$1000,$U121-4))&amp;"."&amp;COUNTIFS($U$5:$U121,$U121,$V$5:$V121,"Sub"))))</f>
        <v/>
      </c>
      <c r="B121" s="57" t="n"/>
      <c r="C121" s="58" t="n"/>
      <c r="D121" s="58" t="n"/>
      <c r="E121" s="59">
        <f>IF(N($AL121)&gt;0,INDEX(rIni_ADM,$AL121),"")</f>
        <v/>
      </c>
      <c r="F121" s="59">
        <f>IF(N($AL121)&gt;0,INDEX(rLim_ADM,$AL121),"")</f>
        <v/>
      </c>
      <c r="G121" s="59" t="n"/>
      <c r="H121" s="60" t="n"/>
      <c r="I121" s="60" t="n"/>
      <c r="J121" s="60" t="n"/>
      <c r="K121" s="60" t="n"/>
      <c r="L121" s="60" t="n"/>
      <c r="M121" s="61">
        <f>IF(NOT((COUNTA($B121:$D121)+COUNTA($G121:$L121)+COUNTA($Q121))&gt;0),"",IF($V121="Sub",IFERROR($X121/INDEX($W$5:$W$1000,$U121-4),""),IF(ISNUMBER($G121),1,IF(N($W121)&gt;0,AVERAGEIFS($X$5:$X$1000,$U$5:$U$1000,ROW(),$V$5:$V$1000,"Sub"),$X121))))</f>
        <v/>
      </c>
      <c r="N121" s="56">
        <f>IF(OR($M121="",$V121="Sub"),"",IF($M121&gt;=1,"Completado",IF($M121&gt;0,"En curso","Pendiente")))</f>
        <v/>
      </c>
      <c r="O121" s="56">
        <f>IF(OR(NOT((COUNTA($B121:$D121)+COUNTA($G121:$L121)+COUNTA($Q121))&gt;0),$V121="Sub"),"",IF(ISNUMBER($G121),IF(AND(ISNUMBER($AN121),$G121&gt;$AN121),"Cumplida con "&amp;($G121-$AN121)&amp;IF($G121-$AN121=1," día"," días")&amp;" de retraso","Cumplida"),IF(N($M121)&gt;=1,"Cumplida",IF(NOT(ISNUMBER($AN121)),"Sin fecha límite",IF($AN121&lt;FechaRef,"Vencida hace "&amp;(FechaRef-$AN121)&amp;IF(FechaRef-$AN121=1," día"," días"),IF($AN121=FechaRef,"Vence hoy",IF($AN121-FechaRef&lt;=DiasAlerta,"Vence en "&amp;($AN121-FechaRef)&amp;IF($AN121-FechaRef=1," día"," días"),"En plazo")))))))</f>
        <v/>
      </c>
      <c r="P121" s="62" t="n"/>
      <c r="Q121" s="58" t="n"/>
      <c r="R121" s="63">
        <f>IF(NOT((COUNTA($B121:$D121)+COUNTA($G121:$L121)+COUNTA($Q121))&gt;0),"",IF((IF($C121="","Falta el nombre de la actividad"&amp;" · ","")&amp;IF(AND($V121="Sub",N($U121)=0),"Subactividad sin macroactividad arriba"&amp;" · ","")&amp;IF($AM121="","Sin fecha de inicio"&amp;" · ","")&amp;IF($AN121="","Sin fecha límite"&amp;" · ","")&amp;IF(AND(LEFT($C121,11)="[Jefatura] ",N($AL121)=0),"No se encuentra en la hoja de la jefatura (elíjala de nuevo en la lista)"&amp;" · ","")&amp;IF(OR(AND($E121&lt;&gt;"",NOT(ISNUMBER($E121))),AND($F121&lt;&gt;"",NOT(ISNUMBER($F121))),AND($G121&lt;&gt;"",NOT(ISNUMBER($G121)))),"Fecha no válida"&amp;" · ","")&amp;IF(AND(ISNUMBER($AM121),ISNUMBER($AN121),$AM121&gt;$AN121),"Inicio posterior a fecha límite"&amp;" · ","")&amp;IF(AND($V121="Macro",$H121&lt;&gt;"",OR(NOT(ISNUMBER($H121)),$H121&lt;0,$H121&gt;1)),"Peso fuera de rango"&amp;" · ","")&amp;IF(AND($V121="Sub",$H121&lt;&gt;""),"Las subactividades no llevan peso (valen igual dentro de su macroactividad)"&amp;" · ","")&amp;IF(AND(N($W121)&gt;0,COUNT($I121:$L121)&gt;0),"Con subactividades: deje vacías las semanas (se calculan solas)"&amp;" · ","")&amp;IF((COUNTIF($I121:$L121,"&gt;1")+COUNTIF($I121:$L121,"&lt;0")+COUNTA($I121:$L121)-COUNT($I121:$L121))&gt;0,"Avance fuera de rango 0-100%"&amp;" · ","")&amp;IF(OR(AND($J121&lt;&gt;"",$J121&lt;$I121),AND($K121&lt;&gt;"",$K121&lt;MAX($I121:$J121)),AND($L121&lt;&gt;"",$L121&lt;MAX($I121:$K121))),"Avance semanal decreciente"&amp;" · ","")&amp;IF(AND(ISNUMBER($AN121),$AN121&lt;FechaRef,IF($V121="Sub",N($X121),N($M121))&lt;1),"Vencida"&amp;" · ","")&amp;IF(AND(ObsObligatoria="Sí",ISNUMBER($AN121),$AN121&lt;FechaRef,IF($V121="Sub",N($X121),N($M121))&lt;1,$Q121=""),"Vencida sin observación"&amp;" · ",""))="","✔ OK","⚠ "&amp;LEFT(IF($C121="","Falta el nombre de la actividad"&amp;" · ","")&amp;IF(AND($V121="Sub",N($U121)=0),"Subactividad sin macroactividad arriba"&amp;" · ","")&amp;IF($AM121="","Sin fecha de inicio"&amp;" · ","")&amp;IF($AN121="","Sin fecha límite"&amp;" · ","")&amp;IF(AND(LEFT($C121,11)="[Jefatura] ",N($AL121)=0),"No se encuentra en la hoja de la jefatura (elíjala de nuevo en la lista)"&amp;" · ","")&amp;IF(OR(AND($E121&lt;&gt;"",NOT(ISNUMBER($E121))),AND($F121&lt;&gt;"",NOT(ISNUMBER($F121))),AND($G121&lt;&gt;"",NOT(ISNUMBER($G121)))),"Fecha no válida"&amp;" · ","")&amp;IF(AND(ISNUMBER($AM121),ISNUMBER($AN121),$AM121&gt;$AN121),"Inicio posterior a fecha límite"&amp;" · ","")&amp;IF(AND($V121="Macro",$H121&lt;&gt;"",OR(NOT(ISNUMBER($H121)),$H121&lt;0,$H121&gt;1)),"Peso fuera de rango"&amp;" · ","")&amp;IF(AND($V121="Sub",$H121&lt;&gt;""),"Las subactividades no llevan peso (valen igual dentro de su macroactividad)"&amp;" · ","")&amp;IF(AND(N($W121)&gt;0,COUNT($I121:$L121)&gt;0),"Con subactividades: deje vacías las semanas (se calculan solas)"&amp;" · ","")&amp;IF((COUNTIF($I121:$L121,"&gt;1")+COUNTIF($I121:$L121,"&lt;0")+COUNTA($I121:$L121)-COUNT($I121:$L121))&gt;0,"Avance fuera de rango 0-100%"&amp;" · ","")&amp;IF(OR(AND($J121&lt;&gt;"",$J121&lt;$I121),AND($K121&lt;&gt;"",$K121&lt;MAX($I121:$J121)),AND($L121&lt;&gt;"",$L121&lt;MAX($I121:$K121))),"Avance semanal decreciente"&amp;" · ","")&amp;IF(AND(ISNUMBER($AN121),$AN121&lt;FechaRef,IF($V121="Sub",N($X121),N($M121))&lt;1),"Vencida"&amp;" · ","")&amp;IF(AND(ObsObligatoria="Sí",ISNUMBER($AN121),$AN121&lt;FechaRef,IF($V121="Sub",N($X121),N($M121))&lt;1,$Q121=""),"Vencida sin observación"&amp;" · ",""),LEN(IF($C121="","Falta el nombre de la actividad"&amp;" · ","")&amp;IF(AND($V121="Sub",N($U121)=0),"Subactividad sin macroactividad arriba"&amp;" · ","")&amp;IF($AM121="","Sin fecha de inicio"&amp;" · ","")&amp;IF($AN121="","Sin fecha límite"&amp;" · ","")&amp;IF(AND(LEFT($C121,11)="[Jefatura] ",N($AL121)=0),"No se encuentra en la hoja de la jefatura (elíjala de nuevo en la lista)"&amp;" · ","")&amp;IF(OR(AND($E121&lt;&gt;"",NOT(ISNUMBER($E121))),AND($F121&lt;&gt;"",NOT(ISNUMBER($F121))),AND($G121&lt;&gt;"",NOT(ISNUMBER($G121)))),"Fecha no válida"&amp;" · ","")&amp;IF(AND(ISNUMBER($AM121),ISNUMBER($AN121),$AM121&gt;$AN121),"Inicio posterior a fecha límite"&amp;" · ","")&amp;IF(AND($V121="Macro",$H121&lt;&gt;"",OR(NOT(ISNUMBER($H121)),$H121&lt;0,$H121&gt;1)),"Peso fuera de rango"&amp;" · ","")&amp;IF(AND($V121="Sub",$H121&lt;&gt;""),"Las subactividades no llevan peso (valen igual dentro de su macroactividad)"&amp;" · ","")&amp;IF(AND(N($W121)&gt;0,COUNT($I121:$L121)&gt;0),"Con subactividades: deje vacías las semanas (se calculan solas)"&amp;" · ","")&amp;IF((COUNTIF($I121:$L121,"&gt;1")+COUNTIF($I121:$L121,"&lt;0")+COUNTA($I121:$L121)-COUNT($I121:$L121))&gt;0,"Avance fuera de rango 0-100%"&amp;" · ","")&amp;IF(OR(AND($J121&lt;&gt;"",$J121&lt;$I121),AND($K121&lt;&gt;"",$K121&lt;MAX($I121:$J121)),AND($L121&lt;&gt;"",$L121&lt;MAX($I121:$K121))),"Avance semanal decreciente"&amp;" · ","")&amp;IF(AND(ISNUMBER($AN121),$AN121&lt;FechaRef,IF($V121="Sub",N($X121),N($M121))&lt;1),"Vencida"&amp;" · ","")&amp;IF(AND(ObsObligatoria="Sí",ISNUMBER($AN121),$AN121&lt;FechaRef,IF($V121="Sub",N($X121),N($M121))&lt;1,$Q121=""),"Vencida sin observación"&amp;" · ",""))-3)))</f>
        <v/>
      </c>
      <c r="S121" s="64">
        <f>IF(NOT((COUNTA($B121:$D121)+COUNTA($G121:$L121)+COUNTA($Q121))&gt;0),"",IF(AND($V121="Sub",N($U121)&gt;0),IF(ISNUMBER(INDEX($AM$5:$AM$1000,$U121-4)),DATE(YEAR(INDEX($AM$5:$AM$1000,$U121-4)),MONTH(INDEX($AM$5:$AM$1000,$U121-4)),1),IF(ISNUMBER(INDEX($AN$5:$AN$1000,$U121-4)),DATE(YEAR(INDEX($AN$5:$AN$1000,$U121-4)),MONTH(INDEX($AN$5:$AN$1000,$U121-4)),1),MesCiclo)),IF(ISNUMBER($AM121),DATE(YEAR($AM121),MONTH($AM121),1),IF(ISNUMBER($AN121),DATE(YEAR($AN121),MONTH($AN121),1),MesCiclo))))</f>
        <v/>
      </c>
      <c r="T121" s="62">
        <f>IF(OR($S121="",$S121&lt;&gt;MesCiclo,$V121&lt;&gt;"Macro"),"",COUNTIFS($S$5:$S121,MesCiclo,$V$5:$V121,"Macro"))</f>
        <v/>
      </c>
      <c r="U121" s="62">
        <f>IF($V121="","",IF($V121="Macro",ROW(),IFERROR(LOOKUP(2,1/($V$5:$V121="Macro"),ROW($V$5:$V121)),0)))</f>
        <v/>
      </c>
      <c r="V121" s="62">
        <f>IF(NOT((COUNTA($B121:$D121)+COUNTA($G121:$L121)+COUNTA($Q121))&gt;0),"",IF($B121="Subactividad","Sub","Macro"))</f>
        <v/>
      </c>
      <c r="W121" s="62">
        <f>IF($V121="Macro",COUNTIFS($U$5:$U$1000,ROW(),$V$5:$V$1000,"Sub"),"")</f>
        <v/>
      </c>
      <c r="X121" s="62">
        <f>IF($V121="","",IF(ISNUMBER($G121),1,IFERROR(LOOKUP(2,1/($I121:$L121&lt;&gt;""),$I121:$L121),0)))</f>
        <v/>
      </c>
      <c r="Y121" s="62">
        <f>IF($V121="","",IF(AND(ISNUMBER($G121),$G121&lt;=IF($S121=MesCiclo,InicioCiclo,$S121+MOD(2-WEEKDAY($S121),7))+6),1,IF(ISNUMBER($I121),$I121,0)))</f>
        <v/>
      </c>
      <c r="Z121" s="62">
        <f>IF($V121="","",IF(AND(ISNUMBER($G121),$G121&lt;=IF($S121=MesCiclo,InicioCiclo,$S121+MOD(2-WEEKDAY($S121),7))+13),1,IF(ISNUMBER($J121),$J121,$Y121)))</f>
        <v/>
      </c>
      <c r="AA121" s="62">
        <f>IF($V121="","",IF(AND(ISNUMBER($G121),$G121&lt;=IF($S121=MesCiclo,InicioCiclo,$S121+MOD(2-WEEKDAY($S121),7))+20),1,IF(ISNUMBER($K121),$K121,$Z121)))</f>
        <v/>
      </c>
      <c r="AB121" s="62">
        <f>IF($V121="","",IF(AND(ISNUMBER($G121),$G121&lt;=IF($S121=MesCiclo,InicioCiclo,$S121+MOD(2-WEEKDAY($S121),7))+27),1,IF(ISNUMBER($L121),$L121,$AA121)))</f>
        <v/>
      </c>
      <c r="AC121" s="62">
        <f>IF($V121="","",IF(AND(ISNUMBER($G121),$G121&lt;=IF($S121=MesCiclo,InicioCiclo,$S121+MOD(2-WEEKDAY($S121),7))+6),1,IF(N($W121)&gt;0,AVERAGEIFS($Y$5:$Y$1000,$U$5:$U$1000,ROW(),$V$5:$V$1000,"Sub"),$Y121)))</f>
        <v/>
      </c>
      <c r="AD121" s="62">
        <f>IF($V121="","",IF(AND(ISNUMBER($G121),$G121&lt;=IF($S121=MesCiclo,InicioCiclo,$S121+MOD(2-WEEKDAY($S121),7))+13),1,IF(N($W121)&gt;0,AVERAGEIFS($Z$5:$Z$1000,$U$5:$U$1000,ROW(),$V$5:$V$1000,"Sub"),$Z121)))</f>
        <v/>
      </c>
      <c r="AE121" s="62">
        <f>IF($V121="","",IF(AND(ISNUMBER($G121),$G121&lt;=IF($S121=MesCiclo,InicioCiclo,$S121+MOD(2-WEEKDAY($S121),7))+20),1,IF(N($W121)&gt;0,AVERAGEIFS($AA$5:$AA$1000,$U$5:$U$1000,ROW(),$V$5:$V$1000,"Sub"),$AA121)))</f>
        <v/>
      </c>
      <c r="AF121" s="62">
        <f>IF($V121="","",IF(AND(ISNUMBER($G121),$G121&lt;=IF($S121=MesCiclo,InicioCiclo,$S121+MOD(2-WEEKDAY($S121),7))+27),1,IF(N($W121)&gt;0,AVERAGEIFS($AB$5:$AB$1000,$U$5:$U$1000,ROW(),$V$5:$V$1000,"Sub"),$AB121)))</f>
        <v/>
      </c>
      <c r="AG121" s="62">
        <f>IF($V121&lt;&gt;"Macro","",IF(COUNTIFS($S$5:$S$1000,$S121,$V$5:$V$1000,"Macro",$H$5:$H$1000,"&gt;0")=0,1/COUNTIFS($S$5:$S$1000,$S121,$V$5:$V$1000,"Macro"),IF(AND(ISNUMBER($H121),N($H121)&gt;0),$H121,SUMIFS($H$5:$H$1000,$S$5:$S$1000,$S121,$V$5:$V$1000,"Macro")/COUNTIFS($S$5:$S$1000,$S121,$V$5:$V$1000,"Macro",$H$5:$H$1000,"&gt;0"))/(COUNTIFS($S$5:$S$1000,$S121,$V$5:$V$1000,"Macro")*SUMIFS($H$5:$H$1000,$S$5:$S$1000,$S121,$V$5:$V$1000,"Macro")/COUNTIFS($S$5:$S$1000,$S121,$V$5:$V$1000,"Macro",$H$5:$H$1000,"&gt;0"))))</f>
        <v/>
      </c>
      <c r="AH121" s="62" t="n"/>
      <c r="AI121" s="62" t="n"/>
      <c r="AJ121" s="62" t="n"/>
      <c r="AK121" s="62" t="n"/>
      <c r="AL121" s="62">
        <f>IF(LEFT($C121,11)="[Jefatura] ",IFERROR(MATCH("Riesgo Operacional|"&amp;MID($C121,12,500),rDname_ADM,0),0),"")</f>
        <v/>
      </c>
      <c r="AM121" s="62">
        <f>IF(N($AL121)&gt;0,INDEX(rIni_ADM,$AL121),IF(ISNUMBER($E121),$E121,""))</f>
        <v/>
      </c>
      <c r="AN121" s="62">
        <f>IF(N($AL121)&gt;0,INDEX(rLim_ADM,$AL121),IF(ISNUMBER($F121),$F121,""))</f>
        <v/>
      </c>
    </row>
    <row r="122">
      <c r="A122" s="56">
        <f>IF(NOT((COUNTA($B122:$D122)+COUNTA($G122:$L122)+COUNTA($Q122))&gt;0),"",IF($V122="Macro",COUNTIFS($V$5:$V122,"Macro",$S$5:$S122,$S122),IF(N($U122)=0,"?",COUNTIFS(INDEX($V$5:$V$1000,1):INDEX($V$5:$V$1000,$U122-4),"Macro",INDEX($S$5:$S$1000,1):INDEX($S$5:$S$1000,$U122-4),INDEX($S$5:$S$1000,$U122-4))&amp;"."&amp;COUNTIFS($U$5:$U122,$U122,$V$5:$V122,"Sub"))))</f>
        <v/>
      </c>
      <c r="B122" s="57" t="n"/>
      <c r="C122" s="58" t="n"/>
      <c r="D122" s="58" t="n"/>
      <c r="E122" s="59">
        <f>IF(N($AL122)&gt;0,INDEX(rIni_ADM,$AL122),"")</f>
        <v/>
      </c>
      <c r="F122" s="59">
        <f>IF(N($AL122)&gt;0,INDEX(rLim_ADM,$AL122),"")</f>
        <v/>
      </c>
      <c r="G122" s="59" t="n"/>
      <c r="H122" s="60" t="n"/>
      <c r="I122" s="60" t="n"/>
      <c r="J122" s="60" t="n"/>
      <c r="K122" s="60" t="n"/>
      <c r="L122" s="60" t="n"/>
      <c r="M122" s="61">
        <f>IF(NOT((COUNTA($B122:$D122)+COUNTA($G122:$L122)+COUNTA($Q122))&gt;0),"",IF($V122="Sub",IFERROR($X122/INDEX($W$5:$W$1000,$U122-4),""),IF(ISNUMBER($G122),1,IF(N($W122)&gt;0,AVERAGEIFS($X$5:$X$1000,$U$5:$U$1000,ROW(),$V$5:$V$1000,"Sub"),$X122))))</f>
        <v/>
      </c>
      <c r="N122" s="56">
        <f>IF(OR($M122="",$V122="Sub"),"",IF($M122&gt;=1,"Completado",IF($M122&gt;0,"En curso","Pendiente")))</f>
        <v/>
      </c>
      <c r="O122" s="56">
        <f>IF(OR(NOT((COUNTA($B122:$D122)+COUNTA($G122:$L122)+COUNTA($Q122))&gt;0),$V122="Sub"),"",IF(ISNUMBER($G122),IF(AND(ISNUMBER($AN122),$G122&gt;$AN122),"Cumplida con "&amp;($G122-$AN122)&amp;IF($G122-$AN122=1," día"," días")&amp;" de retraso","Cumplida"),IF(N($M122)&gt;=1,"Cumplida",IF(NOT(ISNUMBER($AN122)),"Sin fecha límite",IF($AN122&lt;FechaRef,"Vencida hace "&amp;(FechaRef-$AN122)&amp;IF(FechaRef-$AN122=1," día"," días"),IF($AN122=FechaRef,"Vence hoy",IF($AN122-FechaRef&lt;=DiasAlerta,"Vence en "&amp;($AN122-FechaRef)&amp;IF($AN122-FechaRef=1," día"," días"),"En plazo")))))))</f>
        <v/>
      </c>
      <c r="P122" s="62" t="n"/>
      <c r="Q122" s="58" t="n"/>
      <c r="R122" s="63">
        <f>IF(NOT((COUNTA($B122:$D122)+COUNTA($G122:$L122)+COUNTA($Q122))&gt;0),"",IF((IF($C122="","Falta el nombre de la actividad"&amp;" · ","")&amp;IF(AND($V122="Sub",N($U122)=0),"Subactividad sin macroactividad arriba"&amp;" · ","")&amp;IF($AM122="","Sin fecha de inicio"&amp;" · ","")&amp;IF($AN122="","Sin fecha límite"&amp;" · ","")&amp;IF(AND(LEFT($C122,11)="[Jefatura] ",N($AL122)=0),"No se encuentra en la hoja de la jefatura (elíjala de nuevo en la lista)"&amp;" · ","")&amp;IF(OR(AND($E122&lt;&gt;"",NOT(ISNUMBER($E122))),AND($F122&lt;&gt;"",NOT(ISNUMBER($F122))),AND($G122&lt;&gt;"",NOT(ISNUMBER($G122)))),"Fecha no válida"&amp;" · ","")&amp;IF(AND(ISNUMBER($AM122),ISNUMBER($AN122),$AM122&gt;$AN122),"Inicio posterior a fecha límite"&amp;" · ","")&amp;IF(AND($V122="Macro",$H122&lt;&gt;"",OR(NOT(ISNUMBER($H122)),$H122&lt;0,$H122&gt;1)),"Peso fuera de rango"&amp;" · ","")&amp;IF(AND($V122="Sub",$H122&lt;&gt;""),"Las subactividades no llevan peso (valen igual dentro de su macroactividad)"&amp;" · ","")&amp;IF(AND(N($W122)&gt;0,COUNT($I122:$L122)&gt;0),"Con subactividades: deje vacías las semanas (se calculan solas)"&amp;" · ","")&amp;IF((COUNTIF($I122:$L122,"&gt;1")+COUNTIF($I122:$L122,"&lt;0")+COUNTA($I122:$L122)-COUNT($I122:$L122))&gt;0,"Avance fuera de rango 0-100%"&amp;" · ","")&amp;IF(OR(AND($J122&lt;&gt;"",$J122&lt;$I122),AND($K122&lt;&gt;"",$K122&lt;MAX($I122:$J122)),AND($L122&lt;&gt;"",$L122&lt;MAX($I122:$K122))),"Avance semanal decreciente"&amp;" · ","")&amp;IF(AND(ISNUMBER($AN122),$AN122&lt;FechaRef,IF($V122="Sub",N($X122),N($M122))&lt;1),"Vencida"&amp;" · ","")&amp;IF(AND(ObsObligatoria="Sí",ISNUMBER($AN122),$AN122&lt;FechaRef,IF($V122="Sub",N($X122),N($M122))&lt;1,$Q122=""),"Vencida sin observación"&amp;" · ",""))="","✔ OK","⚠ "&amp;LEFT(IF($C122="","Falta el nombre de la actividad"&amp;" · ","")&amp;IF(AND($V122="Sub",N($U122)=0),"Subactividad sin macroactividad arriba"&amp;" · ","")&amp;IF($AM122="","Sin fecha de inicio"&amp;" · ","")&amp;IF($AN122="","Sin fecha límite"&amp;" · ","")&amp;IF(AND(LEFT($C122,11)="[Jefatura] ",N($AL122)=0),"No se encuentra en la hoja de la jefatura (elíjala de nuevo en la lista)"&amp;" · ","")&amp;IF(OR(AND($E122&lt;&gt;"",NOT(ISNUMBER($E122))),AND($F122&lt;&gt;"",NOT(ISNUMBER($F122))),AND($G122&lt;&gt;"",NOT(ISNUMBER($G122)))),"Fecha no válida"&amp;" · ","")&amp;IF(AND(ISNUMBER($AM122),ISNUMBER($AN122),$AM122&gt;$AN122),"Inicio posterior a fecha límite"&amp;" · ","")&amp;IF(AND($V122="Macro",$H122&lt;&gt;"",OR(NOT(ISNUMBER($H122)),$H122&lt;0,$H122&gt;1)),"Peso fuera de rango"&amp;" · ","")&amp;IF(AND($V122="Sub",$H122&lt;&gt;""),"Las subactividades no llevan peso (valen igual dentro de su macroactividad)"&amp;" · ","")&amp;IF(AND(N($W122)&gt;0,COUNT($I122:$L122)&gt;0),"Con subactividades: deje vacías las semanas (se calculan solas)"&amp;" · ","")&amp;IF((COUNTIF($I122:$L122,"&gt;1")+COUNTIF($I122:$L122,"&lt;0")+COUNTA($I122:$L122)-COUNT($I122:$L122))&gt;0,"Avance fuera de rango 0-100%"&amp;" · ","")&amp;IF(OR(AND($J122&lt;&gt;"",$J122&lt;$I122),AND($K122&lt;&gt;"",$K122&lt;MAX($I122:$J122)),AND($L122&lt;&gt;"",$L122&lt;MAX($I122:$K122))),"Avance semanal decreciente"&amp;" · ","")&amp;IF(AND(ISNUMBER($AN122),$AN122&lt;FechaRef,IF($V122="Sub",N($X122),N($M122))&lt;1),"Vencida"&amp;" · ","")&amp;IF(AND(ObsObligatoria="Sí",ISNUMBER($AN122),$AN122&lt;FechaRef,IF($V122="Sub",N($X122),N($M122))&lt;1,$Q122=""),"Vencida sin observación"&amp;" · ",""),LEN(IF($C122="","Falta el nombre de la actividad"&amp;" · ","")&amp;IF(AND($V122="Sub",N($U122)=0),"Subactividad sin macroactividad arriba"&amp;" · ","")&amp;IF($AM122="","Sin fecha de inicio"&amp;" · ","")&amp;IF($AN122="","Sin fecha límite"&amp;" · ","")&amp;IF(AND(LEFT($C122,11)="[Jefatura] ",N($AL122)=0),"No se encuentra en la hoja de la jefatura (elíjala de nuevo en la lista)"&amp;" · ","")&amp;IF(OR(AND($E122&lt;&gt;"",NOT(ISNUMBER($E122))),AND($F122&lt;&gt;"",NOT(ISNUMBER($F122))),AND($G122&lt;&gt;"",NOT(ISNUMBER($G122)))),"Fecha no válida"&amp;" · ","")&amp;IF(AND(ISNUMBER($AM122),ISNUMBER($AN122),$AM122&gt;$AN122),"Inicio posterior a fecha límite"&amp;" · ","")&amp;IF(AND($V122="Macro",$H122&lt;&gt;"",OR(NOT(ISNUMBER($H122)),$H122&lt;0,$H122&gt;1)),"Peso fuera de rango"&amp;" · ","")&amp;IF(AND($V122="Sub",$H122&lt;&gt;""),"Las subactividades no llevan peso (valen igual dentro de su macroactividad)"&amp;" · ","")&amp;IF(AND(N($W122)&gt;0,COUNT($I122:$L122)&gt;0),"Con subactividades: deje vacías las semanas (se calculan solas)"&amp;" · ","")&amp;IF((COUNTIF($I122:$L122,"&gt;1")+COUNTIF($I122:$L122,"&lt;0")+COUNTA($I122:$L122)-COUNT($I122:$L122))&gt;0,"Avance fuera de rango 0-100%"&amp;" · ","")&amp;IF(OR(AND($J122&lt;&gt;"",$J122&lt;$I122),AND($K122&lt;&gt;"",$K122&lt;MAX($I122:$J122)),AND($L122&lt;&gt;"",$L122&lt;MAX($I122:$K122))),"Avance semanal decreciente"&amp;" · ","")&amp;IF(AND(ISNUMBER($AN122),$AN122&lt;FechaRef,IF($V122="Sub",N($X122),N($M122))&lt;1),"Vencida"&amp;" · ","")&amp;IF(AND(ObsObligatoria="Sí",ISNUMBER($AN122),$AN122&lt;FechaRef,IF($V122="Sub",N($X122),N($M122))&lt;1,$Q122=""),"Vencida sin observación"&amp;" · ",""))-3)))</f>
        <v/>
      </c>
      <c r="S122" s="64">
        <f>IF(NOT((COUNTA($B122:$D122)+COUNTA($G122:$L122)+COUNTA($Q122))&gt;0),"",IF(AND($V122="Sub",N($U122)&gt;0),IF(ISNUMBER(INDEX($AM$5:$AM$1000,$U122-4)),DATE(YEAR(INDEX($AM$5:$AM$1000,$U122-4)),MONTH(INDEX($AM$5:$AM$1000,$U122-4)),1),IF(ISNUMBER(INDEX($AN$5:$AN$1000,$U122-4)),DATE(YEAR(INDEX($AN$5:$AN$1000,$U122-4)),MONTH(INDEX($AN$5:$AN$1000,$U122-4)),1),MesCiclo)),IF(ISNUMBER($AM122),DATE(YEAR($AM122),MONTH($AM122),1),IF(ISNUMBER($AN122),DATE(YEAR($AN122),MONTH($AN122),1),MesCiclo))))</f>
        <v/>
      </c>
      <c r="T122" s="62">
        <f>IF(OR($S122="",$S122&lt;&gt;MesCiclo,$V122&lt;&gt;"Macro"),"",COUNTIFS($S$5:$S122,MesCiclo,$V$5:$V122,"Macro"))</f>
        <v/>
      </c>
      <c r="U122" s="62">
        <f>IF($V122="","",IF($V122="Macro",ROW(),IFERROR(LOOKUP(2,1/($V$5:$V122="Macro"),ROW($V$5:$V122)),0)))</f>
        <v/>
      </c>
      <c r="V122" s="62">
        <f>IF(NOT((COUNTA($B122:$D122)+COUNTA($G122:$L122)+COUNTA($Q122))&gt;0),"",IF($B122="Subactividad","Sub","Macro"))</f>
        <v/>
      </c>
      <c r="W122" s="62">
        <f>IF($V122="Macro",COUNTIFS($U$5:$U$1000,ROW(),$V$5:$V$1000,"Sub"),"")</f>
        <v/>
      </c>
      <c r="X122" s="62">
        <f>IF($V122="","",IF(ISNUMBER($G122),1,IFERROR(LOOKUP(2,1/($I122:$L122&lt;&gt;""),$I122:$L122),0)))</f>
        <v/>
      </c>
      <c r="Y122" s="62">
        <f>IF($V122="","",IF(AND(ISNUMBER($G122),$G122&lt;=IF($S122=MesCiclo,InicioCiclo,$S122+MOD(2-WEEKDAY($S122),7))+6),1,IF(ISNUMBER($I122),$I122,0)))</f>
        <v/>
      </c>
      <c r="Z122" s="62">
        <f>IF($V122="","",IF(AND(ISNUMBER($G122),$G122&lt;=IF($S122=MesCiclo,InicioCiclo,$S122+MOD(2-WEEKDAY($S122),7))+13),1,IF(ISNUMBER($J122),$J122,$Y122)))</f>
        <v/>
      </c>
      <c r="AA122" s="62">
        <f>IF($V122="","",IF(AND(ISNUMBER($G122),$G122&lt;=IF($S122=MesCiclo,InicioCiclo,$S122+MOD(2-WEEKDAY($S122),7))+20),1,IF(ISNUMBER($K122),$K122,$Z122)))</f>
        <v/>
      </c>
      <c r="AB122" s="62">
        <f>IF($V122="","",IF(AND(ISNUMBER($G122),$G122&lt;=IF($S122=MesCiclo,InicioCiclo,$S122+MOD(2-WEEKDAY($S122),7))+27),1,IF(ISNUMBER($L122),$L122,$AA122)))</f>
        <v/>
      </c>
      <c r="AC122" s="62">
        <f>IF($V122="","",IF(AND(ISNUMBER($G122),$G122&lt;=IF($S122=MesCiclo,InicioCiclo,$S122+MOD(2-WEEKDAY($S122),7))+6),1,IF(N($W122)&gt;0,AVERAGEIFS($Y$5:$Y$1000,$U$5:$U$1000,ROW(),$V$5:$V$1000,"Sub"),$Y122)))</f>
        <v/>
      </c>
      <c r="AD122" s="62">
        <f>IF($V122="","",IF(AND(ISNUMBER($G122),$G122&lt;=IF($S122=MesCiclo,InicioCiclo,$S122+MOD(2-WEEKDAY($S122),7))+13),1,IF(N($W122)&gt;0,AVERAGEIFS($Z$5:$Z$1000,$U$5:$U$1000,ROW(),$V$5:$V$1000,"Sub"),$Z122)))</f>
        <v/>
      </c>
      <c r="AE122" s="62">
        <f>IF($V122="","",IF(AND(ISNUMBER($G122),$G122&lt;=IF($S122=MesCiclo,InicioCiclo,$S122+MOD(2-WEEKDAY($S122),7))+20),1,IF(N($W122)&gt;0,AVERAGEIFS($AA$5:$AA$1000,$U$5:$U$1000,ROW(),$V$5:$V$1000,"Sub"),$AA122)))</f>
        <v/>
      </c>
      <c r="AF122" s="62">
        <f>IF($V122="","",IF(AND(ISNUMBER($G122),$G122&lt;=IF($S122=MesCiclo,InicioCiclo,$S122+MOD(2-WEEKDAY($S122),7))+27),1,IF(N($W122)&gt;0,AVERAGEIFS($AB$5:$AB$1000,$U$5:$U$1000,ROW(),$V$5:$V$1000,"Sub"),$AB122)))</f>
        <v/>
      </c>
      <c r="AG122" s="62">
        <f>IF($V122&lt;&gt;"Macro","",IF(COUNTIFS($S$5:$S$1000,$S122,$V$5:$V$1000,"Macro",$H$5:$H$1000,"&gt;0")=0,1/COUNTIFS($S$5:$S$1000,$S122,$V$5:$V$1000,"Macro"),IF(AND(ISNUMBER($H122),N($H122)&gt;0),$H122,SUMIFS($H$5:$H$1000,$S$5:$S$1000,$S122,$V$5:$V$1000,"Macro")/COUNTIFS($S$5:$S$1000,$S122,$V$5:$V$1000,"Macro",$H$5:$H$1000,"&gt;0"))/(COUNTIFS($S$5:$S$1000,$S122,$V$5:$V$1000,"Macro")*SUMIFS($H$5:$H$1000,$S$5:$S$1000,$S122,$V$5:$V$1000,"Macro")/COUNTIFS($S$5:$S$1000,$S122,$V$5:$V$1000,"Macro",$H$5:$H$1000,"&gt;0"))))</f>
        <v/>
      </c>
      <c r="AH122" s="62" t="n"/>
      <c r="AI122" s="62" t="n"/>
      <c r="AJ122" s="62" t="n"/>
      <c r="AK122" s="62" t="n"/>
      <c r="AL122" s="62">
        <f>IF(LEFT($C122,11)="[Jefatura] ",IFERROR(MATCH("Riesgo Operacional|"&amp;MID($C122,12,500),rDname_ADM,0),0),"")</f>
        <v/>
      </c>
      <c r="AM122" s="62">
        <f>IF(N($AL122)&gt;0,INDEX(rIni_ADM,$AL122),IF(ISNUMBER($E122),$E122,""))</f>
        <v/>
      </c>
      <c r="AN122" s="62">
        <f>IF(N($AL122)&gt;0,INDEX(rLim_ADM,$AL122),IF(ISNUMBER($F122),$F122,""))</f>
        <v/>
      </c>
    </row>
    <row r="123">
      <c r="A123" s="56">
        <f>IF(NOT((COUNTA($B123:$D123)+COUNTA($G123:$L123)+COUNTA($Q123))&gt;0),"",IF($V123="Macro",COUNTIFS($V$5:$V123,"Macro",$S$5:$S123,$S123),IF(N($U123)=0,"?",COUNTIFS(INDEX($V$5:$V$1000,1):INDEX($V$5:$V$1000,$U123-4),"Macro",INDEX($S$5:$S$1000,1):INDEX($S$5:$S$1000,$U123-4),INDEX($S$5:$S$1000,$U123-4))&amp;"."&amp;COUNTIFS($U$5:$U123,$U123,$V$5:$V123,"Sub"))))</f>
        <v/>
      </c>
      <c r="B123" s="57" t="n"/>
      <c r="C123" s="58" t="n"/>
      <c r="D123" s="58" t="n"/>
      <c r="E123" s="59">
        <f>IF(N($AL123)&gt;0,INDEX(rIni_ADM,$AL123),"")</f>
        <v/>
      </c>
      <c r="F123" s="59">
        <f>IF(N($AL123)&gt;0,INDEX(rLim_ADM,$AL123),"")</f>
        <v/>
      </c>
      <c r="G123" s="59" t="n"/>
      <c r="H123" s="60" t="n"/>
      <c r="I123" s="60" t="n"/>
      <c r="J123" s="60" t="n"/>
      <c r="K123" s="60" t="n"/>
      <c r="L123" s="60" t="n"/>
      <c r="M123" s="61">
        <f>IF(NOT((COUNTA($B123:$D123)+COUNTA($G123:$L123)+COUNTA($Q123))&gt;0),"",IF($V123="Sub",IFERROR($X123/INDEX($W$5:$W$1000,$U123-4),""),IF(ISNUMBER($G123),1,IF(N($W123)&gt;0,AVERAGEIFS($X$5:$X$1000,$U$5:$U$1000,ROW(),$V$5:$V$1000,"Sub"),$X123))))</f>
        <v/>
      </c>
      <c r="N123" s="56">
        <f>IF(OR($M123="",$V123="Sub"),"",IF($M123&gt;=1,"Completado",IF($M123&gt;0,"En curso","Pendiente")))</f>
        <v/>
      </c>
      <c r="O123" s="56">
        <f>IF(OR(NOT((COUNTA($B123:$D123)+COUNTA($G123:$L123)+COUNTA($Q123))&gt;0),$V123="Sub"),"",IF(ISNUMBER($G123),IF(AND(ISNUMBER($AN123),$G123&gt;$AN123),"Cumplida con "&amp;($G123-$AN123)&amp;IF($G123-$AN123=1," día"," días")&amp;" de retraso","Cumplida"),IF(N($M123)&gt;=1,"Cumplida",IF(NOT(ISNUMBER($AN123)),"Sin fecha límite",IF($AN123&lt;FechaRef,"Vencida hace "&amp;(FechaRef-$AN123)&amp;IF(FechaRef-$AN123=1," día"," días"),IF($AN123=FechaRef,"Vence hoy",IF($AN123-FechaRef&lt;=DiasAlerta,"Vence en "&amp;($AN123-FechaRef)&amp;IF($AN123-FechaRef=1," día"," días"),"En plazo")))))))</f>
        <v/>
      </c>
      <c r="P123" s="62" t="n"/>
      <c r="Q123" s="58" t="n"/>
      <c r="R123" s="63">
        <f>IF(NOT((COUNTA($B123:$D123)+COUNTA($G123:$L123)+COUNTA($Q123))&gt;0),"",IF((IF($C123="","Falta el nombre de la actividad"&amp;" · ","")&amp;IF(AND($V123="Sub",N($U123)=0),"Subactividad sin macroactividad arriba"&amp;" · ","")&amp;IF($AM123="","Sin fecha de inicio"&amp;" · ","")&amp;IF($AN123="","Sin fecha límite"&amp;" · ","")&amp;IF(AND(LEFT($C123,11)="[Jefatura] ",N($AL123)=0),"No se encuentra en la hoja de la jefatura (elíjala de nuevo en la lista)"&amp;" · ","")&amp;IF(OR(AND($E123&lt;&gt;"",NOT(ISNUMBER($E123))),AND($F123&lt;&gt;"",NOT(ISNUMBER($F123))),AND($G123&lt;&gt;"",NOT(ISNUMBER($G123)))),"Fecha no válida"&amp;" · ","")&amp;IF(AND(ISNUMBER($AM123),ISNUMBER($AN123),$AM123&gt;$AN123),"Inicio posterior a fecha límite"&amp;" · ","")&amp;IF(AND($V123="Macro",$H123&lt;&gt;"",OR(NOT(ISNUMBER($H123)),$H123&lt;0,$H123&gt;1)),"Peso fuera de rango"&amp;" · ","")&amp;IF(AND($V123="Sub",$H123&lt;&gt;""),"Las subactividades no llevan peso (valen igual dentro de su macroactividad)"&amp;" · ","")&amp;IF(AND(N($W123)&gt;0,COUNT($I123:$L123)&gt;0),"Con subactividades: deje vacías las semanas (se calculan solas)"&amp;" · ","")&amp;IF((COUNTIF($I123:$L123,"&gt;1")+COUNTIF($I123:$L123,"&lt;0")+COUNTA($I123:$L123)-COUNT($I123:$L123))&gt;0,"Avance fuera de rango 0-100%"&amp;" · ","")&amp;IF(OR(AND($J123&lt;&gt;"",$J123&lt;$I123),AND($K123&lt;&gt;"",$K123&lt;MAX($I123:$J123)),AND($L123&lt;&gt;"",$L123&lt;MAX($I123:$K123))),"Avance semanal decreciente"&amp;" · ","")&amp;IF(AND(ISNUMBER($AN123),$AN123&lt;FechaRef,IF($V123="Sub",N($X123),N($M123))&lt;1),"Vencida"&amp;" · ","")&amp;IF(AND(ObsObligatoria="Sí",ISNUMBER($AN123),$AN123&lt;FechaRef,IF($V123="Sub",N($X123),N($M123))&lt;1,$Q123=""),"Vencida sin observación"&amp;" · ",""))="","✔ OK","⚠ "&amp;LEFT(IF($C123="","Falta el nombre de la actividad"&amp;" · ","")&amp;IF(AND($V123="Sub",N($U123)=0),"Subactividad sin macroactividad arriba"&amp;" · ","")&amp;IF($AM123="","Sin fecha de inicio"&amp;" · ","")&amp;IF($AN123="","Sin fecha límite"&amp;" · ","")&amp;IF(AND(LEFT($C123,11)="[Jefatura] ",N($AL123)=0),"No se encuentra en la hoja de la jefatura (elíjala de nuevo en la lista)"&amp;" · ","")&amp;IF(OR(AND($E123&lt;&gt;"",NOT(ISNUMBER($E123))),AND($F123&lt;&gt;"",NOT(ISNUMBER($F123))),AND($G123&lt;&gt;"",NOT(ISNUMBER($G123)))),"Fecha no válida"&amp;" · ","")&amp;IF(AND(ISNUMBER($AM123),ISNUMBER($AN123),$AM123&gt;$AN123),"Inicio posterior a fecha límite"&amp;" · ","")&amp;IF(AND($V123="Macro",$H123&lt;&gt;"",OR(NOT(ISNUMBER($H123)),$H123&lt;0,$H123&gt;1)),"Peso fuera de rango"&amp;" · ","")&amp;IF(AND($V123="Sub",$H123&lt;&gt;""),"Las subactividades no llevan peso (valen igual dentro de su macroactividad)"&amp;" · ","")&amp;IF(AND(N($W123)&gt;0,COUNT($I123:$L123)&gt;0),"Con subactividades: deje vacías las semanas (se calculan solas)"&amp;" · ","")&amp;IF((COUNTIF($I123:$L123,"&gt;1")+COUNTIF($I123:$L123,"&lt;0")+COUNTA($I123:$L123)-COUNT($I123:$L123))&gt;0,"Avance fuera de rango 0-100%"&amp;" · ","")&amp;IF(OR(AND($J123&lt;&gt;"",$J123&lt;$I123),AND($K123&lt;&gt;"",$K123&lt;MAX($I123:$J123)),AND($L123&lt;&gt;"",$L123&lt;MAX($I123:$K123))),"Avance semanal decreciente"&amp;" · ","")&amp;IF(AND(ISNUMBER($AN123),$AN123&lt;FechaRef,IF($V123="Sub",N($X123),N($M123))&lt;1),"Vencida"&amp;" · ","")&amp;IF(AND(ObsObligatoria="Sí",ISNUMBER($AN123),$AN123&lt;FechaRef,IF($V123="Sub",N($X123),N($M123))&lt;1,$Q123=""),"Vencida sin observación"&amp;" · ",""),LEN(IF($C123="","Falta el nombre de la actividad"&amp;" · ","")&amp;IF(AND($V123="Sub",N($U123)=0),"Subactividad sin macroactividad arriba"&amp;" · ","")&amp;IF($AM123="","Sin fecha de inicio"&amp;" · ","")&amp;IF($AN123="","Sin fecha límite"&amp;" · ","")&amp;IF(AND(LEFT($C123,11)="[Jefatura] ",N($AL123)=0),"No se encuentra en la hoja de la jefatura (elíjala de nuevo en la lista)"&amp;" · ","")&amp;IF(OR(AND($E123&lt;&gt;"",NOT(ISNUMBER($E123))),AND($F123&lt;&gt;"",NOT(ISNUMBER($F123))),AND($G123&lt;&gt;"",NOT(ISNUMBER($G123)))),"Fecha no válida"&amp;" · ","")&amp;IF(AND(ISNUMBER($AM123),ISNUMBER($AN123),$AM123&gt;$AN123),"Inicio posterior a fecha límite"&amp;" · ","")&amp;IF(AND($V123="Macro",$H123&lt;&gt;"",OR(NOT(ISNUMBER($H123)),$H123&lt;0,$H123&gt;1)),"Peso fuera de rango"&amp;" · ","")&amp;IF(AND($V123="Sub",$H123&lt;&gt;""),"Las subactividades no llevan peso (valen igual dentro de su macroactividad)"&amp;" · ","")&amp;IF(AND(N($W123)&gt;0,COUNT($I123:$L123)&gt;0),"Con subactividades: deje vacías las semanas (se calculan solas)"&amp;" · ","")&amp;IF((COUNTIF($I123:$L123,"&gt;1")+COUNTIF($I123:$L123,"&lt;0")+COUNTA($I123:$L123)-COUNT($I123:$L123))&gt;0,"Avance fuera de rango 0-100%"&amp;" · ","")&amp;IF(OR(AND($J123&lt;&gt;"",$J123&lt;$I123),AND($K123&lt;&gt;"",$K123&lt;MAX($I123:$J123)),AND($L123&lt;&gt;"",$L123&lt;MAX($I123:$K123))),"Avance semanal decreciente"&amp;" · ","")&amp;IF(AND(ISNUMBER($AN123),$AN123&lt;FechaRef,IF($V123="Sub",N($X123),N($M123))&lt;1),"Vencida"&amp;" · ","")&amp;IF(AND(ObsObligatoria="Sí",ISNUMBER($AN123),$AN123&lt;FechaRef,IF($V123="Sub",N($X123),N($M123))&lt;1,$Q123=""),"Vencida sin observación"&amp;" · ",""))-3)))</f>
        <v/>
      </c>
      <c r="S123" s="64">
        <f>IF(NOT((COUNTA($B123:$D123)+COUNTA($G123:$L123)+COUNTA($Q123))&gt;0),"",IF(AND($V123="Sub",N($U123)&gt;0),IF(ISNUMBER(INDEX($AM$5:$AM$1000,$U123-4)),DATE(YEAR(INDEX($AM$5:$AM$1000,$U123-4)),MONTH(INDEX($AM$5:$AM$1000,$U123-4)),1),IF(ISNUMBER(INDEX($AN$5:$AN$1000,$U123-4)),DATE(YEAR(INDEX($AN$5:$AN$1000,$U123-4)),MONTH(INDEX($AN$5:$AN$1000,$U123-4)),1),MesCiclo)),IF(ISNUMBER($AM123),DATE(YEAR($AM123),MONTH($AM123),1),IF(ISNUMBER($AN123),DATE(YEAR($AN123),MONTH($AN123),1),MesCiclo))))</f>
        <v/>
      </c>
      <c r="T123" s="62">
        <f>IF(OR($S123="",$S123&lt;&gt;MesCiclo,$V123&lt;&gt;"Macro"),"",COUNTIFS($S$5:$S123,MesCiclo,$V$5:$V123,"Macro"))</f>
        <v/>
      </c>
      <c r="U123" s="62">
        <f>IF($V123="","",IF($V123="Macro",ROW(),IFERROR(LOOKUP(2,1/($V$5:$V123="Macro"),ROW($V$5:$V123)),0)))</f>
        <v/>
      </c>
      <c r="V123" s="62">
        <f>IF(NOT((COUNTA($B123:$D123)+COUNTA($G123:$L123)+COUNTA($Q123))&gt;0),"",IF($B123="Subactividad","Sub","Macro"))</f>
        <v/>
      </c>
      <c r="W123" s="62">
        <f>IF($V123="Macro",COUNTIFS($U$5:$U$1000,ROW(),$V$5:$V$1000,"Sub"),"")</f>
        <v/>
      </c>
      <c r="X123" s="62">
        <f>IF($V123="","",IF(ISNUMBER($G123),1,IFERROR(LOOKUP(2,1/($I123:$L123&lt;&gt;""),$I123:$L123),0)))</f>
        <v/>
      </c>
      <c r="Y123" s="62">
        <f>IF($V123="","",IF(AND(ISNUMBER($G123),$G123&lt;=IF($S123=MesCiclo,InicioCiclo,$S123+MOD(2-WEEKDAY($S123),7))+6),1,IF(ISNUMBER($I123),$I123,0)))</f>
        <v/>
      </c>
      <c r="Z123" s="62">
        <f>IF($V123="","",IF(AND(ISNUMBER($G123),$G123&lt;=IF($S123=MesCiclo,InicioCiclo,$S123+MOD(2-WEEKDAY($S123),7))+13),1,IF(ISNUMBER($J123),$J123,$Y123)))</f>
        <v/>
      </c>
      <c r="AA123" s="62">
        <f>IF($V123="","",IF(AND(ISNUMBER($G123),$G123&lt;=IF($S123=MesCiclo,InicioCiclo,$S123+MOD(2-WEEKDAY($S123),7))+20),1,IF(ISNUMBER($K123),$K123,$Z123)))</f>
        <v/>
      </c>
      <c r="AB123" s="62">
        <f>IF($V123="","",IF(AND(ISNUMBER($G123),$G123&lt;=IF($S123=MesCiclo,InicioCiclo,$S123+MOD(2-WEEKDAY($S123),7))+27),1,IF(ISNUMBER($L123),$L123,$AA123)))</f>
        <v/>
      </c>
      <c r="AC123" s="62">
        <f>IF($V123="","",IF(AND(ISNUMBER($G123),$G123&lt;=IF($S123=MesCiclo,InicioCiclo,$S123+MOD(2-WEEKDAY($S123),7))+6),1,IF(N($W123)&gt;0,AVERAGEIFS($Y$5:$Y$1000,$U$5:$U$1000,ROW(),$V$5:$V$1000,"Sub"),$Y123)))</f>
        <v/>
      </c>
      <c r="AD123" s="62">
        <f>IF($V123="","",IF(AND(ISNUMBER($G123),$G123&lt;=IF($S123=MesCiclo,InicioCiclo,$S123+MOD(2-WEEKDAY($S123),7))+13),1,IF(N($W123)&gt;0,AVERAGEIFS($Z$5:$Z$1000,$U$5:$U$1000,ROW(),$V$5:$V$1000,"Sub"),$Z123)))</f>
        <v/>
      </c>
      <c r="AE123" s="62">
        <f>IF($V123="","",IF(AND(ISNUMBER($G123),$G123&lt;=IF($S123=MesCiclo,InicioCiclo,$S123+MOD(2-WEEKDAY($S123),7))+20),1,IF(N($W123)&gt;0,AVERAGEIFS($AA$5:$AA$1000,$U$5:$U$1000,ROW(),$V$5:$V$1000,"Sub"),$AA123)))</f>
        <v/>
      </c>
      <c r="AF123" s="62">
        <f>IF($V123="","",IF(AND(ISNUMBER($G123),$G123&lt;=IF($S123=MesCiclo,InicioCiclo,$S123+MOD(2-WEEKDAY($S123),7))+27),1,IF(N($W123)&gt;0,AVERAGEIFS($AB$5:$AB$1000,$U$5:$U$1000,ROW(),$V$5:$V$1000,"Sub"),$AB123)))</f>
        <v/>
      </c>
      <c r="AG123" s="62">
        <f>IF($V123&lt;&gt;"Macro","",IF(COUNTIFS($S$5:$S$1000,$S123,$V$5:$V$1000,"Macro",$H$5:$H$1000,"&gt;0")=0,1/COUNTIFS($S$5:$S$1000,$S123,$V$5:$V$1000,"Macro"),IF(AND(ISNUMBER($H123),N($H123)&gt;0),$H123,SUMIFS($H$5:$H$1000,$S$5:$S$1000,$S123,$V$5:$V$1000,"Macro")/COUNTIFS($S$5:$S$1000,$S123,$V$5:$V$1000,"Macro",$H$5:$H$1000,"&gt;0"))/(COUNTIFS($S$5:$S$1000,$S123,$V$5:$V$1000,"Macro")*SUMIFS($H$5:$H$1000,$S$5:$S$1000,$S123,$V$5:$V$1000,"Macro")/COUNTIFS($S$5:$S$1000,$S123,$V$5:$V$1000,"Macro",$H$5:$H$1000,"&gt;0"))))</f>
        <v/>
      </c>
      <c r="AH123" s="62" t="n"/>
      <c r="AI123" s="62" t="n"/>
      <c r="AJ123" s="62" t="n"/>
      <c r="AK123" s="62" t="n"/>
      <c r="AL123" s="62">
        <f>IF(LEFT($C123,11)="[Jefatura] ",IFERROR(MATCH("Riesgo Operacional|"&amp;MID($C123,12,500),rDname_ADM,0),0),"")</f>
        <v/>
      </c>
      <c r="AM123" s="62">
        <f>IF(N($AL123)&gt;0,INDEX(rIni_ADM,$AL123),IF(ISNUMBER($E123),$E123,""))</f>
        <v/>
      </c>
      <c r="AN123" s="62">
        <f>IF(N($AL123)&gt;0,INDEX(rLim_ADM,$AL123),IF(ISNUMBER($F123),$F123,""))</f>
        <v/>
      </c>
    </row>
    <row r="124">
      <c r="A124" s="56">
        <f>IF(NOT((COUNTA($B124:$D124)+COUNTA($G124:$L124)+COUNTA($Q124))&gt;0),"",IF($V124="Macro",COUNTIFS($V$5:$V124,"Macro",$S$5:$S124,$S124),IF(N($U124)=0,"?",COUNTIFS(INDEX($V$5:$V$1000,1):INDEX($V$5:$V$1000,$U124-4),"Macro",INDEX($S$5:$S$1000,1):INDEX($S$5:$S$1000,$U124-4),INDEX($S$5:$S$1000,$U124-4))&amp;"."&amp;COUNTIFS($U$5:$U124,$U124,$V$5:$V124,"Sub"))))</f>
        <v/>
      </c>
      <c r="B124" s="57" t="n"/>
      <c r="C124" s="58" t="n"/>
      <c r="D124" s="58" t="n"/>
      <c r="E124" s="59">
        <f>IF(N($AL124)&gt;0,INDEX(rIni_ADM,$AL124),"")</f>
        <v/>
      </c>
      <c r="F124" s="59">
        <f>IF(N($AL124)&gt;0,INDEX(rLim_ADM,$AL124),"")</f>
        <v/>
      </c>
      <c r="G124" s="59" t="n"/>
      <c r="H124" s="60" t="n"/>
      <c r="I124" s="60" t="n"/>
      <c r="J124" s="60" t="n"/>
      <c r="K124" s="60" t="n"/>
      <c r="L124" s="60" t="n"/>
      <c r="M124" s="61">
        <f>IF(NOT((COUNTA($B124:$D124)+COUNTA($G124:$L124)+COUNTA($Q124))&gt;0),"",IF($V124="Sub",IFERROR($X124/INDEX($W$5:$W$1000,$U124-4),""),IF(ISNUMBER($G124),1,IF(N($W124)&gt;0,AVERAGEIFS($X$5:$X$1000,$U$5:$U$1000,ROW(),$V$5:$V$1000,"Sub"),$X124))))</f>
        <v/>
      </c>
      <c r="N124" s="56">
        <f>IF(OR($M124="",$V124="Sub"),"",IF($M124&gt;=1,"Completado",IF($M124&gt;0,"En curso","Pendiente")))</f>
        <v/>
      </c>
      <c r="O124" s="56">
        <f>IF(OR(NOT((COUNTA($B124:$D124)+COUNTA($G124:$L124)+COUNTA($Q124))&gt;0),$V124="Sub"),"",IF(ISNUMBER($G124),IF(AND(ISNUMBER($AN124),$G124&gt;$AN124),"Cumplida con "&amp;($G124-$AN124)&amp;IF($G124-$AN124=1," día"," días")&amp;" de retraso","Cumplida"),IF(N($M124)&gt;=1,"Cumplida",IF(NOT(ISNUMBER($AN124)),"Sin fecha límite",IF($AN124&lt;FechaRef,"Vencida hace "&amp;(FechaRef-$AN124)&amp;IF(FechaRef-$AN124=1," día"," días"),IF($AN124=FechaRef,"Vence hoy",IF($AN124-FechaRef&lt;=DiasAlerta,"Vence en "&amp;($AN124-FechaRef)&amp;IF($AN124-FechaRef=1," día"," días"),"En plazo")))))))</f>
        <v/>
      </c>
      <c r="P124" s="62" t="n"/>
      <c r="Q124" s="58" t="n"/>
      <c r="R124" s="63">
        <f>IF(NOT((COUNTA($B124:$D124)+COUNTA($G124:$L124)+COUNTA($Q124))&gt;0),"",IF((IF($C124="","Falta el nombre de la actividad"&amp;" · ","")&amp;IF(AND($V124="Sub",N($U124)=0),"Subactividad sin macroactividad arriba"&amp;" · ","")&amp;IF($AM124="","Sin fecha de inicio"&amp;" · ","")&amp;IF($AN124="","Sin fecha límite"&amp;" · ","")&amp;IF(AND(LEFT($C124,11)="[Jefatura] ",N($AL124)=0),"No se encuentra en la hoja de la jefatura (elíjala de nuevo en la lista)"&amp;" · ","")&amp;IF(OR(AND($E124&lt;&gt;"",NOT(ISNUMBER($E124))),AND($F124&lt;&gt;"",NOT(ISNUMBER($F124))),AND($G124&lt;&gt;"",NOT(ISNUMBER($G124)))),"Fecha no válida"&amp;" · ","")&amp;IF(AND(ISNUMBER($AM124),ISNUMBER($AN124),$AM124&gt;$AN124),"Inicio posterior a fecha límite"&amp;" · ","")&amp;IF(AND($V124="Macro",$H124&lt;&gt;"",OR(NOT(ISNUMBER($H124)),$H124&lt;0,$H124&gt;1)),"Peso fuera de rango"&amp;" · ","")&amp;IF(AND($V124="Sub",$H124&lt;&gt;""),"Las subactividades no llevan peso (valen igual dentro de su macroactividad)"&amp;" · ","")&amp;IF(AND(N($W124)&gt;0,COUNT($I124:$L124)&gt;0),"Con subactividades: deje vacías las semanas (se calculan solas)"&amp;" · ","")&amp;IF((COUNTIF($I124:$L124,"&gt;1")+COUNTIF($I124:$L124,"&lt;0")+COUNTA($I124:$L124)-COUNT($I124:$L124))&gt;0,"Avance fuera de rango 0-100%"&amp;" · ","")&amp;IF(OR(AND($J124&lt;&gt;"",$J124&lt;$I124),AND($K124&lt;&gt;"",$K124&lt;MAX($I124:$J124)),AND($L124&lt;&gt;"",$L124&lt;MAX($I124:$K124))),"Avance semanal decreciente"&amp;" · ","")&amp;IF(AND(ISNUMBER($AN124),$AN124&lt;FechaRef,IF($V124="Sub",N($X124),N($M124))&lt;1),"Vencida"&amp;" · ","")&amp;IF(AND(ObsObligatoria="Sí",ISNUMBER($AN124),$AN124&lt;FechaRef,IF($V124="Sub",N($X124),N($M124))&lt;1,$Q124=""),"Vencida sin observación"&amp;" · ",""))="","✔ OK","⚠ "&amp;LEFT(IF($C124="","Falta el nombre de la actividad"&amp;" · ","")&amp;IF(AND($V124="Sub",N($U124)=0),"Subactividad sin macroactividad arriba"&amp;" · ","")&amp;IF($AM124="","Sin fecha de inicio"&amp;" · ","")&amp;IF($AN124="","Sin fecha límite"&amp;" · ","")&amp;IF(AND(LEFT($C124,11)="[Jefatura] ",N($AL124)=0),"No se encuentra en la hoja de la jefatura (elíjala de nuevo en la lista)"&amp;" · ","")&amp;IF(OR(AND($E124&lt;&gt;"",NOT(ISNUMBER($E124))),AND($F124&lt;&gt;"",NOT(ISNUMBER($F124))),AND($G124&lt;&gt;"",NOT(ISNUMBER($G124)))),"Fecha no válida"&amp;" · ","")&amp;IF(AND(ISNUMBER($AM124),ISNUMBER($AN124),$AM124&gt;$AN124),"Inicio posterior a fecha límite"&amp;" · ","")&amp;IF(AND($V124="Macro",$H124&lt;&gt;"",OR(NOT(ISNUMBER($H124)),$H124&lt;0,$H124&gt;1)),"Peso fuera de rango"&amp;" · ","")&amp;IF(AND($V124="Sub",$H124&lt;&gt;""),"Las subactividades no llevan peso (valen igual dentro de su macroactividad)"&amp;" · ","")&amp;IF(AND(N($W124)&gt;0,COUNT($I124:$L124)&gt;0),"Con subactividades: deje vacías las semanas (se calculan solas)"&amp;" · ","")&amp;IF((COUNTIF($I124:$L124,"&gt;1")+COUNTIF($I124:$L124,"&lt;0")+COUNTA($I124:$L124)-COUNT($I124:$L124))&gt;0,"Avance fuera de rango 0-100%"&amp;" · ","")&amp;IF(OR(AND($J124&lt;&gt;"",$J124&lt;$I124),AND($K124&lt;&gt;"",$K124&lt;MAX($I124:$J124)),AND($L124&lt;&gt;"",$L124&lt;MAX($I124:$K124))),"Avance semanal decreciente"&amp;" · ","")&amp;IF(AND(ISNUMBER($AN124),$AN124&lt;FechaRef,IF($V124="Sub",N($X124),N($M124))&lt;1),"Vencida"&amp;" · ","")&amp;IF(AND(ObsObligatoria="Sí",ISNUMBER($AN124),$AN124&lt;FechaRef,IF($V124="Sub",N($X124),N($M124))&lt;1,$Q124=""),"Vencida sin observación"&amp;" · ",""),LEN(IF($C124="","Falta el nombre de la actividad"&amp;" · ","")&amp;IF(AND($V124="Sub",N($U124)=0),"Subactividad sin macroactividad arriba"&amp;" · ","")&amp;IF($AM124="","Sin fecha de inicio"&amp;" · ","")&amp;IF($AN124="","Sin fecha límite"&amp;" · ","")&amp;IF(AND(LEFT($C124,11)="[Jefatura] ",N($AL124)=0),"No se encuentra en la hoja de la jefatura (elíjala de nuevo en la lista)"&amp;" · ","")&amp;IF(OR(AND($E124&lt;&gt;"",NOT(ISNUMBER($E124))),AND($F124&lt;&gt;"",NOT(ISNUMBER($F124))),AND($G124&lt;&gt;"",NOT(ISNUMBER($G124)))),"Fecha no válida"&amp;" · ","")&amp;IF(AND(ISNUMBER($AM124),ISNUMBER($AN124),$AM124&gt;$AN124),"Inicio posterior a fecha límite"&amp;" · ","")&amp;IF(AND($V124="Macro",$H124&lt;&gt;"",OR(NOT(ISNUMBER($H124)),$H124&lt;0,$H124&gt;1)),"Peso fuera de rango"&amp;" · ","")&amp;IF(AND($V124="Sub",$H124&lt;&gt;""),"Las subactividades no llevan peso (valen igual dentro de su macroactividad)"&amp;" · ","")&amp;IF(AND(N($W124)&gt;0,COUNT($I124:$L124)&gt;0),"Con subactividades: deje vacías las semanas (se calculan solas)"&amp;" · ","")&amp;IF((COUNTIF($I124:$L124,"&gt;1")+COUNTIF($I124:$L124,"&lt;0")+COUNTA($I124:$L124)-COUNT($I124:$L124))&gt;0,"Avance fuera de rango 0-100%"&amp;" · ","")&amp;IF(OR(AND($J124&lt;&gt;"",$J124&lt;$I124),AND($K124&lt;&gt;"",$K124&lt;MAX($I124:$J124)),AND($L124&lt;&gt;"",$L124&lt;MAX($I124:$K124))),"Avance semanal decreciente"&amp;" · ","")&amp;IF(AND(ISNUMBER($AN124),$AN124&lt;FechaRef,IF($V124="Sub",N($X124),N($M124))&lt;1),"Vencida"&amp;" · ","")&amp;IF(AND(ObsObligatoria="Sí",ISNUMBER($AN124),$AN124&lt;FechaRef,IF($V124="Sub",N($X124),N($M124))&lt;1,$Q124=""),"Vencida sin observación"&amp;" · ",""))-3)))</f>
        <v/>
      </c>
      <c r="S124" s="64">
        <f>IF(NOT((COUNTA($B124:$D124)+COUNTA($G124:$L124)+COUNTA($Q124))&gt;0),"",IF(AND($V124="Sub",N($U124)&gt;0),IF(ISNUMBER(INDEX($AM$5:$AM$1000,$U124-4)),DATE(YEAR(INDEX($AM$5:$AM$1000,$U124-4)),MONTH(INDEX($AM$5:$AM$1000,$U124-4)),1),IF(ISNUMBER(INDEX($AN$5:$AN$1000,$U124-4)),DATE(YEAR(INDEX($AN$5:$AN$1000,$U124-4)),MONTH(INDEX($AN$5:$AN$1000,$U124-4)),1),MesCiclo)),IF(ISNUMBER($AM124),DATE(YEAR($AM124),MONTH($AM124),1),IF(ISNUMBER($AN124),DATE(YEAR($AN124),MONTH($AN124),1),MesCiclo))))</f>
        <v/>
      </c>
      <c r="T124" s="62">
        <f>IF(OR($S124="",$S124&lt;&gt;MesCiclo,$V124&lt;&gt;"Macro"),"",COUNTIFS($S$5:$S124,MesCiclo,$V$5:$V124,"Macro"))</f>
        <v/>
      </c>
      <c r="U124" s="62">
        <f>IF($V124="","",IF($V124="Macro",ROW(),IFERROR(LOOKUP(2,1/($V$5:$V124="Macro"),ROW($V$5:$V124)),0)))</f>
        <v/>
      </c>
      <c r="V124" s="62">
        <f>IF(NOT((COUNTA($B124:$D124)+COUNTA($G124:$L124)+COUNTA($Q124))&gt;0),"",IF($B124="Subactividad","Sub","Macro"))</f>
        <v/>
      </c>
      <c r="W124" s="62">
        <f>IF($V124="Macro",COUNTIFS($U$5:$U$1000,ROW(),$V$5:$V$1000,"Sub"),"")</f>
        <v/>
      </c>
      <c r="X124" s="62">
        <f>IF($V124="","",IF(ISNUMBER($G124),1,IFERROR(LOOKUP(2,1/($I124:$L124&lt;&gt;""),$I124:$L124),0)))</f>
        <v/>
      </c>
      <c r="Y124" s="62">
        <f>IF($V124="","",IF(AND(ISNUMBER($G124),$G124&lt;=IF($S124=MesCiclo,InicioCiclo,$S124+MOD(2-WEEKDAY($S124),7))+6),1,IF(ISNUMBER($I124),$I124,0)))</f>
        <v/>
      </c>
      <c r="Z124" s="62">
        <f>IF($V124="","",IF(AND(ISNUMBER($G124),$G124&lt;=IF($S124=MesCiclo,InicioCiclo,$S124+MOD(2-WEEKDAY($S124),7))+13),1,IF(ISNUMBER($J124),$J124,$Y124)))</f>
        <v/>
      </c>
      <c r="AA124" s="62">
        <f>IF($V124="","",IF(AND(ISNUMBER($G124),$G124&lt;=IF($S124=MesCiclo,InicioCiclo,$S124+MOD(2-WEEKDAY($S124),7))+20),1,IF(ISNUMBER($K124),$K124,$Z124)))</f>
        <v/>
      </c>
      <c r="AB124" s="62">
        <f>IF($V124="","",IF(AND(ISNUMBER($G124),$G124&lt;=IF($S124=MesCiclo,InicioCiclo,$S124+MOD(2-WEEKDAY($S124),7))+27),1,IF(ISNUMBER($L124),$L124,$AA124)))</f>
        <v/>
      </c>
      <c r="AC124" s="62">
        <f>IF($V124="","",IF(AND(ISNUMBER($G124),$G124&lt;=IF($S124=MesCiclo,InicioCiclo,$S124+MOD(2-WEEKDAY($S124),7))+6),1,IF(N($W124)&gt;0,AVERAGEIFS($Y$5:$Y$1000,$U$5:$U$1000,ROW(),$V$5:$V$1000,"Sub"),$Y124)))</f>
        <v/>
      </c>
      <c r="AD124" s="62">
        <f>IF($V124="","",IF(AND(ISNUMBER($G124),$G124&lt;=IF($S124=MesCiclo,InicioCiclo,$S124+MOD(2-WEEKDAY($S124),7))+13),1,IF(N($W124)&gt;0,AVERAGEIFS($Z$5:$Z$1000,$U$5:$U$1000,ROW(),$V$5:$V$1000,"Sub"),$Z124)))</f>
        <v/>
      </c>
      <c r="AE124" s="62">
        <f>IF($V124="","",IF(AND(ISNUMBER($G124),$G124&lt;=IF($S124=MesCiclo,InicioCiclo,$S124+MOD(2-WEEKDAY($S124),7))+20),1,IF(N($W124)&gt;0,AVERAGEIFS($AA$5:$AA$1000,$U$5:$U$1000,ROW(),$V$5:$V$1000,"Sub"),$AA124)))</f>
        <v/>
      </c>
      <c r="AF124" s="62">
        <f>IF($V124="","",IF(AND(ISNUMBER($G124),$G124&lt;=IF($S124=MesCiclo,InicioCiclo,$S124+MOD(2-WEEKDAY($S124),7))+27),1,IF(N($W124)&gt;0,AVERAGEIFS($AB$5:$AB$1000,$U$5:$U$1000,ROW(),$V$5:$V$1000,"Sub"),$AB124)))</f>
        <v/>
      </c>
      <c r="AG124" s="62">
        <f>IF($V124&lt;&gt;"Macro","",IF(COUNTIFS($S$5:$S$1000,$S124,$V$5:$V$1000,"Macro",$H$5:$H$1000,"&gt;0")=0,1/COUNTIFS($S$5:$S$1000,$S124,$V$5:$V$1000,"Macro"),IF(AND(ISNUMBER($H124),N($H124)&gt;0),$H124,SUMIFS($H$5:$H$1000,$S$5:$S$1000,$S124,$V$5:$V$1000,"Macro")/COUNTIFS($S$5:$S$1000,$S124,$V$5:$V$1000,"Macro",$H$5:$H$1000,"&gt;0"))/(COUNTIFS($S$5:$S$1000,$S124,$V$5:$V$1000,"Macro")*SUMIFS($H$5:$H$1000,$S$5:$S$1000,$S124,$V$5:$V$1000,"Macro")/COUNTIFS($S$5:$S$1000,$S124,$V$5:$V$1000,"Macro",$H$5:$H$1000,"&gt;0"))))</f>
        <v/>
      </c>
      <c r="AH124" s="62" t="n"/>
      <c r="AI124" s="62" t="n"/>
      <c r="AJ124" s="62" t="n"/>
      <c r="AK124" s="62" t="n"/>
      <c r="AL124" s="62">
        <f>IF(LEFT($C124,11)="[Jefatura] ",IFERROR(MATCH("Riesgo Operacional|"&amp;MID($C124,12,500),rDname_ADM,0),0),"")</f>
        <v/>
      </c>
      <c r="AM124" s="62">
        <f>IF(N($AL124)&gt;0,INDEX(rIni_ADM,$AL124),IF(ISNUMBER($E124),$E124,""))</f>
        <v/>
      </c>
      <c r="AN124" s="62">
        <f>IF(N($AL124)&gt;0,INDEX(rLim_ADM,$AL124),IF(ISNUMBER($F124),$F124,""))</f>
        <v/>
      </c>
    </row>
    <row r="125">
      <c r="A125" s="56">
        <f>IF(NOT((COUNTA($B125:$D125)+COUNTA($G125:$L125)+COUNTA($Q125))&gt;0),"",IF($V125="Macro",COUNTIFS($V$5:$V125,"Macro",$S$5:$S125,$S125),IF(N($U125)=0,"?",COUNTIFS(INDEX($V$5:$V$1000,1):INDEX($V$5:$V$1000,$U125-4),"Macro",INDEX($S$5:$S$1000,1):INDEX($S$5:$S$1000,$U125-4),INDEX($S$5:$S$1000,$U125-4))&amp;"."&amp;COUNTIFS($U$5:$U125,$U125,$V$5:$V125,"Sub"))))</f>
        <v/>
      </c>
      <c r="B125" s="57" t="n"/>
      <c r="C125" s="58" t="n"/>
      <c r="D125" s="58" t="n"/>
      <c r="E125" s="59">
        <f>IF(N($AL125)&gt;0,INDEX(rIni_ADM,$AL125),"")</f>
        <v/>
      </c>
      <c r="F125" s="59">
        <f>IF(N($AL125)&gt;0,INDEX(rLim_ADM,$AL125),"")</f>
        <v/>
      </c>
      <c r="G125" s="59" t="n"/>
      <c r="H125" s="60" t="n"/>
      <c r="I125" s="60" t="n"/>
      <c r="J125" s="60" t="n"/>
      <c r="K125" s="60" t="n"/>
      <c r="L125" s="60" t="n"/>
      <c r="M125" s="61">
        <f>IF(NOT((COUNTA($B125:$D125)+COUNTA($G125:$L125)+COUNTA($Q125))&gt;0),"",IF($V125="Sub",IFERROR($X125/INDEX($W$5:$W$1000,$U125-4),""),IF(ISNUMBER($G125),1,IF(N($W125)&gt;0,AVERAGEIFS($X$5:$X$1000,$U$5:$U$1000,ROW(),$V$5:$V$1000,"Sub"),$X125))))</f>
        <v/>
      </c>
      <c r="N125" s="56">
        <f>IF(OR($M125="",$V125="Sub"),"",IF($M125&gt;=1,"Completado",IF($M125&gt;0,"En curso","Pendiente")))</f>
        <v/>
      </c>
      <c r="O125" s="56">
        <f>IF(OR(NOT((COUNTA($B125:$D125)+COUNTA($G125:$L125)+COUNTA($Q125))&gt;0),$V125="Sub"),"",IF(ISNUMBER($G125),IF(AND(ISNUMBER($AN125),$G125&gt;$AN125),"Cumplida con "&amp;($G125-$AN125)&amp;IF($G125-$AN125=1," día"," días")&amp;" de retraso","Cumplida"),IF(N($M125)&gt;=1,"Cumplida",IF(NOT(ISNUMBER($AN125)),"Sin fecha límite",IF($AN125&lt;FechaRef,"Vencida hace "&amp;(FechaRef-$AN125)&amp;IF(FechaRef-$AN125=1," día"," días"),IF($AN125=FechaRef,"Vence hoy",IF($AN125-FechaRef&lt;=DiasAlerta,"Vence en "&amp;($AN125-FechaRef)&amp;IF($AN125-FechaRef=1," día"," días"),"En plazo")))))))</f>
        <v/>
      </c>
      <c r="P125" s="62" t="n"/>
      <c r="Q125" s="58" t="n"/>
      <c r="R125" s="63">
        <f>IF(NOT((COUNTA($B125:$D125)+COUNTA($G125:$L125)+COUNTA($Q125))&gt;0),"",IF((IF($C125="","Falta el nombre de la actividad"&amp;" · ","")&amp;IF(AND($V125="Sub",N($U125)=0),"Subactividad sin macroactividad arriba"&amp;" · ","")&amp;IF($AM125="","Sin fecha de inicio"&amp;" · ","")&amp;IF($AN125="","Sin fecha límite"&amp;" · ","")&amp;IF(AND(LEFT($C125,11)="[Jefatura] ",N($AL125)=0),"No se encuentra en la hoja de la jefatura (elíjala de nuevo en la lista)"&amp;" · ","")&amp;IF(OR(AND($E125&lt;&gt;"",NOT(ISNUMBER($E125))),AND($F125&lt;&gt;"",NOT(ISNUMBER($F125))),AND($G125&lt;&gt;"",NOT(ISNUMBER($G125)))),"Fecha no válida"&amp;" · ","")&amp;IF(AND(ISNUMBER($AM125),ISNUMBER($AN125),$AM125&gt;$AN125),"Inicio posterior a fecha límite"&amp;" · ","")&amp;IF(AND($V125="Macro",$H125&lt;&gt;"",OR(NOT(ISNUMBER($H125)),$H125&lt;0,$H125&gt;1)),"Peso fuera de rango"&amp;" · ","")&amp;IF(AND($V125="Sub",$H125&lt;&gt;""),"Las subactividades no llevan peso (valen igual dentro de su macroactividad)"&amp;" · ","")&amp;IF(AND(N($W125)&gt;0,COUNT($I125:$L125)&gt;0),"Con subactividades: deje vacías las semanas (se calculan solas)"&amp;" · ","")&amp;IF((COUNTIF($I125:$L125,"&gt;1")+COUNTIF($I125:$L125,"&lt;0")+COUNTA($I125:$L125)-COUNT($I125:$L125))&gt;0,"Avance fuera de rango 0-100%"&amp;" · ","")&amp;IF(OR(AND($J125&lt;&gt;"",$J125&lt;$I125),AND($K125&lt;&gt;"",$K125&lt;MAX($I125:$J125)),AND($L125&lt;&gt;"",$L125&lt;MAX($I125:$K125))),"Avance semanal decreciente"&amp;" · ","")&amp;IF(AND(ISNUMBER($AN125),$AN125&lt;FechaRef,IF($V125="Sub",N($X125),N($M125))&lt;1),"Vencida"&amp;" · ","")&amp;IF(AND(ObsObligatoria="Sí",ISNUMBER($AN125),$AN125&lt;FechaRef,IF($V125="Sub",N($X125),N($M125))&lt;1,$Q125=""),"Vencida sin observación"&amp;" · ",""))="","✔ OK","⚠ "&amp;LEFT(IF($C125="","Falta el nombre de la actividad"&amp;" · ","")&amp;IF(AND($V125="Sub",N($U125)=0),"Subactividad sin macroactividad arriba"&amp;" · ","")&amp;IF($AM125="","Sin fecha de inicio"&amp;" · ","")&amp;IF($AN125="","Sin fecha límite"&amp;" · ","")&amp;IF(AND(LEFT($C125,11)="[Jefatura] ",N($AL125)=0),"No se encuentra en la hoja de la jefatura (elíjala de nuevo en la lista)"&amp;" · ","")&amp;IF(OR(AND($E125&lt;&gt;"",NOT(ISNUMBER($E125))),AND($F125&lt;&gt;"",NOT(ISNUMBER($F125))),AND($G125&lt;&gt;"",NOT(ISNUMBER($G125)))),"Fecha no válida"&amp;" · ","")&amp;IF(AND(ISNUMBER($AM125),ISNUMBER($AN125),$AM125&gt;$AN125),"Inicio posterior a fecha límite"&amp;" · ","")&amp;IF(AND($V125="Macro",$H125&lt;&gt;"",OR(NOT(ISNUMBER($H125)),$H125&lt;0,$H125&gt;1)),"Peso fuera de rango"&amp;" · ","")&amp;IF(AND($V125="Sub",$H125&lt;&gt;""),"Las subactividades no llevan peso (valen igual dentro de su macroactividad)"&amp;" · ","")&amp;IF(AND(N($W125)&gt;0,COUNT($I125:$L125)&gt;0),"Con subactividades: deje vacías las semanas (se calculan solas)"&amp;" · ","")&amp;IF((COUNTIF($I125:$L125,"&gt;1")+COUNTIF($I125:$L125,"&lt;0")+COUNTA($I125:$L125)-COUNT($I125:$L125))&gt;0,"Avance fuera de rango 0-100%"&amp;" · ","")&amp;IF(OR(AND($J125&lt;&gt;"",$J125&lt;$I125),AND($K125&lt;&gt;"",$K125&lt;MAX($I125:$J125)),AND($L125&lt;&gt;"",$L125&lt;MAX($I125:$K125))),"Avance semanal decreciente"&amp;" · ","")&amp;IF(AND(ISNUMBER($AN125),$AN125&lt;FechaRef,IF($V125="Sub",N($X125),N($M125))&lt;1),"Vencida"&amp;" · ","")&amp;IF(AND(ObsObligatoria="Sí",ISNUMBER($AN125),$AN125&lt;FechaRef,IF($V125="Sub",N($X125),N($M125))&lt;1,$Q125=""),"Vencida sin observación"&amp;" · ",""),LEN(IF($C125="","Falta el nombre de la actividad"&amp;" · ","")&amp;IF(AND($V125="Sub",N($U125)=0),"Subactividad sin macroactividad arriba"&amp;" · ","")&amp;IF($AM125="","Sin fecha de inicio"&amp;" · ","")&amp;IF($AN125="","Sin fecha límite"&amp;" · ","")&amp;IF(AND(LEFT($C125,11)="[Jefatura] ",N($AL125)=0),"No se encuentra en la hoja de la jefatura (elíjala de nuevo en la lista)"&amp;" · ","")&amp;IF(OR(AND($E125&lt;&gt;"",NOT(ISNUMBER($E125))),AND($F125&lt;&gt;"",NOT(ISNUMBER($F125))),AND($G125&lt;&gt;"",NOT(ISNUMBER($G125)))),"Fecha no válida"&amp;" · ","")&amp;IF(AND(ISNUMBER($AM125),ISNUMBER($AN125),$AM125&gt;$AN125),"Inicio posterior a fecha límite"&amp;" · ","")&amp;IF(AND($V125="Macro",$H125&lt;&gt;"",OR(NOT(ISNUMBER($H125)),$H125&lt;0,$H125&gt;1)),"Peso fuera de rango"&amp;" · ","")&amp;IF(AND($V125="Sub",$H125&lt;&gt;""),"Las subactividades no llevan peso (valen igual dentro de su macroactividad)"&amp;" · ","")&amp;IF(AND(N($W125)&gt;0,COUNT($I125:$L125)&gt;0),"Con subactividades: deje vacías las semanas (se calculan solas)"&amp;" · ","")&amp;IF((COUNTIF($I125:$L125,"&gt;1")+COUNTIF($I125:$L125,"&lt;0")+COUNTA($I125:$L125)-COUNT($I125:$L125))&gt;0,"Avance fuera de rango 0-100%"&amp;" · ","")&amp;IF(OR(AND($J125&lt;&gt;"",$J125&lt;$I125),AND($K125&lt;&gt;"",$K125&lt;MAX($I125:$J125)),AND($L125&lt;&gt;"",$L125&lt;MAX($I125:$K125))),"Avance semanal decreciente"&amp;" · ","")&amp;IF(AND(ISNUMBER($AN125),$AN125&lt;FechaRef,IF($V125="Sub",N($X125),N($M125))&lt;1),"Vencida"&amp;" · ","")&amp;IF(AND(ObsObligatoria="Sí",ISNUMBER($AN125),$AN125&lt;FechaRef,IF($V125="Sub",N($X125),N($M125))&lt;1,$Q125=""),"Vencida sin observación"&amp;" · ",""))-3)))</f>
        <v/>
      </c>
      <c r="S125" s="64">
        <f>IF(NOT((COUNTA($B125:$D125)+COUNTA($G125:$L125)+COUNTA($Q125))&gt;0),"",IF(AND($V125="Sub",N($U125)&gt;0),IF(ISNUMBER(INDEX($AM$5:$AM$1000,$U125-4)),DATE(YEAR(INDEX($AM$5:$AM$1000,$U125-4)),MONTH(INDEX($AM$5:$AM$1000,$U125-4)),1),IF(ISNUMBER(INDEX($AN$5:$AN$1000,$U125-4)),DATE(YEAR(INDEX($AN$5:$AN$1000,$U125-4)),MONTH(INDEX($AN$5:$AN$1000,$U125-4)),1),MesCiclo)),IF(ISNUMBER($AM125),DATE(YEAR($AM125),MONTH($AM125),1),IF(ISNUMBER($AN125),DATE(YEAR($AN125),MONTH($AN125),1),MesCiclo))))</f>
        <v/>
      </c>
      <c r="T125" s="62">
        <f>IF(OR($S125="",$S125&lt;&gt;MesCiclo,$V125&lt;&gt;"Macro"),"",COUNTIFS($S$5:$S125,MesCiclo,$V$5:$V125,"Macro"))</f>
        <v/>
      </c>
      <c r="U125" s="62">
        <f>IF($V125="","",IF($V125="Macro",ROW(),IFERROR(LOOKUP(2,1/($V$5:$V125="Macro"),ROW($V$5:$V125)),0)))</f>
        <v/>
      </c>
      <c r="V125" s="62">
        <f>IF(NOT((COUNTA($B125:$D125)+COUNTA($G125:$L125)+COUNTA($Q125))&gt;0),"",IF($B125="Subactividad","Sub","Macro"))</f>
        <v/>
      </c>
      <c r="W125" s="62">
        <f>IF($V125="Macro",COUNTIFS($U$5:$U$1000,ROW(),$V$5:$V$1000,"Sub"),"")</f>
        <v/>
      </c>
      <c r="X125" s="62">
        <f>IF($V125="","",IF(ISNUMBER($G125),1,IFERROR(LOOKUP(2,1/($I125:$L125&lt;&gt;""),$I125:$L125),0)))</f>
        <v/>
      </c>
      <c r="Y125" s="62">
        <f>IF($V125="","",IF(AND(ISNUMBER($G125),$G125&lt;=IF($S125=MesCiclo,InicioCiclo,$S125+MOD(2-WEEKDAY($S125),7))+6),1,IF(ISNUMBER($I125),$I125,0)))</f>
        <v/>
      </c>
      <c r="Z125" s="62">
        <f>IF($V125="","",IF(AND(ISNUMBER($G125),$G125&lt;=IF($S125=MesCiclo,InicioCiclo,$S125+MOD(2-WEEKDAY($S125),7))+13),1,IF(ISNUMBER($J125),$J125,$Y125)))</f>
        <v/>
      </c>
      <c r="AA125" s="62">
        <f>IF($V125="","",IF(AND(ISNUMBER($G125),$G125&lt;=IF($S125=MesCiclo,InicioCiclo,$S125+MOD(2-WEEKDAY($S125),7))+20),1,IF(ISNUMBER($K125),$K125,$Z125)))</f>
        <v/>
      </c>
      <c r="AB125" s="62">
        <f>IF($V125="","",IF(AND(ISNUMBER($G125),$G125&lt;=IF($S125=MesCiclo,InicioCiclo,$S125+MOD(2-WEEKDAY($S125),7))+27),1,IF(ISNUMBER($L125),$L125,$AA125)))</f>
        <v/>
      </c>
      <c r="AC125" s="62">
        <f>IF($V125="","",IF(AND(ISNUMBER($G125),$G125&lt;=IF($S125=MesCiclo,InicioCiclo,$S125+MOD(2-WEEKDAY($S125),7))+6),1,IF(N($W125)&gt;0,AVERAGEIFS($Y$5:$Y$1000,$U$5:$U$1000,ROW(),$V$5:$V$1000,"Sub"),$Y125)))</f>
        <v/>
      </c>
      <c r="AD125" s="62">
        <f>IF($V125="","",IF(AND(ISNUMBER($G125),$G125&lt;=IF($S125=MesCiclo,InicioCiclo,$S125+MOD(2-WEEKDAY($S125),7))+13),1,IF(N($W125)&gt;0,AVERAGEIFS($Z$5:$Z$1000,$U$5:$U$1000,ROW(),$V$5:$V$1000,"Sub"),$Z125)))</f>
        <v/>
      </c>
      <c r="AE125" s="62">
        <f>IF($V125="","",IF(AND(ISNUMBER($G125),$G125&lt;=IF($S125=MesCiclo,InicioCiclo,$S125+MOD(2-WEEKDAY($S125),7))+20),1,IF(N($W125)&gt;0,AVERAGEIFS($AA$5:$AA$1000,$U$5:$U$1000,ROW(),$V$5:$V$1000,"Sub"),$AA125)))</f>
        <v/>
      </c>
      <c r="AF125" s="62">
        <f>IF($V125="","",IF(AND(ISNUMBER($G125),$G125&lt;=IF($S125=MesCiclo,InicioCiclo,$S125+MOD(2-WEEKDAY($S125),7))+27),1,IF(N($W125)&gt;0,AVERAGEIFS($AB$5:$AB$1000,$U$5:$U$1000,ROW(),$V$5:$V$1000,"Sub"),$AB125)))</f>
        <v/>
      </c>
      <c r="AG125" s="62">
        <f>IF($V125&lt;&gt;"Macro","",IF(COUNTIFS($S$5:$S$1000,$S125,$V$5:$V$1000,"Macro",$H$5:$H$1000,"&gt;0")=0,1/COUNTIFS($S$5:$S$1000,$S125,$V$5:$V$1000,"Macro"),IF(AND(ISNUMBER($H125),N($H125)&gt;0),$H125,SUMIFS($H$5:$H$1000,$S$5:$S$1000,$S125,$V$5:$V$1000,"Macro")/COUNTIFS($S$5:$S$1000,$S125,$V$5:$V$1000,"Macro",$H$5:$H$1000,"&gt;0"))/(COUNTIFS($S$5:$S$1000,$S125,$V$5:$V$1000,"Macro")*SUMIFS($H$5:$H$1000,$S$5:$S$1000,$S125,$V$5:$V$1000,"Macro")/COUNTIFS($S$5:$S$1000,$S125,$V$5:$V$1000,"Macro",$H$5:$H$1000,"&gt;0"))))</f>
        <v/>
      </c>
      <c r="AH125" s="62" t="n"/>
      <c r="AI125" s="62" t="n"/>
      <c r="AJ125" s="62" t="n"/>
      <c r="AK125" s="62" t="n"/>
      <c r="AL125" s="62">
        <f>IF(LEFT($C125,11)="[Jefatura] ",IFERROR(MATCH("Riesgo Operacional|"&amp;MID($C125,12,500),rDname_ADM,0),0),"")</f>
        <v/>
      </c>
      <c r="AM125" s="62">
        <f>IF(N($AL125)&gt;0,INDEX(rIni_ADM,$AL125),IF(ISNUMBER($E125),$E125,""))</f>
        <v/>
      </c>
      <c r="AN125" s="62">
        <f>IF(N($AL125)&gt;0,INDEX(rLim_ADM,$AL125),IF(ISNUMBER($F125),$F125,""))</f>
        <v/>
      </c>
    </row>
    <row r="126">
      <c r="A126" s="56">
        <f>IF(NOT((COUNTA($B126:$D126)+COUNTA($G126:$L126)+COUNTA($Q126))&gt;0),"",IF($V126="Macro",COUNTIFS($V$5:$V126,"Macro",$S$5:$S126,$S126),IF(N($U126)=0,"?",COUNTIFS(INDEX($V$5:$V$1000,1):INDEX($V$5:$V$1000,$U126-4),"Macro",INDEX($S$5:$S$1000,1):INDEX($S$5:$S$1000,$U126-4),INDEX($S$5:$S$1000,$U126-4))&amp;"."&amp;COUNTIFS($U$5:$U126,$U126,$V$5:$V126,"Sub"))))</f>
        <v/>
      </c>
      <c r="B126" s="57" t="n"/>
      <c r="C126" s="58" t="n"/>
      <c r="D126" s="58" t="n"/>
      <c r="E126" s="59">
        <f>IF(N($AL126)&gt;0,INDEX(rIni_ADM,$AL126),"")</f>
        <v/>
      </c>
      <c r="F126" s="59">
        <f>IF(N($AL126)&gt;0,INDEX(rLim_ADM,$AL126),"")</f>
        <v/>
      </c>
      <c r="G126" s="59" t="n"/>
      <c r="H126" s="60" t="n"/>
      <c r="I126" s="60" t="n"/>
      <c r="J126" s="60" t="n"/>
      <c r="K126" s="60" t="n"/>
      <c r="L126" s="60" t="n"/>
      <c r="M126" s="61">
        <f>IF(NOT((COUNTA($B126:$D126)+COUNTA($G126:$L126)+COUNTA($Q126))&gt;0),"",IF($V126="Sub",IFERROR($X126/INDEX($W$5:$W$1000,$U126-4),""),IF(ISNUMBER($G126),1,IF(N($W126)&gt;0,AVERAGEIFS($X$5:$X$1000,$U$5:$U$1000,ROW(),$V$5:$V$1000,"Sub"),$X126))))</f>
        <v/>
      </c>
      <c r="N126" s="56">
        <f>IF(OR($M126="",$V126="Sub"),"",IF($M126&gt;=1,"Completado",IF($M126&gt;0,"En curso","Pendiente")))</f>
        <v/>
      </c>
      <c r="O126" s="56">
        <f>IF(OR(NOT((COUNTA($B126:$D126)+COUNTA($G126:$L126)+COUNTA($Q126))&gt;0),$V126="Sub"),"",IF(ISNUMBER($G126),IF(AND(ISNUMBER($AN126),$G126&gt;$AN126),"Cumplida con "&amp;($G126-$AN126)&amp;IF($G126-$AN126=1," día"," días")&amp;" de retraso","Cumplida"),IF(N($M126)&gt;=1,"Cumplida",IF(NOT(ISNUMBER($AN126)),"Sin fecha límite",IF($AN126&lt;FechaRef,"Vencida hace "&amp;(FechaRef-$AN126)&amp;IF(FechaRef-$AN126=1," día"," días"),IF($AN126=FechaRef,"Vence hoy",IF($AN126-FechaRef&lt;=DiasAlerta,"Vence en "&amp;($AN126-FechaRef)&amp;IF($AN126-FechaRef=1," día"," días"),"En plazo")))))))</f>
        <v/>
      </c>
      <c r="P126" s="62" t="n"/>
      <c r="Q126" s="58" t="n"/>
      <c r="R126" s="63">
        <f>IF(NOT((COUNTA($B126:$D126)+COUNTA($G126:$L126)+COUNTA($Q126))&gt;0),"",IF((IF($C126="","Falta el nombre de la actividad"&amp;" · ","")&amp;IF(AND($V126="Sub",N($U126)=0),"Subactividad sin macroactividad arriba"&amp;" · ","")&amp;IF($AM126="","Sin fecha de inicio"&amp;" · ","")&amp;IF($AN126="","Sin fecha límite"&amp;" · ","")&amp;IF(AND(LEFT($C126,11)="[Jefatura] ",N($AL126)=0),"No se encuentra en la hoja de la jefatura (elíjala de nuevo en la lista)"&amp;" · ","")&amp;IF(OR(AND($E126&lt;&gt;"",NOT(ISNUMBER($E126))),AND($F126&lt;&gt;"",NOT(ISNUMBER($F126))),AND($G126&lt;&gt;"",NOT(ISNUMBER($G126)))),"Fecha no válida"&amp;" · ","")&amp;IF(AND(ISNUMBER($AM126),ISNUMBER($AN126),$AM126&gt;$AN126),"Inicio posterior a fecha límite"&amp;" · ","")&amp;IF(AND($V126="Macro",$H126&lt;&gt;"",OR(NOT(ISNUMBER($H126)),$H126&lt;0,$H126&gt;1)),"Peso fuera de rango"&amp;" · ","")&amp;IF(AND($V126="Sub",$H126&lt;&gt;""),"Las subactividades no llevan peso (valen igual dentro de su macroactividad)"&amp;" · ","")&amp;IF(AND(N($W126)&gt;0,COUNT($I126:$L126)&gt;0),"Con subactividades: deje vacías las semanas (se calculan solas)"&amp;" · ","")&amp;IF((COUNTIF($I126:$L126,"&gt;1")+COUNTIF($I126:$L126,"&lt;0")+COUNTA($I126:$L126)-COUNT($I126:$L126))&gt;0,"Avance fuera de rango 0-100%"&amp;" · ","")&amp;IF(OR(AND($J126&lt;&gt;"",$J126&lt;$I126),AND($K126&lt;&gt;"",$K126&lt;MAX($I126:$J126)),AND($L126&lt;&gt;"",$L126&lt;MAX($I126:$K126))),"Avance semanal decreciente"&amp;" · ","")&amp;IF(AND(ISNUMBER($AN126),$AN126&lt;FechaRef,IF($V126="Sub",N($X126),N($M126))&lt;1),"Vencida"&amp;" · ","")&amp;IF(AND(ObsObligatoria="Sí",ISNUMBER($AN126),$AN126&lt;FechaRef,IF($V126="Sub",N($X126),N($M126))&lt;1,$Q126=""),"Vencida sin observación"&amp;" · ",""))="","✔ OK","⚠ "&amp;LEFT(IF($C126="","Falta el nombre de la actividad"&amp;" · ","")&amp;IF(AND($V126="Sub",N($U126)=0),"Subactividad sin macroactividad arriba"&amp;" · ","")&amp;IF($AM126="","Sin fecha de inicio"&amp;" · ","")&amp;IF($AN126="","Sin fecha límite"&amp;" · ","")&amp;IF(AND(LEFT($C126,11)="[Jefatura] ",N($AL126)=0),"No se encuentra en la hoja de la jefatura (elíjala de nuevo en la lista)"&amp;" · ","")&amp;IF(OR(AND($E126&lt;&gt;"",NOT(ISNUMBER($E126))),AND($F126&lt;&gt;"",NOT(ISNUMBER($F126))),AND($G126&lt;&gt;"",NOT(ISNUMBER($G126)))),"Fecha no válida"&amp;" · ","")&amp;IF(AND(ISNUMBER($AM126),ISNUMBER($AN126),$AM126&gt;$AN126),"Inicio posterior a fecha límite"&amp;" · ","")&amp;IF(AND($V126="Macro",$H126&lt;&gt;"",OR(NOT(ISNUMBER($H126)),$H126&lt;0,$H126&gt;1)),"Peso fuera de rango"&amp;" · ","")&amp;IF(AND($V126="Sub",$H126&lt;&gt;""),"Las subactividades no llevan peso (valen igual dentro de su macroactividad)"&amp;" · ","")&amp;IF(AND(N($W126)&gt;0,COUNT($I126:$L126)&gt;0),"Con subactividades: deje vacías las semanas (se calculan solas)"&amp;" · ","")&amp;IF((COUNTIF($I126:$L126,"&gt;1")+COUNTIF($I126:$L126,"&lt;0")+COUNTA($I126:$L126)-COUNT($I126:$L126))&gt;0,"Avance fuera de rango 0-100%"&amp;" · ","")&amp;IF(OR(AND($J126&lt;&gt;"",$J126&lt;$I126),AND($K126&lt;&gt;"",$K126&lt;MAX($I126:$J126)),AND($L126&lt;&gt;"",$L126&lt;MAX($I126:$K126))),"Avance semanal decreciente"&amp;" · ","")&amp;IF(AND(ISNUMBER($AN126),$AN126&lt;FechaRef,IF($V126="Sub",N($X126),N($M126))&lt;1),"Vencida"&amp;" · ","")&amp;IF(AND(ObsObligatoria="Sí",ISNUMBER($AN126),$AN126&lt;FechaRef,IF($V126="Sub",N($X126),N($M126))&lt;1,$Q126=""),"Vencida sin observación"&amp;" · ",""),LEN(IF($C126="","Falta el nombre de la actividad"&amp;" · ","")&amp;IF(AND($V126="Sub",N($U126)=0),"Subactividad sin macroactividad arriba"&amp;" · ","")&amp;IF($AM126="","Sin fecha de inicio"&amp;" · ","")&amp;IF($AN126="","Sin fecha límite"&amp;" · ","")&amp;IF(AND(LEFT($C126,11)="[Jefatura] ",N($AL126)=0),"No se encuentra en la hoja de la jefatura (elíjala de nuevo en la lista)"&amp;" · ","")&amp;IF(OR(AND($E126&lt;&gt;"",NOT(ISNUMBER($E126))),AND($F126&lt;&gt;"",NOT(ISNUMBER($F126))),AND($G126&lt;&gt;"",NOT(ISNUMBER($G126)))),"Fecha no válida"&amp;" · ","")&amp;IF(AND(ISNUMBER($AM126),ISNUMBER($AN126),$AM126&gt;$AN126),"Inicio posterior a fecha límite"&amp;" · ","")&amp;IF(AND($V126="Macro",$H126&lt;&gt;"",OR(NOT(ISNUMBER($H126)),$H126&lt;0,$H126&gt;1)),"Peso fuera de rango"&amp;" · ","")&amp;IF(AND($V126="Sub",$H126&lt;&gt;""),"Las subactividades no llevan peso (valen igual dentro de su macroactividad)"&amp;" · ","")&amp;IF(AND(N($W126)&gt;0,COUNT($I126:$L126)&gt;0),"Con subactividades: deje vacías las semanas (se calculan solas)"&amp;" · ","")&amp;IF((COUNTIF($I126:$L126,"&gt;1")+COUNTIF($I126:$L126,"&lt;0")+COUNTA($I126:$L126)-COUNT($I126:$L126))&gt;0,"Avance fuera de rango 0-100%"&amp;" · ","")&amp;IF(OR(AND($J126&lt;&gt;"",$J126&lt;$I126),AND($K126&lt;&gt;"",$K126&lt;MAX($I126:$J126)),AND($L126&lt;&gt;"",$L126&lt;MAX($I126:$K126))),"Avance semanal decreciente"&amp;" · ","")&amp;IF(AND(ISNUMBER($AN126),$AN126&lt;FechaRef,IF($V126="Sub",N($X126),N($M126))&lt;1),"Vencida"&amp;" · ","")&amp;IF(AND(ObsObligatoria="Sí",ISNUMBER($AN126),$AN126&lt;FechaRef,IF($V126="Sub",N($X126),N($M126))&lt;1,$Q126=""),"Vencida sin observación"&amp;" · ",""))-3)))</f>
        <v/>
      </c>
      <c r="S126" s="64">
        <f>IF(NOT((COUNTA($B126:$D126)+COUNTA($G126:$L126)+COUNTA($Q126))&gt;0),"",IF(AND($V126="Sub",N($U126)&gt;0),IF(ISNUMBER(INDEX($AM$5:$AM$1000,$U126-4)),DATE(YEAR(INDEX($AM$5:$AM$1000,$U126-4)),MONTH(INDEX($AM$5:$AM$1000,$U126-4)),1),IF(ISNUMBER(INDEX($AN$5:$AN$1000,$U126-4)),DATE(YEAR(INDEX($AN$5:$AN$1000,$U126-4)),MONTH(INDEX($AN$5:$AN$1000,$U126-4)),1),MesCiclo)),IF(ISNUMBER($AM126),DATE(YEAR($AM126),MONTH($AM126),1),IF(ISNUMBER($AN126),DATE(YEAR($AN126),MONTH($AN126),1),MesCiclo))))</f>
        <v/>
      </c>
      <c r="T126" s="62">
        <f>IF(OR($S126="",$S126&lt;&gt;MesCiclo,$V126&lt;&gt;"Macro"),"",COUNTIFS($S$5:$S126,MesCiclo,$V$5:$V126,"Macro"))</f>
        <v/>
      </c>
      <c r="U126" s="62">
        <f>IF($V126="","",IF($V126="Macro",ROW(),IFERROR(LOOKUP(2,1/($V$5:$V126="Macro"),ROW($V$5:$V126)),0)))</f>
        <v/>
      </c>
      <c r="V126" s="62">
        <f>IF(NOT((COUNTA($B126:$D126)+COUNTA($G126:$L126)+COUNTA($Q126))&gt;0),"",IF($B126="Subactividad","Sub","Macro"))</f>
        <v/>
      </c>
      <c r="W126" s="62">
        <f>IF($V126="Macro",COUNTIFS($U$5:$U$1000,ROW(),$V$5:$V$1000,"Sub"),"")</f>
        <v/>
      </c>
      <c r="X126" s="62">
        <f>IF($V126="","",IF(ISNUMBER($G126),1,IFERROR(LOOKUP(2,1/($I126:$L126&lt;&gt;""),$I126:$L126),0)))</f>
        <v/>
      </c>
      <c r="Y126" s="62">
        <f>IF($V126="","",IF(AND(ISNUMBER($G126),$G126&lt;=IF($S126=MesCiclo,InicioCiclo,$S126+MOD(2-WEEKDAY($S126),7))+6),1,IF(ISNUMBER($I126),$I126,0)))</f>
        <v/>
      </c>
      <c r="Z126" s="62">
        <f>IF($V126="","",IF(AND(ISNUMBER($G126),$G126&lt;=IF($S126=MesCiclo,InicioCiclo,$S126+MOD(2-WEEKDAY($S126),7))+13),1,IF(ISNUMBER($J126),$J126,$Y126)))</f>
        <v/>
      </c>
      <c r="AA126" s="62">
        <f>IF($V126="","",IF(AND(ISNUMBER($G126),$G126&lt;=IF($S126=MesCiclo,InicioCiclo,$S126+MOD(2-WEEKDAY($S126),7))+20),1,IF(ISNUMBER($K126),$K126,$Z126)))</f>
        <v/>
      </c>
      <c r="AB126" s="62">
        <f>IF($V126="","",IF(AND(ISNUMBER($G126),$G126&lt;=IF($S126=MesCiclo,InicioCiclo,$S126+MOD(2-WEEKDAY($S126),7))+27),1,IF(ISNUMBER($L126),$L126,$AA126)))</f>
        <v/>
      </c>
      <c r="AC126" s="62">
        <f>IF($V126="","",IF(AND(ISNUMBER($G126),$G126&lt;=IF($S126=MesCiclo,InicioCiclo,$S126+MOD(2-WEEKDAY($S126),7))+6),1,IF(N($W126)&gt;0,AVERAGEIFS($Y$5:$Y$1000,$U$5:$U$1000,ROW(),$V$5:$V$1000,"Sub"),$Y126)))</f>
        <v/>
      </c>
      <c r="AD126" s="62">
        <f>IF($V126="","",IF(AND(ISNUMBER($G126),$G126&lt;=IF($S126=MesCiclo,InicioCiclo,$S126+MOD(2-WEEKDAY($S126),7))+13),1,IF(N($W126)&gt;0,AVERAGEIFS($Z$5:$Z$1000,$U$5:$U$1000,ROW(),$V$5:$V$1000,"Sub"),$Z126)))</f>
        <v/>
      </c>
      <c r="AE126" s="62">
        <f>IF($V126="","",IF(AND(ISNUMBER($G126),$G126&lt;=IF($S126=MesCiclo,InicioCiclo,$S126+MOD(2-WEEKDAY($S126),7))+20),1,IF(N($W126)&gt;0,AVERAGEIFS($AA$5:$AA$1000,$U$5:$U$1000,ROW(),$V$5:$V$1000,"Sub"),$AA126)))</f>
        <v/>
      </c>
      <c r="AF126" s="62">
        <f>IF($V126="","",IF(AND(ISNUMBER($G126),$G126&lt;=IF($S126=MesCiclo,InicioCiclo,$S126+MOD(2-WEEKDAY($S126),7))+27),1,IF(N($W126)&gt;0,AVERAGEIFS($AB$5:$AB$1000,$U$5:$U$1000,ROW(),$V$5:$V$1000,"Sub"),$AB126)))</f>
        <v/>
      </c>
      <c r="AG126" s="62">
        <f>IF($V126&lt;&gt;"Macro","",IF(COUNTIFS($S$5:$S$1000,$S126,$V$5:$V$1000,"Macro",$H$5:$H$1000,"&gt;0")=0,1/COUNTIFS($S$5:$S$1000,$S126,$V$5:$V$1000,"Macro"),IF(AND(ISNUMBER($H126),N($H126)&gt;0),$H126,SUMIFS($H$5:$H$1000,$S$5:$S$1000,$S126,$V$5:$V$1000,"Macro")/COUNTIFS($S$5:$S$1000,$S126,$V$5:$V$1000,"Macro",$H$5:$H$1000,"&gt;0"))/(COUNTIFS($S$5:$S$1000,$S126,$V$5:$V$1000,"Macro")*SUMIFS($H$5:$H$1000,$S$5:$S$1000,$S126,$V$5:$V$1000,"Macro")/COUNTIFS($S$5:$S$1000,$S126,$V$5:$V$1000,"Macro",$H$5:$H$1000,"&gt;0"))))</f>
        <v/>
      </c>
      <c r="AH126" s="62" t="n"/>
      <c r="AI126" s="62" t="n"/>
      <c r="AJ126" s="62" t="n"/>
      <c r="AK126" s="62" t="n"/>
      <c r="AL126" s="62">
        <f>IF(LEFT($C126,11)="[Jefatura] ",IFERROR(MATCH("Riesgo Operacional|"&amp;MID($C126,12,500),rDname_ADM,0),0),"")</f>
        <v/>
      </c>
      <c r="AM126" s="62">
        <f>IF(N($AL126)&gt;0,INDEX(rIni_ADM,$AL126),IF(ISNUMBER($E126),$E126,""))</f>
        <v/>
      </c>
      <c r="AN126" s="62">
        <f>IF(N($AL126)&gt;0,INDEX(rLim_ADM,$AL126),IF(ISNUMBER($F126),$F126,""))</f>
        <v/>
      </c>
    </row>
    <row r="127">
      <c r="A127" s="56">
        <f>IF(NOT((COUNTA($B127:$D127)+COUNTA($G127:$L127)+COUNTA($Q127))&gt;0),"",IF($V127="Macro",COUNTIFS($V$5:$V127,"Macro",$S$5:$S127,$S127),IF(N($U127)=0,"?",COUNTIFS(INDEX($V$5:$V$1000,1):INDEX($V$5:$V$1000,$U127-4),"Macro",INDEX($S$5:$S$1000,1):INDEX($S$5:$S$1000,$U127-4),INDEX($S$5:$S$1000,$U127-4))&amp;"."&amp;COUNTIFS($U$5:$U127,$U127,$V$5:$V127,"Sub"))))</f>
        <v/>
      </c>
      <c r="B127" s="57" t="n"/>
      <c r="C127" s="58" t="n"/>
      <c r="D127" s="58" t="n"/>
      <c r="E127" s="59">
        <f>IF(N($AL127)&gt;0,INDEX(rIni_ADM,$AL127),"")</f>
        <v/>
      </c>
      <c r="F127" s="59">
        <f>IF(N($AL127)&gt;0,INDEX(rLim_ADM,$AL127),"")</f>
        <v/>
      </c>
      <c r="G127" s="59" t="n"/>
      <c r="H127" s="60" t="n"/>
      <c r="I127" s="60" t="n"/>
      <c r="J127" s="60" t="n"/>
      <c r="K127" s="60" t="n"/>
      <c r="L127" s="60" t="n"/>
      <c r="M127" s="61">
        <f>IF(NOT((COUNTA($B127:$D127)+COUNTA($G127:$L127)+COUNTA($Q127))&gt;0),"",IF($V127="Sub",IFERROR($X127/INDEX($W$5:$W$1000,$U127-4),""),IF(ISNUMBER($G127),1,IF(N($W127)&gt;0,AVERAGEIFS($X$5:$X$1000,$U$5:$U$1000,ROW(),$V$5:$V$1000,"Sub"),$X127))))</f>
        <v/>
      </c>
      <c r="N127" s="56">
        <f>IF(OR($M127="",$V127="Sub"),"",IF($M127&gt;=1,"Completado",IF($M127&gt;0,"En curso","Pendiente")))</f>
        <v/>
      </c>
      <c r="O127" s="56">
        <f>IF(OR(NOT((COUNTA($B127:$D127)+COUNTA($G127:$L127)+COUNTA($Q127))&gt;0),$V127="Sub"),"",IF(ISNUMBER($G127),IF(AND(ISNUMBER($AN127),$G127&gt;$AN127),"Cumplida con "&amp;($G127-$AN127)&amp;IF($G127-$AN127=1," día"," días")&amp;" de retraso","Cumplida"),IF(N($M127)&gt;=1,"Cumplida",IF(NOT(ISNUMBER($AN127)),"Sin fecha límite",IF($AN127&lt;FechaRef,"Vencida hace "&amp;(FechaRef-$AN127)&amp;IF(FechaRef-$AN127=1," día"," días"),IF($AN127=FechaRef,"Vence hoy",IF($AN127-FechaRef&lt;=DiasAlerta,"Vence en "&amp;($AN127-FechaRef)&amp;IF($AN127-FechaRef=1," día"," días"),"En plazo")))))))</f>
        <v/>
      </c>
      <c r="P127" s="62" t="n"/>
      <c r="Q127" s="58" t="n"/>
      <c r="R127" s="63">
        <f>IF(NOT((COUNTA($B127:$D127)+COUNTA($G127:$L127)+COUNTA($Q127))&gt;0),"",IF((IF($C127="","Falta el nombre de la actividad"&amp;" · ","")&amp;IF(AND($V127="Sub",N($U127)=0),"Subactividad sin macroactividad arriba"&amp;" · ","")&amp;IF($AM127="","Sin fecha de inicio"&amp;" · ","")&amp;IF($AN127="","Sin fecha límite"&amp;" · ","")&amp;IF(AND(LEFT($C127,11)="[Jefatura] ",N($AL127)=0),"No se encuentra en la hoja de la jefatura (elíjala de nuevo en la lista)"&amp;" · ","")&amp;IF(OR(AND($E127&lt;&gt;"",NOT(ISNUMBER($E127))),AND($F127&lt;&gt;"",NOT(ISNUMBER($F127))),AND($G127&lt;&gt;"",NOT(ISNUMBER($G127)))),"Fecha no válida"&amp;" · ","")&amp;IF(AND(ISNUMBER($AM127),ISNUMBER($AN127),$AM127&gt;$AN127),"Inicio posterior a fecha límite"&amp;" · ","")&amp;IF(AND($V127="Macro",$H127&lt;&gt;"",OR(NOT(ISNUMBER($H127)),$H127&lt;0,$H127&gt;1)),"Peso fuera de rango"&amp;" · ","")&amp;IF(AND($V127="Sub",$H127&lt;&gt;""),"Las subactividades no llevan peso (valen igual dentro de su macroactividad)"&amp;" · ","")&amp;IF(AND(N($W127)&gt;0,COUNT($I127:$L127)&gt;0),"Con subactividades: deje vacías las semanas (se calculan solas)"&amp;" · ","")&amp;IF((COUNTIF($I127:$L127,"&gt;1")+COUNTIF($I127:$L127,"&lt;0")+COUNTA($I127:$L127)-COUNT($I127:$L127))&gt;0,"Avance fuera de rango 0-100%"&amp;" · ","")&amp;IF(OR(AND($J127&lt;&gt;"",$J127&lt;$I127),AND($K127&lt;&gt;"",$K127&lt;MAX($I127:$J127)),AND($L127&lt;&gt;"",$L127&lt;MAX($I127:$K127))),"Avance semanal decreciente"&amp;" · ","")&amp;IF(AND(ISNUMBER($AN127),$AN127&lt;FechaRef,IF($V127="Sub",N($X127),N($M127))&lt;1),"Vencida"&amp;" · ","")&amp;IF(AND(ObsObligatoria="Sí",ISNUMBER($AN127),$AN127&lt;FechaRef,IF($V127="Sub",N($X127),N($M127))&lt;1,$Q127=""),"Vencida sin observación"&amp;" · ",""))="","✔ OK","⚠ "&amp;LEFT(IF($C127="","Falta el nombre de la actividad"&amp;" · ","")&amp;IF(AND($V127="Sub",N($U127)=0),"Subactividad sin macroactividad arriba"&amp;" · ","")&amp;IF($AM127="","Sin fecha de inicio"&amp;" · ","")&amp;IF($AN127="","Sin fecha límite"&amp;" · ","")&amp;IF(AND(LEFT($C127,11)="[Jefatura] ",N($AL127)=0),"No se encuentra en la hoja de la jefatura (elíjala de nuevo en la lista)"&amp;" · ","")&amp;IF(OR(AND($E127&lt;&gt;"",NOT(ISNUMBER($E127))),AND($F127&lt;&gt;"",NOT(ISNUMBER($F127))),AND($G127&lt;&gt;"",NOT(ISNUMBER($G127)))),"Fecha no válida"&amp;" · ","")&amp;IF(AND(ISNUMBER($AM127),ISNUMBER($AN127),$AM127&gt;$AN127),"Inicio posterior a fecha límite"&amp;" · ","")&amp;IF(AND($V127="Macro",$H127&lt;&gt;"",OR(NOT(ISNUMBER($H127)),$H127&lt;0,$H127&gt;1)),"Peso fuera de rango"&amp;" · ","")&amp;IF(AND($V127="Sub",$H127&lt;&gt;""),"Las subactividades no llevan peso (valen igual dentro de su macroactividad)"&amp;" · ","")&amp;IF(AND(N($W127)&gt;0,COUNT($I127:$L127)&gt;0),"Con subactividades: deje vacías las semanas (se calculan solas)"&amp;" · ","")&amp;IF((COUNTIF($I127:$L127,"&gt;1")+COUNTIF($I127:$L127,"&lt;0")+COUNTA($I127:$L127)-COUNT($I127:$L127))&gt;0,"Avance fuera de rango 0-100%"&amp;" · ","")&amp;IF(OR(AND($J127&lt;&gt;"",$J127&lt;$I127),AND($K127&lt;&gt;"",$K127&lt;MAX($I127:$J127)),AND($L127&lt;&gt;"",$L127&lt;MAX($I127:$K127))),"Avance semanal decreciente"&amp;" · ","")&amp;IF(AND(ISNUMBER($AN127),$AN127&lt;FechaRef,IF($V127="Sub",N($X127),N($M127))&lt;1),"Vencida"&amp;" · ","")&amp;IF(AND(ObsObligatoria="Sí",ISNUMBER($AN127),$AN127&lt;FechaRef,IF($V127="Sub",N($X127),N($M127))&lt;1,$Q127=""),"Vencida sin observación"&amp;" · ",""),LEN(IF($C127="","Falta el nombre de la actividad"&amp;" · ","")&amp;IF(AND($V127="Sub",N($U127)=0),"Subactividad sin macroactividad arriba"&amp;" · ","")&amp;IF($AM127="","Sin fecha de inicio"&amp;" · ","")&amp;IF($AN127="","Sin fecha límite"&amp;" · ","")&amp;IF(AND(LEFT($C127,11)="[Jefatura] ",N($AL127)=0),"No se encuentra en la hoja de la jefatura (elíjala de nuevo en la lista)"&amp;" · ","")&amp;IF(OR(AND($E127&lt;&gt;"",NOT(ISNUMBER($E127))),AND($F127&lt;&gt;"",NOT(ISNUMBER($F127))),AND($G127&lt;&gt;"",NOT(ISNUMBER($G127)))),"Fecha no válida"&amp;" · ","")&amp;IF(AND(ISNUMBER($AM127),ISNUMBER($AN127),$AM127&gt;$AN127),"Inicio posterior a fecha límite"&amp;" · ","")&amp;IF(AND($V127="Macro",$H127&lt;&gt;"",OR(NOT(ISNUMBER($H127)),$H127&lt;0,$H127&gt;1)),"Peso fuera de rango"&amp;" · ","")&amp;IF(AND($V127="Sub",$H127&lt;&gt;""),"Las subactividades no llevan peso (valen igual dentro de su macroactividad)"&amp;" · ","")&amp;IF(AND(N($W127)&gt;0,COUNT($I127:$L127)&gt;0),"Con subactividades: deje vacías las semanas (se calculan solas)"&amp;" · ","")&amp;IF((COUNTIF($I127:$L127,"&gt;1")+COUNTIF($I127:$L127,"&lt;0")+COUNTA($I127:$L127)-COUNT($I127:$L127))&gt;0,"Avance fuera de rango 0-100%"&amp;" · ","")&amp;IF(OR(AND($J127&lt;&gt;"",$J127&lt;$I127),AND($K127&lt;&gt;"",$K127&lt;MAX($I127:$J127)),AND($L127&lt;&gt;"",$L127&lt;MAX($I127:$K127))),"Avance semanal decreciente"&amp;" · ","")&amp;IF(AND(ISNUMBER($AN127),$AN127&lt;FechaRef,IF($V127="Sub",N($X127),N($M127))&lt;1),"Vencida"&amp;" · ","")&amp;IF(AND(ObsObligatoria="Sí",ISNUMBER($AN127),$AN127&lt;FechaRef,IF($V127="Sub",N($X127),N($M127))&lt;1,$Q127=""),"Vencida sin observación"&amp;" · ",""))-3)))</f>
        <v/>
      </c>
      <c r="S127" s="64">
        <f>IF(NOT((COUNTA($B127:$D127)+COUNTA($G127:$L127)+COUNTA($Q127))&gt;0),"",IF(AND($V127="Sub",N($U127)&gt;0),IF(ISNUMBER(INDEX($AM$5:$AM$1000,$U127-4)),DATE(YEAR(INDEX($AM$5:$AM$1000,$U127-4)),MONTH(INDEX($AM$5:$AM$1000,$U127-4)),1),IF(ISNUMBER(INDEX($AN$5:$AN$1000,$U127-4)),DATE(YEAR(INDEX($AN$5:$AN$1000,$U127-4)),MONTH(INDEX($AN$5:$AN$1000,$U127-4)),1),MesCiclo)),IF(ISNUMBER($AM127),DATE(YEAR($AM127),MONTH($AM127),1),IF(ISNUMBER($AN127),DATE(YEAR($AN127),MONTH($AN127),1),MesCiclo))))</f>
        <v/>
      </c>
      <c r="T127" s="62">
        <f>IF(OR($S127="",$S127&lt;&gt;MesCiclo,$V127&lt;&gt;"Macro"),"",COUNTIFS($S$5:$S127,MesCiclo,$V$5:$V127,"Macro"))</f>
        <v/>
      </c>
      <c r="U127" s="62">
        <f>IF($V127="","",IF($V127="Macro",ROW(),IFERROR(LOOKUP(2,1/($V$5:$V127="Macro"),ROW($V$5:$V127)),0)))</f>
        <v/>
      </c>
      <c r="V127" s="62">
        <f>IF(NOT((COUNTA($B127:$D127)+COUNTA($G127:$L127)+COUNTA($Q127))&gt;0),"",IF($B127="Subactividad","Sub","Macro"))</f>
        <v/>
      </c>
      <c r="W127" s="62">
        <f>IF($V127="Macro",COUNTIFS($U$5:$U$1000,ROW(),$V$5:$V$1000,"Sub"),"")</f>
        <v/>
      </c>
      <c r="X127" s="62">
        <f>IF($V127="","",IF(ISNUMBER($G127),1,IFERROR(LOOKUP(2,1/($I127:$L127&lt;&gt;""),$I127:$L127),0)))</f>
        <v/>
      </c>
      <c r="Y127" s="62">
        <f>IF($V127="","",IF(AND(ISNUMBER($G127),$G127&lt;=IF($S127=MesCiclo,InicioCiclo,$S127+MOD(2-WEEKDAY($S127),7))+6),1,IF(ISNUMBER($I127),$I127,0)))</f>
        <v/>
      </c>
      <c r="Z127" s="62">
        <f>IF($V127="","",IF(AND(ISNUMBER($G127),$G127&lt;=IF($S127=MesCiclo,InicioCiclo,$S127+MOD(2-WEEKDAY($S127),7))+13),1,IF(ISNUMBER($J127),$J127,$Y127)))</f>
        <v/>
      </c>
      <c r="AA127" s="62">
        <f>IF($V127="","",IF(AND(ISNUMBER($G127),$G127&lt;=IF($S127=MesCiclo,InicioCiclo,$S127+MOD(2-WEEKDAY($S127),7))+20),1,IF(ISNUMBER($K127),$K127,$Z127)))</f>
        <v/>
      </c>
      <c r="AB127" s="62">
        <f>IF($V127="","",IF(AND(ISNUMBER($G127),$G127&lt;=IF($S127=MesCiclo,InicioCiclo,$S127+MOD(2-WEEKDAY($S127),7))+27),1,IF(ISNUMBER($L127),$L127,$AA127)))</f>
        <v/>
      </c>
      <c r="AC127" s="62">
        <f>IF($V127="","",IF(AND(ISNUMBER($G127),$G127&lt;=IF($S127=MesCiclo,InicioCiclo,$S127+MOD(2-WEEKDAY($S127),7))+6),1,IF(N($W127)&gt;0,AVERAGEIFS($Y$5:$Y$1000,$U$5:$U$1000,ROW(),$V$5:$V$1000,"Sub"),$Y127)))</f>
        <v/>
      </c>
      <c r="AD127" s="62">
        <f>IF($V127="","",IF(AND(ISNUMBER($G127),$G127&lt;=IF($S127=MesCiclo,InicioCiclo,$S127+MOD(2-WEEKDAY($S127),7))+13),1,IF(N($W127)&gt;0,AVERAGEIFS($Z$5:$Z$1000,$U$5:$U$1000,ROW(),$V$5:$V$1000,"Sub"),$Z127)))</f>
        <v/>
      </c>
      <c r="AE127" s="62">
        <f>IF($V127="","",IF(AND(ISNUMBER($G127),$G127&lt;=IF($S127=MesCiclo,InicioCiclo,$S127+MOD(2-WEEKDAY($S127),7))+20),1,IF(N($W127)&gt;0,AVERAGEIFS($AA$5:$AA$1000,$U$5:$U$1000,ROW(),$V$5:$V$1000,"Sub"),$AA127)))</f>
        <v/>
      </c>
      <c r="AF127" s="62">
        <f>IF($V127="","",IF(AND(ISNUMBER($G127),$G127&lt;=IF($S127=MesCiclo,InicioCiclo,$S127+MOD(2-WEEKDAY($S127),7))+27),1,IF(N($W127)&gt;0,AVERAGEIFS($AB$5:$AB$1000,$U$5:$U$1000,ROW(),$V$5:$V$1000,"Sub"),$AB127)))</f>
        <v/>
      </c>
      <c r="AG127" s="62">
        <f>IF($V127&lt;&gt;"Macro","",IF(COUNTIFS($S$5:$S$1000,$S127,$V$5:$V$1000,"Macro",$H$5:$H$1000,"&gt;0")=0,1/COUNTIFS($S$5:$S$1000,$S127,$V$5:$V$1000,"Macro"),IF(AND(ISNUMBER($H127),N($H127)&gt;0),$H127,SUMIFS($H$5:$H$1000,$S$5:$S$1000,$S127,$V$5:$V$1000,"Macro")/COUNTIFS($S$5:$S$1000,$S127,$V$5:$V$1000,"Macro",$H$5:$H$1000,"&gt;0"))/(COUNTIFS($S$5:$S$1000,$S127,$V$5:$V$1000,"Macro")*SUMIFS($H$5:$H$1000,$S$5:$S$1000,$S127,$V$5:$V$1000,"Macro")/COUNTIFS($S$5:$S$1000,$S127,$V$5:$V$1000,"Macro",$H$5:$H$1000,"&gt;0"))))</f>
        <v/>
      </c>
      <c r="AH127" s="62" t="n"/>
      <c r="AI127" s="62" t="n"/>
      <c r="AJ127" s="62" t="n"/>
      <c r="AK127" s="62" t="n"/>
      <c r="AL127" s="62">
        <f>IF(LEFT($C127,11)="[Jefatura] ",IFERROR(MATCH("Riesgo Operacional|"&amp;MID($C127,12,500),rDname_ADM,0),0),"")</f>
        <v/>
      </c>
      <c r="AM127" s="62">
        <f>IF(N($AL127)&gt;0,INDEX(rIni_ADM,$AL127),IF(ISNUMBER($E127),$E127,""))</f>
        <v/>
      </c>
      <c r="AN127" s="62">
        <f>IF(N($AL127)&gt;0,INDEX(rLim_ADM,$AL127),IF(ISNUMBER($F127),$F127,""))</f>
        <v/>
      </c>
    </row>
    <row r="128">
      <c r="A128" s="56">
        <f>IF(NOT((COUNTA($B128:$D128)+COUNTA($G128:$L128)+COUNTA($Q128))&gt;0),"",IF($V128="Macro",COUNTIFS($V$5:$V128,"Macro",$S$5:$S128,$S128),IF(N($U128)=0,"?",COUNTIFS(INDEX($V$5:$V$1000,1):INDEX($V$5:$V$1000,$U128-4),"Macro",INDEX($S$5:$S$1000,1):INDEX($S$5:$S$1000,$U128-4),INDEX($S$5:$S$1000,$U128-4))&amp;"."&amp;COUNTIFS($U$5:$U128,$U128,$V$5:$V128,"Sub"))))</f>
        <v/>
      </c>
      <c r="B128" s="57" t="n"/>
      <c r="C128" s="58" t="n"/>
      <c r="D128" s="58" t="n"/>
      <c r="E128" s="59">
        <f>IF(N($AL128)&gt;0,INDEX(rIni_ADM,$AL128),"")</f>
        <v/>
      </c>
      <c r="F128" s="59">
        <f>IF(N($AL128)&gt;0,INDEX(rLim_ADM,$AL128),"")</f>
        <v/>
      </c>
      <c r="G128" s="59" t="n"/>
      <c r="H128" s="60" t="n"/>
      <c r="I128" s="60" t="n"/>
      <c r="J128" s="60" t="n"/>
      <c r="K128" s="60" t="n"/>
      <c r="L128" s="60" t="n"/>
      <c r="M128" s="61">
        <f>IF(NOT((COUNTA($B128:$D128)+COUNTA($G128:$L128)+COUNTA($Q128))&gt;0),"",IF($V128="Sub",IFERROR($X128/INDEX($W$5:$W$1000,$U128-4),""),IF(ISNUMBER($G128),1,IF(N($W128)&gt;0,AVERAGEIFS($X$5:$X$1000,$U$5:$U$1000,ROW(),$V$5:$V$1000,"Sub"),$X128))))</f>
        <v/>
      </c>
      <c r="N128" s="56">
        <f>IF(OR($M128="",$V128="Sub"),"",IF($M128&gt;=1,"Completado",IF($M128&gt;0,"En curso","Pendiente")))</f>
        <v/>
      </c>
      <c r="O128" s="56">
        <f>IF(OR(NOT((COUNTA($B128:$D128)+COUNTA($G128:$L128)+COUNTA($Q128))&gt;0),$V128="Sub"),"",IF(ISNUMBER($G128),IF(AND(ISNUMBER($AN128),$G128&gt;$AN128),"Cumplida con "&amp;($G128-$AN128)&amp;IF($G128-$AN128=1," día"," días")&amp;" de retraso","Cumplida"),IF(N($M128)&gt;=1,"Cumplida",IF(NOT(ISNUMBER($AN128)),"Sin fecha límite",IF($AN128&lt;FechaRef,"Vencida hace "&amp;(FechaRef-$AN128)&amp;IF(FechaRef-$AN128=1," día"," días"),IF($AN128=FechaRef,"Vence hoy",IF($AN128-FechaRef&lt;=DiasAlerta,"Vence en "&amp;($AN128-FechaRef)&amp;IF($AN128-FechaRef=1," día"," días"),"En plazo")))))))</f>
        <v/>
      </c>
      <c r="P128" s="62" t="n"/>
      <c r="Q128" s="58" t="n"/>
      <c r="R128" s="63">
        <f>IF(NOT((COUNTA($B128:$D128)+COUNTA($G128:$L128)+COUNTA($Q128))&gt;0),"",IF((IF($C128="","Falta el nombre de la actividad"&amp;" · ","")&amp;IF(AND($V128="Sub",N($U128)=0),"Subactividad sin macroactividad arriba"&amp;" · ","")&amp;IF($AM128="","Sin fecha de inicio"&amp;" · ","")&amp;IF($AN128="","Sin fecha límite"&amp;" · ","")&amp;IF(AND(LEFT($C128,11)="[Jefatura] ",N($AL128)=0),"No se encuentra en la hoja de la jefatura (elíjala de nuevo en la lista)"&amp;" · ","")&amp;IF(OR(AND($E128&lt;&gt;"",NOT(ISNUMBER($E128))),AND($F128&lt;&gt;"",NOT(ISNUMBER($F128))),AND($G128&lt;&gt;"",NOT(ISNUMBER($G128)))),"Fecha no válida"&amp;" · ","")&amp;IF(AND(ISNUMBER($AM128),ISNUMBER($AN128),$AM128&gt;$AN128),"Inicio posterior a fecha límite"&amp;" · ","")&amp;IF(AND($V128="Macro",$H128&lt;&gt;"",OR(NOT(ISNUMBER($H128)),$H128&lt;0,$H128&gt;1)),"Peso fuera de rango"&amp;" · ","")&amp;IF(AND($V128="Sub",$H128&lt;&gt;""),"Las subactividades no llevan peso (valen igual dentro de su macroactividad)"&amp;" · ","")&amp;IF(AND(N($W128)&gt;0,COUNT($I128:$L128)&gt;0),"Con subactividades: deje vacías las semanas (se calculan solas)"&amp;" · ","")&amp;IF((COUNTIF($I128:$L128,"&gt;1")+COUNTIF($I128:$L128,"&lt;0")+COUNTA($I128:$L128)-COUNT($I128:$L128))&gt;0,"Avance fuera de rango 0-100%"&amp;" · ","")&amp;IF(OR(AND($J128&lt;&gt;"",$J128&lt;$I128),AND($K128&lt;&gt;"",$K128&lt;MAX($I128:$J128)),AND($L128&lt;&gt;"",$L128&lt;MAX($I128:$K128))),"Avance semanal decreciente"&amp;" · ","")&amp;IF(AND(ISNUMBER($AN128),$AN128&lt;FechaRef,IF($V128="Sub",N($X128),N($M128))&lt;1),"Vencida"&amp;" · ","")&amp;IF(AND(ObsObligatoria="Sí",ISNUMBER($AN128),$AN128&lt;FechaRef,IF($V128="Sub",N($X128),N($M128))&lt;1,$Q128=""),"Vencida sin observación"&amp;" · ",""))="","✔ OK","⚠ "&amp;LEFT(IF($C128="","Falta el nombre de la actividad"&amp;" · ","")&amp;IF(AND($V128="Sub",N($U128)=0),"Subactividad sin macroactividad arriba"&amp;" · ","")&amp;IF($AM128="","Sin fecha de inicio"&amp;" · ","")&amp;IF($AN128="","Sin fecha límite"&amp;" · ","")&amp;IF(AND(LEFT($C128,11)="[Jefatura] ",N($AL128)=0),"No se encuentra en la hoja de la jefatura (elíjala de nuevo en la lista)"&amp;" · ","")&amp;IF(OR(AND($E128&lt;&gt;"",NOT(ISNUMBER($E128))),AND($F128&lt;&gt;"",NOT(ISNUMBER($F128))),AND($G128&lt;&gt;"",NOT(ISNUMBER($G128)))),"Fecha no válida"&amp;" · ","")&amp;IF(AND(ISNUMBER($AM128),ISNUMBER($AN128),$AM128&gt;$AN128),"Inicio posterior a fecha límite"&amp;" · ","")&amp;IF(AND($V128="Macro",$H128&lt;&gt;"",OR(NOT(ISNUMBER($H128)),$H128&lt;0,$H128&gt;1)),"Peso fuera de rango"&amp;" · ","")&amp;IF(AND($V128="Sub",$H128&lt;&gt;""),"Las subactividades no llevan peso (valen igual dentro de su macroactividad)"&amp;" · ","")&amp;IF(AND(N($W128)&gt;0,COUNT($I128:$L128)&gt;0),"Con subactividades: deje vacías las semanas (se calculan solas)"&amp;" · ","")&amp;IF((COUNTIF($I128:$L128,"&gt;1")+COUNTIF($I128:$L128,"&lt;0")+COUNTA($I128:$L128)-COUNT($I128:$L128))&gt;0,"Avance fuera de rango 0-100%"&amp;" · ","")&amp;IF(OR(AND($J128&lt;&gt;"",$J128&lt;$I128),AND($K128&lt;&gt;"",$K128&lt;MAX($I128:$J128)),AND($L128&lt;&gt;"",$L128&lt;MAX($I128:$K128))),"Avance semanal decreciente"&amp;" · ","")&amp;IF(AND(ISNUMBER($AN128),$AN128&lt;FechaRef,IF($V128="Sub",N($X128),N($M128))&lt;1),"Vencida"&amp;" · ","")&amp;IF(AND(ObsObligatoria="Sí",ISNUMBER($AN128),$AN128&lt;FechaRef,IF($V128="Sub",N($X128),N($M128))&lt;1,$Q128=""),"Vencida sin observación"&amp;" · ",""),LEN(IF($C128="","Falta el nombre de la actividad"&amp;" · ","")&amp;IF(AND($V128="Sub",N($U128)=0),"Subactividad sin macroactividad arriba"&amp;" · ","")&amp;IF($AM128="","Sin fecha de inicio"&amp;" · ","")&amp;IF($AN128="","Sin fecha límite"&amp;" · ","")&amp;IF(AND(LEFT($C128,11)="[Jefatura] ",N($AL128)=0),"No se encuentra en la hoja de la jefatura (elíjala de nuevo en la lista)"&amp;" · ","")&amp;IF(OR(AND($E128&lt;&gt;"",NOT(ISNUMBER($E128))),AND($F128&lt;&gt;"",NOT(ISNUMBER($F128))),AND($G128&lt;&gt;"",NOT(ISNUMBER($G128)))),"Fecha no válida"&amp;" · ","")&amp;IF(AND(ISNUMBER($AM128),ISNUMBER($AN128),$AM128&gt;$AN128),"Inicio posterior a fecha límite"&amp;" · ","")&amp;IF(AND($V128="Macro",$H128&lt;&gt;"",OR(NOT(ISNUMBER($H128)),$H128&lt;0,$H128&gt;1)),"Peso fuera de rango"&amp;" · ","")&amp;IF(AND($V128="Sub",$H128&lt;&gt;""),"Las subactividades no llevan peso (valen igual dentro de su macroactividad)"&amp;" · ","")&amp;IF(AND(N($W128)&gt;0,COUNT($I128:$L128)&gt;0),"Con subactividades: deje vacías las semanas (se calculan solas)"&amp;" · ","")&amp;IF((COUNTIF($I128:$L128,"&gt;1")+COUNTIF($I128:$L128,"&lt;0")+COUNTA($I128:$L128)-COUNT($I128:$L128))&gt;0,"Avance fuera de rango 0-100%"&amp;" · ","")&amp;IF(OR(AND($J128&lt;&gt;"",$J128&lt;$I128),AND($K128&lt;&gt;"",$K128&lt;MAX($I128:$J128)),AND($L128&lt;&gt;"",$L128&lt;MAX($I128:$K128))),"Avance semanal decreciente"&amp;" · ","")&amp;IF(AND(ISNUMBER($AN128),$AN128&lt;FechaRef,IF($V128="Sub",N($X128),N($M128))&lt;1),"Vencida"&amp;" · ","")&amp;IF(AND(ObsObligatoria="Sí",ISNUMBER($AN128),$AN128&lt;FechaRef,IF($V128="Sub",N($X128),N($M128))&lt;1,$Q128=""),"Vencida sin observación"&amp;" · ",""))-3)))</f>
        <v/>
      </c>
      <c r="S128" s="64">
        <f>IF(NOT((COUNTA($B128:$D128)+COUNTA($G128:$L128)+COUNTA($Q128))&gt;0),"",IF(AND($V128="Sub",N($U128)&gt;0),IF(ISNUMBER(INDEX($AM$5:$AM$1000,$U128-4)),DATE(YEAR(INDEX($AM$5:$AM$1000,$U128-4)),MONTH(INDEX($AM$5:$AM$1000,$U128-4)),1),IF(ISNUMBER(INDEX($AN$5:$AN$1000,$U128-4)),DATE(YEAR(INDEX($AN$5:$AN$1000,$U128-4)),MONTH(INDEX($AN$5:$AN$1000,$U128-4)),1),MesCiclo)),IF(ISNUMBER($AM128),DATE(YEAR($AM128),MONTH($AM128),1),IF(ISNUMBER($AN128),DATE(YEAR($AN128),MONTH($AN128),1),MesCiclo))))</f>
        <v/>
      </c>
      <c r="T128" s="62">
        <f>IF(OR($S128="",$S128&lt;&gt;MesCiclo,$V128&lt;&gt;"Macro"),"",COUNTIFS($S$5:$S128,MesCiclo,$V$5:$V128,"Macro"))</f>
        <v/>
      </c>
      <c r="U128" s="62">
        <f>IF($V128="","",IF($V128="Macro",ROW(),IFERROR(LOOKUP(2,1/($V$5:$V128="Macro"),ROW($V$5:$V128)),0)))</f>
        <v/>
      </c>
      <c r="V128" s="62">
        <f>IF(NOT((COUNTA($B128:$D128)+COUNTA($G128:$L128)+COUNTA($Q128))&gt;0),"",IF($B128="Subactividad","Sub","Macro"))</f>
        <v/>
      </c>
      <c r="W128" s="62">
        <f>IF($V128="Macro",COUNTIFS($U$5:$U$1000,ROW(),$V$5:$V$1000,"Sub"),"")</f>
        <v/>
      </c>
      <c r="X128" s="62">
        <f>IF($V128="","",IF(ISNUMBER($G128),1,IFERROR(LOOKUP(2,1/($I128:$L128&lt;&gt;""),$I128:$L128),0)))</f>
        <v/>
      </c>
      <c r="Y128" s="62">
        <f>IF($V128="","",IF(AND(ISNUMBER($G128),$G128&lt;=IF($S128=MesCiclo,InicioCiclo,$S128+MOD(2-WEEKDAY($S128),7))+6),1,IF(ISNUMBER($I128),$I128,0)))</f>
        <v/>
      </c>
      <c r="Z128" s="62">
        <f>IF($V128="","",IF(AND(ISNUMBER($G128),$G128&lt;=IF($S128=MesCiclo,InicioCiclo,$S128+MOD(2-WEEKDAY($S128),7))+13),1,IF(ISNUMBER($J128),$J128,$Y128)))</f>
        <v/>
      </c>
      <c r="AA128" s="62">
        <f>IF($V128="","",IF(AND(ISNUMBER($G128),$G128&lt;=IF($S128=MesCiclo,InicioCiclo,$S128+MOD(2-WEEKDAY($S128),7))+20),1,IF(ISNUMBER($K128),$K128,$Z128)))</f>
        <v/>
      </c>
      <c r="AB128" s="62">
        <f>IF($V128="","",IF(AND(ISNUMBER($G128),$G128&lt;=IF($S128=MesCiclo,InicioCiclo,$S128+MOD(2-WEEKDAY($S128),7))+27),1,IF(ISNUMBER($L128),$L128,$AA128)))</f>
        <v/>
      </c>
      <c r="AC128" s="62">
        <f>IF($V128="","",IF(AND(ISNUMBER($G128),$G128&lt;=IF($S128=MesCiclo,InicioCiclo,$S128+MOD(2-WEEKDAY($S128),7))+6),1,IF(N($W128)&gt;0,AVERAGEIFS($Y$5:$Y$1000,$U$5:$U$1000,ROW(),$V$5:$V$1000,"Sub"),$Y128)))</f>
        <v/>
      </c>
      <c r="AD128" s="62">
        <f>IF($V128="","",IF(AND(ISNUMBER($G128),$G128&lt;=IF($S128=MesCiclo,InicioCiclo,$S128+MOD(2-WEEKDAY($S128),7))+13),1,IF(N($W128)&gt;0,AVERAGEIFS($Z$5:$Z$1000,$U$5:$U$1000,ROW(),$V$5:$V$1000,"Sub"),$Z128)))</f>
        <v/>
      </c>
      <c r="AE128" s="62">
        <f>IF($V128="","",IF(AND(ISNUMBER($G128),$G128&lt;=IF($S128=MesCiclo,InicioCiclo,$S128+MOD(2-WEEKDAY($S128),7))+20),1,IF(N($W128)&gt;0,AVERAGEIFS($AA$5:$AA$1000,$U$5:$U$1000,ROW(),$V$5:$V$1000,"Sub"),$AA128)))</f>
        <v/>
      </c>
      <c r="AF128" s="62">
        <f>IF($V128="","",IF(AND(ISNUMBER($G128),$G128&lt;=IF($S128=MesCiclo,InicioCiclo,$S128+MOD(2-WEEKDAY($S128),7))+27),1,IF(N($W128)&gt;0,AVERAGEIFS($AB$5:$AB$1000,$U$5:$U$1000,ROW(),$V$5:$V$1000,"Sub"),$AB128)))</f>
        <v/>
      </c>
      <c r="AG128" s="62">
        <f>IF($V128&lt;&gt;"Macro","",IF(COUNTIFS($S$5:$S$1000,$S128,$V$5:$V$1000,"Macro",$H$5:$H$1000,"&gt;0")=0,1/COUNTIFS($S$5:$S$1000,$S128,$V$5:$V$1000,"Macro"),IF(AND(ISNUMBER($H128),N($H128)&gt;0),$H128,SUMIFS($H$5:$H$1000,$S$5:$S$1000,$S128,$V$5:$V$1000,"Macro")/COUNTIFS($S$5:$S$1000,$S128,$V$5:$V$1000,"Macro",$H$5:$H$1000,"&gt;0"))/(COUNTIFS($S$5:$S$1000,$S128,$V$5:$V$1000,"Macro")*SUMIFS($H$5:$H$1000,$S$5:$S$1000,$S128,$V$5:$V$1000,"Macro")/COUNTIFS($S$5:$S$1000,$S128,$V$5:$V$1000,"Macro",$H$5:$H$1000,"&gt;0"))))</f>
        <v/>
      </c>
      <c r="AH128" s="62" t="n"/>
      <c r="AI128" s="62" t="n"/>
      <c r="AJ128" s="62" t="n"/>
      <c r="AK128" s="62" t="n"/>
      <c r="AL128" s="62">
        <f>IF(LEFT($C128,11)="[Jefatura] ",IFERROR(MATCH("Riesgo Operacional|"&amp;MID($C128,12,500),rDname_ADM,0),0),"")</f>
        <v/>
      </c>
      <c r="AM128" s="62">
        <f>IF(N($AL128)&gt;0,INDEX(rIni_ADM,$AL128),IF(ISNUMBER($E128),$E128,""))</f>
        <v/>
      </c>
      <c r="AN128" s="62">
        <f>IF(N($AL128)&gt;0,INDEX(rLim_ADM,$AL128),IF(ISNUMBER($F128),$F128,""))</f>
        <v/>
      </c>
    </row>
    <row r="129">
      <c r="A129" s="56">
        <f>IF(NOT((COUNTA($B129:$D129)+COUNTA($G129:$L129)+COUNTA($Q129))&gt;0),"",IF($V129="Macro",COUNTIFS($V$5:$V129,"Macro",$S$5:$S129,$S129),IF(N($U129)=0,"?",COUNTIFS(INDEX($V$5:$V$1000,1):INDEX($V$5:$V$1000,$U129-4),"Macro",INDEX($S$5:$S$1000,1):INDEX($S$5:$S$1000,$U129-4),INDEX($S$5:$S$1000,$U129-4))&amp;"."&amp;COUNTIFS($U$5:$U129,$U129,$V$5:$V129,"Sub"))))</f>
        <v/>
      </c>
      <c r="B129" s="57" t="n"/>
      <c r="C129" s="58" t="n"/>
      <c r="D129" s="58" t="n"/>
      <c r="E129" s="59">
        <f>IF(N($AL129)&gt;0,INDEX(rIni_ADM,$AL129),"")</f>
        <v/>
      </c>
      <c r="F129" s="59">
        <f>IF(N($AL129)&gt;0,INDEX(rLim_ADM,$AL129),"")</f>
        <v/>
      </c>
      <c r="G129" s="59" t="n"/>
      <c r="H129" s="60" t="n"/>
      <c r="I129" s="60" t="n"/>
      <c r="J129" s="60" t="n"/>
      <c r="K129" s="60" t="n"/>
      <c r="L129" s="60" t="n"/>
      <c r="M129" s="61">
        <f>IF(NOT((COUNTA($B129:$D129)+COUNTA($G129:$L129)+COUNTA($Q129))&gt;0),"",IF($V129="Sub",IFERROR($X129/INDEX($W$5:$W$1000,$U129-4),""),IF(ISNUMBER($G129),1,IF(N($W129)&gt;0,AVERAGEIFS($X$5:$X$1000,$U$5:$U$1000,ROW(),$V$5:$V$1000,"Sub"),$X129))))</f>
        <v/>
      </c>
      <c r="N129" s="56">
        <f>IF(OR($M129="",$V129="Sub"),"",IF($M129&gt;=1,"Completado",IF($M129&gt;0,"En curso","Pendiente")))</f>
        <v/>
      </c>
      <c r="O129" s="56">
        <f>IF(OR(NOT((COUNTA($B129:$D129)+COUNTA($G129:$L129)+COUNTA($Q129))&gt;0),$V129="Sub"),"",IF(ISNUMBER($G129),IF(AND(ISNUMBER($AN129),$G129&gt;$AN129),"Cumplida con "&amp;($G129-$AN129)&amp;IF($G129-$AN129=1," día"," días")&amp;" de retraso","Cumplida"),IF(N($M129)&gt;=1,"Cumplida",IF(NOT(ISNUMBER($AN129)),"Sin fecha límite",IF($AN129&lt;FechaRef,"Vencida hace "&amp;(FechaRef-$AN129)&amp;IF(FechaRef-$AN129=1," día"," días"),IF($AN129=FechaRef,"Vence hoy",IF($AN129-FechaRef&lt;=DiasAlerta,"Vence en "&amp;($AN129-FechaRef)&amp;IF($AN129-FechaRef=1," día"," días"),"En plazo")))))))</f>
        <v/>
      </c>
      <c r="P129" s="62" t="n"/>
      <c r="Q129" s="58" t="n"/>
      <c r="R129" s="63">
        <f>IF(NOT((COUNTA($B129:$D129)+COUNTA($G129:$L129)+COUNTA($Q129))&gt;0),"",IF((IF($C129="","Falta el nombre de la actividad"&amp;" · ","")&amp;IF(AND($V129="Sub",N($U129)=0),"Subactividad sin macroactividad arriba"&amp;" · ","")&amp;IF($AM129="","Sin fecha de inicio"&amp;" · ","")&amp;IF($AN129="","Sin fecha límite"&amp;" · ","")&amp;IF(AND(LEFT($C129,11)="[Jefatura] ",N($AL129)=0),"No se encuentra en la hoja de la jefatura (elíjala de nuevo en la lista)"&amp;" · ","")&amp;IF(OR(AND($E129&lt;&gt;"",NOT(ISNUMBER($E129))),AND($F129&lt;&gt;"",NOT(ISNUMBER($F129))),AND($G129&lt;&gt;"",NOT(ISNUMBER($G129)))),"Fecha no válida"&amp;" · ","")&amp;IF(AND(ISNUMBER($AM129),ISNUMBER($AN129),$AM129&gt;$AN129),"Inicio posterior a fecha límite"&amp;" · ","")&amp;IF(AND($V129="Macro",$H129&lt;&gt;"",OR(NOT(ISNUMBER($H129)),$H129&lt;0,$H129&gt;1)),"Peso fuera de rango"&amp;" · ","")&amp;IF(AND($V129="Sub",$H129&lt;&gt;""),"Las subactividades no llevan peso (valen igual dentro de su macroactividad)"&amp;" · ","")&amp;IF(AND(N($W129)&gt;0,COUNT($I129:$L129)&gt;0),"Con subactividades: deje vacías las semanas (se calculan solas)"&amp;" · ","")&amp;IF((COUNTIF($I129:$L129,"&gt;1")+COUNTIF($I129:$L129,"&lt;0")+COUNTA($I129:$L129)-COUNT($I129:$L129))&gt;0,"Avance fuera de rango 0-100%"&amp;" · ","")&amp;IF(OR(AND($J129&lt;&gt;"",$J129&lt;$I129),AND($K129&lt;&gt;"",$K129&lt;MAX($I129:$J129)),AND($L129&lt;&gt;"",$L129&lt;MAX($I129:$K129))),"Avance semanal decreciente"&amp;" · ","")&amp;IF(AND(ISNUMBER($AN129),$AN129&lt;FechaRef,IF($V129="Sub",N($X129),N($M129))&lt;1),"Vencida"&amp;" · ","")&amp;IF(AND(ObsObligatoria="Sí",ISNUMBER($AN129),$AN129&lt;FechaRef,IF($V129="Sub",N($X129),N($M129))&lt;1,$Q129=""),"Vencida sin observación"&amp;" · ",""))="","✔ OK","⚠ "&amp;LEFT(IF($C129="","Falta el nombre de la actividad"&amp;" · ","")&amp;IF(AND($V129="Sub",N($U129)=0),"Subactividad sin macroactividad arriba"&amp;" · ","")&amp;IF($AM129="","Sin fecha de inicio"&amp;" · ","")&amp;IF($AN129="","Sin fecha límite"&amp;" · ","")&amp;IF(AND(LEFT($C129,11)="[Jefatura] ",N($AL129)=0),"No se encuentra en la hoja de la jefatura (elíjala de nuevo en la lista)"&amp;" · ","")&amp;IF(OR(AND($E129&lt;&gt;"",NOT(ISNUMBER($E129))),AND($F129&lt;&gt;"",NOT(ISNUMBER($F129))),AND($G129&lt;&gt;"",NOT(ISNUMBER($G129)))),"Fecha no válida"&amp;" · ","")&amp;IF(AND(ISNUMBER($AM129),ISNUMBER($AN129),$AM129&gt;$AN129),"Inicio posterior a fecha límite"&amp;" · ","")&amp;IF(AND($V129="Macro",$H129&lt;&gt;"",OR(NOT(ISNUMBER($H129)),$H129&lt;0,$H129&gt;1)),"Peso fuera de rango"&amp;" · ","")&amp;IF(AND($V129="Sub",$H129&lt;&gt;""),"Las subactividades no llevan peso (valen igual dentro de su macroactividad)"&amp;" · ","")&amp;IF(AND(N($W129)&gt;0,COUNT($I129:$L129)&gt;0),"Con subactividades: deje vacías las semanas (se calculan solas)"&amp;" · ","")&amp;IF((COUNTIF($I129:$L129,"&gt;1")+COUNTIF($I129:$L129,"&lt;0")+COUNTA($I129:$L129)-COUNT($I129:$L129))&gt;0,"Avance fuera de rango 0-100%"&amp;" · ","")&amp;IF(OR(AND($J129&lt;&gt;"",$J129&lt;$I129),AND($K129&lt;&gt;"",$K129&lt;MAX($I129:$J129)),AND($L129&lt;&gt;"",$L129&lt;MAX($I129:$K129))),"Avance semanal decreciente"&amp;" · ","")&amp;IF(AND(ISNUMBER($AN129),$AN129&lt;FechaRef,IF($V129="Sub",N($X129),N($M129))&lt;1),"Vencida"&amp;" · ","")&amp;IF(AND(ObsObligatoria="Sí",ISNUMBER($AN129),$AN129&lt;FechaRef,IF($V129="Sub",N($X129),N($M129))&lt;1,$Q129=""),"Vencida sin observación"&amp;" · ",""),LEN(IF($C129="","Falta el nombre de la actividad"&amp;" · ","")&amp;IF(AND($V129="Sub",N($U129)=0),"Subactividad sin macroactividad arriba"&amp;" · ","")&amp;IF($AM129="","Sin fecha de inicio"&amp;" · ","")&amp;IF($AN129="","Sin fecha límite"&amp;" · ","")&amp;IF(AND(LEFT($C129,11)="[Jefatura] ",N($AL129)=0),"No se encuentra en la hoja de la jefatura (elíjala de nuevo en la lista)"&amp;" · ","")&amp;IF(OR(AND($E129&lt;&gt;"",NOT(ISNUMBER($E129))),AND($F129&lt;&gt;"",NOT(ISNUMBER($F129))),AND($G129&lt;&gt;"",NOT(ISNUMBER($G129)))),"Fecha no válida"&amp;" · ","")&amp;IF(AND(ISNUMBER($AM129),ISNUMBER($AN129),$AM129&gt;$AN129),"Inicio posterior a fecha límite"&amp;" · ","")&amp;IF(AND($V129="Macro",$H129&lt;&gt;"",OR(NOT(ISNUMBER($H129)),$H129&lt;0,$H129&gt;1)),"Peso fuera de rango"&amp;" · ","")&amp;IF(AND($V129="Sub",$H129&lt;&gt;""),"Las subactividades no llevan peso (valen igual dentro de su macroactividad)"&amp;" · ","")&amp;IF(AND(N($W129)&gt;0,COUNT($I129:$L129)&gt;0),"Con subactividades: deje vacías las semanas (se calculan solas)"&amp;" · ","")&amp;IF((COUNTIF($I129:$L129,"&gt;1")+COUNTIF($I129:$L129,"&lt;0")+COUNTA($I129:$L129)-COUNT($I129:$L129))&gt;0,"Avance fuera de rango 0-100%"&amp;" · ","")&amp;IF(OR(AND($J129&lt;&gt;"",$J129&lt;$I129),AND($K129&lt;&gt;"",$K129&lt;MAX($I129:$J129)),AND($L129&lt;&gt;"",$L129&lt;MAX($I129:$K129))),"Avance semanal decreciente"&amp;" · ","")&amp;IF(AND(ISNUMBER($AN129),$AN129&lt;FechaRef,IF($V129="Sub",N($X129),N($M129))&lt;1),"Vencida"&amp;" · ","")&amp;IF(AND(ObsObligatoria="Sí",ISNUMBER($AN129),$AN129&lt;FechaRef,IF($V129="Sub",N($X129),N($M129))&lt;1,$Q129=""),"Vencida sin observación"&amp;" · ",""))-3)))</f>
        <v/>
      </c>
      <c r="S129" s="64">
        <f>IF(NOT((COUNTA($B129:$D129)+COUNTA($G129:$L129)+COUNTA($Q129))&gt;0),"",IF(AND($V129="Sub",N($U129)&gt;0),IF(ISNUMBER(INDEX($AM$5:$AM$1000,$U129-4)),DATE(YEAR(INDEX($AM$5:$AM$1000,$U129-4)),MONTH(INDEX($AM$5:$AM$1000,$U129-4)),1),IF(ISNUMBER(INDEX($AN$5:$AN$1000,$U129-4)),DATE(YEAR(INDEX($AN$5:$AN$1000,$U129-4)),MONTH(INDEX($AN$5:$AN$1000,$U129-4)),1),MesCiclo)),IF(ISNUMBER($AM129),DATE(YEAR($AM129),MONTH($AM129),1),IF(ISNUMBER($AN129),DATE(YEAR($AN129),MONTH($AN129),1),MesCiclo))))</f>
        <v/>
      </c>
      <c r="T129" s="62">
        <f>IF(OR($S129="",$S129&lt;&gt;MesCiclo,$V129&lt;&gt;"Macro"),"",COUNTIFS($S$5:$S129,MesCiclo,$V$5:$V129,"Macro"))</f>
        <v/>
      </c>
      <c r="U129" s="62">
        <f>IF($V129="","",IF($V129="Macro",ROW(),IFERROR(LOOKUP(2,1/($V$5:$V129="Macro"),ROW($V$5:$V129)),0)))</f>
        <v/>
      </c>
      <c r="V129" s="62">
        <f>IF(NOT((COUNTA($B129:$D129)+COUNTA($G129:$L129)+COUNTA($Q129))&gt;0),"",IF($B129="Subactividad","Sub","Macro"))</f>
        <v/>
      </c>
      <c r="W129" s="62">
        <f>IF($V129="Macro",COUNTIFS($U$5:$U$1000,ROW(),$V$5:$V$1000,"Sub"),"")</f>
        <v/>
      </c>
      <c r="X129" s="62">
        <f>IF($V129="","",IF(ISNUMBER($G129),1,IFERROR(LOOKUP(2,1/($I129:$L129&lt;&gt;""),$I129:$L129),0)))</f>
        <v/>
      </c>
      <c r="Y129" s="62">
        <f>IF($V129="","",IF(AND(ISNUMBER($G129),$G129&lt;=IF($S129=MesCiclo,InicioCiclo,$S129+MOD(2-WEEKDAY($S129),7))+6),1,IF(ISNUMBER($I129),$I129,0)))</f>
        <v/>
      </c>
      <c r="Z129" s="62">
        <f>IF($V129="","",IF(AND(ISNUMBER($G129),$G129&lt;=IF($S129=MesCiclo,InicioCiclo,$S129+MOD(2-WEEKDAY($S129),7))+13),1,IF(ISNUMBER($J129),$J129,$Y129)))</f>
        <v/>
      </c>
      <c r="AA129" s="62">
        <f>IF($V129="","",IF(AND(ISNUMBER($G129),$G129&lt;=IF($S129=MesCiclo,InicioCiclo,$S129+MOD(2-WEEKDAY($S129),7))+20),1,IF(ISNUMBER($K129),$K129,$Z129)))</f>
        <v/>
      </c>
      <c r="AB129" s="62">
        <f>IF($V129="","",IF(AND(ISNUMBER($G129),$G129&lt;=IF($S129=MesCiclo,InicioCiclo,$S129+MOD(2-WEEKDAY($S129),7))+27),1,IF(ISNUMBER($L129),$L129,$AA129)))</f>
        <v/>
      </c>
      <c r="AC129" s="62">
        <f>IF($V129="","",IF(AND(ISNUMBER($G129),$G129&lt;=IF($S129=MesCiclo,InicioCiclo,$S129+MOD(2-WEEKDAY($S129),7))+6),1,IF(N($W129)&gt;0,AVERAGEIFS($Y$5:$Y$1000,$U$5:$U$1000,ROW(),$V$5:$V$1000,"Sub"),$Y129)))</f>
        <v/>
      </c>
      <c r="AD129" s="62">
        <f>IF($V129="","",IF(AND(ISNUMBER($G129),$G129&lt;=IF($S129=MesCiclo,InicioCiclo,$S129+MOD(2-WEEKDAY($S129),7))+13),1,IF(N($W129)&gt;0,AVERAGEIFS($Z$5:$Z$1000,$U$5:$U$1000,ROW(),$V$5:$V$1000,"Sub"),$Z129)))</f>
        <v/>
      </c>
      <c r="AE129" s="62">
        <f>IF($V129="","",IF(AND(ISNUMBER($G129),$G129&lt;=IF($S129=MesCiclo,InicioCiclo,$S129+MOD(2-WEEKDAY($S129),7))+20),1,IF(N($W129)&gt;0,AVERAGEIFS($AA$5:$AA$1000,$U$5:$U$1000,ROW(),$V$5:$V$1000,"Sub"),$AA129)))</f>
        <v/>
      </c>
      <c r="AF129" s="62">
        <f>IF($V129="","",IF(AND(ISNUMBER($G129),$G129&lt;=IF($S129=MesCiclo,InicioCiclo,$S129+MOD(2-WEEKDAY($S129),7))+27),1,IF(N($W129)&gt;0,AVERAGEIFS($AB$5:$AB$1000,$U$5:$U$1000,ROW(),$V$5:$V$1000,"Sub"),$AB129)))</f>
        <v/>
      </c>
      <c r="AG129" s="62">
        <f>IF($V129&lt;&gt;"Macro","",IF(COUNTIFS($S$5:$S$1000,$S129,$V$5:$V$1000,"Macro",$H$5:$H$1000,"&gt;0")=0,1/COUNTIFS($S$5:$S$1000,$S129,$V$5:$V$1000,"Macro"),IF(AND(ISNUMBER($H129),N($H129)&gt;0),$H129,SUMIFS($H$5:$H$1000,$S$5:$S$1000,$S129,$V$5:$V$1000,"Macro")/COUNTIFS($S$5:$S$1000,$S129,$V$5:$V$1000,"Macro",$H$5:$H$1000,"&gt;0"))/(COUNTIFS($S$5:$S$1000,$S129,$V$5:$V$1000,"Macro")*SUMIFS($H$5:$H$1000,$S$5:$S$1000,$S129,$V$5:$V$1000,"Macro")/COUNTIFS($S$5:$S$1000,$S129,$V$5:$V$1000,"Macro",$H$5:$H$1000,"&gt;0"))))</f>
        <v/>
      </c>
      <c r="AH129" s="62" t="n"/>
      <c r="AI129" s="62" t="n"/>
      <c r="AJ129" s="62" t="n"/>
      <c r="AK129" s="62" t="n"/>
      <c r="AL129" s="62">
        <f>IF(LEFT($C129,11)="[Jefatura] ",IFERROR(MATCH("Riesgo Operacional|"&amp;MID($C129,12,500),rDname_ADM,0),0),"")</f>
        <v/>
      </c>
      <c r="AM129" s="62">
        <f>IF(N($AL129)&gt;0,INDEX(rIni_ADM,$AL129),IF(ISNUMBER($E129),$E129,""))</f>
        <v/>
      </c>
      <c r="AN129" s="62">
        <f>IF(N($AL129)&gt;0,INDEX(rLim_ADM,$AL129),IF(ISNUMBER($F129),$F129,""))</f>
        <v/>
      </c>
    </row>
    <row r="130">
      <c r="A130" s="56">
        <f>IF(NOT((COUNTA($B130:$D130)+COUNTA($G130:$L130)+COUNTA($Q130))&gt;0),"",IF($V130="Macro",COUNTIFS($V$5:$V130,"Macro",$S$5:$S130,$S130),IF(N($U130)=0,"?",COUNTIFS(INDEX($V$5:$V$1000,1):INDEX($V$5:$V$1000,$U130-4),"Macro",INDEX($S$5:$S$1000,1):INDEX($S$5:$S$1000,$U130-4),INDEX($S$5:$S$1000,$U130-4))&amp;"."&amp;COUNTIFS($U$5:$U130,$U130,$V$5:$V130,"Sub"))))</f>
        <v/>
      </c>
      <c r="B130" s="57" t="n"/>
      <c r="C130" s="58" t="n"/>
      <c r="D130" s="58" t="n"/>
      <c r="E130" s="59">
        <f>IF(N($AL130)&gt;0,INDEX(rIni_ADM,$AL130),"")</f>
        <v/>
      </c>
      <c r="F130" s="59">
        <f>IF(N($AL130)&gt;0,INDEX(rLim_ADM,$AL130),"")</f>
        <v/>
      </c>
      <c r="G130" s="59" t="n"/>
      <c r="H130" s="60" t="n"/>
      <c r="I130" s="60" t="n"/>
      <c r="J130" s="60" t="n"/>
      <c r="K130" s="60" t="n"/>
      <c r="L130" s="60" t="n"/>
      <c r="M130" s="61">
        <f>IF(NOT((COUNTA($B130:$D130)+COUNTA($G130:$L130)+COUNTA($Q130))&gt;0),"",IF($V130="Sub",IFERROR($X130/INDEX($W$5:$W$1000,$U130-4),""),IF(ISNUMBER($G130),1,IF(N($W130)&gt;0,AVERAGEIFS($X$5:$X$1000,$U$5:$U$1000,ROW(),$V$5:$V$1000,"Sub"),$X130))))</f>
        <v/>
      </c>
      <c r="N130" s="56">
        <f>IF(OR($M130="",$V130="Sub"),"",IF($M130&gt;=1,"Completado",IF($M130&gt;0,"En curso","Pendiente")))</f>
        <v/>
      </c>
      <c r="O130" s="56">
        <f>IF(OR(NOT((COUNTA($B130:$D130)+COUNTA($G130:$L130)+COUNTA($Q130))&gt;0),$V130="Sub"),"",IF(ISNUMBER($G130),IF(AND(ISNUMBER($AN130),$G130&gt;$AN130),"Cumplida con "&amp;($G130-$AN130)&amp;IF($G130-$AN130=1," día"," días")&amp;" de retraso","Cumplida"),IF(N($M130)&gt;=1,"Cumplida",IF(NOT(ISNUMBER($AN130)),"Sin fecha límite",IF($AN130&lt;FechaRef,"Vencida hace "&amp;(FechaRef-$AN130)&amp;IF(FechaRef-$AN130=1," día"," días"),IF($AN130=FechaRef,"Vence hoy",IF($AN130-FechaRef&lt;=DiasAlerta,"Vence en "&amp;($AN130-FechaRef)&amp;IF($AN130-FechaRef=1," día"," días"),"En plazo")))))))</f>
        <v/>
      </c>
      <c r="P130" s="62" t="n"/>
      <c r="Q130" s="58" t="n"/>
      <c r="R130" s="63">
        <f>IF(NOT((COUNTA($B130:$D130)+COUNTA($G130:$L130)+COUNTA($Q130))&gt;0),"",IF((IF($C130="","Falta el nombre de la actividad"&amp;" · ","")&amp;IF(AND($V130="Sub",N($U130)=0),"Subactividad sin macroactividad arriba"&amp;" · ","")&amp;IF($AM130="","Sin fecha de inicio"&amp;" · ","")&amp;IF($AN130="","Sin fecha límite"&amp;" · ","")&amp;IF(AND(LEFT($C130,11)="[Jefatura] ",N($AL130)=0),"No se encuentra en la hoja de la jefatura (elíjala de nuevo en la lista)"&amp;" · ","")&amp;IF(OR(AND($E130&lt;&gt;"",NOT(ISNUMBER($E130))),AND($F130&lt;&gt;"",NOT(ISNUMBER($F130))),AND($G130&lt;&gt;"",NOT(ISNUMBER($G130)))),"Fecha no válida"&amp;" · ","")&amp;IF(AND(ISNUMBER($AM130),ISNUMBER($AN130),$AM130&gt;$AN130),"Inicio posterior a fecha límite"&amp;" · ","")&amp;IF(AND($V130="Macro",$H130&lt;&gt;"",OR(NOT(ISNUMBER($H130)),$H130&lt;0,$H130&gt;1)),"Peso fuera de rango"&amp;" · ","")&amp;IF(AND($V130="Sub",$H130&lt;&gt;""),"Las subactividades no llevan peso (valen igual dentro de su macroactividad)"&amp;" · ","")&amp;IF(AND(N($W130)&gt;0,COUNT($I130:$L130)&gt;0),"Con subactividades: deje vacías las semanas (se calculan solas)"&amp;" · ","")&amp;IF((COUNTIF($I130:$L130,"&gt;1")+COUNTIF($I130:$L130,"&lt;0")+COUNTA($I130:$L130)-COUNT($I130:$L130))&gt;0,"Avance fuera de rango 0-100%"&amp;" · ","")&amp;IF(OR(AND($J130&lt;&gt;"",$J130&lt;$I130),AND($K130&lt;&gt;"",$K130&lt;MAX($I130:$J130)),AND($L130&lt;&gt;"",$L130&lt;MAX($I130:$K130))),"Avance semanal decreciente"&amp;" · ","")&amp;IF(AND(ISNUMBER($AN130),$AN130&lt;FechaRef,IF($V130="Sub",N($X130),N($M130))&lt;1),"Vencida"&amp;" · ","")&amp;IF(AND(ObsObligatoria="Sí",ISNUMBER($AN130),$AN130&lt;FechaRef,IF($V130="Sub",N($X130),N($M130))&lt;1,$Q130=""),"Vencida sin observación"&amp;" · ",""))="","✔ OK","⚠ "&amp;LEFT(IF($C130="","Falta el nombre de la actividad"&amp;" · ","")&amp;IF(AND($V130="Sub",N($U130)=0),"Subactividad sin macroactividad arriba"&amp;" · ","")&amp;IF($AM130="","Sin fecha de inicio"&amp;" · ","")&amp;IF($AN130="","Sin fecha límite"&amp;" · ","")&amp;IF(AND(LEFT($C130,11)="[Jefatura] ",N($AL130)=0),"No se encuentra en la hoja de la jefatura (elíjala de nuevo en la lista)"&amp;" · ","")&amp;IF(OR(AND($E130&lt;&gt;"",NOT(ISNUMBER($E130))),AND($F130&lt;&gt;"",NOT(ISNUMBER($F130))),AND($G130&lt;&gt;"",NOT(ISNUMBER($G130)))),"Fecha no válida"&amp;" · ","")&amp;IF(AND(ISNUMBER($AM130),ISNUMBER($AN130),$AM130&gt;$AN130),"Inicio posterior a fecha límite"&amp;" · ","")&amp;IF(AND($V130="Macro",$H130&lt;&gt;"",OR(NOT(ISNUMBER($H130)),$H130&lt;0,$H130&gt;1)),"Peso fuera de rango"&amp;" · ","")&amp;IF(AND($V130="Sub",$H130&lt;&gt;""),"Las subactividades no llevan peso (valen igual dentro de su macroactividad)"&amp;" · ","")&amp;IF(AND(N($W130)&gt;0,COUNT($I130:$L130)&gt;0),"Con subactividades: deje vacías las semanas (se calculan solas)"&amp;" · ","")&amp;IF((COUNTIF($I130:$L130,"&gt;1")+COUNTIF($I130:$L130,"&lt;0")+COUNTA($I130:$L130)-COUNT($I130:$L130))&gt;0,"Avance fuera de rango 0-100%"&amp;" · ","")&amp;IF(OR(AND($J130&lt;&gt;"",$J130&lt;$I130),AND($K130&lt;&gt;"",$K130&lt;MAX($I130:$J130)),AND($L130&lt;&gt;"",$L130&lt;MAX($I130:$K130))),"Avance semanal decreciente"&amp;" · ","")&amp;IF(AND(ISNUMBER($AN130),$AN130&lt;FechaRef,IF($V130="Sub",N($X130),N($M130))&lt;1),"Vencida"&amp;" · ","")&amp;IF(AND(ObsObligatoria="Sí",ISNUMBER($AN130),$AN130&lt;FechaRef,IF($V130="Sub",N($X130),N($M130))&lt;1,$Q130=""),"Vencida sin observación"&amp;" · ",""),LEN(IF($C130="","Falta el nombre de la actividad"&amp;" · ","")&amp;IF(AND($V130="Sub",N($U130)=0),"Subactividad sin macroactividad arriba"&amp;" · ","")&amp;IF($AM130="","Sin fecha de inicio"&amp;" · ","")&amp;IF($AN130="","Sin fecha límite"&amp;" · ","")&amp;IF(AND(LEFT($C130,11)="[Jefatura] ",N($AL130)=0),"No se encuentra en la hoja de la jefatura (elíjala de nuevo en la lista)"&amp;" · ","")&amp;IF(OR(AND($E130&lt;&gt;"",NOT(ISNUMBER($E130))),AND($F130&lt;&gt;"",NOT(ISNUMBER($F130))),AND($G130&lt;&gt;"",NOT(ISNUMBER($G130)))),"Fecha no válida"&amp;" · ","")&amp;IF(AND(ISNUMBER($AM130),ISNUMBER($AN130),$AM130&gt;$AN130),"Inicio posterior a fecha límite"&amp;" · ","")&amp;IF(AND($V130="Macro",$H130&lt;&gt;"",OR(NOT(ISNUMBER($H130)),$H130&lt;0,$H130&gt;1)),"Peso fuera de rango"&amp;" · ","")&amp;IF(AND($V130="Sub",$H130&lt;&gt;""),"Las subactividades no llevan peso (valen igual dentro de su macroactividad)"&amp;" · ","")&amp;IF(AND(N($W130)&gt;0,COUNT($I130:$L130)&gt;0),"Con subactividades: deje vacías las semanas (se calculan solas)"&amp;" · ","")&amp;IF((COUNTIF($I130:$L130,"&gt;1")+COUNTIF($I130:$L130,"&lt;0")+COUNTA($I130:$L130)-COUNT($I130:$L130))&gt;0,"Avance fuera de rango 0-100%"&amp;" · ","")&amp;IF(OR(AND($J130&lt;&gt;"",$J130&lt;$I130),AND($K130&lt;&gt;"",$K130&lt;MAX($I130:$J130)),AND($L130&lt;&gt;"",$L130&lt;MAX($I130:$K130))),"Avance semanal decreciente"&amp;" · ","")&amp;IF(AND(ISNUMBER($AN130),$AN130&lt;FechaRef,IF($V130="Sub",N($X130),N($M130))&lt;1),"Vencida"&amp;" · ","")&amp;IF(AND(ObsObligatoria="Sí",ISNUMBER($AN130),$AN130&lt;FechaRef,IF($V130="Sub",N($X130),N($M130))&lt;1,$Q130=""),"Vencida sin observación"&amp;" · ",""))-3)))</f>
        <v/>
      </c>
      <c r="S130" s="64">
        <f>IF(NOT((COUNTA($B130:$D130)+COUNTA($G130:$L130)+COUNTA($Q130))&gt;0),"",IF(AND($V130="Sub",N($U130)&gt;0),IF(ISNUMBER(INDEX($AM$5:$AM$1000,$U130-4)),DATE(YEAR(INDEX($AM$5:$AM$1000,$U130-4)),MONTH(INDEX($AM$5:$AM$1000,$U130-4)),1),IF(ISNUMBER(INDEX($AN$5:$AN$1000,$U130-4)),DATE(YEAR(INDEX($AN$5:$AN$1000,$U130-4)),MONTH(INDEX($AN$5:$AN$1000,$U130-4)),1),MesCiclo)),IF(ISNUMBER($AM130),DATE(YEAR($AM130),MONTH($AM130),1),IF(ISNUMBER($AN130),DATE(YEAR($AN130),MONTH($AN130),1),MesCiclo))))</f>
        <v/>
      </c>
      <c r="T130" s="62">
        <f>IF(OR($S130="",$S130&lt;&gt;MesCiclo,$V130&lt;&gt;"Macro"),"",COUNTIFS($S$5:$S130,MesCiclo,$V$5:$V130,"Macro"))</f>
        <v/>
      </c>
      <c r="U130" s="62">
        <f>IF($V130="","",IF($V130="Macro",ROW(),IFERROR(LOOKUP(2,1/($V$5:$V130="Macro"),ROW($V$5:$V130)),0)))</f>
        <v/>
      </c>
      <c r="V130" s="62">
        <f>IF(NOT((COUNTA($B130:$D130)+COUNTA($G130:$L130)+COUNTA($Q130))&gt;0),"",IF($B130="Subactividad","Sub","Macro"))</f>
        <v/>
      </c>
      <c r="W130" s="62">
        <f>IF($V130="Macro",COUNTIFS($U$5:$U$1000,ROW(),$V$5:$V$1000,"Sub"),"")</f>
        <v/>
      </c>
      <c r="X130" s="62">
        <f>IF($V130="","",IF(ISNUMBER($G130),1,IFERROR(LOOKUP(2,1/($I130:$L130&lt;&gt;""),$I130:$L130),0)))</f>
        <v/>
      </c>
      <c r="Y130" s="62">
        <f>IF($V130="","",IF(AND(ISNUMBER($G130),$G130&lt;=IF($S130=MesCiclo,InicioCiclo,$S130+MOD(2-WEEKDAY($S130),7))+6),1,IF(ISNUMBER($I130),$I130,0)))</f>
        <v/>
      </c>
      <c r="Z130" s="62">
        <f>IF($V130="","",IF(AND(ISNUMBER($G130),$G130&lt;=IF($S130=MesCiclo,InicioCiclo,$S130+MOD(2-WEEKDAY($S130),7))+13),1,IF(ISNUMBER($J130),$J130,$Y130)))</f>
        <v/>
      </c>
      <c r="AA130" s="62">
        <f>IF($V130="","",IF(AND(ISNUMBER($G130),$G130&lt;=IF($S130=MesCiclo,InicioCiclo,$S130+MOD(2-WEEKDAY($S130),7))+20),1,IF(ISNUMBER($K130),$K130,$Z130)))</f>
        <v/>
      </c>
      <c r="AB130" s="62">
        <f>IF($V130="","",IF(AND(ISNUMBER($G130),$G130&lt;=IF($S130=MesCiclo,InicioCiclo,$S130+MOD(2-WEEKDAY($S130),7))+27),1,IF(ISNUMBER($L130),$L130,$AA130)))</f>
        <v/>
      </c>
      <c r="AC130" s="62">
        <f>IF($V130="","",IF(AND(ISNUMBER($G130),$G130&lt;=IF($S130=MesCiclo,InicioCiclo,$S130+MOD(2-WEEKDAY($S130),7))+6),1,IF(N($W130)&gt;0,AVERAGEIFS($Y$5:$Y$1000,$U$5:$U$1000,ROW(),$V$5:$V$1000,"Sub"),$Y130)))</f>
        <v/>
      </c>
      <c r="AD130" s="62">
        <f>IF($V130="","",IF(AND(ISNUMBER($G130),$G130&lt;=IF($S130=MesCiclo,InicioCiclo,$S130+MOD(2-WEEKDAY($S130),7))+13),1,IF(N($W130)&gt;0,AVERAGEIFS($Z$5:$Z$1000,$U$5:$U$1000,ROW(),$V$5:$V$1000,"Sub"),$Z130)))</f>
        <v/>
      </c>
      <c r="AE130" s="62">
        <f>IF($V130="","",IF(AND(ISNUMBER($G130),$G130&lt;=IF($S130=MesCiclo,InicioCiclo,$S130+MOD(2-WEEKDAY($S130),7))+20),1,IF(N($W130)&gt;0,AVERAGEIFS($AA$5:$AA$1000,$U$5:$U$1000,ROW(),$V$5:$V$1000,"Sub"),$AA130)))</f>
        <v/>
      </c>
      <c r="AF130" s="62">
        <f>IF($V130="","",IF(AND(ISNUMBER($G130),$G130&lt;=IF($S130=MesCiclo,InicioCiclo,$S130+MOD(2-WEEKDAY($S130),7))+27),1,IF(N($W130)&gt;0,AVERAGEIFS($AB$5:$AB$1000,$U$5:$U$1000,ROW(),$V$5:$V$1000,"Sub"),$AB130)))</f>
        <v/>
      </c>
      <c r="AG130" s="62">
        <f>IF($V130&lt;&gt;"Macro","",IF(COUNTIFS($S$5:$S$1000,$S130,$V$5:$V$1000,"Macro",$H$5:$H$1000,"&gt;0")=0,1/COUNTIFS($S$5:$S$1000,$S130,$V$5:$V$1000,"Macro"),IF(AND(ISNUMBER($H130),N($H130)&gt;0),$H130,SUMIFS($H$5:$H$1000,$S$5:$S$1000,$S130,$V$5:$V$1000,"Macro")/COUNTIFS($S$5:$S$1000,$S130,$V$5:$V$1000,"Macro",$H$5:$H$1000,"&gt;0"))/(COUNTIFS($S$5:$S$1000,$S130,$V$5:$V$1000,"Macro")*SUMIFS($H$5:$H$1000,$S$5:$S$1000,$S130,$V$5:$V$1000,"Macro")/COUNTIFS($S$5:$S$1000,$S130,$V$5:$V$1000,"Macro",$H$5:$H$1000,"&gt;0"))))</f>
        <v/>
      </c>
      <c r="AH130" s="62" t="n"/>
      <c r="AI130" s="62" t="n"/>
      <c r="AJ130" s="62" t="n"/>
      <c r="AK130" s="62" t="n"/>
      <c r="AL130" s="62">
        <f>IF(LEFT($C130,11)="[Jefatura] ",IFERROR(MATCH("Riesgo Operacional|"&amp;MID($C130,12,500),rDname_ADM,0),0),"")</f>
        <v/>
      </c>
      <c r="AM130" s="62">
        <f>IF(N($AL130)&gt;0,INDEX(rIni_ADM,$AL130),IF(ISNUMBER($E130),$E130,""))</f>
        <v/>
      </c>
      <c r="AN130" s="62">
        <f>IF(N($AL130)&gt;0,INDEX(rLim_ADM,$AL130),IF(ISNUMBER($F130),$F130,""))</f>
        <v/>
      </c>
    </row>
    <row r="131">
      <c r="A131" s="56">
        <f>IF(NOT((COUNTA($B131:$D131)+COUNTA($G131:$L131)+COUNTA($Q131))&gt;0),"",IF($V131="Macro",COUNTIFS($V$5:$V131,"Macro",$S$5:$S131,$S131),IF(N($U131)=0,"?",COUNTIFS(INDEX($V$5:$V$1000,1):INDEX($V$5:$V$1000,$U131-4),"Macro",INDEX($S$5:$S$1000,1):INDEX($S$5:$S$1000,$U131-4),INDEX($S$5:$S$1000,$U131-4))&amp;"."&amp;COUNTIFS($U$5:$U131,$U131,$V$5:$V131,"Sub"))))</f>
        <v/>
      </c>
      <c r="B131" s="57" t="n"/>
      <c r="C131" s="58" t="n"/>
      <c r="D131" s="58" t="n"/>
      <c r="E131" s="59">
        <f>IF(N($AL131)&gt;0,INDEX(rIni_ADM,$AL131),"")</f>
        <v/>
      </c>
      <c r="F131" s="59">
        <f>IF(N($AL131)&gt;0,INDEX(rLim_ADM,$AL131),"")</f>
        <v/>
      </c>
      <c r="G131" s="59" t="n"/>
      <c r="H131" s="60" t="n"/>
      <c r="I131" s="60" t="n"/>
      <c r="J131" s="60" t="n"/>
      <c r="K131" s="60" t="n"/>
      <c r="L131" s="60" t="n"/>
      <c r="M131" s="61">
        <f>IF(NOT((COUNTA($B131:$D131)+COUNTA($G131:$L131)+COUNTA($Q131))&gt;0),"",IF($V131="Sub",IFERROR($X131/INDEX($W$5:$W$1000,$U131-4),""),IF(ISNUMBER($G131),1,IF(N($W131)&gt;0,AVERAGEIFS($X$5:$X$1000,$U$5:$U$1000,ROW(),$V$5:$V$1000,"Sub"),$X131))))</f>
        <v/>
      </c>
      <c r="N131" s="56">
        <f>IF(OR($M131="",$V131="Sub"),"",IF($M131&gt;=1,"Completado",IF($M131&gt;0,"En curso","Pendiente")))</f>
        <v/>
      </c>
      <c r="O131" s="56">
        <f>IF(OR(NOT((COUNTA($B131:$D131)+COUNTA($G131:$L131)+COUNTA($Q131))&gt;0),$V131="Sub"),"",IF(ISNUMBER($G131),IF(AND(ISNUMBER($AN131),$G131&gt;$AN131),"Cumplida con "&amp;($G131-$AN131)&amp;IF($G131-$AN131=1," día"," días")&amp;" de retraso","Cumplida"),IF(N($M131)&gt;=1,"Cumplida",IF(NOT(ISNUMBER($AN131)),"Sin fecha límite",IF($AN131&lt;FechaRef,"Vencida hace "&amp;(FechaRef-$AN131)&amp;IF(FechaRef-$AN131=1," día"," días"),IF($AN131=FechaRef,"Vence hoy",IF($AN131-FechaRef&lt;=DiasAlerta,"Vence en "&amp;($AN131-FechaRef)&amp;IF($AN131-FechaRef=1," día"," días"),"En plazo")))))))</f>
        <v/>
      </c>
      <c r="P131" s="62" t="n"/>
      <c r="Q131" s="58" t="n"/>
      <c r="R131" s="63">
        <f>IF(NOT((COUNTA($B131:$D131)+COUNTA($G131:$L131)+COUNTA($Q131))&gt;0),"",IF((IF($C131="","Falta el nombre de la actividad"&amp;" · ","")&amp;IF(AND($V131="Sub",N($U131)=0),"Subactividad sin macroactividad arriba"&amp;" · ","")&amp;IF($AM131="","Sin fecha de inicio"&amp;" · ","")&amp;IF($AN131="","Sin fecha límite"&amp;" · ","")&amp;IF(AND(LEFT($C131,11)="[Jefatura] ",N($AL131)=0),"No se encuentra en la hoja de la jefatura (elíjala de nuevo en la lista)"&amp;" · ","")&amp;IF(OR(AND($E131&lt;&gt;"",NOT(ISNUMBER($E131))),AND($F131&lt;&gt;"",NOT(ISNUMBER($F131))),AND($G131&lt;&gt;"",NOT(ISNUMBER($G131)))),"Fecha no válida"&amp;" · ","")&amp;IF(AND(ISNUMBER($AM131),ISNUMBER($AN131),$AM131&gt;$AN131),"Inicio posterior a fecha límite"&amp;" · ","")&amp;IF(AND($V131="Macro",$H131&lt;&gt;"",OR(NOT(ISNUMBER($H131)),$H131&lt;0,$H131&gt;1)),"Peso fuera de rango"&amp;" · ","")&amp;IF(AND($V131="Sub",$H131&lt;&gt;""),"Las subactividades no llevan peso (valen igual dentro de su macroactividad)"&amp;" · ","")&amp;IF(AND(N($W131)&gt;0,COUNT($I131:$L131)&gt;0),"Con subactividades: deje vacías las semanas (se calculan solas)"&amp;" · ","")&amp;IF((COUNTIF($I131:$L131,"&gt;1")+COUNTIF($I131:$L131,"&lt;0")+COUNTA($I131:$L131)-COUNT($I131:$L131))&gt;0,"Avance fuera de rango 0-100%"&amp;" · ","")&amp;IF(OR(AND($J131&lt;&gt;"",$J131&lt;$I131),AND($K131&lt;&gt;"",$K131&lt;MAX($I131:$J131)),AND($L131&lt;&gt;"",$L131&lt;MAX($I131:$K131))),"Avance semanal decreciente"&amp;" · ","")&amp;IF(AND(ISNUMBER($AN131),$AN131&lt;FechaRef,IF($V131="Sub",N($X131),N($M131))&lt;1),"Vencida"&amp;" · ","")&amp;IF(AND(ObsObligatoria="Sí",ISNUMBER($AN131),$AN131&lt;FechaRef,IF($V131="Sub",N($X131),N($M131))&lt;1,$Q131=""),"Vencida sin observación"&amp;" · ",""))="","✔ OK","⚠ "&amp;LEFT(IF($C131="","Falta el nombre de la actividad"&amp;" · ","")&amp;IF(AND($V131="Sub",N($U131)=0),"Subactividad sin macroactividad arriba"&amp;" · ","")&amp;IF($AM131="","Sin fecha de inicio"&amp;" · ","")&amp;IF($AN131="","Sin fecha límite"&amp;" · ","")&amp;IF(AND(LEFT($C131,11)="[Jefatura] ",N($AL131)=0),"No se encuentra en la hoja de la jefatura (elíjala de nuevo en la lista)"&amp;" · ","")&amp;IF(OR(AND($E131&lt;&gt;"",NOT(ISNUMBER($E131))),AND($F131&lt;&gt;"",NOT(ISNUMBER($F131))),AND($G131&lt;&gt;"",NOT(ISNUMBER($G131)))),"Fecha no válida"&amp;" · ","")&amp;IF(AND(ISNUMBER($AM131),ISNUMBER($AN131),$AM131&gt;$AN131),"Inicio posterior a fecha límite"&amp;" · ","")&amp;IF(AND($V131="Macro",$H131&lt;&gt;"",OR(NOT(ISNUMBER($H131)),$H131&lt;0,$H131&gt;1)),"Peso fuera de rango"&amp;" · ","")&amp;IF(AND($V131="Sub",$H131&lt;&gt;""),"Las subactividades no llevan peso (valen igual dentro de su macroactividad)"&amp;" · ","")&amp;IF(AND(N($W131)&gt;0,COUNT($I131:$L131)&gt;0),"Con subactividades: deje vacías las semanas (se calculan solas)"&amp;" · ","")&amp;IF((COUNTIF($I131:$L131,"&gt;1")+COUNTIF($I131:$L131,"&lt;0")+COUNTA($I131:$L131)-COUNT($I131:$L131))&gt;0,"Avance fuera de rango 0-100%"&amp;" · ","")&amp;IF(OR(AND($J131&lt;&gt;"",$J131&lt;$I131),AND($K131&lt;&gt;"",$K131&lt;MAX($I131:$J131)),AND($L131&lt;&gt;"",$L131&lt;MAX($I131:$K131))),"Avance semanal decreciente"&amp;" · ","")&amp;IF(AND(ISNUMBER($AN131),$AN131&lt;FechaRef,IF($V131="Sub",N($X131),N($M131))&lt;1),"Vencida"&amp;" · ","")&amp;IF(AND(ObsObligatoria="Sí",ISNUMBER($AN131),$AN131&lt;FechaRef,IF($V131="Sub",N($X131),N($M131))&lt;1,$Q131=""),"Vencida sin observación"&amp;" · ",""),LEN(IF($C131="","Falta el nombre de la actividad"&amp;" · ","")&amp;IF(AND($V131="Sub",N($U131)=0),"Subactividad sin macroactividad arriba"&amp;" · ","")&amp;IF($AM131="","Sin fecha de inicio"&amp;" · ","")&amp;IF($AN131="","Sin fecha límite"&amp;" · ","")&amp;IF(AND(LEFT($C131,11)="[Jefatura] ",N($AL131)=0),"No se encuentra en la hoja de la jefatura (elíjala de nuevo en la lista)"&amp;" · ","")&amp;IF(OR(AND($E131&lt;&gt;"",NOT(ISNUMBER($E131))),AND($F131&lt;&gt;"",NOT(ISNUMBER($F131))),AND($G131&lt;&gt;"",NOT(ISNUMBER($G131)))),"Fecha no válida"&amp;" · ","")&amp;IF(AND(ISNUMBER($AM131),ISNUMBER($AN131),$AM131&gt;$AN131),"Inicio posterior a fecha límite"&amp;" · ","")&amp;IF(AND($V131="Macro",$H131&lt;&gt;"",OR(NOT(ISNUMBER($H131)),$H131&lt;0,$H131&gt;1)),"Peso fuera de rango"&amp;" · ","")&amp;IF(AND($V131="Sub",$H131&lt;&gt;""),"Las subactividades no llevan peso (valen igual dentro de su macroactividad)"&amp;" · ","")&amp;IF(AND(N($W131)&gt;0,COUNT($I131:$L131)&gt;0),"Con subactividades: deje vacías las semanas (se calculan solas)"&amp;" · ","")&amp;IF((COUNTIF($I131:$L131,"&gt;1")+COUNTIF($I131:$L131,"&lt;0")+COUNTA($I131:$L131)-COUNT($I131:$L131))&gt;0,"Avance fuera de rango 0-100%"&amp;" · ","")&amp;IF(OR(AND($J131&lt;&gt;"",$J131&lt;$I131),AND($K131&lt;&gt;"",$K131&lt;MAX($I131:$J131)),AND($L131&lt;&gt;"",$L131&lt;MAX($I131:$K131))),"Avance semanal decreciente"&amp;" · ","")&amp;IF(AND(ISNUMBER($AN131),$AN131&lt;FechaRef,IF($V131="Sub",N($X131),N($M131))&lt;1),"Vencida"&amp;" · ","")&amp;IF(AND(ObsObligatoria="Sí",ISNUMBER($AN131),$AN131&lt;FechaRef,IF($V131="Sub",N($X131),N($M131))&lt;1,$Q131=""),"Vencida sin observación"&amp;" · ",""))-3)))</f>
        <v/>
      </c>
      <c r="S131" s="64">
        <f>IF(NOT((COUNTA($B131:$D131)+COUNTA($G131:$L131)+COUNTA($Q131))&gt;0),"",IF(AND($V131="Sub",N($U131)&gt;0),IF(ISNUMBER(INDEX($AM$5:$AM$1000,$U131-4)),DATE(YEAR(INDEX($AM$5:$AM$1000,$U131-4)),MONTH(INDEX($AM$5:$AM$1000,$U131-4)),1),IF(ISNUMBER(INDEX($AN$5:$AN$1000,$U131-4)),DATE(YEAR(INDEX($AN$5:$AN$1000,$U131-4)),MONTH(INDEX($AN$5:$AN$1000,$U131-4)),1),MesCiclo)),IF(ISNUMBER($AM131),DATE(YEAR($AM131),MONTH($AM131),1),IF(ISNUMBER($AN131),DATE(YEAR($AN131),MONTH($AN131),1),MesCiclo))))</f>
        <v/>
      </c>
      <c r="T131" s="62">
        <f>IF(OR($S131="",$S131&lt;&gt;MesCiclo,$V131&lt;&gt;"Macro"),"",COUNTIFS($S$5:$S131,MesCiclo,$V$5:$V131,"Macro"))</f>
        <v/>
      </c>
      <c r="U131" s="62">
        <f>IF($V131="","",IF($V131="Macro",ROW(),IFERROR(LOOKUP(2,1/($V$5:$V131="Macro"),ROW($V$5:$V131)),0)))</f>
        <v/>
      </c>
      <c r="V131" s="62">
        <f>IF(NOT((COUNTA($B131:$D131)+COUNTA($G131:$L131)+COUNTA($Q131))&gt;0),"",IF($B131="Subactividad","Sub","Macro"))</f>
        <v/>
      </c>
      <c r="W131" s="62">
        <f>IF($V131="Macro",COUNTIFS($U$5:$U$1000,ROW(),$V$5:$V$1000,"Sub"),"")</f>
        <v/>
      </c>
      <c r="X131" s="62">
        <f>IF($V131="","",IF(ISNUMBER($G131),1,IFERROR(LOOKUP(2,1/($I131:$L131&lt;&gt;""),$I131:$L131),0)))</f>
        <v/>
      </c>
      <c r="Y131" s="62">
        <f>IF($V131="","",IF(AND(ISNUMBER($G131),$G131&lt;=IF($S131=MesCiclo,InicioCiclo,$S131+MOD(2-WEEKDAY($S131),7))+6),1,IF(ISNUMBER($I131),$I131,0)))</f>
        <v/>
      </c>
      <c r="Z131" s="62">
        <f>IF($V131="","",IF(AND(ISNUMBER($G131),$G131&lt;=IF($S131=MesCiclo,InicioCiclo,$S131+MOD(2-WEEKDAY($S131),7))+13),1,IF(ISNUMBER($J131),$J131,$Y131)))</f>
        <v/>
      </c>
      <c r="AA131" s="62">
        <f>IF($V131="","",IF(AND(ISNUMBER($G131),$G131&lt;=IF($S131=MesCiclo,InicioCiclo,$S131+MOD(2-WEEKDAY($S131),7))+20),1,IF(ISNUMBER($K131),$K131,$Z131)))</f>
        <v/>
      </c>
      <c r="AB131" s="62">
        <f>IF($V131="","",IF(AND(ISNUMBER($G131),$G131&lt;=IF($S131=MesCiclo,InicioCiclo,$S131+MOD(2-WEEKDAY($S131),7))+27),1,IF(ISNUMBER($L131),$L131,$AA131)))</f>
        <v/>
      </c>
      <c r="AC131" s="62">
        <f>IF($V131="","",IF(AND(ISNUMBER($G131),$G131&lt;=IF($S131=MesCiclo,InicioCiclo,$S131+MOD(2-WEEKDAY($S131),7))+6),1,IF(N($W131)&gt;0,AVERAGEIFS($Y$5:$Y$1000,$U$5:$U$1000,ROW(),$V$5:$V$1000,"Sub"),$Y131)))</f>
        <v/>
      </c>
      <c r="AD131" s="62">
        <f>IF($V131="","",IF(AND(ISNUMBER($G131),$G131&lt;=IF($S131=MesCiclo,InicioCiclo,$S131+MOD(2-WEEKDAY($S131),7))+13),1,IF(N($W131)&gt;0,AVERAGEIFS($Z$5:$Z$1000,$U$5:$U$1000,ROW(),$V$5:$V$1000,"Sub"),$Z131)))</f>
        <v/>
      </c>
      <c r="AE131" s="62">
        <f>IF($V131="","",IF(AND(ISNUMBER($G131),$G131&lt;=IF($S131=MesCiclo,InicioCiclo,$S131+MOD(2-WEEKDAY($S131),7))+20),1,IF(N($W131)&gt;0,AVERAGEIFS($AA$5:$AA$1000,$U$5:$U$1000,ROW(),$V$5:$V$1000,"Sub"),$AA131)))</f>
        <v/>
      </c>
      <c r="AF131" s="62">
        <f>IF($V131="","",IF(AND(ISNUMBER($G131),$G131&lt;=IF($S131=MesCiclo,InicioCiclo,$S131+MOD(2-WEEKDAY($S131),7))+27),1,IF(N($W131)&gt;0,AVERAGEIFS($AB$5:$AB$1000,$U$5:$U$1000,ROW(),$V$5:$V$1000,"Sub"),$AB131)))</f>
        <v/>
      </c>
      <c r="AG131" s="62">
        <f>IF($V131&lt;&gt;"Macro","",IF(COUNTIFS($S$5:$S$1000,$S131,$V$5:$V$1000,"Macro",$H$5:$H$1000,"&gt;0")=0,1/COUNTIFS($S$5:$S$1000,$S131,$V$5:$V$1000,"Macro"),IF(AND(ISNUMBER($H131),N($H131)&gt;0),$H131,SUMIFS($H$5:$H$1000,$S$5:$S$1000,$S131,$V$5:$V$1000,"Macro")/COUNTIFS($S$5:$S$1000,$S131,$V$5:$V$1000,"Macro",$H$5:$H$1000,"&gt;0"))/(COUNTIFS($S$5:$S$1000,$S131,$V$5:$V$1000,"Macro")*SUMIFS($H$5:$H$1000,$S$5:$S$1000,$S131,$V$5:$V$1000,"Macro")/COUNTIFS($S$5:$S$1000,$S131,$V$5:$V$1000,"Macro",$H$5:$H$1000,"&gt;0"))))</f>
        <v/>
      </c>
      <c r="AH131" s="62" t="n"/>
      <c r="AI131" s="62" t="n"/>
      <c r="AJ131" s="62" t="n"/>
      <c r="AK131" s="62" t="n"/>
      <c r="AL131" s="62">
        <f>IF(LEFT($C131,11)="[Jefatura] ",IFERROR(MATCH("Riesgo Operacional|"&amp;MID($C131,12,500),rDname_ADM,0),0),"")</f>
        <v/>
      </c>
      <c r="AM131" s="62">
        <f>IF(N($AL131)&gt;0,INDEX(rIni_ADM,$AL131),IF(ISNUMBER($E131),$E131,""))</f>
        <v/>
      </c>
      <c r="AN131" s="62">
        <f>IF(N($AL131)&gt;0,INDEX(rLim_ADM,$AL131),IF(ISNUMBER($F131),$F131,""))</f>
        <v/>
      </c>
    </row>
    <row r="132">
      <c r="A132" s="56">
        <f>IF(NOT((COUNTA($B132:$D132)+COUNTA($G132:$L132)+COUNTA($Q132))&gt;0),"",IF($V132="Macro",COUNTIFS($V$5:$V132,"Macro",$S$5:$S132,$S132),IF(N($U132)=0,"?",COUNTIFS(INDEX($V$5:$V$1000,1):INDEX($V$5:$V$1000,$U132-4),"Macro",INDEX($S$5:$S$1000,1):INDEX($S$5:$S$1000,$U132-4),INDEX($S$5:$S$1000,$U132-4))&amp;"."&amp;COUNTIFS($U$5:$U132,$U132,$V$5:$V132,"Sub"))))</f>
        <v/>
      </c>
      <c r="B132" s="57" t="n"/>
      <c r="C132" s="58" t="n"/>
      <c r="D132" s="58" t="n"/>
      <c r="E132" s="59">
        <f>IF(N($AL132)&gt;0,INDEX(rIni_ADM,$AL132),"")</f>
        <v/>
      </c>
      <c r="F132" s="59">
        <f>IF(N($AL132)&gt;0,INDEX(rLim_ADM,$AL132),"")</f>
        <v/>
      </c>
      <c r="G132" s="59" t="n"/>
      <c r="H132" s="60" t="n"/>
      <c r="I132" s="60" t="n"/>
      <c r="J132" s="60" t="n"/>
      <c r="K132" s="60" t="n"/>
      <c r="L132" s="60" t="n"/>
      <c r="M132" s="61">
        <f>IF(NOT((COUNTA($B132:$D132)+COUNTA($G132:$L132)+COUNTA($Q132))&gt;0),"",IF($V132="Sub",IFERROR($X132/INDEX($W$5:$W$1000,$U132-4),""),IF(ISNUMBER($G132),1,IF(N($W132)&gt;0,AVERAGEIFS($X$5:$X$1000,$U$5:$U$1000,ROW(),$V$5:$V$1000,"Sub"),$X132))))</f>
        <v/>
      </c>
      <c r="N132" s="56">
        <f>IF(OR($M132="",$V132="Sub"),"",IF($M132&gt;=1,"Completado",IF($M132&gt;0,"En curso","Pendiente")))</f>
        <v/>
      </c>
      <c r="O132" s="56">
        <f>IF(OR(NOT((COUNTA($B132:$D132)+COUNTA($G132:$L132)+COUNTA($Q132))&gt;0),$V132="Sub"),"",IF(ISNUMBER($G132),IF(AND(ISNUMBER($AN132),$G132&gt;$AN132),"Cumplida con "&amp;($G132-$AN132)&amp;IF($G132-$AN132=1," día"," días")&amp;" de retraso","Cumplida"),IF(N($M132)&gt;=1,"Cumplida",IF(NOT(ISNUMBER($AN132)),"Sin fecha límite",IF($AN132&lt;FechaRef,"Vencida hace "&amp;(FechaRef-$AN132)&amp;IF(FechaRef-$AN132=1," día"," días"),IF($AN132=FechaRef,"Vence hoy",IF($AN132-FechaRef&lt;=DiasAlerta,"Vence en "&amp;($AN132-FechaRef)&amp;IF($AN132-FechaRef=1," día"," días"),"En plazo")))))))</f>
        <v/>
      </c>
      <c r="P132" s="62" t="n"/>
      <c r="Q132" s="58" t="n"/>
      <c r="R132" s="63">
        <f>IF(NOT((COUNTA($B132:$D132)+COUNTA($G132:$L132)+COUNTA($Q132))&gt;0),"",IF((IF($C132="","Falta el nombre de la actividad"&amp;" · ","")&amp;IF(AND($V132="Sub",N($U132)=0),"Subactividad sin macroactividad arriba"&amp;" · ","")&amp;IF($AM132="","Sin fecha de inicio"&amp;" · ","")&amp;IF($AN132="","Sin fecha límite"&amp;" · ","")&amp;IF(AND(LEFT($C132,11)="[Jefatura] ",N($AL132)=0),"No se encuentra en la hoja de la jefatura (elíjala de nuevo en la lista)"&amp;" · ","")&amp;IF(OR(AND($E132&lt;&gt;"",NOT(ISNUMBER($E132))),AND($F132&lt;&gt;"",NOT(ISNUMBER($F132))),AND($G132&lt;&gt;"",NOT(ISNUMBER($G132)))),"Fecha no válida"&amp;" · ","")&amp;IF(AND(ISNUMBER($AM132),ISNUMBER($AN132),$AM132&gt;$AN132),"Inicio posterior a fecha límite"&amp;" · ","")&amp;IF(AND($V132="Macro",$H132&lt;&gt;"",OR(NOT(ISNUMBER($H132)),$H132&lt;0,$H132&gt;1)),"Peso fuera de rango"&amp;" · ","")&amp;IF(AND($V132="Sub",$H132&lt;&gt;""),"Las subactividades no llevan peso (valen igual dentro de su macroactividad)"&amp;" · ","")&amp;IF(AND(N($W132)&gt;0,COUNT($I132:$L132)&gt;0),"Con subactividades: deje vacías las semanas (se calculan solas)"&amp;" · ","")&amp;IF((COUNTIF($I132:$L132,"&gt;1")+COUNTIF($I132:$L132,"&lt;0")+COUNTA($I132:$L132)-COUNT($I132:$L132))&gt;0,"Avance fuera de rango 0-100%"&amp;" · ","")&amp;IF(OR(AND($J132&lt;&gt;"",$J132&lt;$I132),AND($K132&lt;&gt;"",$K132&lt;MAX($I132:$J132)),AND($L132&lt;&gt;"",$L132&lt;MAX($I132:$K132))),"Avance semanal decreciente"&amp;" · ","")&amp;IF(AND(ISNUMBER($AN132),$AN132&lt;FechaRef,IF($V132="Sub",N($X132),N($M132))&lt;1),"Vencida"&amp;" · ","")&amp;IF(AND(ObsObligatoria="Sí",ISNUMBER($AN132),$AN132&lt;FechaRef,IF($V132="Sub",N($X132),N($M132))&lt;1,$Q132=""),"Vencida sin observación"&amp;" · ",""))="","✔ OK","⚠ "&amp;LEFT(IF($C132="","Falta el nombre de la actividad"&amp;" · ","")&amp;IF(AND($V132="Sub",N($U132)=0),"Subactividad sin macroactividad arriba"&amp;" · ","")&amp;IF($AM132="","Sin fecha de inicio"&amp;" · ","")&amp;IF($AN132="","Sin fecha límite"&amp;" · ","")&amp;IF(AND(LEFT($C132,11)="[Jefatura] ",N($AL132)=0),"No se encuentra en la hoja de la jefatura (elíjala de nuevo en la lista)"&amp;" · ","")&amp;IF(OR(AND($E132&lt;&gt;"",NOT(ISNUMBER($E132))),AND($F132&lt;&gt;"",NOT(ISNUMBER($F132))),AND($G132&lt;&gt;"",NOT(ISNUMBER($G132)))),"Fecha no válida"&amp;" · ","")&amp;IF(AND(ISNUMBER($AM132),ISNUMBER($AN132),$AM132&gt;$AN132),"Inicio posterior a fecha límite"&amp;" · ","")&amp;IF(AND($V132="Macro",$H132&lt;&gt;"",OR(NOT(ISNUMBER($H132)),$H132&lt;0,$H132&gt;1)),"Peso fuera de rango"&amp;" · ","")&amp;IF(AND($V132="Sub",$H132&lt;&gt;""),"Las subactividades no llevan peso (valen igual dentro de su macroactividad)"&amp;" · ","")&amp;IF(AND(N($W132)&gt;0,COUNT($I132:$L132)&gt;0),"Con subactividades: deje vacías las semanas (se calculan solas)"&amp;" · ","")&amp;IF((COUNTIF($I132:$L132,"&gt;1")+COUNTIF($I132:$L132,"&lt;0")+COUNTA($I132:$L132)-COUNT($I132:$L132))&gt;0,"Avance fuera de rango 0-100%"&amp;" · ","")&amp;IF(OR(AND($J132&lt;&gt;"",$J132&lt;$I132),AND($K132&lt;&gt;"",$K132&lt;MAX($I132:$J132)),AND($L132&lt;&gt;"",$L132&lt;MAX($I132:$K132))),"Avance semanal decreciente"&amp;" · ","")&amp;IF(AND(ISNUMBER($AN132),$AN132&lt;FechaRef,IF($V132="Sub",N($X132),N($M132))&lt;1),"Vencida"&amp;" · ","")&amp;IF(AND(ObsObligatoria="Sí",ISNUMBER($AN132),$AN132&lt;FechaRef,IF($V132="Sub",N($X132),N($M132))&lt;1,$Q132=""),"Vencida sin observación"&amp;" · ",""),LEN(IF($C132="","Falta el nombre de la actividad"&amp;" · ","")&amp;IF(AND($V132="Sub",N($U132)=0),"Subactividad sin macroactividad arriba"&amp;" · ","")&amp;IF($AM132="","Sin fecha de inicio"&amp;" · ","")&amp;IF($AN132="","Sin fecha límite"&amp;" · ","")&amp;IF(AND(LEFT($C132,11)="[Jefatura] ",N($AL132)=0),"No se encuentra en la hoja de la jefatura (elíjala de nuevo en la lista)"&amp;" · ","")&amp;IF(OR(AND($E132&lt;&gt;"",NOT(ISNUMBER($E132))),AND($F132&lt;&gt;"",NOT(ISNUMBER($F132))),AND($G132&lt;&gt;"",NOT(ISNUMBER($G132)))),"Fecha no válida"&amp;" · ","")&amp;IF(AND(ISNUMBER($AM132),ISNUMBER($AN132),$AM132&gt;$AN132),"Inicio posterior a fecha límite"&amp;" · ","")&amp;IF(AND($V132="Macro",$H132&lt;&gt;"",OR(NOT(ISNUMBER($H132)),$H132&lt;0,$H132&gt;1)),"Peso fuera de rango"&amp;" · ","")&amp;IF(AND($V132="Sub",$H132&lt;&gt;""),"Las subactividades no llevan peso (valen igual dentro de su macroactividad)"&amp;" · ","")&amp;IF(AND(N($W132)&gt;0,COUNT($I132:$L132)&gt;0),"Con subactividades: deje vacías las semanas (se calculan solas)"&amp;" · ","")&amp;IF((COUNTIF($I132:$L132,"&gt;1")+COUNTIF($I132:$L132,"&lt;0")+COUNTA($I132:$L132)-COUNT($I132:$L132))&gt;0,"Avance fuera de rango 0-100%"&amp;" · ","")&amp;IF(OR(AND($J132&lt;&gt;"",$J132&lt;$I132),AND($K132&lt;&gt;"",$K132&lt;MAX($I132:$J132)),AND($L132&lt;&gt;"",$L132&lt;MAX($I132:$K132))),"Avance semanal decreciente"&amp;" · ","")&amp;IF(AND(ISNUMBER($AN132),$AN132&lt;FechaRef,IF($V132="Sub",N($X132),N($M132))&lt;1),"Vencida"&amp;" · ","")&amp;IF(AND(ObsObligatoria="Sí",ISNUMBER($AN132),$AN132&lt;FechaRef,IF($V132="Sub",N($X132),N($M132))&lt;1,$Q132=""),"Vencida sin observación"&amp;" · ",""))-3)))</f>
        <v/>
      </c>
      <c r="S132" s="64">
        <f>IF(NOT((COUNTA($B132:$D132)+COUNTA($G132:$L132)+COUNTA($Q132))&gt;0),"",IF(AND($V132="Sub",N($U132)&gt;0),IF(ISNUMBER(INDEX($AM$5:$AM$1000,$U132-4)),DATE(YEAR(INDEX($AM$5:$AM$1000,$U132-4)),MONTH(INDEX($AM$5:$AM$1000,$U132-4)),1),IF(ISNUMBER(INDEX($AN$5:$AN$1000,$U132-4)),DATE(YEAR(INDEX($AN$5:$AN$1000,$U132-4)),MONTH(INDEX($AN$5:$AN$1000,$U132-4)),1),MesCiclo)),IF(ISNUMBER($AM132),DATE(YEAR($AM132),MONTH($AM132),1),IF(ISNUMBER($AN132),DATE(YEAR($AN132),MONTH($AN132),1),MesCiclo))))</f>
        <v/>
      </c>
      <c r="T132" s="62">
        <f>IF(OR($S132="",$S132&lt;&gt;MesCiclo,$V132&lt;&gt;"Macro"),"",COUNTIFS($S$5:$S132,MesCiclo,$V$5:$V132,"Macro"))</f>
        <v/>
      </c>
      <c r="U132" s="62">
        <f>IF($V132="","",IF($V132="Macro",ROW(),IFERROR(LOOKUP(2,1/($V$5:$V132="Macro"),ROW($V$5:$V132)),0)))</f>
        <v/>
      </c>
      <c r="V132" s="62">
        <f>IF(NOT((COUNTA($B132:$D132)+COUNTA($G132:$L132)+COUNTA($Q132))&gt;0),"",IF($B132="Subactividad","Sub","Macro"))</f>
        <v/>
      </c>
      <c r="W132" s="62">
        <f>IF($V132="Macro",COUNTIFS($U$5:$U$1000,ROW(),$V$5:$V$1000,"Sub"),"")</f>
        <v/>
      </c>
      <c r="X132" s="62">
        <f>IF($V132="","",IF(ISNUMBER($G132),1,IFERROR(LOOKUP(2,1/($I132:$L132&lt;&gt;""),$I132:$L132),0)))</f>
        <v/>
      </c>
      <c r="Y132" s="62">
        <f>IF($V132="","",IF(AND(ISNUMBER($G132),$G132&lt;=IF($S132=MesCiclo,InicioCiclo,$S132+MOD(2-WEEKDAY($S132),7))+6),1,IF(ISNUMBER($I132),$I132,0)))</f>
        <v/>
      </c>
      <c r="Z132" s="62">
        <f>IF($V132="","",IF(AND(ISNUMBER($G132),$G132&lt;=IF($S132=MesCiclo,InicioCiclo,$S132+MOD(2-WEEKDAY($S132),7))+13),1,IF(ISNUMBER($J132),$J132,$Y132)))</f>
        <v/>
      </c>
      <c r="AA132" s="62">
        <f>IF($V132="","",IF(AND(ISNUMBER($G132),$G132&lt;=IF($S132=MesCiclo,InicioCiclo,$S132+MOD(2-WEEKDAY($S132),7))+20),1,IF(ISNUMBER($K132),$K132,$Z132)))</f>
        <v/>
      </c>
      <c r="AB132" s="62">
        <f>IF($V132="","",IF(AND(ISNUMBER($G132),$G132&lt;=IF($S132=MesCiclo,InicioCiclo,$S132+MOD(2-WEEKDAY($S132),7))+27),1,IF(ISNUMBER($L132),$L132,$AA132)))</f>
        <v/>
      </c>
      <c r="AC132" s="62">
        <f>IF($V132="","",IF(AND(ISNUMBER($G132),$G132&lt;=IF($S132=MesCiclo,InicioCiclo,$S132+MOD(2-WEEKDAY($S132),7))+6),1,IF(N($W132)&gt;0,AVERAGEIFS($Y$5:$Y$1000,$U$5:$U$1000,ROW(),$V$5:$V$1000,"Sub"),$Y132)))</f>
        <v/>
      </c>
      <c r="AD132" s="62">
        <f>IF($V132="","",IF(AND(ISNUMBER($G132),$G132&lt;=IF($S132=MesCiclo,InicioCiclo,$S132+MOD(2-WEEKDAY($S132),7))+13),1,IF(N($W132)&gt;0,AVERAGEIFS($Z$5:$Z$1000,$U$5:$U$1000,ROW(),$V$5:$V$1000,"Sub"),$Z132)))</f>
        <v/>
      </c>
      <c r="AE132" s="62">
        <f>IF($V132="","",IF(AND(ISNUMBER($G132),$G132&lt;=IF($S132=MesCiclo,InicioCiclo,$S132+MOD(2-WEEKDAY($S132),7))+20),1,IF(N($W132)&gt;0,AVERAGEIFS($AA$5:$AA$1000,$U$5:$U$1000,ROW(),$V$5:$V$1000,"Sub"),$AA132)))</f>
        <v/>
      </c>
      <c r="AF132" s="62">
        <f>IF($V132="","",IF(AND(ISNUMBER($G132),$G132&lt;=IF($S132=MesCiclo,InicioCiclo,$S132+MOD(2-WEEKDAY($S132),7))+27),1,IF(N($W132)&gt;0,AVERAGEIFS($AB$5:$AB$1000,$U$5:$U$1000,ROW(),$V$5:$V$1000,"Sub"),$AB132)))</f>
        <v/>
      </c>
      <c r="AG132" s="62">
        <f>IF($V132&lt;&gt;"Macro","",IF(COUNTIFS($S$5:$S$1000,$S132,$V$5:$V$1000,"Macro",$H$5:$H$1000,"&gt;0")=0,1/COUNTIFS($S$5:$S$1000,$S132,$V$5:$V$1000,"Macro"),IF(AND(ISNUMBER($H132),N($H132)&gt;0),$H132,SUMIFS($H$5:$H$1000,$S$5:$S$1000,$S132,$V$5:$V$1000,"Macro")/COUNTIFS($S$5:$S$1000,$S132,$V$5:$V$1000,"Macro",$H$5:$H$1000,"&gt;0"))/(COUNTIFS($S$5:$S$1000,$S132,$V$5:$V$1000,"Macro")*SUMIFS($H$5:$H$1000,$S$5:$S$1000,$S132,$V$5:$V$1000,"Macro")/COUNTIFS($S$5:$S$1000,$S132,$V$5:$V$1000,"Macro",$H$5:$H$1000,"&gt;0"))))</f>
        <v/>
      </c>
      <c r="AH132" s="62" t="n"/>
      <c r="AI132" s="62" t="n"/>
      <c r="AJ132" s="62" t="n"/>
      <c r="AK132" s="62" t="n"/>
      <c r="AL132" s="62">
        <f>IF(LEFT($C132,11)="[Jefatura] ",IFERROR(MATCH("Riesgo Operacional|"&amp;MID($C132,12,500),rDname_ADM,0),0),"")</f>
        <v/>
      </c>
      <c r="AM132" s="62">
        <f>IF(N($AL132)&gt;0,INDEX(rIni_ADM,$AL132),IF(ISNUMBER($E132),$E132,""))</f>
        <v/>
      </c>
      <c r="AN132" s="62">
        <f>IF(N($AL132)&gt;0,INDEX(rLim_ADM,$AL132),IF(ISNUMBER($F132),$F132,""))</f>
        <v/>
      </c>
    </row>
    <row r="133">
      <c r="A133" s="56">
        <f>IF(NOT((COUNTA($B133:$D133)+COUNTA($G133:$L133)+COUNTA($Q133))&gt;0),"",IF($V133="Macro",COUNTIFS($V$5:$V133,"Macro",$S$5:$S133,$S133),IF(N($U133)=0,"?",COUNTIFS(INDEX($V$5:$V$1000,1):INDEX($V$5:$V$1000,$U133-4),"Macro",INDEX($S$5:$S$1000,1):INDEX($S$5:$S$1000,$U133-4),INDEX($S$5:$S$1000,$U133-4))&amp;"."&amp;COUNTIFS($U$5:$U133,$U133,$V$5:$V133,"Sub"))))</f>
        <v/>
      </c>
      <c r="B133" s="57" t="n"/>
      <c r="C133" s="58" t="n"/>
      <c r="D133" s="58" t="n"/>
      <c r="E133" s="59">
        <f>IF(N($AL133)&gt;0,INDEX(rIni_ADM,$AL133),"")</f>
        <v/>
      </c>
      <c r="F133" s="59">
        <f>IF(N($AL133)&gt;0,INDEX(rLim_ADM,$AL133),"")</f>
        <v/>
      </c>
      <c r="G133" s="59" t="n"/>
      <c r="H133" s="60" t="n"/>
      <c r="I133" s="60" t="n"/>
      <c r="J133" s="60" t="n"/>
      <c r="K133" s="60" t="n"/>
      <c r="L133" s="60" t="n"/>
      <c r="M133" s="61">
        <f>IF(NOT((COUNTA($B133:$D133)+COUNTA($G133:$L133)+COUNTA($Q133))&gt;0),"",IF($V133="Sub",IFERROR($X133/INDEX($W$5:$W$1000,$U133-4),""),IF(ISNUMBER($G133),1,IF(N($W133)&gt;0,AVERAGEIFS($X$5:$X$1000,$U$5:$U$1000,ROW(),$V$5:$V$1000,"Sub"),$X133))))</f>
        <v/>
      </c>
      <c r="N133" s="56">
        <f>IF(OR($M133="",$V133="Sub"),"",IF($M133&gt;=1,"Completado",IF($M133&gt;0,"En curso","Pendiente")))</f>
        <v/>
      </c>
      <c r="O133" s="56">
        <f>IF(OR(NOT((COUNTA($B133:$D133)+COUNTA($G133:$L133)+COUNTA($Q133))&gt;0),$V133="Sub"),"",IF(ISNUMBER($G133),IF(AND(ISNUMBER($AN133),$G133&gt;$AN133),"Cumplida con "&amp;($G133-$AN133)&amp;IF($G133-$AN133=1," día"," días")&amp;" de retraso","Cumplida"),IF(N($M133)&gt;=1,"Cumplida",IF(NOT(ISNUMBER($AN133)),"Sin fecha límite",IF($AN133&lt;FechaRef,"Vencida hace "&amp;(FechaRef-$AN133)&amp;IF(FechaRef-$AN133=1," día"," días"),IF($AN133=FechaRef,"Vence hoy",IF($AN133-FechaRef&lt;=DiasAlerta,"Vence en "&amp;($AN133-FechaRef)&amp;IF($AN133-FechaRef=1," día"," días"),"En plazo")))))))</f>
        <v/>
      </c>
      <c r="P133" s="62" t="n"/>
      <c r="Q133" s="58" t="n"/>
      <c r="R133" s="63">
        <f>IF(NOT((COUNTA($B133:$D133)+COUNTA($G133:$L133)+COUNTA($Q133))&gt;0),"",IF((IF($C133="","Falta el nombre de la actividad"&amp;" · ","")&amp;IF(AND($V133="Sub",N($U133)=0),"Subactividad sin macroactividad arriba"&amp;" · ","")&amp;IF($AM133="","Sin fecha de inicio"&amp;" · ","")&amp;IF($AN133="","Sin fecha límite"&amp;" · ","")&amp;IF(AND(LEFT($C133,11)="[Jefatura] ",N($AL133)=0),"No se encuentra en la hoja de la jefatura (elíjala de nuevo en la lista)"&amp;" · ","")&amp;IF(OR(AND($E133&lt;&gt;"",NOT(ISNUMBER($E133))),AND($F133&lt;&gt;"",NOT(ISNUMBER($F133))),AND($G133&lt;&gt;"",NOT(ISNUMBER($G133)))),"Fecha no válida"&amp;" · ","")&amp;IF(AND(ISNUMBER($AM133),ISNUMBER($AN133),$AM133&gt;$AN133),"Inicio posterior a fecha límite"&amp;" · ","")&amp;IF(AND($V133="Macro",$H133&lt;&gt;"",OR(NOT(ISNUMBER($H133)),$H133&lt;0,$H133&gt;1)),"Peso fuera de rango"&amp;" · ","")&amp;IF(AND($V133="Sub",$H133&lt;&gt;""),"Las subactividades no llevan peso (valen igual dentro de su macroactividad)"&amp;" · ","")&amp;IF(AND(N($W133)&gt;0,COUNT($I133:$L133)&gt;0),"Con subactividades: deje vacías las semanas (se calculan solas)"&amp;" · ","")&amp;IF((COUNTIF($I133:$L133,"&gt;1")+COUNTIF($I133:$L133,"&lt;0")+COUNTA($I133:$L133)-COUNT($I133:$L133))&gt;0,"Avance fuera de rango 0-100%"&amp;" · ","")&amp;IF(OR(AND($J133&lt;&gt;"",$J133&lt;$I133),AND($K133&lt;&gt;"",$K133&lt;MAX($I133:$J133)),AND($L133&lt;&gt;"",$L133&lt;MAX($I133:$K133))),"Avance semanal decreciente"&amp;" · ","")&amp;IF(AND(ISNUMBER($AN133),$AN133&lt;FechaRef,IF($V133="Sub",N($X133),N($M133))&lt;1),"Vencida"&amp;" · ","")&amp;IF(AND(ObsObligatoria="Sí",ISNUMBER($AN133),$AN133&lt;FechaRef,IF($V133="Sub",N($X133),N($M133))&lt;1,$Q133=""),"Vencida sin observación"&amp;" · ",""))="","✔ OK","⚠ "&amp;LEFT(IF($C133="","Falta el nombre de la actividad"&amp;" · ","")&amp;IF(AND($V133="Sub",N($U133)=0),"Subactividad sin macroactividad arriba"&amp;" · ","")&amp;IF($AM133="","Sin fecha de inicio"&amp;" · ","")&amp;IF($AN133="","Sin fecha límite"&amp;" · ","")&amp;IF(AND(LEFT($C133,11)="[Jefatura] ",N($AL133)=0),"No se encuentra en la hoja de la jefatura (elíjala de nuevo en la lista)"&amp;" · ","")&amp;IF(OR(AND($E133&lt;&gt;"",NOT(ISNUMBER($E133))),AND($F133&lt;&gt;"",NOT(ISNUMBER($F133))),AND($G133&lt;&gt;"",NOT(ISNUMBER($G133)))),"Fecha no válida"&amp;" · ","")&amp;IF(AND(ISNUMBER($AM133),ISNUMBER($AN133),$AM133&gt;$AN133),"Inicio posterior a fecha límite"&amp;" · ","")&amp;IF(AND($V133="Macro",$H133&lt;&gt;"",OR(NOT(ISNUMBER($H133)),$H133&lt;0,$H133&gt;1)),"Peso fuera de rango"&amp;" · ","")&amp;IF(AND($V133="Sub",$H133&lt;&gt;""),"Las subactividades no llevan peso (valen igual dentro de su macroactividad)"&amp;" · ","")&amp;IF(AND(N($W133)&gt;0,COUNT($I133:$L133)&gt;0),"Con subactividades: deje vacías las semanas (se calculan solas)"&amp;" · ","")&amp;IF((COUNTIF($I133:$L133,"&gt;1")+COUNTIF($I133:$L133,"&lt;0")+COUNTA($I133:$L133)-COUNT($I133:$L133))&gt;0,"Avance fuera de rango 0-100%"&amp;" · ","")&amp;IF(OR(AND($J133&lt;&gt;"",$J133&lt;$I133),AND($K133&lt;&gt;"",$K133&lt;MAX($I133:$J133)),AND($L133&lt;&gt;"",$L133&lt;MAX($I133:$K133))),"Avance semanal decreciente"&amp;" · ","")&amp;IF(AND(ISNUMBER($AN133),$AN133&lt;FechaRef,IF($V133="Sub",N($X133),N($M133))&lt;1),"Vencida"&amp;" · ","")&amp;IF(AND(ObsObligatoria="Sí",ISNUMBER($AN133),$AN133&lt;FechaRef,IF($V133="Sub",N($X133),N($M133))&lt;1,$Q133=""),"Vencida sin observación"&amp;" · ",""),LEN(IF($C133="","Falta el nombre de la actividad"&amp;" · ","")&amp;IF(AND($V133="Sub",N($U133)=0),"Subactividad sin macroactividad arriba"&amp;" · ","")&amp;IF($AM133="","Sin fecha de inicio"&amp;" · ","")&amp;IF($AN133="","Sin fecha límite"&amp;" · ","")&amp;IF(AND(LEFT($C133,11)="[Jefatura] ",N($AL133)=0),"No se encuentra en la hoja de la jefatura (elíjala de nuevo en la lista)"&amp;" · ","")&amp;IF(OR(AND($E133&lt;&gt;"",NOT(ISNUMBER($E133))),AND($F133&lt;&gt;"",NOT(ISNUMBER($F133))),AND($G133&lt;&gt;"",NOT(ISNUMBER($G133)))),"Fecha no válida"&amp;" · ","")&amp;IF(AND(ISNUMBER($AM133),ISNUMBER($AN133),$AM133&gt;$AN133),"Inicio posterior a fecha límite"&amp;" · ","")&amp;IF(AND($V133="Macro",$H133&lt;&gt;"",OR(NOT(ISNUMBER($H133)),$H133&lt;0,$H133&gt;1)),"Peso fuera de rango"&amp;" · ","")&amp;IF(AND($V133="Sub",$H133&lt;&gt;""),"Las subactividades no llevan peso (valen igual dentro de su macroactividad)"&amp;" · ","")&amp;IF(AND(N($W133)&gt;0,COUNT($I133:$L133)&gt;0),"Con subactividades: deje vacías las semanas (se calculan solas)"&amp;" · ","")&amp;IF((COUNTIF($I133:$L133,"&gt;1")+COUNTIF($I133:$L133,"&lt;0")+COUNTA($I133:$L133)-COUNT($I133:$L133))&gt;0,"Avance fuera de rango 0-100%"&amp;" · ","")&amp;IF(OR(AND($J133&lt;&gt;"",$J133&lt;$I133),AND($K133&lt;&gt;"",$K133&lt;MAX($I133:$J133)),AND($L133&lt;&gt;"",$L133&lt;MAX($I133:$K133))),"Avance semanal decreciente"&amp;" · ","")&amp;IF(AND(ISNUMBER($AN133),$AN133&lt;FechaRef,IF($V133="Sub",N($X133),N($M133))&lt;1),"Vencida"&amp;" · ","")&amp;IF(AND(ObsObligatoria="Sí",ISNUMBER($AN133),$AN133&lt;FechaRef,IF($V133="Sub",N($X133),N($M133))&lt;1,$Q133=""),"Vencida sin observación"&amp;" · ",""))-3)))</f>
        <v/>
      </c>
      <c r="S133" s="64">
        <f>IF(NOT((COUNTA($B133:$D133)+COUNTA($G133:$L133)+COUNTA($Q133))&gt;0),"",IF(AND($V133="Sub",N($U133)&gt;0),IF(ISNUMBER(INDEX($AM$5:$AM$1000,$U133-4)),DATE(YEAR(INDEX($AM$5:$AM$1000,$U133-4)),MONTH(INDEX($AM$5:$AM$1000,$U133-4)),1),IF(ISNUMBER(INDEX($AN$5:$AN$1000,$U133-4)),DATE(YEAR(INDEX($AN$5:$AN$1000,$U133-4)),MONTH(INDEX($AN$5:$AN$1000,$U133-4)),1),MesCiclo)),IF(ISNUMBER($AM133),DATE(YEAR($AM133),MONTH($AM133),1),IF(ISNUMBER($AN133),DATE(YEAR($AN133),MONTH($AN133),1),MesCiclo))))</f>
        <v/>
      </c>
      <c r="T133" s="62">
        <f>IF(OR($S133="",$S133&lt;&gt;MesCiclo,$V133&lt;&gt;"Macro"),"",COUNTIFS($S$5:$S133,MesCiclo,$V$5:$V133,"Macro"))</f>
        <v/>
      </c>
      <c r="U133" s="62">
        <f>IF($V133="","",IF($V133="Macro",ROW(),IFERROR(LOOKUP(2,1/($V$5:$V133="Macro"),ROW($V$5:$V133)),0)))</f>
        <v/>
      </c>
      <c r="V133" s="62">
        <f>IF(NOT((COUNTA($B133:$D133)+COUNTA($G133:$L133)+COUNTA($Q133))&gt;0),"",IF($B133="Subactividad","Sub","Macro"))</f>
        <v/>
      </c>
      <c r="W133" s="62">
        <f>IF($V133="Macro",COUNTIFS($U$5:$U$1000,ROW(),$V$5:$V$1000,"Sub"),"")</f>
        <v/>
      </c>
      <c r="X133" s="62">
        <f>IF($V133="","",IF(ISNUMBER($G133),1,IFERROR(LOOKUP(2,1/($I133:$L133&lt;&gt;""),$I133:$L133),0)))</f>
        <v/>
      </c>
      <c r="Y133" s="62">
        <f>IF($V133="","",IF(AND(ISNUMBER($G133),$G133&lt;=IF($S133=MesCiclo,InicioCiclo,$S133+MOD(2-WEEKDAY($S133),7))+6),1,IF(ISNUMBER($I133),$I133,0)))</f>
        <v/>
      </c>
      <c r="Z133" s="62">
        <f>IF($V133="","",IF(AND(ISNUMBER($G133),$G133&lt;=IF($S133=MesCiclo,InicioCiclo,$S133+MOD(2-WEEKDAY($S133),7))+13),1,IF(ISNUMBER($J133),$J133,$Y133)))</f>
        <v/>
      </c>
      <c r="AA133" s="62">
        <f>IF($V133="","",IF(AND(ISNUMBER($G133),$G133&lt;=IF($S133=MesCiclo,InicioCiclo,$S133+MOD(2-WEEKDAY($S133),7))+20),1,IF(ISNUMBER($K133),$K133,$Z133)))</f>
        <v/>
      </c>
      <c r="AB133" s="62">
        <f>IF($V133="","",IF(AND(ISNUMBER($G133),$G133&lt;=IF($S133=MesCiclo,InicioCiclo,$S133+MOD(2-WEEKDAY($S133),7))+27),1,IF(ISNUMBER($L133),$L133,$AA133)))</f>
        <v/>
      </c>
      <c r="AC133" s="62">
        <f>IF($V133="","",IF(AND(ISNUMBER($G133),$G133&lt;=IF($S133=MesCiclo,InicioCiclo,$S133+MOD(2-WEEKDAY($S133),7))+6),1,IF(N($W133)&gt;0,AVERAGEIFS($Y$5:$Y$1000,$U$5:$U$1000,ROW(),$V$5:$V$1000,"Sub"),$Y133)))</f>
        <v/>
      </c>
      <c r="AD133" s="62">
        <f>IF($V133="","",IF(AND(ISNUMBER($G133),$G133&lt;=IF($S133=MesCiclo,InicioCiclo,$S133+MOD(2-WEEKDAY($S133),7))+13),1,IF(N($W133)&gt;0,AVERAGEIFS($Z$5:$Z$1000,$U$5:$U$1000,ROW(),$V$5:$V$1000,"Sub"),$Z133)))</f>
        <v/>
      </c>
      <c r="AE133" s="62">
        <f>IF($V133="","",IF(AND(ISNUMBER($G133),$G133&lt;=IF($S133=MesCiclo,InicioCiclo,$S133+MOD(2-WEEKDAY($S133),7))+20),1,IF(N($W133)&gt;0,AVERAGEIFS($AA$5:$AA$1000,$U$5:$U$1000,ROW(),$V$5:$V$1000,"Sub"),$AA133)))</f>
        <v/>
      </c>
      <c r="AF133" s="62">
        <f>IF($V133="","",IF(AND(ISNUMBER($G133),$G133&lt;=IF($S133=MesCiclo,InicioCiclo,$S133+MOD(2-WEEKDAY($S133),7))+27),1,IF(N($W133)&gt;0,AVERAGEIFS($AB$5:$AB$1000,$U$5:$U$1000,ROW(),$V$5:$V$1000,"Sub"),$AB133)))</f>
        <v/>
      </c>
      <c r="AG133" s="62">
        <f>IF($V133&lt;&gt;"Macro","",IF(COUNTIFS($S$5:$S$1000,$S133,$V$5:$V$1000,"Macro",$H$5:$H$1000,"&gt;0")=0,1/COUNTIFS($S$5:$S$1000,$S133,$V$5:$V$1000,"Macro"),IF(AND(ISNUMBER($H133),N($H133)&gt;0),$H133,SUMIFS($H$5:$H$1000,$S$5:$S$1000,$S133,$V$5:$V$1000,"Macro")/COUNTIFS($S$5:$S$1000,$S133,$V$5:$V$1000,"Macro",$H$5:$H$1000,"&gt;0"))/(COUNTIFS($S$5:$S$1000,$S133,$V$5:$V$1000,"Macro")*SUMIFS($H$5:$H$1000,$S$5:$S$1000,$S133,$V$5:$V$1000,"Macro")/COUNTIFS($S$5:$S$1000,$S133,$V$5:$V$1000,"Macro",$H$5:$H$1000,"&gt;0"))))</f>
        <v/>
      </c>
      <c r="AH133" s="62" t="n"/>
      <c r="AI133" s="62" t="n"/>
      <c r="AJ133" s="62" t="n"/>
      <c r="AK133" s="62" t="n"/>
      <c r="AL133" s="62">
        <f>IF(LEFT($C133,11)="[Jefatura] ",IFERROR(MATCH("Riesgo Operacional|"&amp;MID($C133,12,500),rDname_ADM,0),0),"")</f>
        <v/>
      </c>
      <c r="AM133" s="62">
        <f>IF(N($AL133)&gt;0,INDEX(rIni_ADM,$AL133),IF(ISNUMBER($E133),$E133,""))</f>
        <v/>
      </c>
      <c r="AN133" s="62">
        <f>IF(N($AL133)&gt;0,INDEX(rLim_ADM,$AL133),IF(ISNUMBER($F133),$F133,""))</f>
        <v/>
      </c>
    </row>
    <row r="134">
      <c r="A134" s="56">
        <f>IF(NOT((COUNTA($B134:$D134)+COUNTA($G134:$L134)+COUNTA($Q134))&gt;0),"",IF($V134="Macro",COUNTIFS($V$5:$V134,"Macro",$S$5:$S134,$S134),IF(N($U134)=0,"?",COUNTIFS(INDEX($V$5:$V$1000,1):INDEX($V$5:$V$1000,$U134-4),"Macro",INDEX($S$5:$S$1000,1):INDEX($S$5:$S$1000,$U134-4),INDEX($S$5:$S$1000,$U134-4))&amp;"."&amp;COUNTIFS($U$5:$U134,$U134,$V$5:$V134,"Sub"))))</f>
        <v/>
      </c>
      <c r="B134" s="57" t="n"/>
      <c r="C134" s="58" t="n"/>
      <c r="D134" s="58" t="n"/>
      <c r="E134" s="59">
        <f>IF(N($AL134)&gt;0,INDEX(rIni_ADM,$AL134),"")</f>
        <v/>
      </c>
      <c r="F134" s="59">
        <f>IF(N($AL134)&gt;0,INDEX(rLim_ADM,$AL134),"")</f>
        <v/>
      </c>
      <c r="G134" s="59" t="n"/>
      <c r="H134" s="60" t="n"/>
      <c r="I134" s="60" t="n"/>
      <c r="J134" s="60" t="n"/>
      <c r="K134" s="60" t="n"/>
      <c r="L134" s="60" t="n"/>
      <c r="M134" s="61">
        <f>IF(NOT((COUNTA($B134:$D134)+COUNTA($G134:$L134)+COUNTA($Q134))&gt;0),"",IF($V134="Sub",IFERROR($X134/INDEX($W$5:$W$1000,$U134-4),""),IF(ISNUMBER($G134),1,IF(N($W134)&gt;0,AVERAGEIFS($X$5:$X$1000,$U$5:$U$1000,ROW(),$V$5:$V$1000,"Sub"),$X134))))</f>
        <v/>
      </c>
      <c r="N134" s="56">
        <f>IF(OR($M134="",$V134="Sub"),"",IF($M134&gt;=1,"Completado",IF($M134&gt;0,"En curso","Pendiente")))</f>
        <v/>
      </c>
      <c r="O134" s="56">
        <f>IF(OR(NOT((COUNTA($B134:$D134)+COUNTA($G134:$L134)+COUNTA($Q134))&gt;0),$V134="Sub"),"",IF(ISNUMBER($G134),IF(AND(ISNUMBER($AN134),$G134&gt;$AN134),"Cumplida con "&amp;($G134-$AN134)&amp;IF($G134-$AN134=1," día"," días")&amp;" de retraso","Cumplida"),IF(N($M134)&gt;=1,"Cumplida",IF(NOT(ISNUMBER($AN134)),"Sin fecha límite",IF($AN134&lt;FechaRef,"Vencida hace "&amp;(FechaRef-$AN134)&amp;IF(FechaRef-$AN134=1," día"," días"),IF($AN134=FechaRef,"Vence hoy",IF($AN134-FechaRef&lt;=DiasAlerta,"Vence en "&amp;($AN134-FechaRef)&amp;IF($AN134-FechaRef=1," día"," días"),"En plazo")))))))</f>
        <v/>
      </c>
      <c r="P134" s="62" t="n"/>
      <c r="Q134" s="58" t="n"/>
      <c r="R134" s="63">
        <f>IF(NOT((COUNTA($B134:$D134)+COUNTA($G134:$L134)+COUNTA($Q134))&gt;0),"",IF((IF($C134="","Falta el nombre de la actividad"&amp;" · ","")&amp;IF(AND($V134="Sub",N($U134)=0),"Subactividad sin macroactividad arriba"&amp;" · ","")&amp;IF($AM134="","Sin fecha de inicio"&amp;" · ","")&amp;IF($AN134="","Sin fecha límite"&amp;" · ","")&amp;IF(AND(LEFT($C134,11)="[Jefatura] ",N($AL134)=0),"No se encuentra en la hoja de la jefatura (elíjala de nuevo en la lista)"&amp;" · ","")&amp;IF(OR(AND($E134&lt;&gt;"",NOT(ISNUMBER($E134))),AND($F134&lt;&gt;"",NOT(ISNUMBER($F134))),AND($G134&lt;&gt;"",NOT(ISNUMBER($G134)))),"Fecha no válida"&amp;" · ","")&amp;IF(AND(ISNUMBER($AM134),ISNUMBER($AN134),$AM134&gt;$AN134),"Inicio posterior a fecha límite"&amp;" · ","")&amp;IF(AND($V134="Macro",$H134&lt;&gt;"",OR(NOT(ISNUMBER($H134)),$H134&lt;0,$H134&gt;1)),"Peso fuera de rango"&amp;" · ","")&amp;IF(AND($V134="Sub",$H134&lt;&gt;""),"Las subactividades no llevan peso (valen igual dentro de su macroactividad)"&amp;" · ","")&amp;IF(AND(N($W134)&gt;0,COUNT($I134:$L134)&gt;0),"Con subactividades: deje vacías las semanas (se calculan solas)"&amp;" · ","")&amp;IF((COUNTIF($I134:$L134,"&gt;1")+COUNTIF($I134:$L134,"&lt;0")+COUNTA($I134:$L134)-COUNT($I134:$L134))&gt;0,"Avance fuera de rango 0-100%"&amp;" · ","")&amp;IF(OR(AND($J134&lt;&gt;"",$J134&lt;$I134),AND($K134&lt;&gt;"",$K134&lt;MAX($I134:$J134)),AND($L134&lt;&gt;"",$L134&lt;MAX($I134:$K134))),"Avance semanal decreciente"&amp;" · ","")&amp;IF(AND(ISNUMBER($AN134),$AN134&lt;FechaRef,IF($V134="Sub",N($X134),N($M134))&lt;1),"Vencida"&amp;" · ","")&amp;IF(AND(ObsObligatoria="Sí",ISNUMBER($AN134),$AN134&lt;FechaRef,IF($V134="Sub",N($X134),N($M134))&lt;1,$Q134=""),"Vencida sin observación"&amp;" · ",""))="","✔ OK","⚠ "&amp;LEFT(IF($C134="","Falta el nombre de la actividad"&amp;" · ","")&amp;IF(AND($V134="Sub",N($U134)=0),"Subactividad sin macroactividad arriba"&amp;" · ","")&amp;IF($AM134="","Sin fecha de inicio"&amp;" · ","")&amp;IF($AN134="","Sin fecha límite"&amp;" · ","")&amp;IF(AND(LEFT($C134,11)="[Jefatura] ",N($AL134)=0),"No se encuentra en la hoja de la jefatura (elíjala de nuevo en la lista)"&amp;" · ","")&amp;IF(OR(AND($E134&lt;&gt;"",NOT(ISNUMBER($E134))),AND($F134&lt;&gt;"",NOT(ISNUMBER($F134))),AND($G134&lt;&gt;"",NOT(ISNUMBER($G134)))),"Fecha no válida"&amp;" · ","")&amp;IF(AND(ISNUMBER($AM134),ISNUMBER($AN134),$AM134&gt;$AN134),"Inicio posterior a fecha límite"&amp;" · ","")&amp;IF(AND($V134="Macro",$H134&lt;&gt;"",OR(NOT(ISNUMBER($H134)),$H134&lt;0,$H134&gt;1)),"Peso fuera de rango"&amp;" · ","")&amp;IF(AND($V134="Sub",$H134&lt;&gt;""),"Las subactividades no llevan peso (valen igual dentro de su macroactividad)"&amp;" · ","")&amp;IF(AND(N($W134)&gt;0,COUNT($I134:$L134)&gt;0),"Con subactividades: deje vacías las semanas (se calculan solas)"&amp;" · ","")&amp;IF((COUNTIF($I134:$L134,"&gt;1")+COUNTIF($I134:$L134,"&lt;0")+COUNTA($I134:$L134)-COUNT($I134:$L134))&gt;0,"Avance fuera de rango 0-100%"&amp;" · ","")&amp;IF(OR(AND($J134&lt;&gt;"",$J134&lt;$I134),AND($K134&lt;&gt;"",$K134&lt;MAX($I134:$J134)),AND($L134&lt;&gt;"",$L134&lt;MAX($I134:$K134))),"Avance semanal decreciente"&amp;" · ","")&amp;IF(AND(ISNUMBER($AN134),$AN134&lt;FechaRef,IF($V134="Sub",N($X134),N($M134))&lt;1),"Vencida"&amp;" · ","")&amp;IF(AND(ObsObligatoria="Sí",ISNUMBER($AN134),$AN134&lt;FechaRef,IF($V134="Sub",N($X134),N($M134))&lt;1,$Q134=""),"Vencida sin observación"&amp;" · ",""),LEN(IF($C134="","Falta el nombre de la actividad"&amp;" · ","")&amp;IF(AND($V134="Sub",N($U134)=0),"Subactividad sin macroactividad arriba"&amp;" · ","")&amp;IF($AM134="","Sin fecha de inicio"&amp;" · ","")&amp;IF($AN134="","Sin fecha límite"&amp;" · ","")&amp;IF(AND(LEFT($C134,11)="[Jefatura] ",N($AL134)=0),"No se encuentra en la hoja de la jefatura (elíjala de nuevo en la lista)"&amp;" · ","")&amp;IF(OR(AND($E134&lt;&gt;"",NOT(ISNUMBER($E134))),AND($F134&lt;&gt;"",NOT(ISNUMBER($F134))),AND($G134&lt;&gt;"",NOT(ISNUMBER($G134)))),"Fecha no válida"&amp;" · ","")&amp;IF(AND(ISNUMBER($AM134),ISNUMBER($AN134),$AM134&gt;$AN134),"Inicio posterior a fecha límite"&amp;" · ","")&amp;IF(AND($V134="Macro",$H134&lt;&gt;"",OR(NOT(ISNUMBER($H134)),$H134&lt;0,$H134&gt;1)),"Peso fuera de rango"&amp;" · ","")&amp;IF(AND($V134="Sub",$H134&lt;&gt;""),"Las subactividades no llevan peso (valen igual dentro de su macroactividad)"&amp;" · ","")&amp;IF(AND(N($W134)&gt;0,COUNT($I134:$L134)&gt;0),"Con subactividades: deje vacías las semanas (se calculan solas)"&amp;" · ","")&amp;IF((COUNTIF($I134:$L134,"&gt;1")+COUNTIF($I134:$L134,"&lt;0")+COUNTA($I134:$L134)-COUNT($I134:$L134))&gt;0,"Avance fuera de rango 0-100%"&amp;" · ","")&amp;IF(OR(AND($J134&lt;&gt;"",$J134&lt;$I134),AND($K134&lt;&gt;"",$K134&lt;MAX($I134:$J134)),AND($L134&lt;&gt;"",$L134&lt;MAX($I134:$K134))),"Avance semanal decreciente"&amp;" · ","")&amp;IF(AND(ISNUMBER($AN134),$AN134&lt;FechaRef,IF($V134="Sub",N($X134),N($M134))&lt;1),"Vencida"&amp;" · ","")&amp;IF(AND(ObsObligatoria="Sí",ISNUMBER($AN134),$AN134&lt;FechaRef,IF($V134="Sub",N($X134),N($M134))&lt;1,$Q134=""),"Vencida sin observación"&amp;" · ",""))-3)))</f>
        <v/>
      </c>
      <c r="S134" s="64">
        <f>IF(NOT((COUNTA($B134:$D134)+COUNTA($G134:$L134)+COUNTA($Q134))&gt;0),"",IF(AND($V134="Sub",N($U134)&gt;0),IF(ISNUMBER(INDEX($AM$5:$AM$1000,$U134-4)),DATE(YEAR(INDEX($AM$5:$AM$1000,$U134-4)),MONTH(INDEX($AM$5:$AM$1000,$U134-4)),1),IF(ISNUMBER(INDEX($AN$5:$AN$1000,$U134-4)),DATE(YEAR(INDEX($AN$5:$AN$1000,$U134-4)),MONTH(INDEX($AN$5:$AN$1000,$U134-4)),1),MesCiclo)),IF(ISNUMBER($AM134),DATE(YEAR($AM134),MONTH($AM134),1),IF(ISNUMBER($AN134),DATE(YEAR($AN134),MONTH($AN134),1),MesCiclo))))</f>
        <v/>
      </c>
      <c r="T134" s="62">
        <f>IF(OR($S134="",$S134&lt;&gt;MesCiclo,$V134&lt;&gt;"Macro"),"",COUNTIFS($S$5:$S134,MesCiclo,$V$5:$V134,"Macro"))</f>
        <v/>
      </c>
      <c r="U134" s="62">
        <f>IF($V134="","",IF($V134="Macro",ROW(),IFERROR(LOOKUP(2,1/($V$5:$V134="Macro"),ROW($V$5:$V134)),0)))</f>
        <v/>
      </c>
      <c r="V134" s="62">
        <f>IF(NOT((COUNTA($B134:$D134)+COUNTA($G134:$L134)+COUNTA($Q134))&gt;0),"",IF($B134="Subactividad","Sub","Macro"))</f>
        <v/>
      </c>
      <c r="W134" s="62">
        <f>IF($V134="Macro",COUNTIFS($U$5:$U$1000,ROW(),$V$5:$V$1000,"Sub"),"")</f>
        <v/>
      </c>
      <c r="X134" s="62">
        <f>IF($V134="","",IF(ISNUMBER($G134),1,IFERROR(LOOKUP(2,1/($I134:$L134&lt;&gt;""),$I134:$L134),0)))</f>
        <v/>
      </c>
      <c r="Y134" s="62">
        <f>IF($V134="","",IF(AND(ISNUMBER($G134),$G134&lt;=IF($S134=MesCiclo,InicioCiclo,$S134+MOD(2-WEEKDAY($S134),7))+6),1,IF(ISNUMBER($I134),$I134,0)))</f>
        <v/>
      </c>
      <c r="Z134" s="62">
        <f>IF($V134="","",IF(AND(ISNUMBER($G134),$G134&lt;=IF($S134=MesCiclo,InicioCiclo,$S134+MOD(2-WEEKDAY($S134),7))+13),1,IF(ISNUMBER($J134),$J134,$Y134)))</f>
        <v/>
      </c>
      <c r="AA134" s="62">
        <f>IF($V134="","",IF(AND(ISNUMBER($G134),$G134&lt;=IF($S134=MesCiclo,InicioCiclo,$S134+MOD(2-WEEKDAY($S134),7))+20),1,IF(ISNUMBER($K134),$K134,$Z134)))</f>
        <v/>
      </c>
      <c r="AB134" s="62">
        <f>IF($V134="","",IF(AND(ISNUMBER($G134),$G134&lt;=IF($S134=MesCiclo,InicioCiclo,$S134+MOD(2-WEEKDAY($S134),7))+27),1,IF(ISNUMBER($L134),$L134,$AA134)))</f>
        <v/>
      </c>
      <c r="AC134" s="62">
        <f>IF($V134="","",IF(AND(ISNUMBER($G134),$G134&lt;=IF($S134=MesCiclo,InicioCiclo,$S134+MOD(2-WEEKDAY($S134),7))+6),1,IF(N($W134)&gt;0,AVERAGEIFS($Y$5:$Y$1000,$U$5:$U$1000,ROW(),$V$5:$V$1000,"Sub"),$Y134)))</f>
        <v/>
      </c>
      <c r="AD134" s="62">
        <f>IF($V134="","",IF(AND(ISNUMBER($G134),$G134&lt;=IF($S134=MesCiclo,InicioCiclo,$S134+MOD(2-WEEKDAY($S134),7))+13),1,IF(N($W134)&gt;0,AVERAGEIFS($Z$5:$Z$1000,$U$5:$U$1000,ROW(),$V$5:$V$1000,"Sub"),$Z134)))</f>
        <v/>
      </c>
      <c r="AE134" s="62">
        <f>IF($V134="","",IF(AND(ISNUMBER($G134),$G134&lt;=IF($S134=MesCiclo,InicioCiclo,$S134+MOD(2-WEEKDAY($S134),7))+20),1,IF(N($W134)&gt;0,AVERAGEIFS($AA$5:$AA$1000,$U$5:$U$1000,ROW(),$V$5:$V$1000,"Sub"),$AA134)))</f>
        <v/>
      </c>
      <c r="AF134" s="62">
        <f>IF($V134="","",IF(AND(ISNUMBER($G134),$G134&lt;=IF($S134=MesCiclo,InicioCiclo,$S134+MOD(2-WEEKDAY($S134),7))+27),1,IF(N($W134)&gt;0,AVERAGEIFS($AB$5:$AB$1000,$U$5:$U$1000,ROW(),$V$5:$V$1000,"Sub"),$AB134)))</f>
        <v/>
      </c>
      <c r="AG134" s="62">
        <f>IF($V134&lt;&gt;"Macro","",IF(COUNTIFS($S$5:$S$1000,$S134,$V$5:$V$1000,"Macro",$H$5:$H$1000,"&gt;0")=0,1/COUNTIFS($S$5:$S$1000,$S134,$V$5:$V$1000,"Macro"),IF(AND(ISNUMBER($H134),N($H134)&gt;0),$H134,SUMIFS($H$5:$H$1000,$S$5:$S$1000,$S134,$V$5:$V$1000,"Macro")/COUNTIFS($S$5:$S$1000,$S134,$V$5:$V$1000,"Macro",$H$5:$H$1000,"&gt;0"))/(COUNTIFS($S$5:$S$1000,$S134,$V$5:$V$1000,"Macro")*SUMIFS($H$5:$H$1000,$S$5:$S$1000,$S134,$V$5:$V$1000,"Macro")/COUNTIFS($S$5:$S$1000,$S134,$V$5:$V$1000,"Macro",$H$5:$H$1000,"&gt;0"))))</f>
        <v/>
      </c>
      <c r="AH134" s="62" t="n"/>
      <c r="AI134" s="62" t="n"/>
      <c r="AJ134" s="62" t="n"/>
      <c r="AK134" s="62" t="n"/>
      <c r="AL134" s="62">
        <f>IF(LEFT($C134,11)="[Jefatura] ",IFERROR(MATCH("Riesgo Operacional|"&amp;MID($C134,12,500),rDname_ADM,0),0),"")</f>
        <v/>
      </c>
      <c r="AM134" s="62">
        <f>IF(N($AL134)&gt;0,INDEX(rIni_ADM,$AL134),IF(ISNUMBER($E134),$E134,""))</f>
        <v/>
      </c>
      <c r="AN134" s="62">
        <f>IF(N($AL134)&gt;0,INDEX(rLim_ADM,$AL134),IF(ISNUMBER($F134),$F134,""))</f>
        <v/>
      </c>
    </row>
    <row r="135">
      <c r="A135" s="56">
        <f>IF(NOT((COUNTA($B135:$D135)+COUNTA($G135:$L135)+COUNTA($Q135))&gt;0),"",IF($V135="Macro",COUNTIFS($V$5:$V135,"Macro",$S$5:$S135,$S135),IF(N($U135)=0,"?",COUNTIFS(INDEX($V$5:$V$1000,1):INDEX($V$5:$V$1000,$U135-4),"Macro",INDEX($S$5:$S$1000,1):INDEX($S$5:$S$1000,$U135-4),INDEX($S$5:$S$1000,$U135-4))&amp;"."&amp;COUNTIFS($U$5:$U135,$U135,$V$5:$V135,"Sub"))))</f>
        <v/>
      </c>
      <c r="B135" s="57" t="n"/>
      <c r="C135" s="58" t="n"/>
      <c r="D135" s="58" t="n"/>
      <c r="E135" s="59">
        <f>IF(N($AL135)&gt;0,INDEX(rIni_ADM,$AL135),"")</f>
        <v/>
      </c>
      <c r="F135" s="59">
        <f>IF(N($AL135)&gt;0,INDEX(rLim_ADM,$AL135),"")</f>
        <v/>
      </c>
      <c r="G135" s="59" t="n"/>
      <c r="H135" s="60" t="n"/>
      <c r="I135" s="60" t="n"/>
      <c r="J135" s="60" t="n"/>
      <c r="K135" s="60" t="n"/>
      <c r="L135" s="60" t="n"/>
      <c r="M135" s="61">
        <f>IF(NOT((COUNTA($B135:$D135)+COUNTA($G135:$L135)+COUNTA($Q135))&gt;0),"",IF($V135="Sub",IFERROR($X135/INDEX($W$5:$W$1000,$U135-4),""),IF(ISNUMBER($G135),1,IF(N($W135)&gt;0,AVERAGEIFS($X$5:$X$1000,$U$5:$U$1000,ROW(),$V$5:$V$1000,"Sub"),$X135))))</f>
        <v/>
      </c>
      <c r="N135" s="56">
        <f>IF(OR($M135="",$V135="Sub"),"",IF($M135&gt;=1,"Completado",IF($M135&gt;0,"En curso","Pendiente")))</f>
        <v/>
      </c>
      <c r="O135" s="56">
        <f>IF(OR(NOT((COUNTA($B135:$D135)+COUNTA($G135:$L135)+COUNTA($Q135))&gt;0),$V135="Sub"),"",IF(ISNUMBER($G135),IF(AND(ISNUMBER($AN135),$G135&gt;$AN135),"Cumplida con "&amp;($G135-$AN135)&amp;IF($G135-$AN135=1," día"," días")&amp;" de retraso","Cumplida"),IF(N($M135)&gt;=1,"Cumplida",IF(NOT(ISNUMBER($AN135)),"Sin fecha límite",IF($AN135&lt;FechaRef,"Vencida hace "&amp;(FechaRef-$AN135)&amp;IF(FechaRef-$AN135=1," día"," días"),IF($AN135=FechaRef,"Vence hoy",IF($AN135-FechaRef&lt;=DiasAlerta,"Vence en "&amp;($AN135-FechaRef)&amp;IF($AN135-FechaRef=1," día"," días"),"En plazo")))))))</f>
        <v/>
      </c>
      <c r="P135" s="62" t="n"/>
      <c r="Q135" s="58" t="n"/>
      <c r="R135" s="63">
        <f>IF(NOT((COUNTA($B135:$D135)+COUNTA($G135:$L135)+COUNTA($Q135))&gt;0),"",IF((IF($C135="","Falta el nombre de la actividad"&amp;" · ","")&amp;IF(AND($V135="Sub",N($U135)=0),"Subactividad sin macroactividad arriba"&amp;" · ","")&amp;IF($AM135="","Sin fecha de inicio"&amp;" · ","")&amp;IF($AN135="","Sin fecha límite"&amp;" · ","")&amp;IF(AND(LEFT($C135,11)="[Jefatura] ",N($AL135)=0),"No se encuentra en la hoja de la jefatura (elíjala de nuevo en la lista)"&amp;" · ","")&amp;IF(OR(AND($E135&lt;&gt;"",NOT(ISNUMBER($E135))),AND($F135&lt;&gt;"",NOT(ISNUMBER($F135))),AND($G135&lt;&gt;"",NOT(ISNUMBER($G135)))),"Fecha no válida"&amp;" · ","")&amp;IF(AND(ISNUMBER($AM135),ISNUMBER($AN135),$AM135&gt;$AN135),"Inicio posterior a fecha límite"&amp;" · ","")&amp;IF(AND($V135="Macro",$H135&lt;&gt;"",OR(NOT(ISNUMBER($H135)),$H135&lt;0,$H135&gt;1)),"Peso fuera de rango"&amp;" · ","")&amp;IF(AND($V135="Sub",$H135&lt;&gt;""),"Las subactividades no llevan peso (valen igual dentro de su macroactividad)"&amp;" · ","")&amp;IF(AND(N($W135)&gt;0,COUNT($I135:$L135)&gt;0),"Con subactividades: deje vacías las semanas (se calculan solas)"&amp;" · ","")&amp;IF((COUNTIF($I135:$L135,"&gt;1")+COUNTIF($I135:$L135,"&lt;0")+COUNTA($I135:$L135)-COUNT($I135:$L135))&gt;0,"Avance fuera de rango 0-100%"&amp;" · ","")&amp;IF(OR(AND($J135&lt;&gt;"",$J135&lt;$I135),AND($K135&lt;&gt;"",$K135&lt;MAX($I135:$J135)),AND($L135&lt;&gt;"",$L135&lt;MAX($I135:$K135))),"Avance semanal decreciente"&amp;" · ","")&amp;IF(AND(ISNUMBER($AN135),$AN135&lt;FechaRef,IF($V135="Sub",N($X135),N($M135))&lt;1),"Vencida"&amp;" · ","")&amp;IF(AND(ObsObligatoria="Sí",ISNUMBER($AN135),$AN135&lt;FechaRef,IF($V135="Sub",N($X135),N($M135))&lt;1,$Q135=""),"Vencida sin observación"&amp;" · ",""))="","✔ OK","⚠ "&amp;LEFT(IF($C135="","Falta el nombre de la actividad"&amp;" · ","")&amp;IF(AND($V135="Sub",N($U135)=0),"Subactividad sin macroactividad arriba"&amp;" · ","")&amp;IF($AM135="","Sin fecha de inicio"&amp;" · ","")&amp;IF($AN135="","Sin fecha límite"&amp;" · ","")&amp;IF(AND(LEFT($C135,11)="[Jefatura] ",N($AL135)=0),"No se encuentra en la hoja de la jefatura (elíjala de nuevo en la lista)"&amp;" · ","")&amp;IF(OR(AND($E135&lt;&gt;"",NOT(ISNUMBER($E135))),AND($F135&lt;&gt;"",NOT(ISNUMBER($F135))),AND($G135&lt;&gt;"",NOT(ISNUMBER($G135)))),"Fecha no válida"&amp;" · ","")&amp;IF(AND(ISNUMBER($AM135),ISNUMBER($AN135),$AM135&gt;$AN135),"Inicio posterior a fecha límite"&amp;" · ","")&amp;IF(AND($V135="Macro",$H135&lt;&gt;"",OR(NOT(ISNUMBER($H135)),$H135&lt;0,$H135&gt;1)),"Peso fuera de rango"&amp;" · ","")&amp;IF(AND($V135="Sub",$H135&lt;&gt;""),"Las subactividades no llevan peso (valen igual dentro de su macroactividad)"&amp;" · ","")&amp;IF(AND(N($W135)&gt;0,COUNT($I135:$L135)&gt;0),"Con subactividades: deje vacías las semanas (se calculan solas)"&amp;" · ","")&amp;IF((COUNTIF($I135:$L135,"&gt;1")+COUNTIF($I135:$L135,"&lt;0")+COUNTA($I135:$L135)-COUNT($I135:$L135))&gt;0,"Avance fuera de rango 0-100%"&amp;" · ","")&amp;IF(OR(AND($J135&lt;&gt;"",$J135&lt;$I135),AND($K135&lt;&gt;"",$K135&lt;MAX($I135:$J135)),AND($L135&lt;&gt;"",$L135&lt;MAX($I135:$K135))),"Avance semanal decreciente"&amp;" · ","")&amp;IF(AND(ISNUMBER($AN135),$AN135&lt;FechaRef,IF($V135="Sub",N($X135),N($M135))&lt;1),"Vencida"&amp;" · ","")&amp;IF(AND(ObsObligatoria="Sí",ISNUMBER($AN135),$AN135&lt;FechaRef,IF($V135="Sub",N($X135),N($M135))&lt;1,$Q135=""),"Vencida sin observación"&amp;" · ",""),LEN(IF($C135="","Falta el nombre de la actividad"&amp;" · ","")&amp;IF(AND($V135="Sub",N($U135)=0),"Subactividad sin macroactividad arriba"&amp;" · ","")&amp;IF($AM135="","Sin fecha de inicio"&amp;" · ","")&amp;IF($AN135="","Sin fecha límite"&amp;" · ","")&amp;IF(AND(LEFT($C135,11)="[Jefatura] ",N($AL135)=0),"No se encuentra en la hoja de la jefatura (elíjala de nuevo en la lista)"&amp;" · ","")&amp;IF(OR(AND($E135&lt;&gt;"",NOT(ISNUMBER($E135))),AND($F135&lt;&gt;"",NOT(ISNUMBER($F135))),AND($G135&lt;&gt;"",NOT(ISNUMBER($G135)))),"Fecha no válida"&amp;" · ","")&amp;IF(AND(ISNUMBER($AM135),ISNUMBER($AN135),$AM135&gt;$AN135),"Inicio posterior a fecha límite"&amp;" · ","")&amp;IF(AND($V135="Macro",$H135&lt;&gt;"",OR(NOT(ISNUMBER($H135)),$H135&lt;0,$H135&gt;1)),"Peso fuera de rango"&amp;" · ","")&amp;IF(AND($V135="Sub",$H135&lt;&gt;""),"Las subactividades no llevan peso (valen igual dentro de su macroactividad)"&amp;" · ","")&amp;IF(AND(N($W135)&gt;0,COUNT($I135:$L135)&gt;0),"Con subactividades: deje vacías las semanas (se calculan solas)"&amp;" · ","")&amp;IF((COUNTIF($I135:$L135,"&gt;1")+COUNTIF($I135:$L135,"&lt;0")+COUNTA($I135:$L135)-COUNT($I135:$L135))&gt;0,"Avance fuera de rango 0-100%"&amp;" · ","")&amp;IF(OR(AND($J135&lt;&gt;"",$J135&lt;$I135),AND($K135&lt;&gt;"",$K135&lt;MAX($I135:$J135)),AND($L135&lt;&gt;"",$L135&lt;MAX($I135:$K135))),"Avance semanal decreciente"&amp;" · ","")&amp;IF(AND(ISNUMBER($AN135),$AN135&lt;FechaRef,IF($V135="Sub",N($X135),N($M135))&lt;1),"Vencida"&amp;" · ","")&amp;IF(AND(ObsObligatoria="Sí",ISNUMBER($AN135),$AN135&lt;FechaRef,IF($V135="Sub",N($X135),N($M135))&lt;1,$Q135=""),"Vencida sin observación"&amp;" · ",""))-3)))</f>
        <v/>
      </c>
      <c r="S135" s="64">
        <f>IF(NOT((COUNTA($B135:$D135)+COUNTA($G135:$L135)+COUNTA($Q135))&gt;0),"",IF(AND($V135="Sub",N($U135)&gt;0),IF(ISNUMBER(INDEX($AM$5:$AM$1000,$U135-4)),DATE(YEAR(INDEX($AM$5:$AM$1000,$U135-4)),MONTH(INDEX($AM$5:$AM$1000,$U135-4)),1),IF(ISNUMBER(INDEX($AN$5:$AN$1000,$U135-4)),DATE(YEAR(INDEX($AN$5:$AN$1000,$U135-4)),MONTH(INDEX($AN$5:$AN$1000,$U135-4)),1),MesCiclo)),IF(ISNUMBER($AM135),DATE(YEAR($AM135),MONTH($AM135),1),IF(ISNUMBER($AN135),DATE(YEAR($AN135),MONTH($AN135),1),MesCiclo))))</f>
        <v/>
      </c>
      <c r="T135" s="62">
        <f>IF(OR($S135="",$S135&lt;&gt;MesCiclo,$V135&lt;&gt;"Macro"),"",COUNTIFS($S$5:$S135,MesCiclo,$V$5:$V135,"Macro"))</f>
        <v/>
      </c>
      <c r="U135" s="62">
        <f>IF($V135="","",IF($V135="Macro",ROW(),IFERROR(LOOKUP(2,1/($V$5:$V135="Macro"),ROW($V$5:$V135)),0)))</f>
        <v/>
      </c>
      <c r="V135" s="62">
        <f>IF(NOT((COUNTA($B135:$D135)+COUNTA($G135:$L135)+COUNTA($Q135))&gt;0),"",IF($B135="Subactividad","Sub","Macro"))</f>
        <v/>
      </c>
      <c r="W135" s="62">
        <f>IF($V135="Macro",COUNTIFS($U$5:$U$1000,ROW(),$V$5:$V$1000,"Sub"),"")</f>
        <v/>
      </c>
      <c r="X135" s="62">
        <f>IF($V135="","",IF(ISNUMBER($G135),1,IFERROR(LOOKUP(2,1/($I135:$L135&lt;&gt;""),$I135:$L135),0)))</f>
        <v/>
      </c>
      <c r="Y135" s="62">
        <f>IF($V135="","",IF(AND(ISNUMBER($G135),$G135&lt;=IF($S135=MesCiclo,InicioCiclo,$S135+MOD(2-WEEKDAY($S135),7))+6),1,IF(ISNUMBER($I135),$I135,0)))</f>
        <v/>
      </c>
      <c r="Z135" s="62">
        <f>IF($V135="","",IF(AND(ISNUMBER($G135),$G135&lt;=IF($S135=MesCiclo,InicioCiclo,$S135+MOD(2-WEEKDAY($S135),7))+13),1,IF(ISNUMBER($J135),$J135,$Y135)))</f>
        <v/>
      </c>
      <c r="AA135" s="62">
        <f>IF($V135="","",IF(AND(ISNUMBER($G135),$G135&lt;=IF($S135=MesCiclo,InicioCiclo,$S135+MOD(2-WEEKDAY($S135),7))+20),1,IF(ISNUMBER($K135),$K135,$Z135)))</f>
        <v/>
      </c>
      <c r="AB135" s="62">
        <f>IF($V135="","",IF(AND(ISNUMBER($G135),$G135&lt;=IF($S135=MesCiclo,InicioCiclo,$S135+MOD(2-WEEKDAY($S135),7))+27),1,IF(ISNUMBER($L135),$L135,$AA135)))</f>
        <v/>
      </c>
      <c r="AC135" s="62">
        <f>IF($V135="","",IF(AND(ISNUMBER($G135),$G135&lt;=IF($S135=MesCiclo,InicioCiclo,$S135+MOD(2-WEEKDAY($S135),7))+6),1,IF(N($W135)&gt;0,AVERAGEIFS($Y$5:$Y$1000,$U$5:$U$1000,ROW(),$V$5:$V$1000,"Sub"),$Y135)))</f>
        <v/>
      </c>
      <c r="AD135" s="62">
        <f>IF($V135="","",IF(AND(ISNUMBER($G135),$G135&lt;=IF($S135=MesCiclo,InicioCiclo,$S135+MOD(2-WEEKDAY($S135),7))+13),1,IF(N($W135)&gt;0,AVERAGEIFS($Z$5:$Z$1000,$U$5:$U$1000,ROW(),$V$5:$V$1000,"Sub"),$Z135)))</f>
        <v/>
      </c>
      <c r="AE135" s="62">
        <f>IF($V135="","",IF(AND(ISNUMBER($G135),$G135&lt;=IF($S135=MesCiclo,InicioCiclo,$S135+MOD(2-WEEKDAY($S135),7))+20),1,IF(N($W135)&gt;0,AVERAGEIFS($AA$5:$AA$1000,$U$5:$U$1000,ROW(),$V$5:$V$1000,"Sub"),$AA135)))</f>
        <v/>
      </c>
      <c r="AF135" s="62">
        <f>IF($V135="","",IF(AND(ISNUMBER($G135),$G135&lt;=IF($S135=MesCiclo,InicioCiclo,$S135+MOD(2-WEEKDAY($S135),7))+27),1,IF(N($W135)&gt;0,AVERAGEIFS($AB$5:$AB$1000,$U$5:$U$1000,ROW(),$V$5:$V$1000,"Sub"),$AB135)))</f>
        <v/>
      </c>
      <c r="AG135" s="62">
        <f>IF($V135&lt;&gt;"Macro","",IF(COUNTIFS($S$5:$S$1000,$S135,$V$5:$V$1000,"Macro",$H$5:$H$1000,"&gt;0")=0,1/COUNTIFS($S$5:$S$1000,$S135,$V$5:$V$1000,"Macro"),IF(AND(ISNUMBER($H135),N($H135)&gt;0),$H135,SUMIFS($H$5:$H$1000,$S$5:$S$1000,$S135,$V$5:$V$1000,"Macro")/COUNTIFS($S$5:$S$1000,$S135,$V$5:$V$1000,"Macro",$H$5:$H$1000,"&gt;0"))/(COUNTIFS($S$5:$S$1000,$S135,$V$5:$V$1000,"Macro")*SUMIFS($H$5:$H$1000,$S$5:$S$1000,$S135,$V$5:$V$1000,"Macro")/COUNTIFS($S$5:$S$1000,$S135,$V$5:$V$1000,"Macro",$H$5:$H$1000,"&gt;0"))))</f>
        <v/>
      </c>
      <c r="AH135" s="62" t="n"/>
      <c r="AI135" s="62" t="n"/>
      <c r="AJ135" s="62" t="n"/>
      <c r="AK135" s="62" t="n"/>
      <c r="AL135" s="62">
        <f>IF(LEFT($C135,11)="[Jefatura] ",IFERROR(MATCH("Riesgo Operacional|"&amp;MID($C135,12,500),rDname_ADM,0),0),"")</f>
        <v/>
      </c>
      <c r="AM135" s="62">
        <f>IF(N($AL135)&gt;0,INDEX(rIni_ADM,$AL135),IF(ISNUMBER($E135),$E135,""))</f>
        <v/>
      </c>
      <c r="AN135" s="62">
        <f>IF(N($AL135)&gt;0,INDEX(rLim_ADM,$AL135),IF(ISNUMBER($F135),$F135,""))</f>
        <v/>
      </c>
    </row>
    <row r="136">
      <c r="A136" s="56">
        <f>IF(NOT((COUNTA($B136:$D136)+COUNTA($G136:$L136)+COUNTA($Q136))&gt;0),"",IF($V136="Macro",COUNTIFS($V$5:$V136,"Macro",$S$5:$S136,$S136),IF(N($U136)=0,"?",COUNTIFS(INDEX($V$5:$V$1000,1):INDEX($V$5:$V$1000,$U136-4),"Macro",INDEX($S$5:$S$1000,1):INDEX($S$5:$S$1000,$U136-4),INDEX($S$5:$S$1000,$U136-4))&amp;"."&amp;COUNTIFS($U$5:$U136,$U136,$V$5:$V136,"Sub"))))</f>
        <v/>
      </c>
      <c r="B136" s="57" t="n"/>
      <c r="C136" s="58" t="n"/>
      <c r="D136" s="58" t="n"/>
      <c r="E136" s="59">
        <f>IF(N($AL136)&gt;0,INDEX(rIni_ADM,$AL136),"")</f>
        <v/>
      </c>
      <c r="F136" s="59">
        <f>IF(N($AL136)&gt;0,INDEX(rLim_ADM,$AL136),"")</f>
        <v/>
      </c>
      <c r="G136" s="59" t="n"/>
      <c r="H136" s="60" t="n"/>
      <c r="I136" s="60" t="n"/>
      <c r="J136" s="60" t="n"/>
      <c r="K136" s="60" t="n"/>
      <c r="L136" s="60" t="n"/>
      <c r="M136" s="61">
        <f>IF(NOT((COUNTA($B136:$D136)+COUNTA($G136:$L136)+COUNTA($Q136))&gt;0),"",IF($V136="Sub",IFERROR($X136/INDEX($W$5:$W$1000,$U136-4),""),IF(ISNUMBER($G136),1,IF(N($W136)&gt;0,AVERAGEIFS($X$5:$X$1000,$U$5:$U$1000,ROW(),$V$5:$V$1000,"Sub"),$X136))))</f>
        <v/>
      </c>
      <c r="N136" s="56">
        <f>IF(OR($M136="",$V136="Sub"),"",IF($M136&gt;=1,"Completado",IF($M136&gt;0,"En curso","Pendiente")))</f>
        <v/>
      </c>
      <c r="O136" s="56">
        <f>IF(OR(NOT((COUNTA($B136:$D136)+COUNTA($G136:$L136)+COUNTA($Q136))&gt;0),$V136="Sub"),"",IF(ISNUMBER($G136),IF(AND(ISNUMBER($AN136),$G136&gt;$AN136),"Cumplida con "&amp;($G136-$AN136)&amp;IF($G136-$AN136=1," día"," días")&amp;" de retraso","Cumplida"),IF(N($M136)&gt;=1,"Cumplida",IF(NOT(ISNUMBER($AN136)),"Sin fecha límite",IF($AN136&lt;FechaRef,"Vencida hace "&amp;(FechaRef-$AN136)&amp;IF(FechaRef-$AN136=1," día"," días"),IF($AN136=FechaRef,"Vence hoy",IF($AN136-FechaRef&lt;=DiasAlerta,"Vence en "&amp;($AN136-FechaRef)&amp;IF($AN136-FechaRef=1," día"," días"),"En plazo")))))))</f>
        <v/>
      </c>
      <c r="P136" s="62" t="n"/>
      <c r="Q136" s="58" t="n"/>
      <c r="R136" s="63">
        <f>IF(NOT((COUNTA($B136:$D136)+COUNTA($G136:$L136)+COUNTA($Q136))&gt;0),"",IF((IF($C136="","Falta el nombre de la actividad"&amp;" · ","")&amp;IF(AND($V136="Sub",N($U136)=0),"Subactividad sin macroactividad arriba"&amp;" · ","")&amp;IF($AM136="","Sin fecha de inicio"&amp;" · ","")&amp;IF($AN136="","Sin fecha límite"&amp;" · ","")&amp;IF(AND(LEFT($C136,11)="[Jefatura] ",N($AL136)=0),"No se encuentra en la hoja de la jefatura (elíjala de nuevo en la lista)"&amp;" · ","")&amp;IF(OR(AND($E136&lt;&gt;"",NOT(ISNUMBER($E136))),AND($F136&lt;&gt;"",NOT(ISNUMBER($F136))),AND($G136&lt;&gt;"",NOT(ISNUMBER($G136)))),"Fecha no válida"&amp;" · ","")&amp;IF(AND(ISNUMBER($AM136),ISNUMBER($AN136),$AM136&gt;$AN136),"Inicio posterior a fecha límite"&amp;" · ","")&amp;IF(AND($V136="Macro",$H136&lt;&gt;"",OR(NOT(ISNUMBER($H136)),$H136&lt;0,$H136&gt;1)),"Peso fuera de rango"&amp;" · ","")&amp;IF(AND($V136="Sub",$H136&lt;&gt;""),"Las subactividades no llevan peso (valen igual dentro de su macroactividad)"&amp;" · ","")&amp;IF(AND(N($W136)&gt;0,COUNT($I136:$L136)&gt;0),"Con subactividades: deje vacías las semanas (se calculan solas)"&amp;" · ","")&amp;IF((COUNTIF($I136:$L136,"&gt;1")+COUNTIF($I136:$L136,"&lt;0")+COUNTA($I136:$L136)-COUNT($I136:$L136))&gt;0,"Avance fuera de rango 0-100%"&amp;" · ","")&amp;IF(OR(AND($J136&lt;&gt;"",$J136&lt;$I136),AND($K136&lt;&gt;"",$K136&lt;MAX($I136:$J136)),AND($L136&lt;&gt;"",$L136&lt;MAX($I136:$K136))),"Avance semanal decreciente"&amp;" · ","")&amp;IF(AND(ISNUMBER($AN136),$AN136&lt;FechaRef,IF($V136="Sub",N($X136),N($M136))&lt;1),"Vencida"&amp;" · ","")&amp;IF(AND(ObsObligatoria="Sí",ISNUMBER($AN136),$AN136&lt;FechaRef,IF($V136="Sub",N($X136),N($M136))&lt;1,$Q136=""),"Vencida sin observación"&amp;" · ",""))="","✔ OK","⚠ "&amp;LEFT(IF($C136="","Falta el nombre de la actividad"&amp;" · ","")&amp;IF(AND($V136="Sub",N($U136)=0),"Subactividad sin macroactividad arriba"&amp;" · ","")&amp;IF($AM136="","Sin fecha de inicio"&amp;" · ","")&amp;IF($AN136="","Sin fecha límite"&amp;" · ","")&amp;IF(AND(LEFT($C136,11)="[Jefatura] ",N($AL136)=0),"No se encuentra en la hoja de la jefatura (elíjala de nuevo en la lista)"&amp;" · ","")&amp;IF(OR(AND($E136&lt;&gt;"",NOT(ISNUMBER($E136))),AND($F136&lt;&gt;"",NOT(ISNUMBER($F136))),AND($G136&lt;&gt;"",NOT(ISNUMBER($G136)))),"Fecha no válida"&amp;" · ","")&amp;IF(AND(ISNUMBER($AM136),ISNUMBER($AN136),$AM136&gt;$AN136),"Inicio posterior a fecha límite"&amp;" · ","")&amp;IF(AND($V136="Macro",$H136&lt;&gt;"",OR(NOT(ISNUMBER($H136)),$H136&lt;0,$H136&gt;1)),"Peso fuera de rango"&amp;" · ","")&amp;IF(AND($V136="Sub",$H136&lt;&gt;""),"Las subactividades no llevan peso (valen igual dentro de su macroactividad)"&amp;" · ","")&amp;IF(AND(N($W136)&gt;0,COUNT($I136:$L136)&gt;0),"Con subactividades: deje vacías las semanas (se calculan solas)"&amp;" · ","")&amp;IF((COUNTIF($I136:$L136,"&gt;1")+COUNTIF($I136:$L136,"&lt;0")+COUNTA($I136:$L136)-COUNT($I136:$L136))&gt;0,"Avance fuera de rango 0-100%"&amp;" · ","")&amp;IF(OR(AND($J136&lt;&gt;"",$J136&lt;$I136),AND($K136&lt;&gt;"",$K136&lt;MAX($I136:$J136)),AND($L136&lt;&gt;"",$L136&lt;MAX($I136:$K136))),"Avance semanal decreciente"&amp;" · ","")&amp;IF(AND(ISNUMBER($AN136),$AN136&lt;FechaRef,IF($V136="Sub",N($X136),N($M136))&lt;1),"Vencida"&amp;" · ","")&amp;IF(AND(ObsObligatoria="Sí",ISNUMBER($AN136),$AN136&lt;FechaRef,IF($V136="Sub",N($X136),N($M136))&lt;1,$Q136=""),"Vencida sin observación"&amp;" · ",""),LEN(IF($C136="","Falta el nombre de la actividad"&amp;" · ","")&amp;IF(AND($V136="Sub",N($U136)=0),"Subactividad sin macroactividad arriba"&amp;" · ","")&amp;IF($AM136="","Sin fecha de inicio"&amp;" · ","")&amp;IF($AN136="","Sin fecha límite"&amp;" · ","")&amp;IF(AND(LEFT($C136,11)="[Jefatura] ",N($AL136)=0),"No se encuentra en la hoja de la jefatura (elíjala de nuevo en la lista)"&amp;" · ","")&amp;IF(OR(AND($E136&lt;&gt;"",NOT(ISNUMBER($E136))),AND($F136&lt;&gt;"",NOT(ISNUMBER($F136))),AND($G136&lt;&gt;"",NOT(ISNUMBER($G136)))),"Fecha no válida"&amp;" · ","")&amp;IF(AND(ISNUMBER($AM136),ISNUMBER($AN136),$AM136&gt;$AN136),"Inicio posterior a fecha límite"&amp;" · ","")&amp;IF(AND($V136="Macro",$H136&lt;&gt;"",OR(NOT(ISNUMBER($H136)),$H136&lt;0,$H136&gt;1)),"Peso fuera de rango"&amp;" · ","")&amp;IF(AND($V136="Sub",$H136&lt;&gt;""),"Las subactividades no llevan peso (valen igual dentro de su macroactividad)"&amp;" · ","")&amp;IF(AND(N($W136)&gt;0,COUNT($I136:$L136)&gt;0),"Con subactividades: deje vacías las semanas (se calculan solas)"&amp;" · ","")&amp;IF((COUNTIF($I136:$L136,"&gt;1")+COUNTIF($I136:$L136,"&lt;0")+COUNTA($I136:$L136)-COUNT($I136:$L136))&gt;0,"Avance fuera de rango 0-100%"&amp;" · ","")&amp;IF(OR(AND($J136&lt;&gt;"",$J136&lt;$I136),AND($K136&lt;&gt;"",$K136&lt;MAX($I136:$J136)),AND($L136&lt;&gt;"",$L136&lt;MAX($I136:$K136))),"Avance semanal decreciente"&amp;" · ","")&amp;IF(AND(ISNUMBER($AN136),$AN136&lt;FechaRef,IF($V136="Sub",N($X136),N($M136))&lt;1),"Vencida"&amp;" · ","")&amp;IF(AND(ObsObligatoria="Sí",ISNUMBER($AN136),$AN136&lt;FechaRef,IF($V136="Sub",N($X136),N($M136))&lt;1,$Q136=""),"Vencida sin observación"&amp;" · ",""))-3)))</f>
        <v/>
      </c>
      <c r="S136" s="64">
        <f>IF(NOT((COUNTA($B136:$D136)+COUNTA($G136:$L136)+COUNTA($Q136))&gt;0),"",IF(AND($V136="Sub",N($U136)&gt;0),IF(ISNUMBER(INDEX($AM$5:$AM$1000,$U136-4)),DATE(YEAR(INDEX($AM$5:$AM$1000,$U136-4)),MONTH(INDEX($AM$5:$AM$1000,$U136-4)),1),IF(ISNUMBER(INDEX($AN$5:$AN$1000,$U136-4)),DATE(YEAR(INDEX($AN$5:$AN$1000,$U136-4)),MONTH(INDEX($AN$5:$AN$1000,$U136-4)),1),MesCiclo)),IF(ISNUMBER($AM136),DATE(YEAR($AM136),MONTH($AM136),1),IF(ISNUMBER($AN136),DATE(YEAR($AN136),MONTH($AN136),1),MesCiclo))))</f>
        <v/>
      </c>
      <c r="T136" s="62">
        <f>IF(OR($S136="",$S136&lt;&gt;MesCiclo,$V136&lt;&gt;"Macro"),"",COUNTIFS($S$5:$S136,MesCiclo,$V$5:$V136,"Macro"))</f>
        <v/>
      </c>
      <c r="U136" s="62">
        <f>IF($V136="","",IF($V136="Macro",ROW(),IFERROR(LOOKUP(2,1/($V$5:$V136="Macro"),ROW($V$5:$V136)),0)))</f>
        <v/>
      </c>
      <c r="V136" s="62">
        <f>IF(NOT((COUNTA($B136:$D136)+COUNTA($G136:$L136)+COUNTA($Q136))&gt;0),"",IF($B136="Subactividad","Sub","Macro"))</f>
        <v/>
      </c>
      <c r="W136" s="62">
        <f>IF($V136="Macro",COUNTIFS($U$5:$U$1000,ROW(),$V$5:$V$1000,"Sub"),"")</f>
        <v/>
      </c>
      <c r="X136" s="62">
        <f>IF($V136="","",IF(ISNUMBER($G136),1,IFERROR(LOOKUP(2,1/($I136:$L136&lt;&gt;""),$I136:$L136),0)))</f>
        <v/>
      </c>
      <c r="Y136" s="62">
        <f>IF($V136="","",IF(AND(ISNUMBER($G136),$G136&lt;=IF($S136=MesCiclo,InicioCiclo,$S136+MOD(2-WEEKDAY($S136),7))+6),1,IF(ISNUMBER($I136),$I136,0)))</f>
        <v/>
      </c>
      <c r="Z136" s="62">
        <f>IF($V136="","",IF(AND(ISNUMBER($G136),$G136&lt;=IF($S136=MesCiclo,InicioCiclo,$S136+MOD(2-WEEKDAY($S136),7))+13),1,IF(ISNUMBER($J136),$J136,$Y136)))</f>
        <v/>
      </c>
      <c r="AA136" s="62">
        <f>IF($V136="","",IF(AND(ISNUMBER($G136),$G136&lt;=IF($S136=MesCiclo,InicioCiclo,$S136+MOD(2-WEEKDAY($S136),7))+20),1,IF(ISNUMBER($K136),$K136,$Z136)))</f>
        <v/>
      </c>
      <c r="AB136" s="62">
        <f>IF($V136="","",IF(AND(ISNUMBER($G136),$G136&lt;=IF($S136=MesCiclo,InicioCiclo,$S136+MOD(2-WEEKDAY($S136),7))+27),1,IF(ISNUMBER($L136),$L136,$AA136)))</f>
        <v/>
      </c>
      <c r="AC136" s="62">
        <f>IF($V136="","",IF(AND(ISNUMBER($G136),$G136&lt;=IF($S136=MesCiclo,InicioCiclo,$S136+MOD(2-WEEKDAY($S136),7))+6),1,IF(N($W136)&gt;0,AVERAGEIFS($Y$5:$Y$1000,$U$5:$U$1000,ROW(),$V$5:$V$1000,"Sub"),$Y136)))</f>
        <v/>
      </c>
      <c r="AD136" s="62">
        <f>IF($V136="","",IF(AND(ISNUMBER($G136),$G136&lt;=IF($S136=MesCiclo,InicioCiclo,$S136+MOD(2-WEEKDAY($S136),7))+13),1,IF(N($W136)&gt;0,AVERAGEIFS($Z$5:$Z$1000,$U$5:$U$1000,ROW(),$V$5:$V$1000,"Sub"),$Z136)))</f>
        <v/>
      </c>
      <c r="AE136" s="62">
        <f>IF($V136="","",IF(AND(ISNUMBER($G136),$G136&lt;=IF($S136=MesCiclo,InicioCiclo,$S136+MOD(2-WEEKDAY($S136),7))+20),1,IF(N($W136)&gt;0,AVERAGEIFS($AA$5:$AA$1000,$U$5:$U$1000,ROW(),$V$5:$V$1000,"Sub"),$AA136)))</f>
        <v/>
      </c>
      <c r="AF136" s="62">
        <f>IF($V136="","",IF(AND(ISNUMBER($G136),$G136&lt;=IF($S136=MesCiclo,InicioCiclo,$S136+MOD(2-WEEKDAY($S136),7))+27),1,IF(N($W136)&gt;0,AVERAGEIFS($AB$5:$AB$1000,$U$5:$U$1000,ROW(),$V$5:$V$1000,"Sub"),$AB136)))</f>
        <v/>
      </c>
      <c r="AG136" s="62">
        <f>IF($V136&lt;&gt;"Macro","",IF(COUNTIFS($S$5:$S$1000,$S136,$V$5:$V$1000,"Macro",$H$5:$H$1000,"&gt;0")=0,1/COUNTIFS($S$5:$S$1000,$S136,$V$5:$V$1000,"Macro"),IF(AND(ISNUMBER($H136),N($H136)&gt;0),$H136,SUMIFS($H$5:$H$1000,$S$5:$S$1000,$S136,$V$5:$V$1000,"Macro")/COUNTIFS($S$5:$S$1000,$S136,$V$5:$V$1000,"Macro",$H$5:$H$1000,"&gt;0"))/(COUNTIFS($S$5:$S$1000,$S136,$V$5:$V$1000,"Macro")*SUMIFS($H$5:$H$1000,$S$5:$S$1000,$S136,$V$5:$V$1000,"Macro")/COUNTIFS($S$5:$S$1000,$S136,$V$5:$V$1000,"Macro",$H$5:$H$1000,"&gt;0"))))</f>
        <v/>
      </c>
      <c r="AH136" s="62" t="n"/>
      <c r="AI136" s="62" t="n"/>
      <c r="AJ136" s="62" t="n"/>
      <c r="AK136" s="62" t="n"/>
      <c r="AL136" s="62">
        <f>IF(LEFT($C136,11)="[Jefatura] ",IFERROR(MATCH("Riesgo Operacional|"&amp;MID($C136,12,500),rDname_ADM,0),0),"")</f>
        <v/>
      </c>
      <c r="AM136" s="62">
        <f>IF(N($AL136)&gt;0,INDEX(rIni_ADM,$AL136),IF(ISNUMBER($E136),$E136,""))</f>
        <v/>
      </c>
      <c r="AN136" s="62">
        <f>IF(N($AL136)&gt;0,INDEX(rLim_ADM,$AL136),IF(ISNUMBER($F136),$F136,""))</f>
        <v/>
      </c>
    </row>
    <row r="137">
      <c r="A137" s="56">
        <f>IF(NOT((COUNTA($B137:$D137)+COUNTA($G137:$L137)+COUNTA($Q137))&gt;0),"",IF($V137="Macro",COUNTIFS($V$5:$V137,"Macro",$S$5:$S137,$S137),IF(N($U137)=0,"?",COUNTIFS(INDEX($V$5:$V$1000,1):INDEX($V$5:$V$1000,$U137-4),"Macro",INDEX($S$5:$S$1000,1):INDEX($S$5:$S$1000,$U137-4),INDEX($S$5:$S$1000,$U137-4))&amp;"."&amp;COUNTIFS($U$5:$U137,$U137,$V$5:$V137,"Sub"))))</f>
        <v/>
      </c>
      <c r="B137" s="57" t="n"/>
      <c r="C137" s="58" t="n"/>
      <c r="D137" s="58" t="n"/>
      <c r="E137" s="59">
        <f>IF(N($AL137)&gt;0,INDEX(rIni_ADM,$AL137),"")</f>
        <v/>
      </c>
      <c r="F137" s="59">
        <f>IF(N($AL137)&gt;0,INDEX(rLim_ADM,$AL137),"")</f>
        <v/>
      </c>
      <c r="G137" s="59" t="n"/>
      <c r="H137" s="60" t="n"/>
      <c r="I137" s="60" t="n"/>
      <c r="J137" s="60" t="n"/>
      <c r="K137" s="60" t="n"/>
      <c r="L137" s="60" t="n"/>
      <c r="M137" s="61">
        <f>IF(NOT((COUNTA($B137:$D137)+COUNTA($G137:$L137)+COUNTA($Q137))&gt;0),"",IF($V137="Sub",IFERROR($X137/INDEX($W$5:$W$1000,$U137-4),""),IF(ISNUMBER($G137),1,IF(N($W137)&gt;0,AVERAGEIFS($X$5:$X$1000,$U$5:$U$1000,ROW(),$V$5:$V$1000,"Sub"),$X137))))</f>
        <v/>
      </c>
      <c r="N137" s="56">
        <f>IF(OR($M137="",$V137="Sub"),"",IF($M137&gt;=1,"Completado",IF($M137&gt;0,"En curso","Pendiente")))</f>
        <v/>
      </c>
      <c r="O137" s="56">
        <f>IF(OR(NOT((COUNTA($B137:$D137)+COUNTA($G137:$L137)+COUNTA($Q137))&gt;0),$V137="Sub"),"",IF(ISNUMBER($G137),IF(AND(ISNUMBER($AN137),$G137&gt;$AN137),"Cumplida con "&amp;($G137-$AN137)&amp;IF($G137-$AN137=1," día"," días")&amp;" de retraso","Cumplida"),IF(N($M137)&gt;=1,"Cumplida",IF(NOT(ISNUMBER($AN137)),"Sin fecha límite",IF($AN137&lt;FechaRef,"Vencida hace "&amp;(FechaRef-$AN137)&amp;IF(FechaRef-$AN137=1," día"," días"),IF($AN137=FechaRef,"Vence hoy",IF($AN137-FechaRef&lt;=DiasAlerta,"Vence en "&amp;($AN137-FechaRef)&amp;IF($AN137-FechaRef=1," día"," días"),"En plazo")))))))</f>
        <v/>
      </c>
      <c r="P137" s="62" t="n"/>
      <c r="Q137" s="58" t="n"/>
      <c r="R137" s="63">
        <f>IF(NOT((COUNTA($B137:$D137)+COUNTA($G137:$L137)+COUNTA($Q137))&gt;0),"",IF((IF($C137="","Falta el nombre de la actividad"&amp;" · ","")&amp;IF(AND($V137="Sub",N($U137)=0),"Subactividad sin macroactividad arriba"&amp;" · ","")&amp;IF($AM137="","Sin fecha de inicio"&amp;" · ","")&amp;IF($AN137="","Sin fecha límite"&amp;" · ","")&amp;IF(AND(LEFT($C137,11)="[Jefatura] ",N($AL137)=0),"No se encuentra en la hoja de la jefatura (elíjala de nuevo en la lista)"&amp;" · ","")&amp;IF(OR(AND($E137&lt;&gt;"",NOT(ISNUMBER($E137))),AND($F137&lt;&gt;"",NOT(ISNUMBER($F137))),AND($G137&lt;&gt;"",NOT(ISNUMBER($G137)))),"Fecha no válida"&amp;" · ","")&amp;IF(AND(ISNUMBER($AM137),ISNUMBER($AN137),$AM137&gt;$AN137),"Inicio posterior a fecha límite"&amp;" · ","")&amp;IF(AND($V137="Macro",$H137&lt;&gt;"",OR(NOT(ISNUMBER($H137)),$H137&lt;0,$H137&gt;1)),"Peso fuera de rango"&amp;" · ","")&amp;IF(AND($V137="Sub",$H137&lt;&gt;""),"Las subactividades no llevan peso (valen igual dentro de su macroactividad)"&amp;" · ","")&amp;IF(AND(N($W137)&gt;0,COUNT($I137:$L137)&gt;0),"Con subactividades: deje vacías las semanas (se calculan solas)"&amp;" · ","")&amp;IF((COUNTIF($I137:$L137,"&gt;1")+COUNTIF($I137:$L137,"&lt;0")+COUNTA($I137:$L137)-COUNT($I137:$L137))&gt;0,"Avance fuera de rango 0-100%"&amp;" · ","")&amp;IF(OR(AND($J137&lt;&gt;"",$J137&lt;$I137),AND($K137&lt;&gt;"",$K137&lt;MAX($I137:$J137)),AND($L137&lt;&gt;"",$L137&lt;MAX($I137:$K137))),"Avance semanal decreciente"&amp;" · ","")&amp;IF(AND(ISNUMBER($AN137),$AN137&lt;FechaRef,IF($V137="Sub",N($X137),N($M137))&lt;1),"Vencida"&amp;" · ","")&amp;IF(AND(ObsObligatoria="Sí",ISNUMBER($AN137),$AN137&lt;FechaRef,IF($V137="Sub",N($X137),N($M137))&lt;1,$Q137=""),"Vencida sin observación"&amp;" · ",""))="","✔ OK","⚠ "&amp;LEFT(IF($C137="","Falta el nombre de la actividad"&amp;" · ","")&amp;IF(AND($V137="Sub",N($U137)=0),"Subactividad sin macroactividad arriba"&amp;" · ","")&amp;IF($AM137="","Sin fecha de inicio"&amp;" · ","")&amp;IF($AN137="","Sin fecha límite"&amp;" · ","")&amp;IF(AND(LEFT($C137,11)="[Jefatura] ",N($AL137)=0),"No se encuentra en la hoja de la jefatura (elíjala de nuevo en la lista)"&amp;" · ","")&amp;IF(OR(AND($E137&lt;&gt;"",NOT(ISNUMBER($E137))),AND($F137&lt;&gt;"",NOT(ISNUMBER($F137))),AND($G137&lt;&gt;"",NOT(ISNUMBER($G137)))),"Fecha no válida"&amp;" · ","")&amp;IF(AND(ISNUMBER($AM137),ISNUMBER($AN137),$AM137&gt;$AN137),"Inicio posterior a fecha límite"&amp;" · ","")&amp;IF(AND($V137="Macro",$H137&lt;&gt;"",OR(NOT(ISNUMBER($H137)),$H137&lt;0,$H137&gt;1)),"Peso fuera de rango"&amp;" · ","")&amp;IF(AND($V137="Sub",$H137&lt;&gt;""),"Las subactividades no llevan peso (valen igual dentro de su macroactividad)"&amp;" · ","")&amp;IF(AND(N($W137)&gt;0,COUNT($I137:$L137)&gt;0),"Con subactividades: deje vacías las semanas (se calculan solas)"&amp;" · ","")&amp;IF((COUNTIF($I137:$L137,"&gt;1")+COUNTIF($I137:$L137,"&lt;0")+COUNTA($I137:$L137)-COUNT($I137:$L137))&gt;0,"Avance fuera de rango 0-100%"&amp;" · ","")&amp;IF(OR(AND($J137&lt;&gt;"",$J137&lt;$I137),AND($K137&lt;&gt;"",$K137&lt;MAX($I137:$J137)),AND($L137&lt;&gt;"",$L137&lt;MAX($I137:$K137))),"Avance semanal decreciente"&amp;" · ","")&amp;IF(AND(ISNUMBER($AN137),$AN137&lt;FechaRef,IF($V137="Sub",N($X137),N($M137))&lt;1),"Vencida"&amp;" · ","")&amp;IF(AND(ObsObligatoria="Sí",ISNUMBER($AN137),$AN137&lt;FechaRef,IF($V137="Sub",N($X137),N($M137))&lt;1,$Q137=""),"Vencida sin observación"&amp;" · ",""),LEN(IF($C137="","Falta el nombre de la actividad"&amp;" · ","")&amp;IF(AND($V137="Sub",N($U137)=0),"Subactividad sin macroactividad arriba"&amp;" · ","")&amp;IF($AM137="","Sin fecha de inicio"&amp;" · ","")&amp;IF($AN137="","Sin fecha límite"&amp;" · ","")&amp;IF(AND(LEFT($C137,11)="[Jefatura] ",N($AL137)=0),"No se encuentra en la hoja de la jefatura (elíjala de nuevo en la lista)"&amp;" · ","")&amp;IF(OR(AND($E137&lt;&gt;"",NOT(ISNUMBER($E137))),AND($F137&lt;&gt;"",NOT(ISNUMBER($F137))),AND($G137&lt;&gt;"",NOT(ISNUMBER($G137)))),"Fecha no válida"&amp;" · ","")&amp;IF(AND(ISNUMBER($AM137),ISNUMBER($AN137),$AM137&gt;$AN137),"Inicio posterior a fecha límite"&amp;" · ","")&amp;IF(AND($V137="Macro",$H137&lt;&gt;"",OR(NOT(ISNUMBER($H137)),$H137&lt;0,$H137&gt;1)),"Peso fuera de rango"&amp;" · ","")&amp;IF(AND($V137="Sub",$H137&lt;&gt;""),"Las subactividades no llevan peso (valen igual dentro de su macroactividad)"&amp;" · ","")&amp;IF(AND(N($W137)&gt;0,COUNT($I137:$L137)&gt;0),"Con subactividades: deje vacías las semanas (se calculan solas)"&amp;" · ","")&amp;IF((COUNTIF($I137:$L137,"&gt;1")+COUNTIF($I137:$L137,"&lt;0")+COUNTA($I137:$L137)-COUNT($I137:$L137))&gt;0,"Avance fuera de rango 0-100%"&amp;" · ","")&amp;IF(OR(AND($J137&lt;&gt;"",$J137&lt;$I137),AND($K137&lt;&gt;"",$K137&lt;MAX($I137:$J137)),AND($L137&lt;&gt;"",$L137&lt;MAX($I137:$K137))),"Avance semanal decreciente"&amp;" · ","")&amp;IF(AND(ISNUMBER($AN137),$AN137&lt;FechaRef,IF($V137="Sub",N($X137),N($M137))&lt;1),"Vencida"&amp;" · ","")&amp;IF(AND(ObsObligatoria="Sí",ISNUMBER($AN137),$AN137&lt;FechaRef,IF($V137="Sub",N($X137),N($M137))&lt;1,$Q137=""),"Vencida sin observación"&amp;" · ",""))-3)))</f>
        <v/>
      </c>
      <c r="S137" s="64">
        <f>IF(NOT((COUNTA($B137:$D137)+COUNTA($G137:$L137)+COUNTA($Q137))&gt;0),"",IF(AND($V137="Sub",N($U137)&gt;0),IF(ISNUMBER(INDEX($AM$5:$AM$1000,$U137-4)),DATE(YEAR(INDEX($AM$5:$AM$1000,$U137-4)),MONTH(INDEX($AM$5:$AM$1000,$U137-4)),1),IF(ISNUMBER(INDEX($AN$5:$AN$1000,$U137-4)),DATE(YEAR(INDEX($AN$5:$AN$1000,$U137-4)),MONTH(INDEX($AN$5:$AN$1000,$U137-4)),1),MesCiclo)),IF(ISNUMBER($AM137),DATE(YEAR($AM137),MONTH($AM137),1),IF(ISNUMBER($AN137),DATE(YEAR($AN137),MONTH($AN137),1),MesCiclo))))</f>
        <v/>
      </c>
      <c r="T137" s="62">
        <f>IF(OR($S137="",$S137&lt;&gt;MesCiclo,$V137&lt;&gt;"Macro"),"",COUNTIFS($S$5:$S137,MesCiclo,$V$5:$V137,"Macro"))</f>
        <v/>
      </c>
      <c r="U137" s="62">
        <f>IF($V137="","",IF($V137="Macro",ROW(),IFERROR(LOOKUP(2,1/($V$5:$V137="Macro"),ROW($V$5:$V137)),0)))</f>
        <v/>
      </c>
      <c r="V137" s="62">
        <f>IF(NOT((COUNTA($B137:$D137)+COUNTA($G137:$L137)+COUNTA($Q137))&gt;0),"",IF($B137="Subactividad","Sub","Macro"))</f>
        <v/>
      </c>
      <c r="W137" s="62">
        <f>IF($V137="Macro",COUNTIFS($U$5:$U$1000,ROW(),$V$5:$V$1000,"Sub"),"")</f>
        <v/>
      </c>
      <c r="X137" s="62">
        <f>IF($V137="","",IF(ISNUMBER($G137),1,IFERROR(LOOKUP(2,1/($I137:$L137&lt;&gt;""),$I137:$L137),0)))</f>
        <v/>
      </c>
      <c r="Y137" s="62">
        <f>IF($V137="","",IF(AND(ISNUMBER($G137),$G137&lt;=IF($S137=MesCiclo,InicioCiclo,$S137+MOD(2-WEEKDAY($S137),7))+6),1,IF(ISNUMBER($I137),$I137,0)))</f>
        <v/>
      </c>
      <c r="Z137" s="62">
        <f>IF($V137="","",IF(AND(ISNUMBER($G137),$G137&lt;=IF($S137=MesCiclo,InicioCiclo,$S137+MOD(2-WEEKDAY($S137),7))+13),1,IF(ISNUMBER($J137),$J137,$Y137)))</f>
        <v/>
      </c>
      <c r="AA137" s="62">
        <f>IF($V137="","",IF(AND(ISNUMBER($G137),$G137&lt;=IF($S137=MesCiclo,InicioCiclo,$S137+MOD(2-WEEKDAY($S137),7))+20),1,IF(ISNUMBER($K137),$K137,$Z137)))</f>
        <v/>
      </c>
      <c r="AB137" s="62">
        <f>IF($V137="","",IF(AND(ISNUMBER($G137),$G137&lt;=IF($S137=MesCiclo,InicioCiclo,$S137+MOD(2-WEEKDAY($S137),7))+27),1,IF(ISNUMBER($L137),$L137,$AA137)))</f>
        <v/>
      </c>
      <c r="AC137" s="62">
        <f>IF($V137="","",IF(AND(ISNUMBER($G137),$G137&lt;=IF($S137=MesCiclo,InicioCiclo,$S137+MOD(2-WEEKDAY($S137),7))+6),1,IF(N($W137)&gt;0,AVERAGEIFS($Y$5:$Y$1000,$U$5:$U$1000,ROW(),$V$5:$V$1000,"Sub"),$Y137)))</f>
        <v/>
      </c>
      <c r="AD137" s="62">
        <f>IF($V137="","",IF(AND(ISNUMBER($G137),$G137&lt;=IF($S137=MesCiclo,InicioCiclo,$S137+MOD(2-WEEKDAY($S137),7))+13),1,IF(N($W137)&gt;0,AVERAGEIFS($Z$5:$Z$1000,$U$5:$U$1000,ROW(),$V$5:$V$1000,"Sub"),$Z137)))</f>
        <v/>
      </c>
      <c r="AE137" s="62">
        <f>IF($V137="","",IF(AND(ISNUMBER($G137),$G137&lt;=IF($S137=MesCiclo,InicioCiclo,$S137+MOD(2-WEEKDAY($S137),7))+20),1,IF(N($W137)&gt;0,AVERAGEIFS($AA$5:$AA$1000,$U$5:$U$1000,ROW(),$V$5:$V$1000,"Sub"),$AA137)))</f>
        <v/>
      </c>
      <c r="AF137" s="62">
        <f>IF($V137="","",IF(AND(ISNUMBER($G137),$G137&lt;=IF($S137=MesCiclo,InicioCiclo,$S137+MOD(2-WEEKDAY($S137),7))+27),1,IF(N($W137)&gt;0,AVERAGEIFS($AB$5:$AB$1000,$U$5:$U$1000,ROW(),$V$5:$V$1000,"Sub"),$AB137)))</f>
        <v/>
      </c>
      <c r="AG137" s="62">
        <f>IF($V137&lt;&gt;"Macro","",IF(COUNTIFS($S$5:$S$1000,$S137,$V$5:$V$1000,"Macro",$H$5:$H$1000,"&gt;0")=0,1/COUNTIFS($S$5:$S$1000,$S137,$V$5:$V$1000,"Macro"),IF(AND(ISNUMBER($H137),N($H137)&gt;0),$H137,SUMIFS($H$5:$H$1000,$S$5:$S$1000,$S137,$V$5:$V$1000,"Macro")/COUNTIFS($S$5:$S$1000,$S137,$V$5:$V$1000,"Macro",$H$5:$H$1000,"&gt;0"))/(COUNTIFS($S$5:$S$1000,$S137,$V$5:$V$1000,"Macro")*SUMIFS($H$5:$H$1000,$S$5:$S$1000,$S137,$V$5:$V$1000,"Macro")/COUNTIFS($S$5:$S$1000,$S137,$V$5:$V$1000,"Macro",$H$5:$H$1000,"&gt;0"))))</f>
        <v/>
      </c>
      <c r="AH137" s="62" t="n"/>
      <c r="AI137" s="62" t="n"/>
      <c r="AJ137" s="62" t="n"/>
      <c r="AK137" s="62" t="n"/>
      <c r="AL137" s="62">
        <f>IF(LEFT($C137,11)="[Jefatura] ",IFERROR(MATCH("Riesgo Operacional|"&amp;MID($C137,12,500),rDname_ADM,0),0),"")</f>
        <v/>
      </c>
      <c r="AM137" s="62">
        <f>IF(N($AL137)&gt;0,INDEX(rIni_ADM,$AL137),IF(ISNUMBER($E137),$E137,""))</f>
        <v/>
      </c>
      <c r="AN137" s="62">
        <f>IF(N($AL137)&gt;0,INDEX(rLim_ADM,$AL137),IF(ISNUMBER($F137),$F137,""))</f>
        <v/>
      </c>
    </row>
    <row r="138">
      <c r="A138" s="56">
        <f>IF(NOT((COUNTA($B138:$D138)+COUNTA($G138:$L138)+COUNTA($Q138))&gt;0),"",IF($V138="Macro",COUNTIFS($V$5:$V138,"Macro",$S$5:$S138,$S138),IF(N($U138)=0,"?",COUNTIFS(INDEX($V$5:$V$1000,1):INDEX($V$5:$V$1000,$U138-4),"Macro",INDEX($S$5:$S$1000,1):INDEX($S$5:$S$1000,$U138-4),INDEX($S$5:$S$1000,$U138-4))&amp;"."&amp;COUNTIFS($U$5:$U138,$U138,$V$5:$V138,"Sub"))))</f>
        <v/>
      </c>
      <c r="B138" s="57" t="n"/>
      <c r="C138" s="58" t="n"/>
      <c r="D138" s="58" t="n"/>
      <c r="E138" s="59">
        <f>IF(N($AL138)&gt;0,INDEX(rIni_ADM,$AL138),"")</f>
        <v/>
      </c>
      <c r="F138" s="59">
        <f>IF(N($AL138)&gt;0,INDEX(rLim_ADM,$AL138),"")</f>
        <v/>
      </c>
      <c r="G138" s="59" t="n"/>
      <c r="H138" s="60" t="n"/>
      <c r="I138" s="60" t="n"/>
      <c r="J138" s="60" t="n"/>
      <c r="K138" s="60" t="n"/>
      <c r="L138" s="60" t="n"/>
      <c r="M138" s="61">
        <f>IF(NOT((COUNTA($B138:$D138)+COUNTA($G138:$L138)+COUNTA($Q138))&gt;0),"",IF($V138="Sub",IFERROR($X138/INDEX($W$5:$W$1000,$U138-4),""),IF(ISNUMBER($G138),1,IF(N($W138)&gt;0,AVERAGEIFS($X$5:$X$1000,$U$5:$U$1000,ROW(),$V$5:$V$1000,"Sub"),$X138))))</f>
        <v/>
      </c>
      <c r="N138" s="56">
        <f>IF(OR($M138="",$V138="Sub"),"",IF($M138&gt;=1,"Completado",IF($M138&gt;0,"En curso","Pendiente")))</f>
        <v/>
      </c>
      <c r="O138" s="56">
        <f>IF(OR(NOT((COUNTA($B138:$D138)+COUNTA($G138:$L138)+COUNTA($Q138))&gt;0),$V138="Sub"),"",IF(ISNUMBER($G138),IF(AND(ISNUMBER($AN138),$G138&gt;$AN138),"Cumplida con "&amp;($G138-$AN138)&amp;IF($G138-$AN138=1," día"," días")&amp;" de retraso","Cumplida"),IF(N($M138)&gt;=1,"Cumplida",IF(NOT(ISNUMBER($AN138)),"Sin fecha límite",IF($AN138&lt;FechaRef,"Vencida hace "&amp;(FechaRef-$AN138)&amp;IF(FechaRef-$AN138=1," día"," días"),IF($AN138=FechaRef,"Vence hoy",IF($AN138-FechaRef&lt;=DiasAlerta,"Vence en "&amp;($AN138-FechaRef)&amp;IF($AN138-FechaRef=1," día"," días"),"En plazo")))))))</f>
        <v/>
      </c>
      <c r="P138" s="62" t="n"/>
      <c r="Q138" s="58" t="n"/>
      <c r="R138" s="63">
        <f>IF(NOT((COUNTA($B138:$D138)+COUNTA($G138:$L138)+COUNTA($Q138))&gt;0),"",IF((IF($C138="","Falta el nombre de la actividad"&amp;" · ","")&amp;IF(AND($V138="Sub",N($U138)=0),"Subactividad sin macroactividad arriba"&amp;" · ","")&amp;IF($AM138="","Sin fecha de inicio"&amp;" · ","")&amp;IF($AN138="","Sin fecha límite"&amp;" · ","")&amp;IF(AND(LEFT($C138,11)="[Jefatura] ",N($AL138)=0),"No se encuentra en la hoja de la jefatura (elíjala de nuevo en la lista)"&amp;" · ","")&amp;IF(OR(AND($E138&lt;&gt;"",NOT(ISNUMBER($E138))),AND($F138&lt;&gt;"",NOT(ISNUMBER($F138))),AND($G138&lt;&gt;"",NOT(ISNUMBER($G138)))),"Fecha no válida"&amp;" · ","")&amp;IF(AND(ISNUMBER($AM138),ISNUMBER($AN138),$AM138&gt;$AN138),"Inicio posterior a fecha límite"&amp;" · ","")&amp;IF(AND($V138="Macro",$H138&lt;&gt;"",OR(NOT(ISNUMBER($H138)),$H138&lt;0,$H138&gt;1)),"Peso fuera de rango"&amp;" · ","")&amp;IF(AND($V138="Sub",$H138&lt;&gt;""),"Las subactividades no llevan peso (valen igual dentro de su macroactividad)"&amp;" · ","")&amp;IF(AND(N($W138)&gt;0,COUNT($I138:$L138)&gt;0),"Con subactividades: deje vacías las semanas (se calculan solas)"&amp;" · ","")&amp;IF((COUNTIF($I138:$L138,"&gt;1")+COUNTIF($I138:$L138,"&lt;0")+COUNTA($I138:$L138)-COUNT($I138:$L138))&gt;0,"Avance fuera de rango 0-100%"&amp;" · ","")&amp;IF(OR(AND($J138&lt;&gt;"",$J138&lt;$I138),AND($K138&lt;&gt;"",$K138&lt;MAX($I138:$J138)),AND($L138&lt;&gt;"",$L138&lt;MAX($I138:$K138))),"Avance semanal decreciente"&amp;" · ","")&amp;IF(AND(ISNUMBER($AN138),$AN138&lt;FechaRef,IF($V138="Sub",N($X138),N($M138))&lt;1),"Vencida"&amp;" · ","")&amp;IF(AND(ObsObligatoria="Sí",ISNUMBER($AN138),$AN138&lt;FechaRef,IF($V138="Sub",N($X138),N($M138))&lt;1,$Q138=""),"Vencida sin observación"&amp;" · ",""))="","✔ OK","⚠ "&amp;LEFT(IF($C138="","Falta el nombre de la actividad"&amp;" · ","")&amp;IF(AND($V138="Sub",N($U138)=0),"Subactividad sin macroactividad arriba"&amp;" · ","")&amp;IF($AM138="","Sin fecha de inicio"&amp;" · ","")&amp;IF($AN138="","Sin fecha límite"&amp;" · ","")&amp;IF(AND(LEFT($C138,11)="[Jefatura] ",N($AL138)=0),"No se encuentra en la hoja de la jefatura (elíjala de nuevo en la lista)"&amp;" · ","")&amp;IF(OR(AND($E138&lt;&gt;"",NOT(ISNUMBER($E138))),AND($F138&lt;&gt;"",NOT(ISNUMBER($F138))),AND($G138&lt;&gt;"",NOT(ISNUMBER($G138)))),"Fecha no válida"&amp;" · ","")&amp;IF(AND(ISNUMBER($AM138),ISNUMBER($AN138),$AM138&gt;$AN138),"Inicio posterior a fecha límite"&amp;" · ","")&amp;IF(AND($V138="Macro",$H138&lt;&gt;"",OR(NOT(ISNUMBER($H138)),$H138&lt;0,$H138&gt;1)),"Peso fuera de rango"&amp;" · ","")&amp;IF(AND($V138="Sub",$H138&lt;&gt;""),"Las subactividades no llevan peso (valen igual dentro de su macroactividad)"&amp;" · ","")&amp;IF(AND(N($W138)&gt;0,COUNT($I138:$L138)&gt;0),"Con subactividades: deje vacías las semanas (se calculan solas)"&amp;" · ","")&amp;IF((COUNTIF($I138:$L138,"&gt;1")+COUNTIF($I138:$L138,"&lt;0")+COUNTA($I138:$L138)-COUNT($I138:$L138))&gt;0,"Avance fuera de rango 0-100%"&amp;" · ","")&amp;IF(OR(AND($J138&lt;&gt;"",$J138&lt;$I138),AND($K138&lt;&gt;"",$K138&lt;MAX($I138:$J138)),AND($L138&lt;&gt;"",$L138&lt;MAX($I138:$K138))),"Avance semanal decreciente"&amp;" · ","")&amp;IF(AND(ISNUMBER($AN138),$AN138&lt;FechaRef,IF($V138="Sub",N($X138),N($M138))&lt;1),"Vencida"&amp;" · ","")&amp;IF(AND(ObsObligatoria="Sí",ISNUMBER($AN138),$AN138&lt;FechaRef,IF($V138="Sub",N($X138),N($M138))&lt;1,$Q138=""),"Vencida sin observación"&amp;" · ",""),LEN(IF($C138="","Falta el nombre de la actividad"&amp;" · ","")&amp;IF(AND($V138="Sub",N($U138)=0),"Subactividad sin macroactividad arriba"&amp;" · ","")&amp;IF($AM138="","Sin fecha de inicio"&amp;" · ","")&amp;IF($AN138="","Sin fecha límite"&amp;" · ","")&amp;IF(AND(LEFT($C138,11)="[Jefatura] ",N($AL138)=0),"No se encuentra en la hoja de la jefatura (elíjala de nuevo en la lista)"&amp;" · ","")&amp;IF(OR(AND($E138&lt;&gt;"",NOT(ISNUMBER($E138))),AND($F138&lt;&gt;"",NOT(ISNUMBER($F138))),AND($G138&lt;&gt;"",NOT(ISNUMBER($G138)))),"Fecha no válida"&amp;" · ","")&amp;IF(AND(ISNUMBER($AM138),ISNUMBER($AN138),$AM138&gt;$AN138),"Inicio posterior a fecha límite"&amp;" · ","")&amp;IF(AND($V138="Macro",$H138&lt;&gt;"",OR(NOT(ISNUMBER($H138)),$H138&lt;0,$H138&gt;1)),"Peso fuera de rango"&amp;" · ","")&amp;IF(AND($V138="Sub",$H138&lt;&gt;""),"Las subactividades no llevan peso (valen igual dentro de su macroactividad)"&amp;" · ","")&amp;IF(AND(N($W138)&gt;0,COUNT($I138:$L138)&gt;0),"Con subactividades: deje vacías las semanas (se calculan solas)"&amp;" · ","")&amp;IF((COUNTIF($I138:$L138,"&gt;1")+COUNTIF($I138:$L138,"&lt;0")+COUNTA($I138:$L138)-COUNT($I138:$L138))&gt;0,"Avance fuera de rango 0-100%"&amp;" · ","")&amp;IF(OR(AND($J138&lt;&gt;"",$J138&lt;$I138),AND($K138&lt;&gt;"",$K138&lt;MAX($I138:$J138)),AND($L138&lt;&gt;"",$L138&lt;MAX($I138:$K138))),"Avance semanal decreciente"&amp;" · ","")&amp;IF(AND(ISNUMBER($AN138),$AN138&lt;FechaRef,IF($V138="Sub",N($X138),N($M138))&lt;1),"Vencida"&amp;" · ","")&amp;IF(AND(ObsObligatoria="Sí",ISNUMBER($AN138),$AN138&lt;FechaRef,IF($V138="Sub",N($X138),N($M138))&lt;1,$Q138=""),"Vencida sin observación"&amp;" · ",""))-3)))</f>
        <v/>
      </c>
      <c r="S138" s="64">
        <f>IF(NOT((COUNTA($B138:$D138)+COUNTA($G138:$L138)+COUNTA($Q138))&gt;0),"",IF(AND($V138="Sub",N($U138)&gt;0),IF(ISNUMBER(INDEX($AM$5:$AM$1000,$U138-4)),DATE(YEAR(INDEX($AM$5:$AM$1000,$U138-4)),MONTH(INDEX($AM$5:$AM$1000,$U138-4)),1),IF(ISNUMBER(INDEX($AN$5:$AN$1000,$U138-4)),DATE(YEAR(INDEX($AN$5:$AN$1000,$U138-4)),MONTH(INDEX($AN$5:$AN$1000,$U138-4)),1),MesCiclo)),IF(ISNUMBER($AM138),DATE(YEAR($AM138),MONTH($AM138),1),IF(ISNUMBER($AN138),DATE(YEAR($AN138),MONTH($AN138),1),MesCiclo))))</f>
        <v/>
      </c>
      <c r="T138" s="62">
        <f>IF(OR($S138="",$S138&lt;&gt;MesCiclo,$V138&lt;&gt;"Macro"),"",COUNTIFS($S$5:$S138,MesCiclo,$V$5:$V138,"Macro"))</f>
        <v/>
      </c>
      <c r="U138" s="62">
        <f>IF($V138="","",IF($V138="Macro",ROW(),IFERROR(LOOKUP(2,1/($V$5:$V138="Macro"),ROW($V$5:$V138)),0)))</f>
        <v/>
      </c>
      <c r="V138" s="62">
        <f>IF(NOT((COUNTA($B138:$D138)+COUNTA($G138:$L138)+COUNTA($Q138))&gt;0),"",IF($B138="Subactividad","Sub","Macro"))</f>
        <v/>
      </c>
      <c r="W138" s="62">
        <f>IF($V138="Macro",COUNTIFS($U$5:$U$1000,ROW(),$V$5:$V$1000,"Sub"),"")</f>
        <v/>
      </c>
      <c r="X138" s="62">
        <f>IF($V138="","",IF(ISNUMBER($G138),1,IFERROR(LOOKUP(2,1/($I138:$L138&lt;&gt;""),$I138:$L138),0)))</f>
        <v/>
      </c>
      <c r="Y138" s="62">
        <f>IF($V138="","",IF(AND(ISNUMBER($G138),$G138&lt;=IF($S138=MesCiclo,InicioCiclo,$S138+MOD(2-WEEKDAY($S138),7))+6),1,IF(ISNUMBER($I138),$I138,0)))</f>
        <v/>
      </c>
      <c r="Z138" s="62">
        <f>IF($V138="","",IF(AND(ISNUMBER($G138),$G138&lt;=IF($S138=MesCiclo,InicioCiclo,$S138+MOD(2-WEEKDAY($S138),7))+13),1,IF(ISNUMBER($J138),$J138,$Y138)))</f>
        <v/>
      </c>
      <c r="AA138" s="62">
        <f>IF($V138="","",IF(AND(ISNUMBER($G138),$G138&lt;=IF($S138=MesCiclo,InicioCiclo,$S138+MOD(2-WEEKDAY($S138),7))+20),1,IF(ISNUMBER($K138),$K138,$Z138)))</f>
        <v/>
      </c>
      <c r="AB138" s="62">
        <f>IF($V138="","",IF(AND(ISNUMBER($G138),$G138&lt;=IF($S138=MesCiclo,InicioCiclo,$S138+MOD(2-WEEKDAY($S138),7))+27),1,IF(ISNUMBER($L138),$L138,$AA138)))</f>
        <v/>
      </c>
      <c r="AC138" s="62">
        <f>IF($V138="","",IF(AND(ISNUMBER($G138),$G138&lt;=IF($S138=MesCiclo,InicioCiclo,$S138+MOD(2-WEEKDAY($S138),7))+6),1,IF(N($W138)&gt;0,AVERAGEIFS($Y$5:$Y$1000,$U$5:$U$1000,ROW(),$V$5:$V$1000,"Sub"),$Y138)))</f>
        <v/>
      </c>
      <c r="AD138" s="62">
        <f>IF($V138="","",IF(AND(ISNUMBER($G138),$G138&lt;=IF($S138=MesCiclo,InicioCiclo,$S138+MOD(2-WEEKDAY($S138),7))+13),1,IF(N($W138)&gt;0,AVERAGEIFS($Z$5:$Z$1000,$U$5:$U$1000,ROW(),$V$5:$V$1000,"Sub"),$Z138)))</f>
        <v/>
      </c>
      <c r="AE138" s="62">
        <f>IF($V138="","",IF(AND(ISNUMBER($G138),$G138&lt;=IF($S138=MesCiclo,InicioCiclo,$S138+MOD(2-WEEKDAY($S138),7))+20),1,IF(N($W138)&gt;0,AVERAGEIFS($AA$5:$AA$1000,$U$5:$U$1000,ROW(),$V$5:$V$1000,"Sub"),$AA138)))</f>
        <v/>
      </c>
      <c r="AF138" s="62">
        <f>IF($V138="","",IF(AND(ISNUMBER($G138),$G138&lt;=IF($S138=MesCiclo,InicioCiclo,$S138+MOD(2-WEEKDAY($S138),7))+27),1,IF(N($W138)&gt;0,AVERAGEIFS($AB$5:$AB$1000,$U$5:$U$1000,ROW(),$V$5:$V$1000,"Sub"),$AB138)))</f>
        <v/>
      </c>
      <c r="AG138" s="62">
        <f>IF($V138&lt;&gt;"Macro","",IF(COUNTIFS($S$5:$S$1000,$S138,$V$5:$V$1000,"Macro",$H$5:$H$1000,"&gt;0")=0,1/COUNTIFS($S$5:$S$1000,$S138,$V$5:$V$1000,"Macro"),IF(AND(ISNUMBER($H138),N($H138)&gt;0),$H138,SUMIFS($H$5:$H$1000,$S$5:$S$1000,$S138,$V$5:$V$1000,"Macro")/COUNTIFS($S$5:$S$1000,$S138,$V$5:$V$1000,"Macro",$H$5:$H$1000,"&gt;0"))/(COUNTIFS($S$5:$S$1000,$S138,$V$5:$V$1000,"Macro")*SUMIFS($H$5:$H$1000,$S$5:$S$1000,$S138,$V$5:$V$1000,"Macro")/COUNTIFS($S$5:$S$1000,$S138,$V$5:$V$1000,"Macro",$H$5:$H$1000,"&gt;0"))))</f>
        <v/>
      </c>
      <c r="AH138" s="62" t="n"/>
      <c r="AI138" s="62" t="n"/>
      <c r="AJ138" s="62" t="n"/>
      <c r="AK138" s="62" t="n"/>
      <c r="AL138" s="62">
        <f>IF(LEFT($C138,11)="[Jefatura] ",IFERROR(MATCH("Riesgo Operacional|"&amp;MID($C138,12,500),rDname_ADM,0),0),"")</f>
        <v/>
      </c>
      <c r="AM138" s="62">
        <f>IF(N($AL138)&gt;0,INDEX(rIni_ADM,$AL138),IF(ISNUMBER($E138),$E138,""))</f>
        <v/>
      </c>
      <c r="AN138" s="62">
        <f>IF(N($AL138)&gt;0,INDEX(rLim_ADM,$AL138),IF(ISNUMBER($F138),$F138,""))</f>
        <v/>
      </c>
    </row>
    <row r="139">
      <c r="A139" s="56">
        <f>IF(NOT((COUNTA($B139:$D139)+COUNTA($G139:$L139)+COUNTA($Q139))&gt;0),"",IF($V139="Macro",COUNTIFS($V$5:$V139,"Macro",$S$5:$S139,$S139),IF(N($U139)=0,"?",COUNTIFS(INDEX($V$5:$V$1000,1):INDEX($V$5:$V$1000,$U139-4),"Macro",INDEX($S$5:$S$1000,1):INDEX($S$5:$S$1000,$U139-4),INDEX($S$5:$S$1000,$U139-4))&amp;"."&amp;COUNTIFS($U$5:$U139,$U139,$V$5:$V139,"Sub"))))</f>
        <v/>
      </c>
      <c r="B139" s="57" t="n"/>
      <c r="C139" s="58" t="n"/>
      <c r="D139" s="58" t="n"/>
      <c r="E139" s="59">
        <f>IF(N($AL139)&gt;0,INDEX(rIni_ADM,$AL139),"")</f>
        <v/>
      </c>
      <c r="F139" s="59">
        <f>IF(N($AL139)&gt;0,INDEX(rLim_ADM,$AL139),"")</f>
        <v/>
      </c>
      <c r="G139" s="59" t="n"/>
      <c r="H139" s="60" t="n"/>
      <c r="I139" s="60" t="n"/>
      <c r="J139" s="60" t="n"/>
      <c r="K139" s="60" t="n"/>
      <c r="L139" s="60" t="n"/>
      <c r="M139" s="61">
        <f>IF(NOT((COUNTA($B139:$D139)+COUNTA($G139:$L139)+COUNTA($Q139))&gt;0),"",IF($V139="Sub",IFERROR($X139/INDEX($W$5:$W$1000,$U139-4),""),IF(ISNUMBER($G139),1,IF(N($W139)&gt;0,AVERAGEIFS($X$5:$X$1000,$U$5:$U$1000,ROW(),$V$5:$V$1000,"Sub"),$X139))))</f>
        <v/>
      </c>
      <c r="N139" s="56">
        <f>IF(OR($M139="",$V139="Sub"),"",IF($M139&gt;=1,"Completado",IF($M139&gt;0,"En curso","Pendiente")))</f>
        <v/>
      </c>
      <c r="O139" s="56">
        <f>IF(OR(NOT((COUNTA($B139:$D139)+COUNTA($G139:$L139)+COUNTA($Q139))&gt;0),$V139="Sub"),"",IF(ISNUMBER($G139),IF(AND(ISNUMBER($AN139),$G139&gt;$AN139),"Cumplida con "&amp;($G139-$AN139)&amp;IF($G139-$AN139=1," día"," días")&amp;" de retraso","Cumplida"),IF(N($M139)&gt;=1,"Cumplida",IF(NOT(ISNUMBER($AN139)),"Sin fecha límite",IF($AN139&lt;FechaRef,"Vencida hace "&amp;(FechaRef-$AN139)&amp;IF(FechaRef-$AN139=1," día"," días"),IF($AN139=FechaRef,"Vence hoy",IF($AN139-FechaRef&lt;=DiasAlerta,"Vence en "&amp;($AN139-FechaRef)&amp;IF($AN139-FechaRef=1," día"," días"),"En plazo")))))))</f>
        <v/>
      </c>
      <c r="P139" s="62" t="n"/>
      <c r="Q139" s="58" t="n"/>
      <c r="R139" s="63">
        <f>IF(NOT((COUNTA($B139:$D139)+COUNTA($G139:$L139)+COUNTA($Q139))&gt;0),"",IF((IF($C139="","Falta el nombre de la actividad"&amp;" · ","")&amp;IF(AND($V139="Sub",N($U139)=0),"Subactividad sin macroactividad arriba"&amp;" · ","")&amp;IF($AM139="","Sin fecha de inicio"&amp;" · ","")&amp;IF($AN139="","Sin fecha límite"&amp;" · ","")&amp;IF(AND(LEFT($C139,11)="[Jefatura] ",N($AL139)=0),"No se encuentra en la hoja de la jefatura (elíjala de nuevo en la lista)"&amp;" · ","")&amp;IF(OR(AND($E139&lt;&gt;"",NOT(ISNUMBER($E139))),AND($F139&lt;&gt;"",NOT(ISNUMBER($F139))),AND($G139&lt;&gt;"",NOT(ISNUMBER($G139)))),"Fecha no válida"&amp;" · ","")&amp;IF(AND(ISNUMBER($AM139),ISNUMBER($AN139),$AM139&gt;$AN139),"Inicio posterior a fecha límite"&amp;" · ","")&amp;IF(AND($V139="Macro",$H139&lt;&gt;"",OR(NOT(ISNUMBER($H139)),$H139&lt;0,$H139&gt;1)),"Peso fuera de rango"&amp;" · ","")&amp;IF(AND($V139="Sub",$H139&lt;&gt;""),"Las subactividades no llevan peso (valen igual dentro de su macroactividad)"&amp;" · ","")&amp;IF(AND(N($W139)&gt;0,COUNT($I139:$L139)&gt;0),"Con subactividades: deje vacías las semanas (se calculan solas)"&amp;" · ","")&amp;IF((COUNTIF($I139:$L139,"&gt;1")+COUNTIF($I139:$L139,"&lt;0")+COUNTA($I139:$L139)-COUNT($I139:$L139))&gt;0,"Avance fuera de rango 0-100%"&amp;" · ","")&amp;IF(OR(AND($J139&lt;&gt;"",$J139&lt;$I139),AND($K139&lt;&gt;"",$K139&lt;MAX($I139:$J139)),AND($L139&lt;&gt;"",$L139&lt;MAX($I139:$K139))),"Avance semanal decreciente"&amp;" · ","")&amp;IF(AND(ISNUMBER($AN139),$AN139&lt;FechaRef,IF($V139="Sub",N($X139),N($M139))&lt;1),"Vencida"&amp;" · ","")&amp;IF(AND(ObsObligatoria="Sí",ISNUMBER($AN139),$AN139&lt;FechaRef,IF($V139="Sub",N($X139),N($M139))&lt;1,$Q139=""),"Vencida sin observación"&amp;" · ",""))="","✔ OK","⚠ "&amp;LEFT(IF($C139="","Falta el nombre de la actividad"&amp;" · ","")&amp;IF(AND($V139="Sub",N($U139)=0),"Subactividad sin macroactividad arriba"&amp;" · ","")&amp;IF($AM139="","Sin fecha de inicio"&amp;" · ","")&amp;IF($AN139="","Sin fecha límite"&amp;" · ","")&amp;IF(AND(LEFT($C139,11)="[Jefatura] ",N($AL139)=0),"No se encuentra en la hoja de la jefatura (elíjala de nuevo en la lista)"&amp;" · ","")&amp;IF(OR(AND($E139&lt;&gt;"",NOT(ISNUMBER($E139))),AND($F139&lt;&gt;"",NOT(ISNUMBER($F139))),AND($G139&lt;&gt;"",NOT(ISNUMBER($G139)))),"Fecha no válida"&amp;" · ","")&amp;IF(AND(ISNUMBER($AM139),ISNUMBER($AN139),$AM139&gt;$AN139),"Inicio posterior a fecha límite"&amp;" · ","")&amp;IF(AND($V139="Macro",$H139&lt;&gt;"",OR(NOT(ISNUMBER($H139)),$H139&lt;0,$H139&gt;1)),"Peso fuera de rango"&amp;" · ","")&amp;IF(AND($V139="Sub",$H139&lt;&gt;""),"Las subactividades no llevan peso (valen igual dentro de su macroactividad)"&amp;" · ","")&amp;IF(AND(N($W139)&gt;0,COUNT($I139:$L139)&gt;0),"Con subactividades: deje vacías las semanas (se calculan solas)"&amp;" · ","")&amp;IF((COUNTIF($I139:$L139,"&gt;1")+COUNTIF($I139:$L139,"&lt;0")+COUNTA($I139:$L139)-COUNT($I139:$L139))&gt;0,"Avance fuera de rango 0-100%"&amp;" · ","")&amp;IF(OR(AND($J139&lt;&gt;"",$J139&lt;$I139),AND($K139&lt;&gt;"",$K139&lt;MAX($I139:$J139)),AND($L139&lt;&gt;"",$L139&lt;MAX($I139:$K139))),"Avance semanal decreciente"&amp;" · ","")&amp;IF(AND(ISNUMBER($AN139),$AN139&lt;FechaRef,IF($V139="Sub",N($X139),N($M139))&lt;1),"Vencida"&amp;" · ","")&amp;IF(AND(ObsObligatoria="Sí",ISNUMBER($AN139),$AN139&lt;FechaRef,IF($V139="Sub",N($X139),N($M139))&lt;1,$Q139=""),"Vencida sin observación"&amp;" · ",""),LEN(IF($C139="","Falta el nombre de la actividad"&amp;" · ","")&amp;IF(AND($V139="Sub",N($U139)=0),"Subactividad sin macroactividad arriba"&amp;" · ","")&amp;IF($AM139="","Sin fecha de inicio"&amp;" · ","")&amp;IF($AN139="","Sin fecha límite"&amp;" · ","")&amp;IF(AND(LEFT($C139,11)="[Jefatura] ",N($AL139)=0),"No se encuentra en la hoja de la jefatura (elíjala de nuevo en la lista)"&amp;" · ","")&amp;IF(OR(AND($E139&lt;&gt;"",NOT(ISNUMBER($E139))),AND($F139&lt;&gt;"",NOT(ISNUMBER($F139))),AND($G139&lt;&gt;"",NOT(ISNUMBER($G139)))),"Fecha no válida"&amp;" · ","")&amp;IF(AND(ISNUMBER($AM139),ISNUMBER($AN139),$AM139&gt;$AN139),"Inicio posterior a fecha límite"&amp;" · ","")&amp;IF(AND($V139="Macro",$H139&lt;&gt;"",OR(NOT(ISNUMBER($H139)),$H139&lt;0,$H139&gt;1)),"Peso fuera de rango"&amp;" · ","")&amp;IF(AND($V139="Sub",$H139&lt;&gt;""),"Las subactividades no llevan peso (valen igual dentro de su macroactividad)"&amp;" · ","")&amp;IF(AND(N($W139)&gt;0,COUNT($I139:$L139)&gt;0),"Con subactividades: deje vacías las semanas (se calculan solas)"&amp;" · ","")&amp;IF((COUNTIF($I139:$L139,"&gt;1")+COUNTIF($I139:$L139,"&lt;0")+COUNTA($I139:$L139)-COUNT($I139:$L139))&gt;0,"Avance fuera de rango 0-100%"&amp;" · ","")&amp;IF(OR(AND($J139&lt;&gt;"",$J139&lt;$I139),AND($K139&lt;&gt;"",$K139&lt;MAX($I139:$J139)),AND($L139&lt;&gt;"",$L139&lt;MAX($I139:$K139))),"Avance semanal decreciente"&amp;" · ","")&amp;IF(AND(ISNUMBER($AN139),$AN139&lt;FechaRef,IF($V139="Sub",N($X139),N($M139))&lt;1),"Vencida"&amp;" · ","")&amp;IF(AND(ObsObligatoria="Sí",ISNUMBER($AN139),$AN139&lt;FechaRef,IF($V139="Sub",N($X139),N($M139))&lt;1,$Q139=""),"Vencida sin observación"&amp;" · ",""))-3)))</f>
        <v/>
      </c>
      <c r="S139" s="64">
        <f>IF(NOT((COUNTA($B139:$D139)+COUNTA($G139:$L139)+COUNTA($Q139))&gt;0),"",IF(AND($V139="Sub",N($U139)&gt;0),IF(ISNUMBER(INDEX($AM$5:$AM$1000,$U139-4)),DATE(YEAR(INDEX($AM$5:$AM$1000,$U139-4)),MONTH(INDEX($AM$5:$AM$1000,$U139-4)),1),IF(ISNUMBER(INDEX($AN$5:$AN$1000,$U139-4)),DATE(YEAR(INDEX($AN$5:$AN$1000,$U139-4)),MONTH(INDEX($AN$5:$AN$1000,$U139-4)),1),MesCiclo)),IF(ISNUMBER($AM139),DATE(YEAR($AM139),MONTH($AM139),1),IF(ISNUMBER($AN139),DATE(YEAR($AN139),MONTH($AN139),1),MesCiclo))))</f>
        <v/>
      </c>
      <c r="T139" s="62">
        <f>IF(OR($S139="",$S139&lt;&gt;MesCiclo,$V139&lt;&gt;"Macro"),"",COUNTIFS($S$5:$S139,MesCiclo,$V$5:$V139,"Macro"))</f>
        <v/>
      </c>
      <c r="U139" s="62">
        <f>IF($V139="","",IF($V139="Macro",ROW(),IFERROR(LOOKUP(2,1/($V$5:$V139="Macro"),ROW($V$5:$V139)),0)))</f>
        <v/>
      </c>
      <c r="V139" s="62">
        <f>IF(NOT((COUNTA($B139:$D139)+COUNTA($G139:$L139)+COUNTA($Q139))&gt;0),"",IF($B139="Subactividad","Sub","Macro"))</f>
        <v/>
      </c>
      <c r="W139" s="62">
        <f>IF($V139="Macro",COUNTIFS($U$5:$U$1000,ROW(),$V$5:$V$1000,"Sub"),"")</f>
        <v/>
      </c>
      <c r="X139" s="62">
        <f>IF($V139="","",IF(ISNUMBER($G139),1,IFERROR(LOOKUP(2,1/($I139:$L139&lt;&gt;""),$I139:$L139),0)))</f>
        <v/>
      </c>
      <c r="Y139" s="62">
        <f>IF($V139="","",IF(AND(ISNUMBER($G139),$G139&lt;=IF($S139=MesCiclo,InicioCiclo,$S139+MOD(2-WEEKDAY($S139),7))+6),1,IF(ISNUMBER($I139),$I139,0)))</f>
        <v/>
      </c>
      <c r="Z139" s="62">
        <f>IF($V139="","",IF(AND(ISNUMBER($G139),$G139&lt;=IF($S139=MesCiclo,InicioCiclo,$S139+MOD(2-WEEKDAY($S139),7))+13),1,IF(ISNUMBER($J139),$J139,$Y139)))</f>
        <v/>
      </c>
      <c r="AA139" s="62">
        <f>IF($V139="","",IF(AND(ISNUMBER($G139),$G139&lt;=IF($S139=MesCiclo,InicioCiclo,$S139+MOD(2-WEEKDAY($S139),7))+20),1,IF(ISNUMBER($K139),$K139,$Z139)))</f>
        <v/>
      </c>
      <c r="AB139" s="62">
        <f>IF($V139="","",IF(AND(ISNUMBER($G139),$G139&lt;=IF($S139=MesCiclo,InicioCiclo,$S139+MOD(2-WEEKDAY($S139),7))+27),1,IF(ISNUMBER($L139),$L139,$AA139)))</f>
        <v/>
      </c>
      <c r="AC139" s="62">
        <f>IF($V139="","",IF(AND(ISNUMBER($G139),$G139&lt;=IF($S139=MesCiclo,InicioCiclo,$S139+MOD(2-WEEKDAY($S139),7))+6),1,IF(N($W139)&gt;0,AVERAGEIFS($Y$5:$Y$1000,$U$5:$U$1000,ROW(),$V$5:$V$1000,"Sub"),$Y139)))</f>
        <v/>
      </c>
      <c r="AD139" s="62">
        <f>IF($V139="","",IF(AND(ISNUMBER($G139),$G139&lt;=IF($S139=MesCiclo,InicioCiclo,$S139+MOD(2-WEEKDAY($S139),7))+13),1,IF(N($W139)&gt;0,AVERAGEIFS($Z$5:$Z$1000,$U$5:$U$1000,ROW(),$V$5:$V$1000,"Sub"),$Z139)))</f>
        <v/>
      </c>
      <c r="AE139" s="62">
        <f>IF($V139="","",IF(AND(ISNUMBER($G139),$G139&lt;=IF($S139=MesCiclo,InicioCiclo,$S139+MOD(2-WEEKDAY($S139),7))+20),1,IF(N($W139)&gt;0,AVERAGEIFS($AA$5:$AA$1000,$U$5:$U$1000,ROW(),$V$5:$V$1000,"Sub"),$AA139)))</f>
        <v/>
      </c>
      <c r="AF139" s="62">
        <f>IF($V139="","",IF(AND(ISNUMBER($G139),$G139&lt;=IF($S139=MesCiclo,InicioCiclo,$S139+MOD(2-WEEKDAY($S139),7))+27),1,IF(N($W139)&gt;0,AVERAGEIFS($AB$5:$AB$1000,$U$5:$U$1000,ROW(),$V$5:$V$1000,"Sub"),$AB139)))</f>
        <v/>
      </c>
      <c r="AG139" s="62">
        <f>IF($V139&lt;&gt;"Macro","",IF(COUNTIFS($S$5:$S$1000,$S139,$V$5:$V$1000,"Macro",$H$5:$H$1000,"&gt;0")=0,1/COUNTIFS($S$5:$S$1000,$S139,$V$5:$V$1000,"Macro"),IF(AND(ISNUMBER($H139),N($H139)&gt;0),$H139,SUMIFS($H$5:$H$1000,$S$5:$S$1000,$S139,$V$5:$V$1000,"Macro")/COUNTIFS($S$5:$S$1000,$S139,$V$5:$V$1000,"Macro",$H$5:$H$1000,"&gt;0"))/(COUNTIFS($S$5:$S$1000,$S139,$V$5:$V$1000,"Macro")*SUMIFS($H$5:$H$1000,$S$5:$S$1000,$S139,$V$5:$V$1000,"Macro")/COUNTIFS($S$5:$S$1000,$S139,$V$5:$V$1000,"Macro",$H$5:$H$1000,"&gt;0"))))</f>
        <v/>
      </c>
      <c r="AH139" s="62" t="n"/>
      <c r="AI139" s="62" t="n"/>
      <c r="AJ139" s="62" t="n"/>
      <c r="AK139" s="62" t="n"/>
      <c r="AL139" s="62">
        <f>IF(LEFT($C139,11)="[Jefatura] ",IFERROR(MATCH("Riesgo Operacional|"&amp;MID($C139,12,500),rDname_ADM,0),0),"")</f>
        <v/>
      </c>
      <c r="AM139" s="62">
        <f>IF(N($AL139)&gt;0,INDEX(rIni_ADM,$AL139),IF(ISNUMBER($E139),$E139,""))</f>
        <v/>
      </c>
      <c r="AN139" s="62">
        <f>IF(N($AL139)&gt;0,INDEX(rLim_ADM,$AL139),IF(ISNUMBER($F139),$F139,""))</f>
        <v/>
      </c>
    </row>
    <row r="140">
      <c r="A140" s="56">
        <f>IF(NOT((COUNTA($B140:$D140)+COUNTA($G140:$L140)+COUNTA($Q140))&gt;0),"",IF($V140="Macro",COUNTIFS($V$5:$V140,"Macro",$S$5:$S140,$S140),IF(N($U140)=0,"?",COUNTIFS(INDEX($V$5:$V$1000,1):INDEX($V$5:$V$1000,$U140-4),"Macro",INDEX($S$5:$S$1000,1):INDEX($S$5:$S$1000,$U140-4),INDEX($S$5:$S$1000,$U140-4))&amp;"."&amp;COUNTIFS($U$5:$U140,$U140,$V$5:$V140,"Sub"))))</f>
        <v/>
      </c>
      <c r="B140" s="57" t="n"/>
      <c r="C140" s="58" t="n"/>
      <c r="D140" s="58" t="n"/>
      <c r="E140" s="59">
        <f>IF(N($AL140)&gt;0,INDEX(rIni_ADM,$AL140),"")</f>
        <v/>
      </c>
      <c r="F140" s="59">
        <f>IF(N($AL140)&gt;0,INDEX(rLim_ADM,$AL140),"")</f>
        <v/>
      </c>
      <c r="G140" s="59" t="n"/>
      <c r="H140" s="60" t="n"/>
      <c r="I140" s="60" t="n"/>
      <c r="J140" s="60" t="n"/>
      <c r="K140" s="60" t="n"/>
      <c r="L140" s="60" t="n"/>
      <c r="M140" s="61">
        <f>IF(NOT((COUNTA($B140:$D140)+COUNTA($G140:$L140)+COUNTA($Q140))&gt;0),"",IF($V140="Sub",IFERROR($X140/INDEX($W$5:$W$1000,$U140-4),""),IF(ISNUMBER($G140),1,IF(N($W140)&gt;0,AVERAGEIFS($X$5:$X$1000,$U$5:$U$1000,ROW(),$V$5:$V$1000,"Sub"),$X140))))</f>
        <v/>
      </c>
      <c r="N140" s="56">
        <f>IF(OR($M140="",$V140="Sub"),"",IF($M140&gt;=1,"Completado",IF($M140&gt;0,"En curso","Pendiente")))</f>
        <v/>
      </c>
      <c r="O140" s="56">
        <f>IF(OR(NOT((COUNTA($B140:$D140)+COUNTA($G140:$L140)+COUNTA($Q140))&gt;0),$V140="Sub"),"",IF(ISNUMBER($G140),IF(AND(ISNUMBER($AN140),$G140&gt;$AN140),"Cumplida con "&amp;($G140-$AN140)&amp;IF($G140-$AN140=1," día"," días")&amp;" de retraso","Cumplida"),IF(N($M140)&gt;=1,"Cumplida",IF(NOT(ISNUMBER($AN140)),"Sin fecha límite",IF($AN140&lt;FechaRef,"Vencida hace "&amp;(FechaRef-$AN140)&amp;IF(FechaRef-$AN140=1," día"," días"),IF($AN140=FechaRef,"Vence hoy",IF($AN140-FechaRef&lt;=DiasAlerta,"Vence en "&amp;($AN140-FechaRef)&amp;IF($AN140-FechaRef=1," día"," días"),"En plazo")))))))</f>
        <v/>
      </c>
      <c r="P140" s="62" t="n"/>
      <c r="Q140" s="58" t="n"/>
      <c r="R140" s="63">
        <f>IF(NOT((COUNTA($B140:$D140)+COUNTA($G140:$L140)+COUNTA($Q140))&gt;0),"",IF((IF($C140="","Falta el nombre de la actividad"&amp;" · ","")&amp;IF(AND($V140="Sub",N($U140)=0),"Subactividad sin macroactividad arriba"&amp;" · ","")&amp;IF($AM140="","Sin fecha de inicio"&amp;" · ","")&amp;IF($AN140="","Sin fecha límite"&amp;" · ","")&amp;IF(AND(LEFT($C140,11)="[Jefatura] ",N($AL140)=0),"No se encuentra en la hoja de la jefatura (elíjala de nuevo en la lista)"&amp;" · ","")&amp;IF(OR(AND($E140&lt;&gt;"",NOT(ISNUMBER($E140))),AND($F140&lt;&gt;"",NOT(ISNUMBER($F140))),AND($G140&lt;&gt;"",NOT(ISNUMBER($G140)))),"Fecha no válida"&amp;" · ","")&amp;IF(AND(ISNUMBER($AM140),ISNUMBER($AN140),$AM140&gt;$AN140),"Inicio posterior a fecha límite"&amp;" · ","")&amp;IF(AND($V140="Macro",$H140&lt;&gt;"",OR(NOT(ISNUMBER($H140)),$H140&lt;0,$H140&gt;1)),"Peso fuera de rango"&amp;" · ","")&amp;IF(AND($V140="Sub",$H140&lt;&gt;""),"Las subactividades no llevan peso (valen igual dentro de su macroactividad)"&amp;" · ","")&amp;IF(AND(N($W140)&gt;0,COUNT($I140:$L140)&gt;0),"Con subactividades: deje vacías las semanas (se calculan solas)"&amp;" · ","")&amp;IF((COUNTIF($I140:$L140,"&gt;1")+COUNTIF($I140:$L140,"&lt;0")+COUNTA($I140:$L140)-COUNT($I140:$L140))&gt;0,"Avance fuera de rango 0-100%"&amp;" · ","")&amp;IF(OR(AND($J140&lt;&gt;"",$J140&lt;$I140),AND($K140&lt;&gt;"",$K140&lt;MAX($I140:$J140)),AND($L140&lt;&gt;"",$L140&lt;MAX($I140:$K140))),"Avance semanal decreciente"&amp;" · ","")&amp;IF(AND(ISNUMBER($AN140),$AN140&lt;FechaRef,IF($V140="Sub",N($X140),N($M140))&lt;1),"Vencida"&amp;" · ","")&amp;IF(AND(ObsObligatoria="Sí",ISNUMBER($AN140),$AN140&lt;FechaRef,IF($V140="Sub",N($X140),N($M140))&lt;1,$Q140=""),"Vencida sin observación"&amp;" · ",""))="","✔ OK","⚠ "&amp;LEFT(IF($C140="","Falta el nombre de la actividad"&amp;" · ","")&amp;IF(AND($V140="Sub",N($U140)=0),"Subactividad sin macroactividad arriba"&amp;" · ","")&amp;IF($AM140="","Sin fecha de inicio"&amp;" · ","")&amp;IF($AN140="","Sin fecha límite"&amp;" · ","")&amp;IF(AND(LEFT($C140,11)="[Jefatura] ",N($AL140)=0),"No se encuentra en la hoja de la jefatura (elíjala de nuevo en la lista)"&amp;" · ","")&amp;IF(OR(AND($E140&lt;&gt;"",NOT(ISNUMBER($E140))),AND($F140&lt;&gt;"",NOT(ISNUMBER($F140))),AND($G140&lt;&gt;"",NOT(ISNUMBER($G140)))),"Fecha no válida"&amp;" · ","")&amp;IF(AND(ISNUMBER($AM140),ISNUMBER($AN140),$AM140&gt;$AN140),"Inicio posterior a fecha límite"&amp;" · ","")&amp;IF(AND($V140="Macro",$H140&lt;&gt;"",OR(NOT(ISNUMBER($H140)),$H140&lt;0,$H140&gt;1)),"Peso fuera de rango"&amp;" · ","")&amp;IF(AND($V140="Sub",$H140&lt;&gt;""),"Las subactividades no llevan peso (valen igual dentro de su macroactividad)"&amp;" · ","")&amp;IF(AND(N($W140)&gt;0,COUNT($I140:$L140)&gt;0),"Con subactividades: deje vacías las semanas (se calculan solas)"&amp;" · ","")&amp;IF((COUNTIF($I140:$L140,"&gt;1")+COUNTIF($I140:$L140,"&lt;0")+COUNTA($I140:$L140)-COUNT($I140:$L140))&gt;0,"Avance fuera de rango 0-100%"&amp;" · ","")&amp;IF(OR(AND($J140&lt;&gt;"",$J140&lt;$I140),AND($K140&lt;&gt;"",$K140&lt;MAX($I140:$J140)),AND($L140&lt;&gt;"",$L140&lt;MAX($I140:$K140))),"Avance semanal decreciente"&amp;" · ","")&amp;IF(AND(ISNUMBER($AN140),$AN140&lt;FechaRef,IF($V140="Sub",N($X140),N($M140))&lt;1),"Vencida"&amp;" · ","")&amp;IF(AND(ObsObligatoria="Sí",ISNUMBER($AN140),$AN140&lt;FechaRef,IF($V140="Sub",N($X140),N($M140))&lt;1,$Q140=""),"Vencida sin observación"&amp;" · ",""),LEN(IF($C140="","Falta el nombre de la actividad"&amp;" · ","")&amp;IF(AND($V140="Sub",N($U140)=0),"Subactividad sin macroactividad arriba"&amp;" · ","")&amp;IF($AM140="","Sin fecha de inicio"&amp;" · ","")&amp;IF($AN140="","Sin fecha límite"&amp;" · ","")&amp;IF(AND(LEFT($C140,11)="[Jefatura] ",N($AL140)=0),"No se encuentra en la hoja de la jefatura (elíjala de nuevo en la lista)"&amp;" · ","")&amp;IF(OR(AND($E140&lt;&gt;"",NOT(ISNUMBER($E140))),AND($F140&lt;&gt;"",NOT(ISNUMBER($F140))),AND($G140&lt;&gt;"",NOT(ISNUMBER($G140)))),"Fecha no válida"&amp;" · ","")&amp;IF(AND(ISNUMBER($AM140),ISNUMBER($AN140),$AM140&gt;$AN140),"Inicio posterior a fecha límite"&amp;" · ","")&amp;IF(AND($V140="Macro",$H140&lt;&gt;"",OR(NOT(ISNUMBER($H140)),$H140&lt;0,$H140&gt;1)),"Peso fuera de rango"&amp;" · ","")&amp;IF(AND($V140="Sub",$H140&lt;&gt;""),"Las subactividades no llevan peso (valen igual dentro de su macroactividad)"&amp;" · ","")&amp;IF(AND(N($W140)&gt;0,COUNT($I140:$L140)&gt;0),"Con subactividades: deje vacías las semanas (se calculan solas)"&amp;" · ","")&amp;IF((COUNTIF($I140:$L140,"&gt;1")+COUNTIF($I140:$L140,"&lt;0")+COUNTA($I140:$L140)-COUNT($I140:$L140))&gt;0,"Avance fuera de rango 0-100%"&amp;" · ","")&amp;IF(OR(AND($J140&lt;&gt;"",$J140&lt;$I140),AND($K140&lt;&gt;"",$K140&lt;MAX($I140:$J140)),AND($L140&lt;&gt;"",$L140&lt;MAX($I140:$K140))),"Avance semanal decreciente"&amp;" · ","")&amp;IF(AND(ISNUMBER($AN140),$AN140&lt;FechaRef,IF($V140="Sub",N($X140),N($M140))&lt;1),"Vencida"&amp;" · ","")&amp;IF(AND(ObsObligatoria="Sí",ISNUMBER($AN140),$AN140&lt;FechaRef,IF($V140="Sub",N($X140),N($M140))&lt;1,$Q140=""),"Vencida sin observación"&amp;" · ",""))-3)))</f>
        <v/>
      </c>
      <c r="S140" s="64">
        <f>IF(NOT((COUNTA($B140:$D140)+COUNTA($G140:$L140)+COUNTA($Q140))&gt;0),"",IF(AND($V140="Sub",N($U140)&gt;0),IF(ISNUMBER(INDEX($AM$5:$AM$1000,$U140-4)),DATE(YEAR(INDEX($AM$5:$AM$1000,$U140-4)),MONTH(INDEX($AM$5:$AM$1000,$U140-4)),1),IF(ISNUMBER(INDEX($AN$5:$AN$1000,$U140-4)),DATE(YEAR(INDEX($AN$5:$AN$1000,$U140-4)),MONTH(INDEX($AN$5:$AN$1000,$U140-4)),1),MesCiclo)),IF(ISNUMBER($AM140),DATE(YEAR($AM140),MONTH($AM140),1),IF(ISNUMBER($AN140),DATE(YEAR($AN140),MONTH($AN140),1),MesCiclo))))</f>
        <v/>
      </c>
      <c r="T140" s="62">
        <f>IF(OR($S140="",$S140&lt;&gt;MesCiclo,$V140&lt;&gt;"Macro"),"",COUNTIFS($S$5:$S140,MesCiclo,$V$5:$V140,"Macro"))</f>
        <v/>
      </c>
      <c r="U140" s="62">
        <f>IF($V140="","",IF($V140="Macro",ROW(),IFERROR(LOOKUP(2,1/($V$5:$V140="Macro"),ROW($V$5:$V140)),0)))</f>
        <v/>
      </c>
      <c r="V140" s="62">
        <f>IF(NOT((COUNTA($B140:$D140)+COUNTA($G140:$L140)+COUNTA($Q140))&gt;0),"",IF($B140="Subactividad","Sub","Macro"))</f>
        <v/>
      </c>
      <c r="W140" s="62">
        <f>IF($V140="Macro",COUNTIFS($U$5:$U$1000,ROW(),$V$5:$V$1000,"Sub"),"")</f>
        <v/>
      </c>
      <c r="X140" s="62">
        <f>IF($V140="","",IF(ISNUMBER($G140),1,IFERROR(LOOKUP(2,1/($I140:$L140&lt;&gt;""),$I140:$L140),0)))</f>
        <v/>
      </c>
      <c r="Y140" s="62">
        <f>IF($V140="","",IF(AND(ISNUMBER($G140),$G140&lt;=IF($S140=MesCiclo,InicioCiclo,$S140+MOD(2-WEEKDAY($S140),7))+6),1,IF(ISNUMBER($I140),$I140,0)))</f>
        <v/>
      </c>
      <c r="Z140" s="62">
        <f>IF($V140="","",IF(AND(ISNUMBER($G140),$G140&lt;=IF($S140=MesCiclo,InicioCiclo,$S140+MOD(2-WEEKDAY($S140),7))+13),1,IF(ISNUMBER($J140),$J140,$Y140)))</f>
        <v/>
      </c>
      <c r="AA140" s="62">
        <f>IF($V140="","",IF(AND(ISNUMBER($G140),$G140&lt;=IF($S140=MesCiclo,InicioCiclo,$S140+MOD(2-WEEKDAY($S140),7))+20),1,IF(ISNUMBER($K140),$K140,$Z140)))</f>
        <v/>
      </c>
      <c r="AB140" s="62">
        <f>IF($V140="","",IF(AND(ISNUMBER($G140),$G140&lt;=IF($S140=MesCiclo,InicioCiclo,$S140+MOD(2-WEEKDAY($S140),7))+27),1,IF(ISNUMBER($L140),$L140,$AA140)))</f>
        <v/>
      </c>
      <c r="AC140" s="62">
        <f>IF($V140="","",IF(AND(ISNUMBER($G140),$G140&lt;=IF($S140=MesCiclo,InicioCiclo,$S140+MOD(2-WEEKDAY($S140),7))+6),1,IF(N($W140)&gt;0,AVERAGEIFS($Y$5:$Y$1000,$U$5:$U$1000,ROW(),$V$5:$V$1000,"Sub"),$Y140)))</f>
        <v/>
      </c>
      <c r="AD140" s="62">
        <f>IF($V140="","",IF(AND(ISNUMBER($G140),$G140&lt;=IF($S140=MesCiclo,InicioCiclo,$S140+MOD(2-WEEKDAY($S140),7))+13),1,IF(N($W140)&gt;0,AVERAGEIFS($Z$5:$Z$1000,$U$5:$U$1000,ROW(),$V$5:$V$1000,"Sub"),$Z140)))</f>
        <v/>
      </c>
      <c r="AE140" s="62">
        <f>IF($V140="","",IF(AND(ISNUMBER($G140),$G140&lt;=IF($S140=MesCiclo,InicioCiclo,$S140+MOD(2-WEEKDAY($S140),7))+20),1,IF(N($W140)&gt;0,AVERAGEIFS($AA$5:$AA$1000,$U$5:$U$1000,ROW(),$V$5:$V$1000,"Sub"),$AA140)))</f>
        <v/>
      </c>
      <c r="AF140" s="62">
        <f>IF($V140="","",IF(AND(ISNUMBER($G140),$G140&lt;=IF($S140=MesCiclo,InicioCiclo,$S140+MOD(2-WEEKDAY($S140),7))+27),1,IF(N($W140)&gt;0,AVERAGEIFS($AB$5:$AB$1000,$U$5:$U$1000,ROW(),$V$5:$V$1000,"Sub"),$AB140)))</f>
        <v/>
      </c>
      <c r="AG140" s="62">
        <f>IF($V140&lt;&gt;"Macro","",IF(COUNTIFS($S$5:$S$1000,$S140,$V$5:$V$1000,"Macro",$H$5:$H$1000,"&gt;0")=0,1/COUNTIFS($S$5:$S$1000,$S140,$V$5:$V$1000,"Macro"),IF(AND(ISNUMBER($H140),N($H140)&gt;0),$H140,SUMIFS($H$5:$H$1000,$S$5:$S$1000,$S140,$V$5:$V$1000,"Macro")/COUNTIFS($S$5:$S$1000,$S140,$V$5:$V$1000,"Macro",$H$5:$H$1000,"&gt;0"))/(COUNTIFS($S$5:$S$1000,$S140,$V$5:$V$1000,"Macro")*SUMIFS($H$5:$H$1000,$S$5:$S$1000,$S140,$V$5:$V$1000,"Macro")/COUNTIFS($S$5:$S$1000,$S140,$V$5:$V$1000,"Macro",$H$5:$H$1000,"&gt;0"))))</f>
        <v/>
      </c>
      <c r="AH140" s="62" t="n"/>
      <c r="AI140" s="62" t="n"/>
      <c r="AJ140" s="62" t="n"/>
      <c r="AK140" s="62" t="n"/>
      <c r="AL140" s="62">
        <f>IF(LEFT($C140,11)="[Jefatura] ",IFERROR(MATCH("Riesgo Operacional|"&amp;MID($C140,12,500),rDname_ADM,0),0),"")</f>
        <v/>
      </c>
      <c r="AM140" s="62">
        <f>IF(N($AL140)&gt;0,INDEX(rIni_ADM,$AL140),IF(ISNUMBER($E140),$E140,""))</f>
        <v/>
      </c>
      <c r="AN140" s="62">
        <f>IF(N($AL140)&gt;0,INDEX(rLim_ADM,$AL140),IF(ISNUMBER($F140),$F140,""))</f>
        <v/>
      </c>
    </row>
    <row r="141">
      <c r="A141" s="56">
        <f>IF(NOT((COUNTA($B141:$D141)+COUNTA($G141:$L141)+COUNTA($Q141))&gt;0),"",IF($V141="Macro",COUNTIFS($V$5:$V141,"Macro",$S$5:$S141,$S141),IF(N($U141)=0,"?",COUNTIFS(INDEX($V$5:$V$1000,1):INDEX($V$5:$V$1000,$U141-4),"Macro",INDEX($S$5:$S$1000,1):INDEX($S$5:$S$1000,$U141-4),INDEX($S$5:$S$1000,$U141-4))&amp;"."&amp;COUNTIFS($U$5:$U141,$U141,$V$5:$V141,"Sub"))))</f>
        <v/>
      </c>
      <c r="B141" s="57" t="n"/>
      <c r="C141" s="58" t="n"/>
      <c r="D141" s="58" t="n"/>
      <c r="E141" s="59">
        <f>IF(N($AL141)&gt;0,INDEX(rIni_ADM,$AL141),"")</f>
        <v/>
      </c>
      <c r="F141" s="59">
        <f>IF(N($AL141)&gt;0,INDEX(rLim_ADM,$AL141),"")</f>
        <v/>
      </c>
      <c r="G141" s="59" t="n"/>
      <c r="H141" s="60" t="n"/>
      <c r="I141" s="60" t="n"/>
      <c r="J141" s="60" t="n"/>
      <c r="K141" s="60" t="n"/>
      <c r="L141" s="60" t="n"/>
      <c r="M141" s="61">
        <f>IF(NOT((COUNTA($B141:$D141)+COUNTA($G141:$L141)+COUNTA($Q141))&gt;0),"",IF($V141="Sub",IFERROR($X141/INDEX($W$5:$W$1000,$U141-4),""),IF(ISNUMBER($G141),1,IF(N($W141)&gt;0,AVERAGEIFS($X$5:$X$1000,$U$5:$U$1000,ROW(),$V$5:$V$1000,"Sub"),$X141))))</f>
        <v/>
      </c>
      <c r="N141" s="56">
        <f>IF(OR($M141="",$V141="Sub"),"",IF($M141&gt;=1,"Completado",IF($M141&gt;0,"En curso","Pendiente")))</f>
        <v/>
      </c>
      <c r="O141" s="56">
        <f>IF(OR(NOT((COUNTA($B141:$D141)+COUNTA($G141:$L141)+COUNTA($Q141))&gt;0),$V141="Sub"),"",IF(ISNUMBER($G141),IF(AND(ISNUMBER($AN141),$G141&gt;$AN141),"Cumplida con "&amp;($G141-$AN141)&amp;IF($G141-$AN141=1," día"," días")&amp;" de retraso","Cumplida"),IF(N($M141)&gt;=1,"Cumplida",IF(NOT(ISNUMBER($AN141)),"Sin fecha límite",IF($AN141&lt;FechaRef,"Vencida hace "&amp;(FechaRef-$AN141)&amp;IF(FechaRef-$AN141=1," día"," días"),IF($AN141=FechaRef,"Vence hoy",IF($AN141-FechaRef&lt;=DiasAlerta,"Vence en "&amp;($AN141-FechaRef)&amp;IF($AN141-FechaRef=1," día"," días"),"En plazo")))))))</f>
        <v/>
      </c>
      <c r="P141" s="62" t="n"/>
      <c r="Q141" s="58" t="n"/>
      <c r="R141" s="63">
        <f>IF(NOT((COUNTA($B141:$D141)+COUNTA($G141:$L141)+COUNTA($Q141))&gt;0),"",IF((IF($C141="","Falta el nombre de la actividad"&amp;" · ","")&amp;IF(AND($V141="Sub",N($U141)=0),"Subactividad sin macroactividad arriba"&amp;" · ","")&amp;IF($AM141="","Sin fecha de inicio"&amp;" · ","")&amp;IF($AN141="","Sin fecha límite"&amp;" · ","")&amp;IF(AND(LEFT($C141,11)="[Jefatura] ",N($AL141)=0),"No se encuentra en la hoja de la jefatura (elíjala de nuevo en la lista)"&amp;" · ","")&amp;IF(OR(AND($E141&lt;&gt;"",NOT(ISNUMBER($E141))),AND($F141&lt;&gt;"",NOT(ISNUMBER($F141))),AND($G141&lt;&gt;"",NOT(ISNUMBER($G141)))),"Fecha no válida"&amp;" · ","")&amp;IF(AND(ISNUMBER($AM141),ISNUMBER($AN141),$AM141&gt;$AN141),"Inicio posterior a fecha límite"&amp;" · ","")&amp;IF(AND($V141="Macro",$H141&lt;&gt;"",OR(NOT(ISNUMBER($H141)),$H141&lt;0,$H141&gt;1)),"Peso fuera de rango"&amp;" · ","")&amp;IF(AND($V141="Sub",$H141&lt;&gt;""),"Las subactividades no llevan peso (valen igual dentro de su macroactividad)"&amp;" · ","")&amp;IF(AND(N($W141)&gt;0,COUNT($I141:$L141)&gt;0),"Con subactividades: deje vacías las semanas (se calculan solas)"&amp;" · ","")&amp;IF((COUNTIF($I141:$L141,"&gt;1")+COUNTIF($I141:$L141,"&lt;0")+COUNTA($I141:$L141)-COUNT($I141:$L141))&gt;0,"Avance fuera de rango 0-100%"&amp;" · ","")&amp;IF(OR(AND($J141&lt;&gt;"",$J141&lt;$I141),AND($K141&lt;&gt;"",$K141&lt;MAX($I141:$J141)),AND($L141&lt;&gt;"",$L141&lt;MAX($I141:$K141))),"Avance semanal decreciente"&amp;" · ","")&amp;IF(AND(ISNUMBER($AN141),$AN141&lt;FechaRef,IF($V141="Sub",N($X141),N($M141))&lt;1),"Vencida"&amp;" · ","")&amp;IF(AND(ObsObligatoria="Sí",ISNUMBER($AN141),$AN141&lt;FechaRef,IF($V141="Sub",N($X141),N($M141))&lt;1,$Q141=""),"Vencida sin observación"&amp;" · ",""))="","✔ OK","⚠ "&amp;LEFT(IF($C141="","Falta el nombre de la actividad"&amp;" · ","")&amp;IF(AND($V141="Sub",N($U141)=0),"Subactividad sin macroactividad arriba"&amp;" · ","")&amp;IF($AM141="","Sin fecha de inicio"&amp;" · ","")&amp;IF($AN141="","Sin fecha límite"&amp;" · ","")&amp;IF(AND(LEFT($C141,11)="[Jefatura] ",N($AL141)=0),"No se encuentra en la hoja de la jefatura (elíjala de nuevo en la lista)"&amp;" · ","")&amp;IF(OR(AND($E141&lt;&gt;"",NOT(ISNUMBER($E141))),AND($F141&lt;&gt;"",NOT(ISNUMBER($F141))),AND($G141&lt;&gt;"",NOT(ISNUMBER($G141)))),"Fecha no válida"&amp;" · ","")&amp;IF(AND(ISNUMBER($AM141),ISNUMBER($AN141),$AM141&gt;$AN141),"Inicio posterior a fecha límite"&amp;" · ","")&amp;IF(AND($V141="Macro",$H141&lt;&gt;"",OR(NOT(ISNUMBER($H141)),$H141&lt;0,$H141&gt;1)),"Peso fuera de rango"&amp;" · ","")&amp;IF(AND($V141="Sub",$H141&lt;&gt;""),"Las subactividades no llevan peso (valen igual dentro de su macroactividad)"&amp;" · ","")&amp;IF(AND(N($W141)&gt;0,COUNT($I141:$L141)&gt;0),"Con subactividades: deje vacías las semanas (se calculan solas)"&amp;" · ","")&amp;IF((COUNTIF($I141:$L141,"&gt;1")+COUNTIF($I141:$L141,"&lt;0")+COUNTA($I141:$L141)-COUNT($I141:$L141))&gt;0,"Avance fuera de rango 0-100%"&amp;" · ","")&amp;IF(OR(AND($J141&lt;&gt;"",$J141&lt;$I141),AND($K141&lt;&gt;"",$K141&lt;MAX($I141:$J141)),AND($L141&lt;&gt;"",$L141&lt;MAX($I141:$K141))),"Avance semanal decreciente"&amp;" · ","")&amp;IF(AND(ISNUMBER($AN141),$AN141&lt;FechaRef,IF($V141="Sub",N($X141),N($M141))&lt;1),"Vencida"&amp;" · ","")&amp;IF(AND(ObsObligatoria="Sí",ISNUMBER($AN141),$AN141&lt;FechaRef,IF($V141="Sub",N($X141),N($M141))&lt;1,$Q141=""),"Vencida sin observación"&amp;" · ",""),LEN(IF($C141="","Falta el nombre de la actividad"&amp;" · ","")&amp;IF(AND($V141="Sub",N($U141)=0),"Subactividad sin macroactividad arriba"&amp;" · ","")&amp;IF($AM141="","Sin fecha de inicio"&amp;" · ","")&amp;IF($AN141="","Sin fecha límite"&amp;" · ","")&amp;IF(AND(LEFT($C141,11)="[Jefatura] ",N($AL141)=0),"No se encuentra en la hoja de la jefatura (elíjala de nuevo en la lista)"&amp;" · ","")&amp;IF(OR(AND($E141&lt;&gt;"",NOT(ISNUMBER($E141))),AND($F141&lt;&gt;"",NOT(ISNUMBER($F141))),AND($G141&lt;&gt;"",NOT(ISNUMBER($G141)))),"Fecha no válida"&amp;" · ","")&amp;IF(AND(ISNUMBER($AM141),ISNUMBER($AN141),$AM141&gt;$AN141),"Inicio posterior a fecha límite"&amp;" · ","")&amp;IF(AND($V141="Macro",$H141&lt;&gt;"",OR(NOT(ISNUMBER($H141)),$H141&lt;0,$H141&gt;1)),"Peso fuera de rango"&amp;" · ","")&amp;IF(AND($V141="Sub",$H141&lt;&gt;""),"Las subactividades no llevan peso (valen igual dentro de su macroactividad)"&amp;" · ","")&amp;IF(AND(N($W141)&gt;0,COUNT($I141:$L141)&gt;0),"Con subactividades: deje vacías las semanas (se calculan solas)"&amp;" · ","")&amp;IF((COUNTIF($I141:$L141,"&gt;1")+COUNTIF($I141:$L141,"&lt;0")+COUNTA($I141:$L141)-COUNT($I141:$L141))&gt;0,"Avance fuera de rango 0-100%"&amp;" · ","")&amp;IF(OR(AND($J141&lt;&gt;"",$J141&lt;$I141),AND($K141&lt;&gt;"",$K141&lt;MAX($I141:$J141)),AND($L141&lt;&gt;"",$L141&lt;MAX($I141:$K141))),"Avance semanal decreciente"&amp;" · ","")&amp;IF(AND(ISNUMBER($AN141),$AN141&lt;FechaRef,IF($V141="Sub",N($X141),N($M141))&lt;1),"Vencida"&amp;" · ","")&amp;IF(AND(ObsObligatoria="Sí",ISNUMBER($AN141),$AN141&lt;FechaRef,IF($V141="Sub",N($X141),N($M141))&lt;1,$Q141=""),"Vencida sin observación"&amp;" · ",""))-3)))</f>
        <v/>
      </c>
      <c r="S141" s="64">
        <f>IF(NOT((COUNTA($B141:$D141)+COUNTA($G141:$L141)+COUNTA($Q141))&gt;0),"",IF(AND($V141="Sub",N($U141)&gt;0),IF(ISNUMBER(INDEX($AM$5:$AM$1000,$U141-4)),DATE(YEAR(INDEX($AM$5:$AM$1000,$U141-4)),MONTH(INDEX($AM$5:$AM$1000,$U141-4)),1),IF(ISNUMBER(INDEX($AN$5:$AN$1000,$U141-4)),DATE(YEAR(INDEX($AN$5:$AN$1000,$U141-4)),MONTH(INDEX($AN$5:$AN$1000,$U141-4)),1),MesCiclo)),IF(ISNUMBER($AM141),DATE(YEAR($AM141),MONTH($AM141),1),IF(ISNUMBER($AN141),DATE(YEAR($AN141),MONTH($AN141),1),MesCiclo))))</f>
        <v/>
      </c>
      <c r="T141" s="62">
        <f>IF(OR($S141="",$S141&lt;&gt;MesCiclo,$V141&lt;&gt;"Macro"),"",COUNTIFS($S$5:$S141,MesCiclo,$V$5:$V141,"Macro"))</f>
        <v/>
      </c>
      <c r="U141" s="62">
        <f>IF($V141="","",IF($V141="Macro",ROW(),IFERROR(LOOKUP(2,1/($V$5:$V141="Macro"),ROW($V$5:$V141)),0)))</f>
        <v/>
      </c>
      <c r="V141" s="62">
        <f>IF(NOT((COUNTA($B141:$D141)+COUNTA($G141:$L141)+COUNTA($Q141))&gt;0),"",IF($B141="Subactividad","Sub","Macro"))</f>
        <v/>
      </c>
      <c r="W141" s="62">
        <f>IF($V141="Macro",COUNTIFS($U$5:$U$1000,ROW(),$V$5:$V$1000,"Sub"),"")</f>
        <v/>
      </c>
      <c r="X141" s="62">
        <f>IF($V141="","",IF(ISNUMBER($G141),1,IFERROR(LOOKUP(2,1/($I141:$L141&lt;&gt;""),$I141:$L141),0)))</f>
        <v/>
      </c>
      <c r="Y141" s="62">
        <f>IF($V141="","",IF(AND(ISNUMBER($G141),$G141&lt;=IF($S141=MesCiclo,InicioCiclo,$S141+MOD(2-WEEKDAY($S141),7))+6),1,IF(ISNUMBER($I141),$I141,0)))</f>
        <v/>
      </c>
      <c r="Z141" s="62">
        <f>IF($V141="","",IF(AND(ISNUMBER($G141),$G141&lt;=IF($S141=MesCiclo,InicioCiclo,$S141+MOD(2-WEEKDAY($S141),7))+13),1,IF(ISNUMBER($J141),$J141,$Y141)))</f>
        <v/>
      </c>
      <c r="AA141" s="62">
        <f>IF($V141="","",IF(AND(ISNUMBER($G141),$G141&lt;=IF($S141=MesCiclo,InicioCiclo,$S141+MOD(2-WEEKDAY($S141),7))+20),1,IF(ISNUMBER($K141),$K141,$Z141)))</f>
        <v/>
      </c>
      <c r="AB141" s="62">
        <f>IF($V141="","",IF(AND(ISNUMBER($G141),$G141&lt;=IF($S141=MesCiclo,InicioCiclo,$S141+MOD(2-WEEKDAY($S141),7))+27),1,IF(ISNUMBER($L141),$L141,$AA141)))</f>
        <v/>
      </c>
      <c r="AC141" s="62">
        <f>IF($V141="","",IF(AND(ISNUMBER($G141),$G141&lt;=IF($S141=MesCiclo,InicioCiclo,$S141+MOD(2-WEEKDAY($S141),7))+6),1,IF(N($W141)&gt;0,AVERAGEIFS($Y$5:$Y$1000,$U$5:$U$1000,ROW(),$V$5:$V$1000,"Sub"),$Y141)))</f>
        <v/>
      </c>
      <c r="AD141" s="62">
        <f>IF($V141="","",IF(AND(ISNUMBER($G141),$G141&lt;=IF($S141=MesCiclo,InicioCiclo,$S141+MOD(2-WEEKDAY($S141),7))+13),1,IF(N($W141)&gt;0,AVERAGEIFS($Z$5:$Z$1000,$U$5:$U$1000,ROW(),$V$5:$V$1000,"Sub"),$Z141)))</f>
        <v/>
      </c>
      <c r="AE141" s="62">
        <f>IF($V141="","",IF(AND(ISNUMBER($G141),$G141&lt;=IF($S141=MesCiclo,InicioCiclo,$S141+MOD(2-WEEKDAY($S141),7))+20),1,IF(N($W141)&gt;0,AVERAGEIFS($AA$5:$AA$1000,$U$5:$U$1000,ROW(),$V$5:$V$1000,"Sub"),$AA141)))</f>
        <v/>
      </c>
      <c r="AF141" s="62">
        <f>IF($V141="","",IF(AND(ISNUMBER($G141),$G141&lt;=IF($S141=MesCiclo,InicioCiclo,$S141+MOD(2-WEEKDAY($S141),7))+27),1,IF(N($W141)&gt;0,AVERAGEIFS($AB$5:$AB$1000,$U$5:$U$1000,ROW(),$V$5:$V$1000,"Sub"),$AB141)))</f>
        <v/>
      </c>
      <c r="AG141" s="62">
        <f>IF($V141&lt;&gt;"Macro","",IF(COUNTIFS($S$5:$S$1000,$S141,$V$5:$V$1000,"Macro",$H$5:$H$1000,"&gt;0")=0,1/COUNTIFS($S$5:$S$1000,$S141,$V$5:$V$1000,"Macro"),IF(AND(ISNUMBER($H141),N($H141)&gt;0),$H141,SUMIFS($H$5:$H$1000,$S$5:$S$1000,$S141,$V$5:$V$1000,"Macro")/COUNTIFS($S$5:$S$1000,$S141,$V$5:$V$1000,"Macro",$H$5:$H$1000,"&gt;0"))/(COUNTIFS($S$5:$S$1000,$S141,$V$5:$V$1000,"Macro")*SUMIFS($H$5:$H$1000,$S$5:$S$1000,$S141,$V$5:$V$1000,"Macro")/COUNTIFS($S$5:$S$1000,$S141,$V$5:$V$1000,"Macro",$H$5:$H$1000,"&gt;0"))))</f>
        <v/>
      </c>
      <c r="AH141" s="62" t="n"/>
      <c r="AI141" s="62" t="n"/>
      <c r="AJ141" s="62" t="n"/>
      <c r="AK141" s="62" t="n"/>
      <c r="AL141" s="62">
        <f>IF(LEFT($C141,11)="[Jefatura] ",IFERROR(MATCH("Riesgo Operacional|"&amp;MID($C141,12,500),rDname_ADM,0),0),"")</f>
        <v/>
      </c>
      <c r="AM141" s="62">
        <f>IF(N($AL141)&gt;0,INDEX(rIni_ADM,$AL141),IF(ISNUMBER($E141),$E141,""))</f>
        <v/>
      </c>
      <c r="AN141" s="62">
        <f>IF(N($AL141)&gt;0,INDEX(rLim_ADM,$AL141),IF(ISNUMBER($F141),$F141,""))</f>
        <v/>
      </c>
    </row>
    <row r="142">
      <c r="A142" s="56">
        <f>IF(NOT((COUNTA($B142:$D142)+COUNTA($G142:$L142)+COUNTA($Q142))&gt;0),"",IF($V142="Macro",COUNTIFS($V$5:$V142,"Macro",$S$5:$S142,$S142),IF(N($U142)=0,"?",COUNTIFS(INDEX($V$5:$V$1000,1):INDEX($V$5:$V$1000,$U142-4),"Macro",INDEX($S$5:$S$1000,1):INDEX($S$5:$S$1000,$U142-4),INDEX($S$5:$S$1000,$U142-4))&amp;"."&amp;COUNTIFS($U$5:$U142,$U142,$V$5:$V142,"Sub"))))</f>
        <v/>
      </c>
      <c r="B142" s="57" t="n"/>
      <c r="C142" s="58" t="n"/>
      <c r="D142" s="58" t="n"/>
      <c r="E142" s="59">
        <f>IF(N($AL142)&gt;0,INDEX(rIni_ADM,$AL142),"")</f>
        <v/>
      </c>
      <c r="F142" s="59">
        <f>IF(N($AL142)&gt;0,INDEX(rLim_ADM,$AL142),"")</f>
        <v/>
      </c>
      <c r="G142" s="59" t="n"/>
      <c r="H142" s="60" t="n"/>
      <c r="I142" s="60" t="n"/>
      <c r="J142" s="60" t="n"/>
      <c r="K142" s="60" t="n"/>
      <c r="L142" s="60" t="n"/>
      <c r="M142" s="61">
        <f>IF(NOT((COUNTA($B142:$D142)+COUNTA($G142:$L142)+COUNTA($Q142))&gt;0),"",IF($V142="Sub",IFERROR($X142/INDEX($W$5:$W$1000,$U142-4),""),IF(ISNUMBER($G142),1,IF(N($W142)&gt;0,AVERAGEIFS($X$5:$X$1000,$U$5:$U$1000,ROW(),$V$5:$V$1000,"Sub"),$X142))))</f>
        <v/>
      </c>
      <c r="N142" s="56">
        <f>IF(OR($M142="",$V142="Sub"),"",IF($M142&gt;=1,"Completado",IF($M142&gt;0,"En curso","Pendiente")))</f>
        <v/>
      </c>
      <c r="O142" s="56">
        <f>IF(OR(NOT((COUNTA($B142:$D142)+COUNTA($G142:$L142)+COUNTA($Q142))&gt;0),$V142="Sub"),"",IF(ISNUMBER($G142),IF(AND(ISNUMBER($AN142),$G142&gt;$AN142),"Cumplida con "&amp;($G142-$AN142)&amp;IF($G142-$AN142=1," día"," días")&amp;" de retraso","Cumplida"),IF(N($M142)&gt;=1,"Cumplida",IF(NOT(ISNUMBER($AN142)),"Sin fecha límite",IF($AN142&lt;FechaRef,"Vencida hace "&amp;(FechaRef-$AN142)&amp;IF(FechaRef-$AN142=1," día"," días"),IF($AN142=FechaRef,"Vence hoy",IF($AN142-FechaRef&lt;=DiasAlerta,"Vence en "&amp;($AN142-FechaRef)&amp;IF($AN142-FechaRef=1," día"," días"),"En plazo")))))))</f>
        <v/>
      </c>
      <c r="P142" s="62" t="n"/>
      <c r="Q142" s="58" t="n"/>
      <c r="R142" s="63">
        <f>IF(NOT((COUNTA($B142:$D142)+COUNTA($G142:$L142)+COUNTA($Q142))&gt;0),"",IF((IF($C142="","Falta el nombre de la actividad"&amp;" · ","")&amp;IF(AND($V142="Sub",N($U142)=0),"Subactividad sin macroactividad arriba"&amp;" · ","")&amp;IF($AM142="","Sin fecha de inicio"&amp;" · ","")&amp;IF($AN142="","Sin fecha límite"&amp;" · ","")&amp;IF(AND(LEFT($C142,11)="[Jefatura] ",N($AL142)=0),"No se encuentra en la hoja de la jefatura (elíjala de nuevo en la lista)"&amp;" · ","")&amp;IF(OR(AND($E142&lt;&gt;"",NOT(ISNUMBER($E142))),AND($F142&lt;&gt;"",NOT(ISNUMBER($F142))),AND($G142&lt;&gt;"",NOT(ISNUMBER($G142)))),"Fecha no válida"&amp;" · ","")&amp;IF(AND(ISNUMBER($AM142),ISNUMBER($AN142),$AM142&gt;$AN142),"Inicio posterior a fecha límite"&amp;" · ","")&amp;IF(AND($V142="Macro",$H142&lt;&gt;"",OR(NOT(ISNUMBER($H142)),$H142&lt;0,$H142&gt;1)),"Peso fuera de rango"&amp;" · ","")&amp;IF(AND($V142="Sub",$H142&lt;&gt;""),"Las subactividades no llevan peso (valen igual dentro de su macroactividad)"&amp;" · ","")&amp;IF(AND(N($W142)&gt;0,COUNT($I142:$L142)&gt;0),"Con subactividades: deje vacías las semanas (se calculan solas)"&amp;" · ","")&amp;IF((COUNTIF($I142:$L142,"&gt;1")+COUNTIF($I142:$L142,"&lt;0")+COUNTA($I142:$L142)-COUNT($I142:$L142))&gt;0,"Avance fuera de rango 0-100%"&amp;" · ","")&amp;IF(OR(AND($J142&lt;&gt;"",$J142&lt;$I142),AND($K142&lt;&gt;"",$K142&lt;MAX($I142:$J142)),AND($L142&lt;&gt;"",$L142&lt;MAX($I142:$K142))),"Avance semanal decreciente"&amp;" · ","")&amp;IF(AND(ISNUMBER($AN142),$AN142&lt;FechaRef,IF($V142="Sub",N($X142),N($M142))&lt;1),"Vencida"&amp;" · ","")&amp;IF(AND(ObsObligatoria="Sí",ISNUMBER($AN142),$AN142&lt;FechaRef,IF($V142="Sub",N($X142),N($M142))&lt;1,$Q142=""),"Vencida sin observación"&amp;" · ",""))="","✔ OK","⚠ "&amp;LEFT(IF($C142="","Falta el nombre de la actividad"&amp;" · ","")&amp;IF(AND($V142="Sub",N($U142)=0),"Subactividad sin macroactividad arriba"&amp;" · ","")&amp;IF($AM142="","Sin fecha de inicio"&amp;" · ","")&amp;IF($AN142="","Sin fecha límite"&amp;" · ","")&amp;IF(AND(LEFT($C142,11)="[Jefatura] ",N($AL142)=0),"No se encuentra en la hoja de la jefatura (elíjala de nuevo en la lista)"&amp;" · ","")&amp;IF(OR(AND($E142&lt;&gt;"",NOT(ISNUMBER($E142))),AND($F142&lt;&gt;"",NOT(ISNUMBER($F142))),AND($G142&lt;&gt;"",NOT(ISNUMBER($G142)))),"Fecha no válida"&amp;" · ","")&amp;IF(AND(ISNUMBER($AM142),ISNUMBER($AN142),$AM142&gt;$AN142),"Inicio posterior a fecha límite"&amp;" · ","")&amp;IF(AND($V142="Macro",$H142&lt;&gt;"",OR(NOT(ISNUMBER($H142)),$H142&lt;0,$H142&gt;1)),"Peso fuera de rango"&amp;" · ","")&amp;IF(AND($V142="Sub",$H142&lt;&gt;""),"Las subactividades no llevan peso (valen igual dentro de su macroactividad)"&amp;" · ","")&amp;IF(AND(N($W142)&gt;0,COUNT($I142:$L142)&gt;0),"Con subactividades: deje vacías las semanas (se calculan solas)"&amp;" · ","")&amp;IF((COUNTIF($I142:$L142,"&gt;1")+COUNTIF($I142:$L142,"&lt;0")+COUNTA($I142:$L142)-COUNT($I142:$L142))&gt;0,"Avance fuera de rango 0-100%"&amp;" · ","")&amp;IF(OR(AND($J142&lt;&gt;"",$J142&lt;$I142),AND($K142&lt;&gt;"",$K142&lt;MAX($I142:$J142)),AND($L142&lt;&gt;"",$L142&lt;MAX($I142:$K142))),"Avance semanal decreciente"&amp;" · ","")&amp;IF(AND(ISNUMBER($AN142),$AN142&lt;FechaRef,IF($V142="Sub",N($X142),N($M142))&lt;1),"Vencida"&amp;" · ","")&amp;IF(AND(ObsObligatoria="Sí",ISNUMBER($AN142),$AN142&lt;FechaRef,IF($V142="Sub",N($X142),N($M142))&lt;1,$Q142=""),"Vencida sin observación"&amp;" · ",""),LEN(IF($C142="","Falta el nombre de la actividad"&amp;" · ","")&amp;IF(AND($V142="Sub",N($U142)=0),"Subactividad sin macroactividad arriba"&amp;" · ","")&amp;IF($AM142="","Sin fecha de inicio"&amp;" · ","")&amp;IF($AN142="","Sin fecha límite"&amp;" · ","")&amp;IF(AND(LEFT($C142,11)="[Jefatura] ",N($AL142)=0),"No se encuentra en la hoja de la jefatura (elíjala de nuevo en la lista)"&amp;" · ","")&amp;IF(OR(AND($E142&lt;&gt;"",NOT(ISNUMBER($E142))),AND($F142&lt;&gt;"",NOT(ISNUMBER($F142))),AND($G142&lt;&gt;"",NOT(ISNUMBER($G142)))),"Fecha no válida"&amp;" · ","")&amp;IF(AND(ISNUMBER($AM142),ISNUMBER($AN142),$AM142&gt;$AN142),"Inicio posterior a fecha límite"&amp;" · ","")&amp;IF(AND($V142="Macro",$H142&lt;&gt;"",OR(NOT(ISNUMBER($H142)),$H142&lt;0,$H142&gt;1)),"Peso fuera de rango"&amp;" · ","")&amp;IF(AND($V142="Sub",$H142&lt;&gt;""),"Las subactividades no llevan peso (valen igual dentro de su macroactividad)"&amp;" · ","")&amp;IF(AND(N($W142)&gt;0,COUNT($I142:$L142)&gt;0),"Con subactividades: deje vacías las semanas (se calculan solas)"&amp;" · ","")&amp;IF((COUNTIF($I142:$L142,"&gt;1")+COUNTIF($I142:$L142,"&lt;0")+COUNTA($I142:$L142)-COUNT($I142:$L142))&gt;0,"Avance fuera de rango 0-100%"&amp;" · ","")&amp;IF(OR(AND($J142&lt;&gt;"",$J142&lt;$I142),AND($K142&lt;&gt;"",$K142&lt;MAX($I142:$J142)),AND($L142&lt;&gt;"",$L142&lt;MAX($I142:$K142))),"Avance semanal decreciente"&amp;" · ","")&amp;IF(AND(ISNUMBER($AN142),$AN142&lt;FechaRef,IF($V142="Sub",N($X142),N($M142))&lt;1),"Vencida"&amp;" · ","")&amp;IF(AND(ObsObligatoria="Sí",ISNUMBER($AN142),$AN142&lt;FechaRef,IF($V142="Sub",N($X142),N($M142))&lt;1,$Q142=""),"Vencida sin observación"&amp;" · ",""))-3)))</f>
        <v/>
      </c>
      <c r="S142" s="64">
        <f>IF(NOT((COUNTA($B142:$D142)+COUNTA($G142:$L142)+COUNTA($Q142))&gt;0),"",IF(AND($V142="Sub",N($U142)&gt;0),IF(ISNUMBER(INDEX($AM$5:$AM$1000,$U142-4)),DATE(YEAR(INDEX($AM$5:$AM$1000,$U142-4)),MONTH(INDEX($AM$5:$AM$1000,$U142-4)),1),IF(ISNUMBER(INDEX($AN$5:$AN$1000,$U142-4)),DATE(YEAR(INDEX($AN$5:$AN$1000,$U142-4)),MONTH(INDEX($AN$5:$AN$1000,$U142-4)),1),MesCiclo)),IF(ISNUMBER($AM142),DATE(YEAR($AM142),MONTH($AM142),1),IF(ISNUMBER($AN142),DATE(YEAR($AN142),MONTH($AN142),1),MesCiclo))))</f>
        <v/>
      </c>
      <c r="T142" s="62">
        <f>IF(OR($S142="",$S142&lt;&gt;MesCiclo,$V142&lt;&gt;"Macro"),"",COUNTIFS($S$5:$S142,MesCiclo,$V$5:$V142,"Macro"))</f>
        <v/>
      </c>
      <c r="U142" s="62">
        <f>IF($V142="","",IF($V142="Macro",ROW(),IFERROR(LOOKUP(2,1/($V$5:$V142="Macro"),ROW($V$5:$V142)),0)))</f>
        <v/>
      </c>
      <c r="V142" s="62">
        <f>IF(NOT((COUNTA($B142:$D142)+COUNTA($G142:$L142)+COUNTA($Q142))&gt;0),"",IF($B142="Subactividad","Sub","Macro"))</f>
        <v/>
      </c>
      <c r="W142" s="62">
        <f>IF($V142="Macro",COUNTIFS($U$5:$U$1000,ROW(),$V$5:$V$1000,"Sub"),"")</f>
        <v/>
      </c>
      <c r="X142" s="62">
        <f>IF($V142="","",IF(ISNUMBER($G142),1,IFERROR(LOOKUP(2,1/($I142:$L142&lt;&gt;""),$I142:$L142),0)))</f>
        <v/>
      </c>
      <c r="Y142" s="62">
        <f>IF($V142="","",IF(AND(ISNUMBER($G142),$G142&lt;=IF($S142=MesCiclo,InicioCiclo,$S142+MOD(2-WEEKDAY($S142),7))+6),1,IF(ISNUMBER($I142),$I142,0)))</f>
        <v/>
      </c>
      <c r="Z142" s="62">
        <f>IF($V142="","",IF(AND(ISNUMBER($G142),$G142&lt;=IF($S142=MesCiclo,InicioCiclo,$S142+MOD(2-WEEKDAY($S142),7))+13),1,IF(ISNUMBER($J142),$J142,$Y142)))</f>
        <v/>
      </c>
      <c r="AA142" s="62">
        <f>IF($V142="","",IF(AND(ISNUMBER($G142),$G142&lt;=IF($S142=MesCiclo,InicioCiclo,$S142+MOD(2-WEEKDAY($S142),7))+20),1,IF(ISNUMBER($K142),$K142,$Z142)))</f>
        <v/>
      </c>
      <c r="AB142" s="62">
        <f>IF($V142="","",IF(AND(ISNUMBER($G142),$G142&lt;=IF($S142=MesCiclo,InicioCiclo,$S142+MOD(2-WEEKDAY($S142),7))+27),1,IF(ISNUMBER($L142),$L142,$AA142)))</f>
        <v/>
      </c>
      <c r="AC142" s="62">
        <f>IF($V142="","",IF(AND(ISNUMBER($G142),$G142&lt;=IF($S142=MesCiclo,InicioCiclo,$S142+MOD(2-WEEKDAY($S142),7))+6),1,IF(N($W142)&gt;0,AVERAGEIFS($Y$5:$Y$1000,$U$5:$U$1000,ROW(),$V$5:$V$1000,"Sub"),$Y142)))</f>
        <v/>
      </c>
      <c r="AD142" s="62">
        <f>IF($V142="","",IF(AND(ISNUMBER($G142),$G142&lt;=IF($S142=MesCiclo,InicioCiclo,$S142+MOD(2-WEEKDAY($S142),7))+13),1,IF(N($W142)&gt;0,AVERAGEIFS($Z$5:$Z$1000,$U$5:$U$1000,ROW(),$V$5:$V$1000,"Sub"),$Z142)))</f>
        <v/>
      </c>
      <c r="AE142" s="62">
        <f>IF($V142="","",IF(AND(ISNUMBER($G142),$G142&lt;=IF($S142=MesCiclo,InicioCiclo,$S142+MOD(2-WEEKDAY($S142),7))+20),1,IF(N($W142)&gt;0,AVERAGEIFS($AA$5:$AA$1000,$U$5:$U$1000,ROW(),$V$5:$V$1000,"Sub"),$AA142)))</f>
        <v/>
      </c>
      <c r="AF142" s="62">
        <f>IF($V142="","",IF(AND(ISNUMBER($G142),$G142&lt;=IF($S142=MesCiclo,InicioCiclo,$S142+MOD(2-WEEKDAY($S142),7))+27),1,IF(N($W142)&gt;0,AVERAGEIFS($AB$5:$AB$1000,$U$5:$U$1000,ROW(),$V$5:$V$1000,"Sub"),$AB142)))</f>
        <v/>
      </c>
      <c r="AG142" s="62">
        <f>IF($V142&lt;&gt;"Macro","",IF(COUNTIFS($S$5:$S$1000,$S142,$V$5:$V$1000,"Macro",$H$5:$H$1000,"&gt;0")=0,1/COUNTIFS($S$5:$S$1000,$S142,$V$5:$V$1000,"Macro"),IF(AND(ISNUMBER($H142),N($H142)&gt;0),$H142,SUMIFS($H$5:$H$1000,$S$5:$S$1000,$S142,$V$5:$V$1000,"Macro")/COUNTIFS($S$5:$S$1000,$S142,$V$5:$V$1000,"Macro",$H$5:$H$1000,"&gt;0"))/(COUNTIFS($S$5:$S$1000,$S142,$V$5:$V$1000,"Macro")*SUMIFS($H$5:$H$1000,$S$5:$S$1000,$S142,$V$5:$V$1000,"Macro")/COUNTIFS($S$5:$S$1000,$S142,$V$5:$V$1000,"Macro",$H$5:$H$1000,"&gt;0"))))</f>
        <v/>
      </c>
      <c r="AH142" s="62" t="n"/>
      <c r="AI142" s="62" t="n"/>
      <c r="AJ142" s="62" t="n"/>
      <c r="AK142" s="62" t="n"/>
      <c r="AL142" s="62">
        <f>IF(LEFT($C142,11)="[Jefatura] ",IFERROR(MATCH("Riesgo Operacional|"&amp;MID($C142,12,500),rDname_ADM,0),0),"")</f>
        <v/>
      </c>
      <c r="AM142" s="62">
        <f>IF(N($AL142)&gt;0,INDEX(rIni_ADM,$AL142),IF(ISNUMBER($E142),$E142,""))</f>
        <v/>
      </c>
      <c r="AN142" s="62">
        <f>IF(N($AL142)&gt;0,INDEX(rLim_ADM,$AL142),IF(ISNUMBER($F142),$F142,""))</f>
        <v/>
      </c>
    </row>
    <row r="143">
      <c r="A143" s="56">
        <f>IF(NOT((COUNTA($B143:$D143)+COUNTA($G143:$L143)+COUNTA($Q143))&gt;0),"",IF($V143="Macro",COUNTIFS($V$5:$V143,"Macro",$S$5:$S143,$S143),IF(N($U143)=0,"?",COUNTIFS(INDEX($V$5:$V$1000,1):INDEX($V$5:$V$1000,$U143-4),"Macro",INDEX($S$5:$S$1000,1):INDEX($S$5:$S$1000,$U143-4),INDEX($S$5:$S$1000,$U143-4))&amp;"."&amp;COUNTIFS($U$5:$U143,$U143,$V$5:$V143,"Sub"))))</f>
        <v/>
      </c>
      <c r="B143" s="57" t="n"/>
      <c r="C143" s="58" t="n"/>
      <c r="D143" s="58" t="n"/>
      <c r="E143" s="59">
        <f>IF(N($AL143)&gt;0,INDEX(rIni_ADM,$AL143),"")</f>
        <v/>
      </c>
      <c r="F143" s="59">
        <f>IF(N($AL143)&gt;0,INDEX(rLim_ADM,$AL143),"")</f>
        <v/>
      </c>
      <c r="G143" s="59" t="n"/>
      <c r="H143" s="60" t="n"/>
      <c r="I143" s="60" t="n"/>
      <c r="J143" s="60" t="n"/>
      <c r="K143" s="60" t="n"/>
      <c r="L143" s="60" t="n"/>
      <c r="M143" s="61">
        <f>IF(NOT((COUNTA($B143:$D143)+COUNTA($G143:$L143)+COUNTA($Q143))&gt;0),"",IF($V143="Sub",IFERROR($X143/INDEX($W$5:$W$1000,$U143-4),""),IF(ISNUMBER($G143),1,IF(N($W143)&gt;0,AVERAGEIFS($X$5:$X$1000,$U$5:$U$1000,ROW(),$V$5:$V$1000,"Sub"),$X143))))</f>
        <v/>
      </c>
      <c r="N143" s="56">
        <f>IF(OR($M143="",$V143="Sub"),"",IF($M143&gt;=1,"Completado",IF($M143&gt;0,"En curso","Pendiente")))</f>
        <v/>
      </c>
      <c r="O143" s="56">
        <f>IF(OR(NOT((COUNTA($B143:$D143)+COUNTA($G143:$L143)+COUNTA($Q143))&gt;0),$V143="Sub"),"",IF(ISNUMBER($G143),IF(AND(ISNUMBER($AN143),$G143&gt;$AN143),"Cumplida con "&amp;($G143-$AN143)&amp;IF($G143-$AN143=1," día"," días")&amp;" de retraso","Cumplida"),IF(N($M143)&gt;=1,"Cumplida",IF(NOT(ISNUMBER($AN143)),"Sin fecha límite",IF($AN143&lt;FechaRef,"Vencida hace "&amp;(FechaRef-$AN143)&amp;IF(FechaRef-$AN143=1," día"," días"),IF($AN143=FechaRef,"Vence hoy",IF($AN143-FechaRef&lt;=DiasAlerta,"Vence en "&amp;($AN143-FechaRef)&amp;IF($AN143-FechaRef=1," día"," días"),"En plazo")))))))</f>
        <v/>
      </c>
      <c r="P143" s="62" t="n"/>
      <c r="Q143" s="58" t="n"/>
      <c r="R143" s="63">
        <f>IF(NOT((COUNTA($B143:$D143)+COUNTA($G143:$L143)+COUNTA($Q143))&gt;0),"",IF((IF($C143="","Falta el nombre de la actividad"&amp;" · ","")&amp;IF(AND($V143="Sub",N($U143)=0),"Subactividad sin macroactividad arriba"&amp;" · ","")&amp;IF($AM143="","Sin fecha de inicio"&amp;" · ","")&amp;IF($AN143="","Sin fecha límite"&amp;" · ","")&amp;IF(AND(LEFT($C143,11)="[Jefatura] ",N($AL143)=0),"No se encuentra en la hoja de la jefatura (elíjala de nuevo en la lista)"&amp;" · ","")&amp;IF(OR(AND($E143&lt;&gt;"",NOT(ISNUMBER($E143))),AND($F143&lt;&gt;"",NOT(ISNUMBER($F143))),AND($G143&lt;&gt;"",NOT(ISNUMBER($G143)))),"Fecha no válida"&amp;" · ","")&amp;IF(AND(ISNUMBER($AM143),ISNUMBER($AN143),$AM143&gt;$AN143),"Inicio posterior a fecha límite"&amp;" · ","")&amp;IF(AND($V143="Macro",$H143&lt;&gt;"",OR(NOT(ISNUMBER($H143)),$H143&lt;0,$H143&gt;1)),"Peso fuera de rango"&amp;" · ","")&amp;IF(AND($V143="Sub",$H143&lt;&gt;""),"Las subactividades no llevan peso (valen igual dentro de su macroactividad)"&amp;" · ","")&amp;IF(AND(N($W143)&gt;0,COUNT($I143:$L143)&gt;0),"Con subactividades: deje vacías las semanas (se calculan solas)"&amp;" · ","")&amp;IF((COUNTIF($I143:$L143,"&gt;1")+COUNTIF($I143:$L143,"&lt;0")+COUNTA($I143:$L143)-COUNT($I143:$L143))&gt;0,"Avance fuera de rango 0-100%"&amp;" · ","")&amp;IF(OR(AND($J143&lt;&gt;"",$J143&lt;$I143),AND($K143&lt;&gt;"",$K143&lt;MAX($I143:$J143)),AND($L143&lt;&gt;"",$L143&lt;MAX($I143:$K143))),"Avance semanal decreciente"&amp;" · ","")&amp;IF(AND(ISNUMBER($AN143),$AN143&lt;FechaRef,IF($V143="Sub",N($X143),N($M143))&lt;1),"Vencida"&amp;" · ","")&amp;IF(AND(ObsObligatoria="Sí",ISNUMBER($AN143),$AN143&lt;FechaRef,IF($V143="Sub",N($X143),N($M143))&lt;1,$Q143=""),"Vencida sin observación"&amp;" · ",""))="","✔ OK","⚠ "&amp;LEFT(IF($C143="","Falta el nombre de la actividad"&amp;" · ","")&amp;IF(AND($V143="Sub",N($U143)=0),"Subactividad sin macroactividad arriba"&amp;" · ","")&amp;IF($AM143="","Sin fecha de inicio"&amp;" · ","")&amp;IF($AN143="","Sin fecha límite"&amp;" · ","")&amp;IF(AND(LEFT($C143,11)="[Jefatura] ",N($AL143)=0),"No se encuentra en la hoja de la jefatura (elíjala de nuevo en la lista)"&amp;" · ","")&amp;IF(OR(AND($E143&lt;&gt;"",NOT(ISNUMBER($E143))),AND($F143&lt;&gt;"",NOT(ISNUMBER($F143))),AND($G143&lt;&gt;"",NOT(ISNUMBER($G143)))),"Fecha no válida"&amp;" · ","")&amp;IF(AND(ISNUMBER($AM143),ISNUMBER($AN143),$AM143&gt;$AN143),"Inicio posterior a fecha límite"&amp;" · ","")&amp;IF(AND($V143="Macro",$H143&lt;&gt;"",OR(NOT(ISNUMBER($H143)),$H143&lt;0,$H143&gt;1)),"Peso fuera de rango"&amp;" · ","")&amp;IF(AND($V143="Sub",$H143&lt;&gt;""),"Las subactividades no llevan peso (valen igual dentro de su macroactividad)"&amp;" · ","")&amp;IF(AND(N($W143)&gt;0,COUNT($I143:$L143)&gt;0),"Con subactividades: deje vacías las semanas (se calculan solas)"&amp;" · ","")&amp;IF((COUNTIF($I143:$L143,"&gt;1")+COUNTIF($I143:$L143,"&lt;0")+COUNTA($I143:$L143)-COUNT($I143:$L143))&gt;0,"Avance fuera de rango 0-100%"&amp;" · ","")&amp;IF(OR(AND($J143&lt;&gt;"",$J143&lt;$I143),AND($K143&lt;&gt;"",$K143&lt;MAX($I143:$J143)),AND($L143&lt;&gt;"",$L143&lt;MAX($I143:$K143))),"Avance semanal decreciente"&amp;" · ","")&amp;IF(AND(ISNUMBER($AN143),$AN143&lt;FechaRef,IF($V143="Sub",N($X143),N($M143))&lt;1),"Vencida"&amp;" · ","")&amp;IF(AND(ObsObligatoria="Sí",ISNUMBER($AN143),$AN143&lt;FechaRef,IF($V143="Sub",N($X143),N($M143))&lt;1,$Q143=""),"Vencida sin observación"&amp;" · ",""),LEN(IF($C143="","Falta el nombre de la actividad"&amp;" · ","")&amp;IF(AND($V143="Sub",N($U143)=0),"Subactividad sin macroactividad arriba"&amp;" · ","")&amp;IF($AM143="","Sin fecha de inicio"&amp;" · ","")&amp;IF($AN143="","Sin fecha límite"&amp;" · ","")&amp;IF(AND(LEFT($C143,11)="[Jefatura] ",N($AL143)=0),"No se encuentra en la hoja de la jefatura (elíjala de nuevo en la lista)"&amp;" · ","")&amp;IF(OR(AND($E143&lt;&gt;"",NOT(ISNUMBER($E143))),AND($F143&lt;&gt;"",NOT(ISNUMBER($F143))),AND($G143&lt;&gt;"",NOT(ISNUMBER($G143)))),"Fecha no válida"&amp;" · ","")&amp;IF(AND(ISNUMBER($AM143),ISNUMBER($AN143),$AM143&gt;$AN143),"Inicio posterior a fecha límite"&amp;" · ","")&amp;IF(AND($V143="Macro",$H143&lt;&gt;"",OR(NOT(ISNUMBER($H143)),$H143&lt;0,$H143&gt;1)),"Peso fuera de rango"&amp;" · ","")&amp;IF(AND($V143="Sub",$H143&lt;&gt;""),"Las subactividades no llevan peso (valen igual dentro de su macroactividad)"&amp;" · ","")&amp;IF(AND(N($W143)&gt;0,COUNT($I143:$L143)&gt;0),"Con subactividades: deje vacías las semanas (se calculan solas)"&amp;" · ","")&amp;IF((COUNTIF($I143:$L143,"&gt;1")+COUNTIF($I143:$L143,"&lt;0")+COUNTA($I143:$L143)-COUNT($I143:$L143))&gt;0,"Avance fuera de rango 0-100%"&amp;" · ","")&amp;IF(OR(AND($J143&lt;&gt;"",$J143&lt;$I143),AND($K143&lt;&gt;"",$K143&lt;MAX($I143:$J143)),AND($L143&lt;&gt;"",$L143&lt;MAX($I143:$K143))),"Avance semanal decreciente"&amp;" · ","")&amp;IF(AND(ISNUMBER($AN143),$AN143&lt;FechaRef,IF($V143="Sub",N($X143),N($M143))&lt;1),"Vencida"&amp;" · ","")&amp;IF(AND(ObsObligatoria="Sí",ISNUMBER($AN143),$AN143&lt;FechaRef,IF($V143="Sub",N($X143),N($M143))&lt;1,$Q143=""),"Vencida sin observación"&amp;" · ",""))-3)))</f>
        <v/>
      </c>
      <c r="S143" s="64">
        <f>IF(NOT((COUNTA($B143:$D143)+COUNTA($G143:$L143)+COUNTA($Q143))&gt;0),"",IF(AND($V143="Sub",N($U143)&gt;0),IF(ISNUMBER(INDEX($AM$5:$AM$1000,$U143-4)),DATE(YEAR(INDEX($AM$5:$AM$1000,$U143-4)),MONTH(INDEX($AM$5:$AM$1000,$U143-4)),1),IF(ISNUMBER(INDEX($AN$5:$AN$1000,$U143-4)),DATE(YEAR(INDEX($AN$5:$AN$1000,$U143-4)),MONTH(INDEX($AN$5:$AN$1000,$U143-4)),1),MesCiclo)),IF(ISNUMBER($AM143),DATE(YEAR($AM143),MONTH($AM143),1),IF(ISNUMBER($AN143),DATE(YEAR($AN143),MONTH($AN143),1),MesCiclo))))</f>
        <v/>
      </c>
      <c r="T143" s="62">
        <f>IF(OR($S143="",$S143&lt;&gt;MesCiclo,$V143&lt;&gt;"Macro"),"",COUNTIFS($S$5:$S143,MesCiclo,$V$5:$V143,"Macro"))</f>
        <v/>
      </c>
      <c r="U143" s="62">
        <f>IF($V143="","",IF($V143="Macro",ROW(),IFERROR(LOOKUP(2,1/($V$5:$V143="Macro"),ROW($V$5:$V143)),0)))</f>
        <v/>
      </c>
      <c r="V143" s="62">
        <f>IF(NOT((COUNTA($B143:$D143)+COUNTA($G143:$L143)+COUNTA($Q143))&gt;0),"",IF($B143="Subactividad","Sub","Macro"))</f>
        <v/>
      </c>
      <c r="W143" s="62">
        <f>IF($V143="Macro",COUNTIFS($U$5:$U$1000,ROW(),$V$5:$V$1000,"Sub"),"")</f>
        <v/>
      </c>
      <c r="X143" s="62">
        <f>IF($V143="","",IF(ISNUMBER($G143),1,IFERROR(LOOKUP(2,1/($I143:$L143&lt;&gt;""),$I143:$L143),0)))</f>
        <v/>
      </c>
      <c r="Y143" s="62">
        <f>IF($V143="","",IF(AND(ISNUMBER($G143),$G143&lt;=IF($S143=MesCiclo,InicioCiclo,$S143+MOD(2-WEEKDAY($S143),7))+6),1,IF(ISNUMBER($I143),$I143,0)))</f>
        <v/>
      </c>
      <c r="Z143" s="62">
        <f>IF($V143="","",IF(AND(ISNUMBER($G143),$G143&lt;=IF($S143=MesCiclo,InicioCiclo,$S143+MOD(2-WEEKDAY($S143),7))+13),1,IF(ISNUMBER($J143),$J143,$Y143)))</f>
        <v/>
      </c>
      <c r="AA143" s="62">
        <f>IF($V143="","",IF(AND(ISNUMBER($G143),$G143&lt;=IF($S143=MesCiclo,InicioCiclo,$S143+MOD(2-WEEKDAY($S143),7))+20),1,IF(ISNUMBER($K143),$K143,$Z143)))</f>
        <v/>
      </c>
      <c r="AB143" s="62">
        <f>IF($V143="","",IF(AND(ISNUMBER($G143),$G143&lt;=IF($S143=MesCiclo,InicioCiclo,$S143+MOD(2-WEEKDAY($S143),7))+27),1,IF(ISNUMBER($L143),$L143,$AA143)))</f>
        <v/>
      </c>
      <c r="AC143" s="62">
        <f>IF($V143="","",IF(AND(ISNUMBER($G143),$G143&lt;=IF($S143=MesCiclo,InicioCiclo,$S143+MOD(2-WEEKDAY($S143),7))+6),1,IF(N($W143)&gt;0,AVERAGEIFS($Y$5:$Y$1000,$U$5:$U$1000,ROW(),$V$5:$V$1000,"Sub"),$Y143)))</f>
        <v/>
      </c>
      <c r="AD143" s="62">
        <f>IF($V143="","",IF(AND(ISNUMBER($G143),$G143&lt;=IF($S143=MesCiclo,InicioCiclo,$S143+MOD(2-WEEKDAY($S143),7))+13),1,IF(N($W143)&gt;0,AVERAGEIFS($Z$5:$Z$1000,$U$5:$U$1000,ROW(),$V$5:$V$1000,"Sub"),$Z143)))</f>
        <v/>
      </c>
      <c r="AE143" s="62">
        <f>IF($V143="","",IF(AND(ISNUMBER($G143),$G143&lt;=IF($S143=MesCiclo,InicioCiclo,$S143+MOD(2-WEEKDAY($S143),7))+20),1,IF(N($W143)&gt;0,AVERAGEIFS($AA$5:$AA$1000,$U$5:$U$1000,ROW(),$V$5:$V$1000,"Sub"),$AA143)))</f>
        <v/>
      </c>
      <c r="AF143" s="62">
        <f>IF($V143="","",IF(AND(ISNUMBER($G143),$G143&lt;=IF($S143=MesCiclo,InicioCiclo,$S143+MOD(2-WEEKDAY($S143),7))+27),1,IF(N($W143)&gt;0,AVERAGEIFS($AB$5:$AB$1000,$U$5:$U$1000,ROW(),$V$5:$V$1000,"Sub"),$AB143)))</f>
        <v/>
      </c>
      <c r="AG143" s="62">
        <f>IF($V143&lt;&gt;"Macro","",IF(COUNTIFS($S$5:$S$1000,$S143,$V$5:$V$1000,"Macro",$H$5:$H$1000,"&gt;0")=0,1/COUNTIFS($S$5:$S$1000,$S143,$V$5:$V$1000,"Macro"),IF(AND(ISNUMBER($H143),N($H143)&gt;0),$H143,SUMIFS($H$5:$H$1000,$S$5:$S$1000,$S143,$V$5:$V$1000,"Macro")/COUNTIFS($S$5:$S$1000,$S143,$V$5:$V$1000,"Macro",$H$5:$H$1000,"&gt;0"))/(COUNTIFS($S$5:$S$1000,$S143,$V$5:$V$1000,"Macro")*SUMIFS($H$5:$H$1000,$S$5:$S$1000,$S143,$V$5:$V$1000,"Macro")/COUNTIFS($S$5:$S$1000,$S143,$V$5:$V$1000,"Macro",$H$5:$H$1000,"&gt;0"))))</f>
        <v/>
      </c>
      <c r="AH143" s="62" t="n"/>
      <c r="AI143" s="62" t="n"/>
      <c r="AJ143" s="62" t="n"/>
      <c r="AK143" s="62" t="n"/>
      <c r="AL143" s="62">
        <f>IF(LEFT($C143,11)="[Jefatura] ",IFERROR(MATCH("Riesgo Operacional|"&amp;MID($C143,12,500),rDname_ADM,0),0),"")</f>
        <v/>
      </c>
      <c r="AM143" s="62">
        <f>IF(N($AL143)&gt;0,INDEX(rIni_ADM,$AL143),IF(ISNUMBER($E143),$E143,""))</f>
        <v/>
      </c>
      <c r="AN143" s="62">
        <f>IF(N($AL143)&gt;0,INDEX(rLim_ADM,$AL143),IF(ISNUMBER($F143),$F143,""))</f>
        <v/>
      </c>
    </row>
    <row r="144">
      <c r="A144" s="56">
        <f>IF(NOT((COUNTA($B144:$D144)+COUNTA($G144:$L144)+COUNTA($Q144))&gt;0),"",IF($V144="Macro",COUNTIFS($V$5:$V144,"Macro",$S$5:$S144,$S144),IF(N($U144)=0,"?",COUNTIFS(INDEX($V$5:$V$1000,1):INDEX($V$5:$V$1000,$U144-4),"Macro",INDEX($S$5:$S$1000,1):INDEX($S$5:$S$1000,$U144-4),INDEX($S$5:$S$1000,$U144-4))&amp;"."&amp;COUNTIFS($U$5:$U144,$U144,$V$5:$V144,"Sub"))))</f>
        <v/>
      </c>
      <c r="B144" s="57" t="n"/>
      <c r="C144" s="58" t="n"/>
      <c r="D144" s="58" t="n"/>
      <c r="E144" s="59">
        <f>IF(N($AL144)&gt;0,INDEX(rIni_ADM,$AL144),"")</f>
        <v/>
      </c>
      <c r="F144" s="59">
        <f>IF(N($AL144)&gt;0,INDEX(rLim_ADM,$AL144),"")</f>
        <v/>
      </c>
      <c r="G144" s="59" t="n"/>
      <c r="H144" s="60" t="n"/>
      <c r="I144" s="60" t="n"/>
      <c r="J144" s="60" t="n"/>
      <c r="K144" s="60" t="n"/>
      <c r="L144" s="60" t="n"/>
      <c r="M144" s="61">
        <f>IF(NOT((COUNTA($B144:$D144)+COUNTA($G144:$L144)+COUNTA($Q144))&gt;0),"",IF($V144="Sub",IFERROR($X144/INDEX($W$5:$W$1000,$U144-4),""),IF(ISNUMBER($G144),1,IF(N($W144)&gt;0,AVERAGEIFS($X$5:$X$1000,$U$5:$U$1000,ROW(),$V$5:$V$1000,"Sub"),$X144))))</f>
        <v/>
      </c>
      <c r="N144" s="56">
        <f>IF(OR($M144="",$V144="Sub"),"",IF($M144&gt;=1,"Completado",IF($M144&gt;0,"En curso","Pendiente")))</f>
        <v/>
      </c>
      <c r="O144" s="56">
        <f>IF(OR(NOT((COUNTA($B144:$D144)+COUNTA($G144:$L144)+COUNTA($Q144))&gt;0),$V144="Sub"),"",IF(ISNUMBER($G144),IF(AND(ISNUMBER($AN144),$G144&gt;$AN144),"Cumplida con "&amp;($G144-$AN144)&amp;IF($G144-$AN144=1," día"," días")&amp;" de retraso","Cumplida"),IF(N($M144)&gt;=1,"Cumplida",IF(NOT(ISNUMBER($AN144)),"Sin fecha límite",IF($AN144&lt;FechaRef,"Vencida hace "&amp;(FechaRef-$AN144)&amp;IF(FechaRef-$AN144=1," día"," días"),IF($AN144=FechaRef,"Vence hoy",IF($AN144-FechaRef&lt;=DiasAlerta,"Vence en "&amp;($AN144-FechaRef)&amp;IF($AN144-FechaRef=1," día"," días"),"En plazo")))))))</f>
        <v/>
      </c>
      <c r="P144" s="62" t="n"/>
      <c r="Q144" s="58" t="n"/>
      <c r="R144" s="63">
        <f>IF(NOT((COUNTA($B144:$D144)+COUNTA($G144:$L144)+COUNTA($Q144))&gt;0),"",IF((IF($C144="","Falta el nombre de la actividad"&amp;" · ","")&amp;IF(AND($V144="Sub",N($U144)=0),"Subactividad sin macroactividad arriba"&amp;" · ","")&amp;IF($AM144="","Sin fecha de inicio"&amp;" · ","")&amp;IF($AN144="","Sin fecha límite"&amp;" · ","")&amp;IF(AND(LEFT($C144,11)="[Jefatura] ",N($AL144)=0),"No se encuentra en la hoja de la jefatura (elíjala de nuevo en la lista)"&amp;" · ","")&amp;IF(OR(AND($E144&lt;&gt;"",NOT(ISNUMBER($E144))),AND($F144&lt;&gt;"",NOT(ISNUMBER($F144))),AND($G144&lt;&gt;"",NOT(ISNUMBER($G144)))),"Fecha no válida"&amp;" · ","")&amp;IF(AND(ISNUMBER($AM144),ISNUMBER($AN144),$AM144&gt;$AN144),"Inicio posterior a fecha límite"&amp;" · ","")&amp;IF(AND($V144="Macro",$H144&lt;&gt;"",OR(NOT(ISNUMBER($H144)),$H144&lt;0,$H144&gt;1)),"Peso fuera de rango"&amp;" · ","")&amp;IF(AND($V144="Sub",$H144&lt;&gt;""),"Las subactividades no llevan peso (valen igual dentro de su macroactividad)"&amp;" · ","")&amp;IF(AND(N($W144)&gt;0,COUNT($I144:$L144)&gt;0),"Con subactividades: deje vacías las semanas (se calculan solas)"&amp;" · ","")&amp;IF((COUNTIF($I144:$L144,"&gt;1")+COUNTIF($I144:$L144,"&lt;0")+COUNTA($I144:$L144)-COUNT($I144:$L144))&gt;0,"Avance fuera de rango 0-100%"&amp;" · ","")&amp;IF(OR(AND($J144&lt;&gt;"",$J144&lt;$I144),AND($K144&lt;&gt;"",$K144&lt;MAX($I144:$J144)),AND($L144&lt;&gt;"",$L144&lt;MAX($I144:$K144))),"Avance semanal decreciente"&amp;" · ","")&amp;IF(AND(ISNUMBER($AN144),$AN144&lt;FechaRef,IF($V144="Sub",N($X144),N($M144))&lt;1),"Vencida"&amp;" · ","")&amp;IF(AND(ObsObligatoria="Sí",ISNUMBER($AN144),$AN144&lt;FechaRef,IF($V144="Sub",N($X144),N($M144))&lt;1,$Q144=""),"Vencida sin observación"&amp;" · ",""))="","✔ OK","⚠ "&amp;LEFT(IF($C144="","Falta el nombre de la actividad"&amp;" · ","")&amp;IF(AND($V144="Sub",N($U144)=0),"Subactividad sin macroactividad arriba"&amp;" · ","")&amp;IF($AM144="","Sin fecha de inicio"&amp;" · ","")&amp;IF($AN144="","Sin fecha límite"&amp;" · ","")&amp;IF(AND(LEFT($C144,11)="[Jefatura] ",N($AL144)=0),"No se encuentra en la hoja de la jefatura (elíjala de nuevo en la lista)"&amp;" · ","")&amp;IF(OR(AND($E144&lt;&gt;"",NOT(ISNUMBER($E144))),AND($F144&lt;&gt;"",NOT(ISNUMBER($F144))),AND($G144&lt;&gt;"",NOT(ISNUMBER($G144)))),"Fecha no válida"&amp;" · ","")&amp;IF(AND(ISNUMBER($AM144),ISNUMBER($AN144),$AM144&gt;$AN144),"Inicio posterior a fecha límite"&amp;" · ","")&amp;IF(AND($V144="Macro",$H144&lt;&gt;"",OR(NOT(ISNUMBER($H144)),$H144&lt;0,$H144&gt;1)),"Peso fuera de rango"&amp;" · ","")&amp;IF(AND($V144="Sub",$H144&lt;&gt;""),"Las subactividades no llevan peso (valen igual dentro de su macroactividad)"&amp;" · ","")&amp;IF(AND(N($W144)&gt;0,COUNT($I144:$L144)&gt;0),"Con subactividades: deje vacías las semanas (se calculan solas)"&amp;" · ","")&amp;IF((COUNTIF($I144:$L144,"&gt;1")+COUNTIF($I144:$L144,"&lt;0")+COUNTA($I144:$L144)-COUNT($I144:$L144))&gt;0,"Avance fuera de rango 0-100%"&amp;" · ","")&amp;IF(OR(AND($J144&lt;&gt;"",$J144&lt;$I144),AND($K144&lt;&gt;"",$K144&lt;MAX($I144:$J144)),AND($L144&lt;&gt;"",$L144&lt;MAX($I144:$K144))),"Avance semanal decreciente"&amp;" · ","")&amp;IF(AND(ISNUMBER($AN144),$AN144&lt;FechaRef,IF($V144="Sub",N($X144),N($M144))&lt;1),"Vencida"&amp;" · ","")&amp;IF(AND(ObsObligatoria="Sí",ISNUMBER($AN144),$AN144&lt;FechaRef,IF($V144="Sub",N($X144),N($M144))&lt;1,$Q144=""),"Vencida sin observación"&amp;" · ",""),LEN(IF($C144="","Falta el nombre de la actividad"&amp;" · ","")&amp;IF(AND($V144="Sub",N($U144)=0),"Subactividad sin macroactividad arriba"&amp;" · ","")&amp;IF($AM144="","Sin fecha de inicio"&amp;" · ","")&amp;IF($AN144="","Sin fecha límite"&amp;" · ","")&amp;IF(AND(LEFT($C144,11)="[Jefatura] ",N($AL144)=0),"No se encuentra en la hoja de la jefatura (elíjala de nuevo en la lista)"&amp;" · ","")&amp;IF(OR(AND($E144&lt;&gt;"",NOT(ISNUMBER($E144))),AND($F144&lt;&gt;"",NOT(ISNUMBER($F144))),AND($G144&lt;&gt;"",NOT(ISNUMBER($G144)))),"Fecha no válida"&amp;" · ","")&amp;IF(AND(ISNUMBER($AM144),ISNUMBER($AN144),$AM144&gt;$AN144),"Inicio posterior a fecha límite"&amp;" · ","")&amp;IF(AND($V144="Macro",$H144&lt;&gt;"",OR(NOT(ISNUMBER($H144)),$H144&lt;0,$H144&gt;1)),"Peso fuera de rango"&amp;" · ","")&amp;IF(AND($V144="Sub",$H144&lt;&gt;""),"Las subactividades no llevan peso (valen igual dentro de su macroactividad)"&amp;" · ","")&amp;IF(AND(N($W144)&gt;0,COUNT($I144:$L144)&gt;0),"Con subactividades: deje vacías las semanas (se calculan solas)"&amp;" · ","")&amp;IF((COUNTIF($I144:$L144,"&gt;1")+COUNTIF($I144:$L144,"&lt;0")+COUNTA($I144:$L144)-COUNT($I144:$L144))&gt;0,"Avance fuera de rango 0-100%"&amp;" · ","")&amp;IF(OR(AND($J144&lt;&gt;"",$J144&lt;$I144),AND($K144&lt;&gt;"",$K144&lt;MAX($I144:$J144)),AND($L144&lt;&gt;"",$L144&lt;MAX($I144:$K144))),"Avance semanal decreciente"&amp;" · ","")&amp;IF(AND(ISNUMBER($AN144),$AN144&lt;FechaRef,IF($V144="Sub",N($X144),N($M144))&lt;1),"Vencida"&amp;" · ","")&amp;IF(AND(ObsObligatoria="Sí",ISNUMBER($AN144),$AN144&lt;FechaRef,IF($V144="Sub",N($X144),N($M144))&lt;1,$Q144=""),"Vencida sin observación"&amp;" · ",""))-3)))</f>
        <v/>
      </c>
      <c r="S144" s="64">
        <f>IF(NOT((COUNTA($B144:$D144)+COUNTA($G144:$L144)+COUNTA($Q144))&gt;0),"",IF(AND($V144="Sub",N($U144)&gt;0),IF(ISNUMBER(INDEX($AM$5:$AM$1000,$U144-4)),DATE(YEAR(INDEX($AM$5:$AM$1000,$U144-4)),MONTH(INDEX($AM$5:$AM$1000,$U144-4)),1),IF(ISNUMBER(INDEX($AN$5:$AN$1000,$U144-4)),DATE(YEAR(INDEX($AN$5:$AN$1000,$U144-4)),MONTH(INDEX($AN$5:$AN$1000,$U144-4)),1),MesCiclo)),IF(ISNUMBER($AM144),DATE(YEAR($AM144),MONTH($AM144),1),IF(ISNUMBER($AN144),DATE(YEAR($AN144),MONTH($AN144),1),MesCiclo))))</f>
        <v/>
      </c>
      <c r="T144" s="62">
        <f>IF(OR($S144="",$S144&lt;&gt;MesCiclo,$V144&lt;&gt;"Macro"),"",COUNTIFS($S$5:$S144,MesCiclo,$V$5:$V144,"Macro"))</f>
        <v/>
      </c>
      <c r="U144" s="62">
        <f>IF($V144="","",IF($V144="Macro",ROW(),IFERROR(LOOKUP(2,1/($V$5:$V144="Macro"),ROW($V$5:$V144)),0)))</f>
        <v/>
      </c>
      <c r="V144" s="62">
        <f>IF(NOT((COUNTA($B144:$D144)+COUNTA($G144:$L144)+COUNTA($Q144))&gt;0),"",IF($B144="Subactividad","Sub","Macro"))</f>
        <v/>
      </c>
      <c r="W144" s="62">
        <f>IF($V144="Macro",COUNTIFS($U$5:$U$1000,ROW(),$V$5:$V$1000,"Sub"),"")</f>
        <v/>
      </c>
      <c r="X144" s="62">
        <f>IF($V144="","",IF(ISNUMBER($G144),1,IFERROR(LOOKUP(2,1/($I144:$L144&lt;&gt;""),$I144:$L144),0)))</f>
        <v/>
      </c>
      <c r="Y144" s="62">
        <f>IF($V144="","",IF(AND(ISNUMBER($G144),$G144&lt;=IF($S144=MesCiclo,InicioCiclo,$S144+MOD(2-WEEKDAY($S144),7))+6),1,IF(ISNUMBER($I144),$I144,0)))</f>
        <v/>
      </c>
      <c r="Z144" s="62">
        <f>IF($V144="","",IF(AND(ISNUMBER($G144),$G144&lt;=IF($S144=MesCiclo,InicioCiclo,$S144+MOD(2-WEEKDAY($S144),7))+13),1,IF(ISNUMBER($J144),$J144,$Y144)))</f>
        <v/>
      </c>
      <c r="AA144" s="62">
        <f>IF($V144="","",IF(AND(ISNUMBER($G144),$G144&lt;=IF($S144=MesCiclo,InicioCiclo,$S144+MOD(2-WEEKDAY($S144),7))+20),1,IF(ISNUMBER($K144),$K144,$Z144)))</f>
        <v/>
      </c>
      <c r="AB144" s="62">
        <f>IF($V144="","",IF(AND(ISNUMBER($G144),$G144&lt;=IF($S144=MesCiclo,InicioCiclo,$S144+MOD(2-WEEKDAY($S144),7))+27),1,IF(ISNUMBER($L144),$L144,$AA144)))</f>
        <v/>
      </c>
      <c r="AC144" s="62">
        <f>IF($V144="","",IF(AND(ISNUMBER($G144),$G144&lt;=IF($S144=MesCiclo,InicioCiclo,$S144+MOD(2-WEEKDAY($S144),7))+6),1,IF(N($W144)&gt;0,AVERAGEIFS($Y$5:$Y$1000,$U$5:$U$1000,ROW(),$V$5:$V$1000,"Sub"),$Y144)))</f>
        <v/>
      </c>
      <c r="AD144" s="62">
        <f>IF($V144="","",IF(AND(ISNUMBER($G144),$G144&lt;=IF($S144=MesCiclo,InicioCiclo,$S144+MOD(2-WEEKDAY($S144),7))+13),1,IF(N($W144)&gt;0,AVERAGEIFS($Z$5:$Z$1000,$U$5:$U$1000,ROW(),$V$5:$V$1000,"Sub"),$Z144)))</f>
        <v/>
      </c>
      <c r="AE144" s="62">
        <f>IF($V144="","",IF(AND(ISNUMBER($G144),$G144&lt;=IF($S144=MesCiclo,InicioCiclo,$S144+MOD(2-WEEKDAY($S144),7))+20),1,IF(N($W144)&gt;0,AVERAGEIFS($AA$5:$AA$1000,$U$5:$U$1000,ROW(),$V$5:$V$1000,"Sub"),$AA144)))</f>
        <v/>
      </c>
      <c r="AF144" s="62">
        <f>IF($V144="","",IF(AND(ISNUMBER($G144),$G144&lt;=IF($S144=MesCiclo,InicioCiclo,$S144+MOD(2-WEEKDAY($S144),7))+27),1,IF(N($W144)&gt;0,AVERAGEIFS($AB$5:$AB$1000,$U$5:$U$1000,ROW(),$V$5:$V$1000,"Sub"),$AB144)))</f>
        <v/>
      </c>
      <c r="AG144" s="62">
        <f>IF($V144&lt;&gt;"Macro","",IF(COUNTIFS($S$5:$S$1000,$S144,$V$5:$V$1000,"Macro",$H$5:$H$1000,"&gt;0")=0,1/COUNTIFS($S$5:$S$1000,$S144,$V$5:$V$1000,"Macro"),IF(AND(ISNUMBER($H144),N($H144)&gt;0),$H144,SUMIFS($H$5:$H$1000,$S$5:$S$1000,$S144,$V$5:$V$1000,"Macro")/COUNTIFS($S$5:$S$1000,$S144,$V$5:$V$1000,"Macro",$H$5:$H$1000,"&gt;0"))/(COUNTIFS($S$5:$S$1000,$S144,$V$5:$V$1000,"Macro")*SUMIFS($H$5:$H$1000,$S$5:$S$1000,$S144,$V$5:$V$1000,"Macro")/COUNTIFS($S$5:$S$1000,$S144,$V$5:$V$1000,"Macro",$H$5:$H$1000,"&gt;0"))))</f>
        <v/>
      </c>
      <c r="AH144" s="62" t="n"/>
      <c r="AI144" s="62" t="n"/>
      <c r="AJ144" s="62" t="n"/>
      <c r="AK144" s="62" t="n"/>
      <c r="AL144" s="62">
        <f>IF(LEFT($C144,11)="[Jefatura] ",IFERROR(MATCH("Riesgo Operacional|"&amp;MID($C144,12,500),rDname_ADM,0),0),"")</f>
        <v/>
      </c>
      <c r="AM144" s="62">
        <f>IF(N($AL144)&gt;0,INDEX(rIni_ADM,$AL144),IF(ISNUMBER($E144),$E144,""))</f>
        <v/>
      </c>
      <c r="AN144" s="62">
        <f>IF(N($AL144)&gt;0,INDEX(rLim_ADM,$AL144),IF(ISNUMBER($F144),$F144,""))</f>
        <v/>
      </c>
    </row>
    <row r="145">
      <c r="A145" s="56">
        <f>IF(NOT((COUNTA($B145:$D145)+COUNTA($G145:$L145)+COUNTA($Q145))&gt;0),"",IF($V145="Macro",COUNTIFS($V$5:$V145,"Macro",$S$5:$S145,$S145),IF(N($U145)=0,"?",COUNTIFS(INDEX($V$5:$V$1000,1):INDEX($V$5:$V$1000,$U145-4),"Macro",INDEX($S$5:$S$1000,1):INDEX($S$5:$S$1000,$U145-4),INDEX($S$5:$S$1000,$U145-4))&amp;"."&amp;COUNTIFS($U$5:$U145,$U145,$V$5:$V145,"Sub"))))</f>
        <v/>
      </c>
      <c r="B145" s="57" t="n"/>
      <c r="C145" s="58" t="n"/>
      <c r="D145" s="58" t="n"/>
      <c r="E145" s="59">
        <f>IF(N($AL145)&gt;0,INDEX(rIni_ADM,$AL145),"")</f>
        <v/>
      </c>
      <c r="F145" s="59">
        <f>IF(N($AL145)&gt;0,INDEX(rLim_ADM,$AL145),"")</f>
        <v/>
      </c>
      <c r="G145" s="59" t="n"/>
      <c r="H145" s="60" t="n"/>
      <c r="I145" s="60" t="n"/>
      <c r="J145" s="60" t="n"/>
      <c r="K145" s="60" t="n"/>
      <c r="L145" s="60" t="n"/>
      <c r="M145" s="61">
        <f>IF(NOT((COUNTA($B145:$D145)+COUNTA($G145:$L145)+COUNTA($Q145))&gt;0),"",IF($V145="Sub",IFERROR($X145/INDEX($W$5:$W$1000,$U145-4),""),IF(ISNUMBER($G145),1,IF(N($W145)&gt;0,AVERAGEIFS($X$5:$X$1000,$U$5:$U$1000,ROW(),$V$5:$V$1000,"Sub"),$X145))))</f>
        <v/>
      </c>
      <c r="N145" s="56">
        <f>IF(OR($M145="",$V145="Sub"),"",IF($M145&gt;=1,"Completado",IF($M145&gt;0,"En curso","Pendiente")))</f>
        <v/>
      </c>
      <c r="O145" s="56">
        <f>IF(OR(NOT((COUNTA($B145:$D145)+COUNTA($G145:$L145)+COUNTA($Q145))&gt;0),$V145="Sub"),"",IF(ISNUMBER($G145),IF(AND(ISNUMBER($AN145),$G145&gt;$AN145),"Cumplida con "&amp;($G145-$AN145)&amp;IF($G145-$AN145=1," día"," días")&amp;" de retraso","Cumplida"),IF(N($M145)&gt;=1,"Cumplida",IF(NOT(ISNUMBER($AN145)),"Sin fecha límite",IF($AN145&lt;FechaRef,"Vencida hace "&amp;(FechaRef-$AN145)&amp;IF(FechaRef-$AN145=1," día"," días"),IF($AN145=FechaRef,"Vence hoy",IF($AN145-FechaRef&lt;=DiasAlerta,"Vence en "&amp;($AN145-FechaRef)&amp;IF($AN145-FechaRef=1," día"," días"),"En plazo")))))))</f>
        <v/>
      </c>
      <c r="P145" s="62" t="n"/>
      <c r="Q145" s="58" t="n"/>
      <c r="R145" s="63">
        <f>IF(NOT((COUNTA($B145:$D145)+COUNTA($G145:$L145)+COUNTA($Q145))&gt;0),"",IF((IF($C145="","Falta el nombre de la actividad"&amp;" · ","")&amp;IF(AND($V145="Sub",N($U145)=0),"Subactividad sin macroactividad arriba"&amp;" · ","")&amp;IF($AM145="","Sin fecha de inicio"&amp;" · ","")&amp;IF($AN145="","Sin fecha límite"&amp;" · ","")&amp;IF(AND(LEFT($C145,11)="[Jefatura] ",N($AL145)=0),"No se encuentra en la hoja de la jefatura (elíjala de nuevo en la lista)"&amp;" · ","")&amp;IF(OR(AND($E145&lt;&gt;"",NOT(ISNUMBER($E145))),AND($F145&lt;&gt;"",NOT(ISNUMBER($F145))),AND($G145&lt;&gt;"",NOT(ISNUMBER($G145)))),"Fecha no válida"&amp;" · ","")&amp;IF(AND(ISNUMBER($AM145),ISNUMBER($AN145),$AM145&gt;$AN145),"Inicio posterior a fecha límite"&amp;" · ","")&amp;IF(AND($V145="Macro",$H145&lt;&gt;"",OR(NOT(ISNUMBER($H145)),$H145&lt;0,$H145&gt;1)),"Peso fuera de rango"&amp;" · ","")&amp;IF(AND($V145="Sub",$H145&lt;&gt;""),"Las subactividades no llevan peso (valen igual dentro de su macroactividad)"&amp;" · ","")&amp;IF(AND(N($W145)&gt;0,COUNT($I145:$L145)&gt;0),"Con subactividades: deje vacías las semanas (se calculan solas)"&amp;" · ","")&amp;IF((COUNTIF($I145:$L145,"&gt;1")+COUNTIF($I145:$L145,"&lt;0")+COUNTA($I145:$L145)-COUNT($I145:$L145))&gt;0,"Avance fuera de rango 0-100%"&amp;" · ","")&amp;IF(OR(AND($J145&lt;&gt;"",$J145&lt;$I145),AND($K145&lt;&gt;"",$K145&lt;MAX($I145:$J145)),AND($L145&lt;&gt;"",$L145&lt;MAX($I145:$K145))),"Avance semanal decreciente"&amp;" · ","")&amp;IF(AND(ISNUMBER($AN145),$AN145&lt;FechaRef,IF($V145="Sub",N($X145),N($M145))&lt;1),"Vencida"&amp;" · ","")&amp;IF(AND(ObsObligatoria="Sí",ISNUMBER($AN145),$AN145&lt;FechaRef,IF($V145="Sub",N($X145),N($M145))&lt;1,$Q145=""),"Vencida sin observación"&amp;" · ",""))="","✔ OK","⚠ "&amp;LEFT(IF($C145="","Falta el nombre de la actividad"&amp;" · ","")&amp;IF(AND($V145="Sub",N($U145)=0),"Subactividad sin macroactividad arriba"&amp;" · ","")&amp;IF($AM145="","Sin fecha de inicio"&amp;" · ","")&amp;IF($AN145="","Sin fecha límite"&amp;" · ","")&amp;IF(AND(LEFT($C145,11)="[Jefatura] ",N($AL145)=0),"No se encuentra en la hoja de la jefatura (elíjala de nuevo en la lista)"&amp;" · ","")&amp;IF(OR(AND($E145&lt;&gt;"",NOT(ISNUMBER($E145))),AND($F145&lt;&gt;"",NOT(ISNUMBER($F145))),AND($G145&lt;&gt;"",NOT(ISNUMBER($G145)))),"Fecha no válida"&amp;" · ","")&amp;IF(AND(ISNUMBER($AM145),ISNUMBER($AN145),$AM145&gt;$AN145),"Inicio posterior a fecha límite"&amp;" · ","")&amp;IF(AND($V145="Macro",$H145&lt;&gt;"",OR(NOT(ISNUMBER($H145)),$H145&lt;0,$H145&gt;1)),"Peso fuera de rango"&amp;" · ","")&amp;IF(AND($V145="Sub",$H145&lt;&gt;""),"Las subactividades no llevan peso (valen igual dentro de su macroactividad)"&amp;" · ","")&amp;IF(AND(N($W145)&gt;0,COUNT($I145:$L145)&gt;0),"Con subactividades: deje vacías las semanas (se calculan solas)"&amp;" · ","")&amp;IF((COUNTIF($I145:$L145,"&gt;1")+COUNTIF($I145:$L145,"&lt;0")+COUNTA($I145:$L145)-COUNT($I145:$L145))&gt;0,"Avance fuera de rango 0-100%"&amp;" · ","")&amp;IF(OR(AND($J145&lt;&gt;"",$J145&lt;$I145),AND($K145&lt;&gt;"",$K145&lt;MAX($I145:$J145)),AND($L145&lt;&gt;"",$L145&lt;MAX($I145:$K145))),"Avance semanal decreciente"&amp;" · ","")&amp;IF(AND(ISNUMBER($AN145),$AN145&lt;FechaRef,IF($V145="Sub",N($X145),N($M145))&lt;1),"Vencida"&amp;" · ","")&amp;IF(AND(ObsObligatoria="Sí",ISNUMBER($AN145),$AN145&lt;FechaRef,IF($V145="Sub",N($X145),N($M145))&lt;1,$Q145=""),"Vencida sin observación"&amp;" · ",""),LEN(IF($C145="","Falta el nombre de la actividad"&amp;" · ","")&amp;IF(AND($V145="Sub",N($U145)=0),"Subactividad sin macroactividad arriba"&amp;" · ","")&amp;IF($AM145="","Sin fecha de inicio"&amp;" · ","")&amp;IF($AN145="","Sin fecha límite"&amp;" · ","")&amp;IF(AND(LEFT($C145,11)="[Jefatura] ",N($AL145)=0),"No se encuentra en la hoja de la jefatura (elíjala de nuevo en la lista)"&amp;" · ","")&amp;IF(OR(AND($E145&lt;&gt;"",NOT(ISNUMBER($E145))),AND($F145&lt;&gt;"",NOT(ISNUMBER($F145))),AND($G145&lt;&gt;"",NOT(ISNUMBER($G145)))),"Fecha no válida"&amp;" · ","")&amp;IF(AND(ISNUMBER($AM145),ISNUMBER($AN145),$AM145&gt;$AN145),"Inicio posterior a fecha límite"&amp;" · ","")&amp;IF(AND($V145="Macro",$H145&lt;&gt;"",OR(NOT(ISNUMBER($H145)),$H145&lt;0,$H145&gt;1)),"Peso fuera de rango"&amp;" · ","")&amp;IF(AND($V145="Sub",$H145&lt;&gt;""),"Las subactividades no llevan peso (valen igual dentro de su macroactividad)"&amp;" · ","")&amp;IF(AND(N($W145)&gt;0,COUNT($I145:$L145)&gt;0),"Con subactividades: deje vacías las semanas (se calculan solas)"&amp;" · ","")&amp;IF((COUNTIF($I145:$L145,"&gt;1")+COUNTIF($I145:$L145,"&lt;0")+COUNTA($I145:$L145)-COUNT($I145:$L145))&gt;0,"Avance fuera de rango 0-100%"&amp;" · ","")&amp;IF(OR(AND($J145&lt;&gt;"",$J145&lt;$I145),AND($K145&lt;&gt;"",$K145&lt;MAX($I145:$J145)),AND($L145&lt;&gt;"",$L145&lt;MAX($I145:$K145))),"Avance semanal decreciente"&amp;" · ","")&amp;IF(AND(ISNUMBER($AN145),$AN145&lt;FechaRef,IF($V145="Sub",N($X145),N($M145))&lt;1),"Vencida"&amp;" · ","")&amp;IF(AND(ObsObligatoria="Sí",ISNUMBER($AN145),$AN145&lt;FechaRef,IF($V145="Sub",N($X145),N($M145))&lt;1,$Q145=""),"Vencida sin observación"&amp;" · ",""))-3)))</f>
        <v/>
      </c>
      <c r="S145" s="64">
        <f>IF(NOT((COUNTA($B145:$D145)+COUNTA($G145:$L145)+COUNTA($Q145))&gt;0),"",IF(AND($V145="Sub",N($U145)&gt;0),IF(ISNUMBER(INDEX($AM$5:$AM$1000,$U145-4)),DATE(YEAR(INDEX($AM$5:$AM$1000,$U145-4)),MONTH(INDEX($AM$5:$AM$1000,$U145-4)),1),IF(ISNUMBER(INDEX($AN$5:$AN$1000,$U145-4)),DATE(YEAR(INDEX($AN$5:$AN$1000,$U145-4)),MONTH(INDEX($AN$5:$AN$1000,$U145-4)),1),MesCiclo)),IF(ISNUMBER($AM145),DATE(YEAR($AM145),MONTH($AM145),1),IF(ISNUMBER($AN145),DATE(YEAR($AN145),MONTH($AN145),1),MesCiclo))))</f>
        <v/>
      </c>
      <c r="T145" s="62">
        <f>IF(OR($S145="",$S145&lt;&gt;MesCiclo,$V145&lt;&gt;"Macro"),"",COUNTIFS($S$5:$S145,MesCiclo,$V$5:$V145,"Macro"))</f>
        <v/>
      </c>
      <c r="U145" s="62">
        <f>IF($V145="","",IF($V145="Macro",ROW(),IFERROR(LOOKUP(2,1/($V$5:$V145="Macro"),ROW($V$5:$V145)),0)))</f>
        <v/>
      </c>
      <c r="V145" s="62">
        <f>IF(NOT((COUNTA($B145:$D145)+COUNTA($G145:$L145)+COUNTA($Q145))&gt;0),"",IF($B145="Subactividad","Sub","Macro"))</f>
        <v/>
      </c>
      <c r="W145" s="62">
        <f>IF($V145="Macro",COUNTIFS($U$5:$U$1000,ROW(),$V$5:$V$1000,"Sub"),"")</f>
        <v/>
      </c>
      <c r="X145" s="62">
        <f>IF($V145="","",IF(ISNUMBER($G145),1,IFERROR(LOOKUP(2,1/($I145:$L145&lt;&gt;""),$I145:$L145),0)))</f>
        <v/>
      </c>
      <c r="Y145" s="62">
        <f>IF($V145="","",IF(AND(ISNUMBER($G145),$G145&lt;=IF($S145=MesCiclo,InicioCiclo,$S145+MOD(2-WEEKDAY($S145),7))+6),1,IF(ISNUMBER($I145),$I145,0)))</f>
        <v/>
      </c>
      <c r="Z145" s="62">
        <f>IF($V145="","",IF(AND(ISNUMBER($G145),$G145&lt;=IF($S145=MesCiclo,InicioCiclo,$S145+MOD(2-WEEKDAY($S145),7))+13),1,IF(ISNUMBER($J145),$J145,$Y145)))</f>
        <v/>
      </c>
      <c r="AA145" s="62">
        <f>IF($V145="","",IF(AND(ISNUMBER($G145),$G145&lt;=IF($S145=MesCiclo,InicioCiclo,$S145+MOD(2-WEEKDAY($S145),7))+20),1,IF(ISNUMBER($K145),$K145,$Z145)))</f>
        <v/>
      </c>
      <c r="AB145" s="62">
        <f>IF($V145="","",IF(AND(ISNUMBER($G145),$G145&lt;=IF($S145=MesCiclo,InicioCiclo,$S145+MOD(2-WEEKDAY($S145),7))+27),1,IF(ISNUMBER($L145),$L145,$AA145)))</f>
        <v/>
      </c>
      <c r="AC145" s="62">
        <f>IF($V145="","",IF(AND(ISNUMBER($G145),$G145&lt;=IF($S145=MesCiclo,InicioCiclo,$S145+MOD(2-WEEKDAY($S145),7))+6),1,IF(N($W145)&gt;0,AVERAGEIFS($Y$5:$Y$1000,$U$5:$U$1000,ROW(),$V$5:$V$1000,"Sub"),$Y145)))</f>
        <v/>
      </c>
      <c r="AD145" s="62">
        <f>IF($V145="","",IF(AND(ISNUMBER($G145),$G145&lt;=IF($S145=MesCiclo,InicioCiclo,$S145+MOD(2-WEEKDAY($S145),7))+13),1,IF(N($W145)&gt;0,AVERAGEIFS($Z$5:$Z$1000,$U$5:$U$1000,ROW(),$V$5:$V$1000,"Sub"),$Z145)))</f>
        <v/>
      </c>
      <c r="AE145" s="62">
        <f>IF($V145="","",IF(AND(ISNUMBER($G145),$G145&lt;=IF($S145=MesCiclo,InicioCiclo,$S145+MOD(2-WEEKDAY($S145),7))+20),1,IF(N($W145)&gt;0,AVERAGEIFS($AA$5:$AA$1000,$U$5:$U$1000,ROW(),$V$5:$V$1000,"Sub"),$AA145)))</f>
        <v/>
      </c>
      <c r="AF145" s="62">
        <f>IF($V145="","",IF(AND(ISNUMBER($G145),$G145&lt;=IF($S145=MesCiclo,InicioCiclo,$S145+MOD(2-WEEKDAY($S145),7))+27),1,IF(N($W145)&gt;0,AVERAGEIFS($AB$5:$AB$1000,$U$5:$U$1000,ROW(),$V$5:$V$1000,"Sub"),$AB145)))</f>
        <v/>
      </c>
      <c r="AG145" s="62">
        <f>IF($V145&lt;&gt;"Macro","",IF(COUNTIFS($S$5:$S$1000,$S145,$V$5:$V$1000,"Macro",$H$5:$H$1000,"&gt;0")=0,1/COUNTIFS($S$5:$S$1000,$S145,$V$5:$V$1000,"Macro"),IF(AND(ISNUMBER($H145),N($H145)&gt;0),$H145,SUMIFS($H$5:$H$1000,$S$5:$S$1000,$S145,$V$5:$V$1000,"Macro")/COUNTIFS($S$5:$S$1000,$S145,$V$5:$V$1000,"Macro",$H$5:$H$1000,"&gt;0"))/(COUNTIFS($S$5:$S$1000,$S145,$V$5:$V$1000,"Macro")*SUMIFS($H$5:$H$1000,$S$5:$S$1000,$S145,$V$5:$V$1000,"Macro")/COUNTIFS($S$5:$S$1000,$S145,$V$5:$V$1000,"Macro",$H$5:$H$1000,"&gt;0"))))</f>
        <v/>
      </c>
      <c r="AH145" s="62" t="n"/>
      <c r="AI145" s="62" t="n"/>
      <c r="AJ145" s="62" t="n"/>
      <c r="AK145" s="62" t="n"/>
      <c r="AL145" s="62">
        <f>IF(LEFT($C145,11)="[Jefatura] ",IFERROR(MATCH("Riesgo Operacional|"&amp;MID($C145,12,500),rDname_ADM,0),0),"")</f>
        <v/>
      </c>
      <c r="AM145" s="62">
        <f>IF(N($AL145)&gt;0,INDEX(rIni_ADM,$AL145),IF(ISNUMBER($E145),$E145,""))</f>
        <v/>
      </c>
      <c r="AN145" s="62">
        <f>IF(N($AL145)&gt;0,INDEX(rLim_ADM,$AL145),IF(ISNUMBER($F145),$F145,""))</f>
        <v/>
      </c>
    </row>
    <row r="146">
      <c r="A146" s="56">
        <f>IF(NOT((COUNTA($B146:$D146)+COUNTA($G146:$L146)+COUNTA($Q146))&gt;0),"",IF($V146="Macro",COUNTIFS($V$5:$V146,"Macro",$S$5:$S146,$S146),IF(N($U146)=0,"?",COUNTIFS(INDEX($V$5:$V$1000,1):INDEX($V$5:$V$1000,$U146-4),"Macro",INDEX($S$5:$S$1000,1):INDEX($S$5:$S$1000,$U146-4),INDEX($S$5:$S$1000,$U146-4))&amp;"."&amp;COUNTIFS($U$5:$U146,$U146,$V$5:$V146,"Sub"))))</f>
        <v/>
      </c>
      <c r="B146" s="57" t="n"/>
      <c r="C146" s="58" t="n"/>
      <c r="D146" s="58" t="n"/>
      <c r="E146" s="59">
        <f>IF(N($AL146)&gt;0,INDEX(rIni_ADM,$AL146),"")</f>
        <v/>
      </c>
      <c r="F146" s="59">
        <f>IF(N($AL146)&gt;0,INDEX(rLim_ADM,$AL146),"")</f>
        <v/>
      </c>
      <c r="G146" s="59" t="n"/>
      <c r="H146" s="60" t="n"/>
      <c r="I146" s="60" t="n"/>
      <c r="J146" s="60" t="n"/>
      <c r="K146" s="60" t="n"/>
      <c r="L146" s="60" t="n"/>
      <c r="M146" s="61">
        <f>IF(NOT((COUNTA($B146:$D146)+COUNTA($G146:$L146)+COUNTA($Q146))&gt;0),"",IF($V146="Sub",IFERROR($X146/INDEX($W$5:$W$1000,$U146-4),""),IF(ISNUMBER($G146),1,IF(N($W146)&gt;0,AVERAGEIFS($X$5:$X$1000,$U$5:$U$1000,ROW(),$V$5:$V$1000,"Sub"),$X146))))</f>
        <v/>
      </c>
      <c r="N146" s="56">
        <f>IF(OR($M146="",$V146="Sub"),"",IF($M146&gt;=1,"Completado",IF($M146&gt;0,"En curso","Pendiente")))</f>
        <v/>
      </c>
      <c r="O146" s="56">
        <f>IF(OR(NOT((COUNTA($B146:$D146)+COUNTA($G146:$L146)+COUNTA($Q146))&gt;0),$V146="Sub"),"",IF(ISNUMBER($G146),IF(AND(ISNUMBER($AN146),$G146&gt;$AN146),"Cumplida con "&amp;($G146-$AN146)&amp;IF($G146-$AN146=1," día"," días")&amp;" de retraso","Cumplida"),IF(N($M146)&gt;=1,"Cumplida",IF(NOT(ISNUMBER($AN146)),"Sin fecha límite",IF($AN146&lt;FechaRef,"Vencida hace "&amp;(FechaRef-$AN146)&amp;IF(FechaRef-$AN146=1," día"," días"),IF($AN146=FechaRef,"Vence hoy",IF($AN146-FechaRef&lt;=DiasAlerta,"Vence en "&amp;($AN146-FechaRef)&amp;IF($AN146-FechaRef=1," día"," días"),"En plazo")))))))</f>
        <v/>
      </c>
      <c r="P146" s="62" t="n"/>
      <c r="Q146" s="58" t="n"/>
      <c r="R146" s="63">
        <f>IF(NOT((COUNTA($B146:$D146)+COUNTA($G146:$L146)+COUNTA($Q146))&gt;0),"",IF((IF($C146="","Falta el nombre de la actividad"&amp;" · ","")&amp;IF(AND($V146="Sub",N($U146)=0),"Subactividad sin macroactividad arriba"&amp;" · ","")&amp;IF($AM146="","Sin fecha de inicio"&amp;" · ","")&amp;IF($AN146="","Sin fecha límite"&amp;" · ","")&amp;IF(AND(LEFT($C146,11)="[Jefatura] ",N($AL146)=0),"No se encuentra en la hoja de la jefatura (elíjala de nuevo en la lista)"&amp;" · ","")&amp;IF(OR(AND($E146&lt;&gt;"",NOT(ISNUMBER($E146))),AND($F146&lt;&gt;"",NOT(ISNUMBER($F146))),AND($G146&lt;&gt;"",NOT(ISNUMBER($G146)))),"Fecha no válida"&amp;" · ","")&amp;IF(AND(ISNUMBER($AM146),ISNUMBER($AN146),$AM146&gt;$AN146),"Inicio posterior a fecha límite"&amp;" · ","")&amp;IF(AND($V146="Macro",$H146&lt;&gt;"",OR(NOT(ISNUMBER($H146)),$H146&lt;0,$H146&gt;1)),"Peso fuera de rango"&amp;" · ","")&amp;IF(AND($V146="Sub",$H146&lt;&gt;""),"Las subactividades no llevan peso (valen igual dentro de su macroactividad)"&amp;" · ","")&amp;IF(AND(N($W146)&gt;0,COUNT($I146:$L146)&gt;0),"Con subactividades: deje vacías las semanas (se calculan solas)"&amp;" · ","")&amp;IF((COUNTIF($I146:$L146,"&gt;1")+COUNTIF($I146:$L146,"&lt;0")+COUNTA($I146:$L146)-COUNT($I146:$L146))&gt;0,"Avance fuera de rango 0-100%"&amp;" · ","")&amp;IF(OR(AND($J146&lt;&gt;"",$J146&lt;$I146),AND($K146&lt;&gt;"",$K146&lt;MAX($I146:$J146)),AND($L146&lt;&gt;"",$L146&lt;MAX($I146:$K146))),"Avance semanal decreciente"&amp;" · ","")&amp;IF(AND(ISNUMBER($AN146),$AN146&lt;FechaRef,IF($V146="Sub",N($X146),N($M146))&lt;1),"Vencida"&amp;" · ","")&amp;IF(AND(ObsObligatoria="Sí",ISNUMBER($AN146),$AN146&lt;FechaRef,IF($V146="Sub",N($X146),N($M146))&lt;1,$Q146=""),"Vencida sin observación"&amp;" · ",""))="","✔ OK","⚠ "&amp;LEFT(IF($C146="","Falta el nombre de la actividad"&amp;" · ","")&amp;IF(AND($V146="Sub",N($U146)=0),"Subactividad sin macroactividad arriba"&amp;" · ","")&amp;IF($AM146="","Sin fecha de inicio"&amp;" · ","")&amp;IF($AN146="","Sin fecha límite"&amp;" · ","")&amp;IF(AND(LEFT($C146,11)="[Jefatura] ",N($AL146)=0),"No se encuentra en la hoja de la jefatura (elíjala de nuevo en la lista)"&amp;" · ","")&amp;IF(OR(AND($E146&lt;&gt;"",NOT(ISNUMBER($E146))),AND($F146&lt;&gt;"",NOT(ISNUMBER($F146))),AND($G146&lt;&gt;"",NOT(ISNUMBER($G146)))),"Fecha no válida"&amp;" · ","")&amp;IF(AND(ISNUMBER($AM146),ISNUMBER($AN146),$AM146&gt;$AN146),"Inicio posterior a fecha límite"&amp;" · ","")&amp;IF(AND($V146="Macro",$H146&lt;&gt;"",OR(NOT(ISNUMBER($H146)),$H146&lt;0,$H146&gt;1)),"Peso fuera de rango"&amp;" · ","")&amp;IF(AND($V146="Sub",$H146&lt;&gt;""),"Las subactividades no llevan peso (valen igual dentro de su macroactividad)"&amp;" · ","")&amp;IF(AND(N($W146)&gt;0,COUNT($I146:$L146)&gt;0),"Con subactividades: deje vacías las semanas (se calculan solas)"&amp;" · ","")&amp;IF((COUNTIF($I146:$L146,"&gt;1")+COUNTIF($I146:$L146,"&lt;0")+COUNTA($I146:$L146)-COUNT($I146:$L146))&gt;0,"Avance fuera de rango 0-100%"&amp;" · ","")&amp;IF(OR(AND($J146&lt;&gt;"",$J146&lt;$I146),AND($K146&lt;&gt;"",$K146&lt;MAX($I146:$J146)),AND($L146&lt;&gt;"",$L146&lt;MAX($I146:$K146))),"Avance semanal decreciente"&amp;" · ","")&amp;IF(AND(ISNUMBER($AN146),$AN146&lt;FechaRef,IF($V146="Sub",N($X146),N($M146))&lt;1),"Vencida"&amp;" · ","")&amp;IF(AND(ObsObligatoria="Sí",ISNUMBER($AN146),$AN146&lt;FechaRef,IF($V146="Sub",N($X146),N($M146))&lt;1,$Q146=""),"Vencida sin observación"&amp;" · ",""),LEN(IF($C146="","Falta el nombre de la actividad"&amp;" · ","")&amp;IF(AND($V146="Sub",N($U146)=0),"Subactividad sin macroactividad arriba"&amp;" · ","")&amp;IF($AM146="","Sin fecha de inicio"&amp;" · ","")&amp;IF($AN146="","Sin fecha límite"&amp;" · ","")&amp;IF(AND(LEFT($C146,11)="[Jefatura] ",N($AL146)=0),"No se encuentra en la hoja de la jefatura (elíjala de nuevo en la lista)"&amp;" · ","")&amp;IF(OR(AND($E146&lt;&gt;"",NOT(ISNUMBER($E146))),AND($F146&lt;&gt;"",NOT(ISNUMBER($F146))),AND($G146&lt;&gt;"",NOT(ISNUMBER($G146)))),"Fecha no válida"&amp;" · ","")&amp;IF(AND(ISNUMBER($AM146),ISNUMBER($AN146),$AM146&gt;$AN146),"Inicio posterior a fecha límite"&amp;" · ","")&amp;IF(AND($V146="Macro",$H146&lt;&gt;"",OR(NOT(ISNUMBER($H146)),$H146&lt;0,$H146&gt;1)),"Peso fuera de rango"&amp;" · ","")&amp;IF(AND($V146="Sub",$H146&lt;&gt;""),"Las subactividades no llevan peso (valen igual dentro de su macroactividad)"&amp;" · ","")&amp;IF(AND(N($W146)&gt;0,COUNT($I146:$L146)&gt;0),"Con subactividades: deje vacías las semanas (se calculan solas)"&amp;" · ","")&amp;IF((COUNTIF($I146:$L146,"&gt;1")+COUNTIF($I146:$L146,"&lt;0")+COUNTA($I146:$L146)-COUNT($I146:$L146))&gt;0,"Avance fuera de rango 0-100%"&amp;" · ","")&amp;IF(OR(AND($J146&lt;&gt;"",$J146&lt;$I146),AND($K146&lt;&gt;"",$K146&lt;MAX($I146:$J146)),AND($L146&lt;&gt;"",$L146&lt;MAX($I146:$K146))),"Avance semanal decreciente"&amp;" · ","")&amp;IF(AND(ISNUMBER($AN146),$AN146&lt;FechaRef,IF($V146="Sub",N($X146),N($M146))&lt;1),"Vencida"&amp;" · ","")&amp;IF(AND(ObsObligatoria="Sí",ISNUMBER($AN146),$AN146&lt;FechaRef,IF($V146="Sub",N($X146),N($M146))&lt;1,$Q146=""),"Vencida sin observación"&amp;" · ",""))-3)))</f>
        <v/>
      </c>
      <c r="S146" s="64">
        <f>IF(NOT((COUNTA($B146:$D146)+COUNTA($G146:$L146)+COUNTA($Q146))&gt;0),"",IF(AND($V146="Sub",N($U146)&gt;0),IF(ISNUMBER(INDEX($AM$5:$AM$1000,$U146-4)),DATE(YEAR(INDEX($AM$5:$AM$1000,$U146-4)),MONTH(INDEX($AM$5:$AM$1000,$U146-4)),1),IF(ISNUMBER(INDEX($AN$5:$AN$1000,$U146-4)),DATE(YEAR(INDEX($AN$5:$AN$1000,$U146-4)),MONTH(INDEX($AN$5:$AN$1000,$U146-4)),1),MesCiclo)),IF(ISNUMBER($AM146),DATE(YEAR($AM146),MONTH($AM146),1),IF(ISNUMBER($AN146),DATE(YEAR($AN146),MONTH($AN146),1),MesCiclo))))</f>
        <v/>
      </c>
      <c r="T146" s="62">
        <f>IF(OR($S146="",$S146&lt;&gt;MesCiclo,$V146&lt;&gt;"Macro"),"",COUNTIFS($S$5:$S146,MesCiclo,$V$5:$V146,"Macro"))</f>
        <v/>
      </c>
      <c r="U146" s="62">
        <f>IF($V146="","",IF($V146="Macro",ROW(),IFERROR(LOOKUP(2,1/($V$5:$V146="Macro"),ROW($V$5:$V146)),0)))</f>
        <v/>
      </c>
      <c r="V146" s="62">
        <f>IF(NOT((COUNTA($B146:$D146)+COUNTA($G146:$L146)+COUNTA($Q146))&gt;0),"",IF($B146="Subactividad","Sub","Macro"))</f>
        <v/>
      </c>
      <c r="W146" s="62">
        <f>IF($V146="Macro",COUNTIFS($U$5:$U$1000,ROW(),$V$5:$V$1000,"Sub"),"")</f>
        <v/>
      </c>
      <c r="X146" s="62">
        <f>IF($V146="","",IF(ISNUMBER($G146),1,IFERROR(LOOKUP(2,1/($I146:$L146&lt;&gt;""),$I146:$L146),0)))</f>
        <v/>
      </c>
      <c r="Y146" s="62">
        <f>IF($V146="","",IF(AND(ISNUMBER($G146),$G146&lt;=IF($S146=MesCiclo,InicioCiclo,$S146+MOD(2-WEEKDAY($S146),7))+6),1,IF(ISNUMBER($I146),$I146,0)))</f>
        <v/>
      </c>
      <c r="Z146" s="62">
        <f>IF($V146="","",IF(AND(ISNUMBER($G146),$G146&lt;=IF($S146=MesCiclo,InicioCiclo,$S146+MOD(2-WEEKDAY($S146),7))+13),1,IF(ISNUMBER($J146),$J146,$Y146)))</f>
        <v/>
      </c>
      <c r="AA146" s="62">
        <f>IF($V146="","",IF(AND(ISNUMBER($G146),$G146&lt;=IF($S146=MesCiclo,InicioCiclo,$S146+MOD(2-WEEKDAY($S146),7))+20),1,IF(ISNUMBER($K146),$K146,$Z146)))</f>
        <v/>
      </c>
      <c r="AB146" s="62">
        <f>IF($V146="","",IF(AND(ISNUMBER($G146),$G146&lt;=IF($S146=MesCiclo,InicioCiclo,$S146+MOD(2-WEEKDAY($S146),7))+27),1,IF(ISNUMBER($L146),$L146,$AA146)))</f>
        <v/>
      </c>
      <c r="AC146" s="62">
        <f>IF($V146="","",IF(AND(ISNUMBER($G146),$G146&lt;=IF($S146=MesCiclo,InicioCiclo,$S146+MOD(2-WEEKDAY($S146),7))+6),1,IF(N($W146)&gt;0,AVERAGEIFS($Y$5:$Y$1000,$U$5:$U$1000,ROW(),$V$5:$V$1000,"Sub"),$Y146)))</f>
        <v/>
      </c>
      <c r="AD146" s="62">
        <f>IF($V146="","",IF(AND(ISNUMBER($G146),$G146&lt;=IF($S146=MesCiclo,InicioCiclo,$S146+MOD(2-WEEKDAY($S146),7))+13),1,IF(N($W146)&gt;0,AVERAGEIFS($Z$5:$Z$1000,$U$5:$U$1000,ROW(),$V$5:$V$1000,"Sub"),$Z146)))</f>
        <v/>
      </c>
      <c r="AE146" s="62">
        <f>IF($V146="","",IF(AND(ISNUMBER($G146),$G146&lt;=IF($S146=MesCiclo,InicioCiclo,$S146+MOD(2-WEEKDAY($S146),7))+20),1,IF(N($W146)&gt;0,AVERAGEIFS($AA$5:$AA$1000,$U$5:$U$1000,ROW(),$V$5:$V$1000,"Sub"),$AA146)))</f>
        <v/>
      </c>
      <c r="AF146" s="62">
        <f>IF($V146="","",IF(AND(ISNUMBER($G146),$G146&lt;=IF($S146=MesCiclo,InicioCiclo,$S146+MOD(2-WEEKDAY($S146),7))+27),1,IF(N($W146)&gt;0,AVERAGEIFS($AB$5:$AB$1000,$U$5:$U$1000,ROW(),$V$5:$V$1000,"Sub"),$AB146)))</f>
        <v/>
      </c>
      <c r="AG146" s="62">
        <f>IF($V146&lt;&gt;"Macro","",IF(COUNTIFS($S$5:$S$1000,$S146,$V$5:$V$1000,"Macro",$H$5:$H$1000,"&gt;0")=0,1/COUNTIFS($S$5:$S$1000,$S146,$V$5:$V$1000,"Macro"),IF(AND(ISNUMBER($H146),N($H146)&gt;0),$H146,SUMIFS($H$5:$H$1000,$S$5:$S$1000,$S146,$V$5:$V$1000,"Macro")/COUNTIFS($S$5:$S$1000,$S146,$V$5:$V$1000,"Macro",$H$5:$H$1000,"&gt;0"))/(COUNTIFS($S$5:$S$1000,$S146,$V$5:$V$1000,"Macro")*SUMIFS($H$5:$H$1000,$S$5:$S$1000,$S146,$V$5:$V$1000,"Macro")/COUNTIFS($S$5:$S$1000,$S146,$V$5:$V$1000,"Macro",$H$5:$H$1000,"&gt;0"))))</f>
        <v/>
      </c>
      <c r="AH146" s="62" t="n"/>
      <c r="AI146" s="62" t="n"/>
      <c r="AJ146" s="62" t="n"/>
      <c r="AK146" s="62" t="n"/>
      <c r="AL146" s="62">
        <f>IF(LEFT($C146,11)="[Jefatura] ",IFERROR(MATCH("Riesgo Operacional|"&amp;MID($C146,12,500),rDname_ADM,0),0),"")</f>
        <v/>
      </c>
      <c r="AM146" s="62">
        <f>IF(N($AL146)&gt;0,INDEX(rIni_ADM,$AL146),IF(ISNUMBER($E146),$E146,""))</f>
        <v/>
      </c>
      <c r="AN146" s="62">
        <f>IF(N($AL146)&gt;0,INDEX(rLim_ADM,$AL146),IF(ISNUMBER($F146),$F146,""))</f>
        <v/>
      </c>
    </row>
    <row r="147">
      <c r="A147" s="56">
        <f>IF(NOT((COUNTA($B147:$D147)+COUNTA($G147:$L147)+COUNTA($Q147))&gt;0),"",IF($V147="Macro",COUNTIFS($V$5:$V147,"Macro",$S$5:$S147,$S147),IF(N($U147)=0,"?",COUNTIFS(INDEX($V$5:$V$1000,1):INDEX($V$5:$V$1000,$U147-4),"Macro",INDEX($S$5:$S$1000,1):INDEX($S$5:$S$1000,$U147-4),INDEX($S$5:$S$1000,$U147-4))&amp;"."&amp;COUNTIFS($U$5:$U147,$U147,$V$5:$V147,"Sub"))))</f>
        <v/>
      </c>
      <c r="B147" s="57" t="n"/>
      <c r="C147" s="58" t="n"/>
      <c r="D147" s="58" t="n"/>
      <c r="E147" s="59">
        <f>IF(N($AL147)&gt;0,INDEX(rIni_ADM,$AL147),"")</f>
        <v/>
      </c>
      <c r="F147" s="59">
        <f>IF(N($AL147)&gt;0,INDEX(rLim_ADM,$AL147),"")</f>
        <v/>
      </c>
      <c r="G147" s="59" t="n"/>
      <c r="H147" s="60" t="n"/>
      <c r="I147" s="60" t="n"/>
      <c r="J147" s="60" t="n"/>
      <c r="K147" s="60" t="n"/>
      <c r="L147" s="60" t="n"/>
      <c r="M147" s="61">
        <f>IF(NOT((COUNTA($B147:$D147)+COUNTA($G147:$L147)+COUNTA($Q147))&gt;0),"",IF($V147="Sub",IFERROR($X147/INDEX($W$5:$W$1000,$U147-4),""),IF(ISNUMBER($G147),1,IF(N($W147)&gt;0,AVERAGEIFS($X$5:$X$1000,$U$5:$U$1000,ROW(),$V$5:$V$1000,"Sub"),$X147))))</f>
        <v/>
      </c>
      <c r="N147" s="56">
        <f>IF(OR($M147="",$V147="Sub"),"",IF($M147&gt;=1,"Completado",IF($M147&gt;0,"En curso","Pendiente")))</f>
        <v/>
      </c>
      <c r="O147" s="56">
        <f>IF(OR(NOT((COUNTA($B147:$D147)+COUNTA($G147:$L147)+COUNTA($Q147))&gt;0),$V147="Sub"),"",IF(ISNUMBER($G147),IF(AND(ISNUMBER($AN147),$G147&gt;$AN147),"Cumplida con "&amp;($G147-$AN147)&amp;IF($G147-$AN147=1," día"," días")&amp;" de retraso","Cumplida"),IF(N($M147)&gt;=1,"Cumplida",IF(NOT(ISNUMBER($AN147)),"Sin fecha límite",IF($AN147&lt;FechaRef,"Vencida hace "&amp;(FechaRef-$AN147)&amp;IF(FechaRef-$AN147=1," día"," días"),IF($AN147=FechaRef,"Vence hoy",IF($AN147-FechaRef&lt;=DiasAlerta,"Vence en "&amp;($AN147-FechaRef)&amp;IF($AN147-FechaRef=1," día"," días"),"En plazo")))))))</f>
        <v/>
      </c>
      <c r="P147" s="62" t="n"/>
      <c r="Q147" s="58" t="n"/>
      <c r="R147" s="63">
        <f>IF(NOT((COUNTA($B147:$D147)+COUNTA($G147:$L147)+COUNTA($Q147))&gt;0),"",IF((IF($C147="","Falta el nombre de la actividad"&amp;" · ","")&amp;IF(AND($V147="Sub",N($U147)=0),"Subactividad sin macroactividad arriba"&amp;" · ","")&amp;IF($AM147="","Sin fecha de inicio"&amp;" · ","")&amp;IF($AN147="","Sin fecha límite"&amp;" · ","")&amp;IF(AND(LEFT($C147,11)="[Jefatura] ",N($AL147)=0),"No se encuentra en la hoja de la jefatura (elíjala de nuevo en la lista)"&amp;" · ","")&amp;IF(OR(AND($E147&lt;&gt;"",NOT(ISNUMBER($E147))),AND($F147&lt;&gt;"",NOT(ISNUMBER($F147))),AND($G147&lt;&gt;"",NOT(ISNUMBER($G147)))),"Fecha no válida"&amp;" · ","")&amp;IF(AND(ISNUMBER($AM147),ISNUMBER($AN147),$AM147&gt;$AN147),"Inicio posterior a fecha límite"&amp;" · ","")&amp;IF(AND($V147="Macro",$H147&lt;&gt;"",OR(NOT(ISNUMBER($H147)),$H147&lt;0,$H147&gt;1)),"Peso fuera de rango"&amp;" · ","")&amp;IF(AND($V147="Sub",$H147&lt;&gt;""),"Las subactividades no llevan peso (valen igual dentro de su macroactividad)"&amp;" · ","")&amp;IF(AND(N($W147)&gt;0,COUNT($I147:$L147)&gt;0),"Con subactividades: deje vacías las semanas (se calculan solas)"&amp;" · ","")&amp;IF((COUNTIF($I147:$L147,"&gt;1")+COUNTIF($I147:$L147,"&lt;0")+COUNTA($I147:$L147)-COUNT($I147:$L147))&gt;0,"Avance fuera de rango 0-100%"&amp;" · ","")&amp;IF(OR(AND($J147&lt;&gt;"",$J147&lt;$I147),AND($K147&lt;&gt;"",$K147&lt;MAX($I147:$J147)),AND($L147&lt;&gt;"",$L147&lt;MAX($I147:$K147))),"Avance semanal decreciente"&amp;" · ","")&amp;IF(AND(ISNUMBER($AN147),$AN147&lt;FechaRef,IF($V147="Sub",N($X147),N($M147))&lt;1),"Vencida"&amp;" · ","")&amp;IF(AND(ObsObligatoria="Sí",ISNUMBER($AN147),$AN147&lt;FechaRef,IF($V147="Sub",N($X147),N($M147))&lt;1,$Q147=""),"Vencida sin observación"&amp;" · ",""))="","✔ OK","⚠ "&amp;LEFT(IF($C147="","Falta el nombre de la actividad"&amp;" · ","")&amp;IF(AND($V147="Sub",N($U147)=0),"Subactividad sin macroactividad arriba"&amp;" · ","")&amp;IF($AM147="","Sin fecha de inicio"&amp;" · ","")&amp;IF($AN147="","Sin fecha límite"&amp;" · ","")&amp;IF(AND(LEFT($C147,11)="[Jefatura] ",N($AL147)=0),"No se encuentra en la hoja de la jefatura (elíjala de nuevo en la lista)"&amp;" · ","")&amp;IF(OR(AND($E147&lt;&gt;"",NOT(ISNUMBER($E147))),AND($F147&lt;&gt;"",NOT(ISNUMBER($F147))),AND($G147&lt;&gt;"",NOT(ISNUMBER($G147)))),"Fecha no válida"&amp;" · ","")&amp;IF(AND(ISNUMBER($AM147),ISNUMBER($AN147),$AM147&gt;$AN147),"Inicio posterior a fecha límite"&amp;" · ","")&amp;IF(AND($V147="Macro",$H147&lt;&gt;"",OR(NOT(ISNUMBER($H147)),$H147&lt;0,$H147&gt;1)),"Peso fuera de rango"&amp;" · ","")&amp;IF(AND($V147="Sub",$H147&lt;&gt;""),"Las subactividades no llevan peso (valen igual dentro de su macroactividad)"&amp;" · ","")&amp;IF(AND(N($W147)&gt;0,COUNT($I147:$L147)&gt;0),"Con subactividades: deje vacías las semanas (se calculan solas)"&amp;" · ","")&amp;IF((COUNTIF($I147:$L147,"&gt;1")+COUNTIF($I147:$L147,"&lt;0")+COUNTA($I147:$L147)-COUNT($I147:$L147))&gt;0,"Avance fuera de rango 0-100%"&amp;" · ","")&amp;IF(OR(AND($J147&lt;&gt;"",$J147&lt;$I147),AND($K147&lt;&gt;"",$K147&lt;MAX($I147:$J147)),AND($L147&lt;&gt;"",$L147&lt;MAX($I147:$K147))),"Avance semanal decreciente"&amp;" · ","")&amp;IF(AND(ISNUMBER($AN147),$AN147&lt;FechaRef,IF($V147="Sub",N($X147),N($M147))&lt;1),"Vencida"&amp;" · ","")&amp;IF(AND(ObsObligatoria="Sí",ISNUMBER($AN147),$AN147&lt;FechaRef,IF($V147="Sub",N($X147),N($M147))&lt;1,$Q147=""),"Vencida sin observación"&amp;" · ",""),LEN(IF($C147="","Falta el nombre de la actividad"&amp;" · ","")&amp;IF(AND($V147="Sub",N($U147)=0),"Subactividad sin macroactividad arriba"&amp;" · ","")&amp;IF($AM147="","Sin fecha de inicio"&amp;" · ","")&amp;IF($AN147="","Sin fecha límite"&amp;" · ","")&amp;IF(AND(LEFT($C147,11)="[Jefatura] ",N($AL147)=0),"No se encuentra en la hoja de la jefatura (elíjala de nuevo en la lista)"&amp;" · ","")&amp;IF(OR(AND($E147&lt;&gt;"",NOT(ISNUMBER($E147))),AND($F147&lt;&gt;"",NOT(ISNUMBER($F147))),AND($G147&lt;&gt;"",NOT(ISNUMBER($G147)))),"Fecha no válida"&amp;" · ","")&amp;IF(AND(ISNUMBER($AM147),ISNUMBER($AN147),$AM147&gt;$AN147),"Inicio posterior a fecha límite"&amp;" · ","")&amp;IF(AND($V147="Macro",$H147&lt;&gt;"",OR(NOT(ISNUMBER($H147)),$H147&lt;0,$H147&gt;1)),"Peso fuera de rango"&amp;" · ","")&amp;IF(AND($V147="Sub",$H147&lt;&gt;""),"Las subactividades no llevan peso (valen igual dentro de su macroactividad)"&amp;" · ","")&amp;IF(AND(N($W147)&gt;0,COUNT($I147:$L147)&gt;0),"Con subactividades: deje vacías las semanas (se calculan solas)"&amp;" · ","")&amp;IF((COUNTIF($I147:$L147,"&gt;1")+COUNTIF($I147:$L147,"&lt;0")+COUNTA($I147:$L147)-COUNT($I147:$L147))&gt;0,"Avance fuera de rango 0-100%"&amp;" · ","")&amp;IF(OR(AND($J147&lt;&gt;"",$J147&lt;$I147),AND($K147&lt;&gt;"",$K147&lt;MAX($I147:$J147)),AND($L147&lt;&gt;"",$L147&lt;MAX($I147:$K147))),"Avance semanal decreciente"&amp;" · ","")&amp;IF(AND(ISNUMBER($AN147),$AN147&lt;FechaRef,IF($V147="Sub",N($X147),N($M147))&lt;1),"Vencida"&amp;" · ","")&amp;IF(AND(ObsObligatoria="Sí",ISNUMBER($AN147),$AN147&lt;FechaRef,IF($V147="Sub",N($X147),N($M147))&lt;1,$Q147=""),"Vencida sin observación"&amp;" · ",""))-3)))</f>
        <v/>
      </c>
      <c r="S147" s="64">
        <f>IF(NOT((COUNTA($B147:$D147)+COUNTA($G147:$L147)+COUNTA($Q147))&gt;0),"",IF(AND($V147="Sub",N($U147)&gt;0),IF(ISNUMBER(INDEX($AM$5:$AM$1000,$U147-4)),DATE(YEAR(INDEX($AM$5:$AM$1000,$U147-4)),MONTH(INDEX($AM$5:$AM$1000,$U147-4)),1),IF(ISNUMBER(INDEX($AN$5:$AN$1000,$U147-4)),DATE(YEAR(INDEX($AN$5:$AN$1000,$U147-4)),MONTH(INDEX($AN$5:$AN$1000,$U147-4)),1),MesCiclo)),IF(ISNUMBER($AM147),DATE(YEAR($AM147),MONTH($AM147),1),IF(ISNUMBER($AN147),DATE(YEAR($AN147),MONTH($AN147),1),MesCiclo))))</f>
        <v/>
      </c>
      <c r="T147" s="62">
        <f>IF(OR($S147="",$S147&lt;&gt;MesCiclo,$V147&lt;&gt;"Macro"),"",COUNTIFS($S$5:$S147,MesCiclo,$V$5:$V147,"Macro"))</f>
        <v/>
      </c>
      <c r="U147" s="62">
        <f>IF($V147="","",IF($V147="Macro",ROW(),IFERROR(LOOKUP(2,1/($V$5:$V147="Macro"),ROW($V$5:$V147)),0)))</f>
        <v/>
      </c>
      <c r="V147" s="62">
        <f>IF(NOT((COUNTA($B147:$D147)+COUNTA($G147:$L147)+COUNTA($Q147))&gt;0),"",IF($B147="Subactividad","Sub","Macro"))</f>
        <v/>
      </c>
      <c r="W147" s="62">
        <f>IF($V147="Macro",COUNTIFS($U$5:$U$1000,ROW(),$V$5:$V$1000,"Sub"),"")</f>
        <v/>
      </c>
      <c r="X147" s="62">
        <f>IF($V147="","",IF(ISNUMBER($G147),1,IFERROR(LOOKUP(2,1/($I147:$L147&lt;&gt;""),$I147:$L147),0)))</f>
        <v/>
      </c>
      <c r="Y147" s="62">
        <f>IF($V147="","",IF(AND(ISNUMBER($G147),$G147&lt;=IF($S147=MesCiclo,InicioCiclo,$S147+MOD(2-WEEKDAY($S147),7))+6),1,IF(ISNUMBER($I147),$I147,0)))</f>
        <v/>
      </c>
      <c r="Z147" s="62">
        <f>IF($V147="","",IF(AND(ISNUMBER($G147),$G147&lt;=IF($S147=MesCiclo,InicioCiclo,$S147+MOD(2-WEEKDAY($S147),7))+13),1,IF(ISNUMBER($J147),$J147,$Y147)))</f>
        <v/>
      </c>
      <c r="AA147" s="62">
        <f>IF($V147="","",IF(AND(ISNUMBER($G147),$G147&lt;=IF($S147=MesCiclo,InicioCiclo,$S147+MOD(2-WEEKDAY($S147),7))+20),1,IF(ISNUMBER($K147),$K147,$Z147)))</f>
        <v/>
      </c>
      <c r="AB147" s="62">
        <f>IF($V147="","",IF(AND(ISNUMBER($G147),$G147&lt;=IF($S147=MesCiclo,InicioCiclo,$S147+MOD(2-WEEKDAY($S147),7))+27),1,IF(ISNUMBER($L147),$L147,$AA147)))</f>
        <v/>
      </c>
      <c r="AC147" s="62">
        <f>IF($V147="","",IF(AND(ISNUMBER($G147),$G147&lt;=IF($S147=MesCiclo,InicioCiclo,$S147+MOD(2-WEEKDAY($S147),7))+6),1,IF(N($W147)&gt;0,AVERAGEIFS($Y$5:$Y$1000,$U$5:$U$1000,ROW(),$V$5:$V$1000,"Sub"),$Y147)))</f>
        <v/>
      </c>
      <c r="AD147" s="62">
        <f>IF($V147="","",IF(AND(ISNUMBER($G147),$G147&lt;=IF($S147=MesCiclo,InicioCiclo,$S147+MOD(2-WEEKDAY($S147),7))+13),1,IF(N($W147)&gt;0,AVERAGEIFS($Z$5:$Z$1000,$U$5:$U$1000,ROW(),$V$5:$V$1000,"Sub"),$Z147)))</f>
        <v/>
      </c>
      <c r="AE147" s="62">
        <f>IF($V147="","",IF(AND(ISNUMBER($G147),$G147&lt;=IF($S147=MesCiclo,InicioCiclo,$S147+MOD(2-WEEKDAY($S147),7))+20),1,IF(N($W147)&gt;0,AVERAGEIFS($AA$5:$AA$1000,$U$5:$U$1000,ROW(),$V$5:$V$1000,"Sub"),$AA147)))</f>
        <v/>
      </c>
      <c r="AF147" s="62">
        <f>IF($V147="","",IF(AND(ISNUMBER($G147),$G147&lt;=IF($S147=MesCiclo,InicioCiclo,$S147+MOD(2-WEEKDAY($S147),7))+27),1,IF(N($W147)&gt;0,AVERAGEIFS($AB$5:$AB$1000,$U$5:$U$1000,ROW(),$V$5:$V$1000,"Sub"),$AB147)))</f>
        <v/>
      </c>
      <c r="AG147" s="62">
        <f>IF($V147&lt;&gt;"Macro","",IF(COUNTIFS($S$5:$S$1000,$S147,$V$5:$V$1000,"Macro",$H$5:$H$1000,"&gt;0")=0,1/COUNTIFS($S$5:$S$1000,$S147,$V$5:$V$1000,"Macro"),IF(AND(ISNUMBER($H147),N($H147)&gt;0),$H147,SUMIFS($H$5:$H$1000,$S$5:$S$1000,$S147,$V$5:$V$1000,"Macro")/COUNTIFS($S$5:$S$1000,$S147,$V$5:$V$1000,"Macro",$H$5:$H$1000,"&gt;0"))/(COUNTIFS($S$5:$S$1000,$S147,$V$5:$V$1000,"Macro")*SUMIFS($H$5:$H$1000,$S$5:$S$1000,$S147,$V$5:$V$1000,"Macro")/COUNTIFS($S$5:$S$1000,$S147,$V$5:$V$1000,"Macro",$H$5:$H$1000,"&gt;0"))))</f>
        <v/>
      </c>
      <c r="AH147" s="62" t="n"/>
      <c r="AI147" s="62" t="n"/>
      <c r="AJ147" s="62" t="n"/>
      <c r="AK147" s="62" t="n"/>
      <c r="AL147" s="62">
        <f>IF(LEFT($C147,11)="[Jefatura] ",IFERROR(MATCH("Riesgo Operacional|"&amp;MID($C147,12,500),rDname_ADM,0),0),"")</f>
        <v/>
      </c>
      <c r="AM147" s="62">
        <f>IF(N($AL147)&gt;0,INDEX(rIni_ADM,$AL147),IF(ISNUMBER($E147),$E147,""))</f>
        <v/>
      </c>
      <c r="AN147" s="62">
        <f>IF(N($AL147)&gt;0,INDEX(rLim_ADM,$AL147),IF(ISNUMBER($F147),$F147,""))</f>
        <v/>
      </c>
    </row>
    <row r="148">
      <c r="A148" s="56">
        <f>IF(NOT((COUNTA($B148:$D148)+COUNTA($G148:$L148)+COUNTA($Q148))&gt;0),"",IF($V148="Macro",COUNTIFS($V$5:$V148,"Macro",$S$5:$S148,$S148),IF(N($U148)=0,"?",COUNTIFS(INDEX($V$5:$V$1000,1):INDEX($V$5:$V$1000,$U148-4),"Macro",INDEX($S$5:$S$1000,1):INDEX($S$5:$S$1000,$U148-4),INDEX($S$5:$S$1000,$U148-4))&amp;"."&amp;COUNTIFS($U$5:$U148,$U148,$V$5:$V148,"Sub"))))</f>
        <v/>
      </c>
      <c r="B148" s="57" t="n"/>
      <c r="C148" s="58" t="n"/>
      <c r="D148" s="58" t="n"/>
      <c r="E148" s="59">
        <f>IF(N($AL148)&gt;0,INDEX(rIni_ADM,$AL148),"")</f>
        <v/>
      </c>
      <c r="F148" s="59">
        <f>IF(N($AL148)&gt;0,INDEX(rLim_ADM,$AL148),"")</f>
        <v/>
      </c>
      <c r="G148" s="59" t="n"/>
      <c r="H148" s="60" t="n"/>
      <c r="I148" s="60" t="n"/>
      <c r="J148" s="60" t="n"/>
      <c r="K148" s="60" t="n"/>
      <c r="L148" s="60" t="n"/>
      <c r="M148" s="61">
        <f>IF(NOT((COUNTA($B148:$D148)+COUNTA($G148:$L148)+COUNTA($Q148))&gt;0),"",IF($V148="Sub",IFERROR($X148/INDEX($W$5:$W$1000,$U148-4),""),IF(ISNUMBER($G148),1,IF(N($W148)&gt;0,AVERAGEIFS($X$5:$X$1000,$U$5:$U$1000,ROW(),$V$5:$V$1000,"Sub"),$X148))))</f>
        <v/>
      </c>
      <c r="N148" s="56">
        <f>IF(OR($M148="",$V148="Sub"),"",IF($M148&gt;=1,"Completado",IF($M148&gt;0,"En curso","Pendiente")))</f>
        <v/>
      </c>
      <c r="O148" s="56">
        <f>IF(OR(NOT((COUNTA($B148:$D148)+COUNTA($G148:$L148)+COUNTA($Q148))&gt;0),$V148="Sub"),"",IF(ISNUMBER($G148),IF(AND(ISNUMBER($AN148),$G148&gt;$AN148),"Cumplida con "&amp;($G148-$AN148)&amp;IF($G148-$AN148=1," día"," días")&amp;" de retraso","Cumplida"),IF(N($M148)&gt;=1,"Cumplida",IF(NOT(ISNUMBER($AN148)),"Sin fecha límite",IF($AN148&lt;FechaRef,"Vencida hace "&amp;(FechaRef-$AN148)&amp;IF(FechaRef-$AN148=1," día"," días"),IF($AN148=FechaRef,"Vence hoy",IF($AN148-FechaRef&lt;=DiasAlerta,"Vence en "&amp;($AN148-FechaRef)&amp;IF($AN148-FechaRef=1," día"," días"),"En plazo")))))))</f>
        <v/>
      </c>
      <c r="P148" s="62" t="n"/>
      <c r="Q148" s="58" t="n"/>
      <c r="R148" s="63">
        <f>IF(NOT((COUNTA($B148:$D148)+COUNTA($G148:$L148)+COUNTA($Q148))&gt;0),"",IF((IF($C148="","Falta el nombre de la actividad"&amp;" · ","")&amp;IF(AND($V148="Sub",N($U148)=0),"Subactividad sin macroactividad arriba"&amp;" · ","")&amp;IF($AM148="","Sin fecha de inicio"&amp;" · ","")&amp;IF($AN148="","Sin fecha límite"&amp;" · ","")&amp;IF(AND(LEFT($C148,11)="[Jefatura] ",N($AL148)=0),"No se encuentra en la hoja de la jefatura (elíjala de nuevo en la lista)"&amp;" · ","")&amp;IF(OR(AND($E148&lt;&gt;"",NOT(ISNUMBER($E148))),AND($F148&lt;&gt;"",NOT(ISNUMBER($F148))),AND($G148&lt;&gt;"",NOT(ISNUMBER($G148)))),"Fecha no válida"&amp;" · ","")&amp;IF(AND(ISNUMBER($AM148),ISNUMBER($AN148),$AM148&gt;$AN148),"Inicio posterior a fecha límite"&amp;" · ","")&amp;IF(AND($V148="Macro",$H148&lt;&gt;"",OR(NOT(ISNUMBER($H148)),$H148&lt;0,$H148&gt;1)),"Peso fuera de rango"&amp;" · ","")&amp;IF(AND($V148="Sub",$H148&lt;&gt;""),"Las subactividades no llevan peso (valen igual dentro de su macroactividad)"&amp;" · ","")&amp;IF(AND(N($W148)&gt;0,COUNT($I148:$L148)&gt;0),"Con subactividades: deje vacías las semanas (se calculan solas)"&amp;" · ","")&amp;IF((COUNTIF($I148:$L148,"&gt;1")+COUNTIF($I148:$L148,"&lt;0")+COUNTA($I148:$L148)-COUNT($I148:$L148))&gt;0,"Avance fuera de rango 0-100%"&amp;" · ","")&amp;IF(OR(AND($J148&lt;&gt;"",$J148&lt;$I148),AND($K148&lt;&gt;"",$K148&lt;MAX($I148:$J148)),AND($L148&lt;&gt;"",$L148&lt;MAX($I148:$K148))),"Avance semanal decreciente"&amp;" · ","")&amp;IF(AND(ISNUMBER($AN148),$AN148&lt;FechaRef,IF($V148="Sub",N($X148),N($M148))&lt;1),"Vencida"&amp;" · ","")&amp;IF(AND(ObsObligatoria="Sí",ISNUMBER($AN148),$AN148&lt;FechaRef,IF($V148="Sub",N($X148),N($M148))&lt;1,$Q148=""),"Vencida sin observación"&amp;" · ",""))="","✔ OK","⚠ "&amp;LEFT(IF($C148="","Falta el nombre de la actividad"&amp;" · ","")&amp;IF(AND($V148="Sub",N($U148)=0),"Subactividad sin macroactividad arriba"&amp;" · ","")&amp;IF($AM148="","Sin fecha de inicio"&amp;" · ","")&amp;IF($AN148="","Sin fecha límite"&amp;" · ","")&amp;IF(AND(LEFT($C148,11)="[Jefatura] ",N($AL148)=0),"No se encuentra en la hoja de la jefatura (elíjala de nuevo en la lista)"&amp;" · ","")&amp;IF(OR(AND($E148&lt;&gt;"",NOT(ISNUMBER($E148))),AND($F148&lt;&gt;"",NOT(ISNUMBER($F148))),AND($G148&lt;&gt;"",NOT(ISNUMBER($G148)))),"Fecha no válida"&amp;" · ","")&amp;IF(AND(ISNUMBER($AM148),ISNUMBER($AN148),$AM148&gt;$AN148),"Inicio posterior a fecha límite"&amp;" · ","")&amp;IF(AND($V148="Macro",$H148&lt;&gt;"",OR(NOT(ISNUMBER($H148)),$H148&lt;0,$H148&gt;1)),"Peso fuera de rango"&amp;" · ","")&amp;IF(AND($V148="Sub",$H148&lt;&gt;""),"Las subactividades no llevan peso (valen igual dentro de su macroactividad)"&amp;" · ","")&amp;IF(AND(N($W148)&gt;0,COUNT($I148:$L148)&gt;0),"Con subactividades: deje vacías las semanas (se calculan solas)"&amp;" · ","")&amp;IF((COUNTIF($I148:$L148,"&gt;1")+COUNTIF($I148:$L148,"&lt;0")+COUNTA($I148:$L148)-COUNT($I148:$L148))&gt;0,"Avance fuera de rango 0-100%"&amp;" · ","")&amp;IF(OR(AND($J148&lt;&gt;"",$J148&lt;$I148),AND($K148&lt;&gt;"",$K148&lt;MAX($I148:$J148)),AND($L148&lt;&gt;"",$L148&lt;MAX($I148:$K148))),"Avance semanal decreciente"&amp;" · ","")&amp;IF(AND(ISNUMBER($AN148),$AN148&lt;FechaRef,IF($V148="Sub",N($X148),N($M148))&lt;1),"Vencida"&amp;" · ","")&amp;IF(AND(ObsObligatoria="Sí",ISNUMBER($AN148),$AN148&lt;FechaRef,IF($V148="Sub",N($X148),N($M148))&lt;1,$Q148=""),"Vencida sin observación"&amp;" · ",""),LEN(IF($C148="","Falta el nombre de la actividad"&amp;" · ","")&amp;IF(AND($V148="Sub",N($U148)=0),"Subactividad sin macroactividad arriba"&amp;" · ","")&amp;IF($AM148="","Sin fecha de inicio"&amp;" · ","")&amp;IF($AN148="","Sin fecha límite"&amp;" · ","")&amp;IF(AND(LEFT($C148,11)="[Jefatura] ",N($AL148)=0),"No se encuentra en la hoja de la jefatura (elíjala de nuevo en la lista)"&amp;" · ","")&amp;IF(OR(AND($E148&lt;&gt;"",NOT(ISNUMBER($E148))),AND($F148&lt;&gt;"",NOT(ISNUMBER($F148))),AND($G148&lt;&gt;"",NOT(ISNUMBER($G148)))),"Fecha no válida"&amp;" · ","")&amp;IF(AND(ISNUMBER($AM148),ISNUMBER($AN148),$AM148&gt;$AN148),"Inicio posterior a fecha límite"&amp;" · ","")&amp;IF(AND($V148="Macro",$H148&lt;&gt;"",OR(NOT(ISNUMBER($H148)),$H148&lt;0,$H148&gt;1)),"Peso fuera de rango"&amp;" · ","")&amp;IF(AND($V148="Sub",$H148&lt;&gt;""),"Las subactividades no llevan peso (valen igual dentro de su macroactividad)"&amp;" · ","")&amp;IF(AND(N($W148)&gt;0,COUNT($I148:$L148)&gt;0),"Con subactividades: deje vacías las semanas (se calculan solas)"&amp;" · ","")&amp;IF((COUNTIF($I148:$L148,"&gt;1")+COUNTIF($I148:$L148,"&lt;0")+COUNTA($I148:$L148)-COUNT($I148:$L148))&gt;0,"Avance fuera de rango 0-100%"&amp;" · ","")&amp;IF(OR(AND($J148&lt;&gt;"",$J148&lt;$I148),AND($K148&lt;&gt;"",$K148&lt;MAX($I148:$J148)),AND($L148&lt;&gt;"",$L148&lt;MAX($I148:$K148))),"Avance semanal decreciente"&amp;" · ","")&amp;IF(AND(ISNUMBER($AN148),$AN148&lt;FechaRef,IF($V148="Sub",N($X148),N($M148))&lt;1),"Vencida"&amp;" · ","")&amp;IF(AND(ObsObligatoria="Sí",ISNUMBER($AN148),$AN148&lt;FechaRef,IF($V148="Sub",N($X148),N($M148))&lt;1,$Q148=""),"Vencida sin observación"&amp;" · ",""))-3)))</f>
        <v/>
      </c>
      <c r="S148" s="64">
        <f>IF(NOT((COUNTA($B148:$D148)+COUNTA($G148:$L148)+COUNTA($Q148))&gt;0),"",IF(AND($V148="Sub",N($U148)&gt;0),IF(ISNUMBER(INDEX($AM$5:$AM$1000,$U148-4)),DATE(YEAR(INDEX($AM$5:$AM$1000,$U148-4)),MONTH(INDEX($AM$5:$AM$1000,$U148-4)),1),IF(ISNUMBER(INDEX($AN$5:$AN$1000,$U148-4)),DATE(YEAR(INDEX($AN$5:$AN$1000,$U148-4)),MONTH(INDEX($AN$5:$AN$1000,$U148-4)),1),MesCiclo)),IF(ISNUMBER($AM148),DATE(YEAR($AM148),MONTH($AM148),1),IF(ISNUMBER($AN148),DATE(YEAR($AN148),MONTH($AN148),1),MesCiclo))))</f>
        <v/>
      </c>
      <c r="T148" s="62">
        <f>IF(OR($S148="",$S148&lt;&gt;MesCiclo,$V148&lt;&gt;"Macro"),"",COUNTIFS($S$5:$S148,MesCiclo,$V$5:$V148,"Macro"))</f>
        <v/>
      </c>
      <c r="U148" s="62">
        <f>IF($V148="","",IF($V148="Macro",ROW(),IFERROR(LOOKUP(2,1/($V$5:$V148="Macro"),ROW($V$5:$V148)),0)))</f>
        <v/>
      </c>
      <c r="V148" s="62">
        <f>IF(NOT((COUNTA($B148:$D148)+COUNTA($G148:$L148)+COUNTA($Q148))&gt;0),"",IF($B148="Subactividad","Sub","Macro"))</f>
        <v/>
      </c>
      <c r="W148" s="62">
        <f>IF($V148="Macro",COUNTIFS($U$5:$U$1000,ROW(),$V$5:$V$1000,"Sub"),"")</f>
        <v/>
      </c>
      <c r="X148" s="62">
        <f>IF($V148="","",IF(ISNUMBER($G148),1,IFERROR(LOOKUP(2,1/($I148:$L148&lt;&gt;""),$I148:$L148),0)))</f>
        <v/>
      </c>
      <c r="Y148" s="62">
        <f>IF($V148="","",IF(AND(ISNUMBER($G148),$G148&lt;=IF($S148=MesCiclo,InicioCiclo,$S148+MOD(2-WEEKDAY($S148),7))+6),1,IF(ISNUMBER($I148),$I148,0)))</f>
        <v/>
      </c>
      <c r="Z148" s="62">
        <f>IF($V148="","",IF(AND(ISNUMBER($G148),$G148&lt;=IF($S148=MesCiclo,InicioCiclo,$S148+MOD(2-WEEKDAY($S148),7))+13),1,IF(ISNUMBER($J148),$J148,$Y148)))</f>
        <v/>
      </c>
      <c r="AA148" s="62">
        <f>IF($V148="","",IF(AND(ISNUMBER($G148),$G148&lt;=IF($S148=MesCiclo,InicioCiclo,$S148+MOD(2-WEEKDAY($S148),7))+20),1,IF(ISNUMBER($K148),$K148,$Z148)))</f>
        <v/>
      </c>
      <c r="AB148" s="62">
        <f>IF($V148="","",IF(AND(ISNUMBER($G148),$G148&lt;=IF($S148=MesCiclo,InicioCiclo,$S148+MOD(2-WEEKDAY($S148),7))+27),1,IF(ISNUMBER($L148),$L148,$AA148)))</f>
        <v/>
      </c>
      <c r="AC148" s="62">
        <f>IF($V148="","",IF(AND(ISNUMBER($G148),$G148&lt;=IF($S148=MesCiclo,InicioCiclo,$S148+MOD(2-WEEKDAY($S148),7))+6),1,IF(N($W148)&gt;0,AVERAGEIFS($Y$5:$Y$1000,$U$5:$U$1000,ROW(),$V$5:$V$1000,"Sub"),$Y148)))</f>
        <v/>
      </c>
      <c r="AD148" s="62">
        <f>IF($V148="","",IF(AND(ISNUMBER($G148),$G148&lt;=IF($S148=MesCiclo,InicioCiclo,$S148+MOD(2-WEEKDAY($S148),7))+13),1,IF(N($W148)&gt;0,AVERAGEIFS($Z$5:$Z$1000,$U$5:$U$1000,ROW(),$V$5:$V$1000,"Sub"),$Z148)))</f>
        <v/>
      </c>
      <c r="AE148" s="62">
        <f>IF($V148="","",IF(AND(ISNUMBER($G148),$G148&lt;=IF($S148=MesCiclo,InicioCiclo,$S148+MOD(2-WEEKDAY($S148),7))+20),1,IF(N($W148)&gt;0,AVERAGEIFS($AA$5:$AA$1000,$U$5:$U$1000,ROW(),$V$5:$V$1000,"Sub"),$AA148)))</f>
        <v/>
      </c>
      <c r="AF148" s="62">
        <f>IF($V148="","",IF(AND(ISNUMBER($G148),$G148&lt;=IF($S148=MesCiclo,InicioCiclo,$S148+MOD(2-WEEKDAY($S148),7))+27),1,IF(N($W148)&gt;0,AVERAGEIFS($AB$5:$AB$1000,$U$5:$U$1000,ROW(),$V$5:$V$1000,"Sub"),$AB148)))</f>
        <v/>
      </c>
      <c r="AG148" s="62">
        <f>IF($V148&lt;&gt;"Macro","",IF(COUNTIFS($S$5:$S$1000,$S148,$V$5:$V$1000,"Macro",$H$5:$H$1000,"&gt;0")=0,1/COUNTIFS($S$5:$S$1000,$S148,$V$5:$V$1000,"Macro"),IF(AND(ISNUMBER($H148),N($H148)&gt;0),$H148,SUMIFS($H$5:$H$1000,$S$5:$S$1000,$S148,$V$5:$V$1000,"Macro")/COUNTIFS($S$5:$S$1000,$S148,$V$5:$V$1000,"Macro",$H$5:$H$1000,"&gt;0"))/(COUNTIFS($S$5:$S$1000,$S148,$V$5:$V$1000,"Macro")*SUMIFS($H$5:$H$1000,$S$5:$S$1000,$S148,$V$5:$V$1000,"Macro")/COUNTIFS($S$5:$S$1000,$S148,$V$5:$V$1000,"Macro",$H$5:$H$1000,"&gt;0"))))</f>
        <v/>
      </c>
      <c r="AH148" s="62" t="n"/>
      <c r="AI148" s="62" t="n"/>
      <c r="AJ148" s="62" t="n"/>
      <c r="AK148" s="62" t="n"/>
      <c r="AL148" s="62">
        <f>IF(LEFT($C148,11)="[Jefatura] ",IFERROR(MATCH("Riesgo Operacional|"&amp;MID($C148,12,500),rDname_ADM,0),0),"")</f>
        <v/>
      </c>
      <c r="AM148" s="62">
        <f>IF(N($AL148)&gt;0,INDEX(rIni_ADM,$AL148),IF(ISNUMBER($E148),$E148,""))</f>
        <v/>
      </c>
      <c r="AN148" s="62">
        <f>IF(N($AL148)&gt;0,INDEX(rLim_ADM,$AL148),IF(ISNUMBER($F148),$F148,""))</f>
        <v/>
      </c>
    </row>
    <row r="149">
      <c r="A149" s="56">
        <f>IF(NOT((COUNTA($B149:$D149)+COUNTA($G149:$L149)+COUNTA($Q149))&gt;0),"",IF($V149="Macro",COUNTIFS($V$5:$V149,"Macro",$S$5:$S149,$S149),IF(N($U149)=0,"?",COUNTIFS(INDEX($V$5:$V$1000,1):INDEX($V$5:$V$1000,$U149-4),"Macro",INDEX($S$5:$S$1000,1):INDEX($S$5:$S$1000,$U149-4),INDEX($S$5:$S$1000,$U149-4))&amp;"."&amp;COUNTIFS($U$5:$U149,$U149,$V$5:$V149,"Sub"))))</f>
        <v/>
      </c>
      <c r="B149" s="57" t="n"/>
      <c r="C149" s="58" t="n"/>
      <c r="D149" s="58" t="n"/>
      <c r="E149" s="59">
        <f>IF(N($AL149)&gt;0,INDEX(rIni_ADM,$AL149),"")</f>
        <v/>
      </c>
      <c r="F149" s="59">
        <f>IF(N($AL149)&gt;0,INDEX(rLim_ADM,$AL149),"")</f>
        <v/>
      </c>
      <c r="G149" s="59" t="n"/>
      <c r="H149" s="60" t="n"/>
      <c r="I149" s="60" t="n"/>
      <c r="J149" s="60" t="n"/>
      <c r="K149" s="60" t="n"/>
      <c r="L149" s="60" t="n"/>
      <c r="M149" s="61">
        <f>IF(NOT((COUNTA($B149:$D149)+COUNTA($G149:$L149)+COUNTA($Q149))&gt;0),"",IF($V149="Sub",IFERROR($X149/INDEX($W$5:$W$1000,$U149-4),""),IF(ISNUMBER($G149),1,IF(N($W149)&gt;0,AVERAGEIFS($X$5:$X$1000,$U$5:$U$1000,ROW(),$V$5:$V$1000,"Sub"),$X149))))</f>
        <v/>
      </c>
      <c r="N149" s="56">
        <f>IF(OR($M149="",$V149="Sub"),"",IF($M149&gt;=1,"Completado",IF($M149&gt;0,"En curso","Pendiente")))</f>
        <v/>
      </c>
      <c r="O149" s="56">
        <f>IF(OR(NOT((COUNTA($B149:$D149)+COUNTA($G149:$L149)+COUNTA($Q149))&gt;0),$V149="Sub"),"",IF(ISNUMBER($G149),IF(AND(ISNUMBER($AN149),$G149&gt;$AN149),"Cumplida con "&amp;($G149-$AN149)&amp;IF($G149-$AN149=1," día"," días")&amp;" de retraso","Cumplida"),IF(N($M149)&gt;=1,"Cumplida",IF(NOT(ISNUMBER($AN149)),"Sin fecha límite",IF($AN149&lt;FechaRef,"Vencida hace "&amp;(FechaRef-$AN149)&amp;IF(FechaRef-$AN149=1," día"," días"),IF($AN149=FechaRef,"Vence hoy",IF($AN149-FechaRef&lt;=DiasAlerta,"Vence en "&amp;($AN149-FechaRef)&amp;IF($AN149-FechaRef=1," día"," días"),"En plazo")))))))</f>
        <v/>
      </c>
      <c r="P149" s="62" t="n"/>
      <c r="Q149" s="58" t="n"/>
      <c r="R149" s="63">
        <f>IF(NOT((COUNTA($B149:$D149)+COUNTA($G149:$L149)+COUNTA($Q149))&gt;0),"",IF((IF($C149="","Falta el nombre de la actividad"&amp;" · ","")&amp;IF(AND($V149="Sub",N($U149)=0),"Subactividad sin macroactividad arriba"&amp;" · ","")&amp;IF($AM149="","Sin fecha de inicio"&amp;" · ","")&amp;IF($AN149="","Sin fecha límite"&amp;" · ","")&amp;IF(AND(LEFT($C149,11)="[Jefatura] ",N($AL149)=0),"No se encuentra en la hoja de la jefatura (elíjala de nuevo en la lista)"&amp;" · ","")&amp;IF(OR(AND($E149&lt;&gt;"",NOT(ISNUMBER($E149))),AND($F149&lt;&gt;"",NOT(ISNUMBER($F149))),AND($G149&lt;&gt;"",NOT(ISNUMBER($G149)))),"Fecha no válida"&amp;" · ","")&amp;IF(AND(ISNUMBER($AM149),ISNUMBER($AN149),$AM149&gt;$AN149),"Inicio posterior a fecha límite"&amp;" · ","")&amp;IF(AND($V149="Macro",$H149&lt;&gt;"",OR(NOT(ISNUMBER($H149)),$H149&lt;0,$H149&gt;1)),"Peso fuera de rango"&amp;" · ","")&amp;IF(AND($V149="Sub",$H149&lt;&gt;""),"Las subactividades no llevan peso (valen igual dentro de su macroactividad)"&amp;" · ","")&amp;IF(AND(N($W149)&gt;0,COUNT($I149:$L149)&gt;0),"Con subactividades: deje vacías las semanas (se calculan solas)"&amp;" · ","")&amp;IF((COUNTIF($I149:$L149,"&gt;1")+COUNTIF($I149:$L149,"&lt;0")+COUNTA($I149:$L149)-COUNT($I149:$L149))&gt;0,"Avance fuera de rango 0-100%"&amp;" · ","")&amp;IF(OR(AND($J149&lt;&gt;"",$J149&lt;$I149),AND($K149&lt;&gt;"",$K149&lt;MAX($I149:$J149)),AND($L149&lt;&gt;"",$L149&lt;MAX($I149:$K149))),"Avance semanal decreciente"&amp;" · ","")&amp;IF(AND(ISNUMBER($AN149),$AN149&lt;FechaRef,IF($V149="Sub",N($X149),N($M149))&lt;1),"Vencida"&amp;" · ","")&amp;IF(AND(ObsObligatoria="Sí",ISNUMBER($AN149),$AN149&lt;FechaRef,IF($V149="Sub",N($X149),N($M149))&lt;1,$Q149=""),"Vencida sin observación"&amp;" · ",""))="","✔ OK","⚠ "&amp;LEFT(IF($C149="","Falta el nombre de la actividad"&amp;" · ","")&amp;IF(AND($V149="Sub",N($U149)=0),"Subactividad sin macroactividad arriba"&amp;" · ","")&amp;IF($AM149="","Sin fecha de inicio"&amp;" · ","")&amp;IF($AN149="","Sin fecha límite"&amp;" · ","")&amp;IF(AND(LEFT($C149,11)="[Jefatura] ",N($AL149)=0),"No se encuentra en la hoja de la jefatura (elíjala de nuevo en la lista)"&amp;" · ","")&amp;IF(OR(AND($E149&lt;&gt;"",NOT(ISNUMBER($E149))),AND($F149&lt;&gt;"",NOT(ISNUMBER($F149))),AND($G149&lt;&gt;"",NOT(ISNUMBER($G149)))),"Fecha no válida"&amp;" · ","")&amp;IF(AND(ISNUMBER($AM149),ISNUMBER($AN149),$AM149&gt;$AN149),"Inicio posterior a fecha límite"&amp;" · ","")&amp;IF(AND($V149="Macro",$H149&lt;&gt;"",OR(NOT(ISNUMBER($H149)),$H149&lt;0,$H149&gt;1)),"Peso fuera de rango"&amp;" · ","")&amp;IF(AND($V149="Sub",$H149&lt;&gt;""),"Las subactividades no llevan peso (valen igual dentro de su macroactividad)"&amp;" · ","")&amp;IF(AND(N($W149)&gt;0,COUNT($I149:$L149)&gt;0),"Con subactividades: deje vacías las semanas (se calculan solas)"&amp;" · ","")&amp;IF((COUNTIF($I149:$L149,"&gt;1")+COUNTIF($I149:$L149,"&lt;0")+COUNTA($I149:$L149)-COUNT($I149:$L149))&gt;0,"Avance fuera de rango 0-100%"&amp;" · ","")&amp;IF(OR(AND($J149&lt;&gt;"",$J149&lt;$I149),AND($K149&lt;&gt;"",$K149&lt;MAX($I149:$J149)),AND($L149&lt;&gt;"",$L149&lt;MAX($I149:$K149))),"Avance semanal decreciente"&amp;" · ","")&amp;IF(AND(ISNUMBER($AN149),$AN149&lt;FechaRef,IF($V149="Sub",N($X149),N($M149))&lt;1),"Vencida"&amp;" · ","")&amp;IF(AND(ObsObligatoria="Sí",ISNUMBER($AN149),$AN149&lt;FechaRef,IF($V149="Sub",N($X149),N($M149))&lt;1,$Q149=""),"Vencida sin observación"&amp;" · ",""),LEN(IF($C149="","Falta el nombre de la actividad"&amp;" · ","")&amp;IF(AND($V149="Sub",N($U149)=0),"Subactividad sin macroactividad arriba"&amp;" · ","")&amp;IF($AM149="","Sin fecha de inicio"&amp;" · ","")&amp;IF($AN149="","Sin fecha límite"&amp;" · ","")&amp;IF(AND(LEFT($C149,11)="[Jefatura] ",N($AL149)=0),"No se encuentra en la hoja de la jefatura (elíjala de nuevo en la lista)"&amp;" · ","")&amp;IF(OR(AND($E149&lt;&gt;"",NOT(ISNUMBER($E149))),AND($F149&lt;&gt;"",NOT(ISNUMBER($F149))),AND($G149&lt;&gt;"",NOT(ISNUMBER($G149)))),"Fecha no válida"&amp;" · ","")&amp;IF(AND(ISNUMBER($AM149),ISNUMBER($AN149),$AM149&gt;$AN149),"Inicio posterior a fecha límite"&amp;" · ","")&amp;IF(AND($V149="Macro",$H149&lt;&gt;"",OR(NOT(ISNUMBER($H149)),$H149&lt;0,$H149&gt;1)),"Peso fuera de rango"&amp;" · ","")&amp;IF(AND($V149="Sub",$H149&lt;&gt;""),"Las subactividades no llevan peso (valen igual dentro de su macroactividad)"&amp;" · ","")&amp;IF(AND(N($W149)&gt;0,COUNT($I149:$L149)&gt;0),"Con subactividades: deje vacías las semanas (se calculan solas)"&amp;" · ","")&amp;IF((COUNTIF($I149:$L149,"&gt;1")+COUNTIF($I149:$L149,"&lt;0")+COUNTA($I149:$L149)-COUNT($I149:$L149))&gt;0,"Avance fuera de rango 0-100%"&amp;" · ","")&amp;IF(OR(AND($J149&lt;&gt;"",$J149&lt;$I149),AND($K149&lt;&gt;"",$K149&lt;MAX($I149:$J149)),AND($L149&lt;&gt;"",$L149&lt;MAX($I149:$K149))),"Avance semanal decreciente"&amp;" · ","")&amp;IF(AND(ISNUMBER($AN149),$AN149&lt;FechaRef,IF($V149="Sub",N($X149),N($M149))&lt;1),"Vencida"&amp;" · ","")&amp;IF(AND(ObsObligatoria="Sí",ISNUMBER($AN149),$AN149&lt;FechaRef,IF($V149="Sub",N($X149),N($M149))&lt;1,$Q149=""),"Vencida sin observación"&amp;" · ",""))-3)))</f>
        <v/>
      </c>
      <c r="S149" s="64">
        <f>IF(NOT((COUNTA($B149:$D149)+COUNTA($G149:$L149)+COUNTA($Q149))&gt;0),"",IF(AND($V149="Sub",N($U149)&gt;0),IF(ISNUMBER(INDEX($AM$5:$AM$1000,$U149-4)),DATE(YEAR(INDEX($AM$5:$AM$1000,$U149-4)),MONTH(INDEX($AM$5:$AM$1000,$U149-4)),1),IF(ISNUMBER(INDEX($AN$5:$AN$1000,$U149-4)),DATE(YEAR(INDEX($AN$5:$AN$1000,$U149-4)),MONTH(INDEX($AN$5:$AN$1000,$U149-4)),1),MesCiclo)),IF(ISNUMBER($AM149),DATE(YEAR($AM149),MONTH($AM149),1),IF(ISNUMBER($AN149),DATE(YEAR($AN149),MONTH($AN149),1),MesCiclo))))</f>
        <v/>
      </c>
      <c r="T149" s="62">
        <f>IF(OR($S149="",$S149&lt;&gt;MesCiclo,$V149&lt;&gt;"Macro"),"",COUNTIFS($S$5:$S149,MesCiclo,$V$5:$V149,"Macro"))</f>
        <v/>
      </c>
      <c r="U149" s="62">
        <f>IF($V149="","",IF($V149="Macro",ROW(),IFERROR(LOOKUP(2,1/($V$5:$V149="Macro"),ROW($V$5:$V149)),0)))</f>
        <v/>
      </c>
      <c r="V149" s="62">
        <f>IF(NOT((COUNTA($B149:$D149)+COUNTA($G149:$L149)+COUNTA($Q149))&gt;0),"",IF($B149="Subactividad","Sub","Macro"))</f>
        <v/>
      </c>
      <c r="W149" s="62">
        <f>IF($V149="Macro",COUNTIFS($U$5:$U$1000,ROW(),$V$5:$V$1000,"Sub"),"")</f>
        <v/>
      </c>
      <c r="X149" s="62">
        <f>IF($V149="","",IF(ISNUMBER($G149),1,IFERROR(LOOKUP(2,1/($I149:$L149&lt;&gt;""),$I149:$L149),0)))</f>
        <v/>
      </c>
      <c r="Y149" s="62">
        <f>IF($V149="","",IF(AND(ISNUMBER($G149),$G149&lt;=IF($S149=MesCiclo,InicioCiclo,$S149+MOD(2-WEEKDAY($S149),7))+6),1,IF(ISNUMBER($I149),$I149,0)))</f>
        <v/>
      </c>
      <c r="Z149" s="62">
        <f>IF($V149="","",IF(AND(ISNUMBER($G149),$G149&lt;=IF($S149=MesCiclo,InicioCiclo,$S149+MOD(2-WEEKDAY($S149),7))+13),1,IF(ISNUMBER($J149),$J149,$Y149)))</f>
        <v/>
      </c>
      <c r="AA149" s="62">
        <f>IF($V149="","",IF(AND(ISNUMBER($G149),$G149&lt;=IF($S149=MesCiclo,InicioCiclo,$S149+MOD(2-WEEKDAY($S149),7))+20),1,IF(ISNUMBER($K149),$K149,$Z149)))</f>
        <v/>
      </c>
      <c r="AB149" s="62">
        <f>IF($V149="","",IF(AND(ISNUMBER($G149),$G149&lt;=IF($S149=MesCiclo,InicioCiclo,$S149+MOD(2-WEEKDAY($S149),7))+27),1,IF(ISNUMBER($L149),$L149,$AA149)))</f>
        <v/>
      </c>
      <c r="AC149" s="62">
        <f>IF($V149="","",IF(AND(ISNUMBER($G149),$G149&lt;=IF($S149=MesCiclo,InicioCiclo,$S149+MOD(2-WEEKDAY($S149),7))+6),1,IF(N($W149)&gt;0,AVERAGEIFS($Y$5:$Y$1000,$U$5:$U$1000,ROW(),$V$5:$V$1000,"Sub"),$Y149)))</f>
        <v/>
      </c>
      <c r="AD149" s="62">
        <f>IF($V149="","",IF(AND(ISNUMBER($G149),$G149&lt;=IF($S149=MesCiclo,InicioCiclo,$S149+MOD(2-WEEKDAY($S149),7))+13),1,IF(N($W149)&gt;0,AVERAGEIFS($Z$5:$Z$1000,$U$5:$U$1000,ROW(),$V$5:$V$1000,"Sub"),$Z149)))</f>
        <v/>
      </c>
      <c r="AE149" s="62">
        <f>IF($V149="","",IF(AND(ISNUMBER($G149),$G149&lt;=IF($S149=MesCiclo,InicioCiclo,$S149+MOD(2-WEEKDAY($S149),7))+20),1,IF(N($W149)&gt;0,AVERAGEIFS($AA$5:$AA$1000,$U$5:$U$1000,ROW(),$V$5:$V$1000,"Sub"),$AA149)))</f>
        <v/>
      </c>
      <c r="AF149" s="62">
        <f>IF($V149="","",IF(AND(ISNUMBER($G149),$G149&lt;=IF($S149=MesCiclo,InicioCiclo,$S149+MOD(2-WEEKDAY($S149),7))+27),1,IF(N($W149)&gt;0,AVERAGEIFS($AB$5:$AB$1000,$U$5:$U$1000,ROW(),$V$5:$V$1000,"Sub"),$AB149)))</f>
        <v/>
      </c>
      <c r="AG149" s="62">
        <f>IF($V149&lt;&gt;"Macro","",IF(COUNTIFS($S$5:$S$1000,$S149,$V$5:$V$1000,"Macro",$H$5:$H$1000,"&gt;0")=0,1/COUNTIFS($S$5:$S$1000,$S149,$V$5:$V$1000,"Macro"),IF(AND(ISNUMBER($H149),N($H149)&gt;0),$H149,SUMIFS($H$5:$H$1000,$S$5:$S$1000,$S149,$V$5:$V$1000,"Macro")/COUNTIFS($S$5:$S$1000,$S149,$V$5:$V$1000,"Macro",$H$5:$H$1000,"&gt;0"))/(COUNTIFS($S$5:$S$1000,$S149,$V$5:$V$1000,"Macro")*SUMIFS($H$5:$H$1000,$S$5:$S$1000,$S149,$V$5:$V$1000,"Macro")/COUNTIFS($S$5:$S$1000,$S149,$V$5:$V$1000,"Macro",$H$5:$H$1000,"&gt;0"))))</f>
        <v/>
      </c>
      <c r="AH149" s="62" t="n"/>
      <c r="AI149" s="62" t="n"/>
      <c r="AJ149" s="62" t="n"/>
      <c r="AK149" s="62" t="n"/>
      <c r="AL149" s="62">
        <f>IF(LEFT($C149,11)="[Jefatura] ",IFERROR(MATCH("Riesgo Operacional|"&amp;MID($C149,12,500),rDname_ADM,0),0),"")</f>
        <v/>
      </c>
      <c r="AM149" s="62">
        <f>IF(N($AL149)&gt;0,INDEX(rIni_ADM,$AL149),IF(ISNUMBER($E149),$E149,""))</f>
        <v/>
      </c>
      <c r="AN149" s="62">
        <f>IF(N($AL149)&gt;0,INDEX(rLim_ADM,$AL149),IF(ISNUMBER($F149),$F149,""))</f>
        <v/>
      </c>
    </row>
    <row r="150">
      <c r="A150" s="56">
        <f>IF(NOT((COUNTA($B150:$D150)+COUNTA($G150:$L150)+COUNTA($Q150))&gt;0),"",IF($V150="Macro",COUNTIFS($V$5:$V150,"Macro",$S$5:$S150,$S150),IF(N($U150)=0,"?",COUNTIFS(INDEX($V$5:$V$1000,1):INDEX($V$5:$V$1000,$U150-4),"Macro",INDEX($S$5:$S$1000,1):INDEX($S$5:$S$1000,$U150-4),INDEX($S$5:$S$1000,$U150-4))&amp;"."&amp;COUNTIFS($U$5:$U150,$U150,$V$5:$V150,"Sub"))))</f>
        <v/>
      </c>
      <c r="B150" s="57" t="n"/>
      <c r="C150" s="58" t="n"/>
      <c r="D150" s="58" t="n"/>
      <c r="E150" s="59">
        <f>IF(N($AL150)&gt;0,INDEX(rIni_ADM,$AL150),"")</f>
        <v/>
      </c>
      <c r="F150" s="59">
        <f>IF(N($AL150)&gt;0,INDEX(rLim_ADM,$AL150),"")</f>
        <v/>
      </c>
      <c r="G150" s="59" t="n"/>
      <c r="H150" s="60" t="n"/>
      <c r="I150" s="60" t="n"/>
      <c r="J150" s="60" t="n"/>
      <c r="K150" s="60" t="n"/>
      <c r="L150" s="60" t="n"/>
      <c r="M150" s="61">
        <f>IF(NOT((COUNTA($B150:$D150)+COUNTA($G150:$L150)+COUNTA($Q150))&gt;0),"",IF($V150="Sub",IFERROR($X150/INDEX($W$5:$W$1000,$U150-4),""),IF(ISNUMBER($G150),1,IF(N($W150)&gt;0,AVERAGEIFS($X$5:$X$1000,$U$5:$U$1000,ROW(),$V$5:$V$1000,"Sub"),$X150))))</f>
        <v/>
      </c>
      <c r="N150" s="56">
        <f>IF(OR($M150="",$V150="Sub"),"",IF($M150&gt;=1,"Completado",IF($M150&gt;0,"En curso","Pendiente")))</f>
        <v/>
      </c>
      <c r="O150" s="56">
        <f>IF(OR(NOT((COUNTA($B150:$D150)+COUNTA($G150:$L150)+COUNTA($Q150))&gt;0),$V150="Sub"),"",IF(ISNUMBER($G150),IF(AND(ISNUMBER($AN150),$G150&gt;$AN150),"Cumplida con "&amp;($G150-$AN150)&amp;IF($G150-$AN150=1," día"," días")&amp;" de retraso","Cumplida"),IF(N($M150)&gt;=1,"Cumplida",IF(NOT(ISNUMBER($AN150)),"Sin fecha límite",IF($AN150&lt;FechaRef,"Vencida hace "&amp;(FechaRef-$AN150)&amp;IF(FechaRef-$AN150=1," día"," días"),IF($AN150=FechaRef,"Vence hoy",IF($AN150-FechaRef&lt;=DiasAlerta,"Vence en "&amp;($AN150-FechaRef)&amp;IF($AN150-FechaRef=1," día"," días"),"En plazo")))))))</f>
        <v/>
      </c>
      <c r="P150" s="62" t="n"/>
      <c r="Q150" s="58" t="n"/>
      <c r="R150" s="63">
        <f>IF(NOT((COUNTA($B150:$D150)+COUNTA($G150:$L150)+COUNTA($Q150))&gt;0),"",IF((IF($C150="","Falta el nombre de la actividad"&amp;" · ","")&amp;IF(AND($V150="Sub",N($U150)=0),"Subactividad sin macroactividad arriba"&amp;" · ","")&amp;IF($AM150="","Sin fecha de inicio"&amp;" · ","")&amp;IF($AN150="","Sin fecha límite"&amp;" · ","")&amp;IF(AND(LEFT($C150,11)="[Jefatura] ",N($AL150)=0),"No se encuentra en la hoja de la jefatura (elíjala de nuevo en la lista)"&amp;" · ","")&amp;IF(OR(AND($E150&lt;&gt;"",NOT(ISNUMBER($E150))),AND($F150&lt;&gt;"",NOT(ISNUMBER($F150))),AND($G150&lt;&gt;"",NOT(ISNUMBER($G150)))),"Fecha no válida"&amp;" · ","")&amp;IF(AND(ISNUMBER($AM150),ISNUMBER($AN150),$AM150&gt;$AN150),"Inicio posterior a fecha límite"&amp;" · ","")&amp;IF(AND($V150="Macro",$H150&lt;&gt;"",OR(NOT(ISNUMBER($H150)),$H150&lt;0,$H150&gt;1)),"Peso fuera de rango"&amp;" · ","")&amp;IF(AND($V150="Sub",$H150&lt;&gt;""),"Las subactividades no llevan peso (valen igual dentro de su macroactividad)"&amp;" · ","")&amp;IF(AND(N($W150)&gt;0,COUNT($I150:$L150)&gt;0),"Con subactividades: deje vacías las semanas (se calculan solas)"&amp;" · ","")&amp;IF((COUNTIF($I150:$L150,"&gt;1")+COUNTIF($I150:$L150,"&lt;0")+COUNTA($I150:$L150)-COUNT($I150:$L150))&gt;0,"Avance fuera de rango 0-100%"&amp;" · ","")&amp;IF(OR(AND($J150&lt;&gt;"",$J150&lt;$I150),AND($K150&lt;&gt;"",$K150&lt;MAX($I150:$J150)),AND($L150&lt;&gt;"",$L150&lt;MAX($I150:$K150))),"Avance semanal decreciente"&amp;" · ","")&amp;IF(AND(ISNUMBER($AN150),$AN150&lt;FechaRef,IF($V150="Sub",N($X150),N($M150))&lt;1),"Vencida"&amp;" · ","")&amp;IF(AND(ObsObligatoria="Sí",ISNUMBER($AN150),$AN150&lt;FechaRef,IF($V150="Sub",N($X150),N($M150))&lt;1,$Q150=""),"Vencida sin observación"&amp;" · ",""))="","✔ OK","⚠ "&amp;LEFT(IF($C150="","Falta el nombre de la actividad"&amp;" · ","")&amp;IF(AND($V150="Sub",N($U150)=0),"Subactividad sin macroactividad arriba"&amp;" · ","")&amp;IF($AM150="","Sin fecha de inicio"&amp;" · ","")&amp;IF($AN150="","Sin fecha límite"&amp;" · ","")&amp;IF(AND(LEFT($C150,11)="[Jefatura] ",N($AL150)=0),"No se encuentra en la hoja de la jefatura (elíjala de nuevo en la lista)"&amp;" · ","")&amp;IF(OR(AND($E150&lt;&gt;"",NOT(ISNUMBER($E150))),AND($F150&lt;&gt;"",NOT(ISNUMBER($F150))),AND($G150&lt;&gt;"",NOT(ISNUMBER($G150)))),"Fecha no válida"&amp;" · ","")&amp;IF(AND(ISNUMBER($AM150),ISNUMBER($AN150),$AM150&gt;$AN150),"Inicio posterior a fecha límite"&amp;" · ","")&amp;IF(AND($V150="Macro",$H150&lt;&gt;"",OR(NOT(ISNUMBER($H150)),$H150&lt;0,$H150&gt;1)),"Peso fuera de rango"&amp;" · ","")&amp;IF(AND($V150="Sub",$H150&lt;&gt;""),"Las subactividades no llevan peso (valen igual dentro de su macroactividad)"&amp;" · ","")&amp;IF(AND(N($W150)&gt;0,COUNT($I150:$L150)&gt;0),"Con subactividades: deje vacías las semanas (se calculan solas)"&amp;" · ","")&amp;IF((COUNTIF($I150:$L150,"&gt;1")+COUNTIF($I150:$L150,"&lt;0")+COUNTA($I150:$L150)-COUNT($I150:$L150))&gt;0,"Avance fuera de rango 0-100%"&amp;" · ","")&amp;IF(OR(AND($J150&lt;&gt;"",$J150&lt;$I150),AND($K150&lt;&gt;"",$K150&lt;MAX($I150:$J150)),AND($L150&lt;&gt;"",$L150&lt;MAX($I150:$K150))),"Avance semanal decreciente"&amp;" · ","")&amp;IF(AND(ISNUMBER($AN150),$AN150&lt;FechaRef,IF($V150="Sub",N($X150),N($M150))&lt;1),"Vencida"&amp;" · ","")&amp;IF(AND(ObsObligatoria="Sí",ISNUMBER($AN150),$AN150&lt;FechaRef,IF($V150="Sub",N($X150),N($M150))&lt;1,$Q150=""),"Vencida sin observación"&amp;" · ",""),LEN(IF($C150="","Falta el nombre de la actividad"&amp;" · ","")&amp;IF(AND($V150="Sub",N($U150)=0),"Subactividad sin macroactividad arriba"&amp;" · ","")&amp;IF($AM150="","Sin fecha de inicio"&amp;" · ","")&amp;IF($AN150="","Sin fecha límite"&amp;" · ","")&amp;IF(AND(LEFT($C150,11)="[Jefatura] ",N($AL150)=0),"No se encuentra en la hoja de la jefatura (elíjala de nuevo en la lista)"&amp;" · ","")&amp;IF(OR(AND($E150&lt;&gt;"",NOT(ISNUMBER($E150))),AND($F150&lt;&gt;"",NOT(ISNUMBER($F150))),AND($G150&lt;&gt;"",NOT(ISNUMBER($G150)))),"Fecha no válida"&amp;" · ","")&amp;IF(AND(ISNUMBER($AM150),ISNUMBER($AN150),$AM150&gt;$AN150),"Inicio posterior a fecha límite"&amp;" · ","")&amp;IF(AND($V150="Macro",$H150&lt;&gt;"",OR(NOT(ISNUMBER($H150)),$H150&lt;0,$H150&gt;1)),"Peso fuera de rango"&amp;" · ","")&amp;IF(AND($V150="Sub",$H150&lt;&gt;""),"Las subactividades no llevan peso (valen igual dentro de su macroactividad)"&amp;" · ","")&amp;IF(AND(N($W150)&gt;0,COUNT($I150:$L150)&gt;0),"Con subactividades: deje vacías las semanas (se calculan solas)"&amp;" · ","")&amp;IF((COUNTIF($I150:$L150,"&gt;1")+COUNTIF($I150:$L150,"&lt;0")+COUNTA($I150:$L150)-COUNT($I150:$L150))&gt;0,"Avance fuera de rango 0-100%"&amp;" · ","")&amp;IF(OR(AND($J150&lt;&gt;"",$J150&lt;$I150),AND($K150&lt;&gt;"",$K150&lt;MAX($I150:$J150)),AND($L150&lt;&gt;"",$L150&lt;MAX($I150:$K150))),"Avance semanal decreciente"&amp;" · ","")&amp;IF(AND(ISNUMBER($AN150),$AN150&lt;FechaRef,IF($V150="Sub",N($X150),N($M150))&lt;1),"Vencida"&amp;" · ","")&amp;IF(AND(ObsObligatoria="Sí",ISNUMBER($AN150),$AN150&lt;FechaRef,IF($V150="Sub",N($X150),N($M150))&lt;1,$Q150=""),"Vencida sin observación"&amp;" · ",""))-3)))</f>
        <v/>
      </c>
      <c r="S150" s="64">
        <f>IF(NOT((COUNTA($B150:$D150)+COUNTA($G150:$L150)+COUNTA($Q150))&gt;0),"",IF(AND($V150="Sub",N($U150)&gt;0),IF(ISNUMBER(INDEX($AM$5:$AM$1000,$U150-4)),DATE(YEAR(INDEX($AM$5:$AM$1000,$U150-4)),MONTH(INDEX($AM$5:$AM$1000,$U150-4)),1),IF(ISNUMBER(INDEX($AN$5:$AN$1000,$U150-4)),DATE(YEAR(INDEX($AN$5:$AN$1000,$U150-4)),MONTH(INDEX($AN$5:$AN$1000,$U150-4)),1),MesCiclo)),IF(ISNUMBER($AM150),DATE(YEAR($AM150),MONTH($AM150),1),IF(ISNUMBER($AN150),DATE(YEAR($AN150),MONTH($AN150),1),MesCiclo))))</f>
        <v/>
      </c>
      <c r="T150" s="62">
        <f>IF(OR($S150="",$S150&lt;&gt;MesCiclo,$V150&lt;&gt;"Macro"),"",COUNTIFS($S$5:$S150,MesCiclo,$V$5:$V150,"Macro"))</f>
        <v/>
      </c>
      <c r="U150" s="62">
        <f>IF($V150="","",IF($V150="Macro",ROW(),IFERROR(LOOKUP(2,1/($V$5:$V150="Macro"),ROW($V$5:$V150)),0)))</f>
        <v/>
      </c>
      <c r="V150" s="62">
        <f>IF(NOT((COUNTA($B150:$D150)+COUNTA($G150:$L150)+COUNTA($Q150))&gt;0),"",IF($B150="Subactividad","Sub","Macro"))</f>
        <v/>
      </c>
      <c r="W150" s="62">
        <f>IF($V150="Macro",COUNTIFS($U$5:$U$1000,ROW(),$V$5:$V$1000,"Sub"),"")</f>
        <v/>
      </c>
      <c r="X150" s="62">
        <f>IF($V150="","",IF(ISNUMBER($G150),1,IFERROR(LOOKUP(2,1/($I150:$L150&lt;&gt;""),$I150:$L150),0)))</f>
        <v/>
      </c>
      <c r="Y150" s="62">
        <f>IF($V150="","",IF(AND(ISNUMBER($G150),$G150&lt;=IF($S150=MesCiclo,InicioCiclo,$S150+MOD(2-WEEKDAY($S150),7))+6),1,IF(ISNUMBER($I150),$I150,0)))</f>
        <v/>
      </c>
      <c r="Z150" s="62">
        <f>IF($V150="","",IF(AND(ISNUMBER($G150),$G150&lt;=IF($S150=MesCiclo,InicioCiclo,$S150+MOD(2-WEEKDAY($S150),7))+13),1,IF(ISNUMBER($J150),$J150,$Y150)))</f>
        <v/>
      </c>
      <c r="AA150" s="62">
        <f>IF($V150="","",IF(AND(ISNUMBER($G150),$G150&lt;=IF($S150=MesCiclo,InicioCiclo,$S150+MOD(2-WEEKDAY($S150),7))+20),1,IF(ISNUMBER($K150),$K150,$Z150)))</f>
        <v/>
      </c>
      <c r="AB150" s="62">
        <f>IF($V150="","",IF(AND(ISNUMBER($G150),$G150&lt;=IF($S150=MesCiclo,InicioCiclo,$S150+MOD(2-WEEKDAY($S150),7))+27),1,IF(ISNUMBER($L150),$L150,$AA150)))</f>
        <v/>
      </c>
      <c r="AC150" s="62">
        <f>IF($V150="","",IF(AND(ISNUMBER($G150),$G150&lt;=IF($S150=MesCiclo,InicioCiclo,$S150+MOD(2-WEEKDAY($S150),7))+6),1,IF(N($W150)&gt;0,AVERAGEIFS($Y$5:$Y$1000,$U$5:$U$1000,ROW(),$V$5:$V$1000,"Sub"),$Y150)))</f>
        <v/>
      </c>
      <c r="AD150" s="62">
        <f>IF($V150="","",IF(AND(ISNUMBER($G150),$G150&lt;=IF($S150=MesCiclo,InicioCiclo,$S150+MOD(2-WEEKDAY($S150),7))+13),1,IF(N($W150)&gt;0,AVERAGEIFS($Z$5:$Z$1000,$U$5:$U$1000,ROW(),$V$5:$V$1000,"Sub"),$Z150)))</f>
        <v/>
      </c>
      <c r="AE150" s="62">
        <f>IF($V150="","",IF(AND(ISNUMBER($G150),$G150&lt;=IF($S150=MesCiclo,InicioCiclo,$S150+MOD(2-WEEKDAY($S150),7))+20),1,IF(N($W150)&gt;0,AVERAGEIFS($AA$5:$AA$1000,$U$5:$U$1000,ROW(),$V$5:$V$1000,"Sub"),$AA150)))</f>
        <v/>
      </c>
      <c r="AF150" s="62">
        <f>IF($V150="","",IF(AND(ISNUMBER($G150),$G150&lt;=IF($S150=MesCiclo,InicioCiclo,$S150+MOD(2-WEEKDAY($S150),7))+27),1,IF(N($W150)&gt;0,AVERAGEIFS($AB$5:$AB$1000,$U$5:$U$1000,ROW(),$V$5:$V$1000,"Sub"),$AB150)))</f>
        <v/>
      </c>
      <c r="AG150" s="62">
        <f>IF($V150&lt;&gt;"Macro","",IF(COUNTIFS($S$5:$S$1000,$S150,$V$5:$V$1000,"Macro",$H$5:$H$1000,"&gt;0")=0,1/COUNTIFS($S$5:$S$1000,$S150,$V$5:$V$1000,"Macro"),IF(AND(ISNUMBER($H150),N($H150)&gt;0),$H150,SUMIFS($H$5:$H$1000,$S$5:$S$1000,$S150,$V$5:$V$1000,"Macro")/COUNTIFS($S$5:$S$1000,$S150,$V$5:$V$1000,"Macro",$H$5:$H$1000,"&gt;0"))/(COUNTIFS($S$5:$S$1000,$S150,$V$5:$V$1000,"Macro")*SUMIFS($H$5:$H$1000,$S$5:$S$1000,$S150,$V$5:$V$1000,"Macro")/COUNTIFS($S$5:$S$1000,$S150,$V$5:$V$1000,"Macro",$H$5:$H$1000,"&gt;0"))))</f>
        <v/>
      </c>
      <c r="AH150" s="62" t="n"/>
      <c r="AI150" s="62" t="n"/>
      <c r="AJ150" s="62" t="n"/>
      <c r="AK150" s="62" t="n"/>
      <c r="AL150" s="62">
        <f>IF(LEFT($C150,11)="[Jefatura] ",IFERROR(MATCH("Riesgo Operacional|"&amp;MID($C150,12,500),rDname_ADM,0),0),"")</f>
        <v/>
      </c>
      <c r="AM150" s="62">
        <f>IF(N($AL150)&gt;0,INDEX(rIni_ADM,$AL150),IF(ISNUMBER($E150),$E150,""))</f>
        <v/>
      </c>
      <c r="AN150" s="62">
        <f>IF(N($AL150)&gt;0,INDEX(rLim_ADM,$AL150),IF(ISNUMBER($F150),$F150,""))</f>
        <v/>
      </c>
    </row>
    <row r="151">
      <c r="A151" s="56">
        <f>IF(NOT((COUNTA($B151:$D151)+COUNTA($G151:$L151)+COUNTA($Q151))&gt;0),"",IF($V151="Macro",COUNTIFS($V$5:$V151,"Macro",$S$5:$S151,$S151),IF(N($U151)=0,"?",COUNTIFS(INDEX($V$5:$V$1000,1):INDEX($V$5:$V$1000,$U151-4),"Macro",INDEX($S$5:$S$1000,1):INDEX($S$5:$S$1000,$U151-4),INDEX($S$5:$S$1000,$U151-4))&amp;"."&amp;COUNTIFS($U$5:$U151,$U151,$V$5:$V151,"Sub"))))</f>
        <v/>
      </c>
      <c r="B151" s="57" t="n"/>
      <c r="C151" s="58" t="n"/>
      <c r="D151" s="58" t="n"/>
      <c r="E151" s="59">
        <f>IF(N($AL151)&gt;0,INDEX(rIni_ADM,$AL151),"")</f>
        <v/>
      </c>
      <c r="F151" s="59">
        <f>IF(N($AL151)&gt;0,INDEX(rLim_ADM,$AL151),"")</f>
        <v/>
      </c>
      <c r="G151" s="59" t="n"/>
      <c r="H151" s="60" t="n"/>
      <c r="I151" s="60" t="n"/>
      <c r="J151" s="60" t="n"/>
      <c r="K151" s="60" t="n"/>
      <c r="L151" s="60" t="n"/>
      <c r="M151" s="61">
        <f>IF(NOT((COUNTA($B151:$D151)+COUNTA($G151:$L151)+COUNTA($Q151))&gt;0),"",IF($V151="Sub",IFERROR($X151/INDEX($W$5:$W$1000,$U151-4),""),IF(ISNUMBER($G151),1,IF(N($W151)&gt;0,AVERAGEIFS($X$5:$X$1000,$U$5:$U$1000,ROW(),$V$5:$V$1000,"Sub"),$X151))))</f>
        <v/>
      </c>
      <c r="N151" s="56">
        <f>IF(OR($M151="",$V151="Sub"),"",IF($M151&gt;=1,"Completado",IF($M151&gt;0,"En curso","Pendiente")))</f>
        <v/>
      </c>
      <c r="O151" s="56">
        <f>IF(OR(NOT((COUNTA($B151:$D151)+COUNTA($G151:$L151)+COUNTA($Q151))&gt;0),$V151="Sub"),"",IF(ISNUMBER($G151),IF(AND(ISNUMBER($AN151),$G151&gt;$AN151),"Cumplida con "&amp;($G151-$AN151)&amp;IF($G151-$AN151=1," día"," días")&amp;" de retraso","Cumplida"),IF(N($M151)&gt;=1,"Cumplida",IF(NOT(ISNUMBER($AN151)),"Sin fecha límite",IF($AN151&lt;FechaRef,"Vencida hace "&amp;(FechaRef-$AN151)&amp;IF(FechaRef-$AN151=1," día"," días"),IF($AN151=FechaRef,"Vence hoy",IF($AN151-FechaRef&lt;=DiasAlerta,"Vence en "&amp;($AN151-FechaRef)&amp;IF($AN151-FechaRef=1," día"," días"),"En plazo")))))))</f>
        <v/>
      </c>
      <c r="P151" s="62" t="n"/>
      <c r="Q151" s="58" t="n"/>
      <c r="R151" s="63">
        <f>IF(NOT((COUNTA($B151:$D151)+COUNTA($G151:$L151)+COUNTA($Q151))&gt;0),"",IF((IF($C151="","Falta el nombre de la actividad"&amp;" · ","")&amp;IF(AND($V151="Sub",N($U151)=0),"Subactividad sin macroactividad arriba"&amp;" · ","")&amp;IF($AM151="","Sin fecha de inicio"&amp;" · ","")&amp;IF($AN151="","Sin fecha límite"&amp;" · ","")&amp;IF(AND(LEFT($C151,11)="[Jefatura] ",N($AL151)=0),"No se encuentra en la hoja de la jefatura (elíjala de nuevo en la lista)"&amp;" · ","")&amp;IF(OR(AND($E151&lt;&gt;"",NOT(ISNUMBER($E151))),AND($F151&lt;&gt;"",NOT(ISNUMBER($F151))),AND($G151&lt;&gt;"",NOT(ISNUMBER($G151)))),"Fecha no válida"&amp;" · ","")&amp;IF(AND(ISNUMBER($AM151),ISNUMBER($AN151),$AM151&gt;$AN151),"Inicio posterior a fecha límite"&amp;" · ","")&amp;IF(AND($V151="Macro",$H151&lt;&gt;"",OR(NOT(ISNUMBER($H151)),$H151&lt;0,$H151&gt;1)),"Peso fuera de rango"&amp;" · ","")&amp;IF(AND($V151="Sub",$H151&lt;&gt;""),"Las subactividades no llevan peso (valen igual dentro de su macroactividad)"&amp;" · ","")&amp;IF(AND(N($W151)&gt;0,COUNT($I151:$L151)&gt;0),"Con subactividades: deje vacías las semanas (se calculan solas)"&amp;" · ","")&amp;IF((COUNTIF($I151:$L151,"&gt;1")+COUNTIF($I151:$L151,"&lt;0")+COUNTA($I151:$L151)-COUNT($I151:$L151))&gt;0,"Avance fuera de rango 0-100%"&amp;" · ","")&amp;IF(OR(AND($J151&lt;&gt;"",$J151&lt;$I151),AND($K151&lt;&gt;"",$K151&lt;MAX($I151:$J151)),AND($L151&lt;&gt;"",$L151&lt;MAX($I151:$K151))),"Avance semanal decreciente"&amp;" · ","")&amp;IF(AND(ISNUMBER($AN151),$AN151&lt;FechaRef,IF($V151="Sub",N($X151),N($M151))&lt;1),"Vencida"&amp;" · ","")&amp;IF(AND(ObsObligatoria="Sí",ISNUMBER($AN151),$AN151&lt;FechaRef,IF($V151="Sub",N($X151),N($M151))&lt;1,$Q151=""),"Vencida sin observación"&amp;" · ",""))="","✔ OK","⚠ "&amp;LEFT(IF($C151="","Falta el nombre de la actividad"&amp;" · ","")&amp;IF(AND($V151="Sub",N($U151)=0),"Subactividad sin macroactividad arriba"&amp;" · ","")&amp;IF($AM151="","Sin fecha de inicio"&amp;" · ","")&amp;IF($AN151="","Sin fecha límite"&amp;" · ","")&amp;IF(AND(LEFT($C151,11)="[Jefatura] ",N($AL151)=0),"No se encuentra en la hoja de la jefatura (elíjala de nuevo en la lista)"&amp;" · ","")&amp;IF(OR(AND($E151&lt;&gt;"",NOT(ISNUMBER($E151))),AND($F151&lt;&gt;"",NOT(ISNUMBER($F151))),AND($G151&lt;&gt;"",NOT(ISNUMBER($G151)))),"Fecha no válida"&amp;" · ","")&amp;IF(AND(ISNUMBER($AM151),ISNUMBER($AN151),$AM151&gt;$AN151),"Inicio posterior a fecha límite"&amp;" · ","")&amp;IF(AND($V151="Macro",$H151&lt;&gt;"",OR(NOT(ISNUMBER($H151)),$H151&lt;0,$H151&gt;1)),"Peso fuera de rango"&amp;" · ","")&amp;IF(AND($V151="Sub",$H151&lt;&gt;""),"Las subactividades no llevan peso (valen igual dentro de su macroactividad)"&amp;" · ","")&amp;IF(AND(N($W151)&gt;0,COUNT($I151:$L151)&gt;0),"Con subactividades: deje vacías las semanas (se calculan solas)"&amp;" · ","")&amp;IF((COUNTIF($I151:$L151,"&gt;1")+COUNTIF($I151:$L151,"&lt;0")+COUNTA($I151:$L151)-COUNT($I151:$L151))&gt;0,"Avance fuera de rango 0-100%"&amp;" · ","")&amp;IF(OR(AND($J151&lt;&gt;"",$J151&lt;$I151),AND($K151&lt;&gt;"",$K151&lt;MAX($I151:$J151)),AND($L151&lt;&gt;"",$L151&lt;MAX($I151:$K151))),"Avance semanal decreciente"&amp;" · ","")&amp;IF(AND(ISNUMBER($AN151),$AN151&lt;FechaRef,IF($V151="Sub",N($X151),N($M151))&lt;1),"Vencida"&amp;" · ","")&amp;IF(AND(ObsObligatoria="Sí",ISNUMBER($AN151),$AN151&lt;FechaRef,IF($V151="Sub",N($X151),N($M151))&lt;1,$Q151=""),"Vencida sin observación"&amp;" · ",""),LEN(IF($C151="","Falta el nombre de la actividad"&amp;" · ","")&amp;IF(AND($V151="Sub",N($U151)=0),"Subactividad sin macroactividad arriba"&amp;" · ","")&amp;IF($AM151="","Sin fecha de inicio"&amp;" · ","")&amp;IF($AN151="","Sin fecha límite"&amp;" · ","")&amp;IF(AND(LEFT($C151,11)="[Jefatura] ",N($AL151)=0),"No se encuentra en la hoja de la jefatura (elíjala de nuevo en la lista)"&amp;" · ","")&amp;IF(OR(AND($E151&lt;&gt;"",NOT(ISNUMBER($E151))),AND($F151&lt;&gt;"",NOT(ISNUMBER($F151))),AND($G151&lt;&gt;"",NOT(ISNUMBER($G151)))),"Fecha no válida"&amp;" · ","")&amp;IF(AND(ISNUMBER($AM151),ISNUMBER($AN151),$AM151&gt;$AN151),"Inicio posterior a fecha límite"&amp;" · ","")&amp;IF(AND($V151="Macro",$H151&lt;&gt;"",OR(NOT(ISNUMBER($H151)),$H151&lt;0,$H151&gt;1)),"Peso fuera de rango"&amp;" · ","")&amp;IF(AND($V151="Sub",$H151&lt;&gt;""),"Las subactividades no llevan peso (valen igual dentro de su macroactividad)"&amp;" · ","")&amp;IF(AND(N($W151)&gt;0,COUNT($I151:$L151)&gt;0),"Con subactividades: deje vacías las semanas (se calculan solas)"&amp;" · ","")&amp;IF((COUNTIF($I151:$L151,"&gt;1")+COUNTIF($I151:$L151,"&lt;0")+COUNTA($I151:$L151)-COUNT($I151:$L151))&gt;0,"Avance fuera de rango 0-100%"&amp;" · ","")&amp;IF(OR(AND($J151&lt;&gt;"",$J151&lt;$I151),AND($K151&lt;&gt;"",$K151&lt;MAX($I151:$J151)),AND($L151&lt;&gt;"",$L151&lt;MAX($I151:$K151))),"Avance semanal decreciente"&amp;" · ","")&amp;IF(AND(ISNUMBER($AN151),$AN151&lt;FechaRef,IF($V151="Sub",N($X151),N($M151))&lt;1),"Vencida"&amp;" · ","")&amp;IF(AND(ObsObligatoria="Sí",ISNUMBER($AN151),$AN151&lt;FechaRef,IF($V151="Sub",N($X151),N($M151))&lt;1,$Q151=""),"Vencida sin observación"&amp;" · ",""))-3)))</f>
        <v/>
      </c>
      <c r="S151" s="64">
        <f>IF(NOT((COUNTA($B151:$D151)+COUNTA($G151:$L151)+COUNTA($Q151))&gt;0),"",IF(AND($V151="Sub",N($U151)&gt;0),IF(ISNUMBER(INDEX($AM$5:$AM$1000,$U151-4)),DATE(YEAR(INDEX($AM$5:$AM$1000,$U151-4)),MONTH(INDEX($AM$5:$AM$1000,$U151-4)),1),IF(ISNUMBER(INDEX($AN$5:$AN$1000,$U151-4)),DATE(YEAR(INDEX($AN$5:$AN$1000,$U151-4)),MONTH(INDEX($AN$5:$AN$1000,$U151-4)),1),MesCiclo)),IF(ISNUMBER($AM151),DATE(YEAR($AM151),MONTH($AM151),1),IF(ISNUMBER($AN151),DATE(YEAR($AN151),MONTH($AN151),1),MesCiclo))))</f>
        <v/>
      </c>
      <c r="T151" s="62">
        <f>IF(OR($S151="",$S151&lt;&gt;MesCiclo,$V151&lt;&gt;"Macro"),"",COUNTIFS($S$5:$S151,MesCiclo,$V$5:$V151,"Macro"))</f>
        <v/>
      </c>
      <c r="U151" s="62">
        <f>IF($V151="","",IF($V151="Macro",ROW(),IFERROR(LOOKUP(2,1/($V$5:$V151="Macro"),ROW($V$5:$V151)),0)))</f>
        <v/>
      </c>
      <c r="V151" s="62">
        <f>IF(NOT((COUNTA($B151:$D151)+COUNTA($G151:$L151)+COUNTA($Q151))&gt;0),"",IF($B151="Subactividad","Sub","Macro"))</f>
        <v/>
      </c>
      <c r="W151" s="62">
        <f>IF($V151="Macro",COUNTIFS($U$5:$U$1000,ROW(),$V$5:$V$1000,"Sub"),"")</f>
        <v/>
      </c>
      <c r="X151" s="62">
        <f>IF($V151="","",IF(ISNUMBER($G151),1,IFERROR(LOOKUP(2,1/($I151:$L151&lt;&gt;""),$I151:$L151),0)))</f>
        <v/>
      </c>
      <c r="Y151" s="62">
        <f>IF($V151="","",IF(AND(ISNUMBER($G151),$G151&lt;=IF($S151=MesCiclo,InicioCiclo,$S151+MOD(2-WEEKDAY($S151),7))+6),1,IF(ISNUMBER($I151),$I151,0)))</f>
        <v/>
      </c>
      <c r="Z151" s="62">
        <f>IF($V151="","",IF(AND(ISNUMBER($G151),$G151&lt;=IF($S151=MesCiclo,InicioCiclo,$S151+MOD(2-WEEKDAY($S151),7))+13),1,IF(ISNUMBER($J151),$J151,$Y151)))</f>
        <v/>
      </c>
      <c r="AA151" s="62">
        <f>IF($V151="","",IF(AND(ISNUMBER($G151),$G151&lt;=IF($S151=MesCiclo,InicioCiclo,$S151+MOD(2-WEEKDAY($S151),7))+20),1,IF(ISNUMBER($K151),$K151,$Z151)))</f>
        <v/>
      </c>
      <c r="AB151" s="62">
        <f>IF($V151="","",IF(AND(ISNUMBER($G151),$G151&lt;=IF($S151=MesCiclo,InicioCiclo,$S151+MOD(2-WEEKDAY($S151),7))+27),1,IF(ISNUMBER($L151),$L151,$AA151)))</f>
        <v/>
      </c>
      <c r="AC151" s="62">
        <f>IF($V151="","",IF(AND(ISNUMBER($G151),$G151&lt;=IF($S151=MesCiclo,InicioCiclo,$S151+MOD(2-WEEKDAY($S151),7))+6),1,IF(N($W151)&gt;0,AVERAGEIFS($Y$5:$Y$1000,$U$5:$U$1000,ROW(),$V$5:$V$1000,"Sub"),$Y151)))</f>
        <v/>
      </c>
      <c r="AD151" s="62">
        <f>IF($V151="","",IF(AND(ISNUMBER($G151),$G151&lt;=IF($S151=MesCiclo,InicioCiclo,$S151+MOD(2-WEEKDAY($S151),7))+13),1,IF(N($W151)&gt;0,AVERAGEIFS($Z$5:$Z$1000,$U$5:$U$1000,ROW(),$V$5:$V$1000,"Sub"),$Z151)))</f>
        <v/>
      </c>
      <c r="AE151" s="62">
        <f>IF($V151="","",IF(AND(ISNUMBER($G151),$G151&lt;=IF($S151=MesCiclo,InicioCiclo,$S151+MOD(2-WEEKDAY($S151),7))+20),1,IF(N($W151)&gt;0,AVERAGEIFS($AA$5:$AA$1000,$U$5:$U$1000,ROW(),$V$5:$V$1000,"Sub"),$AA151)))</f>
        <v/>
      </c>
      <c r="AF151" s="62">
        <f>IF($V151="","",IF(AND(ISNUMBER($G151),$G151&lt;=IF($S151=MesCiclo,InicioCiclo,$S151+MOD(2-WEEKDAY($S151),7))+27),1,IF(N($W151)&gt;0,AVERAGEIFS($AB$5:$AB$1000,$U$5:$U$1000,ROW(),$V$5:$V$1000,"Sub"),$AB151)))</f>
        <v/>
      </c>
      <c r="AG151" s="62">
        <f>IF($V151&lt;&gt;"Macro","",IF(COUNTIFS($S$5:$S$1000,$S151,$V$5:$V$1000,"Macro",$H$5:$H$1000,"&gt;0")=0,1/COUNTIFS($S$5:$S$1000,$S151,$V$5:$V$1000,"Macro"),IF(AND(ISNUMBER($H151),N($H151)&gt;0),$H151,SUMIFS($H$5:$H$1000,$S$5:$S$1000,$S151,$V$5:$V$1000,"Macro")/COUNTIFS($S$5:$S$1000,$S151,$V$5:$V$1000,"Macro",$H$5:$H$1000,"&gt;0"))/(COUNTIFS($S$5:$S$1000,$S151,$V$5:$V$1000,"Macro")*SUMIFS($H$5:$H$1000,$S$5:$S$1000,$S151,$V$5:$V$1000,"Macro")/COUNTIFS($S$5:$S$1000,$S151,$V$5:$V$1000,"Macro",$H$5:$H$1000,"&gt;0"))))</f>
        <v/>
      </c>
      <c r="AH151" s="62" t="n"/>
      <c r="AI151" s="62" t="n"/>
      <c r="AJ151" s="62" t="n"/>
      <c r="AK151" s="62" t="n"/>
      <c r="AL151" s="62">
        <f>IF(LEFT($C151,11)="[Jefatura] ",IFERROR(MATCH("Riesgo Operacional|"&amp;MID($C151,12,500),rDname_ADM,0),0),"")</f>
        <v/>
      </c>
      <c r="AM151" s="62">
        <f>IF(N($AL151)&gt;0,INDEX(rIni_ADM,$AL151),IF(ISNUMBER($E151),$E151,""))</f>
        <v/>
      </c>
      <c r="AN151" s="62">
        <f>IF(N($AL151)&gt;0,INDEX(rLim_ADM,$AL151),IF(ISNUMBER($F151),$F151,""))</f>
        <v/>
      </c>
    </row>
    <row r="152">
      <c r="A152" s="56">
        <f>IF(NOT((COUNTA($B152:$D152)+COUNTA($G152:$L152)+COUNTA($Q152))&gt;0),"",IF($V152="Macro",COUNTIFS($V$5:$V152,"Macro",$S$5:$S152,$S152),IF(N($U152)=0,"?",COUNTIFS(INDEX($V$5:$V$1000,1):INDEX($V$5:$V$1000,$U152-4),"Macro",INDEX($S$5:$S$1000,1):INDEX($S$5:$S$1000,$U152-4),INDEX($S$5:$S$1000,$U152-4))&amp;"."&amp;COUNTIFS($U$5:$U152,$U152,$V$5:$V152,"Sub"))))</f>
        <v/>
      </c>
      <c r="B152" s="57" t="n"/>
      <c r="C152" s="58" t="n"/>
      <c r="D152" s="58" t="n"/>
      <c r="E152" s="59">
        <f>IF(N($AL152)&gt;0,INDEX(rIni_ADM,$AL152),"")</f>
        <v/>
      </c>
      <c r="F152" s="59">
        <f>IF(N($AL152)&gt;0,INDEX(rLim_ADM,$AL152),"")</f>
        <v/>
      </c>
      <c r="G152" s="59" t="n"/>
      <c r="H152" s="60" t="n"/>
      <c r="I152" s="60" t="n"/>
      <c r="J152" s="60" t="n"/>
      <c r="K152" s="60" t="n"/>
      <c r="L152" s="60" t="n"/>
      <c r="M152" s="61">
        <f>IF(NOT((COUNTA($B152:$D152)+COUNTA($G152:$L152)+COUNTA($Q152))&gt;0),"",IF($V152="Sub",IFERROR($X152/INDEX($W$5:$W$1000,$U152-4),""),IF(ISNUMBER($G152),1,IF(N($W152)&gt;0,AVERAGEIFS($X$5:$X$1000,$U$5:$U$1000,ROW(),$V$5:$V$1000,"Sub"),$X152))))</f>
        <v/>
      </c>
      <c r="N152" s="56">
        <f>IF(OR($M152="",$V152="Sub"),"",IF($M152&gt;=1,"Completado",IF($M152&gt;0,"En curso","Pendiente")))</f>
        <v/>
      </c>
      <c r="O152" s="56">
        <f>IF(OR(NOT((COUNTA($B152:$D152)+COUNTA($G152:$L152)+COUNTA($Q152))&gt;0),$V152="Sub"),"",IF(ISNUMBER($G152),IF(AND(ISNUMBER($AN152),$G152&gt;$AN152),"Cumplida con "&amp;($G152-$AN152)&amp;IF($G152-$AN152=1," día"," días")&amp;" de retraso","Cumplida"),IF(N($M152)&gt;=1,"Cumplida",IF(NOT(ISNUMBER($AN152)),"Sin fecha límite",IF($AN152&lt;FechaRef,"Vencida hace "&amp;(FechaRef-$AN152)&amp;IF(FechaRef-$AN152=1," día"," días"),IF($AN152=FechaRef,"Vence hoy",IF($AN152-FechaRef&lt;=DiasAlerta,"Vence en "&amp;($AN152-FechaRef)&amp;IF($AN152-FechaRef=1," día"," días"),"En plazo")))))))</f>
        <v/>
      </c>
      <c r="P152" s="62" t="n"/>
      <c r="Q152" s="58" t="n"/>
      <c r="R152" s="63">
        <f>IF(NOT((COUNTA($B152:$D152)+COUNTA($G152:$L152)+COUNTA($Q152))&gt;0),"",IF((IF($C152="","Falta el nombre de la actividad"&amp;" · ","")&amp;IF(AND($V152="Sub",N($U152)=0),"Subactividad sin macroactividad arriba"&amp;" · ","")&amp;IF($AM152="","Sin fecha de inicio"&amp;" · ","")&amp;IF($AN152="","Sin fecha límite"&amp;" · ","")&amp;IF(AND(LEFT($C152,11)="[Jefatura] ",N($AL152)=0),"No se encuentra en la hoja de la jefatura (elíjala de nuevo en la lista)"&amp;" · ","")&amp;IF(OR(AND($E152&lt;&gt;"",NOT(ISNUMBER($E152))),AND($F152&lt;&gt;"",NOT(ISNUMBER($F152))),AND($G152&lt;&gt;"",NOT(ISNUMBER($G152)))),"Fecha no válida"&amp;" · ","")&amp;IF(AND(ISNUMBER($AM152),ISNUMBER($AN152),$AM152&gt;$AN152),"Inicio posterior a fecha límite"&amp;" · ","")&amp;IF(AND($V152="Macro",$H152&lt;&gt;"",OR(NOT(ISNUMBER($H152)),$H152&lt;0,$H152&gt;1)),"Peso fuera de rango"&amp;" · ","")&amp;IF(AND($V152="Sub",$H152&lt;&gt;""),"Las subactividades no llevan peso (valen igual dentro de su macroactividad)"&amp;" · ","")&amp;IF(AND(N($W152)&gt;0,COUNT($I152:$L152)&gt;0),"Con subactividades: deje vacías las semanas (se calculan solas)"&amp;" · ","")&amp;IF((COUNTIF($I152:$L152,"&gt;1")+COUNTIF($I152:$L152,"&lt;0")+COUNTA($I152:$L152)-COUNT($I152:$L152))&gt;0,"Avance fuera de rango 0-100%"&amp;" · ","")&amp;IF(OR(AND($J152&lt;&gt;"",$J152&lt;$I152),AND($K152&lt;&gt;"",$K152&lt;MAX($I152:$J152)),AND($L152&lt;&gt;"",$L152&lt;MAX($I152:$K152))),"Avance semanal decreciente"&amp;" · ","")&amp;IF(AND(ISNUMBER($AN152),$AN152&lt;FechaRef,IF($V152="Sub",N($X152),N($M152))&lt;1),"Vencida"&amp;" · ","")&amp;IF(AND(ObsObligatoria="Sí",ISNUMBER($AN152),$AN152&lt;FechaRef,IF($V152="Sub",N($X152),N($M152))&lt;1,$Q152=""),"Vencida sin observación"&amp;" · ",""))="","✔ OK","⚠ "&amp;LEFT(IF($C152="","Falta el nombre de la actividad"&amp;" · ","")&amp;IF(AND($V152="Sub",N($U152)=0),"Subactividad sin macroactividad arriba"&amp;" · ","")&amp;IF($AM152="","Sin fecha de inicio"&amp;" · ","")&amp;IF($AN152="","Sin fecha límite"&amp;" · ","")&amp;IF(AND(LEFT($C152,11)="[Jefatura] ",N($AL152)=0),"No se encuentra en la hoja de la jefatura (elíjala de nuevo en la lista)"&amp;" · ","")&amp;IF(OR(AND($E152&lt;&gt;"",NOT(ISNUMBER($E152))),AND($F152&lt;&gt;"",NOT(ISNUMBER($F152))),AND($G152&lt;&gt;"",NOT(ISNUMBER($G152)))),"Fecha no válida"&amp;" · ","")&amp;IF(AND(ISNUMBER($AM152),ISNUMBER($AN152),$AM152&gt;$AN152),"Inicio posterior a fecha límite"&amp;" · ","")&amp;IF(AND($V152="Macro",$H152&lt;&gt;"",OR(NOT(ISNUMBER($H152)),$H152&lt;0,$H152&gt;1)),"Peso fuera de rango"&amp;" · ","")&amp;IF(AND($V152="Sub",$H152&lt;&gt;""),"Las subactividades no llevan peso (valen igual dentro de su macroactividad)"&amp;" · ","")&amp;IF(AND(N($W152)&gt;0,COUNT($I152:$L152)&gt;0),"Con subactividades: deje vacías las semanas (se calculan solas)"&amp;" · ","")&amp;IF((COUNTIF($I152:$L152,"&gt;1")+COUNTIF($I152:$L152,"&lt;0")+COUNTA($I152:$L152)-COUNT($I152:$L152))&gt;0,"Avance fuera de rango 0-100%"&amp;" · ","")&amp;IF(OR(AND($J152&lt;&gt;"",$J152&lt;$I152),AND($K152&lt;&gt;"",$K152&lt;MAX($I152:$J152)),AND($L152&lt;&gt;"",$L152&lt;MAX($I152:$K152))),"Avance semanal decreciente"&amp;" · ","")&amp;IF(AND(ISNUMBER($AN152),$AN152&lt;FechaRef,IF($V152="Sub",N($X152),N($M152))&lt;1),"Vencida"&amp;" · ","")&amp;IF(AND(ObsObligatoria="Sí",ISNUMBER($AN152),$AN152&lt;FechaRef,IF($V152="Sub",N($X152),N($M152))&lt;1,$Q152=""),"Vencida sin observación"&amp;" · ",""),LEN(IF($C152="","Falta el nombre de la actividad"&amp;" · ","")&amp;IF(AND($V152="Sub",N($U152)=0),"Subactividad sin macroactividad arriba"&amp;" · ","")&amp;IF($AM152="","Sin fecha de inicio"&amp;" · ","")&amp;IF($AN152="","Sin fecha límite"&amp;" · ","")&amp;IF(AND(LEFT($C152,11)="[Jefatura] ",N($AL152)=0),"No se encuentra en la hoja de la jefatura (elíjala de nuevo en la lista)"&amp;" · ","")&amp;IF(OR(AND($E152&lt;&gt;"",NOT(ISNUMBER($E152))),AND($F152&lt;&gt;"",NOT(ISNUMBER($F152))),AND($G152&lt;&gt;"",NOT(ISNUMBER($G152)))),"Fecha no válida"&amp;" · ","")&amp;IF(AND(ISNUMBER($AM152),ISNUMBER($AN152),$AM152&gt;$AN152),"Inicio posterior a fecha límite"&amp;" · ","")&amp;IF(AND($V152="Macro",$H152&lt;&gt;"",OR(NOT(ISNUMBER($H152)),$H152&lt;0,$H152&gt;1)),"Peso fuera de rango"&amp;" · ","")&amp;IF(AND($V152="Sub",$H152&lt;&gt;""),"Las subactividades no llevan peso (valen igual dentro de su macroactividad)"&amp;" · ","")&amp;IF(AND(N($W152)&gt;0,COUNT($I152:$L152)&gt;0),"Con subactividades: deje vacías las semanas (se calculan solas)"&amp;" · ","")&amp;IF((COUNTIF($I152:$L152,"&gt;1")+COUNTIF($I152:$L152,"&lt;0")+COUNTA($I152:$L152)-COUNT($I152:$L152))&gt;0,"Avance fuera de rango 0-100%"&amp;" · ","")&amp;IF(OR(AND($J152&lt;&gt;"",$J152&lt;$I152),AND($K152&lt;&gt;"",$K152&lt;MAX($I152:$J152)),AND($L152&lt;&gt;"",$L152&lt;MAX($I152:$K152))),"Avance semanal decreciente"&amp;" · ","")&amp;IF(AND(ISNUMBER($AN152),$AN152&lt;FechaRef,IF($V152="Sub",N($X152),N($M152))&lt;1),"Vencida"&amp;" · ","")&amp;IF(AND(ObsObligatoria="Sí",ISNUMBER($AN152),$AN152&lt;FechaRef,IF($V152="Sub",N($X152),N($M152))&lt;1,$Q152=""),"Vencida sin observación"&amp;" · ",""))-3)))</f>
        <v/>
      </c>
      <c r="S152" s="64">
        <f>IF(NOT((COUNTA($B152:$D152)+COUNTA($G152:$L152)+COUNTA($Q152))&gt;0),"",IF(AND($V152="Sub",N($U152)&gt;0),IF(ISNUMBER(INDEX($AM$5:$AM$1000,$U152-4)),DATE(YEAR(INDEX($AM$5:$AM$1000,$U152-4)),MONTH(INDEX($AM$5:$AM$1000,$U152-4)),1),IF(ISNUMBER(INDEX($AN$5:$AN$1000,$U152-4)),DATE(YEAR(INDEX($AN$5:$AN$1000,$U152-4)),MONTH(INDEX($AN$5:$AN$1000,$U152-4)),1),MesCiclo)),IF(ISNUMBER($AM152),DATE(YEAR($AM152),MONTH($AM152),1),IF(ISNUMBER($AN152),DATE(YEAR($AN152),MONTH($AN152),1),MesCiclo))))</f>
        <v/>
      </c>
      <c r="T152" s="62">
        <f>IF(OR($S152="",$S152&lt;&gt;MesCiclo,$V152&lt;&gt;"Macro"),"",COUNTIFS($S$5:$S152,MesCiclo,$V$5:$V152,"Macro"))</f>
        <v/>
      </c>
      <c r="U152" s="62">
        <f>IF($V152="","",IF($V152="Macro",ROW(),IFERROR(LOOKUP(2,1/($V$5:$V152="Macro"),ROW($V$5:$V152)),0)))</f>
        <v/>
      </c>
      <c r="V152" s="62">
        <f>IF(NOT((COUNTA($B152:$D152)+COUNTA($G152:$L152)+COUNTA($Q152))&gt;0),"",IF($B152="Subactividad","Sub","Macro"))</f>
        <v/>
      </c>
      <c r="W152" s="62">
        <f>IF($V152="Macro",COUNTIFS($U$5:$U$1000,ROW(),$V$5:$V$1000,"Sub"),"")</f>
        <v/>
      </c>
      <c r="X152" s="62">
        <f>IF($V152="","",IF(ISNUMBER($G152),1,IFERROR(LOOKUP(2,1/($I152:$L152&lt;&gt;""),$I152:$L152),0)))</f>
        <v/>
      </c>
      <c r="Y152" s="62">
        <f>IF($V152="","",IF(AND(ISNUMBER($G152),$G152&lt;=IF($S152=MesCiclo,InicioCiclo,$S152+MOD(2-WEEKDAY($S152),7))+6),1,IF(ISNUMBER($I152),$I152,0)))</f>
        <v/>
      </c>
      <c r="Z152" s="62">
        <f>IF($V152="","",IF(AND(ISNUMBER($G152),$G152&lt;=IF($S152=MesCiclo,InicioCiclo,$S152+MOD(2-WEEKDAY($S152),7))+13),1,IF(ISNUMBER($J152),$J152,$Y152)))</f>
        <v/>
      </c>
      <c r="AA152" s="62">
        <f>IF($V152="","",IF(AND(ISNUMBER($G152),$G152&lt;=IF($S152=MesCiclo,InicioCiclo,$S152+MOD(2-WEEKDAY($S152),7))+20),1,IF(ISNUMBER($K152),$K152,$Z152)))</f>
        <v/>
      </c>
      <c r="AB152" s="62">
        <f>IF($V152="","",IF(AND(ISNUMBER($G152),$G152&lt;=IF($S152=MesCiclo,InicioCiclo,$S152+MOD(2-WEEKDAY($S152),7))+27),1,IF(ISNUMBER($L152),$L152,$AA152)))</f>
        <v/>
      </c>
      <c r="AC152" s="62">
        <f>IF($V152="","",IF(AND(ISNUMBER($G152),$G152&lt;=IF($S152=MesCiclo,InicioCiclo,$S152+MOD(2-WEEKDAY($S152),7))+6),1,IF(N($W152)&gt;0,AVERAGEIFS($Y$5:$Y$1000,$U$5:$U$1000,ROW(),$V$5:$V$1000,"Sub"),$Y152)))</f>
        <v/>
      </c>
      <c r="AD152" s="62">
        <f>IF($V152="","",IF(AND(ISNUMBER($G152),$G152&lt;=IF($S152=MesCiclo,InicioCiclo,$S152+MOD(2-WEEKDAY($S152),7))+13),1,IF(N($W152)&gt;0,AVERAGEIFS($Z$5:$Z$1000,$U$5:$U$1000,ROW(),$V$5:$V$1000,"Sub"),$Z152)))</f>
        <v/>
      </c>
      <c r="AE152" s="62">
        <f>IF($V152="","",IF(AND(ISNUMBER($G152),$G152&lt;=IF($S152=MesCiclo,InicioCiclo,$S152+MOD(2-WEEKDAY($S152),7))+20),1,IF(N($W152)&gt;0,AVERAGEIFS($AA$5:$AA$1000,$U$5:$U$1000,ROW(),$V$5:$V$1000,"Sub"),$AA152)))</f>
        <v/>
      </c>
      <c r="AF152" s="62">
        <f>IF($V152="","",IF(AND(ISNUMBER($G152),$G152&lt;=IF($S152=MesCiclo,InicioCiclo,$S152+MOD(2-WEEKDAY($S152),7))+27),1,IF(N($W152)&gt;0,AVERAGEIFS($AB$5:$AB$1000,$U$5:$U$1000,ROW(),$V$5:$V$1000,"Sub"),$AB152)))</f>
        <v/>
      </c>
      <c r="AG152" s="62">
        <f>IF($V152&lt;&gt;"Macro","",IF(COUNTIFS($S$5:$S$1000,$S152,$V$5:$V$1000,"Macro",$H$5:$H$1000,"&gt;0")=0,1/COUNTIFS($S$5:$S$1000,$S152,$V$5:$V$1000,"Macro"),IF(AND(ISNUMBER($H152),N($H152)&gt;0),$H152,SUMIFS($H$5:$H$1000,$S$5:$S$1000,$S152,$V$5:$V$1000,"Macro")/COUNTIFS($S$5:$S$1000,$S152,$V$5:$V$1000,"Macro",$H$5:$H$1000,"&gt;0"))/(COUNTIFS($S$5:$S$1000,$S152,$V$5:$V$1000,"Macro")*SUMIFS($H$5:$H$1000,$S$5:$S$1000,$S152,$V$5:$V$1000,"Macro")/COUNTIFS($S$5:$S$1000,$S152,$V$5:$V$1000,"Macro",$H$5:$H$1000,"&gt;0"))))</f>
        <v/>
      </c>
      <c r="AH152" s="62" t="n"/>
      <c r="AI152" s="62" t="n"/>
      <c r="AJ152" s="62" t="n"/>
      <c r="AK152" s="62" t="n"/>
      <c r="AL152" s="62">
        <f>IF(LEFT($C152,11)="[Jefatura] ",IFERROR(MATCH("Riesgo Operacional|"&amp;MID($C152,12,500),rDname_ADM,0),0),"")</f>
        <v/>
      </c>
      <c r="AM152" s="62">
        <f>IF(N($AL152)&gt;0,INDEX(rIni_ADM,$AL152),IF(ISNUMBER($E152),$E152,""))</f>
        <v/>
      </c>
      <c r="AN152" s="62">
        <f>IF(N($AL152)&gt;0,INDEX(rLim_ADM,$AL152),IF(ISNUMBER($F152),$F152,""))</f>
        <v/>
      </c>
    </row>
    <row r="153">
      <c r="A153" s="56">
        <f>IF(NOT((COUNTA($B153:$D153)+COUNTA($G153:$L153)+COUNTA($Q153))&gt;0),"",IF($V153="Macro",COUNTIFS($V$5:$V153,"Macro",$S$5:$S153,$S153),IF(N($U153)=0,"?",COUNTIFS(INDEX($V$5:$V$1000,1):INDEX($V$5:$V$1000,$U153-4),"Macro",INDEX($S$5:$S$1000,1):INDEX($S$5:$S$1000,$U153-4),INDEX($S$5:$S$1000,$U153-4))&amp;"."&amp;COUNTIFS($U$5:$U153,$U153,$V$5:$V153,"Sub"))))</f>
        <v/>
      </c>
      <c r="B153" s="57" t="n"/>
      <c r="C153" s="58" t="n"/>
      <c r="D153" s="58" t="n"/>
      <c r="E153" s="59">
        <f>IF(N($AL153)&gt;0,INDEX(rIni_ADM,$AL153),"")</f>
        <v/>
      </c>
      <c r="F153" s="59">
        <f>IF(N($AL153)&gt;0,INDEX(rLim_ADM,$AL153),"")</f>
        <v/>
      </c>
      <c r="G153" s="59" t="n"/>
      <c r="H153" s="60" t="n"/>
      <c r="I153" s="60" t="n"/>
      <c r="J153" s="60" t="n"/>
      <c r="K153" s="60" t="n"/>
      <c r="L153" s="60" t="n"/>
      <c r="M153" s="61">
        <f>IF(NOT((COUNTA($B153:$D153)+COUNTA($G153:$L153)+COUNTA($Q153))&gt;0),"",IF($V153="Sub",IFERROR($X153/INDEX($W$5:$W$1000,$U153-4),""),IF(ISNUMBER($G153),1,IF(N($W153)&gt;0,AVERAGEIFS($X$5:$X$1000,$U$5:$U$1000,ROW(),$V$5:$V$1000,"Sub"),$X153))))</f>
        <v/>
      </c>
      <c r="N153" s="56">
        <f>IF(OR($M153="",$V153="Sub"),"",IF($M153&gt;=1,"Completado",IF($M153&gt;0,"En curso","Pendiente")))</f>
        <v/>
      </c>
      <c r="O153" s="56">
        <f>IF(OR(NOT((COUNTA($B153:$D153)+COUNTA($G153:$L153)+COUNTA($Q153))&gt;0),$V153="Sub"),"",IF(ISNUMBER($G153),IF(AND(ISNUMBER($AN153),$G153&gt;$AN153),"Cumplida con "&amp;($G153-$AN153)&amp;IF($G153-$AN153=1," día"," días")&amp;" de retraso","Cumplida"),IF(N($M153)&gt;=1,"Cumplida",IF(NOT(ISNUMBER($AN153)),"Sin fecha límite",IF($AN153&lt;FechaRef,"Vencida hace "&amp;(FechaRef-$AN153)&amp;IF(FechaRef-$AN153=1," día"," días"),IF($AN153=FechaRef,"Vence hoy",IF($AN153-FechaRef&lt;=DiasAlerta,"Vence en "&amp;($AN153-FechaRef)&amp;IF($AN153-FechaRef=1," día"," días"),"En plazo")))))))</f>
        <v/>
      </c>
      <c r="P153" s="62" t="n"/>
      <c r="Q153" s="58" t="n"/>
      <c r="R153" s="63">
        <f>IF(NOT((COUNTA($B153:$D153)+COUNTA($G153:$L153)+COUNTA($Q153))&gt;0),"",IF((IF($C153="","Falta el nombre de la actividad"&amp;" · ","")&amp;IF(AND($V153="Sub",N($U153)=0),"Subactividad sin macroactividad arriba"&amp;" · ","")&amp;IF($AM153="","Sin fecha de inicio"&amp;" · ","")&amp;IF($AN153="","Sin fecha límite"&amp;" · ","")&amp;IF(AND(LEFT($C153,11)="[Jefatura] ",N($AL153)=0),"No se encuentra en la hoja de la jefatura (elíjala de nuevo en la lista)"&amp;" · ","")&amp;IF(OR(AND($E153&lt;&gt;"",NOT(ISNUMBER($E153))),AND($F153&lt;&gt;"",NOT(ISNUMBER($F153))),AND($G153&lt;&gt;"",NOT(ISNUMBER($G153)))),"Fecha no válida"&amp;" · ","")&amp;IF(AND(ISNUMBER($AM153),ISNUMBER($AN153),$AM153&gt;$AN153),"Inicio posterior a fecha límite"&amp;" · ","")&amp;IF(AND($V153="Macro",$H153&lt;&gt;"",OR(NOT(ISNUMBER($H153)),$H153&lt;0,$H153&gt;1)),"Peso fuera de rango"&amp;" · ","")&amp;IF(AND($V153="Sub",$H153&lt;&gt;""),"Las subactividades no llevan peso (valen igual dentro de su macroactividad)"&amp;" · ","")&amp;IF(AND(N($W153)&gt;0,COUNT($I153:$L153)&gt;0),"Con subactividades: deje vacías las semanas (se calculan solas)"&amp;" · ","")&amp;IF((COUNTIF($I153:$L153,"&gt;1")+COUNTIF($I153:$L153,"&lt;0")+COUNTA($I153:$L153)-COUNT($I153:$L153))&gt;0,"Avance fuera de rango 0-100%"&amp;" · ","")&amp;IF(OR(AND($J153&lt;&gt;"",$J153&lt;$I153),AND($K153&lt;&gt;"",$K153&lt;MAX($I153:$J153)),AND($L153&lt;&gt;"",$L153&lt;MAX($I153:$K153))),"Avance semanal decreciente"&amp;" · ","")&amp;IF(AND(ISNUMBER($AN153),$AN153&lt;FechaRef,IF($V153="Sub",N($X153),N($M153))&lt;1),"Vencida"&amp;" · ","")&amp;IF(AND(ObsObligatoria="Sí",ISNUMBER($AN153),$AN153&lt;FechaRef,IF($V153="Sub",N($X153),N($M153))&lt;1,$Q153=""),"Vencida sin observación"&amp;" · ",""))="","✔ OK","⚠ "&amp;LEFT(IF($C153="","Falta el nombre de la actividad"&amp;" · ","")&amp;IF(AND($V153="Sub",N($U153)=0),"Subactividad sin macroactividad arriba"&amp;" · ","")&amp;IF($AM153="","Sin fecha de inicio"&amp;" · ","")&amp;IF($AN153="","Sin fecha límite"&amp;" · ","")&amp;IF(AND(LEFT($C153,11)="[Jefatura] ",N($AL153)=0),"No se encuentra en la hoja de la jefatura (elíjala de nuevo en la lista)"&amp;" · ","")&amp;IF(OR(AND($E153&lt;&gt;"",NOT(ISNUMBER($E153))),AND($F153&lt;&gt;"",NOT(ISNUMBER($F153))),AND($G153&lt;&gt;"",NOT(ISNUMBER($G153)))),"Fecha no válida"&amp;" · ","")&amp;IF(AND(ISNUMBER($AM153),ISNUMBER($AN153),$AM153&gt;$AN153),"Inicio posterior a fecha límite"&amp;" · ","")&amp;IF(AND($V153="Macro",$H153&lt;&gt;"",OR(NOT(ISNUMBER($H153)),$H153&lt;0,$H153&gt;1)),"Peso fuera de rango"&amp;" · ","")&amp;IF(AND($V153="Sub",$H153&lt;&gt;""),"Las subactividades no llevan peso (valen igual dentro de su macroactividad)"&amp;" · ","")&amp;IF(AND(N($W153)&gt;0,COUNT($I153:$L153)&gt;0),"Con subactividades: deje vacías las semanas (se calculan solas)"&amp;" · ","")&amp;IF((COUNTIF($I153:$L153,"&gt;1")+COUNTIF($I153:$L153,"&lt;0")+COUNTA($I153:$L153)-COUNT($I153:$L153))&gt;0,"Avance fuera de rango 0-100%"&amp;" · ","")&amp;IF(OR(AND($J153&lt;&gt;"",$J153&lt;$I153),AND($K153&lt;&gt;"",$K153&lt;MAX($I153:$J153)),AND($L153&lt;&gt;"",$L153&lt;MAX($I153:$K153))),"Avance semanal decreciente"&amp;" · ","")&amp;IF(AND(ISNUMBER($AN153),$AN153&lt;FechaRef,IF($V153="Sub",N($X153),N($M153))&lt;1),"Vencida"&amp;" · ","")&amp;IF(AND(ObsObligatoria="Sí",ISNUMBER($AN153),$AN153&lt;FechaRef,IF($V153="Sub",N($X153),N($M153))&lt;1,$Q153=""),"Vencida sin observación"&amp;" · ",""),LEN(IF($C153="","Falta el nombre de la actividad"&amp;" · ","")&amp;IF(AND($V153="Sub",N($U153)=0),"Subactividad sin macroactividad arriba"&amp;" · ","")&amp;IF($AM153="","Sin fecha de inicio"&amp;" · ","")&amp;IF($AN153="","Sin fecha límite"&amp;" · ","")&amp;IF(AND(LEFT($C153,11)="[Jefatura] ",N($AL153)=0),"No se encuentra en la hoja de la jefatura (elíjala de nuevo en la lista)"&amp;" · ","")&amp;IF(OR(AND($E153&lt;&gt;"",NOT(ISNUMBER($E153))),AND($F153&lt;&gt;"",NOT(ISNUMBER($F153))),AND($G153&lt;&gt;"",NOT(ISNUMBER($G153)))),"Fecha no válida"&amp;" · ","")&amp;IF(AND(ISNUMBER($AM153),ISNUMBER($AN153),$AM153&gt;$AN153),"Inicio posterior a fecha límite"&amp;" · ","")&amp;IF(AND($V153="Macro",$H153&lt;&gt;"",OR(NOT(ISNUMBER($H153)),$H153&lt;0,$H153&gt;1)),"Peso fuera de rango"&amp;" · ","")&amp;IF(AND($V153="Sub",$H153&lt;&gt;""),"Las subactividades no llevan peso (valen igual dentro de su macroactividad)"&amp;" · ","")&amp;IF(AND(N($W153)&gt;0,COUNT($I153:$L153)&gt;0),"Con subactividades: deje vacías las semanas (se calculan solas)"&amp;" · ","")&amp;IF((COUNTIF($I153:$L153,"&gt;1")+COUNTIF($I153:$L153,"&lt;0")+COUNTA($I153:$L153)-COUNT($I153:$L153))&gt;0,"Avance fuera de rango 0-100%"&amp;" · ","")&amp;IF(OR(AND($J153&lt;&gt;"",$J153&lt;$I153),AND($K153&lt;&gt;"",$K153&lt;MAX($I153:$J153)),AND($L153&lt;&gt;"",$L153&lt;MAX($I153:$K153))),"Avance semanal decreciente"&amp;" · ","")&amp;IF(AND(ISNUMBER($AN153),$AN153&lt;FechaRef,IF($V153="Sub",N($X153),N($M153))&lt;1),"Vencida"&amp;" · ","")&amp;IF(AND(ObsObligatoria="Sí",ISNUMBER($AN153),$AN153&lt;FechaRef,IF($V153="Sub",N($X153),N($M153))&lt;1,$Q153=""),"Vencida sin observación"&amp;" · ",""))-3)))</f>
        <v/>
      </c>
      <c r="S153" s="64">
        <f>IF(NOT((COUNTA($B153:$D153)+COUNTA($G153:$L153)+COUNTA($Q153))&gt;0),"",IF(AND($V153="Sub",N($U153)&gt;0),IF(ISNUMBER(INDEX($AM$5:$AM$1000,$U153-4)),DATE(YEAR(INDEX($AM$5:$AM$1000,$U153-4)),MONTH(INDEX($AM$5:$AM$1000,$U153-4)),1),IF(ISNUMBER(INDEX($AN$5:$AN$1000,$U153-4)),DATE(YEAR(INDEX($AN$5:$AN$1000,$U153-4)),MONTH(INDEX($AN$5:$AN$1000,$U153-4)),1),MesCiclo)),IF(ISNUMBER($AM153),DATE(YEAR($AM153),MONTH($AM153),1),IF(ISNUMBER($AN153),DATE(YEAR($AN153),MONTH($AN153),1),MesCiclo))))</f>
        <v/>
      </c>
      <c r="T153" s="62">
        <f>IF(OR($S153="",$S153&lt;&gt;MesCiclo,$V153&lt;&gt;"Macro"),"",COUNTIFS($S$5:$S153,MesCiclo,$V$5:$V153,"Macro"))</f>
        <v/>
      </c>
      <c r="U153" s="62">
        <f>IF($V153="","",IF($V153="Macro",ROW(),IFERROR(LOOKUP(2,1/($V$5:$V153="Macro"),ROW($V$5:$V153)),0)))</f>
        <v/>
      </c>
      <c r="V153" s="62">
        <f>IF(NOT((COUNTA($B153:$D153)+COUNTA($G153:$L153)+COUNTA($Q153))&gt;0),"",IF($B153="Subactividad","Sub","Macro"))</f>
        <v/>
      </c>
      <c r="W153" s="62">
        <f>IF($V153="Macro",COUNTIFS($U$5:$U$1000,ROW(),$V$5:$V$1000,"Sub"),"")</f>
        <v/>
      </c>
      <c r="X153" s="62">
        <f>IF($V153="","",IF(ISNUMBER($G153),1,IFERROR(LOOKUP(2,1/($I153:$L153&lt;&gt;""),$I153:$L153),0)))</f>
        <v/>
      </c>
      <c r="Y153" s="62">
        <f>IF($V153="","",IF(AND(ISNUMBER($G153),$G153&lt;=IF($S153=MesCiclo,InicioCiclo,$S153+MOD(2-WEEKDAY($S153),7))+6),1,IF(ISNUMBER($I153),$I153,0)))</f>
        <v/>
      </c>
      <c r="Z153" s="62">
        <f>IF($V153="","",IF(AND(ISNUMBER($G153),$G153&lt;=IF($S153=MesCiclo,InicioCiclo,$S153+MOD(2-WEEKDAY($S153),7))+13),1,IF(ISNUMBER($J153),$J153,$Y153)))</f>
        <v/>
      </c>
      <c r="AA153" s="62">
        <f>IF($V153="","",IF(AND(ISNUMBER($G153),$G153&lt;=IF($S153=MesCiclo,InicioCiclo,$S153+MOD(2-WEEKDAY($S153),7))+20),1,IF(ISNUMBER($K153),$K153,$Z153)))</f>
        <v/>
      </c>
      <c r="AB153" s="62">
        <f>IF($V153="","",IF(AND(ISNUMBER($G153),$G153&lt;=IF($S153=MesCiclo,InicioCiclo,$S153+MOD(2-WEEKDAY($S153),7))+27),1,IF(ISNUMBER($L153),$L153,$AA153)))</f>
        <v/>
      </c>
      <c r="AC153" s="62">
        <f>IF($V153="","",IF(AND(ISNUMBER($G153),$G153&lt;=IF($S153=MesCiclo,InicioCiclo,$S153+MOD(2-WEEKDAY($S153),7))+6),1,IF(N($W153)&gt;0,AVERAGEIFS($Y$5:$Y$1000,$U$5:$U$1000,ROW(),$V$5:$V$1000,"Sub"),$Y153)))</f>
        <v/>
      </c>
      <c r="AD153" s="62">
        <f>IF($V153="","",IF(AND(ISNUMBER($G153),$G153&lt;=IF($S153=MesCiclo,InicioCiclo,$S153+MOD(2-WEEKDAY($S153),7))+13),1,IF(N($W153)&gt;0,AVERAGEIFS($Z$5:$Z$1000,$U$5:$U$1000,ROW(),$V$5:$V$1000,"Sub"),$Z153)))</f>
        <v/>
      </c>
      <c r="AE153" s="62">
        <f>IF($V153="","",IF(AND(ISNUMBER($G153),$G153&lt;=IF($S153=MesCiclo,InicioCiclo,$S153+MOD(2-WEEKDAY($S153),7))+20),1,IF(N($W153)&gt;0,AVERAGEIFS($AA$5:$AA$1000,$U$5:$U$1000,ROW(),$V$5:$V$1000,"Sub"),$AA153)))</f>
        <v/>
      </c>
      <c r="AF153" s="62">
        <f>IF($V153="","",IF(AND(ISNUMBER($G153),$G153&lt;=IF($S153=MesCiclo,InicioCiclo,$S153+MOD(2-WEEKDAY($S153),7))+27),1,IF(N($W153)&gt;0,AVERAGEIFS($AB$5:$AB$1000,$U$5:$U$1000,ROW(),$V$5:$V$1000,"Sub"),$AB153)))</f>
        <v/>
      </c>
      <c r="AG153" s="62">
        <f>IF($V153&lt;&gt;"Macro","",IF(COUNTIFS($S$5:$S$1000,$S153,$V$5:$V$1000,"Macro",$H$5:$H$1000,"&gt;0")=0,1/COUNTIFS($S$5:$S$1000,$S153,$V$5:$V$1000,"Macro"),IF(AND(ISNUMBER($H153),N($H153)&gt;0),$H153,SUMIFS($H$5:$H$1000,$S$5:$S$1000,$S153,$V$5:$V$1000,"Macro")/COUNTIFS($S$5:$S$1000,$S153,$V$5:$V$1000,"Macro",$H$5:$H$1000,"&gt;0"))/(COUNTIFS($S$5:$S$1000,$S153,$V$5:$V$1000,"Macro")*SUMIFS($H$5:$H$1000,$S$5:$S$1000,$S153,$V$5:$V$1000,"Macro")/COUNTIFS($S$5:$S$1000,$S153,$V$5:$V$1000,"Macro",$H$5:$H$1000,"&gt;0"))))</f>
        <v/>
      </c>
      <c r="AH153" s="62" t="n"/>
      <c r="AI153" s="62" t="n"/>
      <c r="AJ153" s="62" t="n"/>
      <c r="AK153" s="62" t="n"/>
      <c r="AL153" s="62">
        <f>IF(LEFT($C153,11)="[Jefatura] ",IFERROR(MATCH("Riesgo Operacional|"&amp;MID($C153,12,500),rDname_ADM,0),0),"")</f>
        <v/>
      </c>
      <c r="AM153" s="62">
        <f>IF(N($AL153)&gt;0,INDEX(rIni_ADM,$AL153),IF(ISNUMBER($E153),$E153,""))</f>
        <v/>
      </c>
      <c r="AN153" s="62">
        <f>IF(N($AL153)&gt;0,INDEX(rLim_ADM,$AL153),IF(ISNUMBER($F153),$F153,""))</f>
        <v/>
      </c>
    </row>
    <row r="154">
      <c r="A154" s="56">
        <f>IF(NOT((COUNTA($B154:$D154)+COUNTA($G154:$L154)+COUNTA($Q154))&gt;0),"",IF($V154="Macro",COUNTIFS($V$5:$V154,"Macro",$S$5:$S154,$S154),IF(N($U154)=0,"?",COUNTIFS(INDEX($V$5:$V$1000,1):INDEX($V$5:$V$1000,$U154-4),"Macro",INDEX($S$5:$S$1000,1):INDEX($S$5:$S$1000,$U154-4),INDEX($S$5:$S$1000,$U154-4))&amp;"."&amp;COUNTIFS($U$5:$U154,$U154,$V$5:$V154,"Sub"))))</f>
        <v/>
      </c>
      <c r="B154" s="57" t="n"/>
      <c r="C154" s="58" t="n"/>
      <c r="D154" s="58" t="n"/>
      <c r="E154" s="59">
        <f>IF(N($AL154)&gt;0,INDEX(rIni_ADM,$AL154),"")</f>
        <v/>
      </c>
      <c r="F154" s="59">
        <f>IF(N($AL154)&gt;0,INDEX(rLim_ADM,$AL154),"")</f>
        <v/>
      </c>
      <c r="G154" s="59" t="n"/>
      <c r="H154" s="60" t="n"/>
      <c r="I154" s="60" t="n"/>
      <c r="J154" s="60" t="n"/>
      <c r="K154" s="60" t="n"/>
      <c r="L154" s="60" t="n"/>
      <c r="M154" s="61">
        <f>IF(NOT((COUNTA($B154:$D154)+COUNTA($G154:$L154)+COUNTA($Q154))&gt;0),"",IF($V154="Sub",IFERROR($X154/INDEX($W$5:$W$1000,$U154-4),""),IF(ISNUMBER($G154),1,IF(N($W154)&gt;0,AVERAGEIFS($X$5:$X$1000,$U$5:$U$1000,ROW(),$V$5:$V$1000,"Sub"),$X154))))</f>
        <v/>
      </c>
      <c r="N154" s="56">
        <f>IF(OR($M154="",$V154="Sub"),"",IF($M154&gt;=1,"Completado",IF($M154&gt;0,"En curso","Pendiente")))</f>
        <v/>
      </c>
      <c r="O154" s="56">
        <f>IF(OR(NOT((COUNTA($B154:$D154)+COUNTA($G154:$L154)+COUNTA($Q154))&gt;0),$V154="Sub"),"",IF(ISNUMBER($G154),IF(AND(ISNUMBER($AN154),$G154&gt;$AN154),"Cumplida con "&amp;($G154-$AN154)&amp;IF($G154-$AN154=1," día"," días")&amp;" de retraso","Cumplida"),IF(N($M154)&gt;=1,"Cumplida",IF(NOT(ISNUMBER($AN154)),"Sin fecha límite",IF($AN154&lt;FechaRef,"Vencida hace "&amp;(FechaRef-$AN154)&amp;IF(FechaRef-$AN154=1," día"," días"),IF($AN154=FechaRef,"Vence hoy",IF($AN154-FechaRef&lt;=DiasAlerta,"Vence en "&amp;($AN154-FechaRef)&amp;IF($AN154-FechaRef=1," día"," días"),"En plazo")))))))</f>
        <v/>
      </c>
      <c r="P154" s="62" t="n"/>
      <c r="Q154" s="58" t="n"/>
      <c r="R154" s="63">
        <f>IF(NOT((COUNTA($B154:$D154)+COUNTA($G154:$L154)+COUNTA($Q154))&gt;0),"",IF((IF($C154="","Falta el nombre de la actividad"&amp;" · ","")&amp;IF(AND($V154="Sub",N($U154)=0),"Subactividad sin macroactividad arriba"&amp;" · ","")&amp;IF($AM154="","Sin fecha de inicio"&amp;" · ","")&amp;IF($AN154="","Sin fecha límite"&amp;" · ","")&amp;IF(AND(LEFT($C154,11)="[Jefatura] ",N($AL154)=0),"No se encuentra en la hoja de la jefatura (elíjala de nuevo en la lista)"&amp;" · ","")&amp;IF(OR(AND($E154&lt;&gt;"",NOT(ISNUMBER($E154))),AND($F154&lt;&gt;"",NOT(ISNUMBER($F154))),AND($G154&lt;&gt;"",NOT(ISNUMBER($G154)))),"Fecha no válida"&amp;" · ","")&amp;IF(AND(ISNUMBER($AM154),ISNUMBER($AN154),$AM154&gt;$AN154),"Inicio posterior a fecha límite"&amp;" · ","")&amp;IF(AND($V154="Macro",$H154&lt;&gt;"",OR(NOT(ISNUMBER($H154)),$H154&lt;0,$H154&gt;1)),"Peso fuera de rango"&amp;" · ","")&amp;IF(AND($V154="Sub",$H154&lt;&gt;""),"Las subactividades no llevan peso (valen igual dentro de su macroactividad)"&amp;" · ","")&amp;IF(AND(N($W154)&gt;0,COUNT($I154:$L154)&gt;0),"Con subactividades: deje vacías las semanas (se calculan solas)"&amp;" · ","")&amp;IF((COUNTIF($I154:$L154,"&gt;1")+COUNTIF($I154:$L154,"&lt;0")+COUNTA($I154:$L154)-COUNT($I154:$L154))&gt;0,"Avance fuera de rango 0-100%"&amp;" · ","")&amp;IF(OR(AND($J154&lt;&gt;"",$J154&lt;$I154),AND($K154&lt;&gt;"",$K154&lt;MAX($I154:$J154)),AND($L154&lt;&gt;"",$L154&lt;MAX($I154:$K154))),"Avance semanal decreciente"&amp;" · ","")&amp;IF(AND(ISNUMBER($AN154),$AN154&lt;FechaRef,IF($V154="Sub",N($X154),N($M154))&lt;1),"Vencida"&amp;" · ","")&amp;IF(AND(ObsObligatoria="Sí",ISNUMBER($AN154),$AN154&lt;FechaRef,IF($V154="Sub",N($X154),N($M154))&lt;1,$Q154=""),"Vencida sin observación"&amp;" · ",""))="","✔ OK","⚠ "&amp;LEFT(IF($C154="","Falta el nombre de la actividad"&amp;" · ","")&amp;IF(AND($V154="Sub",N($U154)=0),"Subactividad sin macroactividad arriba"&amp;" · ","")&amp;IF($AM154="","Sin fecha de inicio"&amp;" · ","")&amp;IF($AN154="","Sin fecha límite"&amp;" · ","")&amp;IF(AND(LEFT($C154,11)="[Jefatura] ",N($AL154)=0),"No se encuentra en la hoja de la jefatura (elíjala de nuevo en la lista)"&amp;" · ","")&amp;IF(OR(AND($E154&lt;&gt;"",NOT(ISNUMBER($E154))),AND($F154&lt;&gt;"",NOT(ISNUMBER($F154))),AND($G154&lt;&gt;"",NOT(ISNUMBER($G154)))),"Fecha no válida"&amp;" · ","")&amp;IF(AND(ISNUMBER($AM154),ISNUMBER($AN154),$AM154&gt;$AN154),"Inicio posterior a fecha límite"&amp;" · ","")&amp;IF(AND($V154="Macro",$H154&lt;&gt;"",OR(NOT(ISNUMBER($H154)),$H154&lt;0,$H154&gt;1)),"Peso fuera de rango"&amp;" · ","")&amp;IF(AND($V154="Sub",$H154&lt;&gt;""),"Las subactividades no llevan peso (valen igual dentro de su macroactividad)"&amp;" · ","")&amp;IF(AND(N($W154)&gt;0,COUNT($I154:$L154)&gt;0),"Con subactividades: deje vacías las semanas (se calculan solas)"&amp;" · ","")&amp;IF((COUNTIF($I154:$L154,"&gt;1")+COUNTIF($I154:$L154,"&lt;0")+COUNTA($I154:$L154)-COUNT($I154:$L154))&gt;0,"Avance fuera de rango 0-100%"&amp;" · ","")&amp;IF(OR(AND($J154&lt;&gt;"",$J154&lt;$I154),AND($K154&lt;&gt;"",$K154&lt;MAX($I154:$J154)),AND($L154&lt;&gt;"",$L154&lt;MAX($I154:$K154))),"Avance semanal decreciente"&amp;" · ","")&amp;IF(AND(ISNUMBER($AN154),$AN154&lt;FechaRef,IF($V154="Sub",N($X154),N($M154))&lt;1),"Vencida"&amp;" · ","")&amp;IF(AND(ObsObligatoria="Sí",ISNUMBER($AN154),$AN154&lt;FechaRef,IF($V154="Sub",N($X154),N($M154))&lt;1,$Q154=""),"Vencida sin observación"&amp;" · ",""),LEN(IF($C154="","Falta el nombre de la actividad"&amp;" · ","")&amp;IF(AND($V154="Sub",N($U154)=0),"Subactividad sin macroactividad arriba"&amp;" · ","")&amp;IF($AM154="","Sin fecha de inicio"&amp;" · ","")&amp;IF($AN154="","Sin fecha límite"&amp;" · ","")&amp;IF(AND(LEFT($C154,11)="[Jefatura] ",N($AL154)=0),"No se encuentra en la hoja de la jefatura (elíjala de nuevo en la lista)"&amp;" · ","")&amp;IF(OR(AND($E154&lt;&gt;"",NOT(ISNUMBER($E154))),AND($F154&lt;&gt;"",NOT(ISNUMBER($F154))),AND($G154&lt;&gt;"",NOT(ISNUMBER($G154)))),"Fecha no válida"&amp;" · ","")&amp;IF(AND(ISNUMBER($AM154),ISNUMBER($AN154),$AM154&gt;$AN154),"Inicio posterior a fecha límite"&amp;" · ","")&amp;IF(AND($V154="Macro",$H154&lt;&gt;"",OR(NOT(ISNUMBER($H154)),$H154&lt;0,$H154&gt;1)),"Peso fuera de rango"&amp;" · ","")&amp;IF(AND($V154="Sub",$H154&lt;&gt;""),"Las subactividades no llevan peso (valen igual dentro de su macroactividad)"&amp;" · ","")&amp;IF(AND(N($W154)&gt;0,COUNT($I154:$L154)&gt;0),"Con subactividades: deje vacías las semanas (se calculan solas)"&amp;" · ","")&amp;IF((COUNTIF($I154:$L154,"&gt;1")+COUNTIF($I154:$L154,"&lt;0")+COUNTA($I154:$L154)-COUNT($I154:$L154))&gt;0,"Avance fuera de rango 0-100%"&amp;" · ","")&amp;IF(OR(AND($J154&lt;&gt;"",$J154&lt;$I154),AND($K154&lt;&gt;"",$K154&lt;MAX($I154:$J154)),AND($L154&lt;&gt;"",$L154&lt;MAX($I154:$K154))),"Avance semanal decreciente"&amp;" · ","")&amp;IF(AND(ISNUMBER($AN154),$AN154&lt;FechaRef,IF($V154="Sub",N($X154),N($M154))&lt;1),"Vencida"&amp;" · ","")&amp;IF(AND(ObsObligatoria="Sí",ISNUMBER($AN154),$AN154&lt;FechaRef,IF($V154="Sub",N($X154),N($M154))&lt;1,$Q154=""),"Vencida sin observación"&amp;" · ",""))-3)))</f>
        <v/>
      </c>
      <c r="S154" s="64">
        <f>IF(NOT((COUNTA($B154:$D154)+COUNTA($G154:$L154)+COUNTA($Q154))&gt;0),"",IF(AND($V154="Sub",N($U154)&gt;0),IF(ISNUMBER(INDEX($AM$5:$AM$1000,$U154-4)),DATE(YEAR(INDEX($AM$5:$AM$1000,$U154-4)),MONTH(INDEX($AM$5:$AM$1000,$U154-4)),1),IF(ISNUMBER(INDEX($AN$5:$AN$1000,$U154-4)),DATE(YEAR(INDEX($AN$5:$AN$1000,$U154-4)),MONTH(INDEX($AN$5:$AN$1000,$U154-4)),1),MesCiclo)),IF(ISNUMBER($AM154),DATE(YEAR($AM154),MONTH($AM154),1),IF(ISNUMBER($AN154),DATE(YEAR($AN154),MONTH($AN154),1),MesCiclo))))</f>
        <v/>
      </c>
      <c r="T154" s="62">
        <f>IF(OR($S154="",$S154&lt;&gt;MesCiclo,$V154&lt;&gt;"Macro"),"",COUNTIFS($S$5:$S154,MesCiclo,$V$5:$V154,"Macro"))</f>
        <v/>
      </c>
      <c r="U154" s="62">
        <f>IF($V154="","",IF($V154="Macro",ROW(),IFERROR(LOOKUP(2,1/($V$5:$V154="Macro"),ROW($V$5:$V154)),0)))</f>
        <v/>
      </c>
      <c r="V154" s="62">
        <f>IF(NOT((COUNTA($B154:$D154)+COUNTA($G154:$L154)+COUNTA($Q154))&gt;0),"",IF($B154="Subactividad","Sub","Macro"))</f>
        <v/>
      </c>
      <c r="W154" s="62">
        <f>IF($V154="Macro",COUNTIFS($U$5:$U$1000,ROW(),$V$5:$V$1000,"Sub"),"")</f>
        <v/>
      </c>
      <c r="X154" s="62">
        <f>IF($V154="","",IF(ISNUMBER($G154),1,IFERROR(LOOKUP(2,1/($I154:$L154&lt;&gt;""),$I154:$L154),0)))</f>
        <v/>
      </c>
      <c r="Y154" s="62">
        <f>IF($V154="","",IF(AND(ISNUMBER($G154),$G154&lt;=IF($S154=MesCiclo,InicioCiclo,$S154+MOD(2-WEEKDAY($S154),7))+6),1,IF(ISNUMBER($I154),$I154,0)))</f>
        <v/>
      </c>
      <c r="Z154" s="62">
        <f>IF($V154="","",IF(AND(ISNUMBER($G154),$G154&lt;=IF($S154=MesCiclo,InicioCiclo,$S154+MOD(2-WEEKDAY($S154),7))+13),1,IF(ISNUMBER($J154),$J154,$Y154)))</f>
        <v/>
      </c>
      <c r="AA154" s="62">
        <f>IF($V154="","",IF(AND(ISNUMBER($G154),$G154&lt;=IF($S154=MesCiclo,InicioCiclo,$S154+MOD(2-WEEKDAY($S154),7))+20),1,IF(ISNUMBER($K154),$K154,$Z154)))</f>
        <v/>
      </c>
      <c r="AB154" s="62">
        <f>IF($V154="","",IF(AND(ISNUMBER($G154),$G154&lt;=IF($S154=MesCiclo,InicioCiclo,$S154+MOD(2-WEEKDAY($S154),7))+27),1,IF(ISNUMBER($L154),$L154,$AA154)))</f>
        <v/>
      </c>
      <c r="AC154" s="62">
        <f>IF($V154="","",IF(AND(ISNUMBER($G154),$G154&lt;=IF($S154=MesCiclo,InicioCiclo,$S154+MOD(2-WEEKDAY($S154),7))+6),1,IF(N($W154)&gt;0,AVERAGEIFS($Y$5:$Y$1000,$U$5:$U$1000,ROW(),$V$5:$V$1000,"Sub"),$Y154)))</f>
        <v/>
      </c>
      <c r="AD154" s="62">
        <f>IF($V154="","",IF(AND(ISNUMBER($G154),$G154&lt;=IF($S154=MesCiclo,InicioCiclo,$S154+MOD(2-WEEKDAY($S154),7))+13),1,IF(N($W154)&gt;0,AVERAGEIFS($Z$5:$Z$1000,$U$5:$U$1000,ROW(),$V$5:$V$1000,"Sub"),$Z154)))</f>
        <v/>
      </c>
      <c r="AE154" s="62">
        <f>IF($V154="","",IF(AND(ISNUMBER($G154),$G154&lt;=IF($S154=MesCiclo,InicioCiclo,$S154+MOD(2-WEEKDAY($S154),7))+20),1,IF(N($W154)&gt;0,AVERAGEIFS($AA$5:$AA$1000,$U$5:$U$1000,ROW(),$V$5:$V$1000,"Sub"),$AA154)))</f>
        <v/>
      </c>
      <c r="AF154" s="62">
        <f>IF($V154="","",IF(AND(ISNUMBER($G154),$G154&lt;=IF($S154=MesCiclo,InicioCiclo,$S154+MOD(2-WEEKDAY($S154),7))+27),1,IF(N($W154)&gt;0,AVERAGEIFS($AB$5:$AB$1000,$U$5:$U$1000,ROW(),$V$5:$V$1000,"Sub"),$AB154)))</f>
        <v/>
      </c>
      <c r="AG154" s="62">
        <f>IF($V154&lt;&gt;"Macro","",IF(COUNTIFS($S$5:$S$1000,$S154,$V$5:$V$1000,"Macro",$H$5:$H$1000,"&gt;0")=0,1/COUNTIFS($S$5:$S$1000,$S154,$V$5:$V$1000,"Macro"),IF(AND(ISNUMBER($H154),N($H154)&gt;0),$H154,SUMIFS($H$5:$H$1000,$S$5:$S$1000,$S154,$V$5:$V$1000,"Macro")/COUNTIFS($S$5:$S$1000,$S154,$V$5:$V$1000,"Macro",$H$5:$H$1000,"&gt;0"))/(COUNTIFS($S$5:$S$1000,$S154,$V$5:$V$1000,"Macro")*SUMIFS($H$5:$H$1000,$S$5:$S$1000,$S154,$V$5:$V$1000,"Macro")/COUNTIFS($S$5:$S$1000,$S154,$V$5:$V$1000,"Macro",$H$5:$H$1000,"&gt;0"))))</f>
        <v/>
      </c>
      <c r="AH154" s="62" t="n"/>
      <c r="AI154" s="62" t="n"/>
      <c r="AJ154" s="62" t="n"/>
      <c r="AK154" s="62" t="n"/>
      <c r="AL154" s="62">
        <f>IF(LEFT($C154,11)="[Jefatura] ",IFERROR(MATCH("Riesgo Operacional|"&amp;MID($C154,12,500),rDname_ADM,0),0),"")</f>
        <v/>
      </c>
      <c r="AM154" s="62">
        <f>IF(N($AL154)&gt;0,INDEX(rIni_ADM,$AL154),IF(ISNUMBER($E154),$E154,""))</f>
        <v/>
      </c>
      <c r="AN154" s="62">
        <f>IF(N($AL154)&gt;0,INDEX(rLim_ADM,$AL154),IF(ISNUMBER($F154),$F154,""))</f>
        <v/>
      </c>
    </row>
    <row r="155">
      <c r="A155" s="56">
        <f>IF(NOT((COUNTA($B155:$D155)+COUNTA($G155:$L155)+COUNTA($Q155))&gt;0),"",IF($V155="Macro",COUNTIFS($V$5:$V155,"Macro",$S$5:$S155,$S155),IF(N($U155)=0,"?",COUNTIFS(INDEX($V$5:$V$1000,1):INDEX($V$5:$V$1000,$U155-4),"Macro",INDEX($S$5:$S$1000,1):INDEX($S$5:$S$1000,$U155-4),INDEX($S$5:$S$1000,$U155-4))&amp;"."&amp;COUNTIFS($U$5:$U155,$U155,$V$5:$V155,"Sub"))))</f>
        <v/>
      </c>
      <c r="B155" s="57" t="n"/>
      <c r="C155" s="58" t="n"/>
      <c r="D155" s="58" t="n"/>
      <c r="E155" s="59">
        <f>IF(N($AL155)&gt;0,INDEX(rIni_ADM,$AL155),"")</f>
        <v/>
      </c>
      <c r="F155" s="59">
        <f>IF(N($AL155)&gt;0,INDEX(rLim_ADM,$AL155),"")</f>
        <v/>
      </c>
      <c r="G155" s="59" t="n"/>
      <c r="H155" s="60" t="n"/>
      <c r="I155" s="60" t="n"/>
      <c r="J155" s="60" t="n"/>
      <c r="K155" s="60" t="n"/>
      <c r="L155" s="60" t="n"/>
      <c r="M155" s="61">
        <f>IF(NOT((COUNTA($B155:$D155)+COUNTA($G155:$L155)+COUNTA($Q155))&gt;0),"",IF($V155="Sub",IFERROR($X155/INDEX($W$5:$W$1000,$U155-4),""),IF(ISNUMBER($G155),1,IF(N($W155)&gt;0,AVERAGEIFS($X$5:$X$1000,$U$5:$U$1000,ROW(),$V$5:$V$1000,"Sub"),$X155))))</f>
        <v/>
      </c>
      <c r="N155" s="56">
        <f>IF(OR($M155="",$V155="Sub"),"",IF($M155&gt;=1,"Completado",IF($M155&gt;0,"En curso","Pendiente")))</f>
        <v/>
      </c>
      <c r="O155" s="56">
        <f>IF(OR(NOT((COUNTA($B155:$D155)+COUNTA($G155:$L155)+COUNTA($Q155))&gt;0),$V155="Sub"),"",IF(ISNUMBER($G155),IF(AND(ISNUMBER($AN155),$G155&gt;$AN155),"Cumplida con "&amp;($G155-$AN155)&amp;IF($G155-$AN155=1," día"," días")&amp;" de retraso","Cumplida"),IF(N($M155)&gt;=1,"Cumplida",IF(NOT(ISNUMBER($AN155)),"Sin fecha límite",IF($AN155&lt;FechaRef,"Vencida hace "&amp;(FechaRef-$AN155)&amp;IF(FechaRef-$AN155=1," día"," días"),IF($AN155=FechaRef,"Vence hoy",IF($AN155-FechaRef&lt;=DiasAlerta,"Vence en "&amp;($AN155-FechaRef)&amp;IF($AN155-FechaRef=1," día"," días"),"En plazo")))))))</f>
        <v/>
      </c>
      <c r="P155" s="62" t="n"/>
      <c r="Q155" s="58" t="n"/>
      <c r="R155" s="63">
        <f>IF(NOT((COUNTA($B155:$D155)+COUNTA($G155:$L155)+COUNTA($Q155))&gt;0),"",IF((IF($C155="","Falta el nombre de la actividad"&amp;" · ","")&amp;IF(AND($V155="Sub",N($U155)=0),"Subactividad sin macroactividad arriba"&amp;" · ","")&amp;IF($AM155="","Sin fecha de inicio"&amp;" · ","")&amp;IF($AN155="","Sin fecha límite"&amp;" · ","")&amp;IF(AND(LEFT($C155,11)="[Jefatura] ",N($AL155)=0),"No se encuentra en la hoja de la jefatura (elíjala de nuevo en la lista)"&amp;" · ","")&amp;IF(OR(AND($E155&lt;&gt;"",NOT(ISNUMBER($E155))),AND($F155&lt;&gt;"",NOT(ISNUMBER($F155))),AND($G155&lt;&gt;"",NOT(ISNUMBER($G155)))),"Fecha no válida"&amp;" · ","")&amp;IF(AND(ISNUMBER($AM155),ISNUMBER($AN155),$AM155&gt;$AN155),"Inicio posterior a fecha límite"&amp;" · ","")&amp;IF(AND($V155="Macro",$H155&lt;&gt;"",OR(NOT(ISNUMBER($H155)),$H155&lt;0,$H155&gt;1)),"Peso fuera de rango"&amp;" · ","")&amp;IF(AND($V155="Sub",$H155&lt;&gt;""),"Las subactividades no llevan peso (valen igual dentro de su macroactividad)"&amp;" · ","")&amp;IF(AND(N($W155)&gt;0,COUNT($I155:$L155)&gt;0),"Con subactividades: deje vacías las semanas (se calculan solas)"&amp;" · ","")&amp;IF((COUNTIF($I155:$L155,"&gt;1")+COUNTIF($I155:$L155,"&lt;0")+COUNTA($I155:$L155)-COUNT($I155:$L155))&gt;0,"Avance fuera de rango 0-100%"&amp;" · ","")&amp;IF(OR(AND($J155&lt;&gt;"",$J155&lt;$I155),AND($K155&lt;&gt;"",$K155&lt;MAX($I155:$J155)),AND($L155&lt;&gt;"",$L155&lt;MAX($I155:$K155))),"Avance semanal decreciente"&amp;" · ","")&amp;IF(AND(ISNUMBER($AN155),$AN155&lt;FechaRef,IF($V155="Sub",N($X155),N($M155))&lt;1),"Vencida"&amp;" · ","")&amp;IF(AND(ObsObligatoria="Sí",ISNUMBER($AN155),$AN155&lt;FechaRef,IF($V155="Sub",N($X155),N($M155))&lt;1,$Q155=""),"Vencida sin observación"&amp;" · ",""))="","✔ OK","⚠ "&amp;LEFT(IF($C155="","Falta el nombre de la actividad"&amp;" · ","")&amp;IF(AND($V155="Sub",N($U155)=0),"Subactividad sin macroactividad arriba"&amp;" · ","")&amp;IF($AM155="","Sin fecha de inicio"&amp;" · ","")&amp;IF($AN155="","Sin fecha límite"&amp;" · ","")&amp;IF(AND(LEFT($C155,11)="[Jefatura] ",N($AL155)=0),"No se encuentra en la hoja de la jefatura (elíjala de nuevo en la lista)"&amp;" · ","")&amp;IF(OR(AND($E155&lt;&gt;"",NOT(ISNUMBER($E155))),AND($F155&lt;&gt;"",NOT(ISNUMBER($F155))),AND($G155&lt;&gt;"",NOT(ISNUMBER($G155)))),"Fecha no válida"&amp;" · ","")&amp;IF(AND(ISNUMBER($AM155),ISNUMBER($AN155),$AM155&gt;$AN155),"Inicio posterior a fecha límite"&amp;" · ","")&amp;IF(AND($V155="Macro",$H155&lt;&gt;"",OR(NOT(ISNUMBER($H155)),$H155&lt;0,$H155&gt;1)),"Peso fuera de rango"&amp;" · ","")&amp;IF(AND($V155="Sub",$H155&lt;&gt;""),"Las subactividades no llevan peso (valen igual dentro de su macroactividad)"&amp;" · ","")&amp;IF(AND(N($W155)&gt;0,COUNT($I155:$L155)&gt;0),"Con subactividades: deje vacías las semanas (se calculan solas)"&amp;" · ","")&amp;IF((COUNTIF($I155:$L155,"&gt;1")+COUNTIF($I155:$L155,"&lt;0")+COUNTA($I155:$L155)-COUNT($I155:$L155))&gt;0,"Avance fuera de rango 0-100%"&amp;" · ","")&amp;IF(OR(AND($J155&lt;&gt;"",$J155&lt;$I155),AND($K155&lt;&gt;"",$K155&lt;MAX($I155:$J155)),AND($L155&lt;&gt;"",$L155&lt;MAX($I155:$K155))),"Avance semanal decreciente"&amp;" · ","")&amp;IF(AND(ISNUMBER($AN155),$AN155&lt;FechaRef,IF($V155="Sub",N($X155),N($M155))&lt;1),"Vencida"&amp;" · ","")&amp;IF(AND(ObsObligatoria="Sí",ISNUMBER($AN155),$AN155&lt;FechaRef,IF($V155="Sub",N($X155),N($M155))&lt;1,$Q155=""),"Vencida sin observación"&amp;" · ",""),LEN(IF($C155="","Falta el nombre de la actividad"&amp;" · ","")&amp;IF(AND($V155="Sub",N($U155)=0),"Subactividad sin macroactividad arriba"&amp;" · ","")&amp;IF($AM155="","Sin fecha de inicio"&amp;" · ","")&amp;IF($AN155="","Sin fecha límite"&amp;" · ","")&amp;IF(AND(LEFT($C155,11)="[Jefatura] ",N($AL155)=0),"No se encuentra en la hoja de la jefatura (elíjala de nuevo en la lista)"&amp;" · ","")&amp;IF(OR(AND($E155&lt;&gt;"",NOT(ISNUMBER($E155))),AND($F155&lt;&gt;"",NOT(ISNUMBER($F155))),AND($G155&lt;&gt;"",NOT(ISNUMBER($G155)))),"Fecha no válida"&amp;" · ","")&amp;IF(AND(ISNUMBER($AM155),ISNUMBER($AN155),$AM155&gt;$AN155),"Inicio posterior a fecha límite"&amp;" · ","")&amp;IF(AND($V155="Macro",$H155&lt;&gt;"",OR(NOT(ISNUMBER($H155)),$H155&lt;0,$H155&gt;1)),"Peso fuera de rango"&amp;" · ","")&amp;IF(AND($V155="Sub",$H155&lt;&gt;""),"Las subactividades no llevan peso (valen igual dentro de su macroactividad)"&amp;" · ","")&amp;IF(AND(N($W155)&gt;0,COUNT($I155:$L155)&gt;0),"Con subactividades: deje vacías las semanas (se calculan solas)"&amp;" · ","")&amp;IF((COUNTIF($I155:$L155,"&gt;1")+COUNTIF($I155:$L155,"&lt;0")+COUNTA($I155:$L155)-COUNT($I155:$L155))&gt;0,"Avance fuera de rango 0-100%"&amp;" · ","")&amp;IF(OR(AND($J155&lt;&gt;"",$J155&lt;$I155),AND($K155&lt;&gt;"",$K155&lt;MAX($I155:$J155)),AND($L155&lt;&gt;"",$L155&lt;MAX($I155:$K155))),"Avance semanal decreciente"&amp;" · ","")&amp;IF(AND(ISNUMBER($AN155),$AN155&lt;FechaRef,IF($V155="Sub",N($X155),N($M155))&lt;1),"Vencida"&amp;" · ","")&amp;IF(AND(ObsObligatoria="Sí",ISNUMBER($AN155),$AN155&lt;FechaRef,IF($V155="Sub",N($X155),N($M155))&lt;1,$Q155=""),"Vencida sin observación"&amp;" · ",""))-3)))</f>
        <v/>
      </c>
      <c r="S155" s="64">
        <f>IF(NOT((COUNTA($B155:$D155)+COUNTA($G155:$L155)+COUNTA($Q155))&gt;0),"",IF(AND($V155="Sub",N($U155)&gt;0),IF(ISNUMBER(INDEX($AM$5:$AM$1000,$U155-4)),DATE(YEAR(INDEX($AM$5:$AM$1000,$U155-4)),MONTH(INDEX($AM$5:$AM$1000,$U155-4)),1),IF(ISNUMBER(INDEX($AN$5:$AN$1000,$U155-4)),DATE(YEAR(INDEX($AN$5:$AN$1000,$U155-4)),MONTH(INDEX($AN$5:$AN$1000,$U155-4)),1),MesCiclo)),IF(ISNUMBER($AM155),DATE(YEAR($AM155),MONTH($AM155),1),IF(ISNUMBER($AN155),DATE(YEAR($AN155),MONTH($AN155),1),MesCiclo))))</f>
        <v/>
      </c>
      <c r="T155" s="62">
        <f>IF(OR($S155="",$S155&lt;&gt;MesCiclo,$V155&lt;&gt;"Macro"),"",COUNTIFS($S$5:$S155,MesCiclo,$V$5:$V155,"Macro"))</f>
        <v/>
      </c>
      <c r="U155" s="62">
        <f>IF($V155="","",IF($V155="Macro",ROW(),IFERROR(LOOKUP(2,1/($V$5:$V155="Macro"),ROW($V$5:$V155)),0)))</f>
        <v/>
      </c>
      <c r="V155" s="62">
        <f>IF(NOT((COUNTA($B155:$D155)+COUNTA($G155:$L155)+COUNTA($Q155))&gt;0),"",IF($B155="Subactividad","Sub","Macro"))</f>
        <v/>
      </c>
      <c r="W155" s="62">
        <f>IF($V155="Macro",COUNTIFS($U$5:$U$1000,ROW(),$V$5:$V$1000,"Sub"),"")</f>
        <v/>
      </c>
      <c r="X155" s="62">
        <f>IF($V155="","",IF(ISNUMBER($G155),1,IFERROR(LOOKUP(2,1/($I155:$L155&lt;&gt;""),$I155:$L155),0)))</f>
        <v/>
      </c>
      <c r="Y155" s="62">
        <f>IF($V155="","",IF(AND(ISNUMBER($G155),$G155&lt;=IF($S155=MesCiclo,InicioCiclo,$S155+MOD(2-WEEKDAY($S155),7))+6),1,IF(ISNUMBER($I155),$I155,0)))</f>
        <v/>
      </c>
      <c r="Z155" s="62">
        <f>IF($V155="","",IF(AND(ISNUMBER($G155),$G155&lt;=IF($S155=MesCiclo,InicioCiclo,$S155+MOD(2-WEEKDAY($S155),7))+13),1,IF(ISNUMBER($J155),$J155,$Y155)))</f>
        <v/>
      </c>
      <c r="AA155" s="62">
        <f>IF($V155="","",IF(AND(ISNUMBER($G155),$G155&lt;=IF($S155=MesCiclo,InicioCiclo,$S155+MOD(2-WEEKDAY($S155),7))+20),1,IF(ISNUMBER($K155),$K155,$Z155)))</f>
        <v/>
      </c>
      <c r="AB155" s="62">
        <f>IF($V155="","",IF(AND(ISNUMBER($G155),$G155&lt;=IF($S155=MesCiclo,InicioCiclo,$S155+MOD(2-WEEKDAY($S155),7))+27),1,IF(ISNUMBER($L155),$L155,$AA155)))</f>
        <v/>
      </c>
      <c r="AC155" s="62">
        <f>IF($V155="","",IF(AND(ISNUMBER($G155),$G155&lt;=IF($S155=MesCiclo,InicioCiclo,$S155+MOD(2-WEEKDAY($S155),7))+6),1,IF(N($W155)&gt;0,AVERAGEIFS($Y$5:$Y$1000,$U$5:$U$1000,ROW(),$V$5:$V$1000,"Sub"),$Y155)))</f>
        <v/>
      </c>
      <c r="AD155" s="62">
        <f>IF($V155="","",IF(AND(ISNUMBER($G155),$G155&lt;=IF($S155=MesCiclo,InicioCiclo,$S155+MOD(2-WEEKDAY($S155),7))+13),1,IF(N($W155)&gt;0,AVERAGEIFS($Z$5:$Z$1000,$U$5:$U$1000,ROW(),$V$5:$V$1000,"Sub"),$Z155)))</f>
        <v/>
      </c>
      <c r="AE155" s="62">
        <f>IF($V155="","",IF(AND(ISNUMBER($G155),$G155&lt;=IF($S155=MesCiclo,InicioCiclo,$S155+MOD(2-WEEKDAY($S155),7))+20),1,IF(N($W155)&gt;0,AVERAGEIFS($AA$5:$AA$1000,$U$5:$U$1000,ROW(),$V$5:$V$1000,"Sub"),$AA155)))</f>
        <v/>
      </c>
      <c r="AF155" s="62">
        <f>IF($V155="","",IF(AND(ISNUMBER($G155),$G155&lt;=IF($S155=MesCiclo,InicioCiclo,$S155+MOD(2-WEEKDAY($S155),7))+27),1,IF(N($W155)&gt;0,AVERAGEIFS($AB$5:$AB$1000,$U$5:$U$1000,ROW(),$V$5:$V$1000,"Sub"),$AB155)))</f>
        <v/>
      </c>
      <c r="AG155" s="62">
        <f>IF($V155&lt;&gt;"Macro","",IF(COUNTIFS($S$5:$S$1000,$S155,$V$5:$V$1000,"Macro",$H$5:$H$1000,"&gt;0")=0,1/COUNTIFS($S$5:$S$1000,$S155,$V$5:$V$1000,"Macro"),IF(AND(ISNUMBER($H155),N($H155)&gt;0),$H155,SUMIFS($H$5:$H$1000,$S$5:$S$1000,$S155,$V$5:$V$1000,"Macro")/COUNTIFS($S$5:$S$1000,$S155,$V$5:$V$1000,"Macro",$H$5:$H$1000,"&gt;0"))/(COUNTIFS($S$5:$S$1000,$S155,$V$5:$V$1000,"Macro")*SUMIFS($H$5:$H$1000,$S$5:$S$1000,$S155,$V$5:$V$1000,"Macro")/COUNTIFS($S$5:$S$1000,$S155,$V$5:$V$1000,"Macro",$H$5:$H$1000,"&gt;0"))))</f>
        <v/>
      </c>
      <c r="AH155" s="62" t="n"/>
      <c r="AI155" s="62" t="n"/>
      <c r="AJ155" s="62" t="n"/>
      <c r="AK155" s="62" t="n"/>
      <c r="AL155" s="62">
        <f>IF(LEFT($C155,11)="[Jefatura] ",IFERROR(MATCH("Riesgo Operacional|"&amp;MID($C155,12,500),rDname_ADM,0),0),"")</f>
        <v/>
      </c>
      <c r="AM155" s="62">
        <f>IF(N($AL155)&gt;0,INDEX(rIni_ADM,$AL155),IF(ISNUMBER($E155),$E155,""))</f>
        <v/>
      </c>
      <c r="AN155" s="62">
        <f>IF(N($AL155)&gt;0,INDEX(rLim_ADM,$AL155),IF(ISNUMBER($F155),$F155,""))</f>
        <v/>
      </c>
    </row>
    <row r="156">
      <c r="A156" s="56">
        <f>IF(NOT((COUNTA($B156:$D156)+COUNTA($G156:$L156)+COUNTA($Q156))&gt;0),"",IF($V156="Macro",COUNTIFS($V$5:$V156,"Macro",$S$5:$S156,$S156),IF(N($U156)=0,"?",COUNTIFS(INDEX($V$5:$V$1000,1):INDEX($V$5:$V$1000,$U156-4),"Macro",INDEX($S$5:$S$1000,1):INDEX($S$5:$S$1000,$U156-4),INDEX($S$5:$S$1000,$U156-4))&amp;"."&amp;COUNTIFS($U$5:$U156,$U156,$V$5:$V156,"Sub"))))</f>
        <v/>
      </c>
      <c r="B156" s="57" t="n"/>
      <c r="C156" s="58" t="n"/>
      <c r="D156" s="58" t="n"/>
      <c r="E156" s="59">
        <f>IF(N($AL156)&gt;0,INDEX(rIni_ADM,$AL156),"")</f>
        <v/>
      </c>
      <c r="F156" s="59">
        <f>IF(N($AL156)&gt;0,INDEX(rLim_ADM,$AL156),"")</f>
        <v/>
      </c>
      <c r="G156" s="59" t="n"/>
      <c r="H156" s="60" t="n"/>
      <c r="I156" s="60" t="n"/>
      <c r="J156" s="60" t="n"/>
      <c r="K156" s="60" t="n"/>
      <c r="L156" s="60" t="n"/>
      <c r="M156" s="61">
        <f>IF(NOT((COUNTA($B156:$D156)+COUNTA($G156:$L156)+COUNTA($Q156))&gt;0),"",IF($V156="Sub",IFERROR($X156/INDEX($W$5:$W$1000,$U156-4),""),IF(ISNUMBER($G156),1,IF(N($W156)&gt;0,AVERAGEIFS($X$5:$X$1000,$U$5:$U$1000,ROW(),$V$5:$V$1000,"Sub"),$X156))))</f>
        <v/>
      </c>
      <c r="N156" s="56">
        <f>IF(OR($M156="",$V156="Sub"),"",IF($M156&gt;=1,"Completado",IF($M156&gt;0,"En curso","Pendiente")))</f>
        <v/>
      </c>
      <c r="O156" s="56">
        <f>IF(OR(NOT((COUNTA($B156:$D156)+COUNTA($G156:$L156)+COUNTA($Q156))&gt;0),$V156="Sub"),"",IF(ISNUMBER($G156),IF(AND(ISNUMBER($AN156),$G156&gt;$AN156),"Cumplida con "&amp;($G156-$AN156)&amp;IF($G156-$AN156=1," día"," días")&amp;" de retraso","Cumplida"),IF(N($M156)&gt;=1,"Cumplida",IF(NOT(ISNUMBER($AN156)),"Sin fecha límite",IF($AN156&lt;FechaRef,"Vencida hace "&amp;(FechaRef-$AN156)&amp;IF(FechaRef-$AN156=1," día"," días"),IF($AN156=FechaRef,"Vence hoy",IF($AN156-FechaRef&lt;=DiasAlerta,"Vence en "&amp;($AN156-FechaRef)&amp;IF($AN156-FechaRef=1," día"," días"),"En plazo")))))))</f>
        <v/>
      </c>
      <c r="P156" s="62" t="n"/>
      <c r="Q156" s="58" t="n"/>
      <c r="R156" s="63">
        <f>IF(NOT((COUNTA($B156:$D156)+COUNTA($G156:$L156)+COUNTA($Q156))&gt;0),"",IF((IF($C156="","Falta el nombre de la actividad"&amp;" · ","")&amp;IF(AND($V156="Sub",N($U156)=0),"Subactividad sin macroactividad arriba"&amp;" · ","")&amp;IF($AM156="","Sin fecha de inicio"&amp;" · ","")&amp;IF($AN156="","Sin fecha límite"&amp;" · ","")&amp;IF(AND(LEFT($C156,11)="[Jefatura] ",N($AL156)=0),"No se encuentra en la hoja de la jefatura (elíjala de nuevo en la lista)"&amp;" · ","")&amp;IF(OR(AND($E156&lt;&gt;"",NOT(ISNUMBER($E156))),AND($F156&lt;&gt;"",NOT(ISNUMBER($F156))),AND($G156&lt;&gt;"",NOT(ISNUMBER($G156)))),"Fecha no válida"&amp;" · ","")&amp;IF(AND(ISNUMBER($AM156),ISNUMBER($AN156),$AM156&gt;$AN156),"Inicio posterior a fecha límite"&amp;" · ","")&amp;IF(AND($V156="Macro",$H156&lt;&gt;"",OR(NOT(ISNUMBER($H156)),$H156&lt;0,$H156&gt;1)),"Peso fuera de rango"&amp;" · ","")&amp;IF(AND($V156="Sub",$H156&lt;&gt;""),"Las subactividades no llevan peso (valen igual dentro de su macroactividad)"&amp;" · ","")&amp;IF(AND(N($W156)&gt;0,COUNT($I156:$L156)&gt;0),"Con subactividades: deje vacías las semanas (se calculan solas)"&amp;" · ","")&amp;IF((COUNTIF($I156:$L156,"&gt;1")+COUNTIF($I156:$L156,"&lt;0")+COUNTA($I156:$L156)-COUNT($I156:$L156))&gt;0,"Avance fuera de rango 0-100%"&amp;" · ","")&amp;IF(OR(AND($J156&lt;&gt;"",$J156&lt;$I156),AND($K156&lt;&gt;"",$K156&lt;MAX($I156:$J156)),AND($L156&lt;&gt;"",$L156&lt;MAX($I156:$K156))),"Avance semanal decreciente"&amp;" · ","")&amp;IF(AND(ISNUMBER($AN156),$AN156&lt;FechaRef,IF($V156="Sub",N($X156),N($M156))&lt;1),"Vencida"&amp;" · ","")&amp;IF(AND(ObsObligatoria="Sí",ISNUMBER($AN156),$AN156&lt;FechaRef,IF($V156="Sub",N($X156),N($M156))&lt;1,$Q156=""),"Vencida sin observación"&amp;" · ",""))="","✔ OK","⚠ "&amp;LEFT(IF($C156="","Falta el nombre de la actividad"&amp;" · ","")&amp;IF(AND($V156="Sub",N($U156)=0),"Subactividad sin macroactividad arriba"&amp;" · ","")&amp;IF($AM156="","Sin fecha de inicio"&amp;" · ","")&amp;IF($AN156="","Sin fecha límite"&amp;" · ","")&amp;IF(AND(LEFT($C156,11)="[Jefatura] ",N($AL156)=0),"No se encuentra en la hoja de la jefatura (elíjala de nuevo en la lista)"&amp;" · ","")&amp;IF(OR(AND($E156&lt;&gt;"",NOT(ISNUMBER($E156))),AND($F156&lt;&gt;"",NOT(ISNUMBER($F156))),AND($G156&lt;&gt;"",NOT(ISNUMBER($G156)))),"Fecha no válida"&amp;" · ","")&amp;IF(AND(ISNUMBER($AM156),ISNUMBER($AN156),$AM156&gt;$AN156),"Inicio posterior a fecha límite"&amp;" · ","")&amp;IF(AND($V156="Macro",$H156&lt;&gt;"",OR(NOT(ISNUMBER($H156)),$H156&lt;0,$H156&gt;1)),"Peso fuera de rango"&amp;" · ","")&amp;IF(AND($V156="Sub",$H156&lt;&gt;""),"Las subactividades no llevan peso (valen igual dentro de su macroactividad)"&amp;" · ","")&amp;IF(AND(N($W156)&gt;0,COUNT($I156:$L156)&gt;0),"Con subactividades: deje vacías las semanas (se calculan solas)"&amp;" · ","")&amp;IF((COUNTIF($I156:$L156,"&gt;1")+COUNTIF($I156:$L156,"&lt;0")+COUNTA($I156:$L156)-COUNT($I156:$L156))&gt;0,"Avance fuera de rango 0-100%"&amp;" · ","")&amp;IF(OR(AND($J156&lt;&gt;"",$J156&lt;$I156),AND($K156&lt;&gt;"",$K156&lt;MAX($I156:$J156)),AND($L156&lt;&gt;"",$L156&lt;MAX($I156:$K156))),"Avance semanal decreciente"&amp;" · ","")&amp;IF(AND(ISNUMBER($AN156),$AN156&lt;FechaRef,IF($V156="Sub",N($X156),N($M156))&lt;1),"Vencida"&amp;" · ","")&amp;IF(AND(ObsObligatoria="Sí",ISNUMBER($AN156),$AN156&lt;FechaRef,IF($V156="Sub",N($X156),N($M156))&lt;1,$Q156=""),"Vencida sin observación"&amp;" · ",""),LEN(IF($C156="","Falta el nombre de la actividad"&amp;" · ","")&amp;IF(AND($V156="Sub",N($U156)=0),"Subactividad sin macroactividad arriba"&amp;" · ","")&amp;IF($AM156="","Sin fecha de inicio"&amp;" · ","")&amp;IF($AN156="","Sin fecha límite"&amp;" · ","")&amp;IF(AND(LEFT($C156,11)="[Jefatura] ",N($AL156)=0),"No se encuentra en la hoja de la jefatura (elíjala de nuevo en la lista)"&amp;" · ","")&amp;IF(OR(AND($E156&lt;&gt;"",NOT(ISNUMBER($E156))),AND($F156&lt;&gt;"",NOT(ISNUMBER($F156))),AND($G156&lt;&gt;"",NOT(ISNUMBER($G156)))),"Fecha no válida"&amp;" · ","")&amp;IF(AND(ISNUMBER($AM156),ISNUMBER($AN156),$AM156&gt;$AN156),"Inicio posterior a fecha límite"&amp;" · ","")&amp;IF(AND($V156="Macro",$H156&lt;&gt;"",OR(NOT(ISNUMBER($H156)),$H156&lt;0,$H156&gt;1)),"Peso fuera de rango"&amp;" · ","")&amp;IF(AND($V156="Sub",$H156&lt;&gt;""),"Las subactividades no llevan peso (valen igual dentro de su macroactividad)"&amp;" · ","")&amp;IF(AND(N($W156)&gt;0,COUNT($I156:$L156)&gt;0),"Con subactividades: deje vacías las semanas (se calculan solas)"&amp;" · ","")&amp;IF((COUNTIF($I156:$L156,"&gt;1")+COUNTIF($I156:$L156,"&lt;0")+COUNTA($I156:$L156)-COUNT($I156:$L156))&gt;0,"Avance fuera de rango 0-100%"&amp;" · ","")&amp;IF(OR(AND($J156&lt;&gt;"",$J156&lt;$I156),AND($K156&lt;&gt;"",$K156&lt;MAX($I156:$J156)),AND($L156&lt;&gt;"",$L156&lt;MAX($I156:$K156))),"Avance semanal decreciente"&amp;" · ","")&amp;IF(AND(ISNUMBER($AN156),$AN156&lt;FechaRef,IF($V156="Sub",N($X156),N($M156))&lt;1),"Vencida"&amp;" · ","")&amp;IF(AND(ObsObligatoria="Sí",ISNUMBER($AN156),$AN156&lt;FechaRef,IF($V156="Sub",N($X156),N($M156))&lt;1,$Q156=""),"Vencida sin observación"&amp;" · ",""))-3)))</f>
        <v/>
      </c>
      <c r="S156" s="64">
        <f>IF(NOT((COUNTA($B156:$D156)+COUNTA($G156:$L156)+COUNTA($Q156))&gt;0),"",IF(AND($V156="Sub",N($U156)&gt;0),IF(ISNUMBER(INDEX($AM$5:$AM$1000,$U156-4)),DATE(YEAR(INDEX($AM$5:$AM$1000,$U156-4)),MONTH(INDEX($AM$5:$AM$1000,$U156-4)),1),IF(ISNUMBER(INDEX($AN$5:$AN$1000,$U156-4)),DATE(YEAR(INDEX($AN$5:$AN$1000,$U156-4)),MONTH(INDEX($AN$5:$AN$1000,$U156-4)),1),MesCiclo)),IF(ISNUMBER($AM156),DATE(YEAR($AM156),MONTH($AM156),1),IF(ISNUMBER($AN156),DATE(YEAR($AN156),MONTH($AN156),1),MesCiclo))))</f>
        <v/>
      </c>
      <c r="T156" s="62">
        <f>IF(OR($S156="",$S156&lt;&gt;MesCiclo,$V156&lt;&gt;"Macro"),"",COUNTIFS($S$5:$S156,MesCiclo,$V$5:$V156,"Macro"))</f>
        <v/>
      </c>
      <c r="U156" s="62">
        <f>IF($V156="","",IF($V156="Macro",ROW(),IFERROR(LOOKUP(2,1/($V$5:$V156="Macro"),ROW($V$5:$V156)),0)))</f>
        <v/>
      </c>
      <c r="V156" s="62">
        <f>IF(NOT((COUNTA($B156:$D156)+COUNTA($G156:$L156)+COUNTA($Q156))&gt;0),"",IF($B156="Subactividad","Sub","Macro"))</f>
        <v/>
      </c>
      <c r="W156" s="62">
        <f>IF($V156="Macro",COUNTIFS($U$5:$U$1000,ROW(),$V$5:$V$1000,"Sub"),"")</f>
        <v/>
      </c>
      <c r="X156" s="62">
        <f>IF($V156="","",IF(ISNUMBER($G156),1,IFERROR(LOOKUP(2,1/($I156:$L156&lt;&gt;""),$I156:$L156),0)))</f>
        <v/>
      </c>
      <c r="Y156" s="62">
        <f>IF($V156="","",IF(AND(ISNUMBER($G156),$G156&lt;=IF($S156=MesCiclo,InicioCiclo,$S156+MOD(2-WEEKDAY($S156),7))+6),1,IF(ISNUMBER($I156),$I156,0)))</f>
        <v/>
      </c>
      <c r="Z156" s="62">
        <f>IF($V156="","",IF(AND(ISNUMBER($G156),$G156&lt;=IF($S156=MesCiclo,InicioCiclo,$S156+MOD(2-WEEKDAY($S156),7))+13),1,IF(ISNUMBER($J156),$J156,$Y156)))</f>
        <v/>
      </c>
      <c r="AA156" s="62">
        <f>IF($V156="","",IF(AND(ISNUMBER($G156),$G156&lt;=IF($S156=MesCiclo,InicioCiclo,$S156+MOD(2-WEEKDAY($S156),7))+20),1,IF(ISNUMBER($K156),$K156,$Z156)))</f>
        <v/>
      </c>
      <c r="AB156" s="62">
        <f>IF($V156="","",IF(AND(ISNUMBER($G156),$G156&lt;=IF($S156=MesCiclo,InicioCiclo,$S156+MOD(2-WEEKDAY($S156),7))+27),1,IF(ISNUMBER($L156),$L156,$AA156)))</f>
        <v/>
      </c>
      <c r="AC156" s="62">
        <f>IF($V156="","",IF(AND(ISNUMBER($G156),$G156&lt;=IF($S156=MesCiclo,InicioCiclo,$S156+MOD(2-WEEKDAY($S156),7))+6),1,IF(N($W156)&gt;0,AVERAGEIFS($Y$5:$Y$1000,$U$5:$U$1000,ROW(),$V$5:$V$1000,"Sub"),$Y156)))</f>
        <v/>
      </c>
      <c r="AD156" s="62">
        <f>IF($V156="","",IF(AND(ISNUMBER($G156),$G156&lt;=IF($S156=MesCiclo,InicioCiclo,$S156+MOD(2-WEEKDAY($S156),7))+13),1,IF(N($W156)&gt;0,AVERAGEIFS($Z$5:$Z$1000,$U$5:$U$1000,ROW(),$V$5:$V$1000,"Sub"),$Z156)))</f>
        <v/>
      </c>
      <c r="AE156" s="62">
        <f>IF($V156="","",IF(AND(ISNUMBER($G156),$G156&lt;=IF($S156=MesCiclo,InicioCiclo,$S156+MOD(2-WEEKDAY($S156),7))+20),1,IF(N($W156)&gt;0,AVERAGEIFS($AA$5:$AA$1000,$U$5:$U$1000,ROW(),$V$5:$V$1000,"Sub"),$AA156)))</f>
        <v/>
      </c>
      <c r="AF156" s="62">
        <f>IF($V156="","",IF(AND(ISNUMBER($G156),$G156&lt;=IF($S156=MesCiclo,InicioCiclo,$S156+MOD(2-WEEKDAY($S156),7))+27),1,IF(N($W156)&gt;0,AVERAGEIFS($AB$5:$AB$1000,$U$5:$U$1000,ROW(),$V$5:$V$1000,"Sub"),$AB156)))</f>
        <v/>
      </c>
      <c r="AG156" s="62">
        <f>IF($V156&lt;&gt;"Macro","",IF(COUNTIFS($S$5:$S$1000,$S156,$V$5:$V$1000,"Macro",$H$5:$H$1000,"&gt;0")=0,1/COUNTIFS($S$5:$S$1000,$S156,$V$5:$V$1000,"Macro"),IF(AND(ISNUMBER($H156),N($H156)&gt;0),$H156,SUMIFS($H$5:$H$1000,$S$5:$S$1000,$S156,$V$5:$V$1000,"Macro")/COUNTIFS($S$5:$S$1000,$S156,$V$5:$V$1000,"Macro",$H$5:$H$1000,"&gt;0"))/(COUNTIFS($S$5:$S$1000,$S156,$V$5:$V$1000,"Macro")*SUMIFS($H$5:$H$1000,$S$5:$S$1000,$S156,$V$5:$V$1000,"Macro")/COUNTIFS($S$5:$S$1000,$S156,$V$5:$V$1000,"Macro",$H$5:$H$1000,"&gt;0"))))</f>
        <v/>
      </c>
      <c r="AH156" s="62" t="n"/>
      <c r="AI156" s="62" t="n"/>
      <c r="AJ156" s="62" t="n"/>
      <c r="AK156" s="62" t="n"/>
      <c r="AL156" s="62">
        <f>IF(LEFT($C156,11)="[Jefatura] ",IFERROR(MATCH("Riesgo Operacional|"&amp;MID($C156,12,500),rDname_ADM,0),0),"")</f>
        <v/>
      </c>
      <c r="AM156" s="62">
        <f>IF(N($AL156)&gt;0,INDEX(rIni_ADM,$AL156),IF(ISNUMBER($E156),$E156,""))</f>
        <v/>
      </c>
      <c r="AN156" s="62">
        <f>IF(N($AL156)&gt;0,INDEX(rLim_ADM,$AL156),IF(ISNUMBER($F156),$F156,""))</f>
        <v/>
      </c>
    </row>
    <row r="157">
      <c r="A157" s="56">
        <f>IF(NOT((COUNTA($B157:$D157)+COUNTA($G157:$L157)+COUNTA($Q157))&gt;0),"",IF($V157="Macro",COUNTIFS($V$5:$V157,"Macro",$S$5:$S157,$S157),IF(N($U157)=0,"?",COUNTIFS(INDEX($V$5:$V$1000,1):INDEX($V$5:$V$1000,$U157-4),"Macro",INDEX($S$5:$S$1000,1):INDEX($S$5:$S$1000,$U157-4),INDEX($S$5:$S$1000,$U157-4))&amp;"."&amp;COUNTIFS($U$5:$U157,$U157,$V$5:$V157,"Sub"))))</f>
        <v/>
      </c>
      <c r="B157" s="57" t="n"/>
      <c r="C157" s="58" t="n"/>
      <c r="D157" s="58" t="n"/>
      <c r="E157" s="59">
        <f>IF(N($AL157)&gt;0,INDEX(rIni_ADM,$AL157),"")</f>
        <v/>
      </c>
      <c r="F157" s="59">
        <f>IF(N($AL157)&gt;0,INDEX(rLim_ADM,$AL157),"")</f>
        <v/>
      </c>
      <c r="G157" s="59" t="n"/>
      <c r="H157" s="60" t="n"/>
      <c r="I157" s="60" t="n"/>
      <c r="J157" s="60" t="n"/>
      <c r="K157" s="60" t="n"/>
      <c r="L157" s="60" t="n"/>
      <c r="M157" s="61">
        <f>IF(NOT((COUNTA($B157:$D157)+COUNTA($G157:$L157)+COUNTA($Q157))&gt;0),"",IF($V157="Sub",IFERROR($X157/INDEX($W$5:$W$1000,$U157-4),""),IF(ISNUMBER($G157),1,IF(N($W157)&gt;0,AVERAGEIFS($X$5:$X$1000,$U$5:$U$1000,ROW(),$V$5:$V$1000,"Sub"),$X157))))</f>
        <v/>
      </c>
      <c r="N157" s="56">
        <f>IF(OR($M157="",$V157="Sub"),"",IF($M157&gt;=1,"Completado",IF($M157&gt;0,"En curso","Pendiente")))</f>
        <v/>
      </c>
      <c r="O157" s="56">
        <f>IF(OR(NOT((COUNTA($B157:$D157)+COUNTA($G157:$L157)+COUNTA($Q157))&gt;0),$V157="Sub"),"",IF(ISNUMBER($G157),IF(AND(ISNUMBER($AN157),$G157&gt;$AN157),"Cumplida con "&amp;($G157-$AN157)&amp;IF($G157-$AN157=1," día"," días")&amp;" de retraso","Cumplida"),IF(N($M157)&gt;=1,"Cumplida",IF(NOT(ISNUMBER($AN157)),"Sin fecha límite",IF($AN157&lt;FechaRef,"Vencida hace "&amp;(FechaRef-$AN157)&amp;IF(FechaRef-$AN157=1," día"," días"),IF($AN157=FechaRef,"Vence hoy",IF($AN157-FechaRef&lt;=DiasAlerta,"Vence en "&amp;($AN157-FechaRef)&amp;IF($AN157-FechaRef=1," día"," días"),"En plazo")))))))</f>
        <v/>
      </c>
      <c r="P157" s="62" t="n"/>
      <c r="Q157" s="58" t="n"/>
      <c r="R157" s="63">
        <f>IF(NOT((COUNTA($B157:$D157)+COUNTA($G157:$L157)+COUNTA($Q157))&gt;0),"",IF((IF($C157="","Falta el nombre de la actividad"&amp;" · ","")&amp;IF(AND($V157="Sub",N($U157)=0),"Subactividad sin macroactividad arriba"&amp;" · ","")&amp;IF($AM157="","Sin fecha de inicio"&amp;" · ","")&amp;IF($AN157="","Sin fecha límite"&amp;" · ","")&amp;IF(AND(LEFT($C157,11)="[Jefatura] ",N($AL157)=0),"No se encuentra en la hoja de la jefatura (elíjala de nuevo en la lista)"&amp;" · ","")&amp;IF(OR(AND($E157&lt;&gt;"",NOT(ISNUMBER($E157))),AND($F157&lt;&gt;"",NOT(ISNUMBER($F157))),AND($G157&lt;&gt;"",NOT(ISNUMBER($G157)))),"Fecha no válida"&amp;" · ","")&amp;IF(AND(ISNUMBER($AM157),ISNUMBER($AN157),$AM157&gt;$AN157),"Inicio posterior a fecha límite"&amp;" · ","")&amp;IF(AND($V157="Macro",$H157&lt;&gt;"",OR(NOT(ISNUMBER($H157)),$H157&lt;0,$H157&gt;1)),"Peso fuera de rango"&amp;" · ","")&amp;IF(AND($V157="Sub",$H157&lt;&gt;""),"Las subactividades no llevan peso (valen igual dentro de su macroactividad)"&amp;" · ","")&amp;IF(AND(N($W157)&gt;0,COUNT($I157:$L157)&gt;0),"Con subactividades: deje vacías las semanas (se calculan solas)"&amp;" · ","")&amp;IF((COUNTIF($I157:$L157,"&gt;1")+COUNTIF($I157:$L157,"&lt;0")+COUNTA($I157:$L157)-COUNT($I157:$L157))&gt;0,"Avance fuera de rango 0-100%"&amp;" · ","")&amp;IF(OR(AND($J157&lt;&gt;"",$J157&lt;$I157),AND($K157&lt;&gt;"",$K157&lt;MAX($I157:$J157)),AND($L157&lt;&gt;"",$L157&lt;MAX($I157:$K157))),"Avance semanal decreciente"&amp;" · ","")&amp;IF(AND(ISNUMBER($AN157),$AN157&lt;FechaRef,IF($V157="Sub",N($X157),N($M157))&lt;1),"Vencida"&amp;" · ","")&amp;IF(AND(ObsObligatoria="Sí",ISNUMBER($AN157),$AN157&lt;FechaRef,IF($V157="Sub",N($X157),N($M157))&lt;1,$Q157=""),"Vencida sin observación"&amp;" · ",""))="","✔ OK","⚠ "&amp;LEFT(IF($C157="","Falta el nombre de la actividad"&amp;" · ","")&amp;IF(AND($V157="Sub",N($U157)=0),"Subactividad sin macroactividad arriba"&amp;" · ","")&amp;IF($AM157="","Sin fecha de inicio"&amp;" · ","")&amp;IF($AN157="","Sin fecha límite"&amp;" · ","")&amp;IF(AND(LEFT($C157,11)="[Jefatura] ",N($AL157)=0),"No se encuentra en la hoja de la jefatura (elíjala de nuevo en la lista)"&amp;" · ","")&amp;IF(OR(AND($E157&lt;&gt;"",NOT(ISNUMBER($E157))),AND($F157&lt;&gt;"",NOT(ISNUMBER($F157))),AND($G157&lt;&gt;"",NOT(ISNUMBER($G157)))),"Fecha no válida"&amp;" · ","")&amp;IF(AND(ISNUMBER($AM157),ISNUMBER($AN157),$AM157&gt;$AN157),"Inicio posterior a fecha límite"&amp;" · ","")&amp;IF(AND($V157="Macro",$H157&lt;&gt;"",OR(NOT(ISNUMBER($H157)),$H157&lt;0,$H157&gt;1)),"Peso fuera de rango"&amp;" · ","")&amp;IF(AND($V157="Sub",$H157&lt;&gt;""),"Las subactividades no llevan peso (valen igual dentro de su macroactividad)"&amp;" · ","")&amp;IF(AND(N($W157)&gt;0,COUNT($I157:$L157)&gt;0),"Con subactividades: deje vacías las semanas (se calculan solas)"&amp;" · ","")&amp;IF((COUNTIF($I157:$L157,"&gt;1")+COUNTIF($I157:$L157,"&lt;0")+COUNTA($I157:$L157)-COUNT($I157:$L157))&gt;0,"Avance fuera de rango 0-100%"&amp;" · ","")&amp;IF(OR(AND($J157&lt;&gt;"",$J157&lt;$I157),AND($K157&lt;&gt;"",$K157&lt;MAX($I157:$J157)),AND($L157&lt;&gt;"",$L157&lt;MAX($I157:$K157))),"Avance semanal decreciente"&amp;" · ","")&amp;IF(AND(ISNUMBER($AN157),$AN157&lt;FechaRef,IF($V157="Sub",N($X157),N($M157))&lt;1),"Vencida"&amp;" · ","")&amp;IF(AND(ObsObligatoria="Sí",ISNUMBER($AN157),$AN157&lt;FechaRef,IF($V157="Sub",N($X157),N($M157))&lt;1,$Q157=""),"Vencida sin observación"&amp;" · ",""),LEN(IF($C157="","Falta el nombre de la actividad"&amp;" · ","")&amp;IF(AND($V157="Sub",N($U157)=0),"Subactividad sin macroactividad arriba"&amp;" · ","")&amp;IF($AM157="","Sin fecha de inicio"&amp;" · ","")&amp;IF($AN157="","Sin fecha límite"&amp;" · ","")&amp;IF(AND(LEFT($C157,11)="[Jefatura] ",N($AL157)=0),"No se encuentra en la hoja de la jefatura (elíjala de nuevo en la lista)"&amp;" · ","")&amp;IF(OR(AND($E157&lt;&gt;"",NOT(ISNUMBER($E157))),AND($F157&lt;&gt;"",NOT(ISNUMBER($F157))),AND($G157&lt;&gt;"",NOT(ISNUMBER($G157)))),"Fecha no válida"&amp;" · ","")&amp;IF(AND(ISNUMBER($AM157),ISNUMBER($AN157),$AM157&gt;$AN157),"Inicio posterior a fecha límite"&amp;" · ","")&amp;IF(AND($V157="Macro",$H157&lt;&gt;"",OR(NOT(ISNUMBER($H157)),$H157&lt;0,$H157&gt;1)),"Peso fuera de rango"&amp;" · ","")&amp;IF(AND($V157="Sub",$H157&lt;&gt;""),"Las subactividades no llevan peso (valen igual dentro de su macroactividad)"&amp;" · ","")&amp;IF(AND(N($W157)&gt;0,COUNT($I157:$L157)&gt;0),"Con subactividades: deje vacías las semanas (se calculan solas)"&amp;" · ","")&amp;IF((COUNTIF($I157:$L157,"&gt;1")+COUNTIF($I157:$L157,"&lt;0")+COUNTA($I157:$L157)-COUNT($I157:$L157))&gt;0,"Avance fuera de rango 0-100%"&amp;" · ","")&amp;IF(OR(AND($J157&lt;&gt;"",$J157&lt;$I157),AND($K157&lt;&gt;"",$K157&lt;MAX($I157:$J157)),AND($L157&lt;&gt;"",$L157&lt;MAX($I157:$K157))),"Avance semanal decreciente"&amp;" · ","")&amp;IF(AND(ISNUMBER($AN157),$AN157&lt;FechaRef,IF($V157="Sub",N($X157),N($M157))&lt;1),"Vencida"&amp;" · ","")&amp;IF(AND(ObsObligatoria="Sí",ISNUMBER($AN157),$AN157&lt;FechaRef,IF($V157="Sub",N($X157),N($M157))&lt;1,$Q157=""),"Vencida sin observación"&amp;" · ",""))-3)))</f>
        <v/>
      </c>
      <c r="S157" s="64">
        <f>IF(NOT((COUNTA($B157:$D157)+COUNTA($G157:$L157)+COUNTA($Q157))&gt;0),"",IF(AND($V157="Sub",N($U157)&gt;0),IF(ISNUMBER(INDEX($AM$5:$AM$1000,$U157-4)),DATE(YEAR(INDEX($AM$5:$AM$1000,$U157-4)),MONTH(INDEX($AM$5:$AM$1000,$U157-4)),1),IF(ISNUMBER(INDEX($AN$5:$AN$1000,$U157-4)),DATE(YEAR(INDEX($AN$5:$AN$1000,$U157-4)),MONTH(INDEX($AN$5:$AN$1000,$U157-4)),1),MesCiclo)),IF(ISNUMBER($AM157),DATE(YEAR($AM157),MONTH($AM157),1),IF(ISNUMBER($AN157),DATE(YEAR($AN157),MONTH($AN157),1),MesCiclo))))</f>
        <v/>
      </c>
      <c r="T157" s="62">
        <f>IF(OR($S157="",$S157&lt;&gt;MesCiclo,$V157&lt;&gt;"Macro"),"",COUNTIFS($S$5:$S157,MesCiclo,$V$5:$V157,"Macro"))</f>
        <v/>
      </c>
      <c r="U157" s="62">
        <f>IF($V157="","",IF($V157="Macro",ROW(),IFERROR(LOOKUP(2,1/($V$5:$V157="Macro"),ROW($V$5:$V157)),0)))</f>
        <v/>
      </c>
      <c r="V157" s="62">
        <f>IF(NOT((COUNTA($B157:$D157)+COUNTA($G157:$L157)+COUNTA($Q157))&gt;0),"",IF($B157="Subactividad","Sub","Macro"))</f>
        <v/>
      </c>
      <c r="W157" s="62">
        <f>IF($V157="Macro",COUNTIFS($U$5:$U$1000,ROW(),$V$5:$V$1000,"Sub"),"")</f>
        <v/>
      </c>
      <c r="X157" s="62">
        <f>IF($V157="","",IF(ISNUMBER($G157),1,IFERROR(LOOKUP(2,1/($I157:$L157&lt;&gt;""),$I157:$L157),0)))</f>
        <v/>
      </c>
      <c r="Y157" s="62">
        <f>IF($V157="","",IF(AND(ISNUMBER($G157),$G157&lt;=IF($S157=MesCiclo,InicioCiclo,$S157+MOD(2-WEEKDAY($S157),7))+6),1,IF(ISNUMBER($I157),$I157,0)))</f>
        <v/>
      </c>
      <c r="Z157" s="62">
        <f>IF($V157="","",IF(AND(ISNUMBER($G157),$G157&lt;=IF($S157=MesCiclo,InicioCiclo,$S157+MOD(2-WEEKDAY($S157),7))+13),1,IF(ISNUMBER($J157),$J157,$Y157)))</f>
        <v/>
      </c>
      <c r="AA157" s="62">
        <f>IF($V157="","",IF(AND(ISNUMBER($G157),$G157&lt;=IF($S157=MesCiclo,InicioCiclo,$S157+MOD(2-WEEKDAY($S157),7))+20),1,IF(ISNUMBER($K157),$K157,$Z157)))</f>
        <v/>
      </c>
      <c r="AB157" s="62">
        <f>IF($V157="","",IF(AND(ISNUMBER($G157),$G157&lt;=IF($S157=MesCiclo,InicioCiclo,$S157+MOD(2-WEEKDAY($S157),7))+27),1,IF(ISNUMBER($L157),$L157,$AA157)))</f>
        <v/>
      </c>
      <c r="AC157" s="62">
        <f>IF($V157="","",IF(AND(ISNUMBER($G157),$G157&lt;=IF($S157=MesCiclo,InicioCiclo,$S157+MOD(2-WEEKDAY($S157),7))+6),1,IF(N($W157)&gt;0,AVERAGEIFS($Y$5:$Y$1000,$U$5:$U$1000,ROW(),$V$5:$V$1000,"Sub"),$Y157)))</f>
        <v/>
      </c>
      <c r="AD157" s="62">
        <f>IF($V157="","",IF(AND(ISNUMBER($G157),$G157&lt;=IF($S157=MesCiclo,InicioCiclo,$S157+MOD(2-WEEKDAY($S157),7))+13),1,IF(N($W157)&gt;0,AVERAGEIFS($Z$5:$Z$1000,$U$5:$U$1000,ROW(),$V$5:$V$1000,"Sub"),$Z157)))</f>
        <v/>
      </c>
      <c r="AE157" s="62">
        <f>IF($V157="","",IF(AND(ISNUMBER($G157),$G157&lt;=IF($S157=MesCiclo,InicioCiclo,$S157+MOD(2-WEEKDAY($S157),7))+20),1,IF(N($W157)&gt;0,AVERAGEIFS($AA$5:$AA$1000,$U$5:$U$1000,ROW(),$V$5:$V$1000,"Sub"),$AA157)))</f>
        <v/>
      </c>
      <c r="AF157" s="62">
        <f>IF($V157="","",IF(AND(ISNUMBER($G157),$G157&lt;=IF($S157=MesCiclo,InicioCiclo,$S157+MOD(2-WEEKDAY($S157),7))+27),1,IF(N($W157)&gt;0,AVERAGEIFS($AB$5:$AB$1000,$U$5:$U$1000,ROW(),$V$5:$V$1000,"Sub"),$AB157)))</f>
        <v/>
      </c>
      <c r="AG157" s="62">
        <f>IF($V157&lt;&gt;"Macro","",IF(COUNTIFS($S$5:$S$1000,$S157,$V$5:$V$1000,"Macro",$H$5:$H$1000,"&gt;0")=0,1/COUNTIFS($S$5:$S$1000,$S157,$V$5:$V$1000,"Macro"),IF(AND(ISNUMBER($H157),N($H157)&gt;0),$H157,SUMIFS($H$5:$H$1000,$S$5:$S$1000,$S157,$V$5:$V$1000,"Macro")/COUNTIFS($S$5:$S$1000,$S157,$V$5:$V$1000,"Macro",$H$5:$H$1000,"&gt;0"))/(COUNTIFS($S$5:$S$1000,$S157,$V$5:$V$1000,"Macro")*SUMIFS($H$5:$H$1000,$S$5:$S$1000,$S157,$V$5:$V$1000,"Macro")/COUNTIFS($S$5:$S$1000,$S157,$V$5:$V$1000,"Macro",$H$5:$H$1000,"&gt;0"))))</f>
        <v/>
      </c>
      <c r="AH157" s="62" t="n"/>
      <c r="AI157" s="62" t="n"/>
      <c r="AJ157" s="62" t="n"/>
      <c r="AK157" s="62" t="n"/>
      <c r="AL157" s="62">
        <f>IF(LEFT($C157,11)="[Jefatura] ",IFERROR(MATCH("Riesgo Operacional|"&amp;MID($C157,12,500),rDname_ADM,0),0),"")</f>
        <v/>
      </c>
      <c r="AM157" s="62">
        <f>IF(N($AL157)&gt;0,INDEX(rIni_ADM,$AL157),IF(ISNUMBER($E157),$E157,""))</f>
        <v/>
      </c>
      <c r="AN157" s="62">
        <f>IF(N($AL157)&gt;0,INDEX(rLim_ADM,$AL157),IF(ISNUMBER($F157),$F157,""))</f>
        <v/>
      </c>
    </row>
    <row r="158">
      <c r="A158" s="56">
        <f>IF(NOT((COUNTA($B158:$D158)+COUNTA($G158:$L158)+COUNTA($Q158))&gt;0),"",IF($V158="Macro",COUNTIFS($V$5:$V158,"Macro",$S$5:$S158,$S158),IF(N($U158)=0,"?",COUNTIFS(INDEX($V$5:$V$1000,1):INDEX($V$5:$V$1000,$U158-4),"Macro",INDEX($S$5:$S$1000,1):INDEX($S$5:$S$1000,$U158-4),INDEX($S$5:$S$1000,$U158-4))&amp;"."&amp;COUNTIFS($U$5:$U158,$U158,$V$5:$V158,"Sub"))))</f>
        <v/>
      </c>
      <c r="B158" s="57" t="n"/>
      <c r="C158" s="58" t="n"/>
      <c r="D158" s="58" t="n"/>
      <c r="E158" s="59">
        <f>IF(N($AL158)&gt;0,INDEX(rIni_ADM,$AL158),"")</f>
        <v/>
      </c>
      <c r="F158" s="59">
        <f>IF(N($AL158)&gt;0,INDEX(rLim_ADM,$AL158),"")</f>
        <v/>
      </c>
      <c r="G158" s="59" t="n"/>
      <c r="H158" s="60" t="n"/>
      <c r="I158" s="60" t="n"/>
      <c r="J158" s="60" t="n"/>
      <c r="K158" s="60" t="n"/>
      <c r="L158" s="60" t="n"/>
      <c r="M158" s="61">
        <f>IF(NOT((COUNTA($B158:$D158)+COUNTA($G158:$L158)+COUNTA($Q158))&gt;0),"",IF($V158="Sub",IFERROR($X158/INDEX($W$5:$W$1000,$U158-4),""),IF(ISNUMBER($G158),1,IF(N($W158)&gt;0,AVERAGEIFS($X$5:$X$1000,$U$5:$U$1000,ROW(),$V$5:$V$1000,"Sub"),$X158))))</f>
        <v/>
      </c>
      <c r="N158" s="56">
        <f>IF(OR($M158="",$V158="Sub"),"",IF($M158&gt;=1,"Completado",IF($M158&gt;0,"En curso","Pendiente")))</f>
        <v/>
      </c>
      <c r="O158" s="56">
        <f>IF(OR(NOT((COUNTA($B158:$D158)+COUNTA($G158:$L158)+COUNTA($Q158))&gt;0),$V158="Sub"),"",IF(ISNUMBER($G158),IF(AND(ISNUMBER($AN158),$G158&gt;$AN158),"Cumplida con "&amp;($G158-$AN158)&amp;IF($G158-$AN158=1," día"," días")&amp;" de retraso","Cumplida"),IF(N($M158)&gt;=1,"Cumplida",IF(NOT(ISNUMBER($AN158)),"Sin fecha límite",IF($AN158&lt;FechaRef,"Vencida hace "&amp;(FechaRef-$AN158)&amp;IF(FechaRef-$AN158=1," día"," días"),IF($AN158=FechaRef,"Vence hoy",IF($AN158-FechaRef&lt;=DiasAlerta,"Vence en "&amp;($AN158-FechaRef)&amp;IF($AN158-FechaRef=1," día"," días"),"En plazo")))))))</f>
        <v/>
      </c>
      <c r="P158" s="62" t="n"/>
      <c r="Q158" s="58" t="n"/>
      <c r="R158" s="63">
        <f>IF(NOT((COUNTA($B158:$D158)+COUNTA($G158:$L158)+COUNTA($Q158))&gt;0),"",IF((IF($C158="","Falta el nombre de la actividad"&amp;" · ","")&amp;IF(AND($V158="Sub",N($U158)=0),"Subactividad sin macroactividad arriba"&amp;" · ","")&amp;IF($AM158="","Sin fecha de inicio"&amp;" · ","")&amp;IF($AN158="","Sin fecha límite"&amp;" · ","")&amp;IF(AND(LEFT($C158,11)="[Jefatura] ",N($AL158)=0),"No se encuentra en la hoja de la jefatura (elíjala de nuevo en la lista)"&amp;" · ","")&amp;IF(OR(AND($E158&lt;&gt;"",NOT(ISNUMBER($E158))),AND($F158&lt;&gt;"",NOT(ISNUMBER($F158))),AND($G158&lt;&gt;"",NOT(ISNUMBER($G158)))),"Fecha no válida"&amp;" · ","")&amp;IF(AND(ISNUMBER($AM158),ISNUMBER($AN158),$AM158&gt;$AN158),"Inicio posterior a fecha límite"&amp;" · ","")&amp;IF(AND($V158="Macro",$H158&lt;&gt;"",OR(NOT(ISNUMBER($H158)),$H158&lt;0,$H158&gt;1)),"Peso fuera de rango"&amp;" · ","")&amp;IF(AND($V158="Sub",$H158&lt;&gt;""),"Las subactividades no llevan peso (valen igual dentro de su macroactividad)"&amp;" · ","")&amp;IF(AND(N($W158)&gt;0,COUNT($I158:$L158)&gt;0),"Con subactividades: deje vacías las semanas (se calculan solas)"&amp;" · ","")&amp;IF((COUNTIF($I158:$L158,"&gt;1")+COUNTIF($I158:$L158,"&lt;0")+COUNTA($I158:$L158)-COUNT($I158:$L158))&gt;0,"Avance fuera de rango 0-100%"&amp;" · ","")&amp;IF(OR(AND($J158&lt;&gt;"",$J158&lt;$I158),AND($K158&lt;&gt;"",$K158&lt;MAX($I158:$J158)),AND($L158&lt;&gt;"",$L158&lt;MAX($I158:$K158))),"Avance semanal decreciente"&amp;" · ","")&amp;IF(AND(ISNUMBER($AN158),$AN158&lt;FechaRef,IF($V158="Sub",N($X158),N($M158))&lt;1),"Vencida"&amp;" · ","")&amp;IF(AND(ObsObligatoria="Sí",ISNUMBER($AN158),$AN158&lt;FechaRef,IF($V158="Sub",N($X158),N($M158))&lt;1,$Q158=""),"Vencida sin observación"&amp;" · ",""))="","✔ OK","⚠ "&amp;LEFT(IF($C158="","Falta el nombre de la actividad"&amp;" · ","")&amp;IF(AND($V158="Sub",N($U158)=0),"Subactividad sin macroactividad arriba"&amp;" · ","")&amp;IF($AM158="","Sin fecha de inicio"&amp;" · ","")&amp;IF($AN158="","Sin fecha límite"&amp;" · ","")&amp;IF(AND(LEFT($C158,11)="[Jefatura] ",N($AL158)=0),"No se encuentra en la hoja de la jefatura (elíjala de nuevo en la lista)"&amp;" · ","")&amp;IF(OR(AND($E158&lt;&gt;"",NOT(ISNUMBER($E158))),AND($F158&lt;&gt;"",NOT(ISNUMBER($F158))),AND($G158&lt;&gt;"",NOT(ISNUMBER($G158)))),"Fecha no válida"&amp;" · ","")&amp;IF(AND(ISNUMBER($AM158),ISNUMBER($AN158),$AM158&gt;$AN158),"Inicio posterior a fecha límite"&amp;" · ","")&amp;IF(AND($V158="Macro",$H158&lt;&gt;"",OR(NOT(ISNUMBER($H158)),$H158&lt;0,$H158&gt;1)),"Peso fuera de rango"&amp;" · ","")&amp;IF(AND($V158="Sub",$H158&lt;&gt;""),"Las subactividades no llevan peso (valen igual dentro de su macroactividad)"&amp;" · ","")&amp;IF(AND(N($W158)&gt;0,COUNT($I158:$L158)&gt;0),"Con subactividades: deje vacías las semanas (se calculan solas)"&amp;" · ","")&amp;IF((COUNTIF($I158:$L158,"&gt;1")+COUNTIF($I158:$L158,"&lt;0")+COUNTA($I158:$L158)-COUNT($I158:$L158))&gt;0,"Avance fuera de rango 0-100%"&amp;" · ","")&amp;IF(OR(AND($J158&lt;&gt;"",$J158&lt;$I158),AND($K158&lt;&gt;"",$K158&lt;MAX($I158:$J158)),AND($L158&lt;&gt;"",$L158&lt;MAX($I158:$K158))),"Avance semanal decreciente"&amp;" · ","")&amp;IF(AND(ISNUMBER($AN158),$AN158&lt;FechaRef,IF($V158="Sub",N($X158),N($M158))&lt;1),"Vencida"&amp;" · ","")&amp;IF(AND(ObsObligatoria="Sí",ISNUMBER($AN158),$AN158&lt;FechaRef,IF($V158="Sub",N($X158),N($M158))&lt;1,$Q158=""),"Vencida sin observación"&amp;" · ",""),LEN(IF($C158="","Falta el nombre de la actividad"&amp;" · ","")&amp;IF(AND($V158="Sub",N($U158)=0),"Subactividad sin macroactividad arriba"&amp;" · ","")&amp;IF($AM158="","Sin fecha de inicio"&amp;" · ","")&amp;IF($AN158="","Sin fecha límite"&amp;" · ","")&amp;IF(AND(LEFT($C158,11)="[Jefatura] ",N($AL158)=0),"No se encuentra en la hoja de la jefatura (elíjala de nuevo en la lista)"&amp;" · ","")&amp;IF(OR(AND($E158&lt;&gt;"",NOT(ISNUMBER($E158))),AND($F158&lt;&gt;"",NOT(ISNUMBER($F158))),AND($G158&lt;&gt;"",NOT(ISNUMBER($G158)))),"Fecha no válida"&amp;" · ","")&amp;IF(AND(ISNUMBER($AM158),ISNUMBER($AN158),$AM158&gt;$AN158),"Inicio posterior a fecha límite"&amp;" · ","")&amp;IF(AND($V158="Macro",$H158&lt;&gt;"",OR(NOT(ISNUMBER($H158)),$H158&lt;0,$H158&gt;1)),"Peso fuera de rango"&amp;" · ","")&amp;IF(AND($V158="Sub",$H158&lt;&gt;""),"Las subactividades no llevan peso (valen igual dentro de su macroactividad)"&amp;" · ","")&amp;IF(AND(N($W158)&gt;0,COUNT($I158:$L158)&gt;0),"Con subactividades: deje vacías las semanas (se calculan solas)"&amp;" · ","")&amp;IF((COUNTIF($I158:$L158,"&gt;1")+COUNTIF($I158:$L158,"&lt;0")+COUNTA($I158:$L158)-COUNT($I158:$L158))&gt;0,"Avance fuera de rango 0-100%"&amp;" · ","")&amp;IF(OR(AND($J158&lt;&gt;"",$J158&lt;$I158),AND($K158&lt;&gt;"",$K158&lt;MAX($I158:$J158)),AND($L158&lt;&gt;"",$L158&lt;MAX($I158:$K158))),"Avance semanal decreciente"&amp;" · ","")&amp;IF(AND(ISNUMBER($AN158),$AN158&lt;FechaRef,IF($V158="Sub",N($X158),N($M158))&lt;1),"Vencida"&amp;" · ","")&amp;IF(AND(ObsObligatoria="Sí",ISNUMBER($AN158),$AN158&lt;FechaRef,IF($V158="Sub",N($X158),N($M158))&lt;1,$Q158=""),"Vencida sin observación"&amp;" · ",""))-3)))</f>
        <v/>
      </c>
      <c r="S158" s="64">
        <f>IF(NOT((COUNTA($B158:$D158)+COUNTA($G158:$L158)+COUNTA($Q158))&gt;0),"",IF(AND($V158="Sub",N($U158)&gt;0),IF(ISNUMBER(INDEX($AM$5:$AM$1000,$U158-4)),DATE(YEAR(INDEX($AM$5:$AM$1000,$U158-4)),MONTH(INDEX($AM$5:$AM$1000,$U158-4)),1),IF(ISNUMBER(INDEX($AN$5:$AN$1000,$U158-4)),DATE(YEAR(INDEX($AN$5:$AN$1000,$U158-4)),MONTH(INDEX($AN$5:$AN$1000,$U158-4)),1),MesCiclo)),IF(ISNUMBER($AM158),DATE(YEAR($AM158),MONTH($AM158),1),IF(ISNUMBER($AN158),DATE(YEAR($AN158),MONTH($AN158),1),MesCiclo))))</f>
        <v/>
      </c>
      <c r="T158" s="62">
        <f>IF(OR($S158="",$S158&lt;&gt;MesCiclo,$V158&lt;&gt;"Macro"),"",COUNTIFS($S$5:$S158,MesCiclo,$V$5:$V158,"Macro"))</f>
        <v/>
      </c>
      <c r="U158" s="62">
        <f>IF($V158="","",IF($V158="Macro",ROW(),IFERROR(LOOKUP(2,1/($V$5:$V158="Macro"),ROW($V$5:$V158)),0)))</f>
        <v/>
      </c>
      <c r="V158" s="62">
        <f>IF(NOT((COUNTA($B158:$D158)+COUNTA($G158:$L158)+COUNTA($Q158))&gt;0),"",IF($B158="Subactividad","Sub","Macro"))</f>
        <v/>
      </c>
      <c r="W158" s="62">
        <f>IF($V158="Macro",COUNTIFS($U$5:$U$1000,ROW(),$V$5:$V$1000,"Sub"),"")</f>
        <v/>
      </c>
      <c r="X158" s="62">
        <f>IF($V158="","",IF(ISNUMBER($G158),1,IFERROR(LOOKUP(2,1/($I158:$L158&lt;&gt;""),$I158:$L158),0)))</f>
        <v/>
      </c>
      <c r="Y158" s="62">
        <f>IF($V158="","",IF(AND(ISNUMBER($G158),$G158&lt;=IF($S158=MesCiclo,InicioCiclo,$S158+MOD(2-WEEKDAY($S158),7))+6),1,IF(ISNUMBER($I158),$I158,0)))</f>
        <v/>
      </c>
      <c r="Z158" s="62">
        <f>IF($V158="","",IF(AND(ISNUMBER($G158),$G158&lt;=IF($S158=MesCiclo,InicioCiclo,$S158+MOD(2-WEEKDAY($S158),7))+13),1,IF(ISNUMBER($J158),$J158,$Y158)))</f>
        <v/>
      </c>
      <c r="AA158" s="62">
        <f>IF($V158="","",IF(AND(ISNUMBER($G158),$G158&lt;=IF($S158=MesCiclo,InicioCiclo,$S158+MOD(2-WEEKDAY($S158),7))+20),1,IF(ISNUMBER($K158),$K158,$Z158)))</f>
        <v/>
      </c>
      <c r="AB158" s="62">
        <f>IF($V158="","",IF(AND(ISNUMBER($G158),$G158&lt;=IF($S158=MesCiclo,InicioCiclo,$S158+MOD(2-WEEKDAY($S158),7))+27),1,IF(ISNUMBER($L158),$L158,$AA158)))</f>
        <v/>
      </c>
      <c r="AC158" s="62">
        <f>IF($V158="","",IF(AND(ISNUMBER($G158),$G158&lt;=IF($S158=MesCiclo,InicioCiclo,$S158+MOD(2-WEEKDAY($S158),7))+6),1,IF(N($W158)&gt;0,AVERAGEIFS($Y$5:$Y$1000,$U$5:$U$1000,ROW(),$V$5:$V$1000,"Sub"),$Y158)))</f>
        <v/>
      </c>
      <c r="AD158" s="62">
        <f>IF($V158="","",IF(AND(ISNUMBER($G158),$G158&lt;=IF($S158=MesCiclo,InicioCiclo,$S158+MOD(2-WEEKDAY($S158),7))+13),1,IF(N($W158)&gt;0,AVERAGEIFS($Z$5:$Z$1000,$U$5:$U$1000,ROW(),$V$5:$V$1000,"Sub"),$Z158)))</f>
        <v/>
      </c>
      <c r="AE158" s="62">
        <f>IF($V158="","",IF(AND(ISNUMBER($G158),$G158&lt;=IF($S158=MesCiclo,InicioCiclo,$S158+MOD(2-WEEKDAY($S158),7))+20),1,IF(N($W158)&gt;0,AVERAGEIFS($AA$5:$AA$1000,$U$5:$U$1000,ROW(),$V$5:$V$1000,"Sub"),$AA158)))</f>
        <v/>
      </c>
      <c r="AF158" s="62">
        <f>IF($V158="","",IF(AND(ISNUMBER($G158),$G158&lt;=IF($S158=MesCiclo,InicioCiclo,$S158+MOD(2-WEEKDAY($S158),7))+27),1,IF(N($W158)&gt;0,AVERAGEIFS($AB$5:$AB$1000,$U$5:$U$1000,ROW(),$V$5:$V$1000,"Sub"),$AB158)))</f>
        <v/>
      </c>
      <c r="AG158" s="62">
        <f>IF($V158&lt;&gt;"Macro","",IF(COUNTIFS($S$5:$S$1000,$S158,$V$5:$V$1000,"Macro",$H$5:$H$1000,"&gt;0")=0,1/COUNTIFS($S$5:$S$1000,$S158,$V$5:$V$1000,"Macro"),IF(AND(ISNUMBER($H158),N($H158)&gt;0),$H158,SUMIFS($H$5:$H$1000,$S$5:$S$1000,$S158,$V$5:$V$1000,"Macro")/COUNTIFS($S$5:$S$1000,$S158,$V$5:$V$1000,"Macro",$H$5:$H$1000,"&gt;0"))/(COUNTIFS($S$5:$S$1000,$S158,$V$5:$V$1000,"Macro")*SUMIFS($H$5:$H$1000,$S$5:$S$1000,$S158,$V$5:$V$1000,"Macro")/COUNTIFS($S$5:$S$1000,$S158,$V$5:$V$1000,"Macro",$H$5:$H$1000,"&gt;0"))))</f>
        <v/>
      </c>
      <c r="AH158" s="62" t="n"/>
      <c r="AI158" s="62" t="n"/>
      <c r="AJ158" s="62" t="n"/>
      <c r="AK158" s="62" t="n"/>
      <c r="AL158" s="62">
        <f>IF(LEFT($C158,11)="[Jefatura] ",IFERROR(MATCH("Riesgo Operacional|"&amp;MID($C158,12,500),rDname_ADM,0),0),"")</f>
        <v/>
      </c>
      <c r="AM158" s="62">
        <f>IF(N($AL158)&gt;0,INDEX(rIni_ADM,$AL158),IF(ISNUMBER($E158),$E158,""))</f>
        <v/>
      </c>
      <c r="AN158" s="62">
        <f>IF(N($AL158)&gt;0,INDEX(rLim_ADM,$AL158),IF(ISNUMBER($F158),$F158,""))</f>
        <v/>
      </c>
    </row>
    <row r="159">
      <c r="A159" s="56">
        <f>IF(NOT((COUNTA($B159:$D159)+COUNTA($G159:$L159)+COUNTA($Q159))&gt;0),"",IF($V159="Macro",COUNTIFS($V$5:$V159,"Macro",$S$5:$S159,$S159),IF(N($U159)=0,"?",COUNTIFS(INDEX($V$5:$V$1000,1):INDEX($V$5:$V$1000,$U159-4),"Macro",INDEX($S$5:$S$1000,1):INDEX($S$5:$S$1000,$U159-4),INDEX($S$5:$S$1000,$U159-4))&amp;"."&amp;COUNTIFS($U$5:$U159,$U159,$V$5:$V159,"Sub"))))</f>
        <v/>
      </c>
      <c r="B159" s="57" t="n"/>
      <c r="C159" s="58" t="n"/>
      <c r="D159" s="58" t="n"/>
      <c r="E159" s="59">
        <f>IF(N($AL159)&gt;0,INDEX(rIni_ADM,$AL159),"")</f>
        <v/>
      </c>
      <c r="F159" s="59">
        <f>IF(N($AL159)&gt;0,INDEX(rLim_ADM,$AL159),"")</f>
        <v/>
      </c>
      <c r="G159" s="59" t="n"/>
      <c r="H159" s="60" t="n"/>
      <c r="I159" s="60" t="n"/>
      <c r="J159" s="60" t="n"/>
      <c r="K159" s="60" t="n"/>
      <c r="L159" s="60" t="n"/>
      <c r="M159" s="61">
        <f>IF(NOT((COUNTA($B159:$D159)+COUNTA($G159:$L159)+COUNTA($Q159))&gt;0),"",IF($V159="Sub",IFERROR($X159/INDEX($W$5:$W$1000,$U159-4),""),IF(ISNUMBER($G159),1,IF(N($W159)&gt;0,AVERAGEIFS($X$5:$X$1000,$U$5:$U$1000,ROW(),$V$5:$V$1000,"Sub"),$X159))))</f>
        <v/>
      </c>
      <c r="N159" s="56">
        <f>IF(OR($M159="",$V159="Sub"),"",IF($M159&gt;=1,"Completado",IF($M159&gt;0,"En curso","Pendiente")))</f>
        <v/>
      </c>
      <c r="O159" s="56">
        <f>IF(OR(NOT((COUNTA($B159:$D159)+COUNTA($G159:$L159)+COUNTA($Q159))&gt;0),$V159="Sub"),"",IF(ISNUMBER($G159),IF(AND(ISNUMBER($AN159),$G159&gt;$AN159),"Cumplida con "&amp;($G159-$AN159)&amp;IF($G159-$AN159=1," día"," días")&amp;" de retraso","Cumplida"),IF(N($M159)&gt;=1,"Cumplida",IF(NOT(ISNUMBER($AN159)),"Sin fecha límite",IF($AN159&lt;FechaRef,"Vencida hace "&amp;(FechaRef-$AN159)&amp;IF(FechaRef-$AN159=1," día"," días"),IF($AN159=FechaRef,"Vence hoy",IF($AN159-FechaRef&lt;=DiasAlerta,"Vence en "&amp;($AN159-FechaRef)&amp;IF($AN159-FechaRef=1," día"," días"),"En plazo")))))))</f>
        <v/>
      </c>
      <c r="P159" s="62" t="n"/>
      <c r="Q159" s="58" t="n"/>
      <c r="R159" s="63">
        <f>IF(NOT((COUNTA($B159:$D159)+COUNTA($G159:$L159)+COUNTA($Q159))&gt;0),"",IF((IF($C159="","Falta el nombre de la actividad"&amp;" · ","")&amp;IF(AND($V159="Sub",N($U159)=0),"Subactividad sin macroactividad arriba"&amp;" · ","")&amp;IF($AM159="","Sin fecha de inicio"&amp;" · ","")&amp;IF($AN159="","Sin fecha límite"&amp;" · ","")&amp;IF(AND(LEFT($C159,11)="[Jefatura] ",N($AL159)=0),"No se encuentra en la hoja de la jefatura (elíjala de nuevo en la lista)"&amp;" · ","")&amp;IF(OR(AND($E159&lt;&gt;"",NOT(ISNUMBER($E159))),AND($F159&lt;&gt;"",NOT(ISNUMBER($F159))),AND($G159&lt;&gt;"",NOT(ISNUMBER($G159)))),"Fecha no válida"&amp;" · ","")&amp;IF(AND(ISNUMBER($AM159),ISNUMBER($AN159),$AM159&gt;$AN159),"Inicio posterior a fecha límite"&amp;" · ","")&amp;IF(AND($V159="Macro",$H159&lt;&gt;"",OR(NOT(ISNUMBER($H159)),$H159&lt;0,$H159&gt;1)),"Peso fuera de rango"&amp;" · ","")&amp;IF(AND($V159="Sub",$H159&lt;&gt;""),"Las subactividades no llevan peso (valen igual dentro de su macroactividad)"&amp;" · ","")&amp;IF(AND(N($W159)&gt;0,COUNT($I159:$L159)&gt;0),"Con subactividades: deje vacías las semanas (se calculan solas)"&amp;" · ","")&amp;IF((COUNTIF($I159:$L159,"&gt;1")+COUNTIF($I159:$L159,"&lt;0")+COUNTA($I159:$L159)-COUNT($I159:$L159))&gt;0,"Avance fuera de rango 0-100%"&amp;" · ","")&amp;IF(OR(AND($J159&lt;&gt;"",$J159&lt;$I159),AND($K159&lt;&gt;"",$K159&lt;MAX($I159:$J159)),AND($L159&lt;&gt;"",$L159&lt;MAX($I159:$K159))),"Avance semanal decreciente"&amp;" · ","")&amp;IF(AND(ISNUMBER($AN159),$AN159&lt;FechaRef,IF($V159="Sub",N($X159),N($M159))&lt;1),"Vencida"&amp;" · ","")&amp;IF(AND(ObsObligatoria="Sí",ISNUMBER($AN159),$AN159&lt;FechaRef,IF($V159="Sub",N($X159),N($M159))&lt;1,$Q159=""),"Vencida sin observación"&amp;" · ",""))="","✔ OK","⚠ "&amp;LEFT(IF($C159="","Falta el nombre de la actividad"&amp;" · ","")&amp;IF(AND($V159="Sub",N($U159)=0),"Subactividad sin macroactividad arriba"&amp;" · ","")&amp;IF($AM159="","Sin fecha de inicio"&amp;" · ","")&amp;IF($AN159="","Sin fecha límite"&amp;" · ","")&amp;IF(AND(LEFT($C159,11)="[Jefatura] ",N($AL159)=0),"No se encuentra en la hoja de la jefatura (elíjala de nuevo en la lista)"&amp;" · ","")&amp;IF(OR(AND($E159&lt;&gt;"",NOT(ISNUMBER($E159))),AND($F159&lt;&gt;"",NOT(ISNUMBER($F159))),AND($G159&lt;&gt;"",NOT(ISNUMBER($G159)))),"Fecha no válida"&amp;" · ","")&amp;IF(AND(ISNUMBER($AM159),ISNUMBER($AN159),$AM159&gt;$AN159),"Inicio posterior a fecha límite"&amp;" · ","")&amp;IF(AND($V159="Macro",$H159&lt;&gt;"",OR(NOT(ISNUMBER($H159)),$H159&lt;0,$H159&gt;1)),"Peso fuera de rango"&amp;" · ","")&amp;IF(AND($V159="Sub",$H159&lt;&gt;""),"Las subactividades no llevan peso (valen igual dentro de su macroactividad)"&amp;" · ","")&amp;IF(AND(N($W159)&gt;0,COUNT($I159:$L159)&gt;0),"Con subactividades: deje vacías las semanas (se calculan solas)"&amp;" · ","")&amp;IF((COUNTIF($I159:$L159,"&gt;1")+COUNTIF($I159:$L159,"&lt;0")+COUNTA($I159:$L159)-COUNT($I159:$L159))&gt;0,"Avance fuera de rango 0-100%"&amp;" · ","")&amp;IF(OR(AND($J159&lt;&gt;"",$J159&lt;$I159),AND($K159&lt;&gt;"",$K159&lt;MAX($I159:$J159)),AND($L159&lt;&gt;"",$L159&lt;MAX($I159:$K159))),"Avance semanal decreciente"&amp;" · ","")&amp;IF(AND(ISNUMBER($AN159),$AN159&lt;FechaRef,IF($V159="Sub",N($X159),N($M159))&lt;1),"Vencida"&amp;" · ","")&amp;IF(AND(ObsObligatoria="Sí",ISNUMBER($AN159),$AN159&lt;FechaRef,IF($V159="Sub",N($X159),N($M159))&lt;1,$Q159=""),"Vencida sin observación"&amp;" · ",""),LEN(IF($C159="","Falta el nombre de la actividad"&amp;" · ","")&amp;IF(AND($V159="Sub",N($U159)=0),"Subactividad sin macroactividad arriba"&amp;" · ","")&amp;IF($AM159="","Sin fecha de inicio"&amp;" · ","")&amp;IF($AN159="","Sin fecha límite"&amp;" · ","")&amp;IF(AND(LEFT($C159,11)="[Jefatura] ",N($AL159)=0),"No se encuentra en la hoja de la jefatura (elíjala de nuevo en la lista)"&amp;" · ","")&amp;IF(OR(AND($E159&lt;&gt;"",NOT(ISNUMBER($E159))),AND($F159&lt;&gt;"",NOT(ISNUMBER($F159))),AND($G159&lt;&gt;"",NOT(ISNUMBER($G159)))),"Fecha no válida"&amp;" · ","")&amp;IF(AND(ISNUMBER($AM159),ISNUMBER($AN159),$AM159&gt;$AN159),"Inicio posterior a fecha límite"&amp;" · ","")&amp;IF(AND($V159="Macro",$H159&lt;&gt;"",OR(NOT(ISNUMBER($H159)),$H159&lt;0,$H159&gt;1)),"Peso fuera de rango"&amp;" · ","")&amp;IF(AND($V159="Sub",$H159&lt;&gt;""),"Las subactividades no llevan peso (valen igual dentro de su macroactividad)"&amp;" · ","")&amp;IF(AND(N($W159)&gt;0,COUNT($I159:$L159)&gt;0),"Con subactividades: deje vacías las semanas (se calculan solas)"&amp;" · ","")&amp;IF((COUNTIF($I159:$L159,"&gt;1")+COUNTIF($I159:$L159,"&lt;0")+COUNTA($I159:$L159)-COUNT($I159:$L159))&gt;0,"Avance fuera de rango 0-100%"&amp;" · ","")&amp;IF(OR(AND($J159&lt;&gt;"",$J159&lt;$I159),AND($K159&lt;&gt;"",$K159&lt;MAX($I159:$J159)),AND($L159&lt;&gt;"",$L159&lt;MAX($I159:$K159))),"Avance semanal decreciente"&amp;" · ","")&amp;IF(AND(ISNUMBER($AN159),$AN159&lt;FechaRef,IF($V159="Sub",N($X159),N($M159))&lt;1),"Vencida"&amp;" · ","")&amp;IF(AND(ObsObligatoria="Sí",ISNUMBER($AN159),$AN159&lt;FechaRef,IF($V159="Sub",N($X159),N($M159))&lt;1,$Q159=""),"Vencida sin observación"&amp;" · ",""))-3)))</f>
        <v/>
      </c>
      <c r="S159" s="64">
        <f>IF(NOT((COUNTA($B159:$D159)+COUNTA($G159:$L159)+COUNTA($Q159))&gt;0),"",IF(AND($V159="Sub",N($U159)&gt;0),IF(ISNUMBER(INDEX($AM$5:$AM$1000,$U159-4)),DATE(YEAR(INDEX($AM$5:$AM$1000,$U159-4)),MONTH(INDEX($AM$5:$AM$1000,$U159-4)),1),IF(ISNUMBER(INDEX($AN$5:$AN$1000,$U159-4)),DATE(YEAR(INDEX($AN$5:$AN$1000,$U159-4)),MONTH(INDEX($AN$5:$AN$1000,$U159-4)),1),MesCiclo)),IF(ISNUMBER($AM159),DATE(YEAR($AM159),MONTH($AM159),1),IF(ISNUMBER($AN159),DATE(YEAR($AN159),MONTH($AN159),1),MesCiclo))))</f>
        <v/>
      </c>
      <c r="T159" s="62">
        <f>IF(OR($S159="",$S159&lt;&gt;MesCiclo,$V159&lt;&gt;"Macro"),"",COUNTIFS($S$5:$S159,MesCiclo,$V$5:$V159,"Macro"))</f>
        <v/>
      </c>
      <c r="U159" s="62">
        <f>IF($V159="","",IF($V159="Macro",ROW(),IFERROR(LOOKUP(2,1/($V$5:$V159="Macro"),ROW($V$5:$V159)),0)))</f>
        <v/>
      </c>
      <c r="V159" s="62">
        <f>IF(NOT((COUNTA($B159:$D159)+COUNTA($G159:$L159)+COUNTA($Q159))&gt;0),"",IF($B159="Subactividad","Sub","Macro"))</f>
        <v/>
      </c>
      <c r="W159" s="62">
        <f>IF($V159="Macro",COUNTIFS($U$5:$U$1000,ROW(),$V$5:$V$1000,"Sub"),"")</f>
        <v/>
      </c>
      <c r="X159" s="62">
        <f>IF($V159="","",IF(ISNUMBER($G159),1,IFERROR(LOOKUP(2,1/($I159:$L159&lt;&gt;""),$I159:$L159),0)))</f>
        <v/>
      </c>
      <c r="Y159" s="62">
        <f>IF($V159="","",IF(AND(ISNUMBER($G159),$G159&lt;=IF($S159=MesCiclo,InicioCiclo,$S159+MOD(2-WEEKDAY($S159),7))+6),1,IF(ISNUMBER($I159),$I159,0)))</f>
        <v/>
      </c>
      <c r="Z159" s="62">
        <f>IF($V159="","",IF(AND(ISNUMBER($G159),$G159&lt;=IF($S159=MesCiclo,InicioCiclo,$S159+MOD(2-WEEKDAY($S159),7))+13),1,IF(ISNUMBER($J159),$J159,$Y159)))</f>
        <v/>
      </c>
      <c r="AA159" s="62">
        <f>IF($V159="","",IF(AND(ISNUMBER($G159),$G159&lt;=IF($S159=MesCiclo,InicioCiclo,$S159+MOD(2-WEEKDAY($S159),7))+20),1,IF(ISNUMBER($K159),$K159,$Z159)))</f>
        <v/>
      </c>
      <c r="AB159" s="62">
        <f>IF($V159="","",IF(AND(ISNUMBER($G159),$G159&lt;=IF($S159=MesCiclo,InicioCiclo,$S159+MOD(2-WEEKDAY($S159),7))+27),1,IF(ISNUMBER($L159),$L159,$AA159)))</f>
        <v/>
      </c>
      <c r="AC159" s="62">
        <f>IF($V159="","",IF(AND(ISNUMBER($G159),$G159&lt;=IF($S159=MesCiclo,InicioCiclo,$S159+MOD(2-WEEKDAY($S159),7))+6),1,IF(N($W159)&gt;0,AVERAGEIFS($Y$5:$Y$1000,$U$5:$U$1000,ROW(),$V$5:$V$1000,"Sub"),$Y159)))</f>
        <v/>
      </c>
      <c r="AD159" s="62">
        <f>IF($V159="","",IF(AND(ISNUMBER($G159),$G159&lt;=IF($S159=MesCiclo,InicioCiclo,$S159+MOD(2-WEEKDAY($S159),7))+13),1,IF(N($W159)&gt;0,AVERAGEIFS($Z$5:$Z$1000,$U$5:$U$1000,ROW(),$V$5:$V$1000,"Sub"),$Z159)))</f>
        <v/>
      </c>
      <c r="AE159" s="62">
        <f>IF($V159="","",IF(AND(ISNUMBER($G159),$G159&lt;=IF($S159=MesCiclo,InicioCiclo,$S159+MOD(2-WEEKDAY($S159),7))+20),1,IF(N($W159)&gt;0,AVERAGEIFS($AA$5:$AA$1000,$U$5:$U$1000,ROW(),$V$5:$V$1000,"Sub"),$AA159)))</f>
        <v/>
      </c>
      <c r="AF159" s="62">
        <f>IF($V159="","",IF(AND(ISNUMBER($G159),$G159&lt;=IF($S159=MesCiclo,InicioCiclo,$S159+MOD(2-WEEKDAY($S159),7))+27),1,IF(N($W159)&gt;0,AVERAGEIFS($AB$5:$AB$1000,$U$5:$U$1000,ROW(),$V$5:$V$1000,"Sub"),$AB159)))</f>
        <v/>
      </c>
      <c r="AG159" s="62">
        <f>IF($V159&lt;&gt;"Macro","",IF(COUNTIFS($S$5:$S$1000,$S159,$V$5:$V$1000,"Macro",$H$5:$H$1000,"&gt;0")=0,1/COUNTIFS($S$5:$S$1000,$S159,$V$5:$V$1000,"Macro"),IF(AND(ISNUMBER($H159),N($H159)&gt;0),$H159,SUMIFS($H$5:$H$1000,$S$5:$S$1000,$S159,$V$5:$V$1000,"Macro")/COUNTIFS($S$5:$S$1000,$S159,$V$5:$V$1000,"Macro",$H$5:$H$1000,"&gt;0"))/(COUNTIFS($S$5:$S$1000,$S159,$V$5:$V$1000,"Macro")*SUMIFS($H$5:$H$1000,$S$5:$S$1000,$S159,$V$5:$V$1000,"Macro")/COUNTIFS($S$5:$S$1000,$S159,$V$5:$V$1000,"Macro",$H$5:$H$1000,"&gt;0"))))</f>
        <v/>
      </c>
      <c r="AH159" s="62" t="n"/>
      <c r="AI159" s="62" t="n"/>
      <c r="AJ159" s="62" t="n"/>
      <c r="AK159" s="62" t="n"/>
      <c r="AL159" s="62">
        <f>IF(LEFT($C159,11)="[Jefatura] ",IFERROR(MATCH("Riesgo Operacional|"&amp;MID($C159,12,500),rDname_ADM,0),0),"")</f>
        <v/>
      </c>
      <c r="AM159" s="62">
        <f>IF(N($AL159)&gt;0,INDEX(rIni_ADM,$AL159),IF(ISNUMBER($E159),$E159,""))</f>
        <v/>
      </c>
      <c r="AN159" s="62">
        <f>IF(N($AL159)&gt;0,INDEX(rLim_ADM,$AL159),IF(ISNUMBER($F159),$F159,""))</f>
        <v/>
      </c>
    </row>
    <row r="160">
      <c r="A160" s="56">
        <f>IF(NOT((COUNTA($B160:$D160)+COUNTA($G160:$L160)+COUNTA($Q160))&gt;0),"",IF($V160="Macro",COUNTIFS($V$5:$V160,"Macro",$S$5:$S160,$S160),IF(N($U160)=0,"?",COUNTIFS(INDEX($V$5:$V$1000,1):INDEX($V$5:$V$1000,$U160-4),"Macro",INDEX($S$5:$S$1000,1):INDEX($S$5:$S$1000,$U160-4),INDEX($S$5:$S$1000,$U160-4))&amp;"."&amp;COUNTIFS($U$5:$U160,$U160,$V$5:$V160,"Sub"))))</f>
        <v/>
      </c>
      <c r="B160" s="57" t="n"/>
      <c r="C160" s="58" t="n"/>
      <c r="D160" s="58" t="n"/>
      <c r="E160" s="59">
        <f>IF(N($AL160)&gt;0,INDEX(rIni_ADM,$AL160),"")</f>
        <v/>
      </c>
      <c r="F160" s="59">
        <f>IF(N($AL160)&gt;0,INDEX(rLim_ADM,$AL160),"")</f>
        <v/>
      </c>
      <c r="G160" s="59" t="n"/>
      <c r="H160" s="60" t="n"/>
      <c r="I160" s="60" t="n"/>
      <c r="J160" s="60" t="n"/>
      <c r="K160" s="60" t="n"/>
      <c r="L160" s="60" t="n"/>
      <c r="M160" s="61">
        <f>IF(NOT((COUNTA($B160:$D160)+COUNTA($G160:$L160)+COUNTA($Q160))&gt;0),"",IF($V160="Sub",IFERROR($X160/INDEX($W$5:$W$1000,$U160-4),""),IF(ISNUMBER($G160),1,IF(N($W160)&gt;0,AVERAGEIFS($X$5:$X$1000,$U$5:$U$1000,ROW(),$V$5:$V$1000,"Sub"),$X160))))</f>
        <v/>
      </c>
      <c r="N160" s="56">
        <f>IF(OR($M160="",$V160="Sub"),"",IF($M160&gt;=1,"Completado",IF($M160&gt;0,"En curso","Pendiente")))</f>
        <v/>
      </c>
      <c r="O160" s="56">
        <f>IF(OR(NOT((COUNTA($B160:$D160)+COUNTA($G160:$L160)+COUNTA($Q160))&gt;0),$V160="Sub"),"",IF(ISNUMBER($G160),IF(AND(ISNUMBER($AN160),$G160&gt;$AN160),"Cumplida con "&amp;($G160-$AN160)&amp;IF($G160-$AN160=1," día"," días")&amp;" de retraso","Cumplida"),IF(N($M160)&gt;=1,"Cumplida",IF(NOT(ISNUMBER($AN160)),"Sin fecha límite",IF($AN160&lt;FechaRef,"Vencida hace "&amp;(FechaRef-$AN160)&amp;IF(FechaRef-$AN160=1," día"," días"),IF($AN160=FechaRef,"Vence hoy",IF($AN160-FechaRef&lt;=DiasAlerta,"Vence en "&amp;($AN160-FechaRef)&amp;IF($AN160-FechaRef=1," día"," días"),"En plazo")))))))</f>
        <v/>
      </c>
      <c r="P160" s="62" t="n"/>
      <c r="Q160" s="58" t="n"/>
      <c r="R160" s="63">
        <f>IF(NOT((COUNTA($B160:$D160)+COUNTA($G160:$L160)+COUNTA($Q160))&gt;0),"",IF((IF($C160="","Falta el nombre de la actividad"&amp;" · ","")&amp;IF(AND($V160="Sub",N($U160)=0),"Subactividad sin macroactividad arriba"&amp;" · ","")&amp;IF($AM160="","Sin fecha de inicio"&amp;" · ","")&amp;IF($AN160="","Sin fecha límite"&amp;" · ","")&amp;IF(AND(LEFT($C160,11)="[Jefatura] ",N($AL160)=0),"No se encuentra en la hoja de la jefatura (elíjala de nuevo en la lista)"&amp;" · ","")&amp;IF(OR(AND($E160&lt;&gt;"",NOT(ISNUMBER($E160))),AND($F160&lt;&gt;"",NOT(ISNUMBER($F160))),AND($G160&lt;&gt;"",NOT(ISNUMBER($G160)))),"Fecha no válida"&amp;" · ","")&amp;IF(AND(ISNUMBER($AM160),ISNUMBER($AN160),$AM160&gt;$AN160),"Inicio posterior a fecha límite"&amp;" · ","")&amp;IF(AND($V160="Macro",$H160&lt;&gt;"",OR(NOT(ISNUMBER($H160)),$H160&lt;0,$H160&gt;1)),"Peso fuera de rango"&amp;" · ","")&amp;IF(AND($V160="Sub",$H160&lt;&gt;""),"Las subactividades no llevan peso (valen igual dentro de su macroactividad)"&amp;" · ","")&amp;IF(AND(N($W160)&gt;0,COUNT($I160:$L160)&gt;0),"Con subactividades: deje vacías las semanas (se calculan solas)"&amp;" · ","")&amp;IF((COUNTIF($I160:$L160,"&gt;1")+COUNTIF($I160:$L160,"&lt;0")+COUNTA($I160:$L160)-COUNT($I160:$L160))&gt;0,"Avance fuera de rango 0-100%"&amp;" · ","")&amp;IF(OR(AND($J160&lt;&gt;"",$J160&lt;$I160),AND($K160&lt;&gt;"",$K160&lt;MAX($I160:$J160)),AND($L160&lt;&gt;"",$L160&lt;MAX($I160:$K160))),"Avance semanal decreciente"&amp;" · ","")&amp;IF(AND(ISNUMBER($AN160),$AN160&lt;FechaRef,IF($V160="Sub",N($X160),N($M160))&lt;1),"Vencida"&amp;" · ","")&amp;IF(AND(ObsObligatoria="Sí",ISNUMBER($AN160),$AN160&lt;FechaRef,IF($V160="Sub",N($X160),N($M160))&lt;1,$Q160=""),"Vencida sin observación"&amp;" · ",""))="","✔ OK","⚠ "&amp;LEFT(IF($C160="","Falta el nombre de la actividad"&amp;" · ","")&amp;IF(AND($V160="Sub",N($U160)=0),"Subactividad sin macroactividad arriba"&amp;" · ","")&amp;IF($AM160="","Sin fecha de inicio"&amp;" · ","")&amp;IF($AN160="","Sin fecha límite"&amp;" · ","")&amp;IF(AND(LEFT($C160,11)="[Jefatura] ",N($AL160)=0),"No se encuentra en la hoja de la jefatura (elíjala de nuevo en la lista)"&amp;" · ","")&amp;IF(OR(AND($E160&lt;&gt;"",NOT(ISNUMBER($E160))),AND($F160&lt;&gt;"",NOT(ISNUMBER($F160))),AND($G160&lt;&gt;"",NOT(ISNUMBER($G160)))),"Fecha no válida"&amp;" · ","")&amp;IF(AND(ISNUMBER($AM160),ISNUMBER($AN160),$AM160&gt;$AN160),"Inicio posterior a fecha límite"&amp;" · ","")&amp;IF(AND($V160="Macro",$H160&lt;&gt;"",OR(NOT(ISNUMBER($H160)),$H160&lt;0,$H160&gt;1)),"Peso fuera de rango"&amp;" · ","")&amp;IF(AND($V160="Sub",$H160&lt;&gt;""),"Las subactividades no llevan peso (valen igual dentro de su macroactividad)"&amp;" · ","")&amp;IF(AND(N($W160)&gt;0,COUNT($I160:$L160)&gt;0),"Con subactividades: deje vacías las semanas (se calculan solas)"&amp;" · ","")&amp;IF((COUNTIF($I160:$L160,"&gt;1")+COUNTIF($I160:$L160,"&lt;0")+COUNTA($I160:$L160)-COUNT($I160:$L160))&gt;0,"Avance fuera de rango 0-100%"&amp;" · ","")&amp;IF(OR(AND($J160&lt;&gt;"",$J160&lt;$I160),AND($K160&lt;&gt;"",$K160&lt;MAX($I160:$J160)),AND($L160&lt;&gt;"",$L160&lt;MAX($I160:$K160))),"Avance semanal decreciente"&amp;" · ","")&amp;IF(AND(ISNUMBER($AN160),$AN160&lt;FechaRef,IF($V160="Sub",N($X160),N($M160))&lt;1),"Vencida"&amp;" · ","")&amp;IF(AND(ObsObligatoria="Sí",ISNUMBER($AN160),$AN160&lt;FechaRef,IF($V160="Sub",N($X160),N($M160))&lt;1,$Q160=""),"Vencida sin observación"&amp;" · ",""),LEN(IF($C160="","Falta el nombre de la actividad"&amp;" · ","")&amp;IF(AND($V160="Sub",N($U160)=0),"Subactividad sin macroactividad arriba"&amp;" · ","")&amp;IF($AM160="","Sin fecha de inicio"&amp;" · ","")&amp;IF($AN160="","Sin fecha límite"&amp;" · ","")&amp;IF(AND(LEFT($C160,11)="[Jefatura] ",N($AL160)=0),"No se encuentra en la hoja de la jefatura (elíjala de nuevo en la lista)"&amp;" · ","")&amp;IF(OR(AND($E160&lt;&gt;"",NOT(ISNUMBER($E160))),AND($F160&lt;&gt;"",NOT(ISNUMBER($F160))),AND($G160&lt;&gt;"",NOT(ISNUMBER($G160)))),"Fecha no válida"&amp;" · ","")&amp;IF(AND(ISNUMBER($AM160),ISNUMBER($AN160),$AM160&gt;$AN160),"Inicio posterior a fecha límite"&amp;" · ","")&amp;IF(AND($V160="Macro",$H160&lt;&gt;"",OR(NOT(ISNUMBER($H160)),$H160&lt;0,$H160&gt;1)),"Peso fuera de rango"&amp;" · ","")&amp;IF(AND($V160="Sub",$H160&lt;&gt;""),"Las subactividades no llevan peso (valen igual dentro de su macroactividad)"&amp;" · ","")&amp;IF(AND(N($W160)&gt;0,COUNT($I160:$L160)&gt;0),"Con subactividades: deje vacías las semanas (se calculan solas)"&amp;" · ","")&amp;IF((COUNTIF($I160:$L160,"&gt;1")+COUNTIF($I160:$L160,"&lt;0")+COUNTA($I160:$L160)-COUNT($I160:$L160))&gt;0,"Avance fuera de rango 0-100%"&amp;" · ","")&amp;IF(OR(AND($J160&lt;&gt;"",$J160&lt;$I160),AND($K160&lt;&gt;"",$K160&lt;MAX($I160:$J160)),AND($L160&lt;&gt;"",$L160&lt;MAX($I160:$K160))),"Avance semanal decreciente"&amp;" · ","")&amp;IF(AND(ISNUMBER($AN160),$AN160&lt;FechaRef,IF($V160="Sub",N($X160),N($M160))&lt;1),"Vencida"&amp;" · ","")&amp;IF(AND(ObsObligatoria="Sí",ISNUMBER($AN160),$AN160&lt;FechaRef,IF($V160="Sub",N($X160),N($M160))&lt;1,$Q160=""),"Vencida sin observación"&amp;" · ",""))-3)))</f>
        <v/>
      </c>
      <c r="S160" s="64">
        <f>IF(NOT((COUNTA($B160:$D160)+COUNTA($G160:$L160)+COUNTA($Q160))&gt;0),"",IF(AND($V160="Sub",N($U160)&gt;0),IF(ISNUMBER(INDEX($AM$5:$AM$1000,$U160-4)),DATE(YEAR(INDEX($AM$5:$AM$1000,$U160-4)),MONTH(INDEX($AM$5:$AM$1000,$U160-4)),1),IF(ISNUMBER(INDEX($AN$5:$AN$1000,$U160-4)),DATE(YEAR(INDEX($AN$5:$AN$1000,$U160-4)),MONTH(INDEX($AN$5:$AN$1000,$U160-4)),1),MesCiclo)),IF(ISNUMBER($AM160),DATE(YEAR($AM160),MONTH($AM160),1),IF(ISNUMBER($AN160),DATE(YEAR($AN160),MONTH($AN160),1),MesCiclo))))</f>
        <v/>
      </c>
      <c r="T160" s="62">
        <f>IF(OR($S160="",$S160&lt;&gt;MesCiclo,$V160&lt;&gt;"Macro"),"",COUNTIFS($S$5:$S160,MesCiclo,$V$5:$V160,"Macro"))</f>
        <v/>
      </c>
      <c r="U160" s="62">
        <f>IF($V160="","",IF($V160="Macro",ROW(),IFERROR(LOOKUP(2,1/($V$5:$V160="Macro"),ROW($V$5:$V160)),0)))</f>
        <v/>
      </c>
      <c r="V160" s="62">
        <f>IF(NOT((COUNTA($B160:$D160)+COUNTA($G160:$L160)+COUNTA($Q160))&gt;0),"",IF($B160="Subactividad","Sub","Macro"))</f>
        <v/>
      </c>
      <c r="W160" s="62">
        <f>IF($V160="Macro",COUNTIFS($U$5:$U$1000,ROW(),$V$5:$V$1000,"Sub"),"")</f>
        <v/>
      </c>
      <c r="X160" s="62">
        <f>IF($V160="","",IF(ISNUMBER($G160),1,IFERROR(LOOKUP(2,1/($I160:$L160&lt;&gt;""),$I160:$L160),0)))</f>
        <v/>
      </c>
      <c r="Y160" s="62">
        <f>IF($V160="","",IF(AND(ISNUMBER($G160),$G160&lt;=IF($S160=MesCiclo,InicioCiclo,$S160+MOD(2-WEEKDAY($S160),7))+6),1,IF(ISNUMBER($I160),$I160,0)))</f>
        <v/>
      </c>
      <c r="Z160" s="62">
        <f>IF($V160="","",IF(AND(ISNUMBER($G160),$G160&lt;=IF($S160=MesCiclo,InicioCiclo,$S160+MOD(2-WEEKDAY($S160),7))+13),1,IF(ISNUMBER($J160),$J160,$Y160)))</f>
        <v/>
      </c>
      <c r="AA160" s="62">
        <f>IF($V160="","",IF(AND(ISNUMBER($G160),$G160&lt;=IF($S160=MesCiclo,InicioCiclo,$S160+MOD(2-WEEKDAY($S160),7))+20),1,IF(ISNUMBER($K160),$K160,$Z160)))</f>
        <v/>
      </c>
      <c r="AB160" s="62">
        <f>IF($V160="","",IF(AND(ISNUMBER($G160),$G160&lt;=IF($S160=MesCiclo,InicioCiclo,$S160+MOD(2-WEEKDAY($S160),7))+27),1,IF(ISNUMBER($L160),$L160,$AA160)))</f>
        <v/>
      </c>
      <c r="AC160" s="62">
        <f>IF($V160="","",IF(AND(ISNUMBER($G160),$G160&lt;=IF($S160=MesCiclo,InicioCiclo,$S160+MOD(2-WEEKDAY($S160),7))+6),1,IF(N($W160)&gt;0,AVERAGEIFS($Y$5:$Y$1000,$U$5:$U$1000,ROW(),$V$5:$V$1000,"Sub"),$Y160)))</f>
        <v/>
      </c>
      <c r="AD160" s="62">
        <f>IF($V160="","",IF(AND(ISNUMBER($G160),$G160&lt;=IF($S160=MesCiclo,InicioCiclo,$S160+MOD(2-WEEKDAY($S160),7))+13),1,IF(N($W160)&gt;0,AVERAGEIFS($Z$5:$Z$1000,$U$5:$U$1000,ROW(),$V$5:$V$1000,"Sub"),$Z160)))</f>
        <v/>
      </c>
      <c r="AE160" s="62">
        <f>IF($V160="","",IF(AND(ISNUMBER($G160),$G160&lt;=IF($S160=MesCiclo,InicioCiclo,$S160+MOD(2-WEEKDAY($S160),7))+20),1,IF(N($W160)&gt;0,AVERAGEIFS($AA$5:$AA$1000,$U$5:$U$1000,ROW(),$V$5:$V$1000,"Sub"),$AA160)))</f>
        <v/>
      </c>
      <c r="AF160" s="62">
        <f>IF($V160="","",IF(AND(ISNUMBER($G160),$G160&lt;=IF($S160=MesCiclo,InicioCiclo,$S160+MOD(2-WEEKDAY($S160),7))+27),1,IF(N($W160)&gt;0,AVERAGEIFS($AB$5:$AB$1000,$U$5:$U$1000,ROW(),$V$5:$V$1000,"Sub"),$AB160)))</f>
        <v/>
      </c>
      <c r="AG160" s="62">
        <f>IF($V160&lt;&gt;"Macro","",IF(COUNTIFS($S$5:$S$1000,$S160,$V$5:$V$1000,"Macro",$H$5:$H$1000,"&gt;0")=0,1/COUNTIFS($S$5:$S$1000,$S160,$V$5:$V$1000,"Macro"),IF(AND(ISNUMBER($H160),N($H160)&gt;0),$H160,SUMIFS($H$5:$H$1000,$S$5:$S$1000,$S160,$V$5:$V$1000,"Macro")/COUNTIFS($S$5:$S$1000,$S160,$V$5:$V$1000,"Macro",$H$5:$H$1000,"&gt;0"))/(COUNTIFS($S$5:$S$1000,$S160,$V$5:$V$1000,"Macro")*SUMIFS($H$5:$H$1000,$S$5:$S$1000,$S160,$V$5:$V$1000,"Macro")/COUNTIFS($S$5:$S$1000,$S160,$V$5:$V$1000,"Macro",$H$5:$H$1000,"&gt;0"))))</f>
        <v/>
      </c>
      <c r="AH160" s="62" t="n"/>
      <c r="AI160" s="62" t="n"/>
      <c r="AJ160" s="62" t="n"/>
      <c r="AK160" s="62" t="n"/>
      <c r="AL160" s="62">
        <f>IF(LEFT($C160,11)="[Jefatura] ",IFERROR(MATCH("Riesgo Operacional|"&amp;MID($C160,12,500),rDname_ADM,0),0),"")</f>
        <v/>
      </c>
      <c r="AM160" s="62">
        <f>IF(N($AL160)&gt;0,INDEX(rIni_ADM,$AL160),IF(ISNUMBER($E160),$E160,""))</f>
        <v/>
      </c>
      <c r="AN160" s="62">
        <f>IF(N($AL160)&gt;0,INDEX(rLim_ADM,$AL160),IF(ISNUMBER($F160),$F160,""))</f>
        <v/>
      </c>
    </row>
    <row r="161">
      <c r="A161" s="56">
        <f>IF(NOT((COUNTA($B161:$D161)+COUNTA($G161:$L161)+COUNTA($Q161))&gt;0),"",IF($V161="Macro",COUNTIFS($V$5:$V161,"Macro",$S$5:$S161,$S161),IF(N($U161)=0,"?",COUNTIFS(INDEX($V$5:$V$1000,1):INDEX($V$5:$V$1000,$U161-4),"Macro",INDEX($S$5:$S$1000,1):INDEX($S$5:$S$1000,$U161-4),INDEX($S$5:$S$1000,$U161-4))&amp;"."&amp;COUNTIFS($U$5:$U161,$U161,$V$5:$V161,"Sub"))))</f>
        <v/>
      </c>
      <c r="B161" s="57" t="n"/>
      <c r="C161" s="58" t="n"/>
      <c r="D161" s="58" t="n"/>
      <c r="E161" s="59">
        <f>IF(N($AL161)&gt;0,INDEX(rIni_ADM,$AL161),"")</f>
        <v/>
      </c>
      <c r="F161" s="59">
        <f>IF(N($AL161)&gt;0,INDEX(rLim_ADM,$AL161),"")</f>
        <v/>
      </c>
      <c r="G161" s="59" t="n"/>
      <c r="H161" s="60" t="n"/>
      <c r="I161" s="60" t="n"/>
      <c r="J161" s="60" t="n"/>
      <c r="K161" s="60" t="n"/>
      <c r="L161" s="60" t="n"/>
      <c r="M161" s="61">
        <f>IF(NOT((COUNTA($B161:$D161)+COUNTA($G161:$L161)+COUNTA($Q161))&gt;0),"",IF($V161="Sub",IFERROR($X161/INDEX($W$5:$W$1000,$U161-4),""),IF(ISNUMBER($G161),1,IF(N($W161)&gt;0,AVERAGEIFS($X$5:$X$1000,$U$5:$U$1000,ROW(),$V$5:$V$1000,"Sub"),$X161))))</f>
        <v/>
      </c>
      <c r="N161" s="56">
        <f>IF(OR($M161="",$V161="Sub"),"",IF($M161&gt;=1,"Completado",IF($M161&gt;0,"En curso","Pendiente")))</f>
        <v/>
      </c>
      <c r="O161" s="56">
        <f>IF(OR(NOT((COUNTA($B161:$D161)+COUNTA($G161:$L161)+COUNTA($Q161))&gt;0),$V161="Sub"),"",IF(ISNUMBER($G161),IF(AND(ISNUMBER($AN161),$G161&gt;$AN161),"Cumplida con "&amp;($G161-$AN161)&amp;IF($G161-$AN161=1," día"," días")&amp;" de retraso","Cumplida"),IF(N($M161)&gt;=1,"Cumplida",IF(NOT(ISNUMBER($AN161)),"Sin fecha límite",IF($AN161&lt;FechaRef,"Vencida hace "&amp;(FechaRef-$AN161)&amp;IF(FechaRef-$AN161=1," día"," días"),IF($AN161=FechaRef,"Vence hoy",IF($AN161-FechaRef&lt;=DiasAlerta,"Vence en "&amp;($AN161-FechaRef)&amp;IF($AN161-FechaRef=1," día"," días"),"En plazo")))))))</f>
        <v/>
      </c>
      <c r="P161" s="62" t="n"/>
      <c r="Q161" s="58" t="n"/>
      <c r="R161" s="63">
        <f>IF(NOT((COUNTA($B161:$D161)+COUNTA($G161:$L161)+COUNTA($Q161))&gt;0),"",IF((IF($C161="","Falta el nombre de la actividad"&amp;" · ","")&amp;IF(AND($V161="Sub",N($U161)=0),"Subactividad sin macroactividad arriba"&amp;" · ","")&amp;IF($AM161="","Sin fecha de inicio"&amp;" · ","")&amp;IF($AN161="","Sin fecha límite"&amp;" · ","")&amp;IF(AND(LEFT($C161,11)="[Jefatura] ",N($AL161)=0),"No se encuentra en la hoja de la jefatura (elíjala de nuevo en la lista)"&amp;" · ","")&amp;IF(OR(AND($E161&lt;&gt;"",NOT(ISNUMBER($E161))),AND($F161&lt;&gt;"",NOT(ISNUMBER($F161))),AND($G161&lt;&gt;"",NOT(ISNUMBER($G161)))),"Fecha no válida"&amp;" · ","")&amp;IF(AND(ISNUMBER($AM161),ISNUMBER($AN161),$AM161&gt;$AN161),"Inicio posterior a fecha límite"&amp;" · ","")&amp;IF(AND($V161="Macro",$H161&lt;&gt;"",OR(NOT(ISNUMBER($H161)),$H161&lt;0,$H161&gt;1)),"Peso fuera de rango"&amp;" · ","")&amp;IF(AND($V161="Sub",$H161&lt;&gt;""),"Las subactividades no llevan peso (valen igual dentro de su macroactividad)"&amp;" · ","")&amp;IF(AND(N($W161)&gt;0,COUNT($I161:$L161)&gt;0),"Con subactividades: deje vacías las semanas (se calculan solas)"&amp;" · ","")&amp;IF((COUNTIF($I161:$L161,"&gt;1")+COUNTIF($I161:$L161,"&lt;0")+COUNTA($I161:$L161)-COUNT($I161:$L161))&gt;0,"Avance fuera de rango 0-100%"&amp;" · ","")&amp;IF(OR(AND($J161&lt;&gt;"",$J161&lt;$I161),AND($K161&lt;&gt;"",$K161&lt;MAX($I161:$J161)),AND($L161&lt;&gt;"",$L161&lt;MAX($I161:$K161))),"Avance semanal decreciente"&amp;" · ","")&amp;IF(AND(ISNUMBER($AN161),$AN161&lt;FechaRef,IF($V161="Sub",N($X161),N($M161))&lt;1),"Vencida"&amp;" · ","")&amp;IF(AND(ObsObligatoria="Sí",ISNUMBER($AN161),$AN161&lt;FechaRef,IF($V161="Sub",N($X161),N($M161))&lt;1,$Q161=""),"Vencida sin observación"&amp;" · ",""))="","✔ OK","⚠ "&amp;LEFT(IF($C161="","Falta el nombre de la actividad"&amp;" · ","")&amp;IF(AND($V161="Sub",N($U161)=0),"Subactividad sin macroactividad arriba"&amp;" · ","")&amp;IF($AM161="","Sin fecha de inicio"&amp;" · ","")&amp;IF($AN161="","Sin fecha límite"&amp;" · ","")&amp;IF(AND(LEFT($C161,11)="[Jefatura] ",N($AL161)=0),"No se encuentra en la hoja de la jefatura (elíjala de nuevo en la lista)"&amp;" · ","")&amp;IF(OR(AND($E161&lt;&gt;"",NOT(ISNUMBER($E161))),AND($F161&lt;&gt;"",NOT(ISNUMBER($F161))),AND($G161&lt;&gt;"",NOT(ISNUMBER($G161)))),"Fecha no válida"&amp;" · ","")&amp;IF(AND(ISNUMBER($AM161),ISNUMBER($AN161),$AM161&gt;$AN161),"Inicio posterior a fecha límite"&amp;" · ","")&amp;IF(AND($V161="Macro",$H161&lt;&gt;"",OR(NOT(ISNUMBER($H161)),$H161&lt;0,$H161&gt;1)),"Peso fuera de rango"&amp;" · ","")&amp;IF(AND($V161="Sub",$H161&lt;&gt;""),"Las subactividades no llevan peso (valen igual dentro de su macroactividad)"&amp;" · ","")&amp;IF(AND(N($W161)&gt;0,COUNT($I161:$L161)&gt;0),"Con subactividades: deje vacías las semanas (se calculan solas)"&amp;" · ","")&amp;IF((COUNTIF($I161:$L161,"&gt;1")+COUNTIF($I161:$L161,"&lt;0")+COUNTA($I161:$L161)-COUNT($I161:$L161))&gt;0,"Avance fuera de rango 0-100%"&amp;" · ","")&amp;IF(OR(AND($J161&lt;&gt;"",$J161&lt;$I161),AND($K161&lt;&gt;"",$K161&lt;MAX($I161:$J161)),AND($L161&lt;&gt;"",$L161&lt;MAX($I161:$K161))),"Avance semanal decreciente"&amp;" · ","")&amp;IF(AND(ISNUMBER($AN161),$AN161&lt;FechaRef,IF($V161="Sub",N($X161),N($M161))&lt;1),"Vencida"&amp;" · ","")&amp;IF(AND(ObsObligatoria="Sí",ISNUMBER($AN161),$AN161&lt;FechaRef,IF($V161="Sub",N($X161),N($M161))&lt;1,$Q161=""),"Vencida sin observación"&amp;" · ",""),LEN(IF($C161="","Falta el nombre de la actividad"&amp;" · ","")&amp;IF(AND($V161="Sub",N($U161)=0),"Subactividad sin macroactividad arriba"&amp;" · ","")&amp;IF($AM161="","Sin fecha de inicio"&amp;" · ","")&amp;IF($AN161="","Sin fecha límite"&amp;" · ","")&amp;IF(AND(LEFT($C161,11)="[Jefatura] ",N($AL161)=0),"No se encuentra en la hoja de la jefatura (elíjala de nuevo en la lista)"&amp;" · ","")&amp;IF(OR(AND($E161&lt;&gt;"",NOT(ISNUMBER($E161))),AND($F161&lt;&gt;"",NOT(ISNUMBER($F161))),AND($G161&lt;&gt;"",NOT(ISNUMBER($G161)))),"Fecha no válida"&amp;" · ","")&amp;IF(AND(ISNUMBER($AM161),ISNUMBER($AN161),$AM161&gt;$AN161),"Inicio posterior a fecha límite"&amp;" · ","")&amp;IF(AND($V161="Macro",$H161&lt;&gt;"",OR(NOT(ISNUMBER($H161)),$H161&lt;0,$H161&gt;1)),"Peso fuera de rango"&amp;" · ","")&amp;IF(AND($V161="Sub",$H161&lt;&gt;""),"Las subactividades no llevan peso (valen igual dentro de su macroactividad)"&amp;" · ","")&amp;IF(AND(N($W161)&gt;0,COUNT($I161:$L161)&gt;0),"Con subactividades: deje vacías las semanas (se calculan solas)"&amp;" · ","")&amp;IF((COUNTIF($I161:$L161,"&gt;1")+COUNTIF($I161:$L161,"&lt;0")+COUNTA($I161:$L161)-COUNT($I161:$L161))&gt;0,"Avance fuera de rango 0-100%"&amp;" · ","")&amp;IF(OR(AND($J161&lt;&gt;"",$J161&lt;$I161),AND($K161&lt;&gt;"",$K161&lt;MAX($I161:$J161)),AND($L161&lt;&gt;"",$L161&lt;MAX($I161:$K161))),"Avance semanal decreciente"&amp;" · ","")&amp;IF(AND(ISNUMBER($AN161),$AN161&lt;FechaRef,IF($V161="Sub",N($X161),N($M161))&lt;1),"Vencida"&amp;" · ","")&amp;IF(AND(ObsObligatoria="Sí",ISNUMBER($AN161),$AN161&lt;FechaRef,IF($V161="Sub",N($X161),N($M161))&lt;1,$Q161=""),"Vencida sin observación"&amp;" · ",""))-3)))</f>
        <v/>
      </c>
      <c r="S161" s="64">
        <f>IF(NOT((COUNTA($B161:$D161)+COUNTA($G161:$L161)+COUNTA($Q161))&gt;0),"",IF(AND($V161="Sub",N($U161)&gt;0),IF(ISNUMBER(INDEX($AM$5:$AM$1000,$U161-4)),DATE(YEAR(INDEX($AM$5:$AM$1000,$U161-4)),MONTH(INDEX($AM$5:$AM$1000,$U161-4)),1),IF(ISNUMBER(INDEX($AN$5:$AN$1000,$U161-4)),DATE(YEAR(INDEX($AN$5:$AN$1000,$U161-4)),MONTH(INDEX($AN$5:$AN$1000,$U161-4)),1),MesCiclo)),IF(ISNUMBER($AM161),DATE(YEAR($AM161),MONTH($AM161),1),IF(ISNUMBER($AN161),DATE(YEAR($AN161),MONTH($AN161),1),MesCiclo))))</f>
        <v/>
      </c>
      <c r="T161" s="62">
        <f>IF(OR($S161="",$S161&lt;&gt;MesCiclo,$V161&lt;&gt;"Macro"),"",COUNTIFS($S$5:$S161,MesCiclo,$V$5:$V161,"Macro"))</f>
        <v/>
      </c>
      <c r="U161" s="62">
        <f>IF($V161="","",IF($V161="Macro",ROW(),IFERROR(LOOKUP(2,1/($V$5:$V161="Macro"),ROW($V$5:$V161)),0)))</f>
        <v/>
      </c>
      <c r="V161" s="62">
        <f>IF(NOT((COUNTA($B161:$D161)+COUNTA($G161:$L161)+COUNTA($Q161))&gt;0),"",IF($B161="Subactividad","Sub","Macro"))</f>
        <v/>
      </c>
      <c r="W161" s="62">
        <f>IF($V161="Macro",COUNTIFS($U$5:$U$1000,ROW(),$V$5:$V$1000,"Sub"),"")</f>
        <v/>
      </c>
      <c r="X161" s="62">
        <f>IF($V161="","",IF(ISNUMBER($G161),1,IFERROR(LOOKUP(2,1/($I161:$L161&lt;&gt;""),$I161:$L161),0)))</f>
        <v/>
      </c>
      <c r="Y161" s="62">
        <f>IF($V161="","",IF(AND(ISNUMBER($G161),$G161&lt;=IF($S161=MesCiclo,InicioCiclo,$S161+MOD(2-WEEKDAY($S161),7))+6),1,IF(ISNUMBER($I161),$I161,0)))</f>
        <v/>
      </c>
      <c r="Z161" s="62">
        <f>IF($V161="","",IF(AND(ISNUMBER($G161),$G161&lt;=IF($S161=MesCiclo,InicioCiclo,$S161+MOD(2-WEEKDAY($S161),7))+13),1,IF(ISNUMBER($J161),$J161,$Y161)))</f>
        <v/>
      </c>
      <c r="AA161" s="62">
        <f>IF($V161="","",IF(AND(ISNUMBER($G161),$G161&lt;=IF($S161=MesCiclo,InicioCiclo,$S161+MOD(2-WEEKDAY($S161),7))+20),1,IF(ISNUMBER($K161),$K161,$Z161)))</f>
        <v/>
      </c>
      <c r="AB161" s="62">
        <f>IF($V161="","",IF(AND(ISNUMBER($G161),$G161&lt;=IF($S161=MesCiclo,InicioCiclo,$S161+MOD(2-WEEKDAY($S161),7))+27),1,IF(ISNUMBER($L161),$L161,$AA161)))</f>
        <v/>
      </c>
      <c r="AC161" s="62">
        <f>IF($V161="","",IF(AND(ISNUMBER($G161),$G161&lt;=IF($S161=MesCiclo,InicioCiclo,$S161+MOD(2-WEEKDAY($S161),7))+6),1,IF(N($W161)&gt;0,AVERAGEIFS($Y$5:$Y$1000,$U$5:$U$1000,ROW(),$V$5:$V$1000,"Sub"),$Y161)))</f>
        <v/>
      </c>
      <c r="AD161" s="62">
        <f>IF($V161="","",IF(AND(ISNUMBER($G161),$G161&lt;=IF($S161=MesCiclo,InicioCiclo,$S161+MOD(2-WEEKDAY($S161),7))+13),1,IF(N($W161)&gt;0,AVERAGEIFS($Z$5:$Z$1000,$U$5:$U$1000,ROW(),$V$5:$V$1000,"Sub"),$Z161)))</f>
        <v/>
      </c>
      <c r="AE161" s="62">
        <f>IF($V161="","",IF(AND(ISNUMBER($G161),$G161&lt;=IF($S161=MesCiclo,InicioCiclo,$S161+MOD(2-WEEKDAY($S161),7))+20),1,IF(N($W161)&gt;0,AVERAGEIFS($AA$5:$AA$1000,$U$5:$U$1000,ROW(),$V$5:$V$1000,"Sub"),$AA161)))</f>
        <v/>
      </c>
      <c r="AF161" s="62">
        <f>IF($V161="","",IF(AND(ISNUMBER($G161),$G161&lt;=IF($S161=MesCiclo,InicioCiclo,$S161+MOD(2-WEEKDAY($S161),7))+27),1,IF(N($W161)&gt;0,AVERAGEIFS($AB$5:$AB$1000,$U$5:$U$1000,ROW(),$V$5:$V$1000,"Sub"),$AB161)))</f>
        <v/>
      </c>
      <c r="AG161" s="62">
        <f>IF($V161&lt;&gt;"Macro","",IF(COUNTIFS($S$5:$S$1000,$S161,$V$5:$V$1000,"Macro",$H$5:$H$1000,"&gt;0")=0,1/COUNTIFS($S$5:$S$1000,$S161,$V$5:$V$1000,"Macro"),IF(AND(ISNUMBER($H161),N($H161)&gt;0),$H161,SUMIFS($H$5:$H$1000,$S$5:$S$1000,$S161,$V$5:$V$1000,"Macro")/COUNTIFS($S$5:$S$1000,$S161,$V$5:$V$1000,"Macro",$H$5:$H$1000,"&gt;0"))/(COUNTIFS($S$5:$S$1000,$S161,$V$5:$V$1000,"Macro")*SUMIFS($H$5:$H$1000,$S$5:$S$1000,$S161,$V$5:$V$1000,"Macro")/COUNTIFS($S$5:$S$1000,$S161,$V$5:$V$1000,"Macro",$H$5:$H$1000,"&gt;0"))))</f>
        <v/>
      </c>
      <c r="AH161" s="62" t="n"/>
      <c r="AI161" s="62" t="n"/>
      <c r="AJ161" s="62" t="n"/>
      <c r="AK161" s="62" t="n"/>
      <c r="AL161" s="62">
        <f>IF(LEFT($C161,11)="[Jefatura] ",IFERROR(MATCH("Riesgo Operacional|"&amp;MID($C161,12,500),rDname_ADM,0),0),"")</f>
        <v/>
      </c>
      <c r="AM161" s="62">
        <f>IF(N($AL161)&gt;0,INDEX(rIni_ADM,$AL161),IF(ISNUMBER($E161),$E161,""))</f>
        <v/>
      </c>
      <c r="AN161" s="62">
        <f>IF(N($AL161)&gt;0,INDEX(rLim_ADM,$AL161),IF(ISNUMBER($F161),$F161,""))</f>
        <v/>
      </c>
    </row>
    <row r="162">
      <c r="A162" s="56">
        <f>IF(NOT((COUNTA($B162:$D162)+COUNTA($G162:$L162)+COUNTA($Q162))&gt;0),"",IF($V162="Macro",COUNTIFS($V$5:$V162,"Macro",$S$5:$S162,$S162),IF(N($U162)=0,"?",COUNTIFS(INDEX($V$5:$V$1000,1):INDEX($V$5:$V$1000,$U162-4),"Macro",INDEX($S$5:$S$1000,1):INDEX($S$5:$S$1000,$U162-4),INDEX($S$5:$S$1000,$U162-4))&amp;"."&amp;COUNTIFS($U$5:$U162,$U162,$V$5:$V162,"Sub"))))</f>
        <v/>
      </c>
      <c r="B162" s="57" t="n"/>
      <c r="C162" s="58" t="n"/>
      <c r="D162" s="58" t="n"/>
      <c r="E162" s="59">
        <f>IF(N($AL162)&gt;0,INDEX(rIni_ADM,$AL162),"")</f>
        <v/>
      </c>
      <c r="F162" s="59">
        <f>IF(N($AL162)&gt;0,INDEX(rLim_ADM,$AL162),"")</f>
        <v/>
      </c>
      <c r="G162" s="59" t="n"/>
      <c r="H162" s="60" t="n"/>
      <c r="I162" s="60" t="n"/>
      <c r="J162" s="60" t="n"/>
      <c r="K162" s="60" t="n"/>
      <c r="L162" s="60" t="n"/>
      <c r="M162" s="61">
        <f>IF(NOT((COUNTA($B162:$D162)+COUNTA($G162:$L162)+COUNTA($Q162))&gt;0),"",IF($V162="Sub",IFERROR($X162/INDEX($W$5:$W$1000,$U162-4),""),IF(ISNUMBER($G162),1,IF(N($W162)&gt;0,AVERAGEIFS($X$5:$X$1000,$U$5:$U$1000,ROW(),$V$5:$V$1000,"Sub"),$X162))))</f>
        <v/>
      </c>
      <c r="N162" s="56">
        <f>IF(OR($M162="",$V162="Sub"),"",IF($M162&gt;=1,"Completado",IF($M162&gt;0,"En curso","Pendiente")))</f>
        <v/>
      </c>
      <c r="O162" s="56">
        <f>IF(OR(NOT((COUNTA($B162:$D162)+COUNTA($G162:$L162)+COUNTA($Q162))&gt;0),$V162="Sub"),"",IF(ISNUMBER($G162),IF(AND(ISNUMBER($AN162),$G162&gt;$AN162),"Cumplida con "&amp;($G162-$AN162)&amp;IF($G162-$AN162=1," día"," días")&amp;" de retraso","Cumplida"),IF(N($M162)&gt;=1,"Cumplida",IF(NOT(ISNUMBER($AN162)),"Sin fecha límite",IF($AN162&lt;FechaRef,"Vencida hace "&amp;(FechaRef-$AN162)&amp;IF(FechaRef-$AN162=1," día"," días"),IF($AN162=FechaRef,"Vence hoy",IF($AN162-FechaRef&lt;=DiasAlerta,"Vence en "&amp;($AN162-FechaRef)&amp;IF($AN162-FechaRef=1," día"," días"),"En plazo")))))))</f>
        <v/>
      </c>
      <c r="P162" s="62" t="n"/>
      <c r="Q162" s="58" t="n"/>
      <c r="R162" s="63">
        <f>IF(NOT((COUNTA($B162:$D162)+COUNTA($G162:$L162)+COUNTA($Q162))&gt;0),"",IF((IF($C162="","Falta el nombre de la actividad"&amp;" · ","")&amp;IF(AND($V162="Sub",N($U162)=0),"Subactividad sin macroactividad arriba"&amp;" · ","")&amp;IF($AM162="","Sin fecha de inicio"&amp;" · ","")&amp;IF($AN162="","Sin fecha límite"&amp;" · ","")&amp;IF(AND(LEFT($C162,11)="[Jefatura] ",N($AL162)=0),"No se encuentra en la hoja de la jefatura (elíjala de nuevo en la lista)"&amp;" · ","")&amp;IF(OR(AND($E162&lt;&gt;"",NOT(ISNUMBER($E162))),AND($F162&lt;&gt;"",NOT(ISNUMBER($F162))),AND($G162&lt;&gt;"",NOT(ISNUMBER($G162)))),"Fecha no válida"&amp;" · ","")&amp;IF(AND(ISNUMBER($AM162),ISNUMBER($AN162),$AM162&gt;$AN162),"Inicio posterior a fecha límite"&amp;" · ","")&amp;IF(AND($V162="Macro",$H162&lt;&gt;"",OR(NOT(ISNUMBER($H162)),$H162&lt;0,$H162&gt;1)),"Peso fuera de rango"&amp;" · ","")&amp;IF(AND($V162="Sub",$H162&lt;&gt;""),"Las subactividades no llevan peso (valen igual dentro de su macroactividad)"&amp;" · ","")&amp;IF(AND(N($W162)&gt;0,COUNT($I162:$L162)&gt;0),"Con subactividades: deje vacías las semanas (se calculan solas)"&amp;" · ","")&amp;IF((COUNTIF($I162:$L162,"&gt;1")+COUNTIF($I162:$L162,"&lt;0")+COUNTA($I162:$L162)-COUNT($I162:$L162))&gt;0,"Avance fuera de rango 0-100%"&amp;" · ","")&amp;IF(OR(AND($J162&lt;&gt;"",$J162&lt;$I162),AND($K162&lt;&gt;"",$K162&lt;MAX($I162:$J162)),AND($L162&lt;&gt;"",$L162&lt;MAX($I162:$K162))),"Avance semanal decreciente"&amp;" · ","")&amp;IF(AND(ISNUMBER($AN162),$AN162&lt;FechaRef,IF($V162="Sub",N($X162),N($M162))&lt;1),"Vencida"&amp;" · ","")&amp;IF(AND(ObsObligatoria="Sí",ISNUMBER($AN162),$AN162&lt;FechaRef,IF($V162="Sub",N($X162),N($M162))&lt;1,$Q162=""),"Vencida sin observación"&amp;" · ",""))="","✔ OK","⚠ "&amp;LEFT(IF($C162="","Falta el nombre de la actividad"&amp;" · ","")&amp;IF(AND($V162="Sub",N($U162)=0),"Subactividad sin macroactividad arriba"&amp;" · ","")&amp;IF($AM162="","Sin fecha de inicio"&amp;" · ","")&amp;IF($AN162="","Sin fecha límite"&amp;" · ","")&amp;IF(AND(LEFT($C162,11)="[Jefatura] ",N($AL162)=0),"No se encuentra en la hoja de la jefatura (elíjala de nuevo en la lista)"&amp;" · ","")&amp;IF(OR(AND($E162&lt;&gt;"",NOT(ISNUMBER($E162))),AND($F162&lt;&gt;"",NOT(ISNUMBER($F162))),AND($G162&lt;&gt;"",NOT(ISNUMBER($G162)))),"Fecha no válida"&amp;" · ","")&amp;IF(AND(ISNUMBER($AM162),ISNUMBER($AN162),$AM162&gt;$AN162),"Inicio posterior a fecha límite"&amp;" · ","")&amp;IF(AND($V162="Macro",$H162&lt;&gt;"",OR(NOT(ISNUMBER($H162)),$H162&lt;0,$H162&gt;1)),"Peso fuera de rango"&amp;" · ","")&amp;IF(AND($V162="Sub",$H162&lt;&gt;""),"Las subactividades no llevan peso (valen igual dentro de su macroactividad)"&amp;" · ","")&amp;IF(AND(N($W162)&gt;0,COUNT($I162:$L162)&gt;0),"Con subactividades: deje vacías las semanas (se calculan solas)"&amp;" · ","")&amp;IF((COUNTIF($I162:$L162,"&gt;1")+COUNTIF($I162:$L162,"&lt;0")+COUNTA($I162:$L162)-COUNT($I162:$L162))&gt;0,"Avance fuera de rango 0-100%"&amp;" · ","")&amp;IF(OR(AND($J162&lt;&gt;"",$J162&lt;$I162),AND($K162&lt;&gt;"",$K162&lt;MAX($I162:$J162)),AND($L162&lt;&gt;"",$L162&lt;MAX($I162:$K162))),"Avance semanal decreciente"&amp;" · ","")&amp;IF(AND(ISNUMBER($AN162),$AN162&lt;FechaRef,IF($V162="Sub",N($X162),N($M162))&lt;1),"Vencida"&amp;" · ","")&amp;IF(AND(ObsObligatoria="Sí",ISNUMBER($AN162),$AN162&lt;FechaRef,IF($V162="Sub",N($X162),N($M162))&lt;1,$Q162=""),"Vencida sin observación"&amp;" · ",""),LEN(IF($C162="","Falta el nombre de la actividad"&amp;" · ","")&amp;IF(AND($V162="Sub",N($U162)=0),"Subactividad sin macroactividad arriba"&amp;" · ","")&amp;IF($AM162="","Sin fecha de inicio"&amp;" · ","")&amp;IF($AN162="","Sin fecha límite"&amp;" · ","")&amp;IF(AND(LEFT($C162,11)="[Jefatura] ",N($AL162)=0),"No se encuentra en la hoja de la jefatura (elíjala de nuevo en la lista)"&amp;" · ","")&amp;IF(OR(AND($E162&lt;&gt;"",NOT(ISNUMBER($E162))),AND($F162&lt;&gt;"",NOT(ISNUMBER($F162))),AND($G162&lt;&gt;"",NOT(ISNUMBER($G162)))),"Fecha no válida"&amp;" · ","")&amp;IF(AND(ISNUMBER($AM162),ISNUMBER($AN162),$AM162&gt;$AN162),"Inicio posterior a fecha límite"&amp;" · ","")&amp;IF(AND($V162="Macro",$H162&lt;&gt;"",OR(NOT(ISNUMBER($H162)),$H162&lt;0,$H162&gt;1)),"Peso fuera de rango"&amp;" · ","")&amp;IF(AND($V162="Sub",$H162&lt;&gt;""),"Las subactividades no llevan peso (valen igual dentro de su macroactividad)"&amp;" · ","")&amp;IF(AND(N($W162)&gt;0,COUNT($I162:$L162)&gt;0),"Con subactividades: deje vacías las semanas (se calculan solas)"&amp;" · ","")&amp;IF((COUNTIF($I162:$L162,"&gt;1")+COUNTIF($I162:$L162,"&lt;0")+COUNTA($I162:$L162)-COUNT($I162:$L162))&gt;0,"Avance fuera de rango 0-100%"&amp;" · ","")&amp;IF(OR(AND($J162&lt;&gt;"",$J162&lt;$I162),AND($K162&lt;&gt;"",$K162&lt;MAX($I162:$J162)),AND($L162&lt;&gt;"",$L162&lt;MAX($I162:$K162))),"Avance semanal decreciente"&amp;" · ","")&amp;IF(AND(ISNUMBER($AN162),$AN162&lt;FechaRef,IF($V162="Sub",N($X162),N($M162))&lt;1),"Vencida"&amp;" · ","")&amp;IF(AND(ObsObligatoria="Sí",ISNUMBER($AN162),$AN162&lt;FechaRef,IF($V162="Sub",N($X162),N($M162))&lt;1,$Q162=""),"Vencida sin observación"&amp;" · ",""))-3)))</f>
        <v/>
      </c>
      <c r="S162" s="64">
        <f>IF(NOT((COUNTA($B162:$D162)+COUNTA($G162:$L162)+COUNTA($Q162))&gt;0),"",IF(AND($V162="Sub",N($U162)&gt;0),IF(ISNUMBER(INDEX($AM$5:$AM$1000,$U162-4)),DATE(YEAR(INDEX($AM$5:$AM$1000,$U162-4)),MONTH(INDEX($AM$5:$AM$1000,$U162-4)),1),IF(ISNUMBER(INDEX($AN$5:$AN$1000,$U162-4)),DATE(YEAR(INDEX($AN$5:$AN$1000,$U162-4)),MONTH(INDEX($AN$5:$AN$1000,$U162-4)),1),MesCiclo)),IF(ISNUMBER($AM162),DATE(YEAR($AM162),MONTH($AM162),1),IF(ISNUMBER($AN162),DATE(YEAR($AN162),MONTH($AN162),1),MesCiclo))))</f>
        <v/>
      </c>
      <c r="T162" s="62">
        <f>IF(OR($S162="",$S162&lt;&gt;MesCiclo,$V162&lt;&gt;"Macro"),"",COUNTIFS($S$5:$S162,MesCiclo,$V$5:$V162,"Macro"))</f>
        <v/>
      </c>
      <c r="U162" s="62">
        <f>IF($V162="","",IF($V162="Macro",ROW(),IFERROR(LOOKUP(2,1/($V$5:$V162="Macro"),ROW($V$5:$V162)),0)))</f>
        <v/>
      </c>
      <c r="V162" s="62">
        <f>IF(NOT((COUNTA($B162:$D162)+COUNTA($G162:$L162)+COUNTA($Q162))&gt;0),"",IF($B162="Subactividad","Sub","Macro"))</f>
        <v/>
      </c>
      <c r="W162" s="62">
        <f>IF($V162="Macro",COUNTIFS($U$5:$U$1000,ROW(),$V$5:$V$1000,"Sub"),"")</f>
        <v/>
      </c>
      <c r="X162" s="62">
        <f>IF($V162="","",IF(ISNUMBER($G162),1,IFERROR(LOOKUP(2,1/($I162:$L162&lt;&gt;""),$I162:$L162),0)))</f>
        <v/>
      </c>
      <c r="Y162" s="62">
        <f>IF($V162="","",IF(AND(ISNUMBER($G162),$G162&lt;=IF($S162=MesCiclo,InicioCiclo,$S162+MOD(2-WEEKDAY($S162),7))+6),1,IF(ISNUMBER($I162),$I162,0)))</f>
        <v/>
      </c>
      <c r="Z162" s="62">
        <f>IF($V162="","",IF(AND(ISNUMBER($G162),$G162&lt;=IF($S162=MesCiclo,InicioCiclo,$S162+MOD(2-WEEKDAY($S162),7))+13),1,IF(ISNUMBER($J162),$J162,$Y162)))</f>
        <v/>
      </c>
      <c r="AA162" s="62">
        <f>IF($V162="","",IF(AND(ISNUMBER($G162),$G162&lt;=IF($S162=MesCiclo,InicioCiclo,$S162+MOD(2-WEEKDAY($S162),7))+20),1,IF(ISNUMBER($K162),$K162,$Z162)))</f>
        <v/>
      </c>
      <c r="AB162" s="62">
        <f>IF($V162="","",IF(AND(ISNUMBER($G162),$G162&lt;=IF($S162=MesCiclo,InicioCiclo,$S162+MOD(2-WEEKDAY($S162),7))+27),1,IF(ISNUMBER($L162),$L162,$AA162)))</f>
        <v/>
      </c>
      <c r="AC162" s="62">
        <f>IF($V162="","",IF(AND(ISNUMBER($G162),$G162&lt;=IF($S162=MesCiclo,InicioCiclo,$S162+MOD(2-WEEKDAY($S162),7))+6),1,IF(N($W162)&gt;0,AVERAGEIFS($Y$5:$Y$1000,$U$5:$U$1000,ROW(),$V$5:$V$1000,"Sub"),$Y162)))</f>
        <v/>
      </c>
      <c r="AD162" s="62">
        <f>IF($V162="","",IF(AND(ISNUMBER($G162),$G162&lt;=IF($S162=MesCiclo,InicioCiclo,$S162+MOD(2-WEEKDAY($S162),7))+13),1,IF(N($W162)&gt;0,AVERAGEIFS($Z$5:$Z$1000,$U$5:$U$1000,ROW(),$V$5:$V$1000,"Sub"),$Z162)))</f>
        <v/>
      </c>
      <c r="AE162" s="62">
        <f>IF($V162="","",IF(AND(ISNUMBER($G162),$G162&lt;=IF($S162=MesCiclo,InicioCiclo,$S162+MOD(2-WEEKDAY($S162),7))+20),1,IF(N($W162)&gt;0,AVERAGEIFS($AA$5:$AA$1000,$U$5:$U$1000,ROW(),$V$5:$V$1000,"Sub"),$AA162)))</f>
        <v/>
      </c>
      <c r="AF162" s="62">
        <f>IF($V162="","",IF(AND(ISNUMBER($G162),$G162&lt;=IF($S162=MesCiclo,InicioCiclo,$S162+MOD(2-WEEKDAY($S162),7))+27),1,IF(N($W162)&gt;0,AVERAGEIFS($AB$5:$AB$1000,$U$5:$U$1000,ROW(),$V$5:$V$1000,"Sub"),$AB162)))</f>
        <v/>
      </c>
      <c r="AG162" s="62">
        <f>IF($V162&lt;&gt;"Macro","",IF(COUNTIFS($S$5:$S$1000,$S162,$V$5:$V$1000,"Macro",$H$5:$H$1000,"&gt;0")=0,1/COUNTIFS($S$5:$S$1000,$S162,$V$5:$V$1000,"Macro"),IF(AND(ISNUMBER($H162),N($H162)&gt;0),$H162,SUMIFS($H$5:$H$1000,$S$5:$S$1000,$S162,$V$5:$V$1000,"Macro")/COUNTIFS($S$5:$S$1000,$S162,$V$5:$V$1000,"Macro",$H$5:$H$1000,"&gt;0"))/(COUNTIFS($S$5:$S$1000,$S162,$V$5:$V$1000,"Macro")*SUMIFS($H$5:$H$1000,$S$5:$S$1000,$S162,$V$5:$V$1000,"Macro")/COUNTIFS($S$5:$S$1000,$S162,$V$5:$V$1000,"Macro",$H$5:$H$1000,"&gt;0"))))</f>
        <v/>
      </c>
      <c r="AH162" s="62" t="n"/>
      <c r="AI162" s="62" t="n"/>
      <c r="AJ162" s="62" t="n"/>
      <c r="AK162" s="62" t="n"/>
      <c r="AL162" s="62">
        <f>IF(LEFT($C162,11)="[Jefatura] ",IFERROR(MATCH("Riesgo Operacional|"&amp;MID($C162,12,500),rDname_ADM,0),0),"")</f>
        <v/>
      </c>
      <c r="AM162" s="62">
        <f>IF(N($AL162)&gt;0,INDEX(rIni_ADM,$AL162),IF(ISNUMBER($E162),$E162,""))</f>
        <v/>
      </c>
      <c r="AN162" s="62">
        <f>IF(N($AL162)&gt;0,INDEX(rLim_ADM,$AL162),IF(ISNUMBER($F162),$F162,""))</f>
        <v/>
      </c>
    </row>
    <row r="163">
      <c r="A163" s="56">
        <f>IF(NOT((COUNTA($B163:$D163)+COUNTA($G163:$L163)+COUNTA($Q163))&gt;0),"",IF($V163="Macro",COUNTIFS($V$5:$V163,"Macro",$S$5:$S163,$S163),IF(N($U163)=0,"?",COUNTIFS(INDEX($V$5:$V$1000,1):INDEX($V$5:$V$1000,$U163-4),"Macro",INDEX($S$5:$S$1000,1):INDEX($S$5:$S$1000,$U163-4),INDEX($S$5:$S$1000,$U163-4))&amp;"."&amp;COUNTIFS($U$5:$U163,$U163,$V$5:$V163,"Sub"))))</f>
        <v/>
      </c>
      <c r="B163" s="57" t="n"/>
      <c r="C163" s="58" t="n"/>
      <c r="D163" s="58" t="n"/>
      <c r="E163" s="59">
        <f>IF(N($AL163)&gt;0,INDEX(rIni_ADM,$AL163),"")</f>
        <v/>
      </c>
      <c r="F163" s="59">
        <f>IF(N($AL163)&gt;0,INDEX(rLim_ADM,$AL163),"")</f>
        <v/>
      </c>
      <c r="G163" s="59" t="n"/>
      <c r="H163" s="60" t="n"/>
      <c r="I163" s="60" t="n"/>
      <c r="J163" s="60" t="n"/>
      <c r="K163" s="60" t="n"/>
      <c r="L163" s="60" t="n"/>
      <c r="M163" s="61">
        <f>IF(NOT((COUNTA($B163:$D163)+COUNTA($G163:$L163)+COUNTA($Q163))&gt;0),"",IF($V163="Sub",IFERROR($X163/INDEX($W$5:$W$1000,$U163-4),""),IF(ISNUMBER($G163),1,IF(N($W163)&gt;0,AVERAGEIFS($X$5:$X$1000,$U$5:$U$1000,ROW(),$V$5:$V$1000,"Sub"),$X163))))</f>
        <v/>
      </c>
      <c r="N163" s="56">
        <f>IF(OR($M163="",$V163="Sub"),"",IF($M163&gt;=1,"Completado",IF($M163&gt;0,"En curso","Pendiente")))</f>
        <v/>
      </c>
      <c r="O163" s="56">
        <f>IF(OR(NOT((COUNTA($B163:$D163)+COUNTA($G163:$L163)+COUNTA($Q163))&gt;0),$V163="Sub"),"",IF(ISNUMBER($G163),IF(AND(ISNUMBER($AN163),$G163&gt;$AN163),"Cumplida con "&amp;($G163-$AN163)&amp;IF($G163-$AN163=1," día"," días")&amp;" de retraso","Cumplida"),IF(N($M163)&gt;=1,"Cumplida",IF(NOT(ISNUMBER($AN163)),"Sin fecha límite",IF($AN163&lt;FechaRef,"Vencida hace "&amp;(FechaRef-$AN163)&amp;IF(FechaRef-$AN163=1," día"," días"),IF($AN163=FechaRef,"Vence hoy",IF($AN163-FechaRef&lt;=DiasAlerta,"Vence en "&amp;($AN163-FechaRef)&amp;IF($AN163-FechaRef=1," día"," días"),"En plazo")))))))</f>
        <v/>
      </c>
      <c r="P163" s="62" t="n"/>
      <c r="Q163" s="58" t="n"/>
      <c r="R163" s="63">
        <f>IF(NOT((COUNTA($B163:$D163)+COUNTA($G163:$L163)+COUNTA($Q163))&gt;0),"",IF((IF($C163="","Falta el nombre de la actividad"&amp;" · ","")&amp;IF(AND($V163="Sub",N($U163)=0),"Subactividad sin macroactividad arriba"&amp;" · ","")&amp;IF($AM163="","Sin fecha de inicio"&amp;" · ","")&amp;IF($AN163="","Sin fecha límite"&amp;" · ","")&amp;IF(AND(LEFT($C163,11)="[Jefatura] ",N($AL163)=0),"No se encuentra en la hoja de la jefatura (elíjala de nuevo en la lista)"&amp;" · ","")&amp;IF(OR(AND($E163&lt;&gt;"",NOT(ISNUMBER($E163))),AND($F163&lt;&gt;"",NOT(ISNUMBER($F163))),AND($G163&lt;&gt;"",NOT(ISNUMBER($G163)))),"Fecha no válida"&amp;" · ","")&amp;IF(AND(ISNUMBER($AM163),ISNUMBER($AN163),$AM163&gt;$AN163),"Inicio posterior a fecha límite"&amp;" · ","")&amp;IF(AND($V163="Macro",$H163&lt;&gt;"",OR(NOT(ISNUMBER($H163)),$H163&lt;0,$H163&gt;1)),"Peso fuera de rango"&amp;" · ","")&amp;IF(AND($V163="Sub",$H163&lt;&gt;""),"Las subactividades no llevan peso (valen igual dentro de su macroactividad)"&amp;" · ","")&amp;IF(AND(N($W163)&gt;0,COUNT($I163:$L163)&gt;0),"Con subactividades: deje vacías las semanas (se calculan solas)"&amp;" · ","")&amp;IF((COUNTIF($I163:$L163,"&gt;1")+COUNTIF($I163:$L163,"&lt;0")+COUNTA($I163:$L163)-COUNT($I163:$L163))&gt;0,"Avance fuera de rango 0-100%"&amp;" · ","")&amp;IF(OR(AND($J163&lt;&gt;"",$J163&lt;$I163),AND($K163&lt;&gt;"",$K163&lt;MAX($I163:$J163)),AND($L163&lt;&gt;"",$L163&lt;MAX($I163:$K163))),"Avance semanal decreciente"&amp;" · ","")&amp;IF(AND(ISNUMBER($AN163),$AN163&lt;FechaRef,IF($V163="Sub",N($X163),N($M163))&lt;1),"Vencida"&amp;" · ","")&amp;IF(AND(ObsObligatoria="Sí",ISNUMBER($AN163),$AN163&lt;FechaRef,IF($V163="Sub",N($X163),N($M163))&lt;1,$Q163=""),"Vencida sin observación"&amp;" · ",""))="","✔ OK","⚠ "&amp;LEFT(IF($C163="","Falta el nombre de la actividad"&amp;" · ","")&amp;IF(AND($V163="Sub",N($U163)=0),"Subactividad sin macroactividad arriba"&amp;" · ","")&amp;IF($AM163="","Sin fecha de inicio"&amp;" · ","")&amp;IF($AN163="","Sin fecha límite"&amp;" · ","")&amp;IF(AND(LEFT($C163,11)="[Jefatura] ",N($AL163)=0),"No se encuentra en la hoja de la jefatura (elíjala de nuevo en la lista)"&amp;" · ","")&amp;IF(OR(AND($E163&lt;&gt;"",NOT(ISNUMBER($E163))),AND($F163&lt;&gt;"",NOT(ISNUMBER($F163))),AND($G163&lt;&gt;"",NOT(ISNUMBER($G163)))),"Fecha no válida"&amp;" · ","")&amp;IF(AND(ISNUMBER($AM163),ISNUMBER($AN163),$AM163&gt;$AN163),"Inicio posterior a fecha límite"&amp;" · ","")&amp;IF(AND($V163="Macro",$H163&lt;&gt;"",OR(NOT(ISNUMBER($H163)),$H163&lt;0,$H163&gt;1)),"Peso fuera de rango"&amp;" · ","")&amp;IF(AND($V163="Sub",$H163&lt;&gt;""),"Las subactividades no llevan peso (valen igual dentro de su macroactividad)"&amp;" · ","")&amp;IF(AND(N($W163)&gt;0,COUNT($I163:$L163)&gt;0),"Con subactividades: deje vacías las semanas (se calculan solas)"&amp;" · ","")&amp;IF((COUNTIF($I163:$L163,"&gt;1")+COUNTIF($I163:$L163,"&lt;0")+COUNTA($I163:$L163)-COUNT($I163:$L163))&gt;0,"Avance fuera de rango 0-100%"&amp;" · ","")&amp;IF(OR(AND($J163&lt;&gt;"",$J163&lt;$I163),AND($K163&lt;&gt;"",$K163&lt;MAX($I163:$J163)),AND($L163&lt;&gt;"",$L163&lt;MAX($I163:$K163))),"Avance semanal decreciente"&amp;" · ","")&amp;IF(AND(ISNUMBER($AN163),$AN163&lt;FechaRef,IF($V163="Sub",N($X163),N($M163))&lt;1),"Vencida"&amp;" · ","")&amp;IF(AND(ObsObligatoria="Sí",ISNUMBER($AN163),$AN163&lt;FechaRef,IF($V163="Sub",N($X163),N($M163))&lt;1,$Q163=""),"Vencida sin observación"&amp;" · ",""),LEN(IF($C163="","Falta el nombre de la actividad"&amp;" · ","")&amp;IF(AND($V163="Sub",N($U163)=0),"Subactividad sin macroactividad arriba"&amp;" · ","")&amp;IF($AM163="","Sin fecha de inicio"&amp;" · ","")&amp;IF($AN163="","Sin fecha límite"&amp;" · ","")&amp;IF(AND(LEFT($C163,11)="[Jefatura] ",N($AL163)=0),"No se encuentra en la hoja de la jefatura (elíjala de nuevo en la lista)"&amp;" · ","")&amp;IF(OR(AND($E163&lt;&gt;"",NOT(ISNUMBER($E163))),AND($F163&lt;&gt;"",NOT(ISNUMBER($F163))),AND($G163&lt;&gt;"",NOT(ISNUMBER($G163)))),"Fecha no válida"&amp;" · ","")&amp;IF(AND(ISNUMBER($AM163),ISNUMBER($AN163),$AM163&gt;$AN163),"Inicio posterior a fecha límite"&amp;" · ","")&amp;IF(AND($V163="Macro",$H163&lt;&gt;"",OR(NOT(ISNUMBER($H163)),$H163&lt;0,$H163&gt;1)),"Peso fuera de rango"&amp;" · ","")&amp;IF(AND($V163="Sub",$H163&lt;&gt;""),"Las subactividades no llevan peso (valen igual dentro de su macroactividad)"&amp;" · ","")&amp;IF(AND(N($W163)&gt;0,COUNT($I163:$L163)&gt;0),"Con subactividades: deje vacías las semanas (se calculan solas)"&amp;" · ","")&amp;IF((COUNTIF($I163:$L163,"&gt;1")+COUNTIF($I163:$L163,"&lt;0")+COUNTA($I163:$L163)-COUNT($I163:$L163))&gt;0,"Avance fuera de rango 0-100%"&amp;" · ","")&amp;IF(OR(AND($J163&lt;&gt;"",$J163&lt;$I163),AND($K163&lt;&gt;"",$K163&lt;MAX($I163:$J163)),AND($L163&lt;&gt;"",$L163&lt;MAX($I163:$K163))),"Avance semanal decreciente"&amp;" · ","")&amp;IF(AND(ISNUMBER($AN163),$AN163&lt;FechaRef,IF($V163="Sub",N($X163),N($M163))&lt;1),"Vencida"&amp;" · ","")&amp;IF(AND(ObsObligatoria="Sí",ISNUMBER($AN163),$AN163&lt;FechaRef,IF($V163="Sub",N($X163),N($M163))&lt;1,$Q163=""),"Vencida sin observación"&amp;" · ",""))-3)))</f>
        <v/>
      </c>
      <c r="S163" s="64">
        <f>IF(NOT((COUNTA($B163:$D163)+COUNTA($G163:$L163)+COUNTA($Q163))&gt;0),"",IF(AND($V163="Sub",N($U163)&gt;0),IF(ISNUMBER(INDEX($AM$5:$AM$1000,$U163-4)),DATE(YEAR(INDEX($AM$5:$AM$1000,$U163-4)),MONTH(INDEX($AM$5:$AM$1000,$U163-4)),1),IF(ISNUMBER(INDEX($AN$5:$AN$1000,$U163-4)),DATE(YEAR(INDEX($AN$5:$AN$1000,$U163-4)),MONTH(INDEX($AN$5:$AN$1000,$U163-4)),1),MesCiclo)),IF(ISNUMBER($AM163),DATE(YEAR($AM163),MONTH($AM163),1),IF(ISNUMBER($AN163),DATE(YEAR($AN163),MONTH($AN163),1),MesCiclo))))</f>
        <v/>
      </c>
      <c r="T163" s="62">
        <f>IF(OR($S163="",$S163&lt;&gt;MesCiclo,$V163&lt;&gt;"Macro"),"",COUNTIFS($S$5:$S163,MesCiclo,$V$5:$V163,"Macro"))</f>
        <v/>
      </c>
      <c r="U163" s="62">
        <f>IF($V163="","",IF($V163="Macro",ROW(),IFERROR(LOOKUP(2,1/($V$5:$V163="Macro"),ROW($V$5:$V163)),0)))</f>
        <v/>
      </c>
      <c r="V163" s="62">
        <f>IF(NOT((COUNTA($B163:$D163)+COUNTA($G163:$L163)+COUNTA($Q163))&gt;0),"",IF($B163="Subactividad","Sub","Macro"))</f>
        <v/>
      </c>
      <c r="W163" s="62">
        <f>IF($V163="Macro",COUNTIFS($U$5:$U$1000,ROW(),$V$5:$V$1000,"Sub"),"")</f>
        <v/>
      </c>
      <c r="X163" s="62">
        <f>IF($V163="","",IF(ISNUMBER($G163),1,IFERROR(LOOKUP(2,1/($I163:$L163&lt;&gt;""),$I163:$L163),0)))</f>
        <v/>
      </c>
      <c r="Y163" s="62">
        <f>IF($V163="","",IF(AND(ISNUMBER($G163),$G163&lt;=IF($S163=MesCiclo,InicioCiclo,$S163+MOD(2-WEEKDAY($S163),7))+6),1,IF(ISNUMBER($I163),$I163,0)))</f>
        <v/>
      </c>
      <c r="Z163" s="62">
        <f>IF($V163="","",IF(AND(ISNUMBER($G163),$G163&lt;=IF($S163=MesCiclo,InicioCiclo,$S163+MOD(2-WEEKDAY($S163),7))+13),1,IF(ISNUMBER($J163),$J163,$Y163)))</f>
        <v/>
      </c>
      <c r="AA163" s="62">
        <f>IF($V163="","",IF(AND(ISNUMBER($G163),$G163&lt;=IF($S163=MesCiclo,InicioCiclo,$S163+MOD(2-WEEKDAY($S163),7))+20),1,IF(ISNUMBER($K163),$K163,$Z163)))</f>
        <v/>
      </c>
      <c r="AB163" s="62">
        <f>IF($V163="","",IF(AND(ISNUMBER($G163),$G163&lt;=IF($S163=MesCiclo,InicioCiclo,$S163+MOD(2-WEEKDAY($S163),7))+27),1,IF(ISNUMBER($L163),$L163,$AA163)))</f>
        <v/>
      </c>
      <c r="AC163" s="62">
        <f>IF($V163="","",IF(AND(ISNUMBER($G163),$G163&lt;=IF($S163=MesCiclo,InicioCiclo,$S163+MOD(2-WEEKDAY($S163),7))+6),1,IF(N($W163)&gt;0,AVERAGEIFS($Y$5:$Y$1000,$U$5:$U$1000,ROW(),$V$5:$V$1000,"Sub"),$Y163)))</f>
        <v/>
      </c>
      <c r="AD163" s="62">
        <f>IF($V163="","",IF(AND(ISNUMBER($G163),$G163&lt;=IF($S163=MesCiclo,InicioCiclo,$S163+MOD(2-WEEKDAY($S163),7))+13),1,IF(N($W163)&gt;0,AVERAGEIFS($Z$5:$Z$1000,$U$5:$U$1000,ROW(),$V$5:$V$1000,"Sub"),$Z163)))</f>
        <v/>
      </c>
      <c r="AE163" s="62">
        <f>IF($V163="","",IF(AND(ISNUMBER($G163),$G163&lt;=IF($S163=MesCiclo,InicioCiclo,$S163+MOD(2-WEEKDAY($S163),7))+20),1,IF(N($W163)&gt;0,AVERAGEIFS($AA$5:$AA$1000,$U$5:$U$1000,ROW(),$V$5:$V$1000,"Sub"),$AA163)))</f>
        <v/>
      </c>
      <c r="AF163" s="62">
        <f>IF($V163="","",IF(AND(ISNUMBER($G163),$G163&lt;=IF($S163=MesCiclo,InicioCiclo,$S163+MOD(2-WEEKDAY($S163),7))+27),1,IF(N($W163)&gt;0,AVERAGEIFS($AB$5:$AB$1000,$U$5:$U$1000,ROW(),$V$5:$V$1000,"Sub"),$AB163)))</f>
        <v/>
      </c>
      <c r="AG163" s="62">
        <f>IF($V163&lt;&gt;"Macro","",IF(COUNTIFS($S$5:$S$1000,$S163,$V$5:$V$1000,"Macro",$H$5:$H$1000,"&gt;0")=0,1/COUNTIFS($S$5:$S$1000,$S163,$V$5:$V$1000,"Macro"),IF(AND(ISNUMBER($H163),N($H163)&gt;0),$H163,SUMIFS($H$5:$H$1000,$S$5:$S$1000,$S163,$V$5:$V$1000,"Macro")/COUNTIFS($S$5:$S$1000,$S163,$V$5:$V$1000,"Macro",$H$5:$H$1000,"&gt;0"))/(COUNTIFS($S$5:$S$1000,$S163,$V$5:$V$1000,"Macro")*SUMIFS($H$5:$H$1000,$S$5:$S$1000,$S163,$V$5:$V$1000,"Macro")/COUNTIFS($S$5:$S$1000,$S163,$V$5:$V$1000,"Macro",$H$5:$H$1000,"&gt;0"))))</f>
        <v/>
      </c>
      <c r="AH163" s="62" t="n"/>
      <c r="AI163" s="62" t="n"/>
      <c r="AJ163" s="62" t="n"/>
      <c r="AK163" s="62" t="n"/>
      <c r="AL163" s="62">
        <f>IF(LEFT($C163,11)="[Jefatura] ",IFERROR(MATCH("Riesgo Operacional|"&amp;MID($C163,12,500),rDname_ADM,0),0),"")</f>
        <v/>
      </c>
      <c r="AM163" s="62">
        <f>IF(N($AL163)&gt;0,INDEX(rIni_ADM,$AL163),IF(ISNUMBER($E163),$E163,""))</f>
        <v/>
      </c>
      <c r="AN163" s="62">
        <f>IF(N($AL163)&gt;0,INDEX(rLim_ADM,$AL163),IF(ISNUMBER($F163),$F163,""))</f>
        <v/>
      </c>
    </row>
    <row r="164">
      <c r="A164" s="56">
        <f>IF(NOT((COUNTA($B164:$D164)+COUNTA($G164:$L164)+COUNTA($Q164))&gt;0),"",IF($V164="Macro",COUNTIFS($V$5:$V164,"Macro",$S$5:$S164,$S164),IF(N($U164)=0,"?",COUNTIFS(INDEX($V$5:$V$1000,1):INDEX($V$5:$V$1000,$U164-4),"Macro",INDEX($S$5:$S$1000,1):INDEX($S$5:$S$1000,$U164-4),INDEX($S$5:$S$1000,$U164-4))&amp;"."&amp;COUNTIFS($U$5:$U164,$U164,$V$5:$V164,"Sub"))))</f>
        <v/>
      </c>
      <c r="B164" s="57" t="n"/>
      <c r="C164" s="58" t="n"/>
      <c r="D164" s="58" t="n"/>
      <c r="E164" s="59">
        <f>IF(N($AL164)&gt;0,INDEX(rIni_ADM,$AL164),"")</f>
        <v/>
      </c>
      <c r="F164" s="59">
        <f>IF(N($AL164)&gt;0,INDEX(rLim_ADM,$AL164),"")</f>
        <v/>
      </c>
      <c r="G164" s="59" t="n"/>
      <c r="H164" s="60" t="n"/>
      <c r="I164" s="60" t="n"/>
      <c r="J164" s="60" t="n"/>
      <c r="K164" s="60" t="n"/>
      <c r="L164" s="60" t="n"/>
      <c r="M164" s="61">
        <f>IF(NOT((COUNTA($B164:$D164)+COUNTA($G164:$L164)+COUNTA($Q164))&gt;0),"",IF($V164="Sub",IFERROR($X164/INDEX($W$5:$W$1000,$U164-4),""),IF(ISNUMBER($G164),1,IF(N($W164)&gt;0,AVERAGEIFS($X$5:$X$1000,$U$5:$U$1000,ROW(),$V$5:$V$1000,"Sub"),$X164))))</f>
        <v/>
      </c>
      <c r="N164" s="56">
        <f>IF(OR($M164="",$V164="Sub"),"",IF($M164&gt;=1,"Completado",IF($M164&gt;0,"En curso","Pendiente")))</f>
        <v/>
      </c>
      <c r="O164" s="56">
        <f>IF(OR(NOT((COUNTA($B164:$D164)+COUNTA($G164:$L164)+COUNTA($Q164))&gt;0),$V164="Sub"),"",IF(ISNUMBER($G164),IF(AND(ISNUMBER($AN164),$G164&gt;$AN164),"Cumplida con "&amp;($G164-$AN164)&amp;IF($G164-$AN164=1," día"," días")&amp;" de retraso","Cumplida"),IF(N($M164)&gt;=1,"Cumplida",IF(NOT(ISNUMBER($AN164)),"Sin fecha límite",IF($AN164&lt;FechaRef,"Vencida hace "&amp;(FechaRef-$AN164)&amp;IF(FechaRef-$AN164=1," día"," días"),IF($AN164=FechaRef,"Vence hoy",IF($AN164-FechaRef&lt;=DiasAlerta,"Vence en "&amp;($AN164-FechaRef)&amp;IF($AN164-FechaRef=1," día"," días"),"En plazo")))))))</f>
        <v/>
      </c>
      <c r="P164" s="62" t="n"/>
      <c r="Q164" s="58" t="n"/>
      <c r="R164" s="63">
        <f>IF(NOT((COUNTA($B164:$D164)+COUNTA($G164:$L164)+COUNTA($Q164))&gt;0),"",IF((IF($C164="","Falta el nombre de la actividad"&amp;" · ","")&amp;IF(AND($V164="Sub",N($U164)=0),"Subactividad sin macroactividad arriba"&amp;" · ","")&amp;IF($AM164="","Sin fecha de inicio"&amp;" · ","")&amp;IF($AN164="","Sin fecha límite"&amp;" · ","")&amp;IF(AND(LEFT($C164,11)="[Jefatura] ",N($AL164)=0),"No se encuentra en la hoja de la jefatura (elíjala de nuevo en la lista)"&amp;" · ","")&amp;IF(OR(AND($E164&lt;&gt;"",NOT(ISNUMBER($E164))),AND($F164&lt;&gt;"",NOT(ISNUMBER($F164))),AND($G164&lt;&gt;"",NOT(ISNUMBER($G164)))),"Fecha no válida"&amp;" · ","")&amp;IF(AND(ISNUMBER($AM164),ISNUMBER($AN164),$AM164&gt;$AN164),"Inicio posterior a fecha límite"&amp;" · ","")&amp;IF(AND($V164="Macro",$H164&lt;&gt;"",OR(NOT(ISNUMBER($H164)),$H164&lt;0,$H164&gt;1)),"Peso fuera de rango"&amp;" · ","")&amp;IF(AND($V164="Sub",$H164&lt;&gt;""),"Las subactividades no llevan peso (valen igual dentro de su macroactividad)"&amp;" · ","")&amp;IF(AND(N($W164)&gt;0,COUNT($I164:$L164)&gt;0),"Con subactividades: deje vacías las semanas (se calculan solas)"&amp;" · ","")&amp;IF((COUNTIF($I164:$L164,"&gt;1")+COUNTIF($I164:$L164,"&lt;0")+COUNTA($I164:$L164)-COUNT($I164:$L164))&gt;0,"Avance fuera de rango 0-100%"&amp;" · ","")&amp;IF(OR(AND($J164&lt;&gt;"",$J164&lt;$I164),AND($K164&lt;&gt;"",$K164&lt;MAX($I164:$J164)),AND($L164&lt;&gt;"",$L164&lt;MAX($I164:$K164))),"Avance semanal decreciente"&amp;" · ","")&amp;IF(AND(ISNUMBER($AN164),$AN164&lt;FechaRef,IF($V164="Sub",N($X164),N($M164))&lt;1),"Vencida"&amp;" · ","")&amp;IF(AND(ObsObligatoria="Sí",ISNUMBER($AN164),$AN164&lt;FechaRef,IF($V164="Sub",N($X164),N($M164))&lt;1,$Q164=""),"Vencida sin observación"&amp;" · ",""))="","✔ OK","⚠ "&amp;LEFT(IF($C164="","Falta el nombre de la actividad"&amp;" · ","")&amp;IF(AND($V164="Sub",N($U164)=0),"Subactividad sin macroactividad arriba"&amp;" · ","")&amp;IF($AM164="","Sin fecha de inicio"&amp;" · ","")&amp;IF($AN164="","Sin fecha límite"&amp;" · ","")&amp;IF(AND(LEFT($C164,11)="[Jefatura] ",N($AL164)=0),"No se encuentra en la hoja de la jefatura (elíjala de nuevo en la lista)"&amp;" · ","")&amp;IF(OR(AND($E164&lt;&gt;"",NOT(ISNUMBER($E164))),AND($F164&lt;&gt;"",NOT(ISNUMBER($F164))),AND($G164&lt;&gt;"",NOT(ISNUMBER($G164)))),"Fecha no válida"&amp;" · ","")&amp;IF(AND(ISNUMBER($AM164),ISNUMBER($AN164),$AM164&gt;$AN164),"Inicio posterior a fecha límite"&amp;" · ","")&amp;IF(AND($V164="Macro",$H164&lt;&gt;"",OR(NOT(ISNUMBER($H164)),$H164&lt;0,$H164&gt;1)),"Peso fuera de rango"&amp;" · ","")&amp;IF(AND($V164="Sub",$H164&lt;&gt;""),"Las subactividades no llevan peso (valen igual dentro de su macroactividad)"&amp;" · ","")&amp;IF(AND(N($W164)&gt;0,COUNT($I164:$L164)&gt;0),"Con subactividades: deje vacías las semanas (se calculan solas)"&amp;" · ","")&amp;IF((COUNTIF($I164:$L164,"&gt;1")+COUNTIF($I164:$L164,"&lt;0")+COUNTA($I164:$L164)-COUNT($I164:$L164))&gt;0,"Avance fuera de rango 0-100%"&amp;" · ","")&amp;IF(OR(AND($J164&lt;&gt;"",$J164&lt;$I164),AND($K164&lt;&gt;"",$K164&lt;MAX($I164:$J164)),AND($L164&lt;&gt;"",$L164&lt;MAX($I164:$K164))),"Avance semanal decreciente"&amp;" · ","")&amp;IF(AND(ISNUMBER($AN164),$AN164&lt;FechaRef,IF($V164="Sub",N($X164),N($M164))&lt;1),"Vencida"&amp;" · ","")&amp;IF(AND(ObsObligatoria="Sí",ISNUMBER($AN164),$AN164&lt;FechaRef,IF($V164="Sub",N($X164),N($M164))&lt;1,$Q164=""),"Vencida sin observación"&amp;" · ",""),LEN(IF($C164="","Falta el nombre de la actividad"&amp;" · ","")&amp;IF(AND($V164="Sub",N($U164)=0),"Subactividad sin macroactividad arriba"&amp;" · ","")&amp;IF($AM164="","Sin fecha de inicio"&amp;" · ","")&amp;IF($AN164="","Sin fecha límite"&amp;" · ","")&amp;IF(AND(LEFT($C164,11)="[Jefatura] ",N($AL164)=0),"No se encuentra en la hoja de la jefatura (elíjala de nuevo en la lista)"&amp;" · ","")&amp;IF(OR(AND($E164&lt;&gt;"",NOT(ISNUMBER($E164))),AND($F164&lt;&gt;"",NOT(ISNUMBER($F164))),AND($G164&lt;&gt;"",NOT(ISNUMBER($G164)))),"Fecha no válida"&amp;" · ","")&amp;IF(AND(ISNUMBER($AM164),ISNUMBER($AN164),$AM164&gt;$AN164),"Inicio posterior a fecha límite"&amp;" · ","")&amp;IF(AND($V164="Macro",$H164&lt;&gt;"",OR(NOT(ISNUMBER($H164)),$H164&lt;0,$H164&gt;1)),"Peso fuera de rango"&amp;" · ","")&amp;IF(AND($V164="Sub",$H164&lt;&gt;""),"Las subactividades no llevan peso (valen igual dentro de su macroactividad)"&amp;" · ","")&amp;IF(AND(N($W164)&gt;0,COUNT($I164:$L164)&gt;0),"Con subactividades: deje vacías las semanas (se calculan solas)"&amp;" · ","")&amp;IF((COUNTIF($I164:$L164,"&gt;1")+COUNTIF($I164:$L164,"&lt;0")+COUNTA($I164:$L164)-COUNT($I164:$L164))&gt;0,"Avance fuera de rango 0-100%"&amp;" · ","")&amp;IF(OR(AND($J164&lt;&gt;"",$J164&lt;$I164),AND($K164&lt;&gt;"",$K164&lt;MAX($I164:$J164)),AND($L164&lt;&gt;"",$L164&lt;MAX($I164:$K164))),"Avance semanal decreciente"&amp;" · ","")&amp;IF(AND(ISNUMBER($AN164),$AN164&lt;FechaRef,IF($V164="Sub",N($X164),N($M164))&lt;1),"Vencida"&amp;" · ","")&amp;IF(AND(ObsObligatoria="Sí",ISNUMBER($AN164),$AN164&lt;FechaRef,IF($V164="Sub",N($X164),N($M164))&lt;1,$Q164=""),"Vencida sin observación"&amp;" · ",""))-3)))</f>
        <v/>
      </c>
      <c r="S164" s="64">
        <f>IF(NOT((COUNTA($B164:$D164)+COUNTA($G164:$L164)+COUNTA($Q164))&gt;0),"",IF(AND($V164="Sub",N($U164)&gt;0),IF(ISNUMBER(INDEX($AM$5:$AM$1000,$U164-4)),DATE(YEAR(INDEX($AM$5:$AM$1000,$U164-4)),MONTH(INDEX($AM$5:$AM$1000,$U164-4)),1),IF(ISNUMBER(INDEX($AN$5:$AN$1000,$U164-4)),DATE(YEAR(INDEX($AN$5:$AN$1000,$U164-4)),MONTH(INDEX($AN$5:$AN$1000,$U164-4)),1),MesCiclo)),IF(ISNUMBER($AM164),DATE(YEAR($AM164),MONTH($AM164),1),IF(ISNUMBER($AN164),DATE(YEAR($AN164),MONTH($AN164),1),MesCiclo))))</f>
        <v/>
      </c>
      <c r="T164" s="62">
        <f>IF(OR($S164="",$S164&lt;&gt;MesCiclo,$V164&lt;&gt;"Macro"),"",COUNTIFS($S$5:$S164,MesCiclo,$V$5:$V164,"Macro"))</f>
        <v/>
      </c>
      <c r="U164" s="62">
        <f>IF($V164="","",IF($V164="Macro",ROW(),IFERROR(LOOKUP(2,1/($V$5:$V164="Macro"),ROW($V$5:$V164)),0)))</f>
        <v/>
      </c>
      <c r="V164" s="62">
        <f>IF(NOT((COUNTA($B164:$D164)+COUNTA($G164:$L164)+COUNTA($Q164))&gt;0),"",IF($B164="Subactividad","Sub","Macro"))</f>
        <v/>
      </c>
      <c r="W164" s="62">
        <f>IF($V164="Macro",COUNTIFS($U$5:$U$1000,ROW(),$V$5:$V$1000,"Sub"),"")</f>
        <v/>
      </c>
      <c r="X164" s="62">
        <f>IF($V164="","",IF(ISNUMBER($G164),1,IFERROR(LOOKUP(2,1/($I164:$L164&lt;&gt;""),$I164:$L164),0)))</f>
        <v/>
      </c>
      <c r="Y164" s="62">
        <f>IF($V164="","",IF(AND(ISNUMBER($G164),$G164&lt;=IF($S164=MesCiclo,InicioCiclo,$S164+MOD(2-WEEKDAY($S164),7))+6),1,IF(ISNUMBER($I164),$I164,0)))</f>
        <v/>
      </c>
      <c r="Z164" s="62">
        <f>IF($V164="","",IF(AND(ISNUMBER($G164),$G164&lt;=IF($S164=MesCiclo,InicioCiclo,$S164+MOD(2-WEEKDAY($S164),7))+13),1,IF(ISNUMBER($J164),$J164,$Y164)))</f>
        <v/>
      </c>
      <c r="AA164" s="62">
        <f>IF($V164="","",IF(AND(ISNUMBER($G164),$G164&lt;=IF($S164=MesCiclo,InicioCiclo,$S164+MOD(2-WEEKDAY($S164),7))+20),1,IF(ISNUMBER($K164),$K164,$Z164)))</f>
        <v/>
      </c>
      <c r="AB164" s="62">
        <f>IF($V164="","",IF(AND(ISNUMBER($G164),$G164&lt;=IF($S164=MesCiclo,InicioCiclo,$S164+MOD(2-WEEKDAY($S164),7))+27),1,IF(ISNUMBER($L164),$L164,$AA164)))</f>
        <v/>
      </c>
      <c r="AC164" s="62">
        <f>IF($V164="","",IF(AND(ISNUMBER($G164),$G164&lt;=IF($S164=MesCiclo,InicioCiclo,$S164+MOD(2-WEEKDAY($S164),7))+6),1,IF(N($W164)&gt;0,AVERAGEIFS($Y$5:$Y$1000,$U$5:$U$1000,ROW(),$V$5:$V$1000,"Sub"),$Y164)))</f>
        <v/>
      </c>
      <c r="AD164" s="62">
        <f>IF($V164="","",IF(AND(ISNUMBER($G164),$G164&lt;=IF($S164=MesCiclo,InicioCiclo,$S164+MOD(2-WEEKDAY($S164),7))+13),1,IF(N($W164)&gt;0,AVERAGEIFS($Z$5:$Z$1000,$U$5:$U$1000,ROW(),$V$5:$V$1000,"Sub"),$Z164)))</f>
        <v/>
      </c>
      <c r="AE164" s="62">
        <f>IF($V164="","",IF(AND(ISNUMBER($G164),$G164&lt;=IF($S164=MesCiclo,InicioCiclo,$S164+MOD(2-WEEKDAY($S164),7))+20),1,IF(N($W164)&gt;0,AVERAGEIFS($AA$5:$AA$1000,$U$5:$U$1000,ROW(),$V$5:$V$1000,"Sub"),$AA164)))</f>
        <v/>
      </c>
      <c r="AF164" s="62">
        <f>IF($V164="","",IF(AND(ISNUMBER($G164),$G164&lt;=IF($S164=MesCiclo,InicioCiclo,$S164+MOD(2-WEEKDAY($S164),7))+27),1,IF(N($W164)&gt;0,AVERAGEIFS($AB$5:$AB$1000,$U$5:$U$1000,ROW(),$V$5:$V$1000,"Sub"),$AB164)))</f>
        <v/>
      </c>
      <c r="AG164" s="62">
        <f>IF($V164&lt;&gt;"Macro","",IF(COUNTIFS($S$5:$S$1000,$S164,$V$5:$V$1000,"Macro",$H$5:$H$1000,"&gt;0")=0,1/COUNTIFS($S$5:$S$1000,$S164,$V$5:$V$1000,"Macro"),IF(AND(ISNUMBER($H164),N($H164)&gt;0),$H164,SUMIFS($H$5:$H$1000,$S$5:$S$1000,$S164,$V$5:$V$1000,"Macro")/COUNTIFS($S$5:$S$1000,$S164,$V$5:$V$1000,"Macro",$H$5:$H$1000,"&gt;0"))/(COUNTIFS($S$5:$S$1000,$S164,$V$5:$V$1000,"Macro")*SUMIFS($H$5:$H$1000,$S$5:$S$1000,$S164,$V$5:$V$1000,"Macro")/COUNTIFS($S$5:$S$1000,$S164,$V$5:$V$1000,"Macro",$H$5:$H$1000,"&gt;0"))))</f>
        <v/>
      </c>
      <c r="AH164" s="62" t="n"/>
      <c r="AI164" s="62" t="n"/>
      <c r="AJ164" s="62" t="n"/>
      <c r="AK164" s="62" t="n"/>
      <c r="AL164" s="62">
        <f>IF(LEFT($C164,11)="[Jefatura] ",IFERROR(MATCH("Riesgo Operacional|"&amp;MID($C164,12,500),rDname_ADM,0),0),"")</f>
        <v/>
      </c>
      <c r="AM164" s="62">
        <f>IF(N($AL164)&gt;0,INDEX(rIni_ADM,$AL164),IF(ISNUMBER($E164),$E164,""))</f>
        <v/>
      </c>
      <c r="AN164" s="62">
        <f>IF(N($AL164)&gt;0,INDEX(rLim_ADM,$AL164),IF(ISNUMBER($F164),$F164,""))</f>
        <v/>
      </c>
    </row>
    <row r="165">
      <c r="A165" s="56">
        <f>IF(NOT((COUNTA($B165:$D165)+COUNTA($G165:$L165)+COUNTA($Q165))&gt;0),"",IF($V165="Macro",COUNTIFS($V$5:$V165,"Macro",$S$5:$S165,$S165),IF(N($U165)=0,"?",COUNTIFS(INDEX($V$5:$V$1000,1):INDEX($V$5:$V$1000,$U165-4),"Macro",INDEX($S$5:$S$1000,1):INDEX($S$5:$S$1000,$U165-4),INDEX($S$5:$S$1000,$U165-4))&amp;"."&amp;COUNTIFS($U$5:$U165,$U165,$V$5:$V165,"Sub"))))</f>
        <v/>
      </c>
      <c r="B165" s="57" t="n"/>
      <c r="C165" s="58" t="n"/>
      <c r="D165" s="58" t="n"/>
      <c r="E165" s="59">
        <f>IF(N($AL165)&gt;0,INDEX(rIni_ADM,$AL165),"")</f>
        <v/>
      </c>
      <c r="F165" s="59">
        <f>IF(N($AL165)&gt;0,INDEX(rLim_ADM,$AL165),"")</f>
        <v/>
      </c>
      <c r="G165" s="59" t="n"/>
      <c r="H165" s="60" t="n"/>
      <c r="I165" s="60" t="n"/>
      <c r="J165" s="60" t="n"/>
      <c r="K165" s="60" t="n"/>
      <c r="L165" s="60" t="n"/>
      <c r="M165" s="61">
        <f>IF(NOT((COUNTA($B165:$D165)+COUNTA($G165:$L165)+COUNTA($Q165))&gt;0),"",IF($V165="Sub",IFERROR($X165/INDEX($W$5:$W$1000,$U165-4),""),IF(ISNUMBER($G165),1,IF(N($W165)&gt;0,AVERAGEIFS($X$5:$X$1000,$U$5:$U$1000,ROW(),$V$5:$V$1000,"Sub"),$X165))))</f>
        <v/>
      </c>
      <c r="N165" s="56">
        <f>IF(OR($M165="",$V165="Sub"),"",IF($M165&gt;=1,"Completado",IF($M165&gt;0,"En curso","Pendiente")))</f>
        <v/>
      </c>
      <c r="O165" s="56">
        <f>IF(OR(NOT((COUNTA($B165:$D165)+COUNTA($G165:$L165)+COUNTA($Q165))&gt;0),$V165="Sub"),"",IF(ISNUMBER($G165),IF(AND(ISNUMBER($AN165),$G165&gt;$AN165),"Cumplida con "&amp;($G165-$AN165)&amp;IF($G165-$AN165=1," día"," días")&amp;" de retraso","Cumplida"),IF(N($M165)&gt;=1,"Cumplida",IF(NOT(ISNUMBER($AN165)),"Sin fecha límite",IF($AN165&lt;FechaRef,"Vencida hace "&amp;(FechaRef-$AN165)&amp;IF(FechaRef-$AN165=1," día"," días"),IF($AN165=FechaRef,"Vence hoy",IF($AN165-FechaRef&lt;=DiasAlerta,"Vence en "&amp;($AN165-FechaRef)&amp;IF($AN165-FechaRef=1," día"," días"),"En plazo")))))))</f>
        <v/>
      </c>
      <c r="P165" s="62" t="n"/>
      <c r="Q165" s="58" t="n"/>
      <c r="R165" s="63">
        <f>IF(NOT((COUNTA($B165:$D165)+COUNTA($G165:$L165)+COUNTA($Q165))&gt;0),"",IF((IF($C165="","Falta el nombre de la actividad"&amp;" · ","")&amp;IF(AND($V165="Sub",N($U165)=0),"Subactividad sin macroactividad arriba"&amp;" · ","")&amp;IF($AM165="","Sin fecha de inicio"&amp;" · ","")&amp;IF($AN165="","Sin fecha límite"&amp;" · ","")&amp;IF(AND(LEFT($C165,11)="[Jefatura] ",N($AL165)=0),"No se encuentra en la hoja de la jefatura (elíjala de nuevo en la lista)"&amp;" · ","")&amp;IF(OR(AND($E165&lt;&gt;"",NOT(ISNUMBER($E165))),AND($F165&lt;&gt;"",NOT(ISNUMBER($F165))),AND($G165&lt;&gt;"",NOT(ISNUMBER($G165)))),"Fecha no válida"&amp;" · ","")&amp;IF(AND(ISNUMBER($AM165),ISNUMBER($AN165),$AM165&gt;$AN165),"Inicio posterior a fecha límite"&amp;" · ","")&amp;IF(AND($V165="Macro",$H165&lt;&gt;"",OR(NOT(ISNUMBER($H165)),$H165&lt;0,$H165&gt;1)),"Peso fuera de rango"&amp;" · ","")&amp;IF(AND($V165="Sub",$H165&lt;&gt;""),"Las subactividades no llevan peso (valen igual dentro de su macroactividad)"&amp;" · ","")&amp;IF(AND(N($W165)&gt;0,COUNT($I165:$L165)&gt;0),"Con subactividades: deje vacías las semanas (se calculan solas)"&amp;" · ","")&amp;IF((COUNTIF($I165:$L165,"&gt;1")+COUNTIF($I165:$L165,"&lt;0")+COUNTA($I165:$L165)-COUNT($I165:$L165))&gt;0,"Avance fuera de rango 0-100%"&amp;" · ","")&amp;IF(OR(AND($J165&lt;&gt;"",$J165&lt;$I165),AND($K165&lt;&gt;"",$K165&lt;MAX($I165:$J165)),AND($L165&lt;&gt;"",$L165&lt;MAX($I165:$K165))),"Avance semanal decreciente"&amp;" · ","")&amp;IF(AND(ISNUMBER($AN165),$AN165&lt;FechaRef,IF($V165="Sub",N($X165),N($M165))&lt;1),"Vencida"&amp;" · ","")&amp;IF(AND(ObsObligatoria="Sí",ISNUMBER($AN165),$AN165&lt;FechaRef,IF($V165="Sub",N($X165),N($M165))&lt;1,$Q165=""),"Vencida sin observación"&amp;" · ",""))="","✔ OK","⚠ "&amp;LEFT(IF($C165="","Falta el nombre de la actividad"&amp;" · ","")&amp;IF(AND($V165="Sub",N($U165)=0),"Subactividad sin macroactividad arriba"&amp;" · ","")&amp;IF($AM165="","Sin fecha de inicio"&amp;" · ","")&amp;IF($AN165="","Sin fecha límite"&amp;" · ","")&amp;IF(AND(LEFT($C165,11)="[Jefatura] ",N($AL165)=0),"No se encuentra en la hoja de la jefatura (elíjala de nuevo en la lista)"&amp;" · ","")&amp;IF(OR(AND($E165&lt;&gt;"",NOT(ISNUMBER($E165))),AND($F165&lt;&gt;"",NOT(ISNUMBER($F165))),AND($G165&lt;&gt;"",NOT(ISNUMBER($G165)))),"Fecha no válida"&amp;" · ","")&amp;IF(AND(ISNUMBER($AM165),ISNUMBER($AN165),$AM165&gt;$AN165),"Inicio posterior a fecha límite"&amp;" · ","")&amp;IF(AND($V165="Macro",$H165&lt;&gt;"",OR(NOT(ISNUMBER($H165)),$H165&lt;0,$H165&gt;1)),"Peso fuera de rango"&amp;" · ","")&amp;IF(AND($V165="Sub",$H165&lt;&gt;""),"Las subactividades no llevan peso (valen igual dentro de su macroactividad)"&amp;" · ","")&amp;IF(AND(N($W165)&gt;0,COUNT($I165:$L165)&gt;0),"Con subactividades: deje vacías las semanas (se calculan solas)"&amp;" · ","")&amp;IF((COUNTIF($I165:$L165,"&gt;1")+COUNTIF($I165:$L165,"&lt;0")+COUNTA($I165:$L165)-COUNT($I165:$L165))&gt;0,"Avance fuera de rango 0-100%"&amp;" · ","")&amp;IF(OR(AND($J165&lt;&gt;"",$J165&lt;$I165),AND($K165&lt;&gt;"",$K165&lt;MAX($I165:$J165)),AND($L165&lt;&gt;"",$L165&lt;MAX($I165:$K165))),"Avance semanal decreciente"&amp;" · ","")&amp;IF(AND(ISNUMBER($AN165),$AN165&lt;FechaRef,IF($V165="Sub",N($X165),N($M165))&lt;1),"Vencida"&amp;" · ","")&amp;IF(AND(ObsObligatoria="Sí",ISNUMBER($AN165),$AN165&lt;FechaRef,IF($V165="Sub",N($X165),N($M165))&lt;1,$Q165=""),"Vencida sin observación"&amp;" · ",""),LEN(IF($C165="","Falta el nombre de la actividad"&amp;" · ","")&amp;IF(AND($V165="Sub",N($U165)=0),"Subactividad sin macroactividad arriba"&amp;" · ","")&amp;IF($AM165="","Sin fecha de inicio"&amp;" · ","")&amp;IF($AN165="","Sin fecha límite"&amp;" · ","")&amp;IF(AND(LEFT($C165,11)="[Jefatura] ",N($AL165)=0),"No se encuentra en la hoja de la jefatura (elíjala de nuevo en la lista)"&amp;" · ","")&amp;IF(OR(AND($E165&lt;&gt;"",NOT(ISNUMBER($E165))),AND($F165&lt;&gt;"",NOT(ISNUMBER($F165))),AND($G165&lt;&gt;"",NOT(ISNUMBER($G165)))),"Fecha no válida"&amp;" · ","")&amp;IF(AND(ISNUMBER($AM165),ISNUMBER($AN165),$AM165&gt;$AN165),"Inicio posterior a fecha límite"&amp;" · ","")&amp;IF(AND($V165="Macro",$H165&lt;&gt;"",OR(NOT(ISNUMBER($H165)),$H165&lt;0,$H165&gt;1)),"Peso fuera de rango"&amp;" · ","")&amp;IF(AND($V165="Sub",$H165&lt;&gt;""),"Las subactividades no llevan peso (valen igual dentro de su macroactividad)"&amp;" · ","")&amp;IF(AND(N($W165)&gt;0,COUNT($I165:$L165)&gt;0),"Con subactividades: deje vacías las semanas (se calculan solas)"&amp;" · ","")&amp;IF((COUNTIF($I165:$L165,"&gt;1")+COUNTIF($I165:$L165,"&lt;0")+COUNTA($I165:$L165)-COUNT($I165:$L165))&gt;0,"Avance fuera de rango 0-100%"&amp;" · ","")&amp;IF(OR(AND($J165&lt;&gt;"",$J165&lt;$I165),AND($K165&lt;&gt;"",$K165&lt;MAX($I165:$J165)),AND($L165&lt;&gt;"",$L165&lt;MAX($I165:$K165))),"Avance semanal decreciente"&amp;" · ","")&amp;IF(AND(ISNUMBER($AN165),$AN165&lt;FechaRef,IF($V165="Sub",N($X165),N($M165))&lt;1),"Vencida"&amp;" · ","")&amp;IF(AND(ObsObligatoria="Sí",ISNUMBER($AN165),$AN165&lt;FechaRef,IF($V165="Sub",N($X165),N($M165))&lt;1,$Q165=""),"Vencida sin observación"&amp;" · ",""))-3)))</f>
        <v/>
      </c>
      <c r="S165" s="64">
        <f>IF(NOT((COUNTA($B165:$D165)+COUNTA($G165:$L165)+COUNTA($Q165))&gt;0),"",IF(AND($V165="Sub",N($U165)&gt;0),IF(ISNUMBER(INDEX($AM$5:$AM$1000,$U165-4)),DATE(YEAR(INDEX($AM$5:$AM$1000,$U165-4)),MONTH(INDEX($AM$5:$AM$1000,$U165-4)),1),IF(ISNUMBER(INDEX($AN$5:$AN$1000,$U165-4)),DATE(YEAR(INDEX($AN$5:$AN$1000,$U165-4)),MONTH(INDEX($AN$5:$AN$1000,$U165-4)),1),MesCiclo)),IF(ISNUMBER($AM165),DATE(YEAR($AM165),MONTH($AM165),1),IF(ISNUMBER($AN165),DATE(YEAR($AN165),MONTH($AN165),1),MesCiclo))))</f>
        <v/>
      </c>
      <c r="T165" s="62">
        <f>IF(OR($S165="",$S165&lt;&gt;MesCiclo,$V165&lt;&gt;"Macro"),"",COUNTIFS($S$5:$S165,MesCiclo,$V$5:$V165,"Macro"))</f>
        <v/>
      </c>
      <c r="U165" s="62">
        <f>IF($V165="","",IF($V165="Macro",ROW(),IFERROR(LOOKUP(2,1/($V$5:$V165="Macro"),ROW($V$5:$V165)),0)))</f>
        <v/>
      </c>
      <c r="V165" s="62">
        <f>IF(NOT((COUNTA($B165:$D165)+COUNTA($G165:$L165)+COUNTA($Q165))&gt;0),"",IF($B165="Subactividad","Sub","Macro"))</f>
        <v/>
      </c>
      <c r="W165" s="62">
        <f>IF($V165="Macro",COUNTIFS($U$5:$U$1000,ROW(),$V$5:$V$1000,"Sub"),"")</f>
        <v/>
      </c>
      <c r="X165" s="62">
        <f>IF($V165="","",IF(ISNUMBER($G165),1,IFERROR(LOOKUP(2,1/($I165:$L165&lt;&gt;""),$I165:$L165),0)))</f>
        <v/>
      </c>
      <c r="Y165" s="62">
        <f>IF($V165="","",IF(AND(ISNUMBER($G165),$G165&lt;=IF($S165=MesCiclo,InicioCiclo,$S165+MOD(2-WEEKDAY($S165),7))+6),1,IF(ISNUMBER($I165),$I165,0)))</f>
        <v/>
      </c>
      <c r="Z165" s="62">
        <f>IF($V165="","",IF(AND(ISNUMBER($G165),$G165&lt;=IF($S165=MesCiclo,InicioCiclo,$S165+MOD(2-WEEKDAY($S165),7))+13),1,IF(ISNUMBER($J165),$J165,$Y165)))</f>
        <v/>
      </c>
      <c r="AA165" s="62">
        <f>IF($V165="","",IF(AND(ISNUMBER($G165),$G165&lt;=IF($S165=MesCiclo,InicioCiclo,$S165+MOD(2-WEEKDAY($S165),7))+20),1,IF(ISNUMBER($K165),$K165,$Z165)))</f>
        <v/>
      </c>
      <c r="AB165" s="62">
        <f>IF($V165="","",IF(AND(ISNUMBER($G165),$G165&lt;=IF($S165=MesCiclo,InicioCiclo,$S165+MOD(2-WEEKDAY($S165),7))+27),1,IF(ISNUMBER($L165),$L165,$AA165)))</f>
        <v/>
      </c>
      <c r="AC165" s="62">
        <f>IF($V165="","",IF(AND(ISNUMBER($G165),$G165&lt;=IF($S165=MesCiclo,InicioCiclo,$S165+MOD(2-WEEKDAY($S165),7))+6),1,IF(N($W165)&gt;0,AVERAGEIFS($Y$5:$Y$1000,$U$5:$U$1000,ROW(),$V$5:$V$1000,"Sub"),$Y165)))</f>
        <v/>
      </c>
      <c r="AD165" s="62">
        <f>IF($V165="","",IF(AND(ISNUMBER($G165),$G165&lt;=IF($S165=MesCiclo,InicioCiclo,$S165+MOD(2-WEEKDAY($S165),7))+13),1,IF(N($W165)&gt;0,AVERAGEIFS($Z$5:$Z$1000,$U$5:$U$1000,ROW(),$V$5:$V$1000,"Sub"),$Z165)))</f>
        <v/>
      </c>
      <c r="AE165" s="62">
        <f>IF($V165="","",IF(AND(ISNUMBER($G165),$G165&lt;=IF($S165=MesCiclo,InicioCiclo,$S165+MOD(2-WEEKDAY($S165),7))+20),1,IF(N($W165)&gt;0,AVERAGEIFS($AA$5:$AA$1000,$U$5:$U$1000,ROW(),$V$5:$V$1000,"Sub"),$AA165)))</f>
        <v/>
      </c>
      <c r="AF165" s="62">
        <f>IF($V165="","",IF(AND(ISNUMBER($G165),$G165&lt;=IF($S165=MesCiclo,InicioCiclo,$S165+MOD(2-WEEKDAY($S165),7))+27),1,IF(N($W165)&gt;0,AVERAGEIFS($AB$5:$AB$1000,$U$5:$U$1000,ROW(),$V$5:$V$1000,"Sub"),$AB165)))</f>
        <v/>
      </c>
      <c r="AG165" s="62">
        <f>IF($V165&lt;&gt;"Macro","",IF(COUNTIFS($S$5:$S$1000,$S165,$V$5:$V$1000,"Macro",$H$5:$H$1000,"&gt;0")=0,1/COUNTIFS($S$5:$S$1000,$S165,$V$5:$V$1000,"Macro"),IF(AND(ISNUMBER($H165),N($H165)&gt;0),$H165,SUMIFS($H$5:$H$1000,$S$5:$S$1000,$S165,$V$5:$V$1000,"Macro")/COUNTIFS($S$5:$S$1000,$S165,$V$5:$V$1000,"Macro",$H$5:$H$1000,"&gt;0"))/(COUNTIFS($S$5:$S$1000,$S165,$V$5:$V$1000,"Macro")*SUMIFS($H$5:$H$1000,$S$5:$S$1000,$S165,$V$5:$V$1000,"Macro")/COUNTIFS($S$5:$S$1000,$S165,$V$5:$V$1000,"Macro",$H$5:$H$1000,"&gt;0"))))</f>
        <v/>
      </c>
      <c r="AH165" s="62" t="n"/>
      <c r="AI165" s="62" t="n"/>
      <c r="AJ165" s="62" t="n"/>
      <c r="AK165" s="62" t="n"/>
      <c r="AL165" s="62">
        <f>IF(LEFT($C165,11)="[Jefatura] ",IFERROR(MATCH("Riesgo Operacional|"&amp;MID($C165,12,500),rDname_ADM,0),0),"")</f>
        <v/>
      </c>
      <c r="AM165" s="62">
        <f>IF(N($AL165)&gt;0,INDEX(rIni_ADM,$AL165),IF(ISNUMBER($E165),$E165,""))</f>
        <v/>
      </c>
      <c r="AN165" s="62">
        <f>IF(N($AL165)&gt;0,INDEX(rLim_ADM,$AL165),IF(ISNUMBER($F165),$F165,""))</f>
        <v/>
      </c>
    </row>
    <row r="166">
      <c r="A166" s="56">
        <f>IF(NOT((COUNTA($B166:$D166)+COUNTA($G166:$L166)+COUNTA($Q166))&gt;0),"",IF($V166="Macro",COUNTIFS($V$5:$V166,"Macro",$S$5:$S166,$S166),IF(N($U166)=0,"?",COUNTIFS(INDEX($V$5:$V$1000,1):INDEX($V$5:$V$1000,$U166-4),"Macro",INDEX($S$5:$S$1000,1):INDEX($S$5:$S$1000,$U166-4),INDEX($S$5:$S$1000,$U166-4))&amp;"."&amp;COUNTIFS($U$5:$U166,$U166,$V$5:$V166,"Sub"))))</f>
        <v/>
      </c>
      <c r="B166" s="57" t="n"/>
      <c r="C166" s="58" t="n"/>
      <c r="D166" s="58" t="n"/>
      <c r="E166" s="59">
        <f>IF(N($AL166)&gt;0,INDEX(rIni_ADM,$AL166),"")</f>
        <v/>
      </c>
      <c r="F166" s="59">
        <f>IF(N($AL166)&gt;0,INDEX(rLim_ADM,$AL166),"")</f>
        <v/>
      </c>
      <c r="G166" s="59" t="n"/>
      <c r="H166" s="60" t="n"/>
      <c r="I166" s="60" t="n"/>
      <c r="J166" s="60" t="n"/>
      <c r="K166" s="60" t="n"/>
      <c r="L166" s="60" t="n"/>
      <c r="M166" s="61">
        <f>IF(NOT((COUNTA($B166:$D166)+COUNTA($G166:$L166)+COUNTA($Q166))&gt;0),"",IF($V166="Sub",IFERROR($X166/INDEX($W$5:$W$1000,$U166-4),""),IF(ISNUMBER($G166),1,IF(N($W166)&gt;0,AVERAGEIFS($X$5:$X$1000,$U$5:$U$1000,ROW(),$V$5:$V$1000,"Sub"),$X166))))</f>
        <v/>
      </c>
      <c r="N166" s="56">
        <f>IF(OR($M166="",$V166="Sub"),"",IF($M166&gt;=1,"Completado",IF($M166&gt;0,"En curso","Pendiente")))</f>
        <v/>
      </c>
      <c r="O166" s="56">
        <f>IF(OR(NOT((COUNTA($B166:$D166)+COUNTA($G166:$L166)+COUNTA($Q166))&gt;0),$V166="Sub"),"",IF(ISNUMBER($G166),IF(AND(ISNUMBER($AN166),$G166&gt;$AN166),"Cumplida con "&amp;($G166-$AN166)&amp;IF($G166-$AN166=1," día"," días")&amp;" de retraso","Cumplida"),IF(N($M166)&gt;=1,"Cumplida",IF(NOT(ISNUMBER($AN166)),"Sin fecha límite",IF($AN166&lt;FechaRef,"Vencida hace "&amp;(FechaRef-$AN166)&amp;IF(FechaRef-$AN166=1," día"," días"),IF($AN166=FechaRef,"Vence hoy",IF($AN166-FechaRef&lt;=DiasAlerta,"Vence en "&amp;($AN166-FechaRef)&amp;IF($AN166-FechaRef=1," día"," días"),"En plazo")))))))</f>
        <v/>
      </c>
      <c r="P166" s="62" t="n"/>
      <c r="Q166" s="58" t="n"/>
      <c r="R166" s="63">
        <f>IF(NOT((COUNTA($B166:$D166)+COUNTA($G166:$L166)+COUNTA($Q166))&gt;0),"",IF((IF($C166="","Falta el nombre de la actividad"&amp;" · ","")&amp;IF(AND($V166="Sub",N($U166)=0),"Subactividad sin macroactividad arriba"&amp;" · ","")&amp;IF($AM166="","Sin fecha de inicio"&amp;" · ","")&amp;IF($AN166="","Sin fecha límite"&amp;" · ","")&amp;IF(AND(LEFT($C166,11)="[Jefatura] ",N($AL166)=0),"No se encuentra en la hoja de la jefatura (elíjala de nuevo en la lista)"&amp;" · ","")&amp;IF(OR(AND($E166&lt;&gt;"",NOT(ISNUMBER($E166))),AND($F166&lt;&gt;"",NOT(ISNUMBER($F166))),AND($G166&lt;&gt;"",NOT(ISNUMBER($G166)))),"Fecha no válida"&amp;" · ","")&amp;IF(AND(ISNUMBER($AM166),ISNUMBER($AN166),$AM166&gt;$AN166),"Inicio posterior a fecha límite"&amp;" · ","")&amp;IF(AND($V166="Macro",$H166&lt;&gt;"",OR(NOT(ISNUMBER($H166)),$H166&lt;0,$H166&gt;1)),"Peso fuera de rango"&amp;" · ","")&amp;IF(AND($V166="Sub",$H166&lt;&gt;""),"Las subactividades no llevan peso (valen igual dentro de su macroactividad)"&amp;" · ","")&amp;IF(AND(N($W166)&gt;0,COUNT($I166:$L166)&gt;0),"Con subactividades: deje vacías las semanas (se calculan solas)"&amp;" · ","")&amp;IF((COUNTIF($I166:$L166,"&gt;1")+COUNTIF($I166:$L166,"&lt;0")+COUNTA($I166:$L166)-COUNT($I166:$L166))&gt;0,"Avance fuera de rango 0-100%"&amp;" · ","")&amp;IF(OR(AND($J166&lt;&gt;"",$J166&lt;$I166),AND($K166&lt;&gt;"",$K166&lt;MAX($I166:$J166)),AND($L166&lt;&gt;"",$L166&lt;MAX($I166:$K166))),"Avance semanal decreciente"&amp;" · ","")&amp;IF(AND(ISNUMBER($AN166),$AN166&lt;FechaRef,IF($V166="Sub",N($X166),N($M166))&lt;1),"Vencida"&amp;" · ","")&amp;IF(AND(ObsObligatoria="Sí",ISNUMBER($AN166),$AN166&lt;FechaRef,IF($V166="Sub",N($X166),N($M166))&lt;1,$Q166=""),"Vencida sin observación"&amp;" · ",""))="","✔ OK","⚠ "&amp;LEFT(IF($C166="","Falta el nombre de la actividad"&amp;" · ","")&amp;IF(AND($V166="Sub",N($U166)=0),"Subactividad sin macroactividad arriba"&amp;" · ","")&amp;IF($AM166="","Sin fecha de inicio"&amp;" · ","")&amp;IF($AN166="","Sin fecha límite"&amp;" · ","")&amp;IF(AND(LEFT($C166,11)="[Jefatura] ",N($AL166)=0),"No se encuentra en la hoja de la jefatura (elíjala de nuevo en la lista)"&amp;" · ","")&amp;IF(OR(AND($E166&lt;&gt;"",NOT(ISNUMBER($E166))),AND($F166&lt;&gt;"",NOT(ISNUMBER($F166))),AND($G166&lt;&gt;"",NOT(ISNUMBER($G166)))),"Fecha no válida"&amp;" · ","")&amp;IF(AND(ISNUMBER($AM166),ISNUMBER($AN166),$AM166&gt;$AN166),"Inicio posterior a fecha límite"&amp;" · ","")&amp;IF(AND($V166="Macro",$H166&lt;&gt;"",OR(NOT(ISNUMBER($H166)),$H166&lt;0,$H166&gt;1)),"Peso fuera de rango"&amp;" · ","")&amp;IF(AND($V166="Sub",$H166&lt;&gt;""),"Las subactividades no llevan peso (valen igual dentro de su macroactividad)"&amp;" · ","")&amp;IF(AND(N($W166)&gt;0,COUNT($I166:$L166)&gt;0),"Con subactividades: deje vacías las semanas (se calculan solas)"&amp;" · ","")&amp;IF((COUNTIF($I166:$L166,"&gt;1")+COUNTIF($I166:$L166,"&lt;0")+COUNTA($I166:$L166)-COUNT($I166:$L166))&gt;0,"Avance fuera de rango 0-100%"&amp;" · ","")&amp;IF(OR(AND($J166&lt;&gt;"",$J166&lt;$I166),AND($K166&lt;&gt;"",$K166&lt;MAX($I166:$J166)),AND($L166&lt;&gt;"",$L166&lt;MAX($I166:$K166))),"Avance semanal decreciente"&amp;" · ","")&amp;IF(AND(ISNUMBER($AN166),$AN166&lt;FechaRef,IF($V166="Sub",N($X166),N($M166))&lt;1),"Vencida"&amp;" · ","")&amp;IF(AND(ObsObligatoria="Sí",ISNUMBER($AN166),$AN166&lt;FechaRef,IF($V166="Sub",N($X166),N($M166))&lt;1,$Q166=""),"Vencida sin observación"&amp;" · ",""),LEN(IF($C166="","Falta el nombre de la actividad"&amp;" · ","")&amp;IF(AND($V166="Sub",N($U166)=0),"Subactividad sin macroactividad arriba"&amp;" · ","")&amp;IF($AM166="","Sin fecha de inicio"&amp;" · ","")&amp;IF($AN166="","Sin fecha límite"&amp;" · ","")&amp;IF(AND(LEFT($C166,11)="[Jefatura] ",N($AL166)=0),"No se encuentra en la hoja de la jefatura (elíjala de nuevo en la lista)"&amp;" · ","")&amp;IF(OR(AND($E166&lt;&gt;"",NOT(ISNUMBER($E166))),AND($F166&lt;&gt;"",NOT(ISNUMBER($F166))),AND($G166&lt;&gt;"",NOT(ISNUMBER($G166)))),"Fecha no válida"&amp;" · ","")&amp;IF(AND(ISNUMBER($AM166),ISNUMBER($AN166),$AM166&gt;$AN166),"Inicio posterior a fecha límite"&amp;" · ","")&amp;IF(AND($V166="Macro",$H166&lt;&gt;"",OR(NOT(ISNUMBER($H166)),$H166&lt;0,$H166&gt;1)),"Peso fuera de rango"&amp;" · ","")&amp;IF(AND($V166="Sub",$H166&lt;&gt;""),"Las subactividades no llevan peso (valen igual dentro de su macroactividad)"&amp;" · ","")&amp;IF(AND(N($W166)&gt;0,COUNT($I166:$L166)&gt;0),"Con subactividades: deje vacías las semanas (se calculan solas)"&amp;" · ","")&amp;IF((COUNTIF($I166:$L166,"&gt;1")+COUNTIF($I166:$L166,"&lt;0")+COUNTA($I166:$L166)-COUNT($I166:$L166))&gt;0,"Avance fuera de rango 0-100%"&amp;" · ","")&amp;IF(OR(AND($J166&lt;&gt;"",$J166&lt;$I166),AND($K166&lt;&gt;"",$K166&lt;MAX($I166:$J166)),AND($L166&lt;&gt;"",$L166&lt;MAX($I166:$K166))),"Avance semanal decreciente"&amp;" · ","")&amp;IF(AND(ISNUMBER($AN166),$AN166&lt;FechaRef,IF($V166="Sub",N($X166),N($M166))&lt;1),"Vencida"&amp;" · ","")&amp;IF(AND(ObsObligatoria="Sí",ISNUMBER($AN166),$AN166&lt;FechaRef,IF($V166="Sub",N($X166),N($M166))&lt;1,$Q166=""),"Vencida sin observación"&amp;" · ",""))-3)))</f>
        <v/>
      </c>
      <c r="S166" s="64">
        <f>IF(NOT((COUNTA($B166:$D166)+COUNTA($G166:$L166)+COUNTA($Q166))&gt;0),"",IF(AND($V166="Sub",N($U166)&gt;0),IF(ISNUMBER(INDEX($AM$5:$AM$1000,$U166-4)),DATE(YEAR(INDEX($AM$5:$AM$1000,$U166-4)),MONTH(INDEX($AM$5:$AM$1000,$U166-4)),1),IF(ISNUMBER(INDEX($AN$5:$AN$1000,$U166-4)),DATE(YEAR(INDEX($AN$5:$AN$1000,$U166-4)),MONTH(INDEX($AN$5:$AN$1000,$U166-4)),1),MesCiclo)),IF(ISNUMBER($AM166),DATE(YEAR($AM166),MONTH($AM166),1),IF(ISNUMBER($AN166),DATE(YEAR($AN166),MONTH($AN166),1),MesCiclo))))</f>
        <v/>
      </c>
      <c r="T166" s="62">
        <f>IF(OR($S166="",$S166&lt;&gt;MesCiclo,$V166&lt;&gt;"Macro"),"",COUNTIFS($S$5:$S166,MesCiclo,$V$5:$V166,"Macro"))</f>
        <v/>
      </c>
      <c r="U166" s="62">
        <f>IF($V166="","",IF($V166="Macro",ROW(),IFERROR(LOOKUP(2,1/($V$5:$V166="Macro"),ROW($V$5:$V166)),0)))</f>
        <v/>
      </c>
      <c r="V166" s="62">
        <f>IF(NOT((COUNTA($B166:$D166)+COUNTA($G166:$L166)+COUNTA($Q166))&gt;0),"",IF($B166="Subactividad","Sub","Macro"))</f>
        <v/>
      </c>
      <c r="W166" s="62">
        <f>IF($V166="Macro",COUNTIFS($U$5:$U$1000,ROW(),$V$5:$V$1000,"Sub"),"")</f>
        <v/>
      </c>
      <c r="X166" s="62">
        <f>IF($V166="","",IF(ISNUMBER($G166),1,IFERROR(LOOKUP(2,1/($I166:$L166&lt;&gt;""),$I166:$L166),0)))</f>
        <v/>
      </c>
      <c r="Y166" s="62">
        <f>IF($V166="","",IF(AND(ISNUMBER($G166),$G166&lt;=IF($S166=MesCiclo,InicioCiclo,$S166+MOD(2-WEEKDAY($S166),7))+6),1,IF(ISNUMBER($I166),$I166,0)))</f>
        <v/>
      </c>
      <c r="Z166" s="62">
        <f>IF($V166="","",IF(AND(ISNUMBER($G166),$G166&lt;=IF($S166=MesCiclo,InicioCiclo,$S166+MOD(2-WEEKDAY($S166),7))+13),1,IF(ISNUMBER($J166),$J166,$Y166)))</f>
        <v/>
      </c>
      <c r="AA166" s="62">
        <f>IF($V166="","",IF(AND(ISNUMBER($G166),$G166&lt;=IF($S166=MesCiclo,InicioCiclo,$S166+MOD(2-WEEKDAY($S166),7))+20),1,IF(ISNUMBER($K166),$K166,$Z166)))</f>
        <v/>
      </c>
      <c r="AB166" s="62">
        <f>IF($V166="","",IF(AND(ISNUMBER($G166),$G166&lt;=IF($S166=MesCiclo,InicioCiclo,$S166+MOD(2-WEEKDAY($S166),7))+27),1,IF(ISNUMBER($L166),$L166,$AA166)))</f>
        <v/>
      </c>
      <c r="AC166" s="62">
        <f>IF($V166="","",IF(AND(ISNUMBER($G166),$G166&lt;=IF($S166=MesCiclo,InicioCiclo,$S166+MOD(2-WEEKDAY($S166),7))+6),1,IF(N($W166)&gt;0,AVERAGEIFS($Y$5:$Y$1000,$U$5:$U$1000,ROW(),$V$5:$V$1000,"Sub"),$Y166)))</f>
        <v/>
      </c>
      <c r="AD166" s="62">
        <f>IF($V166="","",IF(AND(ISNUMBER($G166),$G166&lt;=IF($S166=MesCiclo,InicioCiclo,$S166+MOD(2-WEEKDAY($S166),7))+13),1,IF(N($W166)&gt;0,AVERAGEIFS($Z$5:$Z$1000,$U$5:$U$1000,ROW(),$V$5:$V$1000,"Sub"),$Z166)))</f>
        <v/>
      </c>
      <c r="AE166" s="62">
        <f>IF($V166="","",IF(AND(ISNUMBER($G166),$G166&lt;=IF($S166=MesCiclo,InicioCiclo,$S166+MOD(2-WEEKDAY($S166),7))+20),1,IF(N($W166)&gt;0,AVERAGEIFS($AA$5:$AA$1000,$U$5:$U$1000,ROW(),$V$5:$V$1000,"Sub"),$AA166)))</f>
        <v/>
      </c>
      <c r="AF166" s="62">
        <f>IF($V166="","",IF(AND(ISNUMBER($G166),$G166&lt;=IF($S166=MesCiclo,InicioCiclo,$S166+MOD(2-WEEKDAY($S166),7))+27),1,IF(N($W166)&gt;0,AVERAGEIFS($AB$5:$AB$1000,$U$5:$U$1000,ROW(),$V$5:$V$1000,"Sub"),$AB166)))</f>
        <v/>
      </c>
      <c r="AG166" s="62">
        <f>IF($V166&lt;&gt;"Macro","",IF(COUNTIFS($S$5:$S$1000,$S166,$V$5:$V$1000,"Macro",$H$5:$H$1000,"&gt;0")=0,1/COUNTIFS($S$5:$S$1000,$S166,$V$5:$V$1000,"Macro"),IF(AND(ISNUMBER($H166),N($H166)&gt;0),$H166,SUMIFS($H$5:$H$1000,$S$5:$S$1000,$S166,$V$5:$V$1000,"Macro")/COUNTIFS($S$5:$S$1000,$S166,$V$5:$V$1000,"Macro",$H$5:$H$1000,"&gt;0"))/(COUNTIFS($S$5:$S$1000,$S166,$V$5:$V$1000,"Macro")*SUMIFS($H$5:$H$1000,$S$5:$S$1000,$S166,$V$5:$V$1000,"Macro")/COUNTIFS($S$5:$S$1000,$S166,$V$5:$V$1000,"Macro",$H$5:$H$1000,"&gt;0"))))</f>
        <v/>
      </c>
      <c r="AH166" s="62" t="n"/>
      <c r="AI166" s="62" t="n"/>
      <c r="AJ166" s="62" t="n"/>
      <c r="AK166" s="62" t="n"/>
      <c r="AL166" s="62">
        <f>IF(LEFT($C166,11)="[Jefatura] ",IFERROR(MATCH("Riesgo Operacional|"&amp;MID($C166,12,500),rDname_ADM,0),0),"")</f>
        <v/>
      </c>
      <c r="AM166" s="62">
        <f>IF(N($AL166)&gt;0,INDEX(rIni_ADM,$AL166),IF(ISNUMBER($E166),$E166,""))</f>
        <v/>
      </c>
      <c r="AN166" s="62">
        <f>IF(N($AL166)&gt;0,INDEX(rLim_ADM,$AL166),IF(ISNUMBER($F166),$F166,""))</f>
        <v/>
      </c>
    </row>
    <row r="167">
      <c r="A167" s="56">
        <f>IF(NOT((COUNTA($B167:$D167)+COUNTA($G167:$L167)+COUNTA($Q167))&gt;0),"",IF($V167="Macro",COUNTIFS($V$5:$V167,"Macro",$S$5:$S167,$S167),IF(N($U167)=0,"?",COUNTIFS(INDEX($V$5:$V$1000,1):INDEX($V$5:$V$1000,$U167-4),"Macro",INDEX($S$5:$S$1000,1):INDEX($S$5:$S$1000,$U167-4),INDEX($S$5:$S$1000,$U167-4))&amp;"."&amp;COUNTIFS($U$5:$U167,$U167,$V$5:$V167,"Sub"))))</f>
        <v/>
      </c>
      <c r="B167" s="57" t="n"/>
      <c r="C167" s="58" t="n"/>
      <c r="D167" s="58" t="n"/>
      <c r="E167" s="59">
        <f>IF(N($AL167)&gt;0,INDEX(rIni_ADM,$AL167),"")</f>
        <v/>
      </c>
      <c r="F167" s="59">
        <f>IF(N($AL167)&gt;0,INDEX(rLim_ADM,$AL167),"")</f>
        <v/>
      </c>
      <c r="G167" s="59" t="n"/>
      <c r="H167" s="60" t="n"/>
      <c r="I167" s="60" t="n"/>
      <c r="J167" s="60" t="n"/>
      <c r="K167" s="60" t="n"/>
      <c r="L167" s="60" t="n"/>
      <c r="M167" s="61">
        <f>IF(NOT((COUNTA($B167:$D167)+COUNTA($G167:$L167)+COUNTA($Q167))&gt;0),"",IF($V167="Sub",IFERROR($X167/INDEX($W$5:$W$1000,$U167-4),""),IF(ISNUMBER($G167),1,IF(N($W167)&gt;0,AVERAGEIFS($X$5:$X$1000,$U$5:$U$1000,ROW(),$V$5:$V$1000,"Sub"),$X167))))</f>
        <v/>
      </c>
      <c r="N167" s="56">
        <f>IF(OR($M167="",$V167="Sub"),"",IF($M167&gt;=1,"Completado",IF($M167&gt;0,"En curso","Pendiente")))</f>
        <v/>
      </c>
      <c r="O167" s="56">
        <f>IF(OR(NOT((COUNTA($B167:$D167)+COUNTA($G167:$L167)+COUNTA($Q167))&gt;0),$V167="Sub"),"",IF(ISNUMBER($G167),IF(AND(ISNUMBER($AN167),$G167&gt;$AN167),"Cumplida con "&amp;($G167-$AN167)&amp;IF($G167-$AN167=1," día"," días")&amp;" de retraso","Cumplida"),IF(N($M167)&gt;=1,"Cumplida",IF(NOT(ISNUMBER($AN167)),"Sin fecha límite",IF($AN167&lt;FechaRef,"Vencida hace "&amp;(FechaRef-$AN167)&amp;IF(FechaRef-$AN167=1," día"," días"),IF($AN167=FechaRef,"Vence hoy",IF($AN167-FechaRef&lt;=DiasAlerta,"Vence en "&amp;($AN167-FechaRef)&amp;IF($AN167-FechaRef=1," día"," días"),"En plazo")))))))</f>
        <v/>
      </c>
      <c r="P167" s="62" t="n"/>
      <c r="Q167" s="58" t="n"/>
      <c r="R167" s="63">
        <f>IF(NOT((COUNTA($B167:$D167)+COUNTA($G167:$L167)+COUNTA($Q167))&gt;0),"",IF((IF($C167="","Falta el nombre de la actividad"&amp;" · ","")&amp;IF(AND($V167="Sub",N($U167)=0),"Subactividad sin macroactividad arriba"&amp;" · ","")&amp;IF($AM167="","Sin fecha de inicio"&amp;" · ","")&amp;IF($AN167="","Sin fecha límite"&amp;" · ","")&amp;IF(AND(LEFT($C167,11)="[Jefatura] ",N($AL167)=0),"No se encuentra en la hoja de la jefatura (elíjala de nuevo en la lista)"&amp;" · ","")&amp;IF(OR(AND($E167&lt;&gt;"",NOT(ISNUMBER($E167))),AND($F167&lt;&gt;"",NOT(ISNUMBER($F167))),AND($G167&lt;&gt;"",NOT(ISNUMBER($G167)))),"Fecha no válida"&amp;" · ","")&amp;IF(AND(ISNUMBER($AM167),ISNUMBER($AN167),$AM167&gt;$AN167),"Inicio posterior a fecha límite"&amp;" · ","")&amp;IF(AND($V167="Macro",$H167&lt;&gt;"",OR(NOT(ISNUMBER($H167)),$H167&lt;0,$H167&gt;1)),"Peso fuera de rango"&amp;" · ","")&amp;IF(AND($V167="Sub",$H167&lt;&gt;""),"Las subactividades no llevan peso (valen igual dentro de su macroactividad)"&amp;" · ","")&amp;IF(AND(N($W167)&gt;0,COUNT($I167:$L167)&gt;0),"Con subactividades: deje vacías las semanas (se calculan solas)"&amp;" · ","")&amp;IF((COUNTIF($I167:$L167,"&gt;1")+COUNTIF($I167:$L167,"&lt;0")+COUNTA($I167:$L167)-COUNT($I167:$L167))&gt;0,"Avance fuera de rango 0-100%"&amp;" · ","")&amp;IF(OR(AND($J167&lt;&gt;"",$J167&lt;$I167),AND($K167&lt;&gt;"",$K167&lt;MAX($I167:$J167)),AND($L167&lt;&gt;"",$L167&lt;MAX($I167:$K167))),"Avance semanal decreciente"&amp;" · ","")&amp;IF(AND(ISNUMBER($AN167),$AN167&lt;FechaRef,IF($V167="Sub",N($X167),N($M167))&lt;1),"Vencida"&amp;" · ","")&amp;IF(AND(ObsObligatoria="Sí",ISNUMBER($AN167),$AN167&lt;FechaRef,IF($V167="Sub",N($X167),N($M167))&lt;1,$Q167=""),"Vencida sin observación"&amp;" · ",""))="","✔ OK","⚠ "&amp;LEFT(IF($C167="","Falta el nombre de la actividad"&amp;" · ","")&amp;IF(AND($V167="Sub",N($U167)=0),"Subactividad sin macroactividad arriba"&amp;" · ","")&amp;IF($AM167="","Sin fecha de inicio"&amp;" · ","")&amp;IF($AN167="","Sin fecha límite"&amp;" · ","")&amp;IF(AND(LEFT($C167,11)="[Jefatura] ",N($AL167)=0),"No se encuentra en la hoja de la jefatura (elíjala de nuevo en la lista)"&amp;" · ","")&amp;IF(OR(AND($E167&lt;&gt;"",NOT(ISNUMBER($E167))),AND($F167&lt;&gt;"",NOT(ISNUMBER($F167))),AND($G167&lt;&gt;"",NOT(ISNUMBER($G167)))),"Fecha no válida"&amp;" · ","")&amp;IF(AND(ISNUMBER($AM167),ISNUMBER($AN167),$AM167&gt;$AN167),"Inicio posterior a fecha límite"&amp;" · ","")&amp;IF(AND($V167="Macro",$H167&lt;&gt;"",OR(NOT(ISNUMBER($H167)),$H167&lt;0,$H167&gt;1)),"Peso fuera de rango"&amp;" · ","")&amp;IF(AND($V167="Sub",$H167&lt;&gt;""),"Las subactividades no llevan peso (valen igual dentro de su macroactividad)"&amp;" · ","")&amp;IF(AND(N($W167)&gt;0,COUNT($I167:$L167)&gt;0),"Con subactividades: deje vacías las semanas (se calculan solas)"&amp;" · ","")&amp;IF((COUNTIF($I167:$L167,"&gt;1")+COUNTIF($I167:$L167,"&lt;0")+COUNTA($I167:$L167)-COUNT($I167:$L167))&gt;0,"Avance fuera de rango 0-100%"&amp;" · ","")&amp;IF(OR(AND($J167&lt;&gt;"",$J167&lt;$I167),AND($K167&lt;&gt;"",$K167&lt;MAX($I167:$J167)),AND($L167&lt;&gt;"",$L167&lt;MAX($I167:$K167))),"Avance semanal decreciente"&amp;" · ","")&amp;IF(AND(ISNUMBER($AN167),$AN167&lt;FechaRef,IF($V167="Sub",N($X167),N($M167))&lt;1),"Vencida"&amp;" · ","")&amp;IF(AND(ObsObligatoria="Sí",ISNUMBER($AN167),$AN167&lt;FechaRef,IF($V167="Sub",N($X167),N($M167))&lt;1,$Q167=""),"Vencida sin observación"&amp;" · ",""),LEN(IF($C167="","Falta el nombre de la actividad"&amp;" · ","")&amp;IF(AND($V167="Sub",N($U167)=0),"Subactividad sin macroactividad arriba"&amp;" · ","")&amp;IF($AM167="","Sin fecha de inicio"&amp;" · ","")&amp;IF($AN167="","Sin fecha límite"&amp;" · ","")&amp;IF(AND(LEFT($C167,11)="[Jefatura] ",N($AL167)=0),"No se encuentra en la hoja de la jefatura (elíjala de nuevo en la lista)"&amp;" · ","")&amp;IF(OR(AND($E167&lt;&gt;"",NOT(ISNUMBER($E167))),AND($F167&lt;&gt;"",NOT(ISNUMBER($F167))),AND($G167&lt;&gt;"",NOT(ISNUMBER($G167)))),"Fecha no válida"&amp;" · ","")&amp;IF(AND(ISNUMBER($AM167),ISNUMBER($AN167),$AM167&gt;$AN167),"Inicio posterior a fecha límite"&amp;" · ","")&amp;IF(AND($V167="Macro",$H167&lt;&gt;"",OR(NOT(ISNUMBER($H167)),$H167&lt;0,$H167&gt;1)),"Peso fuera de rango"&amp;" · ","")&amp;IF(AND($V167="Sub",$H167&lt;&gt;""),"Las subactividades no llevan peso (valen igual dentro de su macroactividad)"&amp;" · ","")&amp;IF(AND(N($W167)&gt;0,COUNT($I167:$L167)&gt;0),"Con subactividades: deje vacías las semanas (se calculan solas)"&amp;" · ","")&amp;IF((COUNTIF($I167:$L167,"&gt;1")+COUNTIF($I167:$L167,"&lt;0")+COUNTA($I167:$L167)-COUNT($I167:$L167))&gt;0,"Avance fuera de rango 0-100%"&amp;" · ","")&amp;IF(OR(AND($J167&lt;&gt;"",$J167&lt;$I167),AND($K167&lt;&gt;"",$K167&lt;MAX($I167:$J167)),AND($L167&lt;&gt;"",$L167&lt;MAX($I167:$K167))),"Avance semanal decreciente"&amp;" · ","")&amp;IF(AND(ISNUMBER($AN167),$AN167&lt;FechaRef,IF($V167="Sub",N($X167),N($M167))&lt;1),"Vencida"&amp;" · ","")&amp;IF(AND(ObsObligatoria="Sí",ISNUMBER($AN167),$AN167&lt;FechaRef,IF($V167="Sub",N($X167),N($M167))&lt;1,$Q167=""),"Vencida sin observación"&amp;" · ",""))-3)))</f>
        <v/>
      </c>
      <c r="S167" s="64">
        <f>IF(NOT((COUNTA($B167:$D167)+COUNTA($G167:$L167)+COUNTA($Q167))&gt;0),"",IF(AND($V167="Sub",N($U167)&gt;0),IF(ISNUMBER(INDEX($AM$5:$AM$1000,$U167-4)),DATE(YEAR(INDEX($AM$5:$AM$1000,$U167-4)),MONTH(INDEX($AM$5:$AM$1000,$U167-4)),1),IF(ISNUMBER(INDEX($AN$5:$AN$1000,$U167-4)),DATE(YEAR(INDEX($AN$5:$AN$1000,$U167-4)),MONTH(INDEX($AN$5:$AN$1000,$U167-4)),1),MesCiclo)),IF(ISNUMBER($AM167),DATE(YEAR($AM167),MONTH($AM167),1),IF(ISNUMBER($AN167),DATE(YEAR($AN167),MONTH($AN167),1),MesCiclo))))</f>
        <v/>
      </c>
      <c r="T167" s="62">
        <f>IF(OR($S167="",$S167&lt;&gt;MesCiclo,$V167&lt;&gt;"Macro"),"",COUNTIFS($S$5:$S167,MesCiclo,$V$5:$V167,"Macro"))</f>
        <v/>
      </c>
      <c r="U167" s="62">
        <f>IF($V167="","",IF($V167="Macro",ROW(),IFERROR(LOOKUP(2,1/($V$5:$V167="Macro"),ROW($V$5:$V167)),0)))</f>
        <v/>
      </c>
      <c r="V167" s="62">
        <f>IF(NOT((COUNTA($B167:$D167)+COUNTA($G167:$L167)+COUNTA($Q167))&gt;0),"",IF($B167="Subactividad","Sub","Macro"))</f>
        <v/>
      </c>
      <c r="W167" s="62">
        <f>IF($V167="Macro",COUNTIFS($U$5:$U$1000,ROW(),$V$5:$V$1000,"Sub"),"")</f>
        <v/>
      </c>
      <c r="X167" s="62">
        <f>IF($V167="","",IF(ISNUMBER($G167),1,IFERROR(LOOKUP(2,1/($I167:$L167&lt;&gt;""),$I167:$L167),0)))</f>
        <v/>
      </c>
      <c r="Y167" s="62">
        <f>IF($V167="","",IF(AND(ISNUMBER($G167),$G167&lt;=IF($S167=MesCiclo,InicioCiclo,$S167+MOD(2-WEEKDAY($S167),7))+6),1,IF(ISNUMBER($I167),$I167,0)))</f>
        <v/>
      </c>
      <c r="Z167" s="62">
        <f>IF($V167="","",IF(AND(ISNUMBER($G167),$G167&lt;=IF($S167=MesCiclo,InicioCiclo,$S167+MOD(2-WEEKDAY($S167),7))+13),1,IF(ISNUMBER($J167),$J167,$Y167)))</f>
        <v/>
      </c>
      <c r="AA167" s="62">
        <f>IF($V167="","",IF(AND(ISNUMBER($G167),$G167&lt;=IF($S167=MesCiclo,InicioCiclo,$S167+MOD(2-WEEKDAY($S167),7))+20),1,IF(ISNUMBER($K167),$K167,$Z167)))</f>
        <v/>
      </c>
      <c r="AB167" s="62">
        <f>IF($V167="","",IF(AND(ISNUMBER($G167),$G167&lt;=IF($S167=MesCiclo,InicioCiclo,$S167+MOD(2-WEEKDAY($S167),7))+27),1,IF(ISNUMBER($L167),$L167,$AA167)))</f>
        <v/>
      </c>
      <c r="AC167" s="62">
        <f>IF($V167="","",IF(AND(ISNUMBER($G167),$G167&lt;=IF($S167=MesCiclo,InicioCiclo,$S167+MOD(2-WEEKDAY($S167),7))+6),1,IF(N($W167)&gt;0,AVERAGEIFS($Y$5:$Y$1000,$U$5:$U$1000,ROW(),$V$5:$V$1000,"Sub"),$Y167)))</f>
        <v/>
      </c>
      <c r="AD167" s="62">
        <f>IF($V167="","",IF(AND(ISNUMBER($G167),$G167&lt;=IF($S167=MesCiclo,InicioCiclo,$S167+MOD(2-WEEKDAY($S167),7))+13),1,IF(N($W167)&gt;0,AVERAGEIFS($Z$5:$Z$1000,$U$5:$U$1000,ROW(),$V$5:$V$1000,"Sub"),$Z167)))</f>
        <v/>
      </c>
      <c r="AE167" s="62">
        <f>IF($V167="","",IF(AND(ISNUMBER($G167),$G167&lt;=IF($S167=MesCiclo,InicioCiclo,$S167+MOD(2-WEEKDAY($S167),7))+20),1,IF(N($W167)&gt;0,AVERAGEIFS($AA$5:$AA$1000,$U$5:$U$1000,ROW(),$V$5:$V$1000,"Sub"),$AA167)))</f>
        <v/>
      </c>
      <c r="AF167" s="62">
        <f>IF($V167="","",IF(AND(ISNUMBER($G167),$G167&lt;=IF($S167=MesCiclo,InicioCiclo,$S167+MOD(2-WEEKDAY($S167),7))+27),1,IF(N($W167)&gt;0,AVERAGEIFS($AB$5:$AB$1000,$U$5:$U$1000,ROW(),$V$5:$V$1000,"Sub"),$AB167)))</f>
        <v/>
      </c>
      <c r="AG167" s="62">
        <f>IF($V167&lt;&gt;"Macro","",IF(COUNTIFS($S$5:$S$1000,$S167,$V$5:$V$1000,"Macro",$H$5:$H$1000,"&gt;0")=0,1/COUNTIFS($S$5:$S$1000,$S167,$V$5:$V$1000,"Macro"),IF(AND(ISNUMBER($H167),N($H167)&gt;0),$H167,SUMIFS($H$5:$H$1000,$S$5:$S$1000,$S167,$V$5:$V$1000,"Macro")/COUNTIFS($S$5:$S$1000,$S167,$V$5:$V$1000,"Macro",$H$5:$H$1000,"&gt;0"))/(COUNTIFS($S$5:$S$1000,$S167,$V$5:$V$1000,"Macro")*SUMIFS($H$5:$H$1000,$S$5:$S$1000,$S167,$V$5:$V$1000,"Macro")/COUNTIFS($S$5:$S$1000,$S167,$V$5:$V$1000,"Macro",$H$5:$H$1000,"&gt;0"))))</f>
        <v/>
      </c>
      <c r="AH167" s="62" t="n"/>
      <c r="AI167" s="62" t="n"/>
      <c r="AJ167" s="62" t="n"/>
      <c r="AK167" s="62" t="n"/>
      <c r="AL167" s="62">
        <f>IF(LEFT($C167,11)="[Jefatura] ",IFERROR(MATCH("Riesgo Operacional|"&amp;MID($C167,12,500),rDname_ADM,0),0),"")</f>
        <v/>
      </c>
      <c r="AM167" s="62">
        <f>IF(N($AL167)&gt;0,INDEX(rIni_ADM,$AL167),IF(ISNUMBER($E167),$E167,""))</f>
        <v/>
      </c>
      <c r="AN167" s="62">
        <f>IF(N($AL167)&gt;0,INDEX(rLim_ADM,$AL167),IF(ISNUMBER($F167),$F167,""))</f>
        <v/>
      </c>
    </row>
    <row r="168">
      <c r="A168" s="56">
        <f>IF(NOT((COUNTA($B168:$D168)+COUNTA($G168:$L168)+COUNTA($Q168))&gt;0),"",IF($V168="Macro",COUNTIFS($V$5:$V168,"Macro",$S$5:$S168,$S168),IF(N($U168)=0,"?",COUNTIFS(INDEX($V$5:$V$1000,1):INDEX($V$5:$V$1000,$U168-4),"Macro",INDEX($S$5:$S$1000,1):INDEX($S$5:$S$1000,$U168-4),INDEX($S$5:$S$1000,$U168-4))&amp;"."&amp;COUNTIFS($U$5:$U168,$U168,$V$5:$V168,"Sub"))))</f>
        <v/>
      </c>
      <c r="B168" s="57" t="n"/>
      <c r="C168" s="58" t="n"/>
      <c r="D168" s="58" t="n"/>
      <c r="E168" s="59">
        <f>IF(N($AL168)&gt;0,INDEX(rIni_ADM,$AL168),"")</f>
        <v/>
      </c>
      <c r="F168" s="59">
        <f>IF(N($AL168)&gt;0,INDEX(rLim_ADM,$AL168),"")</f>
        <v/>
      </c>
      <c r="G168" s="59" t="n"/>
      <c r="H168" s="60" t="n"/>
      <c r="I168" s="60" t="n"/>
      <c r="J168" s="60" t="n"/>
      <c r="K168" s="60" t="n"/>
      <c r="L168" s="60" t="n"/>
      <c r="M168" s="61">
        <f>IF(NOT((COUNTA($B168:$D168)+COUNTA($G168:$L168)+COUNTA($Q168))&gt;0),"",IF($V168="Sub",IFERROR($X168/INDEX($W$5:$W$1000,$U168-4),""),IF(ISNUMBER($G168),1,IF(N($W168)&gt;0,AVERAGEIFS($X$5:$X$1000,$U$5:$U$1000,ROW(),$V$5:$V$1000,"Sub"),$X168))))</f>
        <v/>
      </c>
      <c r="N168" s="56">
        <f>IF(OR($M168="",$V168="Sub"),"",IF($M168&gt;=1,"Completado",IF($M168&gt;0,"En curso","Pendiente")))</f>
        <v/>
      </c>
      <c r="O168" s="56">
        <f>IF(OR(NOT((COUNTA($B168:$D168)+COUNTA($G168:$L168)+COUNTA($Q168))&gt;0),$V168="Sub"),"",IF(ISNUMBER($G168),IF(AND(ISNUMBER($AN168),$G168&gt;$AN168),"Cumplida con "&amp;($G168-$AN168)&amp;IF($G168-$AN168=1," día"," días")&amp;" de retraso","Cumplida"),IF(N($M168)&gt;=1,"Cumplida",IF(NOT(ISNUMBER($AN168)),"Sin fecha límite",IF($AN168&lt;FechaRef,"Vencida hace "&amp;(FechaRef-$AN168)&amp;IF(FechaRef-$AN168=1," día"," días"),IF($AN168=FechaRef,"Vence hoy",IF($AN168-FechaRef&lt;=DiasAlerta,"Vence en "&amp;($AN168-FechaRef)&amp;IF($AN168-FechaRef=1," día"," días"),"En plazo")))))))</f>
        <v/>
      </c>
      <c r="P168" s="62" t="n"/>
      <c r="Q168" s="58" t="n"/>
      <c r="R168" s="63">
        <f>IF(NOT((COUNTA($B168:$D168)+COUNTA($G168:$L168)+COUNTA($Q168))&gt;0),"",IF((IF($C168="","Falta el nombre de la actividad"&amp;" · ","")&amp;IF(AND($V168="Sub",N($U168)=0),"Subactividad sin macroactividad arriba"&amp;" · ","")&amp;IF($AM168="","Sin fecha de inicio"&amp;" · ","")&amp;IF($AN168="","Sin fecha límite"&amp;" · ","")&amp;IF(AND(LEFT($C168,11)="[Jefatura] ",N($AL168)=0),"No se encuentra en la hoja de la jefatura (elíjala de nuevo en la lista)"&amp;" · ","")&amp;IF(OR(AND($E168&lt;&gt;"",NOT(ISNUMBER($E168))),AND($F168&lt;&gt;"",NOT(ISNUMBER($F168))),AND($G168&lt;&gt;"",NOT(ISNUMBER($G168)))),"Fecha no válida"&amp;" · ","")&amp;IF(AND(ISNUMBER($AM168),ISNUMBER($AN168),$AM168&gt;$AN168),"Inicio posterior a fecha límite"&amp;" · ","")&amp;IF(AND($V168="Macro",$H168&lt;&gt;"",OR(NOT(ISNUMBER($H168)),$H168&lt;0,$H168&gt;1)),"Peso fuera de rango"&amp;" · ","")&amp;IF(AND($V168="Sub",$H168&lt;&gt;""),"Las subactividades no llevan peso (valen igual dentro de su macroactividad)"&amp;" · ","")&amp;IF(AND(N($W168)&gt;0,COUNT($I168:$L168)&gt;0),"Con subactividades: deje vacías las semanas (se calculan solas)"&amp;" · ","")&amp;IF((COUNTIF($I168:$L168,"&gt;1")+COUNTIF($I168:$L168,"&lt;0")+COUNTA($I168:$L168)-COUNT($I168:$L168))&gt;0,"Avance fuera de rango 0-100%"&amp;" · ","")&amp;IF(OR(AND($J168&lt;&gt;"",$J168&lt;$I168),AND($K168&lt;&gt;"",$K168&lt;MAX($I168:$J168)),AND($L168&lt;&gt;"",$L168&lt;MAX($I168:$K168))),"Avance semanal decreciente"&amp;" · ","")&amp;IF(AND(ISNUMBER($AN168),$AN168&lt;FechaRef,IF($V168="Sub",N($X168),N($M168))&lt;1),"Vencida"&amp;" · ","")&amp;IF(AND(ObsObligatoria="Sí",ISNUMBER($AN168),$AN168&lt;FechaRef,IF($V168="Sub",N($X168),N($M168))&lt;1,$Q168=""),"Vencida sin observación"&amp;" · ",""))="","✔ OK","⚠ "&amp;LEFT(IF($C168="","Falta el nombre de la actividad"&amp;" · ","")&amp;IF(AND($V168="Sub",N($U168)=0),"Subactividad sin macroactividad arriba"&amp;" · ","")&amp;IF($AM168="","Sin fecha de inicio"&amp;" · ","")&amp;IF($AN168="","Sin fecha límite"&amp;" · ","")&amp;IF(AND(LEFT($C168,11)="[Jefatura] ",N($AL168)=0),"No se encuentra en la hoja de la jefatura (elíjala de nuevo en la lista)"&amp;" · ","")&amp;IF(OR(AND($E168&lt;&gt;"",NOT(ISNUMBER($E168))),AND($F168&lt;&gt;"",NOT(ISNUMBER($F168))),AND($G168&lt;&gt;"",NOT(ISNUMBER($G168)))),"Fecha no válida"&amp;" · ","")&amp;IF(AND(ISNUMBER($AM168),ISNUMBER($AN168),$AM168&gt;$AN168),"Inicio posterior a fecha límite"&amp;" · ","")&amp;IF(AND($V168="Macro",$H168&lt;&gt;"",OR(NOT(ISNUMBER($H168)),$H168&lt;0,$H168&gt;1)),"Peso fuera de rango"&amp;" · ","")&amp;IF(AND($V168="Sub",$H168&lt;&gt;""),"Las subactividades no llevan peso (valen igual dentro de su macroactividad)"&amp;" · ","")&amp;IF(AND(N($W168)&gt;0,COUNT($I168:$L168)&gt;0),"Con subactividades: deje vacías las semanas (se calculan solas)"&amp;" · ","")&amp;IF((COUNTIF($I168:$L168,"&gt;1")+COUNTIF($I168:$L168,"&lt;0")+COUNTA($I168:$L168)-COUNT($I168:$L168))&gt;0,"Avance fuera de rango 0-100%"&amp;" · ","")&amp;IF(OR(AND($J168&lt;&gt;"",$J168&lt;$I168),AND($K168&lt;&gt;"",$K168&lt;MAX($I168:$J168)),AND($L168&lt;&gt;"",$L168&lt;MAX($I168:$K168))),"Avance semanal decreciente"&amp;" · ","")&amp;IF(AND(ISNUMBER($AN168),$AN168&lt;FechaRef,IF($V168="Sub",N($X168),N($M168))&lt;1),"Vencida"&amp;" · ","")&amp;IF(AND(ObsObligatoria="Sí",ISNUMBER($AN168),$AN168&lt;FechaRef,IF($V168="Sub",N($X168),N($M168))&lt;1,$Q168=""),"Vencida sin observación"&amp;" · ",""),LEN(IF($C168="","Falta el nombre de la actividad"&amp;" · ","")&amp;IF(AND($V168="Sub",N($U168)=0),"Subactividad sin macroactividad arriba"&amp;" · ","")&amp;IF($AM168="","Sin fecha de inicio"&amp;" · ","")&amp;IF($AN168="","Sin fecha límite"&amp;" · ","")&amp;IF(AND(LEFT($C168,11)="[Jefatura] ",N($AL168)=0),"No se encuentra en la hoja de la jefatura (elíjala de nuevo en la lista)"&amp;" · ","")&amp;IF(OR(AND($E168&lt;&gt;"",NOT(ISNUMBER($E168))),AND($F168&lt;&gt;"",NOT(ISNUMBER($F168))),AND($G168&lt;&gt;"",NOT(ISNUMBER($G168)))),"Fecha no válida"&amp;" · ","")&amp;IF(AND(ISNUMBER($AM168),ISNUMBER($AN168),$AM168&gt;$AN168),"Inicio posterior a fecha límite"&amp;" · ","")&amp;IF(AND($V168="Macro",$H168&lt;&gt;"",OR(NOT(ISNUMBER($H168)),$H168&lt;0,$H168&gt;1)),"Peso fuera de rango"&amp;" · ","")&amp;IF(AND($V168="Sub",$H168&lt;&gt;""),"Las subactividades no llevan peso (valen igual dentro de su macroactividad)"&amp;" · ","")&amp;IF(AND(N($W168)&gt;0,COUNT($I168:$L168)&gt;0),"Con subactividades: deje vacías las semanas (se calculan solas)"&amp;" · ","")&amp;IF((COUNTIF($I168:$L168,"&gt;1")+COUNTIF($I168:$L168,"&lt;0")+COUNTA($I168:$L168)-COUNT($I168:$L168))&gt;0,"Avance fuera de rango 0-100%"&amp;" · ","")&amp;IF(OR(AND($J168&lt;&gt;"",$J168&lt;$I168),AND($K168&lt;&gt;"",$K168&lt;MAX($I168:$J168)),AND($L168&lt;&gt;"",$L168&lt;MAX($I168:$K168))),"Avance semanal decreciente"&amp;" · ","")&amp;IF(AND(ISNUMBER($AN168),$AN168&lt;FechaRef,IF($V168="Sub",N($X168),N($M168))&lt;1),"Vencida"&amp;" · ","")&amp;IF(AND(ObsObligatoria="Sí",ISNUMBER($AN168),$AN168&lt;FechaRef,IF($V168="Sub",N($X168),N($M168))&lt;1,$Q168=""),"Vencida sin observación"&amp;" · ",""))-3)))</f>
        <v/>
      </c>
      <c r="S168" s="64">
        <f>IF(NOT((COUNTA($B168:$D168)+COUNTA($G168:$L168)+COUNTA($Q168))&gt;0),"",IF(AND($V168="Sub",N($U168)&gt;0),IF(ISNUMBER(INDEX($AM$5:$AM$1000,$U168-4)),DATE(YEAR(INDEX($AM$5:$AM$1000,$U168-4)),MONTH(INDEX($AM$5:$AM$1000,$U168-4)),1),IF(ISNUMBER(INDEX($AN$5:$AN$1000,$U168-4)),DATE(YEAR(INDEX($AN$5:$AN$1000,$U168-4)),MONTH(INDEX($AN$5:$AN$1000,$U168-4)),1),MesCiclo)),IF(ISNUMBER($AM168),DATE(YEAR($AM168),MONTH($AM168),1),IF(ISNUMBER($AN168),DATE(YEAR($AN168),MONTH($AN168),1),MesCiclo))))</f>
        <v/>
      </c>
      <c r="T168" s="62">
        <f>IF(OR($S168="",$S168&lt;&gt;MesCiclo,$V168&lt;&gt;"Macro"),"",COUNTIFS($S$5:$S168,MesCiclo,$V$5:$V168,"Macro"))</f>
        <v/>
      </c>
      <c r="U168" s="62">
        <f>IF($V168="","",IF($V168="Macro",ROW(),IFERROR(LOOKUP(2,1/($V$5:$V168="Macro"),ROW($V$5:$V168)),0)))</f>
        <v/>
      </c>
      <c r="V168" s="62">
        <f>IF(NOT((COUNTA($B168:$D168)+COUNTA($G168:$L168)+COUNTA($Q168))&gt;0),"",IF($B168="Subactividad","Sub","Macro"))</f>
        <v/>
      </c>
      <c r="W168" s="62">
        <f>IF($V168="Macro",COUNTIFS($U$5:$U$1000,ROW(),$V$5:$V$1000,"Sub"),"")</f>
        <v/>
      </c>
      <c r="X168" s="62">
        <f>IF($V168="","",IF(ISNUMBER($G168),1,IFERROR(LOOKUP(2,1/($I168:$L168&lt;&gt;""),$I168:$L168),0)))</f>
        <v/>
      </c>
      <c r="Y168" s="62">
        <f>IF($V168="","",IF(AND(ISNUMBER($G168),$G168&lt;=IF($S168=MesCiclo,InicioCiclo,$S168+MOD(2-WEEKDAY($S168),7))+6),1,IF(ISNUMBER($I168),$I168,0)))</f>
        <v/>
      </c>
      <c r="Z168" s="62">
        <f>IF($V168="","",IF(AND(ISNUMBER($G168),$G168&lt;=IF($S168=MesCiclo,InicioCiclo,$S168+MOD(2-WEEKDAY($S168),7))+13),1,IF(ISNUMBER($J168),$J168,$Y168)))</f>
        <v/>
      </c>
      <c r="AA168" s="62">
        <f>IF($V168="","",IF(AND(ISNUMBER($G168),$G168&lt;=IF($S168=MesCiclo,InicioCiclo,$S168+MOD(2-WEEKDAY($S168),7))+20),1,IF(ISNUMBER($K168),$K168,$Z168)))</f>
        <v/>
      </c>
      <c r="AB168" s="62">
        <f>IF($V168="","",IF(AND(ISNUMBER($G168),$G168&lt;=IF($S168=MesCiclo,InicioCiclo,$S168+MOD(2-WEEKDAY($S168),7))+27),1,IF(ISNUMBER($L168),$L168,$AA168)))</f>
        <v/>
      </c>
      <c r="AC168" s="62">
        <f>IF($V168="","",IF(AND(ISNUMBER($G168),$G168&lt;=IF($S168=MesCiclo,InicioCiclo,$S168+MOD(2-WEEKDAY($S168),7))+6),1,IF(N($W168)&gt;0,AVERAGEIFS($Y$5:$Y$1000,$U$5:$U$1000,ROW(),$V$5:$V$1000,"Sub"),$Y168)))</f>
        <v/>
      </c>
      <c r="AD168" s="62">
        <f>IF($V168="","",IF(AND(ISNUMBER($G168),$G168&lt;=IF($S168=MesCiclo,InicioCiclo,$S168+MOD(2-WEEKDAY($S168),7))+13),1,IF(N($W168)&gt;0,AVERAGEIFS($Z$5:$Z$1000,$U$5:$U$1000,ROW(),$V$5:$V$1000,"Sub"),$Z168)))</f>
        <v/>
      </c>
      <c r="AE168" s="62">
        <f>IF($V168="","",IF(AND(ISNUMBER($G168),$G168&lt;=IF($S168=MesCiclo,InicioCiclo,$S168+MOD(2-WEEKDAY($S168),7))+20),1,IF(N($W168)&gt;0,AVERAGEIFS($AA$5:$AA$1000,$U$5:$U$1000,ROW(),$V$5:$V$1000,"Sub"),$AA168)))</f>
        <v/>
      </c>
      <c r="AF168" s="62">
        <f>IF($V168="","",IF(AND(ISNUMBER($G168),$G168&lt;=IF($S168=MesCiclo,InicioCiclo,$S168+MOD(2-WEEKDAY($S168),7))+27),1,IF(N($W168)&gt;0,AVERAGEIFS($AB$5:$AB$1000,$U$5:$U$1000,ROW(),$V$5:$V$1000,"Sub"),$AB168)))</f>
        <v/>
      </c>
      <c r="AG168" s="62">
        <f>IF($V168&lt;&gt;"Macro","",IF(COUNTIFS($S$5:$S$1000,$S168,$V$5:$V$1000,"Macro",$H$5:$H$1000,"&gt;0")=0,1/COUNTIFS($S$5:$S$1000,$S168,$V$5:$V$1000,"Macro"),IF(AND(ISNUMBER($H168),N($H168)&gt;0),$H168,SUMIFS($H$5:$H$1000,$S$5:$S$1000,$S168,$V$5:$V$1000,"Macro")/COUNTIFS($S$5:$S$1000,$S168,$V$5:$V$1000,"Macro",$H$5:$H$1000,"&gt;0"))/(COUNTIFS($S$5:$S$1000,$S168,$V$5:$V$1000,"Macro")*SUMIFS($H$5:$H$1000,$S$5:$S$1000,$S168,$V$5:$V$1000,"Macro")/COUNTIFS($S$5:$S$1000,$S168,$V$5:$V$1000,"Macro",$H$5:$H$1000,"&gt;0"))))</f>
        <v/>
      </c>
      <c r="AH168" s="62" t="n"/>
      <c r="AI168" s="62" t="n"/>
      <c r="AJ168" s="62" t="n"/>
      <c r="AK168" s="62" t="n"/>
      <c r="AL168" s="62">
        <f>IF(LEFT($C168,11)="[Jefatura] ",IFERROR(MATCH("Riesgo Operacional|"&amp;MID($C168,12,500),rDname_ADM,0),0),"")</f>
        <v/>
      </c>
      <c r="AM168" s="62">
        <f>IF(N($AL168)&gt;0,INDEX(rIni_ADM,$AL168),IF(ISNUMBER($E168),$E168,""))</f>
        <v/>
      </c>
      <c r="AN168" s="62">
        <f>IF(N($AL168)&gt;0,INDEX(rLim_ADM,$AL168),IF(ISNUMBER($F168),$F168,""))</f>
        <v/>
      </c>
    </row>
    <row r="169">
      <c r="A169" s="56">
        <f>IF(NOT((COUNTA($B169:$D169)+COUNTA($G169:$L169)+COUNTA($Q169))&gt;0),"",IF($V169="Macro",COUNTIFS($V$5:$V169,"Macro",$S$5:$S169,$S169),IF(N($U169)=0,"?",COUNTIFS(INDEX($V$5:$V$1000,1):INDEX($V$5:$V$1000,$U169-4),"Macro",INDEX($S$5:$S$1000,1):INDEX($S$5:$S$1000,$U169-4),INDEX($S$5:$S$1000,$U169-4))&amp;"."&amp;COUNTIFS($U$5:$U169,$U169,$V$5:$V169,"Sub"))))</f>
        <v/>
      </c>
      <c r="B169" s="57" t="n"/>
      <c r="C169" s="58" t="n"/>
      <c r="D169" s="58" t="n"/>
      <c r="E169" s="59">
        <f>IF(N($AL169)&gt;0,INDEX(rIni_ADM,$AL169),"")</f>
        <v/>
      </c>
      <c r="F169" s="59">
        <f>IF(N($AL169)&gt;0,INDEX(rLim_ADM,$AL169),"")</f>
        <v/>
      </c>
      <c r="G169" s="59" t="n"/>
      <c r="H169" s="60" t="n"/>
      <c r="I169" s="60" t="n"/>
      <c r="J169" s="60" t="n"/>
      <c r="K169" s="60" t="n"/>
      <c r="L169" s="60" t="n"/>
      <c r="M169" s="61">
        <f>IF(NOT((COUNTA($B169:$D169)+COUNTA($G169:$L169)+COUNTA($Q169))&gt;0),"",IF($V169="Sub",IFERROR($X169/INDEX($W$5:$W$1000,$U169-4),""),IF(ISNUMBER($G169),1,IF(N($W169)&gt;0,AVERAGEIFS($X$5:$X$1000,$U$5:$U$1000,ROW(),$V$5:$V$1000,"Sub"),$X169))))</f>
        <v/>
      </c>
      <c r="N169" s="56">
        <f>IF(OR($M169="",$V169="Sub"),"",IF($M169&gt;=1,"Completado",IF($M169&gt;0,"En curso","Pendiente")))</f>
        <v/>
      </c>
      <c r="O169" s="56">
        <f>IF(OR(NOT((COUNTA($B169:$D169)+COUNTA($G169:$L169)+COUNTA($Q169))&gt;0),$V169="Sub"),"",IF(ISNUMBER($G169),IF(AND(ISNUMBER($AN169),$G169&gt;$AN169),"Cumplida con "&amp;($G169-$AN169)&amp;IF($G169-$AN169=1," día"," días")&amp;" de retraso","Cumplida"),IF(N($M169)&gt;=1,"Cumplida",IF(NOT(ISNUMBER($AN169)),"Sin fecha límite",IF($AN169&lt;FechaRef,"Vencida hace "&amp;(FechaRef-$AN169)&amp;IF(FechaRef-$AN169=1," día"," días"),IF($AN169=FechaRef,"Vence hoy",IF($AN169-FechaRef&lt;=DiasAlerta,"Vence en "&amp;($AN169-FechaRef)&amp;IF($AN169-FechaRef=1," día"," días"),"En plazo")))))))</f>
        <v/>
      </c>
      <c r="P169" s="62" t="n"/>
      <c r="Q169" s="58" t="n"/>
      <c r="R169" s="63">
        <f>IF(NOT((COUNTA($B169:$D169)+COUNTA($G169:$L169)+COUNTA($Q169))&gt;0),"",IF((IF($C169="","Falta el nombre de la actividad"&amp;" · ","")&amp;IF(AND($V169="Sub",N($U169)=0),"Subactividad sin macroactividad arriba"&amp;" · ","")&amp;IF($AM169="","Sin fecha de inicio"&amp;" · ","")&amp;IF($AN169="","Sin fecha límite"&amp;" · ","")&amp;IF(AND(LEFT($C169,11)="[Jefatura] ",N($AL169)=0),"No se encuentra en la hoja de la jefatura (elíjala de nuevo en la lista)"&amp;" · ","")&amp;IF(OR(AND($E169&lt;&gt;"",NOT(ISNUMBER($E169))),AND($F169&lt;&gt;"",NOT(ISNUMBER($F169))),AND($G169&lt;&gt;"",NOT(ISNUMBER($G169)))),"Fecha no válida"&amp;" · ","")&amp;IF(AND(ISNUMBER($AM169),ISNUMBER($AN169),$AM169&gt;$AN169),"Inicio posterior a fecha límite"&amp;" · ","")&amp;IF(AND($V169="Macro",$H169&lt;&gt;"",OR(NOT(ISNUMBER($H169)),$H169&lt;0,$H169&gt;1)),"Peso fuera de rango"&amp;" · ","")&amp;IF(AND($V169="Sub",$H169&lt;&gt;""),"Las subactividades no llevan peso (valen igual dentro de su macroactividad)"&amp;" · ","")&amp;IF(AND(N($W169)&gt;0,COUNT($I169:$L169)&gt;0),"Con subactividades: deje vacías las semanas (se calculan solas)"&amp;" · ","")&amp;IF((COUNTIF($I169:$L169,"&gt;1")+COUNTIF($I169:$L169,"&lt;0")+COUNTA($I169:$L169)-COUNT($I169:$L169))&gt;0,"Avance fuera de rango 0-100%"&amp;" · ","")&amp;IF(OR(AND($J169&lt;&gt;"",$J169&lt;$I169),AND($K169&lt;&gt;"",$K169&lt;MAX($I169:$J169)),AND($L169&lt;&gt;"",$L169&lt;MAX($I169:$K169))),"Avance semanal decreciente"&amp;" · ","")&amp;IF(AND(ISNUMBER($AN169),$AN169&lt;FechaRef,IF($V169="Sub",N($X169),N($M169))&lt;1),"Vencida"&amp;" · ","")&amp;IF(AND(ObsObligatoria="Sí",ISNUMBER($AN169),$AN169&lt;FechaRef,IF($V169="Sub",N($X169),N($M169))&lt;1,$Q169=""),"Vencida sin observación"&amp;" · ",""))="","✔ OK","⚠ "&amp;LEFT(IF($C169="","Falta el nombre de la actividad"&amp;" · ","")&amp;IF(AND($V169="Sub",N($U169)=0),"Subactividad sin macroactividad arriba"&amp;" · ","")&amp;IF($AM169="","Sin fecha de inicio"&amp;" · ","")&amp;IF($AN169="","Sin fecha límite"&amp;" · ","")&amp;IF(AND(LEFT($C169,11)="[Jefatura] ",N($AL169)=0),"No se encuentra en la hoja de la jefatura (elíjala de nuevo en la lista)"&amp;" · ","")&amp;IF(OR(AND($E169&lt;&gt;"",NOT(ISNUMBER($E169))),AND($F169&lt;&gt;"",NOT(ISNUMBER($F169))),AND($G169&lt;&gt;"",NOT(ISNUMBER($G169)))),"Fecha no válida"&amp;" · ","")&amp;IF(AND(ISNUMBER($AM169),ISNUMBER($AN169),$AM169&gt;$AN169),"Inicio posterior a fecha límite"&amp;" · ","")&amp;IF(AND($V169="Macro",$H169&lt;&gt;"",OR(NOT(ISNUMBER($H169)),$H169&lt;0,$H169&gt;1)),"Peso fuera de rango"&amp;" · ","")&amp;IF(AND($V169="Sub",$H169&lt;&gt;""),"Las subactividades no llevan peso (valen igual dentro de su macroactividad)"&amp;" · ","")&amp;IF(AND(N($W169)&gt;0,COUNT($I169:$L169)&gt;0),"Con subactividades: deje vacías las semanas (se calculan solas)"&amp;" · ","")&amp;IF((COUNTIF($I169:$L169,"&gt;1")+COUNTIF($I169:$L169,"&lt;0")+COUNTA($I169:$L169)-COUNT($I169:$L169))&gt;0,"Avance fuera de rango 0-100%"&amp;" · ","")&amp;IF(OR(AND($J169&lt;&gt;"",$J169&lt;$I169),AND($K169&lt;&gt;"",$K169&lt;MAX($I169:$J169)),AND($L169&lt;&gt;"",$L169&lt;MAX($I169:$K169))),"Avance semanal decreciente"&amp;" · ","")&amp;IF(AND(ISNUMBER($AN169),$AN169&lt;FechaRef,IF($V169="Sub",N($X169),N($M169))&lt;1),"Vencida"&amp;" · ","")&amp;IF(AND(ObsObligatoria="Sí",ISNUMBER($AN169),$AN169&lt;FechaRef,IF($V169="Sub",N($X169),N($M169))&lt;1,$Q169=""),"Vencida sin observación"&amp;" · ",""),LEN(IF($C169="","Falta el nombre de la actividad"&amp;" · ","")&amp;IF(AND($V169="Sub",N($U169)=0),"Subactividad sin macroactividad arriba"&amp;" · ","")&amp;IF($AM169="","Sin fecha de inicio"&amp;" · ","")&amp;IF($AN169="","Sin fecha límite"&amp;" · ","")&amp;IF(AND(LEFT($C169,11)="[Jefatura] ",N($AL169)=0),"No se encuentra en la hoja de la jefatura (elíjala de nuevo en la lista)"&amp;" · ","")&amp;IF(OR(AND($E169&lt;&gt;"",NOT(ISNUMBER($E169))),AND($F169&lt;&gt;"",NOT(ISNUMBER($F169))),AND($G169&lt;&gt;"",NOT(ISNUMBER($G169)))),"Fecha no válida"&amp;" · ","")&amp;IF(AND(ISNUMBER($AM169),ISNUMBER($AN169),$AM169&gt;$AN169),"Inicio posterior a fecha límite"&amp;" · ","")&amp;IF(AND($V169="Macro",$H169&lt;&gt;"",OR(NOT(ISNUMBER($H169)),$H169&lt;0,$H169&gt;1)),"Peso fuera de rango"&amp;" · ","")&amp;IF(AND($V169="Sub",$H169&lt;&gt;""),"Las subactividades no llevan peso (valen igual dentro de su macroactividad)"&amp;" · ","")&amp;IF(AND(N($W169)&gt;0,COUNT($I169:$L169)&gt;0),"Con subactividades: deje vacías las semanas (se calculan solas)"&amp;" · ","")&amp;IF((COUNTIF($I169:$L169,"&gt;1")+COUNTIF($I169:$L169,"&lt;0")+COUNTA($I169:$L169)-COUNT($I169:$L169))&gt;0,"Avance fuera de rango 0-100%"&amp;" · ","")&amp;IF(OR(AND($J169&lt;&gt;"",$J169&lt;$I169),AND($K169&lt;&gt;"",$K169&lt;MAX($I169:$J169)),AND($L169&lt;&gt;"",$L169&lt;MAX($I169:$K169))),"Avance semanal decreciente"&amp;" · ","")&amp;IF(AND(ISNUMBER($AN169),$AN169&lt;FechaRef,IF($V169="Sub",N($X169),N($M169))&lt;1),"Vencida"&amp;" · ","")&amp;IF(AND(ObsObligatoria="Sí",ISNUMBER($AN169),$AN169&lt;FechaRef,IF($V169="Sub",N($X169),N($M169))&lt;1,$Q169=""),"Vencida sin observación"&amp;" · ",""))-3)))</f>
        <v/>
      </c>
      <c r="S169" s="64">
        <f>IF(NOT((COUNTA($B169:$D169)+COUNTA($G169:$L169)+COUNTA($Q169))&gt;0),"",IF(AND($V169="Sub",N($U169)&gt;0),IF(ISNUMBER(INDEX($AM$5:$AM$1000,$U169-4)),DATE(YEAR(INDEX($AM$5:$AM$1000,$U169-4)),MONTH(INDEX($AM$5:$AM$1000,$U169-4)),1),IF(ISNUMBER(INDEX($AN$5:$AN$1000,$U169-4)),DATE(YEAR(INDEX($AN$5:$AN$1000,$U169-4)),MONTH(INDEX($AN$5:$AN$1000,$U169-4)),1),MesCiclo)),IF(ISNUMBER($AM169),DATE(YEAR($AM169),MONTH($AM169),1),IF(ISNUMBER($AN169),DATE(YEAR($AN169),MONTH($AN169),1),MesCiclo))))</f>
        <v/>
      </c>
      <c r="T169" s="62">
        <f>IF(OR($S169="",$S169&lt;&gt;MesCiclo,$V169&lt;&gt;"Macro"),"",COUNTIFS($S$5:$S169,MesCiclo,$V$5:$V169,"Macro"))</f>
        <v/>
      </c>
      <c r="U169" s="62">
        <f>IF($V169="","",IF($V169="Macro",ROW(),IFERROR(LOOKUP(2,1/($V$5:$V169="Macro"),ROW($V$5:$V169)),0)))</f>
        <v/>
      </c>
      <c r="V169" s="62">
        <f>IF(NOT((COUNTA($B169:$D169)+COUNTA($G169:$L169)+COUNTA($Q169))&gt;0),"",IF($B169="Subactividad","Sub","Macro"))</f>
        <v/>
      </c>
      <c r="W169" s="62">
        <f>IF($V169="Macro",COUNTIFS($U$5:$U$1000,ROW(),$V$5:$V$1000,"Sub"),"")</f>
        <v/>
      </c>
      <c r="X169" s="62">
        <f>IF($V169="","",IF(ISNUMBER($G169),1,IFERROR(LOOKUP(2,1/($I169:$L169&lt;&gt;""),$I169:$L169),0)))</f>
        <v/>
      </c>
      <c r="Y169" s="62">
        <f>IF($V169="","",IF(AND(ISNUMBER($G169),$G169&lt;=IF($S169=MesCiclo,InicioCiclo,$S169+MOD(2-WEEKDAY($S169),7))+6),1,IF(ISNUMBER($I169),$I169,0)))</f>
        <v/>
      </c>
      <c r="Z169" s="62">
        <f>IF($V169="","",IF(AND(ISNUMBER($G169),$G169&lt;=IF($S169=MesCiclo,InicioCiclo,$S169+MOD(2-WEEKDAY($S169),7))+13),1,IF(ISNUMBER($J169),$J169,$Y169)))</f>
        <v/>
      </c>
      <c r="AA169" s="62">
        <f>IF($V169="","",IF(AND(ISNUMBER($G169),$G169&lt;=IF($S169=MesCiclo,InicioCiclo,$S169+MOD(2-WEEKDAY($S169),7))+20),1,IF(ISNUMBER($K169),$K169,$Z169)))</f>
        <v/>
      </c>
      <c r="AB169" s="62">
        <f>IF($V169="","",IF(AND(ISNUMBER($G169),$G169&lt;=IF($S169=MesCiclo,InicioCiclo,$S169+MOD(2-WEEKDAY($S169),7))+27),1,IF(ISNUMBER($L169),$L169,$AA169)))</f>
        <v/>
      </c>
      <c r="AC169" s="62">
        <f>IF($V169="","",IF(AND(ISNUMBER($G169),$G169&lt;=IF($S169=MesCiclo,InicioCiclo,$S169+MOD(2-WEEKDAY($S169),7))+6),1,IF(N($W169)&gt;0,AVERAGEIFS($Y$5:$Y$1000,$U$5:$U$1000,ROW(),$V$5:$V$1000,"Sub"),$Y169)))</f>
        <v/>
      </c>
      <c r="AD169" s="62">
        <f>IF($V169="","",IF(AND(ISNUMBER($G169),$G169&lt;=IF($S169=MesCiclo,InicioCiclo,$S169+MOD(2-WEEKDAY($S169),7))+13),1,IF(N($W169)&gt;0,AVERAGEIFS($Z$5:$Z$1000,$U$5:$U$1000,ROW(),$V$5:$V$1000,"Sub"),$Z169)))</f>
        <v/>
      </c>
      <c r="AE169" s="62">
        <f>IF($V169="","",IF(AND(ISNUMBER($G169),$G169&lt;=IF($S169=MesCiclo,InicioCiclo,$S169+MOD(2-WEEKDAY($S169),7))+20),1,IF(N($W169)&gt;0,AVERAGEIFS($AA$5:$AA$1000,$U$5:$U$1000,ROW(),$V$5:$V$1000,"Sub"),$AA169)))</f>
        <v/>
      </c>
      <c r="AF169" s="62">
        <f>IF($V169="","",IF(AND(ISNUMBER($G169),$G169&lt;=IF($S169=MesCiclo,InicioCiclo,$S169+MOD(2-WEEKDAY($S169),7))+27),1,IF(N($W169)&gt;0,AVERAGEIFS($AB$5:$AB$1000,$U$5:$U$1000,ROW(),$V$5:$V$1000,"Sub"),$AB169)))</f>
        <v/>
      </c>
      <c r="AG169" s="62">
        <f>IF($V169&lt;&gt;"Macro","",IF(COUNTIFS($S$5:$S$1000,$S169,$V$5:$V$1000,"Macro",$H$5:$H$1000,"&gt;0")=0,1/COUNTIFS($S$5:$S$1000,$S169,$V$5:$V$1000,"Macro"),IF(AND(ISNUMBER($H169),N($H169)&gt;0),$H169,SUMIFS($H$5:$H$1000,$S$5:$S$1000,$S169,$V$5:$V$1000,"Macro")/COUNTIFS($S$5:$S$1000,$S169,$V$5:$V$1000,"Macro",$H$5:$H$1000,"&gt;0"))/(COUNTIFS($S$5:$S$1000,$S169,$V$5:$V$1000,"Macro")*SUMIFS($H$5:$H$1000,$S$5:$S$1000,$S169,$V$5:$V$1000,"Macro")/COUNTIFS($S$5:$S$1000,$S169,$V$5:$V$1000,"Macro",$H$5:$H$1000,"&gt;0"))))</f>
        <v/>
      </c>
      <c r="AH169" s="62" t="n"/>
      <c r="AI169" s="62" t="n"/>
      <c r="AJ169" s="62" t="n"/>
      <c r="AK169" s="62" t="n"/>
      <c r="AL169" s="62">
        <f>IF(LEFT($C169,11)="[Jefatura] ",IFERROR(MATCH("Riesgo Operacional|"&amp;MID($C169,12,500),rDname_ADM,0),0),"")</f>
        <v/>
      </c>
      <c r="AM169" s="62">
        <f>IF(N($AL169)&gt;0,INDEX(rIni_ADM,$AL169),IF(ISNUMBER($E169),$E169,""))</f>
        <v/>
      </c>
      <c r="AN169" s="62">
        <f>IF(N($AL169)&gt;0,INDEX(rLim_ADM,$AL169),IF(ISNUMBER($F169),$F169,""))</f>
        <v/>
      </c>
    </row>
    <row r="170">
      <c r="A170" s="56">
        <f>IF(NOT((COUNTA($B170:$D170)+COUNTA($G170:$L170)+COUNTA($Q170))&gt;0),"",IF($V170="Macro",COUNTIFS($V$5:$V170,"Macro",$S$5:$S170,$S170),IF(N($U170)=0,"?",COUNTIFS(INDEX($V$5:$V$1000,1):INDEX($V$5:$V$1000,$U170-4),"Macro",INDEX($S$5:$S$1000,1):INDEX($S$5:$S$1000,$U170-4),INDEX($S$5:$S$1000,$U170-4))&amp;"."&amp;COUNTIFS($U$5:$U170,$U170,$V$5:$V170,"Sub"))))</f>
        <v/>
      </c>
      <c r="B170" s="57" t="n"/>
      <c r="C170" s="58" t="n"/>
      <c r="D170" s="58" t="n"/>
      <c r="E170" s="59">
        <f>IF(N($AL170)&gt;0,INDEX(rIni_ADM,$AL170),"")</f>
        <v/>
      </c>
      <c r="F170" s="59">
        <f>IF(N($AL170)&gt;0,INDEX(rLim_ADM,$AL170),"")</f>
        <v/>
      </c>
      <c r="G170" s="59" t="n"/>
      <c r="H170" s="60" t="n"/>
      <c r="I170" s="60" t="n"/>
      <c r="J170" s="60" t="n"/>
      <c r="K170" s="60" t="n"/>
      <c r="L170" s="60" t="n"/>
      <c r="M170" s="61">
        <f>IF(NOT((COUNTA($B170:$D170)+COUNTA($G170:$L170)+COUNTA($Q170))&gt;0),"",IF($V170="Sub",IFERROR($X170/INDEX($W$5:$W$1000,$U170-4),""),IF(ISNUMBER($G170),1,IF(N($W170)&gt;0,AVERAGEIFS($X$5:$X$1000,$U$5:$U$1000,ROW(),$V$5:$V$1000,"Sub"),$X170))))</f>
        <v/>
      </c>
      <c r="N170" s="56">
        <f>IF(OR($M170="",$V170="Sub"),"",IF($M170&gt;=1,"Completado",IF($M170&gt;0,"En curso","Pendiente")))</f>
        <v/>
      </c>
      <c r="O170" s="56">
        <f>IF(OR(NOT((COUNTA($B170:$D170)+COUNTA($G170:$L170)+COUNTA($Q170))&gt;0),$V170="Sub"),"",IF(ISNUMBER($G170),IF(AND(ISNUMBER($AN170),$G170&gt;$AN170),"Cumplida con "&amp;($G170-$AN170)&amp;IF($G170-$AN170=1," día"," días")&amp;" de retraso","Cumplida"),IF(N($M170)&gt;=1,"Cumplida",IF(NOT(ISNUMBER($AN170)),"Sin fecha límite",IF($AN170&lt;FechaRef,"Vencida hace "&amp;(FechaRef-$AN170)&amp;IF(FechaRef-$AN170=1," día"," días"),IF($AN170=FechaRef,"Vence hoy",IF($AN170-FechaRef&lt;=DiasAlerta,"Vence en "&amp;($AN170-FechaRef)&amp;IF($AN170-FechaRef=1," día"," días"),"En plazo")))))))</f>
        <v/>
      </c>
      <c r="P170" s="62" t="n"/>
      <c r="Q170" s="58" t="n"/>
      <c r="R170" s="63">
        <f>IF(NOT((COUNTA($B170:$D170)+COUNTA($G170:$L170)+COUNTA($Q170))&gt;0),"",IF((IF($C170="","Falta el nombre de la actividad"&amp;" · ","")&amp;IF(AND($V170="Sub",N($U170)=0),"Subactividad sin macroactividad arriba"&amp;" · ","")&amp;IF($AM170="","Sin fecha de inicio"&amp;" · ","")&amp;IF($AN170="","Sin fecha límite"&amp;" · ","")&amp;IF(AND(LEFT($C170,11)="[Jefatura] ",N($AL170)=0),"No se encuentra en la hoja de la jefatura (elíjala de nuevo en la lista)"&amp;" · ","")&amp;IF(OR(AND($E170&lt;&gt;"",NOT(ISNUMBER($E170))),AND($F170&lt;&gt;"",NOT(ISNUMBER($F170))),AND($G170&lt;&gt;"",NOT(ISNUMBER($G170)))),"Fecha no válida"&amp;" · ","")&amp;IF(AND(ISNUMBER($AM170),ISNUMBER($AN170),$AM170&gt;$AN170),"Inicio posterior a fecha límite"&amp;" · ","")&amp;IF(AND($V170="Macro",$H170&lt;&gt;"",OR(NOT(ISNUMBER($H170)),$H170&lt;0,$H170&gt;1)),"Peso fuera de rango"&amp;" · ","")&amp;IF(AND($V170="Sub",$H170&lt;&gt;""),"Las subactividades no llevan peso (valen igual dentro de su macroactividad)"&amp;" · ","")&amp;IF(AND(N($W170)&gt;0,COUNT($I170:$L170)&gt;0),"Con subactividades: deje vacías las semanas (se calculan solas)"&amp;" · ","")&amp;IF((COUNTIF($I170:$L170,"&gt;1")+COUNTIF($I170:$L170,"&lt;0")+COUNTA($I170:$L170)-COUNT($I170:$L170))&gt;0,"Avance fuera de rango 0-100%"&amp;" · ","")&amp;IF(OR(AND($J170&lt;&gt;"",$J170&lt;$I170),AND($K170&lt;&gt;"",$K170&lt;MAX($I170:$J170)),AND($L170&lt;&gt;"",$L170&lt;MAX($I170:$K170))),"Avance semanal decreciente"&amp;" · ","")&amp;IF(AND(ISNUMBER($AN170),$AN170&lt;FechaRef,IF($V170="Sub",N($X170),N($M170))&lt;1),"Vencida"&amp;" · ","")&amp;IF(AND(ObsObligatoria="Sí",ISNUMBER($AN170),$AN170&lt;FechaRef,IF($V170="Sub",N($X170),N($M170))&lt;1,$Q170=""),"Vencida sin observación"&amp;" · ",""))="","✔ OK","⚠ "&amp;LEFT(IF($C170="","Falta el nombre de la actividad"&amp;" · ","")&amp;IF(AND($V170="Sub",N($U170)=0),"Subactividad sin macroactividad arriba"&amp;" · ","")&amp;IF($AM170="","Sin fecha de inicio"&amp;" · ","")&amp;IF($AN170="","Sin fecha límite"&amp;" · ","")&amp;IF(AND(LEFT($C170,11)="[Jefatura] ",N($AL170)=0),"No se encuentra en la hoja de la jefatura (elíjala de nuevo en la lista)"&amp;" · ","")&amp;IF(OR(AND($E170&lt;&gt;"",NOT(ISNUMBER($E170))),AND($F170&lt;&gt;"",NOT(ISNUMBER($F170))),AND($G170&lt;&gt;"",NOT(ISNUMBER($G170)))),"Fecha no válida"&amp;" · ","")&amp;IF(AND(ISNUMBER($AM170),ISNUMBER($AN170),$AM170&gt;$AN170),"Inicio posterior a fecha límite"&amp;" · ","")&amp;IF(AND($V170="Macro",$H170&lt;&gt;"",OR(NOT(ISNUMBER($H170)),$H170&lt;0,$H170&gt;1)),"Peso fuera de rango"&amp;" · ","")&amp;IF(AND($V170="Sub",$H170&lt;&gt;""),"Las subactividades no llevan peso (valen igual dentro de su macroactividad)"&amp;" · ","")&amp;IF(AND(N($W170)&gt;0,COUNT($I170:$L170)&gt;0),"Con subactividades: deje vacías las semanas (se calculan solas)"&amp;" · ","")&amp;IF((COUNTIF($I170:$L170,"&gt;1")+COUNTIF($I170:$L170,"&lt;0")+COUNTA($I170:$L170)-COUNT($I170:$L170))&gt;0,"Avance fuera de rango 0-100%"&amp;" · ","")&amp;IF(OR(AND($J170&lt;&gt;"",$J170&lt;$I170),AND($K170&lt;&gt;"",$K170&lt;MAX($I170:$J170)),AND($L170&lt;&gt;"",$L170&lt;MAX($I170:$K170))),"Avance semanal decreciente"&amp;" · ","")&amp;IF(AND(ISNUMBER($AN170),$AN170&lt;FechaRef,IF($V170="Sub",N($X170),N($M170))&lt;1),"Vencida"&amp;" · ","")&amp;IF(AND(ObsObligatoria="Sí",ISNUMBER($AN170),$AN170&lt;FechaRef,IF($V170="Sub",N($X170),N($M170))&lt;1,$Q170=""),"Vencida sin observación"&amp;" · ",""),LEN(IF($C170="","Falta el nombre de la actividad"&amp;" · ","")&amp;IF(AND($V170="Sub",N($U170)=0),"Subactividad sin macroactividad arriba"&amp;" · ","")&amp;IF($AM170="","Sin fecha de inicio"&amp;" · ","")&amp;IF($AN170="","Sin fecha límite"&amp;" · ","")&amp;IF(AND(LEFT($C170,11)="[Jefatura] ",N($AL170)=0),"No se encuentra en la hoja de la jefatura (elíjala de nuevo en la lista)"&amp;" · ","")&amp;IF(OR(AND($E170&lt;&gt;"",NOT(ISNUMBER($E170))),AND($F170&lt;&gt;"",NOT(ISNUMBER($F170))),AND($G170&lt;&gt;"",NOT(ISNUMBER($G170)))),"Fecha no válida"&amp;" · ","")&amp;IF(AND(ISNUMBER($AM170),ISNUMBER($AN170),$AM170&gt;$AN170),"Inicio posterior a fecha límite"&amp;" · ","")&amp;IF(AND($V170="Macro",$H170&lt;&gt;"",OR(NOT(ISNUMBER($H170)),$H170&lt;0,$H170&gt;1)),"Peso fuera de rango"&amp;" · ","")&amp;IF(AND($V170="Sub",$H170&lt;&gt;""),"Las subactividades no llevan peso (valen igual dentro de su macroactividad)"&amp;" · ","")&amp;IF(AND(N($W170)&gt;0,COUNT($I170:$L170)&gt;0),"Con subactividades: deje vacías las semanas (se calculan solas)"&amp;" · ","")&amp;IF((COUNTIF($I170:$L170,"&gt;1")+COUNTIF($I170:$L170,"&lt;0")+COUNTA($I170:$L170)-COUNT($I170:$L170))&gt;0,"Avance fuera de rango 0-100%"&amp;" · ","")&amp;IF(OR(AND($J170&lt;&gt;"",$J170&lt;$I170),AND($K170&lt;&gt;"",$K170&lt;MAX($I170:$J170)),AND($L170&lt;&gt;"",$L170&lt;MAX($I170:$K170))),"Avance semanal decreciente"&amp;" · ","")&amp;IF(AND(ISNUMBER($AN170),$AN170&lt;FechaRef,IF($V170="Sub",N($X170),N($M170))&lt;1),"Vencida"&amp;" · ","")&amp;IF(AND(ObsObligatoria="Sí",ISNUMBER($AN170),$AN170&lt;FechaRef,IF($V170="Sub",N($X170),N($M170))&lt;1,$Q170=""),"Vencida sin observación"&amp;" · ",""))-3)))</f>
        <v/>
      </c>
      <c r="S170" s="64">
        <f>IF(NOT((COUNTA($B170:$D170)+COUNTA($G170:$L170)+COUNTA($Q170))&gt;0),"",IF(AND($V170="Sub",N($U170)&gt;0),IF(ISNUMBER(INDEX($AM$5:$AM$1000,$U170-4)),DATE(YEAR(INDEX($AM$5:$AM$1000,$U170-4)),MONTH(INDEX($AM$5:$AM$1000,$U170-4)),1),IF(ISNUMBER(INDEX($AN$5:$AN$1000,$U170-4)),DATE(YEAR(INDEX($AN$5:$AN$1000,$U170-4)),MONTH(INDEX($AN$5:$AN$1000,$U170-4)),1),MesCiclo)),IF(ISNUMBER($AM170),DATE(YEAR($AM170),MONTH($AM170),1),IF(ISNUMBER($AN170),DATE(YEAR($AN170),MONTH($AN170),1),MesCiclo))))</f>
        <v/>
      </c>
      <c r="T170" s="62">
        <f>IF(OR($S170="",$S170&lt;&gt;MesCiclo,$V170&lt;&gt;"Macro"),"",COUNTIFS($S$5:$S170,MesCiclo,$V$5:$V170,"Macro"))</f>
        <v/>
      </c>
      <c r="U170" s="62">
        <f>IF($V170="","",IF($V170="Macro",ROW(),IFERROR(LOOKUP(2,1/($V$5:$V170="Macro"),ROW($V$5:$V170)),0)))</f>
        <v/>
      </c>
      <c r="V170" s="62">
        <f>IF(NOT((COUNTA($B170:$D170)+COUNTA($G170:$L170)+COUNTA($Q170))&gt;0),"",IF($B170="Subactividad","Sub","Macro"))</f>
        <v/>
      </c>
      <c r="W170" s="62">
        <f>IF($V170="Macro",COUNTIFS($U$5:$U$1000,ROW(),$V$5:$V$1000,"Sub"),"")</f>
        <v/>
      </c>
      <c r="X170" s="62">
        <f>IF($V170="","",IF(ISNUMBER($G170),1,IFERROR(LOOKUP(2,1/($I170:$L170&lt;&gt;""),$I170:$L170),0)))</f>
        <v/>
      </c>
      <c r="Y170" s="62">
        <f>IF($V170="","",IF(AND(ISNUMBER($G170),$G170&lt;=IF($S170=MesCiclo,InicioCiclo,$S170+MOD(2-WEEKDAY($S170),7))+6),1,IF(ISNUMBER($I170),$I170,0)))</f>
        <v/>
      </c>
      <c r="Z170" s="62">
        <f>IF($V170="","",IF(AND(ISNUMBER($G170),$G170&lt;=IF($S170=MesCiclo,InicioCiclo,$S170+MOD(2-WEEKDAY($S170),7))+13),1,IF(ISNUMBER($J170),$J170,$Y170)))</f>
        <v/>
      </c>
      <c r="AA170" s="62">
        <f>IF($V170="","",IF(AND(ISNUMBER($G170),$G170&lt;=IF($S170=MesCiclo,InicioCiclo,$S170+MOD(2-WEEKDAY($S170),7))+20),1,IF(ISNUMBER($K170),$K170,$Z170)))</f>
        <v/>
      </c>
      <c r="AB170" s="62">
        <f>IF($V170="","",IF(AND(ISNUMBER($G170),$G170&lt;=IF($S170=MesCiclo,InicioCiclo,$S170+MOD(2-WEEKDAY($S170),7))+27),1,IF(ISNUMBER($L170),$L170,$AA170)))</f>
        <v/>
      </c>
      <c r="AC170" s="62">
        <f>IF($V170="","",IF(AND(ISNUMBER($G170),$G170&lt;=IF($S170=MesCiclo,InicioCiclo,$S170+MOD(2-WEEKDAY($S170),7))+6),1,IF(N($W170)&gt;0,AVERAGEIFS($Y$5:$Y$1000,$U$5:$U$1000,ROW(),$V$5:$V$1000,"Sub"),$Y170)))</f>
        <v/>
      </c>
      <c r="AD170" s="62">
        <f>IF($V170="","",IF(AND(ISNUMBER($G170),$G170&lt;=IF($S170=MesCiclo,InicioCiclo,$S170+MOD(2-WEEKDAY($S170),7))+13),1,IF(N($W170)&gt;0,AVERAGEIFS($Z$5:$Z$1000,$U$5:$U$1000,ROW(),$V$5:$V$1000,"Sub"),$Z170)))</f>
        <v/>
      </c>
      <c r="AE170" s="62">
        <f>IF($V170="","",IF(AND(ISNUMBER($G170),$G170&lt;=IF($S170=MesCiclo,InicioCiclo,$S170+MOD(2-WEEKDAY($S170),7))+20),1,IF(N($W170)&gt;0,AVERAGEIFS($AA$5:$AA$1000,$U$5:$U$1000,ROW(),$V$5:$V$1000,"Sub"),$AA170)))</f>
        <v/>
      </c>
      <c r="AF170" s="62">
        <f>IF($V170="","",IF(AND(ISNUMBER($G170),$G170&lt;=IF($S170=MesCiclo,InicioCiclo,$S170+MOD(2-WEEKDAY($S170),7))+27),1,IF(N($W170)&gt;0,AVERAGEIFS($AB$5:$AB$1000,$U$5:$U$1000,ROW(),$V$5:$V$1000,"Sub"),$AB170)))</f>
        <v/>
      </c>
      <c r="AG170" s="62">
        <f>IF($V170&lt;&gt;"Macro","",IF(COUNTIFS($S$5:$S$1000,$S170,$V$5:$V$1000,"Macro",$H$5:$H$1000,"&gt;0")=0,1/COUNTIFS($S$5:$S$1000,$S170,$V$5:$V$1000,"Macro"),IF(AND(ISNUMBER($H170),N($H170)&gt;0),$H170,SUMIFS($H$5:$H$1000,$S$5:$S$1000,$S170,$V$5:$V$1000,"Macro")/COUNTIFS($S$5:$S$1000,$S170,$V$5:$V$1000,"Macro",$H$5:$H$1000,"&gt;0"))/(COUNTIFS($S$5:$S$1000,$S170,$V$5:$V$1000,"Macro")*SUMIFS($H$5:$H$1000,$S$5:$S$1000,$S170,$V$5:$V$1000,"Macro")/COUNTIFS($S$5:$S$1000,$S170,$V$5:$V$1000,"Macro",$H$5:$H$1000,"&gt;0"))))</f>
        <v/>
      </c>
      <c r="AH170" s="62" t="n"/>
      <c r="AI170" s="62" t="n"/>
      <c r="AJ170" s="62" t="n"/>
      <c r="AK170" s="62" t="n"/>
      <c r="AL170" s="62">
        <f>IF(LEFT($C170,11)="[Jefatura] ",IFERROR(MATCH("Riesgo Operacional|"&amp;MID($C170,12,500),rDname_ADM,0),0),"")</f>
        <v/>
      </c>
      <c r="AM170" s="62">
        <f>IF(N($AL170)&gt;0,INDEX(rIni_ADM,$AL170),IF(ISNUMBER($E170),$E170,""))</f>
        <v/>
      </c>
      <c r="AN170" s="62">
        <f>IF(N($AL170)&gt;0,INDEX(rLim_ADM,$AL170),IF(ISNUMBER($F170),$F170,""))</f>
        <v/>
      </c>
    </row>
    <row r="171">
      <c r="A171" s="56">
        <f>IF(NOT((COUNTA($B171:$D171)+COUNTA($G171:$L171)+COUNTA($Q171))&gt;0),"",IF($V171="Macro",COUNTIFS($V$5:$V171,"Macro",$S$5:$S171,$S171),IF(N($U171)=0,"?",COUNTIFS(INDEX($V$5:$V$1000,1):INDEX($V$5:$V$1000,$U171-4),"Macro",INDEX($S$5:$S$1000,1):INDEX($S$5:$S$1000,$U171-4),INDEX($S$5:$S$1000,$U171-4))&amp;"."&amp;COUNTIFS($U$5:$U171,$U171,$V$5:$V171,"Sub"))))</f>
        <v/>
      </c>
      <c r="B171" s="57" t="n"/>
      <c r="C171" s="58" t="n"/>
      <c r="D171" s="58" t="n"/>
      <c r="E171" s="59">
        <f>IF(N($AL171)&gt;0,INDEX(rIni_ADM,$AL171),"")</f>
        <v/>
      </c>
      <c r="F171" s="59">
        <f>IF(N($AL171)&gt;0,INDEX(rLim_ADM,$AL171),"")</f>
        <v/>
      </c>
      <c r="G171" s="59" t="n"/>
      <c r="H171" s="60" t="n"/>
      <c r="I171" s="60" t="n"/>
      <c r="J171" s="60" t="n"/>
      <c r="K171" s="60" t="n"/>
      <c r="L171" s="60" t="n"/>
      <c r="M171" s="61">
        <f>IF(NOT((COUNTA($B171:$D171)+COUNTA($G171:$L171)+COUNTA($Q171))&gt;0),"",IF($V171="Sub",IFERROR($X171/INDEX($W$5:$W$1000,$U171-4),""),IF(ISNUMBER($G171),1,IF(N($W171)&gt;0,AVERAGEIFS($X$5:$X$1000,$U$5:$U$1000,ROW(),$V$5:$V$1000,"Sub"),$X171))))</f>
        <v/>
      </c>
      <c r="N171" s="56">
        <f>IF(OR($M171="",$V171="Sub"),"",IF($M171&gt;=1,"Completado",IF($M171&gt;0,"En curso","Pendiente")))</f>
        <v/>
      </c>
      <c r="O171" s="56">
        <f>IF(OR(NOT((COUNTA($B171:$D171)+COUNTA($G171:$L171)+COUNTA($Q171))&gt;0),$V171="Sub"),"",IF(ISNUMBER($G171),IF(AND(ISNUMBER($AN171),$G171&gt;$AN171),"Cumplida con "&amp;($G171-$AN171)&amp;IF($G171-$AN171=1," día"," días")&amp;" de retraso","Cumplida"),IF(N($M171)&gt;=1,"Cumplida",IF(NOT(ISNUMBER($AN171)),"Sin fecha límite",IF($AN171&lt;FechaRef,"Vencida hace "&amp;(FechaRef-$AN171)&amp;IF(FechaRef-$AN171=1," día"," días"),IF($AN171=FechaRef,"Vence hoy",IF($AN171-FechaRef&lt;=DiasAlerta,"Vence en "&amp;($AN171-FechaRef)&amp;IF($AN171-FechaRef=1," día"," días"),"En plazo")))))))</f>
        <v/>
      </c>
      <c r="P171" s="62" t="n"/>
      <c r="Q171" s="58" t="n"/>
      <c r="R171" s="63">
        <f>IF(NOT((COUNTA($B171:$D171)+COUNTA($G171:$L171)+COUNTA($Q171))&gt;0),"",IF((IF($C171="","Falta el nombre de la actividad"&amp;" · ","")&amp;IF(AND($V171="Sub",N($U171)=0),"Subactividad sin macroactividad arriba"&amp;" · ","")&amp;IF($AM171="","Sin fecha de inicio"&amp;" · ","")&amp;IF($AN171="","Sin fecha límite"&amp;" · ","")&amp;IF(AND(LEFT($C171,11)="[Jefatura] ",N($AL171)=0),"No se encuentra en la hoja de la jefatura (elíjala de nuevo en la lista)"&amp;" · ","")&amp;IF(OR(AND($E171&lt;&gt;"",NOT(ISNUMBER($E171))),AND($F171&lt;&gt;"",NOT(ISNUMBER($F171))),AND($G171&lt;&gt;"",NOT(ISNUMBER($G171)))),"Fecha no válida"&amp;" · ","")&amp;IF(AND(ISNUMBER($AM171),ISNUMBER($AN171),$AM171&gt;$AN171),"Inicio posterior a fecha límite"&amp;" · ","")&amp;IF(AND($V171="Macro",$H171&lt;&gt;"",OR(NOT(ISNUMBER($H171)),$H171&lt;0,$H171&gt;1)),"Peso fuera de rango"&amp;" · ","")&amp;IF(AND($V171="Sub",$H171&lt;&gt;""),"Las subactividades no llevan peso (valen igual dentro de su macroactividad)"&amp;" · ","")&amp;IF(AND(N($W171)&gt;0,COUNT($I171:$L171)&gt;0),"Con subactividades: deje vacías las semanas (se calculan solas)"&amp;" · ","")&amp;IF((COUNTIF($I171:$L171,"&gt;1")+COUNTIF($I171:$L171,"&lt;0")+COUNTA($I171:$L171)-COUNT($I171:$L171))&gt;0,"Avance fuera de rango 0-100%"&amp;" · ","")&amp;IF(OR(AND($J171&lt;&gt;"",$J171&lt;$I171),AND($K171&lt;&gt;"",$K171&lt;MAX($I171:$J171)),AND($L171&lt;&gt;"",$L171&lt;MAX($I171:$K171))),"Avance semanal decreciente"&amp;" · ","")&amp;IF(AND(ISNUMBER($AN171),$AN171&lt;FechaRef,IF($V171="Sub",N($X171),N($M171))&lt;1),"Vencida"&amp;" · ","")&amp;IF(AND(ObsObligatoria="Sí",ISNUMBER($AN171),$AN171&lt;FechaRef,IF($V171="Sub",N($X171),N($M171))&lt;1,$Q171=""),"Vencida sin observación"&amp;" · ",""))="","✔ OK","⚠ "&amp;LEFT(IF($C171="","Falta el nombre de la actividad"&amp;" · ","")&amp;IF(AND($V171="Sub",N($U171)=0),"Subactividad sin macroactividad arriba"&amp;" · ","")&amp;IF($AM171="","Sin fecha de inicio"&amp;" · ","")&amp;IF($AN171="","Sin fecha límite"&amp;" · ","")&amp;IF(AND(LEFT($C171,11)="[Jefatura] ",N($AL171)=0),"No se encuentra en la hoja de la jefatura (elíjala de nuevo en la lista)"&amp;" · ","")&amp;IF(OR(AND($E171&lt;&gt;"",NOT(ISNUMBER($E171))),AND($F171&lt;&gt;"",NOT(ISNUMBER($F171))),AND($G171&lt;&gt;"",NOT(ISNUMBER($G171)))),"Fecha no válida"&amp;" · ","")&amp;IF(AND(ISNUMBER($AM171),ISNUMBER($AN171),$AM171&gt;$AN171),"Inicio posterior a fecha límite"&amp;" · ","")&amp;IF(AND($V171="Macro",$H171&lt;&gt;"",OR(NOT(ISNUMBER($H171)),$H171&lt;0,$H171&gt;1)),"Peso fuera de rango"&amp;" · ","")&amp;IF(AND($V171="Sub",$H171&lt;&gt;""),"Las subactividades no llevan peso (valen igual dentro de su macroactividad)"&amp;" · ","")&amp;IF(AND(N($W171)&gt;0,COUNT($I171:$L171)&gt;0),"Con subactividades: deje vacías las semanas (se calculan solas)"&amp;" · ","")&amp;IF((COUNTIF($I171:$L171,"&gt;1")+COUNTIF($I171:$L171,"&lt;0")+COUNTA($I171:$L171)-COUNT($I171:$L171))&gt;0,"Avance fuera de rango 0-100%"&amp;" · ","")&amp;IF(OR(AND($J171&lt;&gt;"",$J171&lt;$I171),AND($K171&lt;&gt;"",$K171&lt;MAX($I171:$J171)),AND($L171&lt;&gt;"",$L171&lt;MAX($I171:$K171))),"Avance semanal decreciente"&amp;" · ","")&amp;IF(AND(ISNUMBER($AN171),$AN171&lt;FechaRef,IF($V171="Sub",N($X171),N($M171))&lt;1),"Vencida"&amp;" · ","")&amp;IF(AND(ObsObligatoria="Sí",ISNUMBER($AN171),$AN171&lt;FechaRef,IF($V171="Sub",N($X171),N($M171))&lt;1,$Q171=""),"Vencida sin observación"&amp;" · ",""),LEN(IF($C171="","Falta el nombre de la actividad"&amp;" · ","")&amp;IF(AND($V171="Sub",N($U171)=0),"Subactividad sin macroactividad arriba"&amp;" · ","")&amp;IF($AM171="","Sin fecha de inicio"&amp;" · ","")&amp;IF($AN171="","Sin fecha límite"&amp;" · ","")&amp;IF(AND(LEFT($C171,11)="[Jefatura] ",N($AL171)=0),"No se encuentra en la hoja de la jefatura (elíjala de nuevo en la lista)"&amp;" · ","")&amp;IF(OR(AND($E171&lt;&gt;"",NOT(ISNUMBER($E171))),AND($F171&lt;&gt;"",NOT(ISNUMBER($F171))),AND($G171&lt;&gt;"",NOT(ISNUMBER($G171)))),"Fecha no válida"&amp;" · ","")&amp;IF(AND(ISNUMBER($AM171),ISNUMBER($AN171),$AM171&gt;$AN171),"Inicio posterior a fecha límite"&amp;" · ","")&amp;IF(AND($V171="Macro",$H171&lt;&gt;"",OR(NOT(ISNUMBER($H171)),$H171&lt;0,$H171&gt;1)),"Peso fuera de rango"&amp;" · ","")&amp;IF(AND($V171="Sub",$H171&lt;&gt;""),"Las subactividades no llevan peso (valen igual dentro de su macroactividad)"&amp;" · ","")&amp;IF(AND(N($W171)&gt;0,COUNT($I171:$L171)&gt;0),"Con subactividades: deje vacías las semanas (se calculan solas)"&amp;" · ","")&amp;IF((COUNTIF($I171:$L171,"&gt;1")+COUNTIF($I171:$L171,"&lt;0")+COUNTA($I171:$L171)-COUNT($I171:$L171))&gt;0,"Avance fuera de rango 0-100%"&amp;" · ","")&amp;IF(OR(AND($J171&lt;&gt;"",$J171&lt;$I171),AND($K171&lt;&gt;"",$K171&lt;MAX($I171:$J171)),AND($L171&lt;&gt;"",$L171&lt;MAX($I171:$K171))),"Avance semanal decreciente"&amp;" · ","")&amp;IF(AND(ISNUMBER($AN171),$AN171&lt;FechaRef,IF($V171="Sub",N($X171),N($M171))&lt;1),"Vencida"&amp;" · ","")&amp;IF(AND(ObsObligatoria="Sí",ISNUMBER($AN171),$AN171&lt;FechaRef,IF($V171="Sub",N($X171),N($M171))&lt;1,$Q171=""),"Vencida sin observación"&amp;" · ",""))-3)))</f>
        <v/>
      </c>
      <c r="S171" s="64">
        <f>IF(NOT((COUNTA($B171:$D171)+COUNTA($G171:$L171)+COUNTA($Q171))&gt;0),"",IF(AND($V171="Sub",N($U171)&gt;0),IF(ISNUMBER(INDEX($AM$5:$AM$1000,$U171-4)),DATE(YEAR(INDEX($AM$5:$AM$1000,$U171-4)),MONTH(INDEX($AM$5:$AM$1000,$U171-4)),1),IF(ISNUMBER(INDEX($AN$5:$AN$1000,$U171-4)),DATE(YEAR(INDEX($AN$5:$AN$1000,$U171-4)),MONTH(INDEX($AN$5:$AN$1000,$U171-4)),1),MesCiclo)),IF(ISNUMBER($AM171),DATE(YEAR($AM171),MONTH($AM171),1),IF(ISNUMBER($AN171),DATE(YEAR($AN171),MONTH($AN171),1),MesCiclo))))</f>
        <v/>
      </c>
      <c r="T171" s="62">
        <f>IF(OR($S171="",$S171&lt;&gt;MesCiclo,$V171&lt;&gt;"Macro"),"",COUNTIFS($S$5:$S171,MesCiclo,$V$5:$V171,"Macro"))</f>
        <v/>
      </c>
      <c r="U171" s="62">
        <f>IF($V171="","",IF($V171="Macro",ROW(),IFERROR(LOOKUP(2,1/($V$5:$V171="Macro"),ROW($V$5:$V171)),0)))</f>
        <v/>
      </c>
      <c r="V171" s="62">
        <f>IF(NOT((COUNTA($B171:$D171)+COUNTA($G171:$L171)+COUNTA($Q171))&gt;0),"",IF($B171="Subactividad","Sub","Macro"))</f>
        <v/>
      </c>
      <c r="W171" s="62">
        <f>IF($V171="Macro",COUNTIFS($U$5:$U$1000,ROW(),$V$5:$V$1000,"Sub"),"")</f>
        <v/>
      </c>
      <c r="X171" s="62">
        <f>IF($V171="","",IF(ISNUMBER($G171),1,IFERROR(LOOKUP(2,1/($I171:$L171&lt;&gt;""),$I171:$L171),0)))</f>
        <v/>
      </c>
      <c r="Y171" s="62">
        <f>IF($V171="","",IF(AND(ISNUMBER($G171),$G171&lt;=IF($S171=MesCiclo,InicioCiclo,$S171+MOD(2-WEEKDAY($S171),7))+6),1,IF(ISNUMBER($I171),$I171,0)))</f>
        <v/>
      </c>
      <c r="Z171" s="62">
        <f>IF($V171="","",IF(AND(ISNUMBER($G171),$G171&lt;=IF($S171=MesCiclo,InicioCiclo,$S171+MOD(2-WEEKDAY($S171),7))+13),1,IF(ISNUMBER($J171),$J171,$Y171)))</f>
        <v/>
      </c>
      <c r="AA171" s="62">
        <f>IF($V171="","",IF(AND(ISNUMBER($G171),$G171&lt;=IF($S171=MesCiclo,InicioCiclo,$S171+MOD(2-WEEKDAY($S171),7))+20),1,IF(ISNUMBER($K171),$K171,$Z171)))</f>
        <v/>
      </c>
      <c r="AB171" s="62">
        <f>IF($V171="","",IF(AND(ISNUMBER($G171),$G171&lt;=IF($S171=MesCiclo,InicioCiclo,$S171+MOD(2-WEEKDAY($S171),7))+27),1,IF(ISNUMBER($L171),$L171,$AA171)))</f>
        <v/>
      </c>
      <c r="AC171" s="62">
        <f>IF($V171="","",IF(AND(ISNUMBER($G171),$G171&lt;=IF($S171=MesCiclo,InicioCiclo,$S171+MOD(2-WEEKDAY($S171),7))+6),1,IF(N($W171)&gt;0,AVERAGEIFS($Y$5:$Y$1000,$U$5:$U$1000,ROW(),$V$5:$V$1000,"Sub"),$Y171)))</f>
        <v/>
      </c>
      <c r="AD171" s="62">
        <f>IF($V171="","",IF(AND(ISNUMBER($G171),$G171&lt;=IF($S171=MesCiclo,InicioCiclo,$S171+MOD(2-WEEKDAY($S171),7))+13),1,IF(N($W171)&gt;0,AVERAGEIFS($Z$5:$Z$1000,$U$5:$U$1000,ROW(),$V$5:$V$1000,"Sub"),$Z171)))</f>
        <v/>
      </c>
      <c r="AE171" s="62">
        <f>IF($V171="","",IF(AND(ISNUMBER($G171),$G171&lt;=IF($S171=MesCiclo,InicioCiclo,$S171+MOD(2-WEEKDAY($S171),7))+20),1,IF(N($W171)&gt;0,AVERAGEIFS($AA$5:$AA$1000,$U$5:$U$1000,ROW(),$V$5:$V$1000,"Sub"),$AA171)))</f>
        <v/>
      </c>
      <c r="AF171" s="62">
        <f>IF($V171="","",IF(AND(ISNUMBER($G171),$G171&lt;=IF($S171=MesCiclo,InicioCiclo,$S171+MOD(2-WEEKDAY($S171),7))+27),1,IF(N($W171)&gt;0,AVERAGEIFS($AB$5:$AB$1000,$U$5:$U$1000,ROW(),$V$5:$V$1000,"Sub"),$AB171)))</f>
        <v/>
      </c>
      <c r="AG171" s="62">
        <f>IF($V171&lt;&gt;"Macro","",IF(COUNTIFS($S$5:$S$1000,$S171,$V$5:$V$1000,"Macro",$H$5:$H$1000,"&gt;0")=0,1/COUNTIFS($S$5:$S$1000,$S171,$V$5:$V$1000,"Macro"),IF(AND(ISNUMBER($H171),N($H171)&gt;0),$H171,SUMIFS($H$5:$H$1000,$S$5:$S$1000,$S171,$V$5:$V$1000,"Macro")/COUNTIFS($S$5:$S$1000,$S171,$V$5:$V$1000,"Macro",$H$5:$H$1000,"&gt;0"))/(COUNTIFS($S$5:$S$1000,$S171,$V$5:$V$1000,"Macro")*SUMIFS($H$5:$H$1000,$S$5:$S$1000,$S171,$V$5:$V$1000,"Macro")/COUNTIFS($S$5:$S$1000,$S171,$V$5:$V$1000,"Macro",$H$5:$H$1000,"&gt;0"))))</f>
        <v/>
      </c>
      <c r="AH171" s="62" t="n"/>
      <c r="AI171" s="62" t="n"/>
      <c r="AJ171" s="62" t="n"/>
      <c r="AK171" s="62" t="n"/>
      <c r="AL171" s="62">
        <f>IF(LEFT($C171,11)="[Jefatura] ",IFERROR(MATCH("Riesgo Operacional|"&amp;MID($C171,12,500),rDname_ADM,0),0),"")</f>
        <v/>
      </c>
      <c r="AM171" s="62">
        <f>IF(N($AL171)&gt;0,INDEX(rIni_ADM,$AL171),IF(ISNUMBER($E171),$E171,""))</f>
        <v/>
      </c>
      <c r="AN171" s="62">
        <f>IF(N($AL171)&gt;0,INDEX(rLim_ADM,$AL171),IF(ISNUMBER($F171),$F171,""))</f>
        <v/>
      </c>
    </row>
    <row r="172">
      <c r="A172" s="56">
        <f>IF(NOT((COUNTA($B172:$D172)+COUNTA($G172:$L172)+COUNTA($Q172))&gt;0),"",IF($V172="Macro",COUNTIFS($V$5:$V172,"Macro",$S$5:$S172,$S172),IF(N($U172)=0,"?",COUNTIFS(INDEX($V$5:$V$1000,1):INDEX($V$5:$V$1000,$U172-4),"Macro",INDEX($S$5:$S$1000,1):INDEX($S$5:$S$1000,$U172-4),INDEX($S$5:$S$1000,$U172-4))&amp;"."&amp;COUNTIFS($U$5:$U172,$U172,$V$5:$V172,"Sub"))))</f>
        <v/>
      </c>
      <c r="B172" s="57" t="n"/>
      <c r="C172" s="58" t="n"/>
      <c r="D172" s="58" t="n"/>
      <c r="E172" s="59">
        <f>IF(N($AL172)&gt;0,INDEX(rIni_ADM,$AL172),"")</f>
        <v/>
      </c>
      <c r="F172" s="59">
        <f>IF(N($AL172)&gt;0,INDEX(rLim_ADM,$AL172),"")</f>
        <v/>
      </c>
      <c r="G172" s="59" t="n"/>
      <c r="H172" s="60" t="n"/>
      <c r="I172" s="60" t="n"/>
      <c r="J172" s="60" t="n"/>
      <c r="K172" s="60" t="n"/>
      <c r="L172" s="60" t="n"/>
      <c r="M172" s="61">
        <f>IF(NOT((COUNTA($B172:$D172)+COUNTA($G172:$L172)+COUNTA($Q172))&gt;0),"",IF($V172="Sub",IFERROR($X172/INDEX($W$5:$W$1000,$U172-4),""),IF(ISNUMBER($G172),1,IF(N($W172)&gt;0,AVERAGEIFS($X$5:$X$1000,$U$5:$U$1000,ROW(),$V$5:$V$1000,"Sub"),$X172))))</f>
        <v/>
      </c>
      <c r="N172" s="56">
        <f>IF(OR($M172="",$V172="Sub"),"",IF($M172&gt;=1,"Completado",IF($M172&gt;0,"En curso","Pendiente")))</f>
        <v/>
      </c>
      <c r="O172" s="56">
        <f>IF(OR(NOT((COUNTA($B172:$D172)+COUNTA($G172:$L172)+COUNTA($Q172))&gt;0),$V172="Sub"),"",IF(ISNUMBER($G172),IF(AND(ISNUMBER($AN172),$G172&gt;$AN172),"Cumplida con "&amp;($G172-$AN172)&amp;IF($G172-$AN172=1," día"," días")&amp;" de retraso","Cumplida"),IF(N($M172)&gt;=1,"Cumplida",IF(NOT(ISNUMBER($AN172)),"Sin fecha límite",IF($AN172&lt;FechaRef,"Vencida hace "&amp;(FechaRef-$AN172)&amp;IF(FechaRef-$AN172=1," día"," días"),IF($AN172=FechaRef,"Vence hoy",IF($AN172-FechaRef&lt;=DiasAlerta,"Vence en "&amp;($AN172-FechaRef)&amp;IF($AN172-FechaRef=1," día"," días"),"En plazo")))))))</f>
        <v/>
      </c>
      <c r="P172" s="62" t="n"/>
      <c r="Q172" s="58" t="n"/>
      <c r="R172" s="63">
        <f>IF(NOT((COUNTA($B172:$D172)+COUNTA($G172:$L172)+COUNTA($Q172))&gt;0),"",IF((IF($C172="","Falta el nombre de la actividad"&amp;" · ","")&amp;IF(AND($V172="Sub",N($U172)=0),"Subactividad sin macroactividad arriba"&amp;" · ","")&amp;IF($AM172="","Sin fecha de inicio"&amp;" · ","")&amp;IF($AN172="","Sin fecha límite"&amp;" · ","")&amp;IF(AND(LEFT($C172,11)="[Jefatura] ",N($AL172)=0),"No se encuentra en la hoja de la jefatura (elíjala de nuevo en la lista)"&amp;" · ","")&amp;IF(OR(AND($E172&lt;&gt;"",NOT(ISNUMBER($E172))),AND($F172&lt;&gt;"",NOT(ISNUMBER($F172))),AND($G172&lt;&gt;"",NOT(ISNUMBER($G172)))),"Fecha no válida"&amp;" · ","")&amp;IF(AND(ISNUMBER($AM172),ISNUMBER($AN172),$AM172&gt;$AN172),"Inicio posterior a fecha límite"&amp;" · ","")&amp;IF(AND($V172="Macro",$H172&lt;&gt;"",OR(NOT(ISNUMBER($H172)),$H172&lt;0,$H172&gt;1)),"Peso fuera de rango"&amp;" · ","")&amp;IF(AND($V172="Sub",$H172&lt;&gt;""),"Las subactividades no llevan peso (valen igual dentro de su macroactividad)"&amp;" · ","")&amp;IF(AND(N($W172)&gt;0,COUNT($I172:$L172)&gt;0),"Con subactividades: deje vacías las semanas (se calculan solas)"&amp;" · ","")&amp;IF((COUNTIF($I172:$L172,"&gt;1")+COUNTIF($I172:$L172,"&lt;0")+COUNTA($I172:$L172)-COUNT($I172:$L172))&gt;0,"Avance fuera de rango 0-100%"&amp;" · ","")&amp;IF(OR(AND($J172&lt;&gt;"",$J172&lt;$I172),AND($K172&lt;&gt;"",$K172&lt;MAX($I172:$J172)),AND($L172&lt;&gt;"",$L172&lt;MAX($I172:$K172))),"Avance semanal decreciente"&amp;" · ","")&amp;IF(AND(ISNUMBER($AN172),$AN172&lt;FechaRef,IF($V172="Sub",N($X172),N($M172))&lt;1),"Vencida"&amp;" · ","")&amp;IF(AND(ObsObligatoria="Sí",ISNUMBER($AN172),$AN172&lt;FechaRef,IF($V172="Sub",N($X172),N($M172))&lt;1,$Q172=""),"Vencida sin observación"&amp;" · ",""))="","✔ OK","⚠ "&amp;LEFT(IF($C172="","Falta el nombre de la actividad"&amp;" · ","")&amp;IF(AND($V172="Sub",N($U172)=0),"Subactividad sin macroactividad arriba"&amp;" · ","")&amp;IF($AM172="","Sin fecha de inicio"&amp;" · ","")&amp;IF($AN172="","Sin fecha límite"&amp;" · ","")&amp;IF(AND(LEFT($C172,11)="[Jefatura] ",N($AL172)=0),"No se encuentra en la hoja de la jefatura (elíjala de nuevo en la lista)"&amp;" · ","")&amp;IF(OR(AND($E172&lt;&gt;"",NOT(ISNUMBER($E172))),AND($F172&lt;&gt;"",NOT(ISNUMBER($F172))),AND($G172&lt;&gt;"",NOT(ISNUMBER($G172)))),"Fecha no válida"&amp;" · ","")&amp;IF(AND(ISNUMBER($AM172),ISNUMBER($AN172),$AM172&gt;$AN172),"Inicio posterior a fecha límite"&amp;" · ","")&amp;IF(AND($V172="Macro",$H172&lt;&gt;"",OR(NOT(ISNUMBER($H172)),$H172&lt;0,$H172&gt;1)),"Peso fuera de rango"&amp;" · ","")&amp;IF(AND($V172="Sub",$H172&lt;&gt;""),"Las subactividades no llevan peso (valen igual dentro de su macroactividad)"&amp;" · ","")&amp;IF(AND(N($W172)&gt;0,COUNT($I172:$L172)&gt;0),"Con subactividades: deje vacías las semanas (se calculan solas)"&amp;" · ","")&amp;IF((COUNTIF($I172:$L172,"&gt;1")+COUNTIF($I172:$L172,"&lt;0")+COUNTA($I172:$L172)-COUNT($I172:$L172))&gt;0,"Avance fuera de rango 0-100%"&amp;" · ","")&amp;IF(OR(AND($J172&lt;&gt;"",$J172&lt;$I172),AND($K172&lt;&gt;"",$K172&lt;MAX($I172:$J172)),AND($L172&lt;&gt;"",$L172&lt;MAX($I172:$K172))),"Avance semanal decreciente"&amp;" · ","")&amp;IF(AND(ISNUMBER($AN172),$AN172&lt;FechaRef,IF($V172="Sub",N($X172),N($M172))&lt;1),"Vencida"&amp;" · ","")&amp;IF(AND(ObsObligatoria="Sí",ISNUMBER($AN172),$AN172&lt;FechaRef,IF($V172="Sub",N($X172),N($M172))&lt;1,$Q172=""),"Vencida sin observación"&amp;" · ",""),LEN(IF($C172="","Falta el nombre de la actividad"&amp;" · ","")&amp;IF(AND($V172="Sub",N($U172)=0),"Subactividad sin macroactividad arriba"&amp;" · ","")&amp;IF($AM172="","Sin fecha de inicio"&amp;" · ","")&amp;IF($AN172="","Sin fecha límite"&amp;" · ","")&amp;IF(AND(LEFT($C172,11)="[Jefatura] ",N($AL172)=0),"No se encuentra en la hoja de la jefatura (elíjala de nuevo en la lista)"&amp;" · ","")&amp;IF(OR(AND($E172&lt;&gt;"",NOT(ISNUMBER($E172))),AND($F172&lt;&gt;"",NOT(ISNUMBER($F172))),AND($G172&lt;&gt;"",NOT(ISNUMBER($G172)))),"Fecha no válida"&amp;" · ","")&amp;IF(AND(ISNUMBER($AM172),ISNUMBER($AN172),$AM172&gt;$AN172),"Inicio posterior a fecha límite"&amp;" · ","")&amp;IF(AND($V172="Macro",$H172&lt;&gt;"",OR(NOT(ISNUMBER($H172)),$H172&lt;0,$H172&gt;1)),"Peso fuera de rango"&amp;" · ","")&amp;IF(AND($V172="Sub",$H172&lt;&gt;""),"Las subactividades no llevan peso (valen igual dentro de su macroactividad)"&amp;" · ","")&amp;IF(AND(N($W172)&gt;0,COUNT($I172:$L172)&gt;0),"Con subactividades: deje vacías las semanas (se calculan solas)"&amp;" · ","")&amp;IF((COUNTIF($I172:$L172,"&gt;1")+COUNTIF($I172:$L172,"&lt;0")+COUNTA($I172:$L172)-COUNT($I172:$L172))&gt;0,"Avance fuera de rango 0-100%"&amp;" · ","")&amp;IF(OR(AND($J172&lt;&gt;"",$J172&lt;$I172),AND($K172&lt;&gt;"",$K172&lt;MAX($I172:$J172)),AND($L172&lt;&gt;"",$L172&lt;MAX($I172:$K172))),"Avance semanal decreciente"&amp;" · ","")&amp;IF(AND(ISNUMBER($AN172),$AN172&lt;FechaRef,IF($V172="Sub",N($X172),N($M172))&lt;1),"Vencida"&amp;" · ","")&amp;IF(AND(ObsObligatoria="Sí",ISNUMBER($AN172),$AN172&lt;FechaRef,IF($V172="Sub",N($X172),N($M172))&lt;1,$Q172=""),"Vencida sin observación"&amp;" · ",""))-3)))</f>
        <v/>
      </c>
      <c r="S172" s="64">
        <f>IF(NOT((COUNTA($B172:$D172)+COUNTA($G172:$L172)+COUNTA($Q172))&gt;0),"",IF(AND($V172="Sub",N($U172)&gt;0),IF(ISNUMBER(INDEX($AM$5:$AM$1000,$U172-4)),DATE(YEAR(INDEX($AM$5:$AM$1000,$U172-4)),MONTH(INDEX($AM$5:$AM$1000,$U172-4)),1),IF(ISNUMBER(INDEX($AN$5:$AN$1000,$U172-4)),DATE(YEAR(INDEX($AN$5:$AN$1000,$U172-4)),MONTH(INDEX($AN$5:$AN$1000,$U172-4)),1),MesCiclo)),IF(ISNUMBER($AM172),DATE(YEAR($AM172),MONTH($AM172),1),IF(ISNUMBER($AN172),DATE(YEAR($AN172),MONTH($AN172),1),MesCiclo))))</f>
        <v/>
      </c>
      <c r="T172" s="62">
        <f>IF(OR($S172="",$S172&lt;&gt;MesCiclo,$V172&lt;&gt;"Macro"),"",COUNTIFS($S$5:$S172,MesCiclo,$V$5:$V172,"Macro"))</f>
        <v/>
      </c>
      <c r="U172" s="62">
        <f>IF($V172="","",IF($V172="Macro",ROW(),IFERROR(LOOKUP(2,1/($V$5:$V172="Macro"),ROW($V$5:$V172)),0)))</f>
        <v/>
      </c>
      <c r="V172" s="62">
        <f>IF(NOT((COUNTA($B172:$D172)+COUNTA($G172:$L172)+COUNTA($Q172))&gt;0),"",IF($B172="Subactividad","Sub","Macro"))</f>
        <v/>
      </c>
      <c r="W172" s="62">
        <f>IF($V172="Macro",COUNTIFS($U$5:$U$1000,ROW(),$V$5:$V$1000,"Sub"),"")</f>
        <v/>
      </c>
      <c r="X172" s="62">
        <f>IF($V172="","",IF(ISNUMBER($G172),1,IFERROR(LOOKUP(2,1/($I172:$L172&lt;&gt;""),$I172:$L172),0)))</f>
        <v/>
      </c>
      <c r="Y172" s="62">
        <f>IF($V172="","",IF(AND(ISNUMBER($G172),$G172&lt;=IF($S172=MesCiclo,InicioCiclo,$S172+MOD(2-WEEKDAY($S172),7))+6),1,IF(ISNUMBER($I172),$I172,0)))</f>
        <v/>
      </c>
      <c r="Z172" s="62">
        <f>IF($V172="","",IF(AND(ISNUMBER($G172),$G172&lt;=IF($S172=MesCiclo,InicioCiclo,$S172+MOD(2-WEEKDAY($S172),7))+13),1,IF(ISNUMBER($J172),$J172,$Y172)))</f>
        <v/>
      </c>
      <c r="AA172" s="62">
        <f>IF($V172="","",IF(AND(ISNUMBER($G172),$G172&lt;=IF($S172=MesCiclo,InicioCiclo,$S172+MOD(2-WEEKDAY($S172),7))+20),1,IF(ISNUMBER($K172),$K172,$Z172)))</f>
        <v/>
      </c>
      <c r="AB172" s="62">
        <f>IF($V172="","",IF(AND(ISNUMBER($G172),$G172&lt;=IF($S172=MesCiclo,InicioCiclo,$S172+MOD(2-WEEKDAY($S172),7))+27),1,IF(ISNUMBER($L172),$L172,$AA172)))</f>
        <v/>
      </c>
      <c r="AC172" s="62">
        <f>IF($V172="","",IF(AND(ISNUMBER($G172),$G172&lt;=IF($S172=MesCiclo,InicioCiclo,$S172+MOD(2-WEEKDAY($S172),7))+6),1,IF(N($W172)&gt;0,AVERAGEIFS($Y$5:$Y$1000,$U$5:$U$1000,ROW(),$V$5:$V$1000,"Sub"),$Y172)))</f>
        <v/>
      </c>
      <c r="AD172" s="62">
        <f>IF($V172="","",IF(AND(ISNUMBER($G172),$G172&lt;=IF($S172=MesCiclo,InicioCiclo,$S172+MOD(2-WEEKDAY($S172),7))+13),1,IF(N($W172)&gt;0,AVERAGEIFS($Z$5:$Z$1000,$U$5:$U$1000,ROW(),$V$5:$V$1000,"Sub"),$Z172)))</f>
        <v/>
      </c>
      <c r="AE172" s="62">
        <f>IF($V172="","",IF(AND(ISNUMBER($G172),$G172&lt;=IF($S172=MesCiclo,InicioCiclo,$S172+MOD(2-WEEKDAY($S172),7))+20),1,IF(N($W172)&gt;0,AVERAGEIFS($AA$5:$AA$1000,$U$5:$U$1000,ROW(),$V$5:$V$1000,"Sub"),$AA172)))</f>
        <v/>
      </c>
      <c r="AF172" s="62">
        <f>IF($V172="","",IF(AND(ISNUMBER($G172),$G172&lt;=IF($S172=MesCiclo,InicioCiclo,$S172+MOD(2-WEEKDAY($S172),7))+27),1,IF(N($W172)&gt;0,AVERAGEIFS($AB$5:$AB$1000,$U$5:$U$1000,ROW(),$V$5:$V$1000,"Sub"),$AB172)))</f>
        <v/>
      </c>
      <c r="AG172" s="62">
        <f>IF($V172&lt;&gt;"Macro","",IF(COUNTIFS($S$5:$S$1000,$S172,$V$5:$V$1000,"Macro",$H$5:$H$1000,"&gt;0")=0,1/COUNTIFS($S$5:$S$1000,$S172,$V$5:$V$1000,"Macro"),IF(AND(ISNUMBER($H172),N($H172)&gt;0),$H172,SUMIFS($H$5:$H$1000,$S$5:$S$1000,$S172,$V$5:$V$1000,"Macro")/COUNTIFS($S$5:$S$1000,$S172,$V$5:$V$1000,"Macro",$H$5:$H$1000,"&gt;0"))/(COUNTIFS($S$5:$S$1000,$S172,$V$5:$V$1000,"Macro")*SUMIFS($H$5:$H$1000,$S$5:$S$1000,$S172,$V$5:$V$1000,"Macro")/COUNTIFS($S$5:$S$1000,$S172,$V$5:$V$1000,"Macro",$H$5:$H$1000,"&gt;0"))))</f>
        <v/>
      </c>
      <c r="AH172" s="62" t="n"/>
      <c r="AI172" s="62" t="n"/>
      <c r="AJ172" s="62" t="n"/>
      <c r="AK172" s="62" t="n"/>
      <c r="AL172" s="62">
        <f>IF(LEFT($C172,11)="[Jefatura] ",IFERROR(MATCH("Riesgo Operacional|"&amp;MID($C172,12,500),rDname_ADM,0),0),"")</f>
        <v/>
      </c>
      <c r="AM172" s="62">
        <f>IF(N($AL172)&gt;0,INDEX(rIni_ADM,$AL172),IF(ISNUMBER($E172),$E172,""))</f>
        <v/>
      </c>
      <c r="AN172" s="62">
        <f>IF(N($AL172)&gt;0,INDEX(rLim_ADM,$AL172),IF(ISNUMBER($F172),$F172,""))</f>
        <v/>
      </c>
    </row>
    <row r="173">
      <c r="A173" s="56">
        <f>IF(NOT((COUNTA($B173:$D173)+COUNTA($G173:$L173)+COUNTA($Q173))&gt;0),"",IF($V173="Macro",COUNTIFS($V$5:$V173,"Macro",$S$5:$S173,$S173),IF(N($U173)=0,"?",COUNTIFS(INDEX($V$5:$V$1000,1):INDEX($V$5:$V$1000,$U173-4),"Macro",INDEX($S$5:$S$1000,1):INDEX($S$5:$S$1000,$U173-4),INDEX($S$5:$S$1000,$U173-4))&amp;"."&amp;COUNTIFS($U$5:$U173,$U173,$V$5:$V173,"Sub"))))</f>
        <v/>
      </c>
      <c r="B173" s="57" t="n"/>
      <c r="C173" s="58" t="n"/>
      <c r="D173" s="58" t="n"/>
      <c r="E173" s="59">
        <f>IF(N($AL173)&gt;0,INDEX(rIni_ADM,$AL173),"")</f>
        <v/>
      </c>
      <c r="F173" s="59">
        <f>IF(N($AL173)&gt;0,INDEX(rLim_ADM,$AL173),"")</f>
        <v/>
      </c>
      <c r="G173" s="59" t="n"/>
      <c r="H173" s="60" t="n"/>
      <c r="I173" s="60" t="n"/>
      <c r="J173" s="60" t="n"/>
      <c r="K173" s="60" t="n"/>
      <c r="L173" s="60" t="n"/>
      <c r="M173" s="61">
        <f>IF(NOT((COUNTA($B173:$D173)+COUNTA($G173:$L173)+COUNTA($Q173))&gt;0),"",IF($V173="Sub",IFERROR($X173/INDEX($W$5:$W$1000,$U173-4),""),IF(ISNUMBER($G173),1,IF(N($W173)&gt;0,AVERAGEIFS($X$5:$X$1000,$U$5:$U$1000,ROW(),$V$5:$V$1000,"Sub"),$X173))))</f>
        <v/>
      </c>
      <c r="N173" s="56">
        <f>IF(OR($M173="",$V173="Sub"),"",IF($M173&gt;=1,"Completado",IF($M173&gt;0,"En curso","Pendiente")))</f>
        <v/>
      </c>
      <c r="O173" s="56">
        <f>IF(OR(NOT((COUNTA($B173:$D173)+COUNTA($G173:$L173)+COUNTA($Q173))&gt;0),$V173="Sub"),"",IF(ISNUMBER($G173),IF(AND(ISNUMBER($AN173),$G173&gt;$AN173),"Cumplida con "&amp;($G173-$AN173)&amp;IF($G173-$AN173=1," día"," días")&amp;" de retraso","Cumplida"),IF(N($M173)&gt;=1,"Cumplida",IF(NOT(ISNUMBER($AN173)),"Sin fecha límite",IF($AN173&lt;FechaRef,"Vencida hace "&amp;(FechaRef-$AN173)&amp;IF(FechaRef-$AN173=1," día"," días"),IF($AN173=FechaRef,"Vence hoy",IF($AN173-FechaRef&lt;=DiasAlerta,"Vence en "&amp;($AN173-FechaRef)&amp;IF($AN173-FechaRef=1," día"," días"),"En plazo")))))))</f>
        <v/>
      </c>
      <c r="P173" s="62" t="n"/>
      <c r="Q173" s="58" t="n"/>
      <c r="R173" s="63">
        <f>IF(NOT((COUNTA($B173:$D173)+COUNTA($G173:$L173)+COUNTA($Q173))&gt;0),"",IF((IF($C173="","Falta el nombre de la actividad"&amp;" · ","")&amp;IF(AND($V173="Sub",N($U173)=0),"Subactividad sin macroactividad arriba"&amp;" · ","")&amp;IF($AM173="","Sin fecha de inicio"&amp;" · ","")&amp;IF($AN173="","Sin fecha límite"&amp;" · ","")&amp;IF(AND(LEFT($C173,11)="[Jefatura] ",N($AL173)=0),"No se encuentra en la hoja de la jefatura (elíjala de nuevo en la lista)"&amp;" · ","")&amp;IF(OR(AND($E173&lt;&gt;"",NOT(ISNUMBER($E173))),AND($F173&lt;&gt;"",NOT(ISNUMBER($F173))),AND($G173&lt;&gt;"",NOT(ISNUMBER($G173)))),"Fecha no válida"&amp;" · ","")&amp;IF(AND(ISNUMBER($AM173),ISNUMBER($AN173),$AM173&gt;$AN173),"Inicio posterior a fecha límite"&amp;" · ","")&amp;IF(AND($V173="Macro",$H173&lt;&gt;"",OR(NOT(ISNUMBER($H173)),$H173&lt;0,$H173&gt;1)),"Peso fuera de rango"&amp;" · ","")&amp;IF(AND($V173="Sub",$H173&lt;&gt;""),"Las subactividades no llevan peso (valen igual dentro de su macroactividad)"&amp;" · ","")&amp;IF(AND(N($W173)&gt;0,COUNT($I173:$L173)&gt;0),"Con subactividades: deje vacías las semanas (se calculan solas)"&amp;" · ","")&amp;IF((COUNTIF($I173:$L173,"&gt;1")+COUNTIF($I173:$L173,"&lt;0")+COUNTA($I173:$L173)-COUNT($I173:$L173))&gt;0,"Avance fuera de rango 0-100%"&amp;" · ","")&amp;IF(OR(AND($J173&lt;&gt;"",$J173&lt;$I173),AND($K173&lt;&gt;"",$K173&lt;MAX($I173:$J173)),AND($L173&lt;&gt;"",$L173&lt;MAX($I173:$K173))),"Avance semanal decreciente"&amp;" · ","")&amp;IF(AND(ISNUMBER($AN173),$AN173&lt;FechaRef,IF($V173="Sub",N($X173),N($M173))&lt;1),"Vencida"&amp;" · ","")&amp;IF(AND(ObsObligatoria="Sí",ISNUMBER($AN173),$AN173&lt;FechaRef,IF($V173="Sub",N($X173),N($M173))&lt;1,$Q173=""),"Vencida sin observación"&amp;" · ",""))="","✔ OK","⚠ "&amp;LEFT(IF($C173="","Falta el nombre de la actividad"&amp;" · ","")&amp;IF(AND($V173="Sub",N($U173)=0),"Subactividad sin macroactividad arriba"&amp;" · ","")&amp;IF($AM173="","Sin fecha de inicio"&amp;" · ","")&amp;IF($AN173="","Sin fecha límite"&amp;" · ","")&amp;IF(AND(LEFT($C173,11)="[Jefatura] ",N($AL173)=0),"No se encuentra en la hoja de la jefatura (elíjala de nuevo en la lista)"&amp;" · ","")&amp;IF(OR(AND($E173&lt;&gt;"",NOT(ISNUMBER($E173))),AND($F173&lt;&gt;"",NOT(ISNUMBER($F173))),AND($G173&lt;&gt;"",NOT(ISNUMBER($G173)))),"Fecha no válida"&amp;" · ","")&amp;IF(AND(ISNUMBER($AM173),ISNUMBER($AN173),$AM173&gt;$AN173),"Inicio posterior a fecha límite"&amp;" · ","")&amp;IF(AND($V173="Macro",$H173&lt;&gt;"",OR(NOT(ISNUMBER($H173)),$H173&lt;0,$H173&gt;1)),"Peso fuera de rango"&amp;" · ","")&amp;IF(AND($V173="Sub",$H173&lt;&gt;""),"Las subactividades no llevan peso (valen igual dentro de su macroactividad)"&amp;" · ","")&amp;IF(AND(N($W173)&gt;0,COUNT($I173:$L173)&gt;0),"Con subactividades: deje vacías las semanas (se calculan solas)"&amp;" · ","")&amp;IF((COUNTIF($I173:$L173,"&gt;1")+COUNTIF($I173:$L173,"&lt;0")+COUNTA($I173:$L173)-COUNT($I173:$L173))&gt;0,"Avance fuera de rango 0-100%"&amp;" · ","")&amp;IF(OR(AND($J173&lt;&gt;"",$J173&lt;$I173),AND($K173&lt;&gt;"",$K173&lt;MAX($I173:$J173)),AND($L173&lt;&gt;"",$L173&lt;MAX($I173:$K173))),"Avance semanal decreciente"&amp;" · ","")&amp;IF(AND(ISNUMBER($AN173),$AN173&lt;FechaRef,IF($V173="Sub",N($X173),N($M173))&lt;1),"Vencida"&amp;" · ","")&amp;IF(AND(ObsObligatoria="Sí",ISNUMBER($AN173),$AN173&lt;FechaRef,IF($V173="Sub",N($X173),N($M173))&lt;1,$Q173=""),"Vencida sin observación"&amp;" · ",""),LEN(IF($C173="","Falta el nombre de la actividad"&amp;" · ","")&amp;IF(AND($V173="Sub",N($U173)=0),"Subactividad sin macroactividad arriba"&amp;" · ","")&amp;IF($AM173="","Sin fecha de inicio"&amp;" · ","")&amp;IF($AN173="","Sin fecha límite"&amp;" · ","")&amp;IF(AND(LEFT($C173,11)="[Jefatura] ",N($AL173)=0),"No se encuentra en la hoja de la jefatura (elíjala de nuevo en la lista)"&amp;" · ","")&amp;IF(OR(AND($E173&lt;&gt;"",NOT(ISNUMBER($E173))),AND($F173&lt;&gt;"",NOT(ISNUMBER($F173))),AND($G173&lt;&gt;"",NOT(ISNUMBER($G173)))),"Fecha no válida"&amp;" · ","")&amp;IF(AND(ISNUMBER($AM173),ISNUMBER($AN173),$AM173&gt;$AN173),"Inicio posterior a fecha límite"&amp;" · ","")&amp;IF(AND($V173="Macro",$H173&lt;&gt;"",OR(NOT(ISNUMBER($H173)),$H173&lt;0,$H173&gt;1)),"Peso fuera de rango"&amp;" · ","")&amp;IF(AND($V173="Sub",$H173&lt;&gt;""),"Las subactividades no llevan peso (valen igual dentro de su macroactividad)"&amp;" · ","")&amp;IF(AND(N($W173)&gt;0,COUNT($I173:$L173)&gt;0),"Con subactividades: deje vacías las semanas (se calculan solas)"&amp;" · ","")&amp;IF((COUNTIF($I173:$L173,"&gt;1")+COUNTIF($I173:$L173,"&lt;0")+COUNTA($I173:$L173)-COUNT($I173:$L173))&gt;0,"Avance fuera de rango 0-100%"&amp;" · ","")&amp;IF(OR(AND($J173&lt;&gt;"",$J173&lt;$I173),AND($K173&lt;&gt;"",$K173&lt;MAX($I173:$J173)),AND($L173&lt;&gt;"",$L173&lt;MAX($I173:$K173))),"Avance semanal decreciente"&amp;" · ","")&amp;IF(AND(ISNUMBER($AN173),$AN173&lt;FechaRef,IF($V173="Sub",N($X173),N($M173))&lt;1),"Vencida"&amp;" · ","")&amp;IF(AND(ObsObligatoria="Sí",ISNUMBER($AN173),$AN173&lt;FechaRef,IF($V173="Sub",N($X173),N($M173))&lt;1,$Q173=""),"Vencida sin observación"&amp;" · ",""))-3)))</f>
        <v/>
      </c>
      <c r="S173" s="64">
        <f>IF(NOT((COUNTA($B173:$D173)+COUNTA($G173:$L173)+COUNTA($Q173))&gt;0),"",IF(AND($V173="Sub",N($U173)&gt;0),IF(ISNUMBER(INDEX($AM$5:$AM$1000,$U173-4)),DATE(YEAR(INDEX($AM$5:$AM$1000,$U173-4)),MONTH(INDEX($AM$5:$AM$1000,$U173-4)),1),IF(ISNUMBER(INDEX($AN$5:$AN$1000,$U173-4)),DATE(YEAR(INDEX($AN$5:$AN$1000,$U173-4)),MONTH(INDEX($AN$5:$AN$1000,$U173-4)),1),MesCiclo)),IF(ISNUMBER($AM173),DATE(YEAR($AM173),MONTH($AM173),1),IF(ISNUMBER($AN173),DATE(YEAR($AN173),MONTH($AN173),1),MesCiclo))))</f>
        <v/>
      </c>
      <c r="T173" s="62">
        <f>IF(OR($S173="",$S173&lt;&gt;MesCiclo,$V173&lt;&gt;"Macro"),"",COUNTIFS($S$5:$S173,MesCiclo,$V$5:$V173,"Macro"))</f>
        <v/>
      </c>
      <c r="U173" s="62">
        <f>IF($V173="","",IF($V173="Macro",ROW(),IFERROR(LOOKUP(2,1/($V$5:$V173="Macro"),ROW($V$5:$V173)),0)))</f>
        <v/>
      </c>
      <c r="V173" s="62">
        <f>IF(NOT((COUNTA($B173:$D173)+COUNTA($G173:$L173)+COUNTA($Q173))&gt;0),"",IF($B173="Subactividad","Sub","Macro"))</f>
        <v/>
      </c>
      <c r="W173" s="62">
        <f>IF($V173="Macro",COUNTIFS($U$5:$U$1000,ROW(),$V$5:$V$1000,"Sub"),"")</f>
        <v/>
      </c>
      <c r="X173" s="62">
        <f>IF($V173="","",IF(ISNUMBER($G173),1,IFERROR(LOOKUP(2,1/($I173:$L173&lt;&gt;""),$I173:$L173),0)))</f>
        <v/>
      </c>
      <c r="Y173" s="62">
        <f>IF($V173="","",IF(AND(ISNUMBER($G173),$G173&lt;=IF($S173=MesCiclo,InicioCiclo,$S173+MOD(2-WEEKDAY($S173),7))+6),1,IF(ISNUMBER($I173),$I173,0)))</f>
        <v/>
      </c>
      <c r="Z173" s="62">
        <f>IF($V173="","",IF(AND(ISNUMBER($G173),$G173&lt;=IF($S173=MesCiclo,InicioCiclo,$S173+MOD(2-WEEKDAY($S173),7))+13),1,IF(ISNUMBER($J173),$J173,$Y173)))</f>
        <v/>
      </c>
      <c r="AA173" s="62">
        <f>IF($V173="","",IF(AND(ISNUMBER($G173),$G173&lt;=IF($S173=MesCiclo,InicioCiclo,$S173+MOD(2-WEEKDAY($S173),7))+20),1,IF(ISNUMBER($K173),$K173,$Z173)))</f>
        <v/>
      </c>
      <c r="AB173" s="62">
        <f>IF($V173="","",IF(AND(ISNUMBER($G173),$G173&lt;=IF($S173=MesCiclo,InicioCiclo,$S173+MOD(2-WEEKDAY($S173),7))+27),1,IF(ISNUMBER($L173),$L173,$AA173)))</f>
        <v/>
      </c>
      <c r="AC173" s="62">
        <f>IF($V173="","",IF(AND(ISNUMBER($G173),$G173&lt;=IF($S173=MesCiclo,InicioCiclo,$S173+MOD(2-WEEKDAY($S173),7))+6),1,IF(N($W173)&gt;0,AVERAGEIFS($Y$5:$Y$1000,$U$5:$U$1000,ROW(),$V$5:$V$1000,"Sub"),$Y173)))</f>
        <v/>
      </c>
      <c r="AD173" s="62">
        <f>IF($V173="","",IF(AND(ISNUMBER($G173),$G173&lt;=IF($S173=MesCiclo,InicioCiclo,$S173+MOD(2-WEEKDAY($S173),7))+13),1,IF(N($W173)&gt;0,AVERAGEIFS($Z$5:$Z$1000,$U$5:$U$1000,ROW(),$V$5:$V$1000,"Sub"),$Z173)))</f>
        <v/>
      </c>
      <c r="AE173" s="62">
        <f>IF($V173="","",IF(AND(ISNUMBER($G173),$G173&lt;=IF($S173=MesCiclo,InicioCiclo,$S173+MOD(2-WEEKDAY($S173),7))+20),1,IF(N($W173)&gt;0,AVERAGEIFS($AA$5:$AA$1000,$U$5:$U$1000,ROW(),$V$5:$V$1000,"Sub"),$AA173)))</f>
        <v/>
      </c>
      <c r="AF173" s="62">
        <f>IF($V173="","",IF(AND(ISNUMBER($G173),$G173&lt;=IF($S173=MesCiclo,InicioCiclo,$S173+MOD(2-WEEKDAY($S173),7))+27),1,IF(N($W173)&gt;0,AVERAGEIFS($AB$5:$AB$1000,$U$5:$U$1000,ROW(),$V$5:$V$1000,"Sub"),$AB173)))</f>
        <v/>
      </c>
      <c r="AG173" s="62">
        <f>IF($V173&lt;&gt;"Macro","",IF(COUNTIFS($S$5:$S$1000,$S173,$V$5:$V$1000,"Macro",$H$5:$H$1000,"&gt;0")=0,1/COUNTIFS($S$5:$S$1000,$S173,$V$5:$V$1000,"Macro"),IF(AND(ISNUMBER($H173),N($H173)&gt;0),$H173,SUMIFS($H$5:$H$1000,$S$5:$S$1000,$S173,$V$5:$V$1000,"Macro")/COUNTIFS($S$5:$S$1000,$S173,$V$5:$V$1000,"Macro",$H$5:$H$1000,"&gt;0"))/(COUNTIFS($S$5:$S$1000,$S173,$V$5:$V$1000,"Macro")*SUMIFS($H$5:$H$1000,$S$5:$S$1000,$S173,$V$5:$V$1000,"Macro")/COUNTIFS($S$5:$S$1000,$S173,$V$5:$V$1000,"Macro",$H$5:$H$1000,"&gt;0"))))</f>
        <v/>
      </c>
      <c r="AH173" s="62" t="n"/>
      <c r="AI173" s="62" t="n"/>
      <c r="AJ173" s="62" t="n"/>
      <c r="AK173" s="62" t="n"/>
      <c r="AL173" s="62">
        <f>IF(LEFT($C173,11)="[Jefatura] ",IFERROR(MATCH("Riesgo Operacional|"&amp;MID($C173,12,500),rDname_ADM,0),0),"")</f>
        <v/>
      </c>
      <c r="AM173" s="62">
        <f>IF(N($AL173)&gt;0,INDEX(rIni_ADM,$AL173),IF(ISNUMBER($E173),$E173,""))</f>
        <v/>
      </c>
      <c r="AN173" s="62">
        <f>IF(N($AL173)&gt;0,INDEX(rLim_ADM,$AL173),IF(ISNUMBER($F173),$F173,""))</f>
        <v/>
      </c>
    </row>
    <row r="174">
      <c r="A174" s="56">
        <f>IF(NOT((COUNTA($B174:$D174)+COUNTA($G174:$L174)+COUNTA($Q174))&gt;0),"",IF($V174="Macro",COUNTIFS($V$5:$V174,"Macro",$S$5:$S174,$S174),IF(N($U174)=0,"?",COUNTIFS(INDEX($V$5:$V$1000,1):INDEX($V$5:$V$1000,$U174-4),"Macro",INDEX($S$5:$S$1000,1):INDEX($S$5:$S$1000,$U174-4),INDEX($S$5:$S$1000,$U174-4))&amp;"."&amp;COUNTIFS($U$5:$U174,$U174,$V$5:$V174,"Sub"))))</f>
        <v/>
      </c>
      <c r="B174" s="57" t="n"/>
      <c r="C174" s="58" t="n"/>
      <c r="D174" s="58" t="n"/>
      <c r="E174" s="59">
        <f>IF(N($AL174)&gt;0,INDEX(rIni_ADM,$AL174),"")</f>
        <v/>
      </c>
      <c r="F174" s="59">
        <f>IF(N($AL174)&gt;0,INDEX(rLim_ADM,$AL174),"")</f>
        <v/>
      </c>
      <c r="G174" s="59" t="n"/>
      <c r="H174" s="60" t="n"/>
      <c r="I174" s="60" t="n"/>
      <c r="J174" s="60" t="n"/>
      <c r="K174" s="60" t="n"/>
      <c r="L174" s="60" t="n"/>
      <c r="M174" s="61">
        <f>IF(NOT((COUNTA($B174:$D174)+COUNTA($G174:$L174)+COUNTA($Q174))&gt;0),"",IF($V174="Sub",IFERROR($X174/INDEX($W$5:$W$1000,$U174-4),""),IF(ISNUMBER($G174),1,IF(N($W174)&gt;0,AVERAGEIFS($X$5:$X$1000,$U$5:$U$1000,ROW(),$V$5:$V$1000,"Sub"),$X174))))</f>
        <v/>
      </c>
      <c r="N174" s="56">
        <f>IF(OR($M174="",$V174="Sub"),"",IF($M174&gt;=1,"Completado",IF($M174&gt;0,"En curso","Pendiente")))</f>
        <v/>
      </c>
      <c r="O174" s="56">
        <f>IF(OR(NOT((COUNTA($B174:$D174)+COUNTA($G174:$L174)+COUNTA($Q174))&gt;0),$V174="Sub"),"",IF(ISNUMBER($G174),IF(AND(ISNUMBER($AN174),$G174&gt;$AN174),"Cumplida con "&amp;($G174-$AN174)&amp;IF($G174-$AN174=1," día"," días")&amp;" de retraso","Cumplida"),IF(N($M174)&gt;=1,"Cumplida",IF(NOT(ISNUMBER($AN174)),"Sin fecha límite",IF($AN174&lt;FechaRef,"Vencida hace "&amp;(FechaRef-$AN174)&amp;IF(FechaRef-$AN174=1," día"," días"),IF($AN174=FechaRef,"Vence hoy",IF($AN174-FechaRef&lt;=DiasAlerta,"Vence en "&amp;($AN174-FechaRef)&amp;IF($AN174-FechaRef=1," día"," días"),"En plazo")))))))</f>
        <v/>
      </c>
      <c r="P174" s="62" t="n"/>
      <c r="Q174" s="58" t="n"/>
      <c r="R174" s="63">
        <f>IF(NOT((COUNTA($B174:$D174)+COUNTA($G174:$L174)+COUNTA($Q174))&gt;0),"",IF((IF($C174="","Falta el nombre de la actividad"&amp;" · ","")&amp;IF(AND($V174="Sub",N($U174)=0),"Subactividad sin macroactividad arriba"&amp;" · ","")&amp;IF($AM174="","Sin fecha de inicio"&amp;" · ","")&amp;IF($AN174="","Sin fecha límite"&amp;" · ","")&amp;IF(AND(LEFT($C174,11)="[Jefatura] ",N($AL174)=0),"No se encuentra en la hoja de la jefatura (elíjala de nuevo en la lista)"&amp;" · ","")&amp;IF(OR(AND($E174&lt;&gt;"",NOT(ISNUMBER($E174))),AND($F174&lt;&gt;"",NOT(ISNUMBER($F174))),AND($G174&lt;&gt;"",NOT(ISNUMBER($G174)))),"Fecha no válida"&amp;" · ","")&amp;IF(AND(ISNUMBER($AM174),ISNUMBER($AN174),$AM174&gt;$AN174),"Inicio posterior a fecha límite"&amp;" · ","")&amp;IF(AND($V174="Macro",$H174&lt;&gt;"",OR(NOT(ISNUMBER($H174)),$H174&lt;0,$H174&gt;1)),"Peso fuera de rango"&amp;" · ","")&amp;IF(AND($V174="Sub",$H174&lt;&gt;""),"Las subactividades no llevan peso (valen igual dentro de su macroactividad)"&amp;" · ","")&amp;IF(AND(N($W174)&gt;0,COUNT($I174:$L174)&gt;0),"Con subactividades: deje vacías las semanas (se calculan solas)"&amp;" · ","")&amp;IF((COUNTIF($I174:$L174,"&gt;1")+COUNTIF($I174:$L174,"&lt;0")+COUNTA($I174:$L174)-COUNT($I174:$L174))&gt;0,"Avance fuera de rango 0-100%"&amp;" · ","")&amp;IF(OR(AND($J174&lt;&gt;"",$J174&lt;$I174),AND($K174&lt;&gt;"",$K174&lt;MAX($I174:$J174)),AND($L174&lt;&gt;"",$L174&lt;MAX($I174:$K174))),"Avance semanal decreciente"&amp;" · ","")&amp;IF(AND(ISNUMBER($AN174),$AN174&lt;FechaRef,IF($V174="Sub",N($X174),N($M174))&lt;1),"Vencida"&amp;" · ","")&amp;IF(AND(ObsObligatoria="Sí",ISNUMBER($AN174),$AN174&lt;FechaRef,IF($V174="Sub",N($X174),N($M174))&lt;1,$Q174=""),"Vencida sin observación"&amp;" · ",""))="","✔ OK","⚠ "&amp;LEFT(IF($C174="","Falta el nombre de la actividad"&amp;" · ","")&amp;IF(AND($V174="Sub",N($U174)=0),"Subactividad sin macroactividad arriba"&amp;" · ","")&amp;IF($AM174="","Sin fecha de inicio"&amp;" · ","")&amp;IF($AN174="","Sin fecha límite"&amp;" · ","")&amp;IF(AND(LEFT($C174,11)="[Jefatura] ",N($AL174)=0),"No se encuentra en la hoja de la jefatura (elíjala de nuevo en la lista)"&amp;" · ","")&amp;IF(OR(AND($E174&lt;&gt;"",NOT(ISNUMBER($E174))),AND($F174&lt;&gt;"",NOT(ISNUMBER($F174))),AND($G174&lt;&gt;"",NOT(ISNUMBER($G174)))),"Fecha no válida"&amp;" · ","")&amp;IF(AND(ISNUMBER($AM174),ISNUMBER($AN174),$AM174&gt;$AN174),"Inicio posterior a fecha límite"&amp;" · ","")&amp;IF(AND($V174="Macro",$H174&lt;&gt;"",OR(NOT(ISNUMBER($H174)),$H174&lt;0,$H174&gt;1)),"Peso fuera de rango"&amp;" · ","")&amp;IF(AND($V174="Sub",$H174&lt;&gt;""),"Las subactividades no llevan peso (valen igual dentro de su macroactividad)"&amp;" · ","")&amp;IF(AND(N($W174)&gt;0,COUNT($I174:$L174)&gt;0),"Con subactividades: deje vacías las semanas (se calculan solas)"&amp;" · ","")&amp;IF((COUNTIF($I174:$L174,"&gt;1")+COUNTIF($I174:$L174,"&lt;0")+COUNTA($I174:$L174)-COUNT($I174:$L174))&gt;0,"Avance fuera de rango 0-100%"&amp;" · ","")&amp;IF(OR(AND($J174&lt;&gt;"",$J174&lt;$I174),AND($K174&lt;&gt;"",$K174&lt;MAX($I174:$J174)),AND($L174&lt;&gt;"",$L174&lt;MAX($I174:$K174))),"Avance semanal decreciente"&amp;" · ","")&amp;IF(AND(ISNUMBER($AN174),$AN174&lt;FechaRef,IF($V174="Sub",N($X174),N($M174))&lt;1),"Vencida"&amp;" · ","")&amp;IF(AND(ObsObligatoria="Sí",ISNUMBER($AN174),$AN174&lt;FechaRef,IF($V174="Sub",N($X174),N($M174))&lt;1,$Q174=""),"Vencida sin observación"&amp;" · ",""),LEN(IF($C174="","Falta el nombre de la actividad"&amp;" · ","")&amp;IF(AND($V174="Sub",N($U174)=0),"Subactividad sin macroactividad arriba"&amp;" · ","")&amp;IF($AM174="","Sin fecha de inicio"&amp;" · ","")&amp;IF($AN174="","Sin fecha límite"&amp;" · ","")&amp;IF(AND(LEFT($C174,11)="[Jefatura] ",N($AL174)=0),"No se encuentra en la hoja de la jefatura (elíjala de nuevo en la lista)"&amp;" · ","")&amp;IF(OR(AND($E174&lt;&gt;"",NOT(ISNUMBER($E174))),AND($F174&lt;&gt;"",NOT(ISNUMBER($F174))),AND($G174&lt;&gt;"",NOT(ISNUMBER($G174)))),"Fecha no válida"&amp;" · ","")&amp;IF(AND(ISNUMBER($AM174),ISNUMBER($AN174),$AM174&gt;$AN174),"Inicio posterior a fecha límite"&amp;" · ","")&amp;IF(AND($V174="Macro",$H174&lt;&gt;"",OR(NOT(ISNUMBER($H174)),$H174&lt;0,$H174&gt;1)),"Peso fuera de rango"&amp;" · ","")&amp;IF(AND($V174="Sub",$H174&lt;&gt;""),"Las subactividades no llevan peso (valen igual dentro de su macroactividad)"&amp;" · ","")&amp;IF(AND(N($W174)&gt;0,COUNT($I174:$L174)&gt;0),"Con subactividades: deje vacías las semanas (se calculan solas)"&amp;" · ","")&amp;IF((COUNTIF($I174:$L174,"&gt;1")+COUNTIF($I174:$L174,"&lt;0")+COUNTA($I174:$L174)-COUNT($I174:$L174))&gt;0,"Avance fuera de rango 0-100%"&amp;" · ","")&amp;IF(OR(AND($J174&lt;&gt;"",$J174&lt;$I174),AND($K174&lt;&gt;"",$K174&lt;MAX($I174:$J174)),AND($L174&lt;&gt;"",$L174&lt;MAX($I174:$K174))),"Avance semanal decreciente"&amp;" · ","")&amp;IF(AND(ISNUMBER($AN174),$AN174&lt;FechaRef,IF($V174="Sub",N($X174),N($M174))&lt;1),"Vencida"&amp;" · ","")&amp;IF(AND(ObsObligatoria="Sí",ISNUMBER($AN174),$AN174&lt;FechaRef,IF($V174="Sub",N($X174),N($M174))&lt;1,$Q174=""),"Vencida sin observación"&amp;" · ",""))-3)))</f>
        <v/>
      </c>
      <c r="S174" s="64">
        <f>IF(NOT((COUNTA($B174:$D174)+COUNTA($G174:$L174)+COUNTA($Q174))&gt;0),"",IF(AND($V174="Sub",N($U174)&gt;0),IF(ISNUMBER(INDEX($AM$5:$AM$1000,$U174-4)),DATE(YEAR(INDEX($AM$5:$AM$1000,$U174-4)),MONTH(INDEX($AM$5:$AM$1000,$U174-4)),1),IF(ISNUMBER(INDEX($AN$5:$AN$1000,$U174-4)),DATE(YEAR(INDEX($AN$5:$AN$1000,$U174-4)),MONTH(INDEX($AN$5:$AN$1000,$U174-4)),1),MesCiclo)),IF(ISNUMBER($AM174),DATE(YEAR($AM174),MONTH($AM174),1),IF(ISNUMBER($AN174),DATE(YEAR($AN174),MONTH($AN174),1),MesCiclo))))</f>
        <v/>
      </c>
      <c r="T174" s="62">
        <f>IF(OR($S174="",$S174&lt;&gt;MesCiclo,$V174&lt;&gt;"Macro"),"",COUNTIFS($S$5:$S174,MesCiclo,$V$5:$V174,"Macro"))</f>
        <v/>
      </c>
      <c r="U174" s="62">
        <f>IF($V174="","",IF($V174="Macro",ROW(),IFERROR(LOOKUP(2,1/($V$5:$V174="Macro"),ROW($V$5:$V174)),0)))</f>
        <v/>
      </c>
      <c r="V174" s="62">
        <f>IF(NOT((COUNTA($B174:$D174)+COUNTA($G174:$L174)+COUNTA($Q174))&gt;0),"",IF($B174="Subactividad","Sub","Macro"))</f>
        <v/>
      </c>
      <c r="W174" s="62">
        <f>IF($V174="Macro",COUNTIFS($U$5:$U$1000,ROW(),$V$5:$V$1000,"Sub"),"")</f>
        <v/>
      </c>
      <c r="X174" s="62">
        <f>IF($V174="","",IF(ISNUMBER($G174),1,IFERROR(LOOKUP(2,1/($I174:$L174&lt;&gt;""),$I174:$L174),0)))</f>
        <v/>
      </c>
      <c r="Y174" s="62">
        <f>IF($V174="","",IF(AND(ISNUMBER($G174),$G174&lt;=IF($S174=MesCiclo,InicioCiclo,$S174+MOD(2-WEEKDAY($S174),7))+6),1,IF(ISNUMBER($I174),$I174,0)))</f>
        <v/>
      </c>
      <c r="Z174" s="62">
        <f>IF($V174="","",IF(AND(ISNUMBER($G174),$G174&lt;=IF($S174=MesCiclo,InicioCiclo,$S174+MOD(2-WEEKDAY($S174),7))+13),1,IF(ISNUMBER($J174),$J174,$Y174)))</f>
        <v/>
      </c>
      <c r="AA174" s="62">
        <f>IF($V174="","",IF(AND(ISNUMBER($G174),$G174&lt;=IF($S174=MesCiclo,InicioCiclo,$S174+MOD(2-WEEKDAY($S174),7))+20),1,IF(ISNUMBER($K174),$K174,$Z174)))</f>
        <v/>
      </c>
      <c r="AB174" s="62">
        <f>IF($V174="","",IF(AND(ISNUMBER($G174),$G174&lt;=IF($S174=MesCiclo,InicioCiclo,$S174+MOD(2-WEEKDAY($S174),7))+27),1,IF(ISNUMBER($L174),$L174,$AA174)))</f>
        <v/>
      </c>
      <c r="AC174" s="62">
        <f>IF($V174="","",IF(AND(ISNUMBER($G174),$G174&lt;=IF($S174=MesCiclo,InicioCiclo,$S174+MOD(2-WEEKDAY($S174),7))+6),1,IF(N($W174)&gt;0,AVERAGEIFS($Y$5:$Y$1000,$U$5:$U$1000,ROW(),$V$5:$V$1000,"Sub"),$Y174)))</f>
        <v/>
      </c>
      <c r="AD174" s="62">
        <f>IF($V174="","",IF(AND(ISNUMBER($G174),$G174&lt;=IF($S174=MesCiclo,InicioCiclo,$S174+MOD(2-WEEKDAY($S174),7))+13),1,IF(N($W174)&gt;0,AVERAGEIFS($Z$5:$Z$1000,$U$5:$U$1000,ROW(),$V$5:$V$1000,"Sub"),$Z174)))</f>
        <v/>
      </c>
      <c r="AE174" s="62">
        <f>IF($V174="","",IF(AND(ISNUMBER($G174),$G174&lt;=IF($S174=MesCiclo,InicioCiclo,$S174+MOD(2-WEEKDAY($S174),7))+20),1,IF(N($W174)&gt;0,AVERAGEIFS($AA$5:$AA$1000,$U$5:$U$1000,ROW(),$V$5:$V$1000,"Sub"),$AA174)))</f>
        <v/>
      </c>
      <c r="AF174" s="62">
        <f>IF($V174="","",IF(AND(ISNUMBER($G174),$G174&lt;=IF($S174=MesCiclo,InicioCiclo,$S174+MOD(2-WEEKDAY($S174),7))+27),1,IF(N($W174)&gt;0,AVERAGEIFS($AB$5:$AB$1000,$U$5:$U$1000,ROW(),$V$5:$V$1000,"Sub"),$AB174)))</f>
        <v/>
      </c>
      <c r="AG174" s="62">
        <f>IF($V174&lt;&gt;"Macro","",IF(COUNTIFS($S$5:$S$1000,$S174,$V$5:$V$1000,"Macro",$H$5:$H$1000,"&gt;0")=0,1/COUNTIFS($S$5:$S$1000,$S174,$V$5:$V$1000,"Macro"),IF(AND(ISNUMBER($H174),N($H174)&gt;0),$H174,SUMIFS($H$5:$H$1000,$S$5:$S$1000,$S174,$V$5:$V$1000,"Macro")/COUNTIFS($S$5:$S$1000,$S174,$V$5:$V$1000,"Macro",$H$5:$H$1000,"&gt;0"))/(COUNTIFS($S$5:$S$1000,$S174,$V$5:$V$1000,"Macro")*SUMIFS($H$5:$H$1000,$S$5:$S$1000,$S174,$V$5:$V$1000,"Macro")/COUNTIFS($S$5:$S$1000,$S174,$V$5:$V$1000,"Macro",$H$5:$H$1000,"&gt;0"))))</f>
        <v/>
      </c>
      <c r="AH174" s="62" t="n"/>
      <c r="AI174" s="62" t="n"/>
      <c r="AJ174" s="62" t="n"/>
      <c r="AK174" s="62" t="n"/>
      <c r="AL174" s="62">
        <f>IF(LEFT($C174,11)="[Jefatura] ",IFERROR(MATCH("Riesgo Operacional|"&amp;MID($C174,12,500),rDname_ADM,0),0),"")</f>
        <v/>
      </c>
      <c r="AM174" s="62">
        <f>IF(N($AL174)&gt;0,INDEX(rIni_ADM,$AL174),IF(ISNUMBER($E174),$E174,""))</f>
        <v/>
      </c>
      <c r="AN174" s="62">
        <f>IF(N($AL174)&gt;0,INDEX(rLim_ADM,$AL174),IF(ISNUMBER($F174),$F174,""))</f>
        <v/>
      </c>
    </row>
    <row r="175">
      <c r="A175" s="56">
        <f>IF(NOT((COUNTA($B175:$D175)+COUNTA($G175:$L175)+COUNTA($Q175))&gt;0),"",IF($V175="Macro",COUNTIFS($V$5:$V175,"Macro",$S$5:$S175,$S175),IF(N($U175)=0,"?",COUNTIFS(INDEX($V$5:$V$1000,1):INDEX($V$5:$V$1000,$U175-4),"Macro",INDEX($S$5:$S$1000,1):INDEX($S$5:$S$1000,$U175-4),INDEX($S$5:$S$1000,$U175-4))&amp;"."&amp;COUNTIFS($U$5:$U175,$U175,$V$5:$V175,"Sub"))))</f>
        <v/>
      </c>
      <c r="B175" s="57" t="n"/>
      <c r="C175" s="58" t="n"/>
      <c r="D175" s="58" t="n"/>
      <c r="E175" s="59">
        <f>IF(N($AL175)&gt;0,INDEX(rIni_ADM,$AL175),"")</f>
        <v/>
      </c>
      <c r="F175" s="59">
        <f>IF(N($AL175)&gt;0,INDEX(rLim_ADM,$AL175),"")</f>
        <v/>
      </c>
      <c r="G175" s="59" t="n"/>
      <c r="H175" s="60" t="n"/>
      <c r="I175" s="60" t="n"/>
      <c r="J175" s="60" t="n"/>
      <c r="K175" s="60" t="n"/>
      <c r="L175" s="60" t="n"/>
      <c r="M175" s="61">
        <f>IF(NOT((COUNTA($B175:$D175)+COUNTA($G175:$L175)+COUNTA($Q175))&gt;0),"",IF($V175="Sub",IFERROR($X175/INDEX($W$5:$W$1000,$U175-4),""),IF(ISNUMBER($G175),1,IF(N($W175)&gt;0,AVERAGEIFS($X$5:$X$1000,$U$5:$U$1000,ROW(),$V$5:$V$1000,"Sub"),$X175))))</f>
        <v/>
      </c>
      <c r="N175" s="56">
        <f>IF(OR($M175="",$V175="Sub"),"",IF($M175&gt;=1,"Completado",IF($M175&gt;0,"En curso","Pendiente")))</f>
        <v/>
      </c>
      <c r="O175" s="56">
        <f>IF(OR(NOT((COUNTA($B175:$D175)+COUNTA($G175:$L175)+COUNTA($Q175))&gt;0),$V175="Sub"),"",IF(ISNUMBER($G175),IF(AND(ISNUMBER($AN175),$G175&gt;$AN175),"Cumplida con "&amp;($G175-$AN175)&amp;IF($G175-$AN175=1," día"," días")&amp;" de retraso","Cumplida"),IF(N($M175)&gt;=1,"Cumplida",IF(NOT(ISNUMBER($AN175)),"Sin fecha límite",IF($AN175&lt;FechaRef,"Vencida hace "&amp;(FechaRef-$AN175)&amp;IF(FechaRef-$AN175=1," día"," días"),IF($AN175=FechaRef,"Vence hoy",IF($AN175-FechaRef&lt;=DiasAlerta,"Vence en "&amp;($AN175-FechaRef)&amp;IF($AN175-FechaRef=1," día"," días"),"En plazo")))))))</f>
        <v/>
      </c>
      <c r="P175" s="62" t="n"/>
      <c r="Q175" s="58" t="n"/>
      <c r="R175" s="63">
        <f>IF(NOT((COUNTA($B175:$D175)+COUNTA($G175:$L175)+COUNTA($Q175))&gt;0),"",IF((IF($C175="","Falta el nombre de la actividad"&amp;" · ","")&amp;IF(AND($V175="Sub",N($U175)=0),"Subactividad sin macroactividad arriba"&amp;" · ","")&amp;IF($AM175="","Sin fecha de inicio"&amp;" · ","")&amp;IF($AN175="","Sin fecha límite"&amp;" · ","")&amp;IF(AND(LEFT($C175,11)="[Jefatura] ",N($AL175)=0),"No se encuentra en la hoja de la jefatura (elíjala de nuevo en la lista)"&amp;" · ","")&amp;IF(OR(AND($E175&lt;&gt;"",NOT(ISNUMBER($E175))),AND($F175&lt;&gt;"",NOT(ISNUMBER($F175))),AND($G175&lt;&gt;"",NOT(ISNUMBER($G175)))),"Fecha no válida"&amp;" · ","")&amp;IF(AND(ISNUMBER($AM175),ISNUMBER($AN175),$AM175&gt;$AN175),"Inicio posterior a fecha límite"&amp;" · ","")&amp;IF(AND($V175="Macro",$H175&lt;&gt;"",OR(NOT(ISNUMBER($H175)),$H175&lt;0,$H175&gt;1)),"Peso fuera de rango"&amp;" · ","")&amp;IF(AND($V175="Sub",$H175&lt;&gt;""),"Las subactividades no llevan peso (valen igual dentro de su macroactividad)"&amp;" · ","")&amp;IF(AND(N($W175)&gt;0,COUNT($I175:$L175)&gt;0),"Con subactividades: deje vacías las semanas (se calculan solas)"&amp;" · ","")&amp;IF((COUNTIF($I175:$L175,"&gt;1")+COUNTIF($I175:$L175,"&lt;0")+COUNTA($I175:$L175)-COUNT($I175:$L175))&gt;0,"Avance fuera de rango 0-100%"&amp;" · ","")&amp;IF(OR(AND($J175&lt;&gt;"",$J175&lt;$I175),AND($K175&lt;&gt;"",$K175&lt;MAX($I175:$J175)),AND($L175&lt;&gt;"",$L175&lt;MAX($I175:$K175))),"Avance semanal decreciente"&amp;" · ","")&amp;IF(AND(ISNUMBER($AN175),$AN175&lt;FechaRef,IF($V175="Sub",N($X175),N($M175))&lt;1),"Vencida"&amp;" · ","")&amp;IF(AND(ObsObligatoria="Sí",ISNUMBER($AN175),$AN175&lt;FechaRef,IF($V175="Sub",N($X175),N($M175))&lt;1,$Q175=""),"Vencida sin observación"&amp;" · ",""))="","✔ OK","⚠ "&amp;LEFT(IF($C175="","Falta el nombre de la actividad"&amp;" · ","")&amp;IF(AND($V175="Sub",N($U175)=0),"Subactividad sin macroactividad arriba"&amp;" · ","")&amp;IF($AM175="","Sin fecha de inicio"&amp;" · ","")&amp;IF($AN175="","Sin fecha límite"&amp;" · ","")&amp;IF(AND(LEFT($C175,11)="[Jefatura] ",N($AL175)=0),"No se encuentra en la hoja de la jefatura (elíjala de nuevo en la lista)"&amp;" · ","")&amp;IF(OR(AND($E175&lt;&gt;"",NOT(ISNUMBER($E175))),AND($F175&lt;&gt;"",NOT(ISNUMBER($F175))),AND($G175&lt;&gt;"",NOT(ISNUMBER($G175)))),"Fecha no válida"&amp;" · ","")&amp;IF(AND(ISNUMBER($AM175),ISNUMBER($AN175),$AM175&gt;$AN175),"Inicio posterior a fecha límite"&amp;" · ","")&amp;IF(AND($V175="Macro",$H175&lt;&gt;"",OR(NOT(ISNUMBER($H175)),$H175&lt;0,$H175&gt;1)),"Peso fuera de rango"&amp;" · ","")&amp;IF(AND($V175="Sub",$H175&lt;&gt;""),"Las subactividades no llevan peso (valen igual dentro de su macroactividad)"&amp;" · ","")&amp;IF(AND(N($W175)&gt;0,COUNT($I175:$L175)&gt;0),"Con subactividades: deje vacías las semanas (se calculan solas)"&amp;" · ","")&amp;IF((COUNTIF($I175:$L175,"&gt;1")+COUNTIF($I175:$L175,"&lt;0")+COUNTA($I175:$L175)-COUNT($I175:$L175))&gt;0,"Avance fuera de rango 0-100%"&amp;" · ","")&amp;IF(OR(AND($J175&lt;&gt;"",$J175&lt;$I175),AND($K175&lt;&gt;"",$K175&lt;MAX($I175:$J175)),AND($L175&lt;&gt;"",$L175&lt;MAX($I175:$K175))),"Avance semanal decreciente"&amp;" · ","")&amp;IF(AND(ISNUMBER($AN175),$AN175&lt;FechaRef,IF($V175="Sub",N($X175),N($M175))&lt;1),"Vencida"&amp;" · ","")&amp;IF(AND(ObsObligatoria="Sí",ISNUMBER($AN175),$AN175&lt;FechaRef,IF($V175="Sub",N($X175),N($M175))&lt;1,$Q175=""),"Vencida sin observación"&amp;" · ",""),LEN(IF($C175="","Falta el nombre de la actividad"&amp;" · ","")&amp;IF(AND($V175="Sub",N($U175)=0),"Subactividad sin macroactividad arriba"&amp;" · ","")&amp;IF($AM175="","Sin fecha de inicio"&amp;" · ","")&amp;IF($AN175="","Sin fecha límite"&amp;" · ","")&amp;IF(AND(LEFT($C175,11)="[Jefatura] ",N($AL175)=0),"No se encuentra en la hoja de la jefatura (elíjala de nuevo en la lista)"&amp;" · ","")&amp;IF(OR(AND($E175&lt;&gt;"",NOT(ISNUMBER($E175))),AND($F175&lt;&gt;"",NOT(ISNUMBER($F175))),AND($G175&lt;&gt;"",NOT(ISNUMBER($G175)))),"Fecha no válida"&amp;" · ","")&amp;IF(AND(ISNUMBER($AM175),ISNUMBER($AN175),$AM175&gt;$AN175),"Inicio posterior a fecha límite"&amp;" · ","")&amp;IF(AND($V175="Macro",$H175&lt;&gt;"",OR(NOT(ISNUMBER($H175)),$H175&lt;0,$H175&gt;1)),"Peso fuera de rango"&amp;" · ","")&amp;IF(AND($V175="Sub",$H175&lt;&gt;""),"Las subactividades no llevan peso (valen igual dentro de su macroactividad)"&amp;" · ","")&amp;IF(AND(N($W175)&gt;0,COUNT($I175:$L175)&gt;0),"Con subactividades: deje vacías las semanas (se calculan solas)"&amp;" · ","")&amp;IF((COUNTIF($I175:$L175,"&gt;1")+COUNTIF($I175:$L175,"&lt;0")+COUNTA($I175:$L175)-COUNT($I175:$L175))&gt;0,"Avance fuera de rango 0-100%"&amp;" · ","")&amp;IF(OR(AND($J175&lt;&gt;"",$J175&lt;$I175),AND($K175&lt;&gt;"",$K175&lt;MAX($I175:$J175)),AND($L175&lt;&gt;"",$L175&lt;MAX($I175:$K175))),"Avance semanal decreciente"&amp;" · ","")&amp;IF(AND(ISNUMBER($AN175),$AN175&lt;FechaRef,IF($V175="Sub",N($X175),N($M175))&lt;1),"Vencida"&amp;" · ","")&amp;IF(AND(ObsObligatoria="Sí",ISNUMBER($AN175),$AN175&lt;FechaRef,IF($V175="Sub",N($X175),N($M175))&lt;1,$Q175=""),"Vencida sin observación"&amp;" · ",""))-3)))</f>
        <v/>
      </c>
      <c r="S175" s="64">
        <f>IF(NOT((COUNTA($B175:$D175)+COUNTA($G175:$L175)+COUNTA($Q175))&gt;0),"",IF(AND($V175="Sub",N($U175)&gt;0),IF(ISNUMBER(INDEX($AM$5:$AM$1000,$U175-4)),DATE(YEAR(INDEX($AM$5:$AM$1000,$U175-4)),MONTH(INDEX($AM$5:$AM$1000,$U175-4)),1),IF(ISNUMBER(INDEX($AN$5:$AN$1000,$U175-4)),DATE(YEAR(INDEX($AN$5:$AN$1000,$U175-4)),MONTH(INDEX($AN$5:$AN$1000,$U175-4)),1),MesCiclo)),IF(ISNUMBER($AM175),DATE(YEAR($AM175),MONTH($AM175),1),IF(ISNUMBER($AN175),DATE(YEAR($AN175),MONTH($AN175),1),MesCiclo))))</f>
        <v/>
      </c>
      <c r="T175" s="62">
        <f>IF(OR($S175="",$S175&lt;&gt;MesCiclo,$V175&lt;&gt;"Macro"),"",COUNTIFS($S$5:$S175,MesCiclo,$V$5:$V175,"Macro"))</f>
        <v/>
      </c>
      <c r="U175" s="62">
        <f>IF($V175="","",IF($V175="Macro",ROW(),IFERROR(LOOKUP(2,1/($V$5:$V175="Macro"),ROW($V$5:$V175)),0)))</f>
        <v/>
      </c>
      <c r="V175" s="62">
        <f>IF(NOT((COUNTA($B175:$D175)+COUNTA($G175:$L175)+COUNTA($Q175))&gt;0),"",IF($B175="Subactividad","Sub","Macro"))</f>
        <v/>
      </c>
      <c r="W175" s="62">
        <f>IF($V175="Macro",COUNTIFS($U$5:$U$1000,ROW(),$V$5:$V$1000,"Sub"),"")</f>
        <v/>
      </c>
      <c r="X175" s="62">
        <f>IF($V175="","",IF(ISNUMBER($G175),1,IFERROR(LOOKUP(2,1/($I175:$L175&lt;&gt;""),$I175:$L175),0)))</f>
        <v/>
      </c>
      <c r="Y175" s="62">
        <f>IF($V175="","",IF(AND(ISNUMBER($G175),$G175&lt;=IF($S175=MesCiclo,InicioCiclo,$S175+MOD(2-WEEKDAY($S175),7))+6),1,IF(ISNUMBER($I175),$I175,0)))</f>
        <v/>
      </c>
      <c r="Z175" s="62">
        <f>IF($V175="","",IF(AND(ISNUMBER($G175),$G175&lt;=IF($S175=MesCiclo,InicioCiclo,$S175+MOD(2-WEEKDAY($S175),7))+13),1,IF(ISNUMBER($J175),$J175,$Y175)))</f>
        <v/>
      </c>
      <c r="AA175" s="62">
        <f>IF($V175="","",IF(AND(ISNUMBER($G175),$G175&lt;=IF($S175=MesCiclo,InicioCiclo,$S175+MOD(2-WEEKDAY($S175),7))+20),1,IF(ISNUMBER($K175),$K175,$Z175)))</f>
        <v/>
      </c>
      <c r="AB175" s="62">
        <f>IF($V175="","",IF(AND(ISNUMBER($G175),$G175&lt;=IF($S175=MesCiclo,InicioCiclo,$S175+MOD(2-WEEKDAY($S175),7))+27),1,IF(ISNUMBER($L175),$L175,$AA175)))</f>
        <v/>
      </c>
      <c r="AC175" s="62">
        <f>IF($V175="","",IF(AND(ISNUMBER($G175),$G175&lt;=IF($S175=MesCiclo,InicioCiclo,$S175+MOD(2-WEEKDAY($S175),7))+6),1,IF(N($W175)&gt;0,AVERAGEIFS($Y$5:$Y$1000,$U$5:$U$1000,ROW(),$V$5:$V$1000,"Sub"),$Y175)))</f>
        <v/>
      </c>
      <c r="AD175" s="62">
        <f>IF($V175="","",IF(AND(ISNUMBER($G175),$G175&lt;=IF($S175=MesCiclo,InicioCiclo,$S175+MOD(2-WEEKDAY($S175),7))+13),1,IF(N($W175)&gt;0,AVERAGEIFS($Z$5:$Z$1000,$U$5:$U$1000,ROW(),$V$5:$V$1000,"Sub"),$Z175)))</f>
        <v/>
      </c>
      <c r="AE175" s="62">
        <f>IF($V175="","",IF(AND(ISNUMBER($G175),$G175&lt;=IF($S175=MesCiclo,InicioCiclo,$S175+MOD(2-WEEKDAY($S175),7))+20),1,IF(N($W175)&gt;0,AVERAGEIFS($AA$5:$AA$1000,$U$5:$U$1000,ROW(),$V$5:$V$1000,"Sub"),$AA175)))</f>
        <v/>
      </c>
      <c r="AF175" s="62">
        <f>IF($V175="","",IF(AND(ISNUMBER($G175),$G175&lt;=IF($S175=MesCiclo,InicioCiclo,$S175+MOD(2-WEEKDAY($S175),7))+27),1,IF(N($W175)&gt;0,AVERAGEIFS($AB$5:$AB$1000,$U$5:$U$1000,ROW(),$V$5:$V$1000,"Sub"),$AB175)))</f>
        <v/>
      </c>
      <c r="AG175" s="62">
        <f>IF($V175&lt;&gt;"Macro","",IF(COUNTIFS($S$5:$S$1000,$S175,$V$5:$V$1000,"Macro",$H$5:$H$1000,"&gt;0")=0,1/COUNTIFS($S$5:$S$1000,$S175,$V$5:$V$1000,"Macro"),IF(AND(ISNUMBER($H175),N($H175)&gt;0),$H175,SUMIFS($H$5:$H$1000,$S$5:$S$1000,$S175,$V$5:$V$1000,"Macro")/COUNTIFS($S$5:$S$1000,$S175,$V$5:$V$1000,"Macro",$H$5:$H$1000,"&gt;0"))/(COUNTIFS($S$5:$S$1000,$S175,$V$5:$V$1000,"Macro")*SUMIFS($H$5:$H$1000,$S$5:$S$1000,$S175,$V$5:$V$1000,"Macro")/COUNTIFS($S$5:$S$1000,$S175,$V$5:$V$1000,"Macro",$H$5:$H$1000,"&gt;0"))))</f>
        <v/>
      </c>
      <c r="AH175" s="62" t="n"/>
      <c r="AI175" s="62" t="n"/>
      <c r="AJ175" s="62" t="n"/>
      <c r="AK175" s="62" t="n"/>
      <c r="AL175" s="62">
        <f>IF(LEFT($C175,11)="[Jefatura] ",IFERROR(MATCH("Riesgo Operacional|"&amp;MID($C175,12,500),rDname_ADM,0),0),"")</f>
        <v/>
      </c>
      <c r="AM175" s="62">
        <f>IF(N($AL175)&gt;0,INDEX(rIni_ADM,$AL175),IF(ISNUMBER($E175),$E175,""))</f>
        <v/>
      </c>
      <c r="AN175" s="62">
        <f>IF(N($AL175)&gt;0,INDEX(rLim_ADM,$AL175),IF(ISNUMBER($F175),$F175,""))</f>
        <v/>
      </c>
    </row>
    <row r="176">
      <c r="A176" s="56">
        <f>IF(NOT((COUNTA($B176:$D176)+COUNTA($G176:$L176)+COUNTA($Q176))&gt;0),"",IF($V176="Macro",COUNTIFS($V$5:$V176,"Macro",$S$5:$S176,$S176),IF(N($U176)=0,"?",COUNTIFS(INDEX($V$5:$V$1000,1):INDEX($V$5:$V$1000,$U176-4),"Macro",INDEX($S$5:$S$1000,1):INDEX($S$5:$S$1000,$U176-4),INDEX($S$5:$S$1000,$U176-4))&amp;"."&amp;COUNTIFS($U$5:$U176,$U176,$V$5:$V176,"Sub"))))</f>
        <v/>
      </c>
      <c r="B176" s="57" t="n"/>
      <c r="C176" s="58" t="n"/>
      <c r="D176" s="58" t="n"/>
      <c r="E176" s="59">
        <f>IF(N($AL176)&gt;0,INDEX(rIni_ADM,$AL176),"")</f>
        <v/>
      </c>
      <c r="F176" s="59">
        <f>IF(N($AL176)&gt;0,INDEX(rLim_ADM,$AL176),"")</f>
        <v/>
      </c>
      <c r="G176" s="59" t="n"/>
      <c r="H176" s="60" t="n"/>
      <c r="I176" s="60" t="n"/>
      <c r="J176" s="60" t="n"/>
      <c r="K176" s="60" t="n"/>
      <c r="L176" s="60" t="n"/>
      <c r="M176" s="61">
        <f>IF(NOT((COUNTA($B176:$D176)+COUNTA($G176:$L176)+COUNTA($Q176))&gt;0),"",IF($V176="Sub",IFERROR($X176/INDEX($W$5:$W$1000,$U176-4),""),IF(ISNUMBER($G176),1,IF(N($W176)&gt;0,AVERAGEIFS($X$5:$X$1000,$U$5:$U$1000,ROW(),$V$5:$V$1000,"Sub"),$X176))))</f>
        <v/>
      </c>
      <c r="N176" s="56">
        <f>IF(OR($M176="",$V176="Sub"),"",IF($M176&gt;=1,"Completado",IF($M176&gt;0,"En curso","Pendiente")))</f>
        <v/>
      </c>
      <c r="O176" s="56">
        <f>IF(OR(NOT((COUNTA($B176:$D176)+COUNTA($G176:$L176)+COUNTA($Q176))&gt;0),$V176="Sub"),"",IF(ISNUMBER($G176),IF(AND(ISNUMBER($AN176),$G176&gt;$AN176),"Cumplida con "&amp;($G176-$AN176)&amp;IF($G176-$AN176=1," día"," días")&amp;" de retraso","Cumplida"),IF(N($M176)&gt;=1,"Cumplida",IF(NOT(ISNUMBER($AN176)),"Sin fecha límite",IF($AN176&lt;FechaRef,"Vencida hace "&amp;(FechaRef-$AN176)&amp;IF(FechaRef-$AN176=1," día"," días"),IF($AN176=FechaRef,"Vence hoy",IF($AN176-FechaRef&lt;=DiasAlerta,"Vence en "&amp;($AN176-FechaRef)&amp;IF($AN176-FechaRef=1," día"," días"),"En plazo")))))))</f>
        <v/>
      </c>
      <c r="P176" s="62" t="n"/>
      <c r="Q176" s="58" t="n"/>
      <c r="R176" s="63">
        <f>IF(NOT((COUNTA($B176:$D176)+COUNTA($G176:$L176)+COUNTA($Q176))&gt;0),"",IF((IF($C176="","Falta el nombre de la actividad"&amp;" · ","")&amp;IF(AND($V176="Sub",N($U176)=0),"Subactividad sin macroactividad arriba"&amp;" · ","")&amp;IF($AM176="","Sin fecha de inicio"&amp;" · ","")&amp;IF($AN176="","Sin fecha límite"&amp;" · ","")&amp;IF(AND(LEFT($C176,11)="[Jefatura] ",N($AL176)=0),"No se encuentra en la hoja de la jefatura (elíjala de nuevo en la lista)"&amp;" · ","")&amp;IF(OR(AND($E176&lt;&gt;"",NOT(ISNUMBER($E176))),AND($F176&lt;&gt;"",NOT(ISNUMBER($F176))),AND($G176&lt;&gt;"",NOT(ISNUMBER($G176)))),"Fecha no válida"&amp;" · ","")&amp;IF(AND(ISNUMBER($AM176),ISNUMBER($AN176),$AM176&gt;$AN176),"Inicio posterior a fecha límite"&amp;" · ","")&amp;IF(AND($V176="Macro",$H176&lt;&gt;"",OR(NOT(ISNUMBER($H176)),$H176&lt;0,$H176&gt;1)),"Peso fuera de rango"&amp;" · ","")&amp;IF(AND($V176="Sub",$H176&lt;&gt;""),"Las subactividades no llevan peso (valen igual dentro de su macroactividad)"&amp;" · ","")&amp;IF(AND(N($W176)&gt;0,COUNT($I176:$L176)&gt;0),"Con subactividades: deje vacías las semanas (se calculan solas)"&amp;" · ","")&amp;IF((COUNTIF($I176:$L176,"&gt;1")+COUNTIF($I176:$L176,"&lt;0")+COUNTA($I176:$L176)-COUNT($I176:$L176))&gt;0,"Avance fuera de rango 0-100%"&amp;" · ","")&amp;IF(OR(AND($J176&lt;&gt;"",$J176&lt;$I176),AND($K176&lt;&gt;"",$K176&lt;MAX($I176:$J176)),AND($L176&lt;&gt;"",$L176&lt;MAX($I176:$K176))),"Avance semanal decreciente"&amp;" · ","")&amp;IF(AND(ISNUMBER($AN176),$AN176&lt;FechaRef,IF($V176="Sub",N($X176),N($M176))&lt;1),"Vencida"&amp;" · ","")&amp;IF(AND(ObsObligatoria="Sí",ISNUMBER($AN176),$AN176&lt;FechaRef,IF($V176="Sub",N($X176),N($M176))&lt;1,$Q176=""),"Vencida sin observación"&amp;" · ",""))="","✔ OK","⚠ "&amp;LEFT(IF($C176="","Falta el nombre de la actividad"&amp;" · ","")&amp;IF(AND($V176="Sub",N($U176)=0),"Subactividad sin macroactividad arriba"&amp;" · ","")&amp;IF($AM176="","Sin fecha de inicio"&amp;" · ","")&amp;IF($AN176="","Sin fecha límite"&amp;" · ","")&amp;IF(AND(LEFT($C176,11)="[Jefatura] ",N($AL176)=0),"No se encuentra en la hoja de la jefatura (elíjala de nuevo en la lista)"&amp;" · ","")&amp;IF(OR(AND($E176&lt;&gt;"",NOT(ISNUMBER($E176))),AND($F176&lt;&gt;"",NOT(ISNUMBER($F176))),AND($G176&lt;&gt;"",NOT(ISNUMBER($G176)))),"Fecha no válida"&amp;" · ","")&amp;IF(AND(ISNUMBER($AM176),ISNUMBER($AN176),$AM176&gt;$AN176),"Inicio posterior a fecha límite"&amp;" · ","")&amp;IF(AND($V176="Macro",$H176&lt;&gt;"",OR(NOT(ISNUMBER($H176)),$H176&lt;0,$H176&gt;1)),"Peso fuera de rango"&amp;" · ","")&amp;IF(AND($V176="Sub",$H176&lt;&gt;""),"Las subactividades no llevan peso (valen igual dentro de su macroactividad)"&amp;" · ","")&amp;IF(AND(N($W176)&gt;0,COUNT($I176:$L176)&gt;0),"Con subactividades: deje vacías las semanas (se calculan solas)"&amp;" · ","")&amp;IF((COUNTIF($I176:$L176,"&gt;1")+COUNTIF($I176:$L176,"&lt;0")+COUNTA($I176:$L176)-COUNT($I176:$L176))&gt;0,"Avance fuera de rango 0-100%"&amp;" · ","")&amp;IF(OR(AND($J176&lt;&gt;"",$J176&lt;$I176),AND($K176&lt;&gt;"",$K176&lt;MAX($I176:$J176)),AND($L176&lt;&gt;"",$L176&lt;MAX($I176:$K176))),"Avance semanal decreciente"&amp;" · ","")&amp;IF(AND(ISNUMBER($AN176),$AN176&lt;FechaRef,IF($V176="Sub",N($X176),N($M176))&lt;1),"Vencida"&amp;" · ","")&amp;IF(AND(ObsObligatoria="Sí",ISNUMBER($AN176),$AN176&lt;FechaRef,IF($V176="Sub",N($X176),N($M176))&lt;1,$Q176=""),"Vencida sin observación"&amp;" · ",""),LEN(IF($C176="","Falta el nombre de la actividad"&amp;" · ","")&amp;IF(AND($V176="Sub",N($U176)=0),"Subactividad sin macroactividad arriba"&amp;" · ","")&amp;IF($AM176="","Sin fecha de inicio"&amp;" · ","")&amp;IF($AN176="","Sin fecha límite"&amp;" · ","")&amp;IF(AND(LEFT($C176,11)="[Jefatura] ",N($AL176)=0),"No se encuentra en la hoja de la jefatura (elíjala de nuevo en la lista)"&amp;" · ","")&amp;IF(OR(AND($E176&lt;&gt;"",NOT(ISNUMBER($E176))),AND($F176&lt;&gt;"",NOT(ISNUMBER($F176))),AND($G176&lt;&gt;"",NOT(ISNUMBER($G176)))),"Fecha no válida"&amp;" · ","")&amp;IF(AND(ISNUMBER($AM176),ISNUMBER($AN176),$AM176&gt;$AN176),"Inicio posterior a fecha límite"&amp;" · ","")&amp;IF(AND($V176="Macro",$H176&lt;&gt;"",OR(NOT(ISNUMBER($H176)),$H176&lt;0,$H176&gt;1)),"Peso fuera de rango"&amp;" · ","")&amp;IF(AND($V176="Sub",$H176&lt;&gt;""),"Las subactividades no llevan peso (valen igual dentro de su macroactividad)"&amp;" · ","")&amp;IF(AND(N($W176)&gt;0,COUNT($I176:$L176)&gt;0),"Con subactividades: deje vacías las semanas (se calculan solas)"&amp;" · ","")&amp;IF((COUNTIF($I176:$L176,"&gt;1")+COUNTIF($I176:$L176,"&lt;0")+COUNTA($I176:$L176)-COUNT($I176:$L176))&gt;0,"Avance fuera de rango 0-100%"&amp;" · ","")&amp;IF(OR(AND($J176&lt;&gt;"",$J176&lt;$I176),AND($K176&lt;&gt;"",$K176&lt;MAX($I176:$J176)),AND($L176&lt;&gt;"",$L176&lt;MAX($I176:$K176))),"Avance semanal decreciente"&amp;" · ","")&amp;IF(AND(ISNUMBER($AN176),$AN176&lt;FechaRef,IF($V176="Sub",N($X176),N($M176))&lt;1),"Vencida"&amp;" · ","")&amp;IF(AND(ObsObligatoria="Sí",ISNUMBER($AN176),$AN176&lt;FechaRef,IF($V176="Sub",N($X176),N($M176))&lt;1,$Q176=""),"Vencida sin observación"&amp;" · ",""))-3)))</f>
        <v/>
      </c>
      <c r="S176" s="64">
        <f>IF(NOT((COUNTA($B176:$D176)+COUNTA($G176:$L176)+COUNTA($Q176))&gt;0),"",IF(AND($V176="Sub",N($U176)&gt;0),IF(ISNUMBER(INDEX($AM$5:$AM$1000,$U176-4)),DATE(YEAR(INDEX($AM$5:$AM$1000,$U176-4)),MONTH(INDEX($AM$5:$AM$1000,$U176-4)),1),IF(ISNUMBER(INDEX($AN$5:$AN$1000,$U176-4)),DATE(YEAR(INDEX($AN$5:$AN$1000,$U176-4)),MONTH(INDEX($AN$5:$AN$1000,$U176-4)),1),MesCiclo)),IF(ISNUMBER($AM176),DATE(YEAR($AM176),MONTH($AM176),1),IF(ISNUMBER($AN176),DATE(YEAR($AN176),MONTH($AN176),1),MesCiclo))))</f>
        <v/>
      </c>
      <c r="T176" s="62">
        <f>IF(OR($S176="",$S176&lt;&gt;MesCiclo,$V176&lt;&gt;"Macro"),"",COUNTIFS($S$5:$S176,MesCiclo,$V$5:$V176,"Macro"))</f>
        <v/>
      </c>
      <c r="U176" s="62">
        <f>IF($V176="","",IF($V176="Macro",ROW(),IFERROR(LOOKUP(2,1/($V$5:$V176="Macro"),ROW($V$5:$V176)),0)))</f>
        <v/>
      </c>
      <c r="V176" s="62">
        <f>IF(NOT((COUNTA($B176:$D176)+COUNTA($G176:$L176)+COUNTA($Q176))&gt;0),"",IF($B176="Subactividad","Sub","Macro"))</f>
        <v/>
      </c>
      <c r="W176" s="62">
        <f>IF($V176="Macro",COUNTIFS($U$5:$U$1000,ROW(),$V$5:$V$1000,"Sub"),"")</f>
        <v/>
      </c>
      <c r="X176" s="62">
        <f>IF($V176="","",IF(ISNUMBER($G176),1,IFERROR(LOOKUP(2,1/($I176:$L176&lt;&gt;""),$I176:$L176),0)))</f>
        <v/>
      </c>
      <c r="Y176" s="62">
        <f>IF($V176="","",IF(AND(ISNUMBER($G176),$G176&lt;=IF($S176=MesCiclo,InicioCiclo,$S176+MOD(2-WEEKDAY($S176),7))+6),1,IF(ISNUMBER($I176),$I176,0)))</f>
        <v/>
      </c>
      <c r="Z176" s="62">
        <f>IF($V176="","",IF(AND(ISNUMBER($G176),$G176&lt;=IF($S176=MesCiclo,InicioCiclo,$S176+MOD(2-WEEKDAY($S176),7))+13),1,IF(ISNUMBER($J176),$J176,$Y176)))</f>
        <v/>
      </c>
      <c r="AA176" s="62">
        <f>IF($V176="","",IF(AND(ISNUMBER($G176),$G176&lt;=IF($S176=MesCiclo,InicioCiclo,$S176+MOD(2-WEEKDAY($S176),7))+20),1,IF(ISNUMBER($K176),$K176,$Z176)))</f>
        <v/>
      </c>
      <c r="AB176" s="62">
        <f>IF($V176="","",IF(AND(ISNUMBER($G176),$G176&lt;=IF($S176=MesCiclo,InicioCiclo,$S176+MOD(2-WEEKDAY($S176),7))+27),1,IF(ISNUMBER($L176),$L176,$AA176)))</f>
        <v/>
      </c>
      <c r="AC176" s="62">
        <f>IF($V176="","",IF(AND(ISNUMBER($G176),$G176&lt;=IF($S176=MesCiclo,InicioCiclo,$S176+MOD(2-WEEKDAY($S176),7))+6),1,IF(N($W176)&gt;0,AVERAGEIFS($Y$5:$Y$1000,$U$5:$U$1000,ROW(),$V$5:$V$1000,"Sub"),$Y176)))</f>
        <v/>
      </c>
      <c r="AD176" s="62">
        <f>IF($V176="","",IF(AND(ISNUMBER($G176),$G176&lt;=IF($S176=MesCiclo,InicioCiclo,$S176+MOD(2-WEEKDAY($S176),7))+13),1,IF(N($W176)&gt;0,AVERAGEIFS($Z$5:$Z$1000,$U$5:$U$1000,ROW(),$V$5:$V$1000,"Sub"),$Z176)))</f>
        <v/>
      </c>
      <c r="AE176" s="62">
        <f>IF($V176="","",IF(AND(ISNUMBER($G176),$G176&lt;=IF($S176=MesCiclo,InicioCiclo,$S176+MOD(2-WEEKDAY($S176),7))+20),1,IF(N($W176)&gt;0,AVERAGEIFS($AA$5:$AA$1000,$U$5:$U$1000,ROW(),$V$5:$V$1000,"Sub"),$AA176)))</f>
        <v/>
      </c>
      <c r="AF176" s="62">
        <f>IF($V176="","",IF(AND(ISNUMBER($G176),$G176&lt;=IF($S176=MesCiclo,InicioCiclo,$S176+MOD(2-WEEKDAY($S176),7))+27),1,IF(N($W176)&gt;0,AVERAGEIFS($AB$5:$AB$1000,$U$5:$U$1000,ROW(),$V$5:$V$1000,"Sub"),$AB176)))</f>
        <v/>
      </c>
      <c r="AG176" s="62">
        <f>IF($V176&lt;&gt;"Macro","",IF(COUNTIFS($S$5:$S$1000,$S176,$V$5:$V$1000,"Macro",$H$5:$H$1000,"&gt;0")=0,1/COUNTIFS($S$5:$S$1000,$S176,$V$5:$V$1000,"Macro"),IF(AND(ISNUMBER($H176),N($H176)&gt;0),$H176,SUMIFS($H$5:$H$1000,$S$5:$S$1000,$S176,$V$5:$V$1000,"Macro")/COUNTIFS($S$5:$S$1000,$S176,$V$5:$V$1000,"Macro",$H$5:$H$1000,"&gt;0"))/(COUNTIFS($S$5:$S$1000,$S176,$V$5:$V$1000,"Macro")*SUMIFS($H$5:$H$1000,$S$5:$S$1000,$S176,$V$5:$V$1000,"Macro")/COUNTIFS($S$5:$S$1000,$S176,$V$5:$V$1000,"Macro",$H$5:$H$1000,"&gt;0"))))</f>
        <v/>
      </c>
      <c r="AH176" s="62" t="n"/>
      <c r="AI176" s="62" t="n"/>
      <c r="AJ176" s="62" t="n"/>
      <c r="AK176" s="62" t="n"/>
      <c r="AL176" s="62">
        <f>IF(LEFT($C176,11)="[Jefatura] ",IFERROR(MATCH("Riesgo Operacional|"&amp;MID($C176,12,500),rDname_ADM,0),0),"")</f>
        <v/>
      </c>
      <c r="AM176" s="62">
        <f>IF(N($AL176)&gt;0,INDEX(rIni_ADM,$AL176),IF(ISNUMBER($E176),$E176,""))</f>
        <v/>
      </c>
      <c r="AN176" s="62">
        <f>IF(N($AL176)&gt;0,INDEX(rLim_ADM,$AL176),IF(ISNUMBER($F176),$F176,""))</f>
        <v/>
      </c>
    </row>
    <row r="177">
      <c r="A177" s="56">
        <f>IF(NOT((COUNTA($B177:$D177)+COUNTA($G177:$L177)+COUNTA($Q177))&gt;0),"",IF($V177="Macro",COUNTIFS($V$5:$V177,"Macro",$S$5:$S177,$S177),IF(N($U177)=0,"?",COUNTIFS(INDEX($V$5:$V$1000,1):INDEX($V$5:$V$1000,$U177-4),"Macro",INDEX($S$5:$S$1000,1):INDEX($S$5:$S$1000,$U177-4),INDEX($S$5:$S$1000,$U177-4))&amp;"."&amp;COUNTIFS($U$5:$U177,$U177,$V$5:$V177,"Sub"))))</f>
        <v/>
      </c>
      <c r="B177" s="57" t="n"/>
      <c r="C177" s="58" t="n"/>
      <c r="D177" s="58" t="n"/>
      <c r="E177" s="59">
        <f>IF(N($AL177)&gt;0,INDEX(rIni_ADM,$AL177),"")</f>
        <v/>
      </c>
      <c r="F177" s="59">
        <f>IF(N($AL177)&gt;0,INDEX(rLim_ADM,$AL177),"")</f>
        <v/>
      </c>
      <c r="G177" s="59" t="n"/>
      <c r="H177" s="60" t="n"/>
      <c r="I177" s="60" t="n"/>
      <c r="J177" s="60" t="n"/>
      <c r="K177" s="60" t="n"/>
      <c r="L177" s="60" t="n"/>
      <c r="M177" s="61">
        <f>IF(NOT((COUNTA($B177:$D177)+COUNTA($G177:$L177)+COUNTA($Q177))&gt;0),"",IF($V177="Sub",IFERROR($X177/INDEX($W$5:$W$1000,$U177-4),""),IF(ISNUMBER($G177),1,IF(N($W177)&gt;0,AVERAGEIFS($X$5:$X$1000,$U$5:$U$1000,ROW(),$V$5:$V$1000,"Sub"),$X177))))</f>
        <v/>
      </c>
      <c r="N177" s="56">
        <f>IF(OR($M177="",$V177="Sub"),"",IF($M177&gt;=1,"Completado",IF($M177&gt;0,"En curso","Pendiente")))</f>
        <v/>
      </c>
      <c r="O177" s="56">
        <f>IF(OR(NOT((COUNTA($B177:$D177)+COUNTA($G177:$L177)+COUNTA($Q177))&gt;0),$V177="Sub"),"",IF(ISNUMBER($G177),IF(AND(ISNUMBER($AN177),$G177&gt;$AN177),"Cumplida con "&amp;($G177-$AN177)&amp;IF($G177-$AN177=1," día"," días")&amp;" de retraso","Cumplida"),IF(N($M177)&gt;=1,"Cumplida",IF(NOT(ISNUMBER($AN177)),"Sin fecha límite",IF($AN177&lt;FechaRef,"Vencida hace "&amp;(FechaRef-$AN177)&amp;IF(FechaRef-$AN177=1," día"," días"),IF($AN177=FechaRef,"Vence hoy",IF($AN177-FechaRef&lt;=DiasAlerta,"Vence en "&amp;($AN177-FechaRef)&amp;IF($AN177-FechaRef=1," día"," días"),"En plazo")))))))</f>
        <v/>
      </c>
      <c r="P177" s="62" t="n"/>
      <c r="Q177" s="58" t="n"/>
      <c r="R177" s="63">
        <f>IF(NOT((COUNTA($B177:$D177)+COUNTA($G177:$L177)+COUNTA($Q177))&gt;0),"",IF((IF($C177="","Falta el nombre de la actividad"&amp;" · ","")&amp;IF(AND($V177="Sub",N($U177)=0),"Subactividad sin macroactividad arriba"&amp;" · ","")&amp;IF($AM177="","Sin fecha de inicio"&amp;" · ","")&amp;IF($AN177="","Sin fecha límite"&amp;" · ","")&amp;IF(AND(LEFT($C177,11)="[Jefatura] ",N($AL177)=0),"No se encuentra en la hoja de la jefatura (elíjala de nuevo en la lista)"&amp;" · ","")&amp;IF(OR(AND($E177&lt;&gt;"",NOT(ISNUMBER($E177))),AND($F177&lt;&gt;"",NOT(ISNUMBER($F177))),AND($G177&lt;&gt;"",NOT(ISNUMBER($G177)))),"Fecha no válida"&amp;" · ","")&amp;IF(AND(ISNUMBER($AM177),ISNUMBER($AN177),$AM177&gt;$AN177),"Inicio posterior a fecha límite"&amp;" · ","")&amp;IF(AND($V177="Macro",$H177&lt;&gt;"",OR(NOT(ISNUMBER($H177)),$H177&lt;0,$H177&gt;1)),"Peso fuera de rango"&amp;" · ","")&amp;IF(AND($V177="Sub",$H177&lt;&gt;""),"Las subactividades no llevan peso (valen igual dentro de su macroactividad)"&amp;" · ","")&amp;IF(AND(N($W177)&gt;0,COUNT($I177:$L177)&gt;0),"Con subactividades: deje vacías las semanas (se calculan solas)"&amp;" · ","")&amp;IF((COUNTIF($I177:$L177,"&gt;1")+COUNTIF($I177:$L177,"&lt;0")+COUNTA($I177:$L177)-COUNT($I177:$L177))&gt;0,"Avance fuera de rango 0-100%"&amp;" · ","")&amp;IF(OR(AND($J177&lt;&gt;"",$J177&lt;$I177),AND($K177&lt;&gt;"",$K177&lt;MAX($I177:$J177)),AND($L177&lt;&gt;"",$L177&lt;MAX($I177:$K177))),"Avance semanal decreciente"&amp;" · ","")&amp;IF(AND(ISNUMBER($AN177),$AN177&lt;FechaRef,IF($V177="Sub",N($X177),N($M177))&lt;1),"Vencida"&amp;" · ","")&amp;IF(AND(ObsObligatoria="Sí",ISNUMBER($AN177),$AN177&lt;FechaRef,IF($V177="Sub",N($X177),N($M177))&lt;1,$Q177=""),"Vencida sin observación"&amp;" · ",""))="","✔ OK","⚠ "&amp;LEFT(IF($C177="","Falta el nombre de la actividad"&amp;" · ","")&amp;IF(AND($V177="Sub",N($U177)=0),"Subactividad sin macroactividad arriba"&amp;" · ","")&amp;IF($AM177="","Sin fecha de inicio"&amp;" · ","")&amp;IF($AN177="","Sin fecha límite"&amp;" · ","")&amp;IF(AND(LEFT($C177,11)="[Jefatura] ",N($AL177)=0),"No se encuentra en la hoja de la jefatura (elíjala de nuevo en la lista)"&amp;" · ","")&amp;IF(OR(AND($E177&lt;&gt;"",NOT(ISNUMBER($E177))),AND($F177&lt;&gt;"",NOT(ISNUMBER($F177))),AND($G177&lt;&gt;"",NOT(ISNUMBER($G177)))),"Fecha no válida"&amp;" · ","")&amp;IF(AND(ISNUMBER($AM177),ISNUMBER($AN177),$AM177&gt;$AN177),"Inicio posterior a fecha límite"&amp;" · ","")&amp;IF(AND($V177="Macro",$H177&lt;&gt;"",OR(NOT(ISNUMBER($H177)),$H177&lt;0,$H177&gt;1)),"Peso fuera de rango"&amp;" · ","")&amp;IF(AND($V177="Sub",$H177&lt;&gt;""),"Las subactividades no llevan peso (valen igual dentro de su macroactividad)"&amp;" · ","")&amp;IF(AND(N($W177)&gt;0,COUNT($I177:$L177)&gt;0),"Con subactividades: deje vacías las semanas (se calculan solas)"&amp;" · ","")&amp;IF((COUNTIF($I177:$L177,"&gt;1")+COUNTIF($I177:$L177,"&lt;0")+COUNTA($I177:$L177)-COUNT($I177:$L177))&gt;0,"Avance fuera de rango 0-100%"&amp;" · ","")&amp;IF(OR(AND($J177&lt;&gt;"",$J177&lt;$I177),AND($K177&lt;&gt;"",$K177&lt;MAX($I177:$J177)),AND($L177&lt;&gt;"",$L177&lt;MAX($I177:$K177))),"Avance semanal decreciente"&amp;" · ","")&amp;IF(AND(ISNUMBER($AN177),$AN177&lt;FechaRef,IF($V177="Sub",N($X177),N($M177))&lt;1),"Vencida"&amp;" · ","")&amp;IF(AND(ObsObligatoria="Sí",ISNUMBER($AN177),$AN177&lt;FechaRef,IF($V177="Sub",N($X177),N($M177))&lt;1,$Q177=""),"Vencida sin observación"&amp;" · ",""),LEN(IF($C177="","Falta el nombre de la actividad"&amp;" · ","")&amp;IF(AND($V177="Sub",N($U177)=0),"Subactividad sin macroactividad arriba"&amp;" · ","")&amp;IF($AM177="","Sin fecha de inicio"&amp;" · ","")&amp;IF($AN177="","Sin fecha límite"&amp;" · ","")&amp;IF(AND(LEFT($C177,11)="[Jefatura] ",N($AL177)=0),"No se encuentra en la hoja de la jefatura (elíjala de nuevo en la lista)"&amp;" · ","")&amp;IF(OR(AND($E177&lt;&gt;"",NOT(ISNUMBER($E177))),AND($F177&lt;&gt;"",NOT(ISNUMBER($F177))),AND($G177&lt;&gt;"",NOT(ISNUMBER($G177)))),"Fecha no válida"&amp;" · ","")&amp;IF(AND(ISNUMBER($AM177),ISNUMBER($AN177),$AM177&gt;$AN177),"Inicio posterior a fecha límite"&amp;" · ","")&amp;IF(AND($V177="Macro",$H177&lt;&gt;"",OR(NOT(ISNUMBER($H177)),$H177&lt;0,$H177&gt;1)),"Peso fuera de rango"&amp;" · ","")&amp;IF(AND($V177="Sub",$H177&lt;&gt;""),"Las subactividades no llevan peso (valen igual dentro de su macroactividad)"&amp;" · ","")&amp;IF(AND(N($W177)&gt;0,COUNT($I177:$L177)&gt;0),"Con subactividades: deje vacías las semanas (se calculan solas)"&amp;" · ","")&amp;IF((COUNTIF($I177:$L177,"&gt;1")+COUNTIF($I177:$L177,"&lt;0")+COUNTA($I177:$L177)-COUNT($I177:$L177))&gt;0,"Avance fuera de rango 0-100%"&amp;" · ","")&amp;IF(OR(AND($J177&lt;&gt;"",$J177&lt;$I177),AND($K177&lt;&gt;"",$K177&lt;MAX($I177:$J177)),AND($L177&lt;&gt;"",$L177&lt;MAX($I177:$K177))),"Avance semanal decreciente"&amp;" · ","")&amp;IF(AND(ISNUMBER($AN177),$AN177&lt;FechaRef,IF($V177="Sub",N($X177),N($M177))&lt;1),"Vencida"&amp;" · ","")&amp;IF(AND(ObsObligatoria="Sí",ISNUMBER($AN177),$AN177&lt;FechaRef,IF($V177="Sub",N($X177),N($M177))&lt;1,$Q177=""),"Vencida sin observación"&amp;" · ",""))-3)))</f>
        <v/>
      </c>
      <c r="S177" s="64">
        <f>IF(NOT((COUNTA($B177:$D177)+COUNTA($G177:$L177)+COUNTA($Q177))&gt;0),"",IF(AND($V177="Sub",N($U177)&gt;0),IF(ISNUMBER(INDEX($AM$5:$AM$1000,$U177-4)),DATE(YEAR(INDEX($AM$5:$AM$1000,$U177-4)),MONTH(INDEX($AM$5:$AM$1000,$U177-4)),1),IF(ISNUMBER(INDEX($AN$5:$AN$1000,$U177-4)),DATE(YEAR(INDEX($AN$5:$AN$1000,$U177-4)),MONTH(INDEX($AN$5:$AN$1000,$U177-4)),1),MesCiclo)),IF(ISNUMBER($AM177),DATE(YEAR($AM177),MONTH($AM177),1),IF(ISNUMBER($AN177),DATE(YEAR($AN177),MONTH($AN177),1),MesCiclo))))</f>
        <v/>
      </c>
      <c r="T177" s="62">
        <f>IF(OR($S177="",$S177&lt;&gt;MesCiclo,$V177&lt;&gt;"Macro"),"",COUNTIFS($S$5:$S177,MesCiclo,$V$5:$V177,"Macro"))</f>
        <v/>
      </c>
      <c r="U177" s="62">
        <f>IF($V177="","",IF($V177="Macro",ROW(),IFERROR(LOOKUP(2,1/($V$5:$V177="Macro"),ROW($V$5:$V177)),0)))</f>
        <v/>
      </c>
      <c r="V177" s="62">
        <f>IF(NOT((COUNTA($B177:$D177)+COUNTA($G177:$L177)+COUNTA($Q177))&gt;0),"",IF($B177="Subactividad","Sub","Macro"))</f>
        <v/>
      </c>
      <c r="W177" s="62">
        <f>IF($V177="Macro",COUNTIFS($U$5:$U$1000,ROW(),$V$5:$V$1000,"Sub"),"")</f>
        <v/>
      </c>
      <c r="X177" s="62">
        <f>IF($V177="","",IF(ISNUMBER($G177),1,IFERROR(LOOKUP(2,1/($I177:$L177&lt;&gt;""),$I177:$L177),0)))</f>
        <v/>
      </c>
      <c r="Y177" s="62">
        <f>IF($V177="","",IF(AND(ISNUMBER($G177),$G177&lt;=IF($S177=MesCiclo,InicioCiclo,$S177+MOD(2-WEEKDAY($S177),7))+6),1,IF(ISNUMBER($I177),$I177,0)))</f>
        <v/>
      </c>
      <c r="Z177" s="62">
        <f>IF($V177="","",IF(AND(ISNUMBER($G177),$G177&lt;=IF($S177=MesCiclo,InicioCiclo,$S177+MOD(2-WEEKDAY($S177),7))+13),1,IF(ISNUMBER($J177),$J177,$Y177)))</f>
        <v/>
      </c>
      <c r="AA177" s="62">
        <f>IF($V177="","",IF(AND(ISNUMBER($G177),$G177&lt;=IF($S177=MesCiclo,InicioCiclo,$S177+MOD(2-WEEKDAY($S177),7))+20),1,IF(ISNUMBER($K177),$K177,$Z177)))</f>
        <v/>
      </c>
      <c r="AB177" s="62">
        <f>IF($V177="","",IF(AND(ISNUMBER($G177),$G177&lt;=IF($S177=MesCiclo,InicioCiclo,$S177+MOD(2-WEEKDAY($S177),7))+27),1,IF(ISNUMBER($L177),$L177,$AA177)))</f>
        <v/>
      </c>
      <c r="AC177" s="62">
        <f>IF($V177="","",IF(AND(ISNUMBER($G177),$G177&lt;=IF($S177=MesCiclo,InicioCiclo,$S177+MOD(2-WEEKDAY($S177),7))+6),1,IF(N($W177)&gt;0,AVERAGEIFS($Y$5:$Y$1000,$U$5:$U$1000,ROW(),$V$5:$V$1000,"Sub"),$Y177)))</f>
        <v/>
      </c>
      <c r="AD177" s="62">
        <f>IF($V177="","",IF(AND(ISNUMBER($G177),$G177&lt;=IF($S177=MesCiclo,InicioCiclo,$S177+MOD(2-WEEKDAY($S177),7))+13),1,IF(N($W177)&gt;0,AVERAGEIFS($Z$5:$Z$1000,$U$5:$U$1000,ROW(),$V$5:$V$1000,"Sub"),$Z177)))</f>
        <v/>
      </c>
      <c r="AE177" s="62">
        <f>IF($V177="","",IF(AND(ISNUMBER($G177),$G177&lt;=IF($S177=MesCiclo,InicioCiclo,$S177+MOD(2-WEEKDAY($S177),7))+20),1,IF(N($W177)&gt;0,AVERAGEIFS($AA$5:$AA$1000,$U$5:$U$1000,ROW(),$V$5:$V$1000,"Sub"),$AA177)))</f>
        <v/>
      </c>
      <c r="AF177" s="62">
        <f>IF($V177="","",IF(AND(ISNUMBER($G177),$G177&lt;=IF($S177=MesCiclo,InicioCiclo,$S177+MOD(2-WEEKDAY($S177),7))+27),1,IF(N($W177)&gt;0,AVERAGEIFS($AB$5:$AB$1000,$U$5:$U$1000,ROW(),$V$5:$V$1000,"Sub"),$AB177)))</f>
        <v/>
      </c>
      <c r="AG177" s="62">
        <f>IF($V177&lt;&gt;"Macro","",IF(COUNTIFS($S$5:$S$1000,$S177,$V$5:$V$1000,"Macro",$H$5:$H$1000,"&gt;0")=0,1/COUNTIFS($S$5:$S$1000,$S177,$V$5:$V$1000,"Macro"),IF(AND(ISNUMBER($H177),N($H177)&gt;0),$H177,SUMIFS($H$5:$H$1000,$S$5:$S$1000,$S177,$V$5:$V$1000,"Macro")/COUNTIFS($S$5:$S$1000,$S177,$V$5:$V$1000,"Macro",$H$5:$H$1000,"&gt;0"))/(COUNTIFS($S$5:$S$1000,$S177,$V$5:$V$1000,"Macro")*SUMIFS($H$5:$H$1000,$S$5:$S$1000,$S177,$V$5:$V$1000,"Macro")/COUNTIFS($S$5:$S$1000,$S177,$V$5:$V$1000,"Macro",$H$5:$H$1000,"&gt;0"))))</f>
        <v/>
      </c>
      <c r="AH177" s="62" t="n"/>
      <c r="AI177" s="62" t="n"/>
      <c r="AJ177" s="62" t="n"/>
      <c r="AK177" s="62" t="n"/>
      <c r="AL177" s="62">
        <f>IF(LEFT($C177,11)="[Jefatura] ",IFERROR(MATCH("Riesgo Operacional|"&amp;MID($C177,12,500),rDname_ADM,0),0),"")</f>
        <v/>
      </c>
      <c r="AM177" s="62">
        <f>IF(N($AL177)&gt;0,INDEX(rIni_ADM,$AL177),IF(ISNUMBER($E177),$E177,""))</f>
        <v/>
      </c>
      <c r="AN177" s="62">
        <f>IF(N($AL177)&gt;0,INDEX(rLim_ADM,$AL177),IF(ISNUMBER($F177),$F177,""))</f>
        <v/>
      </c>
    </row>
    <row r="178">
      <c r="A178" s="56">
        <f>IF(NOT((COUNTA($B178:$D178)+COUNTA($G178:$L178)+COUNTA($Q178))&gt;0),"",IF($V178="Macro",COUNTIFS($V$5:$V178,"Macro",$S$5:$S178,$S178),IF(N($U178)=0,"?",COUNTIFS(INDEX($V$5:$V$1000,1):INDEX($V$5:$V$1000,$U178-4),"Macro",INDEX($S$5:$S$1000,1):INDEX($S$5:$S$1000,$U178-4),INDEX($S$5:$S$1000,$U178-4))&amp;"."&amp;COUNTIFS($U$5:$U178,$U178,$V$5:$V178,"Sub"))))</f>
        <v/>
      </c>
      <c r="B178" s="57" t="n"/>
      <c r="C178" s="58" t="n"/>
      <c r="D178" s="58" t="n"/>
      <c r="E178" s="59">
        <f>IF(N($AL178)&gt;0,INDEX(rIni_ADM,$AL178),"")</f>
        <v/>
      </c>
      <c r="F178" s="59">
        <f>IF(N($AL178)&gt;0,INDEX(rLim_ADM,$AL178),"")</f>
        <v/>
      </c>
      <c r="G178" s="59" t="n"/>
      <c r="H178" s="60" t="n"/>
      <c r="I178" s="60" t="n"/>
      <c r="J178" s="60" t="n"/>
      <c r="K178" s="60" t="n"/>
      <c r="L178" s="60" t="n"/>
      <c r="M178" s="61">
        <f>IF(NOT((COUNTA($B178:$D178)+COUNTA($G178:$L178)+COUNTA($Q178))&gt;0),"",IF($V178="Sub",IFERROR($X178/INDEX($W$5:$W$1000,$U178-4),""),IF(ISNUMBER($G178),1,IF(N($W178)&gt;0,AVERAGEIFS($X$5:$X$1000,$U$5:$U$1000,ROW(),$V$5:$V$1000,"Sub"),$X178))))</f>
        <v/>
      </c>
      <c r="N178" s="56">
        <f>IF(OR($M178="",$V178="Sub"),"",IF($M178&gt;=1,"Completado",IF($M178&gt;0,"En curso","Pendiente")))</f>
        <v/>
      </c>
      <c r="O178" s="56">
        <f>IF(OR(NOT((COUNTA($B178:$D178)+COUNTA($G178:$L178)+COUNTA($Q178))&gt;0),$V178="Sub"),"",IF(ISNUMBER($G178),IF(AND(ISNUMBER($AN178),$G178&gt;$AN178),"Cumplida con "&amp;($G178-$AN178)&amp;IF($G178-$AN178=1," día"," días")&amp;" de retraso","Cumplida"),IF(N($M178)&gt;=1,"Cumplida",IF(NOT(ISNUMBER($AN178)),"Sin fecha límite",IF($AN178&lt;FechaRef,"Vencida hace "&amp;(FechaRef-$AN178)&amp;IF(FechaRef-$AN178=1," día"," días"),IF($AN178=FechaRef,"Vence hoy",IF($AN178-FechaRef&lt;=DiasAlerta,"Vence en "&amp;($AN178-FechaRef)&amp;IF($AN178-FechaRef=1," día"," días"),"En plazo")))))))</f>
        <v/>
      </c>
      <c r="P178" s="62" t="n"/>
      <c r="Q178" s="58" t="n"/>
      <c r="R178" s="63">
        <f>IF(NOT((COUNTA($B178:$D178)+COUNTA($G178:$L178)+COUNTA($Q178))&gt;0),"",IF((IF($C178="","Falta el nombre de la actividad"&amp;" · ","")&amp;IF(AND($V178="Sub",N($U178)=0),"Subactividad sin macroactividad arriba"&amp;" · ","")&amp;IF($AM178="","Sin fecha de inicio"&amp;" · ","")&amp;IF($AN178="","Sin fecha límite"&amp;" · ","")&amp;IF(AND(LEFT($C178,11)="[Jefatura] ",N($AL178)=0),"No se encuentra en la hoja de la jefatura (elíjala de nuevo en la lista)"&amp;" · ","")&amp;IF(OR(AND($E178&lt;&gt;"",NOT(ISNUMBER($E178))),AND($F178&lt;&gt;"",NOT(ISNUMBER($F178))),AND($G178&lt;&gt;"",NOT(ISNUMBER($G178)))),"Fecha no válida"&amp;" · ","")&amp;IF(AND(ISNUMBER($AM178),ISNUMBER($AN178),$AM178&gt;$AN178),"Inicio posterior a fecha límite"&amp;" · ","")&amp;IF(AND($V178="Macro",$H178&lt;&gt;"",OR(NOT(ISNUMBER($H178)),$H178&lt;0,$H178&gt;1)),"Peso fuera de rango"&amp;" · ","")&amp;IF(AND($V178="Sub",$H178&lt;&gt;""),"Las subactividades no llevan peso (valen igual dentro de su macroactividad)"&amp;" · ","")&amp;IF(AND(N($W178)&gt;0,COUNT($I178:$L178)&gt;0),"Con subactividades: deje vacías las semanas (se calculan solas)"&amp;" · ","")&amp;IF((COUNTIF($I178:$L178,"&gt;1")+COUNTIF($I178:$L178,"&lt;0")+COUNTA($I178:$L178)-COUNT($I178:$L178))&gt;0,"Avance fuera de rango 0-100%"&amp;" · ","")&amp;IF(OR(AND($J178&lt;&gt;"",$J178&lt;$I178),AND($K178&lt;&gt;"",$K178&lt;MAX($I178:$J178)),AND($L178&lt;&gt;"",$L178&lt;MAX($I178:$K178))),"Avance semanal decreciente"&amp;" · ","")&amp;IF(AND(ISNUMBER($AN178),$AN178&lt;FechaRef,IF($V178="Sub",N($X178),N($M178))&lt;1),"Vencida"&amp;" · ","")&amp;IF(AND(ObsObligatoria="Sí",ISNUMBER($AN178),$AN178&lt;FechaRef,IF($V178="Sub",N($X178),N($M178))&lt;1,$Q178=""),"Vencida sin observación"&amp;" · ",""))="","✔ OK","⚠ "&amp;LEFT(IF($C178="","Falta el nombre de la actividad"&amp;" · ","")&amp;IF(AND($V178="Sub",N($U178)=0),"Subactividad sin macroactividad arriba"&amp;" · ","")&amp;IF($AM178="","Sin fecha de inicio"&amp;" · ","")&amp;IF($AN178="","Sin fecha límite"&amp;" · ","")&amp;IF(AND(LEFT($C178,11)="[Jefatura] ",N($AL178)=0),"No se encuentra en la hoja de la jefatura (elíjala de nuevo en la lista)"&amp;" · ","")&amp;IF(OR(AND($E178&lt;&gt;"",NOT(ISNUMBER($E178))),AND($F178&lt;&gt;"",NOT(ISNUMBER($F178))),AND($G178&lt;&gt;"",NOT(ISNUMBER($G178)))),"Fecha no válida"&amp;" · ","")&amp;IF(AND(ISNUMBER($AM178),ISNUMBER($AN178),$AM178&gt;$AN178),"Inicio posterior a fecha límite"&amp;" · ","")&amp;IF(AND($V178="Macro",$H178&lt;&gt;"",OR(NOT(ISNUMBER($H178)),$H178&lt;0,$H178&gt;1)),"Peso fuera de rango"&amp;" · ","")&amp;IF(AND($V178="Sub",$H178&lt;&gt;""),"Las subactividades no llevan peso (valen igual dentro de su macroactividad)"&amp;" · ","")&amp;IF(AND(N($W178)&gt;0,COUNT($I178:$L178)&gt;0),"Con subactividades: deje vacías las semanas (se calculan solas)"&amp;" · ","")&amp;IF((COUNTIF($I178:$L178,"&gt;1")+COUNTIF($I178:$L178,"&lt;0")+COUNTA($I178:$L178)-COUNT($I178:$L178))&gt;0,"Avance fuera de rango 0-100%"&amp;" · ","")&amp;IF(OR(AND($J178&lt;&gt;"",$J178&lt;$I178),AND($K178&lt;&gt;"",$K178&lt;MAX($I178:$J178)),AND($L178&lt;&gt;"",$L178&lt;MAX($I178:$K178))),"Avance semanal decreciente"&amp;" · ","")&amp;IF(AND(ISNUMBER($AN178),$AN178&lt;FechaRef,IF($V178="Sub",N($X178),N($M178))&lt;1),"Vencida"&amp;" · ","")&amp;IF(AND(ObsObligatoria="Sí",ISNUMBER($AN178),$AN178&lt;FechaRef,IF($V178="Sub",N($X178),N($M178))&lt;1,$Q178=""),"Vencida sin observación"&amp;" · ",""),LEN(IF($C178="","Falta el nombre de la actividad"&amp;" · ","")&amp;IF(AND($V178="Sub",N($U178)=0),"Subactividad sin macroactividad arriba"&amp;" · ","")&amp;IF($AM178="","Sin fecha de inicio"&amp;" · ","")&amp;IF($AN178="","Sin fecha límite"&amp;" · ","")&amp;IF(AND(LEFT($C178,11)="[Jefatura] ",N($AL178)=0),"No se encuentra en la hoja de la jefatura (elíjala de nuevo en la lista)"&amp;" · ","")&amp;IF(OR(AND($E178&lt;&gt;"",NOT(ISNUMBER($E178))),AND($F178&lt;&gt;"",NOT(ISNUMBER($F178))),AND($G178&lt;&gt;"",NOT(ISNUMBER($G178)))),"Fecha no válida"&amp;" · ","")&amp;IF(AND(ISNUMBER($AM178),ISNUMBER($AN178),$AM178&gt;$AN178),"Inicio posterior a fecha límite"&amp;" · ","")&amp;IF(AND($V178="Macro",$H178&lt;&gt;"",OR(NOT(ISNUMBER($H178)),$H178&lt;0,$H178&gt;1)),"Peso fuera de rango"&amp;" · ","")&amp;IF(AND($V178="Sub",$H178&lt;&gt;""),"Las subactividades no llevan peso (valen igual dentro de su macroactividad)"&amp;" · ","")&amp;IF(AND(N($W178)&gt;0,COUNT($I178:$L178)&gt;0),"Con subactividades: deje vacías las semanas (se calculan solas)"&amp;" · ","")&amp;IF((COUNTIF($I178:$L178,"&gt;1")+COUNTIF($I178:$L178,"&lt;0")+COUNTA($I178:$L178)-COUNT($I178:$L178))&gt;0,"Avance fuera de rango 0-100%"&amp;" · ","")&amp;IF(OR(AND($J178&lt;&gt;"",$J178&lt;$I178),AND($K178&lt;&gt;"",$K178&lt;MAX($I178:$J178)),AND($L178&lt;&gt;"",$L178&lt;MAX($I178:$K178))),"Avance semanal decreciente"&amp;" · ","")&amp;IF(AND(ISNUMBER($AN178),$AN178&lt;FechaRef,IF($V178="Sub",N($X178),N($M178))&lt;1),"Vencida"&amp;" · ","")&amp;IF(AND(ObsObligatoria="Sí",ISNUMBER($AN178),$AN178&lt;FechaRef,IF($V178="Sub",N($X178),N($M178))&lt;1,$Q178=""),"Vencida sin observación"&amp;" · ",""))-3)))</f>
        <v/>
      </c>
      <c r="S178" s="64">
        <f>IF(NOT((COUNTA($B178:$D178)+COUNTA($G178:$L178)+COUNTA($Q178))&gt;0),"",IF(AND($V178="Sub",N($U178)&gt;0),IF(ISNUMBER(INDEX($AM$5:$AM$1000,$U178-4)),DATE(YEAR(INDEX($AM$5:$AM$1000,$U178-4)),MONTH(INDEX($AM$5:$AM$1000,$U178-4)),1),IF(ISNUMBER(INDEX($AN$5:$AN$1000,$U178-4)),DATE(YEAR(INDEX($AN$5:$AN$1000,$U178-4)),MONTH(INDEX($AN$5:$AN$1000,$U178-4)),1),MesCiclo)),IF(ISNUMBER($AM178),DATE(YEAR($AM178),MONTH($AM178),1),IF(ISNUMBER($AN178),DATE(YEAR($AN178),MONTH($AN178),1),MesCiclo))))</f>
        <v/>
      </c>
      <c r="T178" s="62">
        <f>IF(OR($S178="",$S178&lt;&gt;MesCiclo,$V178&lt;&gt;"Macro"),"",COUNTIFS($S$5:$S178,MesCiclo,$V$5:$V178,"Macro"))</f>
        <v/>
      </c>
      <c r="U178" s="62">
        <f>IF($V178="","",IF($V178="Macro",ROW(),IFERROR(LOOKUP(2,1/($V$5:$V178="Macro"),ROW($V$5:$V178)),0)))</f>
        <v/>
      </c>
      <c r="V178" s="62">
        <f>IF(NOT((COUNTA($B178:$D178)+COUNTA($G178:$L178)+COUNTA($Q178))&gt;0),"",IF($B178="Subactividad","Sub","Macro"))</f>
        <v/>
      </c>
      <c r="W178" s="62">
        <f>IF($V178="Macro",COUNTIFS($U$5:$U$1000,ROW(),$V$5:$V$1000,"Sub"),"")</f>
        <v/>
      </c>
      <c r="X178" s="62">
        <f>IF($V178="","",IF(ISNUMBER($G178),1,IFERROR(LOOKUP(2,1/($I178:$L178&lt;&gt;""),$I178:$L178),0)))</f>
        <v/>
      </c>
      <c r="Y178" s="62">
        <f>IF($V178="","",IF(AND(ISNUMBER($G178),$G178&lt;=IF($S178=MesCiclo,InicioCiclo,$S178+MOD(2-WEEKDAY($S178),7))+6),1,IF(ISNUMBER($I178),$I178,0)))</f>
        <v/>
      </c>
      <c r="Z178" s="62">
        <f>IF($V178="","",IF(AND(ISNUMBER($G178),$G178&lt;=IF($S178=MesCiclo,InicioCiclo,$S178+MOD(2-WEEKDAY($S178),7))+13),1,IF(ISNUMBER($J178),$J178,$Y178)))</f>
        <v/>
      </c>
      <c r="AA178" s="62">
        <f>IF($V178="","",IF(AND(ISNUMBER($G178),$G178&lt;=IF($S178=MesCiclo,InicioCiclo,$S178+MOD(2-WEEKDAY($S178),7))+20),1,IF(ISNUMBER($K178),$K178,$Z178)))</f>
        <v/>
      </c>
      <c r="AB178" s="62">
        <f>IF($V178="","",IF(AND(ISNUMBER($G178),$G178&lt;=IF($S178=MesCiclo,InicioCiclo,$S178+MOD(2-WEEKDAY($S178),7))+27),1,IF(ISNUMBER($L178),$L178,$AA178)))</f>
        <v/>
      </c>
      <c r="AC178" s="62">
        <f>IF($V178="","",IF(AND(ISNUMBER($G178),$G178&lt;=IF($S178=MesCiclo,InicioCiclo,$S178+MOD(2-WEEKDAY($S178),7))+6),1,IF(N($W178)&gt;0,AVERAGEIFS($Y$5:$Y$1000,$U$5:$U$1000,ROW(),$V$5:$V$1000,"Sub"),$Y178)))</f>
        <v/>
      </c>
      <c r="AD178" s="62">
        <f>IF($V178="","",IF(AND(ISNUMBER($G178),$G178&lt;=IF($S178=MesCiclo,InicioCiclo,$S178+MOD(2-WEEKDAY($S178),7))+13),1,IF(N($W178)&gt;0,AVERAGEIFS($Z$5:$Z$1000,$U$5:$U$1000,ROW(),$V$5:$V$1000,"Sub"),$Z178)))</f>
        <v/>
      </c>
      <c r="AE178" s="62">
        <f>IF($V178="","",IF(AND(ISNUMBER($G178),$G178&lt;=IF($S178=MesCiclo,InicioCiclo,$S178+MOD(2-WEEKDAY($S178),7))+20),1,IF(N($W178)&gt;0,AVERAGEIFS($AA$5:$AA$1000,$U$5:$U$1000,ROW(),$V$5:$V$1000,"Sub"),$AA178)))</f>
        <v/>
      </c>
      <c r="AF178" s="62">
        <f>IF($V178="","",IF(AND(ISNUMBER($G178),$G178&lt;=IF($S178=MesCiclo,InicioCiclo,$S178+MOD(2-WEEKDAY($S178),7))+27),1,IF(N($W178)&gt;0,AVERAGEIFS($AB$5:$AB$1000,$U$5:$U$1000,ROW(),$V$5:$V$1000,"Sub"),$AB178)))</f>
        <v/>
      </c>
      <c r="AG178" s="62">
        <f>IF($V178&lt;&gt;"Macro","",IF(COUNTIFS($S$5:$S$1000,$S178,$V$5:$V$1000,"Macro",$H$5:$H$1000,"&gt;0")=0,1/COUNTIFS($S$5:$S$1000,$S178,$V$5:$V$1000,"Macro"),IF(AND(ISNUMBER($H178),N($H178)&gt;0),$H178,SUMIFS($H$5:$H$1000,$S$5:$S$1000,$S178,$V$5:$V$1000,"Macro")/COUNTIFS($S$5:$S$1000,$S178,$V$5:$V$1000,"Macro",$H$5:$H$1000,"&gt;0"))/(COUNTIFS($S$5:$S$1000,$S178,$V$5:$V$1000,"Macro")*SUMIFS($H$5:$H$1000,$S$5:$S$1000,$S178,$V$5:$V$1000,"Macro")/COUNTIFS($S$5:$S$1000,$S178,$V$5:$V$1000,"Macro",$H$5:$H$1000,"&gt;0"))))</f>
        <v/>
      </c>
      <c r="AH178" s="62" t="n"/>
      <c r="AI178" s="62" t="n"/>
      <c r="AJ178" s="62" t="n"/>
      <c r="AK178" s="62" t="n"/>
      <c r="AL178" s="62">
        <f>IF(LEFT($C178,11)="[Jefatura] ",IFERROR(MATCH("Riesgo Operacional|"&amp;MID($C178,12,500),rDname_ADM,0),0),"")</f>
        <v/>
      </c>
      <c r="AM178" s="62">
        <f>IF(N($AL178)&gt;0,INDEX(rIni_ADM,$AL178),IF(ISNUMBER($E178),$E178,""))</f>
        <v/>
      </c>
      <c r="AN178" s="62">
        <f>IF(N($AL178)&gt;0,INDEX(rLim_ADM,$AL178),IF(ISNUMBER($F178),$F178,""))</f>
        <v/>
      </c>
    </row>
    <row r="179">
      <c r="A179" s="56">
        <f>IF(NOT((COUNTA($B179:$D179)+COUNTA($G179:$L179)+COUNTA($Q179))&gt;0),"",IF($V179="Macro",COUNTIFS($V$5:$V179,"Macro",$S$5:$S179,$S179),IF(N($U179)=0,"?",COUNTIFS(INDEX($V$5:$V$1000,1):INDEX($V$5:$V$1000,$U179-4),"Macro",INDEX($S$5:$S$1000,1):INDEX($S$5:$S$1000,$U179-4),INDEX($S$5:$S$1000,$U179-4))&amp;"."&amp;COUNTIFS($U$5:$U179,$U179,$V$5:$V179,"Sub"))))</f>
        <v/>
      </c>
      <c r="B179" s="57" t="n"/>
      <c r="C179" s="58" t="n"/>
      <c r="D179" s="58" t="n"/>
      <c r="E179" s="59">
        <f>IF(N($AL179)&gt;0,INDEX(rIni_ADM,$AL179),"")</f>
        <v/>
      </c>
      <c r="F179" s="59">
        <f>IF(N($AL179)&gt;0,INDEX(rLim_ADM,$AL179),"")</f>
        <v/>
      </c>
      <c r="G179" s="59" t="n"/>
      <c r="H179" s="60" t="n"/>
      <c r="I179" s="60" t="n"/>
      <c r="J179" s="60" t="n"/>
      <c r="K179" s="60" t="n"/>
      <c r="L179" s="60" t="n"/>
      <c r="M179" s="61">
        <f>IF(NOT((COUNTA($B179:$D179)+COUNTA($G179:$L179)+COUNTA($Q179))&gt;0),"",IF($V179="Sub",IFERROR($X179/INDEX($W$5:$W$1000,$U179-4),""),IF(ISNUMBER($G179),1,IF(N($W179)&gt;0,AVERAGEIFS($X$5:$X$1000,$U$5:$U$1000,ROW(),$V$5:$V$1000,"Sub"),$X179))))</f>
        <v/>
      </c>
      <c r="N179" s="56">
        <f>IF(OR($M179="",$V179="Sub"),"",IF($M179&gt;=1,"Completado",IF($M179&gt;0,"En curso","Pendiente")))</f>
        <v/>
      </c>
      <c r="O179" s="56">
        <f>IF(OR(NOT((COUNTA($B179:$D179)+COUNTA($G179:$L179)+COUNTA($Q179))&gt;0),$V179="Sub"),"",IF(ISNUMBER($G179),IF(AND(ISNUMBER($AN179),$G179&gt;$AN179),"Cumplida con "&amp;($G179-$AN179)&amp;IF($G179-$AN179=1," día"," días")&amp;" de retraso","Cumplida"),IF(N($M179)&gt;=1,"Cumplida",IF(NOT(ISNUMBER($AN179)),"Sin fecha límite",IF($AN179&lt;FechaRef,"Vencida hace "&amp;(FechaRef-$AN179)&amp;IF(FechaRef-$AN179=1," día"," días"),IF($AN179=FechaRef,"Vence hoy",IF($AN179-FechaRef&lt;=DiasAlerta,"Vence en "&amp;($AN179-FechaRef)&amp;IF($AN179-FechaRef=1," día"," días"),"En plazo")))))))</f>
        <v/>
      </c>
      <c r="P179" s="62" t="n"/>
      <c r="Q179" s="58" t="n"/>
      <c r="R179" s="63">
        <f>IF(NOT((COUNTA($B179:$D179)+COUNTA($G179:$L179)+COUNTA($Q179))&gt;0),"",IF((IF($C179="","Falta el nombre de la actividad"&amp;" · ","")&amp;IF(AND($V179="Sub",N($U179)=0),"Subactividad sin macroactividad arriba"&amp;" · ","")&amp;IF($AM179="","Sin fecha de inicio"&amp;" · ","")&amp;IF($AN179="","Sin fecha límite"&amp;" · ","")&amp;IF(AND(LEFT($C179,11)="[Jefatura] ",N($AL179)=0),"No se encuentra en la hoja de la jefatura (elíjala de nuevo en la lista)"&amp;" · ","")&amp;IF(OR(AND($E179&lt;&gt;"",NOT(ISNUMBER($E179))),AND($F179&lt;&gt;"",NOT(ISNUMBER($F179))),AND($G179&lt;&gt;"",NOT(ISNUMBER($G179)))),"Fecha no válida"&amp;" · ","")&amp;IF(AND(ISNUMBER($AM179),ISNUMBER($AN179),$AM179&gt;$AN179),"Inicio posterior a fecha límite"&amp;" · ","")&amp;IF(AND($V179="Macro",$H179&lt;&gt;"",OR(NOT(ISNUMBER($H179)),$H179&lt;0,$H179&gt;1)),"Peso fuera de rango"&amp;" · ","")&amp;IF(AND($V179="Sub",$H179&lt;&gt;""),"Las subactividades no llevan peso (valen igual dentro de su macroactividad)"&amp;" · ","")&amp;IF(AND(N($W179)&gt;0,COUNT($I179:$L179)&gt;0),"Con subactividades: deje vacías las semanas (se calculan solas)"&amp;" · ","")&amp;IF((COUNTIF($I179:$L179,"&gt;1")+COUNTIF($I179:$L179,"&lt;0")+COUNTA($I179:$L179)-COUNT($I179:$L179))&gt;0,"Avance fuera de rango 0-100%"&amp;" · ","")&amp;IF(OR(AND($J179&lt;&gt;"",$J179&lt;$I179),AND($K179&lt;&gt;"",$K179&lt;MAX($I179:$J179)),AND($L179&lt;&gt;"",$L179&lt;MAX($I179:$K179))),"Avance semanal decreciente"&amp;" · ","")&amp;IF(AND(ISNUMBER($AN179),$AN179&lt;FechaRef,IF($V179="Sub",N($X179),N($M179))&lt;1),"Vencida"&amp;" · ","")&amp;IF(AND(ObsObligatoria="Sí",ISNUMBER($AN179),$AN179&lt;FechaRef,IF($V179="Sub",N($X179),N($M179))&lt;1,$Q179=""),"Vencida sin observación"&amp;" · ",""))="","✔ OK","⚠ "&amp;LEFT(IF($C179="","Falta el nombre de la actividad"&amp;" · ","")&amp;IF(AND($V179="Sub",N($U179)=0),"Subactividad sin macroactividad arriba"&amp;" · ","")&amp;IF($AM179="","Sin fecha de inicio"&amp;" · ","")&amp;IF($AN179="","Sin fecha límite"&amp;" · ","")&amp;IF(AND(LEFT($C179,11)="[Jefatura] ",N($AL179)=0),"No se encuentra en la hoja de la jefatura (elíjala de nuevo en la lista)"&amp;" · ","")&amp;IF(OR(AND($E179&lt;&gt;"",NOT(ISNUMBER($E179))),AND($F179&lt;&gt;"",NOT(ISNUMBER($F179))),AND($G179&lt;&gt;"",NOT(ISNUMBER($G179)))),"Fecha no válida"&amp;" · ","")&amp;IF(AND(ISNUMBER($AM179),ISNUMBER($AN179),$AM179&gt;$AN179),"Inicio posterior a fecha límite"&amp;" · ","")&amp;IF(AND($V179="Macro",$H179&lt;&gt;"",OR(NOT(ISNUMBER($H179)),$H179&lt;0,$H179&gt;1)),"Peso fuera de rango"&amp;" · ","")&amp;IF(AND($V179="Sub",$H179&lt;&gt;""),"Las subactividades no llevan peso (valen igual dentro de su macroactividad)"&amp;" · ","")&amp;IF(AND(N($W179)&gt;0,COUNT($I179:$L179)&gt;0),"Con subactividades: deje vacías las semanas (se calculan solas)"&amp;" · ","")&amp;IF((COUNTIF($I179:$L179,"&gt;1")+COUNTIF($I179:$L179,"&lt;0")+COUNTA($I179:$L179)-COUNT($I179:$L179))&gt;0,"Avance fuera de rango 0-100%"&amp;" · ","")&amp;IF(OR(AND($J179&lt;&gt;"",$J179&lt;$I179),AND($K179&lt;&gt;"",$K179&lt;MAX($I179:$J179)),AND($L179&lt;&gt;"",$L179&lt;MAX($I179:$K179))),"Avance semanal decreciente"&amp;" · ","")&amp;IF(AND(ISNUMBER($AN179),$AN179&lt;FechaRef,IF($V179="Sub",N($X179),N($M179))&lt;1),"Vencida"&amp;" · ","")&amp;IF(AND(ObsObligatoria="Sí",ISNUMBER($AN179),$AN179&lt;FechaRef,IF($V179="Sub",N($X179),N($M179))&lt;1,$Q179=""),"Vencida sin observación"&amp;" · ",""),LEN(IF($C179="","Falta el nombre de la actividad"&amp;" · ","")&amp;IF(AND($V179="Sub",N($U179)=0),"Subactividad sin macroactividad arriba"&amp;" · ","")&amp;IF($AM179="","Sin fecha de inicio"&amp;" · ","")&amp;IF($AN179="","Sin fecha límite"&amp;" · ","")&amp;IF(AND(LEFT($C179,11)="[Jefatura] ",N($AL179)=0),"No se encuentra en la hoja de la jefatura (elíjala de nuevo en la lista)"&amp;" · ","")&amp;IF(OR(AND($E179&lt;&gt;"",NOT(ISNUMBER($E179))),AND($F179&lt;&gt;"",NOT(ISNUMBER($F179))),AND($G179&lt;&gt;"",NOT(ISNUMBER($G179)))),"Fecha no válida"&amp;" · ","")&amp;IF(AND(ISNUMBER($AM179),ISNUMBER($AN179),$AM179&gt;$AN179),"Inicio posterior a fecha límite"&amp;" · ","")&amp;IF(AND($V179="Macro",$H179&lt;&gt;"",OR(NOT(ISNUMBER($H179)),$H179&lt;0,$H179&gt;1)),"Peso fuera de rango"&amp;" · ","")&amp;IF(AND($V179="Sub",$H179&lt;&gt;""),"Las subactividades no llevan peso (valen igual dentro de su macroactividad)"&amp;" · ","")&amp;IF(AND(N($W179)&gt;0,COUNT($I179:$L179)&gt;0),"Con subactividades: deje vacías las semanas (se calculan solas)"&amp;" · ","")&amp;IF((COUNTIF($I179:$L179,"&gt;1")+COUNTIF($I179:$L179,"&lt;0")+COUNTA($I179:$L179)-COUNT($I179:$L179))&gt;0,"Avance fuera de rango 0-100%"&amp;" · ","")&amp;IF(OR(AND($J179&lt;&gt;"",$J179&lt;$I179),AND($K179&lt;&gt;"",$K179&lt;MAX($I179:$J179)),AND($L179&lt;&gt;"",$L179&lt;MAX($I179:$K179))),"Avance semanal decreciente"&amp;" · ","")&amp;IF(AND(ISNUMBER($AN179),$AN179&lt;FechaRef,IF($V179="Sub",N($X179),N($M179))&lt;1),"Vencida"&amp;" · ","")&amp;IF(AND(ObsObligatoria="Sí",ISNUMBER($AN179),$AN179&lt;FechaRef,IF($V179="Sub",N($X179),N($M179))&lt;1,$Q179=""),"Vencida sin observación"&amp;" · ",""))-3)))</f>
        <v/>
      </c>
      <c r="S179" s="64">
        <f>IF(NOT((COUNTA($B179:$D179)+COUNTA($G179:$L179)+COUNTA($Q179))&gt;0),"",IF(AND($V179="Sub",N($U179)&gt;0),IF(ISNUMBER(INDEX($AM$5:$AM$1000,$U179-4)),DATE(YEAR(INDEX($AM$5:$AM$1000,$U179-4)),MONTH(INDEX($AM$5:$AM$1000,$U179-4)),1),IF(ISNUMBER(INDEX($AN$5:$AN$1000,$U179-4)),DATE(YEAR(INDEX($AN$5:$AN$1000,$U179-4)),MONTH(INDEX($AN$5:$AN$1000,$U179-4)),1),MesCiclo)),IF(ISNUMBER($AM179),DATE(YEAR($AM179),MONTH($AM179),1),IF(ISNUMBER($AN179),DATE(YEAR($AN179),MONTH($AN179),1),MesCiclo))))</f>
        <v/>
      </c>
      <c r="T179" s="62">
        <f>IF(OR($S179="",$S179&lt;&gt;MesCiclo,$V179&lt;&gt;"Macro"),"",COUNTIFS($S$5:$S179,MesCiclo,$V$5:$V179,"Macro"))</f>
        <v/>
      </c>
      <c r="U179" s="62">
        <f>IF($V179="","",IF($V179="Macro",ROW(),IFERROR(LOOKUP(2,1/($V$5:$V179="Macro"),ROW($V$5:$V179)),0)))</f>
        <v/>
      </c>
      <c r="V179" s="62">
        <f>IF(NOT((COUNTA($B179:$D179)+COUNTA($G179:$L179)+COUNTA($Q179))&gt;0),"",IF($B179="Subactividad","Sub","Macro"))</f>
        <v/>
      </c>
      <c r="W179" s="62">
        <f>IF($V179="Macro",COUNTIFS($U$5:$U$1000,ROW(),$V$5:$V$1000,"Sub"),"")</f>
        <v/>
      </c>
      <c r="X179" s="62">
        <f>IF($V179="","",IF(ISNUMBER($G179),1,IFERROR(LOOKUP(2,1/($I179:$L179&lt;&gt;""),$I179:$L179),0)))</f>
        <v/>
      </c>
      <c r="Y179" s="62">
        <f>IF($V179="","",IF(AND(ISNUMBER($G179),$G179&lt;=IF($S179=MesCiclo,InicioCiclo,$S179+MOD(2-WEEKDAY($S179),7))+6),1,IF(ISNUMBER($I179),$I179,0)))</f>
        <v/>
      </c>
      <c r="Z179" s="62">
        <f>IF($V179="","",IF(AND(ISNUMBER($G179),$G179&lt;=IF($S179=MesCiclo,InicioCiclo,$S179+MOD(2-WEEKDAY($S179),7))+13),1,IF(ISNUMBER($J179),$J179,$Y179)))</f>
        <v/>
      </c>
      <c r="AA179" s="62">
        <f>IF($V179="","",IF(AND(ISNUMBER($G179),$G179&lt;=IF($S179=MesCiclo,InicioCiclo,$S179+MOD(2-WEEKDAY($S179),7))+20),1,IF(ISNUMBER($K179),$K179,$Z179)))</f>
        <v/>
      </c>
      <c r="AB179" s="62">
        <f>IF($V179="","",IF(AND(ISNUMBER($G179),$G179&lt;=IF($S179=MesCiclo,InicioCiclo,$S179+MOD(2-WEEKDAY($S179),7))+27),1,IF(ISNUMBER($L179),$L179,$AA179)))</f>
        <v/>
      </c>
      <c r="AC179" s="62">
        <f>IF($V179="","",IF(AND(ISNUMBER($G179),$G179&lt;=IF($S179=MesCiclo,InicioCiclo,$S179+MOD(2-WEEKDAY($S179),7))+6),1,IF(N($W179)&gt;0,AVERAGEIFS($Y$5:$Y$1000,$U$5:$U$1000,ROW(),$V$5:$V$1000,"Sub"),$Y179)))</f>
        <v/>
      </c>
      <c r="AD179" s="62">
        <f>IF($V179="","",IF(AND(ISNUMBER($G179),$G179&lt;=IF($S179=MesCiclo,InicioCiclo,$S179+MOD(2-WEEKDAY($S179),7))+13),1,IF(N($W179)&gt;0,AVERAGEIFS($Z$5:$Z$1000,$U$5:$U$1000,ROW(),$V$5:$V$1000,"Sub"),$Z179)))</f>
        <v/>
      </c>
      <c r="AE179" s="62">
        <f>IF($V179="","",IF(AND(ISNUMBER($G179),$G179&lt;=IF($S179=MesCiclo,InicioCiclo,$S179+MOD(2-WEEKDAY($S179),7))+20),1,IF(N($W179)&gt;0,AVERAGEIFS($AA$5:$AA$1000,$U$5:$U$1000,ROW(),$V$5:$V$1000,"Sub"),$AA179)))</f>
        <v/>
      </c>
      <c r="AF179" s="62">
        <f>IF($V179="","",IF(AND(ISNUMBER($G179),$G179&lt;=IF($S179=MesCiclo,InicioCiclo,$S179+MOD(2-WEEKDAY($S179),7))+27),1,IF(N($W179)&gt;0,AVERAGEIFS($AB$5:$AB$1000,$U$5:$U$1000,ROW(),$V$5:$V$1000,"Sub"),$AB179)))</f>
        <v/>
      </c>
      <c r="AG179" s="62">
        <f>IF($V179&lt;&gt;"Macro","",IF(COUNTIFS($S$5:$S$1000,$S179,$V$5:$V$1000,"Macro",$H$5:$H$1000,"&gt;0")=0,1/COUNTIFS($S$5:$S$1000,$S179,$V$5:$V$1000,"Macro"),IF(AND(ISNUMBER($H179),N($H179)&gt;0),$H179,SUMIFS($H$5:$H$1000,$S$5:$S$1000,$S179,$V$5:$V$1000,"Macro")/COUNTIFS($S$5:$S$1000,$S179,$V$5:$V$1000,"Macro",$H$5:$H$1000,"&gt;0"))/(COUNTIFS($S$5:$S$1000,$S179,$V$5:$V$1000,"Macro")*SUMIFS($H$5:$H$1000,$S$5:$S$1000,$S179,$V$5:$V$1000,"Macro")/COUNTIFS($S$5:$S$1000,$S179,$V$5:$V$1000,"Macro",$H$5:$H$1000,"&gt;0"))))</f>
        <v/>
      </c>
      <c r="AH179" s="62" t="n"/>
      <c r="AI179" s="62" t="n"/>
      <c r="AJ179" s="62" t="n"/>
      <c r="AK179" s="62" t="n"/>
      <c r="AL179" s="62">
        <f>IF(LEFT($C179,11)="[Jefatura] ",IFERROR(MATCH("Riesgo Operacional|"&amp;MID($C179,12,500),rDname_ADM,0),0),"")</f>
        <v/>
      </c>
      <c r="AM179" s="62">
        <f>IF(N($AL179)&gt;0,INDEX(rIni_ADM,$AL179),IF(ISNUMBER($E179),$E179,""))</f>
        <v/>
      </c>
      <c r="AN179" s="62">
        <f>IF(N($AL179)&gt;0,INDEX(rLim_ADM,$AL179),IF(ISNUMBER($F179),$F179,""))</f>
        <v/>
      </c>
    </row>
    <row r="180">
      <c r="A180" s="56">
        <f>IF(NOT((COUNTA($B180:$D180)+COUNTA($G180:$L180)+COUNTA($Q180))&gt;0),"",IF($V180="Macro",COUNTIFS($V$5:$V180,"Macro",$S$5:$S180,$S180),IF(N($U180)=0,"?",COUNTIFS(INDEX($V$5:$V$1000,1):INDEX($V$5:$V$1000,$U180-4),"Macro",INDEX($S$5:$S$1000,1):INDEX($S$5:$S$1000,$U180-4),INDEX($S$5:$S$1000,$U180-4))&amp;"."&amp;COUNTIFS($U$5:$U180,$U180,$V$5:$V180,"Sub"))))</f>
        <v/>
      </c>
      <c r="B180" s="57" t="n"/>
      <c r="C180" s="58" t="n"/>
      <c r="D180" s="58" t="n"/>
      <c r="E180" s="59">
        <f>IF(N($AL180)&gt;0,INDEX(rIni_ADM,$AL180),"")</f>
        <v/>
      </c>
      <c r="F180" s="59">
        <f>IF(N($AL180)&gt;0,INDEX(rLim_ADM,$AL180),"")</f>
        <v/>
      </c>
      <c r="G180" s="59" t="n"/>
      <c r="H180" s="60" t="n"/>
      <c r="I180" s="60" t="n"/>
      <c r="J180" s="60" t="n"/>
      <c r="K180" s="60" t="n"/>
      <c r="L180" s="60" t="n"/>
      <c r="M180" s="61">
        <f>IF(NOT((COUNTA($B180:$D180)+COUNTA($G180:$L180)+COUNTA($Q180))&gt;0),"",IF($V180="Sub",IFERROR($X180/INDEX($W$5:$W$1000,$U180-4),""),IF(ISNUMBER($G180),1,IF(N($W180)&gt;0,AVERAGEIFS($X$5:$X$1000,$U$5:$U$1000,ROW(),$V$5:$V$1000,"Sub"),$X180))))</f>
        <v/>
      </c>
      <c r="N180" s="56">
        <f>IF(OR($M180="",$V180="Sub"),"",IF($M180&gt;=1,"Completado",IF($M180&gt;0,"En curso","Pendiente")))</f>
        <v/>
      </c>
      <c r="O180" s="56">
        <f>IF(OR(NOT((COUNTA($B180:$D180)+COUNTA($G180:$L180)+COUNTA($Q180))&gt;0),$V180="Sub"),"",IF(ISNUMBER($G180),IF(AND(ISNUMBER($AN180),$G180&gt;$AN180),"Cumplida con "&amp;($G180-$AN180)&amp;IF($G180-$AN180=1," día"," días")&amp;" de retraso","Cumplida"),IF(N($M180)&gt;=1,"Cumplida",IF(NOT(ISNUMBER($AN180)),"Sin fecha límite",IF($AN180&lt;FechaRef,"Vencida hace "&amp;(FechaRef-$AN180)&amp;IF(FechaRef-$AN180=1," día"," días"),IF($AN180=FechaRef,"Vence hoy",IF($AN180-FechaRef&lt;=DiasAlerta,"Vence en "&amp;($AN180-FechaRef)&amp;IF($AN180-FechaRef=1," día"," días"),"En plazo")))))))</f>
        <v/>
      </c>
      <c r="P180" s="62" t="n"/>
      <c r="Q180" s="58" t="n"/>
      <c r="R180" s="63">
        <f>IF(NOT((COUNTA($B180:$D180)+COUNTA($G180:$L180)+COUNTA($Q180))&gt;0),"",IF((IF($C180="","Falta el nombre de la actividad"&amp;" · ","")&amp;IF(AND($V180="Sub",N($U180)=0),"Subactividad sin macroactividad arriba"&amp;" · ","")&amp;IF($AM180="","Sin fecha de inicio"&amp;" · ","")&amp;IF($AN180="","Sin fecha límite"&amp;" · ","")&amp;IF(AND(LEFT($C180,11)="[Jefatura] ",N($AL180)=0),"No se encuentra en la hoja de la jefatura (elíjala de nuevo en la lista)"&amp;" · ","")&amp;IF(OR(AND($E180&lt;&gt;"",NOT(ISNUMBER($E180))),AND($F180&lt;&gt;"",NOT(ISNUMBER($F180))),AND($G180&lt;&gt;"",NOT(ISNUMBER($G180)))),"Fecha no válida"&amp;" · ","")&amp;IF(AND(ISNUMBER($AM180),ISNUMBER($AN180),$AM180&gt;$AN180),"Inicio posterior a fecha límite"&amp;" · ","")&amp;IF(AND($V180="Macro",$H180&lt;&gt;"",OR(NOT(ISNUMBER($H180)),$H180&lt;0,$H180&gt;1)),"Peso fuera de rango"&amp;" · ","")&amp;IF(AND($V180="Sub",$H180&lt;&gt;""),"Las subactividades no llevan peso (valen igual dentro de su macroactividad)"&amp;" · ","")&amp;IF(AND(N($W180)&gt;0,COUNT($I180:$L180)&gt;0),"Con subactividades: deje vacías las semanas (se calculan solas)"&amp;" · ","")&amp;IF((COUNTIF($I180:$L180,"&gt;1")+COUNTIF($I180:$L180,"&lt;0")+COUNTA($I180:$L180)-COUNT($I180:$L180))&gt;0,"Avance fuera de rango 0-100%"&amp;" · ","")&amp;IF(OR(AND($J180&lt;&gt;"",$J180&lt;$I180),AND($K180&lt;&gt;"",$K180&lt;MAX($I180:$J180)),AND($L180&lt;&gt;"",$L180&lt;MAX($I180:$K180))),"Avance semanal decreciente"&amp;" · ","")&amp;IF(AND(ISNUMBER($AN180),$AN180&lt;FechaRef,IF($V180="Sub",N($X180),N($M180))&lt;1),"Vencida"&amp;" · ","")&amp;IF(AND(ObsObligatoria="Sí",ISNUMBER($AN180),$AN180&lt;FechaRef,IF($V180="Sub",N($X180),N($M180))&lt;1,$Q180=""),"Vencida sin observación"&amp;" · ",""))="","✔ OK","⚠ "&amp;LEFT(IF($C180="","Falta el nombre de la actividad"&amp;" · ","")&amp;IF(AND($V180="Sub",N($U180)=0),"Subactividad sin macroactividad arriba"&amp;" · ","")&amp;IF($AM180="","Sin fecha de inicio"&amp;" · ","")&amp;IF($AN180="","Sin fecha límite"&amp;" · ","")&amp;IF(AND(LEFT($C180,11)="[Jefatura] ",N($AL180)=0),"No se encuentra en la hoja de la jefatura (elíjala de nuevo en la lista)"&amp;" · ","")&amp;IF(OR(AND($E180&lt;&gt;"",NOT(ISNUMBER($E180))),AND($F180&lt;&gt;"",NOT(ISNUMBER($F180))),AND($G180&lt;&gt;"",NOT(ISNUMBER($G180)))),"Fecha no válida"&amp;" · ","")&amp;IF(AND(ISNUMBER($AM180),ISNUMBER($AN180),$AM180&gt;$AN180),"Inicio posterior a fecha límite"&amp;" · ","")&amp;IF(AND($V180="Macro",$H180&lt;&gt;"",OR(NOT(ISNUMBER($H180)),$H180&lt;0,$H180&gt;1)),"Peso fuera de rango"&amp;" · ","")&amp;IF(AND($V180="Sub",$H180&lt;&gt;""),"Las subactividades no llevan peso (valen igual dentro de su macroactividad)"&amp;" · ","")&amp;IF(AND(N($W180)&gt;0,COUNT($I180:$L180)&gt;0),"Con subactividades: deje vacías las semanas (se calculan solas)"&amp;" · ","")&amp;IF((COUNTIF($I180:$L180,"&gt;1")+COUNTIF($I180:$L180,"&lt;0")+COUNTA($I180:$L180)-COUNT($I180:$L180))&gt;0,"Avance fuera de rango 0-100%"&amp;" · ","")&amp;IF(OR(AND($J180&lt;&gt;"",$J180&lt;$I180),AND($K180&lt;&gt;"",$K180&lt;MAX($I180:$J180)),AND($L180&lt;&gt;"",$L180&lt;MAX($I180:$K180))),"Avance semanal decreciente"&amp;" · ","")&amp;IF(AND(ISNUMBER($AN180),$AN180&lt;FechaRef,IF($V180="Sub",N($X180),N($M180))&lt;1),"Vencida"&amp;" · ","")&amp;IF(AND(ObsObligatoria="Sí",ISNUMBER($AN180),$AN180&lt;FechaRef,IF($V180="Sub",N($X180),N($M180))&lt;1,$Q180=""),"Vencida sin observación"&amp;" · ",""),LEN(IF($C180="","Falta el nombre de la actividad"&amp;" · ","")&amp;IF(AND($V180="Sub",N($U180)=0),"Subactividad sin macroactividad arriba"&amp;" · ","")&amp;IF($AM180="","Sin fecha de inicio"&amp;" · ","")&amp;IF($AN180="","Sin fecha límite"&amp;" · ","")&amp;IF(AND(LEFT($C180,11)="[Jefatura] ",N($AL180)=0),"No se encuentra en la hoja de la jefatura (elíjala de nuevo en la lista)"&amp;" · ","")&amp;IF(OR(AND($E180&lt;&gt;"",NOT(ISNUMBER($E180))),AND($F180&lt;&gt;"",NOT(ISNUMBER($F180))),AND($G180&lt;&gt;"",NOT(ISNUMBER($G180)))),"Fecha no válida"&amp;" · ","")&amp;IF(AND(ISNUMBER($AM180),ISNUMBER($AN180),$AM180&gt;$AN180),"Inicio posterior a fecha límite"&amp;" · ","")&amp;IF(AND($V180="Macro",$H180&lt;&gt;"",OR(NOT(ISNUMBER($H180)),$H180&lt;0,$H180&gt;1)),"Peso fuera de rango"&amp;" · ","")&amp;IF(AND($V180="Sub",$H180&lt;&gt;""),"Las subactividades no llevan peso (valen igual dentro de su macroactividad)"&amp;" · ","")&amp;IF(AND(N($W180)&gt;0,COUNT($I180:$L180)&gt;0),"Con subactividades: deje vacías las semanas (se calculan solas)"&amp;" · ","")&amp;IF((COUNTIF($I180:$L180,"&gt;1")+COUNTIF($I180:$L180,"&lt;0")+COUNTA($I180:$L180)-COUNT($I180:$L180))&gt;0,"Avance fuera de rango 0-100%"&amp;" · ","")&amp;IF(OR(AND($J180&lt;&gt;"",$J180&lt;$I180),AND($K180&lt;&gt;"",$K180&lt;MAX($I180:$J180)),AND($L180&lt;&gt;"",$L180&lt;MAX($I180:$K180))),"Avance semanal decreciente"&amp;" · ","")&amp;IF(AND(ISNUMBER($AN180),$AN180&lt;FechaRef,IF($V180="Sub",N($X180),N($M180))&lt;1),"Vencida"&amp;" · ","")&amp;IF(AND(ObsObligatoria="Sí",ISNUMBER($AN180),$AN180&lt;FechaRef,IF($V180="Sub",N($X180),N($M180))&lt;1,$Q180=""),"Vencida sin observación"&amp;" · ",""))-3)))</f>
        <v/>
      </c>
      <c r="S180" s="64">
        <f>IF(NOT((COUNTA($B180:$D180)+COUNTA($G180:$L180)+COUNTA($Q180))&gt;0),"",IF(AND($V180="Sub",N($U180)&gt;0),IF(ISNUMBER(INDEX($AM$5:$AM$1000,$U180-4)),DATE(YEAR(INDEX($AM$5:$AM$1000,$U180-4)),MONTH(INDEX($AM$5:$AM$1000,$U180-4)),1),IF(ISNUMBER(INDEX($AN$5:$AN$1000,$U180-4)),DATE(YEAR(INDEX($AN$5:$AN$1000,$U180-4)),MONTH(INDEX($AN$5:$AN$1000,$U180-4)),1),MesCiclo)),IF(ISNUMBER($AM180),DATE(YEAR($AM180),MONTH($AM180),1),IF(ISNUMBER($AN180),DATE(YEAR($AN180),MONTH($AN180),1),MesCiclo))))</f>
        <v/>
      </c>
      <c r="T180" s="62">
        <f>IF(OR($S180="",$S180&lt;&gt;MesCiclo,$V180&lt;&gt;"Macro"),"",COUNTIFS($S$5:$S180,MesCiclo,$V$5:$V180,"Macro"))</f>
        <v/>
      </c>
      <c r="U180" s="62">
        <f>IF($V180="","",IF($V180="Macro",ROW(),IFERROR(LOOKUP(2,1/($V$5:$V180="Macro"),ROW($V$5:$V180)),0)))</f>
        <v/>
      </c>
      <c r="V180" s="62">
        <f>IF(NOT((COUNTA($B180:$D180)+COUNTA($G180:$L180)+COUNTA($Q180))&gt;0),"",IF($B180="Subactividad","Sub","Macro"))</f>
        <v/>
      </c>
      <c r="W180" s="62">
        <f>IF($V180="Macro",COUNTIFS($U$5:$U$1000,ROW(),$V$5:$V$1000,"Sub"),"")</f>
        <v/>
      </c>
      <c r="X180" s="62">
        <f>IF($V180="","",IF(ISNUMBER($G180),1,IFERROR(LOOKUP(2,1/($I180:$L180&lt;&gt;""),$I180:$L180),0)))</f>
        <v/>
      </c>
      <c r="Y180" s="62">
        <f>IF($V180="","",IF(AND(ISNUMBER($G180),$G180&lt;=IF($S180=MesCiclo,InicioCiclo,$S180+MOD(2-WEEKDAY($S180),7))+6),1,IF(ISNUMBER($I180),$I180,0)))</f>
        <v/>
      </c>
      <c r="Z180" s="62">
        <f>IF($V180="","",IF(AND(ISNUMBER($G180),$G180&lt;=IF($S180=MesCiclo,InicioCiclo,$S180+MOD(2-WEEKDAY($S180),7))+13),1,IF(ISNUMBER($J180),$J180,$Y180)))</f>
        <v/>
      </c>
      <c r="AA180" s="62">
        <f>IF($V180="","",IF(AND(ISNUMBER($G180),$G180&lt;=IF($S180=MesCiclo,InicioCiclo,$S180+MOD(2-WEEKDAY($S180),7))+20),1,IF(ISNUMBER($K180),$K180,$Z180)))</f>
        <v/>
      </c>
      <c r="AB180" s="62">
        <f>IF($V180="","",IF(AND(ISNUMBER($G180),$G180&lt;=IF($S180=MesCiclo,InicioCiclo,$S180+MOD(2-WEEKDAY($S180),7))+27),1,IF(ISNUMBER($L180),$L180,$AA180)))</f>
        <v/>
      </c>
      <c r="AC180" s="62">
        <f>IF($V180="","",IF(AND(ISNUMBER($G180),$G180&lt;=IF($S180=MesCiclo,InicioCiclo,$S180+MOD(2-WEEKDAY($S180),7))+6),1,IF(N($W180)&gt;0,AVERAGEIFS($Y$5:$Y$1000,$U$5:$U$1000,ROW(),$V$5:$V$1000,"Sub"),$Y180)))</f>
        <v/>
      </c>
      <c r="AD180" s="62">
        <f>IF($V180="","",IF(AND(ISNUMBER($G180),$G180&lt;=IF($S180=MesCiclo,InicioCiclo,$S180+MOD(2-WEEKDAY($S180),7))+13),1,IF(N($W180)&gt;0,AVERAGEIFS($Z$5:$Z$1000,$U$5:$U$1000,ROW(),$V$5:$V$1000,"Sub"),$Z180)))</f>
        <v/>
      </c>
      <c r="AE180" s="62">
        <f>IF($V180="","",IF(AND(ISNUMBER($G180),$G180&lt;=IF($S180=MesCiclo,InicioCiclo,$S180+MOD(2-WEEKDAY($S180),7))+20),1,IF(N($W180)&gt;0,AVERAGEIFS($AA$5:$AA$1000,$U$5:$U$1000,ROW(),$V$5:$V$1000,"Sub"),$AA180)))</f>
        <v/>
      </c>
      <c r="AF180" s="62">
        <f>IF($V180="","",IF(AND(ISNUMBER($G180),$G180&lt;=IF($S180=MesCiclo,InicioCiclo,$S180+MOD(2-WEEKDAY($S180),7))+27),1,IF(N($W180)&gt;0,AVERAGEIFS($AB$5:$AB$1000,$U$5:$U$1000,ROW(),$V$5:$V$1000,"Sub"),$AB180)))</f>
        <v/>
      </c>
      <c r="AG180" s="62">
        <f>IF($V180&lt;&gt;"Macro","",IF(COUNTIFS($S$5:$S$1000,$S180,$V$5:$V$1000,"Macro",$H$5:$H$1000,"&gt;0")=0,1/COUNTIFS($S$5:$S$1000,$S180,$V$5:$V$1000,"Macro"),IF(AND(ISNUMBER($H180),N($H180)&gt;0),$H180,SUMIFS($H$5:$H$1000,$S$5:$S$1000,$S180,$V$5:$V$1000,"Macro")/COUNTIFS($S$5:$S$1000,$S180,$V$5:$V$1000,"Macro",$H$5:$H$1000,"&gt;0"))/(COUNTIFS($S$5:$S$1000,$S180,$V$5:$V$1000,"Macro")*SUMIFS($H$5:$H$1000,$S$5:$S$1000,$S180,$V$5:$V$1000,"Macro")/COUNTIFS($S$5:$S$1000,$S180,$V$5:$V$1000,"Macro",$H$5:$H$1000,"&gt;0"))))</f>
        <v/>
      </c>
      <c r="AH180" s="62" t="n"/>
      <c r="AI180" s="62" t="n"/>
      <c r="AJ180" s="62" t="n"/>
      <c r="AK180" s="62" t="n"/>
      <c r="AL180" s="62">
        <f>IF(LEFT($C180,11)="[Jefatura] ",IFERROR(MATCH("Riesgo Operacional|"&amp;MID($C180,12,500),rDname_ADM,0),0),"")</f>
        <v/>
      </c>
      <c r="AM180" s="62">
        <f>IF(N($AL180)&gt;0,INDEX(rIni_ADM,$AL180),IF(ISNUMBER($E180),$E180,""))</f>
        <v/>
      </c>
      <c r="AN180" s="62">
        <f>IF(N($AL180)&gt;0,INDEX(rLim_ADM,$AL180),IF(ISNUMBER($F180),$F180,""))</f>
        <v/>
      </c>
    </row>
    <row r="181">
      <c r="A181" s="56">
        <f>IF(NOT((COUNTA($B181:$D181)+COUNTA($G181:$L181)+COUNTA($Q181))&gt;0),"",IF($V181="Macro",COUNTIFS($V$5:$V181,"Macro",$S$5:$S181,$S181),IF(N($U181)=0,"?",COUNTIFS(INDEX($V$5:$V$1000,1):INDEX($V$5:$V$1000,$U181-4),"Macro",INDEX($S$5:$S$1000,1):INDEX($S$5:$S$1000,$U181-4),INDEX($S$5:$S$1000,$U181-4))&amp;"."&amp;COUNTIFS($U$5:$U181,$U181,$V$5:$V181,"Sub"))))</f>
        <v/>
      </c>
      <c r="B181" s="57" t="n"/>
      <c r="C181" s="58" t="n"/>
      <c r="D181" s="58" t="n"/>
      <c r="E181" s="59">
        <f>IF(N($AL181)&gt;0,INDEX(rIni_ADM,$AL181),"")</f>
        <v/>
      </c>
      <c r="F181" s="59">
        <f>IF(N($AL181)&gt;0,INDEX(rLim_ADM,$AL181),"")</f>
        <v/>
      </c>
      <c r="G181" s="59" t="n"/>
      <c r="H181" s="60" t="n"/>
      <c r="I181" s="60" t="n"/>
      <c r="J181" s="60" t="n"/>
      <c r="K181" s="60" t="n"/>
      <c r="L181" s="60" t="n"/>
      <c r="M181" s="61">
        <f>IF(NOT((COUNTA($B181:$D181)+COUNTA($G181:$L181)+COUNTA($Q181))&gt;0),"",IF($V181="Sub",IFERROR($X181/INDEX($W$5:$W$1000,$U181-4),""),IF(ISNUMBER($G181),1,IF(N($W181)&gt;0,AVERAGEIFS($X$5:$X$1000,$U$5:$U$1000,ROW(),$V$5:$V$1000,"Sub"),$X181))))</f>
        <v/>
      </c>
      <c r="N181" s="56">
        <f>IF(OR($M181="",$V181="Sub"),"",IF($M181&gt;=1,"Completado",IF($M181&gt;0,"En curso","Pendiente")))</f>
        <v/>
      </c>
      <c r="O181" s="56">
        <f>IF(OR(NOT((COUNTA($B181:$D181)+COUNTA($G181:$L181)+COUNTA($Q181))&gt;0),$V181="Sub"),"",IF(ISNUMBER($G181),IF(AND(ISNUMBER($AN181),$G181&gt;$AN181),"Cumplida con "&amp;($G181-$AN181)&amp;IF($G181-$AN181=1," día"," días")&amp;" de retraso","Cumplida"),IF(N($M181)&gt;=1,"Cumplida",IF(NOT(ISNUMBER($AN181)),"Sin fecha límite",IF($AN181&lt;FechaRef,"Vencida hace "&amp;(FechaRef-$AN181)&amp;IF(FechaRef-$AN181=1," día"," días"),IF($AN181=FechaRef,"Vence hoy",IF($AN181-FechaRef&lt;=DiasAlerta,"Vence en "&amp;($AN181-FechaRef)&amp;IF($AN181-FechaRef=1," día"," días"),"En plazo")))))))</f>
        <v/>
      </c>
      <c r="P181" s="62" t="n"/>
      <c r="Q181" s="58" t="n"/>
      <c r="R181" s="63">
        <f>IF(NOT((COUNTA($B181:$D181)+COUNTA($G181:$L181)+COUNTA($Q181))&gt;0),"",IF((IF($C181="","Falta el nombre de la actividad"&amp;" · ","")&amp;IF(AND($V181="Sub",N($U181)=0),"Subactividad sin macroactividad arriba"&amp;" · ","")&amp;IF($AM181="","Sin fecha de inicio"&amp;" · ","")&amp;IF($AN181="","Sin fecha límite"&amp;" · ","")&amp;IF(AND(LEFT($C181,11)="[Jefatura] ",N($AL181)=0),"No se encuentra en la hoja de la jefatura (elíjala de nuevo en la lista)"&amp;" · ","")&amp;IF(OR(AND($E181&lt;&gt;"",NOT(ISNUMBER($E181))),AND($F181&lt;&gt;"",NOT(ISNUMBER($F181))),AND($G181&lt;&gt;"",NOT(ISNUMBER($G181)))),"Fecha no válida"&amp;" · ","")&amp;IF(AND(ISNUMBER($AM181),ISNUMBER($AN181),$AM181&gt;$AN181),"Inicio posterior a fecha límite"&amp;" · ","")&amp;IF(AND($V181="Macro",$H181&lt;&gt;"",OR(NOT(ISNUMBER($H181)),$H181&lt;0,$H181&gt;1)),"Peso fuera de rango"&amp;" · ","")&amp;IF(AND($V181="Sub",$H181&lt;&gt;""),"Las subactividades no llevan peso (valen igual dentro de su macroactividad)"&amp;" · ","")&amp;IF(AND(N($W181)&gt;0,COUNT($I181:$L181)&gt;0),"Con subactividades: deje vacías las semanas (se calculan solas)"&amp;" · ","")&amp;IF((COUNTIF($I181:$L181,"&gt;1")+COUNTIF($I181:$L181,"&lt;0")+COUNTA($I181:$L181)-COUNT($I181:$L181))&gt;0,"Avance fuera de rango 0-100%"&amp;" · ","")&amp;IF(OR(AND($J181&lt;&gt;"",$J181&lt;$I181),AND($K181&lt;&gt;"",$K181&lt;MAX($I181:$J181)),AND($L181&lt;&gt;"",$L181&lt;MAX($I181:$K181))),"Avance semanal decreciente"&amp;" · ","")&amp;IF(AND(ISNUMBER($AN181),$AN181&lt;FechaRef,IF($V181="Sub",N($X181),N($M181))&lt;1),"Vencida"&amp;" · ","")&amp;IF(AND(ObsObligatoria="Sí",ISNUMBER($AN181),$AN181&lt;FechaRef,IF($V181="Sub",N($X181),N($M181))&lt;1,$Q181=""),"Vencida sin observación"&amp;" · ",""))="","✔ OK","⚠ "&amp;LEFT(IF($C181="","Falta el nombre de la actividad"&amp;" · ","")&amp;IF(AND($V181="Sub",N($U181)=0),"Subactividad sin macroactividad arriba"&amp;" · ","")&amp;IF($AM181="","Sin fecha de inicio"&amp;" · ","")&amp;IF($AN181="","Sin fecha límite"&amp;" · ","")&amp;IF(AND(LEFT($C181,11)="[Jefatura] ",N($AL181)=0),"No se encuentra en la hoja de la jefatura (elíjala de nuevo en la lista)"&amp;" · ","")&amp;IF(OR(AND($E181&lt;&gt;"",NOT(ISNUMBER($E181))),AND($F181&lt;&gt;"",NOT(ISNUMBER($F181))),AND($G181&lt;&gt;"",NOT(ISNUMBER($G181)))),"Fecha no válida"&amp;" · ","")&amp;IF(AND(ISNUMBER($AM181),ISNUMBER($AN181),$AM181&gt;$AN181),"Inicio posterior a fecha límite"&amp;" · ","")&amp;IF(AND($V181="Macro",$H181&lt;&gt;"",OR(NOT(ISNUMBER($H181)),$H181&lt;0,$H181&gt;1)),"Peso fuera de rango"&amp;" · ","")&amp;IF(AND($V181="Sub",$H181&lt;&gt;""),"Las subactividades no llevan peso (valen igual dentro de su macroactividad)"&amp;" · ","")&amp;IF(AND(N($W181)&gt;0,COUNT($I181:$L181)&gt;0),"Con subactividades: deje vacías las semanas (se calculan solas)"&amp;" · ","")&amp;IF((COUNTIF($I181:$L181,"&gt;1")+COUNTIF($I181:$L181,"&lt;0")+COUNTA($I181:$L181)-COUNT($I181:$L181))&gt;0,"Avance fuera de rango 0-100%"&amp;" · ","")&amp;IF(OR(AND($J181&lt;&gt;"",$J181&lt;$I181),AND($K181&lt;&gt;"",$K181&lt;MAX($I181:$J181)),AND($L181&lt;&gt;"",$L181&lt;MAX($I181:$K181))),"Avance semanal decreciente"&amp;" · ","")&amp;IF(AND(ISNUMBER($AN181),$AN181&lt;FechaRef,IF($V181="Sub",N($X181),N($M181))&lt;1),"Vencida"&amp;" · ","")&amp;IF(AND(ObsObligatoria="Sí",ISNUMBER($AN181),$AN181&lt;FechaRef,IF($V181="Sub",N($X181),N($M181))&lt;1,$Q181=""),"Vencida sin observación"&amp;" · ",""),LEN(IF($C181="","Falta el nombre de la actividad"&amp;" · ","")&amp;IF(AND($V181="Sub",N($U181)=0),"Subactividad sin macroactividad arriba"&amp;" · ","")&amp;IF($AM181="","Sin fecha de inicio"&amp;" · ","")&amp;IF($AN181="","Sin fecha límite"&amp;" · ","")&amp;IF(AND(LEFT($C181,11)="[Jefatura] ",N($AL181)=0),"No se encuentra en la hoja de la jefatura (elíjala de nuevo en la lista)"&amp;" · ","")&amp;IF(OR(AND($E181&lt;&gt;"",NOT(ISNUMBER($E181))),AND($F181&lt;&gt;"",NOT(ISNUMBER($F181))),AND($G181&lt;&gt;"",NOT(ISNUMBER($G181)))),"Fecha no válida"&amp;" · ","")&amp;IF(AND(ISNUMBER($AM181),ISNUMBER($AN181),$AM181&gt;$AN181),"Inicio posterior a fecha límite"&amp;" · ","")&amp;IF(AND($V181="Macro",$H181&lt;&gt;"",OR(NOT(ISNUMBER($H181)),$H181&lt;0,$H181&gt;1)),"Peso fuera de rango"&amp;" · ","")&amp;IF(AND($V181="Sub",$H181&lt;&gt;""),"Las subactividades no llevan peso (valen igual dentro de su macroactividad)"&amp;" · ","")&amp;IF(AND(N($W181)&gt;0,COUNT($I181:$L181)&gt;0),"Con subactividades: deje vacías las semanas (se calculan solas)"&amp;" · ","")&amp;IF((COUNTIF($I181:$L181,"&gt;1")+COUNTIF($I181:$L181,"&lt;0")+COUNTA($I181:$L181)-COUNT($I181:$L181))&gt;0,"Avance fuera de rango 0-100%"&amp;" · ","")&amp;IF(OR(AND($J181&lt;&gt;"",$J181&lt;$I181),AND($K181&lt;&gt;"",$K181&lt;MAX($I181:$J181)),AND($L181&lt;&gt;"",$L181&lt;MAX($I181:$K181))),"Avance semanal decreciente"&amp;" · ","")&amp;IF(AND(ISNUMBER($AN181),$AN181&lt;FechaRef,IF($V181="Sub",N($X181),N($M181))&lt;1),"Vencida"&amp;" · ","")&amp;IF(AND(ObsObligatoria="Sí",ISNUMBER($AN181),$AN181&lt;FechaRef,IF($V181="Sub",N($X181),N($M181))&lt;1,$Q181=""),"Vencida sin observación"&amp;" · ",""))-3)))</f>
        <v/>
      </c>
      <c r="S181" s="64">
        <f>IF(NOT((COUNTA($B181:$D181)+COUNTA($G181:$L181)+COUNTA($Q181))&gt;0),"",IF(AND($V181="Sub",N($U181)&gt;0),IF(ISNUMBER(INDEX($AM$5:$AM$1000,$U181-4)),DATE(YEAR(INDEX($AM$5:$AM$1000,$U181-4)),MONTH(INDEX($AM$5:$AM$1000,$U181-4)),1),IF(ISNUMBER(INDEX($AN$5:$AN$1000,$U181-4)),DATE(YEAR(INDEX($AN$5:$AN$1000,$U181-4)),MONTH(INDEX($AN$5:$AN$1000,$U181-4)),1),MesCiclo)),IF(ISNUMBER($AM181),DATE(YEAR($AM181),MONTH($AM181),1),IF(ISNUMBER($AN181),DATE(YEAR($AN181),MONTH($AN181),1),MesCiclo))))</f>
        <v/>
      </c>
      <c r="T181" s="62">
        <f>IF(OR($S181="",$S181&lt;&gt;MesCiclo,$V181&lt;&gt;"Macro"),"",COUNTIFS($S$5:$S181,MesCiclo,$V$5:$V181,"Macro"))</f>
        <v/>
      </c>
      <c r="U181" s="62">
        <f>IF($V181="","",IF($V181="Macro",ROW(),IFERROR(LOOKUP(2,1/($V$5:$V181="Macro"),ROW($V$5:$V181)),0)))</f>
        <v/>
      </c>
      <c r="V181" s="62">
        <f>IF(NOT((COUNTA($B181:$D181)+COUNTA($G181:$L181)+COUNTA($Q181))&gt;0),"",IF($B181="Subactividad","Sub","Macro"))</f>
        <v/>
      </c>
      <c r="W181" s="62">
        <f>IF($V181="Macro",COUNTIFS($U$5:$U$1000,ROW(),$V$5:$V$1000,"Sub"),"")</f>
        <v/>
      </c>
      <c r="X181" s="62">
        <f>IF($V181="","",IF(ISNUMBER($G181),1,IFERROR(LOOKUP(2,1/($I181:$L181&lt;&gt;""),$I181:$L181),0)))</f>
        <v/>
      </c>
      <c r="Y181" s="62">
        <f>IF($V181="","",IF(AND(ISNUMBER($G181),$G181&lt;=IF($S181=MesCiclo,InicioCiclo,$S181+MOD(2-WEEKDAY($S181),7))+6),1,IF(ISNUMBER($I181),$I181,0)))</f>
        <v/>
      </c>
      <c r="Z181" s="62">
        <f>IF($V181="","",IF(AND(ISNUMBER($G181),$G181&lt;=IF($S181=MesCiclo,InicioCiclo,$S181+MOD(2-WEEKDAY($S181),7))+13),1,IF(ISNUMBER($J181),$J181,$Y181)))</f>
        <v/>
      </c>
      <c r="AA181" s="62">
        <f>IF($V181="","",IF(AND(ISNUMBER($G181),$G181&lt;=IF($S181=MesCiclo,InicioCiclo,$S181+MOD(2-WEEKDAY($S181),7))+20),1,IF(ISNUMBER($K181),$K181,$Z181)))</f>
        <v/>
      </c>
      <c r="AB181" s="62">
        <f>IF($V181="","",IF(AND(ISNUMBER($G181),$G181&lt;=IF($S181=MesCiclo,InicioCiclo,$S181+MOD(2-WEEKDAY($S181),7))+27),1,IF(ISNUMBER($L181),$L181,$AA181)))</f>
        <v/>
      </c>
      <c r="AC181" s="62">
        <f>IF($V181="","",IF(AND(ISNUMBER($G181),$G181&lt;=IF($S181=MesCiclo,InicioCiclo,$S181+MOD(2-WEEKDAY($S181),7))+6),1,IF(N($W181)&gt;0,AVERAGEIFS($Y$5:$Y$1000,$U$5:$U$1000,ROW(),$V$5:$V$1000,"Sub"),$Y181)))</f>
        <v/>
      </c>
      <c r="AD181" s="62">
        <f>IF($V181="","",IF(AND(ISNUMBER($G181),$G181&lt;=IF($S181=MesCiclo,InicioCiclo,$S181+MOD(2-WEEKDAY($S181),7))+13),1,IF(N($W181)&gt;0,AVERAGEIFS($Z$5:$Z$1000,$U$5:$U$1000,ROW(),$V$5:$V$1000,"Sub"),$Z181)))</f>
        <v/>
      </c>
      <c r="AE181" s="62">
        <f>IF($V181="","",IF(AND(ISNUMBER($G181),$G181&lt;=IF($S181=MesCiclo,InicioCiclo,$S181+MOD(2-WEEKDAY($S181),7))+20),1,IF(N($W181)&gt;0,AVERAGEIFS($AA$5:$AA$1000,$U$5:$U$1000,ROW(),$V$5:$V$1000,"Sub"),$AA181)))</f>
        <v/>
      </c>
      <c r="AF181" s="62">
        <f>IF($V181="","",IF(AND(ISNUMBER($G181),$G181&lt;=IF($S181=MesCiclo,InicioCiclo,$S181+MOD(2-WEEKDAY($S181),7))+27),1,IF(N($W181)&gt;0,AVERAGEIFS($AB$5:$AB$1000,$U$5:$U$1000,ROW(),$V$5:$V$1000,"Sub"),$AB181)))</f>
        <v/>
      </c>
      <c r="AG181" s="62">
        <f>IF($V181&lt;&gt;"Macro","",IF(COUNTIFS($S$5:$S$1000,$S181,$V$5:$V$1000,"Macro",$H$5:$H$1000,"&gt;0")=0,1/COUNTIFS($S$5:$S$1000,$S181,$V$5:$V$1000,"Macro"),IF(AND(ISNUMBER($H181),N($H181)&gt;0),$H181,SUMIFS($H$5:$H$1000,$S$5:$S$1000,$S181,$V$5:$V$1000,"Macro")/COUNTIFS($S$5:$S$1000,$S181,$V$5:$V$1000,"Macro",$H$5:$H$1000,"&gt;0"))/(COUNTIFS($S$5:$S$1000,$S181,$V$5:$V$1000,"Macro")*SUMIFS($H$5:$H$1000,$S$5:$S$1000,$S181,$V$5:$V$1000,"Macro")/COUNTIFS($S$5:$S$1000,$S181,$V$5:$V$1000,"Macro",$H$5:$H$1000,"&gt;0"))))</f>
        <v/>
      </c>
      <c r="AH181" s="62" t="n"/>
      <c r="AI181" s="62" t="n"/>
      <c r="AJ181" s="62" t="n"/>
      <c r="AK181" s="62" t="n"/>
      <c r="AL181" s="62">
        <f>IF(LEFT($C181,11)="[Jefatura] ",IFERROR(MATCH("Riesgo Operacional|"&amp;MID($C181,12,500),rDname_ADM,0),0),"")</f>
        <v/>
      </c>
      <c r="AM181" s="62">
        <f>IF(N($AL181)&gt;0,INDEX(rIni_ADM,$AL181),IF(ISNUMBER($E181),$E181,""))</f>
        <v/>
      </c>
      <c r="AN181" s="62">
        <f>IF(N($AL181)&gt;0,INDEX(rLim_ADM,$AL181),IF(ISNUMBER($F181),$F181,""))</f>
        <v/>
      </c>
    </row>
    <row r="182">
      <c r="A182" s="56">
        <f>IF(NOT((COUNTA($B182:$D182)+COUNTA($G182:$L182)+COUNTA($Q182))&gt;0),"",IF($V182="Macro",COUNTIFS($V$5:$V182,"Macro",$S$5:$S182,$S182),IF(N($U182)=0,"?",COUNTIFS(INDEX($V$5:$V$1000,1):INDEX($V$5:$V$1000,$U182-4),"Macro",INDEX($S$5:$S$1000,1):INDEX($S$5:$S$1000,$U182-4),INDEX($S$5:$S$1000,$U182-4))&amp;"."&amp;COUNTIFS($U$5:$U182,$U182,$V$5:$V182,"Sub"))))</f>
        <v/>
      </c>
      <c r="B182" s="57" t="n"/>
      <c r="C182" s="58" t="n"/>
      <c r="D182" s="58" t="n"/>
      <c r="E182" s="59">
        <f>IF(N($AL182)&gt;0,INDEX(rIni_ADM,$AL182),"")</f>
        <v/>
      </c>
      <c r="F182" s="59">
        <f>IF(N($AL182)&gt;0,INDEX(rLim_ADM,$AL182),"")</f>
        <v/>
      </c>
      <c r="G182" s="59" t="n"/>
      <c r="H182" s="60" t="n"/>
      <c r="I182" s="60" t="n"/>
      <c r="J182" s="60" t="n"/>
      <c r="K182" s="60" t="n"/>
      <c r="L182" s="60" t="n"/>
      <c r="M182" s="61">
        <f>IF(NOT((COUNTA($B182:$D182)+COUNTA($G182:$L182)+COUNTA($Q182))&gt;0),"",IF($V182="Sub",IFERROR($X182/INDEX($W$5:$W$1000,$U182-4),""),IF(ISNUMBER($G182),1,IF(N($W182)&gt;0,AVERAGEIFS($X$5:$X$1000,$U$5:$U$1000,ROW(),$V$5:$V$1000,"Sub"),$X182))))</f>
        <v/>
      </c>
      <c r="N182" s="56">
        <f>IF(OR($M182="",$V182="Sub"),"",IF($M182&gt;=1,"Completado",IF($M182&gt;0,"En curso","Pendiente")))</f>
        <v/>
      </c>
      <c r="O182" s="56">
        <f>IF(OR(NOT((COUNTA($B182:$D182)+COUNTA($G182:$L182)+COUNTA($Q182))&gt;0),$V182="Sub"),"",IF(ISNUMBER($G182),IF(AND(ISNUMBER($AN182),$G182&gt;$AN182),"Cumplida con "&amp;($G182-$AN182)&amp;IF($G182-$AN182=1," día"," días")&amp;" de retraso","Cumplida"),IF(N($M182)&gt;=1,"Cumplida",IF(NOT(ISNUMBER($AN182)),"Sin fecha límite",IF($AN182&lt;FechaRef,"Vencida hace "&amp;(FechaRef-$AN182)&amp;IF(FechaRef-$AN182=1," día"," días"),IF($AN182=FechaRef,"Vence hoy",IF($AN182-FechaRef&lt;=DiasAlerta,"Vence en "&amp;($AN182-FechaRef)&amp;IF($AN182-FechaRef=1," día"," días"),"En plazo")))))))</f>
        <v/>
      </c>
      <c r="P182" s="62" t="n"/>
      <c r="Q182" s="58" t="n"/>
      <c r="R182" s="63">
        <f>IF(NOT((COUNTA($B182:$D182)+COUNTA($G182:$L182)+COUNTA($Q182))&gt;0),"",IF((IF($C182="","Falta el nombre de la actividad"&amp;" · ","")&amp;IF(AND($V182="Sub",N($U182)=0),"Subactividad sin macroactividad arriba"&amp;" · ","")&amp;IF($AM182="","Sin fecha de inicio"&amp;" · ","")&amp;IF($AN182="","Sin fecha límite"&amp;" · ","")&amp;IF(AND(LEFT($C182,11)="[Jefatura] ",N($AL182)=0),"No se encuentra en la hoja de la jefatura (elíjala de nuevo en la lista)"&amp;" · ","")&amp;IF(OR(AND($E182&lt;&gt;"",NOT(ISNUMBER($E182))),AND($F182&lt;&gt;"",NOT(ISNUMBER($F182))),AND($G182&lt;&gt;"",NOT(ISNUMBER($G182)))),"Fecha no válida"&amp;" · ","")&amp;IF(AND(ISNUMBER($AM182),ISNUMBER($AN182),$AM182&gt;$AN182),"Inicio posterior a fecha límite"&amp;" · ","")&amp;IF(AND($V182="Macro",$H182&lt;&gt;"",OR(NOT(ISNUMBER($H182)),$H182&lt;0,$H182&gt;1)),"Peso fuera de rango"&amp;" · ","")&amp;IF(AND($V182="Sub",$H182&lt;&gt;""),"Las subactividades no llevan peso (valen igual dentro de su macroactividad)"&amp;" · ","")&amp;IF(AND(N($W182)&gt;0,COUNT($I182:$L182)&gt;0),"Con subactividades: deje vacías las semanas (se calculan solas)"&amp;" · ","")&amp;IF((COUNTIF($I182:$L182,"&gt;1")+COUNTIF($I182:$L182,"&lt;0")+COUNTA($I182:$L182)-COUNT($I182:$L182))&gt;0,"Avance fuera de rango 0-100%"&amp;" · ","")&amp;IF(OR(AND($J182&lt;&gt;"",$J182&lt;$I182),AND($K182&lt;&gt;"",$K182&lt;MAX($I182:$J182)),AND($L182&lt;&gt;"",$L182&lt;MAX($I182:$K182))),"Avance semanal decreciente"&amp;" · ","")&amp;IF(AND(ISNUMBER($AN182),$AN182&lt;FechaRef,IF($V182="Sub",N($X182),N($M182))&lt;1),"Vencida"&amp;" · ","")&amp;IF(AND(ObsObligatoria="Sí",ISNUMBER($AN182),$AN182&lt;FechaRef,IF($V182="Sub",N($X182),N($M182))&lt;1,$Q182=""),"Vencida sin observación"&amp;" · ",""))="","✔ OK","⚠ "&amp;LEFT(IF($C182="","Falta el nombre de la actividad"&amp;" · ","")&amp;IF(AND($V182="Sub",N($U182)=0),"Subactividad sin macroactividad arriba"&amp;" · ","")&amp;IF($AM182="","Sin fecha de inicio"&amp;" · ","")&amp;IF($AN182="","Sin fecha límite"&amp;" · ","")&amp;IF(AND(LEFT($C182,11)="[Jefatura] ",N($AL182)=0),"No se encuentra en la hoja de la jefatura (elíjala de nuevo en la lista)"&amp;" · ","")&amp;IF(OR(AND($E182&lt;&gt;"",NOT(ISNUMBER($E182))),AND($F182&lt;&gt;"",NOT(ISNUMBER($F182))),AND($G182&lt;&gt;"",NOT(ISNUMBER($G182)))),"Fecha no válida"&amp;" · ","")&amp;IF(AND(ISNUMBER($AM182),ISNUMBER($AN182),$AM182&gt;$AN182),"Inicio posterior a fecha límite"&amp;" · ","")&amp;IF(AND($V182="Macro",$H182&lt;&gt;"",OR(NOT(ISNUMBER($H182)),$H182&lt;0,$H182&gt;1)),"Peso fuera de rango"&amp;" · ","")&amp;IF(AND($V182="Sub",$H182&lt;&gt;""),"Las subactividades no llevan peso (valen igual dentro de su macroactividad)"&amp;" · ","")&amp;IF(AND(N($W182)&gt;0,COUNT($I182:$L182)&gt;0),"Con subactividades: deje vacías las semanas (se calculan solas)"&amp;" · ","")&amp;IF((COUNTIF($I182:$L182,"&gt;1")+COUNTIF($I182:$L182,"&lt;0")+COUNTA($I182:$L182)-COUNT($I182:$L182))&gt;0,"Avance fuera de rango 0-100%"&amp;" · ","")&amp;IF(OR(AND($J182&lt;&gt;"",$J182&lt;$I182),AND($K182&lt;&gt;"",$K182&lt;MAX($I182:$J182)),AND($L182&lt;&gt;"",$L182&lt;MAX($I182:$K182))),"Avance semanal decreciente"&amp;" · ","")&amp;IF(AND(ISNUMBER($AN182),$AN182&lt;FechaRef,IF($V182="Sub",N($X182),N($M182))&lt;1),"Vencida"&amp;" · ","")&amp;IF(AND(ObsObligatoria="Sí",ISNUMBER($AN182),$AN182&lt;FechaRef,IF($V182="Sub",N($X182),N($M182))&lt;1,$Q182=""),"Vencida sin observación"&amp;" · ",""),LEN(IF($C182="","Falta el nombre de la actividad"&amp;" · ","")&amp;IF(AND($V182="Sub",N($U182)=0),"Subactividad sin macroactividad arriba"&amp;" · ","")&amp;IF($AM182="","Sin fecha de inicio"&amp;" · ","")&amp;IF($AN182="","Sin fecha límite"&amp;" · ","")&amp;IF(AND(LEFT($C182,11)="[Jefatura] ",N($AL182)=0),"No se encuentra en la hoja de la jefatura (elíjala de nuevo en la lista)"&amp;" · ","")&amp;IF(OR(AND($E182&lt;&gt;"",NOT(ISNUMBER($E182))),AND($F182&lt;&gt;"",NOT(ISNUMBER($F182))),AND($G182&lt;&gt;"",NOT(ISNUMBER($G182)))),"Fecha no válida"&amp;" · ","")&amp;IF(AND(ISNUMBER($AM182),ISNUMBER($AN182),$AM182&gt;$AN182),"Inicio posterior a fecha límite"&amp;" · ","")&amp;IF(AND($V182="Macro",$H182&lt;&gt;"",OR(NOT(ISNUMBER($H182)),$H182&lt;0,$H182&gt;1)),"Peso fuera de rango"&amp;" · ","")&amp;IF(AND($V182="Sub",$H182&lt;&gt;""),"Las subactividades no llevan peso (valen igual dentro de su macroactividad)"&amp;" · ","")&amp;IF(AND(N($W182)&gt;0,COUNT($I182:$L182)&gt;0),"Con subactividades: deje vacías las semanas (se calculan solas)"&amp;" · ","")&amp;IF((COUNTIF($I182:$L182,"&gt;1")+COUNTIF($I182:$L182,"&lt;0")+COUNTA($I182:$L182)-COUNT($I182:$L182))&gt;0,"Avance fuera de rango 0-100%"&amp;" · ","")&amp;IF(OR(AND($J182&lt;&gt;"",$J182&lt;$I182),AND($K182&lt;&gt;"",$K182&lt;MAX($I182:$J182)),AND($L182&lt;&gt;"",$L182&lt;MAX($I182:$K182))),"Avance semanal decreciente"&amp;" · ","")&amp;IF(AND(ISNUMBER($AN182),$AN182&lt;FechaRef,IF($V182="Sub",N($X182),N($M182))&lt;1),"Vencida"&amp;" · ","")&amp;IF(AND(ObsObligatoria="Sí",ISNUMBER($AN182),$AN182&lt;FechaRef,IF($V182="Sub",N($X182),N($M182))&lt;1,$Q182=""),"Vencida sin observación"&amp;" · ",""))-3)))</f>
        <v/>
      </c>
      <c r="S182" s="64">
        <f>IF(NOT((COUNTA($B182:$D182)+COUNTA($G182:$L182)+COUNTA($Q182))&gt;0),"",IF(AND($V182="Sub",N($U182)&gt;0),IF(ISNUMBER(INDEX($AM$5:$AM$1000,$U182-4)),DATE(YEAR(INDEX($AM$5:$AM$1000,$U182-4)),MONTH(INDEX($AM$5:$AM$1000,$U182-4)),1),IF(ISNUMBER(INDEX($AN$5:$AN$1000,$U182-4)),DATE(YEAR(INDEX($AN$5:$AN$1000,$U182-4)),MONTH(INDEX($AN$5:$AN$1000,$U182-4)),1),MesCiclo)),IF(ISNUMBER($AM182),DATE(YEAR($AM182),MONTH($AM182),1),IF(ISNUMBER($AN182),DATE(YEAR($AN182),MONTH($AN182),1),MesCiclo))))</f>
        <v/>
      </c>
      <c r="T182" s="62">
        <f>IF(OR($S182="",$S182&lt;&gt;MesCiclo,$V182&lt;&gt;"Macro"),"",COUNTIFS($S$5:$S182,MesCiclo,$V$5:$V182,"Macro"))</f>
        <v/>
      </c>
      <c r="U182" s="62">
        <f>IF($V182="","",IF($V182="Macro",ROW(),IFERROR(LOOKUP(2,1/($V$5:$V182="Macro"),ROW($V$5:$V182)),0)))</f>
        <v/>
      </c>
      <c r="V182" s="62">
        <f>IF(NOT((COUNTA($B182:$D182)+COUNTA($G182:$L182)+COUNTA($Q182))&gt;0),"",IF($B182="Subactividad","Sub","Macro"))</f>
        <v/>
      </c>
      <c r="W182" s="62">
        <f>IF($V182="Macro",COUNTIFS($U$5:$U$1000,ROW(),$V$5:$V$1000,"Sub"),"")</f>
        <v/>
      </c>
      <c r="X182" s="62">
        <f>IF($V182="","",IF(ISNUMBER($G182),1,IFERROR(LOOKUP(2,1/($I182:$L182&lt;&gt;""),$I182:$L182),0)))</f>
        <v/>
      </c>
      <c r="Y182" s="62">
        <f>IF($V182="","",IF(AND(ISNUMBER($G182),$G182&lt;=IF($S182=MesCiclo,InicioCiclo,$S182+MOD(2-WEEKDAY($S182),7))+6),1,IF(ISNUMBER($I182),$I182,0)))</f>
        <v/>
      </c>
      <c r="Z182" s="62">
        <f>IF($V182="","",IF(AND(ISNUMBER($G182),$G182&lt;=IF($S182=MesCiclo,InicioCiclo,$S182+MOD(2-WEEKDAY($S182),7))+13),1,IF(ISNUMBER($J182),$J182,$Y182)))</f>
        <v/>
      </c>
      <c r="AA182" s="62">
        <f>IF($V182="","",IF(AND(ISNUMBER($G182),$G182&lt;=IF($S182=MesCiclo,InicioCiclo,$S182+MOD(2-WEEKDAY($S182),7))+20),1,IF(ISNUMBER($K182),$K182,$Z182)))</f>
        <v/>
      </c>
      <c r="AB182" s="62">
        <f>IF($V182="","",IF(AND(ISNUMBER($G182),$G182&lt;=IF($S182=MesCiclo,InicioCiclo,$S182+MOD(2-WEEKDAY($S182),7))+27),1,IF(ISNUMBER($L182),$L182,$AA182)))</f>
        <v/>
      </c>
      <c r="AC182" s="62">
        <f>IF($V182="","",IF(AND(ISNUMBER($G182),$G182&lt;=IF($S182=MesCiclo,InicioCiclo,$S182+MOD(2-WEEKDAY($S182),7))+6),1,IF(N($W182)&gt;0,AVERAGEIFS($Y$5:$Y$1000,$U$5:$U$1000,ROW(),$V$5:$V$1000,"Sub"),$Y182)))</f>
        <v/>
      </c>
      <c r="AD182" s="62">
        <f>IF($V182="","",IF(AND(ISNUMBER($G182),$G182&lt;=IF($S182=MesCiclo,InicioCiclo,$S182+MOD(2-WEEKDAY($S182),7))+13),1,IF(N($W182)&gt;0,AVERAGEIFS($Z$5:$Z$1000,$U$5:$U$1000,ROW(),$V$5:$V$1000,"Sub"),$Z182)))</f>
        <v/>
      </c>
      <c r="AE182" s="62">
        <f>IF($V182="","",IF(AND(ISNUMBER($G182),$G182&lt;=IF($S182=MesCiclo,InicioCiclo,$S182+MOD(2-WEEKDAY($S182),7))+20),1,IF(N($W182)&gt;0,AVERAGEIFS($AA$5:$AA$1000,$U$5:$U$1000,ROW(),$V$5:$V$1000,"Sub"),$AA182)))</f>
        <v/>
      </c>
      <c r="AF182" s="62">
        <f>IF($V182="","",IF(AND(ISNUMBER($G182),$G182&lt;=IF($S182=MesCiclo,InicioCiclo,$S182+MOD(2-WEEKDAY($S182),7))+27),1,IF(N($W182)&gt;0,AVERAGEIFS($AB$5:$AB$1000,$U$5:$U$1000,ROW(),$V$5:$V$1000,"Sub"),$AB182)))</f>
        <v/>
      </c>
      <c r="AG182" s="62">
        <f>IF($V182&lt;&gt;"Macro","",IF(COUNTIFS($S$5:$S$1000,$S182,$V$5:$V$1000,"Macro",$H$5:$H$1000,"&gt;0")=0,1/COUNTIFS($S$5:$S$1000,$S182,$V$5:$V$1000,"Macro"),IF(AND(ISNUMBER($H182),N($H182)&gt;0),$H182,SUMIFS($H$5:$H$1000,$S$5:$S$1000,$S182,$V$5:$V$1000,"Macro")/COUNTIFS($S$5:$S$1000,$S182,$V$5:$V$1000,"Macro",$H$5:$H$1000,"&gt;0"))/(COUNTIFS($S$5:$S$1000,$S182,$V$5:$V$1000,"Macro")*SUMIFS($H$5:$H$1000,$S$5:$S$1000,$S182,$V$5:$V$1000,"Macro")/COUNTIFS($S$5:$S$1000,$S182,$V$5:$V$1000,"Macro",$H$5:$H$1000,"&gt;0"))))</f>
        <v/>
      </c>
      <c r="AH182" s="62" t="n"/>
      <c r="AI182" s="62" t="n"/>
      <c r="AJ182" s="62" t="n"/>
      <c r="AK182" s="62" t="n"/>
      <c r="AL182" s="62">
        <f>IF(LEFT($C182,11)="[Jefatura] ",IFERROR(MATCH("Riesgo Operacional|"&amp;MID($C182,12,500),rDname_ADM,0),0),"")</f>
        <v/>
      </c>
      <c r="AM182" s="62">
        <f>IF(N($AL182)&gt;0,INDEX(rIni_ADM,$AL182),IF(ISNUMBER($E182),$E182,""))</f>
        <v/>
      </c>
      <c r="AN182" s="62">
        <f>IF(N($AL182)&gt;0,INDEX(rLim_ADM,$AL182),IF(ISNUMBER($F182),$F182,""))</f>
        <v/>
      </c>
    </row>
    <row r="183">
      <c r="A183" s="56">
        <f>IF(NOT((COUNTA($B183:$D183)+COUNTA($G183:$L183)+COUNTA($Q183))&gt;0),"",IF($V183="Macro",COUNTIFS($V$5:$V183,"Macro",$S$5:$S183,$S183),IF(N($U183)=0,"?",COUNTIFS(INDEX($V$5:$V$1000,1):INDEX($V$5:$V$1000,$U183-4),"Macro",INDEX($S$5:$S$1000,1):INDEX($S$5:$S$1000,$U183-4),INDEX($S$5:$S$1000,$U183-4))&amp;"."&amp;COUNTIFS($U$5:$U183,$U183,$V$5:$V183,"Sub"))))</f>
        <v/>
      </c>
      <c r="B183" s="57" t="n"/>
      <c r="C183" s="58" t="n"/>
      <c r="D183" s="58" t="n"/>
      <c r="E183" s="59">
        <f>IF(N($AL183)&gt;0,INDEX(rIni_ADM,$AL183),"")</f>
        <v/>
      </c>
      <c r="F183" s="59">
        <f>IF(N($AL183)&gt;0,INDEX(rLim_ADM,$AL183),"")</f>
        <v/>
      </c>
      <c r="G183" s="59" t="n"/>
      <c r="H183" s="60" t="n"/>
      <c r="I183" s="60" t="n"/>
      <c r="J183" s="60" t="n"/>
      <c r="K183" s="60" t="n"/>
      <c r="L183" s="60" t="n"/>
      <c r="M183" s="61">
        <f>IF(NOT((COUNTA($B183:$D183)+COUNTA($G183:$L183)+COUNTA($Q183))&gt;0),"",IF($V183="Sub",IFERROR($X183/INDEX($W$5:$W$1000,$U183-4),""),IF(ISNUMBER($G183),1,IF(N($W183)&gt;0,AVERAGEIFS($X$5:$X$1000,$U$5:$U$1000,ROW(),$V$5:$V$1000,"Sub"),$X183))))</f>
        <v/>
      </c>
      <c r="N183" s="56">
        <f>IF(OR($M183="",$V183="Sub"),"",IF($M183&gt;=1,"Completado",IF($M183&gt;0,"En curso","Pendiente")))</f>
        <v/>
      </c>
      <c r="O183" s="56">
        <f>IF(OR(NOT((COUNTA($B183:$D183)+COUNTA($G183:$L183)+COUNTA($Q183))&gt;0),$V183="Sub"),"",IF(ISNUMBER($G183),IF(AND(ISNUMBER($AN183),$G183&gt;$AN183),"Cumplida con "&amp;($G183-$AN183)&amp;IF($G183-$AN183=1," día"," días")&amp;" de retraso","Cumplida"),IF(N($M183)&gt;=1,"Cumplida",IF(NOT(ISNUMBER($AN183)),"Sin fecha límite",IF($AN183&lt;FechaRef,"Vencida hace "&amp;(FechaRef-$AN183)&amp;IF(FechaRef-$AN183=1," día"," días"),IF($AN183=FechaRef,"Vence hoy",IF($AN183-FechaRef&lt;=DiasAlerta,"Vence en "&amp;($AN183-FechaRef)&amp;IF($AN183-FechaRef=1," día"," días"),"En plazo")))))))</f>
        <v/>
      </c>
      <c r="P183" s="62" t="n"/>
      <c r="Q183" s="58" t="n"/>
      <c r="R183" s="63">
        <f>IF(NOT((COUNTA($B183:$D183)+COUNTA($G183:$L183)+COUNTA($Q183))&gt;0),"",IF((IF($C183="","Falta el nombre de la actividad"&amp;" · ","")&amp;IF(AND($V183="Sub",N($U183)=0),"Subactividad sin macroactividad arriba"&amp;" · ","")&amp;IF($AM183="","Sin fecha de inicio"&amp;" · ","")&amp;IF($AN183="","Sin fecha límite"&amp;" · ","")&amp;IF(AND(LEFT($C183,11)="[Jefatura] ",N($AL183)=0),"No se encuentra en la hoja de la jefatura (elíjala de nuevo en la lista)"&amp;" · ","")&amp;IF(OR(AND($E183&lt;&gt;"",NOT(ISNUMBER($E183))),AND($F183&lt;&gt;"",NOT(ISNUMBER($F183))),AND($G183&lt;&gt;"",NOT(ISNUMBER($G183)))),"Fecha no válida"&amp;" · ","")&amp;IF(AND(ISNUMBER($AM183),ISNUMBER($AN183),$AM183&gt;$AN183),"Inicio posterior a fecha límite"&amp;" · ","")&amp;IF(AND($V183="Macro",$H183&lt;&gt;"",OR(NOT(ISNUMBER($H183)),$H183&lt;0,$H183&gt;1)),"Peso fuera de rango"&amp;" · ","")&amp;IF(AND($V183="Sub",$H183&lt;&gt;""),"Las subactividades no llevan peso (valen igual dentro de su macroactividad)"&amp;" · ","")&amp;IF(AND(N($W183)&gt;0,COUNT($I183:$L183)&gt;0),"Con subactividades: deje vacías las semanas (se calculan solas)"&amp;" · ","")&amp;IF((COUNTIF($I183:$L183,"&gt;1")+COUNTIF($I183:$L183,"&lt;0")+COUNTA($I183:$L183)-COUNT($I183:$L183))&gt;0,"Avance fuera de rango 0-100%"&amp;" · ","")&amp;IF(OR(AND($J183&lt;&gt;"",$J183&lt;$I183),AND($K183&lt;&gt;"",$K183&lt;MAX($I183:$J183)),AND($L183&lt;&gt;"",$L183&lt;MAX($I183:$K183))),"Avance semanal decreciente"&amp;" · ","")&amp;IF(AND(ISNUMBER($AN183),$AN183&lt;FechaRef,IF($V183="Sub",N($X183),N($M183))&lt;1),"Vencida"&amp;" · ","")&amp;IF(AND(ObsObligatoria="Sí",ISNUMBER($AN183),$AN183&lt;FechaRef,IF($V183="Sub",N($X183),N($M183))&lt;1,$Q183=""),"Vencida sin observación"&amp;" · ",""))="","✔ OK","⚠ "&amp;LEFT(IF($C183="","Falta el nombre de la actividad"&amp;" · ","")&amp;IF(AND($V183="Sub",N($U183)=0),"Subactividad sin macroactividad arriba"&amp;" · ","")&amp;IF($AM183="","Sin fecha de inicio"&amp;" · ","")&amp;IF($AN183="","Sin fecha límite"&amp;" · ","")&amp;IF(AND(LEFT($C183,11)="[Jefatura] ",N($AL183)=0),"No se encuentra en la hoja de la jefatura (elíjala de nuevo en la lista)"&amp;" · ","")&amp;IF(OR(AND($E183&lt;&gt;"",NOT(ISNUMBER($E183))),AND($F183&lt;&gt;"",NOT(ISNUMBER($F183))),AND($G183&lt;&gt;"",NOT(ISNUMBER($G183)))),"Fecha no válida"&amp;" · ","")&amp;IF(AND(ISNUMBER($AM183),ISNUMBER($AN183),$AM183&gt;$AN183),"Inicio posterior a fecha límite"&amp;" · ","")&amp;IF(AND($V183="Macro",$H183&lt;&gt;"",OR(NOT(ISNUMBER($H183)),$H183&lt;0,$H183&gt;1)),"Peso fuera de rango"&amp;" · ","")&amp;IF(AND($V183="Sub",$H183&lt;&gt;""),"Las subactividades no llevan peso (valen igual dentro de su macroactividad)"&amp;" · ","")&amp;IF(AND(N($W183)&gt;0,COUNT($I183:$L183)&gt;0),"Con subactividades: deje vacías las semanas (se calculan solas)"&amp;" · ","")&amp;IF((COUNTIF($I183:$L183,"&gt;1")+COUNTIF($I183:$L183,"&lt;0")+COUNTA($I183:$L183)-COUNT($I183:$L183))&gt;0,"Avance fuera de rango 0-100%"&amp;" · ","")&amp;IF(OR(AND($J183&lt;&gt;"",$J183&lt;$I183),AND($K183&lt;&gt;"",$K183&lt;MAX($I183:$J183)),AND($L183&lt;&gt;"",$L183&lt;MAX($I183:$K183))),"Avance semanal decreciente"&amp;" · ","")&amp;IF(AND(ISNUMBER($AN183),$AN183&lt;FechaRef,IF($V183="Sub",N($X183),N($M183))&lt;1),"Vencida"&amp;" · ","")&amp;IF(AND(ObsObligatoria="Sí",ISNUMBER($AN183),$AN183&lt;FechaRef,IF($V183="Sub",N($X183),N($M183))&lt;1,$Q183=""),"Vencida sin observación"&amp;" · ",""),LEN(IF($C183="","Falta el nombre de la actividad"&amp;" · ","")&amp;IF(AND($V183="Sub",N($U183)=0),"Subactividad sin macroactividad arriba"&amp;" · ","")&amp;IF($AM183="","Sin fecha de inicio"&amp;" · ","")&amp;IF($AN183="","Sin fecha límite"&amp;" · ","")&amp;IF(AND(LEFT($C183,11)="[Jefatura] ",N($AL183)=0),"No se encuentra en la hoja de la jefatura (elíjala de nuevo en la lista)"&amp;" · ","")&amp;IF(OR(AND($E183&lt;&gt;"",NOT(ISNUMBER($E183))),AND($F183&lt;&gt;"",NOT(ISNUMBER($F183))),AND($G183&lt;&gt;"",NOT(ISNUMBER($G183)))),"Fecha no válida"&amp;" · ","")&amp;IF(AND(ISNUMBER($AM183),ISNUMBER($AN183),$AM183&gt;$AN183),"Inicio posterior a fecha límite"&amp;" · ","")&amp;IF(AND($V183="Macro",$H183&lt;&gt;"",OR(NOT(ISNUMBER($H183)),$H183&lt;0,$H183&gt;1)),"Peso fuera de rango"&amp;" · ","")&amp;IF(AND($V183="Sub",$H183&lt;&gt;""),"Las subactividades no llevan peso (valen igual dentro de su macroactividad)"&amp;" · ","")&amp;IF(AND(N($W183)&gt;0,COUNT($I183:$L183)&gt;0),"Con subactividades: deje vacías las semanas (se calculan solas)"&amp;" · ","")&amp;IF((COUNTIF($I183:$L183,"&gt;1")+COUNTIF($I183:$L183,"&lt;0")+COUNTA($I183:$L183)-COUNT($I183:$L183))&gt;0,"Avance fuera de rango 0-100%"&amp;" · ","")&amp;IF(OR(AND($J183&lt;&gt;"",$J183&lt;$I183),AND($K183&lt;&gt;"",$K183&lt;MAX($I183:$J183)),AND($L183&lt;&gt;"",$L183&lt;MAX($I183:$K183))),"Avance semanal decreciente"&amp;" · ","")&amp;IF(AND(ISNUMBER($AN183),$AN183&lt;FechaRef,IF($V183="Sub",N($X183),N($M183))&lt;1),"Vencida"&amp;" · ","")&amp;IF(AND(ObsObligatoria="Sí",ISNUMBER($AN183),$AN183&lt;FechaRef,IF($V183="Sub",N($X183),N($M183))&lt;1,$Q183=""),"Vencida sin observación"&amp;" · ",""))-3)))</f>
        <v/>
      </c>
      <c r="S183" s="64">
        <f>IF(NOT((COUNTA($B183:$D183)+COUNTA($G183:$L183)+COUNTA($Q183))&gt;0),"",IF(AND($V183="Sub",N($U183)&gt;0),IF(ISNUMBER(INDEX($AM$5:$AM$1000,$U183-4)),DATE(YEAR(INDEX($AM$5:$AM$1000,$U183-4)),MONTH(INDEX($AM$5:$AM$1000,$U183-4)),1),IF(ISNUMBER(INDEX($AN$5:$AN$1000,$U183-4)),DATE(YEAR(INDEX($AN$5:$AN$1000,$U183-4)),MONTH(INDEX($AN$5:$AN$1000,$U183-4)),1),MesCiclo)),IF(ISNUMBER($AM183),DATE(YEAR($AM183),MONTH($AM183),1),IF(ISNUMBER($AN183),DATE(YEAR($AN183),MONTH($AN183),1),MesCiclo))))</f>
        <v/>
      </c>
      <c r="T183" s="62">
        <f>IF(OR($S183="",$S183&lt;&gt;MesCiclo,$V183&lt;&gt;"Macro"),"",COUNTIFS($S$5:$S183,MesCiclo,$V$5:$V183,"Macro"))</f>
        <v/>
      </c>
      <c r="U183" s="62">
        <f>IF($V183="","",IF($V183="Macro",ROW(),IFERROR(LOOKUP(2,1/($V$5:$V183="Macro"),ROW($V$5:$V183)),0)))</f>
        <v/>
      </c>
      <c r="V183" s="62">
        <f>IF(NOT((COUNTA($B183:$D183)+COUNTA($G183:$L183)+COUNTA($Q183))&gt;0),"",IF($B183="Subactividad","Sub","Macro"))</f>
        <v/>
      </c>
      <c r="W183" s="62">
        <f>IF($V183="Macro",COUNTIFS($U$5:$U$1000,ROW(),$V$5:$V$1000,"Sub"),"")</f>
        <v/>
      </c>
      <c r="X183" s="62">
        <f>IF($V183="","",IF(ISNUMBER($G183),1,IFERROR(LOOKUP(2,1/($I183:$L183&lt;&gt;""),$I183:$L183),0)))</f>
        <v/>
      </c>
      <c r="Y183" s="62">
        <f>IF($V183="","",IF(AND(ISNUMBER($G183),$G183&lt;=IF($S183=MesCiclo,InicioCiclo,$S183+MOD(2-WEEKDAY($S183),7))+6),1,IF(ISNUMBER($I183),$I183,0)))</f>
        <v/>
      </c>
      <c r="Z183" s="62">
        <f>IF($V183="","",IF(AND(ISNUMBER($G183),$G183&lt;=IF($S183=MesCiclo,InicioCiclo,$S183+MOD(2-WEEKDAY($S183),7))+13),1,IF(ISNUMBER($J183),$J183,$Y183)))</f>
        <v/>
      </c>
      <c r="AA183" s="62">
        <f>IF($V183="","",IF(AND(ISNUMBER($G183),$G183&lt;=IF($S183=MesCiclo,InicioCiclo,$S183+MOD(2-WEEKDAY($S183),7))+20),1,IF(ISNUMBER($K183),$K183,$Z183)))</f>
        <v/>
      </c>
      <c r="AB183" s="62">
        <f>IF($V183="","",IF(AND(ISNUMBER($G183),$G183&lt;=IF($S183=MesCiclo,InicioCiclo,$S183+MOD(2-WEEKDAY($S183),7))+27),1,IF(ISNUMBER($L183),$L183,$AA183)))</f>
        <v/>
      </c>
      <c r="AC183" s="62">
        <f>IF($V183="","",IF(AND(ISNUMBER($G183),$G183&lt;=IF($S183=MesCiclo,InicioCiclo,$S183+MOD(2-WEEKDAY($S183),7))+6),1,IF(N($W183)&gt;0,AVERAGEIFS($Y$5:$Y$1000,$U$5:$U$1000,ROW(),$V$5:$V$1000,"Sub"),$Y183)))</f>
        <v/>
      </c>
      <c r="AD183" s="62">
        <f>IF($V183="","",IF(AND(ISNUMBER($G183),$G183&lt;=IF($S183=MesCiclo,InicioCiclo,$S183+MOD(2-WEEKDAY($S183),7))+13),1,IF(N($W183)&gt;0,AVERAGEIFS($Z$5:$Z$1000,$U$5:$U$1000,ROW(),$V$5:$V$1000,"Sub"),$Z183)))</f>
        <v/>
      </c>
      <c r="AE183" s="62">
        <f>IF($V183="","",IF(AND(ISNUMBER($G183),$G183&lt;=IF($S183=MesCiclo,InicioCiclo,$S183+MOD(2-WEEKDAY($S183),7))+20),1,IF(N($W183)&gt;0,AVERAGEIFS($AA$5:$AA$1000,$U$5:$U$1000,ROW(),$V$5:$V$1000,"Sub"),$AA183)))</f>
        <v/>
      </c>
      <c r="AF183" s="62">
        <f>IF($V183="","",IF(AND(ISNUMBER($G183),$G183&lt;=IF($S183=MesCiclo,InicioCiclo,$S183+MOD(2-WEEKDAY($S183),7))+27),1,IF(N($W183)&gt;0,AVERAGEIFS($AB$5:$AB$1000,$U$5:$U$1000,ROW(),$V$5:$V$1000,"Sub"),$AB183)))</f>
        <v/>
      </c>
      <c r="AG183" s="62">
        <f>IF($V183&lt;&gt;"Macro","",IF(COUNTIFS($S$5:$S$1000,$S183,$V$5:$V$1000,"Macro",$H$5:$H$1000,"&gt;0")=0,1/COUNTIFS($S$5:$S$1000,$S183,$V$5:$V$1000,"Macro"),IF(AND(ISNUMBER($H183),N($H183)&gt;0),$H183,SUMIFS($H$5:$H$1000,$S$5:$S$1000,$S183,$V$5:$V$1000,"Macro")/COUNTIFS($S$5:$S$1000,$S183,$V$5:$V$1000,"Macro",$H$5:$H$1000,"&gt;0"))/(COUNTIFS($S$5:$S$1000,$S183,$V$5:$V$1000,"Macro")*SUMIFS($H$5:$H$1000,$S$5:$S$1000,$S183,$V$5:$V$1000,"Macro")/COUNTIFS($S$5:$S$1000,$S183,$V$5:$V$1000,"Macro",$H$5:$H$1000,"&gt;0"))))</f>
        <v/>
      </c>
      <c r="AH183" s="62" t="n"/>
      <c r="AI183" s="62" t="n"/>
      <c r="AJ183" s="62" t="n"/>
      <c r="AK183" s="62" t="n"/>
      <c r="AL183" s="62">
        <f>IF(LEFT($C183,11)="[Jefatura] ",IFERROR(MATCH("Riesgo Operacional|"&amp;MID($C183,12,500),rDname_ADM,0),0),"")</f>
        <v/>
      </c>
      <c r="AM183" s="62">
        <f>IF(N($AL183)&gt;0,INDEX(rIni_ADM,$AL183),IF(ISNUMBER($E183),$E183,""))</f>
        <v/>
      </c>
      <c r="AN183" s="62">
        <f>IF(N($AL183)&gt;0,INDEX(rLim_ADM,$AL183),IF(ISNUMBER($F183),$F183,""))</f>
        <v/>
      </c>
    </row>
    <row r="184">
      <c r="A184" s="56">
        <f>IF(NOT((COUNTA($B184:$D184)+COUNTA($G184:$L184)+COUNTA($Q184))&gt;0),"",IF($V184="Macro",COUNTIFS($V$5:$V184,"Macro",$S$5:$S184,$S184),IF(N($U184)=0,"?",COUNTIFS(INDEX($V$5:$V$1000,1):INDEX($V$5:$V$1000,$U184-4),"Macro",INDEX($S$5:$S$1000,1):INDEX($S$5:$S$1000,$U184-4),INDEX($S$5:$S$1000,$U184-4))&amp;"."&amp;COUNTIFS($U$5:$U184,$U184,$V$5:$V184,"Sub"))))</f>
        <v/>
      </c>
      <c r="B184" s="57" t="n"/>
      <c r="C184" s="58" t="n"/>
      <c r="D184" s="58" t="n"/>
      <c r="E184" s="59">
        <f>IF(N($AL184)&gt;0,INDEX(rIni_ADM,$AL184),"")</f>
        <v/>
      </c>
      <c r="F184" s="59">
        <f>IF(N($AL184)&gt;0,INDEX(rLim_ADM,$AL184),"")</f>
        <v/>
      </c>
      <c r="G184" s="59" t="n"/>
      <c r="H184" s="60" t="n"/>
      <c r="I184" s="60" t="n"/>
      <c r="J184" s="60" t="n"/>
      <c r="K184" s="60" t="n"/>
      <c r="L184" s="60" t="n"/>
      <c r="M184" s="61">
        <f>IF(NOT((COUNTA($B184:$D184)+COUNTA($G184:$L184)+COUNTA($Q184))&gt;0),"",IF($V184="Sub",IFERROR($X184/INDEX($W$5:$W$1000,$U184-4),""),IF(ISNUMBER($G184),1,IF(N($W184)&gt;0,AVERAGEIFS($X$5:$X$1000,$U$5:$U$1000,ROW(),$V$5:$V$1000,"Sub"),$X184))))</f>
        <v/>
      </c>
      <c r="N184" s="56">
        <f>IF(OR($M184="",$V184="Sub"),"",IF($M184&gt;=1,"Completado",IF($M184&gt;0,"En curso","Pendiente")))</f>
        <v/>
      </c>
      <c r="O184" s="56">
        <f>IF(OR(NOT((COUNTA($B184:$D184)+COUNTA($G184:$L184)+COUNTA($Q184))&gt;0),$V184="Sub"),"",IF(ISNUMBER($G184),IF(AND(ISNUMBER($AN184),$G184&gt;$AN184),"Cumplida con "&amp;($G184-$AN184)&amp;IF($G184-$AN184=1," día"," días")&amp;" de retraso","Cumplida"),IF(N($M184)&gt;=1,"Cumplida",IF(NOT(ISNUMBER($AN184)),"Sin fecha límite",IF($AN184&lt;FechaRef,"Vencida hace "&amp;(FechaRef-$AN184)&amp;IF(FechaRef-$AN184=1," día"," días"),IF($AN184=FechaRef,"Vence hoy",IF($AN184-FechaRef&lt;=DiasAlerta,"Vence en "&amp;($AN184-FechaRef)&amp;IF($AN184-FechaRef=1," día"," días"),"En plazo")))))))</f>
        <v/>
      </c>
      <c r="P184" s="62" t="n"/>
      <c r="Q184" s="58" t="n"/>
      <c r="R184" s="63">
        <f>IF(NOT((COUNTA($B184:$D184)+COUNTA($G184:$L184)+COUNTA($Q184))&gt;0),"",IF((IF($C184="","Falta el nombre de la actividad"&amp;" · ","")&amp;IF(AND($V184="Sub",N($U184)=0),"Subactividad sin macroactividad arriba"&amp;" · ","")&amp;IF($AM184="","Sin fecha de inicio"&amp;" · ","")&amp;IF($AN184="","Sin fecha límite"&amp;" · ","")&amp;IF(AND(LEFT($C184,11)="[Jefatura] ",N($AL184)=0),"No se encuentra en la hoja de la jefatura (elíjala de nuevo en la lista)"&amp;" · ","")&amp;IF(OR(AND($E184&lt;&gt;"",NOT(ISNUMBER($E184))),AND($F184&lt;&gt;"",NOT(ISNUMBER($F184))),AND($G184&lt;&gt;"",NOT(ISNUMBER($G184)))),"Fecha no válida"&amp;" · ","")&amp;IF(AND(ISNUMBER($AM184),ISNUMBER($AN184),$AM184&gt;$AN184),"Inicio posterior a fecha límite"&amp;" · ","")&amp;IF(AND($V184="Macro",$H184&lt;&gt;"",OR(NOT(ISNUMBER($H184)),$H184&lt;0,$H184&gt;1)),"Peso fuera de rango"&amp;" · ","")&amp;IF(AND($V184="Sub",$H184&lt;&gt;""),"Las subactividades no llevan peso (valen igual dentro de su macroactividad)"&amp;" · ","")&amp;IF(AND(N($W184)&gt;0,COUNT($I184:$L184)&gt;0),"Con subactividades: deje vacías las semanas (se calculan solas)"&amp;" · ","")&amp;IF((COUNTIF($I184:$L184,"&gt;1")+COUNTIF($I184:$L184,"&lt;0")+COUNTA($I184:$L184)-COUNT($I184:$L184))&gt;0,"Avance fuera de rango 0-100%"&amp;" · ","")&amp;IF(OR(AND($J184&lt;&gt;"",$J184&lt;$I184),AND($K184&lt;&gt;"",$K184&lt;MAX($I184:$J184)),AND($L184&lt;&gt;"",$L184&lt;MAX($I184:$K184))),"Avance semanal decreciente"&amp;" · ","")&amp;IF(AND(ISNUMBER($AN184),$AN184&lt;FechaRef,IF($V184="Sub",N($X184),N($M184))&lt;1),"Vencida"&amp;" · ","")&amp;IF(AND(ObsObligatoria="Sí",ISNUMBER($AN184),$AN184&lt;FechaRef,IF($V184="Sub",N($X184),N($M184))&lt;1,$Q184=""),"Vencida sin observación"&amp;" · ",""))="","✔ OK","⚠ "&amp;LEFT(IF($C184="","Falta el nombre de la actividad"&amp;" · ","")&amp;IF(AND($V184="Sub",N($U184)=0),"Subactividad sin macroactividad arriba"&amp;" · ","")&amp;IF($AM184="","Sin fecha de inicio"&amp;" · ","")&amp;IF($AN184="","Sin fecha límite"&amp;" · ","")&amp;IF(AND(LEFT($C184,11)="[Jefatura] ",N($AL184)=0),"No se encuentra en la hoja de la jefatura (elíjala de nuevo en la lista)"&amp;" · ","")&amp;IF(OR(AND($E184&lt;&gt;"",NOT(ISNUMBER($E184))),AND($F184&lt;&gt;"",NOT(ISNUMBER($F184))),AND($G184&lt;&gt;"",NOT(ISNUMBER($G184)))),"Fecha no válida"&amp;" · ","")&amp;IF(AND(ISNUMBER($AM184),ISNUMBER($AN184),$AM184&gt;$AN184),"Inicio posterior a fecha límite"&amp;" · ","")&amp;IF(AND($V184="Macro",$H184&lt;&gt;"",OR(NOT(ISNUMBER($H184)),$H184&lt;0,$H184&gt;1)),"Peso fuera de rango"&amp;" · ","")&amp;IF(AND($V184="Sub",$H184&lt;&gt;""),"Las subactividades no llevan peso (valen igual dentro de su macroactividad)"&amp;" · ","")&amp;IF(AND(N($W184)&gt;0,COUNT($I184:$L184)&gt;0),"Con subactividades: deje vacías las semanas (se calculan solas)"&amp;" · ","")&amp;IF((COUNTIF($I184:$L184,"&gt;1")+COUNTIF($I184:$L184,"&lt;0")+COUNTA($I184:$L184)-COUNT($I184:$L184))&gt;0,"Avance fuera de rango 0-100%"&amp;" · ","")&amp;IF(OR(AND($J184&lt;&gt;"",$J184&lt;$I184),AND($K184&lt;&gt;"",$K184&lt;MAX($I184:$J184)),AND($L184&lt;&gt;"",$L184&lt;MAX($I184:$K184))),"Avance semanal decreciente"&amp;" · ","")&amp;IF(AND(ISNUMBER($AN184),$AN184&lt;FechaRef,IF($V184="Sub",N($X184),N($M184))&lt;1),"Vencida"&amp;" · ","")&amp;IF(AND(ObsObligatoria="Sí",ISNUMBER($AN184),$AN184&lt;FechaRef,IF($V184="Sub",N($X184),N($M184))&lt;1,$Q184=""),"Vencida sin observación"&amp;" · ",""),LEN(IF($C184="","Falta el nombre de la actividad"&amp;" · ","")&amp;IF(AND($V184="Sub",N($U184)=0),"Subactividad sin macroactividad arriba"&amp;" · ","")&amp;IF($AM184="","Sin fecha de inicio"&amp;" · ","")&amp;IF($AN184="","Sin fecha límite"&amp;" · ","")&amp;IF(AND(LEFT($C184,11)="[Jefatura] ",N($AL184)=0),"No se encuentra en la hoja de la jefatura (elíjala de nuevo en la lista)"&amp;" · ","")&amp;IF(OR(AND($E184&lt;&gt;"",NOT(ISNUMBER($E184))),AND($F184&lt;&gt;"",NOT(ISNUMBER($F184))),AND($G184&lt;&gt;"",NOT(ISNUMBER($G184)))),"Fecha no válida"&amp;" · ","")&amp;IF(AND(ISNUMBER($AM184),ISNUMBER($AN184),$AM184&gt;$AN184),"Inicio posterior a fecha límite"&amp;" · ","")&amp;IF(AND($V184="Macro",$H184&lt;&gt;"",OR(NOT(ISNUMBER($H184)),$H184&lt;0,$H184&gt;1)),"Peso fuera de rango"&amp;" · ","")&amp;IF(AND($V184="Sub",$H184&lt;&gt;""),"Las subactividades no llevan peso (valen igual dentro de su macroactividad)"&amp;" · ","")&amp;IF(AND(N($W184)&gt;0,COUNT($I184:$L184)&gt;0),"Con subactividades: deje vacías las semanas (se calculan solas)"&amp;" · ","")&amp;IF((COUNTIF($I184:$L184,"&gt;1")+COUNTIF($I184:$L184,"&lt;0")+COUNTA($I184:$L184)-COUNT($I184:$L184))&gt;0,"Avance fuera de rango 0-100%"&amp;" · ","")&amp;IF(OR(AND($J184&lt;&gt;"",$J184&lt;$I184),AND($K184&lt;&gt;"",$K184&lt;MAX($I184:$J184)),AND($L184&lt;&gt;"",$L184&lt;MAX($I184:$K184))),"Avance semanal decreciente"&amp;" · ","")&amp;IF(AND(ISNUMBER($AN184),$AN184&lt;FechaRef,IF($V184="Sub",N($X184),N($M184))&lt;1),"Vencida"&amp;" · ","")&amp;IF(AND(ObsObligatoria="Sí",ISNUMBER($AN184),$AN184&lt;FechaRef,IF($V184="Sub",N($X184),N($M184))&lt;1,$Q184=""),"Vencida sin observación"&amp;" · ",""))-3)))</f>
        <v/>
      </c>
      <c r="S184" s="64">
        <f>IF(NOT((COUNTA($B184:$D184)+COUNTA($G184:$L184)+COUNTA($Q184))&gt;0),"",IF(AND($V184="Sub",N($U184)&gt;0),IF(ISNUMBER(INDEX($AM$5:$AM$1000,$U184-4)),DATE(YEAR(INDEX($AM$5:$AM$1000,$U184-4)),MONTH(INDEX($AM$5:$AM$1000,$U184-4)),1),IF(ISNUMBER(INDEX($AN$5:$AN$1000,$U184-4)),DATE(YEAR(INDEX($AN$5:$AN$1000,$U184-4)),MONTH(INDEX($AN$5:$AN$1000,$U184-4)),1),MesCiclo)),IF(ISNUMBER($AM184),DATE(YEAR($AM184),MONTH($AM184),1),IF(ISNUMBER($AN184),DATE(YEAR($AN184),MONTH($AN184),1),MesCiclo))))</f>
        <v/>
      </c>
      <c r="T184" s="62">
        <f>IF(OR($S184="",$S184&lt;&gt;MesCiclo,$V184&lt;&gt;"Macro"),"",COUNTIFS($S$5:$S184,MesCiclo,$V$5:$V184,"Macro"))</f>
        <v/>
      </c>
      <c r="U184" s="62">
        <f>IF($V184="","",IF($V184="Macro",ROW(),IFERROR(LOOKUP(2,1/($V$5:$V184="Macro"),ROW($V$5:$V184)),0)))</f>
        <v/>
      </c>
      <c r="V184" s="62">
        <f>IF(NOT((COUNTA($B184:$D184)+COUNTA($G184:$L184)+COUNTA($Q184))&gt;0),"",IF($B184="Subactividad","Sub","Macro"))</f>
        <v/>
      </c>
      <c r="W184" s="62">
        <f>IF($V184="Macro",COUNTIFS($U$5:$U$1000,ROW(),$V$5:$V$1000,"Sub"),"")</f>
        <v/>
      </c>
      <c r="X184" s="62">
        <f>IF($V184="","",IF(ISNUMBER($G184),1,IFERROR(LOOKUP(2,1/($I184:$L184&lt;&gt;""),$I184:$L184),0)))</f>
        <v/>
      </c>
      <c r="Y184" s="62">
        <f>IF($V184="","",IF(AND(ISNUMBER($G184),$G184&lt;=IF($S184=MesCiclo,InicioCiclo,$S184+MOD(2-WEEKDAY($S184),7))+6),1,IF(ISNUMBER($I184),$I184,0)))</f>
        <v/>
      </c>
      <c r="Z184" s="62">
        <f>IF($V184="","",IF(AND(ISNUMBER($G184),$G184&lt;=IF($S184=MesCiclo,InicioCiclo,$S184+MOD(2-WEEKDAY($S184),7))+13),1,IF(ISNUMBER($J184),$J184,$Y184)))</f>
        <v/>
      </c>
      <c r="AA184" s="62">
        <f>IF($V184="","",IF(AND(ISNUMBER($G184),$G184&lt;=IF($S184=MesCiclo,InicioCiclo,$S184+MOD(2-WEEKDAY($S184),7))+20),1,IF(ISNUMBER($K184),$K184,$Z184)))</f>
        <v/>
      </c>
      <c r="AB184" s="62">
        <f>IF($V184="","",IF(AND(ISNUMBER($G184),$G184&lt;=IF($S184=MesCiclo,InicioCiclo,$S184+MOD(2-WEEKDAY($S184),7))+27),1,IF(ISNUMBER($L184),$L184,$AA184)))</f>
        <v/>
      </c>
      <c r="AC184" s="62">
        <f>IF($V184="","",IF(AND(ISNUMBER($G184),$G184&lt;=IF($S184=MesCiclo,InicioCiclo,$S184+MOD(2-WEEKDAY($S184),7))+6),1,IF(N($W184)&gt;0,AVERAGEIFS($Y$5:$Y$1000,$U$5:$U$1000,ROW(),$V$5:$V$1000,"Sub"),$Y184)))</f>
        <v/>
      </c>
      <c r="AD184" s="62">
        <f>IF($V184="","",IF(AND(ISNUMBER($G184),$G184&lt;=IF($S184=MesCiclo,InicioCiclo,$S184+MOD(2-WEEKDAY($S184),7))+13),1,IF(N($W184)&gt;0,AVERAGEIFS($Z$5:$Z$1000,$U$5:$U$1000,ROW(),$V$5:$V$1000,"Sub"),$Z184)))</f>
        <v/>
      </c>
      <c r="AE184" s="62">
        <f>IF($V184="","",IF(AND(ISNUMBER($G184),$G184&lt;=IF($S184=MesCiclo,InicioCiclo,$S184+MOD(2-WEEKDAY($S184),7))+20),1,IF(N($W184)&gt;0,AVERAGEIFS($AA$5:$AA$1000,$U$5:$U$1000,ROW(),$V$5:$V$1000,"Sub"),$AA184)))</f>
        <v/>
      </c>
      <c r="AF184" s="62">
        <f>IF($V184="","",IF(AND(ISNUMBER($G184),$G184&lt;=IF($S184=MesCiclo,InicioCiclo,$S184+MOD(2-WEEKDAY($S184),7))+27),1,IF(N($W184)&gt;0,AVERAGEIFS($AB$5:$AB$1000,$U$5:$U$1000,ROW(),$V$5:$V$1000,"Sub"),$AB184)))</f>
        <v/>
      </c>
      <c r="AG184" s="62">
        <f>IF($V184&lt;&gt;"Macro","",IF(COUNTIFS($S$5:$S$1000,$S184,$V$5:$V$1000,"Macro",$H$5:$H$1000,"&gt;0")=0,1/COUNTIFS($S$5:$S$1000,$S184,$V$5:$V$1000,"Macro"),IF(AND(ISNUMBER($H184),N($H184)&gt;0),$H184,SUMIFS($H$5:$H$1000,$S$5:$S$1000,$S184,$V$5:$V$1000,"Macro")/COUNTIFS($S$5:$S$1000,$S184,$V$5:$V$1000,"Macro",$H$5:$H$1000,"&gt;0"))/(COUNTIFS($S$5:$S$1000,$S184,$V$5:$V$1000,"Macro")*SUMIFS($H$5:$H$1000,$S$5:$S$1000,$S184,$V$5:$V$1000,"Macro")/COUNTIFS($S$5:$S$1000,$S184,$V$5:$V$1000,"Macro",$H$5:$H$1000,"&gt;0"))))</f>
        <v/>
      </c>
      <c r="AH184" s="62" t="n"/>
      <c r="AI184" s="62" t="n"/>
      <c r="AJ184" s="62" t="n"/>
      <c r="AK184" s="62" t="n"/>
      <c r="AL184" s="62">
        <f>IF(LEFT($C184,11)="[Jefatura] ",IFERROR(MATCH("Riesgo Operacional|"&amp;MID($C184,12,500),rDname_ADM,0),0),"")</f>
        <v/>
      </c>
      <c r="AM184" s="62">
        <f>IF(N($AL184)&gt;0,INDEX(rIni_ADM,$AL184),IF(ISNUMBER($E184),$E184,""))</f>
        <v/>
      </c>
      <c r="AN184" s="62">
        <f>IF(N($AL184)&gt;0,INDEX(rLim_ADM,$AL184),IF(ISNUMBER($F184),$F184,""))</f>
        <v/>
      </c>
    </row>
    <row r="185">
      <c r="A185" s="56">
        <f>IF(NOT((COUNTA($B185:$D185)+COUNTA($G185:$L185)+COUNTA($Q185))&gt;0),"",IF($V185="Macro",COUNTIFS($V$5:$V185,"Macro",$S$5:$S185,$S185),IF(N($U185)=0,"?",COUNTIFS(INDEX($V$5:$V$1000,1):INDEX($V$5:$V$1000,$U185-4),"Macro",INDEX($S$5:$S$1000,1):INDEX($S$5:$S$1000,$U185-4),INDEX($S$5:$S$1000,$U185-4))&amp;"."&amp;COUNTIFS($U$5:$U185,$U185,$V$5:$V185,"Sub"))))</f>
        <v/>
      </c>
      <c r="B185" s="57" t="n"/>
      <c r="C185" s="58" t="n"/>
      <c r="D185" s="58" t="n"/>
      <c r="E185" s="59">
        <f>IF(N($AL185)&gt;0,INDEX(rIni_ADM,$AL185),"")</f>
        <v/>
      </c>
      <c r="F185" s="59">
        <f>IF(N($AL185)&gt;0,INDEX(rLim_ADM,$AL185),"")</f>
        <v/>
      </c>
      <c r="G185" s="59" t="n"/>
      <c r="H185" s="60" t="n"/>
      <c r="I185" s="60" t="n"/>
      <c r="J185" s="60" t="n"/>
      <c r="K185" s="60" t="n"/>
      <c r="L185" s="60" t="n"/>
      <c r="M185" s="61">
        <f>IF(NOT((COUNTA($B185:$D185)+COUNTA($G185:$L185)+COUNTA($Q185))&gt;0),"",IF($V185="Sub",IFERROR($X185/INDEX($W$5:$W$1000,$U185-4),""),IF(ISNUMBER($G185),1,IF(N($W185)&gt;0,AVERAGEIFS($X$5:$X$1000,$U$5:$U$1000,ROW(),$V$5:$V$1000,"Sub"),$X185))))</f>
        <v/>
      </c>
      <c r="N185" s="56">
        <f>IF(OR($M185="",$V185="Sub"),"",IF($M185&gt;=1,"Completado",IF($M185&gt;0,"En curso","Pendiente")))</f>
        <v/>
      </c>
      <c r="O185" s="56">
        <f>IF(OR(NOT((COUNTA($B185:$D185)+COUNTA($G185:$L185)+COUNTA($Q185))&gt;0),$V185="Sub"),"",IF(ISNUMBER($G185),IF(AND(ISNUMBER($AN185),$G185&gt;$AN185),"Cumplida con "&amp;($G185-$AN185)&amp;IF($G185-$AN185=1," día"," días")&amp;" de retraso","Cumplida"),IF(N($M185)&gt;=1,"Cumplida",IF(NOT(ISNUMBER($AN185)),"Sin fecha límite",IF($AN185&lt;FechaRef,"Vencida hace "&amp;(FechaRef-$AN185)&amp;IF(FechaRef-$AN185=1," día"," días"),IF($AN185=FechaRef,"Vence hoy",IF($AN185-FechaRef&lt;=DiasAlerta,"Vence en "&amp;($AN185-FechaRef)&amp;IF($AN185-FechaRef=1," día"," días"),"En plazo")))))))</f>
        <v/>
      </c>
      <c r="P185" s="62" t="n"/>
      <c r="Q185" s="58" t="n"/>
      <c r="R185" s="63">
        <f>IF(NOT((COUNTA($B185:$D185)+COUNTA($G185:$L185)+COUNTA($Q185))&gt;0),"",IF((IF($C185="","Falta el nombre de la actividad"&amp;" · ","")&amp;IF(AND($V185="Sub",N($U185)=0),"Subactividad sin macroactividad arriba"&amp;" · ","")&amp;IF($AM185="","Sin fecha de inicio"&amp;" · ","")&amp;IF($AN185="","Sin fecha límite"&amp;" · ","")&amp;IF(AND(LEFT($C185,11)="[Jefatura] ",N($AL185)=0),"No se encuentra en la hoja de la jefatura (elíjala de nuevo en la lista)"&amp;" · ","")&amp;IF(OR(AND($E185&lt;&gt;"",NOT(ISNUMBER($E185))),AND($F185&lt;&gt;"",NOT(ISNUMBER($F185))),AND($G185&lt;&gt;"",NOT(ISNUMBER($G185)))),"Fecha no válida"&amp;" · ","")&amp;IF(AND(ISNUMBER($AM185),ISNUMBER($AN185),$AM185&gt;$AN185),"Inicio posterior a fecha límite"&amp;" · ","")&amp;IF(AND($V185="Macro",$H185&lt;&gt;"",OR(NOT(ISNUMBER($H185)),$H185&lt;0,$H185&gt;1)),"Peso fuera de rango"&amp;" · ","")&amp;IF(AND($V185="Sub",$H185&lt;&gt;""),"Las subactividades no llevan peso (valen igual dentro de su macroactividad)"&amp;" · ","")&amp;IF(AND(N($W185)&gt;0,COUNT($I185:$L185)&gt;0),"Con subactividades: deje vacías las semanas (se calculan solas)"&amp;" · ","")&amp;IF((COUNTIF($I185:$L185,"&gt;1")+COUNTIF($I185:$L185,"&lt;0")+COUNTA($I185:$L185)-COUNT($I185:$L185))&gt;0,"Avance fuera de rango 0-100%"&amp;" · ","")&amp;IF(OR(AND($J185&lt;&gt;"",$J185&lt;$I185),AND($K185&lt;&gt;"",$K185&lt;MAX($I185:$J185)),AND($L185&lt;&gt;"",$L185&lt;MAX($I185:$K185))),"Avance semanal decreciente"&amp;" · ","")&amp;IF(AND(ISNUMBER($AN185),$AN185&lt;FechaRef,IF($V185="Sub",N($X185),N($M185))&lt;1),"Vencida"&amp;" · ","")&amp;IF(AND(ObsObligatoria="Sí",ISNUMBER($AN185),$AN185&lt;FechaRef,IF($V185="Sub",N($X185),N($M185))&lt;1,$Q185=""),"Vencida sin observación"&amp;" · ",""))="","✔ OK","⚠ "&amp;LEFT(IF($C185="","Falta el nombre de la actividad"&amp;" · ","")&amp;IF(AND($V185="Sub",N($U185)=0),"Subactividad sin macroactividad arriba"&amp;" · ","")&amp;IF($AM185="","Sin fecha de inicio"&amp;" · ","")&amp;IF($AN185="","Sin fecha límite"&amp;" · ","")&amp;IF(AND(LEFT($C185,11)="[Jefatura] ",N($AL185)=0),"No se encuentra en la hoja de la jefatura (elíjala de nuevo en la lista)"&amp;" · ","")&amp;IF(OR(AND($E185&lt;&gt;"",NOT(ISNUMBER($E185))),AND($F185&lt;&gt;"",NOT(ISNUMBER($F185))),AND($G185&lt;&gt;"",NOT(ISNUMBER($G185)))),"Fecha no válida"&amp;" · ","")&amp;IF(AND(ISNUMBER($AM185),ISNUMBER($AN185),$AM185&gt;$AN185),"Inicio posterior a fecha límite"&amp;" · ","")&amp;IF(AND($V185="Macro",$H185&lt;&gt;"",OR(NOT(ISNUMBER($H185)),$H185&lt;0,$H185&gt;1)),"Peso fuera de rango"&amp;" · ","")&amp;IF(AND($V185="Sub",$H185&lt;&gt;""),"Las subactividades no llevan peso (valen igual dentro de su macroactividad)"&amp;" · ","")&amp;IF(AND(N($W185)&gt;0,COUNT($I185:$L185)&gt;0),"Con subactividades: deje vacías las semanas (se calculan solas)"&amp;" · ","")&amp;IF((COUNTIF($I185:$L185,"&gt;1")+COUNTIF($I185:$L185,"&lt;0")+COUNTA($I185:$L185)-COUNT($I185:$L185))&gt;0,"Avance fuera de rango 0-100%"&amp;" · ","")&amp;IF(OR(AND($J185&lt;&gt;"",$J185&lt;$I185),AND($K185&lt;&gt;"",$K185&lt;MAX($I185:$J185)),AND($L185&lt;&gt;"",$L185&lt;MAX($I185:$K185))),"Avance semanal decreciente"&amp;" · ","")&amp;IF(AND(ISNUMBER($AN185),$AN185&lt;FechaRef,IF($V185="Sub",N($X185),N($M185))&lt;1),"Vencida"&amp;" · ","")&amp;IF(AND(ObsObligatoria="Sí",ISNUMBER($AN185),$AN185&lt;FechaRef,IF($V185="Sub",N($X185),N($M185))&lt;1,$Q185=""),"Vencida sin observación"&amp;" · ",""),LEN(IF($C185="","Falta el nombre de la actividad"&amp;" · ","")&amp;IF(AND($V185="Sub",N($U185)=0),"Subactividad sin macroactividad arriba"&amp;" · ","")&amp;IF($AM185="","Sin fecha de inicio"&amp;" · ","")&amp;IF($AN185="","Sin fecha límite"&amp;" · ","")&amp;IF(AND(LEFT($C185,11)="[Jefatura] ",N($AL185)=0),"No se encuentra en la hoja de la jefatura (elíjala de nuevo en la lista)"&amp;" · ","")&amp;IF(OR(AND($E185&lt;&gt;"",NOT(ISNUMBER($E185))),AND($F185&lt;&gt;"",NOT(ISNUMBER($F185))),AND($G185&lt;&gt;"",NOT(ISNUMBER($G185)))),"Fecha no válida"&amp;" · ","")&amp;IF(AND(ISNUMBER($AM185),ISNUMBER($AN185),$AM185&gt;$AN185),"Inicio posterior a fecha límite"&amp;" · ","")&amp;IF(AND($V185="Macro",$H185&lt;&gt;"",OR(NOT(ISNUMBER($H185)),$H185&lt;0,$H185&gt;1)),"Peso fuera de rango"&amp;" · ","")&amp;IF(AND($V185="Sub",$H185&lt;&gt;""),"Las subactividades no llevan peso (valen igual dentro de su macroactividad)"&amp;" · ","")&amp;IF(AND(N($W185)&gt;0,COUNT($I185:$L185)&gt;0),"Con subactividades: deje vacías las semanas (se calculan solas)"&amp;" · ","")&amp;IF((COUNTIF($I185:$L185,"&gt;1")+COUNTIF($I185:$L185,"&lt;0")+COUNTA($I185:$L185)-COUNT($I185:$L185))&gt;0,"Avance fuera de rango 0-100%"&amp;" · ","")&amp;IF(OR(AND($J185&lt;&gt;"",$J185&lt;$I185),AND($K185&lt;&gt;"",$K185&lt;MAX($I185:$J185)),AND($L185&lt;&gt;"",$L185&lt;MAX($I185:$K185))),"Avance semanal decreciente"&amp;" · ","")&amp;IF(AND(ISNUMBER($AN185),$AN185&lt;FechaRef,IF($V185="Sub",N($X185),N($M185))&lt;1),"Vencida"&amp;" · ","")&amp;IF(AND(ObsObligatoria="Sí",ISNUMBER($AN185),$AN185&lt;FechaRef,IF($V185="Sub",N($X185),N($M185))&lt;1,$Q185=""),"Vencida sin observación"&amp;" · ",""))-3)))</f>
        <v/>
      </c>
      <c r="S185" s="64">
        <f>IF(NOT((COUNTA($B185:$D185)+COUNTA($G185:$L185)+COUNTA($Q185))&gt;0),"",IF(AND($V185="Sub",N($U185)&gt;0),IF(ISNUMBER(INDEX($AM$5:$AM$1000,$U185-4)),DATE(YEAR(INDEX($AM$5:$AM$1000,$U185-4)),MONTH(INDEX($AM$5:$AM$1000,$U185-4)),1),IF(ISNUMBER(INDEX($AN$5:$AN$1000,$U185-4)),DATE(YEAR(INDEX($AN$5:$AN$1000,$U185-4)),MONTH(INDEX($AN$5:$AN$1000,$U185-4)),1),MesCiclo)),IF(ISNUMBER($AM185),DATE(YEAR($AM185),MONTH($AM185),1),IF(ISNUMBER($AN185),DATE(YEAR($AN185),MONTH($AN185),1),MesCiclo))))</f>
        <v/>
      </c>
      <c r="T185" s="62">
        <f>IF(OR($S185="",$S185&lt;&gt;MesCiclo,$V185&lt;&gt;"Macro"),"",COUNTIFS($S$5:$S185,MesCiclo,$V$5:$V185,"Macro"))</f>
        <v/>
      </c>
      <c r="U185" s="62">
        <f>IF($V185="","",IF($V185="Macro",ROW(),IFERROR(LOOKUP(2,1/($V$5:$V185="Macro"),ROW($V$5:$V185)),0)))</f>
        <v/>
      </c>
      <c r="V185" s="62">
        <f>IF(NOT((COUNTA($B185:$D185)+COUNTA($G185:$L185)+COUNTA($Q185))&gt;0),"",IF($B185="Subactividad","Sub","Macro"))</f>
        <v/>
      </c>
      <c r="W185" s="62">
        <f>IF($V185="Macro",COUNTIFS($U$5:$U$1000,ROW(),$V$5:$V$1000,"Sub"),"")</f>
        <v/>
      </c>
      <c r="X185" s="62">
        <f>IF($V185="","",IF(ISNUMBER($G185),1,IFERROR(LOOKUP(2,1/($I185:$L185&lt;&gt;""),$I185:$L185),0)))</f>
        <v/>
      </c>
      <c r="Y185" s="62">
        <f>IF($V185="","",IF(AND(ISNUMBER($G185),$G185&lt;=IF($S185=MesCiclo,InicioCiclo,$S185+MOD(2-WEEKDAY($S185),7))+6),1,IF(ISNUMBER($I185),$I185,0)))</f>
        <v/>
      </c>
      <c r="Z185" s="62">
        <f>IF($V185="","",IF(AND(ISNUMBER($G185),$G185&lt;=IF($S185=MesCiclo,InicioCiclo,$S185+MOD(2-WEEKDAY($S185),7))+13),1,IF(ISNUMBER($J185),$J185,$Y185)))</f>
        <v/>
      </c>
      <c r="AA185" s="62">
        <f>IF($V185="","",IF(AND(ISNUMBER($G185),$G185&lt;=IF($S185=MesCiclo,InicioCiclo,$S185+MOD(2-WEEKDAY($S185),7))+20),1,IF(ISNUMBER($K185),$K185,$Z185)))</f>
        <v/>
      </c>
      <c r="AB185" s="62">
        <f>IF($V185="","",IF(AND(ISNUMBER($G185),$G185&lt;=IF($S185=MesCiclo,InicioCiclo,$S185+MOD(2-WEEKDAY($S185),7))+27),1,IF(ISNUMBER($L185),$L185,$AA185)))</f>
        <v/>
      </c>
      <c r="AC185" s="62">
        <f>IF($V185="","",IF(AND(ISNUMBER($G185),$G185&lt;=IF($S185=MesCiclo,InicioCiclo,$S185+MOD(2-WEEKDAY($S185),7))+6),1,IF(N($W185)&gt;0,AVERAGEIFS($Y$5:$Y$1000,$U$5:$U$1000,ROW(),$V$5:$V$1000,"Sub"),$Y185)))</f>
        <v/>
      </c>
      <c r="AD185" s="62">
        <f>IF($V185="","",IF(AND(ISNUMBER($G185),$G185&lt;=IF($S185=MesCiclo,InicioCiclo,$S185+MOD(2-WEEKDAY($S185),7))+13),1,IF(N($W185)&gt;0,AVERAGEIFS($Z$5:$Z$1000,$U$5:$U$1000,ROW(),$V$5:$V$1000,"Sub"),$Z185)))</f>
        <v/>
      </c>
      <c r="AE185" s="62">
        <f>IF($V185="","",IF(AND(ISNUMBER($G185),$G185&lt;=IF($S185=MesCiclo,InicioCiclo,$S185+MOD(2-WEEKDAY($S185),7))+20),1,IF(N($W185)&gt;0,AVERAGEIFS($AA$5:$AA$1000,$U$5:$U$1000,ROW(),$V$5:$V$1000,"Sub"),$AA185)))</f>
        <v/>
      </c>
      <c r="AF185" s="62">
        <f>IF($V185="","",IF(AND(ISNUMBER($G185),$G185&lt;=IF($S185=MesCiclo,InicioCiclo,$S185+MOD(2-WEEKDAY($S185),7))+27),1,IF(N($W185)&gt;0,AVERAGEIFS($AB$5:$AB$1000,$U$5:$U$1000,ROW(),$V$5:$V$1000,"Sub"),$AB185)))</f>
        <v/>
      </c>
      <c r="AG185" s="62">
        <f>IF($V185&lt;&gt;"Macro","",IF(COUNTIFS($S$5:$S$1000,$S185,$V$5:$V$1000,"Macro",$H$5:$H$1000,"&gt;0")=0,1/COUNTIFS($S$5:$S$1000,$S185,$V$5:$V$1000,"Macro"),IF(AND(ISNUMBER($H185),N($H185)&gt;0),$H185,SUMIFS($H$5:$H$1000,$S$5:$S$1000,$S185,$V$5:$V$1000,"Macro")/COUNTIFS($S$5:$S$1000,$S185,$V$5:$V$1000,"Macro",$H$5:$H$1000,"&gt;0"))/(COUNTIFS($S$5:$S$1000,$S185,$V$5:$V$1000,"Macro")*SUMIFS($H$5:$H$1000,$S$5:$S$1000,$S185,$V$5:$V$1000,"Macro")/COUNTIFS($S$5:$S$1000,$S185,$V$5:$V$1000,"Macro",$H$5:$H$1000,"&gt;0"))))</f>
        <v/>
      </c>
      <c r="AH185" s="62" t="n"/>
      <c r="AI185" s="62" t="n"/>
      <c r="AJ185" s="62" t="n"/>
      <c r="AK185" s="62" t="n"/>
      <c r="AL185" s="62">
        <f>IF(LEFT($C185,11)="[Jefatura] ",IFERROR(MATCH("Riesgo Operacional|"&amp;MID($C185,12,500),rDname_ADM,0),0),"")</f>
        <v/>
      </c>
      <c r="AM185" s="62">
        <f>IF(N($AL185)&gt;0,INDEX(rIni_ADM,$AL185),IF(ISNUMBER($E185),$E185,""))</f>
        <v/>
      </c>
      <c r="AN185" s="62">
        <f>IF(N($AL185)&gt;0,INDEX(rLim_ADM,$AL185),IF(ISNUMBER($F185),$F185,""))</f>
        <v/>
      </c>
    </row>
    <row r="186">
      <c r="A186" s="56">
        <f>IF(NOT((COUNTA($B186:$D186)+COUNTA($G186:$L186)+COUNTA($Q186))&gt;0),"",IF($V186="Macro",COUNTIFS($V$5:$V186,"Macro",$S$5:$S186,$S186),IF(N($U186)=0,"?",COUNTIFS(INDEX($V$5:$V$1000,1):INDEX($V$5:$V$1000,$U186-4),"Macro",INDEX($S$5:$S$1000,1):INDEX($S$5:$S$1000,$U186-4),INDEX($S$5:$S$1000,$U186-4))&amp;"."&amp;COUNTIFS($U$5:$U186,$U186,$V$5:$V186,"Sub"))))</f>
        <v/>
      </c>
      <c r="B186" s="57" t="n"/>
      <c r="C186" s="58" t="n"/>
      <c r="D186" s="58" t="n"/>
      <c r="E186" s="59">
        <f>IF(N($AL186)&gt;0,INDEX(rIni_ADM,$AL186),"")</f>
        <v/>
      </c>
      <c r="F186" s="59">
        <f>IF(N($AL186)&gt;0,INDEX(rLim_ADM,$AL186),"")</f>
        <v/>
      </c>
      <c r="G186" s="59" t="n"/>
      <c r="H186" s="60" t="n"/>
      <c r="I186" s="60" t="n"/>
      <c r="J186" s="60" t="n"/>
      <c r="K186" s="60" t="n"/>
      <c r="L186" s="60" t="n"/>
      <c r="M186" s="61">
        <f>IF(NOT((COUNTA($B186:$D186)+COUNTA($G186:$L186)+COUNTA($Q186))&gt;0),"",IF($V186="Sub",IFERROR($X186/INDEX($W$5:$W$1000,$U186-4),""),IF(ISNUMBER($G186),1,IF(N($W186)&gt;0,AVERAGEIFS($X$5:$X$1000,$U$5:$U$1000,ROW(),$V$5:$V$1000,"Sub"),$X186))))</f>
        <v/>
      </c>
      <c r="N186" s="56">
        <f>IF(OR($M186="",$V186="Sub"),"",IF($M186&gt;=1,"Completado",IF($M186&gt;0,"En curso","Pendiente")))</f>
        <v/>
      </c>
      <c r="O186" s="56">
        <f>IF(OR(NOT((COUNTA($B186:$D186)+COUNTA($G186:$L186)+COUNTA($Q186))&gt;0),$V186="Sub"),"",IF(ISNUMBER($G186),IF(AND(ISNUMBER($AN186),$G186&gt;$AN186),"Cumplida con "&amp;($G186-$AN186)&amp;IF($G186-$AN186=1," día"," días")&amp;" de retraso","Cumplida"),IF(N($M186)&gt;=1,"Cumplida",IF(NOT(ISNUMBER($AN186)),"Sin fecha límite",IF($AN186&lt;FechaRef,"Vencida hace "&amp;(FechaRef-$AN186)&amp;IF(FechaRef-$AN186=1," día"," días"),IF($AN186=FechaRef,"Vence hoy",IF($AN186-FechaRef&lt;=DiasAlerta,"Vence en "&amp;($AN186-FechaRef)&amp;IF($AN186-FechaRef=1," día"," días"),"En plazo")))))))</f>
        <v/>
      </c>
      <c r="P186" s="62" t="n"/>
      <c r="Q186" s="58" t="n"/>
      <c r="R186" s="63">
        <f>IF(NOT((COUNTA($B186:$D186)+COUNTA($G186:$L186)+COUNTA($Q186))&gt;0),"",IF((IF($C186="","Falta el nombre de la actividad"&amp;" · ","")&amp;IF(AND($V186="Sub",N($U186)=0),"Subactividad sin macroactividad arriba"&amp;" · ","")&amp;IF($AM186="","Sin fecha de inicio"&amp;" · ","")&amp;IF($AN186="","Sin fecha límite"&amp;" · ","")&amp;IF(AND(LEFT($C186,11)="[Jefatura] ",N($AL186)=0),"No se encuentra en la hoja de la jefatura (elíjala de nuevo en la lista)"&amp;" · ","")&amp;IF(OR(AND($E186&lt;&gt;"",NOT(ISNUMBER($E186))),AND($F186&lt;&gt;"",NOT(ISNUMBER($F186))),AND($G186&lt;&gt;"",NOT(ISNUMBER($G186)))),"Fecha no válida"&amp;" · ","")&amp;IF(AND(ISNUMBER($AM186),ISNUMBER($AN186),$AM186&gt;$AN186),"Inicio posterior a fecha límite"&amp;" · ","")&amp;IF(AND($V186="Macro",$H186&lt;&gt;"",OR(NOT(ISNUMBER($H186)),$H186&lt;0,$H186&gt;1)),"Peso fuera de rango"&amp;" · ","")&amp;IF(AND($V186="Sub",$H186&lt;&gt;""),"Las subactividades no llevan peso (valen igual dentro de su macroactividad)"&amp;" · ","")&amp;IF(AND(N($W186)&gt;0,COUNT($I186:$L186)&gt;0),"Con subactividades: deje vacías las semanas (se calculan solas)"&amp;" · ","")&amp;IF((COUNTIF($I186:$L186,"&gt;1")+COUNTIF($I186:$L186,"&lt;0")+COUNTA($I186:$L186)-COUNT($I186:$L186))&gt;0,"Avance fuera de rango 0-100%"&amp;" · ","")&amp;IF(OR(AND($J186&lt;&gt;"",$J186&lt;$I186),AND($K186&lt;&gt;"",$K186&lt;MAX($I186:$J186)),AND($L186&lt;&gt;"",$L186&lt;MAX($I186:$K186))),"Avance semanal decreciente"&amp;" · ","")&amp;IF(AND(ISNUMBER($AN186),$AN186&lt;FechaRef,IF($V186="Sub",N($X186),N($M186))&lt;1),"Vencida"&amp;" · ","")&amp;IF(AND(ObsObligatoria="Sí",ISNUMBER($AN186),$AN186&lt;FechaRef,IF($V186="Sub",N($X186),N($M186))&lt;1,$Q186=""),"Vencida sin observación"&amp;" · ",""))="","✔ OK","⚠ "&amp;LEFT(IF($C186="","Falta el nombre de la actividad"&amp;" · ","")&amp;IF(AND($V186="Sub",N($U186)=0),"Subactividad sin macroactividad arriba"&amp;" · ","")&amp;IF($AM186="","Sin fecha de inicio"&amp;" · ","")&amp;IF($AN186="","Sin fecha límite"&amp;" · ","")&amp;IF(AND(LEFT($C186,11)="[Jefatura] ",N($AL186)=0),"No se encuentra en la hoja de la jefatura (elíjala de nuevo en la lista)"&amp;" · ","")&amp;IF(OR(AND($E186&lt;&gt;"",NOT(ISNUMBER($E186))),AND($F186&lt;&gt;"",NOT(ISNUMBER($F186))),AND($G186&lt;&gt;"",NOT(ISNUMBER($G186)))),"Fecha no válida"&amp;" · ","")&amp;IF(AND(ISNUMBER($AM186),ISNUMBER($AN186),$AM186&gt;$AN186),"Inicio posterior a fecha límite"&amp;" · ","")&amp;IF(AND($V186="Macro",$H186&lt;&gt;"",OR(NOT(ISNUMBER($H186)),$H186&lt;0,$H186&gt;1)),"Peso fuera de rango"&amp;" · ","")&amp;IF(AND($V186="Sub",$H186&lt;&gt;""),"Las subactividades no llevan peso (valen igual dentro de su macroactividad)"&amp;" · ","")&amp;IF(AND(N($W186)&gt;0,COUNT($I186:$L186)&gt;0),"Con subactividades: deje vacías las semanas (se calculan solas)"&amp;" · ","")&amp;IF((COUNTIF($I186:$L186,"&gt;1")+COUNTIF($I186:$L186,"&lt;0")+COUNTA($I186:$L186)-COUNT($I186:$L186))&gt;0,"Avance fuera de rango 0-100%"&amp;" · ","")&amp;IF(OR(AND($J186&lt;&gt;"",$J186&lt;$I186),AND($K186&lt;&gt;"",$K186&lt;MAX($I186:$J186)),AND($L186&lt;&gt;"",$L186&lt;MAX($I186:$K186))),"Avance semanal decreciente"&amp;" · ","")&amp;IF(AND(ISNUMBER($AN186),$AN186&lt;FechaRef,IF($V186="Sub",N($X186),N($M186))&lt;1),"Vencida"&amp;" · ","")&amp;IF(AND(ObsObligatoria="Sí",ISNUMBER($AN186),$AN186&lt;FechaRef,IF($V186="Sub",N($X186),N($M186))&lt;1,$Q186=""),"Vencida sin observación"&amp;" · ",""),LEN(IF($C186="","Falta el nombre de la actividad"&amp;" · ","")&amp;IF(AND($V186="Sub",N($U186)=0),"Subactividad sin macroactividad arriba"&amp;" · ","")&amp;IF($AM186="","Sin fecha de inicio"&amp;" · ","")&amp;IF($AN186="","Sin fecha límite"&amp;" · ","")&amp;IF(AND(LEFT($C186,11)="[Jefatura] ",N($AL186)=0),"No se encuentra en la hoja de la jefatura (elíjala de nuevo en la lista)"&amp;" · ","")&amp;IF(OR(AND($E186&lt;&gt;"",NOT(ISNUMBER($E186))),AND($F186&lt;&gt;"",NOT(ISNUMBER($F186))),AND($G186&lt;&gt;"",NOT(ISNUMBER($G186)))),"Fecha no válida"&amp;" · ","")&amp;IF(AND(ISNUMBER($AM186),ISNUMBER($AN186),$AM186&gt;$AN186),"Inicio posterior a fecha límite"&amp;" · ","")&amp;IF(AND($V186="Macro",$H186&lt;&gt;"",OR(NOT(ISNUMBER($H186)),$H186&lt;0,$H186&gt;1)),"Peso fuera de rango"&amp;" · ","")&amp;IF(AND($V186="Sub",$H186&lt;&gt;""),"Las subactividades no llevan peso (valen igual dentro de su macroactividad)"&amp;" · ","")&amp;IF(AND(N($W186)&gt;0,COUNT($I186:$L186)&gt;0),"Con subactividades: deje vacías las semanas (se calculan solas)"&amp;" · ","")&amp;IF((COUNTIF($I186:$L186,"&gt;1")+COUNTIF($I186:$L186,"&lt;0")+COUNTA($I186:$L186)-COUNT($I186:$L186))&gt;0,"Avance fuera de rango 0-100%"&amp;" · ","")&amp;IF(OR(AND($J186&lt;&gt;"",$J186&lt;$I186),AND($K186&lt;&gt;"",$K186&lt;MAX($I186:$J186)),AND($L186&lt;&gt;"",$L186&lt;MAX($I186:$K186))),"Avance semanal decreciente"&amp;" · ","")&amp;IF(AND(ISNUMBER($AN186),$AN186&lt;FechaRef,IF($V186="Sub",N($X186),N($M186))&lt;1),"Vencida"&amp;" · ","")&amp;IF(AND(ObsObligatoria="Sí",ISNUMBER($AN186),$AN186&lt;FechaRef,IF($V186="Sub",N($X186),N($M186))&lt;1,$Q186=""),"Vencida sin observación"&amp;" · ",""))-3)))</f>
        <v/>
      </c>
      <c r="S186" s="64">
        <f>IF(NOT((COUNTA($B186:$D186)+COUNTA($G186:$L186)+COUNTA($Q186))&gt;0),"",IF(AND($V186="Sub",N($U186)&gt;0),IF(ISNUMBER(INDEX($AM$5:$AM$1000,$U186-4)),DATE(YEAR(INDEX($AM$5:$AM$1000,$U186-4)),MONTH(INDEX($AM$5:$AM$1000,$U186-4)),1),IF(ISNUMBER(INDEX($AN$5:$AN$1000,$U186-4)),DATE(YEAR(INDEX($AN$5:$AN$1000,$U186-4)),MONTH(INDEX($AN$5:$AN$1000,$U186-4)),1),MesCiclo)),IF(ISNUMBER($AM186),DATE(YEAR($AM186),MONTH($AM186),1),IF(ISNUMBER($AN186),DATE(YEAR($AN186),MONTH($AN186),1),MesCiclo))))</f>
        <v/>
      </c>
      <c r="T186" s="62">
        <f>IF(OR($S186="",$S186&lt;&gt;MesCiclo,$V186&lt;&gt;"Macro"),"",COUNTIFS($S$5:$S186,MesCiclo,$V$5:$V186,"Macro"))</f>
        <v/>
      </c>
      <c r="U186" s="62">
        <f>IF($V186="","",IF($V186="Macro",ROW(),IFERROR(LOOKUP(2,1/($V$5:$V186="Macro"),ROW($V$5:$V186)),0)))</f>
        <v/>
      </c>
      <c r="V186" s="62">
        <f>IF(NOT((COUNTA($B186:$D186)+COUNTA($G186:$L186)+COUNTA($Q186))&gt;0),"",IF($B186="Subactividad","Sub","Macro"))</f>
        <v/>
      </c>
      <c r="W186" s="62">
        <f>IF($V186="Macro",COUNTIFS($U$5:$U$1000,ROW(),$V$5:$V$1000,"Sub"),"")</f>
        <v/>
      </c>
      <c r="X186" s="62">
        <f>IF($V186="","",IF(ISNUMBER($G186),1,IFERROR(LOOKUP(2,1/($I186:$L186&lt;&gt;""),$I186:$L186),0)))</f>
        <v/>
      </c>
      <c r="Y186" s="62">
        <f>IF($V186="","",IF(AND(ISNUMBER($G186),$G186&lt;=IF($S186=MesCiclo,InicioCiclo,$S186+MOD(2-WEEKDAY($S186),7))+6),1,IF(ISNUMBER($I186),$I186,0)))</f>
        <v/>
      </c>
      <c r="Z186" s="62">
        <f>IF($V186="","",IF(AND(ISNUMBER($G186),$G186&lt;=IF($S186=MesCiclo,InicioCiclo,$S186+MOD(2-WEEKDAY($S186),7))+13),1,IF(ISNUMBER($J186),$J186,$Y186)))</f>
        <v/>
      </c>
      <c r="AA186" s="62">
        <f>IF($V186="","",IF(AND(ISNUMBER($G186),$G186&lt;=IF($S186=MesCiclo,InicioCiclo,$S186+MOD(2-WEEKDAY($S186),7))+20),1,IF(ISNUMBER($K186),$K186,$Z186)))</f>
        <v/>
      </c>
      <c r="AB186" s="62">
        <f>IF($V186="","",IF(AND(ISNUMBER($G186),$G186&lt;=IF($S186=MesCiclo,InicioCiclo,$S186+MOD(2-WEEKDAY($S186),7))+27),1,IF(ISNUMBER($L186),$L186,$AA186)))</f>
        <v/>
      </c>
      <c r="AC186" s="62">
        <f>IF($V186="","",IF(AND(ISNUMBER($G186),$G186&lt;=IF($S186=MesCiclo,InicioCiclo,$S186+MOD(2-WEEKDAY($S186),7))+6),1,IF(N($W186)&gt;0,AVERAGEIFS($Y$5:$Y$1000,$U$5:$U$1000,ROW(),$V$5:$V$1000,"Sub"),$Y186)))</f>
        <v/>
      </c>
      <c r="AD186" s="62">
        <f>IF($V186="","",IF(AND(ISNUMBER($G186),$G186&lt;=IF($S186=MesCiclo,InicioCiclo,$S186+MOD(2-WEEKDAY($S186),7))+13),1,IF(N($W186)&gt;0,AVERAGEIFS($Z$5:$Z$1000,$U$5:$U$1000,ROW(),$V$5:$V$1000,"Sub"),$Z186)))</f>
        <v/>
      </c>
      <c r="AE186" s="62">
        <f>IF($V186="","",IF(AND(ISNUMBER($G186),$G186&lt;=IF($S186=MesCiclo,InicioCiclo,$S186+MOD(2-WEEKDAY($S186),7))+20),1,IF(N($W186)&gt;0,AVERAGEIFS($AA$5:$AA$1000,$U$5:$U$1000,ROW(),$V$5:$V$1000,"Sub"),$AA186)))</f>
        <v/>
      </c>
      <c r="AF186" s="62">
        <f>IF($V186="","",IF(AND(ISNUMBER($G186),$G186&lt;=IF($S186=MesCiclo,InicioCiclo,$S186+MOD(2-WEEKDAY($S186),7))+27),1,IF(N($W186)&gt;0,AVERAGEIFS($AB$5:$AB$1000,$U$5:$U$1000,ROW(),$V$5:$V$1000,"Sub"),$AB186)))</f>
        <v/>
      </c>
      <c r="AG186" s="62">
        <f>IF($V186&lt;&gt;"Macro","",IF(COUNTIFS($S$5:$S$1000,$S186,$V$5:$V$1000,"Macro",$H$5:$H$1000,"&gt;0")=0,1/COUNTIFS($S$5:$S$1000,$S186,$V$5:$V$1000,"Macro"),IF(AND(ISNUMBER($H186),N($H186)&gt;0),$H186,SUMIFS($H$5:$H$1000,$S$5:$S$1000,$S186,$V$5:$V$1000,"Macro")/COUNTIFS($S$5:$S$1000,$S186,$V$5:$V$1000,"Macro",$H$5:$H$1000,"&gt;0"))/(COUNTIFS($S$5:$S$1000,$S186,$V$5:$V$1000,"Macro")*SUMIFS($H$5:$H$1000,$S$5:$S$1000,$S186,$V$5:$V$1000,"Macro")/COUNTIFS($S$5:$S$1000,$S186,$V$5:$V$1000,"Macro",$H$5:$H$1000,"&gt;0"))))</f>
        <v/>
      </c>
      <c r="AH186" s="62" t="n"/>
      <c r="AI186" s="62" t="n"/>
      <c r="AJ186" s="62" t="n"/>
      <c r="AK186" s="62" t="n"/>
      <c r="AL186" s="62">
        <f>IF(LEFT($C186,11)="[Jefatura] ",IFERROR(MATCH("Riesgo Operacional|"&amp;MID($C186,12,500),rDname_ADM,0),0),"")</f>
        <v/>
      </c>
      <c r="AM186" s="62">
        <f>IF(N($AL186)&gt;0,INDEX(rIni_ADM,$AL186),IF(ISNUMBER($E186),$E186,""))</f>
        <v/>
      </c>
      <c r="AN186" s="62">
        <f>IF(N($AL186)&gt;0,INDEX(rLim_ADM,$AL186),IF(ISNUMBER($F186),$F186,""))</f>
        <v/>
      </c>
    </row>
    <row r="187">
      <c r="A187" s="56">
        <f>IF(NOT((COUNTA($B187:$D187)+COUNTA($G187:$L187)+COUNTA($Q187))&gt;0),"",IF($V187="Macro",COUNTIFS($V$5:$V187,"Macro",$S$5:$S187,$S187),IF(N($U187)=0,"?",COUNTIFS(INDEX($V$5:$V$1000,1):INDEX($V$5:$V$1000,$U187-4),"Macro",INDEX($S$5:$S$1000,1):INDEX($S$5:$S$1000,$U187-4),INDEX($S$5:$S$1000,$U187-4))&amp;"."&amp;COUNTIFS($U$5:$U187,$U187,$V$5:$V187,"Sub"))))</f>
        <v/>
      </c>
      <c r="B187" s="57" t="n"/>
      <c r="C187" s="58" t="n"/>
      <c r="D187" s="58" t="n"/>
      <c r="E187" s="59">
        <f>IF(N($AL187)&gt;0,INDEX(rIni_ADM,$AL187),"")</f>
        <v/>
      </c>
      <c r="F187" s="59">
        <f>IF(N($AL187)&gt;0,INDEX(rLim_ADM,$AL187),"")</f>
        <v/>
      </c>
      <c r="G187" s="59" t="n"/>
      <c r="H187" s="60" t="n"/>
      <c r="I187" s="60" t="n"/>
      <c r="J187" s="60" t="n"/>
      <c r="K187" s="60" t="n"/>
      <c r="L187" s="60" t="n"/>
      <c r="M187" s="61">
        <f>IF(NOT((COUNTA($B187:$D187)+COUNTA($G187:$L187)+COUNTA($Q187))&gt;0),"",IF($V187="Sub",IFERROR($X187/INDEX($W$5:$W$1000,$U187-4),""),IF(ISNUMBER($G187),1,IF(N($W187)&gt;0,AVERAGEIFS($X$5:$X$1000,$U$5:$U$1000,ROW(),$V$5:$V$1000,"Sub"),$X187))))</f>
        <v/>
      </c>
      <c r="N187" s="56">
        <f>IF(OR($M187="",$V187="Sub"),"",IF($M187&gt;=1,"Completado",IF($M187&gt;0,"En curso","Pendiente")))</f>
        <v/>
      </c>
      <c r="O187" s="56">
        <f>IF(OR(NOT((COUNTA($B187:$D187)+COUNTA($G187:$L187)+COUNTA($Q187))&gt;0),$V187="Sub"),"",IF(ISNUMBER($G187),IF(AND(ISNUMBER($AN187),$G187&gt;$AN187),"Cumplida con "&amp;($G187-$AN187)&amp;IF($G187-$AN187=1," día"," días")&amp;" de retraso","Cumplida"),IF(N($M187)&gt;=1,"Cumplida",IF(NOT(ISNUMBER($AN187)),"Sin fecha límite",IF($AN187&lt;FechaRef,"Vencida hace "&amp;(FechaRef-$AN187)&amp;IF(FechaRef-$AN187=1," día"," días"),IF($AN187=FechaRef,"Vence hoy",IF($AN187-FechaRef&lt;=DiasAlerta,"Vence en "&amp;($AN187-FechaRef)&amp;IF($AN187-FechaRef=1," día"," días"),"En plazo")))))))</f>
        <v/>
      </c>
      <c r="P187" s="62" t="n"/>
      <c r="Q187" s="58" t="n"/>
      <c r="R187" s="63">
        <f>IF(NOT((COUNTA($B187:$D187)+COUNTA($G187:$L187)+COUNTA($Q187))&gt;0),"",IF((IF($C187="","Falta el nombre de la actividad"&amp;" · ","")&amp;IF(AND($V187="Sub",N($U187)=0),"Subactividad sin macroactividad arriba"&amp;" · ","")&amp;IF($AM187="","Sin fecha de inicio"&amp;" · ","")&amp;IF($AN187="","Sin fecha límite"&amp;" · ","")&amp;IF(AND(LEFT($C187,11)="[Jefatura] ",N($AL187)=0),"No se encuentra en la hoja de la jefatura (elíjala de nuevo en la lista)"&amp;" · ","")&amp;IF(OR(AND($E187&lt;&gt;"",NOT(ISNUMBER($E187))),AND($F187&lt;&gt;"",NOT(ISNUMBER($F187))),AND($G187&lt;&gt;"",NOT(ISNUMBER($G187)))),"Fecha no válida"&amp;" · ","")&amp;IF(AND(ISNUMBER($AM187),ISNUMBER($AN187),$AM187&gt;$AN187),"Inicio posterior a fecha límite"&amp;" · ","")&amp;IF(AND($V187="Macro",$H187&lt;&gt;"",OR(NOT(ISNUMBER($H187)),$H187&lt;0,$H187&gt;1)),"Peso fuera de rango"&amp;" · ","")&amp;IF(AND($V187="Sub",$H187&lt;&gt;""),"Las subactividades no llevan peso (valen igual dentro de su macroactividad)"&amp;" · ","")&amp;IF(AND(N($W187)&gt;0,COUNT($I187:$L187)&gt;0),"Con subactividades: deje vacías las semanas (se calculan solas)"&amp;" · ","")&amp;IF((COUNTIF($I187:$L187,"&gt;1")+COUNTIF($I187:$L187,"&lt;0")+COUNTA($I187:$L187)-COUNT($I187:$L187))&gt;0,"Avance fuera de rango 0-100%"&amp;" · ","")&amp;IF(OR(AND($J187&lt;&gt;"",$J187&lt;$I187),AND($K187&lt;&gt;"",$K187&lt;MAX($I187:$J187)),AND($L187&lt;&gt;"",$L187&lt;MAX($I187:$K187))),"Avance semanal decreciente"&amp;" · ","")&amp;IF(AND(ISNUMBER($AN187),$AN187&lt;FechaRef,IF($V187="Sub",N($X187),N($M187))&lt;1),"Vencida"&amp;" · ","")&amp;IF(AND(ObsObligatoria="Sí",ISNUMBER($AN187),$AN187&lt;FechaRef,IF($V187="Sub",N($X187),N($M187))&lt;1,$Q187=""),"Vencida sin observación"&amp;" · ",""))="","✔ OK","⚠ "&amp;LEFT(IF($C187="","Falta el nombre de la actividad"&amp;" · ","")&amp;IF(AND($V187="Sub",N($U187)=0),"Subactividad sin macroactividad arriba"&amp;" · ","")&amp;IF($AM187="","Sin fecha de inicio"&amp;" · ","")&amp;IF($AN187="","Sin fecha límite"&amp;" · ","")&amp;IF(AND(LEFT($C187,11)="[Jefatura] ",N($AL187)=0),"No se encuentra en la hoja de la jefatura (elíjala de nuevo en la lista)"&amp;" · ","")&amp;IF(OR(AND($E187&lt;&gt;"",NOT(ISNUMBER($E187))),AND($F187&lt;&gt;"",NOT(ISNUMBER($F187))),AND($G187&lt;&gt;"",NOT(ISNUMBER($G187)))),"Fecha no válida"&amp;" · ","")&amp;IF(AND(ISNUMBER($AM187),ISNUMBER($AN187),$AM187&gt;$AN187),"Inicio posterior a fecha límite"&amp;" · ","")&amp;IF(AND($V187="Macro",$H187&lt;&gt;"",OR(NOT(ISNUMBER($H187)),$H187&lt;0,$H187&gt;1)),"Peso fuera de rango"&amp;" · ","")&amp;IF(AND($V187="Sub",$H187&lt;&gt;""),"Las subactividades no llevan peso (valen igual dentro de su macroactividad)"&amp;" · ","")&amp;IF(AND(N($W187)&gt;0,COUNT($I187:$L187)&gt;0),"Con subactividades: deje vacías las semanas (se calculan solas)"&amp;" · ","")&amp;IF((COUNTIF($I187:$L187,"&gt;1")+COUNTIF($I187:$L187,"&lt;0")+COUNTA($I187:$L187)-COUNT($I187:$L187))&gt;0,"Avance fuera de rango 0-100%"&amp;" · ","")&amp;IF(OR(AND($J187&lt;&gt;"",$J187&lt;$I187),AND($K187&lt;&gt;"",$K187&lt;MAX($I187:$J187)),AND($L187&lt;&gt;"",$L187&lt;MAX($I187:$K187))),"Avance semanal decreciente"&amp;" · ","")&amp;IF(AND(ISNUMBER($AN187),$AN187&lt;FechaRef,IF($V187="Sub",N($X187),N($M187))&lt;1),"Vencida"&amp;" · ","")&amp;IF(AND(ObsObligatoria="Sí",ISNUMBER($AN187),$AN187&lt;FechaRef,IF($V187="Sub",N($X187),N($M187))&lt;1,$Q187=""),"Vencida sin observación"&amp;" · ",""),LEN(IF($C187="","Falta el nombre de la actividad"&amp;" · ","")&amp;IF(AND($V187="Sub",N($U187)=0),"Subactividad sin macroactividad arriba"&amp;" · ","")&amp;IF($AM187="","Sin fecha de inicio"&amp;" · ","")&amp;IF($AN187="","Sin fecha límite"&amp;" · ","")&amp;IF(AND(LEFT($C187,11)="[Jefatura] ",N($AL187)=0),"No se encuentra en la hoja de la jefatura (elíjala de nuevo en la lista)"&amp;" · ","")&amp;IF(OR(AND($E187&lt;&gt;"",NOT(ISNUMBER($E187))),AND($F187&lt;&gt;"",NOT(ISNUMBER($F187))),AND($G187&lt;&gt;"",NOT(ISNUMBER($G187)))),"Fecha no válida"&amp;" · ","")&amp;IF(AND(ISNUMBER($AM187),ISNUMBER($AN187),$AM187&gt;$AN187),"Inicio posterior a fecha límite"&amp;" · ","")&amp;IF(AND($V187="Macro",$H187&lt;&gt;"",OR(NOT(ISNUMBER($H187)),$H187&lt;0,$H187&gt;1)),"Peso fuera de rango"&amp;" · ","")&amp;IF(AND($V187="Sub",$H187&lt;&gt;""),"Las subactividades no llevan peso (valen igual dentro de su macroactividad)"&amp;" · ","")&amp;IF(AND(N($W187)&gt;0,COUNT($I187:$L187)&gt;0),"Con subactividades: deje vacías las semanas (se calculan solas)"&amp;" · ","")&amp;IF((COUNTIF($I187:$L187,"&gt;1")+COUNTIF($I187:$L187,"&lt;0")+COUNTA($I187:$L187)-COUNT($I187:$L187))&gt;0,"Avance fuera de rango 0-100%"&amp;" · ","")&amp;IF(OR(AND($J187&lt;&gt;"",$J187&lt;$I187),AND($K187&lt;&gt;"",$K187&lt;MAX($I187:$J187)),AND($L187&lt;&gt;"",$L187&lt;MAX($I187:$K187))),"Avance semanal decreciente"&amp;" · ","")&amp;IF(AND(ISNUMBER($AN187),$AN187&lt;FechaRef,IF($V187="Sub",N($X187),N($M187))&lt;1),"Vencida"&amp;" · ","")&amp;IF(AND(ObsObligatoria="Sí",ISNUMBER($AN187),$AN187&lt;FechaRef,IF($V187="Sub",N($X187),N($M187))&lt;1,$Q187=""),"Vencida sin observación"&amp;" · ",""))-3)))</f>
        <v/>
      </c>
      <c r="S187" s="64">
        <f>IF(NOT((COUNTA($B187:$D187)+COUNTA($G187:$L187)+COUNTA($Q187))&gt;0),"",IF(AND($V187="Sub",N($U187)&gt;0),IF(ISNUMBER(INDEX($AM$5:$AM$1000,$U187-4)),DATE(YEAR(INDEX($AM$5:$AM$1000,$U187-4)),MONTH(INDEX($AM$5:$AM$1000,$U187-4)),1),IF(ISNUMBER(INDEX($AN$5:$AN$1000,$U187-4)),DATE(YEAR(INDEX($AN$5:$AN$1000,$U187-4)),MONTH(INDEX($AN$5:$AN$1000,$U187-4)),1),MesCiclo)),IF(ISNUMBER($AM187),DATE(YEAR($AM187),MONTH($AM187),1),IF(ISNUMBER($AN187),DATE(YEAR($AN187),MONTH($AN187),1),MesCiclo))))</f>
        <v/>
      </c>
      <c r="T187" s="62">
        <f>IF(OR($S187="",$S187&lt;&gt;MesCiclo,$V187&lt;&gt;"Macro"),"",COUNTIFS($S$5:$S187,MesCiclo,$V$5:$V187,"Macro"))</f>
        <v/>
      </c>
      <c r="U187" s="62">
        <f>IF($V187="","",IF($V187="Macro",ROW(),IFERROR(LOOKUP(2,1/($V$5:$V187="Macro"),ROW($V$5:$V187)),0)))</f>
        <v/>
      </c>
      <c r="V187" s="62">
        <f>IF(NOT((COUNTA($B187:$D187)+COUNTA($G187:$L187)+COUNTA($Q187))&gt;0),"",IF($B187="Subactividad","Sub","Macro"))</f>
        <v/>
      </c>
      <c r="W187" s="62">
        <f>IF($V187="Macro",COUNTIFS($U$5:$U$1000,ROW(),$V$5:$V$1000,"Sub"),"")</f>
        <v/>
      </c>
      <c r="X187" s="62">
        <f>IF($V187="","",IF(ISNUMBER($G187),1,IFERROR(LOOKUP(2,1/($I187:$L187&lt;&gt;""),$I187:$L187),0)))</f>
        <v/>
      </c>
      <c r="Y187" s="62">
        <f>IF($V187="","",IF(AND(ISNUMBER($G187),$G187&lt;=IF($S187=MesCiclo,InicioCiclo,$S187+MOD(2-WEEKDAY($S187),7))+6),1,IF(ISNUMBER($I187),$I187,0)))</f>
        <v/>
      </c>
      <c r="Z187" s="62">
        <f>IF($V187="","",IF(AND(ISNUMBER($G187),$G187&lt;=IF($S187=MesCiclo,InicioCiclo,$S187+MOD(2-WEEKDAY($S187),7))+13),1,IF(ISNUMBER($J187),$J187,$Y187)))</f>
        <v/>
      </c>
      <c r="AA187" s="62">
        <f>IF($V187="","",IF(AND(ISNUMBER($G187),$G187&lt;=IF($S187=MesCiclo,InicioCiclo,$S187+MOD(2-WEEKDAY($S187),7))+20),1,IF(ISNUMBER($K187),$K187,$Z187)))</f>
        <v/>
      </c>
      <c r="AB187" s="62">
        <f>IF($V187="","",IF(AND(ISNUMBER($G187),$G187&lt;=IF($S187=MesCiclo,InicioCiclo,$S187+MOD(2-WEEKDAY($S187),7))+27),1,IF(ISNUMBER($L187),$L187,$AA187)))</f>
        <v/>
      </c>
      <c r="AC187" s="62">
        <f>IF($V187="","",IF(AND(ISNUMBER($G187),$G187&lt;=IF($S187=MesCiclo,InicioCiclo,$S187+MOD(2-WEEKDAY($S187),7))+6),1,IF(N($W187)&gt;0,AVERAGEIFS($Y$5:$Y$1000,$U$5:$U$1000,ROW(),$V$5:$V$1000,"Sub"),$Y187)))</f>
        <v/>
      </c>
      <c r="AD187" s="62">
        <f>IF($V187="","",IF(AND(ISNUMBER($G187),$G187&lt;=IF($S187=MesCiclo,InicioCiclo,$S187+MOD(2-WEEKDAY($S187),7))+13),1,IF(N($W187)&gt;0,AVERAGEIFS($Z$5:$Z$1000,$U$5:$U$1000,ROW(),$V$5:$V$1000,"Sub"),$Z187)))</f>
        <v/>
      </c>
      <c r="AE187" s="62">
        <f>IF($V187="","",IF(AND(ISNUMBER($G187),$G187&lt;=IF($S187=MesCiclo,InicioCiclo,$S187+MOD(2-WEEKDAY($S187),7))+20),1,IF(N($W187)&gt;0,AVERAGEIFS($AA$5:$AA$1000,$U$5:$U$1000,ROW(),$V$5:$V$1000,"Sub"),$AA187)))</f>
        <v/>
      </c>
      <c r="AF187" s="62">
        <f>IF($V187="","",IF(AND(ISNUMBER($G187),$G187&lt;=IF($S187=MesCiclo,InicioCiclo,$S187+MOD(2-WEEKDAY($S187),7))+27),1,IF(N($W187)&gt;0,AVERAGEIFS($AB$5:$AB$1000,$U$5:$U$1000,ROW(),$V$5:$V$1000,"Sub"),$AB187)))</f>
        <v/>
      </c>
      <c r="AG187" s="62">
        <f>IF($V187&lt;&gt;"Macro","",IF(COUNTIFS($S$5:$S$1000,$S187,$V$5:$V$1000,"Macro",$H$5:$H$1000,"&gt;0")=0,1/COUNTIFS($S$5:$S$1000,$S187,$V$5:$V$1000,"Macro"),IF(AND(ISNUMBER($H187),N($H187)&gt;0),$H187,SUMIFS($H$5:$H$1000,$S$5:$S$1000,$S187,$V$5:$V$1000,"Macro")/COUNTIFS($S$5:$S$1000,$S187,$V$5:$V$1000,"Macro",$H$5:$H$1000,"&gt;0"))/(COUNTIFS($S$5:$S$1000,$S187,$V$5:$V$1000,"Macro")*SUMIFS($H$5:$H$1000,$S$5:$S$1000,$S187,$V$5:$V$1000,"Macro")/COUNTIFS($S$5:$S$1000,$S187,$V$5:$V$1000,"Macro",$H$5:$H$1000,"&gt;0"))))</f>
        <v/>
      </c>
      <c r="AH187" s="62" t="n"/>
      <c r="AI187" s="62" t="n"/>
      <c r="AJ187" s="62" t="n"/>
      <c r="AK187" s="62" t="n"/>
      <c r="AL187" s="62">
        <f>IF(LEFT($C187,11)="[Jefatura] ",IFERROR(MATCH("Riesgo Operacional|"&amp;MID($C187,12,500),rDname_ADM,0),0),"")</f>
        <v/>
      </c>
      <c r="AM187" s="62">
        <f>IF(N($AL187)&gt;0,INDEX(rIni_ADM,$AL187),IF(ISNUMBER($E187),$E187,""))</f>
        <v/>
      </c>
      <c r="AN187" s="62">
        <f>IF(N($AL187)&gt;0,INDEX(rLim_ADM,$AL187),IF(ISNUMBER($F187),$F187,""))</f>
        <v/>
      </c>
    </row>
    <row r="188">
      <c r="A188" s="56">
        <f>IF(NOT((COUNTA($B188:$D188)+COUNTA($G188:$L188)+COUNTA($Q188))&gt;0),"",IF($V188="Macro",COUNTIFS($V$5:$V188,"Macro",$S$5:$S188,$S188),IF(N($U188)=0,"?",COUNTIFS(INDEX($V$5:$V$1000,1):INDEX($V$5:$V$1000,$U188-4),"Macro",INDEX($S$5:$S$1000,1):INDEX($S$5:$S$1000,$U188-4),INDEX($S$5:$S$1000,$U188-4))&amp;"."&amp;COUNTIFS($U$5:$U188,$U188,$V$5:$V188,"Sub"))))</f>
        <v/>
      </c>
      <c r="B188" s="57" t="n"/>
      <c r="C188" s="58" t="n"/>
      <c r="D188" s="58" t="n"/>
      <c r="E188" s="59">
        <f>IF(N($AL188)&gt;0,INDEX(rIni_ADM,$AL188),"")</f>
        <v/>
      </c>
      <c r="F188" s="59">
        <f>IF(N($AL188)&gt;0,INDEX(rLim_ADM,$AL188),"")</f>
        <v/>
      </c>
      <c r="G188" s="59" t="n"/>
      <c r="H188" s="60" t="n"/>
      <c r="I188" s="60" t="n"/>
      <c r="J188" s="60" t="n"/>
      <c r="K188" s="60" t="n"/>
      <c r="L188" s="60" t="n"/>
      <c r="M188" s="61">
        <f>IF(NOT((COUNTA($B188:$D188)+COUNTA($G188:$L188)+COUNTA($Q188))&gt;0),"",IF($V188="Sub",IFERROR($X188/INDEX($W$5:$W$1000,$U188-4),""),IF(ISNUMBER($G188),1,IF(N($W188)&gt;0,AVERAGEIFS($X$5:$X$1000,$U$5:$U$1000,ROW(),$V$5:$V$1000,"Sub"),$X188))))</f>
        <v/>
      </c>
      <c r="N188" s="56">
        <f>IF(OR($M188="",$V188="Sub"),"",IF($M188&gt;=1,"Completado",IF($M188&gt;0,"En curso","Pendiente")))</f>
        <v/>
      </c>
      <c r="O188" s="56">
        <f>IF(OR(NOT((COUNTA($B188:$D188)+COUNTA($G188:$L188)+COUNTA($Q188))&gt;0),$V188="Sub"),"",IF(ISNUMBER($G188),IF(AND(ISNUMBER($AN188),$G188&gt;$AN188),"Cumplida con "&amp;($G188-$AN188)&amp;IF($G188-$AN188=1," día"," días")&amp;" de retraso","Cumplida"),IF(N($M188)&gt;=1,"Cumplida",IF(NOT(ISNUMBER($AN188)),"Sin fecha límite",IF($AN188&lt;FechaRef,"Vencida hace "&amp;(FechaRef-$AN188)&amp;IF(FechaRef-$AN188=1," día"," días"),IF($AN188=FechaRef,"Vence hoy",IF($AN188-FechaRef&lt;=DiasAlerta,"Vence en "&amp;($AN188-FechaRef)&amp;IF($AN188-FechaRef=1," día"," días"),"En plazo")))))))</f>
        <v/>
      </c>
      <c r="P188" s="62" t="n"/>
      <c r="Q188" s="58" t="n"/>
      <c r="R188" s="63">
        <f>IF(NOT((COUNTA($B188:$D188)+COUNTA($G188:$L188)+COUNTA($Q188))&gt;0),"",IF((IF($C188="","Falta el nombre de la actividad"&amp;" · ","")&amp;IF(AND($V188="Sub",N($U188)=0),"Subactividad sin macroactividad arriba"&amp;" · ","")&amp;IF($AM188="","Sin fecha de inicio"&amp;" · ","")&amp;IF($AN188="","Sin fecha límite"&amp;" · ","")&amp;IF(AND(LEFT($C188,11)="[Jefatura] ",N($AL188)=0),"No se encuentra en la hoja de la jefatura (elíjala de nuevo en la lista)"&amp;" · ","")&amp;IF(OR(AND($E188&lt;&gt;"",NOT(ISNUMBER($E188))),AND($F188&lt;&gt;"",NOT(ISNUMBER($F188))),AND($G188&lt;&gt;"",NOT(ISNUMBER($G188)))),"Fecha no válida"&amp;" · ","")&amp;IF(AND(ISNUMBER($AM188),ISNUMBER($AN188),$AM188&gt;$AN188),"Inicio posterior a fecha límite"&amp;" · ","")&amp;IF(AND($V188="Macro",$H188&lt;&gt;"",OR(NOT(ISNUMBER($H188)),$H188&lt;0,$H188&gt;1)),"Peso fuera de rango"&amp;" · ","")&amp;IF(AND($V188="Sub",$H188&lt;&gt;""),"Las subactividades no llevan peso (valen igual dentro de su macroactividad)"&amp;" · ","")&amp;IF(AND(N($W188)&gt;0,COUNT($I188:$L188)&gt;0),"Con subactividades: deje vacías las semanas (se calculan solas)"&amp;" · ","")&amp;IF((COUNTIF($I188:$L188,"&gt;1")+COUNTIF($I188:$L188,"&lt;0")+COUNTA($I188:$L188)-COUNT($I188:$L188))&gt;0,"Avance fuera de rango 0-100%"&amp;" · ","")&amp;IF(OR(AND($J188&lt;&gt;"",$J188&lt;$I188),AND($K188&lt;&gt;"",$K188&lt;MAX($I188:$J188)),AND($L188&lt;&gt;"",$L188&lt;MAX($I188:$K188))),"Avance semanal decreciente"&amp;" · ","")&amp;IF(AND(ISNUMBER($AN188),$AN188&lt;FechaRef,IF($V188="Sub",N($X188),N($M188))&lt;1),"Vencida"&amp;" · ","")&amp;IF(AND(ObsObligatoria="Sí",ISNUMBER($AN188),$AN188&lt;FechaRef,IF($V188="Sub",N($X188),N($M188))&lt;1,$Q188=""),"Vencida sin observación"&amp;" · ",""))="","✔ OK","⚠ "&amp;LEFT(IF($C188="","Falta el nombre de la actividad"&amp;" · ","")&amp;IF(AND($V188="Sub",N($U188)=0),"Subactividad sin macroactividad arriba"&amp;" · ","")&amp;IF($AM188="","Sin fecha de inicio"&amp;" · ","")&amp;IF($AN188="","Sin fecha límite"&amp;" · ","")&amp;IF(AND(LEFT($C188,11)="[Jefatura] ",N($AL188)=0),"No se encuentra en la hoja de la jefatura (elíjala de nuevo en la lista)"&amp;" · ","")&amp;IF(OR(AND($E188&lt;&gt;"",NOT(ISNUMBER($E188))),AND($F188&lt;&gt;"",NOT(ISNUMBER($F188))),AND($G188&lt;&gt;"",NOT(ISNUMBER($G188)))),"Fecha no válida"&amp;" · ","")&amp;IF(AND(ISNUMBER($AM188),ISNUMBER($AN188),$AM188&gt;$AN188),"Inicio posterior a fecha límite"&amp;" · ","")&amp;IF(AND($V188="Macro",$H188&lt;&gt;"",OR(NOT(ISNUMBER($H188)),$H188&lt;0,$H188&gt;1)),"Peso fuera de rango"&amp;" · ","")&amp;IF(AND($V188="Sub",$H188&lt;&gt;""),"Las subactividades no llevan peso (valen igual dentro de su macroactividad)"&amp;" · ","")&amp;IF(AND(N($W188)&gt;0,COUNT($I188:$L188)&gt;0),"Con subactividades: deje vacías las semanas (se calculan solas)"&amp;" · ","")&amp;IF((COUNTIF($I188:$L188,"&gt;1")+COUNTIF($I188:$L188,"&lt;0")+COUNTA($I188:$L188)-COUNT($I188:$L188))&gt;0,"Avance fuera de rango 0-100%"&amp;" · ","")&amp;IF(OR(AND($J188&lt;&gt;"",$J188&lt;$I188),AND($K188&lt;&gt;"",$K188&lt;MAX($I188:$J188)),AND($L188&lt;&gt;"",$L188&lt;MAX($I188:$K188))),"Avance semanal decreciente"&amp;" · ","")&amp;IF(AND(ISNUMBER($AN188),$AN188&lt;FechaRef,IF($V188="Sub",N($X188),N($M188))&lt;1),"Vencida"&amp;" · ","")&amp;IF(AND(ObsObligatoria="Sí",ISNUMBER($AN188),$AN188&lt;FechaRef,IF($V188="Sub",N($X188),N($M188))&lt;1,$Q188=""),"Vencida sin observación"&amp;" · ",""),LEN(IF($C188="","Falta el nombre de la actividad"&amp;" · ","")&amp;IF(AND($V188="Sub",N($U188)=0),"Subactividad sin macroactividad arriba"&amp;" · ","")&amp;IF($AM188="","Sin fecha de inicio"&amp;" · ","")&amp;IF($AN188="","Sin fecha límite"&amp;" · ","")&amp;IF(AND(LEFT($C188,11)="[Jefatura] ",N($AL188)=0),"No se encuentra en la hoja de la jefatura (elíjala de nuevo en la lista)"&amp;" · ","")&amp;IF(OR(AND($E188&lt;&gt;"",NOT(ISNUMBER($E188))),AND($F188&lt;&gt;"",NOT(ISNUMBER($F188))),AND($G188&lt;&gt;"",NOT(ISNUMBER($G188)))),"Fecha no válida"&amp;" · ","")&amp;IF(AND(ISNUMBER($AM188),ISNUMBER($AN188),$AM188&gt;$AN188),"Inicio posterior a fecha límite"&amp;" · ","")&amp;IF(AND($V188="Macro",$H188&lt;&gt;"",OR(NOT(ISNUMBER($H188)),$H188&lt;0,$H188&gt;1)),"Peso fuera de rango"&amp;" · ","")&amp;IF(AND($V188="Sub",$H188&lt;&gt;""),"Las subactividades no llevan peso (valen igual dentro de su macroactividad)"&amp;" · ","")&amp;IF(AND(N($W188)&gt;0,COUNT($I188:$L188)&gt;0),"Con subactividades: deje vacías las semanas (se calculan solas)"&amp;" · ","")&amp;IF((COUNTIF($I188:$L188,"&gt;1")+COUNTIF($I188:$L188,"&lt;0")+COUNTA($I188:$L188)-COUNT($I188:$L188))&gt;0,"Avance fuera de rango 0-100%"&amp;" · ","")&amp;IF(OR(AND($J188&lt;&gt;"",$J188&lt;$I188),AND($K188&lt;&gt;"",$K188&lt;MAX($I188:$J188)),AND($L188&lt;&gt;"",$L188&lt;MAX($I188:$K188))),"Avance semanal decreciente"&amp;" · ","")&amp;IF(AND(ISNUMBER($AN188),$AN188&lt;FechaRef,IF($V188="Sub",N($X188),N($M188))&lt;1),"Vencida"&amp;" · ","")&amp;IF(AND(ObsObligatoria="Sí",ISNUMBER($AN188),$AN188&lt;FechaRef,IF($V188="Sub",N($X188),N($M188))&lt;1,$Q188=""),"Vencida sin observación"&amp;" · ",""))-3)))</f>
        <v/>
      </c>
      <c r="S188" s="64">
        <f>IF(NOT((COUNTA($B188:$D188)+COUNTA($G188:$L188)+COUNTA($Q188))&gt;0),"",IF(AND($V188="Sub",N($U188)&gt;0),IF(ISNUMBER(INDEX($AM$5:$AM$1000,$U188-4)),DATE(YEAR(INDEX($AM$5:$AM$1000,$U188-4)),MONTH(INDEX($AM$5:$AM$1000,$U188-4)),1),IF(ISNUMBER(INDEX($AN$5:$AN$1000,$U188-4)),DATE(YEAR(INDEX($AN$5:$AN$1000,$U188-4)),MONTH(INDEX($AN$5:$AN$1000,$U188-4)),1),MesCiclo)),IF(ISNUMBER($AM188),DATE(YEAR($AM188),MONTH($AM188),1),IF(ISNUMBER($AN188),DATE(YEAR($AN188),MONTH($AN188),1),MesCiclo))))</f>
        <v/>
      </c>
      <c r="T188" s="62">
        <f>IF(OR($S188="",$S188&lt;&gt;MesCiclo,$V188&lt;&gt;"Macro"),"",COUNTIFS($S$5:$S188,MesCiclo,$V$5:$V188,"Macro"))</f>
        <v/>
      </c>
      <c r="U188" s="62">
        <f>IF($V188="","",IF($V188="Macro",ROW(),IFERROR(LOOKUP(2,1/($V$5:$V188="Macro"),ROW($V$5:$V188)),0)))</f>
        <v/>
      </c>
      <c r="V188" s="62">
        <f>IF(NOT((COUNTA($B188:$D188)+COUNTA($G188:$L188)+COUNTA($Q188))&gt;0),"",IF($B188="Subactividad","Sub","Macro"))</f>
        <v/>
      </c>
      <c r="W188" s="62">
        <f>IF($V188="Macro",COUNTIFS($U$5:$U$1000,ROW(),$V$5:$V$1000,"Sub"),"")</f>
        <v/>
      </c>
      <c r="X188" s="62">
        <f>IF($V188="","",IF(ISNUMBER($G188),1,IFERROR(LOOKUP(2,1/($I188:$L188&lt;&gt;""),$I188:$L188),0)))</f>
        <v/>
      </c>
      <c r="Y188" s="62">
        <f>IF($V188="","",IF(AND(ISNUMBER($G188),$G188&lt;=IF($S188=MesCiclo,InicioCiclo,$S188+MOD(2-WEEKDAY($S188),7))+6),1,IF(ISNUMBER($I188),$I188,0)))</f>
        <v/>
      </c>
      <c r="Z188" s="62">
        <f>IF($V188="","",IF(AND(ISNUMBER($G188),$G188&lt;=IF($S188=MesCiclo,InicioCiclo,$S188+MOD(2-WEEKDAY($S188),7))+13),1,IF(ISNUMBER($J188),$J188,$Y188)))</f>
        <v/>
      </c>
      <c r="AA188" s="62">
        <f>IF($V188="","",IF(AND(ISNUMBER($G188),$G188&lt;=IF($S188=MesCiclo,InicioCiclo,$S188+MOD(2-WEEKDAY($S188),7))+20),1,IF(ISNUMBER($K188),$K188,$Z188)))</f>
        <v/>
      </c>
      <c r="AB188" s="62">
        <f>IF($V188="","",IF(AND(ISNUMBER($G188),$G188&lt;=IF($S188=MesCiclo,InicioCiclo,$S188+MOD(2-WEEKDAY($S188),7))+27),1,IF(ISNUMBER($L188),$L188,$AA188)))</f>
        <v/>
      </c>
      <c r="AC188" s="62">
        <f>IF($V188="","",IF(AND(ISNUMBER($G188),$G188&lt;=IF($S188=MesCiclo,InicioCiclo,$S188+MOD(2-WEEKDAY($S188),7))+6),1,IF(N($W188)&gt;0,AVERAGEIFS($Y$5:$Y$1000,$U$5:$U$1000,ROW(),$V$5:$V$1000,"Sub"),$Y188)))</f>
        <v/>
      </c>
      <c r="AD188" s="62">
        <f>IF($V188="","",IF(AND(ISNUMBER($G188),$G188&lt;=IF($S188=MesCiclo,InicioCiclo,$S188+MOD(2-WEEKDAY($S188),7))+13),1,IF(N($W188)&gt;0,AVERAGEIFS($Z$5:$Z$1000,$U$5:$U$1000,ROW(),$V$5:$V$1000,"Sub"),$Z188)))</f>
        <v/>
      </c>
      <c r="AE188" s="62">
        <f>IF($V188="","",IF(AND(ISNUMBER($G188),$G188&lt;=IF($S188=MesCiclo,InicioCiclo,$S188+MOD(2-WEEKDAY($S188),7))+20),1,IF(N($W188)&gt;0,AVERAGEIFS($AA$5:$AA$1000,$U$5:$U$1000,ROW(),$V$5:$V$1000,"Sub"),$AA188)))</f>
        <v/>
      </c>
      <c r="AF188" s="62">
        <f>IF($V188="","",IF(AND(ISNUMBER($G188),$G188&lt;=IF($S188=MesCiclo,InicioCiclo,$S188+MOD(2-WEEKDAY($S188),7))+27),1,IF(N($W188)&gt;0,AVERAGEIFS($AB$5:$AB$1000,$U$5:$U$1000,ROW(),$V$5:$V$1000,"Sub"),$AB188)))</f>
        <v/>
      </c>
      <c r="AG188" s="62">
        <f>IF($V188&lt;&gt;"Macro","",IF(COUNTIFS($S$5:$S$1000,$S188,$V$5:$V$1000,"Macro",$H$5:$H$1000,"&gt;0")=0,1/COUNTIFS($S$5:$S$1000,$S188,$V$5:$V$1000,"Macro"),IF(AND(ISNUMBER($H188),N($H188)&gt;0),$H188,SUMIFS($H$5:$H$1000,$S$5:$S$1000,$S188,$V$5:$V$1000,"Macro")/COUNTIFS($S$5:$S$1000,$S188,$V$5:$V$1000,"Macro",$H$5:$H$1000,"&gt;0"))/(COUNTIFS($S$5:$S$1000,$S188,$V$5:$V$1000,"Macro")*SUMIFS($H$5:$H$1000,$S$5:$S$1000,$S188,$V$5:$V$1000,"Macro")/COUNTIFS($S$5:$S$1000,$S188,$V$5:$V$1000,"Macro",$H$5:$H$1000,"&gt;0"))))</f>
        <v/>
      </c>
      <c r="AH188" s="62" t="n"/>
      <c r="AI188" s="62" t="n"/>
      <c r="AJ188" s="62" t="n"/>
      <c r="AK188" s="62" t="n"/>
      <c r="AL188" s="62">
        <f>IF(LEFT($C188,11)="[Jefatura] ",IFERROR(MATCH("Riesgo Operacional|"&amp;MID($C188,12,500),rDname_ADM,0),0),"")</f>
        <v/>
      </c>
      <c r="AM188" s="62">
        <f>IF(N($AL188)&gt;0,INDEX(rIni_ADM,$AL188),IF(ISNUMBER($E188),$E188,""))</f>
        <v/>
      </c>
      <c r="AN188" s="62">
        <f>IF(N($AL188)&gt;0,INDEX(rLim_ADM,$AL188),IF(ISNUMBER($F188),$F188,""))</f>
        <v/>
      </c>
    </row>
    <row r="189">
      <c r="A189" s="56">
        <f>IF(NOT((COUNTA($B189:$D189)+COUNTA($G189:$L189)+COUNTA($Q189))&gt;0),"",IF($V189="Macro",COUNTIFS($V$5:$V189,"Macro",$S$5:$S189,$S189),IF(N($U189)=0,"?",COUNTIFS(INDEX($V$5:$V$1000,1):INDEX($V$5:$V$1000,$U189-4),"Macro",INDEX($S$5:$S$1000,1):INDEX($S$5:$S$1000,$U189-4),INDEX($S$5:$S$1000,$U189-4))&amp;"."&amp;COUNTIFS($U$5:$U189,$U189,$V$5:$V189,"Sub"))))</f>
        <v/>
      </c>
      <c r="B189" s="57" t="n"/>
      <c r="C189" s="58" t="n"/>
      <c r="D189" s="58" t="n"/>
      <c r="E189" s="59">
        <f>IF(N($AL189)&gt;0,INDEX(rIni_ADM,$AL189),"")</f>
        <v/>
      </c>
      <c r="F189" s="59">
        <f>IF(N($AL189)&gt;0,INDEX(rLim_ADM,$AL189),"")</f>
        <v/>
      </c>
      <c r="G189" s="59" t="n"/>
      <c r="H189" s="60" t="n"/>
      <c r="I189" s="60" t="n"/>
      <c r="J189" s="60" t="n"/>
      <c r="K189" s="60" t="n"/>
      <c r="L189" s="60" t="n"/>
      <c r="M189" s="61">
        <f>IF(NOT((COUNTA($B189:$D189)+COUNTA($G189:$L189)+COUNTA($Q189))&gt;0),"",IF($V189="Sub",IFERROR($X189/INDEX($W$5:$W$1000,$U189-4),""),IF(ISNUMBER($G189),1,IF(N($W189)&gt;0,AVERAGEIFS($X$5:$X$1000,$U$5:$U$1000,ROW(),$V$5:$V$1000,"Sub"),$X189))))</f>
        <v/>
      </c>
      <c r="N189" s="56">
        <f>IF(OR($M189="",$V189="Sub"),"",IF($M189&gt;=1,"Completado",IF($M189&gt;0,"En curso","Pendiente")))</f>
        <v/>
      </c>
      <c r="O189" s="56">
        <f>IF(OR(NOT((COUNTA($B189:$D189)+COUNTA($G189:$L189)+COUNTA($Q189))&gt;0),$V189="Sub"),"",IF(ISNUMBER($G189),IF(AND(ISNUMBER($AN189),$G189&gt;$AN189),"Cumplida con "&amp;($G189-$AN189)&amp;IF($G189-$AN189=1," día"," días")&amp;" de retraso","Cumplida"),IF(N($M189)&gt;=1,"Cumplida",IF(NOT(ISNUMBER($AN189)),"Sin fecha límite",IF($AN189&lt;FechaRef,"Vencida hace "&amp;(FechaRef-$AN189)&amp;IF(FechaRef-$AN189=1," día"," días"),IF($AN189=FechaRef,"Vence hoy",IF($AN189-FechaRef&lt;=DiasAlerta,"Vence en "&amp;($AN189-FechaRef)&amp;IF($AN189-FechaRef=1," día"," días"),"En plazo")))))))</f>
        <v/>
      </c>
      <c r="P189" s="62" t="n"/>
      <c r="Q189" s="58" t="n"/>
      <c r="R189" s="63">
        <f>IF(NOT((COUNTA($B189:$D189)+COUNTA($G189:$L189)+COUNTA($Q189))&gt;0),"",IF((IF($C189="","Falta el nombre de la actividad"&amp;" · ","")&amp;IF(AND($V189="Sub",N($U189)=0),"Subactividad sin macroactividad arriba"&amp;" · ","")&amp;IF($AM189="","Sin fecha de inicio"&amp;" · ","")&amp;IF($AN189="","Sin fecha límite"&amp;" · ","")&amp;IF(AND(LEFT($C189,11)="[Jefatura] ",N($AL189)=0),"No se encuentra en la hoja de la jefatura (elíjala de nuevo en la lista)"&amp;" · ","")&amp;IF(OR(AND($E189&lt;&gt;"",NOT(ISNUMBER($E189))),AND($F189&lt;&gt;"",NOT(ISNUMBER($F189))),AND($G189&lt;&gt;"",NOT(ISNUMBER($G189)))),"Fecha no válida"&amp;" · ","")&amp;IF(AND(ISNUMBER($AM189),ISNUMBER($AN189),$AM189&gt;$AN189),"Inicio posterior a fecha límite"&amp;" · ","")&amp;IF(AND($V189="Macro",$H189&lt;&gt;"",OR(NOT(ISNUMBER($H189)),$H189&lt;0,$H189&gt;1)),"Peso fuera de rango"&amp;" · ","")&amp;IF(AND($V189="Sub",$H189&lt;&gt;""),"Las subactividades no llevan peso (valen igual dentro de su macroactividad)"&amp;" · ","")&amp;IF(AND(N($W189)&gt;0,COUNT($I189:$L189)&gt;0),"Con subactividades: deje vacías las semanas (se calculan solas)"&amp;" · ","")&amp;IF((COUNTIF($I189:$L189,"&gt;1")+COUNTIF($I189:$L189,"&lt;0")+COUNTA($I189:$L189)-COUNT($I189:$L189))&gt;0,"Avance fuera de rango 0-100%"&amp;" · ","")&amp;IF(OR(AND($J189&lt;&gt;"",$J189&lt;$I189),AND($K189&lt;&gt;"",$K189&lt;MAX($I189:$J189)),AND($L189&lt;&gt;"",$L189&lt;MAX($I189:$K189))),"Avance semanal decreciente"&amp;" · ","")&amp;IF(AND(ISNUMBER($AN189),$AN189&lt;FechaRef,IF($V189="Sub",N($X189),N($M189))&lt;1),"Vencida"&amp;" · ","")&amp;IF(AND(ObsObligatoria="Sí",ISNUMBER($AN189),$AN189&lt;FechaRef,IF($V189="Sub",N($X189),N($M189))&lt;1,$Q189=""),"Vencida sin observación"&amp;" · ",""))="","✔ OK","⚠ "&amp;LEFT(IF($C189="","Falta el nombre de la actividad"&amp;" · ","")&amp;IF(AND($V189="Sub",N($U189)=0),"Subactividad sin macroactividad arriba"&amp;" · ","")&amp;IF($AM189="","Sin fecha de inicio"&amp;" · ","")&amp;IF($AN189="","Sin fecha límite"&amp;" · ","")&amp;IF(AND(LEFT($C189,11)="[Jefatura] ",N($AL189)=0),"No se encuentra en la hoja de la jefatura (elíjala de nuevo en la lista)"&amp;" · ","")&amp;IF(OR(AND($E189&lt;&gt;"",NOT(ISNUMBER($E189))),AND($F189&lt;&gt;"",NOT(ISNUMBER($F189))),AND($G189&lt;&gt;"",NOT(ISNUMBER($G189)))),"Fecha no válida"&amp;" · ","")&amp;IF(AND(ISNUMBER($AM189),ISNUMBER($AN189),$AM189&gt;$AN189),"Inicio posterior a fecha límite"&amp;" · ","")&amp;IF(AND($V189="Macro",$H189&lt;&gt;"",OR(NOT(ISNUMBER($H189)),$H189&lt;0,$H189&gt;1)),"Peso fuera de rango"&amp;" · ","")&amp;IF(AND($V189="Sub",$H189&lt;&gt;""),"Las subactividades no llevan peso (valen igual dentro de su macroactividad)"&amp;" · ","")&amp;IF(AND(N($W189)&gt;0,COUNT($I189:$L189)&gt;0),"Con subactividades: deje vacías las semanas (se calculan solas)"&amp;" · ","")&amp;IF((COUNTIF($I189:$L189,"&gt;1")+COUNTIF($I189:$L189,"&lt;0")+COUNTA($I189:$L189)-COUNT($I189:$L189))&gt;0,"Avance fuera de rango 0-100%"&amp;" · ","")&amp;IF(OR(AND($J189&lt;&gt;"",$J189&lt;$I189),AND($K189&lt;&gt;"",$K189&lt;MAX($I189:$J189)),AND($L189&lt;&gt;"",$L189&lt;MAX($I189:$K189))),"Avance semanal decreciente"&amp;" · ","")&amp;IF(AND(ISNUMBER($AN189),$AN189&lt;FechaRef,IF($V189="Sub",N($X189),N($M189))&lt;1),"Vencida"&amp;" · ","")&amp;IF(AND(ObsObligatoria="Sí",ISNUMBER($AN189),$AN189&lt;FechaRef,IF($V189="Sub",N($X189),N($M189))&lt;1,$Q189=""),"Vencida sin observación"&amp;" · ",""),LEN(IF($C189="","Falta el nombre de la actividad"&amp;" · ","")&amp;IF(AND($V189="Sub",N($U189)=0),"Subactividad sin macroactividad arriba"&amp;" · ","")&amp;IF($AM189="","Sin fecha de inicio"&amp;" · ","")&amp;IF($AN189="","Sin fecha límite"&amp;" · ","")&amp;IF(AND(LEFT($C189,11)="[Jefatura] ",N($AL189)=0),"No se encuentra en la hoja de la jefatura (elíjala de nuevo en la lista)"&amp;" · ","")&amp;IF(OR(AND($E189&lt;&gt;"",NOT(ISNUMBER($E189))),AND($F189&lt;&gt;"",NOT(ISNUMBER($F189))),AND($G189&lt;&gt;"",NOT(ISNUMBER($G189)))),"Fecha no válida"&amp;" · ","")&amp;IF(AND(ISNUMBER($AM189),ISNUMBER($AN189),$AM189&gt;$AN189),"Inicio posterior a fecha límite"&amp;" · ","")&amp;IF(AND($V189="Macro",$H189&lt;&gt;"",OR(NOT(ISNUMBER($H189)),$H189&lt;0,$H189&gt;1)),"Peso fuera de rango"&amp;" · ","")&amp;IF(AND($V189="Sub",$H189&lt;&gt;""),"Las subactividades no llevan peso (valen igual dentro de su macroactividad)"&amp;" · ","")&amp;IF(AND(N($W189)&gt;0,COUNT($I189:$L189)&gt;0),"Con subactividades: deje vacías las semanas (se calculan solas)"&amp;" · ","")&amp;IF((COUNTIF($I189:$L189,"&gt;1")+COUNTIF($I189:$L189,"&lt;0")+COUNTA($I189:$L189)-COUNT($I189:$L189))&gt;0,"Avance fuera de rango 0-100%"&amp;" · ","")&amp;IF(OR(AND($J189&lt;&gt;"",$J189&lt;$I189),AND($K189&lt;&gt;"",$K189&lt;MAX($I189:$J189)),AND($L189&lt;&gt;"",$L189&lt;MAX($I189:$K189))),"Avance semanal decreciente"&amp;" · ","")&amp;IF(AND(ISNUMBER($AN189),$AN189&lt;FechaRef,IF($V189="Sub",N($X189),N($M189))&lt;1),"Vencida"&amp;" · ","")&amp;IF(AND(ObsObligatoria="Sí",ISNUMBER($AN189),$AN189&lt;FechaRef,IF($V189="Sub",N($X189),N($M189))&lt;1,$Q189=""),"Vencida sin observación"&amp;" · ",""))-3)))</f>
        <v/>
      </c>
      <c r="S189" s="64">
        <f>IF(NOT((COUNTA($B189:$D189)+COUNTA($G189:$L189)+COUNTA($Q189))&gt;0),"",IF(AND($V189="Sub",N($U189)&gt;0),IF(ISNUMBER(INDEX($AM$5:$AM$1000,$U189-4)),DATE(YEAR(INDEX($AM$5:$AM$1000,$U189-4)),MONTH(INDEX($AM$5:$AM$1000,$U189-4)),1),IF(ISNUMBER(INDEX($AN$5:$AN$1000,$U189-4)),DATE(YEAR(INDEX($AN$5:$AN$1000,$U189-4)),MONTH(INDEX($AN$5:$AN$1000,$U189-4)),1),MesCiclo)),IF(ISNUMBER($AM189),DATE(YEAR($AM189),MONTH($AM189),1),IF(ISNUMBER($AN189),DATE(YEAR($AN189),MONTH($AN189),1),MesCiclo))))</f>
        <v/>
      </c>
      <c r="T189" s="62">
        <f>IF(OR($S189="",$S189&lt;&gt;MesCiclo,$V189&lt;&gt;"Macro"),"",COUNTIFS($S$5:$S189,MesCiclo,$V$5:$V189,"Macro"))</f>
        <v/>
      </c>
      <c r="U189" s="62">
        <f>IF($V189="","",IF($V189="Macro",ROW(),IFERROR(LOOKUP(2,1/($V$5:$V189="Macro"),ROW($V$5:$V189)),0)))</f>
        <v/>
      </c>
      <c r="V189" s="62">
        <f>IF(NOT((COUNTA($B189:$D189)+COUNTA($G189:$L189)+COUNTA($Q189))&gt;0),"",IF($B189="Subactividad","Sub","Macro"))</f>
        <v/>
      </c>
      <c r="W189" s="62">
        <f>IF($V189="Macro",COUNTIFS($U$5:$U$1000,ROW(),$V$5:$V$1000,"Sub"),"")</f>
        <v/>
      </c>
      <c r="X189" s="62">
        <f>IF($V189="","",IF(ISNUMBER($G189),1,IFERROR(LOOKUP(2,1/($I189:$L189&lt;&gt;""),$I189:$L189),0)))</f>
        <v/>
      </c>
      <c r="Y189" s="62">
        <f>IF($V189="","",IF(AND(ISNUMBER($G189),$G189&lt;=IF($S189=MesCiclo,InicioCiclo,$S189+MOD(2-WEEKDAY($S189),7))+6),1,IF(ISNUMBER($I189),$I189,0)))</f>
        <v/>
      </c>
      <c r="Z189" s="62">
        <f>IF($V189="","",IF(AND(ISNUMBER($G189),$G189&lt;=IF($S189=MesCiclo,InicioCiclo,$S189+MOD(2-WEEKDAY($S189),7))+13),1,IF(ISNUMBER($J189),$J189,$Y189)))</f>
        <v/>
      </c>
      <c r="AA189" s="62">
        <f>IF($V189="","",IF(AND(ISNUMBER($G189),$G189&lt;=IF($S189=MesCiclo,InicioCiclo,$S189+MOD(2-WEEKDAY($S189),7))+20),1,IF(ISNUMBER($K189),$K189,$Z189)))</f>
        <v/>
      </c>
      <c r="AB189" s="62">
        <f>IF($V189="","",IF(AND(ISNUMBER($G189),$G189&lt;=IF($S189=MesCiclo,InicioCiclo,$S189+MOD(2-WEEKDAY($S189),7))+27),1,IF(ISNUMBER($L189),$L189,$AA189)))</f>
        <v/>
      </c>
      <c r="AC189" s="62">
        <f>IF($V189="","",IF(AND(ISNUMBER($G189),$G189&lt;=IF($S189=MesCiclo,InicioCiclo,$S189+MOD(2-WEEKDAY($S189),7))+6),1,IF(N($W189)&gt;0,AVERAGEIFS($Y$5:$Y$1000,$U$5:$U$1000,ROW(),$V$5:$V$1000,"Sub"),$Y189)))</f>
        <v/>
      </c>
      <c r="AD189" s="62">
        <f>IF($V189="","",IF(AND(ISNUMBER($G189),$G189&lt;=IF($S189=MesCiclo,InicioCiclo,$S189+MOD(2-WEEKDAY($S189),7))+13),1,IF(N($W189)&gt;0,AVERAGEIFS($Z$5:$Z$1000,$U$5:$U$1000,ROW(),$V$5:$V$1000,"Sub"),$Z189)))</f>
        <v/>
      </c>
      <c r="AE189" s="62">
        <f>IF($V189="","",IF(AND(ISNUMBER($G189),$G189&lt;=IF($S189=MesCiclo,InicioCiclo,$S189+MOD(2-WEEKDAY($S189),7))+20),1,IF(N($W189)&gt;0,AVERAGEIFS($AA$5:$AA$1000,$U$5:$U$1000,ROW(),$V$5:$V$1000,"Sub"),$AA189)))</f>
        <v/>
      </c>
      <c r="AF189" s="62">
        <f>IF($V189="","",IF(AND(ISNUMBER($G189),$G189&lt;=IF($S189=MesCiclo,InicioCiclo,$S189+MOD(2-WEEKDAY($S189),7))+27),1,IF(N($W189)&gt;0,AVERAGEIFS($AB$5:$AB$1000,$U$5:$U$1000,ROW(),$V$5:$V$1000,"Sub"),$AB189)))</f>
        <v/>
      </c>
      <c r="AG189" s="62">
        <f>IF($V189&lt;&gt;"Macro","",IF(COUNTIFS($S$5:$S$1000,$S189,$V$5:$V$1000,"Macro",$H$5:$H$1000,"&gt;0")=0,1/COUNTIFS($S$5:$S$1000,$S189,$V$5:$V$1000,"Macro"),IF(AND(ISNUMBER($H189),N($H189)&gt;0),$H189,SUMIFS($H$5:$H$1000,$S$5:$S$1000,$S189,$V$5:$V$1000,"Macro")/COUNTIFS($S$5:$S$1000,$S189,$V$5:$V$1000,"Macro",$H$5:$H$1000,"&gt;0"))/(COUNTIFS($S$5:$S$1000,$S189,$V$5:$V$1000,"Macro")*SUMIFS($H$5:$H$1000,$S$5:$S$1000,$S189,$V$5:$V$1000,"Macro")/COUNTIFS($S$5:$S$1000,$S189,$V$5:$V$1000,"Macro",$H$5:$H$1000,"&gt;0"))))</f>
        <v/>
      </c>
      <c r="AH189" s="62" t="n"/>
      <c r="AI189" s="62" t="n"/>
      <c r="AJ189" s="62" t="n"/>
      <c r="AK189" s="62" t="n"/>
      <c r="AL189" s="62">
        <f>IF(LEFT($C189,11)="[Jefatura] ",IFERROR(MATCH("Riesgo Operacional|"&amp;MID($C189,12,500),rDname_ADM,0),0),"")</f>
        <v/>
      </c>
      <c r="AM189" s="62">
        <f>IF(N($AL189)&gt;0,INDEX(rIni_ADM,$AL189),IF(ISNUMBER($E189),$E189,""))</f>
        <v/>
      </c>
      <c r="AN189" s="62">
        <f>IF(N($AL189)&gt;0,INDEX(rLim_ADM,$AL189),IF(ISNUMBER($F189),$F189,""))</f>
        <v/>
      </c>
    </row>
    <row r="190">
      <c r="A190" s="56">
        <f>IF(NOT((COUNTA($B190:$D190)+COUNTA($G190:$L190)+COUNTA($Q190))&gt;0),"",IF($V190="Macro",COUNTIFS($V$5:$V190,"Macro",$S$5:$S190,$S190),IF(N($U190)=0,"?",COUNTIFS(INDEX($V$5:$V$1000,1):INDEX($V$5:$V$1000,$U190-4),"Macro",INDEX($S$5:$S$1000,1):INDEX($S$5:$S$1000,$U190-4),INDEX($S$5:$S$1000,$U190-4))&amp;"."&amp;COUNTIFS($U$5:$U190,$U190,$V$5:$V190,"Sub"))))</f>
        <v/>
      </c>
      <c r="B190" s="57" t="n"/>
      <c r="C190" s="58" t="n"/>
      <c r="D190" s="58" t="n"/>
      <c r="E190" s="59">
        <f>IF(N($AL190)&gt;0,INDEX(rIni_ADM,$AL190),"")</f>
        <v/>
      </c>
      <c r="F190" s="59">
        <f>IF(N($AL190)&gt;0,INDEX(rLim_ADM,$AL190),"")</f>
        <v/>
      </c>
      <c r="G190" s="59" t="n"/>
      <c r="H190" s="60" t="n"/>
      <c r="I190" s="60" t="n"/>
      <c r="J190" s="60" t="n"/>
      <c r="K190" s="60" t="n"/>
      <c r="L190" s="60" t="n"/>
      <c r="M190" s="61">
        <f>IF(NOT((COUNTA($B190:$D190)+COUNTA($G190:$L190)+COUNTA($Q190))&gt;0),"",IF($V190="Sub",IFERROR($X190/INDEX($W$5:$W$1000,$U190-4),""),IF(ISNUMBER($G190),1,IF(N($W190)&gt;0,AVERAGEIFS($X$5:$X$1000,$U$5:$U$1000,ROW(),$V$5:$V$1000,"Sub"),$X190))))</f>
        <v/>
      </c>
      <c r="N190" s="56">
        <f>IF(OR($M190="",$V190="Sub"),"",IF($M190&gt;=1,"Completado",IF($M190&gt;0,"En curso","Pendiente")))</f>
        <v/>
      </c>
      <c r="O190" s="56">
        <f>IF(OR(NOT((COUNTA($B190:$D190)+COUNTA($G190:$L190)+COUNTA($Q190))&gt;0),$V190="Sub"),"",IF(ISNUMBER($G190),IF(AND(ISNUMBER($AN190),$G190&gt;$AN190),"Cumplida con "&amp;($G190-$AN190)&amp;IF($G190-$AN190=1," día"," días")&amp;" de retraso","Cumplida"),IF(N($M190)&gt;=1,"Cumplida",IF(NOT(ISNUMBER($AN190)),"Sin fecha límite",IF($AN190&lt;FechaRef,"Vencida hace "&amp;(FechaRef-$AN190)&amp;IF(FechaRef-$AN190=1," día"," días"),IF($AN190=FechaRef,"Vence hoy",IF($AN190-FechaRef&lt;=DiasAlerta,"Vence en "&amp;($AN190-FechaRef)&amp;IF($AN190-FechaRef=1," día"," días"),"En plazo")))))))</f>
        <v/>
      </c>
      <c r="P190" s="62" t="n"/>
      <c r="Q190" s="58" t="n"/>
      <c r="R190" s="63">
        <f>IF(NOT((COUNTA($B190:$D190)+COUNTA($G190:$L190)+COUNTA($Q190))&gt;0),"",IF((IF($C190="","Falta el nombre de la actividad"&amp;" · ","")&amp;IF(AND($V190="Sub",N($U190)=0),"Subactividad sin macroactividad arriba"&amp;" · ","")&amp;IF($AM190="","Sin fecha de inicio"&amp;" · ","")&amp;IF($AN190="","Sin fecha límite"&amp;" · ","")&amp;IF(AND(LEFT($C190,11)="[Jefatura] ",N($AL190)=0),"No se encuentra en la hoja de la jefatura (elíjala de nuevo en la lista)"&amp;" · ","")&amp;IF(OR(AND($E190&lt;&gt;"",NOT(ISNUMBER($E190))),AND($F190&lt;&gt;"",NOT(ISNUMBER($F190))),AND($G190&lt;&gt;"",NOT(ISNUMBER($G190)))),"Fecha no válida"&amp;" · ","")&amp;IF(AND(ISNUMBER($AM190),ISNUMBER($AN190),$AM190&gt;$AN190),"Inicio posterior a fecha límite"&amp;" · ","")&amp;IF(AND($V190="Macro",$H190&lt;&gt;"",OR(NOT(ISNUMBER($H190)),$H190&lt;0,$H190&gt;1)),"Peso fuera de rango"&amp;" · ","")&amp;IF(AND($V190="Sub",$H190&lt;&gt;""),"Las subactividades no llevan peso (valen igual dentro de su macroactividad)"&amp;" · ","")&amp;IF(AND(N($W190)&gt;0,COUNT($I190:$L190)&gt;0),"Con subactividades: deje vacías las semanas (se calculan solas)"&amp;" · ","")&amp;IF((COUNTIF($I190:$L190,"&gt;1")+COUNTIF($I190:$L190,"&lt;0")+COUNTA($I190:$L190)-COUNT($I190:$L190))&gt;0,"Avance fuera de rango 0-100%"&amp;" · ","")&amp;IF(OR(AND($J190&lt;&gt;"",$J190&lt;$I190),AND($K190&lt;&gt;"",$K190&lt;MAX($I190:$J190)),AND($L190&lt;&gt;"",$L190&lt;MAX($I190:$K190))),"Avance semanal decreciente"&amp;" · ","")&amp;IF(AND(ISNUMBER($AN190),$AN190&lt;FechaRef,IF($V190="Sub",N($X190),N($M190))&lt;1),"Vencida"&amp;" · ","")&amp;IF(AND(ObsObligatoria="Sí",ISNUMBER($AN190),$AN190&lt;FechaRef,IF($V190="Sub",N($X190),N($M190))&lt;1,$Q190=""),"Vencida sin observación"&amp;" · ",""))="","✔ OK","⚠ "&amp;LEFT(IF($C190="","Falta el nombre de la actividad"&amp;" · ","")&amp;IF(AND($V190="Sub",N($U190)=0),"Subactividad sin macroactividad arriba"&amp;" · ","")&amp;IF($AM190="","Sin fecha de inicio"&amp;" · ","")&amp;IF($AN190="","Sin fecha límite"&amp;" · ","")&amp;IF(AND(LEFT($C190,11)="[Jefatura] ",N($AL190)=0),"No se encuentra en la hoja de la jefatura (elíjala de nuevo en la lista)"&amp;" · ","")&amp;IF(OR(AND($E190&lt;&gt;"",NOT(ISNUMBER($E190))),AND($F190&lt;&gt;"",NOT(ISNUMBER($F190))),AND($G190&lt;&gt;"",NOT(ISNUMBER($G190)))),"Fecha no válida"&amp;" · ","")&amp;IF(AND(ISNUMBER($AM190),ISNUMBER($AN190),$AM190&gt;$AN190),"Inicio posterior a fecha límite"&amp;" · ","")&amp;IF(AND($V190="Macro",$H190&lt;&gt;"",OR(NOT(ISNUMBER($H190)),$H190&lt;0,$H190&gt;1)),"Peso fuera de rango"&amp;" · ","")&amp;IF(AND($V190="Sub",$H190&lt;&gt;""),"Las subactividades no llevan peso (valen igual dentro de su macroactividad)"&amp;" · ","")&amp;IF(AND(N($W190)&gt;0,COUNT($I190:$L190)&gt;0),"Con subactividades: deje vacías las semanas (se calculan solas)"&amp;" · ","")&amp;IF((COUNTIF($I190:$L190,"&gt;1")+COUNTIF($I190:$L190,"&lt;0")+COUNTA($I190:$L190)-COUNT($I190:$L190))&gt;0,"Avance fuera de rango 0-100%"&amp;" · ","")&amp;IF(OR(AND($J190&lt;&gt;"",$J190&lt;$I190),AND($K190&lt;&gt;"",$K190&lt;MAX($I190:$J190)),AND($L190&lt;&gt;"",$L190&lt;MAX($I190:$K190))),"Avance semanal decreciente"&amp;" · ","")&amp;IF(AND(ISNUMBER($AN190),$AN190&lt;FechaRef,IF($V190="Sub",N($X190),N($M190))&lt;1),"Vencida"&amp;" · ","")&amp;IF(AND(ObsObligatoria="Sí",ISNUMBER($AN190),$AN190&lt;FechaRef,IF($V190="Sub",N($X190),N($M190))&lt;1,$Q190=""),"Vencida sin observación"&amp;" · ",""),LEN(IF($C190="","Falta el nombre de la actividad"&amp;" · ","")&amp;IF(AND($V190="Sub",N($U190)=0),"Subactividad sin macroactividad arriba"&amp;" · ","")&amp;IF($AM190="","Sin fecha de inicio"&amp;" · ","")&amp;IF($AN190="","Sin fecha límite"&amp;" · ","")&amp;IF(AND(LEFT($C190,11)="[Jefatura] ",N($AL190)=0),"No se encuentra en la hoja de la jefatura (elíjala de nuevo en la lista)"&amp;" · ","")&amp;IF(OR(AND($E190&lt;&gt;"",NOT(ISNUMBER($E190))),AND($F190&lt;&gt;"",NOT(ISNUMBER($F190))),AND($G190&lt;&gt;"",NOT(ISNUMBER($G190)))),"Fecha no válida"&amp;" · ","")&amp;IF(AND(ISNUMBER($AM190),ISNUMBER($AN190),$AM190&gt;$AN190),"Inicio posterior a fecha límite"&amp;" · ","")&amp;IF(AND($V190="Macro",$H190&lt;&gt;"",OR(NOT(ISNUMBER($H190)),$H190&lt;0,$H190&gt;1)),"Peso fuera de rango"&amp;" · ","")&amp;IF(AND($V190="Sub",$H190&lt;&gt;""),"Las subactividades no llevan peso (valen igual dentro de su macroactividad)"&amp;" · ","")&amp;IF(AND(N($W190)&gt;0,COUNT($I190:$L190)&gt;0),"Con subactividades: deje vacías las semanas (se calculan solas)"&amp;" · ","")&amp;IF((COUNTIF($I190:$L190,"&gt;1")+COUNTIF($I190:$L190,"&lt;0")+COUNTA($I190:$L190)-COUNT($I190:$L190))&gt;0,"Avance fuera de rango 0-100%"&amp;" · ","")&amp;IF(OR(AND($J190&lt;&gt;"",$J190&lt;$I190),AND($K190&lt;&gt;"",$K190&lt;MAX($I190:$J190)),AND($L190&lt;&gt;"",$L190&lt;MAX($I190:$K190))),"Avance semanal decreciente"&amp;" · ","")&amp;IF(AND(ISNUMBER($AN190),$AN190&lt;FechaRef,IF($V190="Sub",N($X190),N($M190))&lt;1),"Vencida"&amp;" · ","")&amp;IF(AND(ObsObligatoria="Sí",ISNUMBER($AN190),$AN190&lt;FechaRef,IF($V190="Sub",N($X190),N($M190))&lt;1,$Q190=""),"Vencida sin observación"&amp;" · ",""))-3)))</f>
        <v/>
      </c>
      <c r="S190" s="64">
        <f>IF(NOT((COUNTA($B190:$D190)+COUNTA($G190:$L190)+COUNTA($Q190))&gt;0),"",IF(AND($V190="Sub",N($U190)&gt;0),IF(ISNUMBER(INDEX($AM$5:$AM$1000,$U190-4)),DATE(YEAR(INDEX($AM$5:$AM$1000,$U190-4)),MONTH(INDEX($AM$5:$AM$1000,$U190-4)),1),IF(ISNUMBER(INDEX($AN$5:$AN$1000,$U190-4)),DATE(YEAR(INDEX($AN$5:$AN$1000,$U190-4)),MONTH(INDEX($AN$5:$AN$1000,$U190-4)),1),MesCiclo)),IF(ISNUMBER($AM190),DATE(YEAR($AM190),MONTH($AM190),1),IF(ISNUMBER($AN190),DATE(YEAR($AN190),MONTH($AN190),1),MesCiclo))))</f>
        <v/>
      </c>
      <c r="T190" s="62">
        <f>IF(OR($S190="",$S190&lt;&gt;MesCiclo,$V190&lt;&gt;"Macro"),"",COUNTIFS($S$5:$S190,MesCiclo,$V$5:$V190,"Macro"))</f>
        <v/>
      </c>
      <c r="U190" s="62">
        <f>IF($V190="","",IF($V190="Macro",ROW(),IFERROR(LOOKUP(2,1/($V$5:$V190="Macro"),ROW($V$5:$V190)),0)))</f>
        <v/>
      </c>
      <c r="V190" s="62">
        <f>IF(NOT((COUNTA($B190:$D190)+COUNTA($G190:$L190)+COUNTA($Q190))&gt;0),"",IF($B190="Subactividad","Sub","Macro"))</f>
        <v/>
      </c>
      <c r="W190" s="62">
        <f>IF($V190="Macro",COUNTIFS($U$5:$U$1000,ROW(),$V$5:$V$1000,"Sub"),"")</f>
        <v/>
      </c>
      <c r="X190" s="62">
        <f>IF($V190="","",IF(ISNUMBER($G190),1,IFERROR(LOOKUP(2,1/($I190:$L190&lt;&gt;""),$I190:$L190),0)))</f>
        <v/>
      </c>
      <c r="Y190" s="62">
        <f>IF($V190="","",IF(AND(ISNUMBER($G190),$G190&lt;=IF($S190=MesCiclo,InicioCiclo,$S190+MOD(2-WEEKDAY($S190),7))+6),1,IF(ISNUMBER($I190),$I190,0)))</f>
        <v/>
      </c>
      <c r="Z190" s="62">
        <f>IF($V190="","",IF(AND(ISNUMBER($G190),$G190&lt;=IF($S190=MesCiclo,InicioCiclo,$S190+MOD(2-WEEKDAY($S190),7))+13),1,IF(ISNUMBER($J190),$J190,$Y190)))</f>
        <v/>
      </c>
      <c r="AA190" s="62">
        <f>IF($V190="","",IF(AND(ISNUMBER($G190),$G190&lt;=IF($S190=MesCiclo,InicioCiclo,$S190+MOD(2-WEEKDAY($S190),7))+20),1,IF(ISNUMBER($K190),$K190,$Z190)))</f>
        <v/>
      </c>
      <c r="AB190" s="62">
        <f>IF($V190="","",IF(AND(ISNUMBER($G190),$G190&lt;=IF($S190=MesCiclo,InicioCiclo,$S190+MOD(2-WEEKDAY($S190),7))+27),1,IF(ISNUMBER($L190),$L190,$AA190)))</f>
        <v/>
      </c>
      <c r="AC190" s="62">
        <f>IF($V190="","",IF(AND(ISNUMBER($G190),$G190&lt;=IF($S190=MesCiclo,InicioCiclo,$S190+MOD(2-WEEKDAY($S190),7))+6),1,IF(N($W190)&gt;0,AVERAGEIFS($Y$5:$Y$1000,$U$5:$U$1000,ROW(),$V$5:$V$1000,"Sub"),$Y190)))</f>
        <v/>
      </c>
      <c r="AD190" s="62">
        <f>IF($V190="","",IF(AND(ISNUMBER($G190),$G190&lt;=IF($S190=MesCiclo,InicioCiclo,$S190+MOD(2-WEEKDAY($S190),7))+13),1,IF(N($W190)&gt;0,AVERAGEIFS($Z$5:$Z$1000,$U$5:$U$1000,ROW(),$V$5:$V$1000,"Sub"),$Z190)))</f>
        <v/>
      </c>
      <c r="AE190" s="62">
        <f>IF($V190="","",IF(AND(ISNUMBER($G190),$G190&lt;=IF($S190=MesCiclo,InicioCiclo,$S190+MOD(2-WEEKDAY($S190),7))+20),1,IF(N($W190)&gt;0,AVERAGEIFS($AA$5:$AA$1000,$U$5:$U$1000,ROW(),$V$5:$V$1000,"Sub"),$AA190)))</f>
        <v/>
      </c>
      <c r="AF190" s="62">
        <f>IF($V190="","",IF(AND(ISNUMBER($G190),$G190&lt;=IF($S190=MesCiclo,InicioCiclo,$S190+MOD(2-WEEKDAY($S190),7))+27),1,IF(N($W190)&gt;0,AVERAGEIFS($AB$5:$AB$1000,$U$5:$U$1000,ROW(),$V$5:$V$1000,"Sub"),$AB190)))</f>
        <v/>
      </c>
      <c r="AG190" s="62">
        <f>IF($V190&lt;&gt;"Macro","",IF(COUNTIFS($S$5:$S$1000,$S190,$V$5:$V$1000,"Macro",$H$5:$H$1000,"&gt;0")=0,1/COUNTIFS($S$5:$S$1000,$S190,$V$5:$V$1000,"Macro"),IF(AND(ISNUMBER($H190),N($H190)&gt;0),$H190,SUMIFS($H$5:$H$1000,$S$5:$S$1000,$S190,$V$5:$V$1000,"Macro")/COUNTIFS($S$5:$S$1000,$S190,$V$5:$V$1000,"Macro",$H$5:$H$1000,"&gt;0"))/(COUNTIFS($S$5:$S$1000,$S190,$V$5:$V$1000,"Macro")*SUMIFS($H$5:$H$1000,$S$5:$S$1000,$S190,$V$5:$V$1000,"Macro")/COUNTIFS($S$5:$S$1000,$S190,$V$5:$V$1000,"Macro",$H$5:$H$1000,"&gt;0"))))</f>
        <v/>
      </c>
      <c r="AH190" s="62" t="n"/>
      <c r="AI190" s="62" t="n"/>
      <c r="AJ190" s="62" t="n"/>
      <c r="AK190" s="62" t="n"/>
      <c r="AL190" s="62">
        <f>IF(LEFT($C190,11)="[Jefatura] ",IFERROR(MATCH("Riesgo Operacional|"&amp;MID($C190,12,500),rDname_ADM,0),0),"")</f>
        <v/>
      </c>
      <c r="AM190" s="62">
        <f>IF(N($AL190)&gt;0,INDEX(rIni_ADM,$AL190),IF(ISNUMBER($E190),$E190,""))</f>
        <v/>
      </c>
      <c r="AN190" s="62">
        <f>IF(N($AL190)&gt;0,INDEX(rLim_ADM,$AL190),IF(ISNUMBER($F190),$F190,""))</f>
        <v/>
      </c>
    </row>
    <row r="191">
      <c r="A191" s="56">
        <f>IF(NOT((COUNTA($B191:$D191)+COUNTA($G191:$L191)+COUNTA($Q191))&gt;0),"",IF($V191="Macro",COUNTIFS($V$5:$V191,"Macro",$S$5:$S191,$S191),IF(N($U191)=0,"?",COUNTIFS(INDEX($V$5:$V$1000,1):INDEX($V$5:$V$1000,$U191-4),"Macro",INDEX($S$5:$S$1000,1):INDEX($S$5:$S$1000,$U191-4),INDEX($S$5:$S$1000,$U191-4))&amp;"."&amp;COUNTIFS($U$5:$U191,$U191,$V$5:$V191,"Sub"))))</f>
        <v/>
      </c>
      <c r="B191" s="57" t="n"/>
      <c r="C191" s="58" t="n"/>
      <c r="D191" s="58" t="n"/>
      <c r="E191" s="59">
        <f>IF(N($AL191)&gt;0,INDEX(rIni_ADM,$AL191),"")</f>
        <v/>
      </c>
      <c r="F191" s="59">
        <f>IF(N($AL191)&gt;0,INDEX(rLim_ADM,$AL191),"")</f>
        <v/>
      </c>
      <c r="G191" s="59" t="n"/>
      <c r="H191" s="60" t="n"/>
      <c r="I191" s="60" t="n"/>
      <c r="J191" s="60" t="n"/>
      <c r="K191" s="60" t="n"/>
      <c r="L191" s="60" t="n"/>
      <c r="M191" s="61">
        <f>IF(NOT((COUNTA($B191:$D191)+COUNTA($G191:$L191)+COUNTA($Q191))&gt;0),"",IF($V191="Sub",IFERROR($X191/INDEX($W$5:$W$1000,$U191-4),""),IF(ISNUMBER($G191),1,IF(N($W191)&gt;0,AVERAGEIFS($X$5:$X$1000,$U$5:$U$1000,ROW(),$V$5:$V$1000,"Sub"),$X191))))</f>
        <v/>
      </c>
      <c r="N191" s="56">
        <f>IF(OR($M191="",$V191="Sub"),"",IF($M191&gt;=1,"Completado",IF($M191&gt;0,"En curso","Pendiente")))</f>
        <v/>
      </c>
      <c r="O191" s="56">
        <f>IF(OR(NOT((COUNTA($B191:$D191)+COUNTA($G191:$L191)+COUNTA($Q191))&gt;0),$V191="Sub"),"",IF(ISNUMBER($G191),IF(AND(ISNUMBER($AN191),$G191&gt;$AN191),"Cumplida con "&amp;($G191-$AN191)&amp;IF($G191-$AN191=1," día"," días")&amp;" de retraso","Cumplida"),IF(N($M191)&gt;=1,"Cumplida",IF(NOT(ISNUMBER($AN191)),"Sin fecha límite",IF($AN191&lt;FechaRef,"Vencida hace "&amp;(FechaRef-$AN191)&amp;IF(FechaRef-$AN191=1," día"," días"),IF($AN191=FechaRef,"Vence hoy",IF($AN191-FechaRef&lt;=DiasAlerta,"Vence en "&amp;($AN191-FechaRef)&amp;IF($AN191-FechaRef=1," día"," días"),"En plazo")))))))</f>
        <v/>
      </c>
      <c r="P191" s="62" t="n"/>
      <c r="Q191" s="58" t="n"/>
      <c r="R191" s="63">
        <f>IF(NOT((COUNTA($B191:$D191)+COUNTA($G191:$L191)+COUNTA($Q191))&gt;0),"",IF((IF($C191="","Falta el nombre de la actividad"&amp;" · ","")&amp;IF(AND($V191="Sub",N($U191)=0),"Subactividad sin macroactividad arriba"&amp;" · ","")&amp;IF($AM191="","Sin fecha de inicio"&amp;" · ","")&amp;IF($AN191="","Sin fecha límite"&amp;" · ","")&amp;IF(AND(LEFT($C191,11)="[Jefatura] ",N($AL191)=0),"No se encuentra en la hoja de la jefatura (elíjala de nuevo en la lista)"&amp;" · ","")&amp;IF(OR(AND($E191&lt;&gt;"",NOT(ISNUMBER($E191))),AND($F191&lt;&gt;"",NOT(ISNUMBER($F191))),AND($G191&lt;&gt;"",NOT(ISNUMBER($G191)))),"Fecha no válida"&amp;" · ","")&amp;IF(AND(ISNUMBER($AM191),ISNUMBER($AN191),$AM191&gt;$AN191),"Inicio posterior a fecha límite"&amp;" · ","")&amp;IF(AND($V191="Macro",$H191&lt;&gt;"",OR(NOT(ISNUMBER($H191)),$H191&lt;0,$H191&gt;1)),"Peso fuera de rango"&amp;" · ","")&amp;IF(AND($V191="Sub",$H191&lt;&gt;""),"Las subactividades no llevan peso (valen igual dentro de su macroactividad)"&amp;" · ","")&amp;IF(AND(N($W191)&gt;0,COUNT($I191:$L191)&gt;0),"Con subactividades: deje vacías las semanas (se calculan solas)"&amp;" · ","")&amp;IF((COUNTIF($I191:$L191,"&gt;1")+COUNTIF($I191:$L191,"&lt;0")+COUNTA($I191:$L191)-COUNT($I191:$L191))&gt;0,"Avance fuera de rango 0-100%"&amp;" · ","")&amp;IF(OR(AND($J191&lt;&gt;"",$J191&lt;$I191),AND($K191&lt;&gt;"",$K191&lt;MAX($I191:$J191)),AND($L191&lt;&gt;"",$L191&lt;MAX($I191:$K191))),"Avance semanal decreciente"&amp;" · ","")&amp;IF(AND(ISNUMBER($AN191),$AN191&lt;FechaRef,IF($V191="Sub",N($X191),N($M191))&lt;1),"Vencida"&amp;" · ","")&amp;IF(AND(ObsObligatoria="Sí",ISNUMBER($AN191),$AN191&lt;FechaRef,IF($V191="Sub",N($X191),N($M191))&lt;1,$Q191=""),"Vencida sin observación"&amp;" · ",""))="","✔ OK","⚠ "&amp;LEFT(IF($C191="","Falta el nombre de la actividad"&amp;" · ","")&amp;IF(AND($V191="Sub",N($U191)=0),"Subactividad sin macroactividad arriba"&amp;" · ","")&amp;IF($AM191="","Sin fecha de inicio"&amp;" · ","")&amp;IF($AN191="","Sin fecha límite"&amp;" · ","")&amp;IF(AND(LEFT($C191,11)="[Jefatura] ",N($AL191)=0),"No se encuentra en la hoja de la jefatura (elíjala de nuevo en la lista)"&amp;" · ","")&amp;IF(OR(AND($E191&lt;&gt;"",NOT(ISNUMBER($E191))),AND($F191&lt;&gt;"",NOT(ISNUMBER($F191))),AND($G191&lt;&gt;"",NOT(ISNUMBER($G191)))),"Fecha no válida"&amp;" · ","")&amp;IF(AND(ISNUMBER($AM191),ISNUMBER($AN191),$AM191&gt;$AN191),"Inicio posterior a fecha límite"&amp;" · ","")&amp;IF(AND($V191="Macro",$H191&lt;&gt;"",OR(NOT(ISNUMBER($H191)),$H191&lt;0,$H191&gt;1)),"Peso fuera de rango"&amp;" · ","")&amp;IF(AND($V191="Sub",$H191&lt;&gt;""),"Las subactividades no llevan peso (valen igual dentro de su macroactividad)"&amp;" · ","")&amp;IF(AND(N($W191)&gt;0,COUNT($I191:$L191)&gt;0),"Con subactividades: deje vacías las semanas (se calculan solas)"&amp;" · ","")&amp;IF((COUNTIF($I191:$L191,"&gt;1")+COUNTIF($I191:$L191,"&lt;0")+COUNTA($I191:$L191)-COUNT($I191:$L191))&gt;0,"Avance fuera de rango 0-100%"&amp;" · ","")&amp;IF(OR(AND($J191&lt;&gt;"",$J191&lt;$I191),AND($K191&lt;&gt;"",$K191&lt;MAX($I191:$J191)),AND($L191&lt;&gt;"",$L191&lt;MAX($I191:$K191))),"Avance semanal decreciente"&amp;" · ","")&amp;IF(AND(ISNUMBER($AN191),$AN191&lt;FechaRef,IF($V191="Sub",N($X191),N($M191))&lt;1),"Vencida"&amp;" · ","")&amp;IF(AND(ObsObligatoria="Sí",ISNUMBER($AN191),$AN191&lt;FechaRef,IF($V191="Sub",N($X191),N($M191))&lt;1,$Q191=""),"Vencida sin observación"&amp;" · ",""),LEN(IF($C191="","Falta el nombre de la actividad"&amp;" · ","")&amp;IF(AND($V191="Sub",N($U191)=0),"Subactividad sin macroactividad arriba"&amp;" · ","")&amp;IF($AM191="","Sin fecha de inicio"&amp;" · ","")&amp;IF($AN191="","Sin fecha límite"&amp;" · ","")&amp;IF(AND(LEFT($C191,11)="[Jefatura] ",N($AL191)=0),"No se encuentra en la hoja de la jefatura (elíjala de nuevo en la lista)"&amp;" · ","")&amp;IF(OR(AND($E191&lt;&gt;"",NOT(ISNUMBER($E191))),AND($F191&lt;&gt;"",NOT(ISNUMBER($F191))),AND($G191&lt;&gt;"",NOT(ISNUMBER($G191)))),"Fecha no válida"&amp;" · ","")&amp;IF(AND(ISNUMBER($AM191),ISNUMBER($AN191),$AM191&gt;$AN191),"Inicio posterior a fecha límite"&amp;" · ","")&amp;IF(AND($V191="Macro",$H191&lt;&gt;"",OR(NOT(ISNUMBER($H191)),$H191&lt;0,$H191&gt;1)),"Peso fuera de rango"&amp;" · ","")&amp;IF(AND($V191="Sub",$H191&lt;&gt;""),"Las subactividades no llevan peso (valen igual dentro de su macroactividad)"&amp;" · ","")&amp;IF(AND(N($W191)&gt;0,COUNT($I191:$L191)&gt;0),"Con subactividades: deje vacías las semanas (se calculan solas)"&amp;" · ","")&amp;IF((COUNTIF($I191:$L191,"&gt;1")+COUNTIF($I191:$L191,"&lt;0")+COUNTA($I191:$L191)-COUNT($I191:$L191))&gt;0,"Avance fuera de rango 0-100%"&amp;" · ","")&amp;IF(OR(AND($J191&lt;&gt;"",$J191&lt;$I191),AND($K191&lt;&gt;"",$K191&lt;MAX($I191:$J191)),AND($L191&lt;&gt;"",$L191&lt;MAX($I191:$K191))),"Avance semanal decreciente"&amp;" · ","")&amp;IF(AND(ISNUMBER($AN191),$AN191&lt;FechaRef,IF($V191="Sub",N($X191),N($M191))&lt;1),"Vencida"&amp;" · ","")&amp;IF(AND(ObsObligatoria="Sí",ISNUMBER($AN191),$AN191&lt;FechaRef,IF($V191="Sub",N($X191),N($M191))&lt;1,$Q191=""),"Vencida sin observación"&amp;" · ",""))-3)))</f>
        <v/>
      </c>
      <c r="S191" s="64">
        <f>IF(NOT((COUNTA($B191:$D191)+COUNTA($G191:$L191)+COUNTA($Q191))&gt;0),"",IF(AND($V191="Sub",N($U191)&gt;0),IF(ISNUMBER(INDEX($AM$5:$AM$1000,$U191-4)),DATE(YEAR(INDEX($AM$5:$AM$1000,$U191-4)),MONTH(INDEX($AM$5:$AM$1000,$U191-4)),1),IF(ISNUMBER(INDEX($AN$5:$AN$1000,$U191-4)),DATE(YEAR(INDEX($AN$5:$AN$1000,$U191-4)),MONTH(INDEX($AN$5:$AN$1000,$U191-4)),1),MesCiclo)),IF(ISNUMBER($AM191),DATE(YEAR($AM191),MONTH($AM191),1),IF(ISNUMBER($AN191),DATE(YEAR($AN191),MONTH($AN191),1),MesCiclo))))</f>
        <v/>
      </c>
      <c r="T191" s="62">
        <f>IF(OR($S191="",$S191&lt;&gt;MesCiclo,$V191&lt;&gt;"Macro"),"",COUNTIFS($S$5:$S191,MesCiclo,$V$5:$V191,"Macro"))</f>
        <v/>
      </c>
      <c r="U191" s="62">
        <f>IF($V191="","",IF($V191="Macro",ROW(),IFERROR(LOOKUP(2,1/($V$5:$V191="Macro"),ROW($V$5:$V191)),0)))</f>
        <v/>
      </c>
      <c r="V191" s="62">
        <f>IF(NOT((COUNTA($B191:$D191)+COUNTA($G191:$L191)+COUNTA($Q191))&gt;0),"",IF($B191="Subactividad","Sub","Macro"))</f>
        <v/>
      </c>
      <c r="W191" s="62">
        <f>IF($V191="Macro",COUNTIFS($U$5:$U$1000,ROW(),$V$5:$V$1000,"Sub"),"")</f>
        <v/>
      </c>
      <c r="X191" s="62">
        <f>IF($V191="","",IF(ISNUMBER($G191),1,IFERROR(LOOKUP(2,1/($I191:$L191&lt;&gt;""),$I191:$L191),0)))</f>
        <v/>
      </c>
      <c r="Y191" s="62">
        <f>IF($V191="","",IF(AND(ISNUMBER($G191),$G191&lt;=IF($S191=MesCiclo,InicioCiclo,$S191+MOD(2-WEEKDAY($S191),7))+6),1,IF(ISNUMBER($I191),$I191,0)))</f>
        <v/>
      </c>
      <c r="Z191" s="62">
        <f>IF($V191="","",IF(AND(ISNUMBER($G191),$G191&lt;=IF($S191=MesCiclo,InicioCiclo,$S191+MOD(2-WEEKDAY($S191),7))+13),1,IF(ISNUMBER($J191),$J191,$Y191)))</f>
        <v/>
      </c>
      <c r="AA191" s="62">
        <f>IF($V191="","",IF(AND(ISNUMBER($G191),$G191&lt;=IF($S191=MesCiclo,InicioCiclo,$S191+MOD(2-WEEKDAY($S191),7))+20),1,IF(ISNUMBER($K191),$K191,$Z191)))</f>
        <v/>
      </c>
      <c r="AB191" s="62">
        <f>IF($V191="","",IF(AND(ISNUMBER($G191),$G191&lt;=IF($S191=MesCiclo,InicioCiclo,$S191+MOD(2-WEEKDAY($S191),7))+27),1,IF(ISNUMBER($L191),$L191,$AA191)))</f>
        <v/>
      </c>
      <c r="AC191" s="62">
        <f>IF($V191="","",IF(AND(ISNUMBER($G191),$G191&lt;=IF($S191=MesCiclo,InicioCiclo,$S191+MOD(2-WEEKDAY($S191),7))+6),1,IF(N($W191)&gt;0,AVERAGEIFS($Y$5:$Y$1000,$U$5:$U$1000,ROW(),$V$5:$V$1000,"Sub"),$Y191)))</f>
        <v/>
      </c>
      <c r="AD191" s="62">
        <f>IF($V191="","",IF(AND(ISNUMBER($G191),$G191&lt;=IF($S191=MesCiclo,InicioCiclo,$S191+MOD(2-WEEKDAY($S191),7))+13),1,IF(N($W191)&gt;0,AVERAGEIFS($Z$5:$Z$1000,$U$5:$U$1000,ROW(),$V$5:$V$1000,"Sub"),$Z191)))</f>
        <v/>
      </c>
      <c r="AE191" s="62">
        <f>IF($V191="","",IF(AND(ISNUMBER($G191),$G191&lt;=IF($S191=MesCiclo,InicioCiclo,$S191+MOD(2-WEEKDAY($S191),7))+20),1,IF(N($W191)&gt;0,AVERAGEIFS($AA$5:$AA$1000,$U$5:$U$1000,ROW(),$V$5:$V$1000,"Sub"),$AA191)))</f>
        <v/>
      </c>
      <c r="AF191" s="62">
        <f>IF($V191="","",IF(AND(ISNUMBER($G191),$G191&lt;=IF($S191=MesCiclo,InicioCiclo,$S191+MOD(2-WEEKDAY($S191),7))+27),1,IF(N($W191)&gt;0,AVERAGEIFS($AB$5:$AB$1000,$U$5:$U$1000,ROW(),$V$5:$V$1000,"Sub"),$AB191)))</f>
        <v/>
      </c>
      <c r="AG191" s="62">
        <f>IF($V191&lt;&gt;"Macro","",IF(COUNTIFS($S$5:$S$1000,$S191,$V$5:$V$1000,"Macro",$H$5:$H$1000,"&gt;0")=0,1/COUNTIFS($S$5:$S$1000,$S191,$V$5:$V$1000,"Macro"),IF(AND(ISNUMBER($H191),N($H191)&gt;0),$H191,SUMIFS($H$5:$H$1000,$S$5:$S$1000,$S191,$V$5:$V$1000,"Macro")/COUNTIFS($S$5:$S$1000,$S191,$V$5:$V$1000,"Macro",$H$5:$H$1000,"&gt;0"))/(COUNTIFS($S$5:$S$1000,$S191,$V$5:$V$1000,"Macro")*SUMIFS($H$5:$H$1000,$S$5:$S$1000,$S191,$V$5:$V$1000,"Macro")/COUNTIFS($S$5:$S$1000,$S191,$V$5:$V$1000,"Macro",$H$5:$H$1000,"&gt;0"))))</f>
        <v/>
      </c>
      <c r="AH191" s="62" t="n"/>
      <c r="AI191" s="62" t="n"/>
      <c r="AJ191" s="62" t="n"/>
      <c r="AK191" s="62" t="n"/>
      <c r="AL191" s="62">
        <f>IF(LEFT($C191,11)="[Jefatura] ",IFERROR(MATCH("Riesgo Operacional|"&amp;MID($C191,12,500),rDname_ADM,0),0),"")</f>
        <v/>
      </c>
      <c r="AM191" s="62">
        <f>IF(N($AL191)&gt;0,INDEX(rIni_ADM,$AL191),IF(ISNUMBER($E191),$E191,""))</f>
        <v/>
      </c>
      <c r="AN191" s="62">
        <f>IF(N($AL191)&gt;0,INDEX(rLim_ADM,$AL191),IF(ISNUMBER($F191),$F191,""))</f>
        <v/>
      </c>
    </row>
    <row r="192">
      <c r="A192" s="56">
        <f>IF(NOT((COUNTA($B192:$D192)+COUNTA($G192:$L192)+COUNTA($Q192))&gt;0),"",IF($V192="Macro",COUNTIFS($V$5:$V192,"Macro",$S$5:$S192,$S192),IF(N($U192)=0,"?",COUNTIFS(INDEX($V$5:$V$1000,1):INDEX($V$5:$V$1000,$U192-4),"Macro",INDEX($S$5:$S$1000,1):INDEX($S$5:$S$1000,$U192-4),INDEX($S$5:$S$1000,$U192-4))&amp;"."&amp;COUNTIFS($U$5:$U192,$U192,$V$5:$V192,"Sub"))))</f>
        <v/>
      </c>
      <c r="B192" s="57" t="n"/>
      <c r="C192" s="58" t="n"/>
      <c r="D192" s="58" t="n"/>
      <c r="E192" s="59">
        <f>IF(N($AL192)&gt;0,INDEX(rIni_ADM,$AL192),"")</f>
        <v/>
      </c>
      <c r="F192" s="59">
        <f>IF(N($AL192)&gt;0,INDEX(rLim_ADM,$AL192),"")</f>
        <v/>
      </c>
      <c r="G192" s="59" t="n"/>
      <c r="H192" s="60" t="n"/>
      <c r="I192" s="60" t="n"/>
      <c r="J192" s="60" t="n"/>
      <c r="K192" s="60" t="n"/>
      <c r="L192" s="60" t="n"/>
      <c r="M192" s="61">
        <f>IF(NOT((COUNTA($B192:$D192)+COUNTA($G192:$L192)+COUNTA($Q192))&gt;0),"",IF($V192="Sub",IFERROR($X192/INDEX($W$5:$W$1000,$U192-4),""),IF(ISNUMBER($G192),1,IF(N($W192)&gt;0,AVERAGEIFS($X$5:$X$1000,$U$5:$U$1000,ROW(),$V$5:$V$1000,"Sub"),$X192))))</f>
        <v/>
      </c>
      <c r="N192" s="56">
        <f>IF(OR($M192="",$V192="Sub"),"",IF($M192&gt;=1,"Completado",IF($M192&gt;0,"En curso","Pendiente")))</f>
        <v/>
      </c>
      <c r="O192" s="56">
        <f>IF(OR(NOT((COUNTA($B192:$D192)+COUNTA($G192:$L192)+COUNTA($Q192))&gt;0),$V192="Sub"),"",IF(ISNUMBER($G192),IF(AND(ISNUMBER($AN192),$G192&gt;$AN192),"Cumplida con "&amp;($G192-$AN192)&amp;IF($G192-$AN192=1," día"," días")&amp;" de retraso","Cumplida"),IF(N($M192)&gt;=1,"Cumplida",IF(NOT(ISNUMBER($AN192)),"Sin fecha límite",IF($AN192&lt;FechaRef,"Vencida hace "&amp;(FechaRef-$AN192)&amp;IF(FechaRef-$AN192=1," día"," días"),IF($AN192=FechaRef,"Vence hoy",IF($AN192-FechaRef&lt;=DiasAlerta,"Vence en "&amp;($AN192-FechaRef)&amp;IF($AN192-FechaRef=1," día"," días"),"En plazo")))))))</f>
        <v/>
      </c>
      <c r="P192" s="62" t="n"/>
      <c r="Q192" s="58" t="n"/>
      <c r="R192" s="63">
        <f>IF(NOT((COUNTA($B192:$D192)+COUNTA($G192:$L192)+COUNTA($Q192))&gt;0),"",IF((IF($C192="","Falta el nombre de la actividad"&amp;" · ","")&amp;IF(AND($V192="Sub",N($U192)=0),"Subactividad sin macroactividad arriba"&amp;" · ","")&amp;IF($AM192="","Sin fecha de inicio"&amp;" · ","")&amp;IF($AN192="","Sin fecha límite"&amp;" · ","")&amp;IF(AND(LEFT($C192,11)="[Jefatura] ",N($AL192)=0),"No se encuentra en la hoja de la jefatura (elíjala de nuevo en la lista)"&amp;" · ","")&amp;IF(OR(AND($E192&lt;&gt;"",NOT(ISNUMBER($E192))),AND($F192&lt;&gt;"",NOT(ISNUMBER($F192))),AND($G192&lt;&gt;"",NOT(ISNUMBER($G192)))),"Fecha no válida"&amp;" · ","")&amp;IF(AND(ISNUMBER($AM192),ISNUMBER($AN192),$AM192&gt;$AN192),"Inicio posterior a fecha límite"&amp;" · ","")&amp;IF(AND($V192="Macro",$H192&lt;&gt;"",OR(NOT(ISNUMBER($H192)),$H192&lt;0,$H192&gt;1)),"Peso fuera de rango"&amp;" · ","")&amp;IF(AND($V192="Sub",$H192&lt;&gt;""),"Las subactividades no llevan peso (valen igual dentro de su macroactividad)"&amp;" · ","")&amp;IF(AND(N($W192)&gt;0,COUNT($I192:$L192)&gt;0),"Con subactividades: deje vacías las semanas (se calculan solas)"&amp;" · ","")&amp;IF((COUNTIF($I192:$L192,"&gt;1")+COUNTIF($I192:$L192,"&lt;0")+COUNTA($I192:$L192)-COUNT($I192:$L192))&gt;0,"Avance fuera de rango 0-100%"&amp;" · ","")&amp;IF(OR(AND($J192&lt;&gt;"",$J192&lt;$I192),AND($K192&lt;&gt;"",$K192&lt;MAX($I192:$J192)),AND($L192&lt;&gt;"",$L192&lt;MAX($I192:$K192))),"Avance semanal decreciente"&amp;" · ","")&amp;IF(AND(ISNUMBER($AN192),$AN192&lt;FechaRef,IF($V192="Sub",N($X192),N($M192))&lt;1),"Vencida"&amp;" · ","")&amp;IF(AND(ObsObligatoria="Sí",ISNUMBER($AN192),$AN192&lt;FechaRef,IF($V192="Sub",N($X192),N($M192))&lt;1,$Q192=""),"Vencida sin observación"&amp;" · ",""))="","✔ OK","⚠ "&amp;LEFT(IF($C192="","Falta el nombre de la actividad"&amp;" · ","")&amp;IF(AND($V192="Sub",N($U192)=0),"Subactividad sin macroactividad arriba"&amp;" · ","")&amp;IF($AM192="","Sin fecha de inicio"&amp;" · ","")&amp;IF($AN192="","Sin fecha límite"&amp;" · ","")&amp;IF(AND(LEFT($C192,11)="[Jefatura] ",N($AL192)=0),"No se encuentra en la hoja de la jefatura (elíjala de nuevo en la lista)"&amp;" · ","")&amp;IF(OR(AND($E192&lt;&gt;"",NOT(ISNUMBER($E192))),AND($F192&lt;&gt;"",NOT(ISNUMBER($F192))),AND($G192&lt;&gt;"",NOT(ISNUMBER($G192)))),"Fecha no válida"&amp;" · ","")&amp;IF(AND(ISNUMBER($AM192),ISNUMBER($AN192),$AM192&gt;$AN192),"Inicio posterior a fecha límite"&amp;" · ","")&amp;IF(AND($V192="Macro",$H192&lt;&gt;"",OR(NOT(ISNUMBER($H192)),$H192&lt;0,$H192&gt;1)),"Peso fuera de rango"&amp;" · ","")&amp;IF(AND($V192="Sub",$H192&lt;&gt;""),"Las subactividades no llevan peso (valen igual dentro de su macroactividad)"&amp;" · ","")&amp;IF(AND(N($W192)&gt;0,COUNT($I192:$L192)&gt;0),"Con subactividades: deje vacías las semanas (se calculan solas)"&amp;" · ","")&amp;IF((COUNTIF($I192:$L192,"&gt;1")+COUNTIF($I192:$L192,"&lt;0")+COUNTA($I192:$L192)-COUNT($I192:$L192))&gt;0,"Avance fuera de rango 0-100%"&amp;" · ","")&amp;IF(OR(AND($J192&lt;&gt;"",$J192&lt;$I192),AND($K192&lt;&gt;"",$K192&lt;MAX($I192:$J192)),AND($L192&lt;&gt;"",$L192&lt;MAX($I192:$K192))),"Avance semanal decreciente"&amp;" · ","")&amp;IF(AND(ISNUMBER($AN192),$AN192&lt;FechaRef,IF($V192="Sub",N($X192),N($M192))&lt;1),"Vencida"&amp;" · ","")&amp;IF(AND(ObsObligatoria="Sí",ISNUMBER($AN192),$AN192&lt;FechaRef,IF($V192="Sub",N($X192),N($M192))&lt;1,$Q192=""),"Vencida sin observación"&amp;" · ",""),LEN(IF($C192="","Falta el nombre de la actividad"&amp;" · ","")&amp;IF(AND($V192="Sub",N($U192)=0),"Subactividad sin macroactividad arriba"&amp;" · ","")&amp;IF($AM192="","Sin fecha de inicio"&amp;" · ","")&amp;IF($AN192="","Sin fecha límite"&amp;" · ","")&amp;IF(AND(LEFT($C192,11)="[Jefatura] ",N($AL192)=0),"No se encuentra en la hoja de la jefatura (elíjala de nuevo en la lista)"&amp;" · ","")&amp;IF(OR(AND($E192&lt;&gt;"",NOT(ISNUMBER($E192))),AND($F192&lt;&gt;"",NOT(ISNUMBER($F192))),AND($G192&lt;&gt;"",NOT(ISNUMBER($G192)))),"Fecha no válida"&amp;" · ","")&amp;IF(AND(ISNUMBER($AM192),ISNUMBER($AN192),$AM192&gt;$AN192),"Inicio posterior a fecha límite"&amp;" · ","")&amp;IF(AND($V192="Macro",$H192&lt;&gt;"",OR(NOT(ISNUMBER($H192)),$H192&lt;0,$H192&gt;1)),"Peso fuera de rango"&amp;" · ","")&amp;IF(AND($V192="Sub",$H192&lt;&gt;""),"Las subactividades no llevan peso (valen igual dentro de su macroactividad)"&amp;" · ","")&amp;IF(AND(N($W192)&gt;0,COUNT($I192:$L192)&gt;0),"Con subactividades: deje vacías las semanas (se calculan solas)"&amp;" · ","")&amp;IF((COUNTIF($I192:$L192,"&gt;1")+COUNTIF($I192:$L192,"&lt;0")+COUNTA($I192:$L192)-COUNT($I192:$L192))&gt;0,"Avance fuera de rango 0-100%"&amp;" · ","")&amp;IF(OR(AND($J192&lt;&gt;"",$J192&lt;$I192),AND($K192&lt;&gt;"",$K192&lt;MAX($I192:$J192)),AND($L192&lt;&gt;"",$L192&lt;MAX($I192:$K192))),"Avance semanal decreciente"&amp;" · ","")&amp;IF(AND(ISNUMBER($AN192),$AN192&lt;FechaRef,IF($V192="Sub",N($X192),N($M192))&lt;1),"Vencida"&amp;" · ","")&amp;IF(AND(ObsObligatoria="Sí",ISNUMBER($AN192),$AN192&lt;FechaRef,IF($V192="Sub",N($X192),N($M192))&lt;1,$Q192=""),"Vencida sin observación"&amp;" · ",""))-3)))</f>
        <v/>
      </c>
      <c r="S192" s="64">
        <f>IF(NOT((COUNTA($B192:$D192)+COUNTA($G192:$L192)+COUNTA($Q192))&gt;0),"",IF(AND($V192="Sub",N($U192)&gt;0),IF(ISNUMBER(INDEX($AM$5:$AM$1000,$U192-4)),DATE(YEAR(INDEX($AM$5:$AM$1000,$U192-4)),MONTH(INDEX($AM$5:$AM$1000,$U192-4)),1),IF(ISNUMBER(INDEX($AN$5:$AN$1000,$U192-4)),DATE(YEAR(INDEX($AN$5:$AN$1000,$U192-4)),MONTH(INDEX($AN$5:$AN$1000,$U192-4)),1),MesCiclo)),IF(ISNUMBER($AM192),DATE(YEAR($AM192),MONTH($AM192),1),IF(ISNUMBER($AN192),DATE(YEAR($AN192),MONTH($AN192),1),MesCiclo))))</f>
        <v/>
      </c>
      <c r="T192" s="62">
        <f>IF(OR($S192="",$S192&lt;&gt;MesCiclo,$V192&lt;&gt;"Macro"),"",COUNTIFS($S$5:$S192,MesCiclo,$V$5:$V192,"Macro"))</f>
        <v/>
      </c>
      <c r="U192" s="62">
        <f>IF($V192="","",IF($V192="Macro",ROW(),IFERROR(LOOKUP(2,1/($V$5:$V192="Macro"),ROW($V$5:$V192)),0)))</f>
        <v/>
      </c>
      <c r="V192" s="62">
        <f>IF(NOT((COUNTA($B192:$D192)+COUNTA($G192:$L192)+COUNTA($Q192))&gt;0),"",IF($B192="Subactividad","Sub","Macro"))</f>
        <v/>
      </c>
      <c r="W192" s="62">
        <f>IF($V192="Macro",COUNTIFS($U$5:$U$1000,ROW(),$V$5:$V$1000,"Sub"),"")</f>
        <v/>
      </c>
      <c r="X192" s="62">
        <f>IF($V192="","",IF(ISNUMBER($G192),1,IFERROR(LOOKUP(2,1/($I192:$L192&lt;&gt;""),$I192:$L192),0)))</f>
        <v/>
      </c>
      <c r="Y192" s="62">
        <f>IF($V192="","",IF(AND(ISNUMBER($G192),$G192&lt;=IF($S192=MesCiclo,InicioCiclo,$S192+MOD(2-WEEKDAY($S192),7))+6),1,IF(ISNUMBER($I192),$I192,0)))</f>
        <v/>
      </c>
      <c r="Z192" s="62">
        <f>IF($V192="","",IF(AND(ISNUMBER($G192),$G192&lt;=IF($S192=MesCiclo,InicioCiclo,$S192+MOD(2-WEEKDAY($S192),7))+13),1,IF(ISNUMBER($J192),$J192,$Y192)))</f>
        <v/>
      </c>
      <c r="AA192" s="62">
        <f>IF($V192="","",IF(AND(ISNUMBER($G192),$G192&lt;=IF($S192=MesCiclo,InicioCiclo,$S192+MOD(2-WEEKDAY($S192),7))+20),1,IF(ISNUMBER($K192),$K192,$Z192)))</f>
        <v/>
      </c>
      <c r="AB192" s="62">
        <f>IF($V192="","",IF(AND(ISNUMBER($G192),$G192&lt;=IF($S192=MesCiclo,InicioCiclo,$S192+MOD(2-WEEKDAY($S192),7))+27),1,IF(ISNUMBER($L192),$L192,$AA192)))</f>
        <v/>
      </c>
      <c r="AC192" s="62">
        <f>IF($V192="","",IF(AND(ISNUMBER($G192),$G192&lt;=IF($S192=MesCiclo,InicioCiclo,$S192+MOD(2-WEEKDAY($S192),7))+6),1,IF(N($W192)&gt;0,AVERAGEIFS($Y$5:$Y$1000,$U$5:$U$1000,ROW(),$V$5:$V$1000,"Sub"),$Y192)))</f>
        <v/>
      </c>
      <c r="AD192" s="62">
        <f>IF($V192="","",IF(AND(ISNUMBER($G192),$G192&lt;=IF($S192=MesCiclo,InicioCiclo,$S192+MOD(2-WEEKDAY($S192),7))+13),1,IF(N($W192)&gt;0,AVERAGEIFS($Z$5:$Z$1000,$U$5:$U$1000,ROW(),$V$5:$V$1000,"Sub"),$Z192)))</f>
        <v/>
      </c>
      <c r="AE192" s="62">
        <f>IF($V192="","",IF(AND(ISNUMBER($G192),$G192&lt;=IF($S192=MesCiclo,InicioCiclo,$S192+MOD(2-WEEKDAY($S192),7))+20),1,IF(N($W192)&gt;0,AVERAGEIFS($AA$5:$AA$1000,$U$5:$U$1000,ROW(),$V$5:$V$1000,"Sub"),$AA192)))</f>
        <v/>
      </c>
      <c r="AF192" s="62">
        <f>IF($V192="","",IF(AND(ISNUMBER($G192),$G192&lt;=IF($S192=MesCiclo,InicioCiclo,$S192+MOD(2-WEEKDAY($S192),7))+27),1,IF(N($W192)&gt;0,AVERAGEIFS($AB$5:$AB$1000,$U$5:$U$1000,ROW(),$V$5:$V$1000,"Sub"),$AB192)))</f>
        <v/>
      </c>
      <c r="AG192" s="62">
        <f>IF($V192&lt;&gt;"Macro","",IF(COUNTIFS($S$5:$S$1000,$S192,$V$5:$V$1000,"Macro",$H$5:$H$1000,"&gt;0")=0,1/COUNTIFS($S$5:$S$1000,$S192,$V$5:$V$1000,"Macro"),IF(AND(ISNUMBER($H192),N($H192)&gt;0),$H192,SUMIFS($H$5:$H$1000,$S$5:$S$1000,$S192,$V$5:$V$1000,"Macro")/COUNTIFS($S$5:$S$1000,$S192,$V$5:$V$1000,"Macro",$H$5:$H$1000,"&gt;0"))/(COUNTIFS($S$5:$S$1000,$S192,$V$5:$V$1000,"Macro")*SUMIFS($H$5:$H$1000,$S$5:$S$1000,$S192,$V$5:$V$1000,"Macro")/COUNTIFS($S$5:$S$1000,$S192,$V$5:$V$1000,"Macro",$H$5:$H$1000,"&gt;0"))))</f>
        <v/>
      </c>
      <c r="AH192" s="62" t="n"/>
      <c r="AI192" s="62" t="n"/>
      <c r="AJ192" s="62" t="n"/>
      <c r="AK192" s="62" t="n"/>
      <c r="AL192" s="62">
        <f>IF(LEFT($C192,11)="[Jefatura] ",IFERROR(MATCH("Riesgo Operacional|"&amp;MID($C192,12,500),rDname_ADM,0),0),"")</f>
        <v/>
      </c>
      <c r="AM192" s="62">
        <f>IF(N($AL192)&gt;0,INDEX(rIni_ADM,$AL192),IF(ISNUMBER($E192),$E192,""))</f>
        <v/>
      </c>
      <c r="AN192" s="62">
        <f>IF(N($AL192)&gt;0,INDEX(rLim_ADM,$AL192),IF(ISNUMBER($F192),$F192,""))</f>
        <v/>
      </c>
    </row>
    <row r="193">
      <c r="A193" s="56">
        <f>IF(NOT((COUNTA($B193:$D193)+COUNTA($G193:$L193)+COUNTA($Q193))&gt;0),"",IF($V193="Macro",COUNTIFS($V$5:$V193,"Macro",$S$5:$S193,$S193),IF(N($U193)=0,"?",COUNTIFS(INDEX($V$5:$V$1000,1):INDEX($V$5:$V$1000,$U193-4),"Macro",INDEX($S$5:$S$1000,1):INDEX($S$5:$S$1000,$U193-4),INDEX($S$5:$S$1000,$U193-4))&amp;"."&amp;COUNTIFS($U$5:$U193,$U193,$V$5:$V193,"Sub"))))</f>
        <v/>
      </c>
      <c r="B193" s="57" t="n"/>
      <c r="C193" s="58" t="n"/>
      <c r="D193" s="58" t="n"/>
      <c r="E193" s="59">
        <f>IF(N($AL193)&gt;0,INDEX(rIni_ADM,$AL193),"")</f>
        <v/>
      </c>
      <c r="F193" s="59">
        <f>IF(N($AL193)&gt;0,INDEX(rLim_ADM,$AL193),"")</f>
        <v/>
      </c>
      <c r="G193" s="59" t="n"/>
      <c r="H193" s="60" t="n"/>
      <c r="I193" s="60" t="n"/>
      <c r="J193" s="60" t="n"/>
      <c r="K193" s="60" t="n"/>
      <c r="L193" s="60" t="n"/>
      <c r="M193" s="61">
        <f>IF(NOT((COUNTA($B193:$D193)+COUNTA($G193:$L193)+COUNTA($Q193))&gt;0),"",IF($V193="Sub",IFERROR($X193/INDEX($W$5:$W$1000,$U193-4),""),IF(ISNUMBER($G193),1,IF(N($W193)&gt;0,AVERAGEIFS($X$5:$X$1000,$U$5:$U$1000,ROW(),$V$5:$V$1000,"Sub"),$X193))))</f>
        <v/>
      </c>
      <c r="N193" s="56">
        <f>IF(OR($M193="",$V193="Sub"),"",IF($M193&gt;=1,"Completado",IF($M193&gt;0,"En curso","Pendiente")))</f>
        <v/>
      </c>
      <c r="O193" s="56">
        <f>IF(OR(NOT((COUNTA($B193:$D193)+COUNTA($G193:$L193)+COUNTA($Q193))&gt;0),$V193="Sub"),"",IF(ISNUMBER($G193),IF(AND(ISNUMBER($AN193),$G193&gt;$AN193),"Cumplida con "&amp;($G193-$AN193)&amp;IF($G193-$AN193=1," día"," días")&amp;" de retraso","Cumplida"),IF(N($M193)&gt;=1,"Cumplida",IF(NOT(ISNUMBER($AN193)),"Sin fecha límite",IF($AN193&lt;FechaRef,"Vencida hace "&amp;(FechaRef-$AN193)&amp;IF(FechaRef-$AN193=1," día"," días"),IF($AN193=FechaRef,"Vence hoy",IF($AN193-FechaRef&lt;=DiasAlerta,"Vence en "&amp;($AN193-FechaRef)&amp;IF($AN193-FechaRef=1," día"," días"),"En plazo")))))))</f>
        <v/>
      </c>
      <c r="P193" s="62" t="n"/>
      <c r="Q193" s="58" t="n"/>
      <c r="R193" s="63">
        <f>IF(NOT((COUNTA($B193:$D193)+COUNTA($G193:$L193)+COUNTA($Q193))&gt;0),"",IF((IF($C193="","Falta el nombre de la actividad"&amp;" · ","")&amp;IF(AND($V193="Sub",N($U193)=0),"Subactividad sin macroactividad arriba"&amp;" · ","")&amp;IF($AM193="","Sin fecha de inicio"&amp;" · ","")&amp;IF($AN193="","Sin fecha límite"&amp;" · ","")&amp;IF(AND(LEFT($C193,11)="[Jefatura] ",N($AL193)=0),"No se encuentra en la hoja de la jefatura (elíjala de nuevo en la lista)"&amp;" · ","")&amp;IF(OR(AND($E193&lt;&gt;"",NOT(ISNUMBER($E193))),AND($F193&lt;&gt;"",NOT(ISNUMBER($F193))),AND($G193&lt;&gt;"",NOT(ISNUMBER($G193)))),"Fecha no válida"&amp;" · ","")&amp;IF(AND(ISNUMBER($AM193),ISNUMBER($AN193),$AM193&gt;$AN193),"Inicio posterior a fecha límite"&amp;" · ","")&amp;IF(AND($V193="Macro",$H193&lt;&gt;"",OR(NOT(ISNUMBER($H193)),$H193&lt;0,$H193&gt;1)),"Peso fuera de rango"&amp;" · ","")&amp;IF(AND($V193="Sub",$H193&lt;&gt;""),"Las subactividades no llevan peso (valen igual dentro de su macroactividad)"&amp;" · ","")&amp;IF(AND(N($W193)&gt;0,COUNT($I193:$L193)&gt;0),"Con subactividades: deje vacías las semanas (se calculan solas)"&amp;" · ","")&amp;IF((COUNTIF($I193:$L193,"&gt;1")+COUNTIF($I193:$L193,"&lt;0")+COUNTA($I193:$L193)-COUNT($I193:$L193))&gt;0,"Avance fuera de rango 0-100%"&amp;" · ","")&amp;IF(OR(AND($J193&lt;&gt;"",$J193&lt;$I193),AND($K193&lt;&gt;"",$K193&lt;MAX($I193:$J193)),AND($L193&lt;&gt;"",$L193&lt;MAX($I193:$K193))),"Avance semanal decreciente"&amp;" · ","")&amp;IF(AND(ISNUMBER($AN193),$AN193&lt;FechaRef,IF($V193="Sub",N($X193),N($M193))&lt;1),"Vencida"&amp;" · ","")&amp;IF(AND(ObsObligatoria="Sí",ISNUMBER($AN193),$AN193&lt;FechaRef,IF($V193="Sub",N($X193),N($M193))&lt;1,$Q193=""),"Vencida sin observación"&amp;" · ",""))="","✔ OK","⚠ "&amp;LEFT(IF($C193="","Falta el nombre de la actividad"&amp;" · ","")&amp;IF(AND($V193="Sub",N($U193)=0),"Subactividad sin macroactividad arriba"&amp;" · ","")&amp;IF($AM193="","Sin fecha de inicio"&amp;" · ","")&amp;IF($AN193="","Sin fecha límite"&amp;" · ","")&amp;IF(AND(LEFT($C193,11)="[Jefatura] ",N($AL193)=0),"No se encuentra en la hoja de la jefatura (elíjala de nuevo en la lista)"&amp;" · ","")&amp;IF(OR(AND($E193&lt;&gt;"",NOT(ISNUMBER($E193))),AND($F193&lt;&gt;"",NOT(ISNUMBER($F193))),AND($G193&lt;&gt;"",NOT(ISNUMBER($G193)))),"Fecha no válida"&amp;" · ","")&amp;IF(AND(ISNUMBER($AM193),ISNUMBER($AN193),$AM193&gt;$AN193),"Inicio posterior a fecha límite"&amp;" · ","")&amp;IF(AND($V193="Macro",$H193&lt;&gt;"",OR(NOT(ISNUMBER($H193)),$H193&lt;0,$H193&gt;1)),"Peso fuera de rango"&amp;" · ","")&amp;IF(AND($V193="Sub",$H193&lt;&gt;""),"Las subactividades no llevan peso (valen igual dentro de su macroactividad)"&amp;" · ","")&amp;IF(AND(N($W193)&gt;0,COUNT($I193:$L193)&gt;0),"Con subactividades: deje vacías las semanas (se calculan solas)"&amp;" · ","")&amp;IF((COUNTIF($I193:$L193,"&gt;1")+COUNTIF($I193:$L193,"&lt;0")+COUNTA($I193:$L193)-COUNT($I193:$L193))&gt;0,"Avance fuera de rango 0-100%"&amp;" · ","")&amp;IF(OR(AND($J193&lt;&gt;"",$J193&lt;$I193),AND($K193&lt;&gt;"",$K193&lt;MAX($I193:$J193)),AND($L193&lt;&gt;"",$L193&lt;MAX($I193:$K193))),"Avance semanal decreciente"&amp;" · ","")&amp;IF(AND(ISNUMBER($AN193),$AN193&lt;FechaRef,IF($V193="Sub",N($X193),N($M193))&lt;1),"Vencida"&amp;" · ","")&amp;IF(AND(ObsObligatoria="Sí",ISNUMBER($AN193),$AN193&lt;FechaRef,IF($V193="Sub",N($X193),N($M193))&lt;1,$Q193=""),"Vencida sin observación"&amp;" · ",""),LEN(IF($C193="","Falta el nombre de la actividad"&amp;" · ","")&amp;IF(AND($V193="Sub",N($U193)=0),"Subactividad sin macroactividad arriba"&amp;" · ","")&amp;IF($AM193="","Sin fecha de inicio"&amp;" · ","")&amp;IF($AN193="","Sin fecha límite"&amp;" · ","")&amp;IF(AND(LEFT($C193,11)="[Jefatura] ",N($AL193)=0),"No se encuentra en la hoja de la jefatura (elíjala de nuevo en la lista)"&amp;" · ","")&amp;IF(OR(AND($E193&lt;&gt;"",NOT(ISNUMBER($E193))),AND($F193&lt;&gt;"",NOT(ISNUMBER($F193))),AND($G193&lt;&gt;"",NOT(ISNUMBER($G193)))),"Fecha no válida"&amp;" · ","")&amp;IF(AND(ISNUMBER($AM193),ISNUMBER($AN193),$AM193&gt;$AN193),"Inicio posterior a fecha límite"&amp;" · ","")&amp;IF(AND($V193="Macro",$H193&lt;&gt;"",OR(NOT(ISNUMBER($H193)),$H193&lt;0,$H193&gt;1)),"Peso fuera de rango"&amp;" · ","")&amp;IF(AND($V193="Sub",$H193&lt;&gt;""),"Las subactividades no llevan peso (valen igual dentro de su macroactividad)"&amp;" · ","")&amp;IF(AND(N($W193)&gt;0,COUNT($I193:$L193)&gt;0),"Con subactividades: deje vacías las semanas (se calculan solas)"&amp;" · ","")&amp;IF((COUNTIF($I193:$L193,"&gt;1")+COUNTIF($I193:$L193,"&lt;0")+COUNTA($I193:$L193)-COUNT($I193:$L193))&gt;0,"Avance fuera de rango 0-100%"&amp;" · ","")&amp;IF(OR(AND($J193&lt;&gt;"",$J193&lt;$I193),AND($K193&lt;&gt;"",$K193&lt;MAX($I193:$J193)),AND($L193&lt;&gt;"",$L193&lt;MAX($I193:$K193))),"Avance semanal decreciente"&amp;" · ","")&amp;IF(AND(ISNUMBER($AN193),$AN193&lt;FechaRef,IF($V193="Sub",N($X193),N($M193))&lt;1),"Vencida"&amp;" · ","")&amp;IF(AND(ObsObligatoria="Sí",ISNUMBER($AN193),$AN193&lt;FechaRef,IF($V193="Sub",N($X193),N($M193))&lt;1,$Q193=""),"Vencida sin observación"&amp;" · ",""))-3)))</f>
        <v/>
      </c>
      <c r="S193" s="64">
        <f>IF(NOT((COUNTA($B193:$D193)+COUNTA($G193:$L193)+COUNTA($Q193))&gt;0),"",IF(AND($V193="Sub",N($U193)&gt;0),IF(ISNUMBER(INDEX($AM$5:$AM$1000,$U193-4)),DATE(YEAR(INDEX($AM$5:$AM$1000,$U193-4)),MONTH(INDEX($AM$5:$AM$1000,$U193-4)),1),IF(ISNUMBER(INDEX($AN$5:$AN$1000,$U193-4)),DATE(YEAR(INDEX($AN$5:$AN$1000,$U193-4)),MONTH(INDEX($AN$5:$AN$1000,$U193-4)),1),MesCiclo)),IF(ISNUMBER($AM193),DATE(YEAR($AM193),MONTH($AM193),1),IF(ISNUMBER($AN193),DATE(YEAR($AN193),MONTH($AN193),1),MesCiclo))))</f>
        <v/>
      </c>
      <c r="T193" s="62">
        <f>IF(OR($S193="",$S193&lt;&gt;MesCiclo,$V193&lt;&gt;"Macro"),"",COUNTIFS($S$5:$S193,MesCiclo,$V$5:$V193,"Macro"))</f>
        <v/>
      </c>
      <c r="U193" s="62">
        <f>IF($V193="","",IF($V193="Macro",ROW(),IFERROR(LOOKUP(2,1/($V$5:$V193="Macro"),ROW($V$5:$V193)),0)))</f>
        <v/>
      </c>
      <c r="V193" s="62">
        <f>IF(NOT((COUNTA($B193:$D193)+COUNTA($G193:$L193)+COUNTA($Q193))&gt;0),"",IF($B193="Subactividad","Sub","Macro"))</f>
        <v/>
      </c>
      <c r="W193" s="62">
        <f>IF($V193="Macro",COUNTIFS($U$5:$U$1000,ROW(),$V$5:$V$1000,"Sub"),"")</f>
        <v/>
      </c>
      <c r="X193" s="62">
        <f>IF($V193="","",IF(ISNUMBER($G193),1,IFERROR(LOOKUP(2,1/($I193:$L193&lt;&gt;""),$I193:$L193),0)))</f>
        <v/>
      </c>
      <c r="Y193" s="62">
        <f>IF($V193="","",IF(AND(ISNUMBER($G193),$G193&lt;=IF($S193=MesCiclo,InicioCiclo,$S193+MOD(2-WEEKDAY($S193),7))+6),1,IF(ISNUMBER($I193),$I193,0)))</f>
        <v/>
      </c>
      <c r="Z193" s="62">
        <f>IF($V193="","",IF(AND(ISNUMBER($G193),$G193&lt;=IF($S193=MesCiclo,InicioCiclo,$S193+MOD(2-WEEKDAY($S193),7))+13),1,IF(ISNUMBER($J193),$J193,$Y193)))</f>
        <v/>
      </c>
      <c r="AA193" s="62">
        <f>IF($V193="","",IF(AND(ISNUMBER($G193),$G193&lt;=IF($S193=MesCiclo,InicioCiclo,$S193+MOD(2-WEEKDAY($S193),7))+20),1,IF(ISNUMBER($K193),$K193,$Z193)))</f>
        <v/>
      </c>
      <c r="AB193" s="62">
        <f>IF($V193="","",IF(AND(ISNUMBER($G193),$G193&lt;=IF($S193=MesCiclo,InicioCiclo,$S193+MOD(2-WEEKDAY($S193),7))+27),1,IF(ISNUMBER($L193),$L193,$AA193)))</f>
        <v/>
      </c>
      <c r="AC193" s="62">
        <f>IF($V193="","",IF(AND(ISNUMBER($G193),$G193&lt;=IF($S193=MesCiclo,InicioCiclo,$S193+MOD(2-WEEKDAY($S193),7))+6),1,IF(N($W193)&gt;0,AVERAGEIFS($Y$5:$Y$1000,$U$5:$U$1000,ROW(),$V$5:$V$1000,"Sub"),$Y193)))</f>
        <v/>
      </c>
      <c r="AD193" s="62">
        <f>IF($V193="","",IF(AND(ISNUMBER($G193),$G193&lt;=IF($S193=MesCiclo,InicioCiclo,$S193+MOD(2-WEEKDAY($S193),7))+13),1,IF(N($W193)&gt;0,AVERAGEIFS($Z$5:$Z$1000,$U$5:$U$1000,ROW(),$V$5:$V$1000,"Sub"),$Z193)))</f>
        <v/>
      </c>
      <c r="AE193" s="62">
        <f>IF($V193="","",IF(AND(ISNUMBER($G193),$G193&lt;=IF($S193=MesCiclo,InicioCiclo,$S193+MOD(2-WEEKDAY($S193),7))+20),1,IF(N($W193)&gt;0,AVERAGEIFS($AA$5:$AA$1000,$U$5:$U$1000,ROW(),$V$5:$V$1000,"Sub"),$AA193)))</f>
        <v/>
      </c>
      <c r="AF193" s="62">
        <f>IF($V193="","",IF(AND(ISNUMBER($G193),$G193&lt;=IF($S193=MesCiclo,InicioCiclo,$S193+MOD(2-WEEKDAY($S193),7))+27),1,IF(N($W193)&gt;0,AVERAGEIFS($AB$5:$AB$1000,$U$5:$U$1000,ROW(),$V$5:$V$1000,"Sub"),$AB193)))</f>
        <v/>
      </c>
      <c r="AG193" s="62">
        <f>IF($V193&lt;&gt;"Macro","",IF(COUNTIFS($S$5:$S$1000,$S193,$V$5:$V$1000,"Macro",$H$5:$H$1000,"&gt;0")=0,1/COUNTIFS($S$5:$S$1000,$S193,$V$5:$V$1000,"Macro"),IF(AND(ISNUMBER($H193),N($H193)&gt;0),$H193,SUMIFS($H$5:$H$1000,$S$5:$S$1000,$S193,$V$5:$V$1000,"Macro")/COUNTIFS($S$5:$S$1000,$S193,$V$5:$V$1000,"Macro",$H$5:$H$1000,"&gt;0"))/(COUNTIFS($S$5:$S$1000,$S193,$V$5:$V$1000,"Macro")*SUMIFS($H$5:$H$1000,$S$5:$S$1000,$S193,$V$5:$V$1000,"Macro")/COUNTIFS($S$5:$S$1000,$S193,$V$5:$V$1000,"Macro",$H$5:$H$1000,"&gt;0"))))</f>
        <v/>
      </c>
      <c r="AH193" s="62" t="n"/>
      <c r="AI193" s="62" t="n"/>
      <c r="AJ193" s="62" t="n"/>
      <c r="AK193" s="62" t="n"/>
      <c r="AL193" s="62">
        <f>IF(LEFT($C193,11)="[Jefatura] ",IFERROR(MATCH("Riesgo Operacional|"&amp;MID($C193,12,500),rDname_ADM,0),0),"")</f>
        <v/>
      </c>
      <c r="AM193" s="62">
        <f>IF(N($AL193)&gt;0,INDEX(rIni_ADM,$AL193),IF(ISNUMBER($E193),$E193,""))</f>
        <v/>
      </c>
      <c r="AN193" s="62">
        <f>IF(N($AL193)&gt;0,INDEX(rLim_ADM,$AL193),IF(ISNUMBER($F193),$F193,""))</f>
        <v/>
      </c>
    </row>
    <row r="194">
      <c r="A194" s="56">
        <f>IF(NOT((COUNTA($B194:$D194)+COUNTA($G194:$L194)+COUNTA($Q194))&gt;0),"",IF($V194="Macro",COUNTIFS($V$5:$V194,"Macro",$S$5:$S194,$S194),IF(N($U194)=0,"?",COUNTIFS(INDEX($V$5:$V$1000,1):INDEX($V$5:$V$1000,$U194-4),"Macro",INDEX($S$5:$S$1000,1):INDEX($S$5:$S$1000,$U194-4),INDEX($S$5:$S$1000,$U194-4))&amp;"."&amp;COUNTIFS($U$5:$U194,$U194,$V$5:$V194,"Sub"))))</f>
        <v/>
      </c>
      <c r="B194" s="57" t="n"/>
      <c r="C194" s="58" t="n"/>
      <c r="D194" s="58" t="n"/>
      <c r="E194" s="59">
        <f>IF(N($AL194)&gt;0,INDEX(rIni_ADM,$AL194),"")</f>
        <v/>
      </c>
      <c r="F194" s="59">
        <f>IF(N($AL194)&gt;0,INDEX(rLim_ADM,$AL194),"")</f>
        <v/>
      </c>
      <c r="G194" s="59" t="n"/>
      <c r="H194" s="60" t="n"/>
      <c r="I194" s="60" t="n"/>
      <c r="J194" s="60" t="n"/>
      <c r="K194" s="60" t="n"/>
      <c r="L194" s="60" t="n"/>
      <c r="M194" s="61">
        <f>IF(NOT((COUNTA($B194:$D194)+COUNTA($G194:$L194)+COUNTA($Q194))&gt;0),"",IF($V194="Sub",IFERROR($X194/INDEX($W$5:$W$1000,$U194-4),""),IF(ISNUMBER($G194),1,IF(N($W194)&gt;0,AVERAGEIFS($X$5:$X$1000,$U$5:$U$1000,ROW(),$V$5:$V$1000,"Sub"),$X194))))</f>
        <v/>
      </c>
      <c r="N194" s="56">
        <f>IF(OR($M194="",$V194="Sub"),"",IF($M194&gt;=1,"Completado",IF($M194&gt;0,"En curso","Pendiente")))</f>
        <v/>
      </c>
      <c r="O194" s="56">
        <f>IF(OR(NOT((COUNTA($B194:$D194)+COUNTA($G194:$L194)+COUNTA($Q194))&gt;0),$V194="Sub"),"",IF(ISNUMBER($G194),IF(AND(ISNUMBER($AN194),$G194&gt;$AN194),"Cumplida con "&amp;($G194-$AN194)&amp;IF($G194-$AN194=1," día"," días")&amp;" de retraso","Cumplida"),IF(N($M194)&gt;=1,"Cumplida",IF(NOT(ISNUMBER($AN194)),"Sin fecha límite",IF($AN194&lt;FechaRef,"Vencida hace "&amp;(FechaRef-$AN194)&amp;IF(FechaRef-$AN194=1," día"," días"),IF($AN194=FechaRef,"Vence hoy",IF($AN194-FechaRef&lt;=DiasAlerta,"Vence en "&amp;($AN194-FechaRef)&amp;IF($AN194-FechaRef=1," día"," días"),"En plazo")))))))</f>
        <v/>
      </c>
      <c r="P194" s="62" t="n"/>
      <c r="Q194" s="58" t="n"/>
      <c r="R194" s="63">
        <f>IF(NOT((COUNTA($B194:$D194)+COUNTA($G194:$L194)+COUNTA($Q194))&gt;0),"",IF((IF($C194="","Falta el nombre de la actividad"&amp;" · ","")&amp;IF(AND($V194="Sub",N($U194)=0),"Subactividad sin macroactividad arriba"&amp;" · ","")&amp;IF($AM194="","Sin fecha de inicio"&amp;" · ","")&amp;IF($AN194="","Sin fecha límite"&amp;" · ","")&amp;IF(AND(LEFT($C194,11)="[Jefatura] ",N($AL194)=0),"No se encuentra en la hoja de la jefatura (elíjala de nuevo en la lista)"&amp;" · ","")&amp;IF(OR(AND($E194&lt;&gt;"",NOT(ISNUMBER($E194))),AND($F194&lt;&gt;"",NOT(ISNUMBER($F194))),AND($G194&lt;&gt;"",NOT(ISNUMBER($G194)))),"Fecha no válida"&amp;" · ","")&amp;IF(AND(ISNUMBER($AM194),ISNUMBER($AN194),$AM194&gt;$AN194),"Inicio posterior a fecha límite"&amp;" · ","")&amp;IF(AND($V194="Macro",$H194&lt;&gt;"",OR(NOT(ISNUMBER($H194)),$H194&lt;0,$H194&gt;1)),"Peso fuera de rango"&amp;" · ","")&amp;IF(AND($V194="Sub",$H194&lt;&gt;""),"Las subactividades no llevan peso (valen igual dentro de su macroactividad)"&amp;" · ","")&amp;IF(AND(N($W194)&gt;0,COUNT($I194:$L194)&gt;0),"Con subactividades: deje vacías las semanas (se calculan solas)"&amp;" · ","")&amp;IF((COUNTIF($I194:$L194,"&gt;1")+COUNTIF($I194:$L194,"&lt;0")+COUNTA($I194:$L194)-COUNT($I194:$L194))&gt;0,"Avance fuera de rango 0-100%"&amp;" · ","")&amp;IF(OR(AND($J194&lt;&gt;"",$J194&lt;$I194),AND($K194&lt;&gt;"",$K194&lt;MAX($I194:$J194)),AND($L194&lt;&gt;"",$L194&lt;MAX($I194:$K194))),"Avance semanal decreciente"&amp;" · ","")&amp;IF(AND(ISNUMBER($AN194),$AN194&lt;FechaRef,IF($V194="Sub",N($X194),N($M194))&lt;1),"Vencida"&amp;" · ","")&amp;IF(AND(ObsObligatoria="Sí",ISNUMBER($AN194),$AN194&lt;FechaRef,IF($V194="Sub",N($X194),N($M194))&lt;1,$Q194=""),"Vencida sin observación"&amp;" · ",""))="","✔ OK","⚠ "&amp;LEFT(IF($C194="","Falta el nombre de la actividad"&amp;" · ","")&amp;IF(AND($V194="Sub",N($U194)=0),"Subactividad sin macroactividad arriba"&amp;" · ","")&amp;IF($AM194="","Sin fecha de inicio"&amp;" · ","")&amp;IF($AN194="","Sin fecha límite"&amp;" · ","")&amp;IF(AND(LEFT($C194,11)="[Jefatura] ",N($AL194)=0),"No se encuentra en la hoja de la jefatura (elíjala de nuevo en la lista)"&amp;" · ","")&amp;IF(OR(AND($E194&lt;&gt;"",NOT(ISNUMBER($E194))),AND($F194&lt;&gt;"",NOT(ISNUMBER($F194))),AND($G194&lt;&gt;"",NOT(ISNUMBER($G194)))),"Fecha no válida"&amp;" · ","")&amp;IF(AND(ISNUMBER($AM194),ISNUMBER($AN194),$AM194&gt;$AN194),"Inicio posterior a fecha límite"&amp;" · ","")&amp;IF(AND($V194="Macro",$H194&lt;&gt;"",OR(NOT(ISNUMBER($H194)),$H194&lt;0,$H194&gt;1)),"Peso fuera de rango"&amp;" · ","")&amp;IF(AND($V194="Sub",$H194&lt;&gt;""),"Las subactividades no llevan peso (valen igual dentro de su macroactividad)"&amp;" · ","")&amp;IF(AND(N($W194)&gt;0,COUNT($I194:$L194)&gt;0),"Con subactividades: deje vacías las semanas (se calculan solas)"&amp;" · ","")&amp;IF((COUNTIF($I194:$L194,"&gt;1")+COUNTIF($I194:$L194,"&lt;0")+COUNTA($I194:$L194)-COUNT($I194:$L194))&gt;0,"Avance fuera de rango 0-100%"&amp;" · ","")&amp;IF(OR(AND($J194&lt;&gt;"",$J194&lt;$I194),AND($K194&lt;&gt;"",$K194&lt;MAX($I194:$J194)),AND($L194&lt;&gt;"",$L194&lt;MAX($I194:$K194))),"Avance semanal decreciente"&amp;" · ","")&amp;IF(AND(ISNUMBER($AN194),$AN194&lt;FechaRef,IF($V194="Sub",N($X194),N($M194))&lt;1),"Vencida"&amp;" · ","")&amp;IF(AND(ObsObligatoria="Sí",ISNUMBER($AN194),$AN194&lt;FechaRef,IF($V194="Sub",N($X194),N($M194))&lt;1,$Q194=""),"Vencida sin observación"&amp;" · ",""),LEN(IF($C194="","Falta el nombre de la actividad"&amp;" · ","")&amp;IF(AND($V194="Sub",N($U194)=0),"Subactividad sin macroactividad arriba"&amp;" · ","")&amp;IF($AM194="","Sin fecha de inicio"&amp;" · ","")&amp;IF($AN194="","Sin fecha límite"&amp;" · ","")&amp;IF(AND(LEFT($C194,11)="[Jefatura] ",N($AL194)=0),"No se encuentra en la hoja de la jefatura (elíjala de nuevo en la lista)"&amp;" · ","")&amp;IF(OR(AND($E194&lt;&gt;"",NOT(ISNUMBER($E194))),AND($F194&lt;&gt;"",NOT(ISNUMBER($F194))),AND($G194&lt;&gt;"",NOT(ISNUMBER($G194)))),"Fecha no válida"&amp;" · ","")&amp;IF(AND(ISNUMBER($AM194),ISNUMBER($AN194),$AM194&gt;$AN194),"Inicio posterior a fecha límite"&amp;" · ","")&amp;IF(AND($V194="Macro",$H194&lt;&gt;"",OR(NOT(ISNUMBER($H194)),$H194&lt;0,$H194&gt;1)),"Peso fuera de rango"&amp;" · ","")&amp;IF(AND($V194="Sub",$H194&lt;&gt;""),"Las subactividades no llevan peso (valen igual dentro de su macroactividad)"&amp;" · ","")&amp;IF(AND(N($W194)&gt;0,COUNT($I194:$L194)&gt;0),"Con subactividades: deje vacías las semanas (se calculan solas)"&amp;" · ","")&amp;IF((COUNTIF($I194:$L194,"&gt;1")+COUNTIF($I194:$L194,"&lt;0")+COUNTA($I194:$L194)-COUNT($I194:$L194))&gt;0,"Avance fuera de rango 0-100%"&amp;" · ","")&amp;IF(OR(AND($J194&lt;&gt;"",$J194&lt;$I194),AND($K194&lt;&gt;"",$K194&lt;MAX($I194:$J194)),AND($L194&lt;&gt;"",$L194&lt;MAX($I194:$K194))),"Avance semanal decreciente"&amp;" · ","")&amp;IF(AND(ISNUMBER($AN194),$AN194&lt;FechaRef,IF($V194="Sub",N($X194),N($M194))&lt;1),"Vencida"&amp;" · ","")&amp;IF(AND(ObsObligatoria="Sí",ISNUMBER($AN194),$AN194&lt;FechaRef,IF($V194="Sub",N($X194),N($M194))&lt;1,$Q194=""),"Vencida sin observación"&amp;" · ",""))-3)))</f>
        <v/>
      </c>
      <c r="S194" s="64">
        <f>IF(NOT((COUNTA($B194:$D194)+COUNTA($G194:$L194)+COUNTA($Q194))&gt;0),"",IF(AND($V194="Sub",N($U194)&gt;0),IF(ISNUMBER(INDEX($AM$5:$AM$1000,$U194-4)),DATE(YEAR(INDEX($AM$5:$AM$1000,$U194-4)),MONTH(INDEX($AM$5:$AM$1000,$U194-4)),1),IF(ISNUMBER(INDEX($AN$5:$AN$1000,$U194-4)),DATE(YEAR(INDEX($AN$5:$AN$1000,$U194-4)),MONTH(INDEX($AN$5:$AN$1000,$U194-4)),1),MesCiclo)),IF(ISNUMBER($AM194),DATE(YEAR($AM194),MONTH($AM194),1),IF(ISNUMBER($AN194),DATE(YEAR($AN194),MONTH($AN194),1),MesCiclo))))</f>
        <v/>
      </c>
      <c r="T194" s="62">
        <f>IF(OR($S194="",$S194&lt;&gt;MesCiclo,$V194&lt;&gt;"Macro"),"",COUNTIFS($S$5:$S194,MesCiclo,$V$5:$V194,"Macro"))</f>
        <v/>
      </c>
      <c r="U194" s="62">
        <f>IF($V194="","",IF($V194="Macro",ROW(),IFERROR(LOOKUP(2,1/($V$5:$V194="Macro"),ROW($V$5:$V194)),0)))</f>
        <v/>
      </c>
      <c r="V194" s="62">
        <f>IF(NOT((COUNTA($B194:$D194)+COUNTA($G194:$L194)+COUNTA($Q194))&gt;0),"",IF($B194="Subactividad","Sub","Macro"))</f>
        <v/>
      </c>
      <c r="W194" s="62">
        <f>IF($V194="Macro",COUNTIFS($U$5:$U$1000,ROW(),$V$5:$V$1000,"Sub"),"")</f>
        <v/>
      </c>
      <c r="X194" s="62">
        <f>IF($V194="","",IF(ISNUMBER($G194),1,IFERROR(LOOKUP(2,1/($I194:$L194&lt;&gt;""),$I194:$L194),0)))</f>
        <v/>
      </c>
      <c r="Y194" s="62">
        <f>IF($V194="","",IF(AND(ISNUMBER($G194),$G194&lt;=IF($S194=MesCiclo,InicioCiclo,$S194+MOD(2-WEEKDAY($S194),7))+6),1,IF(ISNUMBER($I194),$I194,0)))</f>
        <v/>
      </c>
      <c r="Z194" s="62">
        <f>IF($V194="","",IF(AND(ISNUMBER($G194),$G194&lt;=IF($S194=MesCiclo,InicioCiclo,$S194+MOD(2-WEEKDAY($S194),7))+13),1,IF(ISNUMBER($J194),$J194,$Y194)))</f>
        <v/>
      </c>
      <c r="AA194" s="62">
        <f>IF($V194="","",IF(AND(ISNUMBER($G194),$G194&lt;=IF($S194=MesCiclo,InicioCiclo,$S194+MOD(2-WEEKDAY($S194),7))+20),1,IF(ISNUMBER($K194),$K194,$Z194)))</f>
        <v/>
      </c>
      <c r="AB194" s="62">
        <f>IF($V194="","",IF(AND(ISNUMBER($G194),$G194&lt;=IF($S194=MesCiclo,InicioCiclo,$S194+MOD(2-WEEKDAY($S194),7))+27),1,IF(ISNUMBER($L194),$L194,$AA194)))</f>
        <v/>
      </c>
      <c r="AC194" s="62">
        <f>IF($V194="","",IF(AND(ISNUMBER($G194),$G194&lt;=IF($S194=MesCiclo,InicioCiclo,$S194+MOD(2-WEEKDAY($S194),7))+6),1,IF(N($W194)&gt;0,AVERAGEIFS($Y$5:$Y$1000,$U$5:$U$1000,ROW(),$V$5:$V$1000,"Sub"),$Y194)))</f>
        <v/>
      </c>
      <c r="AD194" s="62">
        <f>IF($V194="","",IF(AND(ISNUMBER($G194),$G194&lt;=IF($S194=MesCiclo,InicioCiclo,$S194+MOD(2-WEEKDAY($S194),7))+13),1,IF(N($W194)&gt;0,AVERAGEIFS($Z$5:$Z$1000,$U$5:$U$1000,ROW(),$V$5:$V$1000,"Sub"),$Z194)))</f>
        <v/>
      </c>
      <c r="AE194" s="62">
        <f>IF($V194="","",IF(AND(ISNUMBER($G194),$G194&lt;=IF($S194=MesCiclo,InicioCiclo,$S194+MOD(2-WEEKDAY($S194),7))+20),1,IF(N($W194)&gt;0,AVERAGEIFS($AA$5:$AA$1000,$U$5:$U$1000,ROW(),$V$5:$V$1000,"Sub"),$AA194)))</f>
        <v/>
      </c>
      <c r="AF194" s="62">
        <f>IF($V194="","",IF(AND(ISNUMBER($G194),$G194&lt;=IF($S194=MesCiclo,InicioCiclo,$S194+MOD(2-WEEKDAY($S194),7))+27),1,IF(N($W194)&gt;0,AVERAGEIFS($AB$5:$AB$1000,$U$5:$U$1000,ROW(),$V$5:$V$1000,"Sub"),$AB194)))</f>
        <v/>
      </c>
      <c r="AG194" s="62">
        <f>IF($V194&lt;&gt;"Macro","",IF(COUNTIFS($S$5:$S$1000,$S194,$V$5:$V$1000,"Macro",$H$5:$H$1000,"&gt;0")=0,1/COUNTIFS($S$5:$S$1000,$S194,$V$5:$V$1000,"Macro"),IF(AND(ISNUMBER($H194),N($H194)&gt;0),$H194,SUMIFS($H$5:$H$1000,$S$5:$S$1000,$S194,$V$5:$V$1000,"Macro")/COUNTIFS($S$5:$S$1000,$S194,$V$5:$V$1000,"Macro",$H$5:$H$1000,"&gt;0"))/(COUNTIFS($S$5:$S$1000,$S194,$V$5:$V$1000,"Macro")*SUMIFS($H$5:$H$1000,$S$5:$S$1000,$S194,$V$5:$V$1000,"Macro")/COUNTIFS($S$5:$S$1000,$S194,$V$5:$V$1000,"Macro",$H$5:$H$1000,"&gt;0"))))</f>
        <v/>
      </c>
      <c r="AH194" s="62" t="n"/>
      <c r="AI194" s="62" t="n"/>
      <c r="AJ194" s="62" t="n"/>
      <c r="AK194" s="62" t="n"/>
      <c r="AL194" s="62">
        <f>IF(LEFT($C194,11)="[Jefatura] ",IFERROR(MATCH("Riesgo Operacional|"&amp;MID($C194,12,500),rDname_ADM,0),0),"")</f>
        <v/>
      </c>
      <c r="AM194" s="62">
        <f>IF(N($AL194)&gt;0,INDEX(rIni_ADM,$AL194),IF(ISNUMBER($E194),$E194,""))</f>
        <v/>
      </c>
      <c r="AN194" s="62">
        <f>IF(N($AL194)&gt;0,INDEX(rLim_ADM,$AL194),IF(ISNUMBER($F194),$F194,""))</f>
        <v/>
      </c>
    </row>
    <row r="195">
      <c r="A195" s="56">
        <f>IF(NOT((COUNTA($B195:$D195)+COUNTA($G195:$L195)+COUNTA($Q195))&gt;0),"",IF($V195="Macro",COUNTIFS($V$5:$V195,"Macro",$S$5:$S195,$S195),IF(N($U195)=0,"?",COUNTIFS(INDEX($V$5:$V$1000,1):INDEX($V$5:$V$1000,$U195-4),"Macro",INDEX($S$5:$S$1000,1):INDEX($S$5:$S$1000,$U195-4),INDEX($S$5:$S$1000,$U195-4))&amp;"."&amp;COUNTIFS($U$5:$U195,$U195,$V$5:$V195,"Sub"))))</f>
        <v/>
      </c>
      <c r="B195" s="57" t="n"/>
      <c r="C195" s="58" t="n"/>
      <c r="D195" s="58" t="n"/>
      <c r="E195" s="59">
        <f>IF(N($AL195)&gt;0,INDEX(rIni_ADM,$AL195),"")</f>
        <v/>
      </c>
      <c r="F195" s="59">
        <f>IF(N($AL195)&gt;0,INDEX(rLim_ADM,$AL195),"")</f>
        <v/>
      </c>
      <c r="G195" s="59" t="n"/>
      <c r="H195" s="60" t="n"/>
      <c r="I195" s="60" t="n"/>
      <c r="J195" s="60" t="n"/>
      <c r="K195" s="60" t="n"/>
      <c r="L195" s="60" t="n"/>
      <c r="M195" s="61">
        <f>IF(NOT((COUNTA($B195:$D195)+COUNTA($G195:$L195)+COUNTA($Q195))&gt;0),"",IF($V195="Sub",IFERROR($X195/INDEX($W$5:$W$1000,$U195-4),""),IF(ISNUMBER($G195),1,IF(N($W195)&gt;0,AVERAGEIFS($X$5:$X$1000,$U$5:$U$1000,ROW(),$V$5:$V$1000,"Sub"),$X195))))</f>
        <v/>
      </c>
      <c r="N195" s="56">
        <f>IF(OR($M195="",$V195="Sub"),"",IF($M195&gt;=1,"Completado",IF($M195&gt;0,"En curso","Pendiente")))</f>
        <v/>
      </c>
      <c r="O195" s="56">
        <f>IF(OR(NOT((COUNTA($B195:$D195)+COUNTA($G195:$L195)+COUNTA($Q195))&gt;0),$V195="Sub"),"",IF(ISNUMBER($G195),IF(AND(ISNUMBER($AN195),$G195&gt;$AN195),"Cumplida con "&amp;($G195-$AN195)&amp;IF($G195-$AN195=1," día"," días")&amp;" de retraso","Cumplida"),IF(N($M195)&gt;=1,"Cumplida",IF(NOT(ISNUMBER($AN195)),"Sin fecha límite",IF($AN195&lt;FechaRef,"Vencida hace "&amp;(FechaRef-$AN195)&amp;IF(FechaRef-$AN195=1," día"," días"),IF($AN195=FechaRef,"Vence hoy",IF($AN195-FechaRef&lt;=DiasAlerta,"Vence en "&amp;($AN195-FechaRef)&amp;IF($AN195-FechaRef=1," día"," días"),"En plazo")))))))</f>
        <v/>
      </c>
      <c r="P195" s="62" t="n"/>
      <c r="Q195" s="58" t="n"/>
      <c r="R195" s="63">
        <f>IF(NOT((COUNTA($B195:$D195)+COUNTA($G195:$L195)+COUNTA($Q195))&gt;0),"",IF((IF($C195="","Falta el nombre de la actividad"&amp;" · ","")&amp;IF(AND($V195="Sub",N($U195)=0),"Subactividad sin macroactividad arriba"&amp;" · ","")&amp;IF($AM195="","Sin fecha de inicio"&amp;" · ","")&amp;IF($AN195="","Sin fecha límite"&amp;" · ","")&amp;IF(AND(LEFT($C195,11)="[Jefatura] ",N($AL195)=0),"No se encuentra en la hoja de la jefatura (elíjala de nuevo en la lista)"&amp;" · ","")&amp;IF(OR(AND($E195&lt;&gt;"",NOT(ISNUMBER($E195))),AND($F195&lt;&gt;"",NOT(ISNUMBER($F195))),AND($G195&lt;&gt;"",NOT(ISNUMBER($G195)))),"Fecha no válida"&amp;" · ","")&amp;IF(AND(ISNUMBER($AM195),ISNUMBER($AN195),$AM195&gt;$AN195),"Inicio posterior a fecha límite"&amp;" · ","")&amp;IF(AND($V195="Macro",$H195&lt;&gt;"",OR(NOT(ISNUMBER($H195)),$H195&lt;0,$H195&gt;1)),"Peso fuera de rango"&amp;" · ","")&amp;IF(AND($V195="Sub",$H195&lt;&gt;""),"Las subactividades no llevan peso (valen igual dentro de su macroactividad)"&amp;" · ","")&amp;IF(AND(N($W195)&gt;0,COUNT($I195:$L195)&gt;0),"Con subactividades: deje vacías las semanas (se calculan solas)"&amp;" · ","")&amp;IF((COUNTIF($I195:$L195,"&gt;1")+COUNTIF($I195:$L195,"&lt;0")+COUNTA($I195:$L195)-COUNT($I195:$L195))&gt;0,"Avance fuera de rango 0-100%"&amp;" · ","")&amp;IF(OR(AND($J195&lt;&gt;"",$J195&lt;$I195),AND($K195&lt;&gt;"",$K195&lt;MAX($I195:$J195)),AND($L195&lt;&gt;"",$L195&lt;MAX($I195:$K195))),"Avance semanal decreciente"&amp;" · ","")&amp;IF(AND(ISNUMBER($AN195),$AN195&lt;FechaRef,IF($V195="Sub",N($X195),N($M195))&lt;1),"Vencida"&amp;" · ","")&amp;IF(AND(ObsObligatoria="Sí",ISNUMBER($AN195),$AN195&lt;FechaRef,IF($V195="Sub",N($X195),N($M195))&lt;1,$Q195=""),"Vencida sin observación"&amp;" · ",""))="","✔ OK","⚠ "&amp;LEFT(IF($C195="","Falta el nombre de la actividad"&amp;" · ","")&amp;IF(AND($V195="Sub",N($U195)=0),"Subactividad sin macroactividad arriba"&amp;" · ","")&amp;IF($AM195="","Sin fecha de inicio"&amp;" · ","")&amp;IF($AN195="","Sin fecha límite"&amp;" · ","")&amp;IF(AND(LEFT($C195,11)="[Jefatura] ",N($AL195)=0),"No se encuentra en la hoja de la jefatura (elíjala de nuevo en la lista)"&amp;" · ","")&amp;IF(OR(AND($E195&lt;&gt;"",NOT(ISNUMBER($E195))),AND($F195&lt;&gt;"",NOT(ISNUMBER($F195))),AND($G195&lt;&gt;"",NOT(ISNUMBER($G195)))),"Fecha no válida"&amp;" · ","")&amp;IF(AND(ISNUMBER($AM195),ISNUMBER($AN195),$AM195&gt;$AN195),"Inicio posterior a fecha límite"&amp;" · ","")&amp;IF(AND($V195="Macro",$H195&lt;&gt;"",OR(NOT(ISNUMBER($H195)),$H195&lt;0,$H195&gt;1)),"Peso fuera de rango"&amp;" · ","")&amp;IF(AND($V195="Sub",$H195&lt;&gt;""),"Las subactividades no llevan peso (valen igual dentro de su macroactividad)"&amp;" · ","")&amp;IF(AND(N($W195)&gt;0,COUNT($I195:$L195)&gt;0),"Con subactividades: deje vacías las semanas (se calculan solas)"&amp;" · ","")&amp;IF((COUNTIF($I195:$L195,"&gt;1")+COUNTIF($I195:$L195,"&lt;0")+COUNTA($I195:$L195)-COUNT($I195:$L195))&gt;0,"Avance fuera de rango 0-100%"&amp;" · ","")&amp;IF(OR(AND($J195&lt;&gt;"",$J195&lt;$I195),AND($K195&lt;&gt;"",$K195&lt;MAX($I195:$J195)),AND($L195&lt;&gt;"",$L195&lt;MAX($I195:$K195))),"Avance semanal decreciente"&amp;" · ","")&amp;IF(AND(ISNUMBER($AN195),$AN195&lt;FechaRef,IF($V195="Sub",N($X195),N($M195))&lt;1),"Vencida"&amp;" · ","")&amp;IF(AND(ObsObligatoria="Sí",ISNUMBER($AN195),$AN195&lt;FechaRef,IF($V195="Sub",N($X195),N($M195))&lt;1,$Q195=""),"Vencida sin observación"&amp;" · ",""),LEN(IF($C195="","Falta el nombre de la actividad"&amp;" · ","")&amp;IF(AND($V195="Sub",N($U195)=0),"Subactividad sin macroactividad arriba"&amp;" · ","")&amp;IF($AM195="","Sin fecha de inicio"&amp;" · ","")&amp;IF($AN195="","Sin fecha límite"&amp;" · ","")&amp;IF(AND(LEFT($C195,11)="[Jefatura] ",N($AL195)=0),"No se encuentra en la hoja de la jefatura (elíjala de nuevo en la lista)"&amp;" · ","")&amp;IF(OR(AND($E195&lt;&gt;"",NOT(ISNUMBER($E195))),AND($F195&lt;&gt;"",NOT(ISNUMBER($F195))),AND($G195&lt;&gt;"",NOT(ISNUMBER($G195)))),"Fecha no válida"&amp;" · ","")&amp;IF(AND(ISNUMBER($AM195),ISNUMBER($AN195),$AM195&gt;$AN195),"Inicio posterior a fecha límite"&amp;" · ","")&amp;IF(AND($V195="Macro",$H195&lt;&gt;"",OR(NOT(ISNUMBER($H195)),$H195&lt;0,$H195&gt;1)),"Peso fuera de rango"&amp;" · ","")&amp;IF(AND($V195="Sub",$H195&lt;&gt;""),"Las subactividades no llevan peso (valen igual dentro de su macroactividad)"&amp;" · ","")&amp;IF(AND(N($W195)&gt;0,COUNT($I195:$L195)&gt;0),"Con subactividades: deje vacías las semanas (se calculan solas)"&amp;" · ","")&amp;IF((COUNTIF($I195:$L195,"&gt;1")+COUNTIF($I195:$L195,"&lt;0")+COUNTA($I195:$L195)-COUNT($I195:$L195))&gt;0,"Avance fuera de rango 0-100%"&amp;" · ","")&amp;IF(OR(AND($J195&lt;&gt;"",$J195&lt;$I195),AND($K195&lt;&gt;"",$K195&lt;MAX($I195:$J195)),AND($L195&lt;&gt;"",$L195&lt;MAX($I195:$K195))),"Avance semanal decreciente"&amp;" · ","")&amp;IF(AND(ISNUMBER($AN195),$AN195&lt;FechaRef,IF($V195="Sub",N($X195),N($M195))&lt;1),"Vencida"&amp;" · ","")&amp;IF(AND(ObsObligatoria="Sí",ISNUMBER($AN195),$AN195&lt;FechaRef,IF($V195="Sub",N($X195),N($M195))&lt;1,$Q195=""),"Vencida sin observación"&amp;" · ",""))-3)))</f>
        <v/>
      </c>
      <c r="S195" s="64">
        <f>IF(NOT((COUNTA($B195:$D195)+COUNTA($G195:$L195)+COUNTA($Q195))&gt;0),"",IF(AND($V195="Sub",N($U195)&gt;0),IF(ISNUMBER(INDEX($AM$5:$AM$1000,$U195-4)),DATE(YEAR(INDEX($AM$5:$AM$1000,$U195-4)),MONTH(INDEX($AM$5:$AM$1000,$U195-4)),1),IF(ISNUMBER(INDEX($AN$5:$AN$1000,$U195-4)),DATE(YEAR(INDEX($AN$5:$AN$1000,$U195-4)),MONTH(INDEX($AN$5:$AN$1000,$U195-4)),1),MesCiclo)),IF(ISNUMBER($AM195),DATE(YEAR($AM195),MONTH($AM195),1),IF(ISNUMBER($AN195),DATE(YEAR($AN195),MONTH($AN195),1),MesCiclo))))</f>
        <v/>
      </c>
      <c r="T195" s="62">
        <f>IF(OR($S195="",$S195&lt;&gt;MesCiclo,$V195&lt;&gt;"Macro"),"",COUNTIFS($S$5:$S195,MesCiclo,$V$5:$V195,"Macro"))</f>
        <v/>
      </c>
      <c r="U195" s="62">
        <f>IF($V195="","",IF($V195="Macro",ROW(),IFERROR(LOOKUP(2,1/($V$5:$V195="Macro"),ROW($V$5:$V195)),0)))</f>
        <v/>
      </c>
      <c r="V195" s="62">
        <f>IF(NOT((COUNTA($B195:$D195)+COUNTA($G195:$L195)+COUNTA($Q195))&gt;0),"",IF($B195="Subactividad","Sub","Macro"))</f>
        <v/>
      </c>
      <c r="W195" s="62">
        <f>IF($V195="Macro",COUNTIFS($U$5:$U$1000,ROW(),$V$5:$V$1000,"Sub"),"")</f>
        <v/>
      </c>
      <c r="X195" s="62">
        <f>IF($V195="","",IF(ISNUMBER($G195),1,IFERROR(LOOKUP(2,1/($I195:$L195&lt;&gt;""),$I195:$L195),0)))</f>
        <v/>
      </c>
      <c r="Y195" s="62">
        <f>IF($V195="","",IF(AND(ISNUMBER($G195),$G195&lt;=IF($S195=MesCiclo,InicioCiclo,$S195+MOD(2-WEEKDAY($S195),7))+6),1,IF(ISNUMBER($I195),$I195,0)))</f>
        <v/>
      </c>
      <c r="Z195" s="62">
        <f>IF($V195="","",IF(AND(ISNUMBER($G195),$G195&lt;=IF($S195=MesCiclo,InicioCiclo,$S195+MOD(2-WEEKDAY($S195),7))+13),1,IF(ISNUMBER($J195),$J195,$Y195)))</f>
        <v/>
      </c>
      <c r="AA195" s="62">
        <f>IF($V195="","",IF(AND(ISNUMBER($G195),$G195&lt;=IF($S195=MesCiclo,InicioCiclo,$S195+MOD(2-WEEKDAY($S195),7))+20),1,IF(ISNUMBER($K195),$K195,$Z195)))</f>
        <v/>
      </c>
      <c r="AB195" s="62">
        <f>IF($V195="","",IF(AND(ISNUMBER($G195),$G195&lt;=IF($S195=MesCiclo,InicioCiclo,$S195+MOD(2-WEEKDAY($S195),7))+27),1,IF(ISNUMBER($L195),$L195,$AA195)))</f>
        <v/>
      </c>
      <c r="AC195" s="62">
        <f>IF($V195="","",IF(AND(ISNUMBER($G195),$G195&lt;=IF($S195=MesCiclo,InicioCiclo,$S195+MOD(2-WEEKDAY($S195),7))+6),1,IF(N($W195)&gt;0,AVERAGEIFS($Y$5:$Y$1000,$U$5:$U$1000,ROW(),$V$5:$V$1000,"Sub"),$Y195)))</f>
        <v/>
      </c>
      <c r="AD195" s="62">
        <f>IF($V195="","",IF(AND(ISNUMBER($G195),$G195&lt;=IF($S195=MesCiclo,InicioCiclo,$S195+MOD(2-WEEKDAY($S195),7))+13),1,IF(N($W195)&gt;0,AVERAGEIFS($Z$5:$Z$1000,$U$5:$U$1000,ROW(),$V$5:$V$1000,"Sub"),$Z195)))</f>
        <v/>
      </c>
      <c r="AE195" s="62">
        <f>IF($V195="","",IF(AND(ISNUMBER($G195),$G195&lt;=IF($S195=MesCiclo,InicioCiclo,$S195+MOD(2-WEEKDAY($S195),7))+20),1,IF(N($W195)&gt;0,AVERAGEIFS($AA$5:$AA$1000,$U$5:$U$1000,ROW(),$V$5:$V$1000,"Sub"),$AA195)))</f>
        <v/>
      </c>
      <c r="AF195" s="62">
        <f>IF($V195="","",IF(AND(ISNUMBER($G195),$G195&lt;=IF($S195=MesCiclo,InicioCiclo,$S195+MOD(2-WEEKDAY($S195),7))+27),1,IF(N($W195)&gt;0,AVERAGEIFS($AB$5:$AB$1000,$U$5:$U$1000,ROW(),$V$5:$V$1000,"Sub"),$AB195)))</f>
        <v/>
      </c>
      <c r="AG195" s="62">
        <f>IF($V195&lt;&gt;"Macro","",IF(COUNTIFS($S$5:$S$1000,$S195,$V$5:$V$1000,"Macro",$H$5:$H$1000,"&gt;0")=0,1/COUNTIFS($S$5:$S$1000,$S195,$V$5:$V$1000,"Macro"),IF(AND(ISNUMBER($H195),N($H195)&gt;0),$H195,SUMIFS($H$5:$H$1000,$S$5:$S$1000,$S195,$V$5:$V$1000,"Macro")/COUNTIFS($S$5:$S$1000,$S195,$V$5:$V$1000,"Macro",$H$5:$H$1000,"&gt;0"))/(COUNTIFS($S$5:$S$1000,$S195,$V$5:$V$1000,"Macro")*SUMIFS($H$5:$H$1000,$S$5:$S$1000,$S195,$V$5:$V$1000,"Macro")/COUNTIFS($S$5:$S$1000,$S195,$V$5:$V$1000,"Macro",$H$5:$H$1000,"&gt;0"))))</f>
        <v/>
      </c>
      <c r="AH195" s="62" t="n"/>
      <c r="AI195" s="62" t="n"/>
      <c r="AJ195" s="62" t="n"/>
      <c r="AK195" s="62" t="n"/>
      <c r="AL195" s="62">
        <f>IF(LEFT($C195,11)="[Jefatura] ",IFERROR(MATCH("Riesgo Operacional|"&amp;MID($C195,12,500),rDname_ADM,0),0),"")</f>
        <v/>
      </c>
      <c r="AM195" s="62">
        <f>IF(N($AL195)&gt;0,INDEX(rIni_ADM,$AL195),IF(ISNUMBER($E195),$E195,""))</f>
        <v/>
      </c>
      <c r="AN195" s="62">
        <f>IF(N($AL195)&gt;0,INDEX(rLim_ADM,$AL195),IF(ISNUMBER($F195),$F195,""))</f>
        <v/>
      </c>
    </row>
    <row r="196">
      <c r="A196" s="56">
        <f>IF(NOT((COUNTA($B196:$D196)+COUNTA($G196:$L196)+COUNTA($Q196))&gt;0),"",IF($V196="Macro",COUNTIFS($V$5:$V196,"Macro",$S$5:$S196,$S196),IF(N($U196)=0,"?",COUNTIFS(INDEX($V$5:$V$1000,1):INDEX($V$5:$V$1000,$U196-4),"Macro",INDEX($S$5:$S$1000,1):INDEX($S$5:$S$1000,$U196-4),INDEX($S$5:$S$1000,$U196-4))&amp;"."&amp;COUNTIFS($U$5:$U196,$U196,$V$5:$V196,"Sub"))))</f>
        <v/>
      </c>
      <c r="B196" s="57" t="n"/>
      <c r="C196" s="58" t="n"/>
      <c r="D196" s="58" t="n"/>
      <c r="E196" s="59">
        <f>IF(N($AL196)&gt;0,INDEX(rIni_ADM,$AL196),"")</f>
        <v/>
      </c>
      <c r="F196" s="59">
        <f>IF(N($AL196)&gt;0,INDEX(rLim_ADM,$AL196),"")</f>
        <v/>
      </c>
      <c r="G196" s="59" t="n"/>
      <c r="H196" s="60" t="n"/>
      <c r="I196" s="60" t="n"/>
      <c r="J196" s="60" t="n"/>
      <c r="K196" s="60" t="n"/>
      <c r="L196" s="60" t="n"/>
      <c r="M196" s="61">
        <f>IF(NOT((COUNTA($B196:$D196)+COUNTA($G196:$L196)+COUNTA($Q196))&gt;0),"",IF($V196="Sub",IFERROR($X196/INDEX($W$5:$W$1000,$U196-4),""),IF(ISNUMBER($G196),1,IF(N($W196)&gt;0,AVERAGEIFS($X$5:$X$1000,$U$5:$U$1000,ROW(),$V$5:$V$1000,"Sub"),$X196))))</f>
        <v/>
      </c>
      <c r="N196" s="56">
        <f>IF(OR($M196="",$V196="Sub"),"",IF($M196&gt;=1,"Completado",IF($M196&gt;0,"En curso","Pendiente")))</f>
        <v/>
      </c>
      <c r="O196" s="56">
        <f>IF(OR(NOT((COUNTA($B196:$D196)+COUNTA($G196:$L196)+COUNTA($Q196))&gt;0),$V196="Sub"),"",IF(ISNUMBER($G196),IF(AND(ISNUMBER($AN196),$G196&gt;$AN196),"Cumplida con "&amp;($G196-$AN196)&amp;IF($G196-$AN196=1," día"," días")&amp;" de retraso","Cumplida"),IF(N($M196)&gt;=1,"Cumplida",IF(NOT(ISNUMBER($AN196)),"Sin fecha límite",IF($AN196&lt;FechaRef,"Vencida hace "&amp;(FechaRef-$AN196)&amp;IF(FechaRef-$AN196=1," día"," días"),IF($AN196=FechaRef,"Vence hoy",IF($AN196-FechaRef&lt;=DiasAlerta,"Vence en "&amp;($AN196-FechaRef)&amp;IF($AN196-FechaRef=1," día"," días"),"En plazo")))))))</f>
        <v/>
      </c>
      <c r="P196" s="62" t="n"/>
      <c r="Q196" s="58" t="n"/>
      <c r="R196" s="63">
        <f>IF(NOT((COUNTA($B196:$D196)+COUNTA($G196:$L196)+COUNTA($Q196))&gt;0),"",IF((IF($C196="","Falta el nombre de la actividad"&amp;" · ","")&amp;IF(AND($V196="Sub",N($U196)=0),"Subactividad sin macroactividad arriba"&amp;" · ","")&amp;IF($AM196="","Sin fecha de inicio"&amp;" · ","")&amp;IF($AN196="","Sin fecha límite"&amp;" · ","")&amp;IF(AND(LEFT($C196,11)="[Jefatura] ",N($AL196)=0),"No se encuentra en la hoja de la jefatura (elíjala de nuevo en la lista)"&amp;" · ","")&amp;IF(OR(AND($E196&lt;&gt;"",NOT(ISNUMBER($E196))),AND($F196&lt;&gt;"",NOT(ISNUMBER($F196))),AND($G196&lt;&gt;"",NOT(ISNUMBER($G196)))),"Fecha no válida"&amp;" · ","")&amp;IF(AND(ISNUMBER($AM196),ISNUMBER($AN196),$AM196&gt;$AN196),"Inicio posterior a fecha límite"&amp;" · ","")&amp;IF(AND($V196="Macro",$H196&lt;&gt;"",OR(NOT(ISNUMBER($H196)),$H196&lt;0,$H196&gt;1)),"Peso fuera de rango"&amp;" · ","")&amp;IF(AND($V196="Sub",$H196&lt;&gt;""),"Las subactividades no llevan peso (valen igual dentro de su macroactividad)"&amp;" · ","")&amp;IF(AND(N($W196)&gt;0,COUNT($I196:$L196)&gt;0),"Con subactividades: deje vacías las semanas (se calculan solas)"&amp;" · ","")&amp;IF((COUNTIF($I196:$L196,"&gt;1")+COUNTIF($I196:$L196,"&lt;0")+COUNTA($I196:$L196)-COUNT($I196:$L196))&gt;0,"Avance fuera de rango 0-100%"&amp;" · ","")&amp;IF(OR(AND($J196&lt;&gt;"",$J196&lt;$I196),AND($K196&lt;&gt;"",$K196&lt;MAX($I196:$J196)),AND($L196&lt;&gt;"",$L196&lt;MAX($I196:$K196))),"Avance semanal decreciente"&amp;" · ","")&amp;IF(AND(ISNUMBER($AN196),$AN196&lt;FechaRef,IF($V196="Sub",N($X196),N($M196))&lt;1),"Vencida"&amp;" · ","")&amp;IF(AND(ObsObligatoria="Sí",ISNUMBER($AN196),$AN196&lt;FechaRef,IF($V196="Sub",N($X196),N($M196))&lt;1,$Q196=""),"Vencida sin observación"&amp;" · ",""))="","✔ OK","⚠ "&amp;LEFT(IF($C196="","Falta el nombre de la actividad"&amp;" · ","")&amp;IF(AND($V196="Sub",N($U196)=0),"Subactividad sin macroactividad arriba"&amp;" · ","")&amp;IF($AM196="","Sin fecha de inicio"&amp;" · ","")&amp;IF($AN196="","Sin fecha límite"&amp;" · ","")&amp;IF(AND(LEFT($C196,11)="[Jefatura] ",N($AL196)=0),"No se encuentra en la hoja de la jefatura (elíjala de nuevo en la lista)"&amp;" · ","")&amp;IF(OR(AND($E196&lt;&gt;"",NOT(ISNUMBER($E196))),AND($F196&lt;&gt;"",NOT(ISNUMBER($F196))),AND($G196&lt;&gt;"",NOT(ISNUMBER($G196)))),"Fecha no válida"&amp;" · ","")&amp;IF(AND(ISNUMBER($AM196),ISNUMBER($AN196),$AM196&gt;$AN196),"Inicio posterior a fecha límite"&amp;" · ","")&amp;IF(AND($V196="Macro",$H196&lt;&gt;"",OR(NOT(ISNUMBER($H196)),$H196&lt;0,$H196&gt;1)),"Peso fuera de rango"&amp;" · ","")&amp;IF(AND($V196="Sub",$H196&lt;&gt;""),"Las subactividades no llevan peso (valen igual dentro de su macroactividad)"&amp;" · ","")&amp;IF(AND(N($W196)&gt;0,COUNT($I196:$L196)&gt;0),"Con subactividades: deje vacías las semanas (se calculan solas)"&amp;" · ","")&amp;IF((COUNTIF($I196:$L196,"&gt;1")+COUNTIF($I196:$L196,"&lt;0")+COUNTA($I196:$L196)-COUNT($I196:$L196))&gt;0,"Avance fuera de rango 0-100%"&amp;" · ","")&amp;IF(OR(AND($J196&lt;&gt;"",$J196&lt;$I196),AND($K196&lt;&gt;"",$K196&lt;MAX($I196:$J196)),AND($L196&lt;&gt;"",$L196&lt;MAX($I196:$K196))),"Avance semanal decreciente"&amp;" · ","")&amp;IF(AND(ISNUMBER($AN196),$AN196&lt;FechaRef,IF($V196="Sub",N($X196),N($M196))&lt;1),"Vencida"&amp;" · ","")&amp;IF(AND(ObsObligatoria="Sí",ISNUMBER($AN196),$AN196&lt;FechaRef,IF($V196="Sub",N($X196),N($M196))&lt;1,$Q196=""),"Vencida sin observación"&amp;" · ",""),LEN(IF($C196="","Falta el nombre de la actividad"&amp;" · ","")&amp;IF(AND($V196="Sub",N($U196)=0),"Subactividad sin macroactividad arriba"&amp;" · ","")&amp;IF($AM196="","Sin fecha de inicio"&amp;" · ","")&amp;IF($AN196="","Sin fecha límite"&amp;" · ","")&amp;IF(AND(LEFT($C196,11)="[Jefatura] ",N($AL196)=0),"No se encuentra en la hoja de la jefatura (elíjala de nuevo en la lista)"&amp;" · ","")&amp;IF(OR(AND($E196&lt;&gt;"",NOT(ISNUMBER($E196))),AND($F196&lt;&gt;"",NOT(ISNUMBER($F196))),AND($G196&lt;&gt;"",NOT(ISNUMBER($G196)))),"Fecha no válida"&amp;" · ","")&amp;IF(AND(ISNUMBER($AM196),ISNUMBER($AN196),$AM196&gt;$AN196),"Inicio posterior a fecha límite"&amp;" · ","")&amp;IF(AND($V196="Macro",$H196&lt;&gt;"",OR(NOT(ISNUMBER($H196)),$H196&lt;0,$H196&gt;1)),"Peso fuera de rango"&amp;" · ","")&amp;IF(AND($V196="Sub",$H196&lt;&gt;""),"Las subactividades no llevan peso (valen igual dentro de su macroactividad)"&amp;" · ","")&amp;IF(AND(N($W196)&gt;0,COUNT($I196:$L196)&gt;0),"Con subactividades: deje vacías las semanas (se calculan solas)"&amp;" · ","")&amp;IF((COUNTIF($I196:$L196,"&gt;1")+COUNTIF($I196:$L196,"&lt;0")+COUNTA($I196:$L196)-COUNT($I196:$L196))&gt;0,"Avance fuera de rango 0-100%"&amp;" · ","")&amp;IF(OR(AND($J196&lt;&gt;"",$J196&lt;$I196),AND($K196&lt;&gt;"",$K196&lt;MAX($I196:$J196)),AND($L196&lt;&gt;"",$L196&lt;MAX($I196:$K196))),"Avance semanal decreciente"&amp;" · ","")&amp;IF(AND(ISNUMBER($AN196),$AN196&lt;FechaRef,IF($V196="Sub",N($X196),N($M196))&lt;1),"Vencida"&amp;" · ","")&amp;IF(AND(ObsObligatoria="Sí",ISNUMBER($AN196),$AN196&lt;FechaRef,IF($V196="Sub",N($X196),N($M196))&lt;1,$Q196=""),"Vencida sin observación"&amp;" · ",""))-3)))</f>
        <v/>
      </c>
      <c r="S196" s="64">
        <f>IF(NOT((COUNTA($B196:$D196)+COUNTA($G196:$L196)+COUNTA($Q196))&gt;0),"",IF(AND($V196="Sub",N($U196)&gt;0),IF(ISNUMBER(INDEX($AM$5:$AM$1000,$U196-4)),DATE(YEAR(INDEX($AM$5:$AM$1000,$U196-4)),MONTH(INDEX($AM$5:$AM$1000,$U196-4)),1),IF(ISNUMBER(INDEX($AN$5:$AN$1000,$U196-4)),DATE(YEAR(INDEX($AN$5:$AN$1000,$U196-4)),MONTH(INDEX($AN$5:$AN$1000,$U196-4)),1),MesCiclo)),IF(ISNUMBER($AM196),DATE(YEAR($AM196),MONTH($AM196),1),IF(ISNUMBER($AN196),DATE(YEAR($AN196),MONTH($AN196),1),MesCiclo))))</f>
        <v/>
      </c>
      <c r="T196" s="62">
        <f>IF(OR($S196="",$S196&lt;&gt;MesCiclo,$V196&lt;&gt;"Macro"),"",COUNTIFS($S$5:$S196,MesCiclo,$V$5:$V196,"Macro"))</f>
        <v/>
      </c>
      <c r="U196" s="62">
        <f>IF($V196="","",IF($V196="Macro",ROW(),IFERROR(LOOKUP(2,1/($V$5:$V196="Macro"),ROW($V$5:$V196)),0)))</f>
        <v/>
      </c>
      <c r="V196" s="62">
        <f>IF(NOT((COUNTA($B196:$D196)+COUNTA($G196:$L196)+COUNTA($Q196))&gt;0),"",IF($B196="Subactividad","Sub","Macro"))</f>
        <v/>
      </c>
      <c r="W196" s="62">
        <f>IF($V196="Macro",COUNTIFS($U$5:$U$1000,ROW(),$V$5:$V$1000,"Sub"),"")</f>
        <v/>
      </c>
      <c r="X196" s="62">
        <f>IF($V196="","",IF(ISNUMBER($G196),1,IFERROR(LOOKUP(2,1/($I196:$L196&lt;&gt;""),$I196:$L196),0)))</f>
        <v/>
      </c>
      <c r="Y196" s="62">
        <f>IF($V196="","",IF(AND(ISNUMBER($G196),$G196&lt;=IF($S196=MesCiclo,InicioCiclo,$S196+MOD(2-WEEKDAY($S196),7))+6),1,IF(ISNUMBER($I196),$I196,0)))</f>
        <v/>
      </c>
      <c r="Z196" s="62">
        <f>IF($V196="","",IF(AND(ISNUMBER($G196),$G196&lt;=IF($S196=MesCiclo,InicioCiclo,$S196+MOD(2-WEEKDAY($S196),7))+13),1,IF(ISNUMBER($J196),$J196,$Y196)))</f>
        <v/>
      </c>
      <c r="AA196" s="62">
        <f>IF($V196="","",IF(AND(ISNUMBER($G196),$G196&lt;=IF($S196=MesCiclo,InicioCiclo,$S196+MOD(2-WEEKDAY($S196),7))+20),1,IF(ISNUMBER($K196),$K196,$Z196)))</f>
        <v/>
      </c>
      <c r="AB196" s="62">
        <f>IF($V196="","",IF(AND(ISNUMBER($G196),$G196&lt;=IF($S196=MesCiclo,InicioCiclo,$S196+MOD(2-WEEKDAY($S196),7))+27),1,IF(ISNUMBER($L196),$L196,$AA196)))</f>
        <v/>
      </c>
      <c r="AC196" s="62">
        <f>IF($V196="","",IF(AND(ISNUMBER($G196),$G196&lt;=IF($S196=MesCiclo,InicioCiclo,$S196+MOD(2-WEEKDAY($S196),7))+6),1,IF(N($W196)&gt;0,AVERAGEIFS($Y$5:$Y$1000,$U$5:$U$1000,ROW(),$V$5:$V$1000,"Sub"),$Y196)))</f>
        <v/>
      </c>
      <c r="AD196" s="62">
        <f>IF($V196="","",IF(AND(ISNUMBER($G196),$G196&lt;=IF($S196=MesCiclo,InicioCiclo,$S196+MOD(2-WEEKDAY($S196),7))+13),1,IF(N($W196)&gt;0,AVERAGEIFS($Z$5:$Z$1000,$U$5:$U$1000,ROW(),$V$5:$V$1000,"Sub"),$Z196)))</f>
        <v/>
      </c>
      <c r="AE196" s="62">
        <f>IF($V196="","",IF(AND(ISNUMBER($G196),$G196&lt;=IF($S196=MesCiclo,InicioCiclo,$S196+MOD(2-WEEKDAY($S196),7))+20),1,IF(N($W196)&gt;0,AVERAGEIFS($AA$5:$AA$1000,$U$5:$U$1000,ROW(),$V$5:$V$1000,"Sub"),$AA196)))</f>
        <v/>
      </c>
      <c r="AF196" s="62">
        <f>IF($V196="","",IF(AND(ISNUMBER($G196),$G196&lt;=IF($S196=MesCiclo,InicioCiclo,$S196+MOD(2-WEEKDAY($S196),7))+27),1,IF(N($W196)&gt;0,AVERAGEIFS($AB$5:$AB$1000,$U$5:$U$1000,ROW(),$V$5:$V$1000,"Sub"),$AB196)))</f>
        <v/>
      </c>
      <c r="AG196" s="62">
        <f>IF($V196&lt;&gt;"Macro","",IF(COUNTIFS($S$5:$S$1000,$S196,$V$5:$V$1000,"Macro",$H$5:$H$1000,"&gt;0")=0,1/COUNTIFS($S$5:$S$1000,$S196,$V$5:$V$1000,"Macro"),IF(AND(ISNUMBER($H196),N($H196)&gt;0),$H196,SUMIFS($H$5:$H$1000,$S$5:$S$1000,$S196,$V$5:$V$1000,"Macro")/COUNTIFS($S$5:$S$1000,$S196,$V$5:$V$1000,"Macro",$H$5:$H$1000,"&gt;0"))/(COUNTIFS($S$5:$S$1000,$S196,$V$5:$V$1000,"Macro")*SUMIFS($H$5:$H$1000,$S$5:$S$1000,$S196,$V$5:$V$1000,"Macro")/COUNTIFS($S$5:$S$1000,$S196,$V$5:$V$1000,"Macro",$H$5:$H$1000,"&gt;0"))))</f>
        <v/>
      </c>
      <c r="AH196" s="62" t="n"/>
      <c r="AI196" s="62" t="n"/>
      <c r="AJ196" s="62" t="n"/>
      <c r="AK196" s="62" t="n"/>
      <c r="AL196" s="62">
        <f>IF(LEFT($C196,11)="[Jefatura] ",IFERROR(MATCH("Riesgo Operacional|"&amp;MID($C196,12,500),rDname_ADM,0),0),"")</f>
        <v/>
      </c>
      <c r="AM196" s="62">
        <f>IF(N($AL196)&gt;0,INDEX(rIni_ADM,$AL196),IF(ISNUMBER($E196),$E196,""))</f>
        <v/>
      </c>
      <c r="AN196" s="62">
        <f>IF(N($AL196)&gt;0,INDEX(rLim_ADM,$AL196),IF(ISNUMBER($F196),$F196,""))</f>
        <v/>
      </c>
    </row>
    <row r="197">
      <c r="A197" s="56">
        <f>IF(NOT((COUNTA($B197:$D197)+COUNTA($G197:$L197)+COUNTA($Q197))&gt;0),"",IF($V197="Macro",COUNTIFS($V$5:$V197,"Macro",$S$5:$S197,$S197),IF(N($U197)=0,"?",COUNTIFS(INDEX($V$5:$V$1000,1):INDEX($V$5:$V$1000,$U197-4),"Macro",INDEX($S$5:$S$1000,1):INDEX($S$5:$S$1000,$U197-4),INDEX($S$5:$S$1000,$U197-4))&amp;"."&amp;COUNTIFS($U$5:$U197,$U197,$V$5:$V197,"Sub"))))</f>
        <v/>
      </c>
      <c r="B197" s="57" t="n"/>
      <c r="C197" s="58" t="n"/>
      <c r="D197" s="58" t="n"/>
      <c r="E197" s="59">
        <f>IF(N($AL197)&gt;0,INDEX(rIni_ADM,$AL197),"")</f>
        <v/>
      </c>
      <c r="F197" s="59">
        <f>IF(N($AL197)&gt;0,INDEX(rLim_ADM,$AL197),"")</f>
        <v/>
      </c>
      <c r="G197" s="59" t="n"/>
      <c r="H197" s="60" t="n"/>
      <c r="I197" s="60" t="n"/>
      <c r="J197" s="60" t="n"/>
      <c r="K197" s="60" t="n"/>
      <c r="L197" s="60" t="n"/>
      <c r="M197" s="61">
        <f>IF(NOT((COUNTA($B197:$D197)+COUNTA($G197:$L197)+COUNTA($Q197))&gt;0),"",IF($V197="Sub",IFERROR($X197/INDEX($W$5:$W$1000,$U197-4),""),IF(ISNUMBER($G197),1,IF(N($W197)&gt;0,AVERAGEIFS($X$5:$X$1000,$U$5:$U$1000,ROW(),$V$5:$V$1000,"Sub"),$X197))))</f>
        <v/>
      </c>
      <c r="N197" s="56">
        <f>IF(OR($M197="",$V197="Sub"),"",IF($M197&gt;=1,"Completado",IF($M197&gt;0,"En curso","Pendiente")))</f>
        <v/>
      </c>
      <c r="O197" s="56">
        <f>IF(OR(NOT((COUNTA($B197:$D197)+COUNTA($G197:$L197)+COUNTA($Q197))&gt;0),$V197="Sub"),"",IF(ISNUMBER($G197),IF(AND(ISNUMBER($AN197),$G197&gt;$AN197),"Cumplida con "&amp;($G197-$AN197)&amp;IF($G197-$AN197=1," día"," días")&amp;" de retraso","Cumplida"),IF(N($M197)&gt;=1,"Cumplida",IF(NOT(ISNUMBER($AN197)),"Sin fecha límite",IF($AN197&lt;FechaRef,"Vencida hace "&amp;(FechaRef-$AN197)&amp;IF(FechaRef-$AN197=1," día"," días"),IF($AN197=FechaRef,"Vence hoy",IF($AN197-FechaRef&lt;=DiasAlerta,"Vence en "&amp;($AN197-FechaRef)&amp;IF($AN197-FechaRef=1," día"," días"),"En plazo")))))))</f>
        <v/>
      </c>
      <c r="P197" s="62" t="n"/>
      <c r="Q197" s="58" t="n"/>
      <c r="R197" s="63">
        <f>IF(NOT((COUNTA($B197:$D197)+COUNTA($G197:$L197)+COUNTA($Q197))&gt;0),"",IF((IF($C197="","Falta el nombre de la actividad"&amp;" · ","")&amp;IF(AND($V197="Sub",N($U197)=0),"Subactividad sin macroactividad arriba"&amp;" · ","")&amp;IF($AM197="","Sin fecha de inicio"&amp;" · ","")&amp;IF($AN197="","Sin fecha límite"&amp;" · ","")&amp;IF(AND(LEFT($C197,11)="[Jefatura] ",N($AL197)=0),"No se encuentra en la hoja de la jefatura (elíjala de nuevo en la lista)"&amp;" · ","")&amp;IF(OR(AND($E197&lt;&gt;"",NOT(ISNUMBER($E197))),AND($F197&lt;&gt;"",NOT(ISNUMBER($F197))),AND($G197&lt;&gt;"",NOT(ISNUMBER($G197)))),"Fecha no válida"&amp;" · ","")&amp;IF(AND(ISNUMBER($AM197),ISNUMBER($AN197),$AM197&gt;$AN197),"Inicio posterior a fecha límite"&amp;" · ","")&amp;IF(AND($V197="Macro",$H197&lt;&gt;"",OR(NOT(ISNUMBER($H197)),$H197&lt;0,$H197&gt;1)),"Peso fuera de rango"&amp;" · ","")&amp;IF(AND($V197="Sub",$H197&lt;&gt;""),"Las subactividades no llevan peso (valen igual dentro de su macroactividad)"&amp;" · ","")&amp;IF(AND(N($W197)&gt;0,COUNT($I197:$L197)&gt;0),"Con subactividades: deje vacías las semanas (se calculan solas)"&amp;" · ","")&amp;IF((COUNTIF($I197:$L197,"&gt;1")+COUNTIF($I197:$L197,"&lt;0")+COUNTA($I197:$L197)-COUNT($I197:$L197))&gt;0,"Avance fuera de rango 0-100%"&amp;" · ","")&amp;IF(OR(AND($J197&lt;&gt;"",$J197&lt;$I197),AND($K197&lt;&gt;"",$K197&lt;MAX($I197:$J197)),AND($L197&lt;&gt;"",$L197&lt;MAX($I197:$K197))),"Avance semanal decreciente"&amp;" · ","")&amp;IF(AND(ISNUMBER($AN197),$AN197&lt;FechaRef,IF($V197="Sub",N($X197),N($M197))&lt;1),"Vencida"&amp;" · ","")&amp;IF(AND(ObsObligatoria="Sí",ISNUMBER($AN197),$AN197&lt;FechaRef,IF($V197="Sub",N($X197),N($M197))&lt;1,$Q197=""),"Vencida sin observación"&amp;" · ",""))="","✔ OK","⚠ "&amp;LEFT(IF($C197="","Falta el nombre de la actividad"&amp;" · ","")&amp;IF(AND($V197="Sub",N($U197)=0),"Subactividad sin macroactividad arriba"&amp;" · ","")&amp;IF($AM197="","Sin fecha de inicio"&amp;" · ","")&amp;IF($AN197="","Sin fecha límite"&amp;" · ","")&amp;IF(AND(LEFT($C197,11)="[Jefatura] ",N($AL197)=0),"No se encuentra en la hoja de la jefatura (elíjala de nuevo en la lista)"&amp;" · ","")&amp;IF(OR(AND($E197&lt;&gt;"",NOT(ISNUMBER($E197))),AND($F197&lt;&gt;"",NOT(ISNUMBER($F197))),AND($G197&lt;&gt;"",NOT(ISNUMBER($G197)))),"Fecha no válida"&amp;" · ","")&amp;IF(AND(ISNUMBER($AM197),ISNUMBER($AN197),$AM197&gt;$AN197),"Inicio posterior a fecha límite"&amp;" · ","")&amp;IF(AND($V197="Macro",$H197&lt;&gt;"",OR(NOT(ISNUMBER($H197)),$H197&lt;0,$H197&gt;1)),"Peso fuera de rango"&amp;" · ","")&amp;IF(AND($V197="Sub",$H197&lt;&gt;""),"Las subactividades no llevan peso (valen igual dentro de su macroactividad)"&amp;" · ","")&amp;IF(AND(N($W197)&gt;0,COUNT($I197:$L197)&gt;0),"Con subactividades: deje vacías las semanas (se calculan solas)"&amp;" · ","")&amp;IF((COUNTIF($I197:$L197,"&gt;1")+COUNTIF($I197:$L197,"&lt;0")+COUNTA($I197:$L197)-COUNT($I197:$L197))&gt;0,"Avance fuera de rango 0-100%"&amp;" · ","")&amp;IF(OR(AND($J197&lt;&gt;"",$J197&lt;$I197),AND($K197&lt;&gt;"",$K197&lt;MAX($I197:$J197)),AND($L197&lt;&gt;"",$L197&lt;MAX($I197:$K197))),"Avance semanal decreciente"&amp;" · ","")&amp;IF(AND(ISNUMBER($AN197),$AN197&lt;FechaRef,IF($V197="Sub",N($X197),N($M197))&lt;1),"Vencida"&amp;" · ","")&amp;IF(AND(ObsObligatoria="Sí",ISNUMBER($AN197),$AN197&lt;FechaRef,IF($V197="Sub",N($X197),N($M197))&lt;1,$Q197=""),"Vencida sin observación"&amp;" · ",""),LEN(IF($C197="","Falta el nombre de la actividad"&amp;" · ","")&amp;IF(AND($V197="Sub",N($U197)=0),"Subactividad sin macroactividad arriba"&amp;" · ","")&amp;IF($AM197="","Sin fecha de inicio"&amp;" · ","")&amp;IF($AN197="","Sin fecha límite"&amp;" · ","")&amp;IF(AND(LEFT($C197,11)="[Jefatura] ",N($AL197)=0),"No se encuentra en la hoja de la jefatura (elíjala de nuevo en la lista)"&amp;" · ","")&amp;IF(OR(AND($E197&lt;&gt;"",NOT(ISNUMBER($E197))),AND($F197&lt;&gt;"",NOT(ISNUMBER($F197))),AND($G197&lt;&gt;"",NOT(ISNUMBER($G197)))),"Fecha no válida"&amp;" · ","")&amp;IF(AND(ISNUMBER($AM197),ISNUMBER($AN197),$AM197&gt;$AN197),"Inicio posterior a fecha límite"&amp;" · ","")&amp;IF(AND($V197="Macro",$H197&lt;&gt;"",OR(NOT(ISNUMBER($H197)),$H197&lt;0,$H197&gt;1)),"Peso fuera de rango"&amp;" · ","")&amp;IF(AND($V197="Sub",$H197&lt;&gt;""),"Las subactividades no llevan peso (valen igual dentro de su macroactividad)"&amp;" · ","")&amp;IF(AND(N($W197)&gt;0,COUNT($I197:$L197)&gt;0),"Con subactividades: deje vacías las semanas (se calculan solas)"&amp;" · ","")&amp;IF((COUNTIF($I197:$L197,"&gt;1")+COUNTIF($I197:$L197,"&lt;0")+COUNTA($I197:$L197)-COUNT($I197:$L197))&gt;0,"Avance fuera de rango 0-100%"&amp;" · ","")&amp;IF(OR(AND($J197&lt;&gt;"",$J197&lt;$I197),AND($K197&lt;&gt;"",$K197&lt;MAX($I197:$J197)),AND($L197&lt;&gt;"",$L197&lt;MAX($I197:$K197))),"Avance semanal decreciente"&amp;" · ","")&amp;IF(AND(ISNUMBER($AN197),$AN197&lt;FechaRef,IF($V197="Sub",N($X197),N($M197))&lt;1),"Vencida"&amp;" · ","")&amp;IF(AND(ObsObligatoria="Sí",ISNUMBER($AN197),$AN197&lt;FechaRef,IF($V197="Sub",N($X197),N($M197))&lt;1,$Q197=""),"Vencida sin observación"&amp;" · ",""))-3)))</f>
        <v/>
      </c>
      <c r="S197" s="64">
        <f>IF(NOT((COUNTA($B197:$D197)+COUNTA($G197:$L197)+COUNTA($Q197))&gt;0),"",IF(AND($V197="Sub",N($U197)&gt;0),IF(ISNUMBER(INDEX($AM$5:$AM$1000,$U197-4)),DATE(YEAR(INDEX($AM$5:$AM$1000,$U197-4)),MONTH(INDEX($AM$5:$AM$1000,$U197-4)),1),IF(ISNUMBER(INDEX($AN$5:$AN$1000,$U197-4)),DATE(YEAR(INDEX($AN$5:$AN$1000,$U197-4)),MONTH(INDEX($AN$5:$AN$1000,$U197-4)),1),MesCiclo)),IF(ISNUMBER($AM197),DATE(YEAR($AM197),MONTH($AM197),1),IF(ISNUMBER($AN197),DATE(YEAR($AN197),MONTH($AN197),1),MesCiclo))))</f>
        <v/>
      </c>
      <c r="T197" s="62">
        <f>IF(OR($S197="",$S197&lt;&gt;MesCiclo,$V197&lt;&gt;"Macro"),"",COUNTIFS($S$5:$S197,MesCiclo,$V$5:$V197,"Macro"))</f>
        <v/>
      </c>
      <c r="U197" s="62">
        <f>IF($V197="","",IF($V197="Macro",ROW(),IFERROR(LOOKUP(2,1/($V$5:$V197="Macro"),ROW($V$5:$V197)),0)))</f>
        <v/>
      </c>
      <c r="V197" s="62">
        <f>IF(NOT((COUNTA($B197:$D197)+COUNTA($G197:$L197)+COUNTA($Q197))&gt;0),"",IF($B197="Subactividad","Sub","Macro"))</f>
        <v/>
      </c>
      <c r="W197" s="62">
        <f>IF($V197="Macro",COUNTIFS($U$5:$U$1000,ROW(),$V$5:$V$1000,"Sub"),"")</f>
        <v/>
      </c>
      <c r="X197" s="62">
        <f>IF($V197="","",IF(ISNUMBER($G197),1,IFERROR(LOOKUP(2,1/($I197:$L197&lt;&gt;""),$I197:$L197),0)))</f>
        <v/>
      </c>
      <c r="Y197" s="62">
        <f>IF($V197="","",IF(AND(ISNUMBER($G197),$G197&lt;=IF($S197=MesCiclo,InicioCiclo,$S197+MOD(2-WEEKDAY($S197),7))+6),1,IF(ISNUMBER($I197),$I197,0)))</f>
        <v/>
      </c>
      <c r="Z197" s="62">
        <f>IF($V197="","",IF(AND(ISNUMBER($G197),$G197&lt;=IF($S197=MesCiclo,InicioCiclo,$S197+MOD(2-WEEKDAY($S197),7))+13),1,IF(ISNUMBER($J197),$J197,$Y197)))</f>
        <v/>
      </c>
      <c r="AA197" s="62">
        <f>IF($V197="","",IF(AND(ISNUMBER($G197),$G197&lt;=IF($S197=MesCiclo,InicioCiclo,$S197+MOD(2-WEEKDAY($S197),7))+20),1,IF(ISNUMBER($K197),$K197,$Z197)))</f>
        <v/>
      </c>
      <c r="AB197" s="62">
        <f>IF($V197="","",IF(AND(ISNUMBER($G197),$G197&lt;=IF($S197=MesCiclo,InicioCiclo,$S197+MOD(2-WEEKDAY($S197),7))+27),1,IF(ISNUMBER($L197),$L197,$AA197)))</f>
        <v/>
      </c>
      <c r="AC197" s="62">
        <f>IF($V197="","",IF(AND(ISNUMBER($G197),$G197&lt;=IF($S197=MesCiclo,InicioCiclo,$S197+MOD(2-WEEKDAY($S197),7))+6),1,IF(N($W197)&gt;0,AVERAGEIFS($Y$5:$Y$1000,$U$5:$U$1000,ROW(),$V$5:$V$1000,"Sub"),$Y197)))</f>
        <v/>
      </c>
      <c r="AD197" s="62">
        <f>IF($V197="","",IF(AND(ISNUMBER($G197),$G197&lt;=IF($S197=MesCiclo,InicioCiclo,$S197+MOD(2-WEEKDAY($S197),7))+13),1,IF(N($W197)&gt;0,AVERAGEIFS($Z$5:$Z$1000,$U$5:$U$1000,ROW(),$V$5:$V$1000,"Sub"),$Z197)))</f>
        <v/>
      </c>
      <c r="AE197" s="62">
        <f>IF($V197="","",IF(AND(ISNUMBER($G197),$G197&lt;=IF($S197=MesCiclo,InicioCiclo,$S197+MOD(2-WEEKDAY($S197),7))+20),1,IF(N($W197)&gt;0,AVERAGEIFS($AA$5:$AA$1000,$U$5:$U$1000,ROW(),$V$5:$V$1000,"Sub"),$AA197)))</f>
        <v/>
      </c>
      <c r="AF197" s="62">
        <f>IF($V197="","",IF(AND(ISNUMBER($G197),$G197&lt;=IF($S197=MesCiclo,InicioCiclo,$S197+MOD(2-WEEKDAY($S197),7))+27),1,IF(N($W197)&gt;0,AVERAGEIFS($AB$5:$AB$1000,$U$5:$U$1000,ROW(),$V$5:$V$1000,"Sub"),$AB197)))</f>
        <v/>
      </c>
      <c r="AG197" s="62">
        <f>IF($V197&lt;&gt;"Macro","",IF(COUNTIFS($S$5:$S$1000,$S197,$V$5:$V$1000,"Macro",$H$5:$H$1000,"&gt;0")=0,1/COUNTIFS($S$5:$S$1000,$S197,$V$5:$V$1000,"Macro"),IF(AND(ISNUMBER($H197),N($H197)&gt;0),$H197,SUMIFS($H$5:$H$1000,$S$5:$S$1000,$S197,$V$5:$V$1000,"Macro")/COUNTIFS($S$5:$S$1000,$S197,$V$5:$V$1000,"Macro",$H$5:$H$1000,"&gt;0"))/(COUNTIFS($S$5:$S$1000,$S197,$V$5:$V$1000,"Macro")*SUMIFS($H$5:$H$1000,$S$5:$S$1000,$S197,$V$5:$V$1000,"Macro")/COUNTIFS($S$5:$S$1000,$S197,$V$5:$V$1000,"Macro",$H$5:$H$1000,"&gt;0"))))</f>
        <v/>
      </c>
      <c r="AH197" s="62" t="n"/>
      <c r="AI197" s="62" t="n"/>
      <c r="AJ197" s="62" t="n"/>
      <c r="AK197" s="62" t="n"/>
      <c r="AL197" s="62">
        <f>IF(LEFT($C197,11)="[Jefatura] ",IFERROR(MATCH("Riesgo Operacional|"&amp;MID($C197,12,500),rDname_ADM,0),0),"")</f>
        <v/>
      </c>
      <c r="AM197" s="62">
        <f>IF(N($AL197)&gt;0,INDEX(rIni_ADM,$AL197),IF(ISNUMBER($E197),$E197,""))</f>
        <v/>
      </c>
      <c r="AN197" s="62">
        <f>IF(N($AL197)&gt;0,INDEX(rLim_ADM,$AL197),IF(ISNUMBER($F197),$F197,""))</f>
        <v/>
      </c>
    </row>
    <row r="198">
      <c r="A198" s="56">
        <f>IF(NOT((COUNTA($B198:$D198)+COUNTA($G198:$L198)+COUNTA($Q198))&gt;0),"",IF($V198="Macro",COUNTIFS($V$5:$V198,"Macro",$S$5:$S198,$S198),IF(N($U198)=0,"?",COUNTIFS(INDEX($V$5:$V$1000,1):INDEX($V$5:$V$1000,$U198-4),"Macro",INDEX($S$5:$S$1000,1):INDEX($S$5:$S$1000,$U198-4),INDEX($S$5:$S$1000,$U198-4))&amp;"."&amp;COUNTIFS($U$5:$U198,$U198,$V$5:$V198,"Sub"))))</f>
        <v/>
      </c>
      <c r="B198" s="57" t="n"/>
      <c r="C198" s="58" t="n"/>
      <c r="D198" s="58" t="n"/>
      <c r="E198" s="59">
        <f>IF(N($AL198)&gt;0,INDEX(rIni_ADM,$AL198),"")</f>
        <v/>
      </c>
      <c r="F198" s="59">
        <f>IF(N($AL198)&gt;0,INDEX(rLim_ADM,$AL198),"")</f>
        <v/>
      </c>
      <c r="G198" s="59" t="n"/>
      <c r="H198" s="60" t="n"/>
      <c r="I198" s="60" t="n"/>
      <c r="J198" s="60" t="n"/>
      <c r="K198" s="60" t="n"/>
      <c r="L198" s="60" t="n"/>
      <c r="M198" s="61">
        <f>IF(NOT((COUNTA($B198:$D198)+COUNTA($G198:$L198)+COUNTA($Q198))&gt;0),"",IF($V198="Sub",IFERROR($X198/INDEX($W$5:$W$1000,$U198-4),""),IF(ISNUMBER($G198),1,IF(N($W198)&gt;0,AVERAGEIFS($X$5:$X$1000,$U$5:$U$1000,ROW(),$V$5:$V$1000,"Sub"),$X198))))</f>
        <v/>
      </c>
      <c r="N198" s="56">
        <f>IF(OR($M198="",$V198="Sub"),"",IF($M198&gt;=1,"Completado",IF($M198&gt;0,"En curso","Pendiente")))</f>
        <v/>
      </c>
      <c r="O198" s="56">
        <f>IF(OR(NOT((COUNTA($B198:$D198)+COUNTA($G198:$L198)+COUNTA($Q198))&gt;0),$V198="Sub"),"",IF(ISNUMBER($G198),IF(AND(ISNUMBER($AN198),$G198&gt;$AN198),"Cumplida con "&amp;($G198-$AN198)&amp;IF($G198-$AN198=1," día"," días")&amp;" de retraso","Cumplida"),IF(N($M198)&gt;=1,"Cumplida",IF(NOT(ISNUMBER($AN198)),"Sin fecha límite",IF($AN198&lt;FechaRef,"Vencida hace "&amp;(FechaRef-$AN198)&amp;IF(FechaRef-$AN198=1," día"," días"),IF($AN198=FechaRef,"Vence hoy",IF($AN198-FechaRef&lt;=DiasAlerta,"Vence en "&amp;($AN198-FechaRef)&amp;IF($AN198-FechaRef=1," día"," días"),"En plazo")))))))</f>
        <v/>
      </c>
      <c r="P198" s="62" t="n"/>
      <c r="Q198" s="58" t="n"/>
      <c r="R198" s="63">
        <f>IF(NOT((COUNTA($B198:$D198)+COUNTA($G198:$L198)+COUNTA($Q198))&gt;0),"",IF((IF($C198="","Falta el nombre de la actividad"&amp;" · ","")&amp;IF(AND($V198="Sub",N($U198)=0),"Subactividad sin macroactividad arriba"&amp;" · ","")&amp;IF($AM198="","Sin fecha de inicio"&amp;" · ","")&amp;IF($AN198="","Sin fecha límite"&amp;" · ","")&amp;IF(AND(LEFT($C198,11)="[Jefatura] ",N($AL198)=0),"No se encuentra en la hoja de la jefatura (elíjala de nuevo en la lista)"&amp;" · ","")&amp;IF(OR(AND($E198&lt;&gt;"",NOT(ISNUMBER($E198))),AND($F198&lt;&gt;"",NOT(ISNUMBER($F198))),AND($G198&lt;&gt;"",NOT(ISNUMBER($G198)))),"Fecha no válida"&amp;" · ","")&amp;IF(AND(ISNUMBER($AM198),ISNUMBER($AN198),$AM198&gt;$AN198),"Inicio posterior a fecha límite"&amp;" · ","")&amp;IF(AND($V198="Macro",$H198&lt;&gt;"",OR(NOT(ISNUMBER($H198)),$H198&lt;0,$H198&gt;1)),"Peso fuera de rango"&amp;" · ","")&amp;IF(AND($V198="Sub",$H198&lt;&gt;""),"Las subactividades no llevan peso (valen igual dentro de su macroactividad)"&amp;" · ","")&amp;IF(AND(N($W198)&gt;0,COUNT($I198:$L198)&gt;0),"Con subactividades: deje vacías las semanas (se calculan solas)"&amp;" · ","")&amp;IF((COUNTIF($I198:$L198,"&gt;1")+COUNTIF($I198:$L198,"&lt;0")+COUNTA($I198:$L198)-COUNT($I198:$L198))&gt;0,"Avance fuera de rango 0-100%"&amp;" · ","")&amp;IF(OR(AND($J198&lt;&gt;"",$J198&lt;$I198),AND($K198&lt;&gt;"",$K198&lt;MAX($I198:$J198)),AND($L198&lt;&gt;"",$L198&lt;MAX($I198:$K198))),"Avance semanal decreciente"&amp;" · ","")&amp;IF(AND(ISNUMBER($AN198),$AN198&lt;FechaRef,IF($V198="Sub",N($X198),N($M198))&lt;1),"Vencida"&amp;" · ","")&amp;IF(AND(ObsObligatoria="Sí",ISNUMBER($AN198),$AN198&lt;FechaRef,IF($V198="Sub",N($X198),N($M198))&lt;1,$Q198=""),"Vencida sin observación"&amp;" · ",""))="","✔ OK","⚠ "&amp;LEFT(IF($C198="","Falta el nombre de la actividad"&amp;" · ","")&amp;IF(AND($V198="Sub",N($U198)=0),"Subactividad sin macroactividad arriba"&amp;" · ","")&amp;IF($AM198="","Sin fecha de inicio"&amp;" · ","")&amp;IF($AN198="","Sin fecha límite"&amp;" · ","")&amp;IF(AND(LEFT($C198,11)="[Jefatura] ",N($AL198)=0),"No se encuentra en la hoja de la jefatura (elíjala de nuevo en la lista)"&amp;" · ","")&amp;IF(OR(AND($E198&lt;&gt;"",NOT(ISNUMBER($E198))),AND($F198&lt;&gt;"",NOT(ISNUMBER($F198))),AND($G198&lt;&gt;"",NOT(ISNUMBER($G198)))),"Fecha no válida"&amp;" · ","")&amp;IF(AND(ISNUMBER($AM198),ISNUMBER($AN198),$AM198&gt;$AN198),"Inicio posterior a fecha límite"&amp;" · ","")&amp;IF(AND($V198="Macro",$H198&lt;&gt;"",OR(NOT(ISNUMBER($H198)),$H198&lt;0,$H198&gt;1)),"Peso fuera de rango"&amp;" · ","")&amp;IF(AND($V198="Sub",$H198&lt;&gt;""),"Las subactividades no llevan peso (valen igual dentro de su macroactividad)"&amp;" · ","")&amp;IF(AND(N($W198)&gt;0,COUNT($I198:$L198)&gt;0),"Con subactividades: deje vacías las semanas (se calculan solas)"&amp;" · ","")&amp;IF((COUNTIF($I198:$L198,"&gt;1")+COUNTIF($I198:$L198,"&lt;0")+COUNTA($I198:$L198)-COUNT($I198:$L198))&gt;0,"Avance fuera de rango 0-100%"&amp;" · ","")&amp;IF(OR(AND($J198&lt;&gt;"",$J198&lt;$I198),AND($K198&lt;&gt;"",$K198&lt;MAX($I198:$J198)),AND($L198&lt;&gt;"",$L198&lt;MAX($I198:$K198))),"Avance semanal decreciente"&amp;" · ","")&amp;IF(AND(ISNUMBER($AN198),$AN198&lt;FechaRef,IF($V198="Sub",N($X198),N($M198))&lt;1),"Vencida"&amp;" · ","")&amp;IF(AND(ObsObligatoria="Sí",ISNUMBER($AN198),$AN198&lt;FechaRef,IF($V198="Sub",N($X198),N($M198))&lt;1,$Q198=""),"Vencida sin observación"&amp;" · ",""),LEN(IF($C198="","Falta el nombre de la actividad"&amp;" · ","")&amp;IF(AND($V198="Sub",N($U198)=0),"Subactividad sin macroactividad arriba"&amp;" · ","")&amp;IF($AM198="","Sin fecha de inicio"&amp;" · ","")&amp;IF($AN198="","Sin fecha límite"&amp;" · ","")&amp;IF(AND(LEFT($C198,11)="[Jefatura] ",N($AL198)=0),"No se encuentra en la hoja de la jefatura (elíjala de nuevo en la lista)"&amp;" · ","")&amp;IF(OR(AND($E198&lt;&gt;"",NOT(ISNUMBER($E198))),AND($F198&lt;&gt;"",NOT(ISNUMBER($F198))),AND($G198&lt;&gt;"",NOT(ISNUMBER($G198)))),"Fecha no válida"&amp;" · ","")&amp;IF(AND(ISNUMBER($AM198),ISNUMBER($AN198),$AM198&gt;$AN198),"Inicio posterior a fecha límite"&amp;" · ","")&amp;IF(AND($V198="Macro",$H198&lt;&gt;"",OR(NOT(ISNUMBER($H198)),$H198&lt;0,$H198&gt;1)),"Peso fuera de rango"&amp;" · ","")&amp;IF(AND($V198="Sub",$H198&lt;&gt;""),"Las subactividades no llevan peso (valen igual dentro de su macroactividad)"&amp;" · ","")&amp;IF(AND(N($W198)&gt;0,COUNT($I198:$L198)&gt;0),"Con subactividades: deje vacías las semanas (se calculan solas)"&amp;" · ","")&amp;IF((COUNTIF($I198:$L198,"&gt;1")+COUNTIF($I198:$L198,"&lt;0")+COUNTA($I198:$L198)-COUNT($I198:$L198))&gt;0,"Avance fuera de rango 0-100%"&amp;" · ","")&amp;IF(OR(AND($J198&lt;&gt;"",$J198&lt;$I198),AND($K198&lt;&gt;"",$K198&lt;MAX($I198:$J198)),AND($L198&lt;&gt;"",$L198&lt;MAX($I198:$K198))),"Avance semanal decreciente"&amp;" · ","")&amp;IF(AND(ISNUMBER($AN198),$AN198&lt;FechaRef,IF($V198="Sub",N($X198),N($M198))&lt;1),"Vencida"&amp;" · ","")&amp;IF(AND(ObsObligatoria="Sí",ISNUMBER($AN198),$AN198&lt;FechaRef,IF($V198="Sub",N($X198),N($M198))&lt;1,$Q198=""),"Vencida sin observación"&amp;" · ",""))-3)))</f>
        <v/>
      </c>
      <c r="S198" s="64">
        <f>IF(NOT((COUNTA($B198:$D198)+COUNTA($G198:$L198)+COUNTA($Q198))&gt;0),"",IF(AND($V198="Sub",N($U198)&gt;0),IF(ISNUMBER(INDEX($AM$5:$AM$1000,$U198-4)),DATE(YEAR(INDEX($AM$5:$AM$1000,$U198-4)),MONTH(INDEX($AM$5:$AM$1000,$U198-4)),1),IF(ISNUMBER(INDEX($AN$5:$AN$1000,$U198-4)),DATE(YEAR(INDEX($AN$5:$AN$1000,$U198-4)),MONTH(INDEX($AN$5:$AN$1000,$U198-4)),1),MesCiclo)),IF(ISNUMBER($AM198),DATE(YEAR($AM198),MONTH($AM198),1),IF(ISNUMBER($AN198),DATE(YEAR($AN198),MONTH($AN198),1),MesCiclo))))</f>
        <v/>
      </c>
      <c r="T198" s="62">
        <f>IF(OR($S198="",$S198&lt;&gt;MesCiclo,$V198&lt;&gt;"Macro"),"",COUNTIFS($S$5:$S198,MesCiclo,$V$5:$V198,"Macro"))</f>
        <v/>
      </c>
      <c r="U198" s="62">
        <f>IF($V198="","",IF($V198="Macro",ROW(),IFERROR(LOOKUP(2,1/($V$5:$V198="Macro"),ROW($V$5:$V198)),0)))</f>
        <v/>
      </c>
      <c r="V198" s="62">
        <f>IF(NOT((COUNTA($B198:$D198)+COUNTA($G198:$L198)+COUNTA($Q198))&gt;0),"",IF($B198="Subactividad","Sub","Macro"))</f>
        <v/>
      </c>
      <c r="W198" s="62">
        <f>IF($V198="Macro",COUNTIFS($U$5:$U$1000,ROW(),$V$5:$V$1000,"Sub"),"")</f>
        <v/>
      </c>
      <c r="X198" s="62">
        <f>IF($V198="","",IF(ISNUMBER($G198),1,IFERROR(LOOKUP(2,1/($I198:$L198&lt;&gt;""),$I198:$L198),0)))</f>
        <v/>
      </c>
      <c r="Y198" s="62">
        <f>IF($V198="","",IF(AND(ISNUMBER($G198),$G198&lt;=IF($S198=MesCiclo,InicioCiclo,$S198+MOD(2-WEEKDAY($S198),7))+6),1,IF(ISNUMBER($I198),$I198,0)))</f>
        <v/>
      </c>
      <c r="Z198" s="62">
        <f>IF($V198="","",IF(AND(ISNUMBER($G198),$G198&lt;=IF($S198=MesCiclo,InicioCiclo,$S198+MOD(2-WEEKDAY($S198),7))+13),1,IF(ISNUMBER($J198),$J198,$Y198)))</f>
        <v/>
      </c>
      <c r="AA198" s="62">
        <f>IF($V198="","",IF(AND(ISNUMBER($G198),$G198&lt;=IF($S198=MesCiclo,InicioCiclo,$S198+MOD(2-WEEKDAY($S198),7))+20),1,IF(ISNUMBER($K198),$K198,$Z198)))</f>
        <v/>
      </c>
      <c r="AB198" s="62">
        <f>IF($V198="","",IF(AND(ISNUMBER($G198),$G198&lt;=IF($S198=MesCiclo,InicioCiclo,$S198+MOD(2-WEEKDAY($S198),7))+27),1,IF(ISNUMBER($L198),$L198,$AA198)))</f>
        <v/>
      </c>
      <c r="AC198" s="62">
        <f>IF($V198="","",IF(AND(ISNUMBER($G198),$G198&lt;=IF($S198=MesCiclo,InicioCiclo,$S198+MOD(2-WEEKDAY($S198),7))+6),1,IF(N($W198)&gt;0,AVERAGEIFS($Y$5:$Y$1000,$U$5:$U$1000,ROW(),$V$5:$V$1000,"Sub"),$Y198)))</f>
        <v/>
      </c>
      <c r="AD198" s="62">
        <f>IF($V198="","",IF(AND(ISNUMBER($G198),$G198&lt;=IF($S198=MesCiclo,InicioCiclo,$S198+MOD(2-WEEKDAY($S198),7))+13),1,IF(N($W198)&gt;0,AVERAGEIFS($Z$5:$Z$1000,$U$5:$U$1000,ROW(),$V$5:$V$1000,"Sub"),$Z198)))</f>
        <v/>
      </c>
      <c r="AE198" s="62">
        <f>IF($V198="","",IF(AND(ISNUMBER($G198),$G198&lt;=IF($S198=MesCiclo,InicioCiclo,$S198+MOD(2-WEEKDAY($S198),7))+20),1,IF(N($W198)&gt;0,AVERAGEIFS($AA$5:$AA$1000,$U$5:$U$1000,ROW(),$V$5:$V$1000,"Sub"),$AA198)))</f>
        <v/>
      </c>
      <c r="AF198" s="62">
        <f>IF($V198="","",IF(AND(ISNUMBER($G198),$G198&lt;=IF($S198=MesCiclo,InicioCiclo,$S198+MOD(2-WEEKDAY($S198),7))+27),1,IF(N($W198)&gt;0,AVERAGEIFS($AB$5:$AB$1000,$U$5:$U$1000,ROW(),$V$5:$V$1000,"Sub"),$AB198)))</f>
        <v/>
      </c>
      <c r="AG198" s="62">
        <f>IF($V198&lt;&gt;"Macro","",IF(COUNTIFS($S$5:$S$1000,$S198,$V$5:$V$1000,"Macro",$H$5:$H$1000,"&gt;0")=0,1/COUNTIFS($S$5:$S$1000,$S198,$V$5:$V$1000,"Macro"),IF(AND(ISNUMBER($H198),N($H198)&gt;0),$H198,SUMIFS($H$5:$H$1000,$S$5:$S$1000,$S198,$V$5:$V$1000,"Macro")/COUNTIFS($S$5:$S$1000,$S198,$V$5:$V$1000,"Macro",$H$5:$H$1000,"&gt;0"))/(COUNTIFS($S$5:$S$1000,$S198,$V$5:$V$1000,"Macro")*SUMIFS($H$5:$H$1000,$S$5:$S$1000,$S198,$V$5:$V$1000,"Macro")/COUNTIFS($S$5:$S$1000,$S198,$V$5:$V$1000,"Macro",$H$5:$H$1000,"&gt;0"))))</f>
        <v/>
      </c>
      <c r="AH198" s="62" t="n"/>
      <c r="AI198" s="62" t="n"/>
      <c r="AJ198" s="62" t="n"/>
      <c r="AK198" s="62" t="n"/>
      <c r="AL198" s="62">
        <f>IF(LEFT($C198,11)="[Jefatura] ",IFERROR(MATCH("Riesgo Operacional|"&amp;MID($C198,12,500),rDname_ADM,0),0),"")</f>
        <v/>
      </c>
      <c r="AM198" s="62">
        <f>IF(N($AL198)&gt;0,INDEX(rIni_ADM,$AL198),IF(ISNUMBER($E198),$E198,""))</f>
        <v/>
      </c>
      <c r="AN198" s="62">
        <f>IF(N($AL198)&gt;0,INDEX(rLim_ADM,$AL198),IF(ISNUMBER($F198),$F198,""))</f>
        <v/>
      </c>
    </row>
    <row r="199">
      <c r="A199" s="56">
        <f>IF(NOT((COUNTA($B199:$D199)+COUNTA($G199:$L199)+COUNTA($Q199))&gt;0),"",IF($V199="Macro",COUNTIFS($V$5:$V199,"Macro",$S$5:$S199,$S199),IF(N($U199)=0,"?",COUNTIFS(INDEX($V$5:$V$1000,1):INDEX($V$5:$V$1000,$U199-4),"Macro",INDEX($S$5:$S$1000,1):INDEX($S$5:$S$1000,$U199-4),INDEX($S$5:$S$1000,$U199-4))&amp;"."&amp;COUNTIFS($U$5:$U199,$U199,$V$5:$V199,"Sub"))))</f>
        <v/>
      </c>
      <c r="B199" s="57" t="n"/>
      <c r="C199" s="58" t="n"/>
      <c r="D199" s="58" t="n"/>
      <c r="E199" s="59">
        <f>IF(N($AL199)&gt;0,INDEX(rIni_ADM,$AL199),"")</f>
        <v/>
      </c>
      <c r="F199" s="59">
        <f>IF(N($AL199)&gt;0,INDEX(rLim_ADM,$AL199),"")</f>
        <v/>
      </c>
      <c r="G199" s="59" t="n"/>
      <c r="H199" s="60" t="n"/>
      <c r="I199" s="60" t="n"/>
      <c r="J199" s="60" t="n"/>
      <c r="K199" s="60" t="n"/>
      <c r="L199" s="60" t="n"/>
      <c r="M199" s="61">
        <f>IF(NOT((COUNTA($B199:$D199)+COUNTA($G199:$L199)+COUNTA($Q199))&gt;0),"",IF($V199="Sub",IFERROR($X199/INDEX($W$5:$W$1000,$U199-4),""),IF(ISNUMBER($G199),1,IF(N($W199)&gt;0,AVERAGEIFS($X$5:$X$1000,$U$5:$U$1000,ROW(),$V$5:$V$1000,"Sub"),$X199))))</f>
        <v/>
      </c>
      <c r="N199" s="56">
        <f>IF(OR($M199="",$V199="Sub"),"",IF($M199&gt;=1,"Completado",IF($M199&gt;0,"En curso","Pendiente")))</f>
        <v/>
      </c>
      <c r="O199" s="56">
        <f>IF(OR(NOT((COUNTA($B199:$D199)+COUNTA($G199:$L199)+COUNTA($Q199))&gt;0),$V199="Sub"),"",IF(ISNUMBER($G199),IF(AND(ISNUMBER($AN199),$G199&gt;$AN199),"Cumplida con "&amp;($G199-$AN199)&amp;IF($G199-$AN199=1," día"," días")&amp;" de retraso","Cumplida"),IF(N($M199)&gt;=1,"Cumplida",IF(NOT(ISNUMBER($AN199)),"Sin fecha límite",IF($AN199&lt;FechaRef,"Vencida hace "&amp;(FechaRef-$AN199)&amp;IF(FechaRef-$AN199=1," día"," días"),IF($AN199=FechaRef,"Vence hoy",IF($AN199-FechaRef&lt;=DiasAlerta,"Vence en "&amp;($AN199-FechaRef)&amp;IF($AN199-FechaRef=1," día"," días"),"En plazo")))))))</f>
        <v/>
      </c>
      <c r="P199" s="62" t="n"/>
      <c r="Q199" s="58" t="n"/>
      <c r="R199" s="63">
        <f>IF(NOT((COUNTA($B199:$D199)+COUNTA($G199:$L199)+COUNTA($Q199))&gt;0),"",IF((IF($C199="","Falta el nombre de la actividad"&amp;" · ","")&amp;IF(AND($V199="Sub",N($U199)=0),"Subactividad sin macroactividad arriba"&amp;" · ","")&amp;IF($AM199="","Sin fecha de inicio"&amp;" · ","")&amp;IF($AN199="","Sin fecha límite"&amp;" · ","")&amp;IF(AND(LEFT($C199,11)="[Jefatura] ",N($AL199)=0),"No se encuentra en la hoja de la jefatura (elíjala de nuevo en la lista)"&amp;" · ","")&amp;IF(OR(AND($E199&lt;&gt;"",NOT(ISNUMBER($E199))),AND($F199&lt;&gt;"",NOT(ISNUMBER($F199))),AND($G199&lt;&gt;"",NOT(ISNUMBER($G199)))),"Fecha no válida"&amp;" · ","")&amp;IF(AND(ISNUMBER($AM199),ISNUMBER($AN199),$AM199&gt;$AN199),"Inicio posterior a fecha límite"&amp;" · ","")&amp;IF(AND($V199="Macro",$H199&lt;&gt;"",OR(NOT(ISNUMBER($H199)),$H199&lt;0,$H199&gt;1)),"Peso fuera de rango"&amp;" · ","")&amp;IF(AND($V199="Sub",$H199&lt;&gt;""),"Las subactividades no llevan peso (valen igual dentro de su macroactividad)"&amp;" · ","")&amp;IF(AND(N($W199)&gt;0,COUNT($I199:$L199)&gt;0),"Con subactividades: deje vacías las semanas (se calculan solas)"&amp;" · ","")&amp;IF((COUNTIF($I199:$L199,"&gt;1")+COUNTIF($I199:$L199,"&lt;0")+COUNTA($I199:$L199)-COUNT($I199:$L199))&gt;0,"Avance fuera de rango 0-100%"&amp;" · ","")&amp;IF(OR(AND($J199&lt;&gt;"",$J199&lt;$I199),AND($K199&lt;&gt;"",$K199&lt;MAX($I199:$J199)),AND($L199&lt;&gt;"",$L199&lt;MAX($I199:$K199))),"Avance semanal decreciente"&amp;" · ","")&amp;IF(AND(ISNUMBER($AN199),$AN199&lt;FechaRef,IF($V199="Sub",N($X199),N($M199))&lt;1),"Vencida"&amp;" · ","")&amp;IF(AND(ObsObligatoria="Sí",ISNUMBER($AN199),$AN199&lt;FechaRef,IF($V199="Sub",N($X199),N($M199))&lt;1,$Q199=""),"Vencida sin observación"&amp;" · ",""))="","✔ OK","⚠ "&amp;LEFT(IF($C199="","Falta el nombre de la actividad"&amp;" · ","")&amp;IF(AND($V199="Sub",N($U199)=0),"Subactividad sin macroactividad arriba"&amp;" · ","")&amp;IF($AM199="","Sin fecha de inicio"&amp;" · ","")&amp;IF($AN199="","Sin fecha límite"&amp;" · ","")&amp;IF(AND(LEFT($C199,11)="[Jefatura] ",N($AL199)=0),"No se encuentra en la hoja de la jefatura (elíjala de nuevo en la lista)"&amp;" · ","")&amp;IF(OR(AND($E199&lt;&gt;"",NOT(ISNUMBER($E199))),AND($F199&lt;&gt;"",NOT(ISNUMBER($F199))),AND($G199&lt;&gt;"",NOT(ISNUMBER($G199)))),"Fecha no válida"&amp;" · ","")&amp;IF(AND(ISNUMBER($AM199),ISNUMBER($AN199),$AM199&gt;$AN199),"Inicio posterior a fecha límite"&amp;" · ","")&amp;IF(AND($V199="Macro",$H199&lt;&gt;"",OR(NOT(ISNUMBER($H199)),$H199&lt;0,$H199&gt;1)),"Peso fuera de rango"&amp;" · ","")&amp;IF(AND($V199="Sub",$H199&lt;&gt;""),"Las subactividades no llevan peso (valen igual dentro de su macroactividad)"&amp;" · ","")&amp;IF(AND(N($W199)&gt;0,COUNT($I199:$L199)&gt;0),"Con subactividades: deje vacías las semanas (se calculan solas)"&amp;" · ","")&amp;IF((COUNTIF($I199:$L199,"&gt;1")+COUNTIF($I199:$L199,"&lt;0")+COUNTA($I199:$L199)-COUNT($I199:$L199))&gt;0,"Avance fuera de rango 0-100%"&amp;" · ","")&amp;IF(OR(AND($J199&lt;&gt;"",$J199&lt;$I199),AND($K199&lt;&gt;"",$K199&lt;MAX($I199:$J199)),AND($L199&lt;&gt;"",$L199&lt;MAX($I199:$K199))),"Avance semanal decreciente"&amp;" · ","")&amp;IF(AND(ISNUMBER($AN199),$AN199&lt;FechaRef,IF($V199="Sub",N($X199),N($M199))&lt;1),"Vencida"&amp;" · ","")&amp;IF(AND(ObsObligatoria="Sí",ISNUMBER($AN199),$AN199&lt;FechaRef,IF($V199="Sub",N($X199),N($M199))&lt;1,$Q199=""),"Vencida sin observación"&amp;" · ",""),LEN(IF($C199="","Falta el nombre de la actividad"&amp;" · ","")&amp;IF(AND($V199="Sub",N($U199)=0),"Subactividad sin macroactividad arriba"&amp;" · ","")&amp;IF($AM199="","Sin fecha de inicio"&amp;" · ","")&amp;IF($AN199="","Sin fecha límite"&amp;" · ","")&amp;IF(AND(LEFT($C199,11)="[Jefatura] ",N($AL199)=0),"No se encuentra en la hoja de la jefatura (elíjala de nuevo en la lista)"&amp;" · ","")&amp;IF(OR(AND($E199&lt;&gt;"",NOT(ISNUMBER($E199))),AND($F199&lt;&gt;"",NOT(ISNUMBER($F199))),AND($G199&lt;&gt;"",NOT(ISNUMBER($G199)))),"Fecha no válida"&amp;" · ","")&amp;IF(AND(ISNUMBER($AM199),ISNUMBER($AN199),$AM199&gt;$AN199),"Inicio posterior a fecha límite"&amp;" · ","")&amp;IF(AND($V199="Macro",$H199&lt;&gt;"",OR(NOT(ISNUMBER($H199)),$H199&lt;0,$H199&gt;1)),"Peso fuera de rango"&amp;" · ","")&amp;IF(AND($V199="Sub",$H199&lt;&gt;""),"Las subactividades no llevan peso (valen igual dentro de su macroactividad)"&amp;" · ","")&amp;IF(AND(N($W199)&gt;0,COUNT($I199:$L199)&gt;0),"Con subactividades: deje vacías las semanas (se calculan solas)"&amp;" · ","")&amp;IF((COUNTIF($I199:$L199,"&gt;1")+COUNTIF($I199:$L199,"&lt;0")+COUNTA($I199:$L199)-COUNT($I199:$L199))&gt;0,"Avance fuera de rango 0-100%"&amp;" · ","")&amp;IF(OR(AND($J199&lt;&gt;"",$J199&lt;$I199),AND($K199&lt;&gt;"",$K199&lt;MAX($I199:$J199)),AND($L199&lt;&gt;"",$L199&lt;MAX($I199:$K199))),"Avance semanal decreciente"&amp;" · ","")&amp;IF(AND(ISNUMBER($AN199),$AN199&lt;FechaRef,IF($V199="Sub",N($X199),N($M199))&lt;1),"Vencida"&amp;" · ","")&amp;IF(AND(ObsObligatoria="Sí",ISNUMBER($AN199),$AN199&lt;FechaRef,IF($V199="Sub",N($X199),N($M199))&lt;1,$Q199=""),"Vencida sin observación"&amp;" · ",""))-3)))</f>
        <v/>
      </c>
      <c r="S199" s="64">
        <f>IF(NOT((COUNTA($B199:$D199)+COUNTA($G199:$L199)+COUNTA($Q199))&gt;0),"",IF(AND($V199="Sub",N($U199)&gt;0),IF(ISNUMBER(INDEX($AM$5:$AM$1000,$U199-4)),DATE(YEAR(INDEX($AM$5:$AM$1000,$U199-4)),MONTH(INDEX($AM$5:$AM$1000,$U199-4)),1),IF(ISNUMBER(INDEX($AN$5:$AN$1000,$U199-4)),DATE(YEAR(INDEX($AN$5:$AN$1000,$U199-4)),MONTH(INDEX($AN$5:$AN$1000,$U199-4)),1),MesCiclo)),IF(ISNUMBER($AM199),DATE(YEAR($AM199),MONTH($AM199),1),IF(ISNUMBER($AN199),DATE(YEAR($AN199),MONTH($AN199),1),MesCiclo))))</f>
        <v/>
      </c>
      <c r="T199" s="62">
        <f>IF(OR($S199="",$S199&lt;&gt;MesCiclo,$V199&lt;&gt;"Macro"),"",COUNTIFS($S$5:$S199,MesCiclo,$V$5:$V199,"Macro"))</f>
        <v/>
      </c>
      <c r="U199" s="62">
        <f>IF($V199="","",IF($V199="Macro",ROW(),IFERROR(LOOKUP(2,1/($V$5:$V199="Macro"),ROW($V$5:$V199)),0)))</f>
        <v/>
      </c>
      <c r="V199" s="62">
        <f>IF(NOT((COUNTA($B199:$D199)+COUNTA($G199:$L199)+COUNTA($Q199))&gt;0),"",IF($B199="Subactividad","Sub","Macro"))</f>
        <v/>
      </c>
      <c r="W199" s="62">
        <f>IF($V199="Macro",COUNTIFS($U$5:$U$1000,ROW(),$V$5:$V$1000,"Sub"),"")</f>
        <v/>
      </c>
      <c r="X199" s="62">
        <f>IF($V199="","",IF(ISNUMBER($G199),1,IFERROR(LOOKUP(2,1/($I199:$L199&lt;&gt;""),$I199:$L199),0)))</f>
        <v/>
      </c>
      <c r="Y199" s="62">
        <f>IF($V199="","",IF(AND(ISNUMBER($G199),$G199&lt;=IF($S199=MesCiclo,InicioCiclo,$S199+MOD(2-WEEKDAY($S199),7))+6),1,IF(ISNUMBER($I199),$I199,0)))</f>
        <v/>
      </c>
      <c r="Z199" s="62">
        <f>IF($V199="","",IF(AND(ISNUMBER($G199),$G199&lt;=IF($S199=MesCiclo,InicioCiclo,$S199+MOD(2-WEEKDAY($S199),7))+13),1,IF(ISNUMBER($J199),$J199,$Y199)))</f>
        <v/>
      </c>
      <c r="AA199" s="62">
        <f>IF($V199="","",IF(AND(ISNUMBER($G199),$G199&lt;=IF($S199=MesCiclo,InicioCiclo,$S199+MOD(2-WEEKDAY($S199),7))+20),1,IF(ISNUMBER($K199),$K199,$Z199)))</f>
        <v/>
      </c>
      <c r="AB199" s="62">
        <f>IF($V199="","",IF(AND(ISNUMBER($G199),$G199&lt;=IF($S199=MesCiclo,InicioCiclo,$S199+MOD(2-WEEKDAY($S199),7))+27),1,IF(ISNUMBER($L199),$L199,$AA199)))</f>
        <v/>
      </c>
      <c r="AC199" s="62">
        <f>IF($V199="","",IF(AND(ISNUMBER($G199),$G199&lt;=IF($S199=MesCiclo,InicioCiclo,$S199+MOD(2-WEEKDAY($S199),7))+6),1,IF(N($W199)&gt;0,AVERAGEIFS($Y$5:$Y$1000,$U$5:$U$1000,ROW(),$V$5:$V$1000,"Sub"),$Y199)))</f>
        <v/>
      </c>
      <c r="AD199" s="62">
        <f>IF($V199="","",IF(AND(ISNUMBER($G199),$G199&lt;=IF($S199=MesCiclo,InicioCiclo,$S199+MOD(2-WEEKDAY($S199),7))+13),1,IF(N($W199)&gt;0,AVERAGEIFS($Z$5:$Z$1000,$U$5:$U$1000,ROW(),$V$5:$V$1000,"Sub"),$Z199)))</f>
        <v/>
      </c>
      <c r="AE199" s="62">
        <f>IF($V199="","",IF(AND(ISNUMBER($G199),$G199&lt;=IF($S199=MesCiclo,InicioCiclo,$S199+MOD(2-WEEKDAY($S199),7))+20),1,IF(N($W199)&gt;0,AVERAGEIFS($AA$5:$AA$1000,$U$5:$U$1000,ROW(),$V$5:$V$1000,"Sub"),$AA199)))</f>
        <v/>
      </c>
      <c r="AF199" s="62">
        <f>IF($V199="","",IF(AND(ISNUMBER($G199),$G199&lt;=IF($S199=MesCiclo,InicioCiclo,$S199+MOD(2-WEEKDAY($S199),7))+27),1,IF(N($W199)&gt;0,AVERAGEIFS($AB$5:$AB$1000,$U$5:$U$1000,ROW(),$V$5:$V$1000,"Sub"),$AB199)))</f>
        <v/>
      </c>
      <c r="AG199" s="62">
        <f>IF($V199&lt;&gt;"Macro","",IF(COUNTIFS($S$5:$S$1000,$S199,$V$5:$V$1000,"Macro",$H$5:$H$1000,"&gt;0")=0,1/COUNTIFS($S$5:$S$1000,$S199,$V$5:$V$1000,"Macro"),IF(AND(ISNUMBER($H199),N($H199)&gt;0),$H199,SUMIFS($H$5:$H$1000,$S$5:$S$1000,$S199,$V$5:$V$1000,"Macro")/COUNTIFS($S$5:$S$1000,$S199,$V$5:$V$1000,"Macro",$H$5:$H$1000,"&gt;0"))/(COUNTIFS($S$5:$S$1000,$S199,$V$5:$V$1000,"Macro")*SUMIFS($H$5:$H$1000,$S$5:$S$1000,$S199,$V$5:$V$1000,"Macro")/COUNTIFS($S$5:$S$1000,$S199,$V$5:$V$1000,"Macro",$H$5:$H$1000,"&gt;0"))))</f>
        <v/>
      </c>
      <c r="AH199" s="62" t="n"/>
      <c r="AI199" s="62" t="n"/>
      <c r="AJ199" s="62" t="n"/>
      <c r="AK199" s="62" t="n"/>
      <c r="AL199" s="62">
        <f>IF(LEFT($C199,11)="[Jefatura] ",IFERROR(MATCH("Riesgo Operacional|"&amp;MID($C199,12,500),rDname_ADM,0),0),"")</f>
        <v/>
      </c>
      <c r="AM199" s="62">
        <f>IF(N($AL199)&gt;0,INDEX(rIni_ADM,$AL199),IF(ISNUMBER($E199),$E199,""))</f>
        <v/>
      </c>
      <c r="AN199" s="62">
        <f>IF(N($AL199)&gt;0,INDEX(rLim_ADM,$AL199),IF(ISNUMBER($F199),$F199,""))</f>
        <v/>
      </c>
    </row>
    <row r="200">
      <c r="A200" s="56">
        <f>IF(NOT((COUNTA($B200:$D200)+COUNTA($G200:$L200)+COUNTA($Q200))&gt;0),"",IF($V200="Macro",COUNTIFS($V$5:$V200,"Macro",$S$5:$S200,$S200),IF(N($U200)=0,"?",COUNTIFS(INDEX($V$5:$V$1000,1):INDEX($V$5:$V$1000,$U200-4),"Macro",INDEX($S$5:$S$1000,1):INDEX($S$5:$S$1000,$U200-4),INDEX($S$5:$S$1000,$U200-4))&amp;"."&amp;COUNTIFS($U$5:$U200,$U200,$V$5:$V200,"Sub"))))</f>
        <v/>
      </c>
      <c r="B200" s="57" t="n"/>
      <c r="C200" s="58" t="n"/>
      <c r="D200" s="58" t="n"/>
      <c r="E200" s="59">
        <f>IF(N($AL200)&gt;0,INDEX(rIni_ADM,$AL200),"")</f>
        <v/>
      </c>
      <c r="F200" s="59">
        <f>IF(N($AL200)&gt;0,INDEX(rLim_ADM,$AL200),"")</f>
        <v/>
      </c>
      <c r="G200" s="59" t="n"/>
      <c r="H200" s="60" t="n"/>
      <c r="I200" s="60" t="n"/>
      <c r="J200" s="60" t="n"/>
      <c r="K200" s="60" t="n"/>
      <c r="L200" s="60" t="n"/>
      <c r="M200" s="61">
        <f>IF(NOT((COUNTA($B200:$D200)+COUNTA($G200:$L200)+COUNTA($Q200))&gt;0),"",IF($V200="Sub",IFERROR($X200/INDEX($W$5:$W$1000,$U200-4),""),IF(ISNUMBER($G200),1,IF(N($W200)&gt;0,AVERAGEIFS($X$5:$X$1000,$U$5:$U$1000,ROW(),$V$5:$V$1000,"Sub"),$X200))))</f>
        <v/>
      </c>
      <c r="N200" s="56">
        <f>IF(OR($M200="",$V200="Sub"),"",IF($M200&gt;=1,"Completado",IF($M200&gt;0,"En curso","Pendiente")))</f>
        <v/>
      </c>
      <c r="O200" s="56">
        <f>IF(OR(NOT((COUNTA($B200:$D200)+COUNTA($G200:$L200)+COUNTA($Q200))&gt;0),$V200="Sub"),"",IF(ISNUMBER($G200),IF(AND(ISNUMBER($AN200),$G200&gt;$AN200),"Cumplida con "&amp;($G200-$AN200)&amp;IF($G200-$AN200=1," día"," días")&amp;" de retraso","Cumplida"),IF(N($M200)&gt;=1,"Cumplida",IF(NOT(ISNUMBER($AN200)),"Sin fecha límite",IF($AN200&lt;FechaRef,"Vencida hace "&amp;(FechaRef-$AN200)&amp;IF(FechaRef-$AN200=1," día"," días"),IF($AN200=FechaRef,"Vence hoy",IF($AN200-FechaRef&lt;=DiasAlerta,"Vence en "&amp;($AN200-FechaRef)&amp;IF($AN200-FechaRef=1," día"," días"),"En plazo")))))))</f>
        <v/>
      </c>
      <c r="P200" s="62" t="n"/>
      <c r="Q200" s="58" t="n"/>
      <c r="R200" s="63">
        <f>IF(NOT((COUNTA($B200:$D200)+COUNTA($G200:$L200)+COUNTA($Q200))&gt;0),"",IF((IF($C200="","Falta el nombre de la actividad"&amp;" · ","")&amp;IF(AND($V200="Sub",N($U200)=0),"Subactividad sin macroactividad arriba"&amp;" · ","")&amp;IF($AM200="","Sin fecha de inicio"&amp;" · ","")&amp;IF($AN200="","Sin fecha límite"&amp;" · ","")&amp;IF(AND(LEFT($C200,11)="[Jefatura] ",N($AL200)=0),"No se encuentra en la hoja de la jefatura (elíjala de nuevo en la lista)"&amp;" · ","")&amp;IF(OR(AND($E200&lt;&gt;"",NOT(ISNUMBER($E200))),AND($F200&lt;&gt;"",NOT(ISNUMBER($F200))),AND($G200&lt;&gt;"",NOT(ISNUMBER($G200)))),"Fecha no válida"&amp;" · ","")&amp;IF(AND(ISNUMBER($AM200),ISNUMBER($AN200),$AM200&gt;$AN200),"Inicio posterior a fecha límite"&amp;" · ","")&amp;IF(AND($V200="Macro",$H200&lt;&gt;"",OR(NOT(ISNUMBER($H200)),$H200&lt;0,$H200&gt;1)),"Peso fuera de rango"&amp;" · ","")&amp;IF(AND($V200="Sub",$H200&lt;&gt;""),"Las subactividades no llevan peso (valen igual dentro de su macroactividad)"&amp;" · ","")&amp;IF(AND(N($W200)&gt;0,COUNT($I200:$L200)&gt;0),"Con subactividades: deje vacías las semanas (se calculan solas)"&amp;" · ","")&amp;IF((COUNTIF($I200:$L200,"&gt;1")+COUNTIF($I200:$L200,"&lt;0")+COUNTA($I200:$L200)-COUNT($I200:$L200))&gt;0,"Avance fuera de rango 0-100%"&amp;" · ","")&amp;IF(OR(AND($J200&lt;&gt;"",$J200&lt;$I200),AND($K200&lt;&gt;"",$K200&lt;MAX($I200:$J200)),AND($L200&lt;&gt;"",$L200&lt;MAX($I200:$K200))),"Avance semanal decreciente"&amp;" · ","")&amp;IF(AND(ISNUMBER($AN200),$AN200&lt;FechaRef,IF($V200="Sub",N($X200),N($M200))&lt;1),"Vencida"&amp;" · ","")&amp;IF(AND(ObsObligatoria="Sí",ISNUMBER($AN200),$AN200&lt;FechaRef,IF($V200="Sub",N($X200),N($M200))&lt;1,$Q200=""),"Vencida sin observación"&amp;" · ",""))="","✔ OK","⚠ "&amp;LEFT(IF($C200="","Falta el nombre de la actividad"&amp;" · ","")&amp;IF(AND($V200="Sub",N($U200)=0),"Subactividad sin macroactividad arriba"&amp;" · ","")&amp;IF($AM200="","Sin fecha de inicio"&amp;" · ","")&amp;IF($AN200="","Sin fecha límite"&amp;" · ","")&amp;IF(AND(LEFT($C200,11)="[Jefatura] ",N($AL200)=0),"No se encuentra en la hoja de la jefatura (elíjala de nuevo en la lista)"&amp;" · ","")&amp;IF(OR(AND($E200&lt;&gt;"",NOT(ISNUMBER($E200))),AND($F200&lt;&gt;"",NOT(ISNUMBER($F200))),AND($G200&lt;&gt;"",NOT(ISNUMBER($G200)))),"Fecha no válida"&amp;" · ","")&amp;IF(AND(ISNUMBER($AM200),ISNUMBER($AN200),$AM200&gt;$AN200),"Inicio posterior a fecha límite"&amp;" · ","")&amp;IF(AND($V200="Macro",$H200&lt;&gt;"",OR(NOT(ISNUMBER($H200)),$H200&lt;0,$H200&gt;1)),"Peso fuera de rango"&amp;" · ","")&amp;IF(AND($V200="Sub",$H200&lt;&gt;""),"Las subactividades no llevan peso (valen igual dentro de su macroactividad)"&amp;" · ","")&amp;IF(AND(N($W200)&gt;0,COUNT($I200:$L200)&gt;0),"Con subactividades: deje vacías las semanas (se calculan solas)"&amp;" · ","")&amp;IF((COUNTIF($I200:$L200,"&gt;1")+COUNTIF($I200:$L200,"&lt;0")+COUNTA($I200:$L200)-COUNT($I200:$L200))&gt;0,"Avance fuera de rango 0-100%"&amp;" · ","")&amp;IF(OR(AND($J200&lt;&gt;"",$J200&lt;$I200),AND($K200&lt;&gt;"",$K200&lt;MAX($I200:$J200)),AND($L200&lt;&gt;"",$L200&lt;MAX($I200:$K200))),"Avance semanal decreciente"&amp;" · ","")&amp;IF(AND(ISNUMBER($AN200),$AN200&lt;FechaRef,IF($V200="Sub",N($X200),N($M200))&lt;1),"Vencida"&amp;" · ","")&amp;IF(AND(ObsObligatoria="Sí",ISNUMBER($AN200),$AN200&lt;FechaRef,IF($V200="Sub",N($X200),N($M200))&lt;1,$Q200=""),"Vencida sin observación"&amp;" · ",""),LEN(IF($C200="","Falta el nombre de la actividad"&amp;" · ","")&amp;IF(AND($V200="Sub",N($U200)=0),"Subactividad sin macroactividad arriba"&amp;" · ","")&amp;IF($AM200="","Sin fecha de inicio"&amp;" · ","")&amp;IF($AN200="","Sin fecha límite"&amp;" · ","")&amp;IF(AND(LEFT($C200,11)="[Jefatura] ",N($AL200)=0),"No se encuentra en la hoja de la jefatura (elíjala de nuevo en la lista)"&amp;" · ","")&amp;IF(OR(AND($E200&lt;&gt;"",NOT(ISNUMBER($E200))),AND($F200&lt;&gt;"",NOT(ISNUMBER($F200))),AND($G200&lt;&gt;"",NOT(ISNUMBER($G200)))),"Fecha no válida"&amp;" · ","")&amp;IF(AND(ISNUMBER($AM200),ISNUMBER($AN200),$AM200&gt;$AN200),"Inicio posterior a fecha límite"&amp;" · ","")&amp;IF(AND($V200="Macro",$H200&lt;&gt;"",OR(NOT(ISNUMBER($H200)),$H200&lt;0,$H200&gt;1)),"Peso fuera de rango"&amp;" · ","")&amp;IF(AND($V200="Sub",$H200&lt;&gt;""),"Las subactividades no llevan peso (valen igual dentro de su macroactividad)"&amp;" · ","")&amp;IF(AND(N($W200)&gt;0,COUNT($I200:$L200)&gt;0),"Con subactividades: deje vacías las semanas (se calculan solas)"&amp;" · ","")&amp;IF((COUNTIF($I200:$L200,"&gt;1")+COUNTIF($I200:$L200,"&lt;0")+COUNTA($I200:$L200)-COUNT($I200:$L200))&gt;0,"Avance fuera de rango 0-100%"&amp;" · ","")&amp;IF(OR(AND($J200&lt;&gt;"",$J200&lt;$I200),AND($K200&lt;&gt;"",$K200&lt;MAX($I200:$J200)),AND($L200&lt;&gt;"",$L200&lt;MAX($I200:$K200))),"Avance semanal decreciente"&amp;" · ","")&amp;IF(AND(ISNUMBER($AN200),$AN200&lt;FechaRef,IF($V200="Sub",N($X200),N($M200))&lt;1),"Vencida"&amp;" · ","")&amp;IF(AND(ObsObligatoria="Sí",ISNUMBER($AN200),$AN200&lt;FechaRef,IF($V200="Sub",N($X200),N($M200))&lt;1,$Q200=""),"Vencida sin observación"&amp;" · ",""))-3)))</f>
        <v/>
      </c>
      <c r="S200" s="64">
        <f>IF(NOT((COUNTA($B200:$D200)+COUNTA($G200:$L200)+COUNTA($Q200))&gt;0),"",IF(AND($V200="Sub",N($U200)&gt;0),IF(ISNUMBER(INDEX($AM$5:$AM$1000,$U200-4)),DATE(YEAR(INDEX($AM$5:$AM$1000,$U200-4)),MONTH(INDEX($AM$5:$AM$1000,$U200-4)),1),IF(ISNUMBER(INDEX($AN$5:$AN$1000,$U200-4)),DATE(YEAR(INDEX($AN$5:$AN$1000,$U200-4)),MONTH(INDEX($AN$5:$AN$1000,$U200-4)),1),MesCiclo)),IF(ISNUMBER($AM200),DATE(YEAR($AM200),MONTH($AM200),1),IF(ISNUMBER($AN200),DATE(YEAR($AN200),MONTH($AN200),1),MesCiclo))))</f>
        <v/>
      </c>
      <c r="T200" s="62">
        <f>IF(OR($S200="",$S200&lt;&gt;MesCiclo,$V200&lt;&gt;"Macro"),"",COUNTIFS($S$5:$S200,MesCiclo,$V$5:$V200,"Macro"))</f>
        <v/>
      </c>
      <c r="U200" s="62">
        <f>IF($V200="","",IF($V200="Macro",ROW(),IFERROR(LOOKUP(2,1/($V$5:$V200="Macro"),ROW($V$5:$V200)),0)))</f>
        <v/>
      </c>
      <c r="V200" s="62">
        <f>IF(NOT((COUNTA($B200:$D200)+COUNTA($G200:$L200)+COUNTA($Q200))&gt;0),"",IF($B200="Subactividad","Sub","Macro"))</f>
        <v/>
      </c>
      <c r="W200" s="62">
        <f>IF($V200="Macro",COUNTIFS($U$5:$U$1000,ROW(),$V$5:$V$1000,"Sub"),"")</f>
        <v/>
      </c>
      <c r="X200" s="62">
        <f>IF($V200="","",IF(ISNUMBER($G200),1,IFERROR(LOOKUP(2,1/($I200:$L200&lt;&gt;""),$I200:$L200),0)))</f>
        <v/>
      </c>
      <c r="Y200" s="62">
        <f>IF($V200="","",IF(AND(ISNUMBER($G200),$G200&lt;=IF($S200=MesCiclo,InicioCiclo,$S200+MOD(2-WEEKDAY($S200),7))+6),1,IF(ISNUMBER($I200),$I200,0)))</f>
        <v/>
      </c>
      <c r="Z200" s="62">
        <f>IF($V200="","",IF(AND(ISNUMBER($G200),$G200&lt;=IF($S200=MesCiclo,InicioCiclo,$S200+MOD(2-WEEKDAY($S200),7))+13),1,IF(ISNUMBER($J200),$J200,$Y200)))</f>
        <v/>
      </c>
      <c r="AA200" s="62">
        <f>IF($V200="","",IF(AND(ISNUMBER($G200),$G200&lt;=IF($S200=MesCiclo,InicioCiclo,$S200+MOD(2-WEEKDAY($S200),7))+20),1,IF(ISNUMBER($K200),$K200,$Z200)))</f>
        <v/>
      </c>
      <c r="AB200" s="62">
        <f>IF($V200="","",IF(AND(ISNUMBER($G200),$G200&lt;=IF($S200=MesCiclo,InicioCiclo,$S200+MOD(2-WEEKDAY($S200),7))+27),1,IF(ISNUMBER($L200),$L200,$AA200)))</f>
        <v/>
      </c>
      <c r="AC200" s="62">
        <f>IF($V200="","",IF(AND(ISNUMBER($G200),$G200&lt;=IF($S200=MesCiclo,InicioCiclo,$S200+MOD(2-WEEKDAY($S200),7))+6),1,IF(N($W200)&gt;0,AVERAGEIFS($Y$5:$Y$1000,$U$5:$U$1000,ROW(),$V$5:$V$1000,"Sub"),$Y200)))</f>
        <v/>
      </c>
      <c r="AD200" s="62">
        <f>IF($V200="","",IF(AND(ISNUMBER($G200),$G200&lt;=IF($S200=MesCiclo,InicioCiclo,$S200+MOD(2-WEEKDAY($S200),7))+13),1,IF(N($W200)&gt;0,AVERAGEIFS($Z$5:$Z$1000,$U$5:$U$1000,ROW(),$V$5:$V$1000,"Sub"),$Z200)))</f>
        <v/>
      </c>
      <c r="AE200" s="62">
        <f>IF($V200="","",IF(AND(ISNUMBER($G200),$G200&lt;=IF($S200=MesCiclo,InicioCiclo,$S200+MOD(2-WEEKDAY($S200),7))+20),1,IF(N($W200)&gt;0,AVERAGEIFS($AA$5:$AA$1000,$U$5:$U$1000,ROW(),$V$5:$V$1000,"Sub"),$AA200)))</f>
        <v/>
      </c>
      <c r="AF200" s="62">
        <f>IF($V200="","",IF(AND(ISNUMBER($G200),$G200&lt;=IF($S200=MesCiclo,InicioCiclo,$S200+MOD(2-WEEKDAY($S200),7))+27),1,IF(N($W200)&gt;0,AVERAGEIFS($AB$5:$AB$1000,$U$5:$U$1000,ROW(),$V$5:$V$1000,"Sub"),$AB200)))</f>
        <v/>
      </c>
      <c r="AG200" s="62">
        <f>IF($V200&lt;&gt;"Macro","",IF(COUNTIFS($S$5:$S$1000,$S200,$V$5:$V$1000,"Macro",$H$5:$H$1000,"&gt;0")=0,1/COUNTIFS($S$5:$S$1000,$S200,$V$5:$V$1000,"Macro"),IF(AND(ISNUMBER($H200),N($H200)&gt;0),$H200,SUMIFS($H$5:$H$1000,$S$5:$S$1000,$S200,$V$5:$V$1000,"Macro")/COUNTIFS($S$5:$S$1000,$S200,$V$5:$V$1000,"Macro",$H$5:$H$1000,"&gt;0"))/(COUNTIFS($S$5:$S$1000,$S200,$V$5:$V$1000,"Macro")*SUMIFS($H$5:$H$1000,$S$5:$S$1000,$S200,$V$5:$V$1000,"Macro")/COUNTIFS($S$5:$S$1000,$S200,$V$5:$V$1000,"Macro",$H$5:$H$1000,"&gt;0"))))</f>
        <v/>
      </c>
      <c r="AH200" s="62" t="n"/>
      <c r="AI200" s="62" t="n"/>
      <c r="AJ200" s="62" t="n"/>
      <c r="AK200" s="62" t="n"/>
      <c r="AL200" s="62">
        <f>IF(LEFT($C200,11)="[Jefatura] ",IFERROR(MATCH("Riesgo Operacional|"&amp;MID($C200,12,500),rDname_ADM,0),0),"")</f>
        <v/>
      </c>
      <c r="AM200" s="62">
        <f>IF(N($AL200)&gt;0,INDEX(rIni_ADM,$AL200),IF(ISNUMBER($E200),$E200,""))</f>
        <v/>
      </c>
      <c r="AN200" s="62">
        <f>IF(N($AL200)&gt;0,INDEX(rLim_ADM,$AL200),IF(ISNUMBER($F200),$F200,""))</f>
        <v/>
      </c>
    </row>
    <row r="201">
      <c r="A201" s="56">
        <f>IF(NOT((COUNTA($B201:$D201)+COUNTA($G201:$L201)+COUNTA($Q201))&gt;0),"",IF($V201="Macro",COUNTIFS($V$5:$V201,"Macro",$S$5:$S201,$S201),IF(N($U201)=0,"?",COUNTIFS(INDEX($V$5:$V$1000,1):INDEX($V$5:$V$1000,$U201-4),"Macro",INDEX($S$5:$S$1000,1):INDEX($S$5:$S$1000,$U201-4),INDEX($S$5:$S$1000,$U201-4))&amp;"."&amp;COUNTIFS($U$5:$U201,$U201,$V$5:$V201,"Sub"))))</f>
        <v/>
      </c>
      <c r="B201" s="57" t="n"/>
      <c r="C201" s="58" t="n"/>
      <c r="D201" s="58" t="n"/>
      <c r="E201" s="59">
        <f>IF(N($AL201)&gt;0,INDEX(rIni_ADM,$AL201),"")</f>
        <v/>
      </c>
      <c r="F201" s="59">
        <f>IF(N($AL201)&gt;0,INDEX(rLim_ADM,$AL201),"")</f>
        <v/>
      </c>
      <c r="G201" s="59" t="n"/>
      <c r="H201" s="60" t="n"/>
      <c r="I201" s="60" t="n"/>
      <c r="J201" s="60" t="n"/>
      <c r="K201" s="60" t="n"/>
      <c r="L201" s="60" t="n"/>
      <c r="M201" s="61">
        <f>IF(NOT((COUNTA($B201:$D201)+COUNTA($G201:$L201)+COUNTA($Q201))&gt;0),"",IF($V201="Sub",IFERROR($X201/INDEX($W$5:$W$1000,$U201-4),""),IF(ISNUMBER($G201),1,IF(N($W201)&gt;0,AVERAGEIFS($X$5:$X$1000,$U$5:$U$1000,ROW(),$V$5:$V$1000,"Sub"),$X201))))</f>
        <v/>
      </c>
      <c r="N201" s="56">
        <f>IF(OR($M201="",$V201="Sub"),"",IF($M201&gt;=1,"Completado",IF($M201&gt;0,"En curso","Pendiente")))</f>
        <v/>
      </c>
      <c r="O201" s="56">
        <f>IF(OR(NOT((COUNTA($B201:$D201)+COUNTA($G201:$L201)+COUNTA($Q201))&gt;0),$V201="Sub"),"",IF(ISNUMBER($G201),IF(AND(ISNUMBER($AN201),$G201&gt;$AN201),"Cumplida con "&amp;($G201-$AN201)&amp;IF($G201-$AN201=1," día"," días")&amp;" de retraso","Cumplida"),IF(N($M201)&gt;=1,"Cumplida",IF(NOT(ISNUMBER($AN201)),"Sin fecha límite",IF($AN201&lt;FechaRef,"Vencida hace "&amp;(FechaRef-$AN201)&amp;IF(FechaRef-$AN201=1," día"," días"),IF($AN201=FechaRef,"Vence hoy",IF($AN201-FechaRef&lt;=DiasAlerta,"Vence en "&amp;($AN201-FechaRef)&amp;IF($AN201-FechaRef=1," día"," días"),"En plazo")))))))</f>
        <v/>
      </c>
      <c r="P201" s="62" t="n"/>
      <c r="Q201" s="58" t="n"/>
      <c r="R201" s="63">
        <f>IF(NOT((COUNTA($B201:$D201)+COUNTA($G201:$L201)+COUNTA($Q201))&gt;0),"",IF((IF($C201="","Falta el nombre de la actividad"&amp;" · ","")&amp;IF(AND($V201="Sub",N($U201)=0),"Subactividad sin macroactividad arriba"&amp;" · ","")&amp;IF($AM201="","Sin fecha de inicio"&amp;" · ","")&amp;IF($AN201="","Sin fecha límite"&amp;" · ","")&amp;IF(AND(LEFT($C201,11)="[Jefatura] ",N($AL201)=0),"No se encuentra en la hoja de la jefatura (elíjala de nuevo en la lista)"&amp;" · ","")&amp;IF(OR(AND($E201&lt;&gt;"",NOT(ISNUMBER($E201))),AND($F201&lt;&gt;"",NOT(ISNUMBER($F201))),AND($G201&lt;&gt;"",NOT(ISNUMBER($G201)))),"Fecha no válida"&amp;" · ","")&amp;IF(AND(ISNUMBER($AM201),ISNUMBER($AN201),$AM201&gt;$AN201),"Inicio posterior a fecha límite"&amp;" · ","")&amp;IF(AND($V201="Macro",$H201&lt;&gt;"",OR(NOT(ISNUMBER($H201)),$H201&lt;0,$H201&gt;1)),"Peso fuera de rango"&amp;" · ","")&amp;IF(AND($V201="Sub",$H201&lt;&gt;""),"Las subactividades no llevan peso (valen igual dentro de su macroactividad)"&amp;" · ","")&amp;IF(AND(N($W201)&gt;0,COUNT($I201:$L201)&gt;0),"Con subactividades: deje vacías las semanas (se calculan solas)"&amp;" · ","")&amp;IF((COUNTIF($I201:$L201,"&gt;1")+COUNTIF($I201:$L201,"&lt;0")+COUNTA($I201:$L201)-COUNT($I201:$L201))&gt;0,"Avance fuera de rango 0-100%"&amp;" · ","")&amp;IF(OR(AND($J201&lt;&gt;"",$J201&lt;$I201),AND($K201&lt;&gt;"",$K201&lt;MAX($I201:$J201)),AND($L201&lt;&gt;"",$L201&lt;MAX($I201:$K201))),"Avance semanal decreciente"&amp;" · ","")&amp;IF(AND(ISNUMBER($AN201),$AN201&lt;FechaRef,IF($V201="Sub",N($X201),N($M201))&lt;1),"Vencida"&amp;" · ","")&amp;IF(AND(ObsObligatoria="Sí",ISNUMBER($AN201),$AN201&lt;FechaRef,IF($V201="Sub",N($X201),N($M201))&lt;1,$Q201=""),"Vencida sin observación"&amp;" · ",""))="","✔ OK","⚠ "&amp;LEFT(IF($C201="","Falta el nombre de la actividad"&amp;" · ","")&amp;IF(AND($V201="Sub",N($U201)=0),"Subactividad sin macroactividad arriba"&amp;" · ","")&amp;IF($AM201="","Sin fecha de inicio"&amp;" · ","")&amp;IF($AN201="","Sin fecha límite"&amp;" · ","")&amp;IF(AND(LEFT($C201,11)="[Jefatura] ",N($AL201)=0),"No se encuentra en la hoja de la jefatura (elíjala de nuevo en la lista)"&amp;" · ","")&amp;IF(OR(AND($E201&lt;&gt;"",NOT(ISNUMBER($E201))),AND($F201&lt;&gt;"",NOT(ISNUMBER($F201))),AND($G201&lt;&gt;"",NOT(ISNUMBER($G201)))),"Fecha no válida"&amp;" · ","")&amp;IF(AND(ISNUMBER($AM201),ISNUMBER($AN201),$AM201&gt;$AN201),"Inicio posterior a fecha límite"&amp;" · ","")&amp;IF(AND($V201="Macro",$H201&lt;&gt;"",OR(NOT(ISNUMBER($H201)),$H201&lt;0,$H201&gt;1)),"Peso fuera de rango"&amp;" · ","")&amp;IF(AND($V201="Sub",$H201&lt;&gt;""),"Las subactividades no llevan peso (valen igual dentro de su macroactividad)"&amp;" · ","")&amp;IF(AND(N($W201)&gt;0,COUNT($I201:$L201)&gt;0),"Con subactividades: deje vacías las semanas (se calculan solas)"&amp;" · ","")&amp;IF((COUNTIF($I201:$L201,"&gt;1")+COUNTIF($I201:$L201,"&lt;0")+COUNTA($I201:$L201)-COUNT($I201:$L201))&gt;0,"Avance fuera de rango 0-100%"&amp;" · ","")&amp;IF(OR(AND($J201&lt;&gt;"",$J201&lt;$I201),AND($K201&lt;&gt;"",$K201&lt;MAX($I201:$J201)),AND($L201&lt;&gt;"",$L201&lt;MAX($I201:$K201))),"Avance semanal decreciente"&amp;" · ","")&amp;IF(AND(ISNUMBER($AN201),$AN201&lt;FechaRef,IF($V201="Sub",N($X201),N($M201))&lt;1),"Vencida"&amp;" · ","")&amp;IF(AND(ObsObligatoria="Sí",ISNUMBER($AN201),$AN201&lt;FechaRef,IF($V201="Sub",N($X201),N($M201))&lt;1,$Q201=""),"Vencida sin observación"&amp;" · ",""),LEN(IF($C201="","Falta el nombre de la actividad"&amp;" · ","")&amp;IF(AND($V201="Sub",N($U201)=0),"Subactividad sin macroactividad arriba"&amp;" · ","")&amp;IF($AM201="","Sin fecha de inicio"&amp;" · ","")&amp;IF($AN201="","Sin fecha límite"&amp;" · ","")&amp;IF(AND(LEFT($C201,11)="[Jefatura] ",N($AL201)=0),"No se encuentra en la hoja de la jefatura (elíjala de nuevo en la lista)"&amp;" · ","")&amp;IF(OR(AND($E201&lt;&gt;"",NOT(ISNUMBER($E201))),AND($F201&lt;&gt;"",NOT(ISNUMBER($F201))),AND($G201&lt;&gt;"",NOT(ISNUMBER($G201)))),"Fecha no válida"&amp;" · ","")&amp;IF(AND(ISNUMBER($AM201),ISNUMBER($AN201),$AM201&gt;$AN201),"Inicio posterior a fecha límite"&amp;" · ","")&amp;IF(AND($V201="Macro",$H201&lt;&gt;"",OR(NOT(ISNUMBER($H201)),$H201&lt;0,$H201&gt;1)),"Peso fuera de rango"&amp;" · ","")&amp;IF(AND($V201="Sub",$H201&lt;&gt;""),"Las subactividades no llevan peso (valen igual dentro de su macroactividad)"&amp;" · ","")&amp;IF(AND(N($W201)&gt;0,COUNT($I201:$L201)&gt;0),"Con subactividades: deje vacías las semanas (se calculan solas)"&amp;" · ","")&amp;IF((COUNTIF($I201:$L201,"&gt;1")+COUNTIF($I201:$L201,"&lt;0")+COUNTA($I201:$L201)-COUNT($I201:$L201))&gt;0,"Avance fuera de rango 0-100%"&amp;" · ","")&amp;IF(OR(AND($J201&lt;&gt;"",$J201&lt;$I201),AND($K201&lt;&gt;"",$K201&lt;MAX($I201:$J201)),AND($L201&lt;&gt;"",$L201&lt;MAX($I201:$K201))),"Avance semanal decreciente"&amp;" · ","")&amp;IF(AND(ISNUMBER($AN201),$AN201&lt;FechaRef,IF($V201="Sub",N($X201),N($M201))&lt;1),"Vencida"&amp;" · ","")&amp;IF(AND(ObsObligatoria="Sí",ISNUMBER($AN201),$AN201&lt;FechaRef,IF($V201="Sub",N($X201),N($M201))&lt;1,$Q201=""),"Vencida sin observación"&amp;" · ",""))-3)))</f>
        <v/>
      </c>
      <c r="S201" s="64">
        <f>IF(NOT((COUNTA($B201:$D201)+COUNTA($G201:$L201)+COUNTA($Q201))&gt;0),"",IF(AND($V201="Sub",N($U201)&gt;0),IF(ISNUMBER(INDEX($AM$5:$AM$1000,$U201-4)),DATE(YEAR(INDEX($AM$5:$AM$1000,$U201-4)),MONTH(INDEX($AM$5:$AM$1000,$U201-4)),1),IF(ISNUMBER(INDEX($AN$5:$AN$1000,$U201-4)),DATE(YEAR(INDEX($AN$5:$AN$1000,$U201-4)),MONTH(INDEX($AN$5:$AN$1000,$U201-4)),1),MesCiclo)),IF(ISNUMBER($AM201),DATE(YEAR($AM201),MONTH($AM201),1),IF(ISNUMBER($AN201),DATE(YEAR($AN201),MONTH($AN201),1),MesCiclo))))</f>
        <v/>
      </c>
      <c r="T201" s="62">
        <f>IF(OR($S201="",$S201&lt;&gt;MesCiclo,$V201&lt;&gt;"Macro"),"",COUNTIFS($S$5:$S201,MesCiclo,$V$5:$V201,"Macro"))</f>
        <v/>
      </c>
      <c r="U201" s="62">
        <f>IF($V201="","",IF($V201="Macro",ROW(),IFERROR(LOOKUP(2,1/($V$5:$V201="Macro"),ROW($V$5:$V201)),0)))</f>
        <v/>
      </c>
      <c r="V201" s="62">
        <f>IF(NOT((COUNTA($B201:$D201)+COUNTA($G201:$L201)+COUNTA($Q201))&gt;0),"",IF($B201="Subactividad","Sub","Macro"))</f>
        <v/>
      </c>
      <c r="W201" s="62">
        <f>IF($V201="Macro",COUNTIFS($U$5:$U$1000,ROW(),$V$5:$V$1000,"Sub"),"")</f>
        <v/>
      </c>
      <c r="X201" s="62">
        <f>IF($V201="","",IF(ISNUMBER($G201),1,IFERROR(LOOKUP(2,1/($I201:$L201&lt;&gt;""),$I201:$L201),0)))</f>
        <v/>
      </c>
      <c r="Y201" s="62">
        <f>IF($V201="","",IF(AND(ISNUMBER($G201),$G201&lt;=IF($S201=MesCiclo,InicioCiclo,$S201+MOD(2-WEEKDAY($S201),7))+6),1,IF(ISNUMBER($I201),$I201,0)))</f>
        <v/>
      </c>
      <c r="Z201" s="62">
        <f>IF($V201="","",IF(AND(ISNUMBER($G201),$G201&lt;=IF($S201=MesCiclo,InicioCiclo,$S201+MOD(2-WEEKDAY($S201),7))+13),1,IF(ISNUMBER($J201),$J201,$Y201)))</f>
        <v/>
      </c>
      <c r="AA201" s="62">
        <f>IF($V201="","",IF(AND(ISNUMBER($G201),$G201&lt;=IF($S201=MesCiclo,InicioCiclo,$S201+MOD(2-WEEKDAY($S201),7))+20),1,IF(ISNUMBER($K201),$K201,$Z201)))</f>
        <v/>
      </c>
      <c r="AB201" s="62">
        <f>IF($V201="","",IF(AND(ISNUMBER($G201),$G201&lt;=IF($S201=MesCiclo,InicioCiclo,$S201+MOD(2-WEEKDAY($S201),7))+27),1,IF(ISNUMBER($L201),$L201,$AA201)))</f>
        <v/>
      </c>
      <c r="AC201" s="62">
        <f>IF($V201="","",IF(AND(ISNUMBER($G201),$G201&lt;=IF($S201=MesCiclo,InicioCiclo,$S201+MOD(2-WEEKDAY($S201),7))+6),1,IF(N($W201)&gt;0,AVERAGEIFS($Y$5:$Y$1000,$U$5:$U$1000,ROW(),$V$5:$V$1000,"Sub"),$Y201)))</f>
        <v/>
      </c>
      <c r="AD201" s="62">
        <f>IF($V201="","",IF(AND(ISNUMBER($G201),$G201&lt;=IF($S201=MesCiclo,InicioCiclo,$S201+MOD(2-WEEKDAY($S201),7))+13),1,IF(N($W201)&gt;0,AVERAGEIFS($Z$5:$Z$1000,$U$5:$U$1000,ROW(),$V$5:$V$1000,"Sub"),$Z201)))</f>
        <v/>
      </c>
      <c r="AE201" s="62">
        <f>IF($V201="","",IF(AND(ISNUMBER($G201),$G201&lt;=IF($S201=MesCiclo,InicioCiclo,$S201+MOD(2-WEEKDAY($S201),7))+20),1,IF(N($W201)&gt;0,AVERAGEIFS($AA$5:$AA$1000,$U$5:$U$1000,ROW(),$V$5:$V$1000,"Sub"),$AA201)))</f>
        <v/>
      </c>
      <c r="AF201" s="62">
        <f>IF($V201="","",IF(AND(ISNUMBER($G201),$G201&lt;=IF($S201=MesCiclo,InicioCiclo,$S201+MOD(2-WEEKDAY($S201),7))+27),1,IF(N($W201)&gt;0,AVERAGEIFS($AB$5:$AB$1000,$U$5:$U$1000,ROW(),$V$5:$V$1000,"Sub"),$AB201)))</f>
        <v/>
      </c>
      <c r="AG201" s="62">
        <f>IF($V201&lt;&gt;"Macro","",IF(COUNTIFS($S$5:$S$1000,$S201,$V$5:$V$1000,"Macro",$H$5:$H$1000,"&gt;0")=0,1/COUNTIFS($S$5:$S$1000,$S201,$V$5:$V$1000,"Macro"),IF(AND(ISNUMBER($H201),N($H201)&gt;0),$H201,SUMIFS($H$5:$H$1000,$S$5:$S$1000,$S201,$V$5:$V$1000,"Macro")/COUNTIFS($S$5:$S$1000,$S201,$V$5:$V$1000,"Macro",$H$5:$H$1000,"&gt;0"))/(COUNTIFS($S$5:$S$1000,$S201,$V$5:$V$1000,"Macro")*SUMIFS($H$5:$H$1000,$S$5:$S$1000,$S201,$V$5:$V$1000,"Macro")/COUNTIFS($S$5:$S$1000,$S201,$V$5:$V$1000,"Macro",$H$5:$H$1000,"&gt;0"))))</f>
        <v/>
      </c>
      <c r="AH201" s="62" t="n"/>
      <c r="AI201" s="62" t="n"/>
      <c r="AJ201" s="62" t="n"/>
      <c r="AK201" s="62" t="n"/>
      <c r="AL201" s="62">
        <f>IF(LEFT($C201,11)="[Jefatura] ",IFERROR(MATCH("Riesgo Operacional|"&amp;MID($C201,12,500),rDname_ADM,0),0),"")</f>
        <v/>
      </c>
      <c r="AM201" s="62">
        <f>IF(N($AL201)&gt;0,INDEX(rIni_ADM,$AL201),IF(ISNUMBER($E201),$E201,""))</f>
        <v/>
      </c>
      <c r="AN201" s="62">
        <f>IF(N($AL201)&gt;0,INDEX(rLim_ADM,$AL201),IF(ISNUMBER($F201),$F201,""))</f>
        <v/>
      </c>
    </row>
    <row r="202">
      <c r="A202" s="56">
        <f>IF(NOT((COUNTA($B202:$D202)+COUNTA($G202:$L202)+COUNTA($Q202))&gt;0),"",IF($V202="Macro",COUNTIFS($V$5:$V202,"Macro",$S$5:$S202,$S202),IF(N($U202)=0,"?",COUNTIFS(INDEX($V$5:$V$1000,1):INDEX($V$5:$V$1000,$U202-4),"Macro",INDEX($S$5:$S$1000,1):INDEX($S$5:$S$1000,$U202-4),INDEX($S$5:$S$1000,$U202-4))&amp;"."&amp;COUNTIFS($U$5:$U202,$U202,$V$5:$V202,"Sub"))))</f>
        <v/>
      </c>
      <c r="B202" s="57" t="n"/>
      <c r="C202" s="58" t="n"/>
      <c r="D202" s="58" t="n"/>
      <c r="E202" s="59">
        <f>IF(N($AL202)&gt;0,INDEX(rIni_ADM,$AL202),"")</f>
        <v/>
      </c>
      <c r="F202" s="59">
        <f>IF(N($AL202)&gt;0,INDEX(rLim_ADM,$AL202),"")</f>
        <v/>
      </c>
      <c r="G202" s="59" t="n"/>
      <c r="H202" s="60" t="n"/>
      <c r="I202" s="60" t="n"/>
      <c r="J202" s="60" t="n"/>
      <c r="K202" s="60" t="n"/>
      <c r="L202" s="60" t="n"/>
      <c r="M202" s="61">
        <f>IF(NOT((COUNTA($B202:$D202)+COUNTA($G202:$L202)+COUNTA($Q202))&gt;0),"",IF($V202="Sub",IFERROR($X202/INDEX($W$5:$W$1000,$U202-4),""),IF(ISNUMBER($G202),1,IF(N($W202)&gt;0,AVERAGEIFS($X$5:$X$1000,$U$5:$U$1000,ROW(),$V$5:$V$1000,"Sub"),$X202))))</f>
        <v/>
      </c>
      <c r="N202" s="56">
        <f>IF(OR($M202="",$V202="Sub"),"",IF($M202&gt;=1,"Completado",IF($M202&gt;0,"En curso","Pendiente")))</f>
        <v/>
      </c>
      <c r="O202" s="56">
        <f>IF(OR(NOT((COUNTA($B202:$D202)+COUNTA($G202:$L202)+COUNTA($Q202))&gt;0),$V202="Sub"),"",IF(ISNUMBER($G202),IF(AND(ISNUMBER($AN202),$G202&gt;$AN202),"Cumplida con "&amp;($G202-$AN202)&amp;IF($G202-$AN202=1," día"," días")&amp;" de retraso","Cumplida"),IF(N($M202)&gt;=1,"Cumplida",IF(NOT(ISNUMBER($AN202)),"Sin fecha límite",IF($AN202&lt;FechaRef,"Vencida hace "&amp;(FechaRef-$AN202)&amp;IF(FechaRef-$AN202=1," día"," días"),IF($AN202=FechaRef,"Vence hoy",IF($AN202-FechaRef&lt;=DiasAlerta,"Vence en "&amp;($AN202-FechaRef)&amp;IF($AN202-FechaRef=1," día"," días"),"En plazo")))))))</f>
        <v/>
      </c>
      <c r="P202" s="62" t="n"/>
      <c r="Q202" s="58" t="n"/>
      <c r="R202" s="63">
        <f>IF(NOT((COUNTA($B202:$D202)+COUNTA($G202:$L202)+COUNTA($Q202))&gt;0),"",IF((IF($C202="","Falta el nombre de la actividad"&amp;" · ","")&amp;IF(AND($V202="Sub",N($U202)=0),"Subactividad sin macroactividad arriba"&amp;" · ","")&amp;IF($AM202="","Sin fecha de inicio"&amp;" · ","")&amp;IF($AN202="","Sin fecha límite"&amp;" · ","")&amp;IF(AND(LEFT($C202,11)="[Jefatura] ",N($AL202)=0),"No se encuentra en la hoja de la jefatura (elíjala de nuevo en la lista)"&amp;" · ","")&amp;IF(OR(AND($E202&lt;&gt;"",NOT(ISNUMBER($E202))),AND($F202&lt;&gt;"",NOT(ISNUMBER($F202))),AND($G202&lt;&gt;"",NOT(ISNUMBER($G202)))),"Fecha no válida"&amp;" · ","")&amp;IF(AND(ISNUMBER($AM202),ISNUMBER($AN202),$AM202&gt;$AN202),"Inicio posterior a fecha límite"&amp;" · ","")&amp;IF(AND($V202="Macro",$H202&lt;&gt;"",OR(NOT(ISNUMBER($H202)),$H202&lt;0,$H202&gt;1)),"Peso fuera de rango"&amp;" · ","")&amp;IF(AND($V202="Sub",$H202&lt;&gt;""),"Las subactividades no llevan peso (valen igual dentro de su macroactividad)"&amp;" · ","")&amp;IF(AND(N($W202)&gt;0,COUNT($I202:$L202)&gt;0),"Con subactividades: deje vacías las semanas (se calculan solas)"&amp;" · ","")&amp;IF((COUNTIF($I202:$L202,"&gt;1")+COUNTIF($I202:$L202,"&lt;0")+COUNTA($I202:$L202)-COUNT($I202:$L202))&gt;0,"Avance fuera de rango 0-100%"&amp;" · ","")&amp;IF(OR(AND($J202&lt;&gt;"",$J202&lt;$I202),AND($K202&lt;&gt;"",$K202&lt;MAX($I202:$J202)),AND($L202&lt;&gt;"",$L202&lt;MAX($I202:$K202))),"Avance semanal decreciente"&amp;" · ","")&amp;IF(AND(ISNUMBER($AN202),$AN202&lt;FechaRef,IF($V202="Sub",N($X202),N($M202))&lt;1),"Vencida"&amp;" · ","")&amp;IF(AND(ObsObligatoria="Sí",ISNUMBER($AN202),$AN202&lt;FechaRef,IF($V202="Sub",N($X202),N($M202))&lt;1,$Q202=""),"Vencida sin observación"&amp;" · ",""))="","✔ OK","⚠ "&amp;LEFT(IF($C202="","Falta el nombre de la actividad"&amp;" · ","")&amp;IF(AND($V202="Sub",N($U202)=0),"Subactividad sin macroactividad arriba"&amp;" · ","")&amp;IF($AM202="","Sin fecha de inicio"&amp;" · ","")&amp;IF($AN202="","Sin fecha límite"&amp;" · ","")&amp;IF(AND(LEFT($C202,11)="[Jefatura] ",N($AL202)=0),"No se encuentra en la hoja de la jefatura (elíjala de nuevo en la lista)"&amp;" · ","")&amp;IF(OR(AND($E202&lt;&gt;"",NOT(ISNUMBER($E202))),AND($F202&lt;&gt;"",NOT(ISNUMBER($F202))),AND($G202&lt;&gt;"",NOT(ISNUMBER($G202)))),"Fecha no válida"&amp;" · ","")&amp;IF(AND(ISNUMBER($AM202),ISNUMBER($AN202),$AM202&gt;$AN202),"Inicio posterior a fecha límite"&amp;" · ","")&amp;IF(AND($V202="Macro",$H202&lt;&gt;"",OR(NOT(ISNUMBER($H202)),$H202&lt;0,$H202&gt;1)),"Peso fuera de rango"&amp;" · ","")&amp;IF(AND($V202="Sub",$H202&lt;&gt;""),"Las subactividades no llevan peso (valen igual dentro de su macroactividad)"&amp;" · ","")&amp;IF(AND(N($W202)&gt;0,COUNT($I202:$L202)&gt;0),"Con subactividades: deje vacías las semanas (se calculan solas)"&amp;" · ","")&amp;IF((COUNTIF($I202:$L202,"&gt;1")+COUNTIF($I202:$L202,"&lt;0")+COUNTA($I202:$L202)-COUNT($I202:$L202))&gt;0,"Avance fuera de rango 0-100%"&amp;" · ","")&amp;IF(OR(AND($J202&lt;&gt;"",$J202&lt;$I202),AND($K202&lt;&gt;"",$K202&lt;MAX($I202:$J202)),AND($L202&lt;&gt;"",$L202&lt;MAX($I202:$K202))),"Avance semanal decreciente"&amp;" · ","")&amp;IF(AND(ISNUMBER($AN202),$AN202&lt;FechaRef,IF($V202="Sub",N($X202),N($M202))&lt;1),"Vencida"&amp;" · ","")&amp;IF(AND(ObsObligatoria="Sí",ISNUMBER($AN202),$AN202&lt;FechaRef,IF($V202="Sub",N($X202),N($M202))&lt;1,$Q202=""),"Vencida sin observación"&amp;" · ",""),LEN(IF($C202="","Falta el nombre de la actividad"&amp;" · ","")&amp;IF(AND($V202="Sub",N($U202)=0),"Subactividad sin macroactividad arriba"&amp;" · ","")&amp;IF($AM202="","Sin fecha de inicio"&amp;" · ","")&amp;IF($AN202="","Sin fecha límite"&amp;" · ","")&amp;IF(AND(LEFT($C202,11)="[Jefatura] ",N($AL202)=0),"No se encuentra en la hoja de la jefatura (elíjala de nuevo en la lista)"&amp;" · ","")&amp;IF(OR(AND($E202&lt;&gt;"",NOT(ISNUMBER($E202))),AND($F202&lt;&gt;"",NOT(ISNUMBER($F202))),AND($G202&lt;&gt;"",NOT(ISNUMBER($G202)))),"Fecha no válida"&amp;" · ","")&amp;IF(AND(ISNUMBER($AM202),ISNUMBER($AN202),$AM202&gt;$AN202),"Inicio posterior a fecha límite"&amp;" · ","")&amp;IF(AND($V202="Macro",$H202&lt;&gt;"",OR(NOT(ISNUMBER($H202)),$H202&lt;0,$H202&gt;1)),"Peso fuera de rango"&amp;" · ","")&amp;IF(AND($V202="Sub",$H202&lt;&gt;""),"Las subactividades no llevan peso (valen igual dentro de su macroactividad)"&amp;" · ","")&amp;IF(AND(N($W202)&gt;0,COUNT($I202:$L202)&gt;0),"Con subactividades: deje vacías las semanas (se calculan solas)"&amp;" · ","")&amp;IF((COUNTIF($I202:$L202,"&gt;1")+COUNTIF($I202:$L202,"&lt;0")+COUNTA($I202:$L202)-COUNT($I202:$L202))&gt;0,"Avance fuera de rango 0-100%"&amp;" · ","")&amp;IF(OR(AND($J202&lt;&gt;"",$J202&lt;$I202),AND($K202&lt;&gt;"",$K202&lt;MAX($I202:$J202)),AND($L202&lt;&gt;"",$L202&lt;MAX($I202:$K202))),"Avance semanal decreciente"&amp;" · ","")&amp;IF(AND(ISNUMBER($AN202),$AN202&lt;FechaRef,IF($V202="Sub",N($X202),N($M202))&lt;1),"Vencida"&amp;" · ","")&amp;IF(AND(ObsObligatoria="Sí",ISNUMBER($AN202),$AN202&lt;FechaRef,IF($V202="Sub",N($X202),N($M202))&lt;1,$Q202=""),"Vencida sin observación"&amp;" · ",""))-3)))</f>
        <v/>
      </c>
      <c r="S202" s="64">
        <f>IF(NOT((COUNTA($B202:$D202)+COUNTA($G202:$L202)+COUNTA($Q202))&gt;0),"",IF(AND($V202="Sub",N($U202)&gt;0),IF(ISNUMBER(INDEX($AM$5:$AM$1000,$U202-4)),DATE(YEAR(INDEX($AM$5:$AM$1000,$U202-4)),MONTH(INDEX($AM$5:$AM$1000,$U202-4)),1),IF(ISNUMBER(INDEX($AN$5:$AN$1000,$U202-4)),DATE(YEAR(INDEX($AN$5:$AN$1000,$U202-4)),MONTH(INDEX($AN$5:$AN$1000,$U202-4)),1),MesCiclo)),IF(ISNUMBER($AM202),DATE(YEAR($AM202),MONTH($AM202),1),IF(ISNUMBER($AN202),DATE(YEAR($AN202),MONTH($AN202),1),MesCiclo))))</f>
        <v/>
      </c>
      <c r="T202" s="62">
        <f>IF(OR($S202="",$S202&lt;&gt;MesCiclo,$V202&lt;&gt;"Macro"),"",COUNTIFS($S$5:$S202,MesCiclo,$V$5:$V202,"Macro"))</f>
        <v/>
      </c>
      <c r="U202" s="62">
        <f>IF($V202="","",IF($V202="Macro",ROW(),IFERROR(LOOKUP(2,1/($V$5:$V202="Macro"),ROW($V$5:$V202)),0)))</f>
        <v/>
      </c>
      <c r="V202" s="62">
        <f>IF(NOT((COUNTA($B202:$D202)+COUNTA($G202:$L202)+COUNTA($Q202))&gt;0),"",IF($B202="Subactividad","Sub","Macro"))</f>
        <v/>
      </c>
      <c r="W202" s="62">
        <f>IF($V202="Macro",COUNTIFS($U$5:$U$1000,ROW(),$V$5:$V$1000,"Sub"),"")</f>
        <v/>
      </c>
      <c r="X202" s="62">
        <f>IF($V202="","",IF(ISNUMBER($G202),1,IFERROR(LOOKUP(2,1/($I202:$L202&lt;&gt;""),$I202:$L202),0)))</f>
        <v/>
      </c>
      <c r="Y202" s="62">
        <f>IF($V202="","",IF(AND(ISNUMBER($G202),$G202&lt;=IF($S202=MesCiclo,InicioCiclo,$S202+MOD(2-WEEKDAY($S202),7))+6),1,IF(ISNUMBER($I202),$I202,0)))</f>
        <v/>
      </c>
      <c r="Z202" s="62">
        <f>IF($V202="","",IF(AND(ISNUMBER($G202),$G202&lt;=IF($S202=MesCiclo,InicioCiclo,$S202+MOD(2-WEEKDAY($S202),7))+13),1,IF(ISNUMBER($J202),$J202,$Y202)))</f>
        <v/>
      </c>
      <c r="AA202" s="62">
        <f>IF($V202="","",IF(AND(ISNUMBER($G202),$G202&lt;=IF($S202=MesCiclo,InicioCiclo,$S202+MOD(2-WEEKDAY($S202),7))+20),1,IF(ISNUMBER($K202),$K202,$Z202)))</f>
        <v/>
      </c>
      <c r="AB202" s="62">
        <f>IF($V202="","",IF(AND(ISNUMBER($G202),$G202&lt;=IF($S202=MesCiclo,InicioCiclo,$S202+MOD(2-WEEKDAY($S202),7))+27),1,IF(ISNUMBER($L202),$L202,$AA202)))</f>
        <v/>
      </c>
      <c r="AC202" s="62">
        <f>IF($V202="","",IF(AND(ISNUMBER($G202),$G202&lt;=IF($S202=MesCiclo,InicioCiclo,$S202+MOD(2-WEEKDAY($S202),7))+6),1,IF(N($W202)&gt;0,AVERAGEIFS($Y$5:$Y$1000,$U$5:$U$1000,ROW(),$V$5:$V$1000,"Sub"),$Y202)))</f>
        <v/>
      </c>
      <c r="AD202" s="62">
        <f>IF($V202="","",IF(AND(ISNUMBER($G202),$G202&lt;=IF($S202=MesCiclo,InicioCiclo,$S202+MOD(2-WEEKDAY($S202),7))+13),1,IF(N($W202)&gt;0,AVERAGEIFS($Z$5:$Z$1000,$U$5:$U$1000,ROW(),$V$5:$V$1000,"Sub"),$Z202)))</f>
        <v/>
      </c>
      <c r="AE202" s="62">
        <f>IF($V202="","",IF(AND(ISNUMBER($G202),$G202&lt;=IF($S202=MesCiclo,InicioCiclo,$S202+MOD(2-WEEKDAY($S202),7))+20),1,IF(N($W202)&gt;0,AVERAGEIFS($AA$5:$AA$1000,$U$5:$U$1000,ROW(),$V$5:$V$1000,"Sub"),$AA202)))</f>
        <v/>
      </c>
      <c r="AF202" s="62">
        <f>IF($V202="","",IF(AND(ISNUMBER($G202),$G202&lt;=IF($S202=MesCiclo,InicioCiclo,$S202+MOD(2-WEEKDAY($S202),7))+27),1,IF(N($W202)&gt;0,AVERAGEIFS($AB$5:$AB$1000,$U$5:$U$1000,ROW(),$V$5:$V$1000,"Sub"),$AB202)))</f>
        <v/>
      </c>
      <c r="AG202" s="62">
        <f>IF($V202&lt;&gt;"Macro","",IF(COUNTIFS($S$5:$S$1000,$S202,$V$5:$V$1000,"Macro",$H$5:$H$1000,"&gt;0")=0,1/COUNTIFS($S$5:$S$1000,$S202,$V$5:$V$1000,"Macro"),IF(AND(ISNUMBER($H202),N($H202)&gt;0),$H202,SUMIFS($H$5:$H$1000,$S$5:$S$1000,$S202,$V$5:$V$1000,"Macro")/COUNTIFS($S$5:$S$1000,$S202,$V$5:$V$1000,"Macro",$H$5:$H$1000,"&gt;0"))/(COUNTIFS($S$5:$S$1000,$S202,$V$5:$V$1000,"Macro")*SUMIFS($H$5:$H$1000,$S$5:$S$1000,$S202,$V$5:$V$1000,"Macro")/COUNTIFS($S$5:$S$1000,$S202,$V$5:$V$1000,"Macro",$H$5:$H$1000,"&gt;0"))))</f>
        <v/>
      </c>
      <c r="AH202" s="62" t="n"/>
      <c r="AI202" s="62" t="n"/>
      <c r="AJ202" s="62" t="n"/>
      <c r="AK202" s="62" t="n"/>
      <c r="AL202" s="62">
        <f>IF(LEFT($C202,11)="[Jefatura] ",IFERROR(MATCH("Riesgo Operacional|"&amp;MID($C202,12,500),rDname_ADM,0),0),"")</f>
        <v/>
      </c>
      <c r="AM202" s="62">
        <f>IF(N($AL202)&gt;0,INDEX(rIni_ADM,$AL202),IF(ISNUMBER($E202),$E202,""))</f>
        <v/>
      </c>
      <c r="AN202" s="62">
        <f>IF(N($AL202)&gt;0,INDEX(rLim_ADM,$AL202),IF(ISNUMBER($F202),$F202,""))</f>
        <v/>
      </c>
    </row>
    <row r="203">
      <c r="A203" s="56">
        <f>IF(NOT((COUNTA($B203:$D203)+COUNTA($G203:$L203)+COUNTA($Q203))&gt;0),"",IF($V203="Macro",COUNTIFS($V$5:$V203,"Macro",$S$5:$S203,$S203),IF(N($U203)=0,"?",COUNTIFS(INDEX($V$5:$V$1000,1):INDEX($V$5:$V$1000,$U203-4),"Macro",INDEX($S$5:$S$1000,1):INDEX($S$5:$S$1000,$U203-4),INDEX($S$5:$S$1000,$U203-4))&amp;"."&amp;COUNTIFS($U$5:$U203,$U203,$V$5:$V203,"Sub"))))</f>
        <v/>
      </c>
      <c r="B203" s="57" t="n"/>
      <c r="C203" s="58" t="n"/>
      <c r="D203" s="58" t="n"/>
      <c r="E203" s="59">
        <f>IF(N($AL203)&gt;0,INDEX(rIni_ADM,$AL203),"")</f>
        <v/>
      </c>
      <c r="F203" s="59">
        <f>IF(N($AL203)&gt;0,INDEX(rLim_ADM,$AL203),"")</f>
        <v/>
      </c>
      <c r="G203" s="59" t="n"/>
      <c r="H203" s="60" t="n"/>
      <c r="I203" s="60" t="n"/>
      <c r="J203" s="60" t="n"/>
      <c r="K203" s="60" t="n"/>
      <c r="L203" s="60" t="n"/>
      <c r="M203" s="61">
        <f>IF(NOT((COUNTA($B203:$D203)+COUNTA($G203:$L203)+COUNTA($Q203))&gt;0),"",IF($V203="Sub",IFERROR($X203/INDEX($W$5:$W$1000,$U203-4),""),IF(ISNUMBER($G203),1,IF(N($W203)&gt;0,AVERAGEIFS($X$5:$X$1000,$U$5:$U$1000,ROW(),$V$5:$V$1000,"Sub"),$X203))))</f>
        <v/>
      </c>
      <c r="N203" s="56">
        <f>IF(OR($M203="",$V203="Sub"),"",IF($M203&gt;=1,"Completado",IF($M203&gt;0,"En curso","Pendiente")))</f>
        <v/>
      </c>
      <c r="O203" s="56">
        <f>IF(OR(NOT((COUNTA($B203:$D203)+COUNTA($G203:$L203)+COUNTA($Q203))&gt;0),$V203="Sub"),"",IF(ISNUMBER($G203),IF(AND(ISNUMBER($AN203),$G203&gt;$AN203),"Cumplida con "&amp;($G203-$AN203)&amp;IF($G203-$AN203=1," día"," días")&amp;" de retraso","Cumplida"),IF(N($M203)&gt;=1,"Cumplida",IF(NOT(ISNUMBER($AN203)),"Sin fecha límite",IF($AN203&lt;FechaRef,"Vencida hace "&amp;(FechaRef-$AN203)&amp;IF(FechaRef-$AN203=1," día"," días"),IF($AN203=FechaRef,"Vence hoy",IF($AN203-FechaRef&lt;=DiasAlerta,"Vence en "&amp;($AN203-FechaRef)&amp;IF($AN203-FechaRef=1," día"," días"),"En plazo")))))))</f>
        <v/>
      </c>
      <c r="P203" s="62" t="n"/>
      <c r="Q203" s="58" t="n"/>
      <c r="R203" s="63">
        <f>IF(NOT((COUNTA($B203:$D203)+COUNTA($G203:$L203)+COUNTA($Q203))&gt;0),"",IF((IF($C203="","Falta el nombre de la actividad"&amp;" · ","")&amp;IF(AND($V203="Sub",N($U203)=0),"Subactividad sin macroactividad arriba"&amp;" · ","")&amp;IF($AM203="","Sin fecha de inicio"&amp;" · ","")&amp;IF($AN203="","Sin fecha límite"&amp;" · ","")&amp;IF(AND(LEFT($C203,11)="[Jefatura] ",N($AL203)=0),"No se encuentra en la hoja de la jefatura (elíjala de nuevo en la lista)"&amp;" · ","")&amp;IF(OR(AND($E203&lt;&gt;"",NOT(ISNUMBER($E203))),AND($F203&lt;&gt;"",NOT(ISNUMBER($F203))),AND($G203&lt;&gt;"",NOT(ISNUMBER($G203)))),"Fecha no válida"&amp;" · ","")&amp;IF(AND(ISNUMBER($AM203),ISNUMBER($AN203),$AM203&gt;$AN203),"Inicio posterior a fecha límite"&amp;" · ","")&amp;IF(AND($V203="Macro",$H203&lt;&gt;"",OR(NOT(ISNUMBER($H203)),$H203&lt;0,$H203&gt;1)),"Peso fuera de rango"&amp;" · ","")&amp;IF(AND($V203="Sub",$H203&lt;&gt;""),"Las subactividades no llevan peso (valen igual dentro de su macroactividad)"&amp;" · ","")&amp;IF(AND(N($W203)&gt;0,COUNT($I203:$L203)&gt;0),"Con subactividades: deje vacías las semanas (se calculan solas)"&amp;" · ","")&amp;IF((COUNTIF($I203:$L203,"&gt;1")+COUNTIF($I203:$L203,"&lt;0")+COUNTA($I203:$L203)-COUNT($I203:$L203))&gt;0,"Avance fuera de rango 0-100%"&amp;" · ","")&amp;IF(OR(AND($J203&lt;&gt;"",$J203&lt;$I203),AND($K203&lt;&gt;"",$K203&lt;MAX($I203:$J203)),AND($L203&lt;&gt;"",$L203&lt;MAX($I203:$K203))),"Avance semanal decreciente"&amp;" · ","")&amp;IF(AND(ISNUMBER($AN203),$AN203&lt;FechaRef,IF($V203="Sub",N($X203),N($M203))&lt;1),"Vencida"&amp;" · ","")&amp;IF(AND(ObsObligatoria="Sí",ISNUMBER($AN203),$AN203&lt;FechaRef,IF($V203="Sub",N($X203),N($M203))&lt;1,$Q203=""),"Vencida sin observación"&amp;" · ",""))="","✔ OK","⚠ "&amp;LEFT(IF($C203="","Falta el nombre de la actividad"&amp;" · ","")&amp;IF(AND($V203="Sub",N($U203)=0),"Subactividad sin macroactividad arriba"&amp;" · ","")&amp;IF($AM203="","Sin fecha de inicio"&amp;" · ","")&amp;IF($AN203="","Sin fecha límite"&amp;" · ","")&amp;IF(AND(LEFT($C203,11)="[Jefatura] ",N($AL203)=0),"No se encuentra en la hoja de la jefatura (elíjala de nuevo en la lista)"&amp;" · ","")&amp;IF(OR(AND($E203&lt;&gt;"",NOT(ISNUMBER($E203))),AND($F203&lt;&gt;"",NOT(ISNUMBER($F203))),AND($G203&lt;&gt;"",NOT(ISNUMBER($G203)))),"Fecha no válida"&amp;" · ","")&amp;IF(AND(ISNUMBER($AM203),ISNUMBER($AN203),$AM203&gt;$AN203),"Inicio posterior a fecha límite"&amp;" · ","")&amp;IF(AND($V203="Macro",$H203&lt;&gt;"",OR(NOT(ISNUMBER($H203)),$H203&lt;0,$H203&gt;1)),"Peso fuera de rango"&amp;" · ","")&amp;IF(AND($V203="Sub",$H203&lt;&gt;""),"Las subactividades no llevan peso (valen igual dentro de su macroactividad)"&amp;" · ","")&amp;IF(AND(N($W203)&gt;0,COUNT($I203:$L203)&gt;0),"Con subactividades: deje vacías las semanas (se calculan solas)"&amp;" · ","")&amp;IF((COUNTIF($I203:$L203,"&gt;1")+COUNTIF($I203:$L203,"&lt;0")+COUNTA($I203:$L203)-COUNT($I203:$L203))&gt;0,"Avance fuera de rango 0-100%"&amp;" · ","")&amp;IF(OR(AND($J203&lt;&gt;"",$J203&lt;$I203),AND($K203&lt;&gt;"",$K203&lt;MAX($I203:$J203)),AND($L203&lt;&gt;"",$L203&lt;MAX($I203:$K203))),"Avance semanal decreciente"&amp;" · ","")&amp;IF(AND(ISNUMBER($AN203),$AN203&lt;FechaRef,IF($V203="Sub",N($X203),N($M203))&lt;1),"Vencida"&amp;" · ","")&amp;IF(AND(ObsObligatoria="Sí",ISNUMBER($AN203),$AN203&lt;FechaRef,IF($V203="Sub",N($X203),N($M203))&lt;1,$Q203=""),"Vencida sin observación"&amp;" · ",""),LEN(IF($C203="","Falta el nombre de la actividad"&amp;" · ","")&amp;IF(AND($V203="Sub",N($U203)=0),"Subactividad sin macroactividad arriba"&amp;" · ","")&amp;IF($AM203="","Sin fecha de inicio"&amp;" · ","")&amp;IF($AN203="","Sin fecha límite"&amp;" · ","")&amp;IF(AND(LEFT($C203,11)="[Jefatura] ",N($AL203)=0),"No se encuentra en la hoja de la jefatura (elíjala de nuevo en la lista)"&amp;" · ","")&amp;IF(OR(AND($E203&lt;&gt;"",NOT(ISNUMBER($E203))),AND($F203&lt;&gt;"",NOT(ISNUMBER($F203))),AND($G203&lt;&gt;"",NOT(ISNUMBER($G203)))),"Fecha no válida"&amp;" · ","")&amp;IF(AND(ISNUMBER($AM203),ISNUMBER($AN203),$AM203&gt;$AN203),"Inicio posterior a fecha límite"&amp;" · ","")&amp;IF(AND($V203="Macro",$H203&lt;&gt;"",OR(NOT(ISNUMBER($H203)),$H203&lt;0,$H203&gt;1)),"Peso fuera de rango"&amp;" · ","")&amp;IF(AND($V203="Sub",$H203&lt;&gt;""),"Las subactividades no llevan peso (valen igual dentro de su macroactividad)"&amp;" · ","")&amp;IF(AND(N($W203)&gt;0,COUNT($I203:$L203)&gt;0),"Con subactividades: deje vacías las semanas (se calculan solas)"&amp;" · ","")&amp;IF((COUNTIF($I203:$L203,"&gt;1")+COUNTIF($I203:$L203,"&lt;0")+COUNTA($I203:$L203)-COUNT($I203:$L203))&gt;0,"Avance fuera de rango 0-100%"&amp;" · ","")&amp;IF(OR(AND($J203&lt;&gt;"",$J203&lt;$I203),AND($K203&lt;&gt;"",$K203&lt;MAX($I203:$J203)),AND($L203&lt;&gt;"",$L203&lt;MAX($I203:$K203))),"Avance semanal decreciente"&amp;" · ","")&amp;IF(AND(ISNUMBER($AN203),$AN203&lt;FechaRef,IF($V203="Sub",N($X203),N($M203))&lt;1),"Vencida"&amp;" · ","")&amp;IF(AND(ObsObligatoria="Sí",ISNUMBER($AN203),$AN203&lt;FechaRef,IF($V203="Sub",N($X203),N($M203))&lt;1,$Q203=""),"Vencida sin observación"&amp;" · ",""))-3)))</f>
        <v/>
      </c>
      <c r="S203" s="64">
        <f>IF(NOT((COUNTA($B203:$D203)+COUNTA($G203:$L203)+COUNTA($Q203))&gt;0),"",IF(AND($V203="Sub",N($U203)&gt;0),IF(ISNUMBER(INDEX($AM$5:$AM$1000,$U203-4)),DATE(YEAR(INDEX($AM$5:$AM$1000,$U203-4)),MONTH(INDEX($AM$5:$AM$1000,$U203-4)),1),IF(ISNUMBER(INDEX($AN$5:$AN$1000,$U203-4)),DATE(YEAR(INDEX($AN$5:$AN$1000,$U203-4)),MONTH(INDEX($AN$5:$AN$1000,$U203-4)),1),MesCiclo)),IF(ISNUMBER($AM203),DATE(YEAR($AM203),MONTH($AM203),1),IF(ISNUMBER($AN203),DATE(YEAR($AN203),MONTH($AN203),1),MesCiclo))))</f>
        <v/>
      </c>
      <c r="T203" s="62">
        <f>IF(OR($S203="",$S203&lt;&gt;MesCiclo,$V203&lt;&gt;"Macro"),"",COUNTIFS($S$5:$S203,MesCiclo,$V$5:$V203,"Macro"))</f>
        <v/>
      </c>
      <c r="U203" s="62">
        <f>IF($V203="","",IF($V203="Macro",ROW(),IFERROR(LOOKUP(2,1/($V$5:$V203="Macro"),ROW($V$5:$V203)),0)))</f>
        <v/>
      </c>
      <c r="V203" s="62">
        <f>IF(NOT((COUNTA($B203:$D203)+COUNTA($G203:$L203)+COUNTA($Q203))&gt;0),"",IF($B203="Subactividad","Sub","Macro"))</f>
        <v/>
      </c>
      <c r="W203" s="62">
        <f>IF($V203="Macro",COUNTIFS($U$5:$U$1000,ROW(),$V$5:$V$1000,"Sub"),"")</f>
        <v/>
      </c>
      <c r="X203" s="62">
        <f>IF($V203="","",IF(ISNUMBER($G203),1,IFERROR(LOOKUP(2,1/($I203:$L203&lt;&gt;""),$I203:$L203),0)))</f>
        <v/>
      </c>
      <c r="Y203" s="62">
        <f>IF($V203="","",IF(AND(ISNUMBER($G203),$G203&lt;=IF($S203=MesCiclo,InicioCiclo,$S203+MOD(2-WEEKDAY($S203),7))+6),1,IF(ISNUMBER($I203),$I203,0)))</f>
        <v/>
      </c>
      <c r="Z203" s="62">
        <f>IF($V203="","",IF(AND(ISNUMBER($G203),$G203&lt;=IF($S203=MesCiclo,InicioCiclo,$S203+MOD(2-WEEKDAY($S203),7))+13),1,IF(ISNUMBER($J203),$J203,$Y203)))</f>
        <v/>
      </c>
      <c r="AA203" s="62">
        <f>IF($V203="","",IF(AND(ISNUMBER($G203),$G203&lt;=IF($S203=MesCiclo,InicioCiclo,$S203+MOD(2-WEEKDAY($S203),7))+20),1,IF(ISNUMBER($K203),$K203,$Z203)))</f>
        <v/>
      </c>
      <c r="AB203" s="62">
        <f>IF($V203="","",IF(AND(ISNUMBER($G203),$G203&lt;=IF($S203=MesCiclo,InicioCiclo,$S203+MOD(2-WEEKDAY($S203),7))+27),1,IF(ISNUMBER($L203),$L203,$AA203)))</f>
        <v/>
      </c>
      <c r="AC203" s="62">
        <f>IF($V203="","",IF(AND(ISNUMBER($G203),$G203&lt;=IF($S203=MesCiclo,InicioCiclo,$S203+MOD(2-WEEKDAY($S203),7))+6),1,IF(N($W203)&gt;0,AVERAGEIFS($Y$5:$Y$1000,$U$5:$U$1000,ROW(),$V$5:$V$1000,"Sub"),$Y203)))</f>
        <v/>
      </c>
      <c r="AD203" s="62">
        <f>IF($V203="","",IF(AND(ISNUMBER($G203),$G203&lt;=IF($S203=MesCiclo,InicioCiclo,$S203+MOD(2-WEEKDAY($S203),7))+13),1,IF(N($W203)&gt;0,AVERAGEIFS($Z$5:$Z$1000,$U$5:$U$1000,ROW(),$V$5:$V$1000,"Sub"),$Z203)))</f>
        <v/>
      </c>
      <c r="AE203" s="62">
        <f>IF($V203="","",IF(AND(ISNUMBER($G203),$G203&lt;=IF($S203=MesCiclo,InicioCiclo,$S203+MOD(2-WEEKDAY($S203),7))+20),1,IF(N($W203)&gt;0,AVERAGEIFS($AA$5:$AA$1000,$U$5:$U$1000,ROW(),$V$5:$V$1000,"Sub"),$AA203)))</f>
        <v/>
      </c>
      <c r="AF203" s="62">
        <f>IF($V203="","",IF(AND(ISNUMBER($G203),$G203&lt;=IF($S203=MesCiclo,InicioCiclo,$S203+MOD(2-WEEKDAY($S203),7))+27),1,IF(N($W203)&gt;0,AVERAGEIFS($AB$5:$AB$1000,$U$5:$U$1000,ROW(),$V$5:$V$1000,"Sub"),$AB203)))</f>
        <v/>
      </c>
      <c r="AG203" s="62">
        <f>IF($V203&lt;&gt;"Macro","",IF(COUNTIFS($S$5:$S$1000,$S203,$V$5:$V$1000,"Macro",$H$5:$H$1000,"&gt;0")=0,1/COUNTIFS($S$5:$S$1000,$S203,$V$5:$V$1000,"Macro"),IF(AND(ISNUMBER($H203),N($H203)&gt;0),$H203,SUMIFS($H$5:$H$1000,$S$5:$S$1000,$S203,$V$5:$V$1000,"Macro")/COUNTIFS($S$5:$S$1000,$S203,$V$5:$V$1000,"Macro",$H$5:$H$1000,"&gt;0"))/(COUNTIFS($S$5:$S$1000,$S203,$V$5:$V$1000,"Macro")*SUMIFS($H$5:$H$1000,$S$5:$S$1000,$S203,$V$5:$V$1000,"Macro")/COUNTIFS($S$5:$S$1000,$S203,$V$5:$V$1000,"Macro",$H$5:$H$1000,"&gt;0"))))</f>
        <v/>
      </c>
      <c r="AH203" s="62" t="n"/>
      <c r="AI203" s="62" t="n"/>
      <c r="AJ203" s="62" t="n"/>
      <c r="AK203" s="62" t="n"/>
      <c r="AL203" s="62">
        <f>IF(LEFT($C203,11)="[Jefatura] ",IFERROR(MATCH("Riesgo Operacional|"&amp;MID($C203,12,500),rDname_ADM,0),0),"")</f>
        <v/>
      </c>
      <c r="AM203" s="62">
        <f>IF(N($AL203)&gt;0,INDEX(rIni_ADM,$AL203),IF(ISNUMBER($E203),$E203,""))</f>
        <v/>
      </c>
      <c r="AN203" s="62">
        <f>IF(N($AL203)&gt;0,INDEX(rLim_ADM,$AL203),IF(ISNUMBER($F203),$F203,""))</f>
        <v/>
      </c>
    </row>
    <row r="204">
      <c r="A204" s="56">
        <f>IF(NOT((COUNTA($B204:$D204)+COUNTA($G204:$L204)+COUNTA($Q204))&gt;0),"",IF($V204="Macro",COUNTIFS($V$5:$V204,"Macro",$S$5:$S204,$S204),IF(N($U204)=0,"?",COUNTIFS(INDEX($V$5:$V$1000,1):INDEX($V$5:$V$1000,$U204-4),"Macro",INDEX($S$5:$S$1000,1):INDEX($S$5:$S$1000,$U204-4),INDEX($S$5:$S$1000,$U204-4))&amp;"."&amp;COUNTIFS($U$5:$U204,$U204,$V$5:$V204,"Sub"))))</f>
        <v/>
      </c>
      <c r="B204" s="57" t="n"/>
      <c r="C204" s="58" t="n"/>
      <c r="D204" s="58" t="n"/>
      <c r="E204" s="59">
        <f>IF(N($AL204)&gt;0,INDEX(rIni_ADM,$AL204),"")</f>
        <v/>
      </c>
      <c r="F204" s="59">
        <f>IF(N($AL204)&gt;0,INDEX(rLim_ADM,$AL204),"")</f>
        <v/>
      </c>
      <c r="G204" s="59" t="n"/>
      <c r="H204" s="60" t="n"/>
      <c r="I204" s="60" t="n"/>
      <c r="J204" s="60" t="n"/>
      <c r="K204" s="60" t="n"/>
      <c r="L204" s="60" t="n"/>
      <c r="M204" s="61">
        <f>IF(NOT((COUNTA($B204:$D204)+COUNTA($G204:$L204)+COUNTA($Q204))&gt;0),"",IF($V204="Sub",IFERROR($X204/INDEX($W$5:$W$1000,$U204-4),""),IF(ISNUMBER($G204),1,IF(N($W204)&gt;0,AVERAGEIFS($X$5:$X$1000,$U$5:$U$1000,ROW(),$V$5:$V$1000,"Sub"),$X204))))</f>
        <v/>
      </c>
      <c r="N204" s="56">
        <f>IF(OR($M204="",$V204="Sub"),"",IF($M204&gt;=1,"Completado",IF($M204&gt;0,"En curso","Pendiente")))</f>
        <v/>
      </c>
      <c r="O204" s="56">
        <f>IF(OR(NOT((COUNTA($B204:$D204)+COUNTA($G204:$L204)+COUNTA($Q204))&gt;0),$V204="Sub"),"",IF(ISNUMBER($G204),IF(AND(ISNUMBER($AN204),$G204&gt;$AN204),"Cumplida con "&amp;($G204-$AN204)&amp;IF($G204-$AN204=1," día"," días")&amp;" de retraso","Cumplida"),IF(N($M204)&gt;=1,"Cumplida",IF(NOT(ISNUMBER($AN204)),"Sin fecha límite",IF($AN204&lt;FechaRef,"Vencida hace "&amp;(FechaRef-$AN204)&amp;IF(FechaRef-$AN204=1," día"," días"),IF($AN204=FechaRef,"Vence hoy",IF($AN204-FechaRef&lt;=DiasAlerta,"Vence en "&amp;($AN204-FechaRef)&amp;IF($AN204-FechaRef=1," día"," días"),"En plazo")))))))</f>
        <v/>
      </c>
      <c r="P204" s="62" t="n"/>
      <c r="Q204" s="58" t="n"/>
      <c r="R204" s="63">
        <f>IF(NOT((COUNTA($B204:$D204)+COUNTA($G204:$L204)+COUNTA($Q204))&gt;0),"",IF((IF($C204="","Falta el nombre de la actividad"&amp;" · ","")&amp;IF(AND($V204="Sub",N($U204)=0),"Subactividad sin macroactividad arriba"&amp;" · ","")&amp;IF($AM204="","Sin fecha de inicio"&amp;" · ","")&amp;IF($AN204="","Sin fecha límite"&amp;" · ","")&amp;IF(AND(LEFT($C204,11)="[Jefatura] ",N($AL204)=0),"No se encuentra en la hoja de la jefatura (elíjala de nuevo en la lista)"&amp;" · ","")&amp;IF(OR(AND($E204&lt;&gt;"",NOT(ISNUMBER($E204))),AND($F204&lt;&gt;"",NOT(ISNUMBER($F204))),AND($G204&lt;&gt;"",NOT(ISNUMBER($G204)))),"Fecha no válida"&amp;" · ","")&amp;IF(AND(ISNUMBER($AM204),ISNUMBER($AN204),$AM204&gt;$AN204),"Inicio posterior a fecha límite"&amp;" · ","")&amp;IF(AND($V204="Macro",$H204&lt;&gt;"",OR(NOT(ISNUMBER($H204)),$H204&lt;0,$H204&gt;1)),"Peso fuera de rango"&amp;" · ","")&amp;IF(AND($V204="Sub",$H204&lt;&gt;""),"Las subactividades no llevan peso (valen igual dentro de su macroactividad)"&amp;" · ","")&amp;IF(AND(N($W204)&gt;0,COUNT($I204:$L204)&gt;0),"Con subactividades: deje vacías las semanas (se calculan solas)"&amp;" · ","")&amp;IF((COUNTIF($I204:$L204,"&gt;1")+COUNTIF($I204:$L204,"&lt;0")+COUNTA($I204:$L204)-COUNT($I204:$L204))&gt;0,"Avance fuera de rango 0-100%"&amp;" · ","")&amp;IF(OR(AND($J204&lt;&gt;"",$J204&lt;$I204),AND($K204&lt;&gt;"",$K204&lt;MAX($I204:$J204)),AND($L204&lt;&gt;"",$L204&lt;MAX($I204:$K204))),"Avance semanal decreciente"&amp;" · ","")&amp;IF(AND(ISNUMBER($AN204),$AN204&lt;FechaRef,IF($V204="Sub",N($X204),N($M204))&lt;1),"Vencida"&amp;" · ","")&amp;IF(AND(ObsObligatoria="Sí",ISNUMBER($AN204),$AN204&lt;FechaRef,IF($V204="Sub",N($X204),N($M204))&lt;1,$Q204=""),"Vencida sin observación"&amp;" · ",""))="","✔ OK","⚠ "&amp;LEFT(IF($C204="","Falta el nombre de la actividad"&amp;" · ","")&amp;IF(AND($V204="Sub",N($U204)=0),"Subactividad sin macroactividad arriba"&amp;" · ","")&amp;IF($AM204="","Sin fecha de inicio"&amp;" · ","")&amp;IF($AN204="","Sin fecha límite"&amp;" · ","")&amp;IF(AND(LEFT($C204,11)="[Jefatura] ",N($AL204)=0),"No se encuentra en la hoja de la jefatura (elíjala de nuevo en la lista)"&amp;" · ","")&amp;IF(OR(AND($E204&lt;&gt;"",NOT(ISNUMBER($E204))),AND($F204&lt;&gt;"",NOT(ISNUMBER($F204))),AND($G204&lt;&gt;"",NOT(ISNUMBER($G204)))),"Fecha no válida"&amp;" · ","")&amp;IF(AND(ISNUMBER($AM204),ISNUMBER($AN204),$AM204&gt;$AN204),"Inicio posterior a fecha límite"&amp;" · ","")&amp;IF(AND($V204="Macro",$H204&lt;&gt;"",OR(NOT(ISNUMBER($H204)),$H204&lt;0,$H204&gt;1)),"Peso fuera de rango"&amp;" · ","")&amp;IF(AND($V204="Sub",$H204&lt;&gt;""),"Las subactividades no llevan peso (valen igual dentro de su macroactividad)"&amp;" · ","")&amp;IF(AND(N($W204)&gt;0,COUNT($I204:$L204)&gt;0),"Con subactividades: deje vacías las semanas (se calculan solas)"&amp;" · ","")&amp;IF((COUNTIF($I204:$L204,"&gt;1")+COUNTIF($I204:$L204,"&lt;0")+COUNTA($I204:$L204)-COUNT($I204:$L204))&gt;0,"Avance fuera de rango 0-100%"&amp;" · ","")&amp;IF(OR(AND($J204&lt;&gt;"",$J204&lt;$I204),AND($K204&lt;&gt;"",$K204&lt;MAX($I204:$J204)),AND($L204&lt;&gt;"",$L204&lt;MAX($I204:$K204))),"Avance semanal decreciente"&amp;" · ","")&amp;IF(AND(ISNUMBER($AN204),$AN204&lt;FechaRef,IF($V204="Sub",N($X204),N($M204))&lt;1),"Vencida"&amp;" · ","")&amp;IF(AND(ObsObligatoria="Sí",ISNUMBER($AN204),$AN204&lt;FechaRef,IF($V204="Sub",N($X204),N($M204))&lt;1,$Q204=""),"Vencida sin observación"&amp;" · ",""),LEN(IF($C204="","Falta el nombre de la actividad"&amp;" · ","")&amp;IF(AND($V204="Sub",N($U204)=0),"Subactividad sin macroactividad arriba"&amp;" · ","")&amp;IF($AM204="","Sin fecha de inicio"&amp;" · ","")&amp;IF($AN204="","Sin fecha límite"&amp;" · ","")&amp;IF(AND(LEFT($C204,11)="[Jefatura] ",N($AL204)=0),"No se encuentra en la hoja de la jefatura (elíjala de nuevo en la lista)"&amp;" · ","")&amp;IF(OR(AND($E204&lt;&gt;"",NOT(ISNUMBER($E204))),AND($F204&lt;&gt;"",NOT(ISNUMBER($F204))),AND($G204&lt;&gt;"",NOT(ISNUMBER($G204)))),"Fecha no válida"&amp;" · ","")&amp;IF(AND(ISNUMBER($AM204),ISNUMBER($AN204),$AM204&gt;$AN204),"Inicio posterior a fecha límite"&amp;" · ","")&amp;IF(AND($V204="Macro",$H204&lt;&gt;"",OR(NOT(ISNUMBER($H204)),$H204&lt;0,$H204&gt;1)),"Peso fuera de rango"&amp;" · ","")&amp;IF(AND($V204="Sub",$H204&lt;&gt;""),"Las subactividades no llevan peso (valen igual dentro de su macroactividad)"&amp;" · ","")&amp;IF(AND(N($W204)&gt;0,COUNT($I204:$L204)&gt;0),"Con subactividades: deje vacías las semanas (se calculan solas)"&amp;" · ","")&amp;IF((COUNTIF($I204:$L204,"&gt;1")+COUNTIF($I204:$L204,"&lt;0")+COUNTA($I204:$L204)-COUNT($I204:$L204))&gt;0,"Avance fuera de rango 0-100%"&amp;" · ","")&amp;IF(OR(AND($J204&lt;&gt;"",$J204&lt;$I204),AND($K204&lt;&gt;"",$K204&lt;MAX($I204:$J204)),AND($L204&lt;&gt;"",$L204&lt;MAX($I204:$K204))),"Avance semanal decreciente"&amp;" · ","")&amp;IF(AND(ISNUMBER($AN204),$AN204&lt;FechaRef,IF($V204="Sub",N($X204),N($M204))&lt;1),"Vencida"&amp;" · ","")&amp;IF(AND(ObsObligatoria="Sí",ISNUMBER($AN204),$AN204&lt;FechaRef,IF($V204="Sub",N($X204),N($M204))&lt;1,$Q204=""),"Vencida sin observación"&amp;" · ",""))-3)))</f>
        <v/>
      </c>
      <c r="S204" s="64">
        <f>IF(NOT((COUNTA($B204:$D204)+COUNTA($G204:$L204)+COUNTA($Q204))&gt;0),"",IF(AND($V204="Sub",N($U204)&gt;0),IF(ISNUMBER(INDEX($AM$5:$AM$1000,$U204-4)),DATE(YEAR(INDEX($AM$5:$AM$1000,$U204-4)),MONTH(INDEX($AM$5:$AM$1000,$U204-4)),1),IF(ISNUMBER(INDEX($AN$5:$AN$1000,$U204-4)),DATE(YEAR(INDEX($AN$5:$AN$1000,$U204-4)),MONTH(INDEX($AN$5:$AN$1000,$U204-4)),1),MesCiclo)),IF(ISNUMBER($AM204),DATE(YEAR($AM204),MONTH($AM204),1),IF(ISNUMBER($AN204),DATE(YEAR($AN204),MONTH($AN204),1),MesCiclo))))</f>
        <v/>
      </c>
      <c r="T204" s="62">
        <f>IF(OR($S204="",$S204&lt;&gt;MesCiclo,$V204&lt;&gt;"Macro"),"",COUNTIFS($S$5:$S204,MesCiclo,$V$5:$V204,"Macro"))</f>
        <v/>
      </c>
      <c r="U204" s="62">
        <f>IF($V204="","",IF($V204="Macro",ROW(),IFERROR(LOOKUP(2,1/($V$5:$V204="Macro"),ROW($V$5:$V204)),0)))</f>
        <v/>
      </c>
      <c r="V204" s="62">
        <f>IF(NOT((COUNTA($B204:$D204)+COUNTA($G204:$L204)+COUNTA($Q204))&gt;0),"",IF($B204="Subactividad","Sub","Macro"))</f>
        <v/>
      </c>
      <c r="W204" s="62">
        <f>IF($V204="Macro",COUNTIFS($U$5:$U$1000,ROW(),$V$5:$V$1000,"Sub"),"")</f>
        <v/>
      </c>
      <c r="X204" s="62">
        <f>IF($V204="","",IF(ISNUMBER($G204),1,IFERROR(LOOKUP(2,1/($I204:$L204&lt;&gt;""),$I204:$L204),0)))</f>
        <v/>
      </c>
      <c r="Y204" s="62">
        <f>IF($V204="","",IF(AND(ISNUMBER($G204),$G204&lt;=IF($S204=MesCiclo,InicioCiclo,$S204+MOD(2-WEEKDAY($S204),7))+6),1,IF(ISNUMBER($I204),$I204,0)))</f>
        <v/>
      </c>
      <c r="Z204" s="62">
        <f>IF($V204="","",IF(AND(ISNUMBER($G204),$G204&lt;=IF($S204=MesCiclo,InicioCiclo,$S204+MOD(2-WEEKDAY($S204),7))+13),1,IF(ISNUMBER($J204),$J204,$Y204)))</f>
        <v/>
      </c>
      <c r="AA204" s="62">
        <f>IF($V204="","",IF(AND(ISNUMBER($G204),$G204&lt;=IF($S204=MesCiclo,InicioCiclo,$S204+MOD(2-WEEKDAY($S204),7))+20),1,IF(ISNUMBER($K204),$K204,$Z204)))</f>
        <v/>
      </c>
      <c r="AB204" s="62">
        <f>IF($V204="","",IF(AND(ISNUMBER($G204),$G204&lt;=IF($S204=MesCiclo,InicioCiclo,$S204+MOD(2-WEEKDAY($S204),7))+27),1,IF(ISNUMBER($L204),$L204,$AA204)))</f>
        <v/>
      </c>
      <c r="AC204" s="62">
        <f>IF($V204="","",IF(AND(ISNUMBER($G204),$G204&lt;=IF($S204=MesCiclo,InicioCiclo,$S204+MOD(2-WEEKDAY($S204),7))+6),1,IF(N($W204)&gt;0,AVERAGEIFS($Y$5:$Y$1000,$U$5:$U$1000,ROW(),$V$5:$V$1000,"Sub"),$Y204)))</f>
        <v/>
      </c>
      <c r="AD204" s="62">
        <f>IF($V204="","",IF(AND(ISNUMBER($G204),$G204&lt;=IF($S204=MesCiclo,InicioCiclo,$S204+MOD(2-WEEKDAY($S204),7))+13),1,IF(N($W204)&gt;0,AVERAGEIFS($Z$5:$Z$1000,$U$5:$U$1000,ROW(),$V$5:$V$1000,"Sub"),$Z204)))</f>
        <v/>
      </c>
      <c r="AE204" s="62">
        <f>IF($V204="","",IF(AND(ISNUMBER($G204),$G204&lt;=IF($S204=MesCiclo,InicioCiclo,$S204+MOD(2-WEEKDAY($S204),7))+20),1,IF(N($W204)&gt;0,AVERAGEIFS($AA$5:$AA$1000,$U$5:$U$1000,ROW(),$V$5:$V$1000,"Sub"),$AA204)))</f>
        <v/>
      </c>
      <c r="AF204" s="62">
        <f>IF($V204="","",IF(AND(ISNUMBER($G204),$G204&lt;=IF($S204=MesCiclo,InicioCiclo,$S204+MOD(2-WEEKDAY($S204),7))+27),1,IF(N($W204)&gt;0,AVERAGEIFS($AB$5:$AB$1000,$U$5:$U$1000,ROW(),$V$5:$V$1000,"Sub"),$AB204)))</f>
        <v/>
      </c>
      <c r="AG204" s="62">
        <f>IF($V204&lt;&gt;"Macro","",IF(COUNTIFS($S$5:$S$1000,$S204,$V$5:$V$1000,"Macro",$H$5:$H$1000,"&gt;0")=0,1/COUNTIFS($S$5:$S$1000,$S204,$V$5:$V$1000,"Macro"),IF(AND(ISNUMBER($H204),N($H204)&gt;0),$H204,SUMIFS($H$5:$H$1000,$S$5:$S$1000,$S204,$V$5:$V$1000,"Macro")/COUNTIFS($S$5:$S$1000,$S204,$V$5:$V$1000,"Macro",$H$5:$H$1000,"&gt;0"))/(COUNTIFS($S$5:$S$1000,$S204,$V$5:$V$1000,"Macro")*SUMIFS($H$5:$H$1000,$S$5:$S$1000,$S204,$V$5:$V$1000,"Macro")/COUNTIFS($S$5:$S$1000,$S204,$V$5:$V$1000,"Macro",$H$5:$H$1000,"&gt;0"))))</f>
        <v/>
      </c>
      <c r="AH204" s="62" t="n"/>
      <c r="AI204" s="62" t="n"/>
      <c r="AJ204" s="62" t="n"/>
      <c r="AK204" s="62" t="n"/>
      <c r="AL204" s="62">
        <f>IF(LEFT($C204,11)="[Jefatura] ",IFERROR(MATCH("Riesgo Operacional|"&amp;MID($C204,12,500),rDname_ADM,0),0),"")</f>
        <v/>
      </c>
      <c r="AM204" s="62">
        <f>IF(N($AL204)&gt;0,INDEX(rIni_ADM,$AL204),IF(ISNUMBER($E204),$E204,""))</f>
        <v/>
      </c>
      <c r="AN204" s="62">
        <f>IF(N($AL204)&gt;0,INDEX(rLim_ADM,$AL204),IF(ISNUMBER($F204),$F204,""))</f>
        <v/>
      </c>
    </row>
    <row r="205">
      <c r="A205" s="56">
        <f>IF(NOT((COUNTA($B205:$D205)+COUNTA($G205:$L205)+COUNTA($Q205))&gt;0),"",IF($V205="Macro",COUNTIFS($V$5:$V205,"Macro",$S$5:$S205,$S205),IF(N($U205)=0,"?",COUNTIFS(INDEX($V$5:$V$1000,1):INDEX($V$5:$V$1000,$U205-4),"Macro",INDEX($S$5:$S$1000,1):INDEX($S$5:$S$1000,$U205-4),INDEX($S$5:$S$1000,$U205-4))&amp;"."&amp;COUNTIFS($U$5:$U205,$U205,$V$5:$V205,"Sub"))))</f>
        <v/>
      </c>
      <c r="B205" s="57" t="n"/>
      <c r="C205" s="58" t="n"/>
      <c r="D205" s="58" t="n"/>
      <c r="E205" s="59">
        <f>IF(N($AL205)&gt;0,INDEX(rIni_ADM,$AL205),"")</f>
        <v/>
      </c>
      <c r="F205" s="59">
        <f>IF(N($AL205)&gt;0,INDEX(rLim_ADM,$AL205),"")</f>
        <v/>
      </c>
      <c r="G205" s="59" t="n"/>
      <c r="H205" s="60" t="n"/>
      <c r="I205" s="60" t="n"/>
      <c r="J205" s="60" t="n"/>
      <c r="K205" s="60" t="n"/>
      <c r="L205" s="60" t="n"/>
      <c r="M205" s="61">
        <f>IF(NOT((COUNTA($B205:$D205)+COUNTA($G205:$L205)+COUNTA($Q205))&gt;0),"",IF($V205="Sub",IFERROR($X205/INDEX($W$5:$W$1000,$U205-4),""),IF(ISNUMBER($G205),1,IF(N($W205)&gt;0,AVERAGEIFS($X$5:$X$1000,$U$5:$U$1000,ROW(),$V$5:$V$1000,"Sub"),$X205))))</f>
        <v/>
      </c>
      <c r="N205" s="56">
        <f>IF(OR($M205="",$V205="Sub"),"",IF($M205&gt;=1,"Completado",IF($M205&gt;0,"En curso","Pendiente")))</f>
        <v/>
      </c>
      <c r="O205" s="56">
        <f>IF(OR(NOT((COUNTA($B205:$D205)+COUNTA($G205:$L205)+COUNTA($Q205))&gt;0),$V205="Sub"),"",IF(ISNUMBER($G205),IF(AND(ISNUMBER($AN205),$G205&gt;$AN205),"Cumplida con "&amp;($G205-$AN205)&amp;IF($G205-$AN205=1," día"," días")&amp;" de retraso","Cumplida"),IF(N($M205)&gt;=1,"Cumplida",IF(NOT(ISNUMBER($AN205)),"Sin fecha límite",IF($AN205&lt;FechaRef,"Vencida hace "&amp;(FechaRef-$AN205)&amp;IF(FechaRef-$AN205=1," día"," días"),IF($AN205=FechaRef,"Vence hoy",IF($AN205-FechaRef&lt;=DiasAlerta,"Vence en "&amp;($AN205-FechaRef)&amp;IF($AN205-FechaRef=1," día"," días"),"En plazo")))))))</f>
        <v/>
      </c>
      <c r="P205" s="62" t="n"/>
      <c r="Q205" s="58" t="n"/>
      <c r="R205" s="63">
        <f>IF(NOT((COUNTA($B205:$D205)+COUNTA($G205:$L205)+COUNTA($Q205))&gt;0),"",IF((IF($C205="","Falta el nombre de la actividad"&amp;" · ","")&amp;IF(AND($V205="Sub",N($U205)=0),"Subactividad sin macroactividad arriba"&amp;" · ","")&amp;IF($AM205="","Sin fecha de inicio"&amp;" · ","")&amp;IF($AN205="","Sin fecha límite"&amp;" · ","")&amp;IF(AND(LEFT($C205,11)="[Jefatura] ",N($AL205)=0),"No se encuentra en la hoja de la jefatura (elíjala de nuevo en la lista)"&amp;" · ","")&amp;IF(OR(AND($E205&lt;&gt;"",NOT(ISNUMBER($E205))),AND($F205&lt;&gt;"",NOT(ISNUMBER($F205))),AND($G205&lt;&gt;"",NOT(ISNUMBER($G205)))),"Fecha no válida"&amp;" · ","")&amp;IF(AND(ISNUMBER($AM205),ISNUMBER($AN205),$AM205&gt;$AN205),"Inicio posterior a fecha límite"&amp;" · ","")&amp;IF(AND($V205="Macro",$H205&lt;&gt;"",OR(NOT(ISNUMBER($H205)),$H205&lt;0,$H205&gt;1)),"Peso fuera de rango"&amp;" · ","")&amp;IF(AND($V205="Sub",$H205&lt;&gt;""),"Las subactividades no llevan peso (valen igual dentro de su macroactividad)"&amp;" · ","")&amp;IF(AND(N($W205)&gt;0,COUNT($I205:$L205)&gt;0),"Con subactividades: deje vacías las semanas (se calculan solas)"&amp;" · ","")&amp;IF((COUNTIF($I205:$L205,"&gt;1")+COUNTIF($I205:$L205,"&lt;0")+COUNTA($I205:$L205)-COUNT($I205:$L205))&gt;0,"Avance fuera de rango 0-100%"&amp;" · ","")&amp;IF(OR(AND($J205&lt;&gt;"",$J205&lt;$I205),AND($K205&lt;&gt;"",$K205&lt;MAX($I205:$J205)),AND($L205&lt;&gt;"",$L205&lt;MAX($I205:$K205))),"Avance semanal decreciente"&amp;" · ","")&amp;IF(AND(ISNUMBER($AN205),$AN205&lt;FechaRef,IF($V205="Sub",N($X205),N($M205))&lt;1),"Vencida"&amp;" · ","")&amp;IF(AND(ObsObligatoria="Sí",ISNUMBER($AN205),$AN205&lt;FechaRef,IF($V205="Sub",N($X205),N($M205))&lt;1,$Q205=""),"Vencida sin observación"&amp;" · ",""))="","✔ OK","⚠ "&amp;LEFT(IF($C205="","Falta el nombre de la actividad"&amp;" · ","")&amp;IF(AND($V205="Sub",N($U205)=0),"Subactividad sin macroactividad arriba"&amp;" · ","")&amp;IF($AM205="","Sin fecha de inicio"&amp;" · ","")&amp;IF($AN205="","Sin fecha límite"&amp;" · ","")&amp;IF(AND(LEFT($C205,11)="[Jefatura] ",N($AL205)=0),"No se encuentra en la hoja de la jefatura (elíjala de nuevo en la lista)"&amp;" · ","")&amp;IF(OR(AND($E205&lt;&gt;"",NOT(ISNUMBER($E205))),AND($F205&lt;&gt;"",NOT(ISNUMBER($F205))),AND($G205&lt;&gt;"",NOT(ISNUMBER($G205)))),"Fecha no válida"&amp;" · ","")&amp;IF(AND(ISNUMBER($AM205),ISNUMBER($AN205),$AM205&gt;$AN205),"Inicio posterior a fecha límite"&amp;" · ","")&amp;IF(AND($V205="Macro",$H205&lt;&gt;"",OR(NOT(ISNUMBER($H205)),$H205&lt;0,$H205&gt;1)),"Peso fuera de rango"&amp;" · ","")&amp;IF(AND($V205="Sub",$H205&lt;&gt;""),"Las subactividades no llevan peso (valen igual dentro de su macroactividad)"&amp;" · ","")&amp;IF(AND(N($W205)&gt;0,COUNT($I205:$L205)&gt;0),"Con subactividades: deje vacías las semanas (se calculan solas)"&amp;" · ","")&amp;IF((COUNTIF($I205:$L205,"&gt;1")+COUNTIF($I205:$L205,"&lt;0")+COUNTA($I205:$L205)-COUNT($I205:$L205))&gt;0,"Avance fuera de rango 0-100%"&amp;" · ","")&amp;IF(OR(AND($J205&lt;&gt;"",$J205&lt;$I205),AND($K205&lt;&gt;"",$K205&lt;MAX($I205:$J205)),AND($L205&lt;&gt;"",$L205&lt;MAX($I205:$K205))),"Avance semanal decreciente"&amp;" · ","")&amp;IF(AND(ISNUMBER($AN205),$AN205&lt;FechaRef,IF($V205="Sub",N($X205),N($M205))&lt;1),"Vencida"&amp;" · ","")&amp;IF(AND(ObsObligatoria="Sí",ISNUMBER($AN205),$AN205&lt;FechaRef,IF($V205="Sub",N($X205),N($M205))&lt;1,$Q205=""),"Vencida sin observación"&amp;" · ",""),LEN(IF($C205="","Falta el nombre de la actividad"&amp;" · ","")&amp;IF(AND($V205="Sub",N($U205)=0),"Subactividad sin macroactividad arriba"&amp;" · ","")&amp;IF($AM205="","Sin fecha de inicio"&amp;" · ","")&amp;IF($AN205="","Sin fecha límite"&amp;" · ","")&amp;IF(AND(LEFT($C205,11)="[Jefatura] ",N($AL205)=0),"No se encuentra en la hoja de la jefatura (elíjala de nuevo en la lista)"&amp;" · ","")&amp;IF(OR(AND($E205&lt;&gt;"",NOT(ISNUMBER($E205))),AND($F205&lt;&gt;"",NOT(ISNUMBER($F205))),AND($G205&lt;&gt;"",NOT(ISNUMBER($G205)))),"Fecha no válida"&amp;" · ","")&amp;IF(AND(ISNUMBER($AM205),ISNUMBER($AN205),$AM205&gt;$AN205),"Inicio posterior a fecha límite"&amp;" · ","")&amp;IF(AND($V205="Macro",$H205&lt;&gt;"",OR(NOT(ISNUMBER($H205)),$H205&lt;0,$H205&gt;1)),"Peso fuera de rango"&amp;" · ","")&amp;IF(AND($V205="Sub",$H205&lt;&gt;""),"Las subactividades no llevan peso (valen igual dentro de su macroactividad)"&amp;" · ","")&amp;IF(AND(N($W205)&gt;0,COUNT($I205:$L205)&gt;0),"Con subactividades: deje vacías las semanas (se calculan solas)"&amp;" · ","")&amp;IF((COUNTIF($I205:$L205,"&gt;1")+COUNTIF($I205:$L205,"&lt;0")+COUNTA($I205:$L205)-COUNT($I205:$L205))&gt;0,"Avance fuera de rango 0-100%"&amp;" · ","")&amp;IF(OR(AND($J205&lt;&gt;"",$J205&lt;$I205),AND($K205&lt;&gt;"",$K205&lt;MAX($I205:$J205)),AND($L205&lt;&gt;"",$L205&lt;MAX($I205:$K205))),"Avance semanal decreciente"&amp;" · ","")&amp;IF(AND(ISNUMBER($AN205),$AN205&lt;FechaRef,IF($V205="Sub",N($X205),N($M205))&lt;1),"Vencida"&amp;" · ","")&amp;IF(AND(ObsObligatoria="Sí",ISNUMBER($AN205),$AN205&lt;FechaRef,IF($V205="Sub",N($X205),N($M205))&lt;1,$Q205=""),"Vencida sin observación"&amp;" · ",""))-3)))</f>
        <v/>
      </c>
      <c r="S205" s="64">
        <f>IF(NOT((COUNTA($B205:$D205)+COUNTA($G205:$L205)+COUNTA($Q205))&gt;0),"",IF(AND($V205="Sub",N($U205)&gt;0),IF(ISNUMBER(INDEX($AM$5:$AM$1000,$U205-4)),DATE(YEAR(INDEX($AM$5:$AM$1000,$U205-4)),MONTH(INDEX($AM$5:$AM$1000,$U205-4)),1),IF(ISNUMBER(INDEX($AN$5:$AN$1000,$U205-4)),DATE(YEAR(INDEX($AN$5:$AN$1000,$U205-4)),MONTH(INDEX($AN$5:$AN$1000,$U205-4)),1),MesCiclo)),IF(ISNUMBER($AM205),DATE(YEAR($AM205),MONTH($AM205),1),IF(ISNUMBER($AN205),DATE(YEAR($AN205),MONTH($AN205),1),MesCiclo))))</f>
        <v/>
      </c>
      <c r="T205" s="62">
        <f>IF(OR($S205="",$S205&lt;&gt;MesCiclo,$V205&lt;&gt;"Macro"),"",COUNTIFS($S$5:$S205,MesCiclo,$V$5:$V205,"Macro"))</f>
        <v/>
      </c>
      <c r="U205" s="62">
        <f>IF($V205="","",IF($V205="Macro",ROW(),IFERROR(LOOKUP(2,1/($V$5:$V205="Macro"),ROW($V$5:$V205)),0)))</f>
        <v/>
      </c>
      <c r="V205" s="62">
        <f>IF(NOT((COUNTA($B205:$D205)+COUNTA($G205:$L205)+COUNTA($Q205))&gt;0),"",IF($B205="Subactividad","Sub","Macro"))</f>
        <v/>
      </c>
      <c r="W205" s="62">
        <f>IF($V205="Macro",COUNTIFS($U$5:$U$1000,ROW(),$V$5:$V$1000,"Sub"),"")</f>
        <v/>
      </c>
      <c r="X205" s="62">
        <f>IF($V205="","",IF(ISNUMBER($G205),1,IFERROR(LOOKUP(2,1/($I205:$L205&lt;&gt;""),$I205:$L205),0)))</f>
        <v/>
      </c>
      <c r="Y205" s="62">
        <f>IF($V205="","",IF(AND(ISNUMBER($G205),$G205&lt;=IF($S205=MesCiclo,InicioCiclo,$S205+MOD(2-WEEKDAY($S205),7))+6),1,IF(ISNUMBER($I205),$I205,0)))</f>
        <v/>
      </c>
      <c r="Z205" s="62">
        <f>IF($V205="","",IF(AND(ISNUMBER($G205),$G205&lt;=IF($S205=MesCiclo,InicioCiclo,$S205+MOD(2-WEEKDAY($S205),7))+13),1,IF(ISNUMBER($J205),$J205,$Y205)))</f>
        <v/>
      </c>
      <c r="AA205" s="62">
        <f>IF($V205="","",IF(AND(ISNUMBER($G205),$G205&lt;=IF($S205=MesCiclo,InicioCiclo,$S205+MOD(2-WEEKDAY($S205),7))+20),1,IF(ISNUMBER($K205),$K205,$Z205)))</f>
        <v/>
      </c>
      <c r="AB205" s="62">
        <f>IF($V205="","",IF(AND(ISNUMBER($G205),$G205&lt;=IF($S205=MesCiclo,InicioCiclo,$S205+MOD(2-WEEKDAY($S205),7))+27),1,IF(ISNUMBER($L205),$L205,$AA205)))</f>
        <v/>
      </c>
      <c r="AC205" s="62">
        <f>IF($V205="","",IF(AND(ISNUMBER($G205),$G205&lt;=IF($S205=MesCiclo,InicioCiclo,$S205+MOD(2-WEEKDAY($S205),7))+6),1,IF(N($W205)&gt;0,AVERAGEIFS($Y$5:$Y$1000,$U$5:$U$1000,ROW(),$V$5:$V$1000,"Sub"),$Y205)))</f>
        <v/>
      </c>
      <c r="AD205" s="62">
        <f>IF($V205="","",IF(AND(ISNUMBER($G205),$G205&lt;=IF($S205=MesCiclo,InicioCiclo,$S205+MOD(2-WEEKDAY($S205),7))+13),1,IF(N($W205)&gt;0,AVERAGEIFS($Z$5:$Z$1000,$U$5:$U$1000,ROW(),$V$5:$V$1000,"Sub"),$Z205)))</f>
        <v/>
      </c>
      <c r="AE205" s="62">
        <f>IF($V205="","",IF(AND(ISNUMBER($G205),$G205&lt;=IF($S205=MesCiclo,InicioCiclo,$S205+MOD(2-WEEKDAY($S205),7))+20),1,IF(N($W205)&gt;0,AVERAGEIFS($AA$5:$AA$1000,$U$5:$U$1000,ROW(),$V$5:$V$1000,"Sub"),$AA205)))</f>
        <v/>
      </c>
      <c r="AF205" s="62">
        <f>IF($V205="","",IF(AND(ISNUMBER($G205),$G205&lt;=IF($S205=MesCiclo,InicioCiclo,$S205+MOD(2-WEEKDAY($S205),7))+27),1,IF(N($W205)&gt;0,AVERAGEIFS($AB$5:$AB$1000,$U$5:$U$1000,ROW(),$V$5:$V$1000,"Sub"),$AB205)))</f>
        <v/>
      </c>
      <c r="AG205" s="62">
        <f>IF($V205&lt;&gt;"Macro","",IF(COUNTIFS($S$5:$S$1000,$S205,$V$5:$V$1000,"Macro",$H$5:$H$1000,"&gt;0")=0,1/COUNTIFS($S$5:$S$1000,$S205,$V$5:$V$1000,"Macro"),IF(AND(ISNUMBER($H205),N($H205)&gt;0),$H205,SUMIFS($H$5:$H$1000,$S$5:$S$1000,$S205,$V$5:$V$1000,"Macro")/COUNTIFS($S$5:$S$1000,$S205,$V$5:$V$1000,"Macro",$H$5:$H$1000,"&gt;0"))/(COUNTIFS($S$5:$S$1000,$S205,$V$5:$V$1000,"Macro")*SUMIFS($H$5:$H$1000,$S$5:$S$1000,$S205,$V$5:$V$1000,"Macro")/COUNTIFS($S$5:$S$1000,$S205,$V$5:$V$1000,"Macro",$H$5:$H$1000,"&gt;0"))))</f>
        <v/>
      </c>
      <c r="AH205" s="62" t="n"/>
      <c r="AI205" s="62" t="n"/>
      <c r="AJ205" s="62" t="n"/>
      <c r="AK205" s="62" t="n"/>
      <c r="AL205" s="62">
        <f>IF(LEFT($C205,11)="[Jefatura] ",IFERROR(MATCH("Riesgo Operacional|"&amp;MID($C205,12,500),rDname_ADM,0),0),"")</f>
        <v/>
      </c>
      <c r="AM205" s="62">
        <f>IF(N($AL205)&gt;0,INDEX(rIni_ADM,$AL205),IF(ISNUMBER($E205),$E205,""))</f>
        <v/>
      </c>
      <c r="AN205" s="62">
        <f>IF(N($AL205)&gt;0,INDEX(rLim_ADM,$AL205),IF(ISNUMBER($F205),$F205,""))</f>
        <v/>
      </c>
    </row>
    <row r="206">
      <c r="A206" s="56">
        <f>IF(NOT((COUNTA($B206:$D206)+COUNTA($G206:$L206)+COUNTA($Q206))&gt;0),"",IF($V206="Macro",COUNTIFS($V$5:$V206,"Macro",$S$5:$S206,$S206),IF(N($U206)=0,"?",COUNTIFS(INDEX($V$5:$V$1000,1):INDEX($V$5:$V$1000,$U206-4),"Macro",INDEX($S$5:$S$1000,1):INDEX($S$5:$S$1000,$U206-4),INDEX($S$5:$S$1000,$U206-4))&amp;"."&amp;COUNTIFS($U$5:$U206,$U206,$V$5:$V206,"Sub"))))</f>
        <v/>
      </c>
      <c r="B206" s="57" t="n"/>
      <c r="C206" s="58" t="n"/>
      <c r="D206" s="58" t="n"/>
      <c r="E206" s="59">
        <f>IF(N($AL206)&gt;0,INDEX(rIni_ADM,$AL206),"")</f>
        <v/>
      </c>
      <c r="F206" s="59">
        <f>IF(N($AL206)&gt;0,INDEX(rLim_ADM,$AL206),"")</f>
        <v/>
      </c>
      <c r="G206" s="59" t="n"/>
      <c r="H206" s="60" t="n"/>
      <c r="I206" s="60" t="n"/>
      <c r="J206" s="60" t="n"/>
      <c r="K206" s="60" t="n"/>
      <c r="L206" s="60" t="n"/>
      <c r="M206" s="61">
        <f>IF(NOT((COUNTA($B206:$D206)+COUNTA($G206:$L206)+COUNTA($Q206))&gt;0),"",IF($V206="Sub",IFERROR($X206/INDEX($W$5:$W$1000,$U206-4),""),IF(ISNUMBER($G206),1,IF(N($W206)&gt;0,AVERAGEIFS($X$5:$X$1000,$U$5:$U$1000,ROW(),$V$5:$V$1000,"Sub"),$X206))))</f>
        <v/>
      </c>
      <c r="N206" s="56">
        <f>IF(OR($M206="",$V206="Sub"),"",IF($M206&gt;=1,"Completado",IF($M206&gt;0,"En curso","Pendiente")))</f>
        <v/>
      </c>
      <c r="O206" s="56">
        <f>IF(OR(NOT((COUNTA($B206:$D206)+COUNTA($G206:$L206)+COUNTA($Q206))&gt;0),$V206="Sub"),"",IF(ISNUMBER($G206),IF(AND(ISNUMBER($AN206),$G206&gt;$AN206),"Cumplida con "&amp;($G206-$AN206)&amp;IF($G206-$AN206=1," día"," días")&amp;" de retraso","Cumplida"),IF(N($M206)&gt;=1,"Cumplida",IF(NOT(ISNUMBER($AN206)),"Sin fecha límite",IF($AN206&lt;FechaRef,"Vencida hace "&amp;(FechaRef-$AN206)&amp;IF(FechaRef-$AN206=1," día"," días"),IF($AN206=FechaRef,"Vence hoy",IF($AN206-FechaRef&lt;=DiasAlerta,"Vence en "&amp;($AN206-FechaRef)&amp;IF($AN206-FechaRef=1," día"," días"),"En plazo")))))))</f>
        <v/>
      </c>
      <c r="P206" s="62" t="n"/>
      <c r="Q206" s="58" t="n"/>
      <c r="R206" s="63">
        <f>IF(NOT((COUNTA($B206:$D206)+COUNTA($G206:$L206)+COUNTA($Q206))&gt;0),"",IF((IF($C206="","Falta el nombre de la actividad"&amp;" · ","")&amp;IF(AND($V206="Sub",N($U206)=0),"Subactividad sin macroactividad arriba"&amp;" · ","")&amp;IF($AM206="","Sin fecha de inicio"&amp;" · ","")&amp;IF($AN206="","Sin fecha límite"&amp;" · ","")&amp;IF(AND(LEFT($C206,11)="[Jefatura] ",N($AL206)=0),"No se encuentra en la hoja de la jefatura (elíjala de nuevo en la lista)"&amp;" · ","")&amp;IF(OR(AND($E206&lt;&gt;"",NOT(ISNUMBER($E206))),AND($F206&lt;&gt;"",NOT(ISNUMBER($F206))),AND($G206&lt;&gt;"",NOT(ISNUMBER($G206)))),"Fecha no válida"&amp;" · ","")&amp;IF(AND(ISNUMBER($AM206),ISNUMBER($AN206),$AM206&gt;$AN206),"Inicio posterior a fecha límite"&amp;" · ","")&amp;IF(AND($V206="Macro",$H206&lt;&gt;"",OR(NOT(ISNUMBER($H206)),$H206&lt;0,$H206&gt;1)),"Peso fuera de rango"&amp;" · ","")&amp;IF(AND($V206="Sub",$H206&lt;&gt;""),"Las subactividades no llevan peso (valen igual dentro de su macroactividad)"&amp;" · ","")&amp;IF(AND(N($W206)&gt;0,COUNT($I206:$L206)&gt;0),"Con subactividades: deje vacías las semanas (se calculan solas)"&amp;" · ","")&amp;IF((COUNTIF($I206:$L206,"&gt;1")+COUNTIF($I206:$L206,"&lt;0")+COUNTA($I206:$L206)-COUNT($I206:$L206))&gt;0,"Avance fuera de rango 0-100%"&amp;" · ","")&amp;IF(OR(AND($J206&lt;&gt;"",$J206&lt;$I206),AND($K206&lt;&gt;"",$K206&lt;MAX($I206:$J206)),AND($L206&lt;&gt;"",$L206&lt;MAX($I206:$K206))),"Avance semanal decreciente"&amp;" · ","")&amp;IF(AND(ISNUMBER($AN206),$AN206&lt;FechaRef,IF($V206="Sub",N($X206),N($M206))&lt;1),"Vencida"&amp;" · ","")&amp;IF(AND(ObsObligatoria="Sí",ISNUMBER($AN206),$AN206&lt;FechaRef,IF($V206="Sub",N($X206),N($M206))&lt;1,$Q206=""),"Vencida sin observación"&amp;" · ",""))="","✔ OK","⚠ "&amp;LEFT(IF($C206="","Falta el nombre de la actividad"&amp;" · ","")&amp;IF(AND($V206="Sub",N($U206)=0),"Subactividad sin macroactividad arriba"&amp;" · ","")&amp;IF($AM206="","Sin fecha de inicio"&amp;" · ","")&amp;IF($AN206="","Sin fecha límite"&amp;" · ","")&amp;IF(AND(LEFT($C206,11)="[Jefatura] ",N($AL206)=0),"No se encuentra en la hoja de la jefatura (elíjala de nuevo en la lista)"&amp;" · ","")&amp;IF(OR(AND($E206&lt;&gt;"",NOT(ISNUMBER($E206))),AND($F206&lt;&gt;"",NOT(ISNUMBER($F206))),AND($G206&lt;&gt;"",NOT(ISNUMBER($G206)))),"Fecha no válida"&amp;" · ","")&amp;IF(AND(ISNUMBER($AM206),ISNUMBER($AN206),$AM206&gt;$AN206),"Inicio posterior a fecha límite"&amp;" · ","")&amp;IF(AND($V206="Macro",$H206&lt;&gt;"",OR(NOT(ISNUMBER($H206)),$H206&lt;0,$H206&gt;1)),"Peso fuera de rango"&amp;" · ","")&amp;IF(AND($V206="Sub",$H206&lt;&gt;""),"Las subactividades no llevan peso (valen igual dentro de su macroactividad)"&amp;" · ","")&amp;IF(AND(N($W206)&gt;0,COUNT($I206:$L206)&gt;0),"Con subactividades: deje vacías las semanas (se calculan solas)"&amp;" · ","")&amp;IF((COUNTIF($I206:$L206,"&gt;1")+COUNTIF($I206:$L206,"&lt;0")+COUNTA($I206:$L206)-COUNT($I206:$L206))&gt;0,"Avance fuera de rango 0-100%"&amp;" · ","")&amp;IF(OR(AND($J206&lt;&gt;"",$J206&lt;$I206),AND($K206&lt;&gt;"",$K206&lt;MAX($I206:$J206)),AND($L206&lt;&gt;"",$L206&lt;MAX($I206:$K206))),"Avance semanal decreciente"&amp;" · ","")&amp;IF(AND(ISNUMBER($AN206),$AN206&lt;FechaRef,IF($V206="Sub",N($X206),N($M206))&lt;1),"Vencida"&amp;" · ","")&amp;IF(AND(ObsObligatoria="Sí",ISNUMBER($AN206),$AN206&lt;FechaRef,IF($V206="Sub",N($X206),N($M206))&lt;1,$Q206=""),"Vencida sin observación"&amp;" · ",""),LEN(IF($C206="","Falta el nombre de la actividad"&amp;" · ","")&amp;IF(AND($V206="Sub",N($U206)=0),"Subactividad sin macroactividad arriba"&amp;" · ","")&amp;IF($AM206="","Sin fecha de inicio"&amp;" · ","")&amp;IF($AN206="","Sin fecha límite"&amp;" · ","")&amp;IF(AND(LEFT($C206,11)="[Jefatura] ",N($AL206)=0),"No se encuentra en la hoja de la jefatura (elíjala de nuevo en la lista)"&amp;" · ","")&amp;IF(OR(AND($E206&lt;&gt;"",NOT(ISNUMBER($E206))),AND($F206&lt;&gt;"",NOT(ISNUMBER($F206))),AND($G206&lt;&gt;"",NOT(ISNUMBER($G206)))),"Fecha no válida"&amp;" · ","")&amp;IF(AND(ISNUMBER($AM206),ISNUMBER($AN206),$AM206&gt;$AN206),"Inicio posterior a fecha límite"&amp;" · ","")&amp;IF(AND($V206="Macro",$H206&lt;&gt;"",OR(NOT(ISNUMBER($H206)),$H206&lt;0,$H206&gt;1)),"Peso fuera de rango"&amp;" · ","")&amp;IF(AND($V206="Sub",$H206&lt;&gt;""),"Las subactividades no llevan peso (valen igual dentro de su macroactividad)"&amp;" · ","")&amp;IF(AND(N($W206)&gt;0,COUNT($I206:$L206)&gt;0),"Con subactividades: deje vacías las semanas (se calculan solas)"&amp;" · ","")&amp;IF((COUNTIF($I206:$L206,"&gt;1")+COUNTIF($I206:$L206,"&lt;0")+COUNTA($I206:$L206)-COUNT($I206:$L206))&gt;0,"Avance fuera de rango 0-100%"&amp;" · ","")&amp;IF(OR(AND($J206&lt;&gt;"",$J206&lt;$I206),AND($K206&lt;&gt;"",$K206&lt;MAX($I206:$J206)),AND($L206&lt;&gt;"",$L206&lt;MAX($I206:$K206))),"Avance semanal decreciente"&amp;" · ","")&amp;IF(AND(ISNUMBER($AN206),$AN206&lt;FechaRef,IF($V206="Sub",N($X206),N($M206))&lt;1),"Vencida"&amp;" · ","")&amp;IF(AND(ObsObligatoria="Sí",ISNUMBER($AN206),$AN206&lt;FechaRef,IF($V206="Sub",N($X206),N($M206))&lt;1,$Q206=""),"Vencida sin observación"&amp;" · ",""))-3)))</f>
        <v/>
      </c>
      <c r="S206" s="64">
        <f>IF(NOT((COUNTA($B206:$D206)+COUNTA($G206:$L206)+COUNTA($Q206))&gt;0),"",IF(AND($V206="Sub",N($U206)&gt;0),IF(ISNUMBER(INDEX($AM$5:$AM$1000,$U206-4)),DATE(YEAR(INDEX($AM$5:$AM$1000,$U206-4)),MONTH(INDEX($AM$5:$AM$1000,$U206-4)),1),IF(ISNUMBER(INDEX($AN$5:$AN$1000,$U206-4)),DATE(YEAR(INDEX($AN$5:$AN$1000,$U206-4)),MONTH(INDEX($AN$5:$AN$1000,$U206-4)),1),MesCiclo)),IF(ISNUMBER($AM206),DATE(YEAR($AM206),MONTH($AM206),1),IF(ISNUMBER($AN206),DATE(YEAR($AN206),MONTH($AN206),1),MesCiclo))))</f>
        <v/>
      </c>
      <c r="T206" s="62">
        <f>IF(OR($S206="",$S206&lt;&gt;MesCiclo,$V206&lt;&gt;"Macro"),"",COUNTIFS($S$5:$S206,MesCiclo,$V$5:$V206,"Macro"))</f>
        <v/>
      </c>
      <c r="U206" s="62">
        <f>IF($V206="","",IF($V206="Macro",ROW(),IFERROR(LOOKUP(2,1/($V$5:$V206="Macro"),ROW($V$5:$V206)),0)))</f>
        <v/>
      </c>
      <c r="V206" s="62">
        <f>IF(NOT((COUNTA($B206:$D206)+COUNTA($G206:$L206)+COUNTA($Q206))&gt;0),"",IF($B206="Subactividad","Sub","Macro"))</f>
        <v/>
      </c>
      <c r="W206" s="62">
        <f>IF($V206="Macro",COUNTIFS($U$5:$U$1000,ROW(),$V$5:$V$1000,"Sub"),"")</f>
        <v/>
      </c>
      <c r="X206" s="62">
        <f>IF($V206="","",IF(ISNUMBER($G206),1,IFERROR(LOOKUP(2,1/($I206:$L206&lt;&gt;""),$I206:$L206),0)))</f>
        <v/>
      </c>
      <c r="Y206" s="62">
        <f>IF($V206="","",IF(AND(ISNUMBER($G206),$G206&lt;=IF($S206=MesCiclo,InicioCiclo,$S206+MOD(2-WEEKDAY($S206),7))+6),1,IF(ISNUMBER($I206),$I206,0)))</f>
        <v/>
      </c>
      <c r="Z206" s="62">
        <f>IF($V206="","",IF(AND(ISNUMBER($G206),$G206&lt;=IF($S206=MesCiclo,InicioCiclo,$S206+MOD(2-WEEKDAY($S206),7))+13),1,IF(ISNUMBER($J206),$J206,$Y206)))</f>
        <v/>
      </c>
      <c r="AA206" s="62">
        <f>IF($V206="","",IF(AND(ISNUMBER($G206),$G206&lt;=IF($S206=MesCiclo,InicioCiclo,$S206+MOD(2-WEEKDAY($S206),7))+20),1,IF(ISNUMBER($K206),$K206,$Z206)))</f>
        <v/>
      </c>
      <c r="AB206" s="62">
        <f>IF($V206="","",IF(AND(ISNUMBER($G206),$G206&lt;=IF($S206=MesCiclo,InicioCiclo,$S206+MOD(2-WEEKDAY($S206),7))+27),1,IF(ISNUMBER($L206),$L206,$AA206)))</f>
        <v/>
      </c>
      <c r="AC206" s="62">
        <f>IF($V206="","",IF(AND(ISNUMBER($G206),$G206&lt;=IF($S206=MesCiclo,InicioCiclo,$S206+MOD(2-WEEKDAY($S206),7))+6),1,IF(N($W206)&gt;0,AVERAGEIFS($Y$5:$Y$1000,$U$5:$U$1000,ROW(),$V$5:$V$1000,"Sub"),$Y206)))</f>
        <v/>
      </c>
      <c r="AD206" s="62">
        <f>IF($V206="","",IF(AND(ISNUMBER($G206),$G206&lt;=IF($S206=MesCiclo,InicioCiclo,$S206+MOD(2-WEEKDAY($S206),7))+13),1,IF(N($W206)&gt;0,AVERAGEIFS($Z$5:$Z$1000,$U$5:$U$1000,ROW(),$V$5:$V$1000,"Sub"),$Z206)))</f>
        <v/>
      </c>
      <c r="AE206" s="62">
        <f>IF($V206="","",IF(AND(ISNUMBER($G206),$G206&lt;=IF($S206=MesCiclo,InicioCiclo,$S206+MOD(2-WEEKDAY($S206),7))+20),1,IF(N($W206)&gt;0,AVERAGEIFS($AA$5:$AA$1000,$U$5:$U$1000,ROW(),$V$5:$V$1000,"Sub"),$AA206)))</f>
        <v/>
      </c>
      <c r="AF206" s="62">
        <f>IF($V206="","",IF(AND(ISNUMBER($G206),$G206&lt;=IF($S206=MesCiclo,InicioCiclo,$S206+MOD(2-WEEKDAY($S206),7))+27),1,IF(N($W206)&gt;0,AVERAGEIFS($AB$5:$AB$1000,$U$5:$U$1000,ROW(),$V$5:$V$1000,"Sub"),$AB206)))</f>
        <v/>
      </c>
      <c r="AG206" s="62">
        <f>IF($V206&lt;&gt;"Macro","",IF(COUNTIFS($S$5:$S$1000,$S206,$V$5:$V$1000,"Macro",$H$5:$H$1000,"&gt;0")=0,1/COUNTIFS($S$5:$S$1000,$S206,$V$5:$V$1000,"Macro"),IF(AND(ISNUMBER($H206),N($H206)&gt;0),$H206,SUMIFS($H$5:$H$1000,$S$5:$S$1000,$S206,$V$5:$V$1000,"Macro")/COUNTIFS($S$5:$S$1000,$S206,$V$5:$V$1000,"Macro",$H$5:$H$1000,"&gt;0"))/(COUNTIFS($S$5:$S$1000,$S206,$V$5:$V$1000,"Macro")*SUMIFS($H$5:$H$1000,$S$5:$S$1000,$S206,$V$5:$V$1000,"Macro")/COUNTIFS($S$5:$S$1000,$S206,$V$5:$V$1000,"Macro",$H$5:$H$1000,"&gt;0"))))</f>
        <v/>
      </c>
      <c r="AH206" s="62" t="n"/>
      <c r="AI206" s="62" t="n"/>
      <c r="AJ206" s="62" t="n"/>
      <c r="AK206" s="62" t="n"/>
      <c r="AL206" s="62">
        <f>IF(LEFT($C206,11)="[Jefatura] ",IFERROR(MATCH("Riesgo Operacional|"&amp;MID($C206,12,500),rDname_ADM,0),0),"")</f>
        <v/>
      </c>
      <c r="AM206" s="62">
        <f>IF(N($AL206)&gt;0,INDEX(rIni_ADM,$AL206),IF(ISNUMBER($E206),$E206,""))</f>
        <v/>
      </c>
      <c r="AN206" s="62">
        <f>IF(N($AL206)&gt;0,INDEX(rLim_ADM,$AL206),IF(ISNUMBER($F206),$F206,""))</f>
        <v/>
      </c>
    </row>
    <row r="207">
      <c r="A207" s="56">
        <f>IF(NOT((COUNTA($B207:$D207)+COUNTA($G207:$L207)+COUNTA($Q207))&gt;0),"",IF($V207="Macro",COUNTIFS($V$5:$V207,"Macro",$S$5:$S207,$S207),IF(N($U207)=0,"?",COUNTIFS(INDEX($V$5:$V$1000,1):INDEX($V$5:$V$1000,$U207-4),"Macro",INDEX($S$5:$S$1000,1):INDEX($S$5:$S$1000,$U207-4),INDEX($S$5:$S$1000,$U207-4))&amp;"."&amp;COUNTIFS($U$5:$U207,$U207,$V$5:$V207,"Sub"))))</f>
        <v/>
      </c>
      <c r="B207" s="57" t="n"/>
      <c r="C207" s="58" t="n"/>
      <c r="D207" s="58" t="n"/>
      <c r="E207" s="59">
        <f>IF(N($AL207)&gt;0,INDEX(rIni_ADM,$AL207),"")</f>
        <v/>
      </c>
      <c r="F207" s="59">
        <f>IF(N($AL207)&gt;0,INDEX(rLim_ADM,$AL207),"")</f>
        <v/>
      </c>
      <c r="G207" s="59" t="n"/>
      <c r="H207" s="60" t="n"/>
      <c r="I207" s="60" t="n"/>
      <c r="J207" s="60" t="n"/>
      <c r="K207" s="60" t="n"/>
      <c r="L207" s="60" t="n"/>
      <c r="M207" s="61">
        <f>IF(NOT((COUNTA($B207:$D207)+COUNTA($G207:$L207)+COUNTA($Q207))&gt;0),"",IF($V207="Sub",IFERROR($X207/INDEX($W$5:$W$1000,$U207-4),""),IF(ISNUMBER($G207),1,IF(N($W207)&gt;0,AVERAGEIFS($X$5:$X$1000,$U$5:$U$1000,ROW(),$V$5:$V$1000,"Sub"),$X207))))</f>
        <v/>
      </c>
      <c r="N207" s="56">
        <f>IF(OR($M207="",$V207="Sub"),"",IF($M207&gt;=1,"Completado",IF($M207&gt;0,"En curso","Pendiente")))</f>
        <v/>
      </c>
      <c r="O207" s="56">
        <f>IF(OR(NOT((COUNTA($B207:$D207)+COUNTA($G207:$L207)+COUNTA($Q207))&gt;0),$V207="Sub"),"",IF(ISNUMBER($G207),IF(AND(ISNUMBER($AN207),$G207&gt;$AN207),"Cumplida con "&amp;($G207-$AN207)&amp;IF($G207-$AN207=1," día"," días")&amp;" de retraso","Cumplida"),IF(N($M207)&gt;=1,"Cumplida",IF(NOT(ISNUMBER($AN207)),"Sin fecha límite",IF($AN207&lt;FechaRef,"Vencida hace "&amp;(FechaRef-$AN207)&amp;IF(FechaRef-$AN207=1," día"," días"),IF($AN207=FechaRef,"Vence hoy",IF($AN207-FechaRef&lt;=DiasAlerta,"Vence en "&amp;($AN207-FechaRef)&amp;IF($AN207-FechaRef=1," día"," días"),"En plazo")))))))</f>
        <v/>
      </c>
      <c r="P207" s="62" t="n"/>
      <c r="Q207" s="58" t="n"/>
      <c r="R207" s="63">
        <f>IF(NOT((COUNTA($B207:$D207)+COUNTA($G207:$L207)+COUNTA($Q207))&gt;0),"",IF((IF($C207="","Falta el nombre de la actividad"&amp;" · ","")&amp;IF(AND($V207="Sub",N($U207)=0),"Subactividad sin macroactividad arriba"&amp;" · ","")&amp;IF($AM207="","Sin fecha de inicio"&amp;" · ","")&amp;IF($AN207="","Sin fecha límite"&amp;" · ","")&amp;IF(AND(LEFT($C207,11)="[Jefatura] ",N($AL207)=0),"No se encuentra en la hoja de la jefatura (elíjala de nuevo en la lista)"&amp;" · ","")&amp;IF(OR(AND($E207&lt;&gt;"",NOT(ISNUMBER($E207))),AND($F207&lt;&gt;"",NOT(ISNUMBER($F207))),AND($G207&lt;&gt;"",NOT(ISNUMBER($G207)))),"Fecha no válida"&amp;" · ","")&amp;IF(AND(ISNUMBER($AM207),ISNUMBER($AN207),$AM207&gt;$AN207),"Inicio posterior a fecha límite"&amp;" · ","")&amp;IF(AND($V207="Macro",$H207&lt;&gt;"",OR(NOT(ISNUMBER($H207)),$H207&lt;0,$H207&gt;1)),"Peso fuera de rango"&amp;" · ","")&amp;IF(AND($V207="Sub",$H207&lt;&gt;""),"Las subactividades no llevan peso (valen igual dentro de su macroactividad)"&amp;" · ","")&amp;IF(AND(N($W207)&gt;0,COUNT($I207:$L207)&gt;0),"Con subactividades: deje vacías las semanas (se calculan solas)"&amp;" · ","")&amp;IF((COUNTIF($I207:$L207,"&gt;1")+COUNTIF($I207:$L207,"&lt;0")+COUNTA($I207:$L207)-COUNT($I207:$L207))&gt;0,"Avance fuera de rango 0-100%"&amp;" · ","")&amp;IF(OR(AND($J207&lt;&gt;"",$J207&lt;$I207),AND($K207&lt;&gt;"",$K207&lt;MAX($I207:$J207)),AND($L207&lt;&gt;"",$L207&lt;MAX($I207:$K207))),"Avance semanal decreciente"&amp;" · ","")&amp;IF(AND(ISNUMBER($AN207),$AN207&lt;FechaRef,IF($V207="Sub",N($X207),N($M207))&lt;1),"Vencida"&amp;" · ","")&amp;IF(AND(ObsObligatoria="Sí",ISNUMBER($AN207),$AN207&lt;FechaRef,IF($V207="Sub",N($X207),N($M207))&lt;1,$Q207=""),"Vencida sin observación"&amp;" · ",""))="","✔ OK","⚠ "&amp;LEFT(IF($C207="","Falta el nombre de la actividad"&amp;" · ","")&amp;IF(AND($V207="Sub",N($U207)=0),"Subactividad sin macroactividad arriba"&amp;" · ","")&amp;IF($AM207="","Sin fecha de inicio"&amp;" · ","")&amp;IF($AN207="","Sin fecha límite"&amp;" · ","")&amp;IF(AND(LEFT($C207,11)="[Jefatura] ",N($AL207)=0),"No se encuentra en la hoja de la jefatura (elíjala de nuevo en la lista)"&amp;" · ","")&amp;IF(OR(AND($E207&lt;&gt;"",NOT(ISNUMBER($E207))),AND($F207&lt;&gt;"",NOT(ISNUMBER($F207))),AND($G207&lt;&gt;"",NOT(ISNUMBER($G207)))),"Fecha no válida"&amp;" · ","")&amp;IF(AND(ISNUMBER($AM207),ISNUMBER($AN207),$AM207&gt;$AN207),"Inicio posterior a fecha límite"&amp;" · ","")&amp;IF(AND($V207="Macro",$H207&lt;&gt;"",OR(NOT(ISNUMBER($H207)),$H207&lt;0,$H207&gt;1)),"Peso fuera de rango"&amp;" · ","")&amp;IF(AND($V207="Sub",$H207&lt;&gt;""),"Las subactividades no llevan peso (valen igual dentro de su macroactividad)"&amp;" · ","")&amp;IF(AND(N($W207)&gt;0,COUNT($I207:$L207)&gt;0),"Con subactividades: deje vacías las semanas (se calculan solas)"&amp;" · ","")&amp;IF((COUNTIF($I207:$L207,"&gt;1")+COUNTIF($I207:$L207,"&lt;0")+COUNTA($I207:$L207)-COUNT($I207:$L207))&gt;0,"Avance fuera de rango 0-100%"&amp;" · ","")&amp;IF(OR(AND($J207&lt;&gt;"",$J207&lt;$I207),AND($K207&lt;&gt;"",$K207&lt;MAX($I207:$J207)),AND($L207&lt;&gt;"",$L207&lt;MAX($I207:$K207))),"Avance semanal decreciente"&amp;" · ","")&amp;IF(AND(ISNUMBER($AN207),$AN207&lt;FechaRef,IF($V207="Sub",N($X207),N($M207))&lt;1),"Vencida"&amp;" · ","")&amp;IF(AND(ObsObligatoria="Sí",ISNUMBER($AN207),$AN207&lt;FechaRef,IF($V207="Sub",N($X207),N($M207))&lt;1,$Q207=""),"Vencida sin observación"&amp;" · ",""),LEN(IF($C207="","Falta el nombre de la actividad"&amp;" · ","")&amp;IF(AND($V207="Sub",N($U207)=0),"Subactividad sin macroactividad arriba"&amp;" · ","")&amp;IF($AM207="","Sin fecha de inicio"&amp;" · ","")&amp;IF($AN207="","Sin fecha límite"&amp;" · ","")&amp;IF(AND(LEFT($C207,11)="[Jefatura] ",N($AL207)=0),"No se encuentra en la hoja de la jefatura (elíjala de nuevo en la lista)"&amp;" · ","")&amp;IF(OR(AND($E207&lt;&gt;"",NOT(ISNUMBER($E207))),AND($F207&lt;&gt;"",NOT(ISNUMBER($F207))),AND($G207&lt;&gt;"",NOT(ISNUMBER($G207)))),"Fecha no válida"&amp;" · ","")&amp;IF(AND(ISNUMBER($AM207),ISNUMBER($AN207),$AM207&gt;$AN207),"Inicio posterior a fecha límite"&amp;" · ","")&amp;IF(AND($V207="Macro",$H207&lt;&gt;"",OR(NOT(ISNUMBER($H207)),$H207&lt;0,$H207&gt;1)),"Peso fuera de rango"&amp;" · ","")&amp;IF(AND($V207="Sub",$H207&lt;&gt;""),"Las subactividades no llevan peso (valen igual dentro de su macroactividad)"&amp;" · ","")&amp;IF(AND(N($W207)&gt;0,COUNT($I207:$L207)&gt;0),"Con subactividades: deje vacías las semanas (se calculan solas)"&amp;" · ","")&amp;IF((COUNTIF($I207:$L207,"&gt;1")+COUNTIF($I207:$L207,"&lt;0")+COUNTA($I207:$L207)-COUNT($I207:$L207))&gt;0,"Avance fuera de rango 0-100%"&amp;" · ","")&amp;IF(OR(AND($J207&lt;&gt;"",$J207&lt;$I207),AND($K207&lt;&gt;"",$K207&lt;MAX($I207:$J207)),AND($L207&lt;&gt;"",$L207&lt;MAX($I207:$K207))),"Avance semanal decreciente"&amp;" · ","")&amp;IF(AND(ISNUMBER($AN207),$AN207&lt;FechaRef,IF($V207="Sub",N($X207),N($M207))&lt;1),"Vencida"&amp;" · ","")&amp;IF(AND(ObsObligatoria="Sí",ISNUMBER($AN207),$AN207&lt;FechaRef,IF($V207="Sub",N($X207),N($M207))&lt;1,$Q207=""),"Vencida sin observación"&amp;" · ",""))-3)))</f>
        <v/>
      </c>
      <c r="S207" s="64">
        <f>IF(NOT((COUNTA($B207:$D207)+COUNTA($G207:$L207)+COUNTA($Q207))&gt;0),"",IF(AND($V207="Sub",N($U207)&gt;0),IF(ISNUMBER(INDEX($AM$5:$AM$1000,$U207-4)),DATE(YEAR(INDEX($AM$5:$AM$1000,$U207-4)),MONTH(INDEX($AM$5:$AM$1000,$U207-4)),1),IF(ISNUMBER(INDEX($AN$5:$AN$1000,$U207-4)),DATE(YEAR(INDEX($AN$5:$AN$1000,$U207-4)),MONTH(INDEX($AN$5:$AN$1000,$U207-4)),1),MesCiclo)),IF(ISNUMBER($AM207),DATE(YEAR($AM207),MONTH($AM207),1),IF(ISNUMBER($AN207),DATE(YEAR($AN207),MONTH($AN207),1),MesCiclo))))</f>
        <v/>
      </c>
      <c r="T207" s="62">
        <f>IF(OR($S207="",$S207&lt;&gt;MesCiclo,$V207&lt;&gt;"Macro"),"",COUNTIFS($S$5:$S207,MesCiclo,$V$5:$V207,"Macro"))</f>
        <v/>
      </c>
      <c r="U207" s="62">
        <f>IF($V207="","",IF($V207="Macro",ROW(),IFERROR(LOOKUP(2,1/($V$5:$V207="Macro"),ROW($V$5:$V207)),0)))</f>
        <v/>
      </c>
      <c r="V207" s="62">
        <f>IF(NOT((COUNTA($B207:$D207)+COUNTA($G207:$L207)+COUNTA($Q207))&gt;0),"",IF($B207="Subactividad","Sub","Macro"))</f>
        <v/>
      </c>
      <c r="W207" s="62">
        <f>IF($V207="Macro",COUNTIFS($U$5:$U$1000,ROW(),$V$5:$V$1000,"Sub"),"")</f>
        <v/>
      </c>
      <c r="X207" s="62">
        <f>IF($V207="","",IF(ISNUMBER($G207),1,IFERROR(LOOKUP(2,1/($I207:$L207&lt;&gt;""),$I207:$L207),0)))</f>
        <v/>
      </c>
      <c r="Y207" s="62">
        <f>IF($V207="","",IF(AND(ISNUMBER($G207),$G207&lt;=IF($S207=MesCiclo,InicioCiclo,$S207+MOD(2-WEEKDAY($S207),7))+6),1,IF(ISNUMBER($I207),$I207,0)))</f>
        <v/>
      </c>
      <c r="Z207" s="62">
        <f>IF($V207="","",IF(AND(ISNUMBER($G207),$G207&lt;=IF($S207=MesCiclo,InicioCiclo,$S207+MOD(2-WEEKDAY($S207),7))+13),1,IF(ISNUMBER($J207),$J207,$Y207)))</f>
        <v/>
      </c>
      <c r="AA207" s="62">
        <f>IF($V207="","",IF(AND(ISNUMBER($G207),$G207&lt;=IF($S207=MesCiclo,InicioCiclo,$S207+MOD(2-WEEKDAY($S207),7))+20),1,IF(ISNUMBER($K207),$K207,$Z207)))</f>
        <v/>
      </c>
      <c r="AB207" s="62">
        <f>IF($V207="","",IF(AND(ISNUMBER($G207),$G207&lt;=IF($S207=MesCiclo,InicioCiclo,$S207+MOD(2-WEEKDAY($S207),7))+27),1,IF(ISNUMBER($L207),$L207,$AA207)))</f>
        <v/>
      </c>
      <c r="AC207" s="62">
        <f>IF($V207="","",IF(AND(ISNUMBER($G207),$G207&lt;=IF($S207=MesCiclo,InicioCiclo,$S207+MOD(2-WEEKDAY($S207),7))+6),1,IF(N($W207)&gt;0,AVERAGEIFS($Y$5:$Y$1000,$U$5:$U$1000,ROW(),$V$5:$V$1000,"Sub"),$Y207)))</f>
        <v/>
      </c>
      <c r="AD207" s="62">
        <f>IF($V207="","",IF(AND(ISNUMBER($G207),$G207&lt;=IF($S207=MesCiclo,InicioCiclo,$S207+MOD(2-WEEKDAY($S207),7))+13),1,IF(N($W207)&gt;0,AVERAGEIFS($Z$5:$Z$1000,$U$5:$U$1000,ROW(),$V$5:$V$1000,"Sub"),$Z207)))</f>
        <v/>
      </c>
      <c r="AE207" s="62">
        <f>IF($V207="","",IF(AND(ISNUMBER($G207),$G207&lt;=IF($S207=MesCiclo,InicioCiclo,$S207+MOD(2-WEEKDAY($S207),7))+20),1,IF(N($W207)&gt;0,AVERAGEIFS($AA$5:$AA$1000,$U$5:$U$1000,ROW(),$V$5:$V$1000,"Sub"),$AA207)))</f>
        <v/>
      </c>
      <c r="AF207" s="62">
        <f>IF($V207="","",IF(AND(ISNUMBER($G207),$G207&lt;=IF($S207=MesCiclo,InicioCiclo,$S207+MOD(2-WEEKDAY($S207),7))+27),1,IF(N($W207)&gt;0,AVERAGEIFS($AB$5:$AB$1000,$U$5:$U$1000,ROW(),$V$5:$V$1000,"Sub"),$AB207)))</f>
        <v/>
      </c>
      <c r="AG207" s="62">
        <f>IF($V207&lt;&gt;"Macro","",IF(COUNTIFS($S$5:$S$1000,$S207,$V$5:$V$1000,"Macro",$H$5:$H$1000,"&gt;0")=0,1/COUNTIFS($S$5:$S$1000,$S207,$V$5:$V$1000,"Macro"),IF(AND(ISNUMBER($H207),N($H207)&gt;0),$H207,SUMIFS($H$5:$H$1000,$S$5:$S$1000,$S207,$V$5:$V$1000,"Macro")/COUNTIFS($S$5:$S$1000,$S207,$V$5:$V$1000,"Macro",$H$5:$H$1000,"&gt;0"))/(COUNTIFS($S$5:$S$1000,$S207,$V$5:$V$1000,"Macro")*SUMIFS($H$5:$H$1000,$S$5:$S$1000,$S207,$V$5:$V$1000,"Macro")/COUNTIFS($S$5:$S$1000,$S207,$V$5:$V$1000,"Macro",$H$5:$H$1000,"&gt;0"))))</f>
        <v/>
      </c>
      <c r="AH207" s="62" t="n"/>
      <c r="AI207" s="62" t="n"/>
      <c r="AJ207" s="62" t="n"/>
      <c r="AK207" s="62" t="n"/>
      <c r="AL207" s="62">
        <f>IF(LEFT($C207,11)="[Jefatura] ",IFERROR(MATCH("Riesgo Operacional|"&amp;MID($C207,12,500),rDname_ADM,0),0),"")</f>
        <v/>
      </c>
      <c r="AM207" s="62">
        <f>IF(N($AL207)&gt;0,INDEX(rIni_ADM,$AL207),IF(ISNUMBER($E207),$E207,""))</f>
        <v/>
      </c>
      <c r="AN207" s="62">
        <f>IF(N($AL207)&gt;0,INDEX(rLim_ADM,$AL207),IF(ISNUMBER($F207),$F207,""))</f>
        <v/>
      </c>
    </row>
    <row r="208">
      <c r="A208" s="56">
        <f>IF(NOT((COUNTA($B208:$D208)+COUNTA($G208:$L208)+COUNTA($Q208))&gt;0),"",IF($V208="Macro",COUNTIFS($V$5:$V208,"Macro",$S$5:$S208,$S208),IF(N($U208)=0,"?",COUNTIFS(INDEX($V$5:$V$1000,1):INDEX($V$5:$V$1000,$U208-4),"Macro",INDEX($S$5:$S$1000,1):INDEX($S$5:$S$1000,$U208-4),INDEX($S$5:$S$1000,$U208-4))&amp;"."&amp;COUNTIFS($U$5:$U208,$U208,$V$5:$V208,"Sub"))))</f>
        <v/>
      </c>
      <c r="B208" s="57" t="n"/>
      <c r="C208" s="58" t="n"/>
      <c r="D208" s="58" t="n"/>
      <c r="E208" s="59">
        <f>IF(N($AL208)&gt;0,INDEX(rIni_ADM,$AL208),"")</f>
        <v/>
      </c>
      <c r="F208" s="59">
        <f>IF(N($AL208)&gt;0,INDEX(rLim_ADM,$AL208),"")</f>
        <v/>
      </c>
      <c r="G208" s="59" t="n"/>
      <c r="H208" s="60" t="n"/>
      <c r="I208" s="60" t="n"/>
      <c r="J208" s="60" t="n"/>
      <c r="K208" s="60" t="n"/>
      <c r="L208" s="60" t="n"/>
      <c r="M208" s="61">
        <f>IF(NOT((COUNTA($B208:$D208)+COUNTA($G208:$L208)+COUNTA($Q208))&gt;0),"",IF($V208="Sub",IFERROR($X208/INDEX($W$5:$W$1000,$U208-4),""),IF(ISNUMBER($G208),1,IF(N($W208)&gt;0,AVERAGEIFS($X$5:$X$1000,$U$5:$U$1000,ROW(),$V$5:$V$1000,"Sub"),$X208))))</f>
        <v/>
      </c>
      <c r="N208" s="56">
        <f>IF(OR($M208="",$V208="Sub"),"",IF($M208&gt;=1,"Completado",IF($M208&gt;0,"En curso","Pendiente")))</f>
        <v/>
      </c>
      <c r="O208" s="56">
        <f>IF(OR(NOT((COUNTA($B208:$D208)+COUNTA($G208:$L208)+COUNTA($Q208))&gt;0),$V208="Sub"),"",IF(ISNUMBER($G208),IF(AND(ISNUMBER($AN208),$G208&gt;$AN208),"Cumplida con "&amp;($G208-$AN208)&amp;IF($G208-$AN208=1," día"," días")&amp;" de retraso","Cumplida"),IF(N($M208)&gt;=1,"Cumplida",IF(NOT(ISNUMBER($AN208)),"Sin fecha límite",IF($AN208&lt;FechaRef,"Vencida hace "&amp;(FechaRef-$AN208)&amp;IF(FechaRef-$AN208=1," día"," días"),IF($AN208=FechaRef,"Vence hoy",IF($AN208-FechaRef&lt;=DiasAlerta,"Vence en "&amp;($AN208-FechaRef)&amp;IF($AN208-FechaRef=1," día"," días"),"En plazo")))))))</f>
        <v/>
      </c>
      <c r="P208" s="62" t="n"/>
      <c r="Q208" s="58" t="n"/>
      <c r="R208" s="63">
        <f>IF(NOT((COUNTA($B208:$D208)+COUNTA($G208:$L208)+COUNTA($Q208))&gt;0),"",IF((IF($C208="","Falta el nombre de la actividad"&amp;" · ","")&amp;IF(AND($V208="Sub",N($U208)=0),"Subactividad sin macroactividad arriba"&amp;" · ","")&amp;IF($AM208="","Sin fecha de inicio"&amp;" · ","")&amp;IF($AN208="","Sin fecha límite"&amp;" · ","")&amp;IF(AND(LEFT($C208,11)="[Jefatura] ",N($AL208)=0),"No se encuentra en la hoja de la jefatura (elíjala de nuevo en la lista)"&amp;" · ","")&amp;IF(OR(AND($E208&lt;&gt;"",NOT(ISNUMBER($E208))),AND($F208&lt;&gt;"",NOT(ISNUMBER($F208))),AND($G208&lt;&gt;"",NOT(ISNUMBER($G208)))),"Fecha no válida"&amp;" · ","")&amp;IF(AND(ISNUMBER($AM208),ISNUMBER($AN208),$AM208&gt;$AN208),"Inicio posterior a fecha límite"&amp;" · ","")&amp;IF(AND($V208="Macro",$H208&lt;&gt;"",OR(NOT(ISNUMBER($H208)),$H208&lt;0,$H208&gt;1)),"Peso fuera de rango"&amp;" · ","")&amp;IF(AND($V208="Sub",$H208&lt;&gt;""),"Las subactividades no llevan peso (valen igual dentro de su macroactividad)"&amp;" · ","")&amp;IF(AND(N($W208)&gt;0,COUNT($I208:$L208)&gt;0),"Con subactividades: deje vacías las semanas (se calculan solas)"&amp;" · ","")&amp;IF((COUNTIF($I208:$L208,"&gt;1")+COUNTIF($I208:$L208,"&lt;0")+COUNTA($I208:$L208)-COUNT($I208:$L208))&gt;0,"Avance fuera de rango 0-100%"&amp;" · ","")&amp;IF(OR(AND($J208&lt;&gt;"",$J208&lt;$I208),AND($K208&lt;&gt;"",$K208&lt;MAX($I208:$J208)),AND($L208&lt;&gt;"",$L208&lt;MAX($I208:$K208))),"Avance semanal decreciente"&amp;" · ","")&amp;IF(AND(ISNUMBER($AN208),$AN208&lt;FechaRef,IF($V208="Sub",N($X208),N($M208))&lt;1),"Vencida"&amp;" · ","")&amp;IF(AND(ObsObligatoria="Sí",ISNUMBER($AN208),$AN208&lt;FechaRef,IF($V208="Sub",N($X208),N($M208))&lt;1,$Q208=""),"Vencida sin observación"&amp;" · ",""))="","✔ OK","⚠ "&amp;LEFT(IF($C208="","Falta el nombre de la actividad"&amp;" · ","")&amp;IF(AND($V208="Sub",N($U208)=0),"Subactividad sin macroactividad arriba"&amp;" · ","")&amp;IF($AM208="","Sin fecha de inicio"&amp;" · ","")&amp;IF($AN208="","Sin fecha límite"&amp;" · ","")&amp;IF(AND(LEFT($C208,11)="[Jefatura] ",N($AL208)=0),"No se encuentra en la hoja de la jefatura (elíjala de nuevo en la lista)"&amp;" · ","")&amp;IF(OR(AND($E208&lt;&gt;"",NOT(ISNUMBER($E208))),AND($F208&lt;&gt;"",NOT(ISNUMBER($F208))),AND($G208&lt;&gt;"",NOT(ISNUMBER($G208)))),"Fecha no válida"&amp;" · ","")&amp;IF(AND(ISNUMBER($AM208),ISNUMBER($AN208),$AM208&gt;$AN208),"Inicio posterior a fecha límite"&amp;" · ","")&amp;IF(AND($V208="Macro",$H208&lt;&gt;"",OR(NOT(ISNUMBER($H208)),$H208&lt;0,$H208&gt;1)),"Peso fuera de rango"&amp;" · ","")&amp;IF(AND($V208="Sub",$H208&lt;&gt;""),"Las subactividades no llevan peso (valen igual dentro de su macroactividad)"&amp;" · ","")&amp;IF(AND(N($W208)&gt;0,COUNT($I208:$L208)&gt;0),"Con subactividades: deje vacías las semanas (se calculan solas)"&amp;" · ","")&amp;IF((COUNTIF($I208:$L208,"&gt;1")+COUNTIF($I208:$L208,"&lt;0")+COUNTA($I208:$L208)-COUNT($I208:$L208))&gt;0,"Avance fuera de rango 0-100%"&amp;" · ","")&amp;IF(OR(AND($J208&lt;&gt;"",$J208&lt;$I208),AND($K208&lt;&gt;"",$K208&lt;MAX($I208:$J208)),AND($L208&lt;&gt;"",$L208&lt;MAX($I208:$K208))),"Avance semanal decreciente"&amp;" · ","")&amp;IF(AND(ISNUMBER($AN208),$AN208&lt;FechaRef,IF($V208="Sub",N($X208),N($M208))&lt;1),"Vencida"&amp;" · ","")&amp;IF(AND(ObsObligatoria="Sí",ISNUMBER($AN208),$AN208&lt;FechaRef,IF($V208="Sub",N($X208),N($M208))&lt;1,$Q208=""),"Vencida sin observación"&amp;" · ",""),LEN(IF($C208="","Falta el nombre de la actividad"&amp;" · ","")&amp;IF(AND($V208="Sub",N($U208)=0),"Subactividad sin macroactividad arriba"&amp;" · ","")&amp;IF($AM208="","Sin fecha de inicio"&amp;" · ","")&amp;IF($AN208="","Sin fecha límite"&amp;" · ","")&amp;IF(AND(LEFT($C208,11)="[Jefatura] ",N($AL208)=0),"No se encuentra en la hoja de la jefatura (elíjala de nuevo en la lista)"&amp;" · ","")&amp;IF(OR(AND($E208&lt;&gt;"",NOT(ISNUMBER($E208))),AND($F208&lt;&gt;"",NOT(ISNUMBER($F208))),AND($G208&lt;&gt;"",NOT(ISNUMBER($G208)))),"Fecha no válida"&amp;" · ","")&amp;IF(AND(ISNUMBER($AM208),ISNUMBER($AN208),$AM208&gt;$AN208),"Inicio posterior a fecha límite"&amp;" · ","")&amp;IF(AND($V208="Macro",$H208&lt;&gt;"",OR(NOT(ISNUMBER($H208)),$H208&lt;0,$H208&gt;1)),"Peso fuera de rango"&amp;" · ","")&amp;IF(AND($V208="Sub",$H208&lt;&gt;""),"Las subactividades no llevan peso (valen igual dentro de su macroactividad)"&amp;" · ","")&amp;IF(AND(N($W208)&gt;0,COUNT($I208:$L208)&gt;0),"Con subactividades: deje vacías las semanas (se calculan solas)"&amp;" · ","")&amp;IF((COUNTIF($I208:$L208,"&gt;1")+COUNTIF($I208:$L208,"&lt;0")+COUNTA($I208:$L208)-COUNT($I208:$L208))&gt;0,"Avance fuera de rango 0-100%"&amp;" · ","")&amp;IF(OR(AND($J208&lt;&gt;"",$J208&lt;$I208),AND($K208&lt;&gt;"",$K208&lt;MAX($I208:$J208)),AND($L208&lt;&gt;"",$L208&lt;MAX($I208:$K208))),"Avance semanal decreciente"&amp;" · ","")&amp;IF(AND(ISNUMBER($AN208),$AN208&lt;FechaRef,IF($V208="Sub",N($X208),N($M208))&lt;1),"Vencida"&amp;" · ","")&amp;IF(AND(ObsObligatoria="Sí",ISNUMBER($AN208),$AN208&lt;FechaRef,IF($V208="Sub",N($X208),N($M208))&lt;1,$Q208=""),"Vencida sin observación"&amp;" · ",""))-3)))</f>
        <v/>
      </c>
      <c r="S208" s="64">
        <f>IF(NOT((COUNTA($B208:$D208)+COUNTA($G208:$L208)+COUNTA($Q208))&gt;0),"",IF(AND($V208="Sub",N($U208)&gt;0),IF(ISNUMBER(INDEX($AM$5:$AM$1000,$U208-4)),DATE(YEAR(INDEX($AM$5:$AM$1000,$U208-4)),MONTH(INDEX($AM$5:$AM$1000,$U208-4)),1),IF(ISNUMBER(INDEX($AN$5:$AN$1000,$U208-4)),DATE(YEAR(INDEX($AN$5:$AN$1000,$U208-4)),MONTH(INDEX($AN$5:$AN$1000,$U208-4)),1),MesCiclo)),IF(ISNUMBER($AM208),DATE(YEAR($AM208),MONTH($AM208),1),IF(ISNUMBER($AN208),DATE(YEAR($AN208),MONTH($AN208),1),MesCiclo))))</f>
        <v/>
      </c>
      <c r="T208" s="62">
        <f>IF(OR($S208="",$S208&lt;&gt;MesCiclo,$V208&lt;&gt;"Macro"),"",COUNTIFS($S$5:$S208,MesCiclo,$V$5:$V208,"Macro"))</f>
        <v/>
      </c>
      <c r="U208" s="62">
        <f>IF($V208="","",IF($V208="Macro",ROW(),IFERROR(LOOKUP(2,1/($V$5:$V208="Macro"),ROW($V$5:$V208)),0)))</f>
        <v/>
      </c>
      <c r="V208" s="62">
        <f>IF(NOT((COUNTA($B208:$D208)+COUNTA($G208:$L208)+COUNTA($Q208))&gt;0),"",IF($B208="Subactividad","Sub","Macro"))</f>
        <v/>
      </c>
      <c r="W208" s="62">
        <f>IF($V208="Macro",COUNTIFS($U$5:$U$1000,ROW(),$V$5:$V$1000,"Sub"),"")</f>
        <v/>
      </c>
      <c r="X208" s="62">
        <f>IF($V208="","",IF(ISNUMBER($G208),1,IFERROR(LOOKUP(2,1/($I208:$L208&lt;&gt;""),$I208:$L208),0)))</f>
        <v/>
      </c>
      <c r="Y208" s="62">
        <f>IF($V208="","",IF(AND(ISNUMBER($G208),$G208&lt;=IF($S208=MesCiclo,InicioCiclo,$S208+MOD(2-WEEKDAY($S208),7))+6),1,IF(ISNUMBER($I208),$I208,0)))</f>
        <v/>
      </c>
      <c r="Z208" s="62">
        <f>IF($V208="","",IF(AND(ISNUMBER($G208),$G208&lt;=IF($S208=MesCiclo,InicioCiclo,$S208+MOD(2-WEEKDAY($S208),7))+13),1,IF(ISNUMBER($J208),$J208,$Y208)))</f>
        <v/>
      </c>
      <c r="AA208" s="62">
        <f>IF($V208="","",IF(AND(ISNUMBER($G208),$G208&lt;=IF($S208=MesCiclo,InicioCiclo,$S208+MOD(2-WEEKDAY($S208),7))+20),1,IF(ISNUMBER($K208),$K208,$Z208)))</f>
        <v/>
      </c>
      <c r="AB208" s="62">
        <f>IF($V208="","",IF(AND(ISNUMBER($G208),$G208&lt;=IF($S208=MesCiclo,InicioCiclo,$S208+MOD(2-WEEKDAY($S208),7))+27),1,IF(ISNUMBER($L208),$L208,$AA208)))</f>
        <v/>
      </c>
      <c r="AC208" s="62">
        <f>IF($V208="","",IF(AND(ISNUMBER($G208),$G208&lt;=IF($S208=MesCiclo,InicioCiclo,$S208+MOD(2-WEEKDAY($S208),7))+6),1,IF(N($W208)&gt;0,AVERAGEIFS($Y$5:$Y$1000,$U$5:$U$1000,ROW(),$V$5:$V$1000,"Sub"),$Y208)))</f>
        <v/>
      </c>
      <c r="AD208" s="62">
        <f>IF($V208="","",IF(AND(ISNUMBER($G208),$G208&lt;=IF($S208=MesCiclo,InicioCiclo,$S208+MOD(2-WEEKDAY($S208),7))+13),1,IF(N($W208)&gt;0,AVERAGEIFS($Z$5:$Z$1000,$U$5:$U$1000,ROW(),$V$5:$V$1000,"Sub"),$Z208)))</f>
        <v/>
      </c>
      <c r="AE208" s="62">
        <f>IF($V208="","",IF(AND(ISNUMBER($G208),$G208&lt;=IF($S208=MesCiclo,InicioCiclo,$S208+MOD(2-WEEKDAY($S208),7))+20),1,IF(N($W208)&gt;0,AVERAGEIFS($AA$5:$AA$1000,$U$5:$U$1000,ROW(),$V$5:$V$1000,"Sub"),$AA208)))</f>
        <v/>
      </c>
      <c r="AF208" s="62">
        <f>IF($V208="","",IF(AND(ISNUMBER($G208),$G208&lt;=IF($S208=MesCiclo,InicioCiclo,$S208+MOD(2-WEEKDAY($S208),7))+27),1,IF(N($W208)&gt;0,AVERAGEIFS($AB$5:$AB$1000,$U$5:$U$1000,ROW(),$V$5:$V$1000,"Sub"),$AB208)))</f>
        <v/>
      </c>
      <c r="AG208" s="62">
        <f>IF($V208&lt;&gt;"Macro","",IF(COUNTIFS($S$5:$S$1000,$S208,$V$5:$V$1000,"Macro",$H$5:$H$1000,"&gt;0")=0,1/COUNTIFS($S$5:$S$1000,$S208,$V$5:$V$1000,"Macro"),IF(AND(ISNUMBER($H208),N($H208)&gt;0),$H208,SUMIFS($H$5:$H$1000,$S$5:$S$1000,$S208,$V$5:$V$1000,"Macro")/COUNTIFS($S$5:$S$1000,$S208,$V$5:$V$1000,"Macro",$H$5:$H$1000,"&gt;0"))/(COUNTIFS($S$5:$S$1000,$S208,$V$5:$V$1000,"Macro")*SUMIFS($H$5:$H$1000,$S$5:$S$1000,$S208,$V$5:$V$1000,"Macro")/COUNTIFS($S$5:$S$1000,$S208,$V$5:$V$1000,"Macro",$H$5:$H$1000,"&gt;0"))))</f>
        <v/>
      </c>
      <c r="AH208" s="62" t="n"/>
      <c r="AI208" s="62" t="n"/>
      <c r="AJ208" s="62" t="n"/>
      <c r="AK208" s="62" t="n"/>
      <c r="AL208" s="62">
        <f>IF(LEFT($C208,11)="[Jefatura] ",IFERROR(MATCH("Riesgo Operacional|"&amp;MID($C208,12,500),rDname_ADM,0),0),"")</f>
        <v/>
      </c>
      <c r="AM208" s="62">
        <f>IF(N($AL208)&gt;0,INDEX(rIni_ADM,$AL208),IF(ISNUMBER($E208),$E208,""))</f>
        <v/>
      </c>
      <c r="AN208" s="62">
        <f>IF(N($AL208)&gt;0,INDEX(rLim_ADM,$AL208),IF(ISNUMBER($F208),$F208,""))</f>
        <v/>
      </c>
    </row>
    <row r="209">
      <c r="A209" s="56">
        <f>IF(NOT((COUNTA($B209:$D209)+COUNTA($G209:$L209)+COUNTA($Q209))&gt;0),"",IF($V209="Macro",COUNTIFS($V$5:$V209,"Macro",$S$5:$S209,$S209),IF(N($U209)=0,"?",COUNTIFS(INDEX($V$5:$V$1000,1):INDEX($V$5:$V$1000,$U209-4),"Macro",INDEX($S$5:$S$1000,1):INDEX($S$5:$S$1000,$U209-4),INDEX($S$5:$S$1000,$U209-4))&amp;"."&amp;COUNTIFS($U$5:$U209,$U209,$V$5:$V209,"Sub"))))</f>
        <v/>
      </c>
      <c r="B209" s="57" t="n"/>
      <c r="C209" s="58" t="n"/>
      <c r="D209" s="58" t="n"/>
      <c r="E209" s="59">
        <f>IF(N($AL209)&gt;0,INDEX(rIni_ADM,$AL209),"")</f>
        <v/>
      </c>
      <c r="F209" s="59">
        <f>IF(N($AL209)&gt;0,INDEX(rLim_ADM,$AL209),"")</f>
        <v/>
      </c>
      <c r="G209" s="59" t="n"/>
      <c r="H209" s="60" t="n"/>
      <c r="I209" s="60" t="n"/>
      <c r="J209" s="60" t="n"/>
      <c r="K209" s="60" t="n"/>
      <c r="L209" s="60" t="n"/>
      <c r="M209" s="61">
        <f>IF(NOT((COUNTA($B209:$D209)+COUNTA($G209:$L209)+COUNTA($Q209))&gt;0),"",IF($V209="Sub",IFERROR($X209/INDEX($W$5:$W$1000,$U209-4),""),IF(ISNUMBER($G209),1,IF(N($W209)&gt;0,AVERAGEIFS($X$5:$X$1000,$U$5:$U$1000,ROW(),$V$5:$V$1000,"Sub"),$X209))))</f>
        <v/>
      </c>
      <c r="N209" s="56">
        <f>IF(OR($M209="",$V209="Sub"),"",IF($M209&gt;=1,"Completado",IF($M209&gt;0,"En curso","Pendiente")))</f>
        <v/>
      </c>
      <c r="O209" s="56">
        <f>IF(OR(NOT((COUNTA($B209:$D209)+COUNTA($G209:$L209)+COUNTA($Q209))&gt;0),$V209="Sub"),"",IF(ISNUMBER($G209),IF(AND(ISNUMBER($AN209),$G209&gt;$AN209),"Cumplida con "&amp;($G209-$AN209)&amp;IF($G209-$AN209=1," día"," días")&amp;" de retraso","Cumplida"),IF(N($M209)&gt;=1,"Cumplida",IF(NOT(ISNUMBER($AN209)),"Sin fecha límite",IF($AN209&lt;FechaRef,"Vencida hace "&amp;(FechaRef-$AN209)&amp;IF(FechaRef-$AN209=1," día"," días"),IF($AN209=FechaRef,"Vence hoy",IF($AN209-FechaRef&lt;=DiasAlerta,"Vence en "&amp;($AN209-FechaRef)&amp;IF($AN209-FechaRef=1," día"," días"),"En plazo")))))))</f>
        <v/>
      </c>
      <c r="P209" s="62" t="n"/>
      <c r="Q209" s="58" t="n"/>
      <c r="R209" s="63">
        <f>IF(NOT((COUNTA($B209:$D209)+COUNTA($G209:$L209)+COUNTA($Q209))&gt;0),"",IF((IF($C209="","Falta el nombre de la actividad"&amp;" · ","")&amp;IF(AND($V209="Sub",N($U209)=0),"Subactividad sin macroactividad arriba"&amp;" · ","")&amp;IF($AM209="","Sin fecha de inicio"&amp;" · ","")&amp;IF($AN209="","Sin fecha límite"&amp;" · ","")&amp;IF(AND(LEFT($C209,11)="[Jefatura] ",N($AL209)=0),"No se encuentra en la hoja de la jefatura (elíjala de nuevo en la lista)"&amp;" · ","")&amp;IF(OR(AND($E209&lt;&gt;"",NOT(ISNUMBER($E209))),AND($F209&lt;&gt;"",NOT(ISNUMBER($F209))),AND($G209&lt;&gt;"",NOT(ISNUMBER($G209)))),"Fecha no válida"&amp;" · ","")&amp;IF(AND(ISNUMBER($AM209),ISNUMBER($AN209),$AM209&gt;$AN209),"Inicio posterior a fecha límite"&amp;" · ","")&amp;IF(AND($V209="Macro",$H209&lt;&gt;"",OR(NOT(ISNUMBER($H209)),$H209&lt;0,$H209&gt;1)),"Peso fuera de rango"&amp;" · ","")&amp;IF(AND($V209="Sub",$H209&lt;&gt;""),"Las subactividades no llevan peso (valen igual dentro de su macroactividad)"&amp;" · ","")&amp;IF(AND(N($W209)&gt;0,COUNT($I209:$L209)&gt;0),"Con subactividades: deje vacías las semanas (se calculan solas)"&amp;" · ","")&amp;IF((COUNTIF($I209:$L209,"&gt;1")+COUNTIF($I209:$L209,"&lt;0")+COUNTA($I209:$L209)-COUNT($I209:$L209))&gt;0,"Avance fuera de rango 0-100%"&amp;" · ","")&amp;IF(OR(AND($J209&lt;&gt;"",$J209&lt;$I209),AND($K209&lt;&gt;"",$K209&lt;MAX($I209:$J209)),AND($L209&lt;&gt;"",$L209&lt;MAX($I209:$K209))),"Avance semanal decreciente"&amp;" · ","")&amp;IF(AND(ISNUMBER($AN209),$AN209&lt;FechaRef,IF($V209="Sub",N($X209),N($M209))&lt;1),"Vencida"&amp;" · ","")&amp;IF(AND(ObsObligatoria="Sí",ISNUMBER($AN209),$AN209&lt;FechaRef,IF($V209="Sub",N($X209),N($M209))&lt;1,$Q209=""),"Vencida sin observación"&amp;" · ",""))="","✔ OK","⚠ "&amp;LEFT(IF($C209="","Falta el nombre de la actividad"&amp;" · ","")&amp;IF(AND($V209="Sub",N($U209)=0),"Subactividad sin macroactividad arriba"&amp;" · ","")&amp;IF($AM209="","Sin fecha de inicio"&amp;" · ","")&amp;IF($AN209="","Sin fecha límite"&amp;" · ","")&amp;IF(AND(LEFT($C209,11)="[Jefatura] ",N($AL209)=0),"No se encuentra en la hoja de la jefatura (elíjala de nuevo en la lista)"&amp;" · ","")&amp;IF(OR(AND($E209&lt;&gt;"",NOT(ISNUMBER($E209))),AND($F209&lt;&gt;"",NOT(ISNUMBER($F209))),AND($G209&lt;&gt;"",NOT(ISNUMBER($G209)))),"Fecha no válida"&amp;" · ","")&amp;IF(AND(ISNUMBER($AM209),ISNUMBER($AN209),$AM209&gt;$AN209),"Inicio posterior a fecha límite"&amp;" · ","")&amp;IF(AND($V209="Macro",$H209&lt;&gt;"",OR(NOT(ISNUMBER($H209)),$H209&lt;0,$H209&gt;1)),"Peso fuera de rango"&amp;" · ","")&amp;IF(AND($V209="Sub",$H209&lt;&gt;""),"Las subactividades no llevan peso (valen igual dentro de su macroactividad)"&amp;" · ","")&amp;IF(AND(N($W209)&gt;0,COUNT($I209:$L209)&gt;0),"Con subactividades: deje vacías las semanas (se calculan solas)"&amp;" · ","")&amp;IF((COUNTIF($I209:$L209,"&gt;1")+COUNTIF($I209:$L209,"&lt;0")+COUNTA($I209:$L209)-COUNT($I209:$L209))&gt;0,"Avance fuera de rango 0-100%"&amp;" · ","")&amp;IF(OR(AND($J209&lt;&gt;"",$J209&lt;$I209),AND($K209&lt;&gt;"",$K209&lt;MAX($I209:$J209)),AND($L209&lt;&gt;"",$L209&lt;MAX($I209:$K209))),"Avance semanal decreciente"&amp;" · ","")&amp;IF(AND(ISNUMBER($AN209),$AN209&lt;FechaRef,IF($V209="Sub",N($X209),N($M209))&lt;1),"Vencida"&amp;" · ","")&amp;IF(AND(ObsObligatoria="Sí",ISNUMBER($AN209),$AN209&lt;FechaRef,IF($V209="Sub",N($X209),N($M209))&lt;1,$Q209=""),"Vencida sin observación"&amp;" · ",""),LEN(IF($C209="","Falta el nombre de la actividad"&amp;" · ","")&amp;IF(AND($V209="Sub",N($U209)=0),"Subactividad sin macroactividad arriba"&amp;" · ","")&amp;IF($AM209="","Sin fecha de inicio"&amp;" · ","")&amp;IF($AN209="","Sin fecha límite"&amp;" · ","")&amp;IF(AND(LEFT($C209,11)="[Jefatura] ",N($AL209)=0),"No se encuentra en la hoja de la jefatura (elíjala de nuevo en la lista)"&amp;" · ","")&amp;IF(OR(AND($E209&lt;&gt;"",NOT(ISNUMBER($E209))),AND($F209&lt;&gt;"",NOT(ISNUMBER($F209))),AND($G209&lt;&gt;"",NOT(ISNUMBER($G209)))),"Fecha no válida"&amp;" · ","")&amp;IF(AND(ISNUMBER($AM209),ISNUMBER($AN209),$AM209&gt;$AN209),"Inicio posterior a fecha límite"&amp;" · ","")&amp;IF(AND($V209="Macro",$H209&lt;&gt;"",OR(NOT(ISNUMBER($H209)),$H209&lt;0,$H209&gt;1)),"Peso fuera de rango"&amp;" · ","")&amp;IF(AND($V209="Sub",$H209&lt;&gt;""),"Las subactividades no llevan peso (valen igual dentro de su macroactividad)"&amp;" · ","")&amp;IF(AND(N($W209)&gt;0,COUNT($I209:$L209)&gt;0),"Con subactividades: deje vacías las semanas (se calculan solas)"&amp;" · ","")&amp;IF((COUNTIF($I209:$L209,"&gt;1")+COUNTIF($I209:$L209,"&lt;0")+COUNTA($I209:$L209)-COUNT($I209:$L209))&gt;0,"Avance fuera de rango 0-100%"&amp;" · ","")&amp;IF(OR(AND($J209&lt;&gt;"",$J209&lt;$I209),AND($K209&lt;&gt;"",$K209&lt;MAX($I209:$J209)),AND($L209&lt;&gt;"",$L209&lt;MAX($I209:$K209))),"Avance semanal decreciente"&amp;" · ","")&amp;IF(AND(ISNUMBER($AN209),$AN209&lt;FechaRef,IF($V209="Sub",N($X209),N($M209))&lt;1),"Vencida"&amp;" · ","")&amp;IF(AND(ObsObligatoria="Sí",ISNUMBER($AN209),$AN209&lt;FechaRef,IF($V209="Sub",N($X209),N($M209))&lt;1,$Q209=""),"Vencida sin observación"&amp;" · ",""))-3)))</f>
        <v/>
      </c>
      <c r="S209" s="64">
        <f>IF(NOT((COUNTA($B209:$D209)+COUNTA($G209:$L209)+COUNTA($Q209))&gt;0),"",IF(AND($V209="Sub",N($U209)&gt;0),IF(ISNUMBER(INDEX($AM$5:$AM$1000,$U209-4)),DATE(YEAR(INDEX($AM$5:$AM$1000,$U209-4)),MONTH(INDEX($AM$5:$AM$1000,$U209-4)),1),IF(ISNUMBER(INDEX($AN$5:$AN$1000,$U209-4)),DATE(YEAR(INDEX($AN$5:$AN$1000,$U209-4)),MONTH(INDEX($AN$5:$AN$1000,$U209-4)),1),MesCiclo)),IF(ISNUMBER($AM209),DATE(YEAR($AM209),MONTH($AM209),1),IF(ISNUMBER($AN209),DATE(YEAR($AN209),MONTH($AN209),1),MesCiclo))))</f>
        <v/>
      </c>
      <c r="T209" s="62">
        <f>IF(OR($S209="",$S209&lt;&gt;MesCiclo,$V209&lt;&gt;"Macro"),"",COUNTIFS($S$5:$S209,MesCiclo,$V$5:$V209,"Macro"))</f>
        <v/>
      </c>
      <c r="U209" s="62">
        <f>IF($V209="","",IF($V209="Macro",ROW(),IFERROR(LOOKUP(2,1/($V$5:$V209="Macro"),ROW($V$5:$V209)),0)))</f>
        <v/>
      </c>
      <c r="V209" s="62">
        <f>IF(NOT((COUNTA($B209:$D209)+COUNTA($G209:$L209)+COUNTA($Q209))&gt;0),"",IF($B209="Subactividad","Sub","Macro"))</f>
        <v/>
      </c>
      <c r="W209" s="62">
        <f>IF($V209="Macro",COUNTIFS($U$5:$U$1000,ROW(),$V$5:$V$1000,"Sub"),"")</f>
        <v/>
      </c>
      <c r="X209" s="62">
        <f>IF($V209="","",IF(ISNUMBER($G209),1,IFERROR(LOOKUP(2,1/($I209:$L209&lt;&gt;""),$I209:$L209),0)))</f>
        <v/>
      </c>
      <c r="Y209" s="62">
        <f>IF($V209="","",IF(AND(ISNUMBER($G209),$G209&lt;=IF($S209=MesCiclo,InicioCiclo,$S209+MOD(2-WEEKDAY($S209),7))+6),1,IF(ISNUMBER($I209),$I209,0)))</f>
        <v/>
      </c>
      <c r="Z209" s="62">
        <f>IF($V209="","",IF(AND(ISNUMBER($G209),$G209&lt;=IF($S209=MesCiclo,InicioCiclo,$S209+MOD(2-WEEKDAY($S209),7))+13),1,IF(ISNUMBER($J209),$J209,$Y209)))</f>
        <v/>
      </c>
      <c r="AA209" s="62">
        <f>IF($V209="","",IF(AND(ISNUMBER($G209),$G209&lt;=IF($S209=MesCiclo,InicioCiclo,$S209+MOD(2-WEEKDAY($S209),7))+20),1,IF(ISNUMBER($K209),$K209,$Z209)))</f>
        <v/>
      </c>
      <c r="AB209" s="62">
        <f>IF($V209="","",IF(AND(ISNUMBER($G209),$G209&lt;=IF($S209=MesCiclo,InicioCiclo,$S209+MOD(2-WEEKDAY($S209),7))+27),1,IF(ISNUMBER($L209),$L209,$AA209)))</f>
        <v/>
      </c>
      <c r="AC209" s="62">
        <f>IF($V209="","",IF(AND(ISNUMBER($G209),$G209&lt;=IF($S209=MesCiclo,InicioCiclo,$S209+MOD(2-WEEKDAY($S209),7))+6),1,IF(N($W209)&gt;0,AVERAGEIFS($Y$5:$Y$1000,$U$5:$U$1000,ROW(),$V$5:$V$1000,"Sub"),$Y209)))</f>
        <v/>
      </c>
      <c r="AD209" s="62">
        <f>IF($V209="","",IF(AND(ISNUMBER($G209),$G209&lt;=IF($S209=MesCiclo,InicioCiclo,$S209+MOD(2-WEEKDAY($S209),7))+13),1,IF(N($W209)&gt;0,AVERAGEIFS($Z$5:$Z$1000,$U$5:$U$1000,ROW(),$V$5:$V$1000,"Sub"),$Z209)))</f>
        <v/>
      </c>
      <c r="AE209" s="62">
        <f>IF($V209="","",IF(AND(ISNUMBER($G209),$G209&lt;=IF($S209=MesCiclo,InicioCiclo,$S209+MOD(2-WEEKDAY($S209),7))+20),1,IF(N($W209)&gt;0,AVERAGEIFS($AA$5:$AA$1000,$U$5:$U$1000,ROW(),$V$5:$V$1000,"Sub"),$AA209)))</f>
        <v/>
      </c>
      <c r="AF209" s="62">
        <f>IF($V209="","",IF(AND(ISNUMBER($G209),$G209&lt;=IF($S209=MesCiclo,InicioCiclo,$S209+MOD(2-WEEKDAY($S209),7))+27),1,IF(N($W209)&gt;0,AVERAGEIFS($AB$5:$AB$1000,$U$5:$U$1000,ROW(),$V$5:$V$1000,"Sub"),$AB209)))</f>
        <v/>
      </c>
      <c r="AG209" s="62">
        <f>IF($V209&lt;&gt;"Macro","",IF(COUNTIFS($S$5:$S$1000,$S209,$V$5:$V$1000,"Macro",$H$5:$H$1000,"&gt;0")=0,1/COUNTIFS($S$5:$S$1000,$S209,$V$5:$V$1000,"Macro"),IF(AND(ISNUMBER($H209),N($H209)&gt;0),$H209,SUMIFS($H$5:$H$1000,$S$5:$S$1000,$S209,$V$5:$V$1000,"Macro")/COUNTIFS($S$5:$S$1000,$S209,$V$5:$V$1000,"Macro",$H$5:$H$1000,"&gt;0"))/(COUNTIFS($S$5:$S$1000,$S209,$V$5:$V$1000,"Macro")*SUMIFS($H$5:$H$1000,$S$5:$S$1000,$S209,$V$5:$V$1000,"Macro")/COUNTIFS($S$5:$S$1000,$S209,$V$5:$V$1000,"Macro",$H$5:$H$1000,"&gt;0"))))</f>
        <v/>
      </c>
      <c r="AH209" s="62" t="n"/>
      <c r="AI209" s="62" t="n"/>
      <c r="AJ209" s="62" t="n"/>
      <c r="AK209" s="62" t="n"/>
      <c r="AL209" s="62">
        <f>IF(LEFT($C209,11)="[Jefatura] ",IFERROR(MATCH("Riesgo Operacional|"&amp;MID($C209,12,500),rDname_ADM,0),0),"")</f>
        <v/>
      </c>
      <c r="AM209" s="62">
        <f>IF(N($AL209)&gt;0,INDEX(rIni_ADM,$AL209),IF(ISNUMBER($E209),$E209,""))</f>
        <v/>
      </c>
      <c r="AN209" s="62">
        <f>IF(N($AL209)&gt;0,INDEX(rLim_ADM,$AL209),IF(ISNUMBER($F209),$F209,""))</f>
        <v/>
      </c>
    </row>
    <row r="210">
      <c r="A210" s="56">
        <f>IF(NOT((COUNTA($B210:$D210)+COUNTA($G210:$L210)+COUNTA($Q210))&gt;0),"",IF($V210="Macro",COUNTIFS($V$5:$V210,"Macro",$S$5:$S210,$S210),IF(N($U210)=0,"?",COUNTIFS(INDEX($V$5:$V$1000,1):INDEX($V$5:$V$1000,$U210-4),"Macro",INDEX($S$5:$S$1000,1):INDEX($S$5:$S$1000,$U210-4),INDEX($S$5:$S$1000,$U210-4))&amp;"."&amp;COUNTIFS($U$5:$U210,$U210,$V$5:$V210,"Sub"))))</f>
        <v/>
      </c>
      <c r="B210" s="57" t="n"/>
      <c r="C210" s="58" t="n"/>
      <c r="D210" s="58" t="n"/>
      <c r="E210" s="59">
        <f>IF(N($AL210)&gt;0,INDEX(rIni_ADM,$AL210),"")</f>
        <v/>
      </c>
      <c r="F210" s="59">
        <f>IF(N($AL210)&gt;0,INDEX(rLim_ADM,$AL210),"")</f>
        <v/>
      </c>
      <c r="G210" s="59" t="n"/>
      <c r="H210" s="60" t="n"/>
      <c r="I210" s="60" t="n"/>
      <c r="J210" s="60" t="n"/>
      <c r="K210" s="60" t="n"/>
      <c r="L210" s="60" t="n"/>
      <c r="M210" s="61">
        <f>IF(NOT((COUNTA($B210:$D210)+COUNTA($G210:$L210)+COUNTA($Q210))&gt;0),"",IF($V210="Sub",IFERROR($X210/INDEX($W$5:$W$1000,$U210-4),""),IF(ISNUMBER($G210),1,IF(N($W210)&gt;0,AVERAGEIFS($X$5:$X$1000,$U$5:$U$1000,ROW(),$V$5:$V$1000,"Sub"),$X210))))</f>
        <v/>
      </c>
      <c r="N210" s="56">
        <f>IF(OR($M210="",$V210="Sub"),"",IF($M210&gt;=1,"Completado",IF($M210&gt;0,"En curso","Pendiente")))</f>
        <v/>
      </c>
      <c r="O210" s="56">
        <f>IF(OR(NOT((COUNTA($B210:$D210)+COUNTA($G210:$L210)+COUNTA($Q210))&gt;0),$V210="Sub"),"",IF(ISNUMBER($G210),IF(AND(ISNUMBER($AN210),$G210&gt;$AN210),"Cumplida con "&amp;($G210-$AN210)&amp;IF($G210-$AN210=1," día"," días")&amp;" de retraso","Cumplida"),IF(N($M210)&gt;=1,"Cumplida",IF(NOT(ISNUMBER($AN210)),"Sin fecha límite",IF($AN210&lt;FechaRef,"Vencida hace "&amp;(FechaRef-$AN210)&amp;IF(FechaRef-$AN210=1," día"," días"),IF($AN210=FechaRef,"Vence hoy",IF($AN210-FechaRef&lt;=DiasAlerta,"Vence en "&amp;($AN210-FechaRef)&amp;IF($AN210-FechaRef=1," día"," días"),"En plazo")))))))</f>
        <v/>
      </c>
      <c r="P210" s="62" t="n"/>
      <c r="Q210" s="58" t="n"/>
      <c r="R210" s="63">
        <f>IF(NOT((COUNTA($B210:$D210)+COUNTA($G210:$L210)+COUNTA($Q210))&gt;0),"",IF((IF($C210="","Falta el nombre de la actividad"&amp;" · ","")&amp;IF(AND($V210="Sub",N($U210)=0),"Subactividad sin macroactividad arriba"&amp;" · ","")&amp;IF($AM210="","Sin fecha de inicio"&amp;" · ","")&amp;IF($AN210="","Sin fecha límite"&amp;" · ","")&amp;IF(AND(LEFT($C210,11)="[Jefatura] ",N($AL210)=0),"No se encuentra en la hoja de la jefatura (elíjala de nuevo en la lista)"&amp;" · ","")&amp;IF(OR(AND($E210&lt;&gt;"",NOT(ISNUMBER($E210))),AND($F210&lt;&gt;"",NOT(ISNUMBER($F210))),AND($G210&lt;&gt;"",NOT(ISNUMBER($G210)))),"Fecha no válida"&amp;" · ","")&amp;IF(AND(ISNUMBER($AM210),ISNUMBER($AN210),$AM210&gt;$AN210),"Inicio posterior a fecha límite"&amp;" · ","")&amp;IF(AND($V210="Macro",$H210&lt;&gt;"",OR(NOT(ISNUMBER($H210)),$H210&lt;0,$H210&gt;1)),"Peso fuera de rango"&amp;" · ","")&amp;IF(AND($V210="Sub",$H210&lt;&gt;""),"Las subactividades no llevan peso (valen igual dentro de su macroactividad)"&amp;" · ","")&amp;IF(AND(N($W210)&gt;0,COUNT($I210:$L210)&gt;0),"Con subactividades: deje vacías las semanas (se calculan solas)"&amp;" · ","")&amp;IF((COUNTIF($I210:$L210,"&gt;1")+COUNTIF($I210:$L210,"&lt;0")+COUNTA($I210:$L210)-COUNT($I210:$L210))&gt;0,"Avance fuera de rango 0-100%"&amp;" · ","")&amp;IF(OR(AND($J210&lt;&gt;"",$J210&lt;$I210),AND($K210&lt;&gt;"",$K210&lt;MAX($I210:$J210)),AND($L210&lt;&gt;"",$L210&lt;MAX($I210:$K210))),"Avance semanal decreciente"&amp;" · ","")&amp;IF(AND(ISNUMBER($AN210),$AN210&lt;FechaRef,IF($V210="Sub",N($X210),N($M210))&lt;1),"Vencida"&amp;" · ","")&amp;IF(AND(ObsObligatoria="Sí",ISNUMBER($AN210),$AN210&lt;FechaRef,IF($V210="Sub",N($X210),N($M210))&lt;1,$Q210=""),"Vencida sin observación"&amp;" · ",""))="","✔ OK","⚠ "&amp;LEFT(IF($C210="","Falta el nombre de la actividad"&amp;" · ","")&amp;IF(AND($V210="Sub",N($U210)=0),"Subactividad sin macroactividad arriba"&amp;" · ","")&amp;IF($AM210="","Sin fecha de inicio"&amp;" · ","")&amp;IF($AN210="","Sin fecha límite"&amp;" · ","")&amp;IF(AND(LEFT($C210,11)="[Jefatura] ",N($AL210)=0),"No se encuentra en la hoja de la jefatura (elíjala de nuevo en la lista)"&amp;" · ","")&amp;IF(OR(AND($E210&lt;&gt;"",NOT(ISNUMBER($E210))),AND($F210&lt;&gt;"",NOT(ISNUMBER($F210))),AND($G210&lt;&gt;"",NOT(ISNUMBER($G210)))),"Fecha no válida"&amp;" · ","")&amp;IF(AND(ISNUMBER($AM210),ISNUMBER($AN210),$AM210&gt;$AN210),"Inicio posterior a fecha límite"&amp;" · ","")&amp;IF(AND($V210="Macro",$H210&lt;&gt;"",OR(NOT(ISNUMBER($H210)),$H210&lt;0,$H210&gt;1)),"Peso fuera de rango"&amp;" · ","")&amp;IF(AND($V210="Sub",$H210&lt;&gt;""),"Las subactividades no llevan peso (valen igual dentro de su macroactividad)"&amp;" · ","")&amp;IF(AND(N($W210)&gt;0,COUNT($I210:$L210)&gt;0),"Con subactividades: deje vacías las semanas (se calculan solas)"&amp;" · ","")&amp;IF((COUNTIF($I210:$L210,"&gt;1")+COUNTIF($I210:$L210,"&lt;0")+COUNTA($I210:$L210)-COUNT($I210:$L210))&gt;0,"Avance fuera de rango 0-100%"&amp;" · ","")&amp;IF(OR(AND($J210&lt;&gt;"",$J210&lt;$I210),AND($K210&lt;&gt;"",$K210&lt;MAX($I210:$J210)),AND($L210&lt;&gt;"",$L210&lt;MAX($I210:$K210))),"Avance semanal decreciente"&amp;" · ","")&amp;IF(AND(ISNUMBER($AN210),$AN210&lt;FechaRef,IF($V210="Sub",N($X210),N($M210))&lt;1),"Vencida"&amp;" · ","")&amp;IF(AND(ObsObligatoria="Sí",ISNUMBER($AN210),$AN210&lt;FechaRef,IF($V210="Sub",N($X210),N($M210))&lt;1,$Q210=""),"Vencida sin observación"&amp;" · ",""),LEN(IF($C210="","Falta el nombre de la actividad"&amp;" · ","")&amp;IF(AND($V210="Sub",N($U210)=0),"Subactividad sin macroactividad arriba"&amp;" · ","")&amp;IF($AM210="","Sin fecha de inicio"&amp;" · ","")&amp;IF($AN210="","Sin fecha límite"&amp;" · ","")&amp;IF(AND(LEFT($C210,11)="[Jefatura] ",N($AL210)=0),"No se encuentra en la hoja de la jefatura (elíjala de nuevo en la lista)"&amp;" · ","")&amp;IF(OR(AND($E210&lt;&gt;"",NOT(ISNUMBER($E210))),AND($F210&lt;&gt;"",NOT(ISNUMBER($F210))),AND($G210&lt;&gt;"",NOT(ISNUMBER($G210)))),"Fecha no válida"&amp;" · ","")&amp;IF(AND(ISNUMBER($AM210),ISNUMBER($AN210),$AM210&gt;$AN210),"Inicio posterior a fecha límite"&amp;" · ","")&amp;IF(AND($V210="Macro",$H210&lt;&gt;"",OR(NOT(ISNUMBER($H210)),$H210&lt;0,$H210&gt;1)),"Peso fuera de rango"&amp;" · ","")&amp;IF(AND($V210="Sub",$H210&lt;&gt;""),"Las subactividades no llevan peso (valen igual dentro de su macroactividad)"&amp;" · ","")&amp;IF(AND(N($W210)&gt;0,COUNT($I210:$L210)&gt;0),"Con subactividades: deje vacías las semanas (se calculan solas)"&amp;" · ","")&amp;IF((COUNTIF($I210:$L210,"&gt;1")+COUNTIF($I210:$L210,"&lt;0")+COUNTA($I210:$L210)-COUNT($I210:$L210))&gt;0,"Avance fuera de rango 0-100%"&amp;" · ","")&amp;IF(OR(AND($J210&lt;&gt;"",$J210&lt;$I210),AND($K210&lt;&gt;"",$K210&lt;MAX($I210:$J210)),AND($L210&lt;&gt;"",$L210&lt;MAX($I210:$K210))),"Avance semanal decreciente"&amp;" · ","")&amp;IF(AND(ISNUMBER($AN210),$AN210&lt;FechaRef,IF($V210="Sub",N($X210),N($M210))&lt;1),"Vencida"&amp;" · ","")&amp;IF(AND(ObsObligatoria="Sí",ISNUMBER($AN210),$AN210&lt;FechaRef,IF($V210="Sub",N($X210),N($M210))&lt;1,$Q210=""),"Vencida sin observación"&amp;" · ",""))-3)))</f>
        <v/>
      </c>
      <c r="S210" s="64">
        <f>IF(NOT((COUNTA($B210:$D210)+COUNTA($G210:$L210)+COUNTA($Q210))&gt;0),"",IF(AND($V210="Sub",N($U210)&gt;0),IF(ISNUMBER(INDEX($AM$5:$AM$1000,$U210-4)),DATE(YEAR(INDEX($AM$5:$AM$1000,$U210-4)),MONTH(INDEX($AM$5:$AM$1000,$U210-4)),1),IF(ISNUMBER(INDEX($AN$5:$AN$1000,$U210-4)),DATE(YEAR(INDEX($AN$5:$AN$1000,$U210-4)),MONTH(INDEX($AN$5:$AN$1000,$U210-4)),1),MesCiclo)),IF(ISNUMBER($AM210),DATE(YEAR($AM210),MONTH($AM210),1),IF(ISNUMBER($AN210),DATE(YEAR($AN210),MONTH($AN210),1),MesCiclo))))</f>
        <v/>
      </c>
      <c r="T210" s="62">
        <f>IF(OR($S210="",$S210&lt;&gt;MesCiclo,$V210&lt;&gt;"Macro"),"",COUNTIFS($S$5:$S210,MesCiclo,$V$5:$V210,"Macro"))</f>
        <v/>
      </c>
      <c r="U210" s="62">
        <f>IF($V210="","",IF($V210="Macro",ROW(),IFERROR(LOOKUP(2,1/($V$5:$V210="Macro"),ROW($V$5:$V210)),0)))</f>
        <v/>
      </c>
      <c r="V210" s="62">
        <f>IF(NOT((COUNTA($B210:$D210)+COUNTA($G210:$L210)+COUNTA($Q210))&gt;0),"",IF($B210="Subactividad","Sub","Macro"))</f>
        <v/>
      </c>
      <c r="W210" s="62">
        <f>IF($V210="Macro",COUNTIFS($U$5:$U$1000,ROW(),$V$5:$V$1000,"Sub"),"")</f>
        <v/>
      </c>
      <c r="X210" s="62">
        <f>IF($V210="","",IF(ISNUMBER($G210),1,IFERROR(LOOKUP(2,1/($I210:$L210&lt;&gt;""),$I210:$L210),0)))</f>
        <v/>
      </c>
      <c r="Y210" s="62">
        <f>IF($V210="","",IF(AND(ISNUMBER($G210),$G210&lt;=IF($S210=MesCiclo,InicioCiclo,$S210+MOD(2-WEEKDAY($S210),7))+6),1,IF(ISNUMBER($I210),$I210,0)))</f>
        <v/>
      </c>
      <c r="Z210" s="62">
        <f>IF($V210="","",IF(AND(ISNUMBER($G210),$G210&lt;=IF($S210=MesCiclo,InicioCiclo,$S210+MOD(2-WEEKDAY($S210),7))+13),1,IF(ISNUMBER($J210),$J210,$Y210)))</f>
        <v/>
      </c>
      <c r="AA210" s="62">
        <f>IF($V210="","",IF(AND(ISNUMBER($G210),$G210&lt;=IF($S210=MesCiclo,InicioCiclo,$S210+MOD(2-WEEKDAY($S210),7))+20),1,IF(ISNUMBER($K210),$K210,$Z210)))</f>
        <v/>
      </c>
      <c r="AB210" s="62">
        <f>IF($V210="","",IF(AND(ISNUMBER($G210),$G210&lt;=IF($S210=MesCiclo,InicioCiclo,$S210+MOD(2-WEEKDAY($S210),7))+27),1,IF(ISNUMBER($L210),$L210,$AA210)))</f>
        <v/>
      </c>
      <c r="AC210" s="62">
        <f>IF($V210="","",IF(AND(ISNUMBER($G210),$G210&lt;=IF($S210=MesCiclo,InicioCiclo,$S210+MOD(2-WEEKDAY($S210),7))+6),1,IF(N($W210)&gt;0,AVERAGEIFS($Y$5:$Y$1000,$U$5:$U$1000,ROW(),$V$5:$V$1000,"Sub"),$Y210)))</f>
        <v/>
      </c>
      <c r="AD210" s="62">
        <f>IF($V210="","",IF(AND(ISNUMBER($G210),$G210&lt;=IF($S210=MesCiclo,InicioCiclo,$S210+MOD(2-WEEKDAY($S210),7))+13),1,IF(N($W210)&gt;0,AVERAGEIFS($Z$5:$Z$1000,$U$5:$U$1000,ROW(),$V$5:$V$1000,"Sub"),$Z210)))</f>
        <v/>
      </c>
      <c r="AE210" s="62">
        <f>IF($V210="","",IF(AND(ISNUMBER($G210),$G210&lt;=IF($S210=MesCiclo,InicioCiclo,$S210+MOD(2-WEEKDAY($S210),7))+20),1,IF(N($W210)&gt;0,AVERAGEIFS($AA$5:$AA$1000,$U$5:$U$1000,ROW(),$V$5:$V$1000,"Sub"),$AA210)))</f>
        <v/>
      </c>
      <c r="AF210" s="62">
        <f>IF($V210="","",IF(AND(ISNUMBER($G210),$G210&lt;=IF($S210=MesCiclo,InicioCiclo,$S210+MOD(2-WEEKDAY($S210),7))+27),1,IF(N($W210)&gt;0,AVERAGEIFS($AB$5:$AB$1000,$U$5:$U$1000,ROW(),$V$5:$V$1000,"Sub"),$AB210)))</f>
        <v/>
      </c>
      <c r="AG210" s="62">
        <f>IF($V210&lt;&gt;"Macro","",IF(COUNTIFS($S$5:$S$1000,$S210,$V$5:$V$1000,"Macro",$H$5:$H$1000,"&gt;0")=0,1/COUNTIFS($S$5:$S$1000,$S210,$V$5:$V$1000,"Macro"),IF(AND(ISNUMBER($H210),N($H210)&gt;0),$H210,SUMIFS($H$5:$H$1000,$S$5:$S$1000,$S210,$V$5:$V$1000,"Macro")/COUNTIFS($S$5:$S$1000,$S210,$V$5:$V$1000,"Macro",$H$5:$H$1000,"&gt;0"))/(COUNTIFS($S$5:$S$1000,$S210,$V$5:$V$1000,"Macro")*SUMIFS($H$5:$H$1000,$S$5:$S$1000,$S210,$V$5:$V$1000,"Macro")/COUNTIFS($S$5:$S$1000,$S210,$V$5:$V$1000,"Macro",$H$5:$H$1000,"&gt;0"))))</f>
        <v/>
      </c>
      <c r="AH210" s="62" t="n"/>
      <c r="AI210" s="62" t="n"/>
      <c r="AJ210" s="62" t="n"/>
      <c r="AK210" s="62" t="n"/>
      <c r="AL210" s="62">
        <f>IF(LEFT($C210,11)="[Jefatura] ",IFERROR(MATCH("Riesgo Operacional|"&amp;MID($C210,12,500),rDname_ADM,0),0),"")</f>
        <v/>
      </c>
      <c r="AM210" s="62">
        <f>IF(N($AL210)&gt;0,INDEX(rIni_ADM,$AL210),IF(ISNUMBER($E210),$E210,""))</f>
        <v/>
      </c>
      <c r="AN210" s="62">
        <f>IF(N($AL210)&gt;0,INDEX(rLim_ADM,$AL210),IF(ISNUMBER($F210),$F210,""))</f>
        <v/>
      </c>
    </row>
    <row r="211">
      <c r="A211" s="56">
        <f>IF(NOT((COUNTA($B211:$D211)+COUNTA($G211:$L211)+COUNTA($Q211))&gt;0),"",IF($V211="Macro",COUNTIFS($V$5:$V211,"Macro",$S$5:$S211,$S211),IF(N($U211)=0,"?",COUNTIFS(INDEX($V$5:$V$1000,1):INDEX($V$5:$V$1000,$U211-4),"Macro",INDEX($S$5:$S$1000,1):INDEX($S$5:$S$1000,$U211-4),INDEX($S$5:$S$1000,$U211-4))&amp;"."&amp;COUNTIFS($U$5:$U211,$U211,$V$5:$V211,"Sub"))))</f>
        <v/>
      </c>
      <c r="B211" s="57" t="n"/>
      <c r="C211" s="58" t="n"/>
      <c r="D211" s="58" t="n"/>
      <c r="E211" s="59">
        <f>IF(N($AL211)&gt;0,INDEX(rIni_ADM,$AL211),"")</f>
        <v/>
      </c>
      <c r="F211" s="59">
        <f>IF(N($AL211)&gt;0,INDEX(rLim_ADM,$AL211),"")</f>
        <v/>
      </c>
      <c r="G211" s="59" t="n"/>
      <c r="H211" s="60" t="n"/>
      <c r="I211" s="60" t="n"/>
      <c r="J211" s="60" t="n"/>
      <c r="K211" s="60" t="n"/>
      <c r="L211" s="60" t="n"/>
      <c r="M211" s="61">
        <f>IF(NOT((COUNTA($B211:$D211)+COUNTA($G211:$L211)+COUNTA($Q211))&gt;0),"",IF($V211="Sub",IFERROR($X211/INDEX($W$5:$W$1000,$U211-4),""),IF(ISNUMBER($G211),1,IF(N($W211)&gt;0,AVERAGEIFS($X$5:$X$1000,$U$5:$U$1000,ROW(),$V$5:$V$1000,"Sub"),$X211))))</f>
        <v/>
      </c>
      <c r="N211" s="56">
        <f>IF(OR($M211="",$V211="Sub"),"",IF($M211&gt;=1,"Completado",IF($M211&gt;0,"En curso","Pendiente")))</f>
        <v/>
      </c>
      <c r="O211" s="56">
        <f>IF(OR(NOT((COUNTA($B211:$D211)+COUNTA($G211:$L211)+COUNTA($Q211))&gt;0),$V211="Sub"),"",IF(ISNUMBER($G211),IF(AND(ISNUMBER($AN211),$G211&gt;$AN211),"Cumplida con "&amp;($G211-$AN211)&amp;IF($G211-$AN211=1," día"," días")&amp;" de retraso","Cumplida"),IF(N($M211)&gt;=1,"Cumplida",IF(NOT(ISNUMBER($AN211)),"Sin fecha límite",IF($AN211&lt;FechaRef,"Vencida hace "&amp;(FechaRef-$AN211)&amp;IF(FechaRef-$AN211=1," día"," días"),IF($AN211=FechaRef,"Vence hoy",IF($AN211-FechaRef&lt;=DiasAlerta,"Vence en "&amp;($AN211-FechaRef)&amp;IF($AN211-FechaRef=1," día"," días"),"En plazo")))))))</f>
        <v/>
      </c>
      <c r="P211" s="62" t="n"/>
      <c r="Q211" s="58" t="n"/>
      <c r="R211" s="63">
        <f>IF(NOT((COUNTA($B211:$D211)+COUNTA($G211:$L211)+COUNTA($Q211))&gt;0),"",IF((IF($C211="","Falta el nombre de la actividad"&amp;" · ","")&amp;IF(AND($V211="Sub",N($U211)=0),"Subactividad sin macroactividad arriba"&amp;" · ","")&amp;IF($AM211="","Sin fecha de inicio"&amp;" · ","")&amp;IF($AN211="","Sin fecha límite"&amp;" · ","")&amp;IF(AND(LEFT($C211,11)="[Jefatura] ",N($AL211)=0),"No se encuentra en la hoja de la jefatura (elíjala de nuevo en la lista)"&amp;" · ","")&amp;IF(OR(AND($E211&lt;&gt;"",NOT(ISNUMBER($E211))),AND($F211&lt;&gt;"",NOT(ISNUMBER($F211))),AND($G211&lt;&gt;"",NOT(ISNUMBER($G211)))),"Fecha no válida"&amp;" · ","")&amp;IF(AND(ISNUMBER($AM211),ISNUMBER($AN211),$AM211&gt;$AN211),"Inicio posterior a fecha límite"&amp;" · ","")&amp;IF(AND($V211="Macro",$H211&lt;&gt;"",OR(NOT(ISNUMBER($H211)),$H211&lt;0,$H211&gt;1)),"Peso fuera de rango"&amp;" · ","")&amp;IF(AND($V211="Sub",$H211&lt;&gt;""),"Las subactividades no llevan peso (valen igual dentro de su macroactividad)"&amp;" · ","")&amp;IF(AND(N($W211)&gt;0,COUNT($I211:$L211)&gt;0),"Con subactividades: deje vacías las semanas (se calculan solas)"&amp;" · ","")&amp;IF((COUNTIF($I211:$L211,"&gt;1")+COUNTIF($I211:$L211,"&lt;0")+COUNTA($I211:$L211)-COUNT($I211:$L211))&gt;0,"Avance fuera de rango 0-100%"&amp;" · ","")&amp;IF(OR(AND($J211&lt;&gt;"",$J211&lt;$I211),AND($K211&lt;&gt;"",$K211&lt;MAX($I211:$J211)),AND($L211&lt;&gt;"",$L211&lt;MAX($I211:$K211))),"Avance semanal decreciente"&amp;" · ","")&amp;IF(AND(ISNUMBER($AN211),$AN211&lt;FechaRef,IF($V211="Sub",N($X211),N($M211))&lt;1),"Vencida"&amp;" · ","")&amp;IF(AND(ObsObligatoria="Sí",ISNUMBER($AN211),$AN211&lt;FechaRef,IF($V211="Sub",N($X211),N($M211))&lt;1,$Q211=""),"Vencida sin observación"&amp;" · ",""))="","✔ OK","⚠ "&amp;LEFT(IF($C211="","Falta el nombre de la actividad"&amp;" · ","")&amp;IF(AND($V211="Sub",N($U211)=0),"Subactividad sin macroactividad arriba"&amp;" · ","")&amp;IF($AM211="","Sin fecha de inicio"&amp;" · ","")&amp;IF($AN211="","Sin fecha límite"&amp;" · ","")&amp;IF(AND(LEFT($C211,11)="[Jefatura] ",N($AL211)=0),"No se encuentra en la hoja de la jefatura (elíjala de nuevo en la lista)"&amp;" · ","")&amp;IF(OR(AND($E211&lt;&gt;"",NOT(ISNUMBER($E211))),AND($F211&lt;&gt;"",NOT(ISNUMBER($F211))),AND($G211&lt;&gt;"",NOT(ISNUMBER($G211)))),"Fecha no válida"&amp;" · ","")&amp;IF(AND(ISNUMBER($AM211),ISNUMBER($AN211),$AM211&gt;$AN211),"Inicio posterior a fecha límite"&amp;" · ","")&amp;IF(AND($V211="Macro",$H211&lt;&gt;"",OR(NOT(ISNUMBER($H211)),$H211&lt;0,$H211&gt;1)),"Peso fuera de rango"&amp;" · ","")&amp;IF(AND($V211="Sub",$H211&lt;&gt;""),"Las subactividades no llevan peso (valen igual dentro de su macroactividad)"&amp;" · ","")&amp;IF(AND(N($W211)&gt;0,COUNT($I211:$L211)&gt;0),"Con subactividades: deje vacías las semanas (se calculan solas)"&amp;" · ","")&amp;IF((COUNTIF($I211:$L211,"&gt;1")+COUNTIF($I211:$L211,"&lt;0")+COUNTA($I211:$L211)-COUNT($I211:$L211))&gt;0,"Avance fuera de rango 0-100%"&amp;" · ","")&amp;IF(OR(AND($J211&lt;&gt;"",$J211&lt;$I211),AND($K211&lt;&gt;"",$K211&lt;MAX($I211:$J211)),AND($L211&lt;&gt;"",$L211&lt;MAX($I211:$K211))),"Avance semanal decreciente"&amp;" · ","")&amp;IF(AND(ISNUMBER($AN211),$AN211&lt;FechaRef,IF($V211="Sub",N($X211),N($M211))&lt;1),"Vencida"&amp;" · ","")&amp;IF(AND(ObsObligatoria="Sí",ISNUMBER($AN211),$AN211&lt;FechaRef,IF($V211="Sub",N($X211),N($M211))&lt;1,$Q211=""),"Vencida sin observación"&amp;" · ",""),LEN(IF($C211="","Falta el nombre de la actividad"&amp;" · ","")&amp;IF(AND($V211="Sub",N($U211)=0),"Subactividad sin macroactividad arriba"&amp;" · ","")&amp;IF($AM211="","Sin fecha de inicio"&amp;" · ","")&amp;IF($AN211="","Sin fecha límite"&amp;" · ","")&amp;IF(AND(LEFT($C211,11)="[Jefatura] ",N($AL211)=0),"No se encuentra en la hoja de la jefatura (elíjala de nuevo en la lista)"&amp;" · ","")&amp;IF(OR(AND($E211&lt;&gt;"",NOT(ISNUMBER($E211))),AND($F211&lt;&gt;"",NOT(ISNUMBER($F211))),AND($G211&lt;&gt;"",NOT(ISNUMBER($G211)))),"Fecha no válida"&amp;" · ","")&amp;IF(AND(ISNUMBER($AM211),ISNUMBER($AN211),$AM211&gt;$AN211),"Inicio posterior a fecha límite"&amp;" · ","")&amp;IF(AND($V211="Macro",$H211&lt;&gt;"",OR(NOT(ISNUMBER($H211)),$H211&lt;0,$H211&gt;1)),"Peso fuera de rango"&amp;" · ","")&amp;IF(AND($V211="Sub",$H211&lt;&gt;""),"Las subactividades no llevan peso (valen igual dentro de su macroactividad)"&amp;" · ","")&amp;IF(AND(N($W211)&gt;0,COUNT($I211:$L211)&gt;0),"Con subactividades: deje vacías las semanas (se calculan solas)"&amp;" · ","")&amp;IF((COUNTIF($I211:$L211,"&gt;1")+COUNTIF($I211:$L211,"&lt;0")+COUNTA($I211:$L211)-COUNT($I211:$L211))&gt;0,"Avance fuera de rango 0-100%"&amp;" · ","")&amp;IF(OR(AND($J211&lt;&gt;"",$J211&lt;$I211),AND($K211&lt;&gt;"",$K211&lt;MAX($I211:$J211)),AND($L211&lt;&gt;"",$L211&lt;MAX($I211:$K211))),"Avance semanal decreciente"&amp;" · ","")&amp;IF(AND(ISNUMBER($AN211),$AN211&lt;FechaRef,IF($V211="Sub",N($X211),N($M211))&lt;1),"Vencida"&amp;" · ","")&amp;IF(AND(ObsObligatoria="Sí",ISNUMBER($AN211),$AN211&lt;FechaRef,IF($V211="Sub",N($X211),N($M211))&lt;1,$Q211=""),"Vencida sin observación"&amp;" · ",""))-3)))</f>
        <v/>
      </c>
      <c r="S211" s="64">
        <f>IF(NOT((COUNTA($B211:$D211)+COUNTA($G211:$L211)+COUNTA($Q211))&gt;0),"",IF(AND($V211="Sub",N($U211)&gt;0),IF(ISNUMBER(INDEX($AM$5:$AM$1000,$U211-4)),DATE(YEAR(INDEX($AM$5:$AM$1000,$U211-4)),MONTH(INDEX($AM$5:$AM$1000,$U211-4)),1),IF(ISNUMBER(INDEX($AN$5:$AN$1000,$U211-4)),DATE(YEAR(INDEX($AN$5:$AN$1000,$U211-4)),MONTH(INDEX($AN$5:$AN$1000,$U211-4)),1),MesCiclo)),IF(ISNUMBER($AM211),DATE(YEAR($AM211),MONTH($AM211),1),IF(ISNUMBER($AN211),DATE(YEAR($AN211),MONTH($AN211),1),MesCiclo))))</f>
        <v/>
      </c>
      <c r="T211" s="62">
        <f>IF(OR($S211="",$S211&lt;&gt;MesCiclo,$V211&lt;&gt;"Macro"),"",COUNTIFS($S$5:$S211,MesCiclo,$V$5:$V211,"Macro"))</f>
        <v/>
      </c>
      <c r="U211" s="62">
        <f>IF($V211="","",IF($V211="Macro",ROW(),IFERROR(LOOKUP(2,1/($V$5:$V211="Macro"),ROW($V$5:$V211)),0)))</f>
        <v/>
      </c>
      <c r="V211" s="62">
        <f>IF(NOT((COUNTA($B211:$D211)+COUNTA($G211:$L211)+COUNTA($Q211))&gt;0),"",IF($B211="Subactividad","Sub","Macro"))</f>
        <v/>
      </c>
      <c r="W211" s="62">
        <f>IF($V211="Macro",COUNTIFS($U$5:$U$1000,ROW(),$V$5:$V$1000,"Sub"),"")</f>
        <v/>
      </c>
      <c r="X211" s="62">
        <f>IF($V211="","",IF(ISNUMBER($G211),1,IFERROR(LOOKUP(2,1/($I211:$L211&lt;&gt;""),$I211:$L211),0)))</f>
        <v/>
      </c>
      <c r="Y211" s="62">
        <f>IF($V211="","",IF(AND(ISNUMBER($G211),$G211&lt;=IF($S211=MesCiclo,InicioCiclo,$S211+MOD(2-WEEKDAY($S211),7))+6),1,IF(ISNUMBER($I211),$I211,0)))</f>
        <v/>
      </c>
      <c r="Z211" s="62">
        <f>IF($V211="","",IF(AND(ISNUMBER($G211),$G211&lt;=IF($S211=MesCiclo,InicioCiclo,$S211+MOD(2-WEEKDAY($S211),7))+13),1,IF(ISNUMBER($J211),$J211,$Y211)))</f>
        <v/>
      </c>
      <c r="AA211" s="62">
        <f>IF($V211="","",IF(AND(ISNUMBER($G211),$G211&lt;=IF($S211=MesCiclo,InicioCiclo,$S211+MOD(2-WEEKDAY($S211),7))+20),1,IF(ISNUMBER($K211),$K211,$Z211)))</f>
        <v/>
      </c>
      <c r="AB211" s="62">
        <f>IF($V211="","",IF(AND(ISNUMBER($G211),$G211&lt;=IF($S211=MesCiclo,InicioCiclo,$S211+MOD(2-WEEKDAY($S211),7))+27),1,IF(ISNUMBER($L211),$L211,$AA211)))</f>
        <v/>
      </c>
      <c r="AC211" s="62">
        <f>IF($V211="","",IF(AND(ISNUMBER($G211),$G211&lt;=IF($S211=MesCiclo,InicioCiclo,$S211+MOD(2-WEEKDAY($S211),7))+6),1,IF(N($W211)&gt;0,AVERAGEIFS($Y$5:$Y$1000,$U$5:$U$1000,ROW(),$V$5:$V$1000,"Sub"),$Y211)))</f>
        <v/>
      </c>
      <c r="AD211" s="62">
        <f>IF($V211="","",IF(AND(ISNUMBER($G211),$G211&lt;=IF($S211=MesCiclo,InicioCiclo,$S211+MOD(2-WEEKDAY($S211),7))+13),1,IF(N($W211)&gt;0,AVERAGEIFS($Z$5:$Z$1000,$U$5:$U$1000,ROW(),$V$5:$V$1000,"Sub"),$Z211)))</f>
        <v/>
      </c>
      <c r="AE211" s="62">
        <f>IF($V211="","",IF(AND(ISNUMBER($G211),$G211&lt;=IF($S211=MesCiclo,InicioCiclo,$S211+MOD(2-WEEKDAY($S211),7))+20),1,IF(N($W211)&gt;0,AVERAGEIFS($AA$5:$AA$1000,$U$5:$U$1000,ROW(),$V$5:$V$1000,"Sub"),$AA211)))</f>
        <v/>
      </c>
      <c r="AF211" s="62">
        <f>IF($V211="","",IF(AND(ISNUMBER($G211),$G211&lt;=IF($S211=MesCiclo,InicioCiclo,$S211+MOD(2-WEEKDAY($S211),7))+27),1,IF(N($W211)&gt;0,AVERAGEIFS($AB$5:$AB$1000,$U$5:$U$1000,ROW(),$V$5:$V$1000,"Sub"),$AB211)))</f>
        <v/>
      </c>
      <c r="AG211" s="62">
        <f>IF($V211&lt;&gt;"Macro","",IF(COUNTIFS($S$5:$S$1000,$S211,$V$5:$V$1000,"Macro",$H$5:$H$1000,"&gt;0")=0,1/COUNTIFS($S$5:$S$1000,$S211,$V$5:$V$1000,"Macro"),IF(AND(ISNUMBER($H211),N($H211)&gt;0),$H211,SUMIFS($H$5:$H$1000,$S$5:$S$1000,$S211,$V$5:$V$1000,"Macro")/COUNTIFS($S$5:$S$1000,$S211,$V$5:$V$1000,"Macro",$H$5:$H$1000,"&gt;0"))/(COUNTIFS($S$5:$S$1000,$S211,$V$5:$V$1000,"Macro")*SUMIFS($H$5:$H$1000,$S$5:$S$1000,$S211,$V$5:$V$1000,"Macro")/COUNTIFS($S$5:$S$1000,$S211,$V$5:$V$1000,"Macro",$H$5:$H$1000,"&gt;0"))))</f>
        <v/>
      </c>
      <c r="AH211" s="62" t="n"/>
      <c r="AI211" s="62" t="n"/>
      <c r="AJ211" s="62" t="n"/>
      <c r="AK211" s="62" t="n"/>
      <c r="AL211" s="62">
        <f>IF(LEFT($C211,11)="[Jefatura] ",IFERROR(MATCH("Riesgo Operacional|"&amp;MID($C211,12,500),rDname_ADM,0),0),"")</f>
        <v/>
      </c>
      <c r="AM211" s="62">
        <f>IF(N($AL211)&gt;0,INDEX(rIni_ADM,$AL211),IF(ISNUMBER($E211),$E211,""))</f>
        <v/>
      </c>
      <c r="AN211" s="62">
        <f>IF(N($AL211)&gt;0,INDEX(rLim_ADM,$AL211),IF(ISNUMBER($F211),$F211,""))</f>
        <v/>
      </c>
    </row>
    <row r="212">
      <c r="A212" s="56">
        <f>IF(NOT((COUNTA($B212:$D212)+COUNTA($G212:$L212)+COUNTA($Q212))&gt;0),"",IF($V212="Macro",COUNTIFS($V$5:$V212,"Macro",$S$5:$S212,$S212),IF(N($U212)=0,"?",COUNTIFS(INDEX($V$5:$V$1000,1):INDEX($V$5:$V$1000,$U212-4),"Macro",INDEX($S$5:$S$1000,1):INDEX($S$5:$S$1000,$U212-4),INDEX($S$5:$S$1000,$U212-4))&amp;"."&amp;COUNTIFS($U$5:$U212,$U212,$V$5:$V212,"Sub"))))</f>
        <v/>
      </c>
      <c r="B212" s="57" t="n"/>
      <c r="C212" s="58" t="n"/>
      <c r="D212" s="58" t="n"/>
      <c r="E212" s="59">
        <f>IF(N($AL212)&gt;0,INDEX(rIni_ADM,$AL212),"")</f>
        <v/>
      </c>
      <c r="F212" s="59">
        <f>IF(N($AL212)&gt;0,INDEX(rLim_ADM,$AL212),"")</f>
        <v/>
      </c>
      <c r="G212" s="59" t="n"/>
      <c r="H212" s="60" t="n"/>
      <c r="I212" s="60" t="n"/>
      <c r="J212" s="60" t="n"/>
      <c r="K212" s="60" t="n"/>
      <c r="L212" s="60" t="n"/>
      <c r="M212" s="61">
        <f>IF(NOT((COUNTA($B212:$D212)+COUNTA($G212:$L212)+COUNTA($Q212))&gt;0),"",IF($V212="Sub",IFERROR($X212/INDEX($W$5:$W$1000,$U212-4),""),IF(ISNUMBER($G212),1,IF(N($W212)&gt;0,AVERAGEIFS($X$5:$X$1000,$U$5:$U$1000,ROW(),$V$5:$V$1000,"Sub"),$X212))))</f>
        <v/>
      </c>
      <c r="N212" s="56">
        <f>IF(OR($M212="",$V212="Sub"),"",IF($M212&gt;=1,"Completado",IF($M212&gt;0,"En curso","Pendiente")))</f>
        <v/>
      </c>
      <c r="O212" s="56">
        <f>IF(OR(NOT((COUNTA($B212:$D212)+COUNTA($G212:$L212)+COUNTA($Q212))&gt;0),$V212="Sub"),"",IF(ISNUMBER($G212),IF(AND(ISNUMBER($AN212),$G212&gt;$AN212),"Cumplida con "&amp;($G212-$AN212)&amp;IF($G212-$AN212=1," día"," días")&amp;" de retraso","Cumplida"),IF(N($M212)&gt;=1,"Cumplida",IF(NOT(ISNUMBER($AN212)),"Sin fecha límite",IF($AN212&lt;FechaRef,"Vencida hace "&amp;(FechaRef-$AN212)&amp;IF(FechaRef-$AN212=1," día"," días"),IF($AN212=FechaRef,"Vence hoy",IF($AN212-FechaRef&lt;=DiasAlerta,"Vence en "&amp;($AN212-FechaRef)&amp;IF($AN212-FechaRef=1," día"," días"),"En plazo")))))))</f>
        <v/>
      </c>
      <c r="P212" s="62" t="n"/>
      <c r="Q212" s="58" t="n"/>
      <c r="R212" s="63">
        <f>IF(NOT((COUNTA($B212:$D212)+COUNTA($G212:$L212)+COUNTA($Q212))&gt;0),"",IF((IF($C212="","Falta el nombre de la actividad"&amp;" · ","")&amp;IF(AND($V212="Sub",N($U212)=0),"Subactividad sin macroactividad arriba"&amp;" · ","")&amp;IF($AM212="","Sin fecha de inicio"&amp;" · ","")&amp;IF($AN212="","Sin fecha límite"&amp;" · ","")&amp;IF(AND(LEFT($C212,11)="[Jefatura] ",N($AL212)=0),"No se encuentra en la hoja de la jefatura (elíjala de nuevo en la lista)"&amp;" · ","")&amp;IF(OR(AND($E212&lt;&gt;"",NOT(ISNUMBER($E212))),AND($F212&lt;&gt;"",NOT(ISNUMBER($F212))),AND($G212&lt;&gt;"",NOT(ISNUMBER($G212)))),"Fecha no válida"&amp;" · ","")&amp;IF(AND(ISNUMBER($AM212),ISNUMBER($AN212),$AM212&gt;$AN212),"Inicio posterior a fecha límite"&amp;" · ","")&amp;IF(AND($V212="Macro",$H212&lt;&gt;"",OR(NOT(ISNUMBER($H212)),$H212&lt;0,$H212&gt;1)),"Peso fuera de rango"&amp;" · ","")&amp;IF(AND($V212="Sub",$H212&lt;&gt;""),"Las subactividades no llevan peso (valen igual dentro de su macroactividad)"&amp;" · ","")&amp;IF(AND(N($W212)&gt;0,COUNT($I212:$L212)&gt;0),"Con subactividades: deje vacías las semanas (se calculan solas)"&amp;" · ","")&amp;IF((COUNTIF($I212:$L212,"&gt;1")+COUNTIF($I212:$L212,"&lt;0")+COUNTA($I212:$L212)-COUNT($I212:$L212))&gt;0,"Avance fuera de rango 0-100%"&amp;" · ","")&amp;IF(OR(AND($J212&lt;&gt;"",$J212&lt;$I212),AND($K212&lt;&gt;"",$K212&lt;MAX($I212:$J212)),AND($L212&lt;&gt;"",$L212&lt;MAX($I212:$K212))),"Avance semanal decreciente"&amp;" · ","")&amp;IF(AND(ISNUMBER($AN212),$AN212&lt;FechaRef,IF($V212="Sub",N($X212),N($M212))&lt;1),"Vencida"&amp;" · ","")&amp;IF(AND(ObsObligatoria="Sí",ISNUMBER($AN212),$AN212&lt;FechaRef,IF($V212="Sub",N($X212),N($M212))&lt;1,$Q212=""),"Vencida sin observación"&amp;" · ",""))="","✔ OK","⚠ "&amp;LEFT(IF($C212="","Falta el nombre de la actividad"&amp;" · ","")&amp;IF(AND($V212="Sub",N($U212)=0),"Subactividad sin macroactividad arriba"&amp;" · ","")&amp;IF($AM212="","Sin fecha de inicio"&amp;" · ","")&amp;IF($AN212="","Sin fecha límite"&amp;" · ","")&amp;IF(AND(LEFT($C212,11)="[Jefatura] ",N($AL212)=0),"No se encuentra en la hoja de la jefatura (elíjala de nuevo en la lista)"&amp;" · ","")&amp;IF(OR(AND($E212&lt;&gt;"",NOT(ISNUMBER($E212))),AND($F212&lt;&gt;"",NOT(ISNUMBER($F212))),AND($G212&lt;&gt;"",NOT(ISNUMBER($G212)))),"Fecha no válida"&amp;" · ","")&amp;IF(AND(ISNUMBER($AM212),ISNUMBER($AN212),$AM212&gt;$AN212),"Inicio posterior a fecha límite"&amp;" · ","")&amp;IF(AND($V212="Macro",$H212&lt;&gt;"",OR(NOT(ISNUMBER($H212)),$H212&lt;0,$H212&gt;1)),"Peso fuera de rango"&amp;" · ","")&amp;IF(AND($V212="Sub",$H212&lt;&gt;""),"Las subactividades no llevan peso (valen igual dentro de su macroactividad)"&amp;" · ","")&amp;IF(AND(N($W212)&gt;0,COUNT($I212:$L212)&gt;0),"Con subactividades: deje vacías las semanas (se calculan solas)"&amp;" · ","")&amp;IF((COUNTIF($I212:$L212,"&gt;1")+COUNTIF($I212:$L212,"&lt;0")+COUNTA($I212:$L212)-COUNT($I212:$L212))&gt;0,"Avance fuera de rango 0-100%"&amp;" · ","")&amp;IF(OR(AND($J212&lt;&gt;"",$J212&lt;$I212),AND($K212&lt;&gt;"",$K212&lt;MAX($I212:$J212)),AND($L212&lt;&gt;"",$L212&lt;MAX($I212:$K212))),"Avance semanal decreciente"&amp;" · ","")&amp;IF(AND(ISNUMBER($AN212),$AN212&lt;FechaRef,IF($V212="Sub",N($X212),N($M212))&lt;1),"Vencida"&amp;" · ","")&amp;IF(AND(ObsObligatoria="Sí",ISNUMBER($AN212),$AN212&lt;FechaRef,IF($V212="Sub",N($X212),N($M212))&lt;1,$Q212=""),"Vencida sin observación"&amp;" · ",""),LEN(IF($C212="","Falta el nombre de la actividad"&amp;" · ","")&amp;IF(AND($V212="Sub",N($U212)=0),"Subactividad sin macroactividad arriba"&amp;" · ","")&amp;IF($AM212="","Sin fecha de inicio"&amp;" · ","")&amp;IF($AN212="","Sin fecha límite"&amp;" · ","")&amp;IF(AND(LEFT($C212,11)="[Jefatura] ",N($AL212)=0),"No se encuentra en la hoja de la jefatura (elíjala de nuevo en la lista)"&amp;" · ","")&amp;IF(OR(AND($E212&lt;&gt;"",NOT(ISNUMBER($E212))),AND($F212&lt;&gt;"",NOT(ISNUMBER($F212))),AND($G212&lt;&gt;"",NOT(ISNUMBER($G212)))),"Fecha no válida"&amp;" · ","")&amp;IF(AND(ISNUMBER($AM212),ISNUMBER($AN212),$AM212&gt;$AN212),"Inicio posterior a fecha límite"&amp;" · ","")&amp;IF(AND($V212="Macro",$H212&lt;&gt;"",OR(NOT(ISNUMBER($H212)),$H212&lt;0,$H212&gt;1)),"Peso fuera de rango"&amp;" · ","")&amp;IF(AND($V212="Sub",$H212&lt;&gt;""),"Las subactividades no llevan peso (valen igual dentro de su macroactividad)"&amp;" · ","")&amp;IF(AND(N($W212)&gt;0,COUNT($I212:$L212)&gt;0),"Con subactividades: deje vacías las semanas (se calculan solas)"&amp;" · ","")&amp;IF((COUNTIF($I212:$L212,"&gt;1")+COUNTIF($I212:$L212,"&lt;0")+COUNTA($I212:$L212)-COUNT($I212:$L212))&gt;0,"Avance fuera de rango 0-100%"&amp;" · ","")&amp;IF(OR(AND($J212&lt;&gt;"",$J212&lt;$I212),AND($K212&lt;&gt;"",$K212&lt;MAX($I212:$J212)),AND($L212&lt;&gt;"",$L212&lt;MAX($I212:$K212))),"Avance semanal decreciente"&amp;" · ","")&amp;IF(AND(ISNUMBER($AN212),$AN212&lt;FechaRef,IF($V212="Sub",N($X212),N($M212))&lt;1),"Vencida"&amp;" · ","")&amp;IF(AND(ObsObligatoria="Sí",ISNUMBER($AN212),$AN212&lt;FechaRef,IF($V212="Sub",N($X212),N($M212))&lt;1,$Q212=""),"Vencida sin observación"&amp;" · ",""))-3)))</f>
        <v/>
      </c>
      <c r="S212" s="64">
        <f>IF(NOT((COUNTA($B212:$D212)+COUNTA($G212:$L212)+COUNTA($Q212))&gt;0),"",IF(AND($V212="Sub",N($U212)&gt;0),IF(ISNUMBER(INDEX($AM$5:$AM$1000,$U212-4)),DATE(YEAR(INDEX($AM$5:$AM$1000,$U212-4)),MONTH(INDEX($AM$5:$AM$1000,$U212-4)),1),IF(ISNUMBER(INDEX($AN$5:$AN$1000,$U212-4)),DATE(YEAR(INDEX($AN$5:$AN$1000,$U212-4)),MONTH(INDEX($AN$5:$AN$1000,$U212-4)),1),MesCiclo)),IF(ISNUMBER($AM212),DATE(YEAR($AM212),MONTH($AM212),1),IF(ISNUMBER($AN212),DATE(YEAR($AN212),MONTH($AN212),1),MesCiclo))))</f>
        <v/>
      </c>
      <c r="T212" s="62">
        <f>IF(OR($S212="",$S212&lt;&gt;MesCiclo,$V212&lt;&gt;"Macro"),"",COUNTIFS($S$5:$S212,MesCiclo,$V$5:$V212,"Macro"))</f>
        <v/>
      </c>
      <c r="U212" s="62">
        <f>IF($V212="","",IF($V212="Macro",ROW(),IFERROR(LOOKUP(2,1/($V$5:$V212="Macro"),ROW($V$5:$V212)),0)))</f>
        <v/>
      </c>
      <c r="V212" s="62">
        <f>IF(NOT((COUNTA($B212:$D212)+COUNTA($G212:$L212)+COUNTA($Q212))&gt;0),"",IF($B212="Subactividad","Sub","Macro"))</f>
        <v/>
      </c>
      <c r="W212" s="62">
        <f>IF($V212="Macro",COUNTIFS($U$5:$U$1000,ROW(),$V$5:$V$1000,"Sub"),"")</f>
        <v/>
      </c>
      <c r="X212" s="62">
        <f>IF($V212="","",IF(ISNUMBER($G212),1,IFERROR(LOOKUP(2,1/($I212:$L212&lt;&gt;""),$I212:$L212),0)))</f>
        <v/>
      </c>
      <c r="Y212" s="62">
        <f>IF($V212="","",IF(AND(ISNUMBER($G212),$G212&lt;=IF($S212=MesCiclo,InicioCiclo,$S212+MOD(2-WEEKDAY($S212),7))+6),1,IF(ISNUMBER($I212),$I212,0)))</f>
        <v/>
      </c>
      <c r="Z212" s="62">
        <f>IF($V212="","",IF(AND(ISNUMBER($G212),$G212&lt;=IF($S212=MesCiclo,InicioCiclo,$S212+MOD(2-WEEKDAY($S212),7))+13),1,IF(ISNUMBER($J212),$J212,$Y212)))</f>
        <v/>
      </c>
      <c r="AA212" s="62">
        <f>IF($V212="","",IF(AND(ISNUMBER($G212),$G212&lt;=IF($S212=MesCiclo,InicioCiclo,$S212+MOD(2-WEEKDAY($S212),7))+20),1,IF(ISNUMBER($K212),$K212,$Z212)))</f>
        <v/>
      </c>
      <c r="AB212" s="62">
        <f>IF($V212="","",IF(AND(ISNUMBER($G212),$G212&lt;=IF($S212=MesCiclo,InicioCiclo,$S212+MOD(2-WEEKDAY($S212),7))+27),1,IF(ISNUMBER($L212),$L212,$AA212)))</f>
        <v/>
      </c>
      <c r="AC212" s="62">
        <f>IF($V212="","",IF(AND(ISNUMBER($G212),$G212&lt;=IF($S212=MesCiclo,InicioCiclo,$S212+MOD(2-WEEKDAY($S212),7))+6),1,IF(N($W212)&gt;0,AVERAGEIFS($Y$5:$Y$1000,$U$5:$U$1000,ROW(),$V$5:$V$1000,"Sub"),$Y212)))</f>
        <v/>
      </c>
      <c r="AD212" s="62">
        <f>IF($V212="","",IF(AND(ISNUMBER($G212),$G212&lt;=IF($S212=MesCiclo,InicioCiclo,$S212+MOD(2-WEEKDAY($S212),7))+13),1,IF(N($W212)&gt;0,AVERAGEIFS($Z$5:$Z$1000,$U$5:$U$1000,ROW(),$V$5:$V$1000,"Sub"),$Z212)))</f>
        <v/>
      </c>
      <c r="AE212" s="62">
        <f>IF($V212="","",IF(AND(ISNUMBER($G212),$G212&lt;=IF($S212=MesCiclo,InicioCiclo,$S212+MOD(2-WEEKDAY($S212),7))+20),1,IF(N($W212)&gt;0,AVERAGEIFS($AA$5:$AA$1000,$U$5:$U$1000,ROW(),$V$5:$V$1000,"Sub"),$AA212)))</f>
        <v/>
      </c>
      <c r="AF212" s="62">
        <f>IF($V212="","",IF(AND(ISNUMBER($G212),$G212&lt;=IF($S212=MesCiclo,InicioCiclo,$S212+MOD(2-WEEKDAY($S212),7))+27),1,IF(N($W212)&gt;0,AVERAGEIFS($AB$5:$AB$1000,$U$5:$U$1000,ROW(),$V$5:$V$1000,"Sub"),$AB212)))</f>
        <v/>
      </c>
      <c r="AG212" s="62">
        <f>IF($V212&lt;&gt;"Macro","",IF(COUNTIFS($S$5:$S$1000,$S212,$V$5:$V$1000,"Macro",$H$5:$H$1000,"&gt;0")=0,1/COUNTIFS($S$5:$S$1000,$S212,$V$5:$V$1000,"Macro"),IF(AND(ISNUMBER($H212),N($H212)&gt;0),$H212,SUMIFS($H$5:$H$1000,$S$5:$S$1000,$S212,$V$5:$V$1000,"Macro")/COUNTIFS($S$5:$S$1000,$S212,$V$5:$V$1000,"Macro",$H$5:$H$1000,"&gt;0"))/(COUNTIFS($S$5:$S$1000,$S212,$V$5:$V$1000,"Macro")*SUMIFS($H$5:$H$1000,$S$5:$S$1000,$S212,$V$5:$V$1000,"Macro")/COUNTIFS($S$5:$S$1000,$S212,$V$5:$V$1000,"Macro",$H$5:$H$1000,"&gt;0"))))</f>
        <v/>
      </c>
      <c r="AH212" s="62" t="n"/>
      <c r="AI212" s="62" t="n"/>
      <c r="AJ212" s="62" t="n"/>
      <c r="AK212" s="62" t="n"/>
      <c r="AL212" s="62">
        <f>IF(LEFT($C212,11)="[Jefatura] ",IFERROR(MATCH("Riesgo Operacional|"&amp;MID($C212,12,500),rDname_ADM,0),0),"")</f>
        <v/>
      </c>
      <c r="AM212" s="62">
        <f>IF(N($AL212)&gt;0,INDEX(rIni_ADM,$AL212),IF(ISNUMBER($E212),$E212,""))</f>
        <v/>
      </c>
      <c r="AN212" s="62">
        <f>IF(N($AL212)&gt;0,INDEX(rLim_ADM,$AL212),IF(ISNUMBER($F212),$F212,""))</f>
        <v/>
      </c>
    </row>
    <row r="213">
      <c r="A213" s="56">
        <f>IF(NOT((COUNTA($B213:$D213)+COUNTA($G213:$L213)+COUNTA($Q213))&gt;0),"",IF($V213="Macro",COUNTIFS($V$5:$V213,"Macro",$S$5:$S213,$S213),IF(N($U213)=0,"?",COUNTIFS(INDEX($V$5:$V$1000,1):INDEX($V$5:$V$1000,$U213-4),"Macro",INDEX($S$5:$S$1000,1):INDEX($S$5:$S$1000,$U213-4),INDEX($S$5:$S$1000,$U213-4))&amp;"."&amp;COUNTIFS($U$5:$U213,$U213,$V$5:$V213,"Sub"))))</f>
        <v/>
      </c>
      <c r="B213" s="57" t="n"/>
      <c r="C213" s="58" t="n"/>
      <c r="D213" s="58" t="n"/>
      <c r="E213" s="59">
        <f>IF(N($AL213)&gt;0,INDEX(rIni_ADM,$AL213),"")</f>
        <v/>
      </c>
      <c r="F213" s="59">
        <f>IF(N($AL213)&gt;0,INDEX(rLim_ADM,$AL213),"")</f>
        <v/>
      </c>
      <c r="G213" s="59" t="n"/>
      <c r="H213" s="60" t="n"/>
      <c r="I213" s="60" t="n"/>
      <c r="J213" s="60" t="n"/>
      <c r="K213" s="60" t="n"/>
      <c r="L213" s="60" t="n"/>
      <c r="M213" s="61">
        <f>IF(NOT((COUNTA($B213:$D213)+COUNTA($G213:$L213)+COUNTA($Q213))&gt;0),"",IF($V213="Sub",IFERROR($X213/INDEX($W$5:$W$1000,$U213-4),""),IF(ISNUMBER($G213),1,IF(N($W213)&gt;0,AVERAGEIFS($X$5:$X$1000,$U$5:$U$1000,ROW(),$V$5:$V$1000,"Sub"),$X213))))</f>
        <v/>
      </c>
      <c r="N213" s="56">
        <f>IF(OR($M213="",$V213="Sub"),"",IF($M213&gt;=1,"Completado",IF($M213&gt;0,"En curso","Pendiente")))</f>
        <v/>
      </c>
      <c r="O213" s="56">
        <f>IF(OR(NOT((COUNTA($B213:$D213)+COUNTA($G213:$L213)+COUNTA($Q213))&gt;0),$V213="Sub"),"",IF(ISNUMBER($G213),IF(AND(ISNUMBER($AN213),$G213&gt;$AN213),"Cumplida con "&amp;($G213-$AN213)&amp;IF($G213-$AN213=1," día"," días")&amp;" de retraso","Cumplida"),IF(N($M213)&gt;=1,"Cumplida",IF(NOT(ISNUMBER($AN213)),"Sin fecha límite",IF($AN213&lt;FechaRef,"Vencida hace "&amp;(FechaRef-$AN213)&amp;IF(FechaRef-$AN213=1," día"," días"),IF($AN213=FechaRef,"Vence hoy",IF($AN213-FechaRef&lt;=DiasAlerta,"Vence en "&amp;($AN213-FechaRef)&amp;IF($AN213-FechaRef=1," día"," días"),"En plazo")))))))</f>
        <v/>
      </c>
      <c r="P213" s="62" t="n"/>
      <c r="Q213" s="58" t="n"/>
      <c r="R213" s="63">
        <f>IF(NOT((COUNTA($B213:$D213)+COUNTA($G213:$L213)+COUNTA($Q213))&gt;0),"",IF((IF($C213="","Falta el nombre de la actividad"&amp;" · ","")&amp;IF(AND($V213="Sub",N($U213)=0),"Subactividad sin macroactividad arriba"&amp;" · ","")&amp;IF($AM213="","Sin fecha de inicio"&amp;" · ","")&amp;IF($AN213="","Sin fecha límite"&amp;" · ","")&amp;IF(AND(LEFT($C213,11)="[Jefatura] ",N($AL213)=0),"No se encuentra en la hoja de la jefatura (elíjala de nuevo en la lista)"&amp;" · ","")&amp;IF(OR(AND($E213&lt;&gt;"",NOT(ISNUMBER($E213))),AND($F213&lt;&gt;"",NOT(ISNUMBER($F213))),AND($G213&lt;&gt;"",NOT(ISNUMBER($G213)))),"Fecha no válida"&amp;" · ","")&amp;IF(AND(ISNUMBER($AM213),ISNUMBER($AN213),$AM213&gt;$AN213),"Inicio posterior a fecha límite"&amp;" · ","")&amp;IF(AND($V213="Macro",$H213&lt;&gt;"",OR(NOT(ISNUMBER($H213)),$H213&lt;0,$H213&gt;1)),"Peso fuera de rango"&amp;" · ","")&amp;IF(AND($V213="Sub",$H213&lt;&gt;""),"Las subactividades no llevan peso (valen igual dentro de su macroactividad)"&amp;" · ","")&amp;IF(AND(N($W213)&gt;0,COUNT($I213:$L213)&gt;0),"Con subactividades: deje vacías las semanas (se calculan solas)"&amp;" · ","")&amp;IF((COUNTIF($I213:$L213,"&gt;1")+COUNTIF($I213:$L213,"&lt;0")+COUNTA($I213:$L213)-COUNT($I213:$L213))&gt;0,"Avance fuera de rango 0-100%"&amp;" · ","")&amp;IF(OR(AND($J213&lt;&gt;"",$J213&lt;$I213),AND($K213&lt;&gt;"",$K213&lt;MAX($I213:$J213)),AND($L213&lt;&gt;"",$L213&lt;MAX($I213:$K213))),"Avance semanal decreciente"&amp;" · ","")&amp;IF(AND(ISNUMBER($AN213),$AN213&lt;FechaRef,IF($V213="Sub",N($X213),N($M213))&lt;1),"Vencida"&amp;" · ","")&amp;IF(AND(ObsObligatoria="Sí",ISNUMBER($AN213),$AN213&lt;FechaRef,IF($V213="Sub",N($X213),N($M213))&lt;1,$Q213=""),"Vencida sin observación"&amp;" · ",""))="","✔ OK","⚠ "&amp;LEFT(IF($C213="","Falta el nombre de la actividad"&amp;" · ","")&amp;IF(AND($V213="Sub",N($U213)=0),"Subactividad sin macroactividad arriba"&amp;" · ","")&amp;IF($AM213="","Sin fecha de inicio"&amp;" · ","")&amp;IF($AN213="","Sin fecha límite"&amp;" · ","")&amp;IF(AND(LEFT($C213,11)="[Jefatura] ",N($AL213)=0),"No se encuentra en la hoja de la jefatura (elíjala de nuevo en la lista)"&amp;" · ","")&amp;IF(OR(AND($E213&lt;&gt;"",NOT(ISNUMBER($E213))),AND($F213&lt;&gt;"",NOT(ISNUMBER($F213))),AND($G213&lt;&gt;"",NOT(ISNUMBER($G213)))),"Fecha no válida"&amp;" · ","")&amp;IF(AND(ISNUMBER($AM213),ISNUMBER($AN213),$AM213&gt;$AN213),"Inicio posterior a fecha límite"&amp;" · ","")&amp;IF(AND($V213="Macro",$H213&lt;&gt;"",OR(NOT(ISNUMBER($H213)),$H213&lt;0,$H213&gt;1)),"Peso fuera de rango"&amp;" · ","")&amp;IF(AND($V213="Sub",$H213&lt;&gt;""),"Las subactividades no llevan peso (valen igual dentro de su macroactividad)"&amp;" · ","")&amp;IF(AND(N($W213)&gt;0,COUNT($I213:$L213)&gt;0),"Con subactividades: deje vacías las semanas (se calculan solas)"&amp;" · ","")&amp;IF((COUNTIF($I213:$L213,"&gt;1")+COUNTIF($I213:$L213,"&lt;0")+COUNTA($I213:$L213)-COUNT($I213:$L213))&gt;0,"Avance fuera de rango 0-100%"&amp;" · ","")&amp;IF(OR(AND($J213&lt;&gt;"",$J213&lt;$I213),AND($K213&lt;&gt;"",$K213&lt;MAX($I213:$J213)),AND($L213&lt;&gt;"",$L213&lt;MAX($I213:$K213))),"Avance semanal decreciente"&amp;" · ","")&amp;IF(AND(ISNUMBER($AN213),$AN213&lt;FechaRef,IF($V213="Sub",N($X213),N($M213))&lt;1),"Vencida"&amp;" · ","")&amp;IF(AND(ObsObligatoria="Sí",ISNUMBER($AN213),$AN213&lt;FechaRef,IF($V213="Sub",N($X213),N($M213))&lt;1,$Q213=""),"Vencida sin observación"&amp;" · ",""),LEN(IF($C213="","Falta el nombre de la actividad"&amp;" · ","")&amp;IF(AND($V213="Sub",N($U213)=0),"Subactividad sin macroactividad arriba"&amp;" · ","")&amp;IF($AM213="","Sin fecha de inicio"&amp;" · ","")&amp;IF($AN213="","Sin fecha límite"&amp;" · ","")&amp;IF(AND(LEFT($C213,11)="[Jefatura] ",N($AL213)=0),"No se encuentra en la hoja de la jefatura (elíjala de nuevo en la lista)"&amp;" · ","")&amp;IF(OR(AND($E213&lt;&gt;"",NOT(ISNUMBER($E213))),AND($F213&lt;&gt;"",NOT(ISNUMBER($F213))),AND($G213&lt;&gt;"",NOT(ISNUMBER($G213)))),"Fecha no válida"&amp;" · ","")&amp;IF(AND(ISNUMBER($AM213),ISNUMBER($AN213),$AM213&gt;$AN213),"Inicio posterior a fecha límite"&amp;" · ","")&amp;IF(AND($V213="Macro",$H213&lt;&gt;"",OR(NOT(ISNUMBER($H213)),$H213&lt;0,$H213&gt;1)),"Peso fuera de rango"&amp;" · ","")&amp;IF(AND($V213="Sub",$H213&lt;&gt;""),"Las subactividades no llevan peso (valen igual dentro de su macroactividad)"&amp;" · ","")&amp;IF(AND(N($W213)&gt;0,COUNT($I213:$L213)&gt;0),"Con subactividades: deje vacías las semanas (se calculan solas)"&amp;" · ","")&amp;IF((COUNTIF($I213:$L213,"&gt;1")+COUNTIF($I213:$L213,"&lt;0")+COUNTA($I213:$L213)-COUNT($I213:$L213))&gt;0,"Avance fuera de rango 0-100%"&amp;" · ","")&amp;IF(OR(AND($J213&lt;&gt;"",$J213&lt;$I213),AND($K213&lt;&gt;"",$K213&lt;MAX($I213:$J213)),AND($L213&lt;&gt;"",$L213&lt;MAX($I213:$K213))),"Avance semanal decreciente"&amp;" · ","")&amp;IF(AND(ISNUMBER($AN213),$AN213&lt;FechaRef,IF($V213="Sub",N($X213),N($M213))&lt;1),"Vencida"&amp;" · ","")&amp;IF(AND(ObsObligatoria="Sí",ISNUMBER($AN213),$AN213&lt;FechaRef,IF($V213="Sub",N($X213),N($M213))&lt;1,$Q213=""),"Vencida sin observación"&amp;" · ",""))-3)))</f>
        <v/>
      </c>
      <c r="S213" s="64">
        <f>IF(NOT((COUNTA($B213:$D213)+COUNTA($G213:$L213)+COUNTA($Q213))&gt;0),"",IF(AND($V213="Sub",N($U213)&gt;0),IF(ISNUMBER(INDEX($AM$5:$AM$1000,$U213-4)),DATE(YEAR(INDEX($AM$5:$AM$1000,$U213-4)),MONTH(INDEX($AM$5:$AM$1000,$U213-4)),1),IF(ISNUMBER(INDEX($AN$5:$AN$1000,$U213-4)),DATE(YEAR(INDEX($AN$5:$AN$1000,$U213-4)),MONTH(INDEX($AN$5:$AN$1000,$U213-4)),1),MesCiclo)),IF(ISNUMBER($AM213),DATE(YEAR($AM213),MONTH($AM213),1),IF(ISNUMBER($AN213),DATE(YEAR($AN213),MONTH($AN213),1),MesCiclo))))</f>
        <v/>
      </c>
      <c r="T213" s="62">
        <f>IF(OR($S213="",$S213&lt;&gt;MesCiclo,$V213&lt;&gt;"Macro"),"",COUNTIFS($S$5:$S213,MesCiclo,$V$5:$V213,"Macro"))</f>
        <v/>
      </c>
      <c r="U213" s="62">
        <f>IF($V213="","",IF($V213="Macro",ROW(),IFERROR(LOOKUP(2,1/($V$5:$V213="Macro"),ROW($V$5:$V213)),0)))</f>
        <v/>
      </c>
      <c r="V213" s="62">
        <f>IF(NOT((COUNTA($B213:$D213)+COUNTA($G213:$L213)+COUNTA($Q213))&gt;0),"",IF($B213="Subactividad","Sub","Macro"))</f>
        <v/>
      </c>
      <c r="W213" s="62">
        <f>IF($V213="Macro",COUNTIFS($U$5:$U$1000,ROW(),$V$5:$V$1000,"Sub"),"")</f>
        <v/>
      </c>
      <c r="X213" s="62">
        <f>IF($V213="","",IF(ISNUMBER($G213),1,IFERROR(LOOKUP(2,1/($I213:$L213&lt;&gt;""),$I213:$L213),0)))</f>
        <v/>
      </c>
      <c r="Y213" s="62">
        <f>IF($V213="","",IF(AND(ISNUMBER($G213),$G213&lt;=IF($S213=MesCiclo,InicioCiclo,$S213+MOD(2-WEEKDAY($S213),7))+6),1,IF(ISNUMBER($I213),$I213,0)))</f>
        <v/>
      </c>
      <c r="Z213" s="62">
        <f>IF($V213="","",IF(AND(ISNUMBER($G213),$G213&lt;=IF($S213=MesCiclo,InicioCiclo,$S213+MOD(2-WEEKDAY($S213),7))+13),1,IF(ISNUMBER($J213),$J213,$Y213)))</f>
        <v/>
      </c>
      <c r="AA213" s="62">
        <f>IF($V213="","",IF(AND(ISNUMBER($G213),$G213&lt;=IF($S213=MesCiclo,InicioCiclo,$S213+MOD(2-WEEKDAY($S213),7))+20),1,IF(ISNUMBER($K213),$K213,$Z213)))</f>
        <v/>
      </c>
      <c r="AB213" s="62">
        <f>IF($V213="","",IF(AND(ISNUMBER($G213),$G213&lt;=IF($S213=MesCiclo,InicioCiclo,$S213+MOD(2-WEEKDAY($S213),7))+27),1,IF(ISNUMBER($L213),$L213,$AA213)))</f>
        <v/>
      </c>
      <c r="AC213" s="62">
        <f>IF($V213="","",IF(AND(ISNUMBER($G213),$G213&lt;=IF($S213=MesCiclo,InicioCiclo,$S213+MOD(2-WEEKDAY($S213),7))+6),1,IF(N($W213)&gt;0,AVERAGEIFS($Y$5:$Y$1000,$U$5:$U$1000,ROW(),$V$5:$V$1000,"Sub"),$Y213)))</f>
        <v/>
      </c>
      <c r="AD213" s="62">
        <f>IF($V213="","",IF(AND(ISNUMBER($G213),$G213&lt;=IF($S213=MesCiclo,InicioCiclo,$S213+MOD(2-WEEKDAY($S213),7))+13),1,IF(N($W213)&gt;0,AVERAGEIFS($Z$5:$Z$1000,$U$5:$U$1000,ROW(),$V$5:$V$1000,"Sub"),$Z213)))</f>
        <v/>
      </c>
      <c r="AE213" s="62">
        <f>IF($V213="","",IF(AND(ISNUMBER($G213),$G213&lt;=IF($S213=MesCiclo,InicioCiclo,$S213+MOD(2-WEEKDAY($S213),7))+20),1,IF(N($W213)&gt;0,AVERAGEIFS($AA$5:$AA$1000,$U$5:$U$1000,ROW(),$V$5:$V$1000,"Sub"),$AA213)))</f>
        <v/>
      </c>
      <c r="AF213" s="62">
        <f>IF($V213="","",IF(AND(ISNUMBER($G213),$G213&lt;=IF($S213=MesCiclo,InicioCiclo,$S213+MOD(2-WEEKDAY($S213),7))+27),1,IF(N($W213)&gt;0,AVERAGEIFS($AB$5:$AB$1000,$U$5:$U$1000,ROW(),$V$5:$V$1000,"Sub"),$AB213)))</f>
        <v/>
      </c>
      <c r="AG213" s="62">
        <f>IF($V213&lt;&gt;"Macro","",IF(COUNTIFS($S$5:$S$1000,$S213,$V$5:$V$1000,"Macro",$H$5:$H$1000,"&gt;0")=0,1/COUNTIFS($S$5:$S$1000,$S213,$V$5:$V$1000,"Macro"),IF(AND(ISNUMBER($H213),N($H213)&gt;0),$H213,SUMIFS($H$5:$H$1000,$S$5:$S$1000,$S213,$V$5:$V$1000,"Macro")/COUNTIFS($S$5:$S$1000,$S213,$V$5:$V$1000,"Macro",$H$5:$H$1000,"&gt;0"))/(COUNTIFS($S$5:$S$1000,$S213,$V$5:$V$1000,"Macro")*SUMIFS($H$5:$H$1000,$S$5:$S$1000,$S213,$V$5:$V$1000,"Macro")/COUNTIFS($S$5:$S$1000,$S213,$V$5:$V$1000,"Macro",$H$5:$H$1000,"&gt;0"))))</f>
        <v/>
      </c>
      <c r="AH213" s="62" t="n"/>
      <c r="AI213" s="62" t="n"/>
      <c r="AJ213" s="62" t="n"/>
      <c r="AK213" s="62" t="n"/>
      <c r="AL213" s="62">
        <f>IF(LEFT($C213,11)="[Jefatura] ",IFERROR(MATCH("Riesgo Operacional|"&amp;MID($C213,12,500),rDname_ADM,0),0),"")</f>
        <v/>
      </c>
      <c r="AM213" s="62">
        <f>IF(N($AL213)&gt;0,INDEX(rIni_ADM,$AL213),IF(ISNUMBER($E213),$E213,""))</f>
        <v/>
      </c>
      <c r="AN213" s="62">
        <f>IF(N($AL213)&gt;0,INDEX(rLim_ADM,$AL213),IF(ISNUMBER($F213),$F213,""))</f>
        <v/>
      </c>
    </row>
    <row r="214">
      <c r="A214" s="56">
        <f>IF(NOT((COUNTA($B214:$D214)+COUNTA($G214:$L214)+COUNTA($Q214))&gt;0),"",IF($V214="Macro",COUNTIFS($V$5:$V214,"Macro",$S$5:$S214,$S214),IF(N($U214)=0,"?",COUNTIFS(INDEX($V$5:$V$1000,1):INDEX($V$5:$V$1000,$U214-4),"Macro",INDEX($S$5:$S$1000,1):INDEX($S$5:$S$1000,$U214-4),INDEX($S$5:$S$1000,$U214-4))&amp;"."&amp;COUNTIFS($U$5:$U214,$U214,$V$5:$V214,"Sub"))))</f>
        <v/>
      </c>
      <c r="B214" s="57" t="n"/>
      <c r="C214" s="58" t="n"/>
      <c r="D214" s="58" t="n"/>
      <c r="E214" s="59">
        <f>IF(N($AL214)&gt;0,INDEX(rIni_ADM,$AL214),"")</f>
        <v/>
      </c>
      <c r="F214" s="59">
        <f>IF(N($AL214)&gt;0,INDEX(rLim_ADM,$AL214),"")</f>
        <v/>
      </c>
      <c r="G214" s="59" t="n"/>
      <c r="H214" s="60" t="n"/>
      <c r="I214" s="60" t="n"/>
      <c r="J214" s="60" t="n"/>
      <c r="K214" s="60" t="n"/>
      <c r="L214" s="60" t="n"/>
      <c r="M214" s="61">
        <f>IF(NOT((COUNTA($B214:$D214)+COUNTA($G214:$L214)+COUNTA($Q214))&gt;0),"",IF($V214="Sub",IFERROR($X214/INDEX($W$5:$W$1000,$U214-4),""),IF(ISNUMBER($G214),1,IF(N($W214)&gt;0,AVERAGEIFS($X$5:$X$1000,$U$5:$U$1000,ROW(),$V$5:$V$1000,"Sub"),$X214))))</f>
        <v/>
      </c>
      <c r="N214" s="56">
        <f>IF(OR($M214="",$V214="Sub"),"",IF($M214&gt;=1,"Completado",IF($M214&gt;0,"En curso","Pendiente")))</f>
        <v/>
      </c>
      <c r="O214" s="56">
        <f>IF(OR(NOT((COUNTA($B214:$D214)+COUNTA($G214:$L214)+COUNTA($Q214))&gt;0),$V214="Sub"),"",IF(ISNUMBER($G214),IF(AND(ISNUMBER($AN214),$G214&gt;$AN214),"Cumplida con "&amp;($G214-$AN214)&amp;IF($G214-$AN214=1," día"," días")&amp;" de retraso","Cumplida"),IF(N($M214)&gt;=1,"Cumplida",IF(NOT(ISNUMBER($AN214)),"Sin fecha límite",IF($AN214&lt;FechaRef,"Vencida hace "&amp;(FechaRef-$AN214)&amp;IF(FechaRef-$AN214=1," día"," días"),IF($AN214=FechaRef,"Vence hoy",IF($AN214-FechaRef&lt;=DiasAlerta,"Vence en "&amp;($AN214-FechaRef)&amp;IF($AN214-FechaRef=1," día"," días"),"En plazo")))))))</f>
        <v/>
      </c>
      <c r="P214" s="62" t="n"/>
      <c r="Q214" s="58" t="n"/>
      <c r="R214" s="63">
        <f>IF(NOT((COUNTA($B214:$D214)+COUNTA($G214:$L214)+COUNTA($Q214))&gt;0),"",IF((IF($C214="","Falta el nombre de la actividad"&amp;" · ","")&amp;IF(AND($V214="Sub",N($U214)=0),"Subactividad sin macroactividad arriba"&amp;" · ","")&amp;IF($AM214="","Sin fecha de inicio"&amp;" · ","")&amp;IF($AN214="","Sin fecha límite"&amp;" · ","")&amp;IF(AND(LEFT($C214,11)="[Jefatura] ",N($AL214)=0),"No se encuentra en la hoja de la jefatura (elíjala de nuevo en la lista)"&amp;" · ","")&amp;IF(OR(AND($E214&lt;&gt;"",NOT(ISNUMBER($E214))),AND($F214&lt;&gt;"",NOT(ISNUMBER($F214))),AND($G214&lt;&gt;"",NOT(ISNUMBER($G214)))),"Fecha no válida"&amp;" · ","")&amp;IF(AND(ISNUMBER($AM214),ISNUMBER($AN214),$AM214&gt;$AN214),"Inicio posterior a fecha límite"&amp;" · ","")&amp;IF(AND($V214="Macro",$H214&lt;&gt;"",OR(NOT(ISNUMBER($H214)),$H214&lt;0,$H214&gt;1)),"Peso fuera de rango"&amp;" · ","")&amp;IF(AND($V214="Sub",$H214&lt;&gt;""),"Las subactividades no llevan peso (valen igual dentro de su macroactividad)"&amp;" · ","")&amp;IF(AND(N($W214)&gt;0,COUNT($I214:$L214)&gt;0),"Con subactividades: deje vacías las semanas (se calculan solas)"&amp;" · ","")&amp;IF((COUNTIF($I214:$L214,"&gt;1")+COUNTIF($I214:$L214,"&lt;0")+COUNTA($I214:$L214)-COUNT($I214:$L214))&gt;0,"Avance fuera de rango 0-100%"&amp;" · ","")&amp;IF(OR(AND($J214&lt;&gt;"",$J214&lt;$I214),AND($K214&lt;&gt;"",$K214&lt;MAX($I214:$J214)),AND($L214&lt;&gt;"",$L214&lt;MAX($I214:$K214))),"Avance semanal decreciente"&amp;" · ","")&amp;IF(AND(ISNUMBER($AN214),$AN214&lt;FechaRef,IF($V214="Sub",N($X214),N($M214))&lt;1),"Vencida"&amp;" · ","")&amp;IF(AND(ObsObligatoria="Sí",ISNUMBER($AN214),$AN214&lt;FechaRef,IF($V214="Sub",N($X214),N($M214))&lt;1,$Q214=""),"Vencida sin observación"&amp;" · ",""))="","✔ OK","⚠ "&amp;LEFT(IF($C214="","Falta el nombre de la actividad"&amp;" · ","")&amp;IF(AND($V214="Sub",N($U214)=0),"Subactividad sin macroactividad arriba"&amp;" · ","")&amp;IF($AM214="","Sin fecha de inicio"&amp;" · ","")&amp;IF($AN214="","Sin fecha límite"&amp;" · ","")&amp;IF(AND(LEFT($C214,11)="[Jefatura] ",N($AL214)=0),"No se encuentra en la hoja de la jefatura (elíjala de nuevo en la lista)"&amp;" · ","")&amp;IF(OR(AND($E214&lt;&gt;"",NOT(ISNUMBER($E214))),AND($F214&lt;&gt;"",NOT(ISNUMBER($F214))),AND($G214&lt;&gt;"",NOT(ISNUMBER($G214)))),"Fecha no válida"&amp;" · ","")&amp;IF(AND(ISNUMBER($AM214),ISNUMBER($AN214),$AM214&gt;$AN214),"Inicio posterior a fecha límite"&amp;" · ","")&amp;IF(AND($V214="Macro",$H214&lt;&gt;"",OR(NOT(ISNUMBER($H214)),$H214&lt;0,$H214&gt;1)),"Peso fuera de rango"&amp;" · ","")&amp;IF(AND($V214="Sub",$H214&lt;&gt;""),"Las subactividades no llevan peso (valen igual dentro de su macroactividad)"&amp;" · ","")&amp;IF(AND(N($W214)&gt;0,COUNT($I214:$L214)&gt;0),"Con subactividades: deje vacías las semanas (se calculan solas)"&amp;" · ","")&amp;IF((COUNTIF($I214:$L214,"&gt;1")+COUNTIF($I214:$L214,"&lt;0")+COUNTA($I214:$L214)-COUNT($I214:$L214))&gt;0,"Avance fuera de rango 0-100%"&amp;" · ","")&amp;IF(OR(AND($J214&lt;&gt;"",$J214&lt;$I214),AND($K214&lt;&gt;"",$K214&lt;MAX($I214:$J214)),AND($L214&lt;&gt;"",$L214&lt;MAX($I214:$K214))),"Avance semanal decreciente"&amp;" · ","")&amp;IF(AND(ISNUMBER($AN214),$AN214&lt;FechaRef,IF($V214="Sub",N($X214),N($M214))&lt;1),"Vencida"&amp;" · ","")&amp;IF(AND(ObsObligatoria="Sí",ISNUMBER($AN214),$AN214&lt;FechaRef,IF($V214="Sub",N($X214),N($M214))&lt;1,$Q214=""),"Vencida sin observación"&amp;" · ",""),LEN(IF($C214="","Falta el nombre de la actividad"&amp;" · ","")&amp;IF(AND($V214="Sub",N($U214)=0),"Subactividad sin macroactividad arriba"&amp;" · ","")&amp;IF($AM214="","Sin fecha de inicio"&amp;" · ","")&amp;IF($AN214="","Sin fecha límite"&amp;" · ","")&amp;IF(AND(LEFT($C214,11)="[Jefatura] ",N($AL214)=0),"No se encuentra en la hoja de la jefatura (elíjala de nuevo en la lista)"&amp;" · ","")&amp;IF(OR(AND($E214&lt;&gt;"",NOT(ISNUMBER($E214))),AND($F214&lt;&gt;"",NOT(ISNUMBER($F214))),AND($G214&lt;&gt;"",NOT(ISNUMBER($G214)))),"Fecha no válida"&amp;" · ","")&amp;IF(AND(ISNUMBER($AM214),ISNUMBER($AN214),$AM214&gt;$AN214),"Inicio posterior a fecha límite"&amp;" · ","")&amp;IF(AND($V214="Macro",$H214&lt;&gt;"",OR(NOT(ISNUMBER($H214)),$H214&lt;0,$H214&gt;1)),"Peso fuera de rango"&amp;" · ","")&amp;IF(AND($V214="Sub",$H214&lt;&gt;""),"Las subactividades no llevan peso (valen igual dentro de su macroactividad)"&amp;" · ","")&amp;IF(AND(N($W214)&gt;0,COUNT($I214:$L214)&gt;0),"Con subactividades: deje vacías las semanas (se calculan solas)"&amp;" · ","")&amp;IF((COUNTIF($I214:$L214,"&gt;1")+COUNTIF($I214:$L214,"&lt;0")+COUNTA($I214:$L214)-COUNT($I214:$L214))&gt;0,"Avance fuera de rango 0-100%"&amp;" · ","")&amp;IF(OR(AND($J214&lt;&gt;"",$J214&lt;$I214),AND($K214&lt;&gt;"",$K214&lt;MAX($I214:$J214)),AND($L214&lt;&gt;"",$L214&lt;MAX($I214:$K214))),"Avance semanal decreciente"&amp;" · ","")&amp;IF(AND(ISNUMBER($AN214),$AN214&lt;FechaRef,IF($V214="Sub",N($X214),N($M214))&lt;1),"Vencida"&amp;" · ","")&amp;IF(AND(ObsObligatoria="Sí",ISNUMBER($AN214),$AN214&lt;FechaRef,IF($V214="Sub",N($X214),N($M214))&lt;1,$Q214=""),"Vencida sin observación"&amp;" · ",""))-3)))</f>
        <v/>
      </c>
      <c r="S214" s="64">
        <f>IF(NOT((COUNTA($B214:$D214)+COUNTA($G214:$L214)+COUNTA($Q214))&gt;0),"",IF(AND($V214="Sub",N($U214)&gt;0),IF(ISNUMBER(INDEX($AM$5:$AM$1000,$U214-4)),DATE(YEAR(INDEX($AM$5:$AM$1000,$U214-4)),MONTH(INDEX($AM$5:$AM$1000,$U214-4)),1),IF(ISNUMBER(INDEX($AN$5:$AN$1000,$U214-4)),DATE(YEAR(INDEX($AN$5:$AN$1000,$U214-4)),MONTH(INDEX($AN$5:$AN$1000,$U214-4)),1),MesCiclo)),IF(ISNUMBER($AM214),DATE(YEAR($AM214),MONTH($AM214),1),IF(ISNUMBER($AN214),DATE(YEAR($AN214),MONTH($AN214),1),MesCiclo))))</f>
        <v/>
      </c>
      <c r="T214" s="62">
        <f>IF(OR($S214="",$S214&lt;&gt;MesCiclo,$V214&lt;&gt;"Macro"),"",COUNTIFS($S$5:$S214,MesCiclo,$V$5:$V214,"Macro"))</f>
        <v/>
      </c>
      <c r="U214" s="62">
        <f>IF($V214="","",IF($V214="Macro",ROW(),IFERROR(LOOKUP(2,1/($V$5:$V214="Macro"),ROW($V$5:$V214)),0)))</f>
        <v/>
      </c>
      <c r="V214" s="62">
        <f>IF(NOT((COUNTA($B214:$D214)+COUNTA($G214:$L214)+COUNTA($Q214))&gt;0),"",IF($B214="Subactividad","Sub","Macro"))</f>
        <v/>
      </c>
      <c r="W214" s="62">
        <f>IF($V214="Macro",COUNTIFS($U$5:$U$1000,ROW(),$V$5:$V$1000,"Sub"),"")</f>
        <v/>
      </c>
      <c r="X214" s="62">
        <f>IF($V214="","",IF(ISNUMBER($G214),1,IFERROR(LOOKUP(2,1/($I214:$L214&lt;&gt;""),$I214:$L214),0)))</f>
        <v/>
      </c>
      <c r="Y214" s="62">
        <f>IF($V214="","",IF(AND(ISNUMBER($G214),$G214&lt;=IF($S214=MesCiclo,InicioCiclo,$S214+MOD(2-WEEKDAY($S214),7))+6),1,IF(ISNUMBER($I214),$I214,0)))</f>
        <v/>
      </c>
      <c r="Z214" s="62">
        <f>IF($V214="","",IF(AND(ISNUMBER($G214),$G214&lt;=IF($S214=MesCiclo,InicioCiclo,$S214+MOD(2-WEEKDAY($S214),7))+13),1,IF(ISNUMBER($J214),$J214,$Y214)))</f>
        <v/>
      </c>
      <c r="AA214" s="62">
        <f>IF($V214="","",IF(AND(ISNUMBER($G214),$G214&lt;=IF($S214=MesCiclo,InicioCiclo,$S214+MOD(2-WEEKDAY($S214),7))+20),1,IF(ISNUMBER($K214),$K214,$Z214)))</f>
        <v/>
      </c>
      <c r="AB214" s="62">
        <f>IF($V214="","",IF(AND(ISNUMBER($G214),$G214&lt;=IF($S214=MesCiclo,InicioCiclo,$S214+MOD(2-WEEKDAY($S214),7))+27),1,IF(ISNUMBER($L214),$L214,$AA214)))</f>
        <v/>
      </c>
      <c r="AC214" s="62">
        <f>IF($V214="","",IF(AND(ISNUMBER($G214),$G214&lt;=IF($S214=MesCiclo,InicioCiclo,$S214+MOD(2-WEEKDAY($S214),7))+6),1,IF(N($W214)&gt;0,AVERAGEIFS($Y$5:$Y$1000,$U$5:$U$1000,ROW(),$V$5:$V$1000,"Sub"),$Y214)))</f>
        <v/>
      </c>
      <c r="AD214" s="62">
        <f>IF($V214="","",IF(AND(ISNUMBER($G214),$G214&lt;=IF($S214=MesCiclo,InicioCiclo,$S214+MOD(2-WEEKDAY($S214),7))+13),1,IF(N($W214)&gt;0,AVERAGEIFS($Z$5:$Z$1000,$U$5:$U$1000,ROW(),$V$5:$V$1000,"Sub"),$Z214)))</f>
        <v/>
      </c>
      <c r="AE214" s="62">
        <f>IF($V214="","",IF(AND(ISNUMBER($G214),$G214&lt;=IF($S214=MesCiclo,InicioCiclo,$S214+MOD(2-WEEKDAY($S214),7))+20),1,IF(N($W214)&gt;0,AVERAGEIFS($AA$5:$AA$1000,$U$5:$U$1000,ROW(),$V$5:$V$1000,"Sub"),$AA214)))</f>
        <v/>
      </c>
      <c r="AF214" s="62">
        <f>IF($V214="","",IF(AND(ISNUMBER($G214),$G214&lt;=IF($S214=MesCiclo,InicioCiclo,$S214+MOD(2-WEEKDAY($S214),7))+27),1,IF(N($W214)&gt;0,AVERAGEIFS($AB$5:$AB$1000,$U$5:$U$1000,ROW(),$V$5:$V$1000,"Sub"),$AB214)))</f>
        <v/>
      </c>
      <c r="AG214" s="62">
        <f>IF($V214&lt;&gt;"Macro","",IF(COUNTIFS($S$5:$S$1000,$S214,$V$5:$V$1000,"Macro",$H$5:$H$1000,"&gt;0")=0,1/COUNTIFS($S$5:$S$1000,$S214,$V$5:$V$1000,"Macro"),IF(AND(ISNUMBER($H214),N($H214)&gt;0),$H214,SUMIFS($H$5:$H$1000,$S$5:$S$1000,$S214,$V$5:$V$1000,"Macro")/COUNTIFS($S$5:$S$1000,$S214,$V$5:$V$1000,"Macro",$H$5:$H$1000,"&gt;0"))/(COUNTIFS($S$5:$S$1000,$S214,$V$5:$V$1000,"Macro")*SUMIFS($H$5:$H$1000,$S$5:$S$1000,$S214,$V$5:$V$1000,"Macro")/COUNTIFS($S$5:$S$1000,$S214,$V$5:$V$1000,"Macro",$H$5:$H$1000,"&gt;0"))))</f>
        <v/>
      </c>
      <c r="AH214" s="62" t="n"/>
      <c r="AI214" s="62" t="n"/>
      <c r="AJ214" s="62" t="n"/>
      <c r="AK214" s="62" t="n"/>
      <c r="AL214" s="62">
        <f>IF(LEFT($C214,11)="[Jefatura] ",IFERROR(MATCH("Riesgo Operacional|"&amp;MID($C214,12,500),rDname_ADM,0),0),"")</f>
        <v/>
      </c>
      <c r="AM214" s="62">
        <f>IF(N($AL214)&gt;0,INDEX(rIni_ADM,$AL214),IF(ISNUMBER($E214),$E214,""))</f>
        <v/>
      </c>
      <c r="AN214" s="62">
        <f>IF(N($AL214)&gt;0,INDEX(rLim_ADM,$AL214),IF(ISNUMBER($F214),$F214,""))</f>
        <v/>
      </c>
    </row>
    <row r="215">
      <c r="A215" s="56">
        <f>IF(NOT((COUNTA($B215:$D215)+COUNTA($G215:$L215)+COUNTA($Q215))&gt;0),"",IF($V215="Macro",COUNTIFS($V$5:$V215,"Macro",$S$5:$S215,$S215),IF(N($U215)=0,"?",COUNTIFS(INDEX($V$5:$V$1000,1):INDEX($V$5:$V$1000,$U215-4),"Macro",INDEX($S$5:$S$1000,1):INDEX($S$5:$S$1000,$U215-4),INDEX($S$5:$S$1000,$U215-4))&amp;"."&amp;COUNTIFS($U$5:$U215,$U215,$V$5:$V215,"Sub"))))</f>
        <v/>
      </c>
      <c r="B215" s="57" t="n"/>
      <c r="C215" s="58" t="n"/>
      <c r="D215" s="58" t="n"/>
      <c r="E215" s="59">
        <f>IF(N($AL215)&gt;0,INDEX(rIni_ADM,$AL215),"")</f>
        <v/>
      </c>
      <c r="F215" s="59">
        <f>IF(N($AL215)&gt;0,INDEX(rLim_ADM,$AL215),"")</f>
        <v/>
      </c>
      <c r="G215" s="59" t="n"/>
      <c r="H215" s="60" t="n"/>
      <c r="I215" s="60" t="n"/>
      <c r="J215" s="60" t="n"/>
      <c r="K215" s="60" t="n"/>
      <c r="L215" s="60" t="n"/>
      <c r="M215" s="61">
        <f>IF(NOT((COUNTA($B215:$D215)+COUNTA($G215:$L215)+COUNTA($Q215))&gt;0),"",IF($V215="Sub",IFERROR($X215/INDEX($W$5:$W$1000,$U215-4),""),IF(ISNUMBER($G215),1,IF(N($W215)&gt;0,AVERAGEIFS($X$5:$X$1000,$U$5:$U$1000,ROW(),$V$5:$V$1000,"Sub"),$X215))))</f>
        <v/>
      </c>
      <c r="N215" s="56">
        <f>IF(OR($M215="",$V215="Sub"),"",IF($M215&gt;=1,"Completado",IF($M215&gt;0,"En curso","Pendiente")))</f>
        <v/>
      </c>
      <c r="O215" s="56">
        <f>IF(OR(NOT((COUNTA($B215:$D215)+COUNTA($G215:$L215)+COUNTA($Q215))&gt;0),$V215="Sub"),"",IF(ISNUMBER($G215),IF(AND(ISNUMBER($AN215),$G215&gt;$AN215),"Cumplida con "&amp;($G215-$AN215)&amp;IF($G215-$AN215=1," día"," días")&amp;" de retraso","Cumplida"),IF(N($M215)&gt;=1,"Cumplida",IF(NOT(ISNUMBER($AN215)),"Sin fecha límite",IF($AN215&lt;FechaRef,"Vencida hace "&amp;(FechaRef-$AN215)&amp;IF(FechaRef-$AN215=1," día"," días"),IF($AN215=FechaRef,"Vence hoy",IF($AN215-FechaRef&lt;=DiasAlerta,"Vence en "&amp;($AN215-FechaRef)&amp;IF($AN215-FechaRef=1," día"," días"),"En plazo")))))))</f>
        <v/>
      </c>
      <c r="P215" s="62" t="n"/>
      <c r="Q215" s="58" t="n"/>
      <c r="R215" s="63">
        <f>IF(NOT((COUNTA($B215:$D215)+COUNTA($G215:$L215)+COUNTA($Q215))&gt;0),"",IF((IF($C215="","Falta el nombre de la actividad"&amp;" · ","")&amp;IF(AND($V215="Sub",N($U215)=0),"Subactividad sin macroactividad arriba"&amp;" · ","")&amp;IF($AM215="","Sin fecha de inicio"&amp;" · ","")&amp;IF($AN215="","Sin fecha límite"&amp;" · ","")&amp;IF(AND(LEFT($C215,11)="[Jefatura] ",N($AL215)=0),"No se encuentra en la hoja de la jefatura (elíjala de nuevo en la lista)"&amp;" · ","")&amp;IF(OR(AND($E215&lt;&gt;"",NOT(ISNUMBER($E215))),AND($F215&lt;&gt;"",NOT(ISNUMBER($F215))),AND($G215&lt;&gt;"",NOT(ISNUMBER($G215)))),"Fecha no válida"&amp;" · ","")&amp;IF(AND(ISNUMBER($AM215),ISNUMBER($AN215),$AM215&gt;$AN215),"Inicio posterior a fecha límite"&amp;" · ","")&amp;IF(AND($V215="Macro",$H215&lt;&gt;"",OR(NOT(ISNUMBER($H215)),$H215&lt;0,$H215&gt;1)),"Peso fuera de rango"&amp;" · ","")&amp;IF(AND($V215="Sub",$H215&lt;&gt;""),"Las subactividades no llevan peso (valen igual dentro de su macroactividad)"&amp;" · ","")&amp;IF(AND(N($W215)&gt;0,COUNT($I215:$L215)&gt;0),"Con subactividades: deje vacías las semanas (se calculan solas)"&amp;" · ","")&amp;IF((COUNTIF($I215:$L215,"&gt;1")+COUNTIF($I215:$L215,"&lt;0")+COUNTA($I215:$L215)-COUNT($I215:$L215))&gt;0,"Avance fuera de rango 0-100%"&amp;" · ","")&amp;IF(OR(AND($J215&lt;&gt;"",$J215&lt;$I215),AND($K215&lt;&gt;"",$K215&lt;MAX($I215:$J215)),AND($L215&lt;&gt;"",$L215&lt;MAX($I215:$K215))),"Avance semanal decreciente"&amp;" · ","")&amp;IF(AND(ISNUMBER($AN215),$AN215&lt;FechaRef,IF($V215="Sub",N($X215),N($M215))&lt;1),"Vencida"&amp;" · ","")&amp;IF(AND(ObsObligatoria="Sí",ISNUMBER($AN215),$AN215&lt;FechaRef,IF($V215="Sub",N($X215),N($M215))&lt;1,$Q215=""),"Vencida sin observación"&amp;" · ",""))="","✔ OK","⚠ "&amp;LEFT(IF($C215="","Falta el nombre de la actividad"&amp;" · ","")&amp;IF(AND($V215="Sub",N($U215)=0),"Subactividad sin macroactividad arriba"&amp;" · ","")&amp;IF($AM215="","Sin fecha de inicio"&amp;" · ","")&amp;IF($AN215="","Sin fecha límite"&amp;" · ","")&amp;IF(AND(LEFT($C215,11)="[Jefatura] ",N($AL215)=0),"No se encuentra en la hoja de la jefatura (elíjala de nuevo en la lista)"&amp;" · ","")&amp;IF(OR(AND($E215&lt;&gt;"",NOT(ISNUMBER($E215))),AND($F215&lt;&gt;"",NOT(ISNUMBER($F215))),AND($G215&lt;&gt;"",NOT(ISNUMBER($G215)))),"Fecha no válida"&amp;" · ","")&amp;IF(AND(ISNUMBER($AM215),ISNUMBER($AN215),$AM215&gt;$AN215),"Inicio posterior a fecha límite"&amp;" · ","")&amp;IF(AND($V215="Macro",$H215&lt;&gt;"",OR(NOT(ISNUMBER($H215)),$H215&lt;0,$H215&gt;1)),"Peso fuera de rango"&amp;" · ","")&amp;IF(AND($V215="Sub",$H215&lt;&gt;""),"Las subactividades no llevan peso (valen igual dentro de su macroactividad)"&amp;" · ","")&amp;IF(AND(N($W215)&gt;0,COUNT($I215:$L215)&gt;0),"Con subactividades: deje vacías las semanas (se calculan solas)"&amp;" · ","")&amp;IF((COUNTIF($I215:$L215,"&gt;1")+COUNTIF($I215:$L215,"&lt;0")+COUNTA($I215:$L215)-COUNT($I215:$L215))&gt;0,"Avance fuera de rango 0-100%"&amp;" · ","")&amp;IF(OR(AND($J215&lt;&gt;"",$J215&lt;$I215),AND($K215&lt;&gt;"",$K215&lt;MAX($I215:$J215)),AND($L215&lt;&gt;"",$L215&lt;MAX($I215:$K215))),"Avance semanal decreciente"&amp;" · ","")&amp;IF(AND(ISNUMBER($AN215),$AN215&lt;FechaRef,IF($V215="Sub",N($X215),N($M215))&lt;1),"Vencida"&amp;" · ","")&amp;IF(AND(ObsObligatoria="Sí",ISNUMBER($AN215),$AN215&lt;FechaRef,IF($V215="Sub",N($X215),N($M215))&lt;1,$Q215=""),"Vencida sin observación"&amp;" · ",""),LEN(IF($C215="","Falta el nombre de la actividad"&amp;" · ","")&amp;IF(AND($V215="Sub",N($U215)=0),"Subactividad sin macroactividad arriba"&amp;" · ","")&amp;IF($AM215="","Sin fecha de inicio"&amp;" · ","")&amp;IF($AN215="","Sin fecha límite"&amp;" · ","")&amp;IF(AND(LEFT($C215,11)="[Jefatura] ",N($AL215)=0),"No se encuentra en la hoja de la jefatura (elíjala de nuevo en la lista)"&amp;" · ","")&amp;IF(OR(AND($E215&lt;&gt;"",NOT(ISNUMBER($E215))),AND($F215&lt;&gt;"",NOT(ISNUMBER($F215))),AND($G215&lt;&gt;"",NOT(ISNUMBER($G215)))),"Fecha no válida"&amp;" · ","")&amp;IF(AND(ISNUMBER($AM215),ISNUMBER($AN215),$AM215&gt;$AN215),"Inicio posterior a fecha límite"&amp;" · ","")&amp;IF(AND($V215="Macro",$H215&lt;&gt;"",OR(NOT(ISNUMBER($H215)),$H215&lt;0,$H215&gt;1)),"Peso fuera de rango"&amp;" · ","")&amp;IF(AND($V215="Sub",$H215&lt;&gt;""),"Las subactividades no llevan peso (valen igual dentro de su macroactividad)"&amp;" · ","")&amp;IF(AND(N($W215)&gt;0,COUNT($I215:$L215)&gt;0),"Con subactividades: deje vacías las semanas (se calculan solas)"&amp;" · ","")&amp;IF((COUNTIF($I215:$L215,"&gt;1")+COUNTIF($I215:$L215,"&lt;0")+COUNTA($I215:$L215)-COUNT($I215:$L215))&gt;0,"Avance fuera de rango 0-100%"&amp;" · ","")&amp;IF(OR(AND($J215&lt;&gt;"",$J215&lt;$I215),AND($K215&lt;&gt;"",$K215&lt;MAX($I215:$J215)),AND($L215&lt;&gt;"",$L215&lt;MAX($I215:$K215))),"Avance semanal decreciente"&amp;" · ","")&amp;IF(AND(ISNUMBER($AN215),$AN215&lt;FechaRef,IF($V215="Sub",N($X215),N($M215))&lt;1),"Vencida"&amp;" · ","")&amp;IF(AND(ObsObligatoria="Sí",ISNUMBER($AN215),$AN215&lt;FechaRef,IF($V215="Sub",N($X215),N($M215))&lt;1,$Q215=""),"Vencida sin observación"&amp;" · ",""))-3)))</f>
        <v/>
      </c>
      <c r="S215" s="64">
        <f>IF(NOT((COUNTA($B215:$D215)+COUNTA($G215:$L215)+COUNTA($Q215))&gt;0),"",IF(AND($V215="Sub",N($U215)&gt;0),IF(ISNUMBER(INDEX($AM$5:$AM$1000,$U215-4)),DATE(YEAR(INDEX($AM$5:$AM$1000,$U215-4)),MONTH(INDEX($AM$5:$AM$1000,$U215-4)),1),IF(ISNUMBER(INDEX($AN$5:$AN$1000,$U215-4)),DATE(YEAR(INDEX($AN$5:$AN$1000,$U215-4)),MONTH(INDEX($AN$5:$AN$1000,$U215-4)),1),MesCiclo)),IF(ISNUMBER($AM215),DATE(YEAR($AM215),MONTH($AM215),1),IF(ISNUMBER($AN215),DATE(YEAR($AN215),MONTH($AN215),1),MesCiclo))))</f>
        <v/>
      </c>
      <c r="T215" s="62">
        <f>IF(OR($S215="",$S215&lt;&gt;MesCiclo,$V215&lt;&gt;"Macro"),"",COUNTIFS($S$5:$S215,MesCiclo,$V$5:$V215,"Macro"))</f>
        <v/>
      </c>
      <c r="U215" s="62">
        <f>IF($V215="","",IF($V215="Macro",ROW(),IFERROR(LOOKUP(2,1/($V$5:$V215="Macro"),ROW($V$5:$V215)),0)))</f>
        <v/>
      </c>
      <c r="V215" s="62">
        <f>IF(NOT((COUNTA($B215:$D215)+COUNTA($G215:$L215)+COUNTA($Q215))&gt;0),"",IF($B215="Subactividad","Sub","Macro"))</f>
        <v/>
      </c>
      <c r="W215" s="62">
        <f>IF($V215="Macro",COUNTIFS($U$5:$U$1000,ROW(),$V$5:$V$1000,"Sub"),"")</f>
        <v/>
      </c>
      <c r="X215" s="62">
        <f>IF($V215="","",IF(ISNUMBER($G215),1,IFERROR(LOOKUP(2,1/($I215:$L215&lt;&gt;""),$I215:$L215),0)))</f>
        <v/>
      </c>
      <c r="Y215" s="62">
        <f>IF($V215="","",IF(AND(ISNUMBER($G215),$G215&lt;=IF($S215=MesCiclo,InicioCiclo,$S215+MOD(2-WEEKDAY($S215),7))+6),1,IF(ISNUMBER($I215),$I215,0)))</f>
        <v/>
      </c>
      <c r="Z215" s="62">
        <f>IF($V215="","",IF(AND(ISNUMBER($G215),$G215&lt;=IF($S215=MesCiclo,InicioCiclo,$S215+MOD(2-WEEKDAY($S215),7))+13),1,IF(ISNUMBER($J215),$J215,$Y215)))</f>
        <v/>
      </c>
      <c r="AA215" s="62">
        <f>IF($V215="","",IF(AND(ISNUMBER($G215),$G215&lt;=IF($S215=MesCiclo,InicioCiclo,$S215+MOD(2-WEEKDAY($S215),7))+20),1,IF(ISNUMBER($K215),$K215,$Z215)))</f>
        <v/>
      </c>
      <c r="AB215" s="62">
        <f>IF($V215="","",IF(AND(ISNUMBER($G215),$G215&lt;=IF($S215=MesCiclo,InicioCiclo,$S215+MOD(2-WEEKDAY($S215),7))+27),1,IF(ISNUMBER($L215),$L215,$AA215)))</f>
        <v/>
      </c>
      <c r="AC215" s="62">
        <f>IF($V215="","",IF(AND(ISNUMBER($G215),$G215&lt;=IF($S215=MesCiclo,InicioCiclo,$S215+MOD(2-WEEKDAY($S215),7))+6),1,IF(N($W215)&gt;0,AVERAGEIFS($Y$5:$Y$1000,$U$5:$U$1000,ROW(),$V$5:$V$1000,"Sub"),$Y215)))</f>
        <v/>
      </c>
      <c r="AD215" s="62">
        <f>IF($V215="","",IF(AND(ISNUMBER($G215),$G215&lt;=IF($S215=MesCiclo,InicioCiclo,$S215+MOD(2-WEEKDAY($S215),7))+13),1,IF(N($W215)&gt;0,AVERAGEIFS($Z$5:$Z$1000,$U$5:$U$1000,ROW(),$V$5:$V$1000,"Sub"),$Z215)))</f>
        <v/>
      </c>
      <c r="AE215" s="62">
        <f>IF($V215="","",IF(AND(ISNUMBER($G215),$G215&lt;=IF($S215=MesCiclo,InicioCiclo,$S215+MOD(2-WEEKDAY($S215),7))+20),1,IF(N($W215)&gt;0,AVERAGEIFS($AA$5:$AA$1000,$U$5:$U$1000,ROW(),$V$5:$V$1000,"Sub"),$AA215)))</f>
        <v/>
      </c>
      <c r="AF215" s="62">
        <f>IF($V215="","",IF(AND(ISNUMBER($G215),$G215&lt;=IF($S215=MesCiclo,InicioCiclo,$S215+MOD(2-WEEKDAY($S215),7))+27),1,IF(N($W215)&gt;0,AVERAGEIFS($AB$5:$AB$1000,$U$5:$U$1000,ROW(),$V$5:$V$1000,"Sub"),$AB215)))</f>
        <v/>
      </c>
      <c r="AG215" s="62">
        <f>IF($V215&lt;&gt;"Macro","",IF(COUNTIFS($S$5:$S$1000,$S215,$V$5:$V$1000,"Macro",$H$5:$H$1000,"&gt;0")=0,1/COUNTIFS($S$5:$S$1000,$S215,$V$5:$V$1000,"Macro"),IF(AND(ISNUMBER($H215),N($H215)&gt;0),$H215,SUMIFS($H$5:$H$1000,$S$5:$S$1000,$S215,$V$5:$V$1000,"Macro")/COUNTIFS($S$5:$S$1000,$S215,$V$5:$V$1000,"Macro",$H$5:$H$1000,"&gt;0"))/(COUNTIFS($S$5:$S$1000,$S215,$V$5:$V$1000,"Macro")*SUMIFS($H$5:$H$1000,$S$5:$S$1000,$S215,$V$5:$V$1000,"Macro")/COUNTIFS($S$5:$S$1000,$S215,$V$5:$V$1000,"Macro",$H$5:$H$1000,"&gt;0"))))</f>
        <v/>
      </c>
      <c r="AH215" s="62" t="n"/>
      <c r="AI215" s="62" t="n"/>
      <c r="AJ215" s="62" t="n"/>
      <c r="AK215" s="62" t="n"/>
      <c r="AL215" s="62">
        <f>IF(LEFT($C215,11)="[Jefatura] ",IFERROR(MATCH("Riesgo Operacional|"&amp;MID($C215,12,500),rDname_ADM,0),0),"")</f>
        <v/>
      </c>
      <c r="AM215" s="62">
        <f>IF(N($AL215)&gt;0,INDEX(rIni_ADM,$AL215),IF(ISNUMBER($E215),$E215,""))</f>
        <v/>
      </c>
      <c r="AN215" s="62">
        <f>IF(N($AL215)&gt;0,INDEX(rLim_ADM,$AL215),IF(ISNUMBER($F215),$F215,""))</f>
        <v/>
      </c>
    </row>
    <row r="216">
      <c r="A216" s="56">
        <f>IF(NOT((COUNTA($B216:$D216)+COUNTA($G216:$L216)+COUNTA($Q216))&gt;0),"",IF($V216="Macro",COUNTIFS($V$5:$V216,"Macro",$S$5:$S216,$S216),IF(N($U216)=0,"?",COUNTIFS(INDEX($V$5:$V$1000,1):INDEX($V$5:$V$1000,$U216-4),"Macro",INDEX($S$5:$S$1000,1):INDEX($S$5:$S$1000,$U216-4),INDEX($S$5:$S$1000,$U216-4))&amp;"."&amp;COUNTIFS($U$5:$U216,$U216,$V$5:$V216,"Sub"))))</f>
        <v/>
      </c>
      <c r="B216" s="57" t="n"/>
      <c r="C216" s="58" t="n"/>
      <c r="D216" s="58" t="n"/>
      <c r="E216" s="59">
        <f>IF(N($AL216)&gt;0,INDEX(rIni_ADM,$AL216),"")</f>
        <v/>
      </c>
      <c r="F216" s="59">
        <f>IF(N($AL216)&gt;0,INDEX(rLim_ADM,$AL216),"")</f>
        <v/>
      </c>
      <c r="G216" s="59" t="n"/>
      <c r="H216" s="60" t="n"/>
      <c r="I216" s="60" t="n"/>
      <c r="J216" s="60" t="n"/>
      <c r="K216" s="60" t="n"/>
      <c r="L216" s="60" t="n"/>
      <c r="M216" s="61">
        <f>IF(NOT((COUNTA($B216:$D216)+COUNTA($G216:$L216)+COUNTA($Q216))&gt;0),"",IF($V216="Sub",IFERROR($X216/INDEX($W$5:$W$1000,$U216-4),""),IF(ISNUMBER($G216),1,IF(N($W216)&gt;0,AVERAGEIFS($X$5:$X$1000,$U$5:$U$1000,ROW(),$V$5:$V$1000,"Sub"),$X216))))</f>
        <v/>
      </c>
      <c r="N216" s="56">
        <f>IF(OR($M216="",$V216="Sub"),"",IF($M216&gt;=1,"Completado",IF($M216&gt;0,"En curso","Pendiente")))</f>
        <v/>
      </c>
      <c r="O216" s="56">
        <f>IF(OR(NOT((COUNTA($B216:$D216)+COUNTA($G216:$L216)+COUNTA($Q216))&gt;0),$V216="Sub"),"",IF(ISNUMBER($G216),IF(AND(ISNUMBER($AN216),$G216&gt;$AN216),"Cumplida con "&amp;($G216-$AN216)&amp;IF($G216-$AN216=1," día"," días")&amp;" de retraso","Cumplida"),IF(N($M216)&gt;=1,"Cumplida",IF(NOT(ISNUMBER($AN216)),"Sin fecha límite",IF($AN216&lt;FechaRef,"Vencida hace "&amp;(FechaRef-$AN216)&amp;IF(FechaRef-$AN216=1," día"," días"),IF($AN216=FechaRef,"Vence hoy",IF($AN216-FechaRef&lt;=DiasAlerta,"Vence en "&amp;($AN216-FechaRef)&amp;IF($AN216-FechaRef=1," día"," días"),"En plazo")))))))</f>
        <v/>
      </c>
      <c r="P216" s="62" t="n"/>
      <c r="Q216" s="58" t="n"/>
      <c r="R216" s="63">
        <f>IF(NOT((COUNTA($B216:$D216)+COUNTA($G216:$L216)+COUNTA($Q216))&gt;0),"",IF((IF($C216="","Falta el nombre de la actividad"&amp;" · ","")&amp;IF(AND($V216="Sub",N($U216)=0),"Subactividad sin macroactividad arriba"&amp;" · ","")&amp;IF($AM216="","Sin fecha de inicio"&amp;" · ","")&amp;IF($AN216="","Sin fecha límite"&amp;" · ","")&amp;IF(AND(LEFT($C216,11)="[Jefatura] ",N($AL216)=0),"No se encuentra en la hoja de la jefatura (elíjala de nuevo en la lista)"&amp;" · ","")&amp;IF(OR(AND($E216&lt;&gt;"",NOT(ISNUMBER($E216))),AND($F216&lt;&gt;"",NOT(ISNUMBER($F216))),AND($G216&lt;&gt;"",NOT(ISNUMBER($G216)))),"Fecha no válida"&amp;" · ","")&amp;IF(AND(ISNUMBER($AM216),ISNUMBER($AN216),$AM216&gt;$AN216),"Inicio posterior a fecha límite"&amp;" · ","")&amp;IF(AND($V216="Macro",$H216&lt;&gt;"",OR(NOT(ISNUMBER($H216)),$H216&lt;0,$H216&gt;1)),"Peso fuera de rango"&amp;" · ","")&amp;IF(AND($V216="Sub",$H216&lt;&gt;""),"Las subactividades no llevan peso (valen igual dentro de su macroactividad)"&amp;" · ","")&amp;IF(AND(N($W216)&gt;0,COUNT($I216:$L216)&gt;0),"Con subactividades: deje vacías las semanas (se calculan solas)"&amp;" · ","")&amp;IF((COUNTIF($I216:$L216,"&gt;1")+COUNTIF($I216:$L216,"&lt;0")+COUNTA($I216:$L216)-COUNT($I216:$L216))&gt;0,"Avance fuera de rango 0-100%"&amp;" · ","")&amp;IF(OR(AND($J216&lt;&gt;"",$J216&lt;$I216),AND($K216&lt;&gt;"",$K216&lt;MAX($I216:$J216)),AND($L216&lt;&gt;"",$L216&lt;MAX($I216:$K216))),"Avance semanal decreciente"&amp;" · ","")&amp;IF(AND(ISNUMBER($AN216),$AN216&lt;FechaRef,IF($V216="Sub",N($X216),N($M216))&lt;1),"Vencida"&amp;" · ","")&amp;IF(AND(ObsObligatoria="Sí",ISNUMBER($AN216),$AN216&lt;FechaRef,IF($V216="Sub",N($X216),N($M216))&lt;1,$Q216=""),"Vencida sin observación"&amp;" · ",""))="","✔ OK","⚠ "&amp;LEFT(IF($C216="","Falta el nombre de la actividad"&amp;" · ","")&amp;IF(AND($V216="Sub",N($U216)=0),"Subactividad sin macroactividad arriba"&amp;" · ","")&amp;IF($AM216="","Sin fecha de inicio"&amp;" · ","")&amp;IF($AN216="","Sin fecha límite"&amp;" · ","")&amp;IF(AND(LEFT($C216,11)="[Jefatura] ",N($AL216)=0),"No se encuentra en la hoja de la jefatura (elíjala de nuevo en la lista)"&amp;" · ","")&amp;IF(OR(AND($E216&lt;&gt;"",NOT(ISNUMBER($E216))),AND($F216&lt;&gt;"",NOT(ISNUMBER($F216))),AND($G216&lt;&gt;"",NOT(ISNUMBER($G216)))),"Fecha no válida"&amp;" · ","")&amp;IF(AND(ISNUMBER($AM216),ISNUMBER($AN216),$AM216&gt;$AN216),"Inicio posterior a fecha límite"&amp;" · ","")&amp;IF(AND($V216="Macro",$H216&lt;&gt;"",OR(NOT(ISNUMBER($H216)),$H216&lt;0,$H216&gt;1)),"Peso fuera de rango"&amp;" · ","")&amp;IF(AND($V216="Sub",$H216&lt;&gt;""),"Las subactividades no llevan peso (valen igual dentro de su macroactividad)"&amp;" · ","")&amp;IF(AND(N($W216)&gt;0,COUNT($I216:$L216)&gt;0),"Con subactividades: deje vacías las semanas (se calculan solas)"&amp;" · ","")&amp;IF((COUNTIF($I216:$L216,"&gt;1")+COUNTIF($I216:$L216,"&lt;0")+COUNTA($I216:$L216)-COUNT($I216:$L216))&gt;0,"Avance fuera de rango 0-100%"&amp;" · ","")&amp;IF(OR(AND($J216&lt;&gt;"",$J216&lt;$I216),AND($K216&lt;&gt;"",$K216&lt;MAX($I216:$J216)),AND($L216&lt;&gt;"",$L216&lt;MAX($I216:$K216))),"Avance semanal decreciente"&amp;" · ","")&amp;IF(AND(ISNUMBER($AN216),$AN216&lt;FechaRef,IF($V216="Sub",N($X216),N($M216))&lt;1),"Vencida"&amp;" · ","")&amp;IF(AND(ObsObligatoria="Sí",ISNUMBER($AN216),$AN216&lt;FechaRef,IF($V216="Sub",N($X216),N($M216))&lt;1,$Q216=""),"Vencida sin observación"&amp;" · ",""),LEN(IF($C216="","Falta el nombre de la actividad"&amp;" · ","")&amp;IF(AND($V216="Sub",N($U216)=0),"Subactividad sin macroactividad arriba"&amp;" · ","")&amp;IF($AM216="","Sin fecha de inicio"&amp;" · ","")&amp;IF($AN216="","Sin fecha límite"&amp;" · ","")&amp;IF(AND(LEFT($C216,11)="[Jefatura] ",N($AL216)=0),"No se encuentra en la hoja de la jefatura (elíjala de nuevo en la lista)"&amp;" · ","")&amp;IF(OR(AND($E216&lt;&gt;"",NOT(ISNUMBER($E216))),AND($F216&lt;&gt;"",NOT(ISNUMBER($F216))),AND($G216&lt;&gt;"",NOT(ISNUMBER($G216)))),"Fecha no válida"&amp;" · ","")&amp;IF(AND(ISNUMBER($AM216),ISNUMBER($AN216),$AM216&gt;$AN216),"Inicio posterior a fecha límite"&amp;" · ","")&amp;IF(AND($V216="Macro",$H216&lt;&gt;"",OR(NOT(ISNUMBER($H216)),$H216&lt;0,$H216&gt;1)),"Peso fuera de rango"&amp;" · ","")&amp;IF(AND($V216="Sub",$H216&lt;&gt;""),"Las subactividades no llevan peso (valen igual dentro de su macroactividad)"&amp;" · ","")&amp;IF(AND(N($W216)&gt;0,COUNT($I216:$L216)&gt;0),"Con subactividades: deje vacías las semanas (se calculan solas)"&amp;" · ","")&amp;IF((COUNTIF($I216:$L216,"&gt;1")+COUNTIF($I216:$L216,"&lt;0")+COUNTA($I216:$L216)-COUNT($I216:$L216))&gt;0,"Avance fuera de rango 0-100%"&amp;" · ","")&amp;IF(OR(AND($J216&lt;&gt;"",$J216&lt;$I216),AND($K216&lt;&gt;"",$K216&lt;MAX($I216:$J216)),AND($L216&lt;&gt;"",$L216&lt;MAX($I216:$K216))),"Avance semanal decreciente"&amp;" · ","")&amp;IF(AND(ISNUMBER($AN216),$AN216&lt;FechaRef,IF($V216="Sub",N($X216),N($M216))&lt;1),"Vencida"&amp;" · ","")&amp;IF(AND(ObsObligatoria="Sí",ISNUMBER($AN216),$AN216&lt;FechaRef,IF($V216="Sub",N($X216),N($M216))&lt;1,$Q216=""),"Vencida sin observación"&amp;" · ",""))-3)))</f>
        <v/>
      </c>
      <c r="S216" s="64">
        <f>IF(NOT((COUNTA($B216:$D216)+COUNTA($G216:$L216)+COUNTA($Q216))&gt;0),"",IF(AND($V216="Sub",N($U216)&gt;0),IF(ISNUMBER(INDEX($AM$5:$AM$1000,$U216-4)),DATE(YEAR(INDEX($AM$5:$AM$1000,$U216-4)),MONTH(INDEX($AM$5:$AM$1000,$U216-4)),1),IF(ISNUMBER(INDEX($AN$5:$AN$1000,$U216-4)),DATE(YEAR(INDEX($AN$5:$AN$1000,$U216-4)),MONTH(INDEX($AN$5:$AN$1000,$U216-4)),1),MesCiclo)),IF(ISNUMBER($AM216),DATE(YEAR($AM216),MONTH($AM216),1),IF(ISNUMBER($AN216),DATE(YEAR($AN216),MONTH($AN216),1),MesCiclo))))</f>
        <v/>
      </c>
      <c r="T216" s="62">
        <f>IF(OR($S216="",$S216&lt;&gt;MesCiclo,$V216&lt;&gt;"Macro"),"",COUNTIFS($S$5:$S216,MesCiclo,$V$5:$V216,"Macro"))</f>
        <v/>
      </c>
      <c r="U216" s="62">
        <f>IF($V216="","",IF($V216="Macro",ROW(),IFERROR(LOOKUP(2,1/($V$5:$V216="Macro"),ROW($V$5:$V216)),0)))</f>
        <v/>
      </c>
      <c r="V216" s="62">
        <f>IF(NOT((COUNTA($B216:$D216)+COUNTA($G216:$L216)+COUNTA($Q216))&gt;0),"",IF($B216="Subactividad","Sub","Macro"))</f>
        <v/>
      </c>
      <c r="W216" s="62">
        <f>IF($V216="Macro",COUNTIFS($U$5:$U$1000,ROW(),$V$5:$V$1000,"Sub"),"")</f>
        <v/>
      </c>
      <c r="X216" s="62">
        <f>IF($V216="","",IF(ISNUMBER($G216),1,IFERROR(LOOKUP(2,1/($I216:$L216&lt;&gt;""),$I216:$L216),0)))</f>
        <v/>
      </c>
      <c r="Y216" s="62">
        <f>IF($V216="","",IF(AND(ISNUMBER($G216),$G216&lt;=IF($S216=MesCiclo,InicioCiclo,$S216+MOD(2-WEEKDAY($S216),7))+6),1,IF(ISNUMBER($I216),$I216,0)))</f>
        <v/>
      </c>
      <c r="Z216" s="62">
        <f>IF($V216="","",IF(AND(ISNUMBER($G216),$G216&lt;=IF($S216=MesCiclo,InicioCiclo,$S216+MOD(2-WEEKDAY($S216),7))+13),1,IF(ISNUMBER($J216),$J216,$Y216)))</f>
        <v/>
      </c>
      <c r="AA216" s="62">
        <f>IF($V216="","",IF(AND(ISNUMBER($G216),$G216&lt;=IF($S216=MesCiclo,InicioCiclo,$S216+MOD(2-WEEKDAY($S216),7))+20),1,IF(ISNUMBER($K216),$K216,$Z216)))</f>
        <v/>
      </c>
      <c r="AB216" s="62">
        <f>IF($V216="","",IF(AND(ISNUMBER($G216),$G216&lt;=IF($S216=MesCiclo,InicioCiclo,$S216+MOD(2-WEEKDAY($S216),7))+27),1,IF(ISNUMBER($L216),$L216,$AA216)))</f>
        <v/>
      </c>
      <c r="AC216" s="62">
        <f>IF($V216="","",IF(AND(ISNUMBER($G216),$G216&lt;=IF($S216=MesCiclo,InicioCiclo,$S216+MOD(2-WEEKDAY($S216),7))+6),1,IF(N($W216)&gt;0,AVERAGEIFS($Y$5:$Y$1000,$U$5:$U$1000,ROW(),$V$5:$V$1000,"Sub"),$Y216)))</f>
        <v/>
      </c>
      <c r="AD216" s="62">
        <f>IF($V216="","",IF(AND(ISNUMBER($G216),$G216&lt;=IF($S216=MesCiclo,InicioCiclo,$S216+MOD(2-WEEKDAY($S216),7))+13),1,IF(N($W216)&gt;0,AVERAGEIFS($Z$5:$Z$1000,$U$5:$U$1000,ROW(),$V$5:$V$1000,"Sub"),$Z216)))</f>
        <v/>
      </c>
      <c r="AE216" s="62">
        <f>IF($V216="","",IF(AND(ISNUMBER($G216),$G216&lt;=IF($S216=MesCiclo,InicioCiclo,$S216+MOD(2-WEEKDAY($S216),7))+20),1,IF(N($W216)&gt;0,AVERAGEIFS($AA$5:$AA$1000,$U$5:$U$1000,ROW(),$V$5:$V$1000,"Sub"),$AA216)))</f>
        <v/>
      </c>
      <c r="AF216" s="62">
        <f>IF($V216="","",IF(AND(ISNUMBER($G216),$G216&lt;=IF($S216=MesCiclo,InicioCiclo,$S216+MOD(2-WEEKDAY($S216),7))+27),1,IF(N($W216)&gt;0,AVERAGEIFS($AB$5:$AB$1000,$U$5:$U$1000,ROW(),$V$5:$V$1000,"Sub"),$AB216)))</f>
        <v/>
      </c>
      <c r="AG216" s="62">
        <f>IF($V216&lt;&gt;"Macro","",IF(COUNTIFS($S$5:$S$1000,$S216,$V$5:$V$1000,"Macro",$H$5:$H$1000,"&gt;0")=0,1/COUNTIFS($S$5:$S$1000,$S216,$V$5:$V$1000,"Macro"),IF(AND(ISNUMBER($H216),N($H216)&gt;0),$H216,SUMIFS($H$5:$H$1000,$S$5:$S$1000,$S216,$V$5:$V$1000,"Macro")/COUNTIFS($S$5:$S$1000,$S216,$V$5:$V$1000,"Macro",$H$5:$H$1000,"&gt;0"))/(COUNTIFS($S$5:$S$1000,$S216,$V$5:$V$1000,"Macro")*SUMIFS($H$5:$H$1000,$S$5:$S$1000,$S216,$V$5:$V$1000,"Macro")/COUNTIFS($S$5:$S$1000,$S216,$V$5:$V$1000,"Macro",$H$5:$H$1000,"&gt;0"))))</f>
        <v/>
      </c>
      <c r="AH216" s="62" t="n"/>
      <c r="AI216" s="62" t="n"/>
      <c r="AJ216" s="62" t="n"/>
      <c r="AK216" s="62" t="n"/>
      <c r="AL216" s="62">
        <f>IF(LEFT($C216,11)="[Jefatura] ",IFERROR(MATCH("Riesgo Operacional|"&amp;MID($C216,12,500),rDname_ADM,0),0),"")</f>
        <v/>
      </c>
      <c r="AM216" s="62">
        <f>IF(N($AL216)&gt;0,INDEX(rIni_ADM,$AL216),IF(ISNUMBER($E216),$E216,""))</f>
        <v/>
      </c>
      <c r="AN216" s="62">
        <f>IF(N($AL216)&gt;0,INDEX(rLim_ADM,$AL216),IF(ISNUMBER($F216),$F216,""))</f>
        <v/>
      </c>
    </row>
    <row r="217">
      <c r="A217" s="56">
        <f>IF(NOT((COUNTA($B217:$D217)+COUNTA($G217:$L217)+COUNTA($Q217))&gt;0),"",IF($V217="Macro",COUNTIFS($V$5:$V217,"Macro",$S$5:$S217,$S217),IF(N($U217)=0,"?",COUNTIFS(INDEX($V$5:$V$1000,1):INDEX($V$5:$V$1000,$U217-4),"Macro",INDEX($S$5:$S$1000,1):INDEX($S$5:$S$1000,$U217-4),INDEX($S$5:$S$1000,$U217-4))&amp;"."&amp;COUNTIFS($U$5:$U217,$U217,$V$5:$V217,"Sub"))))</f>
        <v/>
      </c>
      <c r="B217" s="57" t="n"/>
      <c r="C217" s="58" t="n"/>
      <c r="D217" s="58" t="n"/>
      <c r="E217" s="59">
        <f>IF(N($AL217)&gt;0,INDEX(rIni_ADM,$AL217),"")</f>
        <v/>
      </c>
      <c r="F217" s="59">
        <f>IF(N($AL217)&gt;0,INDEX(rLim_ADM,$AL217),"")</f>
        <v/>
      </c>
      <c r="G217" s="59" t="n"/>
      <c r="H217" s="60" t="n"/>
      <c r="I217" s="60" t="n"/>
      <c r="J217" s="60" t="n"/>
      <c r="K217" s="60" t="n"/>
      <c r="L217" s="60" t="n"/>
      <c r="M217" s="61">
        <f>IF(NOT((COUNTA($B217:$D217)+COUNTA($G217:$L217)+COUNTA($Q217))&gt;0),"",IF($V217="Sub",IFERROR($X217/INDEX($W$5:$W$1000,$U217-4),""),IF(ISNUMBER($G217),1,IF(N($W217)&gt;0,AVERAGEIFS($X$5:$X$1000,$U$5:$U$1000,ROW(),$V$5:$V$1000,"Sub"),$X217))))</f>
        <v/>
      </c>
      <c r="N217" s="56">
        <f>IF(OR($M217="",$V217="Sub"),"",IF($M217&gt;=1,"Completado",IF($M217&gt;0,"En curso","Pendiente")))</f>
        <v/>
      </c>
      <c r="O217" s="56">
        <f>IF(OR(NOT((COUNTA($B217:$D217)+COUNTA($G217:$L217)+COUNTA($Q217))&gt;0),$V217="Sub"),"",IF(ISNUMBER($G217),IF(AND(ISNUMBER($AN217),$G217&gt;$AN217),"Cumplida con "&amp;($G217-$AN217)&amp;IF($G217-$AN217=1," día"," días")&amp;" de retraso","Cumplida"),IF(N($M217)&gt;=1,"Cumplida",IF(NOT(ISNUMBER($AN217)),"Sin fecha límite",IF($AN217&lt;FechaRef,"Vencida hace "&amp;(FechaRef-$AN217)&amp;IF(FechaRef-$AN217=1," día"," días"),IF($AN217=FechaRef,"Vence hoy",IF($AN217-FechaRef&lt;=DiasAlerta,"Vence en "&amp;($AN217-FechaRef)&amp;IF($AN217-FechaRef=1," día"," días"),"En plazo")))))))</f>
        <v/>
      </c>
      <c r="P217" s="62" t="n"/>
      <c r="Q217" s="58" t="n"/>
      <c r="R217" s="63">
        <f>IF(NOT((COUNTA($B217:$D217)+COUNTA($G217:$L217)+COUNTA($Q217))&gt;0),"",IF((IF($C217="","Falta el nombre de la actividad"&amp;" · ","")&amp;IF(AND($V217="Sub",N($U217)=0),"Subactividad sin macroactividad arriba"&amp;" · ","")&amp;IF($AM217="","Sin fecha de inicio"&amp;" · ","")&amp;IF($AN217="","Sin fecha límite"&amp;" · ","")&amp;IF(AND(LEFT($C217,11)="[Jefatura] ",N($AL217)=0),"No se encuentra en la hoja de la jefatura (elíjala de nuevo en la lista)"&amp;" · ","")&amp;IF(OR(AND($E217&lt;&gt;"",NOT(ISNUMBER($E217))),AND($F217&lt;&gt;"",NOT(ISNUMBER($F217))),AND($G217&lt;&gt;"",NOT(ISNUMBER($G217)))),"Fecha no válida"&amp;" · ","")&amp;IF(AND(ISNUMBER($AM217),ISNUMBER($AN217),$AM217&gt;$AN217),"Inicio posterior a fecha límite"&amp;" · ","")&amp;IF(AND($V217="Macro",$H217&lt;&gt;"",OR(NOT(ISNUMBER($H217)),$H217&lt;0,$H217&gt;1)),"Peso fuera de rango"&amp;" · ","")&amp;IF(AND($V217="Sub",$H217&lt;&gt;""),"Las subactividades no llevan peso (valen igual dentro de su macroactividad)"&amp;" · ","")&amp;IF(AND(N($W217)&gt;0,COUNT($I217:$L217)&gt;0),"Con subactividades: deje vacías las semanas (se calculan solas)"&amp;" · ","")&amp;IF((COUNTIF($I217:$L217,"&gt;1")+COUNTIF($I217:$L217,"&lt;0")+COUNTA($I217:$L217)-COUNT($I217:$L217))&gt;0,"Avance fuera de rango 0-100%"&amp;" · ","")&amp;IF(OR(AND($J217&lt;&gt;"",$J217&lt;$I217),AND($K217&lt;&gt;"",$K217&lt;MAX($I217:$J217)),AND($L217&lt;&gt;"",$L217&lt;MAX($I217:$K217))),"Avance semanal decreciente"&amp;" · ","")&amp;IF(AND(ISNUMBER($AN217),$AN217&lt;FechaRef,IF($V217="Sub",N($X217),N($M217))&lt;1),"Vencida"&amp;" · ","")&amp;IF(AND(ObsObligatoria="Sí",ISNUMBER($AN217),$AN217&lt;FechaRef,IF($V217="Sub",N($X217),N($M217))&lt;1,$Q217=""),"Vencida sin observación"&amp;" · ",""))="","✔ OK","⚠ "&amp;LEFT(IF($C217="","Falta el nombre de la actividad"&amp;" · ","")&amp;IF(AND($V217="Sub",N($U217)=0),"Subactividad sin macroactividad arriba"&amp;" · ","")&amp;IF($AM217="","Sin fecha de inicio"&amp;" · ","")&amp;IF($AN217="","Sin fecha límite"&amp;" · ","")&amp;IF(AND(LEFT($C217,11)="[Jefatura] ",N($AL217)=0),"No se encuentra en la hoja de la jefatura (elíjala de nuevo en la lista)"&amp;" · ","")&amp;IF(OR(AND($E217&lt;&gt;"",NOT(ISNUMBER($E217))),AND($F217&lt;&gt;"",NOT(ISNUMBER($F217))),AND($G217&lt;&gt;"",NOT(ISNUMBER($G217)))),"Fecha no válida"&amp;" · ","")&amp;IF(AND(ISNUMBER($AM217),ISNUMBER($AN217),$AM217&gt;$AN217),"Inicio posterior a fecha límite"&amp;" · ","")&amp;IF(AND($V217="Macro",$H217&lt;&gt;"",OR(NOT(ISNUMBER($H217)),$H217&lt;0,$H217&gt;1)),"Peso fuera de rango"&amp;" · ","")&amp;IF(AND($V217="Sub",$H217&lt;&gt;""),"Las subactividades no llevan peso (valen igual dentro de su macroactividad)"&amp;" · ","")&amp;IF(AND(N($W217)&gt;0,COUNT($I217:$L217)&gt;0),"Con subactividades: deje vacías las semanas (se calculan solas)"&amp;" · ","")&amp;IF((COUNTIF($I217:$L217,"&gt;1")+COUNTIF($I217:$L217,"&lt;0")+COUNTA($I217:$L217)-COUNT($I217:$L217))&gt;0,"Avance fuera de rango 0-100%"&amp;" · ","")&amp;IF(OR(AND($J217&lt;&gt;"",$J217&lt;$I217),AND($K217&lt;&gt;"",$K217&lt;MAX($I217:$J217)),AND($L217&lt;&gt;"",$L217&lt;MAX($I217:$K217))),"Avance semanal decreciente"&amp;" · ","")&amp;IF(AND(ISNUMBER($AN217),$AN217&lt;FechaRef,IF($V217="Sub",N($X217),N($M217))&lt;1),"Vencida"&amp;" · ","")&amp;IF(AND(ObsObligatoria="Sí",ISNUMBER($AN217),$AN217&lt;FechaRef,IF($V217="Sub",N($X217),N($M217))&lt;1,$Q217=""),"Vencida sin observación"&amp;" · ",""),LEN(IF($C217="","Falta el nombre de la actividad"&amp;" · ","")&amp;IF(AND($V217="Sub",N($U217)=0),"Subactividad sin macroactividad arriba"&amp;" · ","")&amp;IF($AM217="","Sin fecha de inicio"&amp;" · ","")&amp;IF($AN217="","Sin fecha límite"&amp;" · ","")&amp;IF(AND(LEFT($C217,11)="[Jefatura] ",N($AL217)=0),"No se encuentra en la hoja de la jefatura (elíjala de nuevo en la lista)"&amp;" · ","")&amp;IF(OR(AND($E217&lt;&gt;"",NOT(ISNUMBER($E217))),AND($F217&lt;&gt;"",NOT(ISNUMBER($F217))),AND($G217&lt;&gt;"",NOT(ISNUMBER($G217)))),"Fecha no válida"&amp;" · ","")&amp;IF(AND(ISNUMBER($AM217),ISNUMBER($AN217),$AM217&gt;$AN217),"Inicio posterior a fecha límite"&amp;" · ","")&amp;IF(AND($V217="Macro",$H217&lt;&gt;"",OR(NOT(ISNUMBER($H217)),$H217&lt;0,$H217&gt;1)),"Peso fuera de rango"&amp;" · ","")&amp;IF(AND($V217="Sub",$H217&lt;&gt;""),"Las subactividades no llevan peso (valen igual dentro de su macroactividad)"&amp;" · ","")&amp;IF(AND(N($W217)&gt;0,COUNT($I217:$L217)&gt;0),"Con subactividades: deje vacías las semanas (se calculan solas)"&amp;" · ","")&amp;IF((COUNTIF($I217:$L217,"&gt;1")+COUNTIF($I217:$L217,"&lt;0")+COUNTA($I217:$L217)-COUNT($I217:$L217))&gt;0,"Avance fuera de rango 0-100%"&amp;" · ","")&amp;IF(OR(AND($J217&lt;&gt;"",$J217&lt;$I217),AND($K217&lt;&gt;"",$K217&lt;MAX($I217:$J217)),AND($L217&lt;&gt;"",$L217&lt;MAX($I217:$K217))),"Avance semanal decreciente"&amp;" · ","")&amp;IF(AND(ISNUMBER($AN217),$AN217&lt;FechaRef,IF($V217="Sub",N($X217),N($M217))&lt;1),"Vencida"&amp;" · ","")&amp;IF(AND(ObsObligatoria="Sí",ISNUMBER($AN217),$AN217&lt;FechaRef,IF($V217="Sub",N($X217),N($M217))&lt;1,$Q217=""),"Vencida sin observación"&amp;" · ",""))-3)))</f>
        <v/>
      </c>
      <c r="S217" s="64">
        <f>IF(NOT((COUNTA($B217:$D217)+COUNTA($G217:$L217)+COUNTA($Q217))&gt;0),"",IF(AND($V217="Sub",N($U217)&gt;0),IF(ISNUMBER(INDEX($AM$5:$AM$1000,$U217-4)),DATE(YEAR(INDEX($AM$5:$AM$1000,$U217-4)),MONTH(INDEX($AM$5:$AM$1000,$U217-4)),1),IF(ISNUMBER(INDEX($AN$5:$AN$1000,$U217-4)),DATE(YEAR(INDEX($AN$5:$AN$1000,$U217-4)),MONTH(INDEX($AN$5:$AN$1000,$U217-4)),1),MesCiclo)),IF(ISNUMBER($AM217),DATE(YEAR($AM217),MONTH($AM217),1),IF(ISNUMBER($AN217),DATE(YEAR($AN217),MONTH($AN217),1),MesCiclo))))</f>
        <v/>
      </c>
      <c r="T217" s="62">
        <f>IF(OR($S217="",$S217&lt;&gt;MesCiclo,$V217&lt;&gt;"Macro"),"",COUNTIFS($S$5:$S217,MesCiclo,$V$5:$V217,"Macro"))</f>
        <v/>
      </c>
      <c r="U217" s="62">
        <f>IF($V217="","",IF($V217="Macro",ROW(),IFERROR(LOOKUP(2,1/($V$5:$V217="Macro"),ROW($V$5:$V217)),0)))</f>
        <v/>
      </c>
      <c r="V217" s="62">
        <f>IF(NOT((COUNTA($B217:$D217)+COUNTA($G217:$L217)+COUNTA($Q217))&gt;0),"",IF($B217="Subactividad","Sub","Macro"))</f>
        <v/>
      </c>
      <c r="W217" s="62">
        <f>IF($V217="Macro",COUNTIFS($U$5:$U$1000,ROW(),$V$5:$V$1000,"Sub"),"")</f>
        <v/>
      </c>
      <c r="X217" s="62">
        <f>IF($V217="","",IF(ISNUMBER($G217),1,IFERROR(LOOKUP(2,1/($I217:$L217&lt;&gt;""),$I217:$L217),0)))</f>
        <v/>
      </c>
      <c r="Y217" s="62">
        <f>IF($V217="","",IF(AND(ISNUMBER($G217),$G217&lt;=IF($S217=MesCiclo,InicioCiclo,$S217+MOD(2-WEEKDAY($S217),7))+6),1,IF(ISNUMBER($I217),$I217,0)))</f>
        <v/>
      </c>
      <c r="Z217" s="62">
        <f>IF($V217="","",IF(AND(ISNUMBER($G217),$G217&lt;=IF($S217=MesCiclo,InicioCiclo,$S217+MOD(2-WEEKDAY($S217),7))+13),1,IF(ISNUMBER($J217),$J217,$Y217)))</f>
        <v/>
      </c>
      <c r="AA217" s="62">
        <f>IF($V217="","",IF(AND(ISNUMBER($G217),$G217&lt;=IF($S217=MesCiclo,InicioCiclo,$S217+MOD(2-WEEKDAY($S217),7))+20),1,IF(ISNUMBER($K217),$K217,$Z217)))</f>
        <v/>
      </c>
      <c r="AB217" s="62">
        <f>IF($V217="","",IF(AND(ISNUMBER($G217),$G217&lt;=IF($S217=MesCiclo,InicioCiclo,$S217+MOD(2-WEEKDAY($S217),7))+27),1,IF(ISNUMBER($L217),$L217,$AA217)))</f>
        <v/>
      </c>
      <c r="AC217" s="62">
        <f>IF($V217="","",IF(AND(ISNUMBER($G217),$G217&lt;=IF($S217=MesCiclo,InicioCiclo,$S217+MOD(2-WEEKDAY($S217),7))+6),1,IF(N($W217)&gt;0,AVERAGEIFS($Y$5:$Y$1000,$U$5:$U$1000,ROW(),$V$5:$V$1000,"Sub"),$Y217)))</f>
        <v/>
      </c>
      <c r="AD217" s="62">
        <f>IF($V217="","",IF(AND(ISNUMBER($G217),$G217&lt;=IF($S217=MesCiclo,InicioCiclo,$S217+MOD(2-WEEKDAY($S217),7))+13),1,IF(N($W217)&gt;0,AVERAGEIFS($Z$5:$Z$1000,$U$5:$U$1000,ROW(),$V$5:$V$1000,"Sub"),$Z217)))</f>
        <v/>
      </c>
      <c r="AE217" s="62">
        <f>IF($V217="","",IF(AND(ISNUMBER($G217),$G217&lt;=IF($S217=MesCiclo,InicioCiclo,$S217+MOD(2-WEEKDAY($S217),7))+20),1,IF(N($W217)&gt;0,AVERAGEIFS($AA$5:$AA$1000,$U$5:$U$1000,ROW(),$V$5:$V$1000,"Sub"),$AA217)))</f>
        <v/>
      </c>
      <c r="AF217" s="62">
        <f>IF($V217="","",IF(AND(ISNUMBER($G217),$G217&lt;=IF($S217=MesCiclo,InicioCiclo,$S217+MOD(2-WEEKDAY($S217),7))+27),1,IF(N($W217)&gt;0,AVERAGEIFS($AB$5:$AB$1000,$U$5:$U$1000,ROW(),$V$5:$V$1000,"Sub"),$AB217)))</f>
        <v/>
      </c>
      <c r="AG217" s="62">
        <f>IF($V217&lt;&gt;"Macro","",IF(COUNTIFS($S$5:$S$1000,$S217,$V$5:$V$1000,"Macro",$H$5:$H$1000,"&gt;0")=0,1/COUNTIFS($S$5:$S$1000,$S217,$V$5:$V$1000,"Macro"),IF(AND(ISNUMBER($H217),N($H217)&gt;0),$H217,SUMIFS($H$5:$H$1000,$S$5:$S$1000,$S217,$V$5:$V$1000,"Macro")/COUNTIFS($S$5:$S$1000,$S217,$V$5:$V$1000,"Macro",$H$5:$H$1000,"&gt;0"))/(COUNTIFS($S$5:$S$1000,$S217,$V$5:$V$1000,"Macro")*SUMIFS($H$5:$H$1000,$S$5:$S$1000,$S217,$V$5:$V$1000,"Macro")/COUNTIFS($S$5:$S$1000,$S217,$V$5:$V$1000,"Macro",$H$5:$H$1000,"&gt;0"))))</f>
        <v/>
      </c>
      <c r="AH217" s="62" t="n"/>
      <c r="AI217" s="62" t="n"/>
      <c r="AJ217" s="62" t="n"/>
      <c r="AK217" s="62" t="n"/>
      <c r="AL217" s="62">
        <f>IF(LEFT($C217,11)="[Jefatura] ",IFERROR(MATCH("Riesgo Operacional|"&amp;MID($C217,12,500),rDname_ADM,0),0),"")</f>
        <v/>
      </c>
      <c r="AM217" s="62">
        <f>IF(N($AL217)&gt;0,INDEX(rIni_ADM,$AL217),IF(ISNUMBER($E217),$E217,""))</f>
        <v/>
      </c>
      <c r="AN217" s="62">
        <f>IF(N($AL217)&gt;0,INDEX(rLim_ADM,$AL217),IF(ISNUMBER($F217),$F217,""))</f>
        <v/>
      </c>
    </row>
    <row r="218">
      <c r="A218" s="56">
        <f>IF(NOT((COUNTA($B218:$D218)+COUNTA($G218:$L218)+COUNTA($Q218))&gt;0),"",IF($V218="Macro",COUNTIFS($V$5:$V218,"Macro",$S$5:$S218,$S218),IF(N($U218)=0,"?",COUNTIFS(INDEX($V$5:$V$1000,1):INDEX($V$5:$V$1000,$U218-4),"Macro",INDEX($S$5:$S$1000,1):INDEX($S$5:$S$1000,$U218-4),INDEX($S$5:$S$1000,$U218-4))&amp;"."&amp;COUNTIFS($U$5:$U218,$U218,$V$5:$V218,"Sub"))))</f>
        <v/>
      </c>
      <c r="B218" s="57" t="n"/>
      <c r="C218" s="58" t="n"/>
      <c r="D218" s="58" t="n"/>
      <c r="E218" s="59">
        <f>IF(N($AL218)&gt;0,INDEX(rIni_ADM,$AL218),"")</f>
        <v/>
      </c>
      <c r="F218" s="59">
        <f>IF(N($AL218)&gt;0,INDEX(rLim_ADM,$AL218),"")</f>
        <v/>
      </c>
      <c r="G218" s="59" t="n"/>
      <c r="H218" s="60" t="n"/>
      <c r="I218" s="60" t="n"/>
      <c r="J218" s="60" t="n"/>
      <c r="K218" s="60" t="n"/>
      <c r="L218" s="60" t="n"/>
      <c r="M218" s="61">
        <f>IF(NOT((COUNTA($B218:$D218)+COUNTA($G218:$L218)+COUNTA($Q218))&gt;0),"",IF($V218="Sub",IFERROR($X218/INDEX($W$5:$W$1000,$U218-4),""),IF(ISNUMBER($G218),1,IF(N($W218)&gt;0,AVERAGEIFS($X$5:$X$1000,$U$5:$U$1000,ROW(),$V$5:$V$1000,"Sub"),$X218))))</f>
        <v/>
      </c>
      <c r="N218" s="56">
        <f>IF(OR($M218="",$V218="Sub"),"",IF($M218&gt;=1,"Completado",IF($M218&gt;0,"En curso","Pendiente")))</f>
        <v/>
      </c>
      <c r="O218" s="56">
        <f>IF(OR(NOT((COUNTA($B218:$D218)+COUNTA($G218:$L218)+COUNTA($Q218))&gt;0),$V218="Sub"),"",IF(ISNUMBER($G218),IF(AND(ISNUMBER($AN218),$G218&gt;$AN218),"Cumplida con "&amp;($G218-$AN218)&amp;IF($G218-$AN218=1," día"," días")&amp;" de retraso","Cumplida"),IF(N($M218)&gt;=1,"Cumplida",IF(NOT(ISNUMBER($AN218)),"Sin fecha límite",IF($AN218&lt;FechaRef,"Vencida hace "&amp;(FechaRef-$AN218)&amp;IF(FechaRef-$AN218=1," día"," días"),IF($AN218=FechaRef,"Vence hoy",IF($AN218-FechaRef&lt;=DiasAlerta,"Vence en "&amp;($AN218-FechaRef)&amp;IF($AN218-FechaRef=1," día"," días"),"En plazo")))))))</f>
        <v/>
      </c>
      <c r="P218" s="62" t="n"/>
      <c r="Q218" s="58" t="n"/>
      <c r="R218" s="63">
        <f>IF(NOT((COUNTA($B218:$D218)+COUNTA($G218:$L218)+COUNTA($Q218))&gt;0),"",IF((IF($C218="","Falta el nombre de la actividad"&amp;" · ","")&amp;IF(AND($V218="Sub",N($U218)=0),"Subactividad sin macroactividad arriba"&amp;" · ","")&amp;IF($AM218="","Sin fecha de inicio"&amp;" · ","")&amp;IF($AN218="","Sin fecha límite"&amp;" · ","")&amp;IF(AND(LEFT($C218,11)="[Jefatura] ",N($AL218)=0),"No se encuentra en la hoja de la jefatura (elíjala de nuevo en la lista)"&amp;" · ","")&amp;IF(OR(AND($E218&lt;&gt;"",NOT(ISNUMBER($E218))),AND($F218&lt;&gt;"",NOT(ISNUMBER($F218))),AND($G218&lt;&gt;"",NOT(ISNUMBER($G218)))),"Fecha no válida"&amp;" · ","")&amp;IF(AND(ISNUMBER($AM218),ISNUMBER($AN218),$AM218&gt;$AN218),"Inicio posterior a fecha límite"&amp;" · ","")&amp;IF(AND($V218="Macro",$H218&lt;&gt;"",OR(NOT(ISNUMBER($H218)),$H218&lt;0,$H218&gt;1)),"Peso fuera de rango"&amp;" · ","")&amp;IF(AND($V218="Sub",$H218&lt;&gt;""),"Las subactividades no llevan peso (valen igual dentro de su macroactividad)"&amp;" · ","")&amp;IF(AND(N($W218)&gt;0,COUNT($I218:$L218)&gt;0),"Con subactividades: deje vacías las semanas (se calculan solas)"&amp;" · ","")&amp;IF((COUNTIF($I218:$L218,"&gt;1")+COUNTIF($I218:$L218,"&lt;0")+COUNTA($I218:$L218)-COUNT($I218:$L218))&gt;0,"Avance fuera de rango 0-100%"&amp;" · ","")&amp;IF(OR(AND($J218&lt;&gt;"",$J218&lt;$I218),AND($K218&lt;&gt;"",$K218&lt;MAX($I218:$J218)),AND($L218&lt;&gt;"",$L218&lt;MAX($I218:$K218))),"Avance semanal decreciente"&amp;" · ","")&amp;IF(AND(ISNUMBER($AN218),$AN218&lt;FechaRef,IF($V218="Sub",N($X218),N($M218))&lt;1),"Vencida"&amp;" · ","")&amp;IF(AND(ObsObligatoria="Sí",ISNUMBER($AN218),$AN218&lt;FechaRef,IF($V218="Sub",N($X218),N($M218))&lt;1,$Q218=""),"Vencida sin observación"&amp;" · ",""))="","✔ OK","⚠ "&amp;LEFT(IF($C218="","Falta el nombre de la actividad"&amp;" · ","")&amp;IF(AND($V218="Sub",N($U218)=0),"Subactividad sin macroactividad arriba"&amp;" · ","")&amp;IF($AM218="","Sin fecha de inicio"&amp;" · ","")&amp;IF($AN218="","Sin fecha límite"&amp;" · ","")&amp;IF(AND(LEFT($C218,11)="[Jefatura] ",N($AL218)=0),"No se encuentra en la hoja de la jefatura (elíjala de nuevo en la lista)"&amp;" · ","")&amp;IF(OR(AND($E218&lt;&gt;"",NOT(ISNUMBER($E218))),AND($F218&lt;&gt;"",NOT(ISNUMBER($F218))),AND($G218&lt;&gt;"",NOT(ISNUMBER($G218)))),"Fecha no válida"&amp;" · ","")&amp;IF(AND(ISNUMBER($AM218),ISNUMBER($AN218),$AM218&gt;$AN218),"Inicio posterior a fecha límite"&amp;" · ","")&amp;IF(AND($V218="Macro",$H218&lt;&gt;"",OR(NOT(ISNUMBER($H218)),$H218&lt;0,$H218&gt;1)),"Peso fuera de rango"&amp;" · ","")&amp;IF(AND($V218="Sub",$H218&lt;&gt;""),"Las subactividades no llevan peso (valen igual dentro de su macroactividad)"&amp;" · ","")&amp;IF(AND(N($W218)&gt;0,COUNT($I218:$L218)&gt;0),"Con subactividades: deje vacías las semanas (se calculan solas)"&amp;" · ","")&amp;IF((COUNTIF($I218:$L218,"&gt;1")+COUNTIF($I218:$L218,"&lt;0")+COUNTA($I218:$L218)-COUNT($I218:$L218))&gt;0,"Avance fuera de rango 0-100%"&amp;" · ","")&amp;IF(OR(AND($J218&lt;&gt;"",$J218&lt;$I218),AND($K218&lt;&gt;"",$K218&lt;MAX($I218:$J218)),AND($L218&lt;&gt;"",$L218&lt;MAX($I218:$K218))),"Avance semanal decreciente"&amp;" · ","")&amp;IF(AND(ISNUMBER($AN218),$AN218&lt;FechaRef,IF($V218="Sub",N($X218),N($M218))&lt;1),"Vencida"&amp;" · ","")&amp;IF(AND(ObsObligatoria="Sí",ISNUMBER($AN218),$AN218&lt;FechaRef,IF($V218="Sub",N($X218),N($M218))&lt;1,$Q218=""),"Vencida sin observación"&amp;" · ",""),LEN(IF($C218="","Falta el nombre de la actividad"&amp;" · ","")&amp;IF(AND($V218="Sub",N($U218)=0),"Subactividad sin macroactividad arriba"&amp;" · ","")&amp;IF($AM218="","Sin fecha de inicio"&amp;" · ","")&amp;IF($AN218="","Sin fecha límite"&amp;" · ","")&amp;IF(AND(LEFT($C218,11)="[Jefatura] ",N($AL218)=0),"No se encuentra en la hoja de la jefatura (elíjala de nuevo en la lista)"&amp;" · ","")&amp;IF(OR(AND($E218&lt;&gt;"",NOT(ISNUMBER($E218))),AND($F218&lt;&gt;"",NOT(ISNUMBER($F218))),AND($G218&lt;&gt;"",NOT(ISNUMBER($G218)))),"Fecha no válida"&amp;" · ","")&amp;IF(AND(ISNUMBER($AM218),ISNUMBER($AN218),$AM218&gt;$AN218),"Inicio posterior a fecha límite"&amp;" · ","")&amp;IF(AND($V218="Macro",$H218&lt;&gt;"",OR(NOT(ISNUMBER($H218)),$H218&lt;0,$H218&gt;1)),"Peso fuera de rango"&amp;" · ","")&amp;IF(AND($V218="Sub",$H218&lt;&gt;""),"Las subactividades no llevan peso (valen igual dentro de su macroactividad)"&amp;" · ","")&amp;IF(AND(N($W218)&gt;0,COUNT($I218:$L218)&gt;0),"Con subactividades: deje vacías las semanas (se calculan solas)"&amp;" · ","")&amp;IF((COUNTIF($I218:$L218,"&gt;1")+COUNTIF($I218:$L218,"&lt;0")+COUNTA($I218:$L218)-COUNT($I218:$L218))&gt;0,"Avance fuera de rango 0-100%"&amp;" · ","")&amp;IF(OR(AND($J218&lt;&gt;"",$J218&lt;$I218),AND($K218&lt;&gt;"",$K218&lt;MAX($I218:$J218)),AND($L218&lt;&gt;"",$L218&lt;MAX($I218:$K218))),"Avance semanal decreciente"&amp;" · ","")&amp;IF(AND(ISNUMBER($AN218),$AN218&lt;FechaRef,IF($V218="Sub",N($X218),N($M218))&lt;1),"Vencida"&amp;" · ","")&amp;IF(AND(ObsObligatoria="Sí",ISNUMBER($AN218),$AN218&lt;FechaRef,IF($V218="Sub",N($X218),N($M218))&lt;1,$Q218=""),"Vencida sin observación"&amp;" · ",""))-3)))</f>
        <v/>
      </c>
      <c r="S218" s="64">
        <f>IF(NOT((COUNTA($B218:$D218)+COUNTA($G218:$L218)+COUNTA($Q218))&gt;0),"",IF(AND($V218="Sub",N($U218)&gt;0),IF(ISNUMBER(INDEX($AM$5:$AM$1000,$U218-4)),DATE(YEAR(INDEX($AM$5:$AM$1000,$U218-4)),MONTH(INDEX($AM$5:$AM$1000,$U218-4)),1),IF(ISNUMBER(INDEX($AN$5:$AN$1000,$U218-4)),DATE(YEAR(INDEX($AN$5:$AN$1000,$U218-4)),MONTH(INDEX($AN$5:$AN$1000,$U218-4)),1),MesCiclo)),IF(ISNUMBER($AM218),DATE(YEAR($AM218),MONTH($AM218),1),IF(ISNUMBER($AN218),DATE(YEAR($AN218),MONTH($AN218),1),MesCiclo))))</f>
        <v/>
      </c>
      <c r="T218" s="62">
        <f>IF(OR($S218="",$S218&lt;&gt;MesCiclo,$V218&lt;&gt;"Macro"),"",COUNTIFS($S$5:$S218,MesCiclo,$V$5:$V218,"Macro"))</f>
        <v/>
      </c>
      <c r="U218" s="62">
        <f>IF($V218="","",IF($V218="Macro",ROW(),IFERROR(LOOKUP(2,1/($V$5:$V218="Macro"),ROW($V$5:$V218)),0)))</f>
        <v/>
      </c>
      <c r="V218" s="62">
        <f>IF(NOT((COUNTA($B218:$D218)+COUNTA($G218:$L218)+COUNTA($Q218))&gt;0),"",IF($B218="Subactividad","Sub","Macro"))</f>
        <v/>
      </c>
      <c r="W218" s="62">
        <f>IF($V218="Macro",COUNTIFS($U$5:$U$1000,ROW(),$V$5:$V$1000,"Sub"),"")</f>
        <v/>
      </c>
      <c r="X218" s="62">
        <f>IF($V218="","",IF(ISNUMBER($G218),1,IFERROR(LOOKUP(2,1/($I218:$L218&lt;&gt;""),$I218:$L218),0)))</f>
        <v/>
      </c>
      <c r="Y218" s="62">
        <f>IF($V218="","",IF(AND(ISNUMBER($G218),$G218&lt;=IF($S218=MesCiclo,InicioCiclo,$S218+MOD(2-WEEKDAY($S218),7))+6),1,IF(ISNUMBER($I218),$I218,0)))</f>
        <v/>
      </c>
      <c r="Z218" s="62">
        <f>IF($V218="","",IF(AND(ISNUMBER($G218),$G218&lt;=IF($S218=MesCiclo,InicioCiclo,$S218+MOD(2-WEEKDAY($S218),7))+13),1,IF(ISNUMBER($J218),$J218,$Y218)))</f>
        <v/>
      </c>
      <c r="AA218" s="62">
        <f>IF($V218="","",IF(AND(ISNUMBER($G218),$G218&lt;=IF($S218=MesCiclo,InicioCiclo,$S218+MOD(2-WEEKDAY($S218),7))+20),1,IF(ISNUMBER($K218),$K218,$Z218)))</f>
        <v/>
      </c>
      <c r="AB218" s="62">
        <f>IF($V218="","",IF(AND(ISNUMBER($G218),$G218&lt;=IF($S218=MesCiclo,InicioCiclo,$S218+MOD(2-WEEKDAY($S218),7))+27),1,IF(ISNUMBER($L218),$L218,$AA218)))</f>
        <v/>
      </c>
      <c r="AC218" s="62">
        <f>IF($V218="","",IF(AND(ISNUMBER($G218),$G218&lt;=IF($S218=MesCiclo,InicioCiclo,$S218+MOD(2-WEEKDAY($S218),7))+6),1,IF(N($W218)&gt;0,AVERAGEIFS($Y$5:$Y$1000,$U$5:$U$1000,ROW(),$V$5:$V$1000,"Sub"),$Y218)))</f>
        <v/>
      </c>
      <c r="AD218" s="62">
        <f>IF($V218="","",IF(AND(ISNUMBER($G218),$G218&lt;=IF($S218=MesCiclo,InicioCiclo,$S218+MOD(2-WEEKDAY($S218),7))+13),1,IF(N($W218)&gt;0,AVERAGEIFS($Z$5:$Z$1000,$U$5:$U$1000,ROW(),$V$5:$V$1000,"Sub"),$Z218)))</f>
        <v/>
      </c>
      <c r="AE218" s="62">
        <f>IF($V218="","",IF(AND(ISNUMBER($G218),$G218&lt;=IF($S218=MesCiclo,InicioCiclo,$S218+MOD(2-WEEKDAY($S218),7))+20),1,IF(N($W218)&gt;0,AVERAGEIFS($AA$5:$AA$1000,$U$5:$U$1000,ROW(),$V$5:$V$1000,"Sub"),$AA218)))</f>
        <v/>
      </c>
      <c r="AF218" s="62">
        <f>IF($V218="","",IF(AND(ISNUMBER($G218),$G218&lt;=IF($S218=MesCiclo,InicioCiclo,$S218+MOD(2-WEEKDAY($S218),7))+27),1,IF(N($W218)&gt;0,AVERAGEIFS($AB$5:$AB$1000,$U$5:$U$1000,ROW(),$V$5:$V$1000,"Sub"),$AB218)))</f>
        <v/>
      </c>
      <c r="AG218" s="62">
        <f>IF($V218&lt;&gt;"Macro","",IF(COUNTIFS($S$5:$S$1000,$S218,$V$5:$V$1000,"Macro",$H$5:$H$1000,"&gt;0")=0,1/COUNTIFS($S$5:$S$1000,$S218,$V$5:$V$1000,"Macro"),IF(AND(ISNUMBER($H218),N($H218)&gt;0),$H218,SUMIFS($H$5:$H$1000,$S$5:$S$1000,$S218,$V$5:$V$1000,"Macro")/COUNTIFS($S$5:$S$1000,$S218,$V$5:$V$1000,"Macro",$H$5:$H$1000,"&gt;0"))/(COUNTIFS($S$5:$S$1000,$S218,$V$5:$V$1000,"Macro")*SUMIFS($H$5:$H$1000,$S$5:$S$1000,$S218,$V$5:$V$1000,"Macro")/COUNTIFS($S$5:$S$1000,$S218,$V$5:$V$1000,"Macro",$H$5:$H$1000,"&gt;0"))))</f>
        <v/>
      </c>
      <c r="AH218" s="62" t="n"/>
      <c r="AI218" s="62" t="n"/>
      <c r="AJ218" s="62" t="n"/>
      <c r="AK218" s="62" t="n"/>
      <c r="AL218" s="62">
        <f>IF(LEFT($C218,11)="[Jefatura] ",IFERROR(MATCH("Riesgo Operacional|"&amp;MID($C218,12,500),rDname_ADM,0),0),"")</f>
        <v/>
      </c>
      <c r="AM218" s="62">
        <f>IF(N($AL218)&gt;0,INDEX(rIni_ADM,$AL218),IF(ISNUMBER($E218),$E218,""))</f>
        <v/>
      </c>
      <c r="AN218" s="62">
        <f>IF(N($AL218)&gt;0,INDEX(rLim_ADM,$AL218),IF(ISNUMBER($F218),$F218,""))</f>
        <v/>
      </c>
    </row>
    <row r="219">
      <c r="A219" s="56">
        <f>IF(NOT((COUNTA($B219:$D219)+COUNTA($G219:$L219)+COUNTA($Q219))&gt;0),"",IF($V219="Macro",COUNTIFS($V$5:$V219,"Macro",$S$5:$S219,$S219),IF(N($U219)=0,"?",COUNTIFS(INDEX($V$5:$V$1000,1):INDEX($V$5:$V$1000,$U219-4),"Macro",INDEX($S$5:$S$1000,1):INDEX($S$5:$S$1000,$U219-4),INDEX($S$5:$S$1000,$U219-4))&amp;"."&amp;COUNTIFS($U$5:$U219,$U219,$V$5:$V219,"Sub"))))</f>
        <v/>
      </c>
      <c r="B219" s="57" t="n"/>
      <c r="C219" s="58" t="n"/>
      <c r="D219" s="58" t="n"/>
      <c r="E219" s="59">
        <f>IF(N($AL219)&gt;0,INDEX(rIni_ADM,$AL219),"")</f>
        <v/>
      </c>
      <c r="F219" s="59">
        <f>IF(N($AL219)&gt;0,INDEX(rLim_ADM,$AL219),"")</f>
        <v/>
      </c>
      <c r="G219" s="59" t="n"/>
      <c r="H219" s="60" t="n"/>
      <c r="I219" s="60" t="n"/>
      <c r="J219" s="60" t="n"/>
      <c r="K219" s="60" t="n"/>
      <c r="L219" s="60" t="n"/>
      <c r="M219" s="61">
        <f>IF(NOT((COUNTA($B219:$D219)+COUNTA($G219:$L219)+COUNTA($Q219))&gt;0),"",IF($V219="Sub",IFERROR($X219/INDEX($W$5:$W$1000,$U219-4),""),IF(ISNUMBER($G219),1,IF(N($W219)&gt;0,AVERAGEIFS($X$5:$X$1000,$U$5:$U$1000,ROW(),$V$5:$V$1000,"Sub"),$X219))))</f>
        <v/>
      </c>
      <c r="N219" s="56">
        <f>IF(OR($M219="",$V219="Sub"),"",IF($M219&gt;=1,"Completado",IF($M219&gt;0,"En curso","Pendiente")))</f>
        <v/>
      </c>
      <c r="O219" s="56">
        <f>IF(OR(NOT((COUNTA($B219:$D219)+COUNTA($G219:$L219)+COUNTA($Q219))&gt;0),$V219="Sub"),"",IF(ISNUMBER($G219),IF(AND(ISNUMBER($AN219),$G219&gt;$AN219),"Cumplida con "&amp;($G219-$AN219)&amp;IF($G219-$AN219=1," día"," días")&amp;" de retraso","Cumplida"),IF(N($M219)&gt;=1,"Cumplida",IF(NOT(ISNUMBER($AN219)),"Sin fecha límite",IF($AN219&lt;FechaRef,"Vencida hace "&amp;(FechaRef-$AN219)&amp;IF(FechaRef-$AN219=1," día"," días"),IF($AN219=FechaRef,"Vence hoy",IF($AN219-FechaRef&lt;=DiasAlerta,"Vence en "&amp;($AN219-FechaRef)&amp;IF($AN219-FechaRef=1," día"," días"),"En plazo")))))))</f>
        <v/>
      </c>
      <c r="P219" s="62" t="n"/>
      <c r="Q219" s="58" t="n"/>
      <c r="R219" s="63">
        <f>IF(NOT((COUNTA($B219:$D219)+COUNTA($G219:$L219)+COUNTA($Q219))&gt;0),"",IF((IF($C219="","Falta el nombre de la actividad"&amp;" · ","")&amp;IF(AND($V219="Sub",N($U219)=0),"Subactividad sin macroactividad arriba"&amp;" · ","")&amp;IF($AM219="","Sin fecha de inicio"&amp;" · ","")&amp;IF($AN219="","Sin fecha límite"&amp;" · ","")&amp;IF(AND(LEFT($C219,11)="[Jefatura] ",N($AL219)=0),"No se encuentra en la hoja de la jefatura (elíjala de nuevo en la lista)"&amp;" · ","")&amp;IF(OR(AND($E219&lt;&gt;"",NOT(ISNUMBER($E219))),AND($F219&lt;&gt;"",NOT(ISNUMBER($F219))),AND($G219&lt;&gt;"",NOT(ISNUMBER($G219)))),"Fecha no válida"&amp;" · ","")&amp;IF(AND(ISNUMBER($AM219),ISNUMBER($AN219),$AM219&gt;$AN219),"Inicio posterior a fecha límite"&amp;" · ","")&amp;IF(AND($V219="Macro",$H219&lt;&gt;"",OR(NOT(ISNUMBER($H219)),$H219&lt;0,$H219&gt;1)),"Peso fuera de rango"&amp;" · ","")&amp;IF(AND($V219="Sub",$H219&lt;&gt;""),"Las subactividades no llevan peso (valen igual dentro de su macroactividad)"&amp;" · ","")&amp;IF(AND(N($W219)&gt;0,COUNT($I219:$L219)&gt;0),"Con subactividades: deje vacías las semanas (se calculan solas)"&amp;" · ","")&amp;IF((COUNTIF($I219:$L219,"&gt;1")+COUNTIF($I219:$L219,"&lt;0")+COUNTA($I219:$L219)-COUNT($I219:$L219))&gt;0,"Avance fuera de rango 0-100%"&amp;" · ","")&amp;IF(OR(AND($J219&lt;&gt;"",$J219&lt;$I219),AND($K219&lt;&gt;"",$K219&lt;MAX($I219:$J219)),AND($L219&lt;&gt;"",$L219&lt;MAX($I219:$K219))),"Avance semanal decreciente"&amp;" · ","")&amp;IF(AND(ISNUMBER($AN219),$AN219&lt;FechaRef,IF($V219="Sub",N($X219),N($M219))&lt;1),"Vencida"&amp;" · ","")&amp;IF(AND(ObsObligatoria="Sí",ISNUMBER($AN219),$AN219&lt;FechaRef,IF($V219="Sub",N($X219),N($M219))&lt;1,$Q219=""),"Vencida sin observación"&amp;" · ",""))="","✔ OK","⚠ "&amp;LEFT(IF($C219="","Falta el nombre de la actividad"&amp;" · ","")&amp;IF(AND($V219="Sub",N($U219)=0),"Subactividad sin macroactividad arriba"&amp;" · ","")&amp;IF($AM219="","Sin fecha de inicio"&amp;" · ","")&amp;IF($AN219="","Sin fecha límite"&amp;" · ","")&amp;IF(AND(LEFT($C219,11)="[Jefatura] ",N($AL219)=0),"No se encuentra en la hoja de la jefatura (elíjala de nuevo en la lista)"&amp;" · ","")&amp;IF(OR(AND($E219&lt;&gt;"",NOT(ISNUMBER($E219))),AND($F219&lt;&gt;"",NOT(ISNUMBER($F219))),AND($G219&lt;&gt;"",NOT(ISNUMBER($G219)))),"Fecha no válida"&amp;" · ","")&amp;IF(AND(ISNUMBER($AM219),ISNUMBER($AN219),$AM219&gt;$AN219),"Inicio posterior a fecha límite"&amp;" · ","")&amp;IF(AND($V219="Macro",$H219&lt;&gt;"",OR(NOT(ISNUMBER($H219)),$H219&lt;0,$H219&gt;1)),"Peso fuera de rango"&amp;" · ","")&amp;IF(AND($V219="Sub",$H219&lt;&gt;""),"Las subactividades no llevan peso (valen igual dentro de su macroactividad)"&amp;" · ","")&amp;IF(AND(N($W219)&gt;0,COUNT($I219:$L219)&gt;0),"Con subactividades: deje vacías las semanas (se calculan solas)"&amp;" · ","")&amp;IF((COUNTIF($I219:$L219,"&gt;1")+COUNTIF($I219:$L219,"&lt;0")+COUNTA($I219:$L219)-COUNT($I219:$L219))&gt;0,"Avance fuera de rango 0-100%"&amp;" · ","")&amp;IF(OR(AND($J219&lt;&gt;"",$J219&lt;$I219),AND($K219&lt;&gt;"",$K219&lt;MAX($I219:$J219)),AND($L219&lt;&gt;"",$L219&lt;MAX($I219:$K219))),"Avance semanal decreciente"&amp;" · ","")&amp;IF(AND(ISNUMBER($AN219),$AN219&lt;FechaRef,IF($V219="Sub",N($X219),N($M219))&lt;1),"Vencida"&amp;" · ","")&amp;IF(AND(ObsObligatoria="Sí",ISNUMBER($AN219),$AN219&lt;FechaRef,IF($V219="Sub",N($X219),N($M219))&lt;1,$Q219=""),"Vencida sin observación"&amp;" · ",""),LEN(IF($C219="","Falta el nombre de la actividad"&amp;" · ","")&amp;IF(AND($V219="Sub",N($U219)=0),"Subactividad sin macroactividad arriba"&amp;" · ","")&amp;IF($AM219="","Sin fecha de inicio"&amp;" · ","")&amp;IF($AN219="","Sin fecha límite"&amp;" · ","")&amp;IF(AND(LEFT($C219,11)="[Jefatura] ",N($AL219)=0),"No se encuentra en la hoja de la jefatura (elíjala de nuevo en la lista)"&amp;" · ","")&amp;IF(OR(AND($E219&lt;&gt;"",NOT(ISNUMBER($E219))),AND($F219&lt;&gt;"",NOT(ISNUMBER($F219))),AND($G219&lt;&gt;"",NOT(ISNUMBER($G219)))),"Fecha no válida"&amp;" · ","")&amp;IF(AND(ISNUMBER($AM219),ISNUMBER($AN219),$AM219&gt;$AN219),"Inicio posterior a fecha límite"&amp;" · ","")&amp;IF(AND($V219="Macro",$H219&lt;&gt;"",OR(NOT(ISNUMBER($H219)),$H219&lt;0,$H219&gt;1)),"Peso fuera de rango"&amp;" · ","")&amp;IF(AND($V219="Sub",$H219&lt;&gt;""),"Las subactividades no llevan peso (valen igual dentro de su macroactividad)"&amp;" · ","")&amp;IF(AND(N($W219)&gt;0,COUNT($I219:$L219)&gt;0),"Con subactividades: deje vacías las semanas (se calculan solas)"&amp;" · ","")&amp;IF((COUNTIF($I219:$L219,"&gt;1")+COUNTIF($I219:$L219,"&lt;0")+COUNTA($I219:$L219)-COUNT($I219:$L219))&gt;0,"Avance fuera de rango 0-100%"&amp;" · ","")&amp;IF(OR(AND($J219&lt;&gt;"",$J219&lt;$I219),AND($K219&lt;&gt;"",$K219&lt;MAX($I219:$J219)),AND($L219&lt;&gt;"",$L219&lt;MAX($I219:$K219))),"Avance semanal decreciente"&amp;" · ","")&amp;IF(AND(ISNUMBER($AN219),$AN219&lt;FechaRef,IF($V219="Sub",N($X219),N($M219))&lt;1),"Vencida"&amp;" · ","")&amp;IF(AND(ObsObligatoria="Sí",ISNUMBER($AN219),$AN219&lt;FechaRef,IF($V219="Sub",N($X219),N($M219))&lt;1,$Q219=""),"Vencida sin observación"&amp;" · ",""))-3)))</f>
        <v/>
      </c>
      <c r="S219" s="64">
        <f>IF(NOT((COUNTA($B219:$D219)+COUNTA($G219:$L219)+COUNTA($Q219))&gt;0),"",IF(AND($V219="Sub",N($U219)&gt;0),IF(ISNUMBER(INDEX($AM$5:$AM$1000,$U219-4)),DATE(YEAR(INDEX($AM$5:$AM$1000,$U219-4)),MONTH(INDEX($AM$5:$AM$1000,$U219-4)),1),IF(ISNUMBER(INDEX($AN$5:$AN$1000,$U219-4)),DATE(YEAR(INDEX($AN$5:$AN$1000,$U219-4)),MONTH(INDEX($AN$5:$AN$1000,$U219-4)),1),MesCiclo)),IF(ISNUMBER($AM219),DATE(YEAR($AM219),MONTH($AM219),1),IF(ISNUMBER($AN219),DATE(YEAR($AN219),MONTH($AN219),1),MesCiclo))))</f>
        <v/>
      </c>
      <c r="T219" s="62">
        <f>IF(OR($S219="",$S219&lt;&gt;MesCiclo,$V219&lt;&gt;"Macro"),"",COUNTIFS($S$5:$S219,MesCiclo,$V$5:$V219,"Macro"))</f>
        <v/>
      </c>
      <c r="U219" s="62">
        <f>IF($V219="","",IF($V219="Macro",ROW(),IFERROR(LOOKUP(2,1/($V$5:$V219="Macro"),ROW($V$5:$V219)),0)))</f>
        <v/>
      </c>
      <c r="V219" s="62">
        <f>IF(NOT((COUNTA($B219:$D219)+COUNTA($G219:$L219)+COUNTA($Q219))&gt;0),"",IF($B219="Subactividad","Sub","Macro"))</f>
        <v/>
      </c>
      <c r="W219" s="62">
        <f>IF($V219="Macro",COUNTIFS($U$5:$U$1000,ROW(),$V$5:$V$1000,"Sub"),"")</f>
        <v/>
      </c>
      <c r="X219" s="62">
        <f>IF($V219="","",IF(ISNUMBER($G219),1,IFERROR(LOOKUP(2,1/($I219:$L219&lt;&gt;""),$I219:$L219),0)))</f>
        <v/>
      </c>
      <c r="Y219" s="62">
        <f>IF($V219="","",IF(AND(ISNUMBER($G219),$G219&lt;=IF($S219=MesCiclo,InicioCiclo,$S219+MOD(2-WEEKDAY($S219),7))+6),1,IF(ISNUMBER($I219),$I219,0)))</f>
        <v/>
      </c>
      <c r="Z219" s="62">
        <f>IF($V219="","",IF(AND(ISNUMBER($G219),$G219&lt;=IF($S219=MesCiclo,InicioCiclo,$S219+MOD(2-WEEKDAY($S219),7))+13),1,IF(ISNUMBER($J219),$J219,$Y219)))</f>
        <v/>
      </c>
      <c r="AA219" s="62">
        <f>IF($V219="","",IF(AND(ISNUMBER($G219),$G219&lt;=IF($S219=MesCiclo,InicioCiclo,$S219+MOD(2-WEEKDAY($S219),7))+20),1,IF(ISNUMBER($K219),$K219,$Z219)))</f>
        <v/>
      </c>
      <c r="AB219" s="62">
        <f>IF($V219="","",IF(AND(ISNUMBER($G219),$G219&lt;=IF($S219=MesCiclo,InicioCiclo,$S219+MOD(2-WEEKDAY($S219),7))+27),1,IF(ISNUMBER($L219),$L219,$AA219)))</f>
        <v/>
      </c>
      <c r="AC219" s="62">
        <f>IF($V219="","",IF(AND(ISNUMBER($G219),$G219&lt;=IF($S219=MesCiclo,InicioCiclo,$S219+MOD(2-WEEKDAY($S219),7))+6),1,IF(N($W219)&gt;0,AVERAGEIFS($Y$5:$Y$1000,$U$5:$U$1000,ROW(),$V$5:$V$1000,"Sub"),$Y219)))</f>
        <v/>
      </c>
      <c r="AD219" s="62">
        <f>IF($V219="","",IF(AND(ISNUMBER($G219),$G219&lt;=IF($S219=MesCiclo,InicioCiclo,$S219+MOD(2-WEEKDAY($S219),7))+13),1,IF(N($W219)&gt;0,AVERAGEIFS($Z$5:$Z$1000,$U$5:$U$1000,ROW(),$V$5:$V$1000,"Sub"),$Z219)))</f>
        <v/>
      </c>
      <c r="AE219" s="62">
        <f>IF($V219="","",IF(AND(ISNUMBER($G219),$G219&lt;=IF($S219=MesCiclo,InicioCiclo,$S219+MOD(2-WEEKDAY($S219),7))+20),1,IF(N($W219)&gt;0,AVERAGEIFS($AA$5:$AA$1000,$U$5:$U$1000,ROW(),$V$5:$V$1000,"Sub"),$AA219)))</f>
        <v/>
      </c>
      <c r="AF219" s="62">
        <f>IF($V219="","",IF(AND(ISNUMBER($G219),$G219&lt;=IF($S219=MesCiclo,InicioCiclo,$S219+MOD(2-WEEKDAY($S219),7))+27),1,IF(N($W219)&gt;0,AVERAGEIFS($AB$5:$AB$1000,$U$5:$U$1000,ROW(),$V$5:$V$1000,"Sub"),$AB219)))</f>
        <v/>
      </c>
      <c r="AG219" s="62">
        <f>IF($V219&lt;&gt;"Macro","",IF(COUNTIFS($S$5:$S$1000,$S219,$V$5:$V$1000,"Macro",$H$5:$H$1000,"&gt;0")=0,1/COUNTIFS($S$5:$S$1000,$S219,$V$5:$V$1000,"Macro"),IF(AND(ISNUMBER($H219),N($H219)&gt;0),$H219,SUMIFS($H$5:$H$1000,$S$5:$S$1000,$S219,$V$5:$V$1000,"Macro")/COUNTIFS($S$5:$S$1000,$S219,$V$5:$V$1000,"Macro",$H$5:$H$1000,"&gt;0"))/(COUNTIFS($S$5:$S$1000,$S219,$V$5:$V$1000,"Macro")*SUMIFS($H$5:$H$1000,$S$5:$S$1000,$S219,$V$5:$V$1000,"Macro")/COUNTIFS($S$5:$S$1000,$S219,$V$5:$V$1000,"Macro",$H$5:$H$1000,"&gt;0"))))</f>
        <v/>
      </c>
      <c r="AH219" s="62" t="n"/>
      <c r="AI219" s="62" t="n"/>
      <c r="AJ219" s="62" t="n"/>
      <c r="AK219" s="62" t="n"/>
      <c r="AL219" s="62">
        <f>IF(LEFT($C219,11)="[Jefatura] ",IFERROR(MATCH("Riesgo Operacional|"&amp;MID($C219,12,500),rDname_ADM,0),0),"")</f>
        <v/>
      </c>
      <c r="AM219" s="62">
        <f>IF(N($AL219)&gt;0,INDEX(rIni_ADM,$AL219),IF(ISNUMBER($E219),$E219,""))</f>
        <v/>
      </c>
      <c r="AN219" s="62">
        <f>IF(N($AL219)&gt;0,INDEX(rLim_ADM,$AL219),IF(ISNUMBER($F219),$F219,""))</f>
        <v/>
      </c>
    </row>
    <row r="220">
      <c r="A220" s="56">
        <f>IF(NOT((COUNTA($B220:$D220)+COUNTA($G220:$L220)+COUNTA($Q220))&gt;0),"",IF($V220="Macro",COUNTIFS($V$5:$V220,"Macro",$S$5:$S220,$S220),IF(N($U220)=0,"?",COUNTIFS(INDEX($V$5:$V$1000,1):INDEX($V$5:$V$1000,$U220-4),"Macro",INDEX($S$5:$S$1000,1):INDEX($S$5:$S$1000,$U220-4),INDEX($S$5:$S$1000,$U220-4))&amp;"."&amp;COUNTIFS($U$5:$U220,$U220,$V$5:$V220,"Sub"))))</f>
        <v/>
      </c>
      <c r="B220" s="57" t="n"/>
      <c r="C220" s="58" t="n"/>
      <c r="D220" s="58" t="n"/>
      <c r="E220" s="59">
        <f>IF(N($AL220)&gt;0,INDEX(rIni_ADM,$AL220),"")</f>
        <v/>
      </c>
      <c r="F220" s="59">
        <f>IF(N($AL220)&gt;0,INDEX(rLim_ADM,$AL220),"")</f>
        <v/>
      </c>
      <c r="G220" s="59" t="n"/>
      <c r="H220" s="60" t="n"/>
      <c r="I220" s="60" t="n"/>
      <c r="J220" s="60" t="n"/>
      <c r="K220" s="60" t="n"/>
      <c r="L220" s="60" t="n"/>
      <c r="M220" s="61">
        <f>IF(NOT((COUNTA($B220:$D220)+COUNTA($G220:$L220)+COUNTA($Q220))&gt;0),"",IF($V220="Sub",IFERROR($X220/INDEX($W$5:$W$1000,$U220-4),""),IF(ISNUMBER($G220),1,IF(N($W220)&gt;0,AVERAGEIFS($X$5:$X$1000,$U$5:$U$1000,ROW(),$V$5:$V$1000,"Sub"),$X220))))</f>
        <v/>
      </c>
      <c r="N220" s="56">
        <f>IF(OR($M220="",$V220="Sub"),"",IF($M220&gt;=1,"Completado",IF($M220&gt;0,"En curso","Pendiente")))</f>
        <v/>
      </c>
      <c r="O220" s="56">
        <f>IF(OR(NOT((COUNTA($B220:$D220)+COUNTA($G220:$L220)+COUNTA($Q220))&gt;0),$V220="Sub"),"",IF(ISNUMBER($G220),IF(AND(ISNUMBER($AN220),$G220&gt;$AN220),"Cumplida con "&amp;($G220-$AN220)&amp;IF($G220-$AN220=1," día"," días")&amp;" de retraso","Cumplida"),IF(N($M220)&gt;=1,"Cumplida",IF(NOT(ISNUMBER($AN220)),"Sin fecha límite",IF($AN220&lt;FechaRef,"Vencida hace "&amp;(FechaRef-$AN220)&amp;IF(FechaRef-$AN220=1," día"," días"),IF($AN220=FechaRef,"Vence hoy",IF($AN220-FechaRef&lt;=DiasAlerta,"Vence en "&amp;($AN220-FechaRef)&amp;IF($AN220-FechaRef=1," día"," días"),"En plazo")))))))</f>
        <v/>
      </c>
      <c r="P220" s="62" t="n"/>
      <c r="Q220" s="58" t="n"/>
      <c r="R220" s="63">
        <f>IF(NOT((COUNTA($B220:$D220)+COUNTA($G220:$L220)+COUNTA($Q220))&gt;0),"",IF((IF($C220="","Falta el nombre de la actividad"&amp;" · ","")&amp;IF(AND($V220="Sub",N($U220)=0),"Subactividad sin macroactividad arriba"&amp;" · ","")&amp;IF($AM220="","Sin fecha de inicio"&amp;" · ","")&amp;IF($AN220="","Sin fecha límite"&amp;" · ","")&amp;IF(AND(LEFT($C220,11)="[Jefatura] ",N($AL220)=0),"No se encuentra en la hoja de la jefatura (elíjala de nuevo en la lista)"&amp;" · ","")&amp;IF(OR(AND($E220&lt;&gt;"",NOT(ISNUMBER($E220))),AND($F220&lt;&gt;"",NOT(ISNUMBER($F220))),AND($G220&lt;&gt;"",NOT(ISNUMBER($G220)))),"Fecha no válida"&amp;" · ","")&amp;IF(AND(ISNUMBER($AM220),ISNUMBER($AN220),$AM220&gt;$AN220),"Inicio posterior a fecha límite"&amp;" · ","")&amp;IF(AND($V220="Macro",$H220&lt;&gt;"",OR(NOT(ISNUMBER($H220)),$H220&lt;0,$H220&gt;1)),"Peso fuera de rango"&amp;" · ","")&amp;IF(AND($V220="Sub",$H220&lt;&gt;""),"Las subactividades no llevan peso (valen igual dentro de su macroactividad)"&amp;" · ","")&amp;IF(AND(N($W220)&gt;0,COUNT($I220:$L220)&gt;0),"Con subactividades: deje vacías las semanas (se calculan solas)"&amp;" · ","")&amp;IF((COUNTIF($I220:$L220,"&gt;1")+COUNTIF($I220:$L220,"&lt;0")+COUNTA($I220:$L220)-COUNT($I220:$L220))&gt;0,"Avance fuera de rango 0-100%"&amp;" · ","")&amp;IF(OR(AND($J220&lt;&gt;"",$J220&lt;$I220),AND($K220&lt;&gt;"",$K220&lt;MAX($I220:$J220)),AND($L220&lt;&gt;"",$L220&lt;MAX($I220:$K220))),"Avance semanal decreciente"&amp;" · ","")&amp;IF(AND(ISNUMBER($AN220),$AN220&lt;FechaRef,IF($V220="Sub",N($X220),N($M220))&lt;1),"Vencida"&amp;" · ","")&amp;IF(AND(ObsObligatoria="Sí",ISNUMBER($AN220),$AN220&lt;FechaRef,IF($V220="Sub",N($X220),N($M220))&lt;1,$Q220=""),"Vencida sin observación"&amp;" · ",""))="","✔ OK","⚠ "&amp;LEFT(IF($C220="","Falta el nombre de la actividad"&amp;" · ","")&amp;IF(AND($V220="Sub",N($U220)=0),"Subactividad sin macroactividad arriba"&amp;" · ","")&amp;IF($AM220="","Sin fecha de inicio"&amp;" · ","")&amp;IF($AN220="","Sin fecha límite"&amp;" · ","")&amp;IF(AND(LEFT($C220,11)="[Jefatura] ",N($AL220)=0),"No se encuentra en la hoja de la jefatura (elíjala de nuevo en la lista)"&amp;" · ","")&amp;IF(OR(AND($E220&lt;&gt;"",NOT(ISNUMBER($E220))),AND($F220&lt;&gt;"",NOT(ISNUMBER($F220))),AND($G220&lt;&gt;"",NOT(ISNUMBER($G220)))),"Fecha no válida"&amp;" · ","")&amp;IF(AND(ISNUMBER($AM220),ISNUMBER($AN220),$AM220&gt;$AN220),"Inicio posterior a fecha límite"&amp;" · ","")&amp;IF(AND($V220="Macro",$H220&lt;&gt;"",OR(NOT(ISNUMBER($H220)),$H220&lt;0,$H220&gt;1)),"Peso fuera de rango"&amp;" · ","")&amp;IF(AND($V220="Sub",$H220&lt;&gt;""),"Las subactividades no llevan peso (valen igual dentro de su macroactividad)"&amp;" · ","")&amp;IF(AND(N($W220)&gt;0,COUNT($I220:$L220)&gt;0),"Con subactividades: deje vacías las semanas (se calculan solas)"&amp;" · ","")&amp;IF((COUNTIF($I220:$L220,"&gt;1")+COUNTIF($I220:$L220,"&lt;0")+COUNTA($I220:$L220)-COUNT($I220:$L220))&gt;0,"Avance fuera de rango 0-100%"&amp;" · ","")&amp;IF(OR(AND($J220&lt;&gt;"",$J220&lt;$I220),AND($K220&lt;&gt;"",$K220&lt;MAX($I220:$J220)),AND($L220&lt;&gt;"",$L220&lt;MAX($I220:$K220))),"Avance semanal decreciente"&amp;" · ","")&amp;IF(AND(ISNUMBER($AN220),$AN220&lt;FechaRef,IF($V220="Sub",N($X220),N($M220))&lt;1),"Vencida"&amp;" · ","")&amp;IF(AND(ObsObligatoria="Sí",ISNUMBER($AN220),$AN220&lt;FechaRef,IF($V220="Sub",N($X220),N($M220))&lt;1,$Q220=""),"Vencida sin observación"&amp;" · ",""),LEN(IF($C220="","Falta el nombre de la actividad"&amp;" · ","")&amp;IF(AND($V220="Sub",N($U220)=0),"Subactividad sin macroactividad arriba"&amp;" · ","")&amp;IF($AM220="","Sin fecha de inicio"&amp;" · ","")&amp;IF($AN220="","Sin fecha límite"&amp;" · ","")&amp;IF(AND(LEFT($C220,11)="[Jefatura] ",N($AL220)=0),"No se encuentra en la hoja de la jefatura (elíjala de nuevo en la lista)"&amp;" · ","")&amp;IF(OR(AND($E220&lt;&gt;"",NOT(ISNUMBER($E220))),AND($F220&lt;&gt;"",NOT(ISNUMBER($F220))),AND($G220&lt;&gt;"",NOT(ISNUMBER($G220)))),"Fecha no válida"&amp;" · ","")&amp;IF(AND(ISNUMBER($AM220),ISNUMBER($AN220),$AM220&gt;$AN220),"Inicio posterior a fecha límite"&amp;" · ","")&amp;IF(AND($V220="Macro",$H220&lt;&gt;"",OR(NOT(ISNUMBER($H220)),$H220&lt;0,$H220&gt;1)),"Peso fuera de rango"&amp;" · ","")&amp;IF(AND($V220="Sub",$H220&lt;&gt;""),"Las subactividades no llevan peso (valen igual dentro de su macroactividad)"&amp;" · ","")&amp;IF(AND(N($W220)&gt;0,COUNT($I220:$L220)&gt;0),"Con subactividades: deje vacías las semanas (se calculan solas)"&amp;" · ","")&amp;IF((COUNTIF($I220:$L220,"&gt;1")+COUNTIF($I220:$L220,"&lt;0")+COUNTA($I220:$L220)-COUNT($I220:$L220))&gt;0,"Avance fuera de rango 0-100%"&amp;" · ","")&amp;IF(OR(AND($J220&lt;&gt;"",$J220&lt;$I220),AND($K220&lt;&gt;"",$K220&lt;MAX($I220:$J220)),AND($L220&lt;&gt;"",$L220&lt;MAX($I220:$K220))),"Avance semanal decreciente"&amp;" · ","")&amp;IF(AND(ISNUMBER($AN220),$AN220&lt;FechaRef,IF($V220="Sub",N($X220),N($M220))&lt;1),"Vencida"&amp;" · ","")&amp;IF(AND(ObsObligatoria="Sí",ISNUMBER($AN220),$AN220&lt;FechaRef,IF($V220="Sub",N($X220),N($M220))&lt;1,$Q220=""),"Vencida sin observación"&amp;" · ",""))-3)))</f>
        <v/>
      </c>
      <c r="S220" s="64">
        <f>IF(NOT((COUNTA($B220:$D220)+COUNTA($G220:$L220)+COUNTA($Q220))&gt;0),"",IF(AND($V220="Sub",N($U220)&gt;0),IF(ISNUMBER(INDEX($AM$5:$AM$1000,$U220-4)),DATE(YEAR(INDEX($AM$5:$AM$1000,$U220-4)),MONTH(INDEX($AM$5:$AM$1000,$U220-4)),1),IF(ISNUMBER(INDEX($AN$5:$AN$1000,$U220-4)),DATE(YEAR(INDEX($AN$5:$AN$1000,$U220-4)),MONTH(INDEX($AN$5:$AN$1000,$U220-4)),1),MesCiclo)),IF(ISNUMBER($AM220),DATE(YEAR($AM220),MONTH($AM220),1),IF(ISNUMBER($AN220),DATE(YEAR($AN220),MONTH($AN220),1),MesCiclo))))</f>
        <v/>
      </c>
      <c r="T220" s="62">
        <f>IF(OR($S220="",$S220&lt;&gt;MesCiclo,$V220&lt;&gt;"Macro"),"",COUNTIFS($S$5:$S220,MesCiclo,$V$5:$V220,"Macro"))</f>
        <v/>
      </c>
      <c r="U220" s="62">
        <f>IF($V220="","",IF($V220="Macro",ROW(),IFERROR(LOOKUP(2,1/($V$5:$V220="Macro"),ROW($V$5:$V220)),0)))</f>
        <v/>
      </c>
      <c r="V220" s="62">
        <f>IF(NOT((COUNTA($B220:$D220)+COUNTA($G220:$L220)+COUNTA($Q220))&gt;0),"",IF($B220="Subactividad","Sub","Macro"))</f>
        <v/>
      </c>
      <c r="W220" s="62">
        <f>IF($V220="Macro",COUNTIFS($U$5:$U$1000,ROW(),$V$5:$V$1000,"Sub"),"")</f>
        <v/>
      </c>
      <c r="X220" s="62">
        <f>IF($V220="","",IF(ISNUMBER($G220),1,IFERROR(LOOKUP(2,1/($I220:$L220&lt;&gt;""),$I220:$L220),0)))</f>
        <v/>
      </c>
      <c r="Y220" s="62">
        <f>IF($V220="","",IF(AND(ISNUMBER($G220),$G220&lt;=IF($S220=MesCiclo,InicioCiclo,$S220+MOD(2-WEEKDAY($S220),7))+6),1,IF(ISNUMBER($I220),$I220,0)))</f>
        <v/>
      </c>
      <c r="Z220" s="62">
        <f>IF($V220="","",IF(AND(ISNUMBER($G220),$G220&lt;=IF($S220=MesCiclo,InicioCiclo,$S220+MOD(2-WEEKDAY($S220),7))+13),1,IF(ISNUMBER($J220),$J220,$Y220)))</f>
        <v/>
      </c>
      <c r="AA220" s="62">
        <f>IF($V220="","",IF(AND(ISNUMBER($G220),$G220&lt;=IF($S220=MesCiclo,InicioCiclo,$S220+MOD(2-WEEKDAY($S220),7))+20),1,IF(ISNUMBER($K220),$K220,$Z220)))</f>
        <v/>
      </c>
      <c r="AB220" s="62">
        <f>IF($V220="","",IF(AND(ISNUMBER($G220),$G220&lt;=IF($S220=MesCiclo,InicioCiclo,$S220+MOD(2-WEEKDAY($S220),7))+27),1,IF(ISNUMBER($L220),$L220,$AA220)))</f>
        <v/>
      </c>
      <c r="AC220" s="62">
        <f>IF($V220="","",IF(AND(ISNUMBER($G220),$G220&lt;=IF($S220=MesCiclo,InicioCiclo,$S220+MOD(2-WEEKDAY($S220),7))+6),1,IF(N($W220)&gt;0,AVERAGEIFS($Y$5:$Y$1000,$U$5:$U$1000,ROW(),$V$5:$V$1000,"Sub"),$Y220)))</f>
        <v/>
      </c>
      <c r="AD220" s="62">
        <f>IF($V220="","",IF(AND(ISNUMBER($G220),$G220&lt;=IF($S220=MesCiclo,InicioCiclo,$S220+MOD(2-WEEKDAY($S220),7))+13),1,IF(N($W220)&gt;0,AVERAGEIFS($Z$5:$Z$1000,$U$5:$U$1000,ROW(),$V$5:$V$1000,"Sub"),$Z220)))</f>
        <v/>
      </c>
      <c r="AE220" s="62">
        <f>IF($V220="","",IF(AND(ISNUMBER($G220),$G220&lt;=IF($S220=MesCiclo,InicioCiclo,$S220+MOD(2-WEEKDAY($S220),7))+20),1,IF(N($W220)&gt;0,AVERAGEIFS($AA$5:$AA$1000,$U$5:$U$1000,ROW(),$V$5:$V$1000,"Sub"),$AA220)))</f>
        <v/>
      </c>
      <c r="AF220" s="62">
        <f>IF($V220="","",IF(AND(ISNUMBER($G220),$G220&lt;=IF($S220=MesCiclo,InicioCiclo,$S220+MOD(2-WEEKDAY($S220),7))+27),1,IF(N($W220)&gt;0,AVERAGEIFS($AB$5:$AB$1000,$U$5:$U$1000,ROW(),$V$5:$V$1000,"Sub"),$AB220)))</f>
        <v/>
      </c>
      <c r="AG220" s="62">
        <f>IF($V220&lt;&gt;"Macro","",IF(COUNTIFS($S$5:$S$1000,$S220,$V$5:$V$1000,"Macro",$H$5:$H$1000,"&gt;0")=0,1/COUNTIFS($S$5:$S$1000,$S220,$V$5:$V$1000,"Macro"),IF(AND(ISNUMBER($H220),N($H220)&gt;0),$H220,SUMIFS($H$5:$H$1000,$S$5:$S$1000,$S220,$V$5:$V$1000,"Macro")/COUNTIFS($S$5:$S$1000,$S220,$V$5:$V$1000,"Macro",$H$5:$H$1000,"&gt;0"))/(COUNTIFS($S$5:$S$1000,$S220,$V$5:$V$1000,"Macro")*SUMIFS($H$5:$H$1000,$S$5:$S$1000,$S220,$V$5:$V$1000,"Macro")/COUNTIFS($S$5:$S$1000,$S220,$V$5:$V$1000,"Macro",$H$5:$H$1000,"&gt;0"))))</f>
        <v/>
      </c>
      <c r="AH220" s="62" t="n"/>
      <c r="AI220" s="62" t="n"/>
      <c r="AJ220" s="62" t="n"/>
      <c r="AK220" s="62" t="n"/>
      <c r="AL220" s="62">
        <f>IF(LEFT($C220,11)="[Jefatura] ",IFERROR(MATCH("Riesgo Operacional|"&amp;MID($C220,12,500),rDname_ADM,0),0),"")</f>
        <v/>
      </c>
      <c r="AM220" s="62">
        <f>IF(N($AL220)&gt;0,INDEX(rIni_ADM,$AL220),IF(ISNUMBER($E220),$E220,""))</f>
        <v/>
      </c>
      <c r="AN220" s="62">
        <f>IF(N($AL220)&gt;0,INDEX(rLim_ADM,$AL220),IF(ISNUMBER($F220),$F220,""))</f>
        <v/>
      </c>
    </row>
    <row r="221">
      <c r="A221" s="56">
        <f>IF(NOT((COUNTA($B221:$D221)+COUNTA($G221:$L221)+COUNTA($Q221))&gt;0),"",IF($V221="Macro",COUNTIFS($V$5:$V221,"Macro",$S$5:$S221,$S221),IF(N($U221)=0,"?",COUNTIFS(INDEX($V$5:$V$1000,1):INDEX($V$5:$V$1000,$U221-4),"Macro",INDEX($S$5:$S$1000,1):INDEX($S$5:$S$1000,$U221-4),INDEX($S$5:$S$1000,$U221-4))&amp;"."&amp;COUNTIFS($U$5:$U221,$U221,$V$5:$V221,"Sub"))))</f>
        <v/>
      </c>
      <c r="B221" s="57" t="n"/>
      <c r="C221" s="58" t="n"/>
      <c r="D221" s="58" t="n"/>
      <c r="E221" s="59">
        <f>IF(N($AL221)&gt;0,INDEX(rIni_ADM,$AL221),"")</f>
        <v/>
      </c>
      <c r="F221" s="59">
        <f>IF(N($AL221)&gt;0,INDEX(rLim_ADM,$AL221),"")</f>
        <v/>
      </c>
      <c r="G221" s="59" t="n"/>
      <c r="H221" s="60" t="n"/>
      <c r="I221" s="60" t="n"/>
      <c r="J221" s="60" t="n"/>
      <c r="K221" s="60" t="n"/>
      <c r="L221" s="60" t="n"/>
      <c r="M221" s="61">
        <f>IF(NOT((COUNTA($B221:$D221)+COUNTA($G221:$L221)+COUNTA($Q221))&gt;0),"",IF($V221="Sub",IFERROR($X221/INDEX($W$5:$W$1000,$U221-4),""),IF(ISNUMBER($G221),1,IF(N($W221)&gt;0,AVERAGEIFS($X$5:$X$1000,$U$5:$U$1000,ROW(),$V$5:$V$1000,"Sub"),$X221))))</f>
        <v/>
      </c>
      <c r="N221" s="56">
        <f>IF(OR($M221="",$V221="Sub"),"",IF($M221&gt;=1,"Completado",IF($M221&gt;0,"En curso","Pendiente")))</f>
        <v/>
      </c>
      <c r="O221" s="56">
        <f>IF(OR(NOT((COUNTA($B221:$D221)+COUNTA($G221:$L221)+COUNTA($Q221))&gt;0),$V221="Sub"),"",IF(ISNUMBER($G221),IF(AND(ISNUMBER($AN221),$G221&gt;$AN221),"Cumplida con "&amp;($G221-$AN221)&amp;IF($G221-$AN221=1," día"," días")&amp;" de retraso","Cumplida"),IF(N($M221)&gt;=1,"Cumplida",IF(NOT(ISNUMBER($AN221)),"Sin fecha límite",IF($AN221&lt;FechaRef,"Vencida hace "&amp;(FechaRef-$AN221)&amp;IF(FechaRef-$AN221=1," día"," días"),IF($AN221=FechaRef,"Vence hoy",IF($AN221-FechaRef&lt;=DiasAlerta,"Vence en "&amp;($AN221-FechaRef)&amp;IF($AN221-FechaRef=1," día"," días"),"En plazo")))))))</f>
        <v/>
      </c>
      <c r="P221" s="62" t="n"/>
      <c r="Q221" s="58" t="n"/>
      <c r="R221" s="63">
        <f>IF(NOT((COUNTA($B221:$D221)+COUNTA($G221:$L221)+COUNTA($Q221))&gt;0),"",IF((IF($C221="","Falta el nombre de la actividad"&amp;" · ","")&amp;IF(AND($V221="Sub",N($U221)=0),"Subactividad sin macroactividad arriba"&amp;" · ","")&amp;IF($AM221="","Sin fecha de inicio"&amp;" · ","")&amp;IF($AN221="","Sin fecha límite"&amp;" · ","")&amp;IF(AND(LEFT($C221,11)="[Jefatura] ",N($AL221)=0),"No se encuentra en la hoja de la jefatura (elíjala de nuevo en la lista)"&amp;" · ","")&amp;IF(OR(AND($E221&lt;&gt;"",NOT(ISNUMBER($E221))),AND($F221&lt;&gt;"",NOT(ISNUMBER($F221))),AND($G221&lt;&gt;"",NOT(ISNUMBER($G221)))),"Fecha no válida"&amp;" · ","")&amp;IF(AND(ISNUMBER($AM221),ISNUMBER($AN221),$AM221&gt;$AN221),"Inicio posterior a fecha límite"&amp;" · ","")&amp;IF(AND($V221="Macro",$H221&lt;&gt;"",OR(NOT(ISNUMBER($H221)),$H221&lt;0,$H221&gt;1)),"Peso fuera de rango"&amp;" · ","")&amp;IF(AND($V221="Sub",$H221&lt;&gt;""),"Las subactividades no llevan peso (valen igual dentro de su macroactividad)"&amp;" · ","")&amp;IF(AND(N($W221)&gt;0,COUNT($I221:$L221)&gt;0),"Con subactividades: deje vacías las semanas (se calculan solas)"&amp;" · ","")&amp;IF((COUNTIF($I221:$L221,"&gt;1")+COUNTIF($I221:$L221,"&lt;0")+COUNTA($I221:$L221)-COUNT($I221:$L221))&gt;0,"Avance fuera de rango 0-100%"&amp;" · ","")&amp;IF(OR(AND($J221&lt;&gt;"",$J221&lt;$I221),AND($K221&lt;&gt;"",$K221&lt;MAX($I221:$J221)),AND($L221&lt;&gt;"",$L221&lt;MAX($I221:$K221))),"Avance semanal decreciente"&amp;" · ","")&amp;IF(AND(ISNUMBER($AN221),$AN221&lt;FechaRef,IF($V221="Sub",N($X221),N($M221))&lt;1),"Vencida"&amp;" · ","")&amp;IF(AND(ObsObligatoria="Sí",ISNUMBER($AN221),$AN221&lt;FechaRef,IF($V221="Sub",N($X221),N($M221))&lt;1,$Q221=""),"Vencida sin observación"&amp;" · ",""))="","✔ OK","⚠ "&amp;LEFT(IF($C221="","Falta el nombre de la actividad"&amp;" · ","")&amp;IF(AND($V221="Sub",N($U221)=0),"Subactividad sin macroactividad arriba"&amp;" · ","")&amp;IF($AM221="","Sin fecha de inicio"&amp;" · ","")&amp;IF($AN221="","Sin fecha límite"&amp;" · ","")&amp;IF(AND(LEFT($C221,11)="[Jefatura] ",N($AL221)=0),"No se encuentra en la hoja de la jefatura (elíjala de nuevo en la lista)"&amp;" · ","")&amp;IF(OR(AND($E221&lt;&gt;"",NOT(ISNUMBER($E221))),AND($F221&lt;&gt;"",NOT(ISNUMBER($F221))),AND($G221&lt;&gt;"",NOT(ISNUMBER($G221)))),"Fecha no válida"&amp;" · ","")&amp;IF(AND(ISNUMBER($AM221),ISNUMBER($AN221),$AM221&gt;$AN221),"Inicio posterior a fecha límite"&amp;" · ","")&amp;IF(AND($V221="Macro",$H221&lt;&gt;"",OR(NOT(ISNUMBER($H221)),$H221&lt;0,$H221&gt;1)),"Peso fuera de rango"&amp;" · ","")&amp;IF(AND($V221="Sub",$H221&lt;&gt;""),"Las subactividades no llevan peso (valen igual dentro de su macroactividad)"&amp;" · ","")&amp;IF(AND(N($W221)&gt;0,COUNT($I221:$L221)&gt;0),"Con subactividades: deje vacías las semanas (se calculan solas)"&amp;" · ","")&amp;IF((COUNTIF($I221:$L221,"&gt;1")+COUNTIF($I221:$L221,"&lt;0")+COUNTA($I221:$L221)-COUNT($I221:$L221))&gt;0,"Avance fuera de rango 0-100%"&amp;" · ","")&amp;IF(OR(AND($J221&lt;&gt;"",$J221&lt;$I221),AND($K221&lt;&gt;"",$K221&lt;MAX($I221:$J221)),AND($L221&lt;&gt;"",$L221&lt;MAX($I221:$K221))),"Avance semanal decreciente"&amp;" · ","")&amp;IF(AND(ISNUMBER($AN221),$AN221&lt;FechaRef,IF($V221="Sub",N($X221),N($M221))&lt;1),"Vencida"&amp;" · ","")&amp;IF(AND(ObsObligatoria="Sí",ISNUMBER($AN221),$AN221&lt;FechaRef,IF($V221="Sub",N($X221),N($M221))&lt;1,$Q221=""),"Vencida sin observación"&amp;" · ",""),LEN(IF($C221="","Falta el nombre de la actividad"&amp;" · ","")&amp;IF(AND($V221="Sub",N($U221)=0),"Subactividad sin macroactividad arriba"&amp;" · ","")&amp;IF($AM221="","Sin fecha de inicio"&amp;" · ","")&amp;IF($AN221="","Sin fecha límite"&amp;" · ","")&amp;IF(AND(LEFT($C221,11)="[Jefatura] ",N($AL221)=0),"No se encuentra en la hoja de la jefatura (elíjala de nuevo en la lista)"&amp;" · ","")&amp;IF(OR(AND($E221&lt;&gt;"",NOT(ISNUMBER($E221))),AND($F221&lt;&gt;"",NOT(ISNUMBER($F221))),AND($G221&lt;&gt;"",NOT(ISNUMBER($G221)))),"Fecha no válida"&amp;" · ","")&amp;IF(AND(ISNUMBER($AM221),ISNUMBER($AN221),$AM221&gt;$AN221),"Inicio posterior a fecha límite"&amp;" · ","")&amp;IF(AND($V221="Macro",$H221&lt;&gt;"",OR(NOT(ISNUMBER($H221)),$H221&lt;0,$H221&gt;1)),"Peso fuera de rango"&amp;" · ","")&amp;IF(AND($V221="Sub",$H221&lt;&gt;""),"Las subactividades no llevan peso (valen igual dentro de su macroactividad)"&amp;" · ","")&amp;IF(AND(N($W221)&gt;0,COUNT($I221:$L221)&gt;0),"Con subactividades: deje vacías las semanas (se calculan solas)"&amp;" · ","")&amp;IF((COUNTIF($I221:$L221,"&gt;1")+COUNTIF($I221:$L221,"&lt;0")+COUNTA($I221:$L221)-COUNT($I221:$L221))&gt;0,"Avance fuera de rango 0-100%"&amp;" · ","")&amp;IF(OR(AND($J221&lt;&gt;"",$J221&lt;$I221),AND($K221&lt;&gt;"",$K221&lt;MAX($I221:$J221)),AND($L221&lt;&gt;"",$L221&lt;MAX($I221:$K221))),"Avance semanal decreciente"&amp;" · ","")&amp;IF(AND(ISNUMBER($AN221),$AN221&lt;FechaRef,IF($V221="Sub",N($X221),N($M221))&lt;1),"Vencida"&amp;" · ","")&amp;IF(AND(ObsObligatoria="Sí",ISNUMBER($AN221),$AN221&lt;FechaRef,IF($V221="Sub",N($X221),N($M221))&lt;1,$Q221=""),"Vencida sin observación"&amp;" · ",""))-3)))</f>
        <v/>
      </c>
      <c r="S221" s="64">
        <f>IF(NOT((COUNTA($B221:$D221)+COUNTA($G221:$L221)+COUNTA($Q221))&gt;0),"",IF(AND($V221="Sub",N($U221)&gt;0),IF(ISNUMBER(INDEX($AM$5:$AM$1000,$U221-4)),DATE(YEAR(INDEX($AM$5:$AM$1000,$U221-4)),MONTH(INDEX($AM$5:$AM$1000,$U221-4)),1),IF(ISNUMBER(INDEX($AN$5:$AN$1000,$U221-4)),DATE(YEAR(INDEX($AN$5:$AN$1000,$U221-4)),MONTH(INDEX($AN$5:$AN$1000,$U221-4)),1),MesCiclo)),IF(ISNUMBER($AM221),DATE(YEAR($AM221),MONTH($AM221),1),IF(ISNUMBER($AN221),DATE(YEAR($AN221),MONTH($AN221),1),MesCiclo))))</f>
        <v/>
      </c>
      <c r="T221" s="62">
        <f>IF(OR($S221="",$S221&lt;&gt;MesCiclo,$V221&lt;&gt;"Macro"),"",COUNTIFS($S$5:$S221,MesCiclo,$V$5:$V221,"Macro"))</f>
        <v/>
      </c>
      <c r="U221" s="62">
        <f>IF($V221="","",IF($V221="Macro",ROW(),IFERROR(LOOKUP(2,1/($V$5:$V221="Macro"),ROW($V$5:$V221)),0)))</f>
        <v/>
      </c>
      <c r="V221" s="62">
        <f>IF(NOT((COUNTA($B221:$D221)+COUNTA($G221:$L221)+COUNTA($Q221))&gt;0),"",IF($B221="Subactividad","Sub","Macro"))</f>
        <v/>
      </c>
      <c r="W221" s="62">
        <f>IF($V221="Macro",COUNTIFS($U$5:$U$1000,ROW(),$V$5:$V$1000,"Sub"),"")</f>
        <v/>
      </c>
      <c r="X221" s="62">
        <f>IF($V221="","",IF(ISNUMBER($G221),1,IFERROR(LOOKUP(2,1/($I221:$L221&lt;&gt;""),$I221:$L221),0)))</f>
        <v/>
      </c>
      <c r="Y221" s="62">
        <f>IF($V221="","",IF(AND(ISNUMBER($G221),$G221&lt;=IF($S221=MesCiclo,InicioCiclo,$S221+MOD(2-WEEKDAY($S221),7))+6),1,IF(ISNUMBER($I221),$I221,0)))</f>
        <v/>
      </c>
      <c r="Z221" s="62">
        <f>IF($V221="","",IF(AND(ISNUMBER($G221),$G221&lt;=IF($S221=MesCiclo,InicioCiclo,$S221+MOD(2-WEEKDAY($S221),7))+13),1,IF(ISNUMBER($J221),$J221,$Y221)))</f>
        <v/>
      </c>
      <c r="AA221" s="62">
        <f>IF($V221="","",IF(AND(ISNUMBER($G221),$G221&lt;=IF($S221=MesCiclo,InicioCiclo,$S221+MOD(2-WEEKDAY($S221),7))+20),1,IF(ISNUMBER($K221),$K221,$Z221)))</f>
        <v/>
      </c>
      <c r="AB221" s="62">
        <f>IF($V221="","",IF(AND(ISNUMBER($G221),$G221&lt;=IF($S221=MesCiclo,InicioCiclo,$S221+MOD(2-WEEKDAY($S221),7))+27),1,IF(ISNUMBER($L221),$L221,$AA221)))</f>
        <v/>
      </c>
      <c r="AC221" s="62">
        <f>IF($V221="","",IF(AND(ISNUMBER($G221),$G221&lt;=IF($S221=MesCiclo,InicioCiclo,$S221+MOD(2-WEEKDAY($S221),7))+6),1,IF(N($W221)&gt;0,AVERAGEIFS($Y$5:$Y$1000,$U$5:$U$1000,ROW(),$V$5:$V$1000,"Sub"),$Y221)))</f>
        <v/>
      </c>
      <c r="AD221" s="62">
        <f>IF($V221="","",IF(AND(ISNUMBER($G221),$G221&lt;=IF($S221=MesCiclo,InicioCiclo,$S221+MOD(2-WEEKDAY($S221),7))+13),1,IF(N($W221)&gt;0,AVERAGEIFS($Z$5:$Z$1000,$U$5:$U$1000,ROW(),$V$5:$V$1000,"Sub"),$Z221)))</f>
        <v/>
      </c>
      <c r="AE221" s="62">
        <f>IF($V221="","",IF(AND(ISNUMBER($G221),$G221&lt;=IF($S221=MesCiclo,InicioCiclo,$S221+MOD(2-WEEKDAY($S221),7))+20),1,IF(N($W221)&gt;0,AVERAGEIFS($AA$5:$AA$1000,$U$5:$U$1000,ROW(),$V$5:$V$1000,"Sub"),$AA221)))</f>
        <v/>
      </c>
      <c r="AF221" s="62">
        <f>IF($V221="","",IF(AND(ISNUMBER($G221),$G221&lt;=IF($S221=MesCiclo,InicioCiclo,$S221+MOD(2-WEEKDAY($S221),7))+27),1,IF(N($W221)&gt;0,AVERAGEIFS($AB$5:$AB$1000,$U$5:$U$1000,ROW(),$V$5:$V$1000,"Sub"),$AB221)))</f>
        <v/>
      </c>
      <c r="AG221" s="62">
        <f>IF($V221&lt;&gt;"Macro","",IF(COUNTIFS($S$5:$S$1000,$S221,$V$5:$V$1000,"Macro",$H$5:$H$1000,"&gt;0")=0,1/COUNTIFS($S$5:$S$1000,$S221,$V$5:$V$1000,"Macro"),IF(AND(ISNUMBER($H221),N($H221)&gt;0),$H221,SUMIFS($H$5:$H$1000,$S$5:$S$1000,$S221,$V$5:$V$1000,"Macro")/COUNTIFS($S$5:$S$1000,$S221,$V$5:$V$1000,"Macro",$H$5:$H$1000,"&gt;0"))/(COUNTIFS($S$5:$S$1000,$S221,$V$5:$V$1000,"Macro")*SUMIFS($H$5:$H$1000,$S$5:$S$1000,$S221,$V$5:$V$1000,"Macro")/COUNTIFS($S$5:$S$1000,$S221,$V$5:$V$1000,"Macro",$H$5:$H$1000,"&gt;0"))))</f>
        <v/>
      </c>
      <c r="AH221" s="62" t="n"/>
      <c r="AI221" s="62" t="n"/>
      <c r="AJ221" s="62" t="n"/>
      <c r="AK221" s="62" t="n"/>
      <c r="AL221" s="62">
        <f>IF(LEFT($C221,11)="[Jefatura] ",IFERROR(MATCH("Riesgo Operacional|"&amp;MID($C221,12,500),rDname_ADM,0),0),"")</f>
        <v/>
      </c>
      <c r="AM221" s="62">
        <f>IF(N($AL221)&gt;0,INDEX(rIni_ADM,$AL221),IF(ISNUMBER($E221),$E221,""))</f>
        <v/>
      </c>
      <c r="AN221" s="62">
        <f>IF(N($AL221)&gt;0,INDEX(rLim_ADM,$AL221),IF(ISNUMBER($F221),$F221,""))</f>
        <v/>
      </c>
    </row>
    <row r="222">
      <c r="A222" s="56">
        <f>IF(NOT((COUNTA($B222:$D222)+COUNTA($G222:$L222)+COUNTA($Q222))&gt;0),"",IF($V222="Macro",COUNTIFS($V$5:$V222,"Macro",$S$5:$S222,$S222),IF(N($U222)=0,"?",COUNTIFS(INDEX($V$5:$V$1000,1):INDEX($V$5:$V$1000,$U222-4),"Macro",INDEX($S$5:$S$1000,1):INDEX($S$5:$S$1000,$U222-4),INDEX($S$5:$S$1000,$U222-4))&amp;"."&amp;COUNTIFS($U$5:$U222,$U222,$V$5:$V222,"Sub"))))</f>
        <v/>
      </c>
      <c r="B222" s="57" t="n"/>
      <c r="C222" s="58" t="n"/>
      <c r="D222" s="58" t="n"/>
      <c r="E222" s="59">
        <f>IF(N($AL222)&gt;0,INDEX(rIni_ADM,$AL222),"")</f>
        <v/>
      </c>
      <c r="F222" s="59">
        <f>IF(N($AL222)&gt;0,INDEX(rLim_ADM,$AL222),"")</f>
        <v/>
      </c>
      <c r="G222" s="59" t="n"/>
      <c r="H222" s="60" t="n"/>
      <c r="I222" s="60" t="n"/>
      <c r="J222" s="60" t="n"/>
      <c r="K222" s="60" t="n"/>
      <c r="L222" s="60" t="n"/>
      <c r="M222" s="61">
        <f>IF(NOT((COUNTA($B222:$D222)+COUNTA($G222:$L222)+COUNTA($Q222))&gt;0),"",IF($V222="Sub",IFERROR($X222/INDEX($W$5:$W$1000,$U222-4),""),IF(ISNUMBER($G222),1,IF(N($W222)&gt;0,AVERAGEIFS($X$5:$X$1000,$U$5:$U$1000,ROW(),$V$5:$V$1000,"Sub"),$X222))))</f>
        <v/>
      </c>
      <c r="N222" s="56">
        <f>IF(OR($M222="",$V222="Sub"),"",IF($M222&gt;=1,"Completado",IF($M222&gt;0,"En curso","Pendiente")))</f>
        <v/>
      </c>
      <c r="O222" s="56">
        <f>IF(OR(NOT((COUNTA($B222:$D222)+COUNTA($G222:$L222)+COUNTA($Q222))&gt;0),$V222="Sub"),"",IF(ISNUMBER($G222),IF(AND(ISNUMBER($AN222),$G222&gt;$AN222),"Cumplida con "&amp;($G222-$AN222)&amp;IF($G222-$AN222=1," día"," días")&amp;" de retraso","Cumplida"),IF(N($M222)&gt;=1,"Cumplida",IF(NOT(ISNUMBER($AN222)),"Sin fecha límite",IF($AN222&lt;FechaRef,"Vencida hace "&amp;(FechaRef-$AN222)&amp;IF(FechaRef-$AN222=1," día"," días"),IF($AN222=FechaRef,"Vence hoy",IF($AN222-FechaRef&lt;=DiasAlerta,"Vence en "&amp;($AN222-FechaRef)&amp;IF($AN222-FechaRef=1," día"," días"),"En plazo")))))))</f>
        <v/>
      </c>
      <c r="P222" s="62" t="n"/>
      <c r="Q222" s="58" t="n"/>
      <c r="R222" s="63">
        <f>IF(NOT((COUNTA($B222:$D222)+COUNTA($G222:$L222)+COUNTA($Q222))&gt;0),"",IF((IF($C222="","Falta el nombre de la actividad"&amp;" · ","")&amp;IF(AND($V222="Sub",N($U222)=0),"Subactividad sin macroactividad arriba"&amp;" · ","")&amp;IF($AM222="","Sin fecha de inicio"&amp;" · ","")&amp;IF($AN222="","Sin fecha límite"&amp;" · ","")&amp;IF(AND(LEFT($C222,11)="[Jefatura] ",N($AL222)=0),"No se encuentra en la hoja de la jefatura (elíjala de nuevo en la lista)"&amp;" · ","")&amp;IF(OR(AND($E222&lt;&gt;"",NOT(ISNUMBER($E222))),AND($F222&lt;&gt;"",NOT(ISNUMBER($F222))),AND($G222&lt;&gt;"",NOT(ISNUMBER($G222)))),"Fecha no válida"&amp;" · ","")&amp;IF(AND(ISNUMBER($AM222),ISNUMBER($AN222),$AM222&gt;$AN222),"Inicio posterior a fecha límite"&amp;" · ","")&amp;IF(AND($V222="Macro",$H222&lt;&gt;"",OR(NOT(ISNUMBER($H222)),$H222&lt;0,$H222&gt;1)),"Peso fuera de rango"&amp;" · ","")&amp;IF(AND($V222="Sub",$H222&lt;&gt;""),"Las subactividades no llevan peso (valen igual dentro de su macroactividad)"&amp;" · ","")&amp;IF(AND(N($W222)&gt;0,COUNT($I222:$L222)&gt;0),"Con subactividades: deje vacías las semanas (se calculan solas)"&amp;" · ","")&amp;IF((COUNTIF($I222:$L222,"&gt;1")+COUNTIF($I222:$L222,"&lt;0")+COUNTA($I222:$L222)-COUNT($I222:$L222))&gt;0,"Avance fuera de rango 0-100%"&amp;" · ","")&amp;IF(OR(AND($J222&lt;&gt;"",$J222&lt;$I222),AND($K222&lt;&gt;"",$K222&lt;MAX($I222:$J222)),AND($L222&lt;&gt;"",$L222&lt;MAX($I222:$K222))),"Avance semanal decreciente"&amp;" · ","")&amp;IF(AND(ISNUMBER($AN222),$AN222&lt;FechaRef,IF($V222="Sub",N($X222),N($M222))&lt;1),"Vencida"&amp;" · ","")&amp;IF(AND(ObsObligatoria="Sí",ISNUMBER($AN222),$AN222&lt;FechaRef,IF($V222="Sub",N($X222),N($M222))&lt;1,$Q222=""),"Vencida sin observación"&amp;" · ",""))="","✔ OK","⚠ "&amp;LEFT(IF($C222="","Falta el nombre de la actividad"&amp;" · ","")&amp;IF(AND($V222="Sub",N($U222)=0),"Subactividad sin macroactividad arriba"&amp;" · ","")&amp;IF($AM222="","Sin fecha de inicio"&amp;" · ","")&amp;IF($AN222="","Sin fecha límite"&amp;" · ","")&amp;IF(AND(LEFT($C222,11)="[Jefatura] ",N($AL222)=0),"No se encuentra en la hoja de la jefatura (elíjala de nuevo en la lista)"&amp;" · ","")&amp;IF(OR(AND($E222&lt;&gt;"",NOT(ISNUMBER($E222))),AND($F222&lt;&gt;"",NOT(ISNUMBER($F222))),AND($G222&lt;&gt;"",NOT(ISNUMBER($G222)))),"Fecha no válida"&amp;" · ","")&amp;IF(AND(ISNUMBER($AM222),ISNUMBER($AN222),$AM222&gt;$AN222),"Inicio posterior a fecha límite"&amp;" · ","")&amp;IF(AND($V222="Macro",$H222&lt;&gt;"",OR(NOT(ISNUMBER($H222)),$H222&lt;0,$H222&gt;1)),"Peso fuera de rango"&amp;" · ","")&amp;IF(AND($V222="Sub",$H222&lt;&gt;""),"Las subactividades no llevan peso (valen igual dentro de su macroactividad)"&amp;" · ","")&amp;IF(AND(N($W222)&gt;0,COUNT($I222:$L222)&gt;0),"Con subactividades: deje vacías las semanas (se calculan solas)"&amp;" · ","")&amp;IF((COUNTIF($I222:$L222,"&gt;1")+COUNTIF($I222:$L222,"&lt;0")+COUNTA($I222:$L222)-COUNT($I222:$L222))&gt;0,"Avance fuera de rango 0-100%"&amp;" · ","")&amp;IF(OR(AND($J222&lt;&gt;"",$J222&lt;$I222),AND($K222&lt;&gt;"",$K222&lt;MAX($I222:$J222)),AND($L222&lt;&gt;"",$L222&lt;MAX($I222:$K222))),"Avance semanal decreciente"&amp;" · ","")&amp;IF(AND(ISNUMBER($AN222),$AN222&lt;FechaRef,IF($V222="Sub",N($X222),N($M222))&lt;1),"Vencida"&amp;" · ","")&amp;IF(AND(ObsObligatoria="Sí",ISNUMBER($AN222),$AN222&lt;FechaRef,IF($V222="Sub",N($X222),N($M222))&lt;1,$Q222=""),"Vencida sin observación"&amp;" · ",""),LEN(IF($C222="","Falta el nombre de la actividad"&amp;" · ","")&amp;IF(AND($V222="Sub",N($U222)=0),"Subactividad sin macroactividad arriba"&amp;" · ","")&amp;IF($AM222="","Sin fecha de inicio"&amp;" · ","")&amp;IF($AN222="","Sin fecha límite"&amp;" · ","")&amp;IF(AND(LEFT($C222,11)="[Jefatura] ",N($AL222)=0),"No se encuentra en la hoja de la jefatura (elíjala de nuevo en la lista)"&amp;" · ","")&amp;IF(OR(AND($E222&lt;&gt;"",NOT(ISNUMBER($E222))),AND($F222&lt;&gt;"",NOT(ISNUMBER($F222))),AND($G222&lt;&gt;"",NOT(ISNUMBER($G222)))),"Fecha no válida"&amp;" · ","")&amp;IF(AND(ISNUMBER($AM222),ISNUMBER($AN222),$AM222&gt;$AN222),"Inicio posterior a fecha límite"&amp;" · ","")&amp;IF(AND($V222="Macro",$H222&lt;&gt;"",OR(NOT(ISNUMBER($H222)),$H222&lt;0,$H222&gt;1)),"Peso fuera de rango"&amp;" · ","")&amp;IF(AND($V222="Sub",$H222&lt;&gt;""),"Las subactividades no llevan peso (valen igual dentro de su macroactividad)"&amp;" · ","")&amp;IF(AND(N($W222)&gt;0,COUNT($I222:$L222)&gt;0),"Con subactividades: deje vacías las semanas (se calculan solas)"&amp;" · ","")&amp;IF((COUNTIF($I222:$L222,"&gt;1")+COUNTIF($I222:$L222,"&lt;0")+COUNTA($I222:$L222)-COUNT($I222:$L222))&gt;0,"Avance fuera de rango 0-100%"&amp;" · ","")&amp;IF(OR(AND($J222&lt;&gt;"",$J222&lt;$I222),AND($K222&lt;&gt;"",$K222&lt;MAX($I222:$J222)),AND($L222&lt;&gt;"",$L222&lt;MAX($I222:$K222))),"Avance semanal decreciente"&amp;" · ","")&amp;IF(AND(ISNUMBER($AN222),$AN222&lt;FechaRef,IF($V222="Sub",N($X222),N($M222))&lt;1),"Vencida"&amp;" · ","")&amp;IF(AND(ObsObligatoria="Sí",ISNUMBER($AN222),$AN222&lt;FechaRef,IF($V222="Sub",N($X222),N($M222))&lt;1,$Q222=""),"Vencida sin observación"&amp;" · ",""))-3)))</f>
        <v/>
      </c>
      <c r="S222" s="64">
        <f>IF(NOT((COUNTA($B222:$D222)+COUNTA($G222:$L222)+COUNTA($Q222))&gt;0),"",IF(AND($V222="Sub",N($U222)&gt;0),IF(ISNUMBER(INDEX($AM$5:$AM$1000,$U222-4)),DATE(YEAR(INDEX($AM$5:$AM$1000,$U222-4)),MONTH(INDEX($AM$5:$AM$1000,$U222-4)),1),IF(ISNUMBER(INDEX($AN$5:$AN$1000,$U222-4)),DATE(YEAR(INDEX($AN$5:$AN$1000,$U222-4)),MONTH(INDEX($AN$5:$AN$1000,$U222-4)),1),MesCiclo)),IF(ISNUMBER($AM222),DATE(YEAR($AM222),MONTH($AM222),1),IF(ISNUMBER($AN222),DATE(YEAR($AN222),MONTH($AN222),1),MesCiclo))))</f>
        <v/>
      </c>
      <c r="T222" s="62">
        <f>IF(OR($S222="",$S222&lt;&gt;MesCiclo,$V222&lt;&gt;"Macro"),"",COUNTIFS($S$5:$S222,MesCiclo,$V$5:$V222,"Macro"))</f>
        <v/>
      </c>
      <c r="U222" s="62">
        <f>IF($V222="","",IF($V222="Macro",ROW(),IFERROR(LOOKUP(2,1/($V$5:$V222="Macro"),ROW($V$5:$V222)),0)))</f>
        <v/>
      </c>
      <c r="V222" s="62">
        <f>IF(NOT((COUNTA($B222:$D222)+COUNTA($G222:$L222)+COUNTA($Q222))&gt;0),"",IF($B222="Subactividad","Sub","Macro"))</f>
        <v/>
      </c>
      <c r="W222" s="62">
        <f>IF($V222="Macro",COUNTIFS($U$5:$U$1000,ROW(),$V$5:$V$1000,"Sub"),"")</f>
        <v/>
      </c>
      <c r="X222" s="62">
        <f>IF($V222="","",IF(ISNUMBER($G222),1,IFERROR(LOOKUP(2,1/($I222:$L222&lt;&gt;""),$I222:$L222),0)))</f>
        <v/>
      </c>
      <c r="Y222" s="62">
        <f>IF($V222="","",IF(AND(ISNUMBER($G222),$G222&lt;=IF($S222=MesCiclo,InicioCiclo,$S222+MOD(2-WEEKDAY($S222),7))+6),1,IF(ISNUMBER($I222),$I222,0)))</f>
        <v/>
      </c>
      <c r="Z222" s="62">
        <f>IF($V222="","",IF(AND(ISNUMBER($G222),$G222&lt;=IF($S222=MesCiclo,InicioCiclo,$S222+MOD(2-WEEKDAY($S222),7))+13),1,IF(ISNUMBER($J222),$J222,$Y222)))</f>
        <v/>
      </c>
      <c r="AA222" s="62">
        <f>IF($V222="","",IF(AND(ISNUMBER($G222),$G222&lt;=IF($S222=MesCiclo,InicioCiclo,$S222+MOD(2-WEEKDAY($S222),7))+20),1,IF(ISNUMBER($K222),$K222,$Z222)))</f>
        <v/>
      </c>
      <c r="AB222" s="62">
        <f>IF($V222="","",IF(AND(ISNUMBER($G222),$G222&lt;=IF($S222=MesCiclo,InicioCiclo,$S222+MOD(2-WEEKDAY($S222),7))+27),1,IF(ISNUMBER($L222),$L222,$AA222)))</f>
        <v/>
      </c>
      <c r="AC222" s="62">
        <f>IF($V222="","",IF(AND(ISNUMBER($G222),$G222&lt;=IF($S222=MesCiclo,InicioCiclo,$S222+MOD(2-WEEKDAY($S222),7))+6),1,IF(N($W222)&gt;0,AVERAGEIFS($Y$5:$Y$1000,$U$5:$U$1000,ROW(),$V$5:$V$1000,"Sub"),$Y222)))</f>
        <v/>
      </c>
      <c r="AD222" s="62">
        <f>IF($V222="","",IF(AND(ISNUMBER($G222),$G222&lt;=IF($S222=MesCiclo,InicioCiclo,$S222+MOD(2-WEEKDAY($S222),7))+13),1,IF(N($W222)&gt;0,AVERAGEIFS($Z$5:$Z$1000,$U$5:$U$1000,ROW(),$V$5:$V$1000,"Sub"),$Z222)))</f>
        <v/>
      </c>
      <c r="AE222" s="62">
        <f>IF($V222="","",IF(AND(ISNUMBER($G222),$G222&lt;=IF($S222=MesCiclo,InicioCiclo,$S222+MOD(2-WEEKDAY($S222),7))+20),1,IF(N($W222)&gt;0,AVERAGEIFS($AA$5:$AA$1000,$U$5:$U$1000,ROW(),$V$5:$V$1000,"Sub"),$AA222)))</f>
        <v/>
      </c>
      <c r="AF222" s="62">
        <f>IF($V222="","",IF(AND(ISNUMBER($G222),$G222&lt;=IF($S222=MesCiclo,InicioCiclo,$S222+MOD(2-WEEKDAY($S222),7))+27),1,IF(N($W222)&gt;0,AVERAGEIFS($AB$5:$AB$1000,$U$5:$U$1000,ROW(),$V$5:$V$1000,"Sub"),$AB222)))</f>
        <v/>
      </c>
      <c r="AG222" s="62">
        <f>IF($V222&lt;&gt;"Macro","",IF(COUNTIFS($S$5:$S$1000,$S222,$V$5:$V$1000,"Macro",$H$5:$H$1000,"&gt;0")=0,1/COUNTIFS($S$5:$S$1000,$S222,$V$5:$V$1000,"Macro"),IF(AND(ISNUMBER($H222),N($H222)&gt;0),$H222,SUMIFS($H$5:$H$1000,$S$5:$S$1000,$S222,$V$5:$V$1000,"Macro")/COUNTIFS($S$5:$S$1000,$S222,$V$5:$V$1000,"Macro",$H$5:$H$1000,"&gt;0"))/(COUNTIFS($S$5:$S$1000,$S222,$V$5:$V$1000,"Macro")*SUMIFS($H$5:$H$1000,$S$5:$S$1000,$S222,$V$5:$V$1000,"Macro")/COUNTIFS($S$5:$S$1000,$S222,$V$5:$V$1000,"Macro",$H$5:$H$1000,"&gt;0"))))</f>
        <v/>
      </c>
      <c r="AH222" s="62" t="n"/>
      <c r="AI222" s="62" t="n"/>
      <c r="AJ222" s="62" t="n"/>
      <c r="AK222" s="62" t="n"/>
      <c r="AL222" s="62">
        <f>IF(LEFT($C222,11)="[Jefatura] ",IFERROR(MATCH("Riesgo Operacional|"&amp;MID($C222,12,500),rDname_ADM,0),0),"")</f>
        <v/>
      </c>
      <c r="AM222" s="62">
        <f>IF(N($AL222)&gt;0,INDEX(rIni_ADM,$AL222),IF(ISNUMBER($E222),$E222,""))</f>
        <v/>
      </c>
      <c r="AN222" s="62">
        <f>IF(N($AL222)&gt;0,INDEX(rLim_ADM,$AL222),IF(ISNUMBER($F222),$F222,""))</f>
        <v/>
      </c>
    </row>
    <row r="223">
      <c r="A223" s="56">
        <f>IF(NOT((COUNTA($B223:$D223)+COUNTA($G223:$L223)+COUNTA($Q223))&gt;0),"",IF($V223="Macro",COUNTIFS($V$5:$V223,"Macro",$S$5:$S223,$S223),IF(N($U223)=0,"?",COUNTIFS(INDEX($V$5:$V$1000,1):INDEX($V$5:$V$1000,$U223-4),"Macro",INDEX($S$5:$S$1000,1):INDEX($S$5:$S$1000,$U223-4),INDEX($S$5:$S$1000,$U223-4))&amp;"."&amp;COUNTIFS($U$5:$U223,$U223,$V$5:$V223,"Sub"))))</f>
        <v/>
      </c>
      <c r="B223" s="57" t="n"/>
      <c r="C223" s="58" t="n"/>
      <c r="D223" s="58" t="n"/>
      <c r="E223" s="59">
        <f>IF(N($AL223)&gt;0,INDEX(rIni_ADM,$AL223),"")</f>
        <v/>
      </c>
      <c r="F223" s="59">
        <f>IF(N($AL223)&gt;0,INDEX(rLim_ADM,$AL223),"")</f>
        <v/>
      </c>
      <c r="G223" s="59" t="n"/>
      <c r="H223" s="60" t="n"/>
      <c r="I223" s="60" t="n"/>
      <c r="J223" s="60" t="n"/>
      <c r="K223" s="60" t="n"/>
      <c r="L223" s="60" t="n"/>
      <c r="M223" s="61">
        <f>IF(NOT((COUNTA($B223:$D223)+COUNTA($G223:$L223)+COUNTA($Q223))&gt;0),"",IF($V223="Sub",IFERROR($X223/INDEX($W$5:$W$1000,$U223-4),""),IF(ISNUMBER($G223),1,IF(N($W223)&gt;0,AVERAGEIFS($X$5:$X$1000,$U$5:$U$1000,ROW(),$V$5:$V$1000,"Sub"),$X223))))</f>
        <v/>
      </c>
      <c r="N223" s="56">
        <f>IF(OR($M223="",$V223="Sub"),"",IF($M223&gt;=1,"Completado",IF($M223&gt;0,"En curso","Pendiente")))</f>
        <v/>
      </c>
      <c r="O223" s="56">
        <f>IF(OR(NOT((COUNTA($B223:$D223)+COUNTA($G223:$L223)+COUNTA($Q223))&gt;0),$V223="Sub"),"",IF(ISNUMBER($G223),IF(AND(ISNUMBER($AN223),$G223&gt;$AN223),"Cumplida con "&amp;($G223-$AN223)&amp;IF($G223-$AN223=1," día"," días")&amp;" de retraso","Cumplida"),IF(N($M223)&gt;=1,"Cumplida",IF(NOT(ISNUMBER($AN223)),"Sin fecha límite",IF($AN223&lt;FechaRef,"Vencida hace "&amp;(FechaRef-$AN223)&amp;IF(FechaRef-$AN223=1," día"," días"),IF($AN223=FechaRef,"Vence hoy",IF($AN223-FechaRef&lt;=DiasAlerta,"Vence en "&amp;($AN223-FechaRef)&amp;IF($AN223-FechaRef=1," día"," días"),"En plazo")))))))</f>
        <v/>
      </c>
      <c r="P223" s="62" t="n"/>
      <c r="Q223" s="58" t="n"/>
      <c r="R223" s="63">
        <f>IF(NOT((COUNTA($B223:$D223)+COUNTA($G223:$L223)+COUNTA($Q223))&gt;0),"",IF((IF($C223="","Falta el nombre de la actividad"&amp;" · ","")&amp;IF(AND($V223="Sub",N($U223)=0),"Subactividad sin macroactividad arriba"&amp;" · ","")&amp;IF($AM223="","Sin fecha de inicio"&amp;" · ","")&amp;IF($AN223="","Sin fecha límite"&amp;" · ","")&amp;IF(AND(LEFT($C223,11)="[Jefatura] ",N($AL223)=0),"No se encuentra en la hoja de la jefatura (elíjala de nuevo en la lista)"&amp;" · ","")&amp;IF(OR(AND($E223&lt;&gt;"",NOT(ISNUMBER($E223))),AND($F223&lt;&gt;"",NOT(ISNUMBER($F223))),AND($G223&lt;&gt;"",NOT(ISNUMBER($G223)))),"Fecha no válida"&amp;" · ","")&amp;IF(AND(ISNUMBER($AM223),ISNUMBER($AN223),$AM223&gt;$AN223),"Inicio posterior a fecha límite"&amp;" · ","")&amp;IF(AND($V223="Macro",$H223&lt;&gt;"",OR(NOT(ISNUMBER($H223)),$H223&lt;0,$H223&gt;1)),"Peso fuera de rango"&amp;" · ","")&amp;IF(AND($V223="Sub",$H223&lt;&gt;""),"Las subactividades no llevan peso (valen igual dentro de su macroactividad)"&amp;" · ","")&amp;IF(AND(N($W223)&gt;0,COUNT($I223:$L223)&gt;0),"Con subactividades: deje vacías las semanas (se calculan solas)"&amp;" · ","")&amp;IF((COUNTIF($I223:$L223,"&gt;1")+COUNTIF($I223:$L223,"&lt;0")+COUNTA($I223:$L223)-COUNT($I223:$L223))&gt;0,"Avance fuera de rango 0-100%"&amp;" · ","")&amp;IF(OR(AND($J223&lt;&gt;"",$J223&lt;$I223),AND($K223&lt;&gt;"",$K223&lt;MAX($I223:$J223)),AND($L223&lt;&gt;"",$L223&lt;MAX($I223:$K223))),"Avance semanal decreciente"&amp;" · ","")&amp;IF(AND(ISNUMBER($AN223),$AN223&lt;FechaRef,IF($V223="Sub",N($X223),N($M223))&lt;1),"Vencida"&amp;" · ","")&amp;IF(AND(ObsObligatoria="Sí",ISNUMBER($AN223),$AN223&lt;FechaRef,IF($V223="Sub",N($X223),N($M223))&lt;1,$Q223=""),"Vencida sin observación"&amp;" · ",""))="","✔ OK","⚠ "&amp;LEFT(IF($C223="","Falta el nombre de la actividad"&amp;" · ","")&amp;IF(AND($V223="Sub",N($U223)=0),"Subactividad sin macroactividad arriba"&amp;" · ","")&amp;IF($AM223="","Sin fecha de inicio"&amp;" · ","")&amp;IF($AN223="","Sin fecha límite"&amp;" · ","")&amp;IF(AND(LEFT($C223,11)="[Jefatura] ",N($AL223)=0),"No se encuentra en la hoja de la jefatura (elíjala de nuevo en la lista)"&amp;" · ","")&amp;IF(OR(AND($E223&lt;&gt;"",NOT(ISNUMBER($E223))),AND($F223&lt;&gt;"",NOT(ISNUMBER($F223))),AND($G223&lt;&gt;"",NOT(ISNUMBER($G223)))),"Fecha no válida"&amp;" · ","")&amp;IF(AND(ISNUMBER($AM223),ISNUMBER($AN223),$AM223&gt;$AN223),"Inicio posterior a fecha límite"&amp;" · ","")&amp;IF(AND($V223="Macro",$H223&lt;&gt;"",OR(NOT(ISNUMBER($H223)),$H223&lt;0,$H223&gt;1)),"Peso fuera de rango"&amp;" · ","")&amp;IF(AND($V223="Sub",$H223&lt;&gt;""),"Las subactividades no llevan peso (valen igual dentro de su macroactividad)"&amp;" · ","")&amp;IF(AND(N($W223)&gt;0,COUNT($I223:$L223)&gt;0),"Con subactividades: deje vacías las semanas (se calculan solas)"&amp;" · ","")&amp;IF((COUNTIF($I223:$L223,"&gt;1")+COUNTIF($I223:$L223,"&lt;0")+COUNTA($I223:$L223)-COUNT($I223:$L223))&gt;0,"Avance fuera de rango 0-100%"&amp;" · ","")&amp;IF(OR(AND($J223&lt;&gt;"",$J223&lt;$I223),AND($K223&lt;&gt;"",$K223&lt;MAX($I223:$J223)),AND($L223&lt;&gt;"",$L223&lt;MAX($I223:$K223))),"Avance semanal decreciente"&amp;" · ","")&amp;IF(AND(ISNUMBER($AN223),$AN223&lt;FechaRef,IF($V223="Sub",N($X223),N($M223))&lt;1),"Vencida"&amp;" · ","")&amp;IF(AND(ObsObligatoria="Sí",ISNUMBER($AN223),$AN223&lt;FechaRef,IF($V223="Sub",N($X223),N($M223))&lt;1,$Q223=""),"Vencida sin observación"&amp;" · ",""),LEN(IF($C223="","Falta el nombre de la actividad"&amp;" · ","")&amp;IF(AND($V223="Sub",N($U223)=0),"Subactividad sin macroactividad arriba"&amp;" · ","")&amp;IF($AM223="","Sin fecha de inicio"&amp;" · ","")&amp;IF($AN223="","Sin fecha límite"&amp;" · ","")&amp;IF(AND(LEFT($C223,11)="[Jefatura] ",N($AL223)=0),"No se encuentra en la hoja de la jefatura (elíjala de nuevo en la lista)"&amp;" · ","")&amp;IF(OR(AND($E223&lt;&gt;"",NOT(ISNUMBER($E223))),AND($F223&lt;&gt;"",NOT(ISNUMBER($F223))),AND($G223&lt;&gt;"",NOT(ISNUMBER($G223)))),"Fecha no válida"&amp;" · ","")&amp;IF(AND(ISNUMBER($AM223),ISNUMBER($AN223),$AM223&gt;$AN223),"Inicio posterior a fecha límite"&amp;" · ","")&amp;IF(AND($V223="Macro",$H223&lt;&gt;"",OR(NOT(ISNUMBER($H223)),$H223&lt;0,$H223&gt;1)),"Peso fuera de rango"&amp;" · ","")&amp;IF(AND($V223="Sub",$H223&lt;&gt;""),"Las subactividades no llevan peso (valen igual dentro de su macroactividad)"&amp;" · ","")&amp;IF(AND(N($W223)&gt;0,COUNT($I223:$L223)&gt;0),"Con subactividades: deje vacías las semanas (se calculan solas)"&amp;" · ","")&amp;IF((COUNTIF($I223:$L223,"&gt;1")+COUNTIF($I223:$L223,"&lt;0")+COUNTA($I223:$L223)-COUNT($I223:$L223))&gt;0,"Avance fuera de rango 0-100%"&amp;" · ","")&amp;IF(OR(AND($J223&lt;&gt;"",$J223&lt;$I223),AND($K223&lt;&gt;"",$K223&lt;MAX($I223:$J223)),AND($L223&lt;&gt;"",$L223&lt;MAX($I223:$K223))),"Avance semanal decreciente"&amp;" · ","")&amp;IF(AND(ISNUMBER($AN223),$AN223&lt;FechaRef,IF($V223="Sub",N($X223),N($M223))&lt;1),"Vencida"&amp;" · ","")&amp;IF(AND(ObsObligatoria="Sí",ISNUMBER($AN223),$AN223&lt;FechaRef,IF($V223="Sub",N($X223),N($M223))&lt;1,$Q223=""),"Vencida sin observación"&amp;" · ",""))-3)))</f>
        <v/>
      </c>
      <c r="S223" s="64">
        <f>IF(NOT((COUNTA($B223:$D223)+COUNTA($G223:$L223)+COUNTA($Q223))&gt;0),"",IF(AND($V223="Sub",N($U223)&gt;0),IF(ISNUMBER(INDEX($AM$5:$AM$1000,$U223-4)),DATE(YEAR(INDEX($AM$5:$AM$1000,$U223-4)),MONTH(INDEX($AM$5:$AM$1000,$U223-4)),1),IF(ISNUMBER(INDEX($AN$5:$AN$1000,$U223-4)),DATE(YEAR(INDEX($AN$5:$AN$1000,$U223-4)),MONTH(INDEX($AN$5:$AN$1000,$U223-4)),1),MesCiclo)),IF(ISNUMBER($AM223),DATE(YEAR($AM223),MONTH($AM223),1),IF(ISNUMBER($AN223),DATE(YEAR($AN223),MONTH($AN223),1),MesCiclo))))</f>
        <v/>
      </c>
      <c r="T223" s="62">
        <f>IF(OR($S223="",$S223&lt;&gt;MesCiclo,$V223&lt;&gt;"Macro"),"",COUNTIFS($S$5:$S223,MesCiclo,$V$5:$V223,"Macro"))</f>
        <v/>
      </c>
      <c r="U223" s="62">
        <f>IF($V223="","",IF($V223="Macro",ROW(),IFERROR(LOOKUP(2,1/($V$5:$V223="Macro"),ROW($V$5:$V223)),0)))</f>
        <v/>
      </c>
      <c r="V223" s="62">
        <f>IF(NOT((COUNTA($B223:$D223)+COUNTA($G223:$L223)+COUNTA($Q223))&gt;0),"",IF($B223="Subactividad","Sub","Macro"))</f>
        <v/>
      </c>
      <c r="W223" s="62">
        <f>IF($V223="Macro",COUNTIFS($U$5:$U$1000,ROW(),$V$5:$V$1000,"Sub"),"")</f>
        <v/>
      </c>
      <c r="X223" s="62">
        <f>IF($V223="","",IF(ISNUMBER($G223),1,IFERROR(LOOKUP(2,1/($I223:$L223&lt;&gt;""),$I223:$L223),0)))</f>
        <v/>
      </c>
      <c r="Y223" s="62">
        <f>IF($V223="","",IF(AND(ISNUMBER($G223),$G223&lt;=IF($S223=MesCiclo,InicioCiclo,$S223+MOD(2-WEEKDAY($S223),7))+6),1,IF(ISNUMBER($I223),$I223,0)))</f>
        <v/>
      </c>
      <c r="Z223" s="62">
        <f>IF($V223="","",IF(AND(ISNUMBER($G223),$G223&lt;=IF($S223=MesCiclo,InicioCiclo,$S223+MOD(2-WEEKDAY($S223),7))+13),1,IF(ISNUMBER($J223),$J223,$Y223)))</f>
        <v/>
      </c>
      <c r="AA223" s="62">
        <f>IF($V223="","",IF(AND(ISNUMBER($G223),$G223&lt;=IF($S223=MesCiclo,InicioCiclo,$S223+MOD(2-WEEKDAY($S223),7))+20),1,IF(ISNUMBER($K223),$K223,$Z223)))</f>
        <v/>
      </c>
      <c r="AB223" s="62">
        <f>IF($V223="","",IF(AND(ISNUMBER($G223),$G223&lt;=IF($S223=MesCiclo,InicioCiclo,$S223+MOD(2-WEEKDAY($S223),7))+27),1,IF(ISNUMBER($L223),$L223,$AA223)))</f>
        <v/>
      </c>
      <c r="AC223" s="62">
        <f>IF($V223="","",IF(AND(ISNUMBER($G223),$G223&lt;=IF($S223=MesCiclo,InicioCiclo,$S223+MOD(2-WEEKDAY($S223),7))+6),1,IF(N($W223)&gt;0,AVERAGEIFS($Y$5:$Y$1000,$U$5:$U$1000,ROW(),$V$5:$V$1000,"Sub"),$Y223)))</f>
        <v/>
      </c>
      <c r="AD223" s="62">
        <f>IF($V223="","",IF(AND(ISNUMBER($G223),$G223&lt;=IF($S223=MesCiclo,InicioCiclo,$S223+MOD(2-WEEKDAY($S223),7))+13),1,IF(N($W223)&gt;0,AVERAGEIFS($Z$5:$Z$1000,$U$5:$U$1000,ROW(),$V$5:$V$1000,"Sub"),$Z223)))</f>
        <v/>
      </c>
      <c r="AE223" s="62">
        <f>IF($V223="","",IF(AND(ISNUMBER($G223),$G223&lt;=IF($S223=MesCiclo,InicioCiclo,$S223+MOD(2-WEEKDAY($S223),7))+20),1,IF(N($W223)&gt;0,AVERAGEIFS($AA$5:$AA$1000,$U$5:$U$1000,ROW(),$V$5:$V$1000,"Sub"),$AA223)))</f>
        <v/>
      </c>
      <c r="AF223" s="62">
        <f>IF($V223="","",IF(AND(ISNUMBER($G223),$G223&lt;=IF($S223=MesCiclo,InicioCiclo,$S223+MOD(2-WEEKDAY($S223),7))+27),1,IF(N($W223)&gt;0,AVERAGEIFS($AB$5:$AB$1000,$U$5:$U$1000,ROW(),$V$5:$V$1000,"Sub"),$AB223)))</f>
        <v/>
      </c>
      <c r="AG223" s="62">
        <f>IF($V223&lt;&gt;"Macro","",IF(COUNTIFS($S$5:$S$1000,$S223,$V$5:$V$1000,"Macro",$H$5:$H$1000,"&gt;0")=0,1/COUNTIFS($S$5:$S$1000,$S223,$V$5:$V$1000,"Macro"),IF(AND(ISNUMBER($H223),N($H223)&gt;0),$H223,SUMIFS($H$5:$H$1000,$S$5:$S$1000,$S223,$V$5:$V$1000,"Macro")/COUNTIFS($S$5:$S$1000,$S223,$V$5:$V$1000,"Macro",$H$5:$H$1000,"&gt;0"))/(COUNTIFS($S$5:$S$1000,$S223,$V$5:$V$1000,"Macro")*SUMIFS($H$5:$H$1000,$S$5:$S$1000,$S223,$V$5:$V$1000,"Macro")/COUNTIFS($S$5:$S$1000,$S223,$V$5:$V$1000,"Macro",$H$5:$H$1000,"&gt;0"))))</f>
        <v/>
      </c>
      <c r="AH223" s="62" t="n"/>
      <c r="AI223" s="62" t="n"/>
      <c r="AJ223" s="62" t="n"/>
      <c r="AK223" s="62" t="n"/>
      <c r="AL223" s="62">
        <f>IF(LEFT($C223,11)="[Jefatura] ",IFERROR(MATCH("Riesgo Operacional|"&amp;MID($C223,12,500),rDname_ADM,0),0),"")</f>
        <v/>
      </c>
      <c r="AM223" s="62">
        <f>IF(N($AL223)&gt;0,INDEX(rIni_ADM,$AL223),IF(ISNUMBER($E223),$E223,""))</f>
        <v/>
      </c>
      <c r="AN223" s="62">
        <f>IF(N($AL223)&gt;0,INDEX(rLim_ADM,$AL223),IF(ISNUMBER($F223),$F223,""))</f>
        <v/>
      </c>
    </row>
    <row r="224">
      <c r="A224" s="56">
        <f>IF(NOT((COUNTA($B224:$D224)+COUNTA($G224:$L224)+COUNTA($Q224))&gt;0),"",IF($V224="Macro",COUNTIFS($V$5:$V224,"Macro",$S$5:$S224,$S224),IF(N($U224)=0,"?",COUNTIFS(INDEX($V$5:$V$1000,1):INDEX($V$5:$V$1000,$U224-4),"Macro",INDEX($S$5:$S$1000,1):INDEX($S$5:$S$1000,$U224-4),INDEX($S$5:$S$1000,$U224-4))&amp;"."&amp;COUNTIFS($U$5:$U224,$U224,$V$5:$V224,"Sub"))))</f>
        <v/>
      </c>
      <c r="B224" s="57" t="n"/>
      <c r="C224" s="58" t="n"/>
      <c r="D224" s="58" t="n"/>
      <c r="E224" s="59">
        <f>IF(N($AL224)&gt;0,INDEX(rIni_ADM,$AL224),"")</f>
        <v/>
      </c>
      <c r="F224" s="59">
        <f>IF(N($AL224)&gt;0,INDEX(rLim_ADM,$AL224),"")</f>
        <v/>
      </c>
      <c r="G224" s="59" t="n"/>
      <c r="H224" s="60" t="n"/>
      <c r="I224" s="60" t="n"/>
      <c r="J224" s="60" t="n"/>
      <c r="K224" s="60" t="n"/>
      <c r="L224" s="60" t="n"/>
      <c r="M224" s="61">
        <f>IF(NOT((COUNTA($B224:$D224)+COUNTA($G224:$L224)+COUNTA($Q224))&gt;0),"",IF($V224="Sub",IFERROR($X224/INDEX($W$5:$W$1000,$U224-4),""),IF(ISNUMBER($G224),1,IF(N($W224)&gt;0,AVERAGEIFS($X$5:$X$1000,$U$5:$U$1000,ROW(),$V$5:$V$1000,"Sub"),$X224))))</f>
        <v/>
      </c>
      <c r="N224" s="56">
        <f>IF(OR($M224="",$V224="Sub"),"",IF($M224&gt;=1,"Completado",IF($M224&gt;0,"En curso","Pendiente")))</f>
        <v/>
      </c>
      <c r="O224" s="56">
        <f>IF(OR(NOT((COUNTA($B224:$D224)+COUNTA($G224:$L224)+COUNTA($Q224))&gt;0),$V224="Sub"),"",IF(ISNUMBER($G224),IF(AND(ISNUMBER($AN224),$G224&gt;$AN224),"Cumplida con "&amp;($G224-$AN224)&amp;IF($G224-$AN224=1," día"," días")&amp;" de retraso","Cumplida"),IF(N($M224)&gt;=1,"Cumplida",IF(NOT(ISNUMBER($AN224)),"Sin fecha límite",IF($AN224&lt;FechaRef,"Vencida hace "&amp;(FechaRef-$AN224)&amp;IF(FechaRef-$AN224=1," día"," días"),IF($AN224=FechaRef,"Vence hoy",IF($AN224-FechaRef&lt;=DiasAlerta,"Vence en "&amp;($AN224-FechaRef)&amp;IF($AN224-FechaRef=1," día"," días"),"En plazo")))))))</f>
        <v/>
      </c>
      <c r="P224" s="62" t="n"/>
      <c r="Q224" s="58" t="n"/>
      <c r="R224" s="63">
        <f>IF(NOT((COUNTA($B224:$D224)+COUNTA($G224:$L224)+COUNTA($Q224))&gt;0),"",IF((IF($C224="","Falta el nombre de la actividad"&amp;" · ","")&amp;IF(AND($V224="Sub",N($U224)=0),"Subactividad sin macroactividad arriba"&amp;" · ","")&amp;IF($AM224="","Sin fecha de inicio"&amp;" · ","")&amp;IF($AN224="","Sin fecha límite"&amp;" · ","")&amp;IF(AND(LEFT($C224,11)="[Jefatura] ",N($AL224)=0),"No se encuentra en la hoja de la jefatura (elíjala de nuevo en la lista)"&amp;" · ","")&amp;IF(OR(AND($E224&lt;&gt;"",NOT(ISNUMBER($E224))),AND($F224&lt;&gt;"",NOT(ISNUMBER($F224))),AND($G224&lt;&gt;"",NOT(ISNUMBER($G224)))),"Fecha no válida"&amp;" · ","")&amp;IF(AND(ISNUMBER($AM224),ISNUMBER($AN224),$AM224&gt;$AN224),"Inicio posterior a fecha límite"&amp;" · ","")&amp;IF(AND($V224="Macro",$H224&lt;&gt;"",OR(NOT(ISNUMBER($H224)),$H224&lt;0,$H224&gt;1)),"Peso fuera de rango"&amp;" · ","")&amp;IF(AND($V224="Sub",$H224&lt;&gt;""),"Las subactividades no llevan peso (valen igual dentro de su macroactividad)"&amp;" · ","")&amp;IF(AND(N($W224)&gt;0,COUNT($I224:$L224)&gt;0),"Con subactividades: deje vacías las semanas (se calculan solas)"&amp;" · ","")&amp;IF((COUNTIF($I224:$L224,"&gt;1")+COUNTIF($I224:$L224,"&lt;0")+COUNTA($I224:$L224)-COUNT($I224:$L224))&gt;0,"Avance fuera de rango 0-100%"&amp;" · ","")&amp;IF(OR(AND($J224&lt;&gt;"",$J224&lt;$I224),AND($K224&lt;&gt;"",$K224&lt;MAX($I224:$J224)),AND($L224&lt;&gt;"",$L224&lt;MAX($I224:$K224))),"Avance semanal decreciente"&amp;" · ","")&amp;IF(AND(ISNUMBER($AN224),$AN224&lt;FechaRef,IF($V224="Sub",N($X224),N($M224))&lt;1),"Vencida"&amp;" · ","")&amp;IF(AND(ObsObligatoria="Sí",ISNUMBER($AN224),$AN224&lt;FechaRef,IF($V224="Sub",N($X224),N($M224))&lt;1,$Q224=""),"Vencida sin observación"&amp;" · ",""))="","✔ OK","⚠ "&amp;LEFT(IF($C224="","Falta el nombre de la actividad"&amp;" · ","")&amp;IF(AND($V224="Sub",N($U224)=0),"Subactividad sin macroactividad arriba"&amp;" · ","")&amp;IF($AM224="","Sin fecha de inicio"&amp;" · ","")&amp;IF($AN224="","Sin fecha límite"&amp;" · ","")&amp;IF(AND(LEFT($C224,11)="[Jefatura] ",N($AL224)=0),"No se encuentra en la hoja de la jefatura (elíjala de nuevo en la lista)"&amp;" · ","")&amp;IF(OR(AND($E224&lt;&gt;"",NOT(ISNUMBER($E224))),AND($F224&lt;&gt;"",NOT(ISNUMBER($F224))),AND($G224&lt;&gt;"",NOT(ISNUMBER($G224)))),"Fecha no válida"&amp;" · ","")&amp;IF(AND(ISNUMBER($AM224),ISNUMBER($AN224),$AM224&gt;$AN224),"Inicio posterior a fecha límite"&amp;" · ","")&amp;IF(AND($V224="Macro",$H224&lt;&gt;"",OR(NOT(ISNUMBER($H224)),$H224&lt;0,$H224&gt;1)),"Peso fuera de rango"&amp;" · ","")&amp;IF(AND($V224="Sub",$H224&lt;&gt;""),"Las subactividades no llevan peso (valen igual dentro de su macroactividad)"&amp;" · ","")&amp;IF(AND(N($W224)&gt;0,COUNT($I224:$L224)&gt;0),"Con subactividades: deje vacías las semanas (se calculan solas)"&amp;" · ","")&amp;IF((COUNTIF($I224:$L224,"&gt;1")+COUNTIF($I224:$L224,"&lt;0")+COUNTA($I224:$L224)-COUNT($I224:$L224))&gt;0,"Avance fuera de rango 0-100%"&amp;" · ","")&amp;IF(OR(AND($J224&lt;&gt;"",$J224&lt;$I224),AND($K224&lt;&gt;"",$K224&lt;MAX($I224:$J224)),AND($L224&lt;&gt;"",$L224&lt;MAX($I224:$K224))),"Avance semanal decreciente"&amp;" · ","")&amp;IF(AND(ISNUMBER($AN224),$AN224&lt;FechaRef,IF($V224="Sub",N($X224),N($M224))&lt;1),"Vencida"&amp;" · ","")&amp;IF(AND(ObsObligatoria="Sí",ISNUMBER($AN224),$AN224&lt;FechaRef,IF($V224="Sub",N($X224),N($M224))&lt;1,$Q224=""),"Vencida sin observación"&amp;" · ",""),LEN(IF($C224="","Falta el nombre de la actividad"&amp;" · ","")&amp;IF(AND($V224="Sub",N($U224)=0),"Subactividad sin macroactividad arriba"&amp;" · ","")&amp;IF($AM224="","Sin fecha de inicio"&amp;" · ","")&amp;IF($AN224="","Sin fecha límite"&amp;" · ","")&amp;IF(AND(LEFT($C224,11)="[Jefatura] ",N($AL224)=0),"No se encuentra en la hoja de la jefatura (elíjala de nuevo en la lista)"&amp;" · ","")&amp;IF(OR(AND($E224&lt;&gt;"",NOT(ISNUMBER($E224))),AND($F224&lt;&gt;"",NOT(ISNUMBER($F224))),AND($G224&lt;&gt;"",NOT(ISNUMBER($G224)))),"Fecha no válida"&amp;" · ","")&amp;IF(AND(ISNUMBER($AM224),ISNUMBER($AN224),$AM224&gt;$AN224),"Inicio posterior a fecha límite"&amp;" · ","")&amp;IF(AND($V224="Macro",$H224&lt;&gt;"",OR(NOT(ISNUMBER($H224)),$H224&lt;0,$H224&gt;1)),"Peso fuera de rango"&amp;" · ","")&amp;IF(AND($V224="Sub",$H224&lt;&gt;""),"Las subactividades no llevan peso (valen igual dentro de su macroactividad)"&amp;" · ","")&amp;IF(AND(N($W224)&gt;0,COUNT($I224:$L224)&gt;0),"Con subactividades: deje vacías las semanas (se calculan solas)"&amp;" · ","")&amp;IF((COUNTIF($I224:$L224,"&gt;1")+COUNTIF($I224:$L224,"&lt;0")+COUNTA($I224:$L224)-COUNT($I224:$L224))&gt;0,"Avance fuera de rango 0-100%"&amp;" · ","")&amp;IF(OR(AND($J224&lt;&gt;"",$J224&lt;$I224),AND($K224&lt;&gt;"",$K224&lt;MAX($I224:$J224)),AND($L224&lt;&gt;"",$L224&lt;MAX($I224:$K224))),"Avance semanal decreciente"&amp;" · ","")&amp;IF(AND(ISNUMBER($AN224),$AN224&lt;FechaRef,IF($V224="Sub",N($X224),N($M224))&lt;1),"Vencida"&amp;" · ","")&amp;IF(AND(ObsObligatoria="Sí",ISNUMBER($AN224),$AN224&lt;FechaRef,IF($V224="Sub",N($X224),N($M224))&lt;1,$Q224=""),"Vencida sin observación"&amp;" · ",""))-3)))</f>
        <v/>
      </c>
      <c r="S224" s="64">
        <f>IF(NOT((COUNTA($B224:$D224)+COUNTA($G224:$L224)+COUNTA($Q224))&gt;0),"",IF(AND($V224="Sub",N($U224)&gt;0),IF(ISNUMBER(INDEX($AM$5:$AM$1000,$U224-4)),DATE(YEAR(INDEX($AM$5:$AM$1000,$U224-4)),MONTH(INDEX($AM$5:$AM$1000,$U224-4)),1),IF(ISNUMBER(INDEX($AN$5:$AN$1000,$U224-4)),DATE(YEAR(INDEX($AN$5:$AN$1000,$U224-4)),MONTH(INDEX($AN$5:$AN$1000,$U224-4)),1),MesCiclo)),IF(ISNUMBER($AM224),DATE(YEAR($AM224),MONTH($AM224),1),IF(ISNUMBER($AN224),DATE(YEAR($AN224),MONTH($AN224),1),MesCiclo))))</f>
        <v/>
      </c>
      <c r="T224" s="62">
        <f>IF(OR($S224="",$S224&lt;&gt;MesCiclo,$V224&lt;&gt;"Macro"),"",COUNTIFS($S$5:$S224,MesCiclo,$V$5:$V224,"Macro"))</f>
        <v/>
      </c>
      <c r="U224" s="62">
        <f>IF($V224="","",IF($V224="Macro",ROW(),IFERROR(LOOKUP(2,1/($V$5:$V224="Macro"),ROW($V$5:$V224)),0)))</f>
        <v/>
      </c>
      <c r="V224" s="62">
        <f>IF(NOT((COUNTA($B224:$D224)+COUNTA($G224:$L224)+COUNTA($Q224))&gt;0),"",IF($B224="Subactividad","Sub","Macro"))</f>
        <v/>
      </c>
      <c r="W224" s="62">
        <f>IF($V224="Macro",COUNTIFS($U$5:$U$1000,ROW(),$V$5:$V$1000,"Sub"),"")</f>
        <v/>
      </c>
      <c r="X224" s="62">
        <f>IF($V224="","",IF(ISNUMBER($G224),1,IFERROR(LOOKUP(2,1/($I224:$L224&lt;&gt;""),$I224:$L224),0)))</f>
        <v/>
      </c>
      <c r="Y224" s="62">
        <f>IF($V224="","",IF(AND(ISNUMBER($G224),$G224&lt;=IF($S224=MesCiclo,InicioCiclo,$S224+MOD(2-WEEKDAY($S224),7))+6),1,IF(ISNUMBER($I224),$I224,0)))</f>
        <v/>
      </c>
      <c r="Z224" s="62">
        <f>IF($V224="","",IF(AND(ISNUMBER($G224),$G224&lt;=IF($S224=MesCiclo,InicioCiclo,$S224+MOD(2-WEEKDAY($S224),7))+13),1,IF(ISNUMBER($J224),$J224,$Y224)))</f>
        <v/>
      </c>
      <c r="AA224" s="62">
        <f>IF($V224="","",IF(AND(ISNUMBER($G224),$G224&lt;=IF($S224=MesCiclo,InicioCiclo,$S224+MOD(2-WEEKDAY($S224),7))+20),1,IF(ISNUMBER($K224),$K224,$Z224)))</f>
        <v/>
      </c>
      <c r="AB224" s="62">
        <f>IF($V224="","",IF(AND(ISNUMBER($G224),$G224&lt;=IF($S224=MesCiclo,InicioCiclo,$S224+MOD(2-WEEKDAY($S224),7))+27),1,IF(ISNUMBER($L224),$L224,$AA224)))</f>
        <v/>
      </c>
      <c r="AC224" s="62">
        <f>IF($V224="","",IF(AND(ISNUMBER($G224),$G224&lt;=IF($S224=MesCiclo,InicioCiclo,$S224+MOD(2-WEEKDAY($S224),7))+6),1,IF(N($W224)&gt;0,AVERAGEIFS($Y$5:$Y$1000,$U$5:$U$1000,ROW(),$V$5:$V$1000,"Sub"),$Y224)))</f>
        <v/>
      </c>
      <c r="AD224" s="62">
        <f>IF($V224="","",IF(AND(ISNUMBER($G224),$G224&lt;=IF($S224=MesCiclo,InicioCiclo,$S224+MOD(2-WEEKDAY($S224),7))+13),1,IF(N($W224)&gt;0,AVERAGEIFS($Z$5:$Z$1000,$U$5:$U$1000,ROW(),$V$5:$V$1000,"Sub"),$Z224)))</f>
        <v/>
      </c>
      <c r="AE224" s="62">
        <f>IF($V224="","",IF(AND(ISNUMBER($G224),$G224&lt;=IF($S224=MesCiclo,InicioCiclo,$S224+MOD(2-WEEKDAY($S224),7))+20),1,IF(N($W224)&gt;0,AVERAGEIFS($AA$5:$AA$1000,$U$5:$U$1000,ROW(),$V$5:$V$1000,"Sub"),$AA224)))</f>
        <v/>
      </c>
      <c r="AF224" s="62">
        <f>IF($V224="","",IF(AND(ISNUMBER($G224),$G224&lt;=IF($S224=MesCiclo,InicioCiclo,$S224+MOD(2-WEEKDAY($S224),7))+27),1,IF(N($W224)&gt;0,AVERAGEIFS($AB$5:$AB$1000,$U$5:$U$1000,ROW(),$V$5:$V$1000,"Sub"),$AB224)))</f>
        <v/>
      </c>
      <c r="AG224" s="62">
        <f>IF($V224&lt;&gt;"Macro","",IF(COUNTIFS($S$5:$S$1000,$S224,$V$5:$V$1000,"Macro",$H$5:$H$1000,"&gt;0")=0,1/COUNTIFS($S$5:$S$1000,$S224,$V$5:$V$1000,"Macro"),IF(AND(ISNUMBER($H224),N($H224)&gt;0),$H224,SUMIFS($H$5:$H$1000,$S$5:$S$1000,$S224,$V$5:$V$1000,"Macro")/COUNTIFS($S$5:$S$1000,$S224,$V$5:$V$1000,"Macro",$H$5:$H$1000,"&gt;0"))/(COUNTIFS($S$5:$S$1000,$S224,$V$5:$V$1000,"Macro")*SUMIFS($H$5:$H$1000,$S$5:$S$1000,$S224,$V$5:$V$1000,"Macro")/COUNTIFS($S$5:$S$1000,$S224,$V$5:$V$1000,"Macro",$H$5:$H$1000,"&gt;0"))))</f>
        <v/>
      </c>
      <c r="AH224" s="62" t="n"/>
      <c r="AI224" s="62" t="n"/>
      <c r="AJ224" s="62" t="n"/>
      <c r="AK224" s="62" t="n"/>
      <c r="AL224" s="62">
        <f>IF(LEFT($C224,11)="[Jefatura] ",IFERROR(MATCH("Riesgo Operacional|"&amp;MID($C224,12,500),rDname_ADM,0),0),"")</f>
        <v/>
      </c>
      <c r="AM224" s="62">
        <f>IF(N($AL224)&gt;0,INDEX(rIni_ADM,$AL224),IF(ISNUMBER($E224),$E224,""))</f>
        <v/>
      </c>
      <c r="AN224" s="62">
        <f>IF(N($AL224)&gt;0,INDEX(rLim_ADM,$AL224),IF(ISNUMBER($F224),$F224,""))</f>
        <v/>
      </c>
    </row>
    <row r="225">
      <c r="A225" s="56">
        <f>IF(NOT((COUNTA($B225:$D225)+COUNTA($G225:$L225)+COUNTA($Q225))&gt;0),"",IF($V225="Macro",COUNTIFS($V$5:$V225,"Macro",$S$5:$S225,$S225),IF(N($U225)=0,"?",COUNTIFS(INDEX($V$5:$V$1000,1):INDEX($V$5:$V$1000,$U225-4),"Macro",INDEX($S$5:$S$1000,1):INDEX($S$5:$S$1000,$U225-4),INDEX($S$5:$S$1000,$U225-4))&amp;"."&amp;COUNTIFS($U$5:$U225,$U225,$V$5:$V225,"Sub"))))</f>
        <v/>
      </c>
      <c r="B225" s="57" t="n"/>
      <c r="C225" s="58" t="n"/>
      <c r="D225" s="58" t="n"/>
      <c r="E225" s="59">
        <f>IF(N($AL225)&gt;0,INDEX(rIni_ADM,$AL225),"")</f>
        <v/>
      </c>
      <c r="F225" s="59">
        <f>IF(N($AL225)&gt;0,INDEX(rLim_ADM,$AL225),"")</f>
        <v/>
      </c>
      <c r="G225" s="59" t="n"/>
      <c r="H225" s="60" t="n"/>
      <c r="I225" s="60" t="n"/>
      <c r="J225" s="60" t="n"/>
      <c r="K225" s="60" t="n"/>
      <c r="L225" s="60" t="n"/>
      <c r="M225" s="61">
        <f>IF(NOT((COUNTA($B225:$D225)+COUNTA($G225:$L225)+COUNTA($Q225))&gt;0),"",IF($V225="Sub",IFERROR($X225/INDEX($W$5:$W$1000,$U225-4),""),IF(ISNUMBER($G225),1,IF(N($W225)&gt;0,AVERAGEIFS($X$5:$X$1000,$U$5:$U$1000,ROW(),$V$5:$V$1000,"Sub"),$X225))))</f>
        <v/>
      </c>
      <c r="N225" s="56">
        <f>IF(OR($M225="",$V225="Sub"),"",IF($M225&gt;=1,"Completado",IF($M225&gt;0,"En curso","Pendiente")))</f>
        <v/>
      </c>
      <c r="O225" s="56">
        <f>IF(OR(NOT((COUNTA($B225:$D225)+COUNTA($G225:$L225)+COUNTA($Q225))&gt;0),$V225="Sub"),"",IF(ISNUMBER($G225),IF(AND(ISNUMBER($AN225),$G225&gt;$AN225),"Cumplida con "&amp;($G225-$AN225)&amp;IF($G225-$AN225=1," día"," días")&amp;" de retraso","Cumplida"),IF(N($M225)&gt;=1,"Cumplida",IF(NOT(ISNUMBER($AN225)),"Sin fecha límite",IF($AN225&lt;FechaRef,"Vencida hace "&amp;(FechaRef-$AN225)&amp;IF(FechaRef-$AN225=1," día"," días"),IF($AN225=FechaRef,"Vence hoy",IF($AN225-FechaRef&lt;=DiasAlerta,"Vence en "&amp;($AN225-FechaRef)&amp;IF($AN225-FechaRef=1," día"," días"),"En plazo")))))))</f>
        <v/>
      </c>
      <c r="P225" s="62" t="n"/>
      <c r="Q225" s="58" t="n"/>
      <c r="R225" s="63">
        <f>IF(NOT((COUNTA($B225:$D225)+COUNTA($G225:$L225)+COUNTA($Q225))&gt;0),"",IF((IF($C225="","Falta el nombre de la actividad"&amp;" · ","")&amp;IF(AND($V225="Sub",N($U225)=0),"Subactividad sin macroactividad arriba"&amp;" · ","")&amp;IF($AM225="","Sin fecha de inicio"&amp;" · ","")&amp;IF($AN225="","Sin fecha límite"&amp;" · ","")&amp;IF(AND(LEFT($C225,11)="[Jefatura] ",N($AL225)=0),"No se encuentra en la hoja de la jefatura (elíjala de nuevo en la lista)"&amp;" · ","")&amp;IF(OR(AND($E225&lt;&gt;"",NOT(ISNUMBER($E225))),AND($F225&lt;&gt;"",NOT(ISNUMBER($F225))),AND($G225&lt;&gt;"",NOT(ISNUMBER($G225)))),"Fecha no válida"&amp;" · ","")&amp;IF(AND(ISNUMBER($AM225),ISNUMBER($AN225),$AM225&gt;$AN225),"Inicio posterior a fecha límite"&amp;" · ","")&amp;IF(AND($V225="Macro",$H225&lt;&gt;"",OR(NOT(ISNUMBER($H225)),$H225&lt;0,$H225&gt;1)),"Peso fuera de rango"&amp;" · ","")&amp;IF(AND($V225="Sub",$H225&lt;&gt;""),"Las subactividades no llevan peso (valen igual dentro de su macroactividad)"&amp;" · ","")&amp;IF(AND(N($W225)&gt;0,COUNT($I225:$L225)&gt;0),"Con subactividades: deje vacías las semanas (se calculan solas)"&amp;" · ","")&amp;IF((COUNTIF($I225:$L225,"&gt;1")+COUNTIF($I225:$L225,"&lt;0")+COUNTA($I225:$L225)-COUNT($I225:$L225))&gt;0,"Avance fuera de rango 0-100%"&amp;" · ","")&amp;IF(OR(AND($J225&lt;&gt;"",$J225&lt;$I225),AND($K225&lt;&gt;"",$K225&lt;MAX($I225:$J225)),AND($L225&lt;&gt;"",$L225&lt;MAX($I225:$K225))),"Avance semanal decreciente"&amp;" · ","")&amp;IF(AND(ISNUMBER($AN225),$AN225&lt;FechaRef,IF($V225="Sub",N($X225),N($M225))&lt;1),"Vencida"&amp;" · ","")&amp;IF(AND(ObsObligatoria="Sí",ISNUMBER($AN225),$AN225&lt;FechaRef,IF($V225="Sub",N($X225),N($M225))&lt;1,$Q225=""),"Vencida sin observación"&amp;" · ",""))="","✔ OK","⚠ "&amp;LEFT(IF($C225="","Falta el nombre de la actividad"&amp;" · ","")&amp;IF(AND($V225="Sub",N($U225)=0),"Subactividad sin macroactividad arriba"&amp;" · ","")&amp;IF($AM225="","Sin fecha de inicio"&amp;" · ","")&amp;IF($AN225="","Sin fecha límite"&amp;" · ","")&amp;IF(AND(LEFT($C225,11)="[Jefatura] ",N($AL225)=0),"No se encuentra en la hoja de la jefatura (elíjala de nuevo en la lista)"&amp;" · ","")&amp;IF(OR(AND($E225&lt;&gt;"",NOT(ISNUMBER($E225))),AND($F225&lt;&gt;"",NOT(ISNUMBER($F225))),AND($G225&lt;&gt;"",NOT(ISNUMBER($G225)))),"Fecha no válida"&amp;" · ","")&amp;IF(AND(ISNUMBER($AM225),ISNUMBER($AN225),$AM225&gt;$AN225),"Inicio posterior a fecha límite"&amp;" · ","")&amp;IF(AND($V225="Macro",$H225&lt;&gt;"",OR(NOT(ISNUMBER($H225)),$H225&lt;0,$H225&gt;1)),"Peso fuera de rango"&amp;" · ","")&amp;IF(AND($V225="Sub",$H225&lt;&gt;""),"Las subactividades no llevan peso (valen igual dentro de su macroactividad)"&amp;" · ","")&amp;IF(AND(N($W225)&gt;0,COUNT($I225:$L225)&gt;0),"Con subactividades: deje vacías las semanas (se calculan solas)"&amp;" · ","")&amp;IF((COUNTIF($I225:$L225,"&gt;1")+COUNTIF($I225:$L225,"&lt;0")+COUNTA($I225:$L225)-COUNT($I225:$L225))&gt;0,"Avance fuera de rango 0-100%"&amp;" · ","")&amp;IF(OR(AND($J225&lt;&gt;"",$J225&lt;$I225),AND($K225&lt;&gt;"",$K225&lt;MAX($I225:$J225)),AND($L225&lt;&gt;"",$L225&lt;MAX($I225:$K225))),"Avance semanal decreciente"&amp;" · ","")&amp;IF(AND(ISNUMBER($AN225),$AN225&lt;FechaRef,IF($V225="Sub",N($X225),N($M225))&lt;1),"Vencida"&amp;" · ","")&amp;IF(AND(ObsObligatoria="Sí",ISNUMBER($AN225),$AN225&lt;FechaRef,IF($V225="Sub",N($X225),N($M225))&lt;1,$Q225=""),"Vencida sin observación"&amp;" · ",""),LEN(IF($C225="","Falta el nombre de la actividad"&amp;" · ","")&amp;IF(AND($V225="Sub",N($U225)=0),"Subactividad sin macroactividad arriba"&amp;" · ","")&amp;IF($AM225="","Sin fecha de inicio"&amp;" · ","")&amp;IF($AN225="","Sin fecha límite"&amp;" · ","")&amp;IF(AND(LEFT($C225,11)="[Jefatura] ",N($AL225)=0),"No se encuentra en la hoja de la jefatura (elíjala de nuevo en la lista)"&amp;" · ","")&amp;IF(OR(AND($E225&lt;&gt;"",NOT(ISNUMBER($E225))),AND($F225&lt;&gt;"",NOT(ISNUMBER($F225))),AND($G225&lt;&gt;"",NOT(ISNUMBER($G225)))),"Fecha no válida"&amp;" · ","")&amp;IF(AND(ISNUMBER($AM225),ISNUMBER($AN225),$AM225&gt;$AN225),"Inicio posterior a fecha límite"&amp;" · ","")&amp;IF(AND($V225="Macro",$H225&lt;&gt;"",OR(NOT(ISNUMBER($H225)),$H225&lt;0,$H225&gt;1)),"Peso fuera de rango"&amp;" · ","")&amp;IF(AND($V225="Sub",$H225&lt;&gt;""),"Las subactividades no llevan peso (valen igual dentro de su macroactividad)"&amp;" · ","")&amp;IF(AND(N($W225)&gt;0,COUNT($I225:$L225)&gt;0),"Con subactividades: deje vacías las semanas (se calculan solas)"&amp;" · ","")&amp;IF((COUNTIF($I225:$L225,"&gt;1")+COUNTIF($I225:$L225,"&lt;0")+COUNTA($I225:$L225)-COUNT($I225:$L225))&gt;0,"Avance fuera de rango 0-100%"&amp;" · ","")&amp;IF(OR(AND($J225&lt;&gt;"",$J225&lt;$I225),AND($K225&lt;&gt;"",$K225&lt;MAX($I225:$J225)),AND($L225&lt;&gt;"",$L225&lt;MAX($I225:$K225))),"Avance semanal decreciente"&amp;" · ","")&amp;IF(AND(ISNUMBER($AN225),$AN225&lt;FechaRef,IF($V225="Sub",N($X225),N($M225))&lt;1),"Vencida"&amp;" · ","")&amp;IF(AND(ObsObligatoria="Sí",ISNUMBER($AN225),$AN225&lt;FechaRef,IF($V225="Sub",N($X225),N($M225))&lt;1,$Q225=""),"Vencida sin observación"&amp;" · ",""))-3)))</f>
        <v/>
      </c>
      <c r="S225" s="64">
        <f>IF(NOT((COUNTA($B225:$D225)+COUNTA($G225:$L225)+COUNTA($Q225))&gt;0),"",IF(AND($V225="Sub",N($U225)&gt;0),IF(ISNUMBER(INDEX($AM$5:$AM$1000,$U225-4)),DATE(YEAR(INDEX($AM$5:$AM$1000,$U225-4)),MONTH(INDEX($AM$5:$AM$1000,$U225-4)),1),IF(ISNUMBER(INDEX($AN$5:$AN$1000,$U225-4)),DATE(YEAR(INDEX($AN$5:$AN$1000,$U225-4)),MONTH(INDEX($AN$5:$AN$1000,$U225-4)),1),MesCiclo)),IF(ISNUMBER($AM225),DATE(YEAR($AM225),MONTH($AM225),1),IF(ISNUMBER($AN225),DATE(YEAR($AN225),MONTH($AN225),1),MesCiclo))))</f>
        <v/>
      </c>
      <c r="T225" s="62">
        <f>IF(OR($S225="",$S225&lt;&gt;MesCiclo,$V225&lt;&gt;"Macro"),"",COUNTIFS($S$5:$S225,MesCiclo,$V$5:$V225,"Macro"))</f>
        <v/>
      </c>
      <c r="U225" s="62">
        <f>IF($V225="","",IF($V225="Macro",ROW(),IFERROR(LOOKUP(2,1/($V$5:$V225="Macro"),ROW($V$5:$V225)),0)))</f>
        <v/>
      </c>
      <c r="V225" s="62">
        <f>IF(NOT((COUNTA($B225:$D225)+COUNTA($G225:$L225)+COUNTA($Q225))&gt;0),"",IF($B225="Subactividad","Sub","Macro"))</f>
        <v/>
      </c>
      <c r="W225" s="62">
        <f>IF($V225="Macro",COUNTIFS($U$5:$U$1000,ROW(),$V$5:$V$1000,"Sub"),"")</f>
        <v/>
      </c>
      <c r="X225" s="62">
        <f>IF($V225="","",IF(ISNUMBER($G225),1,IFERROR(LOOKUP(2,1/($I225:$L225&lt;&gt;""),$I225:$L225),0)))</f>
        <v/>
      </c>
      <c r="Y225" s="62">
        <f>IF($V225="","",IF(AND(ISNUMBER($G225),$G225&lt;=IF($S225=MesCiclo,InicioCiclo,$S225+MOD(2-WEEKDAY($S225),7))+6),1,IF(ISNUMBER($I225),$I225,0)))</f>
        <v/>
      </c>
      <c r="Z225" s="62">
        <f>IF($V225="","",IF(AND(ISNUMBER($G225),$G225&lt;=IF($S225=MesCiclo,InicioCiclo,$S225+MOD(2-WEEKDAY($S225),7))+13),1,IF(ISNUMBER($J225),$J225,$Y225)))</f>
        <v/>
      </c>
      <c r="AA225" s="62">
        <f>IF($V225="","",IF(AND(ISNUMBER($G225),$G225&lt;=IF($S225=MesCiclo,InicioCiclo,$S225+MOD(2-WEEKDAY($S225),7))+20),1,IF(ISNUMBER($K225),$K225,$Z225)))</f>
        <v/>
      </c>
      <c r="AB225" s="62">
        <f>IF($V225="","",IF(AND(ISNUMBER($G225),$G225&lt;=IF($S225=MesCiclo,InicioCiclo,$S225+MOD(2-WEEKDAY($S225),7))+27),1,IF(ISNUMBER($L225),$L225,$AA225)))</f>
        <v/>
      </c>
      <c r="AC225" s="62">
        <f>IF($V225="","",IF(AND(ISNUMBER($G225),$G225&lt;=IF($S225=MesCiclo,InicioCiclo,$S225+MOD(2-WEEKDAY($S225),7))+6),1,IF(N($W225)&gt;0,AVERAGEIFS($Y$5:$Y$1000,$U$5:$U$1000,ROW(),$V$5:$V$1000,"Sub"),$Y225)))</f>
        <v/>
      </c>
      <c r="AD225" s="62">
        <f>IF($V225="","",IF(AND(ISNUMBER($G225),$G225&lt;=IF($S225=MesCiclo,InicioCiclo,$S225+MOD(2-WEEKDAY($S225),7))+13),1,IF(N($W225)&gt;0,AVERAGEIFS($Z$5:$Z$1000,$U$5:$U$1000,ROW(),$V$5:$V$1000,"Sub"),$Z225)))</f>
        <v/>
      </c>
      <c r="AE225" s="62">
        <f>IF($V225="","",IF(AND(ISNUMBER($G225),$G225&lt;=IF($S225=MesCiclo,InicioCiclo,$S225+MOD(2-WEEKDAY($S225),7))+20),1,IF(N($W225)&gt;0,AVERAGEIFS($AA$5:$AA$1000,$U$5:$U$1000,ROW(),$V$5:$V$1000,"Sub"),$AA225)))</f>
        <v/>
      </c>
      <c r="AF225" s="62">
        <f>IF($V225="","",IF(AND(ISNUMBER($G225),$G225&lt;=IF($S225=MesCiclo,InicioCiclo,$S225+MOD(2-WEEKDAY($S225),7))+27),1,IF(N($W225)&gt;0,AVERAGEIFS($AB$5:$AB$1000,$U$5:$U$1000,ROW(),$V$5:$V$1000,"Sub"),$AB225)))</f>
        <v/>
      </c>
      <c r="AG225" s="62">
        <f>IF($V225&lt;&gt;"Macro","",IF(COUNTIFS($S$5:$S$1000,$S225,$V$5:$V$1000,"Macro",$H$5:$H$1000,"&gt;0")=0,1/COUNTIFS($S$5:$S$1000,$S225,$V$5:$V$1000,"Macro"),IF(AND(ISNUMBER($H225),N($H225)&gt;0),$H225,SUMIFS($H$5:$H$1000,$S$5:$S$1000,$S225,$V$5:$V$1000,"Macro")/COUNTIFS($S$5:$S$1000,$S225,$V$5:$V$1000,"Macro",$H$5:$H$1000,"&gt;0"))/(COUNTIFS($S$5:$S$1000,$S225,$V$5:$V$1000,"Macro")*SUMIFS($H$5:$H$1000,$S$5:$S$1000,$S225,$V$5:$V$1000,"Macro")/COUNTIFS($S$5:$S$1000,$S225,$V$5:$V$1000,"Macro",$H$5:$H$1000,"&gt;0"))))</f>
        <v/>
      </c>
      <c r="AH225" s="62" t="n"/>
      <c r="AI225" s="62" t="n"/>
      <c r="AJ225" s="62" t="n"/>
      <c r="AK225" s="62" t="n"/>
      <c r="AL225" s="62">
        <f>IF(LEFT($C225,11)="[Jefatura] ",IFERROR(MATCH("Riesgo Operacional|"&amp;MID($C225,12,500),rDname_ADM,0),0),"")</f>
        <v/>
      </c>
      <c r="AM225" s="62">
        <f>IF(N($AL225)&gt;0,INDEX(rIni_ADM,$AL225),IF(ISNUMBER($E225),$E225,""))</f>
        <v/>
      </c>
      <c r="AN225" s="62">
        <f>IF(N($AL225)&gt;0,INDEX(rLim_ADM,$AL225),IF(ISNUMBER($F225),$F225,""))</f>
        <v/>
      </c>
    </row>
    <row r="226">
      <c r="A226" s="56">
        <f>IF(NOT((COUNTA($B226:$D226)+COUNTA($G226:$L226)+COUNTA($Q226))&gt;0),"",IF($V226="Macro",COUNTIFS($V$5:$V226,"Macro",$S$5:$S226,$S226),IF(N($U226)=0,"?",COUNTIFS(INDEX($V$5:$V$1000,1):INDEX($V$5:$V$1000,$U226-4),"Macro",INDEX($S$5:$S$1000,1):INDEX($S$5:$S$1000,$U226-4),INDEX($S$5:$S$1000,$U226-4))&amp;"."&amp;COUNTIFS($U$5:$U226,$U226,$V$5:$V226,"Sub"))))</f>
        <v/>
      </c>
      <c r="B226" s="57" t="n"/>
      <c r="C226" s="58" t="n"/>
      <c r="D226" s="58" t="n"/>
      <c r="E226" s="59">
        <f>IF(N($AL226)&gt;0,INDEX(rIni_ADM,$AL226),"")</f>
        <v/>
      </c>
      <c r="F226" s="59">
        <f>IF(N($AL226)&gt;0,INDEX(rLim_ADM,$AL226),"")</f>
        <v/>
      </c>
      <c r="G226" s="59" t="n"/>
      <c r="H226" s="60" t="n"/>
      <c r="I226" s="60" t="n"/>
      <c r="J226" s="60" t="n"/>
      <c r="K226" s="60" t="n"/>
      <c r="L226" s="60" t="n"/>
      <c r="M226" s="61">
        <f>IF(NOT((COUNTA($B226:$D226)+COUNTA($G226:$L226)+COUNTA($Q226))&gt;0),"",IF($V226="Sub",IFERROR($X226/INDEX($W$5:$W$1000,$U226-4),""),IF(ISNUMBER($G226),1,IF(N($W226)&gt;0,AVERAGEIFS($X$5:$X$1000,$U$5:$U$1000,ROW(),$V$5:$V$1000,"Sub"),$X226))))</f>
        <v/>
      </c>
      <c r="N226" s="56">
        <f>IF(OR($M226="",$V226="Sub"),"",IF($M226&gt;=1,"Completado",IF($M226&gt;0,"En curso","Pendiente")))</f>
        <v/>
      </c>
      <c r="O226" s="56">
        <f>IF(OR(NOT((COUNTA($B226:$D226)+COUNTA($G226:$L226)+COUNTA($Q226))&gt;0),$V226="Sub"),"",IF(ISNUMBER($G226),IF(AND(ISNUMBER($AN226),$G226&gt;$AN226),"Cumplida con "&amp;($G226-$AN226)&amp;IF($G226-$AN226=1," día"," días")&amp;" de retraso","Cumplida"),IF(N($M226)&gt;=1,"Cumplida",IF(NOT(ISNUMBER($AN226)),"Sin fecha límite",IF($AN226&lt;FechaRef,"Vencida hace "&amp;(FechaRef-$AN226)&amp;IF(FechaRef-$AN226=1," día"," días"),IF($AN226=FechaRef,"Vence hoy",IF($AN226-FechaRef&lt;=DiasAlerta,"Vence en "&amp;($AN226-FechaRef)&amp;IF($AN226-FechaRef=1," día"," días"),"En plazo")))))))</f>
        <v/>
      </c>
      <c r="P226" s="62" t="n"/>
      <c r="Q226" s="58" t="n"/>
      <c r="R226" s="63">
        <f>IF(NOT((COUNTA($B226:$D226)+COUNTA($G226:$L226)+COUNTA($Q226))&gt;0),"",IF((IF($C226="","Falta el nombre de la actividad"&amp;" · ","")&amp;IF(AND($V226="Sub",N($U226)=0),"Subactividad sin macroactividad arriba"&amp;" · ","")&amp;IF($AM226="","Sin fecha de inicio"&amp;" · ","")&amp;IF($AN226="","Sin fecha límite"&amp;" · ","")&amp;IF(AND(LEFT($C226,11)="[Jefatura] ",N($AL226)=0),"No se encuentra en la hoja de la jefatura (elíjala de nuevo en la lista)"&amp;" · ","")&amp;IF(OR(AND($E226&lt;&gt;"",NOT(ISNUMBER($E226))),AND($F226&lt;&gt;"",NOT(ISNUMBER($F226))),AND($G226&lt;&gt;"",NOT(ISNUMBER($G226)))),"Fecha no válida"&amp;" · ","")&amp;IF(AND(ISNUMBER($AM226),ISNUMBER($AN226),$AM226&gt;$AN226),"Inicio posterior a fecha límite"&amp;" · ","")&amp;IF(AND($V226="Macro",$H226&lt;&gt;"",OR(NOT(ISNUMBER($H226)),$H226&lt;0,$H226&gt;1)),"Peso fuera de rango"&amp;" · ","")&amp;IF(AND($V226="Sub",$H226&lt;&gt;""),"Las subactividades no llevan peso (valen igual dentro de su macroactividad)"&amp;" · ","")&amp;IF(AND(N($W226)&gt;0,COUNT($I226:$L226)&gt;0),"Con subactividades: deje vacías las semanas (se calculan solas)"&amp;" · ","")&amp;IF((COUNTIF($I226:$L226,"&gt;1")+COUNTIF($I226:$L226,"&lt;0")+COUNTA($I226:$L226)-COUNT($I226:$L226))&gt;0,"Avance fuera de rango 0-100%"&amp;" · ","")&amp;IF(OR(AND($J226&lt;&gt;"",$J226&lt;$I226),AND($K226&lt;&gt;"",$K226&lt;MAX($I226:$J226)),AND($L226&lt;&gt;"",$L226&lt;MAX($I226:$K226))),"Avance semanal decreciente"&amp;" · ","")&amp;IF(AND(ISNUMBER($AN226),$AN226&lt;FechaRef,IF($V226="Sub",N($X226),N($M226))&lt;1),"Vencida"&amp;" · ","")&amp;IF(AND(ObsObligatoria="Sí",ISNUMBER($AN226),$AN226&lt;FechaRef,IF($V226="Sub",N($X226),N($M226))&lt;1,$Q226=""),"Vencida sin observación"&amp;" · ",""))="","✔ OK","⚠ "&amp;LEFT(IF($C226="","Falta el nombre de la actividad"&amp;" · ","")&amp;IF(AND($V226="Sub",N($U226)=0),"Subactividad sin macroactividad arriba"&amp;" · ","")&amp;IF($AM226="","Sin fecha de inicio"&amp;" · ","")&amp;IF($AN226="","Sin fecha límite"&amp;" · ","")&amp;IF(AND(LEFT($C226,11)="[Jefatura] ",N($AL226)=0),"No se encuentra en la hoja de la jefatura (elíjala de nuevo en la lista)"&amp;" · ","")&amp;IF(OR(AND($E226&lt;&gt;"",NOT(ISNUMBER($E226))),AND($F226&lt;&gt;"",NOT(ISNUMBER($F226))),AND($G226&lt;&gt;"",NOT(ISNUMBER($G226)))),"Fecha no válida"&amp;" · ","")&amp;IF(AND(ISNUMBER($AM226),ISNUMBER($AN226),$AM226&gt;$AN226),"Inicio posterior a fecha límite"&amp;" · ","")&amp;IF(AND($V226="Macro",$H226&lt;&gt;"",OR(NOT(ISNUMBER($H226)),$H226&lt;0,$H226&gt;1)),"Peso fuera de rango"&amp;" · ","")&amp;IF(AND($V226="Sub",$H226&lt;&gt;""),"Las subactividades no llevan peso (valen igual dentro de su macroactividad)"&amp;" · ","")&amp;IF(AND(N($W226)&gt;0,COUNT($I226:$L226)&gt;0),"Con subactividades: deje vacías las semanas (se calculan solas)"&amp;" · ","")&amp;IF((COUNTIF($I226:$L226,"&gt;1")+COUNTIF($I226:$L226,"&lt;0")+COUNTA($I226:$L226)-COUNT($I226:$L226))&gt;0,"Avance fuera de rango 0-100%"&amp;" · ","")&amp;IF(OR(AND($J226&lt;&gt;"",$J226&lt;$I226),AND($K226&lt;&gt;"",$K226&lt;MAX($I226:$J226)),AND($L226&lt;&gt;"",$L226&lt;MAX($I226:$K226))),"Avance semanal decreciente"&amp;" · ","")&amp;IF(AND(ISNUMBER($AN226),$AN226&lt;FechaRef,IF($V226="Sub",N($X226),N($M226))&lt;1),"Vencida"&amp;" · ","")&amp;IF(AND(ObsObligatoria="Sí",ISNUMBER($AN226),$AN226&lt;FechaRef,IF($V226="Sub",N($X226),N($M226))&lt;1,$Q226=""),"Vencida sin observación"&amp;" · ",""),LEN(IF($C226="","Falta el nombre de la actividad"&amp;" · ","")&amp;IF(AND($V226="Sub",N($U226)=0),"Subactividad sin macroactividad arriba"&amp;" · ","")&amp;IF($AM226="","Sin fecha de inicio"&amp;" · ","")&amp;IF($AN226="","Sin fecha límite"&amp;" · ","")&amp;IF(AND(LEFT($C226,11)="[Jefatura] ",N($AL226)=0),"No se encuentra en la hoja de la jefatura (elíjala de nuevo en la lista)"&amp;" · ","")&amp;IF(OR(AND($E226&lt;&gt;"",NOT(ISNUMBER($E226))),AND($F226&lt;&gt;"",NOT(ISNUMBER($F226))),AND($G226&lt;&gt;"",NOT(ISNUMBER($G226)))),"Fecha no válida"&amp;" · ","")&amp;IF(AND(ISNUMBER($AM226),ISNUMBER($AN226),$AM226&gt;$AN226),"Inicio posterior a fecha límite"&amp;" · ","")&amp;IF(AND($V226="Macro",$H226&lt;&gt;"",OR(NOT(ISNUMBER($H226)),$H226&lt;0,$H226&gt;1)),"Peso fuera de rango"&amp;" · ","")&amp;IF(AND($V226="Sub",$H226&lt;&gt;""),"Las subactividades no llevan peso (valen igual dentro de su macroactividad)"&amp;" · ","")&amp;IF(AND(N($W226)&gt;0,COUNT($I226:$L226)&gt;0),"Con subactividades: deje vacías las semanas (se calculan solas)"&amp;" · ","")&amp;IF((COUNTIF($I226:$L226,"&gt;1")+COUNTIF($I226:$L226,"&lt;0")+COUNTA($I226:$L226)-COUNT($I226:$L226))&gt;0,"Avance fuera de rango 0-100%"&amp;" · ","")&amp;IF(OR(AND($J226&lt;&gt;"",$J226&lt;$I226),AND($K226&lt;&gt;"",$K226&lt;MAX($I226:$J226)),AND($L226&lt;&gt;"",$L226&lt;MAX($I226:$K226))),"Avance semanal decreciente"&amp;" · ","")&amp;IF(AND(ISNUMBER($AN226),$AN226&lt;FechaRef,IF($V226="Sub",N($X226),N($M226))&lt;1),"Vencida"&amp;" · ","")&amp;IF(AND(ObsObligatoria="Sí",ISNUMBER($AN226),$AN226&lt;FechaRef,IF($V226="Sub",N($X226),N($M226))&lt;1,$Q226=""),"Vencida sin observación"&amp;" · ",""))-3)))</f>
        <v/>
      </c>
      <c r="S226" s="64">
        <f>IF(NOT((COUNTA($B226:$D226)+COUNTA($G226:$L226)+COUNTA($Q226))&gt;0),"",IF(AND($V226="Sub",N($U226)&gt;0),IF(ISNUMBER(INDEX($AM$5:$AM$1000,$U226-4)),DATE(YEAR(INDEX($AM$5:$AM$1000,$U226-4)),MONTH(INDEX($AM$5:$AM$1000,$U226-4)),1),IF(ISNUMBER(INDEX($AN$5:$AN$1000,$U226-4)),DATE(YEAR(INDEX($AN$5:$AN$1000,$U226-4)),MONTH(INDEX($AN$5:$AN$1000,$U226-4)),1),MesCiclo)),IF(ISNUMBER($AM226),DATE(YEAR($AM226),MONTH($AM226),1),IF(ISNUMBER($AN226),DATE(YEAR($AN226),MONTH($AN226),1),MesCiclo))))</f>
        <v/>
      </c>
      <c r="T226" s="62">
        <f>IF(OR($S226="",$S226&lt;&gt;MesCiclo,$V226&lt;&gt;"Macro"),"",COUNTIFS($S$5:$S226,MesCiclo,$V$5:$V226,"Macro"))</f>
        <v/>
      </c>
      <c r="U226" s="62">
        <f>IF($V226="","",IF($V226="Macro",ROW(),IFERROR(LOOKUP(2,1/($V$5:$V226="Macro"),ROW($V$5:$V226)),0)))</f>
        <v/>
      </c>
      <c r="V226" s="62">
        <f>IF(NOT((COUNTA($B226:$D226)+COUNTA($G226:$L226)+COUNTA($Q226))&gt;0),"",IF($B226="Subactividad","Sub","Macro"))</f>
        <v/>
      </c>
      <c r="W226" s="62">
        <f>IF($V226="Macro",COUNTIFS($U$5:$U$1000,ROW(),$V$5:$V$1000,"Sub"),"")</f>
        <v/>
      </c>
      <c r="X226" s="62">
        <f>IF($V226="","",IF(ISNUMBER($G226),1,IFERROR(LOOKUP(2,1/($I226:$L226&lt;&gt;""),$I226:$L226),0)))</f>
        <v/>
      </c>
      <c r="Y226" s="62">
        <f>IF($V226="","",IF(AND(ISNUMBER($G226),$G226&lt;=IF($S226=MesCiclo,InicioCiclo,$S226+MOD(2-WEEKDAY($S226),7))+6),1,IF(ISNUMBER($I226),$I226,0)))</f>
        <v/>
      </c>
      <c r="Z226" s="62">
        <f>IF($V226="","",IF(AND(ISNUMBER($G226),$G226&lt;=IF($S226=MesCiclo,InicioCiclo,$S226+MOD(2-WEEKDAY($S226),7))+13),1,IF(ISNUMBER($J226),$J226,$Y226)))</f>
        <v/>
      </c>
      <c r="AA226" s="62">
        <f>IF($V226="","",IF(AND(ISNUMBER($G226),$G226&lt;=IF($S226=MesCiclo,InicioCiclo,$S226+MOD(2-WEEKDAY($S226),7))+20),1,IF(ISNUMBER($K226),$K226,$Z226)))</f>
        <v/>
      </c>
      <c r="AB226" s="62">
        <f>IF($V226="","",IF(AND(ISNUMBER($G226),$G226&lt;=IF($S226=MesCiclo,InicioCiclo,$S226+MOD(2-WEEKDAY($S226),7))+27),1,IF(ISNUMBER($L226),$L226,$AA226)))</f>
        <v/>
      </c>
      <c r="AC226" s="62">
        <f>IF($V226="","",IF(AND(ISNUMBER($G226),$G226&lt;=IF($S226=MesCiclo,InicioCiclo,$S226+MOD(2-WEEKDAY($S226),7))+6),1,IF(N($W226)&gt;0,AVERAGEIFS($Y$5:$Y$1000,$U$5:$U$1000,ROW(),$V$5:$V$1000,"Sub"),$Y226)))</f>
        <v/>
      </c>
      <c r="AD226" s="62">
        <f>IF($V226="","",IF(AND(ISNUMBER($G226),$G226&lt;=IF($S226=MesCiclo,InicioCiclo,$S226+MOD(2-WEEKDAY($S226),7))+13),1,IF(N($W226)&gt;0,AVERAGEIFS($Z$5:$Z$1000,$U$5:$U$1000,ROW(),$V$5:$V$1000,"Sub"),$Z226)))</f>
        <v/>
      </c>
      <c r="AE226" s="62">
        <f>IF($V226="","",IF(AND(ISNUMBER($G226),$G226&lt;=IF($S226=MesCiclo,InicioCiclo,$S226+MOD(2-WEEKDAY($S226),7))+20),1,IF(N($W226)&gt;0,AVERAGEIFS($AA$5:$AA$1000,$U$5:$U$1000,ROW(),$V$5:$V$1000,"Sub"),$AA226)))</f>
        <v/>
      </c>
      <c r="AF226" s="62">
        <f>IF($V226="","",IF(AND(ISNUMBER($G226),$G226&lt;=IF($S226=MesCiclo,InicioCiclo,$S226+MOD(2-WEEKDAY($S226),7))+27),1,IF(N($W226)&gt;0,AVERAGEIFS($AB$5:$AB$1000,$U$5:$U$1000,ROW(),$V$5:$V$1000,"Sub"),$AB226)))</f>
        <v/>
      </c>
      <c r="AG226" s="62">
        <f>IF($V226&lt;&gt;"Macro","",IF(COUNTIFS($S$5:$S$1000,$S226,$V$5:$V$1000,"Macro",$H$5:$H$1000,"&gt;0")=0,1/COUNTIFS($S$5:$S$1000,$S226,$V$5:$V$1000,"Macro"),IF(AND(ISNUMBER($H226),N($H226)&gt;0),$H226,SUMIFS($H$5:$H$1000,$S$5:$S$1000,$S226,$V$5:$V$1000,"Macro")/COUNTIFS($S$5:$S$1000,$S226,$V$5:$V$1000,"Macro",$H$5:$H$1000,"&gt;0"))/(COUNTIFS($S$5:$S$1000,$S226,$V$5:$V$1000,"Macro")*SUMIFS($H$5:$H$1000,$S$5:$S$1000,$S226,$V$5:$V$1000,"Macro")/COUNTIFS($S$5:$S$1000,$S226,$V$5:$V$1000,"Macro",$H$5:$H$1000,"&gt;0"))))</f>
        <v/>
      </c>
      <c r="AH226" s="62" t="n"/>
      <c r="AI226" s="62" t="n"/>
      <c r="AJ226" s="62" t="n"/>
      <c r="AK226" s="62" t="n"/>
      <c r="AL226" s="62">
        <f>IF(LEFT($C226,11)="[Jefatura] ",IFERROR(MATCH("Riesgo Operacional|"&amp;MID($C226,12,500),rDname_ADM,0),0),"")</f>
        <v/>
      </c>
      <c r="AM226" s="62">
        <f>IF(N($AL226)&gt;0,INDEX(rIni_ADM,$AL226),IF(ISNUMBER($E226),$E226,""))</f>
        <v/>
      </c>
      <c r="AN226" s="62">
        <f>IF(N($AL226)&gt;0,INDEX(rLim_ADM,$AL226),IF(ISNUMBER($F226),$F226,""))</f>
        <v/>
      </c>
    </row>
    <row r="227">
      <c r="A227" s="56">
        <f>IF(NOT((COUNTA($B227:$D227)+COUNTA($G227:$L227)+COUNTA($Q227))&gt;0),"",IF($V227="Macro",COUNTIFS($V$5:$V227,"Macro",$S$5:$S227,$S227),IF(N($U227)=0,"?",COUNTIFS(INDEX($V$5:$V$1000,1):INDEX($V$5:$V$1000,$U227-4),"Macro",INDEX($S$5:$S$1000,1):INDEX($S$5:$S$1000,$U227-4),INDEX($S$5:$S$1000,$U227-4))&amp;"."&amp;COUNTIFS($U$5:$U227,$U227,$V$5:$V227,"Sub"))))</f>
        <v/>
      </c>
      <c r="B227" s="57" t="n"/>
      <c r="C227" s="58" t="n"/>
      <c r="D227" s="58" t="n"/>
      <c r="E227" s="59">
        <f>IF(N($AL227)&gt;0,INDEX(rIni_ADM,$AL227),"")</f>
        <v/>
      </c>
      <c r="F227" s="59">
        <f>IF(N($AL227)&gt;0,INDEX(rLim_ADM,$AL227),"")</f>
        <v/>
      </c>
      <c r="G227" s="59" t="n"/>
      <c r="H227" s="60" t="n"/>
      <c r="I227" s="60" t="n"/>
      <c r="J227" s="60" t="n"/>
      <c r="K227" s="60" t="n"/>
      <c r="L227" s="60" t="n"/>
      <c r="M227" s="61">
        <f>IF(NOT((COUNTA($B227:$D227)+COUNTA($G227:$L227)+COUNTA($Q227))&gt;0),"",IF($V227="Sub",IFERROR($X227/INDEX($W$5:$W$1000,$U227-4),""),IF(ISNUMBER($G227),1,IF(N($W227)&gt;0,AVERAGEIFS($X$5:$X$1000,$U$5:$U$1000,ROW(),$V$5:$V$1000,"Sub"),$X227))))</f>
        <v/>
      </c>
      <c r="N227" s="56">
        <f>IF(OR($M227="",$V227="Sub"),"",IF($M227&gt;=1,"Completado",IF($M227&gt;0,"En curso","Pendiente")))</f>
        <v/>
      </c>
      <c r="O227" s="56">
        <f>IF(OR(NOT((COUNTA($B227:$D227)+COUNTA($G227:$L227)+COUNTA($Q227))&gt;0),$V227="Sub"),"",IF(ISNUMBER($G227),IF(AND(ISNUMBER($AN227),$G227&gt;$AN227),"Cumplida con "&amp;($G227-$AN227)&amp;IF($G227-$AN227=1," día"," días")&amp;" de retraso","Cumplida"),IF(N($M227)&gt;=1,"Cumplida",IF(NOT(ISNUMBER($AN227)),"Sin fecha límite",IF($AN227&lt;FechaRef,"Vencida hace "&amp;(FechaRef-$AN227)&amp;IF(FechaRef-$AN227=1," día"," días"),IF($AN227=FechaRef,"Vence hoy",IF($AN227-FechaRef&lt;=DiasAlerta,"Vence en "&amp;($AN227-FechaRef)&amp;IF($AN227-FechaRef=1," día"," días"),"En plazo")))))))</f>
        <v/>
      </c>
      <c r="P227" s="62" t="n"/>
      <c r="Q227" s="58" t="n"/>
      <c r="R227" s="63">
        <f>IF(NOT((COUNTA($B227:$D227)+COUNTA($G227:$L227)+COUNTA($Q227))&gt;0),"",IF((IF($C227="","Falta el nombre de la actividad"&amp;" · ","")&amp;IF(AND($V227="Sub",N($U227)=0),"Subactividad sin macroactividad arriba"&amp;" · ","")&amp;IF($AM227="","Sin fecha de inicio"&amp;" · ","")&amp;IF($AN227="","Sin fecha límite"&amp;" · ","")&amp;IF(AND(LEFT($C227,11)="[Jefatura] ",N($AL227)=0),"No se encuentra en la hoja de la jefatura (elíjala de nuevo en la lista)"&amp;" · ","")&amp;IF(OR(AND($E227&lt;&gt;"",NOT(ISNUMBER($E227))),AND($F227&lt;&gt;"",NOT(ISNUMBER($F227))),AND($G227&lt;&gt;"",NOT(ISNUMBER($G227)))),"Fecha no válida"&amp;" · ","")&amp;IF(AND(ISNUMBER($AM227),ISNUMBER($AN227),$AM227&gt;$AN227),"Inicio posterior a fecha límite"&amp;" · ","")&amp;IF(AND($V227="Macro",$H227&lt;&gt;"",OR(NOT(ISNUMBER($H227)),$H227&lt;0,$H227&gt;1)),"Peso fuera de rango"&amp;" · ","")&amp;IF(AND($V227="Sub",$H227&lt;&gt;""),"Las subactividades no llevan peso (valen igual dentro de su macroactividad)"&amp;" · ","")&amp;IF(AND(N($W227)&gt;0,COUNT($I227:$L227)&gt;0),"Con subactividades: deje vacías las semanas (se calculan solas)"&amp;" · ","")&amp;IF((COUNTIF($I227:$L227,"&gt;1")+COUNTIF($I227:$L227,"&lt;0")+COUNTA($I227:$L227)-COUNT($I227:$L227))&gt;0,"Avance fuera de rango 0-100%"&amp;" · ","")&amp;IF(OR(AND($J227&lt;&gt;"",$J227&lt;$I227),AND($K227&lt;&gt;"",$K227&lt;MAX($I227:$J227)),AND($L227&lt;&gt;"",$L227&lt;MAX($I227:$K227))),"Avance semanal decreciente"&amp;" · ","")&amp;IF(AND(ISNUMBER($AN227),$AN227&lt;FechaRef,IF($V227="Sub",N($X227),N($M227))&lt;1),"Vencida"&amp;" · ","")&amp;IF(AND(ObsObligatoria="Sí",ISNUMBER($AN227),$AN227&lt;FechaRef,IF($V227="Sub",N($X227),N($M227))&lt;1,$Q227=""),"Vencida sin observación"&amp;" · ",""))="","✔ OK","⚠ "&amp;LEFT(IF($C227="","Falta el nombre de la actividad"&amp;" · ","")&amp;IF(AND($V227="Sub",N($U227)=0),"Subactividad sin macroactividad arriba"&amp;" · ","")&amp;IF($AM227="","Sin fecha de inicio"&amp;" · ","")&amp;IF($AN227="","Sin fecha límite"&amp;" · ","")&amp;IF(AND(LEFT($C227,11)="[Jefatura] ",N($AL227)=0),"No se encuentra en la hoja de la jefatura (elíjala de nuevo en la lista)"&amp;" · ","")&amp;IF(OR(AND($E227&lt;&gt;"",NOT(ISNUMBER($E227))),AND($F227&lt;&gt;"",NOT(ISNUMBER($F227))),AND($G227&lt;&gt;"",NOT(ISNUMBER($G227)))),"Fecha no válida"&amp;" · ","")&amp;IF(AND(ISNUMBER($AM227),ISNUMBER($AN227),$AM227&gt;$AN227),"Inicio posterior a fecha límite"&amp;" · ","")&amp;IF(AND($V227="Macro",$H227&lt;&gt;"",OR(NOT(ISNUMBER($H227)),$H227&lt;0,$H227&gt;1)),"Peso fuera de rango"&amp;" · ","")&amp;IF(AND($V227="Sub",$H227&lt;&gt;""),"Las subactividades no llevan peso (valen igual dentro de su macroactividad)"&amp;" · ","")&amp;IF(AND(N($W227)&gt;0,COUNT($I227:$L227)&gt;0),"Con subactividades: deje vacías las semanas (se calculan solas)"&amp;" · ","")&amp;IF((COUNTIF($I227:$L227,"&gt;1")+COUNTIF($I227:$L227,"&lt;0")+COUNTA($I227:$L227)-COUNT($I227:$L227))&gt;0,"Avance fuera de rango 0-100%"&amp;" · ","")&amp;IF(OR(AND($J227&lt;&gt;"",$J227&lt;$I227),AND($K227&lt;&gt;"",$K227&lt;MAX($I227:$J227)),AND($L227&lt;&gt;"",$L227&lt;MAX($I227:$K227))),"Avance semanal decreciente"&amp;" · ","")&amp;IF(AND(ISNUMBER($AN227),$AN227&lt;FechaRef,IF($V227="Sub",N($X227),N($M227))&lt;1),"Vencida"&amp;" · ","")&amp;IF(AND(ObsObligatoria="Sí",ISNUMBER($AN227),$AN227&lt;FechaRef,IF($V227="Sub",N($X227),N($M227))&lt;1,$Q227=""),"Vencida sin observación"&amp;" · ",""),LEN(IF($C227="","Falta el nombre de la actividad"&amp;" · ","")&amp;IF(AND($V227="Sub",N($U227)=0),"Subactividad sin macroactividad arriba"&amp;" · ","")&amp;IF($AM227="","Sin fecha de inicio"&amp;" · ","")&amp;IF($AN227="","Sin fecha límite"&amp;" · ","")&amp;IF(AND(LEFT($C227,11)="[Jefatura] ",N($AL227)=0),"No se encuentra en la hoja de la jefatura (elíjala de nuevo en la lista)"&amp;" · ","")&amp;IF(OR(AND($E227&lt;&gt;"",NOT(ISNUMBER($E227))),AND($F227&lt;&gt;"",NOT(ISNUMBER($F227))),AND($G227&lt;&gt;"",NOT(ISNUMBER($G227)))),"Fecha no válida"&amp;" · ","")&amp;IF(AND(ISNUMBER($AM227),ISNUMBER($AN227),$AM227&gt;$AN227),"Inicio posterior a fecha límite"&amp;" · ","")&amp;IF(AND($V227="Macro",$H227&lt;&gt;"",OR(NOT(ISNUMBER($H227)),$H227&lt;0,$H227&gt;1)),"Peso fuera de rango"&amp;" · ","")&amp;IF(AND($V227="Sub",$H227&lt;&gt;""),"Las subactividades no llevan peso (valen igual dentro de su macroactividad)"&amp;" · ","")&amp;IF(AND(N($W227)&gt;0,COUNT($I227:$L227)&gt;0),"Con subactividades: deje vacías las semanas (se calculan solas)"&amp;" · ","")&amp;IF((COUNTIF($I227:$L227,"&gt;1")+COUNTIF($I227:$L227,"&lt;0")+COUNTA($I227:$L227)-COUNT($I227:$L227))&gt;0,"Avance fuera de rango 0-100%"&amp;" · ","")&amp;IF(OR(AND($J227&lt;&gt;"",$J227&lt;$I227),AND($K227&lt;&gt;"",$K227&lt;MAX($I227:$J227)),AND($L227&lt;&gt;"",$L227&lt;MAX($I227:$K227))),"Avance semanal decreciente"&amp;" · ","")&amp;IF(AND(ISNUMBER($AN227),$AN227&lt;FechaRef,IF($V227="Sub",N($X227),N($M227))&lt;1),"Vencida"&amp;" · ","")&amp;IF(AND(ObsObligatoria="Sí",ISNUMBER($AN227),$AN227&lt;FechaRef,IF($V227="Sub",N($X227),N($M227))&lt;1,$Q227=""),"Vencida sin observación"&amp;" · ",""))-3)))</f>
        <v/>
      </c>
      <c r="S227" s="64">
        <f>IF(NOT((COUNTA($B227:$D227)+COUNTA($G227:$L227)+COUNTA($Q227))&gt;0),"",IF(AND($V227="Sub",N($U227)&gt;0),IF(ISNUMBER(INDEX($AM$5:$AM$1000,$U227-4)),DATE(YEAR(INDEX($AM$5:$AM$1000,$U227-4)),MONTH(INDEX($AM$5:$AM$1000,$U227-4)),1),IF(ISNUMBER(INDEX($AN$5:$AN$1000,$U227-4)),DATE(YEAR(INDEX($AN$5:$AN$1000,$U227-4)),MONTH(INDEX($AN$5:$AN$1000,$U227-4)),1),MesCiclo)),IF(ISNUMBER($AM227),DATE(YEAR($AM227),MONTH($AM227),1),IF(ISNUMBER($AN227),DATE(YEAR($AN227),MONTH($AN227),1),MesCiclo))))</f>
        <v/>
      </c>
      <c r="T227" s="62">
        <f>IF(OR($S227="",$S227&lt;&gt;MesCiclo,$V227&lt;&gt;"Macro"),"",COUNTIFS($S$5:$S227,MesCiclo,$V$5:$V227,"Macro"))</f>
        <v/>
      </c>
      <c r="U227" s="62">
        <f>IF($V227="","",IF($V227="Macro",ROW(),IFERROR(LOOKUP(2,1/($V$5:$V227="Macro"),ROW($V$5:$V227)),0)))</f>
        <v/>
      </c>
      <c r="V227" s="62">
        <f>IF(NOT((COUNTA($B227:$D227)+COUNTA($G227:$L227)+COUNTA($Q227))&gt;0),"",IF($B227="Subactividad","Sub","Macro"))</f>
        <v/>
      </c>
      <c r="W227" s="62">
        <f>IF($V227="Macro",COUNTIFS($U$5:$U$1000,ROW(),$V$5:$V$1000,"Sub"),"")</f>
        <v/>
      </c>
      <c r="X227" s="62">
        <f>IF($V227="","",IF(ISNUMBER($G227),1,IFERROR(LOOKUP(2,1/($I227:$L227&lt;&gt;""),$I227:$L227),0)))</f>
        <v/>
      </c>
      <c r="Y227" s="62">
        <f>IF($V227="","",IF(AND(ISNUMBER($G227),$G227&lt;=IF($S227=MesCiclo,InicioCiclo,$S227+MOD(2-WEEKDAY($S227),7))+6),1,IF(ISNUMBER($I227),$I227,0)))</f>
        <v/>
      </c>
      <c r="Z227" s="62">
        <f>IF($V227="","",IF(AND(ISNUMBER($G227),$G227&lt;=IF($S227=MesCiclo,InicioCiclo,$S227+MOD(2-WEEKDAY($S227),7))+13),1,IF(ISNUMBER($J227),$J227,$Y227)))</f>
        <v/>
      </c>
      <c r="AA227" s="62">
        <f>IF($V227="","",IF(AND(ISNUMBER($G227),$G227&lt;=IF($S227=MesCiclo,InicioCiclo,$S227+MOD(2-WEEKDAY($S227),7))+20),1,IF(ISNUMBER($K227),$K227,$Z227)))</f>
        <v/>
      </c>
      <c r="AB227" s="62">
        <f>IF($V227="","",IF(AND(ISNUMBER($G227),$G227&lt;=IF($S227=MesCiclo,InicioCiclo,$S227+MOD(2-WEEKDAY($S227),7))+27),1,IF(ISNUMBER($L227),$L227,$AA227)))</f>
        <v/>
      </c>
      <c r="AC227" s="62">
        <f>IF($V227="","",IF(AND(ISNUMBER($G227),$G227&lt;=IF($S227=MesCiclo,InicioCiclo,$S227+MOD(2-WEEKDAY($S227),7))+6),1,IF(N($W227)&gt;0,AVERAGEIFS($Y$5:$Y$1000,$U$5:$U$1000,ROW(),$V$5:$V$1000,"Sub"),$Y227)))</f>
        <v/>
      </c>
      <c r="AD227" s="62">
        <f>IF($V227="","",IF(AND(ISNUMBER($G227),$G227&lt;=IF($S227=MesCiclo,InicioCiclo,$S227+MOD(2-WEEKDAY($S227),7))+13),1,IF(N($W227)&gt;0,AVERAGEIFS($Z$5:$Z$1000,$U$5:$U$1000,ROW(),$V$5:$V$1000,"Sub"),$Z227)))</f>
        <v/>
      </c>
      <c r="AE227" s="62">
        <f>IF($V227="","",IF(AND(ISNUMBER($G227),$G227&lt;=IF($S227=MesCiclo,InicioCiclo,$S227+MOD(2-WEEKDAY($S227),7))+20),1,IF(N($W227)&gt;0,AVERAGEIFS($AA$5:$AA$1000,$U$5:$U$1000,ROW(),$V$5:$V$1000,"Sub"),$AA227)))</f>
        <v/>
      </c>
      <c r="AF227" s="62">
        <f>IF($V227="","",IF(AND(ISNUMBER($G227),$G227&lt;=IF($S227=MesCiclo,InicioCiclo,$S227+MOD(2-WEEKDAY($S227),7))+27),1,IF(N($W227)&gt;0,AVERAGEIFS($AB$5:$AB$1000,$U$5:$U$1000,ROW(),$V$5:$V$1000,"Sub"),$AB227)))</f>
        <v/>
      </c>
      <c r="AG227" s="62">
        <f>IF($V227&lt;&gt;"Macro","",IF(COUNTIFS($S$5:$S$1000,$S227,$V$5:$V$1000,"Macro",$H$5:$H$1000,"&gt;0")=0,1/COUNTIFS($S$5:$S$1000,$S227,$V$5:$V$1000,"Macro"),IF(AND(ISNUMBER($H227),N($H227)&gt;0),$H227,SUMIFS($H$5:$H$1000,$S$5:$S$1000,$S227,$V$5:$V$1000,"Macro")/COUNTIFS($S$5:$S$1000,$S227,$V$5:$V$1000,"Macro",$H$5:$H$1000,"&gt;0"))/(COUNTIFS($S$5:$S$1000,$S227,$V$5:$V$1000,"Macro")*SUMIFS($H$5:$H$1000,$S$5:$S$1000,$S227,$V$5:$V$1000,"Macro")/COUNTIFS($S$5:$S$1000,$S227,$V$5:$V$1000,"Macro",$H$5:$H$1000,"&gt;0"))))</f>
        <v/>
      </c>
      <c r="AH227" s="62" t="n"/>
      <c r="AI227" s="62" t="n"/>
      <c r="AJ227" s="62" t="n"/>
      <c r="AK227" s="62" t="n"/>
      <c r="AL227" s="62">
        <f>IF(LEFT($C227,11)="[Jefatura] ",IFERROR(MATCH("Riesgo Operacional|"&amp;MID($C227,12,500),rDname_ADM,0),0),"")</f>
        <v/>
      </c>
      <c r="AM227" s="62">
        <f>IF(N($AL227)&gt;0,INDEX(rIni_ADM,$AL227),IF(ISNUMBER($E227),$E227,""))</f>
        <v/>
      </c>
      <c r="AN227" s="62">
        <f>IF(N($AL227)&gt;0,INDEX(rLim_ADM,$AL227),IF(ISNUMBER($F227),$F227,""))</f>
        <v/>
      </c>
    </row>
    <row r="228">
      <c r="A228" s="56">
        <f>IF(NOT((COUNTA($B228:$D228)+COUNTA($G228:$L228)+COUNTA($Q228))&gt;0),"",IF($V228="Macro",COUNTIFS($V$5:$V228,"Macro",$S$5:$S228,$S228),IF(N($U228)=0,"?",COUNTIFS(INDEX($V$5:$V$1000,1):INDEX($V$5:$V$1000,$U228-4),"Macro",INDEX($S$5:$S$1000,1):INDEX($S$5:$S$1000,$U228-4),INDEX($S$5:$S$1000,$U228-4))&amp;"."&amp;COUNTIFS($U$5:$U228,$U228,$V$5:$V228,"Sub"))))</f>
        <v/>
      </c>
      <c r="B228" s="57" t="n"/>
      <c r="C228" s="58" t="n"/>
      <c r="D228" s="58" t="n"/>
      <c r="E228" s="59">
        <f>IF(N($AL228)&gt;0,INDEX(rIni_ADM,$AL228),"")</f>
        <v/>
      </c>
      <c r="F228" s="59">
        <f>IF(N($AL228)&gt;0,INDEX(rLim_ADM,$AL228),"")</f>
        <v/>
      </c>
      <c r="G228" s="59" t="n"/>
      <c r="H228" s="60" t="n"/>
      <c r="I228" s="60" t="n"/>
      <c r="J228" s="60" t="n"/>
      <c r="K228" s="60" t="n"/>
      <c r="L228" s="60" t="n"/>
      <c r="M228" s="61">
        <f>IF(NOT((COUNTA($B228:$D228)+COUNTA($G228:$L228)+COUNTA($Q228))&gt;0),"",IF($V228="Sub",IFERROR($X228/INDEX($W$5:$W$1000,$U228-4),""),IF(ISNUMBER($G228),1,IF(N($W228)&gt;0,AVERAGEIFS($X$5:$X$1000,$U$5:$U$1000,ROW(),$V$5:$V$1000,"Sub"),$X228))))</f>
        <v/>
      </c>
      <c r="N228" s="56">
        <f>IF(OR($M228="",$V228="Sub"),"",IF($M228&gt;=1,"Completado",IF($M228&gt;0,"En curso","Pendiente")))</f>
        <v/>
      </c>
      <c r="O228" s="56">
        <f>IF(OR(NOT((COUNTA($B228:$D228)+COUNTA($G228:$L228)+COUNTA($Q228))&gt;0),$V228="Sub"),"",IF(ISNUMBER($G228),IF(AND(ISNUMBER($AN228),$G228&gt;$AN228),"Cumplida con "&amp;($G228-$AN228)&amp;IF($G228-$AN228=1," día"," días")&amp;" de retraso","Cumplida"),IF(N($M228)&gt;=1,"Cumplida",IF(NOT(ISNUMBER($AN228)),"Sin fecha límite",IF($AN228&lt;FechaRef,"Vencida hace "&amp;(FechaRef-$AN228)&amp;IF(FechaRef-$AN228=1," día"," días"),IF($AN228=FechaRef,"Vence hoy",IF($AN228-FechaRef&lt;=DiasAlerta,"Vence en "&amp;($AN228-FechaRef)&amp;IF($AN228-FechaRef=1," día"," días"),"En plazo")))))))</f>
        <v/>
      </c>
      <c r="P228" s="62" t="n"/>
      <c r="Q228" s="58" t="n"/>
      <c r="R228" s="63">
        <f>IF(NOT((COUNTA($B228:$D228)+COUNTA($G228:$L228)+COUNTA($Q228))&gt;0),"",IF((IF($C228="","Falta el nombre de la actividad"&amp;" · ","")&amp;IF(AND($V228="Sub",N($U228)=0),"Subactividad sin macroactividad arriba"&amp;" · ","")&amp;IF($AM228="","Sin fecha de inicio"&amp;" · ","")&amp;IF($AN228="","Sin fecha límite"&amp;" · ","")&amp;IF(AND(LEFT($C228,11)="[Jefatura] ",N($AL228)=0),"No se encuentra en la hoja de la jefatura (elíjala de nuevo en la lista)"&amp;" · ","")&amp;IF(OR(AND($E228&lt;&gt;"",NOT(ISNUMBER($E228))),AND($F228&lt;&gt;"",NOT(ISNUMBER($F228))),AND($G228&lt;&gt;"",NOT(ISNUMBER($G228)))),"Fecha no válida"&amp;" · ","")&amp;IF(AND(ISNUMBER($AM228),ISNUMBER($AN228),$AM228&gt;$AN228),"Inicio posterior a fecha límite"&amp;" · ","")&amp;IF(AND($V228="Macro",$H228&lt;&gt;"",OR(NOT(ISNUMBER($H228)),$H228&lt;0,$H228&gt;1)),"Peso fuera de rango"&amp;" · ","")&amp;IF(AND($V228="Sub",$H228&lt;&gt;""),"Las subactividades no llevan peso (valen igual dentro de su macroactividad)"&amp;" · ","")&amp;IF(AND(N($W228)&gt;0,COUNT($I228:$L228)&gt;0),"Con subactividades: deje vacías las semanas (se calculan solas)"&amp;" · ","")&amp;IF((COUNTIF($I228:$L228,"&gt;1")+COUNTIF($I228:$L228,"&lt;0")+COUNTA($I228:$L228)-COUNT($I228:$L228))&gt;0,"Avance fuera de rango 0-100%"&amp;" · ","")&amp;IF(OR(AND($J228&lt;&gt;"",$J228&lt;$I228),AND($K228&lt;&gt;"",$K228&lt;MAX($I228:$J228)),AND($L228&lt;&gt;"",$L228&lt;MAX($I228:$K228))),"Avance semanal decreciente"&amp;" · ","")&amp;IF(AND(ISNUMBER($AN228),$AN228&lt;FechaRef,IF($V228="Sub",N($X228),N($M228))&lt;1),"Vencida"&amp;" · ","")&amp;IF(AND(ObsObligatoria="Sí",ISNUMBER($AN228),$AN228&lt;FechaRef,IF($V228="Sub",N($X228),N($M228))&lt;1,$Q228=""),"Vencida sin observación"&amp;" · ",""))="","✔ OK","⚠ "&amp;LEFT(IF($C228="","Falta el nombre de la actividad"&amp;" · ","")&amp;IF(AND($V228="Sub",N($U228)=0),"Subactividad sin macroactividad arriba"&amp;" · ","")&amp;IF($AM228="","Sin fecha de inicio"&amp;" · ","")&amp;IF($AN228="","Sin fecha límite"&amp;" · ","")&amp;IF(AND(LEFT($C228,11)="[Jefatura] ",N($AL228)=0),"No se encuentra en la hoja de la jefatura (elíjala de nuevo en la lista)"&amp;" · ","")&amp;IF(OR(AND($E228&lt;&gt;"",NOT(ISNUMBER($E228))),AND($F228&lt;&gt;"",NOT(ISNUMBER($F228))),AND($G228&lt;&gt;"",NOT(ISNUMBER($G228)))),"Fecha no válida"&amp;" · ","")&amp;IF(AND(ISNUMBER($AM228),ISNUMBER($AN228),$AM228&gt;$AN228),"Inicio posterior a fecha límite"&amp;" · ","")&amp;IF(AND($V228="Macro",$H228&lt;&gt;"",OR(NOT(ISNUMBER($H228)),$H228&lt;0,$H228&gt;1)),"Peso fuera de rango"&amp;" · ","")&amp;IF(AND($V228="Sub",$H228&lt;&gt;""),"Las subactividades no llevan peso (valen igual dentro de su macroactividad)"&amp;" · ","")&amp;IF(AND(N($W228)&gt;0,COUNT($I228:$L228)&gt;0),"Con subactividades: deje vacías las semanas (se calculan solas)"&amp;" · ","")&amp;IF((COUNTIF($I228:$L228,"&gt;1")+COUNTIF($I228:$L228,"&lt;0")+COUNTA($I228:$L228)-COUNT($I228:$L228))&gt;0,"Avance fuera de rango 0-100%"&amp;" · ","")&amp;IF(OR(AND($J228&lt;&gt;"",$J228&lt;$I228),AND($K228&lt;&gt;"",$K228&lt;MAX($I228:$J228)),AND($L228&lt;&gt;"",$L228&lt;MAX($I228:$K228))),"Avance semanal decreciente"&amp;" · ","")&amp;IF(AND(ISNUMBER($AN228),$AN228&lt;FechaRef,IF($V228="Sub",N($X228),N($M228))&lt;1),"Vencida"&amp;" · ","")&amp;IF(AND(ObsObligatoria="Sí",ISNUMBER($AN228),$AN228&lt;FechaRef,IF($V228="Sub",N($X228),N($M228))&lt;1,$Q228=""),"Vencida sin observación"&amp;" · ",""),LEN(IF($C228="","Falta el nombre de la actividad"&amp;" · ","")&amp;IF(AND($V228="Sub",N($U228)=0),"Subactividad sin macroactividad arriba"&amp;" · ","")&amp;IF($AM228="","Sin fecha de inicio"&amp;" · ","")&amp;IF($AN228="","Sin fecha límite"&amp;" · ","")&amp;IF(AND(LEFT($C228,11)="[Jefatura] ",N($AL228)=0),"No se encuentra en la hoja de la jefatura (elíjala de nuevo en la lista)"&amp;" · ","")&amp;IF(OR(AND($E228&lt;&gt;"",NOT(ISNUMBER($E228))),AND($F228&lt;&gt;"",NOT(ISNUMBER($F228))),AND($G228&lt;&gt;"",NOT(ISNUMBER($G228)))),"Fecha no válida"&amp;" · ","")&amp;IF(AND(ISNUMBER($AM228),ISNUMBER($AN228),$AM228&gt;$AN228),"Inicio posterior a fecha límite"&amp;" · ","")&amp;IF(AND($V228="Macro",$H228&lt;&gt;"",OR(NOT(ISNUMBER($H228)),$H228&lt;0,$H228&gt;1)),"Peso fuera de rango"&amp;" · ","")&amp;IF(AND($V228="Sub",$H228&lt;&gt;""),"Las subactividades no llevan peso (valen igual dentro de su macroactividad)"&amp;" · ","")&amp;IF(AND(N($W228)&gt;0,COUNT($I228:$L228)&gt;0),"Con subactividades: deje vacías las semanas (se calculan solas)"&amp;" · ","")&amp;IF((COUNTIF($I228:$L228,"&gt;1")+COUNTIF($I228:$L228,"&lt;0")+COUNTA($I228:$L228)-COUNT($I228:$L228))&gt;0,"Avance fuera de rango 0-100%"&amp;" · ","")&amp;IF(OR(AND($J228&lt;&gt;"",$J228&lt;$I228),AND($K228&lt;&gt;"",$K228&lt;MAX($I228:$J228)),AND($L228&lt;&gt;"",$L228&lt;MAX($I228:$K228))),"Avance semanal decreciente"&amp;" · ","")&amp;IF(AND(ISNUMBER($AN228),$AN228&lt;FechaRef,IF($V228="Sub",N($X228),N($M228))&lt;1),"Vencida"&amp;" · ","")&amp;IF(AND(ObsObligatoria="Sí",ISNUMBER($AN228),$AN228&lt;FechaRef,IF($V228="Sub",N($X228),N($M228))&lt;1,$Q228=""),"Vencida sin observación"&amp;" · ",""))-3)))</f>
        <v/>
      </c>
      <c r="S228" s="64">
        <f>IF(NOT((COUNTA($B228:$D228)+COUNTA($G228:$L228)+COUNTA($Q228))&gt;0),"",IF(AND($V228="Sub",N($U228)&gt;0),IF(ISNUMBER(INDEX($AM$5:$AM$1000,$U228-4)),DATE(YEAR(INDEX($AM$5:$AM$1000,$U228-4)),MONTH(INDEX($AM$5:$AM$1000,$U228-4)),1),IF(ISNUMBER(INDEX($AN$5:$AN$1000,$U228-4)),DATE(YEAR(INDEX($AN$5:$AN$1000,$U228-4)),MONTH(INDEX($AN$5:$AN$1000,$U228-4)),1),MesCiclo)),IF(ISNUMBER($AM228),DATE(YEAR($AM228),MONTH($AM228),1),IF(ISNUMBER($AN228),DATE(YEAR($AN228),MONTH($AN228),1),MesCiclo))))</f>
        <v/>
      </c>
      <c r="T228" s="62">
        <f>IF(OR($S228="",$S228&lt;&gt;MesCiclo,$V228&lt;&gt;"Macro"),"",COUNTIFS($S$5:$S228,MesCiclo,$V$5:$V228,"Macro"))</f>
        <v/>
      </c>
      <c r="U228" s="62">
        <f>IF($V228="","",IF($V228="Macro",ROW(),IFERROR(LOOKUP(2,1/($V$5:$V228="Macro"),ROW($V$5:$V228)),0)))</f>
        <v/>
      </c>
      <c r="V228" s="62">
        <f>IF(NOT((COUNTA($B228:$D228)+COUNTA($G228:$L228)+COUNTA($Q228))&gt;0),"",IF($B228="Subactividad","Sub","Macro"))</f>
        <v/>
      </c>
      <c r="W228" s="62">
        <f>IF($V228="Macro",COUNTIFS($U$5:$U$1000,ROW(),$V$5:$V$1000,"Sub"),"")</f>
        <v/>
      </c>
      <c r="X228" s="62">
        <f>IF($V228="","",IF(ISNUMBER($G228),1,IFERROR(LOOKUP(2,1/($I228:$L228&lt;&gt;""),$I228:$L228),0)))</f>
        <v/>
      </c>
      <c r="Y228" s="62">
        <f>IF($V228="","",IF(AND(ISNUMBER($G228),$G228&lt;=IF($S228=MesCiclo,InicioCiclo,$S228+MOD(2-WEEKDAY($S228),7))+6),1,IF(ISNUMBER($I228),$I228,0)))</f>
        <v/>
      </c>
      <c r="Z228" s="62">
        <f>IF($V228="","",IF(AND(ISNUMBER($G228),$G228&lt;=IF($S228=MesCiclo,InicioCiclo,$S228+MOD(2-WEEKDAY($S228),7))+13),1,IF(ISNUMBER($J228),$J228,$Y228)))</f>
        <v/>
      </c>
      <c r="AA228" s="62">
        <f>IF($V228="","",IF(AND(ISNUMBER($G228),$G228&lt;=IF($S228=MesCiclo,InicioCiclo,$S228+MOD(2-WEEKDAY($S228),7))+20),1,IF(ISNUMBER($K228),$K228,$Z228)))</f>
        <v/>
      </c>
      <c r="AB228" s="62">
        <f>IF($V228="","",IF(AND(ISNUMBER($G228),$G228&lt;=IF($S228=MesCiclo,InicioCiclo,$S228+MOD(2-WEEKDAY($S228),7))+27),1,IF(ISNUMBER($L228),$L228,$AA228)))</f>
        <v/>
      </c>
      <c r="AC228" s="62">
        <f>IF($V228="","",IF(AND(ISNUMBER($G228),$G228&lt;=IF($S228=MesCiclo,InicioCiclo,$S228+MOD(2-WEEKDAY($S228),7))+6),1,IF(N($W228)&gt;0,AVERAGEIFS($Y$5:$Y$1000,$U$5:$U$1000,ROW(),$V$5:$V$1000,"Sub"),$Y228)))</f>
        <v/>
      </c>
      <c r="AD228" s="62">
        <f>IF($V228="","",IF(AND(ISNUMBER($G228),$G228&lt;=IF($S228=MesCiclo,InicioCiclo,$S228+MOD(2-WEEKDAY($S228),7))+13),1,IF(N($W228)&gt;0,AVERAGEIFS($Z$5:$Z$1000,$U$5:$U$1000,ROW(),$V$5:$V$1000,"Sub"),$Z228)))</f>
        <v/>
      </c>
      <c r="AE228" s="62">
        <f>IF($V228="","",IF(AND(ISNUMBER($G228),$G228&lt;=IF($S228=MesCiclo,InicioCiclo,$S228+MOD(2-WEEKDAY($S228),7))+20),1,IF(N($W228)&gt;0,AVERAGEIFS($AA$5:$AA$1000,$U$5:$U$1000,ROW(),$V$5:$V$1000,"Sub"),$AA228)))</f>
        <v/>
      </c>
      <c r="AF228" s="62">
        <f>IF($V228="","",IF(AND(ISNUMBER($G228),$G228&lt;=IF($S228=MesCiclo,InicioCiclo,$S228+MOD(2-WEEKDAY($S228),7))+27),1,IF(N($W228)&gt;0,AVERAGEIFS($AB$5:$AB$1000,$U$5:$U$1000,ROW(),$V$5:$V$1000,"Sub"),$AB228)))</f>
        <v/>
      </c>
      <c r="AG228" s="62">
        <f>IF($V228&lt;&gt;"Macro","",IF(COUNTIFS($S$5:$S$1000,$S228,$V$5:$V$1000,"Macro",$H$5:$H$1000,"&gt;0")=0,1/COUNTIFS($S$5:$S$1000,$S228,$V$5:$V$1000,"Macro"),IF(AND(ISNUMBER($H228),N($H228)&gt;0),$H228,SUMIFS($H$5:$H$1000,$S$5:$S$1000,$S228,$V$5:$V$1000,"Macro")/COUNTIFS($S$5:$S$1000,$S228,$V$5:$V$1000,"Macro",$H$5:$H$1000,"&gt;0"))/(COUNTIFS($S$5:$S$1000,$S228,$V$5:$V$1000,"Macro")*SUMIFS($H$5:$H$1000,$S$5:$S$1000,$S228,$V$5:$V$1000,"Macro")/COUNTIFS($S$5:$S$1000,$S228,$V$5:$V$1000,"Macro",$H$5:$H$1000,"&gt;0"))))</f>
        <v/>
      </c>
      <c r="AH228" s="62" t="n"/>
      <c r="AI228" s="62" t="n"/>
      <c r="AJ228" s="62" t="n"/>
      <c r="AK228" s="62" t="n"/>
      <c r="AL228" s="62">
        <f>IF(LEFT($C228,11)="[Jefatura] ",IFERROR(MATCH("Riesgo Operacional|"&amp;MID($C228,12,500),rDname_ADM,0),0),"")</f>
        <v/>
      </c>
      <c r="AM228" s="62">
        <f>IF(N($AL228)&gt;0,INDEX(rIni_ADM,$AL228),IF(ISNUMBER($E228),$E228,""))</f>
        <v/>
      </c>
      <c r="AN228" s="62">
        <f>IF(N($AL228)&gt;0,INDEX(rLim_ADM,$AL228),IF(ISNUMBER($F228),$F228,""))</f>
        <v/>
      </c>
    </row>
    <row r="229">
      <c r="A229" s="56">
        <f>IF(NOT((COUNTA($B229:$D229)+COUNTA($G229:$L229)+COUNTA($Q229))&gt;0),"",IF($V229="Macro",COUNTIFS($V$5:$V229,"Macro",$S$5:$S229,$S229),IF(N($U229)=0,"?",COUNTIFS(INDEX($V$5:$V$1000,1):INDEX($V$5:$V$1000,$U229-4),"Macro",INDEX($S$5:$S$1000,1):INDEX($S$5:$S$1000,$U229-4),INDEX($S$5:$S$1000,$U229-4))&amp;"."&amp;COUNTIFS($U$5:$U229,$U229,$V$5:$V229,"Sub"))))</f>
        <v/>
      </c>
      <c r="B229" s="57" t="n"/>
      <c r="C229" s="58" t="n"/>
      <c r="D229" s="58" t="n"/>
      <c r="E229" s="59">
        <f>IF(N($AL229)&gt;0,INDEX(rIni_ADM,$AL229),"")</f>
        <v/>
      </c>
      <c r="F229" s="59">
        <f>IF(N($AL229)&gt;0,INDEX(rLim_ADM,$AL229),"")</f>
        <v/>
      </c>
      <c r="G229" s="59" t="n"/>
      <c r="H229" s="60" t="n"/>
      <c r="I229" s="60" t="n"/>
      <c r="J229" s="60" t="n"/>
      <c r="K229" s="60" t="n"/>
      <c r="L229" s="60" t="n"/>
      <c r="M229" s="61">
        <f>IF(NOT((COUNTA($B229:$D229)+COUNTA($G229:$L229)+COUNTA($Q229))&gt;0),"",IF($V229="Sub",IFERROR($X229/INDEX($W$5:$W$1000,$U229-4),""),IF(ISNUMBER($G229),1,IF(N($W229)&gt;0,AVERAGEIFS($X$5:$X$1000,$U$5:$U$1000,ROW(),$V$5:$V$1000,"Sub"),$X229))))</f>
        <v/>
      </c>
      <c r="N229" s="56">
        <f>IF(OR($M229="",$V229="Sub"),"",IF($M229&gt;=1,"Completado",IF($M229&gt;0,"En curso","Pendiente")))</f>
        <v/>
      </c>
      <c r="O229" s="56">
        <f>IF(OR(NOT((COUNTA($B229:$D229)+COUNTA($G229:$L229)+COUNTA($Q229))&gt;0),$V229="Sub"),"",IF(ISNUMBER($G229),IF(AND(ISNUMBER($AN229),$G229&gt;$AN229),"Cumplida con "&amp;($G229-$AN229)&amp;IF($G229-$AN229=1," día"," días")&amp;" de retraso","Cumplida"),IF(N($M229)&gt;=1,"Cumplida",IF(NOT(ISNUMBER($AN229)),"Sin fecha límite",IF($AN229&lt;FechaRef,"Vencida hace "&amp;(FechaRef-$AN229)&amp;IF(FechaRef-$AN229=1," día"," días"),IF($AN229=FechaRef,"Vence hoy",IF($AN229-FechaRef&lt;=DiasAlerta,"Vence en "&amp;($AN229-FechaRef)&amp;IF($AN229-FechaRef=1," día"," días"),"En plazo")))))))</f>
        <v/>
      </c>
      <c r="P229" s="62" t="n"/>
      <c r="Q229" s="58" t="n"/>
      <c r="R229" s="63">
        <f>IF(NOT((COUNTA($B229:$D229)+COUNTA($G229:$L229)+COUNTA($Q229))&gt;0),"",IF((IF($C229="","Falta el nombre de la actividad"&amp;" · ","")&amp;IF(AND($V229="Sub",N($U229)=0),"Subactividad sin macroactividad arriba"&amp;" · ","")&amp;IF($AM229="","Sin fecha de inicio"&amp;" · ","")&amp;IF($AN229="","Sin fecha límite"&amp;" · ","")&amp;IF(AND(LEFT($C229,11)="[Jefatura] ",N($AL229)=0),"No se encuentra en la hoja de la jefatura (elíjala de nuevo en la lista)"&amp;" · ","")&amp;IF(OR(AND($E229&lt;&gt;"",NOT(ISNUMBER($E229))),AND($F229&lt;&gt;"",NOT(ISNUMBER($F229))),AND($G229&lt;&gt;"",NOT(ISNUMBER($G229)))),"Fecha no válida"&amp;" · ","")&amp;IF(AND(ISNUMBER($AM229),ISNUMBER($AN229),$AM229&gt;$AN229),"Inicio posterior a fecha límite"&amp;" · ","")&amp;IF(AND($V229="Macro",$H229&lt;&gt;"",OR(NOT(ISNUMBER($H229)),$H229&lt;0,$H229&gt;1)),"Peso fuera de rango"&amp;" · ","")&amp;IF(AND($V229="Sub",$H229&lt;&gt;""),"Las subactividades no llevan peso (valen igual dentro de su macroactividad)"&amp;" · ","")&amp;IF(AND(N($W229)&gt;0,COUNT($I229:$L229)&gt;0),"Con subactividades: deje vacías las semanas (se calculan solas)"&amp;" · ","")&amp;IF((COUNTIF($I229:$L229,"&gt;1")+COUNTIF($I229:$L229,"&lt;0")+COUNTA($I229:$L229)-COUNT($I229:$L229))&gt;0,"Avance fuera de rango 0-100%"&amp;" · ","")&amp;IF(OR(AND($J229&lt;&gt;"",$J229&lt;$I229),AND($K229&lt;&gt;"",$K229&lt;MAX($I229:$J229)),AND($L229&lt;&gt;"",$L229&lt;MAX($I229:$K229))),"Avance semanal decreciente"&amp;" · ","")&amp;IF(AND(ISNUMBER($AN229),$AN229&lt;FechaRef,IF($V229="Sub",N($X229),N($M229))&lt;1),"Vencida"&amp;" · ","")&amp;IF(AND(ObsObligatoria="Sí",ISNUMBER($AN229),$AN229&lt;FechaRef,IF($V229="Sub",N($X229),N($M229))&lt;1,$Q229=""),"Vencida sin observación"&amp;" · ",""))="","✔ OK","⚠ "&amp;LEFT(IF($C229="","Falta el nombre de la actividad"&amp;" · ","")&amp;IF(AND($V229="Sub",N($U229)=0),"Subactividad sin macroactividad arriba"&amp;" · ","")&amp;IF($AM229="","Sin fecha de inicio"&amp;" · ","")&amp;IF($AN229="","Sin fecha límite"&amp;" · ","")&amp;IF(AND(LEFT($C229,11)="[Jefatura] ",N($AL229)=0),"No se encuentra en la hoja de la jefatura (elíjala de nuevo en la lista)"&amp;" · ","")&amp;IF(OR(AND($E229&lt;&gt;"",NOT(ISNUMBER($E229))),AND($F229&lt;&gt;"",NOT(ISNUMBER($F229))),AND($G229&lt;&gt;"",NOT(ISNUMBER($G229)))),"Fecha no válida"&amp;" · ","")&amp;IF(AND(ISNUMBER($AM229),ISNUMBER($AN229),$AM229&gt;$AN229),"Inicio posterior a fecha límite"&amp;" · ","")&amp;IF(AND($V229="Macro",$H229&lt;&gt;"",OR(NOT(ISNUMBER($H229)),$H229&lt;0,$H229&gt;1)),"Peso fuera de rango"&amp;" · ","")&amp;IF(AND($V229="Sub",$H229&lt;&gt;""),"Las subactividades no llevan peso (valen igual dentro de su macroactividad)"&amp;" · ","")&amp;IF(AND(N($W229)&gt;0,COUNT($I229:$L229)&gt;0),"Con subactividades: deje vacías las semanas (se calculan solas)"&amp;" · ","")&amp;IF((COUNTIF($I229:$L229,"&gt;1")+COUNTIF($I229:$L229,"&lt;0")+COUNTA($I229:$L229)-COUNT($I229:$L229))&gt;0,"Avance fuera de rango 0-100%"&amp;" · ","")&amp;IF(OR(AND($J229&lt;&gt;"",$J229&lt;$I229),AND($K229&lt;&gt;"",$K229&lt;MAX($I229:$J229)),AND($L229&lt;&gt;"",$L229&lt;MAX($I229:$K229))),"Avance semanal decreciente"&amp;" · ","")&amp;IF(AND(ISNUMBER($AN229),$AN229&lt;FechaRef,IF($V229="Sub",N($X229),N($M229))&lt;1),"Vencida"&amp;" · ","")&amp;IF(AND(ObsObligatoria="Sí",ISNUMBER($AN229),$AN229&lt;FechaRef,IF($V229="Sub",N($X229),N($M229))&lt;1,$Q229=""),"Vencida sin observación"&amp;" · ",""),LEN(IF($C229="","Falta el nombre de la actividad"&amp;" · ","")&amp;IF(AND($V229="Sub",N($U229)=0),"Subactividad sin macroactividad arriba"&amp;" · ","")&amp;IF($AM229="","Sin fecha de inicio"&amp;" · ","")&amp;IF($AN229="","Sin fecha límite"&amp;" · ","")&amp;IF(AND(LEFT($C229,11)="[Jefatura] ",N($AL229)=0),"No se encuentra en la hoja de la jefatura (elíjala de nuevo en la lista)"&amp;" · ","")&amp;IF(OR(AND($E229&lt;&gt;"",NOT(ISNUMBER($E229))),AND($F229&lt;&gt;"",NOT(ISNUMBER($F229))),AND($G229&lt;&gt;"",NOT(ISNUMBER($G229)))),"Fecha no válida"&amp;" · ","")&amp;IF(AND(ISNUMBER($AM229),ISNUMBER($AN229),$AM229&gt;$AN229),"Inicio posterior a fecha límite"&amp;" · ","")&amp;IF(AND($V229="Macro",$H229&lt;&gt;"",OR(NOT(ISNUMBER($H229)),$H229&lt;0,$H229&gt;1)),"Peso fuera de rango"&amp;" · ","")&amp;IF(AND($V229="Sub",$H229&lt;&gt;""),"Las subactividades no llevan peso (valen igual dentro de su macroactividad)"&amp;" · ","")&amp;IF(AND(N($W229)&gt;0,COUNT($I229:$L229)&gt;0),"Con subactividades: deje vacías las semanas (se calculan solas)"&amp;" · ","")&amp;IF((COUNTIF($I229:$L229,"&gt;1")+COUNTIF($I229:$L229,"&lt;0")+COUNTA($I229:$L229)-COUNT($I229:$L229))&gt;0,"Avance fuera de rango 0-100%"&amp;" · ","")&amp;IF(OR(AND($J229&lt;&gt;"",$J229&lt;$I229),AND($K229&lt;&gt;"",$K229&lt;MAX($I229:$J229)),AND($L229&lt;&gt;"",$L229&lt;MAX($I229:$K229))),"Avance semanal decreciente"&amp;" · ","")&amp;IF(AND(ISNUMBER($AN229),$AN229&lt;FechaRef,IF($V229="Sub",N($X229),N($M229))&lt;1),"Vencida"&amp;" · ","")&amp;IF(AND(ObsObligatoria="Sí",ISNUMBER($AN229),$AN229&lt;FechaRef,IF($V229="Sub",N($X229),N($M229))&lt;1,$Q229=""),"Vencida sin observación"&amp;" · ",""))-3)))</f>
        <v/>
      </c>
      <c r="S229" s="64">
        <f>IF(NOT((COUNTA($B229:$D229)+COUNTA($G229:$L229)+COUNTA($Q229))&gt;0),"",IF(AND($V229="Sub",N($U229)&gt;0),IF(ISNUMBER(INDEX($AM$5:$AM$1000,$U229-4)),DATE(YEAR(INDEX($AM$5:$AM$1000,$U229-4)),MONTH(INDEX($AM$5:$AM$1000,$U229-4)),1),IF(ISNUMBER(INDEX($AN$5:$AN$1000,$U229-4)),DATE(YEAR(INDEX($AN$5:$AN$1000,$U229-4)),MONTH(INDEX($AN$5:$AN$1000,$U229-4)),1),MesCiclo)),IF(ISNUMBER($AM229),DATE(YEAR($AM229),MONTH($AM229),1),IF(ISNUMBER($AN229),DATE(YEAR($AN229),MONTH($AN229),1),MesCiclo))))</f>
        <v/>
      </c>
      <c r="T229" s="62">
        <f>IF(OR($S229="",$S229&lt;&gt;MesCiclo,$V229&lt;&gt;"Macro"),"",COUNTIFS($S$5:$S229,MesCiclo,$V$5:$V229,"Macro"))</f>
        <v/>
      </c>
      <c r="U229" s="62">
        <f>IF($V229="","",IF($V229="Macro",ROW(),IFERROR(LOOKUP(2,1/($V$5:$V229="Macro"),ROW($V$5:$V229)),0)))</f>
        <v/>
      </c>
      <c r="V229" s="62">
        <f>IF(NOT((COUNTA($B229:$D229)+COUNTA($G229:$L229)+COUNTA($Q229))&gt;0),"",IF($B229="Subactividad","Sub","Macro"))</f>
        <v/>
      </c>
      <c r="W229" s="62">
        <f>IF($V229="Macro",COUNTIFS($U$5:$U$1000,ROW(),$V$5:$V$1000,"Sub"),"")</f>
        <v/>
      </c>
      <c r="X229" s="62">
        <f>IF($V229="","",IF(ISNUMBER($G229),1,IFERROR(LOOKUP(2,1/($I229:$L229&lt;&gt;""),$I229:$L229),0)))</f>
        <v/>
      </c>
      <c r="Y229" s="62">
        <f>IF($V229="","",IF(AND(ISNUMBER($G229),$G229&lt;=IF($S229=MesCiclo,InicioCiclo,$S229+MOD(2-WEEKDAY($S229),7))+6),1,IF(ISNUMBER($I229),$I229,0)))</f>
        <v/>
      </c>
      <c r="Z229" s="62">
        <f>IF($V229="","",IF(AND(ISNUMBER($G229),$G229&lt;=IF($S229=MesCiclo,InicioCiclo,$S229+MOD(2-WEEKDAY($S229),7))+13),1,IF(ISNUMBER($J229),$J229,$Y229)))</f>
        <v/>
      </c>
      <c r="AA229" s="62">
        <f>IF($V229="","",IF(AND(ISNUMBER($G229),$G229&lt;=IF($S229=MesCiclo,InicioCiclo,$S229+MOD(2-WEEKDAY($S229),7))+20),1,IF(ISNUMBER($K229),$K229,$Z229)))</f>
        <v/>
      </c>
      <c r="AB229" s="62">
        <f>IF($V229="","",IF(AND(ISNUMBER($G229),$G229&lt;=IF($S229=MesCiclo,InicioCiclo,$S229+MOD(2-WEEKDAY($S229),7))+27),1,IF(ISNUMBER($L229),$L229,$AA229)))</f>
        <v/>
      </c>
      <c r="AC229" s="62">
        <f>IF($V229="","",IF(AND(ISNUMBER($G229),$G229&lt;=IF($S229=MesCiclo,InicioCiclo,$S229+MOD(2-WEEKDAY($S229),7))+6),1,IF(N($W229)&gt;0,AVERAGEIFS($Y$5:$Y$1000,$U$5:$U$1000,ROW(),$V$5:$V$1000,"Sub"),$Y229)))</f>
        <v/>
      </c>
      <c r="AD229" s="62">
        <f>IF($V229="","",IF(AND(ISNUMBER($G229),$G229&lt;=IF($S229=MesCiclo,InicioCiclo,$S229+MOD(2-WEEKDAY($S229),7))+13),1,IF(N($W229)&gt;0,AVERAGEIFS($Z$5:$Z$1000,$U$5:$U$1000,ROW(),$V$5:$V$1000,"Sub"),$Z229)))</f>
        <v/>
      </c>
      <c r="AE229" s="62">
        <f>IF($V229="","",IF(AND(ISNUMBER($G229),$G229&lt;=IF($S229=MesCiclo,InicioCiclo,$S229+MOD(2-WEEKDAY($S229),7))+20),1,IF(N($W229)&gt;0,AVERAGEIFS($AA$5:$AA$1000,$U$5:$U$1000,ROW(),$V$5:$V$1000,"Sub"),$AA229)))</f>
        <v/>
      </c>
      <c r="AF229" s="62">
        <f>IF($V229="","",IF(AND(ISNUMBER($G229),$G229&lt;=IF($S229=MesCiclo,InicioCiclo,$S229+MOD(2-WEEKDAY($S229),7))+27),1,IF(N($W229)&gt;0,AVERAGEIFS($AB$5:$AB$1000,$U$5:$U$1000,ROW(),$V$5:$V$1000,"Sub"),$AB229)))</f>
        <v/>
      </c>
      <c r="AG229" s="62">
        <f>IF($V229&lt;&gt;"Macro","",IF(COUNTIFS($S$5:$S$1000,$S229,$V$5:$V$1000,"Macro",$H$5:$H$1000,"&gt;0")=0,1/COUNTIFS($S$5:$S$1000,$S229,$V$5:$V$1000,"Macro"),IF(AND(ISNUMBER($H229),N($H229)&gt;0),$H229,SUMIFS($H$5:$H$1000,$S$5:$S$1000,$S229,$V$5:$V$1000,"Macro")/COUNTIFS($S$5:$S$1000,$S229,$V$5:$V$1000,"Macro",$H$5:$H$1000,"&gt;0"))/(COUNTIFS($S$5:$S$1000,$S229,$V$5:$V$1000,"Macro")*SUMIFS($H$5:$H$1000,$S$5:$S$1000,$S229,$V$5:$V$1000,"Macro")/COUNTIFS($S$5:$S$1000,$S229,$V$5:$V$1000,"Macro",$H$5:$H$1000,"&gt;0"))))</f>
        <v/>
      </c>
      <c r="AH229" s="62" t="n"/>
      <c r="AI229" s="62" t="n"/>
      <c r="AJ229" s="62" t="n"/>
      <c r="AK229" s="62" t="n"/>
      <c r="AL229" s="62">
        <f>IF(LEFT($C229,11)="[Jefatura] ",IFERROR(MATCH("Riesgo Operacional|"&amp;MID($C229,12,500),rDname_ADM,0),0),"")</f>
        <v/>
      </c>
      <c r="AM229" s="62">
        <f>IF(N($AL229)&gt;0,INDEX(rIni_ADM,$AL229),IF(ISNUMBER($E229),$E229,""))</f>
        <v/>
      </c>
      <c r="AN229" s="62">
        <f>IF(N($AL229)&gt;0,INDEX(rLim_ADM,$AL229),IF(ISNUMBER($F229),$F229,""))</f>
        <v/>
      </c>
    </row>
    <row r="230">
      <c r="A230" s="56">
        <f>IF(NOT((COUNTA($B230:$D230)+COUNTA($G230:$L230)+COUNTA($Q230))&gt;0),"",IF($V230="Macro",COUNTIFS($V$5:$V230,"Macro",$S$5:$S230,$S230),IF(N($U230)=0,"?",COUNTIFS(INDEX($V$5:$V$1000,1):INDEX($V$5:$V$1000,$U230-4),"Macro",INDEX($S$5:$S$1000,1):INDEX($S$5:$S$1000,$U230-4),INDEX($S$5:$S$1000,$U230-4))&amp;"."&amp;COUNTIFS($U$5:$U230,$U230,$V$5:$V230,"Sub"))))</f>
        <v/>
      </c>
      <c r="B230" s="57" t="n"/>
      <c r="C230" s="58" t="n"/>
      <c r="D230" s="58" t="n"/>
      <c r="E230" s="59">
        <f>IF(N($AL230)&gt;0,INDEX(rIni_ADM,$AL230),"")</f>
        <v/>
      </c>
      <c r="F230" s="59">
        <f>IF(N($AL230)&gt;0,INDEX(rLim_ADM,$AL230),"")</f>
        <v/>
      </c>
      <c r="G230" s="59" t="n"/>
      <c r="H230" s="60" t="n"/>
      <c r="I230" s="60" t="n"/>
      <c r="J230" s="60" t="n"/>
      <c r="K230" s="60" t="n"/>
      <c r="L230" s="60" t="n"/>
      <c r="M230" s="61">
        <f>IF(NOT((COUNTA($B230:$D230)+COUNTA($G230:$L230)+COUNTA($Q230))&gt;0),"",IF($V230="Sub",IFERROR($X230/INDEX($W$5:$W$1000,$U230-4),""),IF(ISNUMBER($G230),1,IF(N($W230)&gt;0,AVERAGEIFS($X$5:$X$1000,$U$5:$U$1000,ROW(),$V$5:$V$1000,"Sub"),$X230))))</f>
        <v/>
      </c>
      <c r="N230" s="56">
        <f>IF(OR($M230="",$V230="Sub"),"",IF($M230&gt;=1,"Completado",IF($M230&gt;0,"En curso","Pendiente")))</f>
        <v/>
      </c>
      <c r="O230" s="56">
        <f>IF(OR(NOT((COUNTA($B230:$D230)+COUNTA($G230:$L230)+COUNTA($Q230))&gt;0),$V230="Sub"),"",IF(ISNUMBER($G230),IF(AND(ISNUMBER($AN230),$G230&gt;$AN230),"Cumplida con "&amp;($G230-$AN230)&amp;IF($G230-$AN230=1," día"," días")&amp;" de retraso","Cumplida"),IF(N($M230)&gt;=1,"Cumplida",IF(NOT(ISNUMBER($AN230)),"Sin fecha límite",IF($AN230&lt;FechaRef,"Vencida hace "&amp;(FechaRef-$AN230)&amp;IF(FechaRef-$AN230=1," día"," días"),IF($AN230=FechaRef,"Vence hoy",IF($AN230-FechaRef&lt;=DiasAlerta,"Vence en "&amp;($AN230-FechaRef)&amp;IF($AN230-FechaRef=1," día"," días"),"En plazo")))))))</f>
        <v/>
      </c>
      <c r="P230" s="62" t="n"/>
      <c r="Q230" s="58" t="n"/>
      <c r="R230" s="63">
        <f>IF(NOT((COUNTA($B230:$D230)+COUNTA($G230:$L230)+COUNTA($Q230))&gt;0),"",IF((IF($C230="","Falta el nombre de la actividad"&amp;" · ","")&amp;IF(AND($V230="Sub",N($U230)=0),"Subactividad sin macroactividad arriba"&amp;" · ","")&amp;IF($AM230="","Sin fecha de inicio"&amp;" · ","")&amp;IF($AN230="","Sin fecha límite"&amp;" · ","")&amp;IF(AND(LEFT($C230,11)="[Jefatura] ",N($AL230)=0),"No se encuentra en la hoja de la jefatura (elíjala de nuevo en la lista)"&amp;" · ","")&amp;IF(OR(AND($E230&lt;&gt;"",NOT(ISNUMBER($E230))),AND($F230&lt;&gt;"",NOT(ISNUMBER($F230))),AND($G230&lt;&gt;"",NOT(ISNUMBER($G230)))),"Fecha no válida"&amp;" · ","")&amp;IF(AND(ISNUMBER($AM230),ISNUMBER($AN230),$AM230&gt;$AN230),"Inicio posterior a fecha límite"&amp;" · ","")&amp;IF(AND($V230="Macro",$H230&lt;&gt;"",OR(NOT(ISNUMBER($H230)),$H230&lt;0,$H230&gt;1)),"Peso fuera de rango"&amp;" · ","")&amp;IF(AND($V230="Sub",$H230&lt;&gt;""),"Las subactividades no llevan peso (valen igual dentro de su macroactividad)"&amp;" · ","")&amp;IF(AND(N($W230)&gt;0,COUNT($I230:$L230)&gt;0),"Con subactividades: deje vacías las semanas (se calculan solas)"&amp;" · ","")&amp;IF((COUNTIF($I230:$L230,"&gt;1")+COUNTIF($I230:$L230,"&lt;0")+COUNTA($I230:$L230)-COUNT($I230:$L230))&gt;0,"Avance fuera de rango 0-100%"&amp;" · ","")&amp;IF(OR(AND($J230&lt;&gt;"",$J230&lt;$I230),AND($K230&lt;&gt;"",$K230&lt;MAX($I230:$J230)),AND($L230&lt;&gt;"",$L230&lt;MAX($I230:$K230))),"Avance semanal decreciente"&amp;" · ","")&amp;IF(AND(ISNUMBER($AN230),$AN230&lt;FechaRef,IF($V230="Sub",N($X230),N($M230))&lt;1),"Vencida"&amp;" · ","")&amp;IF(AND(ObsObligatoria="Sí",ISNUMBER($AN230),$AN230&lt;FechaRef,IF($V230="Sub",N($X230),N($M230))&lt;1,$Q230=""),"Vencida sin observación"&amp;" · ",""))="","✔ OK","⚠ "&amp;LEFT(IF($C230="","Falta el nombre de la actividad"&amp;" · ","")&amp;IF(AND($V230="Sub",N($U230)=0),"Subactividad sin macroactividad arriba"&amp;" · ","")&amp;IF($AM230="","Sin fecha de inicio"&amp;" · ","")&amp;IF($AN230="","Sin fecha límite"&amp;" · ","")&amp;IF(AND(LEFT($C230,11)="[Jefatura] ",N($AL230)=0),"No se encuentra en la hoja de la jefatura (elíjala de nuevo en la lista)"&amp;" · ","")&amp;IF(OR(AND($E230&lt;&gt;"",NOT(ISNUMBER($E230))),AND($F230&lt;&gt;"",NOT(ISNUMBER($F230))),AND($G230&lt;&gt;"",NOT(ISNUMBER($G230)))),"Fecha no válida"&amp;" · ","")&amp;IF(AND(ISNUMBER($AM230),ISNUMBER($AN230),$AM230&gt;$AN230),"Inicio posterior a fecha límite"&amp;" · ","")&amp;IF(AND($V230="Macro",$H230&lt;&gt;"",OR(NOT(ISNUMBER($H230)),$H230&lt;0,$H230&gt;1)),"Peso fuera de rango"&amp;" · ","")&amp;IF(AND($V230="Sub",$H230&lt;&gt;""),"Las subactividades no llevan peso (valen igual dentro de su macroactividad)"&amp;" · ","")&amp;IF(AND(N($W230)&gt;0,COUNT($I230:$L230)&gt;0),"Con subactividades: deje vacías las semanas (se calculan solas)"&amp;" · ","")&amp;IF((COUNTIF($I230:$L230,"&gt;1")+COUNTIF($I230:$L230,"&lt;0")+COUNTA($I230:$L230)-COUNT($I230:$L230))&gt;0,"Avance fuera de rango 0-100%"&amp;" · ","")&amp;IF(OR(AND($J230&lt;&gt;"",$J230&lt;$I230),AND($K230&lt;&gt;"",$K230&lt;MAX($I230:$J230)),AND($L230&lt;&gt;"",$L230&lt;MAX($I230:$K230))),"Avance semanal decreciente"&amp;" · ","")&amp;IF(AND(ISNUMBER($AN230),$AN230&lt;FechaRef,IF($V230="Sub",N($X230),N($M230))&lt;1),"Vencida"&amp;" · ","")&amp;IF(AND(ObsObligatoria="Sí",ISNUMBER($AN230),$AN230&lt;FechaRef,IF($V230="Sub",N($X230),N($M230))&lt;1,$Q230=""),"Vencida sin observación"&amp;" · ",""),LEN(IF($C230="","Falta el nombre de la actividad"&amp;" · ","")&amp;IF(AND($V230="Sub",N($U230)=0),"Subactividad sin macroactividad arriba"&amp;" · ","")&amp;IF($AM230="","Sin fecha de inicio"&amp;" · ","")&amp;IF($AN230="","Sin fecha límite"&amp;" · ","")&amp;IF(AND(LEFT($C230,11)="[Jefatura] ",N($AL230)=0),"No se encuentra en la hoja de la jefatura (elíjala de nuevo en la lista)"&amp;" · ","")&amp;IF(OR(AND($E230&lt;&gt;"",NOT(ISNUMBER($E230))),AND($F230&lt;&gt;"",NOT(ISNUMBER($F230))),AND($G230&lt;&gt;"",NOT(ISNUMBER($G230)))),"Fecha no válida"&amp;" · ","")&amp;IF(AND(ISNUMBER($AM230),ISNUMBER($AN230),$AM230&gt;$AN230),"Inicio posterior a fecha límite"&amp;" · ","")&amp;IF(AND($V230="Macro",$H230&lt;&gt;"",OR(NOT(ISNUMBER($H230)),$H230&lt;0,$H230&gt;1)),"Peso fuera de rango"&amp;" · ","")&amp;IF(AND($V230="Sub",$H230&lt;&gt;""),"Las subactividades no llevan peso (valen igual dentro de su macroactividad)"&amp;" · ","")&amp;IF(AND(N($W230)&gt;0,COUNT($I230:$L230)&gt;0),"Con subactividades: deje vacías las semanas (se calculan solas)"&amp;" · ","")&amp;IF((COUNTIF($I230:$L230,"&gt;1")+COUNTIF($I230:$L230,"&lt;0")+COUNTA($I230:$L230)-COUNT($I230:$L230))&gt;0,"Avance fuera de rango 0-100%"&amp;" · ","")&amp;IF(OR(AND($J230&lt;&gt;"",$J230&lt;$I230),AND($K230&lt;&gt;"",$K230&lt;MAX($I230:$J230)),AND($L230&lt;&gt;"",$L230&lt;MAX($I230:$K230))),"Avance semanal decreciente"&amp;" · ","")&amp;IF(AND(ISNUMBER($AN230),$AN230&lt;FechaRef,IF($V230="Sub",N($X230),N($M230))&lt;1),"Vencida"&amp;" · ","")&amp;IF(AND(ObsObligatoria="Sí",ISNUMBER($AN230),$AN230&lt;FechaRef,IF($V230="Sub",N($X230),N($M230))&lt;1,$Q230=""),"Vencida sin observación"&amp;" · ",""))-3)))</f>
        <v/>
      </c>
      <c r="S230" s="64">
        <f>IF(NOT((COUNTA($B230:$D230)+COUNTA($G230:$L230)+COUNTA($Q230))&gt;0),"",IF(AND($V230="Sub",N($U230)&gt;0),IF(ISNUMBER(INDEX($AM$5:$AM$1000,$U230-4)),DATE(YEAR(INDEX($AM$5:$AM$1000,$U230-4)),MONTH(INDEX($AM$5:$AM$1000,$U230-4)),1),IF(ISNUMBER(INDEX($AN$5:$AN$1000,$U230-4)),DATE(YEAR(INDEX($AN$5:$AN$1000,$U230-4)),MONTH(INDEX($AN$5:$AN$1000,$U230-4)),1),MesCiclo)),IF(ISNUMBER($AM230),DATE(YEAR($AM230),MONTH($AM230),1),IF(ISNUMBER($AN230),DATE(YEAR($AN230),MONTH($AN230),1),MesCiclo))))</f>
        <v/>
      </c>
      <c r="T230" s="62">
        <f>IF(OR($S230="",$S230&lt;&gt;MesCiclo,$V230&lt;&gt;"Macro"),"",COUNTIFS($S$5:$S230,MesCiclo,$V$5:$V230,"Macro"))</f>
        <v/>
      </c>
      <c r="U230" s="62">
        <f>IF($V230="","",IF($V230="Macro",ROW(),IFERROR(LOOKUP(2,1/($V$5:$V230="Macro"),ROW($V$5:$V230)),0)))</f>
        <v/>
      </c>
      <c r="V230" s="62">
        <f>IF(NOT((COUNTA($B230:$D230)+COUNTA($G230:$L230)+COUNTA($Q230))&gt;0),"",IF($B230="Subactividad","Sub","Macro"))</f>
        <v/>
      </c>
      <c r="W230" s="62">
        <f>IF($V230="Macro",COUNTIFS($U$5:$U$1000,ROW(),$V$5:$V$1000,"Sub"),"")</f>
        <v/>
      </c>
      <c r="X230" s="62">
        <f>IF($V230="","",IF(ISNUMBER($G230),1,IFERROR(LOOKUP(2,1/($I230:$L230&lt;&gt;""),$I230:$L230),0)))</f>
        <v/>
      </c>
      <c r="Y230" s="62">
        <f>IF($V230="","",IF(AND(ISNUMBER($G230),$G230&lt;=IF($S230=MesCiclo,InicioCiclo,$S230+MOD(2-WEEKDAY($S230),7))+6),1,IF(ISNUMBER($I230),$I230,0)))</f>
        <v/>
      </c>
      <c r="Z230" s="62">
        <f>IF($V230="","",IF(AND(ISNUMBER($G230),$G230&lt;=IF($S230=MesCiclo,InicioCiclo,$S230+MOD(2-WEEKDAY($S230),7))+13),1,IF(ISNUMBER($J230),$J230,$Y230)))</f>
        <v/>
      </c>
      <c r="AA230" s="62">
        <f>IF($V230="","",IF(AND(ISNUMBER($G230),$G230&lt;=IF($S230=MesCiclo,InicioCiclo,$S230+MOD(2-WEEKDAY($S230),7))+20),1,IF(ISNUMBER($K230),$K230,$Z230)))</f>
        <v/>
      </c>
      <c r="AB230" s="62">
        <f>IF($V230="","",IF(AND(ISNUMBER($G230),$G230&lt;=IF($S230=MesCiclo,InicioCiclo,$S230+MOD(2-WEEKDAY($S230),7))+27),1,IF(ISNUMBER($L230),$L230,$AA230)))</f>
        <v/>
      </c>
      <c r="AC230" s="62">
        <f>IF($V230="","",IF(AND(ISNUMBER($G230),$G230&lt;=IF($S230=MesCiclo,InicioCiclo,$S230+MOD(2-WEEKDAY($S230),7))+6),1,IF(N($W230)&gt;0,AVERAGEIFS($Y$5:$Y$1000,$U$5:$U$1000,ROW(),$V$5:$V$1000,"Sub"),$Y230)))</f>
        <v/>
      </c>
      <c r="AD230" s="62">
        <f>IF($V230="","",IF(AND(ISNUMBER($G230),$G230&lt;=IF($S230=MesCiclo,InicioCiclo,$S230+MOD(2-WEEKDAY($S230),7))+13),1,IF(N($W230)&gt;0,AVERAGEIFS($Z$5:$Z$1000,$U$5:$U$1000,ROW(),$V$5:$V$1000,"Sub"),$Z230)))</f>
        <v/>
      </c>
      <c r="AE230" s="62">
        <f>IF($V230="","",IF(AND(ISNUMBER($G230),$G230&lt;=IF($S230=MesCiclo,InicioCiclo,$S230+MOD(2-WEEKDAY($S230),7))+20),1,IF(N($W230)&gt;0,AVERAGEIFS($AA$5:$AA$1000,$U$5:$U$1000,ROW(),$V$5:$V$1000,"Sub"),$AA230)))</f>
        <v/>
      </c>
      <c r="AF230" s="62">
        <f>IF($V230="","",IF(AND(ISNUMBER($G230),$G230&lt;=IF($S230=MesCiclo,InicioCiclo,$S230+MOD(2-WEEKDAY($S230),7))+27),1,IF(N($W230)&gt;0,AVERAGEIFS($AB$5:$AB$1000,$U$5:$U$1000,ROW(),$V$5:$V$1000,"Sub"),$AB230)))</f>
        <v/>
      </c>
      <c r="AG230" s="62">
        <f>IF($V230&lt;&gt;"Macro","",IF(COUNTIFS($S$5:$S$1000,$S230,$V$5:$V$1000,"Macro",$H$5:$H$1000,"&gt;0")=0,1/COUNTIFS($S$5:$S$1000,$S230,$V$5:$V$1000,"Macro"),IF(AND(ISNUMBER($H230),N($H230)&gt;0),$H230,SUMIFS($H$5:$H$1000,$S$5:$S$1000,$S230,$V$5:$V$1000,"Macro")/COUNTIFS($S$5:$S$1000,$S230,$V$5:$V$1000,"Macro",$H$5:$H$1000,"&gt;0"))/(COUNTIFS($S$5:$S$1000,$S230,$V$5:$V$1000,"Macro")*SUMIFS($H$5:$H$1000,$S$5:$S$1000,$S230,$V$5:$V$1000,"Macro")/COUNTIFS($S$5:$S$1000,$S230,$V$5:$V$1000,"Macro",$H$5:$H$1000,"&gt;0"))))</f>
        <v/>
      </c>
      <c r="AH230" s="62" t="n"/>
      <c r="AI230" s="62" t="n"/>
      <c r="AJ230" s="62" t="n"/>
      <c r="AK230" s="62" t="n"/>
      <c r="AL230" s="62">
        <f>IF(LEFT($C230,11)="[Jefatura] ",IFERROR(MATCH("Riesgo Operacional|"&amp;MID($C230,12,500),rDname_ADM,0),0),"")</f>
        <v/>
      </c>
      <c r="AM230" s="62">
        <f>IF(N($AL230)&gt;0,INDEX(rIni_ADM,$AL230),IF(ISNUMBER($E230),$E230,""))</f>
        <v/>
      </c>
      <c r="AN230" s="62">
        <f>IF(N($AL230)&gt;0,INDEX(rLim_ADM,$AL230),IF(ISNUMBER($F230),$F230,""))</f>
        <v/>
      </c>
    </row>
    <row r="231">
      <c r="A231" s="56">
        <f>IF(NOT((COUNTA($B231:$D231)+COUNTA($G231:$L231)+COUNTA($Q231))&gt;0),"",IF($V231="Macro",COUNTIFS($V$5:$V231,"Macro",$S$5:$S231,$S231),IF(N($U231)=0,"?",COUNTIFS(INDEX($V$5:$V$1000,1):INDEX($V$5:$V$1000,$U231-4),"Macro",INDEX($S$5:$S$1000,1):INDEX($S$5:$S$1000,$U231-4),INDEX($S$5:$S$1000,$U231-4))&amp;"."&amp;COUNTIFS($U$5:$U231,$U231,$V$5:$V231,"Sub"))))</f>
        <v/>
      </c>
      <c r="B231" s="57" t="n"/>
      <c r="C231" s="58" t="n"/>
      <c r="D231" s="58" t="n"/>
      <c r="E231" s="59">
        <f>IF(N($AL231)&gt;0,INDEX(rIni_ADM,$AL231),"")</f>
        <v/>
      </c>
      <c r="F231" s="59">
        <f>IF(N($AL231)&gt;0,INDEX(rLim_ADM,$AL231),"")</f>
        <v/>
      </c>
      <c r="G231" s="59" t="n"/>
      <c r="H231" s="60" t="n"/>
      <c r="I231" s="60" t="n"/>
      <c r="J231" s="60" t="n"/>
      <c r="K231" s="60" t="n"/>
      <c r="L231" s="60" t="n"/>
      <c r="M231" s="61">
        <f>IF(NOT((COUNTA($B231:$D231)+COUNTA($G231:$L231)+COUNTA($Q231))&gt;0),"",IF($V231="Sub",IFERROR($X231/INDEX($W$5:$W$1000,$U231-4),""),IF(ISNUMBER($G231),1,IF(N($W231)&gt;0,AVERAGEIFS($X$5:$X$1000,$U$5:$U$1000,ROW(),$V$5:$V$1000,"Sub"),$X231))))</f>
        <v/>
      </c>
      <c r="N231" s="56">
        <f>IF(OR($M231="",$V231="Sub"),"",IF($M231&gt;=1,"Completado",IF($M231&gt;0,"En curso","Pendiente")))</f>
        <v/>
      </c>
      <c r="O231" s="56">
        <f>IF(OR(NOT((COUNTA($B231:$D231)+COUNTA($G231:$L231)+COUNTA($Q231))&gt;0),$V231="Sub"),"",IF(ISNUMBER($G231),IF(AND(ISNUMBER($AN231),$G231&gt;$AN231),"Cumplida con "&amp;($G231-$AN231)&amp;IF($G231-$AN231=1," día"," días")&amp;" de retraso","Cumplida"),IF(N($M231)&gt;=1,"Cumplida",IF(NOT(ISNUMBER($AN231)),"Sin fecha límite",IF($AN231&lt;FechaRef,"Vencida hace "&amp;(FechaRef-$AN231)&amp;IF(FechaRef-$AN231=1," día"," días"),IF($AN231=FechaRef,"Vence hoy",IF($AN231-FechaRef&lt;=DiasAlerta,"Vence en "&amp;($AN231-FechaRef)&amp;IF($AN231-FechaRef=1," día"," días"),"En plazo")))))))</f>
        <v/>
      </c>
      <c r="P231" s="62" t="n"/>
      <c r="Q231" s="58" t="n"/>
      <c r="R231" s="63">
        <f>IF(NOT((COUNTA($B231:$D231)+COUNTA($G231:$L231)+COUNTA($Q231))&gt;0),"",IF((IF($C231="","Falta el nombre de la actividad"&amp;" · ","")&amp;IF(AND($V231="Sub",N($U231)=0),"Subactividad sin macroactividad arriba"&amp;" · ","")&amp;IF($AM231="","Sin fecha de inicio"&amp;" · ","")&amp;IF($AN231="","Sin fecha límite"&amp;" · ","")&amp;IF(AND(LEFT($C231,11)="[Jefatura] ",N($AL231)=0),"No se encuentra en la hoja de la jefatura (elíjala de nuevo en la lista)"&amp;" · ","")&amp;IF(OR(AND($E231&lt;&gt;"",NOT(ISNUMBER($E231))),AND($F231&lt;&gt;"",NOT(ISNUMBER($F231))),AND($G231&lt;&gt;"",NOT(ISNUMBER($G231)))),"Fecha no válida"&amp;" · ","")&amp;IF(AND(ISNUMBER($AM231),ISNUMBER($AN231),$AM231&gt;$AN231),"Inicio posterior a fecha límite"&amp;" · ","")&amp;IF(AND($V231="Macro",$H231&lt;&gt;"",OR(NOT(ISNUMBER($H231)),$H231&lt;0,$H231&gt;1)),"Peso fuera de rango"&amp;" · ","")&amp;IF(AND($V231="Sub",$H231&lt;&gt;""),"Las subactividades no llevan peso (valen igual dentro de su macroactividad)"&amp;" · ","")&amp;IF(AND(N($W231)&gt;0,COUNT($I231:$L231)&gt;0),"Con subactividades: deje vacías las semanas (se calculan solas)"&amp;" · ","")&amp;IF((COUNTIF($I231:$L231,"&gt;1")+COUNTIF($I231:$L231,"&lt;0")+COUNTA($I231:$L231)-COUNT($I231:$L231))&gt;0,"Avance fuera de rango 0-100%"&amp;" · ","")&amp;IF(OR(AND($J231&lt;&gt;"",$J231&lt;$I231),AND($K231&lt;&gt;"",$K231&lt;MAX($I231:$J231)),AND($L231&lt;&gt;"",$L231&lt;MAX($I231:$K231))),"Avance semanal decreciente"&amp;" · ","")&amp;IF(AND(ISNUMBER($AN231),$AN231&lt;FechaRef,IF($V231="Sub",N($X231),N($M231))&lt;1),"Vencida"&amp;" · ","")&amp;IF(AND(ObsObligatoria="Sí",ISNUMBER($AN231),$AN231&lt;FechaRef,IF($V231="Sub",N($X231),N($M231))&lt;1,$Q231=""),"Vencida sin observación"&amp;" · ",""))="","✔ OK","⚠ "&amp;LEFT(IF($C231="","Falta el nombre de la actividad"&amp;" · ","")&amp;IF(AND($V231="Sub",N($U231)=0),"Subactividad sin macroactividad arriba"&amp;" · ","")&amp;IF($AM231="","Sin fecha de inicio"&amp;" · ","")&amp;IF($AN231="","Sin fecha límite"&amp;" · ","")&amp;IF(AND(LEFT($C231,11)="[Jefatura] ",N($AL231)=0),"No se encuentra en la hoja de la jefatura (elíjala de nuevo en la lista)"&amp;" · ","")&amp;IF(OR(AND($E231&lt;&gt;"",NOT(ISNUMBER($E231))),AND($F231&lt;&gt;"",NOT(ISNUMBER($F231))),AND($G231&lt;&gt;"",NOT(ISNUMBER($G231)))),"Fecha no válida"&amp;" · ","")&amp;IF(AND(ISNUMBER($AM231),ISNUMBER($AN231),$AM231&gt;$AN231),"Inicio posterior a fecha límite"&amp;" · ","")&amp;IF(AND($V231="Macro",$H231&lt;&gt;"",OR(NOT(ISNUMBER($H231)),$H231&lt;0,$H231&gt;1)),"Peso fuera de rango"&amp;" · ","")&amp;IF(AND($V231="Sub",$H231&lt;&gt;""),"Las subactividades no llevan peso (valen igual dentro de su macroactividad)"&amp;" · ","")&amp;IF(AND(N($W231)&gt;0,COUNT($I231:$L231)&gt;0),"Con subactividades: deje vacías las semanas (se calculan solas)"&amp;" · ","")&amp;IF((COUNTIF($I231:$L231,"&gt;1")+COUNTIF($I231:$L231,"&lt;0")+COUNTA($I231:$L231)-COUNT($I231:$L231))&gt;0,"Avance fuera de rango 0-100%"&amp;" · ","")&amp;IF(OR(AND($J231&lt;&gt;"",$J231&lt;$I231),AND($K231&lt;&gt;"",$K231&lt;MAX($I231:$J231)),AND($L231&lt;&gt;"",$L231&lt;MAX($I231:$K231))),"Avance semanal decreciente"&amp;" · ","")&amp;IF(AND(ISNUMBER($AN231),$AN231&lt;FechaRef,IF($V231="Sub",N($X231),N($M231))&lt;1),"Vencida"&amp;" · ","")&amp;IF(AND(ObsObligatoria="Sí",ISNUMBER($AN231),$AN231&lt;FechaRef,IF($V231="Sub",N($X231),N($M231))&lt;1,$Q231=""),"Vencida sin observación"&amp;" · ",""),LEN(IF($C231="","Falta el nombre de la actividad"&amp;" · ","")&amp;IF(AND($V231="Sub",N($U231)=0),"Subactividad sin macroactividad arriba"&amp;" · ","")&amp;IF($AM231="","Sin fecha de inicio"&amp;" · ","")&amp;IF($AN231="","Sin fecha límite"&amp;" · ","")&amp;IF(AND(LEFT($C231,11)="[Jefatura] ",N($AL231)=0),"No se encuentra en la hoja de la jefatura (elíjala de nuevo en la lista)"&amp;" · ","")&amp;IF(OR(AND($E231&lt;&gt;"",NOT(ISNUMBER($E231))),AND($F231&lt;&gt;"",NOT(ISNUMBER($F231))),AND($G231&lt;&gt;"",NOT(ISNUMBER($G231)))),"Fecha no válida"&amp;" · ","")&amp;IF(AND(ISNUMBER($AM231),ISNUMBER($AN231),$AM231&gt;$AN231),"Inicio posterior a fecha límite"&amp;" · ","")&amp;IF(AND($V231="Macro",$H231&lt;&gt;"",OR(NOT(ISNUMBER($H231)),$H231&lt;0,$H231&gt;1)),"Peso fuera de rango"&amp;" · ","")&amp;IF(AND($V231="Sub",$H231&lt;&gt;""),"Las subactividades no llevan peso (valen igual dentro de su macroactividad)"&amp;" · ","")&amp;IF(AND(N($W231)&gt;0,COUNT($I231:$L231)&gt;0),"Con subactividades: deje vacías las semanas (se calculan solas)"&amp;" · ","")&amp;IF((COUNTIF($I231:$L231,"&gt;1")+COUNTIF($I231:$L231,"&lt;0")+COUNTA($I231:$L231)-COUNT($I231:$L231))&gt;0,"Avance fuera de rango 0-100%"&amp;" · ","")&amp;IF(OR(AND($J231&lt;&gt;"",$J231&lt;$I231),AND($K231&lt;&gt;"",$K231&lt;MAX($I231:$J231)),AND($L231&lt;&gt;"",$L231&lt;MAX($I231:$K231))),"Avance semanal decreciente"&amp;" · ","")&amp;IF(AND(ISNUMBER($AN231),$AN231&lt;FechaRef,IF($V231="Sub",N($X231),N($M231))&lt;1),"Vencida"&amp;" · ","")&amp;IF(AND(ObsObligatoria="Sí",ISNUMBER($AN231),$AN231&lt;FechaRef,IF($V231="Sub",N($X231),N($M231))&lt;1,$Q231=""),"Vencida sin observación"&amp;" · ",""))-3)))</f>
        <v/>
      </c>
      <c r="S231" s="64">
        <f>IF(NOT((COUNTA($B231:$D231)+COUNTA($G231:$L231)+COUNTA($Q231))&gt;0),"",IF(AND($V231="Sub",N($U231)&gt;0),IF(ISNUMBER(INDEX($AM$5:$AM$1000,$U231-4)),DATE(YEAR(INDEX($AM$5:$AM$1000,$U231-4)),MONTH(INDEX($AM$5:$AM$1000,$U231-4)),1),IF(ISNUMBER(INDEX($AN$5:$AN$1000,$U231-4)),DATE(YEAR(INDEX($AN$5:$AN$1000,$U231-4)),MONTH(INDEX($AN$5:$AN$1000,$U231-4)),1),MesCiclo)),IF(ISNUMBER($AM231),DATE(YEAR($AM231),MONTH($AM231),1),IF(ISNUMBER($AN231),DATE(YEAR($AN231),MONTH($AN231),1),MesCiclo))))</f>
        <v/>
      </c>
      <c r="T231" s="62">
        <f>IF(OR($S231="",$S231&lt;&gt;MesCiclo,$V231&lt;&gt;"Macro"),"",COUNTIFS($S$5:$S231,MesCiclo,$V$5:$V231,"Macro"))</f>
        <v/>
      </c>
      <c r="U231" s="62">
        <f>IF($V231="","",IF($V231="Macro",ROW(),IFERROR(LOOKUP(2,1/($V$5:$V231="Macro"),ROW($V$5:$V231)),0)))</f>
        <v/>
      </c>
      <c r="V231" s="62">
        <f>IF(NOT((COUNTA($B231:$D231)+COUNTA($G231:$L231)+COUNTA($Q231))&gt;0),"",IF($B231="Subactividad","Sub","Macro"))</f>
        <v/>
      </c>
      <c r="W231" s="62">
        <f>IF($V231="Macro",COUNTIFS($U$5:$U$1000,ROW(),$V$5:$V$1000,"Sub"),"")</f>
        <v/>
      </c>
      <c r="X231" s="62">
        <f>IF($V231="","",IF(ISNUMBER($G231),1,IFERROR(LOOKUP(2,1/($I231:$L231&lt;&gt;""),$I231:$L231),0)))</f>
        <v/>
      </c>
      <c r="Y231" s="62">
        <f>IF($V231="","",IF(AND(ISNUMBER($G231),$G231&lt;=IF($S231=MesCiclo,InicioCiclo,$S231+MOD(2-WEEKDAY($S231),7))+6),1,IF(ISNUMBER($I231),$I231,0)))</f>
        <v/>
      </c>
      <c r="Z231" s="62">
        <f>IF($V231="","",IF(AND(ISNUMBER($G231),$G231&lt;=IF($S231=MesCiclo,InicioCiclo,$S231+MOD(2-WEEKDAY($S231),7))+13),1,IF(ISNUMBER($J231),$J231,$Y231)))</f>
        <v/>
      </c>
      <c r="AA231" s="62">
        <f>IF($V231="","",IF(AND(ISNUMBER($G231),$G231&lt;=IF($S231=MesCiclo,InicioCiclo,$S231+MOD(2-WEEKDAY($S231),7))+20),1,IF(ISNUMBER($K231),$K231,$Z231)))</f>
        <v/>
      </c>
      <c r="AB231" s="62">
        <f>IF($V231="","",IF(AND(ISNUMBER($G231),$G231&lt;=IF($S231=MesCiclo,InicioCiclo,$S231+MOD(2-WEEKDAY($S231),7))+27),1,IF(ISNUMBER($L231),$L231,$AA231)))</f>
        <v/>
      </c>
      <c r="AC231" s="62">
        <f>IF($V231="","",IF(AND(ISNUMBER($G231),$G231&lt;=IF($S231=MesCiclo,InicioCiclo,$S231+MOD(2-WEEKDAY($S231),7))+6),1,IF(N($W231)&gt;0,AVERAGEIFS($Y$5:$Y$1000,$U$5:$U$1000,ROW(),$V$5:$V$1000,"Sub"),$Y231)))</f>
        <v/>
      </c>
      <c r="AD231" s="62">
        <f>IF($V231="","",IF(AND(ISNUMBER($G231),$G231&lt;=IF($S231=MesCiclo,InicioCiclo,$S231+MOD(2-WEEKDAY($S231),7))+13),1,IF(N($W231)&gt;0,AVERAGEIFS($Z$5:$Z$1000,$U$5:$U$1000,ROW(),$V$5:$V$1000,"Sub"),$Z231)))</f>
        <v/>
      </c>
      <c r="AE231" s="62">
        <f>IF($V231="","",IF(AND(ISNUMBER($G231),$G231&lt;=IF($S231=MesCiclo,InicioCiclo,$S231+MOD(2-WEEKDAY($S231),7))+20),1,IF(N($W231)&gt;0,AVERAGEIFS($AA$5:$AA$1000,$U$5:$U$1000,ROW(),$V$5:$V$1000,"Sub"),$AA231)))</f>
        <v/>
      </c>
      <c r="AF231" s="62">
        <f>IF($V231="","",IF(AND(ISNUMBER($G231),$G231&lt;=IF($S231=MesCiclo,InicioCiclo,$S231+MOD(2-WEEKDAY($S231),7))+27),1,IF(N($W231)&gt;0,AVERAGEIFS($AB$5:$AB$1000,$U$5:$U$1000,ROW(),$V$5:$V$1000,"Sub"),$AB231)))</f>
        <v/>
      </c>
      <c r="AG231" s="62">
        <f>IF($V231&lt;&gt;"Macro","",IF(COUNTIFS($S$5:$S$1000,$S231,$V$5:$V$1000,"Macro",$H$5:$H$1000,"&gt;0")=0,1/COUNTIFS($S$5:$S$1000,$S231,$V$5:$V$1000,"Macro"),IF(AND(ISNUMBER($H231),N($H231)&gt;0),$H231,SUMIFS($H$5:$H$1000,$S$5:$S$1000,$S231,$V$5:$V$1000,"Macro")/COUNTIFS($S$5:$S$1000,$S231,$V$5:$V$1000,"Macro",$H$5:$H$1000,"&gt;0"))/(COUNTIFS($S$5:$S$1000,$S231,$V$5:$V$1000,"Macro")*SUMIFS($H$5:$H$1000,$S$5:$S$1000,$S231,$V$5:$V$1000,"Macro")/COUNTIFS($S$5:$S$1000,$S231,$V$5:$V$1000,"Macro",$H$5:$H$1000,"&gt;0"))))</f>
        <v/>
      </c>
      <c r="AH231" s="62" t="n"/>
      <c r="AI231" s="62" t="n"/>
      <c r="AJ231" s="62" t="n"/>
      <c r="AK231" s="62" t="n"/>
      <c r="AL231" s="62">
        <f>IF(LEFT($C231,11)="[Jefatura] ",IFERROR(MATCH("Riesgo Operacional|"&amp;MID($C231,12,500),rDname_ADM,0),0),"")</f>
        <v/>
      </c>
      <c r="AM231" s="62">
        <f>IF(N($AL231)&gt;0,INDEX(rIni_ADM,$AL231),IF(ISNUMBER($E231),$E231,""))</f>
        <v/>
      </c>
      <c r="AN231" s="62">
        <f>IF(N($AL231)&gt;0,INDEX(rLim_ADM,$AL231),IF(ISNUMBER($F231),$F231,""))</f>
        <v/>
      </c>
    </row>
    <row r="232">
      <c r="A232" s="56">
        <f>IF(NOT((COUNTA($B232:$D232)+COUNTA($G232:$L232)+COUNTA($Q232))&gt;0),"",IF($V232="Macro",COUNTIFS($V$5:$V232,"Macro",$S$5:$S232,$S232),IF(N($U232)=0,"?",COUNTIFS(INDEX($V$5:$V$1000,1):INDEX($V$5:$V$1000,$U232-4),"Macro",INDEX($S$5:$S$1000,1):INDEX($S$5:$S$1000,$U232-4),INDEX($S$5:$S$1000,$U232-4))&amp;"."&amp;COUNTIFS($U$5:$U232,$U232,$V$5:$V232,"Sub"))))</f>
        <v/>
      </c>
      <c r="B232" s="57" t="n"/>
      <c r="C232" s="58" t="n"/>
      <c r="D232" s="58" t="n"/>
      <c r="E232" s="59">
        <f>IF(N($AL232)&gt;0,INDEX(rIni_ADM,$AL232),"")</f>
        <v/>
      </c>
      <c r="F232" s="59">
        <f>IF(N($AL232)&gt;0,INDEX(rLim_ADM,$AL232),"")</f>
        <v/>
      </c>
      <c r="G232" s="59" t="n"/>
      <c r="H232" s="60" t="n"/>
      <c r="I232" s="60" t="n"/>
      <c r="J232" s="60" t="n"/>
      <c r="K232" s="60" t="n"/>
      <c r="L232" s="60" t="n"/>
      <c r="M232" s="61">
        <f>IF(NOT((COUNTA($B232:$D232)+COUNTA($G232:$L232)+COUNTA($Q232))&gt;0),"",IF($V232="Sub",IFERROR($X232/INDEX($W$5:$W$1000,$U232-4),""),IF(ISNUMBER($G232),1,IF(N($W232)&gt;0,AVERAGEIFS($X$5:$X$1000,$U$5:$U$1000,ROW(),$V$5:$V$1000,"Sub"),$X232))))</f>
        <v/>
      </c>
      <c r="N232" s="56">
        <f>IF(OR($M232="",$V232="Sub"),"",IF($M232&gt;=1,"Completado",IF($M232&gt;0,"En curso","Pendiente")))</f>
        <v/>
      </c>
      <c r="O232" s="56">
        <f>IF(OR(NOT((COUNTA($B232:$D232)+COUNTA($G232:$L232)+COUNTA($Q232))&gt;0),$V232="Sub"),"",IF(ISNUMBER($G232),IF(AND(ISNUMBER($AN232),$G232&gt;$AN232),"Cumplida con "&amp;($G232-$AN232)&amp;IF($G232-$AN232=1," día"," días")&amp;" de retraso","Cumplida"),IF(N($M232)&gt;=1,"Cumplida",IF(NOT(ISNUMBER($AN232)),"Sin fecha límite",IF($AN232&lt;FechaRef,"Vencida hace "&amp;(FechaRef-$AN232)&amp;IF(FechaRef-$AN232=1," día"," días"),IF($AN232=FechaRef,"Vence hoy",IF($AN232-FechaRef&lt;=DiasAlerta,"Vence en "&amp;($AN232-FechaRef)&amp;IF($AN232-FechaRef=1," día"," días"),"En plazo")))))))</f>
        <v/>
      </c>
      <c r="P232" s="62" t="n"/>
      <c r="Q232" s="58" t="n"/>
      <c r="R232" s="63">
        <f>IF(NOT((COUNTA($B232:$D232)+COUNTA($G232:$L232)+COUNTA($Q232))&gt;0),"",IF((IF($C232="","Falta el nombre de la actividad"&amp;" · ","")&amp;IF(AND($V232="Sub",N($U232)=0),"Subactividad sin macroactividad arriba"&amp;" · ","")&amp;IF($AM232="","Sin fecha de inicio"&amp;" · ","")&amp;IF($AN232="","Sin fecha límite"&amp;" · ","")&amp;IF(AND(LEFT($C232,11)="[Jefatura] ",N($AL232)=0),"No se encuentra en la hoja de la jefatura (elíjala de nuevo en la lista)"&amp;" · ","")&amp;IF(OR(AND($E232&lt;&gt;"",NOT(ISNUMBER($E232))),AND($F232&lt;&gt;"",NOT(ISNUMBER($F232))),AND($G232&lt;&gt;"",NOT(ISNUMBER($G232)))),"Fecha no válida"&amp;" · ","")&amp;IF(AND(ISNUMBER($AM232),ISNUMBER($AN232),$AM232&gt;$AN232),"Inicio posterior a fecha límite"&amp;" · ","")&amp;IF(AND($V232="Macro",$H232&lt;&gt;"",OR(NOT(ISNUMBER($H232)),$H232&lt;0,$H232&gt;1)),"Peso fuera de rango"&amp;" · ","")&amp;IF(AND($V232="Sub",$H232&lt;&gt;""),"Las subactividades no llevan peso (valen igual dentro de su macroactividad)"&amp;" · ","")&amp;IF(AND(N($W232)&gt;0,COUNT($I232:$L232)&gt;0),"Con subactividades: deje vacías las semanas (se calculan solas)"&amp;" · ","")&amp;IF((COUNTIF($I232:$L232,"&gt;1")+COUNTIF($I232:$L232,"&lt;0")+COUNTA($I232:$L232)-COUNT($I232:$L232))&gt;0,"Avance fuera de rango 0-100%"&amp;" · ","")&amp;IF(OR(AND($J232&lt;&gt;"",$J232&lt;$I232),AND($K232&lt;&gt;"",$K232&lt;MAX($I232:$J232)),AND($L232&lt;&gt;"",$L232&lt;MAX($I232:$K232))),"Avance semanal decreciente"&amp;" · ","")&amp;IF(AND(ISNUMBER($AN232),$AN232&lt;FechaRef,IF($V232="Sub",N($X232),N($M232))&lt;1),"Vencida"&amp;" · ","")&amp;IF(AND(ObsObligatoria="Sí",ISNUMBER($AN232),$AN232&lt;FechaRef,IF($V232="Sub",N($X232),N($M232))&lt;1,$Q232=""),"Vencida sin observación"&amp;" · ",""))="","✔ OK","⚠ "&amp;LEFT(IF($C232="","Falta el nombre de la actividad"&amp;" · ","")&amp;IF(AND($V232="Sub",N($U232)=0),"Subactividad sin macroactividad arriba"&amp;" · ","")&amp;IF($AM232="","Sin fecha de inicio"&amp;" · ","")&amp;IF($AN232="","Sin fecha límite"&amp;" · ","")&amp;IF(AND(LEFT($C232,11)="[Jefatura] ",N($AL232)=0),"No se encuentra en la hoja de la jefatura (elíjala de nuevo en la lista)"&amp;" · ","")&amp;IF(OR(AND($E232&lt;&gt;"",NOT(ISNUMBER($E232))),AND($F232&lt;&gt;"",NOT(ISNUMBER($F232))),AND($G232&lt;&gt;"",NOT(ISNUMBER($G232)))),"Fecha no válida"&amp;" · ","")&amp;IF(AND(ISNUMBER($AM232),ISNUMBER($AN232),$AM232&gt;$AN232),"Inicio posterior a fecha límite"&amp;" · ","")&amp;IF(AND($V232="Macro",$H232&lt;&gt;"",OR(NOT(ISNUMBER($H232)),$H232&lt;0,$H232&gt;1)),"Peso fuera de rango"&amp;" · ","")&amp;IF(AND($V232="Sub",$H232&lt;&gt;""),"Las subactividades no llevan peso (valen igual dentro de su macroactividad)"&amp;" · ","")&amp;IF(AND(N($W232)&gt;0,COUNT($I232:$L232)&gt;0),"Con subactividades: deje vacías las semanas (se calculan solas)"&amp;" · ","")&amp;IF((COUNTIF($I232:$L232,"&gt;1")+COUNTIF($I232:$L232,"&lt;0")+COUNTA($I232:$L232)-COUNT($I232:$L232))&gt;0,"Avance fuera de rango 0-100%"&amp;" · ","")&amp;IF(OR(AND($J232&lt;&gt;"",$J232&lt;$I232),AND($K232&lt;&gt;"",$K232&lt;MAX($I232:$J232)),AND($L232&lt;&gt;"",$L232&lt;MAX($I232:$K232))),"Avance semanal decreciente"&amp;" · ","")&amp;IF(AND(ISNUMBER($AN232),$AN232&lt;FechaRef,IF($V232="Sub",N($X232),N($M232))&lt;1),"Vencida"&amp;" · ","")&amp;IF(AND(ObsObligatoria="Sí",ISNUMBER($AN232),$AN232&lt;FechaRef,IF($V232="Sub",N($X232),N($M232))&lt;1,$Q232=""),"Vencida sin observación"&amp;" · ",""),LEN(IF($C232="","Falta el nombre de la actividad"&amp;" · ","")&amp;IF(AND($V232="Sub",N($U232)=0),"Subactividad sin macroactividad arriba"&amp;" · ","")&amp;IF($AM232="","Sin fecha de inicio"&amp;" · ","")&amp;IF($AN232="","Sin fecha límite"&amp;" · ","")&amp;IF(AND(LEFT($C232,11)="[Jefatura] ",N($AL232)=0),"No se encuentra en la hoja de la jefatura (elíjala de nuevo en la lista)"&amp;" · ","")&amp;IF(OR(AND($E232&lt;&gt;"",NOT(ISNUMBER($E232))),AND($F232&lt;&gt;"",NOT(ISNUMBER($F232))),AND($G232&lt;&gt;"",NOT(ISNUMBER($G232)))),"Fecha no válida"&amp;" · ","")&amp;IF(AND(ISNUMBER($AM232),ISNUMBER($AN232),$AM232&gt;$AN232),"Inicio posterior a fecha límite"&amp;" · ","")&amp;IF(AND($V232="Macro",$H232&lt;&gt;"",OR(NOT(ISNUMBER($H232)),$H232&lt;0,$H232&gt;1)),"Peso fuera de rango"&amp;" · ","")&amp;IF(AND($V232="Sub",$H232&lt;&gt;""),"Las subactividades no llevan peso (valen igual dentro de su macroactividad)"&amp;" · ","")&amp;IF(AND(N($W232)&gt;0,COUNT($I232:$L232)&gt;0),"Con subactividades: deje vacías las semanas (se calculan solas)"&amp;" · ","")&amp;IF((COUNTIF($I232:$L232,"&gt;1")+COUNTIF($I232:$L232,"&lt;0")+COUNTA($I232:$L232)-COUNT($I232:$L232))&gt;0,"Avance fuera de rango 0-100%"&amp;" · ","")&amp;IF(OR(AND($J232&lt;&gt;"",$J232&lt;$I232),AND($K232&lt;&gt;"",$K232&lt;MAX($I232:$J232)),AND($L232&lt;&gt;"",$L232&lt;MAX($I232:$K232))),"Avance semanal decreciente"&amp;" · ","")&amp;IF(AND(ISNUMBER($AN232),$AN232&lt;FechaRef,IF($V232="Sub",N($X232),N($M232))&lt;1),"Vencida"&amp;" · ","")&amp;IF(AND(ObsObligatoria="Sí",ISNUMBER($AN232),$AN232&lt;FechaRef,IF($V232="Sub",N($X232),N($M232))&lt;1,$Q232=""),"Vencida sin observación"&amp;" · ",""))-3)))</f>
        <v/>
      </c>
      <c r="S232" s="64">
        <f>IF(NOT((COUNTA($B232:$D232)+COUNTA($G232:$L232)+COUNTA($Q232))&gt;0),"",IF(AND($V232="Sub",N($U232)&gt;0),IF(ISNUMBER(INDEX($AM$5:$AM$1000,$U232-4)),DATE(YEAR(INDEX($AM$5:$AM$1000,$U232-4)),MONTH(INDEX($AM$5:$AM$1000,$U232-4)),1),IF(ISNUMBER(INDEX($AN$5:$AN$1000,$U232-4)),DATE(YEAR(INDEX($AN$5:$AN$1000,$U232-4)),MONTH(INDEX($AN$5:$AN$1000,$U232-4)),1),MesCiclo)),IF(ISNUMBER($AM232),DATE(YEAR($AM232),MONTH($AM232),1),IF(ISNUMBER($AN232),DATE(YEAR($AN232),MONTH($AN232),1),MesCiclo))))</f>
        <v/>
      </c>
      <c r="T232" s="62">
        <f>IF(OR($S232="",$S232&lt;&gt;MesCiclo,$V232&lt;&gt;"Macro"),"",COUNTIFS($S$5:$S232,MesCiclo,$V$5:$V232,"Macro"))</f>
        <v/>
      </c>
      <c r="U232" s="62">
        <f>IF($V232="","",IF($V232="Macro",ROW(),IFERROR(LOOKUP(2,1/($V$5:$V232="Macro"),ROW($V$5:$V232)),0)))</f>
        <v/>
      </c>
      <c r="V232" s="62">
        <f>IF(NOT((COUNTA($B232:$D232)+COUNTA($G232:$L232)+COUNTA($Q232))&gt;0),"",IF($B232="Subactividad","Sub","Macro"))</f>
        <v/>
      </c>
      <c r="W232" s="62">
        <f>IF($V232="Macro",COUNTIFS($U$5:$U$1000,ROW(),$V$5:$V$1000,"Sub"),"")</f>
        <v/>
      </c>
      <c r="X232" s="62">
        <f>IF($V232="","",IF(ISNUMBER($G232),1,IFERROR(LOOKUP(2,1/($I232:$L232&lt;&gt;""),$I232:$L232),0)))</f>
        <v/>
      </c>
      <c r="Y232" s="62">
        <f>IF($V232="","",IF(AND(ISNUMBER($G232),$G232&lt;=IF($S232=MesCiclo,InicioCiclo,$S232+MOD(2-WEEKDAY($S232),7))+6),1,IF(ISNUMBER($I232),$I232,0)))</f>
        <v/>
      </c>
      <c r="Z232" s="62">
        <f>IF($V232="","",IF(AND(ISNUMBER($G232),$G232&lt;=IF($S232=MesCiclo,InicioCiclo,$S232+MOD(2-WEEKDAY($S232),7))+13),1,IF(ISNUMBER($J232),$J232,$Y232)))</f>
        <v/>
      </c>
      <c r="AA232" s="62">
        <f>IF($V232="","",IF(AND(ISNUMBER($G232),$G232&lt;=IF($S232=MesCiclo,InicioCiclo,$S232+MOD(2-WEEKDAY($S232),7))+20),1,IF(ISNUMBER($K232),$K232,$Z232)))</f>
        <v/>
      </c>
      <c r="AB232" s="62">
        <f>IF($V232="","",IF(AND(ISNUMBER($G232),$G232&lt;=IF($S232=MesCiclo,InicioCiclo,$S232+MOD(2-WEEKDAY($S232),7))+27),1,IF(ISNUMBER($L232),$L232,$AA232)))</f>
        <v/>
      </c>
      <c r="AC232" s="62">
        <f>IF($V232="","",IF(AND(ISNUMBER($G232),$G232&lt;=IF($S232=MesCiclo,InicioCiclo,$S232+MOD(2-WEEKDAY($S232),7))+6),1,IF(N($W232)&gt;0,AVERAGEIFS($Y$5:$Y$1000,$U$5:$U$1000,ROW(),$V$5:$V$1000,"Sub"),$Y232)))</f>
        <v/>
      </c>
      <c r="AD232" s="62">
        <f>IF($V232="","",IF(AND(ISNUMBER($G232),$G232&lt;=IF($S232=MesCiclo,InicioCiclo,$S232+MOD(2-WEEKDAY($S232),7))+13),1,IF(N($W232)&gt;0,AVERAGEIFS($Z$5:$Z$1000,$U$5:$U$1000,ROW(),$V$5:$V$1000,"Sub"),$Z232)))</f>
        <v/>
      </c>
      <c r="AE232" s="62">
        <f>IF($V232="","",IF(AND(ISNUMBER($G232),$G232&lt;=IF($S232=MesCiclo,InicioCiclo,$S232+MOD(2-WEEKDAY($S232),7))+20),1,IF(N($W232)&gt;0,AVERAGEIFS($AA$5:$AA$1000,$U$5:$U$1000,ROW(),$V$5:$V$1000,"Sub"),$AA232)))</f>
        <v/>
      </c>
      <c r="AF232" s="62">
        <f>IF($V232="","",IF(AND(ISNUMBER($G232),$G232&lt;=IF($S232=MesCiclo,InicioCiclo,$S232+MOD(2-WEEKDAY($S232),7))+27),1,IF(N($W232)&gt;0,AVERAGEIFS($AB$5:$AB$1000,$U$5:$U$1000,ROW(),$V$5:$V$1000,"Sub"),$AB232)))</f>
        <v/>
      </c>
      <c r="AG232" s="62">
        <f>IF($V232&lt;&gt;"Macro","",IF(COUNTIFS($S$5:$S$1000,$S232,$V$5:$V$1000,"Macro",$H$5:$H$1000,"&gt;0")=0,1/COUNTIFS($S$5:$S$1000,$S232,$V$5:$V$1000,"Macro"),IF(AND(ISNUMBER($H232),N($H232)&gt;0),$H232,SUMIFS($H$5:$H$1000,$S$5:$S$1000,$S232,$V$5:$V$1000,"Macro")/COUNTIFS($S$5:$S$1000,$S232,$V$5:$V$1000,"Macro",$H$5:$H$1000,"&gt;0"))/(COUNTIFS($S$5:$S$1000,$S232,$V$5:$V$1000,"Macro")*SUMIFS($H$5:$H$1000,$S$5:$S$1000,$S232,$V$5:$V$1000,"Macro")/COUNTIFS($S$5:$S$1000,$S232,$V$5:$V$1000,"Macro",$H$5:$H$1000,"&gt;0"))))</f>
        <v/>
      </c>
      <c r="AH232" s="62" t="n"/>
      <c r="AI232" s="62" t="n"/>
      <c r="AJ232" s="62" t="n"/>
      <c r="AK232" s="62" t="n"/>
      <c r="AL232" s="62">
        <f>IF(LEFT($C232,11)="[Jefatura] ",IFERROR(MATCH("Riesgo Operacional|"&amp;MID($C232,12,500),rDname_ADM,0),0),"")</f>
        <v/>
      </c>
      <c r="AM232" s="62">
        <f>IF(N($AL232)&gt;0,INDEX(rIni_ADM,$AL232),IF(ISNUMBER($E232),$E232,""))</f>
        <v/>
      </c>
      <c r="AN232" s="62">
        <f>IF(N($AL232)&gt;0,INDEX(rLim_ADM,$AL232),IF(ISNUMBER($F232),$F232,""))</f>
        <v/>
      </c>
    </row>
    <row r="233">
      <c r="A233" s="56">
        <f>IF(NOT((COUNTA($B233:$D233)+COUNTA($G233:$L233)+COUNTA($Q233))&gt;0),"",IF($V233="Macro",COUNTIFS($V$5:$V233,"Macro",$S$5:$S233,$S233),IF(N($U233)=0,"?",COUNTIFS(INDEX($V$5:$V$1000,1):INDEX($V$5:$V$1000,$U233-4),"Macro",INDEX($S$5:$S$1000,1):INDEX($S$5:$S$1000,$U233-4),INDEX($S$5:$S$1000,$U233-4))&amp;"."&amp;COUNTIFS($U$5:$U233,$U233,$V$5:$V233,"Sub"))))</f>
        <v/>
      </c>
      <c r="B233" s="57" t="n"/>
      <c r="C233" s="58" t="n"/>
      <c r="D233" s="58" t="n"/>
      <c r="E233" s="59">
        <f>IF(N($AL233)&gt;0,INDEX(rIni_ADM,$AL233),"")</f>
        <v/>
      </c>
      <c r="F233" s="59">
        <f>IF(N($AL233)&gt;0,INDEX(rLim_ADM,$AL233),"")</f>
        <v/>
      </c>
      <c r="G233" s="59" t="n"/>
      <c r="H233" s="60" t="n"/>
      <c r="I233" s="60" t="n"/>
      <c r="J233" s="60" t="n"/>
      <c r="K233" s="60" t="n"/>
      <c r="L233" s="60" t="n"/>
      <c r="M233" s="61">
        <f>IF(NOT((COUNTA($B233:$D233)+COUNTA($G233:$L233)+COUNTA($Q233))&gt;0),"",IF($V233="Sub",IFERROR($X233/INDEX($W$5:$W$1000,$U233-4),""),IF(ISNUMBER($G233),1,IF(N($W233)&gt;0,AVERAGEIFS($X$5:$X$1000,$U$5:$U$1000,ROW(),$V$5:$V$1000,"Sub"),$X233))))</f>
        <v/>
      </c>
      <c r="N233" s="56">
        <f>IF(OR($M233="",$V233="Sub"),"",IF($M233&gt;=1,"Completado",IF($M233&gt;0,"En curso","Pendiente")))</f>
        <v/>
      </c>
      <c r="O233" s="56">
        <f>IF(OR(NOT((COUNTA($B233:$D233)+COUNTA($G233:$L233)+COUNTA($Q233))&gt;0),$V233="Sub"),"",IF(ISNUMBER($G233),IF(AND(ISNUMBER($AN233),$G233&gt;$AN233),"Cumplida con "&amp;($G233-$AN233)&amp;IF($G233-$AN233=1," día"," días")&amp;" de retraso","Cumplida"),IF(N($M233)&gt;=1,"Cumplida",IF(NOT(ISNUMBER($AN233)),"Sin fecha límite",IF($AN233&lt;FechaRef,"Vencida hace "&amp;(FechaRef-$AN233)&amp;IF(FechaRef-$AN233=1," día"," días"),IF($AN233=FechaRef,"Vence hoy",IF($AN233-FechaRef&lt;=DiasAlerta,"Vence en "&amp;($AN233-FechaRef)&amp;IF($AN233-FechaRef=1," día"," días"),"En plazo")))))))</f>
        <v/>
      </c>
      <c r="P233" s="62" t="n"/>
      <c r="Q233" s="58" t="n"/>
      <c r="R233" s="63">
        <f>IF(NOT((COUNTA($B233:$D233)+COUNTA($G233:$L233)+COUNTA($Q233))&gt;0),"",IF((IF($C233="","Falta el nombre de la actividad"&amp;" · ","")&amp;IF(AND($V233="Sub",N($U233)=0),"Subactividad sin macroactividad arriba"&amp;" · ","")&amp;IF($AM233="","Sin fecha de inicio"&amp;" · ","")&amp;IF($AN233="","Sin fecha límite"&amp;" · ","")&amp;IF(AND(LEFT($C233,11)="[Jefatura] ",N($AL233)=0),"No se encuentra en la hoja de la jefatura (elíjala de nuevo en la lista)"&amp;" · ","")&amp;IF(OR(AND($E233&lt;&gt;"",NOT(ISNUMBER($E233))),AND($F233&lt;&gt;"",NOT(ISNUMBER($F233))),AND($G233&lt;&gt;"",NOT(ISNUMBER($G233)))),"Fecha no válida"&amp;" · ","")&amp;IF(AND(ISNUMBER($AM233),ISNUMBER($AN233),$AM233&gt;$AN233),"Inicio posterior a fecha límite"&amp;" · ","")&amp;IF(AND($V233="Macro",$H233&lt;&gt;"",OR(NOT(ISNUMBER($H233)),$H233&lt;0,$H233&gt;1)),"Peso fuera de rango"&amp;" · ","")&amp;IF(AND($V233="Sub",$H233&lt;&gt;""),"Las subactividades no llevan peso (valen igual dentro de su macroactividad)"&amp;" · ","")&amp;IF(AND(N($W233)&gt;0,COUNT($I233:$L233)&gt;0),"Con subactividades: deje vacías las semanas (se calculan solas)"&amp;" · ","")&amp;IF((COUNTIF($I233:$L233,"&gt;1")+COUNTIF($I233:$L233,"&lt;0")+COUNTA($I233:$L233)-COUNT($I233:$L233))&gt;0,"Avance fuera de rango 0-100%"&amp;" · ","")&amp;IF(OR(AND($J233&lt;&gt;"",$J233&lt;$I233),AND($K233&lt;&gt;"",$K233&lt;MAX($I233:$J233)),AND($L233&lt;&gt;"",$L233&lt;MAX($I233:$K233))),"Avance semanal decreciente"&amp;" · ","")&amp;IF(AND(ISNUMBER($AN233),$AN233&lt;FechaRef,IF($V233="Sub",N($X233),N($M233))&lt;1),"Vencida"&amp;" · ","")&amp;IF(AND(ObsObligatoria="Sí",ISNUMBER($AN233),$AN233&lt;FechaRef,IF($V233="Sub",N($X233),N($M233))&lt;1,$Q233=""),"Vencida sin observación"&amp;" · ",""))="","✔ OK","⚠ "&amp;LEFT(IF($C233="","Falta el nombre de la actividad"&amp;" · ","")&amp;IF(AND($V233="Sub",N($U233)=0),"Subactividad sin macroactividad arriba"&amp;" · ","")&amp;IF($AM233="","Sin fecha de inicio"&amp;" · ","")&amp;IF($AN233="","Sin fecha límite"&amp;" · ","")&amp;IF(AND(LEFT($C233,11)="[Jefatura] ",N($AL233)=0),"No se encuentra en la hoja de la jefatura (elíjala de nuevo en la lista)"&amp;" · ","")&amp;IF(OR(AND($E233&lt;&gt;"",NOT(ISNUMBER($E233))),AND($F233&lt;&gt;"",NOT(ISNUMBER($F233))),AND($G233&lt;&gt;"",NOT(ISNUMBER($G233)))),"Fecha no válida"&amp;" · ","")&amp;IF(AND(ISNUMBER($AM233),ISNUMBER($AN233),$AM233&gt;$AN233),"Inicio posterior a fecha límite"&amp;" · ","")&amp;IF(AND($V233="Macro",$H233&lt;&gt;"",OR(NOT(ISNUMBER($H233)),$H233&lt;0,$H233&gt;1)),"Peso fuera de rango"&amp;" · ","")&amp;IF(AND($V233="Sub",$H233&lt;&gt;""),"Las subactividades no llevan peso (valen igual dentro de su macroactividad)"&amp;" · ","")&amp;IF(AND(N($W233)&gt;0,COUNT($I233:$L233)&gt;0),"Con subactividades: deje vacías las semanas (se calculan solas)"&amp;" · ","")&amp;IF((COUNTIF($I233:$L233,"&gt;1")+COUNTIF($I233:$L233,"&lt;0")+COUNTA($I233:$L233)-COUNT($I233:$L233))&gt;0,"Avance fuera de rango 0-100%"&amp;" · ","")&amp;IF(OR(AND($J233&lt;&gt;"",$J233&lt;$I233),AND($K233&lt;&gt;"",$K233&lt;MAX($I233:$J233)),AND($L233&lt;&gt;"",$L233&lt;MAX($I233:$K233))),"Avance semanal decreciente"&amp;" · ","")&amp;IF(AND(ISNUMBER($AN233),$AN233&lt;FechaRef,IF($V233="Sub",N($X233),N($M233))&lt;1),"Vencida"&amp;" · ","")&amp;IF(AND(ObsObligatoria="Sí",ISNUMBER($AN233),$AN233&lt;FechaRef,IF($V233="Sub",N($X233),N($M233))&lt;1,$Q233=""),"Vencida sin observación"&amp;" · ",""),LEN(IF($C233="","Falta el nombre de la actividad"&amp;" · ","")&amp;IF(AND($V233="Sub",N($U233)=0),"Subactividad sin macroactividad arriba"&amp;" · ","")&amp;IF($AM233="","Sin fecha de inicio"&amp;" · ","")&amp;IF($AN233="","Sin fecha límite"&amp;" · ","")&amp;IF(AND(LEFT($C233,11)="[Jefatura] ",N($AL233)=0),"No se encuentra en la hoja de la jefatura (elíjala de nuevo en la lista)"&amp;" · ","")&amp;IF(OR(AND($E233&lt;&gt;"",NOT(ISNUMBER($E233))),AND($F233&lt;&gt;"",NOT(ISNUMBER($F233))),AND($G233&lt;&gt;"",NOT(ISNUMBER($G233)))),"Fecha no válida"&amp;" · ","")&amp;IF(AND(ISNUMBER($AM233),ISNUMBER($AN233),$AM233&gt;$AN233),"Inicio posterior a fecha límite"&amp;" · ","")&amp;IF(AND($V233="Macro",$H233&lt;&gt;"",OR(NOT(ISNUMBER($H233)),$H233&lt;0,$H233&gt;1)),"Peso fuera de rango"&amp;" · ","")&amp;IF(AND($V233="Sub",$H233&lt;&gt;""),"Las subactividades no llevan peso (valen igual dentro de su macroactividad)"&amp;" · ","")&amp;IF(AND(N($W233)&gt;0,COUNT($I233:$L233)&gt;0),"Con subactividades: deje vacías las semanas (se calculan solas)"&amp;" · ","")&amp;IF((COUNTIF($I233:$L233,"&gt;1")+COUNTIF($I233:$L233,"&lt;0")+COUNTA($I233:$L233)-COUNT($I233:$L233))&gt;0,"Avance fuera de rango 0-100%"&amp;" · ","")&amp;IF(OR(AND($J233&lt;&gt;"",$J233&lt;$I233),AND($K233&lt;&gt;"",$K233&lt;MAX($I233:$J233)),AND($L233&lt;&gt;"",$L233&lt;MAX($I233:$K233))),"Avance semanal decreciente"&amp;" · ","")&amp;IF(AND(ISNUMBER($AN233),$AN233&lt;FechaRef,IF($V233="Sub",N($X233),N($M233))&lt;1),"Vencida"&amp;" · ","")&amp;IF(AND(ObsObligatoria="Sí",ISNUMBER($AN233),$AN233&lt;FechaRef,IF($V233="Sub",N($X233),N($M233))&lt;1,$Q233=""),"Vencida sin observación"&amp;" · ",""))-3)))</f>
        <v/>
      </c>
      <c r="S233" s="64">
        <f>IF(NOT((COUNTA($B233:$D233)+COUNTA($G233:$L233)+COUNTA($Q233))&gt;0),"",IF(AND($V233="Sub",N($U233)&gt;0),IF(ISNUMBER(INDEX($AM$5:$AM$1000,$U233-4)),DATE(YEAR(INDEX($AM$5:$AM$1000,$U233-4)),MONTH(INDEX($AM$5:$AM$1000,$U233-4)),1),IF(ISNUMBER(INDEX($AN$5:$AN$1000,$U233-4)),DATE(YEAR(INDEX($AN$5:$AN$1000,$U233-4)),MONTH(INDEX($AN$5:$AN$1000,$U233-4)),1),MesCiclo)),IF(ISNUMBER($AM233),DATE(YEAR($AM233),MONTH($AM233),1),IF(ISNUMBER($AN233),DATE(YEAR($AN233),MONTH($AN233),1),MesCiclo))))</f>
        <v/>
      </c>
      <c r="T233" s="62">
        <f>IF(OR($S233="",$S233&lt;&gt;MesCiclo,$V233&lt;&gt;"Macro"),"",COUNTIFS($S$5:$S233,MesCiclo,$V$5:$V233,"Macro"))</f>
        <v/>
      </c>
      <c r="U233" s="62">
        <f>IF($V233="","",IF($V233="Macro",ROW(),IFERROR(LOOKUP(2,1/($V$5:$V233="Macro"),ROW($V$5:$V233)),0)))</f>
        <v/>
      </c>
      <c r="V233" s="62">
        <f>IF(NOT((COUNTA($B233:$D233)+COUNTA($G233:$L233)+COUNTA($Q233))&gt;0),"",IF($B233="Subactividad","Sub","Macro"))</f>
        <v/>
      </c>
      <c r="W233" s="62">
        <f>IF($V233="Macro",COUNTIFS($U$5:$U$1000,ROW(),$V$5:$V$1000,"Sub"),"")</f>
        <v/>
      </c>
      <c r="X233" s="62">
        <f>IF($V233="","",IF(ISNUMBER($G233),1,IFERROR(LOOKUP(2,1/($I233:$L233&lt;&gt;""),$I233:$L233),0)))</f>
        <v/>
      </c>
      <c r="Y233" s="62">
        <f>IF($V233="","",IF(AND(ISNUMBER($G233),$G233&lt;=IF($S233=MesCiclo,InicioCiclo,$S233+MOD(2-WEEKDAY($S233),7))+6),1,IF(ISNUMBER($I233),$I233,0)))</f>
        <v/>
      </c>
      <c r="Z233" s="62">
        <f>IF($V233="","",IF(AND(ISNUMBER($G233),$G233&lt;=IF($S233=MesCiclo,InicioCiclo,$S233+MOD(2-WEEKDAY($S233),7))+13),1,IF(ISNUMBER($J233),$J233,$Y233)))</f>
        <v/>
      </c>
      <c r="AA233" s="62">
        <f>IF($V233="","",IF(AND(ISNUMBER($G233),$G233&lt;=IF($S233=MesCiclo,InicioCiclo,$S233+MOD(2-WEEKDAY($S233),7))+20),1,IF(ISNUMBER($K233),$K233,$Z233)))</f>
        <v/>
      </c>
      <c r="AB233" s="62">
        <f>IF($V233="","",IF(AND(ISNUMBER($G233),$G233&lt;=IF($S233=MesCiclo,InicioCiclo,$S233+MOD(2-WEEKDAY($S233),7))+27),1,IF(ISNUMBER($L233),$L233,$AA233)))</f>
        <v/>
      </c>
      <c r="AC233" s="62">
        <f>IF($V233="","",IF(AND(ISNUMBER($G233),$G233&lt;=IF($S233=MesCiclo,InicioCiclo,$S233+MOD(2-WEEKDAY($S233),7))+6),1,IF(N($W233)&gt;0,AVERAGEIFS($Y$5:$Y$1000,$U$5:$U$1000,ROW(),$V$5:$V$1000,"Sub"),$Y233)))</f>
        <v/>
      </c>
      <c r="AD233" s="62">
        <f>IF($V233="","",IF(AND(ISNUMBER($G233),$G233&lt;=IF($S233=MesCiclo,InicioCiclo,$S233+MOD(2-WEEKDAY($S233),7))+13),1,IF(N($W233)&gt;0,AVERAGEIFS($Z$5:$Z$1000,$U$5:$U$1000,ROW(),$V$5:$V$1000,"Sub"),$Z233)))</f>
        <v/>
      </c>
      <c r="AE233" s="62">
        <f>IF($V233="","",IF(AND(ISNUMBER($G233),$G233&lt;=IF($S233=MesCiclo,InicioCiclo,$S233+MOD(2-WEEKDAY($S233),7))+20),1,IF(N($W233)&gt;0,AVERAGEIFS($AA$5:$AA$1000,$U$5:$U$1000,ROW(),$V$5:$V$1000,"Sub"),$AA233)))</f>
        <v/>
      </c>
      <c r="AF233" s="62">
        <f>IF($V233="","",IF(AND(ISNUMBER($G233),$G233&lt;=IF($S233=MesCiclo,InicioCiclo,$S233+MOD(2-WEEKDAY($S233),7))+27),1,IF(N($W233)&gt;0,AVERAGEIFS($AB$5:$AB$1000,$U$5:$U$1000,ROW(),$V$5:$V$1000,"Sub"),$AB233)))</f>
        <v/>
      </c>
      <c r="AG233" s="62">
        <f>IF($V233&lt;&gt;"Macro","",IF(COUNTIFS($S$5:$S$1000,$S233,$V$5:$V$1000,"Macro",$H$5:$H$1000,"&gt;0")=0,1/COUNTIFS($S$5:$S$1000,$S233,$V$5:$V$1000,"Macro"),IF(AND(ISNUMBER($H233),N($H233)&gt;0),$H233,SUMIFS($H$5:$H$1000,$S$5:$S$1000,$S233,$V$5:$V$1000,"Macro")/COUNTIFS($S$5:$S$1000,$S233,$V$5:$V$1000,"Macro",$H$5:$H$1000,"&gt;0"))/(COUNTIFS($S$5:$S$1000,$S233,$V$5:$V$1000,"Macro")*SUMIFS($H$5:$H$1000,$S$5:$S$1000,$S233,$V$5:$V$1000,"Macro")/COUNTIFS($S$5:$S$1000,$S233,$V$5:$V$1000,"Macro",$H$5:$H$1000,"&gt;0"))))</f>
        <v/>
      </c>
      <c r="AH233" s="62" t="n"/>
      <c r="AI233" s="62" t="n"/>
      <c r="AJ233" s="62" t="n"/>
      <c r="AK233" s="62" t="n"/>
      <c r="AL233" s="62">
        <f>IF(LEFT($C233,11)="[Jefatura] ",IFERROR(MATCH("Riesgo Operacional|"&amp;MID($C233,12,500),rDname_ADM,0),0),"")</f>
        <v/>
      </c>
      <c r="AM233" s="62">
        <f>IF(N($AL233)&gt;0,INDEX(rIni_ADM,$AL233),IF(ISNUMBER($E233),$E233,""))</f>
        <v/>
      </c>
      <c r="AN233" s="62">
        <f>IF(N($AL233)&gt;0,INDEX(rLim_ADM,$AL233),IF(ISNUMBER($F233),$F233,""))</f>
        <v/>
      </c>
    </row>
    <row r="234">
      <c r="A234" s="56">
        <f>IF(NOT((COUNTA($B234:$D234)+COUNTA($G234:$L234)+COUNTA($Q234))&gt;0),"",IF($V234="Macro",COUNTIFS($V$5:$V234,"Macro",$S$5:$S234,$S234),IF(N($U234)=0,"?",COUNTIFS(INDEX($V$5:$V$1000,1):INDEX($V$5:$V$1000,$U234-4),"Macro",INDEX($S$5:$S$1000,1):INDEX($S$5:$S$1000,$U234-4),INDEX($S$5:$S$1000,$U234-4))&amp;"."&amp;COUNTIFS($U$5:$U234,$U234,$V$5:$V234,"Sub"))))</f>
        <v/>
      </c>
      <c r="B234" s="57" t="n"/>
      <c r="C234" s="58" t="n"/>
      <c r="D234" s="58" t="n"/>
      <c r="E234" s="59">
        <f>IF(N($AL234)&gt;0,INDEX(rIni_ADM,$AL234),"")</f>
        <v/>
      </c>
      <c r="F234" s="59">
        <f>IF(N($AL234)&gt;0,INDEX(rLim_ADM,$AL234),"")</f>
        <v/>
      </c>
      <c r="G234" s="59" t="n"/>
      <c r="H234" s="60" t="n"/>
      <c r="I234" s="60" t="n"/>
      <c r="J234" s="60" t="n"/>
      <c r="K234" s="60" t="n"/>
      <c r="L234" s="60" t="n"/>
      <c r="M234" s="61">
        <f>IF(NOT((COUNTA($B234:$D234)+COUNTA($G234:$L234)+COUNTA($Q234))&gt;0),"",IF($V234="Sub",IFERROR($X234/INDEX($W$5:$W$1000,$U234-4),""),IF(ISNUMBER($G234),1,IF(N($W234)&gt;0,AVERAGEIFS($X$5:$X$1000,$U$5:$U$1000,ROW(),$V$5:$V$1000,"Sub"),$X234))))</f>
        <v/>
      </c>
      <c r="N234" s="56">
        <f>IF(OR($M234="",$V234="Sub"),"",IF($M234&gt;=1,"Completado",IF($M234&gt;0,"En curso","Pendiente")))</f>
        <v/>
      </c>
      <c r="O234" s="56">
        <f>IF(OR(NOT((COUNTA($B234:$D234)+COUNTA($G234:$L234)+COUNTA($Q234))&gt;0),$V234="Sub"),"",IF(ISNUMBER($G234),IF(AND(ISNUMBER($AN234),$G234&gt;$AN234),"Cumplida con "&amp;($G234-$AN234)&amp;IF($G234-$AN234=1," día"," días")&amp;" de retraso","Cumplida"),IF(N($M234)&gt;=1,"Cumplida",IF(NOT(ISNUMBER($AN234)),"Sin fecha límite",IF($AN234&lt;FechaRef,"Vencida hace "&amp;(FechaRef-$AN234)&amp;IF(FechaRef-$AN234=1," día"," días"),IF($AN234=FechaRef,"Vence hoy",IF($AN234-FechaRef&lt;=DiasAlerta,"Vence en "&amp;($AN234-FechaRef)&amp;IF($AN234-FechaRef=1," día"," días"),"En plazo")))))))</f>
        <v/>
      </c>
      <c r="P234" s="62" t="n"/>
      <c r="Q234" s="58" t="n"/>
      <c r="R234" s="63">
        <f>IF(NOT((COUNTA($B234:$D234)+COUNTA($G234:$L234)+COUNTA($Q234))&gt;0),"",IF((IF($C234="","Falta el nombre de la actividad"&amp;" · ","")&amp;IF(AND($V234="Sub",N($U234)=0),"Subactividad sin macroactividad arriba"&amp;" · ","")&amp;IF($AM234="","Sin fecha de inicio"&amp;" · ","")&amp;IF($AN234="","Sin fecha límite"&amp;" · ","")&amp;IF(AND(LEFT($C234,11)="[Jefatura] ",N($AL234)=0),"No se encuentra en la hoja de la jefatura (elíjala de nuevo en la lista)"&amp;" · ","")&amp;IF(OR(AND($E234&lt;&gt;"",NOT(ISNUMBER($E234))),AND($F234&lt;&gt;"",NOT(ISNUMBER($F234))),AND($G234&lt;&gt;"",NOT(ISNUMBER($G234)))),"Fecha no válida"&amp;" · ","")&amp;IF(AND(ISNUMBER($AM234),ISNUMBER($AN234),$AM234&gt;$AN234),"Inicio posterior a fecha límite"&amp;" · ","")&amp;IF(AND($V234="Macro",$H234&lt;&gt;"",OR(NOT(ISNUMBER($H234)),$H234&lt;0,$H234&gt;1)),"Peso fuera de rango"&amp;" · ","")&amp;IF(AND($V234="Sub",$H234&lt;&gt;""),"Las subactividades no llevan peso (valen igual dentro de su macroactividad)"&amp;" · ","")&amp;IF(AND(N($W234)&gt;0,COUNT($I234:$L234)&gt;0),"Con subactividades: deje vacías las semanas (se calculan solas)"&amp;" · ","")&amp;IF((COUNTIF($I234:$L234,"&gt;1")+COUNTIF($I234:$L234,"&lt;0")+COUNTA($I234:$L234)-COUNT($I234:$L234))&gt;0,"Avance fuera de rango 0-100%"&amp;" · ","")&amp;IF(OR(AND($J234&lt;&gt;"",$J234&lt;$I234),AND($K234&lt;&gt;"",$K234&lt;MAX($I234:$J234)),AND($L234&lt;&gt;"",$L234&lt;MAX($I234:$K234))),"Avance semanal decreciente"&amp;" · ","")&amp;IF(AND(ISNUMBER($AN234),$AN234&lt;FechaRef,IF($V234="Sub",N($X234),N($M234))&lt;1),"Vencida"&amp;" · ","")&amp;IF(AND(ObsObligatoria="Sí",ISNUMBER($AN234),$AN234&lt;FechaRef,IF($V234="Sub",N($X234),N($M234))&lt;1,$Q234=""),"Vencida sin observación"&amp;" · ",""))="","✔ OK","⚠ "&amp;LEFT(IF($C234="","Falta el nombre de la actividad"&amp;" · ","")&amp;IF(AND($V234="Sub",N($U234)=0),"Subactividad sin macroactividad arriba"&amp;" · ","")&amp;IF($AM234="","Sin fecha de inicio"&amp;" · ","")&amp;IF($AN234="","Sin fecha límite"&amp;" · ","")&amp;IF(AND(LEFT($C234,11)="[Jefatura] ",N($AL234)=0),"No se encuentra en la hoja de la jefatura (elíjala de nuevo en la lista)"&amp;" · ","")&amp;IF(OR(AND($E234&lt;&gt;"",NOT(ISNUMBER($E234))),AND($F234&lt;&gt;"",NOT(ISNUMBER($F234))),AND($G234&lt;&gt;"",NOT(ISNUMBER($G234)))),"Fecha no válida"&amp;" · ","")&amp;IF(AND(ISNUMBER($AM234),ISNUMBER($AN234),$AM234&gt;$AN234),"Inicio posterior a fecha límite"&amp;" · ","")&amp;IF(AND($V234="Macro",$H234&lt;&gt;"",OR(NOT(ISNUMBER($H234)),$H234&lt;0,$H234&gt;1)),"Peso fuera de rango"&amp;" · ","")&amp;IF(AND($V234="Sub",$H234&lt;&gt;""),"Las subactividades no llevan peso (valen igual dentro de su macroactividad)"&amp;" · ","")&amp;IF(AND(N($W234)&gt;0,COUNT($I234:$L234)&gt;0),"Con subactividades: deje vacías las semanas (se calculan solas)"&amp;" · ","")&amp;IF((COUNTIF($I234:$L234,"&gt;1")+COUNTIF($I234:$L234,"&lt;0")+COUNTA($I234:$L234)-COUNT($I234:$L234))&gt;0,"Avance fuera de rango 0-100%"&amp;" · ","")&amp;IF(OR(AND($J234&lt;&gt;"",$J234&lt;$I234),AND($K234&lt;&gt;"",$K234&lt;MAX($I234:$J234)),AND($L234&lt;&gt;"",$L234&lt;MAX($I234:$K234))),"Avance semanal decreciente"&amp;" · ","")&amp;IF(AND(ISNUMBER($AN234),$AN234&lt;FechaRef,IF($V234="Sub",N($X234),N($M234))&lt;1),"Vencida"&amp;" · ","")&amp;IF(AND(ObsObligatoria="Sí",ISNUMBER($AN234),$AN234&lt;FechaRef,IF($V234="Sub",N($X234),N($M234))&lt;1,$Q234=""),"Vencida sin observación"&amp;" · ",""),LEN(IF($C234="","Falta el nombre de la actividad"&amp;" · ","")&amp;IF(AND($V234="Sub",N($U234)=0),"Subactividad sin macroactividad arriba"&amp;" · ","")&amp;IF($AM234="","Sin fecha de inicio"&amp;" · ","")&amp;IF($AN234="","Sin fecha límite"&amp;" · ","")&amp;IF(AND(LEFT($C234,11)="[Jefatura] ",N($AL234)=0),"No se encuentra en la hoja de la jefatura (elíjala de nuevo en la lista)"&amp;" · ","")&amp;IF(OR(AND($E234&lt;&gt;"",NOT(ISNUMBER($E234))),AND($F234&lt;&gt;"",NOT(ISNUMBER($F234))),AND($G234&lt;&gt;"",NOT(ISNUMBER($G234)))),"Fecha no válida"&amp;" · ","")&amp;IF(AND(ISNUMBER($AM234),ISNUMBER($AN234),$AM234&gt;$AN234),"Inicio posterior a fecha límite"&amp;" · ","")&amp;IF(AND($V234="Macro",$H234&lt;&gt;"",OR(NOT(ISNUMBER($H234)),$H234&lt;0,$H234&gt;1)),"Peso fuera de rango"&amp;" · ","")&amp;IF(AND($V234="Sub",$H234&lt;&gt;""),"Las subactividades no llevan peso (valen igual dentro de su macroactividad)"&amp;" · ","")&amp;IF(AND(N($W234)&gt;0,COUNT($I234:$L234)&gt;0),"Con subactividades: deje vacías las semanas (se calculan solas)"&amp;" · ","")&amp;IF((COUNTIF($I234:$L234,"&gt;1")+COUNTIF($I234:$L234,"&lt;0")+COUNTA($I234:$L234)-COUNT($I234:$L234))&gt;0,"Avance fuera de rango 0-100%"&amp;" · ","")&amp;IF(OR(AND($J234&lt;&gt;"",$J234&lt;$I234),AND($K234&lt;&gt;"",$K234&lt;MAX($I234:$J234)),AND($L234&lt;&gt;"",$L234&lt;MAX($I234:$K234))),"Avance semanal decreciente"&amp;" · ","")&amp;IF(AND(ISNUMBER($AN234),$AN234&lt;FechaRef,IF($V234="Sub",N($X234),N($M234))&lt;1),"Vencida"&amp;" · ","")&amp;IF(AND(ObsObligatoria="Sí",ISNUMBER($AN234),$AN234&lt;FechaRef,IF($V234="Sub",N($X234),N($M234))&lt;1,$Q234=""),"Vencida sin observación"&amp;" · ",""))-3)))</f>
        <v/>
      </c>
      <c r="S234" s="64">
        <f>IF(NOT((COUNTA($B234:$D234)+COUNTA($G234:$L234)+COUNTA($Q234))&gt;0),"",IF(AND($V234="Sub",N($U234)&gt;0),IF(ISNUMBER(INDEX($AM$5:$AM$1000,$U234-4)),DATE(YEAR(INDEX($AM$5:$AM$1000,$U234-4)),MONTH(INDEX($AM$5:$AM$1000,$U234-4)),1),IF(ISNUMBER(INDEX($AN$5:$AN$1000,$U234-4)),DATE(YEAR(INDEX($AN$5:$AN$1000,$U234-4)),MONTH(INDEX($AN$5:$AN$1000,$U234-4)),1),MesCiclo)),IF(ISNUMBER($AM234),DATE(YEAR($AM234),MONTH($AM234),1),IF(ISNUMBER($AN234),DATE(YEAR($AN234),MONTH($AN234),1),MesCiclo))))</f>
        <v/>
      </c>
      <c r="T234" s="62">
        <f>IF(OR($S234="",$S234&lt;&gt;MesCiclo,$V234&lt;&gt;"Macro"),"",COUNTIFS($S$5:$S234,MesCiclo,$V$5:$V234,"Macro"))</f>
        <v/>
      </c>
      <c r="U234" s="62">
        <f>IF($V234="","",IF($V234="Macro",ROW(),IFERROR(LOOKUP(2,1/($V$5:$V234="Macro"),ROW($V$5:$V234)),0)))</f>
        <v/>
      </c>
      <c r="V234" s="62">
        <f>IF(NOT((COUNTA($B234:$D234)+COUNTA($G234:$L234)+COUNTA($Q234))&gt;0),"",IF($B234="Subactividad","Sub","Macro"))</f>
        <v/>
      </c>
      <c r="W234" s="62">
        <f>IF($V234="Macro",COUNTIFS($U$5:$U$1000,ROW(),$V$5:$V$1000,"Sub"),"")</f>
        <v/>
      </c>
      <c r="X234" s="62">
        <f>IF($V234="","",IF(ISNUMBER($G234),1,IFERROR(LOOKUP(2,1/($I234:$L234&lt;&gt;""),$I234:$L234),0)))</f>
        <v/>
      </c>
      <c r="Y234" s="62">
        <f>IF($V234="","",IF(AND(ISNUMBER($G234),$G234&lt;=IF($S234=MesCiclo,InicioCiclo,$S234+MOD(2-WEEKDAY($S234),7))+6),1,IF(ISNUMBER($I234),$I234,0)))</f>
        <v/>
      </c>
      <c r="Z234" s="62">
        <f>IF($V234="","",IF(AND(ISNUMBER($G234),$G234&lt;=IF($S234=MesCiclo,InicioCiclo,$S234+MOD(2-WEEKDAY($S234),7))+13),1,IF(ISNUMBER($J234),$J234,$Y234)))</f>
        <v/>
      </c>
      <c r="AA234" s="62">
        <f>IF($V234="","",IF(AND(ISNUMBER($G234),$G234&lt;=IF($S234=MesCiclo,InicioCiclo,$S234+MOD(2-WEEKDAY($S234),7))+20),1,IF(ISNUMBER($K234),$K234,$Z234)))</f>
        <v/>
      </c>
      <c r="AB234" s="62">
        <f>IF($V234="","",IF(AND(ISNUMBER($G234),$G234&lt;=IF($S234=MesCiclo,InicioCiclo,$S234+MOD(2-WEEKDAY($S234),7))+27),1,IF(ISNUMBER($L234),$L234,$AA234)))</f>
        <v/>
      </c>
      <c r="AC234" s="62">
        <f>IF($V234="","",IF(AND(ISNUMBER($G234),$G234&lt;=IF($S234=MesCiclo,InicioCiclo,$S234+MOD(2-WEEKDAY($S234),7))+6),1,IF(N($W234)&gt;0,AVERAGEIFS($Y$5:$Y$1000,$U$5:$U$1000,ROW(),$V$5:$V$1000,"Sub"),$Y234)))</f>
        <v/>
      </c>
      <c r="AD234" s="62">
        <f>IF($V234="","",IF(AND(ISNUMBER($G234),$G234&lt;=IF($S234=MesCiclo,InicioCiclo,$S234+MOD(2-WEEKDAY($S234),7))+13),1,IF(N($W234)&gt;0,AVERAGEIFS($Z$5:$Z$1000,$U$5:$U$1000,ROW(),$V$5:$V$1000,"Sub"),$Z234)))</f>
        <v/>
      </c>
      <c r="AE234" s="62">
        <f>IF($V234="","",IF(AND(ISNUMBER($G234),$G234&lt;=IF($S234=MesCiclo,InicioCiclo,$S234+MOD(2-WEEKDAY($S234),7))+20),1,IF(N($W234)&gt;0,AVERAGEIFS($AA$5:$AA$1000,$U$5:$U$1000,ROW(),$V$5:$V$1000,"Sub"),$AA234)))</f>
        <v/>
      </c>
      <c r="AF234" s="62">
        <f>IF($V234="","",IF(AND(ISNUMBER($G234),$G234&lt;=IF($S234=MesCiclo,InicioCiclo,$S234+MOD(2-WEEKDAY($S234),7))+27),1,IF(N($W234)&gt;0,AVERAGEIFS($AB$5:$AB$1000,$U$5:$U$1000,ROW(),$V$5:$V$1000,"Sub"),$AB234)))</f>
        <v/>
      </c>
      <c r="AG234" s="62">
        <f>IF($V234&lt;&gt;"Macro","",IF(COUNTIFS($S$5:$S$1000,$S234,$V$5:$V$1000,"Macro",$H$5:$H$1000,"&gt;0")=0,1/COUNTIFS($S$5:$S$1000,$S234,$V$5:$V$1000,"Macro"),IF(AND(ISNUMBER($H234),N($H234)&gt;0),$H234,SUMIFS($H$5:$H$1000,$S$5:$S$1000,$S234,$V$5:$V$1000,"Macro")/COUNTIFS($S$5:$S$1000,$S234,$V$5:$V$1000,"Macro",$H$5:$H$1000,"&gt;0"))/(COUNTIFS($S$5:$S$1000,$S234,$V$5:$V$1000,"Macro")*SUMIFS($H$5:$H$1000,$S$5:$S$1000,$S234,$V$5:$V$1000,"Macro")/COUNTIFS($S$5:$S$1000,$S234,$V$5:$V$1000,"Macro",$H$5:$H$1000,"&gt;0"))))</f>
        <v/>
      </c>
      <c r="AH234" s="62" t="n"/>
      <c r="AI234" s="62" t="n"/>
      <c r="AJ234" s="62" t="n"/>
      <c r="AK234" s="62" t="n"/>
      <c r="AL234" s="62">
        <f>IF(LEFT($C234,11)="[Jefatura] ",IFERROR(MATCH("Riesgo Operacional|"&amp;MID($C234,12,500),rDname_ADM,0),0),"")</f>
        <v/>
      </c>
      <c r="AM234" s="62">
        <f>IF(N($AL234)&gt;0,INDEX(rIni_ADM,$AL234),IF(ISNUMBER($E234),$E234,""))</f>
        <v/>
      </c>
      <c r="AN234" s="62">
        <f>IF(N($AL234)&gt;0,INDEX(rLim_ADM,$AL234),IF(ISNUMBER($F234),$F234,""))</f>
        <v/>
      </c>
    </row>
    <row r="235">
      <c r="A235" s="56">
        <f>IF(NOT((COUNTA($B235:$D235)+COUNTA($G235:$L235)+COUNTA($Q235))&gt;0),"",IF($V235="Macro",COUNTIFS($V$5:$V235,"Macro",$S$5:$S235,$S235),IF(N($U235)=0,"?",COUNTIFS(INDEX($V$5:$V$1000,1):INDEX($V$5:$V$1000,$U235-4),"Macro",INDEX($S$5:$S$1000,1):INDEX($S$5:$S$1000,$U235-4),INDEX($S$5:$S$1000,$U235-4))&amp;"."&amp;COUNTIFS($U$5:$U235,$U235,$V$5:$V235,"Sub"))))</f>
        <v/>
      </c>
      <c r="B235" s="57" t="n"/>
      <c r="C235" s="58" t="n"/>
      <c r="D235" s="58" t="n"/>
      <c r="E235" s="59">
        <f>IF(N($AL235)&gt;0,INDEX(rIni_ADM,$AL235),"")</f>
        <v/>
      </c>
      <c r="F235" s="59">
        <f>IF(N($AL235)&gt;0,INDEX(rLim_ADM,$AL235),"")</f>
        <v/>
      </c>
      <c r="G235" s="59" t="n"/>
      <c r="H235" s="60" t="n"/>
      <c r="I235" s="60" t="n"/>
      <c r="J235" s="60" t="n"/>
      <c r="K235" s="60" t="n"/>
      <c r="L235" s="60" t="n"/>
      <c r="M235" s="61">
        <f>IF(NOT((COUNTA($B235:$D235)+COUNTA($G235:$L235)+COUNTA($Q235))&gt;0),"",IF($V235="Sub",IFERROR($X235/INDEX($W$5:$W$1000,$U235-4),""),IF(ISNUMBER($G235),1,IF(N($W235)&gt;0,AVERAGEIFS($X$5:$X$1000,$U$5:$U$1000,ROW(),$V$5:$V$1000,"Sub"),$X235))))</f>
        <v/>
      </c>
      <c r="N235" s="56">
        <f>IF(OR($M235="",$V235="Sub"),"",IF($M235&gt;=1,"Completado",IF($M235&gt;0,"En curso","Pendiente")))</f>
        <v/>
      </c>
      <c r="O235" s="56">
        <f>IF(OR(NOT((COUNTA($B235:$D235)+COUNTA($G235:$L235)+COUNTA($Q235))&gt;0),$V235="Sub"),"",IF(ISNUMBER($G235),IF(AND(ISNUMBER($AN235),$G235&gt;$AN235),"Cumplida con "&amp;($G235-$AN235)&amp;IF($G235-$AN235=1," día"," días")&amp;" de retraso","Cumplida"),IF(N($M235)&gt;=1,"Cumplida",IF(NOT(ISNUMBER($AN235)),"Sin fecha límite",IF($AN235&lt;FechaRef,"Vencida hace "&amp;(FechaRef-$AN235)&amp;IF(FechaRef-$AN235=1," día"," días"),IF($AN235=FechaRef,"Vence hoy",IF($AN235-FechaRef&lt;=DiasAlerta,"Vence en "&amp;($AN235-FechaRef)&amp;IF($AN235-FechaRef=1," día"," días"),"En plazo")))))))</f>
        <v/>
      </c>
      <c r="P235" s="62" t="n"/>
      <c r="Q235" s="58" t="n"/>
      <c r="R235" s="63">
        <f>IF(NOT((COUNTA($B235:$D235)+COUNTA($G235:$L235)+COUNTA($Q235))&gt;0),"",IF((IF($C235="","Falta el nombre de la actividad"&amp;" · ","")&amp;IF(AND($V235="Sub",N($U235)=0),"Subactividad sin macroactividad arriba"&amp;" · ","")&amp;IF($AM235="","Sin fecha de inicio"&amp;" · ","")&amp;IF($AN235="","Sin fecha límite"&amp;" · ","")&amp;IF(AND(LEFT($C235,11)="[Jefatura] ",N($AL235)=0),"No se encuentra en la hoja de la jefatura (elíjala de nuevo en la lista)"&amp;" · ","")&amp;IF(OR(AND($E235&lt;&gt;"",NOT(ISNUMBER($E235))),AND($F235&lt;&gt;"",NOT(ISNUMBER($F235))),AND($G235&lt;&gt;"",NOT(ISNUMBER($G235)))),"Fecha no válida"&amp;" · ","")&amp;IF(AND(ISNUMBER($AM235),ISNUMBER($AN235),$AM235&gt;$AN235),"Inicio posterior a fecha límite"&amp;" · ","")&amp;IF(AND($V235="Macro",$H235&lt;&gt;"",OR(NOT(ISNUMBER($H235)),$H235&lt;0,$H235&gt;1)),"Peso fuera de rango"&amp;" · ","")&amp;IF(AND($V235="Sub",$H235&lt;&gt;""),"Las subactividades no llevan peso (valen igual dentro de su macroactividad)"&amp;" · ","")&amp;IF(AND(N($W235)&gt;0,COUNT($I235:$L235)&gt;0),"Con subactividades: deje vacías las semanas (se calculan solas)"&amp;" · ","")&amp;IF((COUNTIF($I235:$L235,"&gt;1")+COUNTIF($I235:$L235,"&lt;0")+COUNTA($I235:$L235)-COUNT($I235:$L235))&gt;0,"Avance fuera de rango 0-100%"&amp;" · ","")&amp;IF(OR(AND($J235&lt;&gt;"",$J235&lt;$I235),AND($K235&lt;&gt;"",$K235&lt;MAX($I235:$J235)),AND($L235&lt;&gt;"",$L235&lt;MAX($I235:$K235))),"Avance semanal decreciente"&amp;" · ","")&amp;IF(AND(ISNUMBER($AN235),$AN235&lt;FechaRef,IF($V235="Sub",N($X235),N($M235))&lt;1),"Vencida"&amp;" · ","")&amp;IF(AND(ObsObligatoria="Sí",ISNUMBER($AN235),$AN235&lt;FechaRef,IF($V235="Sub",N($X235),N($M235))&lt;1,$Q235=""),"Vencida sin observación"&amp;" · ",""))="","✔ OK","⚠ "&amp;LEFT(IF($C235="","Falta el nombre de la actividad"&amp;" · ","")&amp;IF(AND($V235="Sub",N($U235)=0),"Subactividad sin macroactividad arriba"&amp;" · ","")&amp;IF($AM235="","Sin fecha de inicio"&amp;" · ","")&amp;IF($AN235="","Sin fecha límite"&amp;" · ","")&amp;IF(AND(LEFT($C235,11)="[Jefatura] ",N($AL235)=0),"No se encuentra en la hoja de la jefatura (elíjala de nuevo en la lista)"&amp;" · ","")&amp;IF(OR(AND($E235&lt;&gt;"",NOT(ISNUMBER($E235))),AND($F235&lt;&gt;"",NOT(ISNUMBER($F235))),AND($G235&lt;&gt;"",NOT(ISNUMBER($G235)))),"Fecha no válida"&amp;" · ","")&amp;IF(AND(ISNUMBER($AM235),ISNUMBER($AN235),$AM235&gt;$AN235),"Inicio posterior a fecha límite"&amp;" · ","")&amp;IF(AND($V235="Macro",$H235&lt;&gt;"",OR(NOT(ISNUMBER($H235)),$H235&lt;0,$H235&gt;1)),"Peso fuera de rango"&amp;" · ","")&amp;IF(AND($V235="Sub",$H235&lt;&gt;""),"Las subactividades no llevan peso (valen igual dentro de su macroactividad)"&amp;" · ","")&amp;IF(AND(N($W235)&gt;0,COUNT($I235:$L235)&gt;0),"Con subactividades: deje vacías las semanas (se calculan solas)"&amp;" · ","")&amp;IF((COUNTIF($I235:$L235,"&gt;1")+COUNTIF($I235:$L235,"&lt;0")+COUNTA($I235:$L235)-COUNT($I235:$L235))&gt;0,"Avance fuera de rango 0-100%"&amp;" · ","")&amp;IF(OR(AND($J235&lt;&gt;"",$J235&lt;$I235),AND($K235&lt;&gt;"",$K235&lt;MAX($I235:$J235)),AND($L235&lt;&gt;"",$L235&lt;MAX($I235:$K235))),"Avance semanal decreciente"&amp;" · ","")&amp;IF(AND(ISNUMBER($AN235),$AN235&lt;FechaRef,IF($V235="Sub",N($X235),N($M235))&lt;1),"Vencida"&amp;" · ","")&amp;IF(AND(ObsObligatoria="Sí",ISNUMBER($AN235),$AN235&lt;FechaRef,IF($V235="Sub",N($X235),N($M235))&lt;1,$Q235=""),"Vencida sin observación"&amp;" · ",""),LEN(IF($C235="","Falta el nombre de la actividad"&amp;" · ","")&amp;IF(AND($V235="Sub",N($U235)=0),"Subactividad sin macroactividad arriba"&amp;" · ","")&amp;IF($AM235="","Sin fecha de inicio"&amp;" · ","")&amp;IF($AN235="","Sin fecha límite"&amp;" · ","")&amp;IF(AND(LEFT($C235,11)="[Jefatura] ",N($AL235)=0),"No se encuentra en la hoja de la jefatura (elíjala de nuevo en la lista)"&amp;" · ","")&amp;IF(OR(AND($E235&lt;&gt;"",NOT(ISNUMBER($E235))),AND($F235&lt;&gt;"",NOT(ISNUMBER($F235))),AND($G235&lt;&gt;"",NOT(ISNUMBER($G235)))),"Fecha no válida"&amp;" · ","")&amp;IF(AND(ISNUMBER($AM235),ISNUMBER($AN235),$AM235&gt;$AN235),"Inicio posterior a fecha límite"&amp;" · ","")&amp;IF(AND($V235="Macro",$H235&lt;&gt;"",OR(NOT(ISNUMBER($H235)),$H235&lt;0,$H235&gt;1)),"Peso fuera de rango"&amp;" · ","")&amp;IF(AND($V235="Sub",$H235&lt;&gt;""),"Las subactividades no llevan peso (valen igual dentro de su macroactividad)"&amp;" · ","")&amp;IF(AND(N($W235)&gt;0,COUNT($I235:$L235)&gt;0),"Con subactividades: deje vacías las semanas (se calculan solas)"&amp;" · ","")&amp;IF((COUNTIF($I235:$L235,"&gt;1")+COUNTIF($I235:$L235,"&lt;0")+COUNTA($I235:$L235)-COUNT($I235:$L235))&gt;0,"Avance fuera de rango 0-100%"&amp;" · ","")&amp;IF(OR(AND($J235&lt;&gt;"",$J235&lt;$I235),AND($K235&lt;&gt;"",$K235&lt;MAX($I235:$J235)),AND($L235&lt;&gt;"",$L235&lt;MAX($I235:$K235))),"Avance semanal decreciente"&amp;" · ","")&amp;IF(AND(ISNUMBER($AN235),$AN235&lt;FechaRef,IF($V235="Sub",N($X235),N($M235))&lt;1),"Vencida"&amp;" · ","")&amp;IF(AND(ObsObligatoria="Sí",ISNUMBER($AN235),$AN235&lt;FechaRef,IF($V235="Sub",N($X235),N($M235))&lt;1,$Q235=""),"Vencida sin observación"&amp;" · ",""))-3)))</f>
        <v/>
      </c>
      <c r="S235" s="64">
        <f>IF(NOT((COUNTA($B235:$D235)+COUNTA($G235:$L235)+COUNTA($Q235))&gt;0),"",IF(AND($V235="Sub",N($U235)&gt;0),IF(ISNUMBER(INDEX($AM$5:$AM$1000,$U235-4)),DATE(YEAR(INDEX($AM$5:$AM$1000,$U235-4)),MONTH(INDEX($AM$5:$AM$1000,$U235-4)),1),IF(ISNUMBER(INDEX($AN$5:$AN$1000,$U235-4)),DATE(YEAR(INDEX($AN$5:$AN$1000,$U235-4)),MONTH(INDEX($AN$5:$AN$1000,$U235-4)),1),MesCiclo)),IF(ISNUMBER($AM235),DATE(YEAR($AM235),MONTH($AM235),1),IF(ISNUMBER($AN235),DATE(YEAR($AN235),MONTH($AN235),1),MesCiclo))))</f>
        <v/>
      </c>
      <c r="T235" s="62">
        <f>IF(OR($S235="",$S235&lt;&gt;MesCiclo,$V235&lt;&gt;"Macro"),"",COUNTIFS($S$5:$S235,MesCiclo,$V$5:$V235,"Macro"))</f>
        <v/>
      </c>
      <c r="U235" s="62">
        <f>IF($V235="","",IF($V235="Macro",ROW(),IFERROR(LOOKUP(2,1/($V$5:$V235="Macro"),ROW($V$5:$V235)),0)))</f>
        <v/>
      </c>
      <c r="V235" s="62">
        <f>IF(NOT((COUNTA($B235:$D235)+COUNTA($G235:$L235)+COUNTA($Q235))&gt;0),"",IF($B235="Subactividad","Sub","Macro"))</f>
        <v/>
      </c>
      <c r="W235" s="62">
        <f>IF($V235="Macro",COUNTIFS($U$5:$U$1000,ROW(),$V$5:$V$1000,"Sub"),"")</f>
        <v/>
      </c>
      <c r="X235" s="62">
        <f>IF($V235="","",IF(ISNUMBER($G235),1,IFERROR(LOOKUP(2,1/($I235:$L235&lt;&gt;""),$I235:$L235),0)))</f>
        <v/>
      </c>
      <c r="Y235" s="62">
        <f>IF($V235="","",IF(AND(ISNUMBER($G235),$G235&lt;=IF($S235=MesCiclo,InicioCiclo,$S235+MOD(2-WEEKDAY($S235),7))+6),1,IF(ISNUMBER($I235),$I235,0)))</f>
        <v/>
      </c>
      <c r="Z235" s="62">
        <f>IF($V235="","",IF(AND(ISNUMBER($G235),$G235&lt;=IF($S235=MesCiclo,InicioCiclo,$S235+MOD(2-WEEKDAY($S235),7))+13),1,IF(ISNUMBER($J235),$J235,$Y235)))</f>
        <v/>
      </c>
      <c r="AA235" s="62">
        <f>IF($V235="","",IF(AND(ISNUMBER($G235),$G235&lt;=IF($S235=MesCiclo,InicioCiclo,$S235+MOD(2-WEEKDAY($S235),7))+20),1,IF(ISNUMBER($K235),$K235,$Z235)))</f>
        <v/>
      </c>
      <c r="AB235" s="62">
        <f>IF($V235="","",IF(AND(ISNUMBER($G235),$G235&lt;=IF($S235=MesCiclo,InicioCiclo,$S235+MOD(2-WEEKDAY($S235),7))+27),1,IF(ISNUMBER($L235),$L235,$AA235)))</f>
        <v/>
      </c>
      <c r="AC235" s="62">
        <f>IF($V235="","",IF(AND(ISNUMBER($G235),$G235&lt;=IF($S235=MesCiclo,InicioCiclo,$S235+MOD(2-WEEKDAY($S235),7))+6),1,IF(N($W235)&gt;0,AVERAGEIFS($Y$5:$Y$1000,$U$5:$U$1000,ROW(),$V$5:$V$1000,"Sub"),$Y235)))</f>
        <v/>
      </c>
      <c r="AD235" s="62">
        <f>IF($V235="","",IF(AND(ISNUMBER($G235),$G235&lt;=IF($S235=MesCiclo,InicioCiclo,$S235+MOD(2-WEEKDAY($S235),7))+13),1,IF(N($W235)&gt;0,AVERAGEIFS($Z$5:$Z$1000,$U$5:$U$1000,ROW(),$V$5:$V$1000,"Sub"),$Z235)))</f>
        <v/>
      </c>
      <c r="AE235" s="62">
        <f>IF($V235="","",IF(AND(ISNUMBER($G235),$G235&lt;=IF($S235=MesCiclo,InicioCiclo,$S235+MOD(2-WEEKDAY($S235),7))+20),1,IF(N($W235)&gt;0,AVERAGEIFS($AA$5:$AA$1000,$U$5:$U$1000,ROW(),$V$5:$V$1000,"Sub"),$AA235)))</f>
        <v/>
      </c>
      <c r="AF235" s="62">
        <f>IF($V235="","",IF(AND(ISNUMBER($G235),$G235&lt;=IF($S235=MesCiclo,InicioCiclo,$S235+MOD(2-WEEKDAY($S235),7))+27),1,IF(N($W235)&gt;0,AVERAGEIFS($AB$5:$AB$1000,$U$5:$U$1000,ROW(),$V$5:$V$1000,"Sub"),$AB235)))</f>
        <v/>
      </c>
      <c r="AG235" s="62">
        <f>IF($V235&lt;&gt;"Macro","",IF(COUNTIFS($S$5:$S$1000,$S235,$V$5:$V$1000,"Macro",$H$5:$H$1000,"&gt;0")=0,1/COUNTIFS($S$5:$S$1000,$S235,$V$5:$V$1000,"Macro"),IF(AND(ISNUMBER($H235),N($H235)&gt;0),$H235,SUMIFS($H$5:$H$1000,$S$5:$S$1000,$S235,$V$5:$V$1000,"Macro")/COUNTIFS($S$5:$S$1000,$S235,$V$5:$V$1000,"Macro",$H$5:$H$1000,"&gt;0"))/(COUNTIFS($S$5:$S$1000,$S235,$V$5:$V$1000,"Macro")*SUMIFS($H$5:$H$1000,$S$5:$S$1000,$S235,$V$5:$V$1000,"Macro")/COUNTIFS($S$5:$S$1000,$S235,$V$5:$V$1000,"Macro",$H$5:$H$1000,"&gt;0"))))</f>
        <v/>
      </c>
      <c r="AH235" s="62" t="n"/>
      <c r="AI235" s="62" t="n"/>
      <c r="AJ235" s="62" t="n"/>
      <c r="AK235" s="62" t="n"/>
      <c r="AL235" s="62">
        <f>IF(LEFT($C235,11)="[Jefatura] ",IFERROR(MATCH("Riesgo Operacional|"&amp;MID($C235,12,500),rDname_ADM,0),0),"")</f>
        <v/>
      </c>
      <c r="AM235" s="62">
        <f>IF(N($AL235)&gt;0,INDEX(rIni_ADM,$AL235),IF(ISNUMBER($E235),$E235,""))</f>
        <v/>
      </c>
      <c r="AN235" s="62">
        <f>IF(N($AL235)&gt;0,INDEX(rLim_ADM,$AL235),IF(ISNUMBER($F235),$F235,""))</f>
        <v/>
      </c>
    </row>
    <row r="236">
      <c r="A236" s="56">
        <f>IF(NOT((COUNTA($B236:$D236)+COUNTA($G236:$L236)+COUNTA($Q236))&gt;0),"",IF($V236="Macro",COUNTIFS($V$5:$V236,"Macro",$S$5:$S236,$S236),IF(N($U236)=0,"?",COUNTIFS(INDEX($V$5:$V$1000,1):INDEX($V$5:$V$1000,$U236-4),"Macro",INDEX($S$5:$S$1000,1):INDEX($S$5:$S$1000,$U236-4),INDEX($S$5:$S$1000,$U236-4))&amp;"."&amp;COUNTIFS($U$5:$U236,$U236,$V$5:$V236,"Sub"))))</f>
        <v/>
      </c>
      <c r="B236" s="57" t="n"/>
      <c r="C236" s="58" t="n"/>
      <c r="D236" s="58" t="n"/>
      <c r="E236" s="59">
        <f>IF(N($AL236)&gt;0,INDEX(rIni_ADM,$AL236),"")</f>
        <v/>
      </c>
      <c r="F236" s="59">
        <f>IF(N($AL236)&gt;0,INDEX(rLim_ADM,$AL236),"")</f>
        <v/>
      </c>
      <c r="G236" s="59" t="n"/>
      <c r="H236" s="60" t="n"/>
      <c r="I236" s="60" t="n"/>
      <c r="J236" s="60" t="n"/>
      <c r="K236" s="60" t="n"/>
      <c r="L236" s="60" t="n"/>
      <c r="M236" s="61">
        <f>IF(NOT((COUNTA($B236:$D236)+COUNTA($G236:$L236)+COUNTA($Q236))&gt;0),"",IF($V236="Sub",IFERROR($X236/INDEX($W$5:$W$1000,$U236-4),""),IF(ISNUMBER($G236),1,IF(N($W236)&gt;0,AVERAGEIFS($X$5:$X$1000,$U$5:$U$1000,ROW(),$V$5:$V$1000,"Sub"),$X236))))</f>
        <v/>
      </c>
      <c r="N236" s="56">
        <f>IF(OR($M236="",$V236="Sub"),"",IF($M236&gt;=1,"Completado",IF($M236&gt;0,"En curso","Pendiente")))</f>
        <v/>
      </c>
      <c r="O236" s="56">
        <f>IF(OR(NOT((COUNTA($B236:$D236)+COUNTA($G236:$L236)+COUNTA($Q236))&gt;0),$V236="Sub"),"",IF(ISNUMBER($G236),IF(AND(ISNUMBER($AN236),$G236&gt;$AN236),"Cumplida con "&amp;($G236-$AN236)&amp;IF($G236-$AN236=1," día"," días")&amp;" de retraso","Cumplida"),IF(N($M236)&gt;=1,"Cumplida",IF(NOT(ISNUMBER($AN236)),"Sin fecha límite",IF($AN236&lt;FechaRef,"Vencida hace "&amp;(FechaRef-$AN236)&amp;IF(FechaRef-$AN236=1," día"," días"),IF($AN236=FechaRef,"Vence hoy",IF($AN236-FechaRef&lt;=DiasAlerta,"Vence en "&amp;($AN236-FechaRef)&amp;IF($AN236-FechaRef=1," día"," días"),"En plazo")))))))</f>
        <v/>
      </c>
      <c r="P236" s="62" t="n"/>
      <c r="Q236" s="58" t="n"/>
      <c r="R236" s="63">
        <f>IF(NOT((COUNTA($B236:$D236)+COUNTA($G236:$L236)+COUNTA($Q236))&gt;0),"",IF((IF($C236="","Falta el nombre de la actividad"&amp;" · ","")&amp;IF(AND($V236="Sub",N($U236)=0),"Subactividad sin macroactividad arriba"&amp;" · ","")&amp;IF($AM236="","Sin fecha de inicio"&amp;" · ","")&amp;IF($AN236="","Sin fecha límite"&amp;" · ","")&amp;IF(AND(LEFT($C236,11)="[Jefatura] ",N($AL236)=0),"No se encuentra en la hoja de la jefatura (elíjala de nuevo en la lista)"&amp;" · ","")&amp;IF(OR(AND($E236&lt;&gt;"",NOT(ISNUMBER($E236))),AND($F236&lt;&gt;"",NOT(ISNUMBER($F236))),AND($G236&lt;&gt;"",NOT(ISNUMBER($G236)))),"Fecha no válida"&amp;" · ","")&amp;IF(AND(ISNUMBER($AM236),ISNUMBER($AN236),$AM236&gt;$AN236),"Inicio posterior a fecha límite"&amp;" · ","")&amp;IF(AND($V236="Macro",$H236&lt;&gt;"",OR(NOT(ISNUMBER($H236)),$H236&lt;0,$H236&gt;1)),"Peso fuera de rango"&amp;" · ","")&amp;IF(AND($V236="Sub",$H236&lt;&gt;""),"Las subactividades no llevan peso (valen igual dentro de su macroactividad)"&amp;" · ","")&amp;IF(AND(N($W236)&gt;0,COUNT($I236:$L236)&gt;0),"Con subactividades: deje vacías las semanas (se calculan solas)"&amp;" · ","")&amp;IF((COUNTIF($I236:$L236,"&gt;1")+COUNTIF($I236:$L236,"&lt;0")+COUNTA($I236:$L236)-COUNT($I236:$L236))&gt;0,"Avance fuera de rango 0-100%"&amp;" · ","")&amp;IF(OR(AND($J236&lt;&gt;"",$J236&lt;$I236),AND($K236&lt;&gt;"",$K236&lt;MAX($I236:$J236)),AND($L236&lt;&gt;"",$L236&lt;MAX($I236:$K236))),"Avance semanal decreciente"&amp;" · ","")&amp;IF(AND(ISNUMBER($AN236),$AN236&lt;FechaRef,IF($V236="Sub",N($X236),N($M236))&lt;1),"Vencida"&amp;" · ","")&amp;IF(AND(ObsObligatoria="Sí",ISNUMBER($AN236),$AN236&lt;FechaRef,IF($V236="Sub",N($X236),N($M236))&lt;1,$Q236=""),"Vencida sin observación"&amp;" · ",""))="","✔ OK","⚠ "&amp;LEFT(IF($C236="","Falta el nombre de la actividad"&amp;" · ","")&amp;IF(AND($V236="Sub",N($U236)=0),"Subactividad sin macroactividad arriba"&amp;" · ","")&amp;IF($AM236="","Sin fecha de inicio"&amp;" · ","")&amp;IF($AN236="","Sin fecha límite"&amp;" · ","")&amp;IF(AND(LEFT($C236,11)="[Jefatura] ",N($AL236)=0),"No se encuentra en la hoja de la jefatura (elíjala de nuevo en la lista)"&amp;" · ","")&amp;IF(OR(AND($E236&lt;&gt;"",NOT(ISNUMBER($E236))),AND($F236&lt;&gt;"",NOT(ISNUMBER($F236))),AND($G236&lt;&gt;"",NOT(ISNUMBER($G236)))),"Fecha no válida"&amp;" · ","")&amp;IF(AND(ISNUMBER($AM236),ISNUMBER($AN236),$AM236&gt;$AN236),"Inicio posterior a fecha límite"&amp;" · ","")&amp;IF(AND($V236="Macro",$H236&lt;&gt;"",OR(NOT(ISNUMBER($H236)),$H236&lt;0,$H236&gt;1)),"Peso fuera de rango"&amp;" · ","")&amp;IF(AND($V236="Sub",$H236&lt;&gt;""),"Las subactividades no llevan peso (valen igual dentro de su macroactividad)"&amp;" · ","")&amp;IF(AND(N($W236)&gt;0,COUNT($I236:$L236)&gt;0),"Con subactividades: deje vacías las semanas (se calculan solas)"&amp;" · ","")&amp;IF((COUNTIF($I236:$L236,"&gt;1")+COUNTIF($I236:$L236,"&lt;0")+COUNTA($I236:$L236)-COUNT($I236:$L236))&gt;0,"Avance fuera de rango 0-100%"&amp;" · ","")&amp;IF(OR(AND($J236&lt;&gt;"",$J236&lt;$I236),AND($K236&lt;&gt;"",$K236&lt;MAX($I236:$J236)),AND($L236&lt;&gt;"",$L236&lt;MAX($I236:$K236))),"Avance semanal decreciente"&amp;" · ","")&amp;IF(AND(ISNUMBER($AN236),$AN236&lt;FechaRef,IF($V236="Sub",N($X236),N($M236))&lt;1),"Vencida"&amp;" · ","")&amp;IF(AND(ObsObligatoria="Sí",ISNUMBER($AN236),$AN236&lt;FechaRef,IF($V236="Sub",N($X236),N($M236))&lt;1,$Q236=""),"Vencida sin observación"&amp;" · ",""),LEN(IF($C236="","Falta el nombre de la actividad"&amp;" · ","")&amp;IF(AND($V236="Sub",N($U236)=0),"Subactividad sin macroactividad arriba"&amp;" · ","")&amp;IF($AM236="","Sin fecha de inicio"&amp;" · ","")&amp;IF($AN236="","Sin fecha límite"&amp;" · ","")&amp;IF(AND(LEFT($C236,11)="[Jefatura] ",N($AL236)=0),"No se encuentra en la hoja de la jefatura (elíjala de nuevo en la lista)"&amp;" · ","")&amp;IF(OR(AND($E236&lt;&gt;"",NOT(ISNUMBER($E236))),AND($F236&lt;&gt;"",NOT(ISNUMBER($F236))),AND($G236&lt;&gt;"",NOT(ISNUMBER($G236)))),"Fecha no válida"&amp;" · ","")&amp;IF(AND(ISNUMBER($AM236),ISNUMBER($AN236),$AM236&gt;$AN236),"Inicio posterior a fecha límite"&amp;" · ","")&amp;IF(AND($V236="Macro",$H236&lt;&gt;"",OR(NOT(ISNUMBER($H236)),$H236&lt;0,$H236&gt;1)),"Peso fuera de rango"&amp;" · ","")&amp;IF(AND($V236="Sub",$H236&lt;&gt;""),"Las subactividades no llevan peso (valen igual dentro de su macroactividad)"&amp;" · ","")&amp;IF(AND(N($W236)&gt;0,COUNT($I236:$L236)&gt;0),"Con subactividades: deje vacías las semanas (se calculan solas)"&amp;" · ","")&amp;IF((COUNTIF($I236:$L236,"&gt;1")+COUNTIF($I236:$L236,"&lt;0")+COUNTA($I236:$L236)-COUNT($I236:$L236))&gt;0,"Avance fuera de rango 0-100%"&amp;" · ","")&amp;IF(OR(AND($J236&lt;&gt;"",$J236&lt;$I236),AND($K236&lt;&gt;"",$K236&lt;MAX($I236:$J236)),AND($L236&lt;&gt;"",$L236&lt;MAX($I236:$K236))),"Avance semanal decreciente"&amp;" · ","")&amp;IF(AND(ISNUMBER($AN236),$AN236&lt;FechaRef,IF($V236="Sub",N($X236),N($M236))&lt;1),"Vencida"&amp;" · ","")&amp;IF(AND(ObsObligatoria="Sí",ISNUMBER($AN236),$AN236&lt;FechaRef,IF($V236="Sub",N($X236),N($M236))&lt;1,$Q236=""),"Vencida sin observación"&amp;" · ",""))-3)))</f>
        <v/>
      </c>
      <c r="S236" s="64">
        <f>IF(NOT((COUNTA($B236:$D236)+COUNTA($G236:$L236)+COUNTA($Q236))&gt;0),"",IF(AND($V236="Sub",N($U236)&gt;0),IF(ISNUMBER(INDEX($AM$5:$AM$1000,$U236-4)),DATE(YEAR(INDEX($AM$5:$AM$1000,$U236-4)),MONTH(INDEX($AM$5:$AM$1000,$U236-4)),1),IF(ISNUMBER(INDEX($AN$5:$AN$1000,$U236-4)),DATE(YEAR(INDEX($AN$5:$AN$1000,$U236-4)),MONTH(INDEX($AN$5:$AN$1000,$U236-4)),1),MesCiclo)),IF(ISNUMBER($AM236),DATE(YEAR($AM236),MONTH($AM236),1),IF(ISNUMBER($AN236),DATE(YEAR($AN236),MONTH($AN236),1),MesCiclo))))</f>
        <v/>
      </c>
      <c r="T236" s="62">
        <f>IF(OR($S236="",$S236&lt;&gt;MesCiclo,$V236&lt;&gt;"Macro"),"",COUNTIFS($S$5:$S236,MesCiclo,$V$5:$V236,"Macro"))</f>
        <v/>
      </c>
      <c r="U236" s="62">
        <f>IF($V236="","",IF($V236="Macro",ROW(),IFERROR(LOOKUP(2,1/($V$5:$V236="Macro"),ROW($V$5:$V236)),0)))</f>
        <v/>
      </c>
      <c r="V236" s="62">
        <f>IF(NOT((COUNTA($B236:$D236)+COUNTA($G236:$L236)+COUNTA($Q236))&gt;0),"",IF($B236="Subactividad","Sub","Macro"))</f>
        <v/>
      </c>
      <c r="W236" s="62">
        <f>IF($V236="Macro",COUNTIFS($U$5:$U$1000,ROW(),$V$5:$V$1000,"Sub"),"")</f>
        <v/>
      </c>
      <c r="X236" s="62">
        <f>IF($V236="","",IF(ISNUMBER($G236),1,IFERROR(LOOKUP(2,1/($I236:$L236&lt;&gt;""),$I236:$L236),0)))</f>
        <v/>
      </c>
      <c r="Y236" s="62">
        <f>IF($V236="","",IF(AND(ISNUMBER($G236),$G236&lt;=IF($S236=MesCiclo,InicioCiclo,$S236+MOD(2-WEEKDAY($S236),7))+6),1,IF(ISNUMBER($I236),$I236,0)))</f>
        <v/>
      </c>
      <c r="Z236" s="62">
        <f>IF($V236="","",IF(AND(ISNUMBER($G236),$G236&lt;=IF($S236=MesCiclo,InicioCiclo,$S236+MOD(2-WEEKDAY($S236),7))+13),1,IF(ISNUMBER($J236),$J236,$Y236)))</f>
        <v/>
      </c>
      <c r="AA236" s="62">
        <f>IF($V236="","",IF(AND(ISNUMBER($G236),$G236&lt;=IF($S236=MesCiclo,InicioCiclo,$S236+MOD(2-WEEKDAY($S236),7))+20),1,IF(ISNUMBER($K236),$K236,$Z236)))</f>
        <v/>
      </c>
      <c r="AB236" s="62">
        <f>IF($V236="","",IF(AND(ISNUMBER($G236),$G236&lt;=IF($S236=MesCiclo,InicioCiclo,$S236+MOD(2-WEEKDAY($S236),7))+27),1,IF(ISNUMBER($L236),$L236,$AA236)))</f>
        <v/>
      </c>
      <c r="AC236" s="62">
        <f>IF($V236="","",IF(AND(ISNUMBER($G236),$G236&lt;=IF($S236=MesCiclo,InicioCiclo,$S236+MOD(2-WEEKDAY($S236),7))+6),1,IF(N($W236)&gt;0,AVERAGEIFS($Y$5:$Y$1000,$U$5:$U$1000,ROW(),$V$5:$V$1000,"Sub"),$Y236)))</f>
        <v/>
      </c>
      <c r="AD236" s="62">
        <f>IF($V236="","",IF(AND(ISNUMBER($G236),$G236&lt;=IF($S236=MesCiclo,InicioCiclo,$S236+MOD(2-WEEKDAY($S236),7))+13),1,IF(N($W236)&gt;0,AVERAGEIFS($Z$5:$Z$1000,$U$5:$U$1000,ROW(),$V$5:$V$1000,"Sub"),$Z236)))</f>
        <v/>
      </c>
      <c r="AE236" s="62">
        <f>IF($V236="","",IF(AND(ISNUMBER($G236),$G236&lt;=IF($S236=MesCiclo,InicioCiclo,$S236+MOD(2-WEEKDAY($S236),7))+20),1,IF(N($W236)&gt;0,AVERAGEIFS($AA$5:$AA$1000,$U$5:$U$1000,ROW(),$V$5:$V$1000,"Sub"),$AA236)))</f>
        <v/>
      </c>
      <c r="AF236" s="62">
        <f>IF($V236="","",IF(AND(ISNUMBER($G236),$G236&lt;=IF($S236=MesCiclo,InicioCiclo,$S236+MOD(2-WEEKDAY($S236),7))+27),1,IF(N($W236)&gt;0,AVERAGEIFS($AB$5:$AB$1000,$U$5:$U$1000,ROW(),$V$5:$V$1000,"Sub"),$AB236)))</f>
        <v/>
      </c>
      <c r="AG236" s="62">
        <f>IF($V236&lt;&gt;"Macro","",IF(COUNTIFS($S$5:$S$1000,$S236,$V$5:$V$1000,"Macro",$H$5:$H$1000,"&gt;0")=0,1/COUNTIFS($S$5:$S$1000,$S236,$V$5:$V$1000,"Macro"),IF(AND(ISNUMBER($H236),N($H236)&gt;0),$H236,SUMIFS($H$5:$H$1000,$S$5:$S$1000,$S236,$V$5:$V$1000,"Macro")/COUNTIFS($S$5:$S$1000,$S236,$V$5:$V$1000,"Macro",$H$5:$H$1000,"&gt;0"))/(COUNTIFS($S$5:$S$1000,$S236,$V$5:$V$1000,"Macro")*SUMIFS($H$5:$H$1000,$S$5:$S$1000,$S236,$V$5:$V$1000,"Macro")/COUNTIFS($S$5:$S$1000,$S236,$V$5:$V$1000,"Macro",$H$5:$H$1000,"&gt;0"))))</f>
        <v/>
      </c>
      <c r="AH236" s="62" t="n"/>
      <c r="AI236" s="62" t="n"/>
      <c r="AJ236" s="62" t="n"/>
      <c r="AK236" s="62" t="n"/>
      <c r="AL236" s="62">
        <f>IF(LEFT($C236,11)="[Jefatura] ",IFERROR(MATCH("Riesgo Operacional|"&amp;MID($C236,12,500),rDname_ADM,0),0),"")</f>
        <v/>
      </c>
      <c r="AM236" s="62">
        <f>IF(N($AL236)&gt;0,INDEX(rIni_ADM,$AL236),IF(ISNUMBER($E236),$E236,""))</f>
        <v/>
      </c>
      <c r="AN236" s="62">
        <f>IF(N($AL236)&gt;0,INDEX(rLim_ADM,$AL236),IF(ISNUMBER($F236),$F236,""))</f>
        <v/>
      </c>
    </row>
    <row r="237">
      <c r="A237" s="56">
        <f>IF(NOT((COUNTA($B237:$D237)+COUNTA($G237:$L237)+COUNTA($Q237))&gt;0),"",IF($V237="Macro",COUNTIFS($V$5:$V237,"Macro",$S$5:$S237,$S237),IF(N($U237)=0,"?",COUNTIFS(INDEX($V$5:$V$1000,1):INDEX($V$5:$V$1000,$U237-4),"Macro",INDEX($S$5:$S$1000,1):INDEX($S$5:$S$1000,$U237-4),INDEX($S$5:$S$1000,$U237-4))&amp;"."&amp;COUNTIFS($U$5:$U237,$U237,$V$5:$V237,"Sub"))))</f>
        <v/>
      </c>
      <c r="B237" s="57" t="n"/>
      <c r="C237" s="58" t="n"/>
      <c r="D237" s="58" t="n"/>
      <c r="E237" s="59">
        <f>IF(N($AL237)&gt;0,INDEX(rIni_ADM,$AL237),"")</f>
        <v/>
      </c>
      <c r="F237" s="59">
        <f>IF(N($AL237)&gt;0,INDEX(rLim_ADM,$AL237),"")</f>
        <v/>
      </c>
      <c r="G237" s="59" t="n"/>
      <c r="H237" s="60" t="n"/>
      <c r="I237" s="60" t="n"/>
      <c r="J237" s="60" t="n"/>
      <c r="K237" s="60" t="n"/>
      <c r="L237" s="60" t="n"/>
      <c r="M237" s="61">
        <f>IF(NOT((COUNTA($B237:$D237)+COUNTA($G237:$L237)+COUNTA($Q237))&gt;0),"",IF($V237="Sub",IFERROR($X237/INDEX($W$5:$W$1000,$U237-4),""),IF(ISNUMBER($G237),1,IF(N($W237)&gt;0,AVERAGEIFS($X$5:$X$1000,$U$5:$U$1000,ROW(),$V$5:$V$1000,"Sub"),$X237))))</f>
        <v/>
      </c>
      <c r="N237" s="56">
        <f>IF(OR($M237="",$V237="Sub"),"",IF($M237&gt;=1,"Completado",IF($M237&gt;0,"En curso","Pendiente")))</f>
        <v/>
      </c>
      <c r="O237" s="56">
        <f>IF(OR(NOT((COUNTA($B237:$D237)+COUNTA($G237:$L237)+COUNTA($Q237))&gt;0),$V237="Sub"),"",IF(ISNUMBER($G237),IF(AND(ISNUMBER($AN237),$G237&gt;$AN237),"Cumplida con "&amp;($G237-$AN237)&amp;IF($G237-$AN237=1," día"," días")&amp;" de retraso","Cumplida"),IF(N($M237)&gt;=1,"Cumplida",IF(NOT(ISNUMBER($AN237)),"Sin fecha límite",IF($AN237&lt;FechaRef,"Vencida hace "&amp;(FechaRef-$AN237)&amp;IF(FechaRef-$AN237=1," día"," días"),IF($AN237=FechaRef,"Vence hoy",IF($AN237-FechaRef&lt;=DiasAlerta,"Vence en "&amp;($AN237-FechaRef)&amp;IF($AN237-FechaRef=1," día"," días"),"En plazo")))))))</f>
        <v/>
      </c>
      <c r="P237" s="62" t="n"/>
      <c r="Q237" s="58" t="n"/>
      <c r="R237" s="63">
        <f>IF(NOT((COUNTA($B237:$D237)+COUNTA($G237:$L237)+COUNTA($Q237))&gt;0),"",IF((IF($C237="","Falta el nombre de la actividad"&amp;" · ","")&amp;IF(AND($V237="Sub",N($U237)=0),"Subactividad sin macroactividad arriba"&amp;" · ","")&amp;IF($AM237="","Sin fecha de inicio"&amp;" · ","")&amp;IF($AN237="","Sin fecha límite"&amp;" · ","")&amp;IF(AND(LEFT($C237,11)="[Jefatura] ",N($AL237)=0),"No se encuentra en la hoja de la jefatura (elíjala de nuevo en la lista)"&amp;" · ","")&amp;IF(OR(AND($E237&lt;&gt;"",NOT(ISNUMBER($E237))),AND($F237&lt;&gt;"",NOT(ISNUMBER($F237))),AND($G237&lt;&gt;"",NOT(ISNUMBER($G237)))),"Fecha no válida"&amp;" · ","")&amp;IF(AND(ISNUMBER($AM237),ISNUMBER($AN237),$AM237&gt;$AN237),"Inicio posterior a fecha límite"&amp;" · ","")&amp;IF(AND($V237="Macro",$H237&lt;&gt;"",OR(NOT(ISNUMBER($H237)),$H237&lt;0,$H237&gt;1)),"Peso fuera de rango"&amp;" · ","")&amp;IF(AND($V237="Sub",$H237&lt;&gt;""),"Las subactividades no llevan peso (valen igual dentro de su macroactividad)"&amp;" · ","")&amp;IF(AND(N($W237)&gt;0,COUNT($I237:$L237)&gt;0),"Con subactividades: deje vacías las semanas (se calculan solas)"&amp;" · ","")&amp;IF((COUNTIF($I237:$L237,"&gt;1")+COUNTIF($I237:$L237,"&lt;0")+COUNTA($I237:$L237)-COUNT($I237:$L237))&gt;0,"Avance fuera de rango 0-100%"&amp;" · ","")&amp;IF(OR(AND($J237&lt;&gt;"",$J237&lt;$I237),AND($K237&lt;&gt;"",$K237&lt;MAX($I237:$J237)),AND($L237&lt;&gt;"",$L237&lt;MAX($I237:$K237))),"Avance semanal decreciente"&amp;" · ","")&amp;IF(AND(ISNUMBER($AN237),$AN237&lt;FechaRef,IF($V237="Sub",N($X237),N($M237))&lt;1),"Vencida"&amp;" · ","")&amp;IF(AND(ObsObligatoria="Sí",ISNUMBER($AN237),$AN237&lt;FechaRef,IF($V237="Sub",N($X237),N($M237))&lt;1,$Q237=""),"Vencida sin observación"&amp;" · ",""))="","✔ OK","⚠ "&amp;LEFT(IF($C237="","Falta el nombre de la actividad"&amp;" · ","")&amp;IF(AND($V237="Sub",N($U237)=0),"Subactividad sin macroactividad arriba"&amp;" · ","")&amp;IF($AM237="","Sin fecha de inicio"&amp;" · ","")&amp;IF($AN237="","Sin fecha límite"&amp;" · ","")&amp;IF(AND(LEFT($C237,11)="[Jefatura] ",N($AL237)=0),"No se encuentra en la hoja de la jefatura (elíjala de nuevo en la lista)"&amp;" · ","")&amp;IF(OR(AND($E237&lt;&gt;"",NOT(ISNUMBER($E237))),AND($F237&lt;&gt;"",NOT(ISNUMBER($F237))),AND($G237&lt;&gt;"",NOT(ISNUMBER($G237)))),"Fecha no válida"&amp;" · ","")&amp;IF(AND(ISNUMBER($AM237),ISNUMBER($AN237),$AM237&gt;$AN237),"Inicio posterior a fecha límite"&amp;" · ","")&amp;IF(AND($V237="Macro",$H237&lt;&gt;"",OR(NOT(ISNUMBER($H237)),$H237&lt;0,$H237&gt;1)),"Peso fuera de rango"&amp;" · ","")&amp;IF(AND($V237="Sub",$H237&lt;&gt;""),"Las subactividades no llevan peso (valen igual dentro de su macroactividad)"&amp;" · ","")&amp;IF(AND(N($W237)&gt;0,COUNT($I237:$L237)&gt;0),"Con subactividades: deje vacías las semanas (se calculan solas)"&amp;" · ","")&amp;IF((COUNTIF($I237:$L237,"&gt;1")+COUNTIF($I237:$L237,"&lt;0")+COUNTA($I237:$L237)-COUNT($I237:$L237))&gt;0,"Avance fuera de rango 0-100%"&amp;" · ","")&amp;IF(OR(AND($J237&lt;&gt;"",$J237&lt;$I237),AND($K237&lt;&gt;"",$K237&lt;MAX($I237:$J237)),AND($L237&lt;&gt;"",$L237&lt;MAX($I237:$K237))),"Avance semanal decreciente"&amp;" · ","")&amp;IF(AND(ISNUMBER($AN237),$AN237&lt;FechaRef,IF($V237="Sub",N($X237),N($M237))&lt;1),"Vencida"&amp;" · ","")&amp;IF(AND(ObsObligatoria="Sí",ISNUMBER($AN237),$AN237&lt;FechaRef,IF($V237="Sub",N($X237),N($M237))&lt;1,$Q237=""),"Vencida sin observación"&amp;" · ",""),LEN(IF($C237="","Falta el nombre de la actividad"&amp;" · ","")&amp;IF(AND($V237="Sub",N($U237)=0),"Subactividad sin macroactividad arriba"&amp;" · ","")&amp;IF($AM237="","Sin fecha de inicio"&amp;" · ","")&amp;IF($AN237="","Sin fecha límite"&amp;" · ","")&amp;IF(AND(LEFT($C237,11)="[Jefatura] ",N($AL237)=0),"No se encuentra en la hoja de la jefatura (elíjala de nuevo en la lista)"&amp;" · ","")&amp;IF(OR(AND($E237&lt;&gt;"",NOT(ISNUMBER($E237))),AND($F237&lt;&gt;"",NOT(ISNUMBER($F237))),AND($G237&lt;&gt;"",NOT(ISNUMBER($G237)))),"Fecha no válida"&amp;" · ","")&amp;IF(AND(ISNUMBER($AM237),ISNUMBER($AN237),$AM237&gt;$AN237),"Inicio posterior a fecha límite"&amp;" · ","")&amp;IF(AND($V237="Macro",$H237&lt;&gt;"",OR(NOT(ISNUMBER($H237)),$H237&lt;0,$H237&gt;1)),"Peso fuera de rango"&amp;" · ","")&amp;IF(AND($V237="Sub",$H237&lt;&gt;""),"Las subactividades no llevan peso (valen igual dentro de su macroactividad)"&amp;" · ","")&amp;IF(AND(N($W237)&gt;0,COUNT($I237:$L237)&gt;0),"Con subactividades: deje vacías las semanas (se calculan solas)"&amp;" · ","")&amp;IF((COUNTIF($I237:$L237,"&gt;1")+COUNTIF($I237:$L237,"&lt;0")+COUNTA($I237:$L237)-COUNT($I237:$L237))&gt;0,"Avance fuera de rango 0-100%"&amp;" · ","")&amp;IF(OR(AND($J237&lt;&gt;"",$J237&lt;$I237),AND($K237&lt;&gt;"",$K237&lt;MAX($I237:$J237)),AND($L237&lt;&gt;"",$L237&lt;MAX($I237:$K237))),"Avance semanal decreciente"&amp;" · ","")&amp;IF(AND(ISNUMBER($AN237),$AN237&lt;FechaRef,IF($V237="Sub",N($X237),N($M237))&lt;1),"Vencida"&amp;" · ","")&amp;IF(AND(ObsObligatoria="Sí",ISNUMBER($AN237),$AN237&lt;FechaRef,IF($V237="Sub",N($X237),N($M237))&lt;1,$Q237=""),"Vencida sin observación"&amp;" · ",""))-3)))</f>
        <v/>
      </c>
      <c r="S237" s="64">
        <f>IF(NOT((COUNTA($B237:$D237)+COUNTA($G237:$L237)+COUNTA($Q237))&gt;0),"",IF(AND($V237="Sub",N($U237)&gt;0),IF(ISNUMBER(INDEX($AM$5:$AM$1000,$U237-4)),DATE(YEAR(INDEX($AM$5:$AM$1000,$U237-4)),MONTH(INDEX($AM$5:$AM$1000,$U237-4)),1),IF(ISNUMBER(INDEX($AN$5:$AN$1000,$U237-4)),DATE(YEAR(INDEX($AN$5:$AN$1000,$U237-4)),MONTH(INDEX($AN$5:$AN$1000,$U237-4)),1),MesCiclo)),IF(ISNUMBER($AM237),DATE(YEAR($AM237),MONTH($AM237),1),IF(ISNUMBER($AN237),DATE(YEAR($AN237),MONTH($AN237),1),MesCiclo))))</f>
        <v/>
      </c>
      <c r="T237" s="62">
        <f>IF(OR($S237="",$S237&lt;&gt;MesCiclo,$V237&lt;&gt;"Macro"),"",COUNTIFS($S$5:$S237,MesCiclo,$V$5:$V237,"Macro"))</f>
        <v/>
      </c>
      <c r="U237" s="62">
        <f>IF($V237="","",IF($V237="Macro",ROW(),IFERROR(LOOKUP(2,1/($V$5:$V237="Macro"),ROW($V$5:$V237)),0)))</f>
        <v/>
      </c>
      <c r="V237" s="62">
        <f>IF(NOT((COUNTA($B237:$D237)+COUNTA($G237:$L237)+COUNTA($Q237))&gt;0),"",IF($B237="Subactividad","Sub","Macro"))</f>
        <v/>
      </c>
      <c r="W237" s="62">
        <f>IF($V237="Macro",COUNTIFS($U$5:$U$1000,ROW(),$V$5:$V$1000,"Sub"),"")</f>
        <v/>
      </c>
      <c r="X237" s="62">
        <f>IF($V237="","",IF(ISNUMBER($G237),1,IFERROR(LOOKUP(2,1/($I237:$L237&lt;&gt;""),$I237:$L237),0)))</f>
        <v/>
      </c>
      <c r="Y237" s="62">
        <f>IF($V237="","",IF(AND(ISNUMBER($G237),$G237&lt;=IF($S237=MesCiclo,InicioCiclo,$S237+MOD(2-WEEKDAY($S237),7))+6),1,IF(ISNUMBER($I237),$I237,0)))</f>
        <v/>
      </c>
      <c r="Z237" s="62">
        <f>IF($V237="","",IF(AND(ISNUMBER($G237),$G237&lt;=IF($S237=MesCiclo,InicioCiclo,$S237+MOD(2-WEEKDAY($S237),7))+13),1,IF(ISNUMBER($J237),$J237,$Y237)))</f>
        <v/>
      </c>
      <c r="AA237" s="62">
        <f>IF($V237="","",IF(AND(ISNUMBER($G237),$G237&lt;=IF($S237=MesCiclo,InicioCiclo,$S237+MOD(2-WEEKDAY($S237),7))+20),1,IF(ISNUMBER($K237),$K237,$Z237)))</f>
        <v/>
      </c>
      <c r="AB237" s="62">
        <f>IF($V237="","",IF(AND(ISNUMBER($G237),$G237&lt;=IF($S237=MesCiclo,InicioCiclo,$S237+MOD(2-WEEKDAY($S237),7))+27),1,IF(ISNUMBER($L237),$L237,$AA237)))</f>
        <v/>
      </c>
      <c r="AC237" s="62">
        <f>IF($V237="","",IF(AND(ISNUMBER($G237),$G237&lt;=IF($S237=MesCiclo,InicioCiclo,$S237+MOD(2-WEEKDAY($S237),7))+6),1,IF(N($W237)&gt;0,AVERAGEIFS($Y$5:$Y$1000,$U$5:$U$1000,ROW(),$V$5:$V$1000,"Sub"),$Y237)))</f>
        <v/>
      </c>
      <c r="AD237" s="62">
        <f>IF($V237="","",IF(AND(ISNUMBER($G237),$G237&lt;=IF($S237=MesCiclo,InicioCiclo,$S237+MOD(2-WEEKDAY($S237),7))+13),1,IF(N($W237)&gt;0,AVERAGEIFS($Z$5:$Z$1000,$U$5:$U$1000,ROW(),$V$5:$V$1000,"Sub"),$Z237)))</f>
        <v/>
      </c>
      <c r="AE237" s="62">
        <f>IF($V237="","",IF(AND(ISNUMBER($G237),$G237&lt;=IF($S237=MesCiclo,InicioCiclo,$S237+MOD(2-WEEKDAY($S237),7))+20),1,IF(N($W237)&gt;0,AVERAGEIFS($AA$5:$AA$1000,$U$5:$U$1000,ROW(),$V$5:$V$1000,"Sub"),$AA237)))</f>
        <v/>
      </c>
      <c r="AF237" s="62">
        <f>IF($V237="","",IF(AND(ISNUMBER($G237),$G237&lt;=IF($S237=MesCiclo,InicioCiclo,$S237+MOD(2-WEEKDAY($S237),7))+27),1,IF(N($W237)&gt;0,AVERAGEIFS($AB$5:$AB$1000,$U$5:$U$1000,ROW(),$V$5:$V$1000,"Sub"),$AB237)))</f>
        <v/>
      </c>
      <c r="AG237" s="62">
        <f>IF($V237&lt;&gt;"Macro","",IF(COUNTIFS($S$5:$S$1000,$S237,$V$5:$V$1000,"Macro",$H$5:$H$1000,"&gt;0")=0,1/COUNTIFS($S$5:$S$1000,$S237,$V$5:$V$1000,"Macro"),IF(AND(ISNUMBER($H237),N($H237)&gt;0),$H237,SUMIFS($H$5:$H$1000,$S$5:$S$1000,$S237,$V$5:$V$1000,"Macro")/COUNTIFS($S$5:$S$1000,$S237,$V$5:$V$1000,"Macro",$H$5:$H$1000,"&gt;0"))/(COUNTIFS($S$5:$S$1000,$S237,$V$5:$V$1000,"Macro")*SUMIFS($H$5:$H$1000,$S$5:$S$1000,$S237,$V$5:$V$1000,"Macro")/COUNTIFS($S$5:$S$1000,$S237,$V$5:$V$1000,"Macro",$H$5:$H$1000,"&gt;0"))))</f>
        <v/>
      </c>
      <c r="AH237" s="62" t="n"/>
      <c r="AI237" s="62" t="n"/>
      <c r="AJ237" s="62" t="n"/>
      <c r="AK237" s="62" t="n"/>
      <c r="AL237" s="62">
        <f>IF(LEFT($C237,11)="[Jefatura] ",IFERROR(MATCH("Riesgo Operacional|"&amp;MID($C237,12,500),rDname_ADM,0),0),"")</f>
        <v/>
      </c>
      <c r="AM237" s="62">
        <f>IF(N($AL237)&gt;0,INDEX(rIni_ADM,$AL237),IF(ISNUMBER($E237),$E237,""))</f>
        <v/>
      </c>
      <c r="AN237" s="62">
        <f>IF(N($AL237)&gt;0,INDEX(rLim_ADM,$AL237),IF(ISNUMBER($F237),$F237,""))</f>
        <v/>
      </c>
    </row>
    <row r="238">
      <c r="A238" s="56">
        <f>IF(NOT((COUNTA($B238:$D238)+COUNTA($G238:$L238)+COUNTA($Q238))&gt;0),"",IF($V238="Macro",COUNTIFS($V$5:$V238,"Macro",$S$5:$S238,$S238),IF(N($U238)=0,"?",COUNTIFS(INDEX($V$5:$V$1000,1):INDEX($V$5:$V$1000,$U238-4),"Macro",INDEX($S$5:$S$1000,1):INDEX($S$5:$S$1000,$U238-4),INDEX($S$5:$S$1000,$U238-4))&amp;"."&amp;COUNTIFS($U$5:$U238,$U238,$V$5:$V238,"Sub"))))</f>
        <v/>
      </c>
      <c r="B238" s="57" t="n"/>
      <c r="C238" s="58" t="n"/>
      <c r="D238" s="58" t="n"/>
      <c r="E238" s="59">
        <f>IF(N($AL238)&gt;0,INDEX(rIni_ADM,$AL238),"")</f>
        <v/>
      </c>
      <c r="F238" s="59">
        <f>IF(N($AL238)&gt;0,INDEX(rLim_ADM,$AL238),"")</f>
        <v/>
      </c>
      <c r="G238" s="59" t="n"/>
      <c r="H238" s="60" t="n"/>
      <c r="I238" s="60" t="n"/>
      <c r="J238" s="60" t="n"/>
      <c r="K238" s="60" t="n"/>
      <c r="L238" s="60" t="n"/>
      <c r="M238" s="61">
        <f>IF(NOT((COUNTA($B238:$D238)+COUNTA($G238:$L238)+COUNTA($Q238))&gt;0),"",IF($V238="Sub",IFERROR($X238/INDEX($W$5:$W$1000,$U238-4),""),IF(ISNUMBER($G238),1,IF(N($W238)&gt;0,AVERAGEIFS($X$5:$X$1000,$U$5:$U$1000,ROW(),$V$5:$V$1000,"Sub"),$X238))))</f>
        <v/>
      </c>
      <c r="N238" s="56">
        <f>IF(OR($M238="",$V238="Sub"),"",IF($M238&gt;=1,"Completado",IF($M238&gt;0,"En curso","Pendiente")))</f>
        <v/>
      </c>
      <c r="O238" s="56">
        <f>IF(OR(NOT((COUNTA($B238:$D238)+COUNTA($G238:$L238)+COUNTA($Q238))&gt;0),$V238="Sub"),"",IF(ISNUMBER($G238),IF(AND(ISNUMBER($AN238),$G238&gt;$AN238),"Cumplida con "&amp;($G238-$AN238)&amp;IF($G238-$AN238=1," día"," días")&amp;" de retraso","Cumplida"),IF(N($M238)&gt;=1,"Cumplida",IF(NOT(ISNUMBER($AN238)),"Sin fecha límite",IF($AN238&lt;FechaRef,"Vencida hace "&amp;(FechaRef-$AN238)&amp;IF(FechaRef-$AN238=1," día"," días"),IF($AN238=FechaRef,"Vence hoy",IF($AN238-FechaRef&lt;=DiasAlerta,"Vence en "&amp;($AN238-FechaRef)&amp;IF($AN238-FechaRef=1," día"," días"),"En plazo")))))))</f>
        <v/>
      </c>
      <c r="P238" s="62" t="n"/>
      <c r="Q238" s="58" t="n"/>
      <c r="R238" s="63">
        <f>IF(NOT((COUNTA($B238:$D238)+COUNTA($G238:$L238)+COUNTA($Q238))&gt;0),"",IF((IF($C238="","Falta el nombre de la actividad"&amp;" · ","")&amp;IF(AND($V238="Sub",N($U238)=0),"Subactividad sin macroactividad arriba"&amp;" · ","")&amp;IF($AM238="","Sin fecha de inicio"&amp;" · ","")&amp;IF($AN238="","Sin fecha límite"&amp;" · ","")&amp;IF(AND(LEFT($C238,11)="[Jefatura] ",N($AL238)=0),"No se encuentra en la hoja de la jefatura (elíjala de nuevo en la lista)"&amp;" · ","")&amp;IF(OR(AND($E238&lt;&gt;"",NOT(ISNUMBER($E238))),AND($F238&lt;&gt;"",NOT(ISNUMBER($F238))),AND($G238&lt;&gt;"",NOT(ISNUMBER($G238)))),"Fecha no válida"&amp;" · ","")&amp;IF(AND(ISNUMBER($AM238),ISNUMBER($AN238),$AM238&gt;$AN238),"Inicio posterior a fecha límite"&amp;" · ","")&amp;IF(AND($V238="Macro",$H238&lt;&gt;"",OR(NOT(ISNUMBER($H238)),$H238&lt;0,$H238&gt;1)),"Peso fuera de rango"&amp;" · ","")&amp;IF(AND($V238="Sub",$H238&lt;&gt;""),"Las subactividades no llevan peso (valen igual dentro de su macroactividad)"&amp;" · ","")&amp;IF(AND(N($W238)&gt;0,COUNT($I238:$L238)&gt;0),"Con subactividades: deje vacías las semanas (se calculan solas)"&amp;" · ","")&amp;IF((COUNTIF($I238:$L238,"&gt;1")+COUNTIF($I238:$L238,"&lt;0")+COUNTA($I238:$L238)-COUNT($I238:$L238))&gt;0,"Avance fuera de rango 0-100%"&amp;" · ","")&amp;IF(OR(AND($J238&lt;&gt;"",$J238&lt;$I238),AND($K238&lt;&gt;"",$K238&lt;MAX($I238:$J238)),AND($L238&lt;&gt;"",$L238&lt;MAX($I238:$K238))),"Avance semanal decreciente"&amp;" · ","")&amp;IF(AND(ISNUMBER($AN238),$AN238&lt;FechaRef,IF($V238="Sub",N($X238),N($M238))&lt;1),"Vencida"&amp;" · ","")&amp;IF(AND(ObsObligatoria="Sí",ISNUMBER($AN238),$AN238&lt;FechaRef,IF($V238="Sub",N($X238),N($M238))&lt;1,$Q238=""),"Vencida sin observación"&amp;" · ",""))="","✔ OK","⚠ "&amp;LEFT(IF($C238="","Falta el nombre de la actividad"&amp;" · ","")&amp;IF(AND($V238="Sub",N($U238)=0),"Subactividad sin macroactividad arriba"&amp;" · ","")&amp;IF($AM238="","Sin fecha de inicio"&amp;" · ","")&amp;IF($AN238="","Sin fecha límite"&amp;" · ","")&amp;IF(AND(LEFT($C238,11)="[Jefatura] ",N($AL238)=0),"No se encuentra en la hoja de la jefatura (elíjala de nuevo en la lista)"&amp;" · ","")&amp;IF(OR(AND($E238&lt;&gt;"",NOT(ISNUMBER($E238))),AND($F238&lt;&gt;"",NOT(ISNUMBER($F238))),AND($G238&lt;&gt;"",NOT(ISNUMBER($G238)))),"Fecha no válida"&amp;" · ","")&amp;IF(AND(ISNUMBER($AM238),ISNUMBER($AN238),$AM238&gt;$AN238),"Inicio posterior a fecha límite"&amp;" · ","")&amp;IF(AND($V238="Macro",$H238&lt;&gt;"",OR(NOT(ISNUMBER($H238)),$H238&lt;0,$H238&gt;1)),"Peso fuera de rango"&amp;" · ","")&amp;IF(AND($V238="Sub",$H238&lt;&gt;""),"Las subactividades no llevan peso (valen igual dentro de su macroactividad)"&amp;" · ","")&amp;IF(AND(N($W238)&gt;0,COUNT($I238:$L238)&gt;0),"Con subactividades: deje vacías las semanas (se calculan solas)"&amp;" · ","")&amp;IF((COUNTIF($I238:$L238,"&gt;1")+COUNTIF($I238:$L238,"&lt;0")+COUNTA($I238:$L238)-COUNT($I238:$L238))&gt;0,"Avance fuera de rango 0-100%"&amp;" · ","")&amp;IF(OR(AND($J238&lt;&gt;"",$J238&lt;$I238),AND($K238&lt;&gt;"",$K238&lt;MAX($I238:$J238)),AND($L238&lt;&gt;"",$L238&lt;MAX($I238:$K238))),"Avance semanal decreciente"&amp;" · ","")&amp;IF(AND(ISNUMBER($AN238),$AN238&lt;FechaRef,IF($V238="Sub",N($X238),N($M238))&lt;1),"Vencida"&amp;" · ","")&amp;IF(AND(ObsObligatoria="Sí",ISNUMBER($AN238),$AN238&lt;FechaRef,IF($V238="Sub",N($X238),N($M238))&lt;1,$Q238=""),"Vencida sin observación"&amp;" · ",""),LEN(IF($C238="","Falta el nombre de la actividad"&amp;" · ","")&amp;IF(AND($V238="Sub",N($U238)=0),"Subactividad sin macroactividad arriba"&amp;" · ","")&amp;IF($AM238="","Sin fecha de inicio"&amp;" · ","")&amp;IF($AN238="","Sin fecha límite"&amp;" · ","")&amp;IF(AND(LEFT($C238,11)="[Jefatura] ",N($AL238)=0),"No se encuentra en la hoja de la jefatura (elíjala de nuevo en la lista)"&amp;" · ","")&amp;IF(OR(AND($E238&lt;&gt;"",NOT(ISNUMBER($E238))),AND($F238&lt;&gt;"",NOT(ISNUMBER($F238))),AND($G238&lt;&gt;"",NOT(ISNUMBER($G238)))),"Fecha no válida"&amp;" · ","")&amp;IF(AND(ISNUMBER($AM238),ISNUMBER($AN238),$AM238&gt;$AN238),"Inicio posterior a fecha límite"&amp;" · ","")&amp;IF(AND($V238="Macro",$H238&lt;&gt;"",OR(NOT(ISNUMBER($H238)),$H238&lt;0,$H238&gt;1)),"Peso fuera de rango"&amp;" · ","")&amp;IF(AND($V238="Sub",$H238&lt;&gt;""),"Las subactividades no llevan peso (valen igual dentro de su macroactividad)"&amp;" · ","")&amp;IF(AND(N($W238)&gt;0,COUNT($I238:$L238)&gt;0),"Con subactividades: deje vacías las semanas (se calculan solas)"&amp;" · ","")&amp;IF((COUNTIF($I238:$L238,"&gt;1")+COUNTIF($I238:$L238,"&lt;0")+COUNTA($I238:$L238)-COUNT($I238:$L238))&gt;0,"Avance fuera de rango 0-100%"&amp;" · ","")&amp;IF(OR(AND($J238&lt;&gt;"",$J238&lt;$I238),AND($K238&lt;&gt;"",$K238&lt;MAX($I238:$J238)),AND($L238&lt;&gt;"",$L238&lt;MAX($I238:$K238))),"Avance semanal decreciente"&amp;" · ","")&amp;IF(AND(ISNUMBER($AN238),$AN238&lt;FechaRef,IF($V238="Sub",N($X238),N($M238))&lt;1),"Vencida"&amp;" · ","")&amp;IF(AND(ObsObligatoria="Sí",ISNUMBER($AN238),$AN238&lt;FechaRef,IF($V238="Sub",N($X238),N($M238))&lt;1,$Q238=""),"Vencida sin observación"&amp;" · ",""))-3)))</f>
        <v/>
      </c>
      <c r="S238" s="64">
        <f>IF(NOT((COUNTA($B238:$D238)+COUNTA($G238:$L238)+COUNTA($Q238))&gt;0),"",IF(AND($V238="Sub",N($U238)&gt;0),IF(ISNUMBER(INDEX($AM$5:$AM$1000,$U238-4)),DATE(YEAR(INDEX($AM$5:$AM$1000,$U238-4)),MONTH(INDEX($AM$5:$AM$1000,$U238-4)),1),IF(ISNUMBER(INDEX($AN$5:$AN$1000,$U238-4)),DATE(YEAR(INDEX($AN$5:$AN$1000,$U238-4)),MONTH(INDEX($AN$5:$AN$1000,$U238-4)),1),MesCiclo)),IF(ISNUMBER($AM238),DATE(YEAR($AM238),MONTH($AM238),1),IF(ISNUMBER($AN238),DATE(YEAR($AN238),MONTH($AN238),1),MesCiclo))))</f>
        <v/>
      </c>
      <c r="T238" s="62">
        <f>IF(OR($S238="",$S238&lt;&gt;MesCiclo,$V238&lt;&gt;"Macro"),"",COUNTIFS($S$5:$S238,MesCiclo,$V$5:$V238,"Macro"))</f>
        <v/>
      </c>
      <c r="U238" s="62">
        <f>IF($V238="","",IF($V238="Macro",ROW(),IFERROR(LOOKUP(2,1/($V$5:$V238="Macro"),ROW($V$5:$V238)),0)))</f>
        <v/>
      </c>
      <c r="V238" s="62">
        <f>IF(NOT((COUNTA($B238:$D238)+COUNTA($G238:$L238)+COUNTA($Q238))&gt;0),"",IF($B238="Subactividad","Sub","Macro"))</f>
        <v/>
      </c>
      <c r="W238" s="62">
        <f>IF($V238="Macro",COUNTIFS($U$5:$U$1000,ROW(),$V$5:$V$1000,"Sub"),"")</f>
        <v/>
      </c>
      <c r="X238" s="62">
        <f>IF($V238="","",IF(ISNUMBER($G238),1,IFERROR(LOOKUP(2,1/($I238:$L238&lt;&gt;""),$I238:$L238),0)))</f>
        <v/>
      </c>
      <c r="Y238" s="62">
        <f>IF($V238="","",IF(AND(ISNUMBER($G238),$G238&lt;=IF($S238=MesCiclo,InicioCiclo,$S238+MOD(2-WEEKDAY($S238),7))+6),1,IF(ISNUMBER($I238),$I238,0)))</f>
        <v/>
      </c>
      <c r="Z238" s="62">
        <f>IF($V238="","",IF(AND(ISNUMBER($G238),$G238&lt;=IF($S238=MesCiclo,InicioCiclo,$S238+MOD(2-WEEKDAY($S238),7))+13),1,IF(ISNUMBER($J238),$J238,$Y238)))</f>
        <v/>
      </c>
      <c r="AA238" s="62">
        <f>IF($V238="","",IF(AND(ISNUMBER($G238),$G238&lt;=IF($S238=MesCiclo,InicioCiclo,$S238+MOD(2-WEEKDAY($S238),7))+20),1,IF(ISNUMBER($K238),$K238,$Z238)))</f>
        <v/>
      </c>
      <c r="AB238" s="62">
        <f>IF($V238="","",IF(AND(ISNUMBER($G238),$G238&lt;=IF($S238=MesCiclo,InicioCiclo,$S238+MOD(2-WEEKDAY($S238),7))+27),1,IF(ISNUMBER($L238),$L238,$AA238)))</f>
        <v/>
      </c>
      <c r="AC238" s="62">
        <f>IF($V238="","",IF(AND(ISNUMBER($G238),$G238&lt;=IF($S238=MesCiclo,InicioCiclo,$S238+MOD(2-WEEKDAY($S238),7))+6),1,IF(N($W238)&gt;0,AVERAGEIFS($Y$5:$Y$1000,$U$5:$U$1000,ROW(),$V$5:$V$1000,"Sub"),$Y238)))</f>
        <v/>
      </c>
      <c r="AD238" s="62">
        <f>IF($V238="","",IF(AND(ISNUMBER($G238),$G238&lt;=IF($S238=MesCiclo,InicioCiclo,$S238+MOD(2-WEEKDAY($S238),7))+13),1,IF(N($W238)&gt;0,AVERAGEIFS($Z$5:$Z$1000,$U$5:$U$1000,ROW(),$V$5:$V$1000,"Sub"),$Z238)))</f>
        <v/>
      </c>
      <c r="AE238" s="62">
        <f>IF($V238="","",IF(AND(ISNUMBER($G238),$G238&lt;=IF($S238=MesCiclo,InicioCiclo,$S238+MOD(2-WEEKDAY($S238),7))+20),1,IF(N($W238)&gt;0,AVERAGEIFS($AA$5:$AA$1000,$U$5:$U$1000,ROW(),$V$5:$V$1000,"Sub"),$AA238)))</f>
        <v/>
      </c>
      <c r="AF238" s="62">
        <f>IF($V238="","",IF(AND(ISNUMBER($G238),$G238&lt;=IF($S238=MesCiclo,InicioCiclo,$S238+MOD(2-WEEKDAY($S238),7))+27),1,IF(N($W238)&gt;0,AVERAGEIFS($AB$5:$AB$1000,$U$5:$U$1000,ROW(),$V$5:$V$1000,"Sub"),$AB238)))</f>
        <v/>
      </c>
      <c r="AG238" s="62">
        <f>IF($V238&lt;&gt;"Macro","",IF(COUNTIFS($S$5:$S$1000,$S238,$V$5:$V$1000,"Macro",$H$5:$H$1000,"&gt;0")=0,1/COUNTIFS($S$5:$S$1000,$S238,$V$5:$V$1000,"Macro"),IF(AND(ISNUMBER($H238),N($H238)&gt;0),$H238,SUMIFS($H$5:$H$1000,$S$5:$S$1000,$S238,$V$5:$V$1000,"Macro")/COUNTIFS($S$5:$S$1000,$S238,$V$5:$V$1000,"Macro",$H$5:$H$1000,"&gt;0"))/(COUNTIFS($S$5:$S$1000,$S238,$V$5:$V$1000,"Macro")*SUMIFS($H$5:$H$1000,$S$5:$S$1000,$S238,$V$5:$V$1000,"Macro")/COUNTIFS($S$5:$S$1000,$S238,$V$5:$V$1000,"Macro",$H$5:$H$1000,"&gt;0"))))</f>
        <v/>
      </c>
      <c r="AH238" s="62" t="n"/>
      <c r="AI238" s="62" t="n"/>
      <c r="AJ238" s="62" t="n"/>
      <c r="AK238" s="62" t="n"/>
      <c r="AL238" s="62">
        <f>IF(LEFT($C238,11)="[Jefatura] ",IFERROR(MATCH("Riesgo Operacional|"&amp;MID($C238,12,500),rDname_ADM,0),0),"")</f>
        <v/>
      </c>
      <c r="AM238" s="62">
        <f>IF(N($AL238)&gt;0,INDEX(rIni_ADM,$AL238),IF(ISNUMBER($E238),$E238,""))</f>
        <v/>
      </c>
      <c r="AN238" s="62">
        <f>IF(N($AL238)&gt;0,INDEX(rLim_ADM,$AL238),IF(ISNUMBER($F238),$F238,""))</f>
        <v/>
      </c>
    </row>
    <row r="239">
      <c r="A239" s="56">
        <f>IF(NOT((COUNTA($B239:$D239)+COUNTA($G239:$L239)+COUNTA($Q239))&gt;0),"",IF($V239="Macro",COUNTIFS($V$5:$V239,"Macro",$S$5:$S239,$S239),IF(N($U239)=0,"?",COUNTIFS(INDEX($V$5:$V$1000,1):INDEX($V$5:$V$1000,$U239-4),"Macro",INDEX($S$5:$S$1000,1):INDEX($S$5:$S$1000,$U239-4),INDEX($S$5:$S$1000,$U239-4))&amp;"."&amp;COUNTIFS($U$5:$U239,$U239,$V$5:$V239,"Sub"))))</f>
        <v/>
      </c>
      <c r="B239" s="57" t="n"/>
      <c r="C239" s="58" t="n"/>
      <c r="D239" s="58" t="n"/>
      <c r="E239" s="59">
        <f>IF(N($AL239)&gt;0,INDEX(rIni_ADM,$AL239),"")</f>
        <v/>
      </c>
      <c r="F239" s="59">
        <f>IF(N($AL239)&gt;0,INDEX(rLim_ADM,$AL239),"")</f>
        <v/>
      </c>
      <c r="G239" s="59" t="n"/>
      <c r="H239" s="60" t="n"/>
      <c r="I239" s="60" t="n"/>
      <c r="J239" s="60" t="n"/>
      <c r="K239" s="60" t="n"/>
      <c r="L239" s="60" t="n"/>
      <c r="M239" s="61">
        <f>IF(NOT((COUNTA($B239:$D239)+COUNTA($G239:$L239)+COUNTA($Q239))&gt;0),"",IF($V239="Sub",IFERROR($X239/INDEX($W$5:$W$1000,$U239-4),""),IF(ISNUMBER($G239),1,IF(N($W239)&gt;0,AVERAGEIFS($X$5:$X$1000,$U$5:$U$1000,ROW(),$V$5:$V$1000,"Sub"),$X239))))</f>
        <v/>
      </c>
      <c r="N239" s="56">
        <f>IF(OR($M239="",$V239="Sub"),"",IF($M239&gt;=1,"Completado",IF($M239&gt;0,"En curso","Pendiente")))</f>
        <v/>
      </c>
      <c r="O239" s="56">
        <f>IF(OR(NOT((COUNTA($B239:$D239)+COUNTA($G239:$L239)+COUNTA($Q239))&gt;0),$V239="Sub"),"",IF(ISNUMBER($G239),IF(AND(ISNUMBER($AN239),$G239&gt;$AN239),"Cumplida con "&amp;($G239-$AN239)&amp;IF($G239-$AN239=1," día"," días")&amp;" de retraso","Cumplida"),IF(N($M239)&gt;=1,"Cumplida",IF(NOT(ISNUMBER($AN239)),"Sin fecha límite",IF($AN239&lt;FechaRef,"Vencida hace "&amp;(FechaRef-$AN239)&amp;IF(FechaRef-$AN239=1," día"," días"),IF($AN239=FechaRef,"Vence hoy",IF($AN239-FechaRef&lt;=DiasAlerta,"Vence en "&amp;($AN239-FechaRef)&amp;IF($AN239-FechaRef=1," día"," días"),"En plazo")))))))</f>
        <v/>
      </c>
      <c r="P239" s="62" t="n"/>
      <c r="Q239" s="58" t="n"/>
      <c r="R239" s="63">
        <f>IF(NOT((COUNTA($B239:$D239)+COUNTA($G239:$L239)+COUNTA($Q239))&gt;0),"",IF((IF($C239="","Falta el nombre de la actividad"&amp;" · ","")&amp;IF(AND($V239="Sub",N($U239)=0),"Subactividad sin macroactividad arriba"&amp;" · ","")&amp;IF($AM239="","Sin fecha de inicio"&amp;" · ","")&amp;IF($AN239="","Sin fecha límite"&amp;" · ","")&amp;IF(AND(LEFT($C239,11)="[Jefatura] ",N($AL239)=0),"No se encuentra en la hoja de la jefatura (elíjala de nuevo en la lista)"&amp;" · ","")&amp;IF(OR(AND($E239&lt;&gt;"",NOT(ISNUMBER($E239))),AND($F239&lt;&gt;"",NOT(ISNUMBER($F239))),AND($G239&lt;&gt;"",NOT(ISNUMBER($G239)))),"Fecha no válida"&amp;" · ","")&amp;IF(AND(ISNUMBER($AM239),ISNUMBER($AN239),$AM239&gt;$AN239),"Inicio posterior a fecha límite"&amp;" · ","")&amp;IF(AND($V239="Macro",$H239&lt;&gt;"",OR(NOT(ISNUMBER($H239)),$H239&lt;0,$H239&gt;1)),"Peso fuera de rango"&amp;" · ","")&amp;IF(AND($V239="Sub",$H239&lt;&gt;""),"Las subactividades no llevan peso (valen igual dentro de su macroactividad)"&amp;" · ","")&amp;IF(AND(N($W239)&gt;0,COUNT($I239:$L239)&gt;0),"Con subactividades: deje vacías las semanas (se calculan solas)"&amp;" · ","")&amp;IF((COUNTIF($I239:$L239,"&gt;1")+COUNTIF($I239:$L239,"&lt;0")+COUNTA($I239:$L239)-COUNT($I239:$L239))&gt;0,"Avance fuera de rango 0-100%"&amp;" · ","")&amp;IF(OR(AND($J239&lt;&gt;"",$J239&lt;$I239),AND($K239&lt;&gt;"",$K239&lt;MAX($I239:$J239)),AND($L239&lt;&gt;"",$L239&lt;MAX($I239:$K239))),"Avance semanal decreciente"&amp;" · ","")&amp;IF(AND(ISNUMBER($AN239),$AN239&lt;FechaRef,IF($V239="Sub",N($X239),N($M239))&lt;1),"Vencida"&amp;" · ","")&amp;IF(AND(ObsObligatoria="Sí",ISNUMBER($AN239),$AN239&lt;FechaRef,IF($V239="Sub",N($X239),N($M239))&lt;1,$Q239=""),"Vencida sin observación"&amp;" · ",""))="","✔ OK","⚠ "&amp;LEFT(IF($C239="","Falta el nombre de la actividad"&amp;" · ","")&amp;IF(AND($V239="Sub",N($U239)=0),"Subactividad sin macroactividad arriba"&amp;" · ","")&amp;IF($AM239="","Sin fecha de inicio"&amp;" · ","")&amp;IF($AN239="","Sin fecha límite"&amp;" · ","")&amp;IF(AND(LEFT($C239,11)="[Jefatura] ",N($AL239)=0),"No se encuentra en la hoja de la jefatura (elíjala de nuevo en la lista)"&amp;" · ","")&amp;IF(OR(AND($E239&lt;&gt;"",NOT(ISNUMBER($E239))),AND($F239&lt;&gt;"",NOT(ISNUMBER($F239))),AND($G239&lt;&gt;"",NOT(ISNUMBER($G239)))),"Fecha no válida"&amp;" · ","")&amp;IF(AND(ISNUMBER($AM239),ISNUMBER($AN239),$AM239&gt;$AN239),"Inicio posterior a fecha límite"&amp;" · ","")&amp;IF(AND($V239="Macro",$H239&lt;&gt;"",OR(NOT(ISNUMBER($H239)),$H239&lt;0,$H239&gt;1)),"Peso fuera de rango"&amp;" · ","")&amp;IF(AND($V239="Sub",$H239&lt;&gt;""),"Las subactividades no llevan peso (valen igual dentro de su macroactividad)"&amp;" · ","")&amp;IF(AND(N($W239)&gt;0,COUNT($I239:$L239)&gt;0),"Con subactividades: deje vacías las semanas (se calculan solas)"&amp;" · ","")&amp;IF((COUNTIF($I239:$L239,"&gt;1")+COUNTIF($I239:$L239,"&lt;0")+COUNTA($I239:$L239)-COUNT($I239:$L239))&gt;0,"Avance fuera de rango 0-100%"&amp;" · ","")&amp;IF(OR(AND($J239&lt;&gt;"",$J239&lt;$I239),AND($K239&lt;&gt;"",$K239&lt;MAX($I239:$J239)),AND($L239&lt;&gt;"",$L239&lt;MAX($I239:$K239))),"Avance semanal decreciente"&amp;" · ","")&amp;IF(AND(ISNUMBER($AN239),$AN239&lt;FechaRef,IF($V239="Sub",N($X239),N($M239))&lt;1),"Vencida"&amp;" · ","")&amp;IF(AND(ObsObligatoria="Sí",ISNUMBER($AN239),$AN239&lt;FechaRef,IF($V239="Sub",N($X239),N($M239))&lt;1,$Q239=""),"Vencida sin observación"&amp;" · ",""),LEN(IF($C239="","Falta el nombre de la actividad"&amp;" · ","")&amp;IF(AND($V239="Sub",N($U239)=0),"Subactividad sin macroactividad arriba"&amp;" · ","")&amp;IF($AM239="","Sin fecha de inicio"&amp;" · ","")&amp;IF($AN239="","Sin fecha límite"&amp;" · ","")&amp;IF(AND(LEFT($C239,11)="[Jefatura] ",N($AL239)=0),"No se encuentra en la hoja de la jefatura (elíjala de nuevo en la lista)"&amp;" · ","")&amp;IF(OR(AND($E239&lt;&gt;"",NOT(ISNUMBER($E239))),AND($F239&lt;&gt;"",NOT(ISNUMBER($F239))),AND($G239&lt;&gt;"",NOT(ISNUMBER($G239)))),"Fecha no válida"&amp;" · ","")&amp;IF(AND(ISNUMBER($AM239),ISNUMBER($AN239),$AM239&gt;$AN239),"Inicio posterior a fecha límite"&amp;" · ","")&amp;IF(AND($V239="Macro",$H239&lt;&gt;"",OR(NOT(ISNUMBER($H239)),$H239&lt;0,$H239&gt;1)),"Peso fuera de rango"&amp;" · ","")&amp;IF(AND($V239="Sub",$H239&lt;&gt;""),"Las subactividades no llevan peso (valen igual dentro de su macroactividad)"&amp;" · ","")&amp;IF(AND(N($W239)&gt;0,COUNT($I239:$L239)&gt;0),"Con subactividades: deje vacías las semanas (se calculan solas)"&amp;" · ","")&amp;IF((COUNTIF($I239:$L239,"&gt;1")+COUNTIF($I239:$L239,"&lt;0")+COUNTA($I239:$L239)-COUNT($I239:$L239))&gt;0,"Avance fuera de rango 0-100%"&amp;" · ","")&amp;IF(OR(AND($J239&lt;&gt;"",$J239&lt;$I239),AND($K239&lt;&gt;"",$K239&lt;MAX($I239:$J239)),AND($L239&lt;&gt;"",$L239&lt;MAX($I239:$K239))),"Avance semanal decreciente"&amp;" · ","")&amp;IF(AND(ISNUMBER($AN239),$AN239&lt;FechaRef,IF($V239="Sub",N($X239),N($M239))&lt;1),"Vencida"&amp;" · ","")&amp;IF(AND(ObsObligatoria="Sí",ISNUMBER($AN239),$AN239&lt;FechaRef,IF($V239="Sub",N($X239),N($M239))&lt;1,$Q239=""),"Vencida sin observación"&amp;" · ",""))-3)))</f>
        <v/>
      </c>
      <c r="S239" s="64">
        <f>IF(NOT((COUNTA($B239:$D239)+COUNTA($G239:$L239)+COUNTA($Q239))&gt;0),"",IF(AND($V239="Sub",N($U239)&gt;0),IF(ISNUMBER(INDEX($AM$5:$AM$1000,$U239-4)),DATE(YEAR(INDEX($AM$5:$AM$1000,$U239-4)),MONTH(INDEX($AM$5:$AM$1000,$U239-4)),1),IF(ISNUMBER(INDEX($AN$5:$AN$1000,$U239-4)),DATE(YEAR(INDEX($AN$5:$AN$1000,$U239-4)),MONTH(INDEX($AN$5:$AN$1000,$U239-4)),1),MesCiclo)),IF(ISNUMBER($AM239),DATE(YEAR($AM239),MONTH($AM239),1),IF(ISNUMBER($AN239),DATE(YEAR($AN239),MONTH($AN239),1),MesCiclo))))</f>
        <v/>
      </c>
      <c r="T239" s="62">
        <f>IF(OR($S239="",$S239&lt;&gt;MesCiclo,$V239&lt;&gt;"Macro"),"",COUNTIFS($S$5:$S239,MesCiclo,$V$5:$V239,"Macro"))</f>
        <v/>
      </c>
      <c r="U239" s="62">
        <f>IF($V239="","",IF($V239="Macro",ROW(),IFERROR(LOOKUP(2,1/($V$5:$V239="Macro"),ROW($V$5:$V239)),0)))</f>
        <v/>
      </c>
      <c r="V239" s="62">
        <f>IF(NOT((COUNTA($B239:$D239)+COUNTA($G239:$L239)+COUNTA($Q239))&gt;0),"",IF($B239="Subactividad","Sub","Macro"))</f>
        <v/>
      </c>
      <c r="W239" s="62">
        <f>IF($V239="Macro",COUNTIFS($U$5:$U$1000,ROW(),$V$5:$V$1000,"Sub"),"")</f>
        <v/>
      </c>
      <c r="X239" s="62">
        <f>IF($V239="","",IF(ISNUMBER($G239),1,IFERROR(LOOKUP(2,1/($I239:$L239&lt;&gt;""),$I239:$L239),0)))</f>
        <v/>
      </c>
      <c r="Y239" s="62">
        <f>IF($V239="","",IF(AND(ISNUMBER($G239),$G239&lt;=IF($S239=MesCiclo,InicioCiclo,$S239+MOD(2-WEEKDAY($S239),7))+6),1,IF(ISNUMBER($I239),$I239,0)))</f>
        <v/>
      </c>
      <c r="Z239" s="62">
        <f>IF($V239="","",IF(AND(ISNUMBER($G239),$G239&lt;=IF($S239=MesCiclo,InicioCiclo,$S239+MOD(2-WEEKDAY($S239),7))+13),1,IF(ISNUMBER($J239),$J239,$Y239)))</f>
        <v/>
      </c>
      <c r="AA239" s="62">
        <f>IF($V239="","",IF(AND(ISNUMBER($G239),$G239&lt;=IF($S239=MesCiclo,InicioCiclo,$S239+MOD(2-WEEKDAY($S239),7))+20),1,IF(ISNUMBER($K239),$K239,$Z239)))</f>
        <v/>
      </c>
      <c r="AB239" s="62">
        <f>IF($V239="","",IF(AND(ISNUMBER($G239),$G239&lt;=IF($S239=MesCiclo,InicioCiclo,$S239+MOD(2-WEEKDAY($S239),7))+27),1,IF(ISNUMBER($L239),$L239,$AA239)))</f>
        <v/>
      </c>
      <c r="AC239" s="62">
        <f>IF($V239="","",IF(AND(ISNUMBER($G239),$G239&lt;=IF($S239=MesCiclo,InicioCiclo,$S239+MOD(2-WEEKDAY($S239),7))+6),1,IF(N($W239)&gt;0,AVERAGEIFS($Y$5:$Y$1000,$U$5:$U$1000,ROW(),$V$5:$V$1000,"Sub"),$Y239)))</f>
        <v/>
      </c>
      <c r="AD239" s="62">
        <f>IF($V239="","",IF(AND(ISNUMBER($G239),$G239&lt;=IF($S239=MesCiclo,InicioCiclo,$S239+MOD(2-WEEKDAY($S239),7))+13),1,IF(N($W239)&gt;0,AVERAGEIFS($Z$5:$Z$1000,$U$5:$U$1000,ROW(),$V$5:$V$1000,"Sub"),$Z239)))</f>
        <v/>
      </c>
      <c r="AE239" s="62">
        <f>IF($V239="","",IF(AND(ISNUMBER($G239),$G239&lt;=IF($S239=MesCiclo,InicioCiclo,$S239+MOD(2-WEEKDAY($S239),7))+20),1,IF(N($W239)&gt;0,AVERAGEIFS($AA$5:$AA$1000,$U$5:$U$1000,ROW(),$V$5:$V$1000,"Sub"),$AA239)))</f>
        <v/>
      </c>
      <c r="AF239" s="62">
        <f>IF($V239="","",IF(AND(ISNUMBER($G239),$G239&lt;=IF($S239=MesCiclo,InicioCiclo,$S239+MOD(2-WEEKDAY($S239),7))+27),1,IF(N($W239)&gt;0,AVERAGEIFS($AB$5:$AB$1000,$U$5:$U$1000,ROW(),$V$5:$V$1000,"Sub"),$AB239)))</f>
        <v/>
      </c>
      <c r="AG239" s="62">
        <f>IF($V239&lt;&gt;"Macro","",IF(COUNTIFS($S$5:$S$1000,$S239,$V$5:$V$1000,"Macro",$H$5:$H$1000,"&gt;0")=0,1/COUNTIFS($S$5:$S$1000,$S239,$V$5:$V$1000,"Macro"),IF(AND(ISNUMBER($H239),N($H239)&gt;0),$H239,SUMIFS($H$5:$H$1000,$S$5:$S$1000,$S239,$V$5:$V$1000,"Macro")/COUNTIFS($S$5:$S$1000,$S239,$V$5:$V$1000,"Macro",$H$5:$H$1000,"&gt;0"))/(COUNTIFS($S$5:$S$1000,$S239,$V$5:$V$1000,"Macro")*SUMIFS($H$5:$H$1000,$S$5:$S$1000,$S239,$V$5:$V$1000,"Macro")/COUNTIFS($S$5:$S$1000,$S239,$V$5:$V$1000,"Macro",$H$5:$H$1000,"&gt;0"))))</f>
        <v/>
      </c>
      <c r="AH239" s="62" t="n"/>
      <c r="AI239" s="62" t="n"/>
      <c r="AJ239" s="62" t="n"/>
      <c r="AK239" s="62" t="n"/>
      <c r="AL239" s="62">
        <f>IF(LEFT($C239,11)="[Jefatura] ",IFERROR(MATCH("Riesgo Operacional|"&amp;MID($C239,12,500),rDname_ADM,0),0),"")</f>
        <v/>
      </c>
      <c r="AM239" s="62">
        <f>IF(N($AL239)&gt;0,INDEX(rIni_ADM,$AL239),IF(ISNUMBER($E239),$E239,""))</f>
        <v/>
      </c>
      <c r="AN239" s="62">
        <f>IF(N($AL239)&gt;0,INDEX(rLim_ADM,$AL239),IF(ISNUMBER($F239),$F239,""))</f>
        <v/>
      </c>
    </row>
    <row r="240">
      <c r="A240" s="56">
        <f>IF(NOT((COUNTA($B240:$D240)+COUNTA($G240:$L240)+COUNTA($Q240))&gt;0),"",IF($V240="Macro",COUNTIFS($V$5:$V240,"Macro",$S$5:$S240,$S240),IF(N($U240)=0,"?",COUNTIFS(INDEX($V$5:$V$1000,1):INDEX($V$5:$V$1000,$U240-4),"Macro",INDEX($S$5:$S$1000,1):INDEX($S$5:$S$1000,$U240-4),INDEX($S$5:$S$1000,$U240-4))&amp;"."&amp;COUNTIFS($U$5:$U240,$U240,$V$5:$V240,"Sub"))))</f>
        <v/>
      </c>
      <c r="B240" s="57" t="n"/>
      <c r="C240" s="58" t="n"/>
      <c r="D240" s="58" t="n"/>
      <c r="E240" s="59">
        <f>IF(N($AL240)&gt;0,INDEX(rIni_ADM,$AL240),"")</f>
        <v/>
      </c>
      <c r="F240" s="59">
        <f>IF(N($AL240)&gt;0,INDEX(rLim_ADM,$AL240),"")</f>
        <v/>
      </c>
      <c r="G240" s="59" t="n"/>
      <c r="H240" s="60" t="n"/>
      <c r="I240" s="60" t="n"/>
      <c r="J240" s="60" t="n"/>
      <c r="K240" s="60" t="n"/>
      <c r="L240" s="60" t="n"/>
      <c r="M240" s="61">
        <f>IF(NOT((COUNTA($B240:$D240)+COUNTA($G240:$L240)+COUNTA($Q240))&gt;0),"",IF($V240="Sub",IFERROR($X240/INDEX($W$5:$W$1000,$U240-4),""),IF(ISNUMBER($G240),1,IF(N($W240)&gt;0,AVERAGEIFS($X$5:$X$1000,$U$5:$U$1000,ROW(),$V$5:$V$1000,"Sub"),$X240))))</f>
        <v/>
      </c>
      <c r="N240" s="56">
        <f>IF(OR($M240="",$V240="Sub"),"",IF($M240&gt;=1,"Completado",IF($M240&gt;0,"En curso","Pendiente")))</f>
        <v/>
      </c>
      <c r="O240" s="56">
        <f>IF(OR(NOT((COUNTA($B240:$D240)+COUNTA($G240:$L240)+COUNTA($Q240))&gt;0),$V240="Sub"),"",IF(ISNUMBER($G240),IF(AND(ISNUMBER($AN240),$G240&gt;$AN240),"Cumplida con "&amp;($G240-$AN240)&amp;IF($G240-$AN240=1," día"," días")&amp;" de retraso","Cumplida"),IF(N($M240)&gt;=1,"Cumplida",IF(NOT(ISNUMBER($AN240)),"Sin fecha límite",IF($AN240&lt;FechaRef,"Vencida hace "&amp;(FechaRef-$AN240)&amp;IF(FechaRef-$AN240=1," día"," días"),IF($AN240=FechaRef,"Vence hoy",IF($AN240-FechaRef&lt;=DiasAlerta,"Vence en "&amp;($AN240-FechaRef)&amp;IF($AN240-FechaRef=1," día"," días"),"En plazo")))))))</f>
        <v/>
      </c>
      <c r="P240" s="62" t="n"/>
      <c r="Q240" s="58" t="n"/>
      <c r="R240" s="63">
        <f>IF(NOT((COUNTA($B240:$D240)+COUNTA($G240:$L240)+COUNTA($Q240))&gt;0),"",IF((IF($C240="","Falta el nombre de la actividad"&amp;" · ","")&amp;IF(AND($V240="Sub",N($U240)=0),"Subactividad sin macroactividad arriba"&amp;" · ","")&amp;IF($AM240="","Sin fecha de inicio"&amp;" · ","")&amp;IF($AN240="","Sin fecha límite"&amp;" · ","")&amp;IF(AND(LEFT($C240,11)="[Jefatura] ",N($AL240)=0),"No se encuentra en la hoja de la jefatura (elíjala de nuevo en la lista)"&amp;" · ","")&amp;IF(OR(AND($E240&lt;&gt;"",NOT(ISNUMBER($E240))),AND($F240&lt;&gt;"",NOT(ISNUMBER($F240))),AND($G240&lt;&gt;"",NOT(ISNUMBER($G240)))),"Fecha no válida"&amp;" · ","")&amp;IF(AND(ISNUMBER($AM240),ISNUMBER($AN240),$AM240&gt;$AN240),"Inicio posterior a fecha límite"&amp;" · ","")&amp;IF(AND($V240="Macro",$H240&lt;&gt;"",OR(NOT(ISNUMBER($H240)),$H240&lt;0,$H240&gt;1)),"Peso fuera de rango"&amp;" · ","")&amp;IF(AND($V240="Sub",$H240&lt;&gt;""),"Las subactividades no llevan peso (valen igual dentro de su macroactividad)"&amp;" · ","")&amp;IF(AND(N($W240)&gt;0,COUNT($I240:$L240)&gt;0),"Con subactividades: deje vacías las semanas (se calculan solas)"&amp;" · ","")&amp;IF((COUNTIF($I240:$L240,"&gt;1")+COUNTIF($I240:$L240,"&lt;0")+COUNTA($I240:$L240)-COUNT($I240:$L240))&gt;0,"Avance fuera de rango 0-100%"&amp;" · ","")&amp;IF(OR(AND($J240&lt;&gt;"",$J240&lt;$I240),AND($K240&lt;&gt;"",$K240&lt;MAX($I240:$J240)),AND($L240&lt;&gt;"",$L240&lt;MAX($I240:$K240))),"Avance semanal decreciente"&amp;" · ","")&amp;IF(AND(ISNUMBER($AN240),$AN240&lt;FechaRef,IF($V240="Sub",N($X240),N($M240))&lt;1),"Vencida"&amp;" · ","")&amp;IF(AND(ObsObligatoria="Sí",ISNUMBER($AN240),$AN240&lt;FechaRef,IF($V240="Sub",N($X240),N($M240))&lt;1,$Q240=""),"Vencida sin observación"&amp;" · ",""))="","✔ OK","⚠ "&amp;LEFT(IF($C240="","Falta el nombre de la actividad"&amp;" · ","")&amp;IF(AND($V240="Sub",N($U240)=0),"Subactividad sin macroactividad arriba"&amp;" · ","")&amp;IF($AM240="","Sin fecha de inicio"&amp;" · ","")&amp;IF($AN240="","Sin fecha límite"&amp;" · ","")&amp;IF(AND(LEFT($C240,11)="[Jefatura] ",N($AL240)=0),"No se encuentra en la hoja de la jefatura (elíjala de nuevo en la lista)"&amp;" · ","")&amp;IF(OR(AND($E240&lt;&gt;"",NOT(ISNUMBER($E240))),AND($F240&lt;&gt;"",NOT(ISNUMBER($F240))),AND($G240&lt;&gt;"",NOT(ISNUMBER($G240)))),"Fecha no válida"&amp;" · ","")&amp;IF(AND(ISNUMBER($AM240),ISNUMBER($AN240),$AM240&gt;$AN240),"Inicio posterior a fecha límite"&amp;" · ","")&amp;IF(AND($V240="Macro",$H240&lt;&gt;"",OR(NOT(ISNUMBER($H240)),$H240&lt;0,$H240&gt;1)),"Peso fuera de rango"&amp;" · ","")&amp;IF(AND($V240="Sub",$H240&lt;&gt;""),"Las subactividades no llevan peso (valen igual dentro de su macroactividad)"&amp;" · ","")&amp;IF(AND(N($W240)&gt;0,COUNT($I240:$L240)&gt;0),"Con subactividades: deje vacías las semanas (se calculan solas)"&amp;" · ","")&amp;IF((COUNTIF($I240:$L240,"&gt;1")+COUNTIF($I240:$L240,"&lt;0")+COUNTA($I240:$L240)-COUNT($I240:$L240))&gt;0,"Avance fuera de rango 0-100%"&amp;" · ","")&amp;IF(OR(AND($J240&lt;&gt;"",$J240&lt;$I240),AND($K240&lt;&gt;"",$K240&lt;MAX($I240:$J240)),AND($L240&lt;&gt;"",$L240&lt;MAX($I240:$K240))),"Avance semanal decreciente"&amp;" · ","")&amp;IF(AND(ISNUMBER($AN240),$AN240&lt;FechaRef,IF($V240="Sub",N($X240),N($M240))&lt;1),"Vencida"&amp;" · ","")&amp;IF(AND(ObsObligatoria="Sí",ISNUMBER($AN240),$AN240&lt;FechaRef,IF($V240="Sub",N($X240),N($M240))&lt;1,$Q240=""),"Vencida sin observación"&amp;" · ",""),LEN(IF($C240="","Falta el nombre de la actividad"&amp;" · ","")&amp;IF(AND($V240="Sub",N($U240)=0),"Subactividad sin macroactividad arriba"&amp;" · ","")&amp;IF($AM240="","Sin fecha de inicio"&amp;" · ","")&amp;IF($AN240="","Sin fecha límite"&amp;" · ","")&amp;IF(AND(LEFT($C240,11)="[Jefatura] ",N($AL240)=0),"No se encuentra en la hoja de la jefatura (elíjala de nuevo en la lista)"&amp;" · ","")&amp;IF(OR(AND($E240&lt;&gt;"",NOT(ISNUMBER($E240))),AND($F240&lt;&gt;"",NOT(ISNUMBER($F240))),AND($G240&lt;&gt;"",NOT(ISNUMBER($G240)))),"Fecha no válida"&amp;" · ","")&amp;IF(AND(ISNUMBER($AM240),ISNUMBER($AN240),$AM240&gt;$AN240),"Inicio posterior a fecha límite"&amp;" · ","")&amp;IF(AND($V240="Macro",$H240&lt;&gt;"",OR(NOT(ISNUMBER($H240)),$H240&lt;0,$H240&gt;1)),"Peso fuera de rango"&amp;" · ","")&amp;IF(AND($V240="Sub",$H240&lt;&gt;""),"Las subactividades no llevan peso (valen igual dentro de su macroactividad)"&amp;" · ","")&amp;IF(AND(N($W240)&gt;0,COUNT($I240:$L240)&gt;0),"Con subactividades: deje vacías las semanas (se calculan solas)"&amp;" · ","")&amp;IF((COUNTIF($I240:$L240,"&gt;1")+COUNTIF($I240:$L240,"&lt;0")+COUNTA($I240:$L240)-COUNT($I240:$L240))&gt;0,"Avance fuera de rango 0-100%"&amp;" · ","")&amp;IF(OR(AND($J240&lt;&gt;"",$J240&lt;$I240),AND($K240&lt;&gt;"",$K240&lt;MAX($I240:$J240)),AND($L240&lt;&gt;"",$L240&lt;MAX($I240:$K240))),"Avance semanal decreciente"&amp;" · ","")&amp;IF(AND(ISNUMBER($AN240),$AN240&lt;FechaRef,IF($V240="Sub",N($X240),N($M240))&lt;1),"Vencida"&amp;" · ","")&amp;IF(AND(ObsObligatoria="Sí",ISNUMBER($AN240),$AN240&lt;FechaRef,IF($V240="Sub",N($X240),N($M240))&lt;1,$Q240=""),"Vencida sin observación"&amp;" · ",""))-3)))</f>
        <v/>
      </c>
      <c r="S240" s="64">
        <f>IF(NOT((COUNTA($B240:$D240)+COUNTA($G240:$L240)+COUNTA($Q240))&gt;0),"",IF(AND($V240="Sub",N($U240)&gt;0),IF(ISNUMBER(INDEX($AM$5:$AM$1000,$U240-4)),DATE(YEAR(INDEX($AM$5:$AM$1000,$U240-4)),MONTH(INDEX($AM$5:$AM$1000,$U240-4)),1),IF(ISNUMBER(INDEX($AN$5:$AN$1000,$U240-4)),DATE(YEAR(INDEX($AN$5:$AN$1000,$U240-4)),MONTH(INDEX($AN$5:$AN$1000,$U240-4)),1),MesCiclo)),IF(ISNUMBER($AM240),DATE(YEAR($AM240),MONTH($AM240),1),IF(ISNUMBER($AN240),DATE(YEAR($AN240),MONTH($AN240),1),MesCiclo))))</f>
        <v/>
      </c>
      <c r="T240" s="62">
        <f>IF(OR($S240="",$S240&lt;&gt;MesCiclo,$V240&lt;&gt;"Macro"),"",COUNTIFS($S$5:$S240,MesCiclo,$V$5:$V240,"Macro"))</f>
        <v/>
      </c>
      <c r="U240" s="62">
        <f>IF($V240="","",IF($V240="Macro",ROW(),IFERROR(LOOKUP(2,1/($V$5:$V240="Macro"),ROW($V$5:$V240)),0)))</f>
        <v/>
      </c>
      <c r="V240" s="62">
        <f>IF(NOT((COUNTA($B240:$D240)+COUNTA($G240:$L240)+COUNTA($Q240))&gt;0),"",IF($B240="Subactividad","Sub","Macro"))</f>
        <v/>
      </c>
      <c r="W240" s="62">
        <f>IF($V240="Macro",COUNTIFS($U$5:$U$1000,ROW(),$V$5:$V$1000,"Sub"),"")</f>
        <v/>
      </c>
      <c r="X240" s="62">
        <f>IF($V240="","",IF(ISNUMBER($G240),1,IFERROR(LOOKUP(2,1/($I240:$L240&lt;&gt;""),$I240:$L240),0)))</f>
        <v/>
      </c>
      <c r="Y240" s="62">
        <f>IF($V240="","",IF(AND(ISNUMBER($G240),$G240&lt;=IF($S240=MesCiclo,InicioCiclo,$S240+MOD(2-WEEKDAY($S240),7))+6),1,IF(ISNUMBER($I240),$I240,0)))</f>
        <v/>
      </c>
      <c r="Z240" s="62">
        <f>IF($V240="","",IF(AND(ISNUMBER($G240),$G240&lt;=IF($S240=MesCiclo,InicioCiclo,$S240+MOD(2-WEEKDAY($S240),7))+13),1,IF(ISNUMBER($J240),$J240,$Y240)))</f>
        <v/>
      </c>
      <c r="AA240" s="62">
        <f>IF($V240="","",IF(AND(ISNUMBER($G240),$G240&lt;=IF($S240=MesCiclo,InicioCiclo,$S240+MOD(2-WEEKDAY($S240),7))+20),1,IF(ISNUMBER($K240),$K240,$Z240)))</f>
        <v/>
      </c>
      <c r="AB240" s="62">
        <f>IF($V240="","",IF(AND(ISNUMBER($G240),$G240&lt;=IF($S240=MesCiclo,InicioCiclo,$S240+MOD(2-WEEKDAY($S240),7))+27),1,IF(ISNUMBER($L240),$L240,$AA240)))</f>
        <v/>
      </c>
      <c r="AC240" s="62">
        <f>IF($V240="","",IF(AND(ISNUMBER($G240),$G240&lt;=IF($S240=MesCiclo,InicioCiclo,$S240+MOD(2-WEEKDAY($S240),7))+6),1,IF(N($W240)&gt;0,AVERAGEIFS($Y$5:$Y$1000,$U$5:$U$1000,ROW(),$V$5:$V$1000,"Sub"),$Y240)))</f>
        <v/>
      </c>
      <c r="AD240" s="62">
        <f>IF($V240="","",IF(AND(ISNUMBER($G240),$G240&lt;=IF($S240=MesCiclo,InicioCiclo,$S240+MOD(2-WEEKDAY($S240),7))+13),1,IF(N($W240)&gt;0,AVERAGEIFS($Z$5:$Z$1000,$U$5:$U$1000,ROW(),$V$5:$V$1000,"Sub"),$Z240)))</f>
        <v/>
      </c>
      <c r="AE240" s="62">
        <f>IF($V240="","",IF(AND(ISNUMBER($G240),$G240&lt;=IF($S240=MesCiclo,InicioCiclo,$S240+MOD(2-WEEKDAY($S240),7))+20),1,IF(N($W240)&gt;0,AVERAGEIFS($AA$5:$AA$1000,$U$5:$U$1000,ROW(),$V$5:$V$1000,"Sub"),$AA240)))</f>
        <v/>
      </c>
      <c r="AF240" s="62">
        <f>IF($V240="","",IF(AND(ISNUMBER($G240),$G240&lt;=IF($S240=MesCiclo,InicioCiclo,$S240+MOD(2-WEEKDAY($S240),7))+27),1,IF(N($W240)&gt;0,AVERAGEIFS($AB$5:$AB$1000,$U$5:$U$1000,ROW(),$V$5:$V$1000,"Sub"),$AB240)))</f>
        <v/>
      </c>
      <c r="AG240" s="62">
        <f>IF($V240&lt;&gt;"Macro","",IF(COUNTIFS($S$5:$S$1000,$S240,$V$5:$V$1000,"Macro",$H$5:$H$1000,"&gt;0")=0,1/COUNTIFS($S$5:$S$1000,$S240,$V$5:$V$1000,"Macro"),IF(AND(ISNUMBER($H240),N($H240)&gt;0),$H240,SUMIFS($H$5:$H$1000,$S$5:$S$1000,$S240,$V$5:$V$1000,"Macro")/COUNTIFS($S$5:$S$1000,$S240,$V$5:$V$1000,"Macro",$H$5:$H$1000,"&gt;0"))/(COUNTIFS($S$5:$S$1000,$S240,$V$5:$V$1000,"Macro")*SUMIFS($H$5:$H$1000,$S$5:$S$1000,$S240,$V$5:$V$1000,"Macro")/COUNTIFS($S$5:$S$1000,$S240,$V$5:$V$1000,"Macro",$H$5:$H$1000,"&gt;0"))))</f>
        <v/>
      </c>
      <c r="AH240" s="62" t="n"/>
      <c r="AI240" s="62" t="n"/>
      <c r="AJ240" s="62" t="n"/>
      <c r="AK240" s="62" t="n"/>
      <c r="AL240" s="62">
        <f>IF(LEFT($C240,11)="[Jefatura] ",IFERROR(MATCH("Riesgo Operacional|"&amp;MID($C240,12,500),rDname_ADM,0),0),"")</f>
        <v/>
      </c>
      <c r="AM240" s="62">
        <f>IF(N($AL240)&gt;0,INDEX(rIni_ADM,$AL240),IF(ISNUMBER($E240),$E240,""))</f>
        <v/>
      </c>
      <c r="AN240" s="62">
        <f>IF(N($AL240)&gt;0,INDEX(rLim_ADM,$AL240),IF(ISNUMBER($F240),$F240,""))</f>
        <v/>
      </c>
    </row>
    <row r="241">
      <c r="A241" s="56">
        <f>IF(NOT((COUNTA($B241:$D241)+COUNTA($G241:$L241)+COUNTA($Q241))&gt;0),"",IF($V241="Macro",COUNTIFS($V$5:$V241,"Macro",$S$5:$S241,$S241),IF(N($U241)=0,"?",COUNTIFS(INDEX($V$5:$V$1000,1):INDEX($V$5:$V$1000,$U241-4),"Macro",INDEX($S$5:$S$1000,1):INDEX($S$5:$S$1000,$U241-4),INDEX($S$5:$S$1000,$U241-4))&amp;"."&amp;COUNTIFS($U$5:$U241,$U241,$V$5:$V241,"Sub"))))</f>
        <v/>
      </c>
      <c r="B241" s="57" t="n"/>
      <c r="C241" s="58" t="n"/>
      <c r="D241" s="58" t="n"/>
      <c r="E241" s="59">
        <f>IF(N($AL241)&gt;0,INDEX(rIni_ADM,$AL241),"")</f>
        <v/>
      </c>
      <c r="F241" s="59">
        <f>IF(N($AL241)&gt;0,INDEX(rLim_ADM,$AL241),"")</f>
        <v/>
      </c>
      <c r="G241" s="59" t="n"/>
      <c r="H241" s="60" t="n"/>
      <c r="I241" s="60" t="n"/>
      <c r="J241" s="60" t="n"/>
      <c r="K241" s="60" t="n"/>
      <c r="L241" s="60" t="n"/>
      <c r="M241" s="61">
        <f>IF(NOT((COUNTA($B241:$D241)+COUNTA($G241:$L241)+COUNTA($Q241))&gt;0),"",IF($V241="Sub",IFERROR($X241/INDEX($W$5:$W$1000,$U241-4),""),IF(ISNUMBER($G241),1,IF(N($W241)&gt;0,AVERAGEIFS($X$5:$X$1000,$U$5:$U$1000,ROW(),$V$5:$V$1000,"Sub"),$X241))))</f>
        <v/>
      </c>
      <c r="N241" s="56">
        <f>IF(OR($M241="",$V241="Sub"),"",IF($M241&gt;=1,"Completado",IF($M241&gt;0,"En curso","Pendiente")))</f>
        <v/>
      </c>
      <c r="O241" s="56">
        <f>IF(OR(NOT((COUNTA($B241:$D241)+COUNTA($G241:$L241)+COUNTA($Q241))&gt;0),$V241="Sub"),"",IF(ISNUMBER($G241),IF(AND(ISNUMBER($AN241),$G241&gt;$AN241),"Cumplida con "&amp;($G241-$AN241)&amp;IF($G241-$AN241=1," día"," días")&amp;" de retraso","Cumplida"),IF(N($M241)&gt;=1,"Cumplida",IF(NOT(ISNUMBER($AN241)),"Sin fecha límite",IF($AN241&lt;FechaRef,"Vencida hace "&amp;(FechaRef-$AN241)&amp;IF(FechaRef-$AN241=1," día"," días"),IF($AN241=FechaRef,"Vence hoy",IF($AN241-FechaRef&lt;=DiasAlerta,"Vence en "&amp;($AN241-FechaRef)&amp;IF($AN241-FechaRef=1," día"," días"),"En plazo")))))))</f>
        <v/>
      </c>
      <c r="P241" s="62" t="n"/>
      <c r="Q241" s="58" t="n"/>
      <c r="R241" s="63">
        <f>IF(NOT((COUNTA($B241:$D241)+COUNTA($G241:$L241)+COUNTA($Q241))&gt;0),"",IF((IF($C241="","Falta el nombre de la actividad"&amp;" · ","")&amp;IF(AND($V241="Sub",N($U241)=0),"Subactividad sin macroactividad arriba"&amp;" · ","")&amp;IF($AM241="","Sin fecha de inicio"&amp;" · ","")&amp;IF($AN241="","Sin fecha límite"&amp;" · ","")&amp;IF(AND(LEFT($C241,11)="[Jefatura] ",N($AL241)=0),"No se encuentra en la hoja de la jefatura (elíjala de nuevo en la lista)"&amp;" · ","")&amp;IF(OR(AND($E241&lt;&gt;"",NOT(ISNUMBER($E241))),AND($F241&lt;&gt;"",NOT(ISNUMBER($F241))),AND($G241&lt;&gt;"",NOT(ISNUMBER($G241)))),"Fecha no válida"&amp;" · ","")&amp;IF(AND(ISNUMBER($AM241),ISNUMBER($AN241),$AM241&gt;$AN241),"Inicio posterior a fecha límite"&amp;" · ","")&amp;IF(AND($V241="Macro",$H241&lt;&gt;"",OR(NOT(ISNUMBER($H241)),$H241&lt;0,$H241&gt;1)),"Peso fuera de rango"&amp;" · ","")&amp;IF(AND($V241="Sub",$H241&lt;&gt;""),"Las subactividades no llevan peso (valen igual dentro de su macroactividad)"&amp;" · ","")&amp;IF(AND(N($W241)&gt;0,COUNT($I241:$L241)&gt;0),"Con subactividades: deje vacías las semanas (se calculan solas)"&amp;" · ","")&amp;IF((COUNTIF($I241:$L241,"&gt;1")+COUNTIF($I241:$L241,"&lt;0")+COUNTA($I241:$L241)-COUNT($I241:$L241))&gt;0,"Avance fuera de rango 0-100%"&amp;" · ","")&amp;IF(OR(AND($J241&lt;&gt;"",$J241&lt;$I241),AND($K241&lt;&gt;"",$K241&lt;MAX($I241:$J241)),AND($L241&lt;&gt;"",$L241&lt;MAX($I241:$K241))),"Avance semanal decreciente"&amp;" · ","")&amp;IF(AND(ISNUMBER($AN241),$AN241&lt;FechaRef,IF($V241="Sub",N($X241),N($M241))&lt;1),"Vencida"&amp;" · ","")&amp;IF(AND(ObsObligatoria="Sí",ISNUMBER($AN241),$AN241&lt;FechaRef,IF($V241="Sub",N($X241),N($M241))&lt;1,$Q241=""),"Vencida sin observación"&amp;" · ",""))="","✔ OK","⚠ "&amp;LEFT(IF($C241="","Falta el nombre de la actividad"&amp;" · ","")&amp;IF(AND($V241="Sub",N($U241)=0),"Subactividad sin macroactividad arriba"&amp;" · ","")&amp;IF($AM241="","Sin fecha de inicio"&amp;" · ","")&amp;IF($AN241="","Sin fecha límite"&amp;" · ","")&amp;IF(AND(LEFT($C241,11)="[Jefatura] ",N($AL241)=0),"No se encuentra en la hoja de la jefatura (elíjala de nuevo en la lista)"&amp;" · ","")&amp;IF(OR(AND($E241&lt;&gt;"",NOT(ISNUMBER($E241))),AND($F241&lt;&gt;"",NOT(ISNUMBER($F241))),AND($G241&lt;&gt;"",NOT(ISNUMBER($G241)))),"Fecha no válida"&amp;" · ","")&amp;IF(AND(ISNUMBER($AM241),ISNUMBER($AN241),$AM241&gt;$AN241),"Inicio posterior a fecha límite"&amp;" · ","")&amp;IF(AND($V241="Macro",$H241&lt;&gt;"",OR(NOT(ISNUMBER($H241)),$H241&lt;0,$H241&gt;1)),"Peso fuera de rango"&amp;" · ","")&amp;IF(AND($V241="Sub",$H241&lt;&gt;""),"Las subactividades no llevan peso (valen igual dentro de su macroactividad)"&amp;" · ","")&amp;IF(AND(N($W241)&gt;0,COUNT($I241:$L241)&gt;0),"Con subactividades: deje vacías las semanas (se calculan solas)"&amp;" · ","")&amp;IF((COUNTIF($I241:$L241,"&gt;1")+COUNTIF($I241:$L241,"&lt;0")+COUNTA($I241:$L241)-COUNT($I241:$L241))&gt;0,"Avance fuera de rango 0-100%"&amp;" · ","")&amp;IF(OR(AND($J241&lt;&gt;"",$J241&lt;$I241),AND($K241&lt;&gt;"",$K241&lt;MAX($I241:$J241)),AND($L241&lt;&gt;"",$L241&lt;MAX($I241:$K241))),"Avance semanal decreciente"&amp;" · ","")&amp;IF(AND(ISNUMBER($AN241),$AN241&lt;FechaRef,IF($V241="Sub",N($X241),N($M241))&lt;1),"Vencida"&amp;" · ","")&amp;IF(AND(ObsObligatoria="Sí",ISNUMBER($AN241),$AN241&lt;FechaRef,IF($V241="Sub",N($X241),N($M241))&lt;1,$Q241=""),"Vencida sin observación"&amp;" · ",""),LEN(IF($C241="","Falta el nombre de la actividad"&amp;" · ","")&amp;IF(AND($V241="Sub",N($U241)=0),"Subactividad sin macroactividad arriba"&amp;" · ","")&amp;IF($AM241="","Sin fecha de inicio"&amp;" · ","")&amp;IF($AN241="","Sin fecha límite"&amp;" · ","")&amp;IF(AND(LEFT($C241,11)="[Jefatura] ",N($AL241)=0),"No se encuentra en la hoja de la jefatura (elíjala de nuevo en la lista)"&amp;" · ","")&amp;IF(OR(AND($E241&lt;&gt;"",NOT(ISNUMBER($E241))),AND($F241&lt;&gt;"",NOT(ISNUMBER($F241))),AND($G241&lt;&gt;"",NOT(ISNUMBER($G241)))),"Fecha no válida"&amp;" · ","")&amp;IF(AND(ISNUMBER($AM241),ISNUMBER($AN241),$AM241&gt;$AN241),"Inicio posterior a fecha límite"&amp;" · ","")&amp;IF(AND($V241="Macro",$H241&lt;&gt;"",OR(NOT(ISNUMBER($H241)),$H241&lt;0,$H241&gt;1)),"Peso fuera de rango"&amp;" · ","")&amp;IF(AND($V241="Sub",$H241&lt;&gt;""),"Las subactividades no llevan peso (valen igual dentro de su macroactividad)"&amp;" · ","")&amp;IF(AND(N($W241)&gt;0,COUNT($I241:$L241)&gt;0),"Con subactividades: deje vacías las semanas (se calculan solas)"&amp;" · ","")&amp;IF((COUNTIF($I241:$L241,"&gt;1")+COUNTIF($I241:$L241,"&lt;0")+COUNTA($I241:$L241)-COUNT($I241:$L241))&gt;0,"Avance fuera de rango 0-100%"&amp;" · ","")&amp;IF(OR(AND($J241&lt;&gt;"",$J241&lt;$I241),AND($K241&lt;&gt;"",$K241&lt;MAX($I241:$J241)),AND($L241&lt;&gt;"",$L241&lt;MAX($I241:$K241))),"Avance semanal decreciente"&amp;" · ","")&amp;IF(AND(ISNUMBER($AN241),$AN241&lt;FechaRef,IF($V241="Sub",N($X241),N($M241))&lt;1),"Vencida"&amp;" · ","")&amp;IF(AND(ObsObligatoria="Sí",ISNUMBER($AN241),$AN241&lt;FechaRef,IF($V241="Sub",N($X241),N($M241))&lt;1,$Q241=""),"Vencida sin observación"&amp;" · ",""))-3)))</f>
        <v/>
      </c>
      <c r="S241" s="64">
        <f>IF(NOT((COUNTA($B241:$D241)+COUNTA($G241:$L241)+COUNTA($Q241))&gt;0),"",IF(AND($V241="Sub",N($U241)&gt;0),IF(ISNUMBER(INDEX($AM$5:$AM$1000,$U241-4)),DATE(YEAR(INDEX($AM$5:$AM$1000,$U241-4)),MONTH(INDEX($AM$5:$AM$1000,$U241-4)),1),IF(ISNUMBER(INDEX($AN$5:$AN$1000,$U241-4)),DATE(YEAR(INDEX($AN$5:$AN$1000,$U241-4)),MONTH(INDEX($AN$5:$AN$1000,$U241-4)),1),MesCiclo)),IF(ISNUMBER($AM241),DATE(YEAR($AM241),MONTH($AM241),1),IF(ISNUMBER($AN241),DATE(YEAR($AN241),MONTH($AN241),1),MesCiclo))))</f>
        <v/>
      </c>
      <c r="T241" s="62">
        <f>IF(OR($S241="",$S241&lt;&gt;MesCiclo,$V241&lt;&gt;"Macro"),"",COUNTIFS($S$5:$S241,MesCiclo,$V$5:$V241,"Macro"))</f>
        <v/>
      </c>
      <c r="U241" s="62">
        <f>IF($V241="","",IF($V241="Macro",ROW(),IFERROR(LOOKUP(2,1/($V$5:$V241="Macro"),ROW($V$5:$V241)),0)))</f>
        <v/>
      </c>
      <c r="V241" s="62">
        <f>IF(NOT((COUNTA($B241:$D241)+COUNTA($G241:$L241)+COUNTA($Q241))&gt;0),"",IF($B241="Subactividad","Sub","Macro"))</f>
        <v/>
      </c>
      <c r="W241" s="62">
        <f>IF($V241="Macro",COUNTIFS($U$5:$U$1000,ROW(),$V$5:$V$1000,"Sub"),"")</f>
        <v/>
      </c>
      <c r="X241" s="62">
        <f>IF($V241="","",IF(ISNUMBER($G241),1,IFERROR(LOOKUP(2,1/($I241:$L241&lt;&gt;""),$I241:$L241),0)))</f>
        <v/>
      </c>
      <c r="Y241" s="62">
        <f>IF($V241="","",IF(AND(ISNUMBER($G241),$G241&lt;=IF($S241=MesCiclo,InicioCiclo,$S241+MOD(2-WEEKDAY($S241),7))+6),1,IF(ISNUMBER($I241),$I241,0)))</f>
        <v/>
      </c>
      <c r="Z241" s="62">
        <f>IF($V241="","",IF(AND(ISNUMBER($G241),$G241&lt;=IF($S241=MesCiclo,InicioCiclo,$S241+MOD(2-WEEKDAY($S241),7))+13),1,IF(ISNUMBER($J241),$J241,$Y241)))</f>
        <v/>
      </c>
      <c r="AA241" s="62">
        <f>IF($V241="","",IF(AND(ISNUMBER($G241),$G241&lt;=IF($S241=MesCiclo,InicioCiclo,$S241+MOD(2-WEEKDAY($S241),7))+20),1,IF(ISNUMBER($K241),$K241,$Z241)))</f>
        <v/>
      </c>
      <c r="AB241" s="62">
        <f>IF($V241="","",IF(AND(ISNUMBER($G241),$G241&lt;=IF($S241=MesCiclo,InicioCiclo,$S241+MOD(2-WEEKDAY($S241),7))+27),1,IF(ISNUMBER($L241),$L241,$AA241)))</f>
        <v/>
      </c>
      <c r="AC241" s="62">
        <f>IF($V241="","",IF(AND(ISNUMBER($G241),$G241&lt;=IF($S241=MesCiclo,InicioCiclo,$S241+MOD(2-WEEKDAY($S241),7))+6),1,IF(N($W241)&gt;0,AVERAGEIFS($Y$5:$Y$1000,$U$5:$U$1000,ROW(),$V$5:$V$1000,"Sub"),$Y241)))</f>
        <v/>
      </c>
      <c r="AD241" s="62">
        <f>IF($V241="","",IF(AND(ISNUMBER($G241),$G241&lt;=IF($S241=MesCiclo,InicioCiclo,$S241+MOD(2-WEEKDAY($S241),7))+13),1,IF(N($W241)&gt;0,AVERAGEIFS($Z$5:$Z$1000,$U$5:$U$1000,ROW(),$V$5:$V$1000,"Sub"),$Z241)))</f>
        <v/>
      </c>
      <c r="AE241" s="62">
        <f>IF($V241="","",IF(AND(ISNUMBER($G241),$G241&lt;=IF($S241=MesCiclo,InicioCiclo,$S241+MOD(2-WEEKDAY($S241),7))+20),1,IF(N($W241)&gt;0,AVERAGEIFS($AA$5:$AA$1000,$U$5:$U$1000,ROW(),$V$5:$V$1000,"Sub"),$AA241)))</f>
        <v/>
      </c>
      <c r="AF241" s="62">
        <f>IF($V241="","",IF(AND(ISNUMBER($G241),$G241&lt;=IF($S241=MesCiclo,InicioCiclo,$S241+MOD(2-WEEKDAY($S241),7))+27),1,IF(N($W241)&gt;0,AVERAGEIFS($AB$5:$AB$1000,$U$5:$U$1000,ROW(),$V$5:$V$1000,"Sub"),$AB241)))</f>
        <v/>
      </c>
      <c r="AG241" s="62">
        <f>IF($V241&lt;&gt;"Macro","",IF(COUNTIFS($S$5:$S$1000,$S241,$V$5:$V$1000,"Macro",$H$5:$H$1000,"&gt;0")=0,1/COUNTIFS($S$5:$S$1000,$S241,$V$5:$V$1000,"Macro"),IF(AND(ISNUMBER($H241),N($H241)&gt;0),$H241,SUMIFS($H$5:$H$1000,$S$5:$S$1000,$S241,$V$5:$V$1000,"Macro")/COUNTIFS($S$5:$S$1000,$S241,$V$5:$V$1000,"Macro",$H$5:$H$1000,"&gt;0"))/(COUNTIFS($S$5:$S$1000,$S241,$V$5:$V$1000,"Macro")*SUMIFS($H$5:$H$1000,$S$5:$S$1000,$S241,$V$5:$V$1000,"Macro")/COUNTIFS($S$5:$S$1000,$S241,$V$5:$V$1000,"Macro",$H$5:$H$1000,"&gt;0"))))</f>
        <v/>
      </c>
      <c r="AH241" s="62" t="n"/>
      <c r="AI241" s="62" t="n"/>
      <c r="AJ241" s="62" t="n"/>
      <c r="AK241" s="62" t="n"/>
      <c r="AL241" s="62">
        <f>IF(LEFT($C241,11)="[Jefatura] ",IFERROR(MATCH("Riesgo Operacional|"&amp;MID($C241,12,500),rDname_ADM,0),0),"")</f>
        <v/>
      </c>
      <c r="AM241" s="62">
        <f>IF(N($AL241)&gt;0,INDEX(rIni_ADM,$AL241),IF(ISNUMBER($E241),$E241,""))</f>
        <v/>
      </c>
      <c r="AN241" s="62">
        <f>IF(N($AL241)&gt;0,INDEX(rLim_ADM,$AL241),IF(ISNUMBER($F241),$F241,""))</f>
        <v/>
      </c>
    </row>
    <row r="242">
      <c r="A242" s="56">
        <f>IF(NOT((COUNTA($B242:$D242)+COUNTA($G242:$L242)+COUNTA($Q242))&gt;0),"",IF($V242="Macro",COUNTIFS($V$5:$V242,"Macro",$S$5:$S242,$S242),IF(N($U242)=0,"?",COUNTIFS(INDEX($V$5:$V$1000,1):INDEX($V$5:$V$1000,$U242-4),"Macro",INDEX($S$5:$S$1000,1):INDEX($S$5:$S$1000,$U242-4),INDEX($S$5:$S$1000,$U242-4))&amp;"."&amp;COUNTIFS($U$5:$U242,$U242,$V$5:$V242,"Sub"))))</f>
        <v/>
      </c>
      <c r="B242" s="57" t="n"/>
      <c r="C242" s="58" t="n"/>
      <c r="D242" s="58" t="n"/>
      <c r="E242" s="59">
        <f>IF(N($AL242)&gt;0,INDEX(rIni_ADM,$AL242),"")</f>
        <v/>
      </c>
      <c r="F242" s="59">
        <f>IF(N($AL242)&gt;0,INDEX(rLim_ADM,$AL242),"")</f>
        <v/>
      </c>
      <c r="G242" s="59" t="n"/>
      <c r="H242" s="60" t="n"/>
      <c r="I242" s="60" t="n"/>
      <c r="J242" s="60" t="n"/>
      <c r="K242" s="60" t="n"/>
      <c r="L242" s="60" t="n"/>
      <c r="M242" s="61">
        <f>IF(NOT((COUNTA($B242:$D242)+COUNTA($G242:$L242)+COUNTA($Q242))&gt;0),"",IF($V242="Sub",IFERROR($X242/INDEX($W$5:$W$1000,$U242-4),""),IF(ISNUMBER($G242),1,IF(N($W242)&gt;0,AVERAGEIFS($X$5:$X$1000,$U$5:$U$1000,ROW(),$V$5:$V$1000,"Sub"),$X242))))</f>
        <v/>
      </c>
      <c r="N242" s="56">
        <f>IF(OR($M242="",$V242="Sub"),"",IF($M242&gt;=1,"Completado",IF($M242&gt;0,"En curso","Pendiente")))</f>
        <v/>
      </c>
      <c r="O242" s="56">
        <f>IF(OR(NOT((COUNTA($B242:$D242)+COUNTA($G242:$L242)+COUNTA($Q242))&gt;0),$V242="Sub"),"",IF(ISNUMBER($G242),IF(AND(ISNUMBER($AN242),$G242&gt;$AN242),"Cumplida con "&amp;($G242-$AN242)&amp;IF($G242-$AN242=1," día"," días")&amp;" de retraso","Cumplida"),IF(N($M242)&gt;=1,"Cumplida",IF(NOT(ISNUMBER($AN242)),"Sin fecha límite",IF($AN242&lt;FechaRef,"Vencida hace "&amp;(FechaRef-$AN242)&amp;IF(FechaRef-$AN242=1," día"," días"),IF($AN242=FechaRef,"Vence hoy",IF($AN242-FechaRef&lt;=DiasAlerta,"Vence en "&amp;($AN242-FechaRef)&amp;IF($AN242-FechaRef=1," día"," días"),"En plazo")))))))</f>
        <v/>
      </c>
      <c r="P242" s="62" t="n"/>
      <c r="Q242" s="58" t="n"/>
      <c r="R242" s="63">
        <f>IF(NOT((COUNTA($B242:$D242)+COUNTA($G242:$L242)+COUNTA($Q242))&gt;0),"",IF((IF($C242="","Falta el nombre de la actividad"&amp;" · ","")&amp;IF(AND($V242="Sub",N($U242)=0),"Subactividad sin macroactividad arriba"&amp;" · ","")&amp;IF($AM242="","Sin fecha de inicio"&amp;" · ","")&amp;IF($AN242="","Sin fecha límite"&amp;" · ","")&amp;IF(AND(LEFT($C242,11)="[Jefatura] ",N($AL242)=0),"No se encuentra en la hoja de la jefatura (elíjala de nuevo en la lista)"&amp;" · ","")&amp;IF(OR(AND($E242&lt;&gt;"",NOT(ISNUMBER($E242))),AND($F242&lt;&gt;"",NOT(ISNUMBER($F242))),AND($G242&lt;&gt;"",NOT(ISNUMBER($G242)))),"Fecha no válida"&amp;" · ","")&amp;IF(AND(ISNUMBER($AM242),ISNUMBER($AN242),$AM242&gt;$AN242),"Inicio posterior a fecha límite"&amp;" · ","")&amp;IF(AND($V242="Macro",$H242&lt;&gt;"",OR(NOT(ISNUMBER($H242)),$H242&lt;0,$H242&gt;1)),"Peso fuera de rango"&amp;" · ","")&amp;IF(AND($V242="Sub",$H242&lt;&gt;""),"Las subactividades no llevan peso (valen igual dentro de su macroactividad)"&amp;" · ","")&amp;IF(AND(N($W242)&gt;0,COUNT($I242:$L242)&gt;0),"Con subactividades: deje vacías las semanas (se calculan solas)"&amp;" · ","")&amp;IF((COUNTIF($I242:$L242,"&gt;1")+COUNTIF($I242:$L242,"&lt;0")+COUNTA($I242:$L242)-COUNT($I242:$L242))&gt;0,"Avance fuera de rango 0-100%"&amp;" · ","")&amp;IF(OR(AND($J242&lt;&gt;"",$J242&lt;$I242),AND($K242&lt;&gt;"",$K242&lt;MAX($I242:$J242)),AND($L242&lt;&gt;"",$L242&lt;MAX($I242:$K242))),"Avance semanal decreciente"&amp;" · ","")&amp;IF(AND(ISNUMBER($AN242),$AN242&lt;FechaRef,IF($V242="Sub",N($X242),N($M242))&lt;1),"Vencida"&amp;" · ","")&amp;IF(AND(ObsObligatoria="Sí",ISNUMBER($AN242),$AN242&lt;FechaRef,IF($V242="Sub",N($X242),N($M242))&lt;1,$Q242=""),"Vencida sin observación"&amp;" · ",""))="","✔ OK","⚠ "&amp;LEFT(IF($C242="","Falta el nombre de la actividad"&amp;" · ","")&amp;IF(AND($V242="Sub",N($U242)=0),"Subactividad sin macroactividad arriba"&amp;" · ","")&amp;IF($AM242="","Sin fecha de inicio"&amp;" · ","")&amp;IF($AN242="","Sin fecha límite"&amp;" · ","")&amp;IF(AND(LEFT($C242,11)="[Jefatura] ",N($AL242)=0),"No se encuentra en la hoja de la jefatura (elíjala de nuevo en la lista)"&amp;" · ","")&amp;IF(OR(AND($E242&lt;&gt;"",NOT(ISNUMBER($E242))),AND($F242&lt;&gt;"",NOT(ISNUMBER($F242))),AND($G242&lt;&gt;"",NOT(ISNUMBER($G242)))),"Fecha no válida"&amp;" · ","")&amp;IF(AND(ISNUMBER($AM242),ISNUMBER($AN242),$AM242&gt;$AN242),"Inicio posterior a fecha límite"&amp;" · ","")&amp;IF(AND($V242="Macro",$H242&lt;&gt;"",OR(NOT(ISNUMBER($H242)),$H242&lt;0,$H242&gt;1)),"Peso fuera de rango"&amp;" · ","")&amp;IF(AND($V242="Sub",$H242&lt;&gt;""),"Las subactividades no llevan peso (valen igual dentro de su macroactividad)"&amp;" · ","")&amp;IF(AND(N($W242)&gt;0,COUNT($I242:$L242)&gt;0),"Con subactividades: deje vacías las semanas (se calculan solas)"&amp;" · ","")&amp;IF((COUNTIF($I242:$L242,"&gt;1")+COUNTIF($I242:$L242,"&lt;0")+COUNTA($I242:$L242)-COUNT($I242:$L242))&gt;0,"Avance fuera de rango 0-100%"&amp;" · ","")&amp;IF(OR(AND($J242&lt;&gt;"",$J242&lt;$I242),AND($K242&lt;&gt;"",$K242&lt;MAX($I242:$J242)),AND($L242&lt;&gt;"",$L242&lt;MAX($I242:$K242))),"Avance semanal decreciente"&amp;" · ","")&amp;IF(AND(ISNUMBER($AN242),$AN242&lt;FechaRef,IF($V242="Sub",N($X242),N($M242))&lt;1),"Vencida"&amp;" · ","")&amp;IF(AND(ObsObligatoria="Sí",ISNUMBER($AN242),$AN242&lt;FechaRef,IF($V242="Sub",N($X242),N($M242))&lt;1,$Q242=""),"Vencida sin observación"&amp;" · ",""),LEN(IF($C242="","Falta el nombre de la actividad"&amp;" · ","")&amp;IF(AND($V242="Sub",N($U242)=0),"Subactividad sin macroactividad arriba"&amp;" · ","")&amp;IF($AM242="","Sin fecha de inicio"&amp;" · ","")&amp;IF($AN242="","Sin fecha límite"&amp;" · ","")&amp;IF(AND(LEFT($C242,11)="[Jefatura] ",N($AL242)=0),"No se encuentra en la hoja de la jefatura (elíjala de nuevo en la lista)"&amp;" · ","")&amp;IF(OR(AND($E242&lt;&gt;"",NOT(ISNUMBER($E242))),AND($F242&lt;&gt;"",NOT(ISNUMBER($F242))),AND($G242&lt;&gt;"",NOT(ISNUMBER($G242)))),"Fecha no válida"&amp;" · ","")&amp;IF(AND(ISNUMBER($AM242),ISNUMBER($AN242),$AM242&gt;$AN242),"Inicio posterior a fecha límite"&amp;" · ","")&amp;IF(AND($V242="Macro",$H242&lt;&gt;"",OR(NOT(ISNUMBER($H242)),$H242&lt;0,$H242&gt;1)),"Peso fuera de rango"&amp;" · ","")&amp;IF(AND($V242="Sub",$H242&lt;&gt;""),"Las subactividades no llevan peso (valen igual dentro de su macroactividad)"&amp;" · ","")&amp;IF(AND(N($W242)&gt;0,COUNT($I242:$L242)&gt;0),"Con subactividades: deje vacías las semanas (se calculan solas)"&amp;" · ","")&amp;IF((COUNTIF($I242:$L242,"&gt;1")+COUNTIF($I242:$L242,"&lt;0")+COUNTA($I242:$L242)-COUNT($I242:$L242))&gt;0,"Avance fuera de rango 0-100%"&amp;" · ","")&amp;IF(OR(AND($J242&lt;&gt;"",$J242&lt;$I242),AND($K242&lt;&gt;"",$K242&lt;MAX($I242:$J242)),AND($L242&lt;&gt;"",$L242&lt;MAX($I242:$K242))),"Avance semanal decreciente"&amp;" · ","")&amp;IF(AND(ISNUMBER($AN242),$AN242&lt;FechaRef,IF($V242="Sub",N($X242),N($M242))&lt;1),"Vencida"&amp;" · ","")&amp;IF(AND(ObsObligatoria="Sí",ISNUMBER($AN242),$AN242&lt;FechaRef,IF($V242="Sub",N($X242),N($M242))&lt;1,$Q242=""),"Vencida sin observación"&amp;" · ",""))-3)))</f>
        <v/>
      </c>
      <c r="S242" s="64">
        <f>IF(NOT((COUNTA($B242:$D242)+COUNTA($G242:$L242)+COUNTA($Q242))&gt;0),"",IF(AND($V242="Sub",N($U242)&gt;0),IF(ISNUMBER(INDEX($AM$5:$AM$1000,$U242-4)),DATE(YEAR(INDEX($AM$5:$AM$1000,$U242-4)),MONTH(INDEX($AM$5:$AM$1000,$U242-4)),1),IF(ISNUMBER(INDEX($AN$5:$AN$1000,$U242-4)),DATE(YEAR(INDEX($AN$5:$AN$1000,$U242-4)),MONTH(INDEX($AN$5:$AN$1000,$U242-4)),1),MesCiclo)),IF(ISNUMBER($AM242),DATE(YEAR($AM242),MONTH($AM242),1),IF(ISNUMBER($AN242),DATE(YEAR($AN242),MONTH($AN242),1),MesCiclo))))</f>
        <v/>
      </c>
      <c r="T242" s="62">
        <f>IF(OR($S242="",$S242&lt;&gt;MesCiclo,$V242&lt;&gt;"Macro"),"",COUNTIFS($S$5:$S242,MesCiclo,$V$5:$V242,"Macro"))</f>
        <v/>
      </c>
      <c r="U242" s="62">
        <f>IF($V242="","",IF($V242="Macro",ROW(),IFERROR(LOOKUP(2,1/($V$5:$V242="Macro"),ROW($V$5:$V242)),0)))</f>
        <v/>
      </c>
      <c r="V242" s="62">
        <f>IF(NOT((COUNTA($B242:$D242)+COUNTA($G242:$L242)+COUNTA($Q242))&gt;0),"",IF($B242="Subactividad","Sub","Macro"))</f>
        <v/>
      </c>
      <c r="W242" s="62">
        <f>IF($V242="Macro",COUNTIFS($U$5:$U$1000,ROW(),$V$5:$V$1000,"Sub"),"")</f>
        <v/>
      </c>
      <c r="X242" s="62">
        <f>IF($V242="","",IF(ISNUMBER($G242),1,IFERROR(LOOKUP(2,1/($I242:$L242&lt;&gt;""),$I242:$L242),0)))</f>
        <v/>
      </c>
      <c r="Y242" s="62">
        <f>IF($V242="","",IF(AND(ISNUMBER($G242),$G242&lt;=IF($S242=MesCiclo,InicioCiclo,$S242+MOD(2-WEEKDAY($S242),7))+6),1,IF(ISNUMBER($I242),$I242,0)))</f>
        <v/>
      </c>
      <c r="Z242" s="62">
        <f>IF($V242="","",IF(AND(ISNUMBER($G242),$G242&lt;=IF($S242=MesCiclo,InicioCiclo,$S242+MOD(2-WEEKDAY($S242),7))+13),1,IF(ISNUMBER($J242),$J242,$Y242)))</f>
        <v/>
      </c>
      <c r="AA242" s="62">
        <f>IF($V242="","",IF(AND(ISNUMBER($G242),$G242&lt;=IF($S242=MesCiclo,InicioCiclo,$S242+MOD(2-WEEKDAY($S242),7))+20),1,IF(ISNUMBER($K242),$K242,$Z242)))</f>
        <v/>
      </c>
      <c r="AB242" s="62">
        <f>IF($V242="","",IF(AND(ISNUMBER($G242),$G242&lt;=IF($S242=MesCiclo,InicioCiclo,$S242+MOD(2-WEEKDAY($S242),7))+27),1,IF(ISNUMBER($L242),$L242,$AA242)))</f>
        <v/>
      </c>
      <c r="AC242" s="62">
        <f>IF($V242="","",IF(AND(ISNUMBER($G242),$G242&lt;=IF($S242=MesCiclo,InicioCiclo,$S242+MOD(2-WEEKDAY($S242),7))+6),1,IF(N($W242)&gt;0,AVERAGEIFS($Y$5:$Y$1000,$U$5:$U$1000,ROW(),$V$5:$V$1000,"Sub"),$Y242)))</f>
        <v/>
      </c>
      <c r="AD242" s="62">
        <f>IF($V242="","",IF(AND(ISNUMBER($G242),$G242&lt;=IF($S242=MesCiclo,InicioCiclo,$S242+MOD(2-WEEKDAY($S242),7))+13),1,IF(N($W242)&gt;0,AVERAGEIFS($Z$5:$Z$1000,$U$5:$U$1000,ROW(),$V$5:$V$1000,"Sub"),$Z242)))</f>
        <v/>
      </c>
      <c r="AE242" s="62">
        <f>IF($V242="","",IF(AND(ISNUMBER($G242),$G242&lt;=IF($S242=MesCiclo,InicioCiclo,$S242+MOD(2-WEEKDAY($S242),7))+20),1,IF(N($W242)&gt;0,AVERAGEIFS($AA$5:$AA$1000,$U$5:$U$1000,ROW(),$V$5:$V$1000,"Sub"),$AA242)))</f>
        <v/>
      </c>
      <c r="AF242" s="62">
        <f>IF($V242="","",IF(AND(ISNUMBER($G242),$G242&lt;=IF($S242=MesCiclo,InicioCiclo,$S242+MOD(2-WEEKDAY($S242),7))+27),1,IF(N($W242)&gt;0,AVERAGEIFS($AB$5:$AB$1000,$U$5:$U$1000,ROW(),$V$5:$V$1000,"Sub"),$AB242)))</f>
        <v/>
      </c>
      <c r="AG242" s="62">
        <f>IF($V242&lt;&gt;"Macro","",IF(COUNTIFS($S$5:$S$1000,$S242,$V$5:$V$1000,"Macro",$H$5:$H$1000,"&gt;0")=0,1/COUNTIFS($S$5:$S$1000,$S242,$V$5:$V$1000,"Macro"),IF(AND(ISNUMBER($H242),N($H242)&gt;0),$H242,SUMIFS($H$5:$H$1000,$S$5:$S$1000,$S242,$V$5:$V$1000,"Macro")/COUNTIFS($S$5:$S$1000,$S242,$V$5:$V$1000,"Macro",$H$5:$H$1000,"&gt;0"))/(COUNTIFS($S$5:$S$1000,$S242,$V$5:$V$1000,"Macro")*SUMIFS($H$5:$H$1000,$S$5:$S$1000,$S242,$V$5:$V$1000,"Macro")/COUNTIFS($S$5:$S$1000,$S242,$V$5:$V$1000,"Macro",$H$5:$H$1000,"&gt;0"))))</f>
        <v/>
      </c>
      <c r="AH242" s="62" t="n"/>
      <c r="AI242" s="62" t="n"/>
      <c r="AJ242" s="62" t="n"/>
      <c r="AK242" s="62" t="n"/>
      <c r="AL242" s="62">
        <f>IF(LEFT($C242,11)="[Jefatura] ",IFERROR(MATCH("Riesgo Operacional|"&amp;MID($C242,12,500),rDname_ADM,0),0),"")</f>
        <v/>
      </c>
      <c r="AM242" s="62">
        <f>IF(N($AL242)&gt;0,INDEX(rIni_ADM,$AL242),IF(ISNUMBER($E242),$E242,""))</f>
        <v/>
      </c>
      <c r="AN242" s="62">
        <f>IF(N($AL242)&gt;0,INDEX(rLim_ADM,$AL242),IF(ISNUMBER($F242),$F242,""))</f>
        <v/>
      </c>
    </row>
    <row r="243">
      <c r="A243" s="56">
        <f>IF(NOT((COUNTA($B243:$D243)+COUNTA($G243:$L243)+COUNTA($Q243))&gt;0),"",IF($V243="Macro",COUNTIFS($V$5:$V243,"Macro",$S$5:$S243,$S243),IF(N($U243)=0,"?",COUNTIFS(INDEX($V$5:$V$1000,1):INDEX($V$5:$V$1000,$U243-4),"Macro",INDEX($S$5:$S$1000,1):INDEX($S$5:$S$1000,$U243-4),INDEX($S$5:$S$1000,$U243-4))&amp;"."&amp;COUNTIFS($U$5:$U243,$U243,$V$5:$V243,"Sub"))))</f>
        <v/>
      </c>
      <c r="B243" s="57" t="n"/>
      <c r="C243" s="58" t="n"/>
      <c r="D243" s="58" t="n"/>
      <c r="E243" s="59">
        <f>IF(N($AL243)&gt;0,INDEX(rIni_ADM,$AL243),"")</f>
        <v/>
      </c>
      <c r="F243" s="59">
        <f>IF(N($AL243)&gt;0,INDEX(rLim_ADM,$AL243),"")</f>
        <v/>
      </c>
      <c r="G243" s="59" t="n"/>
      <c r="H243" s="60" t="n"/>
      <c r="I243" s="60" t="n"/>
      <c r="J243" s="60" t="n"/>
      <c r="K243" s="60" t="n"/>
      <c r="L243" s="60" t="n"/>
      <c r="M243" s="61">
        <f>IF(NOT((COUNTA($B243:$D243)+COUNTA($G243:$L243)+COUNTA($Q243))&gt;0),"",IF($V243="Sub",IFERROR($X243/INDEX($W$5:$W$1000,$U243-4),""),IF(ISNUMBER($G243),1,IF(N($W243)&gt;0,AVERAGEIFS($X$5:$X$1000,$U$5:$U$1000,ROW(),$V$5:$V$1000,"Sub"),$X243))))</f>
        <v/>
      </c>
      <c r="N243" s="56">
        <f>IF(OR($M243="",$V243="Sub"),"",IF($M243&gt;=1,"Completado",IF($M243&gt;0,"En curso","Pendiente")))</f>
        <v/>
      </c>
      <c r="O243" s="56">
        <f>IF(OR(NOT((COUNTA($B243:$D243)+COUNTA($G243:$L243)+COUNTA($Q243))&gt;0),$V243="Sub"),"",IF(ISNUMBER($G243),IF(AND(ISNUMBER($AN243),$G243&gt;$AN243),"Cumplida con "&amp;($G243-$AN243)&amp;IF($G243-$AN243=1," día"," días")&amp;" de retraso","Cumplida"),IF(N($M243)&gt;=1,"Cumplida",IF(NOT(ISNUMBER($AN243)),"Sin fecha límite",IF($AN243&lt;FechaRef,"Vencida hace "&amp;(FechaRef-$AN243)&amp;IF(FechaRef-$AN243=1," día"," días"),IF($AN243=FechaRef,"Vence hoy",IF($AN243-FechaRef&lt;=DiasAlerta,"Vence en "&amp;($AN243-FechaRef)&amp;IF($AN243-FechaRef=1," día"," días"),"En plazo")))))))</f>
        <v/>
      </c>
      <c r="P243" s="62" t="n"/>
      <c r="Q243" s="58" t="n"/>
      <c r="R243" s="63">
        <f>IF(NOT((COUNTA($B243:$D243)+COUNTA($G243:$L243)+COUNTA($Q243))&gt;0),"",IF((IF($C243="","Falta el nombre de la actividad"&amp;" · ","")&amp;IF(AND($V243="Sub",N($U243)=0),"Subactividad sin macroactividad arriba"&amp;" · ","")&amp;IF($AM243="","Sin fecha de inicio"&amp;" · ","")&amp;IF($AN243="","Sin fecha límite"&amp;" · ","")&amp;IF(AND(LEFT($C243,11)="[Jefatura] ",N($AL243)=0),"No se encuentra en la hoja de la jefatura (elíjala de nuevo en la lista)"&amp;" · ","")&amp;IF(OR(AND($E243&lt;&gt;"",NOT(ISNUMBER($E243))),AND($F243&lt;&gt;"",NOT(ISNUMBER($F243))),AND($G243&lt;&gt;"",NOT(ISNUMBER($G243)))),"Fecha no válida"&amp;" · ","")&amp;IF(AND(ISNUMBER($AM243),ISNUMBER($AN243),$AM243&gt;$AN243),"Inicio posterior a fecha límite"&amp;" · ","")&amp;IF(AND($V243="Macro",$H243&lt;&gt;"",OR(NOT(ISNUMBER($H243)),$H243&lt;0,$H243&gt;1)),"Peso fuera de rango"&amp;" · ","")&amp;IF(AND($V243="Sub",$H243&lt;&gt;""),"Las subactividades no llevan peso (valen igual dentro de su macroactividad)"&amp;" · ","")&amp;IF(AND(N($W243)&gt;0,COUNT($I243:$L243)&gt;0),"Con subactividades: deje vacías las semanas (se calculan solas)"&amp;" · ","")&amp;IF((COUNTIF($I243:$L243,"&gt;1")+COUNTIF($I243:$L243,"&lt;0")+COUNTA($I243:$L243)-COUNT($I243:$L243))&gt;0,"Avance fuera de rango 0-100%"&amp;" · ","")&amp;IF(OR(AND($J243&lt;&gt;"",$J243&lt;$I243),AND($K243&lt;&gt;"",$K243&lt;MAX($I243:$J243)),AND($L243&lt;&gt;"",$L243&lt;MAX($I243:$K243))),"Avance semanal decreciente"&amp;" · ","")&amp;IF(AND(ISNUMBER($AN243),$AN243&lt;FechaRef,IF($V243="Sub",N($X243),N($M243))&lt;1),"Vencida"&amp;" · ","")&amp;IF(AND(ObsObligatoria="Sí",ISNUMBER($AN243),$AN243&lt;FechaRef,IF($V243="Sub",N($X243),N($M243))&lt;1,$Q243=""),"Vencida sin observación"&amp;" · ",""))="","✔ OK","⚠ "&amp;LEFT(IF($C243="","Falta el nombre de la actividad"&amp;" · ","")&amp;IF(AND($V243="Sub",N($U243)=0),"Subactividad sin macroactividad arriba"&amp;" · ","")&amp;IF($AM243="","Sin fecha de inicio"&amp;" · ","")&amp;IF($AN243="","Sin fecha límite"&amp;" · ","")&amp;IF(AND(LEFT($C243,11)="[Jefatura] ",N($AL243)=0),"No se encuentra en la hoja de la jefatura (elíjala de nuevo en la lista)"&amp;" · ","")&amp;IF(OR(AND($E243&lt;&gt;"",NOT(ISNUMBER($E243))),AND($F243&lt;&gt;"",NOT(ISNUMBER($F243))),AND($G243&lt;&gt;"",NOT(ISNUMBER($G243)))),"Fecha no válida"&amp;" · ","")&amp;IF(AND(ISNUMBER($AM243),ISNUMBER($AN243),$AM243&gt;$AN243),"Inicio posterior a fecha límite"&amp;" · ","")&amp;IF(AND($V243="Macro",$H243&lt;&gt;"",OR(NOT(ISNUMBER($H243)),$H243&lt;0,$H243&gt;1)),"Peso fuera de rango"&amp;" · ","")&amp;IF(AND($V243="Sub",$H243&lt;&gt;""),"Las subactividades no llevan peso (valen igual dentro de su macroactividad)"&amp;" · ","")&amp;IF(AND(N($W243)&gt;0,COUNT($I243:$L243)&gt;0),"Con subactividades: deje vacías las semanas (se calculan solas)"&amp;" · ","")&amp;IF((COUNTIF($I243:$L243,"&gt;1")+COUNTIF($I243:$L243,"&lt;0")+COUNTA($I243:$L243)-COUNT($I243:$L243))&gt;0,"Avance fuera de rango 0-100%"&amp;" · ","")&amp;IF(OR(AND($J243&lt;&gt;"",$J243&lt;$I243),AND($K243&lt;&gt;"",$K243&lt;MAX($I243:$J243)),AND($L243&lt;&gt;"",$L243&lt;MAX($I243:$K243))),"Avance semanal decreciente"&amp;" · ","")&amp;IF(AND(ISNUMBER($AN243),$AN243&lt;FechaRef,IF($V243="Sub",N($X243),N($M243))&lt;1),"Vencida"&amp;" · ","")&amp;IF(AND(ObsObligatoria="Sí",ISNUMBER($AN243),$AN243&lt;FechaRef,IF($V243="Sub",N($X243),N($M243))&lt;1,$Q243=""),"Vencida sin observación"&amp;" · ",""),LEN(IF($C243="","Falta el nombre de la actividad"&amp;" · ","")&amp;IF(AND($V243="Sub",N($U243)=0),"Subactividad sin macroactividad arriba"&amp;" · ","")&amp;IF($AM243="","Sin fecha de inicio"&amp;" · ","")&amp;IF($AN243="","Sin fecha límite"&amp;" · ","")&amp;IF(AND(LEFT($C243,11)="[Jefatura] ",N($AL243)=0),"No se encuentra en la hoja de la jefatura (elíjala de nuevo en la lista)"&amp;" · ","")&amp;IF(OR(AND($E243&lt;&gt;"",NOT(ISNUMBER($E243))),AND($F243&lt;&gt;"",NOT(ISNUMBER($F243))),AND($G243&lt;&gt;"",NOT(ISNUMBER($G243)))),"Fecha no válida"&amp;" · ","")&amp;IF(AND(ISNUMBER($AM243),ISNUMBER($AN243),$AM243&gt;$AN243),"Inicio posterior a fecha límite"&amp;" · ","")&amp;IF(AND($V243="Macro",$H243&lt;&gt;"",OR(NOT(ISNUMBER($H243)),$H243&lt;0,$H243&gt;1)),"Peso fuera de rango"&amp;" · ","")&amp;IF(AND($V243="Sub",$H243&lt;&gt;""),"Las subactividades no llevan peso (valen igual dentro de su macroactividad)"&amp;" · ","")&amp;IF(AND(N($W243)&gt;0,COUNT($I243:$L243)&gt;0),"Con subactividades: deje vacías las semanas (se calculan solas)"&amp;" · ","")&amp;IF((COUNTIF($I243:$L243,"&gt;1")+COUNTIF($I243:$L243,"&lt;0")+COUNTA($I243:$L243)-COUNT($I243:$L243))&gt;0,"Avance fuera de rango 0-100%"&amp;" · ","")&amp;IF(OR(AND($J243&lt;&gt;"",$J243&lt;$I243),AND($K243&lt;&gt;"",$K243&lt;MAX($I243:$J243)),AND($L243&lt;&gt;"",$L243&lt;MAX($I243:$K243))),"Avance semanal decreciente"&amp;" · ","")&amp;IF(AND(ISNUMBER($AN243),$AN243&lt;FechaRef,IF($V243="Sub",N($X243),N($M243))&lt;1),"Vencida"&amp;" · ","")&amp;IF(AND(ObsObligatoria="Sí",ISNUMBER($AN243),$AN243&lt;FechaRef,IF($V243="Sub",N($X243),N($M243))&lt;1,$Q243=""),"Vencida sin observación"&amp;" · ",""))-3)))</f>
        <v/>
      </c>
      <c r="S243" s="64">
        <f>IF(NOT((COUNTA($B243:$D243)+COUNTA($G243:$L243)+COUNTA($Q243))&gt;0),"",IF(AND($V243="Sub",N($U243)&gt;0),IF(ISNUMBER(INDEX($AM$5:$AM$1000,$U243-4)),DATE(YEAR(INDEX($AM$5:$AM$1000,$U243-4)),MONTH(INDEX($AM$5:$AM$1000,$U243-4)),1),IF(ISNUMBER(INDEX($AN$5:$AN$1000,$U243-4)),DATE(YEAR(INDEX($AN$5:$AN$1000,$U243-4)),MONTH(INDEX($AN$5:$AN$1000,$U243-4)),1),MesCiclo)),IF(ISNUMBER($AM243),DATE(YEAR($AM243),MONTH($AM243),1),IF(ISNUMBER($AN243),DATE(YEAR($AN243),MONTH($AN243),1),MesCiclo))))</f>
        <v/>
      </c>
      <c r="T243" s="62">
        <f>IF(OR($S243="",$S243&lt;&gt;MesCiclo,$V243&lt;&gt;"Macro"),"",COUNTIFS($S$5:$S243,MesCiclo,$V$5:$V243,"Macro"))</f>
        <v/>
      </c>
      <c r="U243" s="62">
        <f>IF($V243="","",IF($V243="Macro",ROW(),IFERROR(LOOKUP(2,1/($V$5:$V243="Macro"),ROW($V$5:$V243)),0)))</f>
        <v/>
      </c>
      <c r="V243" s="62">
        <f>IF(NOT((COUNTA($B243:$D243)+COUNTA($G243:$L243)+COUNTA($Q243))&gt;0),"",IF($B243="Subactividad","Sub","Macro"))</f>
        <v/>
      </c>
      <c r="W243" s="62">
        <f>IF($V243="Macro",COUNTIFS($U$5:$U$1000,ROW(),$V$5:$V$1000,"Sub"),"")</f>
        <v/>
      </c>
      <c r="X243" s="62">
        <f>IF($V243="","",IF(ISNUMBER($G243),1,IFERROR(LOOKUP(2,1/($I243:$L243&lt;&gt;""),$I243:$L243),0)))</f>
        <v/>
      </c>
      <c r="Y243" s="62">
        <f>IF($V243="","",IF(AND(ISNUMBER($G243),$G243&lt;=IF($S243=MesCiclo,InicioCiclo,$S243+MOD(2-WEEKDAY($S243),7))+6),1,IF(ISNUMBER($I243),$I243,0)))</f>
        <v/>
      </c>
      <c r="Z243" s="62">
        <f>IF($V243="","",IF(AND(ISNUMBER($G243),$G243&lt;=IF($S243=MesCiclo,InicioCiclo,$S243+MOD(2-WEEKDAY($S243),7))+13),1,IF(ISNUMBER($J243),$J243,$Y243)))</f>
        <v/>
      </c>
      <c r="AA243" s="62">
        <f>IF($V243="","",IF(AND(ISNUMBER($G243),$G243&lt;=IF($S243=MesCiclo,InicioCiclo,$S243+MOD(2-WEEKDAY($S243),7))+20),1,IF(ISNUMBER($K243),$K243,$Z243)))</f>
        <v/>
      </c>
      <c r="AB243" s="62">
        <f>IF($V243="","",IF(AND(ISNUMBER($G243),$G243&lt;=IF($S243=MesCiclo,InicioCiclo,$S243+MOD(2-WEEKDAY($S243),7))+27),1,IF(ISNUMBER($L243),$L243,$AA243)))</f>
        <v/>
      </c>
      <c r="AC243" s="62">
        <f>IF($V243="","",IF(AND(ISNUMBER($G243),$G243&lt;=IF($S243=MesCiclo,InicioCiclo,$S243+MOD(2-WEEKDAY($S243),7))+6),1,IF(N($W243)&gt;0,AVERAGEIFS($Y$5:$Y$1000,$U$5:$U$1000,ROW(),$V$5:$V$1000,"Sub"),$Y243)))</f>
        <v/>
      </c>
      <c r="AD243" s="62">
        <f>IF($V243="","",IF(AND(ISNUMBER($G243),$G243&lt;=IF($S243=MesCiclo,InicioCiclo,$S243+MOD(2-WEEKDAY($S243),7))+13),1,IF(N($W243)&gt;0,AVERAGEIFS($Z$5:$Z$1000,$U$5:$U$1000,ROW(),$V$5:$V$1000,"Sub"),$Z243)))</f>
        <v/>
      </c>
      <c r="AE243" s="62">
        <f>IF($V243="","",IF(AND(ISNUMBER($G243),$G243&lt;=IF($S243=MesCiclo,InicioCiclo,$S243+MOD(2-WEEKDAY($S243),7))+20),1,IF(N($W243)&gt;0,AVERAGEIFS($AA$5:$AA$1000,$U$5:$U$1000,ROW(),$V$5:$V$1000,"Sub"),$AA243)))</f>
        <v/>
      </c>
      <c r="AF243" s="62">
        <f>IF($V243="","",IF(AND(ISNUMBER($G243),$G243&lt;=IF($S243=MesCiclo,InicioCiclo,$S243+MOD(2-WEEKDAY($S243),7))+27),1,IF(N($W243)&gt;0,AVERAGEIFS($AB$5:$AB$1000,$U$5:$U$1000,ROW(),$V$5:$V$1000,"Sub"),$AB243)))</f>
        <v/>
      </c>
      <c r="AG243" s="62">
        <f>IF($V243&lt;&gt;"Macro","",IF(COUNTIFS($S$5:$S$1000,$S243,$V$5:$V$1000,"Macro",$H$5:$H$1000,"&gt;0")=0,1/COUNTIFS($S$5:$S$1000,$S243,$V$5:$V$1000,"Macro"),IF(AND(ISNUMBER($H243),N($H243)&gt;0),$H243,SUMIFS($H$5:$H$1000,$S$5:$S$1000,$S243,$V$5:$V$1000,"Macro")/COUNTIFS($S$5:$S$1000,$S243,$V$5:$V$1000,"Macro",$H$5:$H$1000,"&gt;0"))/(COUNTIFS($S$5:$S$1000,$S243,$V$5:$V$1000,"Macro")*SUMIFS($H$5:$H$1000,$S$5:$S$1000,$S243,$V$5:$V$1000,"Macro")/COUNTIFS($S$5:$S$1000,$S243,$V$5:$V$1000,"Macro",$H$5:$H$1000,"&gt;0"))))</f>
        <v/>
      </c>
      <c r="AH243" s="62" t="n"/>
      <c r="AI243" s="62" t="n"/>
      <c r="AJ243" s="62" t="n"/>
      <c r="AK243" s="62" t="n"/>
      <c r="AL243" s="62">
        <f>IF(LEFT($C243,11)="[Jefatura] ",IFERROR(MATCH("Riesgo Operacional|"&amp;MID($C243,12,500),rDname_ADM,0),0),"")</f>
        <v/>
      </c>
      <c r="AM243" s="62">
        <f>IF(N($AL243)&gt;0,INDEX(rIni_ADM,$AL243),IF(ISNUMBER($E243),$E243,""))</f>
        <v/>
      </c>
      <c r="AN243" s="62">
        <f>IF(N($AL243)&gt;0,INDEX(rLim_ADM,$AL243),IF(ISNUMBER($F243),$F243,""))</f>
        <v/>
      </c>
    </row>
    <row r="244">
      <c r="A244" s="56">
        <f>IF(NOT((COUNTA($B244:$D244)+COUNTA($G244:$L244)+COUNTA($Q244))&gt;0),"",IF($V244="Macro",COUNTIFS($V$5:$V244,"Macro",$S$5:$S244,$S244),IF(N($U244)=0,"?",COUNTIFS(INDEX($V$5:$V$1000,1):INDEX($V$5:$V$1000,$U244-4),"Macro",INDEX($S$5:$S$1000,1):INDEX($S$5:$S$1000,$U244-4),INDEX($S$5:$S$1000,$U244-4))&amp;"."&amp;COUNTIFS($U$5:$U244,$U244,$V$5:$V244,"Sub"))))</f>
        <v/>
      </c>
      <c r="B244" s="57" t="n"/>
      <c r="C244" s="58" t="n"/>
      <c r="D244" s="58" t="n"/>
      <c r="E244" s="59">
        <f>IF(N($AL244)&gt;0,INDEX(rIni_ADM,$AL244),"")</f>
        <v/>
      </c>
      <c r="F244" s="59">
        <f>IF(N($AL244)&gt;0,INDEX(rLim_ADM,$AL244),"")</f>
        <v/>
      </c>
      <c r="G244" s="59" t="n"/>
      <c r="H244" s="60" t="n"/>
      <c r="I244" s="60" t="n"/>
      <c r="J244" s="60" t="n"/>
      <c r="K244" s="60" t="n"/>
      <c r="L244" s="60" t="n"/>
      <c r="M244" s="61">
        <f>IF(NOT((COUNTA($B244:$D244)+COUNTA($G244:$L244)+COUNTA($Q244))&gt;0),"",IF($V244="Sub",IFERROR($X244/INDEX($W$5:$W$1000,$U244-4),""),IF(ISNUMBER($G244),1,IF(N($W244)&gt;0,AVERAGEIFS($X$5:$X$1000,$U$5:$U$1000,ROW(),$V$5:$V$1000,"Sub"),$X244))))</f>
        <v/>
      </c>
      <c r="N244" s="56">
        <f>IF(OR($M244="",$V244="Sub"),"",IF($M244&gt;=1,"Completado",IF($M244&gt;0,"En curso","Pendiente")))</f>
        <v/>
      </c>
      <c r="O244" s="56">
        <f>IF(OR(NOT((COUNTA($B244:$D244)+COUNTA($G244:$L244)+COUNTA($Q244))&gt;0),$V244="Sub"),"",IF(ISNUMBER($G244),IF(AND(ISNUMBER($AN244),$G244&gt;$AN244),"Cumplida con "&amp;($G244-$AN244)&amp;IF($G244-$AN244=1," día"," días")&amp;" de retraso","Cumplida"),IF(N($M244)&gt;=1,"Cumplida",IF(NOT(ISNUMBER($AN244)),"Sin fecha límite",IF($AN244&lt;FechaRef,"Vencida hace "&amp;(FechaRef-$AN244)&amp;IF(FechaRef-$AN244=1," día"," días"),IF($AN244=FechaRef,"Vence hoy",IF($AN244-FechaRef&lt;=DiasAlerta,"Vence en "&amp;($AN244-FechaRef)&amp;IF($AN244-FechaRef=1," día"," días"),"En plazo")))))))</f>
        <v/>
      </c>
      <c r="P244" s="62" t="n"/>
      <c r="Q244" s="58" t="n"/>
      <c r="R244" s="63">
        <f>IF(NOT((COUNTA($B244:$D244)+COUNTA($G244:$L244)+COUNTA($Q244))&gt;0),"",IF((IF($C244="","Falta el nombre de la actividad"&amp;" · ","")&amp;IF(AND($V244="Sub",N($U244)=0),"Subactividad sin macroactividad arriba"&amp;" · ","")&amp;IF($AM244="","Sin fecha de inicio"&amp;" · ","")&amp;IF($AN244="","Sin fecha límite"&amp;" · ","")&amp;IF(AND(LEFT($C244,11)="[Jefatura] ",N($AL244)=0),"No se encuentra en la hoja de la jefatura (elíjala de nuevo en la lista)"&amp;" · ","")&amp;IF(OR(AND($E244&lt;&gt;"",NOT(ISNUMBER($E244))),AND($F244&lt;&gt;"",NOT(ISNUMBER($F244))),AND($G244&lt;&gt;"",NOT(ISNUMBER($G244)))),"Fecha no válida"&amp;" · ","")&amp;IF(AND(ISNUMBER($AM244),ISNUMBER($AN244),$AM244&gt;$AN244),"Inicio posterior a fecha límite"&amp;" · ","")&amp;IF(AND($V244="Macro",$H244&lt;&gt;"",OR(NOT(ISNUMBER($H244)),$H244&lt;0,$H244&gt;1)),"Peso fuera de rango"&amp;" · ","")&amp;IF(AND($V244="Sub",$H244&lt;&gt;""),"Las subactividades no llevan peso (valen igual dentro de su macroactividad)"&amp;" · ","")&amp;IF(AND(N($W244)&gt;0,COUNT($I244:$L244)&gt;0),"Con subactividades: deje vacías las semanas (se calculan solas)"&amp;" · ","")&amp;IF((COUNTIF($I244:$L244,"&gt;1")+COUNTIF($I244:$L244,"&lt;0")+COUNTA($I244:$L244)-COUNT($I244:$L244))&gt;0,"Avance fuera de rango 0-100%"&amp;" · ","")&amp;IF(OR(AND($J244&lt;&gt;"",$J244&lt;$I244),AND($K244&lt;&gt;"",$K244&lt;MAX($I244:$J244)),AND($L244&lt;&gt;"",$L244&lt;MAX($I244:$K244))),"Avance semanal decreciente"&amp;" · ","")&amp;IF(AND(ISNUMBER($AN244),$AN244&lt;FechaRef,IF($V244="Sub",N($X244),N($M244))&lt;1),"Vencida"&amp;" · ","")&amp;IF(AND(ObsObligatoria="Sí",ISNUMBER($AN244),$AN244&lt;FechaRef,IF($V244="Sub",N($X244),N($M244))&lt;1,$Q244=""),"Vencida sin observación"&amp;" · ",""))="","✔ OK","⚠ "&amp;LEFT(IF($C244="","Falta el nombre de la actividad"&amp;" · ","")&amp;IF(AND($V244="Sub",N($U244)=0),"Subactividad sin macroactividad arriba"&amp;" · ","")&amp;IF($AM244="","Sin fecha de inicio"&amp;" · ","")&amp;IF($AN244="","Sin fecha límite"&amp;" · ","")&amp;IF(AND(LEFT($C244,11)="[Jefatura] ",N($AL244)=0),"No se encuentra en la hoja de la jefatura (elíjala de nuevo en la lista)"&amp;" · ","")&amp;IF(OR(AND($E244&lt;&gt;"",NOT(ISNUMBER($E244))),AND($F244&lt;&gt;"",NOT(ISNUMBER($F244))),AND($G244&lt;&gt;"",NOT(ISNUMBER($G244)))),"Fecha no válida"&amp;" · ","")&amp;IF(AND(ISNUMBER($AM244),ISNUMBER($AN244),$AM244&gt;$AN244),"Inicio posterior a fecha límite"&amp;" · ","")&amp;IF(AND($V244="Macro",$H244&lt;&gt;"",OR(NOT(ISNUMBER($H244)),$H244&lt;0,$H244&gt;1)),"Peso fuera de rango"&amp;" · ","")&amp;IF(AND($V244="Sub",$H244&lt;&gt;""),"Las subactividades no llevan peso (valen igual dentro de su macroactividad)"&amp;" · ","")&amp;IF(AND(N($W244)&gt;0,COUNT($I244:$L244)&gt;0),"Con subactividades: deje vacías las semanas (se calculan solas)"&amp;" · ","")&amp;IF((COUNTIF($I244:$L244,"&gt;1")+COUNTIF($I244:$L244,"&lt;0")+COUNTA($I244:$L244)-COUNT($I244:$L244))&gt;0,"Avance fuera de rango 0-100%"&amp;" · ","")&amp;IF(OR(AND($J244&lt;&gt;"",$J244&lt;$I244),AND($K244&lt;&gt;"",$K244&lt;MAX($I244:$J244)),AND($L244&lt;&gt;"",$L244&lt;MAX($I244:$K244))),"Avance semanal decreciente"&amp;" · ","")&amp;IF(AND(ISNUMBER($AN244),$AN244&lt;FechaRef,IF($V244="Sub",N($X244),N($M244))&lt;1),"Vencida"&amp;" · ","")&amp;IF(AND(ObsObligatoria="Sí",ISNUMBER($AN244),$AN244&lt;FechaRef,IF($V244="Sub",N($X244),N($M244))&lt;1,$Q244=""),"Vencida sin observación"&amp;" · ",""),LEN(IF($C244="","Falta el nombre de la actividad"&amp;" · ","")&amp;IF(AND($V244="Sub",N($U244)=0),"Subactividad sin macroactividad arriba"&amp;" · ","")&amp;IF($AM244="","Sin fecha de inicio"&amp;" · ","")&amp;IF($AN244="","Sin fecha límite"&amp;" · ","")&amp;IF(AND(LEFT($C244,11)="[Jefatura] ",N($AL244)=0),"No se encuentra en la hoja de la jefatura (elíjala de nuevo en la lista)"&amp;" · ","")&amp;IF(OR(AND($E244&lt;&gt;"",NOT(ISNUMBER($E244))),AND($F244&lt;&gt;"",NOT(ISNUMBER($F244))),AND($G244&lt;&gt;"",NOT(ISNUMBER($G244)))),"Fecha no válida"&amp;" · ","")&amp;IF(AND(ISNUMBER($AM244),ISNUMBER($AN244),$AM244&gt;$AN244),"Inicio posterior a fecha límite"&amp;" · ","")&amp;IF(AND($V244="Macro",$H244&lt;&gt;"",OR(NOT(ISNUMBER($H244)),$H244&lt;0,$H244&gt;1)),"Peso fuera de rango"&amp;" · ","")&amp;IF(AND($V244="Sub",$H244&lt;&gt;""),"Las subactividades no llevan peso (valen igual dentro de su macroactividad)"&amp;" · ","")&amp;IF(AND(N($W244)&gt;0,COUNT($I244:$L244)&gt;0),"Con subactividades: deje vacías las semanas (se calculan solas)"&amp;" · ","")&amp;IF((COUNTIF($I244:$L244,"&gt;1")+COUNTIF($I244:$L244,"&lt;0")+COUNTA($I244:$L244)-COUNT($I244:$L244))&gt;0,"Avance fuera de rango 0-100%"&amp;" · ","")&amp;IF(OR(AND($J244&lt;&gt;"",$J244&lt;$I244),AND($K244&lt;&gt;"",$K244&lt;MAX($I244:$J244)),AND($L244&lt;&gt;"",$L244&lt;MAX($I244:$K244))),"Avance semanal decreciente"&amp;" · ","")&amp;IF(AND(ISNUMBER($AN244),$AN244&lt;FechaRef,IF($V244="Sub",N($X244),N($M244))&lt;1),"Vencida"&amp;" · ","")&amp;IF(AND(ObsObligatoria="Sí",ISNUMBER($AN244),$AN244&lt;FechaRef,IF($V244="Sub",N($X244),N($M244))&lt;1,$Q244=""),"Vencida sin observación"&amp;" · ",""))-3)))</f>
        <v/>
      </c>
      <c r="S244" s="64">
        <f>IF(NOT((COUNTA($B244:$D244)+COUNTA($G244:$L244)+COUNTA($Q244))&gt;0),"",IF(AND($V244="Sub",N($U244)&gt;0),IF(ISNUMBER(INDEX($AM$5:$AM$1000,$U244-4)),DATE(YEAR(INDEX($AM$5:$AM$1000,$U244-4)),MONTH(INDEX($AM$5:$AM$1000,$U244-4)),1),IF(ISNUMBER(INDEX($AN$5:$AN$1000,$U244-4)),DATE(YEAR(INDEX($AN$5:$AN$1000,$U244-4)),MONTH(INDEX($AN$5:$AN$1000,$U244-4)),1),MesCiclo)),IF(ISNUMBER($AM244),DATE(YEAR($AM244),MONTH($AM244),1),IF(ISNUMBER($AN244),DATE(YEAR($AN244),MONTH($AN244),1),MesCiclo))))</f>
        <v/>
      </c>
      <c r="T244" s="62">
        <f>IF(OR($S244="",$S244&lt;&gt;MesCiclo,$V244&lt;&gt;"Macro"),"",COUNTIFS($S$5:$S244,MesCiclo,$V$5:$V244,"Macro"))</f>
        <v/>
      </c>
      <c r="U244" s="62">
        <f>IF($V244="","",IF($V244="Macro",ROW(),IFERROR(LOOKUP(2,1/($V$5:$V244="Macro"),ROW($V$5:$V244)),0)))</f>
        <v/>
      </c>
      <c r="V244" s="62">
        <f>IF(NOT((COUNTA($B244:$D244)+COUNTA($G244:$L244)+COUNTA($Q244))&gt;0),"",IF($B244="Subactividad","Sub","Macro"))</f>
        <v/>
      </c>
      <c r="W244" s="62">
        <f>IF($V244="Macro",COUNTIFS($U$5:$U$1000,ROW(),$V$5:$V$1000,"Sub"),"")</f>
        <v/>
      </c>
      <c r="X244" s="62">
        <f>IF($V244="","",IF(ISNUMBER($G244),1,IFERROR(LOOKUP(2,1/($I244:$L244&lt;&gt;""),$I244:$L244),0)))</f>
        <v/>
      </c>
      <c r="Y244" s="62">
        <f>IF($V244="","",IF(AND(ISNUMBER($G244),$G244&lt;=IF($S244=MesCiclo,InicioCiclo,$S244+MOD(2-WEEKDAY($S244),7))+6),1,IF(ISNUMBER($I244),$I244,0)))</f>
        <v/>
      </c>
      <c r="Z244" s="62">
        <f>IF($V244="","",IF(AND(ISNUMBER($G244),$G244&lt;=IF($S244=MesCiclo,InicioCiclo,$S244+MOD(2-WEEKDAY($S244),7))+13),1,IF(ISNUMBER($J244),$J244,$Y244)))</f>
        <v/>
      </c>
      <c r="AA244" s="62">
        <f>IF($V244="","",IF(AND(ISNUMBER($G244),$G244&lt;=IF($S244=MesCiclo,InicioCiclo,$S244+MOD(2-WEEKDAY($S244),7))+20),1,IF(ISNUMBER($K244),$K244,$Z244)))</f>
        <v/>
      </c>
      <c r="AB244" s="62">
        <f>IF($V244="","",IF(AND(ISNUMBER($G244),$G244&lt;=IF($S244=MesCiclo,InicioCiclo,$S244+MOD(2-WEEKDAY($S244),7))+27),1,IF(ISNUMBER($L244),$L244,$AA244)))</f>
        <v/>
      </c>
      <c r="AC244" s="62">
        <f>IF($V244="","",IF(AND(ISNUMBER($G244),$G244&lt;=IF($S244=MesCiclo,InicioCiclo,$S244+MOD(2-WEEKDAY($S244),7))+6),1,IF(N($W244)&gt;0,AVERAGEIFS($Y$5:$Y$1000,$U$5:$U$1000,ROW(),$V$5:$V$1000,"Sub"),$Y244)))</f>
        <v/>
      </c>
      <c r="AD244" s="62">
        <f>IF($V244="","",IF(AND(ISNUMBER($G244),$G244&lt;=IF($S244=MesCiclo,InicioCiclo,$S244+MOD(2-WEEKDAY($S244),7))+13),1,IF(N($W244)&gt;0,AVERAGEIFS($Z$5:$Z$1000,$U$5:$U$1000,ROW(),$V$5:$V$1000,"Sub"),$Z244)))</f>
        <v/>
      </c>
      <c r="AE244" s="62">
        <f>IF($V244="","",IF(AND(ISNUMBER($G244),$G244&lt;=IF($S244=MesCiclo,InicioCiclo,$S244+MOD(2-WEEKDAY($S244),7))+20),1,IF(N($W244)&gt;0,AVERAGEIFS($AA$5:$AA$1000,$U$5:$U$1000,ROW(),$V$5:$V$1000,"Sub"),$AA244)))</f>
        <v/>
      </c>
      <c r="AF244" s="62">
        <f>IF($V244="","",IF(AND(ISNUMBER($G244),$G244&lt;=IF($S244=MesCiclo,InicioCiclo,$S244+MOD(2-WEEKDAY($S244),7))+27),1,IF(N($W244)&gt;0,AVERAGEIFS($AB$5:$AB$1000,$U$5:$U$1000,ROW(),$V$5:$V$1000,"Sub"),$AB244)))</f>
        <v/>
      </c>
      <c r="AG244" s="62">
        <f>IF($V244&lt;&gt;"Macro","",IF(COUNTIFS($S$5:$S$1000,$S244,$V$5:$V$1000,"Macro",$H$5:$H$1000,"&gt;0")=0,1/COUNTIFS($S$5:$S$1000,$S244,$V$5:$V$1000,"Macro"),IF(AND(ISNUMBER($H244),N($H244)&gt;0),$H244,SUMIFS($H$5:$H$1000,$S$5:$S$1000,$S244,$V$5:$V$1000,"Macro")/COUNTIFS($S$5:$S$1000,$S244,$V$5:$V$1000,"Macro",$H$5:$H$1000,"&gt;0"))/(COUNTIFS($S$5:$S$1000,$S244,$V$5:$V$1000,"Macro")*SUMIFS($H$5:$H$1000,$S$5:$S$1000,$S244,$V$5:$V$1000,"Macro")/COUNTIFS($S$5:$S$1000,$S244,$V$5:$V$1000,"Macro",$H$5:$H$1000,"&gt;0"))))</f>
        <v/>
      </c>
      <c r="AH244" s="62" t="n"/>
      <c r="AI244" s="62" t="n"/>
      <c r="AJ244" s="62" t="n"/>
      <c r="AK244" s="62" t="n"/>
      <c r="AL244" s="62">
        <f>IF(LEFT($C244,11)="[Jefatura] ",IFERROR(MATCH("Riesgo Operacional|"&amp;MID($C244,12,500),rDname_ADM,0),0),"")</f>
        <v/>
      </c>
      <c r="AM244" s="62">
        <f>IF(N($AL244)&gt;0,INDEX(rIni_ADM,$AL244),IF(ISNUMBER($E244),$E244,""))</f>
        <v/>
      </c>
      <c r="AN244" s="62">
        <f>IF(N($AL244)&gt;0,INDEX(rLim_ADM,$AL244),IF(ISNUMBER($F244),$F244,""))</f>
        <v/>
      </c>
    </row>
    <row r="245">
      <c r="A245" s="56">
        <f>IF(NOT((COUNTA($B245:$D245)+COUNTA($G245:$L245)+COUNTA($Q245))&gt;0),"",IF($V245="Macro",COUNTIFS($V$5:$V245,"Macro",$S$5:$S245,$S245),IF(N($U245)=0,"?",COUNTIFS(INDEX($V$5:$V$1000,1):INDEX($V$5:$V$1000,$U245-4),"Macro",INDEX($S$5:$S$1000,1):INDEX($S$5:$S$1000,$U245-4),INDEX($S$5:$S$1000,$U245-4))&amp;"."&amp;COUNTIFS($U$5:$U245,$U245,$V$5:$V245,"Sub"))))</f>
        <v/>
      </c>
      <c r="B245" s="57" t="n"/>
      <c r="C245" s="58" t="n"/>
      <c r="D245" s="58" t="n"/>
      <c r="E245" s="59">
        <f>IF(N($AL245)&gt;0,INDEX(rIni_ADM,$AL245),"")</f>
        <v/>
      </c>
      <c r="F245" s="59">
        <f>IF(N($AL245)&gt;0,INDEX(rLim_ADM,$AL245),"")</f>
        <v/>
      </c>
      <c r="G245" s="59" t="n"/>
      <c r="H245" s="60" t="n"/>
      <c r="I245" s="60" t="n"/>
      <c r="J245" s="60" t="n"/>
      <c r="K245" s="60" t="n"/>
      <c r="L245" s="60" t="n"/>
      <c r="M245" s="61">
        <f>IF(NOT((COUNTA($B245:$D245)+COUNTA($G245:$L245)+COUNTA($Q245))&gt;0),"",IF($V245="Sub",IFERROR($X245/INDEX($W$5:$W$1000,$U245-4),""),IF(ISNUMBER($G245),1,IF(N($W245)&gt;0,AVERAGEIFS($X$5:$X$1000,$U$5:$U$1000,ROW(),$V$5:$V$1000,"Sub"),$X245))))</f>
        <v/>
      </c>
      <c r="N245" s="56">
        <f>IF(OR($M245="",$V245="Sub"),"",IF($M245&gt;=1,"Completado",IF($M245&gt;0,"En curso","Pendiente")))</f>
        <v/>
      </c>
      <c r="O245" s="56">
        <f>IF(OR(NOT((COUNTA($B245:$D245)+COUNTA($G245:$L245)+COUNTA($Q245))&gt;0),$V245="Sub"),"",IF(ISNUMBER($G245),IF(AND(ISNUMBER($AN245),$G245&gt;$AN245),"Cumplida con "&amp;($G245-$AN245)&amp;IF($G245-$AN245=1," día"," días")&amp;" de retraso","Cumplida"),IF(N($M245)&gt;=1,"Cumplida",IF(NOT(ISNUMBER($AN245)),"Sin fecha límite",IF($AN245&lt;FechaRef,"Vencida hace "&amp;(FechaRef-$AN245)&amp;IF(FechaRef-$AN245=1," día"," días"),IF($AN245=FechaRef,"Vence hoy",IF($AN245-FechaRef&lt;=DiasAlerta,"Vence en "&amp;($AN245-FechaRef)&amp;IF($AN245-FechaRef=1," día"," días"),"En plazo")))))))</f>
        <v/>
      </c>
      <c r="P245" s="62" t="n"/>
      <c r="Q245" s="58" t="n"/>
      <c r="R245" s="63">
        <f>IF(NOT((COUNTA($B245:$D245)+COUNTA($G245:$L245)+COUNTA($Q245))&gt;0),"",IF((IF($C245="","Falta el nombre de la actividad"&amp;" · ","")&amp;IF(AND($V245="Sub",N($U245)=0),"Subactividad sin macroactividad arriba"&amp;" · ","")&amp;IF($AM245="","Sin fecha de inicio"&amp;" · ","")&amp;IF($AN245="","Sin fecha límite"&amp;" · ","")&amp;IF(AND(LEFT($C245,11)="[Jefatura] ",N($AL245)=0),"No se encuentra en la hoja de la jefatura (elíjala de nuevo en la lista)"&amp;" · ","")&amp;IF(OR(AND($E245&lt;&gt;"",NOT(ISNUMBER($E245))),AND($F245&lt;&gt;"",NOT(ISNUMBER($F245))),AND($G245&lt;&gt;"",NOT(ISNUMBER($G245)))),"Fecha no válida"&amp;" · ","")&amp;IF(AND(ISNUMBER($AM245),ISNUMBER($AN245),$AM245&gt;$AN245),"Inicio posterior a fecha límite"&amp;" · ","")&amp;IF(AND($V245="Macro",$H245&lt;&gt;"",OR(NOT(ISNUMBER($H245)),$H245&lt;0,$H245&gt;1)),"Peso fuera de rango"&amp;" · ","")&amp;IF(AND($V245="Sub",$H245&lt;&gt;""),"Las subactividades no llevan peso (valen igual dentro de su macroactividad)"&amp;" · ","")&amp;IF(AND(N($W245)&gt;0,COUNT($I245:$L245)&gt;0),"Con subactividades: deje vacías las semanas (se calculan solas)"&amp;" · ","")&amp;IF((COUNTIF($I245:$L245,"&gt;1")+COUNTIF($I245:$L245,"&lt;0")+COUNTA($I245:$L245)-COUNT($I245:$L245))&gt;0,"Avance fuera de rango 0-100%"&amp;" · ","")&amp;IF(OR(AND($J245&lt;&gt;"",$J245&lt;$I245),AND($K245&lt;&gt;"",$K245&lt;MAX($I245:$J245)),AND($L245&lt;&gt;"",$L245&lt;MAX($I245:$K245))),"Avance semanal decreciente"&amp;" · ","")&amp;IF(AND(ISNUMBER($AN245),$AN245&lt;FechaRef,IF($V245="Sub",N($X245),N($M245))&lt;1),"Vencida"&amp;" · ","")&amp;IF(AND(ObsObligatoria="Sí",ISNUMBER($AN245),$AN245&lt;FechaRef,IF($V245="Sub",N($X245),N($M245))&lt;1,$Q245=""),"Vencida sin observación"&amp;" · ",""))="","✔ OK","⚠ "&amp;LEFT(IF($C245="","Falta el nombre de la actividad"&amp;" · ","")&amp;IF(AND($V245="Sub",N($U245)=0),"Subactividad sin macroactividad arriba"&amp;" · ","")&amp;IF($AM245="","Sin fecha de inicio"&amp;" · ","")&amp;IF($AN245="","Sin fecha límite"&amp;" · ","")&amp;IF(AND(LEFT($C245,11)="[Jefatura] ",N($AL245)=0),"No se encuentra en la hoja de la jefatura (elíjala de nuevo en la lista)"&amp;" · ","")&amp;IF(OR(AND($E245&lt;&gt;"",NOT(ISNUMBER($E245))),AND($F245&lt;&gt;"",NOT(ISNUMBER($F245))),AND($G245&lt;&gt;"",NOT(ISNUMBER($G245)))),"Fecha no válida"&amp;" · ","")&amp;IF(AND(ISNUMBER($AM245),ISNUMBER($AN245),$AM245&gt;$AN245),"Inicio posterior a fecha límite"&amp;" · ","")&amp;IF(AND($V245="Macro",$H245&lt;&gt;"",OR(NOT(ISNUMBER($H245)),$H245&lt;0,$H245&gt;1)),"Peso fuera de rango"&amp;" · ","")&amp;IF(AND($V245="Sub",$H245&lt;&gt;""),"Las subactividades no llevan peso (valen igual dentro de su macroactividad)"&amp;" · ","")&amp;IF(AND(N($W245)&gt;0,COUNT($I245:$L245)&gt;0),"Con subactividades: deje vacías las semanas (se calculan solas)"&amp;" · ","")&amp;IF((COUNTIF($I245:$L245,"&gt;1")+COUNTIF($I245:$L245,"&lt;0")+COUNTA($I245:$L245)-COUNT($I245:$L245))&gt;0,"Avance fuera de rango 0-100%"&amp;" · ","")&amp;IF(OR(AND($J245&lt;&gt;"",$J245&lt;$I245),AND($K245&lt;&gt;"",$K245&lt;MAX($I245:$J245)),AND($L245&lt;&gt;"",$L245&lt;MAX($I245:$K245))),"Avance semanal decreciente"&amp;" · ","")&amp;IF(AND(ISNUMBER($AN245),$AN245&lt;FechaRef,IF($V245="Sub",N($X245),N($M245))&lt;1),"Vencida"&amp;" · ","")&amp;IF(AND(ObsObligatoria="Sí",ISNUMBER($AN245),$AN245&lt;FechaRef,IF($V245="Sub",N($X245),N($M245))&lt;1,$Q245=""),"Vencida sin observación"&amp;" · ",""),LEN(IF($C245="","Falta el nombre de la actividad"&amp;" · ","")&amp;IF(AND($V245="Sub",N($U245)=0),"Subactividad sin macroactividad arriba"&amp;" · ","")&amp;IF($AM245="","Sin fecha de inicio"&amp;" · ","")&amp;IF($AN245="","Sin fecha límite"&amp;" · ","")&amp;IF(AND(LEFT($C245,11)="[Jefatura] ",N($AL245)=0),"No se encuentra en la hoja de la jefatura (elíjala de nuevo en la lista)"&amp;" · ","")&amp;IF(OR(AND($E245&lt;&gt;"",NOT(ISNUMBER($E245))),AND($F245&lt;&gt;"",NOT(ISNUMBER($F245))),AND($G245&lt;&gt;"",NOT(ISNUMBER($G245)))),"Fecha no válida"&amp;" · ","")&amp;IF(AND(ISNUMBER($AM245),ISNUMBER($AN245),$AM245&gt;$AN245),"Inicio posterior a fecha límite"&amp;" · ","")&amp;IF(AND($V245="Macro",$H245&lt;&gt;"",OR(NOT(ISNUMBER($H245)),$H245&lt;0,$H245&gt;1)),"Peso fuera de rango"&amp;" · ","")&amp;IF(AND($V245="Sub",$H245&lt;&gt;""),"Las subactividades no llevan peso (valen igual dentro de su macroactividad)"&amp;" · ","")&amp;IF(AND(N($W245)&gt;0,COUNT($I245:$L245)&gt;0),"Con subactividades: deje vacías las semanas (se calculan solas)"&amp;" · ","")&amp;IF((COUNTIF($I245:$L245,"&gt;1")+COUNTIF($I245:$L245,"&lt;0")+COUNTA($I245:$L245)-COUNT($I245:$L245))&gt;0,"Avance fuera de rango 0-100%"&amp;" · ","")&amp;IF(OR(AND($J245&lt;&gt;"",$J245&lt;$I245),AND($K245&lt;&gt;"",$K245&lt;MAX($I245:$J245)),AND($L245&lt;&gt;"",$L245&lt;MAX($I245:$K245))),"Avance semanal decreciente"&amp;" · ","")&amp;IF(AND(ISNUMBER($AN245),$AN245&lt;FechaRef,IF($V245="Sub",N($X245),N($M245))&lt;1),"Vencida"&amp;" · ","")&amp;IF(AND(ObsObligatoria="Sí",ISNUMBER($AN245),$AN245&lt;FechaRef,IF($V245="Sub",N($X245),N($M245))&lt;1,$Q245=""),"Vencida sin observación"&amp;" · ",""))-3)))</f>
        <v/>
      </c>
      <c r="S245" s="64">
        <f>IF(NOT((COUNTA($B245:$D245)+COUNTA($G245:$L245)+COUNTA($Q245))&gt;0),"",IF(AND($V245="Sub",N($U245)&gt;0),IF(ISNUMBER(INDEX($AM$5:$AM$1000,$U245-4)),DATE(YEAR(INDEX($AM$5:$AM$1000,$U245-4)),MONTH(INDEX($AM$5:$AM$1000,$U245-4)),1),IF(ISNUMBER(INDEX($AN$5:$AN$1000,$U245-4)),DATE(YEAR(INDEX($AN$5:$AN$1000,$U245-4)),MONTH(INDEX($AN$5:$AN$1000,$U245-4)),1),MesCiclo)),IF(ISNUMBER($AM245),DATE(YEAR($AM245),MONTH($AM245),1),IF(ISNUMBER($AN245),DATE(YEAR($AN245),MONTH($AN245),1),MesCiclo))))</f>
        <v/>
      </c>
      <c r="T245" s="62">
        <f>IF(OR($S245="",$S245&lt;&gt;MesCiclo,$V245&lt;&gt;"Macro"),"",COUNTIFS($S$5:$S245,MesCiclo,$V$5:$V245,"Macro"))</f>
        <v/>
      </c>
      <c r="U245" s="62">
        <f>IF($V245="","",IF($V245="Macro",ROW(),IFERROR(LOOKUP(2,1/($V$5:$V245="Macro"),ROW($V$5:$V245)),0)))</f>
        <v/>
      </c>
      <c r="V245" s="62">
        <f>IF(NOT((COUNTA($B245:$D245)+COUNTA($G245:$L245)+COUNTA($Q245))&gt;0),"",IF($B245="Subactividad","Sub","Macro"))</f>
        <v/>
      </c>
      <c r="W245" s="62">
        <f>IF($V245="Macro",COUNTIFS($U$5:$U$1000,ROW(),$V$5:$V$1000,"Sub"),"")</f>
        <v/>
      </c>
      <c r="X245" s="62">
        <f>IF($V245="","",IF(ISNUMBER($G245),1,IFERROR(LOOKUP(2,1/($I245:$L245&lt;&gt;""),$I245:$L245),0)))</f>
        <v/>
      </c>
      <c r="Y245" s="62">
        <f>IF($V245="","",IF(AND(ISNUMBER($G245),$G245&lt;=IF($S245=MesCiclo,InicioCiclo,$S245+MOD(2-WEEKDAY($S245),7))+6),1,IF(ISNUMBER($I245),$I245,0)))</f>
        <v/>
      </c>
      <c r="Z245" s="62">
        <f>IF($V245="","",IF(AND(ISNUMBER($G245),$G245&lt;=IF($S245=MesCiclo,InicioCiclo,$S245+MOD(2-WEEKDAY($S245),7))+13),1,IF(ISNUMBER($J245),$J245,$Y245)))</f>
        <v/>
      </c>
      <c r="AA245" s="62">
        <f>IF($V245="","",IF(AND(ISNUMBER($G245),$G245&lt;=IF($S245=MesCiclo,InicioCiclo,$S245+MOD(2-WEEKDAY($S245),7))+20),1,IF(ISNUMBER($K245),$K245,$Z245)))</f>
        <v/>
      </c>
      <c r="AB245" s="62">
        <f>IF($V245="","",IF(AND(ISNUMBER($G245),$G245&lt;=IF($S245=MesCiclo,InicioCiclo,$S245+MOD(2-WEEKDAY($S245),7))+27),1,IF(ISNUMBER($L245),$L245,$AA245)))</f>
        <v/>
      </c>
      <c r="AC245" s="62">
        <f>IF($V245="","",IF(AND(ISNUMBER($G245),$G245&lt;=IF($S245=MesCiclo,InicioCiclo,$S245+MOD(2-WEEKDAY($S245),7))+6),1,IF(N($W245)&gt;0,AVERAGEIFS($Y$5:$Y$1000,$U$5:$U$1000,ROW(),$V$5:$V$1000,"Sub"),$Y245)))</f>
        <v/>
      </c>
      <c r="AD245" s="62">
        <f>IF($V245="","",IF(AND(ISNUMBER($G245),$G245&lt;=IF($S245=MesCiclo,InicioCiclo,$S245+MOD(2-WEEKDAY($S245),7))+13),1,IF(N($W245)&gt;0,AVERAGEIFS($Z$5:$Z$1000,$U$5:$U$1000,ROW(),$V$5:$V$1000,"Sub"),$Z245)))</f>
        <v/>
      </c>
      <c r="AE245" s="62">
        <f>IF($V245="","",IF(AND(ISNUMBER($G245),$G245&lt;=IF($S245=MesCiclo,InicioCiclo,$S245+MOD(2-WEEKDAY($S245),7))+20),1,IF(N($W245)&gt;0,AVERAGEIFS($AA$5:$AA$1000,$U$5:$U$1000,ROW(),$V$5:$V$1000,"Sub"),$AA245)))</f>
        <v/>
      </c>
      <c r="AF245" s="62">
        <f>IF($V245="","",IF(AND(ISNUMBER($G245),$G245&lt;=IF($S245=MesCiclo,InicioCiclo,$S245+MOD(2-WEEKDAY($S245),7))+27),1,IF(N($W245)&gt;0,AVERAGEIFS($AB$5:$AB$1000,$U$5:$U$1000,ROW(),$V$5:$V$1000,"Sub"),$AB245)))</f>
        <v/>
      </c>
      <c r="AG245" s="62">
        <f>IF($V245&lt;&gt;"Macro","",IF(COUNTIFS($S$5:$S$1000,$S245,$V$5:$V$1000,"Macro",$H$5:$H$1000,"&gt;0")=0,1/COUNTIFS($S$5:$S$1000,$S245,$V$5:$V$1000,"Macro"),IF(AND(ISNUMBER($H245),N($H245)&gt;0),$H245,SUMIFS($H$5:$H$1000,$S$5:$S$1000,$S245,$V$5:$V$1000,"Macro")/COUNTIFS($S$5:$S$1000,$S245,$V$5:$V$1000,"Macro",$H$5:$H$1000,"&gt;0"))/(COUNTIFS($S$5:$S$1000,$S245,$V$5:$V$1000,"Macro")*SUMIFS($H$5:$H$1000,$S$5:$S$1000,$S245,$V$5:$V$1000,"Macro")/COUNTIFS($S$5:$S$1000,$S245,$V$5:$V$1000,"Macro",$H$5:$H$1000,"&gt;0"))))</f>
        <v/>
      </c>
      <c r="AH245" s="62" t="n"/>
      <c r="AI245" s="62" t="n"/>
      <c r="AJ245" s="62" t="n"/>
      <c r="AK245" s="62" t="n"/>
      <c r="AL245" s="62">
        <f>IF(LEFT($C245,11)="[Jefatura] ",IFERROR(MATCH("Riesgo Operacional|"&amp;MID($C245,12,500),rDname_ADM,0),0),"")</f>
        <v/>
      </c>
      <c r="AM245" s="62">
        <f>IF(N($AL245)&gt;0,INDEX(rIni_ADM,$AL245),IF(ISNUMBER($E245),$E245,""))</f>
        <v/>
      </c>
      <c r="AN245" s="62">
        <f>IF(N($AL245)&gt;0,INDEX(rLim_ADM,$AL245),IF(ISNUMBER($F245),$F245,""))</f>
        <v/>
      </c>
    </row>
    <row r="246">
      <c r="A246" s="56">
        <f>IF(NOT((COUNTA($B246:$D246)+COUNTA($G246:$L246)+COUNTA($Q246))&gt;0),"",IF($V246="Macro",COUNTIFS($V$5:$V246,"Macro",$S$5:$S246,$S246),IF(N($U246)=0,"?",COUNTIFS(INDEX($V$5:$V$1000,1):INDEX($V$5:$V$1000,$U246-4),"Macro",INDEX($S$5:$S$1000,1):INDEX($S$5:$S$1000,$U246-4),INDEX($S$5:$S$1000,$U246-4))&amp;"."&amp;COUNTIFS($U$5:$U246,$U246,$V$5:$V246,"Sub"))))</f>
        <v/>
      </c>
      <c r="B246" s="57" t="n"/>
      <c r="C246" s="58" t="n"/>
      <c r="D246" s="58" t="n"/>
      <c r="E246" s="59">
        <f>IF(N($AL246)&gt;0,INDEX(rIni_ADM,$AL246),"")</f>
        <v/>
      </c>
      <c r="F246" s="59">
        <f>IF(N($AL246)&gt;0,INDEX(rLim_ADM,$AL246),"")</f>
        <v/>
      </c>
      <c r="G246" s="59" t="n"/>
      <c r="H246" s="60" t="n"/>
      <c r="I246" s="60" t="n"/>
      <c r="J246" s="60" t="n"/>
      <c r="K246" s="60" t="n"/>
      <c r="L246" s="60" t="n"/>
      <c r="M246" s="61">
        <f>IF(NOT((COUNTA($B246:$D246)+COUNTA($G246:$L246)+COUNTA($Q246))&gt;0),"",IF($V246="Sub",IFERROR($X246/INDEX($W$5:$W$1000,$U246-4),""),IF(ISNUMBER($G246),1,IF(N($W246)&gt;0,AVERAGEIFS($X$5:$X$1000,$U$5:$U$1000,ROW(),$V$5:$V$1000,"Sub"),$X246))))</f>
        <v/>
      </c>
      <c r="N246" s="56">
        <f>IF(OR($M246="",$V246="Sub"),"",IF($M246&gt;=1,"Completado",IF($M246&gt;0,"En curso","Pendiente")))</f>
        <v/>
      </c>
      <c r="O246" s="56">
        <f>IF(OR(NOT((COUNTA($B246:$D246)+COUNTA($G246:$L246)+COUNTA($Q246))&gt;0),$V246="Sub"),"",IF(ISNUMBER($G246),IF(AND(ISNUMBER($AN246),$G246&gt;$AN246),"Cumplida con "&amp;($G246-$AN246)&amp;IF($G246-$AN246=1," día"," días")&amp;" de retraso","Cumplida"),IF(N($M246)&gt;=1,"Cumplida",IF(NOT(ISNUMBER($AN246)),"Sin fecha límite",IF($AN246&lt;FechaRef,"Vencida hace "&amp;(FechaRef-$AN246)&amp;IF(FechaRef-$AN246=1," día"," días"),IF($AN246=FechaRef,"Vence hoy",IF($AN246-FechaRef&lt;=DiasAlerta,"Vence en "&amp;($AN246-FechaRef)&amp;IF($AN246-FechaRef=1," día"," días"),"En plazo")))))))</f>
        <v/>
      </c>
      <c r="P246" s="62" t="n"/>
      <c r="Q246" s="58" t="n"/>
      <c r="R246" s="63">
        <f>IF(NOT((COUNTA($B246:$D246)+COUNTA($G246:$L246)+COUNTA($Q246))&gt;0),"",IF((IF($C246="","Falta el nombre de la actividad"&amp;" · ","")&amp;IF(AND($V246="Sub",N($U246)=0),"Subactividad sin macroactividad arriba"&amp;" · ","")&amp;IF($AM246="","Sin fecha de inicio"&amp;" · ","")&amp;IF($AN246="","Sin fecha límite"&amp;" · ","")&amp;IF(AND(LEFT($C246,11)="[Jefatura] ",N($AL246)=0),"No se encuentra en la hoja de la jefatura (elíjala de nuevo en la lista)"&amp;" · ","")&amp;IF(OR(AND($E246&lt;&gt;"",NOT(ISNUMBER($E246))),AND($F246&lt;&gt;"",NOT(ISNUMBER($F246))),AND($G246&lt;&gt;"",NOT(ISNUMBER($G246)))),"Fecha no válida"&amp;" · ","")&amp;IF(AND(ISNUMBER($AM246),ISNUMBER($AN246),$AM246&gt;$AN246),"Inicio posterior a fecha límite"&amp;" · ","")&amp;IF(AND($V246="Macro",$H246&lt;&gt;"",OR(NOT(ISNUMBER($H246)),$H246&lt;0,$H246&gt;1)),"Peso fuera de rango"&amp;" · ","")&amp;IF(AND($V246="Sub",$H246&lt;&gt;""),"Las subactividades no llevan peso (valen igual dentro de su macroactividad)"&amp;" · ","")&amp;IF(AND(N($W246)&gt;0,COUNT($I246:$L246)&gt;0),"Con subactividades: deje vacías las semanas (se calculan solas)"&amp;" · ","")&amp;IF((COUNTIF($I246:$L246,"&gt;1")+COUNTIF($I246:$L246,"&lt;0")+COUNTA($I246:$L246)-COUNT($I246:$L246))&gt;0,"Avance fuera de rango 0-100%"&amp;" · ","")&amp;IF(OR(AND($J246&lt;&gt;"",$J246&lt;$I246),AND($K246&lt;&gt;"",$K246&lt;MAX($I246:$J246)),AND($L246&lt;&gt;"",$L246&lt;MAX($I246:$K246))),"Avance semanal decreciente"&amp;" · ","")&amp;IF(AND(ISNUMBER($AN246),$AN246&lt;FechaRef,IF($V246="Sub",N($X246),N($M246))&lt;1),"Vencida"&amp;" · ","")&amp;IF(AND(ObsObligatoria="Sí",ISNUMBER($AN246),$AN246&lt;FechaRef,IF($V246="Sub",N($X246),N($M246))&lt;1,$Q246=""),"Vencida sin observación"&amp;" · ",""))="","✔ OK","⚠ "&amp;LEFT(IF($C246="","Falta el nombre de la actividad"&amp;" · ","")&amp;IF(AND($V246="Sub",N($U246)=0),"Subactividad sin macroactividad arriba"&amp;" · ","")&amp;IF($AM246="","Sin fecha de inicio"&amp;" · ","")&amp;IF($AN246="","Sin fecha límite"&amp;" · ","")&amp;IF(AND(LEFT($C246,11)="[Jefatura] ",N($AL246)=0),"No se encuentra en la hoja de la jefatura (elíjala de nuevo en la lista)"&amp;" · ","")&amp;IF(OR(AND($E246&lt;&gt;"",NOT(ISNUMBER($E246))),AND($F246&lt;&gt;"",NOT(ISNUMBER($F246))),AND($G246&lt;&gt;"",NOT(ISNUMBER($G246)))),"Fecha no válida"&amp;" · ","")&amp;IF(AND(ISNUMBER($AM246),ISNUMBER($AN246),$AM246&gt;$AN246),"Inicio posterior a fecha límite"&amp;" · ","")&amp;IF(AND($V246="Macro",$H246&lt;&gt;"",OR(NOT(ISNUMBER($H246)),$H246&lt;0,$H246&gt;1)),"Peso fuera de rango"&amp;" · ","")&amp;IF(AND($V246="Sub",$H246&lt;&gt;""),"Las subactividades no llevan peso (valen igual dentro de su macroactividad)"&amp;" · ","")&amp;IF(AND(N($W246)&gt;0,COUNT($I246:$L246)&gt;0),"Con subactividades: deje vacías las semanas (se calculan solas)"&amp;" · ","")&amp;IF((COUNTIF($I246:$L246,"&gt;1")+COUNTIF($I246:$L246,"&lt;0")+COUNTA($I246:$L246)-COUNT($I246:$L246))&gt;0,"Avance fuera de rango 0-100%"&amp;" · ","")&amp;IF(OR(AND($J246&lt;&gt;"",$J246&lt;$I246),AND($K246&lt;&gt;"",$K246&lt;MAX($I246:$J246)),AND($L246&lt;&gt;"",$L246&lt;MAX($I246:$K246))),"Avance semanal decreciente"&amp;" · ","")&amp;IF(AND(ISNUMBER($AN246),$AN246&lt;FechaRef,IF($V246="Sub",N($X246),N($M246))&lt;1),"Vencida"&amp;" · ","")&amp;IF(AND(ObsObligatoria="Sí",ISNUMBER($AN246),$AN246&lt;FechaRef,IF($V246="Sub",N($X246),N($M246))&lt;1,$Q246=""),"Vencida sin observación"&amp;" · ",""),LEN(IF($C246="","Falta el nombre de la actividad"&amp;" · ","")&amp;IF(AND($V246="Sub",N($U246)=0),"Subactividad sin macroactividad arriba"&amp;" · ","")&amp;IF($AM246="","Sin fecha de inicio"&amp;" · ","")&amp;IF($AN246="","Sin fecha límite"&amp;" · ","")&amp;IF(AND(LEFT($C246,11)="[Jefatura] ",N($AL246)=0),"No se encuentra en la hoja de la jefatura (elíjala de nuevo en la lista)"&amp;" · ","")&amp;IF(OR(AND($E246&lt;&gt;"",NOT(ISNUMBER($E246))),AND($F246&lt;&gt;"",NOT(ISNUMBER($F246))),AND($G246&lt;&gt;"",NOT(ISNUMBER($G246)))),"Fecha no válida"&amp;" · ","")&amp;IF(AND(ISNUMBER($AM246),ISNUMBER($AN246),$AM246&gt;$AN246),"Inicio posterior a fecha límite"&amp;" · ","")&amp;IF(AND($V246="Macro",$H246&lt;&gt;"",OR(NOT(ISNUMBER($H246)),$H246&lt;0,$H246&gt;1)),"Peso fuera de rango"&amp;" · ","")&amp;IF(AND($V246="Sub",$H246&lt;&gt;""),"Las subactividades no llevan peso (valen igual dentro de su macroactividad)"&amp;" · ","")&amp;IF(AND(N($W246)&gt;0,COUNT($I246:$L246)&gt;0),"Con subactividades: deje vacías las semanas (se calculan solas)"&amp;" · ","")&amp;IF((COUNTIF($I246:$L246,"&gt;1")+COUNTIF($I246:$L246,"&lt;0")+COUNTA($I246:$L246)-COUNT($I246:$L246))&gt;0,"Avance fuera de rango 0-100%"&amp;" · ","")&amp;IF(OR(AND($J246&lt;&gt;"",$J246&lt;$I246),AND($K246&lt;&gt;"",$K246&lt;MAX($I246:$J246)),AND($L246&lt;&gt;"",$L246&lt;MAX($I246:$K246))),"Avance semanal decreciente"&amp;" · ","")&amp;IF(AND(ISNUMBER($AN246),$AN246&lt;FechaRef,IF($V246="Sub",N($X246),N($M246))&lt;1),"Vencida"&amp;" · ","")&amp;IF(AND(ObsObligatoria="Sí",ISNUMBER($AN246),$AN246&lt;FechaRef,IF($V246="Sub",N($X246),N($M246))&lt;1,$Q246=""),"Vencida sin observación"&amp;" · ",""))-3)))</f>
        <v/>
      </c>
      <c r="S246" s="64">
        <f>IF(NOT((COUNTA($B246:$D246)+COUNTA($G246:$L246)+COUNTA($Q246))&gt;0),"",IF(AND($V246="Sub",N($U246)&gt;0),IF(ISNUMBER(INDEX($AM$5:$AM$1000,$U246-4)),DATE(YEAR(INDEX($AM$5:$AM$1000,$U246-4)),MONTH(INDEX($AM$5:$AM$1000,$U246-4)),1),IF(ISNUMBER(INDEX($AN$5:$AN$1000,$U246-4)),DATE(YEAR(INDEX($AN$5:$AN$1000,$U246-4)),MONTH(INDEX($AN$5:$AN$1000,$U246-4)),1),MesCiclo)),IF(ISNUMBER($AM246),DATE(YEAR($AM246),MONTH($AM246),1),IF(ISNUMBER($AN246),DATE(YEAR($AN246),MONTH($AN246),1),MesCiclo))))</f>
        <v/>
      </c>
      <c r="T246" s="62">
        <f>IF(OR($S246="",$S246&lt;&gt;MesCiclo,$V246&lt;&gt;"Macro"),"",COUNTIFS($S$5:$S246,MesCiclo,$V$5:$V246,"Macro"))</f>
        <v/>
      </c>
      <c r="U246" s="62">
        <f>IF($V246="","",IF($V246="Macro",ROW(),IFERROR(LOOKUP(2,1/($V$5:$V246="Macro"),ROW($V$5:$V246)),0)))</f>
        <v/>
      </c>
      <c r="V246" s="62">
        <f>IF(NOT((COUNTA($B246:$D246)+COUNTA($G246:$L246)+COUNTA($Q246))&gt;0),"",IF($B246="Subactividad","Sub","Macro"))</f>
        <v/>
      </c>
      <c r="W246" s="62">
        <f>IF($V246="Macro",COUNTIFS($U$5:$U$1000,ROW(),$V$5:$V$1000,"Sub"),"")</f>
        <v/>
      </c>
      <c r="X246" s="62">
        <f>IF($V246="","",IF(ISNUMBER($G246),1,IFERROR(LOOKUP(2,1/($I246:$L246&lt;&gt;""),$I246:$L246),0)))</f>
        <v/>
      </c>
      <c r="Y246" s="62">
        <f>IF($V246="","",IF(AND(ISNUMBER($G246),$G246&lt;=IF($S246=MesCiclo,InicioCiclo,$S246+MOD(2-WEEKDAY($S246),7))+6),1,IF(ISNUMBER($I246),$I246,0)))</f>
        <v/>
      </c>
      <c r="Z246" s="62">
        <f>IF($V246="","",IF(AND(ISNUMBER($G246),$G246&lt;=IF($S246=MesCiclo,InicioCiclo,$S246+MOD(2-WEEKDAY($S246),7))+13),1,IF(ISNUMBER($J246),$J246,$Y246)))</f>
        <v/>
      </c>
      <c r="AA246" s="62">
        <f>IF($V246="","",IF(AND(ISNUMBER($G246),$G246&lt;=IF($S246=MesCiclo,InicioCiclo,$S246+MOD(2-WEEKDAY($S246),7))+20),1,IF(ISNUMBER($K246),$K246,$Z246)))</f>
        <v/>
      </c>
      <c r="AB246" s="62">
        <f>IF($V246="","",IF(AND(ISNUMBER($G246),$G246&lt;=IF($S246=MesCiclo,InicioCiclo,$S246+MOD(2-WEEKDAY($S246),7))+27),1,IF(ISNUMBER($L246),$L246,$AA246)))</f>
        <v/>
      </c>
      <c r="AC246" s="62">
        <f>IF($V246="","",IF(AND(ISNUMBER($G246),$G246&lt;=IF($S246=MesCiclo,InicioCiclo,$S246+MOD(2-WEEKDAY($S246),7))+6),1,IF(N($W246)&gt;0,AVERAGEIFS($Y$5:$Y$1000,$U$5:$U$1000,ROW(),$V$5:$V$1000,"Sub"),$Y246)))</f>
        <v/>
      </c>
      <c r="AD246" s="62">
        <f>IF($V246="","",IF(AND(ISNUMBER($G246),$G246&lt;=IF($S246=MesCiclo,InicioCiclo,$S246+MOD(2-WEEKDAY($S246),7))+13),1,IF(N($W246)&gt;0,AVERAGEIFS($Z$5:$Z$1000,$U$5:$U$1000,ROW(),$V$5:$V$1000,"Sub"),$Z246)))</f>
        <v/>
      </c>
      <c r="AE246" s="62">
        <f>IF($V246="","",IF(AND(ISNUMBER($G246),$G246&lt;=IF($S246=MesCiclo,InicioCiclo,$S246+MOD(2-WEEKDAY($S246),7))+20),1,IF(N($W246)&gt;0,AVERAGEIFS($AA$5:$AA$1000,$U$5:$U$1000,ROW(),$V$5:$V$1000,"Sub"),$AA246)))</f>
        <v/>
      </c>
      <c r="AF246" s="62">
        <f>IF($V246="","",IF(AND(ISNUMBER($G246),$G246&lt;=IF($S246=MesCiclo,InicioCiclo,$S246+MOD(2-WEEKDAY($S246),7))+27),1,IF(N($W246)&gt;0,AVERAGEIFS($AB$5:$AB$1000,$U$5:$U$1000,ROW(),$V$5:$V$1000,"Sub"),$AB246)))</f>
        <v/>
      </c>
      <c r="AG246" s="62">
        <f>IF($V246&lt;&gt;"Macro","",IF(COUNTIFS($S$5:$S$1000,$S246,$V$5:$V$1000,"Macro",$H$5:$H$1000,"&gt;0")=0,1/COUNTIFS($S$5:$S$1000,$S246,$V$5:$V$1000,"Macro"),IF(AND(ISNUMBER($H246),N($H246)&gt;0),$H246,SUMIFS($H$5:$H$1000,$S$5:$S$1000,$S246,$V$5:$V$1000,"Macro")/COUNTIFS($S$5:$S$1000,$S246,$V$5:$V$1000,"Macro",$H$5:$H$1000,"&gt;0"))/(COUNTIFS($S$5:$S$1000,$S246,$V$5:$V$1000,"Macro")*SUMIFS($H$5:$H$1000,$S$5:$S$1000,$S246,$V$5:$V$1000,"Macro")/COUNTIFS($S$5:$S$1000,$S246,$V$5:$V$1000,"Macro",$H$5:$H$1000,"&gt;0"))))</f>
        <v/>
      </c>
      <c r="AH246" s="62" t="n"/>
      <c r="AI246" s="62" t="n"/>
      <c r="AJ246" s="62" t="n"/>
      <c r="AK246" s="62" t="n"/>
      <c r="AL246" s="62">
        <f>IF(LEFT($C246,11)="[Jefatura] ",IFERROR(MATCH("Riesgo Operacional|"&amp;MID($C246,12,500),rDname_ADM,0),0),"")</f>
        <v/>
      </c>
      <c r="AM246" s="62">
        <f>IF(N($AL246)&gt;0,INDEX(rIni_ADM,$AL246),IF(ISNUMBER($E246),$E246,""))</f>
        <v/>
      </c>
      <c r="AN246" s="62">
        <f>IF(N($AL246)&gt;0,INDEX(rLim_ADM,$AL246),IF(ISNUMBER($F246),$F246,""))</f>
        <v/>
      </c>
    </row>
    <row r="247">
      <c r="A247" s="56">
        <f>IF(NOT((COUNTA($B247:$D247)+COUNTA($G247:$L247)+COUNTA($Q247))&gt;0),"",IF($V247="Macro",COUNTIFS($V$5:$V247,"Macro",$S$5:$S247,$S247),IF(N($U247)=0,"?",COUNTIFS(INDEX($V$5:$V$1000,1):INDEX($V$5:$V$1000,$U247-4),"Macro",INDEX($S$5:$S$1000,1):INDEX($S$5:$S$1000,$U247-4),INDEX($S$5:$S$1000,$U247-4))&amp;"."&amp;COUNTIFS($U$5:$U247,$U247,$V$5:$V247,"Sub"))))</f>
        <v/>
      </c>
      <c r="B247" s="57" t="n"/>
      <c r="C247" s="58" t="n"/>
      <c r="D247" s="58" t="n"/>
      <c r="E247" s="59">
        <f>IF(N($AL247)&gt;0,INDEX(rIni_ADM,$AL247),"")</f>
        <v/>
      </c>
      <c r="F247" s="59">
        <f>IF(N($AL247)&gt;0,INDEX(rLim_ADM,$AL247),"")</f>
        <v/>
      </c>
      <c r="G247" s="59" t="n"/>
      <c r="H247" s="60" t="n"/>
      <c r="I247" s="60" t="n"/>
      <c r="J247" s="60" t="n"/>
      <c r="K247" s="60" t="n"/>
      <c r="L247" s="60" t="n"/>
      <c r="M247" s="61">
        <f>IF(NOT((COUNTA($B247:$D247)+COUNTA($G247:$L247)+COUNTA($Q247))&gt;0),"",IF($V247="Sub",IFERROR($X247/INDEX($W$5:$W$1000,$U247-4),""),IF(ISNUMBER($G247),1,IF(N($W247)&gt;0,AVERAGEIFS($X$5:$X$1000,$U$5:$U$1000,ROW(),$V$5:$V$1000,"Sub"),$X247))))</f>
        <v/>
      </c>
      <c r="N247" s="56">
        <f>IF(OR($M247="",$V247="Sub"),"",IF($M247&gt;=1,"Completado",IF($M247&gt;0,"En curso","Pendiente")))</f>
        <v/>
      </c>
      <c r="O247" s="56">
        <f>IF(OR(NOT((COUNTA($B247:$D247)+COUNTA($G247:$L247)+COUNTA($Q247))&gt;0),$V247="Sub"),"",IF(ISNUMBER($G247),IF(AND(ISNUMBER($AN247),$G247&gt;$AN247),"Cumplida con "&amp;($G247-$AN247)&amp;IF($G247-$AN247=1," día"," días")&amp;" de retraso","Cumplida"),IF(N($M247)&gt;=1,"Cumplida",IF(NOT(ISNUMBER($AN247)),"Sin fecha límite",IF($AN247&lt;FechaRef,"Vencida hace "&amp;(FechaRef-$AN247)&amp;IF(FechaRef-$AN247=1," día"," días"),IF($AN247=FechaRef,"Vence hoy",IF($AN247-FechaRef&lt;=DiasAlerta,"Vence en "&amp;($AN247-FechaRef)&amp;IF($AN247-FechaRef=1," día"," días"),"En plazo")))))))</f>
        <v/>
      </c>
      <c r="P247" s="62" t="n"/>
      <c r="Q247" s="58" t="n"/>
      <c r="R247" s="63">
        <f>IF(NOT((COUNTA($B247:$D247)+COUNTA($G247:$L247)+COUNTA($Q247))&gt;0),"",IF((IF($C247="","Falta el nombre de la actividad"&amp;" · ","")&amp;IF(AND($V247="Sub",N($U247)=0),"Subactividad sin macroactividad arriba"&amp;" · ","")&amp;IF($AM247="","Sin fecha de inicio"&amp;" · ","")&amp;IF($AN247="","Sin fecha límite"&amp;" · ","")&amp;IF(AND(LEFT($C247,11)="[Jefatura] ",N($AL247)=0),"No se encuentra en la hoja de la jefatura (elíjala de nuevo en la lista)"&amp;" · ","")&amp;IF(OR(AND($E247&lt;&gt;"",NOT(ISNUMBER($E247))),AND($F247&lt;&gt;"",NOT(ISNUMBER($F247))),AND($G247&lt;&gt;"",NOT(ISNUMBER($G247)))),"Fecha no válida"&amp;" · ","")&amp;IF(AND(ISNUMBER($AM247),ISNUMBER($AN247),$AM247&gt;$AN247),"Inicio posterior a fecha límite"&amp;" · ","")&amp;IF(AND($V247="Macro",$H247&lt;&gt;"",OR(NOT(ISNUMBER($H247)),$H247&lt;0,$H247&gt;1)),"Peso fuera de rango"&amp;" · ","")&amp;IF(AND($V247="Sub",$H247&lt;&gt;""),"Las subactividades no llevan peso (valen igual dentro de su macroactividad)"&amp;" · ","")&amp;IF(AND(N($W247)&gt;0,COUNT($I247:$L247)&gt;0),"Con subactividades: deje vacías las semanas (se calculan solas)"&amp;" · ","")&amp;IF((COUNTIF($I247:$L247,"&gt;1")+COUNTIF($I247:$L247,"&lt;0")+COUNTA($I247:$L247)-COUNT($I247:$L247))&gt;0,"Avance fuera de rango 0-100%"&amp;" · ","")&amp;IF(OR(AND($J247&lt;&gt;"",$J247&lt;$I247),AND($K247&lt;&gt;"",$K247&lt;MAX($I247:$J247)),AND($L247&lt;&gt;"",$L247&lt;MAX($I247:$K247))),"Avance semanal decreciente"&amp;" · ","")&amp;IF(AND(ISNUMBER($AN247),$AN247&lt;FechaRef,IF($V247="Sub",N($X247),N($M247))&lt;1),"Vencida"&amp;" · ","")&amp;IF(AND(ObsObligatoria="Sí",ISNUMBER($AN247),$AN247&lt;FechaRef,IF($V247="Sub",N($X247),N($M247))&lt;1,$Q247=""),"Vencida sin observación"&amp;" · ",""))="","✔ OK","⚠ "&amp;LEFT(IF($C247="","Falta el nombre de la actividad"&amp;" · ","")&amp;IF(AND($V247="Sub",N($U247)=0),"Subactividad sin macroactividad arriba"&amp;" · ","")&amp;IF($AM247="","Sin fecha de inicio"&amp;" · ","")&amp;IF($AN247="","Sin fecha límite"&amp;" · ","")&amp;IF(AND(LEFT($C247,11)="[Jefatura] ",N($AL247)=0),"No se encuentra en la hoja de la jefatura (elíjala de nuevo en la lista)"&amp;" · ","")&amp;IF(OR(AND($E247&lt;&gt;"",NOT(ISNUMBER($E247))),AND($F247&lt;&gt;"",NOT(ISNUMBER($F247))),AND($G247&lt;&gt;"",NOT(ISNUMBER($G247)))),"Fecha no válida"&amp;" · ","")&amp;IF(AND(ISNUMBER($AM247),ISNUMBER($AN247),$AM247&gt;$AN247),"Inicio posterior a fecha límite"&amp;" · ","")&amp;IF(AND($V247="Macro",$H247&lt;&gt;"",OR(NOT(ISNUMBER($H247)),$H247&lt;0,$H247&gt;1)),"Peso fuera de rango"&amp;" · ","")&amp;IF(AND($V247="Sub",$H247&lt;&gt;""),"Las subactividades no llevan peso (valen igual dentro de su macroactividad)"&amp;" · ","")&amp;IF(AND(N($W247)&gt;0,COUNT($I247:$L247)&gt;0),"Con subactividades: deje vacías las semanas (se calculan solas)"&amp;" · ","")&amp;IF((COUNTIF($I247:$L247,"&gt;1")+COUNTIF($I247:$L247,"&lt;0")+COUNTA($I247:$L247)-COUNT($I247:$L247))&gt;0,"Avance fuera de rango 0-100%"&amp;" · ","")&amp;IF(OR(AND($J247&lt;&gt;"",$J247&lt;$I247),AND($K247&lt;&gt;"",$K247&lt;MAX($I247:$J247)),AND($L247&lt;&gt;"",$L247&lt;MAX($I247:$K247))),"Avance semanal decreciente"&amp;" · ","")&amp;IF(AND(ISNUMBER($AN247),$AN247&lt;FechaRef,IF($V247="Sub",N($X247),N($M247))&lt;1),"Vencida"&amp;" · ","")&amp;IF(AND(ObsObligatoria="Sí",ISNUMBER($AN247),$AN247&lt;FechaRef,IF($V247="Sub",N($X247),N($M247))&lt;1,$Q247=""),"Vencida sin observación"&amp;" · ",""),LEN(IF($C247="","Falta el nombre de la actividad"&amp;" · ","")&amp;IF(AND($V247="Sub",N($U247)=0),"Subactividad sin macroactividad arriba"&amp;" · ","")&amp;IF($AM247="","Sin fecha de inicio"&amp;" · ","")&amp;IF($AN247="","Sin fecha límite"&amp;" · ","")&amp;IF(AND(LEFT($C247,11)="[Jefatura] ",N($AL247)=0),"No se encuentra en la hoja de la jefatura (elíjala de nuevo en la lista)"&amp;" · ","")&amp;IF(OR(AND($E247&lt;&gt;"",NOT(ISNUMBER($E247))),AND($F247&lt;&gt;"",NOT(ISNUMBER($F247))),AND($G247&lt;&gt;"",NOT(ISNUMBER($G247)))),"Fecha no válida"&amp;" · ","")&amp;IF(AND(ISNUMBER($AM247),ISNUMBER($AN247),$AM247&gt;$AN247),"Inicio posterior a fecha límite"&amp;" · ","")&amp;IF(AND($V247="Macro",$H247&lt;&gt;"",OR(NOT(ISNUMBER($H247)),$H247&lt;0,$H247&gt;1)),"Peso fuera de rango"&amp;" · ","")&amp;IF(AND($V247="Sub",$H247&lt;&gt;""),"Las subactividades no llevan peso (valen igual dentro de su macroactividad)"&amp;" · ","")&amp;IF(AND(N($W247)&gt;0,COUNT($I247:$L247)&gt;0),"Con subactividades: deje vacías las semanas (se calculan solas)"&amp;" · ","")&amp;IF((COUNTIF($I247:$L247,"&gt;1")+COUNTIF($I247:$L247,"&lt;0")+COUNTA($I247:$L247)-COUNT($I247:$L247))&gt;0,"Avance fuera de rango 0-100%"&amp;" · ","")&amp;IF(OR(AND($J247&lt;&gt;"",$J247&lt;$I247),AND($K247&lt;&gt;"",$K247&lt;MAX($I247:$J247)),AND($L247&lt;&gt;"",$L247&lt;MAX($I247:$K247))),"Avance semanal decreciente"&amp;" · ","")&amp;IF(AND(ISNUMBER($AN247),$AN247&lt;FechaRef,IF($V247="Sub",N($X247),N($M247))&lt;1),"Vencida"&amp;" · ","")&amp;IF(AND(ObsObligatoria="Sí",ISNUMBER($AN247),$AN247&lt;FechaRef,IF($V247="Sub",N($X247),N($M247))&lt;1,$Q247=""),"Vencida sin observación"&amp;" · ",""))-3)))</f>
        <v/>
      </c>
      <c r="S247" s="64">
        <f>IF(NOT((COUNTA($B247:$D247)+COUNTA($G247:$L247)+COUNTA($Q247))&gt;0),"",IF(AND($V247="Sub",N($U247)&gt;0),IF(ISNUMBER(INDEX($AM$5:$AM$1000,$U247-4)),DATE(YEAR(INDEX($AM$5:$AM$1000,$U247-4)),MONTH(INDEX($AM$5:$AM$1000,$U247-4)),1),IF(ISNUMBER(INDEX($AN$5:$AN$1000,$U247-4)),DATE(YEAR(INDEX($AN$5:$AN$1000,$U247-4)),MONTH(INDEX($AN$5:$AN$1000,$U247-4)),1),MesCiclo)),IF(ISNUMBER($AM247),DATE(YEAR($AM247),MONTH($AM247),1),IF(ISNUMBER($AN247),DATE(YEAR($AN247),MONTH($AN247),1),MesCiclo))))</f>
        <v/>
      </c>
      <c r="T247" s="62">
        <f>IF(OR($S247="",$S247&lt;&gt;MesCiclo,$V247&lt;&gt;"Macro"),"",COUNTIFS($S$5:$S247,MesCiclo,$V$5:$V247,"Macro"))</f>
        <v/>
      </c>
      <c r="U247" s="62">
        <f>IF($V247="","",IF($V247="Macro",ROW(),IFERROR(LOOKUP(2,1/($V$5:$V247="Macro"),ROW($V$5:$V247)),0)))</f>
        <v/>
      </c>
      <c r="V247" s="62">
        <f>IF(NOT((COUNTA($B247:$D247)+COUNTA($G247:$L247)+COUNTA($Q247))&gt;0),"",IF($B247="Subactividad","Sub","Macro"))</f>
        <v/>
      </c>
      <c r="W247" s="62">
        <f>IF($V247="Macro",COUNTIFS($U$5:$U$1000,ROW(),$V$5:$V$1000,"Sub"),"")</f>
        <v/>
      </c>
      <c r="X247" s="62">
        <f>IF($V247="","",IF(ISNUMBER($G247),1,IFERROR(LOOKUP(2,1/($I247:$L247&lt;&gt;""),$I247:$L247),0)))</f>
        <v/>
      </c>
      <c r="Y247" s="62">
        <f>IF($V247="","",IF(AND(ISNUMBER($G247),$G247&lt;=IF($S247=MesCiclo,InicioCiclo,$S247+MOD(2-WEEKDAY($S247),7))+6),1,IF(ISNUMBER($I247),$I247,0)))</f>
        <v/>
      </c>
      <c r="Z247" s="62">
        <f>IF($V247="","",IF(AND(ISNUMBER($G247),$G247&lt;=IF($S247=MesCiclo,InicioCiclo,$S247+MOD(2-WEEKDAY($S247),7))+13),1,IF(ISNUMBER($J247),$J247,$Y247)))</f>
        <v/>
      </c>
      <c r="AA247" s="62">
        <f>IF($V247="","",IF(AND(ISNUMBER($G247),$G247&lt;=IF($S247=MesCiclo,InicioCiclo,$S247+MOD(2-WEEKDAY($S247),7))+20),1,IF(ISNUMBER($K247),$K247,$Z247)))</f>
        <v/>
      </c>
      <c r="AB247" s="62">
        <f>IF($V247="","",IF(AND(ISNUMBER($G247),$G247&lt;=IF($S247=MesCiclo,InicioCiclo,$S247+MOD(2-WEEKDAY($S247),7))+27),1,IF(ISNUMBER($L247),$L247,$AA247)))</f>
        <v/>
      </c>
      <c r="AC247" s="62">
        <f>IF($V247="","",IF(AND(ISNUMBER($G247),$G247&lt;=IF($S247=MesCiclo,InicioCiclo,$S247+MOD(2-WEEKDAY($S247),7))+6),1,IF(N($W247)&gt;0,AVERAGEIFS($Y$5:$Y$1000,$U$5:$U$1000,ROW(),$V$5:$V$1000,"Sub"),$Y247)))</f>
        <v/>
      </c>
      <c r="AD247" s="62">
        <f>IF($V247="","",IF(AND(ISNUMBER($G247),$G247&lt;=IF($S247=MesCiclo,InicioCiclo,$S247+MOD(2-WEEKDAY($S247),7))+13),1,IF(N($W247)&gt;0,AVERAGEIFS($Z$5:$Z$1000,$U$5:$U$1000,ROW(),$V$5:$V$1000,"Sub"),$Z247)))</f>
        <v/>
      </c>
      <c r="AE247" s="62">
        <f>IF($V247="","",IF(AND(ISNUMBER($G247),$G247&lt;=IF($S247=MesCiclo,InicioCiclo,$S247+MOD(2-WEEKDAY($S247),7))+20),1,IF(N($W247)&gt;0,AVERAGEIFS($AA$5:$AA$1000,$U$5:$U$1000,ROW(),$V$5:$V$1000,"Sub"),$AA247)))</f>
        <v/>
      </c>
      <c r="AF247" s="62">
        <f>IF($V247="","",IF(AND(ISNUMBER($G247),$G247&lt;=IF($S247=MesCiclo,InicioCiclo,$S247+MOD(2-WEEKDAY($S247),7))+27),1,IF(N($W247)&gt;0,AVERAGEIFS($AB$5:$AB$1000,$U$5:$U$1000,ROW(),$V$5:$V$1000,"Sub"),$AB247)))</f>
        <v/>
      </c>
      <c r="AG247" s="62">
        <f>IF($V247&lt;&gt;"Macro","",IF(COUNTIFS($S$5:$S$1000,$S247,$V$5:$V$1000,"Macro",$H$5:$H$1000,"&gt;0")=0,1/COUNTIFS($S$5:$S$1000,$S247,$V$5:$V$1000,"Macro"),IF(AND(ISNUMBER($H247),N($H247)&gt;0),$H247,SUMIFS($H$5:$H$1000,$S$5:$S$1000,$S247,$V$5:$V$1000,"Macro")/COUNTIFS($S$5:$S$1000,$S247,$V$5:$V$1000,"Macro",$H$5:$H$1000,"&gt;0"))/(COUNTIFS($S$5:$S$1000,$S247,$V$5:$V$1000,"Macro")*SUMIFS($H$5:$H$1000,$S$5:$S$1000,$S247,$V$5:$V$1000,"Macro")/COUNTIFS($S$5:$S$1000,$S247,$V$5:$V$1000,"Macro",$H$5:$H$1000,"&gt;0"))))</f>
        <v/>
      </c>
      <c r="AH247" s="62" t="n"/>
      <c r="AI247" s="62" t="n"/>
      <c r="AJ247" s="62" t="n"/>
      <c r="AK247" s="62" t="n"/>
      <c r="AL247" s="62">
        <f>IF(LEFT($C247,11)="[Jefatura] ",IFERROR(MATCH("Riesgo Operacional|"&amp;MID($C247,12,500),rDname_ADM,0),0),"")</f>
        <v/>
      </c>
      <c r="AM247" s="62">
        <f>IF(N($AL247)&gt;0,INDEX(rIni_ADM,$AL247),IF(ISNUMBER($E247),$E247,""))</f>
        <v/>
      </c>
      <c r="AN247" s="62">
        <f>IF(N($AL247)&gt;0,INDEX(rLim_ADM,$AL247),IF(ISNUMBER($F247),$F247,""))</f>
        <v/>
      </c>
    </row>
    <row r="248">
      <c r="A248" s="56">
        <f>IF(NOT((COUNTA($B248:$D248)+COUNTA($G248:$L248)+COUNTA($Q248))&gt;0),"",IF($V248="Macro",COUNTIFS($V$5:$V248,"Macro",$S$5:$S248,$S248),IF(N($U248)=0,"?",COUNTIFS(INDEX($V$5:$V$1000,1):INDEX($V$5:$V$1000,$U248-4),"Macro",INDEX($S$5:$S$1000,1):INDEX($S$5:$S$1000,$U248-4),INDEX($S$5:$S$1000,$U248-4))&amp;"."&amp;COUNTIFS($U$5:$U248,$U248,$V$5:$V248,"Sub"))))</f>
        <v/>
      </c>
      <c r="B248" s="57" t="n"/>
      <c r="C248" s="58" t="n"/>
      <c r="D248" s="58" t="n"/>
      <c r="E248" s="59">
        <f>IF(N($AL248)&gt;0,INDEX(rIni_ADM,$AL248),"")</f>
        <v/>
      </c>
      <c r="F248" s="59">
        <f>IF(N($AL248)&gt;0,INDEX(rLim_ADM,$AL248),"")</f>
        <v/>
      </c>
      <c r="G248" s="59" t="n"/>
      <c r="H248" s="60" t="n"/>
      <c r="I248" s="60" t="n"/>
      <c r="J248" s="60" t="n"/>
      <c r="K248" s="60" t="n"/>
      <c r="L248" s="60" t="n"/>
      <c r="M248" s="61">
        <f>IF(NOT((COUNTA($B248:$D248)+COUNTA($G248:$L248)+COUNTA($Q248))&gt;0),"",IF($V248="Sub",IFERROR($X248/INDEX($W$5:$W$1000,$U248-4),""),IF(ISNUMBER($G248),1,IF(N($W248)&gt;0,AVERAGEIFS($X$5:$X$1000,$U$5:$U$1000,ROW(),$V$5:$V$1000,"Sub"),$X248))))</f>
        <v/>
      </c>
      <c r="N248" s="56">
        <f>IF(OR($M248="",$V248="Sub"),"",IF($M248&gt;=1,"Completado",IF($M248&gt;0,"En curso","Pendiente")))</f>
        <v/>
      </c>
      <c r="O248" s="56">
        <f>IF(OR(NOT((COUNTA($B248:$D248)+COUNTA($G248:$L248)+COUNTA($Q248))&gt;0),$V248="Sub"),"",IF(ISNUMBER($G248),IF(AND(ISNUMBER($AN248),$G248&gt;$AN248),"Cumplida con "&amp;($G248-$AN248)&amp;IF($G248-$AN248=1," día"," días")&amp;" de retraso","Cumplida"),IF(N($M248)&gt;=1,"Cumplida",IF(NOT(ISNUMBER($AN248)),"Sin fecha límite",IF($AN248&lt;FechaRef,"Vencida hace "&amp;(FechaRef-$AN248)&amp;IF(FechaRef-$AN248=1," día"," días"),IF($AN248=FechaRef,"Vence hoy",IF($AN248-FechaRef&lt;=DiasAlerta,"Vence en "&amp;($AN248-FechaRef)&amp;IF($AN248-FechaRef=1," día"," días"),"En plazo")))))))</f>
        <v/>
      </c>
      <c r="P248" s="62" t="n"/>
      <c r="Q248" s="58" t="n"/>
      <c r="R248" s="63">
        <f>IF(NOT((COUNTA($B248:$D248)+COUNTA($G248:$L248)+COUNTA($Q248))&gt;0),"",IF((IF($C248="","Falta el nombre de la actividad"&amp;" · ","")&amp;IF(AND($V248="Sub",N($U248)=0),"Subactividad sin macroactividad arriba"&amp;" · ","")&amp;IF($AM248="","Sin fecha de inicio"&amp;" · ","")&amp;IF($AN248="","Sin fecha límite"&amp;" · ","")&amp;IF(AND(LEFT($C248,11)="[Jefatura] ",N($AL248)=0),"No se encuentra en la hoja de la jefatura (elíjala de nuevo en la lista)"&amp;" · ","")&amp;IF(OR(AND($E248&lt;&gt;"",NOT(ISNUMBER($E248))),AND($F248&lt;&gt;"",NOT(ISNUMBER($F248))),AND($G248&lt;&gt;"",NOT(ISNUMBER($G248)))),"Fecha no válida"&amp;" · ","")&amp;IF(AND(ISNUMBER($AM248),ISNUMBER($AN248),$AM248&gt;$AN248),"Inicio posterior a fecha límite"&amp;" · ","")&amp;IF(AND($V248="Macro",$H248&lt;&gt;"",OR(NOT(ISNUMBER($H248)),$H248&lt;0,$H248&gt;1)),"Peso fuera de rango"&amp;" · ","")&amp;IF(AND($V248="Sub",$H248&lt;&gt;""),"Las subactividades no llevan peso (valen igual dentro de su macroactividad)"&amp;" · ","")&amp;IF(AND(N($W248)&gt;0,COUNT($I248:$L248)&gt;0),"Con subactividades: deje vacías las semanas (se calculan solas)"&amp;" · ","")&amp;IF((COUNTIF($I248:$L248,"&gt;1")+COUNTIF($I248:$L248,"&lt;0")+COUNTA($I248:$L248)-COUNT($I248:$L248))&gt;0,"Avance fuera de rango 0-100%"&amp;" · ","")&amp;IF(OR(AND($J248&lt;&gt;"",$J248&lt;$I248),AND($K248&lt;&gt;"",$K248&lt;MAX($I248:$J248)),AND($L248&lt;&gt;"",$L248&lt;MAX($I248:$K248))),"Avance semanal decreciente"&amp;" · ","")&amp;IF(AND(ISNUMBER($AN248),$AN248&lt;FechaRef,IF($V248="Sub",N($X248),N($M248))&lt;1),"Vencida"&amp;" · ","")&amp;IF(AND(ObsObligatoria="Sí",ISNUMBER($AN248),$AN248&lt;FechaRef,IF($V248="Sub",N($X248),N($M248))&lt;1,$Q248=""),"Vencida sin observación"&amp;" · ",""))="","✔ OK","⚠ "&amp;LEFT(IF($C248="","Falta el nombre de la actividad"&amp;" · ","")&amp;IF(AND($V248="Sub",N($U248)=0),"Subactividad sin macroactividad arriba"&amp;" · ","")&amp;IF($AM248="","Sin fecha de inicio"&amp;" · ","")&amp;IF($AN248="","Sin fecha límite"&amp;" · ","")&amp;IF(AND(LEFT($C248,11)="[Jefatura] ",N($AL248)=0),"No se encuentra en la hoja de la jefatura (elíjala de nuevo en la lista)"&amp;" · ","")&amp;IF(OR(AND($E248&lt;&gt;"",NOT(ISNUMBER($E248))),AND($F248&lt;&gt;"",NOT(ISNUMBER($F248))),AND($G248&lt;&gt;"",NOT(ISNUMBER($G248)))),"Fecha no válida"&amp;" · ","")&amp;IF(AND(ISNUMBER($AM248),ISNUMBER($AN248),$AM248&gt;$AN248),"Inicio posterior a fecha límite"&amp;" · ","")&amp;IF(AND($V248="Macro",$H248&lt;&gt;"",OR(NOT(ISNUMBER($H248)),$H248&lt;0,$H248&gt;1)),"Peso fuera de rango"&amp;" · ","")&amp;IF(AND($V248="Sub",$H248&lt;&gt;""),"Las subactividades no llevan peso (valen igual dentro de su macroactividad)"&amp;" · ","")&amp;IF(AND(N($W248)&gt;0,COUNT($I248:$L248)&gt;0),"Con subactividades: deje vacías las semanas (se calculan solas)"&amp;" · ","")&amp;IF((COUNTIF($I248:$L248,"&gt;1")+COUNTIF($I248:$L248,"&lt;0")+COUNTA($I248:$L248)-COUNT($I248:$L248))&gt;0,"Avance fuera de rango 0-100%"&amp;" · ","")&amp;IF(OR(AND($J248&lt;&gt;"",$J248&lt;$I248),AND($K248&lt;&gt;"",$K248&lt;MAX($I248:$J248)),AND($L248&lt;&gt;"",$L248&lt;MAX($I248:$K248))),"Avance semanal decreciente"&amp;" · ","")&amp;IF(AND(ISNUMBER($AN248),$AN248&lt;FechaRef,IF($V248="Sub",N($X248),N($M248))&lt;1),"Vencida"&amp;" · ","")&amp;IF(AND(ObsObligatoria="Sí",ISNUMBER($AN248),$AN248&lt;FechaRef,IF($V248="Sub",N($X248),N($M248))&lt;1,$Q248=""),"Vencida sin observación"&amp;" · ",""),LEN(IF($C248="","Falta el nombre de la actividad"&amp;" · ","")&amp;IF(AND($V248="Sub",N($U248)=0),"Subactividad sin macroactividad arriba"&amp;" · ","")&amp;IF($AM248="","Sin fecha de inicio"&amp;" · ","")&amp;IF($AN248="","Sin fecha límite"&amp;" · ","")&amp;IF(AND(LEFT($C248,11)="[Jefatura] ",N($AL248)=0),"No se encuentra en la hoja de la jefatura (elíjala de nuevo en la lista)"&amp;" · ","")&amp;IF(OR(AND($E248&lt;&gt;"",NOT(ISNUMBER($E248))),AND($F248&lt;&gt;"",NOT(ISNUMBER($F248))),AND($G248&lt;&gt;"",NOT(ISNUMBER($G248)))),"Fecha no válida"&amp;" · ","")&amp;IF(AND(ISNUMBER($AM248),ISNUMBER($AN248),$AM248&gt;$AN248),"Inicio posterior a fecha límite"&amp;" · ","")&amp;IF(AND($V248="Macro",$H248&lt;&gt;"",OR(NOT(ISNUMBER($H248)),$H248&lt;0,$H248&gt;1)),"Peso fuera de rango"&amp;" · ","")&amp;IF(AND($V248="Sub",$H248&lt;&gt;""),"Las subactividades no llevan peso (valen igual dentro de su macroactividad)"&amp;" · ","")&amp;IF(AND(N($W248)&gt;0,COUNT($I248:$L248)&gt;0),"Con subactividades: deje vacías las semanas (se calculan solas)"&amp;" · ","")&amp;IF((COUNTIF($I248:$L248,"&gt;1")+COUNTIF($I248:$L248,"&lt;0")+COUNTA($I248:$L248)-COUNT($I248:$L248))&gt;0,"Avance fuera de rango 0-100%"&amp;" · ","")&amp;IF(OR(AND($J248&lt;&gt;"",$J248&lt;$I248),AND($K248&lt;&gt;"",$K248&lt;MAX($I248:$J248)),AND($L248&lt;&gt;"",$L248&lt;MAX($I248:$K248))),"Avance semanal decreciente"&amp;" · ","")&amp;IF(AND(ISNUMBER($AN248),$AN248&lt;FechaRef,IF($V248="Sub",N($X248),N($M248))&lt;1),"Vencida"&amp;" · ","")&amp;IF(AND(ObsObligatoria="Sí",ISNUMBER($AN248),$AN248&lt;FechaRef,IF($V248="Sub",N($X248),N($M248))&lt;1,$Q248=""),"Vencida sin observación"&amp;" · ",""))-3)))</f>
        <v/>
      </c>
      <c r="S248" s="64">
        <f>IF(NOT((COUNTA($B248:$D248)+COUNTA($G248:$L248)+COUNTA($Q248))&gt;0),"",IF(AND($V248="Sub",N($U248)&gt;0),IF(ISNUMBER(INDEX($AM$5:$AM$1000,$U248-4)),DATE(YEAR(INDEX($AM$5:$AM$1000,$U248-4)),MONTH(INDEX($AM$5:$AM$1000,$U248-4)),1),IF(ISNUMBER(INDEX($AN$5:$AN$1000,$U248-4)),DATE(YEAR(INDEX($AN$5:$AN$1000,$U248-4)),MONTH(INDEX($AN$5:$AN$1000,$U248-4)),1),MesCiclo)),IF(ISNUMBER($AM248),DATE(YEAR($AM248),MONTH($AM248),1),IF(ISNUMBER($AN248),DATE(YEAR($AN248),MONTH($AN248),1),MesCiclo))))</f>
        <v/>
      </c>
      <c r="T248" s="62">
        <f>IF(OR($S248="",$S248&lt;&gt;MesCiclo,$V248&lt;&gt;"Macro"),"",COUNTIFS($S$5:$S248,MesCiclo,$V$5:$V248,"Macro"))</f>
        <v/>
      </c>
      <c r="U248" s="62">
        <f>IF($V248="","",IF($V248="Macro",ROW(),IFERROR(LOOKUP(2,1/($V$5:$V248="Macro"),ROW($V$5:$V248)),0)))</f>
        <v/>
      </c>
      <c r="V248" s="62">
        <f>IF(NOT((COUNTA($B248:$D248)+COUNTA($G248:$L248)+COUNTA($Q248))&gt;0),"",IF($B248="Subactividad","Sub","Macro"))</f>
        <v/>
      </c>
      <c r="W248" s="62">
        <f>IF($V248="Macro",COUNTIFS($U$5:$U$1000,ROW(),$V$5:$V$1000,"Sub"),"")</f>
        <v/>
      </c>
      <c r="X248" s="62">
        <f>IF($V248="","",IF(ISNUMBER($G248),1,IFERROR(LOOKUP(2,1/($I248:$L248&lt;&gt;""),$I248:$L248),0)))</f>
        <v/>
      </c>
      <c r="Y248" s="62">
        <f>IF($V248="","",IF(AND(ISNUMBER($G248),$G248&lt;=IF($S248=MesCiclo,InicioCiclo,$S248+MOD(2-WEEKDAY($S248),7))+6),1,IF(ISNUMBER($I248),$I248,0)))</f>
        <v/>
      </c>
      <c r="Z248" s="62">
        <f>IF($V248="","",IF(AND(ISNUMBER($G248),$G248&lt;=IF($S248=MesCiclo,InicioCiclo,$S248+MOD(2-WEEKDAY($S248),7))+13),1,IF(ISNUMBER($J248),$J248,$Y248)))</f>
        <v/>
      </c>
      <c r="AA248" s="62">
        <f>IF($V248="","",IF(AND(ISNUMBER($G248),$G248&lt;=IF($S248=MesCiclo,InicioCiclo,$S248+MOD(2-WEEKDAY($S248),7))+20),1,IF(ISNUMBER($K248),$K248,$Z248)))</f>
        <v/>
      </c>
      <c r="AB248" s="62">
        <f>IF($V248="","",IF(AND(ISNUMBER($G248),$G248&lt;=IF($S248=MesCiclo,InicioCiclo,$S248+MOD(2-WEEKDAY($S248),7))+27),1,IF(ISNUMBER($L248),$L248,$AA248)))</f>
        <v/>
      </c>
      <c r="AC248" s="62">
        <f>IF($V248="","",IF(AND(ISNUMBER($G248),$G248&lt;=IF($S248=MesCiclo,InicioCiclo,$S248+MOD(2-WEEKDAY($S248),7))+6),1,IF(N($W248)&gt;0,AVERAGEIFS($Y$5:$Y$1000,$U$5:$U$1000,ROW(),$V$5:$V$1000,"Sub"),$Y248)))</f>
        <v/>
      </c>
      <c r="AD248" s="62">
        <f>IF($V248="","",IF(AND(ISNUMBER($G248),$G248&lt;=IF($S248=MesCiclo,InicioCiclo,$S248+MOD(2-WEEKDAY($S248),7))+13),1,IF(N($W248)&gt;0,AVERAGEIFS($Z$5:$Z$1000,$U$5:$U$1000,ROW(),$V$5:$V$1000,"Sub"),$Z248)))</f>
        <v/>
      </c>
      <c r="AE248" s="62">
        <f>IF($V248="","",IF(AND(ISNUMBER($G248),$G248&lt;=IF($S248=MesCiclo,InicioCiclo,$S248+MOD(2-WEEKDAY($S248),7))+20),1,IF(N($W248)&gt;0,AVERAGEIFS($AA$5:$AA$1000,$U$5:$U$1000,ROW(),$V$5:$V$1000,"Sub"),$AA248)))</f>
        <v/>
      </c>
      <c r="AF248" s="62">
        <f>IF($V248="","",IF(AND(ISNUMBER($G248),$G248&lt;=IF($S248=MesCiclo,InicioCiclo,$S248+MOD(2-WEEKDAY($S248),7))+27),1,IF(N($W248)&gt;0,AVERAGEIFS($AB$5:$AB$1000,$U$5:$U$1000,ROW(),$V$5:$V$1000,"Sub"),$AB248)))</f>
        <v/>
      </c>
      <c r="AG248" s="62">
        <f>IF($V248&lt;&gt;"Macro","",IF(COUNTIFS($S$5:$S$1000,$S248,$V$5:$V$1000,"Macro",$H$5:$H$1000,"&gt;0")=0,1/COUNTIFS($S$5:$S$1000,$S248,$V$5:$V$1000,"Macro"),IF(AND(ISNUMBER($H248),N($H248)&gt;0),$H248,SUMIFS($H$5:$H$1000,$S$5:$S$1000,$S248,$V$5:$V$1000,"Macro")/COUNTIFS($S$5:$S$1000,$S248,$V$5:$V$1000,"Macro",$H$5:$H$1000,"&gt;0"))/(COUNTIFS($S$5:$S$1000,$S248,$V$5:$V$1000,"Macro")*SUMIFS($H$5:$H$1000,$S$5:$S$1000,$S248,$V$5:$V$1000,"Macro")/COUNTIFS($S$5:$S$1000,$S248,$V$5:$V$1000,"Macro",$H$5:$H$1000,"&gt;0"))))</f>
        <v/>
      </c>
      <c r="AH248" s="62" t="n"/>
      <c r="AI248" s="62" t="n"/>
      <c r="AJ248" s="62" t="n"/>
      <c r="AK248" s="62" t="n"/>
      <c r="AL248" s="62">
        <f>IF(LEFT($C248,11)="[Jefatura] ",IFERROR(MATCH("Riesgo Operacional|"&amp;MID($C248,12,500),rDname_ADM,0),0),"")</f>
        <v/>
      </c>
      <c r="AM248" s="62">
        <f>IF(N($AL248)&gt;0,INDEX(rIni_ADM,$AL248),IF(ISNUMBER($E248),$E248,""))</f>
        <v/>
      </c>
      <c r="AN248" s="62">
        <f>IF(N($AL248)&gt;0,INDEX(rLim_ADM,$AL248),IF(ISNUMBER($F248),$F248,""))</f>
        <v/>
      </c>
    </row>
    <row r="249">
      <c r="A249" s="56">
        <f>IF(NOT((COUNTA($B249:$D249)+COUNTA($G249:$L249)+COUNTA($Q249))&gt;0),"",IF($V249="Macro",COUNTIFS($V$5:$V249,"Macro",$S$5:$S249,$S249),IF(N($U249)=0,"?",COUNTIFS(INDEX($V$5:$V$1000,1):INDEX($V$5:$V$1000,$U249-4),"Macro",INDEX($S$5:$S$1000,1):INDEX($S$5:$S$1000,$U249-4),INDEX($S$5:$S$1000,$U249-4))&amp;"."&amp;COUNTIFS($U$5:$U249,$U249,$V$5:$V249,"Sub"))))</f>
        <v/>
      </c>
      <c r="B249" s="57" t="n"/>
      <c r="C249" s="58" t="n"/>
      <c r="D249" s="58" t="n"/>
      <c r="E249" s="59">
        <f>IF(N($AL249)&gt;0,INDEX(rIni_ADM,$AL249),"")</f>
        <v/>
      </c>
      <c r="F249" s="59">
        <f>IF(N($AL249)&gt;0,INDEX(rLim_ADM,$AL249),"")</f>
        <v/>
      </c>
      <c r="G249" s="59" t="n"/>
      <c r="H249" s="60" t="n"/>
      <c r="I249" s="60" t="n"/>
      <c r="J249" s="60" t="n"/>
      <c r="K249" s="60" t="n"/>
      <c r="L249" s="60" t="n"/>
      <c r="M249" s="61">
        <f>IF(NOT((COUNTA($B249:$D249)+COUNTA($G249:$L249)+COUNTA($Q249))&gt;0),"",IF($V249="Sub",IFERROR($X249/INDEX($W$5:$W$1000,$U249-4),""),IF(ISNUMBER($G249),1,IF(N($W249)&gt;0,AVERAGEIFS($X$5:$X$1000,$U$5:$U$1000,ROW(),$V$5:$V$1000,"Sub"),$X249))))</f>
        <v/>
      </c>
      <c r="N249" s="56">
        <f>IF(OR($M249="",$V249="Sub"),"",IF($M249&gt;=1,"Completado",IF($M249&gt;0,"En curso","Pendiente")))</f>
        <v/>
      </c>
      <c r="O249" s="56">
        <f>IF(OR(NOT((COUNTA($B249:$D249)+COUNTA($G249:$L249)+COUNTA($Q249))&gt;0),$V249="Sub"),"",IF(ISNUMBER($G249),IF(AND(ISNUMBER($AN249),$G249&gt;$AN249),"Cumplida con "&amp;($G249-$AN249)&amp;IF($G249-$AN249=1," día"," días")&amp;" de retraso","Cumplida"),IF(N($M249)&gt;=1,"Cumplida",IF(NOT(ISNUMBER($AN249)),"Sin fecha límite",IF($AN249&lt;FechaRef,"Vencida hace "&amp;(FechaRef-$AN249)&amp;IF(FechaRef-$AN249=1," día"," días"),IF($AN249=FechaRef,"Vence hoy",IF($AN249-FechaRef&lt;=DiasAlerta,"Vence en "&amp;($AN249-FechaRef)&amp;IF($AN249-FechaRef=1," día"," días"),"En plazo")))))))</f>
        <v/>
      </c>
      <c r="P249" s="62" t="n"/>
      <c r="Q249" s="58" t="n"/>
      <c r="R249" s="63">
        <f>IF(NOT((COUNTA($B249:$D249)+COUNTA($G249:$L249)+COUNTA($Q249))&gt;0),"",IF((IF($C249="","Falta el nombre de la actividad"&amp;" · ","")&amp;IF(AND($V249="Sub",N($U249)=0),"Subactividad sin macroactividad arriba"&amp;" · ","")&amp;IF($AM249="","Sin fecha de inicio"&amp;" · ","")&amp;IF($AN249="","Sin fecha límite"&amp;" · ","")&amp;IF(AND(LEFT($C249,11)="[Jefatura] ",N($AL249)=0),"No se encuentra en la hoja de la jefatura (elíjala de nuevo en la lista)"&amp;" · ","")&amp;IF(OR(AND($E249&lt;&gt;"",NOT(ISNUMBER($E249))),AND($F249&lt;&gt;"",NOT(ISNUMBER($F249))),AND($G249&lt;&gt;"",NOT(ISNUMBER($G249)))),"Fecha no válida"&amp;" · ","")&amp;IF(AND(ISNUMBER($AM249),ISNUMBER($AN249),$AM249&gt;$AN249),"Inicio posterior a fecha límite"&amp;" · ","")&amp;IF(AND($V249="Macro",$H249&lt;&gt;"",OR(NOT(ISNUMBER($H249)),$H249&lt;0,$H249&gt;1)),"Peso fuera de rango"&amp;" · ","")&amp;IF(AND($V249="Sub",$H249&lt;&gt;""),"Las subactividades no llevan peso (valen igual dentro de su macroactividad)"&amp;" · ","")&amp;IF(AND(N($W249)&gt;0,COUNT($I249:$L249)&gt;0),"Con subactividades: deje vacías las semanas (se calculan solas)"&amp;" · ","")&amp;IF((COUNTIF($I249:$L249,"&gt;1")+COUNTIF($I249:$L249,"&lt;0")+COUNTA($I249:$L249)-COUNT($I249:$L249))&gt;0,"Avance fuera de rango 0-100%"&amp;" · ","")&amp;IF(OR(AND($J249&lt;&gt;"",$J249&lt;$I249),AND($K249&lt;&gt;"",$K249&lt;MAX($I249:$J249)),AND($L249&lt;&gt;"",$L249&lt;MAX($I249:$K249))),"Avance semanal decreciente"&amp;" · ","")&amp;IF(AND(ISNUMBER($AN249),$AN249&lt;FechaRef,IF($V249="Sub",N($X249),N($M249))&lt;1),"Vencida"&amp;" · ","")&amp;IF(AND(ObsObligatoria="Sí",ISNUMBER($AN249),$AN249&lt;FechaRef,IF($V249="Sub",N($X249),N($M249))&lt;1,$Q249=""),"Vencida sin observación"&amp;" · ",""))="","✔ OK","⚠ "&amp;LEFT(IF($C249="","Falta el nombre de la actividad"&amp;" · ","")&amp;IF(AND($V249="Sub",N($U249)=0),"Subactividad sin macroactividad arriba"&amp;" · ","")&amp;IF($AM249="","Sin fecha de inicio"&amp;" · ","")&amp;IF($AN249="","Sin fecha límite"&amp;" · ","")&amp;IF(AND(LEFT($C249,11)="[Jefatura] ",N($AL249)=0),"No se encuentra en la hoja de la jefatura (elíjala de nuevo en la lista)"&amp;" · ","")&amp;IF(OR(AND($E249&lt;&gt;"",NOT(ISNUMBER($E249))),AND($F249&lt;&gt;"",NOT(ISNUMBER($F249))),AND($G249&lt;&gt;"",NOT(ISNUMBER($G249)))),"Fecha no válida"&amp;" · ","")&amp;IF(AND(ISNUMBER($AM249),ISNUMBER($AN249),$AM249&gt;$AN249),"Inicio posterior a fecha límite"&amp;" · ","")&amp;IF(AND($V249="Macro",$H249&lt;&gt;"",OR(NOT(ISNUMBER($H249)),$H249&lt;0,$H249&gt;1)),"Peso fuera de rango"&amp;" · ","")&amp;IF(AND($V249="Sub",$H249&lt;&gt;""),"Las subactividades no llevan peso (valen igual dentro de su macroactividad)"&amp;" · ","")&amp;IF(AND(N($W249)&gt;0,COUNT($I249:$L249)&gt;0),"Con subactividades: deje vacías las semanas (se calculan solas)"&amp;" · ","")&amp;IF((COUNTIF($I249:$L249,"&gt;1")+COUNTIF($I249:$L249,"&lt;0")+COUNTA($I249:$L249)-COUNT($I249:$L249))&gt;0,"Avance fuera de rango 0-100%"&amp;" · ","")&amp;IF(OR(AND($J249&lt;&gt;"",$J249&lt;$I249),AND($K249&lt;&gt;"",$K249&lt;MAX($I249:$J249)),AND($L249&lt;&gt;"",$L249&lt;MAX($I249:$K249))),"Avance semanal decreciente"&amp;" · ","")&amp;IF(AND(ISNUMBER($AN249),$AN249&lt;FechaRef,IF($V249="Sub",N($X249),N($M249))&lt;1),"Vencida"&amp;" · ","")&amp;IF(AND(ObsObligatoria="Sí",ISNUMBER($AN249),$AN249&lt;FechaRef,IF($V249="Sub",N($X249),N($M249))&lt;1,$Q249=""),"Vencida sin observación"&amp;" · ",""),LEN(IF($C249="","Falta el nombre de la actividad"&amp;" · ","")&amp;IF(AND($V249="Sub",N($U249)=0),"Subactividad sin macroactividad arriba"&amp;" · ","")&amp;IF($AM249="","Sin fecha de inicio"&amp;" · ","")&amp;IF($AN249="","Sin fecha límite"&amp;" · ","")&amp;IF(AND(LEFT($C249,11)="[Jefatura] ",N($AL249)=0),"No se encuentra en la hoja de la jefatura (elíjala de nuevo en la lista)"&amp;" · ","")&amp;IF(OR(AND($E249&lt;&gt;"",NOT(ISNUMBER($E249))),AND($F249&lt;&gt;"",NOT(ISNUMBER($F249))),AND($G249&lt;&gt;"",NOT(ISNUMBER($G249)))),"Fecha no válida"&amp;" · ","")&amp;IF(AND(ISNUMBER($AM249),ISNUMBER($AN249),$AM249&gt;$AN249),"Inicio posterior a fecha límite"&amp;" · ","")&amp;IF(AND($V249="Macro",$H249&lt;&gt;"",OR(NOT(ISNUMBER($H249)),$H249&lt;0,$H249&gt;1)),"Peso fuera de rango"&amp;" · ","")&amp;IF(AND($V249="Sub",$H249&lt;&gt;""),"Las subactividades no llevan peso (valen igual dentro de su macroactividad)"&amp;" · ","")&amp;IF(AND(N($W249)&gt;0,COUNT($I249:$L249)&gt;0),"Con subactividades: deje vacías las semanas (se calculan solas)"&amp;" · ","")&amp;IF((COUNTIF($I249:$L249,"&gt;1")+COUNTIF($I249:$L249,"&lt;0")+COUNTA($I249:$L249)-COUNT($I249:$L249))&gt;0,"Avance fuera de rango 0-100%"&amp;" · ","")&amp;IF(OR(AND($J249&lt;&gt;"",$J249&lt;$I249),AND($K249&lt;&gt;"",$K249&lt;MAX($I249:$J249)),AND($L249&lt;&gt;"",$L249&lt;MAX($I249:$K249))),"Avance semanal decreciente"&amp;" · ","")&amp;IF(AND(ISNUMBER($AN249),$AN249&lt;FechaRef,IF($V249="Sub",N($X249),N($M249))&lt;1),"Vencida"&amp;" · ","")&amp;IF(AND(ObsObligatoria="Sí",ISNUMBER($AN249),$AN249&lt;FechaRef,IF($V249="Sub",N($X249),N($M249))&lt;1,$Q249=""),"Vencida sin observación"&amp;" · ",""))-3)))</f>
        <v/>
      </c>
      <c r="S249" s="64">
        <f>IF(NOT((COUNTA($B249:$D249)+COUNTA($G249:$L249)+COUNTA($Q249))&gt;0),"",IF(AND($V249="Sub",N($U249)&gt;0),IF(ISNUMBER(INDEX($AM$5:$AM$1000,$U249-4)),DATE(YEAR(INDEX($AM$5:$AM$1000,$U249-4)),MONTH(INDEX($AM$5:$AM$1000,$U249-4)),1),IF(ISNUMBER(INDEX($AN$5:$AN$1000,$U249-4)),DATE(YEAR(INDEX($AN$5:$AN$1000,$U249-4)),MONTH(INDEX($AN$5:$AN$1000,$U249-4)),1),MesCiclo)),IF(ISNUMBER($AM249),DATE(YEAR($AM249),MONTH($AM249),1),IF(ISNUMBER($AN249),DATE(YEAR($AN249),MONTH($AN249),1),MesCiclo))))</f>
        <v/>
      </c>
      <c r="T249" s="62">
        <f>IF(OR($S249="",$S249&lt;&gt;MesCiclo,$V249&lt;&gt;"Macro"),"",COUNTIFS($S$5:$S249,MesCiclo,$V$5:$V249,"Macro"))</f>
        <v/>
      </c>
      <c r="U249" s="62">
        <f>IF($V249="","",IF($V249="Macro",ROW(),IFERROR(LOOKUP(2,1/($V$5:$V249="Macro"),ROW($V$5:$V249)),0)))</f>
        <v/>
      </c>
      <c r="V249" s="62">
        <f>IF(NOT((COUNTA($B249:$D249)+COUNTA($G249:$L249)+COUNTA($Q249))&gt;0),"",IF($B249="Subactividad","Sub","Macro"))</f>
        <v/>
      </c>
      <c r="W249" s="62">
        <f>IF($V249="Macro",COUNTIFS($U$5:$U$1000,ROW(),$V$5:$V$1000,"Sub"),"")</f>
        <v/>
      </c>
      <c r="X249" s="62">
        <f>IF($V249="","",IF(ISNUMBER($G249),1,IFERROR(LOOKUP(2,1/($I249:$L249&lt;&gt;""),$I249:$L249),0)))</f>
        <v/>
      </c>
      <c r="Y249" s="62">
        <f>IF($V249="","",IF(AND(ISNUMBER($G249),$G249&lt;=IF($S249=MesCiclo,InicioCiclo,$S249+MOD(2-WEEKDAY($S249),7))+6),1,IF(ISNUMBER($I249),$I249,0)))</f>
        <v/>
      </c>
      <c r="Z249" s="62">
        <f>IF($V249="","",IF(AND(ISNUMBER($G249),$G249&lt;=IF($S249=MesCiclo,InicioCiclo,$S249+MOD(2-WEEKDAY($S249),7))+13),1,IF(ISNUMBER($J249),$J249,$Y249)))</f>
        <v/>
      </c>
      <c r="AA249" s="62">
        <f>IF($V249="","",IF(AND(ISNUMBER($G249),$G249&lt;=IF($S249=MesCiclo,InicioCiclo,$S249+MOD(2-WEEKDAY($S249),7))+20),1,IF(ISNUMBER($K249),$K249,$Z249)))</f>
        <v/>
      </c>
      <c r="AB249" s="62">
        <f>IF($V249="","",IF(AND(ISNUMBER($G249),$G249&lt;=IF($S249=MesCiclo,InicioCiclo,$S249+MOD(2-WEEKDAY($S249),7))+27),1,IF(ISNUMBER($L249),$L249,$AA249)))</f>
        <v/>
      </c>
      <c r="AC249" s="62">
        <f>IF($V249="","",IF(AND(ISNUMBER($G249),$G249&lt;=IF($S249=MesCiclo,InicioCiclo,$S249+MOD(2-WEEKDAY($S249),7))+6),1,IF(N($W249)&gt;0,AVERAGEIFS($Y$5:$Y$1000,$U$5:$U$1000,ROW(),$V$5:$V$1000,"Sub"),$Y249)))</f>
        <v/>
      </c>
      <c r="AD249" s="62">
        <f>IF($V249="","",IF(AND(ISNUMBER($G249),$G249&lt;=IF($S249=MesCiclo,InicioCiclo,$S249+MOD(2-WEEKDAY($S249),7))+13),1,IF(N($W249)&gt;0,AVERAGEIFS($Z$5:$Z$1000,$U$5:$U$1000,ROW(),$V$5:$V$1000,"Sub"),$Z249)))</f>
        <v/>
      </c>
      <c r="AE249" s="62">
        <f>IF($V249="","",IF(AND(ISNUMBER($G249),$G249&lt;=IF($S249=MesCiclo,InicioCiclo,$S249+MOD(2-WEEKDAY($S249),7))+20),1,IF(N($W249)&gt;0,AVERAGEIFS($AA$5:$AA$1000,$U$5:$U$1000,ROW(),$V$5:$V$1000,"Sub"),$AA249)))</f>
        <v/>
      </c>
      <c r="AF249" s="62">
        <f>IF($V249="","",IF(AND(ISNUMBER($G249),$G249&lt;=IF($S249=MesCiclo,InicioCiclo,$S249+MOD(2-WEEKDAY($S249),7))+27),1,IF(N($W249)&gt;0,AVERAGEIFS($AB$5:$AB$1000,$U$5:$U$1000,ROW(),$V$5:$V$1000,"Sub"),$AB249)))</f>
        <v/>
      </c>
      <c r="AG249" s="62">
        <f>IF($V249&lt;&gt;"Macro","",IF(COUNTIFS($S$5:$S$1000,$S249,$V$5:$V$1000,"Macro",$H$5:$H$1000,"&gt;0")=0,1/COUNTIFS($S$5:$S$1000,$S249,$V$5:$V$1000,"Macro"),IF(AND(ISNUMBER($H249),N($H249)&gt;0),$H249,SUMIFS($H$5:$H$1000,$S$5:$S$1000,$S249,$V$5:$V$1000,"Macro")/COUNTIFS($S$5:$S$1000,$S249,$V$5:$V$1000,"Macro",$H$5:$H$1000,"&gt;0"))/(COUNTIFS($S$5:$S$1000,$S249,$V$5:$V$1000,"Macro")*SUMIFS($H$5:$H$1000,$S$5:$S$1000,$S249,$V$5:$V$1000,"Macro")/COUNTIFS($S$5:$S$1000,$S249,$V$5:$V$1000,"Macro",$H$5:$H$1000,"&gt;0"))))</f>
        <v/>
      </c>
      <c r="AH249" s="62" t="n"/>
      <c r="AI249" s="62" t="n"/>
      <c r="AJ249" s="62" t="n"/>
      <c r="AK249" s="62" t="n"/>
      <c r="AL249" s="62">
        <f>IF(LEFT($C249,11)="[Jefatura] ",IFERROR(MATCH("Riesgo Operacional|"&amp;MID($C249,12,500),rDname_ADM,0),0),"")</f>
        <v/>
      </c>
      <c r="AM249" s="62">
        <f>IF(N($AL249)&gt;0,INDEX(rIni_ADM,$AL249),IF(ISNUMBER($E249),$E249,""))</f>
        <v/>
      </c>
      <c r="AN249" s="62">
        <f>IF(N($AL249)&gt;0,INDEX(rLim_ADM,$AL249),IF(ISNUMBER($F249),$F249,""))</f>
        <v/>
      </c>
    </row>
    <row r="250">
      <c r="A250" s="56">
        <f>IF(NOT((COUNTA($B250:$D250)+COUNTA($G250:$L250)+COUNTA($Q250))&gt;0),"",IF($V250="Macro",COUNTIFS($V$5:$V250,"Macro",$S$5:$S250,$S250),IF(N($U250)=0,"?",COUNTIFS(INDEX($V$5:$V$1000,1):INDEX($V$5:$V$1000,$U250-4),"Macro",INDEX($S$5:$S$1000,1):INDEX($S$5:$S$1000,$U250-4),INDEX($S$5:$S$1000,$U250-4))&amp;"."&amp;COUNTIFS($U$5:$U250,$U250,$V$5:$V250,"Sub"))))</f>
        <v/>
      </c>
      <c r="B250" s="57" t="n"/>
      <c r="C250" s="58" t="n"/>
      <c r="D250" s="58" t="n"/>
      <c r="E250" s="59">
        <f>IF(N($AL250)&gt;0,INDEX(rIni_ADM,$AL250),"")</f>
        <v/>
      </c>
      <c r="F250" s="59">
        <f>IF(N($AL250)&gt;0,INDEX(rLim_ADM,$AL250),"")</f>
        <v/>
      </c>
      <c r="G250" s="59" t="n"/>
      <c r="H250" s="60" t="n"/>
      <c r="I250" s="60" t="n"/>
      <c r="J250" s="60" t="n"/>
      <c r="K250" s="60" t="n"/>
      <c r="L250" s="60" t="n"/>
      <c r="M250" s="61">
        <f>IF(NOT((COUNTA($B250:$D250)+COUNTA($G250:$L250)+COUNTA($Q250))&gt;0),"",IF($V250="Sub",IFERROR($X250/INDEX($W$5:$W$1000,$U250-4),""),IF(ISNUMBER($G250),1,IF(N($W250)&gt;0,AVERAGEIFS($X$5:$X$1000,$U$5:$U$1000,ROW(),$V$5:$V$1000,"Sub"),$X250))))</f>
        <v/>
      </c>
      <c r="N250" s="56">
        <f>IF(OR($M250="",$V250="Sub"),"",IF($M250&gt;=1,"Completado",IF($M250&gt;0,"En curso","Pendiente")))</f>
        <v/>
      </c>
      <c r="O250" s="56">
        <f>IF(OR(NOT((COUNTA($B250:$D250)+COUNTA($G250:$L250)+COUNTA($Q250))&gt;0),$V250="Sub"),"",IF(ISNUMBER($G250),IF(AND(ISNUMBER($AN250),$G250&gt;$AN250),"Cumplida con "&amp;($G250-$AN250)&amp;IF($G250-$AN250=1," día"," días")&amp;" de retraso","Cumplida"),IF(N($M250)&gt;=1,"Cumplida",IF(NOT(ISNUMBER($AN250)),"Sin fecha límite",IF($AN250&lt;FechaRef,"Vencida hace "&amp;(FechaRef-$AN250)&amp;IF(FechaRef-$AN250=1," día"," días"),IF($AN250=FechaRef,"Vence hoy",IF($AN250-FechaRef&lt;=DiasAlerta,"Vence en "&amp;($AN250-FechaRef)&amp;IF($AN250-FechaRef=1," día"," días"),"En plazo")))))))</f>
        <v/>
      </c>
      <c r="P250" s="62" t="n"/>
      <c r="Q250" s="58" t="n"/>
      <c r="R250" s="63">
        <f>IF(NOT((COUNTA($B250:$D250)+COUNTA($G250:$L250)+COUNTA($Q250))&gt;0),"",IF((IF($C250="","Falta el nombre de la actividad"&amp;" · ","")&amp;IF(AND($V250="Sub",N($U250)=0),"Subactividad sin macroactividad arriba"&amp;" · ","")&amp;IF($AM250="","Sin fecha de inicio"&amp;" · ","")&amp;IF($AN250="","Sin fecha límite"&amp;" · ","")&amp;IF(AND(LEFT($C250,11)="[Jefatura] ",N($AL250)=0),"No se encuentra en la hoja de la jefatura (elíjala de nuevo en la lista)"&amp;" · ","")&amp;IF(OR(AND($E250&lt;&gt;"",NOT(ISNUMBER($E250))),AND($F250&lt;&gt;"",NOT(ISNUMBER($F250))),AND($G250&lt;&gt;"",NOT(ISNUMBER($G250)))),"Fecha no válida"&amp;" · ","")&amp;IF(AND(ISNUMBER($AM250),ISNUMBER($AN250),$AM250&gt;$AN250),"Inicio posterior a fecha límite"&amp;" · ","")&amp;IF(AND($V250="Macro",$H250&lt;&gt;"",OR(NOT(ISNUMBER($H250)),$H250&lt;0,$H250&gt;1)),"Peso fuera de rango"&amp;" · ","")&amp;IF(AND($V250="Sub",$H250&lt;&gt;""),"Las subactividades no llevan peso (valen igual dentro de su macroactividad)"&amp;" · ","")&amp;IF(AND(N($W250)&gt;0,COUNT($I250:$L250)&gt;0),"Con subactividades: deje vacías las semanas (se calculan solas)"&amp;" · ","")&amp;IF((COUNTIF($I250:$L250,"&gt;1")+COUNTIF($I250:$L250,"&lt;0")+COUNTA($I250:$L250)-COUNT($I250:$L250))&gt;0,"Avance fuera de rango 0-100%"&amp;" · ","")&amp;IF(OR(AND($J250&lt;&gt;"",$J250&lt;$I250),AND($K250&lt;&gt;"",$K250&lt;MAX($I250:$J250)),AND($L250&lt;&gt;"",$L250&lt;MAX($I250:$K250))),"Avance semanal decreciente"&amp;" · ","")&amp;IF(AND(ISNUMBER($AN250),$AN250&lt;FechaRef,IF($V250="Sub",N($X250),N($M250))&lt;1),"Vencida"&amp;" · ","")&amp;IF(AND(ObsObligatoria="Sí",ISNUMBER($AN250),$AN250&lt;FechaRef,IF($V250="Sub",N($X250),N($M250))&lt;1,$Q250=""),"Vencida sin observación"&amp;" · ",""))="","✔ OK","⚠ "&amp;LEFT(IF($C250="","Falta el nombre de la actividad"&amp;" · ","")&amp;IF(AND($V250="Sub",N($U250)=0),"Subactividad sin macroactividad arriba"&amp;" · ","")&amp;IF($AM250="","Sin fecha de inicio"&amp;" · ","")&amp;IF($AN250="","Sin fecha límite"&amp;" · ","")&amp;IF(AND(LEFT($C250,11)="[Jefatura] ",N($AL250)=0),"No se encuentra en la hoja de la jefatura (elíjala de nuevo en la lista)"&amp;" · ","")&amp;IF(OR(AND($E250&lt;&gt;"",NOT(ISNUMBER($E250))),AND($F250&lt;&gt;"",NOT(ISNUMBER($F250))),AND($G250&lt;&gt;"",NOT(ISNUMBER($G250)))),"Fecha no válida"&amp;" · ","")&amp;IF(AND(ISNUMBER($AM250),ISNUMBER($AN250),$AM250&gt;$AN250),"Inicio posterior a fecha límite"&amp;" · ","")&amp;IF(AND($V250="Macro",$H250&lt;&gt;"",OR(NOT(ISNUMBER($H250)),$H250&lt;0,$H250&gt;1)),"Peso fuera de rango"&amp;" · ","")&amp;IF(AND($V250="Sub",$H250&lt;&gt;""),"Las subactividades no llevan peso (valen igual dentro de su macroactividad)"&amp;" · ","")&amp;IF(AND(N($W250)&gt;0,COUNT($I250:$L250)&gt;0),"Con subactividades: deje vacías las semanas (se calculan solas)"&amp;" · ","")&amp;IF((COUNTIF($I250:$L250,"&gt;1")+COUNTIF($I250:$L250,"&lt;0")+COUNTA($I250:$L250)-COUNT($I250:$L250))&gt;0,"Avance fuera de rango 0-100%"&amp;" · ","")&amp;IF(OR(AND($J250&lt;&gt;"",$J250&lt;$I250),AND($K250&lt;&gt;"",$K250&lt;MAX($I250:$J250)),AND($L250&lt;&gt;"",$L250&lt;MAX($I250:$K250))),"Avance semanal decreciente"&amp;" · ","")&amp;IF(AND(ISNUMBER($AN250),$AN250&lt;FechaRef,IF($V250="Sub",N($X250),N($M250))&lt;1),"Vencida"&amp;" · ","")&amp;IF(AND(ObsObligatoria="Sí",ISNUMBER($AN250),$AN250&lt;FechaRef,IF($V250="Sub",N($X250),N($M250))&lt;1,$Q250=""),"Vencida sin observación"&amp;" · ",""),LEN(IF($C250="","Falta el nombre de la actividad"&amp;" · ","")&amp;IF(AND($V250="Sub",N($U250)=0),"Subactividad sin macroactividad arriba"&amp;" · ","")&amp;IF($AM250="","Sin fecha de inicio"&amp;" · ","")&amp;IF($AN250="","Sin fecha límite"&amp;" · ","")&amp;IF(AND(LEFT($C250,11)="[Jefatura] ",N($AL250)=0),"No se encuentra en la hoja de la jefatura (elíjala de nuevo en la lista)"&amp;" · ","")&amp;IF(OR(AND($E250&lt;&gt;"",NOT(ISNUMBER($E250))),AND($F250&lt;&gt;"",NOT(ISNUMBER($F250))),AND($G250&lt;&gt;"",NOT(ISNUMBER($G250)))),"Fecha no válida"&amp;" · ","")&amp;IF(AND(ISNUMBER($AM250),ISNUMBER($AN250),$AM250&gt;$AN250),"Inicio posterior a fecha límite"&amp;" · ","")&amp;IF(AND($V250="Macro",$H250&lt;&gt;"",OR(NOT(ISNUMBER($H250)),$H250&lt;0,$H250&gt;1)),"Peso fuera de rango"&amp;" · ","")&amp;IF(AND($V250="Sub",$H250&lt;&gt;""),"Las subactividades no llevan peso (valen igual dentro de su macroactividad)"&amp;" · ","")&amp;IF(AND(N($W250)&gt;0,COUNT($I250:$L250)&gt;0),"Con subactividades: deje vacías las semanas (se calculan solas)"&amp;" · ","")&amp;IF((COUNTIF($I250:$L250,"&gt;1")+COUNTIF($I250:$L250,"&lt;0")+COUNTA($I250:$L250)-COUNT($I250:$L250))&gt;0,"Avance fuera de rango 0-100%"&amp;" · ","")&amp;IF(OR(AND($J250&lt;&gt;"",$J250&lt;$I250),AND($K250&lt;&gt;"",$K250&lt;MAX($I250:$J250)),AND($L250&lt;&gt;"",$L250&lt;MAX($I250:$K250))),"Avance semanal decreciente"&amp;" · ","")&amp;IF(AND(ISNUMBER($AN250),$AN250&lt;FechaRef,IF($V250="Sub",N($X250),N($M250))&lt;1),"Vencida"&amp;" · ","")&amp;IF(AND(ObsObligatoria="Sí",ISNUMBER($AN250),$AN250&lt;FechaRef,IF($V250="Sub",N($X250),N($M250))&lt;1,$Q250=""),"Vencida sin observación"&amp;" · ",""))-3)))</f>
        <v/>
      </c>
      <c r="S250" s="64">
        <f>IF(NOT((COUNTA($B250:$D250)+COUNTA($G250:$L250)+COUNTA($Q250))&gt;0),"",IF(AND($V250="Sub",N($U250)&gt;0),IF(ISNUMBER(INDEX($AM$5:$AM$1000,$U250-4)),DATE(YEAR(INDEX($AM$5:$AM$1000,$U250-4)),MONTH(INDEX($AM$5:$AM$1000,$U250-4)),1),IF(ISNUMBER(INDEX($AN$5:$AN$1000,$U250-4)),DATE(YEAR(INDEX($AN$5:$AN$1000,$U250-4)),MONTH(INDEX($AN$5:$AN$1000,$U250-4)),1),MesCiclo)),IF(ISNUMBER($AM250),DATE(YEAR($AM250),MONTH($AM250),1),IF(ISNUMBER($AN250),DATE(YEAR($AN250),MONTH($AN250),1),MesCiclo))))</f>
        <v/>
      </c>
      <c r="T250" s="62">
        <f>IF(OR($S250="",$S250&lt;&gt;MesCiclo,$V250&lt;&gt;"Macro"),"",COUNTIFS($S$5:$S250,MesCiclo,$V$5:$V250,"Macro"))</f>
        <v/>
      </c>
      <c r="U250" s="62">
        <f>IF($V250="","",IF($V250="Macro",ROW(),IFERROR(LOOKUP(2,1/($V$5:$V250="Macro"),ROW($V$5:$V250)),0)))</f>
        <v/>
      </c>
      <c r="V250" s="62">
        <f>IF(NOT((COUNTA($B250:$D250)+COUNTA($G250:$L250)+COUNTA($Q250))&gt;0),"",IF($B250="Subactividad","Sub","Macro"))</f>
        <v/>
      </c>
      <c r="W250" s="62">
        <f>IF($V250="Macro",COUNTIFS($U$5:$U$1000,ROW(),$V$5:$V$1000,"Sub"),"")</f>
        <v/>
      </c>
      <c r="X250" s="62">
        <f>IF($V250="","",IF(ISNUMBER($G250),1,IFERROR(LOOKUP(2,1/($I250:$L250&lt;&gt;""),$I250:$L250),0)))</f>
        <v/>
      </c>
      <c r="Y250" s="62">
        <f>IF($V250="","",IF(AND(ISNUMBER($G250),$G250&lt;=IF($S250=MesCiclo,InicioCiclo,$S250+MOD(2-WEEKDAY($S250),7))+6),1,IF(ISNUMBER($I250),$I250,0)))</f>
        <v/>
      </c>
      <c r="Z250" s="62">
        <f>IF($V250="","",IF(AND(ISNUMBER($G250),$G250&lt;=IF($S250=MesCiclo,InicioCiclo,$S250+MOD(2-WEEKDAY($S250),7))+13),1,IF(ISNUMBER($J250),$J250,$Y250)))</f>
        <v/>
      </c>
      <c r="AA250" s="62">
        <f>IF($V250="","",IF(AND(ISNUMBER($G250),$G250&lt;=IF($S250=MesCiclo,InicioCiclo,$S250+MOD(2-WEEKDAY($S250),7))+20),1,IF(ISNUMBER($K250),$K250,$Z250)))</f>
        <v/>
      </c>
      <c r="AB250" s="62">
        <f>IF($V250="","",IF(AND(ISNUMBER($G250),$G250&lt;=IF($S250=MesCiclo,InicioCiclo,$S250+MOD(2-WEEKDAY($S250),7))+27),1,IF(ISNUMBER($L250),$L250,$AA250)))</f>
        <v/>
      </c>
      <c r="AC250" s="62">
        <f>IF($V250="","",IF(AND(ISNUMBER($G250),$G250&lt;=IF($S250=MesCiclo,InicioCiclo,$S250+MOD(2-WEEKDAY($S250),7))+6),1,IF(N($W250)&gt;0,AVERAGEIFS($Y$5:$Y$1000,$U$5:$U$1000,ROW(),$V$5:$V$1000,"Sub"),$Y250)))</f>
        <v/>
      </c>
      <c r="AD250" s="62">
        <f>IF($V250="","",IF(AND(ISNUMBER($G250),$G250&lt;=IF($S250=MesCiclo,InicioCiclo,$S250+MOD(2-WEEKDAY($S250),7))+13),1,IF(N($W250)&gt;0,AVERAGEIFS($Z$5:$Z$1000,$U$5:$U$1000,ROW(),$V$5:$V$1000,"Sub"),$Z250)))</f>
        <v/>
      </c>
      <c r="AE250" s="62">
        <f>IF($V250="","",IF(AND(ISNUMBER($G250),$G250&lt;=IF($S250=MesCiclo,InicioCiclo,$S250+MOD(2-WEEKDAY($S250),7))+20),1,IF(N($W250)&gt;0,AVERAGEIFS($AA$5:$AA$1000,$U$5:$U$1000,ROW(),$V$5:$V$1000,"Sub"),$AA250)))</f>
        <v/>
      </c>
      <c r="AF250" s="62">
        <f>IF($V250="","",IF(AND(ISNUMBER($G250),$G250&lt;=IF($S250=MesCiclo,InicioCiclo,$S250+MOD(2-WEEKDAY($S250),7))+27),1,IF(N($W250)&gt;0,AVERAGEIFS($AB$5:$AB$1000,$U$5:$U$1000,ROW(),$V$5:$V$1000,"Sub"),$AB250)))</f>
        <v/>
      </c>
      <c r="AG250" s="62">
        <f>IF($V250&lt;&gt;"Macro","",IF(COUNTIFS($S$5:$S$1000,$S250,$V$5:$V$1000,"Macro",$H$5:$H$1000,"&gt;0")=0,1/COUNTIFS($S$5:$S$1000,$S250,$V$5:$V$1000,"Macro"),IF(AND(ISNUMBER($H250),N($H250)&gt;0),$H250,SUMIFS($H$5:$H$1000,$S$5:$S$1000,$S250,$V$5:$V$1000,"Macro")/COUNTIFS($S$5:$S$1000,$S250,$V$5:$V$1000,"Macro",$H$5:$H$1000,"&gt;0"))/(COUNTIFS($S$5:$S$1000,$S250,$V$5:$V$1000,"Macro")*SUMIFS($H$5:$H$1000,$S$5:$S$1000,$S250,$V$5:$V$1000,"Macro")/COUNTIFS($S$5:$S$1000,$S250,$V$5:$V$1000,"Macro",$H$5:$H$1000,"&gt;0"))))</f>
        <v/>
      </c>
      <c r="AH250" s="62" t="n"/>
      <c r="AI250" s="62" t="n"/>
      <c r="AJ250" s="62" t="n"/>
      <c r="AK250" s="62" t="n"/>
      <c r="AL250" s="62">
        <f>IF(LEFT($C250,11)="[Jefatura] ",IFERROR(MATCH("Riesgo Operacional|"&amp;MID($C250,12,500),rDname_ADM,0),0),"")</f>
        <v/>
      </c>
      <c r="AM250" s="62">
        <f>IF(N($AL250)&gt;0,INDEX(rIni_ADM,$AL250),IF(ISNUMBER($E250),$E250,""))</f>
        <v/>
      </c>
      <c r="AN250" s="62">
        <f>IF(N($AL250)&gt;0,INDEX(rLim_ADM,$AL250),IF(ISNUMBER($F250),$F250,""))</f>
        <v/>
      </c>
    </row>
    <row r="251">
      <c r="A251" s="56">
        <f>IF(NOT((COUNTA($B251:$D251)+COUNTA($G251:$L251)+COUNTA($Q251))&gt;0),"",IF($V251="Macro",COUNTIFS($V$5:$V251,"Macro",$S$5:$S251,$S251),IF(N($U251)=0,"?",COUNTIFS(INDEX($V$5:$V$1000,1):INDEX($V$5:$V$1000,$U251-4),"Macro",INDEX($S$5:$S$1000,1):INDEX($S$5:$S$1000,$U251-4),INDEX($S$5:$S$1000,$U251-4))&amp;"."&amp;COUNTIFS($U$5:$U251,$U251,$V$5:$V251,"Sub"))))</f>
        <v/>
      </c>
      <c r="B251" s="57" t="n"/>
      <c r="C251" s="58" t="n"/>
      <c r="D251" s="58" t="n"/>
      <c r="E251" s="59">
        <f>IF(N($AL251)&gt;0,INDEX(rIni_ADM,$AL251),"")</f>
        <v/>
      </c>
      <c r="F251" s="59">
        <f>IF(N($AL251)&gt;0,INDEX(rLim_ADM,$AL251),"")</f>
        <v/>
      </c>
      <c r="G251" s="59" t="n"/>
      <c r="H251" s="60" t="n"/>
      <c r="I251" s="60" t="n"/>
      <c r="J251" s="60" t="n"/>
      <c r="K251" s="60" t="n"/>
      <c r="L251" s="60" t="n"/>
      <c r="M251" s="61">
        <f>IF(NOT((COUNTA($B251:$D251)+COUNTA($G251:$L251)+COUNTA($Q251))&gt;0),"",IF($V251="Sub",IFERROR($X251/INDEX($W$5:$W$1000,$U251-4),""),IF(ISNUMBER($G251),1,IF(N($W251)&gt;0,AVERAGEIFS($X$5:$X$1000,$U$5:$U$1000,ROW(),$V$5:$V$1000,"Sub"),$X251))))</f>
        <v/>
      </c>
      <c r="N251" s="56">
        <f>IF(OR($M251="",$V251="Sub"),"",IF($M251&gt;=1,"Completado",IF($M251&gt;0,"En curso","Pendiente")))</f>
        <v/>
      </c>
      <c r="O251" s="56">
        <f>IF(OR(NOT((COUNTA($B251:$D251)+COUNTA($G251:$L251)+COUNTA($Q251))&gt;0),$V251="Sub"),"",IF(ISNUMBER($G251),IF(AND(ISNUMBER($AN251),$G251&gt;$AN251),"Cumplida con "&amp;($G251-$AN251)&amp;IF($G251-$AN251=1," día"," días")&amp;" de retraso","Cumplida"),IF(N($M251)&gt;=1,"Cumplida",IF(NOT(ISNUMBER($AN251)),"Sin fecha límite",IF($AN251&lt;FechaRef,"Vencida hace "&amp;(FechaRef-$AN251)&amp;IF(FechaRef-$AN251=1," día"," días"),IF($AN251=FechaRef,"Vence hoy",IF($AN251-FechaRef&lt;=DiasAlerta,"Vence en "&amp;($AN251-FechaRef)&amp;IF($AN251-FechaRef=1," día"," días"),"En plazo")))))))</f>
        <v/>
      </c>
      <c r="P251" s="62" t="n"/>
      <c r="Q251" s="58" t="n"/>
      <c r="R251" s="63">
        <f>IF(NOT((COUNTA($B251:$D251)+COUNTA($G251:$L251)+COUNTA($Q251))&gt;0),"",IF((IF($C251="","Falta el nombre de la actividad"&amp;" · ","")&amp;IF(AND($V251="Sub",N($U251)=0),"Subactividad sin macroactividad arriba"&amp;" · ","")&amp;IF($AM251="","Sin fecha de inicio"&amp;" · ","")&amp;IF($AN251="","Sin fecha límite"&amp;" · ","")&amp;IF(AND(LEFT($C251,11)="[Jefatura] ",N($AL251)=0),"No se encuentra en la hoja de la jefatura (elíjala de nuevo en la lista)"&amp;" · ","")&amp;IF(OR(AND($E251&lt;&gt;"",NOT(ISNUMBER($E251))),AND($F251&lt;&gt;"",NOT(ISNUMBER($F251))),AND($G251&lt;&gt;"",NOT(ISNUMBER($G251)))),"Fecha no válida"&amp;" · ","")&amp;IF(AND(ISNUMBER($AM251),ISNUMBER($AN251),$AM251&gt;$AN251),"Inicio posterior a fecha límite"&amp;" · ","")&amp;IF(AND($V251="Macro",$H251&lt;&gt;"",OR(NOT(ISNUMBER($H251)),$H251&lt;0,$H251&gt;1)),"Peso fuera de rango"&amp;" · ","")&amp;IF(AND($V251="Sub",$H251&lt;&gt;""),"Las subactividades no llevan peso (valen igual dentro de su macroactividad)"&amp;" · ","")&amp;IF(AND(N($W251)&gt;0,COUNT($I251:$L251)&gt;0),"Con subactividades: deje vacías las semanas (se calculan solas)"&amp;" · ","")&amp;IF((COUNTIF($I251:$L251,"&gt;1")+COUNTIF($I251:$L251,"&lt;0")+COUNTA($I251:$L251)-COUNT($I251:$L251))&gt;0,"Avance fuera de rango 0-100%"&amp;" · ","")&amp;IF(OR(AND($J251&lt;&gt;"",$J251&lt;$I251),AND($K251&lt;&gt;"",$K251&lt;MAX($I251:$J251)),AND($L251&lt;&gt;"",$L251&lt;MAX($I251:$K251))),"Avance semanal decreciente"&amp;" · ","")&amp;IF(AND(ISNUMBER($AN251),$AN251&lt;FechaRef,IF($V251="Sub",N($X251),N($M251))&lt;1),"Vencida"&amp;" · ","")&amp;IF(AND(ObsObligatoria="Sí",ISNUMBER($AN251),$AN251&lt;FechaRef,IF($V251="Sub",N($X251),N($M251))&lt;1,$Q251=""),"Vencida sin observación"&amp;" · ",""))="","✔ OK","⚠ "&amp;LEFT(IF($C251="","Falta el nombre de la actividad"&amp;" · ","")&amp;IF(AND($V251="Sub",N($U251)=0),"Subactividad sin macroactividad arriba"&amp;" · ","")&amp;IF($AM251="","Sin fecha de inicio"&amp;" · ","")&amp;IF($AN251="","Sin fecha límite"&amp;" · ","")&amp;IF(AND(LEFT($C251,11)="[Jefatura] ",N($AL251)=0),"No se encuentra en la hoja de la jefatura (elíjala de nuevo en la lista)"&amp;" · ","")&amp;IF(OR(AND($E251&lt;&gt;"",NOT(ISNUMBER($E251))),AND($F251&lt;&gt;"",NOT(ISNUMBER($F251))),AND($G251&lt;&gt;"",NOT(ISNUMBER($G251)))),"Fecha no válida"&amp;" · ","")&amp;IF(AND(ISNUMBER($AM251),ISNUMBER($AN251),$AM251&gt;$AN251),"Inicio posterior a fecha límite"&amp;" · ","")&amp;IF(AND($V251="Macro",$H251&lt;&gt;"",OR(NOT(ISNUMBER($H251)),$H251&lt;0,$H251&gt;1)),"Peso fuera de rango"&amp;" · ","")&amp;IF(AND($V251="Sub",$H251&lt;&gt;""),"Las subactividades no llevan peso (valen igual dentro de su macroactividad)"&amp;" · ","")&amp;IF(AND(N($W251)&gt;0,COUNT($I251:$L251)&gt;0),"Con subactividades: deje vacías las semanas (se calculan solas)"&amp;" · ","")&amp;IF((COUNTIF($I251:$L251,"&gt;1")+COUNTIF($I251:$L251,"&lt;0")+COUNTA($I251:$L251)-COUNT($I251:$L251))&gt;0,"Avance fuera de rango 0-100%"&amp;" · ","")&amp;IF(OR(AND($J251&lt;&gt;"",$J251&lt;$I251),AND($K251&lt;&gt;"",$K251&lt;MAX($I251:$J251)),AND($L251&lt;&gt;"",$L251&lt;MAX($I251:$K251))),"Avance semanal decreciente"&amp;" · ","")&amp;IF(AND(ISNUMBER($AN251),$AN251&lt;FechaRef,IF($V251="Sub",N($X251),N($M251))&lt;1),"Vencida"&amp;" · ","")&amp;IF(AND(ObsObligatoria="Sí",ISNUMBER($AN251),$AN251&lt;FechaRef,IF($V251="Sub",N($X251),N($M251))&lt;1,$Q251=""),"Vencida sin observación"&amp;" · ",""),LEN(IF($C251="","Falta el nombre de la actividad"&amp;" · ","")&amp;IF(AND($V251="Sub",N($U251)=0),"Subactividad sin macroactividad arriba"&amp;" · ","")&amp;IF($AM251="","Sin fecha de inicio"&amp;" · ","")&amp;IF($AN251="","Sin fecha límite"&amp;" · ","")&amp;IF(AND(LEFT($C251,11)="[Jefatura] ",N($AL251)=0),"No se encuentra en la hoja de la jefatura (elíjala de nuevo en la lista)"&amp;" · ","")&amp;IF(OR(AND($E251&lt;&gt;"",NOT(ISNUMBER($E251))),AND($F251&lt;&gt;"",NOT(ISNUMBER($F251))),AND($G251&lt;&gt;"",NOT(ISNUMBER($G251)))),"Fecha no válida"&amp;" · ","")&amp;IF(AND(ISNUMBER($AM251),ISNUMBER($AN251),$AM251&gt;$AN251),"Inicio posterior a fecha límite"&amp;" · ","")&amp;IF(AND($V251="Macro",$H251&lt;&gt;"",OR(NOT(ISNUMBER($H251)),$H251&lt;0,$H251&gt;1)),"Peso fuera de rango"&amp;" · ","")&amp;IF(AND($V251="Sub",$H251&lt;&gt;""),"Las subactividades no llevan peso (valen igual dentro de su macroactividad)"&amp;" · ","")&amp;IF(AND(N($W251)&gt;0,COUNT($I251:$L251)&gt;0),"Con subactividades: deje vacías las semanas (se calculan solas)"&amp;" · ","")&amp;IF((COUNTIF($I251:$L251,"&gt;1")+COUNTIF($I251:$L251,"&lt;0")+COUNTA($I251:$L251)-COUNT($I251:$L251))&gt;0,"Avance fuera de rango 0-100%"&amp;" · ","")&amp;IF(OR(AND($J251&lt;&gt;"",$J251&lt;$I251),AND($K251&lt;&gt;"",$K251&lt;MAX($I251:$J251)),AND($L251&lt;&gt;"",$L251&lt;MAX($I251:$K251))),"Avance semanal decreciente"&amp;" · ","")&amp;IF(AND(ISNUMBER($AN251),$AN251&lt;FechaRef,IF($V251="Sub",N($X251),N($M251))&lt;1),"Vencida"&amp;" · ","")&amp;IF(AND(ObsObligatoria="Sí",ISNUMBER($AN251),$AN251&lt;FechaRef,IF($V251="Sub",N($X251),N($M251))&lt;1,$Q251=""),"Vencida sin observación"&amp;" · ",""))-3)))</f>
        <v/>
      </c>
      <c r="S251" s="64">
        <f>IF(NOT((COUNTA($B251:$D251)+COUNTA($G251:$L251)+COUNTA($Q251))&gt;0),"",IF(AND($V251="Sub",N($U251)&gt;0),IF(ISNUMBER(INDEX($AM$5:$AM$1000,$U251-4)),DATE(YEAR(INDEX($AM$5:$AM$1000,$U251-4)),MONTH(INDEX($AM$5:$AM$1000,$U251-4)),1),IF(ISNUMBER(INDEX($AN$5:$AN$1000,$U251-4)),DATE(YEAR(INDEX($AN$5:$AN$1000,$U251-4)),MONTH(INDEX($AN$5:$AN$1000,$U251-4)),1),MesCiclo)),IF(ISNUMBER($AM251),DATE(YEAR($AM251),MONTH($AM251),1),IF(ISNUMBER($AN251),DATE(YEAR($AN251),MONTH($AN251),1),MesCiclo))))</f>
        <v/>
      </c>
      <c r="T251" s="62">
        <f>IF(OR($S251="",$S251&lt;&gt;MesCiclo,$V251&lt;&gt;"Macro"),"",COUNTIFS($S$5:$S251,MesCiclo,$V$5:$V251,"Macro"))</f>
        <v/>
      </c>
      <c r="U251" s="62">
        <f>IF($V251="","",IF($V251="Macro",ROW(),IFERROR(LOOKUP(2,1/($V$5:$V251="Macro"),ROW($V$5:$V251)),0)))</f>
        <v/>
      </c>
      <c r="V251" s="62">
        <f>IF(NOT((COUNTA($B251:$D251)+COUNTA($G251:$L251)+COUNTA($Q251))&gt;0),"",IF($B251="Subactividad","Sub","Macro"))</f>
        <v/>
      </c>
      <c r="W251" s="62">
        <f>IF($V251="Macro",COUNTIFS($U$5:$U$1000,ROW(),$V$5:$V$1000,"Sub"),"")</f>
        <v/>
      </c>
      <c r="X251" s="62">
        <f>IF($V251="","",IF(ISNUMBER($G251),1,IFERROR(LOOKUP(2,1/($I251:$L251&lt;&gt;""),$I251:$L251),0)))</f>
        <v/>
      </c>
      <c r="Y251" s="62">
        <f>IF($V251="","",IF(AND(ISNUMBER($G251),$G251&lt;=IF($S251=MesCiclo,InicioCiclo,$S251+MOD(2-WEEKDAY($S251),7))+6),1,IF(ISNUMBER($I251),$I251,0)))</f>
        <v/>
      </c>
      <c r="Z251" s="62">
        <f>IF($V251="","",IF(AND(ISNUMBER($G251),$G251&lt;=IF($S251=MesCiclo,InicioCiclo,$S251+MOD(2-WEEKDAY($S251),7))+13),1,IF(ISNUMBER($J251),$J251,$Y251)))</f>
        <v/>
      </c>
      <c r="AA251" s="62">
        <f>IF($V251="","",IF(AND(ISNUMBER($G251),$G251&lt;=IF($S251=MesCiclo,InicioCiclo,$S251+MOD(2-WEEKDAY($S251),7))+20),1,IF(ISNUMBER($K251),$K251,$Z251)))</f>
        <v/>
      </c>
      <c r="AB251" s="62">
        <f>IF($V251="","",IF(AND(ISNUMBER($G251),$G251&lt;=IF($S251=MesCiclo,InicioCiclo,$S251+MOD(2-WEEKDAY($S251),7))+27),1,IF(ISNUMBER($L251),$L251,$AA251)))</f>
        <v/>
      </c>
      <c r="AC251" s="62">
        <f>IF($V251="","",IF(AND(ISNUMBER($G251),$G251&lt;=IF($S251=MesCiclo,InicioCiclo,$S251+MOD(2-WEEKDAY($S251),7))+6),1,IF(N($W251)&gt;0,AVERAGEIFS($Y$5:$Y$1000,$U$5:$U$1000,ROW(),$V$5:$V$1000,"Sub"),$Y251)))</f>
        <v/>
      </c>
      <c r="AD251" s="62">
        <f>IF($V251="","",IF(AND(ISNUMBER($G251),$G251&lt;=IF($S251=MesCiclo,InicioCiclo,$S251+MOD(2-WEEKDAY($S251),7))+13),1,IF(N($W251)&gt;0,AVERAGEIFS($Z$5:$Z$1000,$U$5:$U$1000,ROW(),$V$5:$V$1000,"Sub"),$Z251)))</f>
        <v/>
      </c>
      <c r="AE251" s="62">
        <f>IF($V251="","",IF(AND(ISNUMBER($G251),$G251&lt;=IF($S251=MesCiclo,InicioCiclo,$S251+MOD(2-WEEKDAY($S251),7))+20),1,IF(N($W251)&gt;0,AVERAGEIFS($AA$5:$AA$1000,$U$5:$U$1000,ROW(),$V$5:$V$1000,"Sub"),$AA251)))</f>
        <v/>
      </c>
      <c r="AF251" s="62">
        <f>IF($V251="","",IF(AND(ISNUMBER($G251),$G251&lt;=IF($S251=MesCiclo,InicioCiclo,$S251+MOD(2-WEEKDAY($S251),7))+27),1,IF(N($W251)&gt;0,AVERAGEIFS($AB$5:$AB$1000,$U$5:$U$1000,ROW(),$V$5:$V$1000,"Sub"),$AB251)))</f>
        <v/>
      </c>
      <c r="AG251" s="62">
        <f>IF($V251&lt;&gt;"Macro","",IF(COUNTIFS($S$5:$S$1000,$S251,$V$5:$V$1000,"Macro",$H$5:$H$1000,"&gt;0")=0,1/COUNTIFS($S$5:$S$1000,$S251,$V$5:$V$1000,"Macro"),IF(AND(ISNUMBER($H251),N($H251)&gt;0),$H251,SUMIFS($H$5:$H$1000,$S$5:$S$1000,$S251,$V$5:$V$1000,"Macro")/COUNTIFS($S$5:$S$1000,$S251,$V$5:$V$1000,"Macro",$H$5:$H$1000,"&gt;0"))/(COUNTIFS($S$5:$S$1000,$S251,$V$5:$V$1000,"Macro")*SUMIFS($H$5:$H$1000,$S$5:$S$1000,$S251,$V$5:$V$1000,"Macro")/COUNTIFS($S$5:$S$1000,$S251,$V$5:$V$1000,"Macro",$H$5:$H$1000,"&gt;0"))))</f>
        <v/>
      </c>
      <c r="AH251" s="62" t="n"/>
      <c r="AI251" s="62" t="n"/>
      <c r="AJ251" s="62" t="n"/>
      <c r="AK251" s="62" t="n"/>
      <c r="AL251" s="62">
        <f>IF(LEFT($C251,11)="[Jefatura] ",IFERROR(MATCH("Riesgo Operacional|"&amp;MID($C251,12,500),rDname_ADM,0),0),"")</f>
        <v/>
      </c>
      <c r="AM251" s="62">
        <f>IF(N($AL251)&gt;0,INDEX(rIni_ADM,$AL251),IF(ISNUMBER($E251),$E251,""))</f>
        <v/>
      </c>
      <c r="AN251" s="62">
        <f>IF(N($AL251)&gt;0,INDEX(rLim_ADM,$AL251),IF(ISNUMBER($F251),$F251,""))</f>
        <v/>
      </c>
    </row>
    <row r="252">
      <c r="A252" s="56">
        <f>IF(NOT((COUNTA($B252:$D252)+COUNTA($G252:$L252)+COUNTA($Q252))&gt;0),"",IF($V252="Macro",COUNTIFS($V$5:$V252,"Macro",$S$5:$S252,$S252),IF(N($U252)=0,"?",COUNTIFS(INDEX($V$5:$V$1000,1):INDEX($V$5:$V$1000,$U252-4),"Macro",INDEX($S$5:$S$1000,1):INDEX($S$5:$S$1000,$U252-4),INDEX($S$5:$S$1000,$U252-4))&amp;"."&amp;COUNTIFS($U$5:$U252,$U252,$V$5:$V252,"Sub"))))</f>
        <v/>
      </c>
      <c r="B252" s="57" t="n"/>
      <c r="C252" s="58" t="n"/>
      <c r="D252" s="58" t="n"/>
      <c r="E252" s="59">
        <f>IF(N($AL252)&gt;0,INDEX(rIni_ADM,$AL252),"")</f>
        <v/>
      </c>
      <c r="F252" s="59">
        <f>IF(N($AL252)&gt;0,INDEX(rLim_ADM,$AL252),"")</f>
        <v/>
      </c>
      <c r="G252" s="59" t="n"/>
      <c r="H252" s="60" t="n"/>
      <c r="I252" s="60" t="n"/>
      <c r="J252" s="60" t="n"/>
      <c r="K252" s="60" t="n"/>
      <c r="L252" s="60" t="n"/>
      <c r="M252" s="61">
        <f>IF(NOT((COUNTA($B252:$D252)+COUNTA($G252:$L252)+COUNTA($Q252))&gt;0),"",IF($V252="Sub",IFERROR($X252/INDEX($W$5:$W$1000,$U252-4),""),IF(ISNUMBER($G252),1,IF(N($W252)&gt;0,AVERAGEIFS($X$5:$X$1000,$U$5:$U$1000,ROW(),$V$5:$V$1000,"Sub"),$X252))))</f>
        <v/>
      </c>
      <c r="N252" s="56">
        <f>IF(OR($M252="",$V252="Sub"),"",IF($M252&gt;=1,"Completado",IF($M252&gt;0,"En curso","Pendiente")))</f>
        <v/>
      </c>
      <c r="O252" s="56">
        <f>IF(OR(NOT((COUNTA($B252:$D252)+COUNTA($G252:$L252)+COUNTA($Q252))&gt;0),$V252="Sub"),"",IF(ISNUMBER($G252),IF(AND(ISNUMBER($AN252),$G252&gt;$AN252),"Cumplida con "&amp;($G252-$AN252)&amp;IF($G252-$AN252=1," día"," días")&amp;" de retraso","Cumplida"),IF(N($M252)&gt;=1,"Cumplida",IF(NOT(ISNUMBER($AN252)),"Sin fecha límite",IF($AN252&lt;FechaRef,"Vencida hace "&amp;(FechaRef-$AN252)&amp;IF(FechaRef-$AN252=1," día"," días"),IF($AN252=FechaRef,"Vence hoy",IF($AN252-FechaRef&lt;=DiasAlerta,"Vence en "&amp;($AN252-FechaRef)&amp;IF($AN252-FechaRef=1," día"," días"),"En plazo")))))))</f>
        <v/>
      </c>
      <c r="P252" s="62" t="n"/>
      <c r="Q252" s="58" t="n"/>
      <c r="R252" s="63">
        <f>IF(NOT((COUNTA($B252:$D252)+COUNTA($G252:$L252)+COUNTA($Q252))&gt;0),"",IF((IF($C252="","Falta el nombre de la actividad"&amp;" · ","")&amp;IF(AND($V252="Sub",N($U252)=0),"Subactividad sin macroactividad arriba"&amp;" · ","")&amp;IF($AM252="","Sin fecha de inicio"&amp;" · ","")&amp;IF($AN252="","Sin fecha límite"&amp;" · ","")&amp;IF(AND(LEFT($C252,11)="[Jefatura] ",N($AL252)=0),"No se encuentra en la hoja de la jefatura (elíjala de nuevo en la lista)"&amp;" · ","")&amp;IF(OR(AND($E252&lt;&gt;"",NOT(ISNUMBER($E252))),AND($F252&lt;&gt;"",NOT(ISNUMBER($F252))),AND($G252&lt;&gt;"",NOT(ISNUMBER($G252)))),"Fecha no válida"&amp;" · ","")&amp;IF(AND(ISNUMBER($AM252),ISNUMBER($AN252),$AM252&gt;$AN252),"Inicio posterior a fecha límite"&amp;" · ","")&amp;IF(AND($V252="Macro",$H252&lt;&gt;"",OR(NOT(ISNUMBER($H252)),$H252&lt;0,$H252&gt;1)),"Peso fuera de rango"&amp;" · ","")&amp;IF(AND($V252="Sub",$H252&lt;&gt;""),"Las subactividades no llevan peso (valen igual dentro de su macroactividad)"&amp;" · ","")&amp;IF(AND(N($W252)&gt;0,COUNT($I252:$L252)&gt;0),"Con subactividades: deje vacías las semanas (se calculan solas)"&amp;" · ","")&amp;IF((COUNTIF($I252:$L252,"&gt;1")+COUNTIF($I252:$L252,"&lt;0")+COUNTA($I252:$L252)-COUNT($I252:$L252))&gt;0,"Avance fuera de rango 0-100%"&amp;" · ","")&amp;IF(OR(AND($J252&lt;&gt;"",$J252&lt;$I252),AND($K252&lt;&gt;"",$K252&lt;MAX($I252:$J252)),AND($L252&lt;&gt;"",$L252&lt;MAX($I252:$K252))),"Avance semanal decreciente"&amp;" · ","")&amp;IF(AND(ISNUMBER($AN252),$AN252&lt;FechaRef,IF($V252="Sub",N($X252),N($M252))&lt;1),"Vencida"&amp;" · ","")&amp;IF(AND(ObsObligatoria="Sí",ISNUMBER($AN252),$AN252&lt;FechaRef,IF($V252="Sub",N($X252),N($M252))&lt;1,$Q252=""),"Vencida sin observación"&amp;" · ",""))="","✔ OK","⚠ "&amp;LEFT(IF($C252="","Falta el nombre de la actividad"&amp;" · ","")&amp;IF(AND($V252="Sub",N($U252)=0),"Subactividad sin macroactividad arriba"&amp;" · ","")&amp;IF($AM252="","Sin fecha de inicio"&amp;" · ","")&amp;IF($AN252="","Sin fecha límite"&amp;" · ","")&amp;IF(AND(LEFT($C252,11)="[Jefatura] ",N($AL252)=0),"No se encuentra en la hoja de la jefatura (elíjala de nuevo en la lista)"&amp;" · ","")&amp;IF(OR(AND($E252&lt;&gt;"",NOT(ISNUMBER($E252))),AND($F252&lt;&gt;"",NOT(ISNUMBER($F252))),AND($G252&lt;&gt;"",NOT(ISNUMBER($G252)))),"Fecha no válida"&amp;" · ","")&amp;IF(AND(ISNUMBER($AM252),ISNUMBER($AN252),$AM252&gt;$AN252),"Inicio posterior a fecha límite"&amp;" · ","")&amp;IF(AND($V252="Macro",$H252&lt;&gt;"",OR(NOT(ISNUMBER($H252)),$H252&lt;0,$H252&gt;1)),"Peso fuera de rango"&amp;" · ","")&amp;IF(AND($V252="Sub",$H252&lt;&gt;""),"Las subactividades no llevan peso (valen igual dentro de su macroactividad)"&amp;" · ","")&amp;IF(AND(N($W252)&gt;0,COUNT($I252:$L252)&gt;0),"Con subactividades: deje vacías las semanas (se calculan solas)"&amp;" · ","")&amp;IF((COUNTIF($I252:$L252,"&gt;1")+COUNTIF($I252:$L252,"&lt;0")+COUNTA($I252:$L252)-COUNT($I252:$L252))&gt;0,"Avance fuera de rango 0-100%"&amp;" · ","")&amp;IF(OR(AND($J252&lt;&gt;"",$J252&lt;$I252),AND($K252&lt;&gt;"",$K252&lt;MAX($I252:$J252)),AND($L252&lt;&gt;"",$L252&lt;MAX($I252:$K252))),"Avance semanal decreciente"&amp;" · ","")&amp;IF(AND(ISNUMBER($AN252),$AN252&lt;FechaRef,IF($V252="Sub",N($X252),N($M252))&lt;1),"Vencida"&amp;" · ","")&amp;IF(AND(ObsObligatoria="Sí",ISNUMBER($AN252),$AN252&lt;FechaRef,IF($V252="Sub",N($X252),N($M252))&lt;1,$Q252=""),"Vencida sin observación"&amp;" · ",""),LEN(IF($C252="","Falta el nombre de la actividad"&amp;" · ","")&amp;IF(AND($V252="Sub",N($U252)=0),"Subactividad sin macroactividad arriba"&amp;" · ","")&amp;IF($AM252="","Sin fecha de inicio"&amp;" · ","")&amp;IF($AN252="","Sin fecha límite"&amp;" · ","")&amp;IF(AND(LEFT($C252,11)="[Jefatura] ",N($AL252)=0),"No se encuentra en la hoja de la jefatura (elíjala de nuevo en la lista)"&amp;" · ","")&amp;IF(OR(AND($E252&lt;&gt;"",NOT(ISNUMBER($E252))),AND($F252&lt;&gt;"",NOT(ISNUMBER($F252))),AND($G252&lt;&gt;"",NOT(ISNUMBER($G252)))),"Fecha no válida"&amp;" · ","")&amp;IF(AND(ISNUMBER($AM252),ISNUMBER($AN252),$AM252&gt;$AN252),"Inicio posterior a fecha límite"&amp;" · ","")&amp;IF(AND($V252="Macro",$H252&lt;&gt;"",OR(NOT(ISNUMBER($H252)),$H252&lt;0,$H252&gt;1)),"Peso fuera de rango"&amp;" · ","")&amp;IF(AND($V252="Sub",$H252&lt;&gt;""),"Las subactividades no llevan peso (valen igual dentro de su macroactividad)"&amp;" · ","")&amp;IF(AND(N($W252)&gt;0,COUNT($I252:$L252)&gt;0),"Con subactividades: deje vacías las semanas (se calculan solas)"&amp;" · ","")&amp;IF((COUNTIF($I252:$L252,"&gt;1")+COUNTIF($I252:$L252,"&lt;0")+COUNTA($I252:$L252)-COUNT($I252:$L252))&gt;0,"Avance fuera de rango 0-100%"&amp;" · ","")&amp;IF(OR(AND($J252&lt;&gt;"",$J252&lt;$I252),AND($K252&lt;&gt;"",$K252&lt;MAX($I252:$J252)),AND($L252&lt;&gt;"",$L252&lt;MAX($I252:$K252))),"Avance semanal decreciente"&amp;" · ","")&amp;IF(AND(ISNUMBER($AN252),$AN252&lt;FechaRef,IF($V252="Sub",N($X252),N($M252))&lt;1),"Vencida"&amp;" · ","")&amp;IF(AND(ObsObligatoria="Sí",ISNUMBER($AN252),$AN252&lt;FechaRef,IF($V252="Sub",N($X252),N($M252))&lt;1,$Q252=""),"Vencida sin observación"&amp;" · ",""))-3)))</f>
        <v/>
      </c>
      <c r="S252" s="64">
        <f>IF(NOT((COUNTA($B252:$D252)+COUNTA($G252:$L252)+COUNTA($Q252))&gt;0),"",IF(AND($V252="Sub",N($U252)&gt;0),IF(ISNUMBER(INDEX($AM$5:$AM$1000,$U252-4)),DATE(YEAR(INDEX($AM$5:$AM$1000,$U252-4)),MONTH(INDEX($AM$5:$AM$1000,$U252-4)),1),IF(ISNUMBER(INDEX($AN$5:$AN$1000,$U252-4)),DATE(YEAR(INDEX($AN$5:$AN$1000,$U252-4)),MONTH(INDEX($AN$5:$AN$1000,$U252-4)),1),MesCiclo)),IF(ISNUMBER($AM252),DATE(YEAR($AM252),MONTH($AM252),1),IF(ISNUMBER($AN252),DATE(YEAR($AN252),MONTH($AN252),1),MesCiclo))))</f>
        <v/>
      </c>
      <c r="T252" s="62">
        <f>IF(OR($S252="",$S252&lt;&gt;MesCiclo,$V252&lt;&gt;"Macro"),"",COUNTIFS($S$5:$S252,MesCiclo,$V$5:$V252,"Macro"))</f>
        <v/>
      </c>
      <c r="U252" s="62">
        <f>IF($V252="","",IF($V252="Macro",ROW(),IFERROR(LOOKUP(2,1/($V$5:$V252="Macro"),ROW($V$5:$V252)),0)))</f>
        <v/>
      </c>
      <c r="V252" s="62">
        <f>IF(NOT((COUNTA($B252:$D252)+COUNTA($G252:$L252)+COUNTA($Q252))&gt;0),"",IF($B252="Subactividad","Sub","Macro"))</f>
        <v/>
      </c>
      <c r="W252" s="62">
        <f>IF($V252="Macro",COUNTIFS($U$5:$U$1000,ROW(),$V$5:$V$1000,"Sub"),"")</f>
        <v/>
      </c>
      <c r="X252" s="62">
        <f>IF($V252="","",IF(ISNUMBER($G252),1,IFERROR(LOOKUP(2,1/($I252:$L252&lt;&gt;""),$I252:$L252),0)))</f>
        <v/>
      </c>
      <c r="Y252" s="62">
        <f>IF($V252="","",IF(AND(ISNUMBER($G252),$G252&lt;=IF($S252=MesCiclo,InicioCiclo,$S252+MOD(2-WEEKDAY($S252),7))+6),1,IF(ISNUMBER($I252),$I252,0)))</f>
        <v/>
      </c>
      <c r="Z252" s="62">
        <f>IF($V252="","",IF(AND(ISNUMBER($G252),$G252&lt;=IF($S252=MesCiclo,InicioCiclo,$S252+MOD(2-WEEKDAY($S252),7))+13),1,IF(ISNUMBER($J252),$J252,$Y252)))</f>
        <v/>
      </c>
      <c r="AA252" s="62">
        <f>IF($V252="","",IF(AND(ISNUMBER($G252),$G252&lt;=IF($S252=MesCiclo,InicioCiclo,$S252+MOD(2-WEEKDAY($S252),7))+20),1,IF(ISNUMBER($K252),$K252,$Z252)))</f>
        <v/>
      </c>
      <c r="AB252" s="62">
        <f>IF($V252="","",IF(AND(ISNUMBER($G252),$G252&lt;=IF($S252=MesCiclo,InicioCiclo,$S252+MOD(2-WEEKDAY($S252),7))+27),1,IF(ISNUMBER($L252),$L252,$AA252)))</f>
        <v/>
      </c>
      <c r="AC252" s="62">
        <f>IF($V252="","",IF(AND(ISNUMBER($G252),$G252&lt;=IF($S252=MesCiclo,InicioCiclo,$S252+MOD(2-WEEKDAY($S252),7))+6),1,IF(N($W252)&gt;0,AVERAGEIFS($Y$5:$Y$1000,$U$5:$U$1000,ROW(),$V$5:$V$1000,"Sub"),$Y252)))</f>
        <v/>
      </c>
      <c r="AD252" s="62">
        <f>IF($V252="","",IF(AND(ISNUMBER($G252),$G252&lt;=IF($S252=MesCiclo,InicioCiclo,$S252+MOD(2-WEEKDAY($S252),7))+13),1,IF(N($W252)&gt;0,AVERAGEIFS($Z$5:$Z$1000,$U$5:$U$1000,ROW(),$V$5:$V$1000,"Sub"),$Z252)))</f>
        <v/>
      </c>
      <c r="AE252" s="62">
        <f>IF($V252="","",IF(AND(ISNUMBER($G252),$G252&lt;=IF($S252=MesCiclo,InicioCiclo,$S252+MOD(2-WEEKDAY($S252),7))+20),1,IF(N($W252)&gt;0,AVERAGEIFS($AA$5:$AA$1000,$U$5:$U$1000,ROW(),$V$5:$V$1000,"Sub"),$AA252)))</f>
        <v/>
      </c>
      <c r="AF252" s="62">
        <f>IF($V252="","",IF(AND(ISNUMBER($G252),$G252&lt;=IF($S252=MesCiclo,InicioCiclo,$S252+MOD(2-WEEKDAY($S252),7))+27),1,IF(N($W252)&gt;0,AVERAGEIFS($AB$5:$AB$1000,$U$5:$U$1000,ROW(),$V$5:$V$1000,"Sub"),$AB252)))</f>
        <v/>
      </c>
      <c r="AG252" s="62">
        <f>IF($V252&lt;&gt;"Macro","",IF(COUNTIFS($S$5:$S$1000,$S252,$V$5:$V$1000,"Macro",$H$5:$H$1000,"&gt;0")=0,1/COUNTIFS($S$5:$S$1000,$S252,$V$5:$V$1000,"Macro"),IF(AND(ISNUMBER($H252),N($H252)&gt;0),$H252,SUMIFS($H$5:$H$1000,$S$5:$S$1000,$S252,$V$5:$V$1000,"Macro")/COUNTIFS($S$5:$S$1000,$S252,$V$5:$V$1000,"Macro",$H$5:$H$1000,"&gt;0"))/(COUNTIFS($S$5:$S$1000,$S252,$V$5:$V$1000,"Macro")*SUMIFS($H$5:$H$1000,$S$5:$S$1000,$S252,$V$5:$V$1000,"Macro")/COUNTIFS($S$5:$S$1000,$S252,$V$5:$V$1000,"Macro",$H$5:$H$1000,"&gt;0"))))</f>
        <v/>
      </c>
      <c r="AH252" s="62" t="n"/>
      <c r="AI252" s="62" t="n"/>
      <c r="AJ252" s="62" t="n"/>
      <c r="AK252" s="62" t="n"/>
      <c r="AL252" s="62">
        <f>IF(LEFT($C252,11)="[Jefatura] ",IFERROR(MATCH("Riesgo Operacional|"&amp;MID($C252,12,500),rDname_ADM,0),0),"")</f>
        <v/>
      </c>
      <c r="AM252" s="62">
        <f>IF(N($AL252)&gt;0,INDEX(rIni_ADM,$AL252),IF(ISNUMBER($E252),$E252,""))</f>
        <v/>
      </c>
      <c r="AN252" s="62">
        <f>IF(N($AL252)&gt;0,INDEX(rLim_ADM,$AL252),IF(ISNUMBER($F252),$F252,""))</f>
        <v/>
      </c>
    </row>
    <row r="253">
      <c r="A253" s="56">
        <f>IF(NOT((COUNTA($B253:$D253)+COUNTA($G253:$L253)+COUNTA($Q253))&gt;0),"",IF($V253="Macro",COUNTIFS($V$5:$V253,"Macro",$S$5:$S253,$S253),IF(N($U253)=0,"?",COUNTIFS(INDEX($V$5:$V$1000,1):INDEX($V$5:$V$1000,$U253-4),"Macro",INDEX($S$5:$S$1000,1):INDEX($S$5:$S$1000,$U253-4),INDEX($S$5:$S$1000,$U253-4))&amp;"."&amp;COUNTIFS($U$5:$U253,$U253,$V$5:$V253,"Sub"))))</f>
        <v/>
      </c>
      <c r="B253" s="57" t="n"/>
      <c r="C253" s="58" t="n"/>
      <c r="D253" s="58" t="n"/>
      <c r="E253" s="59">
        <f>IF(N($AL253)&gt;0,INDEX(rIni_ADM,$AL253),"")</f>
        <v/>
      </c>
      <c r="F253" s="59">
        <f>IF(N($AL253)&gt;0,INDEX(rLim_ADM,$AL253),"")</f>
        <v/>
      </c>
      <c r="G253" s="59" t="n"/>
      <c r="H253" s="60" t="n"/>
      <c r="I253" s="60" t="n"/>
      <c r="J253" s="60" t="n"/>
      <c r="K253" s="60" t="n"/>
      <c r="L253" s="60" t="n"/>
      <c r="M253" s="61">
        <f>IF(NOT((COUNTA($B253:$D253)+COUNTA($G253:$L253)+COUNTA($Q253))&gt;0),"",IF($V253="Sub",IFERROR($X253/INDEX($W$5:$W$1000,$U253-4),""),IF(ISNUMBER($G253),1,IF(N($W253)&gt;0,AVERAGEIFS($X$5:$X$1000,$U$5:$U$1000,ROW(),$V$5:$V$1000,"Sub"),$X253))))</f>
        <v/>
      </c>
      <c r="N253" s="56">
        <f>IF(OR($M253="",$V253="Sub"),"",IF($M253&gt;=1,"Completado",IF($M253&gt;0,"En curso","Pendiente")))</f>
        <v/>
      </c>
      <c r="O253" s="56">
        <f>IF(OR(NOT((COUNTA($B253:$D253)+COUNTA($G253:$L253)+COUNTA($Q253))&gt;0),$V253="Sub"),"",IF(ISNUMBER($G253),IF(AND(ISNUMBER($AN253),$G253&gt;$AN253),"Cumplida con "&amp;($G253-$AN253)&amp;IF($G253-$AN253=1," día"," días")&amp;" de retraso","Cumplida"),IF(N($M253)&gt;=1,"Cumplida",IF(NOT(ISNUMBER($AN253)),"Sin fecha límite",IF($AN253&lt;FechaRef,"Vencida hace "&amp;(FechaRef-$AN253)&amp;IF(FechaRef-$AN253=1," día"," días"),IF($AN253=FechaRef,"Vence hoy",IF($AN253-FechaRef&lt;=DiasAlerta,"Vence en "&amp;($AN253-FechaRef)&amp;IF($AN253-FechaRef=1," día"," días"),"En plazo")))))))</f>
        <v/>
      </c>
      <c r="P253" s="62" t="n"/>
      <c r="Q253" s="58" t="n"/>
      <c r="R253" s="63">
        <f>IF(NOT((COUNTA($B253:$D253)+COUNTA($G253:$L253)+COUNTA($Q253))&gt;0),"",IF((IF($C253="","Falta el nombre de la actividad"&amp;" · ","")&amp;IF(AND($V253="Sub",N($U253)=0),"Subactividad sin macroactividad arriba"&amp;" · ","")&amp;IF($AM253="","Sin fecha de inicio"&amp;" · ","")&amp;IF($AN253="","Sin fecha límite"&amp;" · ","")&amp;IF(AND(LEFT($C253,11)="[Jefatura] ",N($AL253)=0),"No se encuentra en la hoja de la jefatura (elíjala de nuevo en la lista)"&amp;" · ","")&amp;IF(OR(AND($E253&lt;&gt;"",NOT(ISNUMBER($E253))),AND($F253&lt;&gt;"",NOT(ISNUMBER($F253))),AND($G253&lt;&gt;"",NOT(ISNUMBER($G253)))),"Fecha no válida"&amp;" · ","")&amp;IF(AND(ISNUMBER($AM253),ISNUMBER($AN253),$AM253&gt;$AN253),"Inicio posterior a fecha límite"&amp;" · ","")&amp;IF(AND($V253="Macro",$H253&lt;&gt;"",OR(NOT(ISNUMBER($H253)),$H253&lt;0,$H253&gt;1)),"Peso fuera de rango"&amp;" · ","")&amp;IF(AND($V253="Sub",$H253&lt;&gt;""),"Las subactividades no llevan peso (valen igual dentro de su macroactividad)"&amp;" · ","")&amp;IF(AND(N($W253)&gt;0,COUNT($I253:$L253)&gt;0),"Con subactividades: deje vacías las semanas (se calculan solas)"&amp;" · ","")&amp;IF((COUNTIF($I253:$L253,"&gt;1")+COUNTIF($I253:$L253,"&lt;0")+COUNTA($I253:$L253)-COUNT($I253:$L253))&gt;0,"Avance fuera de rango 0-100%"&amp;" · ","")&amp;IF(OR(AND($J253&lt;&gt;"",$J253&lt;$I253),AND($K253&lt;&gt;"",$K253&lt;MAX($I253:$J253)),AND($L253&lt;&gt;"",$L253&lt;MAX($I253:$K253))),"Avance semanal decreciente"&amp;" · ","")&amp;IF(AND(ISNUMBER($AN253),$AN253&lt;FechaRef,IF($V253="Sub",N($X253),N($M253))&lt;1),"Vencida"&amp;" · ","")&amp;IF(AND(ObsObligatoria="Sí",ISNUMBER($AN253),$AN253&lt;FechaRef,IF($V253="Sub",N($X253),N($M253))&lt;1,$Q253=""),"Vencida sin observación"&amp;" · ",""))="","✔ OK","⚠ "&amp;LEFT(IF($C253="","Falta el nombre de la actividad"&amp;" · ","")&amp;IF(AND($V253="Sub",N($U253)=0),"Subactividad sin macroactividad arriba"&amp;" · ","")&amp;IF($AM253="","Sin fecha de inicio"&amp;" · ","")&amp;IF($AN253="","Sin fecha límite"&amp;" · ","")&amp;IF(AND(LEFT($C253,11)="[Jefatura] ",N($AL253)=0),"No se encuentra en la hoja de la jefatura (elíjala de nuevo en la lista)"&amp;" · ","")&amp;IF(OR(AND($E253&lt;&gt;"",NOT(ISNUMBER($E253))),AND($F253&lt;&gt;"",NOT(ISNUMBER($F253))),AND($G253&lt;&gt;"",NOT(ISNUMBER($G253)))),"Fecha no válida"&amp;" · ","")&amp;IF(AND(ISNUMBER($AM253),ISNUMBER($AN253),$AM253&gt;$AN253),"Inicio posterior a fecha límite"&amp;" · ","")&amp;IF(AND($V253="Macro",$H253&lt;&gt;"",OR(NOT(ISNUMBER($H253)),$H253&lt;0,$H253&gt;1)),"Peso fuera de rango"&amp;" · ","")&amp;IF(AND($V253="Sub",$H253&lt;&gt;""),"Las subactividades no llevan peso (valen igual dentro de su macroactividad)"&amp;" · ","")&amp;IF(AND(N($W253)&gt;0,COUNT($I253:$L253)&gt;0),"Con subactividades: deje vacías las semanas (se calculan solas)"&amp;" · ","")&amp;IF((COUNTIF($I253:$L253,"&gt;1")+COUNTIF($I253:$L253,"&lt;0")+COUNTA($I253:$L253)-COUNT($I253:$L253))&gt;0,"Avance fuera de rango 0-100%"&amp;" · ","")&amp;IF(OR(AND($J253&lt;&gt;"",$J253&lt;$I253),AND($K253&lt;&gt;"",$K253&lt;MAX($I253:$J253)),AND($L253&lt;&gt;"",$L253&lt;MAX($I253:$K253))),"Avance semanal decreciente"&amp;" · ","")&amp;IF(AND(ISNUMBER($AN253),$AN253&lt;FechaRef,IF($V253="Sub",N($X253),N($M253))&lt;1),"Vencida"&amp;" · ","")&amp;IF(AND(ObsObligatoria="Sí",ISNUMBER($AN253),$AN253&lt;FechaRef,IF($V253="Sub",N($X253),N($M253))&lt;1,$Q253=""),"Vencida sin observación"&amp;" · ",""),LEN(IF($C253="","Falta el nombre de la actividad"&amp;" · ","")&amp;IF(AND($V253="Sub",N($U253)=0),"Subactividad sin macroactividad arriba"&amp;" · ","")&amp;IF($AM253="","Sin fecha de inicio"&amp;" · ","")&amp;IF($AN253="","Sin fecha límite"&amp;" · ","")&amp;IF(AND(LEFT($C253,11)="[Jefatura] ",N($AL253)=0),"No se encuentra en la hoja de la jefatura (elíjala de nuevo en la lista)"&amp;" · ","")&amp;IF(OR(AND($E253&lt;&gt;"",NOT(ISNUMBER($E253))),AND($F253&lt;&gt;"",NOT(ISNUMBER($F253))),AND($G253&lt;&gt;"",NOT(ISNUMBER($G253)))),"Fecha no válida"&amp;" · ","")&amp;IF(AND(ISNUMBER($AM253),ISNUMBER($AN253),$AM253&gt;$AN253),"Inicio posterior a fecha límite"&amp;" · ","")&amp;IF(AND($V253="Macro",$H253&lt;&gt;"",OR(NOT(ISNUMBER($H253)),$H253&lt;0,$H253&gt;1)),"Peso fuera de rango"&amp;" · ","")&amp;IF(AND($V253="Sub",$H253&lt;&gt;""),"Las subactividades no llevan peso (valen igual dentro de su macroactividad)"&amp;" · ","")&amp;IF(AND(N($W253)&gt;0,COUNT($I253:$L253)&gt;0),"Con subactividades: deje vacías las semanas (se calculan solas)"&amp;" · ","")&amp;IF((COUNTIF($I253:$L253,"&gt;1")+COUNTIF($I253:$L253,"&lt;0")+COUNTA($I253:$L253)-COUNT($I253:$L253))&gt;0,"Avance fuera de rango 0-100%"&amp;" · ","")&amp;IF(OR(AND($J253&lt;&gt;"",$J253&lt;$I253),AND($K253&lt;&gt;"",$K253&lt;MAX($I253:$J253)),AND($L253&lt;&gt;"",$L253&lt;MAX($I253:$K253))),"Avance semanal decreciente"&amp;" · ","")&amp;IF(AND(ISNUMBER($AN253),$AN253&lt;FechaRef,IF($V253="Sub",N($X253),N($M253))&lt;1),"Vencida"&amp;" · ","")&amp;IF(AND(ObsObligatoria="Sí",ISNUMBER($AN253),$AN253&lt;FechaRef,IF($V253="Sub",N($X253),N($M253))&lt;1,$Q253=""),"Vencida sin observación"&amp;" · ",""))-3)))</f>
        <v/>
      </c>
      <c r="S253" s="64">
        <f>IF(NOT((COUNTA($B253:$D253)+COUNTA($G253:$L253)+COUNTA($Q253))&gt;0),"",IF(AND($V253="Sub",N($U253)&gt;0),IF(ISNUMBER(INDEX($AM$5:$AM$1000,$U253-4)),DATE(YEAR(INDEX($AM$5:$AM$1000,$U253-4)),MONTH(INDEX($AM$5:$AM$1000,$U253-4)),1),IF(ISNUMBER(INDEX($AN$5:$AN$1000,$U253-4)),DATE(YEAR(INDEX($AN$5:$AN$1000,$U253-4)),MONTH(INDEX($AN$5:$AN$1000,$U253-4)),1),MesCiclo)),IF(ISNUMBER($AM253),DATE(YEAR($AM253),MONTH($AM253),1),IF(ISNUMBER($AN253),DATE(YEAR($AN253),MONTH($AN253),1),MesCiclo))))</f>
        <v/>
      </c>
      <c r="T253" s="62">
        <f>IF(OR($S253="",$S253&lt;&gt;MesCiclo,$V253&lt;&gt;"Macro"),"",COUNTIFS($S$5:$S253,MesCiclo,$V$5:$V253,"Macro"))</f>
        <v/>
      </c>
      <c r="U253" s="62">
        <f>IF($V253="","",IF($V253="Macro",ROW(),IFERROR(LOOKUP(2,1/($V$5:$V253="Macro"),ROW($V$5:$V253)),0)))</f>
        <v/>
      </c>
      <c r="V253" s="62">
        <f>IF(NOT((COUNTA($B253:$D253)+COUNTA($G253:$L253)+COUNTA($Q253))&gt;0),"",IF($B253="Subactividad","Sub","Macro"))</f>
        <v/>
      </c>
      <c r="W253" s="62">
        <f>IF($V253="Macro",COUNTIFS($U$5:$U$1000,ROW(),$V$5:$V$1000,"Sub"),"")</f>
        <v/>
      </c>
      <c r="X253" s="62">
        <f>IF($V253="","",IF(ISNUMBER($G253),1,IFERROR(LOOKUP(2,1/($I253:$L253&lt;&gt;""),$I253:$L253),0)))</f>
        <v/>
      </c>
      <c r="Y253" s="62">
        <f>IF($V253="","",IF(AND(ISNUMBER($G253),$G253&lt;=IF($S253=MesCiclo,InicioCiclo,$S253+MOD(2-WEEKDAY($S253),7))+6),1,IF(ISNUMBER($I253),$I253,0)))</f>
        <v/>
      </c>
      <c r="Z253" s="62">
        <f>IF($V253="","",IF(AND(ISNUMBER($G253),$G253&lt;=IF($S253=MesCiclo,InicioCiclo,$S253+MOD(2-WEEKDAY($S253),7))+13),1,IF(ISNUMBER($J253),$J253,$Y253)))</f>
        <v/>
      </c>
      <c r="AA253" s="62">
        <f>IF($V253="","",IF(AND(ISNUMBER($G253),$G253&lt;=IF($S253=MesCiclo,InicioCiclo,$S253+MOD(2-WEEKDAY($S253),7))+20),1,IF(ISNUMBER($K253),$K253,$Z253)))</f>
        <v/>
      </c>
      <c r="AB253" s="62">
        <f>IF($V253="","",IF(AND(ISNUMBER($G253),$G253&lt;=IF($S253=MesCiclo,InicioCiclo,$S253+MOD(2-WEEKDAY($S253),7))+27),1,IF(ISNUMBER($L253),$L253,$AA253)))</f>
        <v/>
      </c>
      <c r="AC253" s="62">
        <f>IF($V253="","",IF(AND(ISNUMBER($G253),$G253&lt;=IF($S253=MesCiclo,InicioCiclo,$S253+MOD(2-WEEKDAY($S253),7))+6),1,IF(N($W253)&gt;0,AVERAGEIFS($Y$5:$Y$1000,$U$5:$U$1000,ROW(),$V$5:$V$1000,"Sub"),$Y253)))</f>
        <v/>
      </c>
      <c r="AD253" s="62">
        <f>IF($V253="","",IF(AND(ISNUMBER($G253),$G253&lt;=IF($S253=MesCiclo,InicioCiclo,$S253+MOD(2-WEEKDAY($S253),7))+13),1,IF(N($W253)&gt;0,AVERAGEIFS($Z$5:$Z$1000,$U$5:$U$1000,ROW(),$V$5:$V$1000,"Sub"),$Z253)))</f>
        <v/>
      </c>
      <c r="AE253" s="62">
        <f>IF($V253="","",IF(AND(ISNUMBER($G253),$G253&lt;=IF($S253=MesCiclo,InicioCiclo,$S253+MOD(2-WEEKDAY($S253),7))+20),1,IF(N($W253)&gt;0,AVERAGEIFS($AA$5:$AA$1000,$U$5:$U$1000,ROW(),$V$5:$V$1000,"Sub"),$AA253)))</f>
        <v/>
      </c>
      <c r="AF253" s="62">
        <f>IF($V253="","",IF(AND(ISNUMBER($G253),$G253&lt;=IF($S253=MesCiclo,InicioCiclo,$S253+MOD(2-WEEKDAY($S253),7))+27),1,IF(N($W253)&gt;0,AVERAGEIFS($AB$5:$AB$1000,$U$5:$U$1000,ROW(),$V$5:$V$1000,"Sub"),$AB253)))</f>
        <v/>
      </c>
      <c r="AG253" s="62">
        <f>IF($V253&lt;&gt;"Macro","",IF(COUNTIFS($S$5:$S$1000,$S253,$V$5:$V$1000,"Macro",$H$5:$H$1000,"&gt;0")=0,1/COUNTIFS($S$5:$S$1000,$S253,$V$5:$V$1000,"Macro"),IF(AND(ISNUMBER($H253),N($H253)&gt;0),$H253,SUMIFS($H$5:$H$1000,$S$5:$S$1000,$S253,$V$5:$V$1000,"Macro")/COUNTIFS($S$5:$S$1000,$S253,$V$5:$V$1000,"Macro",$H$5:$H$1000,"&gt;0"))/(COUNTIFS($S$5:$S$1000,$S253,$V$5:$V$1000,"Macro")*SUMIFS($H$5:$H$1000,$S$5:$S$1000,$S253,$V$5:$V$1000,"Macro")/COUNTIFS($S$5:$S$1000,$S253,$V$5:$V$1000,"Macro",$H$5:$H$1000,"&gt;0"))))</f>
        <v/>
      </c>
      <c r="AH253" s="62" t="n"/>
      <c r="AI253" s="62" t="n"/>
      <c r="AJ253" s="62" t="n"/>
      <c r="AK253" s="62" t="n"/>
      <c r="AL253" s="62">
        <f>IF(LEFT($C253,11)="[Jefatura] ",IFERROR(MATCH("Riesgo Operacional|"&amp;MID($C253,12,500),rDname_ADM,0),0),"")</f>
        <v/>
      </c>
      <c r="AM253" s="62">
        <f>IF(N($AL253)&gt;0,INDEX(rIni_ADM,$AL253),IF(ISNUMBER($E253),$E253,""))</f>
        <v/>
      </c>
      <c r="AN253" s="62">
        <f>IF(N($AL253)&gt;0,INDEX(rLim_ADM,$AL253),IF(ISNUMBER($F253),$F253,""))</f>
        <v/>
      </c>
    </row>
    <row r="254">
      <c r="A254" s="56">
        <f>IF(NOT((COUNTA($B254:$D254)+COUNTA($G254:$L254)+COUNTA($Q254))&gt;0),"",IF($V254="Macro",COUNTIFS($V$5:$V254,"Macro",$S$5:$S254,$S254),IF(N($U254)=0,"?",COUNTIFS(INDEX($V$5:$V$1000,1):INDEX($V$5:$V$1000,$U254-4),"Macro",INDEX($S$5:$S$1000,1):INDEX($S$5:$S$1000,$U254-4),INDEX($S$5:$S$1000,$U254-4))&amp;"."&amp;COUNTIFS($U$5:$U254,$U254,$V$5:$V254,"Sub"))))</f>
        <v/>
      </c>
      <c r="B254" s="57" t="n"/>
      <c r="C254" s="58" t="n"/>
      <c r="D254" s="58" t="n"/>
      <c r="E254" s="59">
        <f>IF(N($AL254)&gt;0,INDEX(rIni_ADM,$AL254),"")</f>
        <v/>
      </c>
      <c r="F254" s="59">
        <f>IF(N($AL254)&gt;0,INDEX(rLim_ADM,$AL254),"")</f>
        <v/>
      </c>
      <c r="G254" s="59" t="n"/>
      <c r="H254" s="60" t="n"/>
      <c r="I254" s="60" t="n"/>
      <c r="J254" s="60" t="n"/>
      <c r="K254" s="60" t="n"/>
      <c r="L254" s="60" t="n"/>
      <c r="M254" s="61">
        <f>IF(NOT((COUNTA($B254:$D254)+COUNTA($G254:$L254)+COUNTA($Q254))&gt;0),"",IF($V254="Sub",IFERROR($X254/INDEX($W$5:$W$1000,$U254-4),""),IF(ISNUMBER($G254),1,IF(N($W254)&gt;0,AVERAGEIFS($X$5:$X$1000,$U$5:$U$1000,ROW(),$V$5:$V$1000,"Sub"),$X254))))</f>
        <v/>
      </c>
      <c r="N254" s="56">
        <f>IF(OR($M254="",$V254="Sub"),"",IF($M254&gt;=1,"Completado",IF($M254&gt;0,"En curso","Pendiente")))</f>
        <v/>
      </c>
      <c r="O254" s="56">
        <f>IF(OR(NOT((COUNTA($B254:$D254)+COUNTA($G254:$L254)+COUNTA($Q254))&gt;0),$V254="Sub"),"",IF(ISNUMBER($G254),IF(AND(ISNUMBER($AN254),$G254&gt;$AN254),"Cumplida con "&amp;($G254-$AN254)&amp;IF($G254-$AN254=1," día"," días")&amp;" de retraso","Cumplida"),IF(N($M254)&gt;=1,"Cumplida",IF(NOT(ISNUMBER($AN254)),"Sin fecha límite",IF($AN254&lt;FechaRef,"Vencida hace "&amp;(FechaRef-$AN254)&amp;IF(FechaRef-$AN254=1," día"," días"),IF($AN254=FechaRef,"Vence hoy",IF($AN254-FechaRef&lt;=DiasAlerta,"Vence en "&amp;($AN254-FechaRef)&amp;IF($AN254-FechaRef=1," día"," días"),"En plazo")))))))</f>
        <v/>
      </c>
      <c r="P254" s="62" t="n"/>
      <c r="Q254" s="58" t="n"/>
      <c r="R254" s="63">
        <f>IF(NOT((COUNTA($B254:$D254)+COUNTA($G254:$L254)+COUNTA($Q254))&gt;0),"",IF((IF($C254="","Falta el nombre de la actividad"&amp;" · ","")&amp;IF(AND($V254="Sub",N($U254)=0),"Subactividad sin macroactividad arriba"&amp;" · ","")&amp;IF($AM254="","Sin fecha de inicio"&amp;" · ","")&amp;IF($AN254="","Sin fecha límite"&amp;" · ","")&amp;IF(AND(LEFT($C254,11)="[Jefatura] ",N($AL254)=0),"No se encuentra en la hoja de la jefatura (elíjala de nuevo en la lista)"&amp;" · ","")&amp;IF(OR(AND($E254&lt;&gt;"",NOT(ISNUMBER($E254))),AND($F254&lt;&gt;"",NOT(ISNUMBER($F254))),AND($G254&lt;&gt;"",NOT(ISNUMBER($G254)))),"Fecha no válida"&amp;" · ","")&amp;IF(AND(ISNUMBER($AM254),ISNUMBER($AN254),$AM254&gt;$AN254),"Inicio posterior a fecha límite"&amp;" · ","")&amp;IF(AND($V254="Macro",$H254&lt;&gt;"",OR(NOT(ISNUMBER($H254)),$H254&lt;0,$H254&gt;1)),"Peso fuera de rango"&amp;" · ","")&amp;IF(AND($V254="Sub",$H254&lt;&gt;""),"Las subactividades no llevan peso (valen igual dentro de su macroactividad)"&amp;" · ","")&amp;IF(AND(N($W254)&gt;0,COUNT($I254:$L254)&gt;0),"Con subactividades: deje vacías las semanas (se calculan solas)"&amp;" · ","")&amp;IF((COUNTIF($I254:$L254,"&gt;1")+COUNTIF($I254:$L254,"&lt;0")+COUNTA($I254:$L254)-COUNT($I254:$L254))&gt;0,"Avance fuera de rango 0-100%"&amp;" · ","")&amp;IF(OR(AND($J254&lt;&gt;"",$J254&lt;$I254),AND($K254&lt;&gt;"",$K254&lt;MAX($I254:$J254)),AND($L254&lt;&gt;"",$L254&lt;MAX($I254:$K254))),"Avance semanal decreciente"&amp;" · ","")&amp;IF(AND(ISNUMBER($AN254),$AN254&lt;FechaRef,IF($V254="Sub",N($X254),N($M254))&lt;1),"Vencida"&amp;" · ","")&amp;IF(AND(ObsObligatoria="Sí",ISNUMBER($AN254),$AN254&lt;FechaRef,IF($V254="Sub",N($X254),N($M254))&lt;1,$Q254=""),"Vencida sin observación"&amp;" · ",""))="","✔ OK","⚠ "&amp;LEFT(IF($C254="","Falta el nombre de la actividad"&amp;" · ","")&amp;IF(AND($V254="Sub",N($U254)=0),"Subactividad sin macroactividad arriba"&amp;" · ","")&amp;IF($AM254="","Sin fecha de inicio"&amp;" · ","")&amp;IF($AN254="","Sin fecha límite"&amp;" · ","")&amp;IF(AND(LEFT($C254,11)="[Jefatura] ",N($AL254)=0),"No se encuentra en la hoja de la jefatura (elíjala de nuevo en la lista)"&amp;" · ","")&amp;IF(OR(AND($E254&lt;&gt;"",NOT(ISNUMBER($E254))),AND($F254&lt;&gt;"",NOT(ISNUMBER($F254))),AND($G254&lt;&gt;"",NOT(ISNUMBER($G254)))),"Fecha no válida"&amp;" · ","")&amp;IF(AND(ISNUMBER($AM254),ISNUMBER($AN254),$AM254&gt;$AN254),"Inicio posterior a fecha límite"&amp;" · ","")&amp;IF(AND($V254="Macro",$H254&lt;&gt;"",OR(NOT(ISNUMBER($H254)),$H254&lt;0,$H254&gt;1)),"Peso fuera de rango"&amp;" · ","")&amp;IF(AND($V254="Sub",$H254&lt;&gt;""),"Las subactividades no llevan peso (valen igual dentro de su macroactividad)"&amp;" · ","")&amp;IF(AND(N($W254)&gt;0,COUNT($I254:$L254)&gt;0),"Con subactividades: deje vacías las semanas (se calculan solas)"&amp;" · ","")&amp;IF((COUNTIF($I254:$L254,"&gt;1")+COUNTIF($I254:$L254,"&lt;0")+COUNTA($I254:$L254)-COUNT($I254:$L254))&gt;0,"Avance fuera de rango 0-100%"&amp;" · ","")&amp;IF(OR(AND($J254&lt;&gt;"",$J254&lt;$I254),AND($K254&lt;&gt;"",$K254&lt;MAX($I254:$J254)),AND($L254&lt;&gt;"",$L254&lt;MAX($I254:$K254))),"Avance semanal decreciente"&amp;" · ","")&amp;IF(AND(ISNUMBER($AN254),$AN254&lt;FechaRef,IF($V254="Sub",N($X254),N($M254))&lt;1),"Vencida"&amp;" · ","")&amp;IF(AND(ObsObligatoria="Sí",ISNUMBER($AN254),$AN254&lt;FechaRef,IF($V254="Sub",N($X254),N($M254))&lt;1,$Q254=""),"Vencida sin observación"&amp;" · ",""),LEN(IF($C254="","Falta el nombre de la actividad"&amp;" · ","")&amp;IF(AND($V254="Sub",N($U254)=0),"Subactividad sin macroactividad arriba"&amp;" · ","")&amp;IF($AM254="","Sin fecha de inicio"&amp;" · ","")&amp;IF($AN254="","Sin fecha límite"&amp;" · ","")&amp;IF(AND(LEFT($C254,11)="[Jefatura] ",N($AL254)=0),"No se encuentra en la hoja de la jefatura (elíjala de nuevo en la lista)"&amp;" · ","")&amp;IF(OR(AND($E254&lt;&gt;"",NOT(ISNUMBER($E254))),AND($F254&lt;&gt;"",NOT(ISNUMBER($F254))),AND($G254&lt;&gt;"",NOT(ISNUMBER($G254)))),"Fecha no válida"&amp;" · ","")&amp;IF(AND(ISNUMBER($AM254),ISNUMBER($AN254),$AM254&gt;$AN254),"Inicio posterior a fecha límite"&amp;" · ","")&amp;IF(AND($V254="Macro",$H254&lt;&gt;"",OR(NOT(ISNUMBER($H254)),$H254&lt;0,$H254&gt;1)),"Peso fuera de rango"&amp;" · ","")&amp;IF(AND($V254="Sub",$H254&lt;&gt;""),"Las subactividades no llevan peso (valen igual dentro de su macroactividad)"&amp;" · ","")&amp;IF(AND(N($W254)&gt;0,COUNT($I254:$L254)&gt;0),"Con subactividades: deje vacías las semanas (se calculan solas)"&amp;" · ","")&amp;IF((COUNTIF($I254:$L254,"&gt;1")+COUNTIF($I254:$L254,"&lt;0")+COUNTA($I254:$L254)-COUNT($I254:$L254))&gt;0,"Avance fuera de rango 0-100%"&amp;" · ","")&amp;IF(OR(AND($J254&lt;&gt;"",$J254&lt;$I254),AND($K254&lt;&gt;"",$K254&lt;MAX($I254:$J254)),AND($L254&lt;&gt;"",$L254&lt;MAX($I254:$K254))),"Avance semanal decreciente"&amp;" · ","")&amp;IF(AND(ISNUMBER($AN254),$AN254&lt;FechaRef,IF($V254="Sub",N($X254),N($M254))&lt;1),"Vencida"&amp;" · ","")&amp;IF(AND(ObsObligatoria="Sí",ISNUMBER($AN254),$AN254&lt;FechaRef,IF($V254="Sub",N($X254),N($M254))&lt;1,$Q254=""),"Vencida sin observación"&amp;" · ",""))-3)))</f>
        <v/>
      </c>
      <c r="S254" s="64">
        <f>IF(NOT((COUNTA($B254:$D254)+COUNTA($G254:$L254)+COUNTA($Q254))&gt;0),"",IF(AND($V254="Sub",N($U254)&gt;0),IF(ISNUMBER(INDEX($AM$5:$AM$1000,$U254-4)),DATE(YEAR(INDEX($AM$5:$AM$1000,$U254-4)),MONTH(INDEX($AM$5:$AM$1000,$U254-4)),1),IF(ISNUMBER(INDEX($AN$5:$AN$1000,$U254-4)),DATE(YEAR(INDEX($AN$5:$AN$1000,$U254-4)),MONTH(INDEX($AN$5:$AN$1000,$U254-4)),1),MesCiclo)),IF(ISNUMBER($AM254),DATE(YEAR($AM254),MONTH($AM254),1),IF(ISNUMBER($AN254),DATE(YEAR($AN254),MONTH($AN254),1),MesCiclo))))</f>
        <v/>
      </c>
      <c r="T254" s="62">
        <f>IF(OR($S254="",$S254&lt;&gt;MesCiclo,$V254&lt;&gt;"Macro"),"",COUNTIFS($S$5:$S254,MesCiclo,$V$5:$V254,"Macro"))</f>
        <v/>
      </c>
      <c r="U254" s="62">
        <f>IF($V254="","",IF($V254="Macro",ROW(),IFERROR(LOOKUP(2,1/($V$5:$V254="Macro"),ROW($V$5:$V254)),0)))</f>
        <v/>
      </c>
      <c r="V254" s="62">
        <f>IF(NOT((COUNTA($B254:$D254)+COUNTA($G254:$L254)+COUNTA($Q254))&gt;0),"",IF($B254="Subactividad","Sub","Macro"))</f>
        <v/>
      </c>
      <c r="W254" s="62">
        <f>IF($V254="Macro",COUNTIFS($U$5:$U$1000,ROW(),$V$5:$V$1000,"Sub"),"")</f>
        <v/>
      </c>
      <c r="X254" s="62">
        <f>IF($V254="","",IF(ISNUMBER($G254),1,IFERROR(LOOKUP(2,1/($I254:$L254&lt;&gt;""),$I254:$L254),0)))</f>
        <v/>
      </c>
      <c r="Y254" s="62">
        <f>IF($V254="","",IF(AND(ISNUMBER($G254),$G254&lt;=IF($S254=MesCiclo,InicioCiclo,$S254+MOD(2-WEEKDAY($S254),7))+6),1,IF(ISNUMBER($I254),$I254,0)))</f>
        <v/>
      </c>
      <c r="Z254" s="62">
        <f>IF($V254="","",IF(AND(ISNUMBER($G254),$G254&lt;=IF($S254=MesCiclo,InicioCiclo,$S254+MOD(2-WEEKDAY($S254),7))+13),1,IF(ISNUMBER($J254),$J254,$Y254)))</f>
        <v/>
      </c>
      <c r="AA254" s="62">
        <f>IF($V254="","",IF(AND(ISNUMBER($G254),$G254&lt;=IF($S254=MesCiclo,InicioCiclo,$S254+MOD(2-WEEKDAY($S254),7))+20),1,IF(ISNUMBER($K254),$K254,$Z254)))</f>
        <v/>
      </c>
      <c r="AB254" s="62">
        <f>IF($V254="","",IF(AND(ISNUMBER($G254),$G254&lt;=IF($S254=MesCiclo,InicioCiclo,$S254+MOD(2-WEEKDAY($S254),7))+27),1,IF(ISNUMBER($L254),$L254,$AA254)))</f>
        <v/>
      </c>
      <c r="AC254" s="62">
        <f>IF($V254="","",IF(AND(ISNUMBER($G254),$G254&lt;=IF($S254=MesCiclo,InicioCiclo,$S254+MOD(2-WEEKDAY($S254),7))+6),1,IF(N($W254)&gt;0,AVERAGEIFS($Y$5:$Y$1000,$U$5:$U$1000,ROW(),$V$5:$V$1000,"Sub"),$Y254)))</f>
        <v/>
      </c>
      <c r="AD254" s="62">
        <f>IF($V254="","",IF(AND(ISNUMBER($G254),$G254&lt;=IF($S254=MesCiclo,InicioCiclo,$S254+MOD(2-WEEKDAY($S254),7))+13),1,IF(N($W254)&gt;0,AVERAGEIFS($Z$5:$Z$1000,$U$5:$U$1000,ROW(),$V$5:$V$1000,"Sub"),$Z254)))</f>
        <v/>
      </c>
      <c r="AE254" s="62">
        <f>IF($V254="","",IF(AND(ISNUMBER($G254),$G254&lt;=IF($S254=MesCiclo,InicioCiclo,$S254+MOD(2-WEEKDAY($S254),7))+20),1,IF(N($W254)&gt;0,AVERAGEIFS($AA$5:$AA$1000,$U$5:$U$1000,ROW(),$V$5:$V$1000,"Sub"),$AA254)))</f>
        <v/>
      </c>
      <c r="AF254" s="62">
        <f>IF($V254="","",IF(AND(ISNUMBER($G254),$G254&lt;=IF($S254=MesCiclo,InicioCiclo,$S254+MOD(2-WEEKDAY($S254),7))+27),1,IF(N($W254)&gt;0,AVERAGEIFS($AB$5:$AB$1000,$U$5:$U$1000,ROW(),$V$5:$V$1000,"Sub"),$AB254)))</f>
        <v/>
      </c>
      <c r="AG254" s="62">
        <f>IF($V254&lt;&gt;"Macro","",IF(COUNTIFS($S$5:$S$1000,$S254,$V$5:$V$1000,"Macro",$H$5:$H$1000,"&gt;0")=0,1/COUNTIFS($S$5:$S$1000,$S254,$V$5:$V$1000,"Macro"),IF(AND(ISNUMBER($H254),N($H254)&gt;0),$H254,SUMIFS($H$5:$H$1000,$S$5:$S$1000,$S254,$V$5:$V$1000,"Macro")/COUNTIFS($S$5:$S$1000,$S254,$V$5:$V$1000,"Macro",$H$5:$H$1000,"&gt;0"))/(COUNTIFS($S$5:$S$1000,$S254,$V$5:$V$1000,"Macro")*SUMIFS($H$5:$H$1000,$S$5:$S$1000,$S254,$V$5:$V$1000,"Macro")/COUNTIFS($S$5:$S$1000,$S254,$V$5:$V$1000,"Macro",$H$5:$H$1000,"&gt;0"))))</f>
        <v/>
      </c>
      <c r="AH254" s="62" t="n"/>
      <c r="AI254" s="62" t="n"/>
      <c r="AJ254" s="62" t="n"/>
      <c r="AK254" s="62" t="n"/>
      <c r="AL254" s="62">
        <f>IF(LEFT($C254,11)="[Jefatura] ",IFERROR(MATCH("Riesgo Operacional|"&amp;MID($C254,12,500),rDname_ADM,0),0),"")</f>
        <v/>
      </c>
      <c r="AM254" s="62">
        <f>IF(N($AL254)&gt;0,INDEX(rIni_ADM,$AL254),IF(ISNUMBER($E254),$E254,""))</f>
        <v/>
      </c>
      <c r="AN254" s="62">
        <f>IF(N($AL254)&gt;0,INDEX(rLim_ADM,$AL254),IF(ISNUMBER($F254),$F254,""))</f>
        <v/>
      </c>
    </row>
    <row r="255">
      <c r="A255" s="56">
        <f>IF(NOT((COUNTA($B255:$D255)+COUNTA($G255:$L255)+COUNTA($Q255))&gt;0),"",IF($V255="Macro",COUNTIFS($V$5:$V255,"Macro",$S$5:$S255,$S255),IF(N($U255)=0,"?",COUNTIFS(INDEX($V$5:$V$1000,1):INDEX($V$5:$V$1000,$U255-4),"Macro",INDEX($S$5:$S$1000,1):INDEX($S$5:$S$1000,$U255-4),INDEX($S$5:$S$1000,$U255-4))&amp;"."&amp;COUNTIFS($U$5:$U255,$U255,$V$5:$V255,"Sub"))))</f>
        <v/>
      </c>
      <c r="B255" s="57" t="n"/>
      <c r="C255" s="58" t="n"/>
      <c r="D255" s="58" t="n"/>
      <c r="E255" s="59">
        <f>IF(N($AL255)&gt;0,INDEX(rIni_ADM,$AL255),"")</f>
        <v/>
      </c>
      <c r="F255" s="59">
        <f>IF(N($AL255)&gt;0,INDEX(rLim_ADM,$AL255),"")</f>
        <v/>
      </c>
      <c r="G255" s="59" t="n"/>
      <c r="H255" s="60" t="n"/>
      <c r="I255" s="60" t="n"/>
      <c r="J255" s="60" t="n"/>
      <c r="K255" s="60" t="n"/>
      <c r="L255" s="60" t="n"/>
      <c r="M255" s="61">
        <f>IF(NOT((COUNTA($B255:$D255)+COUNTA($G255:$L255)+COUNTA($Q255))&gt;0),"",IF($V255="Sub",IFERROR($X255/INDEX($W$5:$W$1000,$U255-4),""),IF(ISNUMBER($G255),1,IF(N($W255)&gt;0,AVERAGEIFS($X$5:$X$1000,$U$5:$U$1000,ROW(),$V$5:$V$1000,"Sub"),$X255))))</f>
        <v/>
      </c>
      <c r="N255" s="56">
        <f>IF(OR($M255="",$V255="Sub"),"",IF($M255&gt;=1,"Completado",IF($M255&gt;0,"En curso","Pendiente")))</f>
        <v/>
      </c>
      <c r="O255" s="56">
        <f>IF(OR(NOT((COUNTA($B255:$D255)+COUNTA($G255:$L255)+COUNTA($Q255))&gt;0),$V255="Sub"),"",IF(ISNUMBER($G255),IF(AND(ISNUMBER($AN255),$G255&gt;$AN255),"Cumplida con "&amp;($G255-$AN255)&amp;IF($G255-$AN255=1," día"," días")&amp;" de retraso","Cumplida"),IF(N($M255)&gt;=1,"Cumplida",IF(NOT(ISNUMBER($AN255)),"Sin fecha límite",IF($AN255&lt;FechaRef,"Vencida hace "&amp;(FechaRef-$AN255)&amp;IF(FechaRef-$AN255=1," día"," días"),IF($AN255=FechaRef,"Vence hoy",IF($AN255-FechaRef&lt;=DiasAlerta,"Vence en "&amp;($AN255-FechaRef)&amp;IF($AN255-FechaRef=1," día"," días"),"En plazo")))))))</f>
        <v/>
      </c>
      <c r="P255" s="62" t="n"/>
      <c r="Q255" s="58" t="n"/>
      <c r="R255" s="63">
        <f>IF(NOT((COUNTA($B255:$D255)+COUNTA($G255:$L255)+COUNTA($Q255))&gt;0),"",IF((IF($C255="","Falta el nombre de la actividad"&amp;" · ","")&amp;IF(AND($V255="Sub",N($U255)=0),"Subactividad sin macroactividad arriba"&amp;" · ","")&amp;IF($AM255="","Sin fecha de inicio"&amp;" · ","")&amp;IF($AN255="","Sin fecha límite"&amp;" · ","")&amp;IF(AND(LEFT($C255,11)="[Jefatura] ",N($AL255)=0),"No se encuentra en la hoja de la jefatura (elíjala de nuevo en la lista)"&amp;" · ","")&amp;IF(OR(AND($E255&lt;&gt;"",NOT(ISNUMBER($E255))),AND($F255&lt;&gt;"",NOT(ISNUMBER($F255))),AND($G255&lt;&gt;"",NOT(ISNUMBER($G255)))),"Fecha no válida"&amp;" · ","")&amp;IF(AND(ISNUMBER($AM255),ISNUMBER($AN255),$AM255&gt;$AN255),"Inicio posterior a fecha límite"&amp;" · ","")&amp;IF(AND($V255="Macro",$H255&lt;&gt;"",OR(NOT(ISNUMBER($H255)),$H255&lt;0,$H255&gt;1)),"Peso fuera de rango"&amp;" · ","")&amp;IF(AND($V255="Sub",$H255&lt;&gt;""),"Las subactividades no llevan peso (valen igual dentro de su macroactividad)"&amp;" · ","")&amp;IF(AND(N($W255)&gt;0,COUNT($I255:$L255)&gt;0),"Con subactividades: deje vacías las semanas (se calculan solas)"&amp;" · ","")&amp;IF((COUNTIF($I255:$L255,"&gt;1")+COUNTIF($I255:$L255,"&lt;0")+COUNTA($I255:$L255)-COUNT($I255:$L255))&gt;0,"Avance fuera de rango 0-100%"&amp;" · ","")&amp;IF(OR(AND($J255&lt;&gt;"",$J255&lt;$I255),AND($K255&lt;&gt;"",$K255&lt;MAX($I255:$J255)),AND($L255&lt;&gt;"",$L255&lt;MAX($I255:$K255))),"Avance semanal decreciente"&amp;" · ","")&amp;IF(AND(ISNUMBER($AN255),$AN255&lt;FechaRef,IF($V255="Sub",N($X255),N($M255))&lt;1),"Vencida"&amp;" · ","")&amp;IF(AND(ObsObligatoria="Sí",ISNUMBER($AN255),$AN255&lt;FechaRef,IF($V255="Sub",N($X255),N($M255))&lt;1,$Q255=""),"Vencida sin observación"&amp;" · ",""))="","✔ OK","⚠ "&amp;LEFT(IF($C255="","Falta el nombre de la actividad"&amp;" · ","")&amp;IF(AND($V255="Sub",N($U255)=0),"Subactividad sin macroactividad arriba"&amp;" · ","")&amp;IF($AM255="","Sin fecha de inicio"&amp;" · ","")&amp;IF($AN255="","Sin fecha límite"&amp;" · ","")&amp;IF(AND(LEFT($C255,11)="[Jefatura] ",N($AL255)=0),"No se encuentra en la hoja de la jefatura (elíjala de nuevo en la lista)"&amp;" · ","")&amp;IF(OR(AND($E255&lt;&gt;"",NOT(ISNUMBER($E255))),AND($F255&lt;&gt;"",NOT(ISNUMBER($F255))),AND($G255&lt;&gt;"",NOT(ISNUMBER($G255)))),"Fecha no válida"&amp;" · ","")&amp;IF(AND(ISNUMBER($AM255),ISNUMBER($AN255),$AM255&gt;$AN255),"Inicio posterior a fecha límite"&amp;" · ","")&amp;IF(AND($V255="Macro",$H255&lt;&gt;"",OR(NOT(ISNUMBER($H255)),$H255&lt;0,$H255&gt;1)),"Peso fuera de rango"&amp;" · ","")&amp;IF(AND($V255="Sub",$H255&lt;&gt;""),"Las subactividades no llevan peso (valen igual dentro de su macroactividad)"&amp;" · ","")&amp;IF(AND(N($W255)&gt;0,COUNT($I255:$L255)&gt;0),"Con subactividades: deje vacías las semanas (se calculan solas)"&amp;" · ","")&amp;IF((COUNTIF($I255:$L255,"&gt;1")+COUNTIF($I255:$L255,"&lt;0")+COUNTA($I255:$L255)-COUNT($I255:$L255))&gt;0,"Avance fuera de rango 0-100%"&amp;" · ","")&amp;IF(OR(AND($J255&lt;&gt;"",$J255&lt;$I255),AND($K255&lt;&gt;"",$K255&lt;MAX($I255:$J255)),AND($L255&lt;&gt;"",$L255&lt;MAX($I255:$K255))),"Avance semanal decreciente"&amp;" · ","")&amp;IF(AND(ISNUMBER($AN255),$AN255&lt;FechaRef,IF($V255="Sub",N($X255),N($M255))&lt;1),"Vencida"&amp;" · ","")&amp;IF(AND(ObsObligatoria="Sí",ISNUMBER($AN255),$AN255&lt;FechaRef,IF($V255="Sub",N($X255),N($M255))&lt;1,$Q255=""),"Vencida sin observación"&amp;" · ",""),LEN(IF($C255="","Falta el nombre de la actividad"&amp;" · ","")&amp;IF(AND($V255="Sub",N($U255)=0),"Subactividad sin macroactividad arriba"&amp;" · ","")&amp;IF($AM255="","Sin fecha de inicio"&amp;" · ","")&amp;IF($AN255="","Sin fecha límite"&amp;" · ","")&amp;IF(AND(LEFT($C255,11)="[Jefatura] ",N($AL255)=0),"No se encuentra en la hoja de la jefatura (elíjala de nuevo en la lista)"&amp;" · ","")&amp;IF(OR(AND($E255&lt;&gt;"",NOT(ISNUMBER($E255))),AND($F255&lt;&gt;"",NOT(ISNUMBER($F255))),AND($G255&lt;&gt;"",NOT(ISNUMBER($G255)))),"Fecha no válida"&amp;" · ","")&amp;IF(AND(ISNUMBER($AM255),ISNUMBER($AN255),$AM255&gt;$AN255),"Inicio posterior a fecha límite"&amp;" · ","")&amp;IF(AND($V255="Macro",$H255&lt;&gt;"",OR(NOT(ISNUMBER($H255)),$H255&lt;0,$H255&gt;1)),"Peso fuera de rango"&amp;" · ","")&amp;IF(AND($V255="Sub",$H255&lt;&gt;""),"Las subactividades no llevan peso (valen igual dentro de su macroactividad)"&amp;" · ","")&amp;IF(AND(N($W255)&gt;0,COUNT($I255:$L255)&gt;0),"Con subactividades: deje vacías las semanas (se calculan solas)"&amp;" · ","")&amp;IF((COUNTIF($I255:$L255,"&gt;1")+COUNTIF($I255:$L255,"&lt;0")+COUNTA($I255:$L255)-COUNT($I255:$L255))&gt;0,"Avance fuera de rango 0-100%"&amp;" · ","")&amp;IF(OR(AND($J255&lt;&gt;"",$J255&lt;$I255),AND($K255&lt;&gt;"",$K255&lt;MAX($I255:$J255)),AND($L255&lt;&gt;"",$L255&lt;MAX($I255:$K255))),"Avance semanal decreciente"&amp;" · ","")&amp;IF(AND(ISNUMBER($AN255),$AN255&lt;FechaRef,IF($V255="Sub",N($X255),N($M255))&lt;1),"Vencida"&amp;" · ","")&amp;IF(AND(ObsObligatoria="Sí",ISNUMBER($AN255),$AN255&lt;FechaRef,IF($V255="Sub",N($X255),N($M255))&lt;1,$Q255=""),"Vencida sin observación"&amp;" · ",""))-3)))</f>
        <v/>
      </c>
      <c r="S255" s="64">
        <f>IF(NOT((COUNTA($B255:$D255)+COUNTA($G255:$L255)+COUNTA($Q255))&gt;0),"",IF(AND($V255="Sub",N($U255)&gt;0),IF(ISNUMBER(INDEX($AM$5:$AM$1000,$U255-4)),DATE(YEAR(INDEX($AM$5:$AM$1000,$U255-4)),MONTH(INDEX($AM$5:$AM$1000,$U255-4)),1),IF(ISNUMBER(INDEX($AN$5:$AN$1000,$U255-4)),DATE(YEAR(INDEX($AN$5:$AN$1000,$U255-4)),MONTH(INDEX($AN$5:$AN$1000,$U255-4)),1),MesCiclo)),IF(ISNUMBER($AM255),DATE(YEAR($AM255),MONTH($AM255),1),IF(ISNUMBER($AN255),DATE(YEAR($AN255),MONTH($AN255),1),MesCiclo))))</f>
        <v/>
      </c>
      <c r="T255" s="62">
        <f>IF(OR($S255="",$S255&lt;&gt;MesCiclo,$V255&lt;&gt;"Macro"),"",COUNTIFS($S$5:$S255,MesCiclo,$V$5:$V255,"Macro"))</f>
        <v/>
      </c>
      <c r="U255" s="62">
        <f>IF($V255="","",IF($V255="Macro",ROW(),IFERROR(LOOKUP(2,1/($V$5:$V255="Macro"),ROW($V$5:$V255)),0)))</f>
        <v/>
      </c>
      <c r="V255" s="62">
        <f>IF(NOT((COUNTA($B255:$D255)+COUNTA($G255:$L255)+COUNTA($Q255))&gt;0),"",IF($B255="Subactividad","Sub","Macro"))</f>
        <v/>
      </c>
      <c r="W255" s="62">
        <f>IF($V255="Macro",COUNTIFS($U$5:$U$1000,ROW(),$V$5:$V$1000,"Sub"),"")</f>
        <v/>
      </c>
      <c r="X255" s="62">
        <f>IF($V255="","",IF(ISNUMBER($G255),1,IFERROR(LOOKUP(2,1/($I255:$L255&lt;&gt;""),$I255:$L255),0)))</f>
        <v/>
      </c>
      <c r="Y255" s="62">
        <f>IF($V255="","",IF(AND(ISNUMBER($G255),$G255&lt;=IF($S255=MesCiclo,InicioCiclo,$S255+MOD(2-WEEKDAY($S255),7))+6),1,IF(ISNUMBER($I255),$I255,0)))</f>
        <v/>
      </c>
      <c r="Z255" s="62">
        <f>IF($V255="","",IF(AND(ISNUMBER($G255),$G255&lt;=IF($S255=MesCiclo,InicioCiclo,$S255+MOD(2-WEEKDAY($S255),7))+13),1,IF(ISNUMBER($J255),$J255,$Y255)))</f>
        <v/>
      </c>
      <c r="AA255" s="62">
        <f>IF($V255="","",IF(AND(ISNUMBER($G255),$G255&lt;=IF($S255=MesCiclo,InicioCiclo,$S255+MOD(2-WEEKDAY($S255),7))+20),1,IF(ISNUMBER($K255),$K255,$Z255)))</f>
        <v/>
      </c>
      <c r="AB255" s="62">
        <f>IF($V255="","",IF(AND(ISNUMBER($G255),$G255&lt;=IF($S255=MesCiclo,InicioCiclo,$S255+MOD(2-WEEKDAY($S255),7))+27),1,IF(ISNUMBER($L255),$L255,$AA255)))</f>
        <v/>
      </c>
      <c r="AC255" s="62">
        <f>IF($V255="","",IF(AND(ISNUMBER($G255),$G255&lt;=IF($S255=MesCiclo,InicioCiclo,$S255+MOD(2-WEEKDAY($S255),7))+6),1,IF(N($W255)&gt;0,AVERAGEIFS($Y$5:$Y$1000,$U$5:$U$1000,ROW(),$V$5:$V$1000,"Sub"),$Y255)))</f>
        <v/>
      </c>
      <c r="AD255" s="62">
        <f>IF($V255="","",IF(AND(ISNUMBER($G255),$G255&lt;=IF($S255=MesCiclo,InicioCiclo,$S255+MOD(2-WEEKDAY($S255),7))+13),1,IF(N($W255)&gt;0,AVERAGEIFS($Z$5:$Z$1000,$U$5:$U$1000,ROW(),$V$5:$V$1000,"Sub"),$Z255)))</f>
        <v/>
      </c>
      <c r="AE255" s="62">
        <f>IF($V255="","",IF(AND(ISNUMBER($G255),$G255&lt;=IF($S255=MesCiclo,InicioCiclo,$S255+MOD(2-WEEKDAY($S255),7))+20),1,IF(N($W255)&gt;0,AVERAGEIFS($AA$5:$AA$1000,$U$5:$U$1000,ROW(),$V$5:$V$1000,"Sub"),$AA255)))</f>
        <v/>
      </c>
      <c r="AF255" s="62">
        <f>IF($V255="","",IF(AND(ISNUMBER($G255),$G255&lt;=IF($S255=MesCiclo,InicioCiclo,$S255+MOD(2-WEEKDAY($S255),7))+27),1,IF(N($W255)&gt;0,AVERAGEIFS($AB$5:$AB$1000,$U$5:$U$1000,ROW(),$V$5:$V$1000,"Sub"),$AB255)))</f>
        <v/>
      </c>
      <c r="AG255" s="62">
        <f>IF($V255&lt;&gt;"Macro","",IF(COUNTIFS($S$5:$S$1000,$S255,$V$5:$V$1000,"Macro",$H$5:$H$1000,"&gt;0")=0,1/COUNTIFS($S$5:$S$1000,$S255,$V$5:$V$1000,"Macro"),IF(AND(ISNUMBER($H255),N($H255)&gt;0),$H255,SUMIFS($H$5:$H$1000,$S$5:$S$1000,$S255,$V$5:$V$1000,"Macro")/COUNTIFS($S$5:$S$1000,$S255,$V$5:$V$1000,"Macro",$H$5:$H$1000,"&gt;0"))/(COUNTIFS($S$5:$S$1000,$S255,$V$5:$V$1000,"Macro")*SUMIFS($H$5:$H$1000,$S$5:$S$1000,$S255,$V$5:$V$1000,"Macro")/COUNTIFS($S$5:$S$1000,$S255,$V$5:$V$1000,"Macro",$H$5:$H$1000,"&gt;0"))))</f>
        <v/>
      </c>
      <c r="AH255" s="62" t="n"/>
      <c r="AI255" s="62" t="n"/>
      <c r="AJ255" s="62" t="n"/>
      <c r="AK255" s="62" t="n"/>
      <c r="AL255" s="62">
        <f>IF(LEFT($C255,11)="[Jefatura] ",IFERROR(MATCH("Riesgo Operacional|"&amp;MID($C255,12,500),rDname_ADM,0),0),"")</f>
        <v/>
      </c>
      <c r="AM255" s="62">
        <f>IF(N($AL255)&gt;0,INDEX(rIni_ADM,$AL255),IF(ISNUMBER($E255),$E255,""))</f>
        <v/>
      </c>
      <c r="AN255" s="62">
        <f>IF(N($AL255)&gt;0,INDEX(rLim_ADM,$AL255),IF(ISNUMBER($F255),$F255,""))</f>
        <v/>
      </c>
    </row>
    <row r="256">
      <c r="A256" s="56">
        <f>IF(NOT((COUNTA($B256:$D256)+COUNTA($G256:$L256)+COUNTA($Q256))&gt;0),"",IF($V256="Macro",COUNTIFS($V$5:$V256,"Macro",$S$5:$S256,$S256),IF(N($U256)=0,"?",COUNTIFS(INDEX($V$5:$V$1000,1):INDEX($V$5:$V$1000,$U256-4),"Macro",INDEX($S$5:$S$1000,1):INDEX($S$5:$S$1000,$U256-4),INDEX($S$5:$S$1000,$U256-4))&amp;"."&amp;COUNTIFS($U$5:$U256,$U256,$V$5:$V256,"Sub"))))</f>
        <v/>
      </c>
      <c r="B256" s="57" t="n"/>
      <c r="C256" s="58" t="n"/>
      <c r="D256" s="58" t="n"/>
      <c r="E256" s="59">
        <f>IF(N($AL256)&gt;0,INDEX(rIni_ADM,$AL256),"")</f>
        <v/>
      </c>
      <c r="F256" s="59">
        <f>IF(N($AL256)&gt;0,INDEX(rLim_ADM,$AL256),"")</f>
        <v/>
      </c>
      <c r="G256" s="59" t="n"/>
      <c r="H256" s="60" t="n"/>
      <c r="I256" s="60" t="n"/>
      <c r="J256" s="60" t="n"/>
      <c r="K256" s="60" t="n"/>
      <c r="L256" s="60" t="n"/>
      <c r="M256" s="61">
        <f>IF(NOT((COUNTA($B256:$D256)+COUNTA($G256:$L256)+COUNTA($Q256))&gt;0),"",IF($V256="Sub",IFERROR($X256/INDEX($W$5:$W$1000,$U256-4),""),IF(ISNUMBER($G256),1,IF(N($W256)&gt;0,AVERAGEIFS($X$5:$X$1000,$U$5:$U$1000,ROW(),$V$5:$V$1000,"Sub"),$X256))))</f>
        <v/>
      </c>
      <c r="N256" s="56">
        <f>IF(OR($M256="",$V256="Sub"),"",IF($M256&gt;=1,"Completado",IF($M256&gt;0,"En curso","Pendiente")))</f>
        <v/>
      </c>
      <c r="O256" s="56">
        <f>IF(OR(NOT((COUNTA($B256:$D256)+COUNTA($G256:$L256)+COUNTA($Q256))&gt;0),$V256="Sub"),"",IF(ISNUMBER($G256),IF(AND(ISNUMBER($AN256),$G256&gt;$AN256),"Cumplida con "&amp;($G256-$AN256)&amp;IF($G256-$AN256=1," día"," días")&amp;" de retraso","Cumplida"),IF(N($M256)&gt;=1,"Cumplida",IF(NOT(ISNUMBER($AN256)),"Sin fecha límite",IF($AN256&lt;FechaRef,"Vencida hace "&amp;(FechaRef-$AN256)&amp;IF(FechaRef-$AN256=1," día"," días"),IF($AN256=FechaRef,"Vence hoy",IF($AN256-FechaRef&lt;=DiasAlerta,"Vence en "&amp;($AN256-FechaRef)&amp;IF($AN256-FechaRef=1," día"," días"),"En plazo")))))))</f>
        <v/>
      </c>
      <c r="P256" s="62" t="n"/>
      <c r="Q256" s="58" t="n"/>
      <c r="R256" s="63">
        <f>IF(NOT((COUNTA($B256:$D256)+COUNTA($G256:$L256)+COUNTA($Q256))&gt;0),"",IF((IF($C256="","Falta el nombre de la actividad"&amp;" · ","")&amp;IF(AND($V256="Sub",N($U256)=0),"Subactividad sin macroactividad arriba"&amp;" · ","")&amp;IF($AM256="","Sin fecha de inicio"&amp;" · ","")&amp;IF($AN256="","Sin fecha límite"&amp;" · ","")&amp;IF(AND(LEFT($C256,11)="[Jefatura] ",N($AL256)=0),"No se encuentra en la hoja de la jefatura (elíjala de nuevo en la lista)"&amp;" · ","")&amp;IF(OR(AND($E256&lt;&gt;"",NOT(ISNUMBER($E256))),AND($F256&lt;&gt;"",NOT(ISNUMBER($F256))),AND($G256&lt;&gt;"",NOT(ISNUMBER($G256)))),"Fecha no válida"&amp;" · ","")&amp;IF(AND(ISNUMBER($AM256),ISNUMBER($AN256),$AM256&gt;$AN256),"Inicio posterior a fecha límite"&amp;" · ","")&amp;IF(AND($V256="Macro",$H256&lt;&gt;"",OR(NOT(ISNUMBER($H256)),$H256&lt;0,$H256&gt;1)),"Peso fuera de rango"&amp;" · ","")&amp;IF(AND($V256="Sub",$H256&lt;&gt;""),"Las subactividades no llevan peso (valen igual dentro de su macroactividad)"&amp;" · ","")&amp;IF(AND(N($W256)&gt;0,COUNT($I256:$L256)&gt;0),"Con subactividades: deje vacías las semanas (se calculan solas)"&amp;" · ","")&amp;IF((COUNTIF($I256:$L256,"&gt;1")+COUNTIF($I256:$L256,"&lt;0")+COUNTA($I256:$L256)-COUNT($I256:$L256))&gt;0,"Avance fuera de rango 0-100%"&amp;" · ","")&amp;IF(OR(AND($J256&lt;&gt;"",$J256&lt;$I256),AND($K256&lt;&gt;"",$K256&lt;MAX($I256:$J256)),AND($L256&lt;&gt;"",$L256&lt;MAX($I256:$K256))),"Avance semanal decreciente"&amp;" · ","")&amp;IF(AND(ISNUMBER($AN256),$AN256&lt;FechaRef,IF($V256="Sub",N($X256),N($M256))&lt;1),"Vencida"&amp;" · ","")&amp;IF(AND(ObsObligatoria="Sí",ISNUMBER($AN256),$AN256&lt;FechaRef,IF($V256="Sub",N($X256),N($M256))&lt;1,$Q256=""),"Vencida sin observación"&amp;" · ",""))="","✔ OK","⚠ "&amp;LEFT(IF($C256="","Falta el nombre de la actividad"&amp;" · ","")&amp;IF(AND($V256="Sub",N($U256)=0),"Subactividad sin macroactividad arriba"&amp;" · ","")&amp;IF($AM256="","Sin fecha de inicio"&amp;" · ","")&amp;IF($AN256="","Sin fecha límite"&amp;" · ","")&amp;IF(AND(LEFT($C256,11)="[Jefatura] ",N($AL256)=0),"No se encuentra en la hoja de la jefatura (elíjala de nuevo en la lista)"&amp;" · ","")&amp;IF(OR(AND($E256&lt;&gt;"",NOT(ISNUMBER($E256))),AND($F256&lt;&gt;"",NOT(ISNUMBER($F256))),AND($G256&lt;&gt;"",NOT(ISNUMBER($G256)))),"Fecha no válida"&amp;" · ","")&amp;IF(AND(ISNUMBER($AM256),ISNUMBER($AN256),$AM256&gt;$AN256),"Inicio posterior a fecha límite"&amp;" · ","")&amp;IF(AND($V256="Macro",$H256&lt;&gt;"",OR(NOT(ISNUMBER($H256)),$H256&lt;0,$H256&gt;1)),"Peso fuera de rango"&amp;" · ","")&amp;IF(AND($V256="Sub",$H256&lt;&gt;""),"Las subactividades no llevan peso (valen igual dentro de su macroactividad)"&amp;" · ","")&amp;IF(AND(N($W256)&gt;0,COUNT($I256:$L256)&gt;0),"Con subactividades: deje vacías las semanas (se calculan solas)"&amp;" · ","")&amp;IF((COUNTIF($I256:$L256,"&gt;1")+COUNTIF($I256:$L256,"&lt;0")+COUNTA($I256:$L256)-COUNT($I256:$L256))&gt;0,"Avance fuera de rango 0-100%"&amp;" · ","")&amp;IF(OR(AND($J256&lt;&gt;"",$J256&lt;$I256),AND($K256&lt;&gt;"",$K256&lt;MAX($I256:$J256)),AND($L256&lt;&gt;"",$L256&lt;MAX($I256:$K256))),"Avance semanal decreciente"&amp;" · ","")&amp;IF(AND(ISNUMBER($AN256),$AN256&lt;FechaRef,IF($V256="Sub",N($X256),N($M256))&lt;1),"Vencida"&amp;" · ","")&amp;IF(AND(ObsObligatoria="Sí",ISNUMBER($AN256),$AN256&lt;FechaRef,IF($V256="Sub",N($X256),N($M256))&lt;1,$Q256=""),"Vencida sin observación"&amp;" · ",""),LEN(IF($C256="","Falta el nombre de la actividad"&amp;" · ","")&amp;IF(AND($V256="Sub",N($U256)=0),"Subactividad sin macroactividad arriba"&amp;" · ","")&amp;IF($AM256="","Sin fecha de inicio"&amp;" · ","")&amp;IF($AN256="","Sin fecha límite"&amp;" · ","")&amp;IF(AND(LEFT($C256,11)="[Jefatura] ",N($AL256)=0),"No se encuentra en la hoja de la jefatura (elíjala de nuevo en la lista)"&amp;" · ","")&amp;IF(OR(AND($E256&lt;&gt;"",NOT(ISNUMBER($E256))),AND($F256&lt;&gt;"",NOT(ISNUMBER($F256))),AND($G256&lt;&gt;"",NOT(ISNUMBER($G256)))),"Fecha no válida"&amp;" · ","")&amp;IF(AND(ISNUMBER($AM256),ISNUMBER($AN256),$AM256&gt;$AN256),"Inicio posterior a fecha límite"&amp;" · ","")&amp;IF(AND($V256="Macro",$H256&lt;&gt;"",OR(NOT(ISNUMBER($H256)),$H256&lt;0,$H256&gt;1)),"Peso fuera de rango"&amp;" · ","")&amp;IF(AND($V256="Sub",$H256&lt;&gt;""),"Las subactividades no llevan peso (valen igual dentro de su macroactividad)"&amp;" · ","")&amp;IF(AND(N($W256)&gt;0,COUNT($I256:$L256)&gt;0),"Con subactividades: deje vacías las semanas (se calculan solas)"&amp;" · ","")&amp;IF((COUNTIF($I256:$L256,"&gt;1")+COUNTIF($I256:$L256,"&lt;0")+COUNTA($I256:$L256)-COUNT($I256:$L256))&gt;0,"Avance fuera de rango 0-100%"&amp;" · ","")&amp;IF(OR(AND($J256&lt;&gt;"",$J256&lt;$I256),AND($K256&lt;&gt;"",$K256&lt;MAX($I256:$J256)),AND($L256&lt;&gt;"",$L256&lt;MAX($I256:$K256))),"Avance semanal decreciente"&amp;" · ","")&amp;IF(AND(ISNUMBER($AN256),$AN256&lt;FechaRef,IF($V256="Sub",N($X256),N($M256))&lt;1),"Vencida"&amp;" · ","")&amp;IF(AND(ObsObligatoria="Sí",ISNUMBER($AN256),$AN256&lt;FechaRef,IF($V256="Sub",N($X256),N($M256))&lt;1,$Q256=""),"Vencida sin observación"&amp;" · ",""))-3)))</f>
        <v/>
      </c>
      <c r="S256" s="64">
        <f>IF(NOT((COUNTA($B256:$D256)+COUNTA($G256:$L256)+COUNTA($Q256))&gt;0),"",IF(AND($V256="Sub",N($U256)&gt;0),IF(ISNUMBER(INDEX($AM$5:$AM$1000,$U256-4)),DATE(YEAR(INDEX($AM$5:$AM$1000,$U256-4)),MONTH(INDEX($AM$5:$AM$1000,$U256-4)),1),IF(ISNUMBER(INDEX($AN$5:$AN$1000,$U256-4)),DATE(YEAR(INDEX($AN$5:$AN$1000,$U256-4)),MONTH(INDEX($AN$5:$AN$1000,$U256-4)),1),MesCiclo)),IF(ISNUMBER($AM256),DATE(YEAR($AM256),MONTH($AM256),1),IF(ISNUMBER($AN256),DATE(YEAR($AN256),MONTH($AN256),1),MesCiclo))))</f>
        <v/>
      </c>
      <c r="T256" s="62">
        <f>IF(OR($S256="",$S256&lt;&gt;MesCiclo,$V256&lt;&gt;"Macro"),"",COUNTIFS($S$5:$S256,MesCiclo,$V$5:$V256,"Macro"))</f>
        <v/>
      </c>
      <c r="U256" s="62">
        <f>IF($V256="","",IF($V256="Macro",ROW(),IFERROR(LOOKUP(2,1/($V$5:$V256="Macro"),ROW($V$5:$V256)),0)))</f>
        <v/>
      </c>
      <c r="V256" s="62">
        <f>IF(NOT((COUNTA($B256:$D256)+COUNTA($G256:$L256)+COUNTA($Q256))&gt;0),"",IF($B256="Subactividad","Sub","Macro"))</f>
        <v/>
      </c>
      <c r="W256" s="62">
        <f>IF($V256="Macro",COUNTIFS($U$5:$U$1000,ROW(),$V$5:$V$1000,"Sub"),"")</f>
        <v/>
      </c>
      <c r="X256" s="62">
        <f>IF($V256="","",IF(ISNUMBER($G256),1,IFERROR(LOOKUP(2,1/($I256:$L256&lt;&gt;""),$I256:$L256),0)))</f>
        <v/>
      </c>
      <c r="Y256" s="62">
        <f>IF($V256="","",IF(AND(ISNUMBER($G256),$G256&lt;=IF($S256=MesCiclo,InicioCiclo,$S256+MOD(2-WEEKDAY($S256),7))+6),1,IF(ISNUMBER($I256),$I256,0)))</f>
        <v/>
      </c>
      <c r="Z256" s="62">
        <f>IF($V256="","",IF(AND(ISNUMBER($G256),$G256&lt;=IF($S256=MesCiclo,InicioCiclo,$S256+MOD(2-WEEKDAY($S256),7))+13),1,IF(ISNUMBER($J256),$J256,$Y256)))</f>
        <v/>
      </c>
      <c r="AA256" s="62">
        <f>IF($V256="","",IF(AND(ISNUMBER($G256),$G256&lt;=IF($S256=MesCiclo,InicioCiclo,$S256+MOD(2-WEEKDAY($S256),7))+20),1,IF(ISNUMBER($K256),$K256,$Z256)))</f>
        <v/>
      </c>
      <c r="AB256" s="62">
        <f>IF($V256="","",IF(AND(ISNUMBER($G256),$G256&lt;=IF($S256=MesCiclo,InicioCiclo,$S256+MOD(2-WEEKDAY($S256),7))+27),1,IF(ISNUMBER($L256),$L256,$AA256)))</f>
        <v/>
      </c>
      <c r="AC256" s="62">
        <f>IF($V256="","",IF(AND(ISNUMBER($G256),$G256&lt;=IF($S256=MesCiclo,InicioCiclo,$S256+MOD(2-WEEKDAY($S256),7))+6),1,IF(N($W256)&gt;0,AVERAGEIFS($Y$5:$Y$1000,$U$5:$U$1000,ROW(),$V$5:$V$1000,"Sub"),$Y256)))</f>
        <v/>
      </c>
      <c r="AD256" s="62">
        <f>IF($V256="","",IF(AND(ISNUMBER($G256),$G256&lt;=IF($S256=MesCiclo,InicioCiclo,$S256+MOD(2-WEEKDAY($S256),7))+13),1,IF(N($W256)&gt;0,AVERAGEIFS($Z$5:$Z$1000,$U$5:$U$1000,ROW(),$V$5:$V$1000,"Sub"),$Z256)))</f>
        <v/>
      </c>
      <c r="AE256" s="62">
        <f>IF($V256="","",IF(AND(ISNUMBER($G256),$G256&lt;=IF($S256=MesCiclo,InicioCiclo,$S256+MOD(2-WEEKDAY($S256),7))+20),1,IF(N($W256)&gt;0,AVERAGEIFS($AA$5:$AA$1000,$U$5:$U$1000,ROW(),$V$5:$V$1000,"Sub"),$AA256)))</f>
        <v/>
      </c>
      <c r="AF256" s="62">
        <f>IF($V256="","",IF(AND(ISNUMBER($G256),$G256&lt;=IF($S256=MesCiclo,InicioCiclo,$S256+MOD(2-WEEKDAY($S256),7))+27),1,IF(N($W256)&gt;0,AVERAGEIFS($AB$5:$AB$1000,$U$5:$U$1000,ROW(),$V$5:$V$1000,"Sub"),$AB256)))</f>
        <v/>
      </c>
      <c r="AG256" s="62">
        <f>IF($V256&lt;&gt;"Macro","",IF(COUNTIFS($S$5:$S$1000,$S256,$V$5:$V$1000,"Macro",$H$5:$H$1000,"&gt;0")=0,1/COUNTIFS($S$5:$S$1000,$S256,$V$5:$V$1000,"Macro"),IF(AND(ISNUMBER($H256),N($H256)&gt;0),$H256,SUMIFS($H$5:$H$1000,$S$5:$S$1000,$S256,$V$5:$V$1000,"Macro")/COUNTIFS($S$5:$S$1000,$S256,$V$5:$V$1000,"Macro",$H$5:$H$1000,"&gt;0"))/(COUNTIFS($S$5:$S$1000,$S256,$V$5:$V$1000,"Macro")*SUMIFS($H$5:$H$1000,$S$5:$S$1000,$S256,$V$5:$V$1000,"Macro")/COUNTIFS($S$5:$S$1000,$S256,$V$5:$V$1000,"Macro",$H$5:$H$1000,"&gt;0"))))</f>
        <v/>
      </c>
      <c r="AH256" s="62" t="n"/>
      <c r="AI256" s="62" t="n"/>
      <c r="AJ256" s="62" t="n"/>
      <c r="AK256" s="62" t="n"/>
      <c r="AL256" s="62">
        <f>IF(LEFT($C256,11)="[Jefatura] ",IFERROR(MATCH("Riesgo Operacional|"&amp;MID($C256,12,500),rDname_ADM,0),0),"")</f>
        <v/>
      </c>
      <c r="AM256" s="62">
        <f>IF(N($AL256)&gt;0,INDEX(rIni_ADM,$AL256),IF(ISNUMBER($E256),$E256,""))</f>
        <v/>
      </c>
      <c r="AN256" s="62">
        <f>IF(N($AL256)&gt;0,INDEX(rLim_ADM,$AL256),IF(ISNUMBER($F256),$F256,""))</f>
        <v/>
      </c>
    </row>
    <row r="257">
      <c r="A257" s="56">
        <f>IF(NOT((COUNTA($B257:$D257)+COUNTA($G257:$L257)+COUNTA($Q257))&gt;0),"",IF($V257="Macro",COUNTIFS($V$5:$V257,"Macro",$S$5:$S257,$S257),IF(N($U257)=0,"?",COUNTIFS(INDEX($V$5:$V$1000,1):INDEX($V$5:$V$1000,$U257-4),"Macro",INDEX($S$5:$S$1000,1):INDEX($S$5:$S$1000,$U257-4),INDEX($S$5:$S$1000,$U257-4))&amp;"."&amp;COUNTIFS($U$5:$U257,$U257,$V$5:$V257,"Sub"))))</f>
        <v/>
      </c>
      <c r="B257" s="57" t="n"/>
      <c r="C257" s="58" t="n"/>
      <c r="D257" s="58" t="n"/>
      <c r="E257" s="59">
        <f>IF(N($AL257)&gt;0,INDEX(rIni_ADM,$AL257),"")</f>
        <v/>
      </c>
      <c r="F257" s="59">
        <f>IF(N($AL257)&gt;0,INDEX(rLim_ADM,$AL257),"")</f>
        <v/>
      </c>
      <c r="G257" s="59" t="n"/>
      <c r="H257" s="60" t="n"/>
      <c r="I257" s="60" t="n"/>
      <c r="J257" s="60" t="n"/>
      <c r="K257" s="60" t="n"/>
      <c r="L257" s="60" t="n"/>
      <c r="M257" s="61">
        <f>IF(NOT((COUNTA($B257:$D257)+COUNTA($G257:$L257)+COUNTA($Q257))&gt;0),"",IF($V257="Sub",IFERROR($X257/INDEX($W$5:$W$1000,$U257-4),""),IF(ISNUMBER($G257),1,IF(N($W257)&gt;0,AVERAGEIFS($X$5:$X$1000,$U$5:$U$1000,ROW(),$V$5:$V$1000,"Sub"),$X257))))</f>
        <v/>
      </c>
      <c r="N257" s="56">
        <f>IF(OR($M257="",$V257="Sub"),"",IF($M257&gt;=1,"Completado",IF($M257&gt;0,"En curso","Pendiente")))</f>
        <v/>
      </c>
      <c r="O257" s="56">
        <f>IF(OR(NOT((COUNTA($B257:$D257)+COUNTA($G257:$L257)+COUNTA($Q257))&gt;0),$V257="Sub"),"",IF(ISNUMBER($G257),IF(AND(ISNUMBER($AN257),$G257&gt;$AN257),"Cumplida con "&amp;($G257-$AN257)&amp;IF($G257-$AN257=1," día"," días")&amp;" de retraso","Cumplida"),IF(N($M257)&gt;=1,"Cumplida",IF(NOT(ISNUMBER($AN257)),"Sin fecha límite",IF($AN257&lt;FechaRef,"Vencida hace "&amp;(FechaRef-$AN257)&amp;IF(FechaRef-$AN257=1," día"," días"),IF($AN257=FechaRef,"Vence hoy",IF($AN257-FechaRef&lt;=DiasAlerta,"Vence en "&amp;($AN257-FechaRef)&amp;IF($AN257-FechaRef=1," día"," días"),"En plazo")))))))</f>
        <v/>
      </c>
      <c r="P257" s="62" t="n"/>
      <c r="Q257" s="58" t="n"/>
      <c r="R257" s="63">
        <f>IF(NOT((COUNTA($B257:$D257)+COUNTA($G257:$L257)+COUNTA($Q257))&gt;0),"",IF((IF($C257="","Falta el nombre de la actividad"&amp;" · ","")&amp;IF(AND($V257="Sub",N($U257)=0),"Subactividad sin macroactividad arriba"&amp;" · ","")&amp;IF($AM257="","Sin fecha de inicio"&amp;" · ","")&amp;IF($AN257="","Sin fecha límite"&amp;" · ","")&amp;IF(AND(LEFT($C257,11)="[Jefatura] ",N($AL257)=0),"No se encuentra en la hoja de la jefatura (elíjala de nuevo en la lista)"&amp;" · ","")&amp;IF(OR(AND($E257&lt;&gt;"",NOT(ISNUMBER($E257))),AND($F257&lt;&gt;"",NOT(ISNUMBER($F257))),AND($G257&lt;&gt;"",NOT(ISNUMBER($G257)))),"Fecha no válida"&amp;" · ","")&amp;IF(AND(ISNUMBER($AM257),ISNUMBER($AN257),$AM257&gt;$AN257),"Inicio posterior a fecha límite"&amp;" · ","")&amp;IF(AND($V257="Macro",$H257&lt;&gt;"",OR(NOT(ISNUMBER($H257)),$H257&lt;0,$H257&gt;1)),"Peso fuera de rango"&amp;" · ","")&amp;IF(AND($V257="Sub",$H257&lt;&gt;""),"Las subactividades no llevan peso (valen igual dentro de su macroactividad)"&amp;" · ","")&amp;IF(AND(N($W257)&gt;0,COUNT($I257:$L257)&gt;0),"Con subactividades: deje vacías las semanas (se calculan solas)"&amp;" · ","")&amp;IF((COUNTIF($I257:$L257,"&gt;1")+COUNTIF($I257:$L257,"&lt;0")+COUNTA($I257:$L257)-COUNT($I257:$L257))&gt;0,"Avance fuera de rango 0-100%"&amp;" · ","")&amp;IF(OR(AND($J257&lt;&gt;"",$J257&lt;$I257),AND($K257&lt;&gt;"",$K257&lt;MAX($I257:$J257)),AND($L257&lt;&gt;"",$L257&lt;MAX($I257:$K257))),"Avance semanal decreciente"&amp;" · ","")&amp;IF(AND(ISNUMBER($AN257),$AN257&lt;FechaRef,IF($V257="Sub",N($X257),N($M257))&lt;1),"Vencida"&amp;" · ","")&amp;IF(AND(ObsObligatoria="Sí",ISNUMBER($AN257),$AN257&lt;FechaRef,IF($V257="Sub",N($X257),N($M257))&lt;1,$Q257=""),"Vencida sin observación"&amp;" · ",""))="","✔ OK","⚠ "&amp;LEFT(IF($C257="","Falta el nombre de la actividad"&amp;" · ","")&amp;IF(AND($V257="Sub",N($U257)=0),"Subactividad sin macroactividad arriba"&amp;" · ","")&amp;IF($AM257="","Sin fecha de inicio"&amp;" · ","")&amp;IF($AN257="","Sin fecha límite"&amp;" · ","")&amp;IF(AND(LEFT($C257,11)="[Jefatura] ",N($AL257)=0),"No se encuentra en la hoja de la jefatura (elíjala de nuevo en la lista)"&amp;" · ","")&amp;IF(OR(AND($E257&lt;&gt;"",NOT(ISNUMBER($E257))),AND($F257&lt;&gt;"",NOT(ISNUMBER($F257))),AND($G257&lt;&gt;"",NOT(ISNUMBER($G257)))),"Fecha no válida"&amp;" · ","")&amp;IF(AND(ISNUMBER($AM257),ISNUMBER($AN257),$AM257&gt;$AN257),"Inicio posterior a fecha límite"&amp;" · ","")&amp;IF(AND($V257="Macro",$H257&lt;&gt;"",OR(NOT(ISNUMBER($H257)),$H257&lt;0,$H257&gt;1)),"Peso fuera de rango"&amp;" · ","")&amp;IF(AND($V257="Sub",$H257&lt;&gt;""),"Las subactividades no llevan peso (valen igual dentro de su macroactividad)"&amp;" · ","")&amp;IF(AND(N($W257)&gt;0,COUNT($I257:$L257)&gt;0),"Con subactividades: deje vacías las semanas (se calculan solas)"&amp;" · ","")&amp;IF((COUNTIF($I257:$L257,"&gt;1")+COUNTIF($I257:$L257,"&lt;0")+COUNTA($I257:$L257)-COUNT($I257:$L257))&gt;0,"Avance fuera de rango 0-100%"&amp;" · ","")&amp;IF(OR(AND($J257&lt;&gt;"",$J257&lt;$I257),AND($K257&lt;&gt;"",$K257&lt;MAX($I257:$J257)),AND($L257&lt;&gt;"",$L257&lt;MAX($I257:$K257))),"Avance semanal decreciente"&amp;" · ","")&amp;IF(AND(ISNUMBER($AN257),$AN257&lt;FechaRef,IF($V257="Sub",N($X257),N($M257))&lt;1),"Vencida"&amp;" · ","")&amp;IF(AND(ObsObligatoria="Sí",ISNUMBER($AN257),$AN257&lt;FechaRef,IF($V257="Sub",N($X257),N($M257))&lt;1,$Q257=""),"Vencida sin observación"&amp;" · ",""),LEN(IF($C257="","Falta el nombre de la actividad"&amp;" · ","")&amp;IF(AND($V257="Sub",N($U257)=0),"Subactividad sin macroactividad arriba"&amp;" · ","")&amp;IF($AM257="","Sin fecha de inicio"&amp;" · ","")&amp;IF($AN257="","Sin fecha límite"&amp;" · ","")&amp;IF(AND(LEFT($C257,11)="[Jefatura] ",N($AL257)=0),"No se encuentra en la hoja de la jefatura (elíjala de nuevo en la lista)"&amp;" · ","")&amp;IF(OR(AND($E257&lt;&gt;"",NOT(ISNUMBER($E257))),AND($F257&lt;&gt;"",NOT(ISNUMBER($F257))),AND($G257&lt;&gt;"",NOT(ISNUMBER($G257)))),"Fecha no válida"&amp;" · ","")&amp;IF(AND(ISNUMBER($AM257),ISNUMBER($AN257),$AM257&gt;$AN257),"Inicio posterior a fecha límite"&amp;" · ","")&amp;IF(AND($V257="Macro",$H257&lt;&gt;"",OR(NOT(ISNUMBER($H257)),$H257&lt;0,$H257&gt;1)),"Peso fuera de rango"&amp;" · ","")&amp;IF(AND($V257="Sub",$H257&lt;&gt;""),"Las subactividades no llevan peso (valen igual dentro de su macroactividad)"&amp;" · ","")&amp;IF(AND(N($W257)&gt;0,COUNT($I257:$L257)&gt;0),"Con subactividades: deje vacías las semanas (se calculan solas)"&amp;" · ","")&amp;IF((COUNTIF($I257:$L257,"&gt;1")+COUNTIF($I257:$L257,"&lt;0")+COUNTA($I257:$L257)-COUNT($I257:$L257))&gt;0,"Avance fuera de rango 0-100%"&amp;" · ","")&amp;IF(OR(AND($J257&lt;&gt;"",$J257&lt;$I257),AND($K257&lt;&gt;"",$K257&lt;MAX($I257:$J257)),AND($L257&lt;&gt;"",$L257&lt;MAX($I257:$K257))),"Avance semanal decreciente"&amp;" · ","")&amp;IF(AND(ISNUMBER($AN257),$AN257&lt;FechaRef,IF($V257="Sub",N($X257),N($M257))&lt;1),"Vencida"&amp;" · ","")&amp;IF(AND(ObsObligatoria="Sí",ISNUMBER($AN257),$AN257&lt;FechaRef,IF($V257="Sub",N($X257),N($M257))&lt;1,$Q257=""),"Vencida sin observación"&amp;" · ",""))-3)))</f>
        <v/>
      </c>
      <c r="S257" s="64">
        <f>IF(NOT((COUNTA($B257:$D257)+COUNTA($G257:$L257)+COUNTA($Q257))&gt;0),"",IF(AND($V257="Sub",N($U257)&gt;0),IF(ISNUMBER(INDEX($AM$5:$AM$1000,$U257-4)),DATE(YEAR(INDEX($AM$5:$AM$1000,$U257-4)),MONTH(INDEX($AM$5:$AM$1000,$U257-4)),1),IF(ISNUMBER(INDEX($AN$5:$AN$1000,$U257-4)),DATE(YEAR(INDEX($AN$5:$AN$1000,$U257-4)),MONTH(INDEX($AN$5:$AN$1000,$U257-4)),1),MesCiclo)),IF(ISNUMBER($AM257),DATE(YEAR($AM257),MONTH($AM257),1),IF(ISNUMBER($AN257),DATE(YEAR($AN257),MONTH($AN257),1),MesCiclo))))</f>
        <v/>
      </c>
      <c r="T257" s="62">
        <f>IF(OR($S257="",$S257&lt;&gt;MesCiclo,$V257&lt;&gt;"Macro"),"",COUNTIFS($S$5:$S257,MesCiclo,$V$5:$V257,"Macro"))</f>
        <v/>
      </c>
      <c r="U257" s="62">
        <f>IF($V257="","",IF($V257="Macro",ROW(),IFERROR(LOOKUP(2,1/($V$5:$V257="Macro"),ROW($V$5:$V257)),0)))</f>
        <v/>
      </c>
      <c r="V257" s="62">
        <f>IF(NOT((COUNTA($B257:$D257)+COUNTA($G257:$L257)+COUNTA($Q257))&gt;0),"",IF($B257="Subactividad","Sub","Macro"))</f>
        <v/>
      </c>
      <c r="W257" s="62">
        <f>IF($V257="Macro",COUNTIFS($U$5:$U$1000,ROW(),$V$5:$V$1000,"Sub"),"")</f>
        <v/>
      </c>
      <c r="X257" s="62">
        <f>IF($V257="","",IF(ISNUMBER($G257),1,IFERROR(LOOKUP(2,1/($I257:$L257&lt;&gt;""),$I257:$L257),0)))</f>
        <v/>
      </c>
      <c r="Y257" s="62">
        <f>IF($V257="","",IF(AND(ISNUMBER($G257),$G257&lt;=IF($S257=MesCiclo,InicioCiclo,$S257+MOD(2-WEEKDAY($S257),7))+6),1,IF(ISNUMBER($I257),$I257,0)))</f>
        <v/>
      </c>
      <c r="Z257" s="62">
        <f>IF($V257="","",IF(AND(ISNUMBER($G257),$G257&lt;=IF($S257=MesCiclo,InicioCiclo,$S257+MOD(2-WEEKDAY($S257),7))+13),1,IF(ISNUMBER($J257),$J257,$Y257)))</f>
        <v/>
      </c>
      <c r="AA257" s="62">
        <f>IF($V257="","",IF(AND(ISNUMBER($G257),$G257&lt;=IF($S257=MesCiclo,InicioCiclo,$S257+MOD(2-WEEKDAY($S257),7))+20),1,IF(ISNUMBER($K257),$K257,$Z257)))</f>
        <v/>
      </c>
      <c r="AB257" s="62">
        <f>IF($V257="","",IF(AND(ISNUMBER($G257),$G257&lt;=IF($S257=MesCiclo,InicioCiclo,$S257+MOD(2-WEEKDAY($S257),7))+27),1,IF(ISNUMBER($L257),$L257,$AA257)))</f>
        <v/>
      </c>
      <c r="AC257" s="62">
        <f>IF($V257="","",IF(AND(ISNUMBER($G257),$G257&lt;=IF($S257=MesCiclo,InicioCiclo,$S257+MOD(2-WEEKDAY($S257),7))+6),1,IF(N($W257)&gt;0,AVERAGEIFS($Y$5:$Y$1000,$U$5:$U$1000,ROW(),$V$5:$V$1000,"Sub"),$Y257)))</f>
        <v/>
      </c>
      <c r="AD257" s="62">
        <f>IF($V257="","",IF(AND(ISNUMBER($G257),$G257&lt;=IF($S257=MesCiclo,InicioCiclo,$S257+MOD(2-WEEKDAY($S257),7))+13),1,IF(N($W257)&gt;0,AVERAGEIFS($Z$5:$Z$1000,$U$5:$U$1000,ROW(),$V$5:$V$1000,"Sub"),$Z257)))</f>
        <v/>
      </c>
      <c r="AE257" s="62">
        <f>IF($V257="","",IF(AND(ISNUMBER($G257),$G257&lt;=IF($S257=MesCiclo,InicioCiclo,$S257+MOD(2-WEEKDAY($S257),7))+20),1,IF(N($W257)&gt;0,AVERAGEIFS($AA$5:$AA$1000,$U$5:$U$1000,ROW(),$V$5:$V$1000,"Sub"),$AA257)))</f>
        <v/>
      </c>
      <c r="AF257" s="62">
        <f>IF($V257="","",IF(AND(ISNUMBER($G257),$G257&lt;=IF($S257=MesCiclo,InicioCiclo,$S257+MOD(2-WEEKDAY($S257),7))+27),1,IF(N($W257)&gt;0,AVERAGEIFS($AB$5:$AB$1000,$U$5:$U$1000,ROW(),$V$5:$V$1000,"Sub"),$AB257)))</f>
        <v/>
      </c>
      <c r="AG257" s="62">
        <f>IF($V257&lt;&gt;"Macro","",IF(COUNTIFS($S$5:$S$1000,$S257,$V$5:$V$1000,"Macro",$H$5:$H$1000,"&gt;0")=0,1/COUNTIFS($S$5:$S$1000,$S257,$V$5:$V$1000,"Macro"),IF(AND(ISNUMBER($H257),N($H257)&gt;0),$H257,SUMIFS($H$5:$H$1000,$S$5:$S$1000,$S257,$V$5:$V$1000,"Macro")/COUNTIFS($S$5:$S$1000,$S257,$V$5:$V$1000,"Macro",$H$5:$H$1000,"&gt;0"))/(COUNTIFS($S$5:$S$1000,$S257,$V$5:$V$1000,"Macro")*SUMIFS($H$5:$H$1000,$S$5:$S$1000,$S257,$V$5:$V$1000,"Macro")/COUNTIFS($S$5:$S$1000,$S257,$V$5:$V$1000,"Macro",$H$5:$H$1000,"&gt;0"))))</f>
        <v/>
      </c>
      <c r="AH257" s="62" t="n"/>
      <c r="AI257" s="62" t="n"/>
      <c r="AJ257" s="62" t="n"/>
      <c r="AK257" s="62" t="n"/>
      <c r="AL257" s="62">
        <f>IF(LEFT($C257,11)="[Jefatura] ",IFERROR(MATCH("Riesgo Operacional|"&amp;MID($C257,12,500),rDname_ADM,0),0),"")</f>
        <v/>
      </c>
      <c r="AM257" s="62">
        <f>IF(N($AL257)&gt;0,INDEX(rIni_ADM,$AL257),IF(ISNUMBER($E257),$E257,""))</f>
        <v/>
      </c>
      <c r="AN257" s="62">
        <f>IF(N($AL257)&gt;0,INDEX(rLim_ADM,$AL257),IF(ISNUMBER($F257),$F257,""))</f>
        <v/>
      </c>
    </row>
    <row r="258">
      <c r="A258" s="56">
        <f>IF(NOT((COUNTA($B258:$D258)+COUNTA($G258:$L258)+COUNTA($Q258))&gt;0),"",IF($V258="Macro",COUNTIFS($V$5:$V258,"Macro",$S$5:$S258,$S258),IF(N($U258)=0,"?",COUNTIFS(INDEX($V$5:$V$1000,1):INDEX($V$5:$V$1000,$U258-4),"Macro",INDEX($S$5:$S$1000,1):INDEX($S$5:$S$1000,$U258-4),INDEX($S$5:$S$1000,$U258-4))&amp;"."&amp;COUNTIFS($U$5:$U258,$U258,$V$5:$V258,"Sub"))))</f>
        <v/>
      </c>
      <c r="B258" s="57" t="n"/>
      <c r="C258" s="58" t="n"/>
      <c r="D258" s="58" t="n"/>
      <c r="E258" s="59">
        <f>IF(N($AL258)&gt;0,INDEX(rIni_ADM,$AL258),"")</f>
        <v/>
      </c>
      <c r="F258" s="59">
        <f>IF(N($AL258)&gt;0,INDEX(rLim_ADM,$AL258),"")</f>
        <v/>
      </c>
      <c r="G258" s="59" t="n"/>
      <c r="H258" s="60" t="n"/>
      <c r="I258" s="60" t="n"/>
      <c r="J258" s="60" t="n"/>
      <c r="K258" s="60" t="n"/>
      <c r="L258" s="60" t="n"/>
      <c r="M258" s="61">
        <f>IF(NOT((COUNTA($B258:$D258)+COUNTA($G258:$L258)+COUNTA($Q258))&gt;0),"",IF($V258="Sub",IFERROR($X258/INDEX($W$5:$W$1000,$U258-4),""),IF(ISNUMBER($G258),1,IF(N($W258)&gt;0,AVERAGEIFS($X$5:$X$1000,$U$5:$U$1000,ROW(),$V$5:$V$1000,"Sub"),$X258))))</f>
        <v/>
      </c>
      <c r="N258" s="56">
        <f>IF(OR($M258="",$V258="Sub"),"",IF($M258&gt;=1,"Completado",IF($M258&gt;0,"En curso","Pendiente")))</f>
        <v/>
      </c>
      <c r="O258" s="56">
        <f>IF(OR(NOT((COUNTA($B258:$D258)+COUNTA($G258:$L258)+COUNTA($Q258))&gt;0),$V258="Sub"),"",IF(ISNUMBER($G258),IF(AND(ISNUMBER($AN258),$G258&gt;$AN258),"Cumplida con "&amp;($G258-$AN258)&amp;IF($G258-$AN258=1," día"," días")&amp;" de retraso","Cumplida"),IF(N($M258)&gt;=1,"Cumplida",IF(NOT(ISNUMBER($AN258)),"Sin fecha límite",IF($AN258&lt;FechaRef,"Vencida hace "&amp;(FechaRef-$AN258)&amp;IF(FechaRef-$AN258=1," día"," días"),IF($AN258=FechaRef,"Vence hoy",IF($AN258-FechaRef&lt;=DiasAlerta,"Vence en "&amp;($AN258-FechaRef)&amp;IF($AN258-FechaRef=1," día"," días"),"En plazo")))))))</f>
        <v/>
      </c>
      <c r="P258" s="62" t="n"/>
      <c r="Q258" s="58" t="n"/>
      <c r="R258" s="63">
        <f>IF(NOT((COUNTA($B258:$D258)+COUNTA($G258:$L258)+COUNTA($Q258))&gt;0),"",IF((IF($C258="","Falta el nombre de la actividad"&amp;" · ","")&amp;IF(AND($V258="Sub",N($U258)=0),"Subactividad sin macroactividad arriba"&amp;" · ","")&amp;IF($AM258="","Sin fecha de inicio"&amp;" · ","")&amp;IF($AN258="","Sin fecha límite"&amp;" · ","")&amp;IF(AND(LEFT($C258,11)="[Jefatura] ",N($AL258)=0),"No se encuentra en la hoja de la jefatura (elíjala de nuevo en la lista)"&amp;" · ","")&amp;IF(OR(AND($E258&lt;&gt;"",NOT(ISNUMBER($E258))),AND($F258&lt;&gt;"",NOT(ISNUMBER($F258))),AND($G258&lt;&gt;"",NOT(ISNUMBER($G258)))),"Fecha no válida"&amp;" · ","")&amp;IF(AND(ISNUMBER($AM258),ISNUMBER($AN258),$AM258&gt;$AN258),"Inicio posterior a fecha límite"&amp;" · ","")&amp;IF(AND($V258="Macro",$H258&lt;&gt;"",OR(NOT(ISNUMBER($H258)),$H258&lt;0,$H258&gt;1)),"Peso fuera de rango"&amp;" · ","")&amp;IF(AND($V258="Sub",$H258&lt;&gt;""),"Las subactividades no llevan peso (valen igual dentro de su macroactividad)"&amp;" · ","")&amp;IF(AND(N($W258)&gt;0,COUNT($I258:$L258)&gt;0),"Con subactividades: deje vacías las semanas (se calculan solas)"&amp;" · ","")&amp;IF((COUNTIF($I258:$L258,"&gt;1")+COUNTIF($I258:$L258,"&lt;0")+COUNTA($I258:$L258)-COUNT($I258:$L258))&gt;0,"Avance fuera de rango 0-100%"&amp;" · ","")&amp;IF(OR(AND($J258&lt;&gt;"",$J258&lt;$I258),AND($K258&lt;&gt;"",$K258&lt;MAX($I258:$J258)),AND($L258&lt;&gt;"",$L258&lt;MAX($I258:$K258))),"Avance semanal decreciente"&amp;" · ","")&amp;IF(AND(ISNUMBER($AN258),$AN258&lt;FechaRef,IF($V258="Sub",N($X258),N($M258))&lt;1),"Vencida"&amp;" · ","")&amp;IF(AND(ObsObligatoria="Sí",ISNUMBER($AN258),$AN258&lt;FechaRef,IF($V258="Sub",N($X258),N($M258))&lt;1,$Q258=""),"Vencida sin observación"&amp;" · ",""))="","✔ OK","⚠ "&amp;LEFT(IF($C258="","Falta el nombre de la actividad"&amp;" · ","")&amp;IF(AND($V258="Sub",N($U258)=0),"Subactividad sin macroactividad arriba"&amp;" · ","")&amp;IF($AM258="","Sin fecha de inicio"&amp;" · ","")&amp;IF($AN258="","Sin fecha límite"&amp;" · ","")&amp;IF(AND(LEFT($C258,11)="[Jefatura] ",N($AL258)=0),"No se encuentra en la hoja de la jefatura (elíjala de nuevo en la lista)"&amp;" · ","")&amp;IF(OR(AND($E258&lt;&gt;"",NOT(ISNUMBER($E258))),AND($F258&lt;&gt;"",NOT(ISNUMBER($F258))),AND($G258&lt;&gt;"",NOT(ISNUMBER($G258)))),"Fecha no válida"&amp;" · ","")&amp;IF(AND(ISNUMBER($AM258),ISNUMBER($AN258),$AM258&gt;$AN258),"Inicio posterior a fecha límite"&amp;" · ","")&amp;IF(AND($V258="Macro",$H258&lt;&gt;"",OR(NOT(ISNUMBER($H258)),$H258&lt;0,$H258&gt;1)),"Peso fuera de rango"&amp;" · ","")&amp;IF(AND($V258="Sub",$H258&lt;&gt;""),"Las subactividades no llevan peso (valen igual dentro de su macroactividad)"&amp;" · ","")&amp;IF(AND(N($W258)&gt;0,COUNT($I258:$L258)&gt;0),"Con subactividades: deje vacías las semanas (se calculan solas)"&amp;" · ","")&amp;IF((COUNTIF($I258:$L258,"&gt;1")+COUNTIF($I258:$L258,"&lt;0")+COUNTA($I258:$L258)-COUNT($I258:$L258))&gt;0,"Avance fuera de rango 0-100%"&amp;" · ","")&amp;IF(OR(AND($J258&lt;&gt;"",$J258&lt;$I258),AND($K258&lt;&gt;"",$K258&lt;MAX($I258:$J258)),AND($L258&lt;&gt;"",$L258&lt;MAX($I258:$K258))),"Avance semanal decreciente"&amp;" · ","")&amp;IF(AND(ISNUMBER($AN258),$AN258&lt;FechaRef,IF($V258="Sub",N($X258),N($M258))&lt;1),"Vencida"&amp;" · ","")&amp;IF(AND(ObsObligatoria="Sí",ISNUMBER($AN258),$AN258&lt;FechaRef,IF($V258="Sub",N($X258),N($M258))&lt;1,$Q258=""),"Vencida sin observación"&amp;" · ",""),LEN(IF($C258="","Falta el nombre de la actividad"&amp;" · ","")&amp;IF(AND($V258="Sub",N($U258)=0),"Subactividad sin macroactividad arriba"&amp;" · ","")&amp;IF($AM258="","Sin fecha de inicio"&amp;" · ","")&amp;IF($AN258="","Sin fecha límite"&amp;" · ","")&amp;IF(AND(LEFT($C258,11)="[Jefatura] ",N($AL258)=0),"No se encuentra en la hoja de la jefatura (elíjala de nuevo en la lista)"&amp;" · ","")&amp;IF(OR(AND($E258&lt;&gt;"",NOT(ISNUMBER($E258))),AND($F258&lt;&gt;"",NOT(ISNUMBER($F258))),AND($G258&lt;&gt;"",NOT(ISNUMBER($G258)))),"Fecha no válida"&amp;" · ","")&amp;IF(AND(ISNUMBER($AM258),ISNUMBER($AN258),$AM258&gt;$AN258),"Inicio posterior a fecha límite"&amp;" · ","")&amp;IF(AND($V258="Macro",$H258&lt;&gt;"",OR(NOT(ISNUMBER($H258)),$H258&lt;0,$H258&gt;1)),"Peso fuera de rango"&amp;" · ","")&amp;IF(AND($V258="Sub",$H258&lt;&gt;""),"Las subactividades no llevan peso (valen igual dentro de su macroactividad)"&amp;" · ","")&amp;IF(AND(N($W258)&gt;0,COUNT($I258:$L258)&gt;0),"Con subactividades: deje vacías las semanas (se calculan solas)"&amp;" · ","")&amp;IF((COUNTIF($I258:$L258,"&gt;1")+COUNTIF($I258:$L258,"&lt;0")+COUNTA($I258:$L258)-COUNT($I258:$L258))&gt;0,"Avance fuera de rango 0-100%"&amp;" · ","")&amp;IF(OR(AND($J258&lt;&gt;"",$J258&lt;$I258),AND($K258&lt;&gt;"",$K258&lt;MAX($I258:$J258)),AND($L258&lt;&gt;"",$L258&lt;MAX($I258:$K258))),"Avance semanal decreciente"&amp;" · ","")&amp;IF(AND(ISNUMBER($AN258),$AN258&lt;FechaRef,IF($V258="Sub",N($X258),N($M258))&lt;1),"Vencida"&amp;" · ","")&amp;IF(AND(ObsObligatoria="Sí",ISNUMBER($AN258),$AN258&lt;FechaRef,IF($V258="Sub",N($X258),N($M258))&lt;1,$Q258=""),"Vencida sin observación"&amp;" · ",""))-3)))</f>
        <v/>
      </c>
      <c r="S258" s="64">
        <f>IF(NOT((COUNTA($B258:$D258)+COUNTA($G258:$L258)+COUNTA($Q258))&gt;0),"",IF(AND($V258="Sub",N($U258)&gt;0),IF(ISNUMBER(INDEX($AM$5:$AM$1000,$U258-4)),DATE(YEAR(INDEX($AM$5:$AM$1000,$U258-4)),MONTH(INDEX($AM$5:$AM$1000,$U258-4)),1),IF(ISNUMBER(INDEX($AN$5:$AN$1000,$U258-4)),DATE(YEAR(INDEX($AN$5:$AN$1000,$U258-4)),MONTH(INDEX($AN$5:$AN$1000,$U258-4)),1),MesCiclo)),IF(ISNUMBER($AM258),DATE(YEAR($AM258),MONTH($AM258),1),IF(ISNUMBER($AN258),DATE(YEAR($AN258),MONTH($AN258),1),MesCiclo))))</f>
        <v/>
      </c>
      <c r="T258" s="62">
        <f>IF(OR($S258="",$S258&lt;&gt;MesCiclo,$V258&lt;&gt;"Macro"),"",COUNTIFS($S$5:$S258,MesCiclo,$V$5:$V258,"Macro"))</f>
        <v/>
      </c>
      <c r="U258" s="62">
        <f>IF($V258="","",IF($V258="Macro",ROW(),IFERROR(LOOKUP(2,1/($V$5:$V258="Macro"),ROW($V$5:$V258)),0)))</f>
        <v/>
      </c>
      <c r="V258" s="62">
        <f>IF(NOT((COUNTA($B258:$D258)+COUNTA($G258:$L258)+COUNTA($Q258))&gt;0),"",IF($B258="Subactividad","Sub","Macro"))</f>
        <v/>
      </c>
      <c r="W258" s="62">
        <f>IF($V258="Macro",COUNTIFS($U$5:$U$1000,ROW(),$V$5:$V$1000,"Sub"),"")</f>
        <v/>
      </c>
      <c r="X258" s="62">
        <f>IF($V258="","",IF(ISNUMBER($G258),1,IFERROR(LOOKUP(2,1/($I258:$L258&lt;&gt;""),$I258:$L258),0)))</f>
        <v/>
      </c>
      <c r="Y258" s="62">
        <f>IF($V258="","",IF(AND(ISNUMBER($G258),$G258&lt;=IF($S258=MesCiclo,InicioCiclo,$S258+MOD(2-WEEKDAY($S258),7))+6),1,IF(ISNUMBER($I258),$I258,0)))</f>
        <v/>
      </c>
      <c r="Z258" s="62">
        <f>IF($V258="","",IF(AND(ISNUMBER($G258),$G258&lt;=IF($S258=MesCiclo,InicioCiclo,$S258+MOD(2-WEEKDAY($S258),7))+13),1,IF(ISNUMBER($J258),$J258,$Y258)))</f>
        <v/>
      </c>
      <c r="AA258" s="62">
        <f>IF($V258="","",IF(AND(ISNUMBER($G258),$G258&lt;=IF($S258=MesCiclo,InicioCiclo,$S258+MOD(2-WEEKDAY($S258),7))+20),1,IF(ISNUMBER($K258),$K258,$Z258)))</f>
        <v/>
      </c>
      <c r="AB258" s="62">
        <f>IF($V258="","",IF(AND(ISNUMBER($G258),$G258&lt;=IF($S258=MesCiclo,InicioCiclo,$S258+MOD(2-WEEKDAY($S258),7))+27),1,IF(ISNUMBER($L258),$L258,$AA258)))</f>
        <v/>
      </c>
      <c r="AC258" s="62">
        <f>IF($V258="","",IF(AND(ISNUMBER($G258),$G258&lt;=IF($S258=MesCiclo,InicioCiclo,$S258+MOD(2-WEEKDAY($S258),7))+6),1,IF(N($W258)&gt;0,AVERAGEIFS($Y$5:$Y$1000,$U$5:$U$1000,ROW(),$V$5:$V$1000,"Sub"),$Y258)))</f>
        <v/>
      </c>
      <c r="AD258" s="62">
        <f>IF($V258="","",IF(AND(ISNUMBER($G258),$G258&lt;=IF($S258=MesCiclo,InicioCiclo,$S258+MOD(2-WEEKDAY($S258),7))+13),1,IF(N($W258)&gt;0,AVERAGEIFS($Z$5:$Z$1000,$U$5:$U$1000,ROW(),$V$5:$V$1000,"Sub"),$Z258)))</f>
        <v/>
      </c>
      <c r="AE258" s="62">
        <f>IF($V258="","",IF(AND(ISNUMBER($G258),$G258&lt;=IF($S258=MesCiclo,InicioCiclo,$S258+MOD(2-WEEKDAY($S258),7))+20),1,IF(N($W258)&gt;0,AVERAGEIFS($AA$5:$AA$1000,$U$5:$U$1000,ROW(),$V$5:$V$1000,"Sub"),$AA258)))</f>
        <v/>
      </c>
      <c r="AF258" s="62">
        <f>IF($V258="","",IF(AND(ISNUMBER($G258),$G258&lt;=IF($S258=MesCiclo,InicioCiclo,$S258+MOD(2-WEEKDAY($S258),7))+27),1,IF(N($W258)&gt;0,AVERAGEIFS($AB$5:$AB$1000,$U$5:$U$1000,ROW(),$V$5:$V$1000,"Sub"),$AB258)))</f>
        <v/>
      </c>
      <c r="AG258" s="62">
        <f>IF($V258&lt;&gt;"Macro","",IF(COUNTIFS($S$5:$S$1000,$S258,$V$5:$V$1000,"Macro",$H$5:$H$1000,"&gt;0")=0,1/COUNTIFS($S$5:$S$1000,$S258,$V$5:$V$1000,"Macro"),IF(AND(ISNUMBER($H258),N($H258)&gt;0),$H258,SUMIFS($H$5:$H$1000,$S$5:$S$1000,$S258,$V$5:$V$1000,"Macro")/COUNTIFS($S$5:$S$1000,$S258,$V$5:$V$1000,"Macro",$H$5:$H$1000,"&gt;0"))/(COUNTIFS($S$5:$S$1000,$S258,$V$5:$V$1000,"Macro")*SUMIFS($H$5:$H$1000,$S$5:$S$1000,$S258,$V$5:$V$1000,"Macro")/COUNTIFS($S$5:$S$1000,$S258,$V$5:$V$1000,"Macro",$H$5:$H$1000,"&gt;0"))))</f>
        <v/>
      </c>
      <c r="AH258" s="62" t="n"/>
      <c r="AI258" s="62" t="n"/>
      <c r="AJ258" s="62" t="n"/>
      <c r="AK258" s="62" t="n"/>
      <c r="AL258" s="62">
        <f>IF(LEFT($C258,11)="[Jefatura] ",IFERROR(MATCH("Riesgo Operacional|"&amp;MID($C258,12,500),rDname_ADM,0),0),"")</f>
        <v/>
      </c>
      <c r="AM258" s="62">
        <f>IF(N($AL258)&gt;0,INDEX(rIni_ADM,$AL258),IF(ISNUMBER($E258),$E258,""))</f>
        <v/>
      </c>
      <c r="AN258" s="62">
        <f>IF(N($AL258)&gt;0,INDEX(rLim_ADM,$AL258),IF(ISNUMBER($F258),$F258,""))</f>
        <v/>
      </c>
    </row>
    <row r="259">
      <c r="A259" s="56">
        <f>IF(NOT((COUNTA($B259:$D259)+COUNTA($G259:$L259)+COUNTA($Q259))&gt;0),"",IF($V259="Macro",COUNTIFS($V$5:$V259,"Macro",$S$5:$S259,$S259),IF(N($U259)=0,"?",COUNTIFS(INDEX($V$5:$V$1000,1):INDEX($V$5:$V$1000,$U259-4),"Macro",INDEX($S$5:$S$1000,1):INDEX($S$5:$S$1000,$U259-4),INDEX($S$5:$S$1000,$U259-4))&amp;"."&amp;COUNTIFS($U$5:$U259,$U259,$V$5:$V259,"Sub"))))</f>
        <v/>
      </c>
      <c r="B259" s="57" t="n"/>
      <c r="C259" s="58" t="n"/>
      <c r="D259" s="58" t="n"/>
      <c r="E259" s="59">
        <f>IF(N($AL259)&gt;0,INDEX(rIni_ADM,$AL259),"")</f>
        <v/>
      </c>
      <c r="F259" s="59">
        <f>IF(N($AL259)&gt;0,INDEX(rLim_ADM,$AL259),"")</f>
        <v/>
      </c>
      <c r="G259" s="59" t="n"/>
      <c r="H259" s="60" t="n"/>
      <c r="I259" s="60" t="n"/>
      <c r="J259" s="60" t="n"/>
      <c r="K259" s="60" t="n"/>
      <c r="L259" s="60" t="n"/>
      <c r="M259" s="61">
        <f>IF(NOT((COUNTA($B259:$D259)+COUNTA($G259:$L259)+COUNTA($Q259))&gt;0),"",IF($V259="Sub",IFERROR($X259/INDEX($W$5:$W$1000,$U259-4),""),IF(ISNUMBER($G259),1,IF(N($W259)&gt;0,AVERAGEIFS($X$5:$X$1000,$U$5:$U$1000,ROW(),$V$5:$V$1000,"Sub"),$X259))))</f>
        <v/>
      </c>
      <c r="N259" s="56">
        <f>IF(OR($M259="",$V259="Sub"),"",IF($M259&gt;=1,"Completado",IF($M259&gt;0,"En curso","Pendiente")))</f>
        <v/>
      </c>
      <c r="O259" s="56">
        <f>IF(OR(NOT((COUNTA($B259:$D259)+COUNTA($G259:$L259)+COUNTA($Q259))&gt;0),$V259="Sub"),"",IF(ISNUMBER($G259),IF(AND(ISNUMBER($AN259),$G259&gt;$AN259),"Cumplida con "&amp;($G259-$AN259)&amp;IF($G259-$AN259=1," día"," días")&amp;" de retraso","Cumplida"),IF(N($M259)&gt;=1,"Cumplida",IF(NOT(ISNUMBER($AN259)),"Sin fecha límite",IF($AN259&lt;FechaRef,"Vencida hace "&amp;(FechaRef-$AN259)&amp;IF(FechaRef-$AN259=1," día"," días"),IF($AN259=FechaRef,"Vence hoy",IF($AN259-FechaRef&lt;=DiasAlerta,"Vence en "&amp;($AN259-FechaRef)&amp;IF($AN259-FechaRef=1," día"," días"),"En plazo")))))))</f>
        <v/>
      </c>
      <c r="P259" s="62" t="n"/>
      <c r="Q259" s="58" t="n"/>
      <c r="R259" s="63">
        <f>IF(NOT((COUNTA($B259:$D259)+COUNTA($G259:$L259)+COUNTA($Q259))&gt;0),"",IF((IF($C259="","Falta el nombre de la actividad"&amp;" · ","")&amp;IF(AND($V259="Sub",N($U259)=0),"Subactividad sin macroactividad arriba"&amp;" · ","")&amp;IF($AM259="","Sin fecha de inicio"&amp;" · ","")&amp;IF($AN259="","Sin fecha límite"&amp;" · ","")&amp;IF(AND(LEFT($C259,11)="[Jefatura] ",N($AL259)=0),"No se encuentra en la hoja de la jefatura (elíjala de nuevo en la lista)"&amp;" · ","")&amp;IF(OR(AND($E259&lt;&gt;"",NOT(ISNUMBER($E259))),AND($F259&lt;&gt;"",NOT(ISNUMBER($F259))),AND($G259&lt;&gt;"",NOT(ISNUMBER($G259)))),"Fecha no válida"&amp;" · ","")&amp;IF(AND(ISNUMBER($AM259),ISNUMBER($AN259),$AM259&gt;$AN259),"Inicio posterior a fecha límite"&amp;" · ","")&amp;IF(AND($V259="Macro",$H259&lt;&gt;"",OR(NOT(ISNUMBER($H259)),$H259&lt;0,$H259&gt;1)),"Peso fuera de rango"&amp;" · ","")&amp;IF(AND($V259="Sub",$H259&lt;&gt;""),"Las subactividades no llevan peso (valen igual dentro de su macroactividad)"&amp;" · ","")&amp;IF(AND(N($W259)&gt;0,COUNT($I259:$L259)&gt;0),"Con subactividades: deje vacías las semanas (se calculan solas)"&amp;" · ","")&amp;IF((COUNTIF($I259:$L259,"&gt;1")+COUNTIF($I259:$L259,"&lt;0")+COUNTA($I259:$L259)-COUNT($I259:$L259))&gt;0,"Avance fuera de rango 0-100%"&amp;" · ","")&amp;IF(OR(AND($J259&lt;&gt;"",$J259&lt;$I259),AND($K259&lt;&gt;"",$K259&lt;MAX($I259:$J259)),AND($L259&lt;&gt;"",$L259&lt;MAX($I259:$K259))),"Avance semanal decreciente"&amp;" · ","")&amp;IF(AND(ISNUMBER($AN259),$AN259&lt;FechaRef,IF($V259="Sub",N($X259),N($M259))&lt;1),"Vencida"&amp;" · ","")&amp;IF(AND(ObsObligatoria="Sí",ISNUMBER($AN259),$AN259&lt;FechaRef,IF($V259="Sub",N($X259),N($M259))&lt;1,$Q259=""),"Vencida sin observación"&amp;" · ",""))="","✔ OK","⚠ "&amp;LEFT(IF($C259="","Falta el nombre de la actividad"&amp;" · ","")&amp;IF(AND($V259="Sub",N($U259)=0),"Subactividad sin macroactividad arriba"&amp;" · ","")&amp;IF($AM259="","Sin fecha de inicio"&amp;" · ","")&amp;IF($AN259="","Sin fecha límite"&amp;" · ","")&amp;IF(AND(LEFT($C259,11)="[Jefatura] ",N($AL259)=0),"No se encuentra en la hoja de la jefatura (elíjala de nuevo en la lista)"&amp;" · ","")&amp;IF(OR(AND($E259&lt;&gt;"",NOT(ISNUMBER($E259))),AND($F259&lt;&gt;"",NOT(ISNUMBER($F259))),AND($G259&lt;&gt;"",NOT(ISNUMBER($G259)))),"Fecha no válida"&amp;" · ","")&amp;IF(AND(ISNUMBER($AM259),ISNUMBER($AN259),$AM259&gt;$AN259),"Inicio posterior a fecha límite"&amp;" · ","")&amp;IF(AND($V259="Macro",$H259&lt;&gt;"",OR(NOT(ISNUMBER($H259)),$H259&lt;0,$H259&gt;1)),"Peso fuera de rango"&amp;" · ","")&amp;IF(AND($V259="Sub",$H259&lt;&gt;""),"Las subactividades no llevan peso (valen igual dentro de su macroactividad)"&amp;" · ","")&amp;IF(AND(N($W259)&gt;0,COUNT($I259:$L259)&gt;0),"Con subactividades: deje vacías las semanas (se calculan solas)"&amp;" · ","")&amp;IF((COUNTIF($I259:$L259,"&gt;1")+COUNTIF($I259:$L259,"&lt;0")+COUNTA($I259:$L259)-COUNT($I259:$L259))&gt;0,"Avance fuera de rango 0-100%"&amp;" · ","")&amp;IF(OR(AND($J259&lt;&gt;"",$J259&lt;$I259),AND($K259&lt;&gt;"",$K259&lt;MAX($I259:$J259)),AND($L259&lt;&gt;"",$L259&lt;MAX($I259:$K259))),"Avance semanal decreciente"&amp;" · ","")&amp;IF(AND(ISNUMBER($AN259),$AN259&lt;FechaRef,IF($V259="Sub",N($X259),N($M259))&lt;1),"Vencida"&amp;" · ","")&amp;IF(AND(ObsObligatoria="Sí",ISNUMBER($AN259),$AN259&lt;FechaRef,IF($V259="Sub",N($X259),N($M259))&lt;1,$Q259=""),"Vencida sin observación"&amp;" · ",""),LEN(IF($C259="","Falta el nombre de la actividad"&amp;" · ","")&amp;IF(AND($V259="Sub",N($U259)=0),"Subactividad sin macroactividad arriba"&amp;" · ","")&amp;IF($AM259="","Sin fecha de inicio"&amp;" · ","")&amp;IF($AN259="","Sin fecha límite"&amp;" · ","")&amp;IF(AND(LEFT($C259,11)="[Jefatura] ",N($AL259)=0),"No se encuentra en la hoja de la jefatura (elíjala de nuevo en la lista)"&amp;" · ","")&amp;IF(OR(AND($E259&lt;&gt;"",NOT(ISNUMBER($E259))),AND($F259&lt;&gt;"",NOT(ISNUMBER($F259))),AND($G259&lt;&gt;"",NOT(ISNUMBER($G259)))),"Fecha no válida"&amp;" · ","")&amp;IF(AND(ISNUMBER($AM259),ISNUMBER($AN259),$AM259&gt;$AN259),"Inicio posterior a fecha límite"&amp;" · ","")&amp;IF(AND($V259="Macro",$H259&lt;&gt;"",OR(NOT(ISNUMBER($H259)),$H259&lt;0,$H259&gt;1)),"Peso fuera de rango"&amp;" · ","")&amp;IF(AND($V259="Sub",$H259&lt;&gt;""),"Las subactividades no llevan peso (valen igual dentro de su macroactividad)"&amp;" · ","")&amp;IF(AND(N($W259)&gt;0,COUNT($I259:$L259)&gt;0),"Con subactividades: deje vacías las semanas (se calculan solas)"&amp;" · ","")&amp;IF((COUNTIF($I259:$L259,"&gt;1")+COUNTIF($I259:$L259,"&lt;0")+COUNTA($I259:$L259)-COUNT($I259:$L259))&gt;0,"Avance fuera de rango 0-100%"&amp;" · ","")&amp;IF(OR(AND($J259&lt;&gt;"",$J259&lt;$I259),AND($K259&lt;&gt;"",$K259&lt;MAX($I259:$J259)),AND($L259&lt;&gt;"",$L259&lt;MAX($I259:$K259))),"Avance semanal decreciente"&amp;" · ","")&amp;IF(AND(ISNUMBER($AN259),$AN259&lt;FechaRef,IF($V259="Sub",N($X259),N($M259))&lt;1),"Vencida"&amp;" · ","")&amp;IF(AND(ObsObligatoria="Sí",ISNUMBER($AN259),$AN259&lt;FechaRef,IF($V259="Sub",N($X259),N($M259))&lt;1,$Q259=""),"Vencida sin observación"&amp;" · ",""))-3)))</f>
        <v/>
      </c>
      <c r="S259" s="64">
        <f>IF(NOT((COUNTA($B259:$D259)+COUNTA($G259:$L259)+COUNTA($Q259))&gt;0),"",IF(AND($V259="Sub",N($U259)&gt;0),IF(ISNUMBER(INDEX($AM$5:$AM$1000,$U259-4)),DATE(YEAR(INDEX($AM$5:$AM$1000,$U259-4)),MONTH(INDEX($AM$5:$AM$1000,$U259-4)),1),IF(ISNUMBER(INDEX($AN$5:$AN$1000,$U259-4)),DATE(YEAR(INDEX($AN$5:$AN$1000,$U259-4)),MONTH(INDEX($AN$5:$AN$1000,$U259-4)),1),MesCiclo)),IF(ISNUMBER($AM259),DATE(YEAR($AM259),MONTH($AM259),1),IF(ISNUMBER($AN259),DATE(YEAR($AN259),MONTH($AN259),1),MesCiclo))))</f>
        <v/>
      </c>
      <c r="T259" s="62">
        <f>IF(OR($S259="",$S259&lt;&gt;MesCiclo,$V259&lt;&gt;"Macro"),"",COUNTIFS($S$5:$S259,MesCiclo,$V$5:$V259,"Macro"))</f>
        <v/>
      </c>
      <c r="U259" s="62">
        <f>IF($V259="","",IF($V259="Macro",ROW(),IFERROR(LOOKUP(2,1/($V$5:$V259="Macro"),ROW($V$5:$V259)),0)))</f>
        <v/>
      </c>
      <c r="V259" s="62">
        <f>IF(NOT((COUNTA($B259:$D259)+COUNTA($G259:$L259)+COUNTA($Q259))&gt;0),"",IF($B259="Subactividad","Sub","Macro"))</f>
        <v/>
      </c>
      <c r="W259" s="62">
        <f>IF($V259="Macro",COUNTIFS($U$5:$U$1000,ROW(),$V$5:$V$1000,"Sub"),"")</f>
        <v/>
      </c>
      <c r="X259" s="62">
        <f>IF($V259="","",IF(ISNUMBER($G259),1,IFERROR(LOOKUP(2,1/($I259:$L259&lt;&gt;""),$I259:$L259),0)))</f>
        <v/>
      </c>
      <c r="Y259" s="62">
        <f>IF($V259="","",IF(AND(ISNUMBER($G259),$G259&lt;=IF($S259=MesCiclo,InicioCiclo,$S259+MOD(2-WEEKDAY($S259),7))+6),1,IF(ISNUMBER($I259),$I259,0)))</f>
        <v/>
      </c>
      <c r="Z259" s="62">
        <f>IF($V259="","",IF(AND(ISNUMBER($G259),$G259&lt;=IF($S259=MesCiclo,InicioCiclo,$S259+MOD(2-WEEKDAY($S259),7))+13),1,IF(ISNUMBER($J259),$J259,$Y259)))</f>
        <v/>
      </c>
      <c r="AA259" s="62">
        <f>IF($V259="","",IF(AND(ISNUMBER($G259),$G259&lt;=IF($S259=MesCiclo,InicioCiclo,$S259+MOD(2-WEEKDAY($S259),7))+20),1,IF(ISNUMBER($K259),$K259,$Z259)))</f>
        <v/>
      </c>
      <c r="AB259" s="62">
        <f>IF($V259="","",IF(AND(ISNUMBER($G259),$G259&lt;=IF($S259=MesCiclo,InicioCiclo,$S259+MOD(2-WEEKDAY($S259),7))+27),1,IF(ISNUMBER($L259),$L259,$AA259)))</f>
        <v/>
      </c>
      <c r="AC259" s="62">
        <f>IF($V259="","",IF(AND(ISNUMBER($G259),$G259&lt;=IF($S259=MesCiclo,InicioCiclo,$S259+MOD(2-WEEKDAY($S259),7))+6),1,IF(N($W259)&gt;0,AVERAGEIFS($Y$5:$Y$1000,$U$5:$U$1000,ROW(),$V$5:$V$1000,"Sub"),$Y259)))</f>
        <v/>
      </c>
      <c r="AD259" s="62">
        <f>IF($V259="","",IF(AND(ISNUMBER($G259),$G259&lt;=IF($S259=MesCiclo,InicioCiclo,$S259+MOD(2-WEEKDAY($S259),7))+13),1,IF(N($W259)&gt;0,AVERAGEIFS($Z$5:$Z$1000,$U$5:$U$1000,ROW(),$V$5:$V$1000,"Sub"),$Z259)))</f>
        <v/>
      </c>
      <c r="AE259" s="62">
        <f>IF($V259="","",IF(AND(ISNUMBER($G259),$G259&lt;=IF($S259=MesCiclo,InicioCiclo,$S259+MOD(2-WEEKDAY($S259),7))+20),1,IF(N($W259)&gt;0,AVERAGEIFS($AA$5:$AA$1000,$U$5:$U$1000,ROW(),$V$5:$V$1000,"Sub"),$AA259)))</f>
        <v/>
      </c>
      <c r="AF259" s="62">
        <f>IF($V259="","",IF(AND(ISNUMBER($G259),$G259&lt;=IF($S259=MesCiclo,InicioCiclo,$S259+MOD(2-WEEKDAY($S259),7))+27),1,IF(N($W259)&gt;0,AVERAGEIFS($AB$5:$AB$1000,$U$5:$U$1000,ROW(),$V$5:$V$1000,"Sub"),$AB259)))</f>
        <v/>
      </c>
      <c r="AG259" s="62">
        <f>IF($V259&lt;&gt;"Macro","",IF(COUNTIFS($S$5:$S$1000,$S259,$V$5:$V$1000,"Macro",$H$5:$H$1000,"&gt;0")=0,1/COUNTIFS($S$5:$S$1000,$S259,$V$5:$V$1000,"Macro"),IF(AND(ISNUMBER($H259),N($H259)&gt;0),$H259,SUMIFS($H$5:$H$1000,$S$5:$S$1000,$S259,$V$5:$V$1000,"Macro")/COUNTIFS($S$5:$S$1000,$S259,$V$5:$V$1000,"Macro",$H$5:$H$1000,"&gt;0"))/(COUNTIFS($S$5:$S$1000,$S259,$V$5:$V$1000,"Macro")*SUMIFS($H$5:$H$1000,$S$5:$S$1000,$S259,$V$5:$V$1000,"Macro")/COUNTIFS($S$5:$S$1000,$S259,$V$5:$V$1000,"Macro",$H$5:$H$1000,"&gt;0"))))</f>
        <v/>
      </c>
      <c r="AH259" s="62" t="n"/>
      <c r="AI259" s="62" t="n"/>
      <c r="AJ259" s="62" t="n"/>
      <c r="AK259" s="62" t="n"/>
      <c r="AL259" s="62">
        <f>IF(LEFT($C259,11)="[Jefatura] ",IFERROR(MATCH("Riesgo Operacional|"&amp;MID($C259,12,500),rDname_ADM,0),0),"")</f>
        <v/>
      </c>
      <c r="AM259" s="62">
        <f>IF(N($AL259)&gt;0,INDEX(rIni_ADM,$AL259),IF(ISNUMBER($E259),$E259,""))</f>
        <v/>
      </c>
      <c r="AN259" s="62">
        <f>IF(N($AL259)&gt;0,INDEX(rLim_ADM,$AL259),IF(ISNUMBER($F259),$F259,""))</f>
        <v/>
      </c>
    </row>
    <row r="260">
      <c r="A260" s="56">
        <f>IF(NOT((COUNTA($B260:$D260)+COUNTA($G260:$L260)+COUNTA($Q260))&gt;0),"",IF($V260="Macro",COUNTIFS($V$5:$V260,"Macro",$S$5:$S260,$S260),IF(N($U260)=0,"?",COUNTIFS(INDEX($V$5:$V$1000,1):INDEX($V$5:$V$1000,$U260-4),"Macro",INDEX($S$5:$S$1000,1):INDEX($S$5:$S$1000,$U260-4),INDEX($S$5:$S$1000,$U260-4))&amp;"."&amp;COUNTIFS($U$5:$U260,$U260,$V$5:$V260,"Sub"))))</f>
        <v/>
      </c>
      <c r="B260" s="57" t="n"/>
      <c r="C260" s="58" t="n"/>
      <c r="D260" s="58" t="n"/>
      <c r="E260" s="59">
        <f>IF(N($AL260)&gt;0,INDEX(rIni_ADM,$AL260),"")</f>
        <v/>
      </c>
      <c r="F260" s="59">
        <f>IF(N($AL260)&gt;0,INDEX(rLim_ADM,$AL260),"")</f>
        <v/>
      </c>
      <c r="G260" s="59" t="n"/>
      <c r="H260" s="60" t="n"/>
      <c r="I260" s="60" t="n"/>
      <c r="J260" s="60" t="n"/>
      <c r="K260" s="60" t="n"/>
      <c r="L260" s="60" t="n"/>
      <c r="M260" s="61">
        <f>IF(NOT((COUNTA($B260:$D260)+COUNTA($G260:$L260)+COUNTA($Q260))&gt;0),"",IF($V260="Sub",IFERROR($X260/INDEX($W$5:$W$1000,$U260-4),""),IF(ISNUMBER($G260),1,IF(N($W260)&gt;0,AVERAGEIFS($X$5:$X$1000,$U$5:$U$1000,ROW(),$V$5:$V$1000,"Sub"),$X260))))</f>
        <v/>
      </c>
      <c r="N260" s="56">
        <f>IF(OR($M260="",$V260="Sub"),"",IF($M260&gt;=1,"Completado",IF($M260&gt;0,"En curso","Pendiente")))</f>
        <v/>
      </c>
      <c r="O260" s="56">
        <f>IF(OR(NOT((COUNTA($B260:$D260)+COUNTA($G260:$L260)+COUNTA($Q260))&gt;0),$V260="Sub"),"",IF(ISNUMBER($G260),IF(AND(ISNUMBER($AN260),$G260&gt;$AN260),"Cumplida con "&amp;($G260-$AN260)&amp;IF($G260-$AN260=1," día"," días")&amp;" de retraso","Cumplida"),IF(N($M260)&gt;=1,"Cumplida",IF(NOT(ISNUMBER($AN260)),"Sin fecha límite",IF($AN260&lt;FechaRef,"Vencida hace "&amp;(FechaRef-$AN260)&amp;IF(FechaRef-$AN260=1," día"," días"),IF($AN260=FechaRef,"Vence hoy",IF($AN260-FechaRef&lt;=DiasAlerta,"Vence en "&amp;($AN260-FechaRef)&amp;IF($AN260-FechaRef=1," día"," días"),"En plazo")))))))</f>
        <v/>
      </c>
      <c r="P260" s="62" t="n"/>
      <c r="Q260" s="58" t="n"/>
      <c r="R260" s="63">
        <f>IF(NOT((COUNTA($B260:$D260)+COUNTA($G260:$L260)+COUNTA($Q260))&gt;0),"",IF((IF($C260="","Falta el nombre de la actividad"&amp;" · ","")&amp;IF(AND($V260="Sub",N($U260)=0),"Subactividad sin macroactividad arriba"&amp;" · ","")&amp;IF($AM260="","Sin fecha de inicio"&amp;" · ","")&amp;IF($AN260="","Sin fecha límite"&amp;" · ","")&amp;IF(AND(LEFT($C260,11)="[Jefatura] ",N($AL260)=0),"No se encuentra en la hoja de la jefatura (elíjala de nuevo en la lista)"&amp;" · ","")&amp;IF(OR(AND($E260&lt;&gt;"",NOT(ISNUMBER($E260))),AND($F260&lt;&gt;"",NOT(ISNUMBER($F260))),AND($G260&lt;&gt;"",NOT(ISNUMBER($G260)))),"Fecha no válida"&amp;" · ","")&amp;IF(AND(ISNUMBER($AM260),ISNUMBER($AN260),$AM260&gt;$AN260),"Inicio posterior a fecha límite"&amp;" · ","")&amp;IF(AND($V260="Macro",$H260&lt;&gt;"",OR(NOT(ISNUMBER($H260)),$H260&lt;0,$H260&gt;1)),"Peso fuera de rango"&amp;" · ","")&amp;IF(AND($V260="Sub",$H260&lt;&gt;""),"Las subactividades no llevan peso (valen igual dentro de su macroactividad)"&amp;" · ","")&amp;IF(AND(N($W260)&gt;0,COUNT($I260:$L260)&gt;0),"Con subactividades: deje vacías las semanas (se calculan solas)"&amp;" · ","")&amp;IF((COUNTIF($I260:$L260,"&gt;1")+COUNTIF($I260:$L260,"&lt;0")+COUNTA($I260:$L260)-COUNT($I260:$L260))&gt;0,"Avance fuera de rango 0-100%"&amp;" · ","")&amp;IF(OR(AND($J260&lt;&gt;"",$J260&lt;$I260),AND($K260&lt;&gt;"",$K260&lt;MAX($I260:$J260)),AND($L260&lt;&gt;"",$L260&lt;MAX($I260:$K260))),"Avance semanal decreciente"&amp;" · ","")&amp;IF(AND(ISNUMBER($AN260),$AN260&lt;FechaRef,IF($V260="Sub",N($X260),N($M260))&lt;1),"Vencida"&amp;" · ","")&amp;IF(AND(ObsObligatoria="Sí",ISNUMBER($AN260),$AN260&lt;FechaRef,IF($V260="Sub",N($X260),N($M260))&lt;1,$Q260=""),"Vencida sin observación"&amp;" · ",""))="","✔ OK","⚠ "&amp;LEFT(IF($C260="","Falta el nombre de la actividad"&amp;" · ","")&amp;IF(AND($V260="Sub",N($U260)=0),"Subactividad sin macroactividad arriba"&amp;" · ","")&amp;IF($AM260="","Sin fecha de inicio"&amp;" · ","")&amp;IF($AN260="","Sin fecha límite"&amp;" · ","")&amp;IF(AND(LEFT($C260,11)="[Jefatura] ",N($AL260)=0),"No se encuentra en la hoja de la jefatura (elíjala de nuevo en la lista)"&amp;" · ","")&amp;IF(OR(AND($E260&lt;&gt;"",NOT(ISNUMBER($E260))),AND($F260&lt;&gt;"",NOT(ISNUMBER($F260))),AND($G260&lt;&gt;"",NOT(ISNUMBER($G260)))),"Fecha no válida"&amp;" · ","")&amp;IF(AND(ISNUMBER($AM260),ISNUMBER($AN260),$AM260&gt;$AN260),"Inicio posterior a fecha límite"&amp;" · ","")&amp;IF(AND($V260="Macro",$H260&lt;&gt;"",OR(NOT(ISNUMBER($H260)),$H260&lt;0,$H260&gt;1)),"Peso fuera de rango"&amp;" · ","")&amp;IF(AND($V260="Sub",$H260&lt;&gt;""),"Las subactividades no llevan peso (valen igual dentro de su macroactividad)"&amp;" · ","")&amp;IF(AND(N($W260)&gt;0,COUNT($I260:$L260)&gt;0),"Con subactividades: deje vacías las semanas (se calculan solas)"&amp;" · ","")&amp;IF((COUNTIF($I260:$L260,"&gt;1")+COUNTIF($I260:$L260,"&lt;0")+COUNTA($I260:$L260)-COUNT($I260:$L260))&gt;0,"Avance fuera de rango 0-100%"&amp;" · ","")&amp;IF(OR(AND($J260&lt;&gt;"",$J260&lt;$I260),AND($K260&lt;&gt;"",$K260&lt;MAX($I260:$J260)),AND($L260&lt;&gt;"",$L260&lt;MAX($I260:$K260))),"Avance semanal decreciente"&amp;" · ","")&amp;IF(AND(ISNUMBER($AN260),$AN260&lt;FechaRef,IF($V260="Sub",N($X260),N($M260))&lt;1),"Vencida"&amp;" · ","")&amp;IF(AND(ObsObligatoria="Sí",ISNUMBER($AN260),$AN260&lt;FechaRef,IF($V260="Sub",N($X260),N($M260))&lt;1,$Q260=""),"Vencida sin observación"&amp;" · ",""),LEN(IF($C260="","Falta el nombre de la actividad"&amp;" · ","")&amp;IF(AND($V260="Sub",N($U260)=0),"Subactividad sin macroactividad arriba"&amp;" · ","")&amp;IF($AM260="","Sin fecha de inicio"&amp;" · ","")&amp;IF($AN260="","Sin fecha límite"&amp;" · ","")&amp;IF(AND(LEFT($C260,11)="[Jefatura] ",N($AL260)=0),"No se encuentra en la hoja de la jefatura (elíjala de nuevo en la lista)"&amp;" · ","")&amp;IF(OR(AND($E260&lt;&gt;"",NOT(ISNUMBER($E260))),AND($F260&lt;&gt;"",NOT(ISNUMBER($F260))),AND($G260&lt;&gt;"",NOT(ISNUMBER($G260)))),"Fecha no válida"&amp;" · ","")&amp;IF(AND(ISNUMBER($AM260),ISNUMBER($AN260),$AM260&gt;$AN260),"Inicio posterior a fecha límite"&amp;" · ","")&amp;IF(AND($V260="Macro",$H260&lt;&gt;"",OR(NOT(ISNUMBER($H260)),$H260&lt;0,$H260&gt;1)),"Peso fuera de rango"&amp;" · ","")&amp;IF(AND($V260="Sub",$H260&lt;&gt;""),"Las subactividades no llevan peso (valen igual dentro de su macroactividad)"&amp;" · ","")&amp;IF(AND(N($W260)&gt;0,COUNT($I260:$L260)&gt;0),"Con subactividades: deje vacías las semanas (se calculan solas)"&amp;" · ","")&amp;IF((COUNTIF($I260:$L260,"&gt;1")+COUNTIF($I260:$L260,"&lt;0")+COUNTA($I260:$L260)-COUNT($I260:$L260))&gt;0,"Avance fuera de rango 0-100%"&amp;" · ","")&amp;IF(OR(AND($J260&lt;&gt;"",$J260&lt;$I260),AND($K260&lt;&gt;"",$K260&lt;MAX($I260:$J260)),AND($L260&lt;&gt;"",$L260&lt;MAX($I260:$K260))),"Avance semanal decreciente"&amp;" · ","")&amp;IF(AND(ISNUMBER($AN260),$AN260&lt;FechaRef,IF($V260="Sub",N($X260),N($M260))&lt;1),"Vencida"&amp;" · ","")&amp;IF(AND(ObsObligatoria="Sí",ISNUMBER($AN260),$AN260&lt;FechaRef,IF($V260="Sub",N($X260),N($M260))&lt;1,$Q260=""),"Vencida sin observación"&amp;" · ",""))-3)))</f>
        <v/>
      </c>
      <c r="S260" s="64">
        <f>IF(NOT((COUNTA($B260:$D260)+COUNTA($G260:$L260)+COUNTA($Q260))&gt;0),"",IF(AND($V260="Sub",N($U260)&gt;0),IF(ISNUMBER(INDEX($AM$5:$AM$1000,$U260-4)),DATE(YEAR(INDEX($AM$5:$AM$1000,$U260-4)),MONTH(INDEX($AM$5:$AM$1000,$U260-4)),1),IF(ISNUMBER(INDEX($AN$5:$AN$1000,$U260-4)),DATE(YEAR(INDEX($AN$5:$AN$1000,$U260-4)),MONTH(INDEX($AN$5:$AN$1000,$U260-4)),1),MesCiclo)),IF(ISNUMBER($AM260),DATE(YEAR($AM260),MONTH($AM260),1),IF(ISNUMBER($AN260),DATE(YEAR($AN260),MONTH($AN260),1),MesCiclo))))</f>
        <v/>
      </c>
      <c r="T260" s="62">
        <f>IF(OR($S260="",$S260&lt;&gt;MesCiclo,$V260&lt;&gt;"Macro"),"",COUNTIFS($S$5:$S260,MesCiclo,$V$5:$V260,"Macro"))</f>
        <v/>
      </c>
      <c r="U260" s="62">
        <f>IF($V260="","",IF($V260="Macro",ROW(),IFERROR(LOOKUP(2,1/($V$5:$V260="Macro"),ROW($V$5:$V260)),0)))</f>
        <v/>
      </c>
      <c r="V260" s="62">
        <f>IF(NOT((COUNTA($B260:$D260)+COUNTA($G260:$L260)+COUNTA($Q260))&gt;0),"",IF($B260="Subactividad","Sub","Macro"))</f>
        <v/>
      </c>
      <c r="W260" s="62">
        <f>IF($V260="Macro",COUNTIFS($U$5:$U$1000,ROW(),$V$5:$V$1000,"Sub"),"")</f>
        <v/>
      </c>
      <c r="X260" s="62">
        <f>IF($V260="","",IF(ISNUMBER($G260),1,IFERROR(LOOKUP(2,1/($I260:$L260&lt;&gt;""),$I260:$L260),0)))</f>
        <v/>
      </c>
      <c r="Y260" s="62">
        <f>IF($V260="","",IF(AND(ISNUMBER($G260),$G260&lt;=IF($S260=MesCiclo,InicioCiclo,$S260+MOD(2-WEEKDAY($S260),7))+6),1,IF(ISNUMBER($I260),$I260,0)))</f>
        <v/>
      </c>
      <c r="Z260" s="62">
        <f>IF($V260="","",IF(AND(ISNUMBER($G260),$G260&lt;=IF($S260=MesCiclo,InicioCiclo,$S260+MOD(2-WEEKDAY($S260),7))+13),1,IF(ISNUMBER($J260),$J260,$Y260)))</f>
        <v/>
      </c>
      <c r="AA260" s="62">
        <f>IF($V260="","",IF(AND(ISNUMBER($G260),$G260&lt;=IF($S260=MesCiclo,InicioCiclo,$S260+MOD(2-WEEKDAY($S260),7))+20),1,IF(ISNUMBER($K260),$K260,$Z260)))</f>
        <v/>
      </c>
      <c r="AB260" s="62">
        <f>IF($V260="","",IF(AND(ISNUMBER($G260),$G260&lt;=IF($S260=MesCiclo,InicioCiclo,$S260+MOD(2-WEEKDAY($S260),7))+27),1,IF(ISNUMBER($L260),$L260,$AA260)))</f>
        <v/>
      </c>
      <c r="AC260" s="62">
        <f>IF($V260="","",IF(AND(ISNUMBER($G260),$G260&lt;=IF($S260=MesCiclo,InicioCiclo,$S260+MOD(2-WEEKDAY($S260),7))+6),1,IF(N($W260)&gt;0,AVERAGEIFS($Y$5:$Y$1000,$U$5:$U$1000,ROW(),$V$5:$V$1000,"Sub"),$Y260)))</f>
        <v/>
      </c>
      <c r="AD260" s="62">
        <f>IF($V260="","",IF(AND(ISNUMBER($G260),$G260&lt;=IF($S260=MesCiclo,InicioCiclo,$S260+MOD(2-WEEKDAY($S260),7))+13),1,IF(N($W260)&gt;0,AVERAGEIFS($Z$5:$Z$1000,$U$5:$U$1000,ROW(),$V$5:$V$1000,"Sub"),$Z260)))</f>
        <v/>
      </c>
      <c r="AE260" s="62">
        <f>IF($V260="","",IF(AND(ISNUMBER($G260),$G260&lt;=IF($S260=MesCiclo,InicioCiclo,$S260+MOD(2-WEEKDAY($S260),7))+20),1,IF(N($W260)&gt;0,AVERAGEIFS($AA$5:$AA$1000,$U$5:$U$1000,ROW(),$V$5:$V$1000,"Sub"),$AA260)))</f>
        <v/>
      </c>
      <c r="AF260" s="62">
        <f>IF($V260="","",IF(AND(ISNUMBER($G260),$G260&lt;=IF($S260=MesCiclo,InicioCiclo,$S260+MOD(2-WEEKDAY($S260),7))+27),1,IF(N($W260)&gt;0,AVERAGEIFS($AB$5:$AB$1000,$U$5:$U$1000,ROW(),$V$5:$V$1000,"Sub"),$AB260)))</f>
        <v/>
      </c>
      <c r="AG260" s="62">
        <f>IF($V260&lt;&gt;"Macro","",IF(COUNTIFS($S$5:$S$1000,$S260,$V$5:$V$1000,"Macro",$H$5:$H$1000,"&gt;0")=0,1/COUNTIFS($S$5:$S$1000,$S260,$V$5:$V$1000,"Macro"),IF(AND(ISNUMBER($H260),N($H260)&gt;0),$H260,SUMIFS($H$5:$H$1000,$S$5:$S$1000,$S260,$V$5:$V$1000,"Macro")/COUNTIFS($S$5:$S$1000,$S260,$V$5:$V$1000,"Macro",$H$5:$H$1000,"&gt;0"))/(COUNTIFS($S$5:$S$1000,$S260,$V$5:$V$1000,"Macro")*SUMIFS($H$5:$H$1000,$S$5:$S$1000,$S260,$V$5:$V$1000,"Macro")/COUNTIFS($S$5:$S$1000,$S260,$V$5:$V$1000,"Macro",$H$5:$H$1000,"&gt;0"))))</f>
        <v/>
      </c>
      <c r="AH260" s="62" t="n"/>
      <c r="AI260" s="62" t="n"/>
      <c r="AJ260" s="62" t="n"/>
      <c r="AK260" s="62" t="n"/>
      <c r="AL260" s="62">
        <f>IF(LEFT($C260,11)="[Jefatura] ",IFERROR(MATCH("Riesgo Operacional|"&amp;MID($C260,12,500),rDname_ADM,0),0),"")</f>
        <v/>
      </c>
      <c r="AM260" s="62">
        <f>IF(N($AL260)&gt;0,INDEX(rIni_ADM,$AL260),IF(ISNUMBER($E260),$E260,""))</f>
        <v/>
      </c>
      <c r="AN260" s="62">
        <f>IF(N($AL260)&gt;0,INDEX(rLim_ADM,$AL260),IF(ISNUMBER($F260),$F260,""))</f>
        <v/>
      </c>
    </row>
    <row r="261">
      <c r="A261" s="56">
        <f>IF(NOT((COUNTA($B261:$D261)+COUNTA($G261:$L261)+COUNTA($Q261))&gt;0),"",IF($V261="Macro",COUNTIFS($V$5:$V261,"Macro",$S$5:$S261,$S261),IF(N($U261)=0,"?",COUNTIFS(INDEX($V$5:$V$1000,1):INDEX($V$5:$V$1000,$U261-4),"Macro",INDEX($S$5:$S$1000,1):INDEX($S$5:$S$1000,$U261-4),INDEX($S$5:$S$1000,$U261-4))&amp;"."&amp;COUNTIFS($U$5:$U261,$U261,$V$5:$V261,"Sub"))))</f>
        <v/>
      </c>
      <c r="B261" s="57" t="n"/>
      <c r="C261" s="58" t="n"/>
      <c r="D261" s="58" t="n"/>
      <c r="E261" s="59">
        <f>IF(N($AL261)&gt;0,INDEX(rIni_ADM,$AL261),"")</f>
        <v/>
      </c>
      <c r="F261" s="59">
        <f>IF(N($AL261)&gt;0,INDEX(rLim_ADM,$AL261),"")</f>
        <v/>
      </c>
      <c r="G261" s="59" t="n"/>
      <c r="H261" s="60" t="n"/>
      <c r="I261" s="60" t="n"/>
      <c r="J261" s="60" t="n"/>
      <c r="K261" s="60" t="n"/>
      <c r="L261" s="60" t="n"/>
      <c r="M261" s="61">
        <f>IF(NOT((COUNTA($B261:$D261)+COUNTA($G261:$L261)+COUNTA($Q261))&gt;0),"",IF($V261="Sub",IFERROR($X261/INDEX($W$5:$W$1000,$U261-4),""),IF(ISNUMBER($G261),1,IF(N($W261)&gt;0,AVERAGEIFS($X$5:$X$1000,$U$5:$U$1000,ROW(),$V$5:$V$1000,"Sub"),$X261))))</f>
        <v/>
      </c>
      <c r="N261" s="56">
        <f>IF(OR($M261="",$V261="Sub"),"",IF($M261&gt;=1,"Completado",IF($M261&gt;0,"En curso","Pendiente")))</f>
        <v/>
      </c>
      <c r="O261" s="56">
        <f>IF(OR(NOT((COUNTA($B261:$D261)+COUNTA($G261:$L261)+COUNTA($Q261))&gt;0),$V261="Sub"),"",IF(ISNUMBER($G261),IF(AND(ISNUMBER($AN261),$G261&gt;$AN261),"Cumplida con "&amp;($G261-$AN261)&amp;IF($G261-$AN261=1," día"," días")&amp;" de retraso","Cumplida"),IF(N($M261)&gt;=1,"Cumplida",IF(NOT(ISNUMBER($AN261)),"Sin fecha límite",IF($AN261&lt;FechaRef,"Vencida hace "&amp;(FechaRef-$AN261)&amp;IF(FechaRef-$AN261=1," día"," días"),IF($AN261=FechaRef,"Vence hoy",IF($AN261-FechaRef&lt;=DiasAlerta,"Vence en "&amp;($AN261-FechaRef)&amp;IF($AN261-FechaRef=1," día"," días"),"En plazo")))))))</f>
        <v/>
      </c>
      <c r="P261" s="62" t="n"/>
      <c r="Q261" s="58" t="n"/>
      <c r="R261" s="63">
        <f>IF(NOT((COUNTA($B261:$D261)+COUNTA($G261:$L261)+COUNTA($Q261))&gt;0),"",IF((IF($C261="","Falta el nombre de la actividad"&amp;" · ","")&amp;IF(AND($V261="Sub",N($U261)=0),"Subactividad sin macroactividad arriba"&amp;" · ","")&amp;IF($AM261="","Sin fecha de inicio"&amp;" · ","")&amp;IF($AN261="","Sin fecha límite"&amp;" · ","")&amp;IF(AND(LEFT($C261,11)="[Jefatura] ",N($AL261)=0),"No se encuentra en la hoja de la jefatura (elíjala de nuevo en la lista)"&amp;" · ","")&amp;IF(OR(AND($E261&lt;&gt;"",NOT(ISNUMBER($E261))),AND($F261&lt;&gt;"",NOT(ISNUMBER($F261))),AND($G261&lt;&gt;"",NOT(ISNUMBER($G261)))),"Fecha no válida"&amp;" · ","")&amp;IF(AND(ISNUMBER($AM261),ISNUMBER($AN261),$AM261&gt;$AN261),"Inicio posterior a fecha límite"&amp;" · ","")&amp;IF(AND($V261="Macro",$H261&lt;&gt;"",OR(NOT(ISNUMBER($H261)),$H261&lt;0,$H261&gt;1)),"Peso fuera de rango"&amp;" · ","")&amp;IF(AND($V261="Sub",$H261&lt;&gt;""),"Las subactividades no llevan peso (valen igual dentro de su macroactividad)"&amp;" · ","")&amp;IF(AND(N($W261)&gt;0,COUNT($I261:$L261)&gt;0),"Con subactividades: deje vacías las semanas (se calculan solas)"&amp;" · ","")&amp;IF((COUNTIF($I261:$L261,"&gt;1")+COUNTIF($I261:$L261,"&lt;0")+COUNTA($I261:$L261)-COUNT($I261:$L261))&gt;0,"Avance fuera de rango 0-100%"&amp;" · ","")&amp;IF(OR(AND($J261&lt;&gt;"",$J261&lt;$I261),AND($K261&lt;&gt;"",$K261&lt;MAX($I261:$J261)),AND($L261&lt;&gt;"",$L261&lt;MAX($I261:$K261))),"Avance semanal decreciente"&amp;" · ","")&amp;IF(AND(ISNUMBER($AN261),$AN261&lt;FechaRef,IF($V261="Sub",N($X261),N($M261))&lt;1),"Vencida"&amp;" · ","")&amp;IF(AND(ObsObligatoria="Sí",ISNUMBER($AN261),$AN261&lt;FechaRef,IF($V261="Sub",N($X261),N($M261))&lt;1,$Q261=""),"Vencida sin observación"&amp;" · ",""))="","✔ OK","⚠ "&amp;LEFT(IF($C261="","Falta el nombre de la actividad"&amp;" · ","")&amp;IF(AND($V261="Sub",N($U261)=0),"Subactividad sin macroactividad arriba"&amp;" · ","")&amp;IF($AM261="","Sin fecha de inicio"&amp;" · ","")&amp;IF($AN261="","Sin fecha límite"&amp;" · ","")&amp;IF(AND(LEFT($C261,11)="[Jefatura] ",N($AL261)=0),"No se encuentra en la hoja de la jefatura (elíjala de nuevo en la lista)"&amp;" · ","")&amp;IF(OR(AND($E261&lt;&gt;"",NOT(ISNUMBER($E261))),AND($F261&lt;&gt;"",NOT(ISNUMBER($F261))),AND($G261&lt;&gt;"",NOT(ISNUMBER($G261)))),"Fecha no válida"&amp;" · ","")&amp;IF(AND(ISNUMBER($AM261),ISNUMBER($AN261),$AM261&gt;$AN261),"Inicio posterior a fecha límite"&amp;" · ","")&amp;IF(AND($V261="Macro",$H261&lt;&gt;"",OR(NOT(ISNUMBER($H261)),$H261&lt;0,$H261&gt;1)),"Peso fuera de rango"&amp;" · ","")&amp;IF(AND($V261="Sub",$H261&lt;&gt;""),"Las subactividades no llevan peso (valen igual dentro de su macroactividad)"&amp;" · ","")&amp;IF(AND(N($W261)&gt;0,COUNT($I261:$L261)&gt;0),"Con subactividades: deje vacías las semanas (se calculan solas)"&amp;" · ","")&amp;IF((COUNTIF($I261:$L261,"&gt;1")+COUNTIF($I261:$L261,"&lt;0")+COUNTA($I261:$L261)-COUNT($I261:$L261))&gt;0,"Avance fuera de rango 0-100%"&amp;" · ","")&amp;IF(OR(AND($J261&lt;&gt;"",$J261&lt;$I261),AND($K261&lt;&gt;"",$K261&lt;MAX($I261:$J261)),AND($L261&lt;&gt;"",$L261&lt;MAX($I261:$K261))),"Avance semanal decreciente"&amp;" · ","")&amp;IF(AND(ISNUMBER($AN261),$AN261&lt;FechaRef,IF($V261="Sub",N($X261),N($M261))&lt;1),"Vencida"&amp;" · ","")&amp;IF(AND(ObsObligatoria="Sí",ISNUMBER($AN261),$AN261&lt;FechaRef,IF($V261="Sub",N($X261),N($M261))&lt;1,$Q261=""),"Vencida sin observación"&amp;" · ",""),LEN(IF($C261="","Falta el nombre de la actividad"&amp;" · ","")&amp;IF(AND($V261="Sub",N($U261)=0),"Subactividad sin macroactividad arriba"&amp;" · ","")&amp;IF($AM261="","Sin fecha de inicio"&amp;" · ","")&amp;IF($AN261="","Sin fecha límite"&amp;" · ","")&amp;IF(AND(LEFT($C261,11)="[Jefatura] ",N($AL261)=0),"No se encuentra en la hoja de la jefatura (elíjala de nuevo en la lista)"&amp;" · ","")&amp;IF(OR(AND($E261&lt;&gt;"",NOT(ISNUMBER($E261))),AND($F261&lt;&gt;"",NOT(ISNUMBER($F261))),AND($G261&lt;&gt;"",NOT(ISNUMBER($G261)))),"Fecha no válida"&amp;" · ","")&amp;IF(AND(ISNUMBER($AM261),ISNUMBER($AN261),$AM261&gt;$AN261),"Inicio posterior a fecha límite"&amp;" · ","")&amp;IF(AND($V261="Macro",$H261&lt;&gt;"",OR(NOT(ISNUMBER($H261)),$H261&lt;0,$H261&gt;1)),"Peso fuera de rango"&amp;" · ","")&amp;IF(AND($V261="Sub",$H261&lt;&gt;""),"Las subactividades no llevan peso (valen igual dentro de su macroactividad)"&amp;" · ","")&amp;IF(AND(N($W261)&gt;0,COUNT($I261:$L261)&gt;0),"Con subactividades: deje vacías las semanas (se calculan solas)"&amp;" · ","")&amp;IF((COUNTIF($I261:$L261,"&gt;1")+COUNTIF($I261:$L261,"&lt;0")+COUNTA($I261:$L261)-COUNT($I261:$L261))&gt;0,"Avance fuera de rango 0-100%"&amp;" · ","")&amp;IF(OR(AND($J261&lt;&gt;"",$J261&lt;$I261),AND($K261&lt;&gt;"",$K261&lt;MAX($I261:$J261)),AND($L261&lt;&gt;"",$L261&lt;MAX($I261:$K261))),"Avance semanal decreciente"&amp;" · ","")&amp;IF(AND(ISNUMBER($AN261),$AN261&lt;FechaRef,IF($V261="Sub",N($X261),N($M261))&lt;1),"Vencida"&amp;" · ","")&amp;IF(AND(ObsObligatoria="Sí",ISNUMBER($AN261),$AN261&lt;FechaRef,IF($V261="Sub",N($X261),N($M261))&lt;1,$Q261=""),"Vencida sin observación"&amp;" · ",""))-3)))</f>
        <v/>
      </c>
      <c r="S261" s="64">
        <f>IF(NOT((COUNTA($B261:$D261)+COUNTA($G261:$L261)+COUNTA($Q261))&gt;0),"",IF(AND($V261="Sub",N($U261)&gt;0),IF(ISNUMBER(INDEX($AM$5:$AM$1000,$U261-4)),DATE(YEAR(INDEX($AM$5:$AM$1000,$U261-4)),MONTH(INDEX($AM$5:$AM$1000,$U261-4)),1),IF(ISNUMBER(INDEX($AN$5:$AN$1000,$U261-4)),DATE(YEAR(INDEX($AN$5:$AN$1000,$U261-4)),MONTH(INDEX($AN$5:$AN$1000,$U261-4)),1),MesCiclo)),IF(ISNUMBER($AM261),DATE(YEAR($AM261),MONTH($AM261),1),IF(ISNUMBER($AN261),DATE(YEAR($AN261),MONTH($AN261),1),MesCiclo))))</f>
        <v/>
      </c>
      <c r="T261" s="62">
        <f>IF(OR($S261="",$S261&lt;&gt;MesCiclo,$V261&lt;&gt;"Macro"),"",COUNTIFS($S$5:$S261,MesCiclo,$V$5:$V261,"Macro"))</f>
        <v/>
      </c>
      <c r="U261" s="62">
        <f>IF($V261="","",IF($V261="Macro",ROW(),IFERROR(LOOKUP(2,1/($V$5:$V261="Macro"),ROW($V$5:$V261)),0)))</f>
        <v/>
      </c>
      <c r="V261" s="62">
        <f>IF(NOT((COUNTA($B261:$D261)+COUNTA($G261:$L261)+COUNTA($Q261))&gt;0),"",IF($B261="Subactividad","Sub","Macro"))</f>
        <v/>
      </c>
      <c r="W261" s="62">
        <f>IF($V261="Macro",COUNTIFS($U$5:$U$1000,ROW(),$V$5:$V$1000,"Sub"),"")</f>
        <v/>
      </c>
      <c r="X261" s="62">
        <f>IF($V261="","",IF(ISNUMBER($G261),1,IFERROR(LOOKUP(2,1/($I261:$L261&lt;&gt;""),$I261:$L261),0)))</f>
        <v/>
      </c>
      <c r="Y261" s="62">
        <f>IF($V261="","",IF(AND(ISNUMBER($G261),$G261&lt;=IF($S261=MesCiclo,InicioCiclo,$S261+MOD(2-WEEKDAY($S261),7))+6),1,IF(ISNUMBER($I261),$I261,0)))</f>
        <v/>
      </c>
      <c r="Z261" s="62">
        <f>IF($V261="","",IF(AND(ISNUMBER($G261),$G261&lt;=IF($S261=MesCiclo,InicioCiclo,$S261+MOD(2-WEEKDAY($S261),7))+13),1,IF(ISNUMBER($J261),$J261,$Y261)))</f>
        <v/>
      </c>
      <c r="AA261" s="62">
        <f>IF($V261="","",IF(AND(ISNUMBER($G261),$G261&lt;=IF($S261=MesCiclo,InicioCiclo,$S261+MOD(2-WEEKDAY($S261),7))+20),1,IF(ISNUMBER($K261),$K261,$Z261)))</f>
        <v/>
      </c>
      <c r="AB261" s="62">
        <f>IF($V261="","",IF(AND(ISNUMBER($G261),$G261&lt;=IF($S261=MesCiclo,InicioCiclo,$S261+MOD(2-WEEKDAY($S261),7))+27),1,IF(ISNUMBER($L261),$L261,$AA261)))</f>
        <v/>
      </c>
      <c r="AC261" s="62">
        <f>IF($V261="","",IF(AND(ISNUMBER($G261),$G261&lt;=IF($S261=MesCiclo,InicioCiclo,$S261+MOD(2-WEEKDAY($S261),7))+6),1,IF(N($W261)&gt;0,AVERAGEIFS($Y$5:$Y$1000,$U$5:$U$1000,ROW(),$V$5:$V$1000,"Sub"),$Y261)))</f>
        <v/>
      </c>
      <c r="AD261" s="62">
        <f>IF($V261="","",IF(AND(ISNUMBER($G261),$G261&lt;=IF($S261=MesCiclo,InicioCiclo,$S261+MOD(2-WEEKDAY($S261),7))+13),1,IF(N($W261)&gt;0,AVERAGEIFS($Z$5:$Z$1000,$U$5:$U$1000,ROW(),$V$5:$V$1000,"Sub"),$Z261)))</f>
        <v/>
      </c>
      <c r="AE261" s="62">
        <f>IF($V261="","",IF(AND(ISNUMBER($G261),$G261&lt;=IF($S261=MesCiclo,InicioCiclo,$S261+MOD(2-WEEKDAY($S261),7))+20),1,IF(N($W261)&gt;0,AVERAGEIFS($AA$5:$AA$1000,$U$5:$U$1000,ROW(),$V$5:$V$1000,"Sub"),$AA261)))</f>
        <v/>
      </c>
      <c r="AF261" s="62">
        <f>IF($V261="","",IF(AND(ISNUMBER($G261),$G261&lt;=IF($S261=MesCiclo,InicioCiclo,$S261+MOD(2-WEEKDAY($S261),7))+27),1,IF(N($W261)&gt;0,AVERAGEIFS($AB$5:$AB$1000,$U$5:$U$1000,ROW(),$V$5:$V$1000,"Sub"),$AB261)))</f>
        <v/>
      </c>
      <c r="AG261" s="62">
        <f>IF($V261&lt;&gt;"Macro","",IF(COUNTIFS($S$5:$S$1000,$S261,$V$5:$V$1000,"Macro",$H$5:$H$1000,"&gt;0")=0,1/COUNTIFS($S$5:$S$1000,$S261,$V$5:$V$1000,"Macro"),IF(AND(ISNUMBER($H261),N($H261)&gt;0),$H261,SUMIFS($H$5:$H$1000,$S$5:$S$1000,$S261,$V$5:$V$1000,"Macro")/COUNTIFS($S$5:$S$1000,$S261,$V$5:$V$1000,"Macro",$H$5:$H$1000,"&gt;0"))/(COUNTIFS($S$5:$S$1000,$S261,$V$5:$V$1000,"Macro")*SUMIFS($H$5:$H$1000,$S$5:$S$1000,$S261,$V$5:$V$1000,"Macro")/COUNTIFS($S$5:$S$1000,$S261,$V$5:$V$1000,"Macro",$H$5:$H$1000,"&gt;0"))))</f>
        <v/>
      </c>
      <c r="AH261" s="62" t="n"/>
      <c r="AI261" s="62" t="n"/>
      <c r="AJ261" s="62" t="n"/>
      <c r="AK261" s="62" t="n"/>
      <c r="AL261" s="62">
        <f>IF(LEFT($C261,11)="[Jefatura] ",IFERROR(MATCH("Riesgo Operacional|"&amp;MID($C261,12,500),rDname_ADM,0),0),"")</f>
        <v/>
      </c>
      <c r="AM261" s="62">
        <f>IF(N($AL261)&gt;0,INDEX(rIni_ADM,$AL261),IF(ISNUMBER($E261),$E261,""))</f>
        <v/>
      </c>
      <c r="AN261" s="62">
        <f>IF(N($AL261)&gt;0,INDEX(rLim_ADM,$AL261),IF(ISNUMBER($F261),$F261,""))</f>
        <v/>
      </c>
    </row>
    <row r="262">
      <c r="A262" s="56">
        <f>IF(NOT((COUNTA($B262:$D262)+COUNTA($G262:$L262)+COUNTA($Q262))&gt;0),"",IF($V262="Macro",COUNTIFS($V$5:$V262,"Macro",$S$5:$S262,$S262),IF(N($U262)=0,"?",COUNTIFS(INDEX($V$5:$V$1000,1):INDEX($V$5:$V$1000,$U262-4),"Macro",INDEX($S$5:$S$1000,1):INDEX($S$5:$S$1000,$U262-4),INDEX($S$5:$S$1000,$U262-4))&amp;"."&amp;COUNTIFS($U$5:$U262,$U262,$V$5:$V262,"Sub"))))</f>
        <v/>
      </c>
      <c r="B262" s="57" t="n"/>
      <c r="C262" s="58" t="n"/>
      <c r="D262" s="58" t="n"/>
      <c r="E262" s="59">
        <f>IF(N($AL262)&gt;0,INDEX(rIni_ADM,$AL262),"")</f>
        <v/>
      </c>
      <c r="F262" s="59">
        <f>IF(N($AL262)&gt;0,INDEX(rLim_ADM,$AL262),"")</f>
        <v/>
      </c>
      <c r="G262" s="59" t="n"/>
      <c r="H262" s="60" t="n"/>
      <c r="I262" s="60" t="n"/>
      <c r="J262" s="60" t="n"/>
      <c r="K262" s="60" t="n"/>
      <c r="L262" s="60" t="n"/>
      <c r="M262" s="61">
        <f>IF(NOT((COUNTA($B262:$D262)+COUNTA($G262:$L262)+COUNTA($Q262))&gt;0),"",IF($V262="Sub",IFERROR($X262/INDEX($W$5:$W$1000,$U262-4),""),IF(ISNUMBER($G262),1,IF(N($W262)&gt;0,AVERAGEIFS($X$5:$X$1000,$U$5:$U$1000,ROW(),$V$5:$V$1000,"Sub"),$X262))))</f>
        <v/>
      </c>
      <c r="N262" s="56">
        <f>IF(OR($M262="",$V262="Sub"),"",IF($M262&gt;=1,"Completado",IF($M262&gt;0,"En curso","Pendiente")))</f>
        <v/>
      </c>
      <c r="O262" s="56">
        <f>IF(OR(NOT((COUNTA($B262:$D262)+COUNTA($G262:$L262)+COUNTA($Q262))&gt;0),$V262="Sub"),"",IF(ISNUMBER($G262),IF(AND(ISNUMBER($AN262),$G262&gt;$AN262),"Cumplida con "&amp;($G262-$AN262)&amp;IF($G262-$AN262=1," día"," días")&amp;" de retraso","Cumplida"),IF(N($M262)&gt;=1,"Cumplida",IF(NOT(ISNUMBER($AN262)),"Sin fecha límite",IF($AN262&lt;FechaRef,"Vencida hace "&amp;(FechaRef-$AN262)&amp;IF(FechaRef-$AN262=1," día"," días"),IF($AN262=FechaRef,"Vence hoy",IF($AN262-FechaRef&lt;=DiasAlerta,"Vence en "&amp;($AN262-FechaRef)&amp;IF($AN262-FechaRef=1," día"," días"),"En plazo")))))))</f>
        <v/>
      </c>
      <c r="P262" s="62" t="n"/>
      <c r="Q262" s="58" t="n"/>
      <c r="R262" s="63">
        <f>IF(NOT((COUNTA($B262:$D262)+COUNTA($G262:$L262)+COUNTA($Q262))&gt;0),"",IF((IF($C262="","Falta el nombre de la actividad"&amp;" · ","")&amp;IF(AND($V262="Sub",N($U262)=0),"Subactividad sin macroactividad arriba"&amp;" · ","")&amp;IF($AM262="","Sin fecha de inicio"&amp;" · ","")&amp;IF($AN262="","Sin fecha límite"&amp;" · ","")&amp;IF(AND(LEFT($C262,11)="[Jefatura] ",N($AL262)=0),"No se encuentra en la hoja de la jefatura (elíjala de nuevo en la lista)"&amp;" · ","")&amp;IF(OR(AND($E262&lt;&gt;"",NOT(ISNUMBER($E262))),AND($F262&lt;&gt;"",NOT(ISNUMBER($F262))),AND($G262&lt;&gt;"",NOT(ISNUMBER($G262)))),"Fecha no válida"&amp;" · ","")&amp;IF(AND(ISNUMBER($AM262),ISNUMBER($AN262),$AM262&gt;$AN262),"Inicio posterior a fecha límite"&amp;" · ","")&amp;IF(AND($V262="Macro",$H262&lt;&gt;"",OR(NOT(ISNUMBER($H262)),$H262&lt;0,$H262&gt;1)),"Peso fuera de rango"&amp;" · ","")&amp;IF(AND($V262="Sub",$H262&lt;&gt;""),"Las subactividades no llevan peso (valen igual dentro de su macroactividad)"&amp;" · ","")&amp;IF(AND(N($W262)&gt;0,COUNT($I262:$L262)&gt;0),"Con subactividades: deje vacías las semanas (se calculan solas)"&amp;" · ","")&amp;IF((COUNTIF($I262:$L262,"&gt;1")+COUNTIF($I262:$L262,"&lt;0")+COUNTA($I262:$L262)-COUNT($I262:$L262))&gt;0,"Avance fuera de rango 0-100%"&amp;" · ","")&amp;IF(OR(AND($J262&lt;&gt;"",$J262&lt;$I262),AND($K262&lt;&gt;"",$K262&lt;MAX($I262:$J262)),AND($L262&lt;&gt;"",$L262&lt;MAX($I262:$K262))),"Avance semanal decreciente"&amp;" · ","")&amp;IF(AND(ISNUMBER($AN262),$AN262&lt;FechaRef,IF($V262="Sub",N($X262),N($M262))&lt;1),"Vencida"&amp;" · ","")&amp;IF(AND(ObsObligatoria="Sí",ISNUMBER($AN262),$AN262&lt;FechaRef,IF($V262="Sub",N($X262),N($M262))&lt;1,$Q262=""),"Vencida sin observación"&amp;" · ",""))="","✔ OK","⚠ "&amp;LEFT(IF($C262="","Falta el nombre de la actividad"&amp;" · ","")&amp;IF(AND($V262="Sub",N($U262)=0),"Subactividad sin macroactividad arriba"&amp;" · ","")&amp;IF($AM262="","Sin fecha de inicio"&amp;" · ","")&amp;IF($AN262="","Sin fecha límite"&amp;" · ","")&amp;IF(AND(LEFT($C262,11)="[Jefatura] ",N($AL262)=0),"No se encuentra en la hoja de la jefatura (elíjala de nuevo en la lista)"&amp;" · ","")&amp;IF(OR(AND($E262&lt;&gt;"",NOT(ISNUMBER($E262))),AND($F262&lt;&gt;"",NOT(ISNUMBER($F262))),AND($G262&lt;&gt;"",NOT(ISNUMBER($G262)))),"Fecha no válida"&amp;" · ","")&amp;IF(AND(ISNUMBER($AM262),ISNUMBER($AN262),$AM262&gt;$AN262),"Inicio posterior a fecha límite"&amp;" · ","")&amp;IF(AND($V262="Macro",$H262&lt;&gt;"",OR(NOT(ISNUMBER($H262)),$H262&lt;0,$H262&gt;1)),"Peso fuera de rango"&amp;" · ","")&amp;IF(AND($V262="Sub",$H262&lt;&gt;""),"Las subactividades no llevan peso (valen igual dentro de su macroactividad)"&amp;" · ","")&amp;IF(AND(N($W262)&gt;0,COUNT($I262:$L262)&gt;0),"Con subactividades: deje vacías las semanas (se calculan solas)"&amp;" · ","")&amp;IF((COUNTIF($I262:$L262,"&gt;1")+COUNTIF($I262:$L262,"&lt;0")+COUNTA($I262:$L262)-COUNT($I262:$L262))&gt;0,"Avance fuera de rango 0-100%"&amp;" · ","")&amp;IF(OR(AND($J262&lt;&gt;"",$J262&lt;$I262),AND($K262&lt;&gt;"",$K262&lt;MAX($I262:$J262)),AND($L262&lt;&gt;"",$L262&lt;MAX($I262:$K262))),"Avance semanal decreciente"&amp;" · ","")&amp;IF(AND(ISNUMBER($AN262),$AN262&lt;FechaRef,IF($V262="Sub",N($X262),N($M262))&lt;1),"Vencida"&amp;" · ","")&amp;IF(AND(ObsObligatoria="Sí",ISNUMBER($AN262),$AN262&lt;FechaRef,IF($V262="Sub",N($X262),N($M262))&lt;1,$Q262=""),"Vencida sin observación"&amp;" · ",""),LEN(IF($C262="","Falta el nombre de la actividad"&amp;" · ","")&amp;IF(AND($V262="Sub",N($U262)=0),"Subactividad sin macroactividad arriba"&amp;" · ","")&amp;IF($AM262="","Sin fecha de inicio"&amp;" · ","")&amp;IF($AN262="","Sin fecha límite"&amp;" · ","")&amp;IF(AND(LEFT($C262,11)="[Jefatura] ",N($AL262)=0),"No se encuentra en la hoja de la jefatura (elíjala de nuevo en la lista)"&amp;" · ","")&amp;IF(OR(AND($E262&lt;&gt;"",NOT(ISNUMBER($E262))),AND($F262&lt;&gt;"",NOT(ISNUMBER($F262))),AND($G262&lt;&gt;"",NOT(ISNUMBER($G262)))),"Fecha no válida"&amp;" · ","")&amp;IF(AND(ISNUMBER($AM262),ISNUMBER($AN262),$AM262&gt;$AN262),"Inicio posterior a fecha límite"&amp;" · ","")&amp;IF(AND($V262="Macro",$H262&lt;&gt;"",OR(NOT(ISNUMBER($H262)),$H262&lt;0,$H262&gt;1)),"Peso fuera de rango"&amp;" · ","")&amp;IF(AND($V262="Sub",$H262&lt;&gt;""),"Las subactividades no llevan peso (valen igual dentro de su macroactividad)"&amp;" · ","")&amp;IF(AND(N($W262)&gt;0,COUNT($I262:$L262)&gt;0),"Con subactividades: deje vacías las semanas (se calculan solas)"&amp;" · ","")&amp;IF((COUNTIF($I262:$L262,"&gt;1")+COUNTIF($I262:$L262,"&lt;0")+COUNTA($I262:$L262)-COUNT($I262:$L262))&gt;0,"Avance fuera de rango 0-100%"&amp;" · ","")&amp;IF(OR(AND($J262&lt;&gt;"",$J262&lt;$I262),AND($K262&lt;&gt;"",$K262&lt;MAX($I262:$J262)),AND($L262&lt;&gt;"",$L262&lt;MAX($I262:$K262))),"Avance semanal decreciente"&amp;" · ","")&amp;IF(AND(ISNUMBER($AN262),$AN262&lt;FechaRef,IF($V262="Sub",N($X262),N($M262))&lt;1),"Vencida"&amp;" · ","")&amp;IF(AND(ObsObligatoria="Sí",ISNUMBER($AN262),$AN262&lt;FechaRef,IF($V262="Sub",N($X262),N($M262))&lt;1,$Q262=""),"Vencida sin observación"&amp;" · ",""))-3)))</f>
        <v/>
      </c>
      <c r="S262" s="64">
        <f>IF(NOT((COUNTA($B262:$D262)+COUNTA($G262:$L262)+COUNTA($Q262))&gt;0),"",IF(AND($V262="Sub",N($U262)&gt;0),IF(ISNUMBER(INDEX($AM$5:$AM$1000,$U262-4)),DATE(YEAR(INDEX($AM$5:$AM$1000,$U262-4)),MONTH(INDEX($AM$5:$AM$1000,$U262-4)),1),IF(ISNUMBER(INDEX($AN$5:$AN$1000,$U262-4)),DATE(YEAR(INDEX($AN$5:$AN$1000,$U262-4)),MONTH(INDEX($AN$5:$AN$1000,$U262-4)),1),MesCiclo)),IF(ISNUMBER($AM262),DATE(YEAR($AM262),MONTH($AM262),1),IF(ISNUMBER($AN262),DATE(YEAR($AN262),MONTH($AN262),1),MesCiclo))))</f>
        <v/>
      </c>
      <c r="T262" s="62">
        <f>IF(OR($S262="",$S262&lt;&gt;MesCiclo,$V262&lt;&gt;"Macro"),"",COUNTIFS($S$5:$S262,MesCiclo,$V$5:$V262,"Macro"))</f>
        <v/>
      </c>
      <c r="U262" s="62">
        <f>IF($V262="","",IF($V262="Macro",ROW(),IFERROR(LOOKUP(2,1/($V$5:$V262="Macro"),ROW($V$5:$V262)),0)))</f>
        <v/>
      </c>
      <c r="V262" s="62">
        <f>IF(NOT((COUNTA($B262:$D262)+COUNTA($G262:$L262)+COUNTA($Q262))&gt;0),"",IF($B262="Subactividad","Sub","Macro"))</f>
        <v/>
      </c>
      <c r="W262" s="62">
        <f>IF($V262="Macro",COUNTIFS($U$5:$U$1000,ROW(),$V$5:$V$1000,"Sub"),"")</f>
        <v/>
      </c>
      <c r="X262" s="62">
        <f>IF($V262="","",IF(ISNUMBER($G262),1,IFERROR(LOOKUP(2,1/($I262:$L262&lt;&gt;""),$I262:$L262),0)))</f>
        <v/>
      </c>
      <c r="Y262" s="62">
        <f>IF($V262="","",IF(AND(ISNUMBER($G262),$G262&lt;=IF($S262=MesCiclo,InicioCiclo,$S262+MOD(2-WEEKDAY($S262),7))+6),1,IF(ISNUMBER($I262),$I262,0)))</f>
        <v/>
      </c>
      <c r="Z262" s="62">
        <f>IF($V262="","",IF(AND(ISNUMBER($G262),$G262&lt;=IF($S262=MesCiclo,InicioCiclo,$S262+MOD(2-WEEKDAY($S262),7))+13),1,IF(ISNUMBER($J262),$J262,$Y262)))</f>
        <v/>
      </c>
      <c r="AA262" s="62">
        <f>IF($V262="","",IF(AND(ISNUMBER($G262),$G262&lt;=IF($S262=MesCiclo,InicioCiclo,$S262+MOD(2-WEEKDAY($S262),7))+20),1,IF(ISNUMBER($K262),$K262,$Z262)))</f>
        <v/>
      </c>
      <c r="AB262" s="62">
        <f>IF($V262="","",IF(AND(ISNUMBER($G262),$G262&lt;=IF($S262=MesCiclo,InicioCiclo,$S262+MOD(2-WEEKDAY($S262),7))+27),1,IF(ISNUMBER($L262),$L262,$AA262)))</f>
        <v/>
      </c>
      <c r="AC262" s="62">
        <f>IF($V262="","",IF(AND(ISNUMBER($G262),$G262&lt;=IF($S262=MesCiclo,InicioCiclo,$S262+MOD(2-WEEKDAY($S262),7))+6),1,IF(N($W262)&gt;0,AVERAGEIFS($Y$5:$Y$1000,$U$5:$U$1000,ROW(),$V$5:$V$1000,"Sub"),$Y262)))</f>
        <v/>
      </c>
      <c r="AD262" s="62">
        <f>IF($V262="","",IF(AND(ISNUMBER($G262),$G262&lt;=IF($S262=MesCiclo,InicioCiclo,$S262+MOD(2-WEEKDAY($S262),7))+13),1,IF(N($W262)&gt;0,AVERAGEIFS($Z$5:$Z$1000,$U$5:$U$1000,ROW(),$V$5:$V$1000,"Sub"),$Z262)))</f>
        <v/>
      </c>
      <c r="AE262" s="62">
        <f>IF($V262="","",IF(AND(ISNUMBER($G262),$G262&lt;=IF($S262=MesCiclo,InicioCiclo,$S262+MOD(2-WEEKDAY($S262),7))+20),1,IF(N($W262)&gt;0,AVERAGEIFS($AA$5:$AA$1000,$U$5:$U$1000,ROW(),$V$5:$V$1000,"Sub"),$AA262)))</f>
        <v/>
      </c>
      <c r="AF262" s="62">
        <f>IF($V262="","",IF(AND(ISNUMBER($G262),$G262&lt;=IF($S262=MesCiclo,InicioCiclo,$S262+MOD(2-WEEKDAY($S262),7))+27),1,IF(N($W262)&gt;0,AVERAGEIFS($AB$5:$AB$1000,$U$5:$U$1000,ROW(),$V$5:$V$1000,"Sub"),$AB262)))</f>
        <v/>
      </c>
      <c r="AG262" s="62">
        <f>IF($V262&lt;&gt;"Macro","",IF(COUNTIFS($S$5:$S$1000,$S262,$V$5:$V$1000,"Macro",$H$5:$H$1000,"&gt;0")=0,1/COUNTIFS($S$5:$S$1000,$S262,$V$5:$V$1000,"Macro"),IF(AND(ISNUMBER($H262),N($H262)&gt;0),$H262,SUMIFS($H$5:$H$1000,$S$5:$S$1000,$S262,$V$5:$V$1000,"Macro")/COUNTIFS($S$5:$S$1000,$S262,$V$5:$V$1000,"Macro",$H$5:$H$1000,"&gt;0"))/(COUNTIFS($S$5:$S$1000,$S262,$V$5:$V$1000,"Macro")*SUMIFS($H$5:$H$1000,$S$5:$S$1000,$S262,$V$5:$V$1000,"Macro")/COUNTIFS($S$5:$S$1000,$S262,$V$5:$V$1000,"Macro",$H$5:$H$1000,"&gt;0"))))</f>
        <v/>
      </c>
      <c r="AH262" s="62" t="n"/>
      <c r="AI262" s="62" t="n"/>
      <c r="AJ262" s="62" t="n"/>
      <c r="AK262" s="62" t="n"/>
      <c r="AL262" s="62">
        <f>IF(LEFT($C262,11)="[Jefatura] ",IFERROR(MATCH("Riesgo Operacional|"&amp;MID($C262,12,500),rDname_ADM,0),0),"")</f>
        <v/>
      </c>
      <c r="AM262" s="62">
        <f>IF(N($AL262)&gt;0,INDEX(rIni_ADM,$AL262),IF(ISNUMBER($E262),$E262,""))</f>
        <v/>
      </c>
      <c r="AN262" s="62">
        <f>IF(N($AL262)&gt;0,INDEX(rLim_ADM,$AL262),IF(ISNUMBER($F262),$F262,""))</f>
        <v/>
      </c>
    </row>
    <row r="263">
      <c r="A263" s="56">
        <f>IF(NOT((COUNTA($B263:$D263)+COUNTA($G263:$L263)+COUNTA($Q263))&gt;0),"",IF($V263="Macro",COUNTIFS($V$5:$V263,"Macro",$S$5:$S263,$S263),IF(N($U263)=0,"?",COUNTIFS(INDEX($V$5:$V$1000,1):INDEX($V$5:$V$1000,$U263-4),"Macro",INDEX($S$5:$S$1000,1):INDEX($S$5:$S$1000,$U263-4),INDEX($S$5:$S$1000,$U263-4))&amp;"."&amp;COUNTIFS($U$5:$U263,$U263,$V$5:$V263,"Sub"))))</f>
        <v/>
      </c>
      <c r="B263" s="57" t="n"/>
      <c r="C263" s="58" t="n"/>
      <c r="D263" s="58" t="n"/>
      <c r="E263" s="59">
        <f>IF(N($AL263)&gt;0,INDEX(rIni_ADM,$AL263),"")</f>
        <v/>
      </c>
      <c r="F263" s="59">
        <f>IF(N($AL263)&gt;0,INDEX(rLim_ADM,$AL263),"")</f>
        <v/>
      </c>
      <c r="G263" s="59" t="n"/>
      <c r="H263" s="60" t="n"/>
      <c r="I263" s="60" t="n"/>
      <c r="J263" s="60" t="n"/>
      <c r="K263" s="60" t="n"/>
      <c r="L263" s="60" t="n"/>
      <c r="M263" s="61">
        <f>IF(NOT((COUNTA($B263:$D263)+COUNTA($G263:$L263)+COUNTA($Q263))&gt;0),"",IF($V263="Sub",IFERROR($X263/INDEX($W$5:$W$1000,$U263-4),""),IF(ISNUMBER($G263),1,IF(N($W263)&gt;0,AVERAGEIFS($X$5:$X$1000,$U$5:$U$1000,ROW(),$V$5:$V$1000,"Sub"),$X263))))</f>
        <v/>
      </c>
      <c r="N263" s="56">
        <f>IF(OR($M263="",$V263="Sub"),"",IF($M263&gt;=1,"Completado",IF($M263&gt;0,"En curso","Pendiente")))</f>
        <v/>
      </c>
      <c r="O263" s="56">
        <f>IF(OR(NOT((COUNTA($B263:$D263)+COUNTA($G263:$L263)+COUNTA($Q263))&gt;0),$V263="Sub"),"",IF(ISNUMBER($G263),IF(AND(ISNUMBER($AN263),$G263&gt;$AN263),"Cumplida con "&amp;($G263-$AN263)&amp;IF($G263-$AN263=1," día"," días")&amp;" de retraso","Cumplida"),IF(N($M263)&gt;=1,"Cumplida",IF(NOT(ISNUMBER($AN263)),"Sin fecha límite",IF($AN263&lt;FechaRef,"Vencida hace "&amp;(FechaRef-$AN263)&amp;IF(FechaRef-$AN263=1," día"," días"),IF($AN263=FechaRef,"Vence hoy",IF($AN263-FechaRef&lt;=DiasAlerta,"Vence en "&amp;($AN263-FechaRef)&amp;IF($AN263-FechaRef=1," día"," días"),"En plazo")))))))</f>
        <v/>
      </c>
      <c r="P263" s="62" t="n"/>
      <c r="Q263" s="58" t="n"/>
      <c r="R263" s="63">
        <f>IF(NOT((COUNTA($B263:$D263)+COUNTA($G263:$L263)+COUNTA($Q263))&gt;0),"",IF((IF($C263="","Falta el nombre de la actividad"&amp;" · ","")&amp;IF(AND($V263="Sub",N($U263)=0),"Subactividad sin macroactividad arriba"&amp;" · ","")&amp;IF($AM263="","Sin fecha de inicio"&amp;" · ","")&amp;IF($AN263="","Sin fecha límite"&amp;" · ","")&amp;IF(AND(LEFT($C263,11)="[Jefatura] ",N($AL263)=0),"No se encuentra en la hoja de la jefatura (elíjala de nuevo en la lista)"&amp;" · ","")&amp;IF(OR(AND($E263&lt;&gt;"",NOT(ISNUMBER($E263))),AND($F263&lt;&gt;"",NOT(ISNUMBER($F263))),AND($G263&lt;&gt;"",NOT(ISNUMBER($G263)))),"Fecha no válida"&amp;" · ","")&amp;IF(AND(ISNUMBER($AM263),ISNUMBER($AN263),$AM263&gt;$AN263),"Inicio posterior a fecha límite"&amp;" · ","")&amp;IF(AND($V263="Macro",$H263&lt;&gt;"",OR(NOT(ISNUMBER($H263)),$H263&lt;0,$H263&gt;1)),"Peso fuera de rango"&amp;" · ","")&amp;IF(AND($V263="Sub",$H263&lt;&gt;""),"Las subactividades no llevan peso (valen igual dentro de su macroactividad)"&amp;" · ","")&amp;IF(AND(N($W263)&gt;0,COUNT($I263:$L263)&gt;0),"Con subactividades: deje vacías las semanas (se calculan solas)"&amp;" · ","")&amp;IF((COUNTIF($I263:$L263,"&gt;1")+COUNTIF($I263:$L263,"&lt;0")+COUNTA($I263:$L263)-COUNT($I263:$L263))&gt;0,"Avance fuera de rango 0-100%"&amp;" · ","")&amp;IF(OR(AND($J263&lt;&gt;"",$J263&lt;$I263),AND($K263&lt;&gt;"",$K263&lt;MAX($I263:$J263)),AND($L263&lt;&gt;"",$L263&lt;MAX($I263:$K263))),"Avance semanal decreciente"&amp;" · ","")&amp;IF(AND(ISNUMBER($AN263),$AN263&lt;FechaRef,IF($V263="Sub",N($X263),N($M263))&lt;1),"Vencida"&amp;" · ","")&amp;IF(AND(ObsObligatoria="Sí",ISNUMBER($AN263),$AN263&lt;FechaRef,IF($V263="Sub",N($X263),N($M263))&lt;1,$Q263=""),"Vencida sin observación"&amp;" · ",""))="","✔ OK","⚠ "&amp;LEFT(IF($C263="","Falta el nombre de la actividad"&amp;" · ","")&amp;IF(AND($V263="Sub",N($U263)=0),"Subactividad sin macroactividad arriba"&amp;" · ","")&amp;IF($AM263="","Sin fecha de inicio"&amp;" · ","")&amp;IF($AN263="","Sin fecha límite"&amp;" · ","")&amp;IF(AND(LEFT($C263,11)="[Jefatura] ",N($AL263)=0),"No se encuentra en la hoja de la jefatura (elíjala de nuevo en la lista)"&amp;" · ","")&amp;IF(OR(AND($E263&lt;&gt;"",NOT(ISNUMBER($E263))),AND($F263&lt;&gt;"",NOT(ISNUMBER($F263))),AND($G263&lt;&gt;"",NOT(ISNUMBER($G263)))),"Fecha no válida"&amp;" · ","")&amp;IF(AND(ISNUMBER($AM263),ISNUMBER($AN263),$AM263&gt;$AN263),"Inicio posterior a fecha límite"&amp;" · ","")&amp;IF(AND($V263="Macro",$H263&lt;&gt;"",OR(NOT(ISNUMBER($H263)),$H263&lt;0,$H263&gt;1)),"Peso fuera de rango"&amp;" · ","")&amp;IF(AND($V263="Sub",$H263&lt;&gt;""),"Las subactividades no llevan peso (valen igual dentro de su macroactividad)"&amp;" · ","")&amp;IF(AND(N($W263)&gt;0,COUNT($I263:$L263)&gt;0),"Con subactividades: deje vacías las semanas (se calculan solas)"&amp;" · ","")&amp;IF((COUNTIF($I263:$L263,"&gt;1")+COUNTIF($I263:$L263,"&lt;0")+COUNTA($I263:$L263)-COUNT($I263:$L263))&gt;0,"Avance fuera de rango 0-100%"&amp;" · ","")&amp;IF(OR(AND($J263&lt;&gt;"",$J263&lt;$I263),AND($K263&lt;&gt;"",$K263&lt;MAX($I263:$J263)),AND($L263&lt;&gt;"",$L263&lt;MAX($I263:$K263))),"Avance semanal decreciente"&amp;" · ","")&amp;IF(AND(ISNUMBER($AN263),$AN263&lt;FechaRef,IF($V263="Sub",N($X263),N($M263))&lt;1),"Vencida"&amp;" · ","")&amp;IF(AND(ObsObligatoria="Sí",ISNUMBER($AN263),$AN263&lt;FechaRef,IF($V263="Sub",N($X263),N($M263))&lt;1,$Q263=""),"Vencida sin observación"&amp;" · ",""),LEN(IF($C263="","Falta el nombre de la actividad"&amp;" · ","")&amp;IF(AND($V263="Sub",N($U263)=0),"Subactividad sin macroactividad arriba"&amp;" · ","")&amp;IF($AM263="","Sin fecha de inicio"&amp;" · ","")&amp;IF($AN263="","Sin fecha límite"&amp;" · ","")&amp;IF(AND(LEFT($C263,11)="[Jefatura] ",N($AL263)=0),"No se encuentra en la hoja de la jefatura (elíjala de nuevo en la lista)"&amp;" · ","")&amp;IF(OR(AND($E263&lt;&gt;"",NOT(ISNUMBER($E263))),AND($F263&lt;&gt;"",NOT(ISNUMBER($F263))),AND($G263&lt;&gt;"",NOT(ISNUMBER($G263)))),"Fecha no válida"&amp;" · ","")&amp;IF(AND(ISNUMBER($AM263),ISNUMBER($AN263),$AM263&gt;$AN263),"Inicio posterior a fecha límite"&amp;" · ","")&amp;IF(AND($V263="Macro",$H263&lt;&gt;"",OR(NOT(ISNUMBER($H263)),$H263&lt;0,$H263&gt;1)),"Peso fuera de rango"&amp;" · ","")&amp;IF(AND($V263="Sub",$H263&lt;&gt;""),"Las subactividades no llevan peso (valen igual dentro de su macroactividad)"&amp;" · ","")&amp;IF(AND(N($W263)&gt;0,COUNT($I263:$L263)&gt;0),"Con subactividades: deje vacías las semanas (se calculan solas)"&amp;" · ","")&amp;IF((COUNTIF($I263:$L263,"&gt;1")+COUNTIF($I263:$L263,"&lt;0")+COUNTA($I263:$L263)-COUNT($I263:$L263))&gt;0,"Avance fuera de rango 0-100%"&amp;" · ","")&amp;IF(OR(AND($J263&lt;&gt;"",$J263&lt;$I263),AND($K263&lt;&gt;"",$K263&lt;MAX($I263:$J263)),AND($L263&lt;&gt;"",$L263&lt;MAX($I263:$K263))),"Avance semanal decreciente"&amp;" · ","")&amp;IF(AND(ISNUMBER($AN263),$AN263&lt;FechaRef,IF($V263="Sub",N($X263),N($M263))&lt;1),"Vencida"&amp;" · ","")&amp;IF(AND(ObsObligatoria="Sí",ISNUMBER($AN263),$AN263&lt;FechaRef,IF($V263="Sub",N($X263),N($M263))&lt;1,$Q263=""),"Vencida sin observación"&amp;" · ",""))-3)))</f>
        <v/>
      </c>
      <c r="S263" s="64">
        <f>IF(NOT((COUNTA($B263:$D263)+COUNTA($G263:$L263)+COUNTA($Q263))&gt;0),"",IF(AND($V263="Sub",N($U263)&gt;0),IF(ISNUMBER(INDEX($AM$5:$AM$1000,$U263-4)),DATE(YEAR(INDEX($AM$5:$AM$1000,$U263-4)),MONTH(INDEX($AM$5:$AM$1000,$U263-4)),1),IF(ISNUMBER(INDEX($AN$5:$AN$1000,$U263-4)),DATE(YEAR(INDEX($AN$5:$AN$1000,$U263-4)),MONTH(INDEX($AN$5:$AN$1000,$U263-4)),1),MesCiclo)),IF(ISNUMBER($AM263),DATE(YEAR($AM263),MONTH($AM263),1),IF(ISNUMBER($AN263),DATE(YEAR($AN263),MONTH($AN263),1),MesCiclo))))</f>
        <v/>
      </c>
      <c r="T263" s="62">
        <f>IF(OR($S263="",$S263&lt;&gt;MesCiclo,$V263&lt;&gt;"Macro"),"",COUNTIFS($S$5:$S263,MesCiclo,$V$5:$V263,"Macro"))</f>
        <v/>
      </c>
      <c r="U263" s="62">
        <f>IF($V263="","",IF($V263="Macro",ROW(),IFERROR(LOOKUP(2,1/($V$5:$V263="Macro"),ROW($V$5:$V263)),0)))</f>
        <v/>
      </c>
      <c r="V263" s="62">
        <f>IF(NOT((COUNTA($B263:$D263)+COUNTA($G263:$L263)+COUNTA($Q263))&gt;0),"",IF($B263="Subactividad","Sub","Macro"))</f>
        <v/>
      </c>
      <c r="W263" s="62">
        <f>IF($V263="Macro",COUNTIFS($U$5:$U$1000,ROW(),$V$5:$V$1000,"Sub"),"")</f>
        <v/>
      </c>
      <c r="X263" s="62">
        <f>IF($V263="","",IF(ISNUMBER($G263),1,IFERROR(LOOKUP(2,1/($I263:$L263&lt;&gt;""),$I263:$L263),0)))</f>
        <v/>
      </c>
      <c r="Y263" s="62">
        <f>IF($V263="","",IF(AND(ISNUMBER($G263),$G263&lt;=IF($S263=MesCiclo,InicioCiclo,$S263+MOD(2-WEEKDAY($S263),7))+6),1,IF(ISNUMBER($I263),$I263,0)))</f>
        <v/>
      </c>
      <c r="Z263" s="62">
        <f>IF($V263="","",IF(AND(ISNUMBER($G263),$G263&lt;=IF($S263=MesCiclo,InicioCiclo,$S263+MOD(2-WEEKDAY($S263),7))+13),1,IF(ISNUMBER($J263),$J263,$Y263)))</f>
        <v/>
      </c>
      <c r="AA263" s="62">
        <f>IF($V263="","",IF(AND(ISNUMBER($G263),$G263&lt;=IF($S263=MesCiclo,InicioCiclo,$S263+MOD(2-WEEKDAY($S263),7))+20),1,IF(ISNUMBER($K263),$K263,$Z263)))</f>
        <v/>
      </c>
      <c r="AB263" s="62">
        <f>IF($V263="","",IF(AND(ISNUMBER($G263),$G263&lt;=IF($S263=MesCiclo,InicioCiclo,$S263+MOD(2-WEEKDAY($S263),7))+27),1,IF(ISNUMBER($L263),$L263,$AA263)))</f>
        <v/>
      </c>
      <c r="AC263" s="62">
        <f>IF($V263="","",IF(AND(ISNUMBER($G263),$G263&lt;=IF($S263=MesCiclo,InicioCiclo,$S263+MOD(2-WEEKDAY($S263),7))+6),1,IF(N($W263)&gt;0,AVERAGEIFS($Y$5:$Y$1000,$U$5:$U$1000,ROW(),$V$5:$V$1000,"Sub"),$Y263)))</f>
        <v/>
      </c>
      <c r="AD263" s="62">
        <f>IF($V263="","",IF(AND(ISNUMBER($G263),$G263&lt;=IF($S263=MesCiclo,InicioCiclo,$S263+MOD(2-WEEKDAY($S263),7))+13),1,IF(N($W263)&gt;0,AVERAGEIFS($Z$5:$Z$1000,$U$5:$U$1000,ROW(),$V$5:$V$1000,"Sub"),$Z263)))</f>
        <v/>
      </c>
      <c r="AE263" s="62">
        <f>IF($V263="","",IF(AND(ISNUMBER($G263),$G263&lt;=IF($S263=MesCiclo,InicioCiclo,$S263+MOD(2-WEEKDAY($S263),7))+20),1,IF(N($W263)&gt;0,AVERAGEIFS($AA$5:$AA$1000,$U$5:$U$1000,ROW(),$V$5:$V$1000,"Sub"),$AA263)))</f>
        <v/>
      </c>
      <c r="AF263" s="62">
        <f>IF($V263="","",IF(AND(ISNUMBER($G263),$G263&lt;=IF($S263=MesCiclo,InicioCiclo,$S263+MOD(2-WEEKDAY($S263),7))+27),1,IF(N($W263)&gt;0,AVERAGEIFS($AB$5:$AB$1000,$U$5:$U$1000,ROW(),$V$5:$V$1000,"Sub"),$AB263)))</f>
        <v/>
      </c>
      <c r="AG263" s="62">
        <f>IF($V263&lt;&gt;"Macro","",IF(COUNTIFS($S$5:$S$1000,$S263,$V$5:$V$1000,"Macro",$H$5:$H$1000,"&gt;0")=0,1/COUNTIFS($S$5:$S$1000,$S263,$V$5:$V$1000,"Macro"),IF(AND(ISNUMBER($H263),N($H263)&gt;0),$H263,SUMIFS($H$5:$H$1000,$S$5:$S$1000,$S263,$V$5:$V$1000,"Macro")/COUNTIFS($S$5:$S$1000,$S263,$V$5:$V$1000,"Macro",$H$5:$H$1000,"&gt;0"))/(COUNTIFS($S$5:$S$1000,$S263,$V$5:$V$1000,"Macro")*SUMIFS($H$5:$H$1000,$S$5:$S$1000,$S263,$V$5:$V$1000,"Macro")/COUNTIFS($S$5:$S$1000,$S263,$V$5:$V$1000,"Macro",$H$5:$H$1000,"&gt;0"))))</f>
        <v/>
      </c>
      <c r="AH263" s="62" t="n"/>
      <c r="AI263" s="62" t="n"/>
      <c r="AJ263" s="62" t="n"/>
      <c r="AK263" s="62" t="n"/>
      <c r="AL263" s="62">
        <f>IF(LEFT($C263,11)="[Jefatura] ",IFERROR(MATCH("Riesgo Operacional|"&amp;MID($C263,12,500),rDname_ADM,0),0),"")</f>
        <v/>
      </c>
      <c r="AM263" s="62">
        <f>IF(N($AL263)&gt;0,INDEX(rIni_ADM,$AL263),IF(ISNUMBER($E263),$E263,""))</f>
        <v/>
      </c>
      <c r="AN263" s="62">
        <f>IF(N($AL263)&gt;0,INDEX(rLim_ADM,$AL263),IF(ISNUMBER($F263),$F263,""))</f>
        <v/>
      </c>
    </row>
    <row r="264">
      <c r="A264" s="56">
        <f>IF(NOT((COUNTA($B264:$D264)+COUNTA($G264:$L264)+COUNTA($Q264))&gt;0),"",IF($V264="Macro",COUNTIFS($V$5:$V264,"Macro",$S$5:$S264,$S264),IF(N($U264)=0,"?",COUNTIFS(INDEX($V$5:$V$1000,1):INDEX($V$5:$V$1000,$U264-4),"Macro",INDEX($S$5:$S$1000,1):INDEX($S$5:$S$1000,$U264-4),INDEX($S$5:$S$1000,$U264-4))&amp;"."&amp;COUNTIFS($U$5:$U264,$U264,$V$5:$V264,"Sub"))))</f>
        <v/>
      </c>
      <c r="B264" s="57" t="n"/>
      <c r="C264" s="58" t="n"/>
      <c r="D264" s="58" t="n"/>
      <c r="E264" s="59">
        <f>IF(N($AL264)&gt;0,INDEX(rIni_ADM,$AL264),"")</f>
        <v/>
      </c>
      <c r="F264" s="59">
        <f>IF(N($AL264)&gt;0,INDEX(rLim_ADM,$AL264),"")</f>
        <v/>
      </c>
      <c r="G264" s="59" t="n"/>
      <c r="H264" s="60" t="n"/>
      <c r="I264" s="60" t="n"/>
      <c r="J264" s="60" t="n"/>
      <c r="K264" s="60" t="n"/>
      <c r="L264" s="60" t="n"/>
      <c r="M264" s="61">
        <f>IF(NOT((COUNTA($B264:$D264)+COUNTA($G264:$L264)+COUNTA($Q264))&gt;0),"",IF($V264="Sub",IFERROR($X264/INDEX($W$5:$W$1000,$U264-4),""),IF(ISNUMBER($G264),1,IF(N($W264)&gt;0,AVERAGEIFS($X$5:$X$1000,$U$5:$U$1000,ROW(),$V$5:$V$1000,"Sub"),$X264))))</f>
        <v/>
      </c>
      <c r="N264" s="56">
        <f>IF(OR($M264="",$V264="Sub"),"",IF($M264&gt;=1,"Completado",IF($M264&gt;0,"En curso","Pendiente")))</f>
        <v/>
      </c>
      <c r="O264" s="56">
        <f>IF(OR(NOT((COUNTA($B264:$D264)+COUNTA($G264:$L264)+COUNTA($Q264))&gt;0),$V264="Sub"),"",IF(ISNUMBER($G264),IF(AND(ISNUMBER($AN264),$G264&gt;$AN264),"Cumplida con "&amp;($G264-$AN264)&amp;IF($G264-$AN264=1," día"," días")&amp;" de retraso","Cumplida"),IF(N($M264)&gt;=1,"Cumplida",IF(NOT(ISNUMBER($AN264)),"Sin fecha límite",IF($AN264&lt;FechaRef,"Vencida hace "&amp;(FechaRef-$AN264)&amp;IF(FechaRef-$AN264=1," día"," días"),IF($AN264=FechaRef,"Vence hoy",IF($AN264-FechaRef&lt;=DiasAlerta,"Vence en "&amp;($AN264-FechaRef)&amp;IF($AN264-FechaRef=1," día"," días"),"En plazo")))))))</f>
        <v/>
      </c>
      <c r="P264" s="62" t="n"/>
      <c r="Q264" s="58" t="n"/>
      <c r="R264" s="63">
        <f>IF(NOT((COUNTA($B264:$D264)+COUNTA($G264:$L264)+COUNTA($Q264))&gt;0),"",IF((IF($C264="","Falta el nombre de la actividad"&amp;" · ","")&amp;IF(AND($V264="Sub",N($U264)=0),"Subactividad sin macroactividad arriba"&amp;" · ","")&amp;IF($AM264="","Sin fecha de inicio"&amp;" · ","")&amp;IF($AN264="","Sin fecha límite"&amp;" · ","")&amp;IF(AND(LEFT($C264,11)="[Jefatura] ",N($AL264)=0),"No se encuentra en la hoja de la jefatura (elíjala de nuevo en la lista)"&amp;" · ","")&amp;IF(OR(AND($E264&lt;&gt;"",NOT(ISNUMBER($E264))),AND($F264&lt;&gt;"",NOT(ISNUMBER($F264))),AND($G264&lt;&gt;"",NOT(ISNUMBER($G264)))),"Fecha no válida"&amp;" · ","")&amp;IF(AND(ISNUMBER($AM264),ISNUMBER($AN264),$AM264&gt;$AN264),"Inicio posterior a fecha límite"&amp;" · ","")&amp;IF(AND($V264="Macro",$H264&lt;&gt;"",OR(NOT(ISNUMBER($H264)),$H264&lt;0,$H264&gt;1)),"Peso fuera de rango"&amp;" · ","")&amp;IF(AND($V264="Sub",$H264&lt;&gt;""),"Las subactividades no llevan peso (valen igual dentro de su macroactividad)"&amp;" · ","")&amp;IF(AND(N($W264)&gt;0,COUNT($I264:$L264)&gt;0),"Con subactividades: deje vacías las semanas (se calculan solas)"&amp;" · ","")&amp;IF((COUNTIF($I264:$L264,"&gt;1")+COUNTIF($I264:$L264,"&lt;0")+COUNTA($I264:$L264)-COUNT($I264:$L264))&gt;0,"Avance fuera de rango 0-100%"&amp;" · ","")&amp;IF(OR(AND($J264&lt;&gt;"",$J264&lt;$I264),AND($K264&lt;&gt;"",$K264&lt;MAX($I264:$J264)),AND($L264&lt;&gt;"",$L264&lt;MAX($I264:$K264))),"Avance semanal decreciente"&amp;" · ","")&amp;IF(AND(ISNUMBER($AN264),$AN264&lt;FechaRef,IF($V264="Sub",N($X264),N($M264))&lt;1),"Vencida"&amp;" · ","")&amp;IF(AND(ObsObligatoria="Sí",ISNUMBER($AN264),$AN264&lt;FechaRef,IF($V264="Sub",N($X264),N($M264))&lt;1,$Q264=""),"Vencida sin observación"&amp;" · ",""))="","✔ OK","⚠ "&amp;LEFT(IF($C264="","Falta el nombre de la actividad"&amp;" · ","")&amp;IF(AND($V264="Sub",N($U264)=0),"Subactividad sin macroactividad arriba"&amp;" · ","")&amp;IF($AM264="","Sin fecha de inicio"&amp;" · ","")&amp;IF($AN264="","Sin fecha límite"&amp;" · ","")&amp;IF(AND(LEFT($C264,11)="[Jefatura] ",N($AL264)=0),"No se encuentra en la hoja de la jefatura (elíjala de nuevo en la lista)"&amp;" · ","")&amp;IF(OR(AND($E264&lt;&gt;"",NOT(ISNUMBER($E264))),AND($F264&lt;&gt;"",NOT(ISNUMBER($F264))),AND($G264&lt;&gt;"",NOT(ISNUMBER($G264)))),"Fecha no válida"&amp;" · ","")&amp;IF(AND(ISNUMBER($AM264),ISNUMBER($AN264),$AM264&gt;$AN264),"Inicio posterior a fecha límite"&amp;" · ","")&amp;IF(AND($V264="Macro",$H264&lt;&gt;"",OR(NOT(ISNUMBER($H264)),$H264&lt;0,$H264&gt;1)),"Peso fuera de rango"&amp;" · ","")&amp;IF(AND($V264="Sub",$H264&lt;&gt;""),"Las subactividades no llevan peso (valen igual dentro de su macroactividad)"&amp;" · ","")&amp;IF(AND(N($W264)&gt;0,COUNT($I264:$L264)&gt;0),"Con subactividades: deje vacías las semanas (se calculan solas)"&amp;" · ","")&amp;IF((COUNTIF($I264:$L264,"&gt;1")+COUNTIF($I264:$L264,"&lt;0")+COUNTA($I264:$L264)-COUNT($I264:$L264))&gt;0,"Avance fuera de rango 0-100%"&amp;" · ","")&amp;IF(OR(AND($J264&lt;&gt;"",$J264&lt;$I264),AND($K264&lt;&gt;"",$K264&lt;MAX($I264:$J264)),AND($L264&lt;&gt;"",$L264&lt;MAX($I264:$K264))),"Avance semanal decreciente"&amp;" · ","")&amp;IF(AND(ISNUMBER($AN264),$AN264&lt;FechaRef,IF($V264="Sub",N($X264),N($M264))&lt;1),"Vencida"&amp;" · ","")&amp;IF(AND(ObsObligatoria="Sí",ISNUMBER($AN264),$AN264&lt;FechaRef,IF($V264="Sub",N($X264),N($M264))&lt;1,$Q264=""),"Vencida sin observación"&amp;" · ",""),LEN(IF($C264="","Falta el nombre de la actividad"&amp;" · ","")&amp;IF(AND($V264="Sub",N($U264)=0),"Subactividad sin macroactividad arriba"&amp;" · ","")&amp;IF($AM264="","Sin fecha de inicio"&amp;" · ","")&amp;IF($AN264="","Sin fecha límite"&amp;" · ","")&amp;IF(AND(LEFT($C264,11)="[Jefatura] ",N($AL264)=0),"No se encuentra en la hoja de la jefatura (elíjala de nuevo en la lista)"&amp;" · ","")&amp;IF(OR(AND($E264&lt;&gt;"",NOT(ISNUMBER($E264))),AND($F264&lt;&gt;"",NOT(ISNUMBER($F264))),AND($G264&lt;&gt;"",NOT(ISNUMBER($G264)))),"Fecha no válida"&amp;" · ","")&amp;IF(AND(ISNUMBER($AM264),ISNUMBER($AN264),$AM264&gt;$AN264),"Inicio posterior a fecha límite"&amp;" · ","")&amp;IF(AND($V264="Macro",$H264&lt;&gt;"",OR(NOT(ISNUMBER($H264)),$H264&lt;0,$H264&gt;1)),"Peso fuera de rango"&amp;" · ","")&amp;IF(AND($V264="Sub",$H264&lt;&gt;""),"Las subactividades no llevan peso (valen igual dentro de su macroactividad)"&amp;" · ","")&amp;IF(AND(N($W264)&gt;0,COUNT($I264:$L264)&gt;0),"Con subactividades: deje vacías las semanas (se calculan solas)"&amp;" · ","")&amp;IF((COUNTIF($I264:$L264,"&gt;1")+COUNTIF($I264:$L264,"&lt;0")+COUNTA($I264:$L264)-COUNT($I264:$L264))&gt;0,"Avance fuera de rango 0-100%"&amp;" · ","")&amp;IF(OR(AND($J264&lt;&gt;"",$J264&lt;$I264),AND($K264&lt;&gt;"",$K264&lt;MAX($I264:$J264)),AND($L264&lt;&gt;"",$L264&lt;MAX($I264:$K264))),"Avance semanal decreciente"&amp;" · ","")&amp;IF(AND(ISNUMBER($AN264),$AN264&lt;FechaRef,IF($V264="Sub",N($X264),N($M264))&lt;1),"Vencida"&amp;" · ","")&amp;IF(AND(ObsObligatoria="Sí",ISNUMBER($AN264),$AN264&lt;FechaRef,IF($V264="Sub",N($X264),N($M264))&lt;1,$Q264=""),"Vencida sin observación"&amp;" · ",""))-3)))</f>
        <v/>
      </c>
      <c r="S264" s="64">
        <f>IF(NOT((COUNTA($B264:$D264)+COUNTA($G264:$L264)+COUNTA($Q264))&gt;0),"",IF(AND($V264="Sub",N($U264)&gt;0),IF(ISNUMBER(INDEX($AM$5:$AM$1000,$U264-4)),DATE(YEAR(INDEX($AM$5:$AM$1000,$U264-4)),MONTH(INDEX($AM$5:$AM$1000,$U264-4)),1),IF(ISNUMBER(INDEX($AN$5:$AN$1000,$U264-4)),DATE(YEAR(INDEX($AN$5:$AN$1000,$U264-4)),MONTH(INDEX($AN$5:$AN$1000,$U264-4)),1),MesCiclo)),IF(ISNUMBER($AM264),DATE(YEAR($AM264),MONTH($AM264),1),IF(ISNUMBER($AN264),DATE(YEAR($AN264),MONTH($AN264),1),MesCiclo))))</f>
        <v/>
      </c>
      <c r="T264" s="62">
        <f>IF(OR($S264="",$S264&lt;&gt;MesCiclo,$V264&lt;&gt;"Macro"),"",COUNTIFS($S$5:$S264,MesCiclo,$V$5:$V264,"Macro"))</f>
        <v/>
      </c>
      <c r="U264" s="62">
        <f>IF($V264="","",IF($V264="Macro",ROW(),IFERROR(LOOKUP(2,1/($V$5:$V264="Macro"),ROW($V$5:$V264)),0)))</f>
        <v/>
      </c>
      <c r="V264" s="62">
        <f>IF(NOT((COUNTA($B264:$D264)+COUNTA($G264:$L264)+COUNTA($Q264))&gt;0),"",IF($B264="Subactividad","Sub","Macro"))</f>
        <v/>
      </c>
      <c r="W264" s="62">
        <f>IF($V264="Macro",COUNTIFS($U$5:$U$1000,ROW(),$V$5:$V$1000,"Sub"),"")</f>
        <v/>
      </c>
      <c r="X264" s="62">
        <f>IF($V264="","",IF(ISNUMBER($G264),1,IFERROR(LOOKUP(2,1/($I264:$L264&lt;&gt;""),$I264:$L264),0)))</f>
        <v/>
      </c>
      <c r="Y264" s="62">
        <f>IF($V264="","",IF(AND(ISNUMBER($G264),$G264&lt;=IF($S264=MesCiclo,InicioCiclo,$S264+MOD(2-WEEKDAY($S264),7))+6),1,IF(ISNUMBER($I264),$I264,0)))</f>
        <v/>
      </c>
      <c r="Z264" s="62">
        <f>IF($V264="","",IF(AND(ISNUMBER($G264),$G264&lt;=IF($S264=MesCiclo,InicioCiclo,$S264+MOD(2-WEEKDAY($S264),7))+13),1,IF(ISNUMBER($J264),$J264,$Y264)))</f>
        <v/>
      </c>
      <c r="AA264" s="62">
        <f>IF($V264="","",IF(AND(ISNUMBER($G264),$G264&lt;=IF($S264=MesCiclo,InicioCiclo,$S264+MOD(2-WEEKDAY($S264),7))+20),1,IF(ISNUMBER($K264),$K264,$Z264)))</f>
        <v/>
      </c>
      <c r="AB264" s="62">
        <f>IF($V264="","",IF(AND(ISNUMBER($G264),$G264&lt;=IF($S264=MesCiclo,InicioCiclo,$S264+MOD(2-WEEKDAY($S264),7))+27),1,IF(ISNUMBER($L264),$L264,$AA264)))</f>
        <v/>
      </c>
      <c r="AC264" s="62">
        <f>IF($V264="","",IF(AND(ISNUMBER($G264),$G264&lt;=IF($S264=MesCiclo,InicioCiclo,$S264+MOD(2-WEEKDAY($S264),7))+6),1,IF(N($W264)&gt;0,AVERAGEIFS($Y$5:$Y$1000,$U$5:$U$1000,ROW(),$V$5:$V$1000,"Sub"),$Y264)))</f>
        <v/>
      </c>
      <c r="AD264" s="62">
        <f>IF($V264="","",IF(AND(ISNUMBER($G264),$G264&lt;=IF($S264=MesCiclo,InicioCiclo,$S264+MOD(2-WEEKDAY($S264),7))+13),1,IF(N($W264)&gt;0,AVERAGEIFS($Z$5:$Z$1000,$U$5:$U$1000,ROW(),$V$5:$V$1000,"Sub"),$Z264)))</f>
        <v/>
      </c>
      <c r="AE264" s="62">
        <f>IF($V264="","",IF(AND(ISNUMBER($G264),$G264&lt;=IF($S264=MesCiclo,InicioCiclo,$S264+MOD(2-WEEKDAY($S264),7))+20),1,IF(N($W264)&gt;0,AVERAGEIFS($AA$5:$AA$1000,$U$5:$U$1000,ROW(),$V$5:$V$1000,"Sub"),$AA264)))</f>
        <v/>
      </c>
      <c r="AF264" s="62">
        <f>IF($V264="","",IF(AND(ISNUMBER($G264),$G264&lt;=IF($S264=MesCiclo,InicioCiclo,$S264+MOD(2-WEEKDAY($S264),7))+27),1,IF(N($W264)&gt;0,AVERAGEIFS($AB$5:$AB$1000,$U$5:$U$1000,ROW(),$V$5:$V$1000,"Sub"),$AB264)))</f>
        <v/>
      </c>
      <c r="AG264" s="62">
        <f>IF($V264&lt;&gt;"Macro","",IF(COUNTIFS($S$5:$S$1000,$S264,$V$5:$V$1000,"Macro",$H$5:$H$1000,"&gt;0")=0,1/COUNTIFS($S$5:$S$1000,$S264,$V$5:$V$1000,"Macro"),IF(AND(ISNUMBER($H264),N($H264)&gt;0),$H264,SUMIFS($H$5:$H$1000,$S$5:$S$1000,$S264,$V$5:$V$1000,"Macro")/COUNTIFS($S$5:$S$1000,$S264,$V$5:$V$1000,"Macro",$H$5:$H$1000,"&gt;0"))/(COUNTIFS($S$5:$S$1000,$S264,$V$5:$V$1000,"Macro")*SUMIFS($H$5:$H$1000,$S$5:$S$1000,$S264,$V$5:$V$1000,"Macro")/COUNTIFS($S$5:$S$1000,$S264,$V$5:$V$1000,"Macro",$H$5:$H$1000,"&gt;0"))))</f>
        <v/>
      </c>
      <c r="AH264" s="62" t="n"/>
      <c r="AI264" s="62" t="n"/>
      <c r="AJ264" s="62" t="n"/>
      <c r="AK264" s="62" t="n"/>
      <c r="AL264" s="62">
        <f>IF(LEFT($C264,11)="[Jefatura] ",IFERROR(MATCH("Riesgo Operacional|"&amp;MID($C264,12,500),rDname_ADM,0),0),"")</f>
        <v/>
      </c>
      <c r="AM264" s="62">
        <f>IF(N($AL264)&gt;0,INDEX(rIni_ADM,$AL264),IF(ISNUMBER($E264),$E264,""))</f>
        <v/>
      </c>
      <c r="AN264" s="62">
        <f>IF(N($AL264)&gt;0,INDEX(rLim_ADM,$AL264),IF(ISNUMBER($F264),$F264,""))</f>
        <v/>
      </c>
    </row>
    <row r="265">
      <c r="A265" s="56">
        <f>IF(NOT((COUNTA($B265:$D265)+COUNTA($G265:$L265)+COUNTA($Q265))&gt;0),"",IF($V265="Macro",COUNTIFS($V$5:$V265,"Macro",$S$5:$S265,$S265),IF(N($U265)=0,"?",COUNTIFS(INDEX($V$5:$V$1000,1):INDEX($V$5:$V$1000,$U265-4),"Macro",INDEX($S$5:$S$1000,1):INDEX($S$5:$S$1000,$U265-4),INDEX($S$5:$S$1000,$U265-4))&amp;"."&amp;COUNTIFS($U$5:$U265,$U265,$V$5:$V265,"Sub"))))</f>
        <v/>
      </c>
      <c r="B265" s="57" t="n"/>
      <c r="C265" s="58" t="n"/>
      <c r="D265" s="58" t="n"/>
      <c r="E265" s="59">
        <f>IF(N($AL265)&gt;0,INDEX(rIni_ADM,$AL265),"")</f>
        <v/>
      </c>
      <c r="F265" s="59">
        <f>IF(N($AL265)&gt;0,INDEX(rLim_ADM,$AL265),"")</f>
        <v/>
      </c>
      <c r="G265" s="59" t="n"/>
      <c r="H265" s="60" t="n"/>
      <c r="I265" s="60" t="n"/>
      <c r="J265" s="60" t="n"/>
      <c r="K265" s="60" t="n"/>
      <c r="L265" s="60" t="n"/>
      <c r="M265" s="61">
        <f>IF(NOT((COUNTA($B265:$D265)+COUNTA($G265:$L265)+COUNTA($Q265))&gt;0),"",IF($V265="Sub",IFERROR($X265/INDEX($W$5:$W$1000,$U265-4),""),IF(ISNUMBER($G265),1,IF(N($W265)&gt;0,AVERAGEIFS($X$5:$X$1000,$U$5:$U$1000,ROW(),$V$5:$V$1000,"Sub"),$X265))))</f>
        <v/>
      </c>
      <c r="N265" s="56">
        <f>IF(OR($M265="",$V265="Sub"),"",IF($M265&gt;=1,"Completado",IF($M265&gt;0,"En curso","Pendiente")))</f>
        <v/>
      </c>
      <c r="O265" s="56">
        <f>IF(OR(NOT((COUNTA($B265:$D265)+COUNTA($G265:$L265)+COUNTA($Q265))&gt;0),$V265="Sub"),"",IF(ISNUMBER($G265),IF(AND(ISNUMBER($AN265),$G265&gt;$AN265),"Cumplida con "&amp;($G265-$AN265)&amp;IF($G265-$AN265=1," día"," días")&amp;" de retraso","Cumplida"),IF(N($M265)&gt;=1,"Cumplida",IF(NOT(ISNUMBER($AN265)),"Sin fecha límite",IF($AN265&lt;FechaRef,"Vencida hace "&amp;(FechaRef-$AN265)&amp;IF(FechaRef-$AN265=1," día"," días"),IF($AN265=FechaRef,"Vence hoy",IF($AN265-FechaRef&lt;=DiasAlerta,"Vence en "&amp;($AN265-FechaRef)&amp;IF($AN265-FechaRef=1," día"," días"),"En plazo")))))))</f>
        <v/>
      </c>
      <c r="P265" s="62" t="n"/>
      <c r="Q265" s="58" t="n"/>
      <c r="R265" s="63">
        <f>IF(NOT((COUNTA($B265:$D265)+COUNTA($G265:$L265)+COUNTA($Q265))&gt;0),"",IF((IF($C265="","Falta el nombre de la actividad"&amp;" · ","")&amp;IF(AND($V265="Sub",N($U265)=0),"Subactividad sin macroactividad arriba"&amp;" · ","")&amp;IF($AM265="","Sin fecha de inicio"&amp;" · ","")&amp;IF($AN265="","Sin fecha límite"&amp;" · ","")&amp;IF(AND(LEFT($C265,11)="[Jefatura] ",N($AL265)=0),"No se encuentra en la hoja de la jefatura (elíjala de nuevo en la lista)"&amp;" · ","")&amp;IF(OR(AND($E265&lt;&gt;"",NOT(ISNUMBER($E265))),AND($F265&lt;&gt;"",NOT(ISNUMBER($F265))),AND($G265&lt;&gt;"",NOT(ISNUMBER($G265)))),"Fecha no válida"&amp;" · ","")&amp;IF(AND(ISNUMBER($AM265),ISNUMBER($AN265),$AM265&gt;$AN265),"Inicio posterior a fecha límite"&amp;" · ","")&amp;IF(AND($V265="Macro",$H265&lt;&gt;"",OR(NOT(ISNUMBER($H265)),$H265&lt;0,$H265&gt;1)),"Peso fuera de rango"&amp;" · ","")&amp;IF(AND($V265="Sub",$H265&lt;&gt;""),"Las subactividades no llevan peso (valen igual dentro de su macroactividad)"&amp;" · ","")&amp;IF(AND(N($W265)&gt;0,COUNT($I265:$L265)&gt;0),"Con subactividades: deje vacías las semanas (se calculan solas)"&amp;" · ","")&amp;IF((COUNTIF($I265:$L265,"&gt;1")+COUNTIF($I265:$L265,"&lt;0")+COUNTA($I265:$L265)-COUNT($I265:$L265))&gt;0,"Avance fuera de rango 0-100%"&amp;" · ","")&amp;IF(OR(AND($J265&lt;&gt;"",$J265&lt;$I265),AND($K265&lt;&gt;"",$K265&lt;MAX($I265:$J265)),AND($L265&lt;&gt;"",$L265&lt;MAX($I265:$K265))),"Avance semanal decreciente"&amp;" · ","")&amp;IF(AND(ISNUMBER($AN265),$AN265&lt;FechaRef,IF($V265="Sub",N($X265),N($M265))&lt;1),"Vencida"&amp;" · ","")&amp;IF(AND(ObsObligatoria="Sí",ISNUMBER($AN265),$AN265&lt;FechaRef,IF($V265="Sub",N($X265),N($M265))&lt;1,$Q265=""),"Vencida sin observación"&amp;" · ",""))="","✔ OK","⚠ "&amp;LEFT(IF($C265="","Falta el nombre de la actividad"&amp;" · ","")&amp;IF(AND($V265="Sub",N($U265)=0),"Subactividad sin macroactividad arriba"&amp;" · ","")&amp;IF($AM265="","Sin fecha de inicio"&amp;" · ","")&amp;IF($AN265="","Sin fecha límite"&amp;" · ","")&amp;IF(AND(LEFT($C265,11)="[Jefatura] ",N($AL265)=0),"No se encuentra en la hoja de la jefatura (elíjala de nuevo en la lista)"&amp;" · ","")&amp;IF(OR(AND($E265&lt;&gt;"",NOT(ISNUMBER($E265))),AND($F265&lt;&gt;"",NOT(ISNUMBER($F265))),AND($G265&lt;&gt;"",NOT(ISNUMBER($G265)))),"Fecha no válida"&amp;" · ","")&amp;IF(AND(ISNUMBER($AM265),ISNUMBER($AN265),$AM265&gt;$AN265),"Inicio posterior a fecha límite"&amp;" · ","")&amp;IF(AND($V265="Macro",$H265&lt;&gt;"",OR(NOT(ISNUMBER($H265)),$H265&lt;0,$H265&gt;1)),"Peso fuera de rango"&amp;" · ","")&amp;IF(AND($V265="Sub",$H265&lt;&gt;""),"Las subactividades no llevan peso (valen igual dentro de su macroactividad)"&amp;" · ","")&amp;IF(AND(N($W265)&gt;0,COUNT($I265:$L265)&gt;0),"Con subactividades: deje vacías las semanas (se calculan solas)"&amp;" · ","")&amp;IF((COUNTIF($I265:$L265,"&gt;1")+COUNTIF($I265:$L265,"&lt;0")+COUNTA($I265:$L265)-COUNT($I265:$L265))&gt;0,"Avance fuera de rango 0-100%"&amp;" · ","")&amp;IF(OR(AND($J265&lt;&gt;"",$J265&lt;$I265),AND($K265&lt;&gt;"",$K265&lt;MAX($I265:$J265)),AND($L265&lt;&gt;"",$L265&lt;MAX($I265:$K265))),"Avance semanal decreciente"&amp;" · ","")&amp;IF(AND(ISNUMBER($AN265),$AN265&lt;FechaRef,IF($V265="Sub",N($X265),N($M265))&lt;1),"Vencida"&amp;" · ","")&amp;IF(AND(ObsObligatoria="Sí",ISNUMBER($AN265),$AN265&lt;FechaRef,IF($V265="Sub",N($X265),N($M265))&lt;1,$Q265=""),"Vencida sin observación"&amp;" · ",""),LEN(IF($C265="","Falta el nombre de la actividad"&amp;" · ","")&amp;IF(AND($V265="Sub",N($U265)=0),"Subactividad sin macroactividad arriba"&amp;" · ","")&amp;IF($AM265="","Sin fecha de inicio"&amp;" · ","")&amp;IF($AN265="","Sin fecha límite"&amp;" · ","")&amp;IF(AND(LEFT($C265,11)="[Jefatura] ",N($AL265)=0),"No se encuentra en la hoja de la jefatura (elíjala de nuevo en la lista)"&amp;" · ","")&amp;IF(OR(AND($E265&lt;&gt;"",NOT(ISNUMBER($E265))),AND($F265&lt;&gt;"",NOT(ISNUMBER($F265))),AND($G265&lt;&gt;"",NOT(ISNUMBER($G265)))),"Fecha no válida"&amp;" · ","")&amp;IF(AND(ISNUMBER($AM265),ISNUMBER($AN265),$AM265&gt;$AN265),"Inicio posterior a fecha límite"&amp;" · ","")&amp;IF(AND($V265="Macro",$H265&lt;&gt;"",OR(NOT(ISNUMBER($H265)),$H265&lt;0,$H265&gt;1)),"Peso fuera de rango"&amp;" · ","")&amp;IF(AND($V265="Sub",$H265&lt;&gt;""),"Las subactividades no llevan peso (valen igual dentro de su macroactividad)"&amp;" · ","")&amp;IF(AND(N($W265)&gt;0,COUNT($I265:$L265)&gt;0),"Con subactividades: deje vacías las semanas (se calculan solas)"&amp;" · ","")&amp;IF((COUNTIF($I265:$L265,"&gt;1")+COUNTIF($I265:$L265,"&lt;0")+COUNTA($I265:$L265)-COUNT($I265:$L265))&gt;0,"Avance fuera de rango 0-100%"&amp;" · ","")&amp;IF(OR(AND($J265&lt;&gt;"",$J265&lt;$I265),AND($K265&lt;&gt;"",$K265&lt;MAX($I265:$J265)),AND($L265&lt;&gt;"",$L265&lt;MAX($I265:$K265))),"Avance semanal decreciente"&amp;" · ","")&amp;IF(AND(ISNUMBER($AN265),$AN265&lt;FechaRef,IF($V265="Sub",N($X265),N($M265))&lt;1),"Vencida"&amp;" · ","")&amp;IF(AND(ObsObligatoria="Sí",ISNUMBER($AN265),$AN265&lt;FechaRef,IF($V265="Sub",N($X265),N($M265))&lt;1,$Q265=""),"Vencida sin observación"&amp;" · ",""))-3)))</f>
        <v/>
      </c>
      <c r="S265" s="64">
        <f>IF(NOT((COUNTA($B265:$D265)+COUNTA($G265:$L265)+COUNTA($Q265))&gt;0),"",IF(AND($V265="Sub",N($U265)&gt;0),IF(ISNUMBER(INDEX($AM$5:$AM$1000,$U265-4)),DATE(YEAR(INDEX($AM$5:$AM$1000,$U265-4)),MONTH(INDEX($AM$5:$AM$1000,$U265-4)),1),IF(ISNUMBER(INDEX($AN$5:$AN$1000,$U265-4)),DATE(YEAR(INDEX($AN$5:$AN$1000,$U265-4)),MONTH(INDEX($AN$5:$AN$1000,$U265-4)),1),MesCiclo)),IF(ISNUMBER($AM265),DATE(YEAR($AM265),MONTH($AM265),1),IF(ISNUMBER($AN265),DATE(YEAR($AN265),MONTH($AN265),1),MesCiclo))))</f>
        <v/>
      </c>
      <c r="T265" s="62">
        <f>IF(OR($S265="",$S265&lt;&gt;MesCiclo,$V265&lt;&gt;"Macro"),"",COUNTIFS($S$5:$S265,MesCiclo,$V$5:$V265,"Macro"))</f>
        <v/>
      </c>
      <c r="U265" s="62">
        <f>IF($V265="","",IF($V265="Macro",ROW(),IFERROR(LOOKUP(2,1/($V$5:$V265="Macro"),ROW($V$5:$V265)),0)))</f>
        <v/>
      </c>
      <c r="V265" s="62">
        <f>IF(NOT((COUNTA($B265:$D265)+COUNTA($G265:$L265)+COUNTA($Q265))&gt;0),"",IF($B265="Subactividad","Sub","Macro"))</f>
        <v/>
      </c>
      <c r="W265" s="62">
        <f>IF($V265="Macro",COUNTIFS($U$5:$U$1000,ROW(),$V$5:$V$1000,"Sub"),"")</f>
        <v/>
      </c>
      <c r="X265" s="62">
        <f>IF($V265="","",IF(ISNUMBER($G265),1,IFERROR(LOOKUP(2,1/($I265:$L265&lt;&gt;""),$I265:$L265),0)))</f>
        <v/>
      </c>
      <c r="Y265" s="62">
        <f>IF($V265="","",IF(AND(ISNUMBER($G265),$G265&lt;=IF($S265=MesCiclo,InicioCiclo,$S265+MOD(2-WEEKDAY($S265),7))+6),1,IF(ISNUMBER($I265),$I265,0)))</f>
        <v/>
      </c>
      <c r="Z265" s="62">
        <f>IF($V265="","",IF(AND(ISNUMBER($G265),$G265&lt;=IF($S265=MesCiclo,InicioCiclo,$S265+MOD(2-WEEKDAY($S265),7))+13),1,IF(ISNUMBER($J265),$J265,$Y265)))</f>
        <v/>
      </c>
      <c r="AA265" s="62">
        <f>IF($V265="","",IF(AND(ISNUMBER($G265),$G265&lt;=IF($S265=MesCiclo,InicioCiclo,$S265+MOD(2-WEEKDAY($S265),7))+20),1,IF(ISNUMBER($K265),$K265,$Z265)))</f>
        <v/>
      </c>
      <c r="AB265" s="62">
        <f>IF($V265="","",IF(AND(ISNUMBER($G265),$G265&lt;=IF($S265=MesCiclo,InicioCiclo,$S265+MOD(2-WEEKDAY($S265),7))+27),1,IF(ISNUMBER($L265),$L265,$AA265)))</f>
        <v/>
      </c>
      <c r="AC265" s="62">
        <f>IF($V265="","",IF(AND(ISNUMBER($G265),$G265&lt;=IF($S265=MesCiclo,InicioCiclo,$S265+MOD(2-WEEKDAY($S265),7))+6),1,IF(N($W265)&gt;0,AVERAGEIFS($Y$5:$Y$1000,$U$5:$U$1000,ROW(),$V$5:$V$1000,"Sub"),$Y265)))</f>
        <v/>
      </c>
      <c r="AD265" s="62">
        <f>IF($V265="","",IF(AND(ISNUMBER($G265),$G265&lt;=IF($S265=MesCiclo,InicioCiclo,$S265+MOD(2-WEEKDAY($S265),7))+13),1,IF(N($W265)&gt;0,AVERAGEIFS($Z$5:$Z$1000,$U$5:$U$1000,ROW(),$V$5:$V$1000,"Sub"),$Z265)))</f>
        <v/>
      </c>
      <c r="AE265" s="62">
        <f>IF($V265="","",IF(AND(ISNUMBER($G265),$G265&lt;=IF($S265=MesCiclo,InicioCiclo,$S265+MOD(2-WEEKDAY($S265),7))+20),1,IF(N($W265)&gt;0,AVERAGEIFS($AA$5:$AA$1000,$U$5:$U$1000,ROW(),$V$5:$V$1000,"Sub"),$AA265)))</f>
        <v/>
      </c>
      <c r="AF265" s="62">
        <f>IF($V265="","",IF(AND(ISNUMBER($G265),$G265&lt;=IF($S265=MesCiclo,InicioCiclo,$S265+MOD(2-WEEKDAY($S265),7))+27),1,IF(N($W265)&gt;0,AVERAGEIFS($AB$5:$AB$1000,$U$5:$U$1000,ROW(),$V$5:$V$1000,"Sub"),$AB265)))</f>
        <v/>
      </c>
      <c r="AG265" s="62">
        <f>IF($V265&lt;&gt;"Macro","",IF(COUNTIFS($S$5:$S$1000,$S265,$V$5:$V$1000,"Macro",$H$5:$H$1000,"&gt;0")=0,1/COUNTIFS($S$5:$S$1000,$S265,$V$5:$V$1000,"Macro"),IF(AND(ISNUMBER($H265),N($H265)&gt;0),$H265,SUMIFS($H$5:$H$1000,$S$5:$S$1000,$S265,$V$5:$V$1000,"Macro")/COUNTIFS($S$5:$S$1000,$S265,$V$5:$V$1000,"Macro",$H$5:$H$1000,"&gt;0"))/(COUNTIFS($S$5:$S$1000,$S265,$V$5:$V$1000,"Macro")*SUMIFS($H$5:$H$1000,$S$5:$S$1000,$S265,$V$5:$V$1000,"Macro")/COUNTIFS($S$5:$S$1000,$S265,$V$5:$V$1000,"Macro",$H$5:$H$1000,"&gt;0"))))</f>
        <v/>
      </c>
      <c r="AH265" s="62" t="n"/>
      <c r="AI265" s="62" t="n"/>
      <c r="AJ265" s="62" t="n"/>
      <c r="AK265" s="62" t="n"/>
      <c r="AL265" s="62">
        <f>IF(LEFT($C265,11)="[Jefatura] ",IFERROR(MATCH("Riesgo Operacional|"&amp;MID($C265,12,500),rDname_ADM,0),0),"")</f>
        <v/>
      </c>
      <c r="AM265" s="62">
        <f>IF(N($AL265)&gt;0,INDEX(rIni_ADM,$AL265),IF(ISNUMBER($E265),$E265,""))</f>
        <v/>
      </c>
      <c r="AN265" s="62">
        <f>IF(N($AL265)&gt;0,INDEX(rLim_ADM,$AL265),IF(ISNUMBER($F265),$F265,""))</f>
        <v/>
      </c>
    </row>
    <row r="266">
      <c r="A266" s="56">
        <f>IF(NOT((COUNTA($B266:$D266)+COUNTA($G266:$L266)+COUNTA($Q266))&gt;0),"",IF($V266="Macro",COUNTIFS($V$5:$V266,"Macro",$S$5:$S266,$S266),IF(N($U266)=0,"?",COUNTIFS(INDEX($V$5:$V$1000,1):INDEX($V$5:$V$1000,$U266-4),"Macro",INDEX($S$5:$S$1000,1):INDEX($S$5:$S$1000,$U266-4),INDEX($S$5:$S$1000,$U266-4))&amp;"."&amp;COUNTIFS($U$5:$U266,$U266,$V$5:$V266,"Sub"))))</f>
        <v/>
      </c>
      <c r="B266" s="57" t="n"/>
      <c r="C266" s="58" t="n"/>
      <c r="D266" s="58" t="n"/>
      <c r="E266" s="59">
        <f>IF(N($AL266)&gt;0,INDEX(rIni_ADM,$AL266),"")</f>
        <v/>
      </c>
      <c r="F266" s="59">
        <f>IF(N($AL266)&gt;0,INDEX(rLim_ADM,$AL266),"")</f>
        <v/>
      </c>
      <c r="G266" s="59" t="n"/>
      <c r="H266" s="60" t="n"/>
      <c r="I266" s="60" t="n"/>
      <c r="J266" s="60" t="n"/>
      <c r="K266" s="60" t="n"/>
      <c r="L266" s="60" t="n"/>
      <c r="M266" s="61">
        <f>IF(NOT((COUNTA($B266:$D266)+COUNTA($G266:$L266)+COUNTA($Q266))&gt;0),"",IF($V266="Sub",IFERROR($X266/INDEX($W$5:$W$1000,$U266-4),""),IF(ISNUMBER($G266),1,IF(N($W266)&gt;0,AVERAGEIFS($X$5:$X$1000,$U$5:$U$1000,ROW(),$V$5:$V$1000,"Sub"),$X266))))</f>
        <v/>
      </c>
      <c r="N266" s="56">
        <f>IF(OR($M266="",$V266="Sub"),"",IF($M266&gt;=1,"Completado",IF($M266&gt;0,"En curso","Pendiente")))</f>
        <v/>
      </c>
      <c r="O266" s="56">
        <f>IF(OR(NOT((COUNTA($B266:$D266)+COUNTA($G266:$L266)+COUNTA($Q266))&gt;0),$V266="Sub"),"",IF(ISNUMBER($G266),IF(AND(ISNUMBER($AN266),$G266&gt;$AN266),"Cumplida con "&amp;($G266-$AN266)&amp;IF($G266-$AN266=1," día"," días")&amp;" de retraso","Cumplida"),IF(N($M266)&gt;=1,"Cumplida",IF(NOT(ISNUMBER($AN266)),"Sin fecha límite",IF($AN266&lt;FechaRef,"Vencida hace "&amp;(FechaRef-$AN266)&amp;IF(FechaRef-$AN266=1," día"," días"),IF($AN266=FechaRef,"Vence hoy",IF($AN266-FechaRef&lt;=DiasAlerta,"Vence en "&amp;($AN266-FechaRef)&amp;IF($AN266-FechaRef=1," día"," días"),"En plazo")))))))</f>
        <v/>
      </c>
      <c r="P266" s="62" t="n"/>
      <c r="Q266" s="58" t="n"/>
      <c r="R266" s="63">
        <f>IF(NOT((COUNTA($B266:$D266)+COUNTA($G266:$L266)+COUNTA($Q266))&gt;0),"",IF((IF($C266="","Falta el nombre de la actividad"&amp;" · ","")&amp;IF(AND($V266="Sub",N($U266)=0),"Subactividad sin macroactividad arriba"&amp;" · ","")&amp;IF($AM266="","Sin fecha de inicio"&amp;" · ","")&amp;IF($AN266="","Sin fecha límite"&amp;" · ","")&amp;IF(AND(LEFT($C266,11)="[Jefatura] ",N($AL266)=0),"No se encuentra en la hoja de la jefatura (elíjala de nuevo en la lista)"&amp;" · ","")&amp;IF(OR(AND($E266&lt;&gt;"",NOT(ISNUMBER($E266))),AND($F266&lt;&gt;"",NOT(ISNUMBER($F266))),AND($G266&lt;&gt;"",NOT(ISNUMBER($G266)))),"Fecha no válida"&amp;" · ","")&amp;IF(AND(ISNUMBER($AM266),ISNUMBER($AN266),$AM266&gt;$AN266),"Inicio posterior a fecha límite"&amp;" · ","")&amp;IF(AND($V266="Macro",$H266&lt;&gt;"",OR(NOT(ISNUMBER($H266)),$H266&lt;0,$H266&gt;1)),"Peso fuera de rango"&amp;" · ","")&amp;IF(AND($V266="Sub",$H266&lt;&gt;""),"Las subactividades no llevan peso (valen igual dentro de su macroactividad)"&amp;" · ","")&amp;IF(AND(N($W266)&gt;0,COUNT($I266:$L266)&gt;0),"Con subactividades: deje vacías las semanas (se calculan solas)"&amp;" · ","")&amp;IF((COUNTIF($I266:$L266,"&gt;1")+COUNTIF($I266:$L266,"&lt;0")+COUNTA($I266:$L266)-COUNT($I266:$L266))&gt;0,"Avance fuera de rango 0-100%"&amp;" · ","")&amp;IF(OR(AND($J266&lt;&gt;"",$J266&lt;$I266),AND($K266&lt;&gt;"",$K266&lt;MAX($I266:$J266)),AND($L266&lt;&gt;"",$L266&lt;MAX($I266:$K266))),"Avance semanal decreciente"&amp;" · ","")&amp;IF(AND(ISNUMBER($AN266),$AN266&lt;FechaRef,IF($V266="Sub",N($X266),N($M266))&lt;1),"Vencida"&amp;" · ","")&amp;IF(AND(ObsObligatoria="Sí",ISNUMBER($AN266),$AN266&lt;FechaRef,IF($V266="Sub",N($X266),N($M266))&lt;1,$Q266=""),"Vencida sin observación"&amp;" · ",""))="","✔ OK","⚠ "&amp;LEFT(IF($C266="","Falta el nombre de la actividad"&amp;" · ","")&amp;IF(AND($V266="Sub",N($U266)=0),"Subactividad sin macroactividad arriba"&amp;" · ","")&amp;IF($AM266="","Sin fecha de inicio"&amp;" · ","")&amp;IF($AN266="","Sin fecha límite"&amp;" · ","")&amp;IF(AND(LEFT($C266,11)="[Jefatura] ",N($AL266)=0),"No se encuentra en la hoja de la jefatura (elíjala de nuevo en la lista)"&amp;" · ","")&amp;IF(OR(AND($E266&lt;&gt;"",NOT(ISNUMBER($E266))),AND($F266&lt;&gt;"",NOT(ISNUMBER($F266))),AND($G266&lt;&gt;"",NOT(ISNUMBER($G266)))),"Fecha no válida"&amp;" · ","")&amp;IF(AND(ISNUMBER($AM266),ISNUMBER($AN266),$AM266&gt;$AN266),"Inicio posterior a fecha límite"&amp;" · ","")&amp;IF(AND($V266="Macro",$H266&lt;&gt;"",OR(NOT(ISNUMBER($H266)),$H266&lt;0,$H266&gt;1)),"Peso fuera de rango"&amp;" · ","")&amp;IF(AND($V266="Sub",$H266&lt;&gt;""),"Las subactividades no llevan peso (valen igual dentro de su macroactividad)"&amp;" · ","")&amp;IF(AND(N($W266)&gt;0,COUNT($I266:$L266)&gt;0),"Con subactividades: deje vacías las semanas (se calculan solas)"&amp;" · ","")&amp;IF((COUNTIF($I266:$L266,"&gt;1")+COUNTIF($I266:$L266,"&lt;0")+COUNTA($I266:$L266)-COUNT($I266:$L266))&gt;0,"Avance fuera de rango 0-100%"&amp;" · ","")&amp;IF(OR(AND($J266&lt;&gt;"",$J266&lt;$I266),AND($K266&lt;&gt;"",$K266&lt;MAX($I266:$J266)),AND($L266&lt;&gt;"",$L266&lt;MAX($I266:$K266))),"Avance semanal decreciente"&amp;" · ","")&amp;IF(AND(ISNUMBER($AN266),$AN266&lt;FechaRef,IF($V266="Sub",N($X266),N($M266))&lt;1),"Vencida"&amp;" · ","")&amp;IF(AND(ObsObligatoria="Sí",ISNUMBER($AN266),$AN266&lt;FechaRef,IF($V266="Sub",N($X266),N($M266))&lt;1,$Q266=""),"Vencida sin observación"&amp;" · ",""),LEN(IF($C266="","Falta el nombre de la actividad"&amp;" · ","")&amp;IF(AND($V266="Sub",N($U266)=0),"Subactividad sin macroactividad arriba"&amp;" · ","")&amp;IF($AM266="","Sin fecha de inicio"&amp;" · ","")&amp;IF($AN266="","Sin fecha límite"&amp;" · ","")&amp;IF(AND(LEFT($C266,11)="[Jefatura] ",N($AL266)=0),"No se encuentra en la hoja de la jefatura (elíjala de nuevo en la lista)"&amp;" · ","")&amp;IF(OR(AND($E266&lt;&gt;"",NOT(ISNUMBER($E266))),AND($F266&lt;&gt;"",NOT(ISNUMBER($F266))),AND($G266&lt;&gt;"",NOT(ISNUMBER($G266)))),"Fecha no válida"&amp;" · ","")&amp;IF(AND(ISNUMBER($AM266),ISNUMBER($AN266),$AM266&gt;$AN266),"Inicio posterior a fecha límite"&amp;" · ","")&amp;IF(AND($V266="Macro",$H266&lt;&gt;"",OR(NOT(ISNUMBER($H266)),$H266&lt;0,$H266&gt;1)),"Peso fuera de rango"&amp;" · ","")&amp;IF(AND($V266="Sub",$H266&lt;&gt;""),"Las subactividades no llevan peso (valen igual dentro de su macroactividad)"&amp;" · ","")&amp;IF(AND(N($W266)&gt;0,COUNT($I266:$L266)&gt;0),"Con subactividades: deje vacías las semanas (se calculan solas)"&amp;" · ","")&amp;IF((COUNTIF($I266:$L266,"&gt;1")+COUNTIF($I266:$L266,"&lt;0")+COUNTA($I266:$L266)-COUNT($I266:$L266))&gt;0,"Avance fuera de rango 0-100%"&amp;" · ","")&amp;IF(OR(AND($J266&lt;&gt;"",$J266&lt;$I266),AND($K266&lt;&gt;"",$K266&lt;MAX($I266:$J266)),AND($L266&lt;&gt;"",$L266&lt;MAX($I266:$K266))),"Avance semanal decreciente"&amp;" · ","")&amp;IF(AND(ISNUMBER($AN266),$AN266&lt;FechaRef,IF($V266="Sub",N($X266),N($M266))&lt;1),"Vencida"&amp;" · ","")&amp;IF(AND(ObsObligatoria="Sí",ISNUMBER($AN266),$AN266&lt;FechaRef,IF($V266="Sub",N($X266),N($M266))&lt;1,$Q266=""),"Vencida sin observación"&amp;" · ",""))-3)))</f>
        <v/>
      </c>
      <c r="S266" s="64">
        <f>IF(NOT((COUNTA($B266:$D266)+COUNTA($G266:$L266)+COUNTA($Q266))&gt;0),"",IF(AND($V266="Sub",N($U266)&gt;0),IF(ISNUMBER(INDEX($AM$5:$AM$1000,$U266-4)),DATE(YEAR(INDEX($AM$5:$AM$1000,$U266-4)),MONTH(INDEX($AM$5:$AM$1000,$U266-4)),1),IF(ISNUMBER(INDEX($AN$5:$AN$1000,$U266-4)),DATE(YEAR(INDEX($AN$5:$AN$1000,$U266-4)),MONTH(INDEX($AN$5:$AN$1000,$U266-4)),1),MesCiclo)),IF(ISNUMBER($AM266),DATE(YEAR($AM266),MONTH($AM266),1),IF(ISNUMBER($AN266),DATE(YEAR($AN266),MONTH($AN266),1),MesCiclo))))</f>
        <v/>
      </c>
      <c r="T266" s="62">
        <f>IF(OR($S266="",$S266&lt;&gt;MesCiclo,$V266&lt;&gt;"Macro"),"",COUNTIFS($S$5:$S266,MesCiclo,$V$5:$V266,"Macro"))</f>
        <v/>
      </c>
      <c r="U266" s="62">
        <f>IF($V266="","",IF($V266="Macro",ROW(),IFERROR(LOOKUP(2,1/($V$5:$V266="Macro"),ROW($V$5:$V266)),0)))</f>
        <v/>
      </c>
      <c r="V266" s="62">
        <f>IF(NOT((COUNTA($B266:$D266)+COUNTA($G266:$L266)+COUNTA($Q266))&gt;0),"",IF($B266="Subactividad","Sub","Macro"))</f>
        <v/>
      </c>
      <c r="W266" s="62">
        <f>IF($V266="Macro",COUNTIFS($U$5:$U$1000,ROW(),$V$5:$V$1000,"Sub"),"")</f>
        <v/>
      </c>
      <c r="X266" s="62">
        <f>IF($V266="","",IF(ISNUMBER($G266),1,IFERROR(LOOKUP(2,1/($I266:$L266&lt;&gt;""),$I266:$L266),0)))</f>
        <v/>
      </c>
      <c r="Y266" s="62">
        <f>IF($V266="","",IF(AND(ISNUMBER($G266),$G266&lt;=IF($S266=MesCiclo,InicioCiclo,$S266+MOD(2-WEEKDAY($S266),7))+6),1,IF(ISNUMBER($I266),$I266,0)))</f>
        <v/>
      </c>
      <c r="Z266" s="62">
        <f>IF($V266="","",IF(AND(ISNUMBER($G266),$G266&lt;=IF($S266=MesCiclo,InicioCiclo,$S266+MOD(2-WEEKDAY($S266),7))+13),1,IF(ISNUMBER($J266),$J266,$Y266)))</f>
        <v/>
      </c>
      <c r="AA266" s="62">
        <f>IF($V266="","",IF(AND(ISNUMBER($G266),$G266&lt;=IF($S266=MesCiclo,InicioCiclo,$S266+MOD(2-WEEKDAY($S266),7))+20),1,IF(ISNUMBER($K266),$K266,$Z266)))</f>
        <v/>
      </c>
      <c r="AB266" s="62">
        <f>IF($V266="","",IF(AND(ISNUMBER($G266),$G266&lt;=IF($S266=MesCiclo,InicioCiclo,$S266+MOD(2-WEEKDAY($S266),7))+27),1,IF(ISNUMBER($L266),$L266,$AA266)))</f>
        <v/>
      </c>
      <c r="AC266" s="62">
        <f>IF($V266="","",IF(AND(ISNUMBER($G266),$G266&lt;=IF($S266=MesCiclo,InicioCiclo,$S266+MOD(2-WEEKDAY($S266),7))+6),1,IF(N($W266)&gt;0,AVERAGEIFS($Y$5:$Y$1000,$U$5:$U$1000,ROW(),$V$5:$V$1000,"Sub"),$Y266)))</f>
        <v/>
      </c>
      <c r="AD266" s="62">
        <f>IF($V266="","",IF(AND(ISNUMBER($G266),$G266&lt;=IF($S266=MesCiclo,InicioCiclo,$S266+MOD(2-WEEKDAY($S266),7))+13),1,IF(N($W266)&gt;0,AVERAGEIFS($Z$5:$Z$1000,$U$5:$U$1000,ROW(),$V$5:$V$1000,"Sub"),$Z266)))</f>
        <v/>
      </c>
      <c r="AE266" s="62">
        <f>IF($V266="","",IF(AND(ISNUMBER($G266),$G266&lt;=IF($S266=MesCiclo,InicioCiclo,$S266+MOD(2-WEEKDAY($S266),7))+20),1,IF(N($W266)&gt;0,AVERAGEIFS($AA$5:$AA$1000,$U$5:$U$1000,ROW(),$V$5:$V$1000,"Sub"),$AA266)))</f>
        <v/>
      </c>
      <c r="AF266" s="62">
        <f>IF($V266="","",IF(AND(ISNUMBER($G266),$G266&lt;=IF($S266=MesCiclo,InicioCiclo,$S266+MOD(2-WEEKDAY($S266),7))+27),1,IF(N($W266)&gt;0,AVERAGEIFS($AB$5:$AB$1000,$U$5:$U$1000,ROW(),$V$5:$V$1000,"Sub"),$AB266)))</f>
        <v/>
      </c>
      <c r="AG266" s="62">
        <f>IF($V266&lt;&gt;"Macro","",IF(COUNTIFS($S$5:$S$1000,$S266,$V$5:$V$1000,"Macro",$H$5:$H$1000,"&gt;0")=0,1/COUNTIFS($S$5:$S$1000,$S266,$V$5:$V$1000,"Macro"),IF(AND(ISNUMBER($H266),N($H266)&gt;0),$H266,SUMIFS($H$5:$H$1000,$S$5:$S$1000,$S266,$V$5:$V$1000,"Macro")/COUNTIFS($S$5:$S$1000,$S266,$V$5:$V$1000,"Macro",$H$5:$H$1000,"&gt;0"))/(COUNTIFS($S$5:$S$1000,$S266,$V$5:$V$1000,"Macro")*SUMIFS($H$5:$H$1000,$S$5:$S$1000,$S266,$V$5:$V$1000,"Macro")/COUNTIFS($S$5:$S$1000,$S266,$V$5:$V$1000,"Macro",$H$5:$H$1000,"&gt;0"))))</f>
        <v/>
      </c>
      <c r="AH266" s="62" t="n"/>
      <c r="AI266" s="62" t="n"/>
      <c r="AJ266" s="62" t="n"/>
      <c r="AK266" s="62" t="n"/>
      <c r="AL266" s="62">
        <f>IF(LEFT($C266,11)="[Jefatura] ",IFERROR(MATCH("Riesgo Operacional|"&amp;MID($C266,12,500),rDname_ADM,0),0),"")</f>
        <v/>
      </c>
      <c r="AM266" s="62">
        <f>IF(N($AL266)&gt;0,INDEX(rIni_ADM,$AL266),IF(ISNUMBER($E266),$E266,""))</f>
        <v/>
      </c>
      <c r="AN266" s="62">
        <f>IF(N($AL266)&gt;0,INDEX(rLim_ADM,$AL266),IF(ISNUMBER($F266),$F266,""))</f>
        <v/>
      </c>
    </row>
    <row r="267">
      <c r="A267" s="56">
        <f>IF(NOT((COUNTA($B267:$D267)+COUNTA($G267:$L267)+COUNTA($Q267))&gt;0),"",IF($V267="Macro",COUNTIFS($V$5:$V267,"Macro",$S$5:$S267,$S267),IF(N($U267)=0,"?",COUNTIFS(INDEX($V$5:$V$1000,1):INDEX($V$5:$V$1000,$U267-4),"Macro",INDEX($S$5:$S$1000,1):INDEX($S$5:$S$1000,$U267-4),INDEX($S$5:$S$1000,$U267-4))&amp;"."&amp;COUNTIFS($U$5:$U267,$U267,$V$5:$V267,"Sub"))))</f>
        <v/>
      </c>
      <c r="B267" s="57" t="n"/>
      <c r="C267" s="58" t="n"/>
      <c r="D267" s="58" t="n"/>
      <c r="E267" s="59">
        <f>IF(N($AL267)&gt;0,INDEX(rIni_ADM,$AL267),"")</f>
        <v/>
      </c>
      <c r="F267" s="59">
        <f>IF(N($AL267)&gt;0,INDEX(rLim_ADM,$AL267),"")</f>
        <v/>
      </c>
      <c r="G267" s="59" t="n"/>
      <c r="H267" s="60" t="n"/>
      <c r="I267" s="60" t="n"/>
      <c r="J267" s="60" t="n"/>
      <c r="K267" s="60" t="n"/>
      <c r="L267" s="60" t="n"/>
      <c r="M267" s="61">
        <f>IF(NOT((COUNTA($B267:$D267)+COUNTA($G267:$L267)+COUNTA($Q267))&gt;0),"",IF($V267="Sub",IFERROR($X267/INDEX($W$5:$W$1000,$U267-4),""),IF(ISNUMBER($G267),1,IF(N($W267)&gt;0,AVERAGEIFS($X$5:$X$1000,$U$5:$U$1000,ROW(),$V$5:$V$1000,"Sub"),$X267))))</f>
        <v/>
      </c>
      <c r="N267" s="56">
        <f>IF(OR($M267="",$V267="Sub"),"",IF($M267&gt;=1,"Completado",IF($M267&gt;0,"En curso","Pendiente")))</f>
        <v/>
      </c>
      <c r="O267" s="56">
        <f>IF(OR(NOT((COUNTA($B267:$D267)+COUNTA($G267:$L267)+COUNTA($Q267))&gt;0),$V267="Sub"),"",IF(ISNUMBER($G267),IF(AND(ISNUMBER($AN267),$G267&gt;$AN267),"Cumplida con "&amp;($G267-$AN267)&amp;IF($G267-$AN267=1," día"," días")&amp;" de retraso","Cumplida"),IF(N($M267)&gt;=1,"Cumplida",IF(NOT(ISNUMBER($AN267)),"Sin fecha límite",IF($AN267&lt;FechaRef,"Vencida hace "&amp;(FechaRef-$AN267)&amp;IF(FechaRef-$AN267=1," día"," días"),IF($AN267=FechaRef,"Vence hoy",IF($AN267-FechaRef&lt;=DiasAlerta,"Vence en "&amp;($AN267-FechaRef)&amp;IF($AN267-FechaRef=1," día"," días"),"En plazo")))))))</f>
        <v/>
      </c>
      <c r="P267" s="62" t="n"/>
      <c r="Q267" s="58" t="n"/>
      <c r="R267" s="63">
        <f>IF(NOT((COUNTA($B267:$D267)+COUNTA($G267:$L267)+COUNTA($Q267))&gt;0),"",IF((IF($C267="","Falta el nombre de la actividad"&amp;" · ","")&amp;IF(AND($V267="Sub",N($U267)=0),"Subactividad sin macroactividad arriba"&amp;" · ","")&amp;IF($AM267="","Sin fecha de inicio"&amp;" · ","")&amp;IF($AN267="","Sin fecha límite"&amp;" · ","")&amp;IF(AND(LEFT($C267,11)="[Jefatura] ",N($AL267)=0),"No se encuentra en la hoja de la jefatura (elíjala de nuevo en la lista)"&amp;" · ","")&amp;IF(OR(AND($E267&lt;&gt;"",NOT(ISNUMBER($E267))),AND($F267&lt;&gt;"",NOT(ISNUMBER($F267))),AND($G267&lt;&gt;"",NOT(ISNUMBER($G267)))),"Fecha no válida"&amp;" · ","")&amp;IF(AND(ISNUMBER($AM267),ISNUMBER($AN267),$AM267&gt;$AN267),"Inicio posterior a fecha límite"&amp;" · ","")&amp;IF(AND($V267="Macro",$H267&lt;&gt;"",OR(NOT(ISNUMBER($H267)),$H267&lt;0,$H267&gt;1)),"Peso fuera de rango"&amp;" · ","")&amp;IF(AND($V267="Sub",$H267&lt;&gt;""),"Las subactividades no llevan peso (valen igual dentro de su macroactividad)"&amp;" · ","")&amp;IF(AND(N($W267)&gt;0,COUNT($I267:$L267)&gt;0),"Con subactividades: deje vacías las semanas (se calculan solas)"&amp;" · ","")&amp;IF((COUNTIF($I267:$L267,"&gt;1")+COUNTIF($I267:$L267,"&lt;0")+COUNTA($I267:$L267)-COUNT($I267:$L267))&gt;0,"Avance fuera de rango 0-100%"&amp;" · ","")&amp;IF(OR(AND($J267&lt;&gt;"",$J267&lt;$I267),AND($K267&lt;&gt;"",$K267&lt;MAX($I267:$J267)),AND($L267&lt;&gt;"",$L267&lt;MAX($I267:$K267))),"Avance semanal decreciente"&amp;" · ","")&amp;IF(AND(ISNUMBER($AN267),$AN267&lt;FechaRef,IF($V267="Sub",N($X267),N($M267))&lt;1),"Vencida"&amp;" · ","")&amp;IF(AND(ObsObligatoria="Sí",ISNUMBER($AN267),$AN267&lt;FechaRef,IF($V267="Sub",N($X267),N($M267))&lt;1,$Q267=""),"Vencida sin observación"&amp;" · ",""))="","✔ OK","⚠ "&amp;LEFT(IF($C267="","Falta el nombre de la actividad"&amp;" · ","")&amp;IF(AND($V267="Sub",N($U267)=0),"Subactividad sin macroactividad arriba"&amp;" · ","")&amp;IF($AM267="","Sin fecha de inicio"&amp;" · ","")&amp;IF($AN267="","Sin fecha límite"&amp;" · ","")&amp;IF(AND(LEFT($C267,11)="[Jefatura] ",N($AL267)=0),"No se encuentra en la hoja de la jefatura (elíjala de nuevo en la lista)"&amp;" · ","")&amp;IF(OR(AND($E267&lt;&gt;"",NOT(ISNUMBER($E267))),AND($F267&lt;&gt;"",NOT(ISNUMBER($F267))),AND($G267&lt;&gt;"",NOT(ISNUMBER($G267)))),"Fecha no válida"&amp;" · ","")&amp;IF(AND(ISNUMBER($AM267),ISNUMBER($AN267),$AM267&gt;$AN267),"Inicio posterior a fecha límite"&amp;" · ","")&amp;IF(AND($V267="Macro",$H267&lt;&gt;"",OR(NOT(ISNUMBER($H267)),$H267&lt;0,$H267&gt;1)),"Peso fuera de rango"&amp;" · ","")&amp;IF(AND($V267="Sub",$H267&lt;&gt;""),"Las subactividades no llevan peso (valen igual dentro de su macroactividad)"&amp;" · ","")&amp;IF(AND(N($W267)&gt;0,COUNT($I267:$L267)&gt;0),"Con subactividades: deje vacías las semanas (se calculan solas)"&amp;" · ","")&amp;IF((COUNTIF($I267:$L267,"&gt;1")+COUNTIF($I267:$L267,"&lt;0")+COUNTA($I267:$L267)-COUNT($I267:$L267))&gt;0,"Avance fuera de rango 0-100%"&amp;" · ","")&amp;IF(OR(AND($J267&lt;&gt;"",$J267&lt;$I267),AND($K267&lt;&gt;"",$K267&lt;MAX($I267:$J267)),AND($L267&lt;&gt;"",$L267&lt;MAX($I267:$K267))),"Avance semanal decreciente"&amp;" · ","")&amp;IF(AND(ISNUMBER($AN267),$AN267&lt;FechaRef,IF($V267="Sub",N($X267),N($M267))&lt;1),"Vencida"&amp;" · ","")&amp;IF(AND(ObsObligatoria="Sí",ISNUMBER($AN267),$AN267&lt;FechaRef,IF($V267="Sub",N($X267),N($M267))&lt;1,$Q267=""),"Vencida sin observación"&amp;" · ",""),LEN(IF($C267="","Falta el nombre de la actividad"&amp;" · ","")&amp;IF(AND($V267="Sub",N($U267)=0),"Subactividad sin macroactividad arriba"&amp;" · ","")&amp;IF($AM267="","Sin fecha de inicio"&amp;" · ","")&amp;IF($AN267="","Sin fecha límite"&amp;" · ","")&amp;IF(AND(LEFT($C267,11)="[Jefatura] ",N($AL267)=0),"No se encuentra en la hoja de la jefatura (elíjala de nuevo en la lista)"&amp;" · ","")&amp;IF(OR(AND($E267&lt;&gt;"",NOT(ISNUMBER($E267))),AND($F267&lt;&gt;"",NOT(ISNUMBER($F267))),AND($G267&lt;&gt;"",NOT(ISNUMBER($G267)))),"Fecha no válida"&amp;" · ","")&amp;IF(AND(ISNUMBER($AM267),ISNUMBER($AN267),$AM267&gt;$AN267),"Inicio posterior a fecha límite"&amp;" · ","")&amp;IF(AND($V267="Macro",$H267&lt;&gt;"",OR(NOT(ISNUMBER($H267)),$H267&lt;0,$H267&gt;1)),"Peso fuera de rango"&amp;" · ","")&amp;IF(AND($V267="Sub",$H267&lt;&gt;""),"Las subactividades no llevan peso (valen igual dentro de su macroactividad)"&amp;" · ","")&amp;IF(AND(N($W267)&gt;0,COUNT($I267:$L267)&gt;0),"Con subactividades: deje vacías las semanas (se calculan solas)"&amp;" · ","")&amp;IF((COUNTIF($I267:$L267,"&gt;1")+COUNTIF($I267:$L267,"&lt;0")+COUNTA($I267:$L267)-COUNT($I267:$L267))&gt;0,"Avance fuera de rango 0-100%"&amp;" · ","")&amp;IF(OR(AND($J267&lt;&gt;"",$J267&lt;$I267),AND($K267&lt;&gt;"",$K267&lt;MAX($I267:$J267)),AND($L267&lt;&gt;"",$L267&lt;MAX($I267:$K267))),"Avance semanal decreciente"&amp;" · ","")&amp;IF(AND(ISNUMBER($AN267),$AN267&lt;FechaRef,IF($V267="Sub",N($X267),N($M267))&lt;1),"Vencida"&amp;" · ","")&amp;IF(AND(ObsObligatoria="Sí",ISNUMBER($AN267),$AN267&lt;FechaRef,IF($V267="Sub",N($X267),N($M267))&lt;1,$Q267=""),"Vencida sin observación"&amp;" · ",""))-3)))</f>
        <v/>
      </c>
      <c r="S267" s="64">
        <f>IF(NOT((COUNTA($B267:$D267)+COUNTA($G267:$L267)+COUNTA($Q267))&gt;0),"",IF(AND($V267="Sub",N($U267)&gt;0),IF(ISNUMBER(INDEX($AM$5:$AM$1000,$U267-4)),DATE(YEAR(INDEX($AM$5:$AM$1000,$U267-4)),MONTH(INDEX($AM$5:$AM$1000,$U267-4)),1),IF(ISNUMBER(INDEX($AN$5:$AN$1000,$U267-4)),DATE(YEAR(INDEX($AN$5:$AN$1000,$U267-4)),MONTH(INDEX($AN$5:$AN$1000,$U267-4)),1),MesCiclo)),IF(ISNUMBER($AM267),DATE(YEAR($AM267),MONTH($AM267),1),IF(ISNUMBER($AN267),DATE(YEAR($AN267),MONTH($AN267),1),MesCiclo))))</f>
        <v/>
      </c>
      <c r="T267" s="62">
        <f>IF(OR($S267="",$S267&lt;&gt;MesCiclo,$V267&lt;&gt;"Macro"),"",COUNTIFS($S$5:$S267,MesCiclo,$V$5:$V267,"Macro"))</f>
        <v/>
      </c>
      <c r="U267" s="62">
        <f>IF($V267="","",IF($V267="Macro",ROW(),IFERROR(LOOKUP(2,1/($V$5:$V267="Macro"),ROW($V$5:$V267)),0)))</f>
        <v/>
      </c>
      <c r="V267" s="62">
        <f>IF(NOT((COUNTA($B267:$D267)+COUNTA($G267:$L267)+COUNTA($Q267))&gt;0),"",IF($B267="Subactividad","Sub","Macro"))</f>
        <v/>
      </c>
      <c r="W267" s="62">
        <f>IF($V267="Macro",COUNTIFS($U$5:$U$1000,ROW(),$V$5:$V$1000,"Sub"),"")</f>
        <v/>
      </c>
      <c r="X267" s="62">
        <f>IF($V267="","",IF(ISNUMBER($G267),1,IFERROR(LOOKUP(2,1/($I267:$L267&lt;&gt;""),$I267:$L267),0)))</f>
        <v/>
      </c>
      <c r="Y267" s="62">
        <f>IF($V267="","",IF(AND(ISNUMBER($G267),$G267&lt;=IF($S267=MesCiclo,InicioCiclo,$S267+MOD(2-WEEKDAY($S267),7))+6),1,IF(ISNUMBER($I267),$I267,0)))</f>
        <v/>
      </c>
      <c r="Z267" s="62">
        <f>IF($V267="","",IF(AND(ISNUMBER($G267),$G267&lt;=IF($S267=MesCiclo,InicioCiclo,$S267+MOD(2-WEEKDAY($S267),7))+13),1,IF(ISNUMBER($J267),$J267,$Y267)))</f>
        <v/>
      </c>
      <c r="AA267" s="62">
        <f>IF($V267="","",IF(AND(ISNUMBER($G267),$G267&lt;=IF($S267=MesCiclo,InicioCiclo,$S267+MOD(2-WEEKDAY($S267),7))+20),1,IF(ISNUMBER($K267),$K267,$Z267)))</f>
        <v/>
      </c>
      <c r="AB267" s="62">
        <f>IF($V267="","",IF(AND(ISNUMBER($G267),$G267&lt;=IF($S267=MesCiclo,InicioCiclo,$S267+MOD(2-WEEKDAY($S267),7))+27),1,IF(ISNUMBER($L267),$L267,$AA267)))</f>
        <v/>
      </c>
      <c r="AC267" s="62">
        <f>IF($V267="","",IF(AND(ISNUMBER($G267),$G267&lt;=IF($S267=MesCiclo,InicioCiclo,$S267+MOD(2-WEEKDAY($S267),7))+6),1,IF(N($W267)&gt;0,AVERAGEIFS($Y$5:$Y$1000,$U$5:$U$1000,ROW(),$V$5:$V$1000,"Sub"),$Y267)))</f>
        <v/>
      </c>
      <c r="AD267" s="62">
        <f>IF($V267="","",IF(AND(ISNUMBER($G267),$G267&lt;=IF($S267=MesCiclo,InicioCiclo,$S267+MOD(2-WEEKDAY($S267),7))+13),1,IF(N($W267)&gt;0,AVERAGEIFS($Z$5:$Z$1000,$U$5:$U$1000,ROW(),$V$5:$V$1000,"Sub"),$Z267)))</f>
        <v/>
      </c>
      <c r="AE267" s="62">
        <f>IF($V267="","",IF(AND(ISNUMBER($G267),$G267&lt;=IF($S267=MesCiclo,InicioCiclo,$S267+MOD(2-WEEKDAY($S267),7))+20),1,IF(N($W267)&gt;0,AVERAGEIFS($AA$5:$AA$1000,$U$5:$U$1000,ROW(),$V$5:$V$1000,"Sub"),$AA267)))</f>
        <v/>
      </c>
      <c r="AF267" s="62">
        <f>IF($V267="","",IF(AND(ISNUMBER($G267),$G267&lt;=IF($S267=MesCiclo,InicioCiclo,$S267+MOD(2-WEEKDAY($S267),7))+27),1,IF(N($W267)&gt;0,AVERAGEIFS($AB$5:$AB$1000,$U$5:$U$1000,ROW(),$V$5:$V$1000,"Sub"),$AB267)))</f>
        <v/>
      </c>
      <c r="AG267" s="62">
        <f>IF($V267&lt;&gt;"Macro","",IF(COUNTIFS($S$5:$S$1000,$S267,$V$5:$V$1000,"Macro",$H$5:$H$1000,"&gt;0")=0,1/COUNTIFS($S$5:$S$1000,$S267,$V$5:$V$1000,"Macro"),IF(AND(ISNUMBER($H267),N($H267)&gt;0),$H267,SUMIFS($H$5:$H$1000,$S$5:$S$1000,$S267,$V$5:$V$1000,"Macro")/COUNTIFS($S$5:$S$1000,$S267,$V$5:$V$1000,"Macro",$H$5:$H$1000,"&gt;0"))/(COUNTIFS($S$5:$S$1000,$S267,$V$5:$V$1000,"Macro")*SUMIFS($H$5:$H$1000,$S$5:$S$1000,$S267,$V$5:$V$1000,"Macro")/COUNTIFS($S$5:$S$1000,$S267,$V$5:$V$1000,"Macro",$H$5:$H$1000,"&gt;0"))))</f>
        <v/>
      </c>
      <c r="AH267" s="62" t="n"/>
      <c r="AI267" s="62" t="n"/>
      <c r="AJ267" s="62" t="n"/>
      <c r="AK267" s="62" t="n"/>
      <c r="AL267" s="62">
        <f>IF(LEFT($C267,11)="[Jefatura] ",IFERROR(MATCH("Riesgo Operacional|"&amp;MID($C267,12,500),rDname_ADM,0),0),"")</f>
        <v/>
      </c>
      <c r="AM267" s="62">
        <f>IF(N($AL267)&gt;0,INDEX(rIni_ADM,$AL267),IF(ISNUMBER($E267),$E267,""))</f>
        <v/>
      </c>
      <c r="AN267" s="62">
        <f>IF(N($AL267)&gt;0,INDEX(rLim_ADM,$AL267),IF(ISNUMBER($F267),$F267,""))</f>
        <v/>
      </c>
    </row>
    <row r="268">
      <c r="A268" s="56">
        <f>IF(NOT((COUNTA($B268:$D268)+COUNTA($G268:$L268)+COUNTA($Q268))&gt;0),"",IF($V268="Macro",COUNTIFS($V$5:$V268,"Macro",$S$5:$S268,$S268),IF(N($U268)=0,"?",COUNTIFS(INDEX($V$5:$V$1000,1):INDEX($V$5:$V$1000,$U268-4),"Macro",INDEX($S$5:$S$1000,1):INDEX($S$5:$S$1000,$U268-4),INDEX($S$5:$S$1000,$U268-4))&amp;"."&amp;COUNTIFS($U$5:$U268,$U268,$V$5:$V268,"Sub"))))</f>
        <v/>
      </c>
      <c r="B268" s="57" t="n"/>
      <c r="C268" s="58" t="n"/>
      <c r="D268" s="58" t="n"/>
      <c r="E268" s="59">
        <f>IF(N($AL268)&gt;0,INDEX(rIni_ADM,$AL268),"")</f>
        <v/>
      </c>
      <c r="F268" s="59">
        <f>IF(N($AL268)&gt;0,INDEX(rLim_ADM,$AL268),"")</f>
        <v/>
      </c>
      <c r="G268" s="59" t="n"/>
      <c r="H268" s="60" t="n"/>
      <c r="I268" s="60" t="n"/>
      <c r="J268" s="60" t="n"/>
      <c r="K268" s="60" t="n"/>
      <c r="L268" s="60" t="n"/>
      <c r="M268" s="61">
        <f>IF(NOT((COUNTA($B268:$D268)+COUNTA($G268:$L268)+COUNTA($Q268))&gt;0),"",IF($V268="Sub",IFERROR($X268/INDEX($W$5:$W$1000,$U268-4),""),IF(ISNUMBER($G268),1,IF(N($W268)&gt;0,AVERAGEIFS($X$5:$X$1000,$U$5:$U$1000,ROW(),$V$5:$V$1000,"Sub"),$X268))))</f>
        <v/>
      </c>
      <c r="N268" s="56">
        <f>IF(OR($M268="",$V268="Sub"),"",IF($M268&gt;=1,"Completado",IF($M268&gt;0,"En curso","Pendiente")))</f>
        <v/>
      </c>
      <c r="O268" s="56">
        <f>IF(OR(NOT((COUNTA($B268:$D268)+COUNTA($G268:$L268)+COUNTA($Q268))&gt;0),$V268="Sub"),"",IF(ISNUMBER($G268),IF(AND(ISNUMBER($AN268),$G268&gt;$AN268),"Cumplida con "&amp;($G268-$AN268)&amp;IF($G268-$AN268=1," día"," días")&amp;" de retraso","Cumplida"),IF(N($M268)&gt;=1,"Cumplida",IF(NOT(ISNUMBER($AN268)),"Sin fecha límite",IF($AN268&lt;FechaRef,"Vencida hace "&amp;(FechaRef-$AN268)&amp;IF(FechaRef-$AN268=1," día"," días"),IF($AN268=FechaRef,"Vence hoy",IF($AN268-FechaRef&lt;=DiasAlerta,"Vence en "&amp;($AN268-FechaRef)&amp;IF($AN268-FechaRef=1," día"," días"),"En plazo")))))))</f>
        <v/>
      </c>
      <c r="P268" s="62" t="n"/>
      <c r="Q268" s="58" t="n"/>
      <c r="R268" s="63">
        <f>IF(NOT((COUNTA($B268:$D268)+COUNTA($G268:$L268)+COUNTA($Q268))&gt;0),"",IF((IF($C268="","Falta el nombre de la actividad"&amp;" · ","")&amp;IF(AND($V268="Sub",N($U268)=0),"Subactividad sin macroactividad arriba"&amp;" · ","")&amp;IF($AM268="","Sin fecha de inicio"&amp;" · ","")&amp;IF($AN268="","Sin fecha límite"&amp;" · ","")&amp;IF(AND(LEFT($C268,11)="[Jefatura] ",N($AL268)=0),"No se encuentra en la hoja de la jefatura (elíjala de nuevo en la lista)"&amp;" · ","")&amp;IF(OR(AND($E268&lt;&gt;"",NOT(ISNUMBER($E268))),AND($F268&lt;&gt;"",NOT(ISNUMBER($F268))),AND($G268&lt;&gt;"",NOT(ISNUMBER($G268)))),"Fecha no válida"&amp;" · ","")&amp;IF(AND(ISNUMBER($AM268),ISNUMBER($AN268),$AM268&gt;$AN268),"Inicio posterior a fecha límite"&amp;" · ","")&amp;IF(AND($V268="Macro",$H268&lt;&gt;"",OR(NOT(ISNUMBER($H268)),$H268&lt;0,$H268&gt;1)),"Peso fuera de rango"&amp;" · ","")&amp;IF(AND($V268="Sub",$H268&lt;&gt;""),"Las subactividades no llevan peso (valen igual dentro de su macroactividad)"&amp;" · ","")&amp;IF(AND(N($W268)&gt;0,COUNT($I268:$L268)&gt;0),"Con subactividades: deje vacías las semanas (se calculan solas)"&amp;" · ","")&amp;IF((COUNTIF($I268:$L268,"&gt;1")+COUNTIF($I268:$L268,"&lt;0")+COUNTA($I268:$L268)-COUNT($I268:$L268))&gt;0,"Avance fuera de rango 0-100%"&amp;" · ","")&amp;IF(OR(AND($J268&lt;&gt;"",$J268&lt;$I268),AND($K268&lt;&gt;"",$K268&lt;MAX($I268:$J268)),AND($L268&lt;&gt;"",$L268&lt;MAX($I268:$K268))),"Avance semanal decreciente"&amp;" · ","")&amp;IF(AND(ISNUMBER($AN268),$AN268&lt;FechaRef,IF($V268="Sub",N($X268),N($M268))&lt;1),"Vencida"&amp;" · ","")&amp;IF(AND(ObsObligatoria="Sí",ISNUMBER($AN268),$AN268&lt;FechaRef,IF($V268="Sub",N($X268),N($M268))&lt;1,$Q268=""),"Vencida sin observación"&amp;" · ",""))="","✔ OK","⚠ "&amp;LEFT(IF($C268="","Falta el nombre de la actividad"&amp;" · ","")&amp;IF(AND($V268="Sub",N($U268)=0),"Subactividad sin macroactividad arriba"&amp;" · ","")&amp;IF($AM268="","Sin fecha de inicio"&amp;" · ","")&amp;IF($AN268="","Sin fecha límite"&amp;" · ","")&amp;IF(AND(LEFT($C268,11)="[Jefatura] ",N($AL268)=0),"No se encuentra en la hoja de la jefatura (elíjala de nuevo en la lista)"&amp;" · ","")&amp;IF(OR(AND($E268&lt;&gt;"",NOT(ISNUMBER($E268))),AND($F268&lt;&gt;"",NOT(ISNUMBER($F268))),AND($G268&lt;&gt;"",NOT(ISNUMBER($G268)))),"Fecha no válida"&amp;" · ","")&amp;IF(AND(ISNUMBER($AM268),ISNUMBER($AN268),$AM268&gt;$AN268),"Inicio posterior a fecha límite"&amp;" · ","")&amp;IF(AND($V268="Macro",$H268&lt;&gt;"",OR(NOT(ISNUMBER($H268)),$H268&lt;0,$H268&gt;1)),"Peso fuera de rango"&amp;" · ","")&amp;IF(AND($V268="Sub",$H268&lt;&gt;""),"Las subactividades no llevan peso (valen igual dentro de su macroactividad)"&amp;" · ","")&amp;IF(AND(N($W268)&gt;0,COUNT($I268:$L268)&gt;0),"Con subactividades: deje vacías las semanas (se calculan solas)"&amp;" · ","")&amp;IF((COUNTIF($I268:$L268,"&gt;1")+COUNTIF($I268:$L268,"&lt;0")+COUNTA($I268:$L268)-COUNT($I268:$L268))&gt;0,"Avance fuera de rango 0-100%"&amp;" · ","")&amp;IF(OR(AND($J268&lt;&gt;"",$J268&lt;$I268),AND($K268&lt;&gt;"",$K268&lt;MAX($I268:$J268)),AND($L268&lt;&gt;"",$L268&lt;MAX($I268:$K268))),"Avance semanal decreciente"&amp;" · ","")&amp;IF(AND(ISNUMBER($AN268),$AN268&lt;FechaRef,IF($V268="Sub",N($X268),N($M268))&lt;1),"Vencida"&amp;" · ","")&amp;IF(AND(ObsObligatoria="Sí",ISNUMBER($AN268),$AN268&lt;FechaRef,IF($V268="Sub",N($X268),N($M268))&lt;1,$Q268=""),"Vencida sin observación"&amp;" · ",""),LEN(IF($C268="","Falta el nombre de la actividad"&amp;" · ","")&amp;IF(AND($V268="Sub",N($U268)=0),"Subactividad sin macroactividad arriba"&amp;" · ","")&amp;IF($AM268="","Sin fecha de inicio"&amp;" · ","")&amp;IF($AN268="","Sin fecha límite"&amp;" · ","")&amp;IF(AND(LEFT($C268,11)="[Jefatura] ",N($AL268)=0),"No se encuentra en la hoja de la jefatura (elíjala de nuevo en la lista)"&amp;" · ","")&amp;IF(OR(AND($E268&lt;&gt;"",NOT(ISNUMBER($E268))),AND($F268&lt;&gt;"",NOT(ISNUMBER($F268))),AND($G268&lt;&gt;"",NOT(ISNUMBER($G268)))),"Fecha no válida"&amp;" · ","")&amp;IF(AND(ISNUMBER($AM268),ISNUMBER($AN268),$AM268&gt;$AN268),"Inicio posterior a fecha límite"&amp;" · ","")&amp;IF(AND($V268="Macro",$H268&lt;&gt;"",OR(NOT(ISNUMBER($H268)),$H268&lt;0,$H268&gt;1)),"Peso fuera de rango"&amp;" · ","")&amp;IF(AND($V268="Sub",$H268&lt;&gt;""),"Las subactividades no llevan peso (valen igual dentro de su macroactividad)"&amp;" · ","")&amp;IF(AND(N($W268)&gt;0,COUNT($I268:$L268)&gt;0),"Con subactividades: deje vacías las semanas (se calculan solas)"&amp;" · ","")&amp;IF((COUNTIF($I268:$L268,"&gt;1")+COUNTIF($I268:$L268,"&lt;0")+COUNTA($I268:$L268)-COUNT($I268:$L268))&gt;0,"Avance fuera de rango 0-100%"&amp;" · ","")&amp;IF(OR(AND($J268&lt;&gt;"",$J268&lt;$I268),AND($K268&lt;&gt;"",$K268&lt;MAX($I268:$J268)),AND($L268&lt;&gt;"",$L268&lt;MAX($I268:$K268))),"Avance semanal decreciente"&amp;" · ","")&amp;IF(AND(ISNUMBER($AN268),$AN268&lt;FechaRef,IF($V268="Sub",N($X268),N($M268))&lt;1),"Vencida"&amp;" · ","")&amp;IF(AND(ObsObligatoria="Sí",ISNUMBER($AN268),$AN268&lt;FechaRef,IF($V268="Sub",N($X268),N($M268))&lt;1,$Q268=""),"Vencida sin observación"&amp;" · ",""))-3)))</f>
        <v/>
      </c>
      <c r="S268" s="64">
        <f>IF(NOT((COUNTA($B268:$D268)+COUNTA($G268:$L268)+COUNTA($Q268))&gt;0),"",IF(AND($V268="Sub",N($U268)&gt;0),IF(ISNUMBER(INDEX($AM$5:$AM$1000,$U268-4)),DATE(YEAR(INDEX($AM$5:$AM$1000,$U268-4)),MONTH(INDEX($AM$5:$AM$1000,$U268-4)),1),IF(ISNUMBER(INDEX($AN$5:$AN$1000,$U268-4)),DATE(YEAR(INDEX($AN$5:$AN$1000,$U268-4)),MONTH(INDEX($AN$5:$AN$1000,$U268-4)),1),MesCiclo)),IF(ISNUMBER($AM268),DATE(YEAR($AM268),MONTH($AM268),1),IF(ISNUMBER($AN268),DATE(YEAR($AN268),MONTH($AN268),1),MesCiclo))))</f>
        <v/>
      </c>
      <c r="T268" s="62">
        <f>IF(OR($S268="",$S268&lt;&gt;MesCiclo,$V268&lt;&gt;"Macro"),"",COUNTIFS($S$5:$S268,MesCiclo,$V$5:$V268,"Macro"))</f>
        <v/>
      </c>
      <c r="U268" s="62">
        <f>IF($V268="","",IF($V268="Macro",ROW(),IFERROR(LOOKUP(2,1/($V$5:$V268="Macro"),ROW($V$5:$V268)),0)))</f>
        <v/>
      </c>
      <c r="V268" s="62">
        <f>IF(NOT((COUNTA($B268:$D268)+COUNTA($G268:$L268)+COUNTA($Q268))&gt;0),"",IF($B268="Subactividad","Sub","Macro"))</f>
        <v/>
      </c>
      <c r="W268" s="62">
        <f>IF($V268="Macro",COUNTIFS($U$5:$U$1000,ROW(),$V$5:$V$1000,"Sub"),"")</f>
        <v/>
      </c>
      <c r="X268" s="62">
        <f>IF($V268="","",IF(ISNUMBER($G268),1,IFERROR(LOOKUP(2,1/($I268:$L268&lt;&gt;""),$I268:$L268),0)))</f>
        <v/>
      </c>
      <c r="Y268" s="62">
        <f>IF($V268="","",IF(AND(ISNUMBER($G268),$G268&lt;=IF($S268=MesCiclo,InicioCiclo,$S268+MOD(2-WEEKDAY($S268),7))+6),1,IF(ISNUMBER($I268),$I268,0)))</f>
        <v/>
      </c>
      <c r="Z268" s="62">
        <f>IF($V268="","",IF(AND(ISNUMBER($G268),$G268&lt;=IF($S268=MesCiclo,InicioCiclo,$S268+MOD(2-WEEKDAY($S268),7))+13),1,IF(ISNUMBER($J268),$J268,$Y268)))</f>
        <v/>
      </c>
      <c r="AA268" s="62">
        <f>IF($V268="","",IF(AND(ISNUMBER($G268),$G268&lt;=IF($S268=MesCiclo,InicioCiclo,$S268+MOD(2-WEEKDAY($S268),7))+20),1,IF(ISNUMBER($K268),$K268,$Z268)))</f>
        <v/>
      </c>
      <c r="AB268" s="62">
        <f>IF($V268="","",IF(AND(ISNUMBER($G268),$G268&lt;=IF($S268=MesCiclo,InicioCiclo,$S268+MOD(2-WEEKDAY($S268),7))+27),1,IF(ISNUMBER($L268),$L268,$AA268)))</f>
        <v/>
      </c>
      <c r="AC268" s="62">
        <f>IF($V268="","",IF(AND(ISNUMBER($G268),$G268&lt;=IF($S268=MesCiclo,InicioCiclo,$S268+MOD(2-WEEKDAY($S268),7))+6),1,IF(N($W268)&gt;0,AVERAGEIFS($Y$5:$Y$1000,$U$5:$U$1000,ROW(),$V$5:$V$1000,"Sub"),$Y268)))</f>
        <v/>
      </c>
      <c r="AD268" s="62">
        <f>IF($V268="","",IF(AND(ISNUMBER($G268),$G268&lt;=IF($S268=MesCiclo,InicioCiclo,$S268+MOD(2-WEEKDAY($S268),7))+13),1,IF(N($W268)&gt;0,AVERAGEIFS($Z$5:$Z$1000,$U$5:$U$1000,ROW(),$V$5:$V$1000,"Sub"),$Z268)))</f>
        <v/>
      </c>
      <c r="AE268" s="62">
        <f>IF($V268="","",IF(AND(ISNUMBER($G268),$G268&lt;=IF($S268=MesCiclo,InicioCiclo,$S268+MOD(2-WEEKDAY($S268),7))+20),1,IF(N($W268)&gt;0,AVERAGEIFS($AA$5:$AA$1000,$U$5:$U$1000,ROW(),$V$5:$V$1000,"Sub"),$AA268)))</f>
        <v/>
      </c>
      <c r="AF268" s="62">
        <f>IF($V268="","",IF(AND(ISNUMBER($G268),$G268&lt;=IF($S268=MesCiclo,InicioCiclo,$S268+MOD(2-WEEKDAY($S268),7))+27),1,IF(N($W268)&gt;0,AVERAGEIFS($AB$5:$AB$1000,$U$5:$U$1000,ROW(),$V$5:$V$1000,"Sub"),$AB268)))</f>
        <v/>
      </c>
      <c r="AG268" s="62">
        <f>IF($V268&lt;&gt;"Macro","",IF(COUNTIFS($S$5:$S$1000,$S268,$V$5:$V$1000,"Macro",$H$5:$H$1000,"&gt;0")=0,1/COUNTIFS($S$5:$S$1000,$S268,$V$5:$V$1000,"Macro"),IF(AND(ISNUMBER($H268),N($H268)&gt;0),$H268,SUMIFS($H$5:$H$1000,$S$5:$S$1000,$S268,$V$5:$V$1000,"Macro")/COUNTIFS($S$5:$S$1000,$S268,$V$5:$V$1000,"Macro",$H$5:$H$1000,"&gt;0"))/(COUNTIFS($S$5:$S$1000,$S268,$V$5:$V$1000,"Macro")*SUMIFS($H$5:$H$1000,$S$5:$S$1000,$S268,$V$5:$V$1000,"Macro")/COUNTIFS($S$5:$S$1000,$S268,$V$5:$V$1000,"Macro",$H$5:$H$1000,"&gt;0"))))</f>
        <v/>
      </c>
      <c r="AH268" s="62" t="n"/>
      <c r="AI268" s="62" t="n"/>
      <c r="AJ268" s="62" t="n"/>
      <c r="AK268" s="62" t="n"/>
      <c r="AL268" s="62">
        <f>IF(LEFT($C268,11)="[Jefatura] ",IFERROR(MATCH("Riesgo Operacional|"&amp;MID($C268,12,500),rDname_ADM,0),0),"")</f>
        <v/>
      </c>
      <c r="AM268" s="62">
        <f>IF(N($AL268)&gt;0,INDEX(rIni_ADM,$AL268),IF(ISNUMBER($E268),$E268,""))</f>
        <v/>
      </c>
      <c r="AN268" s="62">
        <f>IF(N($AL268)&gt;0,INDEX(rLim_ADM,$AL268),IF(ISNUMBER($F268),$F268,""))</f>
        <v/>
      </c>
    </row>
    <row r="269">
      <c r="A269" s="56">
        <f>IF(NOT((COUNTA($B269:$D269)+COUNTA($G269:$L269)+COUNTA($Q269))&gt;0),"",IF($V269="Macro",COUNTIFS($V$5:$V269,"Macro",$S$5:$S269,$S269),IF(N($U269)=0,"?",COUNTIFS(INDEX($V$5:$V$1000,1):INDEX($V$5:$V$1000,$U269-4),"Macro",INDEX($S$5:$S$1000,1):INDEX($S$5:$S$1000,$U269-4),INDEX($S$5:$S$1000,$U269-4))&amp;"."&amp;COUNTIFS($U$5:$U269,$U269,$V$5:$V269,"Sub"))))</f>
        <v/>
      </c>
      <c r="B269" s="57" t="n"/>
      <c r="C269" s="58" t="n"/>
      <c r="D269" s="58" t="n"/>
      <c r="E269" s="59">
        <f>IF(N($AL269)&gt;0,INDEX(rIni_ADM,$AL269),"")</f>
        <v/>
      </c>
      <c r="F269" s="59">
        <f>IF(N($AL269)&gt;0,INDEX(rLim_ADM,$AL269),"")</f>
        <v/>
      </c>
      <c r="G269" s="59" t="n"/>
      <c r="H269" s="60" t="n"/>
      <c r="I269" s="60" t="n"/>
      <c r="J269" s="60" t="n"/>
      <c r="K269" s="60" t="n"/>
      <c r="L269" s="60" t="n"/>
      <c r="M269" s="61">
        <f>IF(NOT((COUNTA($B269:$D269)+COUNTA($G269:$L269)+COUNTA($Q269))&gt;0),"",IF($V269="Sub",IFERROR($X269/INDEX($W$5:$W$1000,$U269-4),""),IF(ISNUMBER($G269),1,IF(N($W269)&gt;0,AVERAGEIFS($X$5:$X$1000,$U$5:$U$1000,ROW(),$V$5:$V$1000,"Sub"),$X269))))</f>
        <v/>
      </c>
      <c r="N269" s="56">
        <f>IF(OR($M269="",$V269="Sub"),"",IF($M269&gt;=1,"Completado",IF($M269&gt;0,"En curso","Pendiente")))</f>
        <v/>
      </c>
      <c r="O269" s="56">
        <f>IF(OR(NOT((COUNTA($B269:$D269)+COUNTA($G269:$L269)+COUNTA($Q269))&gt;0),$V269="Sub"),"",IF(ISNUMBER($G269),IF(AND(ISNUMBER($AN269),$G269&gt;$AN269),"Cumplida con "&amp;($G269-$AN269)&amp;IF($G269-$AN269=1," día"," días")&amp;" de retraso","Cumplida"),IF(N($M269)&gt;=1,"Cumplida",IF(NOT(ISNUMBER($AN269)),"Sin fecha límite",IF($AN269&lt;FechaRef,"Vencida hace "&amp;(FechaRef-$AN269)&amp;IF(FechaRef-$AN269=1," día"," días"),IF($AN269=FechaRef,"Vence hoy",IF($AN269-FechaRef&lt;=DiasAlerta,"Vence en "&amp;($AN269-FechaRef)&amp;IF($AN269-FechaRef=1," día"," días"),"En plazo")))))))</f>
        <v/>
      </c>
      <c r="P269" s="62" t="n"/>
      <c r="Q269" s="58" t="n"/>
      <c r="R269" s="63">
        <f>IF(NOT((COUNTA($B269:$D269)+COUNTA($G269:$L269)+COUNTA($Q269))&gt;0),"",IF((IF($C269="","Falta el nombre de la actividad"&amp;" · ","")&amp;IF(AND($V269="Sub",N($U269)=0),"Subactividad sin macroactividad arriba"&amp;" · ","")&amp;IF($AM269="","Sin fecha de inicio"&amp;" · ","")&amp;IF($AN269="","Sin fecha límite"&amp;" · ","")&amp;IF(AND(LEFT($C269,11)="[Jefatura] ",N($AL269)=0),"No se encuentra en la hoja de la jefatura (elíjala de nuevo en la lista)"&amp;" · ","")&amp;IF(OR(AND($E269&lt;&gt;"",NOT(ISNUMBER($E269))),AND($F269&lt;&gt;"",NOT(ISNUMBER($F269))),AND($G269&lt;&gt;"",NOT(ISNUMBER($G269)))),"Fecha no válida"&amp;" · ","")&amp;IF(AND(ISNUMBER($AM269),ISNUMBER($AN269),$AM269&gt;$AN269),"Inicio posterior a fecha límite"&amp;" · ","")&amp;IF(AND($V269="Macro",$H269&lt;&gt;"",OR(NOT(ISNUMBER($H269)),$H269&lt;0,$H269&gt;1)),"Peso fuera de rango"&amp;" · ","")&amp;IF(AND($V269="Sub",$H269&lt;&gt;""),"Las subactividades no llevan peso (valen igual dentro de su macroactividad)"&amp;" · ","")&amp;IF(AND(N($W269)&gt;0,COUNT($I269:$L269)&gt;0),"Con subactividades: deje vacías las semanas (se calculan solas)"&amp;" · ","")&amp;IF((COUNTIF($I269:$L269,"&gt;1")+COUNTIF($I269:$L269,"&lt;0")+COUNTA($I269:$L269)-COUNT($I269:$L269))&gt;0,"Avance fuera de rango 0-100%"&amp;" · ","")&amp;IF(OR(AND($J269&lt;&gt;"",$J269&lt;$I269),AND($K269&lt;&gt;"",$K269&lt;MAX($I269:$J269)),AND($L269&lt;&gt;"",$L269&lt;MAX($I269:$K269))),"Avance semanal decreciente"&amp;" · ","")&amp;IF(AND(ISNUMBER($AN269),$AN269&lt;FechaRef,IF($V269="Sub",N($X269),N($M269))&lt;1),"Vencida"&amp;" · ","")&amp;IF(AND(ObsObligatoria="Sí",ISNUMBER($AN269),$AN269&lt;FechaRef,IF($V269="Sub",N($X269),N($M269))&lt;1,$Q269=""),"Vencida sin observación"&amp;" · ",""))="","✔ OK","⚠ "&amp;LEFT(IF($C269="","Falta el nombre de la actividad"&amp;" · ","")&amp;IF(AND($V269="Sub",N($U269)=0),"Subactividad sin macroactividad arriba"&amp;" · ","")&amp;IF($AM269="","Sin fecha de inicio"&amp;" · ","")&amp;IF($AN269="","Sin fecha límite"&amp;" · ","")&amp;IF(AND(LEFT($C269,11)="[Jefatura] ",N($AL269)=0),"No se encuentra en la hoja de la jefatura (elíjala de nuevo en la lista)"&amp;" · ","")&amp;IF(OR(AND($E269&lt;&gt;"",NOT(ISNUMBER($E269))),AND($F269&lt;&gt;"",NOT(ISNUMBER($F269))),AND($G269&lt;&gt;"",NOT(ISNUMBER($G269)))),"Fecha no válida"&amp;" · ","")&amp;IF(AND(ISNUMBER($AM269),ISNUMBER($AN269),$AM269&gt;$AN269),"Inicio posterior a fecha límite"&amp;" · ","")&amp;IF(AND($V269="Macro",$H269&lt;&gt;"",OR(NOT(ISNUMBER($H269)),$H269&lt;0,$H269&gt;1)),"Peso fuera de rango"&amp;" · ","")&amp;IF(AND($V269="Sub",$H269&lt;&gt;""),"Las subactividades no llevan peso (valen igual dentro de su macroactividad)"&amp;" · ","")&amp;IF(AND(N($W269)&gt;0,COUNT($I269:$L269)&gt;0),"Con subactividades: deje vacías las semanas (se calculan solas)"&amp;" · ","")&amp;IF((COUNTIF($I269:$L269,"&gt;1")+COUNTIF($I269:$L269,"&lt;0")+COUNTA($I269:$L269)-COUNT($I269:$L269))&gt;0,"Avance fuera de rango 0-100%"&amp;" · ","")&amp;IF(OR(AND($J269&lt;&gt;"",$J269&lt;$I269),AND($K269&lt;&gt;"",$K269&lt;MAX($I269:$J269)),AND($L269&lt;&gt;"",$L269&lt;MAX($I269:$K269))),"Avance semanal decreciente"&amp;" · ","")&amp;IF(AND(ISNUMBER($AN269),$AN269&lt;FechaRef,IF($V269="Sub",N($X269),N($M269))&lt;1),"Vencida"&amp;" · ","")&amp;IF(AND(ObsObligatoria="Sí",ISNUMBER($AN269),$AN269&lt;FechaRef,IF($V269="Sub",N($X269),N($M269))&lt;1,$Q269=""),"Vencida sin observación"&amp;" · ",""),LEN(IF($C269="","Falta el nombre de la actividad"&amp;" · ","")&amp;IF(AND($V269="Sub",N($U269)=0),"Subactividad sin macroactividad arriba"&amp;" · ","")&amp;IF($AM269="","Sin fecha de inicio"&amp;" · ","")&amp;IF($AN269="","Sin fecha límite"&amp;" · ","")&amp;IF(AND(LEFT($C269,11)="[Jefatura] ",N($AL269)=0),"No se encuentra en la hoja de la jefatura (elíjala de nuevo en la lista)"&amp;" · ","")&amp;IF(OR(AND($E269&lt;&gt;"",NOT(ISNUMBER($E269))),AND($F269&lt;&gt;"",NOT(ISNUMBER($F269))),AND($G269&lt;&gt;"",NOT(ISNUMBER($G269)))),"Fecha no válida"&amp;" · ","")&amp;IF(AND(ISNUMBER($AM269),ISNUMBER($AN269),$AM269&gt;$AN269),"Inicio posterior a fecha límite"&amp;" · ","")&amp;IF(AND($V269="Macro",$H269&lt;&gt;"",OR(NOT(ISNUMBER($H269)),$H269&lt;0,$H269&gt;1)),"Peso fuera de rango"&amp;" · ","")&amp;IF(AND($V269="Sub",$H269&lt;&gt;""),"Las subactividades no llevan peso (valen igual dentro de su macroactividad)"&amp;" · ","")&amp;IF(AND(N($W269)&gt;0,COUNT($I269:$L269)&gt;0),"Con subactividades: deje vacías las semanas (se calculan solas)"&amp;" · ","")&amp;IF((COUNTIF($I269:$L269,"&gt;1")+COUNTIF($I269:$L269,"&lt;0")+COUNTA($I269:$L269)-COUNT($I269:$L269))&gt;0,"Avance fuera de rango 0-100%"&amp;" · ","")&amp;IF(OR(AND($J269&lt;&gt;"",$J269&lt;$I269),AND($K269&lt;&gt;"",$K269&lt;MAX($I269:$J269)),AND($L269&lt;&gt;"",$L269&lt;MAX($I269:$K269))),"Avance semanal decreciente"&amp;" · ","")&amp;IF(AND(ISNUMBER($AN269),$AN269&lt;FechaRef,IF($V269="Sub",N($X269),N($M269))&lt;1),"Vencida"&amp;" · ","")&amp;IF(AND(ObsObligatoria="Sí",ISNUMBER($AN269),$AN269&lt;FechaRef,IF($V269="Sub",N($X269),N($M269))&lt;1,$Q269=""),"Vencida sin observación"&amp;" · ",""))-3)))</f>
        <v/>
      </c>
      <c r="S269" s="64">
        <f>IF(NOT((COUNTA($B269:$D269)+COUNTA($G269:$L269)+COUNTA($Q269))&gt;0),"",IF(AND($V269="Sub",N($U269)&gt;0),IF(ISNUMBER(INDEX($AM$5:$AM$1000,$U269-4)),DATE(YEAR(INDEX($AM$5:$AM$1000,$U269-4)),MONTH(INDEX($AM$5:$AM$1000,$U269-4)),1),IF(ISNUMBER(INDEX($AN$5:$AN$1000,$U269-4)),DATE(YEAR(INDEX($AN$5:$AN$1000,$U269-4)),MONTH(INDEX($AN$5:$AN$1000,$U269-4)),1),MesCiclo)),IF(ISNUMBER($AM269),DATE(YEAR($AM269),MONTH($AM269),1),IF(ISNUMBER($AN269),DATE(YEAR($AN269),MONTH($AN269),1),MesCiclo))))</f>
        <v/>
      </c>
      <c r="T269" s="62">
        <f>IF(OR($S269="",$S269&lt;&gt;MesCiclo,$V269&lt;&gt;"Macro"),"",COUNTIFS($S$5:$S269,MesCiclo,$V$5:$V269,"Macro"))</f>
        <v/>
      </c>
      <c r="U269" s="62">
        <f>IF($V269="","",IF($V269="Macro",ROW(),IFERROR(LOOKUP(2,1/($V$5:$V269="Macro"),ROW($V$5:$V269)),0)))</f>
        <v/>
      </c>
      <c r="V269" s="62">
        <f>IF(NOT((COUNTA($B269:$D269)+COUNTA($G269:$L269)+COUNTA($Q269))&gt;0),"",IF($B269="Subactividad","Sub","Macro"))</f>
        <v/>
      </c>
      <c r="W269" s="62">
        <f>IF($V269="Macro",COUNTIFS($U$5:$U$1000,ROW(),$V$5:$V$1000,"Sub"),"")</f>
        <v/>
      </c>
      <c r="X269" s="62">
        <f>IF($V269="","",IF(ISNUMBER($G269),1,IFERROR(LOOKUP(2,1/($I269:$L269&lt;&gt;""),$I269:$L269),0)))</f>
        <v/>
      </c>
      <c r="Y269" s="62">
        <f>IF($V269="","",IF(AND(ISNUMBER($G269),$G269&lt;=IF($S269=MesCiclo,InicioCiclo,$S269+MOD(2-WEEKDAY($S269),7))+6),1,IF(ISNUMBER($I269),$I269,0)))</f>
        <v/>
      </c>
      <c r="Z269" s="62">
        <f>IF($V269="","",IF(AND(ISNUMBER($G269),$G269&lt;=IF($S269=MesCiclo,InicioCiclo,$S269+MOD(2-WEEKDAY($S269),7))+13),1,IF(ISNUMBER($J269),$J269,$Y269)))</f>
        <v/>
      </c>
      <c r="AA269" s="62">
        <f>IF($V269="","",IF(AND(ISNUMBER($G269),$G269&lt;=IF($S269=MesCiclo,InicioCiclo,$S269+MOD(2-WEEKDAY($S269),7))+20),1,IF(ISNUMBER($K269),$K269,$Z269)))</f>
        <v/>
      </c>
      <c r="AB269" s="62">
        <f>IF($V269="","",IF(AND(ISNUMBER($G269),$G269&lt;=IF($S269=MesCiclo,InicioCiclo,$S269+MOD(2-WEEKDAY($S269),7))+27),1,IF(ISNUMBER($L269),$L269,$AA269)))</f>
        <v/>
      </c>
      <c r="AC269" s="62">
        <f>IF($V269="","",IF(AND(ISNUMBER($G269),$G269&lt;=IF($S269=MesCiclo,InicioCiclo,$S269+MOD(2-WEEKDAY($S269),7))+6),1,IF(N($W269)&gt;0,AVERAGEIFS($Y$5:$Y$1000,$U$5:$U$1000,ROW(),$V$5:$V$1000,"Sub"),$Y269)))</f>
        <v/>
      </c>
      <c r="AD269" s="62">
        <f>IF($V269="","",IF(AND(ISNUMBER($G269),$G269&lt;=IF($S269=MesCiclo,InicioCiclo,$S269+MOD(2-WEEKDAY($S269),7))+13),1,IF(N($W269)&gt;0,AVERAGEIFS($Z$5:$Z$1000,$U$5:$U$1000,ROW(),$V$5:$V$1000,"Sub"),$Z269)))</f>
        <v/>
      </c>
      <c r="AE269" s="62">
        <f>IF($V269="","",IF(AND(ISNUMBER($G269),$G269&lt;=IF($S269=MesCiclo,InicioCiclo,$S269+MOD(2-WEEKDAY($S269),7))+20),1,IF(N($W269)&gt;0,AVERAGEIFS($AA$5:$AA$1000,$U$5:$U$1000,ROW(),$V$5:$V$1000,"Sub"),$AA269)))</f>
        <v/>
      </c>
      <c r="AF269" s="62">
        <f>IF($V269="","",IF(AND(ISNUMBER($G269),$G269&lt;=IF($S269=MesCiclo,InicioCiclo,$S269+MOD(2-WEEKDAY($S269),7))+27),1,IF(N($W269)&gt;0,AVERAGEIFS($AB$5:$AB$1000,$U$5:$U$1000,ROW(),$V$5:$V$1000,"Sub"),$AB269)))</f>
        <v/>
      </c>
      <c r="AG269" s="62">
        <f>IF($V269&lt;&gt;"Macro","",IF(COUNTIFS($S$5:$S$1000,$S269,$V$5:$V$1000,"Macro",$H$5:$H$1000,"&gt;0")=0,1/COUNTIFS($S$5:$S$1000,$S269,$V$5:$V$1000,"Macro"),IF(AND(ISNUMBER($H269),N($H269)&gt;0),$H269,SUMIFS($H$5:$H$1000,$S$5:$S$1000,$S269,$V$5:$V$1000,"Macro")/COUNTIFS($S$5:$S$1000,$S269,$V$5:$V$1000,"Macro",$H$5:$H$1000,"&gt;0"))/(COUNTIFS($S$5:$S$1000,$S269,$V$5:$V$1000,"Macro")*SUMIFS($H$5:$H$1000,$S$5:$S$1000,$S269,$V$5:$V$1000,"Macro")/COUNTIFS($S$5:$S$1000,$S269,$V$5:$V$1000,"Macro",$H$5:$H$1000,"&gt;0"))))</f>
        <v/>
      </c>
      <c r="AH269" s="62" t="n"/>
      <c r="AI269" s="62" t="n"/>
      <c r="AJ269" s="62" t="n"/>
      <c r="AK269" s="62" t="n"/>
      <c r="AL269" s="62">
        <f>IF(LEFT($C269,11)="[Jefatura] ",IFERROR(MATCH("Riesgo Operacional|"&amp;MID($C269,12,500),rDname_ADM,0),0),"")</f>
        <v/>
      </c>
      <c r="AM269" s="62">
        <f>IF(N($AL269)&gt;0,INDEX(rIni_ADM,$AL269),IF(ISNUMBER($E269),$E269,""))</f>
        <v/>
      </c>
      <c r="AN269" s="62">
        <f>IF(N($AL269)&gt;0,INDEX(rLim_ADM,$AL269),IF(ISNUMBER($F269),$F269,""))</f>
        <v/>
      </c>
    </row>
    <row r="270">
      <c r="A270" s="56">
        <f>IF(NOT((COUNTA($B270:$D270)+COUNTA($G270:$L270)+COUNTA($Q270))&gt;0),"",IF($V270="Macro",COUNTIFS($V$5:$V270,"Macro",$S$5:$S270,$S270),IF(N($U270)=0,"?",COUNTIFS(INDEX($V$5:$V$1000,1):INDEX($V$5:$V$1000,$U270-4),"Macro",INDEX($S$5:$S$1000,1):INDEX($S$5:$S$1000,$U270-4),INDEX($S$5:$S$1000,$U270-4))&amp;"."&amp;COUNTIFS($U$5:$U270,$U270,$V$5:$V270,"Sub"))))</f>
        <v/>
      </c>
      <c r="B270" s="57" t="n"/>
      <c r="C270" s="58" t="n"/>
      <c r="D270" s="58" t="n"/>
      <c r="E270" s="59">
        <f>IF(N($AL270)&gt;0,INDEX(rIni_ADM,$AL270),"")</f>
        <v/>
      </c>
      <c r="F270" s="59">
        <f>IF(N($AL270)&gt;0,INDEX(rLim_ADM,$AL270),"")</f>
        <v/>
      </c>
      <c r="G270" s="59" t="n"/>
      <c r="H270" s="60" t="n"/>
      <c r="I270" s="60" t="n"/>
      <c r="J270" s="60" t="n"/>
      <c r="K270" s="60" t="n"/>
      <c r="L270" s="60" t="n"/>
      <c r="M270" s="61">
        <f>IF(NOT((COUNTA($B270:$D270)+COUNTA($G270:$L270)+COUNTA($Q270))&gt;0),"",IF($V270="Sub",IFERROR($X270/INDEX($W$5:$W$1000,$U270-4),""),IF(ISNUMBER($G270),1,IF(N($W270)&gt;0,AVERAGEIFS($X$5:$X$1000,$U$5:$U$1000,ROW(),$V$5:$V$1000,"Sub"),$X270))))</f>
        <v/>
      </c>
      <c r="N270" s="56">
        <f>IF(OR($M270="",$V270="Sub"),"",IF($M270&gt;=1,"Completado",IF($M270&gt;0,"En curso","Pendiente")))</f>
        <v/>
      </c>
      <c r="O270" s="56">
        <f>IF(OR(NOT((COUNTA($B270:$D270)+COUNTA($G270:$L270)+COUNTA($Q270))&gt;0),$V270="Sub"),"",IF(ISNUMBER($G270),IF(AND(ISNUMBER($AN270),$G270&gt;$AN270),"Cumplida con "&amp;($G270-$AN270)&amp;IF($G270-$AN270=1," día"," días")&amp;" de retraso","Cumplida"),IF(N($M270)&gt;=1,"Cumplida",IF(NOT(ISNUMBER($AN270)),"Sin fecha límite",IF($AN270&lt;FechaRef,"Vencida hace "&amp;(FechaRef-$AN270)&amp;IF(FechaRef-$AN270=1," día"," días"),IF($AN270=FechaRef,"Vence hoy",IF($AN270-FechaRef&lt;=DiasAlerta,"Vence en "&amp;($AN270-FechaRef)&amp;IF($AN270-FechaRef=1," día"," días"),"En plazo")))))))</f>
        <v/>
      </c>
      <c r="P270" s="62" t="n"/>
      <c r="Q270" s="58" t="n"/>
      <c r="R270" s="63">
        <f>IF(NOT((COUNTA($B270:$D270)+COUNTA($G270:$L270)+COUNTA($Q270))&gt;0),"",IF((IF($C270="","Falta el nombre de la actividad"&amp;" · ","")&amp;IF(AND($V270="Sub",N($U270)=0),"Subactividad sin macroactividad arriba"&amp;" · ","")&amp;IF($AM270="","Sin fecha de inicio"&amp;" · ","")&amp;IF($AN270="","Sin fecha límite"&amp;" · ","")&amp;IF(AND(LEFT($C270,11)="[Jefatura] ",N($AL270)=0),"No se encuentra en la hoja de la jefatura (elíjala de nuevo en la lista)"&amp;" · ","")&amp;IF(OR(AND($E270&lt;&gt;"",NOT(ISNUMBER($E270))),AND($F270&lt;&gt;"",NOT(ISNUMBER($F270))),AND($G270&lt;&gt;"",NOT(ISNUMBER($G270)))),"Fecha no válida"&amp;" · ","")&amp;IF(AND(ISNUMBER($AM270),ISNUMBER($AN270),$AM270&gt;$AN270),"Inicio posterior a fecha límite"&amp;" · ","")&amp;IF(AND($V270="Macro",$H270&lt;&gt;"",OR(NOT(ISNUMBER($H270)),$H270&lt;0,$H270&gt;1)),"Peso fuera de rango"&amp;" · ","")&amp;IF(AND($V270="Sub",$H270&lt;&gt;""),"Las subactividades no llevan peso (valen igual dentro de su macroactividad)"&amp;" · ","")&amp;IF(AND(N($W270)&gt;0,COUNT($I270:$L270)&gt;0),"Con subactividades: deje vacías las semanas (se calculan solas)"&amp;" · ","")&amp;IF((COUNTIF($I270:$L270,"&gt;1")+COUNTIF($I270:$L270,"&lt;0")+COUNTA($I270:$L270)-COUNT($I270:$L270))&gt;0,"Avance fuera de rango 0-100%"&amp;" · ","")&amp;IF(OR(AND($J270&lt;&gt;"",$J270&lt;$I270),AND($K270&lt;&gt;"",$K270&lt;MAX($I270:$J270)),AND($L270&lt;&gt;"",$L270&lt;MAX($I270:$K270))),"Avance semanal decreciente"&amp;" · ","")&amp;IF(AND(ISNUMBER($AN270),$AN270&lt;FechaRef,IF($V270="Sub",N($X270),N($M270))&lt;1),"Vencida"&amp;" · ","")&amp;IF(AND(ObsObligatoria="Sí",ISNUMBER($AN270),$AN270&lt;FechaRef,IF($V270="Sub",N($X270),N($M270))&lt;1,$Q270=""),"Vencida sin observación"&amp;" · ",""))="","✔ OK","⚠ "&amp;LEFT(IF($C270="","Falta el nombre de la actividad"&amp;" · ","")&amp;IF(AND($V270="Sub",N($U270)=0),"Subactividad sin macroactividad arriba"&amp;" · ","")&amp;IF($AM270="","Sin fecha de inicio"&amp;" · ","")&amp;IF($AN270="","Sin fecha límite"&amp;" · ","")&amp;IF(AND(LEFT($C270,11)="[Jefatura] ",N($AL270)=0),"No se encuentra en la hoja de la jefatura (elíjala de nuevo en la lista)"&amp;" · ","")&amp;IF(OR(AND($E270&lt;&gt;"",NOT(ISNUMBER($E270))),AND($F270&lt;&gt;"",NOT(ISNUMBER($F270))),AND($G270&lt;&gt;"",NOT(ISNUMBER($G270)))),"Fecha no válida"&amp;" · ","")&amp;IF(AND(ISNUMBER($AM270),ISNUMBER($AN270),$AM270&gt;$AN270),"Inicio posterior a fecha límite"&amp;" · ","")&amp;IF(AND($V270="Macro",$H270&lt;&gt;"",OR(NOT(ISNUMBER($H270)),$H270&lt;0,$H270&gt;1)),"Peso fuera de rango"&amp;" · ","")&amp;IF(AND($V270="Sub",$H270&lt;&gt;""),"Las subactividades no llevan peso (valen igual dentro de su macroactividad)"&amp;" · ","")&amp;IF(AND(N($W270)&gt;0,COUNT($I270:$L270)&gt;0),"Con subactividades: deje vacías las semanas (se calculan solas)"&amp;" · ","")&amp;IF((COUNTIF($I270:$L270,"&gt;1")+COUNTIF($I270:$L270,"&lt;0")+COUNTA($I270:$L270)-COUNT($I270:$L270))&gt;0,"Avance fuera de rango 0-100%"&amp;" · ","")&amp;IF(OR(AND($J270&lt;&gt;"",$J270&lt;$I270),AND($K270&lt;&gt;"",$K270&lt;MAX($I270:$J270)),AND($L270&lt;&gt;"",$L270&lt;MAX($I270:$K270))),"Avance semanal decreciente"&amp;" · ","")&amp;IF(AND(ISNUMBER($AN270),$AN270&lt;FechaRef,IF($V270="Sub",N($X270),N($M270))&lt;1),"Vencida"&amp;" · ","")&amp;IF(AND(ObsObligatoria="Sí",ISNUMBER($AN270),$AN270&lt;FechaRef,IF($V270="Sub",N($X270),N($M270))&lt;1,$Q270=""),"Vencida sin observación"&amp;" · ",""),LEN(IF($C270="","Falta el nombre de la actividad"&amp;" · ","")&amp;IF(AND($V270="Sub",N($U270)=0),"Subactividad sin macroactividad arriba"&amp;" · ","")&amp;IF($AM270="","Sin fecha de inicio"&amp;" · ","")&amp;IF($AN270="","Sin fecha límite"&amp;" · ","")&amp;IF(AND(LEFT($C270,11)="[Jefatura] ",N($AL270)=0),"No se encuentra en la hoja de la jefatura (elíjala de nuevo en la lista)"&amp;" · ","")&amp;IF(OR(AND($E270&lt;&gt;"",NOT(ISNUMBER($E270))),AND($F270&lt;&gt;"",NOT(ISNUMBER($F270))),AND($G270&lt;&gt;"",NOT(ISNUMBER($G270)))),"Fecha no válida"&amp;" · ","")&amp;IF(AND(ISNUMBER($AM270),ISNUMBER($AN270),$AM270&gt;$AN270),"Inicio posterior a fecha límite"&amp;" · ","")&amp;IF(AND($V270="Macro",$H270&lt;&gt;"",OR(NOT(ISNUMBER($H270)),$H270&lt;0,$H270&gt;1)),"Peso fuera de rango"&amp;" · ","")&amp;IF(AND($V270="Sub",$H270&lt;&gt;""),"Las subactividades no llevan peso (valen igual dentro de su macroactividad)"&amp;" · ","")&amp;IF(AND(N($W270)&gt;0,COUNT($I270:$L270)&gt;0),"Con subactividades: deje vacías las semanas (se calculan solas)"&amp;" · ","")&amp;IF((COUNTIF($I270:$L270,"&gt;1")+COUNTIF($I270:$L270,"&lt;0")+COUNTA($I270:$L270)-COUNT($I270:$L270))&gt;0,"Avance fuera de rango 0-100%"&amp;" · ","")&amp;IF(OR(AND($J270&lt;&gt;"",$J270&lt;$I270),AND($K270&lt;&gt;"",$K270&lt;MAX($I270:$J270)),AND($L270&lt;&gt;"",$L270&lt;MAX($I270:$K270))),"Avance semanal decreciente"&amp;" · ","")&amp;IF(AND(ISNUMBER($AN270),$AN270&lt;FechaRef,IF($V270="Sub",N($X270),N($M270))&lt;1),"Vencida"&amp;" · ","")&amp;IF(AND(ObsObligatoria="Sí",ISNUMBER($AN270),$AN270&lt;FechaRef,IF($V270="Sub",N($X270),N($M270))&lt;1,$Q270=""),"Vencida sin observación"&amp;" · ",""))-3)))</f>
        <v/>
      </c>
      <c r="S270" s="64">
        <f>IF(NOT((COUNTA($B270:$D270)+COUNTA($G270:$L270)+COUNTA($Q270))&gt;0),"",IF(AND($V270="Sub",N($U270)&gt;0),IF(ISNUMBER(INDEX($AM$5:$AM$1000,$U270-4)),DATE(YEAR(INDEX($AM$5:$AM$1000,$U270-4)),MONTH(INDEX($AM$5:$AM$1000,$U270-4)),1),IF(ISNUMBER(INDEX($AN$5:$AN$1000,$U270-4)),DATE(YEAR(INDEX($AN$5:$AN$1000,$U270-4)),MONTH(INDEX($AN$5:$AN$1000,$U270-4)),1),MesCiclo)),IF(ISNUMBER($AM270),DATE(YEAR($AM270),MONTH($AM270),1),IF(ISNUMBER($AN270),DATE(YEAR($AN270),MONTH($AN270),1),MesCiclo))))</f>
        <v/>
      </c>
      <c r="T270" s="62">
        <f>IF(OR($S270="",$S270&lt;&gt;MesCiclo,$V270&lt;&gt;"Macro"),"",COUNTIFS($S$5:$S270,MesCiclo,$V$5:$V270,"Macro"))</f>
        <v/>
      </c>
      <c r="U270" s="62">
        <f>IF($V270="","",IF($V270="Macro",ROW(),IFERROR(LOOKUP(2,1/($V$5:$V270="Macro"),ROW($V$5:$V270)),0)))</f>
        <v/>
      </c>
      <c r="V270" s="62">
        <f>IF(NOT((COUNTA($B270:$D270)+COUNTA($G270:$L270)+COUNTA($Q270))&gt;0),"",IF($B270="Subactividad","Sub","Macro"))</f>
        <v/>
      </c>
      <c r="W270" s="62">
        <f>IF($V270="Macro",COUNTIFS($U$5:$U$1000,ROW(),$V$5:$V$1000,"Sub"),"")</f>
        <v/>
      </c>
      <c r="X270" s="62">
        <f>IF($V270="","",IF(ISNUMBER($G270),1,IFERROR(LOOKUP(2,1/($I270:$L270&lt;&gt;""),$I270:$L270),0)))</f>
        <v/>
      </c>
      <c r="Y270" s="62">
        <f>IF($V270="","",IF(AND(ISNUMBER($G270),$G270&lt;=IF($S270=MesCiclo,InicioCiclo,$S270+MOD(2-WEEKDAY($S270),7))+6),1,IF(ISNUMBER($I270),$I270,0)))</f>
        <v/>
      </c>
      <c r="Z270" s="62">
        <f>IF($V270="","",IF(AND(ISNUMBER($G270),$G270&lt;=IF($S270=MesCiclo,InicioCiclo,$S270+MOD(2-WEEKDAY($S270),7))+13),1,IF(ISNUMBER($J270),$J270,$Y270)))</f>
        <v/>
      </c>
      <c r="AA270" s="62">
        <f>IF($V270="","",IF(AND(ISNUMBER($G270),$G270&lt;=IF($S270=MesCiclo,InicioCiclo,$S270+MOD(2-WEEKDAY($S270),7))+20),1,IF(ISNUMBER($K270),$K270,$Z270)))</f>
        <v/>
      </c>
      <c r="AB270" s="62">
        <f>IF($V270="","",IF(AND(ISNUMBER($G270),$G270&lt;=IF($S270=MesCiclo,InicioCiclo,$S270+MOD(2-WEEKDAY($S270),7))+27),1,IF(ISNUMBER($L270),$L270,$AA270)))</f>
        <v/>
      </c>
      <c r="AC270" s="62">
        <f>IF($V270="","",IF(AND(ISNUMBER($G270),$G270&lt;=IF($S270=MesCiclo,InicioCiclo,$S270+MOD(2-WEEKDAY($S270),7))+6),1,IF(N($W270)&gt;0,AVERAGEIFS($Y$5:$Y$1000,$U$5:$U$1000,ROW(),$V$5:$V$1000,"Sub"),$Y270)))</f>
        <v/>
      </c>
      <c r="AD270" s="62">
        <f>IF($V270="","",IF(AND(ISNUMBER($G270),$G270&lt;=IF($S270=MesCiclo,InicioCiclo,$S270+MOD(2-WEEKDAY($S270),7))+13),1,IF(N($W270)&gt;0,AVERAGEIFS($Z$5:$Z$1000,$U$5:$U$1000,ROW(),$V$5:$V$1000,"Sub"),$Z270)))</f>
        <v/>
      </c>
      <c r="AE270" s="62">
        <f>IF($V270="","",IF(AND(ISNUMBER($G270),$G270&lt;=IF($S270=MesCiclo,InicioCiclo,$S270+MOD(2-WEEKDAY($S270),7))+20),1,IF(N($W270)&gt;0,AVERAGEIFS($AA$5:$AA$1000,$U$5:$U$1000,ROW(),$V$5:$V$1000,"Sub"),$AA270)))</f>
        <v/>
      </c>
      <c r="AF270" s="62">
        <f>IF($V270="","",IF(AND(ISNUMBER($G270),$G270&lt;=IF($S270=MesCiclo,InicioCiclo,$S270+MOD(2-WEEKDAY($S270),7))+27),1,IF(N($W270)&gt;0,AVERAGEIFS($AB$5:$AB$1000,$U$5:$U$1000,ROW(),$V$5:$V$1000,"Sub"),$AB270)))</f>
        <v/>
      </c>
      <c r="AG270" s="62">
        <f>IF($V270&lt;&gt;"Macro","",IF(COUNTIFS($S$5:$S$1000,$S270,$V$5:$V$1000,"Macro",$H$5:$H$1000,"&gt;0")=0,1/COUNTIFS($S$5:$S$1000,$S270,$V$5:$V$1000,"Macro"),IF(AND(ISNUMBER($H270),N($H270)&gt;0),$H270,SUMIFS($H$5:$H$1000,$S$5:$S$1000,$S270,$V$5:$V$1000,"Macro")/COUNTIFS($S$5:$S$1000,$S270,$V$5:$V$1000,"Macro",$H$5:$H$1000,"&gt;0"))/(COUNTIFS($S$5:$S$1000,$S270,$V$5:$V$1000,"Macro")*SUMIFS($H$5:$H$1000,$S$5:$S$1000,$S270,$V$5:$V$1000,"Macro")/COUNTIFS($S$5:$S$1000,$S270,$V$5:$V$1000,"Macro",$H$5:$H$1000,"&gt;0"))))</f>
        <v/>
      </c>
      <c r="AH270" s="62" t="n"/>
      <c r="AI270" s="62" t="n"/>
      <c r="AJ270" s="62" t="n"/>
      <c r="AK270" s="62" t="n"/>
      <c r="AL270" s="62">
        <f>IF(LEFT($C270,11)="[Jefatura] ",IFERROR(MATCH("Riesgo Operacional|"&amp;MID($C270,12,500),rDname_ADM,0),0),"")</f>
        <v/>
      </c>
      <c r="AM270" s="62">
        <f>IF(N($AL270)&gt;0,INDEX(rIni_ADM,$AL270),IF(ISNUMBER($E270),$E270,""))</f>
        <v/>
      </c>
      <c r="AN270" s="62">
        <f>IF(N($AL270)&gt;0,INDEX(rLim_ADM,$AL270),IF(ISNUMBER($F270),$F270,""))</f>
        <v/>
      </c>
    </row>
    <row r="271">
      <c r="A271" s="56">
        <f>IF(NOT((COUNTA($B271:$D271)+COUNTA($G271:$L271)+COUNTA($Q271))&gt;0),"",IF($V271="Macro",COUNTIFS($V$5:$V271,"Macro",$S$5:$S271,$S271),IF(N($U271)=0,"?",COUNTIFS(INDEX($V$5:$V$1000,1):INDEX($V$5:$V$1000,$U271-4),"Macro",INDEX($S$5:$S$1000,1):INDEX($S$5:$S$1000,$U271-4),INDEX($S$5:$S$1000,$U271-4))&amp;"."&amp;COUNTIFS($U$5:$U271,$U271,$V$5:$V271,"Sub"))))</f>
        <v/>
      </c>
      <c r="B271" s="57" t="n"/>
      <c r="C271" s="58" t="n"/>
      <c r="D271" s="58" t="n"/>
      <c r="E271" s="59">
        <f>IF(N($AL271)&gt;0,INDEX(rIni_ADM,$AL271),"")</f>
        <v/>
      </c>
      <c r="F271" s="59">
        <f>IF(N($AL271)&gt;0,INDEX(rLim_ADM,$AL271),"")</f>
        <v/>
      </c>
      <c r="G271" s="59" t="n"/>
      <c r="H271" s="60" t="n"/>
      <c r="I271" s="60" t="n"/>
      <c r="J271" s="60" t="n"/>
      <c r="K271" s="60" t="n"/>
      <c r="L271" s="60" t="n"/>
      <c r="M271" s="61">
        <f>IF(NOT((COUNTA($B271:$D271)+COUNTA($G271:$L271)+COUNTA($Q271))&gt;0),"",IF($V271="Sub",IFERROR($X271/INDEX($W$5:$W$1000,$U271-4),""),IF(ISNUMBER($G271),1,IF(N($W271)&gt;0,AVERAGEIFS($X$5:$X$1000,$U$5:$U$1000,ROW(),$V$5:$V$1000,"Sub"),$X271))))</f>
        <v/>
      </c>
      <c r="N271" s="56">
        <f>IF(OR($M271="",$V271="Sub"),"",IF($M271&gt;=1,"Completado",IF($M271&gt;0,"En curso","Pendiente")))</f>
        <v/>
      </c>
      <c r="O271" s="56">
        <f>IF(OR(NOT((COUNTA($B271:$D271)+COUNTA($G271:$L271)+COUNTA($Q271))&gt;0),$V271="Sub"),"",IF(ISNUMBER($G271),IF(AND(ISNUMBER($AN271),$G271&gt;$AN271),"Cumplida con "&amp;($G271-$AN271)&amp;IF($G271-$AN271=1," día"," días")&amp;" de retraso","Cumplida"),IF(N($M271)&gt;=1,"Cumplida",IF(NOT(ISNUMBER($AN271)),"Sin fecha límite",IF($AN271&lt;FechaRef,"Vencida hace "&amp;(FechaRef-$AN271)&amp;IF(FechaRef-$AN271=1," día"," días"),IF($AN271=FechaRef,"Vence hoy",IF($AN271-FechaRef&lt;=DiasAlerta,"Vence en "&amp;($AN271-FechaRef)&amp;IF($AN271-FechaRef=1," día"," días"),"En plazo")))))))</f>
        <v/>
      </c>
      <c r="P271" s="62" t="n"/>
      <c r="Q271" s="58" t="n"/>
      <c r="R271" s="63">
        <f>IF(NOT((COUNTA($B271:$D271)+COUNTA($G271:$L271)+COUNTA($Q271))&gt;0),"",IF((IF($C271="","Falta el nombre de la actividad"&amp;" · ","")&amp;IF(AND($V271="Sub",N($U271)=0),"Subactividad sin macroactividad arriba"&amp;" · ","")&amp;IF($AM271="","Sin fecha de inicio"&amp;" · ","")&amp;IF($AN271="","Sin fecha límite"&amp;" · ","")&amp;IF(AND(LEFT($C271,11)="[Jefatura] ",N($AL271)=0),"No se encuentra en la hoja de la jefatura (elíjala de nuevo en la lista)"&amp;" · ","")&amp;IF(OR(AND($E271&lt;&gt;"",NOT(ISNUMBER($E271))),AND($F271&lt;&gt;"",NOT(ISNUMBER($F271))),AND($G271&lt;&gt;"",NOT(ISNUMBER($G271)))),"Fecha no válida"&amp;" · ","")&amp;IF(AND(ISNUMBER($AM271),ISNUMBER($AN271),$AM271&gt;$AN271),"Inicio posterior a fecha límite"&amp;" · ","")&amp;IF(AND($V271="Macro",$H271&lt;&gt;"",OR(NOT(ISNUMBER($H271)),$H271&lt;0,$H271&gt;1)),"Peso fuera de rango"&amp;" · ","")&amp;IF(AND($V271="Sub",$H271&lt;&gt;""),"Las subactividades no llevan peso (valen igual dentro de su macroactividad)"&amp;" · ","")&amp;IF(AND(N($W271)&gt;0,COUNT($I271:$L271)&gt;0),"Con subactividades: deje vacías las semanas (se calculan solas)"&amp;" · ","")&amp;IF((COUNTIF($I271:$L271,"&gt;1")+COUNTIF($I271:$L271,"&lt;0")+COUNTA($I271:$L271)-COUNT($I271:$L271))&gt;0,"Avance fuera de rango 0-100%"&amp;" · ","")&amp;IF(OR(AND($J271&lt;&gt;"",$J271&lt;$I271),AND($K271&lt;&gt;"",$K271&lt;MAX($I271:$J271)),AND($L271&lt;&gt;"",$L271&lt;MAX($I271:$K271))),"Avance semanal decreciente"&amp;" · ","")&amp;IF(AND(ISNUMBER($AN271),$AN271&lt;FechaRef,IF($V271="Sub",N($X271),N($M271))&lt;1),"Vencida"&amp;" · ","")&amp;IF(AND(ObsObligatoria="Sí",ISNUMBER($AN271),$AN271&lt;FechaRef,IF($V271="Sub",N($X271),N($M271))&lt;1,$Q271=""),"Vencida sin observación"&amp;" · ",""))="","✔ OK","⚠ "&amp;LEFT(IF($C271="","Falta el nombre de la actividad"&amp;" · ","")&amp;IF(AND($V271="Sub",N($U271)=0),"Subactividad sin macroactividad arriba"&amp;" · ","")&amp;IF($AM271="","Sin fecha de inicio"&amp;" · ","")&amp;IF($AN271="","Sin fecha límite"&amp;" · ","")&amp;IF(AND(LEFT($C271,11)="[Jefatura] ",N($AL271)=0),"No se encuentra en la hoja de la jefatura (elíjala de nuevo en la lista)"&amp;" · ","")&amp;IF(OR(AND($E271&lt;&gt;"",NOT(ISNUMBER($E271))),AND($F271&lt;&gt;"",NOT(ISNUMBER($F271))),AND($G271&lt;&gt;"",NOT(ISNUMBER($G271)))),"Fecha no válida"&amp;" · ","")&amp;IF(AND(ISNUMBER($AM271),ISNUMBER($AN271),$AM271&gt;$AN271),"Inicio posterior a fecha límite"&amp;" · ","")&amp;IF(AND($V271="Macro",$H271&lt;&gt;"",OR(NOT(ISNUMBER($H271)),$H271&lt;0,$H271&gt;1)),"Peso fuera de rango"&amp;" · ","")&amp;IF(AND($V271="Sub",$H271&lt;&gt;""),"Las subactividades no llevan peso (valen igual dentro de su macroactividad)"&amp;" · ","")&amp;IF(AND(N($W271)&gt;0,COUNT($I271:$L271)&gt;0),"Con subactividades: deje vacías las semanas (se calculan solas)"&amp;" · ","")&amp;IF((COUNTIF($I271:$L271,"&gt;1")+COUNTIF($I271:$L271,"&lt;0")+COUNTA($I271:$L271)-COUNT($I271:$L271))&gt;0,"Avance fuera de rango 0-100%"&amp;" · ","")&amp;IF(OR(AND($J271&lt;&gt;"",$J271&lt;$I271),AND($K271&lt;&gt;"",$K271&lt;MAX($I271:$J271)),AND($L271&lt;&gt;"",$L271&lt;MAX($I271:$K271))),"Avance semanal decreciente"&amp;" · ","")&amp;IF(AND(ISNUMBER($AN271),$AN271&lt;FechaRef,IF($V271="Sub",N($X271),N($M271))&lt;1),"Vencida"&amp;" · ","")&amp;IF(AND(ObsObligatoria="Sí",ISNUMBER($AN271),$AN271&lt;FechaRef,IF($V271="Sub",N($X271),N($M271))&lt;1,$Q271=""),"Vencida sin observación"&amp;" · ",""),LEN(IF($C271="","Falta el nombre de la actividad"&amp;" · ","")&amp;IF(AND($V271="Sub",N($U271)=0),"Subactividad sin macroactividad arriba"&amp;" · ","")&amp;IF($AM271="","Sin fecha de inicio"&amp;" · ","")&amp;IF($AN271="","Sin fecha límite"&amp;" · ","")&amp;IF(AND(LEFT($C271,11)="[Jefatura] ",N($AL271)=0),"No se encuentra en la hoja de la jefatura (elíjala de nuevo en la lista)"&amp;" · ","")&amp;IF(OR(AND($E271&lt;&gt;"",NOT(ISNUMBER($E271))),AND($F271&lt;&gt;"",NOT(ISNUMBER($F271))),AND($G271&lt;&gt;"",NOT(ISNUMBER($G271)))),"Fecha no válida"&amp;" · ","")&amp;IF(AND(ISNUMBER($AM271),ISNUMBER($AN271),$AM271&gt;$AN271),"Inicio posterior a fecha límite"&amp;" · ","")&amp;IF(AND($V271="Macro",$H271&lt;&gt;"",OR(NOT(ISNUMBER($H271)),$H271&lt;0,$H271&gt;1)),"Peso fuera de rango"&amp;" · ","")&amp;IF(AND($V271="Sub",$H271&lt;&gt;""),"Las subactividades no llevan peso (valen igual dentro de su macroactividad)"&amp;" · ","")&amp;IF(AND(N($W271)&gt;0,COUNT($I271:$L271)&gt;0),"Con subactividades: deje vacías las semanas (se calculan solas)"&amp;" · ","")&amp;IF((COUNTIF($I271:$L271,"&gt;1")+COUNTIF($I271:$L271,"&lt;0")+COUNTA($I271:$L271)-COUNT($I271:$L271))&gt;0,"Avance fuera de rango 0-100%"&amp;" · ","")&amp;IF(OR(AND($J271&lt;&gt;"",$J271&lt;$I271),AND($K271&lt;&gt;"",$K271&lt;MAX($I271:$J271)),AND($L271&lt;&gt;"",$L271&lt;MAX($I271:$K271))),"Avance semanal decreciente"&amp;" · ","")&amp;IF(AND(ISNUMBER($AN271),$AN271&lt;FechaRef,IF($V271="Sub",N($X271),N($M271))&lt;1),"Vencida"&amp;" · ","")&amp;IF(AND(ObsObligatoria="Sí",ISNUMBER($AN271),$AN271&lt;FechaRef,IF($V271="Sub",N($X271),N($M271))&lt;1,$Q271=""),"Vencida sin observación"&amp;" · ",""))-3)))</f>
        <v/>
      </c>
      <c r="S271" s="64">
        <f>IF(NOT((COUNTA($B271:$D271)+COUNTA($G271:$L271)+COUNTA($Q271))&gt;0),"",IF(AND($V271="Sub",N($U271)&gt;0),IF(ISNUMBER(INDEX($AM$5:$AM$1000,$U271-4)),DATE(YEAR(INDEX($AM$5:$AM$1000,$U271-4)),MONTH(INDEX($AM$5:$AM$1000,$U271-4)),1),IF(ISNUMBER(INDEX($AN$5:$AN$1000,$U271-4)),DATE(YEAR(INDEX($AN$5:$AN$1000,$U271-4)),MONTH(INDEX($AN$5:$AN$1000,$U271-4)),1),MesCiclo)),IF(ISNUMBER($AM271),DATE(YEAR($AM271),MONTH($AM271),1),IF(ISNUMBER($AN271),DATE(YEAR($AN271),MONTH($AN271),1),MesCiclo))))</f>
        <v/>
      </c>
      <c r="T271" s="62">
        <f>IF(OR($S271="",$S271&lt;&gt;MesCiclo,$V271&lt;&gt;"Macro"),"",COUNTIFS($S$5:$S271,MesCiclo,$V$5:$V271,"Macro"))</f>
        <v/>
      </c>
      <c r="U271" s="62">
        <f>IF($V271="","",IF($V271="Macro",ROW(),IFERROR(LOOKUP(2,1/($V$5:$V271="Macro"),ROW($V$5:$V271)),0)))</f>
        <v/>
      </c>
      <c r="V271" s="62">
        <f>IF(NOT((COUNTA($B271:$D271)+COUNTA($G271:$L271)+COUNTA($Q271))&gt;0),"",IF($B271="Subactividad","Sub","Macro"))</f>
        <v/>
      </c>
      <c r="W271" s="62">
        <f>IF($V271="Macro",COUNTIFS($U$5:$U$1000,ROW(),$V$5:$V$1000,"Sub"),"")</f>
        <v/>
      </c>
      <c r="X271" s="62">
        <f>IF($V271="","",IF(ISNUMBER($G271),1,IFERROR(LOOKUP(2,1/($I271:$L271&lt;&gt;""),$I271:$L271),0)))</f>
        <v/>
      </c>
      <c r="Y271" s="62">
        <f>IF($V271="","",IF(AND(ISNUMBER($G271),$G271&lt;=IF($S271=MesCiclo,InicioCiclo,$S271+MOD(2-WEEKDAY($S271),7))+6),1,IF(ISNUMBER($I271),$I271,0)))</f>
        <v/>
      </c>
      <c r="Z271" s="62">
        <f>IF($V271="","",IF(AND(ISNUMBER($G271),$G271&lt;=IF($S271=MesCiclo,InicioCiclo,$S271+MOD(2-WEEKDAY($S271),7))+13),1,IF(ISNUMBER($J271),$J271,$Y271)))</f>
        <v/>
      </c>
      <c r="AA271" s="62">
        <f>IF($V271="","",IF(AND(ISNUMBER($G271),$G271&lt;=IF($S271=MesCiclo,InicioCiclo,$S271+MOD(2-WEEKDAY($S271),7))+20),1,IF(ISNUMBER($K271),$K271,$Z271)))</f>
        <v/>
      </c>
      <c r="AB271" s="62">
        <f>IF($V271="","",IF(AND(ISNUMBER($G271),$G271&lt;=IF($S271=MesCiclo,InicioCiclo,$S271+MOD(2-WEEKDAY($S271),7))+27),1,IF(ISNUMBER($L271),$L271,$AA271)))</f>
        <v/>
      </c>
      <c r="AC271" s="62">
        <f>IF($V271="","",IF(AND(ISNUMBER($G271),$G271&lt;=IF($S271=MesCiclo,InicioCiclo,$S271+MOD(2-WEEKDAY($S271),7))+6),1,IF(N($W271)&gt;0,AVERAGEIFS($Y$5:$Y$1000,$U$5:$U$1000,ROW(),$V$5:$V$1000,"Sub"),$Y271)))</f>
        <v/>
      </c>
      <c r="AD271" s="62">
        <f>IF($V271="","",IF(AND(ISNUMBER($G271),$G271&lt;=IF($S271=MesCiclo,InicioCiclo,$S271+MOD(2-WEEKDAY($S271),7))+13),1,IF(N($W271)&gt;0,AVERAGEIFS($Z$5:$Z$1000,$U$5:$U$1000,ROW(),$V$5:$V$1000,"Sub"),$Z271)))</f>
        <v/>
      </c>
      <c r="AE271" s="62">
        <f>IF($V271="","",IF(AND(ISNUMBER($G271),$G271&lt;=IF($S271=MesCiclo,InicioCiclo,$S271+MOD(2-WEEKDAY($S271),7))+20),1,IF(N($W271)&gt;0,AVERAGEIFS($AA$5:$AA$1000,$U$5:$U$1000,ROW(),$V$5:$V$1000,"Sub"),$AA271)))</f>
        <v/>
      </c>
      <c r="AF271" s="62">
        <f>IF($V271="","",IF(AND(ISNUMBER($G271),$G271&lt;=IF($S271=MesCiclo,InicioCiclo,$S271+MOD(2-WEEKDAY($S271),7))+27),1,IF(N($W271)&gt;0,AVERAGEIFS($AB$5:$AB$1000,$U$5:$U$1000,ROW(),$V$5:$V$1000,"Sub"),$AB271)))</f>
        <v/>
      </c>
      <c r="AG271" s="62">
        <f>IF($V271&lt;&gt;"Macro","",IF(COUNTIFS($S$5:$S$1000,$S271,$V$5:$V$1000,"Macro",$H$5:$H$1000,"&gt;0")=0,1/COUNTIFS($S$5:$S$1000,$S271,$V$5:$V$1000,"Macro"),IF(AND(ISNUMBER($H271),N($H271)&gt;0),$H271,SUMIFS($H$5:$H$1000,$S$5:$S$1000,$S271,$V$5:$V$1000,"Macro")/COUNTIFS($S$5:$S$1000,$S271,$V$5:$V$1000,"Macro",$H$5:$H$1000,"&gt;0"))/(COUNTIFS($S$5:$S$1000,$S271,$V$5:$V$1000,"Macro")*SUMIFS($H$5:$H$1000,$S$5:$S$1000,$S271,$V$5:$V$1000,"Macro")/COUNTIFS($S$5:$S$1000,$S271,$V$5:$V$1000,"Macro",$H$5:$H$1000,"&gt;0"))))</f>
        <v/>
      </c>
      <c r="AH271" s="62" t="n"/>
      <c r="AI271" s="62" t="n"/>
      <c r="AJ271" s="62" t="n"/>
      <c r="AK271" s="62" t="n"/>
      <c r="AL271" s="62">
        <f>IF(LEFT($C271,11)="[Jefatura] ",IFERROR(MATCH("Riesgo Operacional|"&amp;MID($C271,12,500),rDname_ADM,0),0),"")</f>
        <v/>
      </c>
      <c r="AM271" s="62">
        <f>IF(N($AL271)&gt;0,INDEX(rIni_ADM,$AL271),IF(ISNUMBER($E271),$E271,""))</f>
        <v/>
      </c>
      <c r="AN271" s="62">
        <f>IF(N($AL271)&gt;0,INDEX(rLim_ADM,$AL271),IF(ISNUMBER($F271),$F271,""))</f>
        <v/>
      </c>
    </row>
    <row r="272">
      <c r="A272" s="56">
        <f>IF(NOT((COUNTA($B272:$D272)+COUNTA($G272:$L272)+COUNTA($Q272))&gt;0),"",IF($V272="Macro",COUNTIFS($V$5:$V272,"Macro",$S$5:$S272,$S272),IF(N($U272)=0,"?",COUNTIFS(INDEX($V$5:$V$1000,1):INDEX($V$5:$V$1000,$U272-4),"Macro",INDEX($S$5:$S$1000,1):INDEX($S$5:$S$1000,$U272-4),INDEX($S$5:$S$1000,$U272-4))&amp;"."&amp;COUNTIFS($U$5:$U272,$U272,$V$5:$V272,"Sub"))))</f>
        <v/>
      </c>
      <c r="B272" s="57" t="n"/>
      <c r="C272" s="58" t="n"/>
      <c r="D272" s="58" t="n"/>
      <c r="E272" s="59">
        <f>IF(N($AL272)&gt;0,INDEX(rIni_ADM,$AL272),"")</f>
        <v/>
      </c>
      <c r="F272" s="59">
        <f>IF(N($AL272)&gt;0,INDEX(rLim_ADM,$AL272),"")</f>
        <v/>
      </c>
      <c r="G272" s="59" t="n"/>
      <c r="H272" s="60" t="n"/>
      <c r="I272" s="60" t="n"/>
      <c r="J272" s="60" t="n"/>
      <c r="K272" s="60" t="n"/>
      <c r="L272" s="60" t="n"/>
      <c r="M272" s="61">
        <f>IF(NOT((COUNTA($B272:$D272)+COUNTA($G272:$L272)+COUNTA($Q272))&gt;0),"",IF($V272="Sub",IFERROR($X272/INDEX($W$5:$W$1000,$U272-4),""),IF(ISNUMBER($G272),1,IF(N($W272)&gt;0,AVERAGEIFS($X$5:$X$1000,$U$5:$U$1000,ROW(),$V$5:$V$1000,"Sub"),$X272))))</f>
        <v/>
      </c>
      <c r="N272" s="56">
        <f>IF(OR($M272="",$V272="Sub"),"",IF($M272&gt;=1,"Completado",IF($M272&gt;0,"En curso","Pendiente")))</f>
        <v/>
      </c>
      <c r="O272" s="56">
        <f>IF(OR(NOT((COUNTA($B272:$D272)+COUNTA($G272:$L272)+COUNTA($Q272))&gt;0),$V272="Sub"),"",IF(ISNUMBER($G272),IF(AND(ISNUMBER($AN272),$G272&gt;$AN272),"Cumplida con "&amp;($G272-$AN272)&amp;IF($G272-$AN272=1," día"," días")&amp;" de retraso","Cumplida"),IF(N($M272)&gt;=1,"Cumplida",IF(NOT(ISNUMBER($AN272)),"Sin fecha límite",IF($AN272&lt;FechaRef,"Vencida hace "&amp;(FechaRef-$AN272)&amp;IF(FechaRef-$AN272=1," día"," días"),IF($AN272=FechaRef,"Vence hoy",IF($AN272-FechaRef&lt;=DiasAlerta,"Vence en "&amp;($AN272-FechaRef)&amp;IF($AN272-FechaRef=1," día"," días"),"En plazo")))))))</f>
        <v/>
      </c>
      <c r="P272" s="62" t="n"/>
      <c r="Q272" s="58" t="n"/>
      <c r="R272" s="63">
        <f>IF(NOT((COUNTA($B272:$D272)+COUNTA($G272:$L272)+COUNTA($Q272))&gt;0),"",IF((IF($C272="","Falta el nombre de la actividad"&amp;" · ","")&amp;IF(AND($V272="Sub",N($U272)=0),"Subactividad sin macroactividad arriba"&amp;" · ","")&amp;IF($AM272="","Sin fecha de inicio"&amp;" · ","")&amp;IF($AN272="","Sin fecha límite"&amp;" · ","")&amp;IF(AND(LEFT($C272,11)="[Jefatura] ",N($AL272)=0),"No se encuentra en la hoja de la jefatura (elíjala de nuevo en la lista)"&amp;" · ","")&amp;IF(OR(AND($E272&lt;&gt;"",NOT(ISNUMBER($E272))),AND($F272&lt;&gt;"",NOT(ISNUMBER($F272))),AND($G272&lt;&gt;"",NOT(ISNUMBER($G272)))),"Fecha no válida"&amp;" · ","")&amp;IF(AND(ISNUMBER($AM272),ISNUMBER($AN272),$AM272&gt;$AN272),"Inicio posterior a fecha límite"&amp;" · ","")&amp;IF(AND($V272="Macro",$H272&lt;&gt;"",OR(NOT(ISNUMBER($H272)),$H272&lt;0,$H272&gt;1)),"Peso fuera de rango"&amp;" · ","")&amp;IF(AND($V272="Sub",$H272&lt;&gt;""),"Las subactividades no llevan peso (valen igual dentro de su macroactividad)"&amp;" · ","")&amp;IF(AND(N($W272)&gt;0,COUNT($I272:$L272)&gt;0),"Con subactividades: deje vacías las semanas (se calculan solas)"&amp;" · ","")&amp;IF((COUNTIF($I272:$L272,"&gt;1")+COUNTIF($I272:$L272,"&lt;0")+COUNTA($I272:$L272)-COUNT($I272:$L272))&gt;0,"Avance fuera de rango 0-100%"&amp;" · ","")&amp;IF(OR(AND($J272&lt;&gt;"",$J272&lt;$I272),AND($K272&lt;&gt;"",$K272&lt;MAX($I272:$J272)),AND($L272&lt;&gt;"",$L272&lt;MAX($I272:$K272))),"Avance semanal decreciente"&amp;" · ","")&amp;IF(AND(ISNUMBER($AN272),$AN272&lt;FechaRef,IF($V272="Sub",N($X272),N($M272))&lt;1),"Vencida"&amp;" · ","")&amp;IF(AND(ObsObligatoria="Sí",ISNUMBER($AN272),$AN272&lt;FechaRef,IF($V272="Sub",N($X272),N($M272))&lt;1,$Q272=""),"Vencida sin observación"&amp;" · ",""))="","✔ OK","⚠ "&amp;LEFT(IF($C272="","Falta el nombre de la actividad"&amp;" · ","")&amp;IF(AND($V272="Sub",N($U272)=0),"Subactividad sin macroactividad arriba"&amp;" · ","")&amp;IF($AM272="","Sin fecha de inicio"&amp;" · ","")&amp;IF($AN272="","Sin fecha límite"&amp;" · ","")&amp;IF(AND(LEFT($C272,11)="[Jefatura] ",N($AL272)=0),"No se encuentra en la hoja de la jefatura (elíjala de nuevo en la lista)"&amp;" · ","")&amp;IF(OR(AND($E272&lt;&gt;"",NOT(ISNUMBER($E272))),AND($F272&lt;&gt;"",NOT(ISNUMBER($F272))),AND($G272&lt;&gt;"",NOT(ISNUMBER($G272)))),"Fecha no válida"&amp;" · ","")&amp;IF(AND(ISNUMBER($AM272),ISNUMBER($AN272),$AM272&gt;$AN272),"Inicio posterior a fecha límite"&amp;" · ","")&amp;IF(AND($V272="Macro",$H272&lt;&gt;"",OR(NOT(ISNUMBER($H272)),$H272&lt;0,$H272&gt;1)),"Peso fuera de rango"&amp;" · ","")&amp;IF(AND($V272="Sub",$H272&lt;&gt;""),"Las subactividades no llevan peso (valen igual dentro de su macroactividad)"&amp;" · ","")&amp;IF(AND(N($W272)&gt;0,COUNT($I272:$L272)&gt;0),"Con subactividades: deje vacías las semanas (se calculan solas)"&amp;" · ","")&amp;IF((COUNTIF($I272:$L272,"&gt;1")+COUNTIF($I272:$L272,"&lt;0")+COUNTA($I272:$L272)-COUNT($I272:$L272))&gt;0,"Avance fuera de rango 0-100%"&amp;" · ","")&amp;IF(OR(AND($J272&lt;&gt;"",$J272&lt;$I272),AND($K272&lt;&gt;"",$K272&lt;MAX($I272:$J272)),AND($L272&lt;&gt;"",$L272&lt;MAX($I272:$K272))),"Avance semanal decreciente"&amp;" · ","")&amp;IF(AND(ISNUMBER($AN272),$AN272&lt;FechaRef,IF($V272="Sub",N($X272),N($M272))&lt;1),"Vencida"&amp;" · ","")&amp;IF(AND(ObsObligatoria="Sí",ISNUMBER($AN272),$AN272&lt;FechaRef,IF($V272="Sub",N($X272),N($M272))&lt;1,$Q272=""),"Vencida sin observación"&amp;" · ",""),LEN(IF($C272="","Falta el nombre de la actividad"&amp;" · ","")&amp;IF(AND($V272="Sub",N($U272)=0),"Subactividad sin macroactividad arriba"&amp;" · ","")&amp;IF($AM272="","Sin fecha de inicio"&amp;" · ","")&amp;IF($AN272="","Sin fecha límite"&amp;" · ","")&amp;IF(AND(LEFT($C272,11)="[Jefatura] ",N($AL272)=0),"No se encuentra en la hoja de la jefatura (elíjala de nuevo en la lista)"&amp;" · ","")&amp;IF(OR(AND($E272&lt;&gt;"",NOT(ISNUMBER($E272))),AND($F272&lt;&gt;"",NOT(ISNUMBER($F272))),AND($G272&lt;&gt;"",NOT(ISNUMBER($G272)))),"Fecha no válida"&amp;" · ","")&amp;IF(AND(ISNUMBER($AM272),ISNUMBER($AN272),$AM272&gt;$AN272),"Inicio posterior a fecha límite"&amp;" · ","")&amp;IF(AND($V272="Macro",$H272&lt;&gt;"",OR(NOT(ISNUMBER($H272)),$H272&lt;0,$H272&gt;1)),"Peso fuera de rango"&amp;" · ","")&amp;IF(AND($V272="Sub",$H272&lt;&gt;""),"Las subactividades no llevan peso (valen igual dentro de su macroactividad)"&amp;" · ","")&amp;IF(AND(N($W272)&gt;0,COUNT($I272:$L272)&gt;0),"Con subactividades: deje vacías las semanas (se calculan solas)"&amp;" · ","")&amp;IF((COUNTIF($I272:$L272,"&gt;1")+COUNTIF($I272:$L272,"&lt;0")+COUNTA($I272:$L272)-COUNT($I272:$L272))&gt;0,"Avance fuera de rango 0-100%"&amp;" · ","")&amp;IF(OR(AND($J272&lt;&gt;"",$J272&lt;$I272),AND($K272&lt;&gt;"",$K272&lt;MAX($I272:$J272)),AND($L272&lt;&gt;"",$L272&lt;MAX($I272:$K272))),"Avance semanal decreciente"&amp;" · ","")&amp;IF(AND(ISNUMBER($AN272),$AN272&lt;FechaRef,IF($V272="Sub",N($X272),N($M272))&lt;1),"Vencida"&amp;" · ","")&amp;IF(AND(ObsObligatoria="Sí",ISNUMBER($AN272),$AN272&lt;FechaRef,IF($V272="Sub",N($X272),N($M272))&lt;1,$Q272=""),"Vencida sin observación"&amp;" · ",""))-3)))</f>
        <v/>
      </c>
      <c r="S272" s="64">
        <f>IF(NOT((COUNTA($B272:$D272)+COUNTA($G272:$L272)+COUNTA($Q272))&gt;0),"",IF(AND($V272="Sub",N($U272)&gt;0),IF(ISNUMBER(INDEX($AM$5:$AM$1000,$U272-4)),DATE(YEAR(INDEX($AM$5:$AM$1000,$U272-4)),MONTH(INDEX($AM$5:$AM$1000,$U272-4)),1),IF(ISNUMBER(INDEX($AN$5:$AN$1000,$U272-4)),DATE(YEAR(INDEX($AN$5:$AN$1000,$U272-4)),MONTH(INDEX($AN$5:$AN$1000,$U272-4)),1),MesCiclo)),IF(ISNUMBER($AM272),DATE(YEAR($AM272),MONTH($AM272),1),IF(ISNUMBER($AN272),DATE(YEAR($AN272),MONTH($AN272),1),MesCiclo))))</f>
        <v/>
      </c>
      <c r="T272" s="62">
        <f>IF(OR($S272="",$S272&lt;&gt;MesCiclo,$V272&lt;&gt;"Macro"),"",COUNTIFS($S$5:$S272,MesCiclo,$V$5:$V272,"Macro"))</f>
        <v/>
      </c>
      <c r="U272" s="62">
        <f>IF($V272="","",IF($V272="Macro",ROW(),IFERROR(LOOKUP(2,1/($V$5:$V272="Macro"),ROW($V$5:$V272)),0)))</f>
        <v/>
      </c>
      <c r="V272" s="62">
        <f>IF(NOT((COUNTA($B272:$D272)+COUNTA($G272:$L272)+COUNTA($Q272))&gt;0),"",IF($B272="Subactividad","Sub","Macro"))</f>
        <v/>
      </c>
      <c r="W272" s="62">
        <f>IF($V272="Macro",COUNTIFS($U$5:$U$1000,ROW(),$V$5:$V$1000,"Sub"),"")</f>
        <v/>
      </c>
      <c r="X272" s="62">
        <f>IF($V272="","",IF(ISNUMBER($G272),1,IFERROR(LOOKUP(2,1/($I272:$L272&lt;&gt;""),$I272:$L272),0)))</f>
        <v/>
      </c>
      <c r="Y272" s="62">
        <f>IF($V272="","",IF(AND(ISNUMBER($G272),$G272&lt;=IF($S272=MesCiclo,InicioCiclo,$S272+MOD(2-WEEKDAY($S272),7))+6),1,IF(ISNUMBER($I272),$I272,0)))</f>
        <v/>
      </c>
      <c r="Z272" s="62">
        <f>IF($V272="","",IF(AND(ISNUMBER($G272),$G272&lt;=IF($S272=MesCiclo,InicioCiclo,$S272+MOD(2-WEEKDAY($S272),7))+13),1,IF(ISNUMBER($J272),$J272,$Y272)))</f>
        <v/>
      </c>
      <c r="AA272" s="62">
        <f>IF($V272="","",IF(AND(ISNUMBER($G272),$G272&lt;=IF($S272=MesCiclo,InicioCiclo,$S272+MOD(2-WEEKDAY($S272),7))+20),1,IF(ISNUMBER($K272),$K272,$Z272)))</f>
        <v/>
      </c>
      <c r="AB272" s="62">
        <f>IF($V272="","",IF(AND(ISNUMBER($G272),$G272&lt;=IF($S272=MesCiclo,InicioCiclo,$S272+MOD(2-WEEKDAY($S272),7))+27),1,IF(ISNUMBER($L272),$L272,$AA272)))</f>
        <v/>
      </c>
      <c r="AC272" s="62">
        <f>IF($V272="","",IF(AND(ISNUMBER($G272),$G272&lt;=IF($S272=MesCiclo,InicioCiclo,$S272+MOD(2-WEEKDAY($S272),7))+6),1,IF(N($W272)&gt;0,AVERAGEIFS($Y$5:$Y$1000,$U$5:$U$1000,ROW(),$V$5:$V$1000,"Sub"),$Y272)))</f>
        <v/>
      </c>
      <c r="AD272" s="62">
        <f>IF($V272="","",IF(AND(ISNUMBER($G272),$G272&lt;=IF($S272=MesCiclo,InicioCiclo,$S272+MOD(2-WEEKDAY($S272),7))+13),1,IF(N($W272)&gt;0,AVERAGEIFS($Z$5:$Z$1000,$U$5:$U$1000,ROW(),$V$5:$V$1000,"Sub"),$Z272)))</f>
        <v/>
      </c>
      <c r="AE272" s="62">
        <f>IF($V272="","",IF(AND(ISNUMBER($G272),$G272&lt;=IF($S272=MesCiclo,InicioCiclo,$S272+MOD(2-WEEKDAY($S272),7))+20),1,IF(N($W272)&gt;0,AVERAGEIFS($AA$5:$AA$1000,$U$5:$U$1000,ROW(),$V$5:$V$1000,"Sub"),$AA272)))</f>
        <v/>
      </c>
      <c r="AF272" s="62">
        <f>IF($V272="","",IF(AND(ISNUMBER($G272),$G272&lt;=IF($S272=MesCiclo,InicioCiclo,$S272+MOD(2-WEEKDAY($S272),7))+27),1,IF(N($W272)&gt;0,AVERAGEIFS($AB$5:$AB$1000,$U$5:$U$1000,ROW(),$V$5:$V$1000,"Sub"),$AB272)))</f>
        <v/>
      </c>
      <c r="AG272" s="62">
        <f>IF($V272&lt;&gt;"Macro","",IF(COUNTIFS($S$5:$S$1000,$S272,$V$5:$V$1000,"Macro",$H$5:$H$1000,"&gt;0")=0,1/COUNTIFS($S$5:$S$1000,$S272,$V$5:$V$1000,"Macro"),IF(AND(ISNUMBER($H272),N($H272)&gt;0),$H272,SUMIFS($H$5:$H$1000,$S$5:$S$1000,$S272,$V$5:$V$1000,"Macro")/COUNTIFS($S$5:$S$1000,$S272,$V$5:$V$1000,"Macro",$H$5:$H$1000,"&gt;0"))/(COUNTIFS($S$5:$S$1000,$S272,$V$5:$V$1000,"Macro")*SUMIFS($H$5:$H$1000,$S$5:$S$1000,$S272,$V$5:$V$1000,"Macro")/COUNTIFS($S$5:$S$1000,$S272,$V$5:$V$1000,"Macro",$H$5:$H$1000,"&gt;0"))))</f>
        <v/>
      </c>
      <c r="AH272" s="62" t="n"/>
      <c r="AI272" s="62" t="n"/>
      <c r="AJ272" s="62" t="n"/>
      <c r="AK272" s="62" t="n"/>
      <c r="AL272" s="62">
        <f>IF(LEFT($C272,11)="[Jefatura] ",IFERROR(MATCH("Riesgo Operacional|"&amp;MID($C272,12,500),rDname_ADM,0),0),"")</f>
        <v/>
      </c>
      <c r="AM272" s="62">
        <f>IF(N($AL272)&gt;0,INDEX(rIni_ADM,$AL272),IF(ISNUMBER($E272),$E272,""))</f>
        <v/>
      </c>
      <c r="AN272" s="62">
        <f>IF(N($AL272)&gt;0,INDEX(rLim_ADM,$AL272),IF(ISNUMBER($F272),$F272,""))</f>
        <v/>
      </c>
    </row>
    <row r="273">
      <c r="A273" s="56">
        <f>IF(NOT((COUNTA($B273:$D273)+COUNTA($G273:$L273)+COUNTA($Q273))&gt;0),"",IF($V273="Macro",COUNTIFS($V$5:$V273,"Macro",$S$5:$S273,$S273),IF(N($U273)=0,"?",COUNTIFS(INDEX($V$5:$V$1000,1):INDEX($V$5:$V$1000,$U273-4),"Macro",INDEX($S$5:$S$1000,1):INDEX($S$5:$S$1000,$U273-4),INDEX($S$5:$S$1000,$U273-4))&amp;"."&amp;COUNTIFS($U$5:$U273,$U273,$V$5:$V273,"Sub"))))</f>
        <v/>
      </c>
      <c r="B273" s="57" t="n"/>
      <c r="C273" s="58" t="n"/>
      <c r="D273" s="58" t="n"/>
      <c r="E273" s="59">
        <f>IF(N($AL273)&gt;0,INDEX(rIni_ADM,$AL273),"")</f>
        <v/>
      </c>
      <c r="F273" s="59">
        <f>IF(N($AL273)&gt;0,INDEX(rLim_ADM,$AL273),"")</f>
        <v/>
      </c>
      <c r="G273" s="59" t="n"/>
      <c r="H273" s="60" t="n"/>
      <c r="I273" s="60" t="n"/>
      <c r="J273" s="60" t="n"/>
      <c r="K273" s="60" t="n"/>
      <c r="L273" s="60" t="n"/>
      <c r="M273" s="61">
        <f>IF(NOT((COUNTA($B273:$D273)+COUNTA($G273:$L273)+COUNTA($Q273))&gt;0),"",IF($V273="Sub",IFERROR($X273/INDEX($W$5:$W$1000,$U273-4),""),IF(ISNUMBER($G273),1,IF(N($W273)&gt;0,AVERAGEIFS($X$5:$X$1000,$U$5:$U$1000,ROW(),$V$5:$V$1000,"Sub"),$X273))))</f>
        <v/>
      </c>
      <c r="N273" s="56">
        <f>IF(OR($M273="",$V273="Sub"),"",IF($M273&gt;=1,"Completado",IF($M273&gt;0,"En curso","Pendiente")))</f>
        <v/>
      </c>
      <c r="O273" s="56">
        <f>IF(OR(NOT((COUNTA($B273:$D273)+COUNTA($G273:$L273)+COUNTA($Q273))&gt;0),$V273="Sub"),"",IF(ISNUMBER($G273),IF(AND(ISNUMBER($AN273),$G273&gt;$AN273),"Cumplida con "&amp;($G273-$AN273)&amp;IF($G273-$AN273=1," día"," días")&amp;" de retraso","Cumplida"),IF(N($M273)&gt;=1,"Cumplida",IF(NOT(ISNUMBER($AN273)),"Sin fecha límite",IF($AN273&lt;FechaRef,"Vencida hace "&amp;(FechaRef-$AN273)&amp;IF(FechaRef-$AN273=1," día"," días"),IF($AN273=FechaRef,"Vence hoy",IF($AN273-FechaRef&lt;=DiasAlerta,"Vence en "&amp;($AN273-FechaRef)&amp;IF($AN273-FechaRef=1," día"," días"),"En plazo")))))))</f>
        <v/>
      </c>
      <c r="P273" s="62" t="n"/>
      <c r="Q273" s="58" t="n"/>
      <c r="R273" s="63">
        <f>IF(NOT((COUNTA($B273:$D273)+COUNTA($G273:$L273)+COUNTA($Q273))&gt;0),"",IF((IF($C273="","Falta el nombre de la actividad"&amp;" · ","")&amp;IF(AND($V273="Sub",N($U273)=0),"Subactividad sin macroactividad arriba"&amp;" · ","")&amp;IF($AM273="","Sin fecha de inicio"&amp;" · ","")&amp;IF($AN273="","Sin fecha límite"&amp;" · ","")&amp;IF(AND(LEFT($C273,11)="[Jefatura] ",N($AL273)=0),"No se encuentra en la hoja de la jefatura (elíjala de nuevo en la lista)"&amp;" · ","")&amp;IF(OR(AND($E273&lt;&gt;"",NOT(ISNUMBER($E273))),AND($F273&lt;&gt;"",NOT(ISNUMBER($F273))),AND($G273&lt;&gt;"",NOT(ISNUMBER($G273)))),"Fecha no válida"&amp;" · ","")&amp;IF(AND(ISNUMBER($AM273),ISNUMBER($AN273),$AM273&gt;$AN273),"Inicio posterior a fecha límite"&amp;" · ","")&amp;IF(AND($V273="Macro",$H273&lt;&gt;"",OR(NOT(ISNUMBER($H273)),$H273&lt;0,$H273&gt;1)),"Peso fuera de rango"&amp;" · ","")&amp;IF(AND($V273="Sub",$H273&lt;&gt;""),"Las subactividades no llevan peso (valen igual dentro de su macroactividad)"&amp;" · ","")&amp;IF(AND(N($W273)&gt;0,COUNT($I273:$L273)&gt;0),"Con subactividades: deje vacías las semanas (se calculan solas)"&amp;" · ","")&amp;IF((COUNTIF($I273:$L273,"&gt;1")+COUNTIF($I273:$L273,"&lt;0")+COUNTA($I273:$L273)-COUNT($I273:$L273))&gt;0,"Avance fuera de rango 0-100%"&amp;" · ","")&amp;IF(OR(AND($J273&lt;&gt;"",$J273&lt;$I273),AND($K273&lt;&gt;"",$K273&lt;MAX($I273:$J273)),AND($L273&lt;&gt;"",$L273&lt;MAX($I273:$K273))),"Avance semanal decreciente"&amp;" · ","")&amp;IF(AND(ISNUMBER($AN273),$AN273&lt;FechaRef,IF($V273="Sub",N($X273),N($M273))&lt;1),"Vencida"&amp;" · ","")&amp;IF(AND(ObsObligatoria="Sí",ISNUMBER($AN273),$AN273&lt;FechaRef,IF($V273="Sub",N($X273),N($M273))&lt;1,$Q273=""),"Vencida sin observación"&amp;" · ",""))="","✔ OK","⚠ "&amp;LEFT(IF($C273="","Falta el nombre de la actividad"&amp;" · ","")&amp;IF(AND($V273="Sub",N($U273)=0),"Subactividad sin macroactividad arriba"&amp;" · ","")&amp;IF($AM273="","Sin fecha de inicio"&amp;" · ","")&amp;IF($AN273="","Sin fecha límite"&amp;" · ","")&amp;IF(AND(LEFT($C273,11)="[Jefatura] ",N($AL273)=0),"No se encuentra en la hoja de la jefatura (elíjala de nuevo en la lista)"&amp;" · ","")&amp;IF(OR(AND($E273&lt;&gt;"",NOT(ISNUMBER($E273))),AND($F273&lt;&gt;"",NOT(ISNUMBER($F273))),AND($G273&lt;&gt;"",NOT(ISNUMBER($G273)))),"Fecha no válida"&amp;" · ","")&amp;IF(AND(ISNUMBER($AM273),ISNUMBER($AN273),$AM273&gt;$AN273),"Inicio posterior a fecha límite"&amp;" · ","")&amp;IF(AND($V273="Macro",$H273&lt;&gt;"",OR(NOT(ISNUMBER($H273)),$H273&lt;0,$H273&gt;1)),"Peso fuera de rango"&amp;" · ","")&amp;IF(AND($V273="Sub",$H273&lt;&gt;""),"Las subactividades no llevan peso (valen igual dentro de su macroactividad)"&amp;" · ","")&amp;IF(AND(N($W273)&gt;0,COUNT($I273:$L273)&gt;0),"Con subactividades: deje vacías las semanas (se calculan solas)"&amp;" · ","")&amp;IF((COUNTIF($I273:$L273,"&gt;1")+COUNTIF($I273:$L273,"&lt;0")+COUNTA($I273:$L273)-COUNT($I273:$L273))&gt;0,"Avance fuera de rango 0-100%"&amp;" · ","")&amp;IF(OR(AND($J273&lt;&gt;"",$J273&lt;$I273),AND($K273&lt;&gt;"",$K273&lt;MAX($I273:$J273)),AND($L273&lt;&gt;"",$L273&lt;MAX($I273:$K273))),"Avance semanal decreciente"&amp;" · ","")&amp;IF(AND(ISNUMBER($AN273),$AN273&lt;FechaRef,IF($V273="Sub",N($X273),N($M273))&lt;1),"Vencida"&amp;" · ","")&amp;IF(AND(ObsObligatoria="Sí",ISNUMBER($AN273),$AN273&lt;FechaRef,IF($V273="Sub",N($X273),N($M273))&lt;1,$Q273=""),"Vencida sin observación"&amp;" · ",""),LEN(IF($C273="","Falta el nombre de la actividad"&amp;" · ","")&amp;IF(AND($V273="Sub",N($U273)=0),"Subactividad sin macroactividad arriba"&amp;" · ","")&amp;IF($AM273="","Sin fecha de inicio"&amp;" · ","")&amp;IF($AN273="","Sin fecha límite"&amp;" · ","")&amp;IF(AND(LEFT($C273,11)="[Jefatura] ",N($AL273)=0),"No se encuentra en la hoja de la jefatura (elíjala de nuevo en la lista)"&amp;" · ","")&amp;IF(OR(AND($E273&lt;&gt;"",NOT(ISNUMBER($E273))),AND($F273&lt;&gt;"",NOT(ISNUMBER($F273))),AND($G273&lt;&gt;"",NOT(ISNUMBER($G273)))),"Fecha no válida"&amp;" · ","")&amp;IF(AND(ISNUMBER($AM273),ISNUMBER($AN273),$AM273&gt;$AN273),"Inicio posterior a fecha límite"&amp;" · ","")&amp;IF(AND($V273="Macro",$H273&lt;&gt;"",OR(NOT(ISNUMBER($H273)),$H273&lt;0,$H273&gt;1)),"Peso fuera de rango"&amp;" · ","")&amp;IF(AND($V273="Sub",$H273&lt;&gt;""),"Las subactividades no llevan peso (valen igual dentro de su macroactividad)"&amp;" · ","")&amp;IF(AND(N($W273)&gt;0,COUNT($I273:$L273)&gt;0),"Con subactividades: deje vacías las semanas (se calculan solas)"&amp;" · ","")&amp;IF((COUNTIF($I273:$L273,"&gt;1")+COUNTIF($I273:$L273,"&lt;0")+COUNTA($I273:$L273)-COUNT($I273:$L273))&gt;0,"Avance fuera de rango 0-100%"&amp;" · ","")&amp;IF(OR(AND($J273&lt;&gt;"",$J273&lt;$I273),AND($K273&lt;&gt;"",$K273&lt;MAX($I273:$J273)),AND($L273&lt;&gt;"",$L273&lt;MAX($I273:$K273))),"Avance semanal decreciente"&amp;" · ","")&amp;IF(AND(ISNUMBER($AN273),$AN273&lt;FechaRef,IF($V273="Sub",N($X273),N($M273))&lt;1),"Vencida"&amp;" · ","")&amp;IF(AND(ObsObligatoria="Sí",ISNUMBER($AN273),$AN273&lt;FechaRef,IF($V273="Sub",N($X273),N($M273))&lt;1,$Q273=""),"Vencida sin observación"&amp;" · ",""))-3)))</f>
        <v/>
      </c>
      <c r="S273" s="64">
        <f>IF(NOT((COUNTA($B273:$D273)+COUNTA($G273:$L273)+COUNTA($Q273))&gt;0),"",IF(AND($V273="Sub",N($U273)&gt;0),IF(ISNUMBER(INDEX($AM$5:$AM$1000,$U273-4)),DATE(YEAR(INDEX($AM$5:$AM$1000,$U273-4)),MONTH(INDEX($AM$5:$AM$1000,$U273-4)),1),IF(ISNUMBER(INDEX($AN$5:$AN$1000,$U273-4)),DATE(YEAR(INDEX($AN$5:$AN$1000,$U273-4)),MONTH(INDEX($AN$5:$AN$1000,$U273-4)),1),MesCiclo)),IF(ISNUMBER($AM273),DATE(YEAR($AM273),MONTH($AM273),1),IF(ISNUMBER($AN273),DATE(YEAR($AN273),MONTH($AN273),1),MesCiclo))))</f>
        <v/>
      </c>
      <c r="T273" s="62">
        <f>IF(OR($S273="",$S273&lt;&gt;MesCiclo,$V273&lt;&gt;"Macro"),"",COUNTIFS($S$5:$S273,MesCiclo,$V$5:$V273,"Macro"))</f>
        <v/>
      </c>
      <c r="U273" s="62">
        <f>IF($V273="","",IF($V273="Macro",ROW(),IFERROR(LOOKUP(2,1/($V$5:$V273="Macro"),ROW($V$5:$V273)),0)))</f>
        <v/>
      </c>
      <c r="V273" s="62">
        <f>IF(NOT((COUNTA($B273:$D273)+COUNTA($G273:$L273)+COUNTA($Q273))&gt;0),"",IF($B273="Subactividad","Sub","Macro"))</f>
        <v/>
      </c>
      <c r="W273" s="62">
        <f>IF($V273="Macro",COUNTIFS($U$5:$U$1000,ROW(),$V$5:$V$1000,"Sub"),"")</f>
        <v/>
      </c>
      <c r="X273" s="62">
        <f>IF($V273="","",IF(ISNUMBER($G273),1,IFERROR(LOOKUP(2,1/($I273:$L273&lt;&gt;""),$I273:$L273),0)))</f>
        <v/>
      </c>
      <c r="Y273" s="62">
        <f>IF($V273="","",IF(AND(ISNUMBER($G273),$G273&lt;=IF($S273=MesCiclo,InicioCiclo,$S273+MOD(2-WEEKDAY($S273),7))+6),1,IF(ISNUMBER($I273),$I273,0)))</f>
        <v/>
      </c>
      <c r="Z273" s="62">
        <f>IF($V273="","",IF(AND(ISNUMBER($G273),$G273&lt;=IF($S273=MesCiclo,InicioCiclo,$S273+MOD(2-WEEKDAY($S273),7))+13),1,IF(ISNUMBER($J273),$J273,$Y273)))</f>
        <v/>
      </c>
      <c r="AA273" s="62">
        <f>IF($V273="","",IF(AND(ISNUMBER($G273),$G273&lt;=IF($S273=MesCiclo,InicioCiclo,$S273+MOD(2-WEEKDAY($S273),7))+20),1,IF(ISNUMBER($K273),$K273,$Z273)))</f>
        <v/>
      </c>
      <c r="AB273" s="62">
        <f>IF($V273="","",IF(AND(ISNUMBER($G273),$G273&lt;=IF($S273=MesCiclo,InicioCiclo,$S273+MOD(2-WEEKDAY($S273),7))+27),1,IF(ISNUMBER($L273),$L273,$AA273)))</f>
        <v/>
      </c>
      <c r="AC273" s="62">
        <f>IF($V273="","",IF(AND(ISNUMBER($G273),$G273&lt;=IF($S273=MesCiclo,InicioCiclo,$S273+MOD(2-WEEKDAY($S273),7))+6),1,IF(N($W273)&gt;0,AVERAGEIFS($Y$5:$Y$1000,$U$5:$U$1000,ROW(),$V$5:$V$1000,"Sub"),$Y273)))</f>
        <v/>
      </c>
      <c r="AD273" s="62">
        <f>IF($V273="","",IF(AND(ISNUMBER($G273),$G273&lt;=IF($S273=MesCiclo,InicioCiclo,$S273+MOD(2-WEEKDAY($S273),7))+13),1,IF(N($W273)&gt;0,AVERAGEIFS($Z$5:$Z$1000,$U$5:$U$1000,ROW(),$V$5:$V$1000,"Sub"),$Z273)))</f>
        <v/>
      </c>
      <c r="AE273" s="62">
        <f>IF($V273="","",IF(AND(ISNUMBER($G273),$G273&lt;=IF($S273=MesCiclo,InicioCiclo,$S273+MOD(2-WEEKDAY($S273),7))+20),1,IF(N($W273)&gt;0,AVERAGEIFS($AA$5:$AA$1000,$U$5:$U$1000,ROW(),$V$5:$V$1000,"Sub"),$AA273)))</f>
        <v/>
      </c>
      <c r="AF273" s="62">
        <f>IF($V273="","",IF(AND(ISNUMBER($G273),$G273&lt;=IF($S273=MesCiclo,InicioCiclo,$S273+MOD(2-WEEKDAY($S273),7))+27),1,IF(N($W273)&gt;0,AVERAGEIFS($AB$5:$AB$1000,$U$5:$U$1000,ROW(),$V$5:$V$1000,"Sub"),$AB273)))</f>
        <v/>
      </c>
      <c r="AG273" s="62">
        <f>IF($V273&lt;&gt;"Macro","",IF(COUNTIFS($S$5:$S$1000,$S273,$V$5:$V$1000,"Macro",$H$5:$H$1000,"&gt;0")=0,1/COUNTIFS($S$5:$S$1000,$S273,$V$5:$V$1000,"Macro"),IF(AND(ISNUMBER($H273),N($H273)&gt;0),$H273,SUMIFS($H$5:$H$1000,$S$5:$S$1000,$S273,$V$5:$V$1000,"Macro")/COUNTIFS($S$5:$S$1000,$S273,$V$5:$V$1000,"Macro",$H$5:$H$1000,"&gt;0"))/(COUNTIFS($S$5:$S$1000,$S273,$V$5:$V$1000,"Macro")*SUMIFS($H$5:$H$1000,$S$5:$S$1000,$S273,$V$5:$V$1000,"Macro")/COUNTIFS($S$5:$S$1000,$S273,$V$5:$V$1000,"Macro",$H$5:$H$1000,"&gt;0"))))</f>
        <v/>
      </c>
      <c r="AH273" s="62" t="n"/>
      <c r="AI273" s="62" t="n"/>
      <c r="AJ273" s="62" t="n"/>
      <c r="AK273" s="62" t="n"/>
      <c r="AL273" s="62">
        <f>IF(LEFT($C273,11)="[Jefatura] ",IFERROR(MATCH("Riesgo Operacional|"&amp;MID($C273,12,500),rDname_ADM,0),0),"")</f>
        <v/>
      </c>
      <c r="AM273" s="62">
        <f>IF(N($AL273)&gt;0,INDEX(rIni_ADM,$AL273),IF(ISNUMBER($E273),$E273,""))</f>
        <v/>
      </c>
      <c r="AN273" s="62">
        <f>IF(N($AL273)&gt;0,INDEX(rLim_ADM,$AL273),IF(ISNUMBER($F273),$F273,""))</f>
        <v/>
      </c>
    </row>
    <row r="274">
      <c r="A274" s="56">
        <f>IF(NOT((COUNTA($B274:$D274)+COUNTA($G274:$L274)+COUNTA($Q274))&gt;0),"",IF($V274="Macro",COUNTIFS($V$5:$V274,"Macro",$S$5:$S274,$S274),IF(N($U274)=0,"?",COUNTIFS(INDEX($V$5:$V$1000,1):INDEX($V$5:$V$1000,$U274-4),"Macro",INDEX($S$5:$S$1000,1):INDEX($S$5:$S$1000,$U274-4),INDEX($S$5:$S$1000,$U274-4))&amp;"."&amp;COUNTIFS($U$5:$U274,$U274,$V$5:$V274,"Sub"))))</f>
        <v/>
      </c>
      <c r="B274" s="57" t="n"/>
      <c r="C274" s="58" t="n"/>
      <c r="D274" s="58" t="n"/>
      <c r="E274" s="59">
        <f>IF(N($AL274)&gt;0,INDEX(rIni_ADM,$AL274),"")</f>
        <v/>
      </c>
      <c r="F274" s="59">
        <f>IF(N($AL274)&gt;0,INDEX(rLim_ADM,$AL274),"")</f>
        <v/>
      </c>
      <c r="G274" s="59" t="n"/>
      <c r="H274" s="60" t="n"/>
      <c r="I274" s="60" t="n"/>
      <c r="J274" s="60" t="n"/>
      <c r="K274" s="60" t="n"/>
      <c r="L274" s="60" t="n"/>
      <c r="M274" s="61">
        <f>IF(NOT((COUNTA($B274:$D274)+COUNTA($G274:$L274)+COUNTA($Q274))&gt;0),"",IF($V274="Sub",IFERROR($X274/INDEX($W$5:$W$1000,$U274-4),""),IF(ISNUMBER($G274),1,IF(N($W274)&gt;0,AVERAGEIFS($X$5:$X$1000,$U$5:$U$1000,ROW(),$V$5:$V$1000,"Sub"),$X274))))</f>
        <v/>
      </c>
      <c r="N274" s="56">
        <f>IF(OR($M274="",$V274="Sub"),"",IF($M274&gt;=1,"Completado",IF($M274&gt;0,"En curso","Pendiente")))</f>
        <v/>
      </c>
      <c r="O274" s="56">
        <f>IF(OR(NOT((COUNTA($B274:$D274)+COUNTA($G274:$L274)+COUNTA($Q274))&gt;0),$V274="Sub"),"",IF(ISNUMBER($G274),IF(AND(ISNUMBER($AN274),$G274&gt;$AN274),"Cumplida con "&amp;($G274-$AN274)&amp;IF($G274-$AN274=1," día"," días")&amp;" de retraso","Cumplida"),IF(N($M274)&gt;=1,"Cumplida",IF(NOT(ISNUMBER($AN274)),"Sin fecha límite",IF($AN274&lt;FechaRef,"Vencida hace "&amp;(FechaRef-$AN274)&amp;IF(FechaRef-$AN274=1," día"," días"),IF($AN274=FechaRef,"Vence hoy",IF($AN274-FechaRef&lt;=DiasAlerta,"Vence en "&amp;($AN274-FechaRef)&amp;IF($AN274-FechaRef=1," día"," días"),"En plazo")))))))</f>
        <v/>
      </c>
      <c r="P274" s="62" t="n"/>
      <c r="Q274" s="58" t="n"/>
      <c r="R274" s="63">
        <f>IF(NOT((COUNTA($B274:$D274)+COUNTA($G274:$L274)+COUNTA($Q274))&gt;0),"",IF((IF($C274="","Falta el nombre de la actividad"&amp;" · ","")&amp;IF(AND($V274="Sub",N($U274)=0),"Subactividad sin macroactividad arriba"&amp;" · ","")&amp;IF($AM274="","Sin fecha de inicio"&amp;" · ","")&amp;IF($AN274="","Sin fecha límite"&amp;" · ","")&amp;IF(AND(LEFT($C274,11)="[Jefatura] ",N($AL274)=0),"No se encuentra en la hoja de la jefatura (elíjala de nuevo en la lista)"&amp;" · ","")&amp;IF(OR(AND($E274&lt;&gt;"",NOT(ISNUMBER($E274))),AND($F274&lt;&gt;"",NOT(ISNUMBER($F274))),AND($G274&lt;&gt;"",NOT(ISNUMBER($G274)))),"Fecha no válida"&amp;" · ","")&amp;IF(AND(ISNUMBER($AM274),ISNUMBER($AN274),$AM274&gt;$AN274),"Inicio posterior a fecha límite"&amp;" · ","")&amp;IF(AND($V274="Macro",$H274&lt;&gt;"",OR(NOT(ISNUMBER($H274)),$H274&lt;0,$H274&gt;1)),"Peso fuera de rango"&amp;" · ","")&amp;IF(AND($V274="Sub",$H274&lt;&gt;""),"Las subactividades no llevan peso (valen igual dentro de su macroactividad)"&amp;" · ","")&amp;IF(AND(N($W274)&gt;0,COUNT($I274:$L274)&gt;0),"Con subactividades: deje vacías las semanas (se calculan solas)"&amp;" · ","")&amp;IF((COUNTIF($I274:$L274,"&gt;1")+COUNTIF($I274:$L274,"&lt;0")+COUNTA($I274:$L274)-COUNT($I274:$L274))&gt;0,"Avance fuera de rango 0-100%"&amp;" · ","")&amp;IF(OR(AND($J274&lt;&gt;"",$J274&lt;$I274),AND($K274&lt;&gt;"",$K274&lt;MAX($I274:$J274)),AND($L274&lt;&gt;"",$L274&lt;MAX($I274:$K274))),"Avance semanal decreciente"&amp;" · ","")&amp;IF(AND(ISNUMBER($AN274),$AN274&lt;FechaRef,IF($V274="Sub",N($X274),N($M274))&lt;1),"Vencida"&amp;" · ","")&amp;IF(AND(ObsObligatoria="Sí",ISNUMBER($AN274),$AN274&lt;FechaRef,IF($V274="Sub",N($X274),N($M274))&lt;1,$Q274=""),"Vencida sin observación"&amp;" · ",""))="","✔ OK","⚠ "&amp;LEFT(IF($C274="","Falta el nombre de la actividad"&amp;" · ","")&amp;IF(AND($V274="Sub",N($U274)=0),"Subactividad sin macroactividad arriba"&amp;" · ","")&amp;IF($AM274="","Sin fecha de inicio"&amp;" · ","")&amp;IF($AN274="","Sin fecha límite"&amp;" · ","")&amp;IF(AND(LEFT($C274,11)="[Jefatura] ",N($AL274)=0),"No se encuentra en la hoja de la jefatura (elíjala de nuevo en la lista)"&amp;" · ","")&amp;IF(OR(AND($E274&lt;&gt;"",NOT(ISNUMBER($E274))),AND($F274&lt;&gt;"",NOT(ISNUMBER($F274))),AND($G274&lt;&gt;"",NOT(ISNUMBER($G274)))),"Fecha no válida"&amp;" · ","")&amp;IF(AND(ISNUMBER($AM274),ISNUMBER($AN274),$AM274&gt;$AN274),"Inicio posterior a fecha límite"&amp;" · ","")&amp;IF(AND($V274="Macro",$H274&lt;&gt;"",OR(NOT(ISNUMBER($H274)),$H274&lt;0,$H274&gt;1)),"Peso fuera de rango"&amp;" · ","")&amp;IF(AND($V274="Sub",$H274&lt;&gt;""),"Las subactividades no llevan peso (valen igual dentro de su macroactividad)"&amp;" · ","")&amp;IF(AND(N($W274)&gt;0,COUNT($I274:$L274)&gt;0),"Con subactividades: deje vacías las semanas (se calculan solas)"&amp;" · ","")&amp;IF((COUNTIF($I274:$L274,"&gt;1")+COUNTIF($I274:$L274,"&lt;0")+COUNTA($I274:$L274)-COUNT($I274:$L274))&gt;0,"Avance fuera de rango 0-100%"&amp;" · ","")&amp;IF(OR(AND($J274&lt;&gt;"",$J274&lt;$I274),AND($K274&lt;&gt;"",$K274&lt;MAX($I274:$J274)),AND($L274&lt;&gt;"",$L274&lt;MAX($I274:$K274))),"Avance semanal decreciente"&amp;" · ","")&amp;IF(AND(ISNUMBER($AN274),$AN274&lt;FechaRef,IF($V274="Sub",N($X274),N($M274))&lt;1),"Vencida"&amp;" · ","")&amp;IF(AND(ObsObligatoria="Sí",ISNUMBER($AN274),$AN274&lt;FechaRef,IF($V274="Sub",N($X274),N($M274))&lt;1,$Q274=""),"Vencida sin observación"&amp;" · ",""),LEN(IF($C274="","Falta el nombre de la actividad"&amp;" · ","")&amp;IF(AND($V274="Sub",N($U274)=0),"Subactividad sin macroactividad arriba"&amp;" · ","")&amp;IF($AM274="","Sin fecha de inicio"&amp;" · ","")&amp;IF($AN274="","Sin fecha límite"&amp;" · ","")&amp;IF(AND(LEFT($C274,11)="[Jefatura] ",N($AL274)=0),"No se encuentra en la hoja de la jefatura (elíjala de nuevo en la lista)"&amp;" · ","")&amp;IF(OR(AND($E274&lt;&gt;"",NOT(ISNUMBER($E274))),AND($F274&lt;&gt;"",NOT(ISNUMBER($F274))),AND($G274&lt;&gt;"",NOT(ISNUMBER($G274)))),"Fecha no válida"&amp;" · ","")&amp;IF(AND(ISNUMBER($AM274),ISNUMBER($AN274),$AM274&gt;$AN274),"Inicio posterior a fecha límite"&amp;" · ","")&amp;IF(AND($V274="Macro",$H274&lt;&gt;"",OR(NOT(ISNUMBER($H274)),$H274&lt;0,$H274&gt;1)),"Peso fuera de rango"&amp;" · ","")&amp;IF(AND($V274="Sub",$H274&lt;&gt;""),"Las subactividades no llevan peso (valen igual dentro de su macroactividad)"&amp;" · ","")&amp;IF(AND(N($W274)&gt;0,COUNT($I274:$L274)&gt;0),"Con subactividades: deje vacías las semanas (se calculan solas)"&amp;" · ","")&amp;IF((COUNTIF($I274:$L274,"&gt;1")+COUNTIF($I274:$L274,"&lt;0")+COUNTA($I274:$L274)-COUNT($I274:$L274))&gt;0,"Avance fuera de rango 0-100%"&amp;" · ","")&amp;IF(OR(AND($J274&lt;&gt;"",$J274&lt;$I274),AND($K274&lt;&gt;"",$K274&lt;MAX($I274:$J274)),AND($L274&lt;&gt;"",$L274&lt;MAX($I274:$K274))),"Avance semanal decreciente"&amp;" · ","")&amp;IF(AND(ISNUMBER($AN274),$AN274&lt;FechaRef,IF($V274="Sub",N($X274),N($M274))&lt;1),"Vencida"&amp;" · ","")&amp;IF(AND(ObsObligatoria="Sí",ISNUMBER($AN274),$AN274&lt;FechaRef,IF($V274="Sub",N($X274),N($M274))&lt;1,$Q274=""),"Vencida sin observación"&amp;" · ",""))-3)))</f>
        <v/>
      </c>
      <c r="S274" s="64">
        <f>IF(NOT((COUNTA($B274:$D274)+COUNTA($G274:$L274)+COUNTA($Q274))&gt;0),"",IF(AND($V274="Sub",N($U274)&gt;0),IF(ISNUMBER(INDEX($AM$5:$AM$1000,$U274-4)),DATE(YEAR(INDEX($AM$5:$AM$1000,$U274-4)),MONTH(INDEX($AM$5:$AM$1000,$U274-4)),1),IF(ISNUMBER(INDEX($AN$5:$AN$1000,$U274-4)),DATE(YEAR(INDEX($AN$5:$AN$1000,$U274-4)),MONTH(INDEX($AN$5:$AN$1000,$U274-4)),1),MesCiclo)),IF(ISNUMBER($AM274),DATE(YEAR($AM274),MONTH($AM274),1),IF(ISNUMBER($AN274),DATE(YEAR($AN274),MONTH($AN274),1),MesCiclo))))</f>
        <v/>
      </c>
      <c r="T274" s="62">
        <f>IF(OR($S274="",$S274&lt;&gt;MesCiclo,$V274&lt;&gt;"Macro"),"",COUNTIFS($S$5:$S274,MesCiclo,$V$5:$V274,"Macro"))</f>
        <v/>
      </c>
      <c r="U274" s="62">
        <f>IF($V274="","",IF($V274="Macro",ROW(),IFERROR(LOOKUP(2,1/($V$5:$V274="Macro"),ROW($V$5:$V274)),0)))</f>
        <v/>
      </c>
      <c r="V274" s="62">
        <f>IF(NOT((COUNTA($B274:$D274)+COUNTA($G274:$L274)+COUNTA($Q274))&gt;0),"",IF($B274="Subactividad","Sub","Macro"))</f>
        <v/>
      </c>
      <c r="W274" s="62">
        <f>IF($V274="Macro",COUNTIFS($U$5:$U$1000,ROW(),$V$5:$V$1000,"Sub"),"")</f>
        <v/>
      </c>
      <c r="X274" s="62">
        <f>IF($V274="","",IF(ISNUMBER($G274),1,IFERROR(LOOKUP(2,1/($I274:$L274&lt;&gt;""),$I274:$L274),0)))</f>
        <v/>
      </c>
      <c r="Y274" s="62">
        <f>IF($V274="","",IF(AND(ISNUMBER($G274),$G274&lt;=IF($S274=MesCiclo,InicioCiclo,$S274+MOD(2-WEEKDAY($S274),7))+6),1,IF(ISNUMBER($I274),$I274,0)))</f>
        <v/>
      </c>
      <c r="Z274" s="62">
        <f>IF($V274="","",IF(AND(ISNUMBER($G274),$G274&lt;=IF($S274=MesCiclo,InicioCiclo,$S274+MOD(2-WEEKDAY($S274),7))+13),1,IF(ISNUMBER($J274),$J274,$Y274)))</f>
        <v/>
      </c>
      <c r="AA274" s="62">
        <f>IF($V274="","",IF(AND(ISNUMBER($G274),$G274&lt;=IF($S274=MesCiclo,InicioCiclo,$S274+MOD(2-WEEKDAY($S274),7))+20),1,IF(ISNUMBER($K274),$K274,$Z274)))</f>
        <v/>
      </c>
      <c r="AB274" s="62">
        <f>IF($V274="","",IF(AND(ISNUMBER($G274),$G274&lt;=IF($S274=MesCiclo,InicioCiclo,$S274+MOD(2-WEEKDAY($S274),7))+27),1,IF(ISNUMBER($L274),$L274,$AA274)))</f>
        <v/>
      </c>
      <c r="AC274" s="62">
        <f>IF($V274="","",IF(AND(ISNUMBER($G274),$G274&lt;=IF($S274=MesCiclo,InicioCiclo,$S274+MOD(2-WEEKDAY($S274),7))+6),1,IF(N($W274)&gt;0,AVERAGEIFS($Y$5:$Y$1000,$U$5:$U$1000,ROW(),$V$5:$V$1000,"Sub"),$Y274)))</f>
        <v/>
      </c>
      <c r="AD274" s="62">
        <f>IF($V274="","",IF(AND(ISNUMBER($G274),$G274&lt;=IF($S274=MesCiclo,InicioCiclo,$S274+MOD(2-WEEKDAY($S274),7))+13),1,IF(N($W274)&gt;0,AVERAGEIFS($Z$5:$Z$1000,$U$5:$U$1000,ROW(),$V$5:$V$1000,"Sub"),$Z274)))</f>
        <v/>
      </c>
      <c r="AE274" s="62">
        <f>IF($V274="","",IF(AND(ISNUMBER($G274),$G274&lt;=IF($S274=MesCiclo,InicioCiclo,$S274+MOD(2-WEEKDAY($S274),7))+20),1,IF(N($W274)&gt;0,AVERAGEIFS($AA$5:$AA$1000,$U$5:$U$1000,ROW(),$V$5:$V$1000,"Sub"),$AA274)))</f>
        <v/>
      </c>
      <c r="AF274" s="62">
        <f>IF($V274="","",IF(AND(ISNUMBER($G274),$G274&lt;=IF($S274=MesCiclo,InicioCiclo,$S274+MOD(2-WEEKDAY($S274),7))+27),1,IF(N($W274)&gt;0,AVERAGEIFS($AB$5:$AB$1000,$U$5:$U$1000,ROW(),$V$5:$V$1000,"Sub"),$AB274)))</f>
        <v/>
      </c>
      <c r="AG274" s="62">
        <f>IF($V274&lt;&gt;"Macro","",IF(COUNTIFS($S$5:$S$1000,$S274,$V$5:$V$1000,"Macro",$H$5:$H$1000,"&gt;0")=0,1/COUNTIFS($S$5:$S$1000,$S274,$V$5:$V$1000,"Macro"),IF(AND(ISNUMBER($H274),N($H274)&gt;0),$H274,SUMIFS($H$5:$H$1000,$S$5:$S$1000,$S274,$V$5:$V$1000,"Macro")/COUNTIFS($S$5:$S$1000,$S274,$V$5:$V$1000,"Macro",$H$5:$H$1000,"&gt;0"))/(COUNTIFS($S$5:$S$1000,$S274,$V$5:$V$1000,"Macro")*SUMIFS($H$5:$H$1000,$S$5:$S$1000,$S274,$V$5:$V$1000,"Macro")/COUNTIFS($S$5:$S$1000,$S274,$V$5:$V$1000,"Macro",$H$5:$H$1000,"&gt;0"))))</f>
        <v/>
      </c>
      <c r="AH274" s="62" t="n"/>
      <c r="AI274" s="62" t="n"/>
      <c r="AJ274" s="62" t="n"/>
      <c r="AK274" s="62" t="n"/>
      <c r="AL274" s="62">
        <f>IF(LEFT($C274,11)="[Jefatura] ",IFERROR(MATCH("Riesgo Operacional|"&amp;MID($C274,12,500),rDname_ADM,0),0),"")</f>
        <v/>
      </c>
      <c r="AM274" s="62">
        <f>IF(N($AL274)&gt;0,INDEX(rIni_ADM,$AL274),IF(ISNUMBER($E274),$E274,""))</f>
        <v/>
      </c>
      <c r="AN274" s="62">
        <f>IF(N($AL274)&gt;0,INDEX(rLim_ADM,$AL274),IF(ISNUMBER($F274),$F274,""))</f>
        <v/>
      </c>
    </row>
    <row r="275">
      <c r="A275" s="56">
        <f>IF(NOT((COUNTA($B275:$D275)+COUNTA($G275:$L275)+COUNTA($Q275))&gt;0),"",IF($V275="Macro",COUNTIFS($V$5:$V275,"Macro",$S$5:$S275,$S275),IF(N($U275)=0,"?",COUNTIFS(INDEX($V$5:$V$1000,1):INDEX($V$5:$V$1000,$U275-4),"Macro",INDEX($S$5:$S$1000,1):INDEX($S$5:$S$1000,$U275-4),INDEX($S$5:$S$1000,$U275-4))&amp;"."&amp;COUNTIFS($U$5:$U275,$U275,$V$5:$V275,"Sub"))))</f>
        <v/>
      </c>
      <c r="B275" s="57" t="n"/>
      <c r="C275" s="58" t="n"/>
      <c r="D275" s="58" t="n"/>
      <c r="E275" s="59">
        <f>IF(N($AL275)&gt;0,INDEX(rIni_ADM,$AL275),"")</f>
        <v/>
      </c>
      <c r="F275" s="59">
        <f>IF(N($AL275)&gt;0,INDEX(rLim_ADM,$AL275),"")</f>
        <v/>
      </c>
      <c r="G275" s="59" t="n"/>
      <c r="H275" s="60" t="n"/>
      <c r="I275" s="60" t="n"/>
      <c r="J275" s="60" t="n"/>
      <c r="K275" s="60" t="n"/>
      <c r="L275" s="60" t="n"/>
      <c r="M275" s="61">
        <f>IF(NOT((COUNTA($B275:$D275)+COUNTA($G275:$L275)+COUNTA($Q275))&gt;0),"",IF($V275="Sub",IFERROR($X275/INDEX($W$5:$W$1000,$U275-4),""),IF(ISNUMBER($G275),1,IF(N($W275)&gt;0,AVERAGEIFS($X$5:$X$1000,$U$5:$U$1000,ROW(),$V$5:$V$1000,"Sub"),$X275))))</f>
        <v/>
      </c>
      <c r="N275" s="56">
        <f>IF(OR($M275="",$V275="Sub"),"",IF($M275&gt;=1,"Completado",IF($M275&gt;0,"En curso","Pendiente")))</f>
        <v/>
      </c>
      <c r="O275" s="56">
        <f>IF(OR(NOT((COUNTA($B275:$D275)+COUNTA($G275:$L275)+COUNTA($Q275))&gt;0),$V275="Sub"),"",IF(ISNUMBER($G275),IF(AND(ISNUMBER($AN275),$G275&gt;$AN275),"Cumplida con "&amp;($G275-$AN275)&amp;IF($G275-$AN275=1," día"," días")&amp;" de retraso","Cumplida"),IF(N($M275)&gt;=1,"Cumplida",IF(NOT(ISNUMBER($AN275)),"Sin fecha límite",IF($AN275&lt;FechaRef,"Vencida hace "&amp;(FechaRef-$AN275)&amp;IF(FechaRef-$AN275=1," día"," días"),IF($AN275=FechaRef,"Vence hoy",IF($AN275-FechaRef&lt;=DiasAlerta,"Vence en "&amp;($AN275-FechaRef)&amp;IF($AN275-FechaRef=1," día"," días"),"En plazo")))))))</f>
        <v/>
      </c>
      <c r="P275" s="62" t="n"/>
      <c r="Q275" s="58" t="n"/>
      <c r="R275" s="63">
        <f>IF(NOT((COUNTA($B275:$D275)+COUNTA($G275:$L275)+COUNTA($Q275))&gt;0),"",IF((IF($C275="","Falta el nombre de la actividad"&amp;" · ","")&amp;IF(AND($V275="Sub",N($U275)=0),"Subactividad sin macroactividad arriba"&amp;" · ","")&amp;IF($AM275="","Sin fecha de inicio"&amp;" · ","")&amp;IF($AN275="","Sin fecha límite"&amp;" · ","")&amp;IF(AND(LEFT($C275,11)="[Jefatura] ",N($AL275)=0),"No se encuentra en la hoja de la jefatura (elíjala de nuevo en la lista)"&amp;" · ","")&amp;IF(OR(AND($E275&lt;&gt;"",NOT(ISNUMBER($E275))),AND($F275&lt;&gt;"",NOT(ISNUMBER($F275))),AND($G275&lt;&gt;"",NOT(ISNUMBER($G275)))),"Fecha no válida"&amp;" · ","")&amp;IF(AND(ISNUMBER($AM275),ISNUMBER($AN275),$AM275&gt;$AN275),"Inicio posterior a fecha límite"&amp;" · ","")&amp;IF(AND($V275="Macro",$H275&lt;&gt;"",OR(NOT(ISNUMBER($H275)),$H275&lt;0,$H275&gt;1)),"Peso fuera de rango"&amp;" · ","")&amp;IF(AND($V275="Sub",$H275&lt;&gt;""),"Las subactividades no llevan peso (valen igual dentro de su macroactividad)"&amp;" · ","")&amp;IF(AND(N($W275)&gt;0,COUNT($I275:$L275)&gt;0),"Con subactividades: deje vacías las semanas (se calculan solas)"&amp;" · ","")&amp;IF((COUNTIF($I275:$L275,"&gt;1")+COUNTIF($I275:$L275,"&lt;0")+COUNTA($I275:$L275)-COUNT($I275:$L275))&gt;0,"Avance fuera de rango 0-100%"&amp;" · ","")&amp;IF(OR(AND($J275&lt;&gt;"",$J275&lt;$I275),AND($K275&lt;&gt;"",$K275&lt;MAX($I275:$J275)),AND($L275&lt;&gt;"",$L275&lt;MAX($I275:$K275))),"Avance semanal decreciente"&amp;" · ","")&amp;IF(AND(ISNUMBER($AN275),$AN275&lt;FechaRef,IF($V275="Sub",N($X275),N($M275))&lt;1),"Vencida"&amp;" · ","")&amp;IF(AND(ObsObligatoria="Sí",ISNUMBER($AN275),$AN275&lt;FechaRef,IF($V275="Sub",N($X275),N($M275))&lt;1,$Q275=""),"Vencida sin observación"&amp;" · ",""))="","✔ OK","⚠ "&amp;LEFT(IF($C275="","Falta el nombre de la actividad"&amp;" · ","")&amp;IF(AND($V275="Sub",N($U275)=0),"Subactividad sin macroactividad arriba"&amp;" · ","")&amp;IF($AM275="","Sin fecha de inicio"&amp;" · ","")&amp;IF($AN275="","Sin fecha límite"&amp;" · ","")&amp;IF(AND(LEFT($C275,11)="[Jefatura] ",N($AL275)=0),"No se encuentra en la hoja de la jefatura (elíjala de nuevo en la lista)"&amp;" · ","")&amp;IF(OR(AND($E275&lt;&gt;"",NOT(ISNUMBER($E275))),AND($F275&lt;&gt;"",NOT(ISNUMBER($F275))),AND($G275&lt;&gt;"",NOT(ISNUMBER($G275)))),"Fecha no válida"&amp;" · ","")&amp;IF(AND(ISNUMBER($AM275),ISNUMBER($AN275),$AM275&gt;$AN275),"Inicio posterior a fecha límite"&amp;" · ","")&amp;IF(AND($V275="Macro",$H275&lt;&gt;"",OR(NOT(ISNUMBER($H275)),$H275&lt;0,$H275&gt;1)),"Peso fuera de rango"&amp;" · ","")&amp;IF(AND($V275="Sub",$H275&lt;&gt;""),"Las subactividades no llevan peso (valen igual dentro de su macroactividad)"&amp;" · ","")&amp;IF(AND(N($W275)&gt;0,COUNT($I275:$L275)&gt;0),"Con subactividades: deje vacías las semanas (se calculan solas)"&amp;" · ","")&amp;IF((COUNTIF($I275:$L275,"&gt;1")+COUNTIF($I275:$L275,"&lt;0")+COUNTA($I275:$L275)-COUNT($I275:$L275))&gt;0,"Avance fuera de rango 0-100%"&amp;" · ","")&amp;IF(OR(AND($J275&lt;&gt;"",$J275&lt;$I275),AND($K275&lt;&gt;"",$K275&lt;MAX($I275:$J275)),AND($L275&lt;&gt;"",$L275&lt;MAX($I275:$K275))),"Avance semanal decreciente"&amp;" · ","")&amp;IF(AND(ISNUMBER($AN275),$AN275&lt;FechaRef,IF($V275="Sub",N($X275),N($M275))&lt;1),"Vencida"&amp;" · ","")&amp;IF(AND(ObsObligatoria="Sí",ISNUMBER($AN275),$AN275&lt;FechaRef,IF($V275="Sub",N($X275),N($M275))&lt;1,$Q275=""),"Vencida sin observación"&amp;" · ",""),LEN(IF($C275="","Falta el nombre de la actividad"&amp;" · ","")&amp;IF(AND($V275="Sub",N($U275)=0),"Subactividad sin macroactividad arriba"&amp;" · ","")&amp;IF($AM275="","Sin fecha de inicio"&amp;" · ","")&amp;IF($AN275="","Sin fecha límite"&amp;" · ","")&amp;IF(AND(LEFT($C275,11)="[Jefatura] ",N($AL275)=0),"No se encuentra en la hoja de la jefatura (elíjala de nuevo en la lista)"&amp;" · ","")&amp;IF(OR(AND($E275&lt;&gt;"",NOT(ISNUMBER($E275))),AND($F275&lt;&gt;"",NOT(ISNUMBER($F275))),AND($G275&lt;&gt;"",NOT(ISNUMBER($G275)))),"Fecha no válida"&amp;" · ","")&amp;IF(AND(ISNUMBER($AM275),ISNUMBER($AN275),$AM275&gt;$AN275),"Inicio posterior a fecha límite"&amp;" · ","")&amp;IF(AND($V275="Macro",$H275&lt;&gt;"",OR(NOT(ISNUMBER($H275)),$H275&lt;0,$H275&gt;1)),"Peso fuera de rango"&amp;" · ","")&amp;IF(AND($V275="Sub",$H275&lt;&gt;""),"Las subactividades no llevan peso (valen igual dentro de su macroactividad)"&amp;" · ","")&amp;IF(AND(N($W275)&gt;0,COUNT($I275:$L275)&gt;0),"Con subactividades: deje vacías las semanas (se calculan solas)"&amp;" · ","")&amp;IF((COUNTIF($I275:$L275,"&gt;1")+COUNTIF($I275:$L275,"&lt;0")+COUNTA($I275:$L275)-COUNT($I275:$L275))&gt;0,"Avance fuera de rango 0-100%"&amp;" · ","")&amp;IF(OR(AND($J275&lt;&gt;"",$J275&lt;$I275),AND($K275&lt;&gt;"",$K275&lt;MAX($I275:$J275)),AND($L275&lt;&gt;"",$L275&lt;MAX($I275:$K275))),"Avance semanal decreciente"&amp;" · ","")&amp;IF(AND(ISNUMBER($AN275),$AN275&lt;FechaRef,IF($V275="Sub",N($X275),N($M275))&lt;1),"Vencida"&amp;" · ","")&amp;IF(AND(ObsObligatoria="Sí",ISNUMBER($AN275),$AN275&lt;FechaRef,IF($V275="Sub",N($X275),N($M275))&lt;1,$Q275=""),"Vencida sin observación"&amp;" · ",""))-3)))</f>
        <v/>
      </c>
      <c r="S275" s="64">
        <f>IF(NOT((COUNTA($B275:$D275)+COUNTA($G275:$L275)+COUNTA($Q275))&gt;0),"",IF(AND($V275="Sub",N($U275)&gt;0),IF(ISNUMBER(INDEX($AM$5:$AM$1000,$U275-4)),DATE(YEAR(INDEX($AM$5:$AM$1000,$U275-4)),MONTH(INDEX($AM$5:$AM$1000,$U275-4)),1),IF(ISNUMBER(INDEX($AN$5:$AN$1000,$U275-4)),DATE(YEAR(INDEX($AN$5:$AN$1000,$U275-4)),MONTH(INDEX($AN$5:$AN$1000,$U275-4)),1),MesCiclo)),IF(ISNUMBER($AM275),DATE(YEAR($AM275),MONTH($AM275),1),IF(ISNUMBER($AN275),DATE(YEAR($AN275),MONTH($AN275),1),MesCiclo))))</f>
        <v/>
      </c>
      <c r="T275" s="62">
        <f>IF(OR($S275="",$S275&lt;&gt;MesCiclo,$V275&lt;&gt;"Macro"),"",COUNTIFS($S$5:$S275,MesCiclo,$V$5:$V275,"Macro"))</f>
        <v/>
      </c>
      <c r="U275" s="62">
        <f>IF($V275="","",IF($V275="Macro",ROW(),IFERROR(LOOKUP(2,1/($V$5:$V275="Macro"),ROW($V$5:$V275)),0)))</f>
        <v/>
      </c>
      <c r="V275" s="62">
        <f>IF(NOT((COUNTA($B275:$D275)+COUNTA($G275:$L275)+COUNTA($Q275))&gt;0),"",IF($B275="Subactividad","Sub","Macro"))</f>
        <v/>
      </c>
      <c r="W275" s="62">
        <f>IF($V275="Macro",COUNTIFS($U$5:$U$1000,ROW(),$V$5:$V$1000,"Sub"),"")</f>
        <v/>
      </c>
      <c r="X275" s="62">
        <f>IF($V275="","",IF(ISNUMBER($G275),1,IFERROR(LOOKUP(2,1/($I275:$L275&lt;&gt;""),$I275:$L275),0)))</f>
        <v/>
      </c>
      <c r="Y275" s="62">
        <f>IF($V275="","",IF(AND(ISNUMBER($G275),$G275&lt;=IF($S275=MesCiclo,InicioCiclo,$S275+MOD(2-WEEKDAY($S275),7))+6),1,IF(ISNUMBER($I275),$I275,0)))</f>
        <v/>
      </c>
      <c r="Z275" s="62">
        <f>IF($V275="","",IF(AND(ISNUMBER($G275),$G275&lt;=IF($S275=MesCiclo,InicioCiclo,$S275+MOD(2-WEEKDAY($S275),7))+13),1,IF(ISNUMBER($J275),$J275,$Y275)))</f>
        <v/>
      </c>
      <c r="AA275" s="62">
        <f>IF($V275="","",IF(AND(ISNUMBER($G275),$G275&lt;=IF($S275=MesCiclo,InicioCiclo,$S275+MOD(2-WEEKDAY($S275),7))+20),1,IF(ISNUMBER($K275),$K275,$Z275)))</f>
        <v/>
      </c>
      <c r="AB275" s="62">
        <f>IF($V275="","",IF(AND(ISNUMBER($G275),$G275&lt;=IF($S275=MesCiclo,InicioCiclo,$S275+MOD(2-WEEKDAY($S275),7))+27),1,IF(ISNUMBER($L275),$L275,$AA275)))</f>
        <v/>
      </c>
      <c r="AC275" s="62">
        <f>IF($V275="","",IF(AND(ISNUMBER($G275),$G275&lt;=IF($S275=MesCiclo,InicioCiclo,$S275+MOD(2-WEEKDAY($S275),7))+6),1,IF(N($W275)&gt;0,AVERAGEIFS($Y$5:$Y$1000,$U$5:$U$1000,ROW(),$V$5:$V$1000,"Sub"),$Y275)))</f>
        <v/>
      </c>
      <c r="AD275" s="62">
        <f>IF($V275="","",IF(AND(ISNUMBER($G275),$G275&lt;=IF($S275=MesCiclo,InicioCiclo,$S275+MOD(2-WEEKDAY($S275),7))+13),1,IF(N($W275)&gt;0,AVERAGEIFS($Z$5:$Z$1000,$U$5:$U$1000,ROW(),$V$5:$V$1000,"Sub"),$Z275)))</f>
        <v/>
      </c>
      <c r="AE275" s="62">
        <f>IF($V275="","",IF(AND(ISNUMBER($G275),$G275&lt;=IF($S275=MesCiclo,InicioCiclo,$S275+MOD(2-WEEKDAY($S275),7))+20),1,IF(N($W275)&gt;0,AVERAGEIFS($AA$5:$AA$1000,$U$5:$U$1000,ROW(),$V$5:$V$1000,"Sub"),$AA275)))</f>
        <v/>
      </c>
      <c r="AF275" s="62">
        <f>IF($V275="","",IF(AND(ISNUMBER($G275),$G275&lt;=IF($S275=MesCiclo,InicioCiclo,$S275+MOD(2-WEEKDAY($S275),7))+27),1,IF(N($W275)&gt;0,AVERAGEIFS($AB$5:$AB$1000,$U$5:$U$1000,ROW(),$V$5:$V$1000,"Sub"),$AB275)))</f>
        <v/>
      </c>
      <c r="AG275" s="62">
        <f>IF($V275&lt;&gt;"Macro","",IF(COUNTIFS($S$5:$S$1000,$S275,$V$5:$V$1000,"Macro",$H$5:$H$1000,"&gt;0")=0,1/COUNTIFS($S$5:$S$1000,$S275,$V$5:$V$1000,"Macro"),IF(AND(ISNUMBER($H275),N($H275)&gt;0),$H275,SUMIFS($H$5:$H$1000,$S$5:$S$1000,$S275,$V$5:$V$1000,"Macro")/COUNTIFS($S$5:$S$1000,$S275,$V$5:$V$1000,"Macro",$H$5:$H$1000,"&gt;0"))/(COUNTIFS($S$5:$S$1000,$S275,$V$5:$V$1000,"Macro")*SUMIFS($H$5:$H$1000,$S$5:$S$1000,$S275,$V$5:$V$1000,"Macro")/COUNTIFS($S$5:$S$1000,$S275,$V$5:$V$1000,"Macro",$H$5:$H$1000,"&gt;0"))))</f>
        <v/>
      </c>
      <c r="AH275" s="62" t="n"/>
      <c r="AI275" s="62" t="n"/>
      <c r="AJ275" s="62" t="n"/>
      <c r="AK275" s="62" t="n"/>
      <c r="AL275" s="62">
        <f>IF(LEFT($C275,11)="[Jefatura] ",IFERROR(MATCH("Riesgo Operacional|"&amp;MID($C275,12,500),rDname_ADM,0),0),"")</f>
        <v/>
      </c>
      <c r="AM275" s="62">
        <f>IF(N($AL275)&gt;0,INDEX(rIni_ADM,$AL275),IF(ISNUMBER($E275),$E275,""))</f>
        <v/>
      </c>
      <c r="AN275" s="62">
        <f>IF(N($AL275)&gt;0,INDEX(rLim_ADM,$AL275),IF(ISNUMBER($F275),$F275,""))</f>
        <v/>
      </c>
    </row>
    <row r="276">
      <c r="A276" s="56">
        <f>IF(NOT((COUNTA($B276:$D276)+COUNTA($G276:$L276)+COUNTA($Q276))&gt;0),"",IF($V276="Macro",COUNTIFS($V$5:$V276,"Macro",$S$5:$S276,$S276),IF(N($U276)=0,"?",COUNTIFS(INDEX($V$5:$V$1000,1):INDEX($V$5:$V$1000,$U276-4),"Macro",INDEX($S$5:$S$1000,1):INDEX($S$5:$S$1000,$U276-4),INDEX($S$5:$S$1000,$U276-4))&amp;"."&amp;COUNTIFS($U$5:$U276,$U276,$V$5:$V276,"Sub"))))</f>
        <v/>
      </c>
      <c r="B276" s="57" t="n"/>
      <c r="C276" s="58" t="n"/>
      <c r="D276" s="58" t="n"/>
      <c r="E276" s="59">
        <f>IF(N($AL276)&gt;0,INDEX(rIni_ADM,$AL276),"")</f>
        <v/>
      </c>
      <c r="F276" s="59">
        <f>IF(N($AL276)&gt;0,INDEX(rLim_ADM,$AL276),"")</f>
        <v/>
      </c>
      <c r="G276" s="59" t="n"/>
      <c r="H276" s="60" t="n"/>
      <c r="I276" s="60" t="n"/>
      <c r="J276" s="60" t="n"/>
      <c r="K276" s="60" t="n"/>
      <c r="L276" s="60" t="n"/>
      <c r="M276" s="61">
        <f>IF(NOT((COUNTA($B276:$D276)+COUNTA($G276:$L276)+COUNTA($Q276))&gt;0),"",IF($V276="Sub",IFERROR($X276/INDEX($W$5:$W$1000,$U276-4),""),IF(ISNUMBER($G276),1,IF(N($W276)&gt;0,AVERAGEIFS($X$5:$X$1000,$U$5:$U$1000,ROW(),$V$5:$V$1000,"Sub"),$X276))))</f>
        <v/>
      </c>
      <c r="N276" s="56">
        <f>IF(OR($M276="",$V276="Sub"),"",IF($M276&gt;=1,"Completado",IF($M276&gt;0,"En curso","Pendiente")))</f>
        <v/>
      </c>
      <c r="O276" s="56">
        <f>IF(OR(NOT((COUNTA($B276:$D276)+COUNTA($G276:$L276)+COUNTA($Q276))&gt;0),$V276="Sub"),"",IF(ISNUMBER($G276),IF(AND(ISNUMBER($AN276),$G276&gt;$AN276),"Cumplida con "&amp;($G276-$AN276)&amp;IF($G276-$AN276=1," día"," días")&amp;" de retraso","Cumplida"),IF(N($M276)&gt;=1,"Cumplida",IF(NOT(ISNUMBER($AN276)),"Sin fecha límite",IF($AN276&lt;FechaRef,"Vencida hace "&amp;(FechaRef-$AN276)&amp;IF(FechaRef-$AN276=1," día"," días"),IF($AN276=FechaRef,"Vence hoy",IF($AN276-FechaRef&lt;=DiasAlerta,"Vence en "&amp;($AN276-FechaRef)&amp;IF($AN276-FechaRef=1," día"," días"),"En plazo")))))))</f>
        <v/>
      </c>
      <c r="P276" s="62" t="n"/>
      <c r="Q276" s="58" t="n"/>
      <c r="R276" s="63">
        <f>IF(NOT((COUNTA($B276:$D276)+COUNTA($G276:$L276)+COUNTA($Q276))&gt;0),"",IF((IF($C276="","Falta el nombre de la actividad"&amp;" · ","")&amp;IF(AND($V276="Sub",N($U276)=0),"Subactividad sin macroactividad arriba"&amp;" · ","")&amp;IF($AM276="","Sin fecha de inicio"&amp;" · ","")&amp;IF($AN276="","Sin fecha límite"&amp;" · ","")&amp;IF(AND(LEFT($C276,11)="[Jefatura] ",N($AL276)=0),"No se encuentra en la hoja de la jefatura (elíjala de nuevo en la lista)"&amp;" · ","")&amp;IF(OR(AND($E276&lt;&gt;"",NOT(ISNUMBER($E276))),AND($F276&lt;&gt;"",NOT(ISNUMBER($F276))),AND($G276&lt;&gt;"",NOT(ISNUMBER($G276)))),"Fecha no válida"&amp;" · ","")&amp;IF(AND(ISNUMBER($AM276),ISNUMBER($AN276),$AM276&gt;$AN276),"Inicio posterior a fecha límite"&amp;" · ","")&amp;IF(AND($V276="Macro",$H276&lt;&gt;"",OR(NOT(ISNUMBER($H276)),$H276&lt;0,$H276&gt;1)),"Peso fuera de rango"&amp;" · ","")&amp;IF(AND($V276="Sub",$H276&lt;&gt;""),"Las subactividades no llevan peso (valen igual dentro de su macroactividad)"&amp;" · ","")&amp;IF(AND(N($W276)&gt;0,COUNT($I276:$L276)&gt;0),"Con subactividades: deje vacías las semanas (se calculan solas)"&amp;" · ","")&amp;IF((COUNTIF($I276:$L276,"&gt;1")+COUNTIF($I276:$L276,"&lt;0")+COUNTA($I276:$L276)-COUNT($I276:$L276))&gt;0,"Avance fuera de rango 0-100%"&amp;" · ","")&amp;IF(OR(AND($J276&lt;&gt;"",$J276&lt;$I276),AND($K276&lt;&gt;"",$K276&lt;MAX($I276:$J276)),AND($L276&lt;&gt;"",$L276&lt;MAX($I276:$K276))),"Avance semanal decreciente"&amp;" · ","")&amp;IF(AND(ISNUMBER($AN276),$AN276&lt;FechaRef,IF($V276="Sub",N($X276),N($M276))&lt;1),"Vencida"&amp;" · ","")&amp;IF(AND(ObsObligatoria="Sí",ISNUMBER($AN276),$AN276&lt;FechaRef,IF($V276="Sub",N($X276),N($M276))&lt;1,$Q276=""),"Vencida sin observación"&amp;" · ",""))="","✔ OK","⚠ "&amp;LEFT(IF($C276="","Falta el nombre de la actividad"&amp;" · ","")&amp;IF(AND($V276="Sub",N($U276)=0),"Subactividad sin macroactividad arriba"&amp;" · ","")&amp;IF($AM276="","Sin fecha de inicio"&amp;" · ","")&amp;IF($AN276="","Sin fecha límite"&amp;" · ","")&amp;IF(AND(LEFT($C276,11)="[Jefatura] ",N($AL276)=0),"No se encuentra en la hoja de la jefatura (elíjala de nuevo en la lista)"&amp;" · ","")&amp;IF(OR(AND($E276&lt;&gt;"",NOT(ISNUMBER($E276))),AND($F276&lt;&gt;"",NOT(ISNUMBER($F276))),AND($G276&lt;&gt;"",NOT(ISNUMBER($G276)))),"Fecha no válida"&amp;" · ","")&amp;IF(AND(ISNUMBER($AM276),ISNUMBER($AN276),$AM276&gt;$AN276),"Inicio posterior a fecha límite"&amp;" · ","")&amp;IF(AND($V276="Macro",$H276&lt;&gt;"",OR(NOT(ISNUMBER($H276)),$H276&lt;0,$H276&gt;1)),"Peso fuera de rango"&amp;" · ","")&amp;IF(AND($V276="Sub",$H276&lt;&gt;""),"Las subactividades no llevan peso (valen igual dentro de su macroactividad)"&amp;" · ","")&amp;IF(AND(N($W276)&gt;0,COUNT($I276:$L276)&gt;0),"Con subactividades: deje vacías las semanas (se calculan solas)"&amp;" · ","")&amp;IF((COUNTIF($I276:$L276,"&gt;1")+COUNTIF($I276:$L276,"&lt;0")+COUNTA($I276:$L276)-COUNT($I276:$L276))&gt;0,"Avance fuera de rango 0-100%"&amp;" · ","")&amp;IF(OR(AND($J276&lt;&gt;"",$J276&lt;$I276),AND($K276&lt;&gt;"",$K276&lt;MAX($I276:$J276)),AND($L276&lt;&gt;"",$L276&lt;MAX($I276:$K276))),"Avance semanal decreciente"&amp;" · ","")&amp;IF(AND(ISNUMBER($AN276),$AN276&lt;FechaRef,IF($V276="Sub",N($X276),N($M276))&lt;1),"Vencida"&amp;" · ","")&amp;IF(AND(ObsObligatoria="Sí",ISNUMBER($AN276),$AN276&lt;FechaRef,IF($V276="Sub",N($X276),N($M276))&lt;1,$Q276=""),"Vencida sin observación"&amp;" · ",""),LEN(IF($C276="","Falta el nombre de la actividad"&amp;" · ","")&amp;IF(AND($V276="Sub",N($U276)=0),"Subactividad sin macroactividad arriba"&amp;" · ","")&amp;IF($AM276="","Sin fecha de inicio"&amp;" · ","")&amp;IF($AN276="","Sin fecha límite"&amp;" · ","")&amp;IF(AND(LEFT($C276,11)="[Jefatura] ",N($AL276)=0),"No se encuentra en la hoja de la jefatura (elíjala de nuevo en la lista)"&amp;" · ","")&amp;IF(OR(AND($E276&lt;&gt;"",NOT(ISNUMBER($E276))),AND($F276&lt;&gt;"",NOT(ISNUMBER($F276))),AND($G276&lt;&gt;"",NOT(ISNUMBER($G276)))),"Fecha no válida"&amp;" · ","")&amp;IF(AND(ISNUMBER($AM276),ISNUMBER($AN276),$AM276&gt;$AN276),"Inicio posterior a fecha límite"&amp;" · ","")&amp;IF(AND($V276="Macro",$H276&lt;&gt;"",OR(NOT(ISNUMBER($H276)),$H276&lt;0,$H276&gt;1)),"Peso fuera de rango"&amp;" · ","")&amp;IF(AND($V276="Sub",$H276&lt;&gt;""),"Las subactividades no llevan peso (valen igual dentro de su macroactividad)"&amp;" · ","")&amp;IF(AND(N($W276)&gt;0,COUNT($I276:$L276)&gt;0),"Con subactividades: deje vacías las semanas (se calculan solas)"&amp;" · ","")&amp;IF((COUNTIF($I276:$L276,"&gt;1")+COUNTIF($I276:$L276,"&lt;0")+COUNTA($I276:$L276)-COUNT($I276:$L276))&gt;0,"Avance fuera de rango 0-100%"&amp;" · ","")&amp;IF(OR(AND($J276&lt;&gt;"",$J276&lt;$I276),AND($K276&lt;&gt;"",$K276&lt;MAX($I276:$J276)),AND($L276&lt;&gt;"",$L276&lt;MAX($I276:$K276))),"Avance semanal decreciente"&amp;" · ","")&amp;IF(AND(ISNUMBER($AN276),$AN276&lt;FechaRef,IF($V276="Sub",N($X276),N($M276))&lt;1),"Vencida"&amp;" · ","")&amp;IF(AND(ObsObligatoria="Sí",ISNUMBER($AN276),$AN276&lt;FechaRef,IF($V276="Sub",N($X276),N($M276))&lt;1,$Q276=""),"Vencida sin observación"&amp;" · ",""))-3)))</f>
        <v/>
      </c>
      <c r="S276" s="64">
        <f>IF(NOT((COUNTA($B276:$D276)+COUNTA($G276:$L276)+COUNTA($Q276))&gt;0),"",IF(AND($V276="Sub",N($U276)&gt;0),IF(ISNUMBER(INDEX($AM$5:$AM$1000,$U276-4)),DATE(YEAR(INDEX($AM$5:$AM$1000,$U276-4)),MONTH(INDEX($AM$5:$AM$1000,$U276-4)),1),IF(ISNUMBER(INDEX($AN$5:$AN$1000,$U276-4)),DATE(YEAR(INDEX($AN$5:$AN$1000,$U276-4)),MONTH(INDEX($AN$5:$AN$1000,$U276-4)),1),MesCiclo)),IF(ISNUMBER($AM276),DATE(YEAR($AM276),MONTH($AM276),1),IF(ISNUMBER($AN276),DATE(YEAR($AN276),MONTH($AN276),1),MesCiclo))))</f>
        <v/>
      </c>
      <c r="T276" s="62">
        <f>IF(OR($S276="",$S276&lt;&gt;MesCiclo,$V276&lt;&gt;"Macro"),"",COUNTIFS($S$5:$S276,MesCiclo,$V$5:$V276,"Macro"))</f>
        <v/>
      </c>
      <c r="U276" s="62">
        <f>IF($V276="","",IF($V276="Macro",ROW(),IFERROR(LOOKUP(2,1/($V$5:$V276="Macro"),ROW($V$5:$V276)),0)))</f>
        <v/>
      </c>
      <c r="V276" s="62">
        <f>IF(NOT((COUNTA($B276:$D276)+COUNTA($G276:$L276)+COUNTA($Q276))&gt;0),"",IF($B276="Subactividad","Sub","Macro"))</f>
        <v/>
      </c>
      <c r="W276" s="62">
        <f>IF($V276="Macro",COUNTIFS($U$5:$U$1000,ROW(),$V$5:$V$1000,"Sub"),"")</f>
        <v/>
      </c>
      <c r="X276" s="62">
        <f>IF($V276="","",IF(ISNUMBER($G276),1,IFERROR(LOOKUP(2,1/($I276:$L276&lt;&gt;""),$I276:$L276),0)))</f>
        <v/>
      </c>
      <c r="Y276" s="62">
        <f>IF($V276="","",IF(AND(ISNUMBER($G276),$G276&lt;=IF($S276=MesCiclo,InicioCiclo,$S276+MOD(2-WEEKDAY($S276),7))+6),1,IF(ISNUMBER($I276),$I276,0)))</f>
        <v/>
      </c>
      <c r="Z276" s="62">
        <f>IF($V276="","",IF(AND(ISNUMBER($G276),$G276&lt;=IF($S276=MesCiclo,InicioCiclo,$S276+MOD(2-WEEKDAY($S276),7))+13),1,IF(ISNUMBER($J276),$J276,$Y276)))</f>
        <v/>
      </c>
      <c r="AA276" s="62">
        <f>IF($V276="","",IF(AND(ISNUMBER($G276),$G276&lt;=IF($S276=MesCiclo,InicioCiclo,$S276+MOD(2-WEEKDAY($S276),7))+20),1,IF(ISNUMBER($K276),$K276,$Z276)))</f>
        <v/>
      </c>
      <c r="AB276" s="62">
        <f>IF($V276="","",IF(AND(ISNUMBER($G276),$G276&lt;=IF($S276=MesCiclo,InicioCiclo,$S276+MOD(2-WEEKDAY($S276),7))+27),1,IF(ISNUMBER($L276),$L276,$AA276)))</f>
        <v/>
      </c>
      <c r="AC276" s="62">
        <f>IF($V276="","",IF(AND(ISNUMBER($G276),$G276&lt;=IF($S276=MesCiclo,InicioCiclo,$S276+MOD(2-WEEKDAY($S276),7))+6),1,IF(N($W276)&gt;0,AVERAGEIFS($Y$5:$Y$1000,$U$5:$U$1000,ROW(),$V$5:$V$1000,"Sub"),$Y276)))</f>
        <v/>
      </c>
      <c r="AD276" s="62">
        <f>IF($V276="","",IF(AND(ISNUMBER($G276),$G276&lt;=IF($S276=MesCiclo,InicioCiclo,$S276+MOD(2-WEEKDAY($S276),7))+13),1,IF(N($W276)&gt;0,AVERAGEIFS($Z$5:$Z$1000,$U$5:$U$1000,ROW(),$V$5:$V$1000,"Sub"),$Z276)))</f>
        <v/>
      </c>
      <c r="AE276" s="62">
        <f>IF($V276="","",IF(AND(ISNUMBER($G276),$G276&lt;=IF($S276=MesCiclo,InicioCiclo,$S276+MOD(2-WEEKDAY($S276),7))+20),1,IF(N($W276)&gt;0,AVERAGEIFS($AA$5:$AA$1000,$U$5:$U$1000,ROW(),$V$5:$V$1000,"Sub"),$AA276)))</f>
        <v/>
      </c>
      <c r="AF276" s="62">
        <f>IF($V276="","",IF(AND(ISNUMBER($G276),$G276&lt;=IF($S276=MesCiclo,InicioCiclo,$S276+MOD(2-WEEKDAY($S276),7))+27),1,IF(N($W276)&gt;0,AVERAGEIFS($AB$5:$AB$1000,$U$5:$U$1000,ROW(),$V$5:$V$1000,"Sub"),$AB276)))</f>
        <v/>
      </c>
      <c r="AG276" s="62">
        <f>IF($V276&lt;&gt;"Macro","",IF(COUNTIFS($S$5:$S$1000,$S276,$V$5:$V$1000,"Macro",$H$5:$H$1000,"&gt;0")=0,1/COUNTIFS($S$5:$S$1000,$S276,$V$5:$V$1000,"Macro"),IF(AND(ISNUMBER($H276),N($H276)&gt;0),$H276,SUMIFS($H$5:$H$1000,$S$5:$S$1000,$S276,$V$5:$V$1000,"Macro")/COUNTIFS($S$5:$S$1000,$S276,$V$5:$V$1000,"Macro",$H$5:$H$1000,"&gt;0"))/(COUNTIFS($S$5:$S$1000,$S276,$V$5:$V$1000,"Macro")*SUMIFS($H$5:$H$1000,$S$5:$S$1000,$S276,$V$5:$V$1000,"Macro")/COUNTIFS($S$5:$S$1000,$S276,$V$5:$V$1000,"Macro",$H$5:$H$1000,"&gt;0"))))</f>
        <v/>
      </c>
      <c r="AH276" s="62" t="n"/>
      <c r="AI276" s="62" t="n"/>
      <c r="AJ276" s="62" t="n"/>
      <c r="AK276" s="62" t="n"/>
      <c r="AL276" s="62">
        <f>IF(LEFT($C276,11)="[Jefatura] ",IFERROR(MATCH("Riesgo Operacional|"&amp;MID($C276,12,500),rDname_ADM,0),0),"")</f>
        <v/>
      </c>
      <c r="AM276" s="62">
        <f>IF(N($AL276)&gt;0,INDEX(rIni_ADM,$AL276),IF(ISNUMBER($E276),$E276,""))</f>
        <v/>
      </c>
      <c r="AN276" s="62">
        <f>IF(N($AL276)&gt;0,INDEX(rLim_ADM,$AL276),IF(ISNUMBER($F276),$F276,""))</f>
        <v/>
      </c>
    </row>
    <row r="277">
      <c r="A277" s="56">
        <f>IF(NOT((COUNTA($B277:$D277)+COUNTA($G277:$L277)+COUNTA($Q277))&gt;0),"",IF($V277="Macro",COUNTIFS($V$5:$V277,"Macro",$S$5:$S277,$S277),IF(N($U277)=0,"?",COUNTIFS(INDEX($V$5:$V$1000,1):INDEX($V$5:$V$1000,$U277-4),"Macro",INDEX($S$5:$S$1000,1):INDEX($S$5:$S$1000,$U277-4),INDEX($S$5:$S$1000,$U277-4))&amp;"."&amp;COUNTIFS($U$5:$U277,$U277,$V$5:$V277,"Sub"))))</f>
        <v/>
      </c>
      <c r="B277" s="57" t="n"/>
      <c r="C277" s="58" t="n"/>
      <c r="D277" s="58" t="n"/>
      <c r="E277" s="59">
        <f>IF(N($AL277)&gt;0,INDEX(rIni_ADM,$AL277),"")</f>
        <v/>
      </c>
      <c r="F277" s="59">
        <f>IF(N($AL277)&gt;0,INDEX(rLim_ADM,$AL277),"")</f>
        <v/>
      </c>
      <c r="G277" s="59" t="n"/>
      <c r="H277" s="60" t="n"/>
      <c r="I277" s="60" t="n"/>
      <c r="J277" s="60" t="n"/>
      <c r="K277" s="60" t="n"/>
      <c r="L277" s="60" t="n"/>
      <c r="M277" s="61">
        <f>IF(NOT((COUNTA($B277:$D277)+COUNTA($G277:$L277)+COUNTA($Q277))&gt;0),"",IF($V277="Sub",IFERROR($X277/INDEX($W$5:$W$1000,$U277-4),""),IF(ISNUMBER($G277),1,IF(N($W277)&gt;0,AVERAGEIFS($X$5:$X$1000,$U$5:$U$1000,ROW(),$V$5:$V$1000,"Sub"),$X277))))</f>
        <v/>
      </c>
      <c r="N277" s="56">
        <f>IF(OR($M277="",$V277="Sub"),"",IF($M277&gt;=1,"Completado",IF($M277&gt;0,"En curso","Pendiente")))</f>
        <v/>
      </c>
      <c r="O277" s="56">
        <f>IF(OR(NOT((COUNTA($B277:$D277)+COUNTA($G277:$L277)+COUNTA($Q277))&gt;0),$V277="Sub"),"",IF(ISNUMBER($G277),IF(AND(ISNUMBER($AN277),$G277&gt;$AN277),"Cumplida con "&amp;($G277-$AN277)&amp;IF($G277-$AN277=1," día"," días")&amp;" de retraso","Cumplida"),IF(N($M277)&gt;=1,"Cumplida",IF(NOT(ISNUMBER($AN277)),"Sin fecha límite",IF($AN277&lt;FechaRef,"Vencida hace "&amp;(FechaRef-$AN277)&amp;IF(FechaRef-$AN277=1," día"," días"),IF($AN277=FechaRef,"Vence hoy",IF($AN277-FechaRef&lt;=DiasAlerta,"Vence en "&amp;($AN277-FechaRef)&amp;IF($AN277-FechaRef=1," día"," días"),"En plazo")))))))</f>
        <v/>
      </c>
      <c r="P277" s="62" t="n"/>
      <c r="Q277" s="58" t="n"/>
      <c r="R277" s="63">
        <f>IF(NOT((COUNTA($B277:$D277)+COUNTA($G277:$L277)+COUNTA($Q277))&gt;0),"",IF((IF($C277="","Falta el nombre de la actividad"&amp;" · ","")&amp;IF(AND($V277="Sub",N($U277)=0),"Subactividad sin macroactividad arriba"&amp;" · ","")&amp;IF($AM277="","Sin fecha de inicio"&amp;" · ","")&amp;IF($AN277="","Sin fecha límite"&amp;" · ","")&amp;IF(AND(LEFT($C277,11)="[Jefatura] ",N($AL277)=0),"No se encuentra en la hoja de la jefatura (elíjala de nuevo en la lista)"&amp;" · ","")&amp;IF(OR(AND($E277&lt;&gt;"",NOT(ISNUMBER($E277))),AND($F277&lt;&gt;"",NOT(ISNUMBER($F277))),AND($G277&lt;&gt;"",NOT(ISNUMBER($G277)))),"Fecha no válida"&amp;" · ","")&amp;IF(AND(ISNUMBER($AM277),ISNUMBER($AN277),$AM277&gt;$AN277),"Inicio posterior a fecha límite"&amp;" · ","")&amp;IF(AND($V277="Macro",$H277&lt;&gt;"",OR(NOT(ISNUMBER($H277)),$H277&lt;0,$H277&gt;1)),"Peso fuera de rango"&amp;" · ","")&amp;IF(AND($V277="Sub",$H277&lt;&gt;""),"Las subactividades no llevan peso (valen igual dentro de su macroactividad)"&amp;" · ","")&amp;IF(AND(N($W277)&gt;0,COUNT($I277:$L277)&gt;0),"Con subactividades: deje vacías las semanas (se calculan solas)"&amp;" · ","")&amp;IF((COUNTIF($I277:$L277,"&gt;1")+COUNTIF($I277:$L277,"&lt;0")+COUNTA($I277:$L277)-COUNT($I277:$L277))&gt;0,"Avance fuera de rango 0-100%"&amp;" · ","")&amp;IF(OR(AND($J277&lt;&gt;"",$J277&lt;$I277),AND($K277&lt;&gt;"",$K277&lt;MAX($I277:$J277)),AND($L277&lt;&gt;"",$L277&lt;MAX($I277:$K277))),"Avance semanal decreciente"&amp;" · ","")&amp;IF(AND(ISNUMBER($AN277),$AN277&lt;FechaRef,IF($V277="Sub",N($X277),N($M277))&lt;1),"Vencida"&amp;" · ","")&amp;IF(AND(ObsObligatoria="Sí",ISNUMBER($AN277),$AN277&lt;FechaRef,IF($V277="Sub",N($X277),N($M277))&lt;1,$Q277=""),"Vencida sin observación"&amp;" · ",""))="","✔ OK","⚠ "&amp;LEFT(IF($C277="","Falta el nombre de la actividad"&amp;" · ","")&amp;IF(AND($V277="Sub",N($U277)=0),"Subactividad sin macroactividad arriba"&amp;" · ","")&amp;IF($AM277="","Sin fecha de inicio"&amp;" · ","")&amp;IF($AN277="","Sin fecha límite"&amp;" · ","")&amp;IF(AND(LEFT($C277,11)="[Jefatura] ",N($AL277)=0),"No se encuentra en la hoja de la jefatura (elíjala de nuevo en la lista)"&amp;" · ","")&amp;IF(OR(AND($E277&lt;&gt;"",NOT(ISNUMBER($E277))),AND($F277&lt;&gt;"",NOT(ISNUMBER($F277))),AND($G277&lt;&gt;"",NOT(ISNUMBER($G277)))),"Fecha no válida"&amp;" · ","")&amp;IF(AND(ISNUMBER($AM277),ISNUMBER($AN277),$AM277&gt;$AN277),"Inicio posterior a fecha límite"&amp;" · ","")&amp;IF(AND($V277="Macro",$H277&lt;&gt;"",OR(NOT(ISNUMBER($H277)),$H277&lt;0,$H277&gt;1)),"Peso fuera de rango"&amp;" · ","")&amp;IF(AND($V277="Sub",$H277&lt;&gt;""),"Las subactividades no llevan peso (valen igual dentro de su macroactividad)"&amp;" · ","")&amp;IF(AND(N($W277)&gt;0,COUNT($I277:$L277)&gt;0),"Con subactividades: deje vacías las semanas (se calculan solas)"&amp;" · ","")&amp;IF((COUNTIF($I277:$L277,"&gt;1")+COUNTIF($I277:$L277,"&lt;0")+COUNTA($I277:$L277)-COUNT($I277:$L277))&gt;0,"Avance fuera de rango 0-100%"&amp;" · ","")&amp;IF(OR(AND($J277&lt;&gt;"",$J277&lt;$I277),AND($K277&lt;&gt;"",$K277&lt;MAX($I277:$J277)),AND($L277&lt;&gt;"",$L277&lt;MAX($I277:$K277))),"Avance semanal decreciente"&amp;" · ","")&amp;IF(AND(ISNUMBER($AN277),$AN277&lt;FechaRef,IF($V277="Sub",N($X277),N($M277))&lt;1),"Vencida"&amp;" · ","")&amp;IF(AND(ObsObligatoria="Sí",ISNUMBER($AN277),$AN277&lt;FechaRef,IF($V277="Sub",N($X277),N($M277))&lt;1,$Q277=""),"Vencida sin observación"&amp;" · ",""),LEN(IF($C277="","Falta el nombre de la actividad"&amp;" · ","")&amp;IF(AND($V277="Sub",N($U277)=0),"Subactividad sin macroactividad arriba"&amp;" · ","")&amp;IF($AM277="","Sin fecha de inicio"&amp;" · ","")&amp;IF($AN277="","Sin fecha límite"&amp;" · ","")&amp;IF(AND(LEFT($C277,11)="[Jefatura] ",N($AL277)=0),"No se encuentra en la hoja de la jefatura (elíjala de nuevo en la lista)"&amp;" · ","")&amp;IF(OR(AND($E277&lt;&gt;"",NOT(ISNUMBER($E277))),AND($F277&lt;&gt;"",NOT(ISNUMBER($F277))),AND($G277&lt;&gt;"",NOT(ISNUMBER($G277)))),"Fecha no válida"&amp;" · ","")&amp;IF(AND(ISNUMBER($AM277),ISNUMBER($AN277),$AM277&gt;$AN277),"Inicio posterior a fecha límite"&amp;" · ","")&amp;IF(AND($V277="Macro",$H277&lt;&gt;"",OR(NOT(ISNUMBER($H277)),$H277&lt;0,$H277&gt;1)),"Peso fuera de rango"&amp;" · ","")&amp;IF(AND($V277="Sub",$H277&lt;&gt;""),"Las subactividades no llevan peso (valen igual dentro de su macroactividad)"&amp;" · ","")&amp;IF(AND(N($W277)&gt;0,COUNT($I277:$L277)&gt;0),"Con subactividades: deje vacías las semanas (se calculan solas)"&amp;" · ","")&amp;IF((COUNTIF($I277:$L277,"&gt;1")+COUNTIF($I277:$L277,"&lt;0")+COUNTA($I277:$L277)-COUNT($I277:$L277))&gt;0,"Avance fuera de rango 0-100%"&amp;" · ","")&amp;IF(OR(AND($J277&lt;&gt;"",$J277&lt;$I277),AND($K277&lt;&gt;"",$K277&lt;MAX($I277:$J277)),AND($L277&lt;&gt;"",$L277&lt;MAX($I277:$K277))),"Avance semanal decreciente"&amp;" · ","")&amp;IF(AND(ISNUMBER($AN277),$AN277&lt;FechaRef,IF($V277="Sub",N($X277),N($M277))&lt;1),"Vencida"&amp;" · ","")&amp;IF(AND(ObsObligatoria="Sí",ISNUMBER($AN277),$AN277&lt;FechaRef,IF($V277="Sub",N($X277),N($M277))&lt;1,$Q277=""),"Vencida sin observación"&amp;" · ",""))-3)))</f>
        <v/>
      </c>
      <c r="S277" s="64">
        <f>IF(NOT((COUNTA($B277:$D277)+COUNTA($G277:$L277)+COUNTA($Q277))&gt;0),"",IF(AND($V277="Sub",N($U277)&gt;0),IF(ISNUMBER(INDEX($AM$5:$AM$1000,$U277-4)),DATE(YEAR(INDEX($AM$5:$AM$1000,$U277-4)),MONTH(INDEX($AM$5:$AM$1000,$U277-4)),1),IF(ISNUMBER(INDEX($AN$5:$AN$1000,$U277-4)),DATE(YEAR(INDEX($AN$5:$AN$1000,$U277-4)),MONTH(INDEX($AN$5:$AN$1000,$U277-4)),1),MesCiclo)),IF(ISNUMBER($AM277),DATE(YEAR($AM277),MONTH($AM277),1),IF(ISNUMBER($AN277),DATE(YEAR($AN277),MONTH($AN277),1),MesCiclo))))</f>
        <v/>
      </c>
      <c r="T277" s="62">
        <f>IF(OR($S277="",$S277&lt;&gt;MesCiclo,$V277&lt;&gt;"Macro"),"",COUNTIFS($S$5:$S277,MesCiclo,$V$5:$V277,"Macro"))</f>
        <v/>
      </c>
      <c r="U277" s="62">
        <f>IF($V277="","",IF($V277="Macro",ROW(),IFERROR(LOOKUP(2,1/($V$5:$V277="Macro"),ROW($V$5:$V277)),0)))</f>
        <v/>
      </c>
      <c r="V277" s="62">
        <f>IF(NOT((COUNTA($B277:$D277)+COUNTA($G277:$L277)+COUNTA($Q277))&gt;0),"",IF($B277="Subactividad","Sub","Macro"))</f>
        <v/>
      </c>
      <c r="W277" s="62">
        <f>IF($V277="Macro",COUNTIFS($U$5:$U$1000,ROW(),$V$5:$V$1000,"Sub"),"")</f>
        <v/>
      </c>
      <c r="X277" s="62">
        <f>IF($V277="","",IF(ISNUMBER($G277),1,IFERROR(LOOKUP(2,1/($I277:$L277&lt;&gt;""),$I277:$L277),0)))</f>
        <v/>
      </c>
      <c r="Y277" s="62">
        <f>IF($V277="","",IF(AND(ISNUMBER($G277),$G277&lt;=IF($S277=MesCiclo,InicioCiclo,$S277+MOD(2-WEEKDAY($S277),7))+6),1,IF(ISNUMBER($I277),$I277,0)))</f>
        <v/>
      </c>
      <c r="Z277" s="62">
        <f>IF($V277="","",IF(AND(ISNUMBER($G277),$G277&lt;=IF($S277=MesCiclo,InicioCiclo,$S277+MOD(2-WEEKDAY($S277),7))+13),1,IF(ISNUMBER($J277),$J277,$Y277)))</f>
        <v/>
      </c>
      <c r="AA277" s="62">
        <f>IF($V277="","",IF(AND(ISNUMBER($G277),$G277&lt;=IF($S277=MesCiclo,InicioCiclo,$S277+MOD(2-WEEKDAY($S277),7))+20),1,IF(ISNUMBER($K277),$K277,$Z277)))</f>
        <v/>
      </c>
      <c r="AB277" s="62">
        <f>IF($V277="","",IF(AND(ISNUMBER($G277),$G277&lt;=IF($S277=MesCiclo,InicioCiclo,$S277+MOD(2-WEEKDAY($S277),7))+27),1,IF(ISNUMBER($L277),$L277,$AA277)))</f>
        <v/>
      </c>
      <c r="AC277" s="62">
        <f>IF($V277="","",IF(AND(ISNUMBER($G277),$G277&lt;=IF($S277=MesCiclo,InicioCiclo,$S277+MOD(2-WEEKDAY($S277),7))+6),1,IF(N($W277)&gt;0,AVERAGEIFS($Y$5:$Y$1000,$U$5:$U$1000,ROW(),$V$5:$V$1000,"Sub"),$Y277)))</f>
        <v/>
      </c>
      <c r="AD277" s="62">
        <f>IF($V277="","",IF(AND(ISNUMBER($G277),$G277&lt;=IF($S277=MesCiclo,InicioCiclo,$S277+MOD(2-WEEKDAY($S277),7))+13),1,IF(N($W277)&gt;0,AVERAGEIFS($Z$5:$Z$1000,$U$5:$U$1000,ROW(),$V$5:$V$1000,"Sub"),$Z277)))</f>
        <v/>
      </c>
      <c r="AE277" s="62">
        <f>IF($V277="","",IF(AND(ISNUMBER($G277),$G277&lt;=IF($S277=MesCiclo,InicioCiclo,$S277+MOD(2-WEEKDAY($S277),7))+20),1,IF(N($W277)&gt;0,AVERAGEIFS($AA$5:$AA$1000,$U$5:$U$1000,ROW(),$V$5:$V$1000,"Sub"),$AA277)))</f>
        <v/>
      </c>
      <c r="AF277" s="62">
        <f>IF($V277="","",IF(AND(ISNUMBER($G277),$G277&lt;=IF($S277=MesCiclo,InicioCiclo,$S277+MOD(2-WEEKDAY($S277),7))+27),1,IF(N($W277)&gt;0,AVERAGEIFS($AB$5:$AB$1000,$U$5:$U$1000,ROW(),$V$5:$V$1000,"Sub"),$AB277)))</f>
        <v/>
      </c>
      <c r="AG277" s="62">
        <f>IF($V277&lt;&gt;"Macro","",IF(COUNTIFS($S$5:$S$1000,$S277,$V$5:$V$1000,"Macro",$H$5:$H$1000,"&gt;0")=0,1/COUNTIFS($S$5:$S$1000,$S277,$V$5:$V$1000,"Macro"),IF(AND(ISNUMBER($H277),N($H277)&gt;0),$H277,SUMIFS($H$5:$H$1000,$S$5:$S$1000,$S277,$V$5:$V$1000,"Macro")/COUNTIFS($S$5:$S$1000,$S277,$V$5:$V$1000,"Macro",$H$5:$H$1000,"&gt;0"))/(COUNTIFS($S$5:$S$1000,$S277,$V$5:$V$1000,"Macro")*SUMIFS($H$5:$H$1000,$S$5:$S$1000,$S277,$V$5:$V$1000,"Macro")/COUNTIFS($S$5:$S$1000,$S277,$V$5:$V$1000,"Macro",$H$5:$H$1000,"&gt;0"))))</f>
        <v/>
      </c>
      <c r="AH277" s="62" t="n"/>
      <c r="AI277" s="62" t="n"/>
      <c r="AJ277" s="62" t="n"/>
      <c r="AK277" s="62" t="n"/>
      <c r="AL277" s="62">
        <f>IF(LEFT($C277,11)="[Jefatura] ",IFERROR(MATCH("Riesgo Operacional|"&amp;MID($C277,12,500),rDname_ADM,0),0),"")</f>
        <v/>
      </c>
      <c r="AM277" s="62">
        <f>IF(N($AL277)&gt;0,INDEX(rIni_ADM,$AL277),IF(ISNUMBER($E277),$E277,""))</f>
        <v/>
      </c>
      <c r="AN277" s="62">
        <f>IF(N($AL277)&gt;0,INDEX(rLim_ADM,$AL277),IF(ISNUMBER($F277),$F277,""))</f>
        <v/>
      </c>
    </row>
    <row r="278">
      <c r="A278" s="56">
        <f>IF(NOT((COUNTA($B278:$D278)+COUNTA($G278:$L278)+COUNTA($Q278))&gt;0),"",IF($V278="Macro",COUNTIFS($V$5:$V278,"Macro",$S$5:$S278,$S278),IF(N($U278)=0,"?",COUNTIFS(INDEX($V$5:$V$1000,1):INDEX($V$5:$V$1000,$U278-4),"Macro",INDEX($S$5:$S$1000,1):INDEX($S$5:$S$1000,$U278-4),INDEX($S$5:$S$1000,$U278-4))&amp;"."&amp;COUNTIFS($U$5:$U278,$U278,$V$5:$V278,"Sub"))))</f>
        <v/>
      </c>
      <c r="B278" s="57" t="n"/>
      <c r="C278" s="58" t="n"/>
      <c r="D278" s="58" t="n"/>
      <c r="E278" s="59">
        <f>IF(N($AL278)&gt;0,INDEX(rIni_ADM,$AL278),"")</f>
        <v/>
      </c>
      <c r="F278" s="59">
        <f>IF(N($AL278)&gt;0,INDEX(rLim_ADM,$AL278),"")</f>
        <v/>
      </c>
      <c r="G278" s="59" t="n"/>
      <c r="H278" s="60" t="n"/>
      <c r="I278" s="60" t="n"/>
      <c r="J278" s="60" t="n"/>
      <c r="K278" s="60" t="n"/>
      <c r="L278" s="60" t="n"/>
      <c r="M278" s="61">
        <f>IF(NOT((COUNTA($B278:$D278)+COUNTA($G278:$L278)+COUNTA($Q278))&gt;0),"",IF($V278="Sub",IFERROR($X278/INDEX($W$5:$W$1000,$U278-4),""),IF(ISNUMBER($G278),1,IF(N($W278)&gt;0,AVERAGEIFS($X$5:$X$1000,$U$5:$U$1000,ROW(),$V$5:$V$1000,"Sub"),$X278))))</f>
        <v/>
      </c>
      <c r="N278" s="56">
        <f>IF(OR($M278="",$V278="Sub"),"",IF($M278&gt;=1,"Completado",IF($M278&gt;0,"En curso","Pendiente")))</f>
        <v/>
      </c>
      <c r="O278" s="56">
        <f>IF(OR(NOT((COUNTA($B278:$D278)+COUNTA($G278:$L278)+COUNTA($Q278))&gt;0),$V278="Sub"),"",IF(ISNUMBER($G278),IF(AND(ISNUMBER($AN278),$G278&gt;$AN278),"Cumplida con "&amp;($G278-$AN278)&amp;IF($G278-$AN278=1," día"," días")&amp;" de retraso","Cumplida"),IF(N($M278)&gt;=1,"Cumplida",IF(NOT(ISNUMBER($AN278)),"Sin fecha límite",IF($AN278&lt;FechaRef,"Vencida hace "&amp;(FechaRef-$AN278)&amp;IF(FechaRef-$AN278=1," día"," días"),IF($AN278=FechaRef,"Vence hoy",IF($AN278-FechaRef&lt;=DiasAlerta,"Vence en "&amp;($AN278-FechaRef)&amp;IF($AN278-FechaRef=1," día"," días"),"En plazo")))))))</f>
        <v/>
      </c>
      <c r="P278" s="62" t="n"/>
      <c r="Q278" s="58" t="n"/>
      <c r="R278" s="63">
        <f>IF(NOT((COUNTA($B278:$D278)+COUNTA($G278:$L278)+COUNTA($Q278))&gt;0),"",IF((IF($C278="","Falta el nombre de la actividad"&amp;" · ","")&amp;IF(AND($V278="Sub",N($U278)=0),"Subactividad sin macroactividad arriba"&amp;" · ","")&amp;IF($AM278="","Sin fecha de inicio"&amp;" · ","")&amp;IF($AN278="","Sin fecha límite"&amp;" · ","")&amp;IF(AND(LEFT($C278,11)="[Jefatura] ",N($AL278)=0),"No se encuentra en la hoja de la jefatura (elíjala de nuevo en la lista)"&amp;" · ","")&amp;IF(OR(AND($E278&lt;&gt;"",NOT(ISNUMBER($E278))),AND($F278&lt;&gt;"",NOT(ISNUMBER($F278))),AND($G278&lt;&gt;"",NOT(ISNUMBER($G278)))),"Fecha no válida"&amp;" · ","")&amp;IF(AND(ISNUMBER($AM278),ISNUMBER($AN278),$AM278&gt;$AN278),"Inicio posterior a fecha límite"&amp;" · ","")&amp;IF(AND($V278="Macro",$H278&lt;&gt;"",OR(NOT(ISNUMBER($H278)),$H278&lt;0,$H278&gt;1)),"Peso fuera de rango"&amp;" · ","")&amp;IF(AND($V278="Sub",$H278&lt;&gt;""),"Las subactividades no llevan peso (valen igual dentro de su macroactividad)"&amp;" · ","")&amp;IF(AND(N($W278)&gt;0,COUNT($I278:$L278)&gt;0),"Con subactividades: deje vacías las semanas (se calculan solas)"&amp;" · ","")&amp;IF((COUNTIF($I278:$L278,"&gt;1")+COUNTIF($I278:$L278,"&lt;0")+COUNTA($I278:$L278)-COUNT($I278:$L278))&gt;0,"Avance fuera de rango 0-100%"&amp;" · ","")&amp;IF(OR(AND($J278&lt;&gt;"",$J278&lt;$I278),AND($K278&lt;&gt;"",$K278&lt;MAX($I278:$J278)),AND($L278&lt;&gt;"",$L278&lt;MAX($I278:$K278))),"Avance semanal decreciente"&amp;" · ","")&amp;IF(AND(ISNUMBER($AN278),$AN278&lt;FechaRef,IF($V278="Sub",N($X278),N($M278))&lt;1),"Vencida"&amp;" · ","")&amp;IF(AND(ObsObligatoria="Sí",ISNUMBER($AN278),$AN278&lt;FechaRef,IF($V278="Sub",N($X278),N($M278))&lt;1,$Q278=""),"Vencida sin observación"&amp;" · ",""))="","✔ OK","⚠ "&amp;LEFT(IF($C278="","Falta el nombre de la actividad"&amp;" · ","")&amp;IF(AND($V278="Sub",N($U278)=0),"Subactividad sin macroactividad arriba"&amp;" · ","")&amp;IF($AM278="","Sin fecha de inicio"&amp;" · ","")&amp;IF($AN278="","Sin fecha límite"&amp;" · ","")&amp;IF(AND(LEFT($C278,11)="[Jefatura] ",N($AL278)=0),"No se encuentra en la hoja de la jefatura (elíjala de nuevo en la lista)"&amp;" · ","")&amp;IF(OR(AND($E278&lt;&gt;"",NOT(ISNUMBER($E278))),AND($F278&lt;&gt;"",NOT(ISNUMBER($F278))),AND($G278&lt;&gt;"",NOT(ISNUMBER($G278)))),"Fecha no válida"&amp;" · ","")&amp;IF(AND(ISNUMBER($AM278),ISNUMBER($AN278),$AM278&gt;$AN278),"Inicio posterior a fecha límite"&amp;" · ","")&amp;IF(AND($V278="Macro",$H278&lt;&gt;"",OR(NOT(ISNUMBER($H278)),$H278&lt;0,$H278&gt;1)),"Peso fuera de rango"&amp;" · ","")&amp;IF(AND($V278="Sub",$H278&lt;&gt;""),"Las subactividades no llevan peso (valen igual dentro de su macroactividad)"&amp;" · ","")&amp;IF(AND(N($W278)&gt;0,COUNT($I278:$L278)&gt;0),"Con subactividades: deje vacías las semanas (se calculan solas)"&amp;" · ","")&amp;IF((COUNTIF($I278:$L278,"&gt;1")+COUNTIF($I278:$L278,"&lt;0")+COUNTA($I278:$L278)-COUNT($I278:$L278))&gt;0,"Avance fuera de rango 0-100%"&amp;" · ","")&amp;IF(OR(AND($J278&lt;&gt;"",$J278&lt;$I278),AND($K278&lt;&gt;"",$K278&lt;MAX($I278:$J278)),AND($L278&lt;&gt;"",$L278&lt;MAX($I278:$K278))),"Avance semanal decreciente"&amp;" · ","")&amp;IF(AND(ISNUMBER($AN278),$AN278&lt;FechaRef,IF($V278="Sub",N($X278),N($M278))&lt;1),"Vencida"&amp;" · ","")&amp;IF(AND(ObsObligatoria="Sí",ISNUMBER($AN278),$AN278&lt;FechaRef,IF($V278="Sub",N($X278),N($M278))&lt;1,$Q278=""),"Vencida sin observación"&amp;" · ",""),LEN(IF($C278="","Falta el nombre de la actividad"&amp;" · ","")&amp;IF(AND($V278="Sub",N($U278)=0),"Subactividad sin macroactividad arriba"&amp;" · ","")&amp;IF($AM278="","Sin fecha de inicio"&amp;" · ","")&amp;IF($AN278="","Sin fecha límite"&amp;" · ","")&amp;IF(AND(LEFT($C278,11)="[Jefatura] ",N($AL278)=0),"No se encuentra en la hoja de la jefatura (elíjala de nuevo en la lista)"&amp;" · ","")&amp;IF(OR(AND($E278&lt;&gt;"",NOT(ISNUMBER($E278))),AND($F278&lt;&gt;"",NOT(ISNUMBER($F278))),AND($G278&lt;&gt;"",NOT(ISNUMBER($G278)))),"Fecha no válida"&amp;" · ","")&amp;IF(AND(ISNUMBER($AM278),ISNUMBER($AN278),$AM278&gt;$AN278),"Inicio posterior a fecha límite"&amp;" · ","")&amp;IF(AND($V278="Macro",$H278&lt;&gt;"",OR(NOT(ISNUMBER($H278)),$H278&lt;0,$H278&gt;1)),"Peso fuera de rango"&amp;" · ","")&amp;IF(AND($V278="Sub",$H278&lt;&gt;""),"Las subactividades no llevan peso (valen igual dentro de su macroactividad)"&amp;" · ","")&amp;IF(AND(N($W278)&gt;0,COUNT($I278:$L278)&gt;0),"Con subactividades: deje vacías las semanas (se calculan solas)"&amp;" · ","")&amp;IF((COUNTIF($I278:$L278,"&gt;1")+COUNTIF($I278:$L278,"&lt;0")+COUNTA($I278:$L278)-COUNT($I278:$L278))&gt;0,"Avance fuera de rango 0-100%"&amp;" · ","")&amp;IF(OR(AND($J278&lt;&gt;"",$J278&lt;$I278),AND($K278&lt;&gt;"",$K278&lt;MAX($I278:$J278)),AND($L278&lt;&gt;"",$L278&lt;MAX($I278:$K278))),"Avance semanal decreciente"&amp;" · ","")&amp;IF(AND(ISNUMBER($AN278),$AN278&lt;FechaRef,IF($V278="Sub",N($X278),N($M278))&lt;1),"Vencida"&amp;" · ","")&amp;IF(AND(ObsObligatoria="Sí",ISNUMBER($AN278),$AN278&lt;FechaRef,IF($V278="Sub",N($X278),N($M278))&lt;1,$Q278=""),"Vencida sin observación"&amp;" · ",""))-3)))</f>
        <v/>
      </c>
      <c r="S278" s="64">
        <f>IF(NOT((COUNTA($B278:$D278)+COUNTA($G278:$L278)+COUNTA($Q278))&gt;0),"",IF(AND($V278="Sub",N($U278)&gt;0),IF(ISNUMBER(INDEX($AM$5:$AM$1000,$U278-4)),DATE(YEAR(INDEX($AM$5:$AM$1000,$U278-4)),MONTH(INDEX($AM$5:$AM$1000,$U278-4)),1),IF(ISNUMBER(INDEX($AN$5:$AN$1000,$U278-4)),DATE(YEAR(INDEX($AN$5:$AN$1000,$U278-4)),MONTH(INDEX($AN$5:$AN$1000,$U278-4)),1),MesCiclo)),IF(ISNUMBER($AM278),DATE(YEAR($AM278),MONTH($AM278),1),IF(ISNUMBER($AN278),DATE(YEAR($AN278),MONTH($AN278),1),MesCiclo))))</f>
        <v/>
      </c>
      <c r="T278" s="62">
        <f>IF(OR($S278="",$S278&lt;&gt;MesCiclo,$V278&lt;&gt;"Macro"),"",COUNTIFS($S$5:$S278,MesCiclo,$V$5:$V278,"Macro"))</f>
        <v/>
      </c>
      <c r="U278" s="62">
        <f>IF($V278="","",IF($V278="Macro",ROW(),IFERROR(LOOKUP(2,1/($V$5:$V278="Macro"),ROW($V$5:$V278)),0)))</f>
        <v/>
      </c>
      <c r="V278" s="62">
        <f>IF(NOT((COUNTA($B278:$D278)+COUNTA($G278:$L278)+COUNTA($Q278))&gt;0),"",IF($B278="Subactividad","Sub","Macro"))</f>
        <v/>
      </c>
      <c r="W278" s="62">
        <f>IF($V278="Macro",COUNTIFS($U$5:$U$1000,ROW(),$V$5:$V$1000,"Sub"),"")</f>
        <v/>
      </c>
      <c r="X278" s="62">
        <f>IF($V278="","",IF(ISNUMBER($G278),1,IFERROR(LOOKUP(2,1/($I278:$L278&lt;&gt;""),$I278:$L278),0)))</f>
        <v/>
      </c>
      <c r="Y278" s="62">
        <f>IF($V278="","",IF(AND(ISNUMBER($G278),$G278&lt;=IF($S278=MesCiclo,InicioCiclo,$S278+MOD(2-WEEKDAY($S278),7))+6),1,IF(ISNUMBER($I278),$I278,0)))</f>
        <v/>
      </c>
      <c r="Z278" s="62">
        <f>IF($V278="","",IF(AND(ISNUMBER($G278),$G278&lt;=IF($S278=MesCiclo,InicioCiclo,$S278+MOD(2-WEEKDAY($S278),7))+13),1,IF(ISNUMBER($J278),$J278,$Y278)))</f>
        <v/>
      </c>
      <c r="AA278" s="62">
        <f>IF($V278="","",IF(AND(ISNUMBER($G278),$G278&lt;=IF($S278=MesCiclo,InicioCiclo,$S278+MOD(2-WEEKDAY($S278),7))+20),1,IF(ISNUMBER($K278),$K278,$Z278)))</f>
        <v/>
      </c>
      <c r="AB278" s="62">
        <f>IF($V278="","",IF(AND(ISNUMBER($G278),$G278&lt;=IF($S278=MesCiclo,InicioCiclo,$S278+MOD(2-WEEKDAY($S278),7))+27),1,IF(ISNUMBER($L278),$L278,$AA278)))</f>
        <v/>
      </c>
      <c r="AC278" s="62">
        <f>IF($V278="","",IF(AND(ISNUMBER($G278),$G278&lt;=IF($S278=MesCiclo,InicioCiclo,$S278+MOD(2-WEEKDAY($S278),7))+6),1,IF(N($W278)&gt;0,AVERAGEIFS($Y$5:$Y$1000,$U$5:$U$1000,ROW(),$V$5:$V$1000,"Sub"),$Y278)))</f>
        <v/>
      </c>
      <c r="AD278" s="62">
        <f>IF($V278="","",IF(AND(ISNUMBER($G278),$G278&lt;=IF($S278=MesCiclo,InicioCiclo,$S278+MOD(2-WEEKDAY($S278),7))+13),1,IF(N($W278)&gt;0,AVERAGEIFS($Z$5:$Z$1000,$U$5:$U$1000,ROW(),$V$5:$V$1000,"Sub"),$Z278)))</f>
        <v/>
      </c>
      <c r="AE278" s="62">
        <f>IF($V278="","",IF(AND(ISNUMBER($G278),$G278&lt;=IF($S278=MesCiclo,InicioCiclo,$S278+MOD(2-WEEKDAY($S278),7))+20),1,IF(N($W278)&gt;0,AVERAGEIFS($AA$5:$AA$1000,$U$5:$U$1000,ROW(),$V$5:$V$1000,"Sub"),$AA278)))</f>
        <v/>
      </c>
      <c r="AF278" s="62">
        <f>IF($V278="","",IF(AND(ISNUMBER($G278),$G278&lt;=IF($S278=MesCiclo,InicioCiclo,$S278+MOD(2-WEEKDAY($S278),7))+27),1,IF(N($W278)&gt;0,AVERAGEIFS($AB$5:$AB$1000,$U$5:$U$1000,ROW(),$V$5:$V$1000,"Sub"),$AB278)))</f>
        <v/>
      </c>
      <c r="AG278" s="62">
        <f>IF($V278&lt;&gt;"Macro","",IF(COUNTIFS($S$5:$S$1000,$S278,$V$5:$V$1000,"Macro",$H$5:$H$1000,"&gt;0")=0,1/COUNTIFS($S$5:$S$1000,$S278,$V$5:$V$1000,"Macro"),IF(AND(ISNUMBER($H278),N($H278)&gt;0),$H278,SUMIFS($H$5:$H$1000,$S$5:$S$1000,$S278,$V$5:$V$1000,"Macro")/COUNTIFS($S$5:$S$1000,$S278,$V$5:$V$1000,"Macro",$H$5:$H$1000,"&gt;0"))/(COUNTIFS($S$5:$S$1000,$S278,$V$5:$V$1000,"Macro")*SUMIFS($H$5:$H$1000,$S$5:$S$1000,$S278,$V$5:$V$1000,"Macro")/COUNTIFS($S$5:$S$1000,$S278,$V$5:$V$1000,"Macro",$H$5:$H$1000,"&gt;0"))))</f>
        <v/>
      </c>
      <c r="AH278" s="62" t="n"/>
      <c r="AI278" s="62" t="n"/>
      <c r="AJ278" s="62" t="n"/>
      <c r="AK278" s="62" t="n"/>
      <c r="AL278" s="62">
        <f>IF(LEFT($C278,11)="[Jefatura] ",IFERROR(MATCH("Riesgo Operacional|"&amp;MID($C278,12,500),rDname_ADM,0),0),"")</f>
        <v/>
      </c>
      <c r="AM278" s="62">
        <f>IF(N($AL278)&gt;0,INDEX(rIni_ADM,$AL278),IF(ISNUMBER($E278),$E278,""))</f>
        <v/>
      </c>
      <c r="AN278" s="62">
        <f>IF(N($AL278)&gt;0,INDEX(rLim_ADM,$AL278),IF(ISNUMBER($F278),$F278,""))</f>
        <v/>
      </c>
    </row>
    <row r="279">
      <c r="A279" s="56">
        <f>IF(NOT((COUNTA($B279:$D279)+COUNTA($G279:$L279)+COUNTA($Q279))&gt;0),"",IF($V279="Macro",COUNTIFS($V$5:$V279,"Macro",$S$5:$S279,$S279),IF(N($U279)=0,"?",COUNTIFS(INDEX($V$5:$V$1000,1):INDEX($V$5:$V$1000,$U279-4),"Macro",INDEX($S$5:$S$1000,1):INDEX($S$5:$S$1000,$U279-4),INDEX($S$5:$S$1000,$U279-4))&amp;"."&amp;COUNTIFS($U$5:$U279,$U279,$V$5:$V279,"Sub"))))</f>
        <v/>
      </c>
      <c r="B279" s="57" t="n"/>
      <c r="C279" s="58" t="n"/>
      <c r="D279" s="58" t="n"/>
      <c r="E279" s="59">
        <f>IF(N($AL279)&gt;0,INDEX(rIni_ADM,$AL279),"")</f>
        <v/>
      </c>
      <c r="F279" s="59">
        <f>IF(N($AL279)&gt;0,INDEX(rLim_ADM,$AL279),"")</f>
        <v/>
      </c>
      <c r="G279" s="59" t="n"/>
      <c r="H279" s="60" t="n"/>
      <c r="I279" s="60" t="n"/>
      <c r="J279" s="60" t="n"/>
      <c r="K279" s="60" t="n"/>
      <c r="L279" s="60" t="n"/>
      <c r="M279" s="61">
        <f>IF(NOT((COUNTA($B279:$D279)+COUNTA($G279:$L279)+COUNTA($Q279))&gt;0),"",IF($V279="Sub",IFERROR($X279/INDEX($W$5:$W$1000,$U279-4),""),IF(ISNUMBER($G279),1,IF(N($W279)&gt;0,AVERAGEIFS($X$5:$X$1000,$U$5:$U$1000,ROW(),$V$5:$V$1000,"Sub"),$X279))))</f>
        <v/>
      </c>
      <c r="N279" s="56">
        <f>IF(OR($M279="",$V279="Sub"),"",IF($M279&gt;=1,"Completado",IF($M279&gt;0,"En curso","Pendiente")))</f>
        <v/>
      </c>
      <c r="O279" s="56">
        <f>IF(OR(NOT((COUNTA($B279:$D279)+COUNTA($G279:$L279)+COUNTA($Q279))&gt;0),$V279="Sub"),"",IF(ISNUMBER($G279),IF(AND(ISNUMBER($AN279),$G279&gt;$AN279),"Cumplida con "&amp;($G279-$AN279)&amp;IF($G279-$AN279=1," día"," días")&amp;" de retraso","Cumplida"),IF(N($M279)&gt;=1,"Cumplida",IF(NOT(ISNUMBER($AN279)),"Sin fecha límite",IF($AN279&lt;FechaRef,"Vencida hace "&amp;(FechaRef-$AN279)&amp;IF(FechaRef-$AN279=1," día"," días"),IF($AN279=FechaRef,"Vence hoy",IF($AN279-FechaRef&lt;=DiasAlerta,"Vence en "&amp;($AN279-FechaRef)&amp;IF($AN279-FechaRef=1," día"," días"),"En plazo")))))))</f>
        <v/>
      </c>
      <c r="P279" s="62" t="n"/>
      <c r="Q279" s="58" t="n"/>
      <c r="R279" s="63">
        <f>IF(NOT((COUNTA($B279:$D279)+COUNTA($G279:$L279)+COUNTA($Q279))&gt;0),"",IF((IF($C279="","Falta el nombre de la actividad"&amp;" · ","")&amp;IF(AND($V279="Sub",N($U279)=0),"Subactividad sin macroactividad arriba"&amp;" · ","")&amp;IF($AM279="","Sin fecha de inicio"&amp;" · ","")&amp;IF($AN279="","Sin fecha límite"&amp;" · ","")&amp;IF(AND(LEFT($C279,11)="[Jefatura] ",N($AL279)=0),"No se encuentra en la hoja de la jefatura (elíjala de nuevo en la lista)"&amp;" · ","")&amp;IF(OR(AND($E279&lt;&gt;"",NOT(ISNUMBER($E279))),AND($F279&lt;&gt;"",NOT(ISNUMBER($F279))),AND($G279&lt;&gt;"",NOT(ISNUMBER($G279)))),"Fecha no válida"&amp;" · ","")&amp;IF(AND(ISNUMBER($AM279),ISNUMBER($AN279),$AM279&gt;$AN279),"Inicio posterior a fecha límite"&amp;" · ","")&amp;IF(AND($V279="Macro",$H279&lt;&gt;"",OR(NOT(ISNUMBER($H279)),$H279&lt;0,$H279&gt;1)),"Peso fuera de rango"&amp;" · ","")&amp;IF(AND($V279="Sub",$H279&lt;&gt;""),"Las subactividades no llevan peso (valen igual dentro de su macroactividad)"&amp;" · ","")&amp;IF(AND(N($W279)&gt;0,COUNT($I279:$L279)&gt;0),"Con subactividades: deje vacías las semanas (se calculan solas)"&amp;" · ","")&amp;IF((COUNTIF($I279:$L279,"&gt;1")+COUNTIF($I279:$L279,"&lt;0")+COUNTA($I279:$L279)-COUNT($I279:$L279))&gt;0,"Avance fuera de rango 0-100%"&amp;" · ","")&amp;IF(OR(AND($J279&lt;&gt;"",$J279&lt;$I279),AND($K279&lt;&gt;"",$K279&lt;MAX($I279:$J279)),AND($L279&lt;&gt;"",$L279&lt;MAX($I279:$K279))),"Avance semanal decreciente"&amp;" · ","")&amp;IF(AND(ISNUMBER($AN279),$AN279&lt;FechaRef,IF($V279="Sub",N($X279),N($M279))&lt;1),"Vencida"&amp;" · ","")&amp;IF(AND(ObsObligatoria="Sí",ISNUMBER($AN279),$AN279&lt;FechaRef,IF($V279="Sub",N($X279),N($M279))&lt;1,$Q279=""),"Vencida sin observación"&amp;" · ",""))="","✔ OK","⚠ "&amp;LEFT(IF($C279="","Falta el nombre de la actividad"&amp;" · ","")&amp;IF(AND($V279="Sub",N($U279)=0),"Subactividad sin macroactividad arriba"&amp;" · ","")&amp;IF($AM279="","Sin fecha de inicio"&amp;" · ","")&amp;IF($AN279="","Sin fecha límite"&amp;" · ","")&amp;IF(AND(LEFT($C279,11)="[Jefatura] ",N($AL279)=0),"No se encuentra en la hoja de la jefatura (elíjala de nuevo en la lista)"&amp;" · ","")&amp;IF(OR(AND($E279&lt;&gt;"",NOT(ISNUMBER($E279))),AND($F279&lt;&gt;"",NOT(ISNUMBER($F279))),AND($G279&lt;&gt;"",NOT(ISNUMBER($G279)))),"Fecha no válida"&amp;" · ","")&amp;IF(AND(ISNUMBER($AM279),ISNUMBER($AN279),$AM279&gt;$AN279),"Inicio posterior a fecha límite"&amp;" · ","")&amp;IF(AND($V279="Macro",$H279&lt;&gt;"",OR(NOT(ISNUMBER($H279)),$H279&lt;0,$H279&gt;1)),"Peso fuera de rango"&amp;" · ","")&amp;IF(AND($V279="Sub",$H279&lt;&gt;""),"Las subactividades no llevan peso (valen igual dentro de su macroactividad)"&amp;" · ","")&amp;IF(AND(N($W279)&gt;0,COUNT($I279:$L279)&gt;0),"Con subactividades: deje vacías las semanas (se calculan solas)"&amp;" · ","")&amp;IF((COUNTIF($I279:$L279,"&gt;1")+COUNTIF($I279:$L279,"&lt;0")+COUNTA($I279:$L279)-COUNT($I279:$L279))&gt;0,"Avance fuera de rango 0-100%"&amp;" · ","")&amp;IF(OR(AND($J279&lt;&gt;"",$J279&lt;$I279),AND($K279&lt;&gt;"",$K279&lt;MAX($I279:$J279)),AND($L279&lt;&gt;"",$L279&lt;MAX($I279:$K279))),"Avance semanal decreciente"&amp;" · ","")&amp;IF(AND(ISNUMBER($AN279),$AN279&lt;FechaRef,IF($V279="Sub",N($X279),N($M279))&lt;1),"Vencida"&amp;" · ","")&amp;IF(AND(ObsObligatoria="Sí",ISNUMBER($AN279),$AN279&lt;FechaRef,IF($V279="Sub",N($X279),N($M279))&lt;1,$Q279=""),"Vencida sin observación"&amp;" · ",""),LEN(IF($C279="","Falta el nombre de la actividad"&amp;" · ","")&amp;IF(AND($V279="Sub",N($U279)=0),"Subactividad sin macroactividad arriba"&amp;" · ","")&amp;IF($AM279="","Sin fecha de inicio"&amp;" · ","")&amp;IF($AN279="","Sin fecha límite"&amp;" · ","")&amp;IF(AND(LEFT($C279,11)="[Jefatura] ",N($AL279)=0),"No se encuentra en la hoja de la jefatura (elíjala de nuevo en la lista)"&amp;" · ","")&amp;IF(OR(AND($E279&lt;&gt;"",NOT(ISNUMBER($E279))),AND($F279&lt;&gt;"",NOT(ISNUMBER($F279))),AND($G279&lt;&gt;"",NOT(ISNUMBER($G279)))),"Fecha no válida"&amp;" · ","")&amp;IF(AND(ISNUMBER($AM279),ISNUMBER($AN279),$AM279&gt;$AN279),"Inicio posterior a fecha límite"&amp;" · ","")&amp;IF(AND($V279="Macro",$H279&lt;&gt;"",OR(NOT(ISNUMBER($H279)),$H279&lt;0,$H279&gt;1)),"Peso fuera de rango"&amp;" · ","")&amp;IF(AND($V279="Sub",$H279&lt;&gt;""),"Las subactividades no llevan peso (valen igual dentro de su macroactividad)"&amp;" · ","")&amp;IF(AND(N($W279)&gt;0,COUNT($I279:$L279)&gt;0),"Con subactividades: deje vacías las semanas (se calculan solas)"&amp;" · ","")&amp;IF((COUNTIF($I279:$L279,"&gt;1")+COUNTIF($I279:$L279,"&lt;0")+COUNTA($I279:$L279)-COUNT($I279:$L279))&gt;0,"Avance fuera de rango 0-100%"&amp;" · ","")&amp;IF(OR(AND($J279&lt;&gt;"",$J279&lt;$I279),AND($K279&lt;&gt;"",$K279&lt;MAX($I279:$J279)),AND($L279&lt;&gt;"",$L279&lt;MAX($I279:$K279))),"Avance semanal decreciente"&amp;" · ","")&amp;IF(AND(ISNUMBER($AN279),$AN279&lt;FechaRef,IF($V279="Sub",N($X279),N($M279))&lt;1),"Vencida"&amp;" · ","")&amp;IF(AND(ObsObligatoria="Sí",ISNUMBER($AN279),$AN279&lt;FechaRef,IF($V279="Sub",N($X279),N($M279))&lt;1,$Q279=""),"Vencida sin observación"&amp;" · ",""))-3)))</f>
        <v/>
      </c>
      <c r="S279" s="64">
        <f>IF(NOT((COUNTA($B279:$D279)+COUNTA($G279:$L279)+COUNTA($Q279))&gt;0),"",IF(AND($V279="Sub",N($U279)&gt;0),IF(ISNUMBER(INDEX($AM$5:$AM$1000,$U279-4)),DATE(YEAR(INDEX($AM$5:$AM$1000,$U279-4)),MONTH(INDEX($AM$5:$AM$1000,$U279-4)),1),IF(ISNUMBER(INDEX($AN$5:$AN$1000,$U279-4)),DATE(YEAR(INDEX($AN$5:$AN$1000,$U279-4)),MONTH(INDEX($AN$5:$AN$1000,$U279-4)),1),MesCiclo)),IF(ISNUMBER($AM279),DATE(YEAR($AM279),MONTH($AM279),1),IF(ISNUMBER($AN279),DATE(YEAR($AN279),MONTH($AN279),1),MesCiclo))))</f>
        <v/>
      </c>
      <c r="T279" s="62">
        <f>IF(OR($S279="",$S279&lt;&gt;MesCiclo,$V279&lt;&gt;"Macro"),"",COUNTIFS($S$5:$S279,MesCiclo,$V$5:$V279,"Macro"))</f>
        <v/>
      </c>
      <c r="U279" s="62">
        <f>IF($V279="","",IF($V279="Macro",ROW(),IFERROR(LOOKUP(2,1/($V$5:$V279="Macro"),ROW($V$5:$V279)),0)))</f>
        <v/>
      </c>
      <c r="V279" s="62">
        <f>IF(NOT((COUNTA($B279:$D279)+COUNTA($G279:$L279)+COUNTA($Q279))&gt;0),"",IF($B279="Subactividad","Sub","Macro"))</f>
        <v/>
      </c>
      <c r="W279" s="62">
        <f>IF($V279="Macro",COUNTIFS($U$5:$U$1000,ROW(),$V$5:$V$1000,"Sub"),"")</f>
        <v/>
      </c>
      <c r="X279" s="62">
        <f>IF($V279="","",IF(ISNUMBER($G279),1,IFERROR(LOOKUP(2,1/($I279:$L279&lt;&gt;""),$I279:$L279),0)))</f>
        <v/>
      </c>
      <c r="Y279" s="62">
        <f>IF($V279="","",IF(AND(ISNUMBER($G279),$G279&lt;=IF($S279=MesCiclo,InicioCiclo,$S279+MOD(2-WEEKDAY($S279),7))+6),1,IF(ISNUMBER($I279),$I279,0)))</f>
        <v/>
      </c>
      <c r="Z279" s="62">
        <f>IF($V279="","",IF(AND(ISNUMBER($G279),$G279&lt;=IF($S279=MesCiclo,InicioCiclo,$S279+MOD(2-WEEKDAY($S279),7))+13),1,IF(ISNUMBER($J279),$J279,$Y279)))</f>
        <v/>
      </c>
      <c r="AA279" s="62">
        <f>IF($V279="","",IF(AND(ISNUMBER($G279),$G279&lt;=IF($S279=MesCiclo,InicioCiclo,$S279+MOD(2-WEEKDAY($S279),7))+20),1,IF(ISNUMBER($K279),$K279,$Z279)))</f>
        <v/>
      </c>
      <c r="AB279" s="62">
        <f>IF($V279="","",IF(AND(ISNUMBER($G279),$G279&lt;=IF($S279=MesCiclo,InicioCiclo,$S279+MOD(2-WEEKDAY($S279),7))+27),1,IF(ISNUMBER($L279),$L279,$AA279)))</f>
        <v/>
      </c>
      <c r="AC279" s="62">
        <f>IF($V279="","",IF(AND(ISNUMBER($G279),$G279&lt;=IF($S279=MesCiclo,InicioCiclo,$S279+MOD(2-WEEKDAY($S279),7))+6),1,IF(N($W279)&gt;0,AVERAGEIFS($Y$5:$Y$1000,$U$5:$U$1000,ROW(),$V$5:$V$1000,"Sub"),$Y279)))</f>
        <v/>
      </c>
      <c r="AD279" s="62">
        <f>IF($V279="","",IF(AND(ISNUMBER($G279),$G279&lt;=IF($S279=MesCiclo,InicioCiclo,$S279+MOD(2-WEEKDAY($S279),7))+13),1,IF(N($W279)&gt;0,AVERAGEIFS($Z$5:$Z$1000,$U$5:$U$1000,ROW(),$V$5:$V$1000,"Sub"),$Z279)))</f>
        <v/>
      </c>
      <c r="AE279" s="62">
        <f>IF($V279="","",IF(AND(ISNUMBER($G279),$G279&lt;=IF($S279=MesCiclo,InicioCiclo,$S279+MOD(2-WEEKDAY($S279),7))+20),1,IF(N($W279)&gt;0,AVERAGEIFS($AA$5:$AA$1000,$U$5:$U$1000,ROW(),$V$5:$V$1000,"Sub"),$AA279)))</f>
        <v/>
      </c>
      <c r="AF279" s="62">
        <f>IF($V279="","",IF(AND(ISNUMBER($G279),$G279&lt;=IF($S279=MesCiclo,InicioCiclo,$S279+MOD(2-WEEKDAY($S279),7))+27),1,IF(N($W279)&gt;0,AVERAGEIFS($AB$5:$AB$1000,$U$5:$U$1000,ROW(),$V$5:$V$1000,"Sub"),$AB279)))</f>
        <v/>
      </c>
      <c r="AG279" s="62">
        <f>IF($V279&lt;&gt;"Macro","",IF(COUNTIFS($S$5:$S$1000,$S279,$V$5:$V$1000,"Macro",$H$5:$H$1000,"&gt;0")=0,1/COUNTIFS($S$5:$S$1000,$S279,$V$5:$V$1000,"Macro"),IF(AND(ISNUMBER($H279),N($H279)&gt;0),$H279,SUMIFS($H$5:$H$1000,$S$5:$S$1000,$S279,$V$5:$V$1000,"Macro")/COUNTIFS($S$5:$S$1000,$S279,$V$5:$V$1000,"Macro",$H$5:$H$1000,"&gt;0"))/(COUNTIFS($S$5:$S$1000,$S279,$V$5:$V$1000,"Macro")*SUMIFS($H$5:$H$1000,$S$5:$S$1000,$S279,$V$5:$V$1000,"Macro")/COUNTIFS($S$5:$S$1000,$S279,$V$5:$V$1000,"Macro",$H$5:$H$1000,"&gt;0"))))</f>
        <v/>
      </c>
      <c r="AH279" s="62" t="n"/>
      <c r="AI279" s="62" t="n"/>
      <c r="AJ279" s="62" t="n"/>
      <c r="AK279" s="62" t="n"/>
      <c r="AL279" s="62">
        <f>IF(LEFT($C279,11)="[Jefatura] ",IFERROR(MATCH("Riesgo Operacional|"&amp;MID($C279,12,500),rDname_ADM,0),0),"")</f>
        <v/>
      </c>
      <c r="AM279" s="62">
        <f>IF(N($AL279)&gt;0,INDEX(rIni_ADM,$AL279),IF(ISNUMBER($E279),$E279,""))</f>
        <v/>
      </c>
      <c r="AN279" s="62">
        <f>IF(N($AL279)&gt;0,INDEX(rLim_ADM,$AL279),IF(ISNUMBER($F279),$F279,""))</f>
        <v/>
      </c>
    </row>
    <row r="280">
      <c r="A280" s="56">
        <f>IF(NOT((COUNTA($B280:$D280)+COUNTA($G280:$L280)+COUNTA($Q280))&gt;0),"",IF($V280="Macro",COUNTIFS($V$5:$V280,"Macro",$S$5:$S280,$S280),IF(N($U280)=0,"?",COUNTIFS(INDEX($V$5:$V$1000,1):INDEX($V$5:$V$1000,$U280-4),"Macro",INDEX($S$5:$S$1000,1):INDEX($S$5:$S$1000,$U280-4),INDEX($S$5:$S$1000,$U280-4))&amp;"."&amp;COUNTIFS($U$5:$U280,$U280,$V$5:$V280,"Sub"))))</f>
        <v/>
      </c>
      <c r="B280" s="57" t="n"/>
      <c r="C280" s="58" t="n"/>
      <c r="D280" s="58" t="n"/>
      <c r="E280" s="59">
        <f>IF(N($AL280)&gt;0,INDEX(rIni_ADM,$AL280),"")</f>
        <v/>
      </c>
      <c r="F280" s="59">
        <f>IF(N($AL280)&gt;0,INDEX(rLim_ADM,$AL280),"")</f>
        <v/>
      </c>
      <c r="G280" s="59" t="n"/>
      <c r="H280" s="60" t="n"/>
      <c r="I280" s="60" t="n"/>
      <c r="J280" s="60" t="n"/>
      <c r="K280" s="60" t="n"/>
      <c r="L280" s="60" t="n"/>
      <c r="M280" s="61">
        <f>IF(NOT((COUNTA($B280:$D280)+COUNTA($G280:$L280)+COUNTA($Q280))&gt;0),"",IF($V280="Sub",IFERROR($X280/INDEX($W$5:$W$1000,$U280-4),""),IF(ISNUMBER($G280),1,IF(N($W280)&gt;0,AVERAGEIFS($X$5:$X$1000,$U$5:$U$1000,ROW(),$V$5:$V$1000,"Sub"),$X280))))</f>
        <v/>
      </c>
      <c r="N280" s="56">
        <f>IF(OR($M280="",$V280="Sub"),"",IF($M280&gt;=1,"Completado",IF($M280&gt;0,"En curso","Pendiente")))</f>
        <v/>
      </c>
      <c r="O280" s="56">
        <f>IF(OR(NOT((COUNTA($B280:$D280)+COUNTA($G280:$L280)+COUNTA($Q280))&gt;0),$V280="Sub"),"",IF(ISNUMBER($G280),IF(AND(ISNUMBER($AN280),$G280&gt;$AN280),"Cumplida con "&amp;($G280-$AN280)&amp;IF($G280-$AN280=1," día"," días")&amp;" de retraso","Cumplida"),IF(N($M280)&gt;=1,"Cumplida",IF(NOT(ISNUMBER($AN280)),"Sin fecha límite",IF($AN280&lt;FechaRef,"Vencida hace "&amp;(FechaRef-$AN280)&amp;IF(FechaRef-$AN280=1," día"," días"),IF($AN280=FechaRef,"Vence hoy",IF($AN280-FechaRef&lt;=DiasAlerta,"Vence en "&amp;($AN280-FechaRef)&amp;IF($AN280-FechaRef=1," día"," días"),"En plazo")))))))</f>
        <v/>
      </c>
      <c r="P280" s="62" t="n"/>
      <c r="Q280" s="58" t="n"/>
      <c r="R280" s="63">
        <f>IF(NOT((COUNTA($B280:$D280)+COUNTA($G280:$L280)+COUNTA($Q280))&gt;0),"",IF((IF($C280="","Falta el nombre de la actividad"&amp;" · ","")&amp;IF(AND($V280="Sub",N($U280)=0),"Subactividad sin macroactividad arriba"&amp;" · ","")&amp;IF($AM280="","Sin fecha de inicio"&amp;" · ","")&amp;IF($AN280="","Sin fecha límite"&amp;" · ","")&amp;IF(AND(LEFT($C280,11)="[Jefatura] ",N($AL280)=0),"No se encuentra en la hoja de la jefatura (elíjala de nuevo en la lista)"&amp;" · ","")&amp;IF(OR(AND($E280&lt;&gt;"",NOT(ISNUMBER($E280))),AND($F280&lt;&gt;"",NOT(ISNUMBER($F280))),AND($G280&lt;&gt;"",NOT(ISNUMBER($G280)))),"Fecha no válida"&amp;" · ","")&amp;IF(AND(ISNUMBER($AM280),ISNUMBER($AN280),$AM280&gt;$AN280),"Inicio posterior a fecha límite"&amp;" · ","")&amp;IF(AND($V280="Macro",$H280&lt;&gt;"",OR(NOT(ISNUMBER($H280)),$H280&lt;0,$H280&gt;1)),"Peso fuera de rango"&amp;" · ","")&amp;IF(AND($V280="Sub",$H280&lt;&gt;""),"Las subactividades no llevan peso (valen igual dentro de su macroactividad)"&amp;" · ","")&amp;IF(AND(N($W280)&gt;0,COUNT($I280:$L280)&gt;0),"Con subactividades: deje vacías las semanas (se calculan solas)"&amp;" · ","")&amp;IF((COUNTIF($I280:$L280,"&gt;1")+COUNTIF($I280:$L280,"&lt;0")+COUNTA($I280:$L280)-COUNT($I280:$L280))&gt;0,"Avance fuera de rango 0-100%"&amp;" · ","")&amp;IF(OR(AND($J280&lt;&gt;"",$J280&lt;$I280),AND($K280&lt;&gt;"",$K280&lt;MAX($I280:$J280)),AND($L280&lt;&gt;"",$L280&lt;MAX($I280:$K280))),"Avance semanal decreciente"&amp;" · ","")&amp;IF(AND(ISNUMBER($AN280),$AN280&lt;FechaRef,IF($V280="Sub",N($X280),N($M280))&lt;1),"Vencida"&amp;" · ","")&amp;IF(AND(ObsObligatoria="Sí",ISNUMBER($AN280),$AN280&lt;FechaRef,IF($V280="Sub",N($X280),N($M280))&lt;1,$Q280=""),"Vencida sin observación"&amp;" · ",""))="","✔ OK","⚠ "&amp;LEFT(IF($C280="","Falta el nombre de la actividad"&amp;" · ","")&amp;IF(AND($V280="Sub",N($U280)=0),"Subactividad sin macroactividad arriba"&amp;" · ","")&amp;IF($AM280="","Sin fecha de inicio"&amp;" · ","")&amp;IF($AN280="","Sin fecha límite"&amp;" · ","")&amp;IF(AND(LEFT($C280,11)="[Jefatura] ",N($AL280)=0),"No se encuentra en la hoja de la jefatura (elíjala de nuevo en la lista)"&amp;" · ","")&amp;IF(OR(AND($E280&lt;&gt;"",NOT(ISNUMBER($E280))),AND($F280&lt;&gt;"",NOT(ISNUMBER($F280))),AND($G280&lt;&gt;"",NOT(ISNUMBER($G280)))),"Fecha no válida"&amp;" · ","")&amp;IF(AND(ISNUMBER($AM280),ISNUMBER($AN280),$AM280&gt;$AN280),"Inicio posterior a fecha límite"&amp;" · ","")&amp;IF(AND($V280="Macro",$H280&lt;&gt;"",OR(NOT(ISNUMBER($H280)),$H280&lt;0,$H280&gt;1)),"Peso fuera de rango"&amp;" · ","")&amp;IF(AND($V280="Sub",$H280&lt;&gt;""),"Las subactividades no llevan peso (valen igual dentro de su macroactividad)"&amp;" · ","")&amp;IF(AND(N($W280)&gt;0,COUNT($I280:$L280)&gt;0),"Con subactividades: deje vacías las semanas (se calculan solas)"&amp;" · ","")&amp;IF((COUNTIF($I280:$L280,"&gt;1")+COUNTIF($I280:$L280,"&lt;0")+COUNTA($I280:$L280)-COUNT($I280:$L280))&gt;0,"Avance fuera de rango 0-100%"&amp;" · ","")&amp;IF(OR(AND($J280&lt;&gt;"",$J280&lt;$I280),AND($K280&lt;&gt;"",$K280&lt;MAX($I280:$J280)),AND($L280&lt;&gt;"",$L280&lt;MAX($I280:$K280))),"Avance semanal decreciente"&amp;" · ","")&amp;IF(AND(ISNUMBER($AN280),$AN280&lt;FechaRef,IF($V280="Sub",N($X280),N($M280))&lt;1),"Vencida"&amp;" · ","")&amp;IF(AND(ObsObligatoria="Sí",ISNUMBER($AN280),$AN280&lt;FechaRef,IF($V280="Sub",N($X280),N($M280))&lt;1,$Q280=""),"Vencida sin observación"&amp;" · ",""),LEN(IF($C280="","Falta el nombre de la actividad"&amp;" · ","")&amp;IF(AND($V280="Sub",N($U280)=0),"Subactividad sin macroactividad arriba"&amp;" · ","")&amp;IF($AM280="","Sin fecha de inicio"&amp;" · ","")&amp;IF($AN280="","Sin fecha límite"&amp;" · ","")&amp;IF(AND(LEFT($C280,11)="[Jefatura] ",N($AL280)=0),"No se encuentra en la hoja de la jefatura (elíjala de nuevo en la lista)"&amp;" · ","")&amp;IF(OR(AND($E280&lt;&gt;"",NOT(ISNUMBER($E280))),AND($F280&lt;&gt;"",NOT(ISNUMBER($F280))),AND($G280&lt;&gt;"",NOT(ISNUMBER($G280)))),"Fecha no válida"&amp;" · ","")&amp;IF(AND(ISNUMBER($AM280),ISNUMBER($AN280),$AM280&gt;$AN280),"Inicio posterior a fecha límite"&amp;" · ","")&amp;IF(AND($V280="Macro",$H280&lt;&gt;"",OR(NOT(ISNUMBER($H280)),$H280&lt;0,$H280&gt;1)),"Peso fuera de rango"&amp;" · ","")&amp;IF(AND($V280="Sub",$H280&lt;&gt;""),"Las subactividades no llevan peso (valen igual dentro de su macroactividad)"&amp;" · ","")&amp;IF(AND(N($W280)&gt;0,COUNT($I280:$L280)&gt;0),"Con subactividades: deje vacías las semanas (se calculan solas)"&amp;" · ","")&amp;IF((COUNTIF($I280:$L280,"&gt;1")+COUNTIF($I280:$L280,"&lt;0")+COUNTA($I280:$L280)-COUNT($I280:$L280))&gt;0,"Avance fuera de rango 0-100%"&amp;" · ","")&amp;IF(OR(AND($J280&lt;&gt;"",$J280&lt;$I280),AND($K280&lt;&gt;"",$K280&lt;MAX($I280:$J280)),AND($L280&lt;&gt;"",$L280&lt;MAX($I280:$K280))),"Avance semanal decreciente"&amp;" · ","")&amp;IF(AND(ISNUMBER($AN280),$AN280&lt;FechaRef,IF($V280="Sub",N($X280),N($M280))&lt;1),"Vencida"&amp;" · ","")&amp;IF(AND(ObsObligatoria="Sí",ISNUMBER($AN280),$AN280&lt;FechaRef,IF($V280="Sub",N($X280),N($M280))&lt;1,$Q280=""),"Vencida sin observación"&amp;" · ",""))-3)))</f>
        <v/>
      </c>
      <c r="S280" s="64">
        <f>IF(NOT((COUNTA($B280:$D280)+COUNTA($G280:$L280)+COUNTA($Q280))&gt;0),"",IF(AND($V280="Sub",N($U280)&gt;0),IF(ISNUMBER(INDEX($AM$5:$AM$1000,$U280-4)),DATE(YEAR(INDEX($AM$5:$AM$1000,$U280-4)),MONTH(INDEX($AM$5:$AM$1000,$U280-4)),1),IF(ISNUMBER(INDEX($AN$5:$AN$1000,$U280-4)),DATE(YEAR(INDEX($AN$5:$AN$1000,$U280-4)),MONTH(INDEX($AN$5:$AN$1000,$U280-4)),1),MesCiclo)),IF(ISNUMBER($AM280),DATE(YEAR($AM280),MONTH($AM280),1),IF(ISNUMBER($AN280),DATE(YEAR($AN280),MONTH($AN280),1),MesCiclo))))</f>
        <v/>
      </c>
      <c r="T280" s="62">
        <f>IF(OR($S280="",$S280&lt;&gt;MesCiclo,$V280&lt;&gt;"Macro"),"",COUNTIFS($S$5:$S280,MesCiclo,$V$5:$V280,"Macro"))</f>
        <v/>
      </c>
      <c r="U280" s="62">
        <f>IF($V280="","",IF($V280="Macro",ROW(),IFERROR(LOOKUP(2,1/($V$5:$V280="Macro"),ROW($V$5:$V280)),0)))</f>
        <v/>
      </c>
      <c r="V280" s="62">
        <f>IF(NOT((COUNTA($B280:$D280)+COUNTA($G280:$L280)+COUNTA($Q280))&gt;0),"",IF($B280="Subactividad","Sub","Macro"))</f>
        <v/>
      </c>
      <c r="W280" s="62">
        <f>IF($V280="Macro",COUNTIFS($U$5:$U$1000,ROW(),$V$5:$V$1000,"Sub"),"")</f>
        <v/>
      </c>
      <c r="X280" s="62">
        <f>IF($V280="","",IF(ISNUMBER($G280),1,IFERROR(LOOKUP(2,1/($I280:$L280&lt;&gt;""),$I280:$L280),0)))</f>
        <v/>
      </c>
      <c r="Y280" s="62">
        <f>IF($V280="","",IF(AND(ISNUMBER($G280),$G280&lt;=IF($S280=MesCiclo,InicioCiclo,$S280+MOD(2-WEEKDAY($S280),7))+6),1,IF(ISNUMBER($I280),$I280,0)))</f>
        <v/>
      </c>
      <c r="Z280" s="62">
        <f>IF($V280="","",IF(AND(ISNUMBER($G280),$G280&lt;=IF($S280=MesCiclo,InicioCiclo,$S280+MOD(2-WEEKDAY($S280),7))+13),1,IF(ISNUMBER($J280),$J280,$Y280)))</f>
        <v/>
      </c>
      <c r="AA280" s="62">
        <f>IF($V280="","",IF(AND(ISNUMBER($G280),$G280&lt;=IF($S280=MesCiclo,InicioCiclo,$S280+MOD(2-WEEKDAY($S280),7))+20),1,IF(ISNUMBER($K280),$K280,$Z280)))</f>
        <v/>
      </c>
      <c r="AB280" s="62">
        <f>IF($V280="","",IF(AND(ISNUMBER($G280),$G280&lt;=IF($S280=MesCiclo,InicioCiclo,$S280+MOD(2-WEEKDAY($S280),7))+27),1,IF(ISNUMBER($L280),$L280,$AA280)))</f>
        <v/>
      </c>
      <c r="AC280" s="62">
        <f>IF($V280="","",IF(AND(ISNUMBER($G280),$G280&lt;=IF($S280=MesCiclo,InicioCiclo,$S280+MOD(2-WEEKDAY($S280),7))+6),1,IF(N($W280)&gt;0,AVERAGEIFS($Y$5:$Y$1000,$U$5:$U$1000,ROW(),$V$5:$V$1000,"Sub"),$Y280)))</f>
        <v/>
      </c>
      <c r="AD280" s="62">
        <f>IF($V280="","",IF(AND(ISNUMBER($G280),$G280&lt;=IF($S280=MesCiclo,InicioCiclo,$S280+MOD(2-WEEKDAY($S280),7))+13),1,IF(N($W280)&gt;0,AVERAGEIFS($Z$5:$Z$1000,$U$5:$U$1000,ROW(),$V$5:$V$1000,"Sub"),$Z280)))</f>
        <v/>
      </c>
      <c r="AE280" s="62">
        <f>IF($V280="","",IF(AND(ISNUMBER($G280),$G280&lt;=IF($S280=MesCiclo,InicioCiclo,$S280+MOD(2-WEEKDAY($S280),7))+20),1,IF(N($W280)&gt;0,AVERAGEIFS($AA$5:$AA$1000,$U$5:$U$1000,ROW(),$V$5:$V$1000,"Sub"),$AA280)))</f>
        <v/>
      </c>
      <c r="AF280" s="62">
        <f>IF($V280="","",IF(AND(ISNUMBER($G280),$G280&lt;=IF($S280=MesCiclo,InicioCiclo,$S280+MOD(2-WEEKDAY($S280),7))+27),1,IF(N($W280)&gt;0,AVERAGEIFS($AB$5:$AB$1000,$U$5:$U$1000,ROW(),$V$5:$V$1000,"Sub"),$AB280)))</f>
        <v/>
      </c>
      <c r="AG280" s="62">
        <f>IF($V280&lt;&gt;"Macro","",IF(COUNTIFS($S$5:$S$1000,$S280,$V$5:$V$1000,"Macro",$H$5:$H$1000,"&gt;0")=0,1/COUNTIFS($S$5:$S$1000,$S280,$V$5:$V$1000,"Macro"),IF(AND(ISNUMBER($H280),N($H280)&gt;0),$H280,SUMIFS($H$5:$H$1000,$S$5:$S$1000,$S280,$V$5:$V$1000,"Macro")/COUNTIFS($S$5:$S$1000,$S280,$V$5:$V$1000,"Macro",$H$5:$H$1000,"&gt;0"))/(COUNTIFS($S$5:$S$1000,$S280,$V$5:$V$1000,"Macro")*SUMIFS($H$5:$H$1000,$S$5:$S$1000,$S280,$V$5:$V$1000,"Macro")/COUNTIFS($S$5:$S$1000,$S280,$V$5:$V$1000,"Macro",$H$5:$H$1000,"&gt;0"))))</f>
        <v/>
      </c>
      <c r="AH280" s="62" t="n"/>
      <c r="AI280" s="62" t="n"/>
      <c r="AJ280" s="62" t="n"/>
      <c r="AK280" s="62" t="n"/>
      <c r="AL280" s="62">
        <f>IF(LEFT($C280,11)="[Jefatura] ",IFERROR(MATCH("Riesgo Operacional|"&amp;MID($C280,12,500),rDname_ADM,0),0),"")</f>
        <v/>
      </c>
      <c r="AM280" s="62">
        <f>IF(N($AL280)&gt;0,INDEX(rIni_ADM,$AL280),IF(ISNUMBER($E280),$E280,""))</f>
        <v/>
      </c>
      <c r="AN280" s="62">
        <f>IF(N($AL280)&gt;0,INDEX(rLim_ADM,$AL280),IF(ISNUMBER($F280),$F280,""))</f>
        <v/>
      </c>
    </row>
    <row r="281">
      <c r="A281" s="56">
        <f>IF(NOT((COUNTA($B281:$D281)+COUNTA($G281:$L281)+COUNTA($Q281))&gt;0),"",IF($V281="Macro",COUNTIFS($V$5:$V281,"Macro",$S$5:$S281,$S281),IF(N($U281)=0,"?",COUNTIFS(INDEX($V$5:$V$1000,1):INDEX($V$5:$V$1000,$U281-4),"Macro",INDEX($S$5:$S$1000,1):INDEX($S$5:$S$1000,$U281-4),INDEX($S$5:$S$1000,$U281-4))&amp;"."&amp;COUNTIFS($U$5:$U281,$U281,$V$5:$V281,"Sub"))))</f>
        <v/>
      </c>
      <c r="B281" s="57" t="n"/>
      <c r="C281" s="58" t="n"/>
      <c r="D281" s="58" t="n"/>
      <c r="E281" s="59">
        <f>IF(N($AL281)&gt;0,INDEX(rIni_ADM,$AL281),"")</f>
        <v/>
      </c>
      <c r="F281" s="59">
        <f>IF(N($AL281)&gt;0,INDEX(rLim_ADM,$AL281),"")</f>
        <v/>
      </c>
      <c r="G281" s="59" t="n"/>
      <c r="H281" s="60" t="n"/>
      <c r="I281" s="60" t="n"/>
      <c r="J281" s="60" t="n"/>
      <c r="K281" s="60" t="n"/>
      <c r="L281" s="60" t="n"/>
      <c r="M281" s="61">
        <f>IF(NOT((COUNTA($B281:$D281)+COUNTA($G281:$L281)+COUNTA($Q281))&gt;0),"",IF($V281="Sub",IFERROR($X281/INDEX($W$5:$W$1000,$U281-4),""),IF(ISNUMBER($G281),1,IF(N($W281)&gt;0,AVERAGEIFS($X$5:$X$1000,$U$5:$U$1000,ROW(),$V$5:$V$1000,"Sub"),$X281))))</f>
        <v/>
      </c>
      <c r="N281" s="56">
        <f>IF(OR($M281="",$V281="Sub"),"",IF($M281&gt;=1,"Completado",IF($M281&gt;0,"En curso","Pendiente")))</f>
        <v/>
      </c>
      <c r="O281" s="56">
        <f>IF(OR(NOT((COUNTA($B281:$D281)+COUNTA($G281:$L281)+COUNTA($Q281))&gt;0),$V281="Sub"),"",IF(ISNUMBER($G281),IF(AND(ISNUMBER($AN281),$G281&gt;$AN281),"Cumplida con "&amp;($G281-$AN281)&amp;IF($G281-$AN281=1," día"," días")&amp;" de retraso","Cumplida"),IF(N($M281)&gt;=1,"Cumplida",IF(NOT(ISNUMBER($AN281)),"Sin fecha límite",IF($AN281&lt;FechaRef,"Vencida hace "&amp;(FechaRef-$AN281)&amp;IF(FechaRef-$AN281=1," día"," días"),IF($AN281=FechaRef,"Vence hoy",IF($AN281-FechaRef&lt;=DiasAlerta,"Vence en "&amp;($AN281-FechaRef)&amp;IF($AN281-FechaRef=1," día"," días"),"En plazo")))))))</f>
        <v/>
      </c>
      <c r="P281" s="62" t="n"/>
      <c r="Q281" s="58" t="n"/>
      <c r="R281" s="63">
        <f>IF(NOT((COUNTA($B281:$D281)+COUNTA($G281:$L281)+COUNTA($Q281))&gt;0),"",IF((IF($C281="","Falta el nombre de la actividad"&amp;" · ","")&amp;IF(AND($V281="Sub",N($U281)=0),"Subactividad sin macroactividad arriba"&amp;" · ","")&amp;IF($AM281="","Sin fecha de inicio"&amp;" · ","")&amp;IF($AN281="","Sin fecha límite"&amp;" · ","")&amp;IF(AND(LEFT($C281,11)="[Jefatura] ",N($AL281)=0),"No se encuentra en la hoja de la jefatura (elíjala de nuevo en la lista)"&amp;" · ","")&amp;IF(OR(AND($E281&lt;&gt;"",NOT(ISNUMBER($E281))),AND($F281&lt;&gt;"",NOT(ISNUMBER($F281))),AND($G281&lt;&gt;"",NOT(ISNUMBER($G281)))),"Fecha no válida"&amp;" · ","")&amp;IF(AND(ISNUMBER($AM281),ISNUMBER($AN281),$AM281&gt;$AN281),"Inicio posterior a fecha límite"&amp;" · ","")&amp;IF(AND($V281="Macro",$H281&lt;&gt;"",OR(NOT(ISNUMBER($H281)),$H281&lt;0,$H281&gt;1)),"Peso fuera de rango"&amp;" · ","")&amp;IF(AND($V281="Sub",$H281&lt;&gt;""),"Las subactividades no llevan peso (valen igual dentro de su macroactividad)"&amp;" · ","")&amp;IF(AND(N($W281)&gt;0,COUNT($I281:$L281)&gt;0),"Con subactividades: deje vacías las semanas (se calculan solas)"&amp;" · ","")&amp;IF((COUNTIF($I281:$L281,"&gt;1")+COUNTIF($I281:$L281,"&lt;0")+COUNTA($I281:$L281)-COUNT($I281:$L281))&gt;0,"Avance fuera de rango 0-100%"&amp;" · ","")&amp;IF(OR(AND($J281&lt;&gt;"",$J281&lt;$I281),AND($K281&lt;&gt;"",$K281&lt;MAX($I281:$J281)),AND($L281&lt;&gt;"",$L281&lt;MAX($I281:$K281))),"Avance semanal decreciente"&amp;" · ","")&amp;IF(AND(ISNUMBER($AN281),$AN281&lt;FechaRef,IF($V281="Sub",N($X281),N($M281))&lt;1),"Vencida"&amp;" · ","")&amp;IF(AND(ObsObligatoria="Sí",ISNUMBER($AN281),$AN281&lt;FechaRef,IF($V281="Sub",N($X281),N($M281))&lt;1,$Q281=""),"Vencida sin observación"&amp;" · ",""))="","✔ OK","⚠ "&amp;LEFT(IF($C281="","Falta el nombre de la actividad"&amp;" · ","")&amp;IF(AND($V281="Sub",N($U281)=0),"Subactividad sin macroactividad arriba"&amp;" · ","")&amp;IF($AM281="","Sin fecha de inicio"&amp;" · ","")&amp;IF($AN281="","Sin fecha límite"&amp;" · ","")&amp;IF(AND(LEFT($C281,11)="[Jefatura] ",N($AL281)=0),"No se encuentra en la hoja de la jefatura (elíjala de nuevo en la lista)"&amp;" · ","")&amp;IF(OR(AND($E281&lt;&gt;"",NOT(ISNUMBER($E281))),AND($F281&lt;&gt;"",NOT(ISNUMBER($F281))),AND($G281&lt;&gt;"",NOT(ISNUMBER($G281)))),"Fecha no válida"&amp;" · ","")&amp;IF(AND(ISNUMBER($AM281),ISNUMBER($AN281),$AM281&gt;$AN281),"Inicio posterior a fecha límite"&amp;" · ","")&amp;IF(AND($V281="Macro",$H281&lt;&gt;"",OR(NOT(ISNUMBER($H281)),$H281&lt;0,$H281&gt;1)),"Peso fuera de rango"&amp;" · ","")&amp;IF(AND($V281="Sub",$H281&lt;&gt;""),"Las subactividades no llevan peso (valen igual dentro de su macroactividad)"&amp;" · ","")&amp;IF(AND(N($W281)&gt;0,COUNT($I281:$L281)&gt;0),"Con subactividades: deje vacías las semanas (se calculan solas)"&amp;" · ","")&amp;IF((COUNTIF($I281:$L281,"&gt;1")+COUNTIF($I281:$L281,"&lt;0")+COUNTA($I281:$L281)-COUNT($I281:$L281))&gt;0,"Avance fuera de rango 0-100%"&amp;" · ","")&amp;IF(OR(AND($J281&lt;&gt;"",$J281&lt;$I281),AND($K281&lt;&gt;"",$K281&lt;MAX($I281:$J281)),AND($L281&lt;&gt;"",$L281&lt;MAX($I281:$K281))),"Avance semanal decreciente"&amp;" · ","")&amp;IF(AND(ISNUMBER($AN281),$AN281&lt;FechaRef,IF($V281="Sub",N($X281),N($M281))&lt;1),"Vencida"&amp;" · ","")&amp;IF(AND(ObsObligatoria="Sí",ISNUMBER($AN281),$AN281&lt;FechaRef,IF($V281="Sub",N($X281),N($M281))&lt;1,$Q281=""),"Vencida sin observación"&amp;" · ",""),LEN(IF($C281="","Falta el nombre de la actividad"&amp;" · ","")&amp;IF(AND($V281="Sub",N($U281)=0),"Subactividad sin macroactividad arriba"&amp;" · ","")&amp;IF($AM281="","Sin fecha de inicio"&amp;" · ","")&amp;IF($AN281="","Sin fecha límite"&amp;" · ","")&amp;IF(AND(LEFT($C281,11)="[Jefatura] ",N($AL281)=0),"No se encuentra en la hoja de la jefatura (elíjala de nuevo en la lista)"&amp;" · ","")&amp;IF(OR(AND($E281&lt;&gt;"",NOT(ISNUMBER($E281))),AND($F281&lt;&gt;"",NOT(ISNUMBER($F281))),AND($G281&lt;&gt;"",NOT(ISNUMBER($G281)))),"Fecha no válida"&amp;" · ","")&amp;IF(AND(ISNUMBER($AM281),ISNUMBER($AN281),$AM281&gt;$AN281),"Inicio posterior a fecha límite"&amp;" · ","")&amp;IF(AND($V281="Macro",$H281&lt;&gt;"",OR(NOT(ISNUMBER($H281)),$H281&lt;0,$H281&gt;1)),"Peso fuera de rango"&amp;" · ","")&amp;IF(AND($V281="Sub",$H281&lt;&gt;""),"Las subactividades no llevan peso (valen igual dentro de su macroactividad)"&amp;" · ","")&amp;IF(AND(N($W281)&gt;0,COUNT($I281:$L281)&gt;0),"Con subactividades: deje vacías las semanas (se calculan solas)"&amp;" · ","")&amp;IF((COUNTIF($I281:$L281,"&gt;1")+COUNTIF($I281:$L281,"&lt;0")+COUNTA($I281:$L281)-COUNT($I281:$L281))&gt;0,"Avance fuera de rango 0-100%"&amp;" · ","")&amp;IF(OR(AND($J281&lt;&gt;"",$J281&lt;$I281),AND($K281&lt;&gt;"",$K281&lt;MAX($I281:$J281)),AND($L281&lt;&gt;"",$L281&lt;MAX($I281:$K281))),"Avance semanal decreciente"&amp;" · ","")&amp;IF(AND(ISNUMBER($AN281),$AN281&lt;FechaRef,IF($V281="Sub",N($X281),N($M281))&lt;1),"Vencida"&amp;" · ","")&amp;IF(AND(ObsObligatoria="Sí",ISNUMBER($AN281),$AN281&lt;FechaRef,IF($V281="Sub",N($X281),N($M281))&lt;1,$Q281=""),"Vencida sin observación"&amp;" · ",""))-3)))</f>
        <v/>
      </c>
      <c r="S281" s="64">
        <f>IF(NOT((COUNTA($B281:$D281)+COUNTA($G281:$L281)+COUNTA($Q281))&gt;0),"",IF(AND($V281="Sub",N($U281)&gt;0),IF(ISNUMBER(INDEX($AM$5:$AM$1000,$U281-4)),DATE(YEAR(INDEX($AM$5:$AM$1000,$U281-4)),MONTH(INDEX($AM$5:$AM$1000,$U281-4)),1),IF(ISNUMBER(INDEX($AN$5:$AN$1000,$U281-4)),DATE(YEAR(INDEX($AN$5:$AN$1000,$U281-4)),MONTH(INDEX($AN$5:$AN$1000,$U281-4)),1),MesCiclo)),IF(ISNUMBER($AM281),DATE(YEAR($AM281),MONTH($AM281),1),IF(ISNUMBER($AN281),DATE(YEAR($AN281),MONTH($AN281),1),MesCiclo))))</f>
        <v/>
      </c>
      <c r="T281" s="62">
        <f>IF(OR($S281="",$S281&lt;&gt;MesCiclo,$V281&lt;&gt;"Macro"),"",COUNTIFS($S$5:$S281,MesCiclo,$V$5:$V281,"Macro"))</f>
        <v/>
      </c>
      <c r="U281" s="62">
        <f>IF($V281="","",IF($V281="Macro",ROW(),IFERROR(LOOKUP(2,1/($V$5:$V281="Macro"),ROW($V$5:$V281)),0)))</f>
        <v/>
      </c>
      <c r="V281" s="62">
        <f>IF(NOT((COUNTA($B281:$D281)+COUNTA($G281:$L281)+COUNTA($Q281))&gt;0),"",IF($B281="Subactividad","Sub","Macro"))</f>
        <v/>
      </c>
      <c r="W281" s="62">
        <f>IF($V281="Macro",COUNTIFS($U$5:$U$1000,ROW(),$V$5:$V$1000,"Sub"),"")</f>
        <v/>
      </c>
      <c r="X281" s="62">
        <f>IF($V281="","",IF(ISNUMBER($G281),1,IFERROR(LOOKUP(2,1/($I281:$L281&lt;&gt;""),$I281:$L281),0)))</f>
        <v/>
      </c>
      <c r="Y281" s="62">
        <f>IF($V281="","",IF(AND(ISNUMBER($G281),$G281&lt;=IF($S281=MesCiclo,InicioCiclo,$S281+MOD(2-WEEKDAY($S281),7))+6),1,IF(ISNUMBER($I281),$I281,0)))</f>
        <v/>
      </c>
      <c r="Z281" s="62">
        <f>IF($V281="","",IF(AND(ISNUMBER($G281),$G281&lt;=IF($S281=MesCiclo,InicioCiclo,$S281+MOD(2-WEEKDAY($S281),7))+13),1,IF(ISNUMBER($J281),$J281,$Y281)))</f>
        <v/>
      </c>
      <c r="AA281" s="62">
        <f>IF($V281="","",IF(AND(ISNUMBER($G281),$G281&lt;=IF($S281=MesCiclo,InicioCiclo,$S281+MOD(2-WEEKDAY($S281),7))+20),1,IF(ISNUMBER($K281),$K281,$Z281)))</f>
        <v/>
      </c>
      <c r="AB281" s="62">
        <f>IF($V281="","",IF(AND(ISNUMBER($G281),$G281&lt;=IF($S281=MesCiclo,InicioCiclo,$S281+MOD(2-WEEKDAY($S281),7))+27),1,IF(ISNUMBER($L281),$L281,$AA281)))</f>
        <v/>
      </c>
      <c r="AC281" s="62">
        <f>IF($V281="","",IF(AND(ISNUMBER($G281),$G281&lt;=IF($S281=MesCiclo,InicioCiclo,$S281+MOD(2-WEEKDAY($S281),7))+6),1,IF(N($W281)&gt;0,AVERAGEIFS($Y$5:$Y$1000,$U$5:$U$1000,ROW(),$V$5:$V$1000,"Sub"),$Y281)))</f>
        <v/>
      </c>
      <c r="AD281" s="62">
        <f>IF($V281="","",IF(AND(ISNUMBER($G281),$G281&lt;=IF($S281=MesCiclo,InicioCiclo,$S281+MOD(2-WEEKDAY($S281),7))+13),1,IF(N($W281)&gt;0,AVERAGEIFS($Z$5:$Z$1000,$U$5:$U$1000,ROW(),$V$5:$V$1000,"Sub"),$Z281)))</f>
        <v/>
      </c>
      <c r="AE281" s="62">
        <f>IF($V281="","",IF(AND(ISNUMBER($G281),$G281&lt;=IF($S281=MesCiclo,InicioCiclo,$S281+MOD(2-WEEKDAY($S281),7))+20),1,IF(N($W281)&gt;0,AVERAGEIFS($AA$5:$AA$1000,$U$5:$U$1000,ROW(),$V$5:$V$1000,"Sub"),$AA281)))</f>
        <v/>
      </c>
      <c r="AF281" s="62">
        <f>IF($V281="","",IF(AND(ISNUMBER($G281),$G281&lt;=IF($S281=MesCiclo,InicioCiclo,$S281+MOD(2-WEEKDAY($S281),7))+27),1,IF(N($W281)&gt;0,AVERAGEIFS($AB$5:$AB$1000,$U$5:$U$1000,ROW(),$V$5:$V$1000,"Sub"),$AB281)))</f>
        <v/>
      </c>
      <c r="AG281" s="62">
        <f>IF($V281&lt;&gt;"Macro","",IF(COUNTIFS($S$5:$S$1000,$S281,$V$5:$V$1000,"Macro",$H$5:$H$1000,"&gt;0")=0,1/COUNTIFS($S$5:$S$1000,$S281,$V$5:$V$1000,"Macro"),IF(AND(ISNUMBER($H281),N($H281)&gt;0),$H281,SUMIFS($H$5:$H$1000,$S$5:$S$1000,$S281,$V$5:$V$1000,"Macro")/COUNTIFS($S$5:$S$1000,$S281,$V$5:$V$1000,"Macro",$H$5:$H$1000,"&gt;0"))/(COUNTIFS($S$5:$S$1000,$S281,$V$5:$V$1000,"Macro")*SUMIFS($H$5:$H$1000,$S$5:$S$1000,$S281,$V$5:$V$1000,"Macro")/COUNTIFS($S$5:$S$1000,$S281,$V$5:$V$1000,"Macro",$H$5:$H$1000,"&gt;0"))))</f>
        <v/>
      </c>
      <c r="AH281" s="62" t="n"/>
      <c r="AI281" s="62" t="n"/>
      <c r="AJ281" s="62" t="n"/>
      <c r="AK281" s="62" t="n"/>
      <c r="AL281" s="62">
        <f>IF(LEFT($C281,11)="[Jefatura] ",IFERROR(MATCH("Riesgo Operacional|"&amp;MID($C281,12,500),rDname_ADM,0),0),"")</f>
        <v/>
      </c>
      <c r="AM281" s="62">
        <f>IF(N($AL281)&gt;0,INDEX(rIni_ADM,$AL281),IF(ISNUMBER($E281),$E281,""))</f>
        <v/>
      </c>
      <c r="AN281" s="62">
        <f>IF(N($AL281)&gt;0,INDEX(rLim_ADM,$AL281),IF(ISNUMBER($F281),$F281,""))</f>
        <v/>
      </c>
    </row>
    <row r="282">
      <c r="A282" s="56">
        <f>IF(NOT((COUNTA($B282:$D282)+COUNTA($G282:$L282)+COUNTA($Q282))&gt;0),"",IF($V282="Macro",COUNTIFS($V$5:$V282,"Macro",$S$5:$S282,$S282),IF(N($U282)=0,"?",COUNTIFS(INDEX($V$5:$V$1000,1):INDEX($V$5:$V$1000,$U282-4),"Macro",INDEX($S$5:$S$1000,1):INDEX($S$5:$S$1000,$U282-4),INDEX($S$5:$S$1000,$U282-4))&amp;"."&amp;COUNTIFS($U$5:$U282,$U282,$V$5:$V282,"Sub"))))</f>
        <v/>
      </c>
      <c r="B282" s="57" t="n"/>
      <c r="C282" s="58" t="n"/>
      <c r="D282" s="58" t="n"/>
      <c r="E282" s="59">
        <f>IF(N($AL282)&gt;0,INDEX(rIni_ADM,$AL282),"")</f>
        <v/>
      </c>
      <c r="F282" s="59">
        <f>IF(N($AL282)&gt;0,INDEX(rLim_ADM,$AL282),"")</f>
        <v/>
      </c>
      <c r="G282" s="59" t="n"/>
      <c r="H282" s="60" t="n"/>
      <c r="I282" s="60" t="n"/>
      <c r="J282" s="60" t="n"/>
      <c r="K282" s="60" t="n"/>
      <c r="L282" s="60" t="n"/>
      <c r="M282" s="61">
        <f>IF(NOT((COUNTA($B282:$D282)+COUNTA($G282:$L282)+COUNTA($Q282))&gt;0),"",IF($V282="Sub",IFERROR($X282/INDEX($W$5:$W$1000,$U282-4),""),IF(ISNUMBER($G282),1,IF(N($W282)&gt;0,AVERAGEIFS($X$5:$X$1000,$U$5:$U$1000,ROW(),$V$5:$V$1000,"Sub"),$X282))))</f>
        <v/>
      </c>
      <c r="N282" s="56">
        <f>IF(OR($M282="",$V282="Sub"),"",IF($M282&gt;=1,"Completado",IF($M282&gt;0,"En curso","Pendiente")))</f>
        <v/>
      </c>
      <c r="O282" s="56">
        <f>IF(OR(NOT((COUNTA($B282:$D282)+COUNTA($G282:$L282)+COUNTA($Q282))&gt;0),$V282="Sub"),"",IF(ISNUMBER($G282),IF(AND(ISNUMBER($AN282),$G282&gt;$AN282),"Cumplida con "&amp;($G282-$AN282)&amp;IF($G282-$AN282=1," día"," días")&amp;" de retraso","Cumplida"),IF(N($M282)&gt;=1,"Cumplida",IF(NOT(ISNUMBER($AN282)),"Sin fecha límite",IF($AN282&lt;FechaRef,"Vencida hace "&amp;(FechaRef-$AN282)&amp;IF(FechaRef-$AN282=1," día"," días"),IF($AN282=FechaRef,"Vence hoy",IF($AN282-FechaRef&lt;=DiasAlerta,"Vence en "&amp;($AN282-FechaRef)&amp;IF($AN282-FechaRef=1," día"," días"),"En plazo")))))))</f>
        <v/>
      </c>
      <c r="P282" s="62" t="n"/>
      <c r="Q282" s="58" t="n"/>
      <c r="R282" s="63">
        <f>IF(NOT((COUNTA($B282:$D282)+COUNTA($G282:$L282)+COUNTA($Q282))&gt;0),"",IF((IF($C282="","Falta el nombre de la actividad"&amp;" · ","")&amp;IF(AND($V282="Sub",N($U282)=0),"Subactividad sin macroactividad arriba"&amp;" · ","")&amp;IF($AM282="","Sin fecha de inicio"&amp;" · ","")&amp;IF($AN282="","Sin fecha límite"&amp;" · ","")&amp;IF(AND(LEFT($C282,11)="[Jefatura] ",N($AL282)=0),"No se encuentra en la hoja de la jefatura (elíjala de nuevo en la lista)"&amp;" · ","")&amp;IF(OR(AND($E282&lt;&gt;"",NOT(ISNUMBER($E282))),AND($F282&lt;&gt;"",NOT(ISNUMBER($F282))),AND($G282&lt;&gt;"",NOT(ISNUMBER($G282)))),"Fecha no válida"&amp;" · ","")&amp;IF(AND(ISNUMBER($AM282),ISNUMBER($AN282),$AM282&gt;$AN282),"Inicio posterior a fecha límite"&amp;" · ","")&amp;IF(AND($V282="Macro",$H282&lt;&gt;"",OR(NOT(ISNUMBER($H282)),$H282&lt;0,$H282&gt;1)),"Peso fuera de rango"&amp;" · ","")&amp;IF(AND($V282="Sub",$H282&lt;&gt;""),"Las subactividades no llevan peso (valen igual dentro de su macroactividad)"&amp;" · ","")&amp;IF(AND(N($W282)&gt;0,COUNT($I282:$L282)&gt;0),"Con subactividades: deje vacías las semanas (se calculan solas)"&amp;" · ","")&amp;IF((COUNTIF($I282:$L282,"&gt;1")+COUNTIF($I282:$L282,"&lt;0")+COUNTA($I282:$L282)-COUNT($I282:$L282))&gt;0,"Avance fuera de rango 0-100%"&amp;" · ","")&amp;IF(OR(AND($J282&lt;&gt;"",$J282&lt;$I282),AND($K282&lt;&gt;"",$K282&lt;MAX($I282:$J282)),AND($L282&lt;&gt;"",$L282&lt;MAX($I282:$K282))),"Avance semanal decreciente"&amp;" · ","")&amp;IF(AND(ISNUMBER($AN282),$AN282&lt;FechaRef,IF($V282="Sub",N($X282),N($M282))&lt;1),"Vencida"&amp;" · ","")&amp;IF(AND(ObsObligatoria="Sí",ISNUMBER($AN282),$AN282&lt;FechaRef,IF($V282="Sub",N($X282),N($M282))&lt;1,$Q282=""),"Vencida sin observación"&amp;" · ",""))="","✔ OK","⚠ "&amp;LEFT(IF($C282="","Falta el nombre de la actividad"&amp;" · ","")&amp;IF(AND($V282="Sub",N($U282)=0),"Subactividad sin macroactividad arriba"&amp;" · ","")&amp;IF($AM282="","Sin fecha de inicio"&amp;" · ","")&amp;IF($AN282="","Sin fecha límite"&amp;" · ","")&amp;IF(AND(LEFT($C282,11)="[Jefatura] ",N($AL282)=0),"No se encuentra en la hoja de la jefatura (elíjala de nuevo en la lista)"&amp;" · ","")&amp;IF(OR(AND($E282&lt;&gt;"",NOT(ISNUMBER($E282))),AND($F282&lt;&gt;"",NOT(ISNUMBER($F282))),AND($G282&lt;&gt;"",NOT(ISNUMBER($G282)))),"Fecha no válida"&amp;" · ","")&amp;IF(AND(ISNUMBER($AM282),ISNUMBER($AN282),$AM282&gt;$AN282),"Inicio posterior a fecha límite"&amp;" · ","")&amp;IF(AND($V282="Macro",$H282&lt;&gt;"",OR(NOT(ISNUMBER($H282)),$H282&lt;0,$H282&gt;1)),"Peso fuera de rango"&amp;" · ","")&amp;IF(AND($V282="Sub",$H282&lt;&gt;""),"Las subactividades no llevan peso (valen igual dentro de su macroactividad)"&amp;" · ","")&amp;IF(AND(N($W282)&gt;0,COUNT($I282:$L282)&gt;0),"Con subactividades: deje vacías las semanas (se calculan solas)"&amp;" · ","")&amp;IF((COUNTIF($I282:$L282,"&gt;1")+COUNTIF($I282:$L282,"&lt;0")+COUNTA($I282:$L282)-COUNT($I282:$L282))&gt;0,"Avance fuera de rango 0-100%"&amp;" · ","")&amp;IF(OR(AND($J282&lt;&gt;"",$J282&lt;$I282),AND($K282&lt;&gt;"",$K282&lt;MAX($I282:$J282)),AND($L282&lt;&gt;"",$L282&lt;MAX($I282:$K282))),"Avance semanal decreciente"&amp;" · ","")&amp;IF(AND(ISNUMBER($AN282),$AN282&lt;FechaRef,IF($V282="Sub",N($X282),N($M282))&lt;1),"Vencida"&amp;" · ","")&amp;IF(AND(ObsObligatoria="Sí",ISNUMBER($AN282),$AN282&lt;FechaRef,IF($V282="Sub",N($X282),N($M282))&lt;1,$Q282=""),"Vencida sin observación"&amp;" · ",""),LEN(IF($C282="","Falta el nombre de la actividad"&amp;" · ","")&amp;IF(AND($V282="Sub",N($U282)=0),"Subactividad sin macroactividad arriba"&amp;" · ","")&amp;IF($AM282="","Sin fecha de inicio"&amp;" · ","")&amp;IF($AN282="","Sin fecha límite"&amp;" · ","")&amp;IF(AND(LEFT($C282,11)="[Jefatura] ",N($AL282)=0),"No se encuentra en la hoja de la jefatura (elíjala de nuevo en la lista)"&amp;" · ","")&amp;IF(OR(AND($E282&lt;&gt;"",NOT(ISNUMBER($E282))),AND($F282&lt;&gt;"",NOT(ISNUMBER($F282))),AND($G282&lt;&gt;"",NOT(ISNUMBER($G282)))),"Fecha no válida"&amp;" · ","")&amp;IF(AND(ISNUMBER($AM282),ISNUMBER($AN282),$AM282&gt;$AN282),"Inicio posterior a fecha límite"&amp;" · ","")&amp;IF(AND($V282="Macro",$H282&lt;&gt;"",OR(NOT(ISNUMBER($H282)),$H282&lt;0,$H282&gt;1)),"Peso fuera de rango"&amp;" · ","")&amp;IF(AND($V282="Sub",$H282&lt;&gt;""),"Las subactividades no llevan peso (valen igual dentro de su macroactividad)"&amp;" · ","")&amp;IF(AND(N($W282)&gt;0,COUNT($I282:$L282)&gt;0),"Con subactividades: deje vacías las semanas (se calculan solas)"&amp;" · ","")&amp;IF((COUNTIF($I282:$L282,"&gt;1")+COUNTIF($I282:$L282,"&lt;0")+COUNTA($I282:$L282)-COUNT($I282:$L282))&gt;0,"Avance fuera de rango 0-100%"&amp;" · ","")&amp;IF(OR(AND($J282&lt;&gt;"",$J282&lt;$I282),AND($K282&lt;&gt;"",$K282&lt;MAX($I282:$J282)),AND($L282&lt;&gt;"",$L282&lt;MAX($I282:$K282))),"Avance semanal decreciente"&amp;" · ","")&amp;IF(AND(ISNUMBER($AN282),$AN282&lt;FechaRef,IF($V282="Sub",N($X282),N($M282))&lt;1),"Vencida"&amp;" · ","")&amp;IF(AND(ObsObligatoria="Sí",ISNUMBER($AN282),$AN282&lt;FechaRef,IF($V282="Sub",N($X282),N($M282))&lt;1,$Q282=""),"Vencida sin observación"&amp;" · ",""))-3)))</f>
        <v/>
      </c>
      <c r="S282" s="64">
        <f>IF(NOT((COUNTA($B282:$D282)+COUNTA($G282:$L282)+COUNTA($Q282))&gt;0),"",IF(AND($V282="Sub",N($U282)&gt;0),IF(ISNUMBER(INDEX($AM$5:$AM$1000,$U282-4)),DATE(YEAR(INDEX($AM$5:$AM$1000,$U282-4)),MONTH(INDEX($AM$5:$AM$1000,$U282-4)),1),IF(ISNUMBER(INDEX($AN$5:$AN$1000,$U282-4)),DATE(YEAR(INDEX($AN$5:$AN$1000,$U282-4)),MONTH(INDEX($AN$5:$AN$1000,$U282-4)),1),MesCiclo)),IF(ISNUMBER($AM282),DATE(YEAR($AM282),MONTH($AM282),1),IF(ISNUMBER($AN282),DATE(YEAR($AN282),MONTH($AN282),1),MesCiclo))))</f>
        <v/>
      </c>
      <c r="T282" s="62">
        <f>IF(OR($S282="",$S282&lt;&gt;MesCiclo,$V282&lt;&gt;"Macro"),"",COUNTIFS($S$5:$S282,MesCiclo,$V$5:$V282,"Macro"))</f>
        <v/>
      </c>
      <c r="U282" s="62">
        <f>IF($V282="","",IF($V282="Macro",ROW(),IFERROR(LOOKUP(2,1/($V$5:$V282="Macro"),ROW($V$5:$V282)),0)))</f>
        <v/>
      </c>
      <c r="V282" s="62">
        <f>IF(NOT((COUNTA($B282:$D282)+COUNTA($G282:$L282)+COUNTA($Q282))&gt;0),"",IF($B282="Subactividad","Sub","Macro"))</f>
        <v/>
      </c>
      <c r="W282" s="62">
        <f>IF($V282="Macro",COUNTIFS($U$5:$U$1000,ROW(),$V$5:$V$1000,"Sub"),"")</f>
        <v/>
      </c>
      <c r="X282" s="62">
        <f>IF($V282="","",IF(ISNUMBER($G282),1,IFERROR(LOOKUP(2,1/($I282:$L282&lt;&gt;""),$I282:$L282),0)))</f>
        <v/>
      </c>
      <c r="Y282" s="62">
        <f>IF($V282="","",IF(AND(ISNUMBER($G282),$G282&lt;=IF($S282=MesCiclo,InicioCiclo,$S282+MOD(2-WEEKDAY($S282),7))+6),1,IF(ISNUMBER($I282),$I282,0)))</f>
        <v/>
      </c>
      <c r="Z282" s="62">
        <f>IF($V282="","",IF(AND(ISNUMBER($G282),$G282&lt;=IF($S282=MesCiclo,InicioCiclo,$S282+MOD(2-WEEKDAY($S282),7))+13),1,IF(ISNUMBER($J282),$J282,$Y282)))</f>
        <v/>
      </c>
      <c r="AA282" s="62">
        <f>IF($V282="","",IF(AND(ISNUMBER($G282),$G282&lt;=IF($S282=MesCiclo,InicioCiclo,$S282+MOD(2-WEEKDAY($S282),7))+20),1,IF(ISNUMBER($K282),$K282,$Z282)))</f>
        <v/>
      </c>
      <c r="AB282" s="62">
        <f>IF($V282="","",IF(AND(ISNUMBER($G282),$G282&lt;=IF($S282=MesCiclo,InicioCiclo,$S282+MOD(2-WEEKDAY($S282),7))+27),1,IF(ISNUMBER($L282),$L282,$AA282)))</f>
        <v/>
      </c>
      <c r="AC282" s="62">
        <f>IF($V282="","",IF(AND(ISNUMBER($G282),$G282&lt;=IF($S282=MesCiclo,InicioCiclo,$S282+MOD(2-WEEKDAY($S282),7))+6),1,IF(N($W282)&gt;0,AVERAGEIFS($Y$5:$Y$1000,$U$5:$U$1000,ROW(),$V$5:$V$1000,"Sub"),$Y282)))</f>
        <v/>
      </c>
      <c r="AD282" s="62">
        <f>IF($V282="","",IF(AND(ISNUMBER($G282),$G282&lt;=IF($S282=MesCiclo,InicioCiclo,$S282+MOD(2-WEEKDAY($S282),7))+13),1,IF(N($W282)&gt;0,AVERAGEIFS($Z$5:$Z$1000,$U$5:$U$1000,ROW(),$V$5:$V$1000,"Sub"),$Z282)))</f>
        <v/>
      </c>
      <c r="AE282" s="62">
        <f>IF($V282="","",IF(AND(ISNUMBER($G282),$G282&lt;=IF($S282=MesCiclo,InicioCiclo,$S282+MOD(2-WEEKDAY($S282),7))+20),1,IF(N($W282)&gt;0,AVERAGEIFS($AA$5:$AA$1000,$U$5:$U$1000,ROW(),$V$5:$V$1000,"Sub"),$AA282)))</f>
        <v/>
      </c>
      <c r="AF282" s="62">
        <f>IF($V282="","",IF(AND(ISNUMBER($G282),$G282&lt;=IF($S282=MesCiclo,InicioCiclo,$S282+MOD(2-WEEKDAY($S282),7))+27),1,IF(N($W282)&gt;0,AVERAGEIFS($AB$5:$AB$1000,$U$5:$U$1000,ROW(),$V$5:$V$1000,"Sub"),$AB282)))</f>
        <v/>
      </c>
      <c r="AG282" s="62">
        <f>IF($V282&lt;&gt;"Macro","",IF(COUNTIFS($S$5:$S$1000,$S282,$V$5:$V$1000,"Macro",$H$5:$H$1000,"&gt;0")=0,1/COUNTIFS($S$5:$S$1000,$S282,$V$5:$V$1000,"Macro"),IF(AND(ISNUMBER($H282),N($H282)&gt;0),$H282,SUMIFS($H$5:$H$1000,$S$5:$S$1000,$S282,$V$5:$V$1000,"Macro")/COUNTIFS($S$5:$S$1000,$S282,$V$5:$V$1000,"Macro",$H$5:$H$1000,"&gt;0"))/(COUNTIFS($S$5:$S$1000,$S282,$V$5:$V$1000,"Macro")*SUMIFS($H$5:$H$1000,$S$5:$S$1000,$S282,$V$5:$V$1000,"Macro")/COUNTIFS($S$5:$S$1000,$S282,$V$5:$V$1000,"Macro",$H$5:$H$1000,"&gt;0"))))</f>
        <v/>
      </c>
      <c r="AH282" s="62" t="n"/>
      <c r="AI282" s="62" t="n"/>
      <c r="AJ282" s="62" t="n"/>
      <c r="AK282" s="62" t="n"/>
      <c r="AL282" s="62">
        <f>IF(LEFT($C282,11)="[Jefatura] ",IFERROR(MATCH("Riesgo Operacional|"&amp;MID($C282,12,500),rDname_ADM,0),0),"")</f>
        <v/>
      </c>
      <c r="AM282" s="62">
        <f>IF(N($AL282)&gt;0,INDEX(rIni_ADM,$AL282),IF(ISNUMBER($E282),$E282,""))</f>
        <v/>
      </c>
      <c r="AN282" s="62">
        <f>IF(N($AL282)&gt;0,INDEX(rLim_ADM,$AL282),IF(ISNUMBER($F282),$F282,""))</f>
        <v/>
      </c>
    </row>
    <row r="283">
      <c r="A283" s="56">
        <f>IF(NOT((COUNTA($B283:$D283)+COUNTA($G283:$L283)+COUNTA($Q283))&gt;0),"",IF($V283="Macro",COUNTIFS($V$5:$V283,"Macro",$S$5:$S283,$S283),IF(N($U283)=0,"?",COUNTIFS(INDEX($V$5:$V$1000,1):INDEX($V$5:$V$1000,$U283-4),"Macro",INDEX($S$5:$S$1000,1):INDEX($S$5:$S$1000,$U283-4),INDEX($S$5:$S$1000,$U283-4))&amp;"."&amp;COUNTIFS($U$5:$U283,$U283,$V$5:$V283,"Sub"))))</f>
        <v/>
      </c>
      <c r="B283" s="57" t="n"/>
      <c r="C283" s="58" t="n"/>
      <c r="D283" s="58" t="n"/>
      <c r="E283" s="59">
        <f>IF(N($AL283)&gt;0,INDEX(rIni_ADM,$AL283),"")</f>
        <v/>
      </c>
      <c r="F283" s="59">
        <f>IF(N($AL283)&gt;0,INDEX(rLim_ADM,$AL283),"")</f>
        <v/>
      </c>
      <c r="G283" s="59" t="n"/>
      <c r="H283" s="60" t="n"/>
      <c r="I283" s="60" t="n"/>
      <c r="J283" s="60" t="n"/>
      <c r="K283" s="60" t="n"/>
      <c r="L283" s="60" t="n"/>
      <c r="M283" s="61">
        <f>IF(NOT((COUNTA($B283:$D283)+COUNTA($G283:$L283)+COUNTA($Q283))&gt;0),"",IF($V283="Sub",IFERROR($X283/INDEX($W$5:$W$1000,$U283-4),""),IF(ISNUMBER($G283),1,IF(N($W283)&gt;0,AVERAGEIFS($X$5:$X$1000,$U$5:$U$1000,ROW(),$V$5:$V$1000,"Sub"),$X283))))</f>
        <v/>
      </c>
      <c r="N283" s="56">
        <f>IF(OR($M283="",$V283="Sub"),"",IF($M283&gt;=1,"Completado",IF($M283&gt;0,"En curso","Pendiente")))</f>
        <v/>
      </c>
      <c r="O283" s="56">
        <f>IF(OR(NOT((COUNTA($B283:$D283)+COUNTA($G283:$L283)+COUNTA($Q283))&gt;0),$V283="Sub"),"",IF(ISNUMBER($G283),IF(AND(ISNUMBER($AN283),$G283&gt;$AN283),"Cumplida con "&amp;($G283-$AN283)&amp;IF($G283-$AN283=1," día"," días")&amp;" de retraso","Cumplida"),IF(N($M283)&gt;=1,"Cumplida",IF(NOT(ISNUMBER($AN283)),"Sin fecha límite",IF($AN283&lt;FechaRef,"Vencida hace "&amp;(FechaRef-$AN283)&amp;IF(FechaRef-$AN283=1," día"," días"),IF($AN283=FechaRef,"Vence hoy",IF($AN283-FechaRef&lt;=DiasAlerta,"Vence en "&amp;($AN283-FechaRef)&amp;IF($AN283-FechaRef=1," día"," días"),"En plazo")))))))</f>
        <v/>
      </c>
      <c r="P283" s="62" t="n"/>
      <c r="Q283" s="58" t="n"/>
      <c r="R283" s="63">
        <f>IF(NOT((COUNTA($B283:$D283)+COUNTA($G283:$L283)+COUNTA($Q283))&gt;0),"",IF((IF($C283="","Falta el nombre de la actividad"&amp;" · ","")&amp;IF(AND($V283="Sub",N($U283)=0),"Subactividad sin macroactividad arriba"&amp;" · ","")&amp;IF($AM283="","Sin fecha de inicio"&amp;" · ","")&amp;IF($AN283="","Sin fecha límite"&amp;" · ","")&amp;IF(AND(LEFT($C283,11)="[Jefatura] ",N($AL283)=0),"No se encuentra en la hoja de la jefatura (elíjala de nuevo en la lista)"&amp;" · ","")&amp;IF(OR(AND($E283&lt;&gt;"",NOT(ISNUMBER($E283))),AND($F283&lt;&gt;"",NOT(ISNUMBER($F283))),AND($G283&lt;&gt;"",NOT(ISNUMBER($G283)))),"Fecha no válida"&amp;" · ","")&amp;IF(AND(ISNUMBER($AM283),ISNUMBER($AN283),$AM283&gt;$AN283),"Inicio posterior a fecha límite"&amp;" · ","")&amp;IF(AND($V283="Macro",$H283&lt;&gt;"",OR(NOT(ISNUMBER($H283)),$H283&lt;0,$H283&gt;1)),"Peso fuera de rango"&amp;" · ","")&amp;IF(AND($V283="Sub",$H283&lt;&gt;""),"Las subactividades no llevan peso (valen igual dentro de su macroactividad)"&amp;" · ","")&amp;IF(AND(N($W283)&gt;0,COUNT($I283:$L283)&gt;0),"Con subactividades: deje vacías las semanas (se calculan solas)"&amp;" · ","")&amp;IF((COUNTIF($I283:$L283,"&gt;1")+COUNTIF($I283:$L283,"&lt;0")+COUNTA($I283:$L283)-COUNT($I283:$L283))&gt;0,"Avance fuera de rango 0-100%"&amp;" · ","")&amp;IF(OR(AND($J283&lt;&gt;"",$J283&lt;$I283),AND($K283&lt;&gt;"",$K283&lt;MAX($I283:$J283)),AND($L283&lt;&gt;"",$L283&lt;MAX($I283:$K283))),"Avance semanal decreciente"&amp;" · ","")&amp;IF(AND(ISNUMBER($AN283),$AN283&lt;FechaRef,IF($V283="Sub",N($X283),N($M283))&lt;1),"Vencida"&amp;" · ","")&amp;IF(AND(ObsObligatoria="Sí",ISNUMBER($AN283),$AN283&lt;FechaRef,IF($V283="Sub",N($X283),N($M283))&lt;1,$Q283=""),"Vencida sin observación"&amp;" · ",""))="","✔ OK","⚠ "&amp;LEFT(IF($C283="","Falta el nombre de la actividad"&amp;" · ","")&amp;IF(AND($V283="Sub",N($U283)=0),"Subactividad sin macroactividad arriba"&amp;" · ","")&amp;IF($AM283="","Sin fecha de inicio"&amp;" · ","")&amp;IF($AN283="","Sin fecha límite"&amp;" · ","")&amp;IF(AND(LEFT($C283,11)="[Jefatura] ",N($AL283)=0),"No se encuentra en la hoja de la jefatura (elíjala de nuevo en la lista)"&amp;" · ","")&amp;IF(OR(AND($E283&lt;&gt;"",NOT(ISNUMBER($E283))),AND($F283&lt;&gt;"",NOT(ISNUMBER($F283))),AND($G283&lt;&gt;"",NOT(ISNUMBER($G283)))),"Fecha no válida"&amp;" · ","")&amp;IF(AND(ISNUMBER($AM283),ISNUMBER($AN283),$AM283&gt;$AN283),"Inicio posterior a fecha límite"&amp;" · ","")&amp;IF(AND($V283="Macro",$H283&lt;&gt;"",OR(NOT(ISNUMBER($H283)),$H283&lt;0,$H283&gt;1)),"Peso fuera de rango"&amp;" · ","")&amp;IF(AND($V283="Sub",$H283&lt;&gt;""),"Las subactividades no llevan peso (valen igual dentro de su macroactividad)"&amp;" · ","")&amp;IF(AND(N($W283)&gt;0,COUNT($I283:$L283)&gt;0),"Con subactividades: deje vacías las semanas (se calculan solas)"&amp;" · ","")&amp;IF((COUNTIF($I283:$L283,"&gt;1")+COUNTIF($I283:$L283,"&lt;0")+COUNTA($I283:$L283)-COUNT($I283:$L283))&gt;0,"Avance fuera de rango 0-100%"&amp;" · ","")&amp;IF(OR(AND($J283&lt;&gt;"",$J283&lt;$I283),AND($K283&lt;&gt;"",$K283&lt;MAX($I283:$J283)),AND($L283&lt;&gt;"",$L283&lt;MAX($I283:$K283))),"Avance semanal decreciente"&amp;" · ","")&amp;IF(AND(ISNUMBER($AN283),$AN283&lt;FechaRef,IF($V283="Sub",N($X283),N($M283))&lt;1),"Vencida"&amp;" · ","")&amp;IF(AND(ObsObligatoria="Sí",ISNUMBER($AN283),$AN283&lt;FechaRef,IF($V283="Sub",N($X283),N($M283))&lt;1,$Q283=""),"Vencida sin observación"&amp;" · ",""),LEN(IF($C283="","Falta el nombre de la actividad"&amp;" · ","")&amp;IF(AND($V283="Sub",N($U283)=0),"Subactividad sin macroactividad arriba"&amp;" · ","")&amp;IF($AM283="","Sin fecha de inicio"&amp;" · ","")&amp;IF($AN283="","Sin fecha límite"&amp;" · ","")&amp;IF(AND(LEFT($C283,11)="[Jefatura] ",N($AL283)=0),"No se encuentra en la hoja de la jefatura (elíjala de nuevo en la lista)"&amp;" · ","")&amp;IF(OR(AND($E283&lt;&gt;"",NOT(ISNUMBER($E283))),AND($F283&lt;&gt;"",NOT(ISNUMBER($F283))),AND($G283&lt;&gt;"",NOT(ISNUMBER($G283)))),"Fecha no válida"&amp;" · ","")&amp;IF(AND(ISNUMBER($AM283),ISNUMBER($AN283),$AM283&gt;$AN283),"Inicio posterior a fecha límite"&amp;" · ","")&amp;IF(AND($V283="Macro",$H283&lt;&gt;"",OR(NOT(ISNUMBER($H283)),$H283&lt;0,$H283&gt;1)),"Peso fuera de rango"&amp;" · ","")&amp;IF(AND($V283="Sub",$H283&lt;&gt;""),"Las subactividades no llevan peso (valen igual dentro de su macroactividad)"&amp;" · ","")&amp;IF(AND(N($W283)&gt;0,COUNT($I283:$L283)&gt;0),"Con subactividades: deje vacías las semanas (se calculan solas)"&amp;" · ","")&amp;IF((COUNTIF($I283:$L283,"&gt;1")+COUNTIF($I283:$L283,"&lt;0")+COUNTA($I283:$L283)-COUNT($I283:$L283))&gt;0,"Avance fuera de rango 0-100%"&amp;" · ","")&amp;IF(OR(AND($J283&lt;&gt;"",$J283&lt;$I283),AND($K283&lt;&gt;"",$K283&lt;MAX($I283:$J283)),AND($L283&lt;&gt;"",$L283&lt;MAX($I283:$K283))),"Avance semanal decreciente"&amp;" · ","")&amp;IF(AND(ISNUMBER($AN283),$AN283&lt;FechaRef,IF($V283="Sub",N($X283),N($M283))&lt;1),"Vencida"&amp;" · ","")&amp;IF(AND(ObsObligatoria="Sí",ISNUMBER($AN283),$AN283&lt;FechaRef,IF($V283="Sub",N($X283),N($M283))&lt;1,$Q283=""),"Vencida sin observación"&amp;" · ",""))-3)))</f>
        <v/>
      </c>
      <c r="S283" s="64">
        <f>IF(NOT((COUNTA($B283:$D283)+COUNTA($G283:$L283)+COUNTA($Q283))&gt;0),"",IF(AND($V283="Sub",N($U283)&gt;0),IF(ISNUMBER(INDEX($AM$5:$AM$1000,$U283-4)),DATE(YEAR(INDEX($AM$5:$AM$1000,$U283-4)),MONTH(INDEX($AM$5:$AM$1000,$U283-4)),1),IF(ISNUMBER(INDEX($AN$5:$AN$1000,$U283-4)),DATE(YEAR(INDEX($AN$5:$AN$1000,$U283-4)),MONTH(INDEX($AN$5:$AN$1000,$U283-4)),1),MesCiclo)),IF(ISNUMBER($AM283),DATE(YEAR($AM283),MONTH($AM283),1),IF(ISNUMBER($AN283),DATE(YEAR($AN283),MONTH($AN283),1),MesCiclo))))</f>
        <v/>
      </c>
      <c r="T283" s="62">
        <f>IF(OR($S283="",$S283&lt;&gt;MesCiclo,$V283&lt;&gt;"Macro"),"",COUNTIFS($S$5:$S283,MesCiclo,$V$5:$V283,"Macro"))</f>
        <v/>
      </c>
      <c r="U283" s="62">
        <f>IF($V283="","",IF($V283="Macro",ROW(),IFERROR(LOOKUP(2,1/($V$5:$V283="Macro"),ROW($V$5:$V283)),0)))</f>
        <v/>
      </c>
      <c r="V283" s="62">
        <f>IF(NOT((COUNTA($B283:$D283)+COUNTA($G283:$L283)+COUNTA($Q283))&gt;0),"",IF($B283="Subactividad","Sub","Macro"))</f>
        <v/>
      </c>
      <c r="W283" s="62">
        <f>IF($V283="Macro",COUNTIFS($U$5:$U$1000,ROW(),$V$5:$V$1000,"Sub"),"")</f>
        <v/>
      </c>
      <c r="X283" s="62">
        <f>IF($V283="","",IF(ISNUMBER($G283),1,IFERROR(LOOKUP(2,1/($I283:$L283&lt;&gt;""),$I283:$L283),0)))</f>
        <v/>
      </c>
      <c r="Y283" s="62">
        <f>IF($V283="","",IF(AND(ISNUMBER($G283),$G283&lt;=IF($S283=MesCiclo,InicioCiclo,$S283+MOD(2-WEEKDAY($S283),7))+6),1,IF(ISNUMBER($I283),$I283,0)))</f>
        <v/>
      </c>
      <c r="Z283" s="62">
        <f>IF($V283="","",IF(AND(ISNUMBER($G283),$G283&lt;=IF($S283=MesCiclo,InicioCiclo,$S283+MOD(2-WEEKDAY($S283),7))+13),1,IF(ISNUMBER($J283),$J283,$Y283)))</f>
        <v/>
      </c>
      <c r="AA283" s="62">
        <f>IF($V283="","",IF(AND(ISNUMBER($G283),$G283&lt;=IF($S283=MesCiclo,InicioCiclo,$S283+MOD(2-WEEKDAY($S283),7))+20),1,IF(ISNUMBER($K283),$K283,$Z283)))</f>
        <v/>
      </c>
      <c r="AB283" s="62">
        <f>IF($V283="","",IF(AND(ISNUMBER($G283),$G283&lt;=IF($S283=MesCiclo,InicioCiclo,$S283+MOD(2-WEEKDAY($S283),7))+27),1,IF(ISNUMBER($L283),$L283,$AA283)))</f>
        <v/>
      </c>
      <c r="AC283" s="62">
        <f>IF($V283="","",IF(AND(ISNUMBER($G283),$G283&lt;=IF($S283=MesCiclo,InicioCiclo,$S283+MOD(2-WEEKDAY($S283),7))+6),1,IF(N($W283)&gt;0,AVERAGEIFS($Y$5:$Y$1000,$U$5:$U$1000,ROW(),$V$5:$V$1000,"Sub"),$Y283)))</f>
        <v/>
      </c>
      <c r="AD283" s="62">
        <f>IF($V283="","",IF(AND(ISNUMBER($G283),$G283&lt;=IF($S283=MesCiclo,InicioCiclo,$S283+MOD(2-WEEKDAY($S283),7))+13),1,IF(N($W283)&gt;0,AVERAGEIFS($Z$5:$Z$1000,$U$5:$U$1000,ROW(),$V$5:$V$1000,"Sub"),$Z283)))</f>
        <v/>
      </c>
      <c r="AE283" s="62">
        <f>IF($V283="","",IF(AND(ISNUMBER($G283),$G283&lt;=IF($S283=MesCiclo,InicioCiclo,$S283+MOD(2-WEEKDAY($S283),7))+20),1,IF(N($W283)&gt;0,AVERAGEIFS($AA$5:$AA$1000,$U$5:$U$1000,ROW(),$V$5:$V$1000,"Sub"),$AA283)))</f>
        <v/>
      </c>
      <c r="AF283" s="62">
        <f>IF($V283="","",IF(AND(ISNUMBER($G283),$G283&lt;=IF($S283=MesCiclo,InicioCiclo,$S283+MOD(2-WEEKDAY($S283),7))+27),1,IF(N($W283)&gt;0,AVERAGEIFS($AB$5:$AB$1000,$U$5:$U$1000,ROW(),$V$5:$V$1000,"Sub"),$AB283)))</f>
        <v/>
      </c>
      <c r="AG283" s="62">
        <f>IF($V283&lt;&gt;"Macro","",IF(COUNTIFS($S$5:$S$1000,$S283,$V$5:$V$1000,"Macro",$H$5:$H$1000,"&gt;0")=0,1/COUNTIFS($S$5:$S$1000,$S283,$V$5:$V$1000,"Macro"),IF(AND(ISNUMBER($H283),N($H283)&gt;0),$H283,SUMIFS($H$5:$H$1000,$S$5:$S$1000,$S283,$V$5:$V$1000,"Macro")/COUNTIFS($S$5:$S$1000,$S283,$V$5:$V$1000,"Macro",$H$5:$H$1000,"&gt;0"))/(COUNTIFS($S$5:$S$1000,$S283,$V$5:$V$1000,"Macro")*SUMIFS($H$5:$H$1000,$S$5:$S$1000,$S283,$V$5:$V$1000,"Macro")/COUNTIFS($S$5:$S$1000,$S283,$V$5:$V$1000,"Macro",$H$5:$H$1000,"&gt;0"))))</f>
        <v/>
      </c>
      <c r="AH283" s="62" t="n"/>
      <c r="AI283" s="62" t="n"/>
      <c r="AJ283" s="62" t="n"/>
      <c r="AK283" s="62" t="n"/>
      <c r="AL283" s="62">
        <f>IF(LEFT($C283,11)="[Jefatura] ",IFERROR(MATCH("Riesgo Operacional|"&amp;MID($C283,12,500),rDname_ADM,0),0),"")</f>
        <v/>
      </c>
      <c r="AM283" s="62">
        <f>IF(N($AL283)&gt;0,INDEX(rIni_ADM,$AL283),IF(ISNUMBER($E283),$E283,""))</f>
        <v/>
      </c>
      <c r="AN283" s="62">
        <f>IF(N($AL283)&gt;0,INDEX(rLim_ADM,$AL283),IF(ISNUMBER($F283),$F283,""))</f>
        <v/>
      </c>
    </row>
    <row r="284">
      <c r="A284" s="56">
        <f>IF(NOT((COUNTA($B284:$D284)+COUNTA($G284:$L284)+COUNTA($Q284))&gt;0),"",IF($V284="Macro",COUNTIFS($V$5:$V284,"Macro",$S$5:$S284,$S284),IF(N($U284)=0,"?",COUNTIFS(INDEX($V$5:$V$1000,1):INDEX($V$5:$V$1000,$U284-4),"Macro",INDEX($S$5:$S$1000,1):INDEX($S$5:$S$1000,$U284-4),INDEX($S$5:$S$1000,$U284-4))&amp;"."&amp;COUNTIFS($U$5:$U284,$U284,$V$5:$V284,"Sub"))))</f>
        <v/>
      </c>
      <c r="B284" s="57" t="n"/>
      <c r="C284" s="58" t="n"/>
      <c r="D284" s="58" t="n"/>
      <c r="E284" s="59">
        <f>IF(N($AL284)&gt;0,INDEX(rIni_ADM,$AL284),"")</f>
        <v/>
      </c>
      <c r="F284" s="59">
        <f>IF(N($AL284)&gt;0,INDEX(rLim_ADM,$AL284),"")</f>
        <v/>
      </c>
      <c r="G284" s="59" t="n"/>
      <c r="H284" s="60" t="n"/>
      <c r="I284" s="60" t="n"/>
      <c r="J284" s="60" t="n"/>
      <c r="K284" s="60" t="n"/>
      <c r="L284" s="60" t="n"/>
      <c r="M284" s="61">
        <f>IF(NOT((COUNTA($B284:$D284)+COUNTA($G284:$L284)+COUNTA($Q284))&gt;0),"",IF($V284="Sub",IFERROR($X284/INDEX($W$5:$W$1000,$U284-4),""),IF(ISNUMBER($G284),1,IF(N($W284)&gt;0,AVERAGEIFS($X$5:$X$1000,$U$5:$U$1000,ROW(),$V$5:$V$1000,"Sub"),$X284))))</f>
        <v/>
      </c>
      <c r="N284" s="56">
        <f>IF(OR($M284="",$V284="Sub"),"",IF($M284&gt;=1,"Completado",IF($M284&gt;0,"En curso","Pendiente")))</f>
        <v/>
      </c>
      <c r="O284" s="56">
        <f>IF(OR(NOT((COUNTA($B284:$D284)+COUNTA($G284:$L284)+COUNTA($Q284))&gt;0),$V284="Sub"),"",IF(ISNUMBER($G284),IF(AND(ISNUMBER($AN284),$G284&gt;$AN284),"Cumplida con "&amp;($G284-$AN284)&amp;IF($G284-$AN284=1," día"," días")&amp;" de retraso","Cumplida"),IF(N($M284)&gt;=1,"Cumplida",IF(NOT(ISNUMBER($AN284)),"Sin fecha límite",IF($AN284&lt;FechaRef,"Vencida hace "&amp;(FechaRef-$AN284)&amp;IF(FechaRef-$AN284=1," día"," días"),IF($AN284=FechaRef,"Vence hoy",IF($AN284-FechaRef&lt;=DiasAlerta,"Vence en "&amp;($AN284-FechaRef)&amp;IF($AN284-FechaRef=1," día"," días"),"En plazo")))))))</f>
        <v/>
      </c>
      <c r="P284" s="62" t="n"/>
      <c r="Q284" s="58" t="n"/>
      <c r="R284" s="63">
        <f>IF(NOT((COUNTA($B284:$D284)+COUNTA($G284:$L284)+COUNTA($Q284))&gt;0),"",IF((IF($C284="","Falta el nombre de la actividad"&amp;" · ","")&amp;IF(AND($V284="Sub",N($U284)=0),"Subactividad sin macroactividad arriba"&amp;" · ","")&amp;IF($AM284="","Sin fecha de inicio"&amp;" · ","")&amp;IF($AN284="","Sin fecha límite"&amp;" · ","")&amp;IF(AND(LEFT($C284,11)="[Jefatura] ",N($AL284)=0),"No se encuentra en la hoja de la jefatura (elíjala de nuevo en la lista)"&amp;" · ","")&amp;IF(OR(AND($E284&lt;&gt;"",NOT(ISNUMBER($E284))),AND($F284&lt;&gt;"",NOT(ISNUMBER($F284))),AND($G284&lt;&gt;"",NOT(ISNUMBER($G284)))),"Fecha no válida"&amp;" · ","")&amp;IF(AND(ISNUMBER($AM284),ISNUMBER($AN284),$AM284&gt;$AN284),"Inicio posterior a fecha límite"&amp;" · ","")&amp;IF(AND($V284="Macro",$H284&lt;&gt;"",OR(NOT(ISNUMBER($H284)),$H284&lt;0,$H284&gt;1)),"Peso fuera de rango"&amp;" · ","")&amp;IF(AND($V284="Sub",$H284&lt;&gt;""),"Las subactividades no llevan peso (valen igual dentro de su macroactividad)"&amp;" · ","")&amp;IF(AND(N($W284)&gt;0,COUNT($I284:$L284)&gt;0),"Con subactividades: deje vacías las semanas (se calculan solas)"&amp;" · ","")&amp;IF((COUNTIF($I284:$L284,"&gt;1")+COUNTIF($I284:$L284,"&lt;0")+COUNTA($I284:$L284)-COUNT($I284:$L284))&gt;0,"Avance fuera de rango 0-100%"&amp;" · ","")&amp;IF(OR(AND($J284&lt;&gt;"",$J284&lt;$I284),AND($K284&lt;&gt;"",$K284&lt;MAX($I284:$J284)),AND($L284&lt;&gt;"",$L284&lt;MAX($I284:$K284))),"Avance semanal decreciente"&amp;" · ","")&amp;IF(AND(ISNUMBER($AN284),$AN284&lt;FechaRef,IF($V284="Sub",N($X284),N($M284))&lt;1),"Vencida"&amp;" · ","")&amp;IF(AND(ObsObligatoria="Sí",ISNUMBER($AN284),$AN284&lt;FechaRef,IF($V284="Sub",N($X284),N($M284))&lt;1,$Q284=""),"Vencida sin observación"&amp;" · ",""))="","✔ OK","⚠ "&amp;LEFT(IF($C284="","Falta el nombre de la actividad"&amp;" · ","")&amp;IF(AND($V284="Sub",N($U284)=0),"Subactividad sin macroactividad arriba"&amp;" · ","")&amp;IF($AM284="","Sin fecha de inicio"&amp;" · ","")&amp;IF($AN284="","Sin fecha límite"&amp;" · ","")&amp;IF(AND(LEFT($C284,11)="[Jefatura] ",N($AL284)=0),"No se encuentra en la hoja de la jefatura (elíjala de nuevo en la lista)"&amp;" · ","")&amp;IF(OR(AND($E284&lt;&gt;"",NOT(ISNUMBER($E284))),AND($F284&lt;&gt;"",NOT(ISNUMBER($F284))),AND($G284&lt;&gt;"",NOT(ISNUMBER($G284)))),"Fecha no válida"&amp;" · ","")&amp;IF(AND(ISNUMBER($AM284),ISNUMBER($AN284),$AM284&gt;$AN284),"Inicio posterior a fecha límite"&amp;" · ","")&amp;IF(AND($V284="Macro",$H284&lt;&gt;"",OR(NOT(ISNUMBER($H284)),$H284&lt;0,$H284&gt;1)),"Peso fuera de rango"&amp;" · ","")&amp;IF(AND($V284="Sub",$H284&lt;&gt;""),"Las subactividades no llevan peso (valen igual dentro de su macroactividad)"&amp;" · ","")&amp;IF(AND(N($W284)&gt;0,COUNT($I284:$L284)&gt;0),"Con subactividades: deje vacías las semanas (se calculan solas)"&amp;" · ","")&amp;IF((COUNTIF($I284:$L284,"&gt;1")+COUNTIF($I284:$L284,"&lt;0")+COUNTA($I284:$L284)-COUNT($I284:$L284))&gt;0,"Avance fuera de rango 0-100%"&amp;" · ","")&amp;IF(OR(AND($J284&lt;&gt;"",$J284&lt;$I284),AND($K284&lt;&gt;"",$K284&lt;MAX($I284:$J284)),AND($L284&lt;&gt;"",$L284&lt;MAX($I284:$K284))),"Avance semanal decreciente"&amp;" · ","")&amp;IF(AND(ISNUMBER($AN284),$AN284&lt;FechaRef,IF($V284="Sub",N($X284),N($M284))&lt;1),"Vencida"&amp;" · ","")&amp;IF(AND(ObsObligatoria="Sí",ISNUMBER($AN284),$AN284&lt;FechaRef,IF($V284="Sub",N($X284),N($M284))&lt;1,$Q284=""),"Vencida sin observación"&amp;" · ",""),LEN(IF($C284="","Falta el nombre de la actividad"&amp;" · ","")&amp;IF(AND($V284="Sub",N($U284)=0),"Subactividad sin macroactividad arriba"&amp;" · ","")&amp;IF($AM284="","Sin fecha de inicio"&amp;" · ","")&amp;IF($AN284="","Sin fecha límite"&amp;" · ","")&amp;IF(AND(LEFT($C284,11)="[Jefatura] ",N($AL284)=0),"No se encuentra en la hoja de la jefatura (elíjala de nuevo en la lista)"&amp;" · ","")&amp;IF(OR(AND($E284&lt;&gt;"",NOT(ISNUMBER($E284))),AND($F284&lt;&gt;"",NOT(ISNUMBER($F284))),AND($G284&lt;&gt;"",NOT(ISNUMBER($G284)))),"Fecha no válida"&amp;" · ","")&amp;IF(AND(ISNUMBER($AM284),ISNUMBER($AN284),$AM284&gt;$AN284),"Inicio posterior a fecha límite"&amp;" · ","")&amp;IF(AND($V284="Macro",$H284&lt;&gt;"",OR(NOT(ISNUMBER($H284)),$H284&lt;0,$H284&gt;1)),"Peso fuera de rango"&amp;" · ","")&amp;IF(AND($V284="Sub",$H284&lt;&gt;""),"Las subactividades no llevan peso (valen igual dentro de su macroactividad)"&amp;" · ","")&amp;IF(AND(N($W284)&gt;0,COUNT($I284:$L284)&gt;0),"Con subactividades: deje vacías las semanas (se calculan solas)"&amp;" · ","")&amp;IF((COUNTIF($I284:$L284,"&gt;1")+COUNTIF($I284:$L284,"&lt;0")+COUNTA($I284:$L284)-COUNT($I284:$L284))&gt;0,"Avance fuera de rango 0-100%"&amp;" · ","")&amp;IF(OR(AND($J284&lt;&gt;"",$J284&lt;$I284),AND($K284&lt;&gt;"",$K284&lt;MAX($I284:$J284)),AND($L284&lt;&gt;"",$L284&lt;MAX($I284:$K284))),"Avance semanal decreciente"&amp;" · ","")&amp;IF(AND(ISNUMBER($AN284),$AN284&lt;FechaRef,IF($V284="Sub",N($X284),N($M284))&lt;1),"Vencida"&amp;" · ","")&amp;IF(AND(ObsObligatoria="Sí",ISNUMBER($AN284),$AN284&lt;FechaRef,IF($V284="Sub",N($X284),N($M284))&lt;1,$Q284=""),"Vencida sin observación"&amp;" · ",""))-3)))</f>
        <v/>
      </c>
      <c r="S284" s="64">
        <f>IF(NOT((COUNTA($B284:$D284)+COUNTA($G284:$L284)+COUNTA($Q284))&gt;0),"",IF(AND($V284="Sub",N($U284)&gt;0),IF(ISNUMBER(INDEX($AM$5:$AM$1000,$U284-4)),DATE(YEAR(INDEX($AM$5:$AM$1000,$U284-4)),MONTH(INDEX($AM$5:$AM$1000,$U284-4)),1),IF(ISNUMBER(INDEX($AN$5:$AN$1000,$U284-4)),DATE(YEAR(INDEX($AN$5:$AN$1000,$U284-4)),MONTH(INDEX($AN$5:$AN$1000,$U284-4)),1),MesCiclo)),IF(ISNUMBER($AM284),DATE(YEAR($AM284),MONTH($AM284),1),IF(ISNUMBER($AN284),DATE(YEAR($AN284),MONTH($AN284),1),MesCiclo))))</f>
        <v/>
      </c>
      <c r="T284" s="62">
        <f>IF(OR($S284="",$S284&lt;&gt;MesCiclo,$V284&lt;&gt;"Macro"),"",COUNTIFS($S$5:$S284,MesCiclo,$V$5:$V284,"Macro"))</f>
        <v/>
      </c>
      <c r="U284" s="62">
        <f>IF($V284="","",IF($V284="Macro",ROW(),IFERROR(LOOKUP(2,1/($V$5:$V284="Macro"),ROW($V$5:$V284)),0)))</f>
        <v/>
      </c>
      <c r="V284" s="62">
        <f>IF(NOT((COUNTA($B284:$D284)+COUNTA($G284:$L284)+COUNTA($Q284))&gt;0),"",IF($B284="Subactividad","Sub","Macro"))</f>
        <v/>
      </c>
      <c r="W284" s="62">
        <f>IF($V284="Macro",COUNTIFS($U$5:$U$1000,ROW(),$V$5:$V$1000,"Sub"),"")</f>
        <v/>
      </c>
      <c r="X284" s="62">
        <f>IF($V284="","",IF(ISNUMBER($G284),1,IFERROR(LOOKUP(2,1/($I284:$L284&lt;&gt;""),$I284:$L284),0)))</f>
        <v/>
      </c>
      <c r="Y284" s="62">
        <f>IF($V284="","",IF(AND(ISNUMBER($G284),$G284&lt;=IF($S284=MesCiclo,InicioCiclo,$S284+MOD(2-WEEKDAY($S284),7))+6),1,IF(ISNUMBER($I284),$I284,0)))</f>
        <v/>
      </c>
      <c r="Z284" s="62">
        <f>IF($V284="","",IF(AND(ISNUMBER($G284),$G284&lt;=IF($S284=MesCiclo,InicioCiclo,$S284+MOD(2-WEEKDAY($S284),7))+13),1,IF(ISNUMBER($J284),$J284,$Y284)))</f>
        <v/>
      </c>
      <c r="AA284" s="62">
        <f>IF($V284="","",IF(AND(ISNUMBER($G284),$G284&lt;=IF($S284=MesCiclo,InicioCiclo,$S284+MOD(2-WEEKDAY($S284),7))+20),1,IF(ISNUMBER($K284),$K284,$Z284)))</f>
        <v/>
      </c>
      <c r="AB284" s="62">
        <f>IF($V284="","",IF(AND(ISNUMBER($G284),$G284&lt;=IF($S284=MesCiclo,InicioCiclo,$S284+MOD(2-WEEKDAY($S284),7))+27),1,IF(ISNUMBER($L284),$L284,$AA284)))</f>
        <v/>
      </c>
      <c r="AC284" s="62">
        <f>IF($V284="","",IF(AND(ISNUMBER($G284),$G284&lt;=IF($S284=MesCiclo,InicioCiclo,$S284+MOD(2-WEEKDAY($S284),7))+6),1,IF(N($W284)&gt;0,AVERAGEIFS($Y$5:$Y$1000,$U$5:$U$1000,ROW(),$V$5:$V$1000,"Sub"),$Y284)))</f>
        <v/>
      </c>
      <c r="AD284" s="62">
        <f>IF($V284="","",IF(AND(ISNUMBER($G284),$G284&lt;=IF($S284=MesCiclo,InicioCiclo,$S284+MOD(2-WEEKDAY($S284),7))+13),1,IF(N($W284)&gt;0,AVERAGEIFS($Z$5:$Z$1000,$U$5:$U$1000,ROW(),$V$5:$V$1000,"Sub"),$Z284)))</f>
        <v/>
      </c>
      <c r="AE284" s="62">
        <f>IF($V284="","",IF(AND(ISNUMBER($G284),$G284&lt;=IF($S284=MesCiclo,InicioCiclo,$S284+MOD(2-WEEKDAY($S284),7))+20),1,IF(N($W284)&gt;0,AVERAGEIFS($AA$5:$AA$1000,$U$5:$U$1000,ROW(),$V$5:$V$1000,"Sub"),$AA284)))</f>
        <v/>
      </c>
      <c r="AF284" s="62">
        <f>IF($V284="","",IF(AND(ISNUMBER($G284),$G284&lt;=IF($S284=MesCiclo,InicioCiclo,$S284+MOD(2-WEEKDAY($S284),7))+27),1,IF(N($W284)&gt;0,AVERAGEIFS($AB$5:$AB$1000,$U$5:$U$1000,ROW(),$V$5:$V$1000,"Sub"),$AB284)))</f>
        <v/>
      </c>
      <c r="AG284" s="62">
        <f>IF($V284&lt;&gt;"Macro","",IF(COUNTIFS($S$5:$S$1000,$S284,$V$5:$V$1000,"Macro",$H$5:$H$1000,"&gt;0")=0,1/COUNTIFS($S$5:$S$1000,$S284,$V$5:$V$1000,"Macro"),IF(AND(ISNUMBER($H284),N($H284)&gt;0),$H284,SUMIFS($H$5:$H$1000,$S$5:$S$1000,$S284,$V$5:$V$1000,"Macro")/COUNTIFS($S$5:$S$1000,$S284,$V$5:$V$1000,"Macro",$H$5:$H$1000,"&gt;0"))/(COUNTIFS($S$5:$S$1000,$S284,$V$5:$V$1000,"Macro")*SUMIFS($H$5:$H$1000,$S$5:$S$1000,$S284,$V$5:$V$1000,"Macro")/COUNTIFS($S$5:$S$1000,$S284,$V$5:$V$1000,"Macro",$H$5:$H$1000,"&gt;0"))))</f>
        <v/>
      </c>
      <c r="AH284" s="62" t="n"/>
      <c r="AI284" s="62" t="n"/>
      <c r="AJ284" s="62" t="n"/>
      <c r="AK284" s="62" t="n"/>
      <c r="AL284" s="62">
        <f>IF(LEFT($C284,11)="[Jefatura] ",IFERROR(MATCH("Riesgo Operacional|"&amp;MID($C284,12,500),rDname_ADM,0),0),"")</f>
        <v/>
      </c>
      <c r="AM284" s="62">
        <f>IF(N($AL284)&gt;0,INDEX(rIni_ADM,$AL284),IF(ISNUMBER($E284),$E284,""))</f>
        <v/>
      </c>
      <c r="AN284" s="62">
        <f>IF(N($AL284)&gt;0,INDEX(rLim_ADM,$AL284),IF(ISNUMBER($F284),$F284,""))</f>
        <v/>
      </c>
    </row>
    <row r="285">
      <c r="A285" s="56">
        <f>IF(NOT((COUNTA($B285:$D285)+COUNTA($G285:$L285)+COUNTA($Q285))&gt;0),"",IF($V285="Macro",COUNTIFS($V$5:$V285,"Macro",$S$5:$S285,$S285),IF(N($U285)=0,"?",COUNTIFS(INDEX($V$5:$V$1000,1):INDEX($V$5:$V$1000,$U285-4),"Macro",INDEX($S$5:$S$1000,1):INDEX($S$5:$S$1000,$U285-4),INDEX($S$5:$S$1000,$U285-4))&amp;"."&amp;COUNTIFS($U$5:$U285,$U285,$V$5:$V285,"Sub"))))</f>
        <v/>
      </c>
      <c r="B285" s="57" t="n"/>
      <c r="C285" s="58" t="n"/>
      <c r="D285" s="58" t="n"/>
      <c r="E285" s="59">
        <f>IF(N($AL285)&gt;0,INDEX(rIni_ADM,$AL285),"")</f>
        <v/>
      </c>
      <c r="F285" s="59">
        <f>IF(N($AL285)&gt;0,INDEX(rLim_ADM,$AL285),"")</f>
        <v/>
      </c>
      <c r="G285" s="59" t="n"/>
      <c r="H285" s="60" t="n"/>
      <c r="I285" s="60" t="n"/>
      <c r="J285" s="60" t="n"/>
      <c r="K285" s="60" t="n"/>
      <c r="L285" s="60" t="n"/>
      <c r="M285" s="61">
        <f>IF(NOT((COUNTA($B285:$D285)+COUNTA($G285:$L285)+COUNTA($Q285))&gt;0),"",IF($V285="Sub",IFERROR($X285/INDEX($W$5:$W$1000,$U285-4),""),IF(ISNUMBER($G285),1,IF(N($W285)&gt;0,AVERAGEIFS($X$5:$X$1000,$U$5:$U$1000,ROW(),$V$5:$V$1000,"Sub"),$X285))))</f>
        <v/>
      </c>
      <c r="N285" s="56">
        <f>IF(OR($M285="",$V285="Sub"),"",IF($M285&gt;=1,"Completado",IF($M285&gt;0,"En curso","Pendiente")))</f>
        <v/>
      </c>
      <c r="O285" s="56">
        <f>IF(OR(NOT((COUNTA($B285:$D285)+COUNTA($G285:$L285)+COUNTA($Q285))&gt;0),$V285="Sub"),"",IF(ISNUMBER($G285),IF(AND(ISNUMBER($AN285),$G285&gt;$AN285),"Cumplida con "&amp;($G285-$AN285)&amp;IF($G285-$AN285=1," día"," días")&amp;" de retraso","Cumplida"),IF(N($M285)&gt;=1,"Cumplida",IF(NOT(ISNUMBER($AN285)),"Sin fecha límite",IF($AN285&lt;FechaRef,"Vencida hace "&amp;(FechaRef-$AN285)&amp;IF(FechaRef-$AN285=1," día"," días"),IF($AN285=FechaRef,"Vence hoy",IF($AN285-FechaRef&lt;=DiasAlerta,"Vence en "&amp;($AN285-FechaRef)&amp;IF($AN285-FechaRef=1," día"," días"),"En plazo")))))))</f>
        <v/>
      </c>
      <c r="P285" s="62" t="n"/>
      <c r="Q285" s="58" t="n"/>
      <c r="R285" s="63">
        <f>IF(NOT((COUNTA($B285:$D285)+COUNTA($G285:$L285)+COUNTA($Q285))&gt;0),"",IF((IF($C285="","Falta el nombre de la actividad"&amp;" · ","")&amp;IF(AND($V285="Sub",N($U285)=0),"Subactividad sin macroactividad arriba"&amp;" · ","")&amp;IF($AM285="","Sin fecha de inicio"&amp;" · ","")&amp;IF($AN285="","Sin fecha límite"&amp;" · ","")&amp;IF(AND(LEFT($C285,11)="[Jefatura] ",N($AL285)=0),"No se encuentra en la hoja de la jefatura (elíjala de nuevo en la lista)"&amp;" · ","")&amp;IF(OR(AND($E285&lt;&gt;"",NOT(ISNUMBER($E285))),AND($F285&lt;&gt;"",NOT(ISNUMBER($F285))),AND($G285&lt;&gt;"",NOT(ISNUMBER($G285)))),"Fecha no válida"&amp;" · ","")&amp;IF(AND(ISNUMBER($AM285),ISNUMBER($AN285),$AM285&gt;$AN285),"Inicio posterior a fecha límite"&amp;" · ","")&amp;IF(AND($V285="Macro",$H285&lt;&gt;"",OR(NOT(ISNUMBER($H285)),$H285&lt;0,$H285&gt;1)),"Peso fuera de rango"&amp;" · ","")&amp;IF(AND($V285="Sub",$H285&lt;&gt;""),"Las subactividades no llevan peso (valen igual dentro de su macroactividad)"&amp;" · ","")&amp;IF(AND(N($W285)&gt;0,COUNT($I285:$L285)&gt;0),"Con subactividades: deje vacías las semanas (se calculan solas)"&amp;" · ","")&amp;IF((COUNTIF($I285:$L285,"&gt;1")+COUNTIF($I285:$L285,"&lt;0")+COUNTA($I285:$L285)-COUNT($I285:$L285))&gt;0,"Avance fuera de rango 0-100%"&amp;" · ","")&amp;IF(OR(AND($J285&lt;&gt;"",$J285&lt;$I285),AND($K285&lt;&gt;"",$K285&lt;MAX($I285:$J285)),AND($L285&lt;&gt;"",$L285&lt;MAX($I285:$K285))),"Avance semanal decreciente"&amp;" · ","")&amp;IF(AND(ISNUMBER($AN285),$AN285&lt;FechaRef,IF($V285="Sub",N($X285),N($M285))&lt;1),"Vencida"&amp;" · ","")&amp;IF(AND(ObsObligatoria="Sí",ISNUMBER($AN285),$AN285&lt;FechaRef,IF($V285="Sub",N($X285),N($M285))&lt;1,$Q285=""),"Vencida sin observación"&amp;" · ",""))="","✔ OK","⚠ "&amp;LEFT(IF($C285="","Falta el nombre de la actividad"&amp;" · ","")&amp;IF(AND($V285="Sub",N($U285)=0),"Subactividad sin macroactividad arriba"&amp;" · ","")&amp;IF($AM285="","Sin fecha de inicio"&amp;" · ","")&amp;IF($AN285="","Sin fecha límite"&amp;" · ","")&amp;IF(AND(LEFT($C285,11)="[Jefatura] ",N($AL285)=0),"No se encuentra en la hoja de la jefatura (elíjala de nuevo en la lista)"&amp;" · ","")&amp;IF(OR(AND($E285&lt;&gt;"",NOT(ISNUMBER($E285))),AND($F285&lt;&gt;"",NOT(ISNUMBER($F285))),AND($G285&lt;&gt;"",NOT(ISNUMBER($G285)))),"Fecha no válida"&amp;" · ","")&amp;IF(AND(ISNUMBER($AM285),ISNUMBER($AN285),$AM285&gt;$AN285),"Inicio posterior a fecha límite"&amp;" · ","")&amp;IF(AND($V285="Macro",$H285&lt;&gt;"",OR(NOT(ISNUMBER($H285)),$H285&lt;0,$H285&gt;1)),"Peso fuera de rango"&amp;" · ","")&amp;IF(AND($V285="Sub",$H285&lt;&gt;""),"Las subactividades no llevan peso (valen igual dentro de su macroactividad)"&amp;" · ","")&amp;IF(AND(N($W285)&gt;0,COUNT($I285:$L285)&gt;0),"Con subactividades: deje vacías las semanas (se calculan solas)"&amp;" · ","")&amp;IF((COUNTIF($I285:$L285,"&gt;1")+COUNTIF($I285:$L285,"&lt;0")+COUNTA($I285:$L285)-COUNT($I285:$L285))&gt;0,"Avance fuera de rango 0-100%"&amp;" · ","")&amp;IF(OR(AND($J285&lt;&gt;"",$J285&lt;$I285),AND($K285&lt;&gt;"",$K285&lt;MAX($I285:$J285)),AND($L285&lt;&gt;"",$L285&lt;MAX($I285:$K285))),"Avance semanal decreciente"&amp;" · ","")&amp;IF(AND(ISNUMBER($AN285),$AN285&lt;FechaRef,IF($V285="Sub",N($X285),N($M285))&lt;1),"Vencida"&amp;" · ","")&amp;IF(AND(ObsObligatoria="Sí",ISNUMBER($AN285),$AN285&lt;FechaRef,IF($V285="Sub",N($X285),N($M285))&lt;1,$Q285=""),"Vencida sin observación"&amp;" · ",""),LEN(IF($C285="","Falta el nombre de la actividad"&amp;" · ","")&amp;IF(AND($V285="Sub",N($U285)=0),"Subactividad sin macroactividad arriba"&amp;" · ","")&amp;IF($AM285="","Sin fecha de inicio"&amp;" · ","")&amp;IF($AN285="","Sin fecha límite"&amp;" · ","")&amp;IF(AND(LEFT($C285,11)="[Jefatura] ",N($AL285)=0),"No se encuentra en la hoja de la jefatura (elíjala de nuevo en la lista)"&amp;" · ","")&amp;IF(OR(AND($E285&lt;&gt;"",NOT(ISNUMBER($E285))),AND($F285&lt;&gt;"",NOT(ISNUMBER($F285))),AND($G285&lt;&gt;"",NOT(ISNUMBER($G285)))),"Fecha no válida"&amp;" · ","")&amp;IF(AND(ISNUMBER($AM285),ISNUMBER($AN285),$AM285&gt;$AN285),"Inicio posterior a fecha límite"&amp;" · ","")&amp;IF(AND($V285="Macro",$H285&lt;&gt;"",OR(NOT(ISNUMBER($H285)),$H285&lt;0,$H285&gt;1)),"Peso fuera de rango"&amp;" · ","")&amp;IF(AND($V285="Sub",$H285&lt;&gt;""),"Las subactividades no llevan peso (valen igual dentro de su macroactividad)"&amp;" · ","")&amp;IF(AND(N($W285)&gt;0,COUNT($I285:$L285)&gt;0),"Con subactividades: deje vacías las semanas (se calculan solas)"&amp;" · ","")&amp;IF((COUNTIF($I285:$L285,"&gt;1")+COUNTIF($I285:$L285,"&lt;0")+COUNTA($I285:$L285)-COUNT($I285:$L285))&gt;0,"Avance fuera de rango 0-100%"&amp;" · ","")&amp;IF(OR(AND($J285&lt;&gt;"",$J285&lt;$I285),AND($K285&lt;&gt;"",$K285&lt;MAX($I285:$J285)),AND($L285&lt;&gt;"",$L285&lt;MAX($I285:$K285))),"Avance semanal decreciente"&amp;" · ","")&amp;IF(AND(ISNUMBER($AN285),$AN285&lt;FechaRef,IF($V285="Sub",N($X285),N($M285))&lt;1),"Vencida"&amp;" · ","")&amp;IF(AND(ObsObligatoria="Sí",ISNUMBER($AN285),$AN285&lt;FechaRef,IF($V285="Sub",N($X285),N($M285))&lt;1,$Q285=""),"Vencida sin observación"&amp;" · ",""))-3)))</f>
        <v/>
      </c>
      <c r="S285" s="64">
        <f>IF(NOT((COUNTA($B285:$D285)+COUNTA($G285:$L285)+COUNTA($Q285))&gt;0),"",IF(AND($V285="Sub",N($U285)&gt;0),IF(ISNUMBER(INDEX($AM$5:$AM$1000,$U285-4)),DATE(YEAR(INDEX($AM$5:$AM$1000,$U285-4)),MONTH(INDEX($AM$5:$AM$1000,$U285-4)),1),IF(ISNUMBER(INDEX($AN$5:$AN$1000,$U285-4)),DATE(YEAR(INDEX($AN$5:$AN$1000,$U285-4)),MONTH(INDEX($AN$5:$AN$1000,$U285-4)),1),MesCiclo)),IF(ISNUMBER($AM285),DATE(YEAR($AM285),MONTH($AM285),1),IF(ISNUMBER($AN285),DATE(YEAR($AN285),MONTH($AN285),1),MesCiclo))))</f>
        <v/>
      </c>
      <c r="T285" s="62">
        <f>IF(OR($S285="",$S285&lt;&gt;MesCiclo,$V285&lt;&gt;"Macro"),"",COUNTIFS($S$5:$S285,MesCiclo,$V$5:$V285,"Macro"))</f>
        <v/>
      </c>
      <c r="U285" s="62">
        <f>IF($V285="","",IF($V285="Macro",ROW(),IFERROR(LOOKUP(2,1/($V$5:$V285="Macro"),ROW($V$5:$V285)),0)))</f>
        <v/>
      </c>
      <c r="V285" s="62">
        <f>IF(NOT((COUNTA($B285:$D285)+COUNTA($G285:$L285)+COUNTA($Q285))&gt;0),"",IF($B285="Subactividad","Sub","Macro"))</f>
        <v/>
      </c>
      <c r="W285" s="62">
        <f>IF($V285="Macro",COUNTIFS($U$5:$U$1000,ROW(),$V$5:$V$1000,"Sub"),"")</f>
        <v/>
      </c>
      <c r="X285" s="62">
        <f>IF($V285="","",IF(ISNUMBER($G285),1,IFERROR(LOOKUP(2,1/($I285:$L285&lt;&gt;""),$I285:$L285),0)))</f>
        <v/>
      </c>
      <c r="Y285" s="62">
        <f>IF($V285="","",IF(AND(ISNUMBER($G285),$G285&lt;=IF($S285=MesCiclo,InicioCiclo,$S285+MOD(2-WEEKDAY($S285),7))+6),1,IF(ISNUMBER($I285),$I285,0)))</f>
        <v/>
      </c>
      <c r="Z285" s="62">
        <f>IF($V285="","",IF(AND(ISNUMBER($G285),$G285&lt;=IF($S285=MesCiclo,InicioCiclo,$S285+MOD(2-WEEKDAY($S285),7))+13),1,IF(ISNUMBER($J285),$J285,$Y285)))</f>
        <v/>
      </c>
      <c r="AA285" s="62">
        <f>IF($V285="","",IF(AND(ISNUMBER($G285),$G285&lt;=IF($S285=MesCiclo,InicioCiclo,$S285+MOD(2-WEEKDAY($S285),7))+20),1,IF(ISNUMBER($K285),$K285,$Z285)))</f>
        <v/>
      </c>
      <c r="AB285" s="62">
        <f>IF($V285="","",IF(AND(ISNUMBER($G285),$G285&lt;=IF($S285=MesCiclo,InicioCiclo,$S285+MOD(2-WEEKDAY($S285),7))+27),1,IF(ISNUMBER($L285),$L285,$AA285)))</f>
        <v/>
      </c>
      <c r="AC285" s="62">
        <f>IF($V285="","",IF(AND(ISNUMBER($G285),$G285&lt;=IF($S285=MesCiclo,InicioCiclo,$S285+MOD(2-WEEKDAY($S285),7))+6),1,IF(N($W285)&gt;0,AVERAGEIFS($Y$5:$Y$1000,$U$5:$U$1000,ROW(),$V$5:$V$1000,"Sub"),$Y285)))</f>
        <v/>
      </c>
      <c r="AD285" s="62">
        <f>IF($V285="","",IF(AND(ISNUMBER($G285),$G285&lt;=IF($S285=MesCiclo,InicioCiclo,$S285+MOD(2-WEEKDAY($S285),7))+13),1,IF(N($W285)&gt;0,AVERAGEIFS($Z$5:$Z$1000,$U$5:$U$1000,ROW(),$V$5:$V$1000,"Sub"),$Z285)))</f>
        <v/>
      </c>
      <c r="AE285" s="62">
        <f>IF($V285="","",IF(AND(ISNUMBER($G285),$G285&lt;=IF($S285=MesCiclo,InicioCiclo,$S285+MOD(2-WEEKDAY($S285),7))+20),1,IF(N($W285)&gt;0,AVERAGEIFS($AA$5:$AA$1000,$U$5:$U$1000,ROW(),$V$5:$V$1000,"Sub"),$AA285)))</f>
        <v/>
      </c>
      <c r="AF285" s="62">
        <f>IF($V285="","",IF(AND(ISNUMBER($G285),$G285&lt;=IF($S285=MesCiclo,InicioCiclo,$S285+MOD(2-WEEKDAY($S285),7))+27),1,IF(N($W285)&gt;0,AVERAGEIFS($AB$5:$AB$1000,$U$5:$U$1000,ROW(),$V$5:$V$1000,"Sub"),$AB285)))</f>
        <v/>
      </c>
      <c r="AG285" s="62">
        <f>IF($V285&lt;&gt;"Macro","",IF(COUNTIFS($S$5:$S$1000,$S285,$V$5:$V$1000,"Macro",$H$5:$H$1000,"&gt;0")=0,1/COUNTIFS($S$5:$S$1000,$S285,$V$5:$V$1000,"Macro"),IF(AND(ISNUMBER($H285),N($H285)&gt;0),$H285,SUMIFS($H$5:$H$1000,$S$5:$S$1000,$S285,$V$5:$V$1000,"Macro")/COUNTIFS($S$5:$S$1000,$S285,$V$5:$V$1000,"Macro",$H$5:$H$1000,"&gt;0"))/(COUNTIFS($S$5:$S$1000,$S285,$V$5:$V$1000,"Macro")*SUMIFS($H$5:$H$1000,$S$5:$S$1000,$S285,$V$5:$V$1000,"Macro")/COUNTIFS($S$5:$S$1000,$S285,$V$5:$V$1000,"Macro",$H$5:$H$1000,"&gt;0"))))</f>
        <v/>
      </c>
      <c r="AH285" s="62" t="n"/>
      <c r="AI285" s="62" t="n"/>
      <c r="AJ285" s="62" t="n"/>
      <c r="AK285" s="62" t="n"/>
      <c r="AL285" s="62">
        <f>IF(LEFT($C285,11)="[Jefatura] ",IFERROR(MATCH("Riesgo Operacional|"&amp;MID($C285,12,500),rDname_ADM,0),0),"")</f>
        <v/>
      </c>
      <c r="AM285" s="62">
        <f>IF(N($AL285)&gt;0,INDEX(rIni_ADM,$AL285),IF(ISNUMBER($E285),$E285,""))</f>
        <v/>
      </c>
      <c r="AN285" s="62">
        <f>IF(N($AL285)&gt;0,INDEX(rLim_ADM,$AL285),IF(ISNUMBER($F285),$F285,""))</f>
        <v/>
      </c>
    </row>
    <row r="286">
      <c r="A286" s="56">
        <f>IF(NOT((COUNTA($B286:$D286)+COUNTA($G286:$L286)+COUNTA($Q286))&gt;0),"",IF($V286="Macro",COUNTIFS($V$5:$V286,"Macro",$S$5:$S286,$S286),IF(N($U286)=0,"?",COUNTIFS(INDEX($V$5:$V$1000,1):INDEX($V$5:$V$1000,$U286-4),"Macro",INDEX($S$5:$S$1000,1):INDEX($S$5:$S$1000,$U286-4),INDEX($S$5:$S$1000,$U286-4))&amp;"."&amp;COUNTIFS($U$5:$U286,$U286,$V$5:$V286,"Sub"))))</f>
        <v/>
      </c>
      <c r="B286" s="57" t="n"/>
      <c r="C286" s="58" t="n"/>
      <c r="D286" s="58" t="n"/>
      <c r="E286" s="59">
        <f>IF(N($AL286)&gt;0,INDEX(rIni_ADM,$AL286),"")</f>
        <v/>
      </c>
      <c r="F286" s="59">
        <f>IF(N($AL286)&gt;0,INDEX(rLim_ADM,$AL286),"")</f>
        <v/>
      </c>
      <c r="G286" s="59" t="n"/>
      <c r="H286" s="60" t="n"/>
      <c r="I286" s="60" t="n"/>
      <c r="J286" s="60" t="n"/>
      <c r="K286" s="60" t="n"/>
      <c r="L286" s="60" t="n"/>
      <c r="M286" s="61">
        <f>IF(NOT((COUNTA($B286:$D286)+COUNTA($G286:$L286)+COUNTA($Q286))&gt;0),"",IF($V286="Sub",IFERROR($X286/INDEX($W$5:$W$1000,$U286-4),""),IF(ISNUMBER($G286),1,IF(N($W286)&gt;0,AVERAGEIFS($X$5:$X$1000,$U$5:$U$1000,ROW(),$V$5:$V$1000,"Sub"),$X286))))</f>
        <v/>
      </c>
      <c r="N286" s="56">
        <f>IF(OR($M286="",$V286="Sub"),"",IF($M286&gt;=1,"Completado",IF($M286&gt;0,"En curso","Pendiente")))</f>
        <v/>
      </c>
      <c r="O286" s="56">
        <f>IF(OR(NOT((COUNTA($B286:$D286)+COUNTA($G286:$L286)+COUNTA($Q286))&gt;0),$V286="Sub"),"",IF(ISNUMBER($G286),IF(AND(ISNUMBER($AN286),$G286&gt;$AN286),"Cumplida con "&amp;($G286-$AN286)&amp;IF($G286-$AN286=1," día"," días")&amp;" de retraso","Cumplida"),IF(N($M286)&gt;=1,"Cumplida",IF(NOT(ISNUMBER($AN286)),"Sin fecha límite",IF($AN286&lt;FechaRef,"Vencida hace "&amp;(FechaRef-$AN286)&amp;IF(FechaRef-$AN286=1," día"," días"),IF($AN286=FechaRef,"Vence hoy",IF($AN286-FechaRef&lt;=DiasAlerta,"Vence en "&amp;($AN286-FechaRef)&amp;IF($AN286-FechaRef=1," día"," días"),"En plazo")))))))</f>
        <v/>
      </c>
      <c r="P286" s="62" t="n"/>
      <c r="Q286" s="58" t="n"/>
      <c r="R286" s="63">
        <f>IF(NOT((COUNTA($B286:$D286)+COUNTA($G286:$L286)+COUNTA($Q286))&gt;0),"",IF((IF($C286="","Falta el nombre de la actividad"&amp;" · ","")&amp;IF(AND($V286="Sub",N($U286)=0),"Subactividad sin macroactividad arriba"&amp;" · ","")&amp;IF($AM286="","Sin fecha de inicio"&amp;" · ","")&amp;IF($AN286="","Sin fecha límite"&amp;" · ","")&amp;IF(AND(LEFT($C286,11)="[Jefatura] ",N($AL286)=0),"No se encuentra en la hoja de la jefatura (elíjala de nuevo en la lista)"&amp;" · ","")&amp;IF(OR(AND($E286&lt;&gt;"",NOT(ISNUMBER($E286))),AND($F286&lt;&gt;"",NOT(ISNUMBER($F286))),AND($G286&lt;&gt;"",NOT(ISNUMBER($G286)))),"Fecha no válida"&amp;" · ","")&amp;IF(AND(ISNUMBER($AM286),ISNUMBER($AN286),$AM286&gt;$AN286),"Inicio posterior a fecha límite"&amp;" · ","")&amp;IF(AND($V286="Macro",$H286&lt;&gt;"",OR(NOT(ISNUMBER($H286)),$H286&lt;0,$H286&gt;1)),"Peso fuera de rango"&amp;" · ","")&amp;IF(AND($V286="Sub",$H286&lt;&gt;""),"Las subactividades no llevan peso (valen igual dentro de su macroactividad)"&amp;" · ","")&amp;IF(AND(N($W286)&gt;0,COUNT($I286:$L286)&gt;0),"Con subactividades: deje vacías las semanas (se calculan solas)"&amp;" · ","")&amp;IF((COUNTIF($I286:$L286,"&gt;1")+COUNTIF($I286:$L286,"&lt;0")+COUNTA($I286:$L286)-COUNT($I286:$L286))&gt;0,"Avance fuera de rango 0-100%"&amp;" · ","")&amp;IF(OR(AND($J286&lt;&gt;"",$J286&lt;$I286),AND($K286&lt;&gt;"",$K286&lt;MAX($I286:$J286)),AND($L286&lt;&gt;"",$L286&lt;MAX($I286:$K286))),"Avance semanal decreciente"&amp;" · ","")&amp;IF(AND(ISNUMBER($AN286),$AN286&lt;FechaRef,IF($V286="Sub",N($X286),N($M286))&lt;1),"Vencida"&amp;" · ","")&amp;IF(AND(ObsObligatoria="Sí",ISNUMBER($AN286),$AN286&lt;FechaRef,IF($V286="Sub",N($X286),N($M286))&lt;1,$Q286=""),"Vencida sin observación"&amp;" · ",""))="","✔ OK","⚠ "&amp;LEFT(IF($C286="","Falta el nombre de la actividad"&amp;" · ","")&amp;IF(AND($V286="Sub",N($U286)=0),"Subactividad sin macroactividad arriba"&amp;" · ","")&amp;IF($AM286="","Sin fecha de inicio"&amp;" · ","")&amp;IF($AN286="","Sin fecha límite"&amp;" · ","")&amp;IF(AND(LEFT($C286,11)="[Jefatura] ",N($AL286)=0),"No se encuentra en la hoja de la jefatura (elíjala de nuevo en la lista)"&amp;" · ","")&amp;IF(OR(AND($E286&lt;&gt;"",NOT(ISNUMBER($E286))),AND($F286&lt;&gt;"",NOT(ISNUMBER($F286))),AND($G286&lt;&gt;"",NOT(ISNUMBER($G286)))),"Fecha no válida"&amp;" · ","")&amp;IF(AND(ISNUMBER($AM286),ISNUMBER($AN286),$AM286&gt;$AN286),"Inicio posterior a fecha límite"&amp;" · ","")&amp;IF(AND($V286="Macro",$H286&lt;&gt;"",OR(NOT(ISNUMBER($H286)),$H286&lt;0,$H286&gt;1)),"Peso fuera de rango"&amp;" · ","")&amp;IF(AND($V286="Sub",$H286&lt;&gt;""),"Las subactividades no llevan peso (valen igual dentro de su macroactividad)"&amp;" · ","")&amp;IF(AND(N($W286)&gt;0,COUNT($I286:$L286)&gt;0),"Con subactividades: deje vacías las semanas (se calculan solas)"&amp;" · ","")&amp;IF((COUNTIF($I286:$L286,"&gt;1")+COUNTIF($I286:$L286,"&lt;0")+COUNTA($I286:$L286)-COUNT($I286:$L286))&gt;0,"Avance fuera de rango 0-100%"&amp;" · ","")&amp;IF(OR(AND($J286&lt;&gt;"",$J286&lt;$I286),AND($K286&lt;&gt;"",$K286&lt;MAX($I286:$J286)),AND($L286&lt;&gt;"",$L286&lt;MAX($I286:$K286))),"Avance semanal decreciente"&amp;" · ","")&amp;IF(AND(ISNUMBER($AN286),$AN286&lt;FechaRef,IF($V286="Sub",N($X286),N($M286))&lt;1),"Vencida"&amp;" · ","")&amp;IF(AND(ObsObligatoria="Sí",ISNUMBER($AN286),$AN286&lt;FechaRef,IF($V286="Sub",N($X286),N($M286))&lt;1,$Q286=""),"Vencida sin observación"&amp;" · ",""),LEN(IF($C286="","Falta el nombre de la actividad"&amp;" · ","")&amp;IF(AND($V286="Sub",N($U286)=0),"Subactividad sin macroactividad arriba"&amp;" · ","")&amp;IF($AM286="","Sin fecha de inicio"&amp;" · ","")&amp;IF($AN286="","Sin fecha límite"&amp;" · ","")&amp;IF(AND(LEFT($C286,11)="[Jefatura] ",N($AL286)=0),"No se encuentra en la hoja de la jefatura (elíjala de nuevo en la lista)"&amp;" · ","")&amp;IF(OR(AND($E286&lt;&gt;"",NOT(ISNUMBER($E286))),AND($F286&lt;&gt;"",NOT(ISNUMBER($F286))),AND($G286&lt;&gt;"",NOT(ISNUMBER($G286)))),"Fecha no válida"&amp;" · ","")&amp;IF(AND(ISNUMBER($AM286),ISNUMBER($AN286),$AM286&gt;$AN286),"Inicio posterior a fecha límite"&amp;" · ","")&amp;IF(AND($V286="Macro",$H286&lt;&gt;"",OR(NOT(ISNUMBER($H286)),$H286&lt;0,$H286&gt;1)),"Peso fuera de rango"&amp;" · ","")&amp;IF(AND($V286="Sub",$H286&lt;&gt;""),"Las subactividades no llevan peso (valen igual dentro de su macroactividad)"&amp;" · ","")&amp;IF(AND(N($W286)&gt;0,COUNT($I286:$L286)&gt;0),"Con subactividades: deje vacías las semanas (se calculan solas)"&amp;" · ","")&amp;IF((COUNTIF($I286:$L286,"&gt;1")+COUNTIF($I286:$L286,"&lt;0")+COUNTA($I286:$L286)-COUNT($I286:$L286))&gt;0,"Avance fuera de rango 0-100%"&amp;" · ","")&amp;IF(OR(AND($J286&lt;&gt;"",$J286&lt;$I286),AND($K286&lt;&gt;"",$K286&lt;MAX($I286:$J286)),AND($L286&lt;&gt;"",$L286&lt;MAX($I286:$K286))),"Avance semanal decreciente"&amp;" · ","")&amp;IF(AND(ISNUMBER($AN286),$AN286&lt;FechaRef,IF($V286="Sub",N($X286),N($M286))&lt;1),"Vencida"&amp;" · ","")&amp;IF(AND(ObsObligatoria="Sí",ISNUMBER($AN286),$AN286&lt;FechaRef,IF($V286="Sub",N($X286),N($M286))&lt;1,$Q286=""),"Vencida sin observación"&amp;" · ",""))-3)))</f>
        <v/>
      </c>
      <c r="S286" s="64">
        <f>IF(NOT((COUNTA($B286:$D286)+COUNTA($G286:$L286)+COUNTA($Q286))&gt;0),"",IF(AND($V286="Sub",N($U286)&gt;0),IF(ISNUMBER(INDEX($AM$5:$AM$1000,$U286-4)),DATE(YEAR(INDEX($AM$5:$AM$1000,$U286-4)),MONTH(INDEX($AM$5:$AM$1000,$U286-4)),1),IF(ISNUMBER(INDEX($AN$5:$AN$1000,$U286-4)),DATE(YEAR(INDEX($AN$5:$AN$1000,$U286-4)),MONTH(INDEX($AN$5:$AN$1000,$U286-4)),1),MesCiclo)),IF(ISNUMBER($AM286),DATE(YEAR($AM286),MONTH($AM286),1),IF(ISNUMBER($AN286),DATE(YEAR($AN286),MONTH($AN286),1),MesCiclo))))</f>
        <v/>
      </c>
      <c r="T286" s="62">
        <f>IF(OR($S286="",$S286&lt;&gt;MesCiclo,$V286&lt;&gt;"Macro"),"",COUNTIFS($S$5:$S286,MesCiclo,$V$5:$V286,"Macro"))</f>
        <v/>
      </c>
      <c r="U286" s="62">
        <f>IF($V286="","",IF($V286="Macro",ROW(),IFERROR(LOOKUP(2,1/($V$5:$V286="Macro"),ROW($V$5:$V286)),0)))</f>
        <v/>
      </c>
      <c r="V286" s="62">
        <f>IF(NOT((COUNTA($B286:$D286)+COUNTA($G286:$L286)+COUNTA($Q286))&gt;0),"",IF($B286="Subactividad","Sub","Macro"))</f>
        <v/>
      </c>
      <c r="W286" s="62">
        <f>IF($V286="Macro",COUNTIFS($U$5:$U$1000,ROW(),$V$5:$V$1000,"Sub"),"")</f>
        <v/>
      </c>
      <c r="X286" s="62">
        <f>IF($V286="","",IF(ISNUMBER($G286),1,IFERROR(LOOKUP(2,1/($I286:$L286&lt;&gt;""),$I286:$L286),0)))</f>
        <v/>
      </c>
      <c r="Y286" s="62">
        <f>IF($V286="","",IF(AND(ISNUMBER($G286),$G286&lt;=IF($S286=MesCiclo,InicioCiclo,$S286+MOD(2-WEEKDAY($S286),7))+6),1,IF(ISNUMBER($I286),$I286,0)))</f>
        <v/>
      </c>
      <c r="Z286" s="62">
        <f>IF($V286="","",IF(AND(ISNUMBER($G286),$G286&lt;=IF($S286=MesCiclo,InicioCiclo,$S286+MOD(2-WEEKDAY($S286),7))+13),1,IF(ISNUMBER($J286),$J286,$Y286)))</f>
        <v/>
      </c>
      <c r="AA286" s="62">
        <f>IF($V286="","",IF(AND(ISNUMBER($G286),$G286&lt;=IF($S286=MesCiclo,InicioCiclo,$S286+MOD(2-WEEKDAY($S286),7))+20),1,IF(ISNUMBER($K286),$K286,$Z286)))</f>
        <v/>
      </c>
      <c r="AB286" s="62">
        <f>IF($V286="","",IF(AND(ISNUMBER($G286),$G286&lt;=IF($S286=MesCiclo,InicioCiclo,$S286+MOD(2-WEEKDAY($S286),7))+27),1,IF(ISNUMBER($L286),$L286,$AA286)))</f>
        <v/>
      </c>
      <c r="AC286" s="62">
        <f>IF($V286="","",IF(AND(ISNUMBER($G286),$G286&lt;=IF($S286=MesCiclo,InicioCiclo,$S286+MOD(2-WEEKDAY($S286),7))+6),1,IF(N($W286)&gt;0,AVERAGEIFS($Y$5:$Y$1000,$U$5:$U$1000,ROW(),$V$5:$V$1000,"Sub"),$Y286)))</f>
        <v/>
      </c>
      <c r="AD286" s="62">
        <f>IF($V286="","",IF(AND(ISNUMBER($G286),$G286&lt;=IF($S286=MesCiclo,InicioCiclo,$S286+MOD(2-WEEKDAY($S286),7))+13),1,IF(N($W286)&gt;0,AVERAGEIFS($Z$5:$Z$1000,$U$5:$U$1000,ROW(),$V$5:$V$1000,"Sub"),$Z286)))</f>
        <v/>
      </c>
      <c r="AE286" s="62">
        <f>IF($V286="","",IF(AND(ISNUMBER($G286),$G286&lt;=IF($S286=MesCiclo,InicioCiclo,$S286+MOD(2-WEEKDAY($S286),7))+20),1,IF(N($W286)&gt;0,AVERAGEIFS($AA$5:$AA$1000,$U$5:$U$1000,ROW(),$V$5:$V$1000,"Sub"),$AA286)))</f>
        <v/>
      </c>
      <c r="AF286" s="62">
        <f>IF($V286="","",IF(AND(ISNUMBER($G286),$G286&lt;=IF($S286=MesCiclo,InicioCiclo,$S286+MOD(2-WEEKDAY($S286),7))+27),1,IF(N($W286)&gt;0,AVERAGEIFS($AB$5:$AB$1000,$U$5:$U$1000,ROW(),$V$5:$V$1000,"Sub"),$AB286)))</f>
        <v/>
      </c>
      <c r="AG286" s="62">
        <f>IF($V286&lt;&gt;"Macro","",IF(COUNTIFS($S$5:$S$1000,$S286,$V$5:$V$1000,"Macro",$H$5:$H$1000,"&gt;0")=0,1/COUNTIFS($S$5:$S$1000,$S286,$V$5:$V$1000,"Macro"),IF(AND(ISNUMBER($H286),N($H286)&gt;0),$H286,SUMIFS($H$5:$H$1000,$S$5:$S$1000,$S286,$V$5:$V$1000,"Macro")/COUNTIFS($S$5:$S$1000,$S286,$V$5:$V$1000,"Macro",$H$5:$H$1000,"&gt;0"))/(COUNTIFS($S$5:$S$1000,$S286,$V$5:$V$1000,"Macro")*SUMIFS($H$5:$H$1000,$S$5:$S$1000,$S286,$V$5:$V$1000,"Macro")/COUNTIFS($S$5:$S$1000,$S286,$V$5:$V$1000,"Macro",$H$5:$H$1000,"&gt;0"))))</f>
        <v/>
      </c>
      <c r="AH286" s="62" t="n"/>
      <c r="AI286" s="62" t="n"/>
      <c r="AJ286" s="62" t="n"/>
      <c r="AK286" s="62" t="n"/>
      <c r="AL286" s="62">
        <f>IF(LEFT($C286,11)="[Jefatura] ",IFERROR(MATCH("Riesgo Operacional|"&amp;MID($C286,12,500),rDname_ADM,0),0),"")</f>
        <v/>
      </c>
      <c r="AM286" s="62">
        <f>IF(N($AL286)&gt;0,INDEX(rIni_ADM,$AL286),IF(ISNUMBER($E286),$E286,""))</f>
        <v/>
      </c>
      <c r="AN286" s="62">
        <f>IF(N($AL286)&gt;0,INDEX(rLim_ADM,$AL286),IF(ISNUMBER($F286),$F286,""))</f>
        <v/>
      </c>
    </row>
    <row r="287">
      <c r="A287" s="56">
        <f>IF(NOT((COUNTA($B287:$D287)+COUNTA($G287:$L287)+COUNTA($Q287))&gt;0),"",IF($V287="Macro",COUNTIFS($V$5:$V287,"Macro",$S$5:$S287,$S287),IF(N($U287)=0,"?",COUNTIFS(INDEX($V$5:$V$1000,1):INDEX($V$5:$V$1000,$U287-4),"Macro",INDEX($S$5:$S$1000,1):INDEX($S$5:$S$1000,$U287-4),INDEX($S$5:$S$1000,$U287-4))&amp;"."&amp;COUNTIFS($U$5:$U287,$U287,$V$5:$V287,"Sub"))))</f>
        <v/>
      </c>
      <c r="B287" s="57" t="n"/>
      <c r="C287" s="58" t="n"/>
      <c r="D287" s="58" t="n"/>
      <c r="E287" s="59">
        <f>IF(N($AL287)&gt;0,INDEX(rIni_ADM,$AL287),"")</f>
        <v/>
      </c>
      <c r="F287" s="59">
        <f>IF(N($AL287)&gt;0,INDEX(rLim_ADM,$AL287),"")</f>
        <v/>
      </c>
      <c r="G287" s="59" t="n"/>
      <c r="H287" s="60" t="n"/>
      <c r="I287" s="60" t="n"/>
      <c r="J287" s="60" t="n"/>
      <c r="K287" s="60" t="n"/>
      <c r="L287" s="60" t="n"/>
      <c r="M287" s="61">
        <f>IF(NOT((COUNTA($B287:$D287)+COUNTA($G287:$L287)+COUNTA($Q287))&gt;0),"",IF($V287="Sub",IFERROR($X287/INDEX($W$5:$W$1000,$U287-4),""),IF(ISNUMBER($G287),1,IF(N($W287)&gt;0,AVERAGEIFS($X$5:$X$1000,$U$5:$U$1000,ROW(),$V$5:$V$1000,"Sub"),$X287))))</f>
        <v/>
      </c>
      <c r="N287" s="56">
        <f>IF(OR($M287="",$V287="Sub"),"",IF($M287&gt;=1,"Completado",IF($M287&gt;0,"En curso","Pendiente")))</f>
        <v/>
      </c>
      <c r="O287" s="56">
        <f>IF(OR(NOT((COUNTA($B287:$D287)+COUNTA($G287:$L287)+COUNTA($Q287))&gt;0),$V287="Sub"),"",IF(ISNUMBER($G287),IF(AND(ISNUMBER($AN287),$G287&gt;$AN287),"Cumplida con "&amp;($G287-$AN287)&amp;IF($G287-$AN287=1," día"," días")&amp;" de retraso","Cumplida"),IF(N($M287)&gt;=1,"Cumplida",IF(NOT(ISNUMBER($AN287)),"Sin fecha límite",IF($AN287&lt;FechaRef,"Vencida hace "&amp;(FechaRef-$AN287)&amp;IF(FechaRef-$AN287=1," día"," días"),IF($AN287=FechaRef,"Vence hoy",IF($AN287-FechaRef&lt;=DiasAlerta,"Vence en "&amp;($AN287-FechaRef)&amp;IF($AN287-FechaRef=1," día"," días"),"En plazo")))))))</f>
        <v/>
      </c>
      <c r="P287" s="62" t="n"/>
      <c r="Q287" s="58" t="n"/>
      <c r="R287" s="63">
        <f>IF(NOT((COUNTA($B287:$D287)+COUNTA($G287:$L287)+COUNTA($Q287))&gt;0),"",IF((IF($C287="","Falta el nombre de la actividad"&amp;" · ","")&amp;IF(AND($V287="Sub",N($U287)=0),"Subactividad sin macroactividad arriba"&amp;" · ","")&amp;IF($AM287="","Sin fecha de inicio"&amp;" · ","")&amp;IF($AN287="","Sin fecha límite"&amp;" · ","")&amp;IF(AND(LEFT($C287,11)="[Jefatura] ",N($AL287)=0),"No se encuentra en la hoja de la jefatura (elíjala de nuevo en la lista)"&amp;" · ","")&amp;IF(OR(AND($E287&lt;&gt;"",NOT(ISNUMBER($E287))),AND($F287&lt;&gt;"",NOT(ISNUMBER($F287))),AND($G287&lt;&gt;"",NOT(ISNUMBER($G287)))),"Fecha no válida"&amp;" · ","")&amp;IF(AND(ISNUMBER($AM287),ISNUMBER($AN287),$AM287&gt;$AN287),"Inicio posterior a fecha límite"&amp;" · ","")&amp;IF(AND($V287="Macro",$H287&lt;&gt;"",OR(NOT(ISNUMBER($H287)),$H287&lt;0,$H287&gt;1)),"Peso fuera de rango"&amp;" · ","")&amp;IF(AND($V287="Sub",$H287&lt;&gt;""),"Las subactividades no llevan peso (valen igual dentro de su macroactividad)"&amp;" · ","")&amp;IF(AND(N($W287)&gt;0,COUNT($I287:$L287)&gt;0),"Con subactividades: deje vacías las semanas (se calculan solas)"&amp;" · ","")&amp;IF((COUNTIF($I287:$L287,"&gt;1")+COUNTIF($I287:$L287,"&lt;0")+COUNTA($I287:$L287)-COUNT($I287:$L287))&gt;0,"Avance fuera de rango 0-100%"&amp;" · ","")&amp;IF(OR(AND($J287&lt;&gt;"",$J287&lt;$I287),AND($K287&lt;&gt;"",$K287&lt;MAX($I287:$J287)),AND($L287&lt;&gt;"",$L287&lt;MAX($I287:$K287))),"Avance semanal decreciente"&amp;" · ","")&amp;IF(AND(ISNUMBER($AN287),$AN287&lt;FechaRef,IF($V287="Sub",N($X287),N($M287))&lt;1),"Vencida"&amp;" · ","")&amp;IF(AND(ObsObligatoria="Sí",ISNUMBER($AN287),$AN287&lt;FechaRef,IF($V287="Sub",N($X287),N($M287))&lt;1,$Q287=""),"Vencida sin observación"&amp;" · ",""))="","✔ OK","⚠ "&amp;LEFT(IF($C287="","Falta el nombre de la actividad"&amp;" · ","")&amp;IF(AND($V287="Sub",N($U287)=0),"Subactividad sin macroactividad arriba"&amp;" · ","")&amp;IF($AM287="","Sin fecha de inicio"&amp;" · ","")&amp;IF($AN287="","Sin fecha límite"&amp;" · ","")&amp;IF(AND(LEFT($C287,11)="[Jefatura] ",N($AL287)=0),"No se encuentra en la hoja de la jefatura (elíjala de nuevo en la lista)"&amp;" · ","")&amp;IF(OR(AND($E287&lt;&gt;"",NOT(ISNUMBER($E287))),AND($F287&lt;&gt;"",NOT(ISNUMBER($F287))),AND($G287&lt;&gt;"",NOT(ISNUMBER($G287)))),"Fecha no válida"&amp;" · ","")&amp;IF(AND(ISNUMBER($AM287),ISNUMBER($AN287),$AM287&gt;$AN287),"Inicio posterior a fecha límite"&amp;" · ","")&amp;IF(AND($V287="Macro",$H287&lt;&gt;"",OR(NOT(ISNUMBER($H287)),$H287&lt;0,$H287&gt;1)),"Peso fuera de rango"&amp;" · ","")&amp;IF(AND($V287="Sub",$H287&lt;&gt;""),"Las subactividades no llevan peso (valen igual dentro de su macroactividad)"&amp;" · ","")&amp;IF(AND(N($W287)&gt;0,COUNT($I287:$L287)&gt;0),"Con subactividades: deje vacías las semanas (se calculan solas)"&amp;" · ","")&amp;IF((COUNTIF($I287:$L287,"&gt;1")+COUNTIF($I287:$L287,"&lt;0")+COUNTA($I287:$L287)-COUNT($I287:$L287))&gt;0,"Avance fuera de rango 0-100%"&amp;" · ","")&amp;IF(OR(AND($J287&lt;&gt;"",$J287&lt;$I287),AND($K287&lt;&gt;"",$K287&lt;MAX($I287:$J287)),AND($L287&lt;&gt;"",$L287&lt;MAX($I287:$K287))),"Avance semanal decreciente"&amp;" · ","")&amp;IF(AND(ISNUMBER($AN287),$AN287&lt;FechaRef,IF($V287="Sub",N($X287),N($M287))&lt;1),"Vencida"&amp;" · ","")&amp;IF(AND(ObsObligatoria="Sí",ISNUMBER($AN287),$AN287&lt;FechaRef,IF($V287="Sub",N($X287),N($M287))&lt;1,$Q287=""),"Vencida sin observación"&amp;" · ",""),LEN(IF($C287="","Falta el nombre de la actividad"&amp;" · ","")&amp;IF(AND($V287="Sub",N($U287)=0),"Subactividad sin macroactividad arriba"&amp;" · ","")&amp;IF($AM287="","Sin fecha de inicio"&amp;" · ","")&amp;IF($AN287="","Sin fecha límite"&amp;" · ","")&amp;IF(AND(LEFT($C287,11)="[Jefatura] ",N($AL287)=0),"No se encuentra en la hoja de la jefatura (elíjala de nuevo en la lista)"&amp;" · ","")&amp;IF(OR(AND($E287&lt;&gt;"",NOT(ISNUMBER($E287))),AND($F287&lt;&gt;"",NOT(ISNUMBER($F287))),AND($G287&lt;&gt;"",NOT(ISNUMBER($G287)))),"Fecha no válida"&amp;" · ","")&amp;IF(AND(ISNUMBER($AM287),ISNUMBER($AN287),$AM287&gt;$AN287),"Inicio posterior a fecha límite"&amp;" · ","")&amp;IF(AND($V287="Macro",$H287&lt;&gt;"",OR(NOT(ISNUMBER($H287)),$H287&lt;0,$H287&gt;1)),"Peso fuera de rango"&amp;" · ","")&amp;IF(AND($V287="Sub",$H287&lt;&gt;""),"Las subactividades no llevan peso (valen igual dentro de su macroactividad)"&amp;" · ","")&amp;IF(AND(N($W287)&gt;0,COUNT($I287:$L287)&gt;0),"Con subactividades: deje vacías las semanas (se calculan solas)"&amp;" · ","")&amp;IF((COUNTIF($I287:$L287,"&gt;1")+COUNTIF($I287:$L287,"&lt;0")+COUNTA($I287:$L287)-COUNT($I287:$L287))&gt;0,"Avance fuera de rango 0-100%"&amp;" · ","")&amp;IF(OR(AND($J287&lt;&gt;"",$J287&lt;$I287),AND($K287&lt;&gt;"",$K287&lt;MAX($I287:$J287)),AND($L287&lt;&gt;"",$L287&lt;MAX($I287:$K287))),"Avance semanal decreciente"&amp;" · ","")&amp;IF(AND(ISNUMBER($AN287),$AN287&lt;FechaRef,IF($V287="Sub",N($X287),N($M287))&lt;1),"Vencida"&amp;" · ","")&amp;IF(AND(ObsObligatoria="Sí",ISNUMBER($AN287),$AN287&lt;FechaRef,IF($V287="Sub",N($X287),N($M287))&lt;1,$Q287=""),"Vencida sin observación"&amp;" · ",""))-3)))</f>
        <v/>
      </c>
      <c r="S287" s="64">
        <f>IF(NOT((COUNTA($B287:$D287)+COUNTA($G287:$L287)+COUNTA($Q287))&gt;0),"",IF(AND($V287="Sub",N($U287)&gt;0),IF(ISNUMBER(INDEX($AM$5:$AM$1000,$U287-4)),DATE(YEAR(INDEX($AM$5:$AM$1000,$U287-4)),MONTH(INDEX($AM$5:$AM$1000,$U287-4)),1),IF(ISNUMBER(INDEX($AN$5:$AN$1000,$U287-4)),DATE(YEAR(INDEX($AN$5:$AN$1000,$U287-4)),MONTH(INDEX($AN$5:$AN$1000,$U287-4)),1),MesCiclo)),IF(ISNUMBER($AM287),DATE(YEAR($AM287),MONTH($AM287),1),IF(ISNUMBER($AN287),DATE(YEAR($AN287),MONTH($AN287),1),MesCiclo))))</f>
        <v/>
      </c>
      <c r="T287" s="62">
        <f>IF(OR($S287="",$S287&lt;&gt;MesCiclo,$V287&lt;&gt;"Macro"),"",COUNTIFS($S$5:$S287,MesCiclo,$V$5:$V287,"Macro"))</f>
        <v/>
      </c>
      <c r="U287" s="62">
        <f>IF($V287="","",IF($V287="Macro",ROW(),IFERROR(LOOKUP(2,1/($V$5:$V287="Macro"),ROW($V$5:$V287)),0)))</f>
        <v/>
      </c>
      <c r="V287" s="62">
        <f>IF(NOT((COUNTA($B287:$D287)+COUNTA($G287:$L287)+COUNTA($Q287))&gt;0),"",IF($B287="Subactividad","Sub","Macro"))</f>
        <v/>
      </c>
      <c r="W287" s="62">
        <f>IF($V287="Macro",COUNTIFS($U$5:$U$1000,ROW(),$V$5:$V$1000,"Sub"),"")</f>
        <v/>
      </c>
      <c r="X287" s="62">
        <f>IF($V287="","",IF(ISNUMBER($G287),1,IFERROR(LOOKUP(2,1/($I287:$L287&lt;&gt;""),$I287:$L287),0)))</f>
        <v/>
      </c>
      <c r="Y287" s="62">
        <f>IF($V287="","",IF(AND(ISNUMBER($G287),$G287&lt;=IF($S287=MesCiclo,InicioCiclo,$S287+MOD(2-WEEKDAY($S287),7))+6),1,IF(ISNUMBER($I287),$I287,0)))</f>
        <v/>
      </c>
      <c r="Z287" s="62">
        <f>IF($V287="","",IF(AND(ISNUMBER($G287),$G287&lt;=IF($S287=MesCiclo,InicioCiclo,$S287+MOD(2-WEEKDAY($S287),7))+13),1,IF(ISNUMBER($J287),$J287,$Y287)))</f>
        <v/>
      </c>
      <c r="AA287" s="62">
        <f>IF($V287="","",IF(AND(ISNUMBER($G287),$G287&lt;=IF($S287=MesCiclo,InicioCiclo,$S287+MOD(2-WEEKDAY($S287),7))+20),1,IF(ISNUMBER($K287),$K287,$Z287)))</f>
        <v/>
      </c>
      <c r="AB287" s="62">
        <f>IF($V287="","",IF(AND(ISNUMBER($G287),$G287&lt;=IF($S287=MesCiclo,InicioCiclo,$S287+MOD(2-WEEKDAY($S287),7))+27),1,IF(ISNUMBER($L287),$L287,$AA287)))</f>
        <v/>
      </c>
      <c r="AC287" s="62">
        <f>IF($V287="","",IF(AND(ISNUMBER($G287),$G287&lt;=IF($S287=MesCiclo,InicioCiclo,$S287+MOD(2-WEEKDAY($S287),7))+6),1,IF(N($W287)&gt;0,AVERAGEIFS($Y$5:$Y$1000,$U$5:$U$1000,ROW(),$V$5:$V$1000,"Sub"),$Y287)))</f>
        <v/>
      </c>
      <c r="AD287" s="62">
        <f>IF($V287="","",IF(AND(ISNUMBER($G287),$G287&lt;=IF($S287=MesCiclo,InicioCiclo,$S287+MOD(2-WEEKDAY($S287),7))+13),1,IF(N($W287)&gt;0,AVERAGEIFS($Z$5:$Z$1000,$U$5:$U$1000,ROW(),$V$5:$V$1000,"Sub"),$Z287)))</f>
        <v/>
      </c>
      <c r="AE287" s="62">
        <f>IF($V287="","",IF(AND(ISNUMBER($G287),$G287&lt;=IF($S287=MesCiclo,InicioCiclo,$S287+MOD(2-WEEKDAY($S287),7))+20),1,IF(N($W287)&gt;0,AVERAGEIFS($AA$5:$AA$1000,$U$5:$U$1000,ROW(),$V$5:$V$1000,"Sub"),$AA287)))</f>
        <v/>
      </c>
      <c r="AF287" s="62">
        <f>IF($V287="","",IF(AND(ISNUMBER($G287),$G287&lt;=IF($S287=MesCiclo,InicioCiclo,$S287+MOD(2-WEEKDAY($S287),7))+27),1,IF(N($W287)&gt;0,AVERAGEIFS($AB$5:$AB$1000,$U$5:$U$1000,ROW(),$V$5:$V$1000,"Sub"),$AB287)))</f>
        <v/>
      </c>
      <c r="AG287" s="62">
        <f>IF($V287&lt;&gt;"Macro","",IF(COUNTIFS($S$5:$S$1000,$S287,$V$5:$V$1000,"Macro",$H$5:$H$1000,"&gt;0")=0,1/COUNTIFS($S$5:$S$1000,$S287,$V$5:$V$1000,"Macro"),IF(AND(ISNUMBER($H287),N($H287)&gt;0),$H287,SUMIFS($H$5:$H$1000,$S$5:$S$1000,$S287,$V$5:$V$1000,"Macro")/COUNTIFS($S$5:$S$1000,$S287,$V$5:$V$1000,"Macro",$H$5:$H$1000,"&gt;0"))/(COUNTIFS($S$5:$S$1000,$S287,$V$5:$V$1000,"Macro")*SUMIFS($H$5:$H$1000,$S$5:$S$1000,$S287,$V$5:$V$1000,"Macro")/COUNTIFS($S$5:$S$1000,$S287,$V$5:$V$1000,"Macro",$H$5:$H$1000,"&gt;0"))))</f>
        <v/>
      </c>
      <c r="AH287" s="62" t="n"/>
      <c r="AI287" s="62" t="n"/>
      <c r="AJ287" s="62" t="n"/>
      <c r="AK287" s="62" t="n"/>
      <c r="AL287" s="62">
        <f>IF(LEFT($C287,11)="[Jefatura] ",IFERROR(MATCH("Riesgo Operacional|"&amp;MID($C287,12,500),rDname_ADM,0),0),"")</f>
        <v/>
      </c>
      <c r="AM287" s="62">
        <f>IF(N($AL287)&gt;0,INDEX(rIni_ADM,$AL287),IF(ISNUMBER($E287),$E287,""))</f>
        <v/>
      </c>
      <c r="AN287" s="62">
        <f>IF(N($AL287)&gt;0,INDEX(rLim_ADM,$AL287),IF(ISNUMBER($F287),$F287,""))</f>
        <v/>
      </c>
    </row>
    <row r="288">
      <c r="A288" s="56">
        <f>IF(NOT((COUNTA($B288:$D288)+COUNTA($G288:$L288)+COUNTA($Q288))&gt;0),"",IF($V288="Macro",COUNTIFS($V$5:$V288,"Macro",$S$5:$S288,$S288),IF(N($U288)=0,"?",COUNTIFS(INDEX($V$5:$V$1000,1):INDEX($V$5:$V$1000,$U288-4),"Macro",INDEX($S$5:$S$1000,1):INDEX($S$5:$S$1000,$U288-4),INDEX($S$5:$S$1000,$U288-4))&amp;"."&amp;COUNTIFS($U$5:$U288,$U288,$V$5:$V288,"Sub"))))</f>
        <v/>
      </c>
      <c r="B288" s="57" t="n"/>
      <c r="C288" s="58" t="n"/>
      <c r="D288" s="58" t="n"/>
      <c r="E288" s="59">
        <f>IF(N($AL288)&gt;0,INDEX(rIni_ADM,$AL288),"")</f>
        <v/>
      </c>
      <c r="F288" s="59">
        <f>IF(N($AL288)&gt;0,INDEX(rLim_ADM,$AL288),"")</f>
        <v/>
      </c>
      <c r="G288" s="59" t="n"/>
      <c r="H288" s="60" t="n"/>
      <c r="I288" s="60" t="n"/>
      <c r="J288" s="60" t="n"/>
      <c r="K288" s="60" t="n"/>
      <c r="L288" s="60" t="n"/>
      <c r="M288" s="61">
        <f>IF(NOT((COUNTA($B288:$D288)+COUNTA($G288:$L288)+COUNTA($Q288))&gt;0),"",IF($V288="Sub",IFERROR($X288/INDEX($W$5:$W$1000,$U288-4),""),IF(ISNUMBER($G288),1,IF(N($W288)&gt;0,AVERAGEIFS($X$5:$X$1000,$U$5:$U$1000,ROW(),$V$5:$V$1000,"Sub"),$X288))))</f>
        <v/>
      </c>
      <c r="N288" s="56">
        <f>IF(OR($M288="",$V288="Sub"),"",IF($M288&gt;=1,"Completado",IF($M288&gt;0,"En curso","Pendiente")))</f>
        <v/>
      </c>
      <c r="O288" s="56">
        <f>IF(OR(NOT((COUNTA($B288:$D288)+COUNTA($G288:$L288)+COUNTA($Q288))&gt;0),$V288="Sub"),"",IF(ISNUMBER($G288),IF(AND(ISNUMBER($AN288),$G288&gt;$AN288),"Cumplida con "&amp;($G288-$AN288)&amp;IF($G288-$AN288=1," día"," días")&amp;" de retraso","Cumplida"),IF(N($M288)&gt;=1,"Cumplida",IF(NOT(ISNUMBER($AN288)),"Sin fecha límite",IF($AN288&lt;FechaRef,"Vencida hace "&amp;(FechaRef-$AN288)&amp;IF(FechaRef-$AN288=1," día"," días"),IF($AN288=FechaRef,"Vence hoy",IF($AN288-FechaRef&lt;=DiasAlerta,"Vence en "&amp;($AN288-FechaRef)&amp;IF($AN288-FechaRef=1," día"," días"),"En plazo")))))))</f>
        <v/>
      </c>
      <c r="P288" s="62" t="n"/>
      <c r="Q288" s="58" t="n"/>
      <c r="R288" s="63">
        <f>IF(NOT((COUNTA($B288:$D288)+COUNTA($G288:$L288)+COUNTA($Q288))&gt;0),"",IF((IF($C288="","Falta el nombre de la actividad"&amp;" · ","")&amp;IF(AND($V288="Sub",N($U288)=0),"Subactividad sin macroactividad arriba"&amp;" · ","")&amp;IF($AM288="","Sin fecha de inicio"&amp;" · ","")&amp;IF($AN288="","Sin fecha límite"&amp;" · ","")&amp;IF(AND(LEFT($C288,11)="[Jefatura] ",N($AL288)=0),"No se encuentra en la hoja de la jefatura (elíjala de nuevo en la lista)"&amp;" · ","")&amp;IF(OR(AND($E288&lt;&gt;"",NOT(ISNUMBER($E288))),AND($F288&lt;&gt;"",NOT(ISNUMBER($F288))),AND($G288&lt;&gt;"",NOT(ISNUMBER($G288)))),"Fecha no válida"&amp;" · ","")&amp;IF(AND(ISNUMBER($AM288),ISNUMBER($AN288),$AM288&gt;$AN288),"Inicio posterior a fecha límite"&amp;" · ","")&amp;IF(AND($V288="Macro",$H288&lt;&gt;"",OR(NOT(ISNUMBER($H288)),$H288&lt;0,$H288&gt;1)),"Peso fuera de rango"&amp;" · ","")&amp;IF(AND($V288="Sub",$H288&lt;&gt;""),"Las subactividades no llevan peso (valen igual dentro de su macroactividad)"&amp;" · ","")&amp;IF(AND(N($W288)&gt;0,COUNT($I288:$L288)&gt;0),"Con subactividades: deje vacías las semanas (se calculan solas)"&amp;" · ","")&amp;IF((COUNTIF($I288:$L288,"&gt;1")+COUNTIF($I288:$L288,"&lt;0")+COUNTA($I288:$L288)-COUNT($I288:$L288))&gt;0,"Avance fuera de rango 0-100%"&amp;" · ","")&amp;IF(OR(AND($J288&lt;&gt;"",$J288&lt;$I288),AND($K288&lt;&gt;"",$K288&lt;MAX($I288:$J288)),AND($L288&lt;&gt;"",$L288&lt;MAX($I288:$K288))),"Avance semanal decreciente"&amp;" · ","")&amp;IF(AND(ISNUMBER($AN288),$AN288&lt;FechaRef,IF($V288="Sub",N($X288),N($M288))&lt;1),"Vencida"&amp;" · ","")&amp;IF(AND(ObsObligatoria="Sí",ISNUMBER($AN288),$AN288&lt;FechaRef,IF($V288="Sub",N($X288),N($M288))&lt;1,$Q288=""),"Vencida sin observación"&amp;" · ",""))="","✔ OK","⚠ "&amp;LEFT(IF($C288="","Falta el nombre de la actividad"&amp;" · ","")&amp;IF(AND($V288="Sub",N($U288)=0),"Subactividad sin macroactividad arriba"&amp;" · ","")&amp;IF($AM288="","Sin fecha de inicio"&amp;" · ","")&amp;IF($AN288="","Sin fecha límite"&amp;" · ","")&amp;IF(AND(LEFT($C288,11)="[Jefatura] ",N($AL288)=0),"No se encuentra en la hoja de la jefatura (elíjala de nuevo en la lista)"&amp;" · ","")&amp;IF(OR(AND($E288&lt;&gt;"",NOT(ISNUMBER($E288))),AND($F288&lt;&gt;"",NOT(ISNUMBER($F288))),AND($G288&lt;&gt;"",NOT(ISNUMBER($G288)))),"Fecha no válida"&amp;" · ","")&amp;IF(AND(ISNUMBER($AM288),ISNUMBER($AN288),$AM288&gt;$AN288),"Inicio posterior a fecha límite"&amp;" · ","")&amp;IF(AND($V288="Macro",$H288&lt;&gt;"",OR(NOT(ISNUMBER($H288)),$H288&lt;0,$H288&gt;1)),"Peso fuera de rango"&amp;" · ","")&amp;IF(AND($V288="Sub",$H288&lt;&gt;""),"Las subactividades no llevan peso (valen igual dentro de su macroactividad)"&amp;" · ","")&amp;IF(AND(N($W288)&gt;0,COUNT($I288:$L288)&gt;0),"Con subactividades: deje vacías las semanas (se calculan solas)"&amp;" · ","")&amp;IF((COUNTIF($I288:$L288,"&gt;1")+COUNTIF($I288:$L288,"&lt;0")+COUNTA($I288:$L288)-COUNT($I288:$L288))&gt;0,"Avance fuera de rango 0-100%"&amp;" · ","")&amp;IF(OR(AND($J288&lt;&gt;"",$J288&lt;$I288),AND($K288&lt;&gt;"",$K288&lt;MAX($I288:$J288)),AND($L288&lt;&gt;"",$L288&lt;MAX($I288:$K288))),"Avance semanal decreciente"&amp;" · ","")&amp;IF(AND(ISNUMBER($AN288),$AN288&lt;FechaRef,IF($V288="Sub",N($X288),N($M288))&lt;1),"Vencida"&amp;" · ","")&amp;IF(AND(ObsObligatoria="Sí",ISNUMBER($AN288),$AN288&lt;FechaRef,IF($V288="Sub",N($X288),N($M288))&lt;1,$Q288=""),"Vencida sin observación"&amp;" · ",""),LEN(IF($C288="","Falta el nombre de la actividad"&amp;" · ","")&amp;IF(AND($V288="Sub",N($U288)=0),"Subactividad sin macroactividad arriba"&amp;" · ","")&amp;IF($AM288="","Sin fecha de inicio"&amp;" · ","")&amp;IF($AN288="","Sin fecha límite"&amp;" · ","")&amp;IF(AND(LEFT($C288,11)="[Jefatura] ",N($AL288)=0),"No se encuentra en la hoja de la jefatura (elíjala de nuevo en la lista)"&amp;" · ","")&amp;IF(OR(AND($E288&lt;&gt;"",NOT(ISNUMBER($E288))),AND($F288&lt;&gt;"",NOT(ISNUMBER($F288))),AND($G288&lt;&gt;"",NOT(ISNUMBER($G288)))),"Fecha no válida"&amp;" · ","")&amp;IF(AND(ISNUMBER($AM288),ISNUMBER($AN288),$AM288&gt;$AN288),"Inicio posterior a fecha límite"&amp;" · ","")&amp;IF(AND($V288="Macro",$H288&lt;&gt;"",OR(NOT(ISNUMBER($H288)),$H288&lt;0,$H288&gt;1)),"Peso fuera de rango"&amp;" · ","")&amp;IF(AND($V288="Sub",$H288&lt;&gt;""),"Las subactividades no llevan peso (valen igual dentro de su macroactividad)"&amp;" · ","")&amp;IF(AND(N($W288)&gt;0,COUNT($I288:$L288)&gt;0),"Con subactividades: deje vacías las semanas (se calculan solas)"&amp;" · ","")&amp;IF((COUNTIF($I288:$L288,"&gt;1")+COUNTIF($I288:$L288,"&lt;0")+COUNTA($I288:$L288)-COUNT($I288:$L288))&gt;0,"Avance fuera de rango 0-100%"&amp;" · ","")&amp;IF(OR(AND($J288&lt;&gt;"",$J288&lt;$I288),AND($K288&lt;&gt;"",$K288&lt;MAX($I288:$J288)),AND($L288&lt;&gt;"",$L288&lt;MAX($I288:$K288))),"Avance semanal decreciente"&amp;" · ","")&amp;IF(AND(ISNUMBER($AN288),$AN288&lt;FechaRef,IF($V288="Sub",N($X288),N($M288))&lt;1),"Vencida"&amp;" · ","")&amp;IF(AND(ObsObligatoria="Sí",ISNUMBER($AN288),$AN288&lt;FechaRef,IF($V288="Sub",N($X288),N($M288))&lt;1,$Q288=""),"Vencida sin observación"&amp;" · ",""))-3)))</f>
        <v/>
      </c>
      <c r="S288" s="64">
        <f>IF(NOT((COUNTA($B288:$D288)+COUNTA($G288:$L288)+COUNTA($Q288))&gt;0),"",IF(AND($V288="Sub",N($U288)&gt;0),IF(ISNUMBER(INDEX($AM$5:$AM$1000,$U288-4)),DATE(YEAR(INDEX($AM$5:$AM$1000,$U288-4)),MONTH(INDEX($AM$5:$AM$1000,$U288-4)),1),IF(ISNUMBER(INDEX($AN$5:$AN$1000,$U288-4)),DATE(YEAR(INDEX($AN$5:$AN$1000,$U288-4)),MONTH(INDEX($AN$5:$AN$1000,$U288-4)),1),MesCiclo)),IF(ISNUMBER($AM288),DATE(YEAR($AM288),MONTH($AM288),1),IF(ISNUMBER($AN288),DATE(YEAR($AN288),MONTH($AN288),1),MesCiclo))))</f>
        <v/>
      </c>
      <c r="T288" s="62">
        <f>IF(OR($S288="",$S288&lt;&gt;MesCiclo,$V288&lt;&gt;"Macro"),"",COUNTIFS($S$5:$S288,MesCiclo,$V$5:$V288,"Macro"))</f>
        <v/>
      </c>
      <c r="U288" s="62">
        <f>IF($V288="","",IF($V288="Macro",ROW(),IFERROR(LOOKUP(2,1/($V$5:$V288="Macro"),ROW($V$5:$V288)),0)))</f>
        <v/>
      </c>
      <c r="V288" s="62">
        <f>IF(NOT((COUNTA($B288:$D288)+COUNTA($G288:$L288)+COUNTA($Q288))&gt;0),"",IF($B288="Subactividad","Sub","Macro"))</f>
        <v/>
      </c>
      <c r="W288" s="62">
        <f>IF($V288="Macro",COUNTIFS($U$5:$U$1000,ROW(),$V$5:$V$1000,"Sub"),"")</f>
        <v/>
      </c>
      <c r="X288" s="62">
        <f>IF($V288="","",IF(ISNUMBER($G288),1,IFERROR(LOOKUP(2,1/($I288:$L288&lt;&gt;""),$I288:$L288),0)))</f>
        <v/>
      </c>
      <c r="Y288" s="62">
        <f>IF($V288="","",IF(AND(ISNUMBER($G288),$G288&lt;=IF($S288=MesCiclo,InicioCiclo,$S288+MOD(2-WEEKDAY($S288),7))+6),1,IF(ISNUMBER($I288),$I288,0)))</f>
        <v/>
      </c>
      <c r="Z288" s="62">
        <f>IF($V288="","",IF(AND(ISNUMBER($G288),$G288&lt;=IF($S288=MesCiclo,InicioCiclo,$S288+MOD(2-WEEKDAY($S288),7))+13),1,IF(ISNUMBER($J288),$J288,$Y288)))</f>
        <v/>
      </c>
      <c r="AA288" s="62">
        <f>IF($V288="","",IF(AND(ISNUMBER($G288),$G288&lt;=IF($S288=MesCiclo,InicioCiclo,$S288+MOD(2-WEEKDAY($S288),7))+20),1,IF(ISNUMBER($K288),$K288,$Z288)))</f>
        <v/>
      </c>
      <c r="AB288" s="62">
        <f>IF($V288="","",IF(AND(ISNUMBER($G288),$G288&lt;=IF($S288=MesCiclo,InicioCiclo,$S288+MOD(2-WEEKDAY($S288),7))+27),1,IF(ISNUMBER($L288),$L288,$AA288)))</f>
        <v/>
      </c>
      <c r="AC288" s="62">
        <f>IF($V288="","",IF(AND(ISNUMBER($G288),$G288&lt;=IF($S288=MesCiclo,InicioCiclo,$S288+MOD(2-WEEKDAY($S288),7))+6),1,IF(N($W288)&gt;0,AVERAGEIFS($Y$5:$Y$1000,$U$5:$U$1000,ROW(),$V$5:$V$1000,"Sub"),$Y288)))</f>
        <v/>
      </c>
      <c r="AD288" s="62">
        <f>IF($V288="","",IF(AND(ISNUMBER($G288),$G288&lt;=IF($S288=MesCiclo,InicioCiclo,$S288+MOD(2-WEEKDAY($S288),7))+13),1,IF(N($W288)&gt;0,AVERAGEIFS($Z$5:$Z$1000,$U$5:$U$1000,ROW(),$V$5:$V$1000,"Sub"),$Z288)))</f>
        <v/>
      </c>
      <c r="AE288" s="62">
        <f>IF($V288="","",IF(AND(ISNUMBER($G288),$G288&lt;=IF($S288=MesCiclo,InicioCiclo,$S288+MOD(2-WEEKDAY($S288),7))+20),1,IF(N($W288)&gt;0,AVERAGEIFS($AA$5:$AA$1000,$U$5:$U$1000,ROW(),$V$5:$V$1000,"Sub"),$AA288)))</f>
        <v/>
      </c>
      <c r="AF288" s="62">
        <f>IF($V288="","",IF(AND(ISNUMBER($G288),$G288&lt;=IF($S288=MesCiclo,InicioCiclo,$S288+MOD(2-WEEKDAY($S288),7))+27),1,IF(N($W288)&gt;0,AVERAGEIFS($AB$5:$AB$1000,$U$5:$U$1000,ROW(),$V$5:$V$1000,"Sub"),$AB288)))</f>
        <v/>
      </c>
      <c r="AG288" s="62">
        <f>IF($V288&lt;&gt;"Macro","",IF(COUNTIFS($S$5:$S$1000,$S288,$V$5:$V$1000,"Macro",$H$5:$H$1000,"&gt;0")=0,1/COUNTIFS($S$5:$S$1000,$S288,$V$5:$V$1000,"Macro"),IF(AND(ISNUMBER($H288),N($H288)&gt;0),$H288,SUMIFS($H$5:$H$1000,$S$5:$S$1000,$S288,$V$5:$V$1000,"Macro")/COUNTIFS($S$5:$S$1000,$S288,$V$5:$V$1000,"Macro",$H$5:$H$1000,"&gt;0"))/(COUNTIFS($S$5:$S$1000,$S288,$V$5:$V$1000,"Macro")*SUMIFS($H$5:$H$1000,$S$5:$S$1000,$S288,$V$5:$V$1000,"Macro")/COUNTIFS($S$5:$S$1000,$S288,$V$5:$V$1000,"Macro",$H$5:$H$1000,"&gt;0"))))</f>
        <v/>
      </c>
      <c r="AH288" s="62" t="n"/>
      <c r="AI288" s="62" t="n"/>
      <c r="AJ288" s="62" t="n"/>
      <c r="AK288" s="62" t="n"/>
      <c r="AL288" s="62">
        <f>IF(LEFT($C288,11)="[Jefatura] ",IFERROR(MATCH("Riesgo Operacional|"&amp;MID($C288,12,500),rDname_ADM,0),0),"")</f>
        <v/>
      </c>
      <c r="AM288" s="62">
        <f>IF(N($AL288)&gt;0,INDEX(rIni_ADM,$AL288),IF(ISNUMBER($E288),$E288,""))</f>
        <v/>
      </c>
      <c r="AN288" s="62">
        <f>IF(N($AL288)&gt;0,INDEX(rLim_ADM,$AL288),IF(ISNUMBER($F288),$F288,""))</f>
        <v/>
      </c>
    </row>
    <row r="289">
      <c r="A289" s="56">
        <f>IF(NOT((COUNTA($B289:$D289)+COUNTA($G289:$L289)+COUNTA($Q289))&gt;0),"",IF($V289="Macro",COUNTIFS($V$5:$V289,"Macro",$S$5:$S289,$S289),IF(N($U289)=0,"?",COUNTIFS(INDEX($V$5:$V$1000,1):INDEX($V$5:$V$1000,$U289-4),"Macro",INDEX($S$5:$S$1000,1):INDEX($S$5:$S$1000,$U289-4),INDEX($S$5:$S$1000,$U289-4))&amp;"."&amp;COUNTIFS($U$5:$U289,$U289,$V$5:$V289,"Sub"))))</f>
        <v/>
      </c>
      <c r="B289" s="57" t="n"/>
      <c r="C289" s="58" t="n"/>
      <c r="D289" s="58" t="n"/>
      <c r="E289" s="59">
        <f>IF(N($AL289)&gt;0,INDEX(rIni_ADM,$AL289),"")</f>
        <v/>
      </c>
      <c r="F289" s="59">
        <f>IF(N($AL289)&gt;0,INDEX(rLim_ADM,$AL289),"")</f>
        <v/>
      </c>
      <c r="G289" s="59" t="n"/>
      <c r="H289" s="60" t="n"/>
      <c r="I289" s="60" t="n"/>
      <c r="J289" s="60" t="n"/>
      <c r="K289" s="60" t="n"/>
      <c r="L289" s="60" t="n"/>
      <c r="M289" s="61">
        <f>IF(NOT((COUNTA($B289:$D289)+COUNTA($G289:$L289)+COUNTA($Q289))&gt;0),"",IF($V289="Sub",IFERROR($X289/INDEX($W$5:$W$1000,$U289-4),""),IF(ISNUMBER($G289),1,IF(N($W289)&gt;0,AVERAGEIFS($X$5:$X$1000,$U$5:$U$1000,ROW(),$V$5:$V$1000,"Sub"),$X289))))</f>
        <v/>
      </c>
      <c r="N289" s="56">
        <f>IF(OR($M289="",$V289="Sub"),"",IF($M289&gt;=1,"Completado",IF($M289&gt;0,"En curso","Pendiente")))</f>
        <v/>
      </c>
      <c r="O289" s="56">
        <f>IF(OR(NOT((COUNTA($B289:$D289)+COUNTA($G289:$L289)+COUNTA($Q289))&gt;0),$V289="Sub"),"",IF(ISNUMBER($G289),IF(AND(ISNUMBER($AN289),$G289&gt;$AN289),"Cumplida con "&amp;($G289-$AN289)&amp;IF($G289-$AN289=1," día"," días")&amp;" de retraso","Cumplida"),IF(N($M289)&gt;=1,"Cumplida",IF(NOT(ISNUMBER($AN289)),"Sin fecha límite",IF($AN289&lt;FechaRef,"Vencida hace "&amp;(FechaRef-$AN289)&amp;IF(FechaRef-$AN289=1," día"," días"),IF($AN289=FechaRef,"Vence hoy",IF($AN289-FechaRef&lt;=DiasAlerta,"Vence en "&amp;($AN289-FechaRef)&amp;IF($AN289-FechaRef=1," día"," días"),"En plazo")))))))</f>
        <v/>
      </c>
      <c r="P289" s="62" t="n"/>
      <c r="Q289" s="58" t="n"/>
      <c r="R289" s="63">
        <f>IF(NOT((COUNTA($B289:$D289)+COUNTA($G289:$L289)+COUNTA($Q289))&gt;0),"",IF((IF($C289="","Falta el nombre de la actividad"&amp;" · ","")&amp;IF(AND($V289="Sub",N($U289)=0),"Subactividad sin macroactividad arriba"&amp;" · ","")&amp;IF($AM289="","Sin fecha de inicio"&amp;" · ","")&amp;IF($AN289="","Sin fecha límite"&amp;" · ","")&amp;IF(AND(LEFT($C289,11)="[Jefatura] ",N($AL289)=0),"No se encuentra en la hoja de la jefatura (elíjala de nuevo en la lista)"&amp;" · ","")&amp;IF(OR(AND($E289&lt;&gt;"",NOT(ISNUMBER($E289))),AND($F289&lt;&gt;"",NOT(ISNUMBER($F289))),AND($G289&lt;&gt;"",NOT(ISNUMBER($G289)))),"Fecha no válida"&amp;" · ","")&amp;IF(AND(ISNUMBER($AM289),ISNUMBER($AN289),$AM289&gt;$AN289),"Inicio posterior a fecha límite"&amp;" · ","")&amp;IF(AND($V289="Macro",$H289&lt;&gt;"",OR(NOT(ISNUMBER($H289)),$H289&lt;0,$H289&gt;1)),"Peso fuera de rango"&amp;" · ","")&amp;IF(AND($V289="Sub",$H289&lt;&gt;""),"Las subactividades no llevan peso (valen igual dentro de su macroactividad)"&amp;" · ","")&amp;IF(AND(N($W289)&gt;0,COUNT($I289:$L289)&gt;0),"Con subactividades: deje vacías las semanas (se calculan solas)"&amp;" · ","")&amp;IF((COUNTIF($I289:$L289,"&gt;1")+COUNTIF($I289:$L289,"&lt;0")+COUNTA($I289:$L289)-COUNT($I289:$L289))&gt;0,"Avance fuera de rango 0-100%"&amp;" · ","")&amp;IF(OR(AND($J289&lt;&gt;"",$J289&lt;$I289),AND($K289&lt;&gt;"",$K289&lt;MAX($I289:$J289)),AND($L289&lt;&gt;"",$L289&lt;MAX($I289:$K289))),"Avance semanal decreciente"&amp;" · ","")&amp;IF(AND(ISNUMBER($AN289),$AN289&lt;FechaRef,IF($V289="Sub",N($X289),N($M289))&lt;1),"Vencida"&amp;" · ","")&amp;IF(AND(ObsObligatoria="Sí",ISNUMBER($AN289),$AN289&lt;FechaRef,IF($V289="Sub",N($X289),N($M289))&lt;1,$Q289=""),"Vencida sin observación"&amp;" · ",""))="","✔ OK","⚠ "&amp;LEFT(IF($C289="","Falta el nombre de la actividad"&amp;" · ","")&amp;IF(AND($V289="Sub",N($U289)=0),"Subactividad sin macroactividad arriba"&amp;" · ","")&amp;IF($AM289="","Sin fecha de inicio"&amp;" · ","")&amp;IF($AN289="","Sin fecha límite"&amp;" · ","")&amp;IF(AND(LEFT($C289,11)="[Jefatura] ",N($AL289)=0),"No se encuentra en la hoja de la jefatura (elíjala de nuevo en la lista)"&amp;" · ","")&amp;IF(OR(AND($E289&lt;&gt;"",NOT(ISNUMBER($E289))),AND($F289&lt;&gt;"",NOT(ISNUMBER($F289))),AND($G289&lt;&gt;"",NOT(ISNUMBER($G289)))),"Fecha no válida"&amp;" · ","")&amp;IF(AND(ISNUMBER($AM289),ISNUMBER($AN289),$AM289&gt;$AN289),"Inicio posterior a fecha límite"&amp;" · ","")&amp;IF(AND($V289="Macro",$H289&lt;&gt;"",OR(NOT(ISNUMBER($H289)),$H289&lt;0,$H289&gt;1)),"Peso fuera de rango"&amp;" · ","")&amp;IF(AND($V289="Sub",$H289&lt;&gt;""),"Las subactividades no llevan peso (valen igual dentro de su macroactividad)"&amp;" · ","")&amp;IF(AND(N($W289)&gt;0,COUNT($I289:$L289)&gt;0),"Con subactividades: deje vacías las semanas (se calculan solas)"&amp;" · ","")&amp;IF((COUNTIF($I289:$L289,"&gt;1")+COUNTIF($I289:$L289,"&lt;0")+COUNTA($I289:$L289)-COUNT($I289:$L289))&gt;0,"Avance fuera de rango 0-100%"&amp;" · ","")&amp;IF(OR(AND($J289&lt;&gt;"",$J289&lt;$I289),AND($K289&lt;&gt;"",$K289&lt;MAX($I289:$J289)),AND($L289&lt;&gt;"",$L289&lt;MAX($I289:$K289))),"Avance semanal decreciente"&amp;" · ","")&amp;IF(AND(ISNUMBER($AN289),$AN289&lt;FechaRef,IF($V289="Sub",N($X289),N($M289))&lt;1),"Vencida"&amp;" · ","")&amp;IF(AND(ObsObligatoria="Sí",ISNUMBER($AN289),$AN289&lt;FechaRef,IF($V289="Sub",N($X289),N($M289))&lt;1,$Q289=""),"Vencida sin observación"&amp;" · ",""),LEN(IF($C289="","Falta el nombre de la actividad"&amp;" · ","")&amp;IF(AND($V289="Sub",N($U289)=0),"Subactividad sin macroactividad arriba"&amp;" · ","")&amp;IF($AM289="","Sin fecha de inicio"&amp;" · ","")&amp;IF($AN289="","Sin fecha límite"&amp;" · ","")&amp;IF(AND(LEFT($C289,11)="[Jefatura] ",N($AL289)=0),"No se encuentra en la hoja de la jefatura (elíjala de nuevo en la lista)"&amp;" · ","")&amp;IF(OR(AND($E289&lt;&gt;"",NOT(ISNUMBER($E289))),AND($F289&lt;&gt;"",NOT(ISNUMBER($F289))),AND($G289&lt;&gt;"",NOT(ISNUMBER($G289)))),"Fecha no válida"&amp;" · ","")&amp;IF(AND(ISNUMBER($AM289),ISNUMBER($AN289),$AM289&gt;$AN289),"Inicio posterior a fecha límite"&amp;" · ","")&amp;IF(AND($V289="Macro",$H289&lt;&gt;"",OR(NOT(ISNUMBER($H289)),$H289&lt;0,$H289&gt;1)),"Peso fuera de rango"&amp;" · ","")&amp;IF(AND($V289="Sub",$H289&lt;&gt;""),"Las subactividades no llevan peso (valen igual dentro de su macroactividad)"&amp;" · ","")&amp;IF(AND(N($W289)&gt;0,COUNT($I289:$L289)&gt;0),"Con subactividades: deje vacías las semanas (se calculan solas)"&amp;" · ","")&amp;IF((COUNTIF($I289:$L289,"&gt;1")+COUNTIF($I289:$L289,"&lt;0")+COUNTA($I289:$L289)-COUNT($I289:$L289))&gt;0,"Avance fuera de rango 0-100%"&amp;" · ","")&amp;IF(OR(AND($J289&lt;&gt;"",$J289&lt;$I289),AND($K289&lt;&gt;"",$K289&lt;MAX($I289:$J289)),AND($L289&lt;&gt;"",$L289&lt;MAX($I289:$K289))),"Avance semanal decreciente"&amp;" · ","")&amp;IF(AND(ISNUMBER($AN289),$AN289&lt;FechaRef,IF($V289="Sub",N($X289),N($M289))&lt;1),"Vencida"&amp;" · ","")&amp;IF(AND(ObsObligatoria="Sí",ISNUMBER($AN289),$AN289&lt;FechaRef,IF($V289="Sub",N($X289),N($M289))&lt;1,$Q289=""),"Vencida sin observación"&amp;" · ",""))-3)))</f>
        <v/>
      </c>
      <c r="S289" s="64">
        <f>IF(NOT((COUNTA($B289:$D289)+COUNTA($G289:$L289)+COUNTA($Q289))&gt;0),"",IF(AND($V289="Sub",N($U289)&gt;0),IF(ISNUMBER(INDEX($AM$5:$AM$1000,$U289-4)),DATE(YEAR(INDEX($AM$5:$AM$1000,$U289-4)),MONTH(INDEX($AM$5:$AM$1000,$U289-4)),1),IF(ISNUMBER(INDEX($AN$5:$AN$1000,$U289-4)),DATE(YEAR(INDEX($AN$5:$AN$1000,$U289-4)),MONTH(INDEX($AN$5:$AN$1000,$U289-4)),1),MesCiclo)),IF(ISNUMBER($AM289),DATE(YEAR($AM289),MONTH($AM289),1),IF(ISNUMBER($AN289),DATE(YEAR($AN289),MONTH($AN289),1),MesCiclo))))</f>
        <v/>
      </c>
      <c r="T289" s="62">
        <f>IF(OR($S289="",$S289&lt;&gt;MesCiclo,$V289&lt;&gt;"Macro"),"",COUNTIFS($S$5:$S289,MesCiclo,$V$5:$V289,"Macro"))</f>
        <v/>
      </c>
      <c r="U289" s="62">
        <f>IF($V289="","",IF($V289="Macro",ROW(),IFERROR(LOOKUP(2,1/($V$5:$V289="Macro"),ROW($V$5:$V289)),0)))</f>
        <v/>
      </c>
      <c r="V289" s="62">
        <f>IF(NOT((COUNTA($B289:$D289)+COUNTA($G289:$L289)+COUNTA($Q289))&gt;0),"",IF($B289="Subactividad","Sub","Macro"))</f>
        <v/>
      </c>
      <c r="W289" s="62">
        <f>IF($V289="Macro",COUNTIFS($U$5:$U$1000,ROW(),$V$5:$V$1000,"Sub"),"")</f>
        <v/>
      </c>
      <c r="X289" s="62">
        <f>IF($V289="","",IF(ISNUMBER($G289),1,IFERROR(LOOKUP(2,1/($I289:$L289&lt;&gt;""),$I289:$L289),0)))</f>
        <v/>
      </c>
      <c r="Y289" s="62">
        <f>IF($V289="","",IF(AND(ISNUMBER($G289),$G289&lt;=IF($S289=MesCiclo,InicioCiclo,$S289+MOD(2-WEEKDAY($S289),7))+6),1,IF(ISNUMBER($I289),$I289,0)))</f>
        <v/>
      </c>
      <c r="Z289" s="62">
        <f>IF($V289="","",IF(AND(ISNUMBER($G289),$G289&lt;=IF($S289=MesCiclo,InicioCiclo,$S289+MOD(2-WEEKDAY($S289),7))+13),1,IF(ISNUMBER($J289),$J289,$Y289)))</f>
        <v/>
      </c>
      <c r="AA289" s="62">
        <f>IF($V289="","",IF(AND(ISNUMBER($G289),$G289&lt;=IF($S289=MesCiclo,InicioCiclo,$S289+MOD(2-WEEKDAY($S289),7))+20),1,IF(ISNUMBER($K289),$K289,$Z289)))</f>
        <v/>
      </c>
      <c r="AB289" s="62">
        <f>IF($V289="","",IF(AND(ISNUMBER($G289),$G289&lt;=IF($S289=MesCiclo,InicioCiclo,$S289+MOD(2-WEEKDAY($S289),7))+27),1,IF(ISNUMBER($L289),$L289,$AA289)))</f>
        <v/>
      </c>
      <c r="AC289" s="62">
        <f>IF($V289="","",IF(AND(ISNUMBER($G289),$G289&lt;=IF($S289=MesCiclo,InicioCiclo,$S289+MOD(2-WEEKDAY($S289),7))+6),1,IF(N($W289)&gt;0,AVERAGEIFS($Y$5:$Y$1000,$U$5:$U$1000,ROW(),$V$5:$V$1000,"Sub"),$Y289)))</f>
        <v/>
      </c>
      <c r="AD289" s="62">
        <f>IF($V289="","",IF(AND(ISNUMBER($G289),$G289&lt;=IF($S289=MesCiclo,InicioCiclo,$S289+MOD(2-WEEKDAY($S289),7))+13),1,IF(N($W289)&gt;0,AVERAGEIFS($Z$5:$Z$1000,$U$5:$U$1000,ROW(),$V$5:$V$1000,"Sub"),$Z289)))</f>
        <v/>
      </c>
      <c r="AE289" s="62">
        <f>IF($V289="","",IF(AND(ISNUMBER($G289),$G289&lt;=IF($S289=MesCiclo,InicioCiclo,$S289+MOD(2-WEEKDAY($S289),7))+20),1,IF(N($W289)&gt;0,AVERAGEIFS($AA$5:$AA$1000,$U$5:$U$1000,ROW(),$V$5:$V$1000,"Sub"),$AA289)))</f>
        <v/>
      </c>
      <c r="AF289" s="62">
        <f>IF($V289="","",IF(AND(ISNUMBER($G289),$G289&lt;=IF($S289=MesCiclo,InicioCiclo,$S289+MOD(2-WEEKDAY($S289),7))+27),1,IF(N($W289)&gt;0,AVERAGEIFS($AB$5:$AB$1000,$U$5:$U$1000,ROW(),$V$5:$V$1000,"Sub"),$AB289)))</f>
        <v/>
      </c>
      <c r="AG289" s="62">
        <f>IF($V289&lt;&gt;"Macro","",IF(COUNTIFS($S$5:$S$1000,$S289,$V$5:$V$1000,"Macro",$H$5:$H$1000,"&gt;0")=0,1/COUNTIFS($S$5:$S$1000,$S289,$V$5:$V$1000,"Macro"),IF(AND(ISNUMBER($H289),N($H289)&gt;0),$H289,SUMIFS($H$5:$H$1000,$S$5:$S$1000,$S289,$V$5:$V$1000,"Macro")/COUNTIFS($S$5:$S$1000,$S289,$V$5:$V$1000,"Macro",$H$5:$H$1000,"&gt;0"))/(COUNTIFS($S$5:$S$1000,$S289,$V$5:$V$1000,"Macro")*SUMIFS($H$5:$H$1000,$S$5:$S$1000,$S289,$V$5:$V$1000,"Macro")/COUNTIFS($S$5:$S$1000,$S289,$V$5:$V$1000,"Macro",$H$5:$H$1000,"&gt;0"))))</f>
        <v/>
      </c>
      <c r="AH289" s="62" t="n"/>
      <c r="AI289" s="62" t="n"/>
      <c r="AJ289" s="62" t="n"/>
      <c r="AK289" s="62" t="n"/>
      <c r="AL289" s="62">
        <f>IF(LEFT($C289,11)="[Jefatura] ",IFERROR(MATCH("Riesgo Operacional|"&amp;MID($C289,12,500),rDname_ADM,0),0),"")</f>
        <v/>
      </c>
      <c r="AM289" s="62">
        <f>IF(N($AL289)&gt;0,INDEX(rIni_ADM,$AL289),IF(ISNUMBER($E289),$E289,""))</f>
        <v/>
      </c>
      <c r="AN289" s="62">
        <f>IF(N($AL289)&gt;0,INDEX(rLim_ADM,$AL289),IF(ISNUMBER($F289),$F289,""))</f>
        <v/>
      </c>
    </row>
    <row r="290">
      <c r="A290" s="56">
        <f>IF(NOT((COUNTA($B290:$D290)+COUNTA($G290:$L290)+COUNTA($Q290))&gt;0),"",IF($V290="Macro",COUNTIFS($V$5:$V290,"Macro",$S$5:$S290,$S290),IF(N($U290)=0,"?",COUNTIFS(INDEX($V$5:$V$1000,1):INDEX($V$5:$V$1000,$U290-4),"Macro",INDEX($S$5:$S$1000,1):INDEX($S$5:$S$1000,$U290-4),INDEX($S$5:$S$1000,$U290-4))&amp;"."&amp;COUNTIFS($U$5:$U290,$U290,$V$5:$V290,"Sub"))))</f>
        <v/>
      </c>
      <c r="B290" s="57" t="n"/>
      <c r="C290" s="58" t="n"/>
      <c r="D290" s="58" t="n"/>
      <c r="E290" s="59">
        <f>IF(N($AL290)&gt;0,INDEX(rIni_ADM,$AL290),"")</f>
        <v/>
      </c>
      <c r="F290" s="59">
        <f>IF(N($AL290)&gt;0,INDEX(rLim_ADM,$AL290),"")</f>
        <v/>
      </c>
      <c r="G290" s="59" t="n"/>
      <c r="H290" s="60" t="n"/>
      <c r="I290" s="60" t="n"/>
      <c r="J290" s="60" t="n"/>
      <c r="K290" s="60" t="n"/>
      <c r="L290" s="60" t="n"/>
      <c r="M290" s="61">
        <f>IF(NOT((COUNTA($B290:$D290)+COUNTA($G290:$L290)+COUNTA($Q290))&gt;0),"",IF($V290="Sub",IFERROR($X290/INDEX($W$5:$W$1000,$U290-4),""),IF(ISNUMBER($G290),1,IF(N($W290)&gt;0,AVERAGEIFS($X$5:$X$1000,$U$5:$U$1000,ROW(),$V$5:$V$1000,"Sub"),$X290))))</f>
        <v/>
      </c>
      <c r="N290" s="56">
        <f>IF(OR($M290="",$V290="Sub"),"",IF($M290&gt;=1,"Completado",IF($M290&gt;0,"En curso","Pendiente")))</f>
        <v/>
      </c>
      <c r="O290" s="56">
        <f>IF(OR(NOT((COUNTA($B290:$D290)+COUNTA($G290:$L290)+COUNTA($Q290))&gt;0),$V290="Sub"),"",IF(ISNUMBER($G290),IF(AND(ISNUMBER($AN290),$G290&gt;$AN290),"Cumplida con "&amp;($G290-$AN290)&amp;IF($G290-$AN290=1," día"," días")&amp;" de retraso","Cumplida"),IF(N($M290)&gt;=1,"Cumplida",IF(NOT(ISNUMBER($AN290)),"Sin fecha límite",IF($AN290&lt;FechaRef,"Vencida hace "&amp;(FechaRef-$AN290)&amp;IF(FechaRef-$AN290=1," día"," días"),IF($AN290=FechaRef,"Vence hoy",IF($AN290-FechaRef&lt;=DiasAlerta,"Vence en "&amp;($AN290-FechaRef)&amp;IF($AN290-FechaRef=1," día"," días"),"En plazo")))))))</f>
        <v/>
      </c>
      <c r="P290" s="62" t="n"/>
      <c r="Q290" s="58" t="n"/>
      <c r="R290" s="63">
        <f>IF(NOT((COUNTA($B290:$D290)+COUNTA($G290:$L290)+COUNTA($Q290))&gt;0),"",IF((IF($C290="","Falta el nombre de la actividad"&amp;" · ","")&amp;IF(AND($V290="Sub",N($U290)=0),"Subactividad sin macroactividad arriba"&amp;" · ","")&amp;IF($AM290="","Sin fecha de inicio"&amp;" · ","")&amp;IF($AN290="","Sin fecha límite"&amp;" · ","")&amp;IF(AND(LEFT($C290,11)="[Jefatura] ",N($AL290)=0),"No se encuentra en la hoja de la jefatura (elíjala de nuevo en la lista)"&amp;" · ","")&amp;IF(OR(AND($E290&lt;&gt;"",NOT(ISNUMBER($E290))),AND($F290&lt;&gt;"",NOT(ISNUMBER($F290))),AND($G290&lt;&gt;"",NOT(ISNUMBER($G290)))),"Fecha no válida"&amp;" · ","")&amp;IF(AND(ISNUMBER($AM290),ISNUMBER($AN290),$AM290&gt;$AN290),"Inicio posterior a fecha límite"&amp;" · ","")&amp;IF(AND($V290="Macro",$H290&lt;&gt;"",OR(NOT(ISNUMBER($H290)),$H290&lt;0,$H290&gt;1)),"Peso fuera de rango"&amp;" · ","")&amp;IF(AND($V290="Sub",$H290&lt;&gt;""),"Las subactividades no llevan peso (valen igual dentro de su macroactividad)"&amp;" · ","")&amp;IF(AND(N($W290)&gt;0,COUNT($I290:$L290)&gt;0),"Con subactividades: deje vacías las semanas (se calculan solas)"&amp;" · ","")&amp;IF((COUNTIF($I290:$L290,"&gt;1")+COUNTIF($I290:$L290,"&lt;0")+COUNTA($I290:$L290)-COUNT($I290:$L290))&gt;0,"Avance fuera de rango 0-100%"&amp;" · ","")&amp;IF(OR(AND($J290&lt;&gt;"",$J290&lt;$I290),AND($K290&lt;&gt;"",$K290&lt;MAX($I290:$J290)),AND($L290&lt;&gt;"",$L290&lt;MAX($I290:$K290))),"Avance semanal decreciente"&amp;" · ","")&amp;IF(AND(ISNUMBER($AN290),$AN290&lt;FechaRef,IF($V290="Sub",N($X290),N($M290))&lt;1),"Vencida"&amp;" · ","")&amp;IF(AND(ObsObligatoria="Sí",ISNUMBER($AN290),$AN290&lt;FechaRef,IF($V290="Sub",N($X290),N($M290))&lt;1,$Q290=""),"Vencida sin observación"&amp;" · ",""))="","✔ OK","⚠ "&amp;LEFT(IF($C290="","Falta el nombre de la actividad"&amp;" · ","")&amp;IF(AND($V290="Sub",N($U290)=0),"Subactividad sin macroactividad arriba"&amp;" · ","")&amp;IF($AM290="","Sin fecha de inicio"&amp;" · ","")&amp;IF($AN290="","Sin fecha límite"&amp;" · ","")&amp;IF(AND(LEFT($C290,11)="[Jefatura] ",N($AL290)=0),"No se encuentra en la hoja de la jefatura (elíjala de nuevo en la lista)"&amp;" · ","")&amp;IF(OR(AND($E290&lt;&gt;"",NOT(ISNUMBER($E290))),AND($F290&lt;&gt;"",NOT(ISNUMBER($F290))),AND($G290&lt;&gt;"",NOT(ISNUMBER($G290)))),"Fecha no válida"&amp;" · ","")&amp;IF(AND(ISNUMBER($AM290),ISNUMBER($AN290),$AM290&gt;$AN290),"Inicio posterior a fecha límite"&amp;" · ","")&amp;IF(AND($V290="Macro",$H290&lt;&gt;"",OR(NOT(ISNUMBER($H290)),$H290&lt;0,$H290&gt;1)),"Peso fuera de rango"&amp;" · ","")&amp;IF(AND($V290="Sub",$H290&lt;&gt;""),"Las subactividades no llevan peso (valen igual dentro de su macroactividad)"&amp;" · ","")&amp;IF(AND(N($W290)&gt;0,COUNT($I290:$L290)&gt;0),"Con subactividades: deje vacías las semanas (se calculan solas)"&amp;" · ","")&amp;IF((COUNTIF($I290:$L290,"&gt;1")+COUNTIF($I290:$L290,"&lt;0")+COUNTA($I290:$L290)-COUNT($I290:$L290))&gt;0,"Avance fuera de rango 0-100%"&amp;" · ","")&amp;IF(OR(AND($J290&lt;&gt;"",$J290&lt;$I290),AND($K290&lt;&gt;"",$K290&lt;MAX($I290:$J290)),AND($L290&lt;&gt;"",$L290&lt;MAX($I290:$K290))),"Avance semanal decreciente"&amp;" · ","")&amp;IF(AND(ISNUMBER($AN290),$AN290&lt;FechaRef,IF($V290="Sub",N($X290),N($M290))&lt;1),"Vencida"&amp;" · ","")&amp;IF(AND(ObsObligatoria="Sí",ISNUMBER($AN290),$AN290&lt;FechaRef,IF($V290="Sub",N($X290),N($M290))&lt;1,$Q290=""),"Vencida sin observación"&amp;" · ",""),LEN(IF($C290="","Falta el nombre de la actividad"&amp;" · ","")&amp;IF(AND($V290="Sub",N($U290)=0),"Subactividad sin macroactividad arriba"&amp;" · ","")&amp;IF($AM290="","Sin fecha de inicio"&amp;" · ","")&amp;IF($AN290="","Sin fecha límite"&amp;" · ","")&amp;IF(AND(LEFT($C290,11)="[Jefatura] ",N($AL290)=0),"No se encuentra en la hoja de la jefatura (elíjala de nuevo en la lista)"&amp;" · ","")&amp;IF(OR(AND($E290&lt;&gt;"",NOT(ISNUMBER($E290))),AND($F290&lt;&gt;"",NOT(ISNUMBER($F290))),AND($G290&lt;&gt;"",NOT(ISNUMBER($G290)))),"Fecha no válida"&amp;" · ","")&amp;IF(AND(ISNUMBER($AM290),ISNUMBER($AN290),$AM290&gt;$AN290),"Inicio posterior a fecha límite"&amp;" · ","")&amp;IF(AND($V290="Macro",$H290&lt;&gt;"",OR(NOT(ISNUMBER($H290)),$H290&lt;0,$H290&gt;1)),"Peso fuera de rango"&amp;" · ","")&amp;IF(AND($V290="Sub",$H290&lt;&gt;""),"Las subactividades no llevan peso (valen igual dentro de su macroactividad)"&amp;" · ","")&amp;IF(AND(N($W290)&gt;0,COUNT($I290:$L290)&gt;0),"Con subactividades: deje vacías las semanas (se calculan solas)"&amp;" · ","")&amp;IF((COUNTIF($I290:$L290,"&gt;1")+COUNTIF($I290:$L290,"&lt;0")+COUNTA($I290:$L290)-COUNT($I290:$L290))&gt;0,"Avance fuera de rango 0-100%"&amp;" · ","")&amp;IF(OR(AND($J290&lt;&gt;"",$J290&lt;$I290),AND($K290&lt;&gt;"",$K290&lt;MAX($I290:$J290)),AND($L290&lt;&gt;"",$L290&lt;MAX($I290:$K290))),"Avance semanal decreciente"&amp;" · ","")&amp;IF(AND(ISNUMBER($AN290),$AN290&lt;FechaRef,IF($V290="Sub",N($X290),N($M290))&lt;1),"Vencida"&amp;" · ","")&amp;IF(AND(ObsObligatoria="Sí",ISNUMBER($AN290),$AN290&lt;FechaRef,IF($V290="Sub",N($X290),N($M290))&lt;1,$Q290=""),"Vencida sin observación"&amp;" · ",""))-3)))</f>
        <v/>
      </c>
      <c r="S290" s="64">
        <f>IF(NOT((COUNTA($B290:$D290)+COUNTA($G290:$L290)+COUNTA($Q290))&gt;0),"",IF(AND($V290="Sub",N($U290)&gt;0),IF(ISNUMBER(INDEX($AM$5:$AM$1000,$U290-4)),DATE(YEAR(INDEX($AM$5:$AM$1000,$U290-4)),MONTH(INDEX($AM$5:$AM$1000,$U290-4)),1),IF(ISNUMBER(INDEX($AN$5:$AN$1000,$U290-4)),DATE(YEAR(INDEX($AN$5:$AN$1000,$U290-4)),MONTH(INDEX($AN$5:$AN$1000,$U290-4)),1),MesCiclo)),IF(ISNUMBER($AM290),DATE(YEAR($AM290),MONTH($AM290),1),IF(ISNUMBER($AN290),DATE(YEAR($AN290),MONTH($AN290),1),MesCiclo))))</f>
        <v/>
      </c>
      <c r="T290" s="62">
        <f>IF(OR($S290="",$S290&lt;&gt;MesCiclo,$V290&lt;&gt;"Macro"),"",COUNTIFS($S$5:$S290,MesCiclo,$V$5:$V290,"Macro"))</f>
        <v/>
      </c>
      <c r="U290" s="62">
        <f>IF($V290="","",IF($V290="Macro",ROW(),IFERROR(LOOKUP(2,1/($V$5:$V290="Macro"),ROW($V$5:$V290)),0)))</f>
        <v/>
      </c>
      <c r="V290" s="62">
        <f>IF(NOT((COUNTA($B290:$D290)+COUNTA($G290:$L290)+COUNTA($Q290))&gt;0),"",IF($B290="Subactividad","Sub","Macro"))</f>
        <v/>
      </c>
      <c r="W290" s="62">
        <f>IF($V290="Macro",COUNTIFS($U$5:$U$1000,ROW(),$V$5:$V$1000,"Sub"),"")</f>
        <v/>
      </c>
      <c r="X290" s="62">
        <f>IF($V290="","",IF(ISNUMBER($G290),1,IFERROR(LOOKUP(2,1/($I290:$L290&lt;&gt;""),$I290:$L290),0)))</f>
        <v/>
      </c>
      <c r="Y290" s="62">
        <f>IF($V290="","",IF(AND(ISNUMBER($G290),$G290&lt;=IF($S290=MesCiclo,InicioCiclo,$S290+MOD(2-WEEKDAY($S290),7))+6),1,IF(ISNUMBER($I290),$I290,0)))</f>
        <v/>
      </c>
      <c r="Z290" s="62">
        <f>IF($V290="","",IF(AND(ISNUMBER($G290),$G290&lt;=IF($S290=MesCiclo,InicioCiclo,$S290+MOD(2-WEEKDAY($S290),7))+13),1,IF(ISNUMBER($J290),$J290,$Y290)))</f>
        <v/>
      </c>
      <c r="AA290" s="62">
        <f>IF($V290="","",IF(AND(ISNUMBER($G290),$G290&lt;=IF($S290=MesCiclo,InicioCiclo,$S290+MOD(2-WEEKDAY($S290),7))+20),1,IF(ISNUMBER($K290),$K290,$Z290)))</f>
        <v/>
      </c>
      <c r="AB290" s="62">
        <f>IF($V290="","",IF(AND(ISNUMBER($G290),$G290&lt;=IF($S290=MesCiclo,InicioCiclo,$S290+MOD(2-WEEKDAY($S290),7))+27),1,IF(ISNUMBER($L290),$L290,$AA290)))</f>
        <v/>
      </c>
      <c r="AC290" s="62">
        <f>IF($V290="","",IF(AND(ISNUMBER($G290),$G290&lt;=IF($S290=MesCiclo,InicioCiclo,$S290+MOD(2-WEEKDAY($S290),7))+6),1,IF(N($W290)&gt;0,AVERAGEIFS($Y$5:$Y$1000,$U$5:$U$1000,ROW(),$V$5:$V$1000,"Sub"),$Y290)))</f>
        <v/>
      </c>
      <c r="AD290" s="62">
        <f>IF($V290="","",IF(AND(ISNUMBER($G290),$G290&lt;=IF($S290=MesCiclo,InicioCiclo,$S290+MOD(2-WEEKDAY($S290),7))+13),1,IF(N($W290)&gt;0,AVERAGEIFS($Z$5:$Z$1000,$U$5:$U$1000,ROW(),$V$5:$V$1000,"Sub"),$Z290)))</f>
        <v/>
      </c>
      <c r="AE290" s="62">
        <f>IF($V290="","",IF(AND(ISNUMBER($G290),$G290&lt;=IF($S290=MesCiclo,InicioCiclo,$S290+MOD(2-WEEKDAY($S290),7))+20),1,IF(N($W290)&gt;0,AVERAGEIFS($AA$5:$AA$1000,$U$5:$U$1000,ROW(),$V$5:$V$1000,"Sub"),$AA290)))</f>
        <v/>
      </c>
      <c r="AF290" s="62">
        <f>IF($V290="","",IF(AND(ISNUMBER($G290),$G290&lt;=IF($S290=MesCiclo,InicioCiclo,$S290+MOD(2-WEEKDAY($S290),7))+27),1,IF(N($W290)&gt;0,AVERAGEIFS($AB$5:$AB$1000,$U$5:$U$1000,ROW(),$V$5:$V$1000,"Sub"),$AB290)))</f>
        <v/>
      </c>
      <c r="AG290" s="62">
        <f>IF($V290&lt;&gt;"Macro","",IF(COUNTIFS($S$5:$S$1000,$S290,$V$5:$V$1000,"Macro",$H$5:$H$1000,"&gt;0")=0,1/COUNTIFS($S$5:$S$1000,$S290,$V$5:$V$1000,"Macro"),IF(AND(ISNUMBER($H290),N($H290)&gt;0),$H290,SUMIFS($H$5:$H$1000,$S$5:$S$1000,$S290,$V$5:$V$1000,"Macro")/COUNTIFS($S$5:$S$1000,$S290,$V$5:$V$1000,"Macro",$H$5:$H$1000,"&gt;0"))/(COUNTIFS($S$5:$S$1000,$S290,$V$5:$V$1000,"Macro")*SUMIFS($H$5:$H$1000,$S$5:$S$1000,$S290,$V$5:$V$1000,"Macro")/COUNTIFS($S$5:$S$1000,$S290,$V$5:$V$1000,"Macro",$H$5:$H$1000,"&gt;0"))))</f>
        <v/>
      </c>
      <c r="AH290" s="62" t="n"/>
      <c r="AI290" s="62" t="n"/>
      <c r="AJ290" s="62" t="n"/>
      <c r="AK290" s="62" t="n"/>
      <c r="AL290" s="62">
        <f>IF(LEFT($C290,11)="[Jefatura] ",IFERROR(MATCH("Riesgo Operacional|"&amp;MID($C290,12,500),rDname_ADM,0),0),"")</f>
        <v/>
      </c>
      <c r="AM290" s="62">
        <f>IF(N($AL290)&gt;0,INDEX(rIni_ADM,$AL290),IF(ISNUMBER($E290),$E290,""))</f>
        <v/>
      </c>
      <c r="AN290" s="62">
        <f>IF(N($AL290)&gt;0,INDEX(rLim_ADM,$AL290),IF(ISNUMBER($F290),$F290,""))</f>
        <v/>
      </c>
    </row>
    <row r="291">
      <c r="A291" s="56">
        <f>IF(NOT((COUNTA($B291:$D291)+COUNTA($G291:$L291)+COUNTA($Q291))&gt;0),"",IF($V291="Macro",COUNTIFS($V$5:$V291,"Macro",$S$5:$S291,$S291),IF(N($U291)=0,"?",COUNTIFS(INDEX($V$5:$V$1000,1):INDEX($V$5:$V$1000,$U291-4),"Macro",INDEX($S$5:$S$1000,1):INDEX($S$5:$S$1000,$U291-4),INDEX($S$5:$S$1000,$U291-4))&amp;"."&amp;COUNTIFS($U$5:$U291,$U291,$V$5:$V291,"Sub"))))</f>
        <v/>
      </c>
      <c r="B291" s="57" t="n"/>
      <c r="C291" s="58" t="n"/>
      <c r="D291" s="58" t="n"/>
      <c r="E291" s="59">
        <f>IF(N($AL291)&gt;0,INDEX(rIni_ADM,$AL291),"")</f>
        <v/>
      </c>
      <c r="F291" s="59">
        <f>IF(N($AL291)&gt;0,INDEX(rLim_ADM,$AL291),"")</f>
        <v/>
      </c>
      <c r="G291" s="59" t="n"/>
      <c r="H291" s="60" t="n"/>
      <c r="I291" s="60" t="n"/>
      <c r="J291" s="60" t="n"/>
      <c r="K291" s="60" t="n"/>
      <c r="L291" s="60" t="n"/>
      <c r="M291" s="61">
        <f>IF(NOT((COUNTA($B291:$D291)+COUNTA($G291:$L291)+COUNTA($Q291))&gt;0),"",IF($V291="Sub",IFERROR($X291/INDEX($W$5:$W$1000,$U291-4),""),IF(ISNUMBER($G291),1,IF(N($W291)&gt;0,AVERAGEIFS($X$5:$X$1000,$U$5:$U$1000,ROW(),$V$5:$V$1000,"Sub"),$X291))))</f>
        <v/>
      </c>
      <c r="N291" s="56">
        <f>IF(OR($M291="",$V291="Sub"),"",IF($M291&gt;=1,"Completado",IF($M291&gt;0,"En curso","Pendiente")))</f>
        <v/>
      </c>
      <c r="O291" s="56">
        <f>IF(OR(NOT((COUNTA($B291:$D291)+COUNTA($G291:$L291)+COUNTA($Q291))&gt;0),$V291="Sub"),"",IF(ISNUMBER($G291),IF(AND(ISNUMBER($AN291),$G291&gt;$AN291),"Cumplida con "&amp;($G291-$AN291)&amp;IF($G291-$AN291=1," día"," días")&amp;" de retraso","Cumplida"),IF(N($M291)&gt;=1,"Cumplida",IF(NOT(ISNUMBER($AN291)),"Sin fecha límite",IF($AN291&lt;FechaRef,"Vencida hace "&amp;(FechaRef-$AN291)&amp;IF(FechaRef-$AN291=1," día"," días"),IF($AN291=FechaRef,"Vence hoy",IF($AN291-FechaRef&lt;=DiasAlerta,"Vence en "&amp;($AN291-FechaRef)&amp;IF($AN291-FechaRef=1," día"," días"),"En plazo")))))))</f>
        <v/>
      </c>
      <c r="P291" s="62" t="n"/>
      <c r="Q291" s="58" t="n"/>
      <c r="R291" s="63">
        <f>IF(NOT((COUNTA($B291:$D291)+COUNTA($G291:$L291)+COUNTA($Q291))&gt;0),"",IF((IF($C291="","Falta el nombre de la actividad"&amp;" · ","")&amp;IF(AND($V291="Sub",N($U291)=0),"Subactividad sin macroactividad arriba"&amp;" · ","")&amp;IF($AM291="","Sin fecha de inicio"&amp;" · ","")&amp;IF($AN291="","Sin fecha límite"&amp;" · ","")&amp;IF(AND(LEFT($C291,11)="[Jefatura] ",N($AL291)=0),"No se encuentra en la hoja de la jefatura (elíjala de nuevo en la lista)"&amp;" · ","")&amp;IF(OR(AND($E291&lt;&gt;"",NOT(ISNUMBER($E291))),AND($F291&lt;&gt;"",NOT(ISNUMBER($F291))),AND($G291&lt;&gt;"",NOT(ISNUMBER($G291)))),"Fecha no válida"&amp;" · ","")&amp;IF(AND(ISNUMBER($AM291),ISNUMBER($AN291),$AM291&gt;$AN291),"Inicio posterior a fecha límite"&amp;" · ","")&amp;IF(AND($V291="Macro",$H291&lt;&gt;"",OR(NOT(ISNUMBER($H291)),$H291&lt;0,$H291&gt;1)),"Peso fuera de rango"&amp;" · ","")&amp;IF(AND($V291="Sub",$H291&lt;&gt;""),"Las subactividades no llevan peso (valen igual dentro de su macroactividad)"&amp;" · ","")&amp;IF(AND(N($W291)&gt;0,COUNT($I291:$L291)&gt;0),"Con subactividades: deje vacías las semanas (se calculan solas)"&amp;" · ","")&amp;IF((COUNTIF($I291:$L291,"&gt;1")+COUNTIF($I291:$L291,"&lt;0")+COUNTA($I291:$L291)-COUNT($I291:$L291))&gt;0,"Avance fuera de rango 0-100%"&amp;" · ","")&amp;IF(OR(AND($J291&lt;&gt;"",$J291&lt;$I291),AND($K291&lt;&gt;"",$K291&lt;MAX($I291:$J291)),AND($L291&lt;&gt;"",$L291&lt;MAX($I291:$K291))),"Avance semanal decreciente"&amp;" · ","")&amp;IF(AND(ISNUMBER($AN291),$AN291&lt;FechaRef,IF($V291="Sub",N($X291),N($M291))&lt;1),"Vencida"&amp;" · ","")&amp;IF(AND(ObsObligatoria="Sí",ISNUMBER($AN291),$AN291&lt;FechaRef,IF($V291="Sub",N($X291),N($M291))&lt;1,$Q291=""),"Vencida sin observación"&amp;" · ",""))="","✔ OK","⚠ "&amp;LEFT(IF($C291="","Falta el nombre de la actividad"&amp;" · ","")&amp;IF(AND($V291="Sub",N($U291)=0),"Subactividad sin macroactividad arriba"&amp;" · ","")&amp;IF($AM291="","Sin fecha de inicio"&amp;" · ","")&amp;IF($AN291="","Sin fecha límite"&amp;" · ","")&amp;IF(AND(LEFT($C291,11)="[Jefatura] ",N($AL291)=0),"No se encuentra en la hoja de la jefatura (elíjala de nuevo en la lista)"&amp;" · ","")&amp;IF(OR(AND($E291&lt;&gt;"",NOT(ISNUMBER($E291))),AND($F291&lt;&gt;"",NOT(ISNUMBER($F291))),AND($G291&lt;&gt;"",NOT(ISNUMBER($G291)))),"Fecha no válida"&amp;" · ","")&amp;IF(AND(ISNUMBER($AM291),ISNUMBER($AN291),$AM291&gt;$AN291),"Inicio posterior a fecha límite"&amp;" · ","")&amp;IF(AND($V291="Macro",$H291&lt;&gt;"",OR(NOT(ISNUMBER($H291)),$H291&lt;0,$H291&gt;1)),"Peso fuera de rango"&amp;" · ","")&amp;IF(AND($V291="Sub",$H291&lt;&gt;""),"Las subactividades no llevan peso (valen igual dentro de su macroactividad)"&amp;" · ","")&amp;IF(AND(N($W291)&gt;0,COUNT($I291:$L291)&gt;0),"Con subactividades: deje vacías las semanas (se calculan solas)"&amp;" · ","")&amp;IF((COUNTIF($I291:$L291,"&gt;1")+COUNTIF($I291:$L291,"&lt;0")+COUNTA($I291:$L291)-COUNT($I291:$L291))&gt;0,"Avance fuera de rango 0-100%"&amp;" · ","")&amp;IF(OR(AND($J291&lt;&gt;"",$J291&lt;$I291),AND($K291&lt;&gt;"",$K291&lt;MAX($I291:$J291)),AND($L291&lt;&gt;"",$L291&lt;MAX($I291:$K291))),"Avance semanal decreciente"&amp;" · ","")&amp;IF(AND(ISNUMBER($AN291),$AN291&lt;FechaRef,IF($V291="Sub",N($X291),N($M291))&lt;1),"Vencida"&amp;" · ","")&amp;IF(AND(ObsObligatoria="Sí",ISNUMBER($AN291),$AN291&lt;FechaRef,IF($V291="Sub",N($X291),N($M291))&lt;1,$Q291=""),"Vencida sin observación"&amp;" · ",""),LEN(IF($C291="","Falta el nombre de la actividad"&amp;" · ","")&amp;IF(AND($V291="Sub",N($U291)=0),"Subactividad sin macroactividad arriba"&amp;" · ","")&amp;IF($AM291="","Sin fecha de inicio"&amp;" · ","")&amp;IF($AN291="","Sin fecha límite"&amp;" · ","")&amp;IF(AND(LEFT($C291,11)="[Jefatura] ",N($AL291)=0),"No se encuentra en la hoja de la jefatura (elíjala de nuevo en la lista)"&amp;" · ","")&amp;IF(OR(AND($E291&lt;&gt;"",NOT(ISNUMBER($E291))),AND($F291&lt;&gt;"",NOT(ISNUMBER($F291))),AND($G291&lt;&gt;"",NOT(ISNUMBER($G291)))),"Fecha no válida"&amp;" · ","")&amp;IF(AND(ISNUMBER($AM291),ISNUMBER($AN291),$AM291&gt;$AN291),"Inicio posterior a fecha límite"&amp;" · ","")&amp;IF(AND($V291="Macro",$H291&lt;&gt;"",OR(NOT(ISNUMBER($H291)),$H291&lt;0,$H291&gt;1)),"Peso fuera de rango"&amp;" · ","")&amp;IF(AND($V291="Sub",$H291&lt;&gt;""),"Las subactividades no llevan peso (valen igual dentro de su macroactividad)"&amp;" · ","")&amp;IF(AND(N($W291)&gt;0,COUNT($I291:$L291)&gt;0),"Con subactividades: deje vacías las semanas (se calculan solas)"&amp;" · ","")&amp;IF((COUNTIF($I291:$L291,"&gt;1")+COUNTIF($I291:$L291,"&lt;0")+COUNTA($I291:$L291)-COUNT($I291:$L291))&gt;0,"Avance fuera de rango 0-100%"&amp;" · ","")&amp;IF(OR(AND($J291&lt;&gt;"",$J291&lt;$I291),AND($K291&lt;&gt;"",$K291&lt;MAX($I291:$J291)),AND($L291&lt;&gt;"",$L291&lt;MAX($I291:$K291))),"Avance semanal decreciente"&amp;" · ","")&amp;IF(AND(ISNUMBER($AN291),$AN291&lt;FechaRef,IF($V291="Sub",N($X291),N($M291))&lt;1),"Vencida"&amp;" · ","")&amp;IF(AND(ObsObligatoria="Sí",ISNUMBER($AN291),$AN291&lt;FechaRef,IF($V291="Sub",N($X291),N($M291))&lt;1,$Q291=""),"Vencida sin observación"&amp;" · ",""))-3)))</f>
        <v/>
      </c>
      <c r="S291" s="64">
        <f>IF(NOT((COUNTA($B291:$D291)+COUNTA($G291:$L291)+COUNTA($Q291))&gt;0),"",IF(AND($V291="Sub",N($U291)&gt;0),IF(ISNUMBER(INDEX($AM$5:$AM$1000,$U291-4)),DATE(YEAR(INDEX($AM$5:$AM$1000,$U291-4)),MONTH(INDEX($AM$5:$AM$1000,$U291-4)),1),IF(ISNUMBER(INDEX($AN$5:$AN$1000,$U291-4)),DATE(YEAR(INDEX($AN$5:$AN$1000,$U291-4)),MONTH(INDEX($AN$5:$AN$1000,$U291-4)),1),MesCiclo)),IF(ISNUMBER($AM291),DATE(YEAR($AM291),MONTH($AM291),1),IF(ISNUMBER($AN291),DATE(YEAR($AN291),MONTH($AN291),1),MesCiclo))))</f>
        <v/>
      </c>
      <c r="T291" s="62">
        <f>IF(OR($S291="",$S291&lt;&gt;MesCiclo,$V291&lt;&gt;"Macro"),"",COUNTIFS($S$5:$S291,MesCiclo,$V$5:$V291,"Macro"))</f>
        <v/>
      </c>
      <c r="U291" s="62">
        <f>IF($V291="","",IF($V291="Macro",ROW(),IFERROR(LOOKUP(2,1/($V$5:$V291="Macro"),ROW($V$5:$V291)),0)))</f>
        <v/>
      </c>
      <c r="V291" s="62">
        <f>IF(NOT((COUNTA($B291:$D291)+COUNTA($G291:$L291)+COUNTA($Q291))&gt;0),"",IF($B291="Subactividad","Sub","Macro"))</f>
        <v/>
      </c>
      <c r="W291" s="62">
        <f>IF($V291="Macro",COUNTIFS($U$5:$U$1000,ROW(),$V$5:$V$1000,"Sub"),"")</f>
        <v/>
      </c>
      <c r="X291" s="62">
        <f>IF($V291="","",IF(ISNUMBER($G291),1,IFERROR(LOOKUP(2,1/($I291:$L291&lt;&gt;""),$I291:$L291),0)))</f>
        <v/>
      </c>
      <c r="Y291" s="62">
        <f>IF($V291="","",IF(AND(ISNUMBER($G291),$G291&lt;=IF($S291=MesCiclo,InicioCiclo,$S291+MOD(2-WEEKDAY($S291),7))+6),1,IF(ISNUMBER($I291),$I291,0)))</f>
        <v/>
      </c>
      <c r="Z291" s="62">
        <f>IF($V291="","",IF(AND(ISNUMBER($G291),$G291&lt;=IF($S291=MesCiclo,InicioCiclo,$S291+MOD(2-WEEKDAY($S291),7))+13),1,IF(ISNUMBER($J291),$J291,$Y291)))</f>
        <v/>
      </c>
      <c r="AA291" s="62">
        <f>IF($V291="","",IF(AND(ISNUMBER($G291),$G291&lt;=IF($S291=MesCiclo,InicioCiclo,$S291+MOD(2-WEEKDAY($S291),7))+20),1,IF(ISNUMBER($K291),$K291,$Z291)))</f>
        <v/>
      </c>
      <c r="AB291" s="62">
        <f>IF($V291="","",IF(AND(ISNUMBER($G291),$G291&lt;=IF($S291=MesCiclo,InicioCiclo,$S291+MOD(2-WEEKDAY($S291),7))+27),1,IF(ISNUMBER($L291),$L291,$AA291)))</f>
        <v/>
      </c>
      <c r="AC291" s="62">
        <f>IF($V291="","",IF(AND(ISNUMBER($G291),$G291&lt;=IF($S291=MesCiclo,InicioCiclo,$S291+MOD(2-WEEKDAY($S291),7))+6),1,IF(N($W291)&gt;0,AVERAGEIFS($Y$5:$Y$1000,$U$5:$U$1000,ROW(),$V$5:$V$1000,"Sub"),$Y291)))</f>
        <v/>
      </c>
      <c r="AD291" s="62">
        <f>IF($V291="","",IF(AND(ISNUMBER($G291),$G291&lt;=IF($S291=MesCiclo,InicioCiclo,$S291+MOD(2-WEEKDAY($S291),7))+13),1,IF(N($W291)&gt;0,AVERAGEIFS($Z$5:$Z$1000,$U$5:$U$1000,ROW(),$V$5:$V$1000,"Sub"),$Z291)))</f>
        <v/>
      </c>
      <c r="AE291" s="62">
        <f>IF($V291="","",IF(AND(ISNUMBER($G291),$G291&lt;=IF($S291=MesCiclo,InicioCiclo,$S291+MOD(2-WEEKDAY($S291),7))+20),1,IF(N($W291)&gt;0,AVERAGEIFS($AA$5:$AA$1000,$U$5:$U$1000,ROW(),$V$5:$V$1000,"Sub"),$AA291)))</f>
        <v/>
      </c>
      <c r="AF291" s="62">
        <f>IF($V291="","",IF(AND(ISNUMBER($G291),$G291&lt;=IF($S291=MesCiclo,InicioCiclo,$S291+MOD(2-WEEKDAY($S291),7))+27),1,IF(N($W291)&gt;0,AVERAGEIFS($AB$5:$AB$1000,$U$5:$U$1000,ROW(),$V$5:$V$1000,"Sub"),$AB291)))</f>
        <v/>
      </c>
      <c r="AG291" s="62">
        <f>IF($V291&lt;&gt;"Macro","",IF(COUNTIFS($S$5:$S$1000,$S291,$V$5:$V$1000,"Macro",$H$5:$H$1000,"&gt;0")=0,1/COUNTIFS($S$5:$S$1000,$S291,$V$5:$V$1000,"Macro"),IF(AND(ISNUMBER($H291),N($H291)&gt;0),$H291,SUMIFS($H$5:$H$1000,$S$5:$S$1000,$S291,$V$5:$V$1000,"Macro")/COUNTIFS($S$5:$S$1000,$S291,$V$5:$V$1000,"Macro",$H$5:$H$1000,"&gt;0"))/(COUNTIFS($S$5:$S$1000,$S291,$V$5:$V$1000,"Macro")*SUMIFS($H$5:$H$1000,$S$5:$S$1000,$S291,$V$5:$V$1000,"Macro")/COUNTIFS($S$5:$S$1000,$S291,$V$5:$V$1000,"Macro",$H$5:$H$1000,"&gt;0"))))</f>
        <v/>
      </c>
      <c r="AH291" s="62" t="n"/>
      <c r="AI291" s="62" t="n"/>
      <c r="AJ291" s="62" t="n"/>
      <c r="AK291" s="62" t="n"/>
      <c r="AL291" s="62">
        <f>IF(LEFT($C291,11)="[Jefatura] ",IFERROR(MATCH("Riesgo Operacional|"&amp;MID($C291,12,500),rDname_ADM,0),0),"")</f>
        <v/>
      </c>
      <c r="AM291" s="62">
        <f>IF(N($AL291)&gt;0,INDEX(rIni_ADM,$AL291),IF(ISNUMBER($E291),$E291,""))</f>
        <v/>
      </c>
      <c r="AN291" s="62">
        <f>IF(N($AL291)&gt;0,INDEX(rLim_ADM,$AL291),IF(ISNUMBER($F291),$F291,""))</f>
        <v/>
      </c>
    </row>
    <row r="292">
      <c r="A292" s="56">
        <f>IF(NOT((COUNTA($B292:$D292)+COUNTA($G292:$L292)+COUNTA($Q292))&gt;0),"",IF($V292="Macro",COUNTIFS($V$5:$V292,"Macro",$S$5:$S292,$S292),IF(N($U292)=0,"?",COUNTIFS(INDEX($V$5:$V$1000,1):INDEX($V$5:$V$1000,$U292-4),"Macro",INDEX($S$5:$S$1000,1):INDEX($S$5:$S$1000,$U292-4),INDEX($S$5:$S$1000,$U292-4))&amp;"."&amp;COUNTIFS($U$5:$U292,$U292,$V$5:$V292,"Sub"))))</f>
        <v/>
      </c>
      <c r="B292" s="57" t="n"/>
      <c r="C292" s="58" t="n"/>
      <c r="D292" s="58" t="n"/>
      <c r="E292" s="59">
        <f>IF(N($AL292)&gt;0,INDEX(rIni_ADM,$AL292),"")</f>
        <v/>
      </c>
      <c r="F292" s="59">
        <f>IF(N($AL292)&gt;0,INDEX(rLim_ADM,$AL292),"")</f>
        <v/>
      </c>
      <c r="G292" s="59" t="n"/>
      <c r="H292" s="60" t="n"/>
      <c r="I292" s="60" t="n"/>
      <c r="J292" s="60" t="n"/>
      <c r="K292" s="60" t="n"/>
      <c r="L292" s="60" t="n"/>
      <c r="M292" s="61">
        <f>IF(NOT((COUNTA($B292:$D292)+COUNTA($G292:$L292)+COUNTA($Q292))&gt;0),"",IF($V292="Sub",IFERROR($X292/INDEX($W$5:$W$1000,$U292-4),""),IF(ISNUMBER($G292),1,IF(N($W292)&gt;0,AVERAGEIFS($X$5:$X$1000,$U$5:$U$1000,ROW(),$V$5:$V$1000,"Sub"),$X292))))</f>
        <v/>
      </c>
      <c r="N292" s="56">
        <f>IF(OR($M292="",$V292="Sub"),"",IF($M292&gt;=1,"Completado",IF($M292&gt;0,"En curso","Pendiente")))</f>
        <v/>
      </c>
      <c r="O292" s="56">
        <f>IF(OR(NOT((COUNTA($B292:$D292)+COUNTA($G292:$L292)+COUNTA($Q292))&gt;0),$V292="Sub"),"",IF(ISNUMBER($G292),IF(AND(ISNUMBER($AN292),$G292&gt;$AN292),"Cumplida con "&amp;($G292-$AN292)&amp;IF($G292-$AN292=1," día"," días")&amp;" de retraso","Cumplida"),IF(N($M292)&gt;=1,"Cumplida",IF(NOT(ISNUMBER($AN292)),"Sin fecha límite",IF($AN292&lt;FechaRef,"Vencida hace "&amp;(FechaRef-$AN292)&amp;IF(FechaRef-$AN292=1," día"," días"),IF($AN292=FechaRef,"Vence hoy",IF($AN292-FechaRef&lt;=DiasAlerta,"Vence en "&amp;($AN292-FechaRef)&amp;IF($AN292-FechaRef=1," día"," días"),"En plazo")))))))</f>
        <v/>
      </c>
      <c r="P292" s="62" t="n"/>
      <c r="Q292" s="58" t="n"/>
      <c r="R292" s="63">
        <f>IF(NOT((COUNTA($B292:$D292)+COUNTA($G292:$L292)+COUNTA($Q292))&gt;0),"",IF((IF($C292="","Falta el nombre de la actividad"&amp;" · ","")&amp;IF(AND($V292="Sub",N($U292)=0),"Subactividad sin macroactividad arriba"&amp;" · ","")&amp;IF($AM292="","Sin fecha de inicio"&amp;" · ","")&amp;IF($AN292="","Sin fecha límite"&amp;" · ","")&amp;IF(AND(LEFT($C292,11)="[Jefatura] ",N($AL292)=0),"No se encuentra en la hoja de la jefatura (elíjala de nuevo en la lista)"&amp;" · ","")&amp;IF(OR(AND($E292&lt;&gt;"",NOT(ISNUMBER($E292))),AND($F292&lt;&gt;"",NOT(ISNUMBER($F292))),AND($G292&lt;&gt;"",NOT(ISNUMBER($G292)))),"Fecha no válida"&amp;" · ","")&amp;IF(AND(ISNUMBER($AM292),ISNUMBER($AN292),$AM292&gt;$AN292),"Inicio posterior a fecha límite"&amp;" · ","")&amp;IF(AND($V292="Macro",$H292&lt;&gt;"",OR(NOT(ISNUMBER($H292)),$H292&lt;0,$H292&gt;1)),"Peso fuera de rango"&amp;" · ","")&amp;IF(AND($V292="Sub",$H292&lt;&gt;""),"Las subactividades no llevan peso (valen igual dentro de su macroactividad)"&amp;" · ","")&amp;IF(AND(N($W292)&gt;0,COUNT($I292:$L292)&gt;0),"Con subactividades: deje vacías las semanas (se calculan solas)"&amp;" · ","")&amp;IF((COUNTIF($I292:$L292,"&gt;1")+COUNTIF($I292:$L292,"&lt;0")+COUNTA($I292:$L292)-COUNT($I292:$L292))&gt;0,"Avance fuera de rango 0-100%"&amp;" · ","")&amp;IF(OR(AND($J292&lt;&gt;"",$J292&lt;$I292),AND($K292&lt;&gt;"",$K292&lt;MAX($I292:$J292)),AND($L292&lt;&gt;"",$L292&lt;MAX($I292:$K292))),"Avance semanal decreciente"&amp;" · ","")&amp;IF(AND(ISNUMBER($AN292),$AN292&lt;FechaRef,IF($V292="Sub",N($X292),N($M292))&lt;1),"Vencida"&amp;" · ","")&amp;IF(AND(ObsObligatoria="Sí",ISNUMBER($AN292),$AN292&lt;FechaRef,IF($V292="Sub",N($X292),N($M292))&lt;1,$Q292=""),"Vencida sin observación"&amp;" · ",""))="","✔ OK","⚠ "&amp;LEFT(IF($C292="","Falta el nombre de la actividad"&amp;" · ","")&amp;IF(AND($V292="Sub",N($U292)=0),"Subactividad sin macroactividad arriba"&amp;" · ","")&amp;IF($AM292="","Sin fecha de inicio"&amp;" · ","")&amp;IF($AN292="","Sin fecha límite"&amp;" · ","")&amp;IF(AND(LEFT($C292,11)="[Jefatura] ",N($AL292)=0),"No se encuentra en la hoja de la jefatura (elíjala de nuevo en la lista)"&amp;" · ","")&amp;IF(OR(AND($E292&lt;&gt;"",NOT(ISNUMBER($E292))),AND($F292&lt;&gt;"",NOT(ISNUMBER($F292))),AND($G292&lt;&gt;"",NOT(ISNUMBER($G292)))),"Fecha no válida"&amp;" · ","")&amp;IF(AND(ISNUMBER($AM292),ISNUMBER($AN292),$AM292&gt;$AN292),"Inicio posterior a fecha límite"&amp;" · ","")&amp;IF(AND($V292="Macro",$H292&lt;&gt;"",OR(NOT(ISNUMBER($H292)),$H292&lt;0,$H292&gt;1)),"Peso fuera de rango"&amp;" · ","")&amp;IF(AND($V292="Sub",$H292&lt;&gt;""),"Las subactividades no llevan peso (valen igual dentro de su macroactividad)"&amp;" · ","")&amp;IF(AND(N($W292)&gt;0,COUNT($I292:$L292)&gt;0),"Con subactividades: deje vacías las semanas (se calculan solas)"&amp;" · ","")&amp;IF((COUNTIF($I292:$L292,"&gt;1")+COUNTIF($I292:$L292,"&lt;0")+COUNTA($I292:$L292)-COUNT($I292:$L292))&gt;0,"Avance fuera de rango 0-100%"&amp;" · ","")&amp;IF(OR(AND($J292&lt;&gt;"",$J292&lt;$I292),AND($K292&lt;&gt;"",$K292&lt;MAX($I292:$J292)),AND($L292&lt;&gt;"",$L292&lt;MAX($I292:$K292))),"Avance semanal decreciente"&amp;" · ","")&amp;IF(AND(ISNUMBER($AN292),$AN292&lt;FechaRef,IF($V292="Sub",N($X292),N($M292))&lt;1),"Vencida"&amp;" · ","")&amp;IF(AND(ObsObligatoria="Sí",ISNUMBER($AN292),$AN292&lt;FechaRef,IF($V292="Sub",N($X292),N($M292))&lt;1,$Q292=""),"Vencida sin observación"&amp;" · ",""),LEN(IF($C292="","Falta el nombre de la actividad"&amp;" · ","")&amp;IF(AND($V292="Sub",N($U292)=0),"Subactividad sin macroactividad arriba"&amp;" · ","")&amp;IF($AM292="","Sin fecha de inicio"&amp;" · ","")&amp;IF($AN292="","Sin fecha límite"&amp;" · ","")&amp;IF(AND(LEFT($C292,11)="[Jefatura] ",N($AL292)=0),"No se encuentra en la hoja de la jefatura (elíjala de nuevo en la lista)"&amp;" · ","")&amp;IF(OR(AND($E292&lt;&gt;"",NOT(ISNUMBER($E292))),AND($F292&lt;&gt;"",NOT(ISNUMBER($F292))),AND($G292&lt;&gt;"",NOT(ISNUMBER($G292)))),"Fecha no válida"&amp;" · ","")&amp;IF(AND(ISNUMBER($AM292),ISNUMBER($AN292),$AM292&gt;$AN292),"Inicio posterior a fecha límite"&amp;" · ","")&amp;IF(AND($V292="Macro",$H292&lt;&gt;"",OR(NOT(ISNUMBER($H292)),$H292&lt;0,$H292&gt;1)),"Peso fuera de rango"&amp;" · ","")&amp;IF(AND($V292="Sub",$H292&lt;&gt;""),"Las subactividades no llevan peso (valen igual dentro de su macroactividad)"&amp;" · ","")&amp;IF(AND(N($W292)&gt;0,COUNT($I292:$L292)&gt;0),"Con subactividades: deje vacías las semanas (se calculan solas)"&amp;" · ","")&amp;IF((COUNTIF($I292:$L292,"&gt;1")+COUNTIF($I292:$L292,"&lt;0")+COUNTA($I292:$L292)-COUNT($I292:$L292))&gt;0,"Avance fuera de rango 0-100%"&amp;" · ","")&amp;IF(OR(AND($J292&lt;&gt;"",$J292&lt;$I292),AND($K292&lt;&gt;"",$K292&lt;MAX($I292:$J292)),AND($L292&lt;&gt;"",$L292&lt;MAX($I292:$K292))),"Avance semanal decreciente"&amp;" · ","")&amp;IF(AND(ISNUMBER($AN292),$AN292&lt;FechaRef,IF($V292="Sub",N($X292),N($M292))&lt;1),"Vencida"&amp;" · ","")&amp;IF(AND(ObsObligatoria="Sí",ISNUMBER($AN292),$AN292&lt;FechaRef,IF($V292="Sub",N($X292),N($M292))&lt;1,$Q292=""),"Vencida sin observación"&amp;" · ",""))-3)))</f>
        <v/>
      </c>
      <c r="S292" s="64">
        <f>IF(NOT((COUNTA($B292:$D292)+COUNTA($G292:$L292)+COUNTA($Q292))&gt;0),"",IF(AND($V292="Sub",N($U292)&gt;0),IF(ISNUMBER(INDEX($AM$5:$AM$1000,$U292-4)),DATE(YEAR(INDEX($AM$5:$AM$1000,$U292-4)),MONTH(INDEX($AM$5:$AM$1000,$U292-4)),1),IF(ISNUMBER(INDEX($AN$5:$AN$1000,$U292-4)),DATE(YEAR(INDEX($AN$5:$AN$1000,$U292-4)),MONTH(INDEX($AN$5:$AN$1000,$U292-4)),1),MesCiclo)),IF(ISNUMBER($AM292),DATE(YEAR($AM292),MONTH($AM292),1),IF(ISNUMBER($AN292),DATE(YEAR($AN292),MONTH($AN292),1),MesCiclo))))</f>
        <v/>
      </c>
      <c r="T292" s="62">
        <f>IF(OR($S292="",$S292&lt;&gt;MesCiclo,$V292&lt;&gt;"Macro"),"",COUNTIFS($S$5:$S292,MesCiclo,$V$5:$V292,"Macro"))</f>
        <v/>
      </c>
      <c r="U292" s="62">
        <f>IF($V292="","",IF($V292="Macro",ROW(),IFERROR(LOOKUP(2,1/($V$5:$V292="Macro"),ROW($V$5:$V292)),0)))</f>
        <v/>
      </c>
      <c r="V292" s="62">
        <f>IF(NOT((COUNTA($B292:$D292)+COUNTA($G292:$L292)+COUNTA($Q292))&gt;0),"",IF($B292="Subactividad","Sub","Macro"))</f>
        <v/>
      </c>
      <c r="W292" s="62">
        <f>IF($V292="Macro",COUNTIFS($U$5:$U$1000,ROW(),$V$5:$V$1000,"Sub"),"")</f>
        <v/>
      </c>
      <c r="X292" s="62">
        <f>IF($V292="","",IF(ISNUMBER($G292),1,IFERROR(LOOKUP(2,1/($I292:$L292&lt;&gt;""),$I292:$L292),0)))</f>
        <v/>
      </c>
      <c r="Y292" s="62">
        <f>IF($V292="","",IF(AND(ISNUMBER($G292),$G292&lt;=IF($S292=MesCiclo,InicioCiclo,$S292+MOD(2-WEEKDAY($S292),7))+6),1,IF(ISNUMBER($I292),$I292,0)))</f>
        <v/>
      </c>
      <c r="Z292" s="62">
        <f>IF($V292="","",IF(AND(ISNUMBER($G292),$G292&lt;=IF($S292=MesCiclo,InicioCiclo,$S292+MOD(2-WEEKDAY($S292),7))+13),1,IF(ISNUMBER($J292),$J292,$Y292)))</f>
        <v/>
      </c>
      <c r="AA292" s="62">
        <f>IF($V292="","",IF(AND(ISNUMBER($G292),$G292&lt;=IF($S292=MesCiclo,InicioCiclo,$S292+MOD(2-WEEKDAY($S292),7))+20),1,IF(ISNUMBER($K292),$K292,$Z292)))</f>
        <v/>
      </c>
      <c r="AB292" s="62">
        <f>IF($V292="","",IF(AND(ISNUMBER($G292),$G292&lt;=IF($S292=MesCiclo,InicioCiclo,$S292+MOD(2-WEEKDAY($S292),7))+27),1,IF(ISNUMBER($L292),$L292,$AA292)))</f>
        <v/>
      </c>
      <c r="AC292" s="62">
        <f>IF($V292="","",IF(AND(ISNUMBER($G292),$G292&lt;=IF($S292=MesCiclo,InicioCiclo,$S292+MOD(2-WEEKDAY($S292),7))+6),1,IF(N($W292)&gt;0,AVERAGEIFS($Y$5:$Y$1000,$U$5:$U$1000,ROW(),$V$5:$V$1000,"Sub"),$Y292)))</f>
        <v/>
      </c>
      <c r="AD292" s="62">
        <f>IF($V292="","",IF(AND(ISNUMBER($G292),$G292&lt;=IF($S292=MesCiclo,InicioCiclo,$S292+MOD(2-WEEKDAY($S292),7))+13),1,IF(N($W292)&gt;0,AVERAGEIFS($Z$5:$Z$1000,$U$5:$U$1000,ROW(),$V$5:$V$1000,"Sub"),$Z292)))</f>
        <v/>
      </c>
      <c r="AE292" s="62">
        <f>IF($V292="","",IF(AND(ISNUMBER($G292),$G292&lt;=IF($S292=MesCiclo,InicioCiclo,$S292+MOD(2-WEEKDAY($S292),7))+20),1,IF(N($W292)&gt;0,AVERAGEIFS($AA$5:$AA$1000,$U$5:$U$1000,ROW(),$V$5:$V$1000,"Sub"),$AA292)))</f>
        <v/>
      </c>
      <c r="AF292" s="62">
        <f>IF($V292="","",IF(AND(ISNUMBER($G292),$G292&lt;=IF($S292=MesCiclo,InicioCiclo,$S292+MOD(2-WEEKDAY($S292),7))+27),1,IF(N($W292)&gt;0,AVERAGEIFS($AB$5:$AB$1000,$U$5:$U$1000,ROW(),$V$5:$V$1000,"Sub"),$AB292)))</f>
        <v/>
      </c>
      <c r="AG292" s="62">
        <f>IF($V292&lt;&gt;"Macro","",IF(COUNTIFS($S$5:$S$1000,$S292,$V$5:$V$1000,"Macro",$H$5:$H$1000,"&gt;0")=0,1/COUNTIFS($S$5:$S$1000,$S292,$V$5:$V$1000,"Macro"),IF(AND(ISNUMBER($H292),N($H292)&gt;0),$H292,SUMIFS($H$5:$H$1000,$S$5:$S$1000,$S292,$V$5:$V$1000,"Macro")/COUNTIFS($S$5:$S$1000,$S292,$V$5:$V$1000,"Macro",$H$5:$H$1000,"&gt;0"))/(COUNTIFS($S$5:$S$1000,$S292,$V$5:$V$1000,"Macro")*SUMIFS($H$5:$H$1000,$S$5:$S$1000,$S292,$V$5:$V$1000,"Macro")/COUNTIFS($S$5:$S$1000,$S292,$V$5:$V$1000,"Macro",$H$5:$H$1000,"&gt;0"))))</f>
        <v/>
      </c>
      <c r="AH292" s="62" t="n"/>
      <c r="AI292" s="62" t="n"/>
      <c r="AJ292" s="62" t="n"/>
      <c r="AK292" s="62" t="n"/>
      <c r="AL292" s="62">
        <f>IF(LEFT($C292,11)="[Jefatura] ",IFERROR(MATCH("Riesgo Operacional|"&amp;MID($C292,12,500),rDname_ADM,0),0),"")</f>
        <v/>
      </c>
      <c r="AM292" s="62">
        <f>IF(N($AL292)&gt;0,INDEX(rIni_ADM,$AL292),IF(ISNUMBER($E292),$E292,""))</f>
        <v/>
      </c>
      <c r="AN292" s="62">
        <f>IF(N($AL292)&gt;0,INDEX(rLim_ADM,$AL292),IF(ISNUMBER($F292),$F292,""))</f>
        <v/>
      </c>
    </row>
    <row r="293">
      <c r="A293" s="56">
        <f>IF(NOT((COUNTA($B293:$D293)+COUNTA($G293:$L293)+COUNTA($Q293))&gt;0),"",IF($V293="Macro",COUNTIFS($V$5:$V293,"Macro",$S$5:$S293,$S293),IF(N($U293)=0,"?",COUNTIFS(INDEX($V$5:$V$1000,1):INDEX($V$5:$V$1000,$U293-4),"Macro",INDEX($S$5:$S$1000,1):INDEX($S$5:$S$1000,$U293-4),INDEX($S$5:$S$1000,$U293-4))&amp;"."&amp;COUNTIFS($U$5:$U293,$U293,$V$5:$V293,"Sub"))))</f>
        <v/>
      </c>
      <c r="B293" s="57" t="n"/>
      <c r="C293" s="58" t="n"/>
      <c r="D293" s="58" t="n"/>
      <c r="E293" s="59">
        <f>IF(N($AL293)&gt;0,INDEX(rIni_ADM,$AL293),"")</f>
        <v/>
      </c>
      <c r="F293" s="59">
        <f>IF(N($AL293)&gt;0,INDEX(rLim_ADM,$AL293),"")</f>
        <v/>
      </c>
      <c r="G293" s="59" t="n"/>
      <c r="H293" s="60" t="n"/>
      <c r="I293" s="60" t="n"/>
      <c r="J293" s="60" t="n"/>
      <c r="K293" s="60" t="n"/>
      <c r="L293" s="60" t="n"/>
      <c r="M293" s="61">
        <f>IF(NOT((COUNTA($B293:$D293)+COUNTA($G293:$L293)+COUNTA($Q293))&gt;0),"",IF($V293="Sub",IFERROR($X293/INDEX($W$5:$W$1000,$U293-4),""),IF(ISNUMBER($G293),1,IF(N($W293)&gt;0,AVERAGEIFS($X$5:$X$1000,$U$5:$U$1000,ROW(),$V$5:$V$1000,"Sub"),$X293))))</f>
        <v/>
      </c>
      <c r="N293" s="56">
        <f>IF(OR($M293="",$V293="Sub"),"",IF($M293&gt;=1,"Completado",IF($M293&gt;0,"En curso","Pendiente")))</f>
        <v/>
      </c>
      <c r="O293" s="56">
        <f>IF(OR(NOT((COUNTA($B293:$D293)+COUNTA($G293:$L293)+COUNTA($Q293))&gt;0),$V293="Sub"),"",IF(ISNUMBER($G293),IF(AND(ISNUMBER($AN293),$G293&gt;$AN293),"Cumplida con "&amp;($G293-$AN293)&amp;IF($G293-$AN293=1," día"," días")&amp;" de retraso","Cumplida"),IF(N($M293)&gt;=1,"Cumplida",IF(NOT(ISNUMBER($AN293)),"Sin fecha límite",IF($AN293&lt;FechaRef,"Vencida hace "&amp;(FechaRef-$AN293)&amp;IF(FechaRef-$AN293=1," día"," días"),IF($AN293=FechaRef,"Vence hoy",IF($AN293-FechaRef&lt;=DiasAlerta,"Vence en "&amp;($AN293-FechaRef)&amp;IF($AN293-FechaRef=1," día"," días"),"En plazo")))))))</f>
        <v/>
      </c>
      <c r="P293" s="62" t="n"/>
      <c r="Q293" s="58" t="n"/>
      <c r="R293" s="63">
        <f>IF(NOT((COUNTA($B293:$D293)+COUNTA($G293:$L293)+COUNTA($Q293))&gt;0),"",IF((IF($C293="","Falta el nombre de la actividad"&amp;" · ","")&amp;IF(AND($V293="Sub",N($U293)=0),"Subactividad sin macroactividad arriba"&amp;" · ","")&amp;IF($AM293="","Sin fecha de inicio"&amp;" · ","")&amp;IF($AN293="","Sin fecha límite"&amp;" · ","")&amp;IF(AND(LEFT($C293,11)="[Jefatura] ",N($AL293)=0),"No se encuentra en la hoja de la jefatura (elíjala de nuevo en la lista)"&amp;" · ","")&amp;IF(OR(AND($E293&lt;&gt;"",NOT(ISNUMBER($E293))),AND($F293&lt;&gt;"",NOT(ISNUMBER($F293))),AND($G293&lt;&gt;"",NOT(ISNUMBER($G293)))),"Fecha no válida"&amp;" · ","")&amp;IF(AND(ISNUMBER($AM293),ISNUMBER($AN293),$AM293&gt;$AN293),"Inicio posterior a fecha límite"&amp;" · ","")&amp;IF(AND($V293="Macro",$H293&lt;&gt;"",OR(NOT(ISNUMBER($H293)),$H293&lt;0,$H293&gt;1)),"Peso fuera de rango"&amp;" · ","")&amp;IF(AND($V293="Sub",$H293&lt;&gt;""),"Las subactividades no llevan peso (valen igual dentro de su macroactividad)"&amp;" · ","")&amp;IF(AND(N($W293)&gt;0,COUNT($I293:$L293)&gt;0),"Con subactividades: deje vacías las semanas (se calculan solas)"&amp;" · ","")&amp;IF((COUNTIF($I293:$L293,"&gt;1")+COUNTIF($I293:$L293,"&lt;0")+COUNTA($I293:$L293)-COUNT($I293:$L293))&gt;0,"Avance fuera de rango 0-100%"&amp;" · ","")&amp;IF(OR(AND($J293&lt;&gt;"",$J293&lt;$I293),AND($K293&lt;&gt;"",$K293&lt;MAX($I293:$J293)),AND($L293&lt;&gt;"",$L293&lt;MAX($I293:$K293))),"Avance semanal decreciente"&amp;" · ","")&amp;IF(AND(ISNUMBER($AN293),$AN293&lt;FechaRef,IF($V293="Sub",N($X293),N($M293))&lt;1),"Vencida"&amp;" · ","")&amp;IF(AND(ObsObligatoria="Sí",ISNUMBER($AN293),$AN293&lt;FechaRef,IF($V293="Sub",N($X293),N($M293))&lt;1,$Q293=""),"Vencida sin observación"&amp;" · ",""))="","✔ OK","⚠ "&amp;LEFT(IF($C293="","Falta el nombre de la actividad"&amp;" · ","")&amp;IF(AND($V293="Sub",N($U293)=0),"Subactividad sin macroactividad arriba"&amp;" · ","")&amp;IF($AM293="","Sin fecha de inicio"&amp;" · ","")&amp;IF($AN293="","Sin fecha límite"&amp;" · ","")&amp;IF(AND(LEFT($C293,11)="[Jefatura] ",N($AL293)=0),"No se encuentra en la hoja de la jefatura (elíjala de nuevo en la lista)"&amp;" · ","")&amp;IF(OR(AND($E293&lt;&gt;"",NOT(ISNUMBER($E293))),AND($F293&lt;&gt;"",NOT(ISNUMBER($F293))),AND($G293&lt;&gt;"",NOT(ISNUMBER($G293)))),"Fecha no válida"&amp;" · ","")&amp;IF(AND(ISNUMBER($AM293),ISNUMBER($AN293),$AM293&gt;$AN293),"Inicio posterior a fecha límite"&amp;" · ","")&amp;IF(AND($V293="Macro",$H293&lt;&gt;"",OR(NOT(ISNUMBER($H293)),$H293&lt;0,$H293&gt;1)),"Peso fuera de rango"&amp;" · ","")&amp;IF(AND($V293="Sub",$H293&lt;&gt;""),"Las subactividades no llevan peso (valen igual dentro de su macroactividad)"&amp;" · ","")&amp;IF(AND(N($W293)&gt;0,COUNT($I293:$L293)&gt;0),"Con subactividades: deje vacías las semanas (se calculan solas)"&amp;" · ","")&amp;IF((COUNTIF($I293:$L293,"&gt;1")+COUNTIF($I293:$L293,"&lt;0")+COUNTA($I293:$L293)-COUNT($I293:$L293))&gt;0,"Avance fuera de rango 0-100%"&amp;" · ","")&amp;IF(OR(AND($J293&lt;&gt;"",$J293&lt;$I293),AND($K293&lt;&gt;"",$K293&lt;MAX($I293:$J293)),AND($L293&lt;&gt;"",$L293&lt;MAX($I293:$K293))),"Avance semanal decreciente"&amp;" · ","")&amp;IF(AND(ISNUMBER($AN293),$AN293&lt;FechaRef,IF($V293="Sub",N($X293),N($M293))&lt;1),"Vencida"&amp;" · ","")&amp;IF(AND(ObsObligatoria="Sí",ISNUMBER($AN293),$AN293&lt;FechaRef,IF($V293="Sub",N($X293),N($M293))&lt;1,$Q293=""),"Vencida sin observación"&amp;" · ",""),LEN(IF($C293="","Falta el nombre de la actividad"&amp;" · ","")&amp;IF(AND($V293="Sub",N($U293)=0),"Subactividad sin macroactividad arriba"&amp;" · ","")&amp;IF($AM293="","Sin fecha de inicio"&amp;" · ","")&amp;IF($AN293="","Sin fecha límite"&amp;" · ","")&amp;IF(AND(LEFT($C293,11)="[Jefatura] ",N($AL293)=0),"No se encuentra en la hoja de la jefatura (elíjala de nuevo en la lista)"&amp;" · ","")&amp;IF(OR(AND($E293&lt;&gt;"",NOT(ISNUMBER($E293))),AND($F293&lt;&gt;"",NOT(ISNUMBER($F293))),AND($G293&lt;&gt;"",NOT(ISNUMBER($G293)))),"Fecha no válida"&amp;" · ","")&amp;IF(AND(ISNUMBER($AM293),ISNUMBER($AN293),$AM293&gt;$AN293),"Inicio posterior a fecha límite"&amp;" · ","")&amp;IF(AND($V293="Macro",$H293&lt;&gt;"",OR(NOT(ISNUMBER($H293)),$H293&lt;0,$H293&gt;1)),"Peso fuera de rango"&amp;" · ","")&amp;IF(AND($V293="Sub",$H293&lt;&gt;""),"Las subactividades no llevan peso (valen igual dentro de su macroactividad)"&amp;" · ","")&amp;IF(AND(N($W293)&gt;0,COUNT($I293:$L293)&gt;0),"Con subactividades: deje vacías las semanas (se calculan solas)"&amp;" · ","")&amp;IF((COUNTIF($I293:$L293,"&gt;1")+COUNTIF($I293:$L293,"&lt;0")+COUNTA($I293:$L293)-COUNT($I293:$L293))&gt;0,"Avance fuera de rango 0-100%"&amp;" · ","")&amp;IF(OR(AND($J293&lt;&gt;"",$J293&lt;$I293),AND($K293&lt;&gt;"",$K293&lt;MAX($I293:$J293)),AND($L293&lt;&gt;"",$L293&lt;MAX($I293:$K293))),"Avance semanal decreciente"&amp;" · ","")&amp;IF(AND(ISNUMBER($AN293),$AN293&lt;FechaRef,IF($V293="Sub",N($X293),N($M293))&lt;1),"Vencida"&amp;" · ","")&amp;IF(AND(ObsObligatoria="Sí",ISNUMBER($AN293),$AN293&lt;FechaRef,IF($V293="Sub",N($X293),N($M293))&lt;1,$Q293=""),"Vencida sin observación"&amp;" · ",""))-3)))</f>
        <v/>
      </c>
      <c r="S293" s="64">
        <f>IF(NOT((COUNTA($B293:$D293)+COUNTA($G293:$L293)+COUNTA($Q293))&gt;0),"",IF(AND($V293="Sub",N($U293)&gt;0),IF(ISNUMBER(INDEX($AM$5:$AM$1000,$U293-4)),DATE(YEAR(INDEX($AM$5:$AM$1000,$U293-4)),MONTH(INDEX($AM$5:$AM$1000,$U293-4)),1),IF(ISNUMBER(INDEX($AN$5:$AN$1000,$U293-4)),DATE(YEAR(INDEX($AN$5:$AN$1000,$U293-4)),MONTH(INDEX($AN$5:$AN$1000,$U293-4)),1),MesCiclo)),IF(ISNUMBER($AM293),DATE(YEAR($AM293),MONTH($AM293),1),IF(ISNUMBER($AN293),DATE(YEAR($AN293),MONTH($AN293),1),MesCiclo))))</f>
        <v/>
      </c>
      <c r="T293" s="62">
        <f>IF(OR($S293="",$S293&lt;&gt;MesCiclo,$V293&lt;&gt;"Macro"),"",COUNTIFS($S$5:$S293,MesCiclo,$V$5:$V293,"Macro"))</f>
        <v/>
      </c>
      <c r="U293" s="62">
        <f>IF($V293="","",IF($V293="Macro",ROW(),IFERROR(LOOKUP(2,1/($V$5:$V293="Macro"),ROW($V$5:$V293)),0)))</f>
        <v/>
      </c>
      <c r="V293" s="62">
        <f>IF(NOT((COUNTA($B293:$D293)+COUNTA($G293:$L293)+COUNTA($Q293))&gt;0),"",IF($B293="Subactividad","Sub","Macro"))</f>
        <v/>
      </c>
      <c r="W293" s="62">
        <f>IF($V293="Macro",COUNTIFS($U$5:$U$1000,ROW(),$V$5:$V$1000,"Sub"),"")</f>
        <v/>
      </c>
      <c r="X293" s="62">
        <f>IF($V293="","",IF(ISNUMBER($G293),1,IFERROR(LOOKUP(2,1/($I293:$L293&lt;&gt;""),$I293:$L293),0)))</f>
        <v/>
      </c>
      <c r="Y293" s="62">
        <f>IF($V293="","",IF(AND(ISNUMBER($G293),$G293&lt;=IF($S293=MesCiclo,InicioCiclo,$S293+MOD(2-WEEKDAY($S293),7))+6),1,IF(ISNUMBER($I293),$I293,0)))</f>
        <v/>
      </c>
      <c r="Z293" s="62">
        <f>IF($V293="","",IF(AND(ISNUMBER($G293),$G293&lt;=IF($S293=MesCiclo,InicioCiclo,$S293+MOD(2-WEEKDAY($S293),7))+13),1,IF(ISNUMBER($J293),$J293,$Y293)))</f>
        <v/>
      </c>
      <c r="AA293" s="62">
        <f>IF($V293="","",IF(AND(ISNUMBER($G293),$G293&lt;=IF($S293=MesCiclo,InicioCiclo,$S293+MOD(2-WEEKDAY($S293),7))+20),1,IF(ISNUMBER($K293),$K293,$Z293)))</f>
        <v/>
      </c>
      <c r="AB293" s="62">
        <f>IF($V293="","",IF(AND(ISNUMBER($G293),$G293&lt;=IF($S293=MesCiclo,InicioCiclo,$S293+MOD(2-WEEKDAY($S293),7))+27),1,IF(ISNUMBER($L293),$L293,$AA293)))</f>
        <v/>
      </c>
      <c r="AC293" s="62">
        <f>IF($V293="","",IF(AND(ISNUMBER($G293),$G293&lt;=IF($S293=MesCiclo,InicioCiclo,$S293+MOD(2-WEEKDAY($S293),7))+6),1,IF(N($W293)&gt;0,AVERAGEIFS($Y$5:$Y$1000,$U$5:$U$1000,ROW(),$V$5:$V$1000,"Sub"),$Y293)))</f>
        <v/>
      </c>
      <c r="AD293" s="62">
        <f>IF($V293="","",IF(AND(ISNUMBER($G293),$G293&lt;=IF($S293=MesCiclo,InicioCiclo,$S293+MOD(2-WEEKDAY($S293),7))+13),1,IF(N($W293)&gt;0,AVERAGEIFS($Z$5:$Z$1000,$U$5:$U$1000,ROW(),$V$5:$V$1000,"Sub"),$Z293)))</f>
        <v/>
      </c>
      <c r="AE293" s="62">
        <f>IF($V293="","",IF(AND(ISNUMBER($G293),$G293&lt;=IF($S293=MesCiclo,InicioCiclo,$S293+MOD(2-WEEKDAY($S293),7))+20),1,IF(N($W293)&gt;0,AVERAGEIFS($AA$5:$AA$1000,$U$5:$U$1000,ROW(),$V$5:$V$1000,"Sub"),$AA293)))</f>
        <v/>
      </c>
      <c r="AF293" s="62">
        <f>IF($V293="","",IF(AND(ISNUMBER($G293),$G293&lt;=IF($S293=MesCiclo,InicioCiclo,$S293+MOD(2-WEEKDAY($S293),7))+27),1,IF(N($W293)&gt;0,AVERAGEIFS($AB$5:$AB$1000,$U$5:$U$1000,ROW(),$V$5:$V$1000,"Sub"),$AB293)))</f>
        <v/>
      </c>
      <c r="AG293" s="62">
        <f>IF($V293&lt;&gt;"Macro","",IF(COUNTIFS($S$5:$S$1000,$S293,$V$5:$V$1000,"Macro",$H$5:$H$1000,"&gt;0")=0,1/COUNTIFS($S$5:$S$1000,$S293,$V$5:$V$1000,"Macro"),IF(AND(ISNUMBER($H293),N($H293)&gt;0),$H293,SUMIFS($H$5:$H$1000,$S$5:$S$1000,$S293,$V$5:$V$1000,"Macro")/COUNTIFS($S$5:$S$1000,$S293,$V$5:$V$1000,"Macro",$H$5:$H$1000,"&gt;0"))/(COUNTIFS($S$5:$S$1000,$S293,$V$5:$V$1000,"Macro")*SUMIFS($H$5:$H$1000,$S$5:$S$1000,$S293,$V$5:$V$1000,"Macro")/COUNTIFS($S$5:$S$1000,$S293,$V$5:$V$1000,"Macro",$H$5:$H$1000,"&gt;0"))))</f>
        <v/>
      </c>
      <c r="AH293" s="62" t="n"/>
      <c r="AI293" s="62" t="n"/>
      <c r="AJ293" s="62" t="n"/>
      <c r="AK293" s="62" t="n"/>
      <c r="AL293" s="62">
        <f>IF(LEFT($C293,11)="[Jefatura] ",IFERROR(MATCH("Riesgo Operacional|"&amp;MID($C293,12,500),rDname_ADM,0),0),"")</f>
        <v/>
      </c>
      <c r="AM293" s="62">
        <f>IF(N($AL293)&gt;0,INDEX(rIni_ADM,$AL293),IF(ISNUMBER($E293),$E293,""))</f>
        <v/>
      </c>
      <c r="AN293" s="62">
        <f>IF(N($AL293)&gt;0,INDEX(rLim_ADM,$AL293),IF(ISNUMBER($F293),$F293,""))</f>
        <v/>
      </c>
    </row>
    <row r="294">
      <c r="A294" s="56">
        <f>IF(NOT((COUNTA($B294:$D294)+COUNTA($G294:$L294)+COUNTA($Q294))&gt;0),"",IF($V294="Macro",COUNTIFS($V$5:$V294,"Macro",$S$5:$S294,$S294),IF(N($U294)=0,"?",COUNTIFS(INDEX($V$5:$V$1000,1):INDEX($V$5:$V$1000,$U294-4),"Macro",INDEX($S$5:$S$1000,1):INDEX($S$5:$S$1000,$U294-4),INDEX($S$5:$S$1000,$U294-4))&amp;"."&amp;COUNTIFS($U$5:$U294,$U294,$V$5:$V294,"Sub"))))</f>
        <v/>
      </c>
      <c r="B294" s="57" t="n"/>
      <c r="C294" s="58" t="n"/>
      <c r="D294" s="58" t="n"/>
      <c r="E294" s="59">
        <f>IF(N($AL294)&gt;0,INDEX(rIni_ADM,$AL294),"")</f>
        <v/>
      </c>
      <c r="F294" s="59">
        <f>IF(N($AL294)&gt;0,INDEX(rLim_ADM,$AL294),"")</f>
        <v/>
      </c>
      <c r="G294" s="59" t="n"/>
      <c r="H294" s="60" t="n"/>
      <c r="I294" s="60" t="n"/>
      <c r="J294" s="60" t="n"/>
      <c r="K294" s="60" t="n"/>
      <c r="L294" s="60" t="n"/>
      <c r="M294" s="61">
        <f>IF(NOT((COUNTA($B294:$D294)+COUNTA($G294:$L294)+COUNTA($Q294))&gt;0),"",IF($V294="Sub",IFERROR($X294/INDEX($W$5:$W$1000,$U294-4),""),IF(ISNUMBER($G294),1,IF(N($W294)&gt;0,AVERAGEIFS($X$5:$X$1000,$U$5:$U$1000,ROW(),$V$5:$V$1000,"Sub"),$X294))))</f>
        <v/>
      </c>
      <c r="N294" s="56">
        <f>IF(OR($M294="",$V294="Sub"),"",IF($M294&gt;=1,"Completado",IF($M294&gt;0,"En curso","Pendiente")))</f>
        <v/>
      </c>
      <c r="O294" s="56">
        <f>IF(OR(NOT((COUNTA($B294:$D294)+COUNTA($G294:$L294)+COUNTA($Q294))&gt;0),$V294="Sub"),"",IF(ISNUMBER($G294),IF(AND(ISNUMBER($AN294),$G294&gt;$AN294),"Cumplida con "&amp;($G294-$AN294)&amp;IF($G294-$AN294=1," día"," días")&amp;" de retraso","Cumplida"),IF(N($M294)&gt;=1,"Cumplida",IF(NOT(ISNUMBER($AN294)),"Sin fecha límite",IF($AN294&lt;FechaRef,"Vencida hace "&amp;(FechaRef-$AN294)&amp;IF(FechaRef-$AN294=1," día"," días"),IF($AN294=FechaRef,"Vence hoy",IF($AN294-FechaRef&lt;=DiasAlerta,"Vence en "&amp;($AN294-FechaRef)&amp;IF($AN294-FechaRef=1," día"," días"),"En plazo")))))))</f>
        <v/>
      </c>
      <c r="P294" s="62" t="n"/>
      <c r="Q294" s="58" t="n"/>
      <c r="R294" s="63">
        <f>IF(NOT((COUNTA($B294:$D294)+COUNTA($G294:$L294)+COUNTA($Q294))&gt;0),"",IF((IF($C294="","Falta el nombre de la actividad"&amp;" · ","")&amp;IF(AND($V294="Sub",N($U294)=0),"Subactividad sin macroactividad arriba"&amp;" · ","")&amp;IF($AM294="","Sin fecha de inicio"&amp;" · ","")&amp;IF($AN294="","Sin fecha límite"&amp;" · ","")&amp;IF(AND(LEFT($C294,11)="[Jefatura] ",N($AL294)=0),"No se encuentra en la hoja de la jefatura (elíjala de nuevo en la lista)"&amp;" · ","")&amp;IF(OR(AND($E294&lt;&gt;"",NOT(ISNUMBER($E294))),AND($F294&lt;&gt;"",NOT(ISNUMBER($F294))),AND($G294&lt;&gt;"",NOT(ISNUMBER($G294)))),"Fecha no válida"&amp;" · ","")&amp;IF(AND(ISNUMBER($AM294),ISNUMBER($AN294),$AM294&gt;$AN294),"Inicio posterior a fecha límite"&amp;" · ","")&amp;IF(AND($V294="Macro",$H294&lt;&gt;"",OR(NOT(ISNUMBER($H294)),$H294&lt;0,$H294&gt;1)),"Peso fuera de rango"&amp;" · ","")&amp;IF(AND($V294="Sub",$H294&lt;&gt;""),"Las subactividades no llevan peso (valen igual dentro de su macroactividad)"&amp;" · ","")&amp;IF(AND(N($W294)&gt;0,COUNT($I294:$L294)&gt;0),"Con subactividades: deje vacías las semanas (se calculan solas)"&amp;" · ","")&amp;IF((COUNTIF($I294:$L294,"&gt;1")+COUNTIF($I294:$L294,"&lt;0")+COUNTA($I294:$L294)-COUNT($I294:$L294))&gt;0,"Avance fuera de rango 0-100%"&amp;" · ","")&amp;IF(OR(AND($J294&lt;&gt;"",$J294&lt;$I294),AND($K294&lt;&gt;"",$K294&lt;MAX($I294:$J294)),AND($L294&lt;&gt;"",$L294&lt;MAX($I294:$K294))),"Avance semanal decreciente"&amp;" · ","")&amp;IF(AND(ISNUMBER($AN294),$AN294&lt;FechaRef,IF($V294="Sub",N($X294),N($M294))&lt;1),"Vencida"&amp;" · ","")&amp;IF(AND(ObsObligatoria="Sí",ISNUMBER($AN294),$AN294&lt;FechaRef,IF($V294="Sub",N($X294),N($M294))&lt;1,$Q294=""),"Vencida sin observación"&amp;" · ",""))="","✔ OK","⚠ "&amp;LEFT(IF($C294="","Falta el nombre de la actividad"&amp;" · ","")&amp;IF(AND($V294="Sub",N($U294)=0),"Subactividad sin macroactividad arriba"&amp;" · ","")&amp;IF($AM294="","Sin fecha de inicio"&amp;" · ","")&amp;IF($AN294="","Sin fecha límite"&amp;" · ","")&amp;IF(AND(LEFT($C294,11)="[Jefatura] ",N($AL294)=0),"No se encuentra en la hoja de la jefatura (elíjala de nuevo en la lista)"&amp;" · ","")&amp;IF(OR(AND($E294&lt;&gt;"",NOT(ISNUMBER($E294))),AND($F294&lt;&gt;"",NOT(ISNUMBER($F294))),AND($G294&lt;&gt;"",NOT(ISNUMBER($G294)))),"Fecha no válida"&amp;" · ","")&amp;IF(AND(ISNUMBER($AM294),ISNUMBER($AN294),$AM294&gt;$AN294),"Inicio posterior a fecha límite"&amp;" · ","")&amp;IF(AND($V294="Macro",$H294&lt;&gt;"",OR(NOT(ISNUMBER($H294)),$H294&lt;0,$H294&gt;1)),"Peso fuera de rango"&amp;" · ","")&amp;IF(AND($V294="Sub",$H294&lt;&gt;""),"Las subactividades no llevan peso (valen igual dentro de su macroactividad)"&amp;" · ","")&amp;IF(AND(N($W294)&gt;0,COUNT($I294:$L294)&gt;0),"Con subactividades: deje vacías las semanas (se calculan solas)"&amp;" · ","")&amp;IF((COUNTIF($I294:$L294,"&gt;1")+COUNTIF($I294:$L294,"&lt;0")+COUNTA($I294:$L294)-COUNT($I294:$L294))&gt;0,"Avance fuera de rango 0-100%"&amp;" · ","")&amp;IF(OR(AND($J294&lt;&gt;"",$J294&lt;$I294),AND($K294&lt;&gt;"",$K294&lt;MAX($I294:$J294)),AND($L294&lt;&gt;"",$L294&lt;MAX($I294:$K294))),"Avance semanal decreciente"&amp;" · ","")&amp;IF(AND(ISNUMBER($AN294),$AN294&lt;FechaRef,IF($V294="Sub",N($X294),N($M294))&lt;1),"Vencida"&amp;" · ","")&amp;IF(AND(ObsObligatoria="Sí",ISNUMBER($AN294),$AN294&lt;FechaRef,IF($V294="Sub",N($X294),N($M294))&lt;1,$Q294=""),"Vencida sin observación"&amp;" · ",""),LEN(IF($C294="","Falta el nombre de la actividad"&amp;" · ","")&amp;IF(AND($V294="Sub",N($U294)=0),"Subactividad sin macroactividad arriba"&amp;" · ","")&amp;IF($AM294="","Sin fecha de inicio"&amp;" · ","")&amp;IF($AN294="","Sin fecha límite"&amp;" · ","")&amp;IF(AND(LEFT($C294,11)="[Jefatura] ",N($AL294)=0),"No se encuentra en la hoja de la jefatura (elíjala de nuevo en la lista)"&amp;" · ","")&amp;IF(OR(AND($E294&lt;&gt;"",NOT(ISNUMBER($E294))),AND($F294&lt;&gt;"",NOT(ISNUMBER($F294))),AND($G294&lt;&gt;"",NOT(ISNUMBER($G294)))),"Fecha no válida"&amp;" · ","")&amp;IF(AND(ISNUMBER($AM294),ISNUMBER($AN294),$AM294&gt;$AN294),"Inicio posterior a fecha límite"&amp;" · ","")&amp;IF(AND($V294="Macro",$H294&lt;&gt;"",OR(NOT(ISNUMBER($H294)),$H294&lt;0,$H294&gt;1)),"Peso fuera de rango"&amp;" · ","")&amp;IF(AND($V294="Sub",$H294&lt;&gt;""),"Las subactividades no llevan peso (valen igual dentro de su macroactividad)"&amp;" · ","")&amp;IF(AND(N($W294)&gt;0,COUNT($I294:$L294)&gt;0),"Con subactividades: deje vacías las semanas (se calculan solas)"&amp;" · ","")&amp;IF((COUNTIF($I294:$L294,"&gt;1")+COUNTIF($I294:$L294,"&lt;0")+COUNTA($I294:$L294)-COUNT($I294:$L294))&gt;0,"Avance fuera de rango 0-100%"&amp;" · ","")&amp;IF(OR(AND($J294&lt;&gt;"",$J294&lt;$I294),AND($K294&lt;&gt;"",$K294&lt;MAX($I294:$J294)),AND($L294&lt;&gt;"",$L294&lt;MAX($I294:$K294))),"Avance semanal decreciente"&amp;" · ","")&amp;IF(AND(ISNUMBER($AN294),$AN294&lt;FechaRef,IF($V294="Sub",N($X294),N($M294))&lt;1),"Vencida"&amp;" · ","")&amp;IF(AND(ObsObligatoria="Sí",ISNUMBER($AN294),$AN294&lt;FechaRef,IF($V294="Sub",N($X294),N($M294))&lt;1,$Q294=""),"Vencida sin observación"&amp;" · ",""))-3)))</f>
        <v/>
      </c>
      <c r="S294" s="64">
        <f>IF(NOT((COUNTA($B294:$D294)+COUNTA($G294:$L294)+COUNTA($Q294))&gt;0),"",IF(AND($V294="Sub",N($U294)&gt;0),IF(ISNUMBER(INDEX($AM$5:$AM$1000,$U294-4)),DATE(YEAR(INDEX($AM$5:$AM$1000,$U294-4)),MONTH(INDEX($AM$5:$AM$1000,$U294-4)),1),IF(ISNUMBER(INDEX($AN$5:$AN$1000,$U294-4)),DATE(YEAR(INDEX($AN$5:$AN$1000,$U294-4)),MONTH(INDEX($AN$5:$AN$1000,$U294-4)),1),MesCiclo)),IF(ISNUMBER($AM294),DATE(YEAR($AM294),MONTH($AM294),1),IF(ISNUMBER($AN294),DATE(YEAR($AN294),MONTH($AN294),1),MesCiclo))))</f>
        <v/>
      </c>
      <c r="T294" s="62">
        <f>IF(OR($S294="",$S294&lt;&gt;MesCiclo,$V294&lt;&gt;"Macro"),"",COUNTIFS($S$5:$S294,MesCiclo,$V$5:$V294,"Macro"))</f>
        <v/>
      </c>
      <c r="U294" s="62">
        <f>IF($V294="","",IF($V294="Macro",ROW(),IFERROR(LOOKUP(2,1/($V$5:$V294="Macro"),ROW($V$5:$V294)),0)))</f>
        <v/>
      </c>
      <c r="V294" s="62">
        <f>IF(NOT((COUNTA($B294:$D294)+COUNTA($G294:$L294)+COUNTA($Q294))&gt;0),"",IF($B294="Subactividad","Sub","Macro"))</f>
        <v/>
      </c>
      <c r="W294" s="62">
        <f>IF($V294="Macro",COUNTIFS($U$5:$U$1000,ROW(),$V$5:$V$1000,"Sub"),"")</f>
        <v/>
      </c>
      <c r="X294" s="62">
        <f>IF($V294="","",IF(ISNUMBER($G294),1,IFERROR(LOOKUP(2,1/($I294:$L294&lt;&gt;""),$I294:$L294),0)))</f>
        <v/>
      </c>
      <c r="Y294" s="62">
        <f>IF($V294="","",IF(AND(ISNUMBER($G294),$G294&lt;=IF($S294=MesCiclo,InicioCiclo,$S294+MOD(2-WEEKDAY($S294),7))+6),1,IF(ISNUMBER($I294),$I294,0)))</f>
        <v/>
      </c>
      <c r="Z294" s="62">
        <f>IF($V294="","",IF(AND(ISNUMBER($G294),$G294&lt;=IF($S294=MesCiclo,InicioCiclo,$S294+MOD(2-WEEKDAY($S294),7))+13),1,IF(ISNUMBER($J294),$J294,$Y294)))</f>
        <v/>
      </c>
      <c r="AA294" s="62">
        <f>IF($V294="","",IF(AND(ISNUMBER($G294),$G294&lt;=IF($S294=MesCiclo,InicioCiclo,$S294+MOD(2-WEEKDAY($S294),7))+20),1,IF(ISNUMBER($K294),$K294,$Z294)))</f>
        <v/>
      </c>
      <c r="AB294" s="62">
        <f>IF($V294="","",IF(AND(ISNUMBER($G294),$G294&lt;=IF($S294=MesCiclo,InicioCiclo,$S294+MOD(2-WEEKDAY($S294),7))+27),1,IF(ISNUMBER($L294),$L294,$AA294)))</f>
        <v/>
      </c>
      <c r="AC294" s="62">
        <f>IF($V294="","",IF(AND(ISNUMBER($G294),$G294&lt;=IF($S294=MesCiclo,InicioCiclo,$S294+MOD(2-WEEKDAY($S294),7))+6),1,IF(N($W294)&gt;0,AVERAGEIFS($Y$5:$Y$1000,$U$5:$U$1000,ROW(),$V$5:$V$1000,"Sub"),$Y294)))</f>
        <v/>
      </c>
      <c r="AD294" s="62">
        <f>IF($V294="","",IF(AND(ISNUMBER($G294),$G294&lt;=IF($S294=MesCiclo,InicioCiclo,$S294+MOD(2-WEEKDAY($S294),7))+13),1,IF(N($W294)&gt;0,AVERAGEIFS($Z$5:$Z$1000,$U$5:$U$1000,ROW(),$V$5:$V$1000,"Sub"),$Z294)))</f>
        <v/>
      </c>
      <c r="AE294" s="62">
        <f>IF($V294="","",IF(AND(ISNUMBER($G294),$G294&lt;=IF($S294=MesCiclo,InicioCiclo,$S294+MOD(2-WEEKDAY($S294),7))+20),1,IF(N($W294)&gt;0,AVERAGEIFS($AA$5:$AA$1000,$U$5:$U$1000,ROW(),$V$5:$V$1000,"Sub"),$AA294)))</f>
        <v/>
      </c>
      <c r="AF294" s="62">
        <f>IF($V294="","",IF(AND(ISNUMBER($G294),$G294&lt;=IF($S294=MesCiclo,InicioCiclo,$S294+MOD(2-WEEKDAY($S294),7))+27),1,IF(N($W294)&gt;0,AVERAGEIFS($AB$5:$AB$1000,$U$5:$U$1000,ROW(),$V$5:$V$1000,"Sub"),$AB294)))</f>
        <v/>
      </c>
      <c r="AG294" s="62">
        <f>IF($V294&lt;&gt;"Macro","",IF(COUNTIFS($S$5:$S$1000,$S294,$V$5:$V$1000,"Macro",$H$5:$H$1000,"&gt;0")=0,1/COUNTIFS($S$5:$S$1000,$S294,$V$5:$V$1000,"Macro"),IF(AND(ISNUMBER($H294),N($H294)&gt;0),$H294,SUMIFS($H$5:$H$1000,$S$5:$S$1000,$S294,$V$5:$V$1000,"Macro")/COUNTIFS($S$5:$S$1000,$S294,$V$5:$V$1000,"Macro",$H$5:$H$1000,"&gt;0"))/(COUNTIFS($S$5:$S$1000,$S294,$V$5:$V$1000,"Macro")*SUMIFS($H$5:$H$1000,$S$5:$S$1000,$S294,$V$5:$V$1000,"Macro")/COUNTIFS($S$5:$S$1000,$S294,$V$5:$V$1000,"Macro",$H$5:$H$1000,"&gt;0"))))</f>
        <v/>
      </c>
      <c r="AH294" s="62" t="n"/>
      <c r="AI294" s="62" t="n"/>
      <c r="AJ294" s="62" t="n"/>
      <c r="AK294" s="62" t="n"/>
      <c r="AL294" s="62">
        <f>IF(LEFT($C294,11)="[Jefatura] ",IFERROR(MATCH("Riesgo Operacional|"&amp;MID($C294,12,500),rDname_ADM,0),0),"")</f>
        <v/>
      </c>
      <c r="AM294" s="62">
        <f>IF(N($AL294)&gt;0,INDEX(rIni_ADM,$AL294),IF(ISNUMBER($E294),$E294,""))</f>
        <v/>
      </c>
      <c r="AN294" s="62">
        <f>IF(N($AL294)&gt;0,INDEX(rLim_ADM,$AL294),IF(ISNUMBER($F294),$F294,""))</f>
        <v/>
      </c>
    </row>
    <row r="295">
      <c r="A295" s="56">
        <f>IF(NOT((COUNTA($B295:$D295)+COUNTA($G295:$L295)+COUNTA($Q295))&gt;0),"",IF($V295="Macro",COUNTIFS($V$5:$V295,"Macro",$S$5:$S295,$S295),IF(N($U295)=0,"?",COUNTIFS(INDEX($V$5:$V$1000,1):INDEX($V$5:$V$1000,$U295-4),"Macro",INDEX($S$5:$S$1000,1):INDEX($S$5:$S$1000,$U295-4),INDEX($S$5:$S$1000,$U295-4))&amp;"."&amp;COUNTIFS($U$5:$U295,$U295,$V$5:$V295,"Sub"))))</f>
        <v/>
      </c>
      <c r="B295" s="57" t="n"/>
      <c r="C295" s="58" t="n"/>
      <c r="D295" s="58" t="n"/>
      <c r="E295" s="59">
        <f>IF(N($AL295)&gt;0,INDEX(rIni_ADM,$AL295),"")</f>
        <v/>
      </c>
      <c r="F295" s="59">
        <f>IF(N($AL295)&gt;0,INDEX(rLim_ADM,$AL295),"")</f>
        <v/>
      </c>
      <c r="G295" s="59" t="n"/>
      <c r="H295" s="60" t="n"/>
      <c r="I295" s="60" t="n"/>
      <c r="J295" s="60" t="n"/>
      <c r="K295" s="60" t="n"/>
      <c r="L295" s="60" t="n"/>
      <c r="M295" s="61">
        <f>IF(NOT((COUNTA($B295:$D295)+COUNTA($G295:$L295)+COUNTA($Q295))&gt;0),"",IF($V295="Sub",IFERROR($X295/INDEX($W$5:$W$1000,$U295-4),""),IF(ISNUMBER($G295),1,IF(N($W295)&gt;0,AVERAGEIFS($X$5:$X$1000,$U$5:$U$1000,ROW(),$V$5:$V$1000,"Sub"),$X295))))</f>
        <v/>
      </c>
      <c r="N295" s="56">
        <f>IF(OR($M295="",$V295="Sub"),"",IF($M295&gt;=1,"Completado",IF($M295&gt;0,"En curso","Pendiente")))</f>
        <v/>
      </c>
      <c r="O295" s="56">
        <f>IF(OR(NOT((COUNTA($B295:$D295)+COUNTA($G295:$L295)+COUNTA($Q295))&gt;0),$V295="Sub"),"",IF(ISNUMBER($G295),IF(AND(ISNUMBER($AN295),$G295&gt;$AN295),"Cumplida con "&amp;($G295-$AN295)&amp;IF($G295-$AN295=1," día"," días")&amp;" de retraso","Cumplida"),IF(N($M295)&gt;=1,"Cumplida",IF(NOT(ISNUMBER($AN295)),"Sin fecha límite",IF($AN295&lt;FechaRef,"Vencida hace "&amp;(FechaRef-$AN295)&amp;IF(FechaRef-$AN295=1," día"," días"),IF($AN295=FechaRef,"Vence hoy",IF($AN295-FechaRef&lt;=DiasAlerta,"Vence en "&amp;($AN295-FechaRef)&amp;IF($AN295-FechaRef=1," día"," días"),"En plazo")))))))</f>
        <v/>
      </c>
      <c r="P295" s="62" t="n"/>
      <c r="Q295" s="58" t="n"/>
      <c r="R295" s="63">
        <f>IF(NOT((COUNTA($B295:$D295)+COUNTA($G295:$L295)+COUNTA($Q295))&gt;0),"",IF((IF($C295="","Falta el nombre de la actividad"&amp;" · ","")&amp;IF(AND($V295="Sub",N($U295)=0),"Subactividad sin macroactividad arriba"&amp;" · ","")&amp;IF($AM295="","Sin fecha de inicio"&amp;" · ","")&amp;IF($AN295="","Sin fecha límite"&amp;" · ","")&amp;IF(AND(LEFT($C295,11)="[Jefatura] ",N($AL295)=0),"No se encuentra en la hoja de la jefatura (elíjala de nuevo en la lista)"&amp;" · ","")&amp;IF(OR(AND($E295&lt;&gt;"",NOT(ISNUMBER($E295))),AND($F295&lt;&gt;"",NOT(ISNUMBER($F295))),AND($G295&lt;&gt;"",NOT(ISNUMBER($G295)))),"Fecha no válida"&amp;" · ","")&amp;IF(AND(ISNUMBER($AM295),ISNUMBER($AN295),$AM295&gt;$AN295),"Inicio posterior a fecha límite"&amp;" · ","")&amp;IF(AND($V295="Macro",$H295&lt;&gt;"",OR(NOT(ISNUMBER($H295)),$H295&lt;0,$H295&gt;1)),"Peso fuera de rango"&amp;" · ","")&amp;IF(AND($V295="Sub",$H295&lt;&gt;""),"Las subactividades no llevan peso (valen igual dentro de su macroactividad)"&amp;" · ","")&amp;IF(AND(N($W295)&gt;0,COUNT($I295:$L295)&gt;0),"Con subactividades: deje vacías las semanas (se calculan solas)"&amp;" · ","")&amp;IF((COUNTIF($I295:$L295,"&gt;1")+COUNTIF($I295:$L295,"&lt;0")+COUNTA($I295:$L295)-COUNT($I295:$L295))&gt;0,"Avance fuera de rango 0-100%"&amp;" · ","")&amp;IF(OR(AND($J295&lt;&gt;"",$J295&lt;$I295),AND($K295&lt;&gt;"",$K295&lt;MAX($I295:$J295)),AND($L295&lt;&gt;"",$L295&lt;MAX($I295:$K295))),"Avance semanal decreciente"&amp;" · ","")&amp;IF(AND(ISNUMBER($AN295),$AN295&lt;FechaRef,IF($V295="Sub",N($X295),N($M295))&lt;1),"Vencida"&amp;" · ","")&amp;IF(AND(ObsObligatoria="Sí",ISNUMBER($AN295),$AN295&lt;FechaRef,IF($V295="Sub",N($X295),N($M295))&lt;1,$Q295=""),"Vencida sin observación"&amp;" · ",""))="","✔ OK","⚠ "&amp;LEFT(IF($C295="","Falta el nombre de la actividad"&amp;" · ","")&amp;IF(AND($V295="Sub",N($U295)=0),"Subactividad sin macroactividad arriba"&amp;" · ","")&amp;IF($AM295="","Sin fecha de inicio"&amp;" · ","")&amp;IF($AN295="","Sin fecha límite"&amp;" · ","")&amp;IF(AND(LEFT($C295,11)="[Jefatura] ",N($AL295)=0),"No se encuentra en la hoja de la jefatura (elíjala de nuevo en la lista)"&amp;" · ","")&amp;IF(OR(AND($E295&lt;&gt;"",NOT(ISNUMBER($E295))),AND($F295&lt;&gt;"",NOT(ISNUMBER($F295))),AND($G295&lt;&gt;"",NOT(ISNUMBER($G295)))),"Fecha no válida"&amp;" · ","")&amp;IF(AND(ISNUMBER($AM295),ISNUMBER($AN295),$AM295&gt;$AN295),"Inicio posterior a fecha límite"&amp;" · ","")&amp;IF(AND($V295="Macro",$H295&lt;&gt;"",OR(NOT(ISNUMBER($H295)),$H295&lt;0,$H295&gt;1)),"Peso fuera de rango"&amp;" · ","")&amp;IF(AND($V295="Sub",$H295&lt;&gt;""),"Las subactividades no llevan peso (valen igual dentro de su macroactividad)"&amp;" · ","")&amp;IF(AND(N($W295)&gt;0,COUNT($I295:$L295)&gt;0),"Con subactividades: deje vacías las semanas (se calculan solas)"&amp;" · ","")&amp;IF((COUNTIF($I295:$L295,"&gt;1")+COUNTIF($I295:$L295,"&lt;0")+COUNTA($I295:$L295)-COUNT($I295:$L295))&gt;0,"Avance fuera de rango 0-100%"&amp;" · ","")&amp;IF(OR(AND($J295&lt;&gt;"",$J295&lt;$I295),AND($K295&lt;&gt;"",$K295&lt;MAX($I295:$J295)),AND($L295&lt;&gt;"",$L295&lt;MAX($I295:$K295))),"Avance semanal decreciente"&amp;" · ","")&amp;IF(AND(ISNUMBER($AN295),$AN295&lt;FechaRef,IF($V295="Sub",N($X295),N($M295))&lt;1),"Vencida"&amp;" · ","")&amp;IF(AND(ObsObligatoria="Sí",ISNUMBER($AN295),$AN295&lt;FechaRef,IF($V295="Sub",N($X295),N($M295))&lt;1,$Q295=""),"Vencida sin observación"&amp;" · ",""),LEN(IF($C295="","Falta el nombre de la actividad"&amp;" · ","")&amp;IF(AND($V295="Sub",N($U295)=0),"Subactividad sin macroactividad arriba"&amp;" · ","")&amp;IF($AM295="","Sin fecha de inicio"&amp;" · ","")&amp;IF($AN295="","Sin fecha límite"&amp;" · ","")&amp;IF(AND(LEFT($C295,11)="[Jefatura] ",N($AL295)=0),"No se encuentra en la hoja de la jefatura (elíjala de nuevo en la lista)"&amp;" · ","")&amp;IF(OR(AND($E295&lt;&gt;"",NOT(ISNUMBER($E295))),AND($F295&lt;&gt;"",NOT(ISNUMBER($F295))),AND($G295&lt;&gt;"",NOT(ISNUMBER($G295)))),"Fecha no válida"&amp;" · ","")&amp;IF(AND(ISNUMBER($AM295),ISNUMBER($AN295),$AM295&gt;$AN295),"Inicio posterior a fecha límite"&amp;" · ","")&amp;IF(AND($V295="Macro",$H295&lt;&gt;"",OR(NOT(ISNUMBER($H295)),$H295&lt;0,$H295&gt;1)),"Peso fuera de rango"&amp;" · ","")&amp;IF(AND($V295="Sub",$H295&lt;&gt;""),"Las subactividades no llevan peso (valen igual dentro de su macroactividad)"&amp;" · ","")&amp;IF(AND(N($W295)&gt;0,COUNT($I295:$L295)&gt;0),"Con subactividades: deje vacías las semanas (se calculan solas)"&amp;" · ","")&amp;IF((COUNTIF($I295:$L295,"&gt;1")+COUNTIF($I295:$L295,"&lt;0")+COUNTA($I295:$L295)-COUNT($I295:$L295))&gt;0,"Avance fuera de rango 0-100%"&amp;" · ","")&amp;IF(OR(AND($J295&lt;&gt;"",$J295&lt;$I295),AND($K295&lt;&gt;"",$K295&lt;MAX($I295:$J295)),AND($L295&lt;&gt;"",$L295&lt;MAX($I295:$K295))),"Avance semanal decreciente"&amp;" · ","")&amp;IF(AND(ISNUMBER($AN295),$AN295&lt;FechaRef,IF($V295="Sub",N($X295),N($M295))&lt;1),"Vencida"&amp;" · ","")&amp;IF(AND(ObsObligatoria="Sí",ISNUMBER($AN295),$AN295&lt;FechaRef,IF($V295="Sub",N($X295),N($M295))&lt;1,$Q295=""),"Vencida sin observación"&amp;" · ",""))-3)))</f>
        <v/>
      </c>
      <c r="S295" s="64">
        <f>IF(NOT((COUNTA($B295:$D295)+COUNTA($G295:$L295)+COUNTA($Q295))&gt;0),"",IF(AND($V295="Sub",N($U295)&gt;0),IF(ISNUMBER(INDEX($AM$5:$AM$1000,$U295-4)),DATE(YEAR(INDEX($AM$5:$AM$1000,$U295-4)),MONTH(INDEX($AM$5:$AM$1000,$U295-4)),1),IF(ISNUMBER(INDEX($AN$5:$AN$1000,$U295-4)),DATE(YEAR(INDEX($AN$5:$AN$1000,$U295-4)),MONTH(INDEX($AN$5:$AN$1000,$U295-4)),1),MesCiclo)),IF(ISNUMBER($AM295),DATE(YEAR($AM295),MONTH($AM295),1),IF(ISNUMBER($AN295),DATE(YEAR($AN295),MONTH($AN295),1),MesCiclo))))</f>
        <v/>
      </c>
      <c r="T295" s="62">
        <f>IF(OR($S295="",$S295&lt;&gt;MesCiclo,$V295&lt;&gt;"Macro"),"",COUNTIFS($S$5:$S295,MesCiclo,$V$5:$V295,"Macro"))</f>
        <v/>
      </c>
      <c r="U295" s="62">
        <f>IF($V295="","",IF($V295="Macro",ROW(),IFERROR(LOOKUP(2,1/($V$5:$V295="Macro"),ROW($V$5:$V295)),0)))</f>
        <v/>
      </c>
      <c r="V295" s="62">
        <f>IF(NOT((COUNTA($B295:$D295)+COUNTA($G295:$L295)+COUNTA($Q295))&gt;0),"",IF($B295="Subactividad","Sub","Macro"))</f>
        <v/>
      </c>
      <c r="W295" s="62">
        <f>IF($V295="Macro",COUNTIFS($U$5:$U$1000,ROW(),$V$5:$V$1000,"Sub"),"")</f>
        <v/>
      </c>
      <c r="X295" s="62">
        <f>IF($V295="","",IF(ISNUMBER($G295),1,IFERROR(LOOKUP(2,1/($I295:$L295&lt;&gt;""),$I295:$L295),0)))</f>
        <v/>
      </c>
      <c r="Y295" s="62">
        <f>IF($V295="","",IF(AND(ISNUMBER($G295),$G295&lt;=IF($S295=MesCiclo,InicioCiclo,$S295+MOD(2-WEEKDAY($S295),7))+6),1,IF(ISNUMBER($I295),$I295,0)))</f>
        <v/>
      </c>
      <c r="Z295" s="62">
        <f>IF($V295="","",IF(AND(ISNUMBER($G295),$G295&lt;=IF($S295=MesCiclo,InicioCiclo,$S295+MOD(2-WEEKDAY($S295),7))+13),1,IF(ISNUMBER($J295),$J295,$Y295)))</f>
        <v/>
      </c>
      <c r="AA295" s="62">
        <f>IF($V295="","",IF(AND(ISNUMBER($G295),$G295&lt;=IF($S295=MesCiclo,InicioCiclo,$S295+MOD(2-WEEKDAY($S295),7))+20),1,IF(ISNUMBER($K295),$K295,$Z295)))</f>
        <v/>
      </c>
      <c r="AB295" s="62">
        <f>IF($V295="","",IF(AND(ISNUMBER($G295),$G295&lt;=IF($S295=MesCiclo,InicioCiclo,$S295+MOD(2-WEEKDAY($S295),7))+27),1,IF(ISNUMBER($L295),$L295,$AA295)))</f>
        <v/>
      </c>
      <c r="AC295" s="62">
        <f>IF($V295="","",IF(AND(ISNUMBER($G295),$G295&lt;=IF($S295=MesCiclo,InicioCiclo,$S295+MOD(2-WEEKDAY($S295),7))+6),1,IF(N($W295)&gt;0,AVERAGEIFS($Y$5:$Y$1000,$U$5:$U$1000,ROW(),$V$5:$V$1000,"Sub"),$Y295)))</f>
        <v/>
      </c>
      <c r="AD295" s="62">
        <f>IF($V295="","",IF(AND(ISNUMBER($G295),$G295&lt;=IF($S295=MesCiclo,InicioCiclo,$S295+MOD(2-WEEKDAY($S295),7))+13),1,IF(N($W295)&gt;0,AVERAGEIFS($Z$5:$Z$1000,$U$5:$U$1000,ROW(),$V$5:$V$1000,"Sub"),$Z295)))</f>
        <v/>
      </c>
      <c r="AE295" s="62">
        <f>IF($V295="","",IF(AND(ISNUMBER($G295),$G295&lt;=IF($S295=MesCiclo,InicioCiclo,$S295+MOD(2-WEEKDAY($S295),7))+20),1,IF(N($W295)&gt;0,AVERAGEIFS($AA$5:$AA$1000,$U$5:$U$1000,ROW(),$V$5:$V$1000,"Sub"),$AA295)))</f>
        <v/>
      </c>
      <c r="AF295" s="62">
        <f>IF($V295="","",IF(AND(ISNUMBER($G295),$G295&lt;=IF($S295=MesCiclo,InicioCiclo,$S295+MOD(2-WEEKDAY($S295),7))+27),1,IF(N($W295)&gt;0,AVERAGEIFS($AB$5:$AB$1000,$U$5:$U$1000,ROW(),$V$5:$V$1000,"Sub"),$AB295)))</f>
        <v/>
      </c>
      <c r="AG295" s="62">
        <f>IF($V295&lt;&gt;"Macro","",IF(COUNTIFS($S$5:$S$1000,$S295,$V$5:$V$1000,"Macro",$H$5:$H$1000,"&gt;0")=0,1/COUNTIFS($S$5:$S$1000,$S295,$V$5:$V$1000,"Macro"),IF(AND(ISNUMBER($H295),N($H295)&gt;0),$H295,SUMIFS($H$5:$H$1000,$S$5:$S$1000,$S295,$V$5:$V$1000,"Macro")/COUNTIFS($S$5:$S$1000,$S295,$V$5:$V$1000,"Macro",$H$5:$H$1000,"&gt;0"))/(COUNTIFS($S$5:$S$1000,$S295,$V$5:$V$1000,"Macro")*SUMIFS($H$5:$H$1000,$S$5:$S$1000,$S295,$V$5:$V$1000,"Macro")/COUNTIFS($S$5:$S$1000,$S295,$V$5:$V$1000,"Macro",$H$5:$H$1000,"&gt;0"))))</f>
        <v/>
      </c>
      <c r="AH295" s="62" t="n"/>
      <c r="AI295" s="62" t="n"/>
      <c r="AJ295" s="62" t="n"/>
      <c r="AK295" s="62" t="n"/>
      <c r="AL295" s="62">
        <f>IF(LEFT($C295,11)="[Jefatura] ",IFERROR(MATCH("Riesgo Operacional|"&amp;MID($C295,12,500),rDname_ADM,0),0),"")</f>
        <v/>
      </c>
      <c r="AM295" s="62">
        <f>IF(N($AL295)&gt;0,INDEX(rIni_ADM,$AL295),IF(ISNUMBER($E295),$E295,""))</f>
        <v/>
      </c>
      <c r="AN295" s="62">
        <f>IF(N($AL295)&gt;0,INDEX(rLim_ADM,$AL295),IF(ISNUMBER($F295),$F295,""))</f>
        <v/>
      </c>
    </row>
    <row r="296">
      <c r="A296" s="56">
        <f>IF(NOT((COUNTA($B296:$D296)+COUNTA($G296:$L296)+COUNTA($Q296))&gt;0),"",IF($V296="Macro",COUNTIFS($V$5:$V296,"Macro",$S$5:$S296,$S296),IF(N($U296)=0,"?",COUNTIFS(INDEX($V$5:$V$1000,1):INDEX($V$5:$V$1000,$U296-4),"Macro",INDEX($S$5:$S$1000,1):INDEX($S$5:$S$1000,$U296-4),INDEX($S$5:$S$1000,$U296-4))&amp;"."&amp;COUNTIFS($U$5:$U296,$U296,$V$5:$V296,"Sub"))))</f>
        <v/>
      </c>
      <c r="B296" s="57" t="n"/>
      <c r="C296" s="58" t="n"/>
      <c r="D296" s="58" t="n"/>
      <c r="E296" s="59">
        <f>IF(N($AL296)&gt;0,INDEX(rIni_ADM,$AL296),"")</f>
        <v/>
      </c>
      <c r="F296" s="59">
        <f>IF(N($AL296)&gt;0,INDEX(rLim_ADM,$AL296),"")</f>
        <v/>
      </c>
      <c r="G296" s="59" t="n"/>
      <c r="H296" s="60" t="n"/>
      <c r="I296" s="60" t="n"/>
      <c r="J296" s="60" t="n"/>
      <c r="K296" s="60" t="n"/>
      <c r="L296" s="60" t="n"/>
      <c r="M296" s="61">
        <f>IF(NOT((COUNTA($B296:$D296)+COUNTA($G296:$L296)+COUNTA($Q296))&gt;0),"",IF($V296="Sub",IFERROR($X296/INDEX($W$5:$W$1000,$U296-4),""),IF(ISNUMBER($G296),1,IF(N($W296)&gt;0,AVERAGEIFS($X$5:$X$1000,$U$5:$U$1000,ROW(),$V$5:$V$1000,"Sub"),$X296))))</f>
        <v/>
      </c>
      <c r="N296" s="56">
        <f>IF(OR($M296="",$V296="Sub"),"",IF($M296&gt;=1,"Completado",IF($M296&gt;0,"En curso","Pendiente")))</f>
        <v/>
      </c>
      <c r="O296" s="56">
        <f>IF(OR(NOT((COUNTA($B296:$D296)+COUNTA($G296:$L296)+COUNTA($Q296))&gt;0),$V296="Sub"),"",IF(ISNUMBER($G296),IF(AND(ISNUMBER($AN296),$G296&gt;$AN296),"Cumplida con "&amp;($G296-$AN296)&amp;IF($G296-$AN296=1," día"," días")&amp;" de retraso","Cumplida"),IF(N($M296)&gt;=1,"Cumplida",IF(NOT(ISNUMBER($AN296)),"Sin fecha límite",IF($AN296&lt;FechaRef,"Vencida hace "&amp;(FechaRef-$AN296)&amp;IF(FechaRef-$AN296=1," día"," días"),IF($AN296=FechaRef,"Vence hoy",IF($AN296-FechaRef&lt;=DiasAlerta,"Vence en "&amp;($AN296-FechaRef)&amp;IF($AN296-FechaRef=1," día"," días"),"En plazo")))))))</f>
        <v/>
      </c>
      <c r="P296" s="62" t="n"/>
      <c r="Q296" s="58" t="n"/>
      <c r="R296" s="63">
        <f>IF(NOT((COUNTA($B296:$D296)+COUNTA($G296:$L296)+COUNTA($Q296))&gt;0),"",IF((IF($C296="","Falta el nombre de la actividad"&amp;" · ","")&amp;IF(AND($V296="Sub",N($U296)=0),"Subactividad sin macroactividad arriba"&amp;" · ","")&amp;IF($AM296="","Sin fecha de inicio"&amp;" · ","")&amp;IF($AN296="","Sin fecha límite"&amp;" · ","")&amp;IF(AND(LEFT($C296,11)="[Jefatura] ",N($AL296)=0),"No se encuentra en la hoja de la jefatura (elíjala de nuevo en la lista)"&amp;" · ","")&amp;IF(OR(AND($E296&lt;&gt;"",NOT(ISNUMBER($E296))),AND($F296&lt;&gt;"",NOT(ISNUMBER($F296))),AND($G296&lt;&gt;"",NOT(ISNUMBER($G296)))),"Fecha no válida"&amp;" · ","")&amp;IF(AND(ISNUMBER($AM296),ISNUMBER($AN296),$AM296&gt;$AN296),"Inicio posterior a fecha límite"&amp;" · ","")&amp;IF(AND($V296="Macro",$H296&lt;&gt;"",OR(NOT(ISNUMBER($H296)),$H296&lt;0,$H296&gt;1)),"Peso fuera de rango"&amp;" · ","")&amp;IF(AND($V296="Sub",$H296&lt;&gt;""),"Las subactividades no llevan peso (valen igual dentro de su macroactividad)"&amp;" · ","")&amp;IF(AND(N($W296)&gt;0,COUNT($I296:$L296)&gt;0),"Con subactividades: deje vacías las semanas (se calculan solas)"&amp;" · ","")&amp;IF((COUNTIF($I296:$L296,"&gt;1")+COUNTIF($I296:$L296,"&lt;0")+COUNTA($I296:$L296)-COUNT($I296:$L296))&gt;0,"Avance fuera de rango 0-100%"&amp;" · ","")&amp;IF(OR(AND($J296&lt;&gt;"",$J296&lt;$I296),AND($K296&lt;&gt;"",$K296&lt;MAX($I296:$J296)),AND($L296&lt;&gt;"",$L296&lt;MAX($I296:$K296))),"Avance semanal decreciente"&amp;" · ","")&amp;IF(AND(ISNUMBER($AN296),$AN296&lt;FechaRef,IF($V296="Sub",N($X296),N($M296))&lt;1),"Vencida"&amp;" · ","")&amp;IF(AND(ObsObligatoria="Sí",ISNUMBER($AN296),$AN296&lt;FechaRef,IF($V296="Sub",N($X296),N($M296))&lt;1,$Q296=""),"Vencida sin observación"&amp;" · ",""))="","✔ OK","⚠ "&amp;LEFT(IF($C296="","Falta el nombre de la actividad"&amp;" · ","")&amp;IF(AND($V296="Sub",N($U296)=0),"Subactividad sin macroactividad arriba"&amp;" · ","")&amp;IF($AM296="","Sin fecha de inicio"&amp;" · ","")&amp;IF($AN296="","Sin fecha límite"&amp;" · ","")&amp;IF(AND(LEFT($C296,11)="[Jefatura] ",N($AL296)=0),"No se encuentra en la hoja de la jefatura (elíjala de nuevo en la lista)"&amp;" · ","")&amp;IF(OR(AND($E296&lt;&gt;"",NOT(ISNUMBER($E296))),AND($F296&lt;&gt;"",NOT(ISNUMBER($F296))),AND($G296&lt;&gt;"",NOT(ISNUMBER($G296)))),"Fecha no válida"&amp;" · ","")&amp;IF(AND(ISNUMBER($AM296),ISNUMBER($AN296),$AM296&gt;$AN296),"Inicio posterior a fecha límite"&amp;" · ","")&amp;IF(AND($V296="Macro",$H296&lt;&gt;"",OR(NOT(ISNUMBER($H296)),$H296&lt;0,$H296&gt;1)),"Peso fuera de rango"&amp;" · ","")&amp;IF(AND($V296="Sub",$H296&lt;&gt;""),"Las subactividades no llevan peso (valen igual dentro de su macroactividad)"&amp;" · ","")&amp;IF(AND(N($W296)&gt;0,COUNT($I296:$L296)&gt;0),"Con subactividades: deje vacías las semanas (se calculan solas)"&amp;" · ","")&amp;IF((COUNTIF($I296:$L296,"&gt;1")+COUNTIF($I296:$L296,"&lt;0")+COUNTA($I296:$L296)-COUNT($I296:$L296))&gt;0,"Avance fuera de rango 0-100%"&amp;" · ","")&amp;IF(OR(AND($J296&lt;&gt;"",$J296&lt;$I296),AND($K296&lt;&gt;"",$K296&lt;MAX($I296:$J296)),AND($L296&lt;&gt;"",$L296&lt;MAX($I296:$K296))),"Avance semanal decreciente"&amp;" · ","")&amp;IF(AND(ISNUMBER($AN296),$AN296&lt;FechaRef,IF($V296="Sub",N($X296),N($M296))&lt;1),"Vencida"&amp;" · ","")&amp;IF(AND(ObsObligatoria="Sí",ISNUMBER($AN296),$AN296&lt;FechaRef,IF($V296="Sub",N($X296),N($M296))&lt;1,$Q296=""),"Vencida sin observación"&amp;" · ",""),LEN(IF($C296="","Falta el nombre de la actividad"&amp;" · ","")&amp;IF(AND($V296="Sub",N($U296)=0),"Subactividad sin macroactividad arriba"&amp;" · ","")&amp;IF($AM296="","Sin fecha de inicio"&amp;" · ","")&amp;IF($AN296="","Sin fecha límite"&amp;" · ","")&amp;IF(AND(LEFT($C296,11)="[Jefatura] ",N($AL296)=0),"No se encuentra en la hoja de la jefatura (elíjala de nuevo en la lista)"&amp;" · ","")&amp;IF(OR(AND($E296&lt;&gt;"",NOT(ISNUMBER($E296))),AND($F296&lt;&gt;"",NOT(ISNUMBER($F296))),AND($G296&lt;&gt;"",NOT(ISNUMBER($G296)))),"Fecha no válida"&amp;" · ","")&amp;IF(AND(ISNUMBER($AM296),ISNUMBER($AN296),$AM296&gt;$AN296),"Inicio posterior a fecha límite"&amp;" · ","")&amp;IF(AND($V296="Macro",$H296&lt;&gt;"",OR(NOT(ISNUMBER($H296)),$H296&lt;0,$H296&gt;1)),"Peso fuera de rango"&amp;" · ","")&amp;IF(AND($V296="Sub",$H296&lt;&gt;""),"Las subactividades no llevan peso (valen igual dentro de su macroactividad)"&amp;" · ","")&amp;IF(AND(N($W296)&gt;0,COUNT($I296:$L296)&gt;0),"Con subactividades: deje vacías las semanas (se calculan solas)"&amp;" · ","")&amp;IF((COUNTIF($I296:$L296,"&gt;1")+COUNTIF($I296:$L296,"&lt;0")+COUNTA($I296:$L296)-COUNT($I296:$L296))&gt;0,"Avance fuera de rango 0-100%"&amp;" · ","")&amp;IF(OR(AND($J296&lt;&gt;"",$J296&lt;$I296),AND($K296&lt;&gt;"",$K296&lt;MAX($I296:$J296)),AND($L296&lt;&gt;"",$L296&lt;MAX($I296:$K296))),"Avance semanal decreciente"&amp;" · ","")&amp;IF(AND(ISNUMBER($AN296),$AN296&lt;FechaRef,IF($V296="Sub",N($X296),N($M296))&lt;1),"Vencida"&amp;" · ","")&amp;IF(AND(ObsObligatoria="Sí",ISNUMBER($AN296),$AN296&lt;FechaRef,IF($V296="Sub",N($X296),N($M296))&lt;1,$Q296=""),"Vencida sin observación"&amp;" · ",""))-3)))</f>
        <v/>
      </c>
      <c r="S296" s="64">
        <f>IF(NOT((COUNTA($B296:$D296)+COUNTA($G296:$L296)+COUNTA($Q296))&gt;0),"",IF(AND($V296="Sub",N($U296)&gt;0),IF(ISNUMBER(INDEX($AM$5:$AM$1000,$U296-4)),DATE(YEAR(INDEX($AM$5:$AM$1000,$U296-4)),MONTH(INDEX($AM$5:$AM$1000,$U296-4)),1),IF(ISNUMBER(INDEX($AN$5:$AN$1000,$U296-4)),DATE(YEAR(INDEX($AN$5:$AN$1000,$U296-4)),MONTH(INDEX($AN$5:$AN$1000,$U296-4)),1),MesCiclo)),IF(ISNUMBER($AM296),DATE(YEAR($AM296),MONTH($AM296),1),IF(ISNUMBER($AN296),DATE(YEAR($AN296),MONTH($AN296),1),MesCiclo))))</f>
        <v/>
      </c>
      <c r="T296" s="62">
        <f>IF(OR($S296="",$S296&lt;&gt;MesCiclo,$V296&lt;&gt;"Macro"),"",COUNTIFS($S$5:$S296,MesCiclo,$V$5:$V296,"Macro"))</f>
        <v/>
      </c>
      <c r="U296" s="62">
        <f>IF($V296="","",IF($V296="Macro",ROW(),IFERROR(LOOKUP(2,1/($V$5:$V296="Macro"),ROW($V$5:$V296)),0)))</f>
        <v/>
      </c>
      <c r="V296" s="62">
        <f>IF(NOT((COUNTA($B296:$D296)+COUNTA($G296:$L296)+COUNTA($Q296))&gt;0),"",IF($B296="Subactividad","Sub","Macro"))</f>
        <v/>
      </c>
      <c r="W296" s="62">
        <f>IF($V296="Macro",COUNTIFS($U$5:$U$1000,ROW(),$V$5:$V$1000,"Sub"),"")</f>
        <v/>
      </c>
      <c r="X296" s="62">
        <f>IF($V296="","",IF(ISNUMBER($G296),1,IFERROR(LOOKUP(2,1/($I296:$L296&lt;&gt;""),$I296:$L296),0)))</f>
        <v/>
      </c>
      <c r="Y296" s="62">
        <f>IF($V296="","",IF(AND(ISNUMBER($G296),$G296&lt;=IF($S296=MesCiclo,InicioCiclo,$S296+MOD(2-WEEKDAY($S296),7))+6),1,IF(ISNUMBER($I296),$I296,0)))</f>
        <v/>
      </c>
      <c r="Z296" s="62">
        <f>IF($V296="","",IF(AND(ISNUMBER($G296),$G296&lt;=IF($S296=MesCiclo,InicioCiclo,$S296+MOD(2-WEEKDAY($S296),7))+13),1,IF(ISNUMBER($J296),$J296,$Y296)))</f>
        <v/>
      </c>
      <c r="AA296" s="62">
        <f>IF($V296="","",IF(AND(ISNUMBER($G296),$G296&lt;=IF($S296=MesCiclo,InicioCiclo,$S296+MOD(2-WEEKDAY($S296),7))+20),1,IF(ISNUMBER($K296),$K296,$Z296)))</f>
        <v/>
      </c>
      <c r="AB296" s="62">
        <f>IF($V296="","",IF(AND(ISNUMBER($G296),$G296&lt;=IF($S296=MesCiclo,InicioCiclo,$S296+MOD(2-WEEKDAY($S296),7))+27),1,IF(ISNUMBER($L296),$L296,$AA296)))</f>
        <v/>
      </c>
      <c r="AC296" s="62">
        <f>IF($V296="","",IF(AND(ISNUMBER($G296),$G296&lt;=IF($S296=MesCiclo,InicioCiclo,$S296+MOD(2-WEEKDAY($S296),7))+6),1,IF(N($W296)&gt;0,AVERAGEIFS($Y$5:$Y$1000,$U$5:$U$1000,ROW(),$V$5:$V$1000,"Sub"),$Y296)))</f>
        <v/>
      </c>
      <c r="AD296" s="62">
        <f>IF($V296="","",IF(AND(ISNUMBER($G296),$G296&lt;=IF($S296=MesCiclo,InicioCiclo,$S296+MOD(2-WEEKDAY($S296),7))+13),1,IF(N($W296)&gt;0,AVERAGEIFS($Z$5:$Z$1000,$U$5:$U$1000,ROW(),$V$5:$V$1000,"Sub"),$Z296)))</f>
        <v/>
      </c>
      <c r="AE296" s="62">
        <f>IF($V296="","",IF(AND(ISNUMBER($G296),$G296&lt;=IF($S296=MesCiclo,InicioCiclo,$S296+MOD(2-WEEKDAY($S296),7))+20),1,IF(N($W296)&gt;0,AVERAGEIFS($AA$5:$AA$1000,$U$5:$U$1000,ROW(),$V$5:$V$1000,"Sub"),$AA296)))</f>
        <v/>
      </c>
      <c r="AF296" s="62">
        <f>IF($V296="","",IF(AND(ISNUMBER($G296),$G296&lt;=IF($S296=MesCiclo,InicioCiclo,$S296+MOD(2-WEEKDAY($S296),7))+27),1,IF(N($W296)&gt;0,AVERAGEIFS($AB$5:$AB$1000,$U$5:$U$1000,ROW(),$V$5:$V$1000,"Sub"),$AB296)))</f>
        <v/>
      </c>
      <c r="AG296" s="62">
        <f>IF($V296&lt;&gt;"Macro","",IF(COUNTIFS($S$5:$S$1000,$S296,$V$5:$V$1000,"Macro",$H$5:$H$1000,"&gt;0")=0,1/COUNTIFS($S$5:$S$1000,$S296,$V$5:$V$1000,"Macro"),IF(AND(ISNUMBER($H296),N($H296)&gt;0),$H296,SUMIFS($H$5:$H$1000,$S$5:$S$1000,$S296,$V$5:$V$1000,"Macro")/COUNTIFS($S$5:$S$1000,$S296,$V$5:$V$1000,"Macro",$H$5:$H$1000,"&gt;0"))/(COUNTIFS($S$5:$S$1000,$S296,$V$5:$V$1000,"Macro")*SUMIFS($H$5:$H$1000,$S$5:$S$1000,$S296,$V$5:$V$1000,"Macro")/COUNTIFS($S$5:$S$1000,$S296,$V$5:$V$1000,"Macro",$H$5:$H$1000,"&gt;0"))))</f>
        <v/>
      </c>
      <c r="AH296" s="62" t="n"/>
      <c r="AI296" s="62" t="n"/>
      <c r="AJ296" s="62" t="n"/>
      <c r="AK296" s="62" t="n"/>
      <c r="AL296" s="62">
        <f>IF(LEFT($C296,11)="[Jefatura] ",IFERROR(MATCH("Riesgo Operacional|"&amp;MID($C296,12,500),rDname_ADM,0),0),"")</f>
        <v/>
      </c>
      <c r="AM296" s="62">
        <f>IF(N($AL296)&gt;0,INDEX(rIni_ADM,$AL296),IF(ISNUMBER($E296),$E296,""))</f>
        <v/>
      </c>
      <c r="AN296" s="62">
        <f>IF(N($AL296)&gt;0,INDEX(rLim_ADM,$AL296),IF(ISNUMBER($F296),$F296,""))</f>
        <v/>
      </c>
    </row>
    <row r="297">
      <c r="A297" s="56">
        <f>IF(NOT((COUNTA($B297:$D297)+COUNTA($G297:$L297)+COUNTA($Q297))&gt;0),"",IF($V297="Macro",COUNTIFS($V$5:$V297,"Macro",$S$5:$S297,$S297),IF(N($U297)=0,"?",COUNTIFS(INDEX($V$5:$V$1000,1):INDEX($V$5:$V$1000,$U297-4),"Macro",INDEX($S$5:$S$1000,1):INDEX($S$5:$S$1000,$U297-4),INDEX($S$5:$S$1000,$U297-4))&amp;"."&amp;COUNTIFS($U$5:$U297,$U297,$V$5:$V297,"Sub"))))</f>
        <v/>
      </c>
      <c r="B297" s="57" t="n"/>
      <c r="C297" s="58" t="n"/>
      <c r="D297" s="58" t="n"/>
      <c r="E297" s="59">
        <f>IF(N($AL297)&gt;0,INDEX(rIni_ADM,$AL297),"")</f>
        <v/>
      </c>
      <c r="F297" s="59">
        <f>IF(N($AL297)&gt;0,INDEX(rLim_ADM,$AL297),"")</f>
        <v/>
      </c>
      <c r="G297" s="59" t="n"/>
      <c r="H297" s="60" t="n"/>
      <c r="I297" s="60" t="n"/>
      <c r="J297" s="60" t="n"/>
      <c r="K297" s="60" t="n"/>
      <c r="L297" s="60" t="n"/>
      <c r="M297" s="61">
        <f>IF(NOT((COUNTA($B297:$D297)+COUNTA($G297:$L297)+COUNTA($Q297))&gt;0),"",IF($V297="Sub",IFERROR($X297/INDEX($W$5:$W$1000,$U297-4),""),IF(ISNUMBER($G297),1,IF(N($W297)&gt;0,AVERAGEIFS($X$5:$X$1000,$U$5:$U$1000,ROW(),$V$5:$V$1000,"Sub"),$X297))))</f>
        <v/>
      </c>
      <c r="N297" s="56">
        <f>IF(OR($M297="",$V297="Sub"),"",IF($M297&gt;=1,"Completado",IF($M297&gt;0,"En curso","Pendiente")))</f>
        <v/>
      </c>
      <c r="O297" s="56">
        <f>IF(OR(NOT((COUNTA($B297:$D297)+COUNTA($G297:$L297)+COUNTA($Q297))&gt;0),$V297="Sub"),"",IF(ISNUMBER($G297),IF(AND(ISNUMBER($AN297),$G297&gt;$AN297),"Cumplida con "&amp;($G297-$AN297)&amp;IF($G297-$AN297=1," día"," días")&amp;" de retraso","Cumplida"),IF(N($M297)&gt;=1,"Cumplida",IF(NOT(ISNUMBER($AN297)),"Sin fecha límite",IF($AN297&lt;FechaRef,"Vencida hace "&amp;(FechaRef-$AN297)&amp;IF(FechaRef-$AN297=1," día"," días"),IF($AN297=FechaRef,"Vence hoy",IF($AN297-FechaRef&lt;=DiasAlerta,"Vence en "&amp;($AN297-FechaRef)&amp;IF($AN297-FechaRef=1," día"," días"),"En plazo")))))))</f>
        <v/>
      </c>
      <c r="P297" s="62" t="n"/>
      <c r="Q297" s="58" t="n"/>
      <c r="R297" s="63">
        <f>IF(NOT((COUNTA($B297:$D297)+COUNTA($G297:$L297)+COUNTA($Q297))&gt;0),"",IF((IF($C297="","Falta el nombre de la actividad"&amp;" · ","")&amp;IF(AND($V297="Sub",N($U297)=0),"Subactividad sin macroactividad arriba"&amp;" · ","")&amp;IF($AM297="","Sin fecha de inicio"&amp;" · ","")&amp;IF($AN297="","Sin fecha límite"&amp;" · ","")&amp;IF(AND(LEFT($C297,11)="[Jefatura] ",N($AL297)=0),"No se encuentra en la hoja de la jefatura (elíjala de nuevo en la lista)"&amp;" · ","")&amp;IF(OR(AND($E297&lt;&gt;"",NOT(ISNUMBER($E297))),AND($F297&lt;&gt;"",NOT(ISNUMBER($F297))),AND($G297&lt;&gt;"",NOT(ISNUMBER($G297)))),"Fecha no válida"&amp;" · ","")&amp;IF(AND(ISNUMBER($AM297),ISNUMBER($AN297),$AM297&gt;$AN297),"Inicio posterior a fecha límite"&amp;" · ","")&amp;IF(AND($V297="Macro",$H297&lt;&gt;"",OR(NOT(ISNUMBER($H297)),$H297&lt;0,$H297&gt;1)),"Peso fuera de rango"&amp;" · ","")&amp;IF(AND($V297="Sub",$H297&lt;&gt;""),"Las subactividades no llevan peso (valen igual dentro de su macroactividad)"&amp;" · ","")&amp;IF(AND(N($W297)&gt;0,COUNT($I297:$L297)&gt;0),"Con subactividades: deje vacías las semanas (se calculan solas)"&amp;" · ","")&amp;IF((COUNTIF($I297:$L297,"&gt;1")+COUNTIF($I297:$L297,"&lt;0")+COUNTA($I297:$L297)-COUNT($I297:$L297))&gt;0,"Avance fuera de rango 0-100%"&amp;" · ","")&amp;IF(OR(AND($J297&lt;&gt;"",$J297&lt;$I297),AND($K297&lt;&gt;"",$K297&lt;MAX($I297:$J297)),AND($L297&lt;&gt;"",$L297&lt;MAX($I297:$K297))),"Avance semanal decreciente"&amp;" · ","")&amp;IF(AND(ISNUMBER($AN297),$AN297&lt;FechaRef,IF($V297="Sub",N($X297),N($M297))&lt;1),"Vencida"&amp;" · ","")&amp;IF(AND(ObsObligatoria="Sí",ISNUMBER($AN297),$AN297&lt;FechaRef,IF($V297="Sub",N($X297),N($M297))&lt;1,$Q297=""),"Vencida sin observación"&amp;" · ",""))="","✔ OK","⚠ "&amp;LEFT(IF($C297="","Falta el nombre de la actividad"&amp;" · ","")&amp;IF(AND($V297="Sub",N($U297)=0),"Subactividad sin macroactividad arriba"&amp;" · ","")&amp;IF($AM297="","Sin fecha de inicio"&amp;" · ","")&amp;IF($AN297="","Sin fecha límite"&amp;" · ","")&amp;IF(AND(LEFT($C297,11)="[Jefatura] ",N($AL297)=0),"No se encuentra en la hoja de la jefatura (elíjala de nuevo en la lista)"&amp;" · ","")&amp;IF(OR(AND($E297&lt;&gt;"",NOT(ISNUMBER($E297))),AND($F297&lt;&gt;"",NOT(ISNUMBER($F297))),AND($G297&lt;&gt;"",NOT(ISNUMBER($G297)))),"Fecha no válida"&amp;" · ","")&amp;IF(AND(ISNUMBER($AM297),ISNUMBER($AN297),$AM297&gt;$AN297),"Inicio posterior a fecha límite"&amp;" · ","")&amp;IF(AND($V297="Macro",$H297&lt;&gt;"",OR(NOT(ISNUMBER($H297)),$H297&lt;0,$H297&gt;1)),"Peso fuera de rango"&amp;" · ","")&amp;IF(AND($V297="Sub",$H297&lt;&gt;""),"Las subactividades no llevan peso (valen igual dentro de su macroactividad)"&amp;" · ","")&amp;IF(AND(N($W297)&gt;0,COUNT($I297:$L297)&gt;0),"Con subactividades: deje vacías las semanas (se calculan solas)"&amp;" · ","")&amp;IF((COUNTIF($I297:$L297,"&gt;1")+COUNTIF($I297:$L297,"&lt;0")+COUNTA($I297:$L297)-COUNT($I297:$L297))&gt;0,"Avance fuera de rango 0-100%"&amp;" · ","")&amp;IF(OR(AND($J297&lt;&gt;"",$J297&lt;$I297),AND($K297&lt;&gt;"",$K297&lt;MAX($I297:$J297)),AND($L297&lt;&gt;"",$L297&lt;MAX($I297:$K297))),"Avance semanal decreciente"&amp;" · ","")&amp;IF(AND(ISNUMBER($AN297),$AN297&lt;FechaRef,IF($V297="Sub",N($X297),N($M297))&lt;1),"Vencida"&amp;" · ","")&amp;IF(AND(ObsObligatoria="Sí",ISNUMBER($AN297),$AN297&lt;FechaRef,IF($V297="Sub",N($X297),N($M297))&lt;1,$Q297=""),"Vencida sin observación"&amp;" · ",""),LEN(IF($C297="","Falta el nombre de la actividad"&amp;" · ","")&amp;IF(AND($V297="Sub",N($U297)=0),"Subactividad sin macroactividad arriba"&amp;" · ","")&amp;IF($AM297="","Sin fecha de inicio"&amp;" · ","")&amp;IF($AN297="","Sin fecha límite"&amp;" · ","")&amp;IF(AND(LEFT($C297,11)="[Jefatura] ",N($AL297)=0),"No se encuentra en la hoja de la jefatura (elíjala de nuevo en la lista)"&amp;" · ","")&amp;IF(OR(AND($E297&lt;&gt;"",NOT(ISNUMBER($E297))),AND($F297&lt;&gt;"",NOT(ISNUMBER($F297))),AND($G297&lt;&gt;"",NOT(ISNUMBER($G297)))),"Fecha no válida"&amp;" · ","")&amp;IF(AND(ISNUMBER($AM297),ISNUMBER($AN297),$AM297&gt;$AN297),"Inicio posterior a fecha límite"&amp;" · ","")&amp;IF(AND($V297="Macro",$H297&lt;&gt;"",OR(NOT(ISNUMBER($H297)),$H297&lt;0,$H297&gt;1)),"Peso fuera de rango"&amp;" · ","")&amp;IF(AND($V297="Sub",$H297&lt;&gt;""),"Las subactividades no llevan peso (valen igual dentro de su macroactividad)"&amp;" · ","")&amp;IF(AND(N($W297)&gt;0,COUNT($I297:$L297)&gt;0),"Con subactividades: deje vacías las semanas (se calculan solas)"&amp;" · ","")&amp;IF((COUNTIF($I297:$L297,"&gt;1")+COUNTIF($I297:$L297,"&lt;0")+COUNTA($I297:$L297)-COUNT($I297:$L297))&gt;0,"Avance fuera de rango 0-100%"&amp;" · ","")&amp;IF(OR(AND($J297&lt;&gt;"",$J297&lt;$I297),AND($K297&lt;&gt;"",$K297&lt;MAX($I297:$J297)),AND($L297&lt;&gt;"",$L297&lt;MAX($I297:$K297))),"Avance semanal decreciente"&amp;" · ","")&amp;IF(AND(ISNUMBER($AN297),$AN297&lt;FechaRef,IF($V297="Sub",N($X297),N($M297))&lt;1),"Vencida"&amp;" · ","")&amp;IF(AND(ObsObligatoria="Sí",ISNUMBER($AN297),$AN297&lt;FechaRef,IF($V297="Sub",N($X297),N($M297))&lt;1,$Q297=""),"Vencida sin observación"&amp;" · ",""))-3)))</f>
        <v/>
      </c>
      <c r="S297" s="64">
        <f>IF(NOT((COUNTA($B297:$D297)+COUNTA($G297:$L297)+COUNTA($Q297))&gt;0),"",IF(AND($V297="Sub",N($U297)&gt;0),IF(ISNUMBER(INDEX($AM$5:$AM$1000,$U297-4)),DATE(YEAR(INDEX($AM$5:$AM$1000,$U297-4)),MONTH(INDEX($AM$5:$AM$1000,$U297-4)),1),IF(ISNUMBER(INDEX($AN$5:$AN$1000,$U297-4)),DATE(YEAR(INDEX($AN$5:$AN$1000,$U297-4)),MONTH(INDEX($AN$5:$AN$1000,$U297-4)),1),MesCiclo)),IF(ISNUMBER($AM297),DATE(YEAR($AM297),MONTH($AM297),1),IF(ISNUMBER($AN297),DATE(YEAR($AN297),MONTH($AN297),1),MesCiclo))))</f>
        <v/>
      </c>
      <c r="T297" s="62">
        <f>IF(OR($S297="",$S297&lt;&gt;MesCiclo,$V297&lt;&gt;"Macro"),"",COUNTIFS($S$5:$S297,MesCiclo,$V$5:$V297,"Macro"))</f>
        <v/>
      </c>
      <c r="U297" s="62">
        <f>IF($V297="","",IF($V297="Macro",ROW(),IFERROR(LOOKUP(2,1/($V$5:$V297="Macro"),ROW($V$5:$V297)),0)))</f>
        <v/>
      </c>
      <c r="V297" s="62">
        <f>IF(NOT((COUNTA($B297:$D297)+COUNTA($G297:$L297)+COUNTA($Q297))&gt;0),"",IF($B297="Subactividad","Sub","Macro"))</f>
        <v/>
      </c>
      <c r="W297" s="62">
        <f>IF($V297="Macro",COUNTIFS($U$5:$U$1000,ROW(),$V$5:$V$1000,"Sub"),"")</f>
        <v/>
      </c>
      <c r="X297" s="62">
        <f>IF($V297="","",IF(ISNUMBER($G297),1,IFERROR(LOOKUP(2,1/($I297:$L297&lt;&gt;""),$I297:$L297),0)))</f>
        <v/>
      </c>
      <c r="Y297" s="62">
        <f>IF($V297="","",IF(AND(ISNUMBER($G297),$G297&lt;=IF($S297=MesCiclo,InicioCiclo,$S297+MOD(2-WEEKDAY($S297),7))+6),1,IF(ISNUMBER($I297),$I297,0)))</f>
        <v/>
      </c>
      <c r="Z297" s="62">
        <f>IF($V297="","",IF(AND(ISNUMBER($G297),$G297&lt;=IF($S297=MesCiclo,InicioCiclo,$S297+MOD(2-WEEKDAY($S297),7))+13),1,IF(ISNUMBER($J297),$J297,$Y297)))</f>
        <v/>
      </c>
      <c r="AA297" s="62">
        <f>IF($V297="","",IF(AND(ISNUMBER($G297),$G297&lt;=IF($S297=MesCiclo,InicioCiclo,$S297+MOD(2-WEEKDAY($S297),7))+20),1,IF(ISNUMBER($K297),$K297,$Z297)))</f>
        <v/>
      </c>
      <c r="AB297" s="62">
        <f>IF($V297="","",IF(AND(ISNUMBER($G297),$G297&lt;=IF($S297=MesCiclo,InicioCiclo,$S297+MOD(2-WEEKDAY($S297),7))+27),1,IF(ISNUMBER($L297),$L297,$AA297)))</f>
        <v/>
      </c>
      <c r="AC297" s="62">
        <f>IF($V297="","",IF(AND(ISNUMBER($G297),$G297&lt;=IF($S297=MesCiclo,InicioCiclo,$S297+MOD(2-WEEKDAY($S297),7))+6),1,IF(N($W297)&gt;0,AVERAGEIFS($Y$5:$Y$1000,$U$5:$U$1000,ROW(),$V$5:$V$1000,"Sub"),$Y297)))</f>
        <v/>
      </c>
      <c r="AD297" s="62">
        <f>IF($V297="","",IF(AND(ISNUMBER($G297),$G297&lt;=IF($S297=MesCiclo,InicioCiclo,$S297+MOD(2-WEEKDAY($S297),7))+13),1,IF(N($W297)&gt;0,AVERAGEIFS($Z$5:$Z$1000,$U$5:$U$1000,ROW(),$V$5:$V$1000,"Sub"),$Z297)))</f>
        <v/>
      </c>
      <c r="AE297" s="62">
        <f>IF($V297="","",IF(AND(ISNUMBER($G297),$G297&lt;=IF($S297=MesCiclo,InicioCiclo,$S297+MOD(2-WEEKDAY($S297),7))+20),1,IF(N($W297)&gt;0,AVERAGEIFS($AA$5:$AA$1000,$U$5:$U$1000,ROW(),$V$5:$V$1000,"Sub"),$AA297)))</f>
        <v/>
      </c>
      <c r="AF297" s="62">
        <f>IF($V297="","",IF(AND(ISNUMBER($G297),$G297&lt;=IF($S297=MesCiclo,InicioCiclo,$S297+MOD(2-WEEKDAY($S297),7))+27),1,IF(N($W297)&gt;0,AVERAGEIFS($AB$5:$AB$1000,$U$5:$U$1000,ROW(),$V$5:$V$1000,"Sub"),$AB297)))</f>
        <v/>
      </c>
      <c r="AG297" s="62">
        <f>IF($V297&lt;&gt;"Macro","",IF(COUNTIFS($S$5:$S$1000,$S297,$V$5:$V$1000,"Macro",$H$5:$H$1000,"&gt;0")=0,1/COUNTIFS($S$5:$S$1000,$S297,$V$5:$V$1000,"Macro"),IF(AND(ISNUMBER($H297),N($H297)&gt;0),$H297,SUMIFS($H$5:$H$1000,$S$5:$S$1000,$S297,$V$5:$V$1000,"Macro")/COUNTIFS($S$5:$S$1000,$S297,$V$5:$V$1000,"Macro",$H$5:$H$1000,"&gt;0"))/(COUNTIFS($S$5:$S$1000,$S297,$V$5:$V$1000,"Macro")*SUMIFS($H$5:$H$1000,$S$5:$S$1000,$S297,$V$5:$V$1000,"Macro")/COUNTIFS($S$5:$S$1000,$S297,$V$5:$V$1000,"Macro",$H$5:$H$1000,"&gt;0"))))</f>
        <v/>
      </c>
      <c r="AH297" s="62" t="n"/>
      <c r="AI297" s="62" t="n"/>
      <c r="AJ297" s="62" t="n"/>
      <c r="AK297" s="62" t="n"/>
      <c r="AL297" s="62">
        <f>IF(LEFT($C297,11)="[Jefatura] ",IFERROR(MATCH("Riesgo Operacional|"&amp;MID($C297,12,500),rDname_ADM,0),0),"")</f>
        <v/>
      </c>
      <c r="AM297" s="62">
        <f>IF(N($AL297)&gt;0,INDEX(rIni_ADM,$AL297),IF(ISNUMBER($E297),$E297,""))</f>
        <v/>
      </c>
      <c r="AN297" s="62">
        <f>IF(N($AL297)&gt;0,INDEX(rLim_ADM,$AL297),IF(ISNUMBER($F297),$F297,""))</f>
        <v/>
      </c>
    </row>
    <row r="298">
      <c r="A298" s="56">
        <f>IF(NOT((COUNTA($B298:$D298)+COUNTA($G298:$L298)+COUNTA($Q298))&gt;0),"",IF($V298="Macro",COUNTIFS($V$5:$V298,"Macro",$S$5:$S298,$S298),IF(N($U298)=0,"?",COUNTIFS(INDEX($V$5:$V$1000,1):INDEX($V$5:$V$1000,$U298-4),"Macro",INDEX($S$5:$S$1000,1):INDEX($S$5:$S$1000,$U298-4),INDEX($S$5:$S$1000,$U298-4))&amp;"."&amp;COUNTIFS($U$5:$U298,$U298,$V$5:$V298,"Sub"))))</f>
        <v/>
      </c>
      <c r="B298" s="57" t="n"/>
      <c r="C298" s="58" t="n"/>
      <c r="D298" s="58" t="n"/>
      <c r="E298" s="59">
        <f>IF(N($AL298)&gt;0,INDEX(rIni_ADM,$AL298),"")</f>
        <v/>
      </c>
      <c r="F298" s="59">
        <f>IF(N($AL298)&gt;0,INDEX(rLim_ADM,$AL298),"")</f>
        <v/>
      </c>
      <c r="G298" s="59" t="n"/>
      <c r="H298" s="60" t="n"/>
      <c r="I298" s="60" t="n"/>
      <c r="J298" s="60" t="n"/>
      <c r="K298" s="60" t="n"/>
      <c r="L298" s="60" t="n"/>
      <c r="M298" s="61">
        <f>IF(NOT((COUNTA($B298:$D298)+COUNTA($G298:$L298)+COUNTA($Q298))&gt;0),"",IF($V298="Sub",IFERROR($X298/INDEX($W$5:$W$1000,$U298-4),""),IF(ISNUMBER($G298),1,IF(N($W298)&gt;0,AVERAGEIFS($X$5:$X$1000,$U$5:$U$1000,ROW(),$V$5:$V$1000,"Sub"),$X298))))</f>
        <v/>
      </c>
      <c r="N298" s="56">
        <f>IF(OR($M298="",$V298="Sub"),"",IF($M298&gt;=1,"Completado",IF($M298&gt;0,"En curso","Pendiente")))</f>
        <v/>
      </c>
      <c r="O298" s="56">
        <f>IF(OR(NOT((COUNTA($B298:$D298)+COUNTA($G298:$L298)+COUNTA($Q298))&gt;0),$V298="Sub"),"",IF(ISNUMBER($G298),IF(AND(ISNUMBER($AN298),$G298&gt;$AN298),"Cumplida con "&amp;($G298-$AN298)&amp;IF($G298-$AN298=1," día"," días")&amp;" de retraso","Cumplida"),IF(N($M298)&gt;=1,"Cumplida",IF(NOT(ISNUMBER($AN298)),"Sin fecha límite",IF($AN298&lt;FechaRef,"Vencida hace "&amp;(FechaRef-$AN298)&amp;IF(FechaRef-$AN298=1," día"," días"),IF($AN298=FechaRef,"Vence hoy",IF($AN298-FechaRef&lt;=DiasAlerta,"Vence en "&amp;($AN298-FechaRef)&amp;IF($AN298-FechaRef=1," día"," días"),"En plazo")))))))</f>
        <v/>
      </c>
      <c r="P298" s="62" t="n"/>
      <c r="Q298" s="58" t="n"/>
      <c r="R298" s="63">
        <f>IF(NOT((COUNTA($B298:$D298)+COUNTA($G298:$L298)+COUNTA($Q298))&gt;0),"",IF((IF($C298="","Falta el nombre de la actividad"&amp;" · ","")&amp;IF(AND($V298="Sub",N($U298)=0),"Subactividad sin macroactividad arriba"&amp;" · ","")&amp;IF($AM298="","Sin fecha de inicio"&amp;" · ","")&amp;IF($AN298="","Sin fecha límite"&amp;" · ","")&amp;IF(AND(LEFT($C298,11)="[Jefatura] ",N($AL298)=0),"No se encuentra en la hoja de la jefatura (elíjala de nuevo en la lista)"&amp;" · ","")&amp;IF(OR(AND($E298&lt;&gt;"",NOT(ISNUMBER($E298))),AND($F298&lt;&gt;"",NOT(ISNUMBER($F298))),AND($G298&lt;&gt;"",NOT(ISNUMBER($G298)))),"Fecha no válida"&amp;" · ","")&amp;IF(AND(ISNUMBER($AM298),ISNUMBER($AN298),$AM298&gt;$AN298),"Inicio posterior a fecha límite"&amp;" · ","")&amp;IF(AND($V298="Macro",$H298&lt;&gt;"",OR(NOT(ISNUMBER($H298)),$H298&lt;0,$H298&gt;1)),"Peso fuera de rango"&amp;" · ","")&amp;IF(AND($V298="Sub",$H298&lt;&gt;""),"Las subactividades no llevan peso (valen igual dentro de su macroactividad)"&amp;" · ","")&amp;IF(AND(N($W298)&gt;0,COUNT($I298:$L298)&gt;0),"Con subactividades: deje vacías las semanas (se calculan solas)"&amp;" · ","")&amp;IF((COUNTIF($I298:$L298,"&gt;1")+COUNTIF($I298:$L298,"&lt;0")+COUNTA($I298:$L298)-COUNT($I298:$L298))&gt;0,"Avance fuera de rango 0-100%"&amp;" · ","")&amp;IF(OR(AND($J298&lt;&gt;"",$J298&lt;$I298),AND($K298&lt;&gt;"",$K298&lt;MAX($I298:$J298)),AND($L298&lt;&gt;"",$L298&lt;MAX($I298:$K298))),"Avance semanal decreciente"&amp;" · ","")&amp;IF(AND(ISNUMBER($AN298),$AN298&lt;FechaRef,IF($V298="Sub",N($X298),N($M298))&lt;1),"Vencida"&amp;" · ","")&amp;IF(AND(ObsObligatoria="Sí",ISNUMBER($AN298),$AN298&lt;FechaRef,IF($V298="Sub",N($X298),N($M298))&lt;1,$Q298=""),"Vencida sin observación"&amp;" · ",""))="","✔ OK","⚠ "&amp;LEFT(IF($C298="","Falta el nombre de la actividad"&amp;" · ","")&amp;IF(AND($V298="Sub",N($U298)=0),"Subactividad sin macroactividad arriba"&amp;" · ","")&amp;IF($AM298="","Sin fecha de inicio"&amp;" · ","")&amp;IF($AN298="","Sin fecha límite"&amp;" · ","")&amp;IF(AND(LEFT($C298,11)="[Jefatura] ",N($AL298)=0),"No se encuentra en la hoja de la jefatura (elíjala de nuevo en la lista)"&amp;" · ","")&amp;IF(OR(AND($E298&lt;&gt;"",NOT(ISNUMBER($E298))),AND($F298&lt;&gt;"",NOT(ISNUMBER($F298))),AND($G298&lt;&gt;"",NOT(ISNUMBER($G298)))),"Fecha no válida"&amp;" · ","")&amp;IF(AND(ISNUMBER($AM298),ISNUMBER($AN298),$AM298&gt;$AN298),"Inicio posterior a fecha límite"&amp;" · ","")&amp;IF(AND($V298="Macro",$H298&lt;&gt;"",OR(NOT(ISNUMBER($H298)),$H298&lt;0,$H298&gt;1)),"Peso fuera de rango"&amp;" · ","")&amp;IF(AND($V298="Sub",$H298&lt;&gt;""),"Las subactividades no llevan peso (valen igual dentro de su macroactividad)"&amp;" · ","")&amp;IF(AND(N($W298)&gt;0,COUNT($I298:$L298)&gt;0),"Con subactividades: deje vacías las semanas (se calculan solas)"&amp;" · ","")&amp;IF((COUNTIF($I298:$L298,"&gt;1")+COUNTIF($I298:$L298,"&lt;0")+COUNTA($I298:$L298)-COUNT($I298:$L298))&gt;0,"Avance fuera de rango 0-100%"&amp;" · ","")&amp;IF(OR(AND($J298&lt;&gt;"",$J298&lt;$I298),AND($K298&lt;&gt;"",$K298&lt;MAX($I298:$J298)),AND($L298&lt;&gt;"",$L298&lt;MAX($I298:$K298))),"Avance semanal decreciente"&amp;" · ","")&amp;IF(AND(ISNUMBER($AN298),$AN298&lt;FechaRef,IF($V298="Sub",N($X298),N($M298))&lt;1),"Vencida"&amp;" · ","")&amp;IF(AND(ObsObligatoria="Sí",ISNUMBER($AN298),$AN298&lt;FechaRef,IF($V298="Sub",N($X298),N($M298))&lt;1,$Q298=""),"Vencida sin observación"&amp;" · ",""),LEN(IF($C298="","Falta el nombre de la actividad"&amp;" · ","")&amp;IF(AND($V298="Sub",N($U298)=0),"Subactividad sin macroactividad arriba"&amp;" · ","")&amp;IF($AM298="","Sin fecha de inicio"&amp;" · ","")&amp;IF($AN298="","Sin fecha límite"&amp;" · ","")&amp;IF(AND(LEFT($C298,11)="[Jefatura] ",N($AL298)=0),"No se encuentra en la hoja de la jefatura (elíjala de nuevo en la lista)"&amp;" · ","")&amp;IF(OR(AND($E298&lt;&gt;"",NOT(ISNUMBER($E298))),AND($F298&lt;&gt;"",NOT(ISNUMBER($F298))),AND($G298&lt;&gt;"",NOT(ISNUMBER($G298)))),"Fecha no válida"&amp;" · ","")&amp;IF(AND(ISNUMBER($AM298),ISNUMBER($AN298),$AM298&gt;$AN298),"Inicio posterior a fecha límite"&amp;" · ","")&amp;IF(AND($V298="Macro",$H298&lt;&gt;"",OR(NOT(ISNUMBER($H298)),$H298&lt;0,$H298&gt;1)),"Peso fuera de rango"&amp;" · ","")&amp;IF(AND($V298="Sub",$H298&lt;&gt;""),"Las subactividades no llevan peso (valen igual dentro de su macroactividad)"&amp;" · ","")&amp;IF(AND(N($W298)&gt;0,COUNT($I298:$L298)&gt;0),"Con subactividades: deje vacías las semanas (se calculan solas)"&amp;" · ","")&amp;IF((COUNTIF($I298:$L298,"&gt;1")+COUNTIF($I298:$L298,"&lt;0")+COUNTA($I298:$L298)-COUNT($I298:$L298))&gt;0,"Avance fuera de rango 0-100%"&amp;" · ","")&amp;IF(OR(AND($J298&lt;&gt;"",$J298&lt;$I298),AND($K298&lt;&gt;"",$K298&lt;MAX($I298:$J298)),AND($L298&lt;&gt;"",$L298&lt;MAX($I298:$K298))),"Avance semanal decreciente"&amp;" · ","")&amp;IF(AND(ISNUMBER($AN298),$AN298&lt;FechaRef,IF($V298="Sub",N($X298),N($M298))&lt;1),"Vencida"&amp;" · ","")&amp;IF(AND(ObsObligatoria="Sí",ISNUMBER($AN298),$AN298&lt;FechaRef,IF($V298="Sub",N($X298),N($M298))&lt;1,$Q298=""),"Vencida sin observación"&amp;" · ",""))-3)))</f>
        <v/>
      </c>
      <c r="S298" s="64">
        <f>IF(NOT((COUNTA($B298:$D298)+COUNTA($G298:$L298)+COUNTA($Q298))&gt;0),"",IF(AND($V298="Sub",N($U298)&gt;0),IF(ISNUMBER(INDEX($AM$5:$AM$1000,$U298-4)),DATE(YEAR(INDEX($AM$5:$AM$1000,$U298-4)),MONTH(INDEX($AM$5:$AM$1000,$U298-4)),1),IF(ISNUMBER(INDEX($AN$5:$AN$1000,$U298-4)),DATE(YEAR(INDEX($AN$5:$AN$1000,$U298-4)),MONTH(INDEX($AN$5:$AN$1000,$U298-4)),1),MesCiclo)),IF(ISNUMBER($AM298),DATE(YEAR($AM298),MONTH($AM298),1),IF(ISNUMBER($AN298),DATE(YEAR($AN298),MONTH($AN298),1),MesCiclo))))</f>
        <v/>
      </c>
      <c r="T298" s="62">
        <f>IF(OR($S298="",$S298&lt;&gt;MesCiclo,$V298&lt;&gt;"Macro"),"",COUNTIFS($S$5:$S298,MesCiclo,$V$5:$V298,"Macro"))</f>
        <v/>
      </c>
      <c r="U298" s="62">
        <f>IF($V298="","",IF($V298="Macro",ROW(),IFERROR(LOOKUP(2,1/($V$5:$V298="Macro"),ROW($V$5:$V298)),0)))</f>
        <v/>
      </c>
      <c r="V298" s="62">
        <f>IF(NOT((COUNTA($B298:$D298)+COUNTA($G298:$L298)+COUNTA($Q298))&gt;0),"",IF($B298="Subactividad","Sub","Macro"))</f>
        <v/>
      </c>
      <c r="W298" s="62">
        <f>IF($V298="Macro",COUNTIFS($U$5:$U$1000,ROW(),$V$5:$V$1000,"Sub"),"")</f>
        <v/>
      </c>
      <c r="X298" s="62">
        <f>IF($V298="","",IF(ISNUMBER($G298),1,IFERROR(LOOKUP(2,1/($I298:$L298&lt;&gt;""),$I298:$L298),0)))</f>
        <v/>
      </c>
      <c r="Y298" s="62">
        <f>IF($V298="","",IF(AND(ISNUMBER($G298),$G298&lt;=IF($S298=MesCiclo,InicioCiclo,$S298+MOD(2-WEEKDAY($S298),7))+6),1,IF(ISNUMBER($I298),$I298,0)))</f>
        <v/>
      </c>
      <c r="Z298" s="62">
        <f>IF($V298="","",IF(AND(ISNUMBER($G298),$G298&lt;=IF($S298=MesCiclo,InicioCiclo,$S298+MOD(2-WEEKDAY($S298),7))+13),1,IF(ISNUMBER($J298),$J298,$Y298)))</f>
        <v/>
      </c>
      <c r="AA298" s="62">
        <f>IF($V298="","",IF(AND(ISNUMBER($G298),$G298&lt;=IF($S298=MesCiclo,InicioCiclo,$S298+MOD(2-WEEKDAY($S298),7))+20),1,IF(ISNUMBER($K298),$K298,$Z298)))</f>
        <v/>
      </c>
      <c r="AB298" s="62">
        <f>IF($V298="","",IF(AND(ISNUMBER($G298),$G298&lt;=IF($S298=MesCiclo,InicioCiclo,$S298+MOD(2-WEEKDAY($S298),7))+27),1,IF(ISNUMBER($L298),$L298,$AA298)))</f>
        <v/>
      </c>
      <c r="AC298" s="62">
        <f>IF($V298="","",IF(AND(ISNUMBER($G298),$G298&lt;=IF($S298=MesCiclo,InicioCiclo,$S298+MOD(2-WEEKDAY($S298),7))+6),1,IF(N($W298)&gt;0,AVERAGEIFS($Y$5:$Y$1000,$U$5:$U$1000,ROW(),$V$5:$V$1000,"Sub"),$Y298)))</f>
        <v/>
      </c>
      <c r="AD298" s="62">
        <f>IF($V298="","",IF(AND(ISNUMBER($G298),$G298&lt;=IF($S298=MesCiclo,InicioCiclo,$S298+MOD(2-WEEKDAY($S298),7))+13),1,IF(N($W298)&gt;0,AVERAGEIFS($Z$5:$Z$1000,$U$5:$U$1000,ROW(),$V$5:$V$1000,"Sub"),$Z298)))</f>
        <v/>
      </c>
      <c r="AE298" s="62">
        <f>IF($V298="","",IF(AND(ISNUMBER($G298),$G298&lt;=IF($S298=MesCiclo,InicioCiclo,$S298+MOD(2-WEEKDAY($S298),7))+20),1,IF(N($W298)&gt;0,AVERAGEIFS($AA$5:$AA$1000,$U$5:$U$1000,ROW(),$V$5:$V$1000,"Sub"),$AA298)))</f>
        <v/>
      </c>
      <c r="AF298" s="62">
        <f>IF($V298="","",IF(AND(ISNUMBER($G298),$G298&lt;=IF($S298=MesCiclo,InicioCiclo,$S298+MOD(2-WEEKDAY($S298),7))+27),1,IF(N($W298)&gt;0,AVERAGEIFS($AB$5:$AB$1000,$U$5:$U$1000,ROW(),$V$5:$V$1000,"Sub"),$AB298)))</f>
        <v/>
      </c>
      <c r="AG298" s="62">
        <f>IF($V298&lt;&gt;"Macro","",IF(COUNTIFS($S$5:$S$1000,$S298,$V$5:$V$1000,"Macro",$H$5:$H$1000,"&gt;0")=0,1/COUNTIFS($S$5:$S$1000,$S298,$V$5:$V$1000,"Macro"),IF(AND(ISNUMBER($H298),N($H298)&gt;0),$H298,SUMIFS($H$5:$H$1000,$S$5:$S$1000,$S298,$V$5:$V$1000,"Macro")/COUNTIFS($S$5:$S$1000,$S298,$V$5:$V$1000,"Macro",$H$5:$H$1000,"&gt;0"))/(COUNTIFS($S$5:$S$1000,$S298,$V$5:$V$1000,"Macro")*SUMIFS($H$5:$H$1000,$S$5:$S$1000,$S298,$V$5:$V$1000,"Macro")/COUNTIFS($S$5:$S$1000,$S298,$V$5:$V$1000,"Macro",$H$5:$H$1000,"&gt;0"))))</f>
        <v/>
      </c>
      <c r="AH298" s="62" t="n"/>
      <c r="AI298" s="62" t="n"/>
      <c r="AJ298" s="62" t="n"/>
      <c r="AK298" s="62" t="n"/>
      <c r="AL298" s="62">
        <f>IF(LEFT($C298,11)="[Jefatura] ",IFERROR(MATCH("Riesgo Operacional|"&amp;MID($C298,12,500),rDname_ADM,0),0),"")</f>
        <v/>
      </c>
      <c r="AM298" s="62">
        <f>IF(N($AL298)&gt;0,INDEX(rIni_ADM,$AL298),IF(ISNUMBER($E298),$E298,""))</f>
        <v/>
      </c>
      <c r="AN298" s="62">
        <f>IF(N($AL298)&gt;0,INDEX(rLim_ADM,$AL298),IF(ISNUMBER($F298),$F298,""))</f>
        <v/>
      </c>
    </row>
    <row r="299">
      <c r="A299" s="56">
        <f>IF(NOT((COUNTA($B299:$D299)+COUNTA($G299:$L299)+COUNTA($Q299))&gt;0),"",IF($V299="Macro",COUNTIFS($V$5:$V299,"Macro",$S$5:$S299,$S299),IF(N($U299)=0,"?",COUNTIFS(INDEX($V$5:$V$1000,1):INDEX($V$5:$V$1000,$U299-4),"Macro",INDEX($S$5:$S$1000,1):INDEX($S$5:$S$1000,$U299-4),INDEX($S$5:$S$1000,$U299-4))&amp;"."&amp;COUNTIFS($U$5:$U299,$U299,$V$5:$V299,"Sub"))))</f>
        <v/>
      </c>
      <c r="B299" s="57" t="n"/>
      <c r="C299" s="58" t="n"/>
      <c r="D299" s="58" t="n"/>
      <c r="E299" s="59">
        <f>IF(N($AL299)&gt;0,INDEX(rIni_ADM,$AL299),"")</f>
        <v/>
      </c>
      <c r="F299" s="59">
        <f>IF(N($AL299)&gt;0,INDEX(rLim_ADM,$AL299),"")</f>
        <v/>
      </c>
      <c r="G299" s="59" t="n"/>
      <c r="H299" s="60" t="n"/>
      <c r="I299" s="60" t="n"/>
      <c r="J299" s="60" t="n"/>
      <c r="K299" s="60" t="n"/>
      <c r="L299" s="60" t="n"/>
      <c r="M299" s="61">
        <f>IF(NOT((COUNTA($B299:$D299)+COUNTA($G299:$L299)+COUNTA($Q299))&gt;0),"",IF($V299="Sub",IFERROR($X299/INDEX($W$5:$W$1000,$U299-4),""),IF(ISNUMBER($G299),1,IF(N($W299)&gt;0,AVERAGEIFS($X$5:$X$1000,$U$5:$U$1000,ROW(),$V$5:$V$1000,"Sub"),$X299))))</f>
        <v/>
      </c>
      <c r="N299" s="56">
        <f>IF(OR($M299="",$V299="Sub"),"",IF($M299&gt;=1,"Completado",IF($M299&gt;0,"En curso","Pendiente")))</f>
        <v/>
      </c>
      <c r="O299" s="56">
        <f>IF(OR(NOT((COUNTA($B299:$D299)+COUNTA($G299:$L299)+COUNTA($Q299))&gt;0),$V299="Sub"),"",IF(ISNUMBER($G299),IF(AND(ISNUMBER($AN299),$G299&gt;$AN299),"Cumplida con "&amp;($G299-$AN299)&amp;IF($G299-$AN299=1," día"," días")&amp;" de retraso","Cumplida"),IF(N($M299)&gt;=1,"Cumplida",IF(NOT(ISNUMBER($AN299)),"Sin fecha límite",IF($AN299&lt;FechaRef,"Vencida hace "&amp;(FechaRef-$AN299)&amp;IF(FechaRef-$AN299=1," día"," días"),IF($AN299=FechaRef,"Vence hoy",IF($AN299-FechaRef&lt;=DiasAlerta,"Vence en "&amp;($AN299-FechaRef)&amp;IF($AN299-FechaRef=1," día"," días"),"En plazo")))))))</f>
        <v/>
      </c>
      <c r="P299" s="62" t="n"/>
      <c r="Q299" s="58" t="n"/>
      <c r="R299" s="63">
        <f>IF(NOT((COUNTA($B299:$D299)+COUNTA($G299:$L299)+COUNTA($Q299))&gt;0),"",IF((IF($C299="","Falta el nombre de la actividad"&amp;" · ","")&amp;IF(AND($V299="Sub",N($U299)=0),"Subactividad sin macroactividad arriba"&amp;" · ","")&amp;IF($AM299="","Sin fecha de inicio"&amp;" · ","")&amp;IF($AN299="","Sin fecha límite"&amp;" · ","")&amp;IF(AND(LEFT($C299,11)="[Jefatura] ",N($AL299)=0),"No se encuentra en la hoja de la jefatura (elíjala de nuevo en la lista)"&amp;" · ","")&amp;IF(OR(AND($E299&lt;&gt;"",NOT(ISNUMBER($E299))),AND($F299&lt;&gt;"",NOT(ISNUMBER($F299))),AND($G299&lt;&gt;"",NOT(ISNUMBER($G299)))),"Fecha no válida"&amp;" · ","")&amp;IF(AND(ISNUMBER($AM299),ISNUMBER($AN299),$AM299&gt;$AN299),"Inicio posterior a fecha límite"&amp;" · ","")&amp;IF(AND($V299="Macro",$H299&lt;&gt;"",OR(NOT(ISNUMBER($H299)),$H299&lt;0,$H299&gt;1)),"Peso fuera de rango"&amp;" · ","")&amp;IF(AND($V299="Sub",$H299&lt;&gt;""),"Las subactividades no llevan peso (valen igual dentro de su macroactividad)"&amp;" · ","")&amp;IF(AND(N($W299)&gt;0,COUNT($I299:$L299)&gt;0),"Con subactividades: deje vacías las semanas (se calculan solas)"&amp;" · ","")&amp;IF((COUNTIF($I299:$L299,"&gt;1")+COUNTIF($I299:$L299,"&lt;0")+COUNTA($I299:$L299)-COUNT($I299:$L299))&gt;0,"Avance fuera de rango 0-100%"&amp;" · ","")&amp;IF(OR(AND($J299&lt;&gt;"",$J299&lt;$I299),AND($K299&lt;&gt;"",$K299&lt;MAX($I299:$J299)),AND($L299&lt;&gt;"",$L299&lt;MAX($I299:$K299))),"Avance semanal decreciente"&amp;" · ","")&amp;IF(AND(ISNUMBER($AN299),$AN299&lt;FechaRef,IF($V299="Sub",N($X299),N($M299))&lt;1),"Vencida"&amp;" · ","")&amp;IF(AND(ObsObligatoria="Sí",ISNUMBER($AN299),$AN299&lt;FechaRef,IF($V299="Sub",N($X299),N($M299))&lt;1,$Q299=""),"Vencida sin observación"&amp;" · ",""))="","✔ OK","⚠ "&amp;LEFT(IF($C299="","Falta el nombre de la actividad"&amp;" · ","")&amp;IF(AND($V299="Sub",N($U299)=0),"Subactividad sin macroactividad arriba"&amp;" · ","")&amp;IF($AM299="","Sin fecha de inicio"&amp;" · ","")&amp;IF($AN299="","Sin fecha límite"&amp;" · ","")&amp;IF(AND(LEFT($C299,11)="[Jefatura] ",N($AL299)=0),"No se encuentra en la hoja de la jefatura (elíjala de nuevo en la lista)"&amp;" · ","")&amp;IF(OR(AND($E299&lt;&gt;"",NOT(ISNUMBER($E299))),AND($F299&lt;&gt;"",NOT(ISNUMBER($F299))),AND($G299&lt;&gt;"",NOT(ISNUMBER($G299)))),"Fecha no válida"&amp;" · ","")&amp;IF(AND(ISNUMBER($AM299),ISNUMBER($AN299),$AM299&gt;$AN299),"Inicio posterior a fecha límite"&amp;" · ","")&amp;IF(AND($V299="Macro",$H299&lt;&gt;"",OR(NOT(ISNUMBER($H299)),$H299&lt;0,$H299&gt;1)),"Peso fuera de rango"&amp;" · ","")&amp;IF(AND($V299="Sub",$H299&lt;&gt;""),"Las subactividades no llevan peso (valen igual dentro de su macroactividad)"&amp;" · ","")&amp;IF(AND(N($W299)&gt;0,COUNT($I299:$L299)&gt;0),"Con subactividades: deje vacías las semanas (se calculan solas)"&amp;" · ","")&amp;IF((COUNTIF($I299:$L299,"&gt;1")+COUNTIF($I299:$L299,"&lt;0")+COUNTA($I299:$L299)-COUNT($I299:$L299))&gt;0,"Avance fuera de rango 0-100%"&amp;" · ","")&amp;IF(OR(AND($J299&lt;&gt;"",$J299&lt;$I299),AND($K299&lt;&gt;"",$K299&lt;MAX($I299:$J299)),AND($L299&lt;&gt;"",$L299&lt;MAX($I299:$K299))),"Avance semanal decreciente"&amp;" · ","")&amp;IF(AND(ISNUMBER($AN299),$AN299&lt;FechaRef,IF($V299="Sub",N($X299),N($M299))&lt;1),"Vencida"&amp;" · ","")&amp;IF(AND(ObsObligatoria="Sí",ISNUMBER($AN299),$AN299&lt;FechaRef,IF($V299="Sub",N($X299),N($M299))&lt;1,$Q299=""),"Vencida sin observación"&amp;" · ",""),LEN(IF($C299="","Falta el nombre de la actividad"&amp;" · ","")&amp;IF(AND($V299="Sub",N($U299)=0),"Subactividad sin macroactividad arriba"&amp;" · ","")&amp;IF($AM299="","Sin fecha de inicio"&amp;" · ","")&amp;IF($AN299="","Sin fecha límite"&amp;" · ","")&amp;IF(AND(LEFT($C299,11)="[Jefatura] ",N($AL299)=0),"No se encuentra en la hoja de la jefatura (elíjala de nuevo en la lista)"&amp;" · ","")&amp;IF(OR(AND($E299&lt;&gt;"",NOT(ISNUMBER($E299))),AND($F299&lt;&gt;"",NOT(ISNUMBER($F299))),AND($G299&lt;&gt;"",NOT(ISNUMBER($G299)))),"Fecha no válida"&amp;" · ","")&amp;IF(AND(ISNUMBER($AM299),ISNUMBER($AN299),$AM299&gt;$AN299),"Inicio posterior a fecha límite"&amp;" · ","")&amp;IF(AND($V299="Macro",$H299&lt;&gt;"",OR(NOT(ISNUMBER($H299)),$H299&lt;0,$H299&gt;1)),"Peso fuera de rango"&amp;" · ","")&amp;IF(AND($V299="Sub",$H299&lt;&gt;""),"Las subactividades no llevan peso (valen igual dentro de su macroactividad)"&amp;" · ","")&amp;IF(AND(N($W299)&gt;0,COUNT($I299:$L299)&gt;0),"Con subactividades: deje vacías las semanas (se calculan solas)"&amp;" · ","")&amp;IF((COUNTIF($I299:$L299,"&gt;1")+COUNTIF($I299:$L299,"&lt;0")+COUNTA($I299:$L299)-COUNT($I299:$L299))&gt;0,"Avance fuera de rango 0-100%"&amp;" · ","")&amp;IF(OR(AND($J299&lt;&gt;"",$J299&lt;$I299),AND($K299&lt;&gt;"",$K299&lt;MAX($I299:$J299)),AND($L299&lt;&gt;"",$L299&lt;MAX($I299:$K299))),"Avance semanal decreciente"&amp;" · ","")&amp;IF(AND(ISNUMBER($AN299),$AN299&lt;FechaRef,IF($V299="Sub",N($X299),N($M299))&lt;1),"Vencida"&amp;" · ","")&amp;IF(AND(ObsObligatoria="Sí",ISNUMBER($AN299),$AN299&lt;FechaRef,IF($V299="Sub",N($X299),N($M299))&lt;1,$Q299=""),"Vencida sin observación"&amp;" · ",""))-3)))</f>
        <v/>
      </c>
      <c r="S299" s="64">
        <f>IF(NOT((COUNTA($B299:$D299)+COUNTA($G299:$L299)+COUNTA($Q299))&gt;0),"",IF(AND($V299="Sub",N($U299)&gt;0),IF(ISNUMBER(INDEX($AM$5:$AM$1000,$U299-4)),DATE(YEAR(INDEX($AM$5:$AM$1000,$U299-4)),MONTH(INDEX($AM$5:$AM$1000,$U299-4)),1),IF(ISNUMBER(INDEX($AN$5:$AN$1000,$U299-4)),DATE(YEAR(INDEX($AN$5:$AN$1000,$U299-4)),MONTH(INDEX($AN$5:$AN$1000,$U299-4)),1),MesCiclo)),IF(ISNUMBER($AM299),DATE(YEAR($AM299),MONTH($AM299),1),IF(ISNUMBER($AN299),DATE(YEAR($AN299),MONTH($AN299),1),MesCiclo))))</f>
        <v/>
      </c>
      <c r="T299" s="62">
        <f>IF(OR($S299="",$S299&lt;&gt;MesCiclo,$V299&lt;&gt;"Macro"),"",COUNTIFS($S$5:$S299,MesCiclo,$V$5:$V299,"Macro"))</f>
        <v/>
      </c>
      <c r="U299" s="62">
        <f>IF($V299="","",IF($V299="Macro",ROW(),IFERROR(LOOKUP(2,1/($V$5:$V299="Macro"),ROW($V$5:$V299)),0)))</f>
        <v/>
      </c>
      <c r="V299" s="62">
        <f>IF(NOT((COUNTA($B299:$D299)+COUNTA($G299:$L299)+COUNTA($Q299))&gt;0),"",IF($B299="Subactividad","Sub","Macro"))</f>
        <v/>
      </c>
      <c r="W299" s="62">
        <f>IF($V299="Macro",COUNTIFS($U$5:$U$1000,ROW(),$V$5:$V$1000,"Sub"),"")</f>
        <v/>
      </c>
      <c r="X299" s="62">
        <f>IF($V299="","",IF(ISNUMBER($G299),1,IFERROR(LOOKUP(2,1/($I299:$L299&lt;&gt;""),$I299:$L299),0)))</f>
        <v/>
      </c>
      <c r="Y299" s="62">
        <f>IF($V299="","",IF(AND(ISNUMBER($G299),$G299&lt;=IF($S299=MesCiclo,InicioCiclo,$S299+MOD(2-WEEKDAY($S299),7))+6),1,IF(ISNUMBER($I299),$I299,0)))</f>
        <v/>
      </c>
      <c r="Z299" s="62">
        <f>IF($V299="","",IF(AND(ISNUMBER($G299),$G299&lt;=IF($S299=MesCiclo,InicioCiclo,$S299+MOD(2-WEEKDAY($S299),7))+13),1,IF(ISNUMBER($J299),$J299,$Y299)))</f>
        <v/>
      </c>
      <c r="AA299" s="62">
        <f>IF($V299="","",IF(AND(ISNUMBER($G299),$G299&lt;=IF($S299=MesCiclo,InicioCiclo,$S299+MOD(2-WEEKDAY($S299),7))+20),1,IF(ISNUMBER($K299),$K299,$Z299)))</f>
        <v/>
      </c>
      <c r="AB299" s="62">
        <f>IF($V299="","",IF(AND(ISNUMBER($G299),$G299&lt;=IF($S299=MesCiclo,InicioCiclo,$S299+MOD(2-WEEKDAY($S299),7))+27),1,IF(ISNUMBER($L299),$L299,$AA299)))</f>
        <v/>
      </c>
      <c r="AC299" s="62">
        <f>IF($V299="","",IF(AND(ISNUMBER($G299),$G299&lt;=IF($S299=MesCiclo,InicioCiclo,$S299+MOD(2-WEEKDAY($S299),7))+6),1,IF(N($W299)&gt;0,AVERAGEIFS($Y$5:$Y$1000,$U$5:$U$1000,ROW(),$V$5:$V$1000,"Sub"),$Y299)))</f>
        <v/>
      </c>
      <c r="AD299" s="62">
        <f>IF($V299="","",IF(AND(ISNUMBER($G299),$G299&lt;=IF($S299=MesCiclo,InicioCiclo,$S299+MOD(2-WEEKDAY($S299),7))+13),1,IF(N($W299)&gt;0,AVERAGEIFS($Z$5:$Z$1000,$U$5:$U$1000,ROW(),$V$5:$V$1000,"Sub"),$Z299)))</f>
        <v/>
      </c>
      <c r="AE299" s="62">
        <f>IF($V299="","",IF(AND(ISNUMBER($G299),$G299&lt;=IF($S299=MesCiclo,InicioCiclo,$S299+MOD(2-WEEKDAY($S299),7))+20),1,IF(N($W299)&gt;0,AVERAGEIFS($AA$5:$AA$1000,$U$5:$U$1000,ROW(),$V$5:$V$1000,"Sub"),$AA299)))</f>
        <v/>
      </c>
      <c r="AF299" s="62">
        <f>IF($V299="","",IF(AND(ISNUMBER($G299),$G299&lt;=IF($S299=MesCiclo,InicioCiclo,$S299+MOD(2-WEEKDAY($S299),7))+27),1,IF(N($W299)&gt;0,AVERAGEIFS($AB$5:$AB$1000,$U$5:$U$1000,ROW(),$V$5:$V$1000,"Sub"),$AB299)))</f>
        <v/>
      </c>
      <c r="AG299" s="62">
        <f>IF($V299&lt;&gt;"Macro","",IF(COUNTIFS($S$5:$S$1000,$S299,$V$5:$V$1000,"Macro",$H$5:$H$1000,"&gt;0")=0,1/COUNTIFS($S$5:$S$1000,$S299,$V$5:$V$1000,"Macro"),IF(AND(ISNUMBER($H299),N($H299)&gt;0),$H299,SUMIFS($H$5:$H$1000,$S$5:$S$1000,$S299,$V$5:$V$1000,"Macro")/COUNTIFS($S$5:$S$1000,$S299,$V$5:$V$1000,"Macro",$H$5:$H$1000,"&gt;0"))/(COUNTIFS($S$5:$S$1000,$S299,$V$5:$V$1000,"Macro")*SUMIFS($H$5:$H$1000,$S$5:$S$1000,$S299,$V$5:$V$1000,"Macro")/COUNTIFS($S$5:$S$1000,$S299,$V$5:$V$1000,"Macro",$H$5:$H$1000,"&gt;0"))))</f>
        <v/>
      </c>
      <c r="AH299" s="62" t="n"/>
      <c r="AI299" s="62" t="n"/>
      <c r="AJ299" s="62" t="n"/>
      <c r="AK299" s="62" t="n"/>
      <c r="AL299" s="62">
        <f>IF(LEFT($C299,11)="[Jefatura] ",IFERROR(MATCH("Riesgo Operacional|"&amp;MID($C299,12,500),rDname_ADM,0),0),"")</f>
        <v/>
      </c>
      <c r="AM299" s="62">
        <f>IF(N($AL299)&gt;0,INDEX(rIni_ADM,$AL299),IF(ISNUMBER($E299),$E299,""))</f>
        <v/>
      </c>
      <c r="AN299" s="62">
        <f>IF(N($AL299)&gt;0,INDEX(rLim_ADM,$AL299),IF(ISNUMBER($F299),$F299,""))</f>
        <v/>
      </c>
    </row>
    <row r="300">
      <c r="A300" s="56">
        <f>IF(NOT((COUNTA($B300:$D300)+COUNTA($G300:$L300)+COUNTA($Q300))&gt;0),"",IF($V300="Macro",COUNTIFS($V$5:$V300,"Macro",$S$5:$S300,$S300),IF(N($U300)=0,"?",COUNTIFS(INDEX($V$5:$V$1000,1):INDEX($V$5:$V$1000,$U300-4),"Macro",INDEX($S$5:$S$1000,1):INDEX($S$5:$S$1000,$U300-4),INDEX($S$5:$S$1000,$U300-4))&amp;"."&amp;COUNTIFS($U$5:$U300,$U300,$V$5:$V300,"Sub"))))</f>
        <v/>
      </c>
      <c r="B300" s="57" t="n"/>
      <c r="C300" s="58" t="n"/>
      <c r="D300" s="58" t="n"/>
      <c r="E300" s="59">
        <f>IF(N($AL300)&gt;0,INDEX(rIni_ADM,$AL300),"")</f>
        <v/>
      </c>
      <c r="F300" s="59">
        <f>IF(N($AL300)&gt;0,INDEX(rLim_ADM,$AL300),"")</f>
        <v/>
      </c>
      <c r="G300" s="59" t="n"/>
      <c r="H300" s="60" t="n"/>
      <c r="I300" s="60" t="n"/>
      <c r="J300" s="60" t="n"/>
      <c r="K300" s="60" t="n"/>
      <c r="L300" s="60" t="n"/>
      <c r="M300" s="61">
        <f>IF(NOT((COUNTA($B300:$D300)+COUNTA($G300:$L300)+COUNTA($Q300))&gt;0),"",IF($V300="Sub",IFERROR($X300/INDEX($W$5:$W$1000,$U300-4),""),IF(ISNUMBER($G300),1,IF(N($W300)&gt;0,AVERAGEIFS($X$5:$X$1000,$U$5:$U$1000,ROW(),$V$5:$V$1000,"Sub"),$X300))))</f>
        <v/>
      </c>
      <c r="N300" s="56">
        <f>IF(OR($M300="",$V300="Sub"),"",IF($M300&gt;=1,"Completado",IF($M300&gt;0,"En curso","Pendiente")))</f>
        <v/>
      </c>
      <c r="O300" s="56">
        <f>IF(OR(NOT((COUNTA($B300:$D300)+COUNTA($G300:$L300)+COUNTA($Q300))&gt;0),$V300="Sub"),"",IF(ISNUMBER($G300),IF(AND(ISNUMBER($AN300),$G300&gt;$AN300),"Cumplida con "&amp;($G300-$AN300)&amp;IF($G300-$AN300=1," día"," días")&amp;" de retraso","Cumplida"),IF(N($M300)&gt;=1,"Cumplida",IF(NOT(ISNUMBER($AN300)),"Sin fecha límite",IF($AN300&lt;FechaRef,"Vencida hace "&amp;(FechaRef-$AN300)&amp;IF(FechaRef-$AN300=1," día"," días"),IF($AN300=FechaRef,"Vence hoy",IF($AN300-FechaRef&lt;=DiasAlerta,"Vence en "&amp;($AN300-FechaRef)&amp;IF($AN300-FechaRef=1," día"," días"),"En plazo")))))))</f>
        <v/>
      </c>
      <c r="P300" s="62" t="n"/>
      <c r="Q300" s="58" t="n"/>
      <c r="R300" s="63">
        <f>IF(NOT((COUNTA($B300:$D300)+COUNTA($G300:$L300)+COUNTA($Q300))&gt;0),"",IF((IF($C300="","Falta el nombre de la actividad"&amp;" · ","")&amp;IF(AND($V300="Sub",N($U300)=0),"Subactividad sin macroactividad arriba"&amp;" · ","")&amp;IF($AM300="","Sin fecha de inicio"&amp;" · ","")&amp;IF($AN300="","Sin fecha límite"&amp;" · ","")&amp;IF(AND(LEFT($C300,11)="[Jefatura] ",N($AL300)=0),"No se encuentra en la hoja de la jefatura (elíjala de nuevo en la lista)"&amp;" · ","")&amp;IF(OR(AND($E300&lt;&gt;"",NOT(ISNUMBER($E300))),AND($F300&lt;&gt;"",NOT(ISNUMBER($F300))),AND($G300&lt;&gt;"",NOT(ISNUMBER($G300)))),"Fecha no válida"&amp;" · ","")&amp;IF(AND(ISNUMBER($AM300),ISNUMBER($AN300),$AM300&gt;$AN300),"Inicio posterior a fecha límite"&amp;" · ","")&amp;IF(AND($V300="Macro",$H300&lt;&gt;"",OR(NOT(ISNUMBER($H300)),$H300&lt;0,$H300&gt;1)),"Peso fuera de rango"&amp;" · ","")&amp;IF(AND($V300="Sub",$H300&lt;&gt;""),"Las subactividades no llevan peso (valen igual dentro de su macroactividad)"&amp;" · ","")&amp;IF(AND(N($W300)&gt;0,COUNT($I300:$L300)&gt;0),"Con subactividades: deje vacías las semanas (se calculan solas)"&amp;" · ","")&amp;IF((COUNTIF($I300:$L300,"&gt;1")+COUNTIF($I300:$L300,"&lt;0")+COUNTA($I300:$L300)-COUNT($I300:$L300))&gt;0,"Avance fuera de rango 0-100%"&amp;" · ","")&amp;IF(OR(AND($J300&lt;&gt;"",$J300&lt;$I300),AND($K300&lt;&gt;"",$K300&lt;MAX($I300:$J300)),AND($L300&lt;&gt;"",$L300&lt;MAX($I300:$K300))),"Avance semanal decreciente"&amp;" · ","")&amp;IF(AND(ISNUMBER($AN300),$AN300&lt;FechaRef,IF($V300="Sub",N($X300),N($M300))&lt;1),"Vencida"&amp;" · ","")&amp;IF(AND(ObsObligatoria="Sí",ISNUMBER($AN300),$AN300&lt;FechaRef,IF($V300="Sub",N($X300),N($M300))&lt;1,$Q300=""),"Vencida sin observación"&amp;" · ",""))="","✔ OK","⚠ "&amp;LEFT(IF($C300="","Falta el nombre de la actividad"&amp;" · ","")&amp;IF(AND($V300="Sub",N($U300)=0),"Subactividad sin macroactividad arriba"&amp;" · ","")&amp;IF($AM300="","Sin fecha de inicio"&amp;" · ","")&amp;IF($AN300="","Sin fecha límite"&amp;" · ","")&amp;IF(AND(LEFT($C300,11)="[Jefatura] ",N($AL300)=0),"No se encuentra en la hoja de la jefatura (elíjala de nuevo en la lista)"&amp;" · ","")&amp;IF(OR(AND($E300&lt;&gt;"",NOT(ISNUMBER($E300))),AND($F300&lt;&gt;"",NOT(ISNUMBER($F300))),AND($G300&lt;&gt;"",NOT(ISNUMBER($G300)))),"Fecha no válida"&amp;" · ","")&amp;IF(AND(ISNUMBER($AM300),ISNUMBER($AN300),$AM300&gt;$AN300),"Inicio posterior a fecha límite"&amp;" · ","")&amp;IF(AND($V300="Macro",$H300&lt;&gt;"",OR(NOT(ISNUMBER($H300)),$H300&lt;0,$H300&gt;1)),"Peso fuera de rango"&amp;" · ","")&amp;IF(AND($V300="Sub",$H300&lt;&gt;""),"Las subactividades no llevan peso (valen igual dentro de su macroactividad)"&amp;" · ","")&amp;IF(AND(N($W300)&gt;0,COUNT($I300:$L300)&gt;0),"Con subactividades: deje vacías las semanas (se calculan solas)"&amp;" · ","")&amp;IF((COUNTIF($I300:$L300,"&gt;1")+COUNTIF($I300:$L300,"&lt;0")+COUNTA($I300:$L300)-COUNT($I300:$L300))&gt;0,"Avance fuera de rango 0-100%"&amp;" · ","")&amp;IF(OR(AND($J300&lt;&gt;"",$J300&lt;$I300),AND($K300&lt;&gt;"",$K300&lt;MAX($I300:$J300)),AND($L300&lt;&gt;"",$L300&lt;MAX($I300:$K300))),"Avance semanal decreciente"&amp;" · ","")&amp;IF(AND(ISNUMBER($AN300),$AN300&lt;FechaRef,IF($V300="Sub",N($X300),N($M300))&lt;1),"Vencida"&amp;" · ","")&amp;IF(AND(ObsObligatoria="Sí",ISNUMBER($AN300),$AN300&lt;FechaRef,IF($V300="Sub",N($X300),N($M300))&lt;1,$Q300=""),"Vencida sin observación"&amp;" · ",""),LEN(IF($C300="","Falta el nombre de la actividad"&amp;" · ","")&amp;IF(AND($V300="Sub",N($U300)=0),"Subactividad sin macroactividad arriba"&amp;" · ","")&amp;IF($AM300="","Sin fecha de inicio"&amp;" · ","")&amp;IF($AN300="","Sin fecha límite"&amp;" · ","")&amp;IF(AND(LEFT($C300,11)="[Jefatura] ",N($AL300)=0),"No se encuentra en la hoja de la jefatura (elíjala de nuevo en la lista)"&amp;" · ","")&amp;IF(OR(AND($E300&lt;&gt;"",NOT(ISNUMBER($E300))),AND($F300&lt;&gt;"",NOT(ISNUMBER($F300))),AND($G300&lt;&gt;"",NOT(ISNUMBER($G300)))),"Fecha no válida"&amp;" · ","")&amp;IF(AND(ISNUMBER($AM300),ISNUMBER($AN300),$AM300&gt;$AN300),"Inicio posterior a fecha límite"&amp;" · ","")&amp;IF(AND($V300="Macro",$H300&lt;&gt;"",OR(NOT(ISNUMBER($H300)),$H300&lt;0,$H300&gt;1)),"Peso fuera de rango"&amp;" · ","")&amp;IF(AND($V300="Sub",$H300&lt;&gt;""),"Las subactividades no llevan peso (valen igual dentro de su macroactividad)"&amp;" · ","")&amp;IF(AND(N($W300)&gt;0,COUNT($I300:$L300)&gt;0),"Con subactividades: deje vacías las semanas (se calculan solas)"&amp;" · ","")&amp;IF((COUNTIF($I300:$L300,"&gt;1")+COUNTIF($I300:$L300,"&lt;0")+COUNTA($I300:$L300)-COUNT($I300:$L300))&gt;0,"Avance fuera de rango 0-100%"&amp;" · ","")&amp;IF(OR(AND($J300&lt;&gt;"",$J300&lt;$I300),AND($K300&lt;&gt;"",$K300&lt;MAX($I300:$J300)),AND($L300&lt;&gt;"",$L300&lt;MAX($I300:$K300))),"Avance semanal decreciente"&amp;" · ","")&amp;IF(AND(ISNUMBER($AN300),$AN300&lt;FechaRef,IF($V300="Sub",N($X300),N($M300))&lt;1),"Vencida"&amp;" · ","")&amp;IF(AND(ObsObligatoria="Sí",ISNUMBER($AN300),$AN300&lt;FechaRef,IF($V300="Sub",N($X300),N($M300))&lt;1,$Q300=""),"Vencida sin observación"&amp;" · ",""))-3)))</f>
        <v/>
      </c>
      <c r="S300" s="64">
        <f>IF(NOT((COUNTA($B300:$D300)+COUNTA($G300:$L300)+COUNTA($Q300))&gt;0),"",IF(AND($V300="Sub",N($U300)&gt;0),IF(ISNUMBER(INDEX($AM$5:$AM$1000,$U300-4)),DATE(YEAR(INDEX($AM$5:$AM$1000,$U300-4)),MONTH(INDEX($AM$5:$AM$1000,$U300-4)),1),IF(ISNUMBER(INDEX($AN$5:$AN$1000,$U300-4)),DATE(YEAR(INDEX($AN$5:$AN$1000,$U300-4)),MONTH(INDEX($AN$5:$AN$1000,$U300-4)),1),MesCiclo)),IF(ISNUMBER($AM300),DATE(YEAR($AM300),MONTH($AM300),1),IF(ISNUMBER($AN300),DATE(YEAR($AN300),MONTH($AN300),1),MesCiclo))))</f>
        <v/>
      </c>
      <c r="T300" s="62">
        <f>IF(OR($S300="",$S300&lt;&gt;MesCiclo,$V300&lt;&gt;"Macro"),"",COUNTIFS($S$5:$S300,MesCiclo,$V$5:$V300,"Macro"))</f>
        <v/>
      </c>
      <c r="U300" s="62">
        <f>IF($V300="","",IF($V300="Macro",ROW(),IFERROR(LOOKUP(2,1/($V$5:$V300="Macro"),ROW($V$5:$V300)),0)))</f>
        <v/>
      </c>
      <c r="V300" s="62">
        <f>IF(NOT((COUNTA($B300:$D300)+COUNTA($G300:$L300)+COUNTA($Q300))&gt;0),"",IF($B300="Subactividad","Sub","Macro"))</f>
        <v/>
      </c>
      <c r="W300" s="62">
        <f>IF($V300="Macro",COUNTIFS($U$5:$U$1000,ROW(),$V$5:$V$1000,"Sub"),"")</f>
        <v/>
      </c>
      <c r="X300" s="62">
        <f>IF($V300="","",IF(ISNUMBER($G300),1,IFERROR(LOOKUP(2,1/($I300:$L300&lt;&gt;""),$I300:$L300),0)))</f>
        <v/>
      </c>
      <c r="Y300" s="62">
        <f>IF($V300="","",IF(AND(ISNUMBER($G300),$G300&lt;=IF($S300=MesCiclo,InicioCiclo,$S300+MOD(2-WEEKDAY($S300),7))+6),1,IF(ISNUMBER($I300),$I300,0)))</f>
        <v/>
      </c>
      <c r="Z300" s="62">
        <f>IF($V300="","",IF(AND(ISNUMBER($G300),$G300&lt;=IF($S300=MesCiclo,InicioCiclo,$S300+MOD(2-WEEKDAY($S300),7))+13),1,IF(ISNUMBER($J300),$J300,$Y300)))</f>
        <v/>
      </c>
      <c r="AA300" s="62">
        <f>IF($V300="","",IF(AND(ISNUMBER($G300),$G300&lt;=IF($S300=MesCiclo,InicioCiclo,$S300+MOD(2-WEEKDAY($S300),7))+20),1,IF(ISNUMBER($K300),$K300,$Z300)))</f>
        <v/>
      </c>
      <c r="AB300" s="62">
        <f>IF($V300="","",IF(AND(ISNUMBER($G300),$G300&lt;=IF($S300=MesCiclo,InicioCiclo,$S300+MOD(2-WEEKDAY($S300),7))+27),1,IF(ISNUMBER($L300),$L300,$AA300)))</f>
        <v/>
      </c>
      <c r="AC300" s="62">
        <f>IF($V300="","",IF(AND(ISNUMBER($G300),$G300&lt;=IF($S300=MesCiclo,InicioCiclo,$S300+MOD(2-WEEKDAY($S300),7))+6),1,IF(N($W300)&gt;0,AVERAGEIFS($Y$5:$Y$1000,$U$5:$U$1000,ROW(),$V$5:$V$1000,"Sub"),$Y300)))</f>
        <v/>
      </c>
      <c r="AD300" s="62">
        <f>IF($V300="","",IF(AND(ISNUMBER($G300),$G300&lt;=IF($S300=MesCiclo,InicioCiclo,$S300+MOD(2-WEEKDAY($S300),7))+13),1,IF(N($W300)&gt;0,AVERAGEIFS($Z$5:$Z$1000,$U$5:$U$1000,ROW(),$V$5:$V$1000,"Sub"),$Z300)))</f>
        <v/>
      </c>
      <c r="AE300" s="62">
        <f>IF($V300="","",IF(AND(ISNUMBER($G300),$G300&lt;=IF($S300=MesCiclo,InicioCiclo,$S300+MOD(2-WEEKDAY($S300),7))+20),1,IF(N($W300)&gt;0,AVERAGEIFS($AA$5:$AA$1000,$U$5:$U$1000,ROW(),$V$5:$V$1000,"Sub"),$AA300)))</f>
        <v/>
      </c>
      <c r="AF300" s="62">
        <f>IF($V300="","",IF(AND(ISNUMBER($G300),$G300&lt;=IF($S300=MesCiclo,InicioCiclo,$S300+MOD(2-WEEKDAY($S300),7))+27),1,IF(N($W300)&gt;0,AVERAGEIFS($AB$5:$AB$1000,$U$5:$U$1000,ROW(),$V$5:$V$1000,"Sub"),$AB300)))</f>
        <v/>
      </c>
      <c r="AG300" s="62">
        <f>IF($V300&lt;&gt;"Macro","",IF(COUNTIFS($S$5:$S$1000,$S300,$V$5:$V$1000,"Macro",$H$5:$H$1000,"&gt;0")=0,1/COUNTIFS($S$5:$S$1000,$S300,$V$5:$V$1000,"Macro"),IF(AND(ISNUMBER($H300),N($H300)&gt;0),$H300,SUMIFS($H$5:$H$1000,$S$5:$S$1000,$S300,$V$5:$V$1000,"Macro")/COUNTIFS($S$5:$S$1000,$S300,$V$5:$V$1000,"Macro",$H$5:$H$1000,"&gt;0"))/(COUNTIFS($S$5:$S$1000,$S300,$V$5:$V$1000,"Macro")*SUMIFS($H$5:$H$1000,$S$5:$S$1000,$S300,$V$5:$V$1000,"Macro")/COUNTIFS($S$5:$S$1000,$S300,$V$5:$V$1000,"Macro",$H$5:$H$1000,"&gt;0"))))</f>
        <v/>
      </c>
      <c r="AH300" s="62" t="n"/>
      <c r="AI300" s="62" t="n"/>
      <c r="AJ300" s="62" t="n"/>
      <c r="AK300" s="62" t="n"/>
      <c r="AL300" s="62">
        <f>IF(LEFT($C300,11)="[Jefatura] ",IFERROR(MATCH("Riesgo Operacional|"&amp;MID($C300,12,500),rDname_ADM,0),0),"")</f>
        <v/>
      </c>
      <c r="AM300" s="62">
        <f>IF(N($AL300)&gt;0,INDEX(rIni_ADM,$AL300),IF(ISNUMBER($E300),$E300,""))</f>
        <v/>
      </c>
      <c r="AN300" s="62">
        <f>IF(N($AL300)&gt;0,INDEX(rLim_ADM,$AL300),IF(ISNUMBER($F300),$F300,""))</f>
        <v/>
      </c>
    </row>
    <row r="301">
      <c r="A301" s="56">
        <f>IF(NOT((COUNTA($B301:$D301)+COUNTA($G301:$L301)+COUNTA($Q301))&gt;0),"",IF($V301="Macro",COUNTIFS($V$5:$V301,"Macro",$S$5:$S301,$S301),IF(N($U301)=0,"?",COUNTIFS(INDEX($V$5:$V$1000,1):INDEX($V$5:$V$1000,$U301-4),"Macro",INDEX($S$5:$S$1000,1):INDEX($S$5:$S$1000,$U301-4),INDEX($S$5:$S$1000,$U301-4))&amp;"."&amp;COUNTIFS($U$5:$U301,$U301,$V$5:$V301,"Sub"))))</f>
        <v/>
      </c>
      <c r="B301" s="57" t="n"/>
      <c r="C301" s="58" t="n"/>
      <c r="D301" s="58" t="n"/>
      <c r="E301" s="59">
        <f>IF(N($AL301)&gt;0,INDEX(rIni_ADM,$AL301),"")</f>
        <v/>
      </c>
      <c r="F301" s="59">
        <f>IF(N($AL301)&gt;0,INDEX(rLim_ADM,$AL301),"")</f>
        <v/>
      </c>
      <c r="G301" s="59" t="n"/>
      <c r="H301" s="60" t="n"/>
      <c r="I301" s="60" t="n"/>
      <c r="J301" s="60" t="n"/>
      <c r="K301" s="60" t="n"/>
      <c r="L301" s="60" t="n"/>
      <c r="M301" s="61">
        <f>IF(NOT((COUNTA($B301:$D301)+COUNTA($G301:$L301)+COUNTA($Q301))&gt;0),"",IF($V301="Sub",IFERROR($X301/INDEX($W$5:$W$1000,$U301-4),""),IF(ISNUMBER($G301),1,IF(N($W301)&gt;0,AVERAGEIFS($X$5:$X$1000,$U$5:$U$1000,ROW(),$V$5:$V$1000,"Sub"),$X301))))</f>
        <v/>
      </c>
      <c r="N301" s="56">
        <f>IF(OR($M301="",$V301="Sub"),"",IF($M301&gt;=1,"Completado",IF($M301&gt;0,"En curso","Pendiente")))</f>
        <v/>
      </c>
      <c r="O301" s="56">
        <f>IF(OR(NOT((COUNTA($B301:$D301)+COUNTA($G301:$L301)+COUNTA($Q301))&gt;0),$V301="Sub"),"",IF(ISNUMBER($G301),IF(AND(ISNUMBER($AN301),$G301&gt;$AN301),"Cumplida con "&amp;($G301-$AN301)&amp;IF($G301-$AN301=1," día"," días")&amp;" de retraso","Cumplida"),IF(N($M301)&gt;=1,"Cumplida",IF(NOT(ISNUMBER($AN301)),"Sin fecha límite",IF($AN301&lt;FechaRef,"Vencida hace "&amp;(FechaRef-$AN301)&amp;IF(FechaRef-$AN301=1," día"," días"),IF($AN301=FechaRef,"Vence hoy",IF($AN301-FechaRef&lt;=DiasAlerta,"Vence en "&amp;($AN301-FechaRef)&amp;IF($AN301-FechaRef=1," día"," días"),"En plazo")))))))</f>
        <v/>
      </c>
      <c r="P301" s="62" t="n"/>
      <c r="Q301" s="58" t="n"/>
      <c r="R301" s="63">
        <f>IF(NOT((COUNTA($B301:$D301)+COUNTA($G301:$L301)+COUNTA($Q301))&gt;0),"",IF((IF($C301="","Falta el nombre de la actividad"&amp;" · ","")&amp;IF(AND($V301="Sub",N($U301)=0),"Subactividad sin macroactividad arriba"&amp;" · ","")&amp;IF($AM301="","Sin fecha de inicio"&amp;" · ","")&amp;IF($AN301="","Sin fecha límite"&amp;" · ","")&amp;IF(AND(LEFT($C301,11)="[Jefatura] ",N($AL301)=0),"No se encuentra en la hoja de la jefatura (elíjala de nuevo en la lista)"&amp;" · ","")&amp;IF(OR(AND($E301&lt;&gt;"",NOT(ISNUMBER($E301))),AND($F301&lt;&gt;"",NOT(ISNUMBER($F301))),AND($G301&lt;&gt;"",NOT(ISNUMBER($G301)))),"Fecha no válida"&amp;" · ","")&amp;IF(AND(ISNUMBER($AM301),ISNUMBER($AN301),$AM301&gt;$AN301),"Inicio posterior a fecha límite"&amp;" · ","")&amp;IF(AND($V301="Macro",$H301&lt;&gt;"",OR(NOT(ISNUMBER($H301)),$H301&lt;0,$H301&gt;1)),"Peso fuera de rango"&amp;" · ","")&amp;IF(AND($V301="Sub",$H301&lt;&gt;""),"Las subactividades no llevan peso (valen igual dentro de su macroactividad)"&amp;" · ","")&amp;IF(AND(N($W301)&gt;0,COUNT($I301:$L301)&gt;0),"Con subactividades: deje vacías las semanas (se calculan solas)"&amp;" · ","")&amp;IF((COUNTIF($I301:$L301,"&gt;1")+COUNTIF($I301:$L301,"&lt;0")+COUNTA($I301:$L301)-COUNT($I301:$L301))&gt;0,"Avance fuera de rango 0-100%"&amp;" · ","")&amp;IF(OR(AND($J301&lt;&gt;"",$J301&lt;$I301),AND($K301&lt;&gt;"",$K301&lt;MAX($I301:$J301)),AND($L301&lt;&gt;"",$L301&lt;MAX($I301:$K301))),"Avance semanal decreciente"&amp;" · ","")&amp;IF(AND(ISNUMBER($AN301),$AN301&lt;FechaRef,IF($V301="Sub",N($X301),N($M301))&lt;1),"Vencida"&amp;" · ","")&amp;IF(AND(ObsObligatoria="Sí",ISNUMBER($AN301),$AN301&lt;FechaRef,IF($V301="Sub",N($X301),N($M301))&lt;1,$Q301=""),"Vencida sin observación"&amp;" · ",""))="","✔ OK","⚠ "&amp;LEFT(IF($C301="","Falta el nombre de la actividad"&amp;" · ","")&amp;IF(AND($V301="Sub",N($U301)=0),"Subactividad sin macroactividad arriba"&amp;" · ","")&amp;IF($AM301="","Sin fecha de inicio"&amp;" · ","")&amp;IF($AN301="","Sin fecha límite"&amp;" · ","")&amp;IF(AND(LEFT($C301,11)="[Jefatura] ",N($AL301)=0),"No se encuentra en la hoja de la jefatura (elíjala de nuevo en la lista)"&amp;" · ","")&amp;IF(OR(AND($E301&lt;&gt;"",NOT(ISNUMBER($E301))),AND($F301&lt;&gt;"",NOT(ISNUMBER($F301))),AND($G301&lt;&gt;"",NOT(ISNUMBER($G301)))),"Fecha no válida"&amp;" · ","")&amp;IF(AND(ISNUMBER($AM301),ISNUMBER($AN301),$AM301&gt;$AN301),"Inicio posterior a fecha límite"&amp;" · ","")&amp;IF(AND($V301="Macro",$H301&lt;&gt;"",OR(NOT(ISNUMBER($H301)),$H301&lt;0,$H301&gt;1)),"Peso fuera de rango"&amp;" · ","")&amp;IF(AND($V301="Sub",$H301&lt;&gt;""),"Las subactividades no llevan peso (valen igual dentro de su macroactividad)"&amp;" · ","")&amp;IF(AND(N($W301)&gt;0,COUNT($I301:$L301)&gt;0),"Con subactividades: deje vacías las semanas (se calculan solas)"&amp;" · ","")&amp;IF((COUNTIF($I301:$L301,"&gt;1")+COUNTIF($I301:$L301,"&lt;0")+COUNTA($I301:$L301)-COUNT($I301:$L301))&gt;0,"Avance fuera de rango 0-100%"&amp;" · ","")&amp;IF(OR(AND($J301&lt;&gt;"",$J301&lt;$I301),AND($K301&lt;&gt;"",$K301&lt;MAX($I301:$J301)),AND($L301&lt;&gt;"",$L301&lt;MAX($I301:$K301))),"Avance semanal decreciente"&amp;" · ","")&amp;IF(AND(ISNUMBER($AN301),$AN301&lt;FechaRef,IF($V301="Sub",N($X301),N($M301))&lt;1),"Vencida"&amp;" · ","")&amp;IF(AND(ObsObligatoria="Sí",ISNUMBER($AN301),$AN301&lt;FechaRef,IF($V301="Sub",N($X301),N($M301))&lt;1,$Q301=""),"Vencida sin observación"&amp;" · ",""),LEN(IF($C301="","Falta el nombre de la actividad"&amp;" · ","")&amp;IF(AND($V301="Sub",N($U301)=0),"Subactividad sin macroactividad arriba"&amp;" · ","")&amp;IF($AM301="","Sin fecha de inicio"&amp;" · ","")&amp;IF($AN301="","Sin fecha límite"&amp;" · ","")&amp;IF(AND(LEFT($C301,11)="[Jefatura] ",N($AL301)=0),"No se encuentra en la hoja de la jefatura (elíjala de nuevo en la lista)"&amp;" · ","")&amp;IF(OR(AND($E301&lt;&gt;"",NOT(ISNUMBER($E301))),AND($F301&lt;&gt;"",NOT(ISNUMBER($F301))),AND($G301&lt;&gt;"",NOT(ISNUMBER($G301)))),"Fecha no válida"&amp;" · ","")&amp;IF(AND(ISNUMBER($AM301),ISNUMBER($AN301),$AM301&gt;$AN301),"Inicio posterior a fecha límite"&amp;" · ","")&amp;IF(AND($V301="Macro",$H301&lt;&gt;"",OR(NOT(ISNUMBER($H301)),$H301&lt;0,$H301&gt;1)),"Peso fuera de rango"&amp;" · ","")&amp;IF(AND($V301="Sub",$H301&lt;&gt;""),"Las subactividades no llevan peso (valen igual dentro de su macroactividad)"&amp;" · ","")&amp;IF(AND(N($W301)&gt;0,COUNT($I301:$L301)&gt;0),"Con subactividades: deje vacías las semanas (se calculan solas)"&amp;" · ","")&amp;IF((COUNTIF($I301:$L301,"&gt;1")+COUNTIF($I301:$L301,"&lt;0")+COUNTA($I301:$L301)-COUNT($I301:$L301))&gt;0,"Avance fuera de rango 0-100%"&amp;" · ","")&amp;IF(OR(AND($J301&lt;&gt;"",$J301&lt;$I301),AND($K301&lt;&gt;"",$K301&lt;MAX($I301:$J301)),AND($L301&lt;&gt;"",$L301&lt;MAX($I301:$K301))),"Avance semanal decreciente"&amp;" · ","")&amp;IF(AND(ISNUMBER($AN301),$AN301&lt;FechaRef,IF($V301="Sub",N($X301),N($M301))&lt;1),"Vencida"&amp;" · ","")&amp;IF(AND(ObsObligatoria="Sí",ISNUMBER($AN301),$AN301&lt;FechaRef,IF($V301="Sub",N($X301),N($M301))&lt;1,$Q301=""),"Vencida sin observación"&amp;" · ",""))-3)))</f>
        <v/>
      </c>
      <c r="S301" s="64">
        <f>IF(NOT((COUNTA($B301:$D301)+COUNTA($G301:$L301)+COUNTA($Q301))&gt;0),"",IF(AND($V301="Sub",N($U301)&gt;0),IF(ISNUMBER(INDEX($AM$5:$AM$1000,$U301-4)),DATE(YEAR(INDEX($AM$5:$AM$1000,$U301-4)),MONTH(INDEX($AM$5:$AM$1000,$U301-4)),1),IF(ISNUMBER(INDEX($AN$5:$AN$1000,$U301-4)),DATE(YEAR(INDEX($AN$5:$AN$1000,$U301-4)),MONTH(INDEX($AN$5:$AN$1000,$U301-4)),1),MesCiclo)),IF(ISNUMBER($AM301),DATE(YEAR($AM301),MONTH($AM301),1),IF(ISNUMBER($AN301),DATE(YEAR($AN301),MONTH($AN301),1),MesCiclo))))</f>
        <v/>
      </c>
      <c r="T301" s="62">
        <f>IF(OR($S301="",$S301&lt;&gt;MesCiclo,$V301&lt;&gt;"Macro"),"",COUNTIFS($S$5:$S301,MesCiclo,$V$5:$V301,"Macro"))</f>
        <v/>
      </c>
      <c r="U301" s="62">
        <f>IF($V301="","",IF($V301="Macro",ROW(),IFERROR(LOOKUP(2,1/($V$5:$V301="Macro"),ROW($V$5:$V301)),0)))</f>
        <v/>
      </c>
      <c r="V301" s="62">
        <f>IF(NOT((COUNTA($B301:$D301)+COUNTA($G301:$L301)+COUNTA($Q301))&gt;0),"",IF($B301="Subactividad","Sub","Macro"))</f>
        <v/>
      </c>
      <c r="W301" s="62">
        <f>IF($V301="Macro",COUNTIFS($U$5:$U$1000,ROW(),$V$5:$V$1000,"Sub"),"")</f>
        <v/>
      </c>
      <c r="X301" s="62">
        <f>IF($V301="","",IF(ISNUMBER($G301),1,IFERROR(LOOKUP(2,1/($I301:$L301&lt;&gt;""),$I301:$L301),0)))</f>
        <v/>
      </c>
      <c r="Y301" s="62">
        <f>IF($V301="","",IF(AND(ISNUMBER($G301),$G301&lt;=IF($S301=MesCiclo,InicioCiclo,$S301+MOD(2-WEEKDAY($S301),7))+6),1,IF(ISNUMBER($I301),$I301,0)))</f>
        <v/>
      </c>
      <c r="Z301" s="62">
        <f>IF($V301="","",IF(AND(ISNUMBER($G301),$G301&lt;=IF($S301=MesCiclo,InicioCiclo,$S301+MOD(2-WEEKDAY($S301),7))+13),1,IF(ISNUMBER($J301),$J301,$Y301)))</f>
        <v/>
      </c>
      <c r="AA301" s="62">
        <f>IF($V301="","",IF(AND(ISNUMBER($G301),$G301&lt;=IF($S301=MesCiclo,InicioCiclo,$S301+MOD(2-WEEKDAY($S301),7))+20),1,IF(ISNUMBER($K301),$K301,$Z301)))</f>
        <v/>
      </c>
      <c r="AB301" s="62">
        <f>IF($V301="","",IF(AND(ISNUMBER($G301),$G301&lt;=IF($S301=MesCiclo,InicioCiclo,$S301+MOD(2-WEEKDAY($S301),7))+27),1,IF(ISNUMBER($L301),$L301,$AA301)))</f>
        <v/>
      </c>
      <c r="AC301" s="62">
        <f>IF($V301="","",IF(AND(ISNUMBER($G301),$G301&lt;=IF($S301=MesCiclo,InicioCiclo,$S301+MOD(2-WEEKDAY($S301),7))+6),1,IF(N($W301)&gt;0,AVERAGEIFS($Y$5:$Y$1000,$U$5:$U$1000,ROW(),$V$5:$V$1000,"Sub"),$Y301)))</f>
        <v/>
      </c>
      <c r="AD301" s="62">
        <f>IF($V301="","",IF(AND(ISNUMBER($G301),$G301&lt;=IF($S301=MesCiclo,InicioCiclo,$S301+MOD(2-WEEKDAY($S301),7))+13),1,IF(N($W301)&gt;0,AVERAGEIFS($Z$5:$Z$1000,$U$5:$U$1000,ROW(),$V$5:$V$1000,"Sub"),$Z301)))</f>
        <v/>
      </c>
      <c r="AE301" s="62">
        <f>IF($V301="","",IF(AND(ISNUMBER($G301),$G301&lt;=IF($S301=MesCiclo,InicioCiclo,$S301+MOD(2-WEEKDAY($S301),7))+20),1,IF(N($W301)&gt;0,AVERAGEIFS($AA$5:$AA$1000,$U$5:$U$1000,ROW(),$V$5:$V$1000,"Sub"),$AA301)))</f>
        <v/>
      </c>
      <c r="AF301" s="62">
        <f>IF($V301="","",IF(AND(ISNUMBER($G301),$G301&lt;=IF($S301=MesCiclo,InicioCiclo,$S301+MOD(2-WEEKDAY($S301),7))+27),1,IF(N($W301)&gt;0,AVERAGEIFS($AB$5:$AB$1000,$U$5:$U$1000,ROW(),$V$5:$V$1000,"Sub"),$AB301)))</f>
        <v/>
      </c>
      <c r="AG301" s="62">
        <f>IF($V301&lt;&gt;"Macro","",IF(COUNTIFS($S$5:$S$1000,$S301,$V$5:$V$1000,"Macro",$H$5:$H$1000,"&gt;0")=0,1/COUNTIFS($S$5:$S$1000,$S301,$V$5:$V$1000,"Macro"),IF(AND(ISNUMBER($H301),N($H301)&gt;0),$H301,SUMIFS($H$5:$H$1000,$S$5:$S$1000,$S301,$V$5:$V$1000,"Macro")/COUNTIFS($S$5:$S$1000,$S301,$V$5:$V$1000,"Macro",$H$5:$H$1000,"&gt;0"))/(COUNTIFS($S$5:$S$1000,$S301,$V$5:$V$1000,"Macro")*SUMIFS($H$5:$H$1000,$S$5:$S$1000,$S301,$V$5:$V$1000,"Macro")/COUNTIFS($S$5:$S$1000,$S301,$V$5:$V$1000,"Macro",$H$5:$H$1000,"&gt;0"))))</f>
        <v/>
      </c>
      <c r="AH301" s="62" t="n"/>
      <c r="AI301" s="62" t="n"/>
      <c r="AJ301" s="62" t="n"/>
      <c r="AK301" s="62" t="n"/>
      <c r="AL301" s="62">
        <f>IF(LEFT($C301,11)="[Jefatura] ",IFERROR(MATCH("Riesgo Operacional|"&amp;MID($C301,12,500),rDname_ADM,0),0),"")</f>
        <v/>
      </c>
      <c r="AM301" s="62">
        <f>IF(N($AL301)&gt;0,INDEX(rIni_ADM,$AL301),IF(ISNUMBER($E301),$E301,""))</f>
        <v/>
      </c>
      <c r="AN301" s="62">
        <f>IF(N($AL301)&gt;0,INDEX(rLim_ADM,$AL301),IF(ISNUMBER($F301),$F301,""))</f>
        <v/>
      </c>
    </row>
    <row r="302">
      <c r="A302" s="56">
        <f>IF(NOT((COUNTA($B302:$D302)+COUNTA($G302:$L302)+COUNTA($Q302))&gt;0),"",IF($V302="Macro",COUNTIFS($V$5:$V302,"Macro",$S$5:$S302,$S302),IF(N($U302)=0,"?",COUNTIFS(INDEX($V$5:$V$1000,1):INDEX($V$5:$V$1000,$U302-4),"Macro",INDEX($S$5:$S$1000,1):INDEX($S$5:$S$1000,$U302-4),INDEX($S$5:$S$1000,$U302-4))&amp;"."&amp;COUNTIFS($U$5:$U302,$U302,$V$5:$V302,"Sub"))))</f>
        <v/>
      </c>
      <c r="B302" s="57" t="n"/>
      <c r="C302" s="58" t="n"/>
      <c r="D302" s="58" t="n"/>
      <c r="E302" s="59">
        <f>IF(N($AL302)&gt;0,INDEX(rIni_ADM,$AL302),"")</f>
        <v/>
      </c>
      <c r="F302" s="59">
        <f>IF(N($AL302)&gt;0,INDEX(rLim_ADM,$AL302),"")</f>
        <v/>
      </c>
      <c r="G302" s="59" t="n"/>
      <c r="H302" s="60" t="n"/>
      <c r="I302" s="60" t="n"/>
      <c r="J302" s="60" t="n"/>
      <c r="K302" s="60" t="n"/>
      <c r="L302" s="60" t="n"/>
      <c r="M302" s="61">
        <f>IF(NOT((COUNTA($B302:$D302)+COUNTA($G302:$L302)+COUNTA($Q302))&gt;0),"",IF($V302="Sub",IFERROR($X302/INDEX($W$5:$W$1000,$U302-4),""),IF(ISNUMBER($G302),1,IF(N($W302)&gt;0,AVERAGEIFS($X$5:$X$1000,$U$5:$U$1000,ROW(),$V$5:$V$1000,"Sub"),$X302))))</f>
        <v/>
      </c>
      <c r="N302" s="56">
        <f>IF(OR($M302="",$V302="Sub"),"",IF($M302&gt;=1,"Completado",IF($M302&gt;0,"En curso","Pendiente")))</f>
        <v/>
      </c>
      <c r="O302" s="56">
        <f>IF(OR(NOT((COUNTA($B302:$D302)+COUNTA($G302:$L302)+COUNTA($Q302))&gt;0),$V302="Sub"),"",IF(ISNUMBER($G302),IF(AND(ISNUMBER($AN302),$G302&gt;$AN302),"Cumplida con "&amp;($G302-$AN302)&amp;IF($G302-$AN302=1," día"," días")&amp;" de retraso","Cumplida"),IF(N($M302)&gt;=1,"Cumplida",IF(NOT(ISNUMBER($AN302)),"Sin fecha límite",IF($AN302&lt;FechaRef,"Vencida hace "&amp;(FechaRef-$AN302)&amp;IF(FechaRef-$AN302=1," día"," días"),IF($AN302=FechaRef,"Vence hoy",IF($AN302-FechaRef&lt;=DiasAlerta,"Vence en "&amp;($AN302-FechaRef)&amp;IF($AN302-FechaRef=1," día"," días"),"En plazo")))))))</f>
        <v/>
      </c>
      <c r="P302" s="62" t="n"/>
      <c r="Q302" s="58" t="n"/>
      <c r="R302" s="63">
        <f>IF(NOT((COUNTA($B302:$D302)+COUNTA($G302:$L302)+COUNTA($Q302))&gt;0),"",IF((IF($C302="","Falta el nombre de la actividad"&amp;" · ","")&amp;IF(AND($V302="Sub",N($U302)=0),"Subactividad sin macroactividad arriba"&amp;" · ","")&amp;IF($AM302="","Sin fecha de inicio"&amp;" · ","")&amp;IF($AN302="","Sin fecha límite"&amp;" · ","")&amp;IF(AND(LEFT($C302,11)="[Jefatura] ",N($AL302)=0),"No se encuentra en la hoja de la jefatura (elíjala de nuevo en la lista)"&amp;" · ","")&amp;IF(OR(AND($E302&lt;&gt;"",NOT(ISNUMBER($E302))),AND($F302&lt;&gt;"",NOT(ISNUMBER($F302))),AND($G302&lt;&gt;"",NOT(ISNUMBER($G302)))),"Fecha no válida"&amp;" · ","")&amp;IF(AND(ISNUMBER($AM302),ISNUMBER($AN302),$AM302&gt;$AN302),"Inicio posterior a fecha límite"&amp;" · ","")&amp;IF(AND($V302="Macro",$H302&lt;&gt;"",OR(NOT(ISNUMBER($H302)),$H302&lt;0,$H302&gt;1)),"Peso fuera de rango"&amp;" · ","")&amp;IF(AND($V302="Sub",$H302&lt;&gt;""),"Las subactividades no llevan peso (valen igual dentro de su macroactividad)"&amp;" · ","")&amp;IF(AND(N($W302)&gt;0,COUNT($I302:$L302)&gt;0),"Con subactividades: deje vacías las semanas (se calculan solas)"&amp;" · ","")&amp;IF((COUNTIF($I302:$L302,"&gt;1")+COUNTIF($I302:$L302,"&lt;0")+COUNTA($I302:$L302)-COUNT($I302:$L302))&gt;0,"Avance fuera de rango 0-100%"&amp;" · ","")&amp;IF(OR(AND($J302&lt;&gt;"",$J302&lt;$I302),AND($K302&lt;&gt;"",$K302&lt;MAX($I302:$J302)),AND($L302&lt;&gt;"",$L302&lt;MAX($I302:$K302))),"Avance semanal decreciente"&amp;" · ","")&amp;IF(AND(ISNUMBER($AN302),$AN302&lt;FechaRef,IF($V302="Sub",N($X302),N($M302))&lt;1),"Vencida"&amp;" · ","")&amp;IF(AND(ObsObligatoria="Sí",ISNUMBER($AN302),$AN302&lt;FechaRef,IF($V302="Sub",N($X302),N($M302))&lt;1,$Q302=""),"Vencida sin observación"&amp;" · ",""))="","✔ OK","⚠ "&amp;LEFT(IF($C302="","Falta el nombre de la actividad"&amp;" · ","")&amp;IF(AND($V302="Sub",N($U302)=0),"Subactividad sin macroactividad arriba"&amp;" · ","")&amp;IF($AM302="","Sin fecha de inicio"&amp;" · ","")&amp;IF($AN302="","Sin fecha límite"&amp;" · ","")&amp;IF(AND(LEFT($C302,11)="[Jefatura] ",N($AL302)=0),"No se encuentra en la hoja de la jefatura (elíjala de nuevo en la lista)"&amp;" · ","")&amp;IF(OR(AND($E302&lt;&gt;"",NOT(ISNUMBER($E302))),AND($F302&lt;&gt;"",NOT(ISNUMBER($F302))),AND($G302&lt;&gt;"",NOT(ISNUMBER($G302)))),"Fecha no válida"&amp;" · ","")&amp;IF(AND(ISNUMBER($AM302),ISNUMBER($AN302),$AM302&gt;$AN302),"Inicio posterior a fecha límite"&amp;" · ","")&amp;IF(AND($V302="Macro",$H302&lt;&gt;"",OR(NOT(ISNUMBER($H302)),$H302&lt;0,$H302&gt;1)),"Peso fuera de rango"&amp;" · ","")&amp;IF(AND($V302="Sub",$H302&lt;&gt;""),"Las subactividades no llevan peso (valen igual dentro de su macroactividad)"&amp;" · ","")&amp;IF(AND(N($W302)&gt;0,COUNT($I302:$L302)&gt;0),"Con subactividades: deje vacías las semanas (se calculan solas)"&amp;" · ","")&amp;IF((COUNTIF($I302:$L302,"&gt;1")+COUNTIF($I302:$L302,"&lt;0")+COUNTA($I302:$L302)-COUNT($I302:$L302))&gt;0,"Avance fuera de rango 0-100%"&amp;" · ","")&amp;IF(OR(AND($J302&lt;&gt;"",$J302&lt;$I302),AND($K302&lt;&gt;"",$K302&lt;MAX($I302:$J302)),AND($L302&lt;&gt;"",$L302&lt;MAX($I302:$K302))),"Avance semanal decreciente"&amp;" · ","")&amp;IF(AND(ISNUMBER($AN302),$AN302&lt;FechaRef,IF($V302="Sub",N($X302),N($M302))&lt;1),"Vencida"&amp;" · ","")&amp;IF(AND(ObsObligatoria="Sí",ISNUMBER($AN302),$AN302&lt;FechaRef,IF($V302="Sub",N($X302),N($M302))&lt;1,$Q302=""),"Vencida sin observación"&amp;" · ",""),LEN(IF($C302="","Falta el nombre de la actividad"&amp;" · ","")&amp;IF(AND($V302="Sub",N($U302)=0),"Subactividad sin macroactividad arriba"&amp;" · ","")&amp;IF($AM302="","Sin fecha de inicio"&amp;" · ","")&amp;IF($AN302="","Sin fecha límite"&amp;" · ","")&amp;IF(AND(LEFT($C302,11)="[Jefatura] ",N($AL302)=0),"No se encuentra en la hoja de la jefatura (elíjala de nuevo en la lista)"&amp;" · ","")&amp;IF(OR(AND($E302&lt;&gt;"",NOT(ISNUMBER($E302))),AND($F302&lt;&gt;"",NOT(ISNUMBER($F302))),AND($G302&lt;&gt;"",NOT(ISNUMBER($G302)))),"Fecha no válida"&amp;" · ","")&amp;IF(AND(ISNUMBER($AM302),ISNUMBER($AN302),$AM302&gt;$AN302),"Inicio posterior a fecha límite"&amp;" · ","")&amp;IF(AND($V302="Macro",$H302&lt;&gt;"",OR(NOT(ISNUMBER($H302)),$H302&lt;0,$H302&gt;1)),"Peso fuera de rango"&amp;" · ","")&amp;IF(AND($V302="Sub",$H302&lt;&gt;""),"Las subactividades no llevan peso (valen igual dentro de su macroactividad)"&amp;" · ","")&amp;IF(AND(N($W302)&gt;0,COUNT($I302:$L302)&gt;0),"Con subactividades: deje vacías las semanas (se calculan solas)"&amp;" · ","")&amp;IF((COUNTIF($I302:$L302,"&gt;1")+COUNTIF($I302:$L302,"&lt;0")+COUNTA($I302:$L302)-COUNT($I302:$L302))&gt;0,"Avance fuera de rango 0-100%"&amp;" · ","")&amp;IF(OR(AND($J302&lt;&gt;"",$J302&lt;$I302),AND($K302&lt;&gt;"",$K302&lt;MAX($I302:$J302)),AND($L302&lt;&gt;"",$L302&lt;MAX($I302:$K302))),"Avance semanal decreciente"&amp;" · ","")&amp;IF(AND(ISNUMBER($AN302),$AN302&lt;FechaRef,IF($V302="Sub",N($X302),N($M302))&lt;1),"Vencida"&amp;" · ","")&amp;IF(AND(ObsObligatoria="Sí",ISNUMBER($AN302),$AN302&lt;FechaRef,IF($V302="Sub",N($X302),N($M302))&lt;1,$Q302=""),"Vencida sin observación"&amp;" · ",""))-3)))</f>
        <v/>
      </c>
      <c r="S302" s="64">
        <f>IF(NOT((COUNTA($B302:$D302)+COUNTA($G302:$L302)+COUNTA($Q302))&gt;0),"",IF(AND($V302="Sub",N($U302)&gt;0),IF(ISNUMBER(INDEX($AM$5:$AM$1000,$U302-4)),DATE(YEAR(INDEX($AM$5:$AM$1000,$U302-4)),MONTH(INDEX($AM$5:$AM$1000,$U302-4)),1),IF(ISNUMBER(INDEX($AN$5:$AN$1000,$U302-4)),DATE(YEAR(INDEX($AN$5:$AN$1000,$U302-4)),MONTH(INDEX($AN$5:$AN$1000,$U302-4)),1),MesCiclo)),IF(ISNUMBER($AM302),DATE(YEAR($AM302),MONTH($AM302),1),IF(ISNUMBER($AN302),DATE(YEAR($AN302),MONTH($AN302),1),MesCiclo))))</f>
        <v/>
      </c>
      <c r="T302" s="62">
        <f>IF(OR($S302="",$S302&lt;&gt;MesCiclo,$V302&lt;&gt;"Macro"),"",COUNTIFS($S$5:$S302,MesCiclo,$V$5:$V302,"Macro"))</f>
        <v/>
      </c>
      <c r="U302" s="62">
        <f>IF($V302="","",IF($V302="Macro",ROW(),IFERROR(LOOKUP(2,1/($V$5:$V302="Macro"),ROW($V$5:$V302)),0)))</f>
        <v/>
      </c>
      <c r="V302" s="62">
        <f>IF(NOT((COUNTA($B302:$D302)+COUNTA($G302:$L302)+COUNTA($Q302))&gt;0),"",IF($B302="Subactividad","Sub","Macro"))</f>
        <v/>
      </c>
      <c r="W302" s="62">
        <f>IF($V302="Macro",COUNTIFS($U$5:$U$1000,ROW(),$V$5:$V$1000,"Sub"),"")</f>
        <v/>
      </c>
      <c r="X302" s="62">
        <f>IF($V302="","",IF(ISNUMBER($G302),1,IFERROR(LOOKUP(2,1/($I302:$L302&lt;&gt;""),$I302:$L302),0)))</f>
        <v/>
      </c>
      <c r="Y302" s="62">
        <f>IF($V302="","",IF(AND(ISNUMBER($G302),$G302&lt;=IF($S302=MesCiclo,InicioCiclo,$S302+MOD(2-WEEKDAY($S302),7))+6),1,IF(ISNUMBER($I302),$I302,0)))</f>
        <v/>
      </c>
      <c r="Z302" s="62">
        <f>IF($V302="","",IF(AND(ISNUMBER($G302),$G302&lt;=IF($S302=MesCiclo,InicioCiclo,$S302+MOD(2-WEEKDAY($S302),7))+13),1,IF(ISNUMBER($J302),$J302,$Y302)))</f>
        <v/>
      </c>
      <c r="AA302" s="62">
        <f>IF($V302="","",IF(AND(ISNUMBER($G302),$G302&lt;=IF($S302=MesCiclo,InicioCiclo,$S302+MOD(2-WEEKDAY($S302),7))+20),1,IF(ISNUMBER($K302),$K302,$Z302)))</f>
        <v/>
      </c>
      <c r="AB302" s="62">
        <f>IF($V302="","",IF(AND(ISNUMBER($G302),$G302&lt;=IF($S302=MesCiclo,InicioCiclo,$S302+MOD(2-WEEKDAY($S302),7))+27),1,IF(ISNUMBER($L302),$L302,$AA302)))</f>
        <v/>
      </c>
      <c r="AC302" s="62">
        <f>IF($V302="","",IF(AND(ISNUMBER($G302),$G302&lt;=IF($S302=MesCiclo,InicioCiclo,$S302+MOD(2-WEEKDAY($S302),7))+6),1,IF(N($W302)&gt;0,AVERAGEIFS($Y$5:$Y$1000,$U$5:$U$1000,ROW(),$V$5:$V$1000,"Sub"),$Y302)))</f>
        <v/>
      </c>
      <c r="AD302" s="62">
        <f>IF($V302="","",IF(AND(ISNUMBER($G302),$G302&lt;=IF($S302=MesCiclo,InicioCiclo,$S302+MOD(2-WEEKDAY($S302),7))+13),1,IF(N($W302)&gt;0,AVERAGEIFS($Z$5:$Z$1000,$U$5:$U$1000,ROW(),$V$5:$V$1000,"Sub"),$Z302)))</f>
        <v/>
      </c>
      <c r="AE302" s="62">
        <f>IF($V302="","",IF(AND(ISNUMBER($G302),$G302&lt;=IF($S302=MesCiclo,InicioCiclo,$S302+MOD(2-WEEKDAY($S302),7))+20),1,IF(N($W302)&gt;0,AVERAGEIFS($AA$5:$AA$1000,$U$5:$U$1000,ROW(),$V$5:$V$1000,"Sub"),$AA302)))</f>
        <v/>
      </c>
      <c r="AF302" s="62">
        <f>IF($V302="","",IF(AND(ISNUMBER($G302),$G302&lt;=IF($S302=MesCiclo,InicioCiclo,$S302+MOD(2-WEEKDAY($S302),7))+27),1,IF(N($W302)&gt;0,AVERAGEIFS($AB$5:$AB$1000,$U$5:$U$1000,ROW(),$V$5:$V$1000,"Sub"),$AB302)))</f>
        <v/>
      </c>
      <c r="AG302" s="62">
        <f>IF($V302&lt;&gt;"Macro","",IF(COUNTIFS($S$5:$S$1000,$S302,$V$5:$V$1000,"Macro",$H$5:$H$1000,"&gt;0")=0,1/COUNTIFS($S$5:$S$1000,$S302,$V$5:$V$1000,"Macro"),IF(AND(ISNUMBER($H302),N($H302)&gt;0),$H302,SUMIFS($H$5:$H$1000,$S$5:$S$1000,$S302,$V$5:$V$1000,"Macro")/COUNTIFS($S$5:$S$1000,$S302,$V$5:$V$1000,"Macro",$H$5:$H$1000,"&gt;0"))/(COUNTIFS($S$5:$S$1000,$S302,$V$5:$V$1000,"Macro")*SUMIFS($H$5:$H$1000,$S$5:$S$1000,$S302,$V$5:$V$1000,"Macro")/COUNTIFS($S$5:$S$1000,$S302,$V$5:$V$1000,"Macro",$H$5:$H$1000,"&gt;0"))))</f>
        <v/>
      </c>
      <c r="AH302" s="62" t="n"/>
      <c r="AI302" s="62" t="n"/>
      <c r="AJ302" s="62" t="n"/>
      <c r="AK302" s="62" t="n"/>
      <c r="AL302" s="62">
        <f>IF(LEFT($C302,11)="[Jefatura] ",IFERROR(MATCH("Riesgo Operacional|"&amp;MID($C302,12,500),rDname_ADM,0),0),"")</f>
        <v/>
      </c>
      <c r="AM302" s="62">
        <f>IF(N($AL302)&gt;0,INDEX(rIni_ADM,$AL302),IF(ISNUMBER($E302),$E302,""))</f>
        <v/>
      </c>
      <c r="AN302" s="62">
        <f>IF(N($AL302)&gt;0,INDEX(rLim_ADM,$AL302),IF(ISNUMBER($F302),$F302,""))</f>
        <v/>
      </c>
    </row>
    <row r="303">
      <c r="A303" s="56">
        <f>IF(NOT((COUNTA($B303:$D303)+COUNTA($G303:$L303)+COUNTA($Q303))&gt;0),"",IF($V303="Macro",COUNTIFS($V$5:$V303,"Macro",$S$5:$S303,$S303),IF(N($U303)=0,"?",COUNTIFS(INDEX($V$5:$V$1000,1):INDEX($V$5:$V$1000,$U303-4),"Macro",INDEX($S$5:$S$1000,1):INDEX($S$5:$S$1000,$U303-4),INDEX($S$5:$S$1000,$U303-4))&amp;"."&amp;COUNTIFS($U$5:$U303,$U303,$V$5:$V303,"Sub"))))</f>
        <v/>
      </c>
      <c r="B303" s="57" t="n"/>
      <c r="C303" s="58" t="n"/>
      <c r="D303" s="58" t="n"/>
      <c r="E303" s="59">
        <f>IF(N($AL303)&gt;0,INDEX(rIni_ADM,$AL303),"")</f>
        <v/>
      </c>
      <c r="F303" s="59">
        <f>IF(N($AL303)&gt;0,INDEX(rLim_ADM,$AL303),"")</f>
        <v/>
      </c>
      <c r="G303" s="59" t="n"/>
      <c r="H303" s="60" t="n"/>
      <c r="I303" s="60" t="n"/>
      <c r="J303" s="60" t="n"/>
      <c r="K303" s="60" t="n"/>
      <c r="L303" s="60" t="n"/>
      <c r="M303" s="61">
        <f>IF(NOT((COUNTA($B303:$D303)+COUNTA($G303:$L303)+COUNTA($Q303))&gt;0),"",IF($V303="Sub",IFERROR($X303/INDEX($W$5:$W$1000,$U303-4),""),IF(ISNUMBER($G303),1,IF(N($W303)&gt;0,AVERAGEIFS($X$5:$X$1000,$U$5:$U$1000,ROW(),$V$5:$V$1000,"Sub"),$X303))))</f>
        <v/>
      </c>
      <c r="N303" s="56">
        <f>IF(OR($M303="",$V303="Sub"),"",IF($M303&gt;=1,"Completado",IF($M303&gt;0,"En curso","Pendiente")))</f>
        <v/>
      </c>
      <c r="O303" s="56">
        <f>IF(OR(NOT((COUNTA($B303:$D303)+COUNTA($G303:$L303)+COUNTA($Q303))&gt;0),$V303="Sub"),"",IF(ISNUMBER($G303),IF(AND(ISNUMBER($AN303),$G303&gt;$AN303),"Cumplida con "&amp;($G303-$AN303)&amp;IF($G303-$AN303=1," día"," días")&amp;" de retraso","Cumplida"),IF(N($M303)&gt;=1,"Cumplida",IF(NOT(ISNUMBER($AN303)),"Sin fecha límite",IF($AN303&lt;FechaRef,"Vencida hace "&amp;(FechaRef-$AN303)&amp;IF(FechaRef-$AN303=1," día"," días"),IF($AN303=FechaRef,"Vence hoy",IF($AN303-FechaRef&lt;=DiasAlerta,"Vence en "&amp;($AN303-FechaRef)&amp;IF($AN303-FechaRef=1," día"," días"),"En plazo")))))))</f>
        <v/>
      </c>
      <c r="P303" s="62" t="n"/>
      <c r="Q303" s="58" t="n"/>
      <c r="R303" s="63">
        <f>IF(NOT((COUNTA($B303:$D303)+COUNTA($G303:$L303)+COUNTA($Q303))&gt;0),"",IF((IF($C303="","Falta el nombre de la actividad"&amp;" · ","")&amp;IF(AND($V303="Sub",N($U303)=0),"Subactividad sin macroactividad arriba"&amp;" · ","")&amp;IF($AM303="","Sin fecha de inicio"&amp;" · ","")&amp;IF($AN303="","Sin fecha límite"&amp;" · ","")&amp;IF(AND(LEFT($C303,11)="[Jefatura] ",N($AL303)=0),"No se encuentra en la hoja de la jefatura (elíjala de nuevo en la lista)"&amp;" · ","")&amp;IF(OR(AND($E303&lt;&gt;"",NOT(ISNUMBER($E303))),AND($F303&lt;&gt;"",NOT(ISNUMBER($F303))),AND($G303&lt;&gt;"",NOT(ISNUMBER($G303)))),"Fecha no válida"&amp;" · ","")&amp;IF(AND(ISNUMBER($AM303),ISNUMBER($AN303),$AM303&gt;$AN303),"Inicio posterior a fecha límite"&amp;" · ","")&amp;IF(AND($V303="Macro",$H303&lt;&gt;"",OR(NOT(ISNUMBER($H303)),$H303&lt;0,$H303&gt;1)),"Peso fuera de rango"&amp;" · ","")&amp;IF(AND($V303="Sub",$H303&lt;&gt;""),"Las subactividades no llevan peso (valen igual dentro de su macroactividad)"&amp;" · ","")&amp;IF(AND(N($W303)&gt;0,COUNT($I303:$L303)&gt;0),"Con subactividades: deje vacías las semanas (se calculan solas)"&amp;" · ","")&amp;IF((COUNTIF($I303:$L303,"&gt;1")+COUNTIF($I303:$L303,"&lt;0")+COUNTA($I303:$L303)-COUNT($I303:$L303))&gt;0,"Avance fuera de rango 0-100%"&amp;" · ","")&amp;IF(OR(AND($J303&lt;&gt;"",$J303&lt;$I303),AND($K303&lt;&gt;"",$K303&lt;MAX($I303:$J303)),AND($L303&lt;&gt;"",$L303&lt;MAX($I303:$K303))),"Avance semanal decreciente"&amp;" · ","")&amp;IF(AND(ISNUMBER($AN303),$AN303&lt;FechaRef,IF($V303="Sub",N($X303),N($M303))&lt;1),"Vencida"&amp;" · ","")&amp;IF(AND(ObsObligatoria="Sí",ISNUMBER($AN303),$AN303&lt;FechaRef,IF($V303="Sub",N($X303),N($M303))&lt;1,$Q303=""),"Vencida sin observación"&amp;" · ",""))="","✔ OK","⚠ "&amp;LEFT(IF($C303="","Falta el nombre de la actividad"&amp;" · ","")&amp;IF(AND($V303="Sub",N($U303)=0),"Subactividad sin macroactividad arriba"&amp;" · ","")&amp;IF($AM303="","Sin fecha de inicio"&amp;" · ","")&amp;IF($AN303="","Sin fecha límite"&amp;" · ","")&amp;IF(AND(LEFT($C303,11)="[Jefatura] ",N($AL303)=0),"No se encuentra en la hoja de la jefatura (elíjala de nuevo en la lista)"&amp;" · ","")&amp;IF(OR(AND($E303&lt;&gt;"",NOT(ISNUMBER($E303))),AND($F303&lt;&gt;"",NOT(ISNUMBER($F303))),AND($G303&lt;&gt;"",NOT(ISNUMBER($G303)))),"Fecha no válida"&amp;" · ","")&amp;IF(AND(ISNUMBER($AM303),ISNUMBER($AN303),$AM303&gt;$AN303),"Inicio posterior a fecha límite"&amp;" · ","")&amp;IF(AND($V303="Macro",$H303&lt;&gt;"",OR(NOT(ISNUMBER($H303)),$H303&lt;0,$H303&gt;1)),"Peso fuera de rango"&amp;" · ","")&amp;IF(AND($V303="Sub",$H303&lt;&gt;""),"Las subactividades no llevan peso (valen igual dentro de su macroactividad)"&amp;" · ","")&amp;IF(AND(N($W303)&gt;0,COUNT($I303:$L303)&gt;0),"Con subactividades: deje vacías las semanas (se calculan solas)"&amp;" · ","")&amp;IF((COUNTIF($I303:$L303,"&gt;1")+COUNTIF($I303:$L303,"&lt;0")+COUNTA($I303:$L303)-COUNT($I303:$L303))&gt;0,"Avance fuera de rango 0-100%"&amp;" · ","")&amp;IF(OR(AND($J303&lt;&gt;"",$J303&lt;$I303),AND($K303&lt;&gt;"",$K303&lt;MAX($I303:$J303)),AND($L303&lt;&gt;"",$L303&lt;MAX($I303:$K303))),"Avance semanal decreciente"&amp;" · ","")&amp;IF(AND(ISNUMBER($AN303),$AN303&lt;FechaRef,IF($V303="Sub",N($X303),N($M303))&lt;1),"Vencida"&amp;" · ","")&amp;IF(AND(ObsObligatoria="Sí",ISNUMBER($AN303),$AN303&lt;FechaRef,IF($V303="Sub",N($X303),N($M303))&lt;1,$Q303=""),"Vencida sin observación"&amp;" · ",""),LEN(IF($C303="","Falta el nombre de la actividad"&amp;" · ","")&amp;IF(AND($V303="Sub",N($U303)=0),"Subactividad sin macroactividad arriba"&amp;" · ","")&amp;IF($AM303="","Sin fecha de inicio"&amp;" · ","")&amp;IF($AN303="","Sin fecha límite"&amp;" · ","")&amp;IF(AND(LEFT($C303,11)="[Jefatura] ",N($AL303)=0),"No se encuentra en la hoja de la jefatura (elíjala de nuevo en la lista)"&amp;" · ","")&amp;IF(OR(AND($E303&lt;&gt;"",NOT(ISNUMBER($E303))),AND($F303&lt;&gt;"",NOT(ISNUMBER($F303))),AND($G303&lt;&gt;"",NOT(ISNUMBER($G303)))),"Fecha no válida"&amp;" · ","")&amp;IF(AND(ISNUMBER($AM303),ISNUMBER($AN303),$AM303&gt;$AN303),"Inicio posterior a fecha límite"&amp;" · ","")&amp;IF(AND($V303="Macro",$H303&lt;&gt;"",OR(NOT(ISNUMBER($H303)),$H303&lt;0,$H303&gt;1)),"Peso fuera de rango"&amp;" · ","")&amp;IF(AND($V303="Sub",$H303&lt;&gt;""),"Las subactividades no llevan peso (valen igual dentro de su macroactividad)"&amp;" · ","")&amp;IF(AND(N($W303)&gt;0,COUNT($I303:$L303)&gt;0),"Con subactividades: deje vacías las semanas (se calculan solas)"&amp;" · ","")&amp;IF((COUNTIF($I303:$L303,"&gt;1")+COUNTIF($I303:$L303,"&lt;0")+COUNTA($I303:$L303)-COUNT($I303:$L303))&gt;0,"Avance fuera de rango 0-100%"&amp;" · ","")&amp;IF(OR(AND($J303&lt;&gt;"",$J303&lt;$I303),AND($K303&lt;&gt;"",$K303&lt;MAX($I303:$J303)),AND($L303&lt;&gt;"",$L303&lt;MAX($I303:$K303))),"Avance semanal decreciente"&amp;" · ","")&amp;IF(AND(ISNUMBER($AN303),$AN303&lt;FechaRef,IF($V303="Sub",N($X303),N($M303))&lt;1),"Vencida"&amp;" · ","")&amp;IF(AND(ObsObligatoria="Sí",ISNUMBER($AN303),$AN303&lt;FechaRef,IF($V303="Sub",N($X303),N($M303))&lt;1,$Q303=""),"Vencida sin observación"&amp;" · ",""))-3)))</f>
        <v/>
      </c>
      <c r="S303" s="64">
        <f>IF(NOT((COUNTA($B303:$D303)+COUNTA($G303:$L303)+COUNTA($Q303))&gt;0),"",IF(AND($V303="Sub",N($U303)&gt;0),IF(ISNUMBER(INDEX($AM$5:$AM$1000,$U303-4)),DATE(YEAR(INDEX($AM$5:$AM$1000,$U303-4)),MONTH(INDEX($AM$5:$AM$1000,$U303-4)),1),IF(ISNUMBER(INDEX($AN$5:$AN$1000,$U303-4)),DATE(YEAR(INDEX($AN$5:$AN$1000,$U303-4)),MONTH(INDEX($AN$5:$AN$1000,$U303-4)),1),MesCiclo)),IF(ISNUMBER($AM303),DATE(YEAR($AM303),MONTH($AM303),1),IF(ISNUMBER($AN303),DATE(YEAR($AN303),MONTH($AN303),1),MesCiclo))))</f>
        <v/>
      </c>
      <c r="T303" s="62">
        <f>IF(OR($S303="",$S303&lt;&gt;MesCiclo,$V303&lt;&gt;"Macro"),"",COUNTIFS($S$5:$S303,MesCiclo,$V$5:$V303,"Macro"))</f>
        <v/>
      </c>
      <c r="U303" s="62">
        <f>IF($V303="","",IF($V303="Macro",ROW(),IFERROR(LOOKUP(2,1/($V$5:$V303="Macro"),ROW($V$5:$V303)),0)))</f>
        <v/>
      </c>
      <c r="V303" s="62">
        <f>IF(NOT((COUNTA($B303:$D303)+COUNTA($G303:$L303)+COUNTA($Q303))&gt;0),"",IF($B303="Subactividad","Sub","Macro"))</f>
        <v/>
      </c>
      <c r="W303" s="62">
        <f>IF($V303="Macro",COUNTIFS($U$5:$U$1000,ROW(),$V$5:$V$1000,"Sub"),"")</f>
        <v/>
      </c>
      <c r="X303" s="62">
        <f>IF($V303="","",IF(ISNUMBER($G303),1,IFERROR(LOOKUP(2,1/($I303:$L303&lt;&gt;""),$I303:$L303),0)))</f>
        <v/>
      </c>
      <c r="Y303" s="62">
        <f>IF($V303="","",IF(AND(ISNUMBER($G303),$G303&lt;=IF($S303=MesCiclo,InicioCiclo,$S303+MOD(2-WEEKDAY($S303),7))+6),1,IF(ISNUMBER($I303),$I303,0)))</f>
        <v/>
      </c>
      <c r="Z303" s="62">
        <f>IF($V303="","",IF(AND(ISNUMBER($G303),$G303&lt;=IF($S303=MesCiclo,InicioCiclo,$S303+MOD(2-WEEKDAY($S303),7))+13),1,IF(ISNUMBER($J303),$J303,$Y303)))</f>
        <v/>
      </c>
      <c r="AA303" s="62">
        <f>IF($V303="","",IF(AND(ISNUMBER($G303),$G303&lt;=IF($S303=MesCiclo,InicioCiclo,$S303+MOD(2-WEEKDAY($S303),7))+20),1,IF(ISNUMBER($K303),$K303,$Z303)))</f>
        <v/>
      </c>
      <c r="AB303" s="62">
        <f>IF($V303="","",IF(AND(ISNUMBER($G303),$G303&lt;=IF($S303=MesCiclo,InicioCiclo,$S303+MOD(2-WEEKDAY($S303),7))+27),1,IF(ISNUMBER($L303),$L303,$AA303)))</f>
        <v/>
      </c>
      <c r="AC303" s="62">
        <f>IF($V303="","",IF(AND(ISNUMBER($G303),$G303&lt;=IF($S303=MesCiclo,InicioCiclo,$S303+MOD(2-WEEKDAY($S303),7))+6),1,IF(N($W303)&gt;0,AVERAGEIFS($Y$5:$Y$1000,$U$5:$U$1000,ROW(),$V$5:$V$1000,"Sub"),$Y303)))</f>
        <v/>
      </c>
      <c r="AD303" s="62">
        <f>IF($V303="","",IF(AND(ISNUMBER($G303),$G303&lt;=IF($S303=MesCiclo,InicioCiclo,$S303+MOD(2-WEEKDAY($S303),7))+13),1,IF(N($W303)&gt;0,AVERAGEIFS($Z$5:$Z$1000,$U$5:$U$1000,ROW(),$V$5:$V$1000,"Sub"),$Z303)))</f>
        <v/>
      </c>
      <c r="AE303" s="62">
        <f>IF($V303="","",IF(AND(ISNUMBER($G303),$G303&lt;=IF($S303=MesCiclo,InicioCiclo,$S303+MOD(2-WEEKDAY($S303),7))+20),1,IF(N($W303)&gt;0,AVERAGEIFS($AA$5:$AA$1000,$U$5:$U$1000,ROW(),$V$5:$V$1000,"Sub"),$AA303)))</f>
        <v/>
      </c>
      <c r="AF303" s="62">
        <f>IF($V303="","",IF(AND(ISNUMBER($G303),$G303&lt;=IF($S303=MesCiclo,InicioCiclo,$S303+MOD(2-WEEKDAY($S303),7))+27),1,IF(N($W303)&gt;0,AVERAGEIFS($AB$5:$AB$1000,$U$5:$U$1000,ROW(),$V$5:$V$1000,"Sub"),$AB303)))</f>
        <v/>
      </c>
      <c r="AG303" s="62">
        <f>IF($V303&lt;&gt;"Macro","",IF(COUNTIFS($S$5:$S$1000,$S303,$V$5:$V$1000,"Macro",$H$5:$H$1000,"&gt;0")=0,1/COUNTIFS($S$5:$S$1000,$S303,$V$5:$V$1000,"Macro"),IF(AND(ISNUMBER($H303),N($H303)&gt;0),$H303,SUMIFS($H$5:$H$1000,$S$5:$S$1000,$S303,$V$5:$V$1000,"Macro")/COUNTIFS($S$5:$S$1000,$S303,$V$5:$V$1000,"Macro",$H$5:$H$1000,"&gt;0"))/(COUNTIFS($S$5:$S$1000,$S303,$V$5:$V$1000,"Macro")*SUMIFS($H$5:$H$1000,$S$5:$S$1000,$S303,$V$5:$V$1000,"Macro")/COUNTIFS($S$5:$S$1000,$S303,$V$5:$V$1000,"Macro",$H$5:$H$1000,"&gt;0"))))</f>
        <v/>
      </c>
      <c r="AH303" s="62" t="n"/>
      <c r="AI303" s="62" t="n"/>
      <c r="AJ303" s="62" t="n"/>
      <c r="AK303" s="62" t="n"/>
      <c r="AL303" s="62">
        <f>IF(LEFT($C303,11)="[Jefatura] ",IFERROR(MATCH("Riesgo Operacional|"&amp;MID($C303,12,500),rDname_ADM,0),0),"")</f>
        <v/>
      </c>
      <c r="AM303" s="62">
        <f>IF(N($AL303)&gt;0,INDEX(rIni_ADM,$AL303),IF(ISNUMBER($E303),$E303,""))</f>
        <v/>
      </c>
      <c r="AN303" s="62">
        <f>IF(N($AL303)&gt;0,INDEX(rLim_ADM,$AL303),IF(ISNUMBER($F303),$F303,""))</f>
        <v/>
      </c>
    </row>
    <row r="304">
      <c r="A304" s="56">
        <f>IF(NOT((COUNTA($B304:$D304)+COUNTA($G304:$L304)+COUNTA($Q304))&gt;0),"",IF($V304="Macro",COUNTIFS($V$5:$V304,"Macro",$S$5:$S304,$S304),IF(N($U304)=0,"?",COUNTIFS(INDEX($V$5:$V$1000,1):INDEX($V$5:$V$1000,$U304-4),"Macro",INDEX($S$5:$S$1000,1):INDEX($S$5:$S$1000,$U304-4),INDEX($S$5:$S$1000,$U304-4))&amp;"."&amp;COUNTIFS($U$5:$U304,$U304,$V$5:$V304,"Sub"))))</f>
        <v/>
      </c>
      <c r="B304" s="57" t="n"/>
      <c r="C304" s="58" t="n"/>
      <c r="D304" s="58" t="n"/>
      <c r="E304" s="59">
        <f>IF(N($AL304)&gt;0,INDEX(rIni_ADM,$AL304),"")</f>
        <v/>
      </c>
      <c r="F304" s="59">
        <f>IF(N($AL304)&gt;0,INDEX(rLim_ADM,$AL304),"")</f>
        <v/>
      </c>
      <c r="G304" s="59" t="n"/>
      <c r="H304" s="60" t="n"/>
      <c r="I304" s="60" t="n"/>
      <c r="J304" s="60" t="n"/>
      <c r="K304" s="60" t="n"/>
      <c r="L304" s="60" t="n"/>
      <c r="M304" s="61">
        <f>IF(NOT((COUNTA($B304:$D304)+COUNTA($G304:$L304)+COUNTA($Q304))&gt;0),"",IF($V304="Sub",IFERROR($X304/INDEX($W$5:$W$1000,$U304-4),""),IF(ISNUMBER($G304),1,IF(N($W304)&gt;0,AVERAGEIFS($X$5:$X$1000,$U$5:$U$1000,ROW(),$V$5:$V$1000,"Sub"),$X304))))</f>
        <v/>
      </c>
      <c r="N304" s="56">
        <f>IF(OR($M304="",$V304="Sub"),"",IF($M304&gt;=1,"Completado",IF($M304&gt;0,"En curso","Pendiente")))</f>
        <v/>
      </c>
      <c r="O304" s="56">
        <f>IF(OR(NOT((COUNTA($B304:$D304)+COUNTA($G304:$L304)+COUNTA($Q304))&gt;0),$V304="Sub"),"",IF(ISNUMBER($G304),IF(AND(ISNUMBER($AN304),$G304&gt;$AN304),"Cumplida con "&amp;($G304-$AN304)&amp;IF($G304-$AN304=1," día"," días")&amp;" de retraso","Cumplida"),IF(N($M304)&gt;=1,"Cumplida",IF(NOT(ISNUMBER($AN304)),"Sin fecha límite",IF($AN304&lt;FechaRef,"Vencida hace "&amp;(FechaRef-$AN304)&amp;IF(FechaRef-$AN304=1," día"," días"),IF($AN304=FechaRef,"Vence hoy",IF($AN304-FechaRef&lt;=DiasAlerta,"Vence en "&amp;($AN304-FechaRef)&amp;IF($AN304-FechaRef=1," día"," días"),"En plazo")))))))</f>
        <v/>
      </c>
      <c r="P304" s="62" t="n"/>
      <c r="Q304" s="58" t="n"/>
      <c r="R304" s="63">
        <f>IF(NOT((COUNTA($B304:$D304)+COUNTA($G304:$L304)+COUNTA($Q304))&gt;0),"",IF((IF($C304="","Falta el nombre de la actividad"&amp;" · ","")&amp;IF(AND($V304="Sub",N($U304)=0),"Subactividad sin macroactividad arriba"&amp;" · ","")&amp;IF($AM304="","Sin fecha de inicio"&amp;" · ","")&amp;IF($AN304="","Sin fecha límite"&amp;" · ","")&amp;IF(AND(LEFT($C304,11)="[Jefatura] ",N($AL304)=0),"No se encuentra en la hoja de la jefatura (elíjala de nuevo en la lista)"&amp;" · ","")&amp;IF(OR(AND($E304&lt;&gt;"",NOT(ISNUMBER($E304))),AND($F304&lt;&gt;"",NOT(ISNUMBER($F304))),AND($G304&lt;&gt;"",NOT(ISNUMBER($G304)))),"Fecha no válida"&amp;" · ","")&amp;IF(AND(ISNUMBER($AM304),ISNUMBER($AN304),$AM304&gt;$AN304),"Inicio posterior a fecha límite"&amp;" · ","")&amp;IF(AND($V304="Macro",$H304&lt;&gt;"",OR(NOT(ISNUMBER($H304)),$H304&lt;0,$H304&gt;1)),"Peso fuera de rango"&amp;" · ","")&amp;IF(AND($V304="Sub",$H304&lt;&gt;""),"Las subactividades no llevan peso (valen igual dentro de su macroactividad)"&amp;" · ","")&amp;IF(AND(N($W304)&gt;0,COUNT($I304:$L304)&gt;0),"Con subactividades: deje vacías las semanas (se calculan solas)"&amp;" · ","")&amp;IF((COUNTIF($I304:$L304,"&gt;1")+COUNTIF($I304:$L304,"&lt;0")+COUNTA($I304:$L304)-COUNT($I304:$L304))&gt;0,"Avance fuera de rango 0-100%"&amp;" · ","")&amp;IF(OR(AND($J304&lt;&gt;"",$J304&lt;$I304),AND($K304&lt;&gt;"",$K304&lt;MAX($I304:$J304)),AND($L304&lt;&gt;"",$L304&lt;MAX($I304:$K304))),"Avance semanal decreciente"&amp;" · ","")&amp;IF(AND(ISNUMBER($AN304),$AN304&lt;FechaRef,IF($V304="Sub",N($X304),N($M304))&lt;1),"Vencida"&amp;" · ","")&amp;IF(AND(ObsObligatoria="Sí",ISNUMBER($AN304),$AN304&lt;FechaRef,IF($V304="Sub",N($X304),N($M304))&lt;1,$Q304=""),"Vencida sin observación"&amp;" · ",""))="","✔ OK","⚠ "&amp;LEFT(IF($C304="","Falta el nombre de la actividad"&amp;" · ","")&amp;IF(AND($V304="Sub",N($U304)=0),"Subactividad sin macroactividad arriba"&amp;" · ","")&amp;IF($AM304="","Sin fecha de inicio"&amp;" · ","")&amp;IF($AN304="","Sin fecha límite"&amp;" · ","")&amp;IF(AND(LEFT($C304,11)="[Jefatura] ",N($AL304)=0),"No se encuentra en la hoja de la jefatura (elíjala de nuevo en la lista)"&amp;" · ","")&amp;IF(OR(AND($E304&lt;&gt;"",NOT(ISNUMBER($E304))),AND($F304&lt;&gt;"",NOT(ISNUMBER($F304))),AND($G304&lt;&gt;"",NOT(ISNUMBER($G304)))),"Fecha no válida"&amp;" · ","")&amp;IF(AND(ISNUMBER($AM304),ISNUMBER($AN304),$AM304&gt;$AN304),"Inicio posterior a fecha límite"&amp;" · ","")&amp;IF(AND($V304="Macro",$H304&lt;&gt;"",OR(NOT(ISNUMBER($H304)),$H304&lt;0,$H304&gt;1)),"Peso fuera de rango"&amp;" · ","")&amp;IF(AND($V304="Sub",$H304&lt;&gt;""),"Las subactividades no llevan peso (valen igual dentro de su macroactividad)"&amp;" · ","")&amp;IF(AND(N($W304)&gt;0,COUNT($I304:$L304)&gt;0),"Con subactividades: deje vacías las semanas (se calculan solas)"&amp;" · ","")&amp;IF((COUNTIF($I304:$L304,"&gt;1")+COUNTIF($I304:$L304,"&lt;0")+COUNTA($I304:$L304)-COUNT($I304:$L304))&gt;0,"Avance fuera de rango 0-100%"&amp;" · ","")&amp;IF(OR(AND($J304&lt;&gt;"",$J304&lt;$I304),AND($K304&lt;&gt;"",$K304&lt;MAX($I304:$J304)),AND($L304&lt;&gt;"",$L304&lt;MAX($I304:$K304))),"Avance semanal decreciente"&amp;" · ","")&amp;IF(AND(ISNUMBER($AN304),$AN304&lt;FechaRef,IF($V304="Sub",N($X304),N($M304))&lt;1),"Vencida"&amp;" · ","")&amp;IF(AND(ObsObligatoria="Sí",ISNUMBER($AN304),$AN304&lt;FechaRef,IF($V304="Sub",N($X304),N($M304))&lt;1,$Q304=""),"Vencida sin observación"&amp;" · ",""),LEN(IF($C304="","Falta el nombre de la actividad"&amp;" · ","")&amp;IF(AND($V304="Sub",N($U304)=0),"Subactividad sin macroactividad arriba"&amp;" · ","")&amp;IF($AM304="","Sin fecha de inicio"&amp;" · ","")&amp;IF($AN304="","Sin fecha límite"&amp;" · ","")&amp;IF(AND(LEFT($C304,11)="[Jefatura] ",N($AL304)=0),"No se encuentra en la hoja de la jefatura (elíjala de nuevo en la lista)"&amp;" · ","")&amp;IF(OR(AND($E304&lt;&gt;"",NOT(ISNUMBER($E304))),AND($F304&lt;&gt;"",NOT(ISNUMBER($F304))),AND($G304&lt;&gt;"",NOT(ISNUMBER($G304)))),"Fecha no válida"&amp;" · ","")&amp;IF(AND(ISNUMBER($AM304),ISNUMBER($AN304),$AM304&gt;$AN304),"Inicio posterior a fecha límite"&amp;" · ","")&amp;IF(AND($V304="Macro",$H304&lt;&gt;"",OR(NOT(ISNUMBER($H304)),$H304&lt;0,$H304&gt;1)),"Peso fuera de rango"&amp;" · ","")&amp;IF(AND($V304="Sub",$H304&lt;&gt;""),"Las subactividades no llevan peso (valen igual dentro de su macroactividad)"&amp;" · ","")&amp;IF(AND(N($W304)&gt;0,COUNT($I304:$L304)&gt;0),"Con subactividades: deje vacías las semanas (se calculan solas)"&amp;" · ","")&amp;IF((COUNTIF($I304:$L304,"&gt;1")+COUNTIF($I304:$L304,"&lt;0")+COUNTA($I304:$L304)-COUNT($I304:$L304))&gt;0,"Avance fuera de rango 0-100%"&amp;" · ","")&amp;IF(OR(AND($J304&lt;&gt;"",$J304&lt;$I304),AND($K304&lt;&gt;"",$K304&lt;MAX($I304:$J304)),AND($L304&lt;&gt;"",$L304&lt;MAX($I304:$K304))),"Avance semanal decreciente"&amp;" · ","")&amp;IF(AND(ISNUMBER($AN304),$AN304&lt;FechaRef,IF($V304="Sub",N($X304),N($M304))&lt;1),"Vencida"&amp;" · ","")&amp;IF(AND(ObsObligatoria="Sí",ISNUMBER($AN304),$AN304&lt;FechaRef,IF($V304="Sub",N($X304),N($M304))&lt;1,$Q304=""),"Vencida sin observación"&amp;" · ",""))-3)))</f>
        <v/>
      </c>
      <c r="S304" s="64">
        <f>IF(NOT((COUNTA($B304:$D304)+COUNTA($G304:$L304)+COUNTA($Q304))&gt;0),"",IF(AND($V304="Sub",N($U304)&gt;0),IF(ISNUMBER(INDEX($AM$5:$AM$1000,$U304-4)),DATE(YEAR(INDEX($AM$5:$AM$1000,$U304-4)),MONTH(INDEX($AM$5:$AM$1000,$U304-4)),1),IF(ISNUMBER(INDEX($AN$5:$AN$1000,$U304-4)),DATE(YEAR(INDEX($AN$5:$AN$1000,$U304-4)),MONTH(INDEX($AN$5:$AN$1000,$U304-4)),1),MesCiclo)),IF(ISNUMBER($AM304),DATE(YEAR($AM304),MONTH($AM304),1),IF(ISNUMBER($AN304),DATE(YEAR($AN304),MONTH($AN304),1),MesCiclo))))</f>
        <v/>
      </c>
      <c r="T304" s="62">
        <f>IF(OR($S304="",$S304&lt;&gt;MesCiclo,$V304&lt;&gt;"Macro"),"",COUNTIFS($S$5:$S304,MesCiclo,$V$5:$V304,"Macro"))</f>
        <v/>
      </c>
      <c r="U304" s="62">
        <f>IF($V304="","",IF($V304="Macro",ROW(),IFERROR(LOOKUP(2,1/($V$5:$V304="Macro"),ROW($V$5:$V304)),0)))</f>
        <v/>
      </c>
      <c r="V304" s="62">
        <f>IF(NOT((COUNTA($B304:$D304)+COUNTA($G304:$L304)+COUNTA($Q304))&gt;0),"",IF($B304="Subactividad","Sub","Macro"))</f>
        <v/>
      </c>
      <c r="W304" s="62">
        <f>IF($V304="Macro",COUNTIFS($U$5:$U$1000,ROW(),$V$5:$V$1000,"Sub"),"")</f>
        <v/>
      </c>
      <c r="X304" s="62">
        <f>IF($V304="","",IF(ISNUMBER($G304),1,IFERROR(LOOKUP(2,1/($I304:$L304&lt;&gt;""),$I304:$L304),0)))</f>
        <v/>
      </c>
      <c r="Y304" s="62">
        <f>IF($V304="","",IF(AND(ISNUMBER($G304),$G304&lt;=IF($S304=MesCiclo,InicioCiclo,$S304+MOD(2-WEEKDAY($S304),7))+6),1,IF(ISNUMBER($I304),$I304,0)))</f>
        <v/>
      </c>
      <c r="Z304" s="62">
        <f>IF($V304="","",IF(AND(ISNUMBER($G304),$G304&lt;=IF($S304=MesCiclo,InicioCiclo,$S304+MOD(2-WEEKDAY($S304),7))+13),1,IF(ISNUMBER($J304),$J304,$Y304)))</f>
        <v/>
      </c>
      <c r="AA304" s="62">
        <f>IF($V304="","",IF(AND(ISNUMBER($G304),$G304&lt;=IF($S304=MesCiclo,InicioCiclo,$S304+MOD(2-WEEKDAY($S304),7))+20),1,IF(ISNUMBER($K304),$K304,$Z304)))</f>
        <v/>
      </c>
      <c r="AB304" s="62">
        <f>IF($V304="","",IF(AND(ISNUMBER($G304),$G304&lt;=IF($S304=MesCiclo,InicioCiclo,$S304+MOD(2-WEEKDAY($S304),7))+27),1,IF(ISNUMBER($L304),$L304,$AA304)))</f>
        <v/>
      </c>
      <c r="AC304" s="62">
        <f>IF($V304="","",IF(AND(ISNUMBER($G304),$G304&lt;=IF($S304=MesCiclo,InicioCiclo,$S304+MOD(2-WEEKDAY($S304),7))+6),1,IF(N($W304)&gt;0,AVERAGEIFS($Y$5:$Y$1000,$U$5:$U$1000,ROW(),$V$5:$V$1000,"Sub"),$Y304)))</f>
        <v/>
      </c>
      <c r="AD304" s="62">
        <f>IF($V304="","",IF(AND(ISNUMBER($G304),$G304&lt;=IF($S304=MesCiclo,InicioCiclo,$S304+MOD(2-WEEKDAY($S304),7))+13),1,IF(N($W304)&gt;0,AVERAGEIFS($Z$5:$Z$1000,$U$5:$U$1000,ROW(),$V$5:$V$1000,"Sub"),$Z304)))</f>
        <v/>
      </c>
      <c r="AE304" s="62">
        <f>IF($V304="","",IF(AND(ISNUMBER($G304),$G304&lt;=IF($S304=MesCiclo,InicioCiclo,$S304+MOD(2-WEEKDAY($S304),7))+20),1,IF(N($W304)&gt;0,AVERAGEIFS($AA$5:$AA$1000,$U$5:$U$1000,ROW(),$V$5:$V$1000,"Sub"),$AA304)))</f>
        <v/>
      </c>
      <c r="AF304" s="62">
        <f>IF($V304="","",IF(AND(ISNUMBER($G304),$G304&lt;=IF($S304=MesCiclo,InicioCiclo,$S304+MOD(2-WEEKDAY($S304),7))+27),1,IF(N($W304)&gt;0,AVERAGEIFS($AB$5:$AB$1000,$U$5:$U$1000,ROW(),$V$5:$V$1000,"Sub"),$AB304)))</f>
        <v/>
      </c>
      <c r="AG304" s="62">
        <f>IF($V304&lt;&gt;"Macro","",IF(COUNTIFS($S$5:$S$1000,$S304,$V$5:$V$1000,"Macro",$H$5:$H$1000,"&gt;0")=0,1/COUNTIFS($S$5:$S$1000,$S304,$V$5:$V$1000,"Macro"),IF(AND(ISNUMBER($H304),N($H304)&gt;0),$H304,SUMIFS($H$5:$H$1000,$S$5:$S$1000,$S304,$V$5:$V$1000,"Macro")/COUNTIFS($S$5:$S$1000,$S304,$V$5:$V$1000,"Macro",$H$5:$H$1000,"&gt;0"))/(COUNTIFS($S$5:$S$1000,$S304,$V$5:$V$1000,"Macro")*SUMIFS($H$5:$H$1000,$S$5:$S$1000,$S304,$V$5:$V$1000,"Macro")/COUNTIFS($S$5:$S$1000,$S304,$V$5:$V$1000,"Macro",$H$5:$H$1000,"&gt;0"))))</f>
        <v/>
      </c>
      <c r="AH304" s="62" t="n"/>
      <c r="AI304" s="62" t="n"/>
      <c r="AJ304" s="62" t="n"/>
      <c r="AK304" s="62" t="n"/>
      <c r="AL304" s="62">
        <f>IF(LEFT($C304,11)="[Jefatura] ",IFERROR(MATCH("Riesgo Operacional|"&amp;MID($C304,12,500),rDname_ADM,0),0),"")</f>
        <v/>
      </c>
      <c r="AM304" s="62">
        <f>IF(N($AL304)&gt;0,INDEX(rIni_ADM,$AL304),IF(ISNUMBER($E304),$E304,""))</f>
        <v/>
      </c>
      <c r="AN304" s="62">
        <f>IF(N($AL304)&gt;0,INDEX(rLim_ADM,$AL304),IF(ISNUMBER($F304),$F304,""))</f>
        <v/>
      </c>
    </row>
  </sheetData>
  <sheetProtection selectLockedCells="0" selectUnlockedCells="0" sheet="1" objects="0" insertRows="1" insertHyperlinks="1" autoFilter="0" scenarios="0" formatColumns="0" deleteColumns="1" insertColumns="1" pivotTables="1" deleteRows="1" formatCells="1" formatRows="0" sort="0"/>
  <mergeCells count="6">
    <mergeCell ref="A1:S1"/>
    <mergeCell ref="M3:O3"/>
    <mergeCell ref="E3:J3"/>
    <mergeCell ref="A2:S2"/>
    <mergeCell ref="K3:L3"/>
    <mergeCell ref="Q3:S3"/>
  </mergeCells>
  <conditionalFormatting sqref="M3:O3">
    <cfRule type="expression" priority="1" dxfId="8" stopIfTrue="1">
      <formula>COUNTIFS($S$5:$S$1000,MesCiclo,$O$5:$O$1000,"Vencida*")&gt;0</formula>
    </cfRule>
    <cfRule type="expression" priority="2" dxfId="9" stopIfTrue="1">
      <formula>COUNTIFS($S$5:$S$1000,MesCiclo,$O$5:$O$1000,"Vence*")&gt;0</formula>
    </cfRule>
    <cfRule type="expression" priority="3" dxfId="0">
      <formula>TRUE</formula>
    </cfRule>
  </conditionalFormatting>
  <conditionalFormatting sqref="Q3:S3">
    <cfRule type="expression" priority="4" dxfId="9" stopIfTrue="1">
      <formula>(COUNTIFS('Administración'!$D$5:$D$1000,"Riesgo Operacional",'Administración'!$S$5:$S$1000,MesCiclo,'Administración'!$V$5:$V$1000,"Macro")-COUNTIFS('Administración'!$D$5:$D$1000,"Riesgo Operacional",'Administración'!$S$5:$S$1000,MesCiclo,'Administración'!$V$5:$V$1000,"Macro",'Administración'!$AH$5:$AH$1000,"&gt;0"))&gt;0</formula>
    </cfRule>
    <cfRule type="expression" priority="5" dxfId="0">
      <formula>COUNTIFS('Administración'!$D$5:$D$1000,"Riesgo Operacional",'Administración'!$S$5:$S$1000,MesCiclo,'Administración'!$V$5:$V$1000,"Macro")&gt;0</formula>
    </cfRule>
  </conditionalFormatting>
  <conditionalFormatting sqref="C5:C1000">
    <cfRule type="expression" priority="6" dxfId="10" stopIfTrue="1">
      <formula>LEFT($C5,11)="[Jefatura] "</formula>
    </cfRule>
    <cfRule type="expression" priority="9" dxfId="11">
      <formula>$V5="Sub"</formula>
    </cfRule>
  </conditionalFormatting>
  <conditionalFormatting sqref="A5:C1000">
    <cfRule type="expression" priority="7" dxfId="5" stopIfTrue="1">
      <formula>AND($V5="Macro",$C5="")</formula>
    </cfRule>
    <cfRule type="expression" priority="8" dxfId="19">
      <formula>$V5="Macro"</formula>
    </cfRule>
  </conditionalFormatting>
  <conditionalFormatting sqref="N5:N1000">
    <cfRule type="expression" priority="10" dxfId="0">
      <formula>$N5="Completado"</formula>
    </cfRule>
    <cfRule type="expression" priority="11" dxfId="4">
      <formula>$N5="En curso"</formula>
    </cfRule>
    <cfRule type="expression" priority="12" dxfId="5">
      <formula>$N5="Pendiente"</formula>
    </cfRule>
  </conditionalFormatting>
  <conditionalFormatting sqref="O5:O1000">
    <cfRule type="expression" priority="13" dxfId="8" stopIfTrue="1">
      <formula>LEFT($O5,7)="Vencida"</formula>
    </cfRule>
    <cfRule type="expression" priority="14" dxfId="9" stopIfTrue="1">
      <formula>LEFT($O5,5)="Vence"</formula>
    </cfRule>
    <cfRule type="expression" priority="15" dxfId="0" stopIfTrue="1">
      <formula>LEFT($O5,8)="Cumplida"</formula>
    </cfRule>
    <cfRule type="expression" priority="16" dxfId="13" stopIfTrue="1">
      <formula>$O5="En plazo"</formula>
    </cfRule>
    <cfRule type="expression" priority="17" dxfId="5">
      <formula>$O5="Sin fecha límite"</formula>
    </cfRule>
  </conditionalFormatting>
  <conditionalFormatting sqref="M5:M1000">
    <cfRule type="expression" priority="18" dxfId="14" stopIfTrue="1">
      <formula>$V5="Sub"</formula>
    </cfRule>
    <cfRule type="expression" priority="19" dxfId="0">
      <formula>AND(ISNUMBER($M5),$M5&gt;=1)</formula>
    </cfRule>
    <cfRule type="dataBar" priority="20">
      <dataBar showValue="1">
        <cfvo type="num" val="0"/>
        <cfvo type="num" val="1"/>
        <color rgb="005B9BD5"/>
      </dataBar>
    </cfRule>
  </conditionalFormatting>
  <conditionalFormatting sqref="G5:G1000">
    <cfRule type="expression" priority="21" dxfId="0">
      <formula>ISNUMBER($G5)</formula>
    </cfRule>
  </conditionalFormatting>
  <conditionalFormatting sqref="F5:F1000">
    <cfRule type="expression" priority="22" dxfId="6" stopIfTrue="1">
      <formula>AND(ISNUMBER($AN5),$AN5&lt;FechaRef,IF($V5="Sub",N($X5),N($M5))&lt;1)</formula>
    </cfRule>
    <cfRule type="expression" priority="23" dxfId="7">
      <formula>AND(ISNUMBER($AN5),$AN5&gt;=FechaRef,$AN5-FechaRef&lt;=DiasAlerta,IF($V5="Sub",N($X5),N($M5))&lt;1)</formula>
    </cfRule>
  </conditionalFormatting>
  <conditionalFormatting sqref="E5:F1000">
    <cfRule type="expression" priority="24" dxfId="10" stopIfTrue="1">
      <formula>AND(N($AL5)&gt;0)</formula>
    </cfRule>
    <cfRule type="expression" priority="25" dxfId="5" stopIfTrue="1">
      <formula>AND((COUNTA($B5:$D5)+COUNTA($G5:$L5)+COUNTA($Q5))&gt;0,$AM5="")</formula>
    </cfRule>
    <cfRule type="expression" priority="26" dxfId="6">
      <formula>AND(ISNUMBER($E5),ISNUMBER($F5),$E5&gt;$F5)</formula>
    </cfRule>
  </conditionalFormatting>
  <conditionalFormatting sqref="H5:H1000">
    <cfRule type="expression" priority="27" dxfId="5" stopIfTrue="1">
      <formula>AND($V5="Sub",$H5&lt;&gt;"")</formula>
    </cfRule>
    <cfRule type="expression" priority="28" dxfId="15" stopIfTrue="1">
      <formula>$V5="Sub"</formula>
    </cfRule>
  </conditionalFormatting>
  <conditionalFormatting sqref="I5:L1000">
    <cfRule type="expression" priority="29" dxfId="5" stopIfTrue="1">
      <formula>AND(N($W5)&gt;0,I5&lt;&gt;"")</formula>
    </cfRule>
    <cfRule type="expression" priority="30" dxfId="15" stopIfTrue="1">
      <formula>OR(N($W5)&gt;0,ISNUMBER($G5))</formula>
    </cfRule>
    <cfRule type="expression" priority="31" dxfId="5" stopIfTrue="1">
      <formula>AND(I5&lt;&gt;"",OR(NOT(ISNUMBER(I5)),I5&gt;1,I5&lt;0))</formula>
    </cfRule>
  </conditionalFormatting>
  <conditionalFormatting sqref="J5:L1000">
    <cfRule type="expression" priority="32" dxfId="6">
      <formula>AND(J5&lt;&gt;"",J5&lt;MAX($I5:I5))</formula>
    </cfRule>
  </conditionalFormatting>
  <conditionalFormatting sqref="Q5:Q1000">
    <cfRule type="expression" priority="33" dxfId="5">
      <formula>AND(ObsObligatoria="Sí",ISNUMBER($F5),$F5&lt;FechaRef,IF($V5="Sub",N($X5),N($M5))&lt;1,$Q5="")</formula>
    </cfRule>
  </conditionalFormatting>
  <conditionalFormatting sqref="R5:R1000">
    <cfRule type="expression" priority="34" dxfId="5">
      <formula>LEFT($R5,1)="⚠"</formula>
    </cfRule>
    <cfRule type="expression" priority="35" dxfId="16">
      <formula>LEFT($R5,1)="✔"</formula>
    </cfRule>
  </conditionalFormatting>
  <conditionalFormatting sqref="S5:S1000">
    <cfRule type="expression" priority="36" dxfId="1">
      <formula>AND($S5&lt;&gt;"",$S5=MesCiclo)</formula>
    </cfRule>
  </conditionalFormatting>
  <dataValidations count="6">
    <dataValidation sqref="E5:F1000" showDropDown="0" showInputMessage="1" showErrorMessage="1" allowBlank="1" errorTitle="Fecha no permitida" error="Si la actividad es de la jefatura ([Jefatura]), las fechas las pone la jefatura y no se pueden cambiar. En sus actividades propias escriba una fecha válida (dd/mm/aaaa)." promptTitle="Fechas" prompt="En actividades [Jefatura] las fechas aparecen solas (las pone la jefatura). En las propias, escriba la fecha." type="custom">
      <formula1>AND(LEFT($C5,11)&lt;&gt;"[Jefatura] ",ISNUMBER(E5),E5&gt;36526)</formula1>
    </dataValidation>
    <dataValidation sqref="B5:B1000" showDropDown="0" showInputMessage="1" showErrorMessage="1" allowBlank="1" errorTitle="Tipo no válido" error="Elija Macroactividad o Subactividad." promptTitle="Tipo" prompt="Macroactividad (lleva peso) o Subactividad (va debajo de su macroactividad). Vacío = Macroactividad." type="list">
      <formula1>"Macroactividad,Subactividad"</formula1>
    </dataValidation>
    <dataValidation sqref="G5:G1000" showDropDown="0" showInputMessage="1" showErrorMessage="1" allowBlank="1" errorTitle="Fecha no válida" error="Ingrese una fecha válida (dd/mm/aaaa)." promptTitle="Fecha de cumplimiento" prompt="Escriba la fecha en que se cumplió. La actividad queda al 100% y ya no aparece vencida." type="date" operator="greaterThan">
      <formula1>36526</formula1>
    </dataValidation>
    <dataValidation sqref="H5:H1000" showDropDown="0" showInputMessage="1" showErrorMessage="1" allowBlank="1" errorTitle="Peso no permitido" error="Las subactividades NO llevan peso (su avance se promedia en la macroactividad). En una macroactividad ingrese un porcentaje entre 0% y 100% (por ejemplo 40%)." promptTitle="Peso (solo macroactividades)" prompt="Opcional. Vacío = todas las macroactividades del mes valen igual. Si escribe pesos, se ajustan solos a 100%. Las subactividades no llevan peso." type="custom">
      <formula1>AND(LEFT($B5,3)&lt;&gt;"Sub",ISNUMBER(H5),H5&gt;=0,H5&lt;=1)</formula1>
    </dataValidation>
    <dataValidation sqref="I5:L1000" showDropDown="0" showInputMessage="1" showErrorMessage="1" allowBlank="1" errorTitle="Avance no válido" error="Ingrese un porcentaje entre 0% y 100%. Deje la celda vacía si la semana no ha llegado." promptTitle="Avance parcial (opcional)" prompt="% TOTAL logrado hasta esta semana. Cuando termine, escriba la Fecha de cumplimiento. Si la macroactividad tiene subactividades, déjelo vacío." type="decimal" operator="between">
      <formula1>0</formula1>
      <formula2>1</formula2>
    </dataValidation>
    <dataValidation sqref="C5:C1000" showDropDown="0" showInputMessage="1" showErrorMessage="0" allowBlank="1" promptTitle="Actividad" prompt="Escriba el nombre, o elija en la lista una actividad delegada por la jefatura." type="list">
      <formula1>ListaDeleg_RO</formula1>
    </dataValidation>
  </dataValidations>
  <pageMargins left="0.4" right="0.4" top="0.5" bottom="0.5" header="0.5" footer="0.5"/>
  <pageSetup orientation="landscape" paperSize="1" fitToHeight="0" fitToWidth="1"/>
  <headerFooter>
    <oddHeader/>
    <oddFooter>&amp;C&amp;A – Página &amp;P de &amp;N</oddFooter>
    <evenHeader/>
    <evenFooter/>
    <firstHeader/>
    <firstFooter/>
  </headerFooter>
  <tableParts count="1">
    <tablePart xmlns:r="http://schemas.openxmlformats.org/officeDocument/2006/relationships" r:id="rId1"/>
  </tableParts>
</worksheet>
</file>

<file path=xl/worksheets/sheet5.xml><?xml version="1.0" encoding="utf-8"?>
<worksheet xmlns="http://schemas.openxmlformats.org/spreadsheetml/2006/main">
  <sheetPr>
    <tabColor rgb="00C55A11"/>
    <outlinePr summaryBelow="1" summaryRight="1"/>
    <pageSetUpPr fitToPage="1"/>
  </sheetPr>
  <dimension ref="A1:Q104"/>
  <sheetViews>
    <sheetView showGridLines="0" zoomScale="90" workbookViewId="0">
      <pane xSplit="2" ySplit="4" topLeftCell="C5" activePane="bottomRight" state="frozen"/>
      <selection pane="topRight"/>
      <selection pane="bottomLeft"/>
      <selection pane="bottomRight" activeCell="A1" sqref="A1"/>
    </sheetView>
  </sheetViews>
  <sheetFormatPr baseColWidth="8" defaultRowHeight="15"/>
  <cols>
    <col width="7" customWidth="1" min="1" max="1"/>
    <col width="50" customWidth="1" min="2" max="2"/>
    <col width="12" customWidth="1" min="3" max="3"/>
    <col width="12" customWidth="1" min="4" max="4"/>
    <col width="16" customWidth="1" min="5" max="5"/>
    <col width="11" customWidth="1" min="6" max="6"/>
    <col width="11" customWidth="1" min="7" max="7"/>
    <col width="11" customWidth="1" min="8" max="8"/>
    <col width="11" customWidth="1" min="9" max="9"/>
    <col width="12" customWidth="1" min="10" max="10"/>
    <col width="13" customWidth="1" min="11" max="11"/>
    <col width="20" customWidth="1" min="12" max="12"/>
    <col width="46" customWidth="1" min="13" max="13"/>
    <col hidden="1" width="13" customWidth="1" min="14" max="14"/>
    <col hidden="1" width="13" customWidth="1" min="15" max="15"/>
    <col hidden="1" width="13" customWidth="1" min="16" max="16"/>
    <col hidden="1" width="13" customWidth="1" min="17" max="17"/>
  </cols>
  <sheetData>
    <row r="1" ht="28" customHeight="1">
      <c r="A1" s="72" t="inlineStr">
        <is>
          <t>Actividades del mes por semana – Riesgo Operacional</t>
        </is>
      </c>
      <c r="B1" s="72" t="n"/>
      <c r="C1" s="72" t="n"/>
      <c r="D1" s="72" t="n"/>
      <c r="E1" s="72" t="n"/>
      <c r="F1" s="72" t="n"/>
      <c r="G1" s="72" t="n"/>
      <c r="H1" s="72" t="n"/>
      <c r="I1" s="72" t="n"/>
      <c r="J1" s="72" t="n"/>
      <c r="K1" s="72" t="n"/>
      <c r="L1" s="72" t="n"/>
      <c r="M1" s="72" t="n"/>
    </row>
    <row r="2" ht="34" customHeight="1">
      <c r="A2" s="74" t="inlineStr">
        <is>
          <t>HOJA AUTOMÁTICA Y BLOQUEADA: muestra solo las actividades del mes indicado abajo, tomadas de «Cronograma R. Operacional». No hay que escribir nada aquí. Muestra SOLO las macroactividades (sus subactividades se ven en el Cronograma; su avance ya está incluido). La barra de color marca las semanas en que cada actividad está programada y dentro aparece el avance de esa semana. La columna «Alerta de plazo» indica lo vencido y lo que está por vencer.</t>
        </is>
      </c>
      <c r="B2" s="74" t="n"/>
      <c r="C2" s="74" t="n"/>
      <c r="D2" s="74" t="n"/>
      <c r="E2" s="74" t="n"/>
      <c r="F2" s="74" t="n"/>
      <c r="G2" s="74" t="n"/>
      <c r="H2" s="74" t="n"/>
      <c r="I2" s="74" t="n"/>
      <c r="J2" s="74" t="n"/>
      <c r="K2" s="74" t="n"/>
      <c r="L2" s="74" t="n"/>
      <c r="M2" s="74" t="n"/>
    </row>
    <row r="3">
      <c r="A3" s="75" t="inlineStr">
        <is>
          <t>Mes:</t>
        </is>
      </c>
      <c r="B3" s="76">
        <f>MesCiclo</f>
        <v/>
      </c>
      <c r="E3" s="77" t="inlineStr">
        <is>
          <t>Semana del:</t>
        </is>
      </c>
      <c r="F3" s="78">
        <f>(InicioCiclo+0)</f>
        <v/>
      </c>
      <c r="G3" s="78">
        <f>(InicioCiclo+7)</f>
        <v/>
      </c>
      <c r="H3" s="78">
        <f>(InicioCiclo+14)</f>
        <v/>
      </c>
      <c r="I3" s="78">
        <f>(InicioCiclo+21)</f>
        <v/>
      </c>
    </row>
    <row r="4" ht="34" customHeight="1">
      <c r="A4" s="54" t="inlineStr">
        <is>
          <t>N°</t>
        </is>
      </c>
      <c r="B4" s="54" t="inlineStr">
        <is>
          <t>Actividad</t>
        </is>
      </c>
      <c r="C4" s="54" t="inlineStr">
        <is>
          <t>Fecha de inicio</t>
        </is>
      </c>
      <c r="D4" s="54" t="inlineStr">
        <is>
          <t>Fecha límite</t>
        </is>
      </c>
      <c r="E4" s="54" t="inlineStr">
        <is>
          <t>Semana de entrega</t>
        </is>
      </c>
      <c r="F4" s="67" t="inlineStr">
        <is>
          <t>Semana 1</t>
        </is>
      </c>
      <c r="G4" s="67" t="inlineStr">
        <is>
          <t>Semana 2</t>
        </is>
      </c>
      <c r="H4" s="67" t="inlineStr">
        <is>
          <t>Semana 3</t>
        </is>
      </c>
      <c r="I4" s="67" t="inlineStr">
        <is>
          <t>Semana 4</t>
        </is>
      </c>
      <c r="J4" s="54" t="inlineStr">
        <is>
          <t>% Avance actual</t>
        </is>
      </c>
      <c r="K4" s="54" t="inlineStr">
        <is>
          <t>Estado</t>
        </is>
      </c>
      <c r="L4" s="54" t="inlineStr">
        <is>
          <t>Alerta de plazo</t>
        </is>
      </c>
      <c r="M4" s="54" t="inlineStr">
        <is>
          <t>Observaciones</t>
        </is>
      </c>
      <c r="N4" t="inlineStr">
        <is>
          <t>Fila origen (aux)</t>
        </is>
      </c>
      <c r="O4" t="inlineStr">
        <is>
          <t>Tipo (aux)</t>
        </is>
      </c>
      <c r="P4" t="inlineStr">
        <is>
          <t>N subactividades (aux)</t>
        </is>
      </c>
      <c r="Q4" t="inlineStr">
        <is>
          <t>N° alerta de plazo (aux)</t>
        </is>
      </c>
    </row>
    <row r="5">
      <c r="A5" s="56">
        <f>IF($N5="","",INDEX('Cronograma R. Operacional'!$A$5:$A$1000,$N5))</f>
        <v/>
      </c>
      <c r="B5" s="62">
        <f>IF($N5="","",IF($O5="Sub","      ↳  "&amp;INDEX('Cronograma R. Operacional'!$C$5:$C$1000,$N5),INDEX('Cronograma R. Operacional'!$C$5:$C$1000,$N5)&amp;""))</f>
        <v/>
      </c>
      <c r="C5" s="79">
        <f>IF($N5="","",IF(INDEX('Cronograma R. Operacional'!$AM$5:$AM$1000,$N5)="","",INDEX('Cronograma R. Operacional'!$AM$5:$AM$1000,$N5)))</f>
        <v/>
      </c>
      <c r="D5" s="79">
        <f>IF($N5="","",IF(INDEX('Cronograma R. Operacional'!$AN$5:$AN$1000,$N5)="","",INDEX('Cronograma R. Operacional'!$AN$5:$AN$1000,$N5)))</f>
        <v/>
      </c>
      <c r="E5" s="56">
        <f>IF($N5="","",IF(NOT(ISNUMBER($D5)),"",IF($D5&lt;InicioCiclo,"Antes del ciclo",IF($D5&gt;=InicioCiclo+28,"Después del ciclo","Semana "&amp;(INT(($D5-InicioCiclo)/7)+1)))))</f>
        <v/>
      </c>
      <c r="F5" s="61">
        <f>IF($N5="","",IF($P5&gt;0,IF(1&lt;=SemanaActual,INDEX('Cronograma R. Operacional'!$AC$5:$AC$1000,$N5),""),IF(INDEX('Cronograma R. Operacional'!$I$5:$I$1000,$N5)="","",INDEX('Cronograma R. Operacional'!$I$5:$I$1000,$N5))))</f>
        <v/>
      </c>
      <c r="G5" s="61">
        <f>IF($N5="","",IF($P5&gt;0,IF(2&lt;=SemanaActual,INDEX('Cronograma R. Operacional'!$AD$5:$AD$1000,$N5),""),IF(INDEX('Cronograma R. Operacional'!$J$5:$J$1000,$N5)="","",INDEX('Cronograma R. Operacional'!$J$5:$J$1000,$N5))))</f>
        <v/>
      </c>
      <c r="H5" s="61">
        <f>IF($N5="","",IF($P5&gt;0,IF(3&lt;=SemanaActual,INDEX('Cronograma R. Operacional'!$AE$5:$AE$1000,$N5),""),IF(INDEX('Cronograma R. Operacional'!$K$5:$K$1000,$N5)="","",INDEX('Cronograma R. Operacional'!$K$5:$K$1000,$N5))))</f>
        <v/>
      </c>
      <c r="I5" s="61">
        <f>IF($N5="","",IF($P5&gt;0,IF(4&lt;=SemanaActual,INDEX('Cronograma R. Operacional'!$AF$5:$AF$1000,$N5),""),IF(INDEX('Cronograma R. Operacional'!$L$5:$L$1000,$N5)="","",INDEX('Cronograma R. Operacional'!$L$5:$L$1000,$N5))))</f>
        <v/>
      </c>
      <c r="J5" s="61">
        <f>IF($N5="","",INDEX('Cronograma R. Operacional'!$M$5:$M$1000,$N5))</f>
        <v/>
      </c>
      <c r="K5" s="56">
        <f>IF($N5="","",IF(N($J5)&gt;=1,"Completado",IF(AND(ISNUMBER($D5),$D5&lt;FechaRef),"Vencida",IF(N($J5)&gt;0,"En curso","Pendiente"))))</f>
        <v/>
      </c>
      <c r="L5" s="56">
        <f>IF($N5="","",INDEX('Cronograma R. Operacional'!$O$5:$O$1000,$N5)&amp;"")</f>
        <v/>
      </c>
      <c r="M5" s="62">
        <f>IF($N5="","",INDEX('Cronograma R. Operacional'!$Q$5:$Q$1000,$N5)&amp;"")</f>
        <v/>
      </c>
      <c r="N5">
        <f>IFERROR(MATCH(ROW()-4,rOrden_RO,0),"")</f>
        <v/>
      </c>
      <c r="O5">
        <f>IF($N5="","",INDEX('Cronograma R. Operacional'!$V$5:$V$1000,$N5))</f>
        <v/>
      </c>
      <c r="P5">
        <f>IF($N5="","",N(INDEX('Cronograma R. Operacional'!$W$5:$W$1000,$N5)))</f>
        <v/>
      </c>
      <c r="Q5">
        <f>IF(OR(LEFT($L5,7)="Vencida",LEFT($L5,5)="Vence"),SUMPRODUCT(--(LEFT($L$5:$L5,7)="Vencida"))+SUMPRODUCT(--(LEFT($L$5:$L5,5)="Vence")),"")</f>
        <v/>
      </c>
    </row>
    <row r="6">
      <c r="A6" s="56">
        <f>IF($N6="","",INDEX('Cronograma R. Operacional'!$A$5:$A$1000,$N6))</f>
        <v/>
      </c>
      <c r="B6" s="62">
        <f>IF($N6="","",IF($O6="Sub","      ↳  "&amp;INDEX('Cronograma R. Operacional'!$C$5:$C$1000,$N6),INDEX('Cronograma R. Operacional'!$C$5:$C$1000,$N6)&amp;""))</f>
        <v/>
      </c>
      <c r="C6" s="79">
        <f>IF($N6="","",IF(INDEX('Cronograma R. Operacional'!$AM$5:$AM$1000,$N6)="","",INDEX('Cronograma R. Operacional'!$AM$5:$AM$1000,$N6)))</f>
        <v/>
      </c>
      <c r="D6" s="79">
        <f>IF($N6="","",IF(INDEX('Cronograma R. Operacional'!$AN$5:$AN$1000,$N6)="","",INDEX('Cronograma R. Operacional'!$AN$5:$AN$1000,$N6)))</f>
        <v/>
      </c>
      <c r="E6" s="56">
        <f>IF($N6="","",IF(NOT(ISNUMBER($D6)),"",IF($D6&lt;InicioCiclo,"Antes del ciclo",IF($D6&gt;=InicioCiclo+28,"Después del ciclo","Semana "&amp;(INT(($D6-InicioCiclo)/7)+1)))))</f>
        <v/>
      </c>
      <c r="F6" s="61">
        <f>IF($N6="","",IF($P6&gt;0,IF(1&lt;=SemanaActual,INDEX('Cronograma R. Operacional'!$AC$5:$AC$1000,$N6),""),IF(INDEX('Cronograma R. Operacional'!$I$5:$I$1000,$N6)="","",INDEX('Cronograma R. Operacional'!$I$5:$I$1000,$N6))))</f>
        <v/>
      </c>
      <c r="G6" s="61">
        <f>IF($N6="","",IF($P6&gt;0,IF(2&lt;=SemanaActual,INDEX('Cronograma R. Operacional'!$AD$5:$AD$1000,$N6),""),IF(INDEX('Cronograma R. Operacional'!$J$5:$J$1000,$N6)="","",INDEX('Cronograma R. Operacional'!$J$5:$J$1000,$N6))))</f>
        <v/>
      </c>
      <c r="H6" s="61">
        <f>IF($N6="","",IF($P6&gt;0,IF(3&lt;=SemanaActual,INDEX('Cronograma R. Operacional'!$AE$5:$AE$1000,$N6),""),IF(INDEX('Cronograma R. Operacional'!$K$5:$K$1000,$N6)="","",INDEX('Cronograma R. Operacional'!$K$5:$K$1000,$N6))))</f>
        <v/>
      </c>
      <c r="I6" s="61">
        <f>IF($N6="","",IF($P6&gt;0,IF(4&lt;=SemanaActual,INDEX('Cronograma R. Operacional'!$AF$5:$AF$1000,$N6),""),IF(INDEX('Cronograma R. Operacional'!$L$5:$L$1000,$N6)="","",INDEX('Cronograma R. Operacional'!$L$5:$L$1000,$N6))))</f>
        <v/>
      </c>
      <c r="J6" s="61">
        <f>IF($N6="","",INDEX('Cronograma R. Operacional'!$M$5:$M$1000,$N6))</f>
        <v/>
      </c>
      <c r="K6" s="56">
        <f>IF($N6="","",IF(N($J6)&gt;=1,"Completado",IF(AND(ISNUMBER($D6),$D6&lt;FechaRef),"Vencida",IF(N($J6)&gt;0,"En curso","Pendiente"))))</f>
        <v/>
      </c>
      <c r="L6" s="56">
        <f>IF($N6="","",INDEX('Cronograma R. Operacional'!$O$5:$O$1000,$N6)&amp;"")</f>
        <v/>
      </c>
      <c r="M6" s="62">
        <f>IF($N6="","",INDEX('Cronograma R. Operacional'!$Q$5:$Q$1000,$N6)&amp;"")</f>
        <v/>
      </c>
      <c r="N6">
        <f>IFERROR(MATCH(ROW()-4,rOrden_RO,0),"")</f>
        <v/>
      </c>
      <c r="O6">
        <f>IF($N6="","",INDEX('Cronograma R. Operacional'!$V$5:$V$1000,$N6))</f>
        <v/>
      </c>
      <c r="P6">
        <f>IF($N6="","",N(INDEX('Cronograma R. Operacional'!$W$5:$W$1000,$N6)))</f>
        <v/>
      </c>
      <c r="Q6">
        <f>IF(OR(LEFT($L6,7)="Vencida",LEFT($L6,5)="Vence"),SUMPRODUCT(--(LEFT($L$5:$L6,7)="Vencida"))+SUMPRODUCT(--(LEFT($L$5:$L6,5)="Vence")),"")</f>
        <v/>
      </c>
    </row>
    <row r="7">
      <c r="A7" s="56">
        <f>IF($N7="","",INDEX('Cronograma R. Operacional'!$A$5:$A$1000,$N7))</f>
        <v/>
      </c>
      <c r="B7" s="62">
        <f>IF($N7="","",IF($O7="Sub","      ↳  "&amp;INDEX('Cronograma R. Operacional'!$C$5:$C$1000,$N7),INDEX('Cronograma R. Operacional'!$C$5:$C$1000,$N7)&amp;""))</f>
        <v/>
      </c>
      <c r="C7" s="79">
        <f>IF($N7="","",IF(INDEX('Cronograma R. Operacional'!$AM$5:$AM$1000,$N7)="","",INDEX('Cronograma R. Operacional'!$AM$5:$AM$1000,$N7)))</f>
        <v/>
      </c>
      <c r="D7" s="79">
        <f>IF($N7="","",IF(INDEX('Cronograma R. Operacional'!$AN$5:$AN$1000,$N7)="","",INDEX('Cronograma R. Operacional'!$AN$5:$AN$1000,$N7)))</f>
        <v/>
      </c>
      <c r="E7" s="56">
        <f>IF($N7="","",IF(NOT(ISNUMBER($D7)),"",IF($D7&lt;InicioCiclo,"Antes del ciclo",IF($D7&gt;=InicioCiclo+28,"Después del ciclo","Semana "&amp;(INT(($D7-InicioCiclo)/7)+1)))))</f>
        <v/>
      </c>
      <c r="F7" s="61">
        <f>IF($N7="","",IF($P7&gt;0,IF(1&lt;=SemanaActual,INDEX('Cronograma R. Operacional'!$AC$5:$AC$1000,$N7),""),IF(INDEX('Cronograma R. Operacional'!$I$5:$I$1000,$N7)="","",INDEX('Cronograma R. Operacional'!$I$5:$I$1000,$N7))))</f>
        <v/>
      </c>
      <c r="G7" s="61">
        <f>IF($N7="","",IF($P7&gt;0,IF(2&lt;=SemanaActual,INDEX('Cronograma R. Operacional'!$AD$5:$AD$1000,$N7),""),IF(INDEX('Cronograma R. Operacional'!$J$5:$J$1000,$N7)="","",INDEX('Cronograma R. Operacional'!$J$5:$J$1000,$N7))))</f>
        <v/>
      </c>
      <c r="H7" s="61">
        <f>IF($N7="","",IF($P7&gt;0,IF(3&lt;=SemanaActual,INDEX('Cronograma R. Operacional'!$AE$5:$AE$1000,$N7),""),IF(INDEX('Cronograma R. Operacional'!$K$5:$K$1000,$N7)="","",INDEX('Cronograma R. Operacional'!$K$5:$K$1000,$N7))))</f>
        <v/>
      </c>
      <c r="I7" s="61">
        <f>IF($N7="","",IF($P7&gt;0,IF(4&lt;=SemanaActual,INDEX('Cronograma R. Operacional'!$AF$5:$AF$1000,$N7),""),IF(INDEX('Cronograma R. Operacional'!$L$5:$L$1000,$N7)="","",INDEX('Cronograma R. Operacional'!$L$5:$L$1000,$N7))))</f>
        <v/>
      </c>
      <c r="J7" s="61">
        <f>IF($N7="","",INDEX('Cronograma R. Operacional'!$M$5:$M$1000,$N7))</f>
        <v/>
      </c>
      <c r="K7" s="56">
        <f>IF($N7="","",IF(N($J7)&gt;=1,"Completado",IF(AND(ISNUMBER($D7),$D7&lt;FechaRef),"Vencida",IF(N($J7)&gt;0,"En curso","Pendiente"))))</f>
        <v/>
      </c>
      <c r="L7" s="56">
        <f>IF($N7="","",INDEX('Cronograma R. Operacional'!$O$5:$O$1000,$N7)&amp;"")</f>
        <v/>
      </c>
      <c r="M7" s="62">
        <f>IF($N7="","",INDEX('Cronograma R. Operacional'!$Q$5:$Q$1000,$N7)&amp;"")</f>
        <v/>
      </c>
      <c r="N7">
        <f>IFERROR(MATCH(ROW()-4,rOrden_RO,0),"")</f>
        <v/>
      </c>
      <c r="O7">
        <f>IF($N7="","",INDEX('Cronograma R. Operacional'!$V$5:$V$1000,$N7))</f>
        <v/>
      </c>
      <c r="P7">
        <f>IF($N7="","",N(INDEX('Cronograma R. Operacional'!$W$5:$W$1000,$N7)))</f>
        <v/>
      </c>
      <c r="Q7">
        <f>IF(OR(LEFT($L7,7)="Vencida",LEFT($L7,5)="Vence"),SUMPRODUCT(--(LEFT($L$5:$L7,7)="Vencida"))+SUMPRODUCT(--(LEFT($L$5:$L7,5)="Vence")),"")</f>
        <v/>
      </c>
    </row>
    <row r="8">
      <c r="A8" s="56">
        <f>IF($N8="","",INDEX('Cronograma R. Operacional'!$A$5:$A$1000,$N8))</f>
        <v/>
      </c>
      <c r="B8" s="62">
        <f>IF($N8="","",IF($O8="Sub","      ↳  "&amp;INDEX('Cronograma R. Operacional'!$C$5:$C$1000,$N8),INDEX('Cronograma R. Operacional'!$C$5:$C$1000,$N8)&amp;""))</f>
        <v/>
      </c>
      <c r="C8" s="79">
        <f>IF($N8="","",IF(INDEX('Cronograma R. Operacional'!$AM$5:$AM$1000,$N8)="","",INDEX('Cronograma R. Operacional'!$AM$5:$AM$1000,$N8)))</f>
        <v/>
      </c>
      <c r="D8" s="79">
        <f>IF($N8="","",IF(INDEX('Cronograma R. Operacional'!$AN$5:$AN$1000,$N8)="","",INDEX('Cronograma R. Operacional'!$AN$5:$AN$1000,$N8)))</f>
        <v/>
      </c>
      <c r="E8" s="56">
        <f>IF($N8="","",IF(NOT(ISNUMBER($D8)),"",IF($D8&lt;InicioCiclo,"Antes del ciclo",IF($D8&gt;=InicioCiclo+28,"Después del ciclo","Semana "&amp;(INT(($D8-InicioCiclo)/7)+1)))))</f>
        <v/>
      </c>
      <c r="F8" s="61">
        <f>IF($N8="","",IF($P8&gt;0,IF(1&lt;=SemanaActual,INDEX('Cronograma R. Operacional'!$AC$5:$AC$1000,$N8),""),IF(INDEX('Cronograma R. Operacional'!$I$5:$I$1000,$N8)="","",INDEX('Cronograma R. Operacional'!$I$5:$I$1000,$N8))))</f>
        <v/>
      </c>
      <c r="G8" s="61">
        <f>IF($N8="","",IF($P8&gt;0,IF(2&lt;=SemanaActual,INDEX('Cronograma R. Operacional'!$AD$5:$AD$1000,$N8),""),IF(INDEX('Cronograma R. Operacional'!$J$5:$J$1000,$N8)="","",INDEX('Cronograma R. Operacional'!$J$5:$J$1000,$N8))))</f>
        <v/>
      </c>
      <c r="H8" s="61">
        <f>IF($N8="","",IF($P8&gt;0,IF(3&lt;=SemanaActual,INDEX('Cronograma R. Operacional'!$AE$5:$AE$1000,$N8),""),IF(INDEX('Cronograma R. Operacional'!$K$5:$K$1000,$N8)="","",INDEX('Cronograma R. Operacional'!$K$5:$K$1000,$N8))))</f>
        <v/>
      </c>
      <c r="I8" s="61">
        <f>IF($N8="","",IF($P8&gt;0,IF(4&lt;=SemanaActual,INDEX('Cronograma R. Operacional'!$AF$5:$AF$1000,$N8),""),IF(INDEX('Cronograma R. Operacional'!$L$5:$L$1000,$N8)="","",INDEX('Cronograma R. Operacional'!$L$5:$L$1000,$N8))))</f>
        <v/>
      </c>
      <c r="J8" s="61">
        <f>IF($N8="","",INDEX('Cronograma R. Operacional'!$M$5:$M$1000,$N8))</f>
        <v/>
      </c>
      <c r="K8" s="56">
        <f>IF($N8="","",IF(N($J8)&gt;=1,"Completado",IF(AND(ISNUMBER($D8),$D8&lt;FechaRef),"Vencida",IF(N($J8)&gt;0,"En curso","Pendiente"))))</f>
        <v/>
      </c>
      <c r="L8" s="56">
        <f>IF($N8="","",INDEX('Cronograma R. Operacional'!$O$5:$O$1000,$N8)&amp;"")</f>
        <v/>
      </c>
      <c r="M8" s="62">
        <f>IF($N8="","",INDEX('Cronograma R. Operacional'!$Q$5:$Q$1000,$N8)&amp;"")</f>
        <v/>
      </c>
      <c r="N8">
        <f>IFERROR(MATCH(ROW()-4,rOrden_RO,0),"")</f>
        <v/>
      </c>
      <c r="O8">
        <f>IF($N8="","",INDEX('Cronograma R. Operacional'!$V$5:$V$1000,$N8))</f>
        <v/>
      </c>
      <c r="P8">
        <f>IF($N8="","",N(INDEX('Cronograma R. Operacional'!$W$5:$W$1000,$N8)))</f>
        <v/>
      </c>
      <c r="Q8">
        <f>IF(OR(LEFT($L8,7)="Vencida",LEFT($L8,5)="Vence"),SUMPRODUCT(--(LEFT($L$5:$L8,7)="Vencida"))+SUMPRODUCT(--(LEFT($L$5:$L8,5)="Vence")),"")</f>
        <v/>
      </c>
    </row>
    <row r="9">
      <c r="A9" s="56">
        <f>IF($N9="","",INDEX('Cronograma R. Operacional'!$A$5:$A$1000,$N9))</f>
        <v/>
      </c>
      <c r="B9" s="62">
        <f>IF($N9="","",IF($O9="Sub","      ↳  "&amp;INDEX('Cronograma R. Operacional'!$C$5:$C$1000,$N9),INDEX('Cronograma R. Operacional'!$C$5:$C$1000,$N9)&amp;""))</f>
        <v/>
      </c>
      <c r="C9" s="79">
        <f>IF($N9="","",IF(INDEX('Cronograma R. Operacional'!$AM$5:$AM$1000,$N9)="","",INDEX('Cronograma R. Operacional'!$AM$5:$AM$1000,$N9)))</f>
        <v/>
      </c>
      <c r="D9" s="79">
        <f>IF($N9="","",IF(INDEX('Cronograma R. Operacional'!$AN$5:$AN$1000,$N9)="","",INDEX('Cronograma R. Operacional'!$AN$5:$AN$1000,$N9)))</f>
        <v/>
      </c>
      <c r="E9" s="56">
        <f>IF($N9="","",IF(NOT(ISNUMBER($D9)),"",IF($D9&lt;InicioCiclo,"Antes del ciclo",IF($D9&gt;=InicioCiclo+28,"Después del ciclo","Semana "&amp;(INT(($D9-InicioCiclo)/7)+1)))))</f>
        <v/>
      </c>
      <c r="F9" s="61">
        <f>IF($N9="","",IF($P9&gt;0,IF(1&lt;=SemanaActual,INDEX('Cronograma R. Operacional'!$AC$5:$AC$1000,$N9),""),IF(INDEX('Cronograma R. Operacional'!$I$5:$I$1000,$N9)="","",INDEX('Cronograma R. Operacional'!$I$5:$I$1000,$N9))))</f>
        <v/>
      </c>
      <c r="G9" s="61">
        <f>IF($N9="","",IF($P9&gt;0,IF(2&lt;=SemanaActual,INDEX('Cronograma R. Operacional'!$AD$5:$AD$1000,$N9),""),IF(INDEX('Cronograma R. Operacional'!$J$5:$J$1000,$N9)="","",INDEX('Cronograma R. Operacional'!$J$5:$J$1000,$N9))))</f>
        <v/>
      </c>
      <c r="H9" s="61">
        <f>IF($N9="","",IF($P9&gt;0,IF(3&lt;=SemanaActual,INDEX('Cronograma R. Operacional'!$AE$5:$AE$1000,$N9),""),IF(INDEX('Cronograma R. Operacional'!$K$5:$K$1000,$N9)="","",INDEX('Cronograma R. Operacional'!$K$5:$K$1000,$N9))))</f>
        <v/>
      </c>
      <c r="I9" s="61">
        <f>IF($N9="","",IF($P9&gt;0,IF(4&lt;=SemanaActual,INDEX('Cronograma R. Operacional'!$AF$5:$AF$1000,$N9),""),IF(INDEX('Cronograma R. Operacional'!$L$5:$L$1000,$N9)="","",INDEX('Cronograma R. Operacional'!$L$5:$L$1000,$N9))))</f>
        <v/>
      </c>
      <c r="J9" s="61">
        <f>IF($N9="","",INDEX('Cronograma R. Operacional'!$M$5:$M$1000,$N9))</f>
        <v/>
      </c>
      <c r="K9" s="56">
        <f>IF($N9="","",IF(N($J9)&gt;=1,"Completado",IF(AND(ISNUMBER($D9),$D9&lt;FechaRef),"Vencida",IF(N($J9)&gt;0,"En curso","Pendiente"))))</f>
        <v/>
      </c>
      <c r="L9" s="56">
        <f>IF($N9="","",INDEX('Cronograma R. Operacional'!$O$5:$O$1000,$N9)&amp;"")</f>
        <v/>
      </c>
      <c r="M9" s="62">
        <f>IF($N9="","",INDEX('Cronograma R. Operacional'!$Q$5:$Q$1000,$N9)&amp;"")</f>
        <v/>
      </c>
      <c r="N9">
        <f>IFERROR(MATCH(ROW()-4,rOrden_RO,0),"")</f>
        <v/>
      </c>
      <c r="O9">
        <f>IF($N9="","",INDEX('Cronograma R. Operacional'!$V$5:$V$1000,$N9))</f>
        <v/>
      </c>
      <c r="P9">
        <f>IF($N9="","",N(INDEX('Cronograma R. Operacional'!$W$5:$W$1000,$N9)))</f>
        <v/>
      </c>
      <c r="Q9">
        <f>IF(OR(LEFT($L9,7)="Vencida",LEFT($L9,5)="Vence"),SUMPRODUCT(--(LEFT($L$5:$L9,7)="Vencida"))+SUMPRODUCT(--(LEFT($L$5:$L9,5)="Vence")),"")</f>
        <v/>
      </c>
    </row>
    <row r="10">
      <c r="A10" s="56">
        <f>IF($N10="","",INDEX('Cronograma R. Operacional'!$A$5:$A$1000,$N10))</f>
        <v/>
      </c>
      <c r="B10" s="62">
        <f>IF($N10="","",IF($O10="Sub","      ↳  "&amp;INDEX('Cronograma R. Operacional'!$C$5:$C$1000,$N10),INDEX('Cronograma R. Operacional'!$C$5:$C$1000,$N10)&amp;""))</f>
        <v/>
      </c>
      <c r="C10" s="79">
        <f>IF($N10="","",IF(INDEX('Cronograma R. Operacional'!$AM$5:$AM$1000,$N10)="","",INDEX('Cronograma R. Operacional'!$AM$5:$AM$1000,$N10)))</f>
        <v/>
      </c>
      <c r="D10" s="79">
        <f>IF($N10="","",IF(INDEX('Cronograma R. Operacional'!$AN$5:$AN$1000,$N10)="","",INDEX('Cronograma R. Operacional'!$AN$5:$AN$1000,$N10)))</f>
        <v/>
      </c>
      <c r="E10" s="56">
        <f>IF($N10="","",IF(NOT(ISNUMBER($D10)),"",IF($D10&lt;InicioCiclo,"Antes del ciclo",IF($D10&gt;=InicioCiclo+28,"Después del ciclo","Semana "&amp;(INT(($D10-InicioCiclo)/7)+1)))))</f>
        <v/>
      </c>
      <c r="F10" s="61">
        <f>IF($N10="","",IF($P10&gt;0,IF(1&lt;=SemanaActual,INDEX('Cronograma R. Operacional'!$AC$5:$AC$1000,$N10),""),IF(INDEX('Cronograma R. Operacional'!$I$5:$I$1000,$N10)="","",INDEX('Cronograma R. Operacional'!$I$5:$I$1000,$N10))))</f>
        <v/>
      </c>
      <c r="G10" s="61">
        <f>IF($N10="","",IF($P10&gt;0,IF(2&lt;=SemanaActual,INDEX('Cronograma R. Operacional'!$AD$5:$AD$1000,$N10),""),IF(INDEX('Cronograma R. Operacional'!$J$5:$J$1000,$N10)="","",INDEX('Cronograma R. Operacional'!$J$5:$J$1000,$N10))))</f>
        <v/>
      </c>
      <c r="H10" s="61">
        <f>IF($N10="","",IF($P10&gt;0,IF(3&lt;=SemanaActual,INDEX('Cronograma R. Operacional'!$AE$5:$AE$1000,$N10),""),IF(INDEX('Cronograma R. Operacional'!$K$5:$K$1000,$N10)="","",INDEX('Cronograma R. Operacional'!$K$5:$K$1000,$N10))))</f>
        <v/>
      </c>
      <c r="I10" s="61">
        <f>IF($N10="","",IF($P10&gt;0,IF(4&lt;=SemanaActual,INDEX('Cronograma R. Operacional'!$AF$5:$AF$1000,$N10),""),IF(INDEX('Cronograma R. Operacional'!$L$5:$L$1000,$N10)="","",INDEX('Cronograma R. Operacional'!$L$5:$L$1000,$N10))))</f>
        <v/>
      </c>
      <c r="J10" s="61">
        <f>IF($N10="","",INDEX('Cronograma R. Operacional'!$M$5:$M$1000,$N10))</f>
        <v/>
      </c>
      <c r="K10" s="56">
        <f>IF($N10="","",IF(N($J10)&gt;=1,"Completado",IF(AND(ISNUMBER($D10),$D10&lt;FechaRef),"Vencida",IF(N($J10)&gt;0,"En curso","Pendiente"))))</f>
        <v/>
      </c>
      <c r="L10" s="56">
        <f>IF($N10="","",INDEX('Cronograma R. Operacional'!$O$5:$O$1000,$N10)&amp;"")</f>
        <v/>
      </c>
      <c r="M10" s="62">
        <f>IF($N10="","",INDEX('Cronograma R. Operacional'!$Q$5:$Q$1000,$N10)&amp;"")</f>
        <v/>
      </c>
      <c r="N10">
        <f>IFERROR(MATCH(ROW()-4,rOrden_RO,0),"")</f>
        <v/>
      </c>
      <c r="O10">
        <f>IF($N10="","",INDEX('Cronograma R. Operacional'!$V$5:$V$1000,$N10))</f>
        <v/>
      </c>
      <c r="P10">
        <f>IF($N10="","",N(INDEX('Cronograma R. Operacional'!$W$5:$W$1000,$N10)))</f>
        <v/>
      </c>
      <c r="Q10">
        <f>IF(OR(LEFT($L10,7)="Vencida",LEFT($L10,5)="Vence"),SUMPRODUCT(--(LEFT($L$5:$L10,7)="Vencida"))+SUMPRODUCT(--(LEFT($L$5:$L10,5)="Vence")),"")</f>
        <v/>
      </c>
    </row>
    <row r="11">
      <c r="A11" s="56">
        <f>IF($N11="","",INDEX('Cronograma R. Operacional'!$A$5:$A$1000,$N11))</f>
        <v/>
      </c>
      <c r="B11" s="62">
        <f>IF($N11="","",IF($O11="Sub","      ↳  "&amp;INDEX('Cronograma R. Operacional'!$C$5:$C$1000,$N11),INDEX('Cronograma R. Operacional'!$C$5:$C$1000,$N11)&amp;""))</f>
        <v/>
      </c>
      <c r="C11" s="79">
        <f>IF($N11="","",IF(INDEX('Cronograma R. Operacional'!$AM$5:$AM$1000,$N11)="","",INDEX('Cronograma R. Operacional'!$AM$5:$AM$1000,$N11)))</f>
        <v/>
      </c>
      <c r="D11" s="79">
        <f>IF($N11="","",IF(INDEX('Cronograma R. Operacional'!$AN$5:$AN$1000,$N11)="","",INDEX('Cronograma R. Operacional'!$AN$5:$AN$1000,$N11)))</f>
        <v/>
      </c>
      <c r="E11" s="56">
        <f>IF($N11="","",IF(NOT(ISNUMBER($D11)),"",IF($D11&lt;InicioCiclo,"Antes del ciclo",IF($D11&gt;=InicioCiclo+28,"Después del ciclo","Semana "&amp;(INT(($D11-InicioCiclo)/7)+1)))))</f>
        <v/>
      </c>
      <c r="F11" s="61">
        <f>IF($N11="","",IF($P11&gt;0,IF(1&lt;=SemanaActual,INDEX('Cronograma R. Operacional'!$AC$5:$AC$1000,$N11),""),IF(INDEX('Cronograma R. Operacional'!$I$5:$I$1000,$N11)="","",INDEX('Cronograma R. Operacional'!$I$5:$I$1000,$N11))))</f>
        <v/>
      </c>
      <c r="G11" s="61">
        <f>IF($N11="","",IF($P11&gt;0,IF(2&lt;=SemanaActual,INDEX('Cronograma R. Operacional'!$AD$5:$AD$1000,$N11),""),IF(INDEX('Cronograma R. Operacional'!$J$5:$J$1000,$N11)="","",INDEX('Cronograma R. Operacional'!$J$5:$J$1000,$N11))))</f>
        <v/>
      </c>
      <c r="H11" s="61">
        <f>IF($N11="","",IF($P11&gt;0,IF(3&lt;=SemanaActual,INDEX('Cronograma R. Operacional'!$AE$5:$AE$1000,$N11),""),IF(INDEX('Cronograma R. Operacional'!$K$5:$K$1000,$N11)="","",INDEX('Cronograma R. Operacional'!$K$5:$K$1000,$N11))))</f>
        <v/>
      </c>
      <c r="I11" s="61">
        <f>IF($N11="","",IF($P11&gt;0,IF(4&lt;=SemanaActual,INDEX('Cronograma R. Operacional'!$AF$5:$AF$1000,$N11),""),IF(INDEX('Cronograma R. Operacional'!$L$5:$L$1000,$N11)="","",INDEX('Cronograma R. Operacional'!$L$5:$L$1000,$N11))))</f>
        <v/>
      </c>
      <c r="J11" s="61">
        <f>IF($N11="","",INDEX('Cronograma R. Operacional'!$M$5:$M$1000,$N11))</f>
        <v/>
      </c>
      <c r="K11" s="56">
        <f>IF($N11="","",IF(N($J11)&gt;=1,"Completado",IF(AND(ISNUMBER($D11),$D11&lt;FechaRef),"Vencida",IF(N($J11)&gt;0,"En curso","Pendiente"))))</f>
        <v/>
      </c>
      <c r="L11" s="56">
        <f>IF($N11="","",INDEX('Cronograma R. Operacional'!$O$5:$O$1000,$N11)&amp;"")</f>
        <v/>
      </c>
      <c r="M11" s="62">
        <f>IF($N11="","",INDEX('Cronograma R. Operacional'!$Q$5:$Q$1000,$N11)&amp;"")</f>
        <v/>
      </c>
      <c r="N11">
        <f>IFERROR(MATCH(ROW()-4,rOrden_RO,0),"")</f>
        <v/>
      </c>
      <c r="O11">
        <f>IF($N11="","",INDEX('Cronograma R. Operacional'!$V$5:$V$1000,$N11))</f>
        <v/>
      </c>
      <c r="P11">
        <f>IF($N11="","",N(INDEX('Cronograma R. Operacional'!$W$5:$W$1000,$N11)))</f>
        <v/>
      </c>
      <c r="Q11">
        <f>IF(OR(LEFT($L11,7)="Vencida",LEFT($L11,5)="Vence"),SUMPRODUCT(--(LEFT($L$5:$L11,7)="Vencida"))+SUMPRODUCT(--(LEFT($L$5:$L11,5)="Vence")),"")</f>
        <v/>
      </c>
    </row>
    <row r="12">
      <c r="A12" s="56">
        <f>IF($N12="","",INDEX('Cronograma R. Operacional'!$A$5:$A$1000,$N12))</f>
        <v/>
      </c>
      <c r="B12" s="62">
        <f>IF($N12="","",IF($O12="Sub","      ↳  "&amp;INDEX('Cronograma R. Operacional'!$C$5:$C$1000,$N12),INDEX('Cronograma R. Operacional'!$C$5:$C$1000,$N12)&amp;""))</f>
        <v/>
      </c>
      <c r="C12" s="79">
        <f>IF($N12="","",IF(INDEX('Cronograma R. Operacional'!$AM$5:$AM$1000,$N12)="","",INDEX('Cronograma R. Operacional'!$AM$5:$AM$1000,$N12)))</f>
        <v/>
      </c>
      <c r="D12" s="79">
        <f>IF($N12="","",IF(INDEX('Cronograma R. Operacional'!$AN$5:$AN$1000,$N12)="","",INDEX('Cronograma R. Operacional'!$AN$5:$AN$1000,$N12)))</f>
        <v/>
      </c>
      <c r="E12" s="56">
        <f>IF($N12="","",IF(NOT(ISNUMBER($D12)),"",IF($D12&lt;InicioCiclo,"Antes del ciclo",IF($D12&gt;=InicioCiclo+28,"Después del ciclo","Semana "&amp;(INT(($D12-InicioCiclo)/7)+1)))))</f>
        <v/>
      </c>
      <c r="F12" s="61">
        <f>IF($N12="","",IF($P12&gt;0,IF(1&lt;=SemanaActual,INDEX('Cronograma R. Operacional'!$AC$5:$AC$1000,$N12),""),IF(INDEX('Cronograma R. Operacional'!$I$5:$I$1000,$N12)="","",INDEX('Cronograma R. Operacional'!$I$5:$I$1000,$N12))))</f>
        <v/>
      </c>
      <c r="G12" s="61">
        <f>IF($N12="","",IF($P12&gt;0,IF(2&lt;=SemanaActual,INDEX('Cronograma R. Operacional'!$AD$5:$AD$1000,$N12),""),IF(INDEX('Cronograma R. Operacional'!$J$5:$J$1000,$N12)="","",INDEX('Cronograma R. Operacional'!$J$5:$J$1000,$N12))))</f>
        <v/>
      </c>
      <c r="H12" s="61">
        <f>IF($N12="","",IF($P12&gt;0,IF(3&lt;=SemanaActual,INDEX('Cronograma R. Operacional'!$AE$5:$AE$1000,$N12),""),IF(INDEX('Cronograma R. Operacional'!$K$5:$K$1000,$N12)="","",INDEX('Cronograma R. Operacional'!$K$5:$K$1000,$N12))))</f>
        <v/>
      </c>
      <c r="I12" s="61">
        <f>IF($N12="","",IF($P12&gt;0,IF(4&lt;=SemanaActual,INDEX('Cronograma R. Operacional'!$AF$5:$AF$1000,$N12),""),IF(INDEX('Cronograma R. Operacional'!$L$5:$L$1000,$N12)="","",INDEX('Cronograma R. Operacional'!$L$5:$L$1000,$N12))))</f>
        <v/>
      </c>
      <c r="J12" s="61">
        <f>IF($N12="","",INDEX('Cronograma R. Operacional'!$M$5:$M$1000,$N12))</f>
        <v/>
      </c>
      <c r="K12" s="56">
        <f>IF($N12="","",IF(N($J12)&gt;=1,"Completado",IF(AND(ISNUMBER($D12),$D12&lt;FechaRef),"Vencida",IF(N($J12)&gt;0,"En curso","Pendiente"))))</f>
        <v/>
      </c>
      <c r="L12" s="56">
        <f>IF($N12="","",INDEX('Cronograma R. Operacional'!$O$5:$O$1000,$N12)&amp;"")</f>
        <v/>
      </c>
      <c r="M12" s="62">
        <f>IF($N12="","",INDEX('Cronograma R. Operacional'!$Q$5:$Q$1000,$N12)&amp;"")</f>
        <v/>
      </c>
      <c r="N12">
        <f>IFERROR(MATCH(ROW()-4,rOrden_RO,0),"")</f>
        <v/>
      </c>
      <c r="O12">
        <f>IF($N12="","",INDEX('Cronograma R. Operacional'!$V$5:$V$1000,$N12))</f>
        <v/>
      </c>
      <c r="P12">
        <f>IF($N12="","",N(INDEX('Cronograma R. Operacional'!$W$5:$W$1000,$N12)))</f>
        <v/>
      </c>
      <c r="Q12">
        <f>IF(OR(LEFT($L12,7)="Vencida",LEFT($L12,5)="Vence"),SUMPRODUCT(--(LEFT($L$5:$L12,7)="Vencida"))+SUMPRODUCT(--(LEFT($L$5:$L12,5)="Vence")),"")</f>
        <v/>
      </c>
    </row>
    <row r="13">
      <c r="A13" s="56">
        <f>IF($N13="","",INDEX('Cronograma R. Operacional'!$A$5:$A$1000,$N13))</f>
        <v/>
      </c>
      <c r="B13" s="62">
        <f>IF($N13="","",IF($O13="Sub","      ↳  "&amp;INDEX('Cronograma R. Operacional'!$C$5:$C$1000,$N13),INDEX('Cronograma R. Operacional'!$C$5:$C$1000,$N13)&amp;""))</f>
        <v/>
      </c>
      <c r="C13" s="79">
        <f>IF($N13="","",IF(INDEX('Cronograma R. Operacional'!$AM$5:$AM$1000,$N13)="","",INDEX('Cronograma R. Operacional'!$AM$5:$AM$1000,$N13)))</f>
        <v/>
      </c>
      <c r="D13" s="79">
        <f>IF($N13="","",IF(INDEX('Cronograma R. Operacional'!$AN$5:$AN$1000,$N13)="","",INDEX('Cronograma R. Operacional'!$AN$5:$AN$1000,$N13)))</f>
        <v/>
      </c>
      <c r="E13" s="56">
        <f>IF($N13="","",IF(NOT(ISNUMBER($D13)),"",IF($D13&lt;InicioCiclo,"Antes del ciclo",IF($D13&gt;=InicioCiclo+28,"Después del ciclo","Semana "&amp;(INT(($D13-InicioCiclo)/7)+1)))))</f>
        <v/>
      </c>
      <c r="F13" s="61">
        <f>IF($N13="","",IF($P13&gt;0,IF(1&lt;=SemanaActual,INDEX('Cronograma R. Operacional'!$AC$5:$AC$1000,$N13),""),IF(INDEX('Cronograma R. Operacional'!$I$5:$I$1000,$N13)="","",INDEX('Cronograma R. Operacional'!$I$5:$I$1000,$N13))))</f>
        <v/>
      </c>
      <c r="G13" s="61">
        <f>IF($N13="","",IF($P13&gt;0,IF(2&lt;=SemanaActual,INDEX('Cronograma R. Operacional'!$AD$5:$AD$1000,$N13),""),IF(INDEX('Cronograma R. Operacional'!$J$5:$J$1000,$N13)="","",INDEX('Cronograma R. Operacional'!$J$5:$J$1000,$N13))))</f>
        <v/>
      </c>
      <c r="H13" s="61">
        <f>IF($N13="","",IF($P13&gt;0,IF(3&lt;=SemanaActual,INDEX('Cronograma R. Operacional'!$AE$5:$AE$1000,$N13),""),IF(INDEX('Cronograma R. Operacional'!$K$5:$K$1000,$N13)="","",INDEX('Cronograma R. Operacional'!$K$5:$K$1000,$N13))))</f>
        <v/>
      </c>
      <c r="I13" s="61">
        <f>IF($N13="","",IF($P13&gt;0,IF(4&lt;=SemanaActual,INDEX('Cronograma R. Operacional'!$AF$5:$AF$1000,$N13),""),IF(INDEX('Cronograma R. Operacional'!$L$5:$L$1000,$N13)="","",INDEX('Cronograma R. Operacional'!$L$5:$L$1000,$N13))))</f>
        <v/>
      </c>
      <c r="J13" s="61">
        <f>IF($N13="","",INDEX('Cronograma R. Operacional'!$M$5:$M$1000,$N13))</f>
        <v/>
      </c>
      <c r="K13" s="56">
        <f>IF($N13="","",IF(N($J13)&gt;=1,"Completado",IF(AND(ISNUMBER($D13),$D13&lt;FechaRef),"Vencida",IF(N($J13)&gt;0,"En curso","Pendiente"))))</f>
        <v/>
      </c>
      <c r="L13" s="56">
        <f>IF($N13="","",INDEX('Cronograma R. Operacional'!$O$5:$O$1000,$N13)&amp;"")</f>
        <v/>
      </c>
      <c r="M13" s="62">
        <f>IF($N13="","",INDEX('Cronograma R. Operacional'!$Q$5:$Q$1000,$N13)&amp;"")</f>
        <v/>
      </c>
      <c r="N13">
        <f>IFERROR(MATCH(ROW()-4,rOrden_RO,0),"")</f>
        <v/>
      </c>
      <c r="O13">
        <f>IF($N13="","",INDEX('Cronograma R. Operacional'!$V$5:$V$1000,$N13))</f>
        <v/>
      </c>
      <c r="P13">
        <f>IF($N13="","",N(INDEX('Cronograma R. Operacional'!$W$5:$W$1000,$N13)))</f>
        <v/>
      </c>
      <c r="Q13">
        <f>IF(OR(LEFT($L13,7)="Vencida",LEFT($L13,5)="Vence"),SUMPRODUCT(--(LEFT($L$5:$L13,7)="Vencida"))+SUMPRODUCT(--(LEFT($L$5:$L13,5)="Vence")),"")</f>
        <v/>
      </c>
    </row>
    <row r="14">
      <c r="A14" s="56">
        <f>IF($N14="","",INDEX('Cronograma R. Operacional'!$A$5:$A$1000,$N14))</f>
        <v/>
      </c>
      <c r="B14" s="62">
        <f>IF($N14="","",IF($O14="Sub","      ↳  "&amp;INDEX('Cronograma R. Operacional'!$C$5:$C$1000,$N14),INDEX('Cronograma R. Operacional'!$C$5:$C$1000,$N14)&amp;""))</f>
        <v/>
      </c>
      <c r="C14" s="79">
        <f>IF($N14="","",IF(INDEX('Cronograma R. Operacional'!$AM$5:$AM$1000,$N14)="","",INDEX('Cronograma R. Operacional'!$AM$5:$AM$1000,$N14)))</f>
        <v/>
      </c>
      <c r="D14" s="79">
        <f>IF($N14="","",IF(INDEX('Cronograma R. Operacional'!$AN$5:$AN$1000,$N14)="","",INDEX('Cronograma R. Operacional'!$AN$5:$AN$1000,$N14)))</f>
        <v/>
      </c>
      <c r="E14" s="56">
        <f>IF($N14="","",IF(NOT(ISNUMBER($D14)),"",IF($D14&lt;InicioCiclo,"Antes del ciclo",IF($D14&gt;=InicioCiclo+28,"Después del ciclo","Semana "&amp;(INT(($D14-InicioCiclo)/7)+1)))))</f>
        <v/>
      </c>
      <c r="F14" s="61">
        <f>IF($N14="","",IF($P14&gt;0,IF(1&lt;=SemanaActual,INDEX('Cronograma R. Operacional'!$AC$5:$AC$1000,$N14),""),IF(INDEX('Cronograma R. Operacional'!$I$5:$I$1000,$N14)="","",INDEX('Cronograma R. Operacional'!$I$5:$I$1000,$N14))))</f>
        <v/>
      </c>
      <c r="G14" s="61">
        <f>IF($N14="","",IF($P14&gt;0,IF(2&lt;=SemanaActual,INDEX('Cronograma R. Operacional'!$AD$5:$AD$1000,$N14),""),IF(INDEX('Cronograma R. Operacional'!$J$5:$J$1000,$N14)="","",INDEX('Cronograma R. Operacional'!$J$5:$J$1000,$N14))))</f>
        <v/>
      </c>
      <c r="H14" s="61">
        <f>IF($N14="","",IF($P14&gt;0,IF(3&lt;=SemanaActual,INDEX('Cronograma R. Operacional'!$AE$5:$AE$1000,$N14),""),IF(INDEX('Cronograma R. Operacional'!$K$5:$K$1000,$N14)="","",INDEX('Cronograma R. Operacional'!$K$5:$K$1000,$N14))))</f>
        <v/>
      </c>
      <c r="I14" s="61">
        <f>IF($N14="","",IF($P14&gt;0,IF(4&lt;=SemanaActual,INDEX('Cronograma R. Operacional'!$AF$5:$AF$1000,$N14),""),IF(INDEX('Cronograma R. Operacional'!$L$5:$L$1000,$N14)="","",INDEX('Cronograma R. Operacional'!$L$5:$L$1000,$N14))))</f>
        <v/>
      </c>
      <c r="J14" s="61">
        <f>IF($N14="","",INDEX('Cronograma R. Operacional'!$M$5:$M$1000,$N14))</f>
        <v/>
      </c>
      <c r="K14" s="56">
        <f>IF($N14="","",IF(N($J14)&gt;=1,"Completado",IF(AND(ISNUMBER($D14),$D14&lt;FechaRef),"Vencida",IF(N($J14)&gt;0,"En curso","Pendiente"))))</f>
        <v/>
      </c>
      <c r="L14" s="56">
        <f>IF($N14="","",INDEX('Cronograma R. Operacional'!$O$5:$O$1000,$N14)&amp;"")</f>
        <v/>
      </c>
      <c r="M14" s="62">
        <f>IF($N14="","",INDEX('Cronograma R. Operacional'!$Q$5:$Q$1000,$N14)&amp;"")</f>
        <v/>
      </c>
      <c r="N14">
        <f>IFERROR(MATCH(ROW()-4,rOrden_RO,0),"")</f>
        <v/>
      </c>
      <c r="O14">
        <f>IF($N14="","",INDEX('Cronograma R. Operacional'!$V$5:$V$1000,$N14))</f>
        <v/>
      </c>
      <c r="P14">
        <f>IF($N14="","",N(INDEX('Cronograma R. Operacional'!$W$5:$W$1000,$N14)))</f>
        <v/>
      </c>
      <c r="Q14">
        <f>IF(OR(LEFT($L14,7)="Vencida",LEFT($L14,5)="Vence"),SUMPRODUCT(--(LEFT($L$5:$L14,7)="Vencida"))+SUMPRODUCT(--(LEFT($L$5:$L14,5)="Vence")),"")</f>
        <v/>
      </c>
    </row>
    <row r="15">
      <c r="A15" s="56">
        <f>IF($N15="","",INDEX('Cronograma R. Operacional'!$A$5:$A$1000,$N15))</f>
        <v/>
      </c>
      <c r="B15" s="62">
        <f>IF($N15="","",IF($O15="Sub","      ↳  "&amp;INDEX('Cronograma R. Operacional'!$C$5:$C$1000,$N15),INDEX('Cronograma R. Operacional'!$C$5:$C$1000,$N15)&amp;""))</f>
        <v/>
      </c>
      <c r="C15" s="79">
        <f>IF($N15="","",IF(INDEX('Cronograma R. Operacional'!$AM$5:$AM$1000,$N15)="","",INDEX('Cronograma R. Operacional'!$AM$5:$AM$1000,$N15)))</f>
        <v/>
      </c>
      <c r="D15" s="79">
        <f>IF($N15="","",IF(INDEX('Cronograma R. Operacional'!$AN$5:$AN$1000,$N15)="","",INDEX('Cronograma R. Operacional'!$AN$5:$AN$1000,$N15)))</f>
        <v/>
      </c>
      <c r="E15" s="56">
        <f>IF($N15="","",IF(NOT(ISNUMBER($D15)),"",IF($D15&lt;InicioCiclo,"Antes del ciclo",IF($D15&gt;=InicioCiclo+28,"Después del ciclo","Semana "&amp;(INT(($D15-InicioCiclo)/7)+1)))))</f>
        <v/>
      </c>
      <c r="F15" s="61">
        <f>IF($N15="","",IF($P15&gt;0,IF(1&lt;=SemanaActual,INDEX('Cronograma R. Operacional'!$AC$5:$AC$1000,$N15),""),IF(INDEX('Cronograma R. Operacional'!$I$5:$I$1000,$N15)="","",INDEX('Cronograma R. Operacional'!$I$5:$I$1000,$N15))))</f>
        <v/>
      </c>
      <c r="G15" s="61">
        <f>IF($N15="","",IF($P15&gt;0,IF(2&lt;=SemanaActual,INDEX('Cronograma R. Operacional'!$AD$5:$AD$1000,$N15),""),IF(INDEX('Cronograma R. Operacional'!$J$5:$J$1000,$N15)="","",INDEX('Cronograma R. Operacional'!$J$5:$J$1000,$N15))))</f>
        <v/>
      </c>
      <c r="H15" s="61">
        <f>IF($N15="","",IF($P15&gt;0,IF(3&lt;=SemanaActual,INDEX('Cronograma R. Operacional'!$AE$5:$AE$1000,$N15),""),IF(INDEX('Cronograma R. Operacional'!$K$5:$K$1000,$N15)="","",INDEX('Cronograma R. Operacional'!$K$5:$K$1000,$N15))))</f>
        <v/>
      </c>
      <c r="I15" s="61">
        <f>IF($N15="","",IF($P15&gt;0,IF(4&lt;=SemanaActual,INDEX('Cronograma R. Operacional'!$AF$5:$AF$1000,$N15),""),IF(INDEX('Cronograma R. Operacional'!$L$5:$L$1000,$N15)="","",INDEX('Cronograma R. Operacional'!$L$5:$L$1000,$N15))))</f>
        <v/>
      </c>
      <c r="J15" s="61">
        <f>IF($N15="","",INDEX('Cronograma R. Operacional'!$M$5:$M$1000,$N15))</f>
        <v/>
      </c>
      <c r="K15" s="56">
        <f>IF($N15="","",IF(N($J15)&gt;=1,"Completado",IF(AND(ISNUMBER($D15),$D15&lt;FechaRef),"Vencida",IF(N($J15)&gt;0,"En curso","Pendiente"))))</f>
        <v/>
      </c>
      <c r="L15" s="56">
        <f>IF($N15="","",INDEX('Cronograma R. Operacional'!$O$5:$O$1000,$N15)&amp;"")</f>
        <v/>
      </c>
      <c r="M15" s="62">
        <f>IF($N15="","",INDEX('Cronograma R. Operacional'!$Q$5:$Q$1000,$N15)&amp;"")</f>
        <v/>
      </c>
      <c r="N15">
        <f>IFERROR(MATCH(ROW()-4,rOrden_RO,0),"")</f>
        <v/>
      </c>
      <c r="O15">
        <f>IF($N15="","",INDEX('Cronograma R. Operacional'!$V$5:$V$1000,$N15))</f>
        <v/>
      </c>
      <c r="P15">
        <f>IF($N15="","",N(INDEX('Cronograma R. Operacional'!$W$5:$W$1000,$N15)))</f>
        <v/>
      </c>
      <c r="Q15">
        <f>IF(OR(LEFT($L15,7)="Vencida",LEFT($L15,5)="Vence"),SUMPRODUCT(--(LEFT($L$5:$L15,7)="Vencida"))+SUMPRODUCT(--(LEFT($L$5:$L15,5)="Vence")),"")</f>
        <v/>
      </c>
    </row>
    <row r="16">
      <c r="A16" s="56">
        <f>IF($N16="","",INDEX('Cronograma R. Operacional'!$A$5:$A$1000,$N16))</f>
        <v/>
      </c>
      <c r="B16" s="62">
        <f>IF($N16="","",IF($O16="Sub","      ↳  "&amp;INDEX('Cronograma R. Operacional'!$C$5:$C$1000,$N16),INDEX('Cronograma R. Operacional'!$C$5:$C$1000,$N16)&amp;""))</f>
        <v/>
      </c>
      <c r="C16" s="79">
        <f>IF($N16="","",IF(INDEX('Cronograma R. Operacional'!$AM$5:$AM$1000,$N16)="","",INDEX('Cronograma R. Operacional'!$AM$5:$AM$1000,$N16)))</f>
        <v/>
      </c>
      <c r="D16" s="79">
        <f>IF($N16="","",IF(INDEX('Cronograma R. Operacional'!$AN$5:$AN$1000,$N16)="","",INDEX('Cronograma R. Operacional'!$AN$5:$AN$1000,$N16)))</f>
        <v/>
      </c>
      <c r="E16" s="56">
        <f>IF($N16="","",IF(NOT(ISNUMBER($D16)),"",IF($D16&lt;InicioCiclo,"Antes del ciclo",IF($D16&gt;=InicioCiclo+28,"Después del ciclo","Semana "&amp;(INT(($D16-InicioCiclo)/7)+1)))))</f>
        <v/>
      </c>
      <c r="F16" s="61">
        <f>IF($N16="","",IF($P16&gt;0,IF(1&lt;=SemanaActual,INDEX('Cronograma R. Operacional'!$AC$5:$AC$1000,$N16),""),IF(INDEX('Cronograma R. Operacional'!$I$5:$I$1000,$N16)="","",INDEX('Cronograma R. Operacional'!$I$5:$I$1000,$N16))))</f>
        <v/>
      </c>
      <c r="G16" s="61">
        <f>IF($N16="","",IF($P16&gt;0,IF(2&lt;=SemanaActual,INDEX('Cronograma R. Operacional'!$AD$5:$AD$1000,$N16),""),IF(INDEX('Cronograma R. Operacional'!$J$5:$J$1000,$N16)="","",INDEX('Cronograma R. Operacional'!$J$5:$J$1000,$N16))))</f>
        <v/>
      </c>
      <c r="H16" s="61">
        <f>IF($N16="","",IF($P16&gt;0,IF(3&lt;=SemanaActual,INDEX('Cronograma R. Operacional'!$AE$5:$AE$1000,$N16),""),IF(INDEX('Cronograma R. Operacional'!$K$5:$K$1000,$N16)="","",INDEX('Cronograma R. Operacional'!$K$5:$K$1000,$N16))))</f>
        <v/>
      </c>
      <c r="I16" s="61">
        <f>IF($N16="","",IF($P16&gt;0,IF(4&lt;=SemanaActual,INDEX('Cronograma R. Operacional'!$AF$5:$AF$1000,$N16),""),IF(INDEX('Cronograma R. Operacional'!$L$5:$L$1000,$N16)="","",INDEX('Cronograma R. Operacional'!$L$5:$L$1000,$N16))))</f>
        <v/>
      </c>
      <c r="J16" s="61">
        <f>IF($N16="","",INDEX('Cronograma R. Operacional'!$M$5:$M$1000,$N16))</f>
        <v/>
      </c>
      <c r="K16" s="56">
        <f>IF($N16="","",IF(N($J16)&gt;=1,"Completado",IF(AND(ISNUMBER($D16),$D16&lt;FechaRef),"Vencida",IF(N($J16)&gt;0,"En curso","Pendiente"))))</f>
        <v/>
      </c>
      <c r="L16" s="56">
        <f>IF($N16="","",INDEX('Cronograma R. Operacional'!$O$5:$O$1000,$N16)&amp;"")</f>
        <v/>
      </c>
      <c r="M16" s="62">
        <f>IF($N16="","",INDEX('Cronograma R. Operacional'!$Q$5:$Q$1000,$N16)&amp;"")</f>
        <v/>
      </c>
      <c r="N16">
        <f>IFERROR(MATCH(ROW()-4,rOrden_RO,0),"")</f>
        <v/>
      </c>
      <c r="O16">
        <f>IF($N16="","",INDEX('Cronograma R. Operacional'!$V$5:$V$1000,$N16))</f>
        <v/>
      </c>
      <c r="P16">
        <f>IF($N16="","",N(INDEX('Cronograma R. Operacional'!$W$5:$W$1000,$N16)))</f>
        <v/>
      </c>
      <c r="Q16">
        <f>IF(OR(LEFT($L16,7)="Vencida",LEFT($L16,5)="Vence"),SUMPRODUCT(--(LEFT($L$5:$L16,7)="Vencida"))+SUMPRODUCT(--(LEFT($L$5:$L16,5)="Vence")),"")</f>
        <v/>
      </c>
    </row>
    <row r="17">
      <c r="A17" s="56">
        <f>IF($N17="","",INDEX('Cronograma R. Operacional'!$A$5:$A$1000,$N17))</f>
        <v/>
      </c>
      <c r="B17" s="62">
        <f>IF($N17="","",IF($O17="Sub","      ↳  "&amp;INDEX('Cronograma R. Operacional'!$C$5:$C$1000,$N17),INDEX('Cronograma R. Operacional'!$C$5:$C$1000,$N17)&amp;""))</f>
        <v/>
      </c>
      <c r="C17" s="79">
        <f>IF($N17="","",IF(INDEX('Cronograma R. Operacional'!$AM$5:$AM$1000,$N17)="","",INDEX('Cronograma R. Operacional'!$AM$5:$AM$1000,$N17)))</f>
        <v/>
      </c>
      <c r="D17" s="79">
        <f>IF($N17="","",IF(INDEX('Cronograma R. Operacional'!$AN$5:$AN$1000,$N17)="","",INDEX('Cronograma R. Operacional'!$AN$5:$AN$1000,$N17)))</f>
        <v/>
      </c>
      <c r="E17" s="56">
        <f>IF($N17="","",IF(NOT(ISNUMBER($D17)),"",IF($D17&lt;InicioCiclo,"Antes del ciclo",IF($D17&gt;=InicioCiclo+28,"Después del ciclo","Semana "&amp;(INT(($D17-InicioCiclo)/7)+1)))))</f>
        <v/>
      </c>
      <c r="F17" s="61">
        <f>IF($N17="","",IF($P17&gt;0,IF(1&lt;=SemanaActual,INDEX('Cronograma R. Operacional'!$AC$5:$AC$1000,$N17),""),IF(INDEX('Cronograma R. Operacional'!$I$5:$I$1000,$N17)="","",INDEX('Cronograma R. Operacional'!$I$5:$I$1000,$N17))))</f>
        <v/>
      </c>
      <c r="G17" s="61">
        <f>IF($N17="","",IF($P17&gt;0,IF(2&lt;=SemanaActual,INDEX('Cronograma R. Operacional'!$AD$5:$AD$1000,$N17),""),IF(INDEX('Cronograma R. Operacional'!$J$5:$J$1000,$N17)="","",INDEX('Cronograma R. Operacional'!$J$5:$J$1000,$N17))))</f>
        <v/>
      </c>
      <c r="H17" s="61">
        <f>IF($N17="","",IF($P17&gt;0,IF(3&lt;=SemanaActual,INDEX('Cronograma R. Operacional'!$AE$5:$AE$1000,$N17),""),IF(INDEX('Cronograma R. Operacional'!$K$5:$K$1000,$N17)="","",INDEX('Cronograma R. Operacional'!$K$5:$K$1000,$N17))))</f>
        <v/>
      </c>
      <c r="I17" s="61">
        <f>IF($N17="","",IF($P17&gt;0,IF(4&lt;=SemanaActual,INDEX('Cronograma R. Operacional'!$AF$5:$AF$1000,$N17),""),IF(INDEX('Cronograma R. Operacional'!$L$5:$L$1000,$N17)="","",INDEX('Cronograma R. Operacional'!$L$5:$L$1000,$N17))))</f>
        <v/>
      </c>
      <c r="J17" s="61">
        <f>IF($N17="","",INDEX('Cronograma R. Operacional'!$M$5:$M$1000,$N17))</f>
        <v/>
      </c>
      <c r="K17" s="56">
        <f>IF($N17="","",IF(N($J17)&gt;=1,"Completado",IF(AND(ISNUMBER($D17),$D17&lt;FechaRef),"Vencida",IF(N($J17)&gt;0,"En curso","Pendiente"))))</f>
        <v/>
      </c>
      <c r="L17" s="56">
        <f>IF($N17="","",INDEX('Cronograma R. Operacional'!$O$5:$O$1000,$N17)&amp;"")</f>
        <v/>
      </c>
      <c r="M17" s="62">
        <f>IF($N17="","",INDEX('Cronograma R. Operacional'!$Q$5:$Q$1000,$N17)&amp;"")</f>
        <v/>
      </c>
      <c r="N17">
        <f>IFERROR(MATCH(ROW()-4,rOrden_RO,0),"")</f>
        <v/>
      </c>
      <c r="O17">
        <f>IF($N17="","",INDEX('Cronograma R. Operacional'!$V$5:$V$1000,$N17))</f>
        <v/>
      </c>
      <c r="P17">
        <f>IF($N17="","",N(INDEX('Cronograma R. Operacional'!$W$5:$W$1000,$N17)))</f>
        <v/>
      </c>
      <c r="Q17">
        <f>IF(OR(LEFT($L17,7)="Vencida",LEFT($L17,5)="Vence"),SUMPRODUCT(--(LEFT($L$5:$L17,7)="Vencida"))+SUMPRODUCT(--(LEFT($L$5:$L17,5)="Vence")),"")</f>
        <v/>
      </c>
    </row>
    <row r="18">
      <c r="A18" s="56">
        <f>IF($N18="","",INDEX('Cronograma R. Operacional'!$A$5:$A$1000,$N18))</f>
        <v/>
      </c>
      <c r="B18" s="62">
        <f>IF($N18="","",IF($O18="Sub","      ↳  "&amp;INDEX('Cronograma R. Operacional'!$C$5:$C$1000,$N18),INDEX('Cronograma R. Operacional'!$C$5:$C$1000,$N18)&amp;""))</f>
        <v/>
      </c>
      <c r="C18" s="79">
        <f>IF($N18="","",IF(INDEX('Cronograma R. Operacional'!$AM$5:$AM$1000,$N18)="","",INDEX('Cronograma R. Operacional'!$AM$5:$AM$1000,$N18)))</f>
        <v/>
      </c>
      <c r="D18" s="79">
        <f>IF($N18="","",IF(INDEX('Cronograma R. Operacional'!$AN$5:$AN$1000,$N18)="","",INDEX('Cronograma R. Operacional'!$AN$5:$AN$1000,$N18)))</f>
        <v/>
      </c>
      <c r="E18" s="56">
        <f>IF($N18="","",IF(NOT(ISNUMBER($D18)),"",IF($D18&lt;InicioCiclo,"Antes del ciclo",IF($D18&gt;=InicioCiclo+28,"Después del ciclo","Semana "&amp;(INT(($D18-InicioCiclo)/7)+1)))))</f>
        <v/>
      </c>
      <c r="F18" s="61">
        <f>IF($N18="","",IF($P18&gt;0,IF(1&lt;=SemanaActual,INDEX('Cronograma R. Operacional'!$AC$5:$AC$1000,$N18),""),IF(INDEX('Cronograma R. Operacional'!$I$5:$I$1000,$N18)="","",INDEX('Cronograma R. Operacional'!$I$5:$I$1000,$N18))))</f>
        <v/>
      </c>
      <c r="G18" s="61">
        <f>IF($N18="","",IF($P18&gt;0,IF(2&lt;=SemanaActual,INDEX('Cronograma R. Operacional'!$AD$5:$AD$1000,$N18),""),IF(INDEX('Cronograma R. Operacional'!$J$5:$J$1000,$N18)="","",INDEX('Cronograma R. Operacional'!$J$5:$J$1000,$N18))))</f>
        <v/>
      </c>
      <c r="H18" s="61">
        <f>IF($N18="","",IF($P18&gt;0,IF(3&lt;=SemanaActual,INDEX('Cronograma R. Operacional'!$AE$5:$AE$1000,$N18),""),IF(INDEX('Cronograma R. Operacional'!$K$5:$K$1000,$N18)="","",INDEX('Cronograma R. Operacional'!$K$5:$K$1000,$N18))))</f>
        <v/>
      </c>
      <c r="I18" s="61">
        <f>IF($N18="","",IF($P18&gt;0,IF(4&lt;=SemanaActual,INDEX('Cronograma R. Operacional'!$AF$5:$AF$1000,$N18),""),IF(INDEX('Cronograma R. Operacional'!$L$5:$L$1000,$N18)="","",INDEX('Cronograma R. Operacional'!$L$5:$L$1000,$N18))))</f>
        <v/>
      </c>
      <c r="J18" s="61">
        <f>IF($N18="","",INDEX('Cronograma R. Operacional'!$M$5:$M$1000,$N18))</f>
        <v/>
      </c>
      <c r="K18" s="56">
        <f>IF($N18="","",IF(N($J18)&gt;=1,"Completado",IF(AND(ISNUMBER($D18),$D18&lt;FechaRef),"Vencida",IF(N($J18)&gt;0,"En curso","Pendiente"))))</f>
        <v/>
      </c>
      <c r="L18" s="56">
        <f>IF($N18="","",INDEX('Cronograma R. Operacional'!$O$5:$O$1000,$N18)&amp;"")</f>
        <v/>
      </c>
      <c r="M18" s="62">
        <f>IF($N18="","",INDEX('Cronograma R. Operacional'!$Q$5:$Q$1000,$N18)&amp;"")</f>
        <v/>
      </c>
      <c r="N18">
        <f>IFERROR(MATCH(ROW()-4,rOrden_RO,0),"")</f>
        <v/>
      </c>
      <c r="O18">
        <f>IF($N18="","",INDEX('Cronograma R. Operacional'!$V$5:$V$1000,$N18))</f>
        <v/>
      </c>
      <c r="P18">
        <f>IF($N18="","",N(INDEX('Cronograma R. Operacional'!$W$5:$W$1000,$N18)))</f>
        <v/>
      </c>
      <c r="Q18">
        <f>IF(OR(LEFT($L18,7)="Vencida",LEFT($L18,5)="Vence"),SUMPRODUCT(--(LEFT($L$5:$L18,7)="Vencida"))+SUMPRODUCT(--(LEFT($L$5:$L18,5)="Vence")),"")</f>
        <v/>
      </c>
    </row>
    <row r="19">
      <c r="A19" s="56">
        <f>IF($N19="","",INDEX('Cronograma R. Operacional'!$A$5:$A$1000,$N19))</f>
        <v/>
      </c>
      <c r="B19" s="62">
        <f>IF($N19="","",IF($O19="Sub","      ↳  "&amp;INDEX('Cronograma R. Operacional'!$C$5:$C$1000,$N19),INDEX('Cronograma R. Operacional'!$C$5:$C$1000,$N19)&amp;""))</f>
        <v/>
      </c>
      <c r="C19" s="79">
        <f>IF($N19="","",IF(INDEX('Cronograma R. Operacional'!$AM$5:$AM$1000,$N19)="","",INDEX('Cronograma R. Operacional'!$AM$5:$AM$1000,$N19)))</f>
        <v/>
      </c>
      <c r="D19" s="79">
        <f>IF($N19="","",IF(INDEX('Cronograma R. Operacional'!$AN$5:$AN$1000,$N19)="","",INDEX('Cronograma R. Operacional'!$AN$5:$AN$1000,$N19)))</f>
        <v/>
      </c>
      <c r="E19" s="56">
        <f>IF($N19="","",IF(NOT(ISNUMBER($D19)),"",IF($D19&lt;InicioCiclo,"Antes del ciclo",IF($D19&gt;=InicioCiclo+28,"Después del ciclo","Semana "&amp;(INT(($D19-InicioCiclo)/7)+1)))))</f>
        <v/>
      </c>
      <c r="F19" s="61">
        <f>IF($N19="","",IF($P19&gt;0,IF(1&lt;=SemanaActual,INDEX('Cronograma R. Operacional'!$AC$5:$AC$1000,$N19),""),IF(INDEX('Cronograma R. Operacional'!$I$5:$I$1000,$N19)="","",INDEX('Cronograma R. Operacional'!$I$5:$I$1000,$N19))))</f>
        <v/>
      </c>
      <c r="G19" s="61">
        <f>IF($N19="","",IF($P19&gt;0,IF(2&lt;=SemanaActual,INDEX('Cronograma R. Operacional'!$AD$5:$AD$1000,$N19),""),IF(INDEX('Cronograma R. Operacional'!$J$5:$J$1000,$N19)="","",INDEX('Cronograma R. Operacional'!$J$5:$J$1000,$N19))))</f>
        <v/>
      </c>
      <c r="H19" s="61">
        <f>IF($N19="","",IF($P19&gt;0,IF(3&lt;=SemanaActual,INDEX('Cronograma R. Operacional'!$AE$5:$AE$1000,$N19),""),IF(INDEX('Cronograma R. Operacional'!$K$5:$K$1000,$N19)="","",INDEX('Cronograma R. Operacional'!$K$5:$K$1000,$N19))))</f>
        <v/>
      </c>
      <c r="I19" s="61">
        <f>IF($N19="","",IF($P19&gt;0,IF(4&lt;=SemanaActual,INDEX('Cronograma R. Operacional'!$AF$5:$AF$1000,$N19),""),IF(INDEX('Cronograma R. Operacional'!$L$5:$L$1000,$N19)="","",INDEX('Cronograma R. Operacional'!$L$5:$L$1000,$N19))))</f>
        <v/>
      </c>
      <c r="J19" s="61">
        <f>IF($N19="","",INDEX('Cronograma R. Operacional'!$M$5:$M$1000,$N19))</f>
        <v/>
      </c>
      <c r="K19" s="56">
        <f>IF($N19="","",IF(N($J19)&gt;=1,"Completado",IF(AND(ISNUMBER($D19),$D19&lt;FechaRef),"Vencida",IF(N($J19)&gt;0,"En curso","Pendiente"))))</f>
        <v/>
      </c>
      <c r="L19" s="56">
        <f>IF($N19="","",INDEX('Cronograma R. Operacional'!$O$5:$O$1000,$N19)&amp;"")</f>
        <v/>
      </c>
      <c r="M19" s="62">
        <f>IF($N19="","",INDEX('Cronograma R. Operacional'!$Q$5:$Q$1000,$N19)&amp;"")</f>
        <v/>
      </c>
      <c r="N19">
        <f>IFERROR(MATCH(ROW()-4,rOrden_RO,0),"")</f>
        <v/>
      </c>
      <c r="O19">
        <f>IF($N19="","",INDEX('Cronograma R. Operacional'!$V$5:$V$1000,$N19))</f>
        <v/>
      </c>
      <c r="P19">
        <f>IF($N19="","",N(INDEX('Cronograma R. Operacional'!$W$5:$W$1000,$N19)))</f>
        <v/>
      </c>
      <c r="Q19">
        <f>IF(OR(LEFT($L19,7)="Vencida",LEFT($L19,5)="Vence"),SUMPRODUCT(--(LEFT($L$5:$L19,7)="Vencida"))+SUMPRODUCT(--(LEFT($L$5:$L19,5)="Vence")),"")</f>
        <v/>
      </c>
    </row>
    <row r="20">
      <c r="A20" s="56">
        <f>IF($N20="","",INDEX('Cronograma R. Operacional'!$A$5:$A$1000,$N20))</f>
        <v/>
      </c>
      <c r="B20" s="62">
        <f>IF($N20="","",IF($O20="Sub","      ↳  "&amp;INDEX('Cronograma R. Operacional'!$C$5:$C$1000,$N20),INDEX('Cronograma R. Operacional'!$C$5:$C$1000,$N20)&amp;""))</f>
        <v/>
      </c>
      <c r="C20" s="79">
        <f>IF($N20="","",IF(INDEX('Cronograma R. Operacional'!$AM$5:$AM$1000,$N20)="","",INDEX('Cronograma R. Operacional'!$AM$5:$AM$1000,$N20)))</f>
        <v/>
      </c>
      <c r="D20" s="79">
        <f>IF($N20="","",IF(INDEX('Cronograma R. Operacional'!$AN$5:$AN$1000,$N20)="","",INDEX('Cronograma R. Operacional'!$AN$5:$AN$1000,$N20)))</f>
        <v/>
      </c>
      <c r="E20" s="56">
        <f>IF($N20="","",IF(NOT(ISNUMBER($D20)),"",IF($D20&lt;InicioCiclo,"Antes del ciclo",IF($D20&gt;=InicioCiclo+28,"Después del ciclo","Semana "&amp;(INT(($D20-InicioCiclo)/7)+1)))))</f>
        <v/>
      </c>
      <c r="F20" s="61">
        <f>IF($N20="","",IF($P20&gt;0,IF(1&lt;=SemanaActual,INDEX('Cronograma R. Operacional'!$AC$5:$AC$1000,$N20),""),IF(INDEX('Cronograma R. Operacional'!$I$5:$I$1000,$N20)="","",INDEX('Cronograma R. Operacional'!$I$5:$I$1000,$N20))))</f>
        <v/>
      </c>
      <c r="G20" s="61">
        <f>IF($N20="","",IF($P20&gt;0,IF(2&lt;=SemanaActual,INDEX('Cronograma R. Operacional'!$AD$5:$AD$1000,$N20),""),IF(INDEX('Cronograma R. Operacional'!$J$5:$J$1000,$N20)="","",INDEX('Cronograma R. Operacional'!$J$5:$J$1000,$N20))))</f>
        <v/>
      </c>
      <c r="H20" s="61">
        <f>IF($N20="","",IF($P20&gt;0,IF(3&lt;=SemanaActual,INDEX('Cronograma R. Operacional'!$AE$5:$AE$1000,$N20),""),IF(INDEX('Cronograma R. Operacional'!$K$5:$K$1000,$N20)="","",INDEX('Cronograma R. Operacional'!$K$5:$K$1000,$N20))))</f>
        <v/>
      </c>
      <c r="I20" s="61">
        <f>IF($N20="","",IF($P20&gt;0,IF(4&lt;=SemanaActual,INDEX('Cronograma R. Operacional'!$AF$5:$AF$1000,$N20),""),IF(INDEX('Cronograma R. Operacional'!$L$5:$L$1000,$N20)="","",INDEX('Cronograma R. Operacional'!$L$5:$L$1000,$N20))))</f>
        <v/>
      </c>
      <c r="J20" s="61">
        <f>IF($N20="","",INDEX('Cronograma R. Operacional'!$M$5:$M$1000,$N20))</f>
        <v/>
      </c>
      <c r="K20" s="56">
        <f>IF($N20="","",IF(N($J20)&gt;=1,"Completado",IF(AND(ISNUMBER($D20),$D20&lt;FechaRef),"Vencida",IF(N($J20)&gt;0,"En curso","Pendiente"))))</f>
        <v/>
      </c>
      <c r="L20" s="56">
        <f>IF($N20="","",INDEX('Cronograma R. Operacional'!$O$5:$O$1000,$N20)&amp;"")</f>
        <v/>
      </c>
      <c r="M20" s="62">
        <f>IF($N20="","",INDEX('Cronograma R. Operacional'!$Q$5:$Q$1000,$N20)&amp;"")</f>
        <v/>
      </c>
      <c r="N20">
        <f>IFERROR(MATCH(ROW()-4,rOrden_RO,0),"")</f>
        <v/>
      </c>
      <c r="O20">
        <f>IF($N20="","",INDEX('Cronograma R. Operacional'!$V$5:$V$1000,$N20))</f>
        <v/>
      </c>
      <c r="P20">
        <f>IF($N20="","",N(INDEX('Cronograma R. Operacional'!$W$5:$W$1000,$N20)))</f>
        <v/>
      </c>
      <c r="Q20">
        <f>IF(OR(LEFT($L20,7)="Vencida",LEFT($L20,5)="Vence"),SUMPRODUCT(--(LEFT($L$5:$L20,7)="Vencida"))+SUMPRODUCT(--(LEFT($L$5:$L20,5)="Vence")),"")</f>
        <v/>
      </c>
    </row>
    <row r="21">
      <c r="A21" s="56">
        <f>IF($N21="","",INDEX('Cronograma R. Operacional'!$A$5:$A$1000,$N21))</f>
        <v/>
      </c>
      <c r="B21" s="62">
        <f>IF($N21="","",IF($O21="Sub","      ↳  "&amp;INDEX('Cronograma R. Operacional'!$C$5:$C$1000,$N21),INDEX('Cronograma R. Operacional'!$C$5:$C$1000,$N21)&amp;""))</f>
        <v/>
      </c>
      <c r="C21" s="79">
        <f>IF($N21="","",IF(INDEX('Cronograma R. Operacional'!$AM$5:$AM$1000,$N21)="","",INDEX('Cronograma R. Operacional'!$AM$5:$AM$1000,$N21)))</f>
        <v/>
      </c>
      <c r="D21" s="79">
        <f>IF($N21="","",IF(INDEX('Cronograma R. Operacional'!$AN$5:$AN$1000,$N21)="","",INDEX('Cronograma R. Operacional'!$AN$5:$AN$1000,$N21)))</f>
        <v/>
      </c>
      <c r="E21" s="56">
        <f>IF($N21="","",IF(NOT(ISNUMBER($D21)),"",IF($D21&lt;InicioCiclo,"Antes del ciclo",IF($D21&gt;=InicioCiclo+28,"Después del ciclo","Semana "&amp;(INT(($D21-InicioCiclo)/7)+1)))))</f>
        <v/>
      </c>
      <c r="F21" s="61">
        <f>IF($N21="","",IF($P21&gt;0,IF(1&lt;=SemanaActual,INDEX('Cronograma R. Operacional'!$AC$5:$AC$1000,$N21),""),IF(INDEX('Cronograma R. Operacional'!$I$5:$I$1000,$N21)="","",INDEX('Cronograma R. Operacional'!$I$5:$I$1000,$N21))))</f>
        <v/>
      </c>
      <c r="G21" s="61">
        <f>IF($N21="","",IF($P21&gt;0,IF(2&lt;=SemanaActual,INDEX('Cronograma R. Operacional'!$AD$5:$AD$1000,$N21),""),IF(INDEX('Cronograma R. Operacional'!$J$5:$J$1000,$N21)="","",INDEX('Cronograma R. Operacional'!$J$5:$J$1000,$N21))))</f>
        <v/>
      </c>
      <c r="H21" s="61">
        <f>IF($N21="","",IF($P21&gt;0,IF(3&lt;=SemanaActual,INDEX('Cronograma R. Operacional'!$AE$5:$AE$1000,$N21),""),IF(INDEX('Cronograma R. Operacional'!$K$5:$K$1000,$N21)="","",INDEX('Cronograma R. Operacional'!$K$5:$K$1000,$N21))))</f>
        <v/>
      </c>
      <c r="I21" s="61">
        <f>IF($N21="","",IF($P21&gt;0,IF(4&lt;=SemanaActual,INDEX('Cronograma R. Operacional'!$AF$5:$AF$1000,$N21),""),IF(INDEX('Cronograma R. Operacional'!$L$5:$L$1000,$N21)="","",INDEX('Cronograma R. Operacional'!$L$5:$L$1000,$N21))))</f>
        <v/>
      </c>
      <c r="J21" s="61">
        <f>IF($N21="","",INDEX('Cronograma R. Operacional'!$M$5:$M$1000,$N21))</f>
        <v/>
      </c>
      <c r="K21" s="56">
        <f>IF($N21="","",IF(N($J21)&gt;=1,"Completado",IF(AND(ISNUMBER($D21),$D21&lt;FechaRef),"Vencida",IF(N($J21)&gt;0,"En curso","Pendiente"))))</f>
        <v/>
      </c>
      <c r="L21" s="56">
        <f>IF($N21="","",INDEX('Cronograma R. Operacional'!$O$5:$O$1000,$N21)&amp;"")</f>
        <v/>
      </c>
      <c r="M21" s="62">
        <f>IF($N21="","",INDEX('Cronograma R. Operacional'!$Q$5:$Q$1000,$N21)&amp;"")</f>
        <v/>
      </c>
      <c r="N21">
        <f>IFERROR(MATCH(ROW()-4,rOrden_RO,0),"")</f>
        <v/>
      </c>
      <c r="O21">
        <f>IF($N21="","",INDEX('Cronograma R. Operacional'!$V$5:$V$1000,$N21))</f>
        <v/>
      </c>
      <c r="P21">
        <f>IF($N21="","",N(INDEX('Cronograma R. Operacional'!$W$5:$W$1000,$N21)))</f>
        <v/>
      </c>
      <c r="Q21">
        <f>IF(OR(LEFT($L21,7)="Vencida",LEFT($L21,5)="Vence"),SUMPRODUCT(--(LEFT($L$5:$L21,7)="Vencida"))+SUMPRODUCT(--(LEFT($L$5:$L21,5)="Vence")),"")</f>
        <v/>
      </c>
    </row>
    <row r="22">
      <c r="A22" s="56">
        <f>IF($N22="","",INDEX('Cronograma R. Operacional'!$A$5:$A$1000,$N22))</f>
        <v/>
      </c>
      <c r="B22" s="62">
        <f>IF($N22="","",IF($O22="Sub","      ↳  "&amp;INDEX('Cronograma R. Operacional'!$C$5:$C$1000,$N22),INDEX('Cronograma R. Operacional'!$C$5:$C$1000,$N22)&amp;""))</f>
        <v/>
      </c>
      <c r="C22" s="79">
        <f>IF($N22="","",IF(INDEX('Cronograma R. Operacional'!$AM$5:$AM$1000,$N22)="","",INDEX('Cronograma R. Operacional'!$AM$5:$AM$1000,$N22)))</f>
        <v/>
      </c>
      <c r="D22" s="79">
        <f>IF($N22="","",IF(INDEX('Cronograma R. Operacional'!$AN$5:$AN$1000,$N22)="","",INDEX('Cronograma R. Operacional'!$AN$5:$AN$1000,$N22)))</f>
        <v/>
      </c>
      <c r="E22" s="56">
        <f>IF($N22="","",IF(NOT(ISNUMBER($D22)),"",IF($D22&lt;InicioCiclo,"Antes del ciclo",IF($D22&gt;=InicioCiclo+28,"Después del ciclo","Semana "&amp;(INT(($D22-InicioCiclo)/7)+1)))))</f>
        <v/>
      </c>
      <c r="F22" s="61">
        <f>IF($N22="","",IF($P22&gt;0,IF(1&lt;=SemanaActual,INDEX('Cronograma R. Operacional'!$AC$5:$AC$1000,$N22),""),IF(INDEX('Cronograma R. Operacional'!$I$5:$I$1000,$N22)="","",INDEX('Cronograma R. Operacional'!$I$5:$I$1000,$N22))))</f>
        <v/>
      </c>
      <c r="G22" s="61">
        <f>IF($N22="","",IF($P22&gt;0,IF(2&lt;=SemanaActual,INDEX('Cronograma R. Operacional'!$AD$5:$AD$1000,$N22),""),IF(INDEX('Cronograma R. Operacional'!$J$5:$J$1000,$N22)="","",INDEX('Cronograma R. Operacional'!$J$5:$J$1000,$N22))))</f>
        <v/>
      </c>
      <c r="H22" s="61">
        <f>IF($N22="","",IF($P22&gt;0,IF(3&lt;=SemanaActual,INDEX('Cronograma R. Operacional'!$AE$5:$AE$1000,$N22),""),IF(INDEX('Cronograma R. Operacional'!$K$5:$K$1000,$N22)="","",INDEX('Cronograma R. Operacional'!$K$5:$K$1000,$N22))))</f>
        <v/>
      </c>
      <c r="I22" s="61">
        <f>IF($N22="","",IF($P22&gt;0,IF(4&lt;=SemanaActual,INDEX('Cronograma R. Operacional'!$AF$5:$AF$1000,$N22),""),IF(INDEX('Cronograma R. Operacional'!$L$5:$L$1000,$N22)="","",INDEX('Cronograma R. Operacional'!$L$5:$L$1000,$N22))))</f>
        <v/>
      </c>
      <c r="J22" s="61">
        <f>IF($N22="","",INDEX('Cronograma R. Operacional'!$M$5:$M$1000,$N22))</f>
        <v/>
      </c>
      <c r="K22" s="56">
        <f>IF($N22="","",IF(N($J22)&gt;=1,"Completado",IF(AND(ISNUMBER($D22),$D22&lt;FechaRef),"Vencida",IF(N($J22)&gt;0,"En curso","Pendiente"))))</f>
        <v/>
      </c>
      <c r="L22" s="56">
        <f>IF($N22="","",INDEX('Cronograma R. Operacional'!$O$5:$O$1000,$N22)&amp;"")</f>
        <v/>
      </c>
      <c r="M22" s="62">
        <f>IF($N22="","",INDEX('Cronograma R. Operacional'!$Q$5:$Q$1000,$N22)&amp;"")</f>
        <v/>
      </c>
      <c r="N22">
        <f>IFERROR(MATCH(ROW()-4,rOrden_RO,0),"")</f>
        <v/>
      </c>
      <c r="O22">
        <f>IF($N22="","",INDEX('Cronograma R. Operacional'!$V$5:$V$1000,$N22))</f>
        <v/>
      </c>
      <c r="P22">
        <f>IF($N22="","",N(INDEX('Cronograma R. Operacional'!$W$5:$W$1000,$N22)))</f>
        <v/>
      </c>
      <c r="Q22">
        <f>IF(OR(LEFT($L22,7)="Vencida",LEFT($L22,5)="Vence"),SUMPRODUCT(--(LEFT($L$5:$L22,7)="Vencida"))+SUMPRODUCT(--(LEFT($L$5:$L22,5)="Vence")),"")</f>
        <v/>
      </c>
    </row>
    <row r="23">
      <c r="A23" s="56">
        <f>IF($N23="","",INDEX('Cronograma R. Operacional'!$A$5:$A$1000,$N23))</f>
        <v/>
      </c>
      <c r="B23" s="62">
        <f>IF($N23="","",IF($O23="Sub","      ↳  "&amp;INDEX('Cronograma R. Operacional'!$C$5:$C$1000,$N23),INDEX('Cronograma R. Operacional'!$C$5:$C$1000,$N23)&amp;""))</f>
        <v/>
      </c>
      <c r="C23" s="79">
        <f>IF($N23="","",IF(INDEX('Cronograma R. Operacional'!$AM$5:$AM$1000,$N23)="","",INDEX('Cronograma R. Operacional'!$AM$5:$AM$1000,$N23)))</f>
        <v/>
      </c>
      <c r="D23" s="79">
        <f>IF($N23="","",IF(INDEX('Cronograma R. Operacional'!$AN$5:$AN$1000,$N23)="","",INDEX('Cronograma R. Operacional'!$AN$5:$AN$1000,$N23)))</f>
        <v/>
      </c>
      <c r="E23" s="56">
        <f>IF($N23="","",IF(NOT(ISNUMBER($D23)),"",IF($D23&lt;InicioCiclo,"Antes del ciclo",IF($D23&gt;=InicioCiclo+28,"Después del ciclo","Semana "&amp;(INT(($D23-InicioCiclo)/7)+1)))))</f>
        <v/>
      </c>
      <c r="F23" s="61">
        <f>IF($N23="","",IF($P23&gt;0,IF(1&lt;=SemanaActual,INDEX('Cronograma R. Operacional'!$AC$5:$AC$1000,$N23),""),IF(INDEX('Cronograma R. Operacional'!$I$5:$I$1000,$N23)="","",INDEX('Cronograma R. Operacional'!$I$5:$I$1000,$N23))))</f>
        <v/>
      </c>
      <c r="G23" s="61">
        <f>IF($N23="","",IF($P23&gt;0,IF(2&lt;=SemanaActual,INDEX('Cronograma R. Operacional'!$AD$5:$AD$1000,$N23),""),IF(INDEX('Cronograma R. Operacional'!$J$5:$J$1000,$N23)="","",INDEX('Cronograma R. Operacional'!$J$5:$J$1000,$N23))))</f>
        <v/>
      </c>
      <c r="H23" s="61">
        <f>IF($N23="","",IF($P23&gt;0,IF(3&lt;=SemanaActual,INDEX('Cronograma R. Operacional'!$AE$5:$AE$1000,$N23),""),IF(INDEX('Cronograma R. Operacional'!$K$5:$K$1000,$N23)="","",INDEX('Cronograma R. Operacional'!$K$5:$K$1000,$N23))))</f>
        <v/>
      </c>
      <c r="I23" s="61">
        <f>IF($N23="","",IF($P23&gt;0,IF(4&lt;=SemanaActual,INDEX('Cronograma R. Operacional'!$AF$5:$AF$1000,$N23),""),IF(INDEX('Cronograma R. Operacional'!$L$5:$L$1000,$N23)="","",INDEX('Cronograma R. Operacional'!$L$5:$L$1000,$N23))))</f>
        <v/>
      </c>
      <c r="J23" s="61">
        <f>IF($N23="","",INDEX('Cronograma R. Operacional'!$M$5:$M$1000,$N23))</f>
        <v/>
      </c>
      <c r="K23" s="56">
        <f>IF($N23="","",IF(N($J23)&gt;=1,"Completado",IF(AND(ISNUMBER($D23),$D23&lt;FechaRef),"Vencida",IF(N($J23)&gt;0,"En curso","Pendiente"))))</f>
        <v/>
      </c>
      <c r="L23" s="56">
        <f>IF($N23="","",INDEX('Cronograma R. Operacional'!$O$5:$O$1000,$N23)&amp;"")</f>
        <v/>
      </c>
      <c r="M23" s="62">
        <f>IF($N23="","",INDEX('Cronograma R. Operacional'!$Q$5:$Q$1000,$N23)&amp;"")</f>
        <v/>
      </c>
      <c r="N23">
        <f>IFERROR(MATCH(ROW()-4,rOrden_RO,0),"")</f>
        <v/>
      </c>
      <c r="O23">
        <f>IF($N23="","",INDEX('Cronograma R. Operacional'!$V$5:$V$1000,$N23))</f>
        <v/>
      </c>
      <c r="P23">
        <f>IF($N23="","",N(INDEX('Cronograma R. Operacional'!$W$5:$W$1000,$N23)))</f>
        <v/>
      </c>
      <c r="Q23">
        <f>IF(OR(LEFT($L23,7)="Vencida",LEFT($L23,5)="Vence"),SUMPRODUCT(--(LEFT($L$5:$L23,7)="Vencida"))+SUMPRODUCT(--(LEFT($L$5:$L23,5)="Vence")),"")</f>
        <v/>
      </c>
    </row>
    <row r="24">
      <c r="A24" s="56">
        <f>IF($N24="","",INDEX('Cronograma R. Operacional'!$A$5:$A$1000,$N24))</f>
        <v/>
      </c>
      <c r="B24" s="62">
        <f>IF($N24="","",IF($O24="Sub","      ↳  "&amp;INDEX('Cronograma R. Operacional'!$C$5:$C$1000,$N24),INDEX('Cronograma R. Operacional'!$C$5:$C$1000,$N24)&amp;""))</f>
        <v/>
      </c>
      <c r="C24" s="79">
        <f>IF($N24="","",IF(INDEX('Cronograma R. Operacional'!$AM$5:$AM$1000,$N24)="","",INDEX('Cronograma R. Operacional'!$AM$5:$AM$1000,$N24)))</f>
        <v/>
      </c>
      <c r="D24" s="79">
        <f>IF($N24="","",IF(INDEX('Cronograma R. Operacional'!$AN$5:$AN$1000,$N24)="","",INDEX('Cronograma R. Operacional'!$AN$5:$AN$1000,$N24)))</f>
        <v/>
      </c>
      <c r="E24" s="56">
        <f>IF($N24="","",IF(NOT(ISNUMBER($D24)),"",IF($D24&lt;InicioCiclo,"Antes del ciclo",IF($D24&gt;=InicioCiclo+28,"Después del ciclo","Semana "&amp;(INT(($D24-InicioCiclo)/7)+1)))))</f>
        <v/>
      </c>
      <c r="F24" s="61">
        <f>IF($N24="","",IF($P24&gt;0,IF(1&lt;=SemanaActual,INDEX('Cronograma R. Operacional'!$AC$5:$AC$1000,$N24),""),IF(INDEX('Cronograma R. Operacional'!$I$5:$I$1000,$N24)="","",INDEX('Cronograma R. Operacional'!$I$5:$I$1000,$N24))))</f>
        <v/>
      </c>
      <c r="G24" s="61">
        <f>IF($N24="","",IF($P24&gt;0,IF(2&lt;=SemanaActual,INDEX('Cronograma R. Operacional'!$AD$5:$AD$1000,$N24),""),IF(INDEX('Cronograma R. Operacional'!$J$5:$J$1000,$N24)="","",INDEX('Cronograma R. Operacional'!$J$5:$J$1000,$N24))))</f>
        <v/>
      </c>
      <c r="H24" s="61">
        <f>IF($N24="","",IF($P24&gt;0,IF(3&lt;=SemanaActual,INDEX('Cronograma R. Operacional'!$AE$5:$AE$1000,$N24),""),IF(INDEX('Cronograma R. Operacional'!$K$5:$K$1000,$N24)="","",INDEX('Cronograma R. Operacional'!$K$5:$K$1000,$N24))))</f>
        <v/>
      </c>
      <c r="I24" s="61">
        <f>IF($N24="","",IF($P24&gt;0,IF(4&lt;=SemanaActual,INDEX('Cronograma R. Operacional'!$AF$5:$AF$1000,$N24),""),IF(INDEX('Cronograma R. Operacional'!$L$5:$L$1000,$N24)="","",INDEX('Cronograma R. Operacional'!$L$5:$L$1000,$N24))))</f>
        <v/>
      </c>
      <c r="J24" s="61">
        <f>IF($N24="","",INDEX('Cronograma R. Operacional'!$M$5:$M$1000,$N24))</f>
        <v/>
      </c>
      <c r="K24" s="56">
        <f>IF($N24="","",IF(N($J24)&gt;=1,"Completado",IF(AND(ISNUMBER($D24),$D24&lt;FechaRef),"Vencida",IF(N($J24)&gt;0,"En curso","Pendiente"))))</f>
        <v/>
      </c>
      <c r="L24" s="56">
        <f>IF($N24="","",INDEX('Cronograma R. Operacional'!$O$5:$O$1000,$N24)&amp;"")</f>
        <v/>
      </c>
      <c r="M24" s="62">
        <f>IF($N24="","",INDEX('Cronograma R. Operacional'!$Q$5:$Q$1000,$N24)&amp;"")</f>
        <v/>
      </c>
      <c r="N24">
        <f>IFERROR(MATCH(ROW()-4,rOrden_RO,0),"")</f>
        <v/>
      </c>
      <c r="O24">
        <f>IF($N24="","",INDEX('Cronograma R. Operacional'!$V$5:$V$1000,$N24))</f>
        <v/>
      </c>
      <c r="P24">
        <f>IF($N24="","",N(INDEX('Cronograma R. Operacional'!$W$5:$W$1000,$N24)))</f>
        <v/>
      </c>
      <c r="Q24">
        <f>IF(OR(LEFT($L24,7)="Vencida",LEFT($L24,5)="Vence"),SUMPRODUCT(--(LEFT($L$5:$L24,7)="Vencida"))+SUMPRODUCT(--(LEFT($L$5:$L24,5)="Vence")),"")</f>
        <v/>
      </c>
    </row>
    <row r="25">
      <c r="A25" s="56">
        <f>IF($N25="","",INDEX('Cronograma R. Operacional'!$A$5:$A$1000,$N25))</f>
        <v/>
      </c>
      <c r="B25" s="62">
        <f>IF($N25="","",IF($O25="Sub","      ↳  "&amp;INDEX('Cronograma R. Operacional'!$C$5:$C$1000,$N25),INDEX('Cronograma R. Operacional'!$C$5:$C$1000,$N25)&amp;""))</f>
        <v/>
      </c>
      <c r="C25" s="79">
        <f>IF($N25="","",IF(INDEX('Cronograma R. Operacional'!$AM$5:$AM$1000,$N25)="","",INDEX('Cronograma R. Operacional'!$AM$5:$AM$1000,$N25)))</f>
        <v/>
      </c>
      <c r="D25" s="79">
        <f>IF($N25="","",IF(INDEX('Cronograma R. Operacional'!$AN$5:$AN$1000,$N25)="","",INDEX('Cronograma R. Operacional'!$AN$5:$AN$1000,$N25)))</f>
        <v/>
      </c>
      <c r="E25" s="56">
        <f>IF($N25="","",IF(NOT(ISNUMBER($D25)),"",IF($D25&lt;InicioCiclo,"Antes del ciclo",IF($D25&gt;=InicioCiclo+28,"Después del ciclo","Semana "&amp;(INT(($D25-InicioCiclo)/7)+1)))))</f>
        <v/>
      </c>
      <c r="F25" s="61">
        <f>IF($N25="","",IF($P25&gt;0,IF(1&lt;=SemanaActual,INDEX('Cronograma R. Operacional'!$AC$5:$AC$1000,$N25),""),IF(INDEX('Cronograma R. Operacional'!$I$5:$I$1000,$N25)="","",INDEX('Cronograma R. Operacional'!$I$5:$I$1000,$N25))))</f>
        <v/>
      </c>
      <c r="G25" s="61">
        <f>IF($N25="","",IF($P25&gt;0,IF(2&lt;=SemanaActual,INDEX('Cronograma R. Operacional'!$AD$5:$AD$1000,$N25),""),IF(INDEX('Cronograma R. Operacional'!$J$5:$J$1000,$N25)="","",INDEX('Cronograma R. Operacional'!$J$5:$J$1000,$N25))))</f>
        <v/>
      </c>
      <c r="H25" s="61">
        <f>IF($N25="","",IF($P25&gt;0,IF(3&lt;=SemanaActual,INDEX('Cronograma R. Operacional'!$AE$5:$AE$1000,$N25),""),IF(INDEX('Cronograma R. Operacional'!$K$5:$K$1000,$N25)="","",INDEX('Cronograma R. Operacional'!$K$5:$K$1000,$N25))))</f>
        <v/>
      </c>
      <c r="I25" s="61">
        <f>IF($N25="","",IF($P25&gt;0,IF(4&lt;=SemanaActual,INDEX('Cronograma R. Operacional'!$AF$5:$AF$1000,$N25),""),IF(INDEX('Cronograma R. Operacional'!$L$5:$L$1000,$N25)="","",INDEX('Cronograma R. Operacional'!$L$5:$L$1000,$N25))))</f>
        <v/>
      </c>
      <c r="J25" s="61">
        <f>IF($N25="","",INDEX('Cronograma R. Operacional'!$M$5:$M$1000,$N25))</f>
        <v/>
      </c>
      <c r="K25" s="56">
        <f>IF($N25="","",IF(N($J25)&gt;=1,"Completado",IF(AND(ISNUMBER($D25),$D25&lt;FechaRef),"Vencida",IF(N($J25)&gt;0,"En curso","Pendiente"))))</f>
        <v/>
      </c>
      <c r="L25" s="56">
        <f>IF($N25="","",INDEX('Cronograma R. Operacional'!$O$5:$O$1000,$N25)&amp;"")</f>
        <v/>
      </c>
      <c r="M25" s="62">
        <f>IF($N25="","",INDEX('Cronograma R. Operacional'!$Q$5:$Q$1000,$N25)&amp;"")</f>
        <v/>
      </c>
      <c r="N25">
        <f>IFERROR(MATCH(ROW()-4,rOrden_RO,0),"")</f>
        <v/>
      </c>
      <c r="O25">
        <f>IF($N25="","",INDEX('Cronograma R. Operacional'!$V$5:$V$1000,$N25))</f>
        <v/>
      </c>
      <c r="P25">
        <f>IF($N25="","",N(INDEX('Cronograma R. Operacional'!$W$5:$W$1000,$N25)))</f>
        <v/>
      </c>
      <c r="Q25">
        <f>IF(OR(LEFT($L25,7)="Vencida",LEFT($L25,5)="Vence"),SUMPRODUCT(--(LEFT($L$5:$L25,7)="Vencida"))+SUMPRODUCT(--(LEFT($L$5:$L25,5)="Vence")),"")</f>
        <v/>
      </c>
    </row>
    <row r="26">
      <c r="A26" s="56">
        <f>IF($N26="","",INDEX('Cronograma R. Operacional'!$A$5:$A$1000,$N26))</f>
        <v/>
      </c>
      <c r="B26" s="62">
        <f>IF($N26="","",IF($O26="Sub","      ↳  "&amp;INDEX('Cronograma R. Operacional'!$C$5:$C$1000,$N26),INDEX('Cronograma R. Operacional'!$C$5:$C$1000,$N26)&amp;""))</f>
        <v/>
      </c>
      <c r="C26" s="79">
        <f>IF($N26="","",IF(INDEX('Cronograma R. Operacional'!$AM$5:$AM$1000,$N26)="","",INDEX('Cronograma R. Operacional'!$AM$5:$AM$1000,$N26)))</f>
        <v/>
      </c>
      <c r="D26" s="79">
        <f>IF($N26="","",IF(INDEX('Cronograma R. Operacional'!$AN$5:$AN$1000,$N26)="","",INDEX('Cronograma R. Operacional'!$AN$5:$AN$1000,$N26)))</f>
        <v/>
      </c>
      <c r="E26" s="56">
        <f>IF($N26="","",IF(NOT(ISNUMBER($D26)),"",IF($D26&lt;InicioCiclo,"Antes del ciclo",IF($D26&gt;=InicioCiclo+28,"Después del ciclo","Semana "&amp;(INT(($D26-InicioCiclo)/7)+1)))))</f>
        <v/>
      </c>
      <c r="F26" s="61">
        <f>IF($N26="","",IF($P26&gt;0,IF(1&lt;=SemanaActual,INDEX('Cronograma R. Operacional'!$AC$5:$AC$1000,$N26),""),IF(INDEX('Cronograma R. Operacional'!$I$5:$I$1000,$N26)="","",INDEX('Cronograma R. Operacional'!$I$5:$I$1000,$N26))))</f>
        <v/>
      </c>
      <c r="G26" s="61">
        <f>IF($N26="","",IF($P26&gt;0,IF(2&lt;=SemanaActual,INDEX('Cronograma R. Operacional'!$AD$5:$AD$1000,$N26),""),IF(INDEX('Cronograma R. Operacional'!$J$5:$J$1000,$N26)="","",INDEX('Cronograma R. Operacional'!$J$5:$J$1000,$N26))))</f>
        <v/>
      </c>
      <c r="H26" s="61">
        <f>IF($N26="","",IF($P26&gt;0,IF(3&lt;=SemanaActual,INDEX('Cronograma R. Operacional'!$AE$5:$AE$1000,$N26),""),IF(INDEX('Cronograma R. Operacional'!$K$5:$K$1000,$N26)="","",INDEX('Cronograma R. Operacional'!$K$5:$K$1000,$N26))))</f>
        <v/>
      </c>
      <c r="I26" s="61">
        <f>IF($N26="","",IF($P26&gt;0,IF(4&lt;=SemanaActual,INDEX('Cronograma R. Operacional'!$AF$5:$AF$1000,$N26),""),IF(INDEX('Cronograma R. Operacional'!$L$5:$L$1000,$N26)="","",INDEX('Cronograma R. Operacional'!$L$5:$L$1000,$N26))))</f>
        <v/>
      </c>
      <c r="J26" s="61">
        <f>IF($N26="","",INDEX('Cronograma R. Operacional'!$M$5:$M$1000,$N26))</f>
        <v/>
      </c>
      <c r="K26" s="56">
        <f>IF($N26="","",IF(N($J26)&gt;=1,"Completado",IF(AND(ISNUMBER($D26),$D26&lt;FechaRef),"Vencida",IF(N($J26)&gt;0,"En curso","Pendiente"))))</f>
        <v/>
      </c>
      <c r="L26" s="56">
        <f>IF($N26="","",INDEX('Cronograma R. Operacional'!$O$5:$O$1000,$N26)&amp;"")</f>
        <v/>
      </c>
      <c r="M26" s="62">
        <f>IF($N26="","",INDEX('Cronograma R. Operacional'!$Q$5:$Q$1000,$N26)&amp;"")</f>
        <v/>
      </c>
      <c r="N26">
        <f>IFERROR(MATCH(ROW()-4,rOrden_RO,0),"")</f>
        <v/>
      </c>
      <c r="O26">
        <f>IF($N26="","",INDEX('Cronograma R. Operacional'!$V$5:$V$1000,$N26))</f>
        <v/>
      </c>
      <c r="P26">
        <f>IF($N26="","",N(INDEX('Cronograma R. Operacional'!$W$5:$W$1000,$N26)))</f>
        <v/>
      </c>
      <c r="Q26">
        <f>IF(OR(LEFT($L26,7)="Vencida",LEFT($L26,5)="Vence"),SUMPRODUCT(--(LEFT($L$5:$L26,7)="Vencida"))+SUMPRODUCT(--(LEFT($L$5:$L26,5)="Vence")),"")</f>
        <v/>
      </c>
    </row>
    <row r="27">
      <c r="A27" s="56">
        <f>IF($N27="","",INDEX('Cronograma R. Operacional'!$A$5:$A$1000,$N27))</f>
        <v/>
      </c>
      <c r="B27" s="62">
        <f>IF($N27="","",IF($O27="Sub","      ↳  "&amp;INDEX('Cronograma R. Operacional'!$C$5:$C$1000,$N27),INDEX('Cronograma R. Operacional'!$C$5:$C$1000,$N27)&amp;""))</f>
        <v/>
      </c>
      <c r="C27" s="79">
        <f>IF($N27="","",IF(INDEX('Cronograma R. Operacional'!$AM$5:$AM$1000,$N27)="","",INDEX('Cronograma R. Operacional'!$AM$5:$AM$1000,$N27)))</f>
        <v/>
      </c>
      <c r="D27" s="79">
        <f>IF($N27="","",IF(INDEX('Cronograma R. Operacional'!$AN$5:$AN$1000,$N27)="","",INDEX('Cronograma R. Operacional'!$AN$5:$AN$1000,$N27)))</f>
        <v/>
      </c>
      <c r="E27" s="56">
        <f>IF($N27="","",IF(NOT(ISNUMBER($D27)),"",IF($D27&lt;InicioCiclo,"Antes del ciclo",IF($D27&gt;=InicioCiclo+28,"Después del ciclo","Semana "&amp;(INT(($D27-InicioCiclo)/7)+1)))))</f>
        <v/>
      </c>
      <c r="F27" s="61">
        <f>IF($N27="","",IF($P27&gt;0,IF(1&lt;=SemanaActual,INDEX('Cronograma R. Operacional'!$AC$5:$AC$1000,$N27),""),IF(INDEX('Cronograma R. Operacional'!$I$5:$I$1000,$N27)="","",INDEX('Cronograma R. Operacional'!$I$5:$I$1000,$N27))))</f>
        <v/>
      </c>
      <c r="G27" s="61">
        <f>IF($N27="","",IF($P27&gt;0,IF(2&lt;=SemanaActual,INDEX('Cronograma R. Operacional'!$AD$5:$AD$1000,$N27),""),IF(INDEX('Cronograma R. Operacional'!$J$5:$J$1000,$N27)="","",INDEX('Cronograma R. Operacional'!$J$5:$J$1000,$N27))))</f>
        <v/>
      </c>
      <c r="H27" s="61">
        <f>IF($N27="","",IF($P27&gt;0,IF(3&lt;=SemanaActual,INDEX('Cronograma R. Operacional'!$AE$5:$AE$1000,$N27),""),IF(INDEX('Cronograma R. Operacional'!$K$5:$K$1000,$N27)="","",INDEX('Cronograma R. Operacional'!$K$5:$K$1000,$N27))))</f>
        <v/>
      </c>
      <c r="I27" s="61">
        <f>IF($N27="","",IF($P27&gt;0,IF(4&lt;=SemanaActual,INDEX('Cronograma R. Operacional'!$AF$5:$AF$1000,$N27),""),IF(INDEX('Cronograma R. Operacional'!$L$5:$L$1000,$N27)="","",INDEX('Cronograma R. Operacional'!$L$5:$L$1000,$N27))))</f>
        <v/>
      </c>
      <c r="J27" s="61">
        <f>IF($N27="","",INDEX('Cronograma R. Operacional'!$M$5:$M$1000,$N27))</f>
        <v/>
      </c>
      <c r="K27" s="56">
        <f>IF($N27="","",IF(N($J27)&gt;=1,"Completado",IF(AND(ISNUMBER($D27),$D27&lt;FechaRef),"Vencida",IF(N($J27)&gt;0,"En curso","Pendiente"))))</f>
        <v/>
      </c>
      <c r="L27" s="56">
        <f>IF($N27="","",INDEX('Cronograma R. Operacional'!$O$5:$O$1000,$N27)&amp;"")</f>
        <v/>
      </c>
      <c r="M27" s="62">
        <f>IF($N27="","",INDEX('Cronograma R. Operacional'!$Q$5:$Q$1000,$N27)&amp;"")</f>
        <v/>
      </c>
      <c r="N27">
        <f>IFERROR(MATCH(ROW()-4,rOrden_RO,0),"")</f>
        <v/>
      </c>
      <c r="O27">
        <f>IF($N27="","",INDEX('Cronograma R. Operacional'!$V$5:$V$1000,$N27))</f>
        <v/>
      </c>
      <c r="P27">
        <f>IF($N27="","",N(INDEX('Cronograma R. Operacional'!$W$5:$W$1000,$N27)))</f>
        <v/>
      </c>
      <c r="Q27">
        <f>IF(OR(LEFT($L27,7)="Vencida",LEFT($L27,5)="Vence"),SUMPRODUCT(--(LEFT($L$5:$L27,7)="Vencida"))+SUMPRODUCT(--(LEFT($L$5:$L27,5)="Vence")),"")</f>
        <v/>
      </c>
    </row>
    <row r="28">
      <c r="A28" s="56">
        <f>IF($N28="","",INDEX('Cronograma R. Operacional'!$A$5:$A$1000,$N28))</f>
        <v/>
      </c>
      <c r="B28" s="62">
        <f>IF($N28="","",IF($O28="Sub","      ↳  "&amp;INDEX('Cronograma R. Operacional'!$C$5:$C$1000,$N28),INDEX('Cronograma R. Operacional'!$C$5:$C$1000,$N28)&amp;""))</f>
        <v/>
      </c>
      <c r="C28" s="79">
        <f>IF($N28="","",IF(INDEX('Cronograma R. Operacional'!$AM$5:$AM$1000,$N28)="","",INDEX('Cronograma R. Operacional'!$AM$5:$AM$1000,$N28)))</f>
        <v/>
      </c>
      <c r="D28" s="79">
        <f>IF($N28="","",IF(INDEX('Cronograma R. Operacional'!$AN$5:$AN$1000,$N28)="","",INDEX('Cronograma R. Operacional'!$AN$5:$AN$1000,$N28)))</f>
        <v/>
      </c>
      <c r="E28" s="56">
        <f>IF($N28="","",IF(NOT(ISNUMBER($D28)),"",IF($D28&lt;InicioCiclo,"Antes del ciclo",IF($D28&gt;=InicioCiclo+28,"Después del ciclo","Semana "&amp;(INT(($D28-InicioCiclo)/7)+1)))))</f>
        <v/>
      </c>
      <c r="F28" s="61">
        <f>IF($N28="","",IF($P28&gt;0,IF(1&lt;=SemanaActual,INDEX('Cronograma R. Operacional'!$AC$5:$AC$1000,$N28),""),IF(INDEX('Cronograma R. Operacional'!$I$5:$I$1000,$N28)="","",INDEX('Cronograma R. Operacional'!$I$5:$I$1000,$N28))))</f>
        <v/>
      </c>
      <c r="G28" s="61">
        <f>IF($N28="","",IF($P28&gt;0,IF(2&lt;=SemanaActual,INDEX('Cronograma R. Operacional'!$AD$5:$AD$1000,$N28),""),IF(INDEX('Cronograma R. Operacional'!$J$5:$J$1000,$N28)="","",INDEX('Cronograma R. Operacional'!$J$5:$J$1000,$N28))))</f>
        <v/>
      </c>
      <c r="H28" s="61">
        <f>IF($N28="","",IF($P28&gt;0,IF(3&lt;=SemanaActual,INDEX('Cronograma R. Operacional'!$AE$5:$AE$1000,$N28),""),IF(INDEX('Cronograma R. Operacional'!$K$5:$K$1000,$N28)="","",INDEX('Cronograma R. Operacional'!$K$5:$K$1000,$N28))))</f>
        <v/>
      </c>
      <c r="I28" s="61">
        <f>IF($N28="","",IF($P28&gt;0,IF(4&lt;=SemanaActual,INDEX('Cronograma R. Operacional'!$AF$5:$AF$1000,$N28),""),IF(INDEX('Cronograma R. Operacional'!$L$5:$L$1000,$N28)="","",INDEX('Cronograma R. Operacional'!$L$5:$L$1000,$N28))))</f>
        <v/>
      </c>
      <c r="J28" s="61">
        <f>IF($N28="","",INDEX('Cronograma R. Operacional'!$M$5:$M$1000,$N28))</f>
        <v/>
      </c>
      <c r="K28" s="56">
        <f>IF($N28="","",IF(N($J28)&gt;=1,"Completado",IF(AND(ISNUMBER($D28),$D28&lt;FechaRef),"Vencida",IF(N($J28)&gt;0,"En curso","Pendiente"))))</f>
        <v/>
      </c>
      <c r="L28" s="56">
        <f>IF($N28="","",INDEX('Cronograma R. Operacional'!$O$5:$O$1000,$N28)&amp;"")</f>
        <v/>
      </c>
      <c r="M28" s="62">
        <f>IF($N28="","",INDEX('Cronograma R. Operacional'!$Q$5:$Q$1000,$N28)&amp;"")</f>
        <v/>
      </c>
      <c r="N28">
        <f>IFERROR(MATCH(ROW()-4,rOrden_RO,0),"")</f>
        <v/>
      </c>
      <c r="O28">
        <f>IF($N28="","",INDEX('Cronograma R. Operacional'!$V$5:$V$1000,$N28))</f>
        <v/>
      </c>
      <c r="P28">
        <f>IF($N28="","",N(INDEX('Cronograma R. Operacional'!$W$5:$W$1000,$N28)))</f>
        <v/>
      </c>
      <c r="Q28">
        <f>IF(OR(LEFT($L28,7)="Vencida",LEFT($L28,5)="Vence"),SUMPRODUCT(--(LEFT($L$5:$L28,7)="Vencida"))+SUMPRODUCT(--(LEFT($L$5:$L28,5)="Vence")),"")</f>
        <v/>
      </c>
    </row>
    <row r="29">
      <c r="A29" s="56">
        <f>IF($N29="","",INDEX('Cronograma R. Operacional'!$A$5:$A$1000,$N29))</f>
        <v/>
      </c>
      <c r="B29" s="62">
        <f>IF($N29="","",IF($O29="Sub","      ↳  "&amp;INDEX('Cronograma R. Operacional'!$C$5:$C$1000,$N29),INDEX('Cronograma R. Operacional'!$C$5:$C$1000,$N29)&amp;""))</f>
        <v/>
      </c>
      <c r="C29" s="79">
        <f>IF($N29="","",IF(INDEX('Cronograma R. Operacional'!$AM$5:$AM$1000,$N29)="","",INDEX('Cronograma R. Operacional'!$AM$5:$AM$1000,$N29)))</f>
        <v/>
      </c>
      <c r="D29" s="79">
        <f>IF($N29="","",IF(INDEX('Cronograma R. Operacional'!$AN$5:$AN$1000,$N29)="","",INDEX('Cronograma R. Operacional'!$AN$5:$AN$1000,$N29)))</f>
        <v/>
      </c>
      <c r="E29" s="56">
        <f>IF($N29="","",IF(NOT(ISNUMBER($D29)),"",IF($D29&lt;InicioCiclo,"Antes del ciclo",IF($D29&gt;=InicioCiclo+28,"Después del ciclo","Semana "&amp;(INT(($D29-InicioCiclo)/7)+1)))))</f>
        <v/>
      </c>
      <c r="F29" s="61">
        <f>IF($N29="","",IF($P29&gt;0,IF(1&lt;=SemanaActual,INDEX('Cronograma R. Operacional'!$AC$5:$AC$1000,$N29),""),IF(INDEX('Cronograma R. Operacional'!$I$5:$I$1000,$N29)="","",INDEX('Cronograma R. Operacional'!$I$5:$I$1000,$N29))))</f>
        <v/>
      </c>
      <c r="G29" s="61">
        <f>IF($N29="","",IF($P29&gt;0,IF(2&lt;=SemanaActual,INDEX('Cronograma R. Operacional'!$AD$5:$AD$1000,$N29),""),IF(INDEX('Cronograma R. Operacional'!$J$5:$J$1000,$N29)="","",INDEX('Cronograma R. Operacional'!$J$5:$J$1000,$N29))))</f>
        <v/>
      </c>
      <c r="H29" s="61">
        <f>IF($N29="","",IF($P29&gt;0,IF(3&lt;=SemanaActual,INDEX('Cronograma R. Operacional'!$AE$5:$AE$1000,$N29),""),IF(INDEX('Cronograma R. Operacional'!$K$5:$K$1000,$N29)="","",INDEX('Cronograma R. Operacional'!$K$5:$K$1000,$N29))))</f>
        <v/>
      </c>
      <c r="I29" s="61">
        <f>IF($N29="","",IF($P29&gt;0,IF(4&lt;=SemanaActual,INDEX('Cronograma R. Operacional'!$AF$5:$AF$1000,$N29),""),IF(INDEX('Cronograma R. Operacional'!$L$5:$L$1000,$N29)="","",INDEX('Cronograma R. Operacional'!$L$5:$L$1000,$N29))))</f>
        <v/>
      </c>
      <c r="J29" s="61">
        <f>IF($N29="","",INDEX('Cronograma R. Operacional'!$M$5:$M$1000,$N29))</f>
        <v/>
      </c>
      <c r="K29" s="56">
        <f>IF($N29="","",IF(N($J29)&gt;=1,"Completado",IF(AND(ISNUMBER($D29),$D29&lt;FechaRef),"Vencida",IF(N($J29)&gt;0,"En curso","Pendiente"))))</f>
        <v/>
      </c>
      <c r="L29" s="56">
        <f>IF($N29="","",INDEX('Cronograma R. Operacional'!$O$5:$O$1000,$N29)&amp;"")</f>
        <v/>
      </c>
      <c r="M29" s="62">
        <f>IF($N29="","",INDEX('Cronograma R. Operacional'!$Q$5:$Q$1000,$N29)&amp;"")</f>
        <v/>
      </c>
      <c r="N29">
        <f>IFERROR(MATCH(ROW()-4,rOrden_RO,0),"")</f>
        <v/>
      </c>
      <c r="O29">
        <f>IF($N29="","",INDEX('Cronograma R. Operacional'!$V$5:$V$1000,$N29))</f>
        <v/>
      </c>
      <c r="P29">
        <f>IF($N29="","",N(INDEX('Cronograma R. Operacional'!$W$5:$W$1000,$N29)))</f>
        <v/>
      </c>
      <c r="Q29">
        <f>IF(OR(LEFT($L29,7)="Vencida",LEFT($L29,5)="Vence"),SUMPRODUCT(--(LEFT($L$5:$L29,7)="Vencida"))+SUMPRODUCT(--(LEFT($L$5:$L29,5)="Vence")),"")</f>
        <v/>
      </c>
    </row>
    <row r="30">
      <c r="A30" s="56">
        <f>IF($N30="","",INDEX('Cronograma R. Operacional'!$A$5:$A$1000,$N30))</f>
        <v/>
      </c>
      <c r="B30" s="62">
        <f>IF($N30="","",IF($O30="Sub","      ↳  "&amp;INDEX('Cronograma R. Operacional'!$C$5:$C$1000,$N30),INDEX('Cronograma R. Operacional'!$C$5:$C$1000,$N30)&amp;""))</f>
        <v/>
      </c>
      <c r="C30" s="79">
        <f>IF($N30="","",IF(INDEX('Cronograma R. Operacional'!$AM$5:$AM$1000,$N30)="","",INDEX('Cronograma R. Operacional'!$AM$5:$AM$1000,$N30)))</f>
        <v/>
      </c>
      <c r="D30" s="79">
        <f>IF($N30="","",IF(INDEX('Cronograma R. Operacional'!$AN$5:$AN$1000,$N30)="","",INDEX('Cronograma R. Operacional'!$AN$5:$AN$1000,$N30)))</f>
        <v/>
      </c>
      <c r="E30" s="56">
        <f>IF($N30="","",IF(NOT(ISNUMBER($D30)),"",IF($D30&lt;InicioCiclo,"Antes del ciclo",IF($D30&gt;=InicioCiclo+28,"Después del ciclo","Semana "&amp;(INT(($D30-InicioCiclo)/7)+1)))))</f>
        <v/>
      </c>
      <c r="F30" s="61">
        <f>IF($N30="","",IF($P30&gt;0,IF(1&lt;=SemanaActual,INDEX('Cronograma R. Operacional'!$AC$5:$AC$1000,$N30),""),IF(INDEX('Cronograma R. Operacional'!$I$5:$I$1000,$N30)="","",INDEX('Cronograma R. Operacional'!$I$5:$I$1000,$N30))))</f>
        <v/>
      </c>
      <c r="G30" s="61">
        <f>IF($N30="","",IF($P30&gt;0,IF(2&lt;=SemanaActual,INDEX('Cronograma R. Operacional'!$AD$5:$AD$1000,$N30),""),IF(INDEX('Cronograma R. Operacional'!$J$5:$J$1000,$N30)="","",INDEX('Cronograma R. Operacional'!$J$5:$J$1000,$N30))))</f>
        <v/>
      </c>
      <c r="H30" s="61">
        <f>IF($N30="","",IF($P30&gt;0,IF(3&lt;=SemanaActual,INDEX('Cronograma R. Operacional'!$AE$5:$AE$1000,$N30),""),IF(INDEX('Cronograma R. Operacional'!$K$5:$K$1000,$N30)="","",INDEX('Cronograma R. Operacional'!$K$5:$K$1000,$N30))))</f>
        <v/>
      </c>
      <c r="I30" s="61">
        <f>IF($N30="","",IF($P30&gt;0,IF(4&lt;=SemanaActual,INDEX('Cronograma R. Operacional'!$AF$5:$AF$1000,$N30),""),IF(INDEX('Cronograma R. Operacional'!$L$5:$L$1000,$N30)="","",INDEX('Cronograma R. Operacional'!$L$5:$L$1000,$N30))))</f>
        <v/>
      </c>
      <c r="J30" s="61">
        <f>IF($N30="","",INDEX('Cronograma R. Operacional'!$M$5:$M$1000,$N30))</f>
        <v/>
      </c>
      <c r="K30" s="56">
        <f>IF($N30="","",IF(N($J30)&gt;=1,"Completado",IF(AND(ISNUMBER($D30),$D30&lt;FechaRef),"Vencida",IF(N($J30)&gt;0,"En curso","Pendiente"))))</f>
        <v/>
      </c>
      <c r="L30" s="56">
        <f>IF($N30="","",INDEX('Cronograma R. Operacional'!$O$5:$O$1000,$N30)&amp;"")</f>
        <v/>
      </c>
      <c r="M30" s="62">
        <f>IF($N30="","",INDEX('Cronograma R. Operacional'!$Q$5:$Q$1000,$N30)&amp;"")</f>
        <v/>
      </c>
      <c r="N30">
        <f>IFERROR(MATCH(ROW()-4,rOrden_RO,0),"")</f>
        <v/>
      </c>
      <c r="O30">
        <f>IF($N30="","",INDEX('Cronograma R. Operacional'!$V$5:$V$1000,$N30))</f>
        <v/>
      </c>
      <c r="P30">
        <f>IF($N30="","",N(INDEX('Cronograma R. Operacional'!$W$5:$W$1000,$N30)))</f>
        <v/>
      </c>
      <c r="Q30">
        <f>IF(OR(LEFT($L30,7)="Vencida",LEFT($L30,5)="Vence"),SUMPRODUCT(--(LEFT($L$5:$L30,7)="Vencida"))+SUMPRODUCT(--(LEFT($L$5:$L30,5)="Vence")),"")</f>
        <v/>
      </c>
    </row>
    <row r="31">
      <c r="A31" s="56">
        <f>IF($N31="","",INDEX('Cronograma R. Operacional'!$A$5:$A$1000,$N31))</f>
        <v/>
      </c>
      <c r="B31" s="62">
        <f>IF($N31="","",IF($O31="Sub","      ↳  "&amp;INDEX('Cronograma R. Operacional'!$C$5:$C$1000,$N31),INDEX('Cronograma R. Operacional'!$C$5:$C$1000,$N31)&amp;""))</f>
        <v/>
      </c>
      <c r="C31" s="79">
        <f>IF($N31="","",IF(INDEX('Cronograma R. Operacional'!$AM$5:$AM$1000,$N31)="","",INDEX('Cronograma R. Operacional'!$AM$5:$AM$1000,$N31)))</f>
        <v/>
      </c>
      <c r="D31" s="79">
        <f>IF($N31="","",IF(INDEX('Cronograma R. Operacional'!$AN$5:$AN$1000,$N31)="","",INDEX('Cronograma R. Operacional'!$AN$5:$AN$1000,$N31)))</f>
        <v/>
      </c>
      <c r="E31" s="56">
        <f>IF($N31="","",IF(NOT(ISNUMBER($D31)),"",IF($D31&lt;InicioCiclo,"Antes del ciclo",IF($D31&gt;=InicioCiclo+28,"Después del ciclo","Semana "&amp;(INT(($D31-InicioCiclo)/7)+1)))))</f>
        <v/>
      </c>
      <c r="F31" s="61">
        <f>IF($N31="","",IF($P31&gt;0,IF(1&lt;=SemanaActual,INDEX('Cronograma R. Operacional'!$AC$5:$AC$1000,$N31),""),IF(INDEX('Cronograma R. Operacional'!$I$5:$I$1000,$N31)="","",INDEX('Cronograma R. Operacional'!$I$5:$I$1000,$N31))))</f>
        <v/>
      </c>
      <c r="G31" s="61">
        <f>IF($N31="","",IF($P31&gt;0,IF(2&lt;=SemanaActual,INDEX('Cronograma R. Operacional'!$AD$5:$AD$1000,$N31),""),IF(INDEX('Cronograma R. Operacional'!$J$5:$J$1000,$N31)="","",INDEX('Cronograma R. Operacional'!$J$5:$J$1000,$N31))))</f>
        <v/>
      </c>
      <c r="H31" s="61">
        <f>IF($N31="","",IF($P31&gt;0,IF(3&lt;=SemanaActual,INDEX('Cronograma R. Operacional'!$AE$5:$AE$1000,$N31),""),IF(INDEX('Cronograma R. Operacional'!$K$5:$K$1000,$N31)="","",INDEX('Cronograma R. Operacional'!$K$5:$K$1000,$N31))))</f>
        <v/>
      </c>
      <c r="I31" s="61">
        <f>IF($N31="","",IF($P31&gt;0,IF(4&lt;=SemanaActual,INDEX('Cronograma R. Operacional'!$AF$5:$AF$1000,$N31),""),IF(INDEX('Cronograma R. Operacional'!$L$5:$L$1000,$N31)="","",INDEX('Cronograma R. Operacional'!$L$5:$L$1000,$N31))))</f>
        <v/>
      </c>
      <c r="J31" s="61">
        <f>IF($N31="","",INDEX('Cronograma R. Operacional'!$M$5:$M$1000,$N31))</f>
        <v/>
      </c>
      <c r="K31" s="56">
        <f>IF($N31="","",IF(N($J31)&gt;=1,"Completado",IF(AND(ISNUMBER($D31),$D31&lt;FechaRef),"Vencida",IF(N($J31)&gt;0,"En curso","Pendiente"))))</f>
        <v/>
      </c>
      <c r="L31" s="56">
        <f>IF($N31="","",INDEX('Cronograma R. Operacional'!$O$5:$O$1000,$N31)&amp;"")</f>
        <v/>
      </c>
      <c r="M31" s="62">
        <f>IF($N31="","",INDEX('Cronograma R. Operacional'!$Q$5:$Q$1000,$N31)&amp;"")</f>
        <v/>
      </c>
      <c r="N31">
        <f>IFERROR(MATCH(ROW()-4,rOrden_RO,0),"")</f>
        <v/>
      </c>
      <c r="O31">
        <f>IF($N31="","",INDEX('Cronograma R. Operacional'!$V$5:$V$1000,$N31))</f>
        <v/>
      </c>
      <c r="P31">
        <f>IF($N31="","",N(INDEX('Cronograma R. Operacional'!$W$5:$W$1000,$N31)))</f>
        <v/>
      </c>
      <c r="Q31">
        <f>IF(OR(LEFT($L31,7)="Vencida",LEFT($L31,5)="Vence"),SUMPRODUCT(--(LEFT($L$5:$L31,7)="Vencida"))+SUMPRODUCT(--(LEFT($L$5:$L31,5)="Vence")),"")</f>
        <v/>
      </c>
    </row>
    <row r="32">
      <c r="A32" s="56">
        <f>IF($N32="","",INDEX('Cronograma R. Operacional'!$A$5:$A$1000,$N32))</f>
        <v/>
      </c>
      <c r="B32" s="62">
        <f>IF($N32="","",IF($O32="Sub","      ↳  "&amp;INDEX('Cronograma R. Operacional'!$C$5:$C$1000,$N32),INDEX('Cronograma R. Operacional'!$C$5:$C$1000,$N32)&amp;""))</f>
        <v/>
      </c>
      <c r="C32" s="79">
        <f>IF($N32="","",IF(INDEX('Cronograma R. Operacional'!$AM$5:$AM$1000,$N32)="","",INDEX('Cronograma R. Operacional'!$AM$5:$AM$1000,$N32)))</f>
        <v/>
      </c>
      <c r="D32" s="79">
        <f>IF($N32="","",IF(INDEX('Cronograma R. Operacional'!$AN$5:$AN$1000,$N32)="","",INDEX('Cronograma R. Operacional'!$AN$5:$AN$1000,$N32)))</f>
        <v/>
      </c>
      <c r="E32" s="56">
        <f>IF($N32="","",IF(NOT(ISNUMBER($D32)),"",IF($D32&lt;InicioCiclo,"Antes del ciclo",IF($D32&gt;=InicioCiclo+28,"Después del ciclo","Semana "&amp;(INT(($D32-InicioCiclo)/7)+1)))))</f>
        <v/>
      </c>
      <c r="F32" s="61">
        <f>IF($N32="","",IF($P32&gt;0,IF(1&lt;=SemanaActual,INDEX('Cronograma R. Operacional'!$AC$5:$AC$1000,$N32),""),IF(INDEX('Cronograma R. Operacional'!$I$5:$I$1000,$N32)="","",INDEX('Cronograma R. Operacional'!$I$5:$I$1000,$N32))))</f>
        <v/>
      </c>
      <c r="G32" s="61">
        <f>IF($N32="","",IF($P32&gt;0,IF(2&lt;=SemanaActual,INDEX('Cronograma R. Operacional'!$AD$5:$AD$1000,$N32),""),IF(INDEX('Cronograma R. Operacional'!$J$5:$J$1000,$N32)="","",INDEX('Cronograma R. Operacional'!$J$5:$J$1000,$N32))))</f>
        <v/>
      </c>
      <c r="H32" s="61">
        <f>IF($N32="","",IF($P32&gt;0,IF(3&lt;=SemanaActual,INDEX('Cronograma R. Operacional'!$AE$5:$AE$1000,$N32),""),IF(INDEX('Cronograma R. Operacional'!$K$5:$K$1000,$N32)="","",INDEX('Cronograma R. Operacional'!$K$5:$K$1000,$N32))))</f>
        <v/>
      </c>
      <c r="I32" s="61">
        <f>IF($N32="","",IF($P32&gt;0,IF(4&lt;=SemanaActual,INDEX('Cronograma R. Operacional'!$AF$5:$AF$1000,$N32),""),IF(INDEX('Cronograma R. Operacional'!$L$5:$L$1000,$N32)="","",INDEX('Cronograma R. Operacional'!$L$5:$L$1000,$N32))))</f>
        <v/>
      </c>
      <c r="J32" s="61">
        <f>IF($N32="","",INDEX('Cronograma R. Operacional'!$M$5:$M$1000,$N32))</f>
        <v/>
      </c>
      <c r="K32" s="56">
        <f>IF($N32="","",IF(N($J32)&gt;=1,"Completado",IF(AND(ISNUMBER($D32),$D32&lt;FechaRef),"Vencida",IF(N($J32)&gt;0,"En curso","Pendiente"))))</f>
        <v/>
      </c>
      <c r="L32" s="56">
        <f>IF($N32="","",INDEX('Cronograma R. Operacional'!$O$5:$O$1000,$N32)&amp;"")</f>
        <v/>
      </c>
      <c r="M32" s="62">
        <f>IF($N32="","",INDEX('Cronograma R. Operacional'!$Q$5:$Q$1000,$N32)&amp;"")</f>
        <v/>
      </c>
      <c r="N32">
        <f>IFERROR(MATCH(ROW()-4,rOrden_RO,0),"")</f>
        <v/>
      </c>
      <c r="O32">
        <f>IF($N32="","",INDEX('Cronograma R. Operacional'!$V$5:$V$1000,$N32))</f>
        <v/>
      </c>
      <c r="P32">
        <f>IF($N32="","",N(INDEX('Cronograma R. Operacional'!$W$5:$W$1000,$N32)))</f>
        <v/>
      </c>
      <c r="Q32">
        <f>IF(OR(LEFT($L32,7)="Vencida",LEFT($L32,5)="Vence"),SUMPRODUCT(--(LEFT($L$5:$L32,7)="Vencida"))+SUMPRODUCT(--(LEFT($L$5:$L32,5)="Vence")),"")</f>
        <v/>
      </c>
    </row>
    <row r="33">
      <c r="A33" s="56">
        <f>IF($N33="","",INDEX('Cronograma R. Operacional'!$A$5:$A$1000,$N33))</f>
        <v/>
      </c>
      <c r="B33" s="62">
        <f>IF($N33="","",IF($O33="Sub","      ↳  "&amp;INDEX('Cronograma R. Operacional'!$C$5:$C$1000,$N33),INDEX('Cronograma R. Operacional'!$C$5:$C$1000,$N33)&amp;""))</f>
        <v/>
      </c>
      <c r="C33" s="79">
        <f>IF($N33="","",IF(INDEX('Cronograma R. Operacional'!$AM$5:$AM$1000,$N33)="","",INDEX('Cronograma R. Operacional'!$AM$5:$AM$1000,$N33)))</f>
        <v/>
      </c>
      <c r="D33" s="79">
        <f>IF($N33="","",IF(INDEX('Cronograma R. Operacional'!$AN$5:$AN$1000,$N33)="","",INDEX('Cronograma R. Operacional'!$AN$5:$AN$1000,$N33)))</f>
        <v/>
      </c>
      <c r="E33" s="56">
        <f>IF($N33="","",IF(NOT(ISNUMBER($D33)),"",IF($D33&lt;InicioCiclo,"Antes del ciclo",IF($D33&gt;=InicioCiclo+28,"Después del ciclo","Semana "&amp;(INT(($D33-InicioCiclo)/7)+1)))))</f>
        <v/>
      </c>
      <c r="F33" s="61">
        <f>IF($N33="","",IF($P33&gt;0,IF(1&lt;=SemanaActual,INDEX('Cronograma R. Operacional'!$AC$5:$AC$1000,$N33),""),IF(INDEX('Cronograma R. Operacional'!$I$5:$I$1000,$N33)="","",INDEX('Cronograma R. Operacional'!$I$5:$I$1000,$N33))))</f>
        <v/>
      </c>
      <c r="G33" s="61">
        <f>IF($N33="","",IF($P33&gt;0,IF(2&lt;=SemanaActual,INDEX('Cronograma R. Operacional'!$AD$5:$AD$1000,$N33),""),IF(INDEX('Cronograma R. Operacional'!$J$5:$J$1000,$N33)="","",INDEX('Cronograma R. Operacional'!$J$5:$J$1000,$N33))))</f>
        <v/>
      </c>
      <c r="H33" s="61">
        <f>IF($N33="","",IF($P33&gt;0,IF(3&lt;=SemanaActual,INDEX('Cronograma R. Operacional'!$AE$5:$AE$1000,$N33),""),IF(INDEX('Cronograma R. Operacional'!$K$5:$K$1000,$N33)="","",INDEX('Cronograma R. Operacional'!$K$5:$K$1000,$N33))))</f>
        <v/>
      </c>
      <c r="I33" s="61">
        <f>IF($N33="","",IF($P33&gt;0,IF(4&lt;=SemanaActual,INDEX('Cronograma R. Operacional'!$AF$5:$AF$1000,$N33),""),IF(INDEX('Cronograma R. Operacional'!$L$5:$L$1000,$N33)="","",INDEX('Cronograma R. Operacional'!$L$5:$L$1000,$N33))))</f>
        <v/>
      </c>
      <c r="J33" s="61">
        <f>IF($N33="","",INDEX('Cronograma R. Operacional'!$M$5:$M$1000,$N33))</f>
        <v/>
      </c>
      <c r="K33" s="56">
        <f>IF($N33="","",IF(N($J33)&gt;=1,"Completado",IF(AND(ISNUMBER($D33),$D33&lt;FechaRef),"Vencida",IF(N($J33)&gt;0,"En curso","Pendiente"))))</f>
        <v/>
      </c>
      <c r="L33" s="56">
        <f>IF($N33="","",INDEX('Cronograma R. Operacional'!$O$5:$O$1000,$N33)&amp;"")</f>
        <v/>
      </c>
      <c r="M33" s="62">
        <f>IF($N33="","",INDEX('Cronograma R. Operacional'!$Q$5:$Q$1000,$N33)&amp;"")</f>
        <v/>
      </c>
      <c r="N33">
        <f>IFERROR(MATCH(ROW()-4,rOrden_RO,0),"")</f>
        <v/>
      </c>
      <c r="O33">
        <f>IF($N33="","",INDEX('Cronograma R. Operacional'!$V$5:$V$1000,$N33))</f>
        <v/>
      </c>
      <c r="P33">
        <f>IF($N33="","",N(INDEX('Cronograma R. Operacional'!$W$5:$W$1000,$N33)))</f>
        <v/>
      </c>
      <c r="Q33">
        <f>IF(OR(LEFT($L33,7)="Vencida",LEFT($L33,5)="Vence"),SUMPRODUCT(--(LEFT($L$5:$L33,7)="Vencida"))+SUMPRODUCT(--(LEFT($L$5:$L33,5)="Vence")),"")</f>
        <v/>
      </c>
    </row>
    <row r="34">
      <c r="A34" s="56">
        <f>IF($N34="","",INDEX('Cronograma R. Operacional'!$A$5:$A$1000,$N34))</f>
        <v/>
      </c>
      <c r="B34" s="62">
        <f>IF($N34="","",IF($O34="Sub","      ↳  "&amp;INDEX('Cronograma R. Operacional'!$C$5:$C$1000,$N34),INDEX('Cronograma R. Operacional'!$C$5:$C$1000,$N34)&amp;""))</f>
        <v/>
      </c>
      <c r="C34" s="79">
        <f>IF($N34="","",IF(INDEX('Cronograma R. Operacional'!$AM$5:$AM$1000,$N34)="","",INDEX('Cronograma R. Operacional'!$AM$5:$AM$1000,$N34)))</f>
        <v/>
      </c>
      <c r="D34" s="79">
        <f>IF($N34="","",IF(INDEX('Cronograma R. Operacional'!$AN$5:$AN$1000,$N34)="","",INDEX('Cronograma R. Operacional'!$AN$5:$AN$1000,$N34)))</f>
        <v/>
      </c>
      <c r="E34" s="56">
        <f>IF($N34="","",IF(NOT(ISNUMBER($D34)),"",IF($D34&lt;InicioCiclo,"Antes del ciclo",IF($D34&gt;=InicioCiclo+28,"Después del ciclo","Semana "&amp;(INT(($D34-InicioCiclo)/7)+1)))))</f>
        <v/>
      </c>
      <c r="F34" s="61">
        <f>IF($N34="","",IF($P34&gt;0,IF(1&lt;=SemanaActual,INDEX('Cronograma R. Operacional'!$AC$5:$AC$1000,$N34),""),IF(INDEX('Cronograma R. Operacional'!$I$5:$I$1000,$N34)="","",INDEX('Cronograma R. Operacional'!$I$5:$I$1000,$N34))))</f>
        <v/>
      </c>
      <c r="G34" s="61">
        <f>IF($N34="","",IF($P34&gt;0,IF(2&lt;=SemanaActual,INDEX('Cronograma R. Operacional'!$AD$5:$AD$1000,$N34),""),IF(INDEX('Cronograma R. Operacional'!$J$5:$J$1000,$N34)="","",INDEX('Cronograma R. Operacional'!$J$5:$J$1000,$N34))))</f>
        <v/>
      </c>
      <c r="H34" s="61">
        <f>IF($N34="","",IF($P34&gt;0,IF(3&lt;=SemanaActual,INDEX('Cronograma R. Operacional'!$AE$5:$AE$1000,$N34),""),IF(INDEX('Cronograma R. Operacional'!$K$5:$K$1000,$N34)="","",INDEX('Cronograma R. Operacional'!$K$5:$K$1000,$N34))))</f>
        <v/>
      </c>
      <c r="I34" s="61">
        <f>IF($N34="","",IF($P34&gt;0,IF(4&lt;=SemanaActual,INDEX('Cronograma R. Operacional'!$AF$5:$AF$1000,$N34),""),IF(INDEX('Cronograma R. Operacional'!$L$5:$L$1000,$N34)="","",INDEX('Cronograma R. Operacional'!$L$5:$L$1000,$N34))))</f>
        <v/>
      </c>
      <c r="J34" s="61">
        <f>IF($N34="","",INDEX('Cronograma R. Operacional'!$M$5:$M$1000,$N34))</f>
        <v/>
      </c>
      <c r="K34" s="56">
        <f>IF($N34="","",IF(N($J34)&gt;=1,"Completado",IF(AND(ISNUMBER($D34),$D34&lt;FechaRef),"Vencida",IF(N($J34)&gt;0,"En curso","Pendiente"))))</f>
        <v/>
      </c>
      <c r="L34" s="56">
        <f>IF($N34="","",INDEX('Cronograma R. Operacional'!$O$5:$O$1000,$N34)&amp;"")</f>
        <v/>
      </c>
      <c r="M34" s="62">
        <f>IF($N34="","",INDEX('Cronograma R. Operacional'!$Q$5:$Q$1000,$N34)&amp;"")</f>
        <v/>
      </c>
      <c r="N34">
        <f>IFERROR(MATCH(ROW()-4,rOrden_RO,0),"")</f>
        <v/>
      </c>
      <c r="O34">
        <f>IF($N34="","",INDEX('Cronograma R. Operacional'!$V$5:$V$1000,$N34))</f>
        <v/>
      </c>
      <c r="P34">
        <f>IF($N34="","",N(INDEX('Cronograma R. Operacional'!$W$5:$W$1000,$N34)))</f>
        <v/>
      </c>
      <c r="Q34">
        <f>IF(OR(LEFT($L34,7)="Vencida",LEFT($L34,5)="Vence"),SUMPRODUCT(--(LEFT($L$5:$L34,7)="Vencida"))+SUMPRODUCT(--(LEFT($L$5:$L34,5)="Vence")),"")</f>
        <v/>
      </c>
    </row>
    <row r="35">
      <c r="A35" s="56">
        <f>IF($N35="","",INDEX('Cronograma R. Operacional'!$A$5:$A$1000,$N35))</f>
        <v/>
      </c>
      <c r="B35" s="62">
        <f>IF($N35="","",IF($O35="Sub","      ↳  "&amp;INDEX('Cronograma R. Operacional'!$C$5:$C$1000,$N35),INDEX('Cronograma R. Operacional'!$C$5:$C$1000,$N35)&amp;""))</f>
        <v/>
      </c>
      <c r="C35" s="79">
        <f>IF($N35="","",IF(INDEX('Cronograma R. Operacional'!$AM$5:$AM$1000,$N35)="","",INDEX('Cronograma R. Operacional'!$AM$5:$AM$1000,$N35)))</f>
        <v/>
      </c>
      <c r="D35" s="79">
        <f>IF($N35="","",IF(INDEX('Cronograma R. Operacional'!$AN$5:$AN$1000,$N35)="","",INDEX('Cronograma R. Operacional'!$AN$5:$AN$1000,$N35)))</f>
        <v/>
      </c>
      <c r="E35" s="56">
        <f>IF($N35="","",IF(NOT(ISNUMBER($D35)),"",IF($D35&lt;InicioCiclo,"Antes del ciclo",IF($D35&gt;=InicioCiclo+28,"Después del ciclo","Semana "&amp;(INT(($D35-InicioCiclo)/7)+1)))))</f>
        <v/>
      </c>
      <c r="F35" s="61">
        <f>IF($N35="","",IF($P35&gt;0,IF(1&lt;=SemanaActual,INDEX('Cronograma R. Operacional'!$AC$5:$AC$1000,$N35),""),IF(INDEX('Cronograma R. Operacional'!$I$5:$I$1000,$N35)="","",INDEX('Cronograma R. Operacional'!$I$5:$I$1000,$N35))))</f>
        <v/>
      </c>
      <c r="G35" s="61">
        <f>IF($N35="","",IF($P35&gt;0,IF(2&lt;=SemanaActual,INDEX('Cronograma R. Operacional'!$AD$5:$AD$1000,$N35),""),IF(INDEX('Cronograma R. Operacional'!$J$5:$J$1000,$N35)="","",INDEX('Cronograma R. Operacional'!$J$5:$J$1000,$N35))))</f>
        <v/>
      </c>
      <c r="H35" s="61">
        <f>IF($N35="","",IF($P35&gt;0,IF(3&lt;=SemanaActual,INDEX('Cronograma R. Operacional'!$AE$5:$AE$1000,$N35),""),IF(INDEX('Cronograma R. Operacional'!$K$5:$K$1000,$N35)="","",INDEX('Cronograma R. Operacional'!$K$5:$K$1000,$N35))))</f>
        <v/>
      </c>
      <c r="I35" s="61">
        <f>IF($N35="","",IF($P35&gt;0,IF(4&lt;=SemanaActual,INDEX('Cronograma R. Operacional'!$AF$5:$AF$1000,$N35),""),IF(INDEX('Cronograma R. Operacional'!$L$5:$L$1000,$N35)="","",INDEX('Cronograma R. Operacional'!$L$5:$L$1000,$N35))))</f>
        <v/>
      </c>
      <c r="J35" s="61">
        <f>IF($N35="","",INDEX('Cronograma R. Operacional'!$M$5:$M$1000,$N35))</f>
        <v/>
      </c>
      <c r="K35" s="56">
        <f>IF($N35="","",IF(N($J35)&gt;=1,"Completado",IF(AND(ISNUMBER($D35),$D35&lt;FechaRef),"Vencida",IF(N($J35)&gt;0,"En curso","Pendiente"))))</f>
        <v/>
      </c>
      <c r="L35" s="56">
        <f>IF($N35="","",INDEX('Cronograma R. Operacional'!$O$5:$O$1000,$N35)&amp;"")</f>
        <v/>
      </c>
      <c r="M35" s="62">
        <f>IF($N35="","",INDEX('Cronograma R. Operacional'!$Q$5:$Q$1000,$N35)&amp;"")</f>
        <v/>
      </c>
      <c r="N35">
        <f>IFERROR(MATCH(ROW()-4,rOrden_RO,0),"")</f>
        <v/>
      </c>
      <c r="O35">
        <f>IF($N35="","",INDEX('Cronograma R. Operacional'!$V$5:$V$1000,$N35))</f>
        <v/>
      </c>
      <c r="P35">
        <f>IF($N35="","",N(INDEX('Cronograma R. Operacional'!$W$5:$W$1000,$N35)))</f>
        <v/>
      </c>
      <c r="Q35">
        <f>IF(OR(LEFT($L35,7)="Vencida",LEFT($L35,5)="Vence"),SUMPRODUCT(--(LEFT($L$5:$L35,7)="Vencida"))+SUMPRODUCT(--(LEFT($L$5:$L35,5)="Vence")),"")</f>
        <v/>
      </c>
    </row>
    <row r="36">
      <c r="A36" s="56">
        <f>IF($N36="","",INDEX('Cronograma R. Operacional'!$A$5:$A$1000,$N36))</f>
        <v/>
      </c>
      <c r="B36" s="62">
        <f>IF($N36="","",IF($O36="Sub","      ↳  "&amp;INDEX('Cronograma R. Operacional'!$C$5:$C$1000,$N36),INDEX('Cronograma R. Operacional'!$C$5:$C$1000,$N36)&amp;""))</f>
        <v/>
      </c>
      <c r="C36" s="79">
        <f>IF($N36="","",IF(INDEX('Cronograma R. Operacional'!$AM$5:$AM$1000,$N36)="","",INDEX('Cronograma R. Operacional'!$AM$5:$AM$1000,$N36)))</f>
        <v/>
      </c>
      <c r="D36" s="79">
        <f>IF($N36="","",IF(INDEX('Cronograma R. Operacional'!$AN$5:$AN$1000,$N36)="","",INDEX('Cronograma R. Operacional'!$AN$5:$AN$1000,$N36)))</f>
        <v/>
      </c>
      <c r="E36" s="56">
        <f>IF($N36="","",IF(NOT(ISNUMBER($D36)),"",IF($D36&lt;InicioCiclo,"Antes del ciclo",IF($D36&gt;=InicioCiclo+28,"Después del ciclo","Semana "&amp;(INT(($D36-InicioCiclo)/7)+1)))))</f>
        <v/>
      </c>
      <c r="F36" s="61">
        <f>IF($N36="","",IF($P36&gt;0,IF(1&lt;=SemanaActual,INDEX('Cronograma R. Operacional'!$AC$5:$AC$1000,$N36),""),IF(INDEX('Cronograma R. Operacional'!$I$5:$I$1000,$N36)="","",INDEX('Cronograma R. Operacional'!$I$5:$I$1000,$N36))))</f>
        <v/>
      </c>
      <c r="G36" s="61">
        <f>IF($N36="","",IF($P36&gt;0,IF(2&lt;=SemanaActual,INDEX('Cronograma R. Operacional'!$AD$5:$AD$1000,$N36),""),IF(INDEX('Cronograma R. Operacional'!$J$5:$J$1000,$N36)="","",INDEX('Cronograma R. Operacional'!$J$5:$J$1000,$N36))))</f>
        <v/>
      </c>
      <c r="H36" s="61">
        <f>IF($N36="","",IF($P36&gt;0,IF(3&lt;=SemanaActual,INDEX('Cronograma R. Operacional'!$AE$5:$AE$1000,$N36),""),IF(INDEX('Cronograma R. Operacional'!$K$5:$K$1000,$N36)="","",INDEX('Cronograma R. Operacional'!$K$5:$K$1000,$N36))))</f>
        <v/>
      </c>
      <c r="I36" s="61">
        <f>IF($N36="","",IF($P36&gt;0,IF(4&lt;=SemanaActual,INDEX('Cronograma R. Operacional'!$AF$5:$AF$1000,$N36),""),IF(INDEX('Cronograma R. Operacional'!$L$5:$L$1000,$N36)="","",INDEX('Cronograma R. Operacional'!$L$5:$L$1000,$N36))))</f>
        <v/>
      </c>
      <c r="J36" s="61">
        <f>IF($N36="","",INDEX('Cronograma R. Operacional'!$M$5:$M$1000,$N36))</f>
        <v/>
      </c>
      <c r="K36" s="56">
        <f>IF($N36="","",IF(N($J36)&gt;=1,"Completado",IF(AND(ISNUMBER($D36),$D36&lt;FechaRef),"Vencida",IF(N($J36)&gt;0,"En curso","Pendiente"))))</f>
        <v/>
      </c>
      <c r="L36" s="56">
        <f>IF($N36="","",INDEX('Cronograma R. Operacional'!$O$5:$O$1000,$N36)&amp;"")</f>
        <v/>
      </c>
      <c r="M36" s="62">
        <f>IF($N36="","",INDEX('Cronograma R. Operacional'!$Q$5:$Q$1000,$N36)&amp;"")</f>
        <v/>
      </c>
      <c r="N36">
        <f>IFERROR(MATCH(ROW()-4,rOrden_RO,0),"")</f>
        <v/>
      </c>
      <c r="O36">
        <f>IF($N36="","",INDEX('Cronograma R. Operacional'!$V$5:$V$1000,$N36))</f>
        <v/>
      </c>
      <c r="P36">
        <f>IF($N36="","",N(INDEX('Cronograma R. Operacional'!$W$5:$W$1000,$N36)))</f>
        <v/>
      </c>
      <c r="Q36">
        <f>IF(OR(LEFT($L36,7)="Vencida",LEFT($L36,5)="Vence"),SUMPRODUCT(--(LEFT($L$5:$L36,7)="Vencida"))+SUMPRODUCT(--(LEFT($L$5:$L36,5)="Vence")),"")</f>
        <v/>
      </c>
    </row>
    <row r="37">
      <c r="A37" s="56">
        <f>IF($N37="","",INDEX('Cronograma R. Operacional'!$A$5:$A$1000,$N37))</f>
        <v/>
      </c>
      <c r="B37" s="62">
        <f>IF($N37="","",IF($O37="Sub","      ↳  "&amp;INDEX('Cronograma R. Operacional'!$C$5:$C$1000,$N37),INDEX('Cronograma R. Operacional'!$C$5:$C$1000,$N37)&amp;""))</f>
        <v/>
      </c>
      <c r="C37" s="79">
        <f>IF($N37="","",IF(INDEX('Cronograma R. Operacional'!$AM$5:$AM$1000,$N37)="","",INDEX('Cronograma R. Operacional'!$AM$5:$AM$1000,$N37)))</f>
        <v/>
      </c>
      <c r="D37" s="79">
        <f>IF($N37="","",IF(INDEX('Cronograma R. Operacional'!$AN$5:$AN$1000,$N37)="","",INDEX('Cronograma R. Operacional'!$AN$5:$AN$1000,$N37)))</f>
        <v/>
      </c>
      <c r="E37" s="56">
        <f>IF($N37="","",IF(NOT(ISNUMBER($D37)),"",IF($D37&lt;InicioCiclo,"Antes del ciclo",IF($D37&gt;=InicioCiclo+28,"Después del ciclo","Semana "&amp;(INT(($D37-InicioCiclo)/7)+1)))))</f>
        <v/>
      </c>
      <c r="F37" s="61">
        <f>IF($N37="","",IF($P37&gt;0,IF(1&lt;=SemanaActual,INDEX('Cronograma R. Operacional'!$AC$5:$AC$1000,$N37),""),IF(INDEX('Cronograma R. Operacional'!$I$5:$I$1000,$N37)="","",INDEX('Cronograma R. Operacional'!$I$5:$I$1000,$N37))))</f>
        <v/>
      </c>
      <c r="G37" s="61">
        <f>IF($N37="","",IF($P37&gt;0,IF(2&lt;=SemanaActual,INDEX('Cronograma R. Operacional'!$AD$5:$AD$1000,$N37),""),IF(INDEX('Cronograma R. Operacional'!$J$5:$J$1000,$N37)="","",INDEX('Cronograma R. Operacional'!$J$5:$J$1000,$N37))))</f>
        <v/>
      </c>
      <c r="H37" s="61">
        <f>IF($N37="","",IF($P37&gt;0,IF(3&lt;=SemanaActual,INDEX('Cronograma R. Operacional'!$AE$5:$AE$1000,$N37),""),IF(INDEX('Cronograma R. Operacional'!$K$5:$K$1000,$N37)="","",INDEX('Cronograma R. Operacional'!$K$5:$K$1000,$N37))))</f>
        <v/>
      </c>
      <c r="I37" s="61">
        <f>IF($N37="","",IF($P37&gt;0,IF(4&lt;=SemanaActual,INDEX('Cronograma R. Operacional'!$AF$5:$AF$1000,$N37),""),IF(INDEX('Cronograma R. Operacional'!$L$5:$L$1000,$N37)="","",INDEX('Cronograma R. Operacional'!$L$5:$L$1000,$N37))))</f>
        <v/>
      </c>
      <c r="J37" s="61">
        <f>IF($N37="","",INDEX('Cronograma R. Operacional'!$M$5:$M$1000,$N37))</f>
        <v/>
      </c>
      <c r="K37" s="56">
        <f>IF($N37="","",IF(N($J37)&gt;=1,"Completado",IF(AND(ISNUMBER($D37),$D37&lt;FechaRef),"Vencida",IF(N($J37)&gt;0,"En curso","Pendiente"))))</f>
        <v/>
      </c>
      <c r="L37" s="56">
        <f>IF($N37="","",INDEX('Cronograma R. Operacional'!$O$5:$O$1000,$N37)&amp;"")</f>
        <v/>
      </c>
      <c r="M37" s="62">
        <f>IF($N37="","",INDEX('Cronograma R. Operacional'!$Q$5:$Q$1000,$N37)&amp;"")</f>
        <v/>
      </c>
      <c r="N37">
        <f>IFERROR(MATCH(ROW()-4,rOrden_RO,0),"")</f>
        <v/>
      </c>
      <c r="O37">
        <f>IF($N37="","",INDEX('Cronograma R. Operacional'!$V$5:$V$1000,$N37))</f>
        <v/>
      </c>
      <c r="P37">
        <f>IF($N37="","",N(INDEX('Cronograma R. Operacional'!$W$5:$W$1000,$N37)))</f>
        <v/>
      </c>
      <c r="Q37">
        <f>IF(OR(LEFT($L37,7)="Vencida",LEFT($L37,5)="Vence"),SUMPRODUCT(--(LEFT($L$5:$L37,7)="Vencida"))+SUMPRODUCT(--(LEFT($L$5:$L37,5)="Vence")),"")</f>
        <v/>
      </c>
    </row>
    <row r="38">
      <c r="A38" s="56">
        <f>IF($N38="","",INDEX('Cronograma R. Operacional'!$A$5:$A$1000,$N38))</f>
        <v/>
      </c>
      <c r="B38" s="62">
        <f>IF($N38="","",IF($O38="Sub","      ↳  "&amp;INDEX('Cronograma R. Operacional'!$C$5:$C$1000,$N38),INDEX('Cronograma R. Operacional'!$C$5:$C$1000,$N38)&amp;""))</f>
        <v/>
      </c>
      <c r="C38" s="79">
        <f>IF($N38="","",IF(INDEX('Cronograma R. Operacional'!$AM$5:$AM$1000,$N38)="","",INDEX('Cronograma R. Operacional'!$AM$5:$AM$1000,$N38)))</f>
        <v/>
      </c>
      <c r="D38" s="79">
        <f>IF($N38="","",IF(INDEX('Cronograma R. Operacional'!$AN$5:$AN$1000,$N38)="","",INDEX('Cronograma R. Operacional'!$AN$5:$AN$1000,$N38)))</f>
        <v/>
      </c>
      <c r="E38" s="56">
        <f>IF($N38="","",IF(NOT(ISNUMBER($D38)),"",IF($D38&lt;InicioCiclo,"Antes del ciclo",IF($D38&gt;=InicioCiclo+28,"Después del ciclo","Semana "&amp;(INT(($D38-InicioCiclo)/7)+1)))))</f>
        <v/>
      </c>
      <c r="F38" s="61">
        <f>IF($N38="","",IF($P38&gt;0,IF(1&lt;=SemanaActual,INDEX('Cronograma R. Operacional'!$AC$5:$AC$1000,$N38),""),IF(INDEX('Cronograma R. Operacional'!$I$5:$I$1000,$N38)="","",INDEX('Cronograma R. Operacional'!$I$5:$I$1000,$N38))))</f>
        <v/>
      </c>
      <c r="G38" s="61">
        <f>IF($N38="","",IF($P38&gt;0,IF(2&lt;=SemanaActual,INDEX('Cronograma R. Operacional'!$AD$5:$AD$1000,$N38),""),IF(INDEX('Cronograma R. Operacional'!$J$5:$J$1000,$N38)="","",INDEX('Cronograma R. Operacional'!$J$5:$J$1000,$N38))))</f>
        <v/>
      </c>
      <c r="H38" s="61">
        <f>IF($N38="","",IF($P38&gt;0,IF(3&lt;=SemanaActual,INDEX('Cronograma R. Operacional'!$AE$5:$AE$1000,$N38),""),IF(INDEX('Cronograma R. Operacional'!$K$5:$K$1000,$N38)="","",INDEX('Cronograma R. Operacional'!$K$5:$K$1000,$N38))))</f>
        <v/>
      </c>
      <c r="I38" s="61">
        <f>IF($N38="","",IF($P38&gt;0,IF(4&lt;=SemanaActual,INDEX('Cronograma R. Operacional'!$AF$5:$AF$1000,$N38),""),IF(INDEX('Cronograma R. Operacional'!$L$5:$L$1000,$N38)="","",INDEX('Cronograma R. Operacional'!$L$5:$L$1000,$N38))))</f>
        <v/>
      </c>
      <c r="J38" s="61">
        <f>IF($N38="","",INDEX('Cronograma R. Operacional'!$M$5:$M$1000,$N38))</f>
        <v/>
      </c>
      <c r="K38" s="56">
        <f>IF($N38="","",IF(N($J38)&gt;=1,"Completado",IF(AND(ISNUMBER($D38),$D38&lt;FechaRef),"Vencida",IF(N($J38)&gt;0,"En curso","Pendiente"))))</f>
        <v/>
      </c>
      <c r="L38" s="56">
        <f>IF($N38="","",INDEX('Cronograma R. Operacional'!$O$5:$O$1000,$N38)&amp;"")</f>
        <v/>
      </c>
      <c r="M38" s="62">
        <f>IF($N38="","",INDEX('Cronograma R. Operacional'!$Q$5:$Q$1000,$N38)&amp;"")</f>
        <v/>
      </c>
      <c r="N38">
        <f>IFERROR(MATCH(ROW()-4,rOrden_RO,0),"")</f>
        <v/>
      </c>
      <c r="O38">
        <f>IF($N38="","",INDEX('Cronograma R. Operacional'!$V$5:$V$1000,$N38))</f>
        <v/>
      </c>
      <c r="P38">
        <f>IF($N38="","",N(INDEX('Cronograma R. Operacional'!$W$5:$W$1000,$N38)))</f>
        <v/>
      </c>
      <c r="Q38">
        <f>IF(OR(LEFT($L38,7)="Vencida",LEFT($L38,5)="Vence"),SUMPRODUCT(--(LEFT($L$5:$L38,7)="Vencida"))+SUMPRODUCT(--(LEFT($L$5:$L38,5)="Vence")),"")</f>
        <v/>
      </c>
    </row>
    <row r="39">
      <c r="A39" s="56">
        <f>IF($N39="","",INDEX('Cronograma R. Operacional'!$A$5:$A$1000,$N39))</f>
        <v/>
      </c>
      <c r="B39" s="62">
        <f>IF($N39="","",IF($O39="Sub","      ↳  "&amp;INDEX('Cronograma R. Operacional'!$C$5:$C$1000,$N39),INDEX('Cronograma R. Operacional'!$C$5:$C$1000,$N39)&amp;""))</f>
        <v/>
      </c>
      <c r="C39" s="79">
        <f>IF($N39="","",IF(INDEX('Cronograma R. Operacional'!$AM$5:$AM$1000,$N39)="","",INDEX('Cronograma R. Operacional'!$AM$5:$AM$1000,$N39)))</f>
        <v/>
      </c>
      <c r="D39" s="79">
        <f>IF($N39="","",IF(INDEX('Cronograma R. Operacional'!$AN$5:$AN$1000,$N39)="","",INDEX('Cronograma R. Operacional'!$AN$5:$AN$1000,$N39)))</f>
        <v/>
      </c>
      <c r="E39" s="56">
        <f>IF($N39="","",IF(NOT(ISNUMBER($D39)),"",IF($D39&lt;InicioCiclo,"Antes del ciclo",IF($D39&gt;=InicioCiclo+28,"Después del ciclo","Semana "&amp;(INT(($D39-InicioCiclo)/7)+1)))))</f>
        <v/>
      </c>
      <c r="F39" s="61">
        <f>IF($N39="","",IF($P39&gt;0,IF(1&lt;=SemanaActual,INDEX('Cronograma R. Operacional'!$AC$5:$AC$1000,$N39),""),IF(INDEX('Cronograma R. Operacional'!$I$5:$I$1000,$N39)="","",INDEX('Cronograma R. Operacional'!$I$5:$I$1000,$N39))))</f>
        <v/>
      </c>
      <c r="G39" s="61">
        <f>IF($N39="","",IF($P39&gt;0,IF(2&lt;=SemanaActual,INDEX('Cronograma R. Operacional'!$AD$5:$AD$1000,$N39),""),IF(INDEX('Cronograma R. Operacional'!$J$5:$J$1000,$N39)="","",INDEX('Cronograma R. Operacional'!$J$5:$J$1000,$N39))))</f>
        <v/>
      </c>
      <c r="H39" s="61">
        <f>IF($N39="","",IF($P39&gt;0,IF(3&lt;=SemanaActual,INDEX('Cronograma R. Operacional'!$AE$5:$AE$1000,$N39),""),IF(INDEX('Cronograma R. Operacional'!$K$5:$K$1000,$N39)="","",INDEX('Cronograma R. Operacional'!$K$5:$K$1000,$N39))))</f>
        <v/>
      </c>
      <c r="I39" s="61">
        <f>IF($N39="","",IF($P39&gt;0,IF(4&lt;=SemanaActual,INDEX('Cronograma R. Operacional'!$AF$5:$AF$1000,$N39),""),IF(INDEX('Cronograma R. Operacional'!$L$5:$L$1000,$N39)="","",INDEX('Cronograma R. Operacional'!$L$5:$L$1000,$N39))))</f>
        <v/>
      </c>
      <c r="J39" s="61">
        <f>IF($N39="","",INDEX('Cronograma R. Operacional'!$M$5:$M$1000,$N39))</f>
        <v/>
      </c>
      <c r="K39" s="56">
        <f>IF($N39="","",IF(N($J39)&gt;=1,"Completado",IF(AND(ISNUMBER($D39),$D39&lt;FechaRef),"Vencida",IF(N($J39)&gt;0,"En curso","Pendiente"))))</f>
        <v/>
      </c>
      <c r="L39" s="56">
        <f>IF($N39="","",INDEX('Cronograma R. Operacional'!$O$5:$O$1000,$N39)&amp;"")</f>
        <v/>
      </c>
      <c r="M39" s="62">
        <f>IF($N39="","",INDEX('Cronograma R. Operacional'!$Q$5:$Q$1000,$N39)&amp;"")</f>
        <v/>
      </c>
      <c r="N39">
        <f>IFERROR(MATCH(ROW()-4,rOrden_RO,0),"")</f>
        <v/>
      </c>
      <c r="O39">
        <f>IF($N39="","",INDEX('Cronograma R. Operacional'!$V$5:$V$1000,$N39))</f>
        <v/>
      </c>
      <c r="P39">
        <f>IF($N39="","",N(INDEX('Cronograma R. Operacional'!$W$5:$W$1000,$N39)))</f>
        <v/>
      </c>
      <c r="Q39">
        <f>IF(OR(LEFT($L39,7)="Vencida",LEFT($L39,5)="Vence"),SUMPRODUCT(--(LEFT($L$5:$L39,7)="Vencida"))+SUMPRODUCT(--(LEFT($L$5:$L39,5)="Vence")),"")</f>
        <v/>
      </c>
    </row>
    <row r="40">
      <c r="A40" s="56">
        <f>IF($N40="","",INDEX('Cronograma R. Operacional'!$A$5:$A$1000,$N40))</f>
        <v/>
      </c>
      <c r="B40" s="62">
        <f>IF($N40="","",IF($O40="Sub","      ↳  "&amp;INDEX('Cronograma R. Operacional'!$C$5:$C$1000,$N40),INDEX('Cronograma R. Operacional'!$C$5:$C$1000,$N40)&amp;""))</f>
        <v/>
      </c>
      <c r="C40" s="79">
        <f>IF($N40="","",IF(INDEX('Cronograma R. Operacional'!$AM$5:$AM$1000,$N40)="","",INDEX('Cronograma R. Operacional'!$AM$5:$AM$1000,$N40)))</f>
        <v/>
      </c>
      <c r="D40" s="79">
        <f>IF($N40="","",IF(INDEX('Cronograma R. Operacional'!$AN$5:$AN$1000,$N40)="","",INDEX('Cronograma R. Operacional'!$AN$5:$AN$1000,$N40)))</f>
        <v/>
      </c>
      <c r="E40" s="56">
        <f>IF($N40="","",IF(NOT(ISNUMBER($D40)),"",IF($D40&lt;InicioCiclo,"Antes del ciclo",IF($D40&gt;=InicioCiclo+28,"Después del ciclo","Semana "&amp;(INT(($D40-InicioCiclo)/7)+1)))))</f>
        <v/>
      </c>
      <c r="F40" s="61">
        <f>IF($N40="","",IF($P40&gt;0,IF(1&lt;=SemanaActual,INDEX('Cronograma R. Operacional'!$AC$5:$AC$1000,$N40),""),IF(INDEX('Cronograma R. Operacional'!$I$5:$I$1000,$N40)="","",INDEX('Cronograma R. Operacional'!$I$5:$I$1000,$N40))))</f>
        <v/>
      </c>
      <c r="G40" s="61">
        <f>IF($N40="","",IF($P40&gt;0,IF(2&lt;=SemanaActual,INDEX('Cronograma R. Operacional'!$AD$5:$AD$1000,$N40),""),IF(INDEX('Cronograma R. Operacional'!$J$5:$J$1000,$N40)="","",INDEX('Cronograma R. Operacional'!$J$5:$J$1000,$N40))))</f>
        <v/>
      </c>
      <c r="H40" s="61">
        <f>IF($N40="","",IF($P40&gt;0,IF(3&lt;=SemanaActual,INDEX('Cronograma R. Operacional'!$AE$5:$AE$1000,$N40),""),IF(INDEX('Cronograma R. Operacional'!$K$5:$K$1000,$N40)="","",INDEX('Cronograma R. Operacional'!$K$5:$K$1000,$N40))))</f>
        <v/>
      </c>
      <c r="I40" s="61">
        <f>IF($N40="","",IF($P40&gt;0,IF(4&lt;=SemanaActual,INDEX('Cronograma R. Operacional'!$AF$5:$AF$1000,$N40),""),IF(INDEX('Cronograma R. Operacional'!$L$5:$L$1000,$N40)="","",INDEX('Cronograma R. Operacional'!$L$5:$L$1000,$N40))))</f>
        <v/>
      </c>
      <c r="J40" s="61">
        <f>IF($N40="","",INDEX('Cronograma R. Operacional'!$M$5:$M$1000,$N40))</f>
        <v/>
      </c>
      <c r="K40" s="56">
        <f>IF($N40="","",IF(N($J40)&gt;=1,"Completado",IF(AND(ISNUMBER($D40),$D40&lt;FechaRef),"Vencida",IF(N($J40)&gt;0,"En curso","Pendiente"))))</f>
        <v/>
      </c>
      <c r="L40" s="56">
        <f>IF($N40="","",INDEX('Cronograma R. Operacional'!$O$5:$O$1000,$N40)&amp;"")</f>
        <v/>
      </c>
      <c r="M40" s="62">
        <f>IF($N40="","",INDEX('Cronograma R. Operacional'!$Q$5:$Q$1000,$N40)&amp;"")</f>
        <v/>
      </c>
      <c r="N40">
        <f>IFERROR(MATCH(ROW()-4,rOrden_RO,0),"")</f>
        <v/>
      </c>
      <c r="O40">
        <f>IF($N40="","",INDEX('Cronograma R. Operacional'!$V$5:$V$1000,$N40))</f>
        <v/>
      </c>
      <c r="P40">
        <f>IF($N40="","",N(INDEX('Cronograma R. Operacional'!$W$5:$W$1000,$N40)))</f>
        <v/>
      </c>
      <c r="Q40">
        <f>IF(OR(LEFT($L40,7)="Vencida",LEFT($L40,5)="Vence"),SUMPRODUCT(--(LEFT($L$5:$L40,7)="Vencida"))+SUMPRODUCT(--(LEFT($L$5:$L40,5)="Vence")),"")</f>
        <v/>
      </c>
    </row>
    <row r="41">
      <c r="A41" s="56">
        <f>IF($N41="","",INDEX('Cronograma R. Operacional'!$A$5:$A$1000,$N41))</f>
        <v/>
      </c>
      <c r="B41" s="62">
        <f>IF($N41="","",IF($O41="Sub","      ↳  "&amp;INDEX('Cronograma R. Operacional'!$C$5:$C$1000,$N41),INDEX('Cronograma R. Operacional'!$C$5:$C$1000,$N41)&amp;""))</f>
        <v/>
      </c>
      <c r="C41" s="79">
        <f>IF($N41="","",IF(INDEX('Cronograma R. Operacional'!$AM$5:$AM$1000,$N41)="","",INDEX('Cronograma R. Operacional'!$AM$5:$AM$1000,$N41)))</f>
        <v/>
      </c>
      <c r="D41" s="79">
        <f>IF($N41="","",IF(INDEX('Cronograma R. Operacional'!$AN$5:$AN$1000,$N41)="","",INDEX('Cronograma R. Operacional'!$AN$5:$AN$1000,$N41)))</f>
        <v/>
      </c>
      <c r="E41" s="56">
        <f>IF($N41="","",IF(NOT(ISNUMBER($D41)),"",IF($D41&lt;InicioCiclo,"Antes del ciclo",IF($D41&gt;=InicioCiclo+28,"Después del ciclo","Semana "&amp;(INT(($D41-InicioCiclo)/7)+1)))))</f>
        <v/>
      </c>
      <c r="F41" s="61">
        <f>IF($N41="","",IF($P41&gt;0,IF(1&lt;=SemanaActual,INDEX('Cronograma R. Operacional'!$AC$5:$AC$1000,$N41),""),IF(INDEX('Cronograma R. Operacional'!$I$5:$I$1000,$N41)="","",INDEX('Cronograma R. Operacional'!$I$5:$I$1000,$N41))))</f>
        <v/>
      </c>
      <c r="G41" s="61">
        <f>IF($N41="","",IF($P41&gt;0,IF(2&lt;=SemanaActual,INDEX('Cronograma R. Operacional'!$AD$5:$AD$1000,$N41),""),IF(INDEX('Cronograma R. Operacional'!$J$5:$J$1000,$N41)="","",INDEX('Cronograma R. Operacional'!$J$5:$J$1000,$N41))))</f>
        <v/>
      </c>
      <c r="H41" s="61">
        <f>IF($N41="","",IF($P41&gt;0,IF(3&lt;=SemanaActual,INDEX('Cronograma R. Operacional'!$AE$5:$AE$1000,$N41),""),IF(INDEX('Cronograma R. Operacional'!$K$5:$K$1000,$N41)="","",INDEX('Cronograma R. Operacional'!$K$5:$K$1000,$N41))))</f>
        <v/>
      </c>
      <c r="I41" s="61">
        <f>IF($N41="","",IF($P41&gt;0,IF(4&lt;=SemanaActual,INDEX('Cronograma R. Operacional'!$AF$5:$AF$1000,$N41),""),IF(INDEX('Cronograma R. Operacional'!$L$5:$L$1000,$N41)="","",INDEX('Cronograma R. Operacional'!$L$5:$L$1000,$N41))))</f>
        <v/>
      </c>
      <c r="J41" s="61">
        <f>IF($N41="","",INDEX('Cronograma R. Operacional'!$M$5:$M$1000,$N41))</f>
        <v/>
      </c>
      <c r="K41" s="56">
        <f>IF($N41="","",IF(N($J41)&gt;=1,"Completado",IF(AND(ISNUMBER($D41),$D41&lt;FechaRef),"Vencida",IF(N($J41)&gt;0,"En curso","Pendiente"))))</f>
        <v/>
      </c>
      <c r="L41" s="56">
        <f>IF($N41="","",INDEX('Cronograma R. Operacional'!$O$5:$O$1000,$N41)&amp;"")</f>
        <v/>
      </c>
      <c r="M41" s="62">
        <f>IF($N41="","",INDEX('Cronograma R. Operacional'!$Q$5:$Q$1000,$N41)&amp;"")</f>
        <v/>
      </c>
      <c r="N41">
        <f>IFERROR(MATCH(ROW()-4,rOrden_RO,0),"")</f>
        <v/>
      </c>
      <c r="O41">
        <f>IF($N41="","",INDEX('Cronograma R. Operacional'!$V$5:$V$1000,$N41))</f>
        <v/>
      </c>
      <c r="P41">
        <f>IF($N41="","",N(INDEX('Cronograma R. Operacional'!$W$5:$W$1000,$N41)))</f>
        <v/>
      </c>
      <c r="Q41">
        <f>IF(OR(LEFT($L41,7)="Vencida",LEFT($L41,5)="Vence"),SUMPRODUCT(--(LEFT($L$5:$L41,7)="Vencida"))+SUMPRODUCT(--(LEFT($L$5:$L41,5)="Vence")),"")</f>
        <v/>
      </c>
    </row>
    <row r="42">
      <c r="A42" s="56">
        <f>IF($N42="","",INDEX('Cronograma R. Operacional'!$A$5:$A$1000,$N42))</f>
        <v/>
      </c>
      <c r="B42" s="62">
        <f>IF($N42="","",IF($O42="Sub","      ↳  "&amp;INDEX('Cronograma R. Operacional'!$C$5:$C$1000,$N42),INDEX('Cronograma R. Operacional'!$C$5:$C$1000,$N42)&amp;""))</f>
        <v/>
      </c>
      <c r="C42" s="79">
        <f>IF($N42="","",IF(INDEX('Cronograma R. Operacional'!$AM$5:$AM$1000,$N42)="","",INDEX('Cronograma R. Operacional'!$AM$5:$AM$1000,$N42)))</f>
        <v/>
      </c>
      <c r="D42" s="79">
        <f>IF($N42="","",IF(INDEX('Cronograma R. Operacional'!$AN$5:$AN$1000,$N42)="","",INDEX('Cronograma R. Operacional'!$AN$5:$AN$1000,$N42)))</f>
        <v/>
      </c>
      <c r="E42" s="56">
        <f>IF($N42="","",IF(NOT(ISNUMBER($D42)),"",IF($D42&lt;InicioCiclo,"Antes del ciclo",IF($D42&gt;=InicioCiclo+28,"Después del ciclo","Semana "&amp;(INT(($D42-InicioCiclo)/7)+1)))))</f>
        <v/>
      </c>
      <c r="F42" s="61">
        <f>IF($N42="","",IF($P42&gt;0,IF(1&lt;=SemanaActual,INDEX('Cronograma R. Operacional'!$AC$5:$AC$1000,$N42),""),IF(INDEX('Cronograma R. Operacional'!$I$5:$I$1000,$N42)="","",INDEX('Cronograma R. Operacional'!$I$5:$I$1000,$N42))))</f>
        <v/>
      </c>
      <c r="G42" s="61">
        <f>IF($N42="","",IF($P42&gt;0,IF(2&lt;=SemanaActual,INDEX('Cronograma R. Operacional'!$AD$5:$AD$1000,$N42),""),IF(INDEX('Cronograma R. Operacional'!$J$5:$J$1000,$N42)="","",INDEX('Cronograma R. Operacional'!$J$5:$J$1000,$N42))))</f>
        <v/>
      </c>
      <c r="H42" s="61">
        <f>IF($N42="","",IF($P42&gt;0,IF(3&lt;=SemanaActual,INDEX('Cronograma R. Operacional'!$AE$5:$AE$1000,$N42),""),IF(INDEX('Cronograma R. Operacional'!$K$5:$K$1000,$N42)="","",INDEX('Cronograma R. Operacional'!$K$5:$K$1000,$N42))))</f>
        <v/>
      </c>
      <c r="I42" s="61">
        <f>IF($N42="","",IF($P42&gt;0,IF(4&lt;=SemanaActual,INDEX('Cronograma R. Operacional'!$AF$5:$AF$1000,$N42),""),IF(INDEX('Cronograma R. Operacional'!$L$5:$L$1000,$N42)="","",INDEX('Cronograma R. Operacional'!$L$5:$L$1000,$N42))))</f>
        <v/>
      </c>
      <c r="J42" s="61">
        <f>IF($N42="","",INDEX('Cronograma R. Operacional'!$M$5:$M$1000,$N42))</f>
        <v/>
      </c>
      <c r="K42" s="56">
        <f>IF($N42="","",IF(N($J42)&gt;=1,"Completado",IF(AND(ISNUMBER($D42),$D42&lt;FechaRef),"Vencida",IF(N($J42)&gt;0,"En curso","Pendiente"))))</f>
        <v/>
      </c>
      <c r="L42" s="56">
        <f>IF($N42="","",INDEX('Cronograma R. Operacional'!$O$5:$O$1000,$N42)&amp;"")</f>
        <v/>
      </c>
      <c r="M42" s="62">
        <f>IF($N42="","",INDEX('Cronograma R. Operacional'!$Q$5:$Q$1000,$N42)&amp;"")</f>
        <v/>
      </c>
      <c r="N42">
        <f>IFERROR(MATCH(ROW()-4,rOrden_RO,0),"")</f>
        <v/>
      </c>
      <c r="O42">
        <f>IF($N42="","",INDEX('Cronograma R. Operacional'!$V$5:$V$1000,$N42))</f>
        <v/>
      </c>
      <c r="P42">
        <f>IF($N42="","",N(INDEX('Cronograma R. Operacional'!$W$5:$W$1000,$N42)))</f>
        <v/>
      </c>
      <c r="Q42">
        <f>IF(OR(LEFT($L42,7)="Vencida",LEFT($L42,5)="Vence"),SUMPRODUCT(--(LEFT($L$5:$L42,7)="Vencida"))+SUMPRODUCT(--(LEFT($L$5:$L42,5)="Vence")),"")</f>
        <v/>
      </c>
    </row>
    <row r="43">
      <c r="A43" s="56">
        <f>IF($N43="","",INDEX('Cronograma R. Operacional'!$A$5:$A$1000,$N43))</f>
        <v/>
      </c>
      <c r="B43" s="62">
        <f>IF($N43="","",IF($O43="Sub","      ↳  "&amp;INDEX('Cronograma R. Operacional'!$C$5:$C$1000,$N43),INDEX('Cronograma R. Operacional'!$C$5:$C$1000,$N43)&amp;""))</f>
        <v/>
      </c>
      <c r="C43" s="79">
        <f>IF($N43="","",IF(INDEX('Cronograma R. Operacional'!$AM$5:$AM$1000,$N43)="","",INDEX('Cronograma R. Operacional'!$AM$5:$AM$1000,$N43)))</f>
        <v/>
      </c>
      <c r="D43" s="79">
        <f>IF($N43="","",IF(INDEX('Cronograma R. Operacional'!$AN$5:$AN$1000,$N43)="","",INDEX('Cronograma R. Operacional'!$AN$5:$AN$1000,$N43)))</f>
        <v/>
      </c>
      <c r="E43" s="56">
        <f>IF($N43="","",IF(NOT(ISNUMBER($D43)),"",IF($D43&lt;InicioCiclo,"Antes del ciclo",IF($D43&gt;=InicioCiclo+28,"Después del ciclo","Semana "&amp;(INT(($D43-InicioCiclo)/7)+1)))))</f>
        <v/>
      </c>
      <c r="F43" s="61">
        <f>IF($N43="","",IF($P43&gt;0,IF(1&lt;=SemanaActual,INDEX('Cronograma R. Operacional'!$AC$5:$AC$1000,$N43),""),IF(INDEX('Cronograma R. Operacional'!$I$5:$I$1000,$N43)="","",INDEX('Cronograma R. Operacional'!$I$5:$I$1000,$N43))))</f>
        <v/>
      </c>
      <c r="G43" s="61">
        <f>IF($N43="","",IF($P43&gt;0,IF(2&lt;=SemanaActual,INDEX('Cronograma R. Operacional'!$AD$5:$AD$1000,$N43),""),IF(INDEX('Cronograma R. Operacional'!$J$5:$J$1000,$N43)="","",INDEX('Cronograma R. Operacional'!$J$5:$J$1000,$N43))))</f>
        <v/>
      </c>
      <c r="H43" s="61">
        <f>IF($N43="","",IF($P43&gt;0,IF(3&lt;=SemanaActual,INDEX('Cronograma R. Operacional'!$AE$5:$AE$1000,$N43),""),IF(INDEX('Cronograma R. Operacional'!$K$5:$K$1000,$N43)="","",INDEX('Cronograma R. Operacional'!$K$5:$K$1000,$N43))))</f>
        <v/>
      </c>
      <c r="I43" s="61">
        <f>IF($N43="","",IF($P43&gt;0,IF(4&lt;=SemanaActual,INDEX('Cronograma R. Operacional'!$AF$5:$AF$1000,$N43),""),IF(INDEX('Cronograma R. Operacional'!$L$5:$L$1000,$N43)="","",INDEX('Cronograma R. Operacional'!$L$5:$L$1000,$N43))))</f>
        <v/>
      </c>
      <c r="J43" s="61">
        <f>IF($N43="","",INDEX('Cronograma R. Operacional'!$M$5:$M$1000,$N43))</f>
        <v/>
      </c>
      <c r="K43" s="56">
        <f>IF($N43="","",IF(N($J43)&gt;=1,"Completado",IF(AND(ISNUMBER($D43),$D43&lt;FechaRef),"Vencida",IF(N($J43)&gt;0,"En curso","Pendiente"))))</f>
        <v/>
      </c>
      <c r="L43" s="56">
        <f>IF($N43="","",INDEX('Cronograma R. Operacional'!$O$5:$O$1000,$N43)&amp;"")</f>
        <v/>
      </c>
      <c r="M43" s="62">
        <f>IF($N43="","",INDEX('Cronograma R. Operacional'!$Q$5:$Q$1000,$N43)&amp;"")</f>
        <v/>
      </c>
      <c r="N43">
        <f>IFERROR(MATCH(ROW()-4,rOrden_RO,0),"")</f>
        <v/>
      </c>
      <c r="O43">
        <f>IF($N43="","",INDEX('Cronograma R. Operacional'!$V$5:$V$1000,$N43))</f>
        <v/>
      </c>
      <c r="P43">
        <f>IF($N43="","",N(INDEX('Cronograma R. Operacional'!$W$5:$W$1000,$N43)))</f>
        <v/>
      </c>
      <c r="Q43">
        <f>IF(OR(LEFT($L43,7)="Vencida",LEFT($L43,5)="Vence"),SUMPRODUCT(--(LEFT($L$5:$L43,7)="Vencida"))+SUMPRODUCT(--(LEFT($L$5:$L43,5)="Vence")),"")</f>
        <v/>
      </c>
    </row>
    <row r="44">
      <c r="A44" s="56">
        <f>IF($N44="","",INDEX('Cronograma R. Operacional'!$A$5:$A$1000,$N44))</f>
        <v/>
      </c>
      <c r="B44" s="62">
        <f>IF($N44="","",IF($O44="Sub","      ↳  "&amp;INDEX('Cronograma R. Operacional'!$C$5:$C$1000,$N44),INDEX('Cronograma R. Operacional'!$C$5:$C$1000,$N44)&amp;""))</f>
        <v/>
      </c>
      <c r="C44" s="79">
        <f>IF($N44="","",IF(INDEX('Cronograma R. Operacional'!$AM$5:$AM$1000,$N44)="","",INDEX('Cronograma R. Operacional'!$AM$5:$AM$1000,$N44)))</f>
        <v/>
      </c>
      <c r="D44" s="79">
        <f>IF($N44="","",IF(INDEX('Cronograma R. Operacional'!$AN$5:$AN$1000,$N44)="","",INDEX('Cronograma R. Operacional'!$AN$5:$AN$1000,$N44)))</f>
        <v/>
      </c>
      <c r="E44" s="56">
        <f>IF($N44="","",IF(NOT(ISNUMBER($D44)),"",IF($D44&lt;InicioCiclo,"Antes del ciclo",IF($D44&gt;=InicioCiclo+28,"Después del ciclo","Semana "&amp;(INT(($D44-InicioCiclo)/7)+1)))))</f>
        <v/>
      </c>
      <c r="F44" s="61">
        <f>IF($N44="","",IF($P44&gt;0,IF(1&lt;=SemanaActual,INDEX('Cronograma R. Operacional'!$AC$5:$AC$1000,$N44),""),IF(INDEX('Cronograma R. Operacional'!$I$5:$I$1000,$N44)="","",INDEX('Cronograma R. Operacional'!$I$5:$I$1000,$N44))))</f>
        <v/>
      </c>
      <c r="G44" s="61">
        <f>IF($N44="","",IF($P44&gt;0,IF(2&lt;=SemanaActual,INDEX('Cronograma R. Operacional'!$AD$5:$AD$1000,$N44),""),IF(INDEX('Cronograma R. Operacional'!$J$5:$J$1000,$N44)="","",INDEX('Cronograma R. Operacional'!$J$5:$J$1000,$N44))))</f>
        <v/>
      </c>
      <c r="H44" s="61">
        <f>IF($N44="","",IF($P44&gt;0,IF(3&lt;=SemanaActual,INDEX('Cronograma R. Operacional'!$AE$5:$AE$1000,$N44),""),IF(INDEX('Cronograma R. Operacional'!$K$5:$K$1000,$N44)="","",INDEX('Cronograma R. Operacional'!$K$5:$K$1000,$N44))))</f>
        <v/>
      </c>
      <c r="I44" s="61">
        <f>IF($N44="","",IF($P44&gt;0,IF(4&lt;=SemanaActual,INDEX('Cronograma R. Operacional'!$AF$5:$AF$1000,$N44),""),IF(INDEX('Cronograma R. Operacional'!$L$5:$L$1000,$N44)="","",INDEX('Cronograma R. Operacional'!$L$5:$L$1000,$N44))))</f>
        <v/>
      </c>
      <c r="J44" s="61">
        <f>IF($N44="","",INDEX('Cronograma R. Operacional'!$M$5:$M$1000,$N44))</f>
        <v/>
      </c>
      <c r="K44" s="56">
        <f>IF($N44="","",IF(N($J44)&gt;=1,"Completado",IF(AND(ISNUMBER($D44),$D44&lt;FechaRef),"Vencida",IF(N($J44)&gt;0,"En curso","Pendiente"))))</f>
        <v/>
      </c>
      <c r="L44" s="56">
        <f>IF($N44="","",INDEX('Cronograma R. Operacional'!$O$5:$O$1000,$N44)&amp;"")</f>
        <v/>
      </c>
      <c r="M44" s="62">
        <f>IF($N44="","",INDEX('Cronograma R. Operacional'!$Q$5:$Q$1000,$N44)&amp;"")</f>
        <v/>
      </c>
      <c r="N44">
        <f>IFERROR(MATCH(ROW()-4,rOrden_RO,0),"")</f>
        <v/>
      </c>
      <c r="O44">
        <f>IF($N44="","",INDEX('Cronograma R. Operacional'!$V$5:$V$1000,$N44))</f>
        <v/>
      </c>
      <c r="P44">
        <f>IF($N44="","",N(INDEX('Cronograma R. Operacional'!$W$5:$W$1000,$N44)))</f>
        <v/>
      </c>
      <c r="Q44">
        <f>IF(OR(LEFT($L44,7)="Vencida",LEFT($L44,5)="Vence"),SUMPRODUCT(--(LEFT($L$5:$L44,7)="Vencida"))+SUMPRODUCT(--(LEFT($L$5:$L44,5)="Vence")),"")</f>
        <v/>
      </c>
    </row>
    <row r="45">
      <c r="A45" s="56">
        <f>IF($N45="","",INDEX('Cronograma R. Operacional'!$A$5:$A$1000,$N45))</f>
        <v/>
      </c>
      <c r="B45" s="62">
        <f>IF($N45="","",IF($O45="Sub","      ↳  "&amp;INDEX('Cronograma R. Operacional'!$C$5:$C$1000,$N45),INDEX('Cronograma R. Operacional'!$C$5:$C$1000,$N45)&amp;""))</f>
        <v/>
      </c>
      <c r="C45" s="79">
        <f>IF($N45="","",IF(INDEX('Cronograma R. Operacional'!$AM$5:$AM$1000,$N45)="","",INDEX('Cronograma R. Operacional'!$AM$5:$AM$1000,$N45)))</f>
        <v/>
      </c>
      <c r="D45" s="79">
        <f>IF($N45="","",IF(INDEX('Cronograma R. Operacional'!$AN$5:$AN$1000,$N45)="","",INDEX('Cronograma R. Operacional'!$AN$5:$AN$1000,$N45)))</f>
        <v/>
      </c>
      <c r="E45" s="56">
        <f>IF($N45="","",IF(NOT(ISNUMBER($D45)),"",IF($D45&lt;InicioCiclo,"Antes del ciclo",IF($D45&gt;=InicioCiclo+28,"Después del ciclo","Semana "&amp;(INT(($D45-InicioCiclo)/7)+1)))))</f>
        <v/>
      </c>
      <c r="F45" s="61">
        <f>IF($N45="","",IF($P45&gt;0,IF(1&lt;=SemanaActual,INDEX('Cronograma R. Operacional'!$AC$5:$AC$1000,$N45),""),IF(INDEX('Cronograma R. Operacional'!$I$5:$I$1000,$N45)="","",INDEX('Cronograma R. Operacional'!$I$5:$I$1000,$N45))))</f>
        <v/>
      </c>
      <c r="G45" s="61">
        <f>IF($N45="","",IF($P45&gt;0,IF(2&lt;=SemanaActual,INDEX('Cronograma R. Operacional'!$AD$5:$AD$1000,$N45),""),IF(INDEX('Cronograma R. Operacional'!$J$5:$J$1000,$N45)="","",INDEX('Cronograma R. Operacional'!$J$5:$J$1000,$N45))))</f>
        <v/>
      </c>
      <c r="H45" s="61">
        <f>IF($N45="","",IF($P45&gt;0,IF(3&lt;=SemanaActual,INDEX('Cronograma R. Operacional'!$AE$5:$AE$1000,$N45),""),IF(INDEX('Cronograma R. Operacional'!$K$5:$K$1000,$N45)="","",INDEX('Cronograma R. Operacional'!$K$5:$K$1000,$N45))))</f>
        <v/>
      </c>
      <c r="I45" s="61">
        <f>IF($N45="","",IF($P45&gt;0,IF(4&lt;=SemanaActual,INDEX('Cronograma R. Operacional'!$AF$5:$AF$1000,$N45),""),IF(INDEX('Cronograma R. Operacional'!$L$5:$L$1000,$N45)="","",INDEX('Cronograma R. Operacional'!$L$5:$L$1000,$N45))))</f>
        <v/>
      </c>
      <c r="J45" s="61">
        <f>IF($N45="","",INDEX('Cronograma R. Operacional'!$M$5:$M$1000,$N45))</f>
        <v/>
      </c>
      <c r="K45" s="56">
        <f>IF($N45="","",IF(N($J45)&gt;=1,"Completado",IF(AND(ISNUMBER($D45),$D45&lt;FechaRef),"Vencida",IF(N($J45)&gt;0,"En curso","Pendiente"))))</f>
        <v/>
      </c>
      <c r="L45" s="56">
        <f>IF($N45="","",INDEX('Cronograma R. Operacional'!$O$5:$O$1000,$N45)&amp;"")</f>
        <v/>
      </c>
      <c r="M45" s="62">
        <f>IF($N45="","",INDEX('Cronograma R. Operacional'!$Q$5:$Q$1000,$N45)&amp;"")</f>
        <v/>
      </c>
      <c r="N45">
        <f>IFERROR(MATCH(ROW()-4,rOrden_RO,0),"")</f>
        <v/>
      </c>
      <c r="O45">
        <f>IF($N45="","",INDEX('Cronograma R. Operacional'!$V$5:$V$1000,$N45))</f>
        <v/>
      </c>
      <c r="P45">
        <f>IF($N45="","",N(INDEX('Cronograma R. Operacional'!$W$5:$W$1000,$N45)))</f>
        <v/>
      </c>
      <c r="Q45">
        <f>IF(OR(LEFT($L45,7)="Vencida",LEFT($L45,5)="Vence"),SUMPRODUCT(--(LEFT($L$5:$L45,7)="Vencida"))+SUMPRODUCT(--(LEFT($L$5:$L45,5)="Vence")),"")</f>
        <v/>
      </c>
    </row>
    <row r="46">
      <c r="A46" s="56">
        <f>IF($N46="","",INDEX('Cronograma R. Operacional'!$A$5:$A$1000,$N46))</f>
        <v/>
      </c>
      <c r="B46" s="62">
        <f>IF($N46="","",IF($O46="Sub","      ↳  "&amp;INDEX('Cronograma R. Operacional'!$C$5:$C$1000,$N46),INDEX('Cronograma R. Operacional'!$C$5:$C$1000,$N46)&amp;""))</f>
        <v/>
      </c>
      <c r="C46" s="79">
        <f>IF($N46="","",IF(INDEX('Cronograma R. Operacional'!$AM$5:$AM$1000,$N46)="","",INDEX('Cronograma R. Operacional'!$AM$5:$AM$1000,$N46)))</f>
        <v/>
      </c>
      <c r="D46" s="79">
        <f>IF($N46="","",IF(INDEX('Cronograma R. Operacional'!$AN$5:$AN$1000,$N46)="","",INDEX('Cronograma R. Operacional'!$AN$5:$AN$1000,$N46)))</f>
        <v/>
      </c>
      <c r="E46" s="56">
        <f>IF($N46="","",IF(NOT(ISNUMBER($D46)),"",IF($D46&lt;InicioCiclo,"Antes del ciclo",IF($D46&gt;=InicioCiclo+28,"Después del ciclo","Semana "&amp;(INT(($D46-InicioCiclo)/7)+1)))))</f>
        <v/>
      </c>
      <c r="F46" s="61">
        <f>IF($N46="","",IF($P46&gt;0,IF(1&lt;=SemanaActual,INDEX('Cronograma R. Operacional'!$AC$5:$AC$1000,$N46),""),IF(INDEX('Cronograma R. Operacional'!$I$5:$I$1000,$N46)="","",INDEX('Cronograma R. Operacional'!$I$5:$I$1000,$N46))))</f>
        <v/>
      </c>
      <c r="G46" s="61">
        <f>IF($N46="","",IF($P46&gt;0,IF(2&lt;=SemanaActual,INDEX('Cronograma R. Operacional'!$AD$5:$AD$1000,$N46),""),IF(INDEX('Cronograma R. Operacional'!$J$5:$J$1000,$N46)="","",INDEX('Cronograma R. Operacional'!$J$5:$J$1000,$N46))))</f>
        <v/>
      </c>
      <c r="H46" s="61">
        <f>IF($N46="","",IF($P46&gt;0,IF(3&lt;=SemanaActual,INDEX('Cronograma R. Operacional'!$AE$5:$AE$1000,$N46),""),IF(INDEX('Cronograma R. Operacional'!$K$5:$K$1000,$N46)="","",INDEX('Cronograma R. Operacional'!$K$5:$K$1000,$N46))))</f>
        <v/>
      </c>
      <c r="I46" s="61">
        <f>IF($N46="","",IF($P46&gt;0,IF(4&lt;=SemanaActual,INDEX('Cronograma R. Operacional'!$AF$5:$AF$1000,$N46),""),IF(INDEX('Cronograma R. Operacional'!$L$5:$L$1000,$N46)="","",INDEX('Cronograma R. Operacional'!$L$5:$L$1000,$N46))))</f>
        <v/>
      </c>
      <c r="J46" s="61">
        <f>IF($N46="","",INDEX('Cronograma R. Operacional'!$M$5:$M$1000,$N46))</f>
        <v/>
      </c>
      <c r="K46" s="56">
        <f>IF($N46="","",IF(N($J46)&gt;=1,"Completado",IF(AND(ISNUMBER($D46),$D46&lt;FechaRef),"Vencida",IF(N($J46)&gt;0,"En curso","Pendiente"))))</f>
        <v/>
      </c>
      <c r="L46" s="56">
        <f>IF($N46="","",INDEX('Cronograma R. Operacional'!$O$5:$O$1000,$N46)&amp;"")</f>
        <v/>
      </c>
      <c r="M46" s="62">
        <f>IF($N46="","",INDEX('Cronograma R. Operacional'!$Q$5:$Q$1000,$N46)&amp;"")</f>
        <v/>
      </c>
      <c r="N46">
        <f>IFERROR(MATCH(ROW()-4,rOrden_RO,0),"")</f>
        <v/>
      </c>
      <c r="O46">
        <f>IF($N46="","",INDEX('Cronograma R. Operacional'!$V$5:$V$1000,$N46))</f>
        <v/>
      </c>
      <c r="P46">
        <f>IF($N46="","",N(INDEX('Cronograma R. Operacional'!$W$5:$W$1000,$N46)))</f>
        <v/>
      </c>
      <c r="Q46">
        <f>IF(OR(LEFT($L46,7)="Vencida",LEFT($L46,5)="Vence"),SUMPRODUCT(--(LEFT($L$5:$L46,7)="Vencida"))+SUMPRODUCT(--(LEFT($L$5:$L46,5)="Vence")),"")</f>
        <v/>
      </c>
    </row>
    <row r="47">
      <c r="A47" s="56">
        <f>IF($N47="","",INDEX('Cronograma R. Operacional'!$A$5:$A$1000,$N47))</f>
        <v/>
      </c>
      <c r="B47" s="62">
        <f>IF($N47="","",IF($O47="Sub","      ↳  "&amp;INDEX('Cronograma R. Operacional'!$C$5:$C$1000,$N47),INDEX('Cronograma R. Operacional'!$C$5:$C$1000,$N47)&amp;""))</f>
        <v/>
      </c>
      <c r="C47" s="79">
        <f>IF($N47="","",IF(INDEX('Cronograma R. Operacional'!$AM$5:$AM$1000,$N47)="","",INDEX('Cronograma R. Operacional'!$AM$5:$AM$1000,$N47)))</f>
        <v/>
      </c>
      <c r="D47" s="79">
        <f>IF($N47="","",IF(INDEX('Cronograma R. Operacional'!$AN$5:$AN$1000,$N47)="","",INDEX('Cronograma R. Operacional'!$AN$5:$AN$1000,$N47)))</f>
        <v/>
      </c>
      <c r="E47" s="56">
        <f>IF($N47="","",IF(NOT(ISNUMBER($D47)),"",IF($D47&lt;InicioCiclo,"Antes del ciclo",IF($D47&gt;=InicioCiclo+28,"Después del ciclo","Semana "&amp;(INT(($D47-InicioCiclo)/7)+1)))))</f>
        <v/>
      </c>
      <c r="F47" s="61">
        <f>IF($N47="","",IF($P47&gt;0,IF(1&lt;=SemanaActual,INDEX('Cronograma R. Operacional'!$AC$5:$AC$1000,$N47),""),IF(INDEX('Cronograma R. Operacional'!$I$5:$I$1000,$N47)="","",INDEX('Cronograma R. Operacional'!$I$5:$I$1000,$N47))))</f>
        <v/>
      </c>
      <c r="G47" s="61">
        <f>IF($N47="","",IF($P47&gt;0,IF(2&lt;=SemanaActual,INDEX('Cronograma R. Operacional'!$AD$5:$AD$1000,$N47),""),IF(INDEX('Cronograma R. Operacional'!$J$5:$J$1000,$N47)="","",INDEX('Cronograma R. Operacional'!$J$5:$J$1000,$N47))))</f>
        <v/>
      </c>
      <c r="H47" s="61">
        <f>IF($N47="","",IF($P47&gt;0,IF(3&lt;=SemanaActual,INDEX('Cronograma R. Operacional'!$AE$5:$AE$1000,$N47),""),IF(INDEX('Cronograma R. Operacional'!$K$5:$K$1000,$N47)="","",INDEX('Cronograma R. Operacional'!$K$5:$K$1000,$N47))))</f>
        <v/>
      </c>
      <c r="I47" s="61">
        <f>IF($N47="","",IF($P47&gt;0,IF(4&lt;=SemanaActual,INDEX('Cronograma R. Operacional'!$AF$5:$AF$1000,$N47),""),IF(INDEX('Cronograma R. Operacional'!$L$5:$L$1000,$N47)="","",INDEX('Cronograma R. Operacional'!$L$5:$L$1000,$N47))))</f>
        <v/>
      </c>
      <c r="J47" s="61">
        <f>IF($N47="","",INDEX('Cronograma R. Operacional'!$M$5:$M$1000,$N47))</f>
        <v/>
      </c>
      <c r="K47" s="56">
        <f>IF($N47="","",IF(N($J47)&gt;=1,"Completado",IF(AND(ISNUMBER($D47),$D47&lt;FechaRef),"Vencida",IF(N($J47)&gt;0,"En curso","Pendiente"))))</f>
        <v/>
      </c>
      <c r="L47" s="56">
        <f>IF($N47="","",INDEX('Cronograma R. Operacional'!$O$5:$O$1000,$N47)&amp;"")</f>
        <v/>
      </c>
      <c r="M47" s="62">
        <f>IF($N47="","",INDEX('Cronograma R. Operacional'!$Q$5:$Q$1000,$N47)&amp;"")</f>
        <v/>
      </c>
      <c r="N47">
        <f>IFERROR(MATCH(ROW()-4,rOrden_RO,0),"")</f>
        <v/>
      </c>
      <c r="O47">
        <f>IF($N47="","",INDEX('Cronograma R. Operacional'!$V$5:$V$1000,$N47))</f>
        <v/>
      </c>
      <c r="P47">
        <f>IF($N47="","",N(INDEX('Cronograma R. Operacional'!$W$5:$W$1000,$N47)))</f>
        <v/>
      </c>
      <c r="Q47">
        <f>IF(OR(LEFT($L47,7)="Vencida",LEFT($L47,5)="Vence"),SUMPRODUCT(--(LEFT($L$5:$L47,7)="Vencida"))+SUMPRODUCT(--(LEFT($L$5:$L47,5)="Vence")),"")</f>
        <v/>
      </c>
    </row>
    <row r="48">
      <c r="A48" s="56">
        <f>IF($N48="","",INDEX('Cronograma R. Operacional'!$A$5:$A$1000,$N48))</f>
        <v/>
      </c>
      <c r="B48" s="62">
        <f>IF($N48="","",IF($O48="Sub","      ↳  "&amp;INDEX('Cronograma R. Operacional'!$C$5:$C$1000,$N48),INDEX('Cronograma R. Operacional'!$C$5:$C$1000,$N48)&amp;""))</f>
        <v/>
      </c>
      <c r="C48" s="79">
        <f>IF($N48="","",IF(INDEX('Cronograma R. Operacional'!$AM$5:$AM$1000,$N48)="","",INDEX('Cronograma R. Operacional'!$AM$5:$AM$1000,$N48)))</f>
        <v/>
      </c>
      <c r="D48" s="79">
        <f>IF($N48="","",IF(INDEX('Cronograma R. Operacional'!$AN$5:$AN$1000,$N48)="","",INDEX('Cronograma R. Operacional'!$AN$5:$AN$1000,$N48)))</f>
        <v/>
      </c>
      <c r="E48" s="56">
        <f>IF($N48="","",IF(NOT(ISNUMBER($D48)),"",IF($D48&lt;InicioCiclo,"Antes del ciclo",IF($D48&gt;=InicioCiclo+28,"Después del ciclo","Semana "&amp;(INT(($D48-InicioCiclo)/7)+1)))))</f>
        <v/>
      </c>
      <c r="F48" s="61">
        <f>IF($N48="","",IF($P48&gt;0,IF(1&lt;=SemanaActual,INDEX('Cronograma R. Operacional'!$AC$5:$AC$1000,$N48),""),IF(INDEX('Cronograma R. Operacional'!$I$5:$I$1000,$N48)="","",INDEX('Cronograma R. Operacional'!$I$5:$I$1000,$N48))))</f>
        <v/>
      </c>
      <c r="G48" s="61">
        <f>IF($N48="","",IF($P48&gt;0,IF(2&lt;=SemanaActual,INDEX('Cronograma R. Operacional'!$AD$5:$AD$1000,$N48),""),IF(INDEX('Cronograma R. Operacional'!$J$5:$J$1000,$N48)="","",INDEX('Cronograma R. Operacional'!$J$5:$J$1000,$N48))))</f>
        <v/>
      </c>
      <c r="H48" s="61">
        <f>IF($N48="","",IF($P48&gt;0,IF(3&lt;=SemanaActual,INDEX('Cronograma R. Operacional'!$AE$5:$AE$1000,$N48),""),IF(INDEX('Cronograma R. Operacional'!$K$5:$K$1000,$N48)="","",INDEX('Cronograma R. Operacional'!$K$5:$K$1000,$N48))))</f>
        <v/>
      </c>
      <c r="I48" s="61">
        <f>IF($N48="","",IF($P48&gt;0,IF(4&lt;=SemanaActual,INDEX('Cronograma R. Operacional'!$AF$5:$AF$1000,$N48),""),IF(INDEX('Cronograma R. Operacional'!$L$5:$L$1000,$N48)="","",INDEX('Cronograma R. Operacional'!$L$5:$L$1000,$N48))))</f>
        <v/>
      </c>
      <c r="J48" s="61">
        <f>IF($N48="","",INDEX('Cronograma R. Operacional'!$M$5:$M$1000,$N48))</f>
        <v/>
      </c>
      <c r="K48" s="56">
        <f>IF($N48="","",IF(N($J48)&gt;=1,"Completado",IF(AND(ISNUMBER($D48),$D48&lt;FechaRef),"Vencida",IF(N($J48)&gt;0,"En curso","Pendiente"))))</f>
        <v/>
      </c>
      <c r="L48" s="56">
        <f>IF($N48="","",INDEX('Cronograma R. Operacional'!$O$5:$O$1000,$N48)&amp;"")</f>
        <v/>
      </c>
      <c r="M48" s="62">
        <f>IF($N48="","",INDEX('Cronograma R. Operacional'!$Q$5:$Q$1000,$N48)&amp;"")</f>
        <v/>
      </c>
      <c r="N48">
        <f>IFERROR(MATCH(ROW()-4,rOrden_RO,0),"")</f>
        <v/>
      </c>
      <c r="O48">
        <f>IF($N48="","",INDEX('Cronograma R. Operacional'!$V$5:$V$1000,$N48))</f>
        <v/>
      </c>
      <c r="P48">
        <f>IF($N48="","",N(INDEX('Cronograma R. Operacional'!$W$5:$W$1000,$N48)))</f>
        <v/>
      </c>
      <c r="Q48">
        <f>IF(OR(LEFT($L48,7)="Vencida",LEFT($L48,5)="Vence"),SUMPRODUCT(--(LEFT($L$5:$L48,7)="Vencida"))+SUMPRODUCT(--(LEFT($L$5:$L48,5)="Vence")),"")</f>
        <v/>
      </c>
    </row>
    <row r="49">
      <c r="A49" s="56">
        <f>IF($N49="","",INDEX('Cronograma R. Operacional'!$A$5:$A$1000,$N49))</f>
        <v/>
      </c>
      <c r="B49" s="62">
        <f>IF($N49="","",IF($O49="Sub","      ↳  "&amp;INDEX('Cronograma R. Operacional'!$C$5:$C$1000,$N49),INDEX('Cronograma R. Operacional'!$C$5:$C$1000,$N49)&amp;""))</f>
        <v/>
      </c>
      <c r="C49" s="79">
        <f>IF($N49="","",IF(INDEX('Cronograma R. Operacional'!$AM$5:$AM$1000,$N49)="","",INDEX('Cronograma R. Operacional'!$AM$5:$AM$1000,$N49)))</f>
        <v/>
      </c>
      <c r="D49" s="79">
        <f>IF($N49="","",IF(INDEX('Cronograma R. Operacional'!$AN$5:$AN$1000,$N49)="","",INDEX('Cronograma R. Operacional'!$AN$5:$AN$1000,$N49)))</f>
        <v/>
      </c>
      <c r="E49" s="56">
        <f>IF($N49="","",IF(NOT(ISNUMBER($D49)),"",IF($D49&lt;InicioCiclo,"Antes del ciclo",IF($D49&gt;=InicioCiclo+28,"Después del ciclo","Semana "&amp;(INT(($D49-InicioCiclo)/7)+1)))))</f>
        <v/>
      </c>
      <c r="F49" s="61">
        <f>IF($N49="","",IF($P49&gt;0,IF(1&lt;=SemanaActual,INDEX('Cronograma R. Operacional'!$AC$5:$AC$1000,$N49),""),IF(INDEX('Cronograma R. Operacional'!$I$5:$I$1000,$N49)="","",INDEX('Cronograma R. Operacional'!$I$5:$I$1000,$N49))))</f>
        <v/>
      </c>
      <c r="G49" s="61">
        <f>IF($N49="","",IF($P49&gt;0,IF(2&lt;=SemanaActual,INDEX('Cronograma R. Operacional'!$AD$5:$AD$1000,$N49),""),IF(INDEX('Cronograma R. Operacional'!$J$5:$J$1000,$N49)="","",INDEX('Cronograma R. Operacional'!$J$5:$J$1000,$N49))))</f>
        <v/>
      </c>
      <c r="H49" s="61">
        <f>IF($N49="","",IF($P49&gt;0,IF(3&lt;=SemanaActual,INDEX('Cronograma R. Operacional'!$AE$5:$AE$1000,$N49),""),IF(INDEX('Cronograma R. Operacional'!$K$5:$K$1000,$N49)="","",INDEX('Cronograma R. Operacional'!$K$5:$K$1000,$N49))))</f>
        <v/>
      </c>
      <c r="I49" s="61">
        <f>IF($N49="","",IF($P49&gt;0,IF(4&lt;=SemanaActual,INDEX('Cronograma R. Operacional'!$AF$5:$AF$1000,$N49),""),IF(INDEX('Cronograma R. Operacional'!$L$5:$L$1000,$N49)="","",INDEX('Cronograma R. Operacional'!$L$5:$L$1000,$N49))))</f>
        <v/>
      </c>
      <c r="J49" s="61">
        <f>IF($N49="","",INDEX('Cronograma R. Operacional'!$M$5:$M$1000,$N49))</f>
        <v/>
      </c>
      <c r="K49" s="56">
        <f>IF($N49="","",IF(N($J49)&gt;=1,"Completado",IF(AND(ISNUMBER($D49),$D49&lt;FechaRef),"Vencida",IF(N($J49)&gt;0,"En curso","Pendiente"))))</f>
        <v/>
      </c>
      <c r="L49" s="56">
        <f>IF($N49="","",INDEX('Cronograma R. Operacional'!$O$5:$O$1000,$N49)&amp;"")</f>
        <v/>
      </c>
      <c r="M49" s="62">
        <f>IF($N49="","",INDEX('Cronograma R. Operacional'!$Q$5:$Q$1000,$N49)&amp;"")</f>
        <v/>
      </c>
      <c r="N49">
        <f>IFERROR(MATCH(ROW()-4,rOrden_RO,0),"")</f>
        <v/>
      </c>
      <c r="O49">
        <f>IF($N49="","",INDEX('Cronograma R. Operacional'!$V$5:$V$1000,$N49))</f>
        <v/>
      </c>
      <c r="P49">
        <f>IF($N49="","",N(INDEX('Cronograma R. Operacional'!$W$5:$W$1000,$N49)))</f>
        <v/>
      </c>
      <c r="Q49">
        <f>IF(OR(LEFT($L49,7)="Vencida",LEFT($L49,5)="Vence"),SUMPRODUCT(--(LEFT($L$5:$L49,7)="Vencida"))+SUMPRODUCT(--(LEFT($L$5:$L49,5)="Vence")),"")</f>
        <v/>
      </c>
    </row>
    <row r="50">
      <c r="A50" s="56">
        <f>IF($N50="","",INDEX('Cronograma R. Operacional'!$A$5:$A$1000,$N50))</f>
        <v/>
      </c>
      <c r="B50" s="62">
        <f>IF($N50="","",IF($O50="Sub","      ↳  "&amp;INDEX('Cronograma R. Operacional'!$C$5:$C$1000,$N50),INDEX('Cronograma R. Operacional'!$C$5:$C$1000,$N50)&amp;""))</f>
        <v/>
      </c>
      <c r="C50" s="79">
        <f>IF($N50="","",IF(INDEX('Cronograma R. Operacional'!$AM$5:$AM$1000,$N50)="","",INDEX('Cronograma R. Operacional'!$AM$5:$AM$1000,$N50)))</f>
        <v/>
      </c>
      <c r="D50" s="79">
        <f>IF($N50="","",IF(INDEX('Cronograma R. Operacional'!$AN$5:$AN$1000,$N50)="","",INDEX('Cronograma R. Operacional'!$AN$5:$AN$1000,$N50)))</f>
        <v/>
      </c>
      <c r="E50" s="56">
        <f>IF($N50="","",IF(NOT(ISNUMBER($D50)),"",IF($D50&lt;InicioCiclo,"Antes del ciclo",IF($D50&gt;=InicioCiclo+28,"Después del ciclo","Semana "&amp;(INT(($D50-InicioCiclo)/7)+1)))))</f>
        <v/>
      </c>
      <c r="F50" s="61">
        <f>IF($N50="","",IF($P50&gt;0,IF(1&lt;=SemanaActual,INDEX('Cronograma R. Operacional'!$AC$5:$AC$1000,$N50),""),IF(INDEX('Cronograma R. Operacional'!$I$5:$I$1000,$N50)="","",INDEX('Cronograma R. Operacional'!$I$5:$I$1000,$N50))))</f>
        <v/>
      </c>
      <c r="G50" s="61">
        <f>IF($N50="","",IF($P50&gt;0,IF(2&lt;=SemanaActual,INDEX('Cronograma R. Operacional'!$AD$5:$AD$1000,$N50),""),IF(INDEX('Cronograma R. Operacional'!$J$5:$J$1000,$N50)="","",INDEX('Cronograma R. Operacional'!$J$5:$J$1000,$N50))))</f>
        <v/>
      </c>
      <c r="H50" s="61">
        <f>IF($N50="","",IF($P50&gt;0,IF(3&lt;=SemanaActual,INDEX('Cronograma R. Operacional'!$AE$5:$AE$1000,$N50),""),IF(INDEX('Cronograma R. Operacional'!$K$5:$K$1000,$N50)="","",INDEX('Cronograma R. Operacional'!$K$5:$K$1000,$N50))))</f>
        <v/>
      </c>
      <c r="I50" s="61">
        <f>IF($N50="","",IF($P50&gt;0,IF(4&lt;=SemanaActual,INDEX('Cronograma R. Operacional'!$AF$5:$AF$1000,$N50),""),IF(INDEX('Cronograma R. Operacional'!$L$5:$L$1000,$N50)="","",INDEX('Cronograma R. Operacional'!$L$5:$L$1000,$N50))))</f>
        <v/>
      </c>
      <c r="J50" s="61">
        <f>IF($N50="","",INDEX('Cronograma R. Operacional'!$M$5:$M$1000,$N50))</f>
        <v/>
      </c>
      <c r="K50" s="56">
        <f>IF($N50="","",IF(N($J50)&gt;=1,"Completado",IF(AND(ISNUMBER($D50),$D50&lt;FechaRef),"Vencida",IF(N($J50)&gt;0,"En curso","Pendiente"))))</f>
        <v/>
      </c>
      <c r="L50" s="56">
        <f>IF($N50="","",INDEX('Cronograma R. Operacional'!$O$5:$O$1000,$N50)&amp;"")</f>
        <v/>
      </c>
      <c r="M50" s="62">
        <f>IF($N50="","",INDEX('Cronograma R. Operacional'!$Q$5:$Q$1000,$N50)&amp;"")</f>
        <v/>
      </c>
      <c r="N50">
        <f>IFERROR(MATCH(ROW()-4,rOrden_RO,0),"")</f>
        <v/>
      </c>
      <c r="O50">
        <f>IF($N50="","",INDEX('Cronograma R. Operacional'!$V$5:$V$1000,$N50))</f>
        <v/>
      </c>
      <c r="P50">
        <f>IF($N50="","",N(INDEX('Cronograma R. Operacional'!$W$5:$W$1000,$N50)))</f>
        <v/>
      </c>
      <c r="Q50">
        <f>IF(OR(LEFT($L50,7)="Vencida",LEFT($L50,5)="Vence"),SUMPRODUCT(--(LEFT($L$5:$L50,7)="Vencida"))+SUMPRODUCT(--(LEFT($L$5:$L50,5)="Vence")),"")</f>
        <v/>
      </c>
    </row>
    <row r="51">
      <c r="A51" s="56">
        <f>IF($N51="","",INDEX('Cronograma R. Operacional'!$A$5:$A$1000,$N51))</f>
        <v/>
      </c>
      <c r="B51" s="62">
        <f>IF($N51="","",IF($O51="Sub","      ↳  "&amp;INDEX('Cronograma R. Operacional'!$C$5:$C$1000,$N51),INDEX('Cronograma R. Operacional'!$C$5:$C$1000,$N51)&amp;""))</f>
        <v/>
      </c>
      <c r="C51" s="79">
        <f>IF($N51="","",IF(INDEX('Cronograma R. Operacional'!$AM$5:$AM$1000,$N51)="","",INDEX('Cronograma R. Operacional'!$AM$5:$AM$1000,$N51)))</f>
        <v/>
      </c>
      <c r="D51" s="79">
        <f>IF($N51="","",IF(INDEX('Cronograma R. Operacional'!$AN$5:$AN$1000,$N51)="","",INDEX('Cronograma R. Operacional'!$AN$5:$AN$1000,$N51)))</f>
        <v/>
      </c>
      <c r="E51" s="56">
        <f>IF($N51="","",IF(NOT(ISNUMBER($D51)),"",IF($D51&lt;InicioCiclo,"Antes del ciclo",IF($D51&gt;=InicioCiclo+28,"Después del ciclo","Semana "&amp;(INT(($D51-InicioCiclo)/7)+1)))))</f>
        <v/>
      </c>
      <c r="F51" s="61">
        <f>IF($N51="","",IF($P51&gt;0,IF(1&lt;=SemanaActual,INDEX('Cronograma R. Operacional'!$AC$5:$AC$1000,$N51),""),IF(INDEX('Cronograma R. Operacional'!$I$5:$I$1000,$N51)="","",INDEX('Cronograma R. Operacional'!$I$5:$I$1000,$N51))))</f>
        <v/>
      </c>
      <c r="G51" s="61">
        <f>IF($N51="","",IF($P51&gt;0,IF(2&lt;=SemanaActual,INDEX('Cronograma R. Operacional'!$AD$5:$AD$1000,$N51),""),IF(INDEX('Cronograma R. Operacional'!$J$5:$J$1000,$N51)="","",INDEX('Cronograma R. Operacional'!$J$5:$J$1000,$N51))))</f>
        <v/>
      </c>
      <c r="H51" s="61">
        <f>IF($N51="","",IF($P51&gt;0,IF(3&lt;=SemanaActual,INDEX('Cronograma R. Operacional'!$AE$5:$AE$1000,$N51),""),IF(INDEX('Cronograma R. Operacional'!$K$5:$K$1000,$N51)="","",INDEX('Cronograma R. Operacional'!$K$5:$K$1000,$N51))))</f>
        <v/>
      </c>
      <c r="I51" s="61">
        <f>IF($N51="","",IF($P51&gt;0,IF(4&lt;=SemanaActual,INDEX('Cronograma R. Operacional'!$AF$5:$AF$1000,$N51),""),IF(INDEX('Cronograma R. Operacional'!$L$5:$L$1000,$N51)="","",INDEX('Cronograma R. Operacional'!$L$5:$L$1000,$N51))))</f>
        <v/>
      </c>
      <c r="J51" s="61">
        <f>IF($N51="","",INDEX('Cronograma R. Operacional'!$M$5:$M$1000,$N51))</f>
        <v/>
      </c>
      <c r="K51" s="56">
        <f>IF($N51="","",IF(N($J51)&gt;=1,"Completado",IF(AND(ISNUMBER($D51),$D51&lt;FechaRef),"Vencida",IF(N($J51)&gt;0,"En curso","Pendiente"))))</f>
        <v/>
      </c>
      <c r="L51" s="56">
        <f>IF($N51="","",INDEX('Cronograma R. Operacional'!$O$5:$O$1000,$N51)&amp;"")</f>
        <v/>
      </c>
      <c r="M51" s="62">
        <f>IF($N51="","",INDEX('Cronograma R. Operacional'!$Q$5:$Q$1000,$N51)&amp;"")</f>
        <v/>
      </c>
      <c r="N51">
        <f>IFERROR(MATCH(ROW()-4,rOrden_RO,0),"")</f>
        <v/>
      </c>
      <c r="O51">
        <f>IF($N51="","",INDEX('Cronograma R. Operacional'!$V$5:$V$1000,$N51))</f>
        <v/>
      </c>
      <c r="P51">
        <f>IF($N51="","",N(INDEX('Cronograma R. Operacional'!$W$5:$W$1000,$N51)))</f>
        <v/>
      </c>
      <c r="Q51">
        <f>IF(OR(LEFT($L51,7)="Vencida",LEFT($L51,5)="Vence"),SUMPRODUCT(--(LEFT($L$5:$L51,7)="Vencida"))+SUMPRODUCT(--(LEFT($L$5:$L51,5)="Vence")),"")</f>
        <v/>
      </c>
    </row>
    <row r="52">
      <c r="A52" s="56">
        <f>IF($N52="","",INDEX('Cronograma R. Operacional'!$A$5:$A$1000,$N52))</f>
        <v/>
      </c>
      <c r="B52" s="62">
        <f>IF($N52="","",IF($O52="Sub","      ↳  "&amp;INDEX('Cronograma R. Operacional'!$C$5:$C$1000,$N52),INDEX('Cronograma R. Operacional'!$C$5:$C$1000,$N52)&amp;""))</f>
        <v/>
      </c>
      <c r="C52" s="79">
        <f>IF($N52="","",IF(INDEX('Cronograma R. Operacional'!$AM$5:$AM$1000,$N52)="","",INDEX('Cronograma R. Operacional'!$AM$5:$AM$1000,$N52)))</f>
        <v/>
      </c>
      <c r="D52" s="79">
        <f>IF($N52="","",IF(INDEX('Cronograma R. Operacional'!$AN$5:$AN$1000,$N52)="","",INDEX('Cronograma R. Operacional'!$AN$5:$AN$1000,$N52)))</f>
        <v/>
      </c>
      <c r="E52" s="56">
        <f>IF($N52="","",IF(NOT(ISNUMBER($D52)),"",IF($D52&lt;InicioCiclo,"Antes del ciclo",IF($D52&gt;=InicioCiclo+28,"Después del ciclo","Semana "&amp;(INT(($D52-InicioCiclo)/7)+1)))))</f>
        <v/>
      </c>
      <c r="F52" s="61">
        <f>IF($N52="","",IF($P52&gt;0,IF(1&lt;=SemanaActual,INDEX('Cronograma R. Operacional'!$AC$5:$AC$1000,$N52),""),IF(INDEX('Cronograma R. Operacional'!$I$5:$I$1000,$N52)="","",INDEX('Cronograma R. Operacional'!$I$5:$I$1000,$N52))))</f>
        <v/>
      </c>
      <c r="G52" s="61">
        <f>IF($N52="","",IF($P52&gt;0,IF(2&lt;=SemanaActual,INDEX('Cronograma R. Operacional'!$AD$5:$AD$1000,$N52),""),IF(INDEX('Cronograma R. Operacional'!$J$5:$J$1000,$N52)="","",INDEX('Cronograma R. Operacional'!$J$5:$J$1000,$N52))))</f>
        <v/>
      </c>
      <c r="H52" s="61">
        <f>IF($N52="","",IF($P52&gt;0,IF(3&lt;=SemanaActual,INDEX('Cronograma R. Operacional'!$AE$5:$AE$1000,$N52),""),IF(INDEX('Cronograma R. Operacional'!$K$5:$K$1000,$N52)="","",INDEX('Cronograma R. Operacional'!$K$5:$K$1000,$N52))))</f>
        <v/>
      </c>
      <c r="I52" s="61">
        <f>IF($N52="","",IF($P52&gt;0,IF(4&lt;=SemanaActual,INDEX('Cronograma R. Operacional'!$AF$5:$AF$1000,$N52),""),IF(INDEX('Cronograma R. Operacional'!$L$5:$L$1000,$N52)="","",INDEX('Cronograma R. Operacional'!$L$5:$L$1000,$N52))))</f>
        <v/>
      </c>
      <c r="J52" s="61">
        <f>IF($N52="","",INDEX('Cronograma R. Operacional'!$M$5:$M$1000,$N52))</f>
        <v/>
      </c>
      <c r="K52" s="56">
        <f>IF($N52="","",IF(N($J52)&gt;=1,"Completado",IF(AND(ISNUMBER($D52),$D52&lt;FechaRef),"Vencida",IF(N($J52)&gt;0,"En curso","Pendiente"))))</f>
        <v/>
      </c>
      <c r="L52" s="56">
        <f>IF($N52="","",INDEX('Cronograma R. Operacional'!$O$5:$O$1000,$N52)&amp;"")</f>
        <v/>
      </c>
      <c r="M52" s="62">
        <f>IF($N52="","",INDEX('Cronograma R. Operacional'!$Q$5:$Q$1000,$N52)&amp;"")</f>
        <v/>
      </c>
      <c r="N52">
        <f>IFERROR(MATCH(ROW()-4,rOrden_RO,0),"")</f>
        <v/>
      </c>
      <c r="O52">
        <f>IF($N52="","",INDEX('Cronograma R. Operacional'!$V$5:$V$1000,$N52))</f>
        <v/>
      </c>
      <c r="P52">
        <f>IF($N52="","",N(INDEX('Cronograma R. Operacional'!$W$5:$W$1000,$N52)))</f>
        <v/>
      </c>
      <c r="Q52">
        <f>IF(OR(LEFT($L52,7)="Vencida",LEFT($L52,5)="Vence"),SUMPRODUCT(--(LEFT($L$5:$L52,7)="Vencida"))+SUMPRODUCT(--(LEFT($L$5:$L52,5)="Vence")),"")</f>
        <v/>
      </c>
    </row>
    <row r="53">
      <c r="A53" s="56">
        <f>IF($N53="","",INDEX('Cronograma R. Operacional'!$A$5:$A$1000,$N53))</f>
        <v/>
      </c>
      <c r="B53" s="62">
        <f>IF($N53="","",IF($O53="Sub","      ↳  "&amp;INDEX('Cronograma R. Operacional'!$C$5:$C$1000,$N53),INDEX('Cronograma R. Operacional'!$C$5:$C$1000,$N53)&amp;""))</f>
        <v/>
      </c>
      <c r="C53" s="79">
        <f>IF($N53="","",IF(INDEX('Cronograma R. Operacional'!$AM$5:$AM$1000,$N53)="","",INDEX('Cronograma R. Operacional'!$AM$5:$AM$1000,$N53)))</f>
        <v/>
      </c>
      <c r="D53" s="79">
        <f>IF($N53="","",IF(INDEX('Cronograma R. Operacional'!$AN$5:$AN$1000,$N53)="","",INDEX('Cronograma R. Operacional'!$AN$5:$AN$1000,$N53)))</f>
        <v/>
      </c>
      <c r="E53" s="56">
        <f>IF($N53="","",IF(NOT(ISNUMBER($D53)),"",IF($D53&lt;InicioCiclo,"Antes del ciclo",IF($D53&gt;=InicioCiclo+28,"Después del ciclo","Semana "&amp;(INT(($D53-InicioCiclo)/7)+1)))))</f>
        <v/>
      </c>
      <c r="F53" s="61">
        <f>IF($N53="","",IF($P53&gt;0,IF(1&lt;=SemanaActual,INDEX('Cronograma R. Operacional'!$AC$5:$AC$1000,$N53),""),IF(INDEX('Cronograma R. Operacional'!$I$5:$I$1000,$N53)="","",INDEX('Cronograma R. Operacional'!$I$5:$I$1000,$N53))))</f>
        <v/>
      </c>
      <c r="G53" s="61">
        <f>IF($N53="","",IF($P53&gt;0,IF(2&lt;=SemanaActual,INDEX('Cronograma R. Operacional'!$AD$5:$AD$1000,$N53),""),IF(INDEX('Cronograma R. Operacional'!$J$5:$J$1000,$N53)="","",INDEX('Cronograma R. Operacional'!$J$5:$J$1000,$N53))))</f>
        <v/>
      </c>
      <c r="H53" s="61">
        <f>IF($N53="","",IF($P53&gt;0,IF(3&lt;=SemanaActual,INDEX('Cronograma R. Operacional'!$AE$5:$AE$1000,$N53),""),IF(INDEX('Cronograma R. Operacional'!$K$5:$K$1000,$N53)="","",INDEX('Cronograma R. Operacional'!$K$5:$K$1000,$N53))))</f>
        <v/>
      </c>
      <c r="I53" s="61">
        <f>IF($N53="","",IF($P53&gt;0,IF(4&lt;=SemanaActual,INDEX('Cronograma R. Operacional'!$AF$5:$AF$1000,$N53),""),IF(INDEX('Cronograma R. Operacional'!$L$5:$L$1000,$N53)="","",INDEX('Cronograma R. Operacional'!$L$5:$L$1000,$N53))))</f>
        <v/>
      </c>
      <c r="J53" s="61">
        <f>IF($N53="","",INDEX('Cronograma R. Operacional'!$M$5:$M$1000,$N53))</f>
        <v/>
      </c>
      <c r="K53" s="56">
        <f>IF($N53="","",IF(N($J53)&gt;=1,"Completado",IF(AND(ISNUMBER($D53),$D53&lt;FechaRef),"Vencida",IF(N($J53)&gt;0,"En curso","Pendiente"))))</f>
        <v/>
      </c>
      <c r="L53" s="56">
        <f>IF($N53="","",INDEX('Cronograma R. Operacional'!$O$5:$O$1000,$N53)&amp;"")</f>
        <v/>
      </c>
      <c r="M53" s="62">
        <f>IF($N53="","",INDEX('Cronograma R. Operacional'!$Q$5:$Q$1000,$N53)&amp;"")</f>
        <v/>
      </c>
      <c r="N53">
        <f>IFERROR(MATCH(ROW()-4,rOrden_RO,0),"")</f>
        <v/>
      </c>
      <c r="O53">
        <f>IF($N53="","",INDEX('Cronograma R. Operacional'!$V$5:$V$1000,$N53))</f>
        <v/>
      </c>
      <c r="P53">
        <f>IF($N53="","",N(INDEX('Cronograma R. Operacional'!$W$5:$W$1000,$N53)))</f>
        <v/>
      </c>
      <c r="Q53">
        <f>IF(OR(LEFT($L53,7)="Vencida",LEFT($L53,5)="Vence"),SUMPRODUCT(--(LEFT($L$5:$L53,7)="Vencida"))+SUMPRODUCT(--(LEFT($L$5:$L53,5)="Vence")),"")</f>
        <v/>
      </c>
    </row>
    <row r="54">
      <c r="A54" s="56">
        <f>IF($N54="","",INDEX('Cronograma R. Operacional'!$A$5:$A$1000,$N54))</f>
        <v/>
      </c>
      <c r="B54" s="62">
        <f>IF($N54="","",IF($O54="Sub","      ↳  "&amp;INDEX('Cronograma R. Operacional'!$C$5:$C$1000,$N54),INDEX('Cronograma R. Operacional'!$C$5:$C$1000,$N54)&amp;""))</f>
        <v/>
      </c>
      <c r="C54" s="79">
        <f>IF($N54="","",IF(INDEX('Cronograma R. Operacional'!$AM$5:$AM$1000,$N54)="","",INDEX('Cronograma R. Operacional'!$AM$5:$AM$1000,$N54)))</f>
        <v/>
      </c>
      <c r="D54" s="79">
        <f>IF($N54="","",IF(INDEX('Cronograma R. Operacional'!$AN$5:$AN$1000,$N54)="","",INDEX('Cronograma R. Operacional'!$AN$5:$AN$1000,$N54)))</f>
        <v/>
      </c>
      <c r="E54" s="56">
        <f>IF($N54="","",IF(NOT(ISNUMBER($D54)),"",IF($D54&lt;InicioCiclo,"Antes del ciclo",IF($D54&gt;=InicioCiclo+28,"Después del ciclo","Semana "&amp;(INT(($D54-InicioCiclo)/7)+1)))))</f>
        <v/>
      </c>
      <c r="F54" s="61">
        <f>IF($N54="","",IF($P54&gt;0,IF(1&lt;=SemanaActual,INDEX('Cronograma R. Operacional'!$AC$5:$AC$1000,$N54),""),IF(INDEX('Cronograma R. Operacional'!$I$5:$I$1000,$N54)="","",INDEX('Cronograma R. Operacional'!$I$5:$I$1000,$N54))))</f>
        <v/>
      </c>
      <c r="G54" s="61">
        <f>IF($N54="","",IF($P54&gt;0,IF(2&lt;=SemanaActual,INDEX('Cronograma R. Operacional'!$AD$5:$AD$1000,$N54),""),IF(INDEX('Cronograma R. Operacional'!$J$5:$J$1000,$N54)="","",INDEX('Cronograma R. Operacional'!$J$5:$J$1000,$N54))))</f>
        <v/>
      </c>
      <c r="H54" s="61">
        <f>IF($N54="","",IF($P54&gt;0,IF(3&lt;=SemanaActual,INDEX('Cronograma R. Operacional'!$AE$5:$AE$1000,$N54),""),IF(INDEX('Cronograma R. Operacional'!$K$5:$K$1000,$N54)="","",INDEX('Cronograma R. Operacional'!$K$5:$K$1000,$N54))))</f>
        <v/>
      </c>
      <c r="I54" s="61">
        <f>IF($N54="","",IF($P54&gt;0,IF(4&lt;=SemanaActual,INDEX('Cronograma R. Operacional'!$AF$5:$AF$1000,$N54),""),IF(INDEX('Cronograma R. Operacional'!$L$5:$L$1000,$N54)="","",INDEX('Cronograma R. Operacional'!$L$5:$L$1000,$N54))))</f>
        <v/>
      </c>
      <c r="J54" s="61">
        <f>IF($N54="","",INDEX('Cronograma R. Operacional'!$M$5:$M$1000,$N54))</f>
        <v/>
      </c>
      <c r="K54" s="56">
        <f>IF($N54="","",IF(N($J54)&gt;=1,"Completado",IF(AND(ISNUMBER($D54),$D54&lt;FechaRef),"Vencida",IF(N($J54)&gt;0,"En curso","Pendiente"))))</f>
        <v/>
      </c>
      <c r="L54" s="56">
        <f>IF($N54="","",INDEX('Cronograma R. Operacional'!$O$5:$O$1000,$N54)&amp;"")</f>
        <v/>
      </c>
      <c r="M54" s="62">
        <f>IF($N54="","",INDEX('Cronograma R. Operacional'!$Q$5:$Q$1000,$N54)&amp;"")</f>
        <v/>
      </c>
      <c r="N54">
        <f>IFERROR(MATCH(ROW()-4,rOrden_RO,0),"")</f>
        <v/>
      </c>
      <c r="O54">
        <f>IF($N54="","",INDEX('Cronograma R. Operacional'!$V$5:$V$1000,$N54))</f>
        <v/>
      </c>
      <c r="P54">
        <f>IF($N54="","",N(INDEX('Cronograma R. Operacional'!$W$5:$W$1000,$N54)))</f>
        <v/>
      </c>
      <c r="Q54">
        <f>IF(OR(LEFT($L54,7)="Vencida",LEFT($L54,5)="Vence"),SUMPRODUCT(--(LEFT($L$5:$L54,7)="Vencida"))+SUMPRODUCT(--(LEFT($L$5:$L54,5)="Vence")),"")</f>
        <v/>
      </c>
    </row>
    <row r="55">
      <c r="A55" s="56">
        <f>IF($N55="","",INDEX('Cronograma R. Operacional'!$A$5:$A$1000,$N55))</f>
        <v/>
      </c>
      <c r="B55" s="62">
        <f>IF($N55="","",IF($O55="Sub","      ↳  "&amp;INDEX('Cronograma R. Operacional'!$C$5:$C$1000,$N55),INDEX('Cronograma R. Operacional'!$C$5:$C$1000,$N55)&amp;""))</f>
        <v/>
      </c>
      <c r="C55" s="79">
        <f>IF($N55="","",IF(INDEX('Cronograma R. Operacional'!$AM$5:$AM$1000,$N55)="","",INDEX('Cronograma R. Operacional'!$AM$5:$AM$1000,$N55)))</f>
        <v/>
      </c>
      <c r="D55" s="79">
        <f>IF($N55="","",IF(INDEX('Cronograma R. Operacional'!$AN$5:$AN$1000,$N55)="","",INDEX('Cronograma R. Operacional'!$AN$5:$AN$1000,$N55)))</f>
        <v/>
      </c>
      <c r="E55" s="56">
        <f>IF($N55="","",IF(NOT(ISNUMBER($D55)),"",IF($D55&lt;InicioCiclo,"Antes del ciclo",IF($D55&gt;=InicioCiclo+28,"Después del ciclo","Semana "&amp;(INT(($D55-InicioCiclo)/7)+1)))))</f>
        <v/>
      </c>
      <c r="F55" s="61">
        <f>IF($N55="","",IF($P55&gt;0,IF(1&lt;=SemanaActual,INDEX('Cronograma R. Operacional'!$AC$5:$AC$1000,$N55),""),IF(INDEX('Cronograma R. Operacional'!$I$5:$I$1000,$N55)="","",INDEX('Cronograma R. Operacional'!$I$5:$I$1000,$N55))))</f>
        <v/>
      </c>
      <c r="G55" s="61">
        <f>IF($N55="","",IF($P55&gt;0,IF(2&lt;=SemanaActual,INDEX('Cronograma R. Operacional'!$AD$5:$AD$1000,$N55),""),IF(INDEX('Cronograma R. Operacional'!$J$5:$J$1000,$N55)="","",INDEX('Cronograma R. Operacional'!$J$5:$J$1000,$N55))))</f>
        <v/>
      </c>
      <c r="H55" s="61">
        <f>IF($N55="","",IF($P55&gt;0,IF(3&lt;=SemanaActual,INDEX('Cronograma R. Operacional'!$AE$5:$AE$1000,$N55),""),IF(INDEX('Cronograma R. Operacional'!$K$5:$K$1000,$N55)="","",INDEX('Cronograma R. Operacional'!$K$5:$K$1000,$N55))))</f>
        <v/>
      </c>
      <c r="I55" s="61">
        <f>IF($N55="","",IF($P55&gt;0,IF(4&lt;=SemanaActual,INDEX('Cronograma R. Operacional'!$AF$5:$AF$1000,$N55),""),IF(INDEX('Cronograma R. Operacional'!$L$5:$L$1000,$N55)="","",INDEX('Cronograma R. Operacional'!$L$5:$L$1000,$N55))))</f>
        <v/>
      </c>
      <c r="J55" s="61">
        <f>IF($N55="","",INDEX('Cronograma R. Operacional'!$M$5:$M$1000,$N55))</f>
        <v/>
      </c>
      <c r="K55" s="56">
        <f>IF($N55="","",IF(N($J55)&gt;=1,"Completado",IF(AND(ISNUMBER($D55),$D55&lt;FechaRef),"Vencida",IF(N($J55)&gt;0,"En curso","Pendiente"))))</f>
        <v/>
      </c>
      <c r="L55" s="56">
        <f>IF($N55="","",INDEX('Cronograma R. Operacional'!$O$5:$O$1000,$N55)&amp;"")</f>
        <v/>
      </c>
      <c r="M55" s="62">
        <f>IF($N55="","",INDEX('Cronograma R. Operacional'!$Q$5:$Q$1000,$N55)&amp;"")</f>
        <v/>
      </c>
      <c r="N55">
        <f>IFERROR(MATCH(ROW()-4,rOrden_RO,0),"")</f>
        <v/>
      </c>
      <c r="O55">
        <f>IF($N55="","",INDEX('Cronograma R. Operacional'!$V$5:$V$1000,$N55))</f>
        <v/>
      </c>
      <c r="P55">
        <f>IF($N55="","",N(INDEX('Cronograma R. Operacional'!$W$5:$W$1000,$N55)))</f>
        <v/>
      </c>
      <c r="Q55">
        <f>IF(OR(LEFT($L55,7)="Vencida",LEFT($L55,5)="Vence"),SUMPRODUCT(--(LEFT($L$5:$L55,7)="Vencida"))+SUMPRODUCT(--(LEFT($L$5:$L55,5)="Vence")),"")</f>
        <v/>
      </c>
    </row>
    <row r="56">
      <c r="A56" s="56">
        <f>IF($N56="","",INDEX('Cronograma R. Operacional'!$A$5:$A$1000,$N56))</f>
        <v/>
      </c>
      <c r="B56" s="62">
        <f>IF($N56="","",IF($O56="Sub","      ↳  "&amp;INDEX('Cronograma R. Operacional'!$C$5:$C$1000,$N56),INDEX('Cronograma R. Operacional'!$C$5:$C$1000,$N56)&amp;""))</f>
        <v/>
      </c>
      <c r="C56" s="79">
        <f>IF($N56="","",IF(INDEX('Cronograma R. Operacional'!$AM$5:$AM$1000,$N56)="","",INDEX('Cronograma R. Operacional'!$AM$5:$AM$1000,$N56)))</f>
        <v/>
      </c>
      <c r="D56" s="79">
        <f>IF($N56="","",IF(INDEX('Cronograma R. Operacional'!$AN$5:$AN$1000,$N56)="","",INDEX('Cronograma R. Operacional'!$AN$5:$AN$1000,$N56)))</f>
        <v/>
      </c>
      <c r="E56" s="56">
        <f>IF($N56="","",IF(NOT(ISNUMBER($D56)),"",IF($D56&lt;InicioCiclo,"Antes del ciclo",IF($D56&gt;=InicioCiclo+28,"Después del ciclo","Semana "&amp;(INT(($D56-InicioCiclo)/7)+1)))))</f>
        <v/>
      </c>
      <c r="F56" s="61">
        <f>IF($N56="","",IF($P56&gt;0,IF(1&lt;=SemanaActual,INDEX('Cronograma R. Operacional'!$AC$5:$AC$1000,$N56),""),IF(INDEX('Cronograma R. Operacional'!$I$5:$I$1000,$N56)="","",INDEX('Cronograma R. Operacional'!$I$5:$I$1000,$N56))))</f>
        <v/>
      </c>
      <c r="G56" s="61">
        <f>IF($N56="","",IF($P56&gt;0,IF(2&lt;=SemanaActual,INDEX('Cronograma R. Operacional'!$AD$5:$AD$1000,$N56),""),IF(INDEX('Cronograma R. Operacional'!$J$5:$J$1000,$N56)="","",INDEX('Cronograma R. Operacional'!$J$5:$J$1000,$N56))))</f>
        <v/>
      </c>
      <c r="H56" s="61">
        <f>IF($N56="","",IF($P56&gt;0,IF(3&lt;=SemanaActual,INDEX('Cronograma R. Operacional'!$AE$5:$AE$1000,$N56),""),IF(INDEX('Cronograma R. Operacional'!$K$5:$K$1000,$N56)="","",INDEX('Cronograma R. Operacional'!$K$5:$K$1000,$N56))))</f>
        <v/>
      </c>
      <c r="I56" s="61">
        <f>IF($N56="","",IF($P56&gt;0,IF(4&lt;=SemanaActual,INDEX('Cronograma R. Operacional'!$AF$5:$AF$1000,$N56),""),IF(INDEX('Cronograma R. Operacional'!$L$5:$L$1000,$N56)="","",INDEX('Cronograma R. Operacional'!$L$5:$L$1000,$N56))))</f>
        <v/>
      </c>
      <c r="J56" s="61">
        <f>IF($N56="","",INDEX('Cronograma R. Operacional'!$M$5:$M$1000,$N56))</f>
        <v/>
      </c>
      <c r="K56" s="56">
        <f>IF($N56="","",IF(N($J56)&gt;=1,"Completado",IF(AND(ISNUMBER($D56),$D56&lt;FechaRef),"Vencida",IF(N($J56)&gt;0,"En curso","Pendiente"))))</f>
        <v/>
      </c>
      <c r="L56" s="56">
        <f>IF($N56="","",INDEX('Cronograma R. Operacional'!$O$5:$O$1000,$N56)&amp;"")</f>
        <v/>
      </c>
      <c r="M56" s="62">
        <f>IF($N56="","",INDEX('Cronograma R. Operacional'!$Q$5:$Q$1000,$N56)&amp;"")</f>
        <v/>
      </c>
      <c r="N56">
        <f>IFERROR(MATCH(ROW()-4,rOrden_RO,0),"")</f>
        <v/>
      </c>
      <c r="O56">
        <f>IF($N56="","",INDEX('Cronograma R. Operacional'!$V$5:$V$1000,$N56))</f>
        <v/>
      </c>
      <c r="P56">
        <f>IF($N56="","",N(INDEX('Cronograma R. Operacional'!$W$5:$W$1000,$N56)))</f>
        <v/>
      </c>
      <c r="Q56">
        <f>IF(OR(LEFT($L56,7)="Vencida",LEFT($L56,5)="Vence"),SUMPRODUCT(--(LEFT($L$5:$L56,7)="Vencida"))+SUMPRODUCT(--(LEFT($L$5:$L56,5)="Vence")),"")</f>
        <v/>
      </c>
    </row>
    <row r="57">
      <c r="A57" s="56">
        <f>IF($N57="","",INDEX('Cronograma R. Operacional'!$A$5:$A$1000,$N57))</f>
        <v/>
      </c>
      <c r="B57" s="62">
        <f>IF($N57="","",IF($O57="Sub","      ↳  "&amp;INDEX('Cronograma R. Operacional'!$C$5:$C$1000,$N57),INDEX('Cronograma R. Operacional'!$C$5:$C$1000,$N57)&amp;""))</f>
        <v/>
      </c>
      <c r="C57" s="79">
        <f>IF($N57="","",IF(INDEX('Cronograma R. Operacional'!$AM$5:$AM$1000,$N57)="","",INDEX('Cronograma R. Operacional'!$AM$5:$AM$1000,$N57)))</f>
        <v/>
      </c>
      <c r="D57" s="79">
        <f>IF($N57="","",IF(INDEX('Cronograma R. Operacional'!$AN$5:$AN$1000,$N57)="","",INDEX('Cronograma R. Operacional'!$AN$5:$AN$1000,$N57)))</f>
        <v/>
      </c>
      <c r="E57" s="56">
        <f>IF($N57="","",IF(NOT(ISNUMBER($D57)),"",IF($D57&lt;InicioCiclo,"Antes del ciclo",IF($D57&gt;=InicioCiclo+28,"Después del ciclo","Semana "&amp;(INT(($D57-InicioCiclo)/7)+1)))))</f>
        <v/>
      </c>
      <c r="F57" s="61">
        <f>IF($N57="","",IF($P57&gt;0,IF(1&lt;=SemanaActual,INDEX('Cronograma R. Operacional'!$AC$5:$AC$1000,$N57),""),IF(INDEX('Cronograma R. Operacional'!$I$5:$I$1000,$N57)="","",INDEX('Cronograma R. Operacional'!$I$5:$I$1000,$N57))))</f>
        <v/>
      </c>
      <c r="G57" s="61">
        <f>IF($N57="","",IF($P57&gt;0,IF(2&lt;=SemanaActual,INDEX('Cronograma R. Operacional'!$AD$5:$AD$1000,$N57),""),IF(INDEX('Cronograma R. Operacional'!$J$5:$J$1000,$N57)="","",INDEX('Cronograma R. Operacional'!$J$5:$J$1000,$N57))))</f>
        <v/>
      </c>
      <c r="H57" s="61">
        <f>IF($N57="","",IF($P57&gt;0,IF(3&lt;=SemanaActual,INDEX('Cronograma R. Operacional'!$AE$5:$AE$1000,$N57),""),IF(INDEX('Cronograma R. Operacional'!$K$5:$K$1000,$N57)="","",INDEX('Cronograma R. Operacional'!$K$5:$K$1000,$N57))))</f>
        <v/>
      </c>
      <c r="I57" s="61">
        <f>IF($N57="","",IF($P57&gt;0,IF(4&lt;=SemanaActual,INDEX('Cronograma R. Operacional'!$AF$5:$AF$1000,$N57),""),IF(INDEX('Cronograma R. Operacional'!$L$5:$L$1000,$N57)="","",INDEX('Cronograma R. Operacional'!$L$5:$L$1000,$N57))))</f>
        <v/>
      </c>
      <c r="J57" s="61">
        <f>IF($N57="","",INDEX('Cronograma R. Operacional'!$M$5:$M$1000,$N57))</f>
        <v/>
      </c>
      <c r="K57" s="56">
        <f>IF($N57="","",IF(N($J57)&gt;=1,"Completado",IF(AND(ISNUMBER($D57),$D57&lt;FechaRef),"Vencida",IF(N($J57)&gt;0,"En curso","Pendiente"))))</f>
        <v/>
      </c>
      <c r="L57" s="56">
        <f>IF($N57="","",INDEX('Cronograma R. Operacional'!$O$5:$O$1000,$N57)&amp;"")</f>
        <v/>
      </c>
      <c r="M57" s="62">
        <f>IF($N57="","",INDEX('Cronograma R. Operacional'!$Q$5:$Q$1000,$N57)&amp;"")</f>
        <v/>
      </c>
      <c r="N57">
        <f>IFERROR(MATCH(ROW()-4,rOrden_RO,0),"")</f>
        <v/>
      </c>
      <c r="O57">
        <f>IF($N57="","",INDEX('Cronograma R. Operacional'!$V$5:$V$1000,$N57))</f>
        <v/>
      </c>
      <c r="P57">
        <f>IF($N57="","",N(INDEX('Cronograma R. Operacional'!$W$5:$W$1000,$N57)))</f>
        <v/>
      </c>
      <c r="Q57">
        <f>IF(OR(LEFT($L57,7)="Vencida",LEFT($L57,5)="Vence"),SUMPRODUCT(--(LEFT($L$5:$L57,7)="Vencida"))+SUMPRODUCT(--(LEFT($L$5:$L57,5)="Vence")),"")</f>
        <v/>
      </c>
    </row>
    <row r="58">
      <c r="A58" s="56">
        <f>IF($N58="","",INDEX('Cronograma R. Operacional'!$A$5:$A$1000,$N58))</f>
        <v/>
      </c>
      <c r="B58" s="62">
        <f>IF($N58="","",IF($O58="Sub","      ↳  "&amp;INDEX('Cronograma R. Operacional'!$C$5:$C$1000,$N58),INDEX('Cronograma R. Operacional'!$C$5:$C$1000,$N58)&amp;""))</f>
        <v/>
      </c>
      <c r="C58" s="79">
        <f>IF($N58="","",IF(INDEX('Cronograma R. Operacional'!$AM$5:$AM$1000,$N58)="","",INDEX('Cronograma R. Operacional'!$AM$5:$AM$1000,$N58)))</f>
        <v/>
      </c>
      <c r="D58" s="79">
        <f>IF($N58="","",IF(INDEX('Cronograma R. Operacional'!$AN$5:$AN$1000,$N58)="","",INDEX('Cronograma R. Operacional'!$AN$5:$AN$1000,$N58)))</f>
        <v/>
      </c>
      <c r="E58" s="56">
        <f>IF($N58="","",IF(NOT(ISNUMBER($D58)),"",IF($D58&lt;InicioCiclo,"Antes del ciclo",IF($D58&gt;=InicioCiclo+28,"Después del ciclo","Semana "&amp;(INT(($D58-InicioCiclo)/7)+1)))))</f>
        <v/>
      </c>
      <c r="F58" s="61">
        <f>IF($N58="","",IF($P58&gt;0,IF(1&lt;=SemanaActual,INDEX('Cronograma R. Operacional'!$AC$5:$AC$1000,$N58),""),IF(INDEX('Cronograma R. Operacional'!$I$5:$I$1000,$N58)="","",INDEX('Cronograma R. Operacional'!$I$5:$I$1000,$N58))))</f>
        <v/>
      </c>
      <c r="G58" s="61">
        <f>IF($N58="","",IF($P58&gt;0,IF(2&lt;=SemanaActual,INDEX('Cronograma R. Operacional'!$AD$5:$AD$1000,$N58),""),IF(INDEX('Cronograma R. Operacional'!$J$5:$J$1000,$N58)="","",INDEX('Cronograma R. Operacional'!$J$5:$J$1000,$N58))))</f>
        <v/>
      </c>
      <c r="H58" s="61">
        <f>IF($N58="","",IF($P58&gt;0,IF(3&lt;=SemanaActual,INDEX('Cronograma R. Operacional'!$AE$5:$AE$1000,$N58),""),IF(INDEX('Cronograma R. Operacional'!$K$5:$K$1000,$N58)="","",INDEX('Cronograma R. Operacional'!$K$5:$K$1000,$N58))))</f>
        <v/>
      </c>
      <c r="I58" s="61">
        <f>IF($N58="","",IF($P58&gt;0,IF(4&lt;=SemanaActual,INDEX('Cronograma R. Operacional'!$AF$5:$AF$1000,$N58),""),IF(INDEX('Cronograma R. Operacional'!$L$5:$L$1000,$N58)="","",INDEX('Cronograma R. Operacional'!$L$5:$L$1000,$N58))))</f>
        <v/>
      </c>
      <c r="J58" s="61">
        <f>IF($N58="","",INDEX('Cronograma R. Operacional'!$M$5:$M$1000,$N58))</f>
        <v/>
      </c>
      <c r="K58" s="56">
        <f>IF($N58="","",IF(N($J58)&gt;=1,"Completado",IF(AND(ISNUMBER($D58),$D58&lt;FechaRef),"Vencida",IF(N($J58)&gt;0,"En curso","Pendiente"))))</f>
        <v/>
      </c>
      <c r="L58" s="56">
        <f>IF($N58="","",INDEX('Cronograma R. Operacional'!$O$5:$O$1000,$N58)&amp;"")</f>
        <v/>
      </c>
      <c r="M58" s="62">
        <f>IF($N58="","",INDEX('Cronograma R. Operacional'!$Q$5:$Q$1000,$N58)&amp;"")</f>
        <v/>
      </c>
      <c r="N58">
        <f>IFERROR(MATCH(ROW()-4,rOrden_RO,0),"")</f>
        <v/>
      </c>
      <c r="O58">
        <f>IF($N58="","",INDEX('Cronograma R. Operacional'!$V$5:$V$1000,$N58))</f>
        <v/>
      </c>
      <c r="P58">
        <f>IF($N58="","",N(INDEX('Cronograma R. Operacional'!$W$5:$W$1000,$N58)))</f>
        <v/>
      </c>
      <c r="Q58">
        <f>IF(OR(LEFT($L58,7)="Vencida",LEFT($L58,5)="Vence"),SUMPRODUCT(--(LEFT($L$5:$L58,7)="Vencida"))+SUMPRODUCT(--(LEFT($L$5:$L58,5)="Vence")),"")</f>
        <v/>
      </c>
    </row>
    <row r="59">
      <c r="A59" s="56">
        <f>IF($N59="","",INDEX('Cronograma R. Operacional'!$A$5:$A$1000,$N59))</f>
        <v/>
      </c>
      <c r="B59" s="62">
        <f>IF($N59="","",IF($O59="Sub","      ↳  "&amp;INDEX('Cronograma R. Operacional'!$C$5:$C$1000,$N59),INDEX('Cronograma R. Operacional'!$C$5:$C$1000,$N59)&amp;""))</f>
        <v/>
      </c>
      <c r="C59" s="79">
        <f>IF($N59="","",IF(INDEX('Cronograma R. Operacional'!$AM$5:$AM$1000,$N59)="","",INDEX('Cronograma R. Operacional'!$AM$5:$AM$1000,$N59)))</f>
        <v/>
      </c>
      <c r="D59" s="79">
        <f>IF($N59="","",IF(INDEX('Cronograma R. Operacional'!$AN$5:$AN$1000,$N59)="","",INDEX('Cronograma R. Operacional'!$AN$5:$AN$1000,$N59)))</f>
        <v/>
      </c>
      <c r="E59" s="56">
        <f>IF($N59="","",IF(NOT(ISNUMBER($D59)),"",IF($D59&lt;InicioCiclo,"Antes del ciclo",IF($D59&gt;=InicioCiclo+28,"Después del ciclo","Semana "&amp;(INT(($D59-InicioCiclo)/7)+1)))))</f>
        <v/>
      </c>
      <c r="F59" s="61">
        <f>IF($N59="","",IF($P59&gt;0,IF(1&lt;=SemanaActual,INDEX('Cronograma R. Operacional'!$AC$5:$AC$1000,$N59),""),IF(INDEX('Cronograma R. Operacional'!$I$5:$I$1000,$N59)="","",INDEX('Cronograma R. Operacional'!$I$5:$I$1000,$N59))))</f>
        <v/>
      </c>
      <c r="G59" s="61">
        <f>IF($N59="","",IF($P59&gt;0,IF(2&lt;=SemanaActual,INDEX('Cronograma R. Operacional'!$AD$5:$AD$1000,$N59),""),IF(INDEX('Cronograma R. Operacional'!$J$5:$J$1000,$N59)="","",INDEX('Cronograma R. Operacional'!$J$5:$J$1000,$N59))))</f>
        <v/>
      </c>
      <c r="H59" s="61">
        <f>IF($N59="","",IF($P59&gt;0,IF(3&lt;=SemanaActual,INDEX('Cronograma R. Operacional'!$AE$5:$AE$1000,$N59),""),IF(INDEX('Cronograma R. Operacional'!$K$5:$K$1000,$N59)="","",INDEX('Cronograma R. Operacional'!$K$5:$K$1000,$N59))))</f>
        <v/>
      </c>
      <c r="I59" s="61">
        <f>IF($N59="","",IF($P59&gt;0,IF(4&lt;=SemanaActual,INDEX('Cronograma R. Operacional'!$AF$5:$AF$1000,$N59),""),IF(INDEX('Cronograma R. Operacional'!$L$5:$L$1000,$N59)="","",INDEX('Cronograma R. Operacional'!$L$5:$L$1000,$N59))))</f>
        <v/>
      </c>
      <c r="J59" s="61">
        <f>IF($N59="","",INDEX('Cronograma R. Operacional'!$M$5:$M$1000,$N59))</f>
        <v/>
      </c>
      <c r="K59" s="56">
        <f>IF($N59="","",IF(N($J59)&gt;=1,"Completado",IF(AND(ISNUMBER($D59),$D59&lt;FechaRef),"Vencida",IF(N($J59)&gt;0,"En curso","Pendiente"))))</f>
        <v/>
      </c>
      <c r="L59" s="56">
        <f>IF($N59="","",INDEX('Cronograma R. Operacional'!$O$5:$O$1000,$N59)&amp;"")</f>
        <v/>
      </c>
      <c r="M59" s="62">
        <f>IF($N59="","",INDEX('Cronograma R. Operacional'!$Q$5:$Q$1000,$N59)&amp;"")</f>
        <v/>
      </c>
      <c r="N59">
        <f>IFERROR(MATCH(ROW()-4,rOrden_RO,0),"")</f>
        <v/>
      </c>
      <c r="O59">
        <f>IF($N59="","",INDEX('Cronograma R. Operacional'!$V$5:$V$1000,$N59))</f>
        <v/>
      </c>
      <c r="P59">
        <f>IF($N59="","",N(INDEX('Cronograma R. Operacional'!$W$5:$W$1000,$N59)))</f>
        <v/>
      </c>
      <c r="Q59">
        <f>IF(OR(LEFT($L59,7)="Vencida",LEFT($L59,5)="Vence"),SUMPRODUCT(--(LEFT($L$5:$L59,7)="Vencida"))+SUMPRODUCT(--(LEFT($L$5:$L59,5)="Vence")),"")</f>
        <v/>
      </c>
    </row>
    <row r="60">
      <c r="A60" s="56">
        <f>IF($N60="","",INDEX('Cronograma R. Operacional'!$A$5:$A$1000,$N60))</f>
        <v/>
      </c>
      <c r="B60" s="62">
        <f>IF($N60="","",IF($O60="Sub","      ↳  "&amp;INDEX('Cronograma R. Operacional'!$C$5:$C$1000,$N60),INDEX('Cronograma R. Operacional'!$C$5:$C$1000,$N60)&amp;""))</f>
        <v/>
      </c>
      <c r="C60" s="79">
        <f>IF($N60="","",IF(INDEX('Cronograma R. Operacional'!$AM$5:$AM$1000,$N60)="","",INDEX('Cronograma R. Operacional'!$AM$5:$AM$1000,$N60)))</f>
        <v/>
      </c>
      <c r="D60" s="79">
        <f>IF($N60="","",IF(INDEX('Cronograma R. Operacional'!$AN$5:$AN$1000,$N60)="","",INDEX('Cronograma R. Operacional'!$AN$5:$AN$1000,$N60)))</f>
        <v/>
      </c>
      <c r="E60" s="56">
        <f>IF($N60="","",IF(NOT(ISNUMBER($D60)),"",IF($D60&lt;InicioCiclo,"Antes del ciclo",IF($D60&gt;=InicioCiclo+28,"Después del ciclo","Semana "&amp;(INT(($D60-InicioCiclo)/7)+1)))))</f>
        <v/>
      </c>
      <c r="F60" s="61">
        <f>IF($N60="","",IF($P60&gt;0,IF(1&lt;=SemanaActual,INDEX('Cronograma R. Operacional'!$AC$5:$AC$1000,$N60),""),IF(INDEX('Cronograma R. Operacional'!$I$5:$I$1000,$N60)="","",INDEX('Cronograma R. Operacional'!$I$5:$I$1000,$N60))))</f>
        <v/>
      </c>
      <c r="G60" s="61">
        <f>IF($N60="","",IF($P60&gt;0,IF(2&lt;=SemanaActual,INDEX('Cronograma R. Operacional'!$AD$5:$AD$1000,$N60),""),IF(INDEX('Cronograma R. Operacional'!$J$5:$J$1000,$N60)="","",INDEX('Cronograma R. Operacional'!$J$5:$J$1000,$N60))))</f>
        <v/>
      </c>
      <c r="H60" s="61">
        <f>IF($N60="","",IF($P60&gt;0,IF(3&lt;=SemanaActual,INDEX('Cronograma R. Operacional'!$AE$5:$AE$1000,$N60),""),IF(INDEX('Cronograma R. Operacional'!$K$5:$K$1000,$N60)="","",INDEX('Cronograma R. Operacional'!$K$5:$K$1000,$N60))))</f>
        <v/>
      </c>
      <c r="I60" s="61">
        <f>IF($N60="","",IF($P60&gt;0,IF(4&lt;=SemanaActual,INDEX('Cronograma R. Operacional'!$AF$5:$AF$1000,$N60),""),IF(INDEX('Cronograma R. Operacional'!$L$5:$L$1000,$N60)="","",INDEX('Cronograma R. Operacional'!$L$5:$L$1000,$N60))))</f>
        <v/>
      </c>
      <c r="J60" s="61">
        <f>IF($N60="","",INDEX('Cronograma R. Operacional'!$M$5:$M$1000,$N60))</f>
        <v/>
      </c>
      <c r="K60" s="56">
        <f>IF($N60="","",IF(N($J60)&gt;=1,"Completado",IF(AND(ISNUMBER($D60),$D60&lt;FechaRef),"Vencida",IF(N($J60)&gt;0,"En curso","Pendiente"))))</f>
        <v/>
      </c>
      <c r="L60" s="56">
        <f>IF($N60="","",INDEX('Cronograma R. Operacional'!$O$5:$O$1000,$N60)&amp;"")</f>
        <v/>
      </c>
      <c r="M60" s="62">
        <f>IF($N60="","",INDEX('Cronograma R. Operacional'!$Q$5:$Q$1000,$N60)&amp;"")</f>
        <v/>
      </c>
      <c r="N60">
        <f>IFERROR(MATCH(ROW()-4,rOrden_RO,0),"")</f>
        <v/>
      </c>
      <c r="O60">
        <f>IF($N60="","",INDEX('Cronograma R. Operacional'!$V$5:$V$1000,$N60))</f>
        <v/>
      </c>
      <c r="P60">
        <f>IF($N60="","",N(INDEX('Cronograma R. Operacional'!$W$5:$W$1000,$N60)))</f>
        <v/>
      </c>
      <c r="Q60">
        <f>IF(OR(LEFT($L60,7)="Vencida",LEFT($L60,5)="Vence"),SUMPRODUCT(--(LEFT($L$5:$L60,7)="Vencida"))+SUMPRODUCT(--(LEFT($L$5:$L60,5)="Vence")),"")</f>
        <v/>
      </c>
    </row>
    <row r="61">
      <c r="A61" s="56">
        <f>IF($N61="","",INDEX('Cronograma R. Operacional'!$A$5:$A$1000,$N61))</f>
        <v/>
      </c>
      <c r="B61" s="62">
        <f>IF($N61="","",IF($O61="Sub","      ↳  "&amp;INDEX('Cronograma R. Operacional'!$C$5:$C$1000,$N61),INDEX('Cronograma R. Operacional'!$C$5:$C$1000,$N61)&amp;""))</f>
        <v/>
      </c>
      <c r="C61" s="79">
        <f>IF($N61="","",IF(INDEX('Cronograma R. Operacional'!$AM$5:$AM$1000,$N61)="","",INDEX('Cronograma R. Operacional'!$AM$5:$AM$1000,$N61)))</f>
        <v/>
      </c>
      <c r="D61" s="79">
        <f>IF($N61="","",IF(INDEX('Cronograma R. Operacional'!$AN$5:$AN$1000,$N61)="","",INDEX('Cronograma R. Operacional'!$AN$5:$AN$1000,$N61)))</f>
        <v/>
      </c>
      <c r="E61" s="56">
        <f>IF($N61="","",IF(NOT(ISNUMBER($D61)),"",IF($D61&lt;InicioCiclo,"Antes del ciclo",IF($D61&gt;=InicioCiclo+28,"Después del ciclo","Semana "&amp;(INT(($D61-InicioCiclo)/7)+1)))))</f>
        <v/>
      </c>
      <c r="F61" s="61">
        <f>IF($N61="","",IF($P61&gt;0,IF(1&lt;=SemanaActual,INDEX('Cronograma R. Operacional'!$AC$5:$AC$1000,$N61),""),IF(INDEX('Cronograma R. Operacional'!$I$5:$I$1000,$N61)="","",INDEX('Cronograma R. Operacional'!$I$5:$I$1000,$N61))))</f>
        <v/>
      </c>
      <c r="G61" s="61">
        <f>IF($N61="","",IF($P61&gt;0,IF(2&lt;=SemanaActual,INDEX('Cronograma R. Operacional'!$AD$5:$AD$1000,$N61),""),IF(INDEX('Cronograma R. Operacional'!$J$5:$J$1000,$N61)="","",INDEX('Cronograma R. Operacional'!$J$5:$J$1000,$N61))))</f>
        <v/>
      </c>
      <c r="H61" s="61">
        <f>IF($N61="","",IF($P61&gt;0,IF(3&lt;=SemanaActual,INDEX('Cronograma R. Operacional'!$AE$5:$AE$1000,$N61),""),IF(INDEX('Cronograma R. Operacional'!$K$5:$K$1000,$N61)="","",INDEX('Cronograma R. Operacional'!$K$5:$K$1000,$N61))))</f>
        <v/>
      </c>
      <c r="I61" s="61">
        <f>IF($N61="","",IF($P61&gt;0,IF(4&lt;=SemanaActual,INDEX('Cronograma R. Operacional'!$AF$5:$AF$1000,$N61),""),IF(INDEX('Cronograma R. Operacional'!$L$5:$L$1000,$N61)="","",INDEX('Cronograma R. Operacional'!$L$5:$L$1000,$N61))))</f>
        <v/>
      </c>
      <c r="J61" s="61">
        <f>IF($N61="","",INDEX('Cronograma R. Operacional'!$M$5:$M$1000,$N61))</f>
        <v/>
      </c>
      <c r="K61" s="56">
        <f>IF($N61="","",IF(N($J61)&gt;=1,"Completado",IF(AND(ISNUMBER($D61),$D61&lt;FechaRef),"Vencida",IF(N($J61)&gt;0,"En curso","Pendiente"))))</f>
        <v/>
      </c>
      <c r="L61" s="56">
        <f>IF($N61="","",INDEX('Cronograma R. Operacional'!$O$5:$O$1000,$N61)&amp;"")</f>
        <v/>
      </c>
      <c r="M61" s="62">
        <f>IF($N61="","",INDEX('Cronograma R. Operacional'!$Q$5:$Q$1000,$N61)&amp;"")</f>
        <v/>
      </c>
      <c r="N61">
        <f>IFERROR(MATCH(ROW()-4,rOrden_RO,0),"")</f>
        <v/>
      </c>
      <c r="O61">
        <f>IF($N61="","",INDEX('Cronograma R. Operacional'!$V$5:$V$1000,$N61))</f>
        <v/>
      </c>
      <c r="P61">
        <f>IF($N61="","",N(INDEX('Cronograma R. Operacional'!$W$5:$W$1000,$N61)))</f>
        <v/>
      </c>
      <c r="Q61">
        <f>IF(OR(LEFT($L61,7)="Vencida",LEFT($L61,5)="Vence"),SUMPRODUCT(--(LEFT($L$5:$L61,7)="Vencida"))+SUMPRODUCT(--(LEFT($L$5:$L61,5)="Vence")),"")</f>
        <v/>
      </c>
    </row>
    <row r="62">
      <c r="A62" s="56">
        <f>IF($N62="","",INDEX('Cronograma R. Operacional'!$A$5:$A$1000,$N62))</f>
        <v/>
      </c>
      <c r="B62" s="62">
        <f>IF($N62="","",IF($O62="Sub","      ↳  "&amp;INDEX('Cronograma R. Operacional'!$C$5:$C$1000,$N62),INDEX('Cronograma R. Operacional'!$C$5:$C$1000,$N62)&amp;""))</f>
        <v/>
      </c>
      <c r="C62" s="79">
        <f>IF($N62="","",IF(INDEX('Cronograma R. Operacional'!$AM$5:$AM$1000,$N62)="","",INDEX('Cronograma R. Operacional'!$AM$5:$AM$1000,$N62)))</f>
        <v/>
      </c>
      <c r="D62" s="79">
        <f>IF($N62="","",IF(INDEX('Cronograma R. Operacional'!$AN$5:$AN$1000,$N62)="","",INDEX('Cronograma R. Operacional'!$AN$5:$AN$1000,$N62)))</f>
        <v/>
      </c>
      <c r="E62" s="56">
        <f>IF($N62="","",IF(NOT(ISNUMBER($D62)),"",IF($D62&lt;InicioCiclo,"Antes del ciclo",IF($D62&gt;=InicioCiclo+28,"Después del ciclo","Semana "&amp;(INT(($D62-InicioCiclo)/7)+1)))))</f>
        <v/>
      </c>
      <c r="F62" s="61">
        <f>IF($N62="","",IF($P62&gt;0,IF(1&lt;=SemanaActual,INDEX('Cronograma R. Operacional'!$AC$5:$AC$1000,$N62),""),IF(INDEX('Cronograma R. Operacional'!$I$5:$I$1000,$N62)="","",INDEX('Cronograma R. Operacional'!$I$5:$I$1000,$N62))))</f>
        <v/>
      </c>
      <c r="G62" s="61">
        <f>IF($N62="","",IF($P62&gt;0,IF(2&lt;=SemanaActual,INDEX('Cronograma R. Operacional'!$AD$5:$AD$1000,$N62),""),IF(INDEX('Cronograma R. Operacional'!$J$5:$J$1000,$N62)="","",INDEX('Cronograma R. Operacional'!$J$5:$J$1000,$N62))))</f>
        <v/>
      </c>
      <c r="H62" s="61">
        <f>IF($N62="","",IF($P62&gt;0,IF(3&lt;=SemanaActual,INDEX('Cronograma R. Operacional'!$AE$5:$AE$1000,$N62),""),IF(INDEX('Cronograma R. Operacional'!$K$5:$K$1000,$N62)="","",INDEX('Cronograma R. Operacional'!$K$5:$K$1000,$N62))))</f>
        <v/>
      </c>
      <c r="I62" s="61">
        <f>IF($N62="","",IF($P62&gt;0,IF(4&lt;=SemanaActual,INDEX('Cronograma R. Operacional'!$AF$5:$AF$1000,$N62),""),IF(INDEX('Cronograma R. Operacional'!$L$5:$L$1000,$N62)="","",INDEX('Cronograma R. Operacional'!$L$5:$L$1000,$N62))))</f>
        <v/>
      </c>
      <c r="J62" s="61">
        <f>IF($N62="","",INDEX('Cronograma R. Operacional'!$M$5:$M$1000,$N62))</f>
        <v/>
      </c>
      <c r="K62" s="56">
        <f>IF($N62="","",IF(N($J62)&gt;=1,"Completado",IF(AND(ISNUMBER($D62),$D62&lt;FechaRef),"Vencida",IF(N($J62)&gt;0,"En curso","Pendiente"))))</f>
        <v/>
      </c>
      <c r="L62" s="56">
        <f>IF($N62="","",INDEX('Cronograma R. Operacional'!$O$5:$O$1000,$N62)&amp;"")</f>
        <v/>
      </c>
      <c r="M62" s="62">
        <f>IF($N62="","",INDEX('Cronograma R. Operacional'!$Q$5:$Q$1000,$N62)&amp;"")</f>
        <v/>
      </c>
      <c r="N62">
        <f>IFERROR(MATCH(ROW()-4,rOrden_RO,0),"")</f>
        <v/>
      </c>
      <c r="O62">
        <f>IF($N62="","",INDEX('Cronograma R. Operacional'!$V$5:$V$1000,$N62))</f>
        <v/>
      </c>
      <c r="P62">
        <f>IF($N62="","",N(INDEX('Cronograma R. Operacional'!$W$5:$W$1000,$N62)))</f>
        <v/>
      </c>
      <c r="Q62">
        <f>IF(OR(LEFT($L62,7)="Vencida",LEFT($L62,5)="Vence"),SUMPRODUCT(--(LEFT($L$5:$L62,7)="Vencida"))+SUMPRODUCT(--(LEFT($L$5:$L62,5)="Vence")),"")</f>
        <v/>
      </c>
    </row>
    <row r="63">
      <c r="A63" s="56">
        <f>IF($N63="","",INDEX('Cronograma R. Operacional'!$A$5:$A$1000,$N63))</f>
        <v/>
      </c>
      <c r="B63" s="62">
        <f>IF($N63="","",IF($O63="Sub","      ↳  "&amp;INDEX('Cronograma R. Operacional'!$C$5:$C$1000,$N63),INDEX('Cronograma R. Operacional'!$C$5:$C$1000,$N63)&amp;""))</f>
        <v/>
      </c>
      <c r="C63" s="79">
        <f>IF($N63="","",IF(INDEX('Cronograma R. Operacional'!$AM$5:$AM$1000,$N63)="","",INDEX('Cronograma R. Operacional'!$AM$5:$AM$1000,$N63)))</f>
        <v/>
      </c>
      <c r="D63" s="79">
        <f>IF($N63="","",IF(INDEX('Cronograma R. Operacional'!$AN$5:$AN$1000,$N63)="","",INDEX('Cronograma R. Operacional'!$AN$5:$AN$1000,$N63)))</f>
        <v/>
      </c>
      <c r="E63" s="56">
        <f>IF($N63="","",IF(NOT(ISNUMBER($D63)),"",IF($D63&lt;InicioCiclo,"Antes del ciclo",IF($D63&gt;=InicioCiclo+28,"Después del ciclo","Semana "&amp;(INT(($D63-InicioCiclo)/7)+1)))))</f>
        <v/>
      </c>
      <c r="F63" s="61">
        <f>IF($N63="","",IF($P63&gt;0,IF(1&lt;=SemanaActual,INDEX('Cronograma R. Operacional'!$AC$5:$AC$1000,$N63),""),IF(INDEX('Cronograma R. Operacional'!$I$5:$I$1000,$N63)="","",INDEX('Cronograma R. Operacional'!$I$5:$I$1000,$N63))))</f>
        <v/>
      </c>
      <c r="G63" s="61">
        <f>IF($N63="","",IF($P63&gt;0,IF(2&lt;=SemanaActual,INDEX('Cronograma R. Operacional'!$AD$5:$AD$1000,$N63),""),IF(INDEX('Cronograma R. Operacional'!$J$5:$J$1000,$N63)="","",INDEX('Cronograma R. Operacional'!$J$5:$J$1000,$N63))))</f>
        <v/>
      </c>
      <c r="H63" s="61">
        <f>IF($N63="","",IF($P63&gt;0,IF(3&lt;=SemanaActual,INDEX('Cronograma R. Operacional'!$AE$5:$AE$1000,$N63),""),IF(INDEX('Cronograma R. Operacional'!$K$5:$K$1000,$N63)="","",INDEX('Cronograma R. Operacional'!$K$5:$K$1000,$N63))))</f>
        <v/>
      </c>
      <c r="I63" s="61">
        <f>IF($N63="","",IF($P63&gt;0,IF(4&lt;=SemanaActual,INDEX('Cronograma R. Operacional'!$AF$5:$AF$1000,$N63),""),IF(INDEX('Cronograma R. Operacional'!$L$5:$L$1000,$N63)="","",INDEX('Cronograma R. Operacional'!$L$5:$L$1000,$N63))))</f>
        <v/>
      </c>
      <c r="J63" s="61">
        <f>IF($N63="","",INDEX('Cronograma R. Operacional'!$M$5:$M$1000,$N63))</f>
        <v/>
      </c>
      <c r="K63" s="56">
        <f>IF($N63="","",IF(N($J63)&gt;=1,"Completado",IF(AND(ISNUMBER($D63),$D63&lt;FechaRef),"Vencida",IF(N($J63)&gt;0,"En curso","Pendiente"))))</f>
        <v/>
      </c>
      <c r="L63" s="56">
        <f>IF($N63="","",INDEX('Cronograma R. Operacional'!$O$5:$O$1000,$N63)&amp;"")</f>
        <v/>
      </c>
      <c r="M63" s="62">
        <f>IF($N63="","",INDEX('Cronograma R. Operacional'!$Q$5:$Q$1000,$N63)&amp;"")</f>
        <v/>
      </c>
      <c r="N63">
        <f>IFERROR(MATCH(ROW()-4,rOrden_RO,0),"")</f>
        <v/>
      </c>
      <c r="O63">
        <f>IF($N63="","",INDEX('Cronograma R. Operacional'!$V$5:$V$1000,$N63))</f>
        <v/>
      </c>
      <c r="P63">
        <f>IF($N63="","",N(INDEX('Cronograma R. Operacional'!$W$5:$W$1000,$N63)))</f>
        <v/>
      </c>
      <c r="Q63">
        <f>IF(OR(LEFT($L63,7)="Vencida",LEFT($L63,5)="Vence"),SUMPRODUCT(--(LEFT($L$5:$L63,7)="Vencida"))+SUMPRODUCT(--(LEFT($L$5:$L63,5)="Vence")),"")</f>
        <v/>
      </c>
    </row>
    <row r="64">
      <c r="A64" s="56">
        <f>IF($N64="","",INDEX('Cronograma R. Operacional'!$A$5:$A$1000,$N64))</f>
        <v/>
      </c>
      <c r="B64" s="62">
        <f>IF($N64="","",IF($O64="Sub","      ↳  "&amp;INDEX('Cronograma R. Operacional'!$C$5:$C$1000,$N64),INDEX('Cronograma R. Operacional'!$C$5:$C$1000,$N64)&amp;""))</f>
        <v/>
      </c>
      <c r="C64" s="79">
        <f>IF($N64="","",IF(INDEX('Cronograma R. Operacional'!$AM$5:$AM$1000,$N64)="","",INDEX('Cronograma R. Operacional'!$AM$5:$AM$1000,$N64)))</f>
        <v/>
      </c>
      <c r="D64" s="79">
        <f>IF($N64="","",IF(INDEX('Cronograma R. Operacional'!$AN$5:$AN$1000,$N64)="","",INDEX('Cronograma R. Operacional'!$AN$5:$AN$1000,$N64)))</f>
        <v/>
      </c>
      <c r="E64" s="56">
        <f>IF($N64="","",IF(NOT(ISNUMBER($D64)),"",IF($D64&lt;InicioCiclo,"Antes del ciclo",IF($D64&gt;=InicioCiclo+28,"Después del ciclo","Semana "&amp;(INT(($D64-InicioCiclo)/7)+1)))))</f>
        <v/>
      </c>
      <c r="F64" s="61">
        <f>IF($N64="","",IF($P64&gt;0,IF(1&lt;=SemanaActual,INDEX('Cronograma R. Operacional'!$AC$5:$AC$1000,$N64),""),IF(INDEX('Cronograma R. Operacional'!$I$5:$I$1000,$N64)="","",INDEX('Cronograma R. Operacional'!$I$5:$I$1000,$N64))))</f>
        <v/>
      </c>
      <c r="G64" s="61">
        <f>IF($N64="","",IF($P64&gt;0,IF(2&lt;=SemanaActual,INDEX('Cronograma R. Operacional'!$AD$5:$AD$1000,$N64),""),IF(INDEX('Cronograma R. Operacional'!$J$5:$J$1000,$N64)="","",INDEX('Cronograma R. Operacional'!$J$5:$J$1000,$N64))))</f>
        <v/>
      </c>
      <c r="H64" s="61">
        <f>IF($N64="","",IF($P64&gt;0,IF(3&lt;=SemanaActual,INDEX('Cronograma R. Operacional'!$AE$5:$AE$1000,$N64),""),IF(INDEX('Cronograma R. Operacional'!$K$5:$K$1000,$N64)="","",INDEX('Cronograma R. Operacional'!$K$5:$K$1000,$N64))))</f>
        <v/>
      </c>
      <c r="I64" s="61">
        <f>IF($N64="","",IF($P64&gt;0,IF(4&lt;=SemanaActual,INDEX('Cronograma R. Operacional'!$AF$5:$AF$1000,$N64),""),IF(INDEX('Cronograma R. Operacional'!$L$5:$L$1000,$N64)="","",INDEX('Cronograma R. Operacional'!$L$5:$L$1000,$N64))))</f>
        <v/>
      </c>
      <c r="J64" s="61">
        <f>IF($N64="","",INDEX('Cronograma R. Operacional'!$M$5:$M$1000,$N64))</f>
        <v/>
      </c>
      <c r="K64" s="56">
        <f>IF($N64="","",IF(N($J64)&gt;=1,"Completado",IF(AND(ISNUMBER($D64),$D64&lt;FechaRef),"Vencida",IF(N($J64)&gt;0,"En curso","Pendiente"))))</f>
        <v/>
      </c>
      <c r="L64" s="56">
        <f>IF($N64="","",INDEX('Cronograma R. Operacional'!$O$5:$O$1000,$N64)&amp;"")</f>
        <v/>
      </c>
      <c r="M64" s="62">
        <f>IF($N64="","",INDEX('Cronograma R. Operacional'!$Q$5:$Q$1000,$N64)&amp;"")</f>
        <v/>
      </c>
      <c r="N64">
        <f>IFERROR(MATCH(ROW()-4,rOrden_RO,0),"")</f>
        <v/>
      </c>
      <c r="O64">
        <f>IF($N64="","",INDEX('Cronograma R. Operacional'!$V$5:$V$1000,$N64))</f>
        <v/>
      </c>
      <c r="P64">
        <f>IF($N64="","",N(INDEX('Cronograma R. Operacional'!$W$5:$W$1000,$N64)))</f>
        <v/>
      </c>
      <c r="Q64">
        <f>IF(OR(LEFT($L64,7)="Vencida",LEFT($L64,5)="Vence"),SUMPRODUCT(--(LEFT($L$5:$L64,7)="Vencida"))+SUMPRODUCT(--(LEFT($L$5:$L64,5)="Vence")),"")</f>
        <v/>
      </c>
    </row>
    <row r="65">
      <c r="A65" s="56">
        <f>IF($N65="","",INDEX('Cronograma R. Operacional'!$A$5:$A$1000,$N65))</f>
        <v/>
      </c>
      <c r="B65" s="62">
        <f>IF($N65="","",IF($O65="Sub","      ↳  "&amp;INDEX('Cronograma R. Operacional'!$C$5:$C$1000,$N65),INDEX('Cronograma R. Operacional'!$C$5:$C$1000,$N65)&amp;""))</f>
        <v/>
      </c>
      <c r="C65" s="79">
        <f>IF($N65="","",IF(INDEX('Cronograma R. Operacional'!$AM$5:$AM$1000,$N65)="","",INDEX('Cronograma R. Operacional'!$AM$5:$AM$1000,$N65)))</f>
        <v/>
      </c>
      <c r="D65" s="79">
        <f>IF($N65="","",IF(INDEX('Cronograma R. Operacional'!$AN$5:$AN$1000,$N65)="","",INDEX('Cronograma R. Operacional'!$AN$5:$AN$1000,$N65)))</f>
        <v/>
      </c>
      <c r="E65" s="56">
        <f>IF($N65="","",IF(NOT(ISNUMBER($D65)),"",IF($D65&lt;InicioCiclo,"Antes del ciclo",IF($D65&gt;=InicioCiclo+28,"Después del ciclo","Semana "&amp;(INT(($D65-InicioCiclo)/7)+1)))))</f>
        <v/>
      </c>
      <c r="F65" s="61">
        <f>IF($N65="","",IF($P65&gt;0,IF(1&lt;=SemanaActual,INDEX('Cronograma R. Operacional'!$AC$5:$AC$1000,$N65),""),IF(INDEX('Cronograma R. Operacional'!$I$5:$I$1000,$N65)="","",INDEX('Cronograma R. Operacional'!$I$5:$I$1000,$N65))))</f>
        <v/>
      </c>
      <c r="G65" s="61">
        <f>IF($N65="","",IF($P65&gt;0,IF(2&lt;=SemanaActual,INDEX('Cronograma R. Operacional'!$AD$5:$AD$1000,$N65),""),IF(INDEX('Cronograma R. Operacional'!$J$5:$J$1000,$N65)="","",INDEX('Cronograma R. Operacional'!$J$5:$J$1000,$N65))))</f>
        <v/>
      </c>
      <c r="H65" s="61">
        <f>IF($N65="","",IF($P65&gt;0,IF(3&lt;=SemanaActual,INDEX('Cronograma R. Operacional'!$AE$5:$AE$1000,$N65),""),IF(INDEX('Cronograma R. Operacional'!$K$5:$K$1000,$N65)="","",INDEX('Cronograma R. Operacional'!$K$5:$K$1000,$N65))))</f>
        <v/>
      </c>
      <c r="I65" s="61">
        <f>IF($N65="","",IF($P65&gt;0,IF(4&lt;=SemanaActual,INDEX('Cronograma R. Operacional'!$AF$5:$AF$1000,$N65),""),IF(INDEX('Cronograma R. Operacional'!$L$5:$L$1000,$N65)="","",INDEX('Cronograma R. Operacional'!$L$5:$L$1000,$N65))))</f>
        <v/>
      </c>
      <c r="J65" s="61">
        <f>IF($N65="","",INDEX('Cronograma R. Operacional'!$M$5:$M$1000,$N65))</f>
        <v/>
      </c>
      <c r="K65" s="56">
        <f>IF($N65="","",IF(N($J65)&gt;=1,"Completado",IF(AND(ISNUMBER($D65),$D65&lt;FechaRef),"Vencida",IF(N($J65)&gt;0,"En curso","Pendiente"))))</f>
        <v/>
      </c>
      <c r="L65" s="56">
        <f>IF($N65="","",INDEX('Cronograma R. Operacional'!$O$5:$O$1000,$N65)&amp;"")</f>
        <v/>
      </c>
      <c r="M65" s="62">
        <f>IF($N65="","",INDEX('Cronograma R. Operacional'!$Q$5:$Q$1000,$N65)&amp;"")</f>
        <v/>
      </c>
      <c r="N65">
        <f>IFERROR(MATCH(ROW()-4,rOrden_RO,0),"")</f>
        <v/>
      </c>
      <c r="O65">
        <f>IF($N65="","",INDEX('Cronograma R. Operacional'!$V$5:$V$1000,$N65))</f>
        <v/>
      </c>
      <c r="P65">
        <f>IF($N65="","",N(INDEX('Cronograma R. Operacional'!$W$5:$W$1000,$N65)))</f>
        <v/>
      </c>
      <c r="Q65">
        <f>IF(OR(LEFT($L65,7)="Vencida",LEFT($L65,5)="Vence"),SUMPRODUCT(--(LEFT($L$5:$L65,7)="Vencida"))+SUMPRODUCT(--(LEFT($L$5:$L65,5)="Vence")),"")</f>
        <v/>
      </c>
    </row>
    <row r="66">
      <c r="A66" s="56">
        <f>IF($N66="","",INDEX('Cronograma R. Operacional'!$A$5:$A$1000,$N66))</f>
        <v/>
      </c>
      <c r="B66" s="62">
        <f>IF($N66="","",IF($O66="Sub","      ↳  "&amp;INDEX('Cronograma R. Operacional'!$C$5:$C$1000,$N66),INDEX('Cronograma R. Operacional'!$C$5:$C$1000,$N66)&amp;""))</f>
        <v/>
      </c>
      <c r="C66" s="79">
        <f>IF($N66="","",IF(INDEX('Cronograma R. Operacional'!$AM$5:$AM$1000,$N66)="","",INDEX('Cronograma R. Operacional'!$AM$5:$AM$1000,$N66)))</f>
        <v/>
      </c>
      <c r="D66" s="79">
        <f>IF($N66="","",IF(INDEX('Cronograma R. Operacional'!$AN$5:$AN$1000,$N66)="","",INDEX('Cronograma R. Operacional'!$AN$5:$AN$1000,$N66)))</f>
        <v/>
      </c>
      <c r="E66" s="56">
        <f>IF($N66="","",IF(NOT(ISNUMBER($D66)),"",IF($D66&lt;InicioCiclo,"Antes del ciclo",IF($D66&gt;=InicioCiclo+28,"Después del ciclo","Semana "&amp;(INT(($D66-InicioCiclo)/7)+1)))))</f>
        <v/>
      </c>
      <c r="F66" s="61">
        <f>IF($N66="","",IF($P66&gt;0,IF(1&lt;=SemanaActual,INDEX('Cronograma R. Operacional'!$AC$5:$AC$1000,$N66),""),IF(INDEX('Cronograma R. Operacional'!$I$5:$I$1000,$N66)="","",INDEX('Cronograma R. Operacional'!$I$5:$I$1000,$N66))))</f>
        <v/>
      </c>
      <c r="G66" s="61">
        <f>IF($N66="","",IF($P66&gt;0,IF(2&lt;=SemanaActual,INDEX('Cronograma R. Operacional'!$AD$5:$AD$1000,$N66),""),IF(INDEX('Cronograma R. Operacional'!$J$5:$J$1000,$N66)="","",INDEX('Cronograma R. Operacional'!$J$5:$J$1000,$N66))))</f>
        <v/>
      </c>
      <c r="H66" s="61">
        <f>IF($N66="","",IF($P66&gt;0,IF(3&lt;=SemanaActual,INDEX('Cronograma R. Operacional'!$AE$5:$AE$1000,$N66),""),IF(INDEX('Cronograma R. Operacional'!$K$5:$K$1000,$N66)="","",INDEX('Cronograma R. Operacional'!$K$5:$K$1000,$N66))))</f>
        <v/>
      </c>
      <c r="I66" s="61">
        <f>IF($N66="","",IF($P66&gt;0,IF(4&lt;=SemanaActual,INDEX('Cronograma R. Operacional'!$AF$5:$AF$1000,$N66),""),IF(INDEX('Cronograma R. Operacional'!$L$5:$L$1000,$N66)="","",INDEX('Cronograma R. Operacional'!$L$5:$L$1000,$N66))))</f>
        <v/>
      </c>
      <c r="J66" s="61">
        <f>IF($N66="","",INDEX('Cronograma R. Operacional'!$M$5:$M$1000,$N66))</f>
        <v/>
      </c>
      <c r="K66" s="56">
        <f>IF($N66="","",IF(N($J66)&gt;=1,"Completado",IF(AND(ISNUMBER($D66),$D66&lt;FechaRef),"Vencida",IF(N($J66)&gt;0,"En curso","Pendiente"))))</f>
        <v/>
      </c>
      <c r="L66" s="56">
        <f>IF($N66="","",INDEX('Cronograma R. Operacional'!$O$5:$O$1000,$N66)&amp;"")</f>
        <v/>
      </c>
      <c r="M66" s="62">
        <f>IF($N66="","",INDEX('Cronograma R. Operacional'!$Q$5:$Q$1000,$N66)&amp;"")</f>
        <v/>
      </c>
      <c r="N66">
        <f>IFERROR(MATCH(ROW()-4,rOrden_RO,0),"")</f>
        <v/>
      </c>
      <c r="O66">
        <f>IF($N66="","",INDEX('Cronograma R. Operacional'!$V$5:$V$1000,$N66))</f>
        <v/>
      </c>
      <c r="P66">
        <f>IF($N66="","",N(INDEX('Cronograma R. Operacional'!$W$5:$W$1000,$N66)))</f>
        <v/>
      </c>
      <c r="Q66">
        <f>IF(OR(LEFT($L66,7)="Vencida",LEFT($L66,5)="Vence"),SUMPRODUCT(--(LEFT($L$5:$L66,7)="Vencida"))+SUMPRODUCT(--(LEFT($L$5:$L66,5)="Vence")),"")</f>
        <v/>
      </c>
    </row>
    <row r="67">
      <c r="A67" s="56">
        <f>IF($N67="","",INDEX('Cronograma R. Operacional'!$A$5:$A$1000,$N67))</f>
        <v/>
      </c>
      <c r="B67" s="62">
        <f>IF($N67="","",IF($O67="Sub","      ↳  "&amp;INDEX('Cronograma R. Operacional'!$C$5:$C$1000,$N67),INDEX('Cronograma R. Operacional'!$C$5:$C$1000,$N67)&amp;""))</f>
        <v/>
      </c>
      <c r="C67" s="79">
        <f>IF($N67="","",IF(INDEX('Cronograma R. Operacional'!$AM$5:$AM$1000,$N67)="","",INDEX('Cronograma R. Operacional'!$AM$5:$AM$1000,$N67)))</f>
        <v/>
      </c>
      <c r="D67" s="79">
        <f>IF($N67="","",IF(INDEX('Cronograma R. Operacional'!$AN$5:$AN$1000,$N67)="","",INDEX('Cronograma R. Operacional'!$AN$5:$AN$1000,$N67)))</f>
        <v/>
      </c>
      <c r="E67" s="56">
        <f>IF($N67="","",IF(NOT(ISNUMBER($D67)),"",IF($D67&lt;InicioCiclo,"Antes del ciclo",IF($D67&gt;=InicioCiclo+28,"Después del ciclo","Semana "&amp;(INT(($D67-InicioCiclo)/7)+1)))))</f>
        <v/>
      </c>
      <c r="F67" s="61">
        <f>IF($N67="","",IF($P67&gt;0,IF(1&lt;=SemanaActual,INDEX('Cronograma R. Operacional'!$AC$5:$AC$1000,$N67),""),IF(INDEX('Cronograma R. Operacional'!$I$5:$I$1000,$N67)="","",INDEX('Cronograma R. Operacional'!$I$5:$I$1000,$N67))))</f>
        <v/>
      </c>
      <c r="G67" s="61">
        <f>IF($N67="","",IF($P67&gt;0,IF(2&lt;=SemanaActual,INDEX('Cronograma R. Operacional'!$AD$5:$AD$1000,$N67),""),IF(INDEX('Cronograma R. Operacional'!$J$5:$J$1000,$N67)="","",INDEX('Cronograma R. Operacional'!$J$5:$J$1000,$N67))))</f>
        <v/>
      </c>
      <c r="H67" s="61">
        <f>IF($N67="","",IF($P67&gt;0,IF(3&lt;=SemanaActual,INDEX('Cronograma R. Operacional'!$AE$5:$AE$1000,$N67),""),IF(INDEX('Cronograma R. Operacional'!$K$5:$K$1000,$N67)="","",INDEX('Cronograma R. Operacional'!$K$5:$K$1000,$N67))))</f>
        <v/>
      </c>
      <c r="I67" s="61">
        <f>IF($N67="","",IF($P67&gt;0,IF(4&lt;=SemanaActual,INDEX('Cronograma R. Operacional'!$AF$5:$AF$1000,$N67),""),IF(INDEX('Cronograma R. Operacional'!$L$5:$L$1000,$N67)="","",INDEX('Cronograma R. Operacional'!$L$5:$L$1000,$N67))))</f>
        <v/>
      </c>
      <c r="J67" s="61">
        <f>IF($N67="","",INDEX('Cronograma R. Operacional'!$M$5:$M$1000,$N67))</f>
        <v/>
      </c>
      <c r="K67" s="56">
        <f>IF($N67="","",IF(N($J67)&gt;=1,"Completado",IF(AND(ISNUMBER($D67),$D67&lt;FechaRef),"Vencida",IF(N($J67)&gt;0,"En curso","Pendiente"))))</f>
        <v/>
      </c>
      <c r="L67" s="56">
        <f>IF($N67="","",INDEX('Cronograma R. Operacional'!$O$5:$O$1000,$N67)&amp;"")</f>
        <v/>
      </c>
      <c r="M67" s="62">
        <f>IF($N67="","",INDEX('Cronograma R. Operacional'!$Q$5:$Q$1000,$N67)&amp;"")</f>
        <v/>
      </c>
      <c r="N67">
        <f>IFERROR(MATCH(ROW()-4,rOrden_RO,0),"")</f>
        <v/>
      </c>
      <c r="O67">
        <f>IF($N67="","",INDEX('Cronograma R. Operacional'!$V$5:$V$1000,$N67))</f>
        <v/>
      </c>
      <c r="P67">
        <f>IF($N67="","",N(INDEX('Cronograma R. Operacional'!$W$5:$W$1000,$N67)))</f>
        <v/>
      </c>
      <c r="Q67">
        <f>IF(OR(LEFT($L67,7)="Vencida",LEFT($L67,5)="Vence"),SUMPRODUCT(--(LEFT($L$5:$L67,7)="Vencida"))+SUMPRODUCT(--(LEFT($L$5:$L67,5)="Vence")),"")</f>
        <v/>
      </c>
    </row>
    <row r="68">
      <c r="A68" s="56">
        <f>IF($N68="","",INDEX('Cronograma R. Operacional'!$A$5:$A$1000,$N68))</f>
        <v/>
      </c>
      <c r="B68" s="62">
        <f>IF($N68="","",IF($O68="Sub","      ↳  "&amp;INDEX('Cronograma R. Operacional'!$C$5:$C$1000,$N68),INDEX('Cronograma R. Operacional'!$C$5:$C$1000,$N68)&amp;""))</f>
        <v/>
      </c>
      <c r="C68" s="79">
        <f>IF($N68="","",IF(INDEX('Cronograma R. Operacional'!$AM$5:$AM$1000,$N68)="","",INDEX('Cronograma R. Operacional'!$AM$5:$AM$1000,$N68)))</f>
        <v/>
      </c>
      <c r="D68" s="79">
        <f>IF($N68="","",IF(INDEX('Cronograma R. Operacional'!$AN$5:$AN$1000,$N68)="","",INDEX('Cronograma R. Operacional'!$AN$5:$AN$1000,$N68)))</f>
        <v/>
      </c>
      <c r="E68" s="56">
        <f>IF($N68="","",IF(NOT(ISNUMBER($D68)),"",IF($D68&lt;InicioCiclo,"Antes del ciclo",IF($D68&gt;=InicioCiclo+28,"Después del ciclo","Semana "&amp;(INT(($D68-InicioCiclo)/7)+1)))))</f>
        <v/>
      </c>
      <c r="F68" s="61">
        <f>IF($N68="","",IF($P68&gt;0,IF(1&lt;=SemanaActual,INDEX('Cronograma R. Operacional'!$AC$5:$AC$1000,$N68),""),IF(INDEX('Cronograma R. Operacional'!$I$5:$I$1000,$N68)="","",INDEX('Cronograma R. Operacional'!$I$5:$I$1000,$N68))))</f>
        <v/>
      </c>
      <c r="G68" s="61">
        <f>IF($N68="","",IF($P68&gt;0,IF(2&lt;=SemanaActual,INDEX('Cronograma R. Operacional'!$AD$5:$AD$1000,$N68),""),IF(INDEX('Cronograma R. Operacional'!$J$5:$J$1000,$N68)="","",INDEX('Cronograma R. Operacional'!$J$5:$J$1000,$N68))))</f>
        <v/>
      </c>
      <c r="H68" s="61">
        <f>IF($N68="","",IF($P68&gt;0,IF(3&lt;=SemanaActual,INDEX('Cronograma R. Operacional'!$AE$5:$AE$1000,$N68),""),IF(INDEX('Cronograma R. Operacional'!$K$5:$K$1000,$N68)="","",INDEX('Cronograma R. Operacional'!$K$5:$K$1000,$N68))))</f>
        <v/>
      </c>
      <c r="I68" s="61">
        <f>IF($N68="","",IF($P68&gt;0,IF(4&lt;=SemanaActual,INDEX('Cronograma R. Operacional'!$AF$5:$AF$1000,$N68),""),IF(INDEX('Cronograma R. Operacional'!$L$5:$L$1000,$N68)="","",INDEX('Cronograma R. Operacional'!$L$5:$L$1000,$N68))))</f>
        <v/>
      </c>
      <c r="J68" s="61">
        <f>IF($N68="","",INDEX('Cronograma R. Operacional'!$M$5:$M$1000,$N68))</f>
        <v/>
      </c>
      <c r="K68" s="56">
        <f>IF($N68="","",IF(N($J68)&gt;=1,"Completado",IF(AND(ISNUMBER($D68),$D68&lt;FechaRef),"Vencida",IF(N($J68)&gt;0,"En curso","Pendiente"))))</f>
        <v/>
      </c>
      <c r="L68" s="56">
        <f>IF($N68="","",INDEX('Cronograma R. Operacional'!$O$5:$O$1000,$N68)&amp;"")</f>
        <v/>
      </c>
      <c r="M68" s="62">
        <f>IF($N68="","",INDEX('Cronograma R. Operacional'!$Q$5:$Q$1000,$N68)&amp;"")</f>
        <v/>
      </c>
      <c r="N68">
        <f>IFERROR(MATCH(ROW()-4,rOrden_RO,0),"")</f>
        <v/>
      </c>
      <c r="O68">
        <f>IF($N68="","",INDEX('Cronograma R. Operacional'!$V$5:$V$1000,$N68))</f>
        <v/>
      </c>
      <c r="P68">
        <f>IF($N68="","",N(INDEX('Cronograma R. Operacional'!$W$5:$W$1000,$N68)))</f>
        <v/>
      </c>
      <c r="Q68">
        <f>IF(OR(LEFT($L68,7)="Vencida",LEFT($L68,5)="Vence"),SUMPRODUCT(--(LEFT($L$5:$L68,7)="Vencida"))+SUMPRODUCT(--(LEFT($L$5:$L68,5)="Vence")),"")</f>
        <v/>
      </c>
    </row>
    <row r="69">
      <c r="A69" s="56">
        <f>IF($N69="","",INDEX('Cronograma R. Operacional'!$A$5:$A$1000,$N69))</f>
        <v/>
      </c>
      <c r="B69" s="62">
        <f>IF($N69="","",IF($O69="Sub","      ↳  "&amp;INDEX('Cronograma R. Operacional'!$C$5:$C$1000,$N69),INDEX('Cronograma R. Operacional'!$C$5:$C$1000,$N69)&amp;""))</f>
        <v/>
      </c>
      <c r="C69" s="79">
        <f>IF($N69="","",IF(INDEX('Cronograma R. Operacional'!$AM$5:$AM$1000,$N69)="","",INDEX('Cronograma R. Operacional'!$AM$5:$AM$1000,$N69)))</f>
        <v/>
      </c>
      <c r="D69" s="79">
        <f>IF($N69="","",IF(INDEX('Cronograma R. Operacional'!$AN$5:$AN$1000,$N69)="","",INDEX('Cronograma R. Operacional'!$AN$5:$AN$1000,$N69)))</f>
        <v/>
      </c>
      <c r="E69" s="56">
        <f>IF($N69="","",IF(NOT(ISNUMBER($D69)),"",IF($D69&lt;InicioCiclo,"Antes del ciclo",IF($D69&gt;=InicioCiclo+28,"Después del ciclo","Semana "&amp;(INT(($D69-InicioCiclo)/7)+1)))))</f>
        <v/>
      </c>
      <c r="F69" s="61">
        <f>IF($N69="","",IF($P69&gt;0,IF(1&lt;=SemanaActual,INDEX('Cronograma R. Operacional'!$AC$5:$AC$1000,$N69),""),IF(INDEX('Cronograma R. Operacional'!$I$5:$I$1000,$N69)="","",INDEX('Cronograma R. Operacional'!$I$5:$I$1000,$N69))))</f>
        <v/>
      </c>
      <c r="G69" s="61">
        <f>IF($N69="","",IF($P69&gt;0,IF(2&lt;=SemanaActual,INDEX('Cronograma R. Operacional'!$AD$5:$AD$1000,$N69),""),IF(INDEX('Cronograma R. Operacional'!$J$5:$J$1000,$N69)="","",INDEX('Cronograma R. Operacional'!$J$5:$J$1000,$N69))))</f>
        <v/>
      </c>
      <c r="H69" s="61">
        <f>IF($N69="","",IF($P69&gt;0,IF(3&lt;=SemanaActual,INDEX('Cronograma R. Operacional'!$AE$5:$AE$1000,$N69),""),IF(INDEX('Cronograma R. Operacional'!$K$5:$K$1000,$N69)="","",INDEX('Cronograma R. Operacional'!$K$5:$K$1000,$N69))))</f>
        <v/>
      </c>
      <c r="I69" s="61">
        <f>IF($N69="","",IF($P69&gt;0,IF(4&lt;=SemanaActual,INDEX('Cronograma R. Operacional'!$AF$5:$AF$1000,$N69),""),IF(INDEX('Cronograma R. Operacional'!$L$5:$L$1000,$N69)="","",INDEX('Cronograma R. Operacional'!$L$5:$L$1000,$N69))))</f>
        <v/>
      </c>
      <c r="J69" s="61">
        <f>IF($N69="","",INDEX('Cronograma R. Operacional'!$M$5:$M$1000,$N69))</f>
        <v/>
      </c>
      <c r="K69" s="56">
        <f>IF($N69="","",IF(N($J69)&gt;=1,"Completado",IF(AND(ISNUMBER($D69),$D69&lt;FechaRef),"Vencida",IF(N($J69)&gt;0,"En curso","Pendiente"))))</f>
        <v/>
      </c>
      <c r="L69" s="56">
        <f>IF($N69="","",INDEX('Cronograma R. Operacional'!$O$5:$O$1000,$N69)&amp;"")</f>
        <v/>
      </c>
      <c r="M69" s="62">
        <f>IF($N69="","",INDEX('Cronograma R. Operacional'!$Q$5:$Q$1000,$N69)&amp;"")</f>
        <v/>
      </c>
      <c r="N69">
        <f>IFERROR(MATCH(ROW()-4,rOrden_RO,0),"")</f>
        <v/>
      </c>
      <c r="O69">
        <f>IF($N69="","",INDEX('Cronograma R. Operacional'!$V$5:$V$1000,$N69))</f>
        <v/>
      </c>
      <c r="P69">
        <f>IF($N69="","",N(INDEX('Cronograma R. Operacional'!$W$5:$W$1000,$N69)))</f>
        <v/>
      </c>
      <c r="Q69">
        <f>IF(OR(LEFT($L69,7)="Vencida",LEFT($L69,5)="Vence"),SUMPRODUCT(--(LEFT($L$5:$L69,7)="Vencida"))+SUMPRODUCT(--(LEFT($L$5:$L69,5)="Vence")),"")</f>
        <v/>
      </c>
    </row>
    <row r="70">
      <c r="A70" s="56">
        <f>IF($N70="","",INDEX('Cronograma R. Operacional'!$A$5:$A$1000,$N70))</f>
        <v/>
      </c>
      <c r="B70" s="62">
        <f>IF($N70="","",IF($O70="Sub","      ↳  "&amp;INDEX('Cronograma R. Operacional'!$C$5:$C$1000,$N70),INDEX('Cronograma R. Operacional'!$C$5:$C$1000,$N70)&amp;""))</f>
        <v/>
      </c>
      <c r="C70" s="79">
        <f>IF($N70="","",IF(INDEX('Cronograma R. Operacional'!$AM$5:$AM$1000,$N70)="","",INDEX('Cronograma R. Operacional'!$AM$5:$AM$1000,$N70)))</f>
        <v/>
      </c>
      <c r="D70" s="79">
        <f>IF($N70="","",IF(INDEX('Cronograma R. Operacional'!$AN$5:$AN$1000,$N70)="","",INDEX('Cronograma R. Operacional'!$AN$5:$AN$1000,$N70)))</f>
        <v/>
      </c>
      <c r="E70" s="56">
        <f>IF($N70="","",IF(NOT(ISNUMBER($D70)),"",IF($D70&lt;InicioCiclo,"Antes del ciclo",IF($D70&gt;=InicioCiclo+28,"Después del ciclo","Semana "&amp;(INT(($D70-InicioCiclo)/7)+1)))))</f>
        <v/>
      </c>
      <c r="F70" s="61">
        <f>IF($N70="","",IF($P70&gt;0,IF(1&lt;=SemanaActual,INDEX('Cronograma R. Operacional'!$AC$5:$AC$1000,$N70),""),IF(INDEX('Cronograma R. Operacional'!$I$5:$I$1000,$N70)="","",INDEX('Cronograma R. Operacional'!$I$5:$I$1000,$N70))))</f>
        <v/>
      </c>
      <c r="G70" s="61">
        <f>IF($N70="","",IF($P70&gt;0,IF(2&lt;=SemanaActual,INDEX('Cronograma R. Operacional'!$AD$5:$AD$1000,$N70),""),IF(INDEX('Cronograma R. Operacional'!$J$5:$J$1000,$N70)="","",INDEX('Cronograma R. Operacional'!$J$5:$J$1000,$N70))))</f>
        <v/>
      </c>
      <c r="H70" s="61">
        <f>IF($N70="","",IF($P70&gt;0,IF(3&lt;=SemanaActual,INDEX('Cronograma R. Operacional'!$AE$5:$AE$1000,$N70),""),IF(INDEX('Cronograma R. Operacional'!$K$5:$K$1000,$N70)="","",INDEX('Cronograma R. Operacional'!$K$5:$K$1000,$N70))))</f>
        <v/>
      </c>
      <c r="I70" s="61">
        <f>IF($N70="","",IF($P70&gt;0,IF(4&lt;=SemanaActual,INDEX('Cronograma R. Operacional'!$AF$5:$AF$1000,$N70),""),IF(INDEX('Cronograma R. Operacional'!$L$5:$L$1000,$N70)="","",INDEX('Cronograma R. Operacional'!$L$5:$L$1000,$N70))))</f>
        <v/>
      </c>
      <c r="J70" s="61">
        <f>IF($N70="","",INDEX('Cronograma R. Operacional'!$M$5:$M$1000,$N70))</f>
        <v/>
      </c>
      <c r="K70" s="56">
        <f>IF($N70="","",IF(N($J70)&gt;=1,"Completado",IF(AND(ISNUMBER($D70),$D70&lt;FechaRef),"Vencida",IF(N($J70)&gt;0,"En curso","Pendiente"))))</f>
        <v/>
      </c>
      <c r="L70" s="56">
        <f>IF($N70="","",INDEX('Cronograma R. Operacional'!$O$5:$O$1000,$N70)&amp;"")</f>
        <v/>
      </c>
      <c r="M70" s="62">
        <f>IF($N70="","",INDEX('Cronograma R. Operacional'!$Q$5:$Q$1000,$N70)&amp;"")</f>
        <v/>
      </c>
      <c r="N70">
        <f>IFERROR(MATCH(ROW()-4,rOrden_RO,0),"")</f>
        <v/>
      </c>
      <c r="O70">
        <f>IF($N70="","",INDEX('Cronograma R. Operacional'!$V$5:$V$1000,$N70))</f>
        <v/>
      </c>
      <c r="P70">
        <f>IF($N70="","",N(INDEX('Cronograma R. Operacional'!$W$5:$W$1000,$N70)))</f>
        <v/>
      </c>
      <c r="Q70">
        <f>IF(OR(LEFT($L70,7)="Vencida",LEFT($L70,5)="Vence"),SUMPRODUCT(--(LEFT($L$5:$L70,7)="Vencida"))+SUMPRODUCT(--(LEFT($L$5:$L70,5)="Vence")),"")</f>
        <v/>
      </c>
    </row>
    <row r="71">
      <c r="A71" s="56">
        <f>IF($N71="","",INDEX('Cronograma R. Operacional'!$A$5:$A$1000,$N71))</f>
        <v/>
      </c>
      <c r="B71" s="62">
        <f>IF($N71="","",IF($O71="Sub","      ↳  "&amp;INDEX('Cronograma R. Operacional'!$C$5:$C$1000,$N71),INDEX('Cronograma R. Operacional'!$C$5:$C$1000,$N71)&amp;""))</f>
        <v/>
      </c>
      <c r="C71" s="79">
        <f>IF($N71="","",IF(INDEX('Cronograma R. Operacional'!$AM$5:$AM$1000,$N71)="","",INDEX('Cronograma R. Operacional'!$AM$5:$AM$1000,$N71)))</f>
        <v/>
      </c>
      <c r="D71" s="79">
        <f>IF($N71="","",IF(INDEX('Cronograma R. Operacional'!$AN$5:$AN$1000,$N71)="","",INDEX('Cronograma R. Operacional'!$AN$5:$AN$1000,$N71)))</f>
        <v/>
      </c>
      <c r="E71" s="56">
        <f>IF($N71="","",IF(NOT(ISNUMBER($D71)),"",IF($D71&lt;InicioCiclo,"Antes del ciclo",IF($D71&gt;=InicioCiclo+28,"Después del ciclo","Semana "&amp;(INT(($D71-InicioCiclo)/7)+1)))))</f>
        <v/>
      </c>
      <c r="F71" s="61">
        <f>IF($N71="","",IF($P71&gt;0,IF(1&lt;=SemanaActual,INDEX('Cronograma R. Operacional'!$AC$5:$AC$1000,$N71),""),IF(INDEX('Cronograma R. Operacional'!$I$5:$I$1000,$N71)="","",INDEX('Cronograma R. Operacional'!$I$5:$I$1000,$N71))))</f>
        <v/>
      </c>
      <c r="G71" s="61">
        <f>IF($N71="","",IF($P71&gt;0,IF(2&lt;=SemanaActual,INDEX('Cronograma R. Operacional'!$AD$5:$AD$1000,$N71),""),IF(INDEX('Cronograma R. Operacional'!$J$5:$J$1000,$N71)="","",INDEX('Cronograma R. Operacional'!$J$5:$J$1000,$N71))))</f>
        <v/>
      </c>
      <c r="H71" s="61">
        <f>IF($N71="","",IF($P71&gt;0,IF(3&lt;=SemanaActual,INDEX('Cronograma R. Operacional'!$AE$5:$AE$1000,$N71),""),IF(INDEX('Cronograma R. Operacional'!$K$5:$K$1000,$N71)="","",INDEX('Cronograma R. Operacional'!$K$5:$K$1000,$N71))))</f>
        <v/>
      </c>
      <c r="I71" s="61">
        <f>IF($N71="","",IF($P71&gt;0,IF(4&lt;=SemanaActual,INDEX('Cronograma R. Operacional'!$AF$5:$AF$1000,$N71),""),IF(INDEX('Cronograma R. Operacional'!$L$5:$L$1000,$N71)="","",INDEX('Cronograma R. Operacional'!$L$5:$L$1000,$N71))))</f>
        <v/>
      </c>
      <c r="J71" s="61">
        <f>IF($N71="","",INDEX('Cronograma R. Operacional'!$M$5:$M$1000,$N71))</f>
        <v/>
      </c>
      <c r="K71" s="56">
        <f>IF($N71="","",IF(N($J71)&gt;=1,"Completado",IF(AND(ISNUMBER($D71),$D71&lt;FechaRef),"Vencida",IF(N($J71)&gt;0,"En curso","Pendiente"))))</f>
        <v/>
      </c>
      <c r="L71" s="56">
        <f>IF($N71="","",INDEX('Cronograma R. Operacional'!$O$5:$O$1000,$N71)&amp;"")</f>
        <v/>
      </c>
      <c r="M71" s="62">
        <f>IF($N71="","",INDEX('Cronograma R. Operacional'!$Q$5:$Q$1000,$N71)&amp;"")</f>
        <v/>
      </c>
      <c r="N71">
        <f>IFERROR(MATCH(ROW()-4,rOrden_RO,0),"")</f>
        <v/>
      </c>
      <c r="O71">
        <f>IF($N71="","",INDEX('Cronograma R. Operacional'!$V$5:$V$1000,$N71))</f>
        <v/>
      </c>
      <c r="P71">
        <f>IF($N71="","",N(INDEX('Cronograma R. Operacional'!$W$5:$W$1000,$N71)))</f>
        <v/>
      </c>
      <c r="Q71">
        <f>IF(OR(LEFT($L71,7)="Vencida",LEFT($L71,5)="Vence"),SUMPRODUCT(--(LEFT($L$5:$L71,7)="Vencida"))+SUMPRODUCT(--(LEFT($L$5:$L71,5)="Vence")),"")</f>
        <v/>
      </c>
    </row>
    <row r="72">
      <c r="A72" s="56">
        <f>IF($N72="","",INDEX('Cronograma R. Operacional'!$A$5:$A$1000,$N72))</f>
        <v/>
      </c>
      <c r="B72" s="62">
        <f>IF($N72="","",IF($O72="Sub","      ↳  "&amp;INDEX('Cronograma R. Operacional'!$C$5:$C$1000,$N72),INDEX('Cronograma R. Operacional'!$C$5:$C$1000,$N72)&amp;""))</f>
        <v/>
      </c>
      <c r="C72" s="79">
        <f>IF($N72="","",IF(INDEX('Cronograma R. Operacional'!$AM$5:$AM$1000,$N72)="","",INDEX('Cronograma R. Operacional'!$AM$5:$AM$1000,$N72)))</f>
        <v/>
      </c>
      <c r="D72" s="79">
        <f>IF($N72="","",IF(INDEX('Cronograma R. Operacional'!$AN$5:$AN$1000,$N72)="","",INDEX('Cronograma R. Operacional'!$AN$5:$AN$1000,$N72)))</f>
        <v/>
      </c>
      <c r="E72" s="56">
        <f>IF($N72="","",IF(NOT(ISNUMBER($D72)),"",IF($D72&lt;InicioCiclo,"Antes del ciclo",IF($D72&gt;=InicioCiclo+28,"Después del ciclo","Semana "&amp;(INT(($D72-InicioCiclo)/7)+1)))))</f>
        <v/>
      </c>
      <c r="F72" s="61">
        <f>IF($N72="","",IF($P72&gt;0,IF(1&lt;=SemanaActual,INDEX('Cronograma R. Operacional'!$AC$5:$AC$1000,$N72),""),IF(INDEX('Cronograma R. Operacional'!$I$5:$I$1000,$N72)="","",INDEX('Cronograma R. Operacional'!$I$5:$I$1000,$N72))))</f>
        <v/>
      </c>
      <c r="G72" s="61">
        <f>IF($N72="","",IF($P72&gt;0,IF(2&lt;=SemanaActual,INDEX('Cronograma R. Operacional'!$AD$5:$AD$1000,$N72),""),IF(INDEX('Cronograma R. Operacional'!$J$5:$J$1000,$N72)="","",INDEX('Cronograma R. Operacional'!$J$5:$J$1000,$N72))))</f>
        <v/>
      </c>
      <c r="H72" s="61">
        <f>IF($N72="","",IF($P72&gt;0,IF(3&lt;=SemanaActual,INDEX('Cronograma R. Operacional'!$AE$5:$AE$1000,$N72),""),IF(INDEX('Cronograma R. Operacional'!$K$5:$K$1000,$N72)="","",INDEX('Cronograma R. Operacional'!$K$5:$K$1000,$N72))))</f>
        <v/>
      </c>
      <c r="I72" s="61">
        <f>IF($N72="","",IF($P72&gt;0,IF(4&lt;=SemanaActual,INDEX('Cronograma R. Operacional'!$AF$5:$AF$1000,$N72),""),IF(INDEX('Cronograma R. Operacional'!$L$5:$L$1000,$N72)="","",INDEX('Cronograma R. Operacional'!$L$5:$L$1000,$N72))))</f>
        <v/>
      </c>
      <c r="J72" s="61">
        <f>IF($N72="","",INDEX('Cronograma R. Operacional'!$M$5:$M$1000,$N72))</f>
        <v/>
      </c>
      <c r="K72" s="56">
        <f>IF($N72="","",IF(N($J72)&gt;=1,"Completado",IF(AND(ISNUMBER($D72),$D72&lt;FechaRef),"Vencida",IF(N($J72)&gt;0,"En curso","Pendiente"))))</f>
        <v/>
      </c>
      <c r="L72" s="56">
        <f>IF($N72="","",INDEX('Cronograma R. Operacional'!$O$5:$O$1000,$N72)&amp;"")</f>
        <v/>
      </c>
      <c r="M72" s="62">
        <f>IF($N72="","",INDEX('Cronograma R. Operacional'!$Q$5:$Q$1000,$N72)&amp;"")</f>
        <v/>
      </c>
      <c r="N72">
        <f>IFERROR(MATCH(ROW()-4,rOrden_RO,0),"")</f>
        <v/>
      </c>
      <c r="O72">
        <f>IF($N72="","",INDEX('Cronograma R. Operacional'!$V$5:$V$1000,$N72))</f>
        <v/>
      </c>
      <c r="P72">
        <f>IF($N72="","",N(INDEX('Cronograma R. Operacional'!$W$5:$W$1000,$N72)))</f>
        <v/>
      </c>
      <c r="Q72">
        <f>IF(OR(LEFT($L72,7)="Vencida",LEFT($L72,5)="Vence"),SUMPRODUCT(--(LEFT($L$5:$L72,7)="Vencida"))+SUMPRODUCT(--(LEFT($L$5:$L72,5)="Vence")),"")</f>
        <v/>
      </c>
    </row>
    <row r="73">
      <c r="A73" s="56">
        <f>IF($N73="","",INDEX('Cronograma R. Operacional'!$A$5:$A$1000,$N73))</f>
        <v/>
      </c>
      <c r="B73" s="62">
        <f>IF($N73="","",IF($O73="Sub","      ↳  "&amp;INDEX('Cronograma R. Operacional'!$C$5:$C$1000,$N73),INDEX('Cronograma R. Operacional'!$C$5:$C$1000,$N73)&amp;""))</f>
        <v/>
      </c>
      <c r="C73" s="79">
        <f>IF($N73="","",IF(INDEX('Cronograma R. Operacional'!$AM$5:$AM$1000,$N73)="","",INDEX('Cronograma R. Operacional'!$AM$5:$AM$1000,$N73)))</f>
        <v/>
      </c>
      <c r="D73" s="79">
        <f>IF($N73="","",IF(INDEX('Cronograma R. Operacional'!$AN$5:$AN$1000,$N73)="","",INDEX('Cronograma R. Operacional'!$AN$5:$AN$1000,$N73)))</f>
        <v/>
      </c>
      <c r="E73" s="56">
        <f>IF($N73="","",IF(NOT(ISNUMBER($D73)),"",IF($D73&lt;InicioCiclo,"Antes del ciclo",IF($D73&gt;=InicioCiclo+28,"Después del ciclo","Semana "&amp;(INT(($D73-InicioCiclo)/7)+1)))))</f>
        <v/>
      </c>
      <c r="F73" s="61">
        <f>IF($N73="","",IF($P73&gt;0,IF(1&lt;=SemanaActual,INDEX('Cronograma R. Operacional'!$AC$5:$AC$1000,$N73),""),IF(INDEX('Cronograma R. Operacional'!$I$5:$I$1000,$N73)="","",INDEX('Cronograma R. Operacional'!$I$5:$I$1000,$N73))))</f>
        <v/>
      </c>
      <c r="G73" s="61">
        <f>IF($N73="","",IF($P73&gt;0,IF(2&lt;=SemanaActual,INDEX('Cronograma R. Operacional'!$AD$5:$AD$1000,$N73),""),IF(INDEX('Cronograma R. Operacional'!$J$5:$J$1000,$N73)="","",INDEX('Cronograma R. Operacional'!$J$5:$J$1000,$N73))))</f>
        <v/>
      </c>
      <c r="H73" s="61">
        <f>IF($N73="","",IF($P73&gt;0,IF(3&lt;=SemanaActual,INDEX('Cronograma R. Operacional'!$AE$5:$AE$1000,$N73),""),IF(INDEX('Cronograma R. Operacional'!$K$5:$K$1000,$N73)="","",INDEX('Cronograma R. Operacional'!$K$5:$K$1000,$N73))))</f>
        <v/>
      </c>
      <c r="I73" s="61">
        <f>IF($N73="","",IF($P73&gt;0,IF(4&lt;=SemanaActual,INDEX('Cronograma R. Operacional'!$AF$5:$AF$1000,$N73),""),IF(INDEX('Cronograma R. Operacional'!$L$5:$L$1000,$N73)="","",INDEX('Cronograma R. Operacional'!$L$5:$L$1000,$N73))))</f>
        <v/>
      </c>
      <c r="J73" s="61">
        <f>IF($N73="","",INDEX('Cronograma R. Operacional'!$M$5:$M$1000,$N73))</f>
        <v/>
      </c>
      <c r="K73" s="56">
        <f>IF($N73="","",IF(N($J73)&gt;=1,"Completado",IF(AND(ISNUMBER($D73),$D73&lt;FechaRef),"Vencida",IF(N($J73)&gt;0,"En curso","Pendiente"))))</f>
        <v/>
      </c>
      <c r="L73" s="56">
        <f>IF($N73="","",INDEX('Cronograma R. Operacional'!$O$5:$O$1000,$N73)&amp;"")</f>
        <v/>
      </c>
      <c r="M73" s="62">
        <f>IF($N73="","",INDEX('Cronograma R. Operacional'!$Q$5:$Q$1000,$N73)&amp;"")</f>
        <v/>
      </c>
      <c r="N73">
        <f>IFERROR(MATCH(ROW()-4,rOrden_RO,0),"")</f>
        <v/>
      </c>
      <c r="O73">
        <f>IF($N73="","",INDEX('Cronograma R. Operacional'!$V$5:$V$1000,$N73))</f>
        <v/>
      </c>
      <c r="P73">
        <f>IF($N73="","",N(INDEX('Cronograma R. Operacional'!$W$5:$W$1000,$N73)))</f>
        <v/>
      </c>
      <c r="Q73">
        <f>IF(OR(LEFT($L73,7)="Vencida",LEFT($L73,5)="Vence"),SUMPRODUCT(--(LEFT($L$5:$L73,7)="Vencida"))+SUMPRODUCT(--(LEFT($L$5:$L73,5)="Vence")),"")</f>
        <v/>
      </c>
    </row>
    <row r="74">
      <c r="A74" s="56">
        <f>IF($N74="","",INDEX('Cronograma R. Operacional'!$A$5:$A$1000,$N74))</f>
        <v/>
      </c>
      <c r="B74" s="62">
        <f>IF($N74="","",IF($O74="Sub","      ↳  "&amp;INDEX('Cronograma R. Operacional'!$C$5:$C$1000,$N74),INDEX('Cronograma R. Operacional'!$C$5:$C$1000,$N74)&amp;""))</f>
        <v/>
      </c>
      <c r="C74" s="79">
        <f>IF($N74="","",IF(INDEX('Cronograma R. Operacional'!$AM$5:$AM$1000,$N74)="","",INDEX('Cronograma R. Operacional'!$AM$5:$AM$1000,$N74)))</f>
        <v/>
      </c>
      <c r="D74" s="79">
        <f>IF($N74="","",IF(INDEX('Cronograma R. Operacional'!$AN$5:$AN$1000,$N74)="","",INDEX('Cronograma R. Operacional'!$AN$5:$AN$1000,$N74)))</f>
        <v/>
      </c>
      <c r="E74" s="56">
        <f>IF($N74="","",IF(NOT(ISNUMBER($D74)),"",IF($D74&lt;InicioCiclo,"Antes del ciclo",IF($D74&gt;=InicioCiclo+28,"Después del ciclo","Semana "&amp;(INT(($D74-InicioCiclo)/7)+1)))))</f>
        <v/>
      </c>
      <c r="F74" s="61">
        <f>IF($N74="","",IF($P74&gt;0,IF(1&lt;=SemanaActual,INDEX('Cronograma R. Operacional'!$AC$5:$AC$1000,$N74),""),IF(INDEX('Cronograma R. Operacional'!$I$5:$I$1000,$N74)="","",INDEX('Cronograma R. Operacional'!$I$5:$I$1000,$N74))))</f>
        <v/>
      </c>
      <c r="G74" s="61">
        <f>IF($N74="","",IF($P74&gt;0,IF(2&lt;=SemanaActual,INDEX('Cronograma R. Operacional'!$AD$5:$AD$1000,$N74),""),IF(INDEX('Cronograma R. Operacional'!$J$5:$J$1000,$N74)="","",INDEX('Cronograma R. Operacional'!$J$5:$J$1000,$N74))))</f>
        <v/>
      </c>
      <c r="H74" s="61">
        <f>IF($N74="","",IF($P74&gt;0,IF(3&lt;=SemanaActual,INDEX('Cronograma R. Operacional'!$AE$5:$AE$1000,$N74),""),IF(INDEX('Cronograma R. Operacional'!$K$5:$K$1000,$N74)="","",INDEX('Cronograma R. Operacional'!$K$5:$K$1000,$N74))))</f>
        <v/>
      </c>
      <c r="I74" s="61">
        <f>IF($N74="","",IF($P74&gt;0,IF(4&lt;=SemanaActual,INDEX('Cronograma R. Operacional'!$AF$5:$AF$1000,$N74),""),IF(INDEX('Cronograma R. Operacional'!$L$5:$L$1000,$N74)="","",INDEX('Cronograma R. Operacional'!$L$5:$L$1000,$N74))))</f>
        <v/>
      </c>
      <c r="J74" s="61">
        <f>IF($N74="","",INDEX('Cronograma R. Operacional'!$M$5:$M$1000,$N74))</f>
        <v/>
      </c>
      <c r="K74" s="56">
        <f>IF($N74="","",IF(N($J74)&gt;=1,"Completado",IF(AND(ISNUMBER($D74),$D74&lt;FechaRef),"Vencida",IF(N($J74)&gt;0,"En curso","Pendiente"))))</f>
        <v/>
      </c>
      <c r="L74" s="56">
        <f>IF($N74="","",INDEX('Cronograma R. Operacional'!$O$5:$O$1000,$N74)&amp;"")</f>
        <v/>
      </c>
      <c r="M74" s="62">
        <f>IF($N74="","",INDEX('Cronograma R. Operacional'!$Q$5:$Q$1000,$N74)&amp;"")</f>
        <v/>
      </c>
      <c r="N74">
        <f>IFERROR(MATCH(ROW()-4,rOrden_RO,0),"")</f>
        <v/>
      </c>
      <c r="O74">
        <f>IF($N74="","",INDEX('Cronograma R. Operacional'!$V$5:$V$1000,$N74))</f>
        <v/>
      </c>
      <c r="P74">
        <f>IF($N74="","",N(INDEX('Cronograma R. Operacional'!$W$5:$W$1000,$N74)))</f>
        <v/>
      </c>
      <c r="Q74">
        <f>IF(OR(LEFT($L74,7)="Vencida",LEFT($L74,5)="Vence"),SUMPRODUCT(--(LEFT($L$5:$L74,7)="Vencida"))+SUMPRODUCT(--(LEFT($L$5:$L74,5)="Vence")),"")</f>
        <v/>
      </c>
    </row>
    <row r="75">
      <c r="A75" s="56">
        <f>IF($N75="","",INDEX('Cronograma R. Operacional'!$A$5:$A$1000,$N75))</f>
        <v/>
      </c>
      <c r="B75" s="62">
        <f>IF($N75="","",IF($O75="Sub","      ↳  "&amp;INDEX('Cronograma R. Operacional'!$C$5:$C$1000,$N75),INDEX('Cronograma R. Operacional'!$C$5:$C$1000,$N75)&amp;""))</f>
        <v/>
      </c>
      <c r="C75" s="79">
        <f>IF($N75="","",IF(INDEX('Cronograma R. Operacional'!$AM$5:$AM$1000,$N75)="","",INDEX('Cronograma R. Operacional'!$AM$5:$AM$1000,$N75)))</f>
        <v/>
      </c>
      <c r="D75" s="79">
        <f>IF($N75="","",IF(INDEX('Cronograma R. Operacional'!$AN$5:$AN$1000,$N75)="","",INDEX('Cronograma R. Operacional'!$AN$5:$AN$1000,$N75)))</f>
        <v/>
      </c>
      <c r="E75" s="56">
        <f>IF($N75="","",IF(NOT(ISNUMBER($D75)),"",IF($D75&lt;InicioCiclo,"Antes del ciclo",IF($D75&gt;=InicioCiclo+28,"Después del ciclo","Semana "&amp;(INT(($D75-InicioCiclo)/7)+1)))))</f>
        <v/>
      </c>
      <c r="F75" s="61">
        <f>IF($N75="","",IF($P75&gt;0,IF(1&lt;=SemanaActual,INDEX('Cronograma R. Operacional'!$AC$5:$AC$1000,$N75),""),IF(INDEX('Cronograma R. Operacional'!$I$5:$I$1000,$N75)="","",INDEX('Cronograma R. Operacional'!$I$5:$I$1000,$N75))))</f>
        <v/>
      </c>
      <c r="G75" s="61">
        <f>IF($N75="","",IF($P75&gt;0,IF(2&lt;=SemanaActual,INDEX('Cronograma R. Operacional'!$AD$5:$AD$1000,$N75),""),IF(INDEX('Cronograma R. Operacional'!$J$5:$J$1000,$N75)="","",INDEX('Cronograma R. Operacional'!$J$5:$J$1000,$N75))))</f>
        <v/>
      </c>
      <c r="H75" s="61">
        <f>IF($N75="","",IF($P75&gt;0,IF(3&lt;=SemanaActual,INDEX('Cronograma R. Operacional'!$AE$5:$AE$1000,$N75),""),IF(INDEX('Cronograma R. Operacional'!$K$5:$K$1000,$N75)="","",INDEX('Cronograma R. Operacional'!$K$5:$K$1000,$N75))))</f>
        <v/>
      </c>
      <c r="I75" s="61">
        <f>IF($N75="","",IF($P75&gt;0,IF(4&lt;=SemanaActual,INDEX('Cronograma R. Operacional'!$AF$5:$AF$1000,$N75),""),IF(INDEX('Cronograma R. Operacional'!$L$5:$L$1000,$N75)="","",INDEX('Cronograma R. Operacional'!$L$5:$L$1000,$N75))))</f>
        <v/>
      </c>
      <c r="J75" s="61">
        <f>IF($N75="","",INDEX('Cronograma R. Operacional'!$M$5:$M$1000,$N75))</f>
        <v/>
      </c>
      <c r="K75" s="56">
        <f>IF($N75="","",IF(N($J75)&gt;=1,"Completado",IF(AND(ISNUMBER($D75),$D75&lt;FechaRef),"Vencida",IF(N($J75)&gt;0,"En curso","Pendiente"))))</f>
        <v/>
      </c>
      <c r="L75" s="56">
        <f>IF($N75="","",INDEX('Cronograma R. Operacional'!$O$5:$O$1000,$N75)&amp;"")</f>
        <v/>
      </c>
      <c r="M75" s="62">
        <f>IF($N75="","",INDEX('Cronograma R. Operacional'!$Q$5:$Q$1000,$N75)&amp;"")</f>
        <v/>
      </c>
      <c r="N75">
        <f>IFERROR(MATCH(ROW()-4,rOrden_RO,0),"")</f>
        <v/>
      </c>
      <c r="O75">
        <f>IF($N75="","",INDEX('Cronograma R. Operacional'!$V$5:$V$1000,$N75))</f>
        <v/>
      </c>
      <c r="P75">
        <f>IF($N75="","",N(INDEX('Cronograma R. Operacional'!$W$5:$W$1000,$N75)))</f>
        <v/>
      </c>
      <c r="Q75">
        <f>IF(OR(LEFT($L75,7)="Vencida",LEFT($L75,5)="Vence"),SUMPRODUCT(--(LEFT($L$5:$L75,7)="Vencida"))+SUMPRODUCT(--(LEFT($L$5:$L75,5)="Vence")),"")</f>
        <v/>
      </c>
    </row>
    <row r="76">
      <c r="A76" s="56">
        <f>IF($N76="","",INDEX('Cronograma R. Operacional'!$A$5:$A$1000,$N76))</f>
        <v/>
      </c>
      <c r="B76" s="62">
        <f>IF($N76="","",IF($O76="Sub","      ↳  "&amp;INDEX('Cronograma R. Operacional'!$C$5:$C$1000,$N76),INDEX('Cronograma R. Operacional'!$C$5:$C$1000,$N76)&amp;""))</f>
        <v/>
      </c>
      <c r="C76" s="79">
        <f>IF($N76="","",IF(INDEX('Cronograma R. Operacional'!$AM$5:$AM$1000,$N76)="","",INDEX('Cronograma R. Operacional'!$AM$5:$AM$1000,$N76)))</f>
        <v/>
      </c>
      <c r="D76" s="79">
        <f>IF($N76="","",IF(INDEX('Cronograma R. Operacional'!$AN$5:$AN$1000,$N76)="","",INDEX('Cronograma R. Operacional'!$AN$5:$AN$1000,$N76)))</f>
        <v/>
      </c>
      <c r="E76" s="56">
        <f>IF($N76="","",IF(NOT(ISNUMBER($D76)),"",IF($D76&lt;InicioCiclo,"Antes del ciclo",IF($D76&gt;=InicioCiclo+28,"Después del ciclo","Semana "&amp;(INT(($D76-InicioCiclo)/7)+1)))))</f>
        <v/>
      </c>
      <c r="F76" s="61">
        <f>IF($N76="","",IF($P76&gt;0,IF(1&lt;=SemanaActual,INDEX('Cronograma R. Operacional'!$AC$5:$AC$1000,$N76),""),IF(INDEX('Cronograma R. Operacional'!$I$5:$I$1000,$N76)="","",INDEX('Cronograma R. Operacional'!$I$5:$I$1000,$N76))))</f>
        <v/>
      </c>
      <c r="G76" s="61">
        <f>IF($N76="","",IF($P76&gt;0,IF(2&lt;=SemanaActual,INDEX('Cronograma R. Operacional'!$AD$5:$AD$1000,$N76),""),IF(INDEX('Cronograma R. Operacional'!$J$5:$J$1000,$N76)="","",INDEX('Cronograma R. Operacional'!$J$5:$J$1000,$N76))))</f>
        <v/>
      </c>
      <c r="H76" s="61">
        <f>IF($N76="","",IF($P76&gt;0,IF(3&lt;=SemanaActual,INDEX('Cronograma R. Operacional'!$AE$5:$AE$1000,$N76),""),IF(INDEX('Cronograma R. Operacional'!$K$5:$K$1000,$N76)="","",INDEX('Cronograma R. Operacional'!$K$5:$K$1000,$N76))))</f>
        <v/>
      </c>
      <c r="I76" s="61">
        <f>IF($N76="","",IF($P76&gt;0,IF(4&lt;=SemanaActual,INDEX('Cronograma R. Operacional'!$AF$5:$AF$1000,$N76),""),IF(INDEX('Cronograma R. Operacional'!$L$5:$L$1000,$N76)="","",INDEX('Cronograma R. Operacional'!$L$5:$L$1000,$N76))))</f>
        <v/>
      </c>
      <c r="J76" s="61">
        <f>IF($N76="","",INDEX('Cronograma R. Operacional'!$M$5:$M$1000,$N76))</f>
        <v/>
      </c>
      <c r="K76" s="56">
        <f>IF($N76="","",IF(N($J76)&gt;=1,"Completado",IF(AND(ISNUMBER($D76),$D76&lt;FechaRef),"Vencida",IF(N($J76)&gt;0,"En curso","Pendiente"))))</f>
        <v/>
      </c>
      <c r="L76" s="56">
        <f>IF($N76="","",INDEX('Cronograma R. Operacional'!$O$5:$O$1000,$N76)&amp;"")</f>
        <v/>
      </c>
      <c r="M76" s="62">
        <f>IF($N76="","",INDEX('Cronograma R. Operacional'!$Q$5:$Q$1000,$N76)&amp;"")</f>
        <v/>
      </c>
      <c r="N76">
        <f>IFERROR(MATCH(ROW()-4,rOrden_RO,0),"")</f>
        <v/>
      </c>
      <c r="O76">
        <f>IF($N76="","",INDEX('Cronograma R. Operacional'!$V$5:$V$1000,$N76))</f>
        <v/>
      </c>
      <c r="P76">
        <f>IF($N76="","",N(INDEX('Cronograma R. Operacional'!$W$5:$W$1000,$N76)))</f>
        <v/>
      </c>
      <c r="Q76">
        <f>IF(OR(LEFT($L76,7)="Vencida",LEFT($L76,5)="Vence"),SUMPRODUCT(--(LEFT($L$5:$L76,7)="Vencida"))+SUMPRODUCT(--(LEFT($L$5:$L76,5)="Vence")),"")</f>
        <v/>
      </c>
    </row>
    <row r="77">
      <c r="A77" s="56">
        <f>IF($N77="","",INDEX('Cronograma R. Operacional'!$A$5:$A$1000,$N77))</f>
        <v/>
      </c>
      <c r="B77" s="62">
        <f>IF($N77="","",IF($O77="Sub","      ↳  "&amp;INDEX('Cronograma R. Operacional'!$C$5:$C$1000,$N77),INDEX('Cronograma R. Operacional'!$C$5:$C$1000,$N77)&amp;""))</f>
        <v/>
      </c>
      <c r="C77" s="79">
        <f>IF($N77="","",IF(INDEX('Cronograma R. Operacional'!$AM$5:$AM$1000,$N77)="","",INDEX('Cronograma R. Operacional'!$AM$5:$AM$1000,$N77)))</f>
        <v/>
      </c>
      <c r="D77" s="79">
        <f>IF($N77="","",IF(INDEX('Cronograma R. Operacional'!$AN$5:$AN$1000,$N77)="","",INDEX('Cronograma R. Operacional'!$AN$5:$AN$1000,$N77)))</f>
        <v/>
      </c>
      <c r="E77" s="56">
        <f>IF($N77="","",IF(NOT(ISNUMBER($D77)),"",IF($D77&lt;InicioCiclo,"Antes del ciclo",IF($D77&gt;=InicioCiclo+28,"Después del ciclo","Semana "&amp;(INT(($D77-InicioCiclo)/7)+1)))))</f>
        <v/>
      </c>
      <c r="F77" s="61">
        <f>IF($N77="","",IF($P77&gt;0,IF(1&lt;=SemanaActual,INDEX('Cronograma R. Operacional'!$AC$5:$AC$1000,$N77),""),IF(INDEX('Cronograma R. Operacional'!$I$5:$I$1000,$N77)="","",INDEX('Cronograma R. Operacional'!$I$5:$I$1000,$N77))))</f>
        <v/>
      </c>
      <c r="G77" s="61">
        <f>IF($N77="","",IF($P77&gt;0,IF(2&lt;=SemanaActual,INDEX('Cronograma R. Operacional'!$AD$5:$AD$1000,$N77),""),IF(INDEX('Cronograma R. Operacional'!$J$5:$J$1000,$N77)="","",INDEX('Cronograma R. Operacional'!$J$5:$J$1000,$N77))))</f>
        <v/>
      </c>
      <c r="H77" s="61">
        <f>IF($N77="","",IF($P77&gt;0,IF(3&lt;=SemanaActual,INDEX('Cronograma R. Operacional'!$AE$5:$AE$1000,$N77),""),IF(INDEX('Cronograma R. Operacional'!$K$5:$K$1000,$N77)="","",INDEX('Cronograma R. Operacional'!$K$5:$K$1000,$N77))))</f>
        <v/>
      </c>
      <c r="I77" s="61">
        <f>IF($N77="","",IF($P77&gt;0,IF(4&lt;=SemanaActual,INDEX('Cronograma R. Operacional'!$AF$5:$AF$1000,$N77),""),IF(INDEX('Cronograma R. Operacional'!$L$5:$L$1000,$N77)="","",INDEX('Cronograma R. Operacional'!$L$5:$L$1000,$N77))))</f>
        <v/>
      </c>
      <c r="J77" s="61">
        <f>IF($N77="","",INDEX('Cronograma R. Operacional'!$M$5:$M$1000,$N77))</f>
        <v/>
      </c>
      <c r="K77" s="56">
        <f>IF($N77="","",IF(N($J77)&gt;=1,"Completado",IF(AND(ISNUMBER($D77),$D77&lt;FechaRef),"Vencida",IF(N($J77)&gt;0,"En curso","Pendiente"))))</f>
        <v/>
      </c>
      <c r="L77" s="56">
        <f>IF($N77="","",INDEX('Cronograma R. Operacional'!$O$5:$O$1000,$N77)&amp;"")</f>
        <v/>
      </c>
      <c r="M77" s="62">
        <f>IF($N77="","",INDEX('Cronograma R. Operacional'!$Q$5:$Q$1000,$N77)&amp;"")</f>
        <v/>
      </c>
      <c r="N77">
        <f>IFERROR(MATCH(ROW()-4,rOrden_RO,0),"")</f>
        <v/>
      </c>
      <c r="O77">
        <f>IF($N77="","",INDEX('Cronograma R. Operacional'!$V$5:$V$1000,$N77))</f>
        <v/>
      </c>
      <c r="P77">
        <f>IF($N77="","",N(INDEX('Cronograma R. Operacional'!$W$5:$W$1000,$N77)))</f>
        <v/>
      </c>
      <c r="Q77">
        <f>IF(OR(LEFT($L77,7)="Vencida",LEFT($L77,5)="Vence"),SUMPRODUCT(--(LEFT($L$5:$L77,7)="Vencida"))+SUMPRODUCT(--(LEFT($L$5:$L77,5)="Vence")),"")</f>
        <v/>
      </c>
    </row>
    <row r="78">
      <c r="A78" s="56">
        <f>IF($N78="","",INDEX('Cronograma R. Operacional'!$A$5:$A$1000,$N78))</f>
        <v/>
      </c>
      <c r="B78" s="62">
        <f>IF($N78="","",IF($O78="Sub","      ↳  "&amp;INDEX('Cronograma R. Operacional'!$C$5:$C$1000,$N78),INDEX('Cronograma R. Operacional'!$C$5:$C$1000,$N78)&amp;""))</f>
        <v/>
      </c>
      <c r="C78" s="79">
        <f>IF($N78="","",IF(INDEX('Cronograma R. Operacional'!$AM$5:$AM$1000,$N78)="","",INDEX('Cronograma R. Operacional'!$AM$5:$AM$1000,$N78)))</f>
        <v/>
      </c>
      <c r="D78" s="79">
        <f>IF($N78="","",IF(INDEX('Cronograma R. Operacional'!$AN$5:$AN$1000,$N78)="","",INDEX('Cronograma R. Operacional'!$AN$5:$AN$1000,$N78)))</f>
        <v/>
      </c>
      <c r="E78" s="56">
        <f>IF($N78="","",IF(NOT(ISNUMBER($D78)),"",IF($D78&lt;InicioCiclo,"Antes del ciclo",IF($D78&gt;=InicioCiclo+28,"Después del ciclo","Semana "&amp;(INT(($D78-InicioCiclo)/7)+1)))))</f>
        <v/>
      </c>
      <c r="F78" s="61">
        <f>IF($N78="","",IF($P78&gt;0,IF(1&lt;=SemanaActual,INDEX('Cronograma R. Operacional'!$AC$5:$AC$1000,$N78),""),IF(INDEX('Cronograma R. Operacional'!$I$5:$I$1000,$N78)="","",INDEX('Cronograma R. Operacional'!$I$5:$I$1000,$N78))))</f>
        <v/>
      </c>
      <c r="G78" s="61">
        <f>IF($N78="","",IF($P78&gt;0,IF(2&lt;=SemanaActual,INDEX('Cronograma R. Operacional'!$AD$5:$AD$1000,$N78),""),IF(INDEX('Cronograma R. Operacional'!$J$5:$J$1000,$N78)="","",INDEX('Cronograma R. Operacional'!$J$5:$J$1000,$N78))))</f>
        <v/>
      </c>
      <c r="H78" s="61">
        <f>IF($N78="","",IF($P78&gt;0,IF(3&lt;=SemanaActual,INDEX('Cronograma R. Operacional'!$AE$5:$AE$1000,$N78),""),IF(INDEX('Cronograma R. Operacional'!$K$5:$K$1000,$N78)="","",INDEX('Cronograma R. Operacional'!$K$5:$K$1000,$N78))))</f>
        <v/>
      </c>
      <c r="I78" s="61">
        <f>IF($N78="","",IF($P78&gt;0,IF(4&lt;=SemanaActual,INDEX('Cronograma R. Operacional'!$AF$5:$AF$1000,$N78),""),IF(INDEX('Cronograma R. Operacional'!$L$5:$L$1000,$N78)="","",INDEX('Cronograma R. Operacional'!$L$5:$L$1000,$N78))))</f>
        <v/>
      </c>
      <c r="J78" s="61">
        <f>IF($N78="","",INDEX('Cronograma R. Operacional'!$M$5:$M$1000,$N78))</f>
        <v/>
      </c>
      <c r="K78" s="56">
        <f>IF($N78="","",IF(N($J78)&gt;=1,"Completado",IF(AND(ISNUMBER($D78),$D78&lt;FechaRef),"Vencida",IF(N($J78)&gt;0,"En curso","Pendiente"))))</f>
        <v/>
      </c>
      <c r="L78" s="56">
        <f>IF($N78="","",INDEX('Cronograma R. Operacional'!$O$5:$O$1000,$N78)&amp;"")</f>
        <v/>
      </c>
      <c r="M78" s="62">
        <f>IF($N78="","",INDEX('Cronograma R. Operacional'!$Q$5:$Q$1000,$N78)&amp;"")</f>
        <v/>
      </c>
      <c r="N78">
        <f>IFERROR(MATCH(ROW()-4,rOrden_RO,0),"")</f>
        <v/>
      </c>
      <c r="O78">
        <f>IF($N78="","",INDEX('Cronograma R. Operacional'!$V$5:$V$1000,$N78))</f>
        <v/>
      </c>
      <c r="P78">
        <f>IF($N78="","",N(INDEX('Cronograma R. Operacional'!$W$5:$W$1000,$N78)))</f>
        <v/>
      </c>
      <c r="Q78">
        <f>IF(OR(LEFT($L78,7)="Vencida",LEFT($L78,5)="Vence"),SUMPRODUCT(--(LEFT($L$5:$L78,7)="Vencida"))+SUMPRODUCT(--(LEFT($L$5:$L78,5)="Vence")),"")</f>
        <v/>
      </c>
    </row>
    <row r="79">
      <c r="A79" s="56">
        <f>IF($N79="","",INDEX('Cronograma R. Operacional'!$A$5:$A$1000,$N79))</f>
        <v/>
      </c>
      <c r="B79" s="62">
        <f>IF($N79="","",IF($O79="Sub","      ↳  "&amp;INDEX('Cronograma R. Operacional'!$C$5:$C$1000,$N79),INDEX('Cronograma R. Operacional'!$C$5:$C$1000,$N79)&amp;""))</f>
        <v/>
      </c>
      <c r="C79" s="79">
        <f>IF($N79="","",IF(INDEX('Cronograma R. Operacional'!$AM$5:$AM$1000,$N79)="","",INDEX('Cronograma R. Operacional'!$AM$5:$AM$1000,$N79)))</f>
        <v/>
      </c>
      <c r="D79" s="79">
        <f>IF($N79="","",IF(INDEX('Cronograma R. Operacional'!$AN$5:$AN$1000,$N79)="","",INDEX('Cronograma R. Operacional'!$AN$5:$AN$1000,$N79)))</f>
        <v/>
      </c>
      <c r="E79" s="56">
        <f>IF($N79="","",IF(NOT(ISNUMBER($D79)),"",IF($D79&lt;InicioCiclo,"Antes del ciclo",IF($D79&gt;=InicioCiclo+28,"Después del ciclo","Semana "&amp;(INT(($D79-InicioCiclo)/7)+1)))))</f>
        <v/>
      </c>
      <c r="F79" s="61">
        <f>IF($N79="","",IF($P79&gt;0,IF(1&lt;=SemanaActual,INDEX('Cronograma R. Operacional'!$AC$5:$AC$1000,$N79),""),IF(INDEX('Cronograma R. Operacional'!$I$5:$I$1000,$N79)="","",INDEX('Cronograma R. Operacional'!$I$5:$I$1000,$N79))))</f>
        <v/>
      </c>
      <c r="G79" s="61">
        <f>IF($N79="","",IF($P79&gt;0,IF(2&lt;=SemanaActual,INDEX('Cronograma R. Operacional'!$AD$5:$AD$1000,$N79),""),IF(INDEX('Cronograma R. Operacional'!$J$5:$J$1000,$N79)="","",INDEX('Cronograma R. Operacional'!$J$5:$J$1000,$N79))))</f>
        <v/>
      </c>
      <c r="H79" s="61">
        <f>IF($N79="","",IF($P79&gt;0,IF(3&lt;=SemanaActual,INDEX('Cronograma R. Operacional'!$AE$5:$AE$1000,$N79),""),IF(INDEX('Cronograma R. Operacional'!$K$5:$K$1000,$N79)="","",INDEX('Cronograma R. Operacional'!$K$5:$K$1000,$N79))))</f>
        <v/>
      </c>
      <c r="I79" s="61">
        <f>IF($N79="","",IF($P79&gt;0,IF(4&lt;=SemanaActual,INDEX('Cronograma R. Operacional'!$AF$5:$AF$1000,$N79),""),IF(INDEX('Cronograma R. Operacional'!$L$5:$L$1000,$N79)="","",INDEX('Cronograma R. Operacional'!$L$5:$L$1000,$N79))))</f>
        <v/>
      </c>
      <c r="J79" s="61">
        <f>IF($N79="","",INDEX('Cronograma R. Operacional'!$M$5:$M$1000,$N79))</f>
        <v/>
      </c>
      <c r="K79" s="56">
        <f>IF($N79="","",IF(N($J79)&gt;=1,"Completado",IF(AND(ISNUMBER($D79),$D79&lt;FechaRef),"Vencida",IF(N($J79)&gt;0,"En curso","Pendiente"))))</f>
        <v/>
      </c>
      <c r="L79" s="56">
        <f>IF($N79="","",INDEX('Cronograma R. Operacional'!$O$5:$O$1000,$N79)&amp;"")</f>
        <v/>
      </c>
      <c r="M79" s="62">
        <f>IF($N79="","",INDEX('Cronograma R. Operacional'!$Q$5:$Q$1000,$N79)&amp;"")</f>
        <v/>
      </c>
      <c r="N79">
        <f>IFERROR(MATCH(ROW()-4,rOrden_RO,0),"")</f>
        <v/>
      </c>
      <c r="O79">
        <f>IF($N79="","",INDEX('Cronograma R. Operacional'!$V$5:$V$1000,$N79))</f>
        <v/>
      </c>
      <c r="P79">
        <f>IF($N79="","",N(INDEX('Cronograma R. Operacional'!$W$5:$W$1000,$N79)))</f>
        <v/>
      </c>
      <c r="Q79">
        <f>IF(OR(LEFT($L79,7)="Vencida",LEFT($L79,5)="Vence"),SUMPRODUCT(--(LEFT($L$5:$L79,7)="Vencida"))+SUMPRODUCT(--(LEFT($L$5:$L79,5)="Vence")),"")</f>
        <v/>
      </c>
    </row>
    <row r="80">
      <c r="A80" s="56">
        <f>IF($N80="","",INDEX('Cronograma R. Operacional'!$A$5:$A$1000,$N80))</f>
        <v/>
      </c>
      <c r="B80" s="62">
        <f>IF($N80="","",IF($O80="Sub","      ↳  "&amp;INDEX('Cronograma R. Operacional'!$C$5:$C$1000,$N80),INDEX('Cronograma R. Operacional'!$C$5:$C$1000,$N80)&amp;""))</f>
        <v/>
      </c>
      <c r="C80" s="79">
        <f>IF($N80="","",IF(INDEX('Cronograma R. Operacional'!$AM$5:$AM$1000,$N80)="","",INDEX('Cronograma R. Operacional'!$AM$5:$AM$1000,$N80)))</f>
        <v/>
      </c>
      <c r="D80" s="79">
        <f>IF($N80="","",IF(INDEX('Cronograma R. Operacional'!$AN$5:$AN$1000,$N80)="","",INDEX('Cronograma R. Operacional'!$AN$5:$AN$1000,$N80)))</f>
        <v/>
      </c>
      <c r="E80" s="56">
        <f>IF($N80="","",IF(NOT(ISNUMBER($D80)),"",IF($D80&lt;InicioCiclo,"Antes del ciclo",IF($D80&gt;=InicioCiclo+28,"Después del ciclo","Semana "&amp;(INT(($D80-InicioCiclo)/7)+1)))))</f>
        <v/>
      </c>
      <c r="F80" s="61">
        <f>IF($N80="","",IF($P80&gt;0,IF(1&lt;=SemanaActual,INDEX('Cronograma R. Operacional'!$AC$5:$AC$1000,$N80),""),IF(INDEX('Cronograma R. Operacional'!$I$5:$I$1000,$N80)="","",INDEX('Cronograma R. Operacional'!$I$5:$I$1000,$N80))))</f>
        <v/>
      </c>
      <c r="G80" s="61">
        <f>IF($N80="","",IF($P80&gt;0,IF(2&lt;=SemanaActual,INDEX('Cronograma R. Operacional'!$AD$5:$AD$1000,$N80),""),IF(INDEX('Cronograma R. Operacional'!$J$5:$J$1000,$N80)="","",INDEX('Cronograma R. Operacional'!$J$5:$J$1000,$N80))))</f>
        <v/>
      </c>
      <c r="H80" s="61">
        <f>IF($N80="","",IF($P80&gt;0,IF(3&lt;=SemanaActual,INDEX('Cronograma R. Operacional'!$AE$5:$AE$1000,$N80),""),IF(INDEX('Cronograma R. Operacional'!$K$5:$K$1000,$N80)="","",INDEX('Cronograma R. Operacional'!$K$5:$K$1000,$N80))))</f>
        <v/>
      </c>
      <c r="I80" s="61">
        <f>IF($N80="","",IF($P80&gt;0,IF(4&lt;=SemanaActual,INDEX('Cronograma R. Operacional'!$AF$5:$AF$1000,$N80),""),IF(INDEX('Cronograma R. Operacional'!$L$5:$L$1000,$N80)="","",INDEX('Cronograma R. Operacional'!$L$5:$L$1000,$N80))))</f>
        <v/>
      </c>
      <c r="J80" s="61">
        <f>IF($N80="","",INDEX('Cronograma R. Operacional'!$M$5:$M$1000,$N80))</f>
        <v/>
      </c>
      <c r="K80" s="56">
        <f>IF($N80="","",IF(N($J80)&gt;=1,"Completado",IF(AND(ISNUMBER($D80),$D80&lt;FechaRef),"Vencida",IF(N($J80)&gt;0,"En curso","Pendiente"))))</f>
        <v/>
      </c>
      <c r="L80" s="56">
        <f>IF($N80="","",INDEX('Cronograma R. Operacional'!$O$5:$O$1000,$N80)&amp;"")</f>
        <v/>
      </c>
      <c r="M80" s="62">
        <f>IF($N80="","",INDEX('Cronograma R. Operacional'!$Q$5:$Q$1000,$N80)&amp;"")</f>
        <v/>
      </c>
      <c r="N80">
        <f>IFERROR(MATCH(ROW()-4,rOrden_RO,0),"")</f>
        <v/>
      </c>
      <c r="O80">
        <f>IF($N80="","",INDEX('Cronograma R. Operacional'!$V$5:$V$1000,$N80))</f>
        <v/>
      </c>
      <c r="P80">
        <f>IF($N80="","",N(INDEX('Cronograma R. Operacional'!$W$5:$W$1000,$N80)))</f>
        <v/>
      </c>
      <c r="Q80">
        <f>IF(OR(LEFT($L80,7)="Vencida",LEFT($L80,5)="Vence"),SUMPRODUCT(--(LEFT($L$5:$L80,7)="Vencida"))+SUMPRODUCT(--(LEFT($L$5:$L80,5)="Vence")),"")</f>
        <v/>
      </c>
    </row>
    <row r="81">
      <c r="A81" s="56">
        <f>IF($N81="","",INDEX('Cronograma R. Operacional'!$A$5:$A$1000,$N81))</f>
        <v/>
      </c>
      <c r="B81" s="62">
        <f>IF($N81="","",IF($O81="Sub","      ↳  "&amp;INDEX('Cronograma R. Operacional'!$C$5:$C$1000,$N81),INDEX('Cronograma R. Operacional'!$C$5:$C$1000,$N81)&amp;""))</f>
        <v/>
      </c>
      <c r="C81" s="79">
        <f>IF($N81="","",IF(INDEX('Cronograma R. Operacional'!$AM$5:$AM$1000,$N81)="","",INDEX('Cronograma R. Operacional'!$AM$5:$AM$1000,$N81)))</f>
        <v/>
      </c>
      <c r="D81" s="79">
        <f>IF($N81="","",IF(INDEX('Cronograma R. Operacional'!$AN$5:$AN$1000,$N81)="","",INDEX('Cronograma R. Operacional'!$AN$5:$AN$1000,$N81)))</f>
        <v/>
      </c>
      <c r="E81" s="56">
        <f>IF($N81="","",IF(NOT(ISNUMBER($D81)),"",IF($D81&lt;InicioCiclo,"Antes del ciclo",IF($D81&gt;=InicioCiclo+28,"Después del ciclo","Semana "&amp;(INT(($D81-InicioCiclo)/7)+1)))))</f>
        <v/>
      </c>
      <c r="F81" s="61">
        <f>IF($N81="","",IF($P81&gt;0,IF(1&lt;=SemanaActual,INDEX('Cronograma R. Operacional'!$AC$5:$AC$1000,$N81),""),IF(INDEX('Cronograma R. Operacional'!$I$5:$I$1000,$N81)="","",INDEX('Cronograma R. Operacional'!$I$5:$I$1000,$N81))))</f>
        <v/>
      </c>
      <c r="G81" s="61">
        <f>IF($N81="","",IF($P81&gt;0,IF(2&lt;=SemanaActual,INDEX('Cronograma R. Operacional'!$AD$5:$AD$1000,$N81),""),IF(INDEX('Cronograma R. Operacional'!$J$5:$J$1000,$N81)="","",INDEX('Cronograma R. Operacional'!$J$5:$J$1000,$N81))))</f>
        <v/>
      </c>
      <c r="H81" s="61">
        <f>IF($N81="","",IF($P81&gt;0,IF(3&lt;=SemanaActual,INDEX('Cronograma R. Operacional'!$AE$5:$AE$1000,$N81),""),IF(INDEX('Cronograma R. Operacional'!$K$5:$K$1000,$N81)="","",INDEX('Cronograma R. Operacional'!$K$5:$K$1000,$N81))))</f>
        <v/>
      </c>
      <c r="I81" s="61">
        <f>IF($N81="","",IF($P81&gt;0,IF(4&lt;=SemanaActual,INDEX('Cronograma R. Operacional'!$AF$5:$AF$1000,$N81),""),IF(INDEX('Cronograma R. Operacional'!$L$5:$L$1000,$N81)="","",INDEX('Cronograma R. Operacional'!$L$5:$L$1000,$N81))))</f>
        <v/>
      </c>
      <c r="J81" s="61">
        <f>IF($N81="","",INDEX('Cronograma R. Operacional'!$M$5:$M$1000,$N81))</f>
        <v/>
      </c>
      <c r="K81" s="56">
        <f>IF($N81="","",IF(N($J81)&gt;=1,"Completado",IF(AND(ISNUMBER($D81),$D81&lt;FechaRef),"Vencida",IF(N($J81)&gt;0,"En curso","Pendiente"))))</f>
        <v/>
      </c>
      <c r="L81" s="56">
        <f>IF($N81="","",INDEX('Cronograma R. Operacional'!$O$5:$O$1000,$N81)&amp;"")</f>
        <v/>
      </c>
      <c r="M81" s="62">
        <f>IF($N81="","",INDEX('Cronograma R. Operacional'!$Q$5:$Q$1000,$N81)&amp;"")</f>
        <v/>
      </c>
      <c r="N81">
        <f>IFERROR(MATCH(ROW()-4,rOrden_RO,0),"")</f>
        <v/>
      </c>
      <c r="O81">
        <f>IF($N81="","",INDEX('Cronograma R. Operacional'!$V$5:$V$1000,$N81))</f>
        <v/>
      </c>
      <c r="P81">
        <f>IF($N81="","",N(INDEX('Cronograma R. Operacional'!$W$5:$W$1000,$N81)))</f>
        <v/>
      </c>
      <c r="Q81">
        <f>IF(OR(LEFT($L81,7)="Vencida",LEFT($L81,5)="Vence"),SUMPRODUCT(--(LEFT($L$5:$L81,7)="Vencida"))+SUMPRODUCT(--(LEFT($L$5:$L81,5)="Vence")),"")</f>
        <v/>
      </c>
    </row>
    <row r="82">
      <c r="A82" s="56">
        <f>IF($N82="","",INDEX('Cronograma R. Operacional'!$A$5:$A$1000,$N82))</f>
        <v/>
      </c>
      <c r="B82" s="62">
        <f>IF($N82="","",IF($O82="Sub","      ↳  "&amp;INDEX('Cronograma R. Operacional'!$C$5:$C$1000,$N82),INDEX('Cronograma R. Operacional'!$C$5:$C$1000,$N82)&amp;""))</f>
        <v/>
      </c>
      <c r="C82" s="79">
        <f>IF($N82="","",IF(INDEX('Cronograma R. Operacional'!$AM$5:$AM$1000,$N82)="","",INDEX('Cronograma R. Operacional'!$AM$5:$AM$1000,$N82)))</f>
        <v/>
      </c>
      <c r="D82" s="79">
        <f>IF($N82="","",IF(INDEX('Cronograma R. Operacional'!$AN$5:$AN$1000,$N82)="","",INDEX('Cronograma R. Operacional'!$AN$5:$AN$1000,$N82)))</f>
        <v/>
      </c>
      <c r="E82" s="56">
        <f>IF($N82="","",IF(NOT(ISNUMBER($D82)),"",IF($D82&lt;InicioCiclo,"Antes del ciclo",IF($D82&gt;=InicioCiclo+28,"Después del ciclo","Semana "&amp;(INT(($D82-InicioCiclo)/7)+1)))))</f>
        <v/>
      </c>
      <c r="F82" s="61">
        <f>IF($N82="","",IF($P82&gt;0,IF(1&lt;=SemanaActual,INDEX('Cronograma R. Operacional'!$AC$5:$AC$1000,$N82),""),IF(INDEX('Cronograma R. Operacional'!$I$5:$I$1000,$N82)="","",INDEX('Cronograma R. Operacional'!$I$5:$I$1000,$N82))))</f>
        <v/>
      </c>
      <c r="G82" s="61">
        <f>IF($N82="","",IF($P82&gt;0,IF(2&lt;=SemanaActual,INDEX('Cronograma R. Operacional'!$AD$5:$AD$1000,$N82),""),IF(INDEX('Cronograma R. Operacional'!$J$5:$J$1000,$N82)="","",INDEX('Cronograma R. Operacional'!$J$5:$J$1000,$N82))))</f>
        <v/>
      </c>
      <c r="H82" s="61">
        <f>IF($N82="","",IF($P82&gt;0,IF(3&lt;=SemanaActual,INDEX('Cronograma R. Operacional'!$AE$5:$AE$1000,$N82),""),IF(INDEX('Cronograma R. Operacional'!$K$5:$K$1000,$N82)="","",INDEX('Cronograma R. Operacional'!$K$5:$K$1000,$N82))))</f>
        <v/>
      </c>
      <c r="I82" s="61">
        <f>IF($N82="","",IF($P82&gt;0,IF(4&lt;=SemanaActual,INDEX('Cronograma R. Operacional'!$AF$5:$AF$1000,$N82),""),IF(INDEX('Cronograma R. Operacional'!$L$5:$L$1000,$N82)="","",INDEX('Cronograma R. Operacional'!$L$5:$L$1000,$N82))))</f>
        <v/>
      </c>
      <c r="J82" s="61">
        <f>IF($N82="","",INDEX('Cronograma R. Operacional'!$M$5:$M$1000,$N82))</f>
        <v/>
      </c>
      <c r="K82" s="56">
        <f>IF($N82="","",IF(N($J82)&gt;=1,"Completado",IF(AND(ISNUMBER($D82),$D82&lt;FechaRef),"Vencida",IF(N($J82)&gt;0,"En curso","Pendiente"))))</f>
        <v/>
      </c>
      <c r="L82" s="56">
        <f>IF($N82="","",INDEX('Cronograma R. Operacional'!$O$5:$O$1000,$N82)&amp;"")</f>
        <v/>
      </c>
      <c r="M82" s="62">
        <f>IF($N82="","",INDEX('Cronograma R. Operacional'!$Q$5:$Q$1000,$N82)&amp;"")</f>
        <v/>
      </c>
      <c r="N82">
        <f>IFERROR(MATCH(ROW()-4,rOrden_RO,0),"")</f>
        <v/>
      </c>
      <c r="O82">
        <f>IF($N82="","",INDEX('Cronograma R. Operacional'!$V$5:$V$1000,$N82))</f>
        <v/>
      </c>
      <c r="P82">
        <f>IF($N82="","",N(INDEX('Cronograma R. Operacional'!$W$5:$W$1000,$N82)))</f>
        <v/>
      </c>
      <c r="Q82">
        <f>IF(OR(LEFT($L82,7)="Vencida",LEFT($L82,5)="Vence"),SUMPRODUCT(--(LEFT($L$5:$L82,7)="Vencida"))+SUMPRODUCT(--(LEFT($L$5:$L82,5)="Vence")),"")</f>
        <v/>
      </c>
    </row>
    <row r="83">
      <c r="A83" s="56">
        <f>IF($N83="","",INDEX('Cronograma R. Operacional'!$A$5:$A$1000,$N83))</f>
        <v/>
      </c>
      <c r="B83" s="62">
        <f>IF($N83="","",IF($O83="Sub","      ↳  "&amp;INDEX('Cronograma R. Operacional'!$C$5:$C$1000,$N83),INDEX('Cronograma R. Operacional'!$C$5:$C$1000,$N83)&amp;""))</f>
        <v/>
      </c>
      <c r="C83" s="79">
        <f>IF($N83="","",IF(INDEX('Cronograma R. Operacional'!$AM$5:$AM$1000,$N83)="","",INDEX('Cronograma R. Operacional'!$AM$5:$AM$1000,$N83)))</f>
        <v/>
      </c>
      <c r="D83" s="79">
        <f>IF($N83="","",IF(INDEX('Cronograma R. Operacional'!$AN$5:$AN$1000,$N83)="","",INDEX('Cronograma R. Operacional'!$AN$5:$AN$1000,$N83)))</f>
        <v/>
      </c>
      <c r="E83" s="56">
        <f>IF($N83="","",IF(NOT(ISNUMBER($D83)),"",IF($D83&lt;InicioCiclo,"Antes del ciclo",IF($D83&gt;=InicioCiclo+28,"Después del ciclo","Semana "&amp;(INT(($D83-InicioCiclo)/7)+1)))))</f>
        <v/>
      </c>
      <c r="F83" s="61">
        <f>IF($N83="","",IF($P83&gt;0,IF(1&lt;=SemanaActual,INDEX('Cronograma R. Operacional'!$AC$5:$AC$1000,$N83),""),IF(INDEX('Cronograma R. Operacional'!$I$5:$I$1000,$N83)="","",INDEX('Cronograma R. Operacional'!$I$5:$I$1000,$N83))))</f>
        <v/>
      </c>
      <c r="G83" s="61">
        <f>IF($N83="","",IF($P83&gt;0,IF(2&lt;=SemanaActual,INDEX('Cronograma R. Operacional'!$AD$5:$AD$1000,$N83),""),IF(INDEX('Cronograma R. Operacional'!$J$5:$J$1000,$N83)="","",INDEX('Cronograma R. Operacional'!$J$5:$J$1000,$N83))))</f>
        <v/>
      </c>
      <c r="H83" s="61">
        <f>IF($N83="","",IF($P83&gt;0,IF(3&lt;=SemanaActual,INDEX('Cronograma R. Operacional'!$AE$5:$AE$1000,$N83),""),IF(INDEX('Cronograma R. Operacional'!$K$5:$K$1000,$N83)="","",INDEX('Cronograma R. Operacional'!$K$5:$K$1000,$N83))))</f>
        <v/>
      </c>
      <c r="I83" s="61">
        <f>IF($N83="","",IF($P83&gt;0,IF(4&lt;=SemanaActual,INDEX('Cronograma R. Operacional'!$AF$5:$AF$1000,$N83),""),IF(INDEX('Cronograma R. Operacional'!$L$5:$L$1000,$N83)="","",INDEX('Cronograma R. Operacional'!$L$5:$L$1000,$N83))))</f>
        <v/>
      </c>
      <c r="J83" s="61">
        <f>IF($N83="","",INDEX('Cronograma R. Operacional'!$M$5:$M$1000,$N83))</f>
        <v/>
      </c>
      <c r="K83" s="56">
        <f>IF($N83="","",IF(N($J83)&gt;=1,"Completado",IF(AND(ISNUMBER($D83),$D83&lt;FechaRef),"Vencida",IF(N($J83)&gt;0,"En curso","Pendiente"))))</f>
        <v/>
      </c>
      <c r="L83" s="56">
        <f>IF($N83="","",INDEX('Cronograma R. Operacional'!$O$5:$O$1000,$N83)&amp;"")</f>
        <v/>
      </c>
      <c r="M83" s="62">
        <f>IF($N83="","",INDEX('Cronograma R. Operacional'!$Q$5:$Q$1000,$N83)&amp;"")</f>
        <v/>
      </c>
      <c r="N83">
        <f>IFERROR(MATCH(ROW()-4,rOrden_RO,0),"")</f>
        <v/>
      </c>
      <c r="O83">
        <f>IF($N83="","",INDEX('Cronograma R. Operacional'!$V$5:$V$1000,$N83))</f>
        <v/>
      </c>
      <c r="P83">
        <f>IF($N83="","",N(INDEX('Cronograma R. Operacional'!$W$5:$W$1000,$N83)))</f>
        <v/>
      </c>
      <c r="Q83">
        <f>IF(OR(LEFT($L83,7)="Vencida",LEFT($L83,5)="Vence"),SUMPRODUCT(--(LEFT($L$5:$L83,7)="Vencida"))+SUMPRODUCT(--(LEFT($L$5:$L83,5)="Vence")),"")</f>
        <v/>
      </c>
    </row>
    <row r="84">
      <c r="A84" s="56">
        <f>IF($N84="","",INDEX('Cronograma R. Operacional'!$A$5:$A$1000,$N84))</f>
        <v/>
      </c>
      <c r="B84" s="62">
        <f>IF($N84="","",IF($O84="Sub","      ↳  "&amp;INDEX('Cronograma R. Operacional'!$C$5:$C$1000,$N84),INDEX('Cronograma R. Operacional'!$C$5:$C$1000,$N84)&amp;""))</f>
        <v/>
      </c>
      <c r="C84" s="79">
        <f>IF($N84="","",IF(INDEX('Cronograma R. Operacional'!$AM$5:$AM$1000,$N84)="","",INDEX('Cronograma R. Operacional'!$AM$5:$AM$1000,$N84)))</f>
        <v/>
      </c>
      <c r="D84" s="79">
        <f>IF($N84="","",IF(INDEX('Cronograma R. Operacional'!$AN$5:$AN$1000,$N84)="","",INDEX('Cronograma R. Operacional'!$AN$5:$AN$1000,$N84)))</f>
        <v/>
      </c>
      <c r="E84" s="56">
        <f>IF($N84="","",IF(NOT(ISNUMBER($D84)),"",IF($D84&lt;InicioCiclo,"Antes del ciclo",IF($D84&gt;=InicioCiclo+28,"Después del ciclo","Semana "&amp;(INT(($D84-InicioCiclo)/7)+1)))))</f>
        <v/>
      </c>
      <c r="F84" s="61">
        <f>IF($N84="","",IF($P84&gt;0,IF(1&lt;=SemanaActual,INDEX('Cronograma R. Operacional'!$AC$5:$AC$1000,$N84),""),IF(INDEX('Cronograma R. Operacional'!$I$5:$I$1000,$N84)="","",INDEX('Cronograma R. Operacional'!$I$5:$I$1000,$N84))))</f>
        <v/>
      </c>
      <c r="G84" s="61">
        <f>IF($N84="","",IF($P84&gt;0,IF(2&lt;=SemanaActual,INDEX('Cronograma R. Operacional'!$AD$5:$AD$1000,$N84),""),IF(INDEX('Cronograma R. Operacional'!$J$5:$J$1000,$N84)="","",INDEX('Cronograma R. Operacional'!$J$5:$J$1000,$N84))))</f>
        <v/>
      </c>
      <c r="H84" s="61">
        <f>IF($N84="","",IF($P84&gt;0,IF(3&lt;=SemanaActual,INDEX('Cronograma R. Operacional'!$AE$5:$AE$1000,$N84),""),IF(INDEX('Cronograma R. Operacional'!$K$5:$K$1000,$N84)="","",INDEX('Cronograma R. Operacional'!$K$5:$K$1000,$N84))))</f>
        <v/>
      </c>
      <c r="I84" s="61">
        <f>IF($N84="","",IF($P84&gt;0,IF(4&lt;=SemanaActual,INDEX('Cronograma R. Operacional'!$AF$5:$AF$1000,$N84),""),IF(INDEX('Cronograma R. Operacional'!$L$5:$L$1000,$N84)="","",INDEX('Cronograma R. Operacional'!$L$5:$L$1000,$N84))))</f>
        <v/>
      </c>
      <c r="J84" s="61">
        <f>IF($N84="","",INDEX('Cronograma R. Operacional'!$M$5:$M$1000,$N84))</f>
        <v/>
      </c>
      <c r="K84" s="56">
        <f>IF($N84="","",IF(N($J84)&gt;=1,"Completado",IF(AND(ISNUMBER($D84),$D84&lt;FechaRef),"Vencida",IF(N($J84)&gt;0,"En curso","Pendiente"))))</f>
        <v/>
      </c>
      <c r="L84" s="56">
        <f>IF($N84="","",INDEX('Cronograma R. Operacional'!$O$5:$O$1000,$N84)&amp;"")</f>
        <v/>
      </c>
      <c r="M84" s="62">
        <f>IF($N84="","",INDEX('Cronograma R. Operacional'!$Q$5:$Q$1000,$N84)&amp;"")</f>
        <v/>
      </c>
      <c r="N84">
        <f>IFERROR(MATCH(ROW()-4,rOrden_RO,0),"")</f>
        <v/>
      </c>
      <c r="O84">
        <f>IF($N84="","",INDEX('Cronograma R. Operacional'!$V$5:$V$1000,$N84))</f>
        <v/>
      </c>
      <c r="P84">
        <f>IF($N84="","",N(INDEX('Cronograma R. Operacional'!$W$5:$W$1000,$N84)))</f>
        <v/>
      </c>
      <c r="Q84">
        <f>IF(OR(LEFT($L84,7)="Vencida",LEFT($L84,5)="Vence"),SUMPRODUCT(--(LEFT($L$5:$L84,7)="Vencida"))+SUMPRODUCT(--(LEFT($L$5:$L84,5)="Vence")),"")</f>
        <v/>
      </c>
    </row>
    <row r="85">
      <c r="A85" s="56">
        <f>IF($N85="","",INDEX('Cronograma R. Operacional'!$A$5:$A$1000,$N85))</f>
        <v/>
      </c>
      <c r="B85" s="62">
        <f>IF($N85="","",IF($O85="Sub","      ↳  "&amp;INDEX('Cronograma R. Operacional'!$C$5:$C$1000,$N85),INDEX('Cronograma R. Operacional'!$C$5:$C$1000,$N85)&amp;""))</f>
        <v/>
      </c>
      <c r="C85" s="79">
        <f>IF($N85="","",IF(INDEX('Cronograma R. Operacional'!$AM$5:$AM$1000,$N85)="","",INDEX('Cronograma R. Operacional'!$AM$5:$AM$1000,$N85)))</f>
        <v/>
      </c>
      <c r="D85" s="79">
        <f>IF($N85="","",IF(INDEX('Cronograma R. Operacional'!$AN$5:$AN$1000,$N85)="","",INDEX('Cronograma R. Operacional'!$AN$5:$AN$1000,$N85)))</f>
        <v/>
      </c>
      <c r="E85" s="56">
        <f>IF($N85="","",IF(NOT(ISNUMBER($D85)),"",IF($D85&lt;InicioCiclo,"Antes del ciclo",IF($D85&gt;=InicioCiclo+28,"Después del ciclo","Semana "&amp;(INT(($D85-InicioCiclo)/7)+1)))))</f>
        <v/>
      </c>
      <c r="F85" s="61">
        <f>IF($N85="","",IF($P85&gt;0,IF(1&lt;=SemanaActual,INDEX('Cronograma R. Operacional'!$AC$5:$AC$1000,$N85),""),IF(INDEX('Cronograma R. Operacional'!$I$5:$I$1000,$N85)="","",INDEX('Cronograma R. Operacional'!$I$5:$I$1000,$N85))))</f>
        <v/>
      </c>
      <c r="G85" s="61">
        <f>IF($N85="","",IF($P85&gt;0,IF(2&lt;=SemanaActual,INDEX('Cronograma R. Operacional'!$AD$5:$AD$1000,$N85),""),IF(INDEX('Cronograma R. Operacional'!$J$5:$J$1000,$N85)="","",INDEX('Cronograma R. Operacional'!$J$5:$J$1000,$N85))))</f>
        <v/>
      </c>
      <c r="H85" s="61">
        <f>IF($N85="","",IF($P85&gt;0,IF(3&lt;=SemanaActual,INDEX('Cronograma R. Operacional'!$AE$5:$AE$1000,$N85),""),IF(INDEX('Cronograma R. Operacional'!$K$5:$K$1000,$N85)="","",INDEX('Cronograma R. Operacional'!$K$5:$K$1000,$N85))))</f>
        <v/>
      </c>
      <c r="I85" s="61">
        <f>IF($N85="","",IF($P85&gt;0,IF(4&lt;=SemanaActual,INDEX('Cronograma R. Operacional'!$AF$5:$AF$1000,$N85),""),IF(INDEX('Cronograma R. Operacional'!$L$5:$L$1000,$N85)="","",INDEX('Cronograma R. Operacional'!$L$5:$L$1000,$N85))))</f>
        <v/>
      </c>
      <c r="J85" s="61">
        <f>IF($N85="","",INDEX('Cronograma R. Operacional'!$M$5:$M$1000,$N85))</f>
        <v/>
      </c>
      <c r="K85" s="56">
        <f>IF($N85="","",IF(N($J85)&gt;=1,"Completado",IF(AND(ISNUMBER($D85),$D85&lt;FechaRef),"Vencida",IF(N($J85)&gt;0,"En curso","Pendiente"))))</f>
        <v/>
      </c>
      <c r="L85" s="56">
        <f>IF($N85="","",INDEX('Cronograma R. Operacional'!$O$5:$O$1000,$N85)&amp;"")</f>
        <v/>
      </c>
      <c r="M85" s="62">
        <f>IF($N85="","",INDEX('Cronograma R. Operacional'!$Q$5:$Q$1000,$N85)&amp;"")</f>
        <v/>
      </c>
      <c r="N85">
        <f>IFERROR(MATCH(ROW()-4,rOrden_RO,0),"")</f>
        <v/>
      </c>
      <c r="O85">
        <f>IF($N85="","",INDEX('Cronograma R. Operacional'!$V$5:$V$1000,$N85))</f>
        <v/>
      </c>
      <c r="P85">
        <f>IF($N85="","",N(INDEX('Cronograma R. Operacional'!$W$5:$W$1000,$N85)))</f>
        <v/>
      </c>
      <c r="Q85">
        <f>IF(OR(LEFT($L85,7)="Vencida",LEFT($L85,5)="Vence"),SUMPRODUCT(--(LEFT($L$5:$L85,7)="Vencida"))+SUMPRODUCT(--(LEFT($L$5:$L85,5)="Vence")),"")</f>
        <v/>
      </c>
    </row>
    <row r="86">
      <c r="A86" s="56">
        <f>IF($N86="","",INDEX('Cronograma R. Operacional'!$A$5:$A$1000,$N86))</f>
        <v/>
      </c>
      <c r="B86" s="62">
        <f>IF($N86="","",IF($O86="Sub","      ↳  "&amp;INDEX('Cronograma R. Operacional'!$C$5:$C$1000,$N86),INDEX('Cronograma R. Operacional'!$C$5:$C$1000,$N86)&amp;""))</f>
        <v/>
      </c>
      <c r="C86" s="79">
        <f>IF($N86="","",IF(INDEX('Cronograma R. Operacional'!$AM$5:$AM$1000,$N86)="","",INDEX('Cronograma R. Operacional'!$AM$5:$AM$1000,$N86)))</f>
        <v/>
      </c>
      <c r="D86" s="79">
        <f>IF($N86="","",IF(INDEX('Cronograma R. Operacional'!$AN$5:$AN$1000,$N86)="","",INDEX('Cronograma R. Operacional'!$AN$5:$AN$1000,$N86)))</f>
        <v/>
      </c>
      <c r="E86" s="56">
        <f>IF($N86="","",IF(NOT(ISNUMBER($D86)),"",IF($D86&lt;InicioCiclo,"Antes del ciclo",IF($D86&gt;=InicioCiclo+28,"Después del ciclo","Semana "&amp;(INT(($D86-InicioCiclo)/7)+1)))))</f>
        <v/>
      </c>
      <c r="F86" s="61">
        <f>IF($N86="","",IF($P86&gt;0,IF(1&lt;=SemanaActual,INDEX('Cronograma R. Operacional'!$AC$5:$AC$1000,$N86),""),IF(INDEX('Cronograma R. Operacional'!$I$5:$I$1000,$N86)="","",INDEX('Cronograma R. Operacional'!$I$5:$I$1000,$N86))))</f>
        <v/>
      </c>
      <c r="G86" s="61">
        <f>IF($N86="","",IF($P86&gt;0,IF(2&lt;=SemanaActual,INDEX('Cronograma R. Operacional'!$AD$5:$AD$1000,$N86),""),IF(INDEX('Cronograma R. Operacional'!$J$5:$J$1000,$N86)="","",INDEX('Cronograma R. Operacional'!$J$5:$J$1000,$N86))))</f>
        <v/>
      </c>
      <c r="H86" s="61">
        <f>IF($N86="","",IF($P86&gt;0,IF(3&lt;=SemanaActual,INDEX('Cronograma R. Operacional'!$AE$5:$AE$1000,$N86),""),IF(INDEX('Cronograma R. Operacional'!$K$5:$K$1000,$N86)="","",INDEX('Cronograma R. Operacional'!$K$5:$K$1000,$N86))))</f>
        <v/>
      </c>
      <c r="I86" s="61">
        <f>IF($N86="","",IF($P86&gt;0,IF(4&lt;=SemanaActual,INDEX('Cronograma R. Operacional'!$AF$5:$AF$1000,$N86),""),IF(INDEX('Cronograma R. Operacional'!$L$5:$L$1000,$N86)="","",INDEX('Cronograma R. Operacional'!$L$5:$L$1000,$N86))))</f>
        <v/>
      </c>
      <c r="J86" s="61">
        <f>IF($N86="","",INDEX('Cronograma R. Operacional'!$M$5:$M$1000,$N86))</f>
        <v/>
      </c>
      <c r="K86" s="56">
        <f>IF($N86="","",IF(N($J86)&gt;=1,"Completado",IF(AND(ISNUMBER($D86),$D86&lt;FechaRef),"Vencida",IF(N($J86)&gt;0,"En curso","Pendiente"))))</f>
        <v/>
      </c>
      <c r="L86" s="56">
        <f>IF($N86="","",INDEX('Cronograma R. Operacional'!$O$5:$O$1000,$N86)&amp;"")</f>
        <v/>
      </c>
      <c r="M86" s="62">
        <f>IF($N86="","",INDEX('Cronograma R. Operacional'!$Q$5:$Q$1000,$N86)&amp;"")</f>
        <v/>
      </c>
      <c r="N86">
        <f>IFERROR(MATCH(ROW()-4,rOrden_RO,0),"")</f>
        <v/>
      </c>
      <c r="O86">
        <f>IF($N86="","",INDEX('Cronograma R. Operacional'!$V$5:$V$1000,$N86))</f>
        <v/>
      </c>
      <c r="P86">
        <f>IF($N86="","",N(INDEX('Cronograma R. Operacional'!$W$5:$W$1000,$N86)))</f>
        <v/>
      </c>
      <c r="Q86">
        <f>IF(OR(LEFT($L86,7)="Vencida",LEFT($L86,5)="Vence"),SUMPRODUCT(--(LEFT($L$5:$L86,7)="Vencida"))+SUMPRODUCT(--(LEFT($L$5:$L86,5)="Vence")),"")</f>
        <v/>
      </c>
    </row>
    <row r="87">
      <c r="A87" s="56">
        <f>IF($N87="","",INDEX('Cronograma R. Operacional'!$A$5:$A$1000,$N87))</f>
        <v/>
      </c>
      <c r="B87" s="62">
        <f>IF($N87="","",IF($O87="Sub","      ↳  "&amp;INDEX('Cronograma R. Operacional'!$C$5:$C$1000,$N87),INDEX('Cronograma R. Operacional'!$C$5:$C$1000,$N87)&amp;""))</f>
        <v/>
      </c>
      <c r="C87" s="79">
        <f>IF($N87="","",IF(INDEX('Cronograma R. Operacional'!$AM$5:$AM$1000,$N87)="","",INDEX('Cronograma R. Operacional'!$AM$5:$AM$1000,$N87)))</f>
        <v/>
      </c>
      <c r="D87" s="79">
        <f>IF($N87="","",IF(INDEX('Cronograma R. Operacional'!$AN$5:$AN$1000,$N87)="","",INDEX('Cronograma R. Operacional'!$AN$5:$AN$1000,$N87)))</f>
        <v/>
      </c>
      <c r="E87" s="56">
        <f>IF($N87="","",IF(NOT(ISNUMBER($D87)),"",IF($D87&lt;InicioCiclo,"Antes del ciclo",IF($D87&gt;=InicioCiclo+28,"Después del ciclo","Semana "&amp;(INT(($D87-InicioCiclo)/7)+1)))))</f>
        <v/>
      </c>
      <c r="F87" s="61">
        <f>IF($N87="","",IF($P87&gt;0,IF(1&lt;=SemanaActual,INDEX('Cronograma R. Operacional'!$AC$5:$AC$1000,$N87),""),IF(INDEX('Cronograma R. Operacional'!$I$5:$I$1000,$N87)="","",INDEX('Cronograma R. Operacional'!$I$5:$I$1000,$N87))))</f>
        <v/>
      </c>
      <c r="G87" s="61">
        <f>IF($N87="","",IF($P87&gt;0,IF(2&lt;=SemanaActual,INDEX('Cronograma R. Operacional'!$AD$5:$AD$1000,$N87),""),IF(INDEX('Cronograma R. Operacional'!$J$5:$J$1000,$N87)="","",INDEX('Cronograma R. Operacional'!$J$5:$J$1000,$N87))))</f>
        <v/>
      </c>
      <c r="H87" s="61">
        <f>IF($N87="","",IF($P87&gt;0,IF(3&lt;=SemanaActual,INDEX('Cronograma R. Operacional'!$AE$5:$AE$1000,$N87),""),IF(INDEX('Cronograma R. Operacional'!$K$5:$K$1000,$N87)="","",INDEX('Cronograma R. Operacional'!$K$5:$K$1000,$N87))))</f>
        <v/>
      </c>
      <c r="I87" s="61">
        <f>IF($N87="","",IF($P87&gt;0,IF(4&lt;=SemanaActual,INDEX('Cronograma R. Operacional'!$AF$5:$AF$1000,$N87),""),IF(INDEX('Cronograma R. Operacional'!$L$5:$L$1000,$N87)="","",INDEX('Cronograma R. Operacional'!$L$5:$L$1000,$N87))))</f>
        <v/>
      </c>
      <c r="J87" s="61">
        <f>IF($N87="","",INDEX('Cronograma R. Operacional'!$M$5:$M$1000,$N87))</f>
        <v/>
      </c>
      <c r="K87" s="56">
        <f>IF($N87="","",IF(N($J87)&gt;=1,"Completado",IF(AND(ISNUMBER($D87),$D87&lt;FechaRef),"Vencida",IF(N($J87)&gt;0,"En curso","Pendiente"))))</f>
        <v/>
      </c>
      <c r="L87" s="56">
        <f>IF($N87="","",INDEX('Cronograma R. Operacional'!$O$5:$O$1000,$N87)&amp;"")</f>
        <v/>
      </c>
      <c r="M87" s="62">
        <f>IF($N87="","",INDEX('Cronograma R. Operacional'!$Q$5:$Q$1000,$N87)&amp;"")</f>
        <v/>
      </c>
      <c r="N87">
        <f>IFERROR(MATCH(ROW()-4,rOrden_RO,0),"")</f>
        <v/>
      </c>
      <c r="O87">
        <f>IF($N87="","",INDEX('Cronograma R. Operacional'!$V$5:$V$1000,$N87))</f>
        <v/>
      </c>
      <c r="P87">
        <f>IF($N87="","",N(INDEX('Cronograma R. Operacional'!$W$5:$W$1000,$N87)))</f>
        <v/>
      </c>
      <c r="Q87">
        <f>IF(OR(LEFT($L87,7)="Vencida",LEFT($L87,5)="Vence"),SUMPRODUCT(--(LEFT($L$5:$L87,7)="Vencida"))+SUMPRODUCT(--(LEFT($L$5:$L87,5)="Vence")),"")</f>
        <v/>
      </c>
    </row>
    <row r="88">
      <c r="A88" s="56">
        <f>IF($N88="","",INDEX('Cronograma R. Operacional'!$A$5:$A$1000,$N88))</f>
        <v/>
      </c>
      <c r="B88" s="62">
        <f>IF($N88="","",IF($O88="Sub","      ↳  "&amp;INDEX('Cronograma R. Operacional'!$C$5:$C$1000,$N88),INDEX('Cronograma R. Operacional'!$C$5:$C$1000,$N88)&amp;""))</f>
        <v/>
      </c>
      <c r="C88" s="79">
        <f>IF($N88="","",IF(INDEX('Cronograma R. Operacional'!$AM$5:$AM$1000,$N88)="","",INDEX('Cronograma R. Operacional'!$AM$5:$AM$1000,$N88)))</f>
        <v/>
      </c>
      <c r="D88" s="79">
        <f>IF($N88="","",IF(INDEX('Cronograma R. Operacional'!$AN$5:$AN$1000,$N88)="","",INDEX('Cronograma R. Operacional'!$AN$5:$AN$1000,$N88)))</f>
        <v/>
      </c>
      <c r="E88" s="56">
        <f>IF($N88="","",IF(NOT(ISNUMBER($D88)),"",IF($D88&lt;InicioCiclo,"Antes del ciclo",IF($D88&gt;=InicioCiclo+28,"Después del ciclo","Semana "&amp;(INT(($D88-InicioCiclo)/7)+1)))))</f>
        <v/>
      </c>
      <c r="F88" s="61">
        <f>IF($N88="","",IF($P88&gt;0,IF(1&lt;=SemanaActual,INDEX('Cronograma R. Operacional'!$AC$5:$AC$1000,$N88),""),IF(INDEX('Cronograma R. Operacional'!$I$5:$I$1000,$N88)="","",INDEX('Cronograma R. Operacional'!$I$5:$I$1000,$N88))))</f>
        <v/>
      </c>
      <c r="G88" s="61">
        <f>IF($N88="","",IF($P88&gt;0,IF(2&lt;=SemanaActual,INDEX('Cronograma R. Operacional'!$AD$5:$AD$1000,$N88),""),IF(INDEX('Cronograma R. Operacional'!$J$5:$J$1000,$N88)="","",INDEX('Cronograma R. Operacional'!$J$5:$J$1000,$N88))))</f>
        <v/>
      </c>
      <c r="H88" s="61">
        <f>IF($N88="","",IF($P88&gt;0,IF(3&lt;=SemanaActual,INDEX('Cronograma R. Operacional'!$AE$5:$AE$1000,$N88),""),IF(INDEX('Cronograma R. Operacional'!$K$5:$K$1000,$N88)="","",INDEX('Cronograma R. Operacional'!$K$5:$K$1000,$N88))))</f>
        <v/>
      </c>
      <c r="I88" s="61">
        <f>IF($N88="","",IF($P88&gt;0,IF(4&lt;=SemanaActual,INDEX('Cronograma R. Operacional'!$AF$5:$AF$1000,$N88),""),IF(INDEX('Cronograma R. Operacional'!$L$5:$L$1000,$N88)="","",INDEX('Cronograma R. Operacional'!$L$5:$L$1000,$N88))))</f>
        <v/>
      </c>
      <c r="J88" s="61">
        <f>IF($N88="","",INDEX('Cronograma R. Operacional'!$M$5:$M$1000,$N88))</f>
        <v/>
      </c>
      <c r="K88" s="56">
        <f>IF($N88="","",IF(N($J88)&gt;=1,"Completado",IF(AND(ISNUMBER($D88),$D88&lt;FechaRef),"Vencida",IF(N($J88)&gt;0,"En curso","Pendiente"))))</f>
        <v/>
      </c>
      <c r="L88" s="56">
        <f>IF($N88="","",INDEX('Cronograma R. Operacional'!$O$5:$O$1000,$N88)&amp;"")</f>
        <v/>
      </c>
      <c r="M88" s="62">
        <f>IF($N88="","",INDEX('Cronograma R. Operacional'!$Q$5:$Q$1000,$N88)&amp;"")</f>
        <v/>
      </c>
      <c r="N88">
        <f>IFERROR(MATCH(ROW()-4,rOrden_RO,0),"")</f>
        <v/>
      </c>
      <c r="O88">
        <f>IF($N88="","",INDEX('Cronograma R. Operacional'!$V$5:$V$1000,$N88))</f>
        <v/>
      </c>
      <c r="P88">
        <f>IF($N88="","",N(INDEX('Cronograma R. Operacional'!$W$5:$W$1000,$N88)))</f>
        <v/>
      </c>
      <c r="Q88">
        <f>IF(OR(LEFT($L88,7)="Vencida",LEFT($L88,5)="Vence"),SUMPRODUCT(--(LEFT($L$5:$L88,7)="Vencida"))+SUMPRODUCT(--(LEFT($L$5:$L88,5)="Vence")),"")</f>
        <v/>
      </c>
    </row>
    <row r="89">
      <c r="A89" s="56">
        <f>IF($N89="","",INDEX('Cronograma R. Operacional'!$A$5:$A$1000,$N89))</f>
        <v/>
      </c>
      <c r="B89" s="62">
        <f>IF($N89="","",IF($O89="Sub","      ↳  "&amp;INDEX('Cronograma R. Operacional'!$C$5:$C$1000,$N89),INDEX('Cronograma R. Operacional'!$C$5:$C$1000,$N89)&amp;""))</f>
        <v/>
      </c>
      <c r="C89" s="79">
        <f>IF($N89="","",IF(INDEX('Cronograma R. Operacional'!$AM$5:$AM$1000,$N89)="","",INDEX('Cronograma R. Operacional'!$AM$5:$AM$1000,$N89)))</f>
        <v/>
      </c>
      <c r="D89" s="79">
        <f>IF($N89="","",IF(INDEX('Cronograma R. Operacional'!$AN$5:$AN$1000,$N89)="","",INDEX('Cronograma R. Operacional'!$AN$5:$AN$1000,$N89)))</f>
        <v/>
      </c>
      <c r="E89" s="56">
        <f>IF($N89="","",IF(NOT(ISNUMBER($D89)),"",IF($D89&lt;InicioCiclo,"Antes del ciclo",IF($D89&gt;=InicioCiclo+28,"Después del ciclo","Semana "&amp;(INT(($D89-InicioCiclo)/7)+1)))))</f>
        <v/>
      </c>
      <c r="F89" s="61">
        <f>IF($N89="","",IF($P89&gt;0,IF(1&lt;=SemanaActual,INDEX('Cronograma R. Operacional'!$AC$5:$AC$1000,$N89),""),IF(INDEX('Cronograma R. Operacional'!$I$5:$I$1000,$N89)="","",INDEX('Cronograma R. Operacional'!$I$5:$I$1000,$N89))))</f>
        <v/>
      </c>
      <c r="G89" s="61">
        <f>IF($N89="","",IF($P89&gt;0,IF(2&lt;=SemanaActual,INDEX('Cronograma R. Operacional'!$AD$5:$AD$1000,$N89),""),IF(INDEX('Cronograma R. Operacional'!$J$5:$J$1000,$N89)="","",INDEX('Cronograma R. Operacional'!$J$5:$J$1000,$N89))))</f>
        <v/>
      </c>
      <c r="H89" s="61">
        <f>IF($N89="","",IF($P89&gt;0,IF(3&lt;=SemanaActual,INDEX('Cronograma R. Operacional'!$AE$5:$AE$1000,$N89),""),IF(INDEX('Cronograma R. Operacional'!$K$5:$K$1000,$N89)="","",INDEX('Cronograma R. Operacional'!$K$5:$K$1000,$N89))))</f>
        <v/>
      </c>
      <c r="I89" s="61">
        <f>IF($N89="","",IF($P89&gt;0,IF(4&lt;=SemanaActual,INDEX('Cronograma R. Operacional'!$AF$5:$AF$1000,$N89),""),IF(INDEX('Cronograma R. Operacional'!$L$5:$L$1000,$N89)="","",INDEX('Cronograma R. Operacional'!$L$5:$L$1000,$N89))))</f>
        <v/>
      </c>
      <c r="J89" s="61">
        <f>IF($N89="","",INDEX('Cronograma R. Operacional'!$M$5:$M$1000,$N89))</f>
        <v/>
      </c>
      <c r="K89" s="56">
        <f>IF($N89="","",IF(N($J89)&gt;=1,"Completado",IF(AND(ISNUMBER($D89),$D89&lt;FechaRef),"Vencida",IF(N($J89)&gt;0,"En curso","Pendiente"))))</f>
        <v/>
      </c>
      <c r="L89" s="56">
        <f>IF($N89="","",INDEX('Cronograma R. Operacional'!$O$5:$O$1000,$N89)&amp;"")</f>
        <v/>
      </c>
      <c r="M89" s="62">
        <f>IF($N89="","",INDEX('Cronograma R. Operacional'!$Q$5:$Q$1000,$N89)&amp;"")</f>
        <v/>
      </c>
      <c r="N89">
        <f>IFERROR(MATCH(ROW()-4,rOrden_RO,0),"")</f>
        <v/>
      </c>
      <c r="O89">
        <f>IF($N89="","",INDEX('Cronograma R. Operacional'!$V$5:$V$1000,$N89))</f>
        <v/>
      </c>
      <c r="P89">
        <f>IF($N89="","",N(INDEX('Cronograma R. Operacional'!$W$5:$W$1000,$N89)))</f>
        <v/>
      </c>
      <c r="Q89">
        <f>IF(OR(LEFT($L89,7)="Vencida",LEFT($L89,5)="Vence"),SUMPRODUCT(--(LEFT($L$5:$L89,7)="Vencida"))+SUMPRODUCT(--(LEFT($L$5:$L89,5)="Vence")),"")</f>
        <v/>
      </c>
    </row>
    <row r="90">
      <c r="A90" s="56">
        <f>IF($N90="","",INDEX('Cronograma R. Operacional'!$A$5:$A$1000,$N90))</f>
        <v/>
      </c>
      <c r="B90" s="62">
        <f>IF($N90="","",IF($O90="Sub","      ↳  "&amp;INDEX('Cronograma R. Operacional'!$C$5:$C$1000,$N90),INDEX('Cronograma R. Operacional'!$C$5:$C$1000,$N90)&amp;""))</f>
        <v/>
      </c>
      <c r="C90" s="79">
        <f>IF($N90="","",IF(INDEX('Cronograma R. Operacional'!$AM$5:$AM$1000,$N90)="","",INDEX('Cronograma R. Operacional'!$AM$5:$AM$1000,$N90)))</f>
        <v/>
      </c>
      <c r="D90" s="79">
        <f>IF($N90="","",IF(INDEX('Cronograma R. Operacional'!$AN$5:$AN$1000,$N90)="","",INDEX('Cronograma R. Operacional'!$AN$5:$AN$1000,$N90)))</f>
        <v/>
      </c>
      <c r="E90" s="56">
        <f>IF($N90="","",IF(NOT(ISNUMBER($D90)),"",IF($D90&lt;InicioCiclo,"Antes del ciclo",IF($D90&gt;=InicioCiclo+28,"Después del ciclo","Semana "&amp;(INT(($D90-InicioCiclo)/7)+1)))))</f>
        <v/>
      </c>
      <c r="F90" s="61">
        <f>IF($N90="","",IF($P90&gt;0,IF(1&lt;=SemanaActual,INDEX('Cronograma R. Operacional'!$AC$5:$AC$1000,$N90),""),IF(INDEX('Cronograma R. Operacional'!$I$5:$I$1000,$N90)="","",INDEX('Cronograma R. Operacional'!$I$5:$I$1000,$N90))))</f>
        <v/>
      </c>
      <c r="G90" s="61">
        <f>IF($N90="","",IF($P90&gt;0,IF(2&lt;=SemanaActual,INDEX('Cronograma R. Operacional'!$AD$5:$AD$1000,$N90),""),IF(INDEX('Cronograma R. Operacional'!$J$5:$J$1000,$N90)="","",INDEX('Cronograma R. Operacional'!$J$5:$J$1000,$N90))))</f>
        <v/>
      </c>
      <c r="H90" s="61">
        <f>IF($N90="","",IF($P90&gt;0,IF(3&lt;=SemanaActual,INDEX('Cronograma R. Operacional'!$AE$5:$AE$1000,$N90),""),IF(INDEX('Cronograma R. Operacional'!$K$5:$K$1000,$N90)="","",INDEX('Cronograma R. Operacional'!$K$5:$K$1000,$N90))))</f>
        <v/>
      </c>
      <c r="I90" s="61">
        <f>IF($N90="","",IF($P90&gt;0,IF(4&lt;=SemanaActual,INDEX('Cronograma R. Operacional'!$AF$5:$AF$1000,$N90),""),IF(INDEX('Cronograma R. Operacional'!$L$5:$L$1000,$N90)="","",INDEX('Cronograma R. Operacional'!$L$5:$L$1000,$N90))))</f>
        <v/>
      </c>
      <c r="J90" s="61">
        <f>IF($N90="","",INDEX('Cronograma R. Operacional'!$M$5:$M$1000,$N90))</f>
        <v/>
      </c>
      <c r="K90" s="56">
        <f>IF($N90="","",IF(N($J90)&gt;=1,"Completado",IF(AND(ISNUMBER($D90),$D90&lt;FechaRef),"Vencida",IF(N($J90)&gt;0,"En curso","Pendiente"))))</f>
        <v/>
      </c>
      <c r="L90" s="56">
        <f>IF($N90="","",INDEX('Cronograma R. Operacional'!$O$5:$O$1000,$N90)&amp;"")</f>
        <v/>
      </c>
      <c r="M90" s="62">
        <f>IF($N90="","",INDEX('Cronograma R. Operacional'!$Q$5:$Q$1000,$N90)&amp;"")</f>
        <v/>
      </c>
      <c r="N90">
        <f>IFERROR(MATCH(ROW()-4,rOrden_RO,0),"")</f>
        <v/>
      </c>
      <c r="O90">
        <f>IF($N90="","",INDEX('Cronograma R. Operacional'!$V$5:$V$1000,$N90))</f>
        <v/>
      </c>
      <c r="P90">
        <f>IF($N90="","",N(INDEX('Cronograma R. Operacional'!$W$5:$W$1000,$N90)))</f>
        <v/>
      </c>
      <c r="Q90">
        <f>IF(OR(LEFT($L90,7)="Vencida",LEFT($L90,5)="Vence"),SUMPRODUCT(--(LEFT($L$5:$L90,7)="Vencida"))+SUMPRODUCT(--(LEFT($L$5:$L90,5)="Vence")),"")</f>
        <v/>
      </c>
    </row>
    <row r="91">
      <c r="A91" s="56">
        <f>IF($N91="","",INDEX('Cronograma R. Operacional'!$A$5:$A$1000,$N91))</f>
        <v/>
      </c>
      <c r="B91" s="62">
        <f>IF($N91="","",IF($O91="Sub","      ↳  "&amp;INDEX('Cronograma R. Operacional'!$C$5:$C$1000,$N91),INDEX('Cronograma R. Operacional'!$C$5:$C$1000,$N91)&amp;""))</f>
        <v/>
      </c>
      <c r="C91" s="79">
        <f>IF($N91="","",IF(INDEX('Cronograma R. Operacional'!$AM$5:$AM$1000,$N91)="","",INDEX('Cronograma R. Operacional'!$AM$5:$AM$1000,$N91)))</f>
        <v/>
      </c>
      <c r="D91" s="79">
        <f>IF($N91="","",IF(INDEX('Cronograma R. Operacional'!$AN$5:$AN$1000,$N91)="","",INDEX('Cronograma R. Operacional'!$AN$5:$AN$1000,$N91)))</f>
        <v/>
      </c>
      <c r="E91" s="56">
        <f>IF($N91="","",IF(NOT(ISNUMBER($D91)),"",IF($D91&lt;InicioCiclo,"Antes del ciclo",IF($D91&gt;=InicioCiclo+28,"Después del ciclo","Semana "&amp;(INT(($D91-InicioCiclo)/7)+1)))))</f>
        <v/>
      </c>
      <c r="F91" s="61">
        <f>IF($N91="","",IF($P91&gt;0,IF(1&lt;=SemanaActual,INDEX('Cronograma R. Operacional'!$AC$5:$AC$1000,$N91),""),IF(INDEX('Cronograma R. Operacional'!$I$5:$I$1000,$N91)="","",INDEX('Cronograma R. Operacional'!$I$5:$I$1000,$N91))))</f>
        <v/>
      </c>
      <c r="G91" s="61">
        <f>IF($N91="","",IF($P91&gt;0,IF(2&lt;=SemanaActual,INDEX('Cronograma R. Operacional'!$AD$5:$AD$1000,$N91),""),IF(INDEX('Cronograma R. Operacional'!$J$5:$J$1000,$N91)="","",INDEX('Cronograma R. Operacional'!$J$5:$J$1000,$N91))))</f>
        <v/>
      </c>
      <c r="H91" s="61">
        <f>IF($N91="","",IF($P91&gt;0,IF(3&lt;=SemanaActual,INDEX('Cronograma R. Operacional'!$AE$5:$AE$1000,$N91),""),IF(INDEX('Cronograma R. Operacional'!$K$5:$K$1000,$N91)="","",INDEX('Cronograma R. Operacional'!$K$5:$K$1000,$N91))))</f>
        <v/>
      </c>
      <c r="I91" s="61">
        <f>IF($N91="","",IF($P91&gt;0,IF(4&lt;=SemanaActual,INDEX('Cronograma R. Operacional'!$AF$5:$AF$1000,$N91),""),IF(INDEX('Cronograma R. Operacional'!$L$5:$L$1000,$N91)="","",INDEX('Cronograma R. Operacional'!$L$5:$L$1000,$N91))))</f>
        <v/>
      </c>
      <c r="J91" s="61">
        <f>IF($N91="","",INDEX('Cronograma R. Operacional'!$M$5:$M$1000,$N91))</f>
        <v/>
      </c>
      <c r="K91" s="56">
        <f>IF($N91="","",IF(N($J91)&gt;=1,"Completado",IF(AND(ISNUMBER($D91),$D91&lt;FechaRef),"Vencida",IF(N($J91)&gt;0,"En curso","Pendiente"))))</f>
        <v/>
      </c>
      <c r="L91" s="56">
        <f>IF($N91="","",INDEX('Cronograma R. Operacional'!$O$5:$O$1000,$N91)&amp;"")</f>
        <v/>
      </c>
      <c r="M91" s="62">
        <f>IF($N91="","",INDEX('Cronograma R. Operacional'!$Q$5:$Q$1000,$N91)&amp;"")</f>
        <v/>
      </c>
      <c r="N91">
        <f>IFERROR(MATCH(ROW()-4,rOrden_RO,0),"")</f>
        <v/>
      </c>
      <c r="O91">
        <f>IF($N91="","",INDEX('Cronograma R. Operacional'!$V$5:$V$1000,$N91))</f>
        <v/>
      </c>
      <c r="P91">
        <f>IF($N91="","",N(INDEX('Cronograma R. Operacional'!$W$5:$W$1000,$N91)))</f>
        <v/>
      </c>
      <c r="Q91">
        <f>IF(OR(LEFT($L91,7)="Vencida",LEFT($L91,5)="Vence"),SUMPRODUCT(--(LEFT($L$5:$L91,7)="Vencida"))+SUMPRODUCT(--(LEFT($L$5:$L91,5)="Vence")),"")</f>
        <v/>
      </c>
    </row>
    <row r="92">
      <c r="A92" s="56">
        <f>IF($N92="","",INDEX('Cronograma R. Operacional'!$A$5:$A$1000,$N92))</f>
        <v/>
      </c>
      <c r="B92" s="62">
        <f>IF($N92="","",IF($O92="Sub","      ↳  "&amp;INDEX('Cronograma R. Operacional'!$C$5:$C$1000,$N92),INDEX('Cronograma R. Operacional'!$C$5:$C$1000,$N92)&amp;""))</f>
        <v/>
      </c>
      <c r="C92" s="79">
        <f>IF($N92="","",IF(INDEX('Cronograma R. Operacional'!$AM$5:$AM$1000,$N92)="","",INDEX('Cronograma R. Operacional'!$AM$5:$AM$1000,$N92)))</f>
        <v/>
      </c>
      <c r="D92" s="79">
        <f>IF($N92="","",IF(INDEX('Cronograma R. Operacional'!$AN$5:$AN$1000,$N92)="","",INDEX('Cronograma R. Operacional'!$AN$5:$AN$1000,$N92)))</f>
        <v/>
      </c>
      <c r="E92" s="56">
        <f>IF($N92="","",IF(NOT(ISNUMBER($D92)),"",IF($D92&lt;InicioCiclo,"Antes del ciclo",IF($D92&gt;=InicioCiclo+28,"Después del ciclo","Semana "&amp;(INT(($D92-InicioCiclo)/7)+1)))))</f>
        <v/>
      </c>
      <c r="F92" s="61">
        <f>IF($N92="","",IF($P92&gt;0,IF(1&lt;=SemanaActual,INDEX('Cronograma R. Operacional'!$AC$5:$AC$1000,$N92),""),IF(INDEX('Cronograma R. Operacional'!$I$5:$I$1000,$N92)="","",INDEX('Cronograma R. Operacional'!$I$5:$I$1000,$N92))))</f>
        <v/>
      </c>
      <c r="G92" s="61">
        <f>IF($N92="","",IF($P92&gt;0,IF(2&lt;=SemanaActual,INDEX('Cronograma R. Operacional'!$AD$5:$AD$1000,$N92),""),IF(INDEX('Cronograma R. Operacional'!$J$5:$J$1000,$N92)="","",INDEX('Cronograma R. Operacional'!$J$5:$J$1000,$N92))))</f>
        <v/>
      </c>
      <c r="H92" s="61">
        <f>IF($N92="","",IF($P92&gt;0,IF(3&lt;=SemanaActual,INDEX('Cronograma R. Operacional'!$AE$5:$AE$1000,$N92),""),IF(INDEX('Cronograma R. Operacional'!$K$5:$K$1000,$N92)="","",INDEX('Cronograma R. Operacional'!$K$5:$K$1000,$N92))))</f>
        <v/>
      </c>
      <c r="I92" s="61">
        <f>IF($N92="","",IF($P92&gt;0,IF(4&lt;=SemanaActual,INDEX('Cronograma R. Operacional'!$AF$5:$AF$1000,$N92),""),IF(INDEX('Cronograma R. Operacional'!$L$5:$L$1000,$N92)="","",INDEX('Cronograma R. Operacional'!$L$5:$L$1000,$N92))))</f>
        <v/>
      </c>
      <c r="J92" s="61">
        <f>IF($N92="","",INDEX('Cronograma R. Operacional'!$M$5:$M$1000,$N92))</f>
        <v/>
      </c>
      <c r="K92" s="56">
        <f>IF($N92="","",IF(N($J92)&gt;=1,"Completado",IF(AND(ISNUMBER($D92),$D92&lt;FechaRef),"Vencida",IF(N($J92)&gt;0,"En curso","Pendiente"))))</f>
        <v/>
      </c>
      <c r="L92" s="56">
        <f>IF($N92="","",INDEX('Cronograma R. Operacional'!$O$5:$O$1000,$N92)&amp;"")</f>
        <v/>
      </c>
      <c r="M92" s="62">
        <f>IF($N92="","",INDEX('Cronograma R. Operacional'!$Q$5:$Q$1000,$N92)&amp;"")</f>
        <v/>
      </c>
      <c r="N92">
        <f>IFERROR(MATCH(ROW()-4,rOrden_RO,0),"")</f>
        <v/>
      </c>
      <c r="O92">
        <f>IF($N92="","",INDEX('Cronograma R. Operacional'!$V$5:$V$1000,$N92))</f>
        <v/>
      </c>
      <c r="P92">
        <f>IF($N92="","",N(INDEX('Cronograma R. Operacional'!$W$5:$W$1000,$N92)))</f>
        <v/>
      </c>
      <c r="Q92">
        <f>IF(OR(LEFT($L92,7)="Vencida",LEFT($L92,5)="Vence"),SUMPRODUCT(--(LEFT($L$5:$L92,7)="Vencida"))+SUMPRODUCT(--(LEFT($L$5:$L92,5)="Vence")),"")</f>
        <v/>
      </c>
    </row>
    <row r="93">
      <c r="A93" s="56">
        <f>IF($N93="","",INDEX('Cronograma R. Operacional'!$A$5:$A$1000,$N93))</f>
        <v/>
      </c>
      <c r="B93" s="62">
        <f>IF($N93="","",IF($O93="Sub","      ↳  "&amp;INDEX('Cronograma R. Operacional'!$C$5:$C$1000,$N93),INDEX('Cronograma R. Operacional'!$C$5:$C$1000,$N93)&amp;""))</f>
        <v/>
      </c>
      <c r="C93" s="79">
        <f>IF($N93="","",IF(INDEX('Cronograma R. Operacional'!$AM$5:$AM$1000,$N93)="","",INDEX('Cronograma R. Operacional'!$AM$5:$AM$1000,$N93)))</f>
        <v/>
      </c>
      <c r="D93" s="79">
        <f>IF($N93="","",IF(INDEX('Cronograma R. Operacional'!$AN$5:$AN$1000,$N93)="","",INDEX('Cronograma R. Operacional'!$AN$5:$AN$1000,$N93)))</f>
        <v/>
      </c>
      <c r="E93" s="56">
        <f>IF($N93="","",IF(NOT(ISNUMBER($D93)),"",IF($D93&lt;InicioCiclo,"Antes del ciclo",IF($D93&gt;=InicioCiclo+28,"Después del ciclo","Semana "&amp;(INT(($D93-InicioCiclo)/7)+1)))))</f>
        <v/>
      </c>
      <c r="F93" s="61">
        <f>IF($N93="","",IF($P93&gt;0,IF(1&lt;=SemanaActual,INDEX('Cronograma R. Operacional'!$AC$5:$AC$1000,$N93),""),IF(INDEX('Cronograma R. Operacional'!$I$5:$I$1000,$N93)="","",INDEX('Cronograma R. Operacional'!$I$5:$I$1000,$N93))))</f>
        <v/>
      </c>
      <c r="G93" s="61">
        <f>IF($N93="","",IF($P93&gt;0,IF(2&lt;=SemanaActual,INDEX('Cronograma R. Operacional'!$AD$5:$AD$1000,$N93),""),IF(INDEX('Cronograma R. Operacional'!$J$5:$J$1000,$N93)="","",INDEX('Cronograma R. Operacional'!$J$5:$J$1000,$N93))))</f>
        <v/>
      </c>
      <c r="H93" s="61">
        <f>IF($N93="","",IF($P93&gt;0,IF(3&lt;=SemanaActual,INDEX('Cronograma R. Operacional'!$AE$5:$AE$1000,$N93),""),IF(INDEX('Cronograma R. Operacional'!$K$5:$K$1000,$N93)="","",INDEX('Cronograma R. Operacional'!$K$5:$K$1000,$N93))))</f>
        <v/>
      </c>
      <c r="I93" s="61">
        <f>IF($N93="","",IF($P93&gt;0,IF(4&lt;=SemanaActual,INDEX('Cronograma R. Operacional'!$AF$5:$AF$1000,$N93),""),IF(INDEX('Cronograma R. Operacional'!$L$5:$L$1000,$N93)="","",INDEX('Cronograma R. Operacional'!$L$5:$L$1000,$N93))))</f>
        <v/>
      </c>
      <c r="J93" s="61">
        <f>IF($N93="","",INDEX('Cronograma R. Operacional'!$M$5:$M$1000,$N93))</f>
        <v/>
      </c>
      <c r="K93" s="56">
        <f>IF($N93="","",IF(N($J93)&gt;=1,"Completado",IF(AND(ISNUMBER($D93),$D93&lt;FechaRef),"Vencida",IF(N($J93)&gt;0,"En curso","Pendiente"))))</f>
        <v/>
      </c>
      <c r="L93" s="56">
        <f>IF($N93="","",INDEX('Cronograma R. Operacional'!$O$5:$O$1000,$N93)&amp;"")</f>
        <v/>
      </c>
      <c r="M93" s="62">
        <f>IF($N93="","",INDEX('Cronograma R. Operacional'!$Q$5:$Q$1000,$N93)&amp;"")</f>
        <v/>
      </c>
      <c r="N93">
        <f>IFERROR(MATCH(ROW()-4,rOrden_RO,0),"")</f>
        <v/>
      </c>
      <c r="O93">
        <f>IF($N93="","",INDEX('Cronograma R. Operacional'!$V$5:$V$1000,$N93))</f>
        <v/>
      </c>
      <c r="P93">
        <f>IF($N93="","",N(INDEX('Cronograma R. Operacional'!$W$5:$W$1000,$N93)))</f>
        <v/>
      </c>
      <c r="Q93">
        <f>IF(OR(LEFT($L93,7)="Vencida",LEFT($L93,5)="Vence"),SUMPRODUCT(--(LEFT($L$5:$L93,7)="Vencida"))+SUMPRODUCT(--(LEFT($L$5:$L93,5)="Vence")),"")</f>
        <v/>
      </c>
    </row>
    <row r="94">
      <c r="A94" s="56">
        <f>IF($N94="","",INDEX('Cronograma R. Operacional'!$A$5:$A$1000,$N94))</f>
        <v/>
      </c>
      <c r="B94" s="62">
        <f>IF($N94="","",IF($O94="Sub","      ↳  "&amp;INDEX('Cronograma R. Operacional'!$C$5:$C$1000,$N94),INDEX('Cronograma R. Operacional'!$C$5:$C$1000,$N94)&amp;""))</f>
        <v/>
      </c>
      <c r="C94" s="79">
        <f>IF($N94="","",IF(INDEX('Cronograma R. Operacional'!$AM$5:$AM$1000,$N94)="","",INDEX('Cronograma R. Operacional'!$AM$5:$AM$1000,$N94)))</f>
        <v/>
      </c>
      <c r="D94" s="79">
        <f>IF($N94="","",IF(INDEX('Cronograma R. Operacional'!$AN$5:$AN$1000,$N94)="","",INDEX('Cronograma R. Operacional'!$AN$5:$AN$1000,$N94)))</f>
        <v/>
      </c>
      <c r="E94" s="56">
        <f>IF($N94="","",IF(NOT(ISNUMBER($D94)),"",IF($D94&lt;InicioCiclo,"Antes del ciclo",IF($D94&gt;=InicioCiclo+28,"Después del ciclo","Semana "&amp;(INT(($D94-InicioCiclo)/7)+1)))))</f>
        <v/>
      </c>
      <c r="F94" s="61">
        <f>IF($N94="","",IF($P94&gt;0,IF(1&lt;=SemanaActual,INDEX('Cronograma R. Operacional'!$AC$5:$AC$1000,$N94),""),IF(INDEX('Cronograma R. Operacional'!$I$5:$I$1000,$N94)="","",INDEX('Cronograma R. Operacional'!$I$5:$I$1000,$N94))))</f>
        <v/>
      </c>
      <c r="G94" s="61">
        <f>IF($N94="","",IF($P94&gt;0,IF(2&lt;=SemanaActual,INDEX('Cronograma R. Operacional'!$AD$5:$AD$1000,$N94),""),IF(INDEX('Cronograma R. Operacional'!$J$5:$J$1000,$N94)="","",INDEX('Cronograma R. Operacional'!$J$5:$J$1000,$N94))))</f>
        <v/>
      </c>
      <c r="H94" s="61">
        <f>IF($N94="","",IF($P94&gt;0,IF(3&lt;=SemanaActual,INDEX('Cronograma R. Operacional'!$AE$5:$AE$1000,$N94),""),IF(INDEX('Cronograma R. Operacional'!$K$5:$K$1000,$N94)="","",INDEX('Cronograma R. Operacional'!$K$5:$K$1000,$N94))))</f>
        <v/>
      </c>
      <c r="I94" s="61">
        <f>IF($N94="","",IF($P94&gt;0,IF(4&lt;=SemanaActual,INDEX('Cronograma R. Operacional'!$AF$5:$AF$1000,$N94),""),IF(INDEX('Cronograma R. Operacional'!$L$5:$L$1000,$N94)="","",INDEX('Cronograma R. Operacional'!$L$5:$L$1000,$N94))))</f>
        <v/>
      </c>
      <c r="J94" s="61">
        <f>IF($N94="","",INDEX('Cronograma R. Operacional'!$M$5:$M$1000,$N94))</f>
        <v/>
      </c>
      <c r="K94" s="56">
        <f>IF($N94="","",IF(N($J94)&gt;=1,"Completado",IF(AND(ISNUMBER($D94),$D94&lt;FechaRef),"Vencida",IF(N($J94)&gt;0,"En curso","Pendiente"))))</f>
        <v/>
      </c>
      <c r="L94" s="56">
        <f>IF($N94="","",INDEX('Cronograma R. Operacional'!$O$5:$O$1000,$N94)&amp;"")</f>
        <v/>
      </c>
      <c r="M94" s="62">
        <f>IF($N94="","",INDEX('Cronograma R. Operacional'!$Q$5:$Q$1000,$N94)&amp;"")</f>
        <v/>
      </c>
      <c r="N94">
        <f>IFERROR(MATCH(ROW()-4,rOrden_RO,0),"")</f>
        <v/>
      </c>
      <c r="O94">
        <f>IF($N94="","",INDEX('Cronograma R. Operacional'!$V$5:$V$1000,$N94))</f>
        <v/>
      </c>
      <c r="P94">
        <f>IF($N94="","",N(INDEX('Cronograma R. Operacional'!$W$5:$W$1000,$N94)))</f>
        <v/>
      </c>
      <c r="Q94">
        <f>IF(OR(LEFT($L94,7)="Vencida",LEFT($L94,5)="Vence"),SUMPRODUCT(--(LEFT($L$5:$L94,7)="Vencida"))+SUMPRODUCT(--(LEFT($L$5:$L94,5)="Vence")),"")</f>
        <v/>
      </c>
    </row>
    <row r="95">
      <c r="A95" s="56">
        <f>IF($N95="","",INDEX('Cronograma R. Operacional'!$A$5:$A$1000,$N95))</f>
        <v/>
      </c>
      <c r="B95" s="62">
        <f>IF($N95="","",IF($O95="Sub","      ↳  "&amp;INDEX('Cronograma R. Operacional'!$C$5:$C$1000,$N95),INDEX('Cronograma R. Operacional'!$C$5:$C$1000,$N95)&amp;""))</f>
        <v/>
      </c>
      <c r="C95" s="79">
        <f>IF($N95="","",IF(INDEX('Cronograma R. Operacional'!$AM$5:$AM$1000,$N95)="","",INDEX('Cronograma R. Operacional'!$AM$5:$AM$1000,$N95)))</f>
        <v/>
      </c>
      <c r="D95" s="79">
        <f>IF($N95="","",IF(INDEX('Cronograma R. Operacional'!$AN$5:$AN$1000,$N95)="","",INDEX('Cronograma R. Operacional'!$AN$5:$AN$1000,$N95)))</f>
        <v/>
      </c>
      <c r="E95" s="56">
        <f>IF($N95="","",IF(NOT(ISNUMBER($D95)),"",IF($D95&lt;InicioCiclo,"Antes del ciclo",IF($D95&gt;=InicioCiclo+28,"Después del ciclo","Semana "&amp;(INT(($D95-InicioCiclo)/7)+1)))))</f>
        <v/>
      </c>
      <c r="F95" s="61">
        <f>IF($N95="","",IF($P95&gt;0,IF(1&lt;=SemanaActual,INDEX('Cronograma R. Operacional'!$AC$5:$AC$1000,$N95),""),IF(INDEX('Cronograma R. Operacional'!$I$5:$I$1000,$N95)="","",INDEX('Cronograma R. Operacional'!$I$5:$I$1000,$N95))))</f>
        <v/>
      </c>
      <c r="G95" s="61">
        <f>IF($N95="","",IF($P95&gt;0,IF(2&lt;=SemanaActual,INDEX('Cronograma R. Operacional'!$AD$5:$AD$1000,$N95),""),IF(INDEX('Cronograma R. Operacional'!$J$5:$J$1000,$N95)="","",INDEX('Cronograma R. Operacional'!$J$5:$J$1000,$N95))))</f>
        <v/>
      </c>
      <c r="H95" s="61">
        <f>IF($N95="","",IF($P95&gt;0,IF(3&lt;=SemanaActual,INDEX('Cronograma R. Operacional'!$AE$5:$AE$1000,$N95),""),IF(INDEX('Cronograma R. Operacional'!$K$5:$K$1000,$N95)="","",INDEX('Cronograma R. Operacional'!$K$5:$K$1000,$N95))))</f>
        <v/>
      </c>
      <c r="I95" s="61">
        <f>IF($N95="","",IF($P95&gt;0,IF(4&lt;=SemanaActual,INDEX('Cronograma R. Operacional'!$AF$5:$AF$1000,$N95),""),IF(INDEX('Cronograma R. Operacional'!$L$5:$L$1000,$N95)="","",INDEX('Cronograma R. Operacional'!$L$5:$L$1000,$N95))))</f>
        <v/>
      </c>
      <c r="J95" s="61">
        <f>IF($N95="","",INDEX('Cronograma R. Operacional'!$M$5:$M$1000,$N95))</f>
        <v/>
      </c>
      <c r="K95" s="56">
        <f>IF($N95="","",IF(N($J95)&gt;=1,"Completado",IF(AND(ISNUMBER($D95),$D95&lt;FechaRef),"Vencida",IF(N($J95)&gt;0,"En curso","Pendiente"))))</f>
        <v/>
      </c>
      <c r="L95" s="56">
        <f>IF($N95="","",INDEX('Cronograma R. Operacional'!$O$5:$O$1000,$N95)&amp;"")</f>
        <v/>
      </c>
      <c r="M95" s="62">
        <f>IF($N95="","",INDEX('Cronograma R. Operacional'!$Q$5:$Q$1000,$N95)&amp;"")</f>
        <v/>
      </c>
      <c r="N95">
        <f>IFERROR(MATCH(ROW()-4,rOrden_RO,0),"")</f>
        <v/>
      </c>
      <c r="O95">
        <f>IF($N95="","",INDEX('Cronograma R. Operacional'!$V$5:$V$1000,$N95))</f>
        <v/>
      </c>
      <c r="P95">
        <f>IF($N95="","",N(INDEX('Cronograma R. Operacional'!$W$5:$W$1000,$N95)))</f>
        <v/>
      </c>
      <c r="Q95">
        <f>IF(OR(LEFT($L95,7)="Vencida",LEFT($L95,5)="Vence"),SUMPRODUCT(--(LEFT($L$5:$L95,7)="Vencida"))+SUMPRODUCT(--(LEFT($L$5:$L95,5)="Vence")),"")</f>
        <v/>
      </c>
    </row>
    <row r="96">
      <c r="A96" s="56">
        <f>IF($N96="","",INDEX('Cronograma R. Operacional'!$A$5:$A$1000,$N96))</f>
        <v/>
      </c>
      <c r="B96" s="62">
        <f>IF($N96="","",IF($O96="Sub","      ↳  "&amp;INDEX('Cronograma R. Operacional'!$C$5:$C$1000,$N96),INDEX('Cronograma R. Operacional'!$C$5:$C$1000,$N96)&amp;""))</f>
        <v/>
      </c>
      <c r="C96" s="79">
        <f>IF($N96="","",IF(INDEX('Cronograma R. Operacional'!$AM$5:$AM$1000,$N96)="","",INDEX('Cronograma R. Operacional'!$AM$5:$AM$1000,$N96)))</f>
        <v/>
      </c>
      <c r="D96" s="79">
        <f>IF($N96="","",IF(INDEX('Cronograma R. Operacional'!$AN$5:$AN$1000,$N96)="","",INDEX('Cronograma R. Operacional'!$AN$5:$AN$1000,$N96)))</f>
        <v/>
      </c>
      <c r="E96" s="56">
        <f>IF($N96="","",IF(NOT(ISNUMBER($D96)),"",IF($D96&lt;InicioCiclo,"Antes del ciclo",IF($D96&gt;=InicioCiclo+28,"Después del ciclo","Semana "&amp;(INT(($D96-InicioCiclo)/7)+1)))))</f>
        <v/>
      </c>
      <c r="F96" s="61">
        <f>IF($N96="","",IF($P96&gt;0,IF(1&lt;=SemanaActual,INDEX('Cronograma R. Operacional'!$AC$5:$AC$1000,$N96),""),IF(INDEX('Cronograma R. Operacional'!$I$5:$I$1000,$N96)="","",INDEX('Cronograma R. Operacional'!$I$5:$I$1000,$N96))))</f>
        <v/>
      </c>
      <c r="G96" s="61">
        <f>IF($N96="","",IF($P96&gt;0,IF(2&lt;=SemanaActual,INDEX('Cronograma R. Operacional'!$AD$5:$AD$1000,$N96),""),IF(INDEX('Cronograma R. Operacional'!$J$5:$J$1000,$N96)="","",INDEX('Cronograma R. Operacional'!$J$5:$J$1000,$N96))))</f>
        <v/>
      </c>
      <c r="H96" s="61">
        <f>IF($N96="","",IF($P96&gt;0,IF(3&lt;=SemanaActual,INDEX('Cronograma R. Operacional'!$AE$5:$AE$1000,$N96),""),IF(INDEX('Cronograma R. Operacional'!$K$5:$K$1000,$N96)="","",INDEX('Cronograma R. Operacional'!$K$5:$K$1000,$N96))))</f>
        <v/>
      </c>
      <c r="I96" s="61">
        <f>IF($N96="","",IF($P96&gt;0,IF(4&lt;=SemanaActual,INDEX('Cronograma R. Operacional'!$AF$5:$AF$1000,$N96),""),IF(INDEX('Cronograma R. Operacional'!$L$5:$L$1000,$N96)="","",INDEX('Cronograma R. Operacional'!$L$5:$L$1000,$N96))))</f>
        <v/>
      </c>
      <c r="J96" s="61">
        <f>IF($N96="","",INDEX('Cronograma R. Operacional'!$M$5:$M$1000,$N96))</f>
        <v/>
      </c>
      <c r="K96" s="56">
        <f>IF($N96="","",IF(N($J96)&gt;=1,"Completado",IF(AND(ISNUMBER($D96),$D96&lt;FechaRef),"Vencida",IF(N($J96)&gt;0,"En curso","Pendiente"))))</f>
        <v/>
      </c>
      <c r="L96" s="56">
        <f>IF($N96="","",INDEX('Cronograma R. Operacional'!$O$5:$O$1000,$N96)&amp;"")</f>
        <v/>
      </c>
      <c r="M96" s="62">
        <f>IF($N96="","",INDEX('Cronograma R. Operacional'!$Q$5:$Q$1000,$N96)&amp;"")</f>
        <v/>
      </c>
      <c r="N96">
        <f>IFERROR(MATCH(ROW()-4,rOrden_RO,0),"")</f>
        <v/>
      </c>
      <c r="O96">
        <f>IF($N96="","",INDEX('Cronograma R. Operacional'!$V$5:$V$1000,$N96))</f>
        <v/>
      </c>
      <c r="P96">
        <f>IF($N96="","",N(INDEX('Cronograma R. Operacional'!$W$5:$W$1000,$N96)))</f>
        <v/>
      </c>
      <c r="Q96">
        <f>IF(OR(LEFT($L96,7)="Vencida",LEFT($L96,5)="Vence"),SUMPRODUCT(--(LEFT($L$5:$L96,7)="Vencida"))+SUMPRODUCT(--(LEFT($L$5:$L96,5)="Vence")),"")</f>
        <v/>
      </c>
    </row>
    <row r="97">
      <c r="A97" s="56">
        <f>IF($N97="","",INDEX('Cronograma R. Operacional'!$A$5:$A$1000,$N97))</f>
        <v/>
      </c>
      <c r="B97" s="62">
        <f>IF($N97="","",IF($O97="Sub","      ↳  "&amp;INDEX('Cronograma R. Operacional'!$C$5:$C$1000,$N97),INDEX('Cronograma R. Operacional'!$C$5:$C$1000,$N97)&amp;""))</f>
        <v/>
      </c>
      <c r="C97" s="79">
        <f>IF($N97="","",IF(INDEX('Cronograma R. Operacional'!$AM$5:$AM$1000,$N97)="","",INDEX('Cronograma R. Operacional'!$AM$5:$AM$1000,$N97)))</f>
        <v/>
      </c>
      <c r="D97" s="79">
        <f>IF($N97="","",IF(INDEX('Cronograma R. Operacional'!$AN$5:$AN$1000,$N97)="","",INDEX('Cronograma R. Operacional'!$AN$5:$AN$1000,$N97)))</f>
        <v/>
      </c>
      <c r="E97" s="56">
        <f>IF($N97="","",IF(NOT(ISNUMBER($D97)),"",IF($D97&lt;InicioCiclo,"Antes del ciclo",IF($D97&gt;=InicioCiclo+28,"Después del ciclo","Semana "&amp;(INT(($D97-InicioCiclo)/7)+1)))))</f>
        <v/>
      </c>
      <c r="F97" s="61">
        <f>IF($N97="","",IF($P97&gt;0,IF(1&lt;=SemanaActual,INDEX('Cronograma R. Operacional'!$AC$5:$AC$1000,$N97),""),IF(INDEX('Cronograma R. Operacional'!$I$5:$I$1000,$N97)="","",INDEX('Cronograma R. Operacional'!$I$5:$I$1000,$N97))))</f>
        <v/>
      </c>
      <c r="G97" s="61">
        <f>IF($N97="","",IF($P97&gt;0,IF(2&lt;=SemanaActual,INDEX('Cronograma R. Operacional'!$AD$5:$AD$1000,$N97),""),IF(INDEX('Cronograma R. Operacional'!$J$5:$J$1000,$N97)="","",INDEX('Cronograma R. Operacional'!$J$5:$J$1000,$N97))))</f>
        <v/>
      </c>
      <c r="H97" s="61">
        <f>IF($N97="","",IF($P97&gt;0,IF(3&lt;=SemanaActual,INDEX('Cronograma R. Operacional'!$AE$5:$AE$1000,$N97),""),IF(INDEX('Cronograma R. Operacional'!$K$5:$K$1000,$N97)="","",INDEX('Cronograma R. Operacional'!$K$5:$K$1000,$N97))))</f>
        <v/>
      </c>
      <c r="I97" s="61">
        <f>IF($N97="","",IF($P97&gt;0,IF(4&lt;=SemanaActual,INDEX('Cronograma R. Operacional'!$AF$5:$AF$1000,$N97),""),IF(INDEX('Cronograma R. Operacional'!$L$5:$L$1000,$N97)="","",INDEX('Cronograma R. Operacional'!$L$5:$L$1000,$N97))))</f>
        <v/>
      </c>
      <c r="J97" s="61">
        <f>IF($N97="","",INDEX('Cronograma R. Operacional'!$M$5:$M$1000,$N97))</f>
        <v/>
      </c>
      <c r="K97" s="56">
        <f>IF($N97="","",IF(N($J97)&gt;=1,"Completado",IF(AND(ISNUMBER($D97),$D97&lt;FechaRef),"Vencida",IF(N($J97)&gt;0,"En curso","Pendiente"))))</f>
        <v/>
      </c>
      <c r="L97" s="56">
        <f>IF($N97="","",INDEX('Cronograma R. Operacional'!$O$5:$O$1000,$N97)&amp;"")</f>
        <v/>
      </c>
      <c r="M97" s="62">
        <f>IF($N97="","",INDEX('Cronograma R. Operacional'!$Q$5:$Q$1000,$N97)&amp;"")</f>
        <v/>
      </c>
      <c r="N97">
        <f>IFERROR(MATCH(ROW()-4,rOrden_RO,0),"")</f>
        <v/>
      </c>
      <c r="O97">
        <f>IF($N97="","",INDEX('Cronograma R. Operacional'!$V$5:$V$1000,$N97))</f>
        <v/>
      </c>
      <c r="P97">
        <f>IF($N97="","",N(INDEX('Cronograma R. Operacional'!$W$5:$W$1000,$N97)))</f>
        <v/>
      </c>
      <c r="Q97">
        <f>IF(OR(LEFT($L97,7)="Vencida",LEFT($L97,5)="Vence"),SUMPRODUCT(--(LEFT($L$5:$L97,7)="Vencida"))+SUMPRODUCT(--(LEFT($L$5:$L97,5)="Vence")),"")</f>
        <v/>
      </c>
    </row>
    <row r="98">
      <c r="A98" s="56">
        <f>IF($N98="","",INDEX('Cronograma R. Operacional'!$A$5:$A$1000,$N98))</f>
        <v/>
      </c>
      <c r="B98" s="62">
        <f>IF($N98="","",IF($O98="Sub","      ↳  "&amp;INDEX('Cronograma R. Operacional'!$C$5:$C$1000,$N98),INDEX('Cronograma R. Operacional'!$C$5:$C$1000,$N98)&amp;""))</f>
        <v/>
      </c>
      <c r="C98" s="79">
        <f>IF($N98="","",IF(INDEX('Cronograma R. Operacional'!$AM$5:$AM$1000,$N98)="","",INDEX('Cronograma R. Operacional'!$AM$5:$AM$1000,$N98)))</f>
        <v/>
      </c>
      <c r="D98" s="79">
        <f>IF($N98="","",IF(INDEX('Cronograma R. Operacional'!$AN$5:$AN$1000,$N98)="","",INDEX('Cronograma R. Operacional'!$AN$5:$AN$1000,$N98)))</f>
        <v/>
      </c>
      <c r="E98" s="56">
        <f>IF($N98="","",IF(NOT(ISNUMBER($D98)),"",IF($D98&lt;InicioCiclo,"Antes del ciclo",IF($D98&gt;=InicioCiclo+28,"Después del ciclo","Semana "&amp;(INT(($D98-InicioCiclo)/7)+1)))))</f>
        <v/>
      </c>
      <c r="F98" s="61">
        <f>IF($N98="","",IF($P98&gt;0,IF(1&lt;=SemanaActual,INDEX('Cronograma R. Operacional'!$AC$5:$AC$1000,$N98),""),IF(INDEX('Cronograma R. Operacional'!$I$5:$I$1000,$N98)="","",INDEX('Cronograma R. Operacional'!$I$5:$I$1000,$N98))))</f>
        <v/>
      </c>
      <c r="G98" s="61">
        <f>IF($N98="","",IF($P98&gt;0,IF(2&lt;=SemanaActual,INDEX('Cronograma R. Operacional'!$AD$5:$AD$1000,$N98),""),IF(INDEX('Cronograma R. Operacional'!$J$5:$J$1000,$N98)="","",INDEX('Cronograma R. Operacional'!$J$5:$J$1000,$N98))))</f>
        <v/>
      </c>
      <c r="H98" s="61">
        <f>IF($N98="","",IF($P98&gt;0,IF(3&lt;=SemanaActual,INDEX('Cronograma R. Operacional'!$AE$5:$AE$1000,$N98),""),IF(INDEX('Cronograma R. Operacional'!$K$5:$K$1000,$N98)="","",INDEX('Cronograma R. Operacional'!$K$5:$K$1000,$N98))))</f>
        <v/>
      </c>
      <c r="I98" s="61">
        <f>IF($N98="","",IF($P98&gt;0,IF(4&lt;=SemanaActual,INDEX('Cronograma R. Operacional'!$AF$5:$AF$1000,$N98),""),IF(INDEX('Cronograma R. Operacional'!$L$5:$L$1000,$N98)="","",INDEX('Cronograma R. Operacional'!$L$5:$L$1000,$N98))))</f>
        <v/>
      </c>
      <c r="J98" s="61">
        <f>IF($N98="","",INDEX('Cronograma R. Operacional'!$M$5:$M$1000,$N98))</f>
        <v/>
      </c>
      <c r="K98" s="56">
        <f>IF($N98="","",IF(N($J98)&gt;=1,"Completado",IF(AND(ISNUMBER($D98),$D98&lt;FechaRef),"Vencida",IF(N($J98)&gt;0,"En curso","Pendiente"))))</f>
        <v/>
      </c>
      <c r="L98" s="56">
        <f>IF($N98="","",INDEX('Cronograma R. Operacional'!$O$5:$O$1000,$N98)&amp;"")</f>
        <v/>
      </c>
      <c r="M98" s="62">
        <f>IF($N98="","",INDEX('Cronograma R. Operacional'!$Q$5:$Q$1000,$N98)&amp;"")</f>
        <v/>
      </c>
      <c r="N98">
        <f>IFERROR(MATCH(ROW()-4,rOrden_RO,0),"")</f>
        <v/>
      </c>
      <c r="O98">
        <f>IF($N98="","",INDEX('Cronograma R. Operacional'!$V$5:$V$1000,$N98))</f>
        <v/>
      </c>
      <c r="P98">
        <f>IF($N98="","",N(INDEX('Cronograma R. Operacional'!$W$5:$W$1000,$N98)))</f>
        <v/>
      </c>
      <c r="Q98">
        <f>IF(OR(LEFT($L98,7)="Vencida",LEFT($L98,5)="Vence"),SUMPRODUCT(--(LEFT($L$5:$L98,7)="Vencida"))+SUMPRODUCT(--(LEFT($L$5:$L98,5)="Vence")),"")</f>
        <v/>
      </c>
    </row>
    <row r="99">
      <c r="A99" s="56">
        <f>IF($N99="","",INDEX('Cronograma R. Operacional'!$A$5:$A$1000,$N99))</f>
        <v/>
      </c>
      <c r="B99" s="62">
        <f>IF($N99="","",IF($O99="Sub","      ↳  "&amp;INDEX('Cronograma R. Operacional'!$C$5:$C$1000,$N99),INDEX('Cronograma R. Operacional'!$C$5:$C$1000,$N99)&amp;""))</f>
        <v/>
      </c>
      <c r="C99" s="79">
        <f>IF($N99="","",IF(INDEX('Cronograma R. Operacional'!$AM$5:$AM$1000,$N99)="","",INDEX('Cronograma R. Operacional'!$AM$5:$AM$1000,$N99)))</f>
        <v/>
      </c>
      <c r="D99" s="79">
        <f>IF($N99="","",IF(INDEX('Cronograma R. Operacional'!$AN$5:$AN$1000,$N99)="","",INDEX('Cronograma R. Operacional'!$AN$5:$AN$1000,$N99)))</f>
        <v/>
      </c>
      <c r="E99" s="56">
        <f>IF($N99="","",IF(NOT(ISNUMBER($D99)),"",IF($D99&lt;InicioCiclo,"Antes del ciclo",IF($D99&gt;=InicioCiclo+28,"Después del ciclo","Semana "&amp;(INT(($D99-InicioCiclo)/7)+1)))))</f>
        <v/>
      </c>
      <c r="F99" s="61">
        <f>IF($N99="","",IF($P99&gt;0,IF(1&lt;=SemanaActual,INDEX('Cronograma R. Operacional'!$AC$5:$AC$1000,$N99),""),IF(INDEX('Cronograma R. Operacional'!$I$5:$I$1000,$N99)="","",INDEX('Cronograma R. Operacional'!$I$5:$I$1000,$N99))))</f>
        <v/>
      </c>
      <c r="G99" s="61">
        <f>IF($N99="","",IF($P99&gt;0,IF(2&lt;=SemanaActual,INDEX('Cronograma R. Operacional'!$AD$5:$AD$1000,$N99),""),IF(INDEX('Cronograma R. Operacional'!$J$5:$J$1000,$N99)="","",INDEX('Cronograma R. Operacional'!$J$5:$J$1000,$N99))))</f>
        <v/>
      </c>
      <c r="H99" s="61">
        <f>IF($N99="","",IF($P99&gt;0,IF(3&lt;=SemanaActual,INDEX('Cronograma R. Operacional'!$AE$5:$AE$1000,$N99),""),IF(INDEX('Cronograma R. Operacional'!$K$5:$K$1000,$N99)="","",INDEX('Cronograma R. Operacional'!$K$5:$K$1000,$N99))))</f>
        <v/>
      </c>
      <c r="I99" s="61">
        <f>IF($N99="","",IF($P99&gt;0,IF(4&lt;=SemanaActual,INDEX('Cronograma R. Operacional'!$AF$5:$AF$1000,$N99),""),IF(INDEX('Cronograma R. Operacional'!$L$5:$L$1000,$N99)="","",INDEX('Cronograma R. Operacional'!$L$5:$L$1000,$N99))))</f>
        <v/>
      </c>
      <c r="J99" s="61">
        <f>IF($N99="","",INDEX('Cronograma R. Operacional'!$M$5:$M$1000,$N99))</f>
        <v/>
      </c>
      <c r="K99" s="56">
        <f>IF($N99="","",IF(N($J99)&gt;=1,"Completado",IF(AND(ISNUMBER($D99),$D99&lt;FechaRef),"Vencida",IF(N($J99)&gt;0,"En curso","Pendiente"))))</f>
        <v/>
      </c>
      <c r="L99" s="56">
        <f>IF($N99="","",INDEX('Cronograma R. Operacional'!$O$5:$O$1000,$N99)&amp;"")</f>
        <v/>
      </c>
      <c r="M99" s="62">
        <f>IF($N99="","",INDEX('Cronograma R. Operacional'!$Q$5:$Q$1000,$N99)&amp;"")</f>
        <v/>
      </c>
      <c r="N99">
        <f>IFERROR(MATCH(ROW()-4,rOrden_RO,0),"")</f>
        <v/>
      </c>
      <c r="O99">
        <f>IF($N99="","",INDEX('Cronograma R. Operacional'!$V$5:$V$1000,$N99))</f>
        <v/>
      </c>
      <c r="P99">
        <f>IF($N99="","",N(INDEX('Cronograma R. Operacional'!$W$5:$W$1000,$N99)))</f>
        <v/>
      </c>
      <c r="Q99">
        <f>IF(OR(LEFT($L99,7)="Vencida",LEFT($L99,5)="Vence"),SUMPRODUCT(--(LEFT($L$5:$L99,7)="Vencida"))+SUMPRODUCT(--(LEFT($L$5:$L99,5)="Vence")),"")</f>
        <v/>
      </c>
    </row>
    <row r="100">
      <c r="A100" s="56">
        <f>IF($N100="","",INDEX('Cronograma R. Operacional'!$A$5:$A$1000,$N100))</f>
        <v/>
      </c>
      <c r="B100" s="62">
        <f>IF($N100="","",IF($O100="Sub","      ↳  "&amp;INDEX('Cronograma R. Operacional'!$C$5:$C$1000,$N100),INDEX('Cronograma R. Operacional'!$C$5:$C$1000,$N100)&amp;""))</f>
        <v/>
      </c>
      <c r="C100" s="79">
        <f>IF($N100="","",IF(INDEX('Cronograma R. Operacional'!$AM$5:$AM$1000,$N100)="","",INDEX('Cronograma R. Operacional'!$AM$5:$AM$1000,$N100)))</f>
        <v/>
      </c>
      <c r="D100" s="79">
        <f>IF($N100="","",IF(INDEX('Cronograma R. Operacional'!$AN$5:$AN$1000,$N100)="","",INDEX('Cronograma R. Operacional'!$AN$5:$AN$1000,$N100)))</f>
        <v/>
      </c>
      <c r="E100" s="56">
        <f>IF($N100="","",IF(NOT(ISNUMBER($D100)),"",IF($D100&lt;InicioCiclo,"Antes del ciclo",IF($D100&gt;=InicioCiclo+28,"Después del ciclo","Semana "&amp;(INT(($D100-InicioCiclo)/7)+1)))))</f>
        <v/>
      </c>
      <c r="F100" s="61">
        <f>IF($N100="","",IF($P100&gt;0,IF(1&lt;=SemanaActual,INDEX('Cronograma R. Operacional'!$AC$5:$AC$1000,$N100),""),IF(INDEX('Cronograma R. Operacional'!$I$5:$I$1000,$N100)="","",INDEX('Cronograma R. Operacional'!$I$5:$I$1000,$N100))))</f>
        <v/>
      </c>
      <c r="G100" s="61">
        <f>IF($N100="","",IF($P100&gt;0,IF(2&lt;=SemanaActual,INDEX('Cronograma R. Operacional'!$AD$5:$AD$1000,$N100),""),IF(INDEX('Cronograma R. Operacional'!$J$5:$J$1000,$N100)="","",INDEX('Cronograma R. Operacional'!$J$5:$J$1000,$N100))))</f>
        <v/>
      </c>
      <c r="H100" s="61">
        <f>IF($N100="","",IF($P100&gt;0,IF(3&lt;=SemanaActual,INDEX('Cronograma R. Operacional'!$AE$5:$AE$1000,$N100),""),IF(INDEX('Cronograma R. Operacional'!$K$5:$K$1000,$N100)="","",INDEX('Cronograma R. Operacional'!$K$5:$K$1000,$N100))))</f>
        <v/>
      </c>
      <c r="I100" s="61">
        <f>IF($N100="","",IF($P100&gt;0,IF(4&lt;=SemanaActual,INDEX('Cronograma R. Operacional'!$AF$5:$AF$1000,$N100),""),IF(INDEX('Cronograma R. Operacional'!$L$5:$L$1000,$N100)="","",INDEX('Cronograma R. Operacional'!$L$5:$L$1000,$N100))))</f>
        <v/>
      </c>
      <c r="J100" s="61">
        <f>IF($N100="","",INDEX('Cronograma R. Operacional'!$M$5:$M$1000,$N100))</f>
        <v/>
      </c>
      <c r="K100" s="56">
        <f>IF($N100="","",IF(N($J100)&gt;=1,"Completado",IF(AND(ISNUMBER($D100),$D100&lt;FechaRef),"Vencida",IF(N($J100)&gt;0,"En curso","Pendiente"))))</f>
        <v/>
      </c>
      <c r="L100" s="56">
        <f>IF($N100="","",INDEX('Cronograma R. Operacional'!$O$5:$O$1000,$N100)&amp;"")</f>
        <v/>
      </c>
      <c r="M100" s="62">
        <f>IF($N100="","",INDEX('Cronograma R. Operacional'!$Q$5:$Q$1000,$N100)&amp;"")</f>
        <v/>
      </c>
      <c r="N100">
        <f>IFERROR(MATCH(ROW()-4,rOrden_RO,0),"")</f>
        <v/>
      </c>
      <c r="O100">
        <f>IF($N100="","",INDEX('Cronograma R. Operacional'!$V$5:$V$1000,$N100))</f>
        <v/>
      </c>
      <c r="P100">
        <f>IF($N100="","",N(INDEX('Cronograma R. Operacional'!$W$5:$W$1000,$N100)))</f>
        <v/>
      </c>
      <c r="Q100">
        <f>IF(OR(LEFT($L100,7)="Vencida",LEFT($L100,5)="Vence"),SUMPRODUCT(--(LEFT($L$5:$L100,7)="Vencida"))+SUMPRODUCT(--(LEFT($L$5:$L100,5)="Vence")),"")</f>
        <v/>
      </c>
    </row>
    <row r="101">
      <c r="A101" s="56">
        <f>IF($N101="","",INDEX('Cronograma R. Operacional'!$A$5:$A$1000,$N101))</f>
        <v/>
      </c>
      <c r="B101" s="62">
        <f>IF($N101="","",IF($O101="Sub","      ↳  "&amp;INDEX('Cronograma R. Operacional'!$C$5:$C$1000,$N101),INDEX('Cronograma R. Operacional'!$C$5:$C$1000,$N101)&amp;""))</f>
        <v/>
      </c>
      <c r="C101" s="79">
        <f>IF($N101="","",IF(INDEX('Cronograma R. Operacional'!$AM$5:$AM$1000,$N101)="","",INDEX('Cronograma R. Operacional'!$AM$5:$AM$1000,$N101)))</f>
        <v/>
      </c>
      <c r="D101" s="79">
        <f>IF($N101="","",IF(INDEX('Cronograma R. Operacional'!$AN$5:$AN$1000,$N101)="","",INDEX('Cronograma R. Operacional'!$AN$5:$AN$1000,$N101)))</f>
        <v/>
      </c>
      <c r="E101" s="56">
        <f>IF($N101="","",IF(NOT(ISNUMBER($D101)),"",IF($D101&lt;InicioCiclo,"Antes del ciclo",IF($D101&gt;=InicioCiclo+28,"Después del ciclo","Semana "&amp;(INT(($D101-InicioCiclo)/7)+1)))))</f>
        <v/>
      </c>
      <c r="F101" s="61">
        <f>IF($N101="","",IF($P101&gt;0,IF(1&lt;=SemanaActual,INDEX('Cronograma R. Operacional'!$AC$5:$AC$1000,$N101),""),IF(INDEX('Cronograma R. Operacional'!$I$5:$I$1000,$N101)="","",INDEX('Cronograma R. Operacional'!$I$5:$I$1000,$N101))))</f>
        <v/>
      </c>
      <c r="G101" s="61">
        <f>IF($N101="","",IF($P101&gt;0,IF(2&lt;=SemanaActual,INDEX('Cronograma R. Operacional'!$AD$5:$AD$1000,$N101),""),IF(INDEX('Cronograma R. Operacional'!$J$5:$J$1000,$N101)="","",INDEX('Cronograma R. Operacional'!$J$5:$J$1000,$N101))))</f>
        <v/>
      </c>
      <c r="H101" s="61">
        <f>IF($N101="","",IF($P101&gt;0,IF(3&lt;=SemanaActual,INDEX('Cronograma R. Operacional'!$AE$5:$AE$1000,$N101),""),IF(INDEX('Cronograma R. Operacional'!$K$5:$K$1000,$N101)="","",INDEX('Cronograma R. Operacional'!$K$5:$K$1000,$N101))))</f>
        <v/>
      </c>
      <c r="I101" s="61">
        <f>IF($N101="","",IF($P101&gt;0,IF(4&lt;=SemanaActual,INDEX('Cronograma R. Operacional'!$AF$5:$AF$1000,$N101),""),IF(INDEX('Cronograma R. Operacional'!$L$5:$L$1000,$N101)="","",INDEX('Cronograma R. Operacional'!$L$5:$L$1000,$N101))))</f>
        <v/>
      </c>
      <c r="J101" s="61">
        <f>IF($N101="","",INDEX('Cronograma R. Operacional'!$M$5:$M$1000,$N101))</f>
        <v/>
      </c>
      <c r="K101" s="56">
        <f>IF($N101="","",IF(N($J101)&gt;=1,"Completado",IF(AND(ISNUMBER($D101),$D101&lt;FechaRef),"Vencida",IF(N($J101)&gt;0,"En curso","Pendiente"))))</f>
        <v/>
      </c>
      <c r="L101" s="56">
        <f>IF($N101="","",INDEX('Cronograma R. Operacional'!$O$5:$O$1000,$N101)&amp;"")</f>
        <v/>
      </c>
      <c r="M101" s="62">
        <f>IF($N101="","",INDEX('Cronograma R. Operacional'!$Q$5:$Q$1000,$N101)&amp;"")</f>
        <v/>
      </c>
      <c r="N101">
        <f>IFERROR(MATCH(ROW()-4,rOrden_RO,0),"")</f>
        <v/>
      </c>
      <c r="O101">
        <f>IF($N101="","",INDEX('Cronograma R. Operacional'!$V$5:$V$1000,$N101))</f>
        <v/>
      </c>
      <c r="P101">
        <f>IF($N101="","",N(INDEX('Cronograma R. Operacional'!$W$5:$W$1000,$N101)))</f>
        <v/>
      </c>
      <c r="Q101">
        <f>IF(OR(LEFT($L101,7)="Vencida",LEFT($L101,5)="Vence"),SUMPRODUCT(--(LEFT($L$5:$L101,7)="Vencida"))+SUMPRODUCT(--(LEFT($L$5:$L101,5)="Vence")),"")</f>
        <v/>
      </c>
    </row>
    <row r="102">
      <c r="A102" s="56">
        <f>IF($N102="","",INDEX('Cronograma R. Operacional'!$A$5:$A$1000,$N102))</f>
        <v/>
      </c>
      <c r="B102" s="62">
        <f>IF($N102="","",IF($O102="Sub","      ↳  "&amp;INDEX('Cronograma R. Operacional'!$C$5:$C$1000,$N102),INDEX('Cronograma R. Operacional'!$C$5:$C$1000,$N102)&amp;""))</f>
        <v/>
      </c>
      <c r="C102" s="79">
        <f>IF($N102="","",IF(INDEX('Cronograma R. Operacional'!$AM$5:$AM$1000,$N102)="","",INDEX('Cronograma R. Operacional'!$AM$5:$AM$1000,$N102)))</f>
        <v/>
      </c>
      <c r="D102" s="79">
        <f>IF($N102="","",IF(INDEX('Cronograma R. Operacional'!$AN$5:$AN$1000,$N102)="","",INDEX('Cronograma R. Operacional'!$AN$5:$AN$1000,$N102)))</f>
        <v/>
      </c>
      <c r="E102" s="56">
        <f>IF($N102="","",IF(NOT(ISNUMBER($D102)),"",IF($D102&lt;InicioCiclo,"Antes del ciclo",IF($D102&gt;=InicioCiclo+28,"Después del ciclo","Semana "&amp;(INT(($D102-InicioCiclo)/7)+1)))))</f>
        <v/>
      </c>
      <c r="F102" s="61">
        <f>IF($N102="","",IF($P102&gt;0,IF(1&lt;=SemanaActual,INDEX('Cronograma R. Operacional'!$AC$5:$AC$1000,$N102),""),IF(INDEX('Cronograma R. Operacional'!$I$5:$I$1000,$N102)="","",INDEX('Cronograma R. Operacional'!$I$5:$I$1000,$N102))))</f>
        <v/>
      </c>
      <c r="G102" s="61">
        <f>IF($N102="","",IF($P102&gt;0,IF(2&lt;=SemanaActual,INDEX('Cronograma R. Operacional'!$AD$5:$AD$1000,$N102),""),IF(INDEX('Cronograma R. Operacional'!$J$5:$J$1000,$N102)="","",INDEX('Cronograma R. Operacional'!$J$5:$J$1000,$N102))))</f>
        <v/>
      </c>
      <c r="H102" s="61">
        <f>IF($N102="","",IF($P102&gt;0,IF(3&lt;=SemanaActual,INDEX('Cronograma R. Operacional'!$AE$5:$AE$1000,$N102),""),IF(INDEX('Cronograma R. Operacional'!$K$5:$K$1000,$N102)="","",INDEX('Cronograma R. Operacional'!$K$5:$K$1000,$N102))))</f>
        <v/>
      </c>
      <c r="I102" s="61">
        <f>IF($N102="","",IF($P102&gt;0,IF(4&lt;=SemanaActual,INDEX('Cronograma R. Operacional'!$AF$5:$AF$1000,$N102),""),IF(INDEX('Cronograma R. Operacional'!$L$5:$L$1000,$N102)="","",INDEX('Cronograma R. Operacional'!$L$5:$L$1000,$N102))))</f>
        <v/>
      </c>
      <c r="J102" s="61">
        <f>IF($N102="","",INDEX('Cronograma R. Operacional'!$M$5:$M$1000,$N102))</f>
        <v/>
      </c>
      <c r="K102" s="56">
        <f>IF($N102="","",IF(N($J102)&gt;=1,"Completado",IF(AND(ISNUMBER($D102),$D102&lt;FechaRef),"Vencida",IF(N($J102)&gt;0,"En curso","Pendiente"))))</f>
        <v/>
      </c>
      <c r="L102" s="56">
        <f>IF($N102="","",INDEX('Cronograma R. Operacional'!$O$5:$O$1000,$N102)&amp;"")</f>
        <v/>
      </c>
      <c r="M102" s="62">
        <f>IF($N102="","",INDEX('Cronograma R. Operacional'!$Q$5:$Q$1000,$N102)&amp;"")</f>
        <v/>
      </c>
      <c r="N102">
        <f>IFERROR(MATCH(ROW()-4,rOrden_RO,0),"")</f>
        <v/>
      </c>
      <c r="O102">
        <f>IF($N102="","",INDEX('Cronograma R. Operacional'!$V$5:$V$1000,$N102))</f>
        <v/>
      </c>
      <c r="P102">
        <f>IF($N102="","",N(INDEX('Cronograma R. Operacional'!$W$5:$W$1000,$N102)))</f>
        <v/>
      </c>
      <c r="Q102">
        <f>IF(OR(LEFT($L102,7)="Vencida",LEFT($L102,5)="Vence"),SUMPRODUCT(--(LEFT($L$5:$L102,7)="Vencida"))+SUMPRODUCT(--(LEFT($L$5:$L102,5)="Vence")),"")</f>
        <v/>
      </c>
    </row>
    <row r="103">
      <c r="A103" s="56">
        <f>IF($N103="","",INDEX('Cronograma R. Operacional'!$A$5:$A$1000,$N103))</f>
        <v/>
      </c>
      <c r="B103" s="62">
        <f>IF($N103="","",IF($O103="Sub","      ↳  "&amp;INDEX('Cronograma R. Operacional'!$C$5:$C$1000,$N103),INDEX('Cronograma R. Operacional'!$C$5:$C$1000,$N103)&amp;""))</f>
        <v/>
      </c>
      <c r="C103" s="79">
        <f>IF($N103="","",IF(INDEX('Cronograma R. Operacional'!$AM$5:$AM$1000,$N103)="","",INDEX('Cronograma R. Operacional'!$AM$5:$AM$1000,$N103)))</f>
        <v/>
      </c>
      <c r="D103" s="79">
        <f>IF($N103="","",IF(INDEX('Cronograma R. Operacional'!$AN$5:$AN$1000,$N103)="","",INDEX('Cronograma R. Operacional'!$AN$5:$AN$1000,$N103)))</f>
        <v/>
      </c>
      <c r="E103" s="56">
        <f>IF($N103="","",IF(NOT(ISNUMBER($D103)),"",IF($D103&lt;InicioCiclo,"Antes del ciclo",IF($D103&gt;=InicioCiclo+28,"Después del ciclo","Semana "&amp;(INT(($D103-InicioCiclo)/7)+1)))))</f>
        <v/>
      </c>
      <c r="F103" s="61">
        <f>IF($N103="","",IF($P103&gt;0,IF(1&lt;=SemanaActual,INDEX('Cronograma R. Operacional'!$AC$5:$AC$1000,$N103),""),IF(INDEX('Cronograma R. Operacional'!$I$5:$I$1000,$N103)="","",INDEX('Cronograma R. Operacional'!$I$5:$I$1000,$N103))))</f>
        <v/>
      </c>
      <c r="G103" s="61">
        <f>IF($N103="","",IF($P103&gt;0,IF(2&lt;=SemanaActual,INDEX('Cronograma R. Operacional'!$AD$5:$AD$1000,$N103),""),IF(INDEX('Cronograma R. Operacional'!$J$5:$J$1000,$N103)="","",INDEX('Cronograma R. Operacional'!$J$5:$J$1000,$N103))))</f>
        <v/>
      </c>
      <c r="H103" s="61">
        <f>IF($N103="","",IF($P103&gt;0,IF(3&lt;=SemanaActual,INDEX('Cronograma R. Operacional'!$AE$5:$AE$1000,$N103),""),IF(INDEX('Cronograma R. Operacional'!$K$5:$K$1000,$N103)="","",INDEX('Cronograma R. Operacional'!$K$5:$K$1000,$N103))))</f>
        <v/>
      </c>
      <c r="I103" s="61">
        <f>IF($N103="","",IF($P103&gt;0,IF(4&lt;=SemanaActual,INDEX('Cronograma R. Operacional'!$AF$5:$AF$1000,$N103),""),IF(INDEX('Cronograma R. Operacional'!$L$5:$L$1000,$N103)="","",INDEX('Cronograma R. Operacional'!$L$5:$L$1000,$N103))))</f>
        <v/>
      </c>
      <c r="J103" s="61">
        <f>IF($N103="","",INDEX('Cronograma R. Operacional'!$M$5:$M$1000,$N103))</f>
        <v/>
      </c>
      <c r="K103" s="56">
        <f>IF($N103="","",IF(N($J103)&gt;=1,"Completado",IF(AND(ISNUMBER($D103),$D103&lt;FechaRef),"Vencida",IF(N($J103)&gt;0,"En curso","Pendiente"))))</f>
        <v/>
      </c>
      <c r="L103" s="56">
        <f>IF($N103="","",INDEX('Cronograma R. Operacional'!$O$5:$O$1000,$N103)&amp;"")</f>
        <v/>
      </c>
      <c r="M103" s="62">
        <f>IF($N103="","",INDEX('Cronograma R. Operacional'!$Q$5:$Q$1000,$N103)&amp;"")</f>
        <v/>
      </c>
      <c r="N103">
        <f>IFERROR(MATCH(ROW()-4,rOrden_RO,0),"")</f>
        <v/>
      </c>
      <c r="O103">
        <f>IF($N103="","",INDEX('Cronograma R. Operacional'!$V$5:$V$1000,$N103))</f>
        <v/>
      </c>
      <c r="P103">
        <f>IF($N103="","",N(INDEX('Cronograma R. Operacional'!$W$5:$W$1000,$N103)))</f>
        <v/>
      </c>
      <c r="Q103">
        <f>IF(OR(LEFT($L103,7)="Vencida",LEFT($L103,5)="Vence"),SUMPRODUCT(--(LEFT($L$5:$L103,7)="Vencida"))+SUMPRODUCT(--(LEFT($L$5:$L103,5)="Vence")),"")</f>
        <v/>
      </c>
    </row>
    <row r="104">
      <c r="A104" s="56">
        <f>IF($N104="","",INDEX('Cronograma R. Operacional'!$A$5:$A$1000,$N104))</f>
        <v/>
      </c>
      <c r="B104" s="62">
        <f>IF($N104="","",IF($O104="Sub","      ↳  "&amp;INDEX('Cronograma R. Operacional'!$C$5:$C$1000,$N104),INDEX('Cronograma R. Operacional'!$C$5:$C$1000,$N104)&amp;""))</f>
        <v/>
      </c>
      <c r="C104" s="79">
        <f>IF($N104="","",IF(INDEX('Cronograma R. Operacional'!$AM$5:$AM$1000,$N104)="","",INDEX('Cronograma R. Operacional'!$AM$5:$AM$1000,$N104)))</f>
        <v/>
      </c>
      <c r="D104" s="79">
        <f>IF($N104="","",IF(INDEX('Cronograma R. Operacional'!$AN$5:$AN$1000,$N104)="","",INDEX('Cronograma R. Operacional'!$AN$5:$AN$1000,$N104)))</f>
        <v/>
      </c>
      <c r="E104" s="56">
        <f>IF($N104="","",IF(NOT(ISNUMBER($D104)),"",IF($D104&lt;InicioCiclo,"Antes del ciclo",IF($D104&gt;=InicioCiclo+28,"Después del ciclo","Semana "&amp;(INT(($D104-InicioCiclo)/7)+1)))))</f>
        <v/>
      </c>
      <c r="F104" s="61">
        <f>IF($N104="","",IF($P104&gt;0,IF(1&lt;=SemanaActual,INDEX('Cronograma R. Operacional'!$AC$5:$AC$1000,$N104),""),IF(INDEX('Cronograma R. Operacional'!$I$5:$I$1000,$N104)="","",INDEX('Cronograma R. Operacional'!$I$5:$I$1000,$N104))))</f>
        <v/>
      </c>
      <c r="G104" s="61">
        <f>IF($N104="","",IF($P104&gt;0,IF(2&lt;=SemanaActual,INDEX('Cronograma R. Operacional'!$AD$5:$AD$1000,$N104),""),IF(INDEX('Cronograma R. Operacional'!$J$5:$J$1000,$N104)="","",INDEX('Cronograma R. Operacional'!$J$5:$J$1000,$N104))))</f>
        <v/>
      </c>
      <c r="H104" s="61">
        <f>IF($N104="","",IF($P104&gt;0,IF(3&lt;=SemanaActual,INDEX('Cronograma R. Operacional'!$AE$5:$AE$1000,$N104),""),IF(INDEX('Cronograma R. Operacional'!$K$5:$K$1000,$N104)="","",INDEX('Cronograma R. Operacional'!$K$5:$K$1000,$N104))))</f>
        <v/>
      </c>
      <c r="I104" s="61">
        <f>IF($N104="","",IF($P104&gt;0,IF(4&lt;=SemanaActual,INDEX('Cronograma R. Operacional'!$AF$5:$AF$1000,$N104),""),IF(INDEX('Cronograma R. Operacional'!$L$5:$L$1000,$N104)="","",INDEX('Cronograma R. Operacional'!$L$5:$L$1000,$N104))))</f>
        <v/>
      </c>
      <c r="J104" s="61">
        <f>IF($N104="","",INDEX('Cronograma R. Operacional'!$M$5:$M$1000,$N104))</f>
        <v/>
      </c>
      <c r="K104" s="56">
        <f>IF($N104="","",IF(N($J104)&gt;=1,"Completado",IF(AND(ISNUMBER($D104),$D104&lt;FechaRef),"Vencida",IF(N($J104)&gt;0,"En curso","Pendiente"))))</f>
        <v/>
      </c>
      <c r="L104" s="56">
        <f>IF($N104="","",INDEX('Cronograma R. Operacional'!$O$5:$O$1000,$N104)&amp;"")</f>
        <v/>
      </c>
      <c r="M104" s="62">
        <f>IF($N104="","",INDEX('Cronograma R. Operacional'!$Q$5:$Q$1000,$N104)&amp;"")</f>
        <v/>
      </c>
      <c r="N104">
        <f>IFERROR(MATCH(ROW()-4,rOrden_RO,0),"")</f>
        <v/>
      </c>
      <c r="O104">
        <f>IF($N104="","",INDEX('Cronograma R. Operacional'!$V$5:$V$1000,$N104))</f>
        <v/>
      </c>
      <c r="P104">
        <f>IF($N104="","",N(INDEX('Cronograma R. Operacional'!$W$5:$W$1000,$N104)))</f>
        <v/>
      </c>
      <c r="Q104">
        <f>IF(OR(LEFT($L104,7)="Vencida",LEFT($L104,5)="Vence"),SUMPRODUCT(--(LEFT($L$5:$L104,7)="Vencida"))+SUMPRODUCT(--(LEFT($L$5:$L104,5)="Vence")),"")</f>
        <v/>
      </c>
    </row>
  </sheetData>
  <sheetProtection selectLockedCells="0" selectUnlockedCells="0" sheet="1" objects="0" insertRows="1" insertHyperlinks="1" autoFilter="0" scenarios="0" formatColumns="0" deleteColumns="1" insertColumns="1" pivotTables="1" deleteRows="1" formatCells="1" formatRows="0" sort="0"/>
  <mergeCells count="2">
    <mergeCell ref="A2:M2"/>
    <mergeCell ref="A1:M1"/>
  </mergeCells>
  <conditionalFormatting sqref="F5:I104">
    <cfRule type="expression" priority="1" dxfId="6" stopIfTrue="1">
      <formula>AND(AND(ISNUMBER($C5),ISNUMBER($D5),$C5&lt;=InicioCiclo+7*(COLUMN(F5)-6)+6,$D5&gt;=InicioCiclo+7*(COLUMN(F5)-6)),$K5="Vencida")</formula>
    </cfRule>
    <cfRule type="expression" priority="2" dxfId="20">
      <formula>AND(ISNUMBER($C5),ISNUMBER($D5),$C5&lt;=InicioCiclo+7*(COLUMN(F5)-6)+6,$D5&gt;=InicioCiclo+7*(COLUMN(F5)-6))</formula>
    </cfRule>
  </conditionalFormatting>
  <conditionalFormatting sqref="K5:K104">
    <cfRule type="expression" priority="3" dxfId="0">
      <formula>$K5="Completado"</formula>
    </cfRule>
    <cfRule type="expression" priority="4" dxfId="6">
      <formula>$K5="Vencida"</formula>
    </cfRule>
    <cfRule type="expression" priority="5" dxfId="4">
      <formula>$K5="En curso"</formula>
    </cfRule>
    <cfRule type="expression" priority="6" dxfId="5">
      <formula>$K5="Pendiente"</formula>
    </cfRule>
  </conditionalFormatting>
  <conditionalFormatting sqref="L5:L104">
    <cfRule type="expression" priority="7" dxfId="8" stopIfTrue="1">
      <formula>LEFT($L5,7)="Vencida"</formula>
    </cfRule>
    <cfRule type="expression" priority="8" dxfId="9" stopIfTrue="1">
      <formula>LEFT($L5,5)="Vence"</formula>
    </cfRule>
    <cfRule type="expression" priority="9" dxfId="0" stopIfTrue="1">
      <formula>LEFT($L5,8)="Cumplida"</formula>
    </cfRule>
    <cfRule type="expression" priority="10" dxfId="13" stopIfTrue="1">
      <formula>$L5="En plazo"</formula>
    </cfRule>
    <cfRule type="expression" priority="11" dxfId="5">
      <formula>$L5="Sin fecha límite"</formula>
    </cfRule>
  </conditionalFormatting>
  <conditionalFormatting sqref="E5:E104">
    <cfRule type="expression" priority="12" dxfId="1">
      <formula>$E5="Semana "&amp;SemanaActual</formula>
    </cfRule>
  </conditionalFormatting>
  <conditionalFormatting sqref="J5:J104">
    <cfRule type="dataBar" priority="13">
      <dataBar showValue="1">
        <cfvo type="num" val="0"/>
        <cfvo type="num" val="1"/>
        <color rgb="005B9BD5"/>
      </dataBar>
    </cfRule>
  </conditionalFormatting>
  <conditionalFormatting sqref="F4:I4">
    <cfRule type="expression" priority="14" dxfId="1">
      <formula>COLUMN(F4)-5=SemanaActual</formula>
    </cfRule>
  </conditionalFormatting>
  <conditionalFormatting sqref="F3:I3">
    <cfRule type="expression" priority="15" dxfId="1">
      <formula>COLUMN(F3)-5=SemanaActual</formula>
    </cfRule>
  </conditionalFormatting>
  <pageMargins left="0.4" right="0.4" top="0.5" bottom="0.5" header="0.5" footer="0.5"/>
  <pageSetup orientation="landscape" paperSize="1" fitToHeight="0" fitToWidth="1"/>
  <headerFooter>
    <oddHeader/>
    <oddFooter>&amp;C&amp;A – Página &amp;P de &amp;N</oddFooter>
    <evenHeader/>
    <evenFooter/>
    <firstHeader/>
    <firstFooter/>
  </headerFooter>
  <tableParts count="1">
    <tablePart xmlns:r="http://schemas.openxmlformats.org/officeDocument/2006/relationships" r:id="rId1"/>
  </tableParts>
</worksheet>
</file>

<file path=xl/worksheets/sheet6.xml><?xml version="1.0" encoding="utf-8"?>
<worksheet xmlns="http://schemas.openxmlformats.org/spreadsheetml/2006/main">
  <sheetPr>
    <tabColor rgb="007030A0"/>
    <outlinePr summaryBelow="1" summaryRight="1"/>
    <pageSetUpPr fitToPage="1"/>
  </sheetPr>
  <dimension ref="A1:AN304"/>
  <sheetViews>
    <sheetView showGridLines="0" zoomScale="90" workbookViewId="0">
      <pane xSplit="3" ySplit="4" topLeftCell="D5" activePane="bottomRight" state="frozen"/>
      <selection pane="topRight"/>
      <selection pane="bottomLeft"/>
      <selection pane="bottomRight" activeCell="A1" sqref="A1"/>
    </sheetView>
  </sheetViews>
  <sheetFormatPr baseColWidth="8" defaultRowHeight="15"/>
  <cols>
    <col width="7" customWidth="1" min="1" max="1"/>
    <col width="15" customWidth="1" min="2" max="2"/>
    <col width="48" customWidth="1" min="3" max="3"/>
    <col hidden="1" width="22" customWidth="1" min="4" max="4"/>
    <col width="12" customWidth="1" min="5" max="5"/>
    <col width="12" customWidth="1" min="6" max="6"/>
    <col width="14" customWidth="1" min="7" max="7"/>
    <col width="12" customWidth="1" min="8" max="8"/>
    <col width="10" customWidth="1" min="9" max="9"/>
    <col width="10" customWidth="1" min="10" max="10"/>
    <col width="10" customWidth="1" min="11" max="11"/>
    <col width="10" customWidth="1" min="12" max="12"/>
    <col width="12" customWidth="1" min="13" max="13"/>
    <col width="12" customWidth="1" min="14" max="14"/>
    <col width="24" customWidth="1" min="15" max="15"/>
    <col hidden="1" width="30" customWidth="1" min="16" max="16"/>
    <col width="36" customWidth="1" min="17" max="17"/>
    <col width="44" customWidth="1" min="18" max="18"/>
    <col width="14"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s>
  <sheetData>
    <row r="1" ht="28" customHeight="1">
      <c r="A1" s="80" t="inlineStr">
        <is>
          <t>Cronograma – Riesgo Normativo</t>
        </is>
      </c>
      <c r="B1" s="80" t="n"/>
      <c r="C1" s="80" t="n"/>
      <c r="D1" s="80" t="n"/>
      <c r="E1" s="80" t="n"/>
      <c r="F1" s="80" t="n"/>
      <c r="G1" s="80" t="n"/>
      <c r="H1" s="80" t="n"/>
      <c r="I1" s="80" t="n"/>
      <c r="J1" s="80" t="n"/>
      <c r="K1" s="80" t="n"/>
      <c r="L1" s="80" t="n"/>
      <c r="M1" s="80" t="n"/>
      <c r="N1" s="80" t="n"/>
      <c r="O1" s="80" t="n"/>
      <c r="P1" s="80" t="n"/>
      <c r="Q1" s="80" t="n"/>
      <c r="R1" s="80" t="n"/>
      <c r="S1" s="80" t="n"/>
    </row>
    <row r="2" ht="44" customHeight="1">
      <c r="A2" s="48" t="inlineStr">
        <is>
          <t>Llene solo las celdas GRIS SUAVE; las AZUL CLARO son automáticas. En «Tipo» elija Macroactividad o Subactividad: las subactividades van en las filas de ABAJO de su macroactividad (se ven con ↳) y su promedio da el % de la macroactividad. Cuando termine algo, escriba la FECHA DE CUMPLIMIENTO: queda al 100% y ya no aparece vencido. Si quiere registrar avances parciales, escriba en cada semana el % total logrado hasta esa semana. Cada mes agregue sus actividades debajo de las anteriores (no borre los meses pasados: quedan como historial).</t>
        </is>
      </c>
      <c r="B2" s="48" t="n"/>
      <c r="C2" s="48" t="n"/>
      <c r="D2" s="48" t="n"/>
      <c r="E2" s="48" t="n"/>
      <c r="F2" s="48" t="n"/>
      <c r="G2" s="48" t="n"/>
      <c r="H2" s="48" t="n"/>
      <c r="I2" s="48" t="n"/>
      <c r="J2" s="48" t="n"/>
      <c r="K2" s="48" t="n"/>
      <c r="L2" s="48" t="n"/>
      <c r="M2" s="48" t="n"/>
      <c r="N2" s="48" t="n"/>
      <c r="O2" s="48" t="n"/>
      <c r="P2" s="48" t="n"/>
      <c r="Q2" s="48" t="n"/>
      <c r="R2" s="48" t="n"/>
      <c r="S2" s="48" t="n"/>
    </row>
    <row r="3" ht="22" customHeight="1">
      <c r="A3" s="49" t="inlineStr">
        <is>
          <t>Llenar</t>
        </is>
      </c>
      <c r="B3" s="50" t="inlineStr">
        <is>
          <t>Automático</t>
        </is>
      </c>
      <c r="C3" s="81" t="inlineStr">
        <is>
          <t>Macroactividad (fila resaltada)</t>
        </is>
      </c>
      <c r="E3" s="6" t="inlineStr">
        <is>
          <t>Peso: solo macroactividades. Si lo deja vacío valen igual; si lo escribe, se ajusta solo a 100%.</t>
        </is>
      </c>
      <c r="F3" s="6" t="n"/>
      <c r="G3" s="6" t="n"/>
      <c r="H3" s="6" t="n"/>
      <c r="I3" s="6" t="n"/>
      <c r="J3" s="6" t="n"/>
      <c r="K3" s="52" t="inlineStr">
        <is>
          <t>Plazos del mes:</t>
        </is>
      </c>
      <c r="M3" s="43">
        <f>COUNTIFS($S$5:$S$1000,MesCiclo,$O$5:$O$1000,"Vencida*")&amp;" vencida(s)  ·  "&amp;COUNTIFS($S$5:$S$1000,MesCiclo,$O$5:$O$1000,"Vence*")&amp;" por vencer"</f>
        <v/>
      </c>
      <c r="N3" s="43" t="n"/>
      <c r="O3" s="43" t="n"/>
      <c r="Q3" s="45">
        <f>IF(COUNTIFS('Administración'!$D$5:$D$1000,"Riesgo Normativo",'Administración'!$S$5:$S$1000,MesCiclo,'Administración'!$V$5:$V$1000,"Macro")=0,"Sin actividades delegadas por la jefatura este mes","★ La jefatura le delegó "&amp;COUNTIFS('Administración'!$D$5:$D$1000,"Riesgo Normativo",'Administración'!$S$5:$S$1000,MesCiclo,'Administración'!$V$5:$V$1000,"Macro")&amp;" actividad(es) este mes · "&amp;(COUNTIFS('Administración'!$D$5:$D$1000,"Riesgo Normativo",'Administración'!$S$5:$S$1000,MesCiclo,'Administración'!$V$5:$V$1000,"Macro")-COUNTIFS('Administración'!$D$5:$D$1000,"Riesgo Normativo",'Administración'!$S$5:$S$1000,MesCiclo,'Administración'!$V$5:$V$1000,"Macro",'Administración'!$AH$5:$AH$1000,"&gt;0"))&amp;" pendiente(s) de agregar (elíjalas en la lista de «Actividad»). Cuentan en su avance del mes.")</f>
        <v/>
      </c>
      <c r="R3" s="45" t="n"/>
      <c r="S3" s="45" t="n"/>
    </row>
    <row r="4" ht="42" customHeight="1">
      <c r="A4" s="54" t="inlineStr">
        <is>
          <t>N°</t>
        </is>
      </c>
      <c r="B4" s="68" t="inlineStr">
        <is>
          <t>Tipo</t>
        </is>
      </c>
      <c r="C4" s="68" t="inlineStr">
        <is>
          <t>Actividad</t>
        </is>
      </c>
      <c r="D4" s="68" t="inlineStr">
        <is>
          <t>Delegar a</t>
        </is>
      </c>
      <c r="E4" s="68" t="inlineStr">
        <is>
          <t>Fecha de inicio</t>
        </is>
      </c>
      <c r="F4" s="68" t="inlineStr">
        <is>
          <t>Fecha límite</t>
        </is>
      </c>
      <c r="G4" s="68" t="inlineStr">
        <is>
          <t>Fecha de cumplimiento</t>
        </is>
      </c>
      <c r="H4" s="68" t="inlineStr">
        <is>
          <t>Peso (%)</t>
        </is>
      </c>
      <c r="I4" s="68" t="inlineStr">
        <is>
          <t>Avance Semana 1 (%)</t>
        </is>
      </c>
      <c r="J4" s="68" t="inlineStr">
        <is>
          <t>Avance Semana 2 (%)</t>
        </is>
      </c>
      <c r="K4" s="68" t="inlineStr">
        <is>
          <t>Avance Semana 3 (%)</t>
        </is>
      </c>
      <c r="L4" s="68" t="inlineStr">
        <is>
          <t>Avance Semana 4 (%)</t>
        </is>
      </c>
      <c r="M4" s="54" t="inlineStr">
        <is>
          <t>% de Avance Total Actual</t>
        </is>
      </c>
      <c r="N4" s="54" t="inlineStr">
        <is>
          <t>Estado</t>
        </is>
      </c>
      <c r="O4" s="54" t="inlineStr">
        <is>
          <t>Alerta de plazo</t>
        </is>
      </c>
      <c r="P4" s="54" t="inlineStr">
        <is>
          <t>Seguimiento de la delegación</t>
        </is>
      </c>
      <c r="Q4" s="68" t="inlineStr">
        <is>
          <t>Observaciones</t>
        </is>
      </c>
      <c r="R4" s="54" t="inlineStr">
        <is>
          <t>Revisión automática (alertas)</t>
        </is>
      </c>
      <c r="S4" s="54" t="inlineStr">
        <is>
          <t>Mes</t>
        </is>
      </c>
      <c r="T4" s="54" t="inlineStr">
        <is>
          <t>Orden en el mes (aux)</t>
        </is>
      </c>
      <c r="U4" s="54" t="inlineStr">
        <is>
          <t>Grupo (aux)</t>
        </is>
      </c>
      <c r="V4" s="54" t="inlineStr">
        <is>
          <t>Tipo (aux)</t>
        </is>
      </c>
      <c r="W4" s="54" t="inlineStr">
        <is>
          <t>N subactividades (aux)</t>
        </is>
      </c>
      <c r="X4" s="54" t="inlineStr">
        <is>
          <t>Avance propio (aux)</t>
        </is>
      </c>
      <c r="Y4" s="54" t="inlineStr">
        <is>
          <t>Propio S1 (aux)</t>
        </is>
      </c>
      <c r="Z4" s="54" t="inlineStr">
        <is>
          <t>Propio S2 (aux)</t>
        </is>
      </c>
      <c r="AA4" s="54" t="inlineStr">
        <is>
          <t>Propio S3 (aux)</t>
        </is>
      </c>
      <c r="AB4" s="54" t="inlineStr">
        <is>
          <t>Propio S4 (aux)</t>
        </is>
      </c>
      <c r="AC4" s="54" t="inlineStr">
        <is>
          <t>Efectivo S1 (aux)</t>
        </is>
      </c>
      <c r="AD4" s="54" t="inlineStr">
        <is>
          <t>Efectivo S2 (aux)</t>
        </is>
      </c>
      <c r="AE4" s="54" t="inlineStr">
        <is>
          <t>Efectivo S3 (aux)</t>
        </is>
      </c>
      <c r="AF4" s="54" t="inlineStr">
        <is>
          <t>Efectivo S4 (aux)</t>
        </is>
      </c>
      <c r="AG4" s="54" t="inlineStr">
        <is>
          <t>Peso efectivo (aux)</t>
        </is>
      </c>
      <c r="AH4" s="54" t="inlineStr">
        <is>
          <t>Fila en el puesto (aux)</t>
        </is>
      </c>
      <c r="AI4" s="54" t="inlineStr">
        <is>
          <t>N° delegada en el mes (aux)</t>
        </is>
      </c>
      <c r="AJ4" s="54" t="inlineStr">
        <is>
          <t>Clave delegada (aux)</t>
        </is>
      </c>
      <c r="AK4" s="54" t="inlineStr">
        <is>
          <t>Clave puesto-actividad (aux)</t>
        </is>
      </c>
      <c r="AL4" s="54" t="inlineStr">
        <is>
          <t>Fila en Administración (aux)</t>
        </is>
      </c>
      <c r="AM4" s="54" t="inlineStr">
        <is>
          <t>Inicio efectivo (aux)</t>
        </is>
      </c>
      <c r="AN4" s="54" t="inlineStr">
        <is>
          <t>Límite efectivo (aux)</t>
        </is>
      </c>
    </row>
    <row r="5">
      <c r="A5" s="56">
        <f>IF(NOT((COUNTA($B5:$D5)+COUNTA($G5:$L5)+COUNTA($Q5))&gt;0),"",IF($V5="Macro",COUNTIFS($V$5:$V5,"Macro",$S$5:$S5,$S5),IF(N($U5)=0,"?",COUNTIFS(INDEX($V$5:$V$1000,1):INDEX($V$5:$V$1000,$U5-4),"Macro",INDEX($S$5:$S$1000,1):INDEX($S$5:$S$1000,$U5-4),INDEX($S$5:$S$1000,$U5-4))&amp;"."&amp;COUNTIFS($U$5:$U5,$U5,$V$5:$V5,"Sub"))))</f>
        <v/>
      </c>
      <c r="B5" s="57" t="n"/>
      <c r="C5" s="58" t="n"/>
      <c r="D5" s="58" t="n"/>
      <c r="E5" s="59">
        <f>IF(N($AL5)&gt;0,INDEX(rIni_ADM,$AL5),"")</f>
        <v/>
      </c>
      <c r="F5" s="59">
        <f>IF(N($AL5)&gt;0,INDEX(rLim_ADM,$AL5),"")</f>
        <v/>
      </c>
      <c r="G5" s="59" t="n"/>
      <c r="H5" s="60" t="n"/>
      <c r="I5" s="60" t="n"/>
      <c r="J5" s="60" t="n"/>
      <c r="K5" s="60" t="n"/>
      <c r="L5" s="60" t="n"/>
      <c r="M5" s="61">
        <f>IF(NOT((COUNTA($B5:$D5)+COUNTA($G5:$L5)+COUNTA($Q5))&gt;0),"",IF($V5="Sub",IFERROR($X5/INDEX($W$5:$W$1000,$U5-4),""),IF(ISNUMBER($G5),1,IF(N($W5)&gt;0,AVERAGEIFS($X$5:$X$1000,$U$5:$U$1000,ROW(),$V$5:$V$1000,"Sub"),$X5))))</f>
        <v/>
      </c>
      <c r="N5" s="56">
        <f>IF(OR($M5="",$V5="Sub"),"",IF($M5&gt;=1,"Completado",IF($M5&gt;0,"En curso","Pendiente")))</f>
        <v/>
      </c>
      <c r="O5" s="56">
        <f>IF(OR(NOT((COUNTA($B5:$D5)+COUNTA($G5:$L5)+COUNTA($Q5))&gt;0),$V5="Sub"),"",IF(ISNUMBER($G5),IF(AND(ISNUMBER($AN5),$G5&gt;$AN5),"Cumplida con "&amp;($G5-$AN5)&amp;IF($G5-$AN5=1," día"," días")&amp;" de retraso","Cumplida"),IF(N($M5)&gt;=1,"Cumplida",IF(NOT(ISNUMBER($AN5)),"Sin fecha límite",IF($AN5&lt;FechaRef,"Vencida hace "&amp;(FechaRef-$AN5)&amp;IF(FechaRef-$AN5=1," día"," días"),IF($AN5=FechaRef,"Vence hoy",IF($AN5-FechaRef&lt;=DiasAlerta,"Vence en "&amp;($AN5-FechaRef)&amp;IF($AN5-FechaRef=1," día"," días"),"En plazo")))))))</f>
        <v/>
      </c>
      <c r="P5" s="62" t="n"/>
      <c r="Q5" s="58" t="n"/>
      <c r="R5" s="63">
        <f>IF(NOT((COUNTA($B5:$D5)+COUNTA($G5:$L5)+COUNTA($Q5))&gt;0),"",IF((IF($C5="","Falta el nombre de la actividad"&amp;" · ","")&amp;IF(AND($V5="Sub",N($U5)=0),"Subactividad sin macroactividad arriba"&amp;" · ","")&amp;IF($AM5="","Sin fecha de inicio"&amp;" · ","")&amp;IF($AN5="","Sin fecha límite"&amp;" · ","")&amp;IF(AND(LEFT($C5,11)="[Jefatura] ",N($AL5)=0),"No se encuentra en la hoja de la jefatura (elíjala de nuevo en la lista)"&amp;" · ","")&amp;IF(OR(AND($E5&lt;&gt;"",NOT(ISNUMBER($E5))),AND($F5&lt;&gt;"",NOT(ISNUMBER($F5))),AND($G5&lt;&gt;"",NOT(ISNUMBER($G5)))),"Fecha no válida"&amp;" · ","")&amp;IF(AND(ISNUMBER($AM5),ISNUMBER($AN5),$AM5&gt;$AN5),"Inicio posterior a fecha límite"&amp;" · ","")&amp;IF(AND($V5="Macro",$H5&lt;&gt;"",OR(NOT(ISNUMBER($H5)),$H5&lt;0,$H5&gt;1)),"Peso fuera de rango"&amp;" · ","")&amp;IF(AND($V5="Sub",$H5&lt;&gt;""),"Las subactividades no llevan peso (valen igual dentro de su macroactividad)"&amp;" · ","")&amp;IF(AND(N($W5)&gt;0,COUNT($I5:$L5)&gt;0),"Con subactividades: deje vacías las semanas (se calculan solas)"&amp;" · ","")&amp;IF((COUNTIF($I5:$L5,"&gt;1")+COUNTIF($I5:$L5,"&lt;0")+COUNTA($I5:$L5)-COUNT($I5:$L5))&gt;0,"Avance fuera de rango 0-100%"&amp;" · ","")&amp;IF(OR(AND($J5&lt;&gt;"",$J5&lt;$I5),AND($K5&lt;&gt;"",$K5&lt;MAX($I5:$J5)),AND($L5&lt;&gt;"",$L5&lt;MAX($I5:$K5))),"Avance semanal decreciente"&amp;" · ","")&amp;IF(AND(ISNUMBER($AN5),$AN5&lt;FechaRef,IF($V5="Sub",N($X5),N($M5))&lt;1),"Vencida"&amp;" · ","")&amp;IF(AND(ObsObligatoria="Sí",ISNUMBER($AN5),$AN5&lt;FechaRef,IF($V5="Sub",N($X5),N($M5))&lt;1,$Q5=""),"Vencida sin observación"&amp;" · ",""))="","✔ OK","⚠ "&amp;LEFT(IF($C5="","Falta el nombre de la actividad"&amp;" · ","")&amp;IF(AND($V5="Sub",N($U5)=0),"Subactividad sin macroactividad arriba"&amp;" · ","")&amp;IF($AM5="","Sin fecha de inicio"&amp;" · ","")&amp;IF($AN5="","Sin fecha límite"&amp;" · ","")&amp;IF(AND(LEFT($C5,11)="[Jefatura] ",N($AL5)=0),"No se encuentra en la hoja de la jefatura (elíjala de nuevo en la lista)"&amp;" · ","")&amp;IF(OR(AND($E5&lt;&gt;"",NOT(ISNUMBER($E5))),AND($F5&lt;&gt;"",NOT(ISNUMBER($F5))),AND($G5&lt;&gt;"",NOT(ISNUMBER($G5)))),"Fecha no válida"&amp;" · ","")&amp;IF(AND(ISNUMBER($AM5),ISNUMBER($AN5),$AM5&gt;$AN5),"Inicio posterior a fecha límite"&amp;" · ","")&amp;IF(AND($V5="Macro",$H5&lt;&gt;"",OR(NOT(ISNUMBER($H5)),$H5&lt;0,$H5&gt;1)),"Peso fuera de rango"&amp;" · ","")&amp;IF(AND($V5="Sub",$H5&lt;&gt;""),"Las subactividades no llevan peso (valen igual dentro de su macroactividad)"&amp;" · ","")&amp;IF(AND(N($W5)&gt;0,COUNT($I5:$L5)&gt;0),"Con subactividades: deje vacías las semanas (se calculan solas)"&amp;" · ","")&amp;IF((COUNTIF($I5:$L5,"&gt;1")+COUNTIF($I5:$L5,"&lt;0")+COUNTA($I5:$L5)-COUNT($I5:$L5))&gt;0,"Avance fuera de rango 0-100%"&amp;" · ","")&amp;IF(OR(AND($J5&lt;&gt;"",$J5&lt;$I5),AND($K5&lt;&gt;"",$K5&lt;MAX($I5:$J5)),AND($L5&lt;&gt;"",$L5&lt;MAX($I5:$K5))),"Avance semanal decreciente"&amp;" · ","")&amp;IF(AND(ISNUMBER($AN5),$AN5&lt;FechaRef,IF($V5="Sub",N($X5),N($M5))&lt;1),"Vencida"&amp;" · ","")&amp;IF(AND(ObsObligatoria="Sí",ISNUMBER($AN5),$AN5&lt;FechaRef,IF($V5="Sub",N($X5),N($M5))&lt;1,$Q5=""),"Vencida sin observación"&amp;" · ",""),LEN(IF($C5="","Falta el nombre de la actividad"&amp;" · ","")&amp;IF(AND($V5="Sub",N($U5)=0),"Subactividad sin macroactividad arriba"&amp;" · ","")&amp;IF($AM5="","Sin fecha de inicio"&amp;" · ","")&amp;IF($AN5="","Sin fecha límite"&amp;" · ","")&amp;IF(AND(LEFT($C5,11)="[Jefatura] ",N($AL5)=0),"No se encuentra en la hoja de la jefatura (elíjala de nuevo en la lista)"&amp;" · ","")&amp;IF(OR(AND($E5&lt;&gt;"",NOT(ISNUMBER($E5))),AND($F5&lt;&gt;"",NOT(ISNUMBER($F5))),AND($G5&lt;&gt;"",NOT(ISNUMBER($G5)))),"Fecha no válida"&amp;" · ","")&amp;IF(AND(ISNUMBER($AM5),ISNUMBER($AN5),$AM5&gt;$AN5),"Inicio posterior a fecha límite"&amp;" · ","")&amp;IF(AND($V5="Macro",$H5&lt;&gt;"",OR(NOT(ISNUMBER($H5)),$H5&lt;0,$H5&gt;1)),"Peso fuera de rango"&amp;" · ","")&amp;IF(AND($V5="Sub",$H5&lt;&gt;""),"Las subactividades no llevan peso (valen igual dentro de su macroactividad)"&amp;" · ","")&amp;IF(AND(N($W5)&gt;0,COUNT($I5:$L5)&gt;0),"Con subactividades: deje vacías las semanas (se calculan solas)"&amp;" · ","")&amp;IF((COUNTIF($I5:$L5,"&gt;1")+COUNTIF($I5:$L5,"&lt;0")+COUNTA($I5:$L5)-COUNT($I5:$L5))&gt;0,"Avance fuera de rango 0-100%"&amp;" · ","")&amp;IF(OR(AND($J5&lt;&gt;"",$J5&lt;$I5),AND($K5&lt;&gt;"",$K5&lt;MAX($I5:$J5)),AND($L5&lt;&gt;"",$L5&lt;MAX($I5:$K5))),"Avance semanal decreciente"&amp;" · ","")&amp;IF(AND(ISNUMBER($AN5),$AN5&lt;FechaRef,IF($V5="Sub",N($X5),N($M5))&lt;1),"Vencida"&amp;" · ","")&amp;IF(AND(ObsObligatoria="Sí",ISNUMBER($AN5),$AN5&lt;FechaRef,IF($V5="Sub",N($X5),N($M5))&lt;1,$Q5=""),"Vencida sin observación"&amp;" · ",""))-3)))</f>
        <v/>
      </c>
      <c r="S5" s="64">
        <f>IF(NOT((COUNTA($B5:$D5)+COUNTA($G5:$L5)+COUNTA($Q5))&gt;0),"",IF(AND($V5="Sub",N($U5)&gt;0),IF(ISNUMBER(INDEX($AM$5:$AM$1000,$U5-4)),DATE(YEAR(INDEX($AM$5:$AM$1000,$U5-4)),MONTH(INDEX($AM$5:$AM$1000,$U5-4)),1),IF(ISNUMBER(INDEX($AN$5:$AN$1000,$U5-4)),DATE(YEAR(INDEX($AN$5:$AN$1000,$U5-4)),MONTH(INDEX($AN$5:$AN$1000,$U5-4)),1),MesCiclo)),IF(ISNUMBER($AM5),DATE(YEAR($AM5),MONTH($AM5),1),IF(ISNUMBER($AN5),DATE(YEAR($AN5),MONTH($AN5),1),MesCiclo))))</f>
        <v/>
      </c>
      <c r="T5" s="62">
        <f>IF(OR($S5="",$S5&lt;&gt;MesCiclo,$V5&lt;&gt;"Macro"),"",COUNTIFS($S$5:$S5,MesCiclo,$V$5:$V5,"Macro"))</f>
        <v/>
      </c>
      <c r="U5" s="62">
        <f>IF($V5="","",IF($V5="Macro",ROW(),IFERROR(LOOKUP(2,1/($V$5:$V5="Macro"),ROW($V$5:$V5)),0)))</f>
        <v/>
      </c>
      <c r="V5" s="62">
        <f>IF(NOT((COUNTA($B5:$D5)+COUNTA($G5:$L5)+COUNTA($Q5))&gt;0),"",IF($B5="Subactividad","Sub","Macro"))</f>
        <v/>
      </c>
      <c r="W5" s="62">
        <f>IF($V5="Macro",COUNTIFS($U$5:$U$1000,ROW(),$V$5:$V$1000,"Sub"),"")</f>
        <v/>
      </c>
      <c r="X5" s="62">
        <f>IF($V5="","",IF(ISNUMBER($G5),1,IFERROR(LOOKUP(2,1/($I5:$L5&lt;&gt;""),$I5:$L5),0)))</f>
        <v/>
      </c>
      <c r="Y5" s="62">
        <f>IF($V5="","",IF(AND(ISNUMBER($G5),$G5&lt;=IF($S5=MesCiclo,InicioCiclo,$S5+MOD(2-WEEKDAY($S5),7))+6),1,IF(ISNUMBER($I5),$I5,0)))</f>
        <v/>
      </c>
      <c r="Z5" s="62">
        <f>IF($V5="","",IF(AND(ISNUMBER($G5),$G5&lt;=IF($S5=MesCiclo,InicioCiclo,$S5+MOD(2-WEEKDAY($S5),7))+13),1,IF(ISNUMBER($J5),$J5,$Y5)))</f>
        <v/>
      </c>
      <c r="AA5" s="62">
        <f>IF($V5="","",IF(AND(ISNUMBER($G5),$G5&lt;=IF($S5=MesCiclo,InicioCiclo,$S5+MOD(2-WEEKDAY($S5),7))+20),1,IF(ISNUMBER($K5),$K5,$Z5)))</f>
        <v/>
      </c>
      <c r="AB5" s="62">
        <f>IF($V5="","",IF(AND(ISNUMBER($G5),$G5&lt;=IF($S5=MesCiclo,InicioCiclo,$S5+MOD(2-WEEKDAY($S5),7))+27),1,IF(ISNUMBER($L5),$L5,$AA5)))</f>
        <v/>
      </c>
      <c r="AC5" s="62">
        <f>IF($V5="","",IF(AND(ISNUMBER($G5),$G5&lt;=IF($S5=MesCiclo,InicioCiclo,$S5+MOD(2-WEEKDAY($S5),7))+6),1,IF(N($W5)&gt;0,AVERAGEIFS($Y$5:$Y$1000,$U$5:$U$1000,ROW(),$V$5:$V$1000,"Sub"),$Y5)))</f>
        <v/>
      </c>
      <c r="AD5" s="62">
        <f>IF($V5="","",IF(AND(ISNUMBER($G5),$G5&lt;=IF($S5=MesCiclo,InicioCiclo,$S5+MOD(2-WEEKDAY($S5),7))+13),1,IF(N($W5)&gt;0,AVERAGEIFS($Z$5:$Z$1000,$U$5:$U$1000,ROW(),$V$5:$V$1000,"Sub"),$Z5)))</f>
        <v/>
      </c>
      <c r="AE5" s="62">
        <f>IF($V5="","",IF(AND(ISNUMBER($G5),$G5&lt;=IF($S5=MesCiclo,InicioCiclo,$S5+MOD(2-WEEKDAY($S5),7))+20),1,IF(N($W5)&gt;0,AVERAGEIFS($AA$5:$AA$1000,$U$5:$U$1000,ROW(),$V$5:$V$1000,"Sub"),$AA5)))</f>
        <v/>
      </c>
      <c r="AF5" s="62">
        <f>IF($V5="","",IF(AND(ISNUMBER($G5),$G5&lt;=IF($S5=MesCiclo,InicioCiclo,$S5+MOD(2-WEEKDAY($S5),7))+27),1,IF(N($W5)&gt;0,AVERAGEIFS($AB$5:$AB$1000,$U$5:$U$1000,ROW(),$V$5:$V$1000,"Sub"),$AB5)))</f>
        <v/>
      </c>
      <c r="AG5" s="62">
        <f>IF($V5&lt;&gt;"Macro","",IF(COUNTIFS($S$5:$S$1000,$S5,$V$5:$V$1000,"Macro",$H$5:$H$1000,"&gt;0")=0,1/COUNTIFS($S$5:$S$1000,$S5,$V$5:$V$1000,"Macro"),IF(AND(ISNUMBER($H5),N($H5)&gt;0),$H5,SUMIFS($H$5:$H$1000,$S$5:$S$1000,$S5,$V$5:$V$1000,"Macro")/COUNTIFS($S$5:$S$1000,$S5,$V$5:$V$1000,"Macro",$H$5:$H$1000,"&gt;0"))/(COUNTIFS($S$5:$S$1000,$S5,$V$5:$V$1000,"Macro")*SUMIFS($H$5:$H$1000,$S$5:$S$1000,$S5,$V$5:$V$1000,"Macro")/COUNTIFS($S$5:$S$1000,$S5,$V$5:$V$1000,"Macro",$H$5:$H$1000,"&gt;0"))))</f>
        <v/>
      </c>
      <c r="AH5" s="62" t="n"/>
      <c r="AI5" s="62" t="n"/>
      <c r="AJ5" s="62" t="n"/>
      <c r="AK5" s="62" t="n"/>
      <c r="AL5" s="62">
        <f>IF(LEFT($C5,11)="[Jefatura] ",IFERROR(MATCH("Riesgo Normativo|"&amp;MID($C5,12,500),rDname_ADM,0),0),"")</f>
        <v/>
      </c>
      <c r="AM5" s="62">
        <f>IF(N($AL5)&gt;0,INDEX(rIni_ADM,$AL5),IF(ISNUMBER($E5),$E5,""))</f>
        <v/>
      </c>
      <c r="AN5" s="62">
        <f>IF(N($AL5)&gt;0,INDEX(rLim_ADM,$AL5),IF(ISNUMBER($F5),$F5,""))</f>
        <v/>
      </c>
    </row>
    <row r="6">
      <c r="A6" s="56">
        <f>IF(NOT((COUNTA($B6:$D6)+COUNTA($G6:$L6)+COUNTA($Q6))&gt;0),"",IF($V6="Macro",COUNTIFS($V$5:$V6,"Macro",$S$5:$S6,$S6),IF(N($U6)=0,"?",COUNTIFS(INDEX($V$5:$V$1000,1):INDEX($V$5:$V$1000,$U6-4),"Macro",INDEX($S$5:$S$1000,1):INDEX($S$5:$S$1000,$U6-4),INDEX($S$5:$S$1000,$U6-4))&amp;"."&amp;COUNTIFS($U$5:$U6,$U6,$V$5:$V6,"Sub"))))</f>
        <v/>
      </c>
      <c r="B6" s="57" t="n"/>
      <c r="C6" s="58" t="n"/>
      <c r="D6" s="58" t="n"/>
      <c r="E6" s="59">
        <f>IF(N($AL6)&gt;0,INDEX(rIni_ADM,$AL6),"")</f>
        <v/>
      </c>
      <c r="F6" s="59">
        <f>IF(N($AL6)&gt;0,INDEX(rLim_ADM,$AL6),"")</f>
        <v/>
      </c>
      <c r="G6" s="59" t="n"/>
      <c r="H6" s="60" t="n"/>
      <c r="I6" s="60" t="n"/>
      <c r="J6" s="60" t="n"/>
      <c r="K6" s="60" t="n"/>
      <c r="L6" s="60" t="n"/>
      <c r="M6" s="61">
        <f>IF(NOT((COUNTA($B6:$D6)+COUNTA($G6:$L6)+COUNTA($Q6))&gt;0),"",IF($V6="Sub",IFERROR($X6/INDEX($W$5:$W$1000,$U6-4),""),IF(ISNUMBER($G6),1,IF(N($W6)&gt;0,AVERAGEIFS($X$5:$X$1000,$U$5:$U$1000,ROW(),$V$5:$V$1000,"Sub"),$X6))))</f>
        <v/>
      </c>
      <c r="N6" s="56">
        <f>IF(OR($M6="",$V6="Sub"),"",IF($M6&gt;=1,"Completado",IF($M6&gt;0,"En curso","Pendiente")))</f>
        <v/>
      </c>
      <c r="O6" s="56">
        <f>IF(OR(NOT((COUNTA($B6:$D6)+COUNTA($G6:$L6)+COUNTA($Q6))&gt;0),$V6="Sub"),"",IF(ISNUMBER($G6),IF(AND(ISNUMBER($AN6),$G6&gt;$AN6),"Cumplida con "&amp;($G6-$AN6)&amp;IF($G6-$AN6=1," día"," días")&amp;" de retraso","Cumplida"),IF(N($M6)&gt;=1,"Cumplida",IF(NOT(ISNUMBER($AN6)),"Sin fecha límite",IF($AN6&lt;FechaRef,"Vencida hace "&amp;(FechaRef-$AN6)&amp;IF(FechaRef-$AN6=1," día"," días"),IF($AN6=FechaRef,"Vence hoy",IF($AN6-FechaRef&lt;=DiasAlerta,"Vence en "&amp;($AN6-FechaRef)&amp;IF($AN6-FechaRef=1," día"," días"),"En plazo")))))))</f>
        <v/>
      </c>
      <c r="P6" s="62" t="n"/>
      <c r="Q6" s="58" t="n"/>
      <c r="R6" s="63">
        <f>IF(NOT((COUNTA($B6:$D6)+COUNTA($G6:$L6)+COUNTA($Q6))&gt;0),"",IF((IF($C6="","Falta el nombre de la actividad"&amp;" · ","")&amp;IF(AND($V6="Sub",N($U6)=0),"Subactividad sin macroactividad arriba"&amp;" · ","")&amp;IF($AM6="","Sin fecha de inicio"&amp;" · ","")&amp;IF($AN6="","Sin fecha límite"&amp;" · ","")&amp;IF(AND(LEFT($C6,11)="[Jefatura] ",N($AL6)=0),"No se encuentra en la hoja de la jefatura (elíjala de nuevo en la lista)"&amp;" · ","")&amp;IF(OR(AND($E6&lt;&gt;"",NOT(ISNUMBER($E6))),AND($F6&lt;&gt;"",NOT(ISNUMBER($F6))),AND($G6&lt;&gt;"",NOT(ISNUMBER($G6)))),"Fecha no válida"&amp;" · ","")&amp;IF(AND(ISNUMBER($AM6),ISNUMBER($AN6),$AM6&gt;$AN6),"Inicio posterior a fecha límite"&amp;" · ","")&amp;IF(AND($V6="Macro",$H6&lt;&gt;"",OR(NOT(ISNUMBER($H6)),$H6&lt;0,$H6&gt;1)),"Peso fuera de rango"&amp;" · ","")&amp;IF(AND($V6="Sub",$H6&lt;&gt;""),"Las subactividades no llevan peso (valen igual dentro de su macroactividad)"&amp;" · ","")&amp;IF(AND(N($W6)&gt;0,COUNT($I6:$L6)&gt;0),"Con subactividades: deje vacías las semanas (se calculan solas)"&amp;" · ","")&amp;IF((COUNTIF($I6:$L6,"&gt;1")+COUNTIF($I6:$L6,"&lt;0")+COUNTA($I6:$L6)-COUNT($I6:$L6))&gt;0,"Avance fuera de rango 0-100%"&amp;" · ","")&amp;IF(OR(AND($J6&lt;&gt;"",$J6&lt;$I6),AND($K6&lt;&gt;"",$K6&lt;MAX($I6:$J6)),AND($L6&lt;&gt;"",$L6&lt;MAX($I6:$K6))),"Avance semanal decreciente"&amp;" · ","")&amp;IF(AND(ISNUMBER($AN6),$AN6&lt;FechaRef,IF($V6="Sub",N($X6),N($M6))&lt;1),"Vencida"&amp;" · ","")&amp;IF(AND(ObsObligatoria="Sí",ISNUMBER($AN6),$AN6&lt;FechaRef,IF($V6="Sub",N($X6),N($M6))&lt;1,$Q6=""),"Vencida sin observación"&amp;" · ",""))="","✔ OK","⚠ "&amp;LEFT(IF($C6="","Falta el nombre de la actividad"&amp;" · ","")&amp;IF(AND($V6="Sub",N($U6)=0),"Subactividad sin macroactividad arriba"&amp;" · ","")&amp;IF($AM6="","Sin fecha de inicio"&amp;" · ","")&amp;IF($AN6="","Sin fecha límite"&amp;" · ","")&amp;IF(AND(LEFT($C6,11)="[Jefatura] ",N($AL6)=0),"No se encuentra en la hoja de la jefatura (elíjala de nuevo en la lista)"&amp;" · ","")&amp;IF(OR(AND($E6&lt;&gt;"",NOT(ISNUMBER($E6))),AND($F6&lt;&gt;"",NOT(ISNUMBER($F6))),AND($G6&lt;&gt;"",NOT(ISNUMBER($G6)))),"Fecha no válida"&amp;" · ","")&amp;IF(AND(ISNUMBER($AM6),ISNUMBER($AN6),$AM6&gt;$AN6),"Inicio posterior a fecha límite"&amp;" · ","")&amp;IF(AND($V6="Macro",$H6&lt;&gt;"",OR(NOT(ISNUMBER($H6)),$H6&lt;0,$H6&gt;1)),"Peso fuera de rango"&amp;" · ","")&amp;IF(AND($V6="Sub",$H6&lt;&gt;""),"Las subactividades no llevan peso (valen igual dentro de su macroactividad)"&amp;" · ","")&amp;IF(AND(N($W6)&gt;0,COUNT($I6:$L6)&gt;0),"Con subactividades: deje vacías las semanas (se calculan solas)"&amp;" · ","")&amp;IF((COUNTIF($I6:$L6,"&gt;1")+COUNTIF($I6:$L6,"&lt;0")+COUNTA($I6:$L6)-COUNT($I6:$L6))&gt;0,"Avance fuera de rango 0-100%"&amp;" · ","")&amp;IF(OR(AND($J6&lt;&gt;"",$J6&lt;$I6),AND($K6&lt;&gt;"",$K6&lt;MAX($I6:$J6)),AND($L6&lt;&gt;"",$L6&lt;MAX($I6:$K6))),"Avance semanal decreciente"&amp;" · ","")&amp;IF(AND(ISNUMBER($AN6),$AN6&lt;FechaRef,IF($V6="Sub",N($X6),N($M6))&lt;1),"Vencida"&amp;" · ","")&amp;IF(AND(ObsObligatoria="Sí",ISNUMBER($AN6),$AN6&lt;FechaRef,IF($V6="Sub",N($X6),N($M6))&lt;1,$Q6=""),"Vencida sin observación"&amp;" · ",""),LEN(IF($C6="","Falta el nombre de la actividad"&amp;" · ","")&amp;IF(AND($V6="Sub",N($U6)=0),"Subactividad sin macroactividad arriba"&amp;" · ","")&amp;IF($AM6="","Sin fecha de inicio"&amp;" · ","")&amp;IF($AN6="","Sin fecha límite"&amp;" · ","")&amp;IF(AND(LEFT($C6,11)="[Jefatura] ",N($AL6)=0),"No se encuentra en la hoja de la jefatura (elíjala de nuevo en la lista)"&amp;" · ","")&amp;IF(OR(AND($E6&lt;&gt;"",NOT(ISNUMBER($E6))),AND($F6&lt;&gt;"",NOT(ISNUMBER($F6))),AND($G6&lt;&gt;"",NOT(ISNUMBER($G6)))),"Fecha no válida"&amp;" · ","")&amp;IF(AND(ISNUMBER($AM6),ISNUMBER($AN6),$AM6&gt;$AN6),"Inicio posterior a fecha límite"&amp;" · ","")&amp;IF(AND($V6="Macro",$H6&lt;&gt;"",OR(NOT(ISNUMBER($H6)),$H6&lt;0,$H6&gt;1)),"Peso fuera de rango"&amp;" · ","")&amp;IF(AND($V6="Sub",$H6&lt;&gt;""),"Las subactividades no llevan peso (valen igual dentro de su macroactividad)"&amp;" · ","")&amp;IF(AND(N($W6)&gt;0,COUNT($I6:$L6)&gt;0),"Con subactividades: deje vacías las semanas (se calculan solas)"&amp;" · ","")&amp;IF((COUNTIF($I6:$L6,"&gt;1")+COUNTIF($I6:$L6,"&lt;0")+COUNTA($I6:$L6)-COUNT($I6:$L6))&gt;0,"Avance fuera de rango 0-100%"&amp;" · ","")&amp;IF(OR(AND($J6&lt;&gt;"",$J6&lt;$I6),AND($K6&lt;&gt;"",$K6&lt;MAX($I6:$J6)),AND($L6&lt;&gt;"",$L6&lt;MAX($I6:$K6))),"Avance semanal decreciente"&amp;" · ","")&amp;IF(AND(ISNUMBER($AN6),$AN6&lt;FechaRef,IF($V6="Sub",N($X6),N($M6))&lt;1),"Vencida"&amp;" · ","")&amp;IF(AND(ObsObligatoria="Sí",ISNUMBER($AN6),$AN6&lt;FechaRef,IF($V6="Sub",N($X6),N($M6))&lt;1,$Q6=""),"Vencida sin observación"&amp;" · ",""))-3)))</f>
        <v/>
      </c>
      <c r="S6" s="64">
        <f>IF(NOT((COUNTA($B6:$D6)+COUNTA($G6:$L6)+COUNTA($Q6))&gt;0),"",IF(AND($V6="Sub",N($U6)&gt;0),IF(ISNUMBER(INDEX($AM$5:$AM$1000,$U6-4)),DATE(YEAR(INDEX($AM$5:$AM$1000,$U6-4)),MONTH(INDEX($AM$5:$AM$1000,$U6-4)),1),IF(ISNUMBER(INDEX($AN$5:$AN$1000,$U6-4)),DATE(YEAR(INDEX($AN$5:$AN$1000,$U6-4)),MONTH(INDEX($AN$5:$AN$1000,$U6-4)),1),MesCiclo)),IF(ISNUMBER($AM6),DATE(YEAR($AM6),MONTH($AM6),1),IF(ISNUMBER($AN6),DATE(YEAR($AN6),MONTH($AN6),1),MesCiclo))))</f>
        <v/>
      </c>
      <c r="T6" s="62">
        <f>IF(OR($S6="",$S6&lt;&gt;MesCiclo,$V6&lt;&gt;"Macro"),"",COUNTIFS($S$5:$S6,MesCiclo,$V$5:$V6,"Macro"))</f>
        <v/>
      </c>
      <c r="U6" s="62">
        <f>IF($V6="","",IF($V6="Macro",ROW(),IFERROR(LOOKUP(2,1/($V$5:$V6="Macro"),ROW($V$5:$V6)),0)))</f>
        <v/>
      </c>
      <c r="V6" s="62">
        <f>IF(NOT((COUNTA($B6:$D6)+COUNTA($G6:$L6)+COUNTA($Q6))&gt;0),"",IF($B6="Subactividad","Sub","Macro"))</f>
        <v/>
      </c>
      <c r="W6" s="62">
        <f>IF($V6="Macro",COUNTIFS($U$5:$U$1000,ROW(),$V$5:$V$1000,"Sub"),"")</f>
        <v/>
      </c>
      <c r="X6" s="62">
        <f>IF($V6="","",IF(ISNUMBER($G6),1,IFERROR(LOOKUP(2,1/($I6:$L6&lt;&gt;""),$I6:$L6),0)))</f>
        <v/>
      </c>
      <c r="Y6" s="62">
        <f>IF($V6="","",IF(AND(ISNUMBER($G6),$G6&lt;=IF($S6=MesCiclo,InicioCiclo,$S6+MOD(2-WEEKDAY($S6),7))+6),1,IF(ISNUMBER($I6),$I6,0)))</f>
        <v/>
      </c>
      <c r="Z6" s="62">
        <f>IF($V6="","",IF(AND(ISNUMBER($G6),$G6&lt;=IF($S6=MesCiclo,InicioCiclo,$S6+MOD(2-WEEKDAY($S6),7))+13),1,IF(ISNUMBER($J6),$J6,$Y6)))</f>
        <v/>
      </c>
      <c r="AA6" s="62">
        <f>IF($V6="","",IF(AND(ISNUMBER($G6),$G6&lt;=IF($S6=MesCiclo,InicioCiclo,$S6+MOD(2-WEEKDAY($S6),7))+20),1,IF(ISNUMBER($K6),$K6,$Z6)))</f>
        <v/>
      </c>
      <c r="AB6" s="62">
        <f>IF($V6="","",IF(AND(ISNUMBER($G6),$G6&lt;=IF($S6=MesCiclo,InicioCiclo,$S6+MOD(2-WEEKDAY($S6),7))+27),1,IF(ISNUMBER($L6),$L6,$AA6)))</f>
        <v/>
      </c>
      <c r="AC6" s="62">
        <f>IF($V6="","",IF(AND(ISNUMBER($G6),$G6&lt;=IF($S6=MesCiclo,InicioCiclo,$S6+MOD(2-WEEKDAY($S6),7))+6),1,IF(N($W6)&gt;0,AVERAGEIFS($Y$5:$Y$1000,$U$5:$U$1000,ROW(),$V$5:$V$1000,"Sub"),$Y6)))</f>
        <v/>
      </c>
      <c r="AD6" s="62">
        <f>IF($V6="","",IF(AND(ISNUMBER($G6),$G6&lt;=IF($S6=MesCiclo,InicioCiclo,$S6+MOD(2-WEEKDAY($S6),7))+13),1,IF(N($W6)&gt;0,AVERAGEIFS($Z$5:$Z$1000,$U$5:$U$1000,ROW(),$V$5:$V$1000,"Sub"),$Z6)))</f>
        <v/>
      </c>
      <c r="AE6" s="62">
        <f>IF($V6="","",IF(AND(ISNUMBER($G6),$G6&lt;=IF($S6=MesCiclo,InicioCiclo,$S6+MOD(2-WEEKDAY($S6),7))+20),1,IF(N($W6)&gt;0,AVERAGEIFS($AA$5:$AA$1000,$U$5:$U$1000,ROW(),$V$5:$V$1000,"Sub"),$AA6)))</f>
        <v/>
      </c>
      <c r="AF6" s="62">
        <f>IF($V6="","",IF(AND(ISNUMBER($G6),$G6&lt;=IF($S6=MesCiclo,InicioCiclo,$S6+MOD(2-WEEKDAY($S6),7))+27),1,IF(N($W6)&gt;0,AVERAGEIFS($AB$5:$AB$1000,$U$5:$U$1000,ROW(),$V$5:$V$1000,"Sub"),$AB6)))</f>
        <v/>
      </c>
      <c r="AG6" s="62">
        <f>IF($V6&lt;&gt;"Macro","",IF(COUNTIFS($S$5:$S$1000,$S6,$V$5:$V$1000,"Macro",$H$5:$H$1000,"&gt;0")=0,1/COUNTIFS($S$5:$S$1000,$S6,$V$5:$V$1000,"Macro"),IF(AND(ISNUMBER($H6),N($H6)&gt;0),$H6,SUMIFS($H$5:$H$1000,$S$5:$S$1000,$S6,$V$5:$V$1000,"Macro")/COUNTIFS($S$5:$S$1000,$S6,$V$5:$V$1000,"Macro",$H$5:$H$1000,"&gt;0"))/(COUNTIFS($S$5:$S$1000,$S6,$V$5:$V$1000,"Macro")*SUMIFS($H$5:$H$1000,$S$5:$S$1000,$S6,$V$5:$V$1000,"Macro")/COUNTIFS($S$5:$S$1000,$S6,$V$5:$V$1000,"Macro",$H$5:$H$1000,"&gt;0"))))</f>
        <v/>
      </c>
      <c r="AH6" s="62" t="n"/>
      <c r="AI6" s="62" t="n"/>
      <c r="AJ6" s="62" t="n"/>
      <c r="AK6" s="62" t="n"/>
      <c r="AL6" s="62">
        <f>IF(LEFT($C6,11)="[Jefatura] ",IFERROR(MATCH("Riesgo Normativo|"&amp;MID($C6,12,500),rDname_ADM,0),0),"")</f>
        <v/>
      </c>
      <c r="AM6" s="62">
        <f>IF(N($AL6)&gt;0,INDEX(rIni_ADM,$AL6),IF(ISNUMBER($E6),$E6,""))</f>
        <v/>
      </c>
      <c r="AN6" s="62">
        <f>IF(N($AL6)&gt;0,INDEX(rLim_ADM,$AL6),IF(ISNUMBER($F6),$F6,""))</f>
        <v/>
      </c>
    </row>
    <row r="7">
      <c r="A7" s="56">
        <f>IF(NOT((COUNTA($B7:$D7)+COUNTA($G7:$L7)+COUNTA($Q7))&gt;0),"",IF($V7="Macro",COUNTIFS($V$5:$V7,"Macro",$S$5:$S7,$S7),IF(N($U7)=0,"?",COUNTIFS(INDEX($V$5:$V$1000,1):INDEX($V$5:$V$1000,$U7-4),"Macro",INDEX($S$5:$S$1000,1):INDEX($S$5:$S$1000,$U7-4),INDEX($S$5:$S$1000,$U7-4))&amp;"."&amp;COUNTIFS($U$5:$U7,$U7,$V$5:$V7,"Sub"))))</f>
        <v/>
      </c>
      <c r="B7" s="57" t="n"/>
      <c r="C7" s="58" t="n"/>
      <c r="D7" s="58" t="n"/>
      <c r="E7" s="59">
        <f>IF(N($AL7)&gt;0,INDEX(rIni_ADM,$AL7),"")</f>
        <v/>
      </c>
      <c r="F7" s="59">
        <f>IF(N($AL7)&gt;0,INDEX(rLim_ADM,$AL7),"")</f>
        <v/>
      </c>
      <c r="G7" s="59" t="n"/>
      <c r="H7" s="60" t="n"/>
      <c r="I7" s="60" t="n"/>
      <c r="J7" s="60" t="n"/>
      <c r="K7" s="60" t="n"/>
      <c r="L7" s="60" t="n"/>
      <c r="M7" s="61">
        <f>IF(NOT((COUNTA($B7:$D7)+COUNTA($G7:$L7)+COUNTA($Q7))&gt;0),"",IF($V7="Sub",IFERROR($X7/INDEX($W$5:$W$1000,$U7-4),""),IF(ISNUMBER($G7),1,IF(N($W7)&gt;0,AVERAGEIFS($X$5:$X$1000,$U$5:$U$1000,ROW(),$V$5:$V$1000,"Sub"),$X7))))</f>
        <v/>
      </c>
      <c r="N7" s="56">
        <f>IF(OR($M7="",$V7="Sub"),"",IF($M7&gt;=1,"Completado",IF($M7&gt;0,"En curso","Pendiente")))</f>
        <v/>
      </c>
      <c r="O7" s="56">
        <f>IF(OR(NOT((COUNTA($B7:$D7)+COUNTA($G7:$L7)+COUNTA($Q7))&gt;0),$V7="Sub"),"",IF(ISNUMBER($G7),IF(AND(ISNUMBER($AN7),$G7&gt;$AN7),"Cumplida con "&amp;($G7-$AN7)&amp;IF($G7-$AN7=1," día"," días")&amp;" de retraso","Cumplida"),IF(N($M7)&gt;=1,"Cumplida",IF(NOT(ISNUMBER($AN7)),"Sin fecha límite",IF($AN7&lt;FechaRef,"Vencida hace "&amp;(FechaRef-$AN7)&amp;IF(FechaRef-$AN7=1," día"," días"),IF($AN7=FechaRef,"Vence hoy",IF($AN7-FechaRef&lt;=DiasAlerta,"Vence en "&amp;($AN7-FechaRef)&amp;IF($AN7-FechaRef=1," día"," días"),"En plazo")))))))</f>
        <v/>
      </c>
      <c r="P7" s="62" t="n"/>
      <c r="Q7" s="58" t="n"/>
      <c r="R7" s="63">
        <f>IF(NOT((COUNTA($B7:$D7)+COUNTA($G7:$L7)+COUNTA($Q7))&gt;0),"",IF((IF($C7="","Falta el nombre de la actividad"&amp;" · ","")&amp;IF(AND($V7="Sub",N($U7)=0),"Subactividad sin macroactividad arriba"&amp;" · ","")&amp;IF($AM7="","Sin fecha de inicio"&amp;" · ","")&amp;IF($AN7="","Sin fecha límite"&amp;" · ","")&amp;IF(AND(LEFT($C7,11)="[Jefatura] ",N($AL7)=0),"No se encuentra en la hoja de la jefatura (elíjala de nuevo en la lista)"&amp;" · ","")&amp;IF(OR(AND($E7&lt;&gt;"",NOT(ISNUMBER($E7))),AND($F7&lt;&gt;"",NOT(ISNUMBER($F7))),AND($G7&lt;&gt;"",NOT(ISNUMBER($G7)))),"Fecha no válida"&amp;" · ","")&amp;IF(AND(ISNUMBER($AM7),ISNUMBER($AN7),$AM7&gt;$AN7),"Inicio posterior a fecha límite"&amp;" · ","")&amp;IF(AND($V7="Macro",$H7&lt;&gt;"",OR(NOT(ISNUMBER($H7)),$H7&lt;0,$H7&gt;1)),"Peso fuera de rango"&amp;" · ","")&amp;IF(AND($V7="Sub",$H7&lt;&gt;""),"Las subactividades no llevan peso (valen igual dentro de su macroactividad)"&amp;" · ","")&amp;IF(AND(N($W7)&gt;0,COUNT($I7:$L7)&gt;0),"Con subactividades: deje vacías las semanas (se calculan solas)"&amp;" · ","")&amp;IF((COUNTIF($I7:$L7,"&gt;1")+COUNTIF($I7:$L7,"&lt;0")+COUNTA($I7:$L7)-COUNT($I7:$L7))&gt;0,"Avance fuera de rango 0-100%"&amp;" · ","")&amp;IF(OR(AND($J7&lt;&gt;"",$J7&lt;$I7),AND($K7&lt;&gt;"",$K7&lt;MAX($I7:$J7)),AND($L7&lt;&gt;"",$L7&lt;MAX($I7:$K7))),"Avance semanal decreciente"&amp;" · ","")&amp;IF(AND(ISNUMBER($AN7),$AN7&lt;FechaRef,IF($V7="Sub",N($X7),N($M7))&lt;1),"Vencida"&amp;" · ","")&amp;IF(AND(ObsObligatoria="Sí",ISNUMBER($AN7),$AN7&lt;FechaRef,IF($V7="Sub",N($X7),N($M7))&lt;1,$Q7=""),"Vencida sin observación"&amp;" · ",""))="","✔ OK","⚠ "&amp;LEFT(IF($C7="","Falta el nombre de la actividad"&amp;" · ","")&amp;IF(AND($V7="Sub",N($U7)=0),"Subactividad sin macroactividad arriba"&amp;" · ","")&amp;IF($AM7="","Sin fecha de inicio"&amp;" · ","")&amp;IF($AN7="","Sin fecha límite"&amp;" · ","")&amp;IF(AND(LEFT($C7,11)="[Jefatura] ",N($AL7)=0),"No se encuentra en la hoja de la jefatura (elíjala de nuevo en la lista)"&amp;" · ","")&amp;IF(OR(AND($E7&lt;&gt;"",NOT(ISNUMBER($E7))),AND($F7&lt;&gt;"",NOT(ISNUMBER($F7))),AND($G7&lt;&gt;"",NOT(ISNUMBER($G7)))),"Fecha no válida"&amp;" · ","")&amp;IF(AND(ISNUMBER($AM7),ISNUMBER($AN7),$AM7&gt;$AN7),"Inicio posterior a fecha límite"&amp;" · ","")&amp;IF(AND($V7="Macro",$H7&lt;&gt;"",OR(NOT(ISNUMBER($H7)),$H7&lt;0,$H7&gt;1)),"Peso fuera de rango"&amp;" · ","")&amp;IF(AND($V7="Sub",$H7&lt;&gt;""),"Las subactividades no llevan peso (valen igual dentro de su macroactividad)"&amp;" · ","")&amp;IF(AND(N($W7)&gt;0,COUNT($I7:$L7)&gt;0),"Con subactividades: deje vacías las semanas (se calculan solas)"&amp;" · ","")&amp;IF((COUNTIF($I7:$L7,"&gt;1")+COUNTIF($I7:$L7,"&lt;0")+COUNTA($I7:$L7)-COUNT($I7:$L7))&gt;0,"Avance fuera de rango 0-100%"&amp;" · ","")&amp;IF(OR(AND($J7&lt;&gt;"",$J7&lt;$I7),AND($K7&lt;&gt;"",$K7&lt;MAX($I7:$J7)),AND($L7&lt;&gt;"",$L7&lt;MAX($I7:$K7))),"Avance semanal decreciente"&amp;" · ","")&amp;IF(AND(ISNUMBER($AN7),$AN7&lt;FechaRef,IF($V7="Sub",N($X7),N($M7))&lt;1),"Vencida"&amp;" · ","")&amp;IF(AND(ObsObligatoria="Sí",ISNUMBER($AN7),$AN7&lt;FechaRef,IF($V7="Sub",N($X7),N($M7))&lt;1,$Q7=""),"Vencida sin observación"&amp;" · ",""),LEN(IF($C7="","Falta el nombre de la actividad"&amp;" · ","")&amp;IF(AND($V7="Sub",N($U7)=0),"Subactividad sin macroactividad arriba"&amp;" · ","")&amp;IF($AM7="","Sin fecha de inicio"&amp;" · ","")&amp;IF($AN7="","Sin fecha límite"&amp;" · ","")&amp;IF(AND(LEFT($C7,11)="[Jefatura] ",N($AL7)=0),"No se encuentra en la hoja de la jefatura (elíjala de nuevo en la lista)"&amp;" · ","")&amp;IF(OR(AND($E7&lt;&gt;"",NOT(ISNUMBER($E7))),AND($F7&lt;&gt;"",NOT(ISNUMBER($F7))),AND($G7&lt;&gt;"",NOT(ISNUMBER($G7)))),"Fecha no válida"&amp;" · ","")&amp;IF(AND(ISNUMBER($AM7),ISNUMBER($AN7),$AM7&gt;$AN7),"Inicio posterior a fecha límite"&amp;" · ","")&amp;IF(AND($V7="Macro",$H7&lt;&gt;"",OR(NOT(ISNUMBER($H7)),$H7&lt;0,$H7&gt;1)),"Peso fuera de rango"&amp;" · ","")&amp;IF(AND($V7="Sub",$H7&lt;&gt;""),"Las subactividades no llevan peso (valen igual dentro de su macroactividad)"&amp;" · ","")&amp;IF(AND(N($W7)&gt;0,COUNT($I7:$L7)&gt;0),"Con subactividades: deje vacías las semanas (se calculan solas)"&amp;" · ","")&amp;IF((COUNTIF($I7:$L7,"&gt;1")+COUNTIF($I7:$L7,"&lt;0")+COUNTA($I7:$L7)-COUNT($I7:$L7))&gt;0,"Avance fuera de rango 0-100%"&amp;" · ","")&amp;IF(OR(AND($J7&lt;&gt;"",$J7&lt;$I7),AND($K7&lt;&gt;"",$K7&lt;MAX($I7:$J7)),AND($L7&lt;&gt;"",$L7&lt;MAX($I7:$K7))),"Avance semanal decreciente"&amp;" · ","")&amp;IF(AND(ISNUMBER($AN7),$AN7&lt;FechaRef,IF($V7="Sub",N($X7),N($M7))&lt;1),"Vencida"&amp;" · ","")&amp;IF(AND(ObsObligatoria="Sí",ISNUMBER($AN7),$AN7&lt;FechaRef,IF($V7="Sub",N($X7),N($M7))&lt;1,$Q7=""),"Vencida sin observación"&amp;" · ",""))-3)))</f>
        <v/>
      </c>
      <c r="S7" s="64">
        <f>IF(NOT((COUNTA($B7:$D7)+COUNTA($G7:$L7)+COUNTA($Q7))&gt;0),"",IF(AND($V7="Sub",N($U7)&gt;0),IF(ISNUMBER(INDEX($AM$5:$AM$1000,$U7-4)),DATE(YEAR(INDEX($AM$5:$AM$1000,$U7-4)),MONTH(INDEX($AM$5:$AM$1000,$U7-4)),1),IF(ISNUMBER(INDEX($AN$5:$AN$1000,$U7-4)),DATE(YEAR(INDEX($AN$5:$AN$1000,$U7-4)),MONTH(INDEX($AN$5:$AN$1000,$U7-4)),1),MesCiclo)),IF(ISNUMBER($AM7),DATE(YEAR($AM7),MONTH($AM7),1),IF(ISNUMBER($AN7),DATE(YEAR($AN7),MONTH($AN7),1),MesCiclo))))</f>
        <v/>
      </c>
      <c r="T7" s="62">
        <f>IF(OR($S7="",$S7&lt;&gt;MesCiclo,$V7&lt;&gt;"Macro"),"",COUNTIFS($S$5:$S7,MesCiclo,$V$5:$V7,"Macro"))</f>
        <v/>
      </c>
      <c r="U7" s="62">
        <f>IF($V7="","",IF($V7="Macro",ROW(),IFERROR(LOOKUP(2,1/($V$5:$V7="Macro"),ROW($V$5:$V7)),0)))</f>
        <v/>
      </c>
      <c r="V7" s="62">
        <f>IF(NOT((COUNTA($B7:$D7)+COUNTA($G7:$L7)+COUNTA($Q7))&gt;0),"",IF($B7="Subactividad","Sub","Macro"))</f>
        <v/>
      </c>
      <c r="W7" s="62">
        <f>IF($V7="Macro",COUNTIFS($U$5:$U$1000,ROW(),$V$5:$V$1000,"Sub"),"")</f>
        <v/>
      </c>
      <c r="X7" s="62">
        <f>IF($V7="","",IF(ISNUMBER($G7),1,IFERROR(LOOKUP(2,1/($I7:$L7&lt;&gt;""),$I7:$L7),0)))</f>
        <v/>
      </c>
      <c r="Y7" s="62">
        <f>IF($V7="","",IF(AND(ISNUMBER($G7),$G7&lt;=IF($S7=MesCiclo,InicioCiclo,$S7+MOD(2-WEEKDAY($S7),7))+6),1,IF(ISNUMBER($I7),$I7,0)))</f>
        <v/>
      </c>
      <c r="Z7" s="62">
        <f>IF($V7="","",IF(AND(ISNUMBER($G7),$G7&lt;=IF($S7=MesCiclo,InicioCiclo,$S7+MOD(2-WEEKDAY($S7),7))+13),1,IF(ISNUMBER($J7),$J7,$Y7)))</f>
        <v/>
      </c>
      <c r="AA7" s="62">
        <f>IF($V7="","",IF(AND(ISNUMBER($G7),$G7&lt;=IF($S7=MesCiclo,InicioCiclo,$S7+MOD(2-WEEKDAY($S7),7))+20),1,IF(ISNUMBER($K7),$K7,$Z7)))</f>
        <v/>
      </c>
      <c r="AB7" s="62">
        <f>IF($V7="","",IF(AND(ISNUMBER($G7),$G7&lt;=IF($S7=MesCiclo,InicioCiclo,$S7+MOD(2-WEEKDAY($S7),7))+27),1,IF(ISNUMBER($L7),$L7,$AA7)))</f>
        <v/>
      </c>
      <c r="AC7" s="62">
        <f>IF($V7="","",IF(AND(ISNUMBER($G7),$G7&lt;=IF($S7=MesCiclo,InicioCiclo,$S7+MOD(2-WEEKDAY($S7),7))+6),1,IF(N($W7)&gt;0,AVERAGEIFS($Y$5:$Y$1000,$U$5:$U$1000,ROW(),$V$5:$V$1000,"Sub"),$Y7)))</f>
        <v/>
      </c>
      <c r="AD7" s="62">
        <f>IF($V7="","",IF(AND(ISNUMBER($G7),$G7&lt;=IF($S7=MesCiclo,InicioCiclo,$S7+MOD(2-WEEKDAY($S7),7))+13),1,IF(N($W7)&gt;0,AVERAGEIFS($Z$5:$Z$1000,$U$5:$U$1000,ROW(),$V$5:$V$1000,"Sub"),$Z7)))</f>
        <v/>
      </c>
      <c r="AE7" s="62">
        <f>IF($V7="","",IF(AND(ISNUMBER($G7),$G7&lt;=IF($S7=MesCiclo,InicioCiclo,$S7+MOD(2-WEEKDAY($S7),7))+20),1,IF(N($W7)&gt;0,AVERAGEIFS($AA$5:$AA$1000,$U$5:$U$1000,ROW(),$V$5:$V$1000,"Sub"),$AA7)))</f>
        <v/>
      </c>
      <c r="AF7" s="62">
        <f>IF($V7="","",IF(AND(ISNUMBER($G7),$G7&lt;=IF($S7=MesCiclo,InicioCiclo,$S7+MOD(2-WEEKDAY($S7),7))+27),1,IF(N($W7)&gt;0,AVERAGEIFS($AB$5:$AB$1000,$U$5:$U$1000,ROW(),$V$5:$V$1000,"Sub"),$AB7)))</f>
        <v/>
      </c>
      <c r="AG7" s="62">
        <f>IF($V7&lt;&gt;"Macro","",IF(COUNTIFS($S$5:$S$1000,$S7,$V$5:$V$1000,"Macro",$H$5:$H$1000,"&gt;0")=0,1/COUNTIFS($S$5:$S$1000,$S7,$V$5:$V$1000,"Macro"),IF(AND(ISNUMBER($H7),N($H7)&gt;0),$H7,SUMIFS($H$5:$H$1000,$S$5:$S$1000,$S7,$V$5:$V$1000,"Macro")/COUNTIFS($S$5:$S$1000,$S7,$V$5:$V$1000,"Macro",$H$5:$H$1000,"&gt;0"))/(COUNTIFS($S$5:$S$1000,$S7,$V$5:$V$1000,"Macro")*SUMIFS($H$5:$H$1000,$S$5:$S$1000,$S7,$V$5:$V$1000,"Macro")/COUNTIFS($S$5:$S$1000,$S7,$V$5:$V$1000,"Macro",$H$5:$H$1000,"&gt;0"))))</f>
        <v/>
      </c>
      <c r="AH7" s="62" t="n"/>
      <c r="AI7" s="62" t="n"/>
      <c r="AJ7" s="62" t="n"/>
      <c r="AK7" s="62" t="n"/>
      <c r="AL7" s="62">
        <f>IF(LEFT($C7,11)="[Jefatura] ",IFERROR(MATCH("Riesgo Normativo|"&amp;MID($C7,12,500),rDname_ADM,0),0),"")</f>
        <v/>
      </c>
      <c r="AM7" s="62">
        <f>IF(N($AL7)&gt;0,INDEX(rIni_ADM,$AL7),IF(ISNUMBER($E7),$E7,""))</f>
        <v/>
      </c>
      <c r="AN7" s="62">
        <f>IF(N($AL7)&gt;0,INDEX(rLim_ADM,$AL7),IF(ISNUMBER($F7),$F7,""))</f>
        <v/>
      </c>
    </row>
    <row r="8">
      <c r="A8" s="56">
        <f>IF(NOT((COUNTA($B8:$D8)+COUNTA($G8:$L8)+COUNTA($Q8))&gt;0),"",IF($V8="Macro",COUNTIFS($V$5:$V8,"Macro",$S$5:$S8,$S8),IF(N($U8)=0,"?",COUNTIFS(INDEX($V$5:$V$1000,1):INDEX($V$5:$V$1000,$U8-4),"Macro",INDEX($S$5:$S$1000,1):INDEX($S$5:$S$1000,$U8-4),INDEX($S$5:$S$1000,$U8-4))&amp;"."&amp;COUNTIFS($U$5:$U8,$U8,$V$5:$V8,"Sub"))))</f>
        <v/>
      </c>
      <c r="B8" s="57" t="n"/>
      <c r="C8" s="58" t="n"/>
      <c r="D8" s="58" t="n"/>
      <c r="E8" s="59">
        <f>IF(N($AL8)&gt;0,INDEX(rIni_ADM,$AL8),"")</f>
        <v/>
      </c>
      <c r="F8" s="59">
        <f>IF(N($AL8)&gt;0,INDEX(rLim_ADM,$AL8),"")</f>
        <v/>
      </c>
      <c r="G8" s="59" t="n"/>
      <c r="H8" s="60" t="n"/>
      <c r="I8" s="60" t="n"/>
      <c r="J8" s="60" t="n"/>
      <c r="K8" s="60" t="n"/>
      <c r="L8" s="60" t="n"/>
      <c r="M8" s="61">
        <f>IF(NOT((COUNTA($B8:$D8)+COUNTA($G8:$L8)+COUNTA($Q8))&gt;0),"",IF($V8="Sub",IFERROR($X8/INDEX($W$5:$W$1000,$U8-4),""),IF(ISNUMBER($G8),1,IF(N($W8)&gt;0,AVERAGEIFS($X$5:$X$1000,$U$5:$U$1000,ROW(),$V$5:$V$1000,"Sub"),$X8))))</f>
        <v/>
      </c>
      <c r="N8" s="56">
        <f>IF(OR($M8="",$V8="Sub"),"",IF($M8&gt;=1,"Completado",IF($M8&gt;0,"En curso","Pendiente")))</f>
        <v/>
      </c>
      <c r="O8" s="56">
        <f>IF(OR(NOT((COUNTA($B8:$D8)+COUNTA($G8:$L8)+COUNTA($Q8))&gt;0),$V8="Sub"),"",IF(ISNUMBER($G8),IF(AND(ISNUMBER($AN8),$G8&gt;$AN8),"Cumplida con "&amp;($G8-$AN8)&amp;IF($G8-$AN8=1," día"," días")&amp;" de retraso","Cumplida"),IF(N($M8)&gt;=1,"Cumplida",IF(NOT(ISNUMBER($AN8)),"Sin fecha límite",IF($AN8&lt;FechaRef,"Vencida hace "&amp;(FechaRef-$AN8)&amp;IF(FechaRef-$AN8=1," día"," días"),IF($AN8=FechaRef,"Vence hoy",IF($AN8-FechaRef&lt;=DiasAlerta,"Vence en "&amp;($AN8-FechaRef)&amp;IF($AN8-FechaRef=1," día"," días"),"En plazo")))))))</f>
        <v/>
      </c>
      <c r="P8" s="62" t="n"/>
      <c r="Q8" s="58" t="n"/>
      <c r="R8" s="63">
        <f>IF(NOT((COUNTA($B8:$D8)+COUNTA($G8:$L8)+COUNTA($Q8))&gt;0),"",IF((IF($C8="","Falta el nombre de la actividad"&amp;" · ","")&amp;IF(AND($V8="Sub",N($U8)=0),"Subactividad sin macroactividad arriba"&amp;" · ","")&amp;IF($AM8="","Sin fecha de inicio"&amp;" · ","")&amp;IF($AN8="","Sin fecha límite"&amp;" · ","")&amp;IF(AND(LEFT($C8,11)="[Jefatura] ",N($AL8)=0),"No se encuentra en la hoja de la jefatura (elíjala de nuevo en la lista)"&amp;" · ","")&amp;IF(OR(AND($E8&lt;&gt;"",NOT(ISNUMBER($E8))),AND($F8&lt;&gt;"",NOT(ISNUMBER($F8))),AND($G8&lt;&gt;"",NOT(ISNUMBER($G8)))),"Fecha no válida"&amp;" · ","")&amp;IF(AND(ISNUMBER($AM8),ISNUMBER($AN8),$AM8&gt;$AN8),"Inicio posterior a fecha límite"&amp;" · ","")&amp;IF(AND($V8="Macro",$H8&lt;&gt;"",OR(NOT(ISNUMBER($H8)),$H8&lt;0,$H8&gt;1)),"Peso fuera de rango"&amp;" · ","")&amp;IF(AND($V8="Sub",$H8&lt;&gt;""),"Las subactividades no llevan peso (valen igual dentro de su macroactividad)"&amp;" · ","")&amp;IF(AND(N($W8)&gt;0,COUNT($I8:$L8)&gt;0),"Con subactividades: deje vacías las semanas (se calculan solas)"&amp;" · ","")&amp;IF((COUNTIF($I8:$L8,"&gt;1")+COUNTIF($I8:$L8,"&lt;0")+COUNTA($I8:$L8)-COUNT($I8:$L8))&gt;0,"Avance fuera de rango 0-100%"&amp;" · ","")&amp;IF(OR(AND($J8&lt;&gt;"",$J8&lt;$I8),AND($K8&lt;&gt;"",$K8&lt;MAX($I8:$J8)),AND($L8&lt;&gt;"",$L8&lt;MAX($I8:$K8))),"Avance semanal decreciente"&amp;" · ","")&amp;IF(AND(ISNUMBER($AN8),$AN8&lt;FechaRef,IF($V8="Sub",N($X8),N($M8))&lt;1),"Vencida"&amp;" · ","")&amp;IF(AND(ObsObligatoria="Sí",ISNUMBER($AN8),$AN8&lt;FechaRef,IF($V8="Sub",N($X8),N($M8))&lt;1,$Q8=""),"Vencida sin observación"&amp;" · ",""))="","✔ OK","⚠ "&amp;LEFT(IF($C8="","Falta el nombre de la actividad"&amp;" · ","")&amp;IF(AND($V8="Sub",N($U8)=0),"Subactividad sin macroactividad arriba"&amp;" · ","")&amp;IF($AM8="","Sin fecha de inicio"&amp;" · ","")&amp;IF($AN8="","Sin fecha límite"&amp;" · ","")&amp;IF(AND(LEFT($C8,11)="[Jefatura] ",N($AL8)=0),"No se encuentra en la hoja de la jefatura (elíjala de nuevo en la lista)"&amp;" · ","")&amp;IF(OR(AND($E8&lt;&gt;"",NOT(ISNUMBER($E8))),AND($F8&lt;&gt;"",NOT(ISNUMBER($F8))),AND($G8&lt;&gt;"",NOT(ISNUMBER($G8)))),"Fecha no válida"&amp;" · ","")&amp;IF(AND(ISNUMBER($AM8),ISNUMBER($AN8),$AM8&gt;$AN8),"Inicio posterior a fecha límite"&amp;" · ","")&amp;IF(AND($V8="Macro",$H8&lt;&gt;"",OR(NOT(ISNUMBER($H8)),$H8&lt;0,$H8&gt;1)),"Peso fuera de rango"&amp;" · ","")&amp;IF(AND($V8="Sub",$H8&lt;&gt;""),"Las subactividades no llevan peso (valen igual dentro de su macroactividad)"&amp;" · ","")&amp;IF(AND(N($W8)&gt;0,COUNT($I8:$L8)&gt;0),"Con subactividades: deje vacías las semanas (se calculan solas)"&amp;" · ","")&amp;IF((COUNTIF($I8:$L8,"&gt;1")+COUNTIF($I8:$L8,"&lt;0")+COUNTA($I8:$L8)-COUNT($I8:$L8))&gt;0,"Avance fuera de rango 0-100%"&amp;" · ","")&amp;IF(OR(AND($J8&lt;&gt;"",$J8&lt;$I8),AND($K8&lt;&gt;"",$K8&lt;MAX($I8:$J8)),AND($L8&lt;&gt;"",$L8&lt;MAX($I8:$K8))),"Avance semanal decreciente"&amp;" · ","")&amp;IF(AND(ISNUMBER($AN8),$AN8&lt;FechaRef,IF($V8="Sub",N($X8),N($M8))&lt;1),"Vencida"&amp;" · ","")&amp;IF(AND(ObsObligatoria="Sí",ISNUMBER($AN8),$AN8&lt;FechaRef,IF($V8="Sub",N($X8),N($M8))&lt;1,$Q8=""),"Vencida sin observación"&amp;" · ",""),LEN(IF($C8="","Falta el nombre de la actividad"&amp;" · ","")&amp;IF(AND($V8="Sub",N($U8)=0),"Subactividad sin macroactividad arriba"&amp;" · ","")&amp;IF($AM8="","Sin fecha de inicio"&amp;" · ","")&amp;IF($AN8="","Sin fecha límite"&amp;" · ","")&amp;IF(AND(LEFT($C8,11)="[Jefatura] ",N($AL8)=0),"No se encuentra en la hoja de la jefatura (elíjala de nuevo en la lista)"&amp;" · ","")&amp;IF(OR(AND($E8&lt;&gt;"",NOT(ISNUMBER($E8))),AND($F8&lt;&gt;"",NOT(ISNUMBER($F8))),AND($G8&lt;&gt;"",NOT(ISNUMBER($G8)))),"Fecha no válida"&amp;" · ","")&amp;IF(AND(ISNUMBER($AM8),ISNUMBER($AN8),$AM8&gt;$AN8),"Inicio posterior a fecha límite"&amp;" · ","")&amp;IF(AND($V8="Macro",$H8&lt;&gt;"",OR(NOT(ISNUMBER($H8)),$H8&lt;0,$H8&gt;1)),"Peso fuera de rango"&amp;" · ","")&amp;IF(AND($V8="Sub",$H8&lt;&gt;""),"Las subactividades no llevan peso (valen igual dentro de su macroactividad)"&amp;" · ","")&amp;IF(AND(N($W8)&gt;0,COUNT($I8:$L8)&gt;0),"Con subactividades: deje vacías las semanas (se calculan solas)"&amp;" · ","")&amp;IF((COUNTIF($I8:$L8,"&gt;1")+COUNTIF($I8:$L8,"&lt;0")+COUNTA($I8:$L8)-COUNT($I8:$L8))&gt;0,"Avance fuera de rango 0-100%"&amp;" · ","")&amp;IF(OR(AND($J8&lt;&gt;"",$J8&lt;$I8),AND($K8&lt;&gt;"",$K8&lt;MAX($I8:$J8)),AND($L8&lt;&gt;"",$L8&lt;MAX($I8:$K8))),"Avance semanal decreciente"&amp;" · ","")&amp;IF(AND(ISNUMBER($AN8),$AN8&lt;FechaRef,IF($V8="Sub",N($X8),N($M8))&lt;1),"Vencida"&amp;" · ","")&amp;IF(AND(ObsObligatoria="Sí",ISNUMBER($AN8),$AN8&lt;FechaRef,IF($V8="Sub",N($X8),N($M8))&lt;1,$Q8=""),"Vencida sin observación"&amp;" · ",""))-3)))</f>
        <v/>
      </c>
      <c r="S8" s="64">
        <f>IF(NOT((COUNTA($B8:$D8)+COUNTA($G8:$L8)+COUNTA($Q8))&gt;0),"",IF(AND($V8="Sub",N($U8)&gt;0),IF(ISNUMBER(INDEX($AM$5:$AM$1000,$U8-4)),DATE(YEAR(INDEX($AM$5:$AM$1000,$U8-4)),MONTH(INDEX($AM$5:$AM$1000,$U8-4)),1),IF(ISNUMBER(INDEX($AN$5:$AN$1000,$U8-4)),DATE(YEAR(INDEX($AN$5:$AN$1000,$U8-4)),MONTH(INDEX($AN$5:$AN$1000,$U8-4)),1),MesCiclo)),IF(ISNUMBER($AM8),DATE(YEAR($AM8),MONTH($AM8),1),IF(ISNUMBER($AN8),DATE(YEAR($AN8),MONTH($AN8),1),MesCiclo))))</f>
        <v/>
      </c>
      <c r="T8" s="62">
        <f>IF(OR($S8="",$S8&lt;&gt;MesCiclo,$V8&lt;&gt;"Macro"),"",COUNTIFS($S$5:$S8,MesCiclo,$V$5:$V8,"Macro"))</f>
        <v/>
      </c>
      <c r="U8" s="62">
        <f>IF($V8="","",IF($V8="Macro",ROW(),IFERROR(LOOKUP(2,1/($V$5:$V8="Macro"),ROW($V$5:$V8)),0)))</f>
        <v/>
      </c>
      <c r="V8" s="62">
        <f>IF(NOT((COUNTA($B8:$D8)+COUNTA($G8:$L8)+COUNTA($Q8))&gt;0),"",IF($B8="Subactividad","Sub","Macro"))</f>
        <v/>
      </c>
      <c r="W8" s="62">
        <f>IF($V8="Macro",COUNTIFS($U$5:$U$1000,ROW(),$V$5:$V$1000,"Sub"),"")</f>
        <v/>
      </c>
      <c r="X8" s="62">
        <f>IF($V8="","",IF(ISNUMBER($G8),1,IFERROR(LOOKUP(2,1/($I8:$L8&lt;&gt;""),$I8:$L8),0)))</f>
        <v/>
      </c>
      <c r="Y8" s="62">
        <f>IF($V8="","",IF(AND(ISNUMBER($G8),$G8&lt;=IF($S8=MesCiclo,InicioCiclo,$S8+MOD(2-WEEKDAY($S8),7))+6),1,IF(ISNUMBER($I8),$I8,0)))</f>
        <v/>
      </c>
      <c r="Z8" s="62">
        <f>IF($V8="","",IF(AND(ISNUMBER($G8),$G8&lt;=IF($S8=MesCiclo,InicioCiclo,$S8+MOD(2-WEEKDAY($S8),7))+13),1,IF(ISNUMBER($J8),$J8,$Y8)))</f>
        <v/>
      </c>
      <c r="AA8" s="62">
        <f>IF($V8="","",IF(AND(ISNUMBER($G8),$G8&lt;=IF($S8=MesCiclo,InicioCiclo,$S8+MOD(2-WEEKDAY($S8),7))+20),1,IF(ISNUMBER($K8),$K8,$Z8)))</f>
        <v/>
      </c>
      <c r="AB8" s="62">
        <f>IF($V8="","",IF(AND(ISNUMBER($G8),$G8&lt;=IF($S8=MesCiclo,InicioCiclo,$S8+MOD(2-WEEKDAY($S8),7))+27),1,IF(ISNUMBER($L8),$L8,$AA8)))</f>
        <v/>
      </c>
      <c r="AC8" s="62">
        <f>IF($V8="","",IF(AND(ISNUMBER($G8),$G8&lt;=IF($S8=MesCiclo,InicioCiclo,$S8+MOD(2-WEEKDAY($S8),7))+6),1,IF(N($W8)&gt;0,AVERAGEIFS($Y$5:$Y$1000,$U$5:$U$1000,ROW(),$V$5:$V$1000,"Sub"),$Y8)))</f>
        <v/>
      </c>
      <c r="AD8" s="62">
        <f>IF($V8="","",IF(AND(ISNUMBER($G8),$G8&lt;=IF($S8=MesCiclo,InicioCiclo,$S8+MOD(2-WEEKDAY($S8),7))+13),1,IF(N($W8)&gt;0,AVERAGEIFS($Z$5:$Z$1000,$U$5:$U$1000,ROW(),$V$5:$V$1000,"Sub"),$Z8)))</f>
        <v/>
      </c>
      <c r="AE8" s="62">
        <f>IF($V8="","",IF(AND(ISNUMBER($G8),$G8&lt;=IF($S8=MesCiclo,InicioCiclo,$S8+MOD(2-WEEKDAY($S8),7))+20),1,IF(N($W8)&gt;0,AVERAGEIFS($AA$5:$AA$1000,$U$5:$U$1000,ROW(),$V$5:$V$1000,"Sub"),$AA8)))</f>
        <v/>
      </c>
      <c r="AF8" s="62">
        <f>IF($V8="","",IF(AND(ISNUMBER($G8),$G8&lt;=IF($S8=MesCiclo,InicioCiclo,$S8+MOD(2-WEEKDAY($S8),7))+27),1,IF(N($W8)&gt;0,AVERAGEIFS($AB$5:$AB$1000,$U$5:$U$1000,ROW(),$V$5:$V$1000,"Sub"),$AB8)))</f>
        <v/>
      </c>
      <c r="AG8" s="62">
        <f>IF($V8&lt;&gt;"Macro","",IF(COUNTIFS($S$5:$S$1000,$S8,$V$5:$V$1000,"Macro",$H$5:$H$1000,"&gt;0")=0,1/COUNTIFS($S$5:$S$1000,$S8,$V$5:$V$1000,"Macro"),IF(AND(ISNUMBER($H8),N($H8)&gt;0),$H8,SUMIFS($H$5:$H$1000,$S$5:$S$1000,$S8,$V$5:$V$1000,"Macro")/COUNTIFS($S$5:$S$1000,$S8,$V$5:$V$1000,"Macro",$H$5:$H$1000,"&gt;0"))/(COUNTIFS($S$5:$S$1000,$S8,$V$5:$V$1000,"Macro")*SUMIFS($H$5:$H$1000,$S$5:$S$1000,$S8,$V$5:$V$1000,"Macro")/COUNTIFS($S$5:$S$1000,$S8,$V$5:$V$1000,"Macro",$H$5:$H$1000,"&gt;0"))))</f>
        <v/>
      </c>
      <c r="AH8" s="62" t="n"/>
      <c r="AI8" s="62" t="n"/>
      <c r="AJ8" s="62" t="n"/>
      <c r="AK8" s="62" t="n"/>
      <c r="AL8" s="62">
        <f>IF(LEFT($C8,11)="[Jefatura] ",IFERROR(MATCH("Riesgo Normativo|"&amp;MID($C8,12,500),rDname_ADM,0),0),"")</f>
        <v/>
      </c>
      <c r="AM8" s="62">
        <f>IF(N($AL8)&gt;0,INDEX(rIni_ADM,$AL8),IF(ISNUMBER($E8),$E8,""))</f>
        <v/>
      </c>
      <c r="AN8" s="62">
        <f>IF(N($AL8)&gt;0,INDEX(rLim_ADM,$AL8),IF(ISNUMBER($F8),$F8,""))</f>
        <v/>
      </c>
    </row>
    <row r="9">
      <c r="A9" s="56">
        <f>IF(NOT((COUNTA($B9:$D9)+COUNTA($G9:$L9)+COUNTA($Q9))&gt;0),"",IF($V9="Macro",COUNTIFS($V$5:$V9,"Macro",$S$5:$S9,$S9),IF(N($U9)=0,"?",COUNTIFS(INDEX($V$5:$V$1000,1):INDEX($V$5:$V$1000,$U9-4),"Macro",INDEX($S$5:$S$1000,1):INDEX($S$5:$S$1000,$U9-4),INDEX($S$5:$S$1000,$U9-4))&amp;"."&amp;COUNTIFS($U$5:$U9,$U9,$V$5:$V9,"Sub"))))</f>
        <v/>
      </c>
      <c r="B9" s="57" t="n"/>
      <c r="C9" s="58" t="n"/>
      <c r="D9" s="58" t="n"/>
      <c r="E9" s="59">
        <f>IF(N($AL9)&gt;0,INDEX(rIni_ADM,$AL9),"")</f>
        <v/>
      </c>
      <c r="F9" s="59">
        <f>IF(N($AL9)&gt;0,INDEX(rLim_ADM,$AL9),"")</f>
        <v/>
      </c>
      <c r="G9" s="59" t="n"/>
      <c r="H9" s="60" t="n"/>
      <c r="I9" s="60" t="n"/>
      <c r="J9" s="60" t="n"/>
      <c r="K9" s="60" t="n"/>
      <c r="L9" s="60" t="n"/>
      <c r="M9" s="61">
        <f>IF(NOT((COUNTA($B9:$D9)+COUNTA($G9:$L9)+COUNTA($Q9))&gt;0),"",IF($V9="Sub",IFERROR($X9/INDEX($W$5:$W$1000,$U9-4),""),IF(ISNUMBER($G9),1,IF(N($W9)&gt;0,AVERAGEIFS($X$5:$X$1000,$U$5:$U$1000,ROW(),$V$5:$V$1000,"Sub"),$X9))))</f>
        <v/>
      </c>
      <c r="N9" s="56">
        <f>IF(OR($M9="",$V9="Sub"),"",IF($M9&gt;=1,"Completado",IF($M9&gt;0,"En curso","Pendiente")))</f>
        <v/>
      </c>
      <c r="O9" s="56">
        <f>IF(OR(NOT((COUNTA($B9:$D9)+COUNTA($G9:$L9)+COUNTA($Q9))&gt;0),$V9="Sub"),"",IF(ISNUMBER($G9),IF(AND(ISNUMBER($AN9),$G9&gt;$AN9),"Cumplida con "&amp;($G9-$AN9)&amp;IF($G9-$AN9=1," día"," días")&amp;" de retraso","Cumplida"),IF(N($M9)&gt;=1,"Cumplida",IF(NOT(ISNUMBER($AN9)),"Sin fecha límite",IF($AN9&lt;FechaRef,"Vencida hace "&amp;(FechaRef-$AN9)&amp;IF(FechaRef-$AN9=1," día"," días"),IF($AN9=FechaRef,"Vence hoy",IF($AN9-FechaRef&lt;=DiasAlerta,"Vence en "&amp;($AN9-FechaRef)&amp;IF($AN9-FechaRef=1," día"," días"),"En plazo")))))))</f>
        <v/>
      </c>
      <c r="P9" s="62" t="n"/>
      <c r="Q9" s="58" t="n"/>
      <c r="R9" s="63">
        <f>IF(NOT((COUNTA($B9:$D9)+COUNTA($G9:$L9)+COUNTA($Q9))&gt;0),"",IF((IF($C9="","Falta el nombre de la actividad"&amp;" · ","")&amp;IF(AND($V9="Sub",N($U9)=0),"Subactividad sin macroactividad arriba"&amp;" · ","")&amp;IF($AM9="","Sin fecha de inicio"&amp;" · ","")&amp;IF($AN9="","Sin fecha límite"&amp;" · ","")&amp;IF(AND(LEFT($C9,11)="[Jefatura] ",N($AL9)=0),"No se encuentra en la hoja de la jefatura (elíjala de nuevo en la lista)"&amp;" · ","")&amp;IF(OR(AND($E9&lt;&gt;"",NOT(ISNUMBER($E9))),AND($F9&lt;&gt;"",NOT(ISNUMBER($F9))),AND($G9&lt;&gt;"",NOT(ISNUMBER($G9)))),"Fecha no válida"&amp;" · ","")&amp;IF(AND(ISNUMBER($AM9),ISNUMBER($AN9),$AM9&gt;$AN9),"Inicio posterior a fecha límite"&amp;" · ","")&amp;IF(AND($V9="Macro",$H9&lt;&gt;"",OR(NOT(ISNUMBER($H9)),$H9&lt;0,$H9&gt;1)),"Peso fuera de rango"&amp;" · ","")&amp;IF(AND($V9="Sub",$H9&lt;&gt;""),"Las subactividades no llevan peso (valen igual dentro de su macroactividad)"&amp;" · ","")&amp;IF(AND(N($W9)&gt;0,COUNT($I9:$L9)&gt;0),"Con subactividades: deje vacías las semanas (se calculan solas)"&amp;" · ","")&amp;IF((COUNTIF($I9:$L9,"&gt;1")+COUNTIF($I9:$L9,"&lt;0")+COUNTA($I9:$L9)-COUNT($I9:$L9))&gt;0,"Avance fuera de rango 0-100%"&amp;" · ","")&amp;IF(OR(AND($J9&lt;&gt;"",$J9&lt;$I9),AND($K9&lt;&gt;"",$K9&lt;MAX($I9:$J9)),AND($L9&lt;&gt;"",$L9&lt;MAX($I9:$K9))),"Avance semanal decreciente"&amp;" · ","")&amp;IF(AND(ISNUMBER($AN9),$AN9&lt;FechaRef,IF($V9="Sub",N($X9),N($M9))&lt;1),"Vencida"&amp;" · ","")&amp;IF(AND(ObsObligatoria="Sí",ISNUMBER($AN9),$AN9&lt;FechaRef,IF($V9="Sub",N($X9),N($M9))&lt;1,$Q9=""),"Vencida sin observación"&amp;" · ",""))="","✔ OK","⚠ "&amp;LEFT(IF($C9="","Falta el nombre de la actividad"&amp;" · ","")&amp;IF(AND($V9="Sub",N($U9)=0),"Subactividad sin macroactividad arriba"&amp;" · ","")&amp;IF($AM9="","Sin fecha de inicio"&amp;" · ","")&amp;IF($AN9="","Sin fecha límite"&amp;" · ","")&amp;IF(AND(LEFT($C9,11)="[Jefatura] ",N($AL9)=0),"No se encuentra en la hoja de la jefatura (elíjala de nuevo en la lista)"&amp;" · ","")&amp;IF(OR(AND($E9&lt;&gt;"",NOT(ISNUMBER($E9))),AND($F9&lt;&gt;"",NOT(ISNUMBER($F9))),AND($G9&lt;&gt;"",NOT(ISNUMBER($G9)))),"Fecha no válida"&amp;" · ","")&amp;IF(AND(ISNUMBER($AM9),ISNUMBER($AN9),$AM9&gt;$AN9),"Inicio posterior a fecha límite"&amp;" · ","")&amp;IF(AND($V9="Macro",$H9&lt;&gt;"",OR(NOT(ISNUMBER($H9)),$H9&lt;0,$H9&gt;1)),"Peso fuera de rango"&amp;" · ","")&amp;IF(AND($V9="Sub",$H9&lt;&gt;""),"Las subactividades no llevan peso (valen igual dentro de su macroactividad)"&amp;" · ","")&amp;IF(AND(N($W9)&gt;0,COUNT($I9:$L9)&gt;0),"Con subactividades: deje vacías las semanas (se calculan solas)"&amp;" · ","")&amp;IF((COUNTIF($I9:$L9,"&gt;1")+COUNTIF($I9:$L9,"&lt;0")+COUNTA($I9:$L9)-COUNT($I9:$L9))&gt;0,"Avance fuera de rango 0-100%"&amp;" · ","")&amp;IF(OR(AND($J9&lt;&gt;"",$J9&lt;$I9),AND($K9&lt;&gt;"",$K9&lt;MAX($I9:$J9)),AND($L9&lt;&gt;"",$L9&lt;MAX($I9:$K9))),"Avance semanal decreciente"&amp;" · ","")&amp;IF(AND(ISNUMBER($AN9),$AN9&lt;FechaRef,IF($V9="Sub",N($X9),N($M9))&lt;1),"Vencida"&amp;" · ","")&amp;IF(AND(ObsObligatoria="Sí",ISNUMBER($AN9),$AN9&lt;FechaRef,IF($V9="Sub",N($X9),N($M9))&lt;1,$Q9=""),"Vencida sin observación"&amp;" · ",""),LEN(IF($C9="","Falta el nombre de la actividad"&amp;" · ","")&amp;IF(AND($V9="Sub",N($U9)=0),"Subactividad sin macroactividad arriba"&amp;" · ","")&amp;IF($AM9="","Sin fecha de inicio"&amp;" · ","")&amp;IF($AN9="","Sin fecha límite"&amp;" · ","")&amp;IF(AND(LEFT($C9,11)="[Jefatura] ",N($AL9)=0),"No se encuentra en la hoja de la jefatura (elíjala de nuevo en la lista)"&amp;" · ","")&amp;IF(OR(AND($E9&lt;&gt;"",NOT(ISNUMBER($E9))),AND($F9&lt;&gt;"",NOT(ISNUMBER($F9))),AND($G9&lt;&gt;"",NOT(ISNUMBER($G9)))),"Fecha no válida"&amp;" · ","")&amp;IF(AND(ISNUMBER($AM9),ISNUMBER($AN9),$AM9&gt;$AN9),"Inicio posterior a fecha límite"&amp;" · ","")&amp;IF(AND($V9="Macro",$H9&lt;&gt;"",OR(NOT(ISNUMBER($H9)),$H9&lt;0,$H9&gt;1)),"Peso fuera de rango"&amp;" · ","")&amp;IF(AND($V9="Sub",$H9&lt;&gt;""),"Las subactividades no llevan peso (valen igual dentro de su macroactividad)"&amp;" · ","")&amp;IF(AND(N($W9)&gt;0,COUNT($I9:$L9)&gt;0),"Con subactividades: deje vacías las semanas (se calculan solas)"&amp;" · ","")&amp;IF((COUNTIF($I9:$L9,"&gt;1")+COUNTIF($I9:$L9,"&lt;0")+COUNTA($I9:$L9)-COUNT($I9:$L9))&gt;0,"Avance fuera de rango 0-100%"&amp;" · ","")&amp;IF(OR(AND($J9&lt;&gt;"",$J9&lt;$I9),AND($K9&lt;&gt;"",$K9&lt;MAX($I9:$J9)),AND($L9&lt;&gt;"",$L9&lt;MAX($I9:$K9))),"Avance semanal decreciente"&amp;" · ","")&amp;IF(AND(ISNUMBER($AN9),$AN9&lt;FechaRef,IF($V9="Sub",N($X9),N($M9))&lt;1),"Vencida"&amp;" · ","")&amp;IF(AND(ObsObligatoria="Sí",ISNUMBER($AN9),$AN9&lt;FechaRef,IF($V9="Sub",N($X9),N($M9))&lt;1,$Q9=""),"Vencida sin observación"&amp;" · ",""))-3)))</f>
        <v/>
      </c>
      <c r="S9" s="64">
        <f>IF(NOT((COUNTA($B9:$D9)+COUNTA($G9:$L9)+COUNTA($Q9))&gt;0),"",IF(AND($V9="Sub",N($U9)&gt;0),IF(ISNUMBER(INDEX($AM$5:$AM$1000,$U9-4)),DATE(YEAR(INDEX($AM$5:$AM$1000,$U9-4)),MONTH(INDEX($AM$5:$AM$1000,$U9-4)),1),IF(ISNUMBER(INDEX($AN$5:$AN$1000,$U9-4)),DATE(YEAR(INDEX($AN$5:$AN$1000,$U9-4)),MONTH(INDEX($AN$5:$AN$1000,$U9-4)),1),MesCiclo)),IF(ISNUMBER($AM9),DATE(YEAR($AM9),MONTH($AM9),1),IF(ISNUMBER($AN9),DATE(YEAR($AN9),MONTH($AN9),1),MesCiclo))))</f>
        <v/>
      </c>
      <c r="T9" s="62">
        <f>IF(OR($S9="",$S9&lt;&gt;MesCiclo,$V9&lt;&gt;"Macro"),"",COUNTIFS($S$5:$S9,MesCiclo,$V$5:$V9,"Macro"))</f>
        <v/>
      </c>
      <c r="U9" s="62">
        <f>IF($V9="","",IF($V9="Macro",ROW(),IFERROR(LOOKUP(2,1/($V$5:$V9="Macro"),ROW($V$5:$V9)),0)))</f>
        <v/>
      </c>
      <c r="V9" s="62">
        <f>IF(NOT((COUNTA($B9:$D9)+COUNTA($G9:$L9)+COUNTA($Q9))&gt;0),"",IF($B9="Subactividad","Sub","Macro"))</f>
        <v/>
      </c>
      <c r="W9" s="62">
        <f>IF($V9="Macro",COUNTIFS($U$5:$U$1000,ROW(),$V$5:$V$1000,"Sub"),"")</f>
        <v/>
      </c>
      <c r="X9" s="62">
        <f>IF($V9="","",IF(ISNUMBER($G9),1,IFERROR(LOOKUP(2,1/($I9:$L9&lt;&gt;""),$I9:$L9),0)))</f>
        <v/>
      </c>
      <c r="Y9" s="62">
        <f>IF($V9="","",IF(AND(ISNUMBER($G9),$G9&lt;=IF($S9=MesCiclo,InicioCiclo,$S9+MOD(2-WEEKDAY($S9),7))+6),1,IF(ISNUMBER($I9),$I9,0)))</f>
        <v/>
      </c>
      <c r="Z9" s="62">
        <f>IF($V9="","",IF(AND(ISNUMBER($G9),$G9&lt;=IF($S9=MesCiclo,InicioCiclo,$S9+MOD(2-WEEKDAY($S9),7))+13),1,IF(ISNUMBER($J9),$J9,$Y9)))</f>
        <v/>
      </c>
      <c r="AA9" s="62">
        <f>IF($V9="","",IF(AND(ISNUMBER($G9),$G9&lt;=IF($S9=MesCiclo,InicioCiclo,$S9+MOD(2-WEEKDAY($S9),7))+20),1,IF(ISNUMBER($K9),$K9,$Z9)))</f>
        <v/>
      </c>
      <c r="AB9" s="62">
        <f>IF($V9="","",IF(AND(ISNUMBER($G9),$G9&lt;=IF($S9=MesCiclo,InicioCiclo,$S9+MOD(2-WEEKDAY($S9),7))+27),1,IF(ISNUMBER($L9),$L9,$AA9)))</f>
        <v/>
      </c>
      <c r="AC9" s="62">
        <f>IF($V9="","",IF(AND(ISNUMBER($G9),$G9&lt;=IF($S9=MesCiclo,InicioCiclo,$S9+MOD(2-WEEKDAY($S9),7))+6),1,IF(N($W9)&gt;0,AVERAGEIFS($Y$5:$Y$1000,$U$5:$U$1000,ROW(),$V$5:$V$1000,"Sub"),$Y9)))</f>
        <v/>
      </c>
      <c r="AD9" s="62">
        <f>IF($V9="","",IF(AND(ISNUMBER($G9),$G9&lt;=IF($S9=MesCiclo,InicioCiclo,$S9+MOD(2-WEEKDAY($S9),7))+13),1,IF(N($W9)&gt;0,AVERAGEIFS($Z$5:$Z$1000,$U$5:$U$1000,ROW(),$V$5:$V$1000,"Sub"),$Z9)))</f>
        <v/>
      </c>
      <c r="AE9" s="62">
        <f>IF($V9="","",IF(AND(ISNUMBER($G9),$G9&lt;=IF($S9=MesCiclo,InicioCiclo,$S9+MOD(2-WEEKDAY($S9),7))+20),1,IF(N($W9)&gt;0,AVERAGEIFS($AA$5:$AA$1000,$U$5:$U$1000,ROW(),$V$5:$V$1000,"Sub"),$AA9)))</f>
        <v/>
      </c>
      <c r="AF9" s="62">
        <f>IF($V9="","",IF(AND(ISNUMBER($G9),$G9&lt;=IF($S9=MesCiclo,InicioCiclo,$S9+MOD(2-WEEKDAY($S9),7))+27),1,IF(N($W9)&gt;0,AVERAGEIFS($AB$5:$AB$1000,$U$5:$U$1000,ROW(),$V$5:$V$1000,"Sub"),$AB9)))</f>
        <v/>
      </c>
      <c r="AG9" s="62">
        <f>IF($V9&lt;&gt;"Macro","",IF(COUNTIFS($S$5:$S$1000,$S9,$V$5:$V$1000,"Macro",$H$5:$H$1000,"&gt;0")=0,1/COUNTIFS($S$5:$S$1000,$S9,$V$5:$V$1000,"Macro"),IF(AND(ISNUMBER($H9),N($H9)&gt;0),$H9,SUMIFS($H$5:$H$1000,$S$5:$S$1000,$S9,$V$5:$V$1000,"Macro")/COUNTIFS($S$5:$S$1000,$S9,$V$5:$V$1000,"Macro",$H$5:$H$1000,"&gt;0"))/(COUNTIFS($S$5:$S$1000,$S9,$V$5:$V$1000,"Macro")*SUMIFS($H$5:$H$1000,$S$5:$S$1000,$S9,$V$5:$V$1000,"Macro")/COUNTIFS($S$5:$S$1000,$S9,$V$5:$V$1000,"Macro",$H$5:$H$1000,"&gt;0"))))</f>
        <v/>
      </c>
      <c r="AH9" s="62" t="n"/>
      <c r="AI9" s="62" t="n"/>
      <c r="AJ9" s="62" t="n"/>
      <c r="AK9" s="62" t="n"/>
      <c r="AL9" s="62">
        <f>IF(LEFT($C9,11)="[Jefatura] ",IFERROR(MATCH("Riesgo Normativo|"&amp;MID($C9,12,500),rDname_ADM,0),0),"")</f>
        <v/>
      </c>
      <c r="AM9" s="62">
        <f>IF(N($AL9)&gt;0,INDEX(rIni_ADM,$AL9),IF(ISNUMBER($E9),$E9,""))</f>
        <v/>
      </c>
      <c r="AN9" s="62">
        <f>IF(N($AL9)&gt;0,INDEX(rLim_ADM,$AL9),IF(ISNUMBER($F9),$F9,""))</f>
        <v/>
      </c>
    </row>
    <row r="10">
      <c r="A10" s="56">
        <f>IF(NOT((COUNTA($B10:$D10)+COUNTA($G10:$L10)+COUNTA($Q10))&gt;0),"",IF($V10="Macro",COUNTIFS($V$5:$V10,"Macro",$S$5:$S10,$S10),IF(N($U10)=0,"?",COUNTIFS(INDEX($V$5:$V$1000,1):INDEX($V$5:$V$1000,$U10-4),"Macro",INDEX($S$5:$S$1000,1):INDEX($S$5:$S$1000,$U10-4),INDEX($S$5:$S$1000,$U10-4))&amp;"."&amp;COUNTIFS($U$5:$U10,$U10,$V$5:$V10,"Sub"))))</f>
        <v/>
      </c>
      <c r="B10" s="57" t="n"/>
      <c r="C10" s="58" t="n"/>
      <c r="D10" s="58" t="n"/>
      <c r="E10" s="59">
        <f>IF(N($AL10)&gt;0,INDEX(rIni_ADM,$AL10),"")</f>
        <v/>
      </c>
      <c r="F10" s="59">
        <f>IF(N($AL10)&gt;0,INDEX(rLim_ADM,$AL10),"")</f>
        <v/>
      </c>
      <c r="G10" s="59" t="n"/>
      <c r="H10" s="60" t="n"/>
      <c r="I10" s="60" t="n"/>
      <c r="J10" s="60" t="n"/>
      <c r="K10" s="60" t="n"/>
      <c r="L10" s="60" t="n"/>
      <c r="M10" s="61">
        <f>IF(NOT((COUNTA($B10:$D10)+COUNTA($G10:$L10)+COUNTA($Q10))&gt;0),"",IF($V10="Sub",IFERROR($X10/INDEX($W$5:$W$1000,$U10-4),""),IF(ISNUMBER($G10),1,IF(N($W10)&gt;0,AVERAGEIFS($X$5:$X$1000,$U$5:$U$1000,ROW(),$V$5:$V$1000,"Sub"),$X10))))</f>
        <v/>
      </c>
      <c r="N10" s="56">
        <f>IF(OR($M10="",$V10="Sub"),"",IF($M10&gt;=1,"Completado",IF($M10&gt;0,"En curso","Pendiente")))</f>
        <v/>
      </c>
      <c r="O10" s="56">
        <f>IF(OR(NOT((COUNTA($B10:$D10)+COUNTA($G10:$L10)+COUNTA($Q10))&gt;0),$V10="Sub"),"",IF(ISNUMBER($G10),IF(AND(ISNUMBER($AN10),$G10&gt;$AN10),"Cumplida con "&amp;($G10-$AN10)&amp;IF($G10-$AN10=1," día"," días")&amp;" de retraso","Cumplida"),IF(N($M10)&gt;=1,"Cumplida",IF(NOT(ISNUMBER($AN10)),"Sin fecha límite",IF($AN10&lt;FechaRef,"Vencida hace "&amp;(FechaRef-$AN10)&amp;IF(FechaRef-$AN10=1," día"," días"),IF($AN10=FechaRef,"Vence hoy",IF($AN10-FechaRef&lt;=DiasAlerta,"Vence en "&amp;($AN10-FechaRef)&amp;IF($AN10-FechaRef=1," día"," días"),"En plazo")))))))</f>
        <v/>
      </c>
      <c r="P10" s="62" t="n"/>
      <c r="Q10" s="58" t="n"/>
      <c r="R10" s="63">
        <f>IF(NOT((COUNTA($B10:$D10)+COUNTA($G10:$L10)+COUNTA($Q10))&gt;0),"",IF((IF($C10="","Falta el nombre de la actividad"&amp;" · ","")&amp;IF(AND($V10="Sub",N($U10)=0),"Subactividad sin macroactividad arriba"&amp;" · ","")&amp;IF($AM10="","Sin fecha de inicio"&amp;" · ","")&amp;IF($AN10="","Sin fecha límite"&amp;" · ","")&amp;IF(AND(LEFT($C10,11)="[Jefatura] ",N($AL10)=0),"No se encuentra en la hoja de la jefatura (elíjala de nuevo en la lista)"&amp;" · ","")&amp;IF(OR(AND($E10&lt;&gt;"",NOT(ISNUMBER($E10))),AND($F10&lt;&gt;"",NOT(ISNUMBER($F10))),AND($G10&lt;&gt;"",NOT(ISNUMBER($G10)))),"Fecha no válida"&amp;" · ","")&amp;IF(AND(ISNUMBER($AM10),ISNUMBER($AN10),$AM10&gt;$AN10),"Inicio posterior a fecha límite"&amp;" · ","")&amp;IF(AND($V10="Macro",$H10&lt;&gt;"",OR(NOT(ISNUMBER($H10)),$H10&lt;0,$H10&gt;1)),"Peso fuera de rango"&amp;" · ","")&amp;IF(AND($V10="Sub",$H10&lt;&gt;""),"Las subactividades no llevan peso (valen igual dentro de su macroactividad)"&amp;" · ","")&amp;IF(AND(N($W10)&gt;0,COUNT($I10:$L10)&gt;0),"Con subactividades: deje vacías las semanas (se calculan solas)"&amp;" · ","")&amp;IF((COUNTIF($I10:$L10,"&gt;1")+COUNTIF($I10:$L10,"&lt;0")+COUNTA($I10:$L10)-COUNT($I10:$L10))&gt;0,"Avance fuera de rango 0-100%"&amp;" · ","")&amp;IF(OR(AND($J10&lt;&gt;"",$J10&lt;$I10),AND($K10&lt;&gt;"",$K10&lt;MAX($I10:$J10)),AND($L10&lt;&gt;"",$L10&lt;MAX($I10:$K10))),"Avance semanal decreciente"&amp;" · ","")&amp;IF(AND(ISNUMBER($AN10),$AN10&lt;FechaRef,IF($V10="Sub",N($X10),N($M10))&lt;1),"Vencida"&amp;" · ","")&amp;IF(AND(ObsObligatoria="Sí",ISNUMBER($AN10),$AN10&lt;FechaRef,IF($V10="Sub",N($X10),N($M10))&lt;1,$Q10=""),"Vencida sin observación"&amp;" · ",""))="","✔ OK","⚠ "&amp;LEFT(IF($C10="","Falta el nombre de la actividad"&amp;" · ","")&amp;IF(AND($V10="Sub",N($U10)=0),"Subactividad sin macroactividad arriba"&amp;" · ","")&amp;IF($AM10="","Sin fecha de inicio"&amp;" · ","")&amp;IF($AN10="","Sin fecha límite"&amp;" · ","")&amp;IF(AND(LEFT($C10,11)="[Jefatura] ",N($AL10)=0),"No se encuentra en la hoja de la jefatura (elíjala de nuevo en la lista)"&amp;" · ","")&amp;IF(OR(AND($E10&lt;&gt;"",NOT(ISNUMBER($E10))),AND($F10&lt;&gt;"",NOT(ISNUMBER($F10))),AND($G10&lt;&gt;"",NOT(ISNUMBER($G10)))),"Fecha no válida"&amp;" · ","")&amp;IF(AND(ISNUMBER($AM10),ISNUMBER($AN10),$AM10&gt;$AN10),"Inicio posterior a fecha límite"&amp;" · ","")&amp;IF(AND($V10="Macro",$H10&lt;&gt;"",OR(NOT(ISNUMBER($H10)),$H10&lt;0,$H10&gt;1)),"Peso fuera de rango"&amp;" · ","")&amp;IF(AND($V10="Sub",$H10&lt;&gt;""),"Las subactividades no llevan peso (valen igual dentro de su macroactividad)"&amp;" · ","")&amp;IF(AND(N($W10)&gt;0,COUNT($I10:$L10)&gt;0),"Con subactividades: deje vacías las semanas (se calculan solas)"&amp;" · ","")&amp;IF((COUNTIF($I10:$L10,"&gt;1")+COUNTIF($I10:$L10,"&lt;0")+COUNTA($I10:$L10)-COUNT($I10:$L10))&gt;0,"Avance fuera de rango 0-100%"&amp;" · ","")&amp;IF(OR(AND($J10&lt;&gt;"",$J10&lt;$I10),AND($K10&lt;&gt;"",$K10&lt;MAX($I10:$J10)),AND($L10&lt;&gt;"",$L10&lt;MAX($I10:$K10))),"Avance semanal decreciente"&amp;" · ","")&amp;IF(AND(ISNUMBER($AN10),$AN10&lt;FechaRef,IF($V10="Sub",N($X10),N($M10))&lt;1),"Vencida"&amp;" · ","")&amp;IF(AND(ObsObligatoria="Sí",ISNUMBER($AN10),$AN10&lt;FechaRef,IF($V10="Sub",N($X10),N($M10))&lt;1,$Q10=""),"Vencida sin observación"&amp;" · ",""),LEN(IF($C10="","Falta el nombre de la actividad"&amp;" · ","")&amp;IF(AND($V10="Sub",N($U10)=0),"Subactividad sin macroactividad arriba"&amp;" · ","")&amp;IF($AM10="","Sin fecha de inicio"&amp;" · ","")&amp;IF($AN10="","Sin fecha límite"&amp;" · ","")&amp;IF(AND(LEFT($C10,11)="[Jefatura] ",N($AL10)=0),"No se encuentra en la hoja de la jefatura (elíjala de nuevo en la lista)"&amp;" · ","")&amp;IF(OR(AND($E10&lt;&gt;"",NOT(ISNUMBER($E10))),AND($F10&lt;&gt;"",NOT(ISNUMBER($F10))),AND($G10&lt;&gt;"",NOT(ISNUMBER($G10)))),"Fecha no válida"&amp;" · ","")&amp;IF(AND(ISNUMBER($AM10),ISNUMBER($AN10),$AM10&gt;$AN10),"Inicio posterior a fecha límite"&amp;" · ","")&amp;IF(AND($V10="Macro",$H10&lt;&gt;"",OR(NOT(ISNUMBER($H10)),$H10&lt;0,$H10&gt;1)),"Peso fuera de rango"&amp;" · ","")&amp;IF(AND($V10="Sub",$H10&lt;&gt;""),"Las subactividades no llevan peso (valen igual dentro de su macroactividad)"&amp;" · ","")&amp;IF(AND(N($W10)&gt;0,COUNT($I10:$L10)&gt;0),"Con subactividades: deje vacías las semanas (se calculan solas)"&amp;" · ","")&amp;IF((COUNTIF($I10:$L10,"&gt;1")+COUNTIF($I10:$L10,"&lt;0")+COUNTA($I10:$L10)-COUNT($I10:$L10))&gt;0,"Avance fuera de rango 0-100%"&amp;" · ","")&amp;IF(OR(AND($J10&lt;&gt;"",$J10&lt;$I10),AND($K10&lt;&gt;"",$K10&lt;MAX($I10:$J10)),AND($L10&lt;&gt;"",$L10&lt;MAX($I10:$K10))),"Avance semanal decreciente"&amp;" · ","")&amp;IF(AND(ISNUMBER($AN10),$AN10&lt;FechaRef,IF($V10="Sub",N($X10),N($M10))&lt;1),"Vencida"&amp;" · ","")&amp;IF(AND(ObsObligatoria="Sí",ISNUMBER($AN10),$AN10&lt;FechaRef,IF($V10="Sub",N($X10),N($M10))&lt;1,$Q10=""),"Vencida sin observación"&amp;" · ",""))-3)))</f>
        <v/>
      </c>
      <c r="S10" s="64">
        <f>IF(NOT((COUNTA($B10:$D10)+COUNTA($G10:$L10)+COUNTA($Q10))&gt;0),"",IF(AND($V10="Sub",N($U10)&gt;0),IF(ISNUMBER(INDEX($AM$5:$AM$1000,$U10-4)),DATE(YEAR(INDEX($AM$5:$AM$1000,$U10-4)),MONTH(INDEX($AM$5:$AM$1000,$U10-4)),1),IF(ISNUMBER(INDEX($AN$5:$AN$1000,$U10-4)),DATE(YEAR(INDEX($AN$5:$AN$1000,$U10-4)),MONTH(INDEX($AN$5:$AN$1000,$U10-4)),1),MesCiclo)),IF(ISNUMBER($AM10),DATE(YEAR($AM10),MONTH($AM10),1),IF(ISNUMBER($AN10),DATE(YEAR($AN10),MONTH($AN10),1),MesCiclo))))</f>
        <v/>
      </c>
      <c r="T10" s="62">
        <f>IF(OR($S10="",$S10&lt;&gt;MesCiclo,$V10&lt;&gt;"Macro"),"",COUNTIFS($S$5:$S10,MesCiclo,$V$5:$V10,"Macro"))</f>
        <v/>
      </c>
      <c r="U10" s="62">
        <f>IF($V10="","",IF($V10="Macro",ROW(),IFERROR(LOOKUP(2,1/($V$5:$V10="Macro"),ROW($V$5:$V10)),0)))</f>
        <v/>
      </c>
      <c r="V10" s="62">
        <f>IF(NOT((COUNTA($B10:$D10)+COUNTA($G10:$L10)+COUNTA($Q10))&gt;0),"",IF($B10="Subactividad","Sub","Macro"))</f>
        <v/>
      </c>
      <c r="W10" s="62">
        <f>IF($V10="Macro",COUNTIFS($U$5:$U$1000,ROW(),$V$5:$V$1000,"Sub"),"")</f>
        <v/>
      </c>
      <c r="X10" s="62">
        <f>IF($V10="","",IF(ISNUMBER($G10),1,IFERROR(LOOKUP(2,1/($I10:$L10&lt;&gt;""),$I10:$L10),0)))</f>
        <v/>
      </c>
      <c r="Y10" s="62">
        <f>IF($V10="","",IF(AND(ISNUMBER($G10),$G10&lt;=IF($S10=MesCiclo,InicioCiclo,$S10+MOD(2-WEEKDAY($S10),7))+6),1,IF(ISNUMBER($I10),$I10,0)))</f>
        <v/>
      </c>
      <c r="Z10" s="62">
        <f>IF($V10="","",IF(AND(ISNUMBER($G10),$G10&lt;=IF($S10=MesCiclo,InicioCiclo,$S10+MOD(2-WEEKDAY($S10),7))+13),1,IF(ISNUMBER($J10),$J10,$Y10)))</f>
        <v/>
      </c>
      <c r="AA10" s="62">
        <f>IF($V10="","",IF(AND(ISNUMBER($G10),$G10&lt;=IF($S10=MesCiclo,InicioCiclo,$S10+MOD(2-WEEKDAY($S10),7))+20),1,IF(ISNUMBER($K10),$K10,$Z10)))</f>
        <v/>
      </c>
      <c r="AB10" s="62">
        <f>IF($V10="","",IF(AND(ISNUMBER($G10),$G10&lt;=IF($S10=MesCiclo,InicioCiclo,$S10+MOD(2-WEEKDAY($S10),7))+27),1,IF(ISNUMBER($L10),$L10,$AA10)))</f>
        <v/>
      </c>
      <c r="AC10" s="62">
        <f>IF($V10="","",IF(AND(ISNUMBER($G10),$G10&lt;=IF($S10=MesCiclo,InicioCiclo,$S10+MOD(2-WEEKDAY($S10),7))+6),1,IF(N($W10)&gt;0,AVERAGEIFS($Y$5:$Y$1000,$U$5:$U$1000,ROW(),$V$5:$V$1000,"Sub"),$Y10)))</f>
        <v/>
      </c>
      <c r="AD10" s="62">
        <f>IF($V10="","",IF(AND(ISNUMBER($G10),$G10&lt;=IF($S10=MesCiclo,InicioCiclo,$S10+MOD(2-WEEKDAY($S10),7))+13),1,IF(N($W10)&gt;0,AVERAGEIFS($Z$5:$Z$1000,$U$5:$U$1000,ROW(),$V$5:$V$1000,"Sub"),$Z10)))</f>
        <v/>
      </c>
      <c r="AE10" s="62">
        <f>IF($V10="","",IF(AND(ISNUMBER($G10),$G10&lt;=IF($S10=MesCiclo,InicioCiclo,$S10+MOD(2-WEEKDAY($S10),7))+20),1,IF(N($W10)&gt;0,AVERAGEIFS($AA$5:$AA$1000,$U$5:$U$1000,ROW(),$V$5:$V$1000,"Sub"),$AA10)))</f>
        <v/>
      </c>
      <c r="AF10" s="62">
        <f>IF($V10="","",IF(AND(ISNUMBER($G10),$G10&lt;=IF($S10=MesCiclo,InicioCiclo,$S10+MOD(2-WEEKDAY($S10),7))+27),1,IF(N($W10)&gt;0,AVERAGEIFS($AB$5:$AB$1000,$U$5:$U$1000,ROW(),$V$5:$V$1000,"Sub"),$AB10)))</f>
        <v/>
      </c>
      <c r="AG10" s="62">
        <f>IF($V10&lt;&gt;"Macro","",IF(COUNTIFS($S$5:$S$1000,$S10,$V$5:$V$1000,"Macro",$H$5:$H$1000,"&gt;0")=0,1/COUNTIFS($S$5:$S$1000,$S10,$V$5:$V$1000,"Macro"),IF(AND(ISNUMBER($H10),N($H10)&gt;0),$H10,SUMIFS($H$5:$H$1000,$S$5:$S$1000,$S10,$V$5:$V$1000,"Macro")/COUNTIFS($S$5:$S$1000,$S10,$V$5:$V$1000,"Macro",$H$5:$H$1000,"&gt;0"))/(COUNTIFS($S$5:$S$1000,$S10,$V$5:$V$1000,"Macro")*SUMIFS($H$5:$H$1000,$S$5:$S$1000,$S10,$V$5:$V$1000,"Macro")/COUNTIFS($S$5:$S$1000,$S10,$V$5:$V$1000,"Macro",$H$5:$H$1000,"&gt;0"))))</f>
        <v/>
      </c>
      <c r="AH10" s="62" t="n"/>
      <c r="AI10" s="62" t="n"/>
      <c r="AJ10" s="62" t="n"/>
      <c r="AK10" s="62" t="n"/>
      <c r="AL10" s="62">
        <f>IF(LEFT($C10,11)="[Jefatura] ",IFERROR(MATCH("Riesgo Normativo|"&amp;MID($C10,12,500),rDname_ADM,0),0),"")</f>
        <v/>
      </c>
      <c r="AM10" s="62">
        <f>IF(N($AL10)&gt;0,INDEX(rIni_ADM,$AL10),IF(ISNUMBER($E10),$E10,""))</f>
        <v/>
      </c>
      <c r="AN10" s="62">
        <f>IF(N($AL10)&gt;0,INDEX(rLim_ADM,$AL10),IF(ISNUMBER($F10),$F10,""))</f>
        <v/>
      </c>
    </row>
    <row r="11">
      <c r="A11" s="56">
        <f>IF(NOT((COUNTA($B11:$D11)+COUNTA($G11:$L11)+COUNTA($Q11))&gt;0),"",IF($V11="Macro",COUNTIFS($V$5:$V11,"Macro",$S$5:$S11,$S11),IF(N($U11)=0,"?",COUNTIFS(INDEX($V$5:$V$1000,1):INDEX($V$5:$V$1000,$U11-4),"Macro",INDEX($S$5:$S$1000,1):INDEX($S$5:$S$1000,$U11-4),INDEX($S$5:$S$1000,$U11-4))&amp;"."&amp;COUNTIFS($U$5:$U11,$U11,$V$5:$V11,"Sub"))))</f>
        <v/>
      </c>
      <c r="B11" s="57" t="n"/>
      <c r="C11" s="58" t="n"/>
      <c r="D11" s="58" t="n"/>
      <c r="E11" s="59">
        <f>IF(N($AL11)&gt;0,INDEX(rIni_ADM,$AL11),"")</f>
        <v/>
      </c>
      <c r="F11" s="59">
        <f>IF(N($AL11)&gt;0,INDEX(rLim_ADM,$AL11),"")</f>
        <v/>
      </c>
      <c r="G11" s="59" t="n"/>
      <c r="H11" s="60" t="n"/>
      <c r="I11" s="60" t="n"/>
      <c r="J11" s="60" t="n"/>
      <c r="K11" s="60" t="n"/>
      <c r="L11" s="60" t="n"/>
      <c r="M11" s="61">
        <f>IF(NOT((COUNTA($B11:$D11)+COUNTA($G11:$L11)+COUNTA($Q11))&gt;0),"",IF($V11="Sub",IFERROR($X11/INDEX($W$5:$W$1000,$U11-4),""),IF(ISNUMBER($G11),1,IF(N($W11)&gt;0,AVERAGEIFS($X$5:$X$1000,$U$5:$U$1000,ROW(),$V$5:$V$1000,"Sub"),$X11))))</f>
        <v/>
      </c>
      <c r="N11" s="56">
        <f>IF(OR($M11="",$V11="Sub"),"",IF($M11&gt;=1,"Completado",IF($M11&gt;0,"En curso","Pendiente")))</f>
        <v/>
      </c>
      <c r="O11" s="56">
        <f>IF(OR(NOT((COUNTA($B11:$D11)+COUNTA($G11:$L11)+COUNTA($Q11))&gt;0),$V11="Sub"),"",IF(ISNUMBER($G11),IF(AND(ISNUMBER($AN11),$G11&gt;$AN11),"Cumplida con "&amp;($G11-$AN11)&amp;IF($G11-$AN11=1," día"," días")&amp;" de retraso","Cumplida"),IF(N($M11)&gt;=1,"Cumplida",IF(NOT(ISNUMBER($AN11)),"Sin fecha límite",IF($AN11&lt;FechaRef,"Vencida hace "&amp;(FechaRef-$AN11)&amp;IF(FechaRef-$AN11=1," día"," días"),IF($AN11=FechaRef,"Vence hoy",IF($AN11-FechaRef&lt;=DiasAlerta,"Vence en "&amp;($AN11-FechaRef)&amp;IF($AN11-FechaRef=1," día"," días"),"En plazo")))))))</f>
        <v/>
      </c>
      <c r="P11" s="62" t="n"/>
      <c r="Q11" s="58" t="n"/>
      <c r="R11" s="63">
        <f>IF(NOT((COUNTA($B11:$D11)+COUNTA($G11:$L11)+COUNTA($Q11))&gt;0),"",IF((IF($C11="","Falta el nombre de la actividad"&amp;" · ","")&amp;IF(AND($V11="Sub",N($U11)=0),"Subactividad sin macroactividad arriba"&amp;" · ","")&amp;IF($AM11="","Sin fecha de inicio"&amp;" · ","")&amp;IF($AN11="","Sin fecha límite"&amp;" · ","")&amp;IF(AND(LEFT($C11,11)="[Jefatura] ",N($AL11)=0),"No se encuentra en la hoja de la jefatura (elíjala de nuevo en la lista)"&amp;" · ","")&amp;IF(OR(AND($E11&lt;&gt;"",NOT(ISNUMBER($E11))),AND($F11&lt;&gt;"",NOT(ISNUMBER($F11))),AND($G11&lt;&gt;"",NOT(ISNUMBER($G11)))),"Fecha no válida"&amp;" · ","")&amp;IF(AND(ISNUMBER($AM11),ISNUMBER($AN11),$AM11&gt;$AN11),"Inicio posterior a fecha límite"&amp;" · ","")&amp;IF(AND($V11="Macro",$H11&lt;&gt;"",OR(NOT(ISNUMBER($H11)),$H11&lt;0,$H11&gt;1)),"Peso fuera de rango"&amp;" · ","")&amp;IF(AND($V11="Sub",$H11&lt;&gt;""),"Las subactividades no llevan peso (valen igual dentro de su macroactividad)"&amp;" · ","")&amp;IF(AND(N($W11)&gt;0,COUNT($I11:$L11)&gt;0),"Con subactividades: deje vacías las semanas (se calculan solas)"&amp;" · ","")&amp;IF((COUNTIF($I11:$L11,"&gt;1")+COUNTIF($I11:$L11,"&lt;0")+COUNTA($I11:$L11)-COUNT($I11:$L11))&gt;0,"Avance fuera de rango 0-100%"&amp;" · ","")&amp;IF(OR(AND($J11&lt;&gt;"",$J11&lt;$I11),AND($K11&lt;&gt;"",$K11&lt;MAX($I11:$J11)),AND($L11&lt;&gt;"",$L11&lt;MAX($I11:$K11))),"Avance semanal decreciente"&amp;" · ","")&amp;IF(AND(ISNUMBER($AN11),$AN11&lt;FechaRef,IF($V11="Sub",N($X11),N($M11))&lt;1),"Vencida"&amp;" · ","")&amp;IF(AND(ObsObligatoria="Sí",ISNUMBER($AN11),$AN11&lt;FechaRef,IF($V11="Sub",N($X11),N($M11))&lt;1,$Q11=""),"Vencida sin observación"&amp;" · ",""))="","✔ OK","⚠ "&amp;LEFT(IF($C11="","Falta el nombre de la actividad"&amp;" · ","")&amp;IF(AND($V11="Sub",N($U11)=0),"Subactividad sin macroactividad arriba"&amp;" · ","")&amp;IF($AM11="","Sin fecha de inicio"&amp;" · ","")&amp;IF($AN11="","Sin fecha límite"&amp;" · ","")&amp;IF(AND(LEFT($C11,11)="[Jefatura] ",N($AL11)=0),"No se encuentra en la hoja de la jefatura (elíjala de nuevo en la lista)"&amp;" · ","")&amp;IF(OR(AND($E11&lt;&gt;"",NOT(ISNUMBER($E11))),AND($F11&lt;&gt;"",NOT(ISNUMBER($F11))),AND($G11&lt;&gt;"",NOT(ISNUMBER($G11)))),"Fecha no válida"&amp;" · ","")&amp;IF(AND(ISNUMBER($AM11),ISNUMBER($AN11),$AM11&gt;$AN11),"Inicio posterior a fecha límite"&amp;" · ","")&amp;IF(AND($V11="Macro",$H11&lt;&gt;"",OR(NOT(ISNUMBER($H11)),$H11&lt;0,$H11&gt;1)),"Peso fuera de rango"&amp;" · ","")&amp;IF(AND($V11="Sub",$H11&lt;&gt;""),"Las subactividades no llevan peso (valen igual dentro de su macroactividad)"&amp;" · ","")&amp;IF(AND(N($W11)&gt;0,COUNT($I11:$L11)&gt;0),"Con subactividades: deje vacías las semanas (se calculan solas)"&amp;" · ","")&amp;IF((COUNTIF($I11:$L11,"&gt;1")+COUNTIF($I11:$L11,"&lt;0")+COUNTA($I11:$L11)-COUNT($I11:$L11))&gt;0,"Avance fuera de rango 0-100%"&amp;" · ","")&amp;IF(OR(AND($J11&lt;&gt;"",$J11&lt;$I11),AND($K11&lt;&gt;"",$K11&lt;MAX($I11:$J11)),AND($L11&lt;&gt;"",$L11&lt;MAX($I11:$K11))),"Avance semanal decreciente"&amp;" · ","")&amp;IF(AND(ISNUMBER($AN11),$AN11&lt;FechaRef,IF($V11="Sub",N($X11),N($M11))&lt;1),"Vencida"&amp;" · ","")&amp;IF(AND(ObsObligatoria="Sí",ISNUMBER($AN11),$AN11&lt;FechaRef,IF($V11="Sub",N($X11),N($M11))&lt;1,$Q11=""),"Vencida sin observación"&amp;" · ",""),LEN(IF($C11="","Falta el nombre de la actividad"&amp;" · ","")&amp;IF(AND($V11="Sub",N($U11)=0),"Subactividad sin macroactividad arriba"&amp;" · ","")&amp;IF($AM11="","Sin fecha de inicio"&amp;" · ","")&amp;IF($AN11="","Sin fecha límite"&amp;" · ","")&amp;IF(AND(LEFT($C11,11)="[Jefatura] ",N($AL11)=0),"No se encuentra en la hoja de la jefatura (elíjala de nuevo en la lista)"&amp;" · ","")&amp;IF(OR(AND($E11&lt;&gt;"",NOT(ISNUMBER($E11))),AND($F11&lt;&gt;"",NOT(ISNUMBER($F11))),AND($G11&lt;&gt;"",NOT(ISNUMBER($G11)))),"Fecha no válida"&amp;" · ","")&amp;IF(AND(ISNUMBER($AM11),ISNUMBER($AN11),$AM11&gt;$AN11),"Inicio posterior a fecha límite"&amp;" · ","")&amp;IF(AND($V11="Macro",$H11&lt;&gt;"",OR(NOT(ISNUMBER($H11)),$H11&lt;0,$H11&gt;1)),"Peso fuera de rango"&amp;" · ","")&amp;IF(AND($V11="Sub",$H11&lt;&gt;""),"Las subactividades no llevan peso (valen igual dentro de su macroactividad)"&amp;" · ","")&amp;IF(AND(N($W11)&gt;0,COUNT($I11:$L11)&gt;0),"Con subactividades: deje vacías las semanas (se calculan solas)"&amp;" · ","")&amp;IF((COUNTIF($I11:$L11,"&gt;1")+COUNTIF($I11:$L11,"&lt;0")+COUNTA($I11:$L11)-COUNT($I11:$L11))&gt;0,"Avance fuera de rango 0-100%"&amp;" · ","")&amp;IF(OR(AND($J11&lt;&gt;"",$J11&lt;$I11),AND($K11&lt;&gt;"",$K11&lt;MAX($I11:$J11)),AND($L11&lt;&gt;"",$L11&lt;MAX($I11:$K11))),"Avance semanal decreciente"&amp;" · ","")&amp;IF(AND(ISNUMBER($AN11),$AN11&lt;FechaRef,IF($V11="Sub",N($X11),N($M11))&lt;1),"Vencida"&amp;" · ","")&amp;IF(AND(ObsObligatoria="Sí",ISNUMBER($AN11),$AN11&lt;FechaRef,IF($V11="Sub",N($X11),N($M11))&lt;1,$Q11=""),"Vencida sin observación"&amp;" · ",""))-3)))</f>
        <v/>
      </c>
      <c r="S11" s="64">
        <f>IF(NOT((COUNTA($B11:$D11)+COUNTA($G11:$L11)+COUNTA($Q11))&gt;0),"",IF(AND($V11="Sub",N($U11)&gt;0),IF(ISNUMBER(INDEX($AM$5:$AM$1000,$U11-4)),DATE(YEAR(INDEX($AM$5:$AM$1000,$U11-4)),MONTH(INDEX($AM$5:$AM$1000,$U11-4)),1),IF(ISNUMBER(INDEX($AN$5:$AN$1000,$U11-4)),DATE(YEAR(INDEX($AN$5:$AN$1000,$U11-4)),MONTH(INDEX($AN$5:$AN$1000,$U11-4)),1),MesCiclo)),IF(ISNUMBER($AM11),DATE(YEAR($AM11),MONTH($AM11),1),IF(ISNUMBER($AN11),DATE(YEAR($AN11),MONTH($AN11),1),MesCiclo))))</f>
        <v/>
      </c>
      <c r="T11" s="62">
        <f>IF(OR($S11="",$S11&lt;&gt;MesCiclo,$V11&lt;&gt;"Macro"),"",COUNTIFS($S$5:$S11,MesCiclo,$V$5:$V11,"Macro"))</f>
        <v/>
      </c>
      <c r="U11" s="62">
        <f>IF($V11="","",IF($V11="Macro",ROW(),IFERROR(LOOKUP(2,1/($V$5:$V11="Macro"),ROW($V$5:$V11)),0)))</f>
        <v/>
      </c>
      <c r="V11" s="62">
        <f>IF(NOT((COUNTA($B11:$D11)+COUNTA($G11:$L11)+COUNTA($Q11))&gt;0),"",IF($B11="Subactividad","Sub","Macro"))</f>
        <v/>
      </c>
      <c r="W11" s="62">
        <f>IF($V11="Macro",COUNTIFS($U$5:$U$1000,ROW(),$V$5:$V$1000,"Sub"),"")</f>
        <v/>
      </c>
      <c r="X11" s="62">
        <f>IF($V11="","",IF(ISNUMBER($G11),1,IFERROR(LOOKUP(2,1/($I11:$L11&lt;&gt;""),$I11:$L11),0)))</f>
        <v/>
      </c>
      <c r="Y11" s="62">
        <f>IF($V11="","",IF(AND(ISNUMBER($G11),$G11&lt;=IF($S11=MesCiclo,InicioCiclo,$S11+MOD(2-WEEKDAY($S11),7))+6),1,IF(ISNUMBER($I11),$I11,0)))</f>
        <v/>
      </c>
      <c r="Z11" s="62">
        <f>IF($V11="","",IF(AND(ISNUMBER($G11),$G11&lt;=IF($S11=MesCiclo,InicioCiclo,$S11+MOD(2-WEEKDAY($S11),7))+13),1,IF(ISNUMBER($J11),$J11,$Y11)))</f>
        <v/>
      </c>
      <c r="AA11" s="62">
        <f>IF($V11="","",IF(AND(ISNUMBER($G11),$G11&lt;=IF($S11=MesCiclo,InicioCiclo,$S11+MOD(2-WEEKDAY($S11),7))+20),1,IF(ISNUMBER($K11),$K11,$Z11)))</f>
        <v/>
      </c>
      <c r="AB11" s="62">
        <f>IF($V11="","",IF(AND(ISNUMBER($G11),$G11&lt;=IF($S11=MesCiclo,InicioCiclo,$S11+MOD(2-WEEKDAY($S11),7))+27),1,IF(ISNUMBER($L11),$L11,$AA11)))</f>
        <v/>
      </c>
      <c r="AC11" s="62">
        <f>IF($V11="","",IF(AND(ISNUMBER($G11),$G11&lt;=IF($S11=MesCiclo,InicioCiclo,$S11+MOD(2-WEEKDAY($S11),7))+6),1,IF(N($W11)&gt;0,AVERAGEIFS($Y$5:$Y$1000,$U$5:$U$1000,ROW(),$V$5:$V$1000,"Sub"),$Y11)))</f>
        <v/>
      </c>
      <c r="AD11" s="62">
        <f>IF($V11="","",IF(AND(ISNUMBER($G11),$G11&lt;=IF($S11=MesCiclo,InicioCiclo,$S11+MOD(2-WEEKDAY($S11),7))+13),1,IF(N($W11)&gt;0,AVERAGEIFS($Z$5:$Z$1000,$U$5:$U$1000,ROW(),$V$5:$V$1000,"Sub"),$Z11)))</f>
        <v/>
      </c>
      <c r="AE11" s="62">
        <f>IF($V11="","",IF(AND(ISNUMBER($G11),$G11&lt;=IF($S11=MesCiclo,InicioCiclo,$S11+MOD(2-WEEKDAY($S11),7))+20),1,IF(N($W11)&gt;0,AVERAGEIFS($AA$5:$AA$1000,$U$5:$U$1000,ROW(),$V$5:$V$1000,"Sub"),$AA11)))</f>
        <v/>
      </c>
      <c r="AF11" s="62">
        <f>IF($V11="","",IF(AND(ISNUMBER($G11),$G11&lt;=IF($S11=MesCiclo,InicioCiclo,$S11+MOD(2-WEEKDAY($S11),7))+27),1,IF(N($W11)&gt;0,AVERAGEIFS($AB$5:$AB$1000,$U$5:$U$1000,ROW(),$V$5:$V$1000,"Sub"),$AB11)))</f>
        <v/>
      </c>
      <c r="AG11" s="62">
        <f>IF($V11&lt;&gt;"Macro","",IF(COUNTIFS($S$5:$S$1000,$S11,$V$5:$V$1000,"Macro",$H$5:$H$1000,"&gt;0")=0,1/COUNTIFS($S$5:$S$1000,$S11,$V$5:$V$1000,"Macro"),IF(AND(ISNUMBER($H11),N($H11)&gt;0),$H11,SUMIFS($H$5:$H$1000,$S$5:$S$1000,$S11,$V$5:$V$1000,"Macro")/COUNTIFS($S$5:$S$1000,$S11,$V$5:$V$1000,"Macro",$H$5:$H$1000,"&gt;0"))/(COUNTIFS($S$5:$S$1000,$S11,$V$5:$V$1000,"Macro")*SUMIFS($H$5:$H$1000,$S$5:$S$1000,$S11,$V$5:$V$1000,"Macro")/COUNTIFS($S$5:$S$1000,$S11,$V$5:$V$1000,"Macro",$H$5:$H$1000,"&gt;0"))))</f>
        <v/>
      </c>
      <c r="AH11" s="62" t="n"/>
      <c r="AI11" s="62" t="n"/>
      <c r="AJ11" s="62" t="n"/>
      <c r="AK11" s="62" t="n"/>
      <c r="AL11" s="62">
        <f>IF(LEFT($C11,11)="[Jefatura] ",IFERROR(MATCH("Riesgo Normativo|"&amp;MID($C11,12,500),rDname_ADM,0),0),"")</f>
        <v/>
      </c>
      <c r="AM11" s="62">
        <f>IF(N($AL11)&gt;0,INDEX(rIni_ADM,$AL11),IF(ISNUMBER($E11),$E11,""))</f>
        <v/>
      </c>
      <c r="AN11" s="62">
        <f>IF(N($AL11)&gt;0,INDEX(rLim_ADM,$AL11),IF(ISNUMBER($F11),$F11,""))</f>
        <v/>
      </c>
    </row>
    <row r="12">
      <c r="A12" s="56">
        <f>IF(NOT((COUNTA($B12:$D12)+COUNTA($G12:$L12)+COUNTA($Q12))&gt;0),"",IF($V12="Macro",COUNTIFS($V$5:$V12,"Macro",$S$5:$S12,$S12),IF(N($U12)=0,"?",COUNTIFS(INDEX($V$5:$V$1000,1):INDEX($V$5:$V$1000,$U12-4),"Macro",INDEX($S$5:$S$1000,1):INDEX($S$5:$S$1000,$U12-4),INDEX($S$5:$S$1000,$U12-4))&amp;"."&amp;COUNTIFS($U$5:$U12,$U12,$V$5:$V12,"Sub"))))</f>
        <v/>
      </c>
      <c r="B12" s="57" t="n"/>
      <c r="C12" s="58" t="n"/>
      <c r="D12" s="58" t="n"/>
      <c r="E12" s="59">
        <f>IF(N($AL12)&gt;0,INDEX(rIni_ADM,$AL12),"")</f>
        <v/>
      </c>
      <c r="F12" s="59">
        <f>IF(N($AL12)&gt;0,INDEX(rLim_ADM,$AL12),"")</f>
        <v/>
      </c>
      <c r="G12" s="59" t="n"/>
      <c r="H12" s="60" t="n"/>
      <c r="I12" s="60" t="n"/>
      <c r="J12" s="60" t="n"/>
      <c r="K12" s="60" t="n"/>
      <c r="L12" s="60" t="n"/>
      <c r="M12" s="61">
        <f>IF(NOT((COUNTA($B12:$D12)+COUNTA($G12:$L12)+COUNTA($Q12))&gt;0),"",IF($V12="Sub",IFERROR($X12/INDEX($W$5:$W$1000,$U12-4),""),IF(ISNUMBER($G12),1,IF(N($W12)&gt;0,AVERAGEIFS($X$5:$X$1000,$U$5:$U$1000,ROW(),$V$5:$V$1000,"Sub"),$X12))))</f>
        <v/>
      </c>
      <c r="N12" s="56">
        <f>IF(OR($M12="",$V12="Sub"),"",IF($M12&gt;=1,"Completado",IF($M12&gt;0,"En curso","Pendiente")))</f>
        <v/>
      </c>
      <c r="O12" s="56">
        <f>IF(OR(NOT((COUNTA($B12:$D12)+COUNTA($G12:$L12)+COUNTA($Q12))&gt;0),$V12="Sub"),"",IF(ISNUMBER($G12),IF(AND(ISNUMBER($AN12),$G12&gt;$AN12),"Cumplida con "&amp;($G12-$AN12)&amp;IF($G12-$AN12=1," día"," días")&amp;" de retraso","Cumplida"),IF(N($M12)&gt;=1,"Cumplida",IF(NOT(ISNUMBER($AN12)),"Sin fecha límite",IF($AN12&lt;FechaRef,"Vencida hace "&amp;(FechaRef-$AN12)&amp;IF(FechaRef-$AN12=1," día"," días"),IF($AN12=FechaRef,"Vence hoy",IF($AN12-FechaRef&lt;=DiasAlerta,"Vence en "&amp;($AN12-FechaRef)&amp;IF($AN12-FechaRef=1," día"," días"),"En plazo")))))))</f>
        <v/>
      </c>
      <c r="P12" s="62" t="n"/>
      <c r="Q12" s="58" t="n"/>
      <c r="R12" s="63">
        <f>IF(NOT((COUNTA($B12:$D12)+COUNTA($G12:$L12)+COUNTA($Q12))&gt;0),"",IF((IF($C12="","Falta el nombre de la actividad"&amp;" · ","")&amp;IF(AND($V12="Sub",N($U12)=0),"Subactividad sin macroactividad arriba"&amp;" · ","")&amp;IF($AM12="","Sin fecha de inicio"&amp;" · ","")&amp;IF($AN12="","Sin fecha límite"&amp;" · ","")&amp;IF(AND(LEFT($C12,11)="[Jefatura] ",N($AL12)=0),"No se encuentra en la hoja de la jefatura (elíjala de nuevo en la lista)"&amp;" · ","")&amp;IF(OR(AND($E12&lt;&gt;"",NOT(ISNUMBER($E12))),AND($F12&lt;&gt;"",NOT(ISNUMBER($F12))),AND($G12&lt;&gt;"",NOT(ISNUMBER($G12)))),"Fecha no válida"&amp;" · ","")&amp;IF(AND(ISNUMBER($AM12),ISNUMBER($AN12),$AM12&gt;$AN12),"Inicio posterior a fecha límite"&amp;" · ","")&amp;IF(AND($V12="Macro",$H12&lt;&gt;"",OR(NOT(ISNUMBER($H12)),$H12&lt;0,$H12&gt;1)),"Peso fuera de rango"&amp;" · ","")&amp;IF(AND($V12="Sub",$H12&lt;&gt;""),"Las subactividades no llevan peso (valen igual dentro de su macroactividad)"&amp;" · ","")&amp;IF(AND(N($W12)&gt;0,COUNT($I12:$L12)&gt;0),"Con subactividades: deje vacías las semanas (se calculan solas)"&amp;" · ","")&amp;IF((COUNTIF($I12:$L12,"&gt;1")+COUNTIF($I12:$L12,"&lt;0")+COUNTA($I12:$L12)-COUNT($I12:$L12))&gt;0,"Avance fuera de rango 0-100%"&amp;" · ","")&amp;IF(OR(AND($J12&lt;&gt;"",$J12&lt;$I12),AND($K12&lt;&gt;"",$K12&lt;MAX($I12:$J12)),AND($L12&lt;&gt;"",$L12&lt;MAX($I12:$K12))),"Avance semanal decreciente"&amp;" · ","")&amp;IF(AND(ISNUMBER($AN12),$AN12&lt;FechaRef,IF($V12="Sub",N($X12),N($M12))&lt;1),"Vencida"&amp;" · ","")&amp;IF(AND(ObsObligatoria="Sí",ISNUMBER($AN12),$AN12&lt;FechaRef,IF($V12="Sub",N($X12),N($M12))&lt;1,$Q12=""),"Vencida sin observación"&amp;" · ",""))="","✔ OK","⚠ "&amp;LEFT(IF($C12="","Falta el nombre de la actividad"&amp;" · ","")&amp;IF(AND($V12="Sub",N($U12)=0),"Subactividad sin macroactividad arriba"&amp;" · ","")&amp;IF($AM12="","Sin fecha de inicio"&amp;" · ","")&amp;IF($AN12="","Sin fecha límite"&amp;" · ","")&amp;IF(AND(LEFT($C12,11)="[Jefatura] ",N($AL12)=0),"No se encuentra en la hoja de la jefatura (elíjala de nuevo en la lista)"&amp;" · ","")&amp;IF(OR(AND($E12&lt;&gt;"",NOT(ISNUMBER($E12))),AND($F12&lt;&gt;"",NOT(ISNUMBER($F12))),AND($G12&lt;&gt;"",NOT(ISNUMBER($G12)))),"Fecha no válida"&amp;" · ","")&amp;IF(AND(ISNUMBER($AM12),ISNUMBER($AN12),$AM12&gt;$AN12),"Inicio posterior a fecha límite"&amp;" · ","")&amp;IF(AND($V12="Macro",$H12&lt;&gt;"",OR(NOT(ISNUMBER($H12)),$H12&lt;0,$H12&gt;1)),"Peso fuera de rango"&amp;" · ","")&amp;IF(AND($V12="Sub",$H12&lt;&gt;""),"Las subactividades no llevan peso (valen igual dentro de su macroactividad)"&amp;" · ","")&amp;IF(AND(N($W12)&gt;0,COUNT($I12:$L12)&gt;0),"Con subactividades: deje vacías las semanas (se calculan solas)"&amp;" · ","")&amp;IF((COUNTIF($I12:$L12,"&gt;1")+COUNTIF($I12:$L12,"&lt;0")+COUNTA($I12:$L12)-COUNT($I12:$L12))&gt;0,"Avance fuera de rango 0-100%"&amp;" · ","")&amp;IF(OR(AND($J12&lt;&gt;"",$J12&lt;$I12),AND($K12&lt;&gt;"",$K12&lt;MAX($I12:$J12)),AND($L12&lt;&gt;"",$L12&lt;MAX($I12:$K12))),"Avance semanal decreciente"&amp;" · ","")&amp;IF(AND(ISNUMBER($AN12),$AN12&lt;FechaRef,IF($V12="Sub",N($X12),N($M12))&lt;1),"Vencida"&amp;" · ","")&amp;IF(AND(ObsObligatoria="Sí",ISNUMBER($AN12),$AN12&lt;FechaRef,IF($V12="Sub",N($X12),N($M12))&lt;1,$Q12=""),"Vencida sin observación"&amp;" · ",""),LEN(IF($C12="","Falta el nombre de la actividad"&amp;" · ","")&amp;IF(AND($V12="Sub",N($U12)=0),"Subactividad sin macroactividad arriba"&amp;" · ","")&amp;IF($AM12="","Sin fecha de inicio"&amp;" · ","")&amp;IF($AN12="","Sin fecha límite"&amp;" · ","")&amp;IF(AND(LEFT($C12,11)="[Jefatura] ",N($AL12)=0),"No se encuentra en la hoja de la jefatura (elíjala de nuevo en la lista)"&amp;" · ","")&amp;IF(OR(AND($E12&lt;&gt;"",NOT(ISNUMBER($E12))),AND($F12&lt;&gt;"",NOT(ISNUMBER($F12))),AND($G12&lt;&gt;"",NOT(ISNUMBER($G12)))),"Fecha no válida"&amp;" · ","")&amp;IF(AND(ISNUMBER($AM12),ISNUMBER($AN12),$AM12&gt;$AN12),"Inicio posterior a fecha límite"&amp;" · ","")&amp;IF(AND($V12="Macro",$H12&lt;&gt;"",OR(NOT(ISNUMBER($H12)),$H12&lt;0,$H12&gt;1)),"Peso fuera de rango"&amp;" · ","")&amp;IF(AND($V12="Sub",$H12&lt;&gt;""),"Las subactividades no llevan peso (valen igual dentro de su macroactividad)"&amp;" · ","")&amp;IF(AND(N($W12)&gt;0,COUNT($I12:$L12)&gt;0),"Con subactividades: deje vacías las semanas (se calculan solas)"&amp;" · ","")&amp;IF((COUNTIF($I12:$L12,"&gt;1")+COUNTIF($I12:$L12,"&lt;0")+COUNTA($I12:$L12)-COUNT($I12:$L12))&gt;0,"Avance fuera de rango 0-100%"&amp;" · ","")&amp;IF(OR(AND($J12&lt;&gt;"",$J12&lt;$I12),AND($K12&lt;&gt;"",$K12&lt;MAX($I12:$J12)),AND($L12&lt;&gt;"",$L12&lt;MAX($I12:$K12))),"Avance semanal decreciente"&amp;" · ","")&amp;IF(AND(ISNUMBER($AN12),$AN12&lt;FechaRef,IF($V12="Sub",N($X12),N($M12))&lt;1),"Vencida"&amp;" · ","")&amp;IF(AND(ObsObligatoria="Sí",ISNUMBER($AN12),$AN12&lt;FechaRef,IF($V12="Sub",N($X12),N($M12))&lt;1,$Q12=""),"Vencida sin observación"&amp;" · ",""))-3)))</f>
        <v/>
      </c>
      <c r="S12" s="64">
        <f>IF(NOT((COUNTA($B12:$D12)+COUNTA($G12:$L12)+COUNTA($Q12))&gt;0),"",IF(AND($V12="Sub",N($U12)&gt;0),IF(ISNUMBER(INDEX($AM$5:$AM$1000,$U12-4)),DATE(YEAR(INDEX($AM$5:$AM$1000,$U12-4)),MONTH(INDEX($AM$5:$AM$1000,$U12-4)),1),IF(ISNUMBER(INDEX($AN$5:$AN$1000,$U12-4)),DATE(YEAR(INDEX($AN$5:$AN$1000,$U12-4)),MONTH(INDEX($AN$5:$AN$1000,$U12-4)),1),MesCiclo)),IF(ISNUMBER($AM12),DATE(YEAR($AM12),MONTH($AM12),1),IF(ISNUMBER($AN12),DATE(YEAR($AN12),MONTH($AN12),1),MesCiclo))))</f>
        <v/>
      </c>
      <c r="T12" s="62">
        <f>IF(OR($S12="",$S12&lt;&gt;MesCiclo,$V12&lt;&gt;"Macro"),"",COUNTIFS($S$5:$S12,MesCiclo,$V$5:$V12,"Macro"))</f>
        <v/>
      </c>
      <c r="U12" s="62">
        <f>IF($V12="","",IF($V12="Macro",ROW(),IFERROR(LOOKUP(2,1/($V$5:$V12="Macro"),ROW($V$5:$V12)),0)))</f>
        <v/>
      </c>
      <c r="V12" s="62">
        <f>IF(NOT((COUNTA($B12:$D12)+COUNTA($G12:$L12)+COUNTA($Q12))&gt;0),"",IF($B12="Subactividad","Sub","Macro"))</f>
        <v/>
      </c>
      <c r="W12" s="62">
        <f>IF($V12="Macro",COUNTIFS($U$5:$U$1000,ROW(),$V$5:$V$1000,"Sub"),"")</f>
        <v/>
      </c>
      <c r="X12" s="62">
        <f>IF($V12="","",IF(ISNUMBER($G12),1,IFERROR(LOOKUP(2,1/($I12:$L12&lt;&gt;""),$I12:$L12),0)))</f>
        <v/>
      </c>
      <c r="Y12" s="62">
        <f>IF($V12="","",IF(AND(ISNUMBER($G12),$G12&lt;=IF($S12=MesCiclo,InicioCiclo,$S12+MOD(2-WEEKDAY($S12),7))+6),1,IF(ISNUMBER($I12),$I12,0)))</f>
        <v/>
      </c>
      <c r="Z12" s="62">
        <f>IF($V12="","",IF(AND(ISNUMBER($G12),$G12&lt;=IF($S12=MesCiclo,InicioCiclo,$S12+MOD(2-WEEKDAY($S12),7))+13),1,IF(ISNUMBER($J12),$J12,$Y12)))</f>
        <v/>
      </c>
      <c r="AA12" s="62">
        <f>IF($V12="","",IF(AND(ISNUMBER($G12),$G12&lt;=IF($S12=MesCiclo,InicioCiclo,$S12+MOD(2-WEEKDAY($S12),7))+20),1,IF(ISNUMBER($K12),$K12,$Z12)))</f>
        <v/>
      </c>
      <c r="AB12" s="62">
        <f>IF($V12="","",IF(AND(ISNUMBER($G12),$G12&lt;=IF($S12=MesCiclo,InicioCiclo,$S12+MOD(2-WEEKDAY($S12),7))+27),1,IF(ISNUMBER($L12),$L12,$AA12)))</f>
        <v/>
      </c>
      <c r="AC12" s="62">
        <f>IF($V12="","",IF(AND(ISNUMBER($G12),$G12&lt;=IF($S12=MesCiclo,InicioCiclo,$S12+MOD(2-WEEKDAY($S12),7))+6),1,IF(N($W12)&gt;0,AVERAGEIFS($Y$5:$Y$1000,$U$5:$U$1000,ROW(),$V$5:$V$1000,"Sub"),$Y12)))</f>
        <v/>
      </c>
      <c r="AD12" s="62">
        <f>IF($V12="","",IF(AND(ISNUMBER($G12),$G12&lt;=IF($S12=MesCiclo,InicioCiclo,$S12+MOD(2-WEEKDAY($S12),7))+13),1,IF(N($W12)&gt;0,AVERAGEIFS($Z$5:$Z$1000,$U$5:$U$1000,ROW(),$V$5:$V$1000,"Sub"),$Z12)))</f>
        <v/>
      </c>
      <c r="AE12" s="62">
        <f>IF($V12="","",IF(AND(ISNUMBER($G12),$G12&lt;=IF($S12=MesCiclo,InicioCiclo,$S12+MOD(2-WEEKDAY($S12),7))+20),1,IF(N($W12)&gt;0,AVERAGEIFS($AA$5:$AA$1000,$U$5:$U$1000,ROW(),$V$5:$V$1000,"Sub"),$AA12)))</f>
        <v/>
      </c>
      <c r="AF12" s="62">
        <f>IF($V12="","",IF(AND(ISNUMBER($G12),$G12&lt;=IF($S12=MesCiclo,InicioCiclo,$S12+MOD(2-WEEKDAY($S12),7))+27),1,IF(N($W12)&gt;0,AVERAGEIFS($AB$5:$AB$1000,$U$5:$U$1000,ROW(),$V$5:$V$1000,"Sub"),$AB12)))</f>
        <v/>
      </c>
      <c r="AG12" s="62">
        <f>IF($V12&lt;&gt;"Macro","",IF(COUNTIFS($S$5:$S$1000,$S12,$V$5:$V$1000,"Macro",$H$5:$H$1000,"&gt;0")=0,1/COUNTIFS($S$5:$S$1000,$S12,$V$5:$V$1000,"Macro"),IF(AND(ISNUMBER($H12),N($H12)&gt;0),$H12,SUMIFS($H$5:$H$1000,$S$5:$S$1000,$S12,$V$5:$V$1000,"Macro")/COUNTIFS($S$5:$S$1000,$S12,$V$5:$V$1000,"Macro",$H$5:$H$1000,"&gt;0"))/(COUNTIFS($S$5:$S$1000,$S12,$V$5:$V$1000,"Macro")*SUMIFS($H$5:$H$1000,$S$5:$S$1000,$S12,$V$5:$V$1000,"Macro")/COUNTIFS($S$5:$S$1000,$S12,$V$5:$V$1000,"Macro",$H$5:$H$1000,"&gt;0"))))</f>
        <v/>
      </c>
      <c r="AH12" s="62" t="n"/>
      <c r="AI12" s="62" t="n"/>
      <c r="AJ12" s="62" t="n"/>
      <c r="AK12" s="62" t="n"/>
      <c r="AL12" s="62">
        <f>IF(LEFT($C12,11)="[Jefatura] ",IFERROR(MATCH("Riesgo Normativo|"&amp;MID($C12,12,500),rDname_ADM,0),0),"")</f>
        <v/>
      </c>
      <c r="AM12" s="62">
        <f>IF(N($AL12)&gt;0,INDEX(rIni_ADM,$AL12),IF(ISNUMBER($E12),$E12,""))</f>
        <v/>
      </c>
      <c r="AN12" s="62">
        <f>IF(N($AL12)&gt;0,INDEX(rLim_ADM,$AL12),IF(ISNUMBER($F12),$F12,""))</f>
        <v/>
      </c>
    </row>
    <row r="13">
      <c r="A13" s="56">
        <f>IF(NOT((COUNTA($B13:$D13)+COUNTA($G13:$L13)+COUNTA($Q13))&gt;0),"",IF($V13="Macro",COUNTIFS($V$5:$V13,"Macro",$S$5:$S13,$S13),IF(N($U13)=0,"?",COUNTIFS(INDEX($V$5:$V$1000,1):INDEX($V$5:$V$1000,$U13-4),"Macro",INDEX($S$5:$S$1000,1):INDEX($S$5:$S$1000,$U13-4),INDEX($S$5:$S$1000,$U13-4))&amp;"."&amp;COUNTIFS($U$5:$U13,$U13,$V$5:$V13,"Sub"))))</f>
        <v/>
      </c>
      <c r="B13" s="57" t="n"/>
      <c r="C13" s="58" t="n"/>
      <c r="D13" s="58" t="n"/>
      <c r="E13" s="59">
        <f>IF(N($AL13)&gt;0,INDEX(rIni_ADM,$AL13),"")</f>
        <v/>
      </c>
      <c r="F13" s="59">
        <f>IF(N($AL13)&gt;0,INDEX(rLim_ADM,$AL13),"")</f>
        <v/>
      </c>
      <c r="G13" s="59" t="n"/>
      <c r="H13" s="60" t="n"/>
      <c r="I13" s="60" t="n"/>
      <c r="J13" s="60" t="n"/>
      <c r="K13" s="60" t="n"/>
      <c r="L13" s="60" t="n"/>
      <c r="M13" s="61">
        <f>IF(NOT((COUNTA($B13:$D13)+COUNTA($G13:$L13)+COUNTA($Q13))&gt;0),"",IF($V13="Sub",IFERROR($X13/INDEX($W$5:$W$1000,$U13-4),""),IF(ISNUMBER($G13),1,IF(N($W13)&gt;0,AVERAGEIFS($X$5:$X$1000,$U$5:$U$1000,ROW(),$V$5:$V$1000,"Sub"),$X13))))</f>
        <v/>
      </c>
      <c r="N13" s="56">
        <f>IF(OR($M13="",$V13="Sub"),"",IF($M13&gt;=1,"Completado",IF($M13&gt;0,"En curso","Pendiente")))</f>
        <v/>
      </c>
      <c r="O13" s="56">
        <f>IF(OR(NOT((COUNTA($B13:$D13)+COUNTA($G13:$L13)+COUNTA($Q13))&gt;0),$V13="Sub"),"",IF(ISNUMBER($G13),IF(AND(ISNUMBER($AN13),$G13&gt;$AN13),"Cumplida con "&amp;($G13-$AN13)&amp;IF($G13-$AN13=1," día"," días")&amp;" de retraso","Cumplida"),IF(N($M13)&gt;=1,"Cumplida",IF(NOT(ISNUMBER($AN13)),"Sin fecha límite",IF($AN13&lt;FechaRef,"Vencida hace "&amp;(FechaRef-$AN13)&amp;IF(FechaRef-$AN13=1," día"," días"),IF($AN13=FechaRef,"Vence hoy",IF($AN13-FechaRef&lt;=DiasAlerta,"Vence en "&amp;($AN13-FechaRef)&amp;IF($AN13-FechaRef=1," día"," días"),"En plazo")))))))</f>
        <v/>
      </c>
      <c r="P13" s="62" t="n"/>
      <c r="Q13" s="58" t="n"/>
      <c r="R13" s="63">
        <f>IF(NOT((COUNTA($B13:$D13)+COUNTA($G13:$L13)+COUNTA($Q13))&gt;0),"",IF((IF($C13="","Falta el nombre de la actividad"&amp;" · ","")&amp;IF(AND($V13="Sub",N($U13)=0),"Subactividad sin macroactividad arriba"&amp;" · ","")&amp;IF($AM13="","Sin fecha de inicio"&amp;" · ","")&amp;IF($AN13="","Sin fecha límite"&amp;" · ","")&amp;IF(AND(LEFT($C13,11)="[Jefatura] ",N($AL13)=0),"No se encuentra en la hoja de la jefatura (elíjala de nuevo en la lista)"&amp;" · ","")&amp;IF(OR(AND($E13&lt;&gt;"",NOT(ISNUMBER($E13))),AND($F13&lt;&gt;"",NOT(ISNUMBER($F13))),AND($G13&lt;&gt;"",NOT(ISNUMBER($G13)))),"Fecha no válida"&amp;" · ","")&amp;IF(AND(ISNUMBER($AM13),ISNUMBER($AN13),$AM13&gt;$AN13),"Inicio posterior a fecha límite"&amp;" · ","")&amp;IF(AND($V13="Macro",$H13&lt;&gt;"",OR(NOT(ISNUMBER($H13)),$H13&lt;0,$H13&gt;1)),"Peso fuera de rango"&amp;" · ","")&amp;IF(AND($V13="Sub",$H13&lt;&gt;""),"Las subactividades no llevan peso (valen igual dentro de su macroactividad)"&amp;" · ","")&amp;IF(AND(N($W13)&gt;0,COUNT($I13:$L13)&gt;0),"Con subactividades: deje vacías las semanas (se calculan solas)"&amp;" · ","")&amp;IF((COUNTIF($I13:$L13,"&gt;1")+COUNTIF($I13:$L13,"&lt;0")+COUNTA($I13:$L13)-COUNT($I13:$L13))&gt;0,"Avance fuera de rango 0-100%"&amp;" · ","")&amp;IF(OR(AND($J13&lt;&gt;"",$J13&lt;$I13),AND($K13&lt;&gt;"",$K13&lt;MAX($I13:$J13)),AND($L13&lt;&gt;"",$L13&lt;MAX($I13:$K13))),"Avance semanal decreciente"&amp;" · ","")&amp;IF(AND(ISNUMBER($AN13),$AN13&lt;FechaRef,IF($V13="Sub",N($X13),N($M13))&lt;1),"Vencida"&amp;" · ","")&amp;IF(AND(ObsObligatoria="Sí",ISNUMBER($AN13),$AN13&lt;FechaRef,IF($V13="Sub",N($X13),N($M13))&lt;1,$Q13=""),"Vencida sin observación"&amp;" · ",""))="","✔ OK","⚠ "&amp;LEFT(IF($C13="","Falta el nombre de la actividad"&amp;" · ","")&amp;IF(AND($V13="Sub",N($U13)=0),"Subactividad sin macroactividad arriba"&amp;" · ","")&amp;IF($AM13="","Sin fecha de inicio"&amp;" · ","")&amp;IF($AN13="","Sin fecha límite"&amp;" · ","")&amp;IF(AND(LEFT($C13,11)="[Jefatura] ",N($AL13)=0),"No se encuentra en la hoja de la jefatura (elíjala de nuevo en la lista)"&amp;" · ","")&amp;IF(OR(AND($E13&lt;&gt;"",NOT(ISNUMBER($E13))),AND($F13&lt;&gt;"",NOT(ISNUMBER($F13))),AND($G13&lt;&gt;"",NOT(ISNUMBER($G13)))),"Fecha no válida"&amp;" · ","")&amp;IF(AND(ISNUMBER($AM13),ISNUMBER($AN13),$AM13&gt;$AN13),"Inicio posterior a fecha límite"&amp;" · ","")&amp;IF(AND($V13="Macro",$H13&lt;&gt;"",OR(NOT(ISNUMBER($H13)),$H13&lt;0,$H13&gt;1)),"Peso fuera de rango"&amp;" · ","")&amp;IF(AND($V13="Sub",$H13&lt;&gt;""),"Las subactividades no llevan peso (valen igual dentro de su macroactividad)"&amp;" · ","")&amp;IF(AND(N($W13)&gt;0,COUNT($I13:$L13)&gt;0),"Con subactividades: deje vacías las semanas (se calculan solas)"&amp;" · ","")&amp;IF((COUNTIF($I13:$L13,"&gt;1")+COUNTIF($I13:$L13,"&lt;0")+COUNTA($I13:$L13)-COUNT($I13:$L13))&gt;0,"Avance fuera de rango 0-100%"&amp;" · ","")&amp;IF(OR(AND($J13&lt;&gt;"",$J13&lt;$I13),AND($K13&lt;&gt;"",$K13&lt;MAX($I13:$J13)),AND($L13&lt;&gt;"",$L13&lt;MAX($I13:$K13))),"Avance semanal decreciente"&amp;" · ","")&amp;IF(AND(ISNUMBER($AN13),$AN13&lt;FechaRef,IF($V13="Sub",N($X13),N($M13))&lt;1),"Vencida"&amp;" · ","")&amp;IF(AND(ObsObligatoria="Sí",ISNUMBER($AN13),$AN13&lt;FechaRef,IF($V13="Sub",N($X13),N($M13))&lt;1,$Q13=""),"Vencida sin observación"&amp;" · ",""),LEN(IF($C13="","Falta el nombre de la actividad"&amp;" · ","")&amp;IF(AND($V13="Sub",N($U13)=0),"Subactividad sin macroactividad arriba"&amp;" · ","")&amp;IF($AM13="","Sin fecha de inicio"&amp;" · ","")&amp;IF($AN13="","Sin fecha límite"&amp;" · ","")&amp;IF(AND(LEFT($C13,11)="[Jefatura] ",N($AL13)=0),"No se encuentra en la hoja de la jefatura (elíjala de nuevo en la lista)"&amp;" · ","")&amp;IF(OR(AND($E13&lt;&gt;"",NOT(ISNUMBER($E13))),AND($F13&lt;&gt;"",NOT(ISNUMBER($F13))),AND($G13&lt;&gt;"",NOT(ISNUMBER($G13)))),"Fecha no válida"&amp;" · ","")&amp;IF(AND(ISNUMBER($AM13),ISNUMBER($AN13),$AM13&gt;$AN13),"Inicio posterior a fecha límite"&amp;" · ","")&amp;IF(AND($V13="Macro",$H13&lt;&gt;"",OR(NOT(ISNUMBER($H13)),$H13&lt;0,$H13&gt;1)),"Peso fuera de rango"&amp;" · ","")&amp;IF(AND($V13="Sub",$H13&lt;&gt;""),"Las subactividades no llevan peso (valen igual dentro de su macroactividad)"&amp;" · ","")&amp;IF(AND(N($W13)&gt;0,COUNT($I13:$L13)&gt;0),"Con subactividades: deje vacías las semanas (se calculan solas)"&amp;" · ","")&amp;IF((COUNTIF($I13:$L13,"&gt;1")+COUNTIF($I13:$L13,"&lt;0")+COUNTA($I13:$L13)-COUNT($I13:$L13))&gt;0,"Avance fuera de rango 0-100%"&amp;" · ","")&amp;IF(OR(AND($J13&lt;&gt;"",$J13&lt;$I13),AND($K13&lt;&gt;"",$K13&lt;MAX($I13:$J13)),AND($L13&lt;&gt;"",$L13&lt;MAX($I13:$K13))),"Avance semanal decreciente"&amp;" · ","")&amp;IF(AND(ISNUMBER($AN13),$AN13&lt;FechaRef,IF($V13="Sub",N($X13),N($M13))&lt;1),"Vencida"&amp;" · ","")&amp;IF(AND(ObsObligatoria="Sí",ISNUMBER($AN13),$AN13&lt;FechaRef,IF($V13="Sub",N($X13),N($M13))&lt;1,$Q13=""),"Vencida sin observación"&amp;" · ",""))-3)))</f>
        <v/>
      </c>
      <c r="S13" s="64">
        <f>IF(NOT((COUNTA($B13:$D13)+COUNTA($G13:$L13)+COUNTA($Q13))&gt;0),"",IF(AND($V13="Sub",N($U13)&gt;0),IF(ISNUMBER(INDEX($AM$5:$AM$1000,$U13-4)),DATE(YEAR(INDEX($AM$5:$AM$1000,$U13-4)),MONTH(INDEX($AM$5:$AM$1000,$U13-4)),1),IF(ISNUMBER(INDEX($AN$5:$AN$1000,$U13-4)),DATE(YEAR(INDEX($AN$5:$AN$1000,$U13-4)),MONTH(INDEX($AN$5:$AN$1000,$U13-4)),1),MesCiclo)),IF(ISNUMBER($AM13),DATE(YEAR($AM13),MONTH($AM13),1),IF(ISNUMBER($AN13),DATE(YEAR($AN13),MONTH($AN13),1),MesCiclo))))</f>
        <v/>
      </c>
      <c r="T13" s="62">
        <f>IF(OR($S13="",$S13&lt;&gt;MesCiclo,$V13&lt;&gt;"Macro"),"",COUNTIFS($S$5:$S13,MesCiclo,$V$5:$V13,"Macro"))</f>
        <v/>
      </c>
      <c r="U13" s="62">
        <f>IF($V13="","",IF($V13="Macro",ROW(),IFERROR(LOOKUP(2,1/($V$5:$V13="Macro"),ROW($V$5:$V13)),0)))</f>
        <v/>
      </c>
      <c r="V13" s="62">
        <f>IF(NOT((COUNTA($B13:$D13)+COUNTA($G13:$L13)+COUNTA($Q13))&gt;0),"",IF($B13="Subactividad","Sub","Macro"))</f>
        <v/>
      </c>
      <c r="W13" s="62">
        <f>IF($V13="Macro",COUNTIFS($U$5:$U$1000,ROW(),$V$5:$V$1000,"Sub"),"")</f>
        <v/>
      </c>
      <c r="X13" s="62">
        <f>IF($V13="","",IF(ISNUMBER($G13),1,IFERROR(LOOKUP(2,1/($I13:$L13&lt;&gt;""),$I13:$L13),0)))</f>
        <v/>
      </c>
      <c r="Y13" s="62">
        <f>IF($V13="","",IF(AND(ISNUMBER($G13),$G13&lt;=IF($S13=MesCiclo,InicioCiclo,$S13+MOD(2-WEEKDAY($S13),7))+6),1,IF(ISNUMBER($I13),$I13,0)))</f>
        <v/>
      </c>
      <c r="Z13" s="62">
        <f>IF($V13="","",IF(AND(ISNUMBER($G13),$G13&lt;=IF($S13=MesCiclo,InicioCiclo,$S13+MOD(2-WEEKDAY($S13),7))+13),1,IF(ISNUMBER($J13),$J13,$Y13)))</f>
        <v/>
      </c>
      <c r="AA13" s="62">
        <f>IF($V13="","",IF(AND(ISNUMBER($G13),$G13&lt;=IF($S13=MesCiclo,InicioCiclo,$S13+MOD(2-WEEKDAY($S13),7))+20),1,IF(ISNUMBER($K13),$K13,$Z13)))</f>
        <v/>
      </c>
      <c r="AB13" s="62">
        <f>IF($V13="","",IF(AND(ISNUMBER($G13),$G13&lt;=IF($S13=MesCiclo,InicioCiclo,$S13+MOD(2-WEEKDAY($S13),7))+27),1,IF(ISNUMBER($L13),$L13,$AA13)))</f>
        <v/>
      </c>
      <c r="AC13" s="62">
        <f>IF($V13="","",IF(AND(ISNUMBER($G13),$G13&lt;=IF($S13=MesCiclo,InicioCiclo,$S13+MOD(2-WEEKDAY($S13),7))+6),1,IF(N($W13)&gt;0,AVERAGEIFS($Y$5:$Y$1000,$U$5:$U$1000,ROW(),$V$5:$V$1000,"Sub"),$Y13)))</f>
        <v/>
      </c>
      <c r="AD13" s="62">
        <f>IF($V13="","",IF(AND(ISNUMBER($G13),$G13&lt;=IF($S13=MesCiclo,InicioCiclo,$S13+MOD(2-WEEKDAY($S13),7))+13),1,IF(N($W13)&gt;0,AVERAGEIFS($Z$5:$Z$1000,$U$5:$U$1000,ROW(),$V$5:$V$1000,"Sub"),$Z13)))</f>
        <v/>
      </c>
      <c r="AE13" s="62">
        <f>IF($V13="","",IF(AND(ISNUMBER($G13),$G13&lt;=IF($S13=MesCiclo,InicioCiclo,$S13+MOD(2-WEEKDAY($S13),7))+20),1,IF(N($W13)&gt;0,AVERAGEIFS($AA$5:$AA$1000,$U$5:$U$1000,ROW(),$V$5:$V$1000,"Sub"),$AA13)))</f>
        <v/>
      </c>
      <c r="AF13" s="62">
        <f>IF($V13="","",IF(AND(ISNUMBER($G13),$G13&lt;=IF($S13=MesCiclo,InicioCiclo,$S13+MOD(2-WEEKDAY($S13),7))+27),1,IF(N($W13)&gt;0,AVERAGEIFS($AB$5:$AB$1000,$U$5:$U$1000,ROW(),$V$5:$V$1000,"Sub"),$AB13)))</f>
        <v/>
      </c>
      <c r="AG13" s="62">
        <f>IF($V13&lt;&gt;"Macro","",IF(COUNTIFS($S$5:$S$1000,$S13,$V$5:$V$1000,"Macro",$H$5:$H$1000,"&gt;0")=0,1/COUNTIFS($S$5:$S$1000,$S13,$V$5:$V$1000,"Macro"),IF(AND(ISNUMBER($H13),N($H13)&gt;0),$H13,SUMIFS($H$5:$H$1000,$S$5:$S$1000,$S13,$V$5:$V$1000,"Macro")/COUNTIFS($S$5:$S$1000,$S13,$V$5:$V$1000,"Macro",$H$5:$H$1000,"&gt;0"))/(COUNTIFS($S$5:$S$1000,$S13,$V$5:$V$1000,"Macro")*SUMIFS($H$5:$H$1000,$S$5:$S$1000,$S13,$V$5:$V$1000,"Macro")/COUNTIFS($S$5:$S$1000,$S13,$V$5:$V$1000,"Macro",$H$5:$H$1000,"&gt;0"))))</f>
        <v/>
      </c>
      <c r="AH13" s="62" t="n"/>
      <c r="AI13" s="62" t="n"/>
      <c r="AJ13" s="62" t="n"/>
      <c r="AK13" s="62" t="n"/>
      <c r="AL13" s="62">
        <f>IF(LEFT($C13,11)="[Jefatura] ",IFERROR(MATCH("Riesgo Normativo|"&amp;MID($C13,12,500),rDname_ADM,0),0),"")</f>
        <v/>
      </c>
      <c r="AM13" s="62">
        <f>IF(N($AL13)&gt;0,INDEX(rIni_ADM,$AL13),IF(ISNUMBER($E13),$E13,""))</f>
        <v/>
      </c>
      <c r="AN13" s="62">
        <f>IF(N($AL13)&gt;0,INDEX(rLim_ADM,$AL13),IF(ISNUMBER($F13),$F13,""))</f>
        <v/>
      </c>
    </row>
    <row r="14">
      <c r="A14" s="56">
        <f>IF(NOT((COUNTA($B14:$D14)+COUNTA($G14:$L14)+COUNTA($Q14))&gt;0),"",IF($V14="Macro",COUNTIFS($V$5:$V14,"Macro",$S$5:$S14,$S14),IF(N($U14)=0,"?",COUNTIFS(INDEX($V$5:$V$1000,1):INDEX($V$5:$V$1000,$U14-4),"Macro",INDEX($S$5:$S$1000,1):INDEX($S$5:$S$1000,$U14-4),INDEX($S$5:$S$1000,$U14-4))&amp;"."&amp;COUNTIFS($U$5:$U14,$U14,$V$5:$V14,"Sub"))))</f>
        <v/>
      </c>
      <c r="B14" s="57" t="n"/>
      <c r="C14" s="58" t="n"/>
      <c r="D14" s="58" t="n"/>
      <c r="E14" s="59">
        <f>IF(N($AL14)&gt;0,INDEX(rIni_ADM,$AL14),"")</f>
        <v/>
      </c>
      <c r="F14" s="59">
        <f>IF(N($AL14)&gt;0,INDEX(rLim_ADM,$AL14),"")</f>
        <v/>
      </c>
      <c r="G14" s="59" t="n"/>
      <c r="H14" s="60" t="n"/>
      <c r="I14" s="60" t="n"/>
      <c r="J14" s="60" t="n"/>
      <c r="K14" s="60" t="n"/>
      <c r="L14" s="60" t="n"/>
      <c r="M14" s="61">
        <f>IF(NOT((COUNTA($B14:$D14)+COUNTA($G14:$L14)+COUNTA($Q14))&gt;0),"",IF($V14="Sub",IFERROR($X14/INDEX($W$5:$W$1000,$U14-4),""),IF(ISNUMBER($G14),1,IF(N($W14)&gt;0,AVERAGEIFS($X$5:$X$1000,$U$5:$U$1000,ROW(),$V$5:$V$1000,"Sub"),$X14))))</f>
        <v/>
      </c>
      <c r="N14" s="56">
        <f>IF(OR($M14="",$V14="Sub"),"",IF($M14&gt;=1,"Completado",IF($M14&gt;0,"En curso","Pendiente")))</f>
        <v/>
      </c>
      <c r="O14" s="56">
        <f>IF(OR(NOT((COUNTA($B14:$D14)+COUNTA($G14:$L14)+COUNTA($Q14))&gt;0),$V14="Sub"),"",IF(ISNUMBER($G14),IF(AND(ISNUMBER($AN14),$G14&gt;$AN14),"Cumplida con "&amp;($G14-$AN14)&amp;IF($G14-$AN14=1," día"," días")&amp;" de retraso","Cumplida"),IF(N($M14)&gt;=1,"Cumplida",IF(NOT(ISNUMBER($AN14)),"Sin fecha límite",IF($AN14&lt;FechaRef,"Vencida hace "&amp;(FechaRef-$AN14)&amp;IF(FechaRef-$AN14=1," día"," días"),IF($AN14=FechaRef,"Vence hoy",IF($AN14-FechaRef&lt;=DiasAlerta,"Vence en "&amp;($AN14-FechaRef)&amp;IF($AN14-FechaRef=1," día"," días"),"En plazo")))))))</f>
        <v/>
      </c>
      <c r="P14" s="62" t="n"/>
      <c r="Q14" s="58" t="n"/>
      <c r="R14" s="63">
        <f>IF(NOT((COUNTA($B14:$D14)+COUNTA($G14:$L14)+COUNTA($Q14))&gt;0),"",IF((IF($C14="","Falta el nombre de la actividad"&amp;" · ","")&amp;IF(AND($V14="Sub",N($U14)=0),"Subactividad sin macroactividad arriba"&amp;" · ","")&amp;IF($AM14="","Sin fecha de inicio"&amp;" · ","")&amp;IF($AN14="","Sin fecha límite"&amp;" · ","")&amp;IF(AND(LEFT($C14,11)="[Jefatura] ",N($AL14)=0),"No se encuentra en la hoja de la jefatura (elíjala de nuevo en la lista)"&amp;" · ","")&amp;IF(OR(AND($E14&lt;&gt;"",NOT(ISNUMBER($E14))),AND($F14&lt;&gt;"",NOT(ISNUMBER($F14))),AND($G14&lt;&gt;"",NOT(ISNUMBER($G14)))),"Fecha no válida"&amp;" · ","")&amp;IF(AND(ISNUMBER($AM14),ISNUMBER($AN14),$AM14&gt;$AN14),"Inicio posterior a fecha límite"&amp;" · ","")&amp;IF(AND($V14="Macro",$H14&lt;&gt;"",OR(NOT(ISNUMBER($H14)),$H14&lt;0,$H14&gt;1)),"Peso fuera de rango"&amp;" · ","")&amp;IF(AND($V14="Sub",$H14&lt;&gt;""),"Las subactividades no llevan peso (valen igual dentro de su macroactividad)"&amp;" · ","")&amp;IF(AND(N($W14)&gt;0,COUNT($I14:$L14)&gt;0),"Con subactividades: deje vacías las semanas (se calculan solas)"&amp;" · ","")&amp;IF((COUNTIF($I14:$L14,"&gt;1")+COUNTIF($I14:$L14,"&lt;0")+COUNTA($I14:$L14)-COUNT($I14:$L14))&gt;0,"Avance fuera de rango 0-100%"&amp;" · ","")&amp;IF(OR(AND($J14&lt;&gt;"",$J14&lt;$I14),AND($K14&lt;&gt;"",$K14&lt;MAX($I14:$J14)),AND($L14&lt;&gt;"",$L14&lt;MAX($I14:$K14))),"Avance semanal decreciente"&amp;" · ","")&amp;IF(AND(ISNUMBER($AN14),$AN14&lt;FechaRef,IF($V14="Sub",N($X14),N($M14))&lt;1),"Vencida"&amp;" · ","")&amp;IF(AND(ObsObligatoria="Sí",ISNUMBER($AN14),$AN14&lt;FechaRef,IF($V14="Sub",N($X14),N($M14))&lt;1,$Q14=""),"Vencida sin observación"&amp;" · ",""))="","✔ OK","⚠ "&amp;LEFT(IF($C14="","Falta el nombre de la actividad"&amp;" · ","")&amp;IF(AND($V14="Sub",N($U14)=0),"Subactividad sin macroactividad arriba"&amp;" · ","")&amp;IF($AM14="","Sin fecha de inicio"&amp;" · ","")&amp;IF($AN14="","Sin fecha límite"&amp;" · ","")&amp;IF(AND(LEFT($C14,11)="[Jefatura] ",N($AL14)=0),"No se encuentra en la hoja de la jefatura (elíjala de nuevo en la lista)"&amp;" · ","")&amp;IF(OR(AND($E14&lt;&gt;"",NOT(ISNUMBER($E14))),AND($F14&lt;&gt;"",NOT(ISNUMBER($F14))),AND($G14&lt;&gt;"",NOT(ISNUMBER($G14)))),"Fecha no válida"&amp;" · ","")&amp;IF(AND(ISNUMBER($AM14),ISNUMBER($AN14),$AM14&gt;$AN14),"Inicio posterior a fecha límite"&amp;" · ","")&amp;IF(AND($V14="Macro",$H14&lt;&gt;"",OR(NOT(ISNUMBER($H14)),$H14&lt;0,$H14&gt;1)),"Peso fuera de rango"&amp;" · ","")&amp;IF(AND($V14="Sub",$H14&lt;&gt;""),"Las subactividades no llevan peso (valen igual dentro de su macroactividad)"&amp;" · ","")&amp;IF(AND(N($W14)&gt;0,COUNT($I14:$L14)&gt;0),"Con subactividades: deje vacías las semanas (se calculan solas)"&amp;" · ","")&amp;IF((COUNTIF($I14:$L14,"&gt;1")+COUNTIF($I14:$L14,"&lt;0")+COUNTA($I14:$L14)-COUNT($I14:$L14))&gt;0,"Avance fuera de rango 0-100%"&amp;" · ","")&amp;IF(OR(AND($J14&lt;&gt;"",$J14&lt;$I14),AND($K14&lt;&gt;"",$K14&lt;MAX($I14:$J14)),AND($L14&lt;&gt;"",$L14&lt;MAX($I14:$K14))),"Avance semanal decreciente"&amp;" · ","")&amp;IF(AND(ISNUMBER($AN14),$AN14&lt;FechaRef,IF($V14="Sub",N($X14),N($M14))&lt;1),"Vencida"&amp;" · ","")&amp;IF(AND(ObsObligatoria="Sí",ISNUMBER($AN14),$AN14&lt;FechaRef,IF($V14="Sub",N($X14),N($M14))&lt;1,$Q14=""),"Vencida sin observación"&amp;" · ",""),LEN(IF($C14="","Falta el nombre de la actividad"&amp;" · ","")&amp;IF(AND($V14="Sub",N($U14)=0),"Subactividad sin macroactividad arriba"&amp;" · ","")&amp;IF($AM14="","Sin fecha de inicio"&amp;" · ","")&amp;IF($AN14="","Sin fecha límite"&amp;" · ","")&amp;IF(AND(LEFT($C14,11)="[Jefatura] ",N($AL14)=0),"No se encuentra en la hoja de la jefatura (elíjala de nuevo en la lista)"&amp;" · ","")&amp;IF(OR(AND($E14&lt;&gt;"",NOT(ISNUMBER($E14))),AND($F14&lt;&gt;"",NOT(ISNUMBER($F14))),AND($G14&lt;&gt;"",NOT(ISNUMBER($G14)))),"Fecha no válida"&amp;" · ","")&amp;IF(AND(ISNUMBER($AM14),ISNUMBER($AN14),$AM14&gt;$AN14),"Inicio posterior a fecha límite"&amp;" · ","")&amp;IF(AND($V14="Macro",$H14&lt;&gt;"",OR(NOT(ISNUMBER($H14)),$H14&lt;0,$H14&gt;1)),"Peso fuera de rango"&amp;" · ","")&amp;IF(AND($V14="Sub",$H14&lt;&gt;""),"Las subactividades no llevan peso (valen igual dentro de su macroactividad)"&amp;" · ","")&amp;IF(AND(N($W14)&gt;0,COUNT($I14:$L14)&gt;0),"Con subactividades: deje vacías las semanas (se calculan solas)"&amp;" · ","")&amp;IF((COUNTIF($I14:$L14,"&gt;1")+COUNTIF($I14:$L14,"&lt;0")+COUNTA($I14:$L14)-COUNT($I14:$L14))&gt;0,"Avance fuera de rango 0-100%"&amp;" · ","")&amp;IF(OR(AND($J14&lt;&gt;"",$J14&lt;$I14),AND($K14&lt;&gt;"",$K14&lt;MAX($I14:$J14)),AND($L14&lt;&gt;"",$L14&lt;MAX($I14:$K14))),"Avance semanal decreciente"&amp;" · ","")&amp;IF(AND(ISNUMBER($AN14),$AN14&lt;FechaRef,IF($V14="Sub",N($X14),N($M14))&lt;1),"Vencida"&amp;" · ","")&amp;IF(AND(ObsObligatoria="Sí",ISNUMBER($AN14),$AN14&lt;FechaRef,IF($V14="Sub",N($X14),N($M14))&lt;1,$Q14=""),"Vencida sin observación"&amp;" · ",""))-3)))</f>
        <v/>
      </c>
      <c r="S14" s="64">
        <f>IF(NOT((COUNTA($B14:$D14)+COUNTA($G14:$L14)+COUNTA($Q14))&gt;0),"",IF(AND($V14="Sub",N($U14)&gt;0),IF(ISNUMBER(INDEX($AM$5:$AM$1000,$U14-4)),DATE(YEAR(INDEX($AM$5:$AM$1000,$U14-4)),MONTH(INDEX($AM$5:$AM$1000,$U14-4)),1),IF(ISNUMBER(INDEX($AN$5:$AN$1000,$U14-4)),DATE(YEAR(INDEX($AN$5:$AN$1000,$U14-4)),MONTH(INDEX($AN$5:$AN$1000,$U14-4)),1),MesCiclo)),IF(ISNUMBER($AM14),DATE(YEAR($AM14),MONTH($AM14),1),IF(ISNUMBER($AN14),DATE(YEAR($AN14),MONTH($AN14),1),MesCiclo))))</f>
        <v/>
      </c>
      <c r="T14" s="62">
        <f>IF(OR($S14="",$S14&lt;&gt;MesCiclo,$V14&lt;&gt;"Macro"),"",COUNTIFS($S$5:$S14,MesCiclo,$V$5:$V14,"Macro"))</f>
        <v/>
      </c>
      <c r="U14" s="62">
        <f>IF($V14="","",IF($V14="Macro",ROW(),IFERROR(LOOKUP(2,1/($V$5:$V14="Macro"),ROW($V$5:$V14)),0)))</f>
        <v/>
      </c>
      <c r="V14" s="62">
        <f>IF(NOT((COUNTA($B14:$D14)+COUNTA($G14:$L14)+COUNTA($Q14))&gt;0),"",IF($B14="Subactividad","Sub","Macro"))</f>
        <v/>
      </c>
      <c r="W14" s="62">
        <f>IF($V14="Macro",COUNTIFS($U$5:$U$1000,ROW(),$V$5:$V$1000,"Sub"),"")</f>
        <v/>
      </c>
      <c r="X14" s="62">
        <f>IF($V14="","",IF(ISNUMBER($G14),1,IFERROR(LOOKUP(2,1/($I14:$L14&lt;&gt;""),$I14:$L14),0)))</f>
        <v/>
      </c>
      <c r="Y14" s="62">
        <f>IF($V14="","",IF(AND(ISNUMBER($G14),$G14&lt;=IF($S14=MesCiclo,InicioCiclo,$S14+MOD(2-WEEKDAY($S14),7))+6),1,IF(ISNUMBER($I14),$I14,0)))</f>
        <v/>
      </c>
      <c r="Z14" s="62">
        <f>IF($V14="","",IF(AND(ISNUMBER($G14),$G14&lt;=IF($S14=MesCiclo,InicioCiclo,$S14+MOD(2-WEEKDAY($S14),7))+13),1,IF(ISNUMBER($J14),$J14,$Y14)))</f>
        <v/>
      </c>
      <c r="AA14" s="62">
        <f>IF($V14="","",IF(AND(ISNUMBER($G14),$G14&lt;=IF($S14=MesCiclo,InicioCiclo,$S14+MOD(2-WEEKDAY($S14),7))+20),1,IF(ISNUMBER($K14),$K14,$Z14)))</f>
        <v/>
      </c>
      <c r="AB14" s="62">
        <f>IF($V14="","",IF(AND(ISNUMBER($G14),$G14&lt;=IF($S14=MesCiclo,InicioCiclo,$S14+MOD(2-WEEKDAY($S14),7))+27),1,IF(ISNUMBER($L14),$L14,$AA14)))</f>
        <v/>
      </c>
      <c r="AC14" s="62">
        <f>IF($V14="","",IF(AND(ISNUMBER($G14),$G14&lt;=IF($S14=MesCiclo,InicioCiclo,$S14+MOD(2-WEEKDAY($S14),7))+6),1,IF(N($W14)&gt;0,AVERAGEIFS($Y$5:$Y$1000,$U$5:$U$1000,ROW(),$V$5:$V$1000,"Sub"),$Y14)))</f>
        <v/>
      </c>
      <c r="AD14" s="62">
        <f>IF($V14="","",IF(AND(ISNUMBER($G14),$G14&lt;=IF($S14=MesCiclo,InicioCiclo,$S14+MOD(2-WEEKDAY($S14),7))+13),1,IF(N($W14)&gt;0,AVERAGEIFS($Z$5:$Z$1000,$U$5:$U$1000,ROW(),$V$5:$V$1000,"Sub"),$Z14)))</f>
        <v/>
      </c>
      <c r="AE14" s="62">
        <f>IF($V14="","",IF(AND(ISNUMBER($G14),$G14&lt;=IF($S14=MesCiclo,InicioCiclo,$S14+MOD(2-WEEKDAY($S14),7))+20),1,IF(N($W14)&gt;0,AVERAGEIFS($AA$5:$AA$1000,$U$5:$U$1000,ROW(),$V$5:$V$1000,"Sub"),$AA14)))</f>
        <v/>
      </c>
      <c r="AF14" s="62">
        <f>IF($V14="","",IF(AND(ISNUMBER($G14),$G14&lt;=IF($S14=MesCiclo,InicioCiclo,$S14+MOD(2-WEEKDAY($S14),7))+27),1,IF(N($W14)&gt;0,AVERAGEIFS($AB$5:$AB$1000,$U$5:$U$1000,ROW(),$V$5:$V$1000,"Sub"),$AB14)))</f>
        <v/>
      </c>
      <c r="AG14" s="62">
        <f>IF($V14&lt;&gt;"Macro","",IF(COUNTIFS($S$5:$S$1000,$S14,$V$5:$V$1000,"Macro",$H$5:$H$1000,"&gt;0")=0,1/COUNTIFS($S$5:$S$1000,$S14,$V$5:$V$1000,"Macro"),IF(AND(ISNUMBER($H14),N($H14)&gt;0),$H14,SUMIFS($H$5:$H$1000,$S$5:$S$1000,$S14,$V$5:$V$1000,"Macro")/COUNTIFS($S$5:$S$1000,$S14,$V$5:$V$1000,"Macro",$H$5:$H$1000,"&gt;0"))/(COUNTIFS($S$5:$S$1000,$S14,$V$5:$V$1000,"Macro")*SUMIFS($H$5:$H$1000,$S$5:$S$1000,$S14,$V$5:$V$1000,"Macro")/COUNTIFS($S$5:$S$1000,$S14,$V$5:$V$1000,"Macro",$H$5:$H$1000,"&gt;0"))))</f>
        <v/>
      </c>
      <c r="AH14" s="62" t="n"/>
      <c r="AI14" s="62" t="n"/>
      <c r="AJ14" s="62" t="n"/>
      <c r="AK14" s="62" t="n"/>
      <c r="AL14" s="62">
        <f>IF(LEFT($C14,11)="[Jefatura] ",IFERROR(MATCH("Riesgo Normativo|"&amp;MID($C14,12,500),rDname_ADM,0),0),"")</f>
        <v/>
      </c>
      <c r="AM14" s="62">
        <f>IF(N($AL14)&gt;0,INDEX(rIni_ADM,$AL14),IF(ISNUMBER($E14),$E14,""))</f>
        <v/>
      </c>
      <c r="AN14" s="62">
        <f>IF(N($AL14)&gt;0,INDEX(rLim_ADM,$AL14),IF(ISNUMBER($F14),$F14,""))</f>
        <v/>
      </c>
    </row>
    <row r="15">
      <c r="A15" s="56">
        <f>IF(NOT((COUNTA($B15:$D15)+COUNTA($G15:$L15)+COUNTA($Q15))&gt;0),"",IF($V15="Macro",COUNTIFS($V$5:$V15,"Macro",$S$5:$S15,$S15),IF(N($U15)=0,"?",COUNTIFS(INDEX($V$5:$V$1000,1):INDEX($V$5:$V$1000,$U15-4),"Macro",INDEX($S$5:$S$1000,1):INDEX($S$5:$S$1000,$U15-4),INDEX($S$5:$S$1000,$U15-4))&amp;"."&amp;COUNTIFS($U$5:$U15,$U15,$V$5:$V15,"Sub"))))</f>
        <v/>
      </c>
      <c r="B15" s="57" t="n"/>
      <c r="C15" s="58" t="n"/>
      <c r="D15" s="58" t="n"/>
      <c r="E15" s="59">
        <f>IF(N($AL15)&gt;0,INDEX(rIni_ADM,$AL15),"")</f>
        <v/>
      </c>
      <c r="F15" s="59">
        <f>IF(N($AL15)&gt;0,INDEX(rLim_ADM,$AL15),"")</f>
        <v/>
      </c>
      <c r="G15" s="59" t="n"/>
      <c r="H15" s="60" t="n"/>
      <c r="I15" s="60" t="n"/>
      <c r="J15" s="60" t="n"/>
      <c r="K15" s="60" t="n"/>
      <c r="L15" s="60" t="n"/>
      <c r="M15" s="61">
        <f>IF(NOT((COUNTA($B15:$D15)+COUNTA($G15:$L15)+COUNTA($Q15))&gt;0),"",IF($V15="Sub",IFERROR($X15/INDEX($W$5:$W$1000,$U15-4),""),IF(ISNUMBER($G15),1,IF(N($W15)&gt;0,AVERAGEIFS($X$5:$X$1000,$U$5:$U$1000,ROW(),$V$5:$V$1000,"Sub"),$X15))))</f>
        <v/>
      </c>
      <c r="N15" s="56">
        <f>IF(OR($M15="",$V15="Sub"),"",IF($M15&gt;=1,"Completado",IF($M15&gt;0,"En curso","Pendiente")))</f>
        <v/>
      </c>
      <c r="O15" s="56">
        <f>IF(OR(NOT((COUNTA($B15:$D15)+COUNTA($G15:$L15)+COUNTA($Q15))&gt;0),$V15="Sub"),"",IF(ISNUMBER($G15),IF(AND(ISNUMBER($AN15),$G15&gt;$AN15),"Cumplida con "&amp;($G15-$AN15)&amp;IF($G15-$AN15=1," día"," días")&amp;" de retraso","Cumplida"),IF(N($M15)&gt;=1,"Cumplida",IF(NOT(ISNUMBER($AN15)),"Sin fecha límite",IF($AN15&lt;FechaRef,"Vencida hace "&amp;(FechaRef-$AN15)&amp;IF(FechaRef-$AN15=1," día"," días"),IF($AN15=FechaRef,"Vence hoy",IF($AN15-FechaRef&lt;=DiasAlerta,"Vence en "&amp;($AN15-FechaRef)&amp;IF($AN15-FechaRef=1," día"," días"),"En plazo")))))))</f>
        <v/>
      </c>
      <c r="P15" s="62" t="n"/>
      <c r="Q15" s="58" t="n"/>
      <c r="R15" s="63">
        <f>IF(NOT((COUNTA($B15:$D15)+COUNTA($G15:$L15)+COUNTA($Q15))&gt;0),"",IF((IF($C15="","Falta el nombre de la actividad"&amp;" · ","")&amp;IF(AND($V15="Sub",N($U15)=0),"Subactividad sin macroactividad arriba"&amp;" · ","")&amp;IF($AM15="","Sin fecha de inicio"&amp;" · ","")&amp;IF($AN15="","Sin fecha límite"&amp;" · ","")&amp;IF(AND(LEFT($C15,11)="[Jefatura] ",N($AL15)=0),"No se encuentra en la hoja de la jefatura (elíjala de nuevo en la lista)"&amp;" · ","")&amp;IF(OR(AND($E15&lt;&gt;"",NOT(ISNUMBER($E15))),AND($F15&lt;&gt;"",NOT(ISNUMBER($F15))),AND($G15&lt;&gt;"",NOT(ISNUMBER($G15)))),"Fecha no válida"&amp;" · ","")&amp;IF(AND(ISNUMBER($AM15),ISNUMBER($AN15),$AM15&gt;$AN15),"Inicio posterior a fecha límite"&amp;" · ","")&amp;IF(AND($V15="Macro",$H15&lt;&gt;"",OR(NOT(ISNUMBER($H15)),$H15&lt;0,$H15&gt;1)),"Peso fuera de rango"&amp;" · ","")&amp;IF(AND($V15="Sub",$H15&lt;&gt;""),"Las subactividades no llevan peso (valen igual dentro de su macroactividad)"&amp;" · ","")&amp;IF(AND(N($W15)&gt;0,COUNT($I15:$L15)&gt;0),"Con subactividades: deje vacías las semanas (se calculan solas)"&amp;" · ","")&amp;IF((COUNTIF($I15:$L15,"&gt;1")+COUNTIF($I15:$L15,"&lt;0")+COUNTA($I15:$L15)-COUNT($I15:$L15))&gt;0,"Avance fuera de rango 0-100%"&amp;" · ","")&amp;IF(OR(AND($J15&lt;&gt;"",$J15&lt;$I15),AND($K15&lt;&gt;"",$K15&lt;MAX($I15:$J15)),AND($L15&lt;&gt;"",$L15&lt;MAX($I15:$K15))),"Avance semanal decreciente"&amp;" · ","")&amp;IF(AND(ISNUMBER($AN15),$AN15&lt;FechaRef,IF($V15="Sub",N($X15),N($M15))&lt;1),"Vencida"&amp;" · ","")&amp;IF(AND(ObsObligatoria="Sí",ISNUMBER($AN15),$AN15&lt;FechaRef,IF($V15="Sub",N($X15),N($M15))&lt;1,$Q15=""),"Vencida sin observación"&amp;" · ",""))="","✔ OK","⚠ "&amp;LEFT(IF($C15="","Falta el nombre de la actividad"&amp;" · ","")&amp;IF(AND($V15="Sub",N($U15)=0),"Subactividad sin macroactividad arriba"&amp;" · ","")&amp;IF($AM15="","Sin fecha de inicio"&amp;" · ","")&amp;IF($AN15="","Sin fecha límite"&amp;" · ","")&amp;IF(AND(LEFT($C15,11)="[Jefatura] ",N($AL15)=0),"No se encuentra en la hoja de la jefatura (elíjala de nuevo en la lista)"&amp;" · ","")&amp;IF(OR(AND($E15&lt;&gt;"",NOT(ISNUMBER($E15))),AND($F15&lt;&gt;"",NOT(ISNUMBER($F15))),AND($G15&lt;&gt;"",NOT(ISNUMBER($G15)))),"Fecha no válida"&amp;" · ","")&amp;IF(AND(ISNUMBER($AM15),ISNUMBER($AN15),$AM15&gt;$AN15),"Inicio posterior a fecha límite"&amp;" · ","")&amp;IF(AND($V15="Macro",$H15&lt;&gt;"",OR(NOT(ISNUMBER($H15)),$H15&lt;0,$H15&gt;1)),"Peso fuera de rango"&amp;" · ","")&amp;IF(AND($V15="Sub",$H15&lt;&gt;""),"Las subactividades no llevan peso (valen igual dentro de su macroactividad)"&amp;" · ","")&amp;IF(AND(N($W15)&gt;0,COUNT($I15:$L15)&gt;0),"Con subactividades: deje vacías las semanas (se calculan solas)"&amp;" · ","")&amp;IF((COUNTIF($I15:$L15,"&gt;1")+COUNTIF($I15:$L15,"&lt;0")+COUNTA($I15:$L15)-COUNT($I15:$L15))&gt;0,"Avance fuera de rango 0-100%"&amp;" · ","")&amp;IF(OR(AND($J15&lt;&gt;"",$J15&lt;$I15),AND($K15&lt;&gt;"",$K15&lt;MAX($I15:$J15)),AND($L15&lt;&gt;"",$L15&lt;MAX($I15:$K15))),"Avance semanal decreciente"&amp;" · ","")&amp;IF(AND(ISNUMBER($AN15),$AN15&lt;FechaRef,IF($V15="Sub",N($X15),N($M15))&lt;1),"Vencida"&amp;" · ","")&amp;IF(AND(ObsObligatoria="Sí",ISNUMBER($AN15),$AN15&lt;FechaRef,IF($V15="Sub",N($X15),N($M15))&lt;1,$Q15=""),"Vencida sin observación"&amp;" · ",""),LEN(IF($C15="","Falta el nombre de la actividad"&amp;" · ","")&amp;IF(AND($V15="Sub",N($U15)=0),"Subactividad sin macroactividad arriba"&amp;" · ","")&amp;IF($AM15="","Sin fecha de inicio"&amp;" · ","")&amp;IF($AN15="","Sin fecha límite"&amp;" · ","")&amp;IF(AND(LEFT($C15,11)="[Jefatura] ",N($AL15)=0),"No se encuentra en la hoja de la jefatura (elíjala de nuevo en la lista)"&amp;" · ","")&amp;IF(OR(AND($E15&lt;&gt;"",NOT(ISNUMBER($E15))),AND($F15&lt;&gt;"",NOT(ISNUMBER($F15))),AND($G15&lt;&gt;"",NOT(ISNUMBER($G15)))),"Fecha no válida"&amp;" · ","")&amp;IF(AND(ISNUMBER($AM15),ISNUMBER($AN15),$AM15&gt;$AN15),"Inicio posterior a fecha límite"&amp;" · ","")&amp;IF(AND($V15="Macro",$H15&lt;&gt;"",OR(NOT(ISNUMBER($H15)),$H15&lt;0,$H15&gt;1)),"Peso fuera de rango"&amp;" · ","")&amp;IF(AND($V15="Sub",$H15&lt;&gt;""),"Las subactividades no llevan peso (valen igual dentro de su macroactividad)"&amp;" · ","")&amp;IF(AND(N($W15)&gt;0,COUNT($I15:$L15)&gt;0),"Con subactividades: deje vacías las semanas (se calculan solas)"&amp;" · ","")&amp;IF((COUNTIF($I15:$L15,"&gt;1")+COUNTIF($I15:$L15,"&lt;0")+COUNTA($I15:$L15)-COUNT($I15:$L15))&gt;0,"Avance fuera de rango 0-100%"&amp;" · ","")&amp;IF(OR(AND($J15&lt;&gt;"",$J15&lt;$I15),AND($K15&lt;&gt;"",$K15&lt;MAX($I15:$J15)),AND($L15&lt;&gt;"",$L15&lt;MAX($I15:$K15))),"Avance semanal decreciente"&amp;" · ","")&amp;IF(AND(ISNUMBER($AN15),$AN15&lt;FechaRef,IF($V15="Sub",N($X15),N($M15))&lt;1),"Vencida"&amp;" · ","")&amp;IF(AND(ObsObligatoria="Sí",ISNUMBER($AN15),$AN15&lt;FechaRef,IF($V15="Sub",N($X15),N($M15))&lt;1,$Q15=""),"Vencida sin observación"&amp;" · ",""))-3)))</f>
        <v/>
      </c>
      <c r="S15" s="64">
        <f>IF(NOT((COUNTA($B15:$D15)+COUNTA($G15:$L15)+COUNTA($Q15))&gt;0),"",IF(AND($V15="Sub",N($U15)&gt;0),IF(ISNUMBER(INDEX($AM$5:$AM$1000,$U15-4)),DATE(YEAR(INDEX($AM$5:$AM$1000,$U15-4)),MONTH(INDEX($AM$5:$AM$1000,$U15-4)),1),IF(ISNUMBER(INDEX($AN$5:$AN$1000,$U15-4)),DATE(YEAR(INDEX($AN$5:$AN$1000,$U15-4)),MONTH(INDEX($AN$5:$AN$1000,$U15-4)),1),MesCiclo)),IF(ISNUMBER($AM15),DATE(YEAR($AM15),MONTH($AM15),1),IF(ISNUMBER($AN15),DATE(YEAR($AN15),MONTH($AN15),1),MesCiclo))))</f>
        <v/>
      </c>
      <c r="T15" s="62">
        <f>IF(OR($S15="",$S15&lt;&gt;MesCiclo,$V15&lt;&gt;"Macro"),"",COUNTIFS($S$5:$S15,MesCiclo,$V$5:$V15,"Macro"))</f>
        <v/>
      </c>
      <c r="U15" s="62">
        <f>IF($V15="","",IF($V15="Macro",ROW(),IFERROR(LOOKUP(2,1/($V$5:$V15="Macro"),ROW($V$5:$V15)),0)))</f>
        <v/>
      </c>
      <c r="V15" s="62">
        <f>IF(NOT((COUNTA($B15:$D15)+COUNTA($G15:$L15)+COUNTA($Q15))&gt;0),"",IF($B15="Subactividad","Sub","Macro"))</f>
        <v/>
      </c>
      <c r="W15" s="62">
        <f>IF($V15="Macro",COUNTIFS($U$5:$U$1000,ROW(),$V$5:$V$1000,"Sub"),"")</f>
        <v/>
      </c>
      <c r="X15" s="62">
        <f>IF($V15="","",IF(ISNUMBER($G15),1,IFERROR(LOOKUP(2,1/($I15:$L15&lt;&gt;""),$I15:$L15),0)))</f>
        <v/>
      </c>
      <c r="Y15" s="62">
        <f>IF($V15="","",IF(AND(ISNUMBER($G15),$G15&lt;=IF($S15=MesCiclo,InicioCiclo,$S15+MOD(2-WEEKDAY($S15),7))+6),1,IF(ISNUMBER($I15),$I15,0)))</f>
        <v/>
      </c>
      <c r="Z15" s="62">
        <f>IF($V15="","",IF(AND(ISNUMBER($G15),$G15&lt;=IF($S15=MesCiclo,InicioCiclo,$S15+MOD(2-WEEKDAY($S15),7))+13),1,IF(ISNUMBER($J15),$J15,$Y15)))</f>
        <v/>
      </c>
      <c r="AA15" s="62">
        <f>IF($V15="","",IF(AND(ISNUMBER($G15),$G15&lt;=IF($S15=MesCiclo,InicioCiclo,$S15+MOD(2-WEEKDAY($S15),7))+20),1,IF(ISNUMBER($K15),$K15,$Z15)))</f>
        <v/>
      </c>
      <c r="AB15" s="62">
        <f>IF($V15="","",IF(AND(ISNUMBER($G15),$G15&lt;=IF($S15=MesCiclo,InicioCiclo,$S15+MOD(2-WEEKDAY($S15),7))+27),1,IF(ISNUMBER($L15),$L15,$AA15)))</f>
        <v/>
      </c>
      <c r="AC15" s="62">
        <f>IF($V15="","",IF(AND(ISNUMBER($G15),$G15&lt;=IF($S15=MesCiclo,InicioCiclo,$S15+MOD(2-WEEKDAY($S15),7))+6),1,IF(N($W15)&gt;0,AVERAGEIFS($Y$5:$Y$1000,$U$5:$U$1000,ROW(),$V$5:$V$1000,"Sub"),$Y15)))</f>
        <v/>
      </c>
      <c r="AD15" s="62">
        <f>IF($V15="","",IF(AND(ISNUMBER($G15),$G15&lt;=IF($S15=MesCiclo,InicioCiclo,$S15+MOD(2-WEEKDAY($S15),7))+13),1,IF(N($W15)&gt;0,AVERAGEIFS($Z$5:$Z$1000,$U$5:$U$1000,ROW(),$V$5:$V$1000,"Sub"),$Z15)))</f>
        <v/>
      </c>
      <c r="AE15" s="62">
        <f>IF($V15="","",IF(AND(ISNUMBER($G15),$G15&lt;=IF($S15=MesCiclo,InicioCiclo,$S15+MOD(2-WEEKDAY($S15),7))+20),1,IF(N($W15)&gt;0,AVERAGEIFS($AA$5:$AA$1000,$U$5:$U$1000,ROW(),$V$5:$V$1000,"Sub"),$AA15)))</f>
        <v/>
      </c>
      <c r="AF15" s="62">
        <f>IF($V15="","",IF(AND(ISNUMBER($G15),$G15&lt;=IF($S15=MesCiclo,InicioCiclo,$S15+MOD(2-WEEKDAY($S15),7))+27),1,IF(N($W15)&gt;0,AVERAGEIFS($AB$5:$AB$1000,$U$5:$U$1000,ROW(),$V$5:$V$1000,"Sub"),$AB15)))</f>
        <v/>
      </c>
      <c r="AG15" s="62">
        <f>IF($V15&lt;&gt;"Macro","",IF(COUNTIFS($S$5:$S$1000,$S15,$V$5:$V$1000,"Macro",$H$5:$H$1000,"&gt;0")=0,1/COUNTIFS($S$5:$S$1000,$S15,$V$5:$V$1000,"Macro"),IF(AND(ISNUMBER($H15),N($H15)&gt;0),$H15,SUMIFS($H$5:$H$1000,$S$5:$S$1000,$S15,$V$5:$V$1000,"Macro")/COUNTIFS($S$5:$S$1000,$S15,$V$5:$V$1000,"Macro",$H$5:$H$1000,"&gt;0"))/(COUNTIFS($S$5:$S$1000,$S15,$V$5:$V$1000,"Macro")*SUMIFS($H$5:$H$1000,$S$5:$S$1000,$S15,$V$5:$V$1000,"Macro")/COUNTIFS($S$5:$S$1000,$S15,$V$5:$V$1000,"Macro",$H$5:$H$1000,"&gt;0"))))</f>
        <v/>
      </c>
      <c r="AH15" s="62" t="n"/>
      <c r="AI15" s="62" t="n"/>
      <c r="AJ15" s="62" t="n"/>
      <c r="AK15" s="62" t="n"/>
      <c r="AL15" s="62">
        <f>IF(LEFT($C15,11)="[Jefatura] ",IFERROR(MATCH("Riesgo Normativo|"&amp;MID($C15,12,500),rDname_ADM,0),0),"")</f>
        <v/>
      </c>
      <c r="AM15" s="62">
        <f>IF(N($AL15)&gt;0,INDEX(rIni_ADM,$AL15),IF(ISNUMBER($E15),$E15,""))</f>
        <v/>
      </c>
      <c r="AN15" s="62">
        <f>IF(N($AL15)&gt;0,INDEX(rLim_ADM,$AL15),IF(ISNUMBER($F15),$F15,""))</f>
        <v/>
      </c>
    </row>
    <row r="16">
      <c r="A16" s="56">
        <f>IF(NOT((COUNTA($B16:$D16)+COUNTA($G16:$L16)+COUNTA($Q16))&gt;0),"",IF($V16="Macro",COUNTIFS($V$5:$V16,"Macro",$S$5:$S16,$S16),IF(N($U16)=0,"?",COUNTIFS(INDEX($V$5:$V$1000,1):INDEX($V$5:$V$1000,$U16-4),"Macro",INDEX($S$5:$S$1000,1):INDEX($S$5:$S$1000,$U16-4),INDEX($S$5:$S$1000,$U16-4))&amp;"."&amp;COUNTIFS($U$5:$U16,$U16,$V$5:$V16,"Sub"))))</f>
        <v/>
      </c>
      <c r="B16" s="57" t="n"/>
      <c r="C16" s="58" t="n"/>
      <c r="D16" s="58" t="n"/>
      <c r="E16" s="59">
        <f>IF(N($AL16)&gt;0,INDEX(rIni_ADM,$AL16),"")</f>
        <v/>
      </c>
      <c r="F16" s="59">
        <f>IF(N($AL16)&gt;0,INDEX(rLim_ADM,$AL16),"")</f>
        <v/>
      </c>
      <c r="G16" s="59" t="n"/>
      <c r="H16" s="60" t="n"/>
      <c r="I16" s="60" t="n"/>
      <c r="J16" s="60" t="n"/>
      <c r="K16" s="60" t="n"/>
      <c r="L16" s="60" t="n"/>
      <c r="M16" s="61">
        <f>IF(NOT((COUNTA($B16:$D16)+COUNTA($G16:$L16)+COUNTA($Q16))&gt;0),"",IF($V16="Sub",IFERROR($X16/INDEX($W$5:$W$1000,$U16-4),""),IF(ISNUMBER($G16),1,IF(N($W16)&gt;0,AVERAGEIFS($X$5:$X$1000,$U$5:$U$1000,ROW(),$V$5:$V$1000,"Sub"),$X16))))</f>
        <v/>
      </c>
      <c r="N16" s="56">
        <f>IF(OR($M16="",$V16="Sub"),"",IF($M16&gt;=1,"Completado",IF($M16&gt;0,"En curso","Pendiente")))</f>
        <v/>
      </c>
      <c r="O16" s="56">
        <f>IF(OR(NOT((COUNTA($B16:$D16)+COUNTA($G16:$L16)+COUNTA($Q16))&gt;0),$V16="Sub"),"",IF(ISNUMBER($G16),IF(AND(ISNUMBER($AN16),$G16&gt;$AN16),"Cumplida con "&amp;($G16-$AN16)&amp;IF($G16-$AN16=1," día"," días")&amp;" de retraso","Cumplida"),IF(N($M16)&gt;=1,"Cumplida",IF(NOT(ISNUMBER($AN16)),"Sin fecha límite",IF($AN16&lt;FechaRef,"Vencida hace "&amp;(FechaRef-$AN16)&amp;IF(FechaRef-$AN16=1," día"," días"),IF($AN16=FechaRef,"Vence hoy",IF($AN16-FechaRef&lt;=DiasAlerta,"Vence en "&amp;($AN16-FechaRef)&amp;IF($AN16-FechaRef=1," día"," días"),"En plazo")))))))</f>
        <v/>
      </c>
      <c r="P16" s="62" t="n"/>
      <c r="Q16" s="58" t="n"/>
      <c r="R16" s="63">
        <f>IF(NOT((COUNTA($B16:$D16)+COUNTA($G16:$L16)+COUNTA($Q16))&gt;0),"",IF((IF($C16="","Falta el nombre de la actividad"&amp;" · ","")&amp;IF(AND($V16="Sub",N($U16)=0),"Subactividad sin macroactividad arriba"&amp;" · ","")&amp;IF($AM16="","Sin fecha de inicio"&amp;" · ","")&amp;IF($AN16="","Sin fecha límite"&amp;" · ","")&amp;IF(AND(LEFT($C16,11)="[Jefatura] ",N($AL16)=0),"No se encuentra en la hoja de la jefatura (elíjala de nuevo en la lista)"&amp;" · ","")&amp;IF(OR(AND($E16&lt;&gt;"",NOT(ISNUMBER($E16))),AND($F16&lt;&gt;"",NOT(ISNUMBER($F16))),AND($G16&lt;&gt;"",NOT(ISNUMBER($G16)))),"Fecha no válida"&amp;" · ","")&amp;IF(AND(ISNUMBER($AM16),ISNUMBER($AN16),$AM16&gt;$AN16),"Inicio posterior a fecha límite"&amp;" · ","")&amp;IF(AND($V16="Macro",$H16&lt;&gt;"",OR(NOT(ISNUMBER($H16)),$H16&lt;0,$H16&gt;1)),"Peso fuera de rango"&amp;" · ","")&amp;IF(AND($V16="Sub",$H16&lt;&gt;""),"Las subactividades no llevan peso (valen igual dentro de su macroactividad)"&amp;" · ","")&amp;IF(AND(N($W16)&gt;0,COUNT($I16:$L16)&gt;0),"Con subactividades: deje vacías las semanas (se calculan solas)"&amp;" · ","")&amp;IF((COUNTIF($I16:$L16,"&gt;1")+COUNTIF($I16:$L16,"&lt;0")+COUNTA($I16:$L16)-COUNT($I16:$L16))&gt;0,"Avance fuera de rango 0-100%"&amp;" · ","")&amp;IF(OR(AND($J16&lt;&gt;"",$J16&lt;$I16),AND($K16&lt;&gt;"",$K16&lt;MAX($I16:$J16)),AND($L16&lt;&gt;"",$L16&lt;MAX($I16:$K16))),"Avance semanal decreciente"&amp;" · ","")&amp;IF(AND(ISNUMBER($AN16),$AN16&lt;FechaRef,IF($V16="Sub",N($X16),N($M16))&lt;1),"Vencida"&amp;" · ","")&amp;IF(AND(ObsObligatoria="Sí",ISNUMBER($AN16),$AN16&lt;FechaRef,IF($V16="Sub",N($X16),N($M16))&lt;1,$Q16=""),"Vencida sin observación"&amp;" · ",""))="","✔ OK","⚠ "&amp;LEFT(IF($C16="","Falta el nombre de la actividad"&amp;" · ","")&amp;IF(AND($V16="Sub",N($U16)=0),"Subactividad sin macroactividad arriba"&amp;" · ","")&amp;IF($AM16="","Sin fecha de inicio"&amp;" · ","")&amp;IF($AN16="","Sin fecha límite"&amp;" · ","")&amp;IF(AND(LEFT($C16,11)="[Jefatura] ",N($AL16)=0),"No se encuentra en la hoja de la jefatura (elíjala de nuevo en la lista)"&amp;" · ","")&amp;IF(OR(AND($E16&lt;&gt;"",NOT(ISNUMBER($E16))),AND($F16&lt;&gt;"",NOT(ISNUMBER($F16))),AND($G16&lt;&gt;"",NOT(ISNUMBER($G16)))),"Fecha no válida"&amp;" · ","")&amp;IF(AND(ISNUMBER($AM16),ISNUMBER($AN16),$AM16&gt;$AN16),"Inicio posterior a fecha límite"&amp;" · ","")&amp;IF(AND($V16="Macro",$H16&lt;&gt;"",OR(NOT(ISNUMBER($H16)),$H16&lt;0,$H16&gt;1)),"Peso fuera de rango"&amp;" · ","")&amp;IF(AND($V16="Sub",$H16&lt;&gt;""),"Las subactividades no llevan peso (valen igual dentro de su macroactividad)"&amp;" · ","")&amp;IF(AND(N($W16)&gt;0,COUNT($I16:$L16)&gt;0),"Con subactividades: deje vacías las semanas (se calculan solas)"&amp;" · ","")&amp;IF((COUNTIF($I16:$L16,"&gt;1")+COUNTIF($I16:$L16,"&lt;0")+COUNTA($I16:$L16)-COUNT($I16:$L16))&gt;0,"Avance fuera de rango 0-100%"&amp;" · ","")&amp;IF(OR(AND($J16&lt;&gt;"",$J16&lt;$I16),AND($K16&lt;&gt;"",$K16&lt;MAX($I16:$J16)),AND($L16&lt;&gt;"",$L16&lt;MAX($I16:$K16))),"Avance semanal decreciente"&amp;" · ","")&amp;IF(AND(ISNUMBER($AN16),$AN16&lt;FechaRef,IF($V16="Sub",N($X16),N($M16))&lt;1),"Vencida"&amp;" · ","")&amp;IF(AND(ObsObligatoria="Sí",ISNUMBER($AN16),$AN16&lt;FechaRef,IF($V16="Sub",N($X16),N($M16))&lt;1,$Q16=""),"Vencida sin observación"&amp;" · ",""),LEN(IF($C16="","Falta el nombre de la actividad"&amp;" · ","")&amp;IF(AND($V16="Sub",N($U16)=0),"Subactividad sin macroactividad arriba"&amp;" · ","")&amp;IF($AM16="","Sin fecha de inicio"&amp;" · ","")&amp;IF($AN16="","Sin fecha límite"&amp;" · ","")&amp;IF(AND(LEFT($C16,11)="[Jefatura] ",N($AL16)=0),"No se encuentra en la hoja de la jefatura (elíjala de nuevo en la lista)"&amp;" · ","")&amp;IF(OR(AND($E16&lt;&gt;"",NOT(ISNUMBER($E16))),AND($F16&lt;&gt;"",NOT(ISNUMBER($F16))),AND($G16&lt;&gt;"",NOT(ISNUMBER($G16)))),"Fecha no válida"&amp;" · ","")&amp;IF(AND(ISNUMBER($AM16),ISNUMBER($AN16),$AM16&gt;$AN16),"Inicio posterior a fecha límite"&amp;" · ","")&amp;IF(AND($V16="Macro",$H16&lt;&gt;"",OR(NOT(ISNUMBER($H16)),$H16&lt;0,$H16&gt;1)),"Peso fuera de rango"&amp;" · ","")&amp;IF(AND($V16="Sub",$H16&lt;&gt;""),"Las subactividades no llevan peso (valen igual dentro de su macroactividad)"&amp;" · ","")&amp;IF(AND(N($W16)&gt;0,COUNT($I16:$L16)&gt;0),"Con subactividades: deje vacías las semanas (se calculan solas)"&amp;" · ","")&amp;IF((COUNTIF($I16:$L16,"&gt;1")+COUNTIF($I16:$L16,"&lt;0")+COUNTA($I16:$L16)-COUNT($I16:$L16))&gt;0,"Avance fuera de rango 0-100%"&amp;" · ","")&amp;IF(OR(AND($J16&lt;&gt;"",$J16&lt;$I16),AND($K16&lt;&gt;"",$K16&lt;MAX($I16:$J16)),AND($L16&lt;&gt;"",$L16&lt;MAX($I16:$K16))),"Avance semanal decreciente"&amp;" · ","")&amp;IF(AND(ISNUMBER($AN16),$AN16&lt;FechaRef,IF($V16="Sub",N($X16),N($M16))&lt;1),"Vencida"&amp;" · ","")&amp;IF(AND(ObsObligatoria="Sí",ISNUMBER($AN16),$AN16&lt;FechaRef,IF($V16="Sub",N($X16),N($M16))&lt;1,$Q16=""),"Vencida sin observación"&amp;" · ",""))-3)))</f>
        <v/>
      </c>
      <c r="S16" s="64">
        <f>IF(NOT((COUNTA($B16:$D16)+COUNTA($G16:$L16)+COUNTA($Q16))&gt;0),"",IF(AND($V16="Sub",N($U16)&gt;0),IF(ISNUMBER(INDEX($AM$5:$AM$1000,$U16-4)),DATE(YEAR(INDEX($AM$5:$AM$1000,$U16-4)),MONTH(INDEX($AM$5:$AM$1000,$U16-4)),1),IF(ISNUMBER(INDEX($AN$5:$AN$1000,$U16-4)),DATE(YEAR(INDEX($AN$5:$AN$1000,$U16-4)),MONTH(INDEX($AN$5:$AN$1000,$U16-4)),1),MesCiclo)),IF(ISNUMBER($AM16),DATE(YEAR($AM16),MONTH($AM16),1),IF(ISNUMBER($AN16),DATE(YEAR($AN16),MONTH($AN16),1),MesCiclo))))</f>
        <v/>
      </c>
      <c r="T16" s="62">
        <f>IF(OR($S16="",$S16&lt;&gt;MesCiclo,$V16&lt;&gt;"Macro"),"",COUNTIFS($S$5:$S16,MesCiclo,$V$5:$V16,"Macro"))</f>
        <v/>
      </c>
      <c r="U16" s="62">
        <f>IF($V16="","",IF($V16="Macro",ROW(),IFERROR(LOOKUP(2,1/($V$5:$V16="Macro"),ROW($V$5:$V16)),0)))</f>
        <v/>
      </c>
      <c r="V16" s="62">
        <f>IF(NOT((COUNTA($B16:$D16)+COUNTA($G16:$L16)+COUNTA($Q16))&gt;0),"",IF($B16="Subactividad","Sub","Macro"))</f>
        <v/>
      </c>
      <c r="W16" s="62">
        <f>IF($V16="Macro",COUNTIFS($U$5:$U$1000,ROW(),$V$5:$V$1000,"Sub"),"")</f>
        <v/>
      </c>
      <c r="X16" s="62">
        <f>IF($V16="","",IF(ISNUMBER($G16),1,IFERROR(LOOKUP(2,1/($I16:$L16&lt;&gt;""),$I16:$L16),0)))</f>
        <v/>
      </c>
      <c r="Y16" s="62">
        <f>IF($V16="","",IF(AND(ISNUMBER($G16),$G16&lt;=IF($S16=MesCiclo,InicioCiclo,$S16+MOD(2-WEEKDAY($S16),7))+6),1,IF(ISNUMBER($I16),$I16,0)))</f>
        <v/>
      </c>
      <c r="Z16" s="62">
        <f>IF($V16="","",IF(AND(ISNUMBER($G16),$G16&lt;=IF($S16=MesCiclo,InicioCiclo,$S16+MOD(2-WEEKDAY($S16),7))+13),1,IF(ISNUMBER($J16),$J16,$Y16)))</f>
        <v/>
      </c>
      <c r="AA16" s="62">
        <f>IF($V16="","",IF(AND(ISNUMBER($G16),$G16&lt;=IF($S16=MesCiclo,InicioCiclo,$S16+MOD(2-WEEKDAY($S16),7))+20),1,IF(ISNUMBER($K16),$K16,$Z16)))</f>
        <v/>
      </c>
      <c r="AB16" s="62">
        <f>IF($V16="","",IF(AND(ISNUMBER($G16),$G16&lt;=IF($S16=MesCiclo,InicioCiclo,$S16+MOD(2-WEEKDAY($S16),7))+27),1,IF(ISNUMBER($L16),$L16,$AA16)))</f>
        <v/>
      </c>
      <c r="AC16" s="62">
        <f>IF($V16="","",IF(AND(ISNUMBER($G16),$G16&lt;=IF($S16=MesCiclo,InicioCiclo,$S16+MOD(2-WEEKDAY($S16),7))+6),1,IF(N($W16)&gt;0,AVERAGEIFS($Y$5:$Y$1000,$U$5:$U$1000,ROW(),$V$5:$V$1000,"Sub"),$Y16)))</f>
        <v/>
      </c>
      <c r="AD16" s="62">
        <f>IF($V16="","",IF(AND(ISNUMBER($G16),$G16&lt;=IF($S16=MesCiclo,InicioCiclo,$S16+MOD(2-WEEKDAY($S16),7))+13),1,IF(N($W16)&gt;0,AVERAGEIFS($Z$5:$Z$1000,$U$5:$U$1000,ROW(),$V$5:$V$1000,"Sub"),$Z16)))</f>
        <v/>
      </c>
      <c r="AE16" s="62">
        <f>IF($V16="","",IF(AND(ISNUMBER($G16),$G16&lt;=IF($S16=MesCiclo,InicioCiclo,$S16+MOD(2-WEEKDAY($S16),7))+20),1,IF(N($W16)&gt;0,AVERAGEIFS($AA$5:$AA$1000,$U$5:$U$1000,ROW(),$V$5:$V$1000,"Sub"),$AA16)))</f>
        <v/>
      </c>
      <c r="AF16" s="62">
        <f>IF($V16="","",IF(AND(ISNUMBER($G16),$G16&lt;=IF($S16=MesCiclo,InicioCiclo,$S16+MOD(2-WEEKDAY($S16),7))+27),1,IF(N($W16)&gt;0,AVERAGEIFS($AB$5:$AB$1000,$U$5:$U$1000,ROW(),$V$5:$V$1000,"Sub"),$AB16)))</f>
        <v/>
      </c>
      <c r="AG16" s="62">
        <f>IF($V16&lt;&gt;"Macro","",IF(COUNTIFS($S$5:$S$1000,$S16,$V$5:$V$1000,"Macro",$H$5:$H$1000,"&gt;0")=0,1/COUNTIFS($S$5:$S$1000,$S16,$V$5:$V$1000,"Macro"),IF(AND(ISNUMBER($H16),N($H16)&gt;0),$H16,SUMIFS($H$5:$H$1000,$S$5:$S$1000,$S16,$V$5:$V$1000,"Macro")/COUNTIFS($S$5:$S$1000,$S16,$V$5:$V$1000,"Macro",$H$5:$H$1000,"&gt;0"))/(COUNTIFS($S$5:$S$1000,$S16,$V$5:$V$1000,"Macro")*SUMIFS($H$5:$H$1000,$S$5:$S$1000,$S16,$V$5:$V$1000,"Macro")/COUNTIFS($S$5:$S$1000,$S16,$V$5:$V$1000,"Macro",$H$5:$H$1000,"&gt;0"))))</f>
        <v/>
      </c>
      <c r="AH16" s="62" t="n"/>
      <c r="AI16" s="62" t="n"/>
      <c r="AJ16" s="62" t="n"/>
      <c r="AK16" s="62" t="n"/>
      <c r="AL16" s="62">
        <f>IF(LEFT($C16,11)="[Jefatura] ",IFERROR(MATCH("Riesgo Normativo|"&amp;MID($C16,12,500),rDname_ADM,0),0),"")</f>
        <v/>
      </c>
      <c r="AM16" s="62">
        <f>IF(N($AL16)&gt;0,INDEX(rIni_ADM,$AL16),IF(ISNUMBER($E16),$E16,""))</f>
        <v/>
      </c>
      <c r="AN16" s="62">
        <f>IF(N($AL16)&gt;0,INDEX(rLim_ADM,$AL16),IF(ISNUMBER($F16),$F16,""))</f>
        <v/>
      </c>
    </row>
    <row r="17">
      <c r="A17" s="56">
        <f>IF(NOT((COUNTA($B17:$D17)+COUNTA($G17:$L17)+COUNTA($Q17))&gt;0),"",IF($V17="Macro",COUNTIFS($V$5:$V17,"Macro",$S$5:$S17,$S17),IF(N($U17)=0,"?",COUNTIFS(INDEX($V$5:$V$1000,1):INDEX($V$5:$V$1000,$U17-4),"Macro",INDEX($S$5:$S$1000,1):INDEX($S$5:$S$1000,$U17-4),INDEX($S$5:$S$1000,$U17-4))&amp;"."&amp;COUNTIFS($U$5:$U17,$U17,$V$5:$V17,"Sub"))))</f>
        <v/>
      </c>
      <c r="B17" s="57" t="n"/>
      <c r="C17" s="58" t="n"/>
      <c r="D17" s="58" t="n"/>
      <c r="E17" s="59">
        <f>IF(N($AL17)&gt;0,INDEX(rIni_ADM,$AL17),"")</f>
        <v/>
      </c>
      <c r="F17" s="59">
        <f>IF(N($AL17)&gt;0,INDEX(rLim_ADM,$AL17),"")</f>
        <v/>
      </c>
      <c r="G17" s="59" t="n"/>
      <c r="H17" s="60" t="n"/>
      <c r="I17" s="60" t="n"/>
      <c r="J17" s="60" t="n"/>
      <c r="K17" s="60" t="n"/>
      <c r="L17" s="60" t="n"/>
      <c r="M17" s="61">
        <f>IF(NOT((COUNTA($B17:$D17)+COUNTA($G17:$L17)+COUNTA($Q17))&gt;0),"",IF($V17="Sub",IFERROR($X17/INDEX($W$5:$W$1000,$U17-4),""),IF(ISNUMBER($G17),1,IF(N($W17)&gt;0,AVERAGEIFS($X$5:$X$1000,$U$5:$U$1000,ROW(),$V$5:$V$1000,"Sub"),$X17))))</f>
        <v/>
      </c>
      <c r="N17" s="56">
        <f>IF(OR($M17="",$V17="Sub"),"",IF($M17&gt;=1,"Completado",IF($M17&gt;0,"En curso","Pendiente")))</f>
        <v/>
      </c>
      <c r="O17" s="56">
        <f>IF(OR(NOT((COUNTA($B17:$D17)+COUNTA($G17:$L17)+COUNTA($Q17))&gt;0),$V17="Sub"),"",IF(ISNUMBER($G17),IF(AND(ISNUMBER($AN17),$G17&gt;$AN17),"Cumplida con "&amp;($G17-$AN17)&amp;IF($G17-$AN17=1," día"," días")&amp;" de retraso","Cumplida"),IF(N($M17)&gt;=1,"Cumplida",IF(NOT(ISNUMBER($AN17)),"Sin fecha límite",IF($AN17&lt;FechaRef,"Vencida hace "&amp;(FechaRef-$AN17)&amp;IF(FechaRef-$AN17=1," día"," días"),IF($AN17=FechaRef,"Vence hoy",IF($AN17-FechaRef&lt;=DiasAlerta,"Vence en "&amp;($AN17-FechaRef)&amp;IF($AN17-FechaRef=1," día"," días"),"En plazo")))))))</f>
        <v/>
      </c>
      <c r="P17" s="62" t="n"/>
      <c r="Q17" s="58" t="n"/>
      <c r="R17" s="63">
        <f>IF(NOT((COUNTA($B17:$D17)+COUNTA($G17:$L17)+COUNTA($Q17))&gt;0),"",IF((IF($C17="","Falta el nombre de la actividad"&amp;" · ","")&amp;IF(AND($V17="Sub",N($U17)=0),"Subactividad sin macroactividad arriba"&amp;" · ","")&amp;IF($AM17="","Sin fecha de inicio"&amp;" · ","")&amp;IF($AN17="","Sin fecha límite"&amp;" · ","")&amp;IF(AND(LEFT($C17,11)="[Jefatura] ",N($AL17)=0),"No se encuentra en la hoja de la jefatura (elíjala de nuevo en la lista)"&amp;" · ","")&amp;IF(OR(AND($E17&lt;&gt;"",NOT(ISNUMBER($E17))),AND($F17&lt;&gt;"",NOT(ISNUMBER($F17))),AND($G17&lt;&gt;"",NOT(ISNUMBER($G17)))),"Fecha no válida"&amp;" · ","")&amp;IF(AND(ISNUMBER($AM17),ISNUMBER($AN17),$AM17&gt;$AN17),"Inicio posterior a fecha límite"&amp;" · ","")&amp;IF(AND($V17="Macro",$H17&lt;&gt;"",OR(NOT(ISNUMBER($H17)),$H17&lt;0,$H17&gt;1)),"Peso fuera de rango"&amp;" · ","")&amp;IF(AND($V17="Sub",$H17&lt;&gt;""),"Las subactividades no llevan peso (valen igual dentro de su macroactividad)"&amp;" · ","")&amp;IF(AND(N($W17)&gt;0,COUNT($I17:$L17)&gt;0),"Con subactividades: deje vacías las semanas (se calculan solas)"&amp;" · ","")&amp;IF((COUNTIF($I17:$L17,"&gt;1")+COUNTIF($I17:$L17,"&lt;0")+COUNTA($I17:$L17)-COUNT($I17:$L17))&gt;0,"Avance fuera de rango 0-100%"&amp;" · ","")&amp;IF(OR(AND($J17&lt;&gt;"",$J17&lt;$I17),AND($K17&lt;&gt;"",$K17&lt;MAX($I17:$J17)),AND($L17&lt;&gt;"",$L17&lt;MAX($I17:$K17))),"Avance semanal decreciente"&amp;" · ","")&amp;IF(AND(ISNUMBER($AN17),$AN17&lt;FechaRef,IF($V17="Sub",N($X17),N($M17))&lt;1),"Vencida"&amp;" · ","")&amp;IF(AND(ObsObligatoria="Sí",ISNUMBER($AN17),$AN17&lt;FechaRef,IF($V17="Sub",N($X17),N($M17))&lt;1,$Q17=""),"Vencida sin observación"&amp;" · ",""))="","✔ OK","⚠ "&amp;LEFT(IF($C17="","Falta el nombre de la actividad"&amp;" · ","")&amp;IF(AND($V17="Sub",N($U17)=0),"Subactividad sin macroactividad arriba"&amp;" · ","")&amp;IF($AM17="","Sin fecha de inicio"&amp;" · ","")&amp;IF($AN17="","Sin fecha límite"&amp;" · ","")&amp;IF(AND(LEFT($C17,11)="[Jefatura] ",N($AL17)=0),"No se encuentra en la hoja de la jefatura (elíjala de nuevo en la lista)"&amp;" · ","")&amp;IF(OR(AND($E17&lt;&gt;"",NOT(ISNUMBER($E17))),AND($F17&lt;&gt;"",NOT(ISNUMBER($F17))),AND($G17&lt;&gt;"",NOT(ISNUMBER($G17)))),"Fecha no válida"&amp;" · ","")&amp;IF(AND(ISNUMBER($AM17),ISNUMBER($AN17),$AM17&gt;$AN17),"Inicio posterior a fecha límite"&amp;" · ","")&amp;IF(AND($V17="Macro",$H17&lt;&gt;"",OR(NOT(ISNUMBER($H17)),$H17&lt;0,$H17&gt;1)),"Peso fuera de rango"&amp;" · ","")&amp;IF(AND($V17="Sub",$H17&lt;&gt;""),"Las subactividades no llevan peso (valen igual dentro de su macroactividad)"&amp;" · ","")&amp;IF(AND(N($W17)&gt;0,COUNT($I17:$L17)&gt;0),"Con subactividades: deje vacías las semanas (se calculan solas)"&amp;" · ","")&amp;IF((COUNTIF($I17:$L17,"&gt;1")+COUNTIF($I17:$L17,"&lt;0")+COUNTA($I17:$L17)-COUNT($I17:$L17))&gt;0,"Avance fuera de rango 0-100%"&amp;" · ","")&amp;IF(OR(AND($J17&lt;&gt;"",$J17&lt;$I17),AND($K17&lt;&gt;"",$K17&lt;MAX($I17:$J17)),AND($L17&lt;&gt;"",$L17&lt;MAX($I17:$K17))),"Avance semanal decreciente"&amp;" · ","")&amp;IF(AND(ISNUMBER($AN17),$AN17&lt;FechaRef,IF($V17="Sub",N($X17),N($M17))&lt;1),"Vencida"&amp;" · ","")&amp;IF(AND(ObsObligatoria="Sí",ISNUMBER($AN17),$AN17&lt;FechaRef,IF($V17="Sub",N($X17),N($M17))&lt;1,$Q17=""),"Vencida sin observación"&amp;" · ",""),LEN(IF($C17="","Falta el nombre de la actividad"&amp;" · ","")&amp;IF(AND($V17="Sub",N($U17)=0),"Subactividad sin macroactividad arriba"&amp;" · ","")&amp;IF($AM17="","Sin fecha de inicio"&amp;" · ","")&amp;IF($AN17="","Sin fecha límite"&amp;" · ","")&amp;IF(AND(LEFT($C17,11)="[Jefatura] ",N($AL17)=0),"No se encuentra en la hoja de la jefatura (elíjala de nuevo en la lista)"&amp;" · ","")&amp;IF(OR(AND($E17&lt;&gt;"",NOT(ISNUMBER($E17))),AND($F17&lt;&gt;"",NOT(ISNUMBER($F17))),AND($G17&lt;&gt;"",NOT(ISNUMBER($G17)))),"Fecha no válida"&amp;" · ","")&amp;IF(AND(ISNUMBER($AM17),ISNUMBER($AN17),$AM17&gt;$AN17),"Inicio posterior a fecha límite"&amp;" · ","")&amp;IF(AND($V17="Macro",$H17&lt;&gt;"",OR(NOT(ISNUMBER($H17)),$H17&lt;0,$H17&gt;1)),"Peso fuera de rango"&amp;" · ","")&amp;IF(AND($V17="Sub",$H17&lt;&gt;""),"Las subactividades no llevan peso (valen igual dentro de su macroactividad)"&amp;" · ","")&amp;IF(AND(N($W17)&gt;0,COUNT($I17:$L17)&gt;0),"Con subactividades: deje vacías las semanas (se calculan solas)"&amp;" · ","")&amp;IF((COUNTIF($I17:$L17,"&gt;1")+COUNTIF($I17:$L17,"&lt;0")+COUNTA($I17:$L17)-COUNT($I17:$L17))&gt;0,"Avance fuera de rango 0-100%"&amp;" · ","")&amp;IF(OR(AND($J17&lt;&gt;"",$J17&lt;$I17),AND($K17&lt;&gt;"",$K17&lt;MAX($I17:$J17)),AND($L17&lt;&gt;"",$L17&lt;MAX($I17:$K17))),"Avance semanal decreciente"&amp;" · ","")&amp;IF(AND(ISNUMBER($AN17),$AN17&lt;FechaRef,IF($V17="Sub",N($X17),N($M17))&lt;1),"Vencida"&amp;" · ","")&amp;IF(AND(ObsObligatoria="Sí",ISNUMBER($AN17),$AN17&lt;FechaRef,IF($V17="Sub",N($X17),N($M17))&lt;1,$Q17=""),"Vencida sin observación"&amp;" · ",""))-3)))</f>
        <v/>
      </c>
      <c r="S17" s="64">
        <f>IF(NOT((COUNTA($B17:$D17)+COUNTA($G17:$L17)+COUNTA($Q17))&gt;0),"",IF(AND($V17="Sub",N($U17)&gt;0),IF(ISNUMBER(INDEX($AM$5:$AM$1000,$U17-4)),DATE(YEAR(INDEX($AM$5:$AM$1000,$U17-4)),MONTH(INDEX($AM$5:$AM$1000,$U17-4)),1),IF(ISNUMBER(INDEX($AN$5:$AN$1000,$U17-4)),DATE(YEAR(INDEX($AN$5:$AN$1000,$U17-4)),MONTH(INDEX($AN$5:$AN$1000,$U17-4)),1),MesCiclo)),IF(ISNUMBER($AM17),DATE(YEAR($AM17),MONTH($AM17),1),IF(ISNUMBER($AN17),DATE(YEAR($AN17),MONTH($AN17),1),MesCiclo))))</f>
        <v/>
      </c>
      <c r="T17" s="62">
        <f>IF(OR($S17="",$S17&lt;&gt;MesCiclo,$V17&lt;&gt;"Macro"),"",COUNTIFS($S$5:$S17,MesCiclo,$V$5:$V17,"Macro"))</f>
        <v/>
      </c>
      <c r="U17" s="62">
        <f>IF($V17="","",IF($V17="Macro",ROW(),IFERROR(LOOKUP(2,1/($V$5:$V17="Macro"),ROW($V$5:$V17)),0)))</f>
        <v/>
      </c>
      <c r="V17" s="62">
        <f>IF(NOT((COUNTA($B17:$D17)+COUNTA($G17:$L17)+COUNTA($Q17))&gt;0),"",IF($B17="Subactividad","Sub","Macro"))</f>
        <v/>
      </c>
      <c r="W17" s="62">
        <f>IF($V17="Macro",COUNTIFS($U$5:$U$1000,ROW(),$V$5:$V$1000,"Sub"),"")</f>
        <v/>
      </c>
      <c r="X17" s="62">
        <f>IF($V17="","",IF(ISNUMBER($G17),1,IFERROR(LOOKUP(2,1/($I17:$L17&lt;&gt;""),$I17:$L17),0)))</f>
        <v/>
      </c>
      <c r="Y17" s="62">
        <f>IF($V17="","",IF(AND(ISNUMBER($G17),$G17&lt;=IF($S17=MesCiclo,InicioCiclo,$S17+MOD(2-WEEKDAY($S17),7))+6),1,IF(ISNUMBER($I17),$I17,0)))</f>
        <v/>
      </c>
      <c r="Z17" s="62">
        <f>IF($V17="","",IF(AND(ISNUMBER($G17),$G17&lt;=IF($S17=MesCiclo,InicioCiclo,$S17+MOD(2-WEEKDAY($S17),7))+13),1,IF(ISNUMBER($J17),$J17,$Y17)))</f>
        <v/>
      </c>
      <c r="AA17" s="62">
        <f>IF($V17="","",IF(AND(ISNUMBER($G17),$G17&lt;=IF($S17=MesCiclo,InicioCiclo,$S17+MOD(2-WEEKDAY($S17),7))+20),1,IF(ISNUMBER($K17),$K17,$Z17)))</f>
        <v/>
      </c>
      <c r="AB17" s="62">
        <f>IF($V17="","",IF(AND(ISNUMBER($G17),$G17&lt;=IF($S17=MesCiclo,InicioCiclo,$S17+MOD(2-WEEKDAY($S17),7))+27),1,IF(ISNUMBER($L17),$L17,$AA17)))</f>
        <v/>
      </c>
      <c r="AC17" s="62">
        <f>IF($V17="","",IF(AND(ISNUMBER($G17),$G17&lt;=IF($S17=MesCiclo,InicioCiclo,$S17+MOD(2-WEEKDAY($S17),7))+6),1,IF(N($W17)&gt;0,AVERAGEIFS($Y$5:$Y$1000,$U$5:$U$1000,ROW(),$V$5:$V$1000,"Sub"),$Y17)))</f>
        <v/>
      </c>
      <c r="AD17" s="62">
        <f>IF($V17="","",IF(AND(ISNUMBER($G17),$G17&lt;=IF($S17=MesCiclo,InicioCiclo,$S17+MOD(2-WEEKDAY($S17),7))+13),1,IF(N($W17)&gt;0,AVERAGEIFS($Z$5:$Z$1000,$U$5:$U$1000,ROW(),$V$5:$V$1000,"Sub"),$Z17)))</f>
        <v/>
      </c>
      <c r="AE17" s="62">
        <f>IF($V17="","",IF(AND(ISNUMBER($G17),$G17&lt;=IF($S17=MesCiclo,InicioCiclo,$S17+MOD(2-WEEKDAY($S17),7))+20),1,IF(N($W17)&gt;0,AVERAGEIFS($AA$5:$AA$1000,$U$5:$U$1000,ROW(),$V$5:$V$1000,"Sub"),$AA17)))</f>
        <v/>
      </c>
      <c r="AF17" s="62">
        <f>IF($V17="","",IF(AND(ISNUMBER($G17),$G17&lt;=IF($S17=MesCiclo,InicioCiclo,$S17+MOD(2-WEEKDAY($S17),7))+27),1,IF(N($W17)&gt;0,AVERAGEIFS($AB$5:$AB$1000,$U$5:$U$1000,ROW(),$V$5:$V$1000,"Sub"),$AB17)))</f>
        <v/>
      </c>
      <c r="AG17" s="62">
        <f>IF($V17&lt;&gt;"Macro","",IF(COUNTIFS($S$5:$S$1000,$S17,$V$5:$V$1000,"Macro",$H$5:$H$1000,"&gt;0")=0,1/COUNTIFS($S$5:$S$1000,$S17,$V$5:$V$1000,"Macro"),IF(AND(ISNUMBER($H17),N($H17)&gt;0),$H17,SUMIFS($H$5:$H$1000,$S$5:$S$1000,$S17,$V$5:$V$1000,"Macro")/COUNTIFS($S$5:$S$1000,$S17,$V$5:$V$1000,"Macro",$H$5:$H$1000,"&gt;0"))/(COUNTIFS($S$5:$S$1000,$S17,$V$5:$V$1000,"Macro")*SUMIFS($H$5:$H$1000,$S$5:$S$1000,$S17,$V$5:$V$1000,"Macro")/COUNTIFS($S$5:$S$1000,$S17,$V$5:$V$1000,"Macro",$H$5:$H$1000,"&gt;0"))))</f>
        <v/>
      </c>
      <c r="AH17" s="62" t="n"/>
      <c r="AI17" s="62" t="n"/>
      <c r="AJ17" s="62" t="n"/>
      <c r="AK17" s="62" t="n"/>
      <c r="AL17" s="62">
        <f>IF(LEFT($C17,11)="[Jefatura] ",IFERROR(MATCH("Riesgo Normativo|"&amp;MID($C17,12,500),rDname_ADM,0),0),"")</f>
        <v/>
      </c>
      <c r="AM17" s="62">
        <f>IF(N($AL17)&gt;0,INDEX(rIni_ADM,$AL17),IF(ISNUMBER($E17),$E17,""))</f>
        <v/>
      </c>
      <c r="AN17" s="62">
        <f>IF(N($AL17)&gt;0,INDEX(rLim_ADM,$AL17),IF(ISNUMBER($F17),$F17,""))</f>
        <v/>
      </c>
    </row>
    <row r="18">
      <c r="A18" s="56">
        <f>IF(NOT((COUNTA($B18:$D18)+COUNTA($G18:$L18)+COUNTA($Q18))&gt;0),"",IF($V18="Macro",COUNTIFS($V$5:$V18,"Macro",$S$5:$S18,$S18),IF(N($U18)=0,"?",COUNTIFS(INDEX($V$5:$V$1000,1):INDEX($V$5:$V$1000,$U18-4),"Macro",INDEX($S$5:$S$1000,1):INDEX($S$5:$S$1000,$U18-4),INDEX($S$5:$S$1000,$U18-4))&amp;"."&amp;COUNTIFS($U$5:$U18,$U18,$V$5:$V18,"Sub"))))</f>
        <v/>
      </c>
      <c r="B18" s="57" t="n"/>
      <c r="C18" s="58" t="n"/>
      <c r="D18" s="58" t="n"/>
      <c r="E18" s="59">
        <f>IF(N($AL18)&gt;0,INDEX(rIni_ADM,$AL18),"")</f>
        <v/>
      </c>
      <c r="F18" s="59">
        <f>IF(N($AL18)&gt;0,INDEX(rLim_ADM,$AL18),"")</f>
        <v/>
      </c>
      <c r="G18" s="59" t="n"/>
      <c r="H18" s="60" t="n"/>
      <c r="I18" s="60" t="n"/>
      <c r="J18" s="60" t="n"/>
      <c r="K18" s="60" t="n"/>
      <c r="L18" s="60" t="n"/>
      <c r="M18" s="61">
        <f>IF(NOT((COUNTA($B18:$D18)+COUNTA($G18:$L18)+COUNTA($Q18))&gt;0),"",IF($V18="Sub",IFERROR($X18/INDEX($W$5:$W$1000,$U18-4),""),IF(ISNUMBER($G18),1,IF(N($W18)&gt;0,AVERAGEIFS($X$5:$X$1000,$U$5:$U$1000,ROW(),$V$5:$V$1000,"Sub"),$X18))))</f>
        <v/>
      </c>
      <c r="N18" s="56">
        <f>IF(OR($M18="",$V18="Sub"),"",IF($M18&gt;=1,"Completado",IF($M18&gt;0,"En curso","Pendiente")))</f>
        <v/>
      </c>
      <c r="O18" s="56">
        <f>IF(OR(NOT((COUNTA($B18:$D18)+COUNTA($G18:$L18)+COUNTA($Q18))&gt;0),$V18="Sub"),"",IF(ISNUMBER($G18),IF(AND(ISNUMBER($AN18),$G18&gt;$AN18),"Cumplida con "&amp;($G18-$AN18)&amp;IF($G18-$AN18=1," día"," días")&amp;" de retraso","Cumplida"),IF(N($M18)&gt;=1,"Cumplida",IF(NOT(ISNUMBER($AN18)),"Sin fecha límite",IF($AN18&lt;FechaRef,"Vencida hace "&amp;(FechaRef-$AN18)&amp;IF(FechaRef-$AN18=1," día"," días"),IF($AN18=FechaRef,"Vence hoy",IF($AN18-FechaRef&lt;=DiasAlerta,"Vence en "&amp;($AN18-FechaRef)&amp;IF($AN18-FechaRef=1," día"," días"),"En plazo")))))))</f>
        <v/>
      </c>
      <c r="P18" s="62" t="n"/>
      <c r="Q18" s="58" t="n"/>
      <c r="R18" s="63">
        <f>IF(NOT((COUNTA($B18:$D18)+COUNTA($G18:$L18)+COUNTA($Q18))&gt;0),"",IF((IF($C18="","Falta el nombre de la actividad"&amp;" · ","")&amp;IF(AND($V18="Sub",N($U18)=0),"Subactividad sin macroactividad arriba"&amp;" · ","")&amp;IF($AM18="","Sin fecha de inicio"&amp;" · ","")&amp;IF($AN18="","Sin fecha límite"&amp;" · ","")&amp;IF(AND(LEFT($C18,11)="[Jefatura] ",N($AL18)=0),"No se encuentra en la hoja de la jefatura (elíjala de nuevo en la lista)"&amp;" · ","")&amp;IF(OR(AND($E18&lt;&gt;"",NOT(ISNUMBER($E18))),AND($F18&lt;&gt;"",NOT(ISNUMBER($F18))),AND($G18&lt;&gt;"",NOT(ISNUMBER($G18)))),"Fecha no válida"&amp;" · ","")&amp;IF(AND(ISNUMBER($AM18),ISNUMBER($AN18),$AM18&gt;$AN18),"Inicio posterior a fecha límite"&amp;" · ","")&amp;IF(AND($V18="Macro",$H18&lt;&gt;"",OR(NOT(ISNUMBER($H18)),$H18&lt;0,$H18&gt;1)),"Peso fuera de rango"&amp;" · ","")&amp;IF(AND($V18="Sub",$H18&lt;&gt;""),"Las subactividades no llevan peso (valen igual dentro de su macroactividad)"&amp;" · ","")&amp;IF(AND(N($W18)&gt;0,COUNT($I18:$L18)&gt;0),"Con subactividades: deje vacías las semanas (se calculan solas)"&amp;" · ","")&amp;IF((COUNTIF($I18:$L18,"&gt;1")+COUNTIF($I18:$L18,"&lt;0")+COUNTA($I18:$L18)-COUNT($I18:$L18))&gt;0,"Avance fuera de rango 0-100%"&amp;" · ","")&amp;IF(OR(AND($J18&lt;&gt;"",$J18&lt;$I18),AND($K18&lt;&gt;"",$K18&lt;MAX($I18:$J18)),AND($L18&lt;&gt;"",$L18&lt;MAX($I18:$K18))),"Avance semanal decreciente"&amp;" · ","")&amp;IF(AND(ISNUMBER($AN18),$AN18&lt;FechaRef,IF($V18="Sub",N($X18),N($M18))&lt;1),"Vencida"&amp;" · ","")&amp;IF(AND(ObsObligatoria="Sí",ISNUMBER($AN18),$AN18&lt;FechaRef,IF($V18="Sub",N($X18),N($M18))&lt;1,$Q18=""),"Vencida sin observación"&amp;" · ",""))="","✔ OK","⚠ "&amp;LEFT(IF($C18="","Falta el nombre de la actividad"&amp;" · ","")&amp;IF(AND($V18="Sub",N($U18)=0),"Subactividad sin macroactividad arriba"&amp;" · ","")&amp;IF($AM18="","Sin fecha de inicio"&amp;" · ","")&amp;IF($AN18="","Sin fecha límite"&amp;" · ","")&amp;IF(AND(LEFT($C18,11)="[Jefatura] ",N($AL18)=0),"No se encuentra en la hoja de la jefatura (elíjala de nuevo en la lista)"&amp;" · ","")&amp;IF(OR(AND($E18&lt;&gt;"",NOT(ISNUMBER($E18))),AND($F18&lt;&gt;"",NOT(ISNUMBER($F18))),AND($G18&lt;&gt;"",NOT(ISNUMBER($G18)))),"Fecha no válida"&amp;" · ","")&amp;IF(AND(ISNUMBER($AM18),ISNUMBER($AN18),$AM18&gt;$AN18),"Inicio posterior a fecha límite"&amp;" · ","")&amp;IF(AND($V18="Macro",$H18&lt;&gt;"",OR(NOT(ISNUMBER($H18)),$H18&lt;0,$H18&gt;1)),"Peso fuera de rango"&amp;" · ","")&amp;IF(AND($V18="Sub",$H18&lt;&gt;""),"Las subactividades no llevan peso (valen igual dentro de su macroactividad)"&amp;" · ","")&amp;IF(AND(N($W18)&gt;0,COUNT($I18:$L18)&gt;0),"Con subactividades: deje vacías las semanas (se calculan solas)"&amp;" · ","")&amp;IF((COUNTIF($I18:$L18,"&gt;1")+COUNTIF($I18:$L18,"&lt;0")+COUNTA($I18:$L18)-COUNT($I18:$L18))&gt;0,"Avance fuera de rango 0-100%"&amp;" · ","")&amp;IF(OR(AND($J18&lt;&gt;"",$J18&lt;$I18),AND($K18&lt;&gt;"",$K18&lt;MAX($I18:$J18)),AND($L18&lt;&gt;"",$L18&lt;MAX($I18:$K18))),"Avance semanal decreciente"&amp;" · ","")&amp;IF(AND(ISNUMBER($AN18),$AN18&lt;FechaRef,IF($V18="Sub",N($X18),N($M18))&lt;1),"Vencida"&amp;" · ","")&amp;IF(AND(ObsObligatoria="Sí",ISNUMBER($AN18),$AN18&lt;FechaRef,IF($V18="Sub",N($X18),N($M18))&lt;1,$Q18=""),"Vencida sin observación"&amp;" · ",""),LEN(IF($C18="","Falta el nombre de la actividad"&amp;" · ","")&amp;IF(AND($V18="Sub",N($U18)=0),"Subactividad sin macroactividad arriba"&amp;" · ","")&amp;IF($AM18="","Sin fecha de inicio"&amp;" · ","")&amp;IF($AN18="","Sin fecha límite"&amp;" · ","")&amp;IF(AND(LEFT($C18,11)="[Jefatura] ",N($AL18)=0),"No se encuentra en la hoja de la jefatura (elíjala de nuevo en la lista)"&amp;" · ","")&amp;IF(OR(AND($E18&lt;&gt;"",NOT(ISNUMBER($E18))),AND($F18&lt;&gt;"",NOT(ISNUMBER($F18))),AND($G18&lt;&gt;"",NOT(ISNUMBER($G18)))),"Fecha no válida"&amp;" · ","")&amp;IF(AND(ISNUMBER($AM18),ISNUMBER($AN18),$AM18&gt;$AN18),"Inicio posterior a fecha límite"&amp;" · ","")&amp;IF(AND($V18="Macro",$H18&lt;&gt;"",OR(NOT(ISNUMBER($H18)),$H18&lt;0,$H18&gt;1)),"Peso fuera de rango"&amp;" · ","")&amp;IF(AND($V18="Sub",$H18&lt;&gt;""),"Las subactividades no llevan peso (valen igual dentro de su macroactividad)"&amp;" · ","")&amp;IF(AND(N($W18)&gt;0,COUNT($I18:$L18)&gt;0),"Con subactividades: deje vacías las semanas (se calculan solas)"&amp;" · ","")&amp;IF((COUNTIF($I18:$L18,"&gt;1")+COUNTIF($I18:$L18,"&lt;0")+COUNTA($I18:$L18)-COUNT($I18:$L18))&gt;0,"Avance fuera de rango 0-100%"&amp;" · ","")&amp;IF(OR(AND($J18&lt;&gt;"",$J18&lt;$I18),AND($K18&lt;&gt;"",$K18&lt;MAX($I18:$J18)),AND($L18&lt;&gt;"",$L18&lt;MAX($I18:$K18))),"Avance semanal decreciente"&amp;" · ","")&amp;IF(AND(ISNUMBER($AN18),$AN18&lt;FechaRef,IF($V18="Sub",N($X18),N($M18))&lt;1),"Vencida"&amp;" · ","")&amp;IF(AND(ObsObligatoria="Sí",ISNUMBER($AN18),$AN18&lt;FechaRef,IF($V18="Sub",N($X18),N($M18))&lt;1,$Q18=""),"Vencida sin observación"&amp;" · ",""))-3)))</f>
        <v/>
      </c>
      <c r="S18" s="64">
        <f>IF(NOT((COUNTA($B18:$D18)+COUNTA($G18:$L18)+COUNTA($Q18))&gt;0),"",IF(AND($V18="Sub",N($U18)&gt;0),IF(ISNUMBER(INDEX($AM$5:$AM$1000,$U18-4)),DATE(YEAR(INDEX($AM$5:$AM$1000,$U18-4)),MONTH(INDEX($AM$5:$AM$1000,$U18-4)),1),IF(ISNUMBER(INDEX($AN$5:$AN$1000,$U18-4)),DATE(YEAR(INDEX($AN$5:$AN$1000,$U18-4)),MONTH(INDEX($AN$5:$AN$1000,$U18-4)),1),MesCiclo)),IF(ISNUMBER($AM18),DATE(YEAR($AM18),MONTH($AM18),1),IF(ISNUMBER($AN18),DATE(YEAR($AN18),MONTH($AN18),1),MesCiclo))))</f>
        <v/>
      </c>
      <c r="T18" s="62">
        <f>IF(OR($S18="",$S18&lt;&gt;MesCiclo,$V18&lt;&gt;"Macro"),"",COUNTIFS($S$5:$S18,MesCiclo,$V$5:$V18,"Macro"))</f>
        <v/>
      </c>
      <c r="U18" s="62">
        <f>IF($V18="","",IF($V18="Macro",ROW(),IFERROR(LOOKUP(2,1/($V$5:$V18="Macro"),ROW($V$5:$V18)),0)))</f>
        <v/>
      </c>
      <c r="V18" s="62">
        <f>IF(NOT((COUNTA($B18:$D18)+COUNTA($G18:$L18)+COUNTA($Q18))&gt;0),"",IF($B18="Subactividad","Sub","Macro"))</f>
        <v/>
      </c>
      <c r="W18" s="62">
        <f>IF($V18="Macro",COUNTIFS($U$5:$U$1000,ROW(),$V$5:$V$1000,"Sub"),"")</f>
        <v/>
      </c>
      <c r="X18" s="62">
        <f>IF($V18="","",IF(ISNUMBER($G18),1,IFERROR(LOOKUP(2,1/($I18:$L18&lt;&gt;""),$I18:$L18),0)))</f>
        <v/>
      </c>
      <c r="Y18" s="62">
        <f>IF($V18="","",IF(AND(ISNUMBER($G18),$G18&lt;=IF($S18=MesCiclo,InicioCiclo,$S18+MOD(2-WEEKDAY($S18),7))+6),1,IF(ISNUMBER($I18),$I18,0)))</f>
        <v/>
      </c>
      <c r="Z18" s="62">
        <f>IF($V18="","",IF(AND(ISNUMBER($G18),$G18&lt;=IF($S18=MesCiclo,InicioCiclo,$S18+MOD(2-WEEKDAY($S18),7))+13),1,IF(ISNUMBER($J18),$J18,$Y18)))</f>
        <v/>
      </c>
      <c r="AA18" s="62">
        <f>IF($V18="","",IF(AND(ISNUMBER($G18),$G18&lt;=IF($S18=MesCiclo,InicioCiclo,$S18+MOD(2-WEEKDAY($S18),7))+20),1,IF(ISNUMBER($K18),$K18,$Z18)))</f>
        <v/>
      </c>
      <c r="AB18" s="62">
        <f>IF($V18="","",IF(AND(ISNUMBER($G18),$G18&lt;=IF($S18=MesCiclo,InicioCiclo,$S18+MOD(2-WEEKDAY($S18),7))+27),1,IF(ISNUMBER($L18),$L18,$AA18)))</f>
        <v/>
      </c>
      <c r="AC18" s="62">
        <f>IF($V18="","",IF(AND(ISNUMBER($G18),$G18&lt;=IF($S18=MesCiclo,InicioCiclo,$S18+MOD(2-WEEKDAY($S18),7))+6),1,IF(N($W18)&gt;0,AVERAGEIFS($Y$5:$Y$1000,$U$5:$U$1000,ROW(),$V$5:$V$1000,"Sub"),$Y18)))</f>
        <v/>
      </c>
      <c r="AD18" s="62">
        <f>IF($V18="","",IF(AND(ISNUMBER($G18),$G18&lt;=IF($S18=MesCiclo,InicioCiclo,$S18+MOD(2-WEEKDAY($S18),7))+13),1,IF(N($W18)&gt;0,AVERAGEIFS($Z$5:$Z$1000,$U$5:$U$1000,ROW(),$V$5:$V$1000,"Sub"),$Z18)))</f>
        <v/>
      </c>
      <c r="AE18" s="62">
        <f>IF($V18="","",IF(AND(ISNUMBER($G18),$G18&lt;=IF($S18=MesCiclo,InicioCiclo,$S18+MOD(2-WEEKDAY($S18),7))+20),1,IF(N($W18)&gt;0,AVERAGEIFS($AA$5:$AA$1000,$U$5:$U$1000,ROW(),$V$5:$V$1000,"Sub"),$AA18)))</f>
        <v/>
      </c>
      <c r="AF18" s="62">
        <f>IF($V18="","",IF(AND(ISNUMBER($G18),$G18&lt;=IF($S18=MesCiclo,InicioCiclo,$S18+MOD(2-WEEKDAY($S18),7))+27),1,IF(N($W18)&gt;0,AVERAGEIFS($AB$5:$AB$1000,$U$5:$U$1000,ROW(),$V$5:$V$1000,"Sub"),$AB18)))</f>
        <v/>
      </c>
      <c r="AG18" s="62">
        <f>IF($V18&lt;&gt;"Macro","",IF(COUNTIFS($S$5:$S$1000,$S18,$V$5:$V$1000,"Macro",$H$5:$H$1000,"&gt;0")=0,1/COUNTIFS($S$5:$S$1000,$S18,$V$5:$V$1000,"Macro"),IF(AND(ISNUMBER($H18),N($H18)&gt;0),$H18,SUMIFS($H$5:$H$1000,$S$5:$S$1000,$S18,$V$5:$V$1000,"Macro")/COUNTIFS($S$5:$S$1000,$S18,$V$5:$V$1000,"Macro",$H$5:$H$1000,"&gt;0"))/(COUNTIFS($S$5:$S$1000,$S18,$V$5:$V$1000,"Macro")*SUMIFS($H$5:$H$1000,$S$5:$S$1000,$S18,$V$5:$V$1000,"Macro")/COUNTIFS($S$5:$S$1000,$S18,$V$5:$V$1000,"Macro",$H$5:$H$1000,"&gt;0"))))</f>
        <v/>
      </c>
      <c r="AH18" s="62" t="n"/>
      <c r="AI18" s="62" t="n"/>
      <c r="AJ18" s="62" t="n"/>
      <c r="AK18" s="62" t="n"/>
      <c r="AL18" s="62">
        <f>IF(LEFT($C18,11)="[Jefatura] ",IFERROR(MATCH("Riesgo Normativo|"&amp;MID($C18,12,500),rDname_ADM,0),0),"")</f>
        <v/>
      </c>
      <c r="AM18" s="62">
        <f>IF(N($AL18)&gt;0,INDEX(rIni_ADM,$AL18),IF(ISNUMBER($E18),$E18,""))</f>
        <v/>
      </c>
      <c r="AN18" s="62">
        <f>IF(N($AL18)&gt;0,INDEX(rLim_ADM,$AL18),IF(ISNUMBER($F18),$F18,""))</f>
        <v/>
      </c>
    </row>
    <row r="19">
      <c r="A19" s="56">
        <f>IF(NOT((COUNTA($B19:$D19)+COUNTA($G19:$L19)+COUNTA($Q19))&gt;0),"",IF($V19="Macro",COUNTIFS($V$5:$V19,"Macro",$S$5:$S19,$S19),IF(N($U19)=0,"?",COUNTIFS(INDEX($V$5:$V$1000,1):INDEX($V$5:$V$1000,$U19-4),"Macro",INDEX($S$5:$S$1000,1):INDEX($S$5:$S$1000,$U19-4),INDEX($S$5:$S$1000,$U19-4))&amp;"."&amp;COUNTIFS($U$5:$U19,$U19,$V$5:$V19,"Sub"))))</f>
        <v/>
      </c>
      <c r="B19" s="57" t="n"/>
      <c r="C19" s="58" t="n"/>
      <c r="D19" s="58" t="n"/>
      <c r="E19" s="59">
        <f>IF(N($AL19)&gt;0,INDEX(rIni_ADM,$AL19),"")</f>
        <v/>
      </c>
      <c r="F19" s="59">
        <f>IF(N($AL19)&gt;0,INDEX(rLim_ADM,$AL19),"")</f>
        <v/>
      </c>
      <c r="G19" s="59" t="n"/>
      <c r="H19" s="60" t="n"/>
      <c r="I19" s="60" t="n"/>
      <c r="J19" s="60" t="n"/>
      <c r="K19" s="60" t="n"/>
      <c r="L19" s="60" t="n"/>
      <c r="M19" s="61">
        <f>IF(NOT((COUNTA($B19:$D19)+COUNTA($G19:$L19)+COUNTA($Q19))&gt;0),"",IF($V19="Sub",IFERROR($X19/INDEX($W$5:$W$1000,$U19-4),""),IF(ISNUMBER($G19),1,IF(N($W19)&gt;0,AVERAGEIFS($X$5:$X$1000,$U$5:$U$1000,ROW(),$V$5:$V$1000,"Sub"),$X19))))</f>
        <v/>
      </c>
      <c r="N19" s="56">
        <f>IF(OR($M19="",$V19="Sub"),"",IF($M19&gt;=1,"Completado",IF($M19&gt;0,"En curso","Pendiente")))</f>
        <v/>
      </c>
      <c r="O19" s="56">
        <f>IF(OR(NOT((COUNTA($B19:$D19)+COUNTA($G19:$L19)+COUNTA($Q19))&gt;0),$V19="Sub"),"",IF(ISNUMBER($G19),IF(AND(ISNUMBER($AN19),$G19&gt;$AN19),"Cumplida con "&amp;($G19-$AN19)&amp;IF($G19-$AN19=1," día"," días")&amp;" de retraso","Cumplida"),IF(N($M19)&gt;=1,"Cumplida",IF(NOT(ISNUMBER($AN19)),"Sin fecha límite",IF($AN19&lt;FechaRef,"Vencida hace "&amp;(FechaRef-$AN19)&amp;IF(FechaRef-$AN19=1," día"," días"),IF($AN19=FechaRef,"Vence hoy",IF($AN19-FechaRef&lt;=DiasAlerta,"Vence en "&amp;($AN19-FechaRef)&amp;IF($AN19-FechaRef=1," día"," días"),"En plazo")))))))</f>
        <v/>
      </c>
      <c r="P19" s="62" t="n"/>
      <c r="Q19" s="58" t="n"/>
      <c r="R19" s="63">
        <f>IF(NOT((COUNTA($B19:$D19)+COUNTA($G19:$L19)+COUNTA($Q19))&gt;0),"",IF((IF($C19="","Falta el nombre de la actividad"&amp;" · ","")&amp;IF(AND($V19="Sub",N($U19)=0),"Subactividad sin macroactividad arriba"&amp;" · ","")&amp;IF($AM19="","Sin fecha de inicio"&amp;" · ","")&amp;IF($AN19="","Sin fecha límite"&amp;" · ","")&amp;IF(AND(LEFT($C19,11)="[Jefatura] ",N($AL19)=0),"No se encuentra en la hoja de la jefatura (elíjala de nuevo en la lista)"&amp;" · ","")&amp;IF(OR(AND($E19&lt;&gt;"",NOT(ISNUMBER($E19))),AND($F19&lt;&gt;"",NOT(ISNUMBER($F19))),AND($G19&lt;&gt;"",NOT(ISNUMBER($G19)))),"Fecha no válida"&amp;" · ","")&amp;IF(AND(ISNUMBER($AM19),ISNUMBER($AN19),$AM19&gt;$AN19),"Inicio posterior a fecha límite"&amp;" · ","")&amp;IF(AND($V19="Macro",$H19&lt;&gt;"",OR(NOT(ISNUMBER($H19)),$H19&lt;0,$H19&gt;1)),"Peso fuera de rango"&amp;" · ","")&amp;IF(AND($V19="Sub",$H19&lt;&gt;""),"Las subactividades no llevan peso (valen igual dentro de su macroactividad)"&amp;" · ","")&amp;IF(AND(N($W19)&gt;0,COUNT($I19:$L19)&gt;0),"Con subactividades: deje vacías las semanas (se calculan solas)"&amp;" · ","")&amp;IF((COUNTIF($I19:$L19,"&gt;1")+COUNTIF($I19:$L19,"&lt;0")+COUNTA($I19:$L19)-COUNT($I19:$L19))&gt;0,"Avance fuera de rango 0-100%"&amp;" · ","")&amp;IF(OR(AND($J19&lt;&gt;"",$J19&lt;$I19),AND($K19&lt;&gt;"",$K19&lt;MAX($I19:$J19)),AND($L19&lt;&gt;"",$L19&lt;MAX($I19:$K19))),"Avance semanal decreciente"&amp;" · ","")&amp;IF(AND(ISNUMBER($AN19),$AN19&lt;FechaRef,IF($V19="Sub",N($X19),N($M19))&lt;1),"Vencida"&amp;" · ","")&amp;IF(AND(ObsObligatoria="Sí",ISNUMBER($AN19),$AN19&lt;FechaRef,IF($V19="Sub",N($X19),N($M19))&lt;1,$Q19=""),"Vencida sin observación"&amp;" · ",""))="","✔ OK","⚠ "&amp;LEFT(IF($C19="","Falta el nombre de la actividad"&amp;" · ","")&amp;IF(AND($V19="Sub",N($U19)=0),"Subactividad sin macroactividad arriba"&amp;" · ","")&amp;IF($AM19="","Sin fecha de inicio"&amp;" · ","")&amp;IF($AN19="","Sin fecha límite"&amp;" · ","")&amp;IF(AND(LEFT($C19,11)="[Jefatura] ",N($AL19)=0),"No se encuentra en la hoja de la jefatura (elíjala de nuevo en la lista)"&amp;" · ","")&amp;IF(OR(AND($E19&lt;&gt;"",NOT(ISNUMBER($E19))),AND($F19&lt;&gt;"",NOT(ISNUMBER($F19))),AND($G19&lt;&gt;"",NOT(ISNUMBER($G19)))),"Fecha no válida"&amp;" · ","")&amp;IF(AND(ISNUMBER($AM19),ISNUMBER($AN19),$AM19&gt;$AN19),"Inicio posterior a fecha límite"&amp;" · ","")&amp;IF(AND($V19="Macro",$H19&lt;&gt;"",OR(NOT(ISNUMBER($H19)),$H19&lt;0,$H19&gt;1)),"Peso fuera de rango"&amp;" · ","")&amp;IF(AND($V19="Sub",$H19&lt;&gt;""),"Las subactividades no llevan peso (valen igual dentro de su macroactividad)"&amp;" · ","")&amp;IF(AND(N($W19)&gt;0,COUNT($I19:$L19)&gt;0),"Con subactividades: deje vacías las semanas (se calculan solas)"&amp;" · ","")&amp;IF((COUNTIF($I19:$L19,"&gt;1")+COUNTIF($I19:$L19,"&lt;0")+COUNTA($I19:$L19)-COUNT($I19:$L19))&gt;0,"Avance fuera de rango 0-100%"&amp;" · ","")&amp;IF(OR(AND($J19&lt;&gt;"",$J19&lt;$I19),AND($K19&lt;&gt;"",$K19&lt;MAX($I19:$J19)),AND($L19&lt;&gt;"",$L19&lt;MAX($I19:$K19))),"Avance semanal decreciente"&amp;" · ","")&amp;IF(AND(ISNUMBER($AN19),$AN19&lt;FechaRef,IF($V19="Sub",N($X19),N($M19))&lt;1),"Vencida"&amp;" · ","")&amp;IF(AND(ObsObligatoria="Sí",ISNUMBER($AN19),$AN19&lt;FechaRef,IF($V19="Sub",N($X19),N($M19))&lt;1,$Q19=""),"Vencida sin observación"&amp;" · ",""),LEN(IF($C19="","Falta el nombre de la actividad"&amp;" · ","")&amp;IF(AND($V19="Sub",N($U19)=0),"Subactividad sin macroactividad arriba"&amp;" · ","")&amp;IF($AM19="","Sin fecha de inicio"&amp;" · ","")&amp;IF($AN19="","Sin fecha límite"&amp;" · ","")&amp;IF(AND(LEFT($C19,11)="[Jefatura] ",N($AL19)=0),"No se encuentra en la hoja de la jefatura (elíjala de nuevo en la lista)"&amp;" · ","")&amp;IF(OR(AND($E19&lt;&gt;"",NOT(ISNUMBER($E19))),AND($F19&lt;&gt;"",NOT(ISNUMBER($F19))),AND($G19&lt;&gt;"",NOT(ISNUMBER($G19)))),"Fecha no válida"&amp;" · ","")&amp;IF(AND(ISNUMBER($AM19),ISNUMBER($AN19),$AM19&gt;$AN19),"Inicio posterior a fecha límite"&amp;" · ","")&amp;IF(AND($V19="Macro",$H19&lt;&gt;"",OR(NOT(ISNUMBER($H19)),$H19&lt;0,$H19&gt;1)),"Peso fuera de rango"&amp;" · ","")&amp;IF(AND($V19="Sub",$H19&lt;&gt;""),"Las subactividades no llevan peso (valen igual dentro de su macroactividad)"&amp;" · ","")&amp;IF(AND(N($W19)&gt;0,COUNT($I19:$L19)&gt;0),"Con subactividades: deje vacías las semanas (se calculan solas)"&amp;" · ","")&amp;IF((COUNTIF($I19:$L19,"&gt;1")+COUNTIF($I19:$L19,"&lt;0")+COUNTA($I19:$L19)-COUNT($I19:$L19))&gt;0,"Avance fuera de rango 0-100%"&amp;" · ","")&amp;IF(OR(AND($J19&lt;&gt;"",$J19&lt;$I19),AND($K19&lt;&gt;"",$K19&lt;MAX($I19:$J19)),AND($L19&lt;&gt;"",$L19&lt;MAX($I19:$K19))),"Avance semanal decreciente"&amp;" · ","")&amp;IF(AND(ISNUMBER($AN19),$AN19&lt;FechaRef,IF($V19="Sub",N($X19),N($M19))&lt;1),"Vencida"&amp;" · ","")&amp;IF(AND(ObsObligatoria="Sí",ISNUMBER($AN19),$AN19&lt;FechaRef,IF($V19="Sub",N($X19),N($M19))&lt;1,$Q19=""),"Vencida sin observación"&amp;" · ",""))-3)))</f>
        <v/>
      </c>
      <c r="S19" s="64">
        <f>IF(NOT((COUNTA($B19:$D19)+COUNTA($G19:$L19)+COUNTA($Q19))&gt;0),"",IF(AND($V19="Sub",N($U19)&gt;0),IF(ISNUMBER(INDEX($AM$5:$AM$1000,$U19-4)),DATE(YEAR(INDEX($AM$5:$AM$1000,$U19-4)),MONTH(INDEX($AM$5:$AM$1000,$U19-4)),1),IF(ISNUMBER(INDEX($AN$5:$AN$1000,$U19-4)),DATE(YEAR(INDEX($AN$5:$AN$1000,$U19-4)),MONTH(INDEX($AN$5:$AN$1000,$U19-4)),1),MesCiclo)),IF(ISNUMBER($AM19),DATE(YEAR($AM19),MONTH($AM19),1),IF(ISNUMBER($AN19),DATE(YEAR($AN19),MONTH($AN19),1),MesCiclo))))</f>
        <v/>
      </c>
      <c r="T19" s="62">
        <f>IF(OR($S19="",$S19&lt;&gt;MesCiclo,$V19&lt;&gt;"Macro"),"",COUNTIFS($S$5:$S19,MesCiclo,$V$5:$V19,"Macro"))</f>
        <v/>
      </c>
      <c r="U19" s="62">
        <f>IF($V19="","",IF($V19="Macro",ROW(),IFERROR(LOOKUP(2,1/($V$5:$V19="Macro"),ROW($V$5:$V19)),0)))</f>
        <v/>
      </c>
      <c r="V19" s="62">
        <f>IF(NOT((COUNTA($B19:$D19)+COUNTA($G19:$L19)+COUNTA($Q19))&gt;0),"",IF($B19="Subactividad","Sub","Macro"))</f>
        <v/>
      </c>
      <c r="W19" s="62">
        <f>IF($V19="Macro",COUNTIFS($U$5:$U$1000,ROW(),$V$5:$V$1000,"Sub"),"")</f>
        <v/>
      </c>
      <c r="X19" s="62">
        <f>IF($V19="","",IF(ISNUMBER($G19),1,IFERROR(LOOKUP(2,1/($I19:$L19&lt;&gt;""),$I19:$L19),0)))</f>
        <v/>
      </c>
      <c r="Y19" s="62">
        <f>IF($V19="","",IF(AND(ISNUMBER($G19),$G19&lt;=IF($S19=MesCiclo,InicioCiclo,$S19+MOD(2-WEEKDAY($S19),7))+6),1,IF(ISNUMBER($I19),$I19,0)))</f>
        <v/>
      </c>
      <c r="Z19" s="62">
        <f>IF($V19="","",IF(AND(ISNUMBER($G19),$G19&lt;=IF($S19=MesCiclo,InicioCiclo,$S19+MOD(2-WEEKDAY($S19),7))+13),1,IF(ISNUMBER($J19),$J19,$Y19)))</f>
        <v/>
      </c>
      <c r="AA19" s="62">
        <f>IF($V19="","",IF(AND(ISNUMBER($G19),$G19&lt;=IF($S19=MesCiclo,InicioCiclo,$S19+MOD(2-WEEKDAY($S19),7))+20),1,IF(ISNUMBER($K19),$K19,$Z19)))</f>
        <v/>
      </c>
      <c r="AB19" s="62">
        <f>IF($V19="","",IF(AND(ISNUMBER($G19),$G19&lt;=IF($S19=MesCiclo,InicioCiclo,$S19+MOD(2-WEEKDAY($S19),7))+27),1,IF(ISNUMBER($L19),$L19,$AA19)))</f>
        <v/>
      </c>
      <c r="AC19" s="62">
        <f>IF($V19="","",IF(AND(ISNUMBER($G19),$G19&lt;=IF($S19=MesCiclo,InicioCiclo,$S19+MOD(2-WEEKDAY($S19),7))+6),1,IF(N($W19)&gt;0,AVERAGEIFS($Y$5:$Y$1000,$U$5:$U$1000,ROW(),$V$5:$V$1000,"Sub"),$Y19)))</f>
        <v/>
      </c>
      <c r="AD19" s="62">
        <f>IF($V19="","",IF(AND(ISNUMBER($G19),$G19&lt;=IF($S19=MesCiclo,InicioCiclo,$S19+MOD(2-WEEKDAY($S19),7))+13),1,IF(N($W19)&gt;0,AVERAGEIFS($Z$5:$Z$1000,$U$5:$U$1000,ROW(),$V$5:$V$1000,"Sub"),$Z19)))</f>
        <v/>
      </c>
      <c r="AE19" s="62">
        <f>IF($V19="","",IF(AND(ISNUMBER($G19),$G19&lt;=IF($S19=MesCiclo,InicioCiclo,$S19+MOD(2-WEEKDAY($S19),7))+20),1,IF(N($W19)&gt;0,AVERAGEIFS($AA$5:$AA$1000,$U$5:$U$1000,ROW(),$V$5:$V$1000,"Sub"),$AA19)))</f>
        <v/>
      </c>
      <c r="AF19" s="62">
        <f>IF($V19="","",IF(AND(ISNUMBER($G19),$G19&lt;=IF($S19=MesCiclo,InicioCiclo,$S19+MOD(2-WEEKDAY($S19),7))+27),1,IF(N($W19)&gt;0,AVERAGEIFS($AB$5:$AB$1000,$U$5:$U$1000,ROW(),$V$5:$V$1000,"Sub"),$AB19)))</f>
        <v/>
      </c>
      <c r="AG19" s="62">
        <f>IF($V19&lt;&gt;"Macro","",IF(COUNTIFS($S$5:$S$1000,$S19,$V$5:$V$1000,"Macro",$H$5:$H$1000,"&gt;0")=0,1/COUNTIFS($S$5:$S$1000,$S19,$V$5:$V$1000,"Macro"),IF(AND(ISNUMBER($H19),N($H19)&gt;0),$H19,SUMIFS($H$5:$H$1000,$S$5:$S$1000,$S19,$V$5:$V$1000,"Macro")/COUNTIFS($S$5:$S$1000,$S19,$V$5:$V$1000,"Macro",$H$5:$H$1000,"&gt;0"))/(COUNTIFS($S$5:$S$1000,$S19,$V$5:$V$1000,"Macro")*SUMIFS($H$5:$H$1000,$S$5:$S$1000,$S19,$V$5:$V$1000,"Macro")/COUNTIFS($S$5:$S$1000,$S19,$V$5:$V$1000,"Macro",$H$5:$H$1000,"&gt;0"))))</f>
        <v/>
      </c>
      <c r="AH19" s="62" t="n"/>
      <c r="AI19" s="62" t="n"/>
      <c r="AJ19" s="62" t="n"/>
      <c r="AK19" s="62" t="n"/>
      <c r="AL19" s="62">
        <f>IF(LEFT($C19,11)="[Jefatura] ",IFERROR(MATCH("Riesgo Normativo|"&amp;MID($C19,12,500),rDname_ADM,0),0),"")</f>
        <v/>
      </c>
      <c r="AM19" s="62">
        <f>IF(N($AL19)&gt;0,INDEX(rIni_ADM,$AL19),IF(ISNUMBER($E19),$E19,""))</f>
        <v/>
      </c>
      <c r="AN19" s="62">
        <f>IF(N($AL19)&gt;0,INDEX(rLim_ADM,$AL19),IF(ISNUMBER($F19),$F19,""))</f>
        <v/>
      </c>
    </row>
    <row r="20">
      <c r="A20" s="56">
        <f>IF(NOT((COUNTA($B20:$D20)+COUNTA($G20:$L20)+COUNTA($Q20))&gt;0),"",IF($V20="Macro",COUNTIFS($V$5:$V20,"Macro",$S$5:$S20,$S20),IF(N($U20)=0,"?",COUNTIFS(INDEX($V$5:$V$1000,1):INDEX($V$5:$V$1000,$U20-4),"Macro",INDEX($S$5:$S$1000,1):INDEX($S$5:$S$1000,$U20-4),INDEX($S$5:$S$1000,$U20-4))&amp;"."&amp;COUNTIFS($U$5:$U20,$U20,$V$5:$V20,"Sub"))))</f>
        <v/>
      </c>
      <c r="B20" s="57" t="n"/>
      <c r="C20" s="58" t="n"/>
      <c r="D20" s="58" t="n"/>
      <c r="E20" s="59">
        <f>IF(N($AL20)&gt;0,INDEX(rIni_ADM,$AL20),"")</f>
        <v/>
      </c>
      <c r="F20" s="59">
        <f>IF(N($AL20)&gt;0,INDEX(rLim_ADM,$AL20),"")</f>
        <v/>
      </c>
      <c r="G20" s="59" t="n"/>
      <c r="H20" s="60" t="n"/>
      <c r="I20" s="60" t="n"/>
      <c r="J20" s="60" t="n"/>
      <c r="K20" s="60" t="n"/>
      <c r="L20" s="60" t="n"/>
      <c r="M20" s="61">
        <f>IF(NOT((COUNTA($B20:$D20)+COUNTA($G20:$L20)+COUNTA($Q20))&gt;0),"",IF($V20="Sub",IFERROR($X20/INDEX($W$5:$W$1000,$U20-4),""),IF(ISNUMBER($G20),1,IF(N($W20)&gt;0,AVERAGEIFS($X$5:$X$1000,$U$5:$U$1000,ROW(),$V$5:$V$1000,"Sub"),$X20))))</f>
        <v/>
      </c>
      <c r="N20" s="56">
        <f>IF(OR($M20="",$V20="Sub"),"",IF($M20&gt;=1,"Completado",IF($M20&gt;0,"En curso","Pendiente")))</f>
        <v/>
      </c>
      <c r="O20" s="56">
        <f>IF(OR(NOT((COUNTA($B20:$D20)+COUNTA($G20:$L20)+COUNTA($Q20))&gt;0),$V20="Sub"),"",IF(ISNUMBER($G20),IF(AND(ISNUMBER($AN20),$G20&gt;$AN20),"Cumplida con "&amp;($G20-$AN20)&amp;IF($G20-$AN20=1," día"," días")&amp;" de retraso","Cumplida"),IF(N($M20)&gt;=1,"Cumplida",IF(NOT(ISNUMBER($AN20)),"Sin fecha límite",IF($AN20&lt;FechaRef,"Vencida hace "&amp;(FechaRef-$AN20)&amp;IF(FechaRef-$AN20=1," día"," días"),IF($AN20=FechaRef,"Vence hoy",IF($AN20-FechaRef&lt;=DiasAlerta,"Vence en "&amp;($AN20-FechaRef)&amp;IF($AN20-FechaRef=1," día"," días"),"En plazo")))))))</f>
        <v/>
      </c>
      <c r="P20" s="62" t="n"/>
      <c r="Q20" s="58" t="n"/>
      <c r="R20" s="63">
        <f>IF(NOT((COUNTA($B20:$D20)+COUNTA($G20:$L20)+COUNTA($Q20))&gt;0),"",IF((IF($C20="","Falta el nombre de la actividad"&amp;" · ","")&amp;IF(AND($V20="Sub",N($U20)=0),"Subactividad sin macroactividad arriba"&amp;" · ","")&amp;IF($AM20="","Sin fecha de inicio"&amp;" · ","")&amp;IF($AN20="","Sin fecha límite"&amp;" · ","")&amp;IF(AND(LEFT($C20,11)="[Jefatura] ",N($AL20)=0),"No se encuentra en la hoja de la jefatura (elíjala de nuevo en la lista)"&amp;" · ","")&amp;IF(OR(AND($E20&lt;&gt;"",NOT(ISNUMBER($E20))),AND($F20&lt;&gt;"",NOT(ISNUMBER($F20))),AND($G20&lt;&gt;"",NOT(ISNUMBER($G20)))),"Fecha no válida"&amp;" · ","")&amp;IF(AND(ISNUMBER($AM20),ISNUMBER($AN20),$AM20&gt;$AN20),"Inicio posterior a fecha límite"&amp;" · ","")&amp;IF(AND($V20="Macro",$H20&lt;&gt;"",OR(NOT(ISNUMBER($H20)),$H20&lt;0,$H20&gt;1)),"Peso fuera de rango"&amp;" · ","")&amp;IF(AND($V20="Sub",$H20&lt;&gt;""),"Las subactividades no llevan peso (valen igual dentro de su macroactividad)"&amp;" · ","")&amp;IF(AND(N($W20)&gt;0,COUNT($I20:$L20)&gt;0),"Con subactividades: deje vacías las semanas (se calculan solas)"&amp;" · ","")&amp;IF((COUNTIF($I20:$L20,"&gt;1")+COUNTIF($I20:$L20,"&lt;0")+COUNTA($I20:$L20)-COUNT($I20:$L20))&gt;0,"Avance fuera de rango 0-100%"&amp;" · ","")&amp;IF(OR(AND($J20&lt;&gt;"",$J20&lt;$I20),AND($K20&lt;&gt;"",$K20&lt;MAX($I20:$J20)),AND($L20&lt;&gt;"",$L20&lt;MAX($I20:$K20))),"Avance semanal decreciente"&amp;" · ","")&amp;IF(AND(ISNUMBER($AN20),$AN20&lt;FechaRef,IF($V20="Sub",N($X20),N($M20))&lt;1),"Vencida"&amp;" · ","")&amp;IF(AND(ObsObligatoria="Sí",ISNUMBER($AN20),$AN20&lt;FechaRef,IF($V20="Sub",N($X20),N($M20))&lt;1,$Q20=""),"Vencida sin observación"&amp;" · ",""))="","✔ OK","⚠ "&amp;LEFT(IF($C20="","Falta el nombre de la actividad"&amp;" · ","")&amp;IF(AND($V20="Sub",N($U20)=0),"Subactividad sin macroactividad arriba"&amp;" · ","")&amp;IF($AM20="","Sin fecha de inicio"&amp;" · ","")&amp;IF($AN20="","Sin fecha límite"&amp;" · ","")&amp;IF(AND(LEFT($C20,11)="[Jefatura] ",N($AL20)=0),"No se encuentra en la hoja de la jefatura (elíjala de nuevo en la lista)"&amp;" · ","")&amp;IF(OR(AND($E20&lt;&gt;"",NOT(ISNUMBER($E20))),AND($F20&lt;&gt;"",NOT(ISNUMBER($F20))),AND($G20&lt;&gt;"",NOT(ISNUMBER($G20)))),"Fecha no válida"&amp;" · ","")&amp;IF(AND(ISNUMBER($AM20),ISNUMBER($AN20),$AM20&gt;$AN20),"Inicio posterior a fecha límite"&amp;" · ","")&amp;IF(AND($V20="Macro",$H20&lt;&gt;"",OR(NOT(ISNUMBER($H20)),$H20&lt;0,$H20&gt;1)),"Peso fuera de rango"&amp;" · ","")&amp;IF(AND($V20="Sub",$H20&lt;&gt;""),"Las subactividades no llevan peso (valen igual dentro de su macroactividad)"&amp;" · ","")&amp;IF(AND(N($W20)&gt;0,COUNT($I20:$L20)&gt;0),"Con subactividades: deje vacías las semanas (se calculan solas)"&amp;" · ","")&amp;IF((COUNTIF($I20:$L20,"&gt;1")+COUNTIF($I20:$L20,"&lt;0")+COUNTA($I20:$L20)-COUNT($I20:$L20))&gt;0,"Avance fuera de rango 0-100%"&amp;" · ","")&amp;IF(OR(AND($J20&lt;&gt;"",$J20&lt;$I20),AND($K20&lt;&gt;"",$K20&lt;MAX($I20:$J20)),AND($L20&lt;&gt;"",$L20&lt;MAX($I20:$K20))),"Avance semanal decreciente"&amp;" · ","")&amp;IF(AND(ISNUMBER($AN20),$AN20&lt;FechaRef,IF($V20="Sub",N($X20),N($M20))&lt;1),"Vencida"&amp;" · ","")&amp;IF(AND(ObsObligatoria="Sí",ISNUMBER($AN20),$AN20&lt;FechaRef,IF($V20="Sub",N($X20),N($M20))&lt;1,$Q20=""),"Vencida sin observación"&amp;" · ",""),LEN(IF($C20="","Falta el nombre de la actividad"&amp;" · ","")&amp;IF(AND($V20="Sub",N($U20)=0),"Subactividad sin macroactividad arriba"&amp;" · ","")&amp;IF($AM20="","Sin fecha de inicio"&amp;" · ","")&amp;IF($AN20="","Sin fecha límite"&amp;" · ","")&amp;IF(AND(LEFT($C20,11)="[Jefatura] ",N($AL20)=0),"No se encuentra en la hoja de la jefatura (elíjala de nuevo en la lista)"&amp;" · ","")&amp;IF(OR(AND($E20&lt;&gt;"",NOT(ISNUMBER($E20))),AND($F20&lt;&gt;"",NOT(ISNUMBER($F20))),AND($G20&lt;&gt;"",NOT(ISNUMBER($G20)))),"Fecha no válida"&amp;" · ","")&amp;IF(AND(ISNUMBER($AM20),ISNUMBER($AN20),$AM20&gt;$AN20),"Inicio posterior a fecha límite"&amp;" · ","")&amp;IF(AND($V20="Macro",$H20&lt;&gt;"",OR(NOT(ISNUMBER($H20)),$H20&lt;0,$H20&gt;1)),"Peso fuera de rango"&amp;" · ","")&amp;IF(AND($V20="Sub",$H20&lt;&gt;""),"Las subactividades no llevan peso (valen igual dentro de su macroactividad)"&amp;" · ","")&amp;IF(AND(N($W20)&gt;0,COUNT($I20:$L20)&gt;0),"Con subactividades: deje vacías las semanas (se calculan solas)"&amp;" · ","")&amp;IF((COUNTIF($I20:$L20,"&gt;1")+COUNTIF($I20:$L20,"&lt;0")+COUNTA($I20:$L20)-COUNT($I20:$L20))&gt;0,"Avance fuera de rango 0-100%"&amp;" · ","")&amp;IF(OR(AND($J20&lt;&gt;"",$J20&lt;$I20),AND($K20&lt;&gt;"",$K20&lt;MAX($I20:$J20)),AND($L20&lt;&gt;"",$L20&lt;MAX($I20:$K20))),"Avance semanal decreciente"&amp;" · ","")&amp;IF(AND(ISNUMBER($AN20),$AN20&lt;FechaRef,IF($V20="Sub",N($X20),N($M20))&lt;1),"Vencida"&amp;" · ","")&amp;IF(AND(ObsObligatoria="Sí",ISNUMBER($AN20),$AN20&lt;FechaRef,IF($V20="Sub",N($X20),N($M20))&lt;1,$Q20=""),"Vencida sin observación"&amp;" · ",""))-3)))</f>
        <v/>
      </c>
      <c r="S20" s="64">
        <f>IF(NOT((COUNTA($B20:$D20)+COUNTA($G20:$L20)+COUNTA($Q20))&gt;0),"",IF(AND($V20="Sub",N($U20)&gt;0),IF(ISNUMBER(INDEX($AM$5:$AM$1000,$U20-4)),DATE(YEAR(INDEX($AM$5:$AM$1000,$U20-4)),MONTH(INDEX($AM$5:$AM$1000,$U20-4)),1),IF(ISNUMBER(INDEX($AN$5:$AN$1000,$U20-4)),DATE(YEAR(INDEX($AN$5:$AN$1000,$U20-4)),MONTH(INDEX($AN$5:$AN$1000,$U20-4)),1),MesCiclo)),IF(ISNUMBER($AM20),DATE(YEAR($AM20),MONTH($AM20),1),IF(ISNUMBER($AN20),DATE(YEAR($AN20),MONTH($AN20),1),MesCiclo))))</f>
        <v/>
      </c>
      <c r="T20" s="62">
        <f>IF(OR($S20="",$S20&lt;&gt;MesCiclo,$V20&lt;&gt;"Macro"),"",COUNTIFS($S$5:$S20,MesCiclo,$V$5:$V20,"Macro"))</f>
        <v/>
      </c>
      <c r="U20" s="62">
        <f>IF($V20="","",IF($V20="Macro",ROW(),IFERROR(LOOKUP(2,1/($V$5:$V20="Macro"),ROW($V$5:$V20)),0)))</f>
        <v/>
      </c>
      <c r="V20" s="62">
        <f>IF(NOT((COUNTA($B20:$D20)+COUNTA($G20:$L20)+COUNTA($Q20))&gt;0),"",IF($B20="Subactividad","Sub","Macro"))</f>
        <v/>
      </c>
      <c r="W20" s="62">
        <f>IF($V20="Macro",COUNTIFS($U$5:$U$1000,ROW(),$V$5:$V$1000,"Sub"),"")</f>
        <v/>
      </c>
      <c r="X20" s="62">
        <f>IF($V20="","",IF(ISNUMBER($G20),1,IFERROR(LOOKUP(2,1/($I20:$L20&lt;&gt;""),$I20:$L20),0)))</f>
        <v/>
      </c>
      <c r="Y20" s="62">
        <f>IF($V20="","",IF(AND(ISNUMBER($G20),$G20&lt;=IF($S20=MesCiclo,InicioCiclo,$S20+MOD(2-WEEKDAY($S20),7))+6),1,IF(ISNUMBER($I20),$I20,0)))</f>
        <v/>
      </c>
      <c r="Z20" s="62">
        <f>IF($V20="","",IF(AND(ISNUMBER($G20),$G20&lt;=IF($S20=MesCiclo,InicioCiclo,$S20+MOD(2-WEEKDAY($S20),7))+13),1,IF(ISNUMBER($J20),$J20,$Y20)))</f>
        <v/>
      </c>
      <c r="AA20" s="62">
        <f>IF($V20="","",IF(AND(ISNUMBER($G20),$G20&lt;=IF($S20=MesCiclo,InicioCiclo,$S20+MOD(2-WEEKDAY($S20),7))+20),1,IF(ISNUMBER($K20),$K20,$Z20)))</f>
        <v/>
      </c>
      <c r="AB20" s="62">
        <f>IF($V20="","",IF(AND(ISNUMBER($G20),$G20&lt;=IF($S20=MesCiclo,InicioCiclo,$S20+MOD(2-WEEKDAY($S20),7))+27),1,IF(ISNUMBER($L20),$L20,$AA20)))</f>
        <v/>
      </c>
      <c r="AC20" s="62">
        <f>IF($V20="","",IF(AND(ISNUMBER($G20),$G20&lt;=IF($S20=MesCiclo,InicioCiclo,$S20+MOD(2-WEEKDAY($S20),7))+6),1,IF(N($W20)&gt;0,AVERAGEIFS($Y$5:$Y$1000,$U$5:$U$1000,ROW(),$V$5:$V$1000,"Sub"),$Y20)))</f>
        <v/>
      </c>
      <c r="AD20" s="62">
        <f>IF($V20="","",IF(AND(ISNUMBER($G20),$G20&lt;=IF($S20=MesCiclo,InicioCiclo,$S20+MOD(2-WEEKDAY($S20),7))+13),1,IF(N($W20)&gt;0,AVERAGEIFS($Z$5:$Z$1000,$U$5:$U$1000,ROW(),$V$5:$V$1000,"Sub"),$Z20)))</f>
        <v/>
      </c>
      <c r="AE20" s="62">
        <f>IF($V20="","",IF(AND(ISNUMBER($G20),$G20&lt;=IF($S20=MesCiclo,InicioCiclo,$S20+MOD(2-WEEKDAY($S20),7))+20),1,IF(N($W20)&gt;0,AVERAGEIFS($AA$5:$AA$1000,$U$5:$U$1000,ROW(),$V$5:$V$1000,"Sub"),$AA20)))</f>
        <v/>
      </c>
      <c r="AF20" s="62">
        <f>IF($V20="","",IF(AND(ISNUMBER($G20),$G20&lt;=IF($S20=MesCiclo,InicioCiclo,$S20+MOD(2-WEEKDAY($S20),7))+27),1,IF(N($W20)&gt;0,AVERAGEIFS($AB$5:$AB$1000,$U$5:$U$1000,ROW(),$V$5:$V$1000,"Sub"),$AB20)))</f>
        <v/>
      </c>
      <c r="AG20" s="62">
        <f>IF($V20&lt;&gt;"Macro","",IF(COUNTIFS($S$5:$S$1000,$S20,$V$5:$V$1000,"Macro",$H$5:$H$1000,"&gt;0")=0,1/COUNTIFS($S$5:$S$1000,$S20,$V$5:$V$1000,"Macro"),IF(AND(ISNUMBER($H20),N($H20)&gt;0),$H20,SUMIFS($H$5:$H$1000,$S$5:$S$1000,$S20,$V$5:$V$1000,"Macro")/COUNTIFS($S$5:$S$1000,$S20,$V$5:$V$1000,"Macro",$H$5:$H$1000,"&gt;0"))/(COUNTIFS($S$5:$S$1000,$S20,$V$5:$V$1000,"Macro")*SUMIFS($H$5:$H$1000,$S$5:$S$1000,$S20,$V$5:$V$1000,"Macro")/COUNTIFS($S$5:$S$1000,$S20,$V$5:$V$1000,"Macro",$H$5:$H$1000,"&gt;0"))))</f>
        <v/>
      </c>
      <c r="AH20" s="62" t="n"/>
      <c r="AI20" s="62" t="n"/>
      <c r="AJ20" s="62" t="n"/>
      <c r="AK20" s="62" t="n"/>
      <c r="AL20" s="62">
        <f>IF(LEFT($C20,11)="[Jefatura] ",IFERROR(MATCH("Riesgo Normativo|"&amp;MID($C20,12,500),rDname_ADM,0),0),"")</f>
        <v/>
      </c>
      <c r="AM20" s="62">
        <f>IF(N($AL20)&gt;0,INDEX(rIni_ADM,$AL20),IF(ISNUMBER($E20),$E20,""))</f>
        <v/>
      </c>
      <c r="AN20" s="62">
        <f>IF(N($AL20)&gt;0,INDEX(rLim_ADM,$AL20),IF(ISNUMBER($F20),$F20,""))</f>
        <v/>
      </c>
    </row>
    <row r="21">
      <c r="A21" s="56">
        <f>IF(NOT((COUNTA($B21:$D21)+COUNTA($G21:$L21)+COUNTA($Q21))&gt;0),"",IF($V21="Macro",COUNTIFS($V$5:$V21,"Macro",$S$5:$S21,$S21),IF(N($U21)=0,"?",COUNTIFS(INDEX($V$5:$V$1000,1):INDEX($V$5:$V$1000,$U21-4),"Macro",INDEX($S$5:$S$1000,1):INDEX($S$5:$S$1000,$U21-4),INDEX($S$5:$S$1000,$U21-4))&amp;"."&amp;COUNTIFS($U$5:$U21,$U21,$V$5:$V21,"Sub"))))</f>
        <v/>
      </c>
      <c r="B21" s="57" t="n"/>
      <c r="C21" s="58" t="n"/>
      <c r="D21" s="58" t="n"/>
      <c r="E21" s="59">
        <f>IF(N($AL21)&gt;0,INDEX(rIni_ADM,$AL21),"")</f>
        <v/>
      </c>
      <c r="F21" s="59">
        <f>IF(N($AL21)&gt;0,INDEX(rLim_ADM,$AL21),"")</f>
        <v/>
      </c>
      <c r="G21" s="59" t="n"/>
      <c r="H21" s="60" t="n"/>
      <c r="I21" s="60" t="n"/>
      <c r="J21" s="60" t="n"/>
      <c r="K21" s="60" t="n"/>
      <c r="L21" s="60" t="n"/>
      <c r="M21" s="61">
        <f>IF(NOT((COUNTA($B21:$D21)+COUNTA($G21:$L21)+COUNTA($Q21))&gt;0),"",IF($V21="Sub",IFERROR($X21/INDEX($W$5:$W$1000,$U21-4),""),IF(ISNUMBER($G21),1,IF(N($W21)&gt;0,AVERAGEIFS($X$5:$X$1000,$U$5:$U$1000,ROW(),$V$5:$V$1000,"Sub"),$X21))))</f>
        <v/>
      </c>
      <c r="N21" s="56">
        <f>IF(OR($M21="",$V21="Sub"),"",IF($M21&gt;=1,"Completado",IF($M21&gt;0,"En curso","Pendiente")))</f>
        <v/>
      </c>
      <c r="O21" s="56">
        <f>IF(OR(NOT((COUNTA($B21:$D21)+COUNTA($G21:$L21)+COUNTA($Q21))&gt;0),$V21="Sub"),"",IF(ISNUMBER($G21),IF(AND(ISNUMBER($AN21),$G21&gt;$AN21),"Cumplida con "&amp;($G21-$AN21)&amp;IF($G21-$AN21=1," día"," días")&amp;" de retraso","Cumplida"),IF(N($M21)&gt;=1,"Cumplida",IF(NOT(ISNUMBER($AN21)),"Sin fecha límite",IF($AN21&lt;FechaRef,"Vencida hace "&amp;(FechaRef-$AN21)&amp;IF(FechaRef-$AN21=1," día"," días"),IF($AN21=FechaRef,"Vence hoy",IF($AN21-FechaRef&lt;=DiasAlerta,"Vence en "&amp;($AN21-FechaRef)&amp;IF($AN21-FechaRef=1," día"," días"),"En plazo")))))))</f>
        <v/>
      </c>
      <c r="P21" s="62" t="n"/>
      <c r="Q21" s="58" t="n"/>
      <c r="R21" s="63">
        <f>IF(NOT((COUNTA($B21:$D21)+COUNTA($G21:$L21)+COUNTA($Q21))&gt;0),"",IF((IF($C21="","Falta el nombre de la actividad"&amp;" · ","")&amp;IF(AND($V21="Sub",N($U21)=0),"Subactividad sin macroactividad arriba"&amp;" · ","")&amp;IF($AM21="","Sin fecha de inicio"&amp;" · ","")&amp;IF($AN21="","Sin fecha límite"&amp;" · ","")&amp;IF(AND(LEFT($C21,11)="[Jefatura] ",N($AL21)=0),"No se encuentra en la hoja de la jefatura (elíjala de nuevo en la lista)"&amp;" · ","")&amp;IF(OR(AND($E21&lt;&gt;"",NOT(ISNUMBER($E21))),AND($F21&lt;&gt;"",NOT(ISNUMBER($F21))),AND($G21&lt;&gt;"",NOT(ISNUMBER($G21)))),"Fecha no válida"&amp;" · ","")&amp;IF(AND(ISNUMBER($AM21),ISNUMBER($AN21),$AM21&gt;$AN21),"Inicio posterior a fecha límite"&amp;" · ","")&amp;IF(AND($V21="Macro",$H21&lt;&gt;"",OR(NOT(ISNUMBER($H21)),$H21&lt;0,$H21&gt;1)),"Peso fuera de rango"&amp;" · ","")&amp;IF(AND($V21="Sub",$H21&lt;&gt;""),"Las subactividades no llevan peso (valen igual dentro de su macroactividad)"&amp;" · ","")&amp;IF(AND(N($W21)&gt;0,COUNT($I21:$L21)&gt;0),"Con subactividades: deje vacías las semanas (se calculan solas)"&amp;" · ","")&amp;IF((COUNTIF($I21:$L21,"&gt;1")+COUNTIF($I21:$L21,"&lt;0")+COUNTA($I21:$L21)-COUNT($I21:$L21))&gt;0,"Avance fuera de rango 0-100%"&amp;" · ","")&amp;IF(OR(AND($J21&lt;&gt;"",$J21&lt;$I21),AND($K21&lt;&gt;"",$K21&lt;MAX($I21:$J21)),AND($L21&lt;&gt;"",$L21&lt;MAX($I21:$K21))),"Avance semanal decreciente"&amp;" · ","")&amp;IF(AND(ISNUMBER($AN21),$AN21&lt;FechaRef,IF($V21="Sub",N($X21),N($M21))&lt;1),"Vencida"&amp;" · ","")&amp;IF(AND(ObsObligatoria="Sí",ISNUMBER($AN21),$AN21&lt;FechaRef,IF($V21="Sub",N($X21),N($M21))&lt;1,$Q21=""),"Vencida sin observación"&amp;" · ",""))="","✔ OK","⚠ "&amp;LEFT(IF($C21="","Falta el nombre de la actividad"&amp;" · ","")&amp;IF(AND($V21="Sub",N($U21)=0),"Subactividad sin macroactividad arriba"&amp;" · ","")&amp;IF($AM21="","Sin fecha de inicio"&amp;" · ","")&amp;IF($AN21="","Sin fecha límite"&amp;" · ","")&amp;IF(AND(LEFT($C21,11)="[Jefatura] ",N($AL21)=0),"No se encuentra en la hoja de la jefatura (elíjala de nuevo en la lista)"&amp;" · ","")&amp;IF(OR(AND($E21&lt;&gt;"",NOT(ISNUMBER($E21))),AND($F21&lt;&gt;"",NOT(ISNUMBER($F21))),AND($G21&lt;&gt;"",NOT(ISNUMBER($G21)))),"Fecha no válida"&amp;" · ","")&amp;IF(AND(ISNUMBER($AM21),ISNUMBER($AN21),$AM21&gt;$AN21),"Inicio posterior a fecha límite"&amp;" · ","")&amp;IF(AND($V21="Macro",$H21&lt;&gt;"",OR(NOT(ISNUMBER($H21)),$H21&lt;0,$H21&gt;1)),"Peso fuera de rango"&amp;" · ","")&amp;IF(AND($V21="Sub",$H21&lt;&gt;""),"Las subactividades no llevan peso (valen igual dentro de su macroactividad)"&amp;" · ","")&amp;IF(AND(N($W21)&gt;0,COUNT($I21:$L21)&gt;0),"Con subactividades: deje vacías las semanas (se calculan solas)"&amp;" · ","")&amp;IF((COUNTIF($I21:$L21,"&gt;1")+COUNTIF($I21:$L21,"&lt;0")+COUNTA($I21:$L21)-COUNT($I21:$L21))&gt;0,"Avance fuera de rango 0-100%"&amp;" · ","")&amp;IF(OR(AND($J21&lt;&gt;"",$J21&lt;$I21),AND($K21&lt;&gt;"",$K21&lt;MAX($I21:$J21)),AND($L21&lt;&gt;"",$L21&lt;MAX($I21:$K21))),"Avance semanal decreciente"&amp;" · ","")&amp;IF(AND(ISNUMBER($AN21),$AN21&lt;FechaRef,IF($V21="Sub",N($X21),N($M21))&lt;1),"Vencida"&amp;" · ","")&amp;IF(AND(ObsObligatoria="Sí",ISNUMBER($AN21),$AN21&lt;FechaRef,IF($V21="Sub",N($X21),N($M21))&lt;1,$Q21=""),"Vencida sin observación"&amp;" · ",""),LEN(IF($C21="","Falta el nombre de la actividad"&amp;" · ","")&amp;IF(AND($V21="Sub",N($U21)=0),"Subactividad sin macroactividad arriba"&amp;" · ","")&amp;IF($AM21="","Sin fecha de inicio"&amp;" · ","")&amp;IF($AN21="","Sin fecha límite"&amp;" · ","")&amp;IF(AND(LEFT($C21,11)="[Jefatura] ",N($AL21)=0),"No se encuentra en la hoja de la jefatura (elíjala de nuevo en la lista)"&amp;" · ","")&amp;IF(OR(AND($E21&lt;&gt;"",NOT(ISNUMBER($E21))),AND($F21&lt;&gt;"",NOT(ISNUMBER($F21))),AND($G21&lt;&gt;"",NOT(ISNUMBER($G21)))),"Fecha no válida"&amp;" · ","")&amp;IF(AND(ISNUMBER($AM21),ISNUMBER($AN21),$AM21&gt;$AN21),"Inicio posterior a fecha límite"&amp;" · ","")&amp;IF(AND($V21="Macro",$H21&lt;&gt;"",OR(NOT(ISNUMBER($H21)),$H21&lt;0,$H21&gt;1)),"Peso fuera de rango"&amp;" · ","")&amp;IF(AND($V21="Sub",$H21&lt;&gt;""),"Las subactividades no llevan peso (valen igual dentro de su macroactividad)"&amp;" · ","")&amp;IF(AND(N($W21)&gt;0,COUNT($I21:$L21)&gt;0),"Con subactividades: deje vacías las semanas (se calculan solas)"&amp;" · ","")&amp;IF((COUNTIF($I21:$L21,"&gt;1")+COUNTIF($I21:$L21,"&lt;0")+COUNTA($I21:$L21)-COUNT($I21:$L21))&gt;0,"Avance fuera de rango 0-100%"&amp;" · ","")&amp;IF(OR(AND($J21&lt;&gt;"",$J21&lt;$I21),AND($K21&lt;&gt;"",$K21&lt;MAX($I21:$J21)),AND($L21&lt;&gt;"",$L21&lt;MAX($I21:$K21))),"Avance semanal decreciente"&amp;" · ","")&amp;IF(AND(ISNUMBER($AN21),$AN21&lt;FechaRef,IF($V21="Sub",N($X21),N($M21))&lt;1),"Vencida"&amp;" · ","")&amp;IF(AND(ObsObligatoria="Sí",ISNUMBER($AN21),$AN21&lt;FechaRef,IF($V21="Sub",N($X21),N($M21))&lt;1,$Q21=""),"Vencida sin observación"&amp;" · ",""))-3)))</f>
        <v/>
      </c>
      <c r="S21" s="64">
        <f>IF(NOT((COUNTA($B21:$D21)+COUNTA($G21:$L21)+COUNTA($Q21))&gt;0),"",IF(AND($V21="Sub",N($U21)&gt;0),IF(ISNUMBER(INDEX($AM$5:$AM$1000,$U21-4)),DATE(YEAR(INDEX($AM$5:$AM$1000,$U21-4)),MONTH(INDEX($AM$5:$AM$1000,$U21-4)),1),IF(ISNUMBER(INDEX($AN$5:$AN$1000,$U21-4)),DATE(YEAR(INDEX($AN$5:$AN$1000,$U21-4)),MONTH(INDEX($AN$5:$AN$1000,$U21-4)),1),MesCiclo)),IF(ISNUMBER($AM21),DATE(YEAR($AM21),MONTH($AM21),1),IF(ISNUMBER($AN21),DATE(YEAR($AN21),MONTH($AN21),1),MesCiclo))))</f>
        <v/>
      </c>
      <c r="T21" s="62">
        <f>IF(OR($S21="",$S21&lt;&gt;MesCiclo,$V21&lt;&gt;"Macro"),"",COUNTIFS($S$5:$S21,MesCiclo,$V$5:$V21,"Macro"))</f>
        <v/>
      </c>
      <c r="U21" s="62">
        <f>IF($V21="","",IF($V21="Macro",ROW(),IFERROR(LOOKUP(2,1/($V$5:$V21="Macro"),ROW($V$5:$V21)),0)))</f>
        <v/>
      </c>
      <c r="V21" s="62">
        <f>IF(NOT((COUNTA($B21:$D21)+COUNTA($G21:$L21)+COUNTA($Q21))&gt;0),"",IF($B21="Subactividad","Sub","Macro"))</f>
        <v/>
      </c>
      <c r="W21" s="62">
        <f>IF($V21="Macro",COUNTIFS($U$5:$U$1000,ROW(),$V$5:$V$1000,"Sub"),"")</f>
        <v/>
      </c>
      <c r="X21" s="62">
        <f>IF($V21="","",IF(ISNUMBER($G21),1,IFERROR(LOOKUP(2,1/($I21:$L21&lt;&gt;""),$I21:$L21),0)))</f>
        <v/>
      </c>
      <c r="Y21" s="62">
        <f>IF($V21="","",IF(AND(ISNUMBER($G21),$G21&lt;=IF($S21=MesCiclo,InicioCiclo,$S21+MOD(2-WEEKDAY($S21),7))+6),1,IF(ISNUMBER($I21),$I21,0)))</f>
        <v/>
      </c>
      <c r="Z21" s="62">
        <f>IF($V21="","",IF(AND(ISNUMBER($G21),$G21&lt;=IF($S21=MesCiclo,InicioCiclo,$S21+MOD(2-WEEKDAY($S21),7))+13),1,IF(ISNUMBER($J21),$J21,$Y21)))</f>
        <v/>
      </c>
      <c r="AA21" s="62">
        <f>IF($V21="","",IF(AND(ISNUMBER($G21),$G21&lt;=IF($S21=MesCiclo,InicioCiclo,$S21+MOD(2-WEEKDAY($S21),7))+20),1,IF(ISNUMBER($K21),$K21,$Z21)))</f>
        <v/>
      </c>
      <c r="AB21" s="62">
        <f>IF($V21="","",IF(AND(ISNUMBER($G21),$G21&lt;=IF($S21=MesCiclo,InicioCiclo,$S21+MOD(2-WEEKDAY($S21),7))+27),1,IF(ISNUMBER($L21),$L21,$AA21)))</f>
        <v/>
      </c>
      <c r="AC21" s="62">
        <f>IF($V21="","",IF(AND(ISNUMBER($G21),$G21&lt;=IF($S21=MesCiclo,InicioCiclo,$S21+MOD(2-WEEKDAY($S21),7))+6),1,IF(N($W21)&gt;0,AVERAGEIFS($Y$5:$Y$1000,$U$5:$U$1000,ROW(),$V$5:$V$1000,"Sub"),$Y21)))</f>
        <v/>
      </c>
      <c r="AD21" s="62">
        <f>IF($V21="","",IF(AND(ISNUMBER($G21),$G21&lt;=IF($S21=MesCiclo,InicioCiclo,$S21+MOD(2-WEEKDAY($S21),7))+13),1,IF(N($W21)&gt;0,AVERAGEIFS($Z$5:$Z$1000,$U$5:$U$1000,ROW(),$V$5:$V$1000,"Sub"),$Z21)))</f>
        <v/>
      </c>
      <c r="AE21" s="62">
        <f>IF($V21="","",IF(AND(ISNUMBER($G21),$G21&lt;=IF($S21=MesCiclo,InicioCiclo,$S21+MOD(2-WEEKDAY($S21),7))+20),1,IF(N($W21)&gt;0,AVERAGEIFS($AA$5:$AA$1000,$U$5:$U$1000,ROW(),$V$5:$V$1000,"Sub"),$AA21)))</f>
        <v/>
      </c>
      <c r="AF21" s="62">
        <f>IF($V21="","",IF(AND(ISNUMBER($G21),$G21&lt;=IF($S21=MesCiclo,InicioCiclo,$S21+MOD(2-WEEKDAY($S21),7))+27),1,IF(N($W21)&gt;0,AVERAGEIFS($AB$5:$AB$1000,$U$5:$U$1000,ROW(),$V$5:$V$1000,"Sub"),$AB21)))</f>
        <v/>
      </c>
      <c r="AG21" s="62">
        <f>IF($V21&lt;&gt;"Macro","",IF(COUNTIFS($S$5:$S$1000,$S21,$V$5:$V$1000,"Macro",$H$5:$H$1000,"&gt;0")=0,1/COUNTIFS($S$5:$S$1000,$S21,$V$5:$V$1000,"Macro"),IF(AND(ISNUMBER($H21),N($H21)&gt;0),$H21,SUMIFS($H$5:$H$1000,$S$5:$S$1000,$S21,$V$5:$V$1000,"Macro")/COUNTIFS($S$5:$S$1000,$S21,$V$5:$V$1000,"Macro",$H$5:$H$1000,"&gt;0"))/(COUNTIFS($S$5:$S$1000,$S21,$V$5:$V$1000,"Macro")*SUMIFS($H$5:$H$1000,$S$5:$S$1000,$S21,$V$5:$V$1000,"Macro")/COUNTIFS($S$5:$S$1000,$S21,$V$5:$V$1000,"Macro",$H$5:$H$1000,"&gt;0"))))</f>
        <v/>
      </c>
      <c r="AH21" s="62" t="n"/>
      <c r="AI21" s="62" t="n"/>
      <c r="AJ21" s="62" t="n"/>
      <c r="AK21" s="62" t="n"/>
      <c r="AL21" s="62">
        <f>IF(LEFT($C21,11)="[Jefatura] ",IFERROR(MATCH("Riesgo Normativo|"&amp;MID($C21,12,500),rDname_ADM,0),0),"")</f>
        <v/>
      </c>
      <c r="AM21" s="62">
        <f>IF(N($AL21)&gt;0,INDEX(rIni_ADM,$AL21),IF(ISNUMBER($E21),$E21,""))</f>
        <v/>
      </c>
      <c r="AN21" s="62">
        <f>IF(N($AL21)&gt;0,INDEX(rLim_ADM,$AL21),IF(ISNUMBER($F21),$F21,""))</f>
        <v/>
      </c>
    </row>
    <row r="22">
      <c r="A22" s="56">
        <f>IF(NOT((COUNTA($B22:$D22)+COUNTA($G22:$L22)+COUNTA($Q22))&gt;0),"",IF($V22="Macro",COUNTIFS($V$5:$V22,"Macro",$S$5:$S22,$S22),IF(N($U22)=0,"?",COUNTIFS(INDEX($V$5:$V$1000,1):INDEX($V$5:$V$1000,$U22-4),"Macro",INDEX($S$5:$S$1000,1):INDEX($S$5:$S$1000,$U22-4),INDEX($S$5:$S$1000,$U22-4))&amp;"."&amp;COUNTIFS($U$5:$U22,$U22,$V$5:$V22,"Sub"))))</f>
        <v/>
      </c>
      <c r="B22" s="57" t="n"/>
      <c r="C22" s="58" t="n"/>
      <c r="D22" s="58" t="n"/>
      <c r="E22" s="59">
        <f>IF(N($AL22)&gt;0,INDEX(rIni_ADM,$AL22),"")</f>
        <v/>
      </c>
      <c r="F22" s="59">
        <f>IF(N($AL22)&gt;0,INDEX(rLim_ADM,$AL22),"")</f>
        <v/>
      </c>
      <c r="G22" s="59" t="n"/>
      <c r="H22" s="60" t="n"/>
      <c r="I22" s="60" t="n"/>
      <c r="J22" s="60" t="n"/>
      <c r="K22" s="60" t="n"/>
      <c r="L22" s="60" t="n"/>
      <c r="M22" s="61">
        <f>IF(NOT((COUNTA($B22:$D22)+COUNTA($G22:$L22)+COUNTA($Q22))&gt;0),"",IF($V22="Sub",IFERROR($X22/INDEX($W$5:$W$1000,$U22-4),""),IF(ISNUMBER($G22),1,IF(N($W22)&gt;0,AVERAGEIFS($X$5:$X$1000,$U$5:$U$1000,ROW(),$V$5:$V$1000,"Sub"),$X22))))</f>
        <v/>
      </c>
      <c r="N22" s="56">
        <f>IF(OR($M22="",$V22="Sub"),"",IF($M22&gt;=1,"Completado",IF($M22&gt;0,"En curso","Pendiente")))</f>
        <v/>
      </c>
      <c r="O22" s="56">
        <f>IF(OR(NOT((COUNTA($B22:$D22)+COUNTA($G22:$L22)+COUNTA($Q22))&gt;0),$V22="Sub"),"",IF(ISNUMBER($G22),IF(AND(ISNUMBER($AN22),$G22&gt;$AN22),"Cumplida con "&amp;($G22-$AN22)&amp;IF($G22-$AN22=1," día"," días")&amp;" de retraso","Cumplida"),IF(N($M22)&gt;=1,"Cumplida",IF(NOT(ISNUMBER($AN22)),"Sin fecha límite",IF($AN22&lt;FechaRef,"Vencida hace "&amp;(FechaRef-$AN22)&amp;IF(FechaRef-$AN22=1," día"," días"),IF($AN22=FechaRef,"Vence hoy",IF($AN22-FechaRef&lt;=DiasAlerta,"Vence en "&amp;($AN22-FechaRef)&amp;IF($AN22-FechaRef=1," día"," días"),"En plazo")))))))</f>
        <v/>
      </c>
      <c r="P22" s="62" t="n"/>
      <c r="Q22" s="58" t="n"/>
      <c r="R22" s="63">
        <f>IF(NOT((COUNTA($B22:$D22)+COUNTA($G22:$L22)+COUNTA($Q22))&gt;0),"",IF((IF($C22="","Falta el nombre de la actividad"&amp;" · ","")&amp;IF(AND($V22="Sub",N($U22)=0),"Subactividad sin macroactividad arriba"&amp;" · ","")&amp;IF($AM22="","Sin fecha de inicio"&amp;" · ","")&amp;IF($AN22="","Sin fecha límite"&amp;" · ","")&amp;IF(AND(LEFT($C22,11)="[Jefatura] ",N($AL22)=0),"No se encuentra en la hoja de la jefatura (elíjala de nuevo en la lista)"&amp;" · ","")&amp;IF(OR(AND($E22&lt;&gt;"",NOT(ISNUMBER($E22))),AND($F22&lt;&gt;"",NOT(ISNUMBER($F22))),AND($G22&lt;&gt;"",NOT(ISNUMBER($G22)))),"Fecha no válida"&amp;" · ","")&amp;IF(AND(ISNUMBER($AM22),ISNUMBER($AN22),$AM22&gt;$AN22),"Inicio posterior a fecha límite"&amp;" · ","")&amp;IF(AND($V22="Macro",$H22&lt;&gt;"",OR(NOT(ISNUMBER($H22)),$H22&lt;0,$H22&gt;1)),"Peso fuera de rango"&amp;" · ","")&amp;IF(AND($V22="Sub",$H22&lt;&gt;""),"Las subactividades no llevan peso (valen igual dentro de su macroactividad)"&amp;" · ","")&amp;IF(AND(N($W22)&gt;0,COUNT($I22:$L22)&gt;0),"Con subactividades: deje vacías las semanas (se calculan solas)"&amp;" · ","")&amp;IF((COUNTIF($I22:$L22,"&gt;1")+COUNTIF($I22:$L22,"&lt;0")+COUNTA($I22:$L22)-COUNT($I22:$L22))&gt;0,"Avance fuera de rango 0-100%"&amp;" · ","")&amp;IF(OR(AND($J22&lt;&gt;"",$J22&lt;$I22),AND($K22&lt;&gt;"",$K22&lt;MAX($I22:$J22)),AND($L22&lt;&gt;"",$L22&lt;MAX($I22:$K22))),"Avance semanal decreciente"&amp;" · ","")&amp;IF(AND(ISNUMBER($AN22),$AN22&lt;FechaRef,IF($V22="Sub",N($X22),N($M22))&lt;1),"Vencida"&amp;" · ","")&amp;IF(AND(ObsObligatoria="Sí",ISNUMBER($AN22),$AN22&lt;FechaRef,IF($V22="Sub",N($X22),N($M22))&lt;1,$Q22=""),"Vencida sin observación"&amp;" · ",""))="","✔ OK","⚠ "&amp;LEFT(IF($C22="","Falta el nombre de la actividad"&amp;" · ","")&amp;IF(AND($V22="Sub",N($U22)=0),"Subactividad sin macroactividad arriba"&amp;" · ","")&amp;IF($AM22="","Sin fecha de inicio"&amp;" · ","")&amp;IF($AN22="","Sin fecha límite"&amp;" · ","")&amp;IF(AND(LEFT($C22,11)="[Jefatura] ",N($AL22)=0),"No se encuentra en la hoja de la jefatura (elíjala de nuevo en la lista)"&amp;" · ","")&amp;IF(OR(AND($E22&lt;&gt;"",NOT(ISNUMBER($E22))),AND($F22&lt;&gt;"",NOT(ISNUMBER($F22))),AND($G22&lt;&gt;"",NOT(ISNUMBER($G22)))),"Fecha no válida"&amp;" · ","")&amp;IF(AND(ISNUMBER($AM22),ISNUMBER($AN22),$AM22&gt;$AN22),"Inicio posterior a fecha límite"&amp;" · ","")&amp;IF(AND($V22="Macro",$H22&lt;&gt;"",OR(NOT(ISNUMBER($H22)),$H22&lt;0,$H22&gt;1)),"Peso fuera de rango"&amp;" · ","")&amp;IF(AND($V22="Sub",$H22&lt;&gt;""),"Las subactividades no llevan peso (valen igual dentro de su macroactividad)"&amp;" · ","")&amp;IF(AND(N($W22)&gt;0,COUNT($I22:$L22)&gt;0),"Con subactividades: deje vacías las semanas (se calculan solas)"&amp;" · ","")&amp;IF((COUNTIF($I22:$L22,"&gt;1")+COUNTIF($I22:$L22,"&lt;0")+COUNTA($I22:$L22)-COUNT($I22:$L22))&gt;0,"Avance fuera de rango 0-100%"&amp;" · ","")&amp;IF(OR(AND($J22&lt;&gt;"",$J22&lt;$I22),AND($K22&lt;&gt;"",$K22&lt;MAX($I22:$J22)),AND($L22&lt;&gt;"",$L22&lt;MAX($I22:$K22))),"Avance semanal decreciente"&amp;" · ","")&amp;IF(AND(ISNUMBER($AN22),$AN22&lt;FechaRef,IF($V22="Sub",N($X22),N($M22))&lt;1),"Vencida"&amp;" · ","")&amp;IF(AND(ObsObligatoria="Sí",ISNUMBER($AN22),$AN22&lt;FechaRef,IF($V22="Sub",N($X22),N($M22))&lt;1,$Q22=""),"Vencida sin observación"&amp;" · ",""),LEN(IF($C22="","Falta el nombre de la actividad"&amp;" · ","")&amp;IF(AND($V22="Sub",N($U22)=0),"Subactividad sin macroactividad arriba"&amp;" · ","")&amp;IF($AM22="","Sin fecha de inicio"&amp;" · ","")&amp;IF($AN22="","Sin fecha límite"&amp;" · ","")&amp;IF(AND(LEFT($C22,11)="[Jefatura] ",N($AL22)=0),"No se encuentra en la hoja de la jefatura (elíjala de nuevo en la lista)"&amp;" · ","")&amp;IF(OR(AND($E22&lt;&gt;"",NOT(ISNUMBER($E22))),AND($F22&lt;&gt;"",NOT(ISNUMBER($F22))),AND($G22&lt;&gt;"",NOT(ISNUMBER($G22)))),"Fecha no válida"&amp;" · ","")&amp;IF(AND(ISNUMBER($AM22),ISNUMBER($AN22),$AM22&gt;$AN22),"Inicio posterior a fecha límite"&amp;" · ","")&amp;IF(AND($V22="Macro",$H22&lt;&gt;"",OR(NOT(ISNUMBER($H22)),$H22&lt;0,$H22&gt;1)),"Peso fuera de rango"&amp;" · ","")&amp;IF(AND($V22="Sub",$H22&lt;&gt;""),"Las subactividades no llevan peso (valen igual dentro de su macroactividad)"&amp;" · ","")&amp;IF(AND(N($W22)&gt;0,COUNT($I22:$L22)&gt;0),"Con subactividades: deje vacías las semanas (se calculan solas)"&amp;" · ","")&amp;IF((COUNTIF($I22:$L22,"&gt;1")+COUNTIF($I22:$L22,"&lt;0")+COUNTA($I22:$L22)-COUNT($I22:$L22))&gt;0,"Avance fuera de rango 0-100%"&amp;" · ","")&amp;IF(OR(AND($J22&lt;&gt;"",$J22&lt;$I22),AND($K22&lt;&gt;"",$K22&lt;MAX($I22:$J22)),AND($L22&lt;&gt;"",$L22&lt;MAX($I22:$K22))),"Avance semanal decreciente"&amp;" · ","")&amp;IF(AND(ISNUMBER($AN22),$AN22&lt;FechaRef,IF($V22="Sub",N($X22),N($M22))&lt;1),"Vencida"&amp;" · ","")&amp;IF(AND(ObsObligatoria="Sí",ISNUMBER($AN22),$AN22&lt;FechaRef,IF($V22="Sub",N($X22),N($M22))&lt;1,$Q22=""),"Vencida sin observación"&amp;" · ",""))-3)))</f>
        <v/>
      </c>
      <c r="S22" s="64">
        <f>IF(NOT((COUNTA($B22:$D22)+COUNTA($G22:$L22)+COUNTA($Q22))&gt;0),"",IF(AND($V22="Sub",N($U22)&gt;0),IF(ISNUMBER(INDEX($AM$5:$AM$1000,$U22-4)),DATE(YEAR(INDEX($AM$5:$AM$1000,$U22-4)),MONTH(INDEX($AM$5:$AM$1000,$U22-4)),1),IF(ISNUMBER(INDEX($AN$5:$AN$1000,$U22-4)),DATE(YEAR(INDEX($AN$5:$AN$1000,$U22-4)),MONTH(INDEX($AN$5:$AN$1000,$U22-4)),1),MesCiclo)),IF(ISNUMBER($AM22),DATE(YEAR($AM22),MONTH($AM22),1),IF(ISNUMBER($AN22),DATE(YEAR($AN22),MONTH($AN22),1),MesCiclo))))</f>
        <v/>
      </c>
      <c r="T22" s="62">
        <f>IF(OR($S22="",$S22&lt;&gt;MesCiclo,$V22&lt;&gt;"Macro"),"",COUNTIFS($S$5:$S22,MesCiclo,$V$5:$V22,"Macro"))</f>
        <v/>
      </c>
      <c r="U22" s="62">
        <f>IF($V22="","",IF($V22="Macro",ROW(),IFERROR(LOOKUP(2,1/($V$5:$V22="Macro"),ROW($V$5:$V22)),0)))</f>
        <v/>
      </c>
      <c r="V22" s="62">
        <f>IF(NOT((COUNTA($B22:$D22)+COUNTA($G22:$L22)+COUNTA($Q22))&gt;0),"",IF($B22="Subactividad","Sub","Macro"))</f>
        <v/>
      </c>
      <c r="W22" s="62">
        <f>IF($V22="Macro",COUNTIFS($U$5:$U$1000,ROW(),$V$5:$V$1000,"Sub"),"")</f>
        <v/>
      </c>
      <c r="X22" s="62">
        <f>IF($V22="","",IF(ISNUMBER($G22),1,IFERROR(LOOKUP(2,1/($I22:$L22&lt;&gt;""),$I22:$L22),0)))</f>
        <v/>
      </c>
      <c r="Y22" s="62">
        <f>IF($V22="","",IF(AND(ISNUMBER($G22),$G22&lt;=IF($S22=MesCiclo,InicioCiclo,$S22+MOD(2-WEEKDAY($S22),7))+6),1,IF(ISNUMBER($I22),$I22,0)))</f>
        <v/>
      </c>
      <c r="Z22" s="62">
        <f>IF($V22="","",IF(AND(ISNUMBER($G22),$G22&lt;=IF($S22=MesCiclo,InicioCiclo,$S22+MOD(2-WEEKDAY($S22),7))+13),1,IF(ISNUMBER($J22),$J22,$Y22)))</f>
        <v/>
      </c>
      <c r="AA22" s="62">
        <f>IF($V22="","",IF(AND(ISNUMBER($G22),$G22&lt;=IF($S22=MesCiclo,InicioCiclo,$S22+MOD(2-WEEKDAY($S22),7))+20),1,IF(ISNUMBER($K22),$K22,$Z22)))</f>
        <v/>
      </c>
      <c r="AB22" s="62">
        <f>IF($V22="","",IF(AND(ISNUMBER($G22),$G22&lt;=IF($S22=MesCiclo,InicioCiclo,$S22+MOD(2-WEEKDAY($S22),7))+27),1,IF(ISNUMBER($L22),$L22,$AA22)))</f>
        <v/>
      </c>
      <c r="AC22" s="62">
        <f>IF($V22="","",IF(AND(ISNUMBER($G22),$G22&lt;=IF($S22=MesCiclo,InicioCiclo,$S22+MOD(2-WEEKDAY($S22),7))+6),1,IF(N($W22)&gt;0,AVERAGEIFS($Y$5:$Y$1000,$U$5:$U$1000,ROW(),$V$5:$V$1000,"Sub"),$Y22)))</f>
        <v/>
      </c>
      <c r="AD22" s="62">
        <f>IF($V22="","",IF(AND(ISNUMBER($G22),$G22&lt;=IF($S22=MesCiclo,InicioCiclo,$S22+MOD(2-WEEKDAY($S22),7))+13),1,IF(N($W22)&gt;0,AVERAGEIFS($Z$5:$Z$1000,$U$5:$U$1000,ROW(),$V$5:$V$1000,"Sub"),$Z22)))</f>
        <v/>
      </c>
      <c r="AE22" s="62">
        <f>IF($V22="","",IF(AND(ISNUMBER($G22),$G22&lt;=IF($S22=MesCiclo,InicioCiclo,$S22+MOD(2-WEEKDAY($S22),7))+20),1,IF(N($W22)&gt;0,AVERAGEIFS($AA$5:$AA$1000,$U$5:$U$1000,ROW(),$V$5:$V$1000,"Sub"),$AA22)))</f>
        <v/>
      </c>
      <c r="AF22" s="62">
        <f>IF($V22="","",IF(AND(ISNUMBER($G22),$G22&lt;=IF($S22=MesCiclo,InicioCiclo,$S22+MOD(2-WEEKDAY($S22),7))+27),1,IF(N($W22)&gt;0,AVERAGEIFS($AB$5:$AB$1000,$U$5:$U$1000,ROW(),$V$5:$V$1000,"Sub"),$AB22)))</f>
        <v/>
      </c>
      <c r="AG22" s="62">
        <f>IF($V22&lt;&gt;"Macro","",IF(COUNTIFS($S$5:$S$1000,$S22,$V$5:$V$1000,"Macro",$H$5:$H$1000,"&gt;0")=0,1/COUNTIFS($S$5:$S$1000,$S22,$V$5:$V$1000,"Macro"),IF(AND(ISNUMBER($H22),N($H22)&gt;0),$H22,SUMIFS($H$5:$H$1000,$S$5:$S$1000,$S22,$V$5:$V$1000,"Macro")/COUNTIFS($S$5:$S$1000,$S22,$V$5:$V$1000,"Macro",$H$5:$H$1000,"&gt;0"))/(COUNTIFS($S$5:$S$1000,$S22,$V$5:$V$1000,"Macro")*SUMIFS($H$5:$H$1000,$S$5:$S$1000,$S22,$V$5:$V$1000,"Macro")/COUNTIFS($S$5:$S$1000,$S22,$V$5:$V$1000,"Macro",$H$5:$H$1000,"&gt;0"))))</f>
        <v/>
      </c>
      <c r="AH22" s="62" t="n"/>
      <c r="AI22" s="62" t="n"/>
      <c r="AJ22" s="62" t="n"/>
      <c r="AK22" s="62" t="n"/>
      <c r="AL22" s="62">
        <f>IF(LEFT($C22,11)="[Jefatura] ",IFERROR(MATCH("Riesgo Normativo|"&amp;MID($C22,12,500),rDname_ADM,0),0),"")</f>
        <v/>
      </c>
      <c r="AM22" s="62">
        <f>IF(N($AL22)&gt;0,INDEX(rIni_ADM,$AL22),IF(ISNUMBER($E22),$E22,""))</f>
        <v/>
      </c>
      <c r="AN22" s="62">
        <f>IF(N($AL22)&gt;0,INDEX(rLim_ADM,$AL22),IF(ISNUMBER($F22),$F22,""))</f>
        <v/>
      </c>
    </row>
    <row r="23">
      <c r="A23" s="56">
        <f>IF(NOT((COUNTA($B23:$D23)+COUNTA($G23:$L23)+COUNTA($Q23))&gt;0),"",IF($V23="Macro",COUNTIFS($V$5:$V23,"Macro",$S$5:$S23,$S23),IF(N($U23)=0,"?",COUNTIFS(INDEX($V$5:$V$1000,1):INDEX($V$5:$V$1000,$U23-4),"Macro",INDEX($S$5:$S$1000,1):INDEX($S$5:$S$1000,$U23-4),INDEX($S$5:$S$1000,$U23-4))&amp;"."&amp;COUNTIFS($U$5:$U23,$U23,$V$5:$V23,"Sub"))))</f>
        <v/>
      </c>
      <c r="B23" s="57" t="n"/>
      <c r="C23" s="58" t="n"/>
      <c r="D23" s="58" t="n"/>
      <c r="E23" s="59">
        <f>IF(N($AL23)&gt;0,INDEX(rIni_ADM,$AL23),"")</f>
        <v/>
      </c>
      <c r="F23" s="59">
        <f>IF(N($AL23)&gt;0,INDEX(rLim_ADM,$AL23),"")</f>
        <v/>
      </c>
      <c r="G23" s="59" t="n"/>
      <c r="H23" s="60" t="n"/>
      <c r="I23" s="60" t="n"/>
      <c r="J23" s="60" t="n"/>
      <c r="K23" s="60" t="n"/>
      <c r="L23" s="60" t="n"/>
      <c r="M23" s="61">
        <f>IF(NOT((COUNTA($B23:$D23)+COUNTA($G23:$L23)+COUNTA($Q23))&gt;0),"",IF($V23="Sub",IFERROR($X23/INDEX($W$5:$W$1000,$U23-4),""),IF(ISNUMBER($G23),1,IF(N($W23)&gt;0,AVERAGEIFS($X$5:$X$1000,$U$5:$U$1000,ROW(),$V$5:$V$1000,"Sub"),$X23))))</f>
        <v/>
      </c>
      <c r="N23" s="56">
        <f>IF(OR($M23="",$V23="Sub"),"",IF($M23&gt;=1,"Completado",IF($M23&gt;0,"En curso","Pendiente")))</f>
        <v/>
      </c>
      <c r="O23" s="56">
        <f>IF(OR(NOT((COUNTA($B23:$D23)+COUNTA($G23:$L23)+COUNTA($Q23))&gt;0),$V23="Sub"),"",IF(ISNUMBER($G23),IF(AND(ISNUMBER($AN23),$G23&gt;$AN23),"Cumplida con "&amp;($G23-$AN23)&amp;IF($G23-$AN23=1," día"," días")&amp;" de retraso","Cumplida"),IF(N($M23)&gt;=1,"Cumplida",IF(NOT(ISNUMBER($AN23)),"Sin fecha límite",IF($AN23&lt;FechaRef,"Vencida hace "&amp;(FechaRef-$AN23)&amp;IF(FechaRef-$AN23=1," día"," días"),IF($AN23=FechaRef,"Vence hoy",IF($AN23-FechaRef&lt;=DiasAlerta,"Vence en "&amp;($AN23-FechaRef)&amp;IF($AN23-FechaRef=1," día"," días"),"En plazo")))))))</f>
        <v/>
      </c>
      <c r="P23" s="62" t="n"/>
      <c r="Q23" s="58" t="n"/>
      <c r="R23" s="63">
        <f>IF(NOT((COUNTA($B23:$D23)+COUNTA($G23:$L23)+COUNTA($Q23))&gt;0),"",IF((IF($C23="","Falta el nombre de la actividad"&amp;" · ","")&amp;IF(AND($V23="Sub",N($U23)=0),"Subactividad sin macroactividad arriba"&amp;" · ","")&amp;IF($AM23="","Sin fecha de inicio"&amp;" · ","")&amp;IF($AN23="","Sin fecha límite"&amp;" · ","")&amp;IF(AND(LEFT($C23,11)="[Jefatura] ",N($AL23)=0),"No se encuentra en la hoja de la jefatura (elíjala de nuevo en la lista)"&amp;" · ","")&amp;IF(OR(AND($E23&lt;&gt;"",NOT(ISNUMBER($E23))),AND($F23&lt;&gt;"",NOT(ISNUMBER($F23))),AND($G23&lt;&gt;"",NOT(ISNUMBER($G23)))),"Fecha no válida"&amp;" · ","")&amp;IF(AND(ISNUMBER($AM23),ISNUMBER($AN23),$AM23&gt;$AN23),"Inicio posterior a fecha límite"&amp;" · ","")&amp;IF(AND($V23="Macro",$H23&lt;&gt;"",OR(NOT(ISNUMBER($H23)),$H23&lt;0,$H23&gt;1)),"Peso fuera de rango"&amp;" · ","")&amp;IF(AND($V23="Sub",$H23&lt;&gt;""),"Las subactividades no llevan peso (valen igual dentro de su macroactividad)"&amp;" · ","")&amp;IF(AND(N($W23)&gt;0,COUNT($I23:$L23)&gt;0),"Con subactividades: deje vacías las semanas (se calculan solas)"&amp;" · ","")&amp;IF((COUNTIF($I23:$L23,"&gt;1")+COUNTIF($I23:$L23,"&lt;0")+COUNTA($I23:$L23)-COUNT($I23:$L23))&gt;0,"Avance fuera de rango 0-100%"&amp;" · ","")&amp;IF(OR(AND($J23&lt;&gt;"",$J23&lt;$I23),AND($K23&lt;&gt;"",$K23&lt;MAX($I23:$J23)),AND($L23&lt;&gt;"",$L23&lt;MAX($I23:$K23))),"Avance semanal decreciente"&amp;" · ","")&amp;IF(AND(ISNUMBER($AN23),$AN23&lt;FechaRef,IF($V23="Sub",N($X23),N($M23))&lt;1),"Vencida"&amp;" · ","")&amp;IF(AND(ObsObligatoria="Sí",ISNUMBER($AN23),$AN23&lt;FechaRef,IF($V23="Sub",N($X23),N($M23))&lt;1,$Q23=""),"Vencida sin observación"&amp;" · ",""))="","✔ OK","⚠ "&amp;LEFT(IF($C23="","Falta el nombre de la actividad"&amp;" · ","")&amp;IF(AND($V23="Sub",N($U23)=0),"Subactividad sin macroactividad arriba"&amp;" · ","")&amp;IF($AM23="","Sin fecha de inicio"&amp;" · ","")&amp;IF($AN23="","Sin fecha límite"&amp;" · ","")&amp;IF(AND(LEFT($C23,11)="[Jefatura] ",N($AL23)=0),"No se encuentra en la hoja de la jefatura (elíjala de nuevo en la lista)"&amp;" · ","")&amp;IF(OR(AND($E23&lt;&gt;"",NOT(ISNUMBER($E23))),AND($F23&lt;&gt;"",NOT(ISNUMBER($F23))),AND($G23&lt;&gt;"",NOT(ISNUMBER($G23)))),"Fecha no válida"&amp;" · ","")&amp;IF(AND(ISNUMBER($AM23),ISNUMBER($AN23),$AM23&gt;$AN23),"Inicio posterior a fecha límite"&amp;" · ","")&amp;IF(AND($V23="Macro",$H23&lt;&gt;"",OR(NOT(ISNUMBER($H23)),$H23&lt;0,$H23&gt;1)),"Peso fuera de rango"&amp;" · ","")&amp;IF(AND($V23="Sub",$H23&lt;&gt;""),"Las subactividades no llevan peso (valen igual dentro de su macroactividad)"&amp;" · ","")&amp;IF(AND(N($W23)&gt;0,COUNT($I23:$L23)&gt;0),"Con subactividades: deje vacías las semanas (se calculan solas)"&amp;" · ","")&amp;IF((COUNTIF($I23:$L23,"&gt;1")+COUNTIF($I23:$L23,"&lt;0")+COUNTA($I23:$L23)-COUNT($I23:$L23))&gt;0,"Avance fuera de rango 0-100%"&amp;" · ","")&amp;IF(OR(AND($J23&lt;&gt;"",$J23&lt;$I23),AND($K23&lt;&gt;"",$K23&lt;MAX($I23:$J23)),AND($L23&lt;&gt;"",$L23&lt;MAX($I23:$K23))),"Avance semanal decreciente"&amp;" · ","")&amp;IF(AND(ISNUMBER($AN23),$AN23&lt;FechaRef,IF($V23="Sub",N($X23),N($M23))&lt;1),"Vencida"&amp;" · ","")&amp;IF(AND(ObsObligatoria="Sí",ISNUMBER($AN23),$AN23&lt;FechaRef,IF($V23="Sub",N($X23),N($M23))&lt;1,$Q23=""),"Vencida sin observación"&amp;" · ",""),LEN(IF($C23="","Falta el nombre de la actividad"&amp;" · ","")&amp;IF(AND($V23="Sub",N($U23)=0),"Subactividad sin macroactividad arriba"&amp;" · ","")&amp;IF($AM23="","Sin fecha de inicio"&amp;" · ","")&amp;IF($AN23="","Sin fecha límite"&amp;" · ","")&amp;IF(AND(LEFT($C23,11)="[Jefatura] ",N($AL23)=0),"No se encuentra en la hoja de la jefatura (elíjala de nuevo en la lista)"&amp;" · ","")&amp;IF(OR(AND($E23&lt;&gt;"",NOT(ISNUMBER($E23))),AND($F23&lt;&gt;"",NOT(ISNUMBER($F23))),AND($G23&lt;&gt;"",NOT(ISNUMBER($G23)))),"Fecha no válida"&amp;" · ","")&amp;IF(AND(ISNUMBER($AM23),ISNUMBER($AN23),$AM23&gt;$AN23),"Inicio posterior a fecha límite"&amp;" · ","")&amp;IF(AND($V23="Macro",$H23&lt;&gt;"",OR(NOT(ISNUMBER($H23)),$H23&lt;0,$H23&gt;1)),"Peso fuera de rango"&amp;" · ","")&amp;IF(AND($V23="Sub",$H23&lt;&gt;""),"Las subactividades no llevan peso (valen igual dentro de su macroactividad)"&amp;" · ","")&amp;IF(AND(N($W23)&gt;0,COUNT($I23:$L23)&gt;0),"Con subactividades: deje vacías las semanas (se calculan solas)"&amp;" · ","")&amp;IF((COUNTIF($I23:$L23,"&gt;1")+COUNTIF($I23:$L23,"&lt;0")+COUNTA($I23:$L23)-COUNT($I23:$L23))&gt;0,"Avance fuera de rango 0-100%"&amp;" · ","")&amp;IF(OR(AND($J23&lt;&gt;"",$J23&lt;$I23),AND($K23&lt;&gt;"",$K23&lt;MAX($I23:$J23)),AND($L23&lt;&gt;"",$L23&lt;MAX($I23:$K23))),"Avance semanal decreciente"&amp;" · ","")&amp;IF(AND(ISNUMBER($AN23),$AN23&lt;FechaRef,IF($V23="Sub",N($X23),N($M23))&lt;1),"Vencida"&amp;" · ","")&amp;IF(AND(ObsObligatoria="Sí",ISNUMBER($AN23),$AN23&lt;FechaRef,IF($V23="Sub",N($X23),N($M23))&lt;1,$Q23=""),"Vencida sin observación"&amp;" · ",""))-3)))</f>
        <v/>
      </c>
      <c r="S23" s="64">
        <f>IF(NOT((COUNTA($B23:$D23)+COUNTA($G23:$L23)+COUNTA($Q23))&gt;0),"",IF(AND($V23="Sub",N($U23)&gt;0),IF(ISNUMBER(INDEX($AM$5:$AM$1000,$U23-4)),DATE(YEAR(INDEX($AM$5:$AM$1000,$U23-4)),MONTH(INDEX($AM$5:$AM$1000,$U23-4)),1),IF(ISNUMBER(INDEX($AN$5:$AN$1000,$U23-4)),DATE(YEAR(INDEX($AN$5:$AN$1000,$U23-4)),MONTH(INDEX($AN$5:$AN$1000,$U23-4)),1),MesCiclo)),IF(ISNUMBER($AM23),DATE(YEAR($AM23),MONTH($AM23),1),IF(ISNUMBER($AN23),DATE(YEAR($AN23),MONTH($AN23),1),MesCiclo))))</f>
        <v/>
      </c>
      <c r="T23" s="62">
        <f>IF(OR($S23="",$S23&lt;&gt;MesCiclo,$V23&lt;&gt;"Macro"),"",COUNTIFS($S$5:$S23,MesCiclo,$V$5:$V23,"Macro"))</f>
        <v/>
      </c>
      <c r="U23" s="62">
        <f>IF($V23="","",IF($V23="Macro",ROW(),IFERROR(LOOKUP(2,1/($V$5:$V23="Macro"),ROW($V$5:$V23)),0)))</f>
        <v/>
      </c>
      <c r="V23" s="62">
        <f>IF(NOT((COUNTA($B23:$D23)+COUNTA($G23:$L23)+COUNTA($Q23))&gt;0),"",IF($B23="Subactividad","Sub","Macro"))</f>
        <v/>
      </c>
      <c r="W23" s="62">
        <f>IF($V23="Macro",COUNTIFS($U$5:$U$1000,ROW(),$V$5:$V$1000,"Sub"),"")</f>
        <v/>
      </c>
      <c r="X23" s="62">
        <f>IF($V23="","",IF(ISNUMBER($G23),1,IFERROR(LOOKUP(2,1/($I23:$L23&lt;&gt;""),$I23:$L23),0)))</f>
        <v/>
      </c>
      <c r="Y23" s="62">
        <f>IF($V23="","",IF(AND(ISNUMBER($G23),$G23&lt;=IF($S23=MesCiclo,InicioCiclo,$S23+MOD(2-WEEKDAY($S23),7))+6),1,IF(ISNUMBER($I23),$I23,0)))</f>
        <v/>
      </c>
      <c r="Z23" s="62">
        <f>IF($V23="","",IF(AND(ISNUMBER($G23),$G23&lt;=IF($S23=MesCiclo,InicioCiclo,$S23+MOD(2-WEEKDAY($S23),7))+13),1,IF(ISNUMBER($J23),$J23,$Y23)))</f>
        <v/>
      </c>
      <c r="AA23" s="62">
        <f>IF($V23="","",IF(AND(ISNUMBER($G23),$G23&lt;=IF($S23=MesCiclo,InicioCiclo,$S23+MOD(2-WEEKDAY($S23),7))+20),1,IF(ISNUMBER($K23),$K23,$Z23)))</f>
        <v/>
      </c>
      <c r="AB23" s="62">
        <f>IF($V23="","",IF(AND(ISNUMBER($G23),$G23&lt;=IF($S23=MesCiclo,InicioCiclo,$S23+MOD(2-WEEKDAY($S23),7))+27),1,IF(ISNUMBER($L23),$L23,$AA23)))</f>
        <v/>
      </c>
      <c r="AC23" s="62">
        <f>IF($V23="","",IF(AND(ISNUMBER($G23),$G23&lt;=IF($S23=MesCiclo,InicioCiclo,$S23+MOD(2-WEEKDAY($S23),7))+6),1,IF(N($W23)&gt;0,AVERAGEIFS($Y$5:$Y$1000,$U$5:$U$1000,ROW(),$V$5:$V$1000,"Sub"),$Y23)))</f>
        <v/>
      </c>
      <c r="AD23" s="62">
        <f>IF($V23="","",IF(AND(ISNUMBER($G23),$G23&lt;=IF($S23=MesCiclo,InicioCiclo,$S23+MOD(2-WEEKDAY($S23),7))+13),1,IF(N($W23)&gt;0,AVERAGEIFS($Z$5:$Z$1000,$U$5:$U$1000,ROW(),$V$5:$V$1000,"Sub"),$Z23)))</f>
        <v/>
      </c>
      <c r="AE23" s="62">
        <f>IF($V23="","",IF(AND(ISNUMBER($G23),$G23&lt;=IF($S23=MesCiclo,InicioCiclo,$S23+MOD(2-WEEKDAY($S23),7))+20),1,IF(N($W23)&gt;0,AVERAGEIFS($AA$5:$AA$1000,$U$5:$U$1000,ROW(),$V$5:$V$1000,"Sub"),$AA23)))</f>
        <v/>
      </c>
      <c r="AF23" s="62">
        <f>IF($V23="","",IF(AND(ISNUMBER($G23),$G23&lt;=IF($S23=MesCiclo,InicioCiclo,$S23+MOD(2-WEEKDAY($S23),7))+27),1,IF(N($W23)&gt;0,AVERAGEIFS($AB$5:$AB$1000,$U$5:$U$1000,ROW(),$V$5:$V$1000,"Sub"),$AB23)))</f>
        <v/>
      </c>
      <c r="AG23" s="62">
        <f>IF($V23&lt;&gt;"Macro","",IF(COUNTIFS($S$5:$S$1000,$S23,$V$5:$V$1000,"Macro",$H$5:$H$1000,"&gt;0")=0,1/COUNTIFS($S$5:$S$1000,$S23,$V$5:$V$1000,"Macro"),IF(AND(ISNUMBER($H23),N($H23)&gt;0),$H23,SUMIFS($H$5:$H$1000,$S$5:$S$1000,$S23,$V$5:$V$1000,"Macro")/COUNTIFS($S$5:$S$1000,$S23,$V$5:$V$1000,"Macro",$H$5:$H$1000,"&gt;0"))/(COUNTIFS($S$5:$S$1000,$S23,$V$5:$V$1000,"Macro")*SUMIFS($H$5:$H$1000,$S$5:$S$1000,$S23,$V$5:$V$1000,"Macro")/COUNTIFS($S$5:$S$1000,$S23,$V$5:$V$1000,"Macro",$H$5:$H$1000,"&gt;0"))))</f>
        <v/>
      </c>
      <c r="AH23" s="62" t="n"/>
      <c r="AI23" s="62" t="n"/>
      <c r="AJ23" s="62" t="n"/>
      <c r="AK23" s="62" t="n"/>
      <c r="AL23" s="62">
        <f>IF(LEFT($C23,11)="[Jefatura] ",IFERROR(MATCH("Riesgo Normativo|"&amp;MID($C23,12,500),rDname_ADM,0),0),"")</f>
        <v/>
      </c>
      <c r="AM23" s="62">
        <f>IF(N($AL23)&gt;0,INDEX(rIni_ADM,$AL23),IF(ISNUMBER($E23),$E23,""))</f>
        <v/>
      </c>
      <c r="AN23" s="62">
        <f>IF(N($AL23)&gt;0,INDEX(rLim_ADM,$AL23),IF(ISNUMBER($F23),$F23,""))</f>
        <v/>
      </c>
    </row>
    <row r="24">
      <c r="A24" s="56">
        <f>IF(NOT((COUNTA($B24:$D24)+COUNTA($G24:$L24)+COUNTA($Q24))&gt;0),"",IF($V24="Macro",COUNTIFS($V$5:$V24,"Macro",$S$5:$S24,$S24),IF(N($U24)=0,"?",COUNTIFS(INDEX($V$5:$V$1000,1):INDEX($V$5:$V$1000,$U24-4),"Macro",INDEX($S$5:$S$1000,1):INDEX($S$5:$S$1000,$U24-4),INDEX($S$5:$S$1000,$U24-4))&amp;"."&amp;COUNTIFS($U$5:$U24,$U24,$V$5:$V24,"Sub"))))</f>
        <v/>
      </c>
      <c r="B24" s="57" t="n"/>
      <c r="C24" s="58" t="n"/>
      <c r="D24" s="58" t="n"/>
      <c r="E24" s="59">
        <f>IF(N($AL24)&gt;0,INDEX(rIni_ADM,$AL24),"")</f>
        <v/>
      </c>
      <c r="F24" s="59">
        <f>IF(N($AL24)&gt;0,INDEX(rLim_ADM,$AL24),"")</f>
        <v/>
      </c>
      <c r="G24" s="59" t="n"/>
      <c r="H24" s="60" t="n"/>
      <c r="I24" s="60" t="n"/>
      <c r="J24" s="60" t="n"/>
      <c r="K24" s="60" t="n"/>
      <c r="L24" s="60" t="n"/>
      <c r="M24" s="61">
        <f>IF(NOT((COUNTA($B24:$D24)+COUNTA($G24:$L24)+COUNTA($Q24))&gt;0),"",IF($V24="Sub",IFERROR($X24/INDEX($W$5:$W$1000,$U24-4),""),IF(ISNUMBER($G24),1,IF(N($W24)&gt;0,AVERAGEIFS($X$5:$X$1000,$U$5:$U$1000,ROW(),$V$5:$V$1000,"Sub"),$X24))))</f>
        <v/>
      </c>
      <c r="N24" s="56">
        <f>IF(OR($M24="",$V24="Sub"),"",IF($M24&gt;=1,"Completado",IF($M24&gt;0,"En curso","Pendiente")))</f>
        <v/>
      </c>
      <c r="O24" s="56">
        <f>IF(OR(NOT((COUNTA($B24:$D24)+COUNTA($G24:$L24)+COUNTA($Q24))&gt;0),$V24="Sub"),"",IF(ISNUMBER($G24),IF(AND(ISNUMBER($AN24),$G24&gt;$AN24),"Cumplida con "&amp;($G24-$AN24)&amp;IF($G24-$AN24=1," día"," días")&amp;" de retraso","Cumplida"),IF(N($M24)&gt;=1,"Cumplida",IF(NOT(ISNUMBER($AN24)),"Sin fecha límite",IF($AN24&lt;FechaRef,"Vencida hace "&amp;(FechaRef-$AN24)&amp;IF(FechaRef-$AN24=1," día"," días"),IF($AN24=FechaRef,"Vence hoy",IF($AN24-FechaRef&lt;=DiasAlerta,"Vence en "&amp;($AN24-FechaRef)&amp;IF($AN24-FechaRef=1," día"," días"),"En plazo")))))))</f>
        <v/>
      </c>
      <c r="P24" s="62" t="n"/>
      <c r="Q24" s="58" t="n"/>
      <c r="R24" s="63">
        <f>IF(NOT((COUNTA($B24:$D24)+COUNTA($G24:$L24)+COUNTA($Q24))&gt;0),"",IF((IF($C24="","Falta el nombre de la actividad"&amp;" · ","")&amp;IF(AND($V24="Sub",N($U24)=0),"Subactividad sin macroactividad arriba"&amp;" · ","")&amp;IF($AM24="","Sin fecha de inicio"&amp;" · ","")&amp;IF($AN24="","Sin fecha límite"&amp;" · ","")&amp;IF(AND(LEFT($C24,11)="[Jefatura] ",N($AL24)=0),"No se encuentra en la hoja de la jefatura (elíjala de nuevo en la lista)"&amp;" · ","")&amp;IF(OR(AND($E24&lt;&gt;"",NOT(ISNUMBER($E24))),AND($F24&lt;&gt;"",NOT(ISNUMBER($F24))),AND($G24&lt;&gt;"",NOT(ISNUMBER($G24)))),"Fecha no válida"&amp;" · ","")&amp;IF(AND(ISNUMBER($AM24),ISNUMBER($AN24),$AM24&gt;$AN24),"Inicio posterior a fecha límite"&amp;" · ","")&amp;IF(AND($V24="Macro",$H24&lt;&gt;"",OR(NOT(ISNUMBER($H24)),$H24&lt;0,$H24&gt;1)),"Peso fuera de rango"&amp;" · ","")&amp;IF(AND($V24="Sub",$H24&lt;&gt;""),"Las subactividades no llevan peso (valen igual dentro de su macroactividad)"&amp;" · ","")&amp;IF(AND(N($W24)&gt;0,COUNT($I24:$L24)&gt;0),"Con subactividades: deje vacías las semanas (se calculan solas)"&amp;" · ","")&amp;IF((COUNTIF($I24:$L24,"&gt;1")+COUNTIF($I24:$L24,"&lt;0")+COUNTA($I24:$L24)-COUNT($I24:$L24))&gt;0,"Avance fuera de rango 0-100%"&amp;" · ","")&amp;IF(OR(AND($J24&lt;&gt;"",$J24&lt;$I24),AND($K24&lt;&gt;"",$K24&lt;MAX($I24:$J24)),AND($L24&lt;&gt;"",$L24&lt;MAX($I24:$K24))),"Avance semanal decreciente"&amp;" · ","")&amp;IF(AND(ISNUMBER($AN24),$AN24&lt;FechaRef,IF($V24="Sub",N($X24),N($M24))&lt;1),"Vencida"&amp;" · ","")&amp;IF(AND(ObsObligatoria="Sí",ISNUMBER($AN24),$AN24&lt;FechaRef,IF($V24="Sub",N($X24),N($M24))&lt;1,$Q24=""),"Vencida sin observación"&amp;" · ",""))="","✔ OK","⚠ "&amp;LEFT(IF($C24="","Falta el nombre de la actividad"&amp;" · ","")&amp;IF(AND($V24="Sub",N($U24)=0),"Subactividad sin macroactividad arriba"&amp;" · ","")&amp;IF($AM24="","Sin fecha de inicio"&amp;" · ","")&amp;IF($AN24="","Sin fecha límite"&amp;" · ","")&amp;IF(AND(LEFT($C24,11)="[Jefatura] ",N($AL24)=0),"No se encuentra en la hoja de la jefatura (elíjala de nuevo en la lista)"&amp;" · ","")&amp;IF(OR(AND($E24&lt;&gt;"",NOT(ISNUMBER($E24))),AND($F24&lt;&gt;"",NOT(ISNUMBER($F24))),AND($G24&lt;&gt;"",NOT(ISNUMBER($G24)))),"Fecha no válida"&amp;" · ","")&amp;IF(AND(ISNUMBER($AM24),ISNUMBER($AN24),$AM24&gt;$AN24),"Inicio posterior a fecha límite"&amp;" · ","")&amp;IF(AND($V24="Macro",$H24&lt;&gt;"",OR(NOT(ISNUMBER($H24)),$H24&lt;0,$H24&gt;1)),"Peso fuera de rango"&amp;" · ","")&amp;IF(AND($V24="Sub",$H24&lt;&gt;""),"Las subactividades no llevan peso (valen igual dentro de su macroactividad)"&amp;" · ","")&amp;IF(AND(N($W24)&gt;0,COUNT($I24:$L24)&gt;0),"Con subactividades: deje vacías las semanas (se calculan solas)"&amp;" · ","")&amp;IF((COUNTIF($I24:$L24,"&gt;1")+COUNTIF($I24:$L24,"&lt;0")+COUNTA($I24:$L24)-COUNT($I24:$L24))&gt;0,"Avance fuera de rango 0-100%"&amp;" · ","")&amp;IF(OR(AND($J24&lt;&gt;"",$J24&lt;$I24),AND($K24&lt;&gt;"",$K24&lt;MAX($I24:$J24)),AND($L24&lt;&gt;"",$L24&lt;MAX($I24:$K24))),"Avance semanal decreciente"&amp;" · ","")&amp;IF(AND(ISNUMBER($AN24),$AN24&lt;FechaRef,IF($V24="Sub",N($X24),N($M24))&lt;1),"Vencida"&amp;" · ","")&amp;IF(AND(ObsObligatoria="Sí",ISNUMBER($AN24),$AN24&lt;FechaRef,IF($V24="Sub",N($X24),N($M24))&lt;1,$Q24=""),"Vencida sin observación"&amp;" · ",""),LEN(IF($C24="","Falta el nombre de la actividad"&amp;" · ","")&amp;IF(AND($V24="Sub",N($U24)=0),"Subactividad sin macroactividad arriba"&amp;" · ","")&amp;IF($AM24="","Sin fecha de inicio"&amp;" · ","")&amp;IF($AN24="","Sin fecha límite"&amp;" · ","")&amp;IF(AND(LEFT($C24,11)="[Jefatura] ",N($AL24)=0),"No se encuentra en la hoja de la jefatura (elíjala de nuevo en la lista)"&amp;" · ","")&amp;IF(OR(AND($E24&lt;&gt;"",NOT(ISNUMBER($E24))),AND($F24&lt;&gt;"",NOT(ISNUMBER($F24))),AND($G24&lt;&gt;"",NOT(ISNUMBER($G24)))),"Fecha no válida"&amp;" · ","")&amp;IF(AND(ISNUMBER($AM24),ISNUMBER($AN24),$AM24&gt;$AN24),"Inicio posterior a fecha límite"&amp;" · ","")&amp;IF(AND($V24="Macro",$H24&lt;&gt;"",OR(NOT(ISNUMBER($H24)),$H24&lt;0,$H24&gt;1)),"Peso fuera de rango"&amp;" · ","")&amp;IF(AND($V24="Sub",$H24&lt;&gt;""),"Las subactividades no llevan peso (valen igual dentro de su macroactividad)"&amp;" · ","")&amp;IF(AND(N($W24)&gt;0,COUNT($I24:$L24)&gt;0),"Con subactividades: deje vacías las semanas (se calculan solas)"&amp;" · ","")&amp;IF((COUNTIF($I24:$L24,"&gt;1")+COUNTIF($I24:$L24,"&lt;0")+COUNTA($I24:$L24)-COUNT($I24:$L24))&gt;0,"Avance fuera de rango 0-100%"&amp;" · ","")&amp;IF(OR(AND($J24&lt;&gt;"",$J24&lt;$I24),AND($K24&lt;&gt;"",$K24&lt;MAX($I24:$J24)),AND($L24&lt;&gt;"",$L24&lt;MAX($I24:$K24))),"Avance semanal decreciente"&amp;" · ","")&amp;IF(AND(ISNUMBER($AN24),$AN24&lt;FechaRef,IF($V24="Sub",N($X24),N($M24))&lt;1),"Vencida"&amp;" · ","")&amp;IF(AND(ObsObligatoria="Sí",ISNUMBER($AN24),$AN24&lt;FechaRef,IF($V24="Sub",N($X24),N($M24))&lt;1,$Q24=""),"Vencida sin observación"&amp;" · ",""))-3)))</f>
        <v/>
      </c>
      <c r="S24" s="64">
        <f>IF(NOT((COUNTA($B24:$D24)+COUNTA($G24:$L24)+COUNTA($Q24))&gt;0),"",IF(AND($V24="Sub",N($U24)&gt;0),IF(ISNUMBER(INDEX($AM$5:$AM$1000,$U24-4)),DATE(YEAR(INDEX($AM$5:$AM$1000,$U24-4)),MONTH(INDEX($AM$5:$AM$1000,$U24-4)),1),IF(ISNUMBER(INDEX($AN$5:$AN$1000,$U24-4)),DATE(YEAR(INDEX($AN$5:$AN$1000,$U24-4)),MONTH(INDEX($AN$5:$AN$1000,$U24-4)),1),MesCiclo)),IF(ISNUMBER($AM24),DATE(YEAR($AM24),MONTH($AM24),1),IF(ISNUMBER($AN24),DATE(YEAR($AN24),MONTH($AN24),1),MesCiclo))))</f>
        <v/>
      </c>
      <c r="T24" s="62">
        <f>IF(OR($S24="",$S24&lt;&gt;MesCiclo,$V24&lt;&gt;"Macro"),"",COUNTIFS($S$5:$S24,MesCiclo,$V$5:$V24,"Macro"))</f>
        <v/>
      </c>
      <c r="U24" s="62">
        <f>IF($V24="","",IF($V24="Macro",ROW(),IFERROR(LOOKUP(2,1/($V$5:$V24="Macro"),ROW($V$5:$V24)),0)))</f>
        <v/>
      </c>
      <c r="V24" s="62">
        <f>IF(NOT((COUNTA($B24:$D24)+COUNTA($G24:$L24)+COUNTA($Q24))&gt;0),"",IF($B24="Subactividad","Sub","Macro"))</f>
        <v/>
      </c>
      <c r="W24" s="62">
        <f>IF($V24="Macro",COUNTIFS($U$5:$U$1000,ROW(),$V$5:$V$1000,"Sub"),"")</f>
        <v/>
      </c>
      <c r="X24" s="62">
        <f>IF($V24="","",IF(ISNUMBER($G24),1,IFERROR(LOOKUP(2,1/($I24:$L24&lt;&gt;""),$I24:$L24),0)))</f>
        <v/>
      </c>
      <c r="Y24" s="62">
        <f>IF($V24="","",IF(AND(ISNUMBER($G24),$G24&lt;=IF($S24=MesCiclo,InicioCiclo,$S24+MOD(2-WEEKDAY($S24),7))+6),1,IF(ISNUMBER($I24),$I24,0)))</f>
        <v/>
      </c>
      <c r="Z24" s="62">
        <f>IF($V24="","",IF(AND(ISNUMBER($G24),$G24&lt;=IF($S24=MesCiclo,InicioCiclo,$S24+MOD(2-WEEKDAY($S24),7))+13),1,IF(ISNUMBER($J24),$J24,$Y24)))</f>
        <v/>
      </c>
      <c r="AA24" s="62">
        <f>IF($V24="","",IF(AND(ISNUMBER($G24),$G24&lt;=IF($S24=MesCiclo,InicioCiclo,$S24+MOD(2-WEEKDAY($S24),7))+20),1,IF(ISNUMBER($K24),$K24,$Z24)))</f>
        <v/>
      </c>
      <c r="AB24" s="62">
        <f>IF($V24="","",IF(AND(ISNUMBER($G24),$G24&lt;=IF($S24=MesCiclo,InicioCiclo,$S24+MOD(2-WEEKDAY($S24),7))+27),1,IF(ISNUMBER($L24),$L24,$AA24)))</f>
        <v/>
      </c>
      <c r="AC24" s="62">
        <f>IF($V24="","",IF(AND(ISNUMBER($G24),$G24&lt;=IF($S24=MesCiclo,InicioCiclo,$S24+MOD(2-WEEKDAY($S24),7))+6),1,IF(N($W24)&gt;0,AVERAGEIFS($Y$5:$Y$1000,$U$5:$U$1000,ROW(),$V$5:$V$1000,"Sub"),$Y24)))</f>
        <v/>
      </c>
      <c r="AD24" s="62">
        <f>IF($V24="","",IF(AND(ISNUMBER($G24),$G24&lt;=IF($S24=MesCiclo,InicioCiclo,$S24+MOD(2-WEEKDAY($S24),7))+13),1,IF(N($W24)&gt;0,AVERAGEIFS($Z$5:$Z$1000,$U$5:$U$1000,ROW(),$V$5:$V$1000,"Sub"),$Z24)))</f>
        <v/>
      </c>
      <c r="AE24" s="62">
        <f>IF($V24="","",IF(AND(ISNUMBER($G24),$G24&lt;=IF($S24=MesCiclo,InicioCiclo,$S24+MOD(2-WEEKDAY($S24),7))+20),1,IF(N($W24)&gt;0,AVERAGEIFS($AA$5:$AA$1000,$U$5:$U$1000,ROW(),$V$5:$V$1000,"Sub"),$AA24)))</f>
        <v/>
      </c>
      <c r="AF24" s="62">
        <f>IF($V24="","",IF(AND(ISNUMBER($G24),$G24&lt;=IF($S24=MesCiclo,InicioCiclo,$S24+MOD(2-WEEKDAY($S24),7))+27),1,IF(N($W24)&gt;0,AVERAGEIFS($AB$5:$AB$1000,$U$5:$U$1000,ROW(),$V$5:$V$1000,"Sub"),$AB24)))</f>
        <v/>
      </c>
      <c r="AG24" s="62">
        <f>IF($V24&lt;&gt;"Macro","",IF(COUNTIFS($S$5:$S$1000,$S24,$V$5:$V$1000,"Macro",$H$5:$H$1000,"&gt;0")=0,1/COUNTIFS($S$5:$S$1000,$S24,$V$5:$V$1000,"Macro"),IF(AND(ISNUMBER($H24),N($H24)&gt;0),$H24,SUMIFS($H$5:$H$1000,$S$5:$S$1000,$S24,$V$5:$V$1000,"Macro")/COUNTIFS($S$5:$S$1000,$S24,$V$5:$V$1000,"Macro",$H$5:$H$1000,"&gt;0"))/(COUNTIFS($S$5:$S$1000,$S24,$V$5:$V$1000,"Macro")*SUMIFS($H$5:$H$1000,$S$5:$S$1000,$S24,$V$5:$V$1000,"Macro")/COUNTIFS($S$5:$S$1000,$S24,$V$5:$V$1000,"Macro",$H$5:$H$1000,"&gt;0"))))</f>
        <v/>
      </c>
      <c r="AH24" s="62" t="n"/>
      <c r="AI24" s="62" t="n"/>
      <c r="AJ24" s="62" t="n"/>
      <c r="AK24" s="62" t="n"/>
      <c r="AL24" s="62">
        <f>IF(LEFT($C24,11)="[Jefatura] ",IFERROR(MATCH("Riesgo Normativo|"&amp;MID($C24,12,500),rDname_ADM,0),0),"")</f>
        <v/>
      </c>
      <c r="AM24" s="62">
        <f>IF(N($AL24)&gt;0,INDEX(rIni_ADM,$AL24),IF(ISNUMBER($E24),$E24,""))</f>
        <v/>
      </c>
      <c r="AN24" s="62">
        <f>IF(N($AL24)&gt;0,INDEX(rLim_ADM,$AL24),IF(ISNUMBER($F24),$F24,""))</f>
        <v/>
      </c>
    </row>
    <row r="25">
      <c r="A25" s="56">
        <f>IF(NOT((COUNTA($B25:$D25)+COUNTA($G25:$L25)+COUNTA($Q25))&gt;0),"",IF($V25="Macro",COUNTIFS($V$5:$V25,"Macro",$S$5:$S25,$S25),IF(N($U25)=0,"?",COUNTIFS(INDEX($V$5:$V$1000,1):INDEX($V$5:$V$1000,$U25-4),"Macro",INDEX($S$5:$S$1000,1):INDEX($S$5:$S$1000,$U25-4),INDEX($S$5:$S$1000,$U25-4))&amp;"."&amp;COUNTIFS($U$5:$U25,$U25,$V$5:$V25,"Sub"))))</f>
        <v/>
      </c>
      <c r="B25" s="57" t="n"/>
      <c r="C25" s="58" t="n"/>
      <c r="D25" s="58" t="n"/>
      <c r="E25" s="59">
        <f>IF(N($AL25)&gt;0,INDEX(rIni_ADM,$AL25),"")</f>
        <v/>
      </c>
      <c r="F25" s="59">
        <f>IF(N($AL25)&gt;0,INDEX(rLim_ADM,$AL25),"")</f>
        <v/>
      </c>
      <c r="G25" s="59" t="n"/>
      <c r="H25" s="60" t="n"/>
      <c r="I25" s="60" t="n"/>
      <c r="J25" s="60" t="n"/>
      <c r="K25" s="60" t="n"/>
      <c r="L25" s="60" t="n"/>
      <c r="M25" s="61">
        <f>IF(NOT((COUNTA($B25:$D25)+COUNTA($G25:$L25)+COUNTA($Q25))&gt;0),"",IF($V25="Sub",IFERROR($X25/INDEX($W$5:$W$1000,$U25-4),""),IF(ISNUMBER($G25),1,IF(N($W25)&gt;0,AVERAGEIFS($X$5:$X$1000,$U$5:$U$1000,ROW(),$V$5:$V$1000,"Sub"),$X25))))</f>
        <v/>
      </c>
      <c r="N25" s="56">
        <f>IF(OR($M25="",$V25="Sub"),"",IF($M25&gt;=1,"Completado",IF($M25&gt;0,"En curso","Pendiente")))</f>
        <v/>
      </c>
      <c r="O25" s="56">
        <f>IF(OR(NOT((COUNTA($B25:$D25)+COUNTA($G25:$L25)+COUNTA($Q25))&gt;0),$V25="Sub"),"",IF(ISNUMBER($G25),IF(AND(ISNUMBER($AN25),$G25&gt;$AN25),"Cumplida con "&amp;($G25-$AN25)&amp;IF($G25-$AN25=1," día"," días")&amp;" de retraso","Cumplida"),IF(N($M25)&gt;=1,"Cumplida",IF(NOT(ISNUMBER($AN25)),"Sin fecha límite",IF($AN25&lt;FechaRef,"Vencida hace "&amp;(FechaRef-$AN25)&amp;IF(FechaRef-$AN25=1," día"," días"),IF($AN25=FechaRef,"Vence hoy",IF($AN25-FechaRef&lt;=DiasAlerta,"Vence en "&amp;($AN25-FechaRef)&amp;IF($AN25-FechaRef=1," día"," días"),"En plazo")))))))</f>
        <v/>
      </c>
      <c r="P25" s="62" t="n"/>
      <c r="Q25" s="58" t="n"/>
      <c r="R25" s="63">
        <f>IF(NOT((COUNTA($B25:$D25)+COUNTA($G25:$L25)+COUNTA($Q25))&gt;0),"",IF((IF($C25="","Falta el nombre de la actividad"&amp;" · ","")&amp;IF(AND($V25="Sub",N($U25)=0),"Subactividad sin macroactividad arriba"&amp;" · ","")&amp;IF($AM25="","Sin fecha de inicio"&amp;" · ","")&amp;IF($AN25="","Sin fecha límite"&amp;" · ","")&amp;IF(AND(LEFT($C25,11)="[Jefatura] ",N($AL25)=0),"No se encuentra en la hoja de la jefatura (elíjala de nuevo en la lista)"&amp;" · ","")&amp;IF(OR(AND($E25&lt;&gt;"",NOT(ISNUMBER($E25))),AND($F25&lt;&gt;"",NOT(ISNUMBER($F25))),AND($G25&lt;&gt;"",NOT(ISNUMBER($G25)))),"Fecha no válida"&amp;" · ","")&amp;IF(AND(ISNUMBER($AM25),ISNUMBER($AN25),$AM25&gt;$AN25),"Inicio posterior a fecha límite"&amp;" · ","")&amp;IF(AND($V25="Macro",$H25&lt;&gt;"",OR(NOT(ISNUMBER($H25)),$H25&lt;0,$H25&gt;1)),"Peso fuera de rango"&amp;" · ","")&amp;IF(AND($V25="Sub",$H25&lt;&gt;""),"Las subactividades no llevan peso (valen igual dentro de su macroactividad)"&amp;" · ","")&amp;IF(AND(N($W25)&gt;0,COUNT($I25:$L25)&gt;0),"Con subactividades: deje vacías las semanas (se calculan solas)"&amp;" · ","")&amp;IF((COUNTIF($I25:$L25,"&gt;1")+COUNTIF($I25:$L25,"&lt;0")+COUNTA($I25:$L25)-COUNT($I25:$L25))&gt;0,"Avance fuera de rango 0-100%"&amp;" · ","")&amp;IF(OR(AND($J25&lt;&gt;"",$J25&lt;$I25),AND($K25&lt;&gt;"",$K25&lt;MAX($I25:$J25)),AND($L25&lt;&gt;"",$L25&lt;MAX($I25:$K25))),"Avance semanal decreciente"&amp;" · ","")&amp;IF(AND(ISNUMBER($AN25),$AN25&lt;FechaRef,IF($V25="Sub",N($X25),N($M25))&lt;1),"Vencida"&amp;" · ","")&amp;IF(AND(ObsObligatoria="Sí",ISNUMBER($AN25),$AN25&lt;FechaRef,IF($V25="Sub",N($X25),N($M25))&lt;1,$Q25=""),"Vencida sin observación"&amp;" · ",""))="","✔ OK","⚠ "&amp;LEFT(IF($C25="","Falta el nombre de la actividad"&amp;" · ","")&amp;IF(AND($V25="Sub",N($U25)=0),"Subactividad sin macroactividad arriba"&amp;" · ","")&amp;IF($AM25="","Sin fecha de inicio"&amp;" · ","")&amp;IF($AN25="","Sin fecha límite"&amp;" · ","")&amp;IF(AND(LEFT($C25,11)="[Jefatura] ",N($AL25)=0),"No se encuentra en la hoja de la jefatura (elíjala de nuevo en la lista)"&amp;" · ","")&amp;IF(OR(AND($E25&lt;&gt;"",NOT(ISNUMBER($E25))),AND($F25&lt;&gt;"",NOT(ISNUMBER($F25))),AND($G25&lt;&gt;"",NOT(ISNUMBER($G25)))),"Fecha no válida"&amp;" · ","")&amp;IF(AND(ISNUMBER($AM25),ISNUMBER($AN25),$AM25&gt;$AN25),"Inicio posterior a fecha límite"&amp;" · ","")&amp;IF(AND($V25="Macro",$H25&lt;&gt;"",OR(NOT(ISNUMBER($H25)),$H25&lt;0,$H25&gt;1)),"Peso fuera de rango"&amp;" · ","")&amp;IF(AND($V25="Sub",$H25&lt;&gt;""),"Las subactividades no llevan peso (valen igual dentro de su macroactividad)"&amp;" · ","")&amp;IF(AND(N($W25)&gt;0,COUNT($I25:$L25)&gt;0),"Con subactividades: deje vacías las semanas (se calculan solas)"&amp;" · ","")&amp;IF((COUNTIF($I25:$L25,"&gt;1")+COUNTIF($I25:$L25,"&lt;0")+COUNTA($I25:$L25)-COUNT($I25:$L25))&gt;0,"Avance fuera de rango 0-100%"&amp;" · ","")&amp;IF(OR(AND($J25&lt;&gt;"",$J25&lt;$I25),AND($K25&lt;&gt;"",$K25&lt;MAX($I25:$J25)),AND($L25&lt;&gt;"",$L25&lt;MAX($I25:$K25))),"Avance semanal decreciente"&amp;" · ","")&amp;IF(AND(ISNUMBER($AN25),$AN25&lt;FechaRef,IF($V25="Sub",N($X25),N($M25))&lt;1),"Vencida"&amp;" · ","")&amp;IF(AND(ObsObligatoria="Sí",ISNUMBER($AN25),$AN25&lt;FechaRef,IF($V25="Sub",N($X25),N($M25))&lt;1,$Q25=""),"Vencida sin observación"&amp;" · ",""),LEN(IF($C25="","Falta el nombre de la actividad"&amp;" · ","")&amp;IF(AND($V25="Sub",N($U25)=0),"Subactividad sin macroactividad arriba"&amp;" · ","")&amp;IF($AM25="","Sin fecha de inicio"&amp;" · ","")&amp;IF($AN25="","Sin fecha límite"&amp;" · ","")&amp;IF(AND(LEFT($C25,11)="[Jefatura] ",N($AL25)=0),"No se encuentra en la hoja de la jefatura (elíjala de nuevo en la lista)"&amp;" · ","")&amp;IF(OR(AND($E25&lt;&gt;"",NOT(ISNUMBER($E25))),AND($F25&lt;&gt;"",NOT(ISNUMBER($F25))),AND($G25&lt;&gt;"",NOT(ISNUMBER($G25)))),"Fecha no válida"&amp;" · ","")&amp;IF(AND(ISNUMBER($AM25),ISNUMBER($AN25),$AM25&gt;$AN25),"Inicio posterior a fecha límite"&amp;" · ","")&amp;IF(AND($V25="Macro",$H25&lt;&gt;"",OR(NOT(ISNUMBER($H25)),$H25&lt;0,$H25&gt;1)),"Peso fuera de rango"&amp;" · ","")&amp;IF(AND($V25="Sub",$H25&lt;&gt;""),"Las subactividades no llevan peso (valen igual dentro de su macroactividad)"&amp;" · ","")&amp;IF(AND(N($W25)&gt;0,COUNT($I25:$L25)&gt;0),"Con subactividades: deje vacías las semanas (se calculan solas)"&amp;" · ","")&amp;IF((COUNTIF($I25:$L25,"&gt;1")+COUNTIF($I25:$L25,"&lt;0")+COUNTA($I25:$L25)-COUNT($I25:$L25))&gt;0,"Avance fuera de rango 0-100%"&amp;" · ","")&amp;IF(OR(AND($J25&lt;&gt;"",$J25&lt;$I25),AND($K25&lt;&gt;"",$K25&lt;MAX($I25:$J25)),AND($L25&lt;&gt;"",$L25&lt;MAX($I25:$K25))),"Avance semanal decreciente"&amp;" · ","")&amp;IF(AND(ISNUMBER($AN25),$AN25&lt;FechaRef,IF($V25="Sub",N($X25),N($M25))&lt;1),"Vencida"&amp;" · ","")&amp;IF(AND(ObsObligatoria="Sí",ISNUMBER($AN25),$AN25&lt;FechaRef,IF($V25="Sub",N($X25),N($M25))&lt;1,$Q25=""),"Vencida sin observación"&amp;" · ",""))-3)))</f>
        <v/>
      </c>
      <c r="S25" s="64">
        <f>IF(NOT((COUNTA($B25:$D25)+COUNTA($G25:$L25)+COUNTA($Q25))&gt;0),"",IF(AND($V25="Sub",N($U25)&gt;0),IF(ISNUMBER(INDEX($AM$5:$AM$1000,$U25-4)),DATE(YEAR(INDEX($AM$5:$AM$1000,$U25-4)),MONTH(INDEX($AM$5:$AM$1000,$U25-4)),1),IF(ISNUMBER(INDEX($AN$5:$AN$1000,$U25-4)),DATE(YEAR(INDEX($AN$5:$AN$1000,$U25-4)),MONTH(INDEX($AN$5:$AN$1000,$U25-4)),1),MesCiclo)),IF(ISNUMBER($AM25),DATE(YEAR($AM25),MONTH($AM25),1),IF(ISNUMBER($AN25),DATE(YEAR($AN25),MONTH($AN25),1),MesCiclo))))</f>
        <v/>
      </c>
      <c r="T25" s="62">
        <f>IF(OR($S25="",$S25&lt;&gt;MesCiclo,$V25&lt;&gt;"Macro"),"",COUNTIFS($S$5:$S25,MesCiclo,$V$5:$V25,"Macro"))</f>
        <v/>
      </c>
      <c r="U25" s="62">
        <f>IF($V25="","",IF($V25="Macro",ROW(),IFERROR(LOOKUP(2,1/($V$5:$V25="Macro"),ROW($V$5:$V25)),0)))</f>
        <v/>
      </c>
      <c r="V25" s="62">
        <f>IF(NOT((COUNTA($B25:$D25)+COUNTA($G25:$L25)+COUNTA($Q25))&gt;0),"",IF($B25="Subactividad","Sub","Macro"))</f>
        <v/>
      </c>
      <c r="W25" s="62">
        <f>IF($V25="Macro",COUNTIFS($U$5:$U$1000,ROW(),$V$5:$V$1000,"Sub"),"")</f>
        <v/>
      </c>
      <c r="X25" s="62">
        <f>IF($V25="","",IF(ISNUMBER($G25),1,IFERROR(LOOKUP(2,1/($I25:$L25&lt;&gt;""),$I25:$L25),0)))</f>
        <v/>
      </c>
      <c r="Y25" s="62">
        <f>IF($V25="","",IF(AND(ISNUMBER($G25),$G25&lt;=IF($S25=MesCiclo,InicioCiclo,$S25+MOD(2-WEEKDAY($S25),7))+6),1,IF(ISNUMBER($I25),$I25,0)))</f>
        <v/>
      </c>
      <c r="Z25" s="62">
        <f>IF($V25="","",IF(AND(ISNUMBER($G25),$G25&lt;=IF($S25=MesCiclo,InicioCiclo,$S25+MOD(2-WEEKDAY($S25),7))+13),1,IF(ISNUMBER($J25),$J25,$Y25)))</f>
        <v/>
      </c>
      <c r="AA25" s="62">
        <f>IF($V25="","",IF(AND(ISNUMBER($G25),$G25&lt;=IF($S25=MesCiclo,InicioCiclo,$S25+MOD(2-WEEKDAY($S25),7))+20),1,IF(ISNUMBER($K25),$K25,$Z25)))</f>
        <v/>
      </c>
      <c r="AB25" s="62">
        <f>IF($V25="","",IF(AND(ISNUMBER($G25),$G25&lt;=IF($S25=MesCiclo,InicioCiclo,$S25+MOD(2-WEEKDAY($S25),7))+27),1,IF(ISNUMBER($L25),$L25,$AA25)))</f>
        <v/>
      </c>
      <c r="AC25" s="62">
        <f>IF($V25="","",IF(AND(ISNUMBER($G25),$G25&lt;=IF($S25=MesCiclo,InicioCiclo,$S25+MOD(2-WEEKDAY($S25),7))+6),1,IF(N($W25)&gt;0,AVERAGEIFS($Y$5:$Y$1000,$U$5:$U$1000,ROW(),$V$5:$V$1000,"Sub"),$Y25)))</f>
        <v/>
      </c>
      <c r="AD25" s="62">
        <f>IF($V25="","",IF(AND(ISNUMBER($G25),$G25&lt;=IF($S25=MesCiclo,InicioCiclo,$S25+MOD(2-WEEKDAY($S25),7))+13),1,IF(N($W25)&gt;0,AVERAGEIFS($Z$5:$Z$1000,$U$5:$U$1000,ROW(),$V$5:$V$1000,"Sub"),$Z25)))</f>
        <v/>
      </c>
      <c r="AE25" s="62">
        <f>IF($V25="","",IF(AND(ISNUMBER($G25),$G25&lt;=IF($S25=MesCiclo,InicioCiclo,$S25+MOD(2-WEEKDAY($S25),7))+20),1,IF(N($W25)&gt;0,AVERAGEIFS($AA$5:$AA$1000,$U$5:$U$1000,ROW(),$V$5:$V$1000,"Sub"),$AA25)))</f>
        <v/>
      </c>
      <c r="AF25" s="62">
        <f>IF($V25="","",IF(AND(ISNUMBER($G25),$G25&lt;=IF($S25=MesCiclo,InicioCiclo,$S25+MOD(2-WEEKDAY($S25),7))+27),1,IF(N($W25)&gt;0,AVERAGEIFS($AB$5:$AB$1000,$U$5:$U$1000,ROW(),$V$5:$V$1000,"Sub"),$AB25)))</f>
        <v/>
      </c>
      <c r="AG25" s="62">
        <f>IF($V25&lt;&gt;"Macro","",IF(COUNTIFS($S$5:$S$1000,$S25,$V$5:$V$1000,"Macro",$H$5:$H$1000,"&gt;0")=0,1/COUNTIFS($S$5:$S$1000,$S25,$V$5:$V$1000,"Macro"),IF(AND(ISNUMBER($H25),N($H25)&gt;0),$H25,SUMIFS($H$5:$H$1000,$S$5:$S$1000,$S25,$V$5:$V$1000,"Macro")/COUNTIFS($S$5:$S$1000,$S25,$V$5:$V$1000,"Macro",$H$5:$H$1000,"&gt;0"))/(COUNTIFS($S$5:$S$1000,$S25,$V$5:$V$1000,"Macro")*SUMIFS($H$5:$H$1000,$S$5:$S$1000,$S25,$V$5:$V$1000,"Macro")/COUNTIFS($S$5:$S$1000,$S25,$V$5:$V$1000,"Macro",$H$5:$H$1000,"&gt;0"))))</f>
        <v/>
      </c>
      <c r="AH25" s="62" t="n"/>
      <c r="AI25" s="62" t="n"/>
      <c r="AJ25" s="62" t="n"/>
      <c r="AK25" s="62" t="n"/>
      <c r="AL25" s="62">
        <f>IF(LEFT($C25,11)="[Jefatura] ",IFERROR(MATCH("Riesgo Normativo|"&amp;MID($C25,12,500),rDname_ADM,0),0),"")</f>
        <v/>
      </c>
      <c r="AM25" s="62">
        <f>IF(N($AL25)&gt;0,INDEX(rIni_ADM,$AL25),IF(ISNUMBER($E25),$E25,""))</f>
        <v/>
      </c>
      <c r="AN25" s="62">
        <f>IF(N($AL25)&gt;0,INDEX(rLim_ADM,$AL25),IF(ISNUMBER($F25),$F25,""))</f>
        <v/>
      </c>
    </row>
    <row r="26">
      <c r="A26" s="56">
        <f>IF(NOT((COUNTA($B26:$D26)+COUNTA($G26:$L26)+COUNTA($Q26))&gt;0),"",IF($V26="Macro",COUNTIFS($V$5:$V26,"Macro",$S$5:$S26,$S26),IF(N($U26)=0,"?",COUNTIFS(INDEX($V$5:$V$1000,1):INDEX($V$5:$V$1000,$U26-4),"Macro",INDEX($S$5:$S$1000,1):INDEX($S$5:$S$1000,$U26-4),INDEX($S$5:$S$1000,$U26-4))&amp;"."&amp;COUNTIFS($U$5:$U26,$U26,$V$5:$V26,"Sub"))))</f>
        <v/>
      </c>
      <c r="B26" s="57" t="n"/>
      <c r="C26" s="58" t="n"/>
      <c r="D26" s="58" t="n"/>
      <c r="E26" s="59">
        <f>IF(N($AL26)&gt;0,INDEX(rIni_ADM,$AL26),"")</f>
        <v/>
      </c>
      <c r="F26" s="59">
        <f>IF(N($AL26)&gt;0,INDEX(rLim_ADM,$AL26),"")</f>
        <v/>
      </c>
      <c r="G26" s="59" t="n"/>
      <c r="H26" s="60" t="n"/>
      <c r="I26" s="60" t="n"/>
      <c r="J26" s="60" t="n"/>
      <c r="K26" s="60" t="n"/>
      <c r="L26" s="60" t="n"/>
      <c r="M26" s="61">
        <f>IF(NOT((COUNTA($B26:$D26)+COUNTA($G26:$L26)+COUNTA($Q26))&gt;0),"",IF($V26="Sub",IFERROR($X26/INDEX($W$5:$W$1000,$U26-4),""),IF(ISNUMBER($G26),1,IF(N($W26)&gt;0,AVERAGEIFS($X$5:$X$1000,$U$5:$U$1000,ROW(),$V$5:$V$1000,"Sub"),$X26))))</f>
        <v/>
      </c>
      <c r="N26" s="56">
        <f>IF(OR($M26="",$V26="Sub"),"",IF($M26&gt;=1,"Completado",IF($M26&gt;0,"En curso","Pendiente")))</f>
        <v/>
      </c>
      <c r="O26" s="56">
        <f>IF(OR(NOT((COUNTA($B26:$D26)+COUNTA($G26:$L26)+COUNTA($Q26))&gt;0),$V26="Sub"),"",IF(ISNUMBER($G26),IF(AND(ISNUMBER($AN26),$G26&gt;$AN26),"Cumplida con "&amp;($G26-$AN26)&amp;IF($G26-$AN26=1," día"," días")&amp;" de retraso","Cumplida"),IF(N($M26)&gt;=1,"Cumplida",IF(NOT(ISNUMBER($AN26)),"Sin fecha límite",IF($AN26&lt;FechaRef,"Vencida hace "&amp;(FechaRef-$AN26)&amp;IF(FechaRef-$AN26=1," día"," días"),IF($AN26=FechaRef,"Vence hoy",IF($AN26-FechaRef&lt;=DiasAlerta,"Vence en "&amp;($AN26-FechaRef)&amp;IF($AN26-FechaRef=1," día"," días"),"En plazo")))))))</f>
        <v/>
      </c>
      <c r="P26" s="62" t="n"/>
      <c r="Q26" s="58" t="n"/>
      <c r="R26" s="63">
        <f>IF(NOT((COUNTA($B26:$D26)+COUNTA($G26:$L26)+COUNTA($Q26))&gt;0),"",IF((IF($C26="","Falta el nombre de la actividad"&amp;" · ","")&amp;IF(AND($V26="Sub",N($U26)=0),"Subactividad sin macroactividad arriba"&amp;" · ","")&amp;IF($AM26="","Sin fecha de inicio"&amp;" · ","")&amp;IF($AN26="","Sin fecha límite"&amp;" · ","")&amp;IF(AND(LEFT($C26,11)="[Jefatura] ",N($AL26)=0),"No se encuentra en la hoja de la jefatura (elíjala de nuevo en la lista)"&amp;" · ","")&amp;IF(OR(AND($E26&lt;&gt;"",NOT(ISNUMBER($E26))),AND($F26&lt;&gt;"",NOT(ISNUMBER($F26))),AND($G26&lt;&gt;"",NOT(ISNUMBER($G26)))),"Fecha no válida"&amp;" · ","")&amp;IF(AND(ISNUMBER($AM26),ISNUMBER($AN26),$AM26&gt;$AN26),"Inicio posterior a fecha límite"&amp;" · ","")&amp;IF(AND($V26="Macro",$H26&lt;&gt;"",OR(NOT(ISNUMBER($H26)),$H26&lt;0,$H26&gt;1)),"Peso fuera de rango"&amp;" · ","")&amp;IF(AND($V26="Sub",$H26&lt;&gt;""),"Las subactividades no llevan peso (valen igual dentro de su macroactividad)"&amp;" · ","")&amp;IF(AND(N($W26)&gt;0,COUNT($I26:$L26)&gt;0),"Con subactividades: deje vacías las semanas (se calculan solas)"&amp;" · ","")&amp;IF((COUNTIF($I26:$L26,"&gt;1")+COUNTIF($I26:$L26,"&lt;0")+COUNTA($I26:$L26)-COUNT($I26:$L26))&gt;0,"Avance fuera de rango 0-100%"&amp;" · ","")&amp;IF(OR(AND($J26&lt;&gt;"",$J26&lt;$I26),AND($K26&lt;&gt;"",$K26&lt;MAX($I26:$J26)),AND($L26&lt;&gt;"",$L26&lt;MAX($I26:$K26))),"Avance semanal decreciente"&amp;" · ","")&amp;IF(AND(ISNUMBER($AN26),$AN26&lt;FechaRef,IF($V26="Sub",N($X26),N($M26))&lt;1),"Vencida"&amp;" · ","")&amp;IF(AND(ObsObligatoria="Sí",ISNUMBER($AN26),$AN26&lt;FechaRef,IF($V26="Sub",N($X26),N($M26))&lt;1,$Q26=""),"Vencida sin observación"&amp;" · ",""))="","✔ OK","⚠ "&amp;LEFT(IF($C26="","Falta el nombre de la actividad"&amp;" · ","")&amp;IF(AND($V26="Sub",N($U26)=0),"Subactividad sin macroactividad arriba"&amp;" · ","")&amp;IF($AM26="","Sin fecha de inicio"&amp;" · ","")&amp;IF($AN26="","Sin fecha límite"&amp;" · ","")&amp;IF(AND(LEFT($C26,11)="[Jefatura] ",N($AL26)=0),"No se encuentra en la hoja de la jefatura (elíjala de nuevo en la lista)"&amp;" · ","")&amp;IF(OR(AND($E26&lt;&gt;"",NOT(ISNUMBER($E26))),AND($F26&lt;&gt;"",NOT(ISNUMBER($F26))),AND($G26&lt;&gt;"",NOT(ISNUMBER($G26)))),"Fecha no válida"&amp;" · ","")&amp;IF(AND(ISNUMBER($AM26),ISNUMBER($AN26),$AM26&gt;$AN26),"Inicio posterior a fecha límite"&amp;" · ","")&amp;IF(AND($V26="Macro",$H26&lt;&gt;"",OR(NOT(ISNUMBER($H26)),$H26&lt;0,$H26&gt;1)),"Peso fuera de rango"&amp;" · ","")&amp;IF(AND($V26="Sub",$H26&lt;&gt;""),"Las subactividades no llevan peso (valen igual dentro de su macroactividad)"&amp;" · ","")&amp;IF(AND(N($W26)&gt;0,COUNT($I26:$L26)&gt;0),"Con subactividades: deje vacías las semanas (se calculan solas)"&amp;" · ","")&amp;IF((COUNTIF($I26:$L26,"&gt;1")+COUNTIF($I26:$L26,"&lt;0")+COUNTA($I26:$L26)-COUNT($I26:$L26))&gt;0,"Avance fuera de rango 0-100%"&amp;" · ","")&amp;IF(OR(AND($J26&lt;&gt;"",$J26&lt;$I26),AND($K26&lt;&gt;"",$K26&lt;MAX($I26:$J26)),AND($L26&lt;&gt;"",$L26&lt;MAX($I26:$K26))),"Avance semanal decreciente"&amp;" · ","")&amp;IF(AND(ISNUMBER($AN26),$AN26&lt;FechaRef,IF($V26="Sub",N($X26),N($M26))&lt;1),"Vencida"&amp;" · ","")&amp;IF(AND(ObsObligatoria="Sí",ISNUMBER($AN26),$AN26&lt;FechaRef,IF($V26="Sub",N($X26),N($M26))&lt;1,$Q26=""),"Vencida sin observación"&amp;" · ",""),LEN(IF($C26="","Falta el nombre de la actividad"&amp;" · ","")&amp;IF(AND($V26="Sub",N($U26)=0),"Subactividad sin macroactividad arriba"&amp;" · ","")&amp;IF($AM26="","Sin fecha de inicio"&amp;" · ","")&amp;IF($AN26="","Sin fecha límite"&amp;" · ","")&amp;IF(AND(LEFT($C26,11)="[Jefatura] ",N($AL26)=0),"No se encuentra en la hoja de la jefatura (elíjala de nuevo en la lista)"&amp;" · ","")&amp;IF(OR(AND($E26&lt;&gt;"",NOT(ISNUMBER($E26))),AND($F26&lt;&gt;"",NOT(ISNUMBER($F26))),AND($G26&lt;&gt;"",NOT(ISNUMBER($G26)))),"Fecha no válida"&amp;" · ","")&amp;IF(AND(ISNUMBER($AM26),ISNUMBER($AN26),$AM26&gt;$AN26),"Inicio posterior a fecha límite"&amp;" · ","")&amp;IF(AND($V26="Macro",$H26&lt;&gt;"",OR(NOT(ISNUMBER($H26)),$H26&lt;0,$H26&gt;1)),"Peso fuera de rango"&amp;" · ","")&amp;IF(AND($V26="Sub",$H26&lt;&gt;""),"Las subactividades no llevan peso (valen igual dentro de su macroactividad)"&amp;" · ","")&amp;IF(AND(N($W26)&gt;0,COUNT($I26:$L26)&gt;0),"Con subactividades: deje vacías las semanas (se calculan solas)"&amp;" · ","")&amp;IF((COUNTIF($I26:$L26,"&gt;1")+COUNTIF($I26:$L26,"&lt;0")+COUNTA($I26:$L26)-COUNT($I26:$L26))&gt;0,"Avance fuera de rango 0-100%"&amp;" · ","")&amp;IF(OR(AND($J26&lt;&gt;"",$J26&lt;$I26),AND($K26&lt;&gt;"",$K26&lt;MAX($I26:$J26)),AND($L26&lt;&gt;"",$L26&lt;MAX($I26:$K26))),"Avance semanal decreciente"&amp;" · ","")&amp;IF(AND(ISNUMBER($AN26),$AN26&lt;FechaRef,IF($V26="Sub",N($X26),N($M26))&lt;1),"Vencida"&amp;" · ","")&amp;IF(AND(ObsObligatoria="Sí",ISNUMBER($AN26),$AN26&lt;FechaRef,IF($V26="Sub",N($X26),N($M26))&lt;1,$Q26=""),"Vencida sin observación"&amp;" · ",""))-3)))</f>
        <v/>
      </c>
      <c r="S26" s="64">
        <f>IF(NOT((COUNTA($B26:$D26)+COUNTA($G26:$L26)+COUNTA($Q26))&gt;0),"",IF(AND($V26="Sub",N($U26)&gt;0),IF(ISNUMBER(INDEX($AM$5:$AM$1000,$U26-4)),DATE(YEAR(INDEX($AM$5:$AM$1000,$U26-4)),MONTH(INDEX($AM$5:$AM$1000,$U26-4)),1),IF(ISNUMBER(INDEX($AN$5:$AN$1000,$U26-4)),DATE(YEAR(INDEX($AN$5:$AN$1000,$U26-4)),MONTH(INDEX($AN$5:$AN$1000,$U26-4)),1),MesCiclo)),IF(ISNUMBER($AM26),DATE(YEAR($AM26),MONTH($AM26),1),IF(ISNUMBER($AN26),DATE(YEAR($AN26),MONTH($AN26),1),MesCiclo))))</f>
        <v/>
      </c>
      <c r="T26" s="62">
        <f>IF(OR($S26="",$S26&lt;&gt;MesCiclo,$V26&lt;&gt;"Macro"),"",COUNTIFS($S$5:$S26,MesCiclo,$V$5:$V26,"Macro"))</f>
        <v/>
      </c>
      <c r="U26" s="62">
        <f>IF($V26="","",IF($V26="Macro",ROW(),IFERROR(LOOKUP(2,1/($V$5:$V26="Macro"),ROW($V$5:$V26)),0)))</f>
        <v/>
      </c>
      <c r="V26" s="62">
        <f>IF(NOT((COUNTA($B26:$D26)+COUNTA($G26:$L26)+COUNTA($Q26))&gt;0),"",IF($B26="Subactividad","Sub","Macro"))</f>
        <v/>
      </c>
      <c r="W26" s="62">
        <f>IF($V26="Macro",COUNTIFS($U$5:$U$1000,ROW(),$V$5:$V$1000,"Sub"),"")</f>
        <v/>
      </c>
      <c r="X26" s="62">
        <f>IF($V26="","",IF(ISNUMBER($G26),1,IFERROR(LOOKUP(2,1/($I26:$L26&lt;&gt;""),$I26:$L26),0)))</f>
        <v/>
      </c>
      <c r="Y26" s="62">
        <f>IF($V26="","",IF(AND(ISNUMBER($G26),$G26&lt;=IF($S26=MesCiclo,InicioCiclo,$S26+MOD(2-WEEKDAY($S26),7))+6),1,IF(ISNUMBER($I26),$I26,0)))</f>
        <v/>
      </c>
      <c r="Z26" s="62">
        <f>IF($V26="","",IF(AND(ISNUMBER($G26),$G26&lt;=IF($S26=MesCiclo,InicioCiclo,$S26+MOD(2-WEEKDAY($S26),7))+13),1,IF(ISNUMBER($J26),$J26,$Y26)))</f>
        <v/>
      </c>
      <c r="AA26" s="62">
        <f>IF($V26="","",IF(AND(ISNUMBER($G26),$G26&lt;=IF($S26=MesCiclo,InicioCiclo,$S26+MOD(2-WEEKDAY($S26),7))+20),1,IF(ISNUMBER($K26),$K26,$Z26)))</f>
        <v/>
      </c>
      <c r="AB26" s="62">
        <f>IF($V26="","",IF(AND(ISNUMBER($G26),$G26&lt;=IF($S26=MesCiclo,InicioCiclo,$S26+MOD(2-WEEKDAY($S26),7))+27),1,IF(ISNUMBER($L26),$L26,$AA26)))</f>
        <v/>
      </c>
      <c r="AC26" s="62">
        <f>IF($V26="","",IF(AND(ISNUMBER($G26),$G26&lt;=IF($S26=MesCiclo,InicioCiclo,$S26+MOD(2-WEEKDAY($S26),7))+6),1,IF(N($W26)&gt;0,AVERAGEIFS($Y$5:$Y$1000,$U$5:$U$1000,ROW(),$V$5:$V$1000,"Sub"),$Y26)))</f>
        <v/>
      </c>
      <c r="AD26" s="62">
        <f>IF($V26="","",IF(AND(ISNUMBER($G26),$G26&lt;=IF($S26=MesCiclo,InicioCiclo,$S26+MOD(2-WEEKDAY($S26),7))+13),1,IF(N($W26)&gt;0,AVERAGEIFS($Z$5:$Z$1000,$U$5:$U$1000,ROW(),$V$5:$V$1000,"Sub"),$Z26)))</f>
        <v/>
      </c>
      <c r="AE26" s="62">
        <f>IF($V26="","",IF(AND(ISNUMBER($G26),$G26&lt;=IF($S26=MesCiclo,InicioCiclo,$S26+MOD(2-WEEKDAY($S26),7))+20),1,IF(N($W26)&gt;0,AVERAGEIFS($AA$5:$AA$1000,$U$5:$U$1000,ROW(),$V$5:$V$1000,"Sub"),$AA26)))</f>
        <v/>
      </c>
      <c r="AF26" s="62">
        <f>IF($V26="","",IF(AND(ISNUMBER($G26),$G26&lt;=IF($S26=MesCiclo,InicioCiclo,$S26+MOD(2-WEEKDAY($S26),7))+27),1,IF(N($W26)&gt;0,AVERAGEIFS($AB$5:$AB$1000,$U$5:$U$1000,ROW(),$V$5:$V$1000,"Sub"),$AB26)))</f>
        <v/>
      </c>
      <c r="AG26" s="62">
        <f>IF($V26&lt;&gt;"Macro","",IF(COUNTIFS($S$5:$S$1000,$S26,$V$5:$V$1000,"Macro",$H$5:$H$1000,"&gt;0")=0,1/COUNTIFS($S$5:$S$1000,$S26,$V$5:$V$1000,"Macro"),IF(AND(ISNUMBER($H26),N($H26)&gt;0),$H26,SUMIFS($H$5:$H$1000,$S$5:$S$1000,$S26,$V$5:$V$1000,"Macro")/COUNTIFS($S$5:$S$1000,$S26,$V$5:$V$1000,"Macro",$H$5:$H$1000,"&gt;0"))/(COUNTIFS($S$5:$S$1000,$S26,$V$5:$V$1000,"Macro")*SUMIFS($H$5:$H$1000,$S$5:$S$1000,$S26,$V$5:$V$1000,"Macro")/COUNTIFS($S$5:$S$1000,$S26,$V$5:$V$1000,"Macro",$H$5:$H$1000,"&gt;0"))))</f>
        <v/>
      </c>
      <c r="AH26" s="62" t="n"/>
      <c r="AI26" s="62" t="n"/>
      <c r="AJ26" s="62" t="n"/>
      <c r="AK26" s="62" t="n"/>
      <c r="AL26" s="62">
        <f>IF(LEFT($C26,11)="[Jefatura] ",IFERROR(MATCH("Riesgo Normativo|"&amp;MID($C26,12,500),rDname_ADM,0),0),"")</f>
        <v/>
      </c>
      <c r="AM26" s="62">
        <f>IF(N($AL26)&gt;0,INDEX(rIni_ADM,$AL26),IF(ISNUMBER($E26),$E26,""))</f>
        <v/>
      </c>
      <c r="AN26" s="62">
        <f>IF(N($AL26)&gt;0,INDEX(rLim_ADM,$AL26),IF(ISNUMBER($F26),$F26,""))</f>
        <v/>
      </c>
    </row>
    <row r="27">
      <c r="A27" s="56">
        <f>IF(NOT((COUNTA($B27:$D27)+COUNTA($G27:$L27)+COUNTA($Q27))&gt;0),"",IF($V27="Macro",COUNTIFS($V$5:$V27,"Macro",$S$5:$S27,$S27),IF(N($U27)=0,"?",COUNTIFS(INDEX($V$5:$V$1000,1):INDEX($V$5:$V$1000,$U27-4),"Macro",INDEX($S$5:$S$1000,1):INDEX($S$5:$S$1000,$U27-4),INDEX($S$5:$S$1000,$U27-4))&amp;"."&amp;COUNTIFS($U$5:$U27,$U27,$V$5:$V27,"Sub"))))</f>
        <v/>
      </c>
      <c r="B27" s="57" t="n"/>
      <c r="C27" s="58" t="n"/>
      <c r="D27" s="58" t="n"/>
      <c r="E27" s="59">
        <f>IF(N($AL27)&gt;0,INDEX(rIni_ADM,$AL27),"")</f>
        <v/>
      </c>
      <c r="F27" s="59">
        <f>IF(N($AL27)&gt;0,INDEX(rLim_ADM,$AL27),"")</f>
        <v/>
      </c>
      <c r="G27" s="59" t="n"/>
      <c r="H27" s="60" t="n"/>
      <c r="I27" s="60" t="n"/>
      <c r="J27" s="60" t="n"/>
      <c r="K27" s="60" t="n"/>
      <c r="L27" s="60" t="n"/>
      <c r="M27" s="61">
        <f>IF(NOT((COUNTA($B27:$D27)+COUNTA($G27:$L27)+COUNTA($Q27))&gt;0),"",IF($V27="Sub",IFERROR($X27/INDEX($W$5:$W$1000,$U27-4),""),IF(ISNUMBER($G27),1,IF(N($W27)&gt;0,AVERAGEIFS($X$5:$X$1000,$U$5:$U$1000,ROW(),$V$5:$V$1000,"Sub"),$X27))))</f>
        <v/>
      </c>
      <c r="N27" s="56">
        <f>IF(OR($M27="",$V27="Sub"),"",IF($M27&gt;=1,"Completado",IF($M27&gt;0,"En curso","Pendiente")))</f>
        <v/>
      </c>
      <c r="O27" s="56">
        <f>IF(OR(NOT((COUNTA($B27:$D27)+COUNTA($G27:$L27)+COUNTA($Q27))&gt;0),$V27="Sub"),"",IF(ISNUMBER($G27),IF(AND(ISNUMBER($AN27),$G27&gt;$AN27),"Cumplida con "&amp;($G27-$AN27)&amp;IF($G27-$AN27=1," día"," días")&amp;" de retraso","Cumplida"),IF(N($M27)&gt;=1,"Cumplida",IF(NOT(ISNUMBER($AN27)),"Sin fecha límite",IF($AN27&lt;FechaRef,"Vencida hace "&amp;(FechaRef-$AN27)&amp;IF(FechaRef-$AN27=1," día"," días"),IF($AN27=FechaRef,"Vence hoy",IF($AN27-FechaRef&lt;=DiasAlerta,"Vence en "&amp;($AN27-FechaRef)&amp;IF($AN27-FechaRef=1," día"," días"),"En plazo")))))))</f>
        <v/>
      </c>
      <c r="P27" s="62" t="n"/>
      <c r="Q27" s="58" t="n"/>
      <c r="R27" s="63">
        <f>IF(NOT((COUNTA($B27:$D27)+COUNTA($G27:$L27)+COUNTA($Q27))&gt;0),"",IF((IF($C27="","Falta el nombre de la actividad"&amp;" · ","")&amp;IF(AND($V27="Sub",N($U27)=0),"Subactividad sin macroactividad arriba"&amp;" · ","")&amp;IF($AM27="","Sin fecha de inicio"&amp;" · ","")&amp;IF($AN27="","Sin fecha límite"&amp;" · ","")&amp;IF(AND(LEFT($C27,11)="[Jefatura] ",N($AL27)=0),"No se encuentra en la hoja de la jefatura (elíjala de nuevo en la lista)"&amp;" · ","")&amp;IF(OR(AND($E27&lt;&gt;"",NOT(ISNUMBER($E27))),AND($F27&lt;&gt;"",NOT(ISNUMBER($F27))),AND($G27&lt;&gt;"",NOT(ISNUMBER($G27)))),"Fecha no válida"&amp;" · ","")&amp;IF(AND(ISNUMBER($AM27),ISNUMBER($AN27),$AM27&gt;$AN27),"Inicio posterior a fecha límite"&amp;" · ","")&amp;IF(AND($V27="Macro",$H27&lt;&gt;"",OR(NOT(ISNUMBER($H27)),$H27&lt;0,$H27&gt;1)),"Peso fuera de rango"&amp;" · ","")&amp;IF(AND($V27="Sub",$H27&lt;&gt;""),"Las subactividades no llevan peso (valen igual dentro de su macroactividad)"&amp;" · ","")&amp;IF(AND(N($W27)&gt;0,COUNT($I27:$L27)&gt;0),"Con subactividades: deje vacías las semanas (se calculan solas)"&amp;" · ","")&amp;IF((COUNTIF($I27:$L27,"&gt;1")+COUNTIF($I27:$L27,"&lt;0")+COUNTA($I27:$L27)-COUNT($I27:$L27))&gt;0,"Avance fuera de rango 0-100%"&amp;" · ","")&amp;IF(OR(AND($J27&lt;&gt;"",$J27&lt;$I27),AND($K27&lt;&gt;"",$K27&lt;MAX($I27:$J27)),AND($L27&lt;&gt;"",$L27&lt;MAX($I27:$K27))),"Avance semanal decreciente"&amp;" · ","")&amp;IF(AND(ISNUMBER($AN27),$AN27&lt;FechaRef,IF($V27="Sub",N($X27),N($M27))&lt;1),"Vencida"&amp;" · ","")&amp;IF(AND(ObsObligatoria="Sí",ISNUMBER($AN27),$AN27&lt;FechaRef,IF($V27="Sub",N($X27),N($M27))&lt;1,$Q27=""),"Vencida sin observación"&amp;" · ",""))="","✔ OK","⚠ "&amp;LEFT(IF($C27="","Falta el nombre de la actividad"&amp;" · ","")&amp;IF(AND($V27="Sub",N($U27)=0),"Subactividad sin macroactividad arriba"&amp;" · ","")&amp;IF($AM27="","Sin fecha de inicio"&amp;" · ","")&amp;IF($AN27="","Sin fecha límite"&amp;" · ","")&amp;IF(AND(LEFT($C27,11)="[Jefatura] ",N($AL27)=0),"No se encuentra en la hoja de la jefatura (elíjala de nuevo en la lista)"&amp;" · ","")&amp;IF(OR(AND($E27&lt;&gt;"",NOT(ISNUMBER($E27))),AND($F27&lt;&gt;"",NOT(ISNUMBER($F27))),AND($G27&lt;&gt;"",NOT(ISNUMBER($G27)))),"Fecha no válida"&amp;" · ","")&amp;IF(AND(ISNUMBER($AM27),ISNUMBER($AN27),$AM27&gt;$AN27),"Inicio posterior a fecha límite"&amp;" · ","")&amp;IF(AND($V27="Macro",$H27&lt;&gt;"",OR(NOT(ISNUMBER($H27)),$H27&lt;0,$H27&gt;1)),"Peso fuera de rango"&amp;" · ","")&amp;IF(AND($V27="Sub",$H27&lt;&gt;""),"Las subactividades no llevan peso (valen igual dentro de su macroactividad)"&amp;" · ","")&amp;IF(AND(N($W27)&gt;0,COUNT($I27:$L27)&gt;0),"Con subactividades: deje vacías las semanas (se calculan solas)"&amp;" · ","")&amp;IF((COUNTIF($I27:$L27,"&gt;1")+COUNTIF($I27:$L27,"&lt;0")+COUNTA($I27:$L27)-COUNT($I27:$L27))&gt;0,"Avance fuera de rango 0-100%"&amp;" · ","")&amp;IF(OR(AND($J27&lt;&gt;"",$J27&lt;$I27),AND($K27&lt;&gt;"",$K27&lt;MAX($I27:$J27)),AND($L27&lt;&gt;"",$L27&lt;MAX($I27:$K27))),"Avance semanal decreciente"&amp;" · ","")&amp;IF(AND(ISNUMBER($AN27),$AN27&lt;FechaRef,IF($V27="Sub",N($X27),N($M27))&lt;1),"Vencida"&amp;" · ","")&amp;IF(AND(ObsObligatoria="Sí",ISNUMBER($AN27),$AN27&lt;FechaRef,IF($V27="Sub",N($X27),N($M27))&lt;1,$Q27=""),"Vencida sin observación"&amp;" · ",""),LEN(IF($C27="","Falta el nombre de la actividad"&amp;" · ","")&amp;IF(AND($V27="Sub",N($U27)=0),"Subactividad sin macroactividad arriba"&amp;" · ","")&amp;IF($AM27="","Sin fecha de inicio"&amp;" · ","")&amp;IF($AN27="","Sin fecha límite"&amp;" · ","")&amp;IF(AND(LEFT($C27,11)="[Jefatura] ",N($AL27)=0),"No se encuentra en la hoja de la jefatura (elíjala de nuevo en la lista)"&amp;" · ","")&amp;IF(OR(AND($E27&lt;&gt;"",NOT(ISNUMBER($E27))),AND($F27&lt;&gt;"",NOT(ISNUMBER($F27))),AND($G27&lt;&gt;"",NOT(ISNUMBER($G27)))),"Fecha no válida"&amp;" · ","")&amp;IF(AND(ISNUMBER($AM27),ISNUMBER($AN27),$AM27&gt;$AN27),"Inicio posterior a fecha límite"&amp;" · ","")&amp;IF(AND($V27="Macro",$H27&lt;&gt;"",OR(NOT(ISNUMBER($H27)),$H27&lt;0,$H27&gt;1)),"Peso fuera de rango"&amp;" · ","")&amp;IF(AND($V27="Sub",$H27&lt;&gt;""),"Las subactividades no llevan peso (valen igual dentro de su macroactividad)"&amp;" · ","")&amp;IF(AND(N($W27)&gt;0,COUNT($I27:$L27)&gt;0),"Con subactividades: deje vacías las semanas (se calculan solas)"&amp;" · ","")&amp;IF((COUNTIF($I27:$L27,"&gt;1")+COUNTIF($I27:$L27,"&lt;0")+COUNTA($I27:$L27)-COUNT($I27:$L27))&gt;0,"Avance fuera de rango 0-100%"&amp;" · ","")&amp;IF(OR(AND($J27&lt;&gt;"",$J27&lt;$I27),AND($K27&lt;&gt;"",$K27&lt;MAX($I27:$J27)),AND($L27&lt;&gt;"",$L27&lt;MAX($I27:$K27))),"Avance semanal decreciente"&amp;" · ","")&amp;IF(AND(ISNUMBER($AN27),$AN27&lt;FechaRef,IF($V27="Sub",N($X27),N($M27))&lt;1),"Vencida"&amp;" · ","")&amp;IF(AND(ObsObligatoria="Sí",ISNUMBER($AN27),$AN27&lt;FechaRef,IF($V27="Sub",N($X27),N($M27))&lt;1,$Q27=""),"Vencida sin observación"&amp;" · ",""))-3)))</f>
        <v/>
      </c>
      <c r="S27" s="64">
        <f>IF(NOT((COUNTA($B27:$D27)+COUNTA($G27:$L27)+COUNTA($Q27))&gt;0),"",IF(AND($V27="Sub",N($U27)&gt;0),IF(ISNUMBER(INDEX($AM$5:$AM$1000,$U27-4)),DATE(YEAR(INDEX($AM$5:$AM$1000,$U27-4)),MONTH(INDEX($AM$5:$AM$1000,$U27-4)),1),IF(ISNUMBER(INDEX($AN$5:$AN$1000,$U27-4)),DATE(YEAR(INDEX($AN$5:$AN$1000,$U27-4)),MONTH(INDEX($AN$5:$AN$1000,$U27-4)),1),MesCiclo)),IF(ISNUMBER($AM27),DATE(YEAR($AM27),MONTH($AM27),1),IF(ISNUMBER($AN27),DATE(YEAR($AN27),MONTH($AN27),1),MesCiclo))))</f>
        <v/>
      </c>
      <c r="T27" s="62">
        <f>IF(OR($S27="",$S27&lt;&gt;MesCiclo,$V27&lt;&gt;"Macro"),"",COUNTIFS($S$5:$S27,MesCiclo,$V$5:$V27,"Macro"))</f>
        <v/>
      </c>
      <c r="U27" s="62">
        <f>IF($V27="","",IF($V27="Macro",ROW(),IFERROR(LOOKUP(2,1/($V$5:$V27="Macro"),ROW($V$5:$V27)),0)))</f>
        <v/>
      </c>
      <c r="V27" s="62">
        <f>IF(NOT((COUNTA($B27:$D27)+COUNTA($G27:$L27)+COUNTA($Q27))&gt;0),"",IF($B27="Subactividad","Sub","Macro"))</f>
        <v/>
      </c>
      <c r="W27" s="62">
        <f>IF($V27="Macro",COUNTIFS($U$5:$U$1000,ROW(),$V$5:$V$1000,"Sub"),"")</f>
        <v/>
      </c>
      <c r="X27" s="62">
        <f>IF($V27="","",IF(ISNUMBER($G27),1,IFERROR(LOOKUP(2,1/($I27:$L27&lt;&gt;""),$I27:$L27),0)))</f>
        <v/>
      </c>
      <c r="Y27" s="62">
        <f>IF($V27="","",IF(AND(ISNUMBER($G27),$G27&lt;=IF($S27=MesCiclo,InicioCiclo,$S27+MOD(2-WEEKDAY($S27),7))+6),1,IF(ISNUMBER($I27),$I27,0)))</f>
        <v/>
      </c>
      <c r="Z27" s="62">
        <f>IF($V27="","",IF(AND(ISNUMBER($G27),$G27&lt;=IF($S27=MesCiclo,InicioCiclo,$S27+MOD(2-WEEKDAY($S27),7))+13),1,IF(ISNUMBER($J27),$J27,$Y27)))</f>
        <v/>
      </c>
      <c r="AA27" s="62">
        <f>IF($V27="","",IF(AND(ISNUMBER($G27),$G27&lt;=IF($S27=MesCiclo,InicioCiclo,$S27+MOD(2-WEEKDAY($S27),7))+20),1,IF(ISNUMBER($K27),$K27,$Z27)))</f>
        <v/>
      </c>
      <c r="AB27" s="62">
        <f>IF($V27="","",IF(AND(ISNUMBER($G27),$G27&lt;=IF($S27=MesCiclo,InicioCiclo,$S27+MOD(2-WEEKDAY($S27),7))+27),1,IF(ISNUMBER($L27),$L27,$AA27)))</f>
        <v/>
      </c>
      <c r="AC27" s="62">
        <f>IF($V27="","",IF(AND(ISNUMBER($G27),$G27&lt;=IF($S27=MesCiclo,InicioCiclo,$S27+MOD(2-WEEKDAY($S27),7))+6),1,IF(N($W27)&gt;0,AVERAGEIFS($Y$5:$Y$1000,$U$5:$U$1000,ROW(),$V$5:$V$1000,"Sub"),$Y27)))</f>
        <v/>
      </c>
      <c r="AD27" s="62">
        <f>IF($V27="","",IF(AND(ISNUMBER($G27),$G27&lt;=IF($S27=MesCiclo,InicioCiclo,$S27+MOD(2-WEEKDAY($S27),7))+13),1,IF(N($W27)&gt;0,AVERAGEIFS($Z$5:$Z$1000,$U$5:$U$1000,ROW(),$V$5:$V$1000,"Sub"),$Z27)))</f>
        <v/>
      </c>
      <c r="AE27" s="62">
        <f>IF($V27="","",IF(AND(ISNUMBER($G27),$G27&lt;=IF($S27=MesCiclo,InicioCiclo,$S27+MOD(2-WEEKDAY($S27),7))+20),1,IF(N($W27)&gt;0,AVERAGEIFS($AA$5:$AA$1000,$U$5:$U$1000,ROW(),$V$5:$V$1000,"Sub"),$AA27)))</f>
        <v/>
      </c>
      <c r="AF27" s="62">
        <f>IF($V27="","",IF(AND(ISNUMBER($G27),$G27&lt;=IF($S27=MesCiclo,InicioCiclo,$S27+MOD(2-WEEKDAY($S27),7))+27),1,IF(N($W27)&gt;0,AVERAGEIFS($AB$5:$AB$1000,$U$5:$U$1000,ROW(),$V$5:$V$1000,"Sub"),$AB27)))</f>
        <v/>
      </c>
      <c r="AG27" s="62">
        <f>IF($V27&lt;&gt;"Macro","",IF(COUNTIFS($S$5:$S$1000,$S27,$V$5:$V$1000,"Macro",$H$5:$H$1000,"&gt;0")=0,1/COUNTIFS($S$5:$S$1000,$S27,$V$5:$V$1000,"Macro"),IF(AND(ISNUMBER($H27),N($H27)&gt;0),$H27,SUMIFS($H$5:$H$1000,$S$5:$S$1000,$S27,$V$5:$V$1000,"Macro")/COUNTIFS($S$5:$S$1000,$S27,$V$5:$V$1000,"Macro",$H$5:$H$1000,"&gt;0"))/(COUNTIFS($S$5:$S$1000,$S27,$V$5:$V$1000,"Macro")*SUMIFS($H$5:$H$1000,$S$5:$S$1000,$S27,$V$5:$V$1000,"Macro")/COUNTIFS($S$5:$S$1000,$S27,$V$5:$V$1000,"Macro",$H$5:$H$1000,"&gt;0"))))</f>
        <v/>
      </c>
      <c r="AH27" s="62" t="n"/>
      <c r="AI27" s="62" t="n"/>
      <c r="AJ27" s="62" t="n"/>
      <c r="AK27" s="62" t="n"/>
      <c r="AL27" s="62">
        <f>IF(LEFT($C27,11)="[Jefatura] ",IFERROR(MATCH("Riesgo Normativo|"&amp;MID($C27,12,500),rDname_ADM,0),0),"")</f>
        <v/>
      </c>
      <c r="AM27" s="62">
        <f>IF(N($AL27)&gt;0,INDEX(rIni_ADM,$AL27),IF(ISNUMBER($E27),$E27,""))</f>
        <v/>
      </c>
      <c r="AN27" s="62">
        <f>IF(N($AL27)&gt;0,INDEX(rLim_ADM,$AL27),IF(ISNUMBER($F27),$F27,""))</f>
        <v/>
      </c>
    </row>
    <row r="28">
      <c r="A28" s="56">
        <f>IF(NOT((COUNTA($B28:$D28)+COUNTA($G28:$L28)+COUNTA($Q28))&gt;0),"",IF($V28="Macro",COUNTIFS($V$5:$V28,"Macro",$S$5:$S28,$S28),IF(N($U28)=0,"?",COUNTIFS(INDEX($V$5:$V$1000,1):INDEX($V$5:$V$1000,$U28-4),"Macro",INDEX($S$5:$S$1000,1):INDEX($S$5:$S$1000,$U28-4),INDEX($S$5:$S$1000,$U28-4))&amp;"."&amp;COUNTIFS($U$5:$U28,$U28,$V$5:$V28,"Sub"))))</f>
        <v/>
      </c>
      <c r="B28" s="57" t="n"/>
      <c r="C28" s="58" t="n"/>
      <c r="D28" s="58" t="n"/>
      <c r="E28" s="59">
        <f>IF(N($AL28)&gt;0,INDEX(rIni_ADM,$AL28),"")</f>
        <v/>
      </c>
      <c r="F28" s="59">
        <f>IF(N($AL28)&gt;0,INDEX(rLim_ADM,$AL28),"")</f>
        <v/>
      </c>
      <c r="G28" s="59" t="n"/>
      <c r="H28" s="60" t="n"/>
      <c r="I28" s="60" t="n"/>
      <c r="J28" s="60" t="n"/>
      <c r="K28" s="60" t="n"/>
      <c r="L28" s="60" t="n"/>
      <c r="M28" s="61">
        <f>IF(NOT((COUNTA($B28:$D28)+COUNTA($G28:$L28)+COUNTA($Q28))&gt;0),"",IF($V28="Sub",IFERROR($X28/INDEX($W$5:$W$1000,$U28-4),""),IF(ISNUMBER($G28),1,IF(N($W28)&gt;0,AVERAGEIFS($X$5:$X$1000,$U$5:$U$1000,ROW(),$V$5:$V$1000,"Sub"),$X28))))</f>
        <v/>
      </c>
      <c r="N28" s="56">
        <f>IF(OR($M28="",$V28="Sub"),"",IF($M28&gt;=1,"Completado",IF($M28&gt;0,"En curso","Pendiente")))</f>
        <v/>
      </c>
      <c r="O28" s="56">
        <f>IF(OR(NOT((COUNTA($B28:$D28)+COUNTA($G28:$L28)+COUNTA($Q28))&gt;0),$V28="Sub"),"",IF(ISNUMBER($G28),IF(AND(ISNUMBER($AN28),$G28&gt;$AN28),"Cumplida con "&amp;($G28-$AN28)&amp;IF($G28-$AN28=1," día"," días")&amp;" de retraso","Cumplida"),IF(N($M28)&gt;=1,"Cumplida",IF(NOT(ISNUMBER($AN28)),"Sin fecha límite",IF($AN28&lt;FechaRef,"Vencida hace "&amp;(FechaRef-$AN28)&amp;IF(FechaRef-$AN28=1," día"," días"),IF($AN28=FechaRef,"Vence hoy",IF($AN28-FechaRef&lt;=DiasAlerta,"Vence en "&amp;($AN28-FechaRef)&amp;IF($AN28-FechaRef=1," día"," días"),"En plazo")))))))</f>
        <v/>
      </c>
      <c r="P28" s="62" t="n"/>
      <c r="Q28" s="58" t="n"/>
      <c r="R28" s="63">
        <f>IF(NOT((COUNTA($B28:$D28)+COUNTA($G28:$L28)+COUNTA($Q28))&gt;0),"",IF((IF($C28="","Falta el nombre de la actividad"&amp;" · ","")&amp;IF(AND($V28="Sub",N($U28)=0),"Subactividad sin macroactividad arriba"&amp;" · ","")&amp;IF($AM28="","Sin fecha de inicio"&amp;" · ","")&amp;IF($AN28="","Sin fecha límite"&amp;" · ","")&amp;IF(AND(LEFT($C28,11)="[Jefatura] ",N($AL28)=0),"No se encuentra en la hoja de la jefatura (elíjala de nuevo en la lista)"&amp;" · ","")&amp;IF(OR(AND($E28&lt;&gt;"",NOT(ISNUMBER($E28))),AND($F28&lt;&gt;"",NOT(ISNUMBER($F28))),AND($G28&lt;&gt;"",NOT(ISNUMBER($G28)))),"Fecha no válida"&amp;" · ","")&amp;IF(AND(ISNUMBER($AM28),ISNUMBER($AN28),$AM28&gt;$AN28),"Inicio posterior a fecha límite"&amp;" · ","")&amp;IF(AND($V28="Macro",$H28&lt;&gt;"",OR(NOT(ISNUMBER($H28)),$H28&lt;0,$H28&gt;1)),"Peso fuera de rango"&amp;" · ","")&amp;IF(AND($V28="Sub",$H28&lt;&gt;""),"Las subactividades no llevan peso (valen igual dentro de su macroactividad)"&amp;" · ","")&amp;IF(AND(N($W28)&gt;0,COUNT($I28:$L28)&gt;0),"Con subactividades: deje vacías las semanas (se calculan solas)"&amp;" · ","")&amp;IF((COUNTIF($I28:$L28,"&gt;1")+COUNTIF($I28:$L28,"&lt;0")+COUNTA($I28:$L28)-COUNT($I28:$L28))&gt;0,"Avance fuera de rango 0-100%"&amp;" · ","")&amp;IF(OR(AND($J28&lt;&gt;"",$J28&lt;$I28),AND($K28&lt;&gt;"",$K28&lt;MAX($I28:$J28)),AND($L28&lt;&gt;"",$L28&lt;MAX($I28:$K28))),"Avance semanal decreciente"&amp;" · ","")&amp;IF(AND(ISNUMBER($AN28),$AN28&lt;FechaRef,IF($V28="Sub",N($X28),N($M28))&lt;1),"Vencida"&amp;" · ","")&amp;IF(AND(ObsObligatoria="Sí",ISNUMBER($AN28),$AN28&lt;FechaRef,IF($V28="Sub",N($X28),N($M28))&lt;1,$Q28=""),"Vencida sin observación"&amp;" · ",""))="","✔ OK","⚠ "&amp;LEFT(IF($C28="","Falta el nombre de la actividad"&amp;" · ","")&amp;IF(AND($V28="Sub",N($U28)=0),"Subactividad sin macroactividad arriba"&amp;" · ","")&amp;IF($AM28="","Sin fecha de inicio"&amp;" · ","")&amp;IF($AN28="","Sin fecha límite"&amp;" · ","")&amp;IF(AND(LEFT($C28,11)="[Jefatura] ",N($AL28)=0),"No se encuentra en la hoja de la jefatura (elíjala de nuevo en la lista)"&amp;" · ","")&amp;IF(OR(AND($E28&lt;&gt;"",NOT(ISNUMBER($E28))),AND($F28&lt;&gt;"",NOT(ISNUMBER($F28))),AND($G28&lt;&gt;"",NOT(ISNUMBER($G28)))),"Fecha no válida"&amp;" · ","")&amp;IF(AND(ISNUMBER($AM28),ISNUMBER($AN28),$AM28&gt;$AN28),"Inicio posterior a fecha límite"&amp;" · ","")&amp;IF(AND($V28="Macro",$H28&lt;&gt;"",OR(NOT(ISNUMBER($H28)),$H28&lt;0,$H28&gt;1)),"Peso fuera de rango"&amp;" · ","")&amp;IF(AND($V28="Sub",$H28&lt;&gt;""),"Las subactividades no llevan peso (valen igual dentro de su macroactividad)"&amp;" · ","")&amp;IF(AND(N($W28)&gt;0,COUNT($I28:$L28)&gt;0),"Con subactividades: deje vacías las semanas (se calculan solas)"&amp;" · ","")&amp;IF((COUNTIF($I28:$L28,"&gt;1")+COUNTIF($I28:$L28,"&lt;0")+COUNTA($I28:$L28)-COUNT($I28:$L28))&gt;0,"Avance fuera de rango 0-100%"&amp;" · ","")&amp;IF(OR(AND($J28&lt;&gt;"",$J28&lt;$I28),AND($K28&lt;&gt;"",$K28&lt;MAX($I28:$J28)),AND($L28&lt;&gt;"",$L28&lt;MAX($I28:$K28))),"Avance semanal decreciente"&amp;" · ","")&amp;IF(AND(ISNUMBER($AN28),$AN28&lt;FechaRef,IF($V28="Sub",N($X28),N($M28))&lt;1),"Vencida"&amp;" · ","")&amp;IF(AND(ObsObligatoria="Sí",ISNUMBER($AN28),$AN28&lt;FechaRef,IF($V28="Sub",N($X28),N($M28))&lt;1,$Q28=""),"Vencida sin observación"&amp;" · ",""),LEN(IF($C28="","Falta el nombre de la actividad"&amp;" · ","")&amp;IF(AND($V28="Sub",N($U28)=0),"Subactividad sin macroactividad arriba"&amp;" · ","")&amp;IF($AM28="","Sin fecha de inicio"&amp;" · ","")&amp;IF($AN28="","Sin fecha límite"&amp;" · ","")&amp;IF(AND(LEFT($C28,11)="[Jefatura] ",N($AL28)=0),"No se encuentra en la hoja de la jefatura (elíjala de nuevo en la lista)"&amp;" · ","")&amp;IF(OR(AND($E28&lt;&gt;"",NOT(ISNUMBER($E28))),AND($F28&lt;&gt;"",NOT(ISNUMBER($F28))),AND($G28&lt;&gt;"",NOT(ISNUMBER($G28)))),"Fecha no válida"&amp;" · ","")&amp;IF(AND(ISNUMBER($AM28),ISNUMBER($AN28),$AM28&gt;$AN28),"Inicio posterior a fecha límite"&amp;" · ","")&amp;IF(AND($V28="Macro",$H28&lt;&gt;"",OR(NOT(ISNUMBER($H28)),$H28&lt;0,$H28&gt;1)),"Peso fuera de rango"&amp;" · ","")&amp;IF(AND($V28="Sub",$H28&lt;&gt;""),"Las subactividades no llevan peso (valen igual dentro de su macroactividad)"&amp;" · ","")&amp;IF(AND(N($W28)&gt;0,COUNT($I28:$L28)&gt;0),"Con subactividades: deje vacías las semanas (se calculan solas)"&amp;" · ","")&amp;IF((COUNTIF($I28:$L28,"&gt;1")+COUNTIF($I28:$L28,"&lt;0")+COUNTA($I28:$L28)-COUNT($I28:$L28))&gt;0,"Avance fuera de rango 0-100%"&amp;" · ","")&amp;IF(OR(AND($J28&lt;&gt;"",$J28&lt;$I28),AND($K28&lt;&gt;"",$K28&lt;MAX($I28:$J28)),AND($L28&lt;&gt;"",$L28&lt;MAX($I28:$K28))),"Avance semanal decreciente"&amp;" · ","")&amp;IF(AND(ISNUMBER($AN28),$AN28&lt;FechaRef,IF($V28="Sub",N($X28),N($M28))&lt;1),"Vencida"&amp;" · ","")&amp;IF(AND(ObsObligatoria="Sí",ISNUMBER($AN28),$AN28&lt;FechaRef,IF($V28="Sub",N($X28),N($M28))&lt;1,$Q28=""),"Vencida sin observación"&amp;" · ",""))-3)))</f>
        <v/>
      </c>
      <c r="S28" s="64">
        <f>IF(NOT((COUNTA($B28:$D28)+COUNTA($G28:$L28)+COUNTA($Q28))&gt;0),"",IF(AND($V28="Sub",N($U28)&gt;0),IF(ISNUMBER(INDEX($AM$5:$AM$1000,$U28-4)),DATE(YEAR(INDEX($AM$5:$AM$1000,$U28-4)),MONTH(INDEX($AM$5:$AM$1000,$U28-4)),1),IF(ISNUMBER(INDEX($AN$5:$AN$1000,$U28-4)),DATE(YEAR(INDEX($AN$5:$AN$1000,$U28-4)),MONTH(INDEX($AN$5:$AN$1000,$U28-4)),1),MesCiclo)),IF(ISNUMBER($AM28),DATE(YEAR($AM28),MONTH($AM28),1),IF(ISNUMBER($AN28),DATE(YEAR($AN28),MONTH($AN28),1),MesCiclo))))</f>
        <v/>
      </c>
      <c r="T28" s="62">
        <f>IF(OR($S28="",$S28&lt;&gt;MesCiclo,$V28&lt;&gt;"Macro"),"",COUNTIFS($S$5:$S28,MesCiclo,$V$5:$V28,"Macro"))</f>
        <v/>
      </c>
      <c r="U28" s="62">
        <f>IF($V28="","",IF($V28="Macro",ROW(),IFERROR(LOOKUP(2,1/($V$5:$V28="Macro"),ROW($V$5:$V28)),0)))</f>
        <v/>
      </c>
      <c r="V28" s="62">
        <f>IF(NOT((COUNTA($B28:$D28)+COUNTA($G28:$L28)+COUNTA($Q28))&gt;0),"",IF($B28="Subactividad","Sub","Macro"))</f>
        <v/>
      </c>
      <c r="W28" s="62">
        <f>IF($V28="Macro",COUNTIFS($U$5:$U$1000,ROW(),$V$5:$V$1000,"Sub"),"")</f>
        <v/>
      </c>
      <c r="X28" s="62">
        <f>IF($V28="","",IF(ISNUMBER($G28),1,IFERROR(LOOKUP(2,1/($I28:$L28&lt;&gt;""),$I28:$L28),0)))</f>
        <v/>
      </c>
      <c r="Y28" s="62">
        <f>IF($V28="","",IF(AND(ISNUMBER($G28),$G28&lt;=IF($S28=MesCiclo,InicioCiclo,$S28+MOD(2-WEEKDAY($S28),7))+6),1,IF(ISNUMBER($I28),$I28,0)))</f>
        <v/>
      </c>
      <c r="Z28" s="62">
        <f>IF($V28="","",IF(AND(ISNUMBER($G28),$G28&lt;=IF($S28=MesCiclo,InicioCiclo,$S28+MOD(2-WEEKDAY($S28),7))+13),1,IF(ISNUMBER($J28),$J28,$Y28)))</f>
        <v/>
      </c>
      <c r="AA28" s="62">
        <f>IF($V28="","",IF(AND(ISNUMBER($G28),$G28&lt;=IF($S28=MesCiclo,InicioCiclo,$S28+MOD(2-WEEKDAY($S28),7))+20),1,IF(ISNUMBER($K28),$K28,$Z28)))</f>
        <v/>
      </c>
      <c r="AB28" s="62">
        <f>IF($V28="","",IF(AND(ISNUMBER($G28),$G28&lt;=IF($S28=MesCiclo,InicioCiclo,$S28+MOD(2-WEEKDAY($S28),7))+27),1,IF(ISNUMBER($L28),$L28,$AA28)))</f>
        <v/>
      </c>
      <c r="AC28" s="62">
        <f>IF($V28="","",IF(AND(ISNUMBER($G28),$G28&lt;=IF($S28=MesCiclo,InicioCiclo,$S28+MOD(2-WEEKDAY($S28),7))+6),1,IF(N($W28)&gt;0,AVERAGEIFS($Y$5:$Y$1000,$U$5:$U$1000,ROW(),$V$5:$V$1000,"Sub"),$Y28)))</f>
        <v/>
      </c>
      <c r="AD28" s="62">
        <f>IF($V28="","",IF(AND(ISNUMBER($G28),$G28&lt;=IF($S28=MesCiclo,InicioCiclo,$S28+MOD(2-WEEKDAY($S28),7))+13),1,IF(N($W28)&gt;0,AVERAGEIFS($Z$5:$Z$1000,$U$5:$U$1000,ROW(),$V$5:$V$1000,"Sub"),$Z28)))</f>
        <v/>
      </c>
      <c r="AE28" s="62">
        <f>IF($V28="","",IF(AND(ISNUMBER($G28),$G28&lt;=IF($S28=MesCiclo,InicioCiclo,$S28+MOD(2-WEEKDAY($S28),7))+20),1,IF(N($W28)&gt;0,AVERAGEIFS($AA$5:$AA$1000,$U$5:$U$1000,ROW(),$V$5:$V$1000,"Sub"),$AA28)))</f>
        <v/>
      </c>
      <c r="AF28" s="62">
        <f>IF($V28="","",IF(AND(ISNUMBER($G28),$G28&lt;=IF($S28=MesCiclo,InicioCiclo,$S28+MOD(2-WEEKDAY($S28),7))+27),1,IF(N($W28)&gt;0,AVERAGEIFS($AB$5:$AB$1000,$U$5:$U$1000,ROW(),$V$5:$V$1000,"Sub"),$AB28)))</f>
        <v/>
      </c>
      <c r="AG28" s="62">
        <f>IF($V28&lt;&gt;"Macro","",IF(COUNTIFS($S$5:$S$1000,$S28,$V$5:$V$1000,"Macro",$H$5:$H$1000,"&gt;0")=0,1/COUNTIFS($S$5:$S$1000,$S28,$V$5:$V$1000,"Macro"),IF(AND(ISNUMBER($H28),N($H28)&gt;0),$H28,SUMIFS($H$5:$H$1000,$S$5:$S$1000,$S28,$V$5:$V$1000,"Macro")/COUNTIFS($S$5:$S$1000,$S28,$V$5:$V$1000,"Macro",$H$5:$H$1000,"&gt;0"))/(COUNTIFS($S$5:$S$1000,$S28,$V$5:$V$1000,"Macro")*SUMIFS($H$5:$H$1000,$S$5:$S$1000,$S28,$V$5:$V$1000,"Macro")/COUNTIFS($S$5:$S$1000,$S28,$V$5:$V$1000,"Macro",$H$5:$H$1000,"&gt;0"))))</f>
        <v/>
      </c>
      <c r="AH28" s="62" t="n"/>
      <c r="AI28" s="62" t="n"/>
      <c r="AJ28" s="62" t="n"/>
      <c r="AK28" s="62" t="n"/>
      <c r="AL28" s="62">
        <f>IF(LEFT($C28,11)="[Jefatura] ",IFERROR(MATCH("Riesgo Normativo|"&amp;MID($C28,12,500),rDname_ADM,0),0),"")</f>
        <v/>
      </c>
      <c r="AM28" s="62">
        <f>IF(N($AL28)&gt;0,INDEX(rIni_ADM,$AL28),IF(ISNUMBER($E28),$E28,""))</f>
        <v/>
      </c>
      <c r="AN28" s="62">
        <f>IF(N($AL28)&gt;0,INDEX(rLim_ADM,$AL28),IF(ISNUMBER($F28),$F28,""))</f>
        <v/>
      </c>
    </row>
    <row r="29">
      <c r="A29" s="56">
        <f>IF(NOT((COUNTA($B29:$D29)+COUNTA($G29:$L29)+COUNTA($Q29))&gt;0),"",IF($V29="Macro",COUNTIFS($V$5:$V29,"Macro",$S$5:$S29,$S29),IF(N($U29)=0,"?",COUNTIFS(INDEX($V$5:$V$1000,1):INDEX($V$5:$V$1000,$U29-4),"Macro",INDEX($S$5:$S$1000,1):INDEX($S$5:$S$1000,$U29-4),INDEX($S$5:$S$1000,$U29-4))&amp;"."&amp;COUNTIFS($U$5:$U29,$U29,$V$5:$V29,"Sub"))))</f>
        <v/>
      </c>
      <c r="B29" s="57" t="n"/>
      <c r="C29" s="58" t="n"/>
      <c r="D29" s="58" t="n"/>
      <c r="E29" s="59">
        <f>IF(N($AL29)&gt;0,INDEX(rIni_ADM,$AL29),"")</f>
        <v/>
      </c>
      <c r="F29" s="59">
        <f>IF(N($AL29)&gt;0,INDEX(rLim_ADM,$AL29),"")</f>
        <v/>
      </c>
      <c r="G29" s="59" t="n"/>
      <c r="H29" s="60" t="n"/>
      <c r="I29" s="60" t="n"/>
      <c r="J29" s="60" t="n"/>
      <c r="K29" s="60" t="n"/>
      <c r="L29" s="60" t="n"/>
      <c r="M29" s="61">
        <f>IF(NOT((COUNTA($B29:$D29)+COUNTA($G29:$L29)+COUNTA($Q29))&gt;0),"",IF($V29="Sub",IFERROR($X29/INDEX($W$5:$W$1000,$U29-4),""),IF(ISNUMBER($G29),1,IF(N($W29)&gt;0,AVERAGEIFS($X$5:$X$1000,$U$5:$U$1000,ROW(),$V$5:$V$1000,"Sub"),$X29))))</f>
        <v/>
      </c>
      <c r="N29" s="56">
        <f>IF(OR($M29="",$V29="Sub"),"",IF($M29&gt;=1,"Completado",IF($M29&gt;0,"En curso","Pendiente")))</f>
        <v/>
      </c>
      <c r="O29" s="56">
        <f>IF(OR(NOT((COUNTA($B29:$D29)+COUNTA($G29:$L29)+COUNTA($Q29))&gt;0),$V29="Sub"),"",IF(ISNUMBER($G29),IF(AND(ISNUMBER($AN29),$G29&gt;$AN29),"Cumplida con "&amp;($G29-$AN29)&amp;IF($G29-$AN29=1," día"," días")&amp;" de retraso","Cumplida"),IF(N($M29)&gt;=1,"Cumplida",IF(NOT(ISNUMBER($AN29)),"Sin fecha límite",IF($AN29&lt;FechaRef,"Vencida hace "&amp;(FechaRef-$AN29)&amp;IF(FechaRef-$AN29=1," día"," días"),IF($AN29=FechaRef,"Vence hoy",IF($AN29-FechaRef&lt;=DiasAlerta,"Vence en "&amp;($AN29-FechaRef)&amp;IF($AN29-FechaRef=1," día"," días"),"En plazo")))))))</f>
        <v/>
      </c>
      <c r="P29" s="62" t="n"/>
      <c r="Q29" s="58" t="n"/>
      <c r="R29" s="63">
        <f>IF(NOT((COUNTA($B29:$D29)+COUNTA($G29:$L29)+COUNTA($Q29))&gt;0),"",IF((IF($C29="","Falta el nombre de la actividad"&amp;" · ","")&amp;IF(AND($V29="Sub",N($U29)=0),"Subactividad sin macroactividad arriba"&amp;" · ","")&amp;IF($AM29="","Sin fecha de inicio"&amp;" · ","")&amp;IF($AN29="","Sin fecha límite"&amp;" · ","")&amp;IF(AND(LEFT($C29,11)="[Jefatura] ",N($AL29)=0),"No se encuentra en la hoja de la jefatura (elíjala de nuevo en la lista)"&amp;" · ","")&amp;IF(OR(AND($E29&lt;&gt;"",NOT(ISNUMBER($E29))),AND($F29&lt;&gt;"",NOT(ISNUMBER($F29))),AND($G29&lt;&gt;"",NOT(ISNUMBER($G29)))),"Fecha no válida"&amp;" · ","")&amp;IF(AND(ISNUMBER($AM29),ISNUMBER($AN29),$AM29&gt;$AN29),"Inicio posterior a fecha límite"&amp;" · ","")&amp;IF(AND($V29="Macro",$H29&lt;&gt;"",OR(NOT(ISNUMBER($H29)),$H29&lt;0,$H29&gt;1)),"Peso fuera de rango"&amp;" · ","")&amp;IF(AND($V29="Sub",$H29&lt;&gt;""),"Las subactividades no llevan peso (valen igual dentro de su macroactividad)"&amp;" · ","")&amp;IF(AND(N($W29)&gt;0,COUNT($I29:$L29)&gt;0),"Con subactividades: deje vacías las semanas (se calculan solas)"&amp;" · ","")&amp;IF((COUNTIF($I29:$L29,"&gt;1")+COUNTIF($I29:$L29,"&lt;0")+COUNTA($I29:$L29)-COUNT($I29:$L29))&gt;0,"Avance fuera de rango 0-100%"&amp;" · ","")&amp;IF(OR(AND($J29&lt;&gt;"",$J29&lt;$I29),AND($K29&lt;&gt;"",$K29&lt;MAX($I29:$J29)),AND($L29&lt;&gt;"",$L29&lt;MAX($I29:$K29))),"Avance semanal decreciente"&amp;" · ","")&amp;IF(AND(ISNUMBER($AN29),$AN29&lt;FechaRef,IF($V29="Sub",N($X29),N($M29))&lt;1),"Vencida"&amp;" · ","")&amp;IF(AND(ObsObligatoria="Sí",ISNUMBER($AN29),$AN29&lt;FechaRef,IF($V29="Sub",N($X29),N($M29))&lt;1,$Q29=""),"Vencida sin observación"&amp;" · ",""))="","✔ OK","⚠ "&amp;LEFT(IF($C29="","Falta el nombre de la actividad"&amp;" · ","")&amp;IF(AND($V29="Sub",N($U29)=0),"Subactividad sin macroactividad arriba"&amp;" · ","")&amp;IF($AM29="","Sin fecha de inicio"&amp;" · ","")&amp;IF($AN29="","Sin fecha límite"&amp;" · ","")&amp;IF(AND(LEFT($C29,11)="[Jefatura] ",N($AL29)=0),"No se encuentra en la hoja de la jefatura (elíjala de nuevo en la lista)"&amp;" · ","")&amp;IF(OR(AND($E29&lt;&gt;"",NOT(ISNUMBER($E29))),AND($F29&lt;&gt;"",NOT(ISNUMBER($F29))),AND($G29&lt;&gt;"",NOT(ISNUMBER($G29)))),"Fecha no válida"&amp;" · ","")&amp;IF(AND(ISNUMBER($AM29),ISNUMBER($AN29),$AM29&gt;$AN29),"Inicio posterior a fecha límite"&amp;" · ","")&amp;IF(AND($V29="Macro",$H29&lt;&gt;"",OR(NOT(ISNUMBER($H29)),$H29&lt;0,$H29&gt;1)),"Peso fuera de rango"&amp;" · ","")&amp;IF(AND($V29="Sub",$H29&lt;&gt;""),"Las subactividades no llevan peso (valen igual dentro de su macroactividad)"&amp;" · ","")&amp;IF(AND(N($W29)&gt;0,COUNT($I29:$L29)&gt;0),"Con subactividades: deje vacías las semanas (se calculan solas)"&amp;" · ","")&amp;IF((COUNTIF($I29:$L29,"&gt;1")+COUNTIF($I29:$L29,"&lt;0")+COUNTA($I29:$L29)-COUNT($I29:$L29))&gt;0,"Avance fuera de rango 0-100%"&amp;" · ","")&amp;IF(OR(AND($J29&lt;&gt;"",$J29&lt;$I29),AND($K29&lt;&gt;"",$K29&lt;MAX($I29:$J29)),AND($L29&lt;&gt;"",$L29&lt;MAX($I29:$K29))),"Avance semanal decreciente"&amp;" · ","")&amp;IF(AND(ISNUMBER($AN29),$AN29&lt;FechaRef,IF($V29="Sub",N($X29),N($M29))&lt;1),"Vencida"&amp;" · ","")&amp;IF(AND(ObsObligatoria="Sí",ISNUMBER($AN29),$AN29&lt;FechaRef,IF($V29="Sub",N($X29),N($M29))&lt;1,$Q29=""),"Vencida sin observación"&amp;" · ",""),LEN(IF($C29="","Falta el nombre de la actividad"&amp;" · ","")&amp;IF(AND($V29="Sub",N($U29)=0),"Subactividad sin macroactividad arriba"&amp;" · ","")&amp;IF($AM29="","Sin fecha de inicio"&amp;" · ","")&amp;IF($AN29="","Sin fecha límite"&amp;" · ","")&amp;IF(AND(LEFT($C29,11)="[Jefatura] ",N($AL29)=0),"No se encuentra en la hoja de la jefatura (elíjala de nuevo en la lista)"&amp;" · ","")&amp;IF(OR(AND($E29&lt;&gt;"",NOT(ISNUMBER($E29))),AND($F29&lt;&gt;"",NOT(ISNUMBER($F29))),AND($G29&lt;&gt;"",NOT(ISNUMBER($G29)))),"Fecha no válida"&amp;" · ","")&amp;IF(AND(ISNUMBER($AM29),ISNUMBER($AN29),$AM29&gt;$AN29),"Inicio posterior a fecha límite"&amp;" · ","")&amp;IF(AND($V29="Macro",$H29&lt;&gt;"",OR(NOT(ISNUMBER($H29)),$H29&lt;0,$H29&gt;1)),"Peso fuera de rango"&amp;" · ","")&amp;IF(AND($V29="Sub",$H29&lt;&gt;""),"Las subactividades no llevan peso (valen igual dentro de su macroactividad)"&amp;" · ","")&amp;IF(AND(N($W29)&gt;0,COUNT($I29:$L29)&gt;0),"Con subactividades: deje vacías las semanas (se calculan solas)"&amp;" · ","")&amp;IF((COUNTIF($I29:$L29,"&gt;1")+COUNTIF($I29:$L29,"&lt;0")+COUNTA($I29:$L29)-COUNT($I29:$L29))&gt;0,"Avance fuera de rango 0-100%"&amp;" · ","")&amp;IF(OR(AND($J29&lt;&gt;"",$J29&lt;$I29),AND($K29&lt;&gt;"",$K29&lt;MAX($I29:$J29)),AND($L29&lt;&gt;"",$L29&lt;MAX($I29:$K29))),"Avance semanal decreciente"&amp;" · ","")&amp;IF(AND(ISNUMBER($AN29),$AN29&lt;FechaRef,IF($V29="Sub",N($X29),N($M29))&lt;1),"Vencida"&amp;" · ","")&amp;IF(AND(ObsObligatoria="Sí",ISNUMBER($AN29),$AN29&lt;FechaRef,IF($V29="Sub",N($X29),N($M29))&lt;1,$Q29=""),"Vencida sin observación"&amp;" · ",""))-3)))</f>
        <v/>
      </c>
      <c r="S29" s="64">
        <f>IF(NOT((COUNTA($B29:$D29)+COUNTA($G29:$L29)+COUNTA($Q29))&gt;0),"",IF(AND($V29="Sub",N($U29)&gt;0),IF(ISNUMBER(INDEX($AM$5:$AM$1000,$U29-4)),DATE(YEAR(INDEX($AM$5:$AM$1000,$U29-4)),MONTH(INDEX($AM$5:$AM$1000,$U29-4)),1),IF(ISNUMBER(INDEX($AN$5:$AN$1000,$U29-4)),DATE(YEAR(INDEX($AN$5:$AN$1000,$U29-4)),MONTH(INDEX($AN$5:$AN$1000,$U29-4)),1),MesCiclo)),IF(ISNUMBER($AM29),DATE(YEAR($AM29),MONTH($AM29),1),IF(ISNUMBER($AN29),DATE(YEAR($AN29),MONTH($AN29),1),MesCiclo))))</f>
        <v/>
      </c>
      <c r="T29" s="62">
        <f>IF(OR($S29="",$S29&lt;&gt;MesCiclo,$V29&lt;&gt;"Macro"),"",COUNTIFS($S$5:$S29,MesCiclo,$V$5:$V29,"Macro"))</f>
        <v/>
      </c>
      <c r="U29" s="62">
        <f>IF($V29="","",IF($V29="Macro",ROW(),IFERROR(LOOKUP(2,1/($V$5:$V29="Macro"),ROW($V$5:$V29)),0)))</f>
        <v/>
      </c>
      <c r="V29" s="62">
        <f>IF(NOT((COUNTA($B29:$D29)+COUNTA($G29:$L29)+COUNTA($Q29))&gt;0),"",IF($B29="Subactividad","Sub","Macro"))</f>
        <v/>
      </c>
      <c r="W29" s="62">
        <f>IF($V29="Macro",COUNTIFS($U$5:$U$1000,ROW(),$V$5:$V$1000,"Sub"),"")</f>
        <v/>
      </c>
      <c r="X29" s="62">
        <f>IF($V29="","",IF(ISNUMBER($G29),1,IFERROR(LOOKUP(2,1/($I29:$L29&lt;&gt;""),$I29:$L29),0)))</f>
        <v/>
      </c>
      <c r="Y29" s="62">
        <f>IF($V29="","",IF(AND(ISNUMBER($G29),$G29&lt;=IF($S29=MesCiclo,InicioCiclo,$S29+MOD(2-WEEKDAY($S29),7))+6),1,IF(ISNUMBER($I29),$I29,0)))</f>
        <v/>
      </c>
      <c r="Z29" s="62">
        <f>IF($V29="","",IF(AND(ISNUMBER($G29),$G29&lt;=IF($S29=MesCiclo,InicioCiclo,$S29+MOD(2-WEEKDAY($S29),7))+13),1,IF(ISNUMBER($J29),$J29,$Y29)))</f>
        <v/>
      </c>
      <c r="AA29" s="62">
        <f>IF($V29="","",IF(AND(ISNUMBER($G29),$G29&lt;=IF($S29=MesCiclo,InicioCiclo,$S29+MOD(2-WEEKDAY($S29),7))+20),1,IF(ISNUMBER($K29),$K29,$Z29)))</f>
        <v/>
      </c>
      <c r="AB29" s="62">
        <f>IF($V29="","",IF(AND(ISNUMBER($G29),$G29&lt;=IF($S29=MesCiclo,InicioCiclo,$S29+MOD(2-WEEKDAY($S29),7))+27),1,IF(ISNUMBER($L29),$L29,$AA29)))</f>
        <v/>
      </c>
      <c r="AC29" s="62">
        <f>IF($V29="","",IF(AND(ISNUMBER($G29),$G29&lt;=IF($S29=MesCiclo,InicioCiclo,$S29+MOD(2-WEEKDAY($S29),7))+6),1,IF(N($W29)&gt;0,AVERAGEIFS($Y$5:$Y$1000,$U$5:$U$1000,ROW(),$V$5:$V$1000,"Sub"),$Y29)))</f>
        <v/>
      </c>
      <c r="AD29" s="62">
        <f>IF($V29="","",IF(AND(ISNUMBER($G29),$G29&lt;=IF($S29=MesCiclo,InicioCiclo,$S29+MOD(2-WEEKDAY($S29),7))+13),1,IF(N($W29)&gt;0,AVERAGEIFS($Z$5:$Z$1000,$U$5:$U$1000,ROW(),$V$5:$V$1000,"Sub"),$Z29)))</f>
        <v/>
      </c>
      <c r="AE29" s="62">
        <f>IF($V29="","",IF(AND(ISNUMBER($G29),$G29&lt;=IF($S29=MesCiclo,InicioCiclo,$S29+MOD(2-WEEKDAY($S29),7))+20),1,IF(N($W29)&gt;0,AVERAGEIFS($AA$5:$AA$1000,$U$5:$U$1000,ROW(),$V$5:$V$1000,"Sub"),$AA29)))</f>
        <v/>
      </c>
      <c r="AF29" s="62">
        <f>IF($V29="","",IF(AND(ISNUMBER($G29),$G29&lt;=IF($S29=MesCiclo,InicioCiclo,$S29+MOD(2-WEEKDAY($S29),7))+27),1,IF(N($W29)&gt;0,AVERAGEIFS($AB$5:$AB$1000,$U$5:$U$1000,ROW(),$V$5:$V$1000,"Sub"),$AB29)))</f>
        <v/>
      </c>
      <c r="AG29" s="62">
        <f>IF($V29&lt;&gt;"Macro","",IF(COUNTIFS($S$5:$S$1000,$S29,$V$5:$V$1000,"Macro",$H$5:$H$1000,"&gt;0")=0,1/COUNTIFS($S$5:$S$1000,$S29,$V$5:$V$1000,"Macro"),IF(AND(ISNUMBER($H29),N($H29)&gt;0),$H29,SUMIFS($H$5:$H$1000,$S$5:$S$1000,$S29,$V$5:$V$1000,"Macro")/COUNTIFS($S$5:$S$1000,$S29,$V$5:$V$1000,"Macro",$H$5:$H$1000,"&gt;0"))/(COUNTIFS($S$5:$S$1000,$S29,$V$5:$V$1000,"Macro")*SUMIFS($H$5:$H$1000,$S$5:$S$1000,$S29,$V$5:$V$1000,"Macro")/COUNTIFS($S$5:$S$1000,$S29,$V$5:$V$1000,"Macro",$H$5:$H$1000,"&gt;0"))))</f>
        <v/>
      </c>
      <c r="AH29" s="62" t="n"/>
      <c r="AI29" s="62" t="n"/>
      <c r="AJ29" s="62" t="n"/>
      <c r="AK29" s="62" t="n"/>
      <c r="AL29" s="62">
        <f>IF(LEFT($C29,11)="[Jefatura] ",IFERROR(MATCH("Riesgo Normativo|"&amp;MID($C29,12,500),rDname_ADM,0),0),"")</f>
        <v/>
      </c>
      <c r="AM29" s="62">
        <f>IF(N($AL29)&gt;0,INDEX(rIni_ADM,$AL29),IF(ISNUMBER($E29),$E29,""))</f>
        <v/>
      </c>
      <c r="AN29" s="62">
        <f>IF(N($AL29)&gt;0,INDEX(rLim_ADM,$AL29),IF(ISNUMBER($F29),$F29,""))</f>
        <v/>
      </c>
    </row>
    <row r="30">
      <c r="A30" s="56">
        <f>IF(NOT((COUNTA($B30:$D30)+COUNTA($G30:$L30)+COUNTA($Q30))&gt;0),"",IF($V30="Macro",COUNTIFS($V$5:$V30,"Macro",$S$5:$S30,$S30),IF(N($U30)=0,"?",COUNTIFS(INDEX($V$5:$V$1000,1):INDEX($V$5:$V$1000,$U30-4),"Macro",INDEX($S$5:$S$1000,1):INDEX($S$5:$S$1000,$U30-4),INDEX($S$5:$S$1000,$U30-4))&amp;"."&amp;COUNTIFS($U$5:$U30,$U30,$V$5:$V30,"Sub"))))</f>
        <v/>
      </c>
      <c r="B30" s="57" t="n"/>
      <c r="C30" s="58" t="n"/>
      <c r="D30" s="58" t="n"/>
      <c r="E30" s="59">
        <f>IF(N($AL30)&gt;0,INDEX(rIni_ADM,$AL30),"")</f>
        <v/>
      </c>
      <c r="F30" s="59">
        <f>IF(N($AL30)&gt;0,INDEX(rLim_ADM,$AL30),"")</f>
        <v/>
      </c>
      <c r="G30" s="59" t="n"/>
      <c r="H30" s="60" t="n"/>
      <c r="I30" s="60" t="n"/>
      <c r="J30" s="60" t="n"/>
      <c r="K30" s="60" t="n"/>
      <c r="L30" s="60" t="n"/>
      <c r="M30" s="61">
        <f>IF(NOT((COUNTA($B30:$D30)+COUNTA($G30:$L30)+COUNTA($Q30))&gt;0),"",IF($V30="Sub",IFERROR($X30/INDEX($W$5:$W$1000,$U30-4),""),IF(ISNUMBER($G30),1,IF(N($W30)&gt;0,AVERAGEIFS($X$5:$X$1000,$U$5:$U$1000,ROW(),$V$5:$V$1000,"Sub"),$X30))))</f>
        <v/>
      </c>
      <c r="N30" s="56">
        <f>IF(OR($M30="",$V30="Sub"),"",IF($M30&gt;=1,"Completado",IF($M30&gt;0,"En curso","Pendiente")))</f>
        <v/>
      </c>
      <c r="O30" s="56">
        <f>IF(OR(NOT((COUNTA($B30:$D30)+COUNTA($G30:$L30)+COUNTA($Q30))&gt;0),$V30="Sub"),"",IF(ISNUMBER($G30),IF(AND(ISNUMBER($AN30),$G30&gt;$AN30),"Cumplida con "&amp;($G30-$AN30)&amp;IF($G30-$AN30=1," día"," días")&amp;" de retraso","Cumplida"),IF(N($M30)&gt;=1,"Cumplida",IF(NOT(ISNUMBER($AN30)),"Sin fecha límite",IF($AN30&lt;FechaRef,"Vencida hace "&amp;(FechaRef-$AN30)&amp;IF(FechaRef-$AN30=1," día"," días"),IF($AN30=FechaRef,"Vence hoy",IF($AN30-FechaRef&lt;=DiasAlerta,"Vence en "&amp;($AN30-FechaRef)&amp;IF($AN30-FechaRef=1," día"," días"),"En plazo")))))))</f>
        <v/>
      </c>
      <c r="P30" s="62" t="n"/>
      <c r="Q30" s="58" t="n"/>
      <c r="R30" s="63">
        <f>IF(NOT((COUNTA($B30:$D30)+COUNTA($G30:$L30)+COUNTA($Q30))&gt;0),"",IF((IF($C30="","Falta el nombre de la actividad"&amp;" · ","")&amp;IF(AND($V30="Sub",N($U30)=0),"Subactividad sin macroactividad arriba"&amp;" · ","")&amp;IF($AM30="","Sin fecha de inicio"&amp;" · ","")&amp;IF($AN30="","Sin fecha límite"&amp;" · ","")&amp;IF(AND(LEFT($C30,11)="[Jefatura] ",N($AL30)=0),"No se encuentra en la hoja de la jefatura (elíjala de nuevo en la lista)"&amp;" · ","")&amp;IF(OR(AND($E30&lt;&gt;"",NOT(ISNUMBER($E30))),AND($F30&lt;&gt;"",NOT(ISNUMBER($F30))),AND($G30&lt;&gt;"",NOT(ISNUMBER($G30)))),"Fecha no válida"&amp;" · ","")&amp;IF(AND(ISNUMBER($AM30),ISNUMBER($AN30),$AM30&gt;$AN30),"Inicio posterior a fecha límite"&amp;" · ","")&amp;IF(AND($V30="Macro",$H30&lt;&gt;"",OR(NOT(ISNUMBER($H30)),$H30&lt;0,$H30&gt;1)),"Peso fuera de rango"&amp;" · ","")&amp;IF(AND($V30="Sub",$H30&lt;&gt;""),"Las subactividades no llevan peso (valen igual dentro de su macroactividad)"&amp;" · ","")&amp;IF(AND(N($W30)&gt;0,COUNT($I30:$L30)&gt;0),"Con subactividades: deje vacías las semanas (se calculan solas)"&amp;" · ","")&amp;IF((COUNTIF($I30:$L30,"&gt;1")+COUNTIF($I30:$L30,"&lt;0")+COUNTA($I30:$L30)-COUNT($I30:$L30))&gt;0,"Avance fuera de rango 0-100%"&amp;" · ","")&amp;IF(OR(AND($J30&lt;&gt;"",$J30&lt;$I30),AND($K30&lt;&gt;"",$K30&lt;MAX($I30:$J30)),AND($L30&lt;&gt;"",$L30&lt;MAX($I30:$K30))),"Avance semanal decreciente"&amp;" · ","")&amp;IF(AND(ISNUMBER($AN30),$AN30&lt;FechaRef,IF($V30="Sub",N($X30),N($M30))&lt;1),"Vencida"&amp;" · ","")&amp;IF(AND(ObsObligatoria="Sí",ISNUMBER($AN30),$AN30&lt;FechaRef,IF($V30="Sub",N($X30),N($M30))&lt;1,$Q30=""),"Vencida sin observación"&amp;" · ",""))="","✔ OK","⚠ "&amp;LEFT(IF($C30="","Falta el nombre de la actividad"&amp;" · ","")&amp;IF(AND($V30="Sub",N($U30)=0),"Subactividad sin macroactividad arriba"&amp;" · ","")&amp;IF($AM30="","Sin fecha de inicio"&amp;" · ","")&amp;IF($AN30="","Sin fecha límite"&amp;" · ","")&amp;IF(AND(LEFT($C30,11)="[Jefatura] ",N($AL30)=0),"No se encuentra en la hoja de la jefatura (elíjala de nuevo en la lista)"&amp;" · ","")&amp;IF(OR(AND($E30&lt;&gt;"",NOT(ISNUMBER($E30))),AND($F30&lt;&gt;"",NOT(ISNUMBER($F30))),AND($G30&lt;&gt;"",NOT(ISNUMBER($G30)))),"Fecha no válida"&amp;" · ","")&amp;IF(AND(ISNUMBER($AM30),ISNUMBER($AN30),$AM30&gt;$AN30),"Inicio posterior a fecha límite"&amp;" · ","")&amp;IF(AND($V30="Macro",$H30&lt;&gt;"",OR(NOT(ISNUMBER($H30)),$H30&lt;0,$H30&gt;1)),"Peso fuera de rango"&amp;" · ","")&amp;IF(AND($V30="Sub",$H30&lt;&gt;""),"Las subactividades no llevan peso (valen igual dentro de su macroactividad)"&amp;" · ","")&amp;IF(AND(N($W30)&gt;0,COUNT($I30:$L30)&gt;0),"Con subactividades: deje vacías las semanas (se calculan solas)"&amp;" · ","")&amp;IF((COUNTIF($I30:$L30,"&gt;1")+COUNTIF($I30:$L30,"&lt;0")+COUNTA($I30:$L30)-COUNT($I30:$L30))&gt;0,"Avance fuera de rango 0-100%"&amp;" · ","")&amp;IF(OR(AND($J30&lt;&gt;"",$J30&lt;$I30),AND($K30&lt;&gt;"",$K30&lt;MAX($I30:$J30)),AND($L30&lt;&gt;"",$L30&lt;MAX($I30:$K30))),"Avance semanal decreciente"&amp;" · ","")&amp;IF(AND(ISNUMBER($AN30),$AN30&lt;FechaRef,IF($V30="Sub",N($X30),N($M30))&lt;1),"Vencida"&amp;" · ","")&amp;IF(AND(ObsObligatoria="Sí",ISNUMBER($AN30),$AN30&lt;FechaRef,IF($V30="Sub",N($X30),N($M30))&lt;1,$Q30=""),"Vencida sin observación"&amp;" · ",""),LEN(IF($C30="","Falta el nombre de la actividad"&amp;" · ","")&amp;IF(AND($V30="Sub",N($U30)=0),"Subactividad sin macroactividad arriba"&amp;" · ","")&amp;IF($AM30="","Sin fecha de inicio"&amp;" · ","")&amp;IF($AN30="","Sin fecha límite"&amp;" · ","")&amp;IF(AND(LEFT($C30,11)="[Jefatura] ",N($AL30)=0),"No se encuentra en la hoja de la jefatura (elíjala de nuevo en la lista)"&amp;" · ","")&amp;IF(OR(AND($E30&lt;&gt;"",NOT(ISNUMBER($E30))),AND($F30&lt;&gt;"",NOT(ISNUMBER($F30))),AND($G30&lt;&gt;"",NOT(ISNUMBER($G30)))),"Fecha no válida"&amp;" · ","")&amp;IF(AND(ISNUMBER($AM30),ISNUMBER($AN30),$AM30&gt;$AN30),"Inicio posterior a fecha límite"&amp;" · ","")&amp;IF(AND($V30="Macro",$H30&lt;&gt;"",OR(NOT(ISNUMBER($H30)),$H30&lt;0,$H30&gt;1)),"Peso fuera de rango"&amp;" · ","")&amp;IF(AND($V30="Sub",$H30&lt;&gt;""),"Las subactividades no llevan peso (valen igual dentro de su macroactividad)"&amp;" · ","")&amp;IF(AND(N($W30)&gt;0,COUNT($I30:$L30)&gt;0),"Con subactividades: deje vacías las semanas (se calculan solas)"&amp;" · ","")&amp;IF((COUNTIF($I30:$L30,"&gt;1")+COUNTIF($I30:$L30,"&lt;0")+COUNTA($I30:$L30)-COUNT($I30:$L30))&gt;0,"Avance fuera de rango 0-100%"&amp;" · ","")&amp;IF(OR(AND($J30&lt;&gt;"",$J30&lt;$I30),AND($K30&lt;&gt;"",$K30&lt;MAX($I30:$J30)),AND($L30&lt;&gt;"",$L30&lt;MAX($I30:$K30))),"Avance semanal decreciente"&amp;" · ","")&amp;IF(AND(ISNUMBER($AN30),$AN30&lt;FechaRef,IF($V30="Sub",N($X30),N($M30))&lt;1),"Vencida"&amp;" · ","")&amp;IF(AND(ObsObligatoria="Sí",ISNUMBER($AN30),$AN30&lt;FechaRef,IF($V30="Sub",N($X30),N($M30))&lt;1,$Q30=""),"Vencida sin observación"&amp;" · ",""))-3)))</f>
        <v/>
      </c>
      <c r="S30" s="64">
        <f>IF(NOT((COUNTA($B30:$D30)+COUNTA($G30:$L30)+COUNTA($Q30))&gt;0),"",IF(AND($V30="Sub",N($U30)&gt;0),IF(ISNUMBER(INDEX($AM$5:$AM$1000,$U30-4)),DATE(YEAR(INDEX($AM$5:$AM$1000,$U30-4)),MONTH(INDEX($AM$5:$AM$1000,$U30-4)),1),IF(ISNUMBER(INDEX($AN$5:$AN$1000,$U30-4)),DATE(YEAR(INDEX($AN$5:$AN$1000,$U30-4)),MONTH(INDEX($AN$5:$AN$1000,$U30-4)),1),MesCiclo)),IF(ISNUMBER($AM30),DATE(YEAR($AM30),MONTH($AM30),1),IF(ISNUMBER($AN30),DATE(YEAR($AN30),MONTH($AN30),1),MesCiclo))))</f>
        <v/>
      </c>
      <c r="T30" s="62">
        <f>IF(OR($S30="",$S30&lt;&gt;MesCiclo,$V30&lt;&gt;"Macro"),"",COUNTIFS($S$5:$S30,MesCiclo,$V$5:$V30,"Macro"))</f>
        <v/>
      </c>
      <c r="U30" s="62">
        <f>IF($V30="","",IF($V30="Macro",ROW(),IFERROR(LOOKUP(2,1/($V$5:$V30="Macro"),ROW($V$5:$V30)),0)))</f>
        <v/>
      </c>
      <c r="V30" s="62">
        <f>IF(NOT((COUNTA($B30:$D30)+COUNTA($G30:$L30)+COUNTA($Q30))&gt;0),"",IF($B30="Subactividad","Sub","Macro"))</f>
        <v/>
      </c>
      <c r="W30" s="62">
        <f>IF($V30="Macro",COUNTIFS($U$5:$U$1000,ROW(),$V$5:$V$1000,"Sub"),"")</f>
        <v/>
      </c>
      <c r="X30" s="62">
        <f>IF($V30="","",IF(ISNUMBER($G30),1,IFERROR(LOOKUP(2,1/($I30:$L30&lt;&gt;""),$I30:$L30),0)))</f>
        <v/>
      </c>
      <c r="Y30" s="62">
        <f>IF($V30="","",IF(AND(ISNUMBER($G30),$G30&lt;=IF($S30=MesCiclo,InicioCiclo,$S30+MOD(2-WEEKDAY($S30),7))+6),1,IF(ISNUMBER($I30),$I30,0)))</f>
        <v/>
      </c>
      <c r="Z30" s="62">
        <f>IF($V30="","",IF(AND(ISNUMBER($G30),$G30&lt;=IF($S30=MesCiclo,InicioCiclo,$S30+MOD(2-WEEKDAY($S30),7))+13),1,IF(ISNUMBER($J30),$J30,$Y30)))</f>
        <v/>
      </c>
      <c r="AA30" s="62">
        <f>IF($V30="","",IF(AND(ISNUMBER($G30),$G30&lt;=IF($S30=MesCiclo,InicioCiclo,$S30+MOD(2-WEEKDAY($S30),7))+20),1,IF(ISNUMBER($K30),$K30,$Z30)))</f>
        <v/>
      </c>
      <c r="AB30" s="62">
        <f>IF($V30="","",IF(AND(ISNUMBER($G30),$G30&lt;=IF($S30=MesCiclo,InicioCiclo,$S30+MOD(2-WEEKDAY($S30),7))+27),1,IF(ISNUMBER($L30),$L30,$AA30)))</f>
        <v/>
      </c>
      <c r="AC30" s="62">
        <f>IF($V30="","",IF(AND(ISNUMBER($G30),$G30&lt;=IF($S30=MesCiclo,InicioCiclo,$S30+MOD(2-WEEKDAY($S30),7))+6),1,IF(N($W30)&gt;0,AVERAGEIFS($Y$5:$Y$1000,$U$5:$U$1000,ROW(),$V$5:$V$1000,"Sub"),$Y30)))</f>
        <v/>
      </c>
      <c r="AD30" s="62">
        <f>IF($V30="","",IF(AND(ISNUMBER($G30),$G30&lt;=IF($S30=MesCiclo,InicioCiclo,$S30+MOD(2-WEEKDAY($S30),7))+13),1,IF(N($W30)&gt;0,AVERAGEIFS($Z$5:$Z$1000,$U$5:$U$1000,ROW(),$V$5:$V$1000,"Sub"),$Z30)))</f>
        <v/>
      </c>
      <c r="AE30" s="62">
        <f>IF($V30="","",IF(AND(ISNUMBER($G30),$G30&lt;=IF($S30=MesCiclo,InicioCiclo,$S30+MOD(2-WEEKDAY($S30),7))+20),1,IF(N($W30)&gt;0,AVERAGEIFS($AA$5:$AA$1000,$U$5:$U$1000,ROW(),$V$5:$V$1000,"Sub"),$AA30)))</f>
        <v/>
      </c>
      <c r="AF30" s="62">
        <f>IF($V30="","",IF(AND(ISNUMBER($G30),$G30&lt;=IF($S30=MesCiclo,InicioCiclo,$S30+MOD(2-WEEKDAY($S30),7))+27),1,IF(N($W30)&gt;0,AVERAGEIFS($AB$5:$AB$1000,$U$5:$U$1000,ROW(),$V$5:$V$1000,"Sub"),$AB30)))</f>
        <v/>
      </c>
      <c r="AG30" s="62">
        <f>IF($V30&lt;&gt;"Macro","",IF(COUNTIFS($S$5:$S$1000,$S30,$V$5:$V$1000,"Macro",$H$5:$H$1000,"&gt;0")=0,1/COUNTIFS($S$5:$S$1000,$S30,$V$5:$V$1000,"Macro"),IF(AND(ISNUMBER($H30),N($H30)&gt;0),$H30,SUMIFS($H$5:$H$1000,$S$5:$S$1000,$S30,$V$5:$V$1000,"Macro")/COUNTIFS($S$5:$S$1000,$S30,$V$5:$V$1000,"Macro",$H$5:$H$1000,"&gt;0"))/(COUNTIFS($S$5:$S$1000,$S30,$V$5:$V$1000,"Macro")*SUMIFS($H$5:$H$1000,$S$5:$S$1000,$S30,$V$5:$V$1000,"Macro")/COUNTIFS($S$5:$S$1000,$S30,$V$5:$V$1000,"Macro",$H$5:$H$1000,"&gt;0"))))</f>
        <v/>
      </c>
      <c r="AH30" s="62" t="n"/>
      <c r="AI30" s="62" t="n"/>
      <c r="AJ30" s="62" t="n"/>
      <c r="AK30" s="62" t="n"/>
      <c r="AL30" s="62">
        <f>IF(LEFT($C30,11)="[Jefatura] ",IFERROR(MATCH("Riesgo Normativo|"&amp;MID($C30,12,500),rDname_ADM,0),0),"")</f>
        <v/>
      </c>
      <c r="AM30" s="62">
        <f>IF(N($AL30)&gt;0,INDEX(rIni_ADM,$AL30),IF(ISNUMBER($E30),$E30,""))</f>
        <v/>
      </c>
      <c r="AN30" s="62">
        <f>IF(N($AL30)&gt;0,INDEX(rLim_ADM,$AL30),IF(ISNUMBER($F30),$F30,""))</f>
        <v/>
      </c>
    </row>
    <row r="31">
      <c r="A31" s="56">
        <f>IF(NOT((COUNTA($B31:$D31)+COUNTA($G31:$L31)+COUNTA($Q31))&gt;0),"",IF($V31="Macro",COUNTIFS($V$5:$V31,"Macro",$S$5:$S31,$S31),IF(N($U31)=0,"?",COUNTIFS(INDEX($V$5:$V$1000,1):INDEX($V$5:$V$1000,$U31-4),"Macro",INDEX($S$5:$S$1000,1):INDEX($S$5:$S$1000,$U31-4),INDEX($S$5:$S$1000,$U31-4))&amp;"."&amp;COUNTIFS($U$5:$U31,$U31,$V$5:$V31,"Sub"))))</f>
        <v/>
      </c>
      <c r="B31" s="57" t="n"/>
      <c r="C31" s="58" t="n"/>
      <c r="D31" s="58" t="n"/>
      <c r="E31" s="59">
        <f>IF(N($AL31)&gt;0,INDEX(rIni_ADM,$AL31),"")</f>
        <v/>
      </c>
      <c r="F31" s="59">
        <f>IF(N($AL31)&gt;0,INDEX(rLim_ADM,$AL31),"")</f>
        <v/>
      </c>
      <c r="G31" s="59" t="n"/>
      <c r="H31" s="60" t="n"/>
      <c r="I31" s="60" t="n"/>
      <c r="J31" s="60" t="n"/>
      <c r="K31" s="60" t="n"/>
      <c r="L31" s="60" t="n"/>
      <c r="M31" s="61">
        <f>IF(NOT((COUNTA($B31:$D31)+COUNTA($G31:$L31)+COUNTA($Q31))&gt;0),"",IF($V31="Sub",IFERROR($X31/INDEX($W$5:$W$1000,$U31-4),""),IF(ISNUMBER($G31),1,IF(N($W31)&gt;0,AVERAGEIFS($X$5:$X$1000,$U$5:$U$1000,ROW(),$V$5:$V$1000,"Sub"),$X31))))</f>
        <v/>
      </c>
      <c r="N31" s="56">
        <f>IF(OR($M31="",$V31="Sub"),"",IF($M31&gt;=1,"Completado",IF($M31&gt;0,"En curso","Pendiente")))</f>
        <v/>
      </c>
      <c r="O31" s="56">
        <f>IF(OR(NOT((COUNTA($B31:$D31)+COUNTA($G31:$L31)+COUNTA($Q31))&gt;0),$V31="Sub"),"",IF(ISNUMBER($G31),IF(AND(ISNUMBER($AN31),$G31&gt;$AN31),"Cumplida con "&amp;($G31-$AN31)&amp;IF($G31-$AN31=1," día"," días")&amp;" de retraso","Cumplida"),IF(N($M31)&gt;=1,"Cumplida",IF(NOT(ISNUMBER($AN31)),"Sin fecha límite",IF($AN31&lt;FechaRef,"Vencida hace "&amp;(FechaRef-$AN31)&amp;IF(FechaRef-$AN31=1," día"," días"),IF($AN31=FechaRef,"Vence hoy",IF($AN31-FechaRef&lt;=DiasAlerta,"Vence en "&amp;($AN31-FechaRef)&amp;IF($AN31-FechaRef=1," día"," días"),"En plazo")))))))</f>
        <v/>
      </c>
      <c r="P31" s="62" t="n"/>
      <c r="Q31" s="58" t="n"/>
      <c r="R31" s="63">
        <f>IF(NOT((COUNTA($B31:$D31)+COUNTA($G31:$L31)+COUNTA($Q31))&gt;0),"",IF((IF($C31="","Falta el nombre de la actividad"&amp;" · ","")&amp;IF(AND($V31="Sub",N($U31)=0),"Subactividad sin macroactividad arriba"&amp;" · ","")&amp;IF($AM31="","Sin fecha de inicio"&amp;" · ","")&amp;IF($AN31="","Sin fecha límite"&amp;" · ","")&amp;IF(AND(LEFT($C31,11)="[Jefatura] ",N($AL31)=0),"No se encuentra en la hoja de la jefatura (elíjala de nuevo en la lista)"&amp;" · ","")&amp;IF(OR(AND($E31&lt;&gt;"",NOT(ISNUMBER($E31))),AND($F31&lt;&gt;"",NOT(ISNUMBER($F31))),AND($G31&lt;&gt;"",NOT(ISNUMBER($G31)))),"Fecha no válida"&amp;" · ","")&amp;IF(AND(ISNUMBER($AM31),ISNUMBER($AN31),$AM31&gt;$AN31),"Inicio posterior a fecha límite"&amp;" · ","")&amp;IF(AND($V31="Macro",$H31&lt;&gt;"",OR(NOT(ISNUMBER($H31)),$H31&lt;0,$H31&gt;1)),"Peso fuera de rango"&amp;" · ","")&amp;IF(AND($V31="Sub",$H31&lt;&gt;""),"Las subactividades no llevan peso (valen igual dentro de su macroactividad)"&amp;" · ","")&amp;IF(AND(N($W31)&gt;0,COUNT($I31:$L31)&gt;0),"Con subactividades: deje vacías las semanas (se calculan solas)"&amp;" · ","")&amp;IF((COUNTIF($I31:$L31,"&gt;1")+COUNTIF($I31:$L31,"&lt;0")+COUNTA($I31:$L31)-COUNT($I31:$L31))&gt;0,"Avance fuera de rango 0-100%"&amp;" · ","")&amp;IF(OR(AND($J31&lt;&gt;"",$J31&lt;$I31),AND($K31&lt;&gt;"",$K31&lt;MAX($I31:$J31)),AND($L31&lt;&gt;"",$L31&lt;MAX($I31:$K31))),"Avance semanal decreciente"&amp;" · ","")&amp;IF(AND(ISNUMBER($AN31),$AN31&lt;FechaRef,IF($V31="Sub",N($X31),N($M31))&lt;1),"Vencida"&amp;" · ","")&amp;IF(AND(ObsObligatoria="Sí",ISNUMBER($AN31),$AN31&lt;FechaRef,IF($V31="Sub",N($X31),N($M31))&lt;1,$Q31=""),"Vencida sin observación"&amp;" · ",""))="","✔ OK","⚠ "&amp;LEFT(IF($C31="","Falta el nombre de la actividad"&amp;" · ","")&amp;IF(AND($V31="Sub",N($U31)=0),"Subactividad sin macroactividad arriba"&amp;" · ","")&amp;IF($AM31="","Sin fecha de inicio"&amp;" · ","")&amp;IF($AN31="","Sin fecha límite"&amp;" · ","")&amp;IF(AND(LEFT($C31,11)="[Jefatura] ",N($AL31)=0),"No se encuentra en la hoja de la jefatura (elíjala de nuevo en la lista)"&amp;" · ","")&amp;IF(OR(AND($E31&lt;&gt;"",NOT(ISNUMBER($E31))),AND($F31&lt;&gt;"",NOT(ISNUMBER($F31))),AND($G31&lt;&gt;"",NOT(ISNUMBER($G31)))),"Fecha no válida"&amp;" · ","")&amp;IF(AND(ISNUMBER($AM31),ISNUMBER($AN31),$AM31&gt;$AN31),"Inicio posterior a fecha límite"&amp;" · ","")&amp;IF(AND($V31="Macro",$H31&lt;&gt;"",OR(NOT(ISNUMBER($H31)),$H31&lt;0,$H31&gt;1)),"Peso fuera de rango"&amp;" · ","")&amp;IF(AND($V31="Sub",$H31&lt;&gt;""),"Las subactividades no llevan peso (valen igual dentro de su macroactividad)"&amp;" · ","")&amp;IF(AND(N($W31)&gt;0,COUNT($I31:$L31)&gt;0),"Con subactividades: deje vacías las semanas (se calculan solas)"&amp;" · ","")&amp;IF((COUNTIF($I31:$L31,"&gt;1")+COUNTIF($I31:$L31,"&lt;0")+COUNTA($I31:$L31)-COUNT($I31:$L31))&gt;0,"Avance fuera de rango 0-100%"&amp;" · ","")&amp;IF(OR(AND($J31&lt;&gt;"",$J31&lt;$I31),AND($K31&lt;&gt;"",$K31&lt;MAX($I31:$J31)),AND($L31&lt;&gt;"",$L31&lt;MAX($I31:$K31))),"Avance semanal decreciente"&amp;" · ","")&amp;IF(AND(ISNUMBER($AN31),$AN31&lt;FechaRef,IF($V31="Sub",N($X31),N($M31))&lt;1),"Vencida"&amp;" · ","")&amp;IF(AND(ObsObligatoria="Sí",ISNUMBER($AN31),$AN31&lt;FechaRef,IF($V31="Sub",N($X31),N($M31))&lt;1,$Q31=""),"Vencida sin observación"&amp;" · ",""),LEN(IF($C31="","Falta el nombre de la actividad"&amp;" · ","")&amp;IF(AND($V31="Sub",N($U31)=0),"Subactividad sin macroactividad arriba"&amp;" · ","")&amp;IF($AM31="","Sin fecha de inicio"&amp;" · ","")&amp;IF($AN31="","Sin fecha límite"&amp;" · ","")&amp;IF(AND(LEFT($C31,11)="[Jefatura] ",N($AL31)=0),"No se encuentra en la hoja de la jefatura (elíjala de nuevo en la lista)"&amp;" · ","")&amp;IF(OR(AND($E31&lt;&gt;"",NOT(ISNUMBER($E31))),AND($F31&lt;&gt;"",NOT(ISNUMBER($F31))),AND($G31&lt;&gt;"",NOT(ISNUMBER($G31)))),"Fecha no válida"&amp;" · ","")&amp;IF(AND(ISNUMBER($AM31),ISNUMBER($AN31),$AM31&gt;$AN31),"Inicio posterior a fecha límite"&amp;" · ","")&amp;IF(AND($V31="Macro",$H31&lt;&gt;"",OR(NOT(ISNUMBER($H31)),$H31&lt;0,$H31&gt;1)),"Peso fuera de rango"&amp;" · ","")&amp;IF(AND($V31="Sub",$H31&lt;&gt;""),"Las subactividades no llevan peso (valen igual dentro de su macroactividad)"&amp;" · ","")&amp;IF(AND(N($W31)&gt;0,COUNT($I31:$L31)&gt;0),"Con subactividades: deje vacías las semanas (se calculan solas)"&amp;" · ","")&amp;IF((COUNTIF($I31:$L31,"&gt;1")+COUNTIF($I31:$L31,"&lt;0")+COUNTA($I31:$L31)-COUNT($I31:$L31))&gt;0,"Avance fuera de rango 0-100%"&amp;" · ","")&amp;IF(OR(AND($J31&lt;&gt;"",$J31&lt;$I31),AND($K31&lt;&gt;"",$K31&lt;MAX($I31:$J31)),AND($L31&lt;&gt;"",$L31&lt;MAX($I31:$K31))),"Avance semanal decreciente"&amp;" · ","")&amp;IF(AND(ISNUMBER($AN31),$AN31&lt;FechaRef,IF($V31="Sub",N($X31),N($M31))&lt;1),"Vencida"&amp;" · ","")&amp;IF(AND(ObsObligatoria="Sí",ISNUMBER($AN31),$AN31&lt;FechaRef,IF($V31="Sub",N($X31),N($M31))&lt;1,$Q31=""),"Vencida sin observación"&amp;" · ",""))-3)))</f>
        <v/>
      </c>
      <c r="S31" s="64">
        <f>IF(NOT((COUNTA($B31:$D31)+COUNTA($G31:$L31)+COUNTA($Q31))&gt;0),"",IF(AND($V31="Sub",N($U31)&gt;0),IF(ISNUMBER(INDEX($AM$5:$AM$1000,$U31-4)),DATE(YEAR(INDEX($AM$5:$AM$1000,$U31-4)),MONTH(INDEX($AM$5:$AM$1000,$U31-4)),1),IF(ISNUMBER(INDEX($AN$5:$AN$1000,$U31-4)),DATE(YEAR(INDEX($AN$5:$AN$1000,$U31-4)),MONTH(INDEX($AN$5:$AN$1000,$U31-4)),1),MesCiclo)),IF(ISNUMBER($AM31),DATE(YEAR($AM31),MONTH($AM31),1),IF(ISNUMBER($AN31),DATE(YEAR($AN31),MONTH($AN31),1),MesCiclo))))</f>
        <v/>
      </c>
      <c r="T31" s="62">
        <f>IF(OR($S31="",$S31&lt;&gt;MesCiclo,$V31&lt;&gt;"Macro"),"",COUNTIFS($S$5:$S31,MesCiclo,$V$5:$V31,"Macro"))</f>
        <v/>
      </c>
      <c r="U31" s="62">
        <f>IF($V31="","",IF($V31="Macro",ROW(),IFERROR(LOOKUP(2,1/($V$5:$V31="Macro"),ROW($V$5:$V31)),0)))</f>
        <v/>
      </c>
      <c r="V31" s="62">
        <f>IF(NOT((COUNTA($B31:$D31)+COUNTA($G31:$L31)+COUNTA($Q31))&gt;0),"",IF($B31="Subactividad","Sub","Macro"))</f>
        <v/>
      </c>
      <c r="W31" s="62">
        <f>IF($V31="Macro",COUNTIFS($U$5:$U$1000,ROW(),$V$5:$V$1000,"Sub"),"")</f>
        <v/>
      </c>
      <c r="X31" s="62">
        <f>IF($V31="","",IF(ISNUMBER($G31),1,IFERROR(LOOKUP(2,1/($I31:$L31&lt;&gt;""),$I31:$L31),0)))</f>
        <v/>
      </c>
      <c r="Y31" s="62">
        <f>IF($V31="","",IF(AND(ISNUMBER($G31),$G31&lt;=IF($S31=MesCiclo,InicioCiclo,$S31+MOD(2-WEEKDAY($S31),7))+6),1,IF(ISNUMBER($I31),$I31,0)))</f>
        <v/>
      </c>
      <c r="Z31" s="62">
        <f>IF($V31="","",IF(AND(ISNUMBER($G31),$G31&lt;=IF($S31=MesCiclo,InicioCiclo,$S31+MOD(2-WEEKDAY($S31),7))+13),1,IF(ISNUMBER($J31),$J31,$Y31)))</f>
        <v/>
      </c>
      <c r="AA31" s="62">
        <f>IF($V31="","",IF(AND(ISNUMBER($G31),$G31&lt;=IF($S31=MesCiclo,InicioCiclo,$S31+MOD(2-WEEKDAY($S31),7))+20),1,IF(ISNUMBER($K31),$K31,$Z31)))</f>
        <v/>
      </c>
      <c r="AB31" s="62">
        <f>IF($V31="","",IF(AND(ISNUMBER($G31),$G31&lt;=IF($S31=MesCiclo,InicioCiclo,$S31+MOD(2-WEEKDAY($S31),7))+27),1,IF(ISNUMBER($L31),$L31,$AA31)))</f>
        <v/>
      </c>
      <c r="AC31" s="62">
        <f>IF($V31="","",IF(AND(ISNUMBER($G31),$G31&lt;=IF($S31=MesCiclo,InicioCiclo,$S31+MOD(2-WEEKDAY($S31),7))+6),1,IF(N($W31)&gt;0,AVERAGEIFS($Y$5:$Y$1000,$U$5:$U$1000,ROW(),$V$5:$V$1000,"Sub"),$Y31)))</f>
        <v/>
      </c>
      <c r="AD31" s="62">
        <f>IF($V31="","",IF(AND(ISNUMBER($G31),$G31&lt;=IF($S31=MesCiclo,InicioCiclo,$S31+MOD(2-WEEKDAY($S31),7))+13),1,IF(N($W31)&gt;0,AVERAGEIFS($Z$5:$Z$1000,$U$5:$U$1000,ROW(),$V$5:$V$1000,"Sub"),$Z31)))</f>
        <v/>
      </c>
      <c r="AE31" s="62">
        <f>IF($V31="","",IF(AND(ISNUMBER($G31),$G31&lt;=IF($S31=MesCiclo,InicioCiclo,$S31+MOD(2-WEEKDAY($S31),7))+20),1,IF(N($W31)&gt;0,AVERAGEIFS($AA$5:$AA$1000,$U$5:$U$1000,ROW(),$V$5:$V$1000,"Sub"),$AA31)))</f>
        <v/>
      </c>
      <c r="AF31" s="62">
        <f>IF($V31="","",IF(AND(ISNUMBER($G31),$G31&lt;=IF($S31=MesCiclo,InicioCiclo,$S31+MOD(2-WEEKDAY($S31),7))+27),1,IF(N($W31)&gt;0,AVERAGEIFS($AB$5:$AB$1000,$U$5:$U$1000,ROW(),$V$5:$V$1000,"Sub"),$AB31)))</f>
        <v/>
      </c>
      <c r="AG31" s="62">
        <f>IF($V31&lt;&gt;"Macro","",IF(COUNTIFS($S$5:$S$1000,$S31,$V$5:$V$1000,"Macro",$H$5:$H$1000,"&gt;0")=0,1/COUNTIFS($S$5:$S$1000,$S31,$V$5:$V$1000,"Macro"),IF(AND(ISNUMBER($H31),N($H31)&gt;0),$H31,SUMIFS($H$5:$H$1000,$S$5:$S$1000,$S31,$V$5:$V$1000,"Macro")/COUNTIFS($S$5:$S$1000,$S31,$V$5:$V$1000,"Macro",$H$5:$H$1000,"&gt;0"))/(COUNTIFS($S$5:$S$1000,$S31,$V$5:$V$1000,"Macro")*SUMIFS($H$5:$H$1000,$S$5:$S$1000,$S31,$V$5:$V$1000,"Macro")/COUNTIFS($S$5:$S$1000,$S31,$V$5:$V$1000,"Macro",$H$5:$H$1000,"&gt;0"))))</f>
        <v/>
      </c>
      <c r="AH31" s="62" t="n"/>
      <c r="AI31" s="62" t="n"/>
      <c r="AJ31" s="62" t="n"/>
      <c r="AK31" s="62" t="n"/>
      <c r="AL31" s="62">
        <f>IF(LEFT($C31,11)="[Jefatura] ",IFERROR(MATCH("Riesgo Normativo|"&amp;MID($C31,12,500),rDname_ADM,0),0),"")</f>
        <v/>
      </c>
      <c r="AM31" s="62">
        <f>IF(N($AL31)&gt;0,INDEX(rIni_ADM,$AL31),IF(ISNUMBER($E31),$E31,""))</f>
        <v/>
      </c>
      <c r="AN31" s="62">
        <f>IF(N($AL31)&gt;0,INDEX(rLim_ADM,$AL31),IF(ISNUMBER($F31),$F31,""))</f>
        <v/>
      </c>
    </row>
    <row r="32">
      <c r="A32" s="56">
        <f>IF(NOT((COUNTA($B32:$D32)+COUNTA($G32:$L32)+COUNTA($Q32))&gt;0),"",IF($V32="Macro",COUNTIFS($V$5:$V32,"Macro",$S$5:$S32,$S32),IF(N($U32)=0,"?",COUNTIFS(INDEX($V$5:$V$1000,1):INDEX($V$5:$V$1000,$U32-4),"Macro",INDEX($S$5:$S$1000,1):INDEX($S$5:$S$1000,$U32-4),INDEX($S$5:$S$1000,$U32-4))&amp;"."&amp;COUNTIFS($U$5:$U32,$U32,$V$5:$V32,"Sub"))))</f>
        <v/>
      </c>
      <c r="B32" s="57" t="n"/>
      <c r="C32" s="58" t="n"/>
      <c r="D32" s="58" t="n"/>
      <c r="E32" s="59">
        <f>IF(N($AL32)&gt;0,INDEX(rIni_ADM,$AL32),"")</f>
        <v/>
      </c>
      <c r="F32" s="59">
        <f>IF(N($AL32)&gt;0,INDEX(rLim_ADM,$AL32),"")</f>
        <v/>
      </c>
      <c r="G32" s="59" t="n"/>
      <c r="H32" s="60" t="n"/>
      <c r="I32" s="60" t="n"/>
      <c r="J32" s="60" t="n"/>
      <c r="K32" s="60" t="n"/>
      <c r="L32" s="60" t="n"/>
      <c r="M32" s="61">
        <f>IF(NOT((COUNTA($B32:$D32)+COUNTA($G32:$L32)+COUNTA($Q32))&gt;0),"",IF($V32="Sub",IFERROR($X32/INDEX($W$5:$W$1000,$U32-4),""),IF(ISNUMBER($G32),1,IF(N($W32)&gt;0,AVERAGEIFS($X$5:$X$1000,$U$5:$U$1000,ROW(),$V$5:$V$1000,"Sub"),$X32))))</f>
        <v/>
      </c>
      <c r="N32" s="56">
        <f>IF(OR($M32="",$V32="Sub"),"",IF($M32&gt;=1,"Completado",IF($M32&gt;0,"En curso","Pendiente")))</f>
        <v/>
      </c>
      <c r="O32" s="56">
        <f>IF(OR(NOT((COUNTA($B32:$D32)+COUNTA($G32:$L32)+COUNTA($Q32))&gt;0),$V32="Sub"),"",IF(ISNUMBER($G32),IF(AND(ISNUMBER($AN32),$G32&gt;$AN32),"Cumplida con "&amp;($G32-$AN32)&amp;IF($G32-$AN32=1," día"," días")&amp;" de retraso","Cumplida"),IF(N($M32)&gt;=1,"Cumplida",IF(NOT(ISNUMBER($AN32)),"Sin fecha límite",IF($AN32&lt;FechaRef,"Vencida hace "&amp;(FechaRef-$AN32)&amp;IF(FechaRef-$AN32=1," día"," días"),IF($AN32=FechaRef,"Vence hoy",IF($AN32-FechaRef&lt;=DiasAlerta,"Vence en "&amp;($AN32-FechaRef)&amp;IF($AN32-FechaRef=1," día"," días"),"En plazo")))))))</f>
        <v/>
      </c>
      <c r="P32" s="62" t="n"/>
      <c r="Q32" s="58" t="n"/>
      <c r="R32" s="63">
        <f>IF(NOT((COUNTA($B32:$D32)+COUNTA($G32:$L32)+COUNTA($Q32))&gt;0),"",IF((IF($C32="","Falta el nombre de la actividad"&amp;" · ","")&amp;IF(AND($V32="Sub",N($U32)=0),"Subactividad sin macroactividad arriba"&amp;" · ","")&amp;IF($AM32="","Sin fecha de inicio"&amp;" · ","")&amp;IF($AN32="","Sin fecha límite"&amp;" · ","")&amp;IF(AND(LEFT($C32,11)="[Jefatura] ",N($AL32)=0),"No se encuentra en la hoja de la jefatura (elíjala de nuevo en la lista)"&amp;" · ","")&amp;IF(OR(AND($E32&lt;&gt;"",NOT(ISNUMBER($E32))),AND($F32&lt;&gt;"",NOT(ISNUMBER($F32))),AND($G32&lt;&gt;"",NOT(ISNUMBER($G32)))),"Fecha no válida"&amp;" · ","")&amp;IF(AND(ISNUMBER($AM32),ISNUMBER($AN32),$AM32&gt;$AN32),"Inicio posterior a fecha límite"&amp;" · ","")&amp;IF(AND($V32="Macro",$H32&lt;&gt;"",OR(NOT(ISNUMBER($H32)),$H32&lt;0,$H32&gt;1)),"Peso fuera de rango"&amp;" · ","")&amp;IF(AND($V32="Sub",$H32&lt;&gt;""),"Las subactividades no llevan peso (valen igual dentro de su macroactividad)"&amp;" · ","")&amp;IF(AND(N($W32)&gt;0,COUNT($I32:$L32)&gt;0),"Con subactividades: deje vacías las semanas (se calculan solas)"&amp;" · ","")&amp;IF((COUNTIF($I32:$L32,"&gt;1")+COUNTIF($I32:$L32,"&lt;0")+COUNTA($I32:$L32)-COUNT($I32:$L32))&gt;0,"Avance fuera de rango 0-100%"&amp;" · ","")&amp;IF(OR(AND($J32&lt;&gt;"",$J32&lt;$I32),AND($K32&lt;&gt;"",$K32&lt;MAX($I32:$J32)),AND($L32&lt;&gt;"",$L32&lt;MAX($I32:$K32))),"Avance semanal decreciente"&amp;" · ","")&amp;IF(AND(ISNUMBER($AN32),$AN32&lt;FechaRef,IF($V32="Sub",N($X32),N($M32))&lt;1),"Vencida"&amp;" · ","")&amp;IF(AND(ObsObligatoria="Sí",ISNUMBER($AN32),$AN32&lt;FechaRef,IF($V32="Sub",N($X32),N($M32))&lt;1,$Q32=""),"Vencida sin observación"&amp;" · ",""))="","✔ OK","⚠ "&amp;LEFT(IF($C32="","Falta el nombre de la actividad"&amp;" · ","")&amp;IF(AND($V32="Sub",N($U32)=0),"Subactividad sin macroactividad arriba"&amp;" · ","")&amp;IF($AM32="","Sin fecha de inicio"&amp;" · ","")&amp;IF($AN32="","Sin fecha límite"&amp;" · ","")&amp;IF(AND(LEFT($C32,11)="[Jefatura] ",N($AL32)=0),"No se encuentra en la hoja de la jefatura (elíjala de nuevo en la lista)"&amp;" · ","")&amp;IF(OR(AND($E32&lt;&gt;"",NOT(ISNUMBER($E32))),AND($F32&lt;&gt;"",NOT(ISNUMBER($F32))),AND($G32&lt;&gt;"",NOT(ISNUMBER($G32)))),"Fecha no válida"&amp;" · ","")&amp;IF(AND(ISNUMBER($AM32),ISNUMBER($AN32),$AM32&gt;$AN32),"Inicio posterior a fecha límite"&amp;" · ","")&amp;IF(AND($V32="Macro",$H32&lt;&gt;"",OR(NOT(ISNUMBER($H32)),$H32&lt;0,$H32&gt;1)),"Peso fuera de rango"&amp;" · ","")&amp;IF(AND($V32="Sub",$H32&lt;&gt;""),"Las subactividades no llevan peso (valen igual dentro de su macroactividad)"&amp;" · ","")&amp;IF(AND(N($W32)&gt;0,COUNT($I32:$L32)&gt;0),"Con subactividades: deje vacías las semanas (se calculan solas)"&amp;" · ","")&amp;IF((COUNTIF($I32:$L32,"&gt;1")+COUNTIF($I32:$L32,"&lt;0")+COUNTA($I32:$L32)-COUNT($I32:$L32))&gt;0,"Avance fuera de rango 0-100%"&amp;" · ","")&amp;IF(OR(AND($J32&lt;&gt;"",$J32&lt;$I32),AND($K32&lt;&gt;"",$K32&lt;MAX($I32:$J32)),AND($L32&lt;&gt;"",$L32&lt;MAX($I32:$K32))),"Avance semanal decreciente"&amp;" · ","")&amp;IF(AND(ISNUMBER($AN32),$AN32&lt;FechaRef,IF($V32="Sub",N($X32),N($M32))&lt;1),"Vencida"&amp;" · ","")&amp;IF(AND(ObsObligatoria="Sí",ISNUMBER($AN32),$AN32&lt;FechaRef,IF($V32="Sub",N($X32),N($M32))&lt;1,$Q32=""),"Vencida sin observación"&amp;" · ",""),LEN(IF($C32="","Falta el nombre de la actividad"&amp;" · ","")&amp;IF(AND($V32="Sub",N($U32)=0),"Subactividad sin macroactividad arriba"&amp;" · ","")&amp;IF($AM32="","Sin fecha de inicio"&amp;" · ","")&amp;IF($AN32="","Sin fecha límite"&amp;" · ","")&amp;IF(AND(LEFT($C32,11)="[Jefatura] ",N($AL32)=0),"No se encuentra en la hoja de la jefatura (elíjala de nuevo en la lista)"&amp;" · ","")&amp;IF(OR(AND($E32&lt;&gt;"",NOT(ISNUMBER($E32))),AND($F32&lt;&gt;"",NOT(ISNUMBER($F32))),AND($G32&lt;&gt;"",NOT(ISNUMBER($G32)))),"Fecha no válida"&amp;" · ","")&amp;IF(AND(ISNUMBER($AM32),ISNUMBER($AN32),$AM32&gt;$AN32),"Inicio posterior a fecha límite"&amp;" · ","")&amp;IF(AND($V32="Macro",$H32&lt;&gt;"",OR(NOT(ISNUMBER($H32)),$H32&lt;0,$H32&gt;1)),"Peso fuera de rango"&amp;" · ","")&amp;IF(AND($V32="Sub",$H32&lt;&gt;""),"Las subactividades no llevan peso (valen igual dentro de su macroactividad)"&amp;" · ","")&amp;IF(AND(N($W32)&gt;0,COUNT($I32:$L32)&gt;0),"Con subactividades: deje vacías las semanas (se calculan solas)"&amp;" · ","")&amp;IF((COUNTIF($I32:$L32,"&gt;1")+COUNTIF($I32:$L32,"&lt;0")+COUNTA($I32:$L32)-COUNT($I32:$L32))&gt;0,"Avance fuera de rango 0-100%"&amp;" · ","")&amp;IF(OR(AND($J32&lt;&gt;"",$J32&lt;$I32),AND($K32&lt;&gt;"",$K32&lt;MAX($I32:$J32)),AND($L32&lt;&gt;"",$L32&lt;MAX($I32:$K32))),"Avance semanal decreciente"&amp;" · ","")&amp;IF(AND(ISNUMBER($AN32),$AN32&lt;FechaRef,IF($V32="Sub",N($X32),N($M32))&lt;1),"Vencida"&amp;" · ","")&amp;IF(AND(ObsObligatoria="Sí",ISNUMBER($AN32),$AN32&lt;FechaRef,IF($V32="Sub",N($X32),N($M32))&lt;1,$Q32=""),"Vencida sin observación"&amp;" · ",""))-3)))</f>
        <v/>
      </c>
      <c r="S32" s="64">
        <f>IF(NOT((COUNTA($B32:$D32)+COUNTA($G32:$L32)+COUNTA($Q32))&gt;0),"",IF(AND($V32="Sub",N($U32)&gt;0),IF(ISNUMBER(INDEX($AM$5:$AM$1000,$U32-4)),DATE(YEAR(INDEX($AM$5:$AM$1000,$U32-4)),MONTH(INDEX($AM$5:$AM$1000,$U32-4)),1),IF(ISNUMBER(INDEX($AN$5:$AN$1000,$U32-4)),DATE(YEAR(INDEX($AN$5:$AN$1000,$U32-4)),MONTH(INDEX($AN$5:$AN$1000,$U32-4)),1),MesCiclo)),IF(ISNUMBER($AM32),DATE(YEAR($AM32),MONTH($AM32),1),IF(ISNUMBER($AN32),DATE(YEAR($AN32),MONTH($AN32),1),MesCiclo))))</f>
        <v/>
      </c>
      <c r="T32" s="62">
        <f>IF(OR($S32="",$S32&lt;&gt;MesCiclo,$V32&lt;&gt;"Macro"),"",COUNTIFS($S$5:$S32,MesCiclo,$V$5:$V32,"Macro"))</f>
        <v/>
      </c>
      <c r="U32" s="62">
        <f>IF($V32="","",IF($V32="Macro",ROW(),IFERROR(LOOKUP(2,1/($V$5:$V32="Macro"),ROW($V$5:$V32)),0)))</f>
        <v/>
      </c>
      <c r="V32" s="62">
        <f>IF(NOT((COUNTA($B32:$D32)+COUNTA($G32:$L32)+COUNTA($Q32))&gt;0),"",IF($B32="Subactividad","Sub","Macro"))</f>
        <v/>
      </c>
      <c r="W32" s="62">
        <f>IF($V32="Macro",COUNTIFS($U$5:$U$1000,ROW(),$V$5:$V$1000,"Sub"),"")</f>
        <v/>
      </c>
      <c r="X32" s="62">
        <f>IF($V32="","",IF(ISNUMBER($G32),1,IFERROR(LOOKUP(2,1/($I32:$L32&lt;&gt;""),$I32:$L32),0)))</f>
        <v/>
      </c>
      <c r="Y32" s="62">
        <f>IF($V32="","",IF(AND(ISNUMBER($G32),$G32&lt;=IF($S32=MesCiclo,InicioCiclo,$S32+MOD(2-WEEKDAY($S32),7))+6),1,IF(ISNUMBER($I32),$I32,0)))</f>
        <v/>
      </c>
      <c r="Z32" s="62">
        <f>IF($V32="","",IF(AND(ISNUMBER($G32),$G32&lt;=IF($S32=MesCiclo,InicioCiclo,$S32+MOD(2-WEEKDAY($S32),7))+13),1,IF(ISNUMBER($J32),$J32,$Y32)))</f>
        <v/>
      </c>
      <c r="AA32" s="62">
        <f>IF($V32="","",IF(AND(ISNUMBER($G32),$G32&lt;=IF($S32=MesCiclo,InicioCiclo,$S32+MOD(2-WEEKDAY($S32),7))+20),1,IF(ISNUMBER($K32),$K32,$Z32)))</f>
        <v/>
      </c>
      <c r="AB32" s="62">
        <f>IF($V32="","",IF(AND(ISNUMBER($G32),$G32&lt;=IF($S32=MesCiclo,InicioCiclo,$S32+MOD(2-WEEKDAY($S32),7))+27),1,IF(ISNUMBER($L32),$L32,$AA32)))</f>
        <v/>
      </c>
      <c r="AC32" s="62">
        <f>IF($V32="","",IF(AND(ISNUMBER($G32),$G32&lt;=IF($S32=MesCiclo,InicioCiclo,$S32+MOD(2-WEEKDAY($S32),7))+6),1,IF(N($W32)&gt;0,AVERAGEIFS($Y$5:$Y$1000,$U$5:$U$1000,ROW(),$V$5:$V$1000,"Sub"),$Y32)))</f>
        <v/>
      </c>
      <c r="AD32" s="62">
        <f>IF($V32="","",IF(AND(ISNUMBER($G32),$G32&lt;=IF($S32=MesCiclo,InicioCiclo,$S32+MOD(2-WEEKDAY($S32),7))+13),1,IF(N($W32)&gt;0,AVERAGEIFS($Z$5:$Z$1000,$U$5:$U$1000,ROW(),$V$5:$V$1000,"Sub"),$Z32)))</f>
        <v/>
      </c>
      <c r="AE32" s="62">
        <f>IF($V32="","",IF(AND(ISNUMBER($G32),$G32&lt;=IF($S32=MesCiclo,InicioCiclo,$S32+MOD(2-WEEKDAY($S32),7))+20),1,IF(N($W32)&gt;0,AVERAGEIFS($AA$5:$AA$1000,$U$5:$U$1000,ROW(),$V$5:$V$1000,"Sub"),$AA32)))</f>
        <v/>
      </c>
      <c r="AF32" s="62">
        <f>IF($V32="","",IF(AND(ISNUMBER($G32),$G32&lt;=IF($S32=MesCiclo,InicioCiclo,$S32+MOD(2-WEEKDAY($S32),7))+27),1,IF(N($W32)&gt;0,AVERAGEIFS($AB$5:$AB$1000,$U$5:$U$1000,ROW(),$V$5:$V$1000,"Sub"),$AB32)))</f>
        <v/>
      </c>
      <c r="AG32" s="62">
        <f>IF($V32&lt;&gt;"Macro","",IF(COUNTIFS($S$5:$S$1000,$S32,$V$5:$V$1000,"Macro",$H$5:$H$1000,"&gt;0")=0,1/COUNTIFS($S$5:$S$1000,$S32,$V$5:$V$1000,"Macro"),IF(AND(ISNUMBER($H32),N($H32)&gt;0),$H32,SUMIFS($H$5:$H$1000,$S$5:$S$1000,$S32,$V$5:$V$1000,"Macro")/COUNTIFS($S$5:$S$1000,$S32,$V$5:$V$1000,"Macro",$H$5:$H$1000,"&gt;0"))/(COUNTIFS($S$5:$S$1000,$S32,$V$5:$V$1000,"Macro")*SUMIFS($H$5:$H$1000,$S$5:$S$1000,$S32,$V$5:$V$1000,"Macro")/COUNTIFS($S$5:$S$1000,$S32,$V$5:$V$1000,"Macro",$H$5:$H$1000,"&gt;0"))))</f>
        <v/>
      </c>
      <c r="AH32" s="62" t="n"/>
      <c r="AI32" s="62" t="n"/>
      <c r="AJ32" s="62" t="n"/>
      <c r="AK32" s="62" t="n"/>
      <c r="AL32" s="62">
        <f>IF(LEFT($C32,11)="[Jefatura] ",IFERROR(MATCH("Riesgo Normativo|"&amp;MID($C32,12,500),rDname_ADM,0),0),"")</f>
        <v/>
      </c>
      <c r="AM32" s="62">
        <f>IF(N($AL32)&gt;0,INDEX(rIni_ADM,$AL32),IF(ISNUMBER($E32),$E32,""))</f>
        <v/>
      </c>
      <c r="AN32" s="62">
        <f>IF(N($AL32)&gt;0,INDEX(rLim_ADM,$AL32),IF(ISNUMBER($F32),$F32,""))</f>
        <v/>
      </c>
    </row>
    <row r="33">
      <c r="A33" s="56">
        <f>IF(NOT((COUNTA($B33:$D33)+COUNTA($G33:$L33)+COUNTA($Q33))&gt;0),"",IF($V33="Macro",COUNTIFS($V$5:$V33,"Macro",$S$5:$S33,$S33),IF(N($U33)=0,"?",COUNTIFS(INDEX($V$5:$V$1000,1):INDEX($V$5:$V$1000,$U33-4),"Macro",INDEX($S$5:$S$1000,1):INDEX($S$5:$S$1000,$U33-4),INDEX($S$5:$S$1000,$U33-4))&amp;"."&amp;COUNTIFS($U$5:$U33,$U33,$V$5:$V33,"Sub"))))</f>
        <v/>
      </c>
      <c r="B33" s="57" t="n"/>
      <c r="C33" s="58" t="n"/>
      <c r="D33" s="58" t="n"/>
      <c r="E33" s="59">
        <f>IF(N($AL33)&gt;0,INDEX(rIni_ADM,$AL33),"")</f>
        <v/>
      </c>
      <c r="F33" s="59">
        <f>IF(N($AL33)&gt;0,INDEX(rLim_ADM,$AL33),"")</f>
        <v/>
      </c>
      <c r="G33" s="59" t="n"/>
      <c r="H33" s="60" t="n"/>
      <c r="I33" s="60" t="n"/>
      <c r="J33" s="60" t="n"/>
      <c r="K33" s="60" t="n"/>
      <c r="L33" s="60" t="n"/>
      <c r="M33" s="61">
        <f>IF(NOT((COUNTA($B33:$D33)+COUNTA($G33:$L33)+COUNTA($Q33))&gt;0),"",IF($V33="Sub",IFERROR($X33/INDEX($W$5:$W$1000,$U33-4),""),IF(ISNUMBER($G33),1,IF(N($W33)&gt;0,AVERAGEIFS($X$5:$X$1000,$U$5:$U$1000,ROW(),$V$5:$V$1000,"Sub"),$X33))))</f>
        <v/>
      </c>
      <c r="N33" s="56">
        <f>IF(OR($M33="",$V33="Sub"),"",IF($M33&gt;=1,"Completado",IF($M33&gt;0,"En curso","Pendiente")))</f>
        <v/>
      </c>
      <c r="O33" s="56">
        <f>IF(OR(NOT((COUNTA($B33:$D33)+COUNTA($G33:$L33)+COUNTA($Q33))&gt;0),$V33="Sub"),"",IF(ISNUMBER($G33),IF(AND(ISNUMBER($AN33),$G33&gt;$AN33),"Cumplida con "&amp;($G33-$AN33)&amp;IF($G33-$AN33=1," día"," días")&amp;" de retraso","Cumplida"),IF(N($M33)&gt;=1,"Cumplida",IF(NOT(ISNUMBER($AN33)),"Sin fecha límite",IF($AN33&lt;FechaRef,"Vencida hace "&amp;(FechaRef-$AN33)&amp;IF(FechaRef-$AN33=1," día"," días"),IF($AN33=FechaRef,"Vence hoy",IF($AN33-FechaRef&lt;=DiasAlerta,"Vence en "&amp;($AN33-FechaRef)&amp;IF($AN33-FechaRef=1," día"," días"),"En plazo")))))))</f>
        <v/>
      </c>
      <c r="P33" s="62" t="n"/>
      <c r="Q33" s="58" t="n"/>
      <c r="R33" s="63">
        <f>IF(NOT((COUNTA($B33:$D33)+COUNTA($G33:$L33)+COUNTA($Q33))&gt;0),"",IF((IF($C33="","Falta el nombre de la actividad"&amp;" · ","")&amp;IF(AND($V33="Sub",N($U33)=0),"Subactividad sin macroactividad arriba"&amp;" · ","")&amp;IF($AM33="","Sin fecha de inicio"&amp;" · ","")&amp;IF($AN33="","Sin fecha límite"&amp;" · ","")&amp;IF(AND(LEFT($C33,11)="[Jefatura] ",N($AL33)=0),"No se encuentra en la hoja de la jefatura (elíjala de nuevo en la lista)"&amp;" · ","")&amp;IF(OR(AND($E33&lt;&gt;"",NOT(ISNUMBER($E33))),AND($F33&lt;&gt;"",NOT(ISNUMBER($F33))),AND($G33&lt;&gt;"",NOT(ISNUMBER($G33)))),"Fecha no válida"&amp;" · ","")&amp;IF(AND(ISNUMBER($AM33),ISNUMBER($AN33),$AM33&gt;$AN33),"Inicio posterior a fecha límite"&amp;" · ","")&amp;IF(AND($V33="Macro",$H33&lt;&gt;"",OR(NOT(ISNUMBER($H33)),$H33&lt;0,$H33&gt;1)),"Peso fuera de rango"&amp;" · ","")&amp;IF(AND($V33="Sub",$H33&lt;&gt;""),"Las subactividades no llevan peso (valen igual dentro de su macroactividad)"&amp;" · ","")&amp;IF(AND(N($W33)&gt;0,COUNT($I33:$L33)&gt;0),"Con subactividades: deje vacías las semanas (se calculan solas)"&amp;" · ","")&amp;IF((COUNTIF($I33:$L33,"&gt;1")+COUNTIF($I33:$L33,"&lt;0")+COUNTA($I33:$L33)-COUNT($I33:$L33))&gt;0,"Avance fuera de rango 0-100%"&amp;" · ","")&amp;IF(OR(AND($J33&lt;&gt;"",$J33&lt;$I33),AND($K33&lt;&gt;"",$K33&lt;MAX($I33:$J33)),AND($L33&lt;&gt;"",$L33&lt;MAX($I33:$K33))),"Avance semanal decreciente"&amp;" · ","")&amp;IF(AND(ISNUMBER($AN33),$AN33&lt;FechaRef,IF($V33="Sub",N($X33),N($M33))&lt;1),"Vencida"&amp;" · ","")&amp;IF(AND(ObsObligatoria="Sí",ISNUMBER($AN33),$AN33&lt;FechaRef,IF($V33="Sub",N($X33),N($M33))&lt;1,$Q33=""),"Vencida sin observación"&amp;" · ",""))="","✔ OK","⚠ "&amp;LEFT(IF($C33="","Falta el nombre de la actividad"&amp;" · ","")&amp;IF(AND($V33="Sub",N($U33)=0),"Subactividad sin macroactividad arriba"&amp;" · ","")&amp;IF($AM33="","Sin fecha de inicio"&amp;" · ","")&amp;IF($AN33="","Sin fecha límite"&amp;" · ","")&amp;IF(AND(LEFT($C33,11)="[Jefatura] ",N($AL33)=0),"No se encuentra en la hoja de la jefatura (elíjala de nuevo en la lista)"&amp;" · ","")&amp;IF(OR(AND($E33&lt;&gt;"",NOT(ISNUMBER($E33))),AND($F33&lt;&gt;"",NOT(ISNUMBER($F33))),AND($G33&lt;&gt;"",NOT(ISNUMBER($G33)))),"Fecha no válida"&amp;" · ","")&amp;IF(AND(ISNUMBER($AM33),ISNUMBER($AN33),$AM33&gt;$AN33),"Inicio posterior a fecha límite"&amp;" · ","")&amp;IF(AND($V33="Macro",$H33&lt;&gt;"",OR(NOT(ISNUMBER($H33)),$H33&lt;0,$H33&gt;1)),"Peso fuera de rango"&amp;" · ","")&amp;IF(AND($V33="Sub",$H33&lt;&gt;""),"Las subactividades no llevan peso (valen igual dentro de su macroactividad)"&amp;" · ","")&amp;IF(AND(N($W33)&gt;0,COUNT($I33:$L33)&gt;0),"Con subactividades: deje vacías las semanas (se calculan solas)"&amp;" · ","")&amp;IF((COUNTIF($I33:$L33,"&gt;1")+COUNTIF($I33:$L33,"&lt;0")+COUNTA($I33:$L33)-COUNT($I33:$L33))&gt;0,"Avance fuera de rango 0-100%"&amp;" · ","")&amp;IF(OR(AND($J33&lt;&gt;"",$J33&lt;$I33),AND($K33&lt;&gt;"",$K33&lt;MAX($I33:$J33)),AND($L33&lt;&gt;"",$L33&lt;MAX($I33:$K33))),"Avance semanal decreciente"&amp;" · ","")&amp;IF(AND(ISNUMBER($AN33),$AN33&lt;FechaRef,IF($V33="Sub",N($X33),N($M33))&lt;1),"Vencida"&amp;" · ","")&amp;IF(AND(ObsObligatoria="Sí",ISNUMBER($AN33),$AN33&lt;FechaRef,IF($V33="Sub",N($X33),N($M33))&lt;1,$Q33=""),"Vencida sin observación"&amp;" · ",""),LEN(IF($C33="","Falta el nombre de la actividad"&amp;" · ","")&amp;IF(AND($V33="Sub",N($U33)=0),"Subactividad sin macroactividad arriba"&amp;" · ","")&amp;IF($AM33="","Sin fecha de inicio"&amp;" · ","")&amp;IF($AN33="","Sin fecha límite"&amp;" · ","")&amp;IF(AND(LEFT($C33,11)="[Jefatura] ",N($AL33)=0),"No se encuentra en la hoja de la jefatura (elíjala de nuevo en la lista)"&amp;" · ","")&amp;IF(OR(AND($E33&lt;&gt;"",NOT(ISNUMBER($E33))),AND($F33&lt;&gt;"",NOT(ISNUMBER($F33))),AND($G33&lt;&gt;"",NOT(ISNUMBER($G33)))),"Fecha no válida"&amp;" · ","")&amp;IF(AND(ISNUMBER($AM33),ISNUMBER($AN33),$AM33&gt;$AN33),"Inicio posterior a fecha límite"&amp;" · ","")&amp;IF(AND($V33="Macro",$H33&lt;&gt;"",OR(NOT(ISNUMBER($H33)),$H33&lt;0,$H33&gt;1)),"Peso fuera de rango"&amp;" · ","")&amp;IF(AND($V33="Sub",$H33&lt;&gt;""),"Las subactividades no llevan peso (valen igual dentro de su macroactividad)"&amp;" · ","")&amp;IF(AND(N($W33)&gt;0,COUNT($I33:$L33)&gt;0),"Con subactividades: deje vacías las semanas (se calculan solas)"&amp;" · ","")&amp;IF((COUNTIF($I33:$L33,"&gt;1")+COUNTIF($I33:$L33,"&lt;0")+COUNTA($I33:$L33)-COUNT($I33:$L33))&gt;0,"Avance fuera de rango 0-100%"&amp;" · ","")&amp;IF(OR(AND($J33&lt;&gt;"",$J33&lt;$I33),AND($K33&lt;&gt;"",$K33&lt;MAX($I33:$J33)),AND($L33&lt;&gt;"",$L33&lt;MAX($I33:$K33))),"Avance semanal decreciente"&amp;" · ","")&amp;IF(AND(ISNUMBER($AN33),$AN33&lt;FechaRef,IF($V33="Sub",N($X33),N($M33))&lt;1),"Vencida"&amp;" · ","")&amp;IF(AND(ObsObligatoria="Sí",ISNUMBER($AN33),$AN33&lt;FechaRef,IF($V33="Sub",N($X33),N($M33))&lt;1,$Q33=""),"Vencida sin observación"&amp;" · ",""))-3)))</f>
        <v/>
      </c>
      <c r="S33" s="64">
        <f>IF(NOT((COUNTA($B33:$D33)+COUNTA($G33:$L33)+COUNTA($Q33))&gt;0),"",IF(AND($V33="Sub",N($U33)&gt;0),IF(ISNUMBER(INDEX($AM$5:$AM$1000,$U33-4)),DATE(YEAR(INDEX($AM$5:$AM$1000,$U33-4)),MONTH(INDEX($AM$5:$AM$1000,$U33-4)),1),IF(ISNUMBER(INDEX($AN$5:$AN$1000,$U33-4)),DATE(YEAR(INDEX($AN$5:$AN$1000,$U33-4)),MONTH(INDEX($AN$5:$AN$1000,$U33-4)),1),MesCiclo)),IF(ISNUMBER($AM33),DATE(YEAR($AM33),MONTH($AM33),1),IF(ISNUMBER($AN33),DATE(YEAR($AN33),MONTH($AN33),1),MesCiclo))))</f>
        <v/>
      </c>
      <c r="T33" s="62">
        <f>IF(OR($S33="",$S33&lt;&gt;MesCiclo,$V33&lt;&gt;"Macro"),"",COUNTIFS($S$5:$S33,MesCiclo,$V$5:$V33,"Macro"))</f>
        <v/>
      </c>
      <c r="U33" s="62">
        <f>IF($V33="","",IF($V33="Macro",ROW(),IFERROR(LOOKUP(2,1/($V$5:$V33="Macro"),ROW($V$5:$V33)),0)))</f>
        <v/>
      </c>
      <c r="V33" s="62">
        <f>IF(NOT((COUNTA($B33:$D33)+COUNTA($G33:$L33)+COUNTA($Q33))&gt;0),"",IF($B33="Subactividad","Sub","Macro"))</f>
        <v/>
      </c>
      <c r="W33" s="62">
        <f>IF($V33="Macro",COUNTIFS($U$5:$U$1000,ROW(),$V$5:$V$1000,"Sub"),"")</f>
        <v/>
      </c>
      <c r="X33" s="62">
        <f>IF($V33="","",IF(ISNUMBER($G33),1,IFERROR(LOOKUP(2,1/($I33:$L33&lt;&gt;""),$I33:$L33),0)))</f>
        <v/>
      </c>
      <c r="Y33" s="62">
        <f>IF($V33="","",IF(AND(ISNUMBER($G33),$G33&lt;=IF($S33=MesCiclo,InicioCiclo,$S33+MOD(2-WEEKDAY($S33),7))+6),1,IF(ISNUMBER($I33),$I33,0)))</f>
        <v/>
      </c>
      <c r="Z33" s="62">
        <f>IF($V33="","",IF(AND(ISNUMBER($G33),$G33&lt;=IF($S33=MesCiclo,InicioCiclo,$S33+MOD(2-WEEKDAY($S33),7))+13),1,IF(ISNUMBER($J33),$J33,$Y33)))</f>
        <v/>
      </c>
      <c r="AA33" s="62">
        <f>IF($V33="","",IF(AND(ISNUMBER($G33),$G33&lt;=IF($S33=MesCiclo,InicioCiclo,$S33+MOD(2-WEEKDAY($S33),7))+20),1,IF(ISNUMBER($K33),$K33,$Z33)))</f>
        <v/>
      </c>
      <c r="AB33" s="62">
        <f>IF($V33="","",IF(AND(ISNUMBER($G33),$G33&lt;=IF($S33=MesCiclo,InicioCiclo,$S33+MOD(2-WEEKDAY($S33),7))+27),1,IF(ISNUMBER($L33),$L33,$AA33)))</f>
        <v/>
      </c>
      <c r="AC33" s="62">
        <f>IF($V33="","",IF(AND(ISNUMBER($G33),$G33&lt;=IF($S33=MesCiclo,InicioCiclo,$S33+MOD(2-WEEKDAY($S33),7))+6),1,IF(N($W33)&gt;0,AVERAGEIFS($Y$5:$Y$1000,$U$5:$U$1000,ROW(),$V$5:$V$1000,"Sub"),$Y33)))</f>
        <v/>
      </c>
      <c r="AD33" s="62">
        <f>IF($V33="","",IF(AND(ISNUMBER($G33),$G33&lt;=IF($S33=MesCiclo,InicioCiclo,$S33+MOD(2-WEEKDAY($S33),7))+13),1,IF(N($W33)&gt;0,AVERAGEIFS($Z$5:$Z$1000,$U$5:$U$1000,ROW(),$V$5:$V$1000,"Sub"),$Z33)))</f>
        <v/>
      </c>
      <c r="AE33" s="62">
        <f>IF($V33="","",IF(AND(ISNUMBER($G33),$G33&lt;=IF($S33=MesCiclo,InicioCiclo,$S33+MOD(2-WEEKDAY($S33),7))+20),1,IF(N($W33)&gt;0,AVERAGEIFS($AA$5:$AA$1000,$U$5:$U$1000,ROW(),$V$5:$V$1000,"Sub"),$AA33)))</f>
        <v/>
      </c>
      <c r="AF33" s="62">
        <f>IF($V33="","",IF(AND(ISNUMBER($G33),$G33&lt;=IF($S33=MesCiclo,InicioCiclo,$S33+MOD(2-WEEKDAY($S33),7))+27),1,IF(N($W33)&gt;0,AVERAGEIFS($AB$5:$AB$1000,$U$5:$U$1000,ROW(),$V$5:$V$1000,"Sub"),$AB33)))</f>
        <v/>
      </c>
      <c r="AG33" s="62">
        <f>IF($V33&lt;&gt;"Macro","",IF(COUNTIFS($S$5:$S$1000,$S33,$V$5:$V$1000,"Macro",$H$5:$H$1000,"&gt;0")=0,1/COUNTIFS($S$5:$S$1000,$S33,$V$5:$V$1000,"Macro"),IF(AND(ISNUMBER($H33),N($H33)&gt;0),$H33,SUMIFS($H$5:$H$1000,$S$5:$S$1000,$S33,$V$5:$V$1000,"Macro")/COUNTIFS($S$5:$S$1000,$S33,$V$5:$V$1000,"Macro",$H$5:$H$1000,"&gt;0"))/(COUNTIFS($S$5:$S$1000,$S33,$V$5:$V$1000,"Macro")*SUMIFS($H$5:$H$1000,$S$5:$S$1000,$S33,$V$5:$V$1000,"Macro")/COUNTIFS($S$5:$S$1000,$S33,$V$5:$V$1000,"Macro",$H$5:$H$1000,"&gt;0"))))</f>
        <v/>
      </c>
      <c r="AH33" s="62" t="n"/>
      <c r="AI33" s="62" t="n"/>
      <c r="AJ33" s="62" t="n"/>
      <c r="AK33" s="62" t="n"/>
      <c r="AL33" s="62">
        <f>IF(LEFT($C33,11)="[Jefatura] ",IFERROR(MATCH("Riesgo Normativo|"&amp;MID($C33,12,500),rDname_ADM,0),0),"")</f>
        <v/>
      </c>
      <c r="AM33" s="62">
        <f>IF(N($AL33)&gt;0,INDEX(rIni_ADM,$AL33),IF(ISNUMBER($E33),$E33,""))</f>
        <v/>
      </c>
      <c r="AN33" s="62">
        <f>IF(N($AL33)&gt;0,INDEX(rLim_ADM,$AL33),IF(ISNUMBER($F33),$F33,""))</f>
        <v/>
      </c>
    </row>
    <row r="34">
      <c r="A34" s="56">
        <f>IF(NOT((COUNTA($B34:$D34)+COUNTA($G34:$L34)+COUNTA($Q34))&gt;0),"",IF($V34="Macro",COUNTIFS($V$5:$V34,"Macro",$S$5:$S34,$S34),IF(N($U34)=0,"?",COUNTIFS(INDEX($V$5:$V$1000,1):INDEX($V$5:$V$1000,$U34-4),"Macro",INDEX($S$5:$S$1000,1):INDEX($S$5:$S$1000,$U34-4),INDEX($S$5:$S$1000,$U34-4))&amp;"."&amp;COUNTIFS($U$5:$U34,$U34,$V$5:$V34,"Sub"))))</f>
        <v/>
      </c>
      <c r="B34" s="57" t="n"/>
      <c r="C34" s="58" t="n"/>
      <c r="D34" s="58" t="n"/>
      <c r="E34" s="59">
        <f>IF(N($AL34)&gt;0,INDEX(rIni_ADM,$AL34),"")</f>
        <v/>
      </c>
      <c r="F34" s="59">
        <f>IF(N($AL34)&gt;0,INDEX(rLim_ADM,$AL34),"")</f>
        <v/>
      </c>
      <c r="G34" s="59" t="n"/>
      <c r="H34" s="60" t="n"/>
      <c r="I34" s="60" t="n"/>
      <c r="J34" s="60" t="n"/>
      <c r="K34" s="60" t="n"/>
      <c r="L34" s="60" t="n"/>
      <c r="M34" s="61">
        <f>IF(NOT((COUNTA($B34:$D34)+COUNTA($G34:$L34)+COUNTA($Q34))&gt;0),"",IF($V34="Sub",IFERROR($X34/INDEX($W$5:$W$1000,$U34-4),""),IF(ISNUMBER($G34),1,IF(N($W34)&gt;0,AVERAGEIFS($X$5:$X$1000,$U$5:$U$1000,ROW(),$V$5:$V$1000,"Sub"),$X34))))</f>
        <v/>
      </c>
      <c r="N34" s="56">
        <f>IF(OR($M34="",$V34="Sub"),"",IF($M34&gt;=1,"Completado",IF($M34&gt;0,"En curso","Pendiente")))</f>
        <v/>
      </c>
      <c r="O34" s="56">
        <f>IF(OR(NOT((COUNTA($B34:$D34)+COUNTA($G34:$L34)+COUNTA($Q34))&gt;0),$V34="Sub"),"",IF(ISNUMBER($G34),IF(AND(ISNUMBER($AN34),$G34&gt;$AN34),"Cumplida con "&amp;($G34-$AN34)&amp;IF($G34-$AN34=1," día"," días")&amp;" de retraso","Cumplida"),IF(N($M34)&gt;=1,"Cumplida",IF(NOT(ISNUMBER($AN34)),"Sin fecha límite",IF($AN34&lt;FechaRef,"Vencida hace "&amp;(FechaRef-$AN34)&amp;IF(FechaRef-$AN34=1," día"," días"),IF($AN34=FechaRef,"Vence hoy",IF($AN34-FechaRef&lt;=DiasAlerta,"Vence en "&amp;($AN34-FechaRef)&amp;IF($AN34-FechaRef=1," día"," días"),"En plazo")))))))</f>
        <v/>
      </c>
      <c r="P34" s="62" t="n"/>
      <c r="Q34" s="58" t="n"/>
      <c r="R34" s="63">
        <f>IF(NOT((COUNTA($B34:$D34)+COUNTA($G34:$L34)+COUNTA($Q34))&gt;0),"",IF((IF($C34="","Falta el nombre de la actividad"&amp;" · ","")&amp;IF(AND($V34="Sub",N($U34)=0),"Subactividad sin macroactividad arriba"&amp;" · ","")&amp;IF($AM34="","Sin fecha de inicio"&amp;" · ","")&amp;IF($AN34="","Sin fecha límite"&amp;" · ","")&amp;IF(AND(LEFT($C34,11)="[Jefatura] ",N($AL34)=0),"No se encuentra en la hoja de la jefatura (elíjala de nuevo en la lista)"&amp;" · ","")&amp;IF(OR(AND($E34&lt;&gt;"",NOT(ISNUMBER($E34))),AND($F34&lt;&gt;"",NOT(ISNUMBER($F34))),AND($G34&lt;&gt;"",NOT(ISNUMBER($G34)))),"Fecha no válida"&amp;" · ","")&amp;IF(AND(ISNUMBER($AM34),ISNUMBER($AN34),$AM34&gt;$AN34),"Inicio posterior a fecha límite"&amp;" · ","")&amp;IF(AND($V34="Macro",$H34&lt;&gt;"",OR(NOT(ISNUMBER($H34)),$H34&lt;0,$H34&gt;1)),"Peso fuera de rango"&amp;" · ","")&amp;IF(AND($V34="Sub",$H34&lt;&gt;""),"Las subactividades no llevan peso (valen igual dentro de su macroactividad)"&amp;" · ","")&amp;IF(AND(N($W34)&gt;0,COUNT($I34:$L34)&gt;0),"Con subactividades: deje vacías las semanas (se calculan solas)"&amp;" · ","")&amp;IF((COUNTIF($I34:$L34,"&gt;1")+COUNTIF($I34:$L34,"&lt;0")+COUNTA($I34:$L34)-COUNT($I34:$L34))&gt;0,"Avance fuera de rango 0-100%"&amp;" · ","")&amp;IF(OR(AND($J34&lt;&gt;"",$J34&lt;$I34),AND($K34&lt;&gt;"",$K34&lt;MAX($I34:$J34)),AND($L34&lt;&gt;"",$L34&lt;MAX($I34:$K34))),"Avance semanal decreciente"&amp;" · ","")&amp;IF(AND(ISNUMBER($AN34),$AN34&lt;FechaRef,IF($V34="Sub",N($X34),N($M34))&lt;1),"Vencida"&amp;" · ","")&amp;IF(AND(ObsObligatoria="Sí",ISNUMBER($AN34),$AN34&lt;FechaRef,IF($V34="Sub",N($X34),N($M34))&lt;1,$Q34=""),"Vencida sin observación"&amp;" · ",""))="","✔ OK","⚠ "&amp;LEFT(IF($C34="","Falta el nombre de la actividad"&amp;" · ","")&amp;IF(AND($V34="Sub",N($U34)=0),"Subactividad sin macroactividad arriba"&amp;" · ","")&amp;IF($AM34="","Sin fecha de inicio"&amp;" · ","")&amp;IF($AN34="","Sin fecha límite"&amp;" · ","")&amp;IF(AND(LEFT($C34,11)="[Jefatura] ",N($AL34)=0),"No se encuentra en la hoja de la jefatura (elíjala de nuevo en la lista)"&amp;" · ","")&amp;IF(OR(AND($E34&lt;&gt;"",NOT(ISNUMBER($E34))),AND($F34&lt;&gt;"",NOT(ISNUMBER($F34))),AND($G34&lt;&gt;"",NOT(ISNUMBER($G34)))),"Fecha no válida"&amp;" · ","")&amp;IF(AND(ISNUMBER($AM34),ISNUMBER($AN34),$AM34&gt;$AN34),"Inicio posterior a fecha límite"&amp;" · ","")&amp;IF(AND($V34="Macro",$H34&lt;&gt;"",OR(NOT(ISNUMBER($H34)),$H34&lt;0,$H34&gt;1)),"Peso fuera de rango"&amp;" · ","")&amp;IF(AND($V34="Sub",$H34&lt;&gt;""),"Las subactividades no llevan peso (valen igual dentro de su macroactividad)"&amp;" · ","")&amp;IF(AND(N($W34)&gt;0,COUNT($I34:$L34)&gt;0),"Con subactividades: deje vacías las semanas (se calculan solas)"&amp;" · ","")&amp;IF((COUNTIF($I34:$L34,"&gt;1")+COUNTIF($I34:$L34,"&lt;0")+COUNTA($I34:$L34)-COUNT($I34:$L34))&gt;0,"Avance fuera de rango 0-100%"&amp;" · ","")&amp;IF(OR(AND($J34&lt;&gt;"",$J34&lt;$I34),AND($K34&lt;&gt;"",$K34&lt;MAX($I34:$J34)),AND($L34&lt;&gt;"",$L34&lt;MAX($I34:$K34))),"Avance semanal decreciente"&amp;" · ","")&amp;IF(AND(ISNUMBER($AN34),$AN34&lt;FechaRef,IF($V34="Sub",N($X34),N($M34))&lt;1),"Vencida"&amp;" · ","")&amp;IF(AND(ObsObligatoria="Sí",ISNUMBER($AN34),$AN34&lt;FechaRef,IF($V34="Sub",N($X34),N($M34))&lt;1,$Q34=""),"Vencida sin observación"&amp;" · ",""),LEN(IF($C34="","Falta el nombre de la actividad"&amp;" · ","")&amp;IF(AND($V34="Sub",N($U34)=0),"Subactividad sin macroactividad arriba"&amp;" · ","")&amp;IF($AM34="","Sin fecha de inicio"&amp;" · ","")&amp;IF($AN34="","Sin fecha límite"&amp;" · ","")&amp;IF(AND(LEFT($C34,11)="[Jefatura] ",N($AL34)=0),"No se encuentra en la hoja de la jefatura (elíjala de nuevo en la lista)"&amp;" · ","")&amp;IF(OR(AND($E34&lt;&gt;"",NOT(ISNUMBER($E34))),AND($F34&lt;&gt;"",NOT(ISNUMBER($F34))),AND($G34&lt;&gt;"",NOT(ISNUMBER($G34)))),"Fecha no válida"&amp;" · ","")&amp;IF(AND(ISNUMBER($AM34),ISNUMBER($AN34),$AM34&gt;$AN34),"Inicio posterior a fecha límite"&amp;" · ","")&amp;IF(AND($V34="Macro",$H34&lt;&gt;"",OR(NOT(ISNUMBER($H34)),$H34&lt;0,$H34&gt;1)),"Peso fuera de rango"&amp;" · ","")&amp;IF(AND($V34="Sub",$H34&lt;&gt;""),"Las subactividades no llevan peso (valen igual dentro de su macroactividad)"&amp;" · ","")&amp;IF(AND(N($W34)&gt;0,COUNT($I34:$L34)&gt;0),"Con subactividades: deje vacías las semanas (se calculan solas)"&amp;" · ","")&amp;IF((COUNTIF($I34:$L34,"&gt;1")+COUNTIF($I34:$L34,"&lt;0")+COUNTA($I34:$L34)-COUNT($I34:$L34))&gt;0,"Avance fuera de rango 0-100%"&amp;" · ","")&amp;IF(OR(AND($J34&lt;&gt;"",$J34&lt;$I34),AND($K34&lt;&gt;"",$K34&lt;MAX($I34:$J34)),AND($L34&lt;&gt;"",$L34&lt;MAX($I34:$K34))),"Avance semanal decreciente"&amp;" · ","")&amp;IF(AND(ISNUMBER($AN34),$AN34&lt;FechaRef,IF($V34="Sub",N($X34),N($M34))&lt;1),"Vencida"&amp;" · ","")&amp;IF(AND(ObsObligatoria="Sí",ISNUMBER($AN34),$AN34&lt;FechaRef,IF($V34="Sub",N($X34),N($M34))&lt;1,$Q34=""),"Vencida sin observación"&amp;" · ",""))-3)))</f>
        <v/>
      </c>
      <c r="S34" s="64">
        <f>IF(NOT((COUNTA($B34:$D34)+COUNTA($G34:$L34)+COUNTA($Q34))&gt;0),"",IF(AND($V34="Sub",N($U34)&gt;0),IF(ISNUMBER(INDEX($AM$5:$AM$1000,$U34-4)),DATE(YEAR(INDEX($AM$5:$AM$1000,$U34-4)),MONTH(INDEX($AM$5:$AM$1000,$U34-4)),1),IF(ISNUMBER(INDEX($AN$5:$AN$1000,$U34-4)),DATE(YEAR(INDEX($AN$5:$AN$1000,$U34-4)),MONTH(INDEX($AN$5:$AN$1000,$U34-4)),1),MesCiclo)),IF(ISNUMBER($AM34),DATE(YEAR($AM34),MONTH($AM34),1),IF(ISNUMBER($AN34),DATE(YEAR($AN34),MONTH($AN34),1),MesCiclo))))</f>
        <v/>
      </c>
      <c r="T34" s="62">
        <f>IF(OR($S34="",$S34&lt;&gt;MesCiclo,$V34&lt;&gt;"Macro"),"",COUNTIFS($S$5:$S34,MesCiclo,$V$5:$V34,"Macro"))</f>
        <v/>
      </c>
      <c r="U34" s="62">
        <f>IF($V34="","",IF($V34="Macro",ROW(),IFERROR(LOOKUP(2,1/($V$5:$V34="Macro"),ROW($V$5:$V34)),0)))</f>
        <v/>
      </c>
      <c r="V34" s="62">
        <f>IF(NOT((COUNTA($B34:$D34)+COUNTA($G34:$L34)+COUNTA($Q34))&gt;0),"",IF($B34="Subactividad","Sub","Macro"))</f>
        <v/>
      </c>
      <c r="W34" s="62">
        <f>IF($V34="Macro",COUNTIFS($U$5:$U$1000,ROW(),$V$5:$V$1000,"Sub"),"")</f>
        <v/>
      </c>
      <c r="X34" s="62">
        <f>IF($V34="","",IF(ISNUMBER($G34),1,IFERROR(LOOKUP(2,1/($I34:$L34&lt;&gt;""),$I34:$L34),0)))</f>
        <v/>
      </c>
      <c r="Y34" s="62">
        <f>IF($V34="","",IF(AND(ISNUMBER($G34),$G34&lt;=IF($S34=MesCiclo,InicioCiclo,$S34+MOD(2-WEEKDAY($S34),7))+6),1,IF(ISNUMBER($I34),$I34,0)))</f>
        <v/>
      </c>
      <c r="Z34" s="62">
        <f>IF($V34="","",IF(AND(ISNUMBER($G34),$G34&lt;=IF($S34=MesCiclo,InicioCiclo,$S34+MOD(2-WEEKDAY($S34),7))+13),1,IF(ISNUMBER($J34),$J34,$Y34)))</f>
        <v/>
      </c>
      <c r="AA34" s="62">
        <f>IF($V34="","",IF(AND(ISNUMBER($G34),$G34&lt;=IF($S34=MesCiclo,InicioCiclo,$S34+MOD(2-WEEKDAY($S34),7))+20),1,IF(ISNUMBER($K34),$K34,$Z34)))</f>
        <v/>
      </c>
      <c r="AB34" s="62">
        <f>IF($V34="","",IF(AND(ISNUMBER($G34),$G34&lt;=IF($S34=MesCiclo,InicioCiclo,$S34+MOD(2-WEEKDAY($S34),7))+27),1,IF(ISNUMBER($L34),$L34,$AA34)))</f>
        <v/>
      </c>
      <c r="AC34" s="62">
        <f>IF($V34="","",IF(AND(ISNUMBER($G34),$G34&lt;=IF($S34=MesCiclo,InicioCiclo,$S34+MOD(2-WEEKDAY($S34),7))+6),1,IF(N($W34)&gt;0,AVERAGEIFS($Y$5:$Y$1000,$U$5:$U$1000,ROW(),$V$5:$V$1000,"Sub"),$Y34)))</f>
        <v/>
      </c>
      <c r="AD34" s="62">
        <f>IF($V34="","",IF(AND(ISNUMBER($G34),$G34&lt;=IF($S34=MesCiclo,InicioCiclo,$S34+MOD(2-WEEKDAY($S34),7))+13),1,IF(N($W34)&gt;0,AVERAGEIFS($Z$5:$Z$1000,$U$5:$U$1000,ROW(),$V$5:$V$1000,"Sub"),$Z34)))</f>
        <v/>
      </c>
      <c r="AE34" s="62">
        <f>IF($V34="","",IF(AND(ISNUMBER($G34),$G34&lt;=IF($S34=MesCiclo,InicioCiclo,$S34+MOD(2-WEEKDAY($S34),7))+20),1,IF(N($W34)&gt;0,AVERAGEIFS($AA$5:$AA$1000,$U$5:$U$1000,ROW(),$V$5:$V$1000,"Sub"),$AA34)))</f>
        <v/>
      </c>
      <c r="AF34" s="62">
        <f>IF($V34="","",IF(AND(ISNUMBER($G34),$G34&lt;=IF($S34=MesCiclo,InicioCiclo,$S34+MOD(2-WEEKDAY($S34),7))+27),1,IF(N($W34)&gt;0,AVERAGEIFS($AB$5:$AB$1000,$U$5:$U$1000,ROW(),$V$5:$V$1000,"Sub"),$AB34)))</f>
        <v/>
      </c>
      <c r="AG34" s="62">
        <f>IF($V34&lt;&gt;"Macro","",IF(COUNTIFS($S$5:$S$1000,$S34,$V$5:$V$1000,"Macro",$H$5:$H$1000,"&gt;0")=0,1/COUNTIFS($S$5:$S$1000,$S34,$V$5:$V$1000,"Macro"),IF(AND(ISNUMBER($H34),N($H34)&gt;0),$H34,SUMIFS($H$5:$H$1000,$S$5:$S$1000,$S34,$V$5:$V$1000,"Macro")/COUNTIFS($S$5:$S$1000,$S34,$V$5:$V$1000,"Macro",$H$5:$H$1000,"&gt;0"))/(COUNTIFS($S$5:$S$1000,$S34,$V$5:$V$1000,"Macro")*SUMIFS($H$5:$H$1000,$S$5:$S$1000,$S34,$V$5:$V$1000,"Macro")/COUNTIFS($S$5:$S$1000,$S34,$V$5:$V$1000,"Macro",$H$5:$H$1000,"&gt;0"))))</f>
        <v/>
      </c>
      <c r="AH34" s="62" t="n"/>
      <c r="AI34" s="62" t="n"/>
      <c r="AJ34" s="62" t="n"/>
      <c r="AK34" s="62" t="n"/>
      <c r="AL34" s="62">
        <f>IF(LEFT($C34,11)="[Jefatura] ",IFERROR(MATCH("Riesgo Normativo|"&amp;MID($C34,12,500),rDname_ADM,0),0),"")</f>
        <v/>
      </c>
      <c r="AM34" s="62">
        <f>IF(N($AL34)&gt;0,INDEX(rIni_ADM,$AL34),IF(ISNUMBER($E34),$E34,""))</f>
        <v/>
      </c>
      <c r="AN34" s="62">
        <f>IF(N($AL34)&gt;0,INDEX(rLim_ADM,$AL34),IF(ISNUMBER($F34),$F34,""))</f>
        <v/>
      </c>
    </row>
    <row r="35">
      <c r="A35" s="56">
        <f>IF(NOT((COUNTA($B35:$D35)+COUNTA($G35:$L35)+COUNTA($Q35))&gt;0),"",IF($V35="Macro",COUNTIFS($V$5:$V35,"Macro",$S$5:$S35,$S35),IF(N($U35)=0,"?",COUNTIFS(INDEX($V$5:$V$1000,1):INDEX($V$5:$V$1000,$U35-4),"Macro",INDEX($S$5:$S$1000,1):INDEX($S$5:$S$1000,$U35-4),INDEX($S$5:$S$1000,$U35-4))&amp;"."&amp;COUNTIFS($U$5:$U35,$U35,$V$5:$V35,"Sub"))))</f>
        <v/>
      </c>
      <c r="B35" s="57" t="n"/>
      <c r="C35" s="58" t="n"/>
      <c r="D35" s="58" t="n"/>
      <c r="E35" s="59">
        <f>IF(N($AL35)&gt;0,INDEX(rIni_ADM,$AL35),"")</f>
        <v/>
      </c>
      <c r="F35" s="59">
        <f>IF(N($AL35)&gt;0,INDEX(rLim_ADM,$AL35),"")</f>
        <v/>
      </c>
      <c r="G35" s="59" t="n"/>
      <c r="H35" s="60" t="n"/>
      <c r="I35" s="60" t="n"/>
      <c r="J35" s="60" t="n"/>
      <c r="K35" s="60" t="n"/>
      <c r="L35" s="60" t="n"/>
      <c r="M35" s="61">
        <f>IF(NOT((COUNTA($B35:$D35)+COUNTA($G35:$L35)+COUNTA($Q35))&gt;0),"",IF($V35="Sub",IFERROR($X35/INDEX($W$5:$W$1000,$U35-4),""),IF(ISNUMBER($G35),1,IF(N($W35)&gt;0,AVERAGEIFS($X$5:$X$1000,$U$5:$U$1000,ROW(),$V$5:$V$1000,"Sub"),$X35))))</f>
        <v/>
      </c>
      <c r="N35" s="56">
        <f>IF(OR($M35="",$V35="Sub"),"",IF($M35&gt;=1,"Completado",IF($M35&gt;0,"En curso","Pendiente")))</f>
        <v/>
      </c>
      <c r="O35" s="56">
        <f>IF(OR(NOT((COUNTA($B35:$D35)+COUNTA($G35:$L35)+COUNTA($Q35))&gt;0),$V35="Sub"),"",IF(ISNUMBER($G35),IF(AND(ISNUMBER($AN35),$G35&gt;$AN35),"Cumplida con "&amp;($G35-$AN35)&amp;IF($G35-$AN35=1," día"," días")&amp;" de retraso","Cumplida"),IF(N($M35)&gt;=1,"Cumplida",IF(NOT(ISNUMBER($AN35)),"Sin fecha límite",IF($AN35&lt;FechaRef,"Vencida hace "&amp;(FechaRef-$AN35)&amp;IF(FechaRef-$AN35=1," día"," días"),IF($AN35=FechaRef,"Vence hoy",IF($AN35-FechaRef&lt;=DiasAlerta,"Vence en "&amp;($AN35-FechaRef)&amp;IF($AN35-FechaRef=1," día"," días"),"En plazo")))))))</f>
        <v/>
      </c>
      <c r="P35" s="62" t="n"/>
      <c r="Q35" s="58" t="n"/>
      <c r="R35" s="63">
        <f>IF(NOT((COUNTA($B35:$D35)+COUNTA($G35:$L35)+COUNTA($Q35))&gt;0),"",IF((IF($C35="","Falta el nombre de la actividad"&amp;" · ","")&amp;IF(AND($V35="Sub",N($U35)=0),"Subactividad sin macroactividad arriba"&amp;" · ","")&amp;IF($AM35="","Sin fecha de inicio"&amp;" · ","")&amp;IF($AN35="","Sin fecha límite"&amp;" · ","")&amp;IF(AND(LEFT($C35,11)="[Jefatura] ",N($AL35)=0),"No se encuentra en la hoja de la jefatura (elíjala de nuevo en la lista)"&amp;" · ","")&amp;IF(OR(AND($E35&lt;&gt;"",NOT(ISNUMBER($E35))),AND($F35&lt;&gt;"",NOT(ISNUMBER($F35))),AND($G35&lt;&gt;"",NOT(ISNUMBER($G35)))),"Fecha no válida"&amp;" · ","")&amp;IF(AND(ISNUMBER($AM35),ISNUMBER($AN35),$AM35&gt;$AN35),"Inicio posterior a fecha límite"&amp;" · ","")&amp;IF(AND($V35="Macro",$H35&lt;&gt;"",OR(NOT(ISNUMBER($H35)),$H35&lt;0,$H35&gt;1)),"Peso fuera de rango"&amp;" · ","")&amp;IF(AND($V35="Sub",$H35&lt;&gt;""),"Las subactividades no llevan peso (valen igual dentro de su macroactividad)"&amp;" · ","")&amp;IF(AND(N($W35)&gt;0,COUNT($I35:$L35)&gt;0),"Con subactividades: deje vacías las semanas (se calculan solas)"&amp;" · ","")&amp;IF((COUNTIF($I35:$L35,"&gt;1")+COUNTIF($I35:$L35,"&lt;0")+COUNTA($I35:$L35)-COUNT($I35:$L35))&gt;0,"Avance fuera de rango 0-100%"&amp;" · ","")&amp;IF(OR(AND($J35&lt;&gt;"",$J35&lt;$I35),AND($K35&lt;&gt;"",$K35&lt;MAX($I35:$J35)),AND($L35&lt;&gt;"",$L35&lt;MAX($I35:$K35))),"Avance semanal decreciente"&amp;" · ","")&amp;IF(AND(ISNUMBER($AN35),$AN35&lt;FechaRef,IF($V35="Sub",N($X35),N($M35))&lt;1),"Vencida"&amp;" · ","")&amp;IF(AND(ObsObligatoria="Sí",ISNUMBER($AN35),$AN35&lt;FechaRef,IF($V35="Sub",N($X35),N($M35))&lt;1,$Q35=""),"Vencida sin observación"&amp;" · ",""))="","✔ OK","⚠ "&amp;LEFT(IF($C35="","Falta el nombre de la actividad"&amp;" · ","")&amp;IF(AND($V35="Sub",N($U35)=0),"Subactividad sin macroactividad arriba"&amp;" · ","")&amp;IF($AM35="","Sin fecha de inicio"&amp;" · ","")&amp;IF($AN35="","Sin fecha límite"&amp;" · ","")&amp;IF(AND(LEFT($C35,11)="[Jefatura] ",N($AL35)=0),"No se encuentra en la hoja de la jefatura (elíjala de nuevo en la lista)"&amp;" · ","")&amp;IF(OR(AND($E35&lt;&gt;"",NOT(ISNUMBER($E35))),AND($F35&lt;&gt;"",NOT(ISNUMBER($F35))),AND($G35&lt;&gt;"",NOT(ISNUMBER($G35)))),"Fecha no válida"&amp;" · ","")&amp;IF(AND(ISNUMBER($AM35),ISNUMBER($AN35),$AM35&gt;$AN35),"Inicio posterior a fecha límite"&amp;" · ","")&amp;IF(AND($V35="Macro",$H35&lt;&gt;"",OR(NOT(ISNUMBER($H35)),$H35&lt;0,$H35&gt;1)),"Peso fuera de rango"&amp;" · ","")&amp;IF(AND($V35="Sub",$H35&lt;&gt;""),"Las subactividades no llevan peso (valen igual dentro de su macroactividad)"&amp;" · ","")&amp;IF(AND(N($W35)&gt;0,COUNT($I35:$L35)&gt;0),"Con subactividades: deje vacías las semanas (se calculan solas)"&amp;" · ","")&amp;IF((COUNTIF($I35:$L35,"&gt;1")+COUNTIF($I35:$L35,"&lt;0")+COUNTA($I35:$L35)-COUNT($I35:$L35))&gt;0,"Avance fuera de rango 0-100%"&amp;" · ","")&amp;IF(OR(AND($J35&lt;&gt;"",$J35&lt;$I35),AND($K35&lt;&gt;"",$K35&lt;MAX($I35:$J35)),AND($L35&lt;&gt;"",$L35&lt;MAX($I35:$K35))),"Avance semanal decreciente"&amp;" · ","")&amp;IF(AND(ISNUMBER($AN35),$AN35&lt;FechaRef,IF($V35="Sub",N($X35),N($M35))&lt;1),"Vencida"&amp;" · ","")&amp;IF(AND(ObsObligatoria="Sí",ISNUMBER($AN35),$AN35&lt;FechaRef,IF($V35="Sub",N($X35),N($M35))&lt;1,$Q35=""),"Vencida sin observación"&amp;" · ",""),LEN(IF($C35="","Falta el nombre de la actividad"&amp;" · ","")&amp;IF(AND($V35="Sub",N($U35)=0),"Subactividad sin macroactividad arriba"&amp;" · ","")&amp;IF($AM35="","Sin fecha de inicio"&amp;" · ","")&amp;IF($AN35="","Sin fecha límite"&amp;" · ","")&amp;IF(AND(LEFT($C35,11)="[Jefatura] ",N($AL35)=0),"No se encuentra en la hoja de la jefatura (elíjala de nuevo en la lista)"&amp;" · ","")&amp;IF(OR(AND($E35&lt;&gt;"",NOT(ISNUMBER($E35))),AND($F35&lt;&gt;"",NOT(ISNUMBER($F35))),AND($G35&lt;&gt;"",NOT(ISNUMBER($G35)))),"Fecha no válida"&amp;" · ","")&amp;IF(AND(ISNUMBER($AM35),ISNUMBER($AN35),$AM35&gt;$AN35),"Inicio posterior a fecha límite"&amp;" · ","")&amp;IF(AND($V35="Macro",$H35&lt;&gt;"",OR(NOT(ISNUMBER($H35)),$H35&lt;0,$H35&gt;1)),"Peso fuera de rango"&amp;" · ","")&amp;IF(AND($V35="Sub",$H35&lt;&gt;""),"Las subactividades no llevan peso (valen igual dentro de su macroactividad)"&amp;" · ","")&amp;IF(AND(N($W35)&gt;0,COUNT($I35:$L35)&gt;0),"Con subactividades: deje vacías las semanas (se calculan solas)"&amp;" · ","")&amp;IF((COUNTIF($I35:$L35,"&gt;1")+COUNTIF($I35:$L35,"&lt;0")+COUNTA($I35:$L35)-COUNT($I35:$L35))&gt;0,"Avance fuera de rango 0-100%"&amp;" · ","")&amp;IF(OR(AND($J35&lt;&gt;"",$J35&lt;$I35),AND($K35&lt;&gt;"",$K35&lt;MAX($I35:$J35)),AND($L35&lt;&gt;"",$L35&lt;MAX($I35:$K35))),"Avance semanal decreciente"&amp;" · ","")&amp;IF(AND(ISNUMBER($AN35),$AN35&lt;FechaRef,IF($V35="Sub",N($X35),N($M35))&lt;1),"Vencida"&amp;" · ","")&amp;IF(AND(ObsObligatoria="Sí",ISNUMBER($AN35),$AN35&lt;FechaRef,IF($V35="Sub",N($X35),N($M35))&lt;1,$Q35=""),"Vencida sin observación"&amp;" · ",""))-3)))</f>
        <v/>
      </c>
      <c r="S35" s="64">
        <f>IF(NOT((COUNTA($B35:$D35)+COUNTA($G35:$L35)+COUNTA($Q35))&gt;0),"",IF(AND($V35="Sub",N($U35)&gt;0),IF(ISNUMBER(INDEX($AM$5:$AM$1000,$U35-4)),DATE(YEAR(INDEX($AM$5:$AM$1000,$U35-4)),MONTH(INDEX($AM$5:$AM$1000,$U35-4)),1),IF(ISNUMBER(INDEX($AN$5:$AN$1000,$U35-4)),DATE(YEAR(INDEX($AN$5:$AN$1000,$U35-4)),MONTH(INDEX($AN$5:$AN$1000,$U35-4)),1),MesCiclo)),IF(ISNUMBER($AM35),DATE(YEAR($AM35),MONTH($AM35),1),IF(ISNUMBER($AN35),DATE(YEAR($AN35),MONTH($AN35),1),MesCiclo))))</f>
        <v/>
      </c>
      <c r="T35" s="62">
        <f>IF(OR($S35="",$S35&lt;&gt;MesCiclo,$V35&lt;&gt;"Macro"),"",COUNTIFS($S$5:$S35,MesCiclo,$V$5:$V35,"Macro"))</f>
        <v/>
      </c>
      <c r="U35" s="62">
        <f>IF($V35="","",IF($V35="Macro",ROW(),IFERROR(LOOKUP(2,1/($V$5:$V35="Macro"),ROW($V$5:$V35)),0)))</f>
        <v/>
      </c>
      <c r="V35" s="62">
        <f>IF(NOT((COUNTA($B35:$D35)+COUNTA($G35:$L35)+COUNTA($Q35))&gt;0),"",IF($B35="Subactividad","Sub","Macro"))</f>
        <v/>
      </c>
      <c r="W35" s="62">
        <f>IF($V35="Macro",COUNTIFS($U$5:$U$1000,ROW(),$V$5:$V$1000,"Sub"),"")</f>
        <v/>
      </c>
      <c r="X35" s="62">
        <f>IF($V35="","",IF(ISNUMBER($G35),1,IFERROR(LOOKUP(2,1/($I35:$L35&lt;&gt;""),$I35:$L35),0)))</f>
        <v/>
      </c>
      <c r="Y35" s="62">
        <f>IF($V35="","",IF(AND(ISNUMBER($G35),$G35&lt;=IF($S35=MesCiclo,InicioCiclo,$S35+MOD(2-WEEKDAY($S35),7))+6),1,IF(ISNUMBER($I35),$I35,0)))</f>
        <v/>
      </c>
      <c r="Z35" s="62">
        <f>IF($V35="","",IF(AND(ISNUMBER($G35),$G35&lt;=IF($S35=MesCiclo,InicioCiclo,$S35+MOD(2-WEEKDAY($S35),7))+13),1,IF(ISNUMBER($J35),$J35,$Y35)))</f>
        <v/>
      </c>
      <c r="AA35" s="62">
        <f>IF($V35="","",IF(AND(ISNUMBER($G35),$G35&lt;=IF($S35=MesCiclo,InicioCiclo,$S35+MOD(2-WEEKDAY($S35),7))+20),1,IF(ISNUMBER($K35),$K35,$Z35)))</f>
        <v/>
      </c>
      <c r="AB35" s="62">
        <f>IF($V35="","",IF(AND(ISNUMBER($G35),$G35&lt;=IF($S35=MesCiclo,InicioCiclo,$S35+MOD(2-WEEKDAY($S35),7))+27),1,IF(ISNUMBER($L35),$L35,$AA35)))</f>
        <v/>
      </c>
      <c r="AC35" s="62">
        <f>IF($V35="","",IF(AND(ISNUMBER($G35),$G35&lt;=IF($S35=MesCiclo,InicioCiclo,$S35+MOD(2-WEEKDAY($S35),7))+6),1,IF(N($W35)&gt;0,AVERAGEIFS($Y$5:$Y$1000,$U$5:$U$1000,ROW(),$V$5:$V$1000,"Sub"),$Y35)))</f>
        <v/>
      </c>
      <c r="AD35" s="62">
        <f>IF($V35="","",IF(AND(ISNUMBER($G35),$G35&lt;=IF($S35=MesCiclo,InicioCiclo,$S35+MOD(2-WEEKDAY($S35),7))+13),1,IF(N($W35)&gt;0,AVERAGEIFS($Z$5:$Z$1000,$U$5:$U$1000,ROW(),$V$5:$V$1000,"Sub"),$Z35)))</f>
        <v/>
      </c>
      <c r="AE35" s="62">
        <f>IF($V35="","",IF(AND(ISNUMBER($G35),$G35&lt;=IF($S35=MesCiclo,InicioCiclo,$S35+MOD(2-WEEKDAY($S35),7))+20),1,IF(N($W35)&gt;0,AVERAGEIFS($AA$5:$AA$1000,$U$5:$U$1000,ROW(),$V$5:$V$1000,"Sub"),$AA35)))</f>
        <v/>
      </c>
      <c r="AF35" s="62">
        <f>IF($V35="","",IF(AND(ISNUMBER($G35),$G35&lt;=IF($S35=MesCiclo,InicioCiclo,$S35+MOD(2-WEEKDAY($S35),7))+27),1,IF(N($W35)&gt;0,AVERAGEIFS($AB$5:$AB$1000,$U$5:$U$1000,ROW(),$V$5:$V$1000,"Sub"),$AB35)))</f>
        <v/>
      </c>
      <c r="AG35" s="62">
        <f>IF($V35&lt;&gt;"Macro","",IF(COUNTIFS($S$5:$S$1000,$S35,$V$5:$V$1000,"Macro",$H$5:$H$1000,"&gt;0")=0,1/COUNTIFS($S$5:$S$1000,$S35,$V$5:$V$1000,"Macro"),IF(AND(ISNUMBER($H35),N($H35)&gt;0),$H35,SUMIFS($H$5:$H$1000,$S$5:$S$1000,$S35,$V$5:$V$1000,"Macro")/COUNTIFS($S$5:$S$1000,$S35,$V$5:$V$1000,"Macro",$H$5:$H$1000,"&gt;0"))/(COUNTIFS($S$5:$S$1000,$S35,$V$5:$V$1000,"Macro")*SUMIFS($H$5:$H$1000,$S$5:$S$1000,$S35,$V$5:$V$1000,"Macro")/COUNTIFS($S$5:$S$1000,$S35,$V$5:$V$1000,"Macro",$H$5:$H$1000,"&gt;0"))))</f>
        <v/>
      </c>
      <c r="AH35" s="62" t="n"/>
      <c r="AI35" s="62" t="n"/>
      <c r="AJ35" s="62" t="n"/>
      <c r="AK35" s="62" t="n"/>
      <c r="AL35" s="62">
        <f>IF(LEFT($C35,11)="[Jefatura] ",IFERROR(MATCH("Riesgo Normativo|"&amp;MID($C35,12,500),rDname_ADM,0),0),"")</f>
        <v/>
      </c>
      <c r="AM35" s="62">
        <f>IF(N($AL35)&gt;0,INDEX(rIni_ADM,$AL35),IF(ISNUMBER($E35),$E35,""))</f>
        <v/>
      </c>
      <c r="AN35" s="62">
        <f>IF(N($AL35)&gt;0,INDEX(rLim_ADM,$AL35),IF(ISNUMBER($F35),$F35,""))</f>
        <v/>
      </c>
    </row>
    <row r="36">
      <c r="A36" s="56">
        <f>IF(NOT((COUNTA($B36:$D36)+COUNTA($G36:$L36)+COUNTA($Q36))&gt;0),"",IF($V36="Macro",COUNTIFS($V$5:$V36,"Macro",$S$5:$S36,$S36),IF(N($U36)=0,"?",COUNTIFS(INDEX($V$5:$V$1000,1):INDEX($V$5:$V$1000,$U36-4),"Macro",INDEX($S$5:$S$1000,1):INDEX($S$5:$S$1000,$U36-4),INDEX($S$5:$S$1000,$U36-4))&amp;"."&amp;COUNTIFS($U$5:$U36,$U36,$V$5:$V36,"Sub"))))</f>
        <v/>
      </c>
      <c r="B36" s="57" t="n"/>
      <c r="C36" s="58" t="n"/>
      <c r="D36" s="58" t="n"/>
      <c r="E36" s="59">
        <f>IF(N($AL36)&gt;0,INDEX(rIni_ADM,$AL36),"")</f>
        <v/>
      </c>
      <c r="F36" s="59">
        <f>IF(N($AL36)&gt;0,INDEX(rLim_ADM,$AL36),"")</f>
        <v/>
      </c>
      <c r="G36" s="59" t="n"/>
      <c r="H36" s="60" t="n"/>
      <c r="I36" s="60" t="n"/>
      <c r="J36" s="60" t="n"/>
      <c r="K36" s="60" t="n"/>
      <c r="L36" s="60" t="n"/>
      <c r="M36" s="61">
        <f>IF(NOT((COUNTA($B36:$D36)+COUNTA($G36:$L36)+COUNTA($Q36))&gt;0),"",IF($V36="Sub",IFERROR($X36/INDEX($W$5:$W$1000,$U36-4),""),IF(ISNUMBER($G36),1,IF(N($W36)&gt;0,AVERAGEIFS($X$5:$X$1000,$U$5:$U$1000,ROW(),$V$5:$V$1000,"Sub"),$X36))))</f>
        <v/>
      </c>
      <c r="N36" s="56">
        <f>IF(OR($M36="",$V36="Sub"),"",IF($M36&gt;=1,"Completado",IF($M36&gt;0,"En curso","Pendiente")))</f>
        <v/>
      </c>
      <c r="O36" s="56">
        <f>IF(OR(NOT((COUNTA($B36:$D36)+COUNTA($G36:$L36)+COUNTA($Q36))&gt;0),$V36="Sub"),"",IF(ISNUMBER($G36),IF(AND(ISNUMBER($AN36),$G36&gt;$AN36),"Cumplida con "&amp;($G36-$AN36)&amp;IF($G36-$AN36=1," día"," días")&amp;" de retraso","Cumplida"),IF(N($M36)&gt;=1,"Cumplida",IF(NOT(ISNUMBER($AN36)),"Sin fecha límite",IF($AN36&lt;FechaRef,"Vencida hace "&amp;(FechaRef-$AN36)&amp;IF(FechaRef-$AN36=1," día"," días"),IF($AN36=FechaRef,"Vence hoy",IF($AN36-FechaRef&lt;=DiasAlerta,"Vence en "&amp;($AN36-FechaRef)&amp;IF($AN36-FechaRef=1," día"," días"),"En plazo")))))))</f>
        <v/>
      </c>
      <c r="P36" s="62" t="n"/>
      <c r="Q36" s="58" t="n"/>
      <c r="R36" s="63">
        <f>IF(NOT((COUNTA($B36:$D36)+COUNTA($G36:$L36)+COUNTA($Q36))&gt;0),"",IF((IF($C36="","Falta el nombre de la actividad"&amp;" · ","")&amp;IF(AND($V36="Sub",N($U36)=0),"Subactividad sin macroactividad arriba"&amp;" · ","")&amp;IF($AM36="","Sin fecha de inicio"&amp;" · ","")&amp;IF($AN36="","Sin fecha límite"&amp;" · ","")&amp;IF(AND(LEFT($C36,11)="[Jefatura] ",N($AL36)=0),"No se encuentra en la hoja de la jefatura (elíjala de nuevo en la lista)"&amp;" · ","")&amp;IF(OR(AND($E36&lt;&gt;"",NOT(ISNUMBER($E36))),AND($F36&lt;&gt;"",NOT(ISNUMBER($F36))),AND($G36&lt;&gt;"",NOT(ISNUMBER($G36)))),"Fecha no válida"&amp;" · ","")&amp;IF(AND(ISNUMBER($AM36),ISNUMBER($AN36),$AM36&gt;$AN36),"Inicio posterior a fecha límite"&amp;" · ","")&amp;IF(AND($V36="Macro",$H36&lt;&gt;"",OR(NOT(ISNUMBER($H36)),$H36&lt;0,$H36&gt;1)),"Peso fuera de rango"&amp;" · ","")&amp;IF(AND($V36="Sub",$H36&lt;&gt;""),"Las subactividades no llevan peso (valen igual dentro de su macroactividad)"&amp;" · ","")&amp;IF(AND(N($W36)&gt;0,COUNT($I36:$L36)&gt;0),"Con subactividades: deje vacías las semanas (se calculan solas)"&amp;" · ","")&amp;IF((COUNTIF($I36:$L36,"&gt;1")+COUNTIF($I36:$L36,"&lt;0")+COUNTA($I36:$L36)-COUNT($I36:$L36))&gt;0,"Avance fuera de rango 0-100%"&amp;" · ","")&amp;IF(OR(AND($J36&lt;&gt;"",$J36&lt;$I36),AND($K36&lt;&gt;"",$K36&lt;MAX($I36:$J36)),AND($L36&lt;&gt;"",$L36&lt;MAX($I36:$K36))),"Avance semanal decreciente"&amp;" · ","")&amp;IF(AND(ISNUMBER($AN36),$AN36&lt;FechaRef,IF($V36="Sub",N($X36),N($M36))&lt;1),"Vencida"&amp;" · ","")&amp;IF(AND(ObsObligatoria="Sí",ISNUMBER($AN36),$AN36&lt;FechaRef,IF($V36="Sub",N($X36),N($M36))&lt;1,$Q36=""),"Vencida sin observación"&amp;" · ",""))="","✔ OK","⚠ "&amp;LEFT(IF($C36="","Falta el nombre de la actividad"&amp;" · ","")&amp;IF(AND($V36="Sub",N($U36)=0),"Subactividad sin macroactividad arriba"&amp;" · ","")&amp;IF($AM36="","Sin fecha de inicio"&amp;" · ","")&amp;IF($AN36="","Sin fecha límite"&amp;" · ","")&amp;IF(AND(LEFT($C36,11)="[Jefatura] ",N($AL36)=0),"No se encuentra en la hoja de la jefatura (elíjala de nuevo en la lista)"&amp;" · ","")&amp;IF(OR(AND($E36&lt;&gt;"",NOT(ISNUMBER($E36))),AND($F36&lt;&gt;"",NOT(ISNUMBER($F36))),AND($G36&lt;&gt;"",NOT(ISNUMBER($G36)))),"Fecha no válida"&amp;" · ","")&amp;IF(AND(ISNUMBER($AM36),ISNUMBER($AN36),$AM36&gt;$AN36),"Inicio posterior a fecha límite"&amp;" · ","")&amp;IF(AND($V36="Macro",$H36&lt;&gt;"",OR(NOT(ISNUMBER($H36)),$H36&lt;0,$H36&gt;1)),"Peso fuera de rango"&amp;" · ","")&amp;IF(AND($V36="Sub",$H36&lt;&gt;""),"Las subactividades no llevan peso (valen igual dentro de su macroactividad)"&amp;" · ","")&amp;IF(AND(N($W36)&gt;0,COUNT($I36:$L36)&gt;0),"Con subactividades: deje vacías las semanas (se calculan solas)"&amp;" · ","")&amp;IF((COUNTIF($I36:$L36,"&gt;1")+COUNTIF($I36:$L36,"&lt;0")+COUNTA($I36:$L36)-COUNT($I36:$L36))&gt;0,"Avance fuera de rango 0-100%"&amp;" · ","")&amp;IF(OR(AND($J36&lt;&gt;"",$J36&lt;$I36),AND($K36&lt;&gt;"",$K36&lt;MAX($I36:$J36)),AND($L36&lt;&gt;"",$L36&lt;MAX($I36:$K36))),"Avance semanal decreciente"&amp;" · ","")&amp;IF(AND(ISNUMBER($AN36),$AN36&lt;FechaRef,IF($V36="Sub",N($X36),N($M36))&lt;1),"Vencida"&amp;" · ","")&amp;IF(AND(ObsObligatoria="Sí",ISNUMBER($AN36),$AN36&lt;FechaRef,IF($V36="Sub",N($X36),N($M36))&lt;1,$Q36=""),"Vencida sin observación"&amp;" · ",""),LEN(IF($C36="","Falta el nombre de la actividad"&amp;" · ","")&amp;IF(AND($V36="Sub",N($U36)=0),"Subactividad sin macroactividad arriba"&amp;" · ","")&amp;IF($AM36="","Sin fecha de inicio"&amp;" · ","")&amp;IF($AN36="","Sin fecha límite"&amp;" · ","")&amp;IF(AND(LEFT($C36,11)="[Jefatura] ",N($AL36)=0),"No se encuentra en la hoja de la jefatura (elíjala de nuevo en la lista)"&amp;" · ","")&amp;IF(OR(AND($E36&lt;&gt;"",NOT(ISNUMBER($E36))),AND($F36&lt;&gt;"",NOT(ISNUMBER($F36))),AND($G36&lt;&gt;"",NOT(ISNUMBER($G36)))),"Fecha no válida"&amp;" · ","")&amp;IF(AND(ISNUMBER($AM36),ISNUMBER($AN36),$AM36&gt;$AN36),"Inicio posterior a fecha límite"&amp;" · ","")&amp;IF(AND($V36="Macro",$H36&lt;&gt;"",OR(NOT(ISNUMBER($H36)),$H36&lt;0,$H36&gt;1)),"Peso fuera de rango"&amp;" · ","")&amp;IF(AND($V36="Sub",$H36&lt;&gt;""),"Las subactividades no llevan peso (valen igual dentro de su macroactividad)"&amp;" · ","")&amp;IF(AND(N($W36)&gt;0,COUNT($I36:$L36)&gt;0),"Con subactividades: deje vacías las semanas (se calculan solas)"&amp;" · ","")&amp;IF((COUNTIF($I36:$L36,"&gt;1")+COUNTIF($I36:$L36,"&lt;0")+COUNTA($I36:$L36)-COUNT($I36:$L36))&gt;0,"Avance fuera de rango 0-100%"&amp;" · ","")&amp;IF(OR(AND($J36&lt;&gt;"",$J36&lt;$I36),AND($K36&lt;&gt;"",$K36&lt;MAX($I36:$J36)),AND($L36&lt;&gt;"",$L36&lt;MAX($I36:$K36))),"Avance semanal decreciente"&amp;" · ","")&amp;IF(AND(ISNUMBER($AN36),$AN36&lt;FechaRef,IF($V36="Sub",N($X36),N($M36))&lt;1),"Vencida"&amp;" · ","")&amp;IF(AND(ObsObligatoria="Sí",ISNUMBER($AN36),$AN36&lt;FechaRef,IF($V36="Sub",N($X36),N($M36))&lt;1,$Q36=""),"Vencida sin observación"&amp;" · ",""))-3)))</f>
        <v/>
      </c>
      <c r="S36" s="64">
        <f>IF(NOT((COUNTA($B36:$D36)+COUNTA($G36:$L36)+COUNTA($Q36))&gt;0),"",IF(AND($V36="Sub",N($U36)&gt;0),IF(ISNUMBER(INDEX($AM$5:$AM$1000,$U36-4)),DATE(YEAR(INDEX($AM$5:$AM$1000,$U36-4)),MONTH(INDEX($AM$5:$AM$1000,$U36-4)),1),IF(ISNUMBER(INDEX($AN$5:$AN$1000,$U36-4)),DATE(YEAR(INDEX($AN$5:$AN$1000,$U36-4)),MONTH(INDEX($AN$5:$AN$1000,$U36-4)),1),MesCiclo)),IF(ISNUMBER($AM36),DATE(YEAR($AM36),MONTH($AM36),1),IF(ISNUMBER($AN36),DATE(YEAR($AN36),MONTH($AN36),1),MesCiclo))))</f>
        <v/>
      </c>
      <c r="T36" s="62">
        <f>IF(OR($S36="",$S36&lt;&gt;MesCiclo,$V36&lt;&gt;"Macro"),"",COUNTIFS($S$5:$S36,MesCiclo,$V$5:$V36,"Macro"))</f>
        <v/>
      </c>
      <c r="U36" s="62">
        <f>IF($V36="","",IF($V36="Macro",ROW(),IFERROR(LOOKUP(2,1/($V$5:$V36="Macro"),ROW($V$5:$V36)),0)))</f>
        <v/>
      </c>
      <c r="V36" s="62">
        <f>IF(NOT((COUNTA($B36:$D36)+COUNTA($G36:$L36)+COUNTA($Q36))&gt;0),"",IF($B36="Subactividad","Sub","Macro"))</f>
        <v/>
      </c>
      <c r="W36" s="62">
        <f>IF($V36="Macro",COUNTIFS($U$5:$U$1000,ROW(),$V$5:$V$1000,"Sub"),"")</f>
        <v/>
      </c>
      <c r="X36" s="62">
        <f>IF($V36="","",IF(ISNUMBER($G36),1,IFERROR(LOOKUP(2,1/($I36:$L36&lt;&gt;""),$I36:$L36),0)))</f>
        <v/>
      </c>
      <c r="Y36" s="62">
        <f>IF($V36="","",IF(AND(ISNUMBER($G36),$G36&lt;=IF($S36=MesCiclo,InicioCiclo,$S36+MOD(2-WEEKDAY($S36),7))+6),1,IF(ISNUMBER($I36),$I36,0)))</f>
        <v/>
      </c>
      <c r="Z36" s="62">
        <f>IF($V36="","",IF(AND(ISNUMBER($G36),$G36&lt;=IF($S36=MesCiclo,InicioCiclo,$S36+MOD(2-WEEKDAY($S36),7))+13),1,IF(ISNUMBER($J36),$J36,$Y36)))</f>
        <v/>
      </c>
      <c r="AA36" s="62">
        <f>IF($V36="","",IF(AND(ISNUMBER($G36),$G36&lt;=IF($S36=MesCiclo,InicioCiclo,$S36+MOD(2-WEEKDAY($S36),7))+20),1,IF(ISNUMBER($K36),$K36,$Z36)))</f>
        <v/>
      </c>
      <c r="AB36" s="62">
        <f>IF($V36="","",IF(AND(ISNUMBER($G36),$G36&lt;=IF($S36=MesCiclo,InicioCiclo,$S36+MOD(2-WEEKDAY($S36),7))+27),1,IF(ISNUMBER($L36),$L36,$AA36)))</f>
        <v/>
      </c>
      <c r="AC36" s="62">
        <f>IF($V36="","",IF(AND(ISNUMBER($G36),$G36&lt;=IF($S36=MesCiclo,InicioCiclo,$S36+MOD(2-WEEKDAY($S36),7))+6),1,IF(N($W36)&gt;0,AVERAGEIFS($Y$5:$Y$1000,$U$5:$U$1000,ROW(),$V$5:$V$1000,"Sub"),$Y36)))</f>
        <v/>
      </c>
      <c r="AD36" s="62">
        <f>IF($V36="","",IF(AND(ISNUMBER($G36),$G36&lt;=IF($S36=MesCiclo,InicioCiclo,$S36+MOD(2-WEEKDAY($S36),7))+13),1,IF(N($W36)&gt;0,AVERAGEIFS($Z$5:$Z$1000,$U$5:$U$1000,ROW(),$V$5:$V$1000,"Sub"),$Z36)))</f>
        <v/>
      </c>
      <c r="AE36" s="62">
        <f>IF($V36="","",IF(AND(ISNUMBER($G36),$G36&lt;=IF($S36=MesCiclo,InicioCiclo,$S36+MOD(2-WEEKDAY($S36),7))+20),1,IF(N($W36)&gt;0,AVERAGEIFS($AA$5:$AA$1000,$U$5:$U$1000,ROW(),$V$5:$V$1000,"Sub"),$AA36)))</f>
        <v/>
      </c>
      <c r="AF36" s="62">
        <f>IF($V36="","",IF(AND(ISNUMBER($G36),$G36&lt;=IF($S36=MesCiclo,InicioCiclo,$S36+MOD(2-WEEKDAY($S36),7))+27),1,IF(N($W36)&gt;0,AVERAGEIFS($AB$5:$AB$1000,$U$5:$U$1000,ROW(),$V$5:$V$1000,"Sub"),$AB36)))</f>
        <v/>
      </c>
      <c r="AG36" s="62">
        <f>IF($V36&lt;&gt;"Macro","",IF(COUNTIFS($S$5:$S$1000,$S36,$V$5:$V$1000,"Macro",$H$5:$H$1000,"&gt;0")=0,1/COUNTIFS($S$5:$S$1000,$S36,$V$5:$V$1000,"Macro"),IF(AND(ISNUMBER($H36),N($H36)&gt;0),$H36,SUMIFS($H$5:$H$1000,$S$5:$S$1000,$S36,$V$5:$V$1000,"Macro")/COUNTIFS($S$5:$S$1000,$S36,$V$5:$V$1000,"Macro",$H$5:$H$1000,"&gt;0"))/(COUNTIFS($S$5:$S$1000,$S36,$V$5:$V$1000,"Macro")*SUMIFS($H$5:$H$1000,$S$5:$S$1000,$S36,$V$5:$V$1000,"Macro")/COUNTIFS($S$5:$S$1000,$S36,$V$5:$V$1000,"Macro",$H$5:$H$1000,"&gt;0"))))</f>
        <v/>
      </c>
      <c r="AH36" s="62" t="n"/>
      <c r="AI36" s="62" t="n"/>
      <c r="AJ36" s="62" t="n"/>
      <c r="AK36" s="62" t="n"/>
      <c r="AL36" s="62">
        <f>IF(LEFT($C36,11)="[Jefatura] ",IFERROR(MATCH("Riesgo Normativo|"&amp;MID($C36,12,500),rDname_ADM,0),0),"")</f>
        <v/>
      </c>
      <c r="AM36" s="62">
        <f>IF(N($AL36)&gt;0,INDEX(rIni_ADM,$AL36),IF(ISNUMBER($E36),$E36,""))</f>
        <v/>
      </c>
      <c r="AN36" s="62">
        <f>IF(N($AL36)&gt;0,INDEX(rLim_ADM,$AL36),IF(ISNUMBER($F36),$F36,""))</f>
        <v/>
      </c>
    </row>
    <row r="37">
      <c r="A37" s="56">
        <f>IF(NOT((COUNTA($B37:$D37)+COUNTA($G37:$L37)+COUNTA($Q37))&gt;0),"",IF($V37="Macro",COUNTIFS($V$5:$V37,"Macro",$S$5:$S37,$S37),IF(N($U37)=0,"?",COUNTIFS(INDEX($V$5:$V$1000,1):INDEX($V$5:$V$1000,$U37-4),"Macro",INDEX($S$5:$S$1000,1):INDEX($S$5:$S$1000,$U37-4),INDEX($S$5:$S$1000,$U37-4))&amp;"."&amp;COUNTIFS($U$5:$U37,$U37,$V$5:$V37,"Sub"))))</f>
        <v/>
      </c>
      <c r="B37" s="57" t="n"/>
      <c r="C37" s="58" t="n"/>
      <c r="D37" s="58" t="n"/>
      <c r="E37" s="59">
        <f>IF(N($AL37)&gt;0,INDEX(rIni_ADM,$AL37),"")</f>
        <v/>
      </c>
      <c r="F37" s="59">
        <f>IF(N($AL37)&gt;0,INDEX(rLim_ADM,$AL37),"")</f>
        <v/>
      </c>
      <c r="G37" s="59" t="n"/>
      <c r="H37" s="60" t="n"/>
      <c r="I37" s="60" t="n"/>
      <c r="J37" s="60" t="n"/>
      <c r="K37" s="60" t="n"/>
      <c r="L37" s="60" t="n"/>
      <c r="M37" s="61">
        <f>IF(NOT((COUNTA($B37:$D37)+COUNTA($G37:$L37)+COUNTA($Q37))&gt;0),"",IF($V37="Sub",IFERROR($X37/INDEX($W$5:$W$1000,$U37-4),""),IF(ISNUMBER($G37),1,IF(N($W37)&gt;0,AVERAGEIFS($X$5:$X$1000,$U$5:$U$1000,ROW(),$V$5:$V$1000,"Sub"),$X37))))</f>
        <v/>
      </c>
      <c r="N37" s="56">
        <f>IF(OR($M37="",$V37="Sub"),"",IF($M37&gt;=1,"Completado",IF($M37&gt;0,"En curso","Pendiente")))</f>
        <v/>
      </c>
      <c r="O37" s="56">
        <f>IF(OR(NOT((COUNTA($B37:$D37)+COUNTA($G37:$L37)+COUNTA($Q37))&gt;0),$V37="Sub"),"",IF(ISNUMBER($G37),IF(AND(ISNUMBER($AN37),$G37&gt;$AN37),"Cumplida con "&amp;($G37-$AN37)&amp;IF($G37-$AN37=1," día"," días")&amp;" de retraso","Cumplida"),IF(N($M37)&gt;=1,"Cumplida",IF(NOT(ISNUMBER($AN37)),"Sin fecha límite",IF($AN37&lt;FechaRef,"Vencida hace "&amp;(FechaRef-$AN37)&amp;IF(FechaRef-$AN37=1," día"," días"),IF($AN37=FechaRef,"Vence hoy",IF($AN37-FechaRef&lt;=DiasAlerta,"Vence en "&amp;($AN37-FechaRef)&amp;IF($AN37-FechaRef=1," día"," días"),"En plazo")))))))</f>
        <v/>
      </c>
      <c r="P37" s="62" t="n"/>
      <c r="Q37" s="58" t="n"/>
      <c r="R37" s="63">
        <f>IF(NOT((COUNTA($B37:$D37)+COUNTA($G37:$L37)+COUNTA($Q37))&gt;0),"",IF((IF($C37="","Falta el nombre de la actividad"&amp;" · ","")&amp;IF(AND($V37="Sub",N($U37)=0),"Subactividad sin macroactividad arriba"&amp;" · ","")&amp;IF($AM37="","Sin fecha de inicio"&amp;" · ","")&amp;IF($AN37="","Sin fecha límite"&amp;" · ","")&amp;IF(AND(LEFT($C37,11)="[Jefatura] ",N($AL37)=0),"No se encuentra en la hoja de la jefatura (elíjala de nuevo en la lista)"&amp;" · ","")&amp;IF(OR(AND($E37&lt;&gt;"",NOT(ISNUMBER($E37))),AND($F37&lt;&gt;"",NOT(ISNUMBER($F37))),AND($G37&lt;&gt;"",NOT(ISNUMBER($G37)))),"Fecha no válida"&amp;" · ","")&amp;IF(AND(ISNUMBER($AM37),ISNUMBER($AN37),$AM37&gt;$AN37),"Inicio posterior a fecha límite"&amp;" · ","")&amp;IF(AND($V37="Macro",$H37&lt;&gt;"",OR(NOT(ISNUMBER($H37)),$H37&lt;0,$H37&gt;1)),"Peso fuera de rango"&amp;" · ","")&amp;IF(AND($V37="Sub",$H37&lt;&gt;""),"Las subactividades no llevan peso (valen igual dentro de su macroactividad)"&amp;" · ","")&amp;IF(AND(N($W37)&gt;0,COUNT($I37:$L37)&gt;0),"Con subactividades: deje vacías las semanas (se calculan solas)"&amp;" · ","")&amp;IF((COUNTIF($I37:$L37,"&gt;1")+COUNTIF($I37:$L37,"&lt;0")+COUNTA($I37:$L37)-COUNT($I37:$L37))&gt;0,"Avance fuera de rango 0-100%"&amp;" · ","")&amp;IF(OR(AND($J37&lt;&gt;"",$J37&lt;$I37),AND($K37&lt;&gt;"",$K37&lt;MAX($I37:$J37)),AND($L37&lt;&gt;"",$L37&lt;MAX($I37:$K37))),"Avance semanal decreciente"&amp;" · ","")&amp;IF(AND(ISNUMBER($AN37),$AN37&lt;FechaRef,IF($V37="Sub",N($X37),N($M37))&lt;1),"Vencida"&amp;" · ","")&amp;IF(AND(ObsObligatoria="Sí",ISNUMBER($AN37),$AN37&lt;FechaRef,IF($V37="Sub",N($X37),N($M37))&lt;1,$Q37=""),"Vencida sin observación"&amp;" · ",""))="","✔ OK","⚠ "&amp;LEFT(IF($C37="","Falta el nombre de la actividad"&amp;" · ","")&amp;IF(AND($V37="Sub",N($U37)=0),"Subactividad sin macroactividad arriba"&amp;" · ","")&amp;IF($AM37="","Sin fecha de inicio"&amp;" · ","")&amp;IF($AN37="","Sin fecha límite"&amp;" · ","")&amp;IF(AND(LEFT($C37,11)="[Jefatura] ",N($AL37)=0),"No se encuentra en la hoja de la jefatura (elíjala de nuevo en la lista)"&amp;" · ","")&amp;IF(OR(AND($E37&lt;&gt;"",NOT(ISNUMBER($E37))),AND($F37&lt;&gt;"",NOT(ISNUMBER($F37))),AND($G37&lt;&gt;"",NOT(ISNUMBER($G37)))),"Fecha no válida"&amp;" · ","")&amp;IF(AND(ISNUMBER($AM37),ISNUMBER($AN37),$AM37&gt;$AN37),"Inicio posterior a fecha límite"&amp;" · ","")&amp;IF(AND($V37="Macro",$H37&lt;&gt;"",OR(NOT(ISNUMBER($H37)),$H37&lt;0,$H37&gt;1)),"Peso fuera de rango"&amp;" · ","")&amp;IF(AND($V37="Sub",$H37&lt;&gt;""),"Las subactividades no llevan peso (valen igual dentro de su macroactividad)"&amp;" · ","")&amp;IF(AND(N($W37)&gt;0,COUNT($I37:$L37)&gt;0),"Con subactividades: deje vacías las semanas (se calculan solas)"&amp;" · ","")&amp;IF((COUNTIF($I37:$L37,"&gt;1")+COUNTIF($I37:$L37,"&lt;0")+COUNTA($I37:$L37)-COUNT($I37:$L37))&gt;0,"Avance fuera de rango 0-100%"&amp;" · ","")&amp;IF(OR(AND($J37&lt;&gt;"",$J37&lt;$I37),AND($K37&lt;&gt;"",$K37&lt;MAX($I37:$J37)),AND($L37&lt;&gt;"",$L37&lt;MAX($I37:$K37))),"Avance semanal decreciente"&amp;" · ","")&amp;IF(AND(ISNUMBER($AN37),$AN37&lt;FechaRef,IF($V37="Sub",N($X37),N($M37))&lt;1),"Vencida"&amp;" · ","")&amp;IF(AND(ObsObligatoria="Sí",ISNUMBER($AN37),$AN37&lt;FechaRef,IF($V37="Sub",N($X37),N($M37))&lt;1,$Q37=""),"Vencida sin observación"&amp;" · ",""),LEN(IF($C37="","Falta el nombre de la actividad"&amp;" · ","")&amp;IF(AND($V37="Sub",N($U37)=0),"Subactividad sin macroactividad arriba"&amp;" · ","")&amp;IF($AM37="","Sin fecha de inicio"&amp;" · ","")&amp;IF($AN37="","Sin fecha límite"&amp;" · ","")&amp;IF(AND(LEFT($C37,11)="[Jefatura] ",N($AL37)=0),"No se encuentra en la hoja de la jefatura (elíjala de nuevo en la lista)"&amp;" · ","")&amp;IF(OR(AND($E37&lt;&gt;"",NOT(ISNUMBER($E37))),AND($F37&lt;&gt;"",NOT(ISNUMBER($F37))),AND($G37&lt;&gt;"",NOT(ISNUMBER($G37)))),"Fecha no válida"&amp;" · ","")&amp;IF(AND(ISNUMBER($AM37),ISNUMBER($AN37),$AM37&gt;$AN37),"Inicio posterior a fecha límite"&amp;" · ","")&amp;IF(AND($V37="Macro",$H37&lt;&gt;"",OR(NOT(ISNUMBER($H37)),$H37&lt;0,$H37&gt;1)),"Peso fuera de rango"&amp;" · ","")&amp;IF(AND($V37="Sub",$H37&lt;&gt;""),"Las subactividades no llevan peso (valen igual dentro de su macroactividad)"&amp;" · ","")&amp;IF(AND(N($W37)&gt;0,COUNT($I37:$L37)&gt;0),"Con subactividades: deje vacías las semanas (se calculan solas)"&amp;" · ","")&amp;IF((COUNTIF($I37:$L37,"&gt;1")+COUNTIF($I37:$L37,"&lt;0")+COUNTA($I37:$L37)-COUNT($I37:$L37))&gt;0,"Avance fuera de rango 0-100%"&amp;" · ","")&amp;IF(OR(AND($J37&lt;&gt;"",$J37&lt;$I37),AND($K37&lt;&gt;"",$K37&lt;MAX($I37:$J37)),AND($L37&lt;&gt;"",$L37&lt;MAX($I37:$K37))),"Avance semanal decreciente"&amp;" · ","")&amp;IF(AND(ISNUMBER($AN37),$AN37&lt;FechaRef,IF($V37="Sub",N($X37),N($M37))&lt;1),"Vencida"&amp;" · ","")&amp;IF(AND(ObsObligatoria="Sí",ISNUMBER($AN37),$AN37&lt;FechaRef,IF($V37="Sub",N($X37),N($M37))&lt;1,$Q37=""),"Vencida sin observación"&amp;" · ",""))-3)))</f>
        <v/>
      </c>
      <c r="S37" s="64">
        <f>IF(NOT((COUNTA($B37:$D37)+COUNTA($G37:$L37)+COUNTA($Q37))&gt;0),"",IF(AND($V37="Sub",N($U37)&gt;0),IF(ISNUMBER(INDEX($AM$5:$AM$1000,$U37-4)),DATE(YEAR(INDEX($AM$5:$AM$1000,$U37-4)),MONTH(INDEX($AM$5:$AM$1000,$U37-4)),1),IF(ISNUMBER(INDEX($AN$5:$AN$1000,$U37-4)),DATE(YEAR(INDEX($AN$5:$AN$1000,$U37-4)),MONTH(INDEX($AN$5:$AN$1000,$U37-4)),1),MesCiclo)),IF(ISNUMBER($AM37),DATE(YEAR($AM37),MONTH($AM37),1),IF(ISNUMBER($AN37),DATE(YEAR($AN37),MONTH($AN37),1),MesCiclo))))</f>
        <v/>
      </c>
      <c r="T37" s="62">
        <f>IF(OR($S37="",$S37&lt;&gt;MesCiclo,$V37&lt;&gt;"Macro"),"",COUNTIFS($S$5:$S37,MesCiclo,$V$5:$V37,"Macro"))</f>
        <v/>
      </c>
      <c r="U37" s="62">
        <f>IF($V37="","",IF($V37="Macro",ROW(),IFERROR(LOOKUP(2,1/($V$5:$V37="Macro"),ROW($V$5:$V37)),0)))</f>
        <v/>
      </c>
      <c r="V37" s="62">
        <f>IF(NOT((COUNTA($B37:$D37)+COUNTA($G37:$L37)+COUNTA($Q37))&gt;0),"",IF($B37="Subactividad","Sub","Macro"))</f>
        <v/>
      </c>
      <c r="W37" s="62">
        <f>IF($V37="Macro",COUNTIFS($U$5:$U$1000,ROW(),$V$5:$V$1000,"Sub"),"")</f>
        <v/>
      </c>
      <c r="X37" s="62">
        <f>IF($V37="","",IF(ISNUMBER($G37),1,IFERROR(LOOKUP(2,1/($I37:$L37&lt;&gt;""),$I37:$L37),0)))</f>
        <v/>
      </c>
      <c r="Y37" s="62">
        <f>IF($V37="","",IF(AND(ISNUMBER($G37),$G37&lt;=IF($S37=MesCiclo,InicioCiclo,$S37+MOD(2-WEEKDAY($S37),7))+6),1,IF(ISNUMBER($I37),$I37,0)))</f>
        <v/>
      </c>
      <c r="Z37" s="62">
        <f>IF($V37="","",IF(AND(ISNUMBER($G37),$G37&lt;=IF($S37=MesCiclo,InicioCiclo,$S37+MOD(2-WEEKDAY($S37),7))+13),1,IF(ISNUMBER($J37),$J37,$Y37)))</f>
        <v/>
      </c>
      <c r="AA37" s="62">
        <f>IF($V37="","",IF(AND(ISNUMBER($G37),$G37&lt;=IF($S37=MesCiclo,InicioCiclo,$S37+MOD(2-WEEKDAY($S37),7))+20),1,IF(ISNUMBER($K37),$K37,$Z37)))</f>
        <v/>
      </c>
      <c r="AB37" s="62">
        <f>IF($V37="","",IF(AND(ISNUMBER($G37),$G37&lt;=IF($S37=MesCiclo,InicioCiclo,$S37+MOD(2-WEEKDAY($S37),7))+27),1,IF(ISNUMBER($L37),$L37,$AA37)))</f>
        <v/>
      </c>
      <c r="AC37" s="62">
        <f>IF($V37="","",IF(AND(ISNUMBER($G37),$G37&lt;=IF($S37=MesCiclo,InicioCiclo,$S37+MOD(2-WEEKDAY($S37),7))+6),1,IF(N($W37)&gt;0,AVERAGEIFS($Y$5:$Y$1000,$U$5:$U$1000,ROW(),$V$5:$V$1000,"Sub"),$Y37)))</f>
        <v/>
      </c>
      <c r="AD37" s="62">
        <f>IF($V37="","",IF(AND(ISNUMBER($G37),$G37&lt;=IF($S37=MesCiclo,InicioCiclo,$S37+MOD(2-WEEKDAY($S37),7))+13),1,IF(N($W37)&gt;0,AVERAGEIFS($Z$5:$Z$1000,$U$5:$U$1000,ROW(),$V$5:$V$1000,"Sub"),$Z37)))</f>
        <v/>
      </c>
      <c r="AE37" s="62">
        <f>IF($V37="","",IF(AND(ISNUMBER($G37),$G37&lt;=IF($S37=MesCiclo,InicioCiclo,$S37+MOD(2-WEEKDAY($S37),7))+20),1,IF(N($W37)&gt;0,AVERAGEIFS($AA$5:$AA$1000,$U$5:$U$1000,ROW(),$V$5:$V$1000,"Sub"),$AA37)))</f>
        <v/>
      </c>
      <c r="AF37" s="62">
        <f>IF($V37="","",IF(AND(ISNUMBER($G37),$G37&lt;=IF($S37=MesCiclo,InicioCiclo,$S37+MOD(2-WEEKDAY($S37),7))+27),1,IF(N($W37)&gt;0,AVERAGEIFS($AB$5:$AB$1000,$U$5:$U$1000,ROW(),$V$5:$V$1000,"Sub"),$AB37)))</f>
        <v/>
      </c>
      <c r="AG37" s="62">
        <f>IF($V37&lt;&gt;"Macro","",IF(COUNTIFS($S$5:$S$1000,$S37,$V$5:$V$1000,"Macro",$H$5:$H$1000,"&gt;0")=0,1/COUNTIFS($S$5:$S$1000,$S37,$V$5:$V$1000,"Macro"),IF(AND(ISNUMBER($H37),N($H37)&gt;0),$H37,SUMIFS($H$5:$H$1000,$S$5:$S$1000,$S37,$V$5:$V$1000,"Macro")/COUNTIFS($S$5:$S$1000,$S37,$V$5:$V$1000,"Macro",$H$5:$H$1000,"&gt;0"))/(COUNTIFS($S$5:$S$1000,$S37,$V$5:$V$1000,"Macro")*SUMIFS($H$5:$H$1000,$S$5:$S$1000,$S37,$V$5:$V$1000,"Macro")/COUNTIFS($S$5:$S$1000,$S37,$V$5:$V$1000,"Macro",$H$5:$H$1000,"&gt;0"))))</f>
        <v/>
      </c>
      <c r="AH37" s="62" t="n"/>
      <c r="AI37" s="62" t="n"/>
      <c r="AJ37" s="62" t="n"/>
      <c r="AK37" s="62" t="n"/>
      <c r="AL37" s="62">
        <f>IF(LEFT($C37,11)="[Jefatura] ",IFERROR(MATCH("Riesgo Normativo|"&amp;MID($C37,12,500),rDname_ADM,0),0),"")</f>
        <v/>
      </c>
      <c r="AM37" s="62">
        <f>IF(N($AL37)&gt;0,INDEX(rIni_ADM,$AL37),IF(ISNUMBER($E37),$E37,""))</f>
        <v/>
      </c>
      <c r="AN37" s="62">
        <f>IF(N($AL37)&gt;0,INDEX(rLim_ADM,$AL37),IF(ISNUMBER($F37),$F37,""))</f>
        <v/>
      </c>
    </row>
    <row r="38">
      <c r="A38" s="56">
        <f>IF(NOT((COUNTA($B38:$D38)+COUNTA($G38:$L38)+COUNTA($Q38))&gt;0),"",IF($V38="Macro",COUNTIFS($V$5:$V38,"Macro",$S$5:$S38,$S38),IF(N($U38)=0,"?",COUNTIFS(INDEX($V$5:$V$1000,1):INDEX($V$5:$V$1000,$U38-4),"Macro",INDEX($S$5:$S$1000,1):INDEX($S$5:$S$1000,$U38-4),INDEX($S$5:$S$1000,$U38-4))&amp;"."&amp;COUNTIFS($U$5:$U38,$U38,$V$5:$V38,"Sub"))))</f>
        <v/>
      </c>
      <c r="B38" s="57" t="n"/>
      <c r="C38" s="58" t="n"/>
      <c r="D38" s="58" t="n"/>
      <c r="E38" s="59">
        <f>IF(N($AL38)&gt;0,INDEX(rIni_ADM,$AL38),"")</f>
        <v/>
      </c>
      <c r="F38" s="59">
        <f>IF(N($AL38)&gt;0,INDEX(rLim_ADM,$AL38),"")</f>
        <v/>
      </c>
      <c r="G38" s="59" t="n"/>
      <c r="H38" s="60" t="n"/>
      <c r="I38" s="60" t="n"/>
      <c r="J38" s="60" t="n"/>
      <c r="K38" s="60" t="n"/>
      <c r="L38" s="60" t="n"/>
      <c r="M38" s="61">
        <f>IF(NOT((COUNTA($B38:$D38)+COUNTA($G38:$L38)+COUNTA($Q38))&gt;0),"",IF($V38="Sub",IFERROR($X38/INDEX($W$5:$W$1000,$U38-4),""),IF(ISNUMBER($G38),1,IF(N($W38)&gt;0,AVERAGEIFS($X$5:$X$1000,$U$5:$U$1000,ROW(),$V$5:$V$1000,"Sub"),$X38))))</f>
        <v/>
      </c>
      <c r="N38" s="56">
        <f>IF(OR($M38="",$V38="Sub"),"",IF($M38&gt;=1,"Completado",IF($M38&gt;0,"En curso","Pendiente")))</f>
        <v/>
      </c>
      <c r="O38" s="56">
        <f>IF(OR(NOT((COUNTA($B38:$D38)+COUNTA($G38:$L38)+COUNTA($Q38))&gt;0),$V38="Sub"),"",IF(ISNUMBER($G38),IF(AND(ISNUMBER($AN38),$G38&gt;$AN38),"Cumplida con "&amp;($G38-$AN38)&amp;IF($G38-$AN38=1," día"," días")&amp;" de retraso","Cumplida"),IF(N($M38)&gt;=1,"Cumplida",IF(NOT(ISNUMBER($AN38)),"Sin fecha límite",IF($AN38&lt;FechaRef,"Vencida hace "&amp;(FechaRef-$AN38)&amp;IF(FechaRef-$AN38=1," día"," días"),IF($AN38=FechaRef,"Vence hoy",IF($AN38-FechaRef&lt;=DiasAlerta,"Vence en "&amp;($AN38-FechaRef)&amp;IF($AN38-FechaRef=1," día"," días"),"En plazo")))))))</f>
        <v/>
      </c>
      <c r="P38" s="62" t="n"/>
      <c r="Q38" s="58" t="n"/>
      <c r="R38" s="63">
        <f>IF(NOT((COUNTA($B38:$D38)+COUNTA($G38:$L38)+COUNTA($Q38))&gt;0),"",IF((IF($C38="","Falta el nombre de la actividad"&amp;" · ","")&amp;IF(AND($V38="Sub",N($U38)=0),"Subactividad sin macroactividad arriba"&amp;" · ","")&amp;IF($AM38="","Sin fecha de inicio"&amp;" · ","")&amp;IF($AN38="","Sin fecha límite"&amp;" · ","")&amp;IF(AND(LEFT($C38,11)="[Jefatura] ",N($AL38)=0),"No se encuentra en la hoja de la jefatura (elíjala de nuevo en la lista)"&amp;" · ","")&amp;IF(OR(AND($E38&lt;&gt;"",NOT(ISNUMBER($E38))),AND($F38&lt;&gt;"",NOT(ISNUMBER($F38))),AND($G38&lt;&gt;"",NOT(ISNUMBER($G38)))),"Fecha no válida"&amp;" · ","")&amp;IF(AND(ISNUMBER($AM38),ISNUMBER($AN38),$AM38&gt;$AN38),"Inicio posterior a fecha límite"&amp;" · ","")&amp;IF(AND($V38="Macro",$H38&lt;&gt;"",OR(NOT(ISNUMBER($H38)),$H38&lt;0,$H38&gt;1)),"Peso fuera de rango"&amp;" · ","")&amp;IF(AND($V38="Sub",$H38&lt;&gt;""),"Las subactividades no llevan peso (valen igual dentro de su macroactividad)"&amp;" · ","")&amp;IF(AND(N($W38)&gt;0,COUNT($I38:$L38)&gt;0),"Con subactividades: deje vacías las semanas (se calculan solas)"&amp;" · ","")&amp;IF((COUNTIF($I38:$L38,"&gt;1")+COUNTIF($I38:$L38,"&lt;0")+COUNTA($I38:$L38)-COUNT($I38:$L38))&gt;0,"Avance fuera de rango 0-100%"&amp;" · ","")&amp;IF(OR(AND($J38&lt;&gt;"",$J38&lt;$I38),AND($K38&lt;&gt;"",$K38&lt;MAX($I38:$J38)),AND($L38&lt;&gt;"",$L38&lt;MAX($I38:$K38))),"Avance semanal decreciente"&amp;" · ","")&amp;IF(AND(ISNUMBER($AN38),$AN38&lt;FechaRef,IF($V38="Sub",N($X38),N($M38))&lt;1),"Vencida"&amp;" · ","")&amp;IF(AND(ObsObligatoria="Sí",ISNUMBER($AN38),$AN38&lt;FechaRef,IF($V38="Sub",N($X38),N($M38))&lt;1,$Q38=""),"Vencida sin observación"&amp;" · ",""))="","✔ OK","⚠ "&amp;LEFT(IF($C38="","Falta el nombre de la actividad"&amp;" · ","")&amp;IF(AND($V38="Sub",N($U38)=0),"Subactividad sin macroactividad arriba"&amp;" · ","")&amp;IF($AM38="","Sin fecha de inicio"&amp;" · ","")&amp;IF($AN38="","Sin fecha límite"&amp;" · ","")&amp;IF(AND(LEFT($C38,11)="[Jefatura] ",N($AL38)=0),"No se encuentra en la hoja de la jefatura (elíjala de nuevo en la lista)"&amp;" · ","")&amp;IF(OR(AND($E38&lt;&gt;"",NOT(ISNUMBER($E38))),AND($F38&lt;&gt;"",NOT(ISNUMBER($F38))),AND($G38&lt;&gt;"",NOT(ISNUMBER($G38)))),"Fecha no válida"&amp;" · ","")&amp;IF(AND(ISNUMBER($AM38),ISNUMBER($AN38),$AM38&gt;$AN38),"Inicio posterior a fecha límite"&amp;" · ","")&amp;IF(AND($V38="Macro",$H38&lt;&gt;"",OR(NOT(ISNUMBER($H38)),$H38&lt;0,$H38&gt;1)),"Peso fuera de rango"&amp;" · ","")&amp;IF(AND($V38="Sub",$H38&lt;&gt;""),"Las subactividades no llevan peso (valen igual dentro de su macroactividad)"&amp;" · ","")&amp;IF(AND(N($W38)&gt;0,COUNT($I38:$L38)&gt;0),"Con subactividades: deje vacías las semanas (se calculan solas)"&amp;" · ","")&amp;IF((COUNTIF($I38:$L38,"&gt;1")+COUNTIF($I38:$L38,"&lt;0")+COUNTA($I38:$L38)-COUNT($I38:$L38))&gt;0,"Avance fuera de rango 0-100%"&amp;" · ","")&amp;IF(OR(AND($J38&lt;&gt;"",$J38&lt;$I38),AND($K38&lt;&gt;"",$K38&lt;MAX($I38:$J38)),AND($L38&lt;&gt;"",$L38&lt;MAX($I38:$K38))),"Avance semanal decreciente"&amp;" · ","")&amp;IF(AND(ISNUMBER($AN38),$AN38&lt;FechaRef,IF($V38="Sub",N($X38),N($M38))&lt;1),"Vencida"&amp;" · ","")&amp;IF(AND(ObsObligatoria="Sí",ISNUMBER($AN38),$AN38&lt;FechaRef,IF($V38="Sub",N($X38),N($M38))&lt;1,$Q38=""),"Vencida sin observación"&amp;" · ",""),LEN(IF($C38="","Falta el nombre de la actividad"&amp;" · ","")&amp;IF(AND($V38="Sub",N($U38)=0),"Subactividad sin macroactividad arriba"&amp;" · ","")&amp;IF($AM38="","Sin fecha de inicio"&amp;" · ","")&amp;IF($AN38="","Sin fecha límite"&amp;" · ","")&amp;IF(AND(LEFT($C38,11)="[Jefatura] ",N($AL38)=0),"No se encuentra en la hoja de la jefatura (elíjala de nuevo en la lista)"&amp;" · ","")&amp;IF(OR(AND($E38&lt;&gt;"",NOT(ISNUMBER($E38))),AND($F38&lt;&gt;"",NOT(ISNUMBER($F38))),AND($G38&lt;&gt;"",NOT(ISNUMBER($G38)))),"Fecha no válida"&amp;" · ","")&amp;IF(AND(ISNUMBER($AM38),ISNUMBER($AN38),$AM38&gt;$AN38),"Inicio posterior a fecha límite"&amp;" · ","")&amp;IF(AND($V38="Macro",$H38&lt;&gt;"",OR(NOT(ISNUMBER($H38)),$H38&lt;0,$H38&gt;1)),"Peso fuera de rango"&amp;" · ","")&amp;IF(AND($V38="Sub",$H38&lt;&gt;""),"Las subactividades no llevan peso (valen igual dentro de su macroactividad)"&amp;" · ","")&amp;IF(AND(N($W38)&gt;0,COUNT($I38:$L38)&gt;0),"Con subactividades: deje vacías las semanas (se calculan solas)"&amp;" · ","")&amp;IF((COUNTIF($I38:$L38,"&gt;1")+COUNTIF($I38:$L38,"&lt;0")+COUNTA($I38:$L38)-COUNT($I38:$L38))&gt;0,"Avance fuera de rango 0-100%"&amp;" · ","")&amp;IF(OR(AND($J38&lt;&gt;"",$J38&lt;$I38),AND($K38&lt;&gt;"",$K38&lt;MAX($I38:$J38)),AND($L38&lt;&gt;"",$L38&lt;MAX($I38:$K38))),"Avance semanal decreciente"&amp;" · ","")&amp;IF(AND(ISNUMBER($AN38),$AN38&lt;FechaRef,IF($V38="Sub",N($X38),N($M38))&lt;1),"Vencida"&amp;" · ","")&amp;IF(AND(ObsObligatoria="Sí",ISNUMBER($AN38),$AN38&lt;FechaRef,IF($V38="Sub",N($X38),N($M38))&lt;1,$Q38=""),"Vencida sin observación"&amp;" · ",""))-3)))</f>
        <v/>
      </c>
      <c r="S38" s="64">
        <f>IF(NOT((COUNTA($B38:$D38)+COUNTA($G38:$L38)+COUNTA($Q38))&gt;0),"",IF(AND($V38="Sub",N($U38)&gt;0),IF(ISNUMBER(INDEX($AM$5:$AM$1000,$U38-4)),DATE(YEAR(INDEX($AM$5:$AM$1000,$U38-4)),MONTH(INDEX($AM$5:$AM$1000,$U38-4)),1),IF(ISNUMBER(INDEX($AN$5:$AN$1000,$U38-4)),DATE(YEAR(INDEX($AN$5:$AN$1000,$U38-4)),MONTH(INDEX($AN$5:$AN$1000,$U38-4)),1),MesCiclo)),IF(ISNUMBER($AM38),DATE(YEAR($AM38),MONTH($AM38),1),IF(ISNUMBER($AN38),DATE(YEAR($AN38),MONTH($AN38),1),MesCiclo))))</f>
        <v/>
      </c>
      <c r="T38" s="62">
        <f>IF(OR($S38="",$S38&lt;&gt;MesCiclo,$V38&lt;&gt;"Macro"),"",COUNTIFS($S$5:$S38,MesCiclo,$V$5:$V38,"Macro"))</f>
        <v/>
      </c>
      <c r="U38" s="62">
        <f>IF($V38="","",IF($V38="Macro",ROW(),IFERROR(LOOKUP(2,1/($V$5:$V38="Macro"),ROW($V$5:$V38)),0)))</f>
        <v/>
      </c>
      <c r="V38" s="62">
        <f>IF(NOT((COUNTA($B38:$D38)+COUNTA($G38:$L38)+COUNTA($Q38))&gt;0),"",IF($B38="Subactividad","Sub","Macro"))</f>
        <v/>
      </c>
      <c r="W38" s="62">
        <f>IF($V38="Macro",COUNTIFS($U$5:$U$1000,ROW(),$V$5:$V$1000,"Sub"),"")</f>
        <v/>
      </c>
      <c r="X38" s="62">
        <f>IF($V38="","",IF(ISNUMBER($G38),1,IFERROR(LOOKUP(2,1/($I38:$L38&lt;&gt;""),$I38:$L38),0)))</f>
        <v/>
      </c>
      <c r="Y38" s="62">
        <f>IF($V38="","",IF(AND(ISNUMBER($G38),$G38&lt;=IF($S38=MesCiclo,InicioCiclo,$S38+MOD(2-WEEKDAY($S38),7))+6),1,IF(ISNUMBER($I38),$I38,0)))</f>
        <v/>
      </c>
      <c r="Z38" s="62">
        <f>IF($V38="","",IF(AND(ISNUMBER($G38),$G38&lt;=IF($S38=MesCiclo,InicioCiclo,$S38+MOD(2-WEEKDAY($S38),7))+13),1,IF(ISNUMBER($J38),$J38,$Y38)))</f>
        <v/>
      </c>
      <c r="AA38" s="62">
        <f>IF($V38="","",IF(AND(ISNUMBER($G38),$G38&lt;=IF($S38=MesCiclo,InicioCiclo,$S38+MOD(2-WEEKDAY($S38),7))+20),1,IF(ISNUMBER($K38),$K38,$Z38)))</f>
        <v/>
      </c>
      <c r="AB38" s="62">
        <f>IF($V38="","",IF(AND(ISNUMBER($G38),$G38&lt;=IF($S38=MesCiclo,InicioCiclo,$S38+MOD(2-WEEKDAY($S38),7))+27),1,IF(ISNUMBER($L38),$L38,$AA38)))</f>
        <v/>
      </c>
      <c r="AC38" s="62">
        <f>IF($V38="","",IF(AND(ISNUMBER($G38),$G38&lt;=IF($S38=MesCiclo,InicioCiclo,$S38+MOD(2-WEEKDAY($S38),7))+6),1,IF(N($W38)&gt;0,AVERAGEIFS($Y$5:$Y$1000,$U$5:$U$1000,ROW(),$V$5:$V$1000,"Sub"),$Y38)))</f>
        <v/>
      </c>
      <c r="AD38" s="62">
        <f>IF($V38="","",IF(AND(ISNUMBER($G38),$G38&lt;=IF($S38=MesCiclo,InicioCiclo,$S38+MOD(2-WEEKDAY($S38),7))+13),1,IF(N($W38)&gt;0,AVERAGEIFS($Z$5:$Z$1000,$U$5:$U$1000,ROW(),$V$5:$V$1000,"Sub"),$Z38)))</f>
        <v/>
      </c>
      <c r="AE38" s="62">
        <f>IF($V38="","",IF(AND(ISNUMBER($G38),$G38&lt;=IF($S38=MesCiclo,InicioCiclo,$S38+MOD(2-WEEKDAY($S38),7))+20),1,IF(N($W38)&gt;0,AVERAGEIFS($AA$5:$AA$1000,$U$5:$U$1000,ROW(),$V$5:$V$1000,"Sub"),$AA38)))</f>
        <v/>
      </c>
      <c r="AF38" s="62">
        <f>IF($V38="","",IF(AND(ISNUMBER($G38),$G38&lt;=IF($S38=MesCiclo,InicioCiclo,$S38+MOD(2-WEEKDAY($S38),7))+27),1,IF(N($W38)&gt;0,AVERAGEIFS($AB$5:$AB$1000,$U$5:$U$1000,ROW(),$V$5:$V$1000,"Sub"),$AB38)))</f>
        <v/>
      </c>
      <c r="AG38" s="62">
        <f>IF($V38&lt;&gt;"Macro","",IF(COUNTIFS($S$5:$S$1000,$S38,$V$5:$V$1000,"Macro",$H$5:$H$1000,"&gt;0")=0,1/COUNTIFS($S$5:$S$1000,$S38,$V$5:$V$1000,"Macro"),IF(AND(ISNUMBER($H38),N($H38)&gt;0),$H38,SUMIFS($H$5:$H$1000,$S$5:$S$1000,$S38,$V$5:$V$1000,"Macro")/COUNTIFS($S$5:$S$1000,$S38,$V$5:$V$1000,"Macro",$H$5:$H$1000,"&gt;0"))/(COUNTIFS($S$5:$S$1000,$S38,$V$5:$V$1000,"Macro")*SUMIFS($H$5:$H$1000,$S$5:$S$1000,$S38,$V$5:$V$1000,"Macro")/COUNTIFS($S$5:$S$1000,$S38,$V$5:$V$1000,"Macro",$H$5:$H$1000,"&gt;0"))))</f>
        <v/>
      </c>
      <c r="AH38" s="62" t="n"/>
      <c r="AI38" s="62" t="n"/>
      <c r="AJ38" s="62" t="n"/>
      <c r="AK38" s="62" t="n"/>
      <c r="AL38" s="62">
        <f>IF(LEFT($C38,11)="[Jefatura] ",IFERROR(MATCH("Riesgo Normativo|"&amp;MID($C38,12,500),rDname_ADM,0),0),"")</f>
        <v/>
      </c>
      <c r="AM38" s="62">
        <f>IF(N($AL38)&gt;0,INDEX(rIni_ADM,$AL38),IF(ISNUMBER($E38),$E38,""))</f>
        <v/>
      </c>
      <c r="AN38" s="62">
        <f>IF(N($AL38)&gt;0,INDEX(rLim_ADM,$AL38),IF(ISNUMBER($F38),$F38,""))</f>
        <v/>
      </c>
    </row>
    <row r="39">
      <c r="A39" s="56">
        <f>IF(NOT((COUNTA($B39:$D39)+COUNTA($G39:$L39)+COUNTA($Q39))&gt;0),"",IF($V39="Macro",COUNTIFS($V$5:$V39,"Macro",$S$5:$S39,$S39),IF(N($U39)=0,"?",COUNTIFS(INDEX($V$5:$V$1000,1):INDEX($V$5:$V$1000,$U39-4),"Macro",INDEX($S$5:$S$1000,1):INDEX($S$5:$S$1000,$U39-4),INDEX($S$5:$S$1000,$U39-4))&amp;"."&amp;COUNTIFS($U$5:$U39,$U39,$V$5:$V39,"Sub"))))</f>
        <v/>
      </c>
      <c r="B39" s="57" t="n"/>
      <c r="C39" s="58" t="n"/>
      <c r="D39" s="58" t="n"/>
      <c r="E39" s="59">
        <f>IF(N($AL39)&gt;0,INDEX(rIni_ADM,$AL39),"")</f>
        <v/>
      </c>
      <c r="F39" s="59">
        <f>IF(N($AL39)&gt;0,INDEX(rLim_ADM,$AL39),"")</f>
        <v/>
      </c>
      <c r="G39" s="59" t="n"/>
      <c r="H39" s="60" t="n"/>
      <c r="I39" s="60" t="n"/>
      <c r="J39" s="60" t="n"/>
      <c r="K39" s="60" t="n"/>
      <c r="L39" s="60" t="n"/>
      <c r="M39" s="61">
        <f>IF(NOT((COUNTA($B39:$D39)+COUNTA($G39:$L39)+COUNTA($Q39))&gt;0),"",IF($V39="Sub",IFERROR($X39/INDEX($W$5:$W$1000,$U39-4),""),IF(ISNUMBER($G39),1,IF(N($W39)&gt;0,AVERAGEIFS($X$5:$X$1000,$U$5:$U$1000,ROW(),$V$5:$V$1000,"Sub"),$X39))))</f>
        <v/>
      </c>
      <c r="N39" s="56">
        <f>IF(OR($M39="",$V39="Sub"),"",IF($M39&gt;=1,"Completado",IF($M39&gt;0,"En curso","Pendiente")))</f>
        <v/>
      </c>
      <c r="O39" s="56">
        <f>IF(OR(NOT((COUNTA($B39:$D39)+COUNTA($G39:$L39)+COUNTA($Q39))&gt;0),$V39="Sub"),"",IF(ISNUMBER($G39),IF(AND(ISNUMBER($AN39),$G39&gt;$AN39),"Cumplida con "&amp;($G39-$AN39)&amp;IF($G39-$AN39=1," día"," días")&amp;" de retraso","Cumplida"),IF(N($M39)&gt;=1,"Cumplida",IF(NOT(ISNUMBER($AN39)),"Sin fecha límite",IF($AN39&lt;FechaRef,"Vencida hace "&amp;(FechaRef-$AN39)&amp;IF(FechaRef-$AN39=1," día"," días"),IF($AN39=FechaRef,"Vence hoy",IF($AN39-FechaRef&lt;=DiasAlerta,"Vence en "&amp;($AN39-FechaRef)&amp;IF($AN39-FechaRef=1," día"," días"),"En plazo")))))))</f>
        <v/>
      </c>
      <c r="P39" s="62" t="n"/>
      <c r="Q39" s="58" t="n"/>
      <c r="R39" s="63">
        <f>IF(NOT((COUNTA($B39:$D39)+COUNTA($G39:$L39)+COUNTA($Q39))&gt;0),"",IF((IF($C39="","Falta el nombre de la actividad"&amp;" · ","")&amp;IF(AND($V39="Sub",N($U39)=0),"Subactividad sin macroactividad arriba"&amp;" · ","")&amp;IF($AM39="","Sin fecha de inicio"&amp;" · ","")&amp;IF($AN39="","Sin fecha límite"&amp;" · ","")&amp;IF(AND(LEFT($C39,11)="[Jefatura] ",N($AL39)=0),"No se encuentra en la hoja de la jefatura (elíjala de nuevo en la lista)"&amp;" · ","")&amp;IF(OR(AND($E39&lt;&gt;"",NOT(ISNUMBER($E39))),AND($F39&lt;&gt;"",NOT(ISNUMBER($F39))),AND($G39&lt;&gt;"",NOT(ISNUMBER($G39)))),"Fecha no válida"&amp;" · ","")&amp;IF(AND(ISNUMBER($AM39),ISNUMBER($AN39),$AM39&gt;$AN39),"Inicio posterior a fecha límite"&amp;" · ","")&amp;IF(AND($V39="Macro",$H39&lt;&gt;"",OR(NOT(ISNUMBER($H39)),$H39&lt;0,$H39&gt;1)),"Peso fuera de rango"&amp;" · ","")&amp;IF(AND($V39="Sub",$H39&lt;&gt;""),"Las subactividades no llevan peso (valen igual dentro de su macroactividad)"&amp;" · ","")&amp;IF(AND(N($W39)&gt;0,COUNT($I39:$L39)&gt;0),"Con subactividades: deje vacías las semanas (se calculan solas)"&amp;" · ","")&amp;IF((COUNTIF($I39:$L39,"&gt;1")+COUNTIF($I39:$L39,"&lt;0")+COUNTA($I39:$L39)-COUNT($I39:$L39))&gt;0,"Avance fuera de rango 0-100%"&amp;" · ","")&amp;IF(OR(AND($J39&lt;&gt;"",$J39&lt;$I39),AND($K39&lt;&gt;"",$K39&lt;MAX($I39:$J39)),AND($L39&lt;&gt;"",$L39&lt;MAX($I39:$K39))),"Avance semanal decreciente"&amp;" · ","")&amp;IF(AND(ISNUMBER($AN39),$AN39&lt;FechaRef,IF($V39="Sub",N($X39),N($M39))&lt;1),"Vencida"&amp;" · ","")&amp;IF(AND(ObsObligatoria="Sí",ISNUMBER($AN39),$AN39&lt;FechaRef,IF($V39="Sub",N($X39),N($M39))&lt;1,$Q39=""),"Vencida sin observación"&amp;" · ",""))="","✔ OK","⚠ "&amp;LEFT(IF($C39="","Falta el nombre de la actividad"&amp;" · ","")&amp;IF(AND($V39="Sub",N($U39)=0),"Subactividad sin macroactividad arriba"&amp;" · ","")&amp;IF($AM39="","Sin fecha de inicio"&amp;" · ","")&amp;IF($AN39="","Sin fecha límite"&amp;" · ","")&amp;IF(AND(LEFT($C39,11)="[Jefatura] ",N($AL39)=0),"No se encuentra en la hoja de la jefatura (elíjala de nuevo en la lista)"&amp;" · ","")&amp;IF(OR(AND($E39&lt;&gt;"",NOT(ISNUMBER($E39))),AND($F39&lt;&gt;"",NOT(ISNUMBER($F39))),AND($G39&lt;&gt;"",NOT(ISNUMBER($G39)))),"Fecha no válida"&amp;" · ","")&amp;IF(AND(ISNUMBER($AM39),ISNUMBER($AN39),$AM39&gt;$AN39),"Inicio posterior a fecha límite"&amp;" · ","")&amp;IF(AND($V39="Macro",$H39&lt;&gt;"",OR(NOT(ISNUMBER($H39)),$H39&lt;0,$H39&gt;1)),"Peso fuera de rango"&amp;" · ","")&amp;IF(AND($V39="Sub",$H39&lt;&gt;""),"Las subactividades no llevan peso (valen igual dentro de su macroactividad)"&amp;" · ","")&amp;IF(AND(N($W39)&gt;0,COUNT($I39:$L39)&gt;0),"Con subactividades: deje vacías las semanas (se calculan solas)"&amp;" · ","")&amp;IF((COUNTIF($I39:$L39,"&gt;1")+COUNTIF($I39:$L39,"&lt;0")+COUNTA($I39:$L39)-COUNT($I39:$L39))&gt;0,"Avance fuera de rango 0-100%"&amp;" · ","")&amp;IF(OR(AND($J39&lt;&gt;"",$J39&lt;$I39),AND($K39&lt;&gt;"",$K39&lt;MAX($I39:$J39)),AND($L39&lt;&gt;"",$L39&lt;MAX($I39:$K39))),"Avance semanal decreciente"&amp;" · ","")&amp;IF(AND(ISNUMBER($AN39),$AN39&lt;FechaRef,IF($V39="Sub",N($X39),N($M39))&lt;1),"Vencida"&amp;" · ","")&amp;IF(AND(ObsObligatoria="Sí",ISNUMBER($AN39),$AN39&lt;FechaRef,IF($V39="Sub",N($X39),N($M39))&lt;1,$Q39=""),"Vencida sin observación"&amp;" · ",""),LEN(IF($C39="","Falta el nombre de la actividad"&amp;" · ","")&amp;IF(AND($V39="Sub",N($U39)=0),"Subactividad sin macroactividad arriba"&amp;" · ","")&amp;IF($AM39="","Sin fecha de inicio"&amp;" · ","")&amp;IF($AN39="","Sin fecha límite"&amp;" · ","")&amp;IF(AND(LEFT($C39,11)="[Jefatura] ",N($AL39)=0),"No se encuentra en la hoja de la jefatura (elíjala de nuevo en la lista)"&amp;" · ","")&amp;IF(OR(AND($E39&lt;&gt;"",NOT(ISNUMBER($E39))),AND($F39&lt;&gt;"",NOT(ISNUMBER($F39))),AND($G39&lt;&gt;"",NOT(ISNUMBER($G39)))),"Fecha no válida"&amp;" · ","")&amp;IF(AND(ISNUMBER($AM39),ISNUMBER($AN39),$AM39&gt;$AN39),"Inicio posterior a fecha límite"&amp;" · ","")&amp;IF(AND($V39="Macro",$H39&lt;&gt;"",OR(NOT(ISNUMBER($H39)),$H39&lt;0,$H39&gt;1)),"Peso fuera de rango"&amp;" · ","")&amp;IF(AND($V39="Sub",$H39&lt;&gt;""),"Las subactividades no llevan peso (valen igual dentro de su macroactividad)"&amp;" · ","")&amp;IF(AND(N($W39)&gt;0,COUNT($I39:$L39)&gt;0),"Con subactividades: deje vacías las semanas (se calculan solas)"&amp;" · ","")&amp;IF((COUNTIF($I39:$L39,"&gt;1")+COUNTIF($I39:$L39,"&lt;0")+COUNTA($I39:$L39)-COUNT($I39:$L39))&gt;0,"Avance fuera de rango 0-100%"&amp;" · ","")&amp;IF(OR(AND($J39&lt;&gt;"",$J39&lt;$I39),AND($K39&lt;&gt;"",$K39&lt;MAX($I39:$J39)),AND($L39&lt;&gt;"",$L39&lt;MAX($I39:$K39))),"Avance semanal decreciente"&amp;" · ","")&amp;IF(AND(ISNUMBER($AN39),$AN39&lt;FechaRef,IF($V39="Sub",N($X39),N($M39))&lt;1),"Vencida"&amp;" · ","")&amp;IF(AND(ObsObligatoria="Sí",ISNUMBER($AN39),$AN39&lt;FechaRef,IF($V39="Sub",N($X39),N($M39))&lt;1,$Q39=""),"Vencida sin observación"&amp;" · ",""))-3)))</f>
        <v/>
      </c>
      <c r="S39" s="64">
        <f>IF(NOT((COUNTA($B39:$D39)+COUNTA($G39:$L39)+COUNTA($Q39))&gt;0),"",IF(AND($V39="Sub",N($U39)&gt;0),IF(ISNUMBER(INDEX($AM$5:$AM$1000,$U39-4)),DATE(YEAR(INDEX($AM$5:$AM$1000,$U39-4)),MONTH(INDEX($AM$5:$AM$1000,$U39-4)),1),IF(ISNUMBER(INDEX($AN$5:$AN$1000,$U39-4)),DATE(YEAR(INDEX($AN$5:$AN$1000,$U39-4)),MONTH(INDEX($AN$5:$AN$1000,$U39-4)),1),MesCiclo)),IF(ISNUMBER($AM39),DATE(YEAR($AM39),MONTH($AM39),1),IF(ISNUMBER($AN39),DATE(YEAR($AN39),MONTH($AN39),1),MesCiclo))))</f>
        <v/>
      </c>
      <c r="T39" s="62">
        <f>IF(OR($S39="",$S39&lt;&gt;MesCiclo,$V39&lt;&gt;"Macro"),"",COUNTIFS($S$5:$S39,MesCiclo,$V$5:$V39,"Macro"))</f>
        <v/>
      </c>
      <c r="U39" s="62">
        <f>IF($V39="","",IF($V39="Macro",ROW(),IFERROR(LOOKUP(2,1/($V$5:$V39="Macro"),ROW($V$5:$V39)),0)))</f>
        <v/>
      </c>
      <c r="V39" s="62">
        <f>IF(NOT((COUNTA($B39:$D39)+COUNTA($G39:$L39)+COUNTA($Q39))&gt;0),"",IF($B39="Subactividad","Sub","Macro"))</f>
        <v/>
      </c>
      <c r="W39" s="62">
        <f>IF($V39="Macro",COUNTIFS($U$5:$U$1000,ROW(),$V$5:$V$1000,"Sub"),"")</f>
        <v/>
      </c>
      <c r="X39" s="62">
        <f>IF($V39="","",IF(ISNUMBER($G39),1,IFERROR(LOOKUP(2,1/($I39:$L39&lt;&gt;""),$I39:$L39),0)))</f>
        <v/>
      </c>
      <c r="Y39" s="62">
        <f>IF($V39="","",IF(AND(ISNUMBER($G39),$G39&lt;=IF($S39=MesCiclo,InicioCiclo,$S39+MOD(2-WEEKDAY($S39),7))+6),1,IF(ISNUMBER($I39),$I39,0)))</f>
        <v/>
      </c>
      <c r="Z39" s="62">
        <f>IF($V39="","",IF(AND(ISNUMBER($G39),$G39&lt;=IF($S39=MesCiclo,InicioCiclo,$S39+MOD(2-WEEKDAY($S39),7))+13),1,IF(ISNUMBER($J39),$J39,$Y39)))</f>
        <v/>
      </c>
      <c r="AA39" s="62">
        <f>IF($V39="","",IF(AND(ISNUMBER($G39),$G39&lt;=IF($S39=MesCiclo,InicioCiclo,$S39+MOD(2-WEEKDAY($S39),7))+20),1,IF(ISNUMBER($K39),$K39,$Z39)))</f>
        <v/>
      </c>
      <c r="AB39" s="62">
        <f>IF($V39="","",IF(AND(ISNUMBER($G39),$G39&lt;=IF($S39=MesCiclo,InicioCiclo,$S39+MOD(2-WEEKDAY($S39),7))+27),1,IF(ISNUMBER($L39),$L39,$AA39)))</f>
        <v/>
      </c>
      <c r="AC39" s="62">
        <f>IF($V39="","",IF(AND(ISNUMBER($G39),$G39&lt;=IF($S39=MesCiclo,InicioCiclo,$S39+MOD(2-WEEKDAY($S39),7))+6),1,IF(N($W39)&gt;0,AVERAGEIFS($Y$5:$Y$1000,$U$5:$U$1000,ROW(),$V$5:$V$1000,"Sub"),$Y39)))</f>
        <v/>
      </c>
      <c r="AD39" s="62">
        <f>IF($V39="","",IF(AND(ISNUMBER($G39),$G39&lt;=IF($S39=MesCiclo,InicioCiclo,$S39+MOD(2-WEEKDAY($S39),7))+13),1,IF(N($W39)&gt;0,AVERAGEIFS($Z$5:$Z$1000,$U$5:$U$1000,ROW(),$V$5:$V$1000,"Sub"),$Z39)))</f>
        <v/>
      </c>
      <c r="AE39" s="62">
        <f>IF($V39="","",IF(AND(ISNUMBER($G39),$G39&lt;=IF($S39=MesCiclo,InicioCiclo,$S39+MOD(2-WEEKDAY($S39),7))+20),1,IF(N($W39)&gt;0,AVERAGEIFS($AA$5:$AA$1000,$U$5:$U$1000,ROW(),$V$5:$V$1000,"Sub"),$AA39)))</f>
        <v/>
      </c>
      <c r="AF39" s="62">
        <f>IF($V39="","",IF(AND(ISNUMBER($G39),$G39&lt;=IF($S39=MesCiclo,InicioCiclo,$S39+MOD(2-WEEKDAY($S39),7))+27),1,IF(N($W39)&gt;0,AVERAGEIFS($AB$5:$AB$1000,$U$5:$U$1000,ROW(),$V$5:$V$1000,"Sub"),$AB39)))</f>
        <v/>
      </c>
      <c r="AG39" s="62">
        <f>IF($V39&lt;&gt;"Macro","",IF(COUNTIFS($S$5:$S$1000,$S39,$V$5:$V$1000,"Macro",$H$5:$H$1000,"&gt;0")=0,1/COUNTIFS($S$5:$S$1000,$S39,$V$5:$V$1000,"Macro"),IF(AND(ISNUMBER($H39),N($H39)&gt;0),$H39,SUMIFS($H$5:$H$1000,$S$5:$S$1000,$S39,$V$5:$V$1000,"Macro")/COUNTIFS($S$5:$S$1000,$S39,$V$5:$V$1000,"Macro",$H$5:$H$1000,"&gt;0"))/(COUNTIFS($S$5:$S$1000,$S39,$V$5:$V$1000,"Macro")*SUMIFS($H$5:$H$1000,$S$5:$S$1000,$S39,$V$5:$V$1000,"Macro")/COUNTIFS($S$5:$S$1000,$S39,$V$5:$V$1000,"Macro",$H$5:$H$1000,"&gt;0"))))</f>
        <v/>
      </c>
      <c r="AH39" s="62" t="n"/>
      <c r="AI39" s="62" t="n"/>
      <c r="AJ39" s="62" t="n"/>
      <c r="AK39" s="62" t="n"/>
      <c r="AL39" s="62">
        <f>IF(LEFT($C39,11)="[Jefatura] ",IFERROR(MATCH("Riesgo Normativo|"&amp;MID($C39,12,500),rDname_ADM,0),0),"")</f>
        <v/>
      </c>
      <c r="AM39" s="62">
        <f>IF(N($AL39)&gt;0,INDEX(rIni_ADM,$AL39),IF(ISNUMBER($E39),$E39,""))</f>
        <v/>
      </c>
      <c r="AN39" s="62">
        <f>IF(N($AL39)&gt;0,INDEX(rLim_ADM,$AL39),IF(ISNUMBER($F39),$F39,""))</f>
        <v/>
      </c>
    </row>
    <row r="40">
      <c r="A40" s="56">
        <f>IF(NOT((COUNTA($B40:$D40)+COUNTA($G40:$L40)+COUNTA($Q40))&gt;0),"",IF($V40="Macro",COUNTIFS($V$5:$V40,"Macro",$S$5:$S40,$S40),IF(N($U40)=0,"?",COUNTIFS(INDEX($V$5:$V$1000,1):INDEX($V$5:$V$1000,$U40-4),"Macro",INDEX($S$5:$S$1000,1):INDEX($S$5:$S$1000,$U40-4),INDEX($S$5:$S$1000,$U40-4))&amp;"."&amp;COUNTIFS($U$5:$U40,$U40,$V$5:$V40,"Sub"))))</f>
        <v/>
      </c>
      <c r="B40" s="57" t="n"/>
      <c r="C40" s="58" t="n"/>
      <c r="D40" s="58" t="n"/>
      <c r="E40" s="59">
        <f>IF(N($AL40)&gt;0,INDEX(rIni_ADM,$AL40),"")</f>
        <v/>
      </c>
      <c r="F40" s="59">
        <f>IF(N($AL40)&gt;0,INDEX(rLim_ADM,$AL40),"")</f>
        <v/>
      </c>
      <c r="G40" s="59" t="n"/>
      <c r="H40" s="60" t="n"/>
      <c r="I40" s="60" t="n"/>
      <c r="J40" s="60" t="n"/>
      <c r="K40" s="60" t="n"/>
      <c r="L40" s="60" t="n"/>
      <c r="M40" s="61">
        <f>IF(NOT((COUNTA($B40:$D40)+COUNTA($G40:$L40)+COUNTA($Q40))&gt;0),"",IF($V40="Sub",IFERROR($X40/INDEX($W$5:$W$1000,$U40-4),""),IF(ISNUMBER($G40),1,IF(N($W40)&gt;0,AVERAGEIFS($X$5:$X$1000,$U$5:$U$1000,ROW(),$V$5:$V$1000,"Sub"),$X40))))</f>
        <v/>
      </c>
      <c r="N40" s="56">
        <f>IF(OR($M40="",$V40="Sub"),"",IF($M40&gt;=1,"Completado",IF($M40&gt;0,"En curso","Pendiente")))</f>
        <v/>
      </c>
      <c r="O40" s="56">
        <f>IF(OR(NOT((COUNTA($B40:$D40)+COUNTA($G40:$L40)+COUNTA($Q40))&gt;0),$V40="Sub"),"",IF(ISNUMBER($G40),IF(AND(ISNUMBER($AN40),$G40&gt;$AN40),"Cumplida con "&amp;($G40-$AN40)&amp;IF($G40-$AN40=1," día"," días")&amp;" de retraso","Cumplida"),IF(N($M40)&gt;=1,"Cumplida",IF(NOT(ISNUMBER($AN40)),"Sin fecha límite",IF($AN40&lt;FechaRef,"Vencida hace "&amp;(FechaRef-$AN40)&amp;IF(FechaRef-$AN40=1," día"," días"),IF($AN40=FechaRef,"Vence hoy",IF($AN40-FechaRef&lt;=DiasAlerta,"Vence en "&amp;($AN40-FechaRef)&amp;IF($AN40-FechaRef=1," día"," días"),"En plazo")))))))</f>
        <v/>
      </c>
      <c r="P40" s="62" t="n"/>
      <c r="Q40" s="58" t="n"/>
      <c r="R40" s="63">
        <f>IF(NOT((COUNTA($B40:$D40)+COUNTA($G40:$L40)+COUNTA($Q40))&gt;0),"",IF((IF($C40="","Falta el nombre de la actividad"&amp;" · ","")&amp;IF(AND($V40="Sub",N($U40)=0),"Subactividad sin macroactividad arriba"&amp;" · ","")&amp;IF($AM40="","Sin fecha de inicio"&amp;" · ","")&amp;IF($AN40="","Sin fecha límite"&amp;" · ","")&amp;IF(AND(LEFT($C40,11)="[Jefatura] ",N($AL40)=0),"No se encuentra en la hoja de la jefatura (elíjala de nuevo en la lista)"&amp;" · ","")&amp;IF(OR(AND($E40&lt;&gt;"",NOT(ISNUMBER($E40))),AND($F40&lt;&gt;"",NOT(ISNUMBER($F40))),AND($G40&lt;&gt;"",NOT(ISNUMBER($G40)))),"Fecha no válida"&amp;" · ","")&amp;IF(AND(ISNUMBER($AM40),ISNUMBER($AN40),$AM40&gt;$AN40),"Inicio posterior a fecha límite"&amp;" · ","")&amp;IF(AND($V40="Macro",$H40&lt;&gt;"",OR(NOT(ISNUMBER($H40)),$H40&lt;0,$H40&gt;1)),"Peso fuera de rango"&amp;" · ","")&amp;IF(AND($V40="Sub",$H40&lt;&gt;""),"Las subactividades no llevan peso (valen igual dentro de su macroactividad)"&amp;" · ","")&amp;IF(AND(N($W40)&gt;0,COUNT($I40:$L40)&gt;0),"Con subactividades: deje vacías las semanas (se calculan solas)"&amp;" · ","")&amp;IF((COUNTIF($I40:$L40,"&gt;1")+COUNTIF($I40:$L40,"&lt;0")+COUNTA($I40:$L40)-COUNT($I40:$L40))&gt;0,"Avance fuera de rango 0-100%"&amp;" · ","")&amp;IF(OR(AND($J40&lt;&gt;"",$J40&lt;$I40),AND($K40&lt;&gt;"",$K40&lt;MAX($I40:$J40)),AND($L40&lt;&gt;"",$L40&lt;MAX($I40:$K40))),"Avance semanal decreciente"&amp;" · ","")&amp;IF(AND(ISNUMBER($AN40),$AN40&lt;FechaRef,IF($V40="Sub",N($X40),N($M40))&lt;1),"Vencida"&amp;" · ","")&amp;IF(AND(ObsObligatoria="Sí",ISNUMBER($AN40),$AN40&lt;FechaRef,IF($V40="Sub",N($X40),N($M40))&lt;1,$Q40=""),"Vencida sin observación"&amp;" · ",""))="","✔ OK","⚠ "&amp;LEFT(IF($C40="","Falta el nombre de la actividad"&amp;" · ","")&amp;IF(AND($V40="Sub",N($U40)=0),"Subactividad sin macroactividad arriba"&amp;" · ","")&amp;IF($AM40="","Sin fecha de inicio"&amp;" · ","")&amp;IF($AN40="","Sin fecha límite"&amp;" · ","")&amp;IF(AND(LEFT($C40,11)="[Jefatura] ",N($AL40)=0),"No se encuentra en la hoja de la jefatura (elíjala de nuevo en la lista)"&amp;" · ","")&amp;IF(OR(AND($E40&lt;&gt;"",NOT(ISNUMBER($E40))),AND($F40&lt;&gt;"",NOT(ISNUMBER($F40))),AND($G40&lt;&gt;"",NOT(ISNUMBER($G40)))),"Fecha no válida"&amp;" · ","")&amp;IF(AND(ISNUMBER($AM40),ISNUMBER($AN40),$AM40&gt;$AN40),"Inicio posterior a fecha límite"&amp;" · ","")&amp;IF(AND($V40="Macro",$H40&lt;&gt;"",OR(NOT(ISNUMBER($H40)),$H40&lt;0,$H40&gt;1)),"Peso fuera de rango"&amp;" · ","")&amp;IF(AND($V40="Sub",$H40&lt;&gt;""),"Las subactividades no llevan peso (valen igual dentro de su macroactividad)"&amp;" · ","")&amp;IF(AND(N($W40)&gt;0,COUNT($I40:$L40)&gt;0),"Con subactividades: deje vacías las semanas (se calculan solas)"&amp;" · ","")&amp;IF((COUNTIF($I40:$L40,"&gt;1")+COUNTIF($I40:$L40,"&lt;0")+COUNTA($I40:$L40)-COUNT($I40:$L40))&gt;0,"Avance fuera de rango 0-100%"&amp;" · ","")&amp;IF(OR(AND($J40&lt;&gt;"",$J40&lt;$I40),AND($K40&lt;&gt;"",$K40&lt;MAX($I40:$J40)),AND($L40&lt;&gt;"",$L40&lt;MAX($I40:$K40))),"Avance semanal decreciente"&amp;" · ","")&amp;IF(AND(ISNUMBER($AN40),$AN40&lt;FechaRef,IF($V40="Sub",N($X40),N($M40))&lt;1),"Vencida"&amp;" · ","")&amp;IF(AND(ObsObligatoria="Sí",ISNUMBER($AN40),$AN40&lt;FechaRef,IF($V40="Sub",N($X40),N($M40))&lt;1,$Q40=""),"Vencida sin observación"&amp;" · ",""),LEN(IF($C40="","Falta el nombre de la actividad"&amp;" · ","")&amp;IF(AND($V40="Sub",N($U40)=0),"Subactividad sin macroactividad arriba"&amp;" · ","")&amp;IF($AM40="","Sin fecha de inicio"&amp;" · ","")&amp;IF($AN40="","Sin fecha límite"&amp;" · ","")&amp;IF(AND(LEFT($C40,11)="[Jefatura] ",N($AL40)=0),"No se encuentra en la hoja de la jefatura (elíjala de nuevo en la lista)"&amp;" · ","")&amp;IF(OR(AND($E40&lt;&gt;"",NOT(ISNUMBER($E40))),AND($F40&lt;&gt;"",NOT(ISNUMBER($F40))),AND($G40&lt;&gt;"",NOT(ISNUMBER($G40)))),"Fecha no válida"&amp;" · ","")&amp;IF(AND(ISNUMBER($AM40),ISNUMBER($AN40),$AM40&gt;$AN40),"Inicio posterior a fecha límite"&amp;" · ","")&amp;IF(AND($V40="Macro",$H40&lt;&gt;"",OR(NOT(ISNUMBER($H40)),$H40&lt;0,$H40&gt;1)),"Peso fuera de rango"&amp;" · ","")&amp;IF(AND($V40="Sub",$H40&lt;&gt;""),"Las subactividades no llevan peso (valen igual dentro de su macroactividad)"&amp;" · ","")&amp;IF(AND(N($W40)&gt;0,COUNT($I40:$L40)&gt;0),"Con subactividades: deje vacías las semanas (se calculan solas)"&amp;" · ","")&amp;IF((COUNTIF($I40:$L40,"&gt;1")+COUNTIF($I40:$L40,"&lt;0")+COUNTA($I40:$L40)-COUNT($I40:$L40))&gt;0,"Avance fuera de rango 0-100%"&amp;" · ","")&amp;IF(OR(AND($J40&lt;&gt;"",$J40&lt;$I40),AND($K40&lt;&gt;"",$K40&lt;MAX($I40:$J40)),AND($L40&lt;&gt;"",$L40&lt;MAX($I40:$K40))),"Avance semanal decreciente"&amp;" · ","")&amp;IF(AND(ISNUMBER($AN40),$AN40&lt;FechaRef,IF($V40="Sub",N($X40),N($M40))&lt;1),"Vencida"&amp;" · ","")&amp;IF(AND(ObsObligatoria="Sí",ISNUMBER($AN40),$AN40&lt;FechaRef,IF($V40="Sub",N($X40),N($M40))&lt;1,$Q40=""),"Vencida sin observación"&amp;" · ",""))-3)))</f>
        <v/>
      </c>
      <c r="S40" s="64">
        <f>IF(NOT((COUNTA($B40:$D40)+COUNTA($G40:$L40)+COUNTA($Q40))&gt;0),"",IF(AND($V40="Sub",N($U40)&gt;0),IF(ISNUMBER(INDEX($AM$5:$AM$1000,$U40-4)),DATE(YEAR(INDEX($AM$5:$AM$1000,$U40-4)),MONTH(INDEX($AM$5:$AM$1000,$U40-4)),1),IF(ISNUMBER(INDEX($AN$5:$AN$1000,$U40-4)),DATE(YEAR(INDEX($AN$5:$AN$1000,$U40-4)),MONTH(INDEX($AN$5:$AN$1000,$U40-4)),1),MesCiclo)),IF(ISNUMBER($AM40),DATE(YEAR($AM40),MONTH($AM40),1),IF(ISNUMBER($AN40),DATE(YEAR($AN40),MONTH($AN40),1),MesCiclo))))</f>
        <v/>
      </c>
      <c r="T40" s="62">
        <f>IF(OR($S40="",$S40&lt;&gt;MesCiclo,$V40&lt;&gt;"Macro"),"",COUNTIFS($S$5:$S40,MesCiclo,$V$5:$V40,"Macro"))</f>
        <v/>
      </c>
      <c r="U40" s="62">
        <f>IF($V40="","",IF($V40="Macro",ROW(),IFERROR(LOOKUP(2,1/($V$5:$V40="Macro"),ROW($V$5:$V40)),0)))</f>
        <v/>
      </c>
      <c r="V40" s="62">
        <f>IF(NOT((COUNTA($B40:$D40)+COUNTA($G40:$L40)+COUNTA($Q40))&gt;0),"",IF($B40="Subactividad","Sub","Macro"))</f>
        <v/>
      </c>
      <c r="W40" s="62">
        <f>IF($V40="Macro",COUNTIFS($U$5:$U$1000,ROW(),$V$5:$V$1000,"Sub"),"")</f>
        <v/>
      </c>
      <c r="X40" s="62">
        <f>IF($V40="","",IF(ISNUMBER($G40),1,IFERROR(LOOKUP(2,1/($I40:$L40&lt;&gt;""),$I40:$L40),0)))</f>
        <v/>
      </c>
      <c r="Y40" s="62">
        <f>IF($V40="","",IF(AND(ISNUMBER($G40),$G40&lt;=IF($S40=MesCiclo,InicioCiclo,$S40+MOD(2-WEEKDAY($S40),7))+6),1,IF(ISNUMBER($I40),$I40,0)))</f>
        <v/>
      </c>
      <c r="Z40" s="62">
        <f>IF($V40="","",IF(AND(ISNUMBER($G40),$G40&lt;=IF($S40=MesCiclo,InicioCiclo,$S40+MOD(2-WEEKDAY($S40),7))+13),1,IF(ISNUMBER($J40),$J40,$Y40)))</f>
        <v/>
      </c>
      <c r="AA40" s="62">
        <f>IF($V40="","",IF(AND(ISNUMBER($G40),$G40&lt;=IF($S40=MesCiclo,InicioCiclo,$S40+MOD(2-WEEKDAY($S40),7))+20),1,IF(ISNUMBER($K40),$K40,$Z40)))</f>
        <v/>
      </c>
      <c r="AB40" s="62">
        <f>IF($V40="","",IF(AND(ISNUMBER($G40),$G40&lt;=IF($S40=MesCiclo,InicioCiclo,$S40+MOD(2-WEEKDAY($S40),7))+27),1,IF(ISNUMBER($L40),$L40,$AA40)))</f>
        <v/>
      </c>
      <c r="AC40" s="62">
        <f>IF($V40="","",IF(AND(ISNUMBER($G40),$G40&lt;=IF($S40=MesCiclo,InicioCiclo,$S40+MOD(2-WEEKDAY($S40),7))+6),1,IF(N($W40)&gt;0,AVERAGEIFS($Y$5:$Y$1000,$U$5:$U$1000,ROW(),$V$5:$V$1000,"Sub"),$Y40)))</f>
        <v/>
      </c>
      <c r="AD40" s="62">
        <f>IF($V40="","",IF(AND(ISNUMBER($G40),$G40&lt;=IF($S40=MesCiclo,InicioCiclo,$S40+MOD(2-WEEKDAY($S40),7))+13),1,IF(N($W40)&gt;0,AVERAGEIFS($Z$5:$Z$1000,$U$5:$U$1000,ROW(),$V$5:$V$1000,"Sub"),$Z40)))</f>
        <v/>
      </c>
      <c r="AE40" s="62">
        <f>IF($V40="","",IF(AND(ISNUMBER($G40),$G40&lt;=IF($S40=MesCiclo,InicioCiclo,$S40+MOD(2-WEEKDAY($S40),7))+20),1,IF(N($W40)&gt;0,AVERAGEIFS($AA$5:$AA$1000,$U$5:$U$1000,ROW(),$V$5:$V$1000,"Sub"),$AA40)))</f>
        <v/>
      </c>
      <c r="AF40" s="62">
        <f>IF($V40="","",IF(AND(ISNUMBER($G40),$G40&lt;=IF($S40=MesCiclo,InicioCiclo,$S40+MOD(2-WEEKDAY($S40),7))+27),1,IF(N($W40)&gt;0,AVERAGEIFS($AB$5:$AB$1000,$U$5:$U$1000,ROW(),$V$5:$V$1000,"Sub"),$AB40)))</f>
        <v/>
      </c>
      <c r="AG40" s="62">
        <f>IF($V40&lt;&gt;"Macro","",IF(COUNTIFS($S$5:$S$1000,$S40,$V$5:$V$1000,"Macro",$H$5:$H$1000,"&gt;0")=0,1/COUNTIFS($S$5:$S$1000,$S40,$V$5:$V$1000,"Macro"),IF(AND(ISNUMBER($H40),N($H40)&gt;0),$H40,SUMIFS($H$5:$H$1000,$S$5:$S$1000,$S40,$V$5:$V$1000,"Macro")/COUNTIFS($S$5:$S$1000,$S40,$V$5:$V$1000,"Macro",$H$5:$H$1000,"&gt;0"))/(COUNTIFS($S$5:$S$1000,$S40,$V$5:$V$1000,"Macro")*SUMIFS($H$5:$H$1000,$S$5:$S$1000,$S40,$V$5:$V$1000,"Macro")/COUNTIFS($S$5:$S$1000,$S40,$V$5:$V$1000,"Macro",$H$5:$H$1000,"&gt;0"))))</f>
        <v/>
      </c>
      <c r="AH40" s="62" t="n"/>
      <c r="AI40" s="62" t="n"/>
      <c r="AJ40" s="62" t="n"/>
      <c r="AK40" s="62" t="n"/>
      <c r="AL40" s="62">
        <f>IF(LEFT($C40,11)="[Jefatura] ",IFERROR(MATCH("Riesgo Normativo|"&amp;MID($C40,12,500),rDname_ADM,0),0),"")</f>
        <v/>
      </c>
      <c r="AM40" s="62">
        <f>IF(N($AL40)&gt;0,INDEX(rIni_ADM,$AL40),IF(ISNUMBER($E40),$E40,""))</f>
        <v/>
      </c>
      <c r="AN40" s="62">
        <f>IF(N($AL40)&gt;0,INDEX(rLim_ADM,$AL40),IF(ISNUMBER($F40),$F40,""))</f>
        <v/>
      </c>
    </row>
    <row r="41">
      <c r="A41" s="56">
        <f>IF(NOT((COUNTA($B41:$D41)+COUNTA($G41:$L41)+COUNTA($Q41))&gt;0),"",IF($V41="Macro",COUNTIFS($V$5:$V41,"Macro",$S$5:$S41,$S41),IF(N($U41)=0,"?",COUNTIFS(INDEX($V$5:$V$1000,1):INDEX($V$5:$V$1000,$U41-4),"Macro",INDEX($S$5:$S$1000,1):INDEX($S$5:$S$1000,$U41-4),INDEX($S$5:$S$1000,$U41-4))&amp;"."&amp;COUNTIFS($U$5:$U41,$U41,$V$5:$V41,"Sub"))))</f>
        <v/>
      </c>
      <c r="B41" s="57" t="n"/>
      <c r="C41" s="58" t="n"/>
      <c r="D41" s="58" t="n"/>
      <c r="E41" s="59">
        <f>IF(N($AL41)&gt;0,INDEX(rIni_ADM,$AL41),"")</f>
        <v/>
      </c>
      <c r="F41" s="59">
        <f>IF(N($AL41)&gt;0,INDEX(rLim_ADM,$AL41),"")</f>
        <v/>
      </c>
      <c r="G41" s="59" t="n"/>
      <c r="H41" s="60" t="n"/>
      <c r="I41" s="60" t="n"/>
      <c r="J41" s="60" t="n"/>
      <c r="K41" s="60" t="n"/>
      <c r="L41" s="60" t="n"/>
      <c r="M41" s="61">
        <f>IF(NOT((COUNTA($B41:$D41)+COUNTA($G41:$L41)+COUNTA($Q41))&gt;0),"",IF($V41="Sub",IFERROR($X41/INDEX($W$5:$W$1000,$U41-4),""),IF(ISNUMBER($G41),1,IF(N($W41)&gt;0,AVERAGEIFS($X$5:$X$1000,$U$5:$U$1000,ROW(),$V$5:$V$1000,"Sub"),$X41))))</f>
        <v/>
      </c>
      <c r="N41" s="56">
        <f>IF(OR($M41="",$V41="Sub"),"",IF($M41&gt;=1,"Completado",IF($M41&gt;0,"En curso","Pendiente")))</f>
        <v/>
      </c>
      <c r="O41" s="56">
        <f>IF(OR(NOT((COUNTA($B41:$D41)+COUNTA($G41:$L41)+COUNTA($Q41))&gt;0),$V41="Sub"),"",IF(ISNUMBER($G41),IF(AND(ISNUMBER($AN41),$G41&gt;$AN41),"Cumplida con "&amp;($G41-$AN41)&amp;IF($G41-$AN41=1," día"," días")&amp;" de retraso","Cumplida"),IF(N($M41)&gt;=1,"Cumplida",IF(NOT(ISNUMBER($AN41)),"Sin fecha límite",IF($AN41&lt;FechaRef,"Vencida hace "&amp;(FechaRef-$AN41)&amp;IF(FechaRef-$AN41=1," día"," días"),IF($AN41=FechaRef,"Vence hoy",IF($AN41-FechaRef&lt;=DiasAlerta,"Vence en "&amp;($AN41-FechaRef)&amp;IF($AN41-FechaRef=1," día"," días"),"En plazo")))))))</f>
        <v/>
      </c>
      <c r="P41" s="62" t="n"/>
      <c r="Q41" s="58" t="n"/>
      <c r="R41" s="63">
        <f>IF(NOT((COUNTA($B41:$D41)+COUNTA($G41:$L41)+COUNTA($Q41))&gt;0),"",IF((IF($C41="","Falta el nombre de la actividad"&amp;" · ","")&amp;IF(AND($V41="Sub",N($U41)=0),"Subactividad sin macroactividad arriba"&amp;" · ","")&amp;IF($AM41="","Sin fecha de inicio"&amp;" · ","")&amp;IF($AN41="","Sin fecha límite"&amp;" · ","")&amp;IF(AND(LEFT($C41,11)="[Jefatura] ",N($AL41)=0),"No se encuentra en la hoja de la jefatura (elíjala de nuevo en la lista)"&amp;" · ","")&amp;IF(OR(AND($E41&lt;&gt;"",NOT(ISNUMBER($E41))),AND($F41&lt;&gt;"",NOT(ISNUMBER($F41))),AND($G41&lt;&gt;"",NOT(ISNUMBER($G41)))),"Fecha no válida"&amp;" · ","")&amp;IF(AND(ISNUMBER($AM41),ISNUMBER($AN41),$AM41&gt;$AN41),"Inicio posterior a fecha límite"&amp;" · ","")&amp;IF(AND($V41="Macro",$H41&lt;&gt;"",OR(NOT(ISNUMBER($H41)),$H41&lt;0,$H41&gt;1)),"Peso fuera de rango"&amp;" · ","")&amp;IF(AND($V41="Sub",$H41&lt;&gt;""),"Las subactividades no llevan peso (valen igual dentro de su macroactividad)"&amp;" · ","")&amp;IF(AND(N($W41)&gt;0,COUNT($I41:$L41)&gt;0),"Con subactividades: deje vacías las semanas (se calculan solas)"&amp;" · ","")&amp;IF((COUNTIF($I41:$L41,"&gt;1")+COUNTIF($I41:$L41,"&lt;0")+COUNTA($I41:$L41)-COUNT($I41:$L41))&gt;0,"Avance fuera de rango 0-100%"&amp;" · ","")&amp;IF(OR(AND($J41&lt;&gt;"",$J41&lt;$I41),AND($K41&lt;&gt;"",$K41&lt;MAX($I41:$J41)),AND($L41&lt;&gt;"",$L41&lt;MAX($I41:$K41))),"Avance semanal decreciente"&amp;" · ","")&amp;IF(AND(ISNUMBER($AN41),$AN41&lt;FechaRef,IF($V41="Sub",N($X41),N($M41))&lt;1),"Vencida"&amp;" · ","")&amp;IF(AND(ObsObligatoria="Sí",ISNUMBER($AN41),$AN41&lt;FechaRef,IF($V41="Sub",N($X41),N($M41))&lt;1,$Q41=""),"Vencida sin observación"&amp;" · ",""))="","✔ OK","⚠ "&amp;LEFT(IF($C41="","Falta el nombre de la actividad"&amp;" · ","")&amp;IF(AND($V41="Sub",N($U41)=0),"Subactividad sin macroactividad arriba"&amp;" · ","")&amp;IF($AM41="","Sin fecha de inicio"&amp;" · ","")&amp;IF($AN41="","Sin fecha límite"&amp;" · ","")&amp;IF(AND(LEFT($C41,11)="[Jefatura] ",N($AL41)=0),"No se encuentra en la hoja de la jefatura (elíjala de nuevo en la lista)"&amp;" · ","")&amp;IF(OR(AND($E41&lt;&gt;"",NOT(ISNUMBER($E41))),AND($F41&lt;&gt;"",NOT(ISNUMBER($F41))),AND($G41&lt;&gt;"",NOT(ISNUMBER($G41)))),"Fecha no válida"&amp;" · ","")&amp;IF(AND(ISNUMBER($AM41),ISNUMBER($AN41),$AM41&gt;$AN41),"Inicio posterior a fecha límite"&amp;" · ","")&amp;IF(AND($V41="Macro",$H41&lt;&gt;"",OR(NOT(ISNUMBER($H41)),$H41&lt;0,$H41&gt;1)),"Peso fuera de rango"&amp;" · ","")&amp;IF(AND($V41="Sub",$H41&lt;&gt;""),"Las subactividades no llevan peso (valen igual dentro de su macroactividad)"&amp;" · ","")&amp;IF(AND(N($W41)&gt;0,COUNT($I41:$L41)&gt;0),"Con subactividades: deje vacías las semanas (se calculan solas)"&amp;" · ","")&amp;IF((COUNTIF($I41:$L41,"&gt;1")+COUNTIF($I41:$L41,"&lt;0")+COUNTA($I41:$L41)-COUNT($I41:$L41))&gt;0,"Avance fuera de rango 0-100%"&amp;" · ","")&amp;IF(OR(AND($J41&lt;&gt;"",$J41&lt;$I41),AND($K41&lt;&gt;"",$K41&lt;MAX($I41:$J41)),AND($L41&lt;&gt;"",$L41&lt;MAX($I41:$K41))),"Avance semanal decreciente"&amp;" · ","")&amp;IF(AND(ISNUMBER($AN41),$AN41&lt;FechaRef,IF($V41="Sub",N($X41),N($M41))&lt;1),"Vencida"&amp;" · ","")&amp;IF(AND(ObsObligatoria="Sí",ISNUMBER($AN41),$AN41&lt;FechaRef,IF($V41="Sub",N($X41),N($M41))&lt;1,$Q41=""),"Vencida sin observación"&amp;" · ",""),LEN(IF($C41="","Falta el nombre de la actividad"&amp;" · ","")&amp;IF(AND($V41="Sub",N($U41)=0),"Subactividad sin macroactividad arriba"&amp;" · ","")&amp;IF($AM41="","Sin fecha de inicio"&amp;" · ","")&amp;IF($AN41="","Sin fecha límite"&amp;" · ","")&amp;IF(AND(LEFT($C41,11)="[Jefatura] ",N($AL41)=0),"No se encuentra en la hoja de la jefatura (elíjala de nuevo en la lista)"&amp;" · ","")&amp;IF(OR(AND($E41&lt;&gt;"",NOT(ISNUMBER($E41))),AND($F41&lt;&gt;"",NOT(ISNUMBER($F41))),AND($G41&lt;&gt;"",NOT(ISNUMBER($G41)))),"Fecha no válida"&amp;" · ","")&amp;IF(AND(ISNUMBER($AM41),ISNUMBER($AN41),$AM41&gt;$AN41),"Inicio posterior a fecha límite"&amp;" · ","")&amp;IF(AND($V41="Macro",$H41&lt;&gt;"",OR(NOT(ISNUMBER($H41)),$H41&lt;0,$H41&gt;1)),"Peso fuera de rango"&amp;" · ","")&amp;IF(AND($V41="Sub",$H41&lt;&gt;""),"Las subactividades no llevan peso (valen igual dentro de su macroactividad)"&amp;" · ","")&amp;IF(AND(N($W41)&gt;0,COUNT($I41:$L41)&gt;0),"Con subactividades: deje vacías las semanas (se calculan solas)"&amp;" · ","")&amp;IF((COUNTIF($I41:$L41,"&gt;1")+COUNTIF($I41:$L41,"&lt;0")+COUNTA($I41:$L41)-COUNT($I41:$L41))&gt;0,"Avance fuera de rango 0-100%"&amp;" · ","")&amp;IF(OR(AND($J41&lt;&gt;"",$J41&lt;$I41),AND($K41&lt;&gt;"",$K41&lt;MAX($I41:$J41)),AND($L41&lt;&gt;"",$L41&lt;MAX($I41:$K41))),"Avance semanal decreciente"&amp;" · ","")&amp;IF(AND(ISNUMBER($AN41),$AN41&lt;FechaRef,IF($V41="Sub",N($X41),N($M41))&lt;1),"Vencida"&amp;" · ","")&amp;IF(AND(ObsObligatoria="Sí",ISNUMBER($AN41),$AN41&lt;FechaRef,IF($V41="Sub",N($X41),N($M41))&lt;1,$Q41=""),"Vencida sin observación"&amp;" · ",""))-3)))</f>
        <v/>
      </c>
      <c r="S41" s="64">
        <f>IF(NOT((COUNTA($B41:$D41)+COUNTA($G41:$L41)+COUNTA($Q41))&gt;0),"",IF(AND($V41="Sub",N($U41)&gt;0),IF(ISNUMBER(INDEX($AM$5:$AM$1000,$U41-4)),DATE(YEAR(INDEX($AM$5:$AM$1000,$U41-4)),MONTH(INDEX($AM$5:$AM$1000,$U41-4)),1),IF(ISNUMBER(INDEX($AN$5:$AN$1000,$U41-4)),DATE(YEAR(INDEX($AN$5:$AN$1000,$U41-4)),MONTH(INDEX($AN$5:$AN$1000,$U41-4)),1),MesCiclo)),IF(ISNUMBER($AM41),DATE(YEAR($AM41),MONTH($AM41),1),IF(ISNUMBER($AN41),DATE(YEAR($AN41),MONTH($AN41),1),MesCiclo))))</f>
        <v/>
      </c>
      <c r="T41" s="62">
        <f>IF(OR($S41="",$S41&lt;&gt;MesCiclo,$V41&lt;&gt;"Macro"),"",COUNTIFS($S$5:$S41,MesCiclo,$V$5:$V41,"Macro"))</f>
        <v/>
      </c>
      <c r="U41" s="62">
        <f>IF($V41="","",IF($V41="Macro",ROW(),IFERROR(LOOKUP(2,1/($V$5:$V41="Macro"),ROW($V$5:$V41)),0)))</f>
        <v/>
      </c>
      <c r="V41" s="62">
        <f>IF(NOT((COUNTA($B41:$D41)+COUNTA($G41:$L41)+COUNTA($Q41))&gt;0),"",IF($B41="Subactividad","Sub","Macro"))</f>
        <v/>
      </c>
      <c r="W41" s="62">
        <f>IF($V41="Macro",COUNTIFS($U$5:$U$1000,ROW(),$V$5:$V$1000,"Sub"),"")</f>
        <v/>
      </c>
      <c r="X41" s="62">
        <f>IF($V41="","",IF(ISNUMBER($G41),1,IFERROR(LOOKUP(2,1/($I41:$L41&lt;&gt;""),$I41:$L41),0)))</f>
        <v/>
      </c>
      <c r="Y41" s="62">
        <f>IF($V41="","",IF(AND(ISNUMBER($G41),$G41&lt;=IF($S41=MesCiclo,InicioCiclo,$S41+MOD(2-WEEKDAY($S41),7))+6),1,IF(ISNUMBER($I41),$I41,0)))</f>
        <v/>
      </c>
      <c r="Z41" s="62">
        <f>IF($V41="","",IF(AND(ISNUMBER($G41),$G41&lt;=IF($S41=MesCiclo,InicioCiclo,$S41+MOD(2-WEEKDAY($S41),7))+13),1,IF(ISNUMBER($J41),$J41,$Y41)))</f>
        <v/>
      </c>
      <c r="AA41" s="62">
        <f>IF($V41="","",IF(AND(ISNUMBER($G41),$G41&lt;=IF($S41=MesCiclo,InicioCiclo,$S41+MOD(2-WEEKDAY($S41),7))+20),1,IF(ISNUMBER($K41),$K41,$Z41)))</f>
        <v/>
      </c>
      <c r="AB41" s="62">
        <f>IF($V41="","",IF(AND(ISNUMBER($G41),$G41&lt;=IF($S41=MesCiclo,InicioCiclo,$S41+MOD(2-WEEKDAY($S41),7))+27),1,IF(ISNUMBER($L41),$L41,$AA41)))</f>
        <v/>
      </c>
      <c r="AC41" s="62">
        <f>IF($V41="","",IF(AND(ISNUMBER($G41),$G41&lt;=IF($S41=MesCiclo,InicioCiclo,$S41+MOD(2-WEEKDAY($S41),7))+6),1,IF(N($W41)&gt;0,AVERAGEIFS($Y$5:$Y$1000,$U$5:$U$1000,ROW(),$V$5:$V$1000,"Sub"),$Y41)))</f>
        <v/>
      </c>
      <c r="AD41" s="62">
        <f>IF($V41="","",IF(AND(ISNUMBER($G41),$G41&lt;=IF($S41=MesCiclo,InicioCiclo,$S41+MOD(2-WEEKDAY($S41),7))+13),1,IF(N($W41)&gt;0,AVERAGEIFS($Z$5:$Z$1000,$U$5:$U$1000,ROW(),$V$5:$V$1000,"Sub"),$Z41)))</f>
        <v/>
      </c>
      <c r="AE41" s="62">
        <f>IF($V41="","",IF(AND(ISNUMBER($G41),$G41&lt;=IF($S41=MesCiclo,InicioCiclo,$S41+MOD(2-WEEKDAY($S41),7))+20),1,IF(N($W41)&gt;0,AVERAGEIFS($AA$5:$AA$1000,$U$5:$U$1000,ROW(),$V$5:$V$1000,"Sub"),$AA41)))</f>
        <v/>
      </c>
      <c r="AF41" s="62">
        <f>IF($V41="","",IF(AND(ISNUMBER($G41),$G41&lt;=IF($S41=MesCiclo,InicioCiclo,$S41+MOD(2-WEEKDAY($S41),7))+27),1,IF(N($W41)&gt;0,AVERAGEIFS($AB$5:$AB$1000,$U$5:$U$1000,ROW(),$V$5:$V$1000,"Sub"),$AB41)))</f>
        <v/>
      </c>
      <c r="AG41" s="62">
        <f>IF($V41&lt;&gt;"Macro","",IF(COUNTIFS($S$5:$S$1000,$S41,$V$5:$V$1000,"Macro",$H$5:$H$1000,"&gt;0")=0,1/COUNTIFS($S$5:$S$1000,$S41,$V$5:$V$1000,"Macro"),IF(AND(ISNUMBER($H41),N($H41)&gt;0),$H41,SUMIFS($H$5:$H$1000,$S$5:$S$1000,$S41,$V$5:$V$1000,"Macro")/COUNTIFS($S$5:$S$1000,$S41,$V$5:$V$1000,"Macro",$H$5:$H$1000,"&gt;0"))/(COUNTIFS($S$5:$S$1000,$S41,$V$5:$V$1000,"Macro")*SUMIFS($H$5:$H$1000,$S$5:$S$1000,$S41,$V$5:$V$1000,"Macro")/COUNTIFS($S$5:$S$1000,$S41,$V$5:$V$1000,"Macro",$H$5:$H$1000,"&gt;0"))))</f>
        <v/>
      </c>
      <c r="AH41" s="62" t="n"/>
      <c r="AI41" s="62" t="n"/>
      <c r="AJ41" s="62" t="n"/>
      <c r="AK41" s="62" t="n"/>
      <c r="AL41" s="62">
        <f>IF(LEFT($C41,11)="[Jefatura] ",IFERROR(MATCH("Riesgo Normativo|"&amp;MID($C41,12,500),rDname_ADM,0),0),"")</f>
        <v/>
      </c>
      <c r="AM41" s="62">
        <f>IF(N($AL41)&gt;0,INDEX(rIni_ADM,$AL41),IF(ISNUMBER($E41),$E41,""))</f>
        <v/>
      </c>
      <c r="AN41" s="62">
        <f>IF(N($AL41)&gt;0,INDEX(rLim_ADM,$AL41),IF(ISNUMBER($F41),$F41,""))</f>
        <v/>
      </c>
    </row>
    <row r="42">
      <c r="A42" s="56">
        <f>IF(NOT((COUNTA($B42:$D42)+COUNTA($G42:$L42)+COUNTA($Q42))&gt;0),"",IF($V42="Macro",COUNTIFS($V$5:$V42,"Macro",$S$5:$S42,$S42),IF(N($U42)=0,"?",COUNTIFS(INDEX($V$5:$V$1000,1):INDEX($V$5:$V$1000,$U42-4),"Macro",INDEX($S$5:$S$1000,1):INDEX($S$5:$S$1000,$U42-4),INDEX($S$5:$S$1000,$U42-4))&amp;"."&amp;COUNTIFS($U$5:$U42,$U42,$V$5:$V42,"Sub"))))</f>
        <v/>
      </c>
      <c r="B42" s="57" t="n"/>
      <c r="C42" s="58" t="n"/>
      <c r="D42" s="58" t="n"/>
      <c r="E42" s="59">
        <f>IF(N($AL42)&gt;0,INDEX(rIni_ADM,$AL42),"")</f>
        <v/>
      </c>
      <c r="F42" s="59">
        <f>IF(N($AL42)&gt;0,INDEX(rLim_ADM,$AL42),"")</f>
        <v/>
      </c>
      <c r="G42" s="59" t="n"/>
      <c r="H42" s="60" t="n"/>
      <c r="I42" s="60" t="n"/>
      <c r="J42" s="60" t="n"/>
      <c r="K42" s="60" t="n"/>
      <c r="L42" s="60" t="n"/>
      <c r="M42" s="61">
        <f>IF(NOT((COUNTA($B42:$D42)+COUNTA($G42:$L42)+COUNTA($Q42))&gt;0),"",IF($V42="Sub",IFERROR($X42/INDEX($W$5:$W$1000,$U42-4),""),IF(ISNUMBER($G42),1,IF(N($W42)&gt;0,AVERAGEIFS($X$5:$X$1000,$U$5:$U$1000,ROW(),$V$5:$V$1000,"Sub"),$X42))))</f>
        <v/>
      </c>
      <c r="N42" s="56">
        <f>IF(OR($M42="",$V42="Sub"),"",IF($M42&gt;=1,"Completado",IF($M42&gt;0,"En curso","Pendiente")))</f>
        <v/>
      </c>
      <c r="O42" s="56">
        <f>IF(OR(NOT((COUNTA($B42:$D42)+COUNTA($G42:$L42)+COUNTA($Q42))&gt;0),$V42="Sub"),"",IF(ISNUMBER($G42),IF(AND(ISNUMBER($AN42),$G42&gt;$AN42),"Cumplida con "&amp;($G42-$AN42)&amp;IF($G42-$AN42=1," día"," días")&amp;" de retraso","Cumplida"),IF(N($M42)&gt;=1,"Cumplida",IF(NOT(ISNUMBER($AN42)),"Sin fecha límite",IF($AN42&lt;FechaRef,"Vencida hace "&amp;(FechaRef-$AN42)&amp;IF(FechaRef-$AN42=1," día"," días"),IF($AN42=FechaRef,"Vence hoy",IF($AN42-FechaRef&lt;=DiasAlerta,"Vence en "&amp;($AN42-FechaRef)&amp;IF($AN42-FechaRef=1," día"," días"),"En plazo")))))))</f>
        <v/>
      </c>
      <c r="P42" s="62" t="n"/>
      <c r="Q42" s="58" t="n"/>
      <c r="R42" s="63">
        <f>IF(NOT((COUNTA($B42:$D42)+COUNTA($G42:$L42)+COUNTA($Q42))&gt;0),"",IF((IF($C42="","Falta el nombre de la actividad"&amp;" · ","")&amp;IF(AND($V42="Sub",N($U42)=0),"Subactividad sin macroactividad arriba"&amp;" · ","")&amp;IF($AM42="","Sin fecha de inicio"&amp;" · ","")&amp;IF($AN42="","Sin fecha límite"&amp;" · ","")&amp;IF(AND(LEFT($C42,11)="[Jefatura] ",N($AL42)=0),"No se encuentra en la hoja de la jefatura (elíjala de nuevo en la lista)"&amp;" · ","")&amp;IF(OR(AND($E42&lt;&gt;"",NOT(ISNUMBER($E42))),AND($F42&lt;&gt;"",NOT(ISNUMBER($F42))),AND($G42&lt;&gt;"",NOT(ISNUMBER($G42)))),"Fecha no válida"&amp;" · ","")&amp;IF(AND(ISNUMBER($AM42),ISNUMBER($AN42),$AM42&gt;$AN42),"Inicio posterior a fecha límite"&amp;" · ","")&amp;IF(AND($V42="Macro",$H42&lt;&gt;"",OR(NOT(ISNUMBER($H42)),$H42&lt;0,$H42&gt;1)),"Peso fuera de rango"&amp;" · ","")&amp;IF(AND($V42="Sub",$H42&lt;&gt;""),"Las subactividades no llevan peso (valen igual dentro de su macroactividad)"&amp;" · ","")&amp;IF(AND(N($W42)&gt;0,COUNT($I42:$L42)&gt;0),"Con subactividades: deje vacías las semanas (se calculan solas)"&amp;" · ","")&amp;IF((COUNTIF($I42:$L42,"&gt;1")+COUNTIF($I42:$L42,"&lt;0")+COUNTA($I42:$L42)-COUNT($I42:$L42))&gt;0,"Avance fuera de rango 0-100%"&amp;" · ","")&amp;IF(OR(AND($J42&lt;&gt;"",$J42&lt;$I42),AND($K42&lt;&gt;"",$K42&lt;MAX($I42:$J42)),AND($L42&lt;&gt;"",$L42&lt;MAX($I42:$K42))),"Avance semanal decreciente"&amp;" · ","")&amp;IF(AND(ISNUMBER($AN42),$AN42&lt;FechaRef,IF($V42="Sub",N($X42),N($M42))&lt;1),"Vencida"&amp;" · ","")&amp;IF(AND(ObsObligatoria="Sí",ISNUMBER($AN42),$AN42&lt;FechaRef,IF($V42="Sub",N($X42),N($M42))&lt;1,$Q42=""),"Vencida sin observación"&amp;" · ",""))="","✔ OK","⚠ "&amp;LEFT(IF($C42="","Falta el nombre de la actividad"&amp;" · ","")&amp;IF(AND($V42="Sub",N($U42)=0),"Subactividad sin macroactividad arriba"&amp;" · ","")&amp;IF($AM42="","Sin fecha de inicio"&amp;" · ","")&amp;IF($AN42="","Sin fecha límite"&amp;" · ","")&amp;IF(AND(LEFT($C42,11)="[Jefatura] ",N($AL42)=0),"No se encuentra en la hoja de la jefatura (elíjala de nuevo en la lista)"&amp;" · ","")&amp;IF(OR(AND($E42&lt;&gt;"",NOT(ISNUMBER($E42))),AND($F42&lt;&gt;"",NOT(ISNUMBER($F42))),AND($G42&lt;&gt;"",NOT(ISNUMBER($G42)))),"Fecha no válida"&amp;" · ","")&amp;IF(AND(ISNUMBER($AM42),ISNUMBER($AN42),$AM42&gt;$AN42),"Inicio posterior a fecha límite"&amp;" · ","")&amp;IF(AND($V42="Macro",$H42&lt;&gt;"",OR(NOT(ISNUMBER($H42)),$H42&lt;0,$H42&gt;1)),"Peso fuera de rango"&amp;" · ","")&amp;IF(AND($V42="Sub",$H42&lt;&gt;""),"Las subactividades no llevan peso (valen igual dentro de su macroactividad)"&amp;" · ","")&amp;IF(AND(N($W42)&gt;0,COUNT($I42:$L42)&gt;0),"Con subactividades: deje vacías las semanas (se calculan solas)"&amp;" · ","")&amp;IF((COUNTIF($I42:$L42,"&gt;1")+COUNTIF($I42:$L42,"&lt;0")+COUNTA($I42:$L42)-COUNT($I42:$L42))&gt;0,"Avance fuera de rango 0-100%"&amp;" · ","")&amp;IF(OR(AND($J42&lt;&gt;"",$J42&lt;$I42),AND($K42&lt;&gt;"",$K42&lt;MAX($I42:$J42)),AND($L42&lt;&gt;"",$L42&lt;MAX($I42:$K42))),"Avance semanal decreciente"&amp;" · ","")&amp;IF(AND(ISNUMBER($AN42),$AN42&lt;FechaRef,IF($V42="Sub",N($X42),N($M42))&lt;1),"Vencida"&amp;" · ","")&amp;IF(AND(ObsObligatoria="Sí",ISNUMBER($AN42),$AN42&lt;FechaRef,IF($V42="Sub",N($X42),N($M42))&lt;1,$Q42=""),"Vencida sin observación"&amp;" · ",""),LEN(IF($C42="","Falta el nombre de la actividad"&amp;" · ","")&amp;IF(AND($V42="Sub",N($U42)=0),"Subactividad sin macroactividad arriba"&amp;" · ","")&amp;IF($AM42="","Sin fecha de inicio"&amp;" · ","")&amp;IF($AN42="","Sin fecha límite"&amp;" · ","")&amp;IF(AND(LEFT($C42,11)="[Jefatura] ",N($AL42)=0),"No se encuentra en la hoja de la jefatura (elíjala de nuevo en la lista)"&amp;" · ","")&amp;IF(OR(AND($E42&lt;&gt;"",NOT(ISNUMBER($E42))),AND($F42&lt;&gt;"",NOT(ISNUMBER($F42))),AND($G42&lt;&gt;"",NOT(ISNUMBER($G42)))),"Fecha no válida"&amp;" · ","")&amp;IF(AND(ISNUMBER($AM42),ISNUMBER($AN42),$AM42&gt;$AN42),"Inicio posterior a fecha límite"&amp;" · ","")&amp;IF(AND($V42="Macro",$H42&lt;&gt;"",OR(NOT(ISNUMBER($H42)),$H42&lt;0,$H42&gt;1)),"Peso fuera de rango"&amp;" · ","")&amp;IF(AND($V42="Sub",$H42&lt;&gt;""),"Las subactividades no llevan peso (valen igual dentro de su macroactividad)"&amp;" · ","")&amp;IF(AND(N($W42)&gt;0,COUNT($I42:$L42)&gt;0),"Con subactividades: deje vacías las semanas (se calculan solas)"&amp;" · ","")&amp;IF((COUNTIF($I42:$L42,"&gt;1")+COUNTIF($I42:$L42,"&lt;0")+COUNTA($I42:$L42)-COUNT($I42:$L42))&gt;0,"Avance fuera de rango 0-100%"&amp;" · ","")&amp;IF(OR(AND($J42&lt;&gt;"",$J42&lt;$I42),AND($K42&lt;&gt;"",$K42&lt;MAX($I42:$J42)),AND($L42&lt;&gt;"",$L42&lt;MAX($I42:$K42))),"Avance semanal decreciente"&amp;" · ","")&amp;IF(AND(ISNUMBER($AN42),$AN42&lt;FechaRef,IF($V42="Sub",N($X42),N($M42))&lt;1),"Vencida"&amp;" · ","")&amp;IF(AND(ObsObligatoria="Sí",ISNUMBER($AN42),$AN42&lt;FechaRef,IF($V42="Sub",N($X42),N($M42))&lt;1,$Q42=""),"Vencida sin observación"&amp;" · ",""))-3)))</f>
        <v/>
      </c>
      <c r="S42" s="64">
        <f>IF(NOT((COUNTA($B42:$D42)+COUNTA($G42:$L42)+COUNTA($Q42))&gt;0),"",IF(AND($V42="Sub",N($U42)&gt;0),IF(ISNUMBER(INDEX($AM$5:$AM$1000,$U42-4)),DATE(YEAR(INDEX($AM$5:$AM$1000,$U42-4)),MONTH(INDEX($AM$5:$AM$1000,$U42-4)),1),IF(ISNUMBER(INDEX($AN$5:$AN$1000,$U42-4)),DATE(YEAR(INDEX($AN$5:$AN$1000,$U42-4)),MONTH(INDEX($AN$5:$AN$1000,$U42-4)),1),MesCiclo)),IF(ISNUMBER($AM42),DATE(YEAR($AM42),MONTH($AM42),1),IF(ISNUMBER($AN42),DATE(YEAR($AN42),MONTH($AN42),1),MesCiclo))))</f>
        <v/>
      </c>
      <c r="T42" s="62">
        <f>IF(OR($S42="",$S42&lt;&gt;MesCiclo,$V42&lt;&gt;"Macro"),"",COUNTIFS($S$5:$S42,MesCiclo,$V$5:$V42,"Macro"))</f>
        <v/>
      </c>
      <c r="U42" s="62">
        <f>IF($V42="","",IF($V42="Macro",ROW(),IFERROR(LOOKUP(2,1/($V$5:$V42="Macro"),ROW($V$5:$V42)),0)))</f>
        <v/>
      </c>
      <c r="V42" s="62">
        <f>IF(NOT((COUNTA($B42:$D42)+COUNTA($G42:$L42)+COUNTA($Q42))&gt;0),"",IF($B42="Subactividad","Sub","Macro"))</f>
        <v/>
      </c>
      <c r="W42" s="62">
        <f>IF($V42="Macro",COUNTIFS($U$5:$U$1000,ROW(),$V$5:$V$1000,"Sub"),"")</f>
        <v/>
      </c>
      <c r="X42" s="62">
        <f>IF($V42="","",IF(ISNUMBER($G42),1,IFERROR(LOOKUP(2,1/($I42:$L42&lt;&gt;""),$I42:$L42),0)))</f>
        <v/>
      </c>
      <c r="Y42" s="62">
        <f>IF($V42="","",IF(AND(ISNUMBER($G42),$G42&lt;=IF($S42=MesCiclo,InicioCiclo,$S42+MOD(2-WEEKDAY($S42),7))+6),1,IF(ISNUMBER($I42),$I42,0)))</f>
        <v/>
      </c>
      <c r="Z42" s="62">
        <f>IF($V42="","",IF(AND(ISNUMBER($G42),$G42&lt;=IF($S42=MesCiclo,InicioCiclo,$S42+MOD(2-WEEKDAY($S42),7))+13),1,IF(ISNUMBER($J42),$J42,$Y42)))</f>
        <v/>
      </c>
      <c r="AA42" s="62">
        <f>IF($V42="","",IF(AND(ISNUMBER($G42),$G42&lt;=IF($S42=MesCiclo,InicioCiclo,$S42+MOD(2-WEEKDAY($S42),7))+20),1,IF(ISNUMBER($K42),$K42,$Z42)))</f>
        <v/>
      </c>
      <c r="AB42" s="62">
        <f>IF($V42="","",IF(AND(ISNUMBER($G42),$G42&lt;=IF($S42=MesCiclo,InicioCiclo,$S42+MOD(2-WEEKDAY($S42),7))+27),1,IF(ISNUMBER($L42),$L42,$AA42)))</f>
        <v/>
      </c>
      <c r="AC42" s="62">
        <f>IF($V42="","",IF(AND(ISNUMBER($G42),$G42&lt;=IF($S42=MesCiclo,InicioCiclo,$S42+MOD(2-WEEKDAY($S42),7))+6),1,IF(N($W42)&gt;0,AVERAGEIFS($Y$5:$Y$1000,$U$5:$U$1000,ROW(),$V$5:$V$1000,"Sub"),$Y42)))</f>
        <v/>
      </c>
      <c r="AD42" s="62">
        <f>IF($V42="","",IF(AND(ISNUMBER($G42),$G42&lt;=IF($S42=MesCiclo,InicioCiclo,$S42+MOD(2-WEEKDAY($S42),7))+13),1,IF(N($W42)&gt;0,AVERAGEIFS($Z$5:$Z$1000,$U$5:$U$1000,ROW(),$V$5:$V$1000,"Sub"),$Z42)))</f>
        <v/>
      </c>
      <c r="AE42" s="62">
        <f>IF($V42="","",IF(AND(ISNUMBER($G42),$G42&lt;=IF($S42=MesCiclo,InicioCiclo,$S42+MOD(2-WEEKDAY($S42),7))+20),1,IF(N($W42)&gt;0,AVERAGEIFS($AA$5:$AA$1000,$U$5:$U$1000,ROW(),$V$5:$V$1000,"Sub"),$AA42)))</f>
        <v/>
      </c>
      <c r="AF42" s="62">
        <f>IF($V42="","",IF(AND(ISNUMBER($G42),$G42&lt;=IF($S42=MesCiclo,InicioCiclo,$S42+MOD(2-WEEKDAY($S42),7))+27),1,IF(N($W42)&gt;0,AVERAGEIFS($AB$5:$AB$1000,$U$5:$U$1000,ROW(),$V$5:$V$1000,"Sub"),$AB42)))</f>
        <v/>
      </c>
      <c r="AG42" s="62">
        <f>IF($V42&lt;&gt;"Macro","",IF(COUNTIFS($S$5:$S$1000,$S42,$V$5:$V$1000,"Macro",$H$5:$H$1000,"&gt;0")=0,1/COUNTIFS($S$5:$S$1000,$S42,$V$5:$V$1000,"Macro"),IF(AND(ISNUMBER($H42),N($H42)&gt;0),$H42,SUMIFS($H$5:$H$1000,$S$5:$S$1000,$S42,$V$5:$V$1000,"Macro")/COUNTIFS($S$5:$S$1000,$S42,$V$5:$V$1000,"Macro",$H$5:$H$1000,"&gt;0"))/(COUNTIFS($S$5:$S$1000,$S42,$V$5:$V$1000,"Macro")*SUMIFS($H$5:$H$1000,$S$5:$S$1000,$S42,$V$5:$V$1000,"Macro")/COUNTIFS($S$5:$S$1000,$S42,$V$5:$V$1000,"Macro",$H$5:$H$1000,"&gt;0"))))</f>
        <v/>
      </c>
      <c r="AH42" s="62" t="n"/>
      <c r="AI42" s="62" t="n"/>
      <c r="AJ42" s="62" t="n"/>
      <c r="AK42" s="62" t="n"/>
      <c r="AL42" s="62">
        <f>IF(LEFT($C42,11)="[Jefatura] ",IFERROR(MATCH("Riesgo Normativo|"&amp;MID($C42,12,500),rDname_ADM,0),0),"")</f>
        <v/>
      </c>
      <c r="AM42" s="62">
        <f>IF(N($AL42)&gt;0,INDEX(rIni_ADM,$AL42),IF(ISNUMBER($E42),$E42,""))</f>
        <v/>
      </c>
      <c r="AN42" s="62">
        <f>IF(N($AL42)&gt;0,INDEX(rLim_ADM,$AL42),IF(ISNUMBER($F42),$F42,""))</f>
        <v/>
      </c>
    </row>
    <row r="43">
      <c r="A43" s="56">
        <f>IF(NOT((COUNTA($B43:$D43)+COUNTA($G43:$L43)+COUNTA($Q43))&gt;0),"",IF($V43="Macro",COUNTIFS($V$5:$V43,"Macro",$S$5:$S43,$S43),IF(N($U43)=0,"?",COUNTIFS(INDEX($V$5:$V$1000,1):INDEX($V$5:$V$1000,$U43-4),"Macro",INDEX($S$5:$S$1000,1):INDEX($S$5:$S$1000,$U43-4),INDEX($S$5:$S$1000,$U43-4))&amp;"."&amp;COUNTIFS($U$5:$U43,$U43,$V$5:$V43,"Sub"))))</f>
        <v/>
      </c>
      <c r="B43" s="57" t="n"/>
      <c r="C43" s="58" t="n"/>
      <c r="D43" s="58" t="n"/>
      <c r="E43" s="59">
        <f>IF(N($AL43)&gt;0,INDEX(rIni_ADM,$AL43),"")</f>
        <v/>
      </c>
      <c r="F43" s="59">
        <f>IF(N($AL43)&gt;0,INDEX(rLim_ADM,$AL43),"")</f>
        <v/>
      </c>
      <c r="G43" s="59" t="n"/>
      <c r="H43" s="60" t="n"/>
      <c r="I43" s="60" t="n"/>
      <c r="J43" s="60" t="n"/>
      <c r="K43" s="60" t="n"/>
      <c r="L43" s="60" t="n"/>
      <c r="M43" s="61">
        <f>IF(NOT((COUNTA($B43:$D43)+COUNTA($G43:$L43)+COUNTA($Q43))&gt;0),"",IF($V43="Sub",IFERROR($X43/INDEX($W$5:$W$1000,$U43-4),""),IF(ISNUMBER($G43),1,IF(N($W43)&gt;0,AVERAGEIFS($X$5:$X$1000,$U$5:$U$1000,ROW(),$V$5:$V$1000,"Sub"),$X43))))</f>
        <v/>
      </c>
      <c r="N43" s="56">
        <f>IF(OR($M43="",$V43="Sub"),"",IF($M43&gt;=1,"Completado",IF($M43&gt;0,"En curso","Pendiente")))</f>
        <v/>
      </c>
      <c r="O43" s="56">
        <f>IF(OR(NOT((COUNTA($B43:$D43)+COUNTA($G43:$L43)+COUNTA($Q43))&gt;0),$V43="Sub"),"",IF(ISNUMBER($G43),IF(AND(ISNUMBER($AN43),$G43&gt;$AN43),"Cumplida con "&amp;($G43-$AN43)&amp;IF($G43-$AN43=1," día"," días")&amp;" de retraso","Cumplida"),IF(N($M43)&gt;=1,"Cumplida",IF(NOT(ISNUMBER($AN43)),"Sin fecha límite",IF($AN43&lt;FechaRef,"Vencida hace "&amp;(FechaRef-$AN43)&amp;IF(FechaRef-$AN43=1," día"," días"),IF($AN43=FechaRef,"Vence hoy",IF($AN43-FechaRef&lt;=DiasAlerta,"Vence en "&amp;($AN43-FechaRef)&amp;IF($AN43-FechaRef=1," día"," días"),"En plazo")))))))</f>
        <v/>
      </c>
      <c r="P43" s="62" t="n"/>
      <c r="Q43" s="58" t="n"/>
      <c r="R43" s="63">
        <f>IF(NOT((COUNTA($B43:$D43)+COUNTA($G43:$L43)+COUNTA($Q43))&gt;0),"",IF((IF($C43="","Falta el nombre de la actividad"&amp;" · ","")&amp;IF(AND($V43="Sub",N($U43)=0),"Subactividad sin macroactividad arriba"&amp;" · ","")&amp;IF($AM43="","Sin fecha de inicio"&amp;" · ","")&amp;IF($AN43="","Sin fecha límite"&amp;" · ","")&amp;IF(AND(LEFT($C43,11)="[Jefatura] ",N($AL43)=0),"No se encuentra en la hoja de la jefatura (elíjala de nuevo en la lista)"&amp;" · ","")&amp;IF(OR(AND($E43&lt;&gt;"",NOT(ISNUMBER($E43))),AND($F43&lt;&gt;"",NOT(ISNUMBER($F43))),AND($G43&lt;&gt;"",NOT(ISNUMBER($G43)))),"Fecha no válida"&amp;" · ","")&amp;IF(AND(ISNUMBER($AM43),ISNUMBER($AN43),$AM43&gt;$AN43),"Inicio posterior a fecha límite"&amp;" · ","")&amp;IF(AND($V43="Macro",$H43&lt;&gt;"",OR(NOT(ISNUMBER($H43)),$H43&lt;0,$H43&gt;1)),"Peso fuera de rango"&amp;" · ","")&amp;IF(AND($V43="Sub",$H43&lt;&gt;""),"Las subactividades no llevan peso (valen igual dentro de su macroactividad)"&amp;" · ","")&amp;IF(AND(N($W43)&gt;0,COUNT($I43:$L43)&gt;0),"Con subactividades: deje vacías las semanas (se calculan solas)"&amp;" · ","")&amp;IF((COUNTIF($I43:$L43,"&gt;1")+COUNTIF($I43:$L43,"&lt;0")+COUNTA($I43:$L43)-COUNT($I43:$L43))&gt;0,"Avance fuera de rango 0-100%"&amp;" · ","")&amp;IF(OR(AND($J43&lt;&gt;"",$J43&lt;$I43),AND($K43&lt;&gt;"",$K43&lt;MAX($I43:$J43)),AND($L43&lt;&gt;"",$L43&lt;MAX($I43:$K43))),"Avance semanal decreciente"&amp;" · ","")&amp;IF(AND(ISNUMBER($AN43),$AN43&lt;FechaRef,IF($V43="Sub",N($X43),N($M43))&lt;1),"Vencida"&amp;" · ","")&amp;IF(AND(ObsObligatoria="Sí",ISNUMBER($AN43),$AN43&lt;FechaRef,IF($V43="Sub",N($X43),N($M43))&lt;1,$Q43=""),"Vencida sin observación"&amp;" · ",""))="","✔ OK","⚠ "&amp;LEFT(IF($C43="","Falta el nombre de la actividad"&amp;" · ","")&amp;IF(AND($V43="Sub",N($U43)=0),"Subactividad sin macroactividad arriba"&amp;" · ","")&amp;IF($AM43="","Sin fecha de inicio"&amp;" · ","")&amp;IF($AN43="","Sin fecha límite"&amp;" · ","")&amp;IF(AND(LEFT($C43,11)="[Jefatura] ",N($AL43)=0),"No se encuentra en la hoja de la jefatura (elíjala de nuevo en la lista)"&amp;" · ","")&amp;IF(OR(AND($E43&lt;&gt;"",NOT(ISNUMBER($E43))),AND($F43&lt;&gt;"",NOT(ISNUMBER($F43))),AND($G43&lt;&gt;"",NOT(ISNUMBER($G43)))),"Fecha no válida"&amp;" · ","")&amp;IF(AND(ISNUMBER($AM43),ISNUMBER($AN43),$AM43&gt;$AN43),"Inicio posterior a fecha límite"&amp;" · ","")&amp;IF(AND($V43="Macro",$H43&lt;&gt;"",OR(NOT(ISNUMBER($H43)),$H43&lt;0,$H43&gt;1)),"Peso fuera de rango"&amp;" · ","")&amp;IF(AND($V43="Sub",$H43&lt;&gt;""),"Las subactividades no llevan peso (valen igual dentro de su macroactividad)"&amp;" · ","")&amp;IF(AND(N($W43)&gt;0,COUNT($I43:$L43)&gt;0),"Con subactividades: deje vacías las semanas (se calculan solas)"&amp;" · ","")&amp;IF((COUNTIF($I43:$L43,"&gt;1")+COUNTIF($I43:$L43,"&lt;0")+COUNTA($I43:$L43)-COUNT($I43:$L43))&gt;0,"Avance fuera de rango 0-100%"&amp;" · ","")&amp;IF(OR(AND($J43&lt;&gt;"",$J43&lt;$I43),AND($K43&lt;&gt;"",$K43&lt;MAX($I43:$J43)),AND($L43&lt;&gt;"",$L43&lt;MAX($I43:$K43))),"Avance semanal decreciente"&amp;" · ","")&amp;IF(AND(ISNUMBER($AN43),$AN43&lt;FechaRef,IF($V43="Sub",N($X43),N($M43))&lt;1),"Vencida"&amp;" · ","")&amp;IF(AND(ObsObligatoria="Sí",ISNUMBER($AN43),$AN43&lt;FechaRef,IF($V43="Sub",N($X43),N($M43))&lt;1,$Q43=""),"Vencida sin observación"&amp;" · ",""),LEN(IF($C43="","Falta el nombre de la actividad"&amp;" · ","")&amp;IF(AND($V43="Sub",N($U43)=0),"Subactividad sin macroactividad arriba"&amp;" · ","")&amp;IF($AM43="","Sin fecha de inicio"&amp;" · ","")&amp;IF($AN43="","Sin fecha límite"&amp;" · ","")&amp;IF(AND(LEFT($C43,11)="[Jefatura] ",N($AL43)=0),"No se encuentra en la hoja de la jefatura (elíjala de nuevo en la lista)"&amp;" · ","")&amp;IF(OR(AND($E43&lt;&gt;"",NOT(ISNUMBER($E43))),AND($F43&lt;&gt;"",NOT(ISNUMBER($F43))),AND($G43&lt;&gt;"",NOT(ISNUMBER($G43)))),"Fecha no válida"&amp;" · ","")&amp;IF(AND(ISNUMBER($AM43),ISNUMBER($AN43),$AM43&gt;$AN43),"Inicio posterior a fecha límite"&amp;" · ","")&amp;IF(AND($V43="Macro",$H43&lt;&gt;"",OR(NOT(ISNUMBER($H43)),$H43&lt;0,$H43&gt;1)),"Peso fuera de rango"&amp;" · ","")&amp;IF(AND($V43="Sub",$H43&lt;&gt;""),"Las subactividades no llevan peso (valen igual dentro de su macroactividad)"&amp;" · ","")&amp;IF(AND(N($W43)&gt;0,COUNT($I43:$L43)&gt;0),"Con subactividades: deje vacías las semanas (se calculan solas)"&amp;" · ","")&amp;IF((COUNTIF($I43:$L43,"&gt;1")+COUNTIF($I43:$L43,"&lt;0")+COUNTA($I43:$L43)-COUNT($I43:$L43))&gt;0,"Avance fuera de rango 0-100%"&amp;" · ","")&amp;IF(OR(AND($J43&lt;&gt;"",$J43&lt;$I43),AND($K43&lt;&gt;"",$K43&lt;MAX($I43:$J43)),AND($L43&lt;&gt;"",$L43&lt;MAX($I43:$K43))),"Avance semanal decreciente"&amp;" · ","")&amp;IF(AND(ISNUMBER($AN43),$AN43&lt;FechaRef,IF($V43="Sub",N($X43),N($M43))&lt;1),"Vencida"&amp;" · ","")&amp;IF(AND(ObsObligatoria="Sí",ISNUMBER($AN43),$AN43&lt;FechaRef,IF($V43="Sub",N($X43),N($M43))&lt;1,$Q43=""),"Vencida sin observación"&amp;" · ",""))-3)))</f>
        <v/>
      </c>
      <c r="S43" s="64">
        <f>IF(NOT((COUNTA($B43:$D43)+COUNTA($G43:$L43)+COUNTA($Q43))&gt;0),"",IF(AND($V43="Sub",N($U43)&gt;0),IF(ISNUMBER(INDEX($AM$5:$AM$1000,$U43-4)),DATE(YEAR(INDEX($AM$5:$AM$1000,$U43-4)),MONTH(INDEX($AM$5:$AM$1000,$U43-4)),1),IF(ISNUMBER(INDEX($AN$5:$AN$1000,$U43-4)),DATE(YEAR(INDEX($AN$5:$AN$1000,$U43-4)),MONTH(INDEX($AN$5:$AN$1000,$U43-4)),1),MesCiclo)),IF(ISNUMBER($AM43),DATE(YEAR($AM43),MONTH($AM43),1),IF(ISNUMBER($AN43),DATE(YEAR($AN43),MONTH($AN43),1),MesCiclo))))</f>
        <v/>
      </c>
      <c r="T43" s="62">
        <f>IF(OR($S43="",$S43&lt;&gt;MesCiclo,$V43&lt;&gt;"Macro"),"",COUNTIFS($S$5:$S43,MesCiclo,$V$5:$V43,"Macro"))</f>
        <v/>
      </c>
      <c r="U43" s="62">
        <f>IF($V43="","",IF($V43="Macro",ROW(),IFERROR(LOOKUP(2,1/($V$5:$V43="Macro"),ROW($V$5:$V43)),0)))</f>
        <v/>
      </c>
      <c r="V43" s="62">
        <f>IF(NOT((COUNTA($B43:$D43)+COUNTA($G43:$L43)+COUNTA($Q43))&gt;0),"",IF($B43="Subactividad","Sub","Macro"))</f>
        <v/>
      </c>
      <c r="W43" s="62">
        <f>IF($V43="Macro",COUNTIFS($U$5:$U$1000,ROW(),$V$5:$V$1000,"Sub"),"")</f>
        <v/>
      </c>
      <c r="X43" s="62">
        <f>IF($V43="","",IF(ISNUMBER($G43),1,IFERROR(LOOKUP(2,1/($I43:$L43&lt;&gt;""),$I43:$L43),0)))</f>
        <v/>
      </c>
      <c r="Y43" s="62">
        <f>IF($V43="","",IF(AND(ISNUMBER($G43),$G43&lt;=IF($S43=MesCiclo,InicioCiclo,$S43+MOD(2-WEEKDAY($S43),7))+6),1,IF(ISNUMBER($I43),$I43,0)))</f>
        <v/>
      </c>
      <c r="Z43" s="62">
        <f>IF($V43="","",IF(AND(ISNUMBER($G43),$G43&lt;=IF($S43=MesCiclo,InicioCiclo,$S43+MOD(2-WEEKDAY($S43),7))+13),1,IF(ISNUMBER($J43),$J43,$Y43)))</f>
        <v/>
      </c>
      <c r="AA43" s="62">
        <f>IF($V43="","",IF(AND(ISNUMBER($G43),$G43&lt;=IF($S43=MesCiclo,InicioCiclo,$S43+MOD(2-WEEKDAY($S43),7))+20),1,IF(ISNUMBER($K43),$K43,$Z43)))</f>
        <v/>
      </c>
      <c r="AB43" s="62">
        <f>IF($V43="","",IF(AND(ISNUMBER($G43),$G43&lt;=IF($S43=MesCiclo,InicioCiclo,$S43+MOD(2-WEEKDAY($S43),7))+27),1,IF(ISNUMBER($L43),$L43,$AA43)))</f>
        <v/>
      </c>
      <c r="AC43" s="62">
        <f>IF($V43="","",IF(AND(ISNUMBER($G43),$G43&lt;=IF($S43=MesCiclo,InicioCiclo,$S43+MOD(2-WEEKDAY($S43),7))+6),1,IF(N($W43)&gt;0,AVERAGEIFS($Y$5:$Y$1000,$U$5:$U$1000,ROW(),$V$5:$V$1000,"Sub"),$Y43)))</f>
        <v/>
      </c>
      <c r="AD43" s="62">
        <f>IF($V43="","",IF(AND(ISNUMBER($G43),$G43&lt;=IF($S43=MesCiclo,InicioCiclo,$S43+MOD(2-WEEKDAY($S43),7))+13),1,IF(N($W43)&gt;0,AVERAGEIFS($Z$5:$Z$1000,$U$5:$U$1000,ROW(),$V$5:$V$1000,"Sub"),$Z43)))</f>
        <v/>
      </c>
      <c r="AE43" s="62">
        <f>IF($V43="","",IF(AND(ISNUMBER($G43),$G43&lt;=IF($S43=MesCiclo,InicioCiclo,$S43+MOD(2-WEEKDAY($S43),7))+20),1,IF(N($W43)&gt;0,AVERAGEIFS($AA$5:$AA$1000,$U$5:$U$1000,ROW(),$V$5:$V$1000,"Sub"),$AA43)))</f>
        <v/>
      </c>
      <c r="AF43" s="62">
        <f>IF($V43="","",IF(AND(ISNUMBER($G43),$G43&lt;=IF($S43=MesCiclo,InicioCiclo,$S43+MOD(2-WEEKDAY($S43),7))+27),1,IF(N($W43)&gt;0,AVERAGEIFS($AB$5:$AB$1000,$U$5:$U$1000,ROW(),$V$5:$V$1000,"Sub"),$AB43)))</f>
        <v/>
      </c>
      <c r="AG43" s="62">
        <f>IF($V43&lt;&gt;"Macro","",IF(COUNTIFS($S$5:$S$1000,$S43,$V$5:$V$1000,"Macro",$H$5:$H$1000,"&gt;0")=0,1/COUNTIFS($S$5:$S$1000,$S43,$V$5:$V$1000,"Macro"),IF(AND(ISNUMBER($H43),N($H43)&gt;0),$H43,SUMIFS($H$5:$H$1000,$S$5:$S$1000,$S43,$V$5:$V$1000,"Macro")/COUNTIFS($S$5:$S$1000,$S43,$V$5:$V$1000,"Macro",$H$5:$H$1000,"&gt;0"))/(COUNTIFS($S$5:$S$1000,$S43,$V$5:$V$1000,"Macro")*SUMIFS($H$5:$H$1000,$S$5:$S$1000,$S43,$V$5:$V$1000,"Macro")/COUNTIFS($S$5:$S$1000,$S43,$V$5:$V$1000,"Macro",$H$5:$H$1000,"&gt;0"))))</f>
        <v/>
      </c>
      <c r="AH43" s="62" t="n"/>
      <c r="AI43" s="62" t="n"/>
      <c r="AJ43" s="62" t="n"/>
      <c r="AK43" s="62" t="n"/>
      <c r="AL43" s="62">
        <f>IF(LEFT($C43,11)="[Jefatura] ",IFERROR(MATCH("Riesgo Normativo|"&amp;MID($C43,12,500),rDname_ADM,0),0),"")</f>
        <v/>
      </c>
      <c r="AM43" s="62">
        <f>IF(N($AL43)&gt;0,INDEX(rIni_ADM,$AL43),IF(ISNUMBER($E43),$E43,""))</f>
        <v/>
      </c>
      <c r="AN43" s="62">
        <f>IF(N($AL43)&gt;0,INDEX(rLim_ADM,$AL43),IF(ISNUMBER($F43),$F43,""))</f>
        <v/>
      </c>
    </row>
    <row r="44">
      <c r="A44" s="56">
        <f>IF(NOT((COUNTA($B44:$D44)+COUNTA($G44:$L44)+COUNTA($Q44))&gt;0),"",IF($V44="Macro",COUNTIFS($V$5:$V44,"Macro",$S$5:$S44,$S44),IF(N($U44)=0,"?",COUNTIFS(INDEX($V$5:$V$1000,1):INDEX($V$5:$V$1000,$U44-4),"Macro",INDEX($S$5:$S$1000,1):INDEX($S$5:$S$1000,$U44-4),INDEX($S$5:$S$1000,$U44-4))&amp;"."&amp;COUNTIFS($U$5:$U44,$U44,$V$5:$V44,"Sub"))))</f>
        <v/>
      </c>
      <c r="B44" s="57" t="n"/>
      <c r="C44" s="58" t="n"/>
      <c r="D44" s="58" t="n"/>
      <c r="E44" s="59">
        <f>IF(N($AL44)&gt;0,INDEX(rIni_ADM,$AL44),"")</f>
        <v/>
      </c>
      <c r="F44" s="59">
        <f>IF(N($AL44)&gt;0,INDEX(rLim_ADM,$AL44),"")</f>
        <v/>
      </c>
      <c r="G44" s="59" t="n"/>
      <c r="H44" s="60" t="n"/>
      <c r="I44" s="60" t="n"/>
      <c r="J44" s="60" t="n"/>
      <c r="K44" s="60" t="n"/>
      <c r="L44" s="60" t="n"/>
      <c r="M44" s="61">
        <f>IF(NOT((COUNTA($B44:$D44)+COUNTA($G44:$L44)+COUNTA($Q44))&gt;0),"",IF($V44="Sub",IFERROR($X44/INDEX($W$5:$W$1000,$U44-4),""),IF(ISNUMBER($G44),1,IF(N($W44)&gt;0,AVERAGEIFS($X$5:$X$1000,$U$5:$U$1000,ROW(),$V$5:$V$1000,"Sub"),$X44))))</f>
        <v/>
      </c>
      <c r="N44" s="56">
        <f>IF(OR($M44="",$V44="Sub"),"",IF($M44&gt;=1,"Completado",IF($M44&gt;0,"En curso","Pendiente")))</f>
        <v/>
      </c>
      <c r="O44" s="56">
        <f>IF(OR(NOT((COUNTA($B44:$D44)+COUNTA($G44:$L44)+COUNTA($Q44))&gt;0),$V44="Sub"),"",IF(ISNUMBER($G44),IF(AND(ISNUMBER($AN44),$G44&gt;$AN44),"Cumplida con "&amp;($G44-$AN44)&amp;IF($G44-$AN44=1," día"," días")&amp;" de retraso","Cumplida"),IF(N($M44)&gt;=1,"Cumplida",IF(NOT(ISNUMBER($AN44)),"Sin fecha límite",IF($AN44&lt;FechaRef,"Vencida hace "&amp;(FechaRef-$AN44)&amp;IF(FechaRef-$AN44=1," día"," días"),IF($AN44=FechaRef,"Vence hoy",IF($AN44-FechaRef&lt;=DiasAlerta,"Vence en "&amp;($AN44-FechaRef)&amp;IF($AN44-FechaRef=1," día"," días"),"En plazo")))))))</f>
        <v/>
      </c>
      <c r="P44" s="62" t="n"/>
      <c r="Q44" s="58" t="n"/>
      <c r="R44" s="63">
        <f>IF(NOT((COUNTA($B44:$D44)+COUNTA($G44:$L44)+COUNTA($Q44))&gt;0),"",IF((IF($C44="","Falta el nombre de la actividad"&amp;" · ","")&amp;IF(AND($V44="Sub",N($U44)=0),"Subactividad sin macroactividad arriba"&amp;" · ","")&amp;IF($AM44="","Sin fecha de inicio"&amp;" · ","")&amp;IF($AN44="","Sin fecha límite"&amp;" · ","")&amp;IF(AND(LEFT($C44,11)="[Jefatura] ",N($AL44)=0),"No se encuentra en la hoja de la jefatura (elíjala de nuevo en la lista)"&amp;" · ","")&amp;IF(OR(AND($E44&lt;&gt;"",NOT(ISNUMBER($E44))),AND($F44&lt;&gt;"",NOT(ISNUMBER($F44))),AND($G44&lt;&gt;"",NOT(ISNUMBER($G44)))),"Fecha no válida"&amp;" · ","")&amp;IF(AND(ISNUMBER($AM44),ISNUMBER($AN44),$AM44&gt;$AN44),"Inicio posterior a fecha límite"&amp;" · ","")&amp;IF(AND($V44="Macro",$H44&lt;&gt;"",OR(NOT(ISNUMBER($H44)),$H44&lt;0,$H44&gt;1)),"Peso fuera de rango"&amp;" · ","")&amp;IF(AND($V44="Sub",$H44&lt;&gt;""),"Las subactividades no llevan peso (valen igual dentro de su macroactividad)"&amp;" · ","")&amp;IF(AND(N($W44)&gt;0,COUNT($I44:$L44)&gt;0),"Con subactividades: deje vacías las semanas (se calculan solas)"&amp;" · ","")&amp;IF((COUNTIF($I44:$L44,"&gt;1")+COUNTIF($I44:$L44,"&lt;0")+COUNTA($I44:$L44)-COUNT($I44:$L44))&gt;0,"Avance fuera de rango 0-100%"&amp;" · ","")&amp;IF(OR(AND($J44&lt;&gt;"",$J44&lt;$I44),AND($K44&lt;&gt;"",$K44&lt;MAX($I44:$J44)),AND($L44&lt;&gt;"",$L44&lt;MAX($I44:$K44))),"Avance semanal decreciente"&amp;" · ","")&amp;IF(AND(ISNUMBER($AN44),$AN44&lt;FechaRef,IF($V44="Sub",N($X44),N($M44))&lt;1),"Vencida"&amp;" · ","")&amp;IF(AND(ObsObligatoria="Sí",ISNUMBER($AN44),$AN44&lt;FechaRef,IF($V44="Sub",N($X44),N($M44))&lt;1,$Q44=""),"Vencida sin observación"&amp;" · ",""))="","✔ OK","⚠ "&amp;LEFT(IF($C44="","Falta el nombre de la actividad"&amp;" · ","")&amp;IF(AND($V44="Sub",N($U44)=0),"Subactividad sin macroactividad arriba"&amp;" · ","")&amp;IF($AM44="","Sin fecha de inicio"&amp;" · ","")&amp;IF($AN44="","Sin fecha límite"&amp;" · ","")&amp;IF(AND(LEFT($C44,11)="[Jefatura] ",N($AL44)=0),"No se encuentra en la hoja de la jefatura (elíjala de nuevo en la lista)"&amp;" · ","")&amp;IF(OR(AND($E44&lt;&gt;"",NOT(ISNUMBER($E44))),AND($F44&lt;&gt;"",NOT(ISNUMBER($F44))),AND($G44&lt;&gt;"",NOT(ISNUMBER($G44)))),"Fecha no válida"&amp;" · ","")&amp;IF(AND(ISNUMBER($AM44),ISNUMBER($AN44),$AM44&gt;$AN44),"Inicio posterior a fecha límite"&amp;" · ","")&amp;IF(AND($V44="Macro",$H44&lt;&gt;"",OR(NOT(ISNUMBER($H44)),$H44&lt;0,$H44&gt;1)),"Peso fuera de rango"&amp;" · ","")&amp;IF(AND($V44="Sub",$H44&lt;&gt;""),"Las subactividades no llevan peso (valen igual dentro de su macroactividad)"&amp;" · ","")&amp;IF(AND(N($W44)&gt;0,COUNT($I44:$L44)&gt;0),"Con subactividades: deje vacías las semanas (se calculan solas)"&amp;" · ","")&amp;IF((COUNTIF($I44:$L44,"&gt;1")+COUNTIF($I44:$L44,"&lt;0")+COUNTA($I44:$L44)-COUNT($I44:$L44))&gt;0,"Avance fuera de rango 0-100%"&amp;" · ","")&amp;IF(OR(AND($J44&lt;&gt;"",$J44&lt;$I44),AND($K44&lt;&gt;"",$K44&lt;MAX($I44:$J44)),AND($L44&lt;&gt;"",$L44&lt;MAX($I44:$K44))),"Avance semanal decreciente"&amp;" · ","")&amp;IF(AND(ISNUMBER($AN44),$AN44&lt;FechaRef,IF($V44="Sub",N($X44),N($M44))&lt;1),"Vencida"&amp;" · ","")&amp;IF(AND(ObsObligatoria="Sí",ISNUMBER($AN44),$AN44&lt;FechaRef,IF($V44="Sub",N($X44),N($M44))&lt;1,$Q44=""),"Vencida sin observación"&amp;" · ",""),LEN(IF($C44="","Falta el nombre de la actividad"&amp;" · ","")&amp;IF(AND($V44="Sub",N($U44)=0),"Subactividad sin macroactividad arriba"&amp;" · ","")&amp;IF($AM44="","Sin fecha de inicio"&amp;" · ","")&amp;IF($AN44="","Sin fecha límite"&amp;" · ","")&amp;IF(AND(LEFT($C44,11)="[Jefatura] ",N($AL44)=0),"No se encuentra en la hoja de la jefatura (elíjala de nuevo en la lista)"&amp;" · ","")&amp;IF(OR(AND($E44&lt;&gt;"",NOT(ISNUMBER($E44))),AND($F44&lt;&gt;"",NOT(ISNUMBER($F44))),AND($G44&lt;&gt;"",NOT(ISNUMBER($G44)))),"Fecha no válida"&amp;" · ","")&amp;IF(AND(ISNUMBER($AM44),ISNUMBER($AN44),$AM44&gt;$AN44),"Inicio posterior a fecha límite"&amp;" · ","")&amp;IF(AND($V44="Macro",$H44&lt;&gt;"",OR(NOT(ISNUMBER($H44)),$H44&lt;0,$H44&gt;1)),"Peso fuera de rango"&amp;" · ","")&amp;IF(AND($V44="Sub",$H44&lt;&gt;""),"Las subactividades no llevan peso (valen igual dentro de su macroactividad)"&amp;" · ","")&amp;IF(AND(N($W44)&gt;0,COUNT($I44:$L44)&gt;0),"Con subactividades: deje vacías las semanas (se calculan solas)"&amp;" · ","")&amp;IF((COUNTIF($I44:$L44,"&gt;1")+COUNTIF($I44:$L44,"&lt;0")+COUNTA($I44:$L44)-COUNT($I44:$L44))&gt;0,"Avance fuera de rango 0-100%"&amp;" · ","")&amp;IF(OR(AND($J44&lt;&gt;"",$J44&lt;$I44),AND($K44&lt;&gt;"",$K44&lt;MAX($I44:$J44)),AND($L44&lt;&gt;"",$L44&lt;MAX($I44:$K44))),"Avance semanal decreciente"&amp;" · ","")&amp;IF(AND(ISNUMBER($AN44),$AN44&lt;FechaRef,IF($V44="Sub",N($X44),N($M44))&lt;1),"Vencida"&amp;" · ","")&amp;IF(AND(ObsObligatoria="Sí",ISNUMBER($AN44),$AN44&lt;FechaRef,IF($V44="Sub",N($X44),N($M44))&lt;1,$Q44=""),"Vencida sin observación"&amp;" · ",""))-3)))</f>
        <v/>
      </c>
      <c r="S44" s="64">
        <f>IF(NOT((COUNTA($B44:$D44)+COUNTA($G44:$L44)+COUNTA($Q44))&gt;0),"",IF(AND($V44="Sub",N($U44)&gt;0),IF(ISNUMBER(INDEX($AM$5:$AM$1000,$U44-4)),DATE(YEAR(INDEX($AM$5:$AM$1000,$U44-4)),MONTH(INDEX($AM$5:$AM$1000,$U44-4)),1),IF(ISNUMBER(INDEX($AN$5:$AN$1000,$U44-4)),DATE(YEAR(INDEX($AN$5:$AN$1000,$U44-4)),MONTH(INDEX($AN$5:$AN$1000,$U44-4)),1),MesCiclo)),IF(ISNUMBER($AM44),DATE(YEAR($AM44),MONTH($AM44),1),IF(ISNUMBER($AN44),DATE(YEAR($AN44),MONTH($AN44),1),MesCiclo))))</f>
        <v/>
      </c>
      <c r="T44" s="62">
        <f>IF(OR($S44="",$S44&lt;&gt;MesCiclo,$V44&lt;&gt;"Macro"),"",COUNTIFS($S$5:$S44,MesCiclo,$V$5:$V44,"Macro"))</f>
        <v/>
      </c>
      <c r="U44" s="62">
        <f>IF($V44="","",IF($V44="Macro",ROW(),IFERROR(LOOKUP(2,1/($V$5:$V44="Macro"),ROW($V$5:$V44)),0)))</f>
        <v/>
      </c>
      <c r="V44" s="62">
        <f>IF(NOT((COUNTA($B44:$D44)+COUNTA($G44:$L44)+COUNTA($Q44))&gt;0),"",IF($B44="Subactividad","Sub","Macro"))</f>
        <v/>
      </c>
      <c r="W44" s="62">
        <f>IF($V44="Macro",COUNTIFS($U$5:$U$1000,ROW(),$V$5:$V$1000,"Sub"),"")</f>
        <v/>
      </c>
      <c r="X44" s="62">
        <f>IF($V44="","",IF(ISNUMBER($G44),1,IFERROR(LOOKUP(2,1/($I44:$L44&lt;&gt;""),$I44:$L44),0)))</f>
        <v/>
      </c>
      <c r="Y44" s="62">
        <f>IF($V44="","",IF(AND(ISNUMBER($G44),$G44&lt;=IF($S44=MesCiclo,InicioCiclo,$S44+MOD(2-WEEKDAY($S44),7))+6),1,IF(ISNUMBER($I44),$I44,0)))</f>
        <v/>
      </c>
      <c r="Z44" s="62">
        <f>IF($V44="","",IF(AND(ISNUMBER($G44),$G44&lt;=IF($S44=MesCiclo,InicioCiclo,$S44+MOD(2-WEEKDAY($S44),7))+13),1,IF(ISNUMBER($J44),$J44,$Y44)))</f>
        <v/>
      </c>
      <c r="AA44" s="62">
        <f>IF($V44="","",IF(AND(ISNUMBER($G44),$G44&lt;=IF($S44=MesCiclo,InicioCiclo,$S44+MOD(2-WEEKDAY($S44),7))+20),1,IF(ISNUMBER($K44),$K44,$Z44)))</f>
        <v/>
      </c>
      <c r="AB44" s="62">
        <f>IF($V44="","",IF(AND(ISNUMBER($G44),$G44&lt;=IF($S44=MesCiclo,InicioCiclo,$S44+MOD(2-WEEKDAY($S44),7))+27),1,IF(ISNUMBER($L44),$L44,$AA44)))</f>
        <v/>
      </c>
      <c r="AC44" s="62">
        <f>IF($V44="","",IF(AND(ISNUMBER($G44),$G44&lt;=IF($S44=MesCiclo,InicioCiclo,$S44+MOD(2-WEEKDAY($S44),7))+6),1,IF(N($W44)&gt;0,AVERAGEIFS($Y$5:$Y$1000,$U$5:$U$1000,ROW(),$V$5:$V$1000,"Sub"),$Y44)))</f>
        <v/>
      </c>
      <c r="AD44" s="62">
        <f>IF($V44="","",IF(AND(ISNUMBER($G44),$G44&lt;=IF($S44=MesCiclo,InicioCiclo,$S44+MOD(2-WEEKDAY($S44),7))+13),1,IF(N($W44)&gt;0,AVERAGEIFS($Z$5:$Z$1000,$U$5:$U$1000,ROW(),$V$5:$V$1000,"Sub"),$Z44)))</f>
        <v/>
      </c>
      <c r="AE44" s="62">
        <f>IF($V44="","",IF(AND(ISNUMBER($G44),$G44&lt;=IF($S44=MesCiclo,InicioCiclo,$S44+MOD(2-WEEKDAY($S44),7))+20),1,IF(N($W44)&gt;0,AVERAGEIFS($AA$5:$AA$1000,$U$5:$U$1000,ROW(),$V$5:$V$1000,"Sub"),$AA44)))</f>
        <v/>
      </c>
      <c r="AF44" s="62">
        <f>IF($V44="","",IF(AND(ISNUMBER($G44),$G44&lt;=IF($S44=MesCiclo,InicioCiclo,$S44+MOD(2-WEEKDAY($S44),7))+27),1,IF(N($W44)&gt;0,AVERAGEIFS($AB$5:$AB$1000,$U$5:$U$1000,ROW(),$V$5:$V$1000,"Sub"),$AB44)))</f>
        <v/>
      </c>
      <c r="AG44" s="62">
        <f>IF($V44&lt;&gt;"Macro","",IF(COUNTIFS($S$5:$S$1000,$S44,$V$5:$V$1000,"Macro",$H$5:$H$1000,"&gt;0")=0,1/COUNTIFS($S$5:$S$1000,$S44,$V$5:$V$1000,"Macro"),IF(AND(ISNUMBER($H44),N($H44)&gt;0),$H44,SUMIFS($H$5:$H$1000,$S$5:$S$1000,$S44,$V$5:$V$1000,"Macro")/COUNTIFS($S$5:$S$1000,$S44,$V$5:$V$1000,"Macro",$H$5:$H$1000,"&gt;0"))/(COUNTIFS($S$5:$S$1000,$S44,$V$5:$V$1000,"Macro")*SUMIFS($H$5:$H$1000,$S$5:$S$1000,$S44,$V$5:$V$1000,"Macro")/COUNTIFS($S$5:$S$1000,$S44,$V$5:$V$1000,"Macro",$H$5:$H$1000,"&gt;0"))))</f>
        <v/>
      </c>
      <c r="AH44" s="62" t="n"/>
      <c r="AI44" s="62" t="n"/>
      <c r="AJ44" s="62" t="n"/>
      <c r="AK44" s="62" t="n"/>
      <c r="AL44" s="62">
        <f>IF(LEFT($C44,11)="[Jefatura] ",IFERROR(MATCH("Riesgo Normativo|"&amp;MID($C44,12,500),rDname_ADM,0),0),"")</f>
        <v/>
      </c>
      <c r="AM44" s="62">
        <f>IF(N($AL44)&gt;0,INDEX(rIni_ADM,$AL44),IF(ISNUMBER($E44),$E44,""))</f>
        <v/>
      </c>
      <c r="AN44" s="62">
        <f>IF(N($AL44)&gt;0,INDEX(rLim_ADM,$AL44),IF(ISNUMBER($F44),$F44,""))</f>
        <v/>
      </c>
    </row>
    <row r="45">
      <c r="A45" s="56">
        <f>IF(NOT((COUNTA($B45:$D45)+COUNTA($G45:$L45)+COUNTA($Q45))&gt;0),"",IF($V45="Macro",COUNTIFS($V$5:$V45,"Macro",$S$5:$S45,$S45),IF(N($U45)=0,"?",COUNTIFS(INDEX($V$5:$V$1000,1):INDEX($V$5:$V$1000,$U45-4),"Macro",INDEX($S$5:$S$1000,1):INDEX($S$5:$S$1000,$U45-4),INDEX($S$5:$S$1000,$U45-4))&amp;"."&amp;COUNTIFS($U$5:$U45,$U45,$V$5:$V45,"Sub"))))</f>
        <v/>
      </c>
      <c r="B45" s="57" t="n"/>
      <c r="C45" s="58" t="n"/>
      <c r="D45" s="58" t="n"/>
      <c r="E45" s="59">
        <f>IF(N($AL45)&gt;0,INDEX(rIni_ADM,$AL45),"")</f>
        <v/>
      </c>
      <c r="F45" s="59">
        <f>IF(N($AL45)&gt;0,INDEX(rLim_ADM,$AL45),"")</f>
        <v/>
      </c>
      <c r="G45" s="59" t="n"/>
      <c r="H45" s="60" t="n"/>
      <c r="I45" s="60" t="n"/>
      <c r="J45" s="60" t="n"/>
      <c r="K45" s="60" t="n"/>
      <c r="L45" s="60" t="n"/>
      <c r="M45" s="61">
        <f>IF(NOT((COUNTA($B45:$D45)+COUNTA($G45:$L45)+COUNTA($Q45))&gt;0),"",IF($V45="Sub",IFERROR($X45/INDEX($W$5:$W$1000,$U45-4),""),IF(ISNUMBER($G45),1,IF(N($W45)&gt;0,AVERAGEIFS($X$5:$X$1000,$U$5:$U$1000,ROW(),$V$5:$V$1000,"Sub"),$X45))))</f>
        <v/>
      </c>
      <c r="N45" s="56">
        <f>IF(OR($M45="",$V45="Sub"),"",IF($M45&gt;=1,"Completado",IF($M45&gt;0,"En curso","Pendiente")))</f>
        <v/>
      </c>
      <c r="O45" s="56">
        <f>IF(OR(NOT((COUNTA($B45:$D45)+COUNTA($G45:$L45)+COUNTA($Q45))&gt;0),$V45="Sub"),"",IF(ISNUMBER($G45),IF(AND(ISNUMBER($AN45),$G45&gt;$AN45),"Cumplida con "&amp;($G45-$AN45)&amp;IF($G45-$AN45=1," día"," días")&amp;" de retraso","Cumplida"),IF(N($M45)&gt;=1,"Cumplida",IF(NOT(ISNUMBER($AN45)),"Sin fecha límite",IF($AN45&lt;FechaRef,"Vencida hace "&amp;(FechaRef-$AN45)&amp;IF(FechaRef-$AN45=1," día"," días"),IF($AN45=FechaRef,"Vence hoy",IF($AN45-FechaRef&lt;=DiasAlerta,"Vence en "&amp;($AN45-FechaRef)&amp;IF($AN45-FechaRef=1," día"," días"),"En plazo")))))))</f>
        <v/>
      </c>
      <c r="P45" s="62" t="n"/>
      <c r="Q45" s="58" t="n"/>
      <c r="R45" s="63">
        <f>IF(NOT((COUNTA($B45:$D45)+COUNTA($G45:$L45)+COUNTA($Q45))&gt;0),"",IF((IF($C45="","Falta el nombre de la actividad"&amp;" · ","")&amp;IF(AND($V45="Sub",N($U45)=0),"Subactividad sin macroactividad arriba"&amp;" · ","")&amp;IF($AM45="","Sin fecha de inicio"&amp;" · ","")&amp;IF($AN45="","Sin fecha límite"&amp;" · ","")&amp;IF(AND(LEFT($C45,11)="[Jefatura] ",N($AL45)=0),"No se encuentra en la hoja de la jefatura (elíjala de nuevo en la lista)"&amp;" · ","")&amp;IF(OR(AND($E45&lt;&gt;"",NOT(ISNUMBER($E45))),AND($F45&lt;&gt;"",NOT(ISNUMBER($F45))),AND($G45&lt;&gt;"",NOT(ISNUMBER($G45)))),"Fecha no válida"&amp;" · ","")&amp;IF(AND(ISNUMBER($AM45),ISNUMBER($AN45),$AM45&gt;$AN45),"Inicio posterior a fecha límite"&amp;" · ","")&amp;IF(AND($V45="Macro",$H45&lt;&gt;"",OR(NOT(ISNUMBER($H45)),$H45&lt;0,$H45&gt;1)),"Peso fuera de rango"&amp;" · ","")&amp;IF(AND($V45="Sub",$H45&lt;&gt;""),"Las subactividades no llevan peso (valen igual dentro de su macroactividad)"&amp;" · ","")&amp;IF(AND(N($W45)&gt;0,COUNT($I45:$L45)&gt;0),"Con subactividades: deje vacías las semanas (se calculan solas)"&amp;" · ","")&amp;IF((COUNTIF($I45:$L45,"&gt;1")+COUNTIF($I45:$L45,"&lt;0")+COUNTA($I45:$L45)-COUNT($I45:$L45))&gt;0,"Avance fuera de rango 0-100%"&amp;" · ","")&amp;IF(OR(AND($J45&lt;&gt;"",$J45&lt;$I45),AND($K45&lt;&gt;"",$K45&lt;MAX($I45:$J45)),AND($L45&lt;&gt;"",$L45&lt;MAX($I45:$K45))),"Avance semanal decreciente"&amp;" · ","")&amp;IF(AND(ISNUMBER($AN45),$AN45&lt;FechaRef,IF($V45="Sub",N($X45),N($M45))&lt;1),"Vencida"&amp;" · ","")&amp;IF(AND(ObsObligatoria="Sí",ISNUMBER($AN45),$AN45&lt;FechaRef,IF($V45="Sub",N($X45),N($M45))&lt;1,$Q45=""),"Vencida sin observación"&amp;" · ",""))="","✔ OK","⚠ "&amp;LEFT(IF($C45="","Falta el nombre de la actividad"&amp;" · ","")&amp;IF(AND($V45="Sub",N($U45)=0),"Subactividad sin macroactividad arriba"&amp;" · ","")&amp;IF($AM45="","Sin fecha de inicio"&amp;" · ","")&amp;IF($AN45="","Sin fecha límite"&amp;" · ","")&amp;IF(AND(LEFT($C45,11)="[Jefatura] ",N($AL45)=0),"No se encuentra en la hoja de la jefatura (elíjala de nuevo en la lista)"&amp;" · ","")&amp;IF(OR(AND($E45&lt;&gt;"",NOT(ISNUMBER($E45))),AND($F45&lt;&gt;"",NOT(ISNUMBER($F45))),AND($G45&lt;&gt;"",NOT(ISNUMBER($G45)))),"Fecha no válida"&amp;" · ","")&amp;IF(AND(ISNUMBER($AM45),ISNUMBER($AN45),$AM45&gt;$AN45),"Inicio posterior a fecha límite"&amp;" · ","")&amp;IF(AND($V45="Macro",$H45&lt;&gt;"",OR(NOT(ISNUMBER($H45)),$H45&lt;0,$H45&gt;1)),"Peso fuera de rango"&amp;" · ","")&amp;IF(AND($V45="Sub",$H45&lt;&gt;""),"Las subactividades no llevan peso (valen igual dentro de su macroactividad)"&amp;" · ","")&amp;IF(AND(N($W45)&gt;0,COUNT($I45:$L45)&gt;0),"Con subactividades: deje vacías las semanas (se calculan solas)"&amp;" · ","")&amp;IF((COUNTIF($I45:$L45,"&gt;1")+COUNTIF($I45:$L45,"&lt;0")+COUNTA($I45:$L45)-COUNT($I45:$L45))&gt;0,"Avance fuera de rango 0-100%"&amp;" · ","")&amp;IF(OR(AND($J45&lt;&gt;"",$J45&lt;$I45),AND($K45&lt;&gt;"",$K45&lt;MAX($I45:$J45)),AND($L45&lt;&gt;"",$L45&lt;MAX($I45:$K45))),"Avance semanal decreciente"&amp;" · ","")&amp;IF(AND(ISNUMBER($AN45),$AN45&lt;FechaRef,IF($V45="Sub",N($X45),N($M45))&lt;1),"Vencida"&amp;" · ","")&amp;IF(AND(ObsObligatoria="Sí",ISNUMBER($AN45),$AN45&lt;FechaRef,IF($V45="Sub",N($X45),N($M45))&lt;1,$Q45=""),"Vencida sin observación"&amp;" · ",""),LEN(IF($C45="","Falta el nombre de la actividad"&amp;" · ","")&amp;IF(AND($V45="Sub",N($U45)=0),"Subactividad sin macroactividad arriba"&amp;" · ","")&amp;IF($AM45="","Sin fecha de inicio"&amp;" · ","")&amp;IF($AN45="","Sin fecha límite"&amp;" · ","")&amp;IF(AND(LEFT($C45,11)="[Jefatura] ",N($AL45)=0),"No se encuentra en la hoja de la jefatura (elíjala de nuevo en la lista)"&amp;" · ","")&amp;IF(OR(AND($E45&lt;&gt;"",NOT(ISNUMBER($E45))),AND($F45&lt;&gt;"",NOT(ISNUMBER($F45))),AND($G45&lt;&gt;"",NOT(ISNUMBER($G45)))),"Fecha no válida"&amp;" · ","")&amp;IF(AND(ISNUMBER($AM45),ISNUMBER($AN45),$AM45&gt;$AN45),"Inicio posterior a fecha límite"&amp;" · ","")&amp;IF(AND($V45="Macro",$H45&lt;&gt;"",OR(NOT(ISNUMBER($H45)),$H45&lt;0,$H45&gt;1)),"Peso fuera de rango"&amp;" · ","")&amp;IF(AND($V45="Sub",$H45&lt;&gt;""),"Las subactividades no llevan peso (valen igual dentro de su macroactividad)"&amp;" · ","")&amp;IF(AND(N($W45)&gt;0,COUNT($I45:$L45)&gt;0),"Con subactividades: deje vacías las semanas (se calculan solas)"&amp;" · ","")&amp;IF((COUNTIF($I45:$L45,"&gt;1")+COUNTIF($I45:$L45,"&lt;0")+COUNTA($I45:$L45)-COUNT($I45:$L45))&gt;0,"Avance fuera de rango 0-100%"&amp;" · ","")&amp;IF(OR(AND($J45&lt;&gt;"",$J45&lt;$I45),AND($K45&lt;&gt;"",$K45&lt;MAX($I45:$J45)),AND($L45&lt;&gt;"",$L45&lt;MAX($I45:$K45))),"Avance semanal decreciente"&amp;" · ","")&amp;IF(AND(ISNUMBER($AN45),$AN45&lt;FechaRef,IF($V45="Sub",N($X45),N($M45))&lt;1),"Vencida"&amp;" · ","")&amp;IF(AND(ObsObligatoria="Sí",ISNUMBER($AN45),$AN45&lt;FechaRef,IF($V45="Sub",N($X45),N($M45))&lt;1,$Q45=""),"Vencida sin observación"&amp;" · ",""))-3)))</f>
        <v/>
      </c>
      <c r="S45" s="64">
        <f>IF(NOT((COUNTA($B45:$D45)+COUNTA($G45:$L45)+COUNTA($Q45))&gt;0),"",IF(AND($V45="Sub",N($U45)&gt;0),IF(ISNUMBER(INDEX($AM$5:$AM$1000,$U45-4)),DATE(YEAR(INDEX($AM$5:$AM$1000,$U45-4)),MONTH(INDEX($AM$5:$AM$1000,$U45-4)),1),IF(ISNUMBER(INDEX($AN$5:$AN$1000,$U45-4)),DATE(YEAR(INDEX($AN$5:$AN$1000,$U45-4)),MONTH(INDEX($AN$5:$AN$1000,$U45-4)),1),MesCiclo)),IF(ISNUMBER($AM45),DATE(YEAR($AM45),MONTH($AM45),1),IF(ISNUMBER($AN45),DATE(YEAR($AN45),MONTH($AN45),1),MesCiclo))))</f>
        <v/>
      </c>
      <c r="T45" s="62">
        <f>IF(OR($S45="",$S45&lt;&gt;MesCiclo,$V45&lt;&gt;"Macro"),"",COUNTIFS($S$5:$S45,MesCiclo,$V$5:$V45,"Macro"))</f>
        <v/>
      </c>
      <c r="U45" s="62">
        <f>IF($V45="","",IF($V45="Macro",ROW(),IFERROR(LOOKUP(2,1/($V$5:$V45="Macro"),ROW($V$5:$V45)),0)))</f>
        <v/>
      </c>
      <c r="V45" s="62">
        <f>IF(NOT((COUNTA($B45:$D45)+COUNTA($G45:$L45)+COUNTA($Q45))&gt;0),"",IF($B45="Subactividad","Sub","Macro"))</f>
        <v/>
      </c>
      <c r="W45" s="62">
        <f>IF($V45="Macro",COUNTIFS($U$5:$U$1000,ROW(),$V$5:$V$1000,"Sub"),"")</f>
        <v/>
      </c>
      <c r="X45" s="62">
        <f>IF($V45="","",IF(ISNUMBER($G45),1,IFERROR(LOOKUP(2,1/($I45:$L45&lt;&gt;""),$I45:$L45),0)))</f>
        <v/>
      </c>
      <c r="Y45" s="62">
        <f>IF($V45="","",IF(AND(ISNUMBER($G45),$G45&lt;=IF($S45=MesCiclo,InicioCiclo,$S45+MOD(2-WEEKDAY($S45),7))+6),1,IF(ISNUMBER($I45),$I45,0)))</f>
        <v/>
      </c>
      <c r="Z45" s="62">
        <f>IF($V45="","",IF(AND(ISNUMBER($G45),$G45&lt;=IF($S45=MesCiclo,InicioCiclo,$S45+MOD(2-WEEKDAY($S45),7))+13),1,IF(ISNUMBER($J45),$J45,$Y45)))</f>
        <v/>
      </c>
      <c r="AA45" s="62">
        <f>IF($V45="","",IF(AND(ISNUMBER($G45),$G45&lt;=IF($S45=MesCiclo,InicioCiclo,$S45+MOD(2-WEEKDAY($S45),7))+20),1,IF(ISNUMBER($K45),$K45,$Z45)))</f>
        <v/>
      </c>
      <c r="AB45" s="62">
        <f>IF($V45="","",IF(AND(ISNUMBER($G45),$G45&lt;=IF($S45=MesCiclo,InicioCiclo,$S45+MOD(2-WEEKDAY($S45),7))+27),1,IF(ISNUMBER($L45),$L45,$AA45)))</f>
        <v/>
      </c>
      <c r="AC45" s="62">
        <f>IF($V45="","",IF(AND(ISNUMBER($G45),$G45&lt;=IF($S45=MesCiclo,InicioCiclo,$S45+MOD(2-WEEKDAY($S45),7))+6),1,IF(N($W45)&gt;0,AVERAGEIFS($Y$5:$Y$1000,$U$5:$U$1000,ROW(),$V$5:$V$1000,"Sub"),$Y45)))</f>
        <v/>
      </c>
      <c r="AD45" s="62">
        <f>IF($V45="","",IF(AND(ISNUMBER($G45),$G45&lt;=IF($S45=MesCiclo,InicioCiclo,$S45+MOD(2-WEEKDAY($S45),7))+13),1,IF(N($W45)&gt;0,AVERAGEIFS($Z$5:$Z$1000,$U$5:$U$1000,ROW(),$V$5:$V$1000,"Sub"),$Z45)))</f>
        <v/>
      </c>
      <c r="AE45" s="62">
        <f>IF($V45="","",IF(AND(ISNUMBER($G45),$G45&lt;=IF($S45=MesCiclo,InicioCiclo,$S45+MOD(2-WEEKDAY($S45),7))+20),1,IF(N($W45)&gt;0,AVERAGEIFS($AA$5:$AA$1000,$U$5:$U$1000,ROW(),$V$5:$V$1000,"Sub"),$AA45)))</f>
        <v/>
      </c>
      <c r="AF45" s="62">
        <f>IF($V45="","",IF(AND(ISNUMBER($G45),$G45&lt;=IF($S45=MesCiclo,InicioCiclo,$S45+MOD(2-WEEKDAY($S45),7))+27),1,IF(N($W45)&gt;0,AVERAGEIFS($AB$5:$AB$1000,$U$5:$U$1000,ROW(),$V$5:$V$1000,"Sub"),$AB45)))</f>
        <v/>
      </c>
      <c r="AG45" s="62">
        <f>IF($V45&lt;&gt;"Macro","",IF(COUNTIFS($S$5:$S$1000,$S45,$V$5:$V$1000,"Macro",$H$5:$H$1000,"&gt;0")=0,1/COUNTIFS($S$5:$S$1000,$S45,$V$5:$V$1000,"Macro"),IF(AND(ISNUMBER($H45),N($H45)&gt;0),$H45,SUMIFS($H$5:$H$1000,$S$5:$S$1000,$S45,$V$5:$V$1000,"Macro")/COUNTIFS($S$5:$S$1000,$S45,$V$5:$V$1000,"Macro",$H$5:$H$1000,"&gt;0"))/(COUNTIFS($S$5:$S$1000,$S45,$V$5:$V$1000,"Macro")*SUMIFS($H$5:$H$1000,$S$5:$S$1000,$S45,$V$5:$V$1000,"Macro")/COUNTIFS($S$5:$S$1000,$S45,$V$5:$V$1000,"Macro",$H$5:$H$1000,"&gt;0"))))</f>
        <v/>
      </c>
      <c r="AH45" s="62" t="n"/>
      <c r="AI45" s="62" t="n"/>
      <c r="AJ45" s="62" t="n"/>
      <c r="AK45" s="62" t="n"/>
      <c r="AL45" s="62">
        <f>IF(LEFT($C45,11)="[Jefatura] ",IFERROR(MATCH("Riesgo Normativo|"&amp;MID($C45,12,500),rDname_ADM,0),0),"")</f>
        <v/>
      </c>
      <c r="AM45" s="62">
        <f>IF(N($AL45)&gt;0,INDEX(rIni_ADM,$AL45),IF(ISNUMBER($E45),$E45,""))</f>
        <v/>
      </c>
      <c r="AN45" s="62">
        <f>IF(N($AL45)&gt;0,INDEX(rLim_ADM,$AL45),IF(ISNUMBER($F45),$F45,""))</f>
        <v/>
      </c>
    </row>
    <row r="46">
      <c r="A46" s="56">
        <f>IF(NOT((COUNTA($B46:$D46)+COUNTA($G46:$L46)+COUNTA($Q46))&gt;0),"",IF($V46="Macro",COUNTIFS($V$5:$V46,"Macro",$S$5:$S46,$S46),IF(N($U46)=0,"?",COUNTIFS(INDEX($V$5:$V$1000,1):INDEX($V$5:$V$1000,$U46-4),"Macro",INDEX($S$5:$S$1000,1):INDEX($S$5:$S$1000,$U46-4),INDEX($S$5:$S$1000,$U46-4))&amp;"."&amp;COUNTIFS($U$5:$U46,$U46,$V$5:$V46,"Sub"))))</f>
        <v/>
      </c>
      <c r="B46" s="57" t="n"/>
      <c r="C46" s="58" t="n"/>
      <c r="D46" s="58" t="n"/>
      <c r="E46" s="59">
        <f>IF(N($AL46)&gt;0,INDEX(rIni_ADM,$AL46),"")</f>
        <v/>
      </c>
      <c r="F46" s="59">
        <f>IF(N($AL46)&gt;0,INDEX(rLim_ADM,$AL46),"")</f>
        <v/>
      </c>
      <c r="G46" s="59" t="n"/>
      <c r="H46" s="60" t="n"/>
      <c r="I46" s="60" t="n"/>
      <c r="J46" s="60" t="n"/>
      <c r="K46" s="60" t="n"/>
      <c r="L46" s="60" t="n"/>
      <c r="M46" s="61">
        <f>IF(NOT((COUNTA($B46:$D46)+COUNTA($G46:$L46)+COUNTA($Q46))&gt;0),"",IF($V46="Sub",IFERROR($X46/INDEX($W$5:$W$1000,$U46-4),""),IF(ISNUMBER($G46),1,IF(N($W46)&gt;0,AVERAGEIFS($X$5:$X$1000,$U$5:$U$1000,ROW(),$V$5:$V$1000,"Sub"),$X46))))</f>
        <v/>
      </c>
      <c r="N46" s="56">
        <f>IF(OR($M46="",$V46="Sub"),"",IF($M46&gt;=1,"Completado",IF($M46&gt;0,"En curso","Pendiente")))</f>
        <v/>
      </c>
      <c r="O46" s="56">
        <f>IF(OR(NOT((COUNTA($B46:$D46)+COUNTA($G46:$L46)+COUNTA($Q46))&gt;0),$V46="Sub"),"",IF(ISNUMBER($G46),IF(AND(ISNUMBER($AN46),$G46&gt;$AN46),"Cumplida con "&amp;($G46-$AN46)&amp;IF($G46-$AN46=1," día"," días")&amp;" de retraso","Cumplida"),IF(N($M46)&gt;=1,"Cumplida",IF(NOT(ISNUMBER($AN46)),"Sin fecha límite",IF($AN46&lt;FechaRef,"Vencida hace "&amp;(FechaRef-$AN46)&amp;IF(FechaRef-$AN46=1," día"," días"),IF($AN46=FechaRef,"Vence hoy",IF($AN46-FechaRef&lt;=DiasAlerta,"Vence en "&amp;($AN46-FechaRef)&amp;IF($AN46-FechaRef=1," día"," días"),"En plazo")))))))</f>
        <v/>
      </c>
      <c r="P46" s="62" t="n"/>
      <c r="Q46" s="58" t="n"/>
      <c r="R46" s="63">
        <f>IF(NOT((COUNTA($B46:$D46)+COUNTA($G46:$L46)+COUNTA($Q46))&gt;0),"",IF((IF($C46="","Falta el nombre de la actividad"&amp;" · ","")&amp;IF(AND($V46="Sub",N($U46)=0),"Subactividad sin macroactividad arriba"&amp;" · ","")&amp;IF($AM46="","Sin fecha de inicio"&amp;" · ","")&amp;IF($AN46="","Sin fecha límite"&amp;" · ","")&amp;IF(AND(LEFT($C46,11)="[Jefatura] ",N($AL46)=0),"No se encuentra en la hoja de la jefatura (elíjala de nuevo en la lista)"&amp;" · ","")&amp;IF(OR(AND($E46&lt;&gt;"",NOT(ISNUMBER($E46))),AND($F46&lt;&gt;"",NOT(ISNUMBER($F46))),AND($G46&lt;&gt;"",NOT(ISNUMBER($G46)))),"Fecha no válida"&amp;" · ","")&amp;IF(AND(ISNUMBER($AM46),ISNUMBER($AN46),$AM46&gt;$AN46),"Inicio posterior a fecha límite"&amp;" · ","")&amp;IF(AND($V46="Macro",$H46&lt;&gt;"",OR(NOT(ISNUMBER($H46)),$H46&lt;0,$H46&gt;1)),"Peso fuera de rango"&amp;" · ","")&amp;IF(AND($V46="Sub",$H46&lt;&gt;""),"Las subactividades no llevan peso (valen igual dentro de su macroactividad)"&amp;" · ","")&amp;IF(AND(N($W46)&gt;0,COUNT($I46:$L46)&gt;0),"Con subactividades: deje vacías las semanas (se calculan solas)"&amp;" · ","")&amp;IF((COUNTIF($I46:$L46,"&gt;1")+COUNTIF($I46:$L46,"&lt;0")+COUNTA($I46:$L46)-COUNT($I46:$L46))&gt;0,"Avance fuera de rango 0-100%"&amp;" · ","")&amp;IF(OR(AND($J46&lt;&gt;"",$J46&lt;$I46),AND($K46&lt;&gt;"",$K46&lt;MAX($I46:$J46)),AND($L46&lt;&gt;"",$L46&lt;MAX($I46:$K46))),"Avance semanal decreciente"&amp;" · ","")&amp;IF(AND(ISNUMBER($AN46),$AN46&lt;FechaRef,IF($V46="Sub",N($X46),N($M46))&lt;1),"Vencida"&amp;" · ","")&amp;IF(AND(ObsObligatoria="Sí",ISNUMBER($AN46),$AN46&lt;FechaRef,IF($V46="Sub",N($X46),N($M46))&lt;1,$Q46=""),"Vencida sin observación"&amp;" · ",""))="","✔ OK","⚠ "&amp;LEFT(IF($C46="","Falta el nombre de la actividad"&amp;" · ","")&amp;IF(AND($V46="Sub",N($U46)=0),"Subactividad sin macroactividad arriba"&amp;" · ","")&amp;IF($AM46="","Sin fecha de inicio"&amp;" · ","")&amp;IF($AN46="","Sin fecha límite"&amp;" · ","")&amp;IF(AND(LEFT($C46,11)="[Jefatura] ",N($AL46)=0),"No se encuentra en la hoja de la jefatura (elíjala de nuevo en la lista)"&amp;" · ","")&amp;IF(OR(AND($E46&lt;&gt;"",NOT(ISNUMBER($E46))),AND($F46&lt;&gt;"",NOT(ISNUMBER($F46))),AND($G46&lt;&gt;"",NOT(ISNUMBER($G46)))),"Fecha no válida"&amp;" · ","")&amp;IF(AND(ISNUMBER($AM46),ISNUMBER($AN46),$AM46&gt;$AN46),"Inicio posterior a fecha límite"&amp;" · ","")&amp;IF(AND($V46="Macro",$H46&lt;&gt;"",OR(NOT(ISNUMBER($H46)),$H46&lt;0,$H46&gt;1)),"Peso fuera de rango"&amp;" · ","")&amp;IF(AND($V46="Sub",$H46&lt;&gt;""),"Las subactividades no llevan peso (valen igual dentro de su macroactividad)"&amp;" · ","")&amp;IF(AND(N($W46)&gt;0,COUNT($I46:$L46)&gt;0),"Con subactividades: deje vacías las semanas (se calculan solas)"&amp;" · ","")&amp;IF((COUNTIF($I46:$L46,"&gt;1")+COUNTIF($I46:$L46,"&lt;0")+COUNTA($I46:$L46)-COUNT($I46:$L46))&gt;0,"Avance fuera de rango 0-100%"&amp;" · ","")&amp;IF(OR(AND($J46&lt;&gt;"",$J46&lt;$I46),AND($K46&lt;&gt;"",$K46&lt;MAX($I46:$J46)),AND($L46&lt;&gt;"",$L46&lt;MAX($I46:$K46))),"Avance semanal decreciente"&amp;" · ","")&amp;IF(AND(ISNUMBER($AN46),$AN46&lt;FechaRef,IF($V46="Sub",N($X46),N($M46))&lt;1),"Vencida"&amp;" · ","")&amp;IF(AND(ObsObligatoria="Sí",ISNUMBER($AN46),$AN46&lt;FechaRef,IF($V46="Sub",N($X46),N($M46))&lt;1,$Q46=""),"Vencida sin observación"&amp;" · ",""),LEN(IF($C46="","Falta el nombre de la actividad"&amp;" · ","")&amp;IF(AND($V46="Sub",N($U46)=0),"Subactividad sin macroactividad arriba"&amp;" · ","")&amp;IF($AM46="","Sin fecha de inicio"&amp;" · ","")&amp;IF($AN46="","Sin fecha límite"&amp;" · ","")&amp;IF(AND(LEFT($C46,11)="[Jefatura] ",N($AL46)=0),"No se encuentra en la hoja de la jefatura (elíjala de nuevo en la lista)"&amp;" · ","")&amp;IF(OR(AND($E46&lt;&gt;"",NOT(ISNUMBER($E46))),AND($F46&lt;&gt;"",NOT(ISNUMBER($F46))),AND($G46&lt;&gt;"",NOT(ISNUMBER($G46)))),"Fecha no válida"&amp;" · ","")&amp;IF(AND(ISNUMBER($AM46),ISNUMBER($AN46),$AM46&gt;$AN46),"Inicio posterior a fecha límite"&amp;" · ","")&amp;IF(AND($V46="Macro",$H46&lt;&gt;"",OR(NOT(ISNUMBER($H46)),$H46&lt;0,$H46&gt;1)),"Peso fuera de rango"&amp;" · ","")&amp;IF(AND($V46="Sub",$H46&lt;&gt;""),"Las subactividades no llevan peso (valen igual dentro de su macroactividad)"&amp;" · ","")&amp;IF(AND(N($W46)&gt;0,COUNT($I46:$L46)&gt;0),"Con subactividades: deje vacías las semanas (se calculan solas)"&amp;" · ","")&amp;IF((COUNTIF($I46:$L46,"&gt;1")+COUNTIF($I46:$L46,"&lt;0")+COUNTA($I46:$L46)-COUNT($I46:$L46))&gt;0,"Avance fuera de rango 0-100%"&amp;" · ","")&amp;IF(OR(AND($J46&lt;&gt;"",$J46&lt;$I46),AND($K46&lt;&gt;"",$K46&lt;MAX($I46:$J46)),AND($L46&lt;&gt;"",$L46&lt;MAX($I46:$K46))),"Avance semanal decreciente"&amp;" · ","")&amp;IF(AND(ISNUMBER($AN46),$AN46&lt;FechaRef,IF($V46="Sub",N($X46),N($M46))&lt;1),"Vencida"&amp;" · ","")&amp;IF(AND(ObsObligatoria="Sí",ISNUMBER($AN46),$AN46&lt;FechaRef,IF($V46="Sub",N($X46),N($M46))&lt;1,$Q46=""),"Vencida sin observación"&amp;" · ",""))-3)))</f>
        <v/>
      </c>
      <c r="S46" s="64">
        <f>IF(NOT((COUNTA($B46:$D46)+COUNTA($G46:$L46)+COUNTA($Q46))&gt;0),"",IF(AND($V46="Sub",N($U46)&gt;0),IF(ISNUMBER(INDEX($AM$5:$AM$1000,$U46-4)),DATE(YEAR(INDEX($AM$5:$AM$1000,$U46-4)),MONTH(INDEX($AM$5:$AM$1000,$U46-4)),1),IF(ISNUMBER(INDEX($AN$5:$AN$1000,$U46-4)),DATE(YEAR(INDEX($AN$5:$AN$1000,$U46-4)),MONTH(INDEX($AN$5:$AN$1000,$U46-4)),1),MesCiclo)),IF(ISNUMBER($AM46),DATE(YEAR($AM46),MONTH($AM46),1),IF(ISNUMBER($AN46),DATE(YEAR($AN46),MONTH($AN46),1),MesCiclo))))</f>
        <v/>
      </c>
      <c r="T46" s="62">
        <f>IF(OR($S46="",$S46&lt;&gt;MesCiclo,$V46&lt;&gt;"Macro"),"",COUNTIFS($S$5:$S46,MesCiclo,$V$5:$V46,"Macro"))</f>
        <v/>
      </c>
      <c r="U46" s="62">
        <f>IF($V46="","",IF($V46="Macro",ROW(),IFERROR(LOOKUP(2,1/($V$5:$V46="Macro"),ROW($V$5:$V46)),0)))</f>
        <v/>
      </c>
      <c r="V46" s="62">
        <f>IF(NOT((COUNTA($B46:$D46)+COUNTA($G46:$L46)+COUNTA($Q46))&gt;0),"",IF($B46="Subactividad","Sub","Macro"))</f>
        <v/>
      </c>
      <c r="W46" s="62">
        <f>IF($V46="Macro",COUNTIFS($U$5:$U$1000,ROW(),$V$5:$V$1000,"Sub"),"")</f>
        <v/>
      </c>
      <c r="X46" s="62">
        <f>IF($V46="","",IF(ISNUMBER($G46),1,IFERROR(LOOKUP(2,1/($I46:$L46&lt;&gt;""),$I46:$L46),0)))</f>
        <v/>
      </c>
      <c r="Y46" s="62">
        <f>IF($V46="","",IF(AND(ISNUMBER($G46),$G46&lt;=IF($S46=MesCiclo,InicioCiclo,$S46+MOD(2-WEEKDAY($S46),7))+6),1,IF(ISNUMBER($I46),$I46,0)))</f>
        <v/>
      </c>
      <c r="Z46" s="62">
        <f>IF($V46="","",IF(AND(ISNUMBER($G46),$G46&lt;=IF($S46=MesCiclo,InicioCiclo,$S46+MOD(2-WEEKDAY($S46),7))+13),1,IF(ISNUMBER($J46),$J46,$Y46)))</f>
        <v/>
      </c>
      <c r="AA46" s="62">
        <f>IF($V46="","",IF(AND(ISNUMBER($G46),$G46&lt;=IF($S46=MesCiclo,InicioCiclo,$S46+MOD(2-WEEKDAY($S46),7))+20),1,IF(ISNUMBER($K46),$K46,$Z46)))</f>
        <v/>
      </c>
      <c r="AB46" s="62">
        <f>IF($V46="","",IF(AND(ISNUMBER($G46),$G46&lt;=IF($S46=MesCiclo,InicioCiclo,$S46+MOD(2-WEEKDAY($S46),7))+27),1,IF(ISNUMBER($L46),$L46,$AA46)))</f>
        <v/>
      </c>
      <c r="AC46" s="62">
        <f>IF($V46="","",IF(AND(ISNUMBER($G46),$G46&lt;=IF($S46=MesCiclo,InicioCiclo,$S46+MOD(2-WEEKDAY($S46),7))+6),1,IF(N($W46)&gt;0,AVERAGEIFS($Y$5:$Y$1000,$U$5:$U$1000,ROW(),$V$5:$V$1000,"Sub"),$Y46)))</f>
        <v/>
      </c>
      <c r="AD46" s="62">
        <f>IF($V46="","",IF(AND(ISNUMBER($G46),$G46&lt;=IF($S46=MesCiclo,InicioCiclo,$S46+MOD(2-WEEKDAY($S46),7))+13),1,IF(N($W46)&gt;0,AVERAGEIFS($Z$5:$Z$1000,$U$5:$U$1000,ROW(),$V$5:$V$1000,"Sub"),$Z46)))</f>
        <v/>
      </c>
      <c r="AE46" s="62">
        <f>IF($V46="","",IF(AND(ISNUMBER($G46),$G46&lt;=IF($S46=MesCiclo,InicioCiclo,$S46+MOD(2-WEEKDAY($S46),7))+20),1,IF(N($W46)&gt;0,AVERAGEIFS($AA$5:$AA$1000,$U$5:$U$1000,ROW(),$V$5:$V$1000,"Sub"),$AA46)))</f>
        <v/>
      </c>
      <c r="AF46" s="62">
        <f>IF($V46="","",IF(AND(ISNUMBER($G46),$G46&lt;=IF($S46=MesCiclo,InicioCiclo,$S46+MOD(2-WEEKDAY($S46),7))+27),1,IF(N($W46)&gt;0,AVERAGEIFS($AB$5:$AB$1000,$U$5:$U$1000,ROW(),$V$5:$V$1000,"Sub"),$AB46)))</f>
        <v/>
      </c>
      <c r="AG46" s="62">
        <f>IF($V46&lt;&gt;"Macro","",IF(COUNTIFS($S$5:$S$1000,$S46,$V$5:$V$1000,"Macro",$H$5:$H$1000,"&gt;0")=0,1/COUNTIFS($S$5:$S$1000,$S46,$V$5:$V$1000,"Macro"),IF(AND(ISNUMBER($H46),N($H46)&gt;0),$H46,SUMIFS($H$5:$H$1000,$S$5:$S$1000,$S46,$V$5:$V$1000,"Macro")/COUNTIFS($S$5:$S$1000,$S46,$V$5:$V$1000,"Macro",$H$5:$H$1000,"&gt;0"))/(COUNTIFS($S$5:$S$1000,$S46,$V$5:$V$1000,"Macro")*SUMIFS($H$5:$H$1000,$S$5:$S$1000,$S46,$V$5:$V$1000,"Macro")/COUNTIFS($S$5:$S$1000,$S46,$V$5:$V$1000,"Macro",$H$5:$H$1000,"&gt;0"))))</f>
        <v/>
      </c>
      <c r="AH46" s="62" t="n"/>
      <c r="AI46" s="62" t="n"/>
      <c r="AJ46" s="62" t="n"/>
      <c r="AK46" s="62" t="n"/>
      <c r="AL46" s="62">
        <f>IF(LEFT($C46,11)="[Jefatura] ",IFERROR(MATCH("Riesgo Normativo|"&amp;MID($C46,12,500),rDname_ADM,0),0),"")</f>
        <v/>
      </c>
      <c r="AM46" s="62">
        <f>IF(N($AL46)&gt;0,INDEX(rIni_ADM,$AL46),IF(ISNUMBER($E46),$E46,""))</f>
        <v/>
      </c>
      <c r="AN46" s="62">
        <f>IF(N($AL46)&gt;0,INDEX(rLim_ADM,$AL46),IF(ISNUMBER($F46),$F46,""))</f>
        <v/>
      </c>
    </row>
    <row r="47">
      <c r="A47" s="56">
        <f>IF(NOT((COUNTA($B47:$D47)+COUNTA($G47:$L47)+COUNTA($Q47))&gt;0),"",IF($V47="Macro",COUNTIFS($V$5:$V47,"Macro",$S$5:$S47,$S47),IF(N($U47)=0,"?",COUNTIFS(INDEX($V$5:$V$1000,1):INDEX($V$5:$V$1000,$U47-4),"Macro",INDEX($S$5:$S$1000,1):INDEX($S$5:$S$1000,$U47-4),INDEX($S$5:$S$1000,$U47-4))&amp;"."&amp;COUNTIFS($U$5:$U47,$U47,$V$5:$V47,"Sub"))))</f>
        <v/>
      </c>
      <c r="B47" s="57" t="n"/>
      <c r="C47" s="58" t="n"/>
      <c r="D47" s="58" t="n"/>
      <c r="E47" s="59">
        <f>IF(N($AL47)&gt;0,INDEX(rIni_ADM,$AL47),"")</f>
        <v/>
      </c>
      <c r="F47" s="59">
        <f>IF(N($AL47)&gt;0,INDEX(rLim_ADM,$AL47),"")</f>
        <v/>
      </c>
      <c r="G47" s="59" t="n"/>
      <c r="H47" s="60" t="n"/>
      <c r="I47" s="60" t="n"/>
      <c r="J47" s="60" t="n"/>
      <c r="K47" s="60" t="n"/>
      <c r="L47" s="60" t="n"/>
      <c r="M47" s="61">
        <f>IF(NOT((COUNTA($B47:$D47)+COUNTA($G47:$L47)+COUNTA($Q47))&gt;0),"",IF($V47="Sub",IFERROR($X47/INDEX($W$5:$W$1000,$U47-4),""),IF(ISNUMBER($G47),1,IF(N($W47)&gt;0,AVERAGEIFS($X$5:$X$1000,$U$5:$U$1000,ROW(),$V$5:$V$1000,"Sub"),$X47))))</f>
        <v/>
      </c>
      <c r="N47" s="56">
        <f>IF(OR($M47="",$V47="Sub"),"",IF($M47&gt;=1,"Completado",IF($M47&gt;0,"En curso","Pendiente")))</f>
        <v/>
      </c>
      <c r="O47" s="56">
        <f>IF(OR(NOT((COUNTA($B47:$D47)+COUNTA($G47:$L47)+COUNTA($Q47))&gt;0),$V47="Sub"),"",IF(ISNUMBER($G47),IF(AND(ISNUMBER($AN47),$G47&gt;$AN47),"Cumplida con "&amp;($G47-$AN47)&amp;IF($G47-$AN47=1," día"," días")&amp;" de retraso","Cumplida"),IF(N($M47)&gt;=1,"Cumplida",IF(NOT(ISNUMBER($AN47)),"Sin fecha límite",IF($AN47&lt;FechaRef,"Vencida hace "&amp;(FechaRef-$AN47)&amp;IF(FechaRef-$AN47=1," día"," días"),IF($AN47=FechaRef,"Vence hoy",IF($AN47-FechaRef&lt;=DiasAlerta,"Vence en "&amp;($AN47-FechaRef)&amp;IF($AN47-FechaRef=1," día"," días"),"En plazo")))))))</f>
        <v/>
      </c>
      <c r="P47" s="62" t="n"/>
      <c r="Q47" s="58" t="n"/>
      <c r="R47" s="63">
        <f>IF(NOT((COUNTA($B47:$D47)+COUNTA($G47:$L47)+COUNTA($Q47))&gt;0),"",IF((IF($C47="","Falta el nombre de la actividad"&amp;" · ","")&amp;IF(AND($V47="Sub",N($U47)=0),"Subactividad sin macroactividad arriba"&amp;" · ","")&amp;IF($AM47="","Sin fecha de inicio"&amp;" · ","")&amp;IF($AN47="","Sin fecha límite"&amp;" · ","")&amp;IF(AND(LEFT($C47,11)="[Jefatura] ",N($AL47)=0),"No se encuentra en la hoja de la jefatura (elíjala de nuevo en la lista)"&amp;" · ","")&amp;IF(OR(AND($E47&lt;&gt;"",NOT(ISNUMBER($E47))),AND($F47&lt;&gt;"",NOT(ISNUMBER($F47))),AND($G47&lt;&gt;"",NOT(ISNUMBER($G47)))),"Fecha no válida"&amp;" · ","")&amp;IF(AND(ISNUMBER($AM47),ISNUMBER($AN47),$AM47&gt;$AN47),"Inicio posterior a fecha límite"&amp;" · ","")&amp;IF(AND($V47="Macro",$H47&lt;&gt;"",OR(NOT(ISNUMBER($H47)),$H47&lt;0,$H47&gt;1)),"Peso fuera de rango"&amp;" · ","")&amp;IF(AND($V47="Sub",$H47&lt;&gt;""),"Las subactividades no llevan peso (valen igual dentro de su macroactividad)"&amp;" · ","")&amp;IF(AND(N($W47)&gt;0,COUNT($I47:$L47)&gt;0),"Con subactividades: deje vacías las semanas (se calculan solas)"&amp;" · ","")&amp;IF((COUNTIF($I47:$L47,"&gt;1")+COUNTIF($I47:$L47,"&lt;0")+COUNTA($I47:$L47)-COUNT($I47:$L47))&gt;0,"Avance fuera de rango 0-100%"&amp;" · ","")&amp;IF(OR(AND($J47&lt;&gt;"",$J47&lt;$I47),AND($K47&lt;&gt;"",$K47&lt;MAX($I47:$J47)),AND($L47&lt;&gt;"",$L47&lt;MAX($I47:$K47))),"Avance semanal decreciente"&amp;" · ","")&amp;IF(AND(ISNUMBER($AN47),$AN47&lt;FechaRef,IF($V47="Sub",N($X47),N($M47))&lt;1),"Vencida"&amp;" · ","")&amp;IF(AND(ObsObligatoria="Sí",ISNUMBER($AN47),$AN47&lt;FechaRef,IF($V47="Sub",N($X47),N($M47))&lt;1,$Q47=""),"Vencida sin observación"&amp;" · ",""))="","✔ OK","⚠ "&amp;LEFT(IF($C47="","Falta el nombre de la actividad"&amp;" · ","")&amp;IF(AND($V47="Sub",N($U47)=0),"Subactividad sin macroactividad arriba"&amp;" · ","")&amp;IF($AM47="","Sin fecha de inicio"&amp;" · ","")&amp;IF($AN47="","Sin fecha límite"&amp;" · ","")&amp;IF(AND(LEFT($C47,11)="[Jefatura] ",N($AL47)=0),"No se encuentra en la hoja de la jefatura (elíjala de nuevo en la lista)"&amp;" · ","")&amp;IF(OR(AND($E47&lt;&gt;"",NOT(ISNUMBER($E47))),AND($F47&lt;&gt;"",NOT(ISNUMBER($F47))),AND($G47&lt;&gt;"",NOT(ISNUMBER($G47)))),"Fecha no válida"&amp;" · ","")&amp;IF(AND(ISNUMBER($AM47),ISNUMBER($AN47),$AM47&gt;$AN47),"Inicio posterior a fecha límite"&amp;" · ","")&amp;IF(AND($V47="Macro",$H47&lt;&gt;"",OR(NOT(ISNUMBER($H47)),$H47&lt;0,$H47&gt;1)),"Peso fuera de rango"&amp;" · ","")&amp;IF(AND($V47="Sub",$H47&lt;&gt;""),"Las subactividades no llevan peso (valen igual dentro de su macroactividad)"&amp;" · ","")&amp;IF(AND(N($W47)&gt;0,COUNT($I47:$L47)&gt;0),"Con subactividades: deje vacías las semanas (se calculan solas)"&amp;" · ","")&amp;IF((COUNTIF($I47:$L47,"&gt;1")+COUNTIF($I47:$L47,"&lt;0")+COUNTA($I47:$L47)-COUNT($I47:$L47))&gt;0,"Avance fuera de rango 0-100%"&amp;" · ","")&amp;IF(OR(AND($J47&lt;&gt;"",$J47&lt;$I47),AND($K47&lt;&gt;"",$K47&lt;MAX($I47:$J47)),AND($L47&lt;&gt;"",$L47&lt;MAX($I47:$K47))),"Avance semanal decreciente"&amp;" · ","")&amp;IF(AND(ISNUMBER($AN47),$AN47&lt;FechaRef,IF($V47="Sub",N($X47),N($M47))&lt;1),"Vencida"&amp;" · ","")&amp;IF(AND(ObsObligatoria="Sí",ISNUMBER($AN47),$AN47&lt;FechaRef,IF($V47="Sub",N($X47),N($M47))&lt;1,$Q47=""),"Vencida sin observación"&amp;" · ",""),LEN(IF($C47="","Falta el nombre de la actividad"&amp;" · ","")&amp;IF(AND($V47="Sub",N($U47)=0),"Subactividad sin macroactividad arriba"&amp;" · ","")&amp;IF($AM47="","Sin fecha de inicio"&amp;" · ","")&amp;IF($AN47="","Sin fecha límite"&amp;" · ","")&amp;IF(AND(LEFT($C47,11)="[Jefatura] ",N($AL47)=0),"No se encuentra en la hoja de la jefatura (elíjala de nuevo en la lista)"&amp;" · ","")&amp;IF(OR(AND($E47&lt;&gt;"",NOT(ISNUMBER($E47))),AND($F47&lt;&gt;"",NOT(ISNUMBER($F47))),AND($G47&lt;&gt;"",NOT(ISNUMBER($G47)))),"Fecha no válida"&amp;" · ","")&amp;IF(AND(ISNUMBER($AM47),ISNUMBER($AN47),$AM47&gt;$AN47),"Inicio posterior a fecha límite"&amp;" · ","")&amp;IF(AND($V47="Macro",$H47&lt;&gt;"",OR(NOT(ISNUMBER($H47)),$H47&lt;0,$H47&gt;1)),"Peso fuera de rango"&amp;" · ","")&amp;IF(AND($V47="Sub",$H47&lt;&gt;""),"Las subactividades no llevan peso (valen igual dentro de su macroactividad)"&amp;" · ","")&amp;IF(AND(N($W47)&gt;0,COUNT($I47:$L47)&gt;0),"Con subactividades: deje vacías las semanas (se calculan solas)"&amp;" · ","")&amp;IF((COUNTIF($I47:$L47,"&gt;1")+COUNTIF($I47:$L47,"&lt;0")+COUNTA($I47:$L47)-COUNT($I47:$L47))&gt;0,"Avance fuera de rango 0-100%"&amp;" · ","")&amp;IF(OR(AND($J47&lt;&gt;"",$J47&lt;$I47),AND($K47&lt;&gt;"",$K47&lt;MAX($I47:$J47)),AND($L47&lt;&gt;"",$L47&lt;MAX($I47:$K47))),"Avance semanal decreciente"&amp;" · ","")&amp;IF(AND(ISNUMBER($AN47),$AN47&lt;FechaRef,IF($V47="Sub",N($X47),N($M47))&lt;1),"Vencida"&amp;" · ","")&amp;IF(AND(ObsObligatoria="Sí",ISNUMBER($AN47),$AN47&lt;FechaRef,IF($V47="Sub",N($X47),N($M47))&lt;1,$Q47=""),"Vencida sin observación"&amp;" · ",""))-3)))</f>
        <v/>
      </c>
      <c r="S47" s="64">
        <f>IF(NOT((COUNTA($B47:$D47)+COUNTA($G47:$L47)+COUNTA($Q47))&gt;0),"",IF(AND($V47="Sub",N($U47)&gt;0),IF(ISNUMBER(INDEX($AM$5:$AM$1000,$U47-4)),DATE(YEAR(INDEX($AM$5:$AM$1000,$U47-4)),MONTH(INDEX($AM$5:$AM$1000,$U47-4)),1),IF(ISNUMBER(INDEX($AN$5:$AN$1000,$U47-4)),DATE(YEAR(INDEX($AN$5:$AN$1000,$U47-4)),MONTH(INDEX($AN$5:$AN$1000,$U47-4)),1),MesCiclo)),IF(ISNUMBER($AM47),DATE(YEAR($AM47),MONTH($AM47),1),IF(ISNUMBER($AN47),DATE(YEAR($AN47),MONTH($AN47),1),MesCiclo))))</f>
        <v/>
      </c>
      <c r="T47" s="62">
        <f>IF(OR($S47="",$S47&lt;&gt;MesCiclo,$V47&lt;&gt;"Macro"),"",COUNTIFS($S$5:$S47,MesCiclo,$V$5:$V47,"Macro"))</f>
        <v/>
      </c>
      <c r="U47" s="62">
        <f>IF($V47="","",IF($V47="Macro",ROW(),IFERROR(LOOKUP(2,1/($V$5:$V47="Macro"),ROW($V$5:$V47)),0)))</f>
        <v/>
      </c>
      <c r="V47" s="62">
        <f>IF(NOT((COUNTA($B47:$D47)+COUNTA($G47:$L47)+COUNTA($Q47))&gt;0),"",IF($B47="Subactividad","Sub","Macro"))</f>
        <v/>
      </c>
      <c r="W47" s="62">
        <f>IF($V47="Macro",COUNTIFS($U$5:$U$1000,ROW(),$V$5:$V$1000,"Sub"),"")</f>
        <v/>
      </c>
      <c r="X47" s="62">
        <f>IF($V47="","",IF(ISNUMBER($G47),1,IFERROR(LOOKUP(2,1/($I47:$L47&lt;&gt;""),$I47:$L47),0)))</f>
        <v/>
      </c>
      <c r="Y47" s="62">
        <f>IF($V47="","",IF(AND(ISNUMBER($G47),$G47&lt;=IF($S47=MesCiclo,InicioCiclo,$S47+MOD(2-WEEKDAY($S47),7))+6),1,IF(ISNUMBER($I47),$I47,0)))</f>
        <v/>
      </c>
      <c r="Z47" s="62">
        <f>IF($V47="","",IF(AND(ISNUMBER($G47),$G47&lt;=IF($S47=MesCiclo,InicioCiclo,$S47+MOD(2-WEEKDAY($S47),7))+13),1,IF(ISNUMBER($J47),$J47,$Y47)))</f>
        <v/>
      </c>
      <c r="AA47" s="62">
        <f>IF($V47="","",IF(AND(ISNUMBER($G47),$G47&lt;=IF($S47=MesCiclo,InicioCiclo,$S47+MOD(2-WEEKDAY($S47),7))+20),1,IF(ISNUMBER($K47),$K47,$Z47)))</f>
        <v/>
      </c>
      <c r="AB47" s="62">
        <f>IF($V47="","",IF(AND(ISNUMBER($G47),$G47&lt;=IF($S47=MesCiclo,InicioCiclo,$S47+MOD(2-WEEKDAY($S47),7))+27),1,IF(ISNUMBER($L47),$L47,$AA47)))</f>
        <v/>
      </c>
      <c r="AC47" s="62">
        <f>IF($V47="","",IF(AND(ISNUMBER($G47),$G47&lt;=IF($S47=MesCiclo,InicioCiclo,$S47+MOD(2-WEEKDAY($S47),7))+6),1,IF(N($W47)&gt;0,AVERAGEIFS($Y$5:$Y$1000,$U$5:$U$1000,ROW(),$V$5:$V$1000,"Sub"),$Y47)))</f>
        <v/>
      </c>
      <c r="AD47" s="62">
        <f>IF($V47="","",IF(AND(ISNUMBER($G47),$G47&lt;=IF($S47=MesCiclo,InicioCiclo,$S47+MOD(2-WEEKDAY($S47),7))+13),1,IF(N($W47)&gt;0,AVERAGEIFS($Z$5:$Z$1000,$U$5:$U$1000,ROW(),$V$5:$V$1000,"Sub"),$Z47)))</f>
        <v/>
      </c>
      <c r="AE47" s="62">
        <f>IF($V47="","",IF(AND(ISNUMBER($G47),$G47&lt;=IF($S47=MesCiclo,InicioCiclo,$S47+MOD(2-WEEKDAY($S47),7))+20),1,IF(N($W47)&gt;0,AVERAGEIFS($AA$5:$AA$1000,$U$5:$U$1000,ROW(),$V$5:$V$1000,"Sub"),$AA47)))</f>
        <v/>
      </c>
      <c r="AF47" s="62">
        <f>IF($V47="","",IF(AND(ISNUMBER($G47),$G47&lt;=IF($S47=MesCiclo,InicioCiclo,$S47+MOD(2-WEEKDAY($S47),7))+27),1,IF(N($W47)&gt;0,AVERAGEIFS($AB$5:$AB$1000,$U$5:$U$1000,ROW(),$V$5:$V$1000,"Sub"),$AB47)))</f>
        <v/>
      </c>
      <c r="AG47" s="62">
        <f>IF($V47&lt;&gt;"Macro","",IF(COUNTIFS($S$5:$S$1000,$S47,$V$5:$V$1000,"Macro",$H$5:$H$1000,"&gt;0")=0,1/COUNTIFS($S$5:$S$1000,$S47,$V$5:$V$1000,"Macro"),IF(AND(ISNUMBER($H47),N($H47)&gt;0),$H47,SUMIFS($H$5:$H$1000,$S$5:$S$1000,$S47,$V$5:$V$1000,"Macro")/COUNTIFS($S$5:$S$1000,$S47,$V$5:$V$1000,"Macro",$H$5:$H$1000,"&gt;0"))/(COUNTIFS($S$5:$S$1000,$S47,$V$5:$V$1000,"Macro")*SUMIFS($H$5:$H$1000,$S$5:$S$1000,$S47,$V$5:$V$1000,"Macro")/COUNTIFS($S$5:$S$1000,$S47,$V$5:$V$1000,"Macro",$H$5:$H$1000,"&gt;0"))))</f>
        <v/>
      </c>
      <c r="AH47" s="62" t="n"/>
      <c r="AI47" s="62" t="n"/>
      <c r="AJ47" s="62" t="n"/>
      <c r="AK47" s="62" t="n"/>
      <c r="AL47" s="62">
        <f>IF(LEFT($C47,11)="[Jefatura] ",IFERROR(MATCH("Riesgo Normativo|"&amp;MID($C47,12,500),rDname_ADM,0),0),"")</f>
        <v/>
      </c>
      <c r="AM47" s="62">
        <f>IF(N($AL47)&gt;0,INDEX(rIni_ADM,$AL47),IF(ISNUMBER($E47),$E47,""))</f>
        <v/>
      </c>
      <c r="AN47" s="62">
        <f>IF(N($AL47)&gt;0,INDEX(rLim_ADM,$AL47),IF(ISNUMBER($F47),$F47,""))</f>
        <v/>
      </c>
    </row>
    <row r="48">
      <c r="A48" s="56">
        <f>IF(NOT((COUNTA($B48:$D48)+COUNTA($G48:$L48)+COUNTA($Q48))&gt;0),"",IF($V48="Macro",COUNTIFS($V$5:$V48,"Macro",$S$5:$S48,$S48),IF(N($U48)=0,"?",COUNTIFS(INDEX($V$5:$V$1000,1):INDEX($V$5:$V$1000,$U48-4),"Macro",INDEX($S$5:$S$1000,1):INDEX($S$5:$S$1000,$U48-4),INDEX($S$5:$S$1000,$U48-4))&amp;"."&amp;COUNTIFS($U$5:$U48,$U48,$V$5:$V48,"Sub"))))</f>
        <v/>
      </c>
      <c r="B48" s="57" t="n"/>
      <c r="C48" s="58" t="n"/>
      <c r="D48" s="58" t="n"/>
      <c r="E48" s="59">
        <f>IF(N($AL48)&gt;0,INDEX(rIni_ADM,$AL48),"")</f>
        <v/>
      </c>
      <c r="F48" s="59">
        <f>IF(N($AL48)&gt;0,INDEX(rLim_ADM,$AL48),"")</f>
        <v/>
      </c>
      <c r="G48" s="59" t="n"/>
      <c r="H48" s="60" t="n"/>
      <c r="I48" s="60" t="n"/>
      <c r="J48" s="60" t="n"/>
      <c r="K48" s="60" t="n"/>
      <c r="L48" s="60" t="n"/>
      <c r="M48" s="61">
        <f>IF(NOT((COUNTA($B48:$D48)+COUNTA($G48:$L48)+COUNTA($Q48))&gt;0),"",IF($V48="Sub",IFERROR($X48/INDEX($W$5:$W$1000,$U48-4),""),IF(ISNUMBER($G48),1,IF(N($W48)&gt;0,AVERAGEIFS($X$5:$X$1000,$U$5:$U$1000,ROW(),$V$5:$V$1000,"Sub"),$X48))))</f>
        <v/>
      </c>
      <c r="N48" s="56">
        <f>IF(OR($M48="",$V48="Sub"),"",IF($M48&gt;=1,"Completado",IF($M48&gt;0,"En curso","Pendiente")))</f>
        <v/>
      </c>
      <c r="O48" s="56">
        <f>IF(OR(NOT((COUNTA($B48:$D48)+COUNTA($G48:$L48)+COUNTA($Q48))&gt;0),$V48="Sub"),"",IF(ISNUMBER($G48),IF(AND(ISNUMBER($AN48),$G48&gt;$AN48),"Cumplida con "&amp;($G48-$AN48)&amp;IF($G48-$AN48=1," día"," días")&amp;" de retraso","Cumplida"),IF(N($M48)&gt;=1,"Cumplida",IF(NOT(ISNUMBER($AN48)),"Sin fecha límite",IF($AN48&lt;FechaRef,"Vencida hace "&amp;(FechaRef-$AN48)&amp;IF(FechaRef-$AN48=1," día"," días"),IF($AN48=FechaRef,"Vence hoy",IF($AN48-FechaRef&lt;=DiasAlerta,"Vence en "&amp;($AN48-FechaRef)&amp;IF($AN48-FechaRef=1," día"," días"),"En plazo")))))))</f>
        <v/>
      </c>
      <c r="P48" s="62" t="n"/>
      <c r="Q48" s="58" t="n"/>
      <c r="R48" s="63">
        <f>IF(NOT((COUNTA($B48:$D48)+COUNTA($G48:$L48)+COUNTA($Q48))&gt;0),"",IF((IF($C48="","Falta el nombre de la actividad"&amp;" · ","")&amp;IF(AND($V48="Sub",N($U48)=0),"Subactividad sin macroactividad arriba"&amp;" · ","")&amp;IF($AM48="","Sin fecha de inicio"&amp;" · ","")&amp;IF($AN48="","Sin fecha límite"&amp;" · ","")&amp;IF(AND(LEFT($C48,11)="[Jefatura] ",N($AL48)=0),"No se encuentra en la hoja de la jefatura (elíjala de nuevo en la lista)"&amp;" · ","")&amp;IF(OR(AND($E48&lt;&gt;"",NOT(ISNUMBER($E48))),AND($F48&lt;&gt;"",NOT(ISNUMBER($F48))),AND($G48&lt;&gt;"",NOT(ISNUMBER($G48)))),"Fecha no válida"&amp;" · ","")&amp;IF(AND(ISNUMBER($AM48),ISNUMBER($AN48),$AM48&gt;$AN48),"Inicio posterior a fecha límite"&amp;" · ","")&amp;IF(AND($V48="Macro",$H48&lt;&gt;"",OR(NOT(ISNUMBER($H48)),$H48&lt;0,$H48&gt;1)),"Peso fuera de rango"&amp;" · ","")&amp;IF(AND($V48="Sub",$H48&lt;&gt;""),"Las subactividades no llevan peso (valen igual dentro de su macroactividad)"&amp;" · ","")&amp;IF(AND(N($W48)&gt;0,COUNT($I48:$L48)&gt;0),"Con subactividades: deje vacías las semanas (se calculan solas)"&amp;" · ","")&amp;IF((COUNTIF($I48:$L48,"&gt;1")+COUNTIF($I48:$L48,"&lt;0")+COUNTA($I48:$L48)-COUNT($I48:$L48))&gt;0,"Avance fuera de rango 0-100%"&amp;" · ","")&amp;IF(OR(AND($J48&lt;&gt;"",$J48&lt;$I48),AND($K48&lt;&gt;"",$K48&lt;MAX($I48:$J48)),AND($L48&lt;&gt;"",$L48&lt;MAX($I48:$K48))),"Avance semanal decreciente"&amp;" · ","")&amp;IF(AND(ISNUMBER($AN48),$AN48&lt;FechaRef,IF($V48="Sub",N($X48),N($M48))&lt;1),"Vencida"&amp;" · ","")&amp;IF(AND(ObsObligatoria="Sí",ISNUMBER($AN48),$AN48&lt;FechaRef,IF($V48="Sub",N($X48),N($M48))&lt;1,$Q48=""),"Vencida sin observación"&amp;" · ",""))="","✔ OK","⚠ "&amp;LEFT(IF($C48="","Falta el nombre de la actividad"&amp;" · ","")&amp;IF(AND($V48="Sub",N($U48)=0),"Subactividad sin macroactividad arriba"&amp;" · ","")&amp;IF($AM48="","Sin fecha de inicio"&amp;" · ","")&amp;IF($AN48="","Sin fecha límite"&amp;" · ","")&amp;IF(AND(LEFT($C48,11)="[Jefatura] ",N($AL48)=0),"No se encuentra en la hoja de la jefatura (elíjala de nuevo en la lista)"&amp;" · ","")&amp;IF(OR(AND($E48&lt;&gt;"",NOT(ISNUMBER($E48))),AND($F48&lt;&gt;"",NOT(ISNUMBER($F48))),AND($G48&lt;&gt;"",NOT(ISNUMBER($G48)))),"Fecha no válida"&amp;" · ","")&amp;IF(AND(ISNUMBER($AM48),ISNUMBER($AN48),$AM48&gt;$AN48),"Inicio posterior a fecha límite"&amp;" · ","")&amp;IF(AND($V48="Macro",$H48&lt;&gt;"",OR(NOT(ISNUMBER($H48)),$H48&lt;0,$H48&gt;1)),"Peso fuera de rango"&amp;" · ","")&amp;IF(AND($V48="Sub",$H48&lt;&gt;""),"Las subactividades no llevan peso (valen igual dentro de su macroactividad)"&amp;" · ","")&amp;IF(AND(N($W48)&gt;0,COUNT($I48:$L48)&gt;0),"Con subactividades: deje vacías las semanas (se calculan solas)"&amp;" · ","")&amp;IF((COUNTIF($I48:$L48,"&gt;1")+COUNTIF($I48:$L48,"&lt;0")+COUNTA($I48:$L48)-COUNT($I48:$L48))&gt;0,"Avance fuera de rango 0-100%"&amp;" · ","")&amp;IF(OR(AND($J48&lt;&gt;"",$J48&lt;$I48),AND($K48&lt;&gt;"",$K48&lt;MAX($I48:$J48)),AND($L48&lt;&gt;"",$L48&lt;MAX($I48:$K48))),"Avance semanal decreciente"&amp;" · ","")&amp;IF(AND(ISNUMBER($AN48),$AN48&lt;FechaRef,IF($V48="Sub",N($X48),N($M48))&lt;1),"Vencida"&amp;" · ","")&amp;IF(AND(ObsObligatoria="Sí",ISNUMBER($AN48),$AN48&lt;FechaRef,IF($V48="Sub",N($X48),N($M48))&lt;1,$Q48=""),"Vencida sin observación"&amp;" · ",""),LEN(IF($C48="","Falta el nombre de la actividad"&amp;" · ","")&amp;IF(AND($V48="Sub",N($U48)=0),"Subactividad sin macroactividad arriba"&amp;" · ","")&amp;IF($AM48="","Sin fecha de inicio"&amp;" · ","")&amp;IF($AN48="","Sin fecha límite"&amp;" · ","")&amp;IF(AND(LEFT($C48,11)="[Jefatura] ",N($AL48)=0),"No se encuentra en la hoja de la jefatura (elíjala de nuevo en la lista)"&amp;" · ","")&amp;IF(OR(AND($E48&lt;&gt;"",NOT(ISNUMBER($E48))),AND($F48&lt;&gt;"",NOT(ISNUMBER($F48))),AND($G48&lt;&gt;"",NOT(ISNUMBER($G48)))),"Fecha no válida"&amp;" · ","")&amp;IF(AND(ISNUMBER($AM48),ISNUMBER($AN48),$AM48&gt;$AN48),"Inicio posterior a fecha límite"&amp;" · ","")&amp;IF(AND($V48="Macro",$H48&lt;&gt;"",OR(NOT(ISNUMBER($H48)),$H48&lt;0,$H48&gt;1)),"Peso fuera de rango"&amp;" · ","")&amp;IF(AND($V48="Sub",$H48&lt;&gt;""),"Las subactividades no llevan peso (valen igual dentro de su macroactividad)"&amp;" · ","")&amp;IF(AND(N($W48)&gt;0,COUNT($I48:$L48)&gt;0),"Con subactividades: deje vacías las semanas (se calculan solas)"&amp;" · ","")&amp;IF((COUNTIF($I48:$L48,"&gt;1")+COUNTIF($I48:$L48,"&lt;0")+COUNTA($I48:$L48)-COUNT($I48:$L48))&gt;0,"Avance fuera de rango 0-100%"&amp;" · ","")&amp;IF(OR(AND($J48&lt;&gt;"",$J48&lt;$I48),AND($K48&lt;&gt;"",$K48&lt;MAX($I48:$J48)),AND($L48&lt;&gt;"",$L48&lt;MAX($I48:$K48))),"Avance semanal decreciente"&amp;" · ","")&amp;IF(AND(ISNUMBER($AN48),$AN48&lt;FechaRef,IF($V48="Sub",N($X48),N($M48))&lt;1),"Vencida"&amp;" · ","")&amp;IF(AND(ObsObligatoria="Sí",ISNUMBER($AN48),$AN48&lt;FechaRef,IF($V48="Sub",N($X48),N($M48))&lt;1,$Q48=""),"Vencida sin observación"&amp;" · ",""))-3)))</f>
        <v/>
      </c>
      <c r="S48" s="64">
        <f>IF(NOT((COUNTA($B48:$D48)+COUNTA($G48:$L48)+COUNTA($Q48))&gt;0),"",IF(AND($V48="Sub",N($U48)&gt;0),IF(ISNUMBER(INDEX($AM$5:$AM$1000,$U48-4)),DATE(YEAR(INDEX($AM$5:$AM$1000,$U48-4)),MONTH(INDEX($AM$5:$AM$1000,$U48-4)),1),IF(ISNUMBER(INDEX($AN$5:$AN$1000,$U48-4)),DATE(YEAR(INDEX($AN$5:$AN$1000,$U48-4)),MONTH(INDEX($AN$5:$AN$1000,$U48-4)),1),MesCiclo)),IF(ISNUMBER($AM48),DATE(YEAR($AM48),MONTH($AM48),1),IF(ISNUMBER($AN48),DATE(YEAR($AN48),MONTH($AN48),1),MesCiclo))))</f>
        <v/>
      </c>
      <c r="T48" s="62">
        <f>IF(OR($S48="",$S48&lt;&gt;MesCiclo,$V48&lt;&gt;"Macro"),"",COUNTIFS($S$5:$S48,MesCiclo,$V$5:$V48,"Macro"))</f>
        <v/>
      </c>
      <c r="U48" s="62">
        <f>IF($V48="","",IF($V48="Macro",ROW(),IFERROR(LOOKUP(2,1/($V$5:$V48="Macro"),ROW($V$5:$V48)),0)))</f>
        <v/>
      </c>
      <c r="V48" s="62">
        <f>IF(NOT((COUNTA($B48:$D48)+COUNTA($G48:$L48)+COUNTA($Q48))&gt;0),"",IF($B48="Subactividad","Sub","Macro"))</f>
        <v/>
      </c>
      <c r="W48" s="62">
        <f>IF($V48="Macro",COUNTIFS($U$5:$U$1000,ROW(),$V$5:$V$1000,"Sub"),"")</f>
        <v/>
      </c>
      <c r="X48" s="62">
        <f>IF($V48="","",IF(ISNUMBER($G48),1,IFERROR(LOOKUP(2,1/($I48:$L48&lt;&gt;""),$I48:$L48),0)))</f>
        <v/>
      </c>
      <c r="Y48" s="62">
        <f>IF($V48="","",IF(AND(ISNUMBER($G48),$G48&lt;=IF($S48=MesCiclo,InicioCiclo,$S48+MOD(2-WEEKDAY($S48),7))+6),1,IF(ISNUMBER($I48),$I48,0)))</f>
        <v/>
      </c>
      <c r="Z48" s="62">
        <f>IF($V48="","",IF(AND(ISNUMBER($G48),$G48&lt;=IF($S48=MesCiclo,InicioCiclo,$S48+MOD(2-WEEKDAY($S48),7))+13),1,IF(ISNUMBER($J48),$J48,$Y48)))</f>
        <v/>
      </c>
      <c r="AA48" s="62">
        <f>IF($V48="","",IF(AND(ISNUMBER($G48),$G48&lt;=IF($S48=MesCiclo,InicioCiclo,$S48+MOD(2-WEEKDAY($S48),7))+20),1,IF(ISNUMBER($K48),$K48,$Z48)))</f>
        <v/>
      </c>
      <c r="AB48" s="62">
        <f>IF($V48="","",IF(AND(ISNUMBER($G48),$G48&lt;=IF($S48=MesCiclo,InicioCiclo,$S48+MOD(2-WEEKDAY($S48),7))+27),1,IF(ISNUMBER($L48),$L48,$AA48)))</f>
        <v/>
      </c>
      <c r="AC48" s="62">
        <f>IF($V48="","",IF(AND(ISNUMBER($G48),$G48&lt;=IF($S48=MesCiclo,InicioCiclo,$S48+MOD(2-WEEKDAY($S48),7))+6),1,IF(N($W48)&gt;0,AVERAGEIFS($Y$5:$Y$1000,$U$5:$U$1000,ROW(),$V$5:$V$1000,"Sub"),$Y48)))</f>
        <v/>
      </c>
      <c r="AD48" s="62">
        <f>IF($V48="","",IF(AND(ISNUMBER($G48),$G48&lt;=IF($S48=MesCiclo,InicioCiclo,$S48+MOD(2-WEEKDAY($S48),7))+13),1,IF(N($W48)&gt;0,AVERAGEIFS($Z$5:$Z$1000,$U$5:$U$1000,ROW(),$V$5:$V$1000,"Sub"),$Z48)))</f>
        <v/>
      </c>
      <c r="AE48" s="62">
        <f>IF($V48="","",IF(AND(ISNUMBER($G48),$G48&lt;=IF($S48=MesCiclo,InicioCiclo,$S48+MOD(2-WEEKDAY($S48),7))+20),1,IF(N($W48)&gt;0,AVERAGEIFS($AA$5:$AA$1000,$U$5:$U$1000,ROW(),$V$5:$V$1000,"Sub"),$AA48)))</f>
        <v/>
      </c>
      <c r="AF48" s="62">
        <f>IF($V48="","",IF(AND(ISNUMBER($G48),$G48&lt;=IF($S48=MesCiclo,InicioCiclo,$S48+MOD(2-WEEKDAY($S48),7))+27),1,IF(N($W48)&gt;0,AVERAGEIFS($AB$5:$AB$1000,$U$5:$U$1000,ROW(),$V$5:$V$1000,"Sub"),$AB48)))</f>
        <v/>
      </c>
      <c r="AG48" s="62">
        <f>IF($V48&lt;&gt;"Macro","",IF(COUNTIFS($S$5:$S$1000,$S48,$V$5:$V$1000,"Macro",$H$5:$H$1000,"&gt;0")=0,1/COUNTIFS($S$5:$S$1000,$S48,$V$5:$V$1000,"Macro"),IF(AND(ISNUMBER($H48),N($H48)&gt;0),$H48,SUMIFS($H$5:$H$1000,$S$5:$S$1000,$S48,$V$5:$V$1000,"Macro")/COUNTIFS($S$5:$S$1000,$S48,$V$5:$V$1000,"Macro",$H$5:$H$1000,"&gt;0"))/(COUNTIFS($S$5:$S$1000,$S48,$V$5:$V$1000,"Macro")*SUMIFS($H$5:$H$1000,$S$5:$S$1000,$S48,$V$5:$V$1000,"Macro")/COUNTIFS($S$5:$S$1000,$S48,$V$5:$V$1000,"Macro",$H$5:$H$1000,"&gt;0"))))</f>
        <v/>
      </c>
      <c r="AH48" s="62" t="n"/>
      <c r="AI48" s="62" t="n"/>
      <c r="AJ48" s="62" t="n"/>
      <c r="AK48" s="62" t="n"/>
      <c r="AL48" s="62">
        <f>IF(LEFT($C48,11)="[Jefatura] ",IFERROR(MATCH("Riesgo Normativo|"&amp;MID($C48,12,500),rDname_ADM,0),0),"")</f>
        <v/>
      </c>
      <c r="AM48" s="62">
        <f>IF(N($AL48)&gt;0,INDEX(rIni_ADM,$AL48),IF(ISNUMBER($E48),$E48,""))</f>
        <v/>
      </c>
      <c r="AN48" s="62">
        <f>IF(N($AL48)&gt;0,INDEX(rLim_ADM,$AL48),IF(ISNUMBER($F48),$F48,""))</f>
        <v/>
      </c>
    </row>
    <row r="49">
      <c r="A49" s="56">
        <f>IF(NOT((COUNTA($B49:$D49)+COUNTA($G49:$L49)+COUNTA($Q49))&gt;0),"",IF($V49="Macro",COUNTIFS($V$5:$V49,"Macro",$S$5:$S49,$S49),IF(N($U49)=0,"?",COUNTIFS(INDEX($V$5:$V$1000,1):INDEX($V$5:$V$1000,$U49-4),"Macro",INDEX($S$5:$S$1000,1):INDEX($S$5:$S$1000,$U49-4),INDEX($S$5:$S$1000,$U49-4))&amp;"."&amp;COUNTIFS($U$5:$U49,$U49,$V$5:$V49,"Sub"))))</f>
        <v/>
      </c>
      <c r="B49" s="57" t="n"/>
      <c r="C49" s="58" t="n"/>
      <c r="D49" s="58" t="n"/>
      <c r="E49" s="59">
        <f>IF(N($AL49)&gt;0,INDEX(rIni_ADM,$AL49),"")</f>
        <v/>
      </c>
      <c r="F49" s="59">
        <f>IF(N($AL49)&gt;0,INDEX(rLim_ADM,$AL49),"")</f>
        <v/>
      </c>
      <c r="G49" s="59" t="n"/>
      <c r="H49" s="60" t="n"/>
      <c r="I49" s="60" t="n"/>
      <c r="J49" s="60" t="n"/>
      <c r="K49" s="60" t="n"/>
      <c r="L49" s="60" t="n"/>
      <c r="M49" s="61">
        <f>IF(NOT((COUNTA($B49:$D49)+COUNTA($G49:$L49)+COUNTA($Q49))&gt;0),"",IF($V49="Sub",IFERROR($X49/INDEX($W$5:$W$1000,$U49-4),""),IF(ISNUMBER($G49),1,IF(N($W49)&gt;0,AVERAGEIFS($X$5:$X$1000,$U$5:$U$1000,ROW(),$V$5:$V$1000,"Sub"),$X49))))</f>
        <v/>
      </c>
      <c r="N49" s="56">
        <f>IF(OR($M49="",$V49="Sub"),"",IF($M49&gt;=1,"Completado",IF($M49&gt;0,"En curso","Pendiente")))</f>
        <v/>
      </c>
      <c r="O49" s="56">
        <f>IF(OR(NOT((COUNTA($B49:$D49)+COUNTA($G49:$L49)+COUNTA($Q49))&gt;0),$V49="Sub"),"",IF(ISNUMBER($G49),IF(AND(ISNUMBER($AN49),$G49&gt;$AN49),"Cumplida con "&amp;($G49-$AN49)&amp;IF($G49-$AN49=1," día"," días")&amp;" de retraso","Cumplida"),IF(N($M49)&gt;=1,"Cumplida",IF(NOT(ISNUMBER($AN49)),"Sin fecha límite",IF($AN49&lt;FechaRef,"Vencida hace "&amp;(FechaRef-$AN49)&amp;IF(FechaRef-$AN49=1," día"," días"),IF($AN49=FechaRef,"Vence hoy",IF($AN49-FechaRef&lt;=DiasAlerta,"Vence en "&amp;($AN49-FechaRef)&amp;IF($AN49-FechaRef=1," día"," días"),"En plazo")))))))</f>
        <v/>
      </c>
      <c r="P49" s="62" t="n"/>
      <c r="Q49" s="58" t="n"/>
      <c r="R49" s="63">
        <f>IF(NOT((COUNTA($B49:$D49)+COUNTA($G49:$L49)+COUNTA($Q49))&gt;0),"",IF((IF($C49="","Falta el nombre de la actividad"&amp;" · ","")&amp;IF(AND($V49="Sub",N($U49)=0),"Subactividad sin macroactividad arriba"&amp;" · ","")&amp;IF($AM49="","Sin fecha de inicio"&amp;" · ","")&amp;IF($AN49="","Sin fecha límite"&amp;" · ","")&amp;IF(AND(LEFT($C49,11)="[Jefatura] ",N($AL49)=0),"No se encuentra en la hoja de la jefatura (elíjala de nuevo en la lista)"&amp;" · ","")&amp;IF(OR(AND($E49&lt;&gt;"",NOT(ISNUMBER($E49))),AND($F49&lt;&gt;"",NOT(ISNUMBER($F49))),AND($G49&lt;&gt;"",NOT(ISNUMBER($G49)))),"Fecha no válida"&amp;" · ","")&amp;IF(AND(ISNUMBER($AM49),ISNUMBER($AN49),$AM49&gt;$AN49),"Inicio posterior a fecha límite"&amp;" · ","")&amp;IF(AND($V49="Macro",$H49&lt;&gt;"",OR(NOT(ISNUMBER($H49)),$H49&lt;0,$H49&gt;1)),"Peso fuera de rango"&amp;" · ","")&amp;IF(AND($V49="Sub",$H49&lt;&gt;""),"Las subactividades no llevan peso (valen igual dentro de su macroactividad)"&amp;" · ","")&amp;IF(AND(N($W49)&gt;0,COUNT($I49:$L49)&gt;0),"Con subactividades: deje vacías las semanas (se calculan solas)"&amp;" · ","")&amp;IF((COUNTIF($I49:$L49,"&gt;1")+COUNTIF($I49:$L49,"&lt;0")+COUNTA($I49:$L49)-COUNT($I49:$L49))&gt;0,"Avance fuera de rango 0-100%"&amp;" · ","")&amp;IF(OR(AND($J49&lt;&gt;"",$J49&lt;$I49),AND($K49&lt;&gt;"",$K49&lt;MAX($I49:$J49)),AND($L49&lt;&gt;"",$L49&lt;MAX($I49:$K49))),"Avance semanal decreciente"&amp;" · ","")&amp;IF(AND(ISNUMBER($AN49),$AN49&lt;FechaRef,IF($V49="Sub",N($X49),N($M49))&lt;1),"Vencida"&amp;" · ","")&amp;IF(AND(ObsObligatoria="Sí",ISNUMBER($AN49),$AN49&lt;FechaRef,IF($V49="Sub",N($X49),N($M49))&lt;1,$Q49=""),"Vencida sin observación"&amp;" · ",""))="","✔ OK","⚠ "&amp;LEFT(IF($C49="","Falta el nombre de la actividad"&amp;" · ","")&amp;IF(AND($V49="Sub",N($U49)=0),"Subactividad sin macroactividad arriba"&amp;" · ","")&amp;IF($AM49="","Sin fecha de inicio"&amp;" · ","")&amp;IF($AN49="","Sin fecha límite"&amp;" · ","")&amp;IF(AND(LEFT($C49,11)="[Jefatura] ",N($AL49)=0),"No se encuentra en la hoja de la jefatura (elíjala de nuevo en la lista)"&amp;" · ","")&amp;IF(OR(AND($E49&lt;&gt;"",NOT(ISNUMBER($E49))),AND($F49&lt;&gt;"",NOT(ISNUMBER($F49))),AND($G49&lt;&gt;"",NOT(ISNUMBER($G49)))),"Fecha no válida"&amp;" · ","")&amp;IF(AND(ISNUMBER($AM49),ISNUMBER($AN49),$AM49&gt;$AN49),"Inicio posterior a fecha límite"&amp;" · ","")&amp;IF(AND($V49="Macro",$H49&lt;&gt;"",OR(NOT(ISNUMBER($H49)),$H49&lt;0,$H49&gt;1)),"Peso fuera de rango"&amp;" · ","")&amp;IF(AND($V49="Sub",$H49&lt;&gt;""),"Las subactividades no llevan peso (valen igual dentro de su macroactividad)"&amp;" · ","")&amp;IF(AND(N($W49)&gt;0,COUNT($I49:$L49)&gt;0),"Con subactividades: deje vacías las semanas (se calculan solas)"&amp;" · ","")&amp;IF((COUNTIF($I49:$L49,"&gt;1")+COUNTIF($I49:$L49,"&lt;0")+COUNTA($I49:$L49)-COUNT($I49:$L49))&gt;0,"Avance fuera de rango 0-100%"&amp;" · ","")&amp;IF(OR(AND($J49&lt;&gt;"",$J49&lt;$I49),AND($K49&lt;&gt;"",$K49&lt;MAX($I49:$J49)),AND($L49&lt;&gt;"",$L49&lt;MAX($I49:$K49))),"Avance semanal decreciente"&amp;" · ","")&amp;IF(AND(ISNUMBER($AN49),$AN49&lt;FechaRef,IF($V49="Sub",N($X49),N($M49))&lt;1),"Vencida"&amp;" · ","")&amp;IF(AND(ObsObligatoria="Sí",ISNUMBER($AN49),$AN49&lt;FechaRef,IF($V49="Sub",N($X49),N($M49))&lt;1,$Q49=""),"Vencida sin observación"&amp;" · ",""),LEN(IF($C49="","Falta el nombre de la actividad"&amp;" · ","")&amp;IF(AND($V49="Sub",N($U49)=0),"Subactividad sin macroactividad arriba"&amp;" · ","")&amp;IF($AM49="","Sin fecha de inicio"&amp;" · ","")&amp;IF($AN49="","Sin fecha límite"&amp;" · ","")&amp;IF(AND(LEFT($C49,11)="[Jefatura] ",N($AL49)=0),"No se encuentra en la hoja de la jefatura (elíjala de nuevo en la lista)"&amp;" · ","")&amp;IF(OR(AND($E49&lt;&gt;"",NOT(ISNUMBER($E49))),AND($F49&lt;&gt;"",NOT(ISNUMBER($F49))),AND($G49&lt;&gt;"",NOT(ISNUMBER($G49)))),"Fecha no válida"&amp;" · ","")&amp;IF(AND(ISNUMBER($AM49),ISNUMBER($AN49),$AM49&gt;$AN49),"Inicio posterior a fecha límite"&amp;" · ","")&amp;IF(AND($V49="Macro",$H49&lt;&gt;"",OR(NOT(ISNUMBER($H49)),$H49&lt;0,$H49&gt;1)),"Peso fuera de rango"&amp;" · ","")&amp;IF(AND($V49="Sub",$H49&lt;&gt;""),"Las subactividades no llevan peso (valen igual dentro de su macroactividad)"&amp;" · ","")&amp;IF(AND(N($W49)&gt;0,COUNT($I49:$L49)&gt;0),"Con subactividades: deje vacías las semanas (se calculan solas)"&amp;" · ","")&amp;IF((COUNTIF($I49:$L49,"&gt;1")+COUNTIF($I49:$L49,"&lt;0")+COUNTA($I49:$L49)-COUNT($I49:$L49))&gt;0,"Avance fuera de rango 0-100%"&amp;" · ","")&amp;IF(OR(AND($J49&lt;&gt;"",$J49&lt;$I49),AND($K49&lt;&gt;"",$K49&lt;MAX($I49:$J49)),AND($L49&lt;&gt;"",$L49&lt;MAX($I49:$K49))),"Avance semanal decreciente"&amp;" · ","")&amp;IF(AND(ISNUMBER($AN49),$AN49&lt;FechaRef,IF($V49="Sub",N($X49),N($M49))&lt;1),"Vencida"&amp;" · ","")&amp;IF(AND(ObsObligatoria="Sí",ISNUMBER($AN49),$AN49&lt;FechaRef,IF($V49="Sub",N($X49),N($M49))&lt;1,$Q49=""),"Vencida sin observación"&amp;" · ",""))-3)))</f>
        <v/>
      </c>
      <c r="S49" s="64">
        <f>IF(NOT((COUNTA($B49:$D49)+COUNTA($G49:$L49)+COUNTA($Q49))&gt;0),"",IF(AND($V49="Sub",N($U49)&gt;0),IF(ISNUMBER(INDEX($AM$5:$AM$1000,$U49-4)),DATE(YEAR(INDEX($AM$5:$AM$1000,$U49-4)),MONTH(INDEX($AM$5:$AM$1000,$U49-4)),1),IF(ISNUMBER(INDEX($AN$5:$AN$1000,$U49-4)),DATE(YEAR(INDEX($AN$5:$AN$1000,$U49-4)),MONTH(INDEX($AN$5:$AN$1000,$U49-4)),1),MesCiclo)),IF(ISNUMBER($AM49),DATE(YEAR($AM49),MONTH($AM49),1),IF(ISNUMBER($AN49),DATE(YEAR($AN49),MONTH($AN49),1),MesCiclo))))</f>
        <v/>
      </c>
      <c r="T49" s="62">
        <f>IF(OR($S49="",$S49&lt;&gt;MesCiclo,$V49&lt;&gt;"Macro"),"",COUNTIFS($S$5:$S49,MesCiclo,$V$5:$V49,"Macro"))</f>
        <v/>
      </c>
      <c r="U49" s="62">
        <f>IF($V49="","",IF($V49="Macro",ROW(),IFERROR(LOOKUP(2,1/($V$5:$V49="Macro"),ROW($V$5:$V49)),0)))</f>
        <v/>
      </c>
      <c r="V49" s="62">
        <f>IF(NOT((COUNTA($B49:$D49)+COUNTA($G49:$L49)+COUNTA($Q49))&gt;0),"",IF($B49="Subactividad","Sub","Macro"))</f>
        <v/>
      </c>
      <c r="W49" s="62">
        <f>IF($V49="Macro",COUNTIFS($U$5:$U$1000,ROW(),$V$5:$V$1000,"Sub"),"")</f>
        <v/>
      </c>
      <c r="X49" s="62">
        <f>IF($V49="","",IF(ISNUMBER($G49),1,IFERROR(LOOKUP(2,1/($I49:$L49&lt;&gt;""),$I49:$L49),0)))</f>
        <v/>
      </c>
      <c r="Y49" s="62">
        <f>IF($V49="","",IF(AND(ISNUMBER($G49),$G49&lt;=IF($S49=MesCiclo,InicioCiclo,$S49+MOD(2-WEEKDAY($S49),7))+6),1,IF(ISNUMBER($I49),$I49,0)))</f>
        <v/>
      </c>
      <c r="Z49" s="62">
        <f>IF($V49="","",IF(AND(ISNUMBER($G49),$G49&lt;=IF($S49=MesCiclo,InicioCiclo,$S49+MOD(2-WEEKDAY($S49),7))+13),1,IF(ISNUMBER($J49),$J49,$Y49)))</f>
        <v/>
      </c>
      <c r="AA49" s="62">
        <f>IF($V49="","",IF(AND(ISNUMBER($G49),$G49&lt;=IF($S49=MesCiclo,InicioCiclo,$S49+MOD(2-WEEKDAY($S49),7))+20),1,IF(ISNUMBER($K49),$K49,$Z49)))</f>
        <v/>
      </c>
      <c r="AB49" s="62">
        <f>IF($V49="","",IF(AND(ISNUMBER($G49),$G49&lt;=IF($S49=MesCiclo,InicioCiclo,$S49+MOD(2-WEEKDAY($S49),7))+27),1,IF(ISNUMBER($L49),$L49,$AA49)))</f>
        <v/>
      </c>
      <c r="AC49" s="62">
        <f>IF($V49="","",IF(AND(ISNUMBER($G49),$G49&lt;=IF($S49=MesCiclo,InicioCiclo,$S49+MOD(2-WEEKDAY($S49),7))+6),1,IF(N($W49)&gt;0,AVERAGEIFS($Y$5:$Y$1000,$U$5:$U$1000,ROW(),$V$5:$V$1000,"Sub"),$Y49)))</f>
        <v/>
      </c>
      <c r="AD49" s="62">
        <f>IF($V49="","",IF(AND(ISNUMBER($G49),$G49&lt;=IF($S49=MesCiclo,InicioCiclo,$S49+MOD(2-WEEKDAY($S49),7))+13),1,IF(N($W49)&gt;0,AVERAGEIFS($Z$5:$Z$1000,$U$5:$U$1000,ROW(),$V$5:$V$1000,"Sub"),$Z49)))</f>
        <v/>
      </c>
      <c r="AE49" s="62">
        <f>IF($V49="","",IF(AND(ISNUMBER($G49),$G49&lt;=IF($S49=MesCiclo,InicioCiclo,$S49+MOD(2-WEEKDAY($S49),7))+20),1,IF(N($W49)&gt;0,AVERAGEIFS($AA$5:$AA$1000,$U$5:$U$1000,ROW(),$V$5:$V$1000,"Sub"),$AA49)))</f>
        <v/>
      </c>
      <c r="AF49" s="62">
        <f>IF($V49="","",IF(AND(ISNUMBER($G49),$G49&lt;=IF($S49=MesCiclo,InicioCiclo,$S49+MOD(2-WEEKDAY($S49),7))+27),1,IF(N($W49)&gt;0,AVERAGEIFS($AB$5:$AB$1000,$U$5:$U$1000,ROW(),$V$5:$V$1000,"Sub"),$AB49)))</f>
        <v/>
      </c>
      <c r="AG49" s="62">
        <f>IF($V49&lt;&gt;"Macro","",IF(COUNTIFS($S$5:$S$1000,$S49,$V$5:$V$1000,"Macro",$H$5:$H$1000,"&gt;0")=0,1/COUNTIFS($S$5:$S$1000,$S49,$V$5:$V$1000,"Macro"),IF(AND(ISNUMBER($H49),N($H49)&gt;0),$H49,SUMIFS($H$5:$H$1000,$S$5:$S$1000,$S49,$V$5:$V$1000,"Macro")/COUNTIFS($S$5:$S$1000,$S49,$V$5:$V$1000,"Macro",$H$5:$H$1000,"&gt;0"))/(COUNTIFS($S$5:$S$1000,$S49,$V$5:$V$1000,"Macro")*SUMIFS($H$5:$H$1000,$S$5:$S$1000,$S49,$V$5:$V$1000,"Macro")/COUNTIFS($S$5:$S$1000,$S49,$V$5:$V$1000,"Macro",$H$5:$H$1000,"&gt;0"))))</f>
        <v/>
      </c>
      <c r="AH49" s="62" t="n"/>
      <c r="AI49" s="62" t="n"/>
      <c r="AJ49" s="62" t="n"/>
      <c r="AK49" s="62" t="n"/>
      <c r="AL49" s="62">
        <f>IF(LEFT($C49,11)="[Jefatura] ",IFERROR(MATCH("Riesgo Normativo|"&amp;MID($C49,12,500),rDname_ADM,0),0),"")</f>
        <v/>
      </c>
      <c r="AM49" s="62">
        <f>IF(N($AL49)&gt;0,INDEX(rIni_ADM,$AL49),IF(ISNUMBER($E49),$E49,""))</f>
        <v/>
      </c>
      <c r="AN49" s="62">
        <f>IF(N($AL49)&gt;0,INDEX(rLim_ADM,$AL49),IF(ISNUMBER($F49),$F49,""))</f>
        <v/>
      </c>
    </row>
    <row r="50">
      <c r="A50" s="56">
        <f>IF(NOT((COUNTA($B50:$D50)+COUNTA($G50:$L50)+COUNTA($Q50))&gt;0),"",IF($V50="Macro",COUNTIFS($V$5:$V50,"Macro",$S$5:$S50,$S50),IF(N($U50)=0,"?",COUNTIFS(INDEX($V$5:$V$1000,1):INDEX($V$5:$V$1000,$U50-4),"Macro",INDEX($S$5:$S$1000,1):INDEX($S$5:$S$1000,$U50-4),INDEX($S$5:$S$1000,$U50-4))&amp;"."&amp;COUNTIFS($U$5:$U50,$U50,$V$5:$V50,"Sub"))))</f>
        <v/>
      </c>
      <c r="B50" s="57" t="n"/>
      <c r="C50" s="58" t="n"/>
      <c r="D50" s="58" t="n"/>
      <c r="E50" s="59">
        <f>IF(N($AL50)&gt;0,INDEX(rIni_ADM,$AL50),"")</f>
        <v/>
      </c>
      <c r="F50" s="59">
        <f>IF(N($AL50)&gt;0,INDEX(rLim_ADM,$AL50),"")</f>
        <v/>
      </c>
      <c r="G50" s="59" t="n"/>
      <c r="H50" s="60" t="n"/>
      <c r="I50" s="60" t="n"/>
      <c r="J50" s="60" t="n"/>
      <c r="K50" s="60" t="n"/>
      <c r="L50" s="60" t="n"/>
      <c r="M50" s="61">
        <f>IF(NOT((COUNTA($B50:$D50)+COUNTA($G50:$L50)+COUNTA($Q50))&gt;0),"",IF($V50="Sub",IFERROR($X50/INDEX($W$5:$W$1000,$U50-4),""),IF(ISNUMBER($G50),1,IF(N($W50)&gt;0,AVERAGEIFS($X$5:$X$1000,$U$5:$U$1000,ROW(),$V$5:$V$1000,"Sub"),$X50))))</f>
        <v/>
      </c>
      <c r="N50" s="56">
        <f>IF(OR($M50="",$V50="Sub"),"",IF($M50&gt;=1,"Completado",IF($M50&gt;0,"En curso","Pendiente")))</f>
        <v/>
      </c>
      <c r="O50" s="56">
        <f>IF(OR(NOT((COUNTA($B50:$D50)+COUNTA($G50:$L50)+COUNTA($Q50))&gt;0),$V50="Sub"),"",IF(ISNUMBER($G50),IF(AND(ISNUMBER($AN50),$G50&gt;$AN50),"Cumplida con "&amp;($G50-$AN50)&amp;IF($G50-$AN50=1," día"," días")&amp;" de retraso","Cumplida"),IF(N($M50)&gt;=1,"Cumplida",IF(NOT(ISNUMBER($AN50)),"Sin fecha límite",IF($AN50&lt;FechaRef,"Vencida hace "&amp;(FechaRef-$AN50)&amp;IF(FechaRef-$AN50=1," día"," días"),IF($AN50=FechaRef,"Vence hoy",IF($AN50-FechaRef&lt;=DiasAlerta,"Vence en "&amp;($AN50-FechaRef)&amp;IF($AN50-FechaRef=1," día"," días"),"En plazo")))))))</f>
        <v/>
      </c>
      <c r="P50" s="62" t="n"/>
      <c r="Q50" s="58" t="n"/>
      <c r="R50" s="63">
        <f>IF(NOT((COUNTA($B50:$D50)+COUNTA($G50:$L50)+COUNTA($Q50))&gt;0),"",IF((IF($C50="","Falta el nombre de la actividad"&amp;" · ","")&amp;IF(AND($V50="Sub",N($U50)=0),"Subactividad sin macroactividad arriba"&amp;" · ","")&amp;IF($AM50="","Sin fecha de inicio"&amp;" · ","")&amp;IF($AN50="","Sin fecha límite"&amp;" · ","")&amp;IF(AND(LEFT($C50,11)="[Jefatura] ",N($AL50)=0),"No se encuentra en la hoja de la jefatura (elíjala de nuevo en la lista)"&amp;" · ","")&amp;IF(OR(AND($E50&lt;&gt;"",NOT(ISNUMBER($E50))),AND($F50&lt;&gt;"",NOT(ISNUMBER($F50))),AND($G50&lt;&gt;"",NOT(ISNUMBER($G50)))),"Fecha no válida"&amp;" · ","")&amp;IF(AND(ISNUMBER($AM50),ISNUMBER($AN50),$AM50&gt;$AN50),"Inicio posterior a fecha límite"&amp;" · ","")&amp;IF(AND($V50="Macro",$H50&lt;&gt;"",OR(NOT(ISNUMBER($H50)),$H50&lt;0,$H50&gt;1)),"Peso fuera de rango"&amp;" · ","")&amp;IF(AND($V50="Sub",$H50&lt;&gt;""),"Las subactividades no llevan peso (valen igual dentro de su macroactividad)"&amp;" · ","")&amp;IF(AND(N($W50)&gt;0,COUNT($I50:$L50)&gt;0),"Con subactividades: deje vacías las semanas (se calculan solas)"&amp;" · ","")&amp;IF((COUNTIF($I50:$L50,"&gt;1")+COUNTIF($I50:$L50,"&lt;0")+COUNTA($I50:$L50)-COUNT($I50:$L50))&gt;0,"Avance fuera de rango 0-100%"&amp;" · ","")&amp;IF(OR(AND($J50&lt;&gt;"",$J50&lt;$I50),AND($K50&lt;&gt;"",$K50&lt;MAX($I50:$J50)),AND($L50&lt;&gt;"",$L50&lt;MAX($I50:$K50))),"Avance semanal decreciente"&amp;" · ","")&amp;IF(AND(ISNUMBER($AN50),$AN50&lt;FechaRef,IF($V50="Sub",N($X50),N($M50))&lt;1),"Vencida"&amp;" · ","")&amp;IF(AND(ObsObligatoria="Sí",ISNUMBER($AN50),$AN50&lt;FechaRef,IF($V50="Sub",N($X50),N($M50))&lt;1,$Q50=""),"Vencida sin observación"&amp;" · ",""))="","✔ OK","⚠ "&amp;LEFT(IF($C50="","Falta el nombre de la actividad"&amp;" · ","")&amp;IF(AND($V50="Sub",N($U50)=0),"Subactividad sin macroactividad arriba"&amp;" · ","")&amp;IF($AM50="","Sin fecha de inicio"&amp;" · ","")&amp;IF($AN50="","Sin fecha límite"&amp;" · ","")&amp;IF(AND(LEFT($C50,11)="[Jefatura] ",N($AL50)=0),"No se encuentra en la hoja de la jefatura (elíjala de nuevo en la lista)"&amp;" · ","")&amp;IF(OR(AND($E50&lt;&gt;"",NOT(ISNUMBER($E50))),AND($F50&lt;&gt;"",NOT(ISNUMBER($F50))),AND($G50&lt;&gt;"",NOT(ISNUMBER($G50)))),"Fecha no válida"&amp;" · ","")&amp;IF(AND(ISNUMBER($AM50),ISNUMBER($AN50),$AM50&gt;$AN50),"Inicio posterior a fecha límite"&amp;" · ","")&amp;IF(AND($V50="Macro",$H50&lt;&gt;"",OR(NOT(ISNUMBER($H50)),$H50&lt;0,$H50&gt;1)),"Peso fuera de rango"&amp;" · ","")&amp;IF(AND($V50="Sub",$H50&lt;&gt;""),"Las subactividades no llevan peso (valen igual dentro de su macroactividad)"&amp;" · ","")&amp;IF(AND(N($W50)&gt;0,COUNT($I50:$L50)&gt;0),"Con subactividades: deje vacías las semanas (se calculan solas)"&amp;" · ","")&amp;IF((COUNTIF($I50:$L50,"&gt;1")+COUNTIF($I50:$L50,"&lt;0")+COUNTA($I50:$L50)-COUNT($I50:$L50))&gt;0,"Avance fuera de rango 0-100%"&amp;" · ","")&amp;IF(OR(AND($J50&lt;&gt;"",$J50&lt;$I50),AND($K50&lt;&gt;"",$K50&lt;MAX($I50:$J50)),AND($L50&lt;&gt;"",$L50&lt;MAX($I50:$K50))),"Avance semanal decreciente"&amp;" · ","")&amp;IF(AND(ISNUMBER($AN50),$AN50&lt;FechaRef,IF($V50="Sub",N($X50),N($M50))&lt;1),"Vencida"&amp;" · ","")&amp;IF(AND(ObsObligatoria="Sí",ISNUMBER($AN50),$AN50&lt;FechaRef,IF($V50="Sub",N($X50),N($M50))&lt;1,$Q50=""),"Vencida sin observación"&amp;" · ",""),LEN(IF($C50="","Falta el nombre de la actividad"&amp;" · ","")&amp;IF(AND($V50="Sub",N($U50)=0),"Subactividad sin macroactividad arriba"&amp;" · ","")&amp;IF($AM50="","Sin fecha de inicio"&amp;" · ","")&amp;IF($AN50="","Sin fecha límite"&amp;" · ","")&amp;IF(AND(LEFT($C50,11)="[Jefatura] ",N($AL50)=0),"No se encuentra en la hoja de la jefatura (elíjala de nuevo en la lista)"&amp;" · ","")&amp;IF(OR(AND($E50&lt;&gt;"",NOT(ISNUMBER($E50))),AND($F50&lt;&gt;"",NOT(ISNUMBER($F50))),AND($G50&lt;&gt;"",NOT(ISNUMBER($G50)))),"Fecha no válida"&amp;" · ","")&amp;IF(AND(ISNUMBER($AM50),ISNUMBER($AN50),$AM50&gt;$AN50),"Inicio posterior a fecha límite"&amp;" · ","")&amp;IF(AND($V50="Macro",$H50&lt;&gt;"",OR(NOT(ISNUMBER($H50)),$H50&lt;0,$H50&gt;1)),"Peso fuera de rango"&amp;" · ","")&amp;IF(AND($V50="Sub",$H50&lt;&gt;""),"Las subactividades no llevan peso (valen igual dentro de su macroactividad)"&amp;" · ","")&amp;IF(AND(N($W50)&gt;0,COUNT($I50:$L50)&gt;0),"Con subactividades: deje vacías las semanas (se calculan solas)"&amp;" · ","")&amp;IF((COUNTIF($I50:$L50,"&gt;1")+COUNTIF($I50:$L50,"&lt;0")+COUNTA($I50:$L50)-COUNT($I50:$L50))&gt;0,"Avance fuera de rango 0-100%"&amp;" · ","")&amp;IF(OR(AND($J50&lt;&gt;"",$J50&lt;$I50),AND($K50&lt;&gt;"",$K50&lt;MAX($I50:$J50)),AND($L50&lt;&gt;"",$L50&lt;MAX($I50:$K50))),"Avance semanal decreciente"&amp;" · ","")&amp;IF(AND(ISNUMBER($AN50),$AN50&lt;FechaRef,IF($V50="Sub",N($X50),N($M50))&lt;1),"Vencida"&amp;" · ","")&amp;IF(AND(ObsObligatoria="Sí",ISNUMBER($AN50),$AN50&lt;FechaRef,IF($V50="Sub",N($X50),N($M50))&lt;1,$Q50=""),"Vencida sin observación"&amp;" · ",""))-3)))</f>
        <v/>
      </c>
      <c r="S50" s="64">
        <f>IF(NOT((COUNTA($B50:$D50)+COUNTA($G50:$L50)+COUNTA($Q50))&gt;0),"",IF(AND($V50="Sub",N($U50)&gt;0),IF(ISNUMBER(INDEX($AM$5:$AM$1000,$U50-4)),DATE(YEAR(INDEX($AM$5:$AM$1000,$U50-4)),MONTH(INDEX($AM$5:$AM$1000,$U50-4)),1),IF(ISNUMBER(INDEX($AN$5:$AN$1000,$U50-4)),DATE(YEAR(INDEX($AN$5:$AN$1000,$U50-4)),MONTH(INDEX($AN$5:$AN$1000,$U50-4)),1),MesCiclo)),IF(ISNUMBER($AM50),DATE(YEAR($AM50),MONTH($AM50),1),IF(ISNUMBER($AN50),DATE(YEAR($AN50),MONTH($AN50),1),MesCiclo))))</f>
        <v/>
      </c>
      <c r="T50" s="62">
        <f>IF(OR($S50="",$S50&lt;&gt;MesCiclo,$V50&lt;&gt;"Macro"),"",COUNTIFS($S$5:$S50,MesCiclo,$V$5:$V50,"Macro"))</f>
        <v/>
      </c>
      <c r="U50" s="62">
        <f>IF($V50="","",IF($V50="Macro",ROW(),IFERROR(LOOKUP(2,1/($V$5:$V50="Macro"),ROW($V$5:$V50)),0)))</f>
        <v/>
      </c>
      <c r="V50" s="62">
        <f>IF(NOT((COUNTA($B50:$D50)+COUNTA($G50:$L50)+COUNTA($Q50))&gt;0),"",IF($B50="Subactividad","Sub","Macro"))</f>
        <v/>
      </c>
      <c r="W50" s="62">
        <f>IF($V50="Macro",COUNTIFS($U$5:$U$1000,ROW(),$V$5:$V$1000,"Sub"),"")</f>
        <v/>
      </c>
      <c r="X50" s="62">
        <f>IF($V50="","",IF(ISNUMBER($G50),1,IFERROR(LOOKUP(2,1/($I50:$L50&lt;&gt;""),$I50:$L50),0)))</f>
        <v/>
      </c>
      <c r="Y50" s="62">
        <f>IF($V50="","",IF(AND(ISNUMBER($G50),$G50&lt;=IF($S50=MesCiclo,InicioCiclo,$S50+MOD(2-WEEKDAY($S50),7))+6),1,IF(ISNUMBER($I50),$I50,0)))</f>
        <v/>
      </c>
      <c r="Z50" s="62">
        <f>IF($V50="","",IF(AND(ISNUMBER($G50),$G50&lt;=IF($S50=MesCiclo,InicioCiclo,$S50+MOD(2-WEEKDAY($S50),7))+13),1,IF(ISNUMBER($J50),$J50,$Y50)))</f>
        <v/>
      </c>
      <c r="AA50" s="62">
        <f>IF($V50="","",IF(AND(ISNUMBER($G50),$G50&lt;=IF($S50=MesCiclo,InicioCiclo,$S50+MOD(2-WEEKDAY($S50),7))+20),1,IF(ISNUMBER($K50),$K50,$Z50)))</f>
        <v/>
      </c>
      <c r="AB50" s="62">
        <f>IF($V50="","",IF(AND(ISNUMBER($G50),$G50&lt;=IF($S50=MesCiclo,InicioCiclo,$S50+MOD(2-WEEKDAY($S50),7))+27),1,IF(ISNUMBER($L50),$L50,$AA50)))</f>
        <v/>
      </c>
      <c r="AC50" s="62">
        <f>IF($V50="","",IF(AND(ISNUMBER($G50),$G50&lt;=IF($S50=MesCiclo,InicioCiclo,$S50+MOD(2-WEEKDAY($S50),7))+6),1,IF(N($W50)&gt;0,AVERAGEIFS($Y$5:$Y$1000,$U$5:$U$1000,ROW(),$V$5:$V$1000,"Sub"),$Y50)))</f>
        <v/>
      </c>
      <c r="AD50" s="62">
        <f>IF($V50="","",IF(AND(ISNUMBER($G50),$G50&lt;=IF($S50=MesCiclo,InicioCiclo,$S50+MOD(2-WEEKDAY($S50),7))+13),1,IF(N($W50)&gt;0,AVERAGEIFS($Z$5:$Z$1000,$U$5:$U$1000,ROW(),$V$5:$V$1000,"Sub"),$Z50)))</f>
        <v/>
      </c>
      <c r="AE50" s="62">
        <f>IF($V50="","",IF(AND(ISNUMBER($G50),$G50&lt;=IF($S50=MesCiclo,InicioCiclo,$S50+MOD(2-WEEKDAY($S50),7))+20),1,IF(N($W50)&gt;0,AVERAGEIFS($AA$5:$AA$1000,$U$5:$U$1000,ROW(),$V$5:$V$1000,"Sub"),$AA50)))</f>
        <v/>
      </c>
      <c r="AF50" s="62">
        <f>IF($V50="","",IF(AND(ISNUMBER($G50),$G50&lt;=IF($S50=MesCiclo,InicioCiclo,$S50+MOD(2-WEEKDAY($S50),7))+27),1,IF(N($W50)&gt;0,AVERAGEIFS($AB$5:$AB$1000,$U$5:$U$1000,ROW(),$V$5:$V$1000,"Sub"),$AB50)))</f>
        <v/>
      </c>
      <c r="AG50" s="62">
        <f>IF($V50&lt;&gt;"Macro","",IF(COUNTIFS($S$5:$S$1000,$S50,$V$5:$V$1000,"Macro",$H$5:$H$1000,"&gt;0")=0,1/COUNTIFS($S$5:$S$1000,$S50,$V$5:$V$1000,"Macro"),IF(AND(ISNUMBER($H50),N($H50)&gt;0),$H50,SUMIFS($H$5:$H$1000,$S$5:$S$1000,$S50,$V$5:$V$1000,"Macro")/COUNTIFS($S$5:$S$1000,$S50,$V$5:$V$1000,"Macro",$H$5:$H$1000,"&gt;0"))/(COUNTIFS($S$5:$S$1000,$S50,$V$5:$V$1000,"Macro")*SUMIFS($H$5:$H$1000,$S$5:$S$1000,$S50,$V$5:$V$1000,"Macro")/COUNTIFS($S$5:$S$1000,$S50,$V$5:$V$1000,"Macro",$H$5:$H$1000,"&gt;0"))))</f>
        <v/>
      </c>
      <c r="AH50" s="62" t="n"/>
      <c r="AI50" s="62" t="n"/>
      <c r="AJ50" s="62" t="n"/>
      <c r="AK50" s="62" t="n"/>
      <c r="AL50" s="62">
        <f>IF(LEFT($C50,11)="[Jefatura] ",IFERROR(MATCH("Riesgo Normativo|"&amp;MID($C50,12,500),rDname_ADM,0),0),"")</f>
        <v/>
      </c>
      <c r="AM50" s="62">
        <f>IF(N($AL50)&gt;0,INDEX(rIni_ADM,$AL50),IF(ISNUMBER($E50),$E50,""))</f>
        <v/>
      </c>
      <c r="AN50" s="62">
        <f>IF(N($AL50)&gt;0,INDEX(rLim_ADM,$AL50),IF(ISNUMBER($F50),$F50,""))</f>
        <v/>
      </c>
    </row>
    <row r="51">
      <c r="A51" s="56">
        <f>IF(NOT((COUNTA($B51:$D51)+COUNTA($G51:$L51)+COUNTA($Q51))&gt;0),"",IF($V51="Macro",COUNTIFS($V$5:$V51,"Macro",$S$5:$S51,$S51),IF(N($U51)=0,"?",COUNTIFS(INDEX($V$5:$V$1000,1):INDEX($V$5:$V$1000,$U51-4),"Macro",INDEX($S$5:$S$1000,1):INDEX($S$5:$S$1000,$U51-4),INDEX($S$5:$S$1000,$U51-4))&amp;"."&amp;COUNTIFS($U$5:$U51,$U51,$V$5:$V51,"Sub"))))</f>
        <v/>
      </c>
      <c r="B51" s="57" t="n"/>
      <c r="C51" s="58" t="n"/>
      <c r="D51" s="58" t="n"/>
      <c r="E51" s="59">
        <f>IF(N($AL51)&gt;0,INDEX(rIni_ADM,$AL51),"")</f>
        <v/>
      </c>
      <c r="F51" s="59">
        <f>IF(N($AL51)&gt;0,INDEX(rLim_ADM,$AL51),"")</f>
        <v/>
      </c>
      <c r="G51" s="59" t="n"/>
      <c r="H51" s="60" t="n"/>
      <c r="I51" s="60" t="n"/>
      <c r="J51" s="60" t="n"/>
      <c r="K51" s="60" t="n"/>
      <c r="L51" s="60" t="n"/>
      <c r="M51" s="61">
        <f>IF(NOT((COUNTA($B51:$D51)+COUNTA($G51:$L51)+COUNTA($Q51))&gt;0),"",IF($V51="Sub",IFERROR($X51/INDEX($W$5:$W$1000,$U51-4),""),IF(ISNUMBER($G51),1,IF(N($W51)&gt;0,AVERAGEIFS($X$5:$X$1000,$U$5:$U$1000,ROW(),$V$5:$V$1000,"Sub"),$X51))))</f>
        <v/>
      </c>
      <c r="N51" s="56">
        <f>IF(OR($M51="",$V51="Sub"),"",IF($M51&gt;=1,"Completado",IF($M51&gt;0,"En curso","Pendiente")))</f>
        <v/>
      </c>
      <c r="O51" s="56">
        <f>IF(OR(NOT((COUNTA($B51:$D51)+COUNTA($G51:$L51)+COUNTA($Q51))&gt;0),$V51="Sub"),"",IF(ISNUMBER($G51),IF(AND(ISNUMBER($AN51),$G51&gt;$AN51),"Cumplida con "&amp;($G51-$AN51)&amp;IF($G51-$AN51=1," día"," días")&amp;" de retraso","Cumplida"),IF(N($M51)&gt;=1,"Cumplida",IF(NOT(ISNUMBER($AN51)),"Sin fecha límite",IF($AN51&lt;FechaRef,"Vencida hace "&amp;(FechaRef-$AN51)&amp;IF(FechaRef-$AN51=1," día"," días"),IF($AN51=FechaRef,"Vence hoy",IF($AN51-FechaRef&lt;=DiasAlerta,"Vence en "&amp;($AN51-FechaRef)&amp;IF($AN51-FechaRef=1," día"," días"),"En plazo")))))))</f>
        <v/>
      </c>
      <c r="P51" s="62" t="n"/>
      <c r="Q51" s="58" t="n"/>
      <c r="R51" s="63">
        <f>IF(NOT((COUNTA($B51:$D51)+COUNTA($G51:$L51)+COUNTA($Q51))&gt;0),"",IF((IF($C51="","Falta el nombre de la actividad"&amp;" · ","")&amp;IF(AND($V51="Sub",N($U51)=0),"Subactividad sin macroactividad arriba"&amp;" · ","")&amp;IF($AM51="","Sin fecha de inicio"&amp;" · ","")&amp;IF($AN51="","Sin fecha límite"&amp;" · ","")&amp;IF(AND(LEFT($C51,11)="[Jefatura] ",N($AL51)=0),"No se encuentra en la hoja de la jefatura (elíjala de nuevo en la lista)"&amp;" · ","")&amp;IF(OR(AND($E51&lt;&gt;"",NOT(ISNUMBER($E51))),AND($F51&lt;&gt;"",NOT(ISNUMBER($F51))),AND($G51&lt;&gt;"",NOT(ISNUMBER($G51)))),"Fecha no válida"&amp;" · ","")&amp;IF(AND(ISNUMBER($AM51),ISNUMBER($AN51),$AM51&gt;$AN51),"Inicio posterior a fecha límite"&amp;" · ","")&amp;IF(AND($V51="Macro",$H51&lt;&gt;"",OR(NOT(ISNUMBER($H51)),$H51&lt;0,$H51&gt;1)),"Peso fuera de rango"&amp;" · ","")&amp;IF(AND($V51="Sub",$H51&lt;&gt;""),"Las subactividades no llevan peso (valen igual dentro de su macroactividad)"&amp;" · ","")&amp;IF(AND(N($W51)&gt;0,COUNT($I51:$L51)&gt;0),"Con subactividades: deje vacías las semanas (se calculan solas)"&amp;" · ","")&amp;IF((COUNTIF($I51:$L51,"&gt;1")+COUNTIF($I51:$L51,"&lt;0")+COUNTA($I51:$L51)-COUNT($I51:$L51))&gt;0,"Avance fuera de rango 0-100%"&amp;" · ","")&amp;IF(OR(AND($J51&lt;&gt;"",$J51&lt;$I51),AND($K51&lt;&gt;"",$K51&lt;MAX($I51:$J51)),AND($L51&lt;&gt;"",$L51&lt;MAX($I51:$K51))),"Avance semanal decreciente"&amp;" · ","")&amp;IF(AND(ISNUMBER($AN51),$AN51&lt;FechaRef,IF($V51="Sub",N($X51),N($M51))&lt;1),"Vencida"&amp;" · ","")&amp;IF(AND(ObsObligatoria="Sí",ISNUMBER($AN51),$AN51&lt;FechaRef,IF($V51="Sub",N($X51),N($M51))&lt;1,$Q51=""),"Vencida sin observación"&amp;" · ",""))="","✔ OK","⚠ "&amp;LEFT(IF($C51="","Falta el nombre de la actividad"&amp;" · ","")&amp;IF(AND($V51="Sub",N($U51)=0),"Subactividad sin macroactividad arriba"&amp;" · ","")&amp;IF($AM51="","Sin fecha de inicio"&amp;" · ","")&amp;IF($AN51="","Sin fecha límite"&amp;" · ","")&amp;IF(AND(LEFT($C51,11)="[Jefatura] ",N($AL51)=0),"No se encuentra en la hoja de la jefatura (elíjala de nuevo en la lista)"&amp;" · ","")&amp;IF(OR(AND($E51&lt;&gt;"",NOT(ISNUMBER($E51))),AND($F51&lt;&gt;"",NOT(ISNUMBER($F51))),AND($G51&lt;&gt;"",NOT(ISNUMBER($G51)))),"Fecha no válida"&amp;" · ","")&amp;IF(AND(ISNUMBER($AM51),ISNUMBER($AN51),$AM51&gt;$AN51),"Inicio posterior a fecha límite"&amp;" · ","")&amp;IF(AND($V51="Macro",$H51&lt;&gt;"",OR(NOT(ISNUMBER($H51)),$H51&lt;0,$H51&gt;1)),"Peso fuera de rango"&amp;" · ","")&amp;IF(AND($V51="Sub",$H51&lt;&gt;""),"Las subactividades no llevan peso (valen igual dentro de su macroactividad)"&amp;" · ","")&amp;IF(AND(N($W51)&gt;0,COUNT($I51:$L51)&gt;0),"Con subactividades: deje vacías las semanas (se calculan solas)"&amp;" · ","")&amp;IF((COUNTIF($I51:$L51,"&gt;1")+COUNTIF($I51:$L51,"&lt;0")+COUNTA($I51:$L51)-COUNT($I51:$L51))&gt;0,"Avance fuera de rango 0-100%"&amp;" · ","")&amp;IF(OR(AND($J51&lt;&gt;"",$J51&lt;$I51),AND($K51&lt;&gt;"",$K51&lt;MAX($I51:$J51)),AND($L51&lt;&gt;"",$L51&lt;MAX($I51:$K51))),"Avance semanal decreciente"&amp;" · ","")&amp;IF(AND(ISNUMBER($AN51),$AN51&lt;FechaRef,IF($V51="Sub",N($X51),N($M51))&lt;1),"Vencida"&amp;" · ","")&amp;IF(AND(ObsObligatoria="Sí",ISNUMBER($AN51),$AN51&lt;FechaRef,IF($V51="Sub",N($X51),N($M51))&lt;1,$Q51=""),"Vencida sin observación"&amp;" · ",""),LEN(IF($C51="","Falta el nombre de la actividad"&amp;" · ","")&amp;IF(AND($V51="Sub",N($U51)=0),"Subactividad sin macroactividad arriba"&amp;" · ","")&amp;IF($AM51="","Sin fecha de inicio"&amp;" · ","")&amp;IF($AN51="","Sin fecha límite"&amp;" · ","")&amp;IF(AND(LEFT($C51,11)="[Jefatura] ",N($AL51)=0),"No se encuentra en la hoja de la jefatura (elíjala de nuevo en la lista)"&amp;" · ","")&amp;IF(OR(AND($E51&lt;&gt;"",NOT(ISNUMBER($E51))),AND($F51&lt;&gt;"",NOT(ISNUMBER($F51))),AND($G51&lt;&gt;"",NOT(ISNUMBER($G51)))),"Fecha no válida"&amp;" · ","")&amp;IF(AND(ISNUMBER($AM51),ISNUMBER($AN51),$AM51&gt;$AN51),"Inicio posterior a fecha límite"&amp;" · ","")&amp;IF(AND($V51="Macro",$H51&lt;&gt;"",OR(NOT(ISNUMBER($H51)),$H51&lt;0,$H51&gt;1)),"Peso fuera de rango"&amp;" · ","")&amp;IF(AND($V51="Sub",$H51&lt;&gt;""),"Las subactividades no llevan peso (valen igual dentro de su macroactividad)"&amp;" · ","")&amp;IF(AND(N($W51)&gt;0,COUNT($I51:$L51)&gt;0),"Con subactividades: deje vacías las semanas (se calculan solas)"&amp;" · ","")&amp;IF((COUNTIF($I51:$L51,"&gt;1")+COUNTIF($I51:$L51,"&lt;0")+COUNTA($I51:$L51)-COUNT($I51:$L51))&gt;0,"Avance fuera de rango 0-100%"&amp;" · ","")&amp;IF(OR(AND($J51&lt;&gt;"",$J51&lt;$I51),AND($K51&lt;&gt;"",$K51&lt;MAX($I51:$J51)),AND($L51&lt;&gt;"",$L51&lt;MAX($I51:$K51))),"Avance semanal decreciente"&amp;" · ","")&amp;IF(AND(ISNUMBER($AN51),$AN51&lt;FechaRef,IF($V51="Sub",N($X51),N($M51))&lt;1),"Vencida"&amp;" · ","")&amp;IF(AND(ObsObligatoria="Sí",ISNUMBER($AN51),$AN51&lt;FechaRef,IF($V51="Sub",N($X51),N($M51))&lt;1,$Q51=""),"Vencida sin observación"&amp;" · ",""))-3)))</f>
        <v/>
      </c>
      <c r="S51" s="64">
        <f>IF(NOT((COUNTA($B51:$D51)+COUNTA($G51:$L51)+COUNTA($Q51))&gt;0),"",IF(AND($V51="Sub",N($U51)&gt;0),IF(ISNUMBER(INDEX($AM$5:$AM$1000,$U51-4)),DATE(YEAR(INDEX($AM$5:$AM$1000,$U51-4)),MONTH(INDEX($AM$5:$AM$1000,$U51-4)),1),IF(ISNUMBER(INDEX($AN$5:$AN$1000,$U51-4)),DATE(YEAR(INDEX($AN$5:$AN$1000,$U51-4)),MONTH(INDEX($AN$5:$AN$1000,$U51-4)),1),MesCiclo)),IF(ISNUMBER($AM51),DATE(YEAR($AM51),MONTH($AM51),1),IF(ISNUMBER($AN51),DATE(YEAR($AN51),MONTH($AN51),1),MesCiclo))))</f>
        <v/>
      </c>
      <c r="T51" s="62">
        <f>IF(OR($S51="",$S51&lt;&gt;MesCiclo,$V51&lt;&gt;"Macro"),"",COUNTIFS($S$5:$S51,MesCiclo,$V$5:$V51,"Macro"))</f>
        <v/>
      </c>
      <c r="U51" s="62">
        <f>IF($V51="","",IF($V51="Macro",ROW(),IFERROR(LOOKUP(2,1/($V$5:$V51="Macro"),ROW($V$5:$V51)),0)))</f>
        <v/>
      </c>
      <c r="V51" s="62">
        <f>IF(NOT((COUNTA($B51:$D51)+COUNTA($G51:$L51)+COUNTA($Q51))&gt;0),"",IF($B51="Subactividad","Sub","Macro"))</f>
        <v/>
      </c>
      <c r="W51" s="62">
        <f>IF($V51="Macro",COUNTIFS($U$5:$U$1000,ROW(),$V$5:$V$1000,"Sub"),"")</f>
        <v/>
      </c>
      <c r="X51" s="62">
        <f>IF($V51="","",IF(ISNUMBER($G51),1,IFERROR(LOOKUP(2,1/($I51:$L51&lt;&gt;""),$I51:$L51),0)))</f>
        <v/>
      </c>
      <c r="Y51" s="62">
        <f>IF($V51="","",IF(AND(ISNUMBER($G51),$G51&lt;=IF($S51=MesCiclo,InicioCiclo,$S51+MOD(2-WEEKDAY($S51),7))+6),1,IF(ISNUMBER($I51),$I51,0)))</f>
        <v/>
      </c>
      <c r="Z51" s="62">
        <f>IF($V51="","",IF(AND(ISNUMBER($G51),$G51&lt;=IF($S51=MesCiclo,InicioCiclo,$S51+MOD(2-WEEKDAY($S51),7))+13),1,IF(ISNUMBER($J51),$J51,$Y51)))</f>
        <v/>
      </c>
      <c r="AA51" s="62">
        <f>IF($V51="","",IF(AND(ISNUMBER($G51),$G51&lt;=IF($S51=MesCiclo,InicioCiclo,$S51+MOD(2-WEEKDAY($S51),7))+20),1,IF(ISNUMBER($K51),$K51,$Z51)))</f>
        <v/>
      </c>
      <c r="AB51" s="62">
        <f>IF($V51="","",IF(AND(ISNUMBER($G51),$G51&lt;=IF($S51=MesCiclo,InicioCiclo,$S51+MOD(2-WEEKDAY($S51),7))+27),1,IF(ISNUMBER($L51),$L51,$AA51)))</f>
        <v/>
      </c>
      <c r="AC51" s="62">
        <f>IF($V51="","",IF(AND(ISNUMBER($G51),$G51&lt;=IF($S51=MesCiclo,InicioCiclo,$S51+MOD(2-WEEKDAY($S51),7))+6),1,IF(N($W51)&gt;0,AVERAGEIFS($Y$5:$Y$1000,$U$5:$U$1000,ROW(),$V$5:$V$1000,"Sub"),$Y51)))</f>
        <v/>
      </c>
      <c r="AD51" s="62">
        <f>IF($V51="","",IF(AND(ISNUMBER($G51),$G51&lt;=IF($S51=MesCiclo,InicioCiclo,$S51+MOD(2-WEEKDAY($S51),7))+13),1,IF(N($W51)&gt;0,AVERAGEIFS($Z$5:$Z$1000,$U$5:$U$1000,ROW(),$V$5:$V$1000,"Sub"),$Z51)))</f>
        <v/>
      </c>
      <c r="AE51" s="62">
        <f>IF($V51="","",IF(AND(ISNUMBER($G51),$G51&lt;=IF($S51=MesCiclo,InicioCiclo,$S51+MOD(2-WEEKDAY($S51),7))+20),1,IF(N($W51)&gt;0,AVERAGEIFS($AA$5:$AA$1000,$U$5:$U$1000,ROW(),$V$5:$V$1000,"Sub"),$AA51)))</f>
        <v/>
      </c>
      <c r="AF51" s="62">
        <f>IF($V51="","",IF(AND(ISNUMBER($G51),$G51&lt;=IF($S51=MesCiclo,InicioCiclo,$S51+MOD(2-WEEKDAY($S51),7))+27),1,IF(N($W51)&gt;0,AVERAGEIFS($AB$5:$AB$1000,$U$5:$U$1000,ROW(),$V$5:$V$1000,"Sub"),$AB51)))</f>
        <v/>
      </c>
      <c r="AG51" s="62">
        <f>IF($V51&lt;&gt;"Macro","",IF(COUNTIFS($S$5:$S$1000,$S51,$V$5:$V$1000,"Macro",$H$5:$H$1000,"&gt;0")=0,1/COUNTIFS($S$5:$S$1000,$S51,$V$5:$V$1000,"Macro"),IF(AND(ISNUMBER($H51),N($H51)&gt;0),$H51,SUMIFS($H$5:$H$1000,$S$5:$S$1000,$S51,$V$5:$V$1000,"Macro")/COUNTIFS($S$5:$S$1000,$S51,$V$5:$V$1000,"Macro",$H$5:$H$1000,"&gt;0"))/(COUNTIFS($S$5:$S$1000,$S51,$V$5:$V$1000,"Macro")*SUMIFS($H$5:$H$1000,$S$5:$S$1000,$S51,$V$5:$V$1000,"Macro")/COUNTIFS($S$5:$S$1000,$S51,$V$5:$V$1000,"Macro",$H$5:$H$1000,"&gt;0"))))</f>
        <v/>
      </c>
      <c r="AH51" s="62" t="n"/>
      <c r="AI51" s="62" t="n"/>
      <c r="AJ51" s="62" t="n"/>
      <c r="AK51" s="62" t="n"/>
      <c r="AL51" s="62">
        <f>IF(LEFT($C51,11)="[Jefatura] ",IFERROR(MATCH("Riesgo Normativo|"&amp;MID($C51,12,500),rDname_ADM,0),0),"")</f>
        <v/>
      </c>
      <c r="AM51" s="62">
        <f>IF(N($AL51)&gt;0,INDEX(rIni_ADM,$AL51),IF(ISNUMBER($E51),$E51,""))</f>
        <v/>
      </c>
      <c r="AN51" s="62">
        <f>IF(N($AL51)&gt;0,INDEX(rLim_ADM,$AL51),IF(ISNUMBER($F51),$F51,""))</f>
        <v/>
      </c>
    </row>
    <row r="52">
      <c r="A52" s="56">
        <f>IF(NOT((COUNTA($B52:$D52)+COUNTA($G52:$L52)+COUNTA($Q52))&gt;0),"",IF($V52="Macro",COUNTIFS($V$5:$V52,"Macro",$S$5:$S52,$S52),IF(N($U52)=0,"?",COUNTIFS(INDEX($V$5:$V$1000,1):INDEX($V$5:$V$1000,$U52-4),"Macro",INDEX($S$5:$S$1000,1):INDEX($S$5:$S$1000,$U52-4),INDEX($S$5:$S$1000,$U52-4))&amp;"."&amp;COUNTIFS($U$5:$U52,$U52,$V$5:$V52,"Sub"))))</f>
        <v/>
      </c>
      <c r="B52" s="57" t="n"/>
      <c r="C52" s="58" t="n"/>
      <c r="D52" s="58" t="n"/>
      <c r="E52" s="59">
        <f>IF(N($AL52)&gt;0,INDEX(rIni_ADM,$AL52),"")</f>
        <v/>
      </c>
      <c r="F52" s="59">
        <f>IF(N($AL52)&gt;0,INDEX(rLim_ADM,$AL52),"")</f>
        <v/>
      </c>
      <c r="G52" s="59" t="n"/>
      <c r="H52" s="60" t="n"/>
      <c r="I52" s="60" t="n"/>
      <c r="J52" s="60" t="n"/>
      <c r="K52" s="60" t="n"/>
      <c r="L52" s="60" t="n"/>
      <c r="M52" s="61">
        <f>IF(NOT((COUNTA($B52:$D52)+COUNTA($G52:$L52)+COUNTA($Q52))&gt;0),"",IF($V52="Sub",IFERROR($X52/INDEX($W$5:$W$1000,$U52-4),""),IF(ISNUMBER($G52),1,IF(N($W52)&gt;0,AVERAGEIFS($X$5:$X$1000,$U$5:$U$1000,ROW(),$V$5:$V$1000,"Sub"),$X52))))</f>
        <v/>
      </c>
      <c r="N52" s="56">
        <f>IF(OR($M52="",$V52="Sub"),"",IF($M52&gt;=1,"Completado",IF($M52&gt;0,"En curso","Pendiente")))</f>
        <v/>
      </c>
      <c r="O52" s="56">
        <f>IF(OR(NOT((COUNTA($B52:$D52)+COUNTA($G52:$L52)+COUNTA($Q52))&gt;0),$V52="Sub"),"",IF(ISNUMBER($G52),IF(AND(ISNUMBER($AN52),$G52&gt;$AN52),"Cumplida con "&amp;($G52-$AN52)&amp;IF($G52-$AN52=1," día"," días")&amp;" de retraso","Cumplida"),IF(N($M52)&gt;=1,"Cumplida",IF(NOT(ISNUMBER($AN52)),"Sin fecha límite",IF($AN52&lt;FechaRef,"Vencida hace "&amp;(FechaRef-$AN52)&amp;IF(FechaRef-$AN52=1," día"," días"),IF($AN52=FechaRef,"Vence hoy",IF($AN52-FechaRef&lt;=DiasAlerta,"Vence en "&amp;($AN52-FechaRef)&amp;IF($AN52-FechaRef=1," día"," días"),"En plazo")))))))</f>
        <v/>
      </c>
      <c r="P52" s="62" t="n"/>
      <c r="Q52" s="58" t="n"/>
      <c r="R52" s="63">
        <f>IF(NOT((COUNTA($B52:$D52)+COUNTA($G52:$L52)+COUNTA($Q52))&gt;0),"",IF((IF($C52="","Falta el nombre de la actividad"&amp;" · ","")&amp;IF(AND($V52="Sub",N($U52)=0),"Subactividad sin macroactividad arriba"&amp;" · ","")&amp;IF($AM52="","Sin fecha de inicio"&amp;" · ","")&amp;IF($AN52="","Sin fecha límite"&amp;" · ","")&amp;IF(AND(LEFT($C52,11)="[Jefatura] ",N($AL52)=0),"No se encuentra en la hoja de la jefatura (elíjala de nuevo en la lista)"&amp;" · ","")&amp;IF(OR(AND($E52&lt;&gt;"",NOT(ISNUMBER($E52))),AND($F52&lt;&gt;"",NOT(ISNUMBER($F52))),AND($G52&lt;&gt;"",NOT(ISNUMBER($G52)))),"Fecha no válida"&amp;" · ","")&amp;IF(AND(ISNUMBER($AM52),ISNUMBER($AN52),$AM52&gt;$AN52),"Inicio posterior a fecha límite"&amp;" · ","")&amp;IF(AND($V52="Macro",$H52&lt;&gt;"",OR(NOT(ISNUMBER($H52)),$H52&lt;0,$H52&gt;1)),"Peso fuera de rango"&amp;" · ","")&amp;IF(AND($V52="Sub",$H52&lt;&gt;""),"Las subactividades no llevan peso (valen igual dentro de su macroactividad)"&amp;" · ","")&amp;IF(AND(N($W52)&gt;0,COUNT($I52:$L52)&gt;0),"Con subactividades: deje vacías las semanas (se calculan solas)"&amp;" · ","")&amp;IF((COUNTIF($I52:$L52,"&gt;1")+COUNTIF($I52:$L52,"&lt;0")+COUNTA($I52:$L52)-COUNT($I52:$L52))&gt;0,"Avance fuera de rango 0-100%"&amp;" · ","")&amp;IF(OR(AND($J52&lt;&gt;"",$J52&lt;$I52),AND($K52&lt;&gt;"",$K52&lt;MAX($I52:$J52)),AND($L52&lt;&gt;"",$L52&lt;MAX($I52:$K52))),"Avance semanal decreciente"&amp;" · ","")&amp;IF(AND(ISNUMBER($AN52),$AN52&lt;FechaRef,IF($V52="Sub",N($X52),N($M52))&lt;1),"Vencida"&amp;" · ","")&amp;IF(AND(ObsObligatoria="Sí",ISNUMBER($AN52),$AN52&lt;FechaRef,IF($V52="Sub",N($X52),N($M52))&lt;1,$Q52=""),"Vencida sin observación"&amp;" · ",""))="","✔ OK","⚠ "&amp;LEFT(IF($C52="","Falta el nombre de la actividad"&amp;" · ","")&amp;IF(AND($V52="Sub",N($U52)=0),"Subactividad sin macroactividad arriba"&amp;" · ","")&amp;IF($AM52="","Sin fecha de inicio"&amp;" · ","")&amp;IF($AN52="","Sin fecha límite"&amp;" · ","")&amp;IF(AND(LEFT($C52,11)="[Jefatura] ",N($AL52)=0),"No se encuentra en la hoja de la jefatura (elíjala de nuevo en la lista)"&amp;" · ","")&amp;IF(OR(AND($E52&lt;&gt;"",NOT(ISNUMBER($E52))),AND($F52&lt;&gt;"",NOT(ISNUMBER($F52))),AND($G52&lt;&gt;"",NOT(ISNUMBER($G52)))),"Fecha no válida"&amp;" · ","")&amp;IF(AND(ISNUMBER($AM52),ISNUMBER($AN52),$AM52&gt;$AN52),"Inicio posterior a fecha límite"&amp;" · ","")&amp;IF(AND($V52="Macro",$H52&lt;&gt;"",OR(NOT(ISNUMBER($H52)),$H52&lt;0,$H52&gt;1)),"Peso fuera de rango"&amp;" · ","")&amp;IF(AND($V52="Sub",$H52&lt;&gt;""),"Las subactividades no llevan peso (valen igual dentro de su macroactividad)"&amp;" · ","")&amp;IF(AND(N($W52)&gt;0,COUNT($I52:$L52)&gt;0),"Con subactividades: deje vacías las semanas (se calculan solas)"&amp;" · ","")&amp;IF((COUNTIF($I52:$L52,"&gt;1")+COUNTIF($I52:$L52,"&lt;0")+COUNTA($I52:$L52)-COUNT($I52:$L52))&gt;0,"Avance fuera de rango 0-100%"&amp;" · ","")&amp;IF(OR(AND($J52&lt;&gt;"",$J52&lt;$I52),AND($K52&lt;&gt;"",$K52&lt;MAX($I52:$J52)),AND($L52&lt;&gt;"",$L52&lt;MAX($I52:$K52))),"Avance semanal decreciente"&amp;" · ","")&amp;IF(AND(ISNUMBER($AN52),$AN52&lt;FechaRef,IF($V52="Sub",N($X52),N($M52))&lt;1),"Vencida"&amp;" · ","")&amp;IF(AND(ObsObligatoria="Sí",ISNUMBER($AN52),$AN52&lt;FechaRef,IF($V52="Sub",N($X52),N($M52))&lt;1,$Q52=""),"Vencida sin observación"&amp;" · ",""),LEN(IF($C52="","Falta el nombre de la actividad"&amp;" · ","")&amp;IF(AND($V52="Sub",N($U52)=0),"Subactividad sin macroactividad arriba"&amp;" · ","")&amp;IF($AM52="","Sin fecha de inicio"&amp;" · ","")&amp;IF($AN52="","Sin fecha límite"&amp;" · ","")&amp;IF(AND(LEFT($C52,11)="[Jefatura] ",N($AL52)=0),"No se encuentra en la hoja de la jefatura (elíjala de nuevo en la lista)"&amp;" · ","")&amp;IF(OR(AND($E52&lt;&gt;"",NOT(ISNUMBER($E52))),AND($F52&lt;&gt;"",NOT(ISNUMBER($F52))),AND($G52&lt;&gt;"",NOT(ISNUMBER($G52)))),"Fecha no válida"&amp;" · ","")&amp;IF(AND(ISNUMBER($AM52),ISNUMBER($AN52),$AM52&gt;$AN52),"Inicio posterior a fecha límite"&amp;" · ","")&amp;IF(AND($V52="Macro",$H52&lt;&gt;"",OR(NOT(ISNUMBER($H52)),$H52&lt;0,$H52&gt;1)),"Peso fuera de rango"&amp;" · ","")&amp;IF(AND($V52="Sub",$H52&lt;&gt;""),"Las subactividades no llevan peso (valen igual dentro de su macroactividad)"&amp;" · ","")&amp;IF(AND(N($W52)&gt;0,COUNT($I52:$L52)&gt;0),"Con subactividades: deje vacías las semanas (se calculan solas)"&amp;" · ","")&amp;IF((COUNTIF($I52:$L52,"&gt;1")+COUNTIF($I52:$L52,"&lt;0")+COUNTA($I52:$L52)-COUNT($I52:$L52))&gt;0,"Avance fuera de rango 0-100%"&amp;" · ","")&amp;IF(OR(AND($J52&lt;&gt;"",$J52&lt;$I52),AND($K52&lt;&gt;"",$K52&lt;MAX($I52:$J52)),AND($L52&lt;&gt;"",$L52&lt;MAX($I52:$K52))),"Avance semanal decreciente"&amp;" · ","")&amp;IF(AND(ISNUMBER($AN52),$AN52&lt;FechaRef,IF($V52="Sub",N($X52),N($M52))&lt;1),"Vencida"&amp;" · ","")&amp;IF(AND(ObsObligatoria="Sí",ISNUMBER($AN52),$AN52&lt;FechaRef,IF($V52="Sub",N($X52),N($M52))&lt;1,$Q52=""),"Vencida sin observación"&amp;" · ",""))-3)))</f>
        <v/>
      </c>
      <c r="S52" s="64">
        <f>IF(NOT((COUNTA($B52:$D52)+COUNTA($G52:$L52)+COUNTA($Q52))&gt;0),"",IF(AND($V52="Sub",N($U52)&gt;0),IF(ISNUMBER(INDEX($AM$5:$AM$1000,$U52-4)),DATE(YEAR(INDEX($AM$5:$AM$1000,$U52-4)),MONTH(INDEX($AM$5:$AM$1000,$U52-4)),1),IF(ISNUMBER(INDEX($AN$5:$AN$1000,$U52-4)),DATE(YEAR(INDEX($AN$5:$AN$1000,$U52-4)),MONTH(INDEX($AN$5:$AN$1000,$U52-4)),1),MesCiclo)),IF(ISNUMBER($AM52),DATE(YEAR($AM52),MONTH($AM52),1),IF(ISNUMBER($AN52),DATE(YEAR($AN52),MONTH($AN52),1),MesCiclo))))</f>
        <v/>
      </c>
      <c r="T52" s="62">
        <f>IF(OR($S52="",$S52&lt;&gt;MesCiclo,$V52&lt;&gt;"Macro"),"",COUNTIFS($S$5:$S52,MesCiclo,$V$5:$V52,"Macro"))</f>
        <v/>
      </c>
      <c r="U52" s="62">
        <f>IF($V52="","",IF($V52="Macro",ROW(),IFERROR(LOOKUP(2,1/($V$5:$V52="Macro"),ROW($V$5:$V52)),0)))</f>
        <v/>
      </c>
      <c r="V52" s="62">
        <f>IF(NOT((COUNTA($B52:$D52)+COUNTA($G52:$L52)+COUNTA($Q52))&gt;0),"",IF($B52="Subactividad","Sub","Macro"))</f>
        <v/>
      </c>
      <c r="W52" s="62">
        <f>IF($V52="Macro",COUNTIFS($U$5:$U$1000,ROW(),$V$5:$V$1000,"Sub"),"")</f>
        <v/>
      </c>
      <c r="X52" s="62">
        <f>IF($V52="","",IF(ISNUMBER($G52),1,IFERROR(LOOKUP(2,1/($I52:$L52&lt;&gt;""),$I52:$L52),0)))</f>
        <v/>
      </c>
      <c r="Y52" s="62">
        <f>IF($V52="","",IF(AND(ISNUMBER($G52),$G52&lt;=IF($S52=MesCiclo,InicioCiclo,$S52+MOD(2-WEEKDAY($S52),7))+6),1,IF(ISNUMBER($I52),$I52,0)))</f>
        <v/>
      </c>
      <c r="Z52" s="62">
        <f>IF($V52="","",IF(AND(ISNUMBER($G52),$G52&lt;=IF($S52=MesCiclo,InicioCiclo,$S52+MOD(2-WEEKDAY($S52),7))+13),1,IF(ISNUMBER($J52),$J52,$Y52)))</f>
        <v/>
      </c>
      <c r="AA52" s="62">
        <f>IF($V52="","",IF(AND(ISNUMBER($G52),$G52&lt;=IF($S52=MesCiclo,InicioCiclo,$S52+MOD(2-WEEKDAY($S52),7))+20),1,IF(ISNUMBER($K52),$K52,$Z52)))</f>
        <v/>
      </c>
      <c r="AB52" s="62">
        <f>IF($V52="","",IF(AND(ISNUMBER($G52),$G52&lt;=IF($S52=MesCiclo,InicioCiclo,$S52+MOD(2-WEEKDAY($S52),7))+27),1,IF(ISNUMBER($L52),$L52,$AA52)))</f>
        <v/>
      </c>
      <c r="AC52" s="62">
        <f>IF($V52="","",IF(AND(ISNUMBER($G52),$G52&lt;=IF($S52=MesCiclo,InicioCiclo,$S52+MOD(2-WEEKDAY($S52),7))+6),1,IF(N($W52)&gt;0,AVERAGEIFS($Y$5:$Y$1000,$U$5:$U$1000,ROW(),$V$5:$V$1000,"Sub"),$Y52)))</f>
        <v/>
      </c>
      <c r="AD52" s="62">
        <f>IF($V52="","",IF(AND(ISNUMBER($G52),$G52&lt;=IF($S52=MesCiclo,InicioCiclo,$S52+MOD(2-WEEKDAY($S52),7))+13),1,IF(N($W52)&gt;0,AVERAGEIFS($Z$5:$Z$1000,$U$5:$U$1000,ROW(),$V$5:$V$1000,"Sub"),$Z52)))</f>
        <v/>
      </c>
      <c r="AE52" s="62">
        <f>IF($V52="","",IF(AND(ISNUMBER($G52),$G52&lt;=IF($S52=MesCiclo,InicioCiclo,$S52+MOD(2-WEEKDAY($S52),7))+20),1,IF(N($W52)&gt;0,AVERAGEIFS($AA$5:$AA$1000,$U$5:$U$1000,ROW(),$V$5:$V$1000,"Sub"),$AA52)))</f>
        <v/>
      </c>
      <c r="AF52" s="62">
        <f>IF($V52="","",IF(AND(ISNUMBER($G52),$G52&lt;=IF($S52=MesCiclo,InicioCiclo,$S52+MOD(2-WEEKDAY($S52),7))+27),1,IF(N($W52)&gt;0,AVERAGEIFS($AB$5:$AB$1000,$U$5:$U$1000,ROW(),$V$5:$V$1000,"Sub"),$AB52)))</f>
        <v/>
      </c>
      <c r="AG52" s="62">
        <f>IF($V52&lt;&gt;"Macro","",IF(COUNTIFS($S$5:$S$1000,$S52,$V$5:$V$1000,"Macro",$H$5:$H$1000,"&gt;0")=0,1/COUNTIFS($S$5:$S$1000,$S52,$V$5:$V$1000,"Macro"),IF(AND(ISNUMBER($H52),N($H52)&gt;0),$H52,SUMIFS($H$5:$H$1000,$S$5:$S$1000,$S52,$V$5:$V$1000,"Macro")/COUNTIFS($S$5:$S$1000,$S52,$V$5:$V$1000,"Macro",$H$5:$H$1000,"&gt;0"))/(COUNTIFS($S$5:$S$1000,$S52,$V$5:$V$1000,"Macro")*SUMIFS($H$5:$H$1000,$S$5:$S$1000,$S52,$V$5:$V$1000,"Macro")/COUNTIFS($S$5:$S$1000,$S52,$V$5:$V$1000,"Macro",$H$5:$H$1000,"&gt;0"))))</f>
        <v/>
      </c>
      <c r="AH52" s="62" t="n"/>
      <c r="AI52" s="62" t="n"/>
      <c r="AJ52" s="62" t="n"/>
      <c r="AK52" s="62" t="n"/>
      <c r="AL52" s="62">
        <f>IF(LEFT($C52,11)="[Jefatura] ",IFERROR(MATCH("Riesgo Normativo|"&amp;MID($C52,12,500),rDname_ADM,0),0),"")</f>
        <v/>
      </c>
      <c r="AM52" s="62">
        <f>IF(N($AL52)&gt;0,INDEX(rIni_ADM,$AL52),IF(ISNUMBER($E52),$E52,""))</f>
        <v/>
      </c>
      <c r="AN52" s="62">
        <f>IF(N($AL52)&gt;0,INDEX(rLim_ADM,$AL52),IF(ISNUMBER($F52),$F52,""))</f>
        <v/>
      </c>
    </row>
    <row r="53">
      <c r="A53" s="56">
        <f>IF(NOT((COUNTA($B53:$D53)+COUNTA($G53:$L53)+COUNTA($Q53))&gt;0),"",IF($V53="Macro",COUNTIFS($V$5:$V53,"Macro",$S$5:$S53,$S53),IF(N($U53)=0,"?",COUNTIFS(INDEX($V$5:$V$1000,1):INDEX($V$5:$V$1000,$U53-4),"Macro",INDEX($S$5:$S$1000,1):INDEX($S$5:$S$1000,$U53-4),INDEX($S$5:$S$1000,$U53-4))&amp;"."&amp;COUNTIFS($U$5:$U53,$U53,$V$5:$V53,"Sub"))))</f>
        <v/>
      </c>
      <c r="B53" s="57" t="n"/>
      <c r="C53" s="58" t="n"/>
      <c r="D53" s="58" t="n"/>
      <c r="E53" s="59">
        <f>IF(N($AL53)&gt;0,INDEX(rIni_ADM,$AL53),"")</f>
        <v/>
      </c>
      <c r="F53" s="59">
        <f>IF(N($AL53)&gt;0,INDEX(rLim_ADM,$AL53),"")</f>
        <v/>
      </c>
      <c r="G53" s="59" t="n"/>
      <c r="H53" s="60" t="n"/>
      <c r="I53" s="60" t="n"/>
      <c r="J53" s="60" t="n"/>
      <c r="K53" s="60" t="n"/>
      <c r="L53" s="60" t="n"/>
      <c r="M53" s="61">
        <f>IF(NOT((COUNTA($B53:$D53)+COUNTA($G53:$L53)+COUNTA($Q53))&gt;0),"",IF($V53="Sub",IFERROR($X53/INDEX($W$5:$W$1000,$U53-4),""),IF(ISNUMBER($G53),1,IF(N($W53)&gt;0,AVERAGEIFS($X$5:$X$1000,$U$5:$U$1000,ROW(),$V$5:$V$1000,"Sub"),$X53))))</f>
        <v/>
      </c>
      <c r="N53" s="56">
        <f>IF(OR($M53="",$V53="Sub"),"",IF($M53&gt;=1,"Completado",IF($M53&gt;0,"En curso","Pendiente")))</f>
        <v/>
      </c>
      <c r="O53" s="56">
        <f>IF(OR(NOT((COUNTA($B53:$D53)+COUNTA($G53:$L53)+COUNTA($Q53))&gt;0),$V53="Sub"),"",IF(ISNUMBER($G53),IF(AND(ISNUMBER($AN53),$G53&gt;$AN53),"Cumplida con "&amp;($G53-$AN53)&amp;IF($G53-$AN53=1," día"," días")&amp;" de retraso","Cumplida"),IF(N($M53)&gt;=1,"Cumplida",IF(NOT(ISNUMBER($AN53)),"Sin fecha límite",IF($AN53&lt;FechaRef,"Vencida hace "&amp;(FechaRef-$AN53)&amp;IF(FechaRef-$AN53=1," día"," días"),IF($AN53=FechaRef,"Vence hoy",IF($AN53-FechaRef&lt;=DiasAlerta,"Vence en "&amp;($AN53-FechaRef)&amp;IF($AN53-FechaRef=1," día"," días"),"En plazo")))))))</f>
        <v/>
      </c>
      <c r="P53" s="62" t="n"/>
      <c r="Q53" s="58" t="n"/>
      <c r="R53" s="63">
        <f>IF(NOT((COUNTA($B53:$D53)+COUNTA($G53:$L53)+COUNTA($Q53))&gt;0),"",IF((IF($C53="","Falta el nombre de la actividad"&amp;" · ","")&amp;IF(AND($V53="Sub",N($U53)=0),"Subactividad sin macroactividad arriba"&amp;" · ","")&amp;IF($AM53="","Sin fecha de inicio"&amp;" · ","")&amp;IF($AN53="","Sin fecha límite"&amp;" · ","")&amp;IF(AND(LEFT($C53,11)="[Jefatura] ",N($AL53)=0),"No se encuentra en la hoja de la jefatura (elíjala de nuevo en la lista)"&amp;" · ","")&amp;IF(OR(AND($E53&lt;&gt;"",NOT(ISNUMBER($E53))),AND($F53&lt;&gt;"",NOT(ISNUMBER($F53))),AND($G53&lt;&gt;"",NOT(ISNUMBER($G53)))),"Fecha no válida"&amp;" · ","")&amp;IF(AND(ISNUMBER($AM53),ISNUMBER($AN53),$AM53&gt;$AN53),"Inicio posterior a fecha límite"&amp;" · ","")&amp;IF(AND($V53="Macro",$H53&lt;&gt;"",OR(NOT(ISNUMBER($H53)),$H53&lt;0,$H53&gt;1)),"Peso fuera de rango"&amp;" · ","")&amp;IF(AND($V53="Sub",$H53&lt;&gt;""),"Las subactividades no llevan peso (valen igual dentro de su macroactividad)"&amp;" · ","")&amp;IF(AND(N($W53)&gt;0,COUNT($I53:$L53)&gt;0),"Con subactividades: deje vacías las semanas (se calculan solas)"&amp;" · ","")&amp;IF((COUNTIF($I53:$L53,"&gt;1")+COUNTIF($I53:$L53,"&lt;0")+COUNTA($I53:$L53)-COUNT($I53:$L53))&gt;0,"Avance fuera de rango 0-100%"&amp;" · ","")&amp;IF(OR(AND($J53&lt;&gt;"",$J53&lt;$I53),AND($K53&lt;&gt;"",$K53&lt;MAX($I53:$J53)),AND($L53&lt;&gt;"",$L53&lt;MAX($I53:$K53))),"Avance semanal decreciente"&amp;" · ","")&amp;IF(AND(ISNUMBER($AN53),$AN53&lt;FechaRef,IF($V53="Sub",N($X53),N($M53))&lt;1),"Vencida"&amp;" · ","")&amp;IF(AND(ObsObligatoria="Sí",ISNUMBER($AN53),$AN53&lt;FechaRef,IF($V53="Sub",N($X53),N($M53))&lt;1,$Q53=""),"Vencida sin observación"&amp;" · ",""))="","✔ OK","⚠ "&amp;LEFT(IF($C53="","Falta el nombre de la actividad"&amp;" · ","")&amp;IF(AND($V53="Sub",N($U53)=0),"Subactividad sin macroactividad arriba"&amp;" · ","")&amp;IF($AM53="","Sin fecha de inicio"&amp;" · ","")&amp;IF($AN53="","Sin fecha límite"&amp;" · ","")&amp;IF(AND(LEFT($C53,11)="[Jefatura] ",N($AL53)=0),"No se encuentra en la hoja de la jefatura (elíjala de nuevo en la lista)"&amp;" · ","")&amp;IF(OR(AND($E53&lt;&gt;"",NOT(ISNUMBER($E53))),AND($F53&lt;&gt;"",NOT(ISNUMBER($F53))),AND($G53&lt;&gt;"",NOT(ISNUMBER($G53)))),"Fecha no válida"&amp;" · ","")&amp;IF(AND(ISNUMBER($AM53),ISNUMBER($AN53),$AM53&gt;$AN53),"Inicio posterior a fecha límite"&amp;" · ","")&amp;IF(AND($V53="Macro",$H53&lt;&gt;"",OR(NOT(ISNUMBER($H53)),$H53&lt;0,$H53&gt;1)),"Peso fuera de rango"&amp;" · ","")&amp;IF(AND($V53="Sub",$H53&lt;&gt;""),"Las subactividades no llevan peso (valen igual dentro de su macroactividad)"&amp;" · ","")&amp;IF(AND(N($W53)&gt;0,COUNT($I53:$L53)&gt;0),"Con subactividades: deje vacías las semanas (se calculan solas)"&amp;" · ","")&amp;IF((COUNTIF($I53:$L53,"&gt;1")+COUNTIF($I53:$L53,"&lt;0")+COUNTA($I53:$L53)-COUNT($I53:$L53))&gt;0,"Avance fuera de rango 0-100%"&amp;" · ","")&amp;IF(OR(AND($J53&lt;&gt;"",$J53&lt;$I53),AND($K53&lt;&gt;"",$K53&lt;MAX($I53:$J53)),AND($L53&lt;&gt;"",$L53&lt;MAX($I53:$K53))),"Avance semanal decreciente"&amp;" · ","")&amp;IF(AND(ISNUMBER($AN53),$AN53&lt;FechaRef,IF($V53="Sub",N($X53),N($M53))&lt;1),"Vencida"&amp;" · ","")&amp;IF(AND(ObsObligatoria="Sí",ISNUMBER($AN53),$AN53&lt;FechaRef,IF($V53="Sub",N($X53),N($M53))&lt;1,$Q53=""),"Vencida sin observación"&amp;" · ",""),LEN(IF($C53="","Falta el nombre de la actividad"&amp;" · ","")&amp;IF(AND($V53="Sub",N($U53)=0),"Subactividad sin macroactividad arriba"&amp;" · ","")&amp;IF($AM53="","Sin fecha de inicio"&amp;" · ","")&amp;IF($AN53="","Sin fecha límite"&amp;" · ","")&amp;IF(AND(LEFT($C53,11)="[Jefatura] ",N($AL53)=0),"No se encuentra en la hoja de la jefatura (elíjala de nuevo en la lista)"&amp;" · ","")&amp;IF(OR(AND($E53&lt;&gt;"",NOT(ISNUMBER($E53))),AND($F53&lt;&gt;"",NOT(ISNUMBER($F53))),AND($G53&lt;&gt;"",NOT(ISNUMBER($G53)))),"Fecha no válida"&amp;" · ","")&amp;IF(AND(ISNUMBER($AM53),ISNUMBER($AN53),$AM53&gt;$AN53),"Inicio posterior a fecha límite"&amp;" · ","")&amp;IF(AND($V53="Macro",$H53&lt;&gt;"",OR(NOT(ISNUMBER($H53)),$H53&lt;0,$H53&gt;1)),"Peso fuera de rango"&amp;" · ","")&amp;IF(AND($V53="Sub",$H53&lt;&gt;""),"Las subactividades no llevan peso (valen igual dentro de su macroactividad)"&amp;" · ","")&amp;IF(AND(N($W53)&gt;0,COUNT($I53:$L53)&gt;0),"Con subactividades: deje vacías las semanas (se calculan solas)"&amp;" · ","")&amp;IF((COUNTIF($I53:$L53,"&gt;1")+COUNTIF($I53:$L53,"&lt;0")+COUNTA($I53:$L53)-COUNT($I53:$L53))&gt;0,"Avance fuera de rango 0-100%"&amp;" · ","")&amp;IF(OR(AND($J53&lt;&gt;"",$J53&lt;$I53),AND($K53&lt;&gt;"",$K53&lt;MAX($I53:$J53)),AND($L53&lt;&gt;"",$L53&lt;MAX($I53:$K53))),"Avance semanal decreciente"&amp;" · ","")&amp;IF(AND(ISNUMBER($AN53),$AN53&lt;FechaRef,IF($V53="Sub",N($X53),N($M53))&lt;1),"Vencida"&amp;" · ","")&amp;IF(AND(ObsObligatoria="Sí",ISNUMBER($AN53),$AN53&lt;FechaRef,IF($V53="Sub",N($X53),N($M53))&lt;1,$Q53=""),"Vencida sin observación"&amp;" · ",""))-3)))</f>
        <v/>
      </c>
      <c r="S53" s="64">
        <f>IF(NOT((COUNTA($B53:$D53)+COUNTA($G53:$L53)+COUNTA($Q53))&gt;0),"",IF(AND($V53="Sub",N($U53)&gt;0),IF(ISNUMBER(INDEX($AM$5:$AM$1000,$U53-4)),DATE(YEAR(INDEX($AM$5:$AM$1000,$U53-4)),MONTH(INDEX($AM$5:$AM$1000,$U53-4)),1),IF(ISNUMBER(INDEX($AN$5:$AN$1000,$U53-4)),DATE(YEAR(INDEX($AN$5:$AN$1000,$U53-4)),MONTH(INDEX($AN$5:$AN$1000,$U53-4)),1),MesCiclo)),IF(ISNUMBER($AM53),DATE(YEAR($AM53),MONTH($AM53),1),IF(ISNUMBER($AN53),DATE(YEAR($AN53),MONTH($AN53),1),MesCiclo))))</f>
        <v/>
      </c>
      <c r="T53" s="62">
        <f>IF(OR($S53="",$S53&lt;&gt;MesCiclo,$V53&lt;&gt;"Macro"),"",COUNTIFS($S$5:$S53,MesCiclo,$V$5:$V53,"Macro"))</f>
        <v/>
      </c>
      <c r="U53" s="62">
        <f>IF($V53="","",IF($V53="Macro",ROW(),IFERROR(LOOKUP(2,1/($V$5:$V53="Macro"),ROW($V$5:$V53)),0)))</f>
        <v/>
      </c>
      <c r="V53" s="62">
        <f>IF(NOT((COUNTA($B53:$D53)+COUNTA($G53:$L53)+COUNTA($Q53))&gt;0),"",IF($B53="Subactividad","Sub","Macro"))</f>
        <v/>
      </c>
      <c r="W53" s="62">
        <f>IF($V53="Macro",COUNTIFS($U$5:$U$1000,ROW(),$V$5:$V$1000,"Sub"),"")</f>
        <v/>
      </c>
      <c r="X53" s="62">
        <f>IF($V53="","",IF(ISNUMBER($G53),1,IFERROR(LOOKUP(2,1/($I53:$L53&lt;&gt;""),$I53:$L53),0)))</f>
        <v/>
      </c>
      <c r="Y53" s="62">
        <f>IF($V53="","",IF(AND(ISNUMBER($G53),$G53&lt;=IF($S53=MesCiclo,InicioCiclo,$S53+MOD(2-WEEKDAY($S53),7))+6),1,IF(ISNUMBER($I53),$I53,0)))</f>
        <v/>
      </c>
      <c r="Z53" s="62">
        <f>IF($V53="","",IF(AND(ISNUMBER($G53),$G53&lt;=IF($S53=MesCiclo,InicioCiclo,$S53+MOD(2-WEEKDAY($S53),7))+13),1,IF(ISNUMBER($J53),$J53,$Y53)))</f>
        <v/>
      </c>
      <c r="AA53" s="62">
        <f>IF($V53="","",IF(AND(ISNUMBER($G53),$G53&lt;=IF($S53=MesCiclo,InicioCiclo,$S53+MOD(2-WEEKDAY($S53),7))+20),1,IF(ISNUMBER($K53),$K53,$Z53)))</f>
        <v/>
      </c>
      <c r="AB53" s="62">
        <f>IF($V53="","",IF(AND(ISNUMBER($G53),$G53&lt;=IF($S53=MesCiclo,InicioCiclo,$S53+MOD(2-WEEKDAY($S53),7))+27),1,IF(ISNUMBER($L53),$L53,$AA53)))</f>
        <v/>
      </c>
      <c r="AC53" s="62">
        <f>IF($V53="","",IF(AND(ISNUMBER($G53),$G53&lt;=IF($S53=MesCiclo,InicioCiclo,$S53+MOD(2-WEEKDAY($S53),7))+6),1,IF(N($W53)&gt;0,AVERAGEIFS($Y$5:$Y$1000,$U$5:$U$1000,ROW(),$V$5:$V$1000,"Sub"),$Y53)))</f>
        <v/>
      </c>
      <c r="AD53" s="62">
        <f>IF($V53="","",IF(AND(ISNUMBER($G53),$G53&lt;=IF($S53=MesCiclo,InicioCiclo,$S53+MOD(2-WEEKDAY($S53),7))+13),1,IF(N($W53)&gt;0,AVERAGEIFS($Z$5:$Z$1000,$U$5:$U$1000,ROW(),$V$5:$V$1000,"Sub"),$Z53)))</f>
        <v/>
      </c>
      <c r="AE53" s="62">
        <f>IF($V53="","",IF(AND(ISNUMBER($G53),$G53&lt;=IF($S53=MesCiclo,InicioCiclo,$S53+MOD(2-WEEKDAY($S53),7))+20),1,IF(N($W53)&gt;0,AVERAGEIFS($AA$5:$AA$1000,$U$5:$U$1000,ROW(),$V$5:$V$1000,"Sub"),$AA53)))</f>
        <v/>
      </c>
      <c r="AF53" s="62">
        <f>IF($V53="","",IF(AND(ISNUMBER($G53),$G53&lt;=IF($S53=MesCiclo,InicioCiclo,$S53+MOD(2-WEEKDAY($S53),7))+27),1,IF(N($W53)&gt;0,AVERAGEIFS($AB$5:$AB$1000,$U$5:$U$1000,ROW(),$V$5:$V$1000,"Sub"),$AB53)))</f>
        <v/>
      </c>
      <c r="AG53" s="62">
        <f>IF($V53&lt;&gt;"Macro","",IF(COUNTIFS($S$5:$S$1000,$S53,$V$5:$V$1000,"Macro",$H$5:$H$1000,"&gt;0")=0,1/COUNTIFS($S$5:$S$1000,$S53,$V$5:$V$1000,"Macro"),IF(AND(ISNUMBER($H53),N($H53)&gt;0),$H53,SUMIFS($H$5:$H$1000,$S$5:$S$1000,$S53,$V$5:$V$1000,"Macro")/COUNTIFS($S$5:$S$1000,$S53,$V$5:$V$1000,"Macro",$H$5:$H$1000,"&gt;0"))/(COUNTIFS($S$5:$S$1000,$S53,$V$5:$V$1000,"Macro")*SUMIFS($H$5:$H$1000,$S$5:$S$1000,$S53,$V$5:$V$1000,"Macro")/COUNTIFS($S$5:$S$1000,$S53,$V$5:$V$1000,"Macro",$H$5:$H$1000,"&gt;0"))))</f>
        <v/>
      </c>
      <c r="AH53" s="62" t="n"/>
      <c r="AI53" s="62" t="n"/>
      <c r="AJ53" s="62" t="n"/>
      <c r="AK53" s="62" t="n"/>
      <c r="AL53" s="62">
        <f>IF(LEFT($C53,11)="[Jefatura] ",IFERROR(MATCH("Riesgo Normativo|"&amp;MID($C53,12,500),rDname_ADM,0),0),"")</f>
        <v/>
      </c>
      <c r="AM53" s="62">
        <f>IF(N($AL53)&gt;0,INDEX(rIni_ADM,$AL53),IF(ISNUMBER($E53),$E53,""))</f>
        <v/>
      </c>
      <c r="AN53" s="62">
        <f>IF(N($AL53)&gt;0,INDEX(rLim_ADM,$AL53),IF(ISNUMBER($F53),$F53,""))</f>
        <v/>
      </c>
    </row>
    <row r="54">
      <c r="A54" s="56">
        <f>IF(NOT((COUNTA($B54:$D54)+COUNTA($G54:$L54)+COUNTA($Q54))&gt;0),"",IF($V54="Macro",COUNTIFS($V$5:$V54,"Macro",$S$5:$S54,$S54),IF(N($U54)=0,"?",COUNTIFS(INDEX($V$5:$V$1000,1):INDEX($V$5:$V$1000,$U54-4),"Macro",INDEX($S$5:$S$1000,1):INDEX($S$5:$S$1000,$U54-4),INDEX($S$5:$S$1000,$U54-4))&amp;"."&amp;COUNTIFS($U$5:$U54,$U54,$V$5:$V54,"Sub"))))</f>
        <v/>
      </c>
      <c r="B54" s="57" t="n"/>
      <c r="C54" s="58" t="n"/>
      <c r="D54" s="58" t="n"/>
      <c r="E54" s="59">
        <f>IF(N($AL54)&gt;0,INDEX(rIni_ADM,$AL54),"")</f>
        <v/>
      </c>
      <c r="F54" s="59">
        <f>IF(N($AL54)&gt;0,INDEX(rLim_ADM,$AL54),"")</f>
        <v/>
      </c>
      <c r="G54" s="59" t="n"/>
      <c r="H54" s="60" t="n"/>
      <c r="I54" s="60" t="n"/>
      <c r="J54" s="60" t="n"/>
      <c r="K54" s="60" t="n"/>
      <c r="L54" s="60" t="n"/>
      <c r="M54" s="61">
        <f>IF(NOT((COUNTA($B54:$D54)+COUNTA($G54:$L54)+COUNTA($Q54))&gt;0),"",IF($V54="Sub",IFERROR($X54/INDEX($W$5:$W$1000,$U54-4),""),IF(ISNUMBER($G54),1,IF(N($W54)&gt;0,AVERAGEIFS($X$5:$X$1000,$U$5:$U$1000,ROW(),$V$5:$V$1000,"Sub"),$X54))))</f>
        <v/>
      </c>
      <c r="N54" s="56">
        <f>IF(OR($M54="",$V54="Sub"),"",IF($M54&gt;=1,"Completado",IF($M54&gt;0,"En curso","Pendiente")))</f>
        <v/>
      </c>
      <c r="O54" s="56">
        <f>IF(OR(NOT((COUNTA($B54:$D54)+COUNTA($G54:$L54)+COUNTA($Q54))&gt;0),$V54="Sub"),"",IF(ISNUMBER($G54),IF(AND(ISNUMBER($AN54),$G54&gt;$AN54),"Cumplida con "&amp;($G54-$AN54)&amp;IF($G54-$AN54=1," día"," días")&amp;" de retraso","Cumplida"),IF(N($M54)&gt;=1,"Cumplida",IF(NOT(ISNUMBER($AN54)),"Sin fecha límite",IF($AN54&lt;FechaRef,"Vencida hace "&amp;(FechaRef-$AN54)&amp;IF(FechaRef-$AN54=1," día"," días"),IF($AN54=FechaRef,"Vence hoy",IF($AN54-FechaRef&lt;=DiasAlerta,"Vence en "&amp;($AN54-FechaRef)&amp;IF($AN54-FechaRef=1," día"," días"),"En plazo")))))))</f>
        <v/>
      </c>
      <c r="P54" s="62" t="n"/>
      <c r="Q54" s="58" t="n"/>
      <c r="R54" s="63">
        <f>IF(NOT((COUNTA($B54:$D54)+COUNTA($G54:$L54)+COUNTA($Q54))&gt;0),"",IF((IF($C54="","Falta el nombre de la actividad"&amp;" · ","")&amp;IF(AND($V54="Sub",N($U54)=0),"Subactividad sin macroactividad arriba"&amp;" · ","")&amp;IF($AM54="","Sin fecha de inicio"&amp;" · ","")&amp;IF($AN54="","Sin fecha límite"&amp;" · ","")&amp;IF(AND(LEFT($C54,11)="[Jefatura] ",N($AL54)=0),"No se encuentra en la hoja de la jefatura (elíjala de nuevo en la lista)"&amp;" · ","")&amp;IF(OR(AND($E54&lt;&gt;"",NOT(ISNUMBER($E54))),AND($F54&lt;&gt;"",NOT(ISNUMBER($F54))),AND($G54&lt;&gt;"",NOT(ISNUMBER($G54)))),"Fecha no válida"&amp;" · ","")&amp;IF(AND(ISNUMBER($AM54),ISNUMBER($AN54),$AM54&gt;$AN54),"Inicio posterior a fecha límite"&amp;" · ","")&amp;IF(AND($V54="Macro",$H54&lt;&gt;"",OR(NOT(ISNUMBER($H54)),$H54&lt;0,$H54&gt;1)),"Peso fuera de rango"&amp;" · ","")&amp;IF(AND($V54="Sub",$H54&lt;&gt;""),"Las subactividades no llevan peso (valen igual dentro de su macroactividad)"&amp;" · ","")&amp;IF(AND(N($W54)&gt;0,COUNT($I54:$L54)&gt;0),"Con subactividades: deje vacías las semanas (se calculan solas)"&amp;" · ","")&amp;IF((COUNTIF($I54:$L54,"&gt;1")+COUNTIF($I54:$L54,"&lt;0")+COUNTA($I54:$L54)-COUNT($I54:$L54))&gt;0,"Avance fuera de rango 0-100%"&amp;" · ","")&amp;IF(OR(AND($J54&lt;&gt;"",$J54&lt;$I54),AND($K54&lt;&gt;"",$K54&lt;MAX($I54:$J54)),AND($L54&lt;&gt;"",$L54&lt;MAX($I54:$K54))),"Avance semanal decreciente"&amp;" · ","")&amp;IF(AND(ISNUMBER($AN54),$AN54&lt;FechaRef,IF($V54="Sub",N($X54),N($M54))&lt;1),"Vencida"&amp;" · ","")&amp;IF(AND(ObsObligatoria="Sí",ISNUMBER($AN54),$AN54&lt;FechaRef,IF($V54="Sub",N($X54),N($M54))&lt;1,$Q54=""),"Vencida sin observación"&amp;" · ",""))="","✔ OK","⚠ "&amp;LEFT(IF($C54="","Falta el nombre de la actividad"&amp;" · ","")&amp;IF(AND($V54="Sub",N($U54)=0),"Subactividad sin macroactividad arriba"&amp;" · ","")&amp;IF($AM54="","Sin fecha de inicio"&amp;" · ","")&amp;IF($AN54="","Sin fecha límite"&amp;" · ","")&amp;IF(AND(LEFT($C54,11)="[Jefatura] ",N($AL54)=0),"No se encuentra en la hoja de la jefatura (elíjala de nuevo en la lista)"&amp;" · ","")&amp;IF(OR(AND($E54&lt;&gt;"",NOT(ISNUMBER($E54))),AND($F54&lt;&gt;"",NOT(ISNUMBER($F54))),AND($G54&lt;&gt;"",NOT(ISNUMBER($G54)))),"Fecha no válida"&amp;" · ","")&amp;IF(AND(ISNUMBER($AM54),ISNUMBER($AN54),$AM54&gt;$AN54),"Inicio posterior a fecha límite"&amp;" · ","")&amp;IF(AND($V54="Macro",$H54&lt;&gt;"",OR(NOT(ISNUMBER($H54)),$H54&lt;0,$H54&gt;1)),"Peso fuera de rango"&amp;" · ","")&amp;IF(AND($V54="Sub",$H54&lt;&gt;""),"Las subactividades no llevan peso (valen igual dentro de su macroactividad)"&amp;" · ","")&amp;IF(AND(N($W54)&gt;0,COUNT($I54:$L54)&gt;0),"Con subactividades: deje vacías las semanas (se calculan solas)"&amp;" · ","")&amp;IF((COUNTIF($I54:$L54,"&gt;1")+COUNTIF($I54:$L54,"&lt;0")+COUNTA($I54:$L54)-COUNT($I54:$L54))&gt;0,"Avance fuera de rango 0-100%"&amp;" · ","")&amp;IF(OR(AND($J54&lt;&gt;"",$J54&lt;$I54),AND($K54&lt;&gt;"",$K54&lt;MAX($I54:$J54)),AND($L54&lt;&gt;"",$L54&lt;MAX($I54:$K54))),"Avance semanal decreciente"&amp;" · ","")&amp;IF(AND(ISNUMBER($AN54),$AN54&lt;FechaRef,IF($V54="Sub",N($X54),N($M54))&lt;1),"Vencida"&amp;" · ","")&amp;IF(AND(ObsObligatoria="Sí",ISNUMBER($AN54),$AN54&lt;FechaRef,IF($V54="Sub",N($X54),N($M54))&lt;1,$Q54=""),"Vencida sin observación"&amp;" · ",""),LEN(IF($C54="","Falta el nombre de la actividad"&amp;" · ","")&amp;IF(AND($V54="Sub",N($U54)=0),"Subactividad sin macroactividad arriba"&amp;" · ","")&amp;IF($AM54="","Sin fecha de inicio"&amp;" · ","")&amp;IF($AN54="","Sin fecha límite"&amp;" · ","")&amp;IF(AND(LEFT($C54,11)="[Jefatura] ",N($AL54)=0),"No se encuentra en la hoja de la jefatura (elíjala de nuevo en la lista)"&amp;" · ","")&amp;IF(OR(AND($E54&lt;&gt;"",NOT(ISNUMBER($E54))),AND($F54&lt;&gt;"",NOT(ISNUMBER($F54))),AND($G54&lt;&gt;"",NOT(ISNUMBER($G54)))),"Fecha no válida"&amp;" · ","")&amp;IF(AND(ISNUMBER($AM54),ISNUMBER($AN54),$AM54&gt;$AN54),"Inicio posterior a fecha límite"&amp;" · ","")&amp;IF(AND($V54="Macro",$H54&lt;&gt;"",OR(NOT(ISNUMBER($H54)),$H54&lt;0,$H54&gt;1)),"Peso fuera de rango"&amp;" · ","")&amp;IF(AND($V54="Sub",$H54&lt;&gt;""),"Las subactividades no llevan peso (valen igual dentro de su macroactividad)"&amp;" · ","")&amp;IF(AND(N($W54)&gt;0,COUNT($I54:$L54)&gt;0),"Con subactividades: deje vacías las semanas (se calculan solas)"&amp;" · ","")&amp;IF((COUNTIF($I54:$L54,"&gt;1")+COUNTIF($I54:$L54,"&lt;0")+COUNTA($I54:$L54)-COUNT($I54:$L54))&gt;0,"Avance fuera de rango 0-100%"&amp;" · ","")&amp;IF(OR(AND($J54&lt;&gt;"",$J54&lt;$I54),AND($K54&lt;&gt;"",$K54&lt;MAX($I54:$J54)),AND($L54&lt;&gt;"",$L54&lt;MAX($I54:$K54))),"Avance semanal decreciente"&amp;" · ","")&amp;IF(AND(ISNUMBER($AN54),$AN54&lt;FechaRef,IF($V54="Sub",N($X54),N($M54))&lt;1),"Vencida"&amp;" · ","")&amp;IF(AND(ObsObligatoria="Sí",ISNUMBER($AN54),$AN54&lt;FechaRef,IF($V54="Sub",N($X54),N($M54))&lt;1,$Q54=""),"Vencida sin observación"&amp;" · ",""))-3)))</f>
        <v/>
      </c>
      <c r="S54" s="64">
        <f>IF(NOT((COUNTA($B54:$D54)+COUNTA($G54:$L54)+COUNTA($Q54))&gt;0),"",IF(AND($V54="Sub",N($U54)&gt;0),IF(ISNUMBER(INDEX($AM$5:$AM$1000,$U54-4)),DATE(YEAR(INDEX($AM$5:$AM$1000,$U54-4)),MONTH(INDEX($AM$5:$AM$1000,$U54-4)),1),IF(ISNUMBER(INDEX($AN$5:$AN$1000,$U54-4)),DATE(YEAR(INDEX($AN$5:$AN$1000,$U54-4)),MONTH(INDEX($AN$5:$AN$1000,$U54-4)),1),MesCiclo)),IF(ISNUMBER($AM54),DATE(YEAR($AM54),MONTH($AM54),1),IF(ISNUMBER($AN54),DATE(YEAR($AN54),MONTH($AN54),1),MesCiclo))))</f>
        <v/>
      </c>
      <c r="T54" s="62">
        <f>IF(OR($S54="",$S54&lt;&gt;MesCiclo,$V54&lt;&gt;"Macro"),"",COUNTIFS($S$5:$S54,MesCiclo,$V$5:$V54,"Macro"))</f>
        <v/>
      </c>
      <c r="U54" s="62">
        <f>IF($V54="","",IF($V54="Macro",ROW(),IFERROR(LOOKUP(2,1/($V$5:$V54="Macro"),ROW($V$5:$V54)),0)))</f>
        <v/>
      </c>
      <c r="V54" s="62">
        <f>IF(NOT((COUNTA($B54:$D54)+COUNTA($G54:$L54)+COUNTA($Q54))&gt;0),"",IF($B54="Subactividad","Sub","Macro"))</f>
        <v/>
      </c>
      <c r="W54" s="62">
        <f>IF($V54="Macro",COUNTIFS($U$5:$U$1000,ROW(),$V$5:$V$1000,"Sub"),"")</f>
        <v/>
      </c>
      <c r="X54" s="62">
        <f>IF($V54="","",IF(ISNUMBER($G54),1,IFERROR(LOOKUP(2,1/($I54:$L54&lt;&gt;""),$I54:$L54),0)))</f>
        <v/>
      </c>
      <c r="Y54" s="62">
        <f>IF($V54="","",IF(AND(ISNUMBER($G54),$G54&lt;=IF($S54=MesCiclo,InicioCiclo,$S54+MOD(2-WEEKDAY($S54),7))+6),1,IF(ISNUMBER($I54),$I54,0)))</f>
        <v/>
      </c>
      <c r="Z54" s="62">
        <f>IF($V54="","",IF(AND(ISNUMBER($G54),$G54&lt;=IF($S54=MesCiclo,InicioCiclo,$S54+MOD(2-WEEKDAY($S54),7))+13),1,IF(ISNUMBER($J54),$J54,$Y54)))</f>
        <v/>
      </c>
      <c r="AA54" s="62">
        <f>IF($V54="","",IF(AND(ISNUMBER($G54),$G54&lt;=IF($S54=MesCiclo,InicioCiclo,$S54+MOD(2-WEEKDAY($S54),7))+20),1,IF(ISNUMBER($K54),$K54,$Z54)))</f>
        <v/>
      </c>
      <c r="AB54" s="62">
        <f>IF($V54="","",IF(AND(ISNUMBER($G54),$G54&lt;=IF($S54=MesCiclo,InicioCiclo,$S54+MOD(2-WEEKDAY($S54),7))+27),1,IF(ISNUMBER($L54),$L54,$AA54)))</f>
        <v/>
      </c>
      <c r="AC54" s="62">
        <f>IF($V54="","",IF(AND(ISNUMBER($G54),$G54&lt;=IF($S54=MesCiclo,InicioCiclo,$S54+MOD(2-WEEKDAY($S54),7))+6),1,IF(N($W54)&gt;0,AVERAGEIFS($Y$5:$Y$1000,$U$5:$U$1000,ROW(),$V$5:$V$1000,"Sub"),$Y54)))</f>
        <v/>
      </c>
      <c r="AD54" s="62">
        <f>IF($V54="","",IF(AND(ISNUMBER($G54),$G54&lt;=IF($S54=MesCiclo,InicioCiclo,$S54+MOD(2-WEEKDAY($S54),7))+13),1,IF(N($W54)&gt;0,AVERAGEIFS($Z$5:$Z$1000,$U$5:$U$1000,ROW(),$V$5:$V$1000,"Sub"),$Z54)))</f>
        <v/>
      </c>
      <c r="AE54" s="62">
        <f>IF($V54="","",IF(AND(ISNUMBER($G54),$G54&lt;=IF($S54=MesCiclo,InicioCiclo,$S54+MOD(2-WEEKDAY($S54),7))+20),1,IF(N($W54)&gt;0,AVERAGEIFS($AA$5:$AA$1000,$U$5:$U$1000,ROW(),$V$5:$V$1000,"Sub"),$AA54)))</f>
        <v/>
      </c>
      <c r="AF54" s="62">
        <f>IF($V54="","",IF(AND(ISNUMBER($G54),$G54&lt;=IF($S54=MesCiclo,InicioCiclo,$S54+MOD(2-WEEKDAY($S54),7))+27),1,IF(N($W54)&gt;0,AVERAGEIFS($AB$5:$AB$1000,$U$5:$U$1000,ROW(),$V$5:$V$1000,"Sub"),$AB54)))</f>
        <v/>
      </c>
      <c r="AG54" s="62">
        <f>IF($V54&lt;&gt;"Macro","",IF(COUNTIFS($S$5:$S$1000,$S54,$V$5:$V$1000,"Macro",$H$5:$H$1000,"&gt;0")=0,1/COUNTIFS($S$5:$S$1000,$S54,$V$5:$V$1000,"Macro"),IF(AND(ISNUMBER($H54),N($H54)&gt;0),$H54,SUMIFS($H$5:$H$1000,$S$5:$S$1000,$S54,$V$5:$V$1000,"Macro")/COUNTIFS($S$5:$S$1000,$S54,$V$5:$V$1000,"Macro",$H$5:$H$1000,"&gt;0"))/(COUNTIFS($S$5:$S$1000,$S54,$V$5:$V$1000,"Macro")*SUMIFS($H$5:$H$1000,$S$5:$S$1000,$S54,$V$5:$V$1000,"Macro")/COUNTIFS($S$5:$S$1000,$S54,$V$5:$V$1000,"Macro",$H$5:$H$1000,"&gt;0"))))</f>
        <v/>
      </c>
      <c r="AH54" s="62" t="n"/>
      <c r="AI54" s="62" t="n"/>
      <c r="AJ54" s="62" t="n"/>
      <c r="AK54" s="62" t="n"/>
      <c r="AL54" s="62">
        <f>IF(LEFT($C54,11)="[Jefatura] ",IFERROR(MATCH("Riesgo Normativo|"&amp;MID($C54,12,500),rDname_ADM,0),0),"")</f>
        <v/>
      </c>
      <c r="AM54" s="62">
        <f>IF(N($AL54)&gt;0,INDEX(rIni_ADM,$AL54),IF(ISNUMBER($E54),$E54,""))</f>
        <v/>
      </c>
      <c r="AN54" s="62">
        <f>IF(N($AL54)&gt;0,INDEX(rLim_ADM,$AL54),IF(ISNUMBER($F54),$F54,""))</f>
        <v/>
      </c>
    </row>
    <row r="55">
      <c r="A55" s="56">
        <f>IF(NOT((COUNTA($B55:$D55)+COUNTA($G55:$L55)+COUNTA($Q55))&gt;0),"",IF($V55="Macro",COUNTIFS($V$5:$V55,"Macro",$S$5:$S55,$S55),IF(N($U55)=0,"?",COUNTIFS(INDEX($V$5:$V$1000,1):INDEX($V$5:$V$1000,$U55-4),"Macro",INDEX($S$5:$S$1000,1):INDEX($S$5:$S$1000,$U55-4),INDEX($S$5:$S$1000,$U55-4))&amp;"."&amp;COUNTIFS($U$5:$U55,$U55,$V$5:$V55,"Sub"))))</f>
        <v/>
      </c>
      <c r="B55" s="57" t="n"/>
      <c r="C55" s="58" t="n"/>
      <c r="D55" s="58" t="n"/>
      <c r="E55" s="59">
        <f>IF(N($AL55)&gt;0,INDEX(rIni_ADM,$AL55),"")</f>
        <v/>
      </c>
      <c r="F55" s="59">
        <f>IF(N($AL55)&gt;0,INDEX(rLim_ADM,$AL55),"")</f>
        <v/>
      </c>
      <c r="G55" s="59" t="n"/>
      <c r="H55" s="60" t="n"/>
      <c r="I55" s="60" t="n"/>
      <c r="J55" s="60" t="n"/>
      <c r="K55" s="60" t="n"/>
      <c r="L55" s="60" t="n"/>
      <c r="M55" s="61">
        <f>IF(NOT((COUNTA($B55:$D55)+COUNTA($G55:$L55)+COUNTA($Q55))&gt;0),"",IF($V55="Sub",IFERROR($X55/INDEX($W$5:$W$1000,$U55-4),""),IF(ISNUMBER($G55),1,IF(N($W55)&gt;0,AVERAGEIFS($X$5:$X$1000,$U$5:$U$1000,ROW(),$V$5:$V$1000,"Sub"),$X55))))</f>
        <v/>
      </c>
      <c r="N55" s="56">
        <f>IF(OR($M55="",$V55="Sub"),"",IF($M55&gt;=1,"Completado",IF($M55&gt;0,"En curso","Pendiente")))</f>
        <v/>
      </c>
      <c r="O55" s="56">
        <f>IF(OR(NOT((COUNTA($B55:$D55)+COUNTA($G55:$L55)+COUNTA($Q55))&gt;0),$V55="Sub"),"",IF(ISNUMBER($G55),IF(AND(ISNUMBER($AN55),$G55&gt;$AN55),"Cumplida con "&amp;($G55-$AN55)&amp;IF($G55-$AN55=1," día"," días")&amp;" de retraso","Cumplida"),IF(N($M55)&gt;=1,"Cumplida",IF(NOT(ISNUMBER($AN55)),"Sin fecha límite",IF($AN55&lt;FechaRef,"Vencida hace "&amp;(FechaRef-$AN55)&amp;IF(FechaRef-$AN55=1," día"," días"),IF($AN55=FechaRef,"Vence hoy",IF($AN55-FechaRef&lt;=DiasAlerta,"Vence en "&amp;($AN55-FechaRef)&amp;IF($AN55-FechaRef=1," día"," días"),"En plazo")))))))</f>
        <v/>
      </c>
      <c r="P55" s="62" t="n"/>
      <c r="Q55" s="58" t="n"/>
      <c r="R55" s="63">
        <f>IF(NOT((COUNTA($B55:$D55)+COUNTA($G55:$L55)+COUNTA($Q55))&gt;0),"",IF((IF($C55="","Falta el nombre de la actividad"&amp;" · ","")&amp;IF(AND($V55="Sub",N($U55)=0),"Subactividad sin macroactividad arriba"&amp;" · ","")&amp;IF($AM55="","Sin fecha de inicio"&amp;" · ","")&amp;IF($AN55="","Sin fecha límite"&amp;" · ","")&amp;IF(AND(LEFT($C55,11)="[Jefatura] ",N($AL55)=0),"No se encuentra en la hoja de la jefatura (elíjala de nuevo en la lista)"&amp;" · ","")&amp;IF(OR(AND($E55&lt;&gt;"",NOT(ISNUMBER($E55))),AND($F55&lt;&gt;"",NOT(ISNUMBER($F55))),AND($G55&lt;&gt;"",NOT(ISNUMBER($G55)))),"Fecha no válida"&amp;" · ","")&amp;IF(AND(ISNUMBER($AM55),ISNUMBER($AN55),$AM55&gt;$AN55),"Inicio posterior a fecha límite"&amp;" · ","")&amp;IF(AND($V55="Macro",$H55&lt;&gt;"",OR(NOT(ISNUMBER($H55)),$H55&lt;0,$H55&gt;1)),"Peso fuera de rango"&amp;" · ","")&amp;IF(AND($V55="Sub",$H55&lt;&gt;""),"Las subactividades no llevan peso (valen igual dentro de su macroactividad)"&amp;" · ","")&amp;IF(AND(N($W55)&gt;0,COUNT($I55:$L55)&gt;0),"Con subactividades: deje vacías las semanas (se calculan solas)"&amp;" · ","")&amp;IF((COUNTIF($I55:$L55,"&gt;1")+COUNTIF($I55:$L55,"&lt;0")+COUNTA($I55:$L55)-COUNT($I55:$L55))&gt;0,"Avance fuera de rango 0-100%"&amp;" · ","")&amp;IF(OR(AND($J55&lt;&gt;"",$J55&lt;$I55),AND($K55&lt;&gt;"",$K55&lt;MAX($I55:$J55)),AND($L55&lt;&gt;"",$L55&lt;MAX($I55:$K55))),"Avance semanal decreciente"&amp;" · ","")&amp;IF(AND(ISNUMBER($AN55),$AN55&lt;FechaRef,IF($V55="Sub",N($X55),N($M55))&lt;1),"Vencida"&amp;" · ","")&amp;IF(AND(ObsObligatoria="Sí",ISNUMBER($AN55),$AN55&lt;FechaRef,IF($V55="Sub",N($X55),N($M55))&lt;1,$Q55=""),"Vencida sin observación"&amp;" · ",""))="","✔ OK","⚠ "&amp;LEFT(IF($C55="","Falta el nombre de la actividad"&amp;" · ","")&amp;IF(AND($V55="Sub",N($U55)=0),"Subactividad sin macroactividad arriba"&amp;" · ","")&amp;IF($AM55="","Sin fecha de inicio"&amp;" · ","")&amp;IF($AN55="","Sin fecha límite"&amp;" · ","")&amp;IF(AND(LEFT($C55,11)="[Jefatura] ",N($AL55)=0),"No se encuentra en la hoja de la jefatura (elíjala de nuevo en la lista)"&amp;" · ","")&amp;IF(OR(AND($E55&lt;&gt;"",NOT(ISNUMBER($E55))),AND($F55&lt;&gt;"",NOT(ISNUMBER($F55))),AND($G55&lt;&gt;"",NOT(ISNUMBER($G55)))),"Fecha no válida"&amp;" · ","")&amp;IF(AND(ISNUMBER($AM55),ISNUMBER($AN55),$AM55&gt;$AN55),"Inicio posterior a fecha límite"&amp;" · ","")&amp;IF(AND($V55="Macro",$H55&lt;&gt;"",OR(NOT(ISNUMBER($H55)),$H55&lt;0,$H55&gt;1)),"Peso fuera de rango"&amp;" · ","")&amp;IF(AND($V55="Sub",$H55&lt;&gt;""),"Las subactividades no llevan peso (valen igual dentro de su macroactividad)"&amp;" · ","")&amp;IF(AND(N($W55)&gt;0,COUNT($I55:$L55)&gt;0),"Con subactividades: deje vacías las semanas (se calculan solas)"&amp;" · ","")&amp;IF((COUNTIF($I55:$L55,"&gt;1")+COUNTIF($I55:$L55,"&lt;0")+COUNTA($I55:$L55)-COUNT($I55:$L55))&gt;0,"Avance fuera de rango 0-100%"&amp;" · ","")&amp;IF(OR(AND($J55&lt;&gt;"",$J55&lt;$I55),AND($K55&lt;&gt;"",$K55&lt;MAX($I55:$J55)),AND($L55&lt;&gt;"",$L55&lt;MAX($I55:$K55))),"Avance semanal decreciente"&amp;" · ","")&amp;IF(AND(ISNUMBER($AN55),$AN55&lt;FechaRef,IF($V55="Sub",N($X55),N($M55))&lt;1),"Vencida"&amp;" · ","")&amp;IF(AND(ObsObligatoria="Sí",ISNUMBER($AN55),$AN55&lt;FechaRef,IF($V55="Sub",N($X55),N($M55))&lt;1,$Q55=""),"Vencida sin observación"&amp;" · ",""),LEN(IF($C55="","Falta el nombre de la actividad"&amp;" · ","")&amp;IF(AND($V55="Sub",N($U55)=0),"Subactividad sin macroactividad arriba"&amp;" · ","")&amp;IF($AM55="","Sin fecha de inicio"&amp;" · ","")&amp;IF($AN55="","Sin fecha límite"&amp;" · ","")&amp;IF(AND(LEFT($C55,11)="[Jefatura] ",N($AL55)=0),"No se encuentra en la hoja de la jefatura (elíjala de nuevo en la lista)"&amp;" · ","")&amp;IF(OR(AND($E55&lt;&gt;"",NOT(ISNUMBER($E55))),AND($F55&lt;&gt;"",NOT(ISNUMBER($F55))),AND($G55&lt;&gt;"",NOT(ISNUMBER($G55)))),"Fecha no válida"&amp;" · ","")&amp;IF(AND(ISNUMBER($AM55),ISNUMBER($AN55),$AM55&gt;$AN55),"Inicio posterior a fecha límite"&amp;" · ","")&amp;IF(AND($V55="Macro",$H55&lt;&gt;"",OR(NOT(ISNUMBER($H55)),$H55&lt;0,$H55&gt;1)),"Peso fuera de rango"&amp;" · ","")&amp;IF(AND($V55="Sub",$H55&lt;&gt;""),"Las subactividades no llevan peso (valen igual dentro de su macroactividad)"&amp;" · ","")&amp;IF(AND(N($W55)&gt;0,COUNT($I55:$L55)&gt;0),"Con subactividades: deje vacías las semanas (se calculan solas)"&amp;" · ","")&amp;IF((COUNTIF($I55:$L55,"&gt;1")+COUNTIF($I55:$L55,"&lt;0")+COUNTA($I55:$L55)-COUNT($I55:$L55))&gt;0,"Avance fuera de rango 0-100%"&amp;" · ","")&amp;IF(OR(AND($J55&lt;&gt;"",$J55&lt;$I55),AND($K55&lt;&gt;"",$K55&lt;MAX($I55:$J55)),AND($L55&lt;&gt;"",$L55&lt;MAX($I55:$K55))),"Avance semanal decreciente"&amp;" · ","")&amp;IF(AND(ISNUMBER($AN55),$AN55&lt;FechaRef,IF($V55="Sub",N($X55),N($M55))&lt;1),"Vencida"&amp;" · ","")&amp;IF(AND(ObsObligatoria="Sí",ISNUMBER($AN55),$AN55&lt;FechaRef,IF($V55="Sub",N($X55),N($M55))&lt;1,$Q55=""),"Vencida sin observación"&amp;" · ",""))-3)))</f>
        <v/>
      </c>
      <c r="S55" s="64">
        <f>IF(NOT((COUNTA($B55:$D55)+COUNTA($G55:$L55)+COUNTA($Q55))&gt;0),"",IF(AND($V55="Sub",N($U55)&gt;0),IF(ISNUMBER(INDEX($AM$5:$AM$1000,$U55-4)),DATE(YEAR(INDEX($AM$5:$AM$1000,$U55-4)),MONTH(INDEX($AM$5:$AM$1000,$U55-4)),1),IF(ISNUMBER(INDEX($AN$5:$AN$1000,$U55-4)),DATE(YEAR(INDEX($AN$5:$AN$1000,$U55-4)),MONTH(INDEX($AN$5:$AN$1000,$U55-4)),1),MesCiclo)),IF(ISNUMBER($AM55),DATE(YEAR($AM55),MONTH($AM55),1),IF(ISNUMBER($AN55),DATE(YEAR($AN55),MONTH($AN55),1),MesCiclo))))</f>
        <v/>
      </c>
      <c r="T55" s="62">
        <f>IF(OR($S55="",$S55&lt;&gt;MesCiclo,$V55&lt;&gt;"Macro"),"",COUNTIFS($S$5:$S55,MesCiclo,$V$5:$V55,"Macro"))</f>
        <v/>
      </c>
      <c r="U55" s="62">
        <f>IF($V55="","",IF($V55="Macro",ROW(),IFERROR(LOOKUP(2,1/($V$5:$V55="Macro"),ROW($V$5:$V55)),0)))</f>
        <v/>
      </c>
      <c r="V55" s="62">
        <f>IF(NOT((COUNTA($B55:$D55)+COUNTA($G55:$L55)+COUNTA($Q55))&gt;0),"",IF($B55="Subactividad","Sub","Macro"))</f>
        <v/>
      </c>
      <c r="W55" s="62">
        <f>IF($V55="Macro",COUNTIFS($U$5:$U$1000,ROW(),$V$5:$V$1000,"Sub"),"")</f>
        <v/>
      </c>
      <c r="X55" s="62">
        <f>IF($V55="","",IF(ISNUMBER($G55),1,IFERROR(LOOKUP(2,1/($I55:$L55&lt;&gt;""),$I55:$L55),0)))</f>
        <v/>
      </c>
      <c r="Y55" s="62">
        <f>IF($V55="","",IF(AND(ISNUMBER($G55),$G55&lt;=IF($S55=MesCiclo,InicioCiclo,$S55+MOD(2-WEEKDAY($S55),7))+6),1,IF(ISNUMBER($I55),$I55,0)))</f>
        <v/>
      </c>
      <c r="Z55" s="62">
        <f>IF($V55="","",IF(AND(ISNUMBER($G55),$G55&lt;=IF($S55=MesCiclo,InicioCiclo,$S55+MOD(2-WEEKDAY($S55),7))+13),1,IF(ISNUMBER($J55),$J55,$Y55)))</f>
        <v/>
      </c>
      <c r="AA55" s="62">
        <f>IF($V55="","",IF(AND(ISNUMBER($G55),$G55&lt;=IF($S55=MesCiclo,InicioCiclo,$S55+MOD(2-WEEKDAY($S55),7))+20),1,IF(ISNUMBER($K55),$K55,$Z55)))</f>
        <v/>
      </c>
      <c r="AB55" s="62">
        <f>IF($V55="","",IF(AND(ISNUMBER($G55),$G55&lt;=IF($S55=MesCiclo,InicioCiclo,$S55+MOD(2-WEEKDAY($S55),7))+27),1,IF(ISNUMBER($L55),$L55,$AA55)))</f>
        <v/>
      </c>
      <c r="AC55" s="62">
        <f>IF($V55="","",IF(AND(ISNUMBER($G55),$G55&lt;=IF($S55=MesCiclo,InicioCiclo,$S55+MOD(2-WEEKDAY($S55),7))+6),1,IF(N($W55)&gt;0,AVERAGEIFS($Y$5:$Y$1000,$U$5:$U$1000,ROW(),$V$5:$V$1000,"Sub"),$Y55)))</f>
        <v/>
      </c>
      <c r="AD55" s="62">
        <f>IF($V55="","",IF(AND(ISNUMBER($G55),$G55&lt;=IF($S55=MesCiclo,InicioCiclo,$S55+MOD(2-WEEKDAY($S55),7))+13),1,IF(N($W55)&gt;0,AVERAGEIFS($Z$5:$Z$1000,$U$5:$U$1000,ROW(),$V$5:$V$1000,"Sub"),$Z55)))</f>
        <v/>
      </c>
      <c r="AE55" s="62">
        <f>IF($V55="","",IF(AND(ISNUMBER($G55),$G55&lt;=IF($S55=MesCiclo,InicioCiclo,$S55+MOD(2-WEEKDAY($S55),7))+20),1,IF(N($W55)&gt;0,AVERAGEIFS($AA$5:$AA$1000,$U$5:$U$1000,ROW(),$V$5:$V$1000,"Sub"),$AA55)))</f>
        <v/>
      </c>
      <c r="AF55" s="62">
        <f>IF($V55="","",IF(AND(ISNUMBER($G55),$G55&lt;=IF($S55=MesCiclo,InicioCiclo,$S55+MOD(2-WEEKDAY($S55),7))+27),1,IF(N($W55)&gt;0,AVERAGEIFS($AB$5:$AB$1000,$U$5:$U$1000,ROW(),$V$5:$V$1000,"Sub"),$AB55)))</f>
        <v/>
      </c>
      <c r="AG55" s="62">
        <f>IF($V55&lt;&gt;"Macro","",IF(COUNTIFS($S$5:$S$1000,$S55,$V$5:$V$1000,"Macro",$H$5:$H$1000,"&gt;0")=0,1/COUNTIFS($S$5:$S$1000,$S55,$V$5:$V$1000,"Macro"),IF(AND(ISNUMBER($H55),N($H55)&gt;0),$H55,SUMIFS($H$5:$H$1000,$S$5:$S$1000,$S55,$V$5:$V$1000,"Macro")/COUNTIFS($S$5:$S$1000,$S55,$V$5:$V$1000,"Macro",$H$5:$H$1000,"&gt;0"))/(COUNTIFS($S$5:$S$1000,$S55,$V$5:$V$1000,"Macro")*SUMIFS($H$5:$H$1000,$S$5:$S$1000,$S55,$V$5:$V$1000,"Macro")/COUNTIFS($S$5:$S$1000,$S55,$V$5:$V$1000,"Macro",$H$5:$H$1000,"&gt;0"))))</f>
        <v/>
      </c>
      <c r="AH55" s="62" t="n"/>
      <c r="AI55" s="62" t="n"/>
      <c r="AJ55" s="62" t="n"/>
      <c r="AK55" s="62" t="n"/>
      <c r="AL55" s="62">
        <f>IF(LEFT($C55,11)="[Jefatura] ",IFERROR(MATCH("Riesgo Normativo|"&amp;MID($C55,12,500),rDname_ADM,0),0),"")</f>
        <v/>
      </c>
      <c r="AM55" s="62">
        <f>IF(N($AL55)&gt;0,INDEX(rIni_ADM,$AL55),IF(ISNUMBER($E55),$E55,""))</f>
        <v/>
      </c>
      <c r="AN55" s="62">
        <f>IF(N($AL55)&gt;0,INDEX(rLim_ADM,$AL55),IF(ISNUMBER($F55),$F55,""))</f>
        <v/>
      </c>
    </row>
    <row r="56">
      <c r="A56" s="56">
        <f>IF(NOT((COUNTA($B56:$D56)+COUNTA($G56:$L56)+COUNTA($Q56))&gt;0),"",IF($V56="Macro",COUNTIFS($V$5:$V56,"Macro",$S$5:$S56,$S56),IF(N($U56)=0,"?",COUNTIFS(INDEX($V$5:$V$1000,1):INDEX($V$5:$V$1000,$U56-4),"Macro",INDEX($S$5:$S$1000,1):INDEX($S$5:$S$1000,$U56-4),INDEX($S$5:$S$1000,$U56-4))&amp;"."&amp;COUNTIFS($U$5:$U56,$U56,$V$5:$V56,"Sub"))))</f>
        <v/>
      </c>
      <c r="B56" s="57" t="n"/>
      <c r="C56" s="58" t="n"/>
      <c r="D56" s="58" t="n"/>
      <c r="E56" s="59">
        <f>IF(N($AL56)&gt;0,INDEX(rIni_ADM,$AL56),"")</f>
        <v/>
      </c>
      <c r="F56" s="59">
        <f>IF(N($AL56)&gt;0,INDEX(rLim_ADM,$AL56),"")</f>
        <v/>
      </c>
      <c r="G56" s="59" t="n"/>
      <c r="H56" s="60" t="n"/>
      <c r="I56" s="60" t="n"/>
      <c r="J56" s="60" t="n"/>
      <c r="K56" s="60" t="n"/>
      <c r="L56" s="60" t="n"/>
      <c r="M56" s="61">
        <f>IF(NOT((COUNTA($B56:$D56)+COUNTA($G56:$L56)+COUNTA($Q56))&gt;0),"",IF($V56="Sub",IFERROR($X56/INDEX($W$5:$W$1000,$U56-4),""),IF(ISNUMBER($G56),1,IF(N($W56)&gt;0,AVERAGEIFS($X$5:$X$1000,$U$5:$U$1000,ROW(),$V$5:$V$1000,"Sub"),$X56))))</f>
        <v/>
      </c>
      <c r="N56" s="56">
        <f>IF(OR($M56="",$V56="Sub"),"",IF($M56&gt;=1,"Completado",IF($M56&gt;0,"En curso","Pendiente")))</f>
        <v/>
      </c>
      <c r="O56" s="56">
        <f>IF(OR(NOT((COUNTA($B56:$D56)+COUNTA($G56:$L56)+COUNTA($Q56))&gt;0),$V56="Sub"),"",IF(ISNUMBER($G56),IF(AND(ISNUMBER($AN56),$G56&gt;$AN56),"Cumplida con "&amp;($G56-$AN56)&amp;IF($G56-$AN56=1," día"," días")&amp;" de retraso","Cumplida"),IF(N($M56)&gt;=1,"Cumplida",IF(NOT(ISNUMBER($AN56)),"Sin fecha límite",IF($AN56&lt;FechaRef,"Vencida hace "&amp;(FechaRef-$AN56)&amp;IF(FechaRef-$AN56=1," día"," días"),IF($AN56=FechaRef,"Vence hoy",IF($AN56-FechaRef&lt;=DiasAlerta,"Vence en "&amp;($AN56-FechaRef)&amp;IF($AN56-FechaRef=1," día"," días"),"En plazo")))))))</f>
        <v/>
      </c>
      <c r="P56" s="62" t="n"/>
      <c r="Q56" s="58" t="n"/>
      <c r="R56" s="63">
        <f>IF(NOT((COUNTA($B56:$D56)+COUNTA($G56:$L56)+COUNTA($Q56))&gt;0),"",IF((IF($C56="","Falta el nombre de la actividad"&amp;" · ","")&amp;IF(AND($V56="Sub",N($U56)=0),"Subactividad sin macroactividad arriba"&amp;" · ","")&amp;IF($AM56="","Sin fecha de inicio"&amp;" · ","")&amp;IF($AN56="","Sin fecha límite"&amp;" · ","")&amp;IF(AND(LEFT($C56,11)="[Jefatura] ",N($AL56)=0),"No se encuentra en la hoja de la jefatura (elíjala de nuevo en la lista)"&amp;" · ","")&amp;IF(OR(AND($E56&lt;&gt;"",NOT(ISNUMBER($E56))),AND($F56&lt;&gt;"",NOT(ISNUMBER($F56))),AND($G56&lt;&gt;"",NOT(ISNUMBER($G56)))),"Fecha no válida"&amp;" · ","")&amp;IF(AND(ISNUMBER($AM56),ISNUMBER($AN56),$AM56&gt;$AN56),"Inicio posterior a fecha límite"&amp;" · ","")&amp;IF(AND($V56="Macro",$H56&lt;&gt;"",OR(NOT(ISNUMBER($H56)),$H56&lt;0,$H56&gt;1)),"Peso fuera de rango"&amp;" · ","")&amp;IF(AND($V56="Sub",$H56&lt;&gt;""),"Las subactividades no llevan peso (valen igual dentro de su macroactividad)"&amp;" · ","")&amp;IF(AND(N($W56)&gt;0,COUNT($I56:$L56)&gt;0),"Con subactividades: deje vacías las semanas (se calculan solas)"&amp;" · ","")&amp;IF((COUNTIF($I56:$L56,"&gt;1")+COUNTIF($I56:$L56,"&lt;0")+COUNTA($I56:$L56)-COUNT($I56:$L56))&gt;0,"Avance fuera de rango 0-100%"&amp;" · ","")&amp;IF(OR(AND($J56&lt;&gt;"",$J56&lt;$I56),AND($K56&lt;&gt;"",$K56&lt;MAX($I56:$J56)),AND($L56&lt;&gt;"",$L56&lt;MAX($I56:$K56))),"Avance semanal decreciente"&amp;" · ","")&amp;IF(AND(ISNUMBER($AN56),$AN56&lt;FechaRef,IF($V56="Sub",N($X56),N($M56))&lt;1),"Vencida"&amp;" · ","")&amp;IF(AND(ObsObligatoria="Sí",ISNUMBER($AN56),$AN56&lt;FechaRef,IF($V56="Sub",N($X56),N($M56))&lt;1,$Q56=""),"Vencida sin observación"&amp;" · ",""))="","✔ OK","⚠ "&amp;LEFT(IF($C56="","Falta el nombre de la actividad"&amp;" · ","")&amp;IF(AND($V56="Sub",N($U56)=0),"Subactividad sin macroactividad arriba"&amp;" · ","")&amp;IF($AM56="","Sin fecha de inicio"&amp;" · ","")&amp;IF($AN56="","Sin fecha límite"&amp;" · ","")&amp;IF(AND(LEFT($C56,11)="[Jefatura] ",N($AL56)=0),"No se encuentra en la hoja de la jefatura (elíjala de nuevo en la lista)"&amp;" · ","")&amp;IF(OR(AND($E56&lt;&gt;"",NOT(ISNUMBER($E56))),AND($F56&lt;&gt;"",NOT(ISNUMBER($F56))),AND($G56&lt;&gt;"",NOT(ISNUMBER($G56)))),"Fecha no válida"&amp;" · ","")&amp;IF(AND(ISNUMBER($AM56),ISNUMBER($AN56),$AM56&gt;$AN56),"Inicio posterior a fecha límite"&amp;" · ","")&amp;IF(AND($V56="Macro",$H56&lt;&gt;"",OR(NOT(ISNUMBER($H56)),$H56&lt;0,$H56&gt;1)),"Peso fuera de rango"&amp;" · ","")&amp;IF(AND($V56="Sub",$H56&lt;&gt;""),"Las subactividades no llevan peso (valen igual dentro de su macroactividad)"&amp;" · ","")&amp;IF(AND(N($W56)&gt;0,COUNT($I56:$L56)&gt;0),"Con subactividades: deje vacías las semanas (se calculan solas)"&amp;" · ","")&amp;IF((COUNTIF($I56:$L56,"&gt;1")+COUNTIF($I56:$L56,"&lt;0")+COUNTA($I56:$L56)-COUNT($I56:$L56))&gt;0,"Avance fuera de rango 0-100%"&amp;" · ","")&amp;IF(OR(AND($J56&lt;&gt;"",$J56&lt;$I56),AND($K56&lt;&gt;"",$K56&lt;MAX($I56:$J56)),AND($L56&lt;&gt;"",$L56&lt;MAX($I56:$K56))),"Avance semanal decreciente"&amp;" · ","")&amp;IF(AND(ISNUMBER($AN56),$AN56&lt;FechaRef,IF($V56="Sub",N($X56),N($M56))&lt;1),"Vencida"&amp;" · ","")&amp;IF(AND(ObsObligatoria="Sí",ISNUMBER($AN56),$AN56&lt;FechaRef,IF($V56="Sub",N($X56),N($M56))&lt;1,$Q56=""),"Vencida sin observación"&amp;" · ",""),LEN(IF($C56="","Falta el nombre de la actividad"&amp;" · ","")&amp;IF(AND($V56="Sub",N($U56)=0),"Subactividad sin macroactividad arriba"&amp;" · ","")&amp;IF($AM56="","Sin fecha de inicio"&amp;" · ","")&amp;IF($AN56="","Sin fecha límite"&amp;" · ","")&amp;IF(AND(LEFT($C56,11)="[Jefatura] ",N($AL56)=0),"No se encuentra en la hoja de la jefatura (elíjala de nuevo en la lista)"&amp;" · ","")&amp;IF(OR(AND($E56&lt;&gt;"",NOT(ISNUMBER($E56))),AND($F56&lt;&gt;"",NOT(ISNUMBER($F56))),AND($G56&lt;&gt;"",NOT(ISNUMBER($G56)))),"Fecha no válida"&amp;" · ","")&amp;IF(AND(ISNUMBER($AM56),ISNUMBER($AN56),$AM56&gt;$AN56),"Inicio posterior a fecha límite"&amp;" · ","")&amp;IF(AND($V56="Macro",$H56&lt;&gt;"",OR(NOT(ISNUMBER($H56)),$H56&lt;0,$H56&gt;1)),"Peso fuera de rango"&amp;" · ","")&amp;IF(AND($V56="Sub",$H56&lt;&gt;""),"Las subactividades no llevan peso (valen igual dentro de su macroactividad)"&amp;" · ","")&amp;IF(AND(N($W56)&gt;0,COUNT($I56:$L56)&gt;0),"Con subactividades: deje vacías las semanas (se calculan solas)"&amp;" · ","")&amp;IF((COUNTIF($I56:$L56,"&gt;1")+COUNTIF($I56:$L56,"&lt;0")+COUNTA($I56:$L56)-COUNT($I56:$L56))&gt;0,"Avance fuera de rango 0-100%"&amp;" · ","")&amp;IF(OR(AND($J56&lt;&gt;"",$J56&lt;$I56),AND($K56&lt;&gt;"",$K56&lt;MAX($I56:$J56)),AND($L56&lt;&gt;"",$L56&lt;MAX($I56:$K56))),"Avance semanal decreciente"&amp;" · ","")&amp;IF(AND(ISNUMBER($AN56),$AN56&lt;FechaRef,IF($V56="Sub",N($X56),N($M56))&lt;1),"Vencida"&amp;" · ","")&amp;IF(AND(ObsObligatoria="Sí",ISNUMBER($AN56),$AN56&lt;FechaRef,IF($V56="Sub",N($X56),N($M56))&lt;1,$Q56=""),"Vencida sin observación"&amp;" · ",""))-3)))</f>
        <v/>
      </c>
      <c r="S56" s="64">
        <f>IF(NOT((COUNTA($B56:$D56)+COUNTA($G56:$L56)+COUNTA($Q56))&gt;0),"",IF(AND($V56="Sub",N($U56)&gt;0),IF(ISNUMBER(INDEX($AM$5:$AM$1000,$U56-4)),DATE(YEAR(INDEX($AM$5:$AM$1000,$U56-4)),MONTH(INDEX($AM$5:$AM$1000,$U56-4)),1),IF(ISNUMBER(INDEX($AN$5:$AN$1000,$U56-4)),DATE(YEAR(INDEX($AN$5:$AN$1000,$U56-4)),MONTH(INDEX($AN$5:$AN$1000,$U56-4)),1),MesCiclo)),IF(ISNUMBER($AM56),DATE(YEAR($AM56),MONTH($AM56),1),IF(ISNUMBER($AN56),DATE(YEAR($AN56),MONTH($AN56),1),MesCiclo))))</f>
        <v/>
      </c>
      <c r="T56" s="62">
        <f>IF(OR($S56="",$S56&lt;&gt;MesCiclo,$V56&lt;&gt;"Macro"),"",COUNTIFS($S$5:$S56,MesCiclo,$V$5:$V56,"Macro"))</f>
        <v/>
      </c>
      <c r="U56" s="62">
        <f>IF($V56="","",IF($V56="Macro",ROW(),IFERROR(LOOKUP(2,1/($V$5:$V56="Macro"),ROW($V$5:$V56)),0)))</f>
        <v/>
      </c>
      <c r="V56" s="62">
        <f>IF(NOT((COUNTA($B56:$D56)+COUNTA($G56:$L56)+COUNTA($Q56))&gt;0),"",IF($B56="Subactividad","Sub","Macro"))</f>
        <v/>
      </c>
      <c r="W56" s="62">
        <f>IF($V56="Macro",COUNTIFS($U$5:$U$1000,ROW(),$V$5:$V$1000,"Sub"),"")</f>
        <v/>
      </c>
      <c r="X56" s="62">
        <f>IF($V56="","",IF(ISNUMBER($G56),1,IFERROR(LOOKUP(2,1/($I56:$L56&lt;&gt;""),$I56:$L56),0)))</f>
        <v/>
      </c>
      <c r="Y56" s="62">
        <f>IF($V56="","",IF(AND(ISNUMBER($G56),$G56&lt;=IF($S56=MesCiclo,InicioCiclo,$S56+MOD(2-WEEKDAY($S56),7))+6),1,IF(ISNUMBER($I56),$I56,0)))</f>
        <v/>
      </c>
      <c r="Z56" s="62">
        <f>IF($V56="","",IF(AND(ISNUMBER($G56),$G56&lt;=IF($S56=MesCiclo,InicioCiclo,$S56+MOD(2-WEEKDAY($S56),7))+13),1,IF(ISNUMBER($J56),$J56,$Y56)))</f>
        <v/>
      </c>
      <c r="AA56" s="62">
        <f>IF($V56="","",IF(AND(ISNUMBER($G56),$G56&lt;=IF($S56=MesCiclo,InicioCiclo,$S56+MOD(2-WEEKDAY($S56),7))+20),1,IF(ISNUMBER($K56),$K56,$Z56)))</f>
        <v/>
      </c>
      <c r="AB56" s="62">
        <f>IF($V56="","",IF(AND(ISNUMBER($G56),$G56&lt;=IF($S56=MesCiclo,InicioCiclo,$S56+MOD(2-WEEKDAY($S56),7))+27),1,IF(ISNUMBER($L56),$L56,$AA56)))</f>
        <v/>
      </c>
      <c r="AC56" s="62">
        <f>IF($V56="","",IF(AND(ISNUMBER($G56),$G56&lt;=IF($S56=MesCiclo,InicioCiclo,$S56+MOD(2-WEEKDAY($S56),7))+6),1,IF(N($W56)&gt;0,AVERAGEIFS($Y$5:$Y$1000,$U$5:$U$1000,ROW(),$V$5:$V$1000,"Sub"),$Y56)))</f>
        <v/>
      </c>
      <c r="AD56" s="62">
        <f>IF($V56="","",IF(AND(ISNUMBER($G56),$G56&lt;=IF($S56=MesCiclo,InicioCiclo,$S56+MOD(2-WEEKDAY($S56),7))+13),1,IF(N($W56)&gt;0,AVERAGEIFS($Z$5:$Z$1000,$U$5:$U$1000,ROW(),$V$5:$V$1000,"Sub"),$Z56)))</f>
        <v/>
      </c>
      <c r="AE56" s="62">
        <f>IF($V56="","",IF(AND(ISNUMBER($G56),$G56&lt;=IF($S56=MesCiclo,InicioCiclo,$S56+MOD(2-WEEKDAY($S56),7))+20),1,IF(N($W56)&gt;0,AVERAGEIFS($AA$5:$AA$1000,$U$5:$U$1000,ROW(),$V$5:$V$1000,"Sub"),$AA56)))</f>
        <v/>
      </c>
      <c r="AF56" s="62">
        <f>IF($V56="","",IF(AND(ISNUMBER($G56),$G56&lt;=IF($S56=MesCiclo,InicioCiclo,$S56+MOD(2-WEEKDAY($S56),7))+27),1,IF(N($W56)&gt;0,AVERAGEIFS($AB$5:$AB$1000,$U$5:$U$1000,ROW(),$V$5:$V$1000,"Sub"),$AB56)))</f>
        <v/>
      </c>
      <c r="AG56" s="62">
        <f>IF($V56&lt;&gt;"Macro","",IF(COUNTIFS($S$5:$S$1000,$S56,$V$5:$V$1000,"Macro",$H$5:$H$1000,"&gt;0")=0,1/COUNTIFS($S$5:$S$1000,$S56,$V$5:$V$1000,"Macro"),IF(AND(ISNUMBER($H56),N($H56)&gt;0),$H56,SUMIFS($H$5:$H$1000,$S$5:$S$1000,$S56,$V$5:$V$1000,"Macro")/COUNTIFS($S$5:$S$1000,$S56,$V$5:$V$1000,"Macro",$H$5:$H$1000,"&gt;0"))/(COUNTIFS($S$5:$S$1000,$S56,$V$5:$V$1000,"Macro")*SUMIFS($H$5:$H$1000,$S$5:$S$1000,$S56,$V$5:$V$1000,"Macro")/COUNTIFS($S$5:$S$1000,$S56,$V$5:$V$1000,"Macro",$H$5:$H$1000,"&gt;0"))))</f>
        <v/>
      </c>
      <c r="AH56" s="62" t="n"/>
      <c r="AI56" s="62" t="n"/>
      <c r="AJ56" s="62" t="n"/>
      <c r="AK56" s="62" t="n"/>
      <c r="AL56" s="62">
        <f>IF(LEFT($C56,11)="[Jefatura] ",IFERROR(MATCH("Riesgo Normativo|"&amp;MID($C56,12,500),rDname_ADM,0),0),"")</f>
        <v/>
      </c>
      <c r="AM56" s="62">
        <f>IF(N($AL56)&gt;0,INDEX(rIni_ADM,$AL56),IF(ISNUMBER($E56),$E56,""))</f>
        <v/>
      </c>
      <c r="AN56" s="62">
        <f>IF(N($AL56)&gt;0,INDEX(rLim_ADM,$AL56),IF(ISNUMBER($F56),$F56,""))</f>
        <v/>
      </c>
    </row>
    <row r="57">
      <c r="A57" s="56">
        <f>IF(NOT((COUNTA($B57:$D57)+COUNTA($G57:$L57)+COUNTA($Q57))&gt;0),"",IF($V57="Macro",COUNTIFS($V$5:$V57,"Macro",$S$5:$S57,$S57),IF(N($U57)=0,"?",COUNTIFS(INDEX($V$5:$V$1000,1):INDEX($V$5:$V$1000,$U57-4),"Macro",INDEX($S$5:$S$1000,1):INDEX($S$5:$S$1000,$U57-4),INDEX($S$5:$S$1000,$U57-4))&amp;"."&amp;COUNTIFS($U$5:$U57,$U57,$V$5:$V57,"Sub"))))</f>
        <v/>
      </c>
      <c r="B57" s="57" t="n"/>
      <c r="C57" s="58" t="n"/>
      <c r="D57" s="58" t="n"/>
      <c r="E57" s="59">
        <f>IF(N($AL57)&gt;0,INDEX(rIni_ADM,$AL57),"")</f>
        <v/>
      </c>
      <c r="F57" s="59">
        <f>IF(N($AL57)&gt;0,INDEX(rLim_ADM,$AL57),"")</f>
        <v/>
      </c>
      <c r="G57" s="59" t="n"/>
      <c r="H57" s="60" t="n"/>
      <c r="I57" s="60" t="n"/>
      <c r="J57" s="60" t="n"/>
      <c r="K57" s="60" t="n"/>
      <c r="L57" s="60" t="n"/>
      <c r="M57" s="61">
        <f>IF(NOT((COUNTA($B57:$D57)+COUNTA($G57:$L57)+COUNTA($Q57))&gt;0),"",IF($V57="Sub",IFERROR($X57/INDEX($W$5:$W$1000,$U57-4),""),IF(ISNUMBER($G57),1,IF(N($W57)&gt;0,AVERAGEIFS($X$5:$X$1000,$U$5:$U$1000,ROW(),$V$5:$V$1000,"Sub"),$X57))))</f>
        <v/>
      </c>
      <c r="N57" s="56">
        <f>IF(OR($M57="",$V57="Sub"),"",IF($M57&gt;=1,"Completado",IF($M57&gt;0,"En curso","Pendiente")))</f>
        <v/>
      </c>
      <c r="O57" s="56">
        <f>IF(OR(NOT((COUNTA($B57:$D57)+COUNTA($G57:$L57)+COUNTA($Q57))&gt;0),$V57="Sub"),"",IF(ISNUMBER($G57),IF(AND(ISNUMBER($AN57),$G57&gt;$AN57),"Cumplida con "&amp;($G57-$AN57)&amp;IF($G57-$AN57=1," día"," días")&amp;" de retraso","Cumplida"),IF(N($M57)&gt;=1,"Cumplida",IF(NOT(ISNUMBER($AN57)),"Sin fecha límite",IF($AN57&lt;FechaRef,"Vencida hace "&amp;(FechaRef-$AN57)&amp;IF(FechaRef-$AN57=1," día"," días"),IF($AN57=FechaRef,"Vence hoy",IF($AN57-FechaRef&lt;=DiasAlerta,"Vence en "&amp;($AN57-FechaRef)&amp;IF($AN57-FechaRef=1," día"," días"),"En plazo")))))))</f>
        <v/>
      </c>
      <c r="P57" s="62" t="n"/>
      <c r="Q57" s="58" t="n"/>
      <c r="R57" s="63">
        <f>IF(NOT((COUNTA($B57:$D57)+COUNTA($G57:$L57)+COUNTA($Q57))&gt;0),"",IF((IF($C57="","Falta el nombre de la actividad"&amp;" · ","")&amp;IF(AND($V57="Sub",N($U57)=0),"Subactividad sin macroactividad arriba"&amp;" · ","")&amp;IF($AM57="","Sin fecha de inicio"&amp;" · ","")&amp;IF($AN57="","Sin fecha límite"&amp;" · ","")&amp;IF(AND(LEFT($C57,11)="[Jefatura] ",N($AL57)=0),"No se encuentra en la hoja de la jefatura (elíjala de nuevo en la lista)"&amp;" · ","")&amp;IF(OR(AND($E57&lt;&gt;"",NOT(ISNUMBER($E57))),AND($F57&lt;&gt;"",NOT(ISNUMBER($F57))),AND($G57&lt;&gt;"",NOT(ISNUMBER($G57)))),"Fecha no válida"&amp;" · ","")&amp;IF(AND(ISNUMBER($AM57),ISNUMBER($AN57),$AM57&gt;$AN57),"Inicio posterior a fecha límite"&amp;" · ","")&amp;IF(AND($V57="Macro",$H57&lt;&gt;"",OR(NOT(ISNUMBER($H57)),$H57&lt;0,$H57&gt;1)),"Peso fuera de rango"&amp;" · ","")&amp;IF(AND($V57="Sub",$H57&lt;&gt;""),"Las subactividades no llevan peso (valen igual dentro de su macroactividad)"&amp;" · ","")&amp;IF(AND(N($W57)&gt;0,COUNT($I57:$L57)&gt;0),"Con subactividades: deje vacías las semanas (se calculan solas)"&amp;" · ","")&amp;IF((COUNTIF($I57:$L57,"&gt;1")+COUNTIF($I57:$L57,"&lt;0")+COUNTA($I57:$L57)-COUNT($I57:$L57))&gt;0,"Avance fuera de rango 0-100%"&amp;" · ","")&amp;IF(OR(AND($J57&lt;&gt;"",$J57&lt;$I57),AND($K57&lt;&gt;"",$K57&lt;MAX($I57:$J57)),AND($L57&lt;&gt;"",$L57&lt;MAX($I57:$K57))),"Avance semanal decreciente"&amp;" · ","")&amp;IF(AND(ISNUMBER($AN57),$AN57&lt;FechaRef,IF($V57="Sub",N($X57),N($M57))&lt;1),"Vencida"&amp;" · ","")&amp;IF(AND(ObsObligatoria="Sí",ISNUMBER($AN57),$AN57&lt;FechaRef,IF($V57="Sub",N($X57),N($M57))&lt;1,$Q57=""),"Vencida sin observación"&amp;" · ",""))="","✔ OK","⚠ "&amp;LEFT(IF($C57="","Falta el nombre de la actividad"&amp;" · ","")&amp;IF(AND($V57="Sub",N($U57)=0),"Subactividad sin macroactividad arriba"&amp;" · ","")&amp;IF($AM57="","Sin fecha de inicio"&amp;" · ","")&amp;IF($AN57="","Sin fecha límite"&amp;" · ","")&amp;IF(AND(LEFT($C57,11)="[Jefatura] ",N($AL57)=0),"No se encuentra en la hoja de la jefatura (elíjala de nuevo en la lista)"&amp;" · ","")&amp;IF(OR(AND($E57&lt;&gt;"",NOT(ISNUMBER($E57))),AND($F57&lt;&gt;"",NOT(ISNUMBER($F57))),AND($G57&lt;&gt;"",NOT(ISNUMBER($G57)))),"Fecha no válida"&amp;" · ","")&amp;IF(AND(ISNUMBER($AM57),ISNUMBER($AN57),$AM57&gt;$AN57),"Inicio posterior a fecha límite"&amp;" · ","")&amp;IF(AND($V57="Macro",$H57&lt;&gt;"",OR(NOT(ISNUMBER($H57)),$H57&lt;0,$H57&gt;1)),"Peso fuera de rango"&amp;" · ","")&amp;IF(AND($V57="Sub",$H57&lt;&gt;""),"Las subactividades no llevan peso (valen igual dentro de su macroactividad)"&amp;" · ","")&amp;IF(AND(N($W57)&gt;0,COUNT($I57:$L57)&gt;0),"Con subactividades: deje vacías las semanas (se calculan solas)"&amp;" · ","")&amp;IF((COUNTIF($I57:$L57,"&gt;1")+COUNTIF($I57:$L57,"&lt;0")+COUNTA($I57:$L57)-COUNT($I57:$L57))&gt;0,"Avance fuera de rango 0-100%"&amp;" · ","")&amp;IF(OR(AND($J57&lt;&gt;"",$J57&lt;$I57),AND($K57&lt;&gt;"",$K57&lt;MAX($I57:$J57)),AND($L57&lt;&gt;"",$L57&lt;MAX($I57:$K57))),"Avance semanal decreciente"&amp;" · ","")&amp;IF(AND(ISNUMBER($AN57),$AN57&lt;FechaRef,IF($V57="Sub",N($X57),N($M57))&lt;1),"Vencida"&amp;" · ","")&amp;IF(AND(ObsObligatoria="Sí",ISNUMBER($AN57),$AN57&lt;FechaRef,IF($V57="Sub",N($X57),N($M57))&lt;1,$Q57=""),"Vencida sin observación"&amp;" · ",""),LEN(IF($C57="","Falta el nombre de la actividad"&amp;" · ","")&amp;IF(AND($V57="Sub",N($U57)=0),"Subactividad sin macroactividad arriba"&amp;" · ","")&amp;IF($AM57="","Sin fecha de inicio"&amp;" · ","")&amp;IF($AN57="","Sin fecha límite"&amp;" · ","")&amp;IF(AND(LEFT($C57,11)="[Jefatura] ",N($AL57)=0),"No se encuentra en la hoja de la jefatura (elíjala de nuevo en la lista)"&amp;" · ","")&amp;IF(OR(AND($E57&lt;&gt;"",NOT(ISNUMBER($E57))),AND($F57&lt;&gt;"",NOT(ISNUMBER($F57))),AND($G57&lt;&gt;"",NOT(ISNUMBER($G57)))),"Fecha no válida"&amp;" · ","")&amp;IF(AND(ISNUMBER($AM57),ISNUMBER($AN57),$AM57&gt;$AN57),"Inicio posterior a fecha límite"&amp;" · ","")&amp;IF(AND($V57="Macro",$H57&lt;&gt;"",OR(NOT(ISNUMBER($H57)),$H57&lt;0,$H57&gt;1)),"Peso fuera de rango"&amp;" · ","")&amp;IF(AND($V57="Sub",$H57&lt;&gt;""),"Las subactividades no llevan peso (valen igual dentro de su macroactividad)"&amp;" · ","")&amp;IF(AND(N($W57)&gt;0,COUNT($I57:$L57)&gt;0),"Con subactividades: deje vacías las semanas (se calculan solas)"&amp;" · ","")&amp;IF((COUNTIF($I57:$L57,"&gt;1")+COUNTIF($I57:$L57,"&lt;0")+COUNTA($I57:$L57)-COUNT($I57:$L57))&gt;0,"Avance fuera de rango 0-100%"&amp;" · ","")&amp;IF(OR(AND($J57&lt;&gt;"",$J57&lt;$I57),AND($K57&lt;&gt;"",$K57&lt;MAX($I57:$J57)),AND($L57&lt;&gt;"",$L57&lt;MAX($I57:$K57))),"Avance semanal decreciente"&amp;" · ","")&amp;IF(AND(ISNUMBER($AN57),$AN57&lt;FechaRef,IF($V57="Sub",N($X57),N($M57))&lt;1),"Vencida"&amp;" · ","")&amp;IF(AND(ObsObligatoria="Sí",ISNUMBER($AN57),$AN57&lt;FechaRef,IF($V57="Sub",N($X57),N($M57))&lt;1,$Q57=""),"Vencida sin observación"&amp;" · ",""))-3)))</f>
        <v/>
      </c>
      <c r="S57" s="64">
        <f>IF(NOT((COUNTA($B57:$D57)+COUNTA($G57:$L57)+COUNTA($Q57))&gt;0),"",IF(AND($V57="Sub",N($U57)&gt;0),IF(ISNUMBER(INDEX($AM$5:$AM$1000,$U57-4)),DATE(YEAR(INDEX($AM$5:$AM$1000,$U57-4)),MONTH(INDEX($AM$5:$AM$1000,$U57-4)),1),IF(ISNUMBER(INDEX($AN$5:$AN$1000,$U57-4)),DATE(YEAR(INDEX($AN$5:$AN$1000,$U57-4)),MONTH(INDEX($AN$5:$AN$1000,$U57-4)),1),MesCiclo)),IF(ISNUMBER($AM57),DATE(YEAR($AM57),MONTH($AM57),1),IF(ISNUMBER($AN57),DATE(YEAR($AN57),MONTH($AN57),1),MesCiclo))))</f>
        <v/>
      </c>
      <c r="T57" s="62">
        <f>IF(OR($S57="",$S57&lt;&gt;MesCiclo,$V57&lt;&gt;"Macro"),"",COUNTIFS($S$5:$S57,MesCiclo,$V$5:$V57,"Macro"))</f>
        <v/>
      </c>
      <c r="U57" s="62">
        <f>IF($V57="","",IF($V57="Macro",ROW(),IFERROR(LOOKUP(2,1/($V$5:$V57="Macro"),ROW($V$5:$V57)),0)))</f>
        <v/>
      </c>
      <c r="V57" s="62">
        <f>IF(NOT((COUNTA($B57:$D57)+COUNTA($G57:$L57)+COUNTA($Q57))&gt;0),"",IF($B57="Subactividad","Sub","Macro"))</f>
        <v/>
      </c>
      <c r="W57" s="62">
        <f>IF($V57="Macro",COUNTIFS($U$5:$U$1000,ROW(),$V$5:$V$1000,"Sub"),"")</f>
        <v/>
      </c>
      <c r="X57" s="62">
        <f>IF($V57="","",IF(ISNUMBER($G57),1,IFERROR(LOOKUP(2,1/($I57:$L57&lt;&gt;""),$I57:$L57),0)))</f>
        <v/>
      </c>
      <c r="Y57" s="62">
        <f>IF($V57="","",IF(AND(ISNUMBER($G57),$G57&lt;=IF($S57=MesCiclo,InicioCiclo,$S57+MOD(2-WEEKDAY($S57),7))+6),1,IF(ISNUMBER($I57),$I57,0)))</f>
        <v/>
      </c>
      <c r="Z57" s="62">
        <f>IF($V57="","",IF(AND(ISNUMBER($G57),$G57&lt;=IF($S57=MesCiclo,InicioCiclo,$S57+MOD(2-WEEKDAY($S57),7))+13),1,IF(ISNUMBER($J57),$J57,$Y57)))</f>
        <v/>
      </c>
      <c r="AA57" s="62">
        <f>IF($V57="","",IF(AND(ISNUMBER($G57),$G57&lt;=IF($S57=MesCiclo,InicioCiclo,$S57+MOD(2-WEEKDAY($S57),7))+20),1,IF(ISNUMBER($K57),$K57,$Z57)))</f>
        <v/>
      </c>
      <c r="AB57" s="62">
        <f>IF($V57="","",IF(AND(ISNUMBER($G57),$G57&lt;=IF($S57=MesCiclo,InicioCiclo,$S57+MOD(2-WEEKDAY($S57),7))+27),1,IF(ISNUMBER($L57),$L57,$AA57)))</f>
        <v/>
      </c>
      <c r="AC57" s="62">
        <f>IF($V57="","",IF(AND(ISNUMBER($G57),$G57&lt;=IF($S57=MesCiclo,InicioCiclo,$S57+MOD(2-WEEKDAY($S57),7))+6),1,IF(N($W57)&gt;0,AVERAGEIFS($Y$5:$Y$1000,$U$5:$U$1000,ROW(),$V$5:$V$1000,"Sub"),$Y57)))</f>
        <v/>
      </c>
      <c r="AD57" s="62">
        <f>IF($V57="","",IF(AND(ISNUMBER($G57),$G57&lt;=IF($S57=MesCiclo,InicioCiclo,$S57+MOD(2-WEEKDAY($S57),7))+13),1,IF(N($W57)&gt;0,AVERAGEIFS($Z$5:$Z$1000,$U$5:$U$1000,ROW(),$V$5:$V$1000,"Sub"),$Z57)))</f>
        <v/>
      </c>
      <c r="AE57" s="62">
        <f>IF($V57="","",IF(AND(ISNUMBER($G57),$G57&lt;=IF($S57=MesCiclo,InicioCiclo,$S57+MOD(2-WEEKDAY($S57),7))+20),1,IF(N($W57)&gt;0,AVERAGEIFS($AA$5:$AA$1000,$U$5:$U$1000,ROW(),$V$5:$V$1000,"Sub"),$AA57)))</f>
        <v/>
      </c>
      <c r="AF57" s="62">
        <f>IF($V57="","",IF(AND(ISNUMBER($G57),$G57&lt;=IF($S57=MesCiclo,InicioCiclo,$S57+MOD(2-WEEKDAY($S57),7))+27),1,IF(N($W57)&gt;0,AVERAGEIFS($AB$5:$AB$1000,$U$5:$U$1000,ROW(),$V$5:$V$1000,"Sub"),$AB57)))</f>
        <v/>
      </c>
      <c r="AG57" s="62">
        <f>IF($V57&lt;&gt;"Macro","",IF(COUNTIFS($S$5:$S$1000,$S57,$V$5:$V$1000,"Macro",$H$5:$H$1000,"&gt;0")=0,1/COUNTIFS($S$5:$S$1000,$S57,$V$5:$V$1000,"Macro"),IF(AND(ISNUMBER($H57),N($H57)&gt;0),$H57,SUMIFS($H$5:$H$1000,$S$5:$S$1000,$S57,$V$5:$V$1000,"Macro")/COUNTIFS($S$5:$S$1000,$S57,$V$5:$V$1000,"Macro",$H$5:$H$1000,"&gt;0"))/(COUNTIFS($S$5:$S$1000,$S57,$V$5:$V$1000,"Macro")*SUMIFS($H$5:$H$1000,$S$5:$S$1000,$S57,$V$5:$V$1000,"Macro")/COUNTIFS($S$5:$S$1000,$S57,$V$5:$V$1000,"Macro",$H$5:$H$1000,"&gt;0"))))</f>
        <v/>
      </c>
      <c r="AH57" s="62" t="n"/>
      <c r="AI57" s="62" t="n"/>
      <c r="AJ57" s="62" t="n"/>
      <c r="AK57" s="62" t="n"/>
      <c r="AL57" s="62">
        <f>IF(LEFT($C57,11)="[Jefatura] ",IFERROR(MATCH("Riesgo Normativo|"&amp;MID($C57,12,500),rDname_ADM,0),0),"")</f>
        <v/>
      </c>
      <c r="AM57" s="62">
        <f>IF(N($AL57)&gt;0,INDEX(rIni_ADM,$AL57),IF(ISNUMBER($E57),$E57,""))</f>
        <v/>
      </c>
      <c r="AN57" s="62">
        <f>IF(N($AL57)&gt;0,INDEX(rLim_ADM,$AL57),IF(ISNUMBER($F57),$F57,""))</f>
        <v/>
      </c>
    </row>
    <row r="58">
      <c r="A58" s="56">
        <f>IF(NOT((COUNTA($B58:$D58)+COUNTA($G58:$L58)+COUNTA($Q58))&gt;0),"",IF($V58="Macro",COUNTIFS($V$5:$V58,"Macro",$S$5:$S58,$S58),IF(N($U58)=0,"?",COUNTIFS(INDEX($V$5:$V$1000,1):INDEX($V$5:$V$1000,$U58-4),"Macro",INDEX($S$5:$S$1000,1):INDEX($S$5:$S$1000,$U58-4),INDEX($S$5:$S$1000,$U58-4))&amp;"."&amp;COUNTIFS($U$5:$U58,$U58,$V$5:$V58,"Sub"))))</f>
        <v/>
      </c>
      <c r="B58" s="57" t="n"/>
      <c r="C58" s="58" t="n"/>
      <c r="D58" s="58" t="n"/>
      <c r="E58" s="59">
        <f>IF(N($AL58)&gt;0,INDEX(rIni_ADM,$AL58),"")</f>
        <v/>
      </c>
      <c r="F58" s="59">
        <f>IF(N($AL58)&gt;0,INDEX(rLim_ADM,$AL58),"")</f>
        <v/>
      </c>
      <c r="G58" s="59" t="n"/>
      <c r="H58" s="60" t="n"/>
      <c r="I58" s="60" t="n"/>
      <c r="J58" s="60" t="n"/>
      <c r="K58" s="60" t="n"/>
      <c r="L58" s="60" t="n"/>
      <c r="M58" s="61">
        <f>IF(NOT((COUNTA($B58:$D58)+COUNTA($G58:$L58)+COUNTA($Q58))&gt;0),"",IF($V58="Sub",IFERROR($X58/INDEX($W$5:$W$1000,$U58-4),""),IF(ISNUMBER($G58),1,IF(N($W58)&gt;0,AVERAGEIFS($X$5:$X$1000,$U$5:$U$1000,ROW(),$V$5:$V$1000,"Sub"),$X58))))</f>
        <v/>
      </c>
      <c r="N58" s="56">
        <f>IF(OR($M58="",$V58="Sub"),"",IF($M58&gt;=1,"Completado",IF($M58&gt;0,"En curso","Pendiente")))</f>
        <v/>
      </c>
      <c r="O58" s="56">
        <f>IF(OR(NOT((COUNTA($B58:$D58)+COUNTA($G58:$L58)+COUNTA($Q58))&gt;0),$V58="Sub"),"",IF(ISNUMBER($G58),IF(AND(ISNUMBER($AN58),$G58&gt;$AN58),"Cumplida con "&amp;($G58-$AN58)&amp;IF($G58-$AN58=1," día"," días")&amp;" de retraso","Cumplida"),IF(N($M58)&gt;=1,"Cumplida",IF(NOT(ISNUMBER($AN58)),"Sin fecha límite",IF($AN58&lt;FechaRef,"Vencida hace "&amp;(FechaRef-$AN58)&amp;IF(FechaRef-$AN58=1," día"," días"),IF($AN58=FechaRef,"Vence hoy",IF($AN58-FechaRef&lt;=DiasAlerta,"Vence en "&amp;($AN58-FechaRef)&amp;IF($AN58-FechaRef=1," día"," días"),"En plazo")))))))</f>
        <v/>
      </c>
      <c r="P58" s="62" t="n"/>
      <c r="Q58" s="58" t="n"/>
      <c r="R58" s="63">
        <f>IF(NOT((COUNTA($B58:$D58)+COUNTA($G58:$L58)+COUNTA($Q58))&gt;0),"",IF((IF($C58="","Falta el nombre de la actividad"&amp;" · ","")&amp;IF(AND($V58="Sub",N($U58)=0),"Subactividad sin macroactividad arriba"&amp;" · ","")&amp;IF($AM58="","Sin fecha de inicio"&amp;" · ","")&amp;IF($AN58="","Sin fecha límite"&amp;" · ","")&amp;IF(AND(LEFT($C58,11)="[Jefatura] ",N($AL58)=0),"No se encuentra en la hoja de la jefatura (elíjala de nuevo en la lista)"&amp;" · ","")&amp;IF(OR(AND($E58&lt;&gt;"",NOT(ISNUMBER($E58))),AND($F58&lt;&gt;"",NOT(ISNUMBER($F58))),AND($G58&lt;&gt;"",NOT(ISNUMBER($G58)))),"Fecha no válida"&amp;" · ","")&amp;IF(AND(ISNUMBER($AM58),ISNUMBER($AN58),$AM58&gt;$AN58),"Inicio posterior a fecha límite"&amp;" · ","")&amp;IF(AND($V58="Macro",$H58&lt;&gt;"",OR(NOT(ISNUMBER($H58)),$H58&lt;0,$H58&gt;1)),"Peso fuera de rango"&amp;" · ","")&amp;IF(AND($V58="Sub",$H58&lt;&gt;""),"Las subactividades no llevan peso (valen igual dentro de su macroactividad)"&amp;" · ","")&amp;IF(AND(N($W58)&gt;0,COUNT($I58:$L58)&gt;0),"Con subactividades: deje vacías las semanas (se calculan solas)"&amp;" · ","")&amp;IF((COUNTIF($I58:$L58,"&gt;1")+COUNTIF($I58:$L58,"&lt;0")+COUNTA($I58:$L58)-COUNT($I58:$L58))&gt;0,"Avance fuera de rango 0-100%"&amp;" · ","")&amp;IF(OR(AND($J58&lt;&gt;"",$J58&lt;$I58),AND($K58&lt;&gt;"",$K58&lt;MAX($I58:$J58)),AND($L58&lt;&gt;"",$L58&lt;MAX($I58:$K58))),"Avance semanal decreciente"&amp;" · ","")&amp;IF(AND(ISNUMBER($AN58),$AN58&lt;FechaRef,IF($V58="Sub",N($X58),N($M58))&lt;1),"Vencida"&amp;" · ","")&amp;IF(AND(ObsObligatoria="Sí",ISNUMBER($AN58),$AN58&lt;FechaRef,IF($V58="Sub",N($X58),N($M58))&lt;1,$Q58=""),"Vencida sin observación"&amp;" · ",""))="","✔ OK","⚠ "&amp;LEFT(IF($C58="","Falta el nombre de la actividad"&amp;" · ","")&amp;IF(AND($V58="Sub",N($U58)=0),"Subactividad sin macroactividad arriba"&amp;" · ","")&amp;IF($AM58="","Sin fecha de inicio"&amp;" · ","")&amp;IF($AN58="","Sin fecha límite"&amp;" · ","")&amp;IF(AND(LEFT($C58,11)="[Jefatura] ",N($AL58)=0),"No se encuentra en la hoja de la jefatura (elíjala de nuevo en la lista)"&amp;" · ","")&amp;IF(OR(AND($E58&lt;&gt;"",NOT(ISNUMBER($E58))),AND($F58&lt;&gt;"",NOT(ISNUMBER($F58))),AND($G58&lt;&gt;"",NOT(ISNUMBER($G58)))),"Fecha no válida"&amp;" · ","")&amp;IF(AND(ISNUMBER($AM58),ISNUMBER($AN58),$AM58&gt;$AN58),"Inicio posterior a fecha límite"&amp;" · ","")&amp;IF(AND($V58="Macro",$H58&lt;&gt;"",OR(NOT(ISNUMBER($H58)),$H58&lt;0,$H58&gt;1)),"Peso fuera de rango"&amp;" · ","")&amp;IF(AND($V58="Sub",$H58&lt;&gt;""),"Las subactividades no llevan peso (valen igual dentro de su macroactividad)"&amp;" · ","")&amp;IF(AND(N($W58)&gt;0,COUNT($I58:$L58)&gt;0),"Con subactividades: deje vacías las semanas (se calculan solas)"&amp;" · ","")&amp;IF((COUNTIF($I58:$L58,"&gt;1")+COUNTIF($I58:$L58,"&lt;0")+COUNTA($I58:$L58)-COUNT($I58:$L58))&gt;0,"Avance fuera de rango 0-100%"&amp;" · ","")&amp;IF(OR(AND($J58&lt;&gt;"",$J58&lt;$I58),AND($K58&lt;&gt;"",$K58&lt;MAX($I58:$J58)),AND($L58&lt;&gt;"",$L58&lt;MAX($I58:$K58))),"Avance semanal decreciente"&amp;" · ","")&amp;IF(AND(ISNUMBER($AN58),$AN58&lt;FechaRef,IF($V58="Sub",N($X58),N($M58))&lt;1),"Vencida"&amp;" · ","")&amp;IF(AND(ObsObligatoria="Sí",ISNUMBER($AN58),$AN58&lt;FechaRef,IF($V58="Sub",N($X58),N($M58))&lt;1,$Q58=""),"Vencida sin observación"&amp;" · ",""),LEN(IF($C58="","Falta el nombre de la actividad"&amp;" · ","")&amp;IF(AND($V58="Sub",N($U58)=0),"Subactividad sin macroactividad arriba"&amp;" · ","")&amp;IF($AM58="","Sin fecha de inicio"&amp;" · ","")&amp;IF($AN58="","Sin fecha límite"&amp;" · ","")&amp;IF(AND(LEFT($C58,11)="[Jefatura] ",N($AL58)=0),"No se encuentra en la hoja de la jefatura (elíjala de nuevo en la lista)"&amp;" · ","")&amp;IF(OR(AND($E58&lt;&gt;"",NOT(ISNUMBER($E58))),AND($F58&lt;&gt;"",NOT(ISNUMBER($F58))),AND($G58&lt;&gt;"",NOT(ISNUMBER($G58)))),"Fecha no válida"&amp;" · ","")&amp;IF(AND(ISNUMBER($AM58),ISNUMBER($AN58),$AM58&gt;$AN58),"Inicio posterior a fecha límite"&amp;" · ","")&amp;IF(AND($V58="Macro",$H58&lt;&gt;"",OR(NOT(ISNUMBER($H58)),$H58&lt;0,$H58&gt;1)),"Peso fuera de rango"&amp;" · ","")&amp;IF(AND($V58="Sub",$H58&lt;&gt;""),"Las subactividades no llevan peso (valen igual dentro de su macroactividad)"&amp;" · ","")&amp;IF(AND(N($W58)&gt;0,COUNT($I58:$L58)&gt;0),"Con subactividades: deje vacías las semanas (se calculan solas)"&amp;" · ","")&amp;IF((COUNTIF($I58:$L58,"&gt;1")+COUNTIF($I58:$L58,"&lt;0")+COUNTA($I58:$L58)-COUNT($I58:$L58))&gt;0,"Avance fuera de rango 0-100%"&amp;" · ","")&amp;IF(OR(AND($J58&lt;&gt;"",$J58&lt;$I58),AND($K58&lt;&gt;"",$K58&lt;MAX($I58:$J58)),AND($L58&lt;&gt;"",$L58&lt;MAX($I58:$K58))),"Avance semanal decreciente"&amp;" · ","")&amp;IF(AND(ISNUMBER($AN58),$AN58&lt;FechaRef,IF($V58="Sub",N($X58),N($M58))&lt;1),"Vencida"&amp;" · ","")&amp;IF(AND(ObsObligatoria="Sí",ISNUMBER($AN58),$AN58&lt;FechaRef,IF($V58="Sub",N($X58),N($M58))&lt;1,$Q58=""),"Vencida sin observación"&amp;" · ",""))-3)))</f>
        <v/>
      </c>
      <c r="S58" s="64">
        <f>IF(NOT((COUNTA($B58:$D58)+COUNTA($G58:$L58)+COUNTA($Q58))&gt;0),"",IF(AND($V58="Sub",N($U58)&gt;0),IF(ISNUMBER(INDEX($AM$5:$AM$1000,$U58-4)),DATE(YEAR(INDEX($AM$5:$AM$1000,$U58-4)),MONTH(INDEX($AM$5:$AM$1000,$U58-4)),1),IF(ISNUMBER(INDEX($AN$5:$AN$1000,$U58-4)),DATE(YEAR(INDEX($AN$5:$AN$1000,$U58-4)),MONTH(INDEX($AN$5:$AN$1000,$U58-4)),1),MesCiclo)),IF(ISNUMBER($AM58),DATE(YEAR($AM58),MONTH($AM58),1),IF(ISNUMBER($AN58),DATE(YEAR($AN58),MONTH($AN58),1),MesCiclo))))</f>
        <v/>
      </c>
      <c r="T58" s="62">
        <f>IF(OR($S58="",$S58&lt;&gt;MesCiclo,$V58&lt;&gt;"Macro"),"",COUNTIFS($S$5:$S58,MesCiclo,$V$5:$V58,"Macro"))</f>
        <v/>
      </c>
      <c r="U58" s="62">
        <f>IF($V58="","",IF($V58="Macro",ROW(),IFERROR(LOOKUP(2,1/($V$5:$V58="Macro"),ROW($V$5:$V58)),0)))</f>
        <v/>
      </c>
      <c r="V58" s="62">
        <f>IF(NOT((COUNTA($B58:$D58)+COUNTA($G58:$L58)+COUNTA($Q58))&gt;0),"",IF($B58="Subactividad","Sub","Macro"))</f>
        <v/>
      </c>
      <c r="W58" s="62">
        <f>IF($V58="Macro",COUNTIFS($U$5:$U$1000,ROW(),$V$5:$V$1000,"Sub"),"")</f>
        <v/>
      </c>
      <c r="X58" s="62">
        <f>IF($V58="","",IF(ISNUMBER($G58),1,IFERROR(LOOKUP(2,1/($I58:$L58&lt;&gt;""),$I58:$L58),0)))</f>
        <v/>
      </c>
      <c r="Y58" s="62">
        <f>IF($V58="","",IF(AND(ISNUMBER($G58),$G58&lt;=IF($S58=MesCiclo,InicioCiclo,$S58+MOD(2-WEEKDAY($S58),7))+6),1,IF(ISNUMBER($I58),$I58,0)))</f>
        <v/>
      </c>
      <c r="Z58" s="62">
        <f>IF($V58="","",IF(AND(ISNUMBER($G58),$G58&lt;=IF($S58=MesCiclo,InicioCiclo,$S58+MOD(2-WEEKDAY($S58),7))+13),1,IF(ISNUMBER($J58),$J58,$Y58)))</f>
        <v/>
      </c>
      <c r="AA58" s="62">
        <f>IF($V58="","",IF(AND(ISNUMBER($G58),$G58&lt;=IF($S58=MesCiclo,InicioCiclo,$S58+MOD(2-WEEKDAY($S58),7))+20),1,IF(ISNUMBER($K58),$K58,$Z58)))</f>
        <v/>
      </c>
      <c r="AB58" s="62">
        <f>IF($V58="","",IF(AND(ISNUMBER($G58),$G58&lt;=IF($S58=MesCiclo,InicioCiclo,$S58+MOD(2-WEEKDAY($S58),7))+27),1,IF(ISNUMBER($L58),$L58,$AA58)))</f>
        <v/>
      </c>
      <c r="AC58" s="62">
        <f>IF($V58="","",IF(AND(ISNUMBER($G58),$G58&lt;=IF($S58=MesCiclo,InicioCiclo,$S58+MOD(2-WEEKDAY($S58),7))+6),1,IF(N($W58)&gt;0,AVERAGEIFS($Y$5:$Y$1000,$U$5:$U$1000,ROW(),$V$5:$V$1000,"Sub"),$Y58)))</f>
        <v/>
      </c>
      <c r="AD58" s="62">
        <f>IF($V58="","",IF(AND(ISNUMBER($G58),$G58&lt;=IF($S58=MesCiclo,InicioCiclo,$S58+MOD(2-WEEKDAY($S58),7))+13),1,IF(N($W58)&gt;0,AVERAGEIFS($Z$5:$Z$1000,$U$5:$U$1000,ROW(),$V$5:$V$1000,"Sub"),$Z58)))</f>
        <v/>
      </c>
      <c r="AE58" s="62">
        <f>IF($V58="","",IF(AND(ISNUMBER($G58),$G58&lt;=IF($S58=MesCiclo,InicioCiclo,$S58+MOD(2-WEEKDAY($S58),7))+20),1,IF(N($W58)&gt;0,AVERAGEIFS($AA$5:$AA$1000,$U$5:$U$1000,ROW(),$V$5:$V$1000,"Sub"),$AA58)))</f>
        <v/>
      </c>
      <c r="AF58" s="62">
        <f>IF($V58="","",IF(AND(ISNUMBER($G58),$G58&lt;=IF($S58=MesCiclo,InicioCiclo,$S58+MOD(2-WEEKDAY($S58),7))+27),1,IF(N($W58)&gt;0,AVERAGEIFS($AB$5:$AB$1000,$U$5:$U$1000,ROW(),$V$5:$V$1000,"Sub"),$AB58)))</f>
        <v/>
      </c>
      <c r="AG58" s="62">
        <f>IF($V58&lt;&gt;"Macro","",IF(COUNTIFS($S$5:$S$1000,$S58,$V$5:$V$1000,"Macro",$H$5:$H$1000,"&gt;0")=0,1/COUNTIFS($S$5:$S$1000,$S58,$V$5:$V$1000,"Macro"),IF(AND(ISNUMBER($H58),N($H58)&gt;0),$H58,SUMIFS($H$5:$H$1000,$S$5:$S$1000,$S58,$V$5:$V$1000,"Macro")/COUNTIFS($S$5:$S$1000,$S58,$V$5:$V$1000,"Macro",$H$5:$H$1000,"&gt;0"))/(COUNTIFS($S$5:$S$1000,$S58,$V$5:$V$1000,"Macro")*SUMIFS($H$5:$H$1000,$S$5:$S$1000,$S58,$V$5:$V$1000,"Macro")/COUNTIFS($S$5:$S$1000,$S58,$V$5:$V$1000,"Macro",$H$5:$H$1000,"&gt;0"))))</f>
        <v/>
      </c>
      <c r="AH58" s="62" t="n"/>
      <c r="AI58" s="62" t="n"/>
      <c r="AJ58" s="62" t="n"/>
      <c r="AK58" s="62" t="n"/>
      <c r="AL58" s="62">
        <f>IF(LEFT($C58,11)="[Jefatura] ",IFERROR(MATCH("Riesgo Normativo|"&amp;MID($C58,12,500),rDname_ADM,0),0),"")</f>
        <v/>
      </c>
      <c r="AM58" s="62">
        <f>IF(N($AL58)&gt;0,INDEX(rIni_ADM,$AL58),IF(ISNUMBER($E58),$E58,""))</f>
        <v/>
      </c>
      <c r="AN58" s="62">
        <f>IF(N($AL58)&gt;0,INDEX(rLim_ADM,$AL58),IF(ISNUMBER($F58),$F58,""))</f>
        <v/>
      </c>
    </row>
    <row r="59">
      <c r="A59" s="56">
        <f>IF(NOT((COUNTA($B59:$D59)+COUNTA($G59:$L59)+COUNTA($Q59))&gt;0),"",IF($V59="Macro",COUNTIFS($V$5:$V59,"Macro",$S$5:$S59,$S59),IF(N($U59)=0,"?",COUNTIFS(INDEX($V$5:$V$1000,1):INDEX($V$5:$V$1000,$U59-4),"Macro",INDEX($S$5:$S$1000,1):INDEX($S$5:$S$1000,$U59-4),INDEX($S$5:$S$1000,$U59-4))&amp;"."&amp;COUNTIFS($U$5:$U59,$U59,$V$5:$V59,"Sub"))))</f>
        <v/>
      </c>
      <c r="B59" s="57" t="n"/>
      <c r="C59" s="58" t="n"/>
      <c r="D59" s="58" t="n"/>
      <c r="E59" s="59">
        <f>IF(N($AL59)&gt;0,INDEX(rIni_ADM,$AL59),"")</f>
        <v/>
      </c>
      <c r="F59" s="59">
        <f>IF(N($AL59)&gt;0,INDEX(rLim_ADM,$AL59),"")</f>
        <v/>
      </c>
      <c r="G59" s="59" t="n"/>
      <c r="H59" s="60" t="n"/>
      <c r="I59" s="60" t="n"/>
      <c r="J59" s="60" t="n"/>
      <c r="K59" s="60" t="n"/>
      <c r="L59" s="60" t="n"/>
      <c r="M59" s="61">
        <f>IF(NOT((COUNTA($B59:$D59)+COUNTA($G59:$L59)+COUNTA($Q59))&gt;0),"",IF($V59="Sub",IFERROR($X59/INDEX($W$5:$W$1000,$U59-4),""),IF(ISNUMBER($G59),1,IF(N($W59)&gt;0,AVERAGEIFS($X$5:$X$1000,$U$5:$U$1000,ROW(),$V$5:$V$1000,"Sub"),$X59))))</f>
        <v/>
      </c>
      <c r="N59" s="56">
        <f>IF(OR($M59="",$V59="Sub"),"",IF($M59&gt;=1,"Completado",IF($M59&gt;0,"En curso","Pendiente")))</f>
        <v/>
      </c>
      <c r="O59" s="56">
        <f>IF(OR(NOT((COUNTA($B59:$D59)+COUNTA($G59:$L59)+COUNTA($Q59))&gt;0),$V59="Sub"),"",IF(ISNUMBER($G59),IF(AND(ISNUMBER($AN59),$G59&gt;$AN59),"Cumplida con "&amp;($G59-$AN59)&amp;IF($G59-$AN59=1," día"," días")&amp;" de retraso","Cumplida"),IF(N($M59)&gt;=1,"Cumplida",IF(NOT(ISNUMBER($AN59)),"Sin fecha límite",IF($AN59&lt;FechaRef,"Vencida hace "&amp;(FechaRef-$AN59)&amp;IF(FechaRef-$AN59=1," día"," días"),IF($AN59=FechaRef,"Vence hoy",IF($AN59-FechaRef&lt;=DiasAlerta,"Vence en "&amp;($AN59-FechaRef)&amp;IF($AN59-FechaRef=1," día"," días"),"En plazo")))))))</f>
        <v/>
      </c>
      <c r="P59" s="62" t="n"/>
      <c r="Q59" s="58" t="n"/>
      <c r="R59" s="63">
        <f>IF(NOT((COUNTA($B59:$D59)+COUNTA($G59:$L59)+COUNTA($Q59))&gt;0),"",IF((IF($C59="","Falta el nombre de la actividad"&amp;" · ","")&amp;IF(AND($V59="Sub",N($U59)=0),"Subactividad sin macroactividad arriba"&amp;" · ","")&amp;IF($AM59="","Sin fecha de inicio"&amp;" · ","")&amp;IF($AN59="","Sin fecha límite"&amp;" · ","")&amp;IF(AND(LEFT($C59,11)="[Jefatura] ",N($AL59)=0),"No se encuentra en la hoja de la jefatura (elíjala de nuevo en la lista)"&amp;" · ","")&amp;IF(OR(AND($E59&lt;&gt;"",NOT(ISNUMBER($E59))),AND($F59&lt;&gt;"",NOT(ISNUMBER($F59))),AND($G59&lt;&gt;"",NOT(ISNUMBER($G59)))),"Fecha no válida"&amp;" · ","")&amp;IF(AND(ISNUMBER($AM59),ISNUMBER($AN59),$AM59&gt;$AN59),"Inicio posterior a fecha límite"&amp;" · ","")&amp;IF(AND($V59="Macro",$H59&lt;&gt;"",OR(NOT(ISNUMBER($H59)),$H59&lt;0,$H59&gt;1)),"Peso fuera de rango"&amp;" · ","")&amp;IF(AND($V59="Sub",$H59&lt;&gt;""),"Las subactividades no llevan peso (valen igual dentro de su macroactividad)"&amp;" · ","")&amp;IF(AND(N($W59)&gt;0,COUNT($I59:$L59)&gt;0),"Con subactividades: deje vacías las semanas (se calculan solas)"&amp;" · ","")&amp;IF((COUNTIF($I59:$L59,"&gt;1")+COUNTIF($I59:$L59,"&lt;0")+COUNTA($I59:$L59)-COUNT($I59:$L59))&gt;0,"Avance fuera de rango 0-100%"&amp;" · ","")&amp;IF(OR(AND($J59&lt;&gt;"",$J59&lt;$I59),AND($K59&lt;&gt;"",$K59&lt;MAX($I59:$J59)),AND($L59&lt;&gt;"",$L59&lt;MAX($I59:$K59))),"Avance semanal decreciente"&amp;" · ","")&amp;IF(AND(ISNUMBER($AN59),$AN59&lt;FechaRef,IF($V59="Sub",N($X59),N($M59))&lt;1),"Vencida"&amp;" · ","")&amp;IF(AND(ObsObligatoria="Sí",ISNUMBER($AN59),$AN59&lt;FechaRef,IF($V59="Sub",N($X59),N($M59))&lt;1,$Q59=""),"Vencida sin observación"&amp;" · ",""))="","✔ OK","⚠ "&amp;LEFT(IF($C59="","Falta el nombre de la actividad"&amp;" · ","")&amp;IF(AND($V59="Sub",N($U59)=0),"Subactividad sin macroactividad arriba"&amp;" · ","")&amp;IF($AM59="","Sin fecha de inicio"&amp;" · ","")&amp;IF($AN59="","Sin fecha límite"&amp;" · ","")&amp;IF(AND(LEFT($C59,11)="[Jefatura] ",N($AL59)=0),"No se encuentra en la hoja de la jefatura (elíjala de nuevo en la lista)"&amp;" · ","")&amp;IF(OR(AND($E59&lt;&gt;"",NOT(ISNUMBER($E59))),AND($F59&lt;&gt;"",NOT(ISNUMBER($F59))),AND($G59&lt;&gt;"",NOT(ISNUMBER($G59)))),"Fecha no válida"&amp;" · ","")&amp;IF(AND(ISNUMBER($AM59),ISNUMBER($AN59),$AM59&gt;$AN59),"Inicio posterior a fecha límite"&amp;" · ","")&amp;IF(AND($V59="Macro",$H59&lt;&gt;"",OR(NOT(ISNUMBER($H59)),$H59&lt;0,$H59&gt;1)),"Peso fuera de rango"&amp;" · ","")&amp;IF(AND($V59="Sub",$H59&lt;&gt;""),"Las subactividades no llevan peso (valen igual dentro de su macroactividad)"&amp;" · ","")&amp;IF(AND(N($W59)&gt;0,COUNT($I59:$L59)&gt;0),"Con subactividades: deje vacías las semanas (se calculan solas)"&amp;" · ","")&amp;IF((COUNTIF($I59:$L59,"&gt;1")+COUNTIF($I59:$L59,"&lt;0")+COUNTA($I59:$L59)-COUNT($I59:$L59))&gt;0,"Avance fuera de rango 0-100%"&amp;" · ","")&amp;IF(OR(AND($J59&lt;&gt;"",$J59&lt;$I59),AND($K59&lt;&gt;"",$K59&lt;MAX($I59:$J59)),AND($L59&lt;&gt;"",$L59&lt;MAX($I59:$K59))),"Avance semanal decreciente"&amp;" · ","")&amp;IF(AND(ISNUMBER($AN59),$AN59&lt;FechaRef,IF($V59="Sub",N($X59),N($M59))&lt;1),"Vencida"&amp;" · ","")&amp;IF(AND(ObsObligatoria="Sí",ISNUMBER($AN59),$AN59&lt;FechaRef,IF($V59="Sub",N($X59),N($M59))&lt;1,$Q59=""),"Vencida sin observación"&amp;" · ",""),LEN(IF($C59="","Falta el nombre de la actividad"&amp;" · ","")&amp;IF(AND($V59="Sub",N($U59)=0),"Subactividad sin macroactividad arriba"&amp;" · ","")&amp;IF($AM59="","Sin fecha de inicio"&amp;" · ","")&amp;IF($AN59="","Sin fecha límite"&amp;" · ","")&amp;IF(AND(LEFT($C59,11)="[Jefatura] ",N($AL59)=0),"No se encuentra en la hoja de la jefatura (elíjala de nuevo en la lista)"&amp;" · ","")&amp;IF(OR(AND($E59&lt;&gt;"",NOT(ISNUMBER($E59))),AND($F59&lt;&gt;"",NOT(ISNUMBER($F59))),AND($G59&lt;&gt;"",NOT(ISNUMBER($G59)))),"Fecha no válida"&amp;" · ","")&amp;IF(AND(ISNUMBER($AM59),ISNUMBER($AN59),$AM59&gt;$AN59),"Inicio posterior a fecha límite"&amp;" · ","")&amp;IF(AND($V59="Macro",$H59&lt;&gt;"",OR(NOT(ISNUMBER($H59)),$H59&lt;0,$H59&gt;1)),"Peso fuera de rango"&amp;" · ","")&amp;IF(AND($V59="Sub",$H59&lt;&gt;""),"Las subactividades no llevan peso (valen igual dentro de su macroactividad)"&amp;" · ","")&amp;IF(AND(N($W59)&gt;0,COUNT($I59:$L59)&gt;0),"Con subactividades: deje vacías las semanas (se calculan solas)"&amp;" · ","")&amp;IF((COUNTIF($I59:$L59,"&gt;1")+COUNTIF($I59:$L59,"&lt;0")+COUNTA($I59:$L59)-COUNT($I59:$L59))&gt;0,"Avance fuera de rango 0-100%"&amp;" · ","")&amp;IF(OR(AND($J59&lt;&gt;"",$J59&lt;$I59),AND($K59&lt;&gt;"",$K59&lt;MAX($I59:$J59)),AND($L59&lt;&gt;"",$L59&lt;MAX($I59:$K59))),"Avance semanal decreciente"&amp;" · ","")&amp;IF(AND(ISNUMBER($AN59),$AN59&lt;FechaRef,IF($V59="Sub",N($X59),N($M59))&lt;1),"Vencida"&amp;" · ","")&amp;IF(AND(ObsObligatoria="Sí",ISNUMBER($AN59),$AN59&lt;FechaRef,IF($V59="Sub",N($X59),N($M59))&lt;1,$Q59=""),"Vencida sin observación"&amp;" · ",""))-3)))</f>
        <v/>
      </c>
      <c r="S59" s="64">
        <f>IF(NOT((COUNTA($B59:$D59)+COUNTA($G59:$L59)+COUNTA($Q59))&gt;0),"",IF(AND($V59="Sub",N($U59)&gt;0),IF(ISNUMBER(INDEX($AM$5:$AM$1000,$U59-4)),DATE(YEAR(INDEX($AM$5:$AM$1000,$U59-4)),MONTH(INDEX($AM$5:$AM$1000,$U59-4)),1),IF(ISNUMBER(INDEX($AN$5:$AN$1000,$U59-4)),DATE(YEAR(INDEX($AN$5:$AN$1000,$U59-4)),MONTH(INDEX($AN$5:$AN$1000,$U59-4)),1),MesCiclo)),IF(ISNUMBER($AM59),DATE(YEAR($AM59),MONTH($AM59),1),IF(ISNUMBER($AN59),DATE(YEAR($AN59),MONTH($AN59),1),MesCiclo))))</f>
        <v/>
      </c>
      <c r="T59" s="62">
        <f>IF(OR($S59="",$S59&lt;&gt;MesCiclo,$V59&lt;&gt;"Macro"),"",COUNTIFS($S$5:$S59,MesCiclo,$V$5:$V59,"Macro"))</f>
        <v/>
      </c>
      <c r="U59" s="62">
        <f>IF($V59="","",IF($V59="Macro",ROW(),IFERROR(LOOKUP(2,1/($V$5:$V59="Macro"),ROW($V$5:$V59)),0)))</f>
        <v/>
      </c>
      <c r="V59" s="62">
        <f>IF(NOT((COUNTA($B59:$D59)+COUNTA($G59:$L59)+COUNTA($Q59))&gt;0),"",IF($B59="Subactividad","Sub","Macro"))</f>
        <v/>
      </c>
      <c r="W59" s="62">
        <f>IF($V59="Macro",COUNTIFS($U$5:$U$1000,ROW(),$V$5:$V$1000,"Sub"),"")</f>
        <v/>
      </c>
      <c r="X59" s="62">
        <f>IF($V59="","",IF(ISNUMBER($G59),1,IFERROR(LOOKUP(2,1/($I59:$L59&lt;&gt;""),$I59:$L59),0)))</f>
        <v/>
      </c>
      <c r="Y59" s="62">
        <f>IF($V59="","",IF(AND(ISNUMBER($G59),$G59&lt;=IF($S59=MesCiclo,InicioCiclo,$S59+MOD(2-WEEKDAY($S59),7))+6),1,IF(ISNUMBER($I59),$I59,0)))</f>
        <v/>
      </c>
      <c r="Z59" s="62">
        <f>IF($V59="","",IF(AND(ISNUMBER($G59),$G59&lt;=IF($S59=MesCiclo,InicioCiclo,$S59+MOD(2-WEEKDAY($S59),7))+13),1,IF(ISNUMBER($J59),$J59,$Y59)))</f>
        <v/>
      </c>
      <c r="AA59" s="62">
        <f>IF($V59="","",IF(AND(ISNUMBER($G59),$G59&lt;=IF($S59=MesCiclo,InicioCiclo,$S59+MOD(2-WEEKDAY($S59),7))+20),1,IF(ISNUMBER($K59),$K59,$Z59)))</f>
        <v/>
      </c>
      <c r="AB59" s="62">
        <f>IF($V59="","",IF(AND(ISNUMBER($G59),$G59&lt;=IF($S59=MesCiclo,InicioCiclo,$S59+MOD(2-WEEKDAY($S59),7))+27),1,IF(ISNUMBER($L59),$L59,$AA59)))</f>
        <v/>
      </c>
      <c r="AC59" s="62">
        <f>IF($V59="","",IF(AND(ISNUMBER($G59),$G59&lt;=IF($S59=MesCiclo,InicioCiclo,$S59+MOD(2-WEEKDAY($S59),7))+6),1,IF(N($W59)&gt;0,AVERAGEIFS($Y$5:$Y$1000,$U$5:$U$1000,ROW(),$V$5:$V$1000,"Sub"),$Y59)))</f>
        <v/>
      </c>
      <c r="AD59" s="62">
        <f>IF($V59="","",IF(AND(ISNUMBER($G59),$G59&lt;=IF($S59=MesCiclo,InicioCiclo,$S59+MOD(2-WEEKDAY($S59),7))+13),1,IF(N($W59)&gt;0,AVERAGEIFS($Z$5:$Z$1000,$U$5:$U$1000,ROW(),$V$5:$V$1000,"Sub"),$Z59)))</f>
        <v/>
      </c>
      <c r="AE59" s="62">
        <f>IF($V59="","",IF(AND(ISNUMBER($G59),$G59&lt;=IF($S59=MesCiclo,InicioCiclo,$S59+MOD(2-WEEKDAY($S59),7))+20),1,IF(N($W59)&gt;0,AVERAGEIFS($AA$5:$AA$1000,$U$5:$U$1000,ROW(),$V$5:$V$1000,"Sub"),$AA59)))</f>
        <v/>
      </c>
      <c r="AF59" s="62">
        <f>IF($V59="","",IF(AND(ISNUMBER($G59),$G59&lt;=IF($S59=MesCiclo,InicioCiclo,$S59+MOD(2-WEEKDAY($S59),7))+27),1,IF(N($W59)&gt;0,AVERAGEIFS($AB$5:$AB$1000,$U$5:$U$1000,ROW(),$V$5:$V$1000,"Sub"),$AB59)))</f>
        <v/>
      </c>
      <c r="AG59" s="62">
        <f>IF($V59&lt;&gt;"Macro","",IF(COUNTIFS($S$5:$S$1000,$S59,$V$5:$V$1000,"Macro",$H$5:$H$1000,"&gt;0")=0,1/COUNTIFS($S$5:$S$1000,$S59,$V$5:$V$1000,"Macro"),IF(AND(ISNUMBER($H59),N($H59)&gt;0),$H59,SUMIFS($H$5:$H$1000,$S$5:$S$1000,$S59,$V$5:$V$1000,"Macro")/COUNTIFS($S$5:$S$1000,$S59,$V$5:$V$1000,"Macro",$H$5:$H$1000,"&gt;0"))/(COUNTIFS($S$5:$S$1000,$S59,$V$5:$V$1000,"Macro")*SUMIFS($H$5:$H$1000,$S$5:$S$1000,$S59,$V$5:$V$1000,"Macro")/COUNTIFS($S$5:$S$1000,$S59,$V$5:$V$1000,"Macro",$H$5:$H$1000,"&gt;0"))))</f>
        <v/>
      </c>
      <c r="AH59" s="62" t="n"/>
      <c r="AI59" s="62" t="n"/>
      <c r="AJ59" s="62" t="n"/>
      <c r="AK59" s="62" t="n"/>
      <c r="AL59" s="62">
        <f>IF(LEFT($C59,11)="[Jefatura] ",IFERROR(MATCH("Riesgo Normativo|"&amp;MID($C59,12,500),rDname_ADM,0),0),"")</f>
        <v/>
      </c>
      <c r="AM59" s="62">
        <f>IF(N($AL59)&gt;0,INDEX(rIni_ADM,$AL59),IF(ISNUMBER($E59),$E59,""))</f>
        <v/>
      </c>
      <c r="AN59" s="62">
        <f>IF(N($AL59)&gt;0,INDEX(rLim_ADM,$AL59),IF(ISNUMBER($F59),$F59,""))</f>
        <v/>
      </c>
    </row>
    <row r="60">
      <c r="A60" s="56">
        <f>IF(NOT((COUNTA($B60:$D60)+COUNTA($G60:$L60)+COUNTA($Q60))&gt;0),"",IF($V60="Macro",COUNTIFS($V$5:$V60,"Macro",$S$5:$S60,$S60),IF(N($U60)=0,"?",COUNTIFS(INDEX($V$5:$V$1000,1):INDEX($V$5:$V$1000,$U60-4),"Macro",INDEX($S$5:$S$1000,1):INDEX($S$5:$S$1000,$U60-4),INDEX($S$5:$S$1000,$U60-4))&amp;"."&amp;COUNTIFS($U$5:$U60,$U60,$V$5:$V60,"Sub"))))</f>
        <v/>
      </c>
      <c r="B60" s="57" t="n"/>
      <c r="C60" s="58" t="n"/>
      <c r="D60" s="58" t="n"/>
      <c r="E60" s="59">
        <f>IF(N($AL60)&gt;0,INDEX(rIni_ADM,$AL60),"")</f>
        <v/>
      </c>
      <c r="F60" s="59">
        <f>IF(N($AL60)&gt;0,INDEX(rLim_ADM,$AL60),"")</f>
        <v/>
      </c>
      <c r="G60" s="59" t="n"/>
      <c r="H60" s="60" t="n"/>
      <c r="I60" s="60" t="n"/>
      <c r="J60" s="60" t="n"/>
      <c r="K60" s="60" t="n"/>
      <c r="L60" s="60" t="n"/>
      <c r="M60" s="61">
        <f>IF(NOT((COUNTA($B60:$D60)+COUNTA($G60:$L60)+COUNTA($Q60))&gt;0),"",IF($V60="Sub",IFERROR($X60/INDEX($W$5:$W$1000,$U60-4),""),IF(ISNUMBER($G60),1,IF(N($W60)&gt;0,AVERAGEIFS($X$5:$X$1000,$U$5:$U$1000,ROW(),$V$5:$V$1000,"Sub"),$X60))))</f>
        <v/>
      </c>
      <c r="N60" s="56">
        <f>IF(OR($M60="",$V60="Sub"),"",IF($M60&gt;=1,"Completado",IF($M60&gt;0,"En curso","Pendiente")))</f>
        <v/>
      </c>
      <c r="O60" s="56">
        <f>IF(OR(NOT((COUNTA($B60:$D60)+COUNTA($G60:$L60)+COUNTA($Q60))&gt;0),$V60="Sub"),"",IF(ISNUMBER($G60),IF(AND(ISNUMBER($AN60),$G60&gt;$AN60),"Cumplida con "&amp;($G60-$AN60)&amp;IF($G60-$AN60=1," día"," días")&amp;" de retraso","Cumplida"),IF(N($M60)&gt;=1,"Cumplida",IF(NOT(ISNUMBER($AN60)),"Sin fecha límite",IF($AN60&lt;FechaRef,"Vencida hace "&amp;(FechaRef-$AN60)&amp;IF(FechaRef-$AN60=1," día"," días"),IF($AN60=FechaRef,"Vence hoy",IF($AN60-FechaRef&lt;=DiasAlerta,"Vence en "&amp;($AN60-FechaRef)&amp;IF($AN60-FechaRef=1," día"," días"),"En plazo")))))))</f>
        <v/>
      </c>
      <c r="P60" s="62" t="n"/>
      <c r="Q60" s="58" t="n"/>
      <c r="R60" s="63">
        <f>IF(NOT((COUNTA($B60:$D60)+COUNTA($G60:$L60)+COUNTA($Q60))&gt;0),"",IF((IF($C60="","Falta el nombre de la actividad"&amp;" · ","")&amp;IF(AND($V60="Sub",N($U60)=0),"Subactividad sin macroactividad arriba"&amp;" · ","")&amp;IF($AM60="","Sin fecha de inicio"&amp;" · ","")&amp;IF($AN60="","Sin fecha límite"&amp;" · ","")&amp;IF(AND(LEFT($C60,11)="[Jefatura] ",N($AL60)=0),"No se encuentra en la hoja de la jefatura (elíjala de nuevo en la lista)"&amp;" · ","")&amp;IF(OR(AND($E60&lt;&gt;"",NOT(ISNUMBER($E60))),AND($F60&lt;&gt;"",NOT(ISNUMBER($F60))),AND($G60&lt;&gt;"",NOT(ISNUMBER($G60)))),"Fecha no válida"&amp;" · ","")&amp;IF(AND(ISNUMBER($AM60),ISNUMBER($AN60),$AM60&gt;$AN60),"Inicio posterior a fecha límite"&amp;" · ","")&amp;IF(AND($V60="Macro",$H60&lt;&gt;"",OR(NOT(ISNUMBER($H60)),$H60&lt;0,$H60&gt;1)),"Peso fuera de rango"&amp;" · ","")&amp;IF(AND($V60="Sub",$H60&lt;&gt;""),"Las subactividades no llevan peso (valen igual dentro de su macroactividad)"&amp;" · ","")&amp;IF(AND(N($W60)&gt;0,COUNT($I60:$L60)&gt;0),"Con subactividades: deje vacías las semanas (se calculan solas)"&amp;" · ","")&amp;IF((COUNTIF($I60:$L60,"&gt;1")+COUNTIF($I60:$L60,"&lt;0")+COUNTA($I60:$L60)-COUNT($I60:$L60))&gt;0,"Avance fuera de rango 0-100%"&amp;" · ","")&amp;IF(OR(AND($J60&lt;&gt;"",$J60&lt;$I60),AND($K60&lt;&gt;"",$K60&lt;MAX($I60:$J60)),AND($L60&lt;&gt;"",$L60&lt;MAX($I60:$K60))),"Avance semanal decreciente"&amp;" · ","")&amp;IF(AND(ISNUMBER($AN60),$AN60&lt;FechaRef,IF($V60="Sub",N($X60),N($M60))&lt;1),"Vencida"&amp;" · ","")&amp;IF(AND(ObsObligatoria="Sí",ISNUMBER($AN60),$AN60&lt;FechaRef,IF($V60="Sub",N($X60),N($M60))&lt;1,$Q60=""),"Vencida sin observación"&amp;" · ",""))="","✔ OK","⚠ "&amp;LEFT(IF($C60="","Falta el nombre de la actividad"&amp;" · ","")&amp;IF(AND($V60="Sub",N($U60)=0),"Subactividad sin macroactividad arriba"&amp;" · ","")&amp;IF($AM60="","Sin fecha de inicio"&amp;" · ","")&amp;IF($AN60="","Sin fecha límite"&amp;" · ","")&amp;IF(AND(LEFT($C60,11)="[Jefatura] ",N($AL60)=0),"No se encuentra en la hoja de la jefatura (elíjala de nuevo en la lista)"&amp;" · ","")&amp;IF(OR(AND($E60&lt;&gt;"",NOT(ISNUMBER($E60))),AND($F60&lt;&gt;"",NOT(ISNUMBER($F60))),AND($G60&lt;&gt;"",NOT(ISNUMBER($G60)))),"Fecha no válida"&amp;" · ","")&amp;IF(AND(ISNUMBER($AM60),ISNUMBER($AN60),$AM60&gt;$AN60),"Inicio posterior a fecha límite"&amp;" · ","")&amp;IF(AND($V60="Macro",$H60&lt;&gt;"",OR(NOT(ISNUMBER($H60)),$H60&lt;0,$H60&gt;1)),"Peso fuera de rango"&amp;" · ","")&amp;IF(AND($V60="Sub",$H60&lt;&gt;""),"Las subactividades no llevan peso (valen igual dentro de su macroactividad)"&amp;" · ","")&amp;IF(AND(N($W60)&gt;0,COUNT($I60:$L60)&gt;0),"Con subactividades: deje vacías las semanas (se calculan solas)"&amp;" · ","")&amp;IF((COUNTIF($I60:$L60,"&gt;1")+COUNTIF($I60:$L60,"&lt;0")+COUNTA($I60:$L60)-COUNT($I60:$L60))&gt;0,"Avance fuera de rango 0-100%"&amp;" · ","")&amp;IF(OR(AND($J60&lt;&gt;"",$J60&lt;$I60),AND($K60&lt;&gt;"",$K60&lt;MAX($I60:$J60)),AND($L60&lt;&gt;"",$L60&lt;MAX($I60:$K60))),"Avance semanal decreciente"&amp;" · ","")&amp;IF(AND(ISNUMBER($AN60),$AN60&lt;FechaRef,IF($V60="Sub",N($X60),N($M60))&lt;1),"Vencida"&amp;" · ","")&amp;IF(AND(ObsObligatoria="Sí",ISNUMBER($AN60),$AN60&lt;FechaRef,IF($V60="Sub",N($X60),N($M60))&lt;1,$Q60=""),"Vencida sin observación"&amp;" · ",""),LEN(IF($C60="","Falta el nombre de la actividad"&amp;" · ","")&amp;IF(AND($V60="Sub",N($U60)=0),"Subactividad sin macroactividad arriba"&amp;" · ","")&amp;IF($AM60="","Sin fecha de inicio"&amp;" · ","")&amp;IF($AN60="","Sin fecha límite"&amp;" · ","")&amp;IF(AND(LEFT($C60,11)="[Jefatura] ",N($AL60)=0),"No se encuentra en la hoja de la jefatura (elíjala de nuevo en la lista)"&amp;" · ","")&amp;IF(OR(AND($E60&lt;&gt;"",NOT(ISNUMBER($E60))),AND($F60&lt;&gt;"",NOT(ISNUMBER($F60))),AND($G60&lt;&gt;"",NOT(ISNUMBER($G60)))),"Fecha no válida"&amp;" · ","")&amp;IF(AND(ISNUMBER($AM60),ISNUMBER($AN60),$AM60&gt;$AN60),"Inicio posterior a fecha límite"&amp;" · ","")&amp;IF(AND($V60="Macro",$H60&lt;&gt;"",OR(NOT(ISNUMBER($H60)),$H60&lt;0,$H60&gt;1)),"Peso fuera de rango"&amp;" · ","")&amp;IF(AND($V60="Sub",$H60&lt;&gt;""),"Las subactividades no llevan peso (valen igual dentro de su macroactividad)"&amp;" · ","")&amp;IF(AND(N($W60)&gt;0,COUNT($I60:$L60)&gt;0),"Con subactividades: deje vacías las semanas (se calculan solas)"&amp;" · ","")&amp;IF((COUNTIF($I60:$L60,"&gt;1")+COUNTIF($I60:$L60,"&lt;0")+COUNTA($I60:$L60)-COUNT($I60:$L60))&gt;0,"Avance fuera de rango 0-100%"&amp;" · ","")&amp;IF(OR(AND($J60&lt;&gt;"",$J60&lt;$I60),AND($K60&lt;&gt;"",$K60&lt;MAX($I60:$J60)),AND($L60&lt;&gt;"",$L60&lt;MAX($I60:$K60))),"Avance semanal decreciente"&amp;" · ","")&amp;IF(AND(ISNUMBER($AN60),$AN60&lt;FechaRef,IF($V60="Sub",N($X60),N($M60))&lt;1),"Vencida"&amp;" · ","")&amp;IF(AND(ObsObligatoria="Sí",ISNUMBER($AN60),$AN60&lt;FechaRef,IF($V60="Sub",N($X60),N($M60))&lt;1,$Q60=""),"Vencida sin observación"&amp;" · ",""))-3)))</f>
        <v/>
      </c>
      <c r="S60" s="64">
        <f>IF(NOT((COUNTA($B60:$D60)+COUNTA($G60:$L60)+COUNTA($Q60))&gt;0),"",IF(AND($V60="Sub",N($U60)&gt;0),IF(ISNUMBER(INDEX($AM$5:$AM$1000,$U60-4)),DATE(YEAR(INDEX($AM$5:$AM$1000,$U60-4)),MONTH(INDEX($AM$5:$AM$1000,$U60-4)),1),IF(ISNUMBER(INDEX($AN$5:$AN$1000,$U60-4)),DATE(YEAR(INDEX($AN$5:$AN$1000,$U60-4)),MONTH(INDEX($AN$5:$AN$1000,$U60-4)),1),MesCiclo)),IF(ISNUMBER($AM60),DATE(YEAR($AM60),MONTH($AM60),1),IF(ISNUMBER($AN60),DATE(YEAR($AN60),MONTH($AN60),1),MesCiclo))))</f>
        <v/>
      </c>
      <c r="T60" s="62">
        <f>IF(OR($S60="",$S60&lt;&gt;MesCiclo,$V60&lt;&gt;"Macro"),"",COUNTIFS($S$5:$S60,MesCiclo,$V$5:$V60,"Macro"))</f>
        <v/>
      </c>
      <c r="U60" s="62">
        <f>IF($V60="","",IF($V60="Macro",ROW(),IFERROR(LOOKUP(2,1/($V$5:$V60="Macro"),ROW($V$5:$V60)),0)))</f>
        <v/>
      </c>
      <c r="V60" s="62">
        <f>IF(NOT((COUNTA($B60:$D60)+COUNTA($G60:$L60)+COUNTA($Q60))&gt;0),"",IF($B60="Subactividad","Sub","Macro"))</f>
        <v/>
      </c>
      <c r="W60" s="62">
        <f>IF($V60="Macro",COUNTIFS($U$5:$U$1000,ROW(),$V$5:$V$1000,"Sub"),"")</f>
        <v/>
      </c>
      <c r="X60" s="62">
        <f>IF($V60="","",IF(ISNUMBER($G60),1,IFERROR(LOOKUP(2,1/($I60:$L60&lt;&gt;""),$I60:$L60),0)))</f>
        <v/>
      </c>
      <c r="Y60" s="62">
        <f>IF($V60="","",IF(AND(ISNUMBER($G60),$G60&lt;=IF($S60=MesCiclo,InicioCiclo,$S60+MOD(2-WEEKDAY($S60),7))+6),1,IF(ISNUMBER($I60),$I60,0)))</f>
        <v/>
      </c>
      <c r="Z60" s="62">
        <f>IF($V60="","",IF(AND(ISNUMBER($G60),$G60&lt;=IF($S60=MesCiclo,InicioCiclo,$S60+MOD(2-WEEKDAY($S60),7))+13),1,IF(ISNUMBER($J60),$J60,$Y60)))</f>
        <v/>
      </c>
      <c r="AA60" s="62">
        <f>IF($V60="","",IF(AND(ISNUMBER($G60),$G60&lt;=IF($S60=MesCiclo,InicioCiclo,$S60+MOD(2-WEEKDAY($S60),7))+20),1,IF(ISNUMBER($K60),$K60,$Z60)))</f>
        <v/>
      </c>
      <c r="AB60" s="62">
        <f>IF($V60="","",IF(AND(ISNUMBER($G60),$G60&lt;=IF($S60=MesCiclo,InicioCiclo,$S60+MOD(2-WEEKDAY($S60),7))+27),1,IF(ISNUMBER($L60),$L60,$AA60)))</f>
        <v/>
      </c>
      <c r="AC60" s="62">
        <f>IF($V60="","",IF(AND(ISNUMBER($G60),$G60&lt;=IF($S60=MesCiclo,InicioCiclo,$S60+MOD(2-WEEKDAY($S60),7))+6),1,IF(N($W60)&gt;0,AVERAGEIFS($Y$5:$Y$1000,$U$5:$U$1000,ROW(),$V$5:$V$1000,"Sub"),$Y60)))</f>
        <v/>
      </c>
      <c r="AD60" s="62">
        <f>IF($V60="","",IF(AND(ISNUMBER($G60),$G60&lt;=IF($S60=MesCiclo,InicioCiclo,$S60+MOD(2-WEEKDAY($S60),7))+13),1,IF(N($W60)&gt;0,AVERAGEIFS($Z$5:$Z$1000,$U$5:$U$1000,ROW(),$V$5:$V$1000,"Sub"),$Z60)))</f>
        <v/>
      </c>
      <c r="AE60" s="62">
        <f>IF($V60="","",IF(AND(ISNUMBER($G60),$G60&lt;=IF($S60=MesCiclo,InicioCiclo,$S60+MOD(2-WEEKDAY($S60),7))+20),1,IF(N($W60)&gt;0,AVERAGEIFS($AA$5:$AA$1000,$U$5:$U$1000,ROW(),$V$5:$V$1000,"Sub"),$AA60)))</f>
        <v/>
      </c>
      <c r="AF60" s="62">
        <f>IF($V60="","",IF(AND(ISNUMBER($G60),$G60&lt;=IF($S60=MesCiclo,InicioCiclo,$S60+MOD(2-WEEKDAY($S60),7))+27),1,IF(N($W60)&gt;0,AVERAGEIFS($AB$5:$AB$1000,$U$5:$U$1000,ROW(),$V$5:$V$1000,"Sub"),$AB60)))</f>
        <v/>
      </c>
      <c r="AG60" s="62">
        <f>IF($V60&lt;&gt;"Macro","",IF(COUNTIFS($S$5:$S$1000,$S60,$V$5:$V$1000,"Macro",$H$5:$H$1000,"&gt;0")=0,1/COUNTIFS($S$5:$S$1000,$S60,$V$5:$V$1000,"Macro"),IF(AND(ISNUMBER($H60),N($H60)&gt;0),$H60,SUMIFS($H$5:$H$1000,$S$5:$S$1000,$S60,$V$5:$V$1000,"Macro")/COUNTIFS($S$5:$S$1000,$S60,$V$5:$V$1000,"Macro",$H$5:$H$1000,"&gt;0"))/(COUNTIFS($S$5:$S$1000,$S60,$V$5:$V$1000,"Macro")*SUMIFS($H$5:$H$1000,$S$5:$S$1000,$S60,$V$5:$V$1000,"Macro")/COUNTIFS($S$5:$S$1000,$S60,$V$5:$V$1000,"Macro",$H$5:$H$1000,"&gt;0"))))</f>
        <v/>
      </c>
      <c r="AH60" s="62" t="n"/>
      <c r="AI60" s="62" t="n"/>
      <c r="AJ60" s="62" t="n"/>
      <c r="AK60" s="62" t="n"/>
      <c r="AL60" s="62">
        <f>IF(LEFT($C60,11)="[Jefatura] ",IFERROR(MATCH("Riesgo Normativo|"&amp;MID($C60,12,500),rDname_ADM,0),0),"")</f>
        <v/>
      </c>
      <c r="AM60" s="62">
        <f>IF(N($AL60)&gt;0,INDEX(rIni_ADM,$AL60),IF(ISNUMBER($E60),$E60,""))</f>
        <v/>
      </c>
      <c r="AN60" s="62">
        <f>IF(N($AL60)&gt;0,INDEX(rLim_ADM,$AL60),IF(ISNUMBER($F60),$F60,""))</f>
        <v/>
      </c>
    </row>
    <row r="61">
      <c r="A61" s="56">
        <f>IF(NOT((COUNTA($B61:$D61)+COUNTA($G61:$L61)+COUNTA($Q61))&gt;0),"",IF($V61="Macro",COUNTIFS($V$5:$V61,"Macro",$S$5:$S61,$S61),IF(N($U61)=0,"?",COUNTIFS(INDEX($V$5:$V$1000,1):INDEX($V$5:$V$1000,$U61-4),"Macro",INDEX($S$5:$S$1000,1):INDEX($S$5:$S$1000,$U61-4),INDEX($S$5:$S$1000,$U61-4))&amp;"."&amp;COUNTIFS($U$5:$U61,$U61,$V$5:$V61,"Sub"))))</f>
        <v/>
      </c>
      <c r="B61" s="57" t="n"/>
      <c r="C61" s="58" t="n"/>
      <c r="D61" s="58" t="n"/>
      <c r="E61" s="59">
        <f>IF(N($AL61)&gt;0,INDEX(rIni_ADM,$AL61),"")</f>
        <v/>
      </c>
      <c r="F61" s="59">
        <f>IF(N($AL61)&gt;0,INDEX(rLim_ADM,$AL61),"")</f>
        <v/>
      </c>
      <c r="G61" s="59" t="n"/>
      <c r="H61" s="60" t="n"/>
      <c r="I61" s="60" t="n"/>
      <c r="J61" s="60" t="n"/>
      <c r="K61" s="60" t="n"/>
      <c r="L61" s="60" t="n"/>
      <c r="M61" s="61">
        <f>IF(NOT((COUNTA($B61:$D61)+COUNTA($G61:$L61)+COUNTA($Q61))&gt;0),"",IF($V61="Sub",IFERROR($X61/INDEX($W$5:$W$1000,$U61-4),""),IF(ISNUMBER($G61),1,IF(N($W61)&gt;0,AVERAGEIFS($X$5:$X$1000,$U$5:$U$1000,ROW(),$V$5:$V$1000,"Sub"),$X61))))</f>
        <v/>
      </c>
      <c r="N61" s="56">
        <f>IF(OR($M61="",$V61="Sub"),"",IF($M61&gt;=1,"Completado",IF($M61&gt;0,"En curso","Pendiente")))</f>
        <v/>
      </c>
      <c r="O61" s="56">
        <f>IF(OR(NOT((COUNTA($B61:$D61)+COUNTA($G61:$L61)+COUNTA($Q61))&gt;0),$V61="Sub"),"",IF(ISNUMBER($G61),IF(AND(ISNUMBER($AN61),$G61&gt;$AN61),"Cumplida con "&amp;($G61-$AN61)&amp;IF($G61-$AN61=1," día"," días")&amp;" de retraso","Cumplida"),IF(N($M61)&gt;=1,"Cumplida",IF(NOT(ISNUMBER($AN61)),"Sin fecha límite",IF($AN61&lt;FechaRef,"Vencida hace "&amp;(FechaRef-$AN61)&amp;IF(FechaRef-$AN61=1," día"," días"),IF($AN61=FechaRef,"Vence hoy",IF($AN61-FechaRef&lt;=DiasAlerta,"Vence en "&amp;($AN61-FechaRef)&amp;IF($AN61-FechaRef=1," día"," días"),"En plazo")))))))</f>
        <v/>
      </c>
      <c r="P61" s="62" t="n"/>
      <c r="Q61" s="58" t="n"/>
      <c r="R61" s="63">
        <f>IF(NOT((COUNTA($B61:$D61)+COUNTA($G61:$L61)+COUNTA($Q61))&gt;0),"",IF((IF($C61="","Falta el nombre de la actividad"&amp;" · ","")&amp;IF(AND($V61="Sub",N($U61)=0),"Subactividad sin macroactividad arriba"&amp;" · ","")&amp;IF($AM61="","Sin fecha de inicio"&amp;" · ","")&amp;IF($AN61="","Sin fecha límite"&amp;" · ","")&amp;IF(AND(LEFT($C61,11)="[Jefatura] ",N($AL61)=0),"No se encuentra en la hoja de la jefatura (elíjala de nuevo en la lista)"&amp;" · ","")&amp;IF(OR(AND($E61&lt;&gt;"",NOT(ISNUMBER($E61))),AND($F61&lt;&gt;"",NOT(ISNUMBER($F61))),AND($G61&lt;&gt;"",NOT(ISNUMBER($G61)))),"Fecha no válida"&amp;" · ","")&amp;IF(AND(ISNUMBER($AM61),ISNUMBER($AN61),$AM61&gt;$AN61),"Inicio posterior a fecha límite"&amp;" · ","")&amp;IF(AND($V61="Macro",$H61&lt;&gt;"",OR(NOT(ISNUMBER($H61)),$H61&lt;0,$H61&gt;1)),"Peso fuera de rango"&amp;" · ","")&amp;IF(AND($V61="Sub",$H61&lt;&gt;""),"Las subactividades no llevan peso (valen igual dentro de su macroactividad)"&amp;" · ","")&amp;IF(AND(N($W61)&gt;0,COUNT($I61:$L61)&gt;0),"Con subactividades: deje vacías las semanas (se calculan solas)"&amp;" · ","")&amp;IF((COUNTIF($I61:$L61,"&gt;1")+COUNTIF($I61:$L61,"&lt;0")+COUNTA($I61:$L61)-COUNT($I61:$L61))&gt;0,"Avance fuera de rango 0-100%"&amp;" · ","")&amp;IF(OR(AND($J61&lt;&gt;"",$J61&lt;$I61),AND($K61&lt;&gt;"",$K61&lt;MAX($I61:$J61)),AND($L61&lt;&gt;"",$L61&lt;MAX($I61:$K61))),"Avance semanal decreciente"&amp;" · ","")&amp;IF(AND(ISNUMBER($AN61),$AN61&lt;FechaRef,IF($V61="Sub",N($X61),N($M61))&lt;1),"Vencida"&amp;" · ","")&amp;IF(AND(ObsObligatoria="Sí",ISNUMBER($AN61),$AN61&lt;FechaRef,IF($V61="Sub",N($X61),N($M61))&lt;1,$Q61=""),"Vencida sin observación"&amp;" · ",""))="","✔ OK","⚠ "&amp;LEFT(IF($C61="","Falta el nombre de la actividad"&amp;" · ","")&amp;IF(AND($V61="Sub",N($U61)=0),"Subactividad sin macroactividad arriba"&amp;" · ","")&amp;IF($AM61="","Sin fecha de inicio"&amp;" · ","")&amp;IF($AN61="","Sin fecha límite"&amp;" · ","")&amp;IF(AND(LEFT($C61,11)="[Jefatura] ",N($AL61)=0),"No se encuentra en la hoja de la jefatura (elíjala de nuevo en la lista)"&amp;" · ","")&amp;IF(OR(AND($E61&lt;&gt;"",NOT(ISNUMBER($E61))),AND($F61&lt;&gt;"",NOT(ISNUMBER($F61))),AND($G61&lt;&gt;"",NOT(ISNUMBER($G61)))),"Fecha no válida"&amp;" · ","")&amp;IF(AND(ISNUMBER($AM61),ISNUMBER($AN61),$AM61&gt;$AN61),"Inicio posterior a fecha límite"&amp;" · ","")&amp;IF(AND($V61="Macro",$H61&lt;&gt;"",OR(NOT(ISNUMBER($H61)),$H61&lt;0,$H61&gt;1)),"Peso fuera de rango"&amp;" · ","")&amp;IF(AND($V61="Sub",$H61&lt;&gt;""),"Las subactividades no llevan peso (valen igual dentro de su macroactividad)"&amp;" · ","")&amp;IF(AND(N($W61)&gt;0,COUNT($I61:$L61)&gt;0),"Con subactividades: deje vacías las semanas (se calculan solas)"&amp;" · ","")&amp;IF((COUNTIF($I61:$L61,"&gt;1")+COUNTIF($I61:$L61,"&lt;0")+COUNTA($I61:$L61)-COUNT($I61:$L61))&gt;0,"Avance fuera de rango 0-100%"&amp;" · ","")&amp;IF(OR(AND($J61&lt;&gt;"",$J61&lt;$I61),AND($K61&lt;&gt;"",$K61&lt;MAX($I61:$J61)),AND($L61&lt;&gt;"",$L61&lt;MAX($I61:$K61))),"Avance semanal decreciente"&amp;" · ","")&amp;IF(AND(ISNUMBER($AN61),$AN61&lt;FechaRef,IF($V61="Sub",N($X61),N($M61))&lt;1),"Vencida"&amp;" · ","")&amp;IF(AND(ObsObligatoria="Sí",ISNUMBER($AN61),$AN61&lt;FechaRef,IF($V61="Sub",N($X61),N($M61))&lt;1,$Q61=""),"Vencida sin observación"&amp;" · ",""),LEN(IF($C61="","Falta el nombre de la actividad"&amp;" · ","")&amp;IF(AND($V61="Sub",N($U61)=0),"Subactividad sin macroactividad arriba"&amp;" · ","")&amp;IF($AM61="","Sin fecha de inicio"&amp;" · ","")&amp;IF($AN61="","Sin fecha límite"&amp;" · ","")&amp;IF(AND(LEFT($C61,11)="[Jefatura] ",N($AL61)=0),"No se encuentra en la hoja de la jefatura (elíjala de nuevo en la lista)"&amp;" · ","")&amp;IF(OR(AND($E61&lt;&gt;"",NOT(ISNUMBER($E61))),AND($F61&lt;&gt;"",NOT(ISNUMBER($F61))),AND($G61&lt;&gt;"",NOT(ISNUMBER($G61)))),"Fecha no válida"&amp;" · ","")&amp;IF(AND(ISNUMBER($AM61),ISNUMBER($AN61),$AM61&gt;$AN61),"Inicio posterior a fecha límite"&amp;" · ","")&amp;IF(AND($V61="Macro",$H61&lt;&gt;"",OR(NOT(ISNUMBER($H61)),$H61&lt;0,$H61&gt;1)),"Peso fuera de rango"&amp;" · ","")&amp;IF(AND($V61="Sub",$H61&lt;&gt;""),"Las subactividades no llevan peso (valen igual dentro de su macroactividad)"&amp;" · ","")&amp;IF(AND(N($W61)&gt;0,COUNT($I61:$L61)&gt;0),"Con subactividades: deje vacías las semanas (se calculan solas)"&amp;" · ","")&amp;IF((COUNTIF($I61:$L61,"&gt;1")+COUNTIF($I61:$L61,"&lt;0")+COUNTA($I61:$L61)-COUNT($I61:$L61))&gt;0,"Avance fuera de rango 0-100%"&amp;" · ","")&amp;IF(OR(AND($J61&lt;&gt;"",$J61&lt;$I61),AND($K61&lt;&gt;"",$K61&lt;MAX($I61:$J61)),AND($L61&lt;&gt;"",$L61&lt;MAX($I61:$K61))),"Avance semanal decreciente"&amp;" · ","")&amp;IF(AND(ISNUMBER($AN61),$AN61&lt;FechaRef,IF($V61="Sub",N($X61),N($M61))&lt;1),"Vencida"&amp;" · ","")&amp;IF(AND(ObsObligatoria="Sí",ISNUMBER($AN61),$AN61&lt;FechaRef,IF($V61="Sub",N($X61),N($M61))&lt;1,$Q61=""),"Vencida sin observación"&amp;" · ",""))-3)))</f>
        <v/>
      </c>
      <c r="S61" s="64">
        <f>IF(NOT((COUNTA($B61:$D61)+COUNTA($G61:$L61)+COUNTA($Q61))&gt;0),"",IF(AND($V61="Sub",N($U61)&gt;0),IF(ISNUMBER(INDEX($AM$5:$AM$1000,$U61-4)),DATE(YEAR(INDEX($AM$5:$AM$1000,$U61-4)),MONTH(INDEX($AM$5:$AM$1000,$U61-4)),1),IF(ISNUMBER(INDEX($AN$5:$AN$1000,$U61-4)),DATE(YEAR(INDEX($AN$5:$AN$1000,$U61-4)),MONTH(INDEX($AN$5:$AN$1000,$U61-4)),1),MesCiclo)),IF(ISNUMBER($AM61),DATE(YEAR($AM61),MONTH($AM61),1),IF(ISNUMBER($AN61),DATE(YEAR($AN61),MONTH($AN61),1),MesCiclo))))</f>
        <v/>
      </c>
      <c r="T61" s="62">
        <f>IF(OR($S61="",$S61&lt;&gt;MesCiclo,$V61&lt;&gt;"Macro"),"",COUNTIFS($S$5:$S61,MesCiclo,$V$5:$V61,"Macro"))</f>
        <v/>
      </c>
      <c r="U61" s="62">
        <f>IF($V61="","",IF($V61="Macro",ROW(),IFERROR(LOOKUP(2,1/($V$5:$V61="Macro"),ROW($V$5:$V61)),0)))</f>
        <v/>
      </c>
      <c r="V61" s="62">
        <f>IF(NOT((COUNTA($B61:$D61)+COUNTA($G61:$L61)+COUNTA($Q61))&gt;0),"",IF($B61="Subactividad","Sub","Macro"))</f>
        <v/>
      </c>
      <c r="W61" s="62">
        <f>IF($V61="Macro",COUNTIFS($U$5:$U$1000,ROW(),$V$5:$V$1000,"Sub"),"")</f>
        <v/>
      </c>
      <c r="X61" s="62">
        <f>IF($V61="","",IF(ISNUMBER($G61),1,IFERROR(LOOKUP(2,1/($I61:$L61&lt;&gt;""),$I61:$L61),0)))</f>
        <v/>
      </c>
      <c r="Y61" s="62">
        <f>IF($V61="","",IF(AND(ISNUMBER($G61),$G61&lt;=IF($S61=MesCiclo,InicioCiclo,$S61+MOD(2-WEEKDAY($S61),7))+6),1,IF(ISNUMBER($I61),$I61,0)))</f>
        <v/>
      </c>
      <c r="Z61" s="62">
        <f>IF($V61="","",IF(AND(ISNUMBER($G61),$G61&lt;=IF($S61=MesCiclo,InicioCiclo,$S61+MOD(2-WEEKDAY($S61),7))+13),1,IF(ISNUMBER($J61),$J61,$Y61)))</f>
        <v/>
      </c>
      <c r="AA61" s="62">
        <f>IF($V61="","",IF(AND(ISNUMBER($G61),$G61&lt;=IF($S61=MesCiclo,InicioCiclo,$S61+MOD(2-WEEKDAY($S61),7))+20),1,IF(ISNUMBER($K61),$K61,$Z61)))</f>
        <v/>
      </c>
      <c r="AB61" s="62">
        <f>IF($V61="","",IF(AND(ISNUMBER($G61),$G61&lt;=IF($S61=MesCiclo,InicioCiclo,$S61+MOD(2-WEEKDAY($S61),7))+27),1,IF(ISNUMBER($L61),$L61,$AA61)))</f>
        <v/>
      </c>
      <c r="AC61" s="62">
        <f>IF($V61="","",IF(AND(ISNUMBER($G61),$G61&lt;=IF($S61=MesCiclo,InicioCiclo,$S61+MOD(2-WEEKDAY($S61),7))+6),1,IF(N($W61)&gt;0,AVERAGEIFS($Y$5:$Y$1000,$U$5:$U$1000,ROW(),$V$5:$V$1000,"Sub"),$Y61)))</f>
        <v/>
      </c>
      <c r="AD61" s="62">
        <f>IF($V61="","",IF(AND(ISNUMBER($G61),$G61&lt;=IF($S61=MesCiclo,InicioCiclo,$S61+MOD(2-WEEKDAY($S61),7))+13),1,IF(N($W61)&gt;0,AVERAGEIFS($Z$5:$Z$1000,$U$5:$U$1000,ROW(),$V$5:$V$1000,"Sub"),$Z61)))</f>
        <v/>
      </c>
      <c r="AE61" s="62">
        <f>IF($V61="","",IF(AND(ISNUMBER($G61),$G61&lt;=IF($S61=MesCiclo,InicioCiclo,$S61+MOD(2-WEEKDAY($S61),7))+20),1,IF(N($W61)&gt;0,AVERAGEIFS($AA$5:$AA$1000,$U$5:$U$1000,ROW(),$V$5:$V$1000,"Sub"),$AA61)))</f>
        <v/>
      </c>
      <c r="AF61" s="62">
        <f>IF($V61="","",IF(AND(ISNUMBER($G61),$G61&lt;=IF($S61=MesCiclo,InicioCiclo,$S61+MOD(2-WEEKDAY($S61),7))+27),1,IF(N($W61)&gt;0,AVERAGEIFS($AB$5:$AB$1000,$U$5:$U$1000,ROW(),$V$5:$V$1000,"Sub"),$AB61)))</f>
        <v/>
      </c>
      <c r="AG61" s="62">
        <f>IF($V61&lt;&gt;"Macro","",IF(COUNTIFS($S$5:$S$1000,$S61,$V$5:$V$1000,"Macro",$H$5:$H$1000,"&gt;0")=0,1/COUNTIFS($S$5:$S$1000,$S61,$V$5:$V$1000,"Macro"),IF(AND(ISNUMBER($H61),N($H61)&gt;0),$H61,SUMIFS($H$5:$H$1000,$S$5:$S$1000,$S61,$V$5:$V$1000,"Macro")/COUNTIFS($S$5:$S$1000,$S61,$V$5:$V$1000,"Macro",$H$5:$H$1000,"&gt;0"))/(COUNTIFS($S$5:$S$1000,$S61,$V$5:$V$1000,"Macro")*SUMIFS($H$5:$H$1000,$S$5:$S$1000,$S61,$V$5:$V$1000,"Macro")/COUNTIFS($S$5:$S$1000,$S61,$V$5:$V$1000,"Macro",$H$5:$H$1000,"&gt;0"))))</f>
        <v/>
      </c>
      <c r="AH61" s="62" t="n"/>
      <c r="AI61" s="62" t="n"/>
      <c r="AJ61" s="62" t="n"/>
      <c r="AK61" s="62" t="n"/>
      <c r="AL61" s="62">
        <f>IF(LEFT($C61,11)="[Jefatura] ",IFERROR(MATCH("Riesgo Normativo|"&amp;MID($C61,12,500),rDname_ADM,0),0),"")</f>
        <v/>
      </c>
      <c r="AM61" s="62">
        <f>IF(N($AL61)&gt;0,INDEX(rIni_ADM,$AL61),IF(ISNUMBER($E61),$E61,""))</f>
        <v/>
      </c>
      <c r="AN61" s="62">
        <f>IF(N($AL61)&gt;0,INDEX(rLim_ADM,$AL61),IF(ISNUMBER($F61),$F61,""))</f>
        <v/>
      </c>
    </row>
    <row r="62">
      <c r="A62" s="56">
        <f>IF(NOT((COUNTA($B62:$D62)+COUNTA($G62:$L62)+COUNTA($Q62))&gt;0),"",IF($V62="Macro",COUNTIFS($V$5:$V62,"Macro",$S$5:$S62,$S62),IF(N($U62)=0,"?",COUNTIFS(INDEX($V$5:$V$1000,1):INDEX($V$5:$V$1000,$U62-4),"Macro",INDEX($S$5:$S$1000,1):INDEX($S$5:$S$1000,$U62-4),INDEX($S$5:$S$1000,$U62-4))&amp;"."&amp;COUNTIFS($U$5:$U62,$U62,$V$5:$V62,"Sub"))))</f>
        <v/>
      </c>
      <c r="B62" s="57" t="n"/>
      <c r="C62" s="58" t="n"/>
      <c r="D62" s="58" t="n"/>
      <c r="E62" s="59">
        <f>IF(N($AL62)&gt;0,INDEX(rIni_ADM,$AL62),"")</f>
        <v/>
      </c>
      <c r="F62" s="59">
        <f>IF(N($AL62)&gt;0,INDEX(rLim_ADM,$AL62),"")</f>
        <v/>
      </c>
      <c r="G62" s="59" t="n"/>
      <c r="H62" s="60" t="n"/>
      <c r="I62" s="60" t="n"/>
      <c r="J62" s="60" t="n"/>
      <c r="K62" s="60" t="n"/>
      <c r="L62" s="60" t="n"/>
      <c r="M62" s="61">
        <f>IF(NOT((COUNTA($B62:$D62)+COUNTA($G62:$L62)+COUNTA($Q62))&gt;0),"",IF($V62="Sub",IFERROR($X62/INDEX($W$5:$W$1000,$U62-4),""),IF(ISNUMBER($G62),1,IF(N($W62)&gt;0,AVERAGEIFS($X$5:$X$1000,$U$5:$U$1000,ROW(),$V$5:$V$1000,"Sub"),$X62))))</f>
        <v/>
      </c>
      <c r="N62" s="56">
        <f>IF(OR($M62="",$V62="Sub"),"",IF($M62&gt;=1,"Completado",IF($M62&gt;0,"En curso","Pendiente")))</f>
        <v/>
      </c>
      <c r="O62" s="56">
        <f>IF(OR(NOT((COUNTA($B62:$D62)+COUNTA($G62:$L62)+COUNTA($Q62))&gt;0),$V62="Sub"),"",IF(ISNUMBER($G62),IF(AND(ISNUMBER($AN62),$G62&gt;$AN62),"Cumplida con "&amp;($G62-$AN62)&amp;IF($G62-$AN62=1," día"," días")&amp;" de retraso","Cumplida"),IF(N($M62)&gt;=1,"Cumplida",IF(NOT(ISNUMBER($AN62)),"Sin fecha límite",IF($AN62&lt;FechaRef,"Vencida hace "&amp;(FechaRef-$AN62)&amp;IF(FechaRef-$AN62=1," día"," días"),IF($AN62=FechaRef,"Vence hoy",IF($AN62-FechaRef&lt;=DiasAlerta,"Vence en "&amp;($AN62-FechaRef)&amp;IF($AN62-FechaRef=1," día"," días"),"En plazo")))))))</f>
        <v/>
      </c>
      <c r="P62" s="62" t="n"/>
      <c r="Q62" s="58" t="n"/>
      <c r="R62" s="63">
        <f>IF(NOT((COUNTA($B62:$D62)+COUNTA($G62:$L62)+COUNTA($Q62))&gt;0),"",IF((IF($C62="","Falta el nombre de la actividad"&amp;" · ","")&amp;IF(AND($V62="Sub",N($U62)=0),"Subactividad sin macroactividad arriba"&amp;" · ","")&amp;IF($AM62="","Sin fecha de inicio"&amp;" · ","")&amp;IF($AN62="","Sin fecha límite"&amp;" · ","")&amp;IF(AND(LEFT($C62,11)="[Jefatura] ",N($AL62)=0),"No se encuentra en la hoja de la jefatura (elíjala de nuevo en la lista)"&amp;" · ","")&amp;IF(OR(AND($E62&lt;&gt;"",NOT(ISNUMBER($E62))),AND($F62&lt;&gt;"",NOT(ISNUMBER($F62))),AND($G62&lt;&gt;"",NOT(ISNUMBER($G62)))),"Fecha no válida"&amp;" · ","")&amp;IF(AND(ISNUMBER($AM62),ISNUMBER($AN62),$AM62&gt;$AN62),"Inicio posterior a fecha límite"&amp;" · ","")&amp;IF(AND($V62="Macro",$H62&lt;&gt;"",OR(NOT(ISNUMBER($H62)),$H62&lt;0,$H62&gt;1)),"Peso fuera de rango"&amp;" · ","")&amp;IF(AND($V62="Sub",$H62&lt;&gt;""),"Las subactividades no llevan peso (valen igual dentro de su macroactividad)"&amp;" · ","")&amp;IF(AND(N($W62)&gt;0,COUNT($I62:$L62)&gt;0),"Con subactividades: deje vacías las semanas (se calculan solas)"&amp;" · ","")&amp;IF((COUNTIF($I62:$L62,"&gt;1")+COUNTIF($I62:$L62,"&lt;0")+COUNTA($I62:$L62)-COUNT($I62:$L62))&gt;0,"Avance fuera de rango 0-100%"&amp;" · ","")&amp;IF(OR(AND($J62&lt;&gt;"",$J62&lt;$I62),AND($K62&lt;&gt;"",$K62&lt;MAX($I62:$J62)),AND($L62&lt;&gt;"",$L62&lt;MAX($I62:$K62))),"Avance semanal decreciente"&amp;" · ","")&amp;IF(AND(ISNUMBER($AN62),$AN62&lt;FechaRef,IF($V62="Sub",N($X62),N($M62))&lt;1),"Vencida"&amp;" · ","")&amp;IF(AND(ObsObligatoria="Sí",ISNUMBER($AN62),$AN62&lt;FechaRef,IF($V62="Sub",N($X62),N($M62))&lt;1,$Q62=""),"Vencida sin observación"&amp;" · ",""))="","✔ OK","⚠ "&amp;LEFT(IF($C62="","Falta el nombre de la actividad"&amp;" · ","")&amp;IF(AND($V62="Sub",N($U62)=0),"Subactividad sin macroactividad arriba"&amp;" · ","")&amp;IF($AM62="","Sin fecha de inicio"&amp;" · ","")&amp;IF($AN62="","Sin fecha límite"&amp;" · ","")&amp;IF(AND(LEFT($C62,11)="[Jefatura] ",N($AL62)=0),"No se encuentra en la hoja de la jefatura (elíjala de nuevo en la lista)"&amp;" · ","")&amp;IF(OR(AND($E62&lt;&gt;"",NOT(ISNUMBER($E62))),AND($F62&lt;&gt;"",NOT(ISNUMBER($F62))),AND($G62&lt;&gt;"",NOT(ISNUMBER($G62)))),"Fecha no válida"&amp;" · ","")&amp;IF(AND(ISNUMBER($AM62),ISNUMBER($AN62),$AM62&gt;$AN62),"Inicio posterior a fecha límite"&amp;" · ","")&amp;IF(AND($V62="Macro",$H62&lt;&gt;"",OR(NOT(ISNUMBER($H62)),$H62&lt;0,$H62&gt;1)),"Peso fuera de rango"&amp;" · ","")&amp;IF(AND($V62="Sub",$H62&lt;&gt;""),"Las subactividades no llevan peso (valen igual dentro de su macroactividad)"&amp;" · ","")&amp;IF(AND(N($W62)&gt;0,COUNT($I62:$L62)&gt;0),"Con subactividades: deje vacías las semanas (se calculan solas)"&amp;" · ","")&amp;IF((COUNTIF($I62:$L62,"&gt;1")+COUNTIF($I62:$L62,"&lt;0")+COUNTA($I62:$L62)-COUNT($I62:$L62))&gt;0,"Avance fuera de rango 0-100%"&amp;" · ","")&amp;IF(OR(AND($J62&lt;&gt;"",$J62&lt;$I62),AND($K62&lt;&gt;"",$K62&lt;MAX($I62:$J62)),AND($L62&lt;&gt;"",$L62&lt;MAX($I62:$K62))),"Avance semanal decreciente"&amp;" · ","")&amp;IF(AND(ISNUMBER($AN62),$AN62&lt;FechaRef,IF($V62="Sub",N($X62),N($M62))&lt;1),"Vencida"&amp;" · ","")&amp;IF(AND(ObsObligatoria="Sí",ISNUMBER($AN62),$AN62&lt;FechaRef,IF($V62="Sub",N($X62),N($M62))&lt;1,$Q62=""),"Vencida sin observación"&amp;" · ",""),LEN(IF($C62="","Falta el nombre de la actividad"&amp;" · ","")&amp;IF(AND($V62="Sub",N($U62)=0),"Subactividad sin macroactividad arriba"&amp;" · ","")&amp;IF($AM62="","Sin fecha de inicio"&amp;" · ","")&amp;IF($AN62="","Sin fecha límite"&amp;" · ","")&amp;IF(AND(LEFT($C62,11)="[Jefatura] ",N($AL62)=0),"No se encuentra en la hoja de la jefatura (elíjala de nuevo en la lista)"&amp;" · ","")&amp;IF(OR(AND($E62&lt;&gt;"",NOT(ISNUMBER($E62))),AND($F62&lt;&gt;"",NOT(ISNUMBER($F62))),AND($G62&lt;&gt;"",NOT(ISNUMBER($G62)))),"Fecha no válida"&amp;" · ","")&amp;IF(AND(ISNUMBER($AM62),ISNUMBER($AN62),$AM62&gt;$AN62),"Inicio posterior a fecha límite"&amp;" · ","")&amp;IF(AND($V62="Macro",$H62&lt;&gt;"",OR(NOT(ISNUMBER($H62)),$H62&lt;0,$H62&gt;1)),"Peso fuera de rango"&amp;" · ","")&amp;IF(AND($V62="Sub",$H62&lt;&gt;""),"Las subactividades no llevan peso (valen igual dentro de su macroactividad)"&amp;" · ","")&amp;IF(AND(N($W62)&gt;0,COUNT($I62:$L62)&gt;0),"Con subactividades: deje vacías las semanas (se calculan solas)"&amp;" · ","")&amp;IF((COUNTIF($I62:$L62,"&gt;1")+COUNTIF($I62:$L62,"&lt;0")+COUNTA($I62:$L62)-COUNT($I62:$L62))&gt;0,"Avance fuera de rango 0-100%"&amp;" · ","")&amp;IF(OR(AND($J62&lt;&gt;"",$J62&lt;$I62),AND($K62&lt;&gt;"",$K62&lt;MAX($I62:$J62)),AND($L62&lt;&gt;"",$L62&lt;MAX($I62:$K62))),"Avance semanal decreciente"&amp;" · ","")&amp;IF(AND(ISNUMBER($AN62),$AN62&lt;FechaRef,IF($V62="Sub",N($X62),N($M62))&lt;1),"Vencida"&amp;" · ","")&amp;IF(AND(ObsObligatoria="Sí",ISNUMBER($AN62),$AN62&lt;FechaRef,IF($V62="Sub",N($X62),N($M62))&lt;1,$Q62=""),"Vencida sin observación"&amp;" · ",""))-3)))</f>
        <v/>
      </c>
      <c r="S62" s="64">
        <f>IF(NOT((COUNTA($B62:$D62)+COUNTA($G62:$L62)+COUNTA($Q62))&gt;0),"",IF(AND($V62="Sub",N($U62)&gt;0),IF(ISNUMBER(INDEX($AM$5:$AM$1000,$U62-4)),DATE(YEAR(INDEX($AM$5:$AM$1000,$U62-4)),MONTH(INDEX($AM$5:$AM$1000,$U62-4)),1),IF(ISNUMBER(INDEX($AN$5:$AN$1000,$U62-4)),DATE(YEAR(INDEX($AN$5:$AN$1000,$U62-4)),MONTH(INDEX($AN$5:$AN$1000,$U62-4)),1),MesCiclo)),IF(ISNUMBER($AM62),DATE(YEAR($AM62),MONTH($AM62),1),IF(ISNUMBER($AN62),DATE(YEAR($AN62),MONTH($AN62),1),MesCiclo))))</f>
        <v/>
      </c>
      <c r="T62" s="62">
        <f>IF(OR($S62="",$S62&lt;&gt;MesCiclo,$V62&lt;&gt;"Macro"),"",COUNTIFS($S$5:$S62,MesCiclo,$V$5:$V62,"Macro"))</f>
        <v/>
      </c>
      <c r="U62" s="62">
        <f>IF($V62="","",IF($V62="Macro",ROW(),IFERROR(LOOKUP(2,1/($V$5:$V62="Macro"),ROW($V$5:$V62)),0)))</f>
        <v/>
      </c>
      <c r="V62" s="62">
        <f>IF(NOT((COUNTA($B62:$D62)+COUNTA($G62:$L62)+COUNTA($Q62))&gt;0),"",IF($B62="Subactividad","Sub","Macro"))</f>
        <v/>
      </c>
      <c r="W62" s="62">
        <f>IF($V62="Macro",COUNTIFS($U$5:$U$1000,ROW(),$V$5:$V$1000,"Sub"),"")</f>
        <v/>
      </c>
      <c r="X62" s="62">
        <f>IF($V62="","",IF(ISNUMBER($G62),1,IFERROR(LOOKUP(2,1/($I62:$L62&lt;&gt;""),$I62:$L62),0)))</f>
        <v/>
      </c>
      <c r="Y62" s="62">
        <f>IF($V62="","",IF(AND(ISNUMBER($G62),$G62&lt;=IF($S62=MesCiclo,InicioCiclo,$S62+MOD(2-WEEKDAY($S62),7))+6),1,IF(ISNUMBER($I62),$I62,0)))</f>
        <v/>
      </c>
      <c r="Z62" s="62">
        <f>IF($V62="","",IF(AND(ISNUMBER($G62),$G62&lt;=IF($S62=MesCiclo,InicioCiclo,$S62+MOD(2-WEEKDAY($S62),7))+13),1,IF(ISNUMBER($J62),$J62,$Y62)))</f>
        <v/>
      </c>
      <c r="AA62" s="62">
        <f>IF($V62="","",IF(AND(ISNUMBER($G62),$G62&lt;=IF($S62=MesCiclo,InicioCiclo,$S62+MOD(2-WEEKDAY($S62),7))+20),1,IF(ISNUMBER($K62),$K62,$Z62)))</f>
        <v/>
      </c>
      <c r="AB62" s="62">
        <f>IF($V62="","",IF(AND(ISNUMBER($G62),$G62&lt;=IF($S62=MesCiclo,InicioCiclo,$S62+MOD(2-WEEKDAY($S62),7))+27),1,IF(ISNUMBER($L62),$L62,$AA62)))</f>
        <v/>
      </c>
      <c r="AC62" s="62">
        <f>IF($V62="","",IF(AND(ISNUMBER($G62),$G62&lt;=IF($S62=MesCiclo,InicioCiclo,$S62+MOD(2-WEEKDAY($S62),7))+6),1,IF(N($W62)&gt;0,AVERAGEIFS($Y$5:$Y$1000,$U$5:$U$1000,ROW(),$V$5:$V$1000,"Sub"),$Y62)))</f>
        <v/>
      </c>
      <c r="AD62" s="62">
        <f>IF($V62="","",IF(AND(ISNUMBER($G62),$G62&lt;=IF($S62=MesCiclo,InicioCiclo,$S62+MOD(2-WEEKDAY($S62),7))+13),1,IF(N($W62)&gt;0,AVERAGEIFS($Z$5:$Z$1000,$U$5:$U$1000,ROW(),$V$5:$V$1000,"Sub"),$Z62)))</f>
        <v/>
      </c>
      <c r="AE62" s="62">
        <f>IF($V62="","",IF(AND(ISNUMBER($G62),$G62&lt;=IF($S62=MesCiclo,InicioCiclo,$S62+MOD(2-WEEKDAY($S62),7))+20),1,IF(N($W62)&gt;0,AVERAGEIFS($AA$5:$AA$1000,$U$5:$U$1000,ROW(),$V$5:$V$1000,"Sub"),$AA62)))</f>
        <v/>
      </c>
      <c r="AF62" s="62">
        <f>IF($V62="","",IF(AND(ISNUMBER($G62),$G62&lt;=IF($S62=MesCiclo,InicioCiclo,$S62+MOD(2-WEEKDAY($S62),7))+27),1,IF(N($W62)&gt;0,AVERAGEIFS($AB$5:$AB$1000,$U$5:$U$1000,ROW(),$V$5:$V$1000,"Sub"),$AB62)))</f>
        <v/>
      </c>
      <c r="AG62" s="62">
        <f>IF($V62&lt;&gt;"Macro","",IF(COUNTIFS($S$5:$S$1000,$S62,$V$5:$V$1000,"Macro",$H$5:$H$1000,"&gt;0")=0,1/COUNTIFS($S$5:$S$1000,$S62,$V$5:$V$1000,"Macro"),IF(AND(ISNUMBER($H62),N($H62)&gt;0),$H62,SUMIFS($H$5:$H$1000,$S$5:$S$1000,$S62,$V$5:$V$1000,"Macro")/COUNTIFS($S$5:$S$1000,$S62,$V$5:$V$1000,"Macro",$H$5:$H$1000,"&gt;0"))/(COUNTIFS($S$5:$S$1000,$S62,$V$5:$V$1000,"Macro")*SUMIFS($H$5:$H$1000,$S$5:$S$1000,$S62,$V$5:$V$1000,"Macro")/COUNTIFS($S$5:$S$1000,$S62,$V$5:$V$1000,"Macro",$H$5:$H$1000,"&gt;0"))))</f>
        <v/>
      </c>
      <c r="AH62" s="62" t="n"/>
      <c r="AI62" s="62" t="n"/>
      <c r="AJ62" s="62" t="n"/>
      <c r="AK62" s="62" t="n"/>
      <c r="AL62" s="62">
        <f>IF(LEFT($C62,11)="[Jefatura] ",IFERROR(MATCH("Riesgo Normativo|"&amp;MID($C62,12,500),rDname_ADM,0),0),"")</f>
        <v/>
      </c>
      <c r="AM62" s="62">
        <f>IF(N($AL62)&gt;0,INDEX(rIni_ADM,$AL62),IF(ISNUMBER($E62),$E62,""))</f>
        <v/>
      </c>
      <c r="AN62" s="62">
        <f>IF(N($AL62)&gt;0,INDEX(rLim_ADM,$AL62),IF(ISNUMBER($F62),$F62,""))</f>
        <v/>
      </c>
    </row>
    <row r="63">
      <c r="A63" s="56">
        <f>IF(NOT((COUNTA($B63:$D63)+COUNTA($G63:$L63)+COUNTA($Q63))&gt;0),"",IF($V63="Macro",COUNTIFS($V$5:$V63,"Macro",$S$5:$S63,$S63),IF(N($U63)=0,"?",COUNTIFS(INDEX($V$5:$V$1000,1):INDEX($V$5:$V$1000,$U63-4),"Macro",INDEX($S$5:$S$1000,1):INDEX($S$5:$S$1000,$U63-4),INDEX($S$5:$S$1000,$U63-4))&amp;"."&amp;COUNTIFS($U$5:$U63,$U63,$V$5:$V63,"Sub"))))</f>
        <v/>
      </c>
      <c r="B63" s="57" t="n"/>
      <c r="C63" s="58" t="n"/>
      <c r="D63" s="58" t="n"/>
      <c r="E63" s="59">
        <f>IF(N($AL63)&gt;0,INDEX(rIni_ADM,$AL63),"")</f>
        <v/>
      </c>
      <c r="F63" s="59">
        <f>IF(N($AL63)&gt;0,INDEX(rLim_ADM,$AL63),"")</f>
        <v/>
      </c>
      <c r="G63" s="59" t="n"/>
      <c r="H63" s="60" t="n"/>
      <c r="I63" s="60" t="n"/>
      <c r="J63" s="60" t="n"/>
      <c r="K63" s="60" t="n"/>
      <c r="L63" s="60" t="n"/>
      <c r="M63" s="61">
        <f>IF(NOT((COUNTA($B63:$D63)+COUNTA($G63:$L63)+COUNTA($Q63))&gt;0),"",IF($V63="Sub",IFERROR($X63/INDEX($W$5:$W$1000,$U63-4),""),IF(ISNUMBER($G63),1,IF(N($W63)&gt;0,AVERAGEIFS($X$5:$X$1000,$U$5:$U$1000,ROW(),$V$5:$V$1000,"Sub"),$X63))))</f>
        <v/>
      </c>
      <c r="N63" s="56">
        <f>IF(OR($M63="",$V63="Sub"),"",IF($M63&gt;=1,"Completado",IF($M63&gt;0,"En curso","Pendiente")))</f>
        <v/>
      </c>
      <c r="O63" s="56">
        <f>IF(OR(NOT((COUNTA($B63:$D63)+COUNTA($G63:$L63)+COUNTA($Q63))&gt;0),$V63="Sub"),"",IF(ISNUMBER($G63),IF(AND(ISNUMBER($AN63),$G63&gt;$AN63),"Cumplida con "&amp;($G63-$AN63)&amp;IF($G63-$AN63=1," día"," días")&amp;" de retraso","Cumplida"),IF(N($M63)&gt;=1,"Cumplida",IF(NOT(ISNUMBER($AN63)),"Sin fecha límite",IF($AN63&lt;FechaRef,"Vencida hace "&amp;(FechaRef-$AN63)&amp;IF(FechaRef-$AN63=1," día"," días"),IF($AN63=FechaRef,"Vence hoy",IF($AN63-FechaRef&lt;=DiasAlerta,"Vence en "&amp;($AN63-FechaRef)&amp;IF($AN63-FechaRef=1," día"," días"),"En plazo")))))))</f>
        <v/>
      </c>
      <c r="P63" s="62" t="n"/>
      <c r="Q63" s="58" t="n"/>
      <c r="R63" s="63">
        <f>IF(NOT((COUNTA($B63:$D63)+COUNTA($G63:$L63)+COUNTA($Q63))&gt;0),"",IF((IF($C63="","Falta el nombre de la actividad"&amp;" · ","")&amp;IF(AND($V63="Sub",N($U63)=0),"Subactividad sin macroactividad arriba"&amp;" · ","")&amp;IF($AM63="","Sin fecha de inicio"&amp;" · ","")&amp;IF($AN63="","Sin fecha límite"&amp;" · ","")&amp;IF(AND(LEFT($C63,11)="[Jefatura] ",N($AL63)=0),"No se encuentra en la hoja de la jefatura (elíjala de nuevo en la lista)"&amp;" · ","")&amp;IF(OR(AND($E63&lt;&gt;"",NOT(ISNUMBER($E63))),AND($F63&lt;&gt;"",NOT(ISNUMBER($F63))),AND($G63&lt;&gt;"",NOT(ISNUMBER($G63)))),"Fecha no válida"&amp;" · ","")&amp;IF(AND(ISNUMBER($AM63),ISNUMBER($AN63),$AM63&gt;$AN63),"Inicio posterior a fecha límite"&amp;" · ","")&amp;IF(AND($V63="Macro",$H63&lt;&gt;"",OR(NOT(ISNUMBER($H63)),$H63&lt;0,$H63&gt;1)),"Peso fuera de rango"&amp;" · ","")&amp;IF(AND($V63="Sub",$H63&lt;&gt;""),"Las subactividades no llevan peso (valen igual dentro de su macroactividad)"&amp;" · ","")&amp;IF(AND(N($W63)&gt;0,COUNT($I63:$L63)&gt;0),"Con subactividades: deje vacías las semanas (se calculan solas)"&amp;" · ","")&amp;IF((COUNTIF($I63:$L63,"&gt;1")+COUNTIF($I63:$L63,"&lt;0")+COUNTA($I63:$L63)-COUNT($I63:$L63))&gt;0,"Avance fuera de rango 0-100%"&amp;" · ","")&amp;IF(OR(AND($J63&lt;&gt;"",$J63&lt;$I63),AND($K63&lt;&gt;"",$K63&lt;MAX($I63:$J63)),AND($L63&lt;&gt;"",$L63&lt;MAX($I63:$K63))),"Avance semanal decreciente"&amp;" · ","")&amp;IF(AND(ISNUMBER($AN63),$AN63&lt;FechaRef,IF($V63="Sub",N($X63),N($M63))&lt;1),"Vencida"&amp;" · ","")&amp;IF(AND(ObsObligatoria="Sí",ISNUMBER($AN63),$AN63&lt;FechaRef,IF($V63="Sub",N($X63),N($M63))&lt;1,$Q63=""),"Vencida sin observación"&amp;" · ",""))="","✔ OK","⚠ "&amp;LEFT(IF($C63="","Falta el nombre de la actividad"&amp;" · ","")&amp;IF(AND($V63="Sub",N($U63)=0),"Subactividad sin macroactividad arriba"&amp;" · ","")&amp;IF($AM63="","Sin fecha de inicio"&amp;" · ","")&amp;IF($AN63="","Sin fecha límite"&amp;" · ","")&amp;IF(AND(LEFT($C63,11)="[Jefatura] ",N($AL63)=0),"No se encuentra en la hoja de la jefatura (elíjala de nuevo en la lista)"&amp;" · ","")&amp;IF(OR(AND($E63&lt;&gt;"",NOT(ISNUMBER($E63))),AND($F63&lt;&gt;"",NOT(ISNUMBER($F63))),AND($G63&lt;&gt;"",NOT(ISNUMBER($G63)))),"Fecha no válida"&amp;" · ","")&amp;IF(AND(ISNUMBER($AM63),ISNUMBER($AN63),$AM63&gt;$AN63),"Inicio posterior a fecha límite"&amp;" · ","")&amp;IF(AND($V63="Macro",$H63&lt;&gt;"",OR(NOT(ISNUMBER($H63)),$H63&lt;0,$H63&gt;1)),"Peso fuera de rango"&amp;" · ","")&amp;IF(AND($V63="Sub",$H63&lt;&gt;""),"Las subactividades no llevan peso (valen igual dentro de su macroactividad)"&amp;" · ","")&amp;IF(AND(N($W63)&gt;0,COUNT($I63:$L63)&gt;0),"Con subactividades: deje vacías las semanas (se calculan solas)"&amp;" · ","")&amp;IF((COUNTIF($I63:$L63,"&gt;1")+COUNTIF($I63:$L63,"&lt;0")+COUNTA($I63:$L63)-COUNT($I63:$L63))&gt;0,"Avance fuera de rango 0-100%"&amp;" · ","")&amp;IF(OR(AND($J63&lt;&gt;"",$J63&lt;$I63),AND($K63&lt;&gt;"",$K63&lt;MAX($I63:$J63)),AND($L63&lt;&gt;"",$L63&lt;MAX($I63:$K63))),"Avance semanal decreciente"&amp;" · ","")&amp;IF(AND(ISNUMBER($AN63),$AN63&lt;FechaRef,IF($V63="Sub",N($X63),N($M63))&lt;1),"Vencida"&amp;" · ","")&amp;IF(AND(ObsObligatoria="Sí",ISNUMBER($AN63),$AN63&lt;FechaRef,IF($V63="Sub",N($X63),N($M63))&lt;1,$Q63=""),"Vencida sin observación"&amp;" · ",""),LEN(IF($C63="","Falta el nombre de la actividad"&amp;" · ","")&amp;IF(AND($V63="Sub",N($U63)=0),"Subactividad sin macroactividad arriba"&amp;" · ","")&amp;IF($AM63="","Sin fecha de inicio"&amp;" · ","")&amp;IF($AN63="","Sin fecha límite"&amp;" · ","")&amp;IF(AND(LEFT($C63,11)="[Jefatura] ",N($AL63)=0),"No se encuentra en la hoja de la jefatura (elíjala de nuevo en la lista)"&amp;" · ","")&amp;IF(OR(AND($E63&lt;&gt;"",NOT(ISNUMBER($E63))),AND($F63&lt;&gt;"",NOT(ISNUMBER($F63))),AND($G63&lt;&gt;"",NOT(ISNUMBER($G63)))),"Fecha no válida"&amp;" · ","")&amp;IF(AND(ISNUMBER($AM63),ISNUMBER($AN63),$AM63&gt;$AN63),"Inicio posterior a fecha límite"&amp;" · ","")&amp;IF(AND($V63="Macro",$H63&lt;&gt;"",OR(NOT(ISNUMBER($H63)),$H63&lt;0,$H63&gt;1)),"Peso fuera de rango"&amp;" · ","")&amp;IF(AND($V63="Sub",$H63&lt;&gt;""),"Las subactividades no llevan peso (valen igual dentro de su macroactividad)"&amp;" · ","")&amp;IF(AND(N($W63)&gt;0,COUNT($I63:$L63)&gt;0),"Con subactividades: deje vacías las semanas (se calculan solas)"&amp;" · ","")&amp;IF((COUNTIF($I63:$L63,"&gt;1")+COUNTIF($I63:$L63,"&lt;0")+COUNTA($I63:$L63)-COUNT($I63:$L63))&gt;0,"Avance fuera de rango 0-100%"&amp;" · ","")&amp;IF(OR(AND($J63&lt;&gt;"",$J63&lt;$I63),AND($K63&lt;&gt;"",$K63&lt;MAX($I63:$J63)),AND($L63&lt;&gt;"",$L63&lt;MAX($I63:$K63))),"Avance semanal decreciente"&amp;" · ","")&amp;IF(AND(ISNUMBER($AN63),$AN63&lt;FechaRef,IF($V63="Sub",N($X63),N($M63))&lt;1),"Vencida"&amp;" · ","")&amp;IF(AND(ObsObligatoria="Sí",ISNUMBER($AN63),$AN63&lt;FechaRef,IF($V63="Sub",N($X63),N($M63))&lt;1,$Q63=""),"Vencida sin observación"&amp;" · ",""))-3)))</f>
        <v/>
      </c>
      <c r="S63" s="64">
        <f>IF(NOT((COUNTA($B63:$D63)+COUNTA($G63:$L63)+COUNTA($Q63))&gt;0),"",IF(AND($V63="Sub",N($U63)&gt;0),IF(ISNUMBER(INDEX($AM$5:$AM$1000,$U63-4)),DATE(YEAR(INDEX($AM$5:$AM$1000,$U63-4)),MONTH(INDEX($AM$5:$AM$1000,$U63-4)),1),IF(ISNUMBER(INDEX($AN$5:$AN$1000,$U63-4)),DATE(YEAR(INDEX($AN$5:$AN$1000,$U63-4)),MONTH(INDEX($AN$5:$AN$1000,$U63-4)),1),MesCiclo)),IF(ISNUMBER($AM63),DATE(YEAR($AM63),MONTH($AM63),1),IF(ISNUMBER($AN63),DATE(YEAR($AN63),MONTH($AN63),1),MesCiclo))))</f>
        <v/>
      </c>
      <c r="T63" s="62">
        <f>IF(OR($S63="",$S63&lt;&gt;MesCiclo,$V63&lt;&gt;"Macro"),"",COUNTIFS($S$5:$S63,MesCiclo,$V$5:$V63,"Macro"))</f>
        <v/>
      </c>
      <c r="U63" s="62">
        <f>IF($V63="","",IF($V63="Macro",ROW(),IFERROR(LOOKUP(2,1/($V$5:$V63="Macro"),ROW($V$5:$V63)),0)))</f>
        <v/>
      </c>
      <c r="V63" s="62">
        <f>IF(NOT((COUNTA($B63:$D63)+COUNTA($G63:$L63)+COUNTA($Q63))&gt;0),"",IF($B63="Subactividad","Sub","Macro"))</f>
        <v/>
      </c>
      <c r="W63" s="62">
        <f>IF($V63="Macro",COUNTIFS($U$5:$U$1000,ROW(),$V$5:$V$1000,"Sub"),"")</f>
        <v/>
      </c>
      <c r="X63" s="62">
        <f>IF($V63="","",IF(ISNUMBER($G63),1,IFERROR(LOOKUP(2,1/($I63:$L63&lt;&gt;""),$I63:$L63),0)))</f>
        <v/>
      </c>
      <c r="Y63" s="62">
        <f>IF($V63="","",IF(AND(ISNUMBER($G63),$G63&lt;=IF($S63=MesCiclo,InicioCiclo,$S63+MOD(2-WEEKDAY($S63),7))+6),1,IF(ISNUMBER($I63),$I63,0)))</f>
        <v/>
      </c>
      <c r="Z63" s="62">
        <f>IF($V63="","",IF(AND(ISNUMBER($G63),$G63&lt;=IF($S63=MesCiclo,InicioCiclo,$S63+MOD(2-WEEKDAY($S63),7))+13),1,IF(ISNUMBER($J63),$J63,$Y63)))</f>
        <v/>
      </c>
      <c r="AA63" s="62">
        <f>IF($V63="","",IF(AND(ISNUMBER($G63),$G63&lt;=IF($S63=MesCiclo,InicioCiclo,$S63+MOD(2-WEEKDAY($S63),7))+20),1,IF(ISNUMBER($K63),$K63,$Z63)))</f>
        <v/>
      </c>
      <c r="AB63" s="62">
        <f>IF($V63="","",IF(AND(ISNUMBER($G63),$G63&lt;=IF($S63=MesCiclo,InicioCiclo,$S63+MOD(2-WEEKDAY($S63),7))+27),1,IF(ISNUMBER($L63),$L63,$AA63)))</f>
        <v/>
      </c>
      <c r="AC63" s="62">
        <f>IF($V63="","",IF(AND(ISNUMBER($G63),$G63&lt;=IF($S63=MesCiclo,InicioCiclo,$S63+MOD(2-WEEKDAY($S63),7))+6),1,IF(N($W63)&gt;0,AVERAGEIFS($Y$5:$Y$1000,$U$5:$U$1000,ROW(),$V$5:$V$1000,"Sub"),$Y63)))</f>
        <v/>
      </c>
      <c r="AD63" s="62">
        <f>IF($V63="","",IF(AND(ISNUMBER($G63),$G63&lt;=IF($S63=MesCiclo,InicioCiclo,$S63+MOD(2-WEEKDAY($S63),7))+13),1,IF(N($W63)&gt;0,AVERAGEIFS($Z$5:$Z$1000,$U$5:$U$1000,ROW(),$V$5:$V$1000,"Sub"),$Z63)))</f>
        <v/>
      </c>
      <c r="AE63" s="62">
        <f>IF($V63="","",IF(AND(ISNUMBER($G63),$G63&lt;=IF($S63=MesCiclo,InicioCiclo,$S63+MOD(2-WEEKDAY($S63),7))+20),1,IF(N($W63)&gt;0,AVERAGEIFS($AA$5:$AA$1000,$U$5:$U$1000,ROW(),$V$5:$V$1000,"Sub"),$AA63)))</f>
        <v/>
      </c>
      <c r="AF63" s="62">
        <f>IF($V63="","",IF(AND(ISNUMBER($G63),$G63&lt;=IF($S63=MesCiclo,InicioCiclo,$S63+MOD(2-WEEKDAY($S63),7))+27),1,IF(N($W63)&gt;0,AVERAGEIFS($AB$5:$AB$1000,$U$5:$U$1000,ROW(),$V$5:$V$1000,"Sub"),$AB63)))</f>
        <v/>
      </c>
      <c r="AG63" s="62">
        <f>IF($V63&lt;&gt;"Macro","",IF(COUNTIFS($S$5:$S$1000,$S63,$V$5:$V$1000,"Macro",$H$5:$H$1000,"&gt;0")=0,1/COUNTIFS($S$5:$S$1000,$S63,$V$5:$V$1000,"Macro"),IF(AND(ISNUMBER($H63),N($H63)&gt;0),$H63,SUMIFS($H$5:$H$1000,$S$5:$S$1000,$S63,$V$5:$V$1000,"Macro")/COUNTIFS($S$5:$S$1000,$S63,$V$5:$V$1000,"Macro",$H$5:$H$1000,"&gt;0"))/(COUNTIFS($S$5:$S$1000,$S63,$V$5:$V$1000,"Macro")*SUMIFS($H$5:$H$1000,$S$5:$S$1000,$S63,$V$5:$V$1000,"Macro")/COUNTIFS($S$5:$S$1000,$S63,$V$5:$V$1000,"Macro",$H$5:$H$1000,"&gt;0"))))</f>
        <v/>
      </c>
      <c r="AH63" s="62" t="n"/>
      <c r="AI63" s="62" t="n"/>
      <c r="AJ63" s="62" t="n"/>
      <c r="AK63" s="62" t="n"/>
      <c r="AL63" s="62">
        <f>IF(LEFT($C63,11)="[Jefatura] ",IFERROR(MATCH("Riesgo Normativo|"&amp;MID($C63,12,500),rDname_ADM,0),0),"")</f>
        <v/>
      </c>
      <c r="AM63" s="62">
        <f>IF(N($AL63)&gt;0,INDEX(rIni_ADM,$AL63),IF(ISNUMBER($E63),$E63,""))</f>
        <v/>
      </c>
      <c r="AN63" s="62">
        <f>IF(N($AL63)&gt;0,INDEX(rLim_ADM,$AL63),IF(ISNUMBER($F63),$F63,""))</f>
        <v/>
      </c>
    </row>
    <row r="64">
      <c r="A64" s="56">
        <f>IF(NOT((COUNTA($B64:$D64)+COUNTA($G64:$L64)+COUNTA($Q64))&gt;0),"",IF($V64="Macro",COUNTIFS($V$5:$V64,"Macro",$S$5:$S64,$S64),IF(N($U64)=0,"?",COUNTIFS(INDEX($V$5:$V$1000,1):INDEX($V$5:$V$1000,$U64-4),"Macro",INDEX($S$5:$S$1000,1):INDEX($S$5:$S$1000,$U64-4),INDEX($S$5:$S$1000,$U64-4))&amp;"."&amp;COUNTIFS($U$5:$U64,$U64,$V$5:$V64,"Sub"))))</f>
        <v/>
      </c>
      <c r="B64" s="57" t="n"/>
      <c r="C64" s="58" t="n"/>
      <c r="D64" s="58" t="n"/>
      <c r="E64" s="59">
        <f>IF(N($AL64)&gt;0,INDEX(rIni_ADM,$AL64),"")</f>
        <v/>
      </c>
      <c r="F64" s="59">
        <f>IF(N($AL64)&gt;0,INDEX(rLim_ADM,$AL64),"")</f>
        <v/>
      </c>
      <c r="G64" s="59" t="n"/>
      <c r="H64" s="60" t="n"/>
      <c r="I64" s="60" t="n"/>
      <c r="J64" s="60" t="n"/>
      <c r="K64" s="60" t="n"/>
      <c r="L64" s="60" t="n"/>
      <c r="M64" s="61">
        <f>IF(NOT((COUNTA($B64:$D64)+COUNTA($G64:$L64)+COUNTA($Q64))&gt;0),"",IF($V64="Sub",IFERROR($X64/INDEX($W$5:$W$1000,$U64-4),""),IF(ISNUMBER($G64),1,IF(N($W64)&gt;0,AVERAGEIFS($X$5:$X$1000,$U$5:$U$1000,ROW(),$V$5:$V$1000,"Sub"),$X64))))</f>
        <v/>
      </c>
      <c r="N64" s="56">
        <f>IF(OR($M64="",$V64="Sub"),"",IF($M64&gt;=1,"Completado",IF($M64&gt;0,"En curso","Pendiente")))</f>
        <v/>
      </c>
      <c r="O64" s="56">
        <f>IF(OR(NOT((COUNTA($B64:$D64)+COUNTA($G64:$L64)+COUNTA($Q64))&gt;0),$V64="Sub"),"",IF(ISNUMBER($G64),IF(AND(ISNUMBER($AN64),$G64&gt;$AN64),"Cumplida con "&amp;($G64-$AN64)&amp;IF($G64-$AN64=1," día"," días")&amp;" de retraso","Cumplida"),IF(N($M64)&gt;=1,"Cumplida",IF(NOT(ISNUMBER($AN64)),"Sin fecha límite",IF($AN64&lt;FechaRef,"Vencida hace "&amp;(FechaRef-$AN64)&amp;IF(FechaRef-$AN64=1," día"," días"),IF($AN64=FechaRef,"Vence hoy",IF($AN64-FechaRef&lt;=DiasAlerta,"Vence en "&amp;($AN64-FechaRef)&amp;IF($AN64-FechaRef=1," día"," días"),"En plazo")))))))</f>
        <v/>
      </c>
      <c r="P64" s="62" t="n"/>
      <c r="Q64" s="58" t="n"/>
      <c r="R64" s="63">
        <f>IF(NOT((COUNTA($B64:$D64)+COUNTA($G64:$L64)+COUNTA($Q64))&gt;0),"",IF((IF($C64="","Falta el nombre de la actividad"&amp;" · ","")&amp;IF(AND($V64="Sub",N($U64)=0),"Subactividad sin macroactividad arriba"&amp;" · ","")&amp;IF($AM64="","Sin fecha de inicio"&amp;" · ","")&amp;IF($AN64="","Sin fecha límite"&amp;" · ","")&amp;IF(AND(LEFT($C64,11)="[Jefatura] ",N($AL64)=0),"No se encuentra en la hoja de la jefatura (elíjala de nuevo en la lista)"&amp;" · ","")&amp;IF(OR(AND($E64&lt;&gt;"",NOT(ISNUMBER($E64))),AND($F64&lt;&gt;"",NOT(ISNUMBER($F64))),AND($G64&lt;&gt;"",NOT(ISNUMBER($G64)))),"Fecha no válida"&amp;" · ","")&amp;IF(AND(ISNUMBER($AM64),ISNUMBER($AN64),$AM64&gt;$AN64),"Inicio posterior a fecha límite"&amp;" · ","")&amp;IF(AND($V64="Macro",$H64&lt;&gt;"",OR(NOT(ISNUMBER($H64)),$H64&lt;0,$H64&gt;1)),"Peso fuera de rango"&amp;" · ","")&amp;IF(AND($V64="Sub",$H64&lt;&gt;""),"Las subactividades no llevan peso (valen igual dentro de su macroactividad)"&amp;" · ","")&amp;IF(AND(N($W64)&gt;0,COUNT($I64:$L64)&gt;0),"Con subactividades: deje vacías las semanas (se calculan solas)"&amp;" · ","")&amp;IF((COUNTIF($I64:$L64,"&gt;1")+COUNTIF($I64:$L64,"&lt;0")+COUNTA($I64:$L64)-COUNT($I64:$L64))&gt;0,"Avance fuera de rango 0-100%"&amp;" · ","")&amp;IF(OR(AND($J64&lt;&gt;"",$J64&lt;$I64),AND($K64&lt;&gt;"",$K64&lt;MAX($I64:$J64)),AND($L64&lt;&gt;"",$L64&lt;MAX($I64:$K64))),"Avance semanal decreciente"&amp;" · ","")&amp;IF(AND(ISNUMBER($AN64),$AN64&lt;FechaRef,IF($V64="Sub",N($X64),N($M64))&lt;1),"Vencida"&amp;" · ","")&amp;IF(AND(ObsObligatoria="Sí",ISNUMBER($AN64),$AN64&lt;FechaRef,IF($V64="Sub",N($X64),N($M64))&lt;1,$Q64=""),"Vencida sin observación"&amp;" · ",""))="","✔ OK","⚠ "&amp;LEFT(IF($C64="","Falta el nombre de la actividad"&amp;" · ","")&amp;IF(AND($V64="Sub",N($U64)=0),"Subactividad sin macroactividad arriba"&amp;" · ","")&amp;IF($AM64="","Sin fecha de inicio"&amp;" · ","")&amp;IF($AN64="","Sin fecha límite"&amp;" · ","")&amp;IF(AND(LEFT($C64,11)="[Jefatura] ",N($AL64)=0),"No se encuentra en la hoja de la jefatura (elíjala de nuevo en la lista)"&amp;" · ","")&amp;IF(OR(AND($E64&lt;&gt;"",NOT(ISNUMBER($E64))),AND($F64&lt;&gt;"",NOT(ISNUMBER($F64))),AND($G64&lt;&gt;"",NOT(ISNUMBER($G64)))),"Fecha no válida"&amp;" · ","")&amp;IF(AND(ISNUMBER($AM64),ISNUMBER($AN64),$AM64&gt;$AN64),"Inicio posterior a fecha límite"&amp;" · ","")&amp;IF(AND($V64="Macro",$H64&lt;&gt;"",OR(NOT(ISNUMBER($H64)),$H64&lt;0,$H64&gt;1)),"Peso fuera de rango"&amp;" · ","")&amp;IF(AND($V64="Sub",$H64&lt;&gt;""),"Las subactividades no llevan peso (valen igual dentro de su macroactividad)"&amp;" · ","")&amp;IF(AND(N($W64)&gt;0,COUNT($I64:$L64)&gt;0),"Con subactividades: deje vacías las semanas (se calculan solas)"&amp;" · ","")&amp;IF((COUNTIF($I64:$L64,"&gt;1")+COUNTIF($I64:$L64,"&lt;0")+COUNTA($I64:$L64)-COUNT($I64:$L64))&gt;0,"Avance fuera de rango 0-100%"&amp;" · ","")&amp;IF(OR(AND($J64&lt;&gt;"",$J64&lt;$I64),AND($K64&lt;&gt;"",$K64&lt;MAX($I64:$J64)),AND($L64&lt;&gt;"",$L64&lt;MAX($I64:$K64))),"Avance semanal decreciente"&amp;" · ","")&amp;IF(AND(ISNUMBER($AN64),$AN64&lt;FechaRef,IF($V64="Sub",N($X64),N($M64))&lt;1),"Vencida"&amp;" · ","")&amp;IF(AND(ObsObligatoria="Sí",ISNUMBER($AN64),$AN64&lt;FechaRef,IF($V64="Sub",N($X64),N($M64))&lt;1,$Q64=""),"Vencida sin observación"&amp;" · ",""),LEN(IF($C64="","Falta el nombre de la actividad"&amp;" · ","")&amp;IF(AND($V64="Sub",N($U64)=0),"Subactividad sin macroactividad arriba"&amp;" · ","")&amp;IF($AM64="","Sin fecha de inicio"&amp;" · ","")&amp;IF($AN64="","Sin fecha límite"&amp;" · ","")&amp;IF(AND(LEFT($C64,11)="[Jefatura] ",N($AL64)=0),"No se encuentra en la hoja de la jefatura (elíjala de nuevo en la lista)"&amp;" · ","")&amp;IF(OR(AND($E64&lt;&gt;"",NOT(ISNUMBER($E64))),AND($F64&lt;&gt;"",NOT(ISNUMBER($F64))),AND($G64&lt;&gt;"",NOT(ISNUMBER($G64)))),"Fecha no válida"&amp;" · ","")&amp;IF(AND(ISNUMBER($AM64),ISNUMBER($AN64),$AM64&gt;$AN64),"Inicio posterior a fecha límite"&amp;" · ","")&amp;IF(AND($V64="Macro",$H64&lt;&gt;"",OR(NOT(ISNUMBER($H64)),$H64&lt;0,$H64&gt;1)),"Peso fuera de rango"&amp;" · ","")&amp;IF(AND($V64="Sub",$H64&lt;&gt;""),"Las subactividades no llevan peso (valen igual dentro de su macroactividad)"&amp;" · ","")&amp;IF(AND(N($W64)&gt;0,COUNT($I64:$L64)&gt;0),"Con subactividades: deje vacías las semanas (se calculan solas)"&amp;" · ","")&amp;IF((COUNTIF($I64:$L64,"&gt;1")+COUNTIF($I64:$L64,"&lt;0")+COUNTA($I64:$L64)-COUNT($I64:$L64))&gt;0,"Avance fuera de rango 0-100%"&amp;" · ","")&amp;IF(OR(AND($J64&lt;&gt;"",$J64&lt;$I64),AND($K64&lt;&gt;"",$K64&lt;MAX($I64:$J64)),AND($L64&lt;&gt;"",$L64&lt;MAX($I64:$K64))),"Avance semanal decreciente"&amp;" · ","")&amp;IF(AND(ISNUMBER($AN64),$AN64&lt;FechaRef,IF($V64="Sub",N($X64),N($M64))&lt;1),"Vencida"&amp;" · ","")&amp;IF(AND(ObsObligatoria="Sí",ISNUMBER($AN64),$AN64&lt;FechaRef,IF($V64="Sub",N($X64),N($M64))&lt;1,$Q64=""),"Vencida sin observación"&amp;" · ",""))-3)))</f>
        <v/>
      </c>
      <c r="S64" s="64">
        <f>IF(NOT((COUNTA($B64:$D64)+COUNTA($G64:$L64)+COUNTA($Q64))&gt;0),"",IF(AND($V64="Sub",N($U64)&gt;0),IF(ISNUMBER(INDEX($AM$5:$AM$1000,$U64-4)),DATE(YEAR(INDEX($AM$5:$AM$1000,$U64-4)),MONTH(INDEX($AM$5:$AM$1000,$U64-4)),1),IF(ISNUMBER(INDEX($AN$5:$AN$1000,$U64-4)),DATE(YEAR(INDEX($AN$5:$AN$1000,$U64-4)),MONTH(INDEX($AN$5:$AN$1000,$U64-4)),1),MesCiclo)),IF(ISNUMBER($AM64),DATE(YEAR($AM64),MONTH($AM64),1),IF(ISNUMBER($AN64),DATE(YEAR($AN64),MONTH($AN64),1),MesCiclo))))</f>
        <v/>
      </c>
      <c r="T64" s="62">
        <f>IF(OR($S64="",$S64&lt;&gt;MesCiclo,$V64&lt;&gt;"Macro"),"",COUNTIFS($S$5:$S64,MesCiclo,$V$5:$V64,"Macro"))</f>
        <v/>
      </c>
      <c r="U64" s="62">
        <f>IF($V64="","",IF($V64="Macro",ROW(),IFERROR(LOOKUP(2,1/($V$5:$V64="Macro"),ROW($V$5:$V64)),0)))</f>
        <v/>
      </c>
      <c r="V64" s="62">
        <f>IF(NOT((COUNTA($B64:$D64)+COUNTA($G64:$L64)+COUNTA($Q64))&gt;0),"",IF($B64="Subactividad","Sub","Macro"))</f>
        <v/>
      </c>
      <c r="W64" s="62">
        <f>IF($V64="Macro",COUNTIFS($U$5:$U$1000,ROW(),$V$5:$V$1000,"Sub"),"")</f>
        <v/>
      </c>
      <c r="X64" s="62">
        <f>IF($V64="","",IF(ISNUMBER($G64),1,IFERROR(LOOKUP(2,1/($I64:$L64&lt;&gt;""),$I64:$L64),0)))</f>
        <v/>
      </c>
      <c r="Y64" s="62">
        <f>IF($V64="","",IF(AND(ISNUMBER($G64),$G64&lt;=IF($S64=MesCiclo,InicioCiclo,$S64+MOD(2-WEEKDAY($S64),7))+6),1,IF(ISNUMBER($I64),$I64,0)))</f>
        <v/>
      </c>
      <c r="Z64" s="62">
        <f>IF($V64="","",IF(AND(ISNUMBER($G64),$G64&lt;=IF($S64=MesCiclo,InicioCiclo,$S64+MOD(2-WEEKDAY($S64),7))+13),1,IF(ISNUMBER($J64),$J64,$Y64)))</f>
        <v/>
      </c>
      <c r="AA64" s="62">
        <f>IF($V64="","",IF(AND(ISNUMBER($G64),$G64&lt;=IF($S64=MesCiclo,InicioCiclo,$S64+MOD(2-WEEKDAY($S64),7))+20),1,IF(ISNUMBER($K64),$K64,$Z64)))</f>
        <v/>
      </c>
      <c r="AB64" s="62">
        <f>IF($V64="","",IF(AND(ISNUMBER($G64),$G64&lt;=IF($S64=MesCiclo,InicioCiclo,$S64+MOD(2-WEEKDAY($S64),7))+27),1,IF(ISNUMBER($L64),$L64,$AA64)))</f>
        <v/>
      </c>
      <c r="AC64" s="62">
        <f>IF($V64="","",IF(AND(ISNUMBER($G64),$G64&lt;=IF($S64=MesCiclo,InicioCiclo,$S64+MOD(2-WEEKDAY($S64),7))+6),1,IF(N($W64)&gt;0,AVERAGEIFS($Y$5:$Y$1000,$U$5:$U$1000,ROW(),$V$5:$V$1000,"Sub"),$Y64)))</f>
        <v/>
      </c>
      <c r="AD64" s="62">
        <f>IF($V64="","",IF(AND(ISNUMBER($G64),$G64&lt;=IF($S64=MesCiclo,InicioCiclo,$S64+MOD(2-WEEKDAY($S64),7))+13),1,IF(N($W64)&gt;0,AVERAGEIFS($Z$5:$Z$1000,$U$5:$U$1000,ROW(),$V$5:$V$1000,"Sub"),$Z64)))</f>
        <v/>
      </c>
      <c r="AE64" s="62">
        <f>IF($V64="","",IF(AND(ISNUMBER($G64),$G64&lt;=IF($S64=MesCiclo,InicioCiclo,$S64+MOD(2-WEEKDAY($S64),7))+20),1,IF(N($W64)&gt;0,AVERAGEIFS($AA$5:$AA$1000,$U$5:$U$1000,ROW(),$V$5:$V$1000,"Sub"),$AA64)))</f>
        <v/>
      </c>
      <c r="AF64" s="62">
        <f>IF($V64="","",IF(AND(ISNUMBER($G64),$G64&lt;=IF($S64=MesCiclo,InicioCiclo,$S64+MOD(2-WEEKDAY($S64),7))+27),1,IF(N($W64)&gt;0,AVERAGEIFS($AB$5:$AB$1000,$U$5:$U$1000,ROW(),$V$5:$V$1000,"Sub"),$AB64)))</f>
        <v/>
      </c>
      <c r="AG64" s="62">
        <f>IF($V64&lt;&gt;"Macro","",IF(COUNTIFS($S$5:$S$1000,$S64,$V$5:$V$1000,"Macro",$H$5:$H$1000,"&gt;0")=0,1/COUNTIFS($S$5:$S$1000,$S64,$V$5:$V$1000,"Macro"),IF(AND(ISNUMBER($H64),N($H64)&gt;0),$H64,SUMIFS($H$5:$H$1000,$S$5:$S$1000,$S64,$V$5:$V$1000,"Macro")/COUNTIFS($S$5:$S$1000,$S64,$V$5:$V$1000,"Macro",$H$5:$H$1000,"&gt;0"))/(COUNTIFS($S$5:$S$1000,$S64,$V$5:$V$1000,"Macro")*SUMIFS($H$5:$H$1000,$S$5:$S$1000,$S64,$V$5:$V$1000,"Macro")/COUNTIFS($S$5:$S$1000,$S64,$V$5:$V$1000,"Macro",$H$5:$H$1000,"&gt;0"))))</f>
        <v/>
      </c>
      <c r="AH64" s="62" t="n"/>
      <c r="AI64" s="62" t="n"/>
      <c r="AJ64" s="62" t="n"/>
      <c r="AK64" s="62" t="n"/>
      <c r="AL64" s="62">
        <f>IF(LEFT($C64,11)="[Jefatura] ",IFERROR(MATCH("Riesgo Normativo|"&amp;MID($C64,12,500),rDname_ADM,0),0),"")</f>
        <v/>
      </c>
      <c r="AM64" s="62">
        <f>IF(N($AL64)&gt;0,INDEX(rIni_ADM,$AL64),IF(ISNUMBER($E64),$E64,""))</f>
        <v/>
      </c>
      <c r="AN64" s="62">
        <f>IF(N($AL64)&gt;0,INDEX(rLim_ADM,$AL64),IF(ISNUMBER($F64),$F64,""))</f>
        <v/>
      </c>
    </row>
    <row r="65">
      <c r="A65" s="56">
        <f>IF(NOT((COUNTA($B65:$D65)+COUNTA($G65:$L65)+COUNTA($Q65))&gt;0),"",IF($V65="Macro",COUNTIFS($V$5:$V65,"Macro",$S$5:$S65,$S65),IF(N($U65)=0,"?",COUNTIFS(INDEX($V$5:$V$1000,1):INDEX($V$5:$V$1000,$U65-4),"Macro",INDEX($S$5:$S$1000,1):INDEX($S$5:$S$1000,$U65-4),INDEX($S$5:$S$1000,$U65-4))&amp;"."&amp;COUNTIFS($U$5:$U65,$U65,$V$5:$V65,"Sub"))))</f>
        <v/>
      </c>
      <c r="B65" s="57" t="n"/>
      <c r="C65" s="58" t="n"/>
      <c r="D65" s="58" t="n"/>
      <c r="E65" s="59">
        <f>IF(N($AL65)&gt;0,INDEX(rIni_ADM,$AL65),"")</f>
        <v/>
      </c>
      <c r="F65" s="59">
        <f>IF(N($AL65)&gt;0,INDEX(rLim_ADM,$AL65),"")</f>
        <v/>
      </c>
      <c r="G65" s="59" t="n"/>
      <c r="H65" s="60" t="n"/>
      <c r="I65" s="60" t="n"/>
      <c r="J65" s="60" t="n"/>
      <c r="K65" s="60" t="n"/>
      <c r="L65" s="60" t="n"/>
      <c r="M65" s="61">
        <f>IF(NOT((COUNTA($B65:$D65)+COUNTA($G65:$L65)+COUNTA($Q65))&gt;0),"",IF($V65="Sub",IFERROR($X65/INDEX($W$5:$W$1000,$U65-4),""),IF(ISNUMBER($G65),1,IF(N($W65)&gt;0,AVERAGEIFS($X$5:$X$1000,$U$5:$U$1000,ROW(),$V$5:$V$1000,"Sub"),$X65))))</f>
        <v/>
      </c>
      <c r="N65" s="56">
        <f>IF(OR($M65="",$V65="Sub"),"",IF($M65&gt;=1,"Completado",IF($M65&gt;0,"En curso","Pendiente")))</f>
        <v/>
      </c>
      <c r="O65" s="56">
        <f>IF(OR(NOT((COUNTA($B65:$D65)+COUNTA($G65:$L65)+COUNTA($Q65))&gt;0),$V65="Sub"),"",IF(ISNUMBER($G65),IF(AND(ISNUMBER($AN65),$G65&gt;$AN65),"Cumplida con "&amp;($G65-$AN65)&amp;IF($G65-$AN65=1," día"," días")&amp;" de retraso","Cumplida"),IF(N($M65)&gt;=1,"Cumplida",IF(NOT(ISNUMBER($AN65)),"Sin fecha límite",IF($AN65&lt;FechaRef,"Vencida hace "&amp;(FechaRef-$AN65)&amp;IF(FechaRef-$AN65=1," día"," días"),IF($AN65=FechaRef,"Vence hoy",IF($AN65-FechaRef&lt;=DiasAlerta,"Vence en "&amp;($AN65-FechaRef)&amp;IF($AN65-FechaRef=1," día"," días"),"En plazo")))))))</f>
        <v/>
      </c>
      <c r="P65" s="62" t="n"/>
      <c r="Q65" s="58" t="n"/>
      <c r="R65" s="63">
        <f>IF(NOT((COUNTA($B65:$D65)+COUNTA($G65:$L65)+COUNTA($Q65))&gt;0),"",IF((IF($C65="","Falta el nombre de la actividad"&amp;" · ","")&amp;IF(AND($V65="Sub",N($U65)=0),"Subactividad sin macroactividad arriba"&amp;" · ","")&amp;IF($AM65="","Sin fecha de inicio"&amp;" · ","")&amp;IF($AN65="","Sin fecha límite"&amp;" · ","")&amp;IF(AND(LEFT($C65,11)="[Jefatura] ",N($AL65)=0),"No se encuentra en la hoja de la jefatura (elíjala de nuevo en la lista)"&amp;" · ","")&amp;IF(OR(AND($E65&lt;&gt;"",NOT(ISNUMBER($E65))),AND($F65&lt;&gt;"",NOT(ISNUMBER($F65))),AND($G65&lt;&gt;"",NOT(ISNUMBER($G65)))),"Fecha no válida"&amp;" · ","")&amp;IF(AND(ISNUMBER($AM65),ISNUMBER($AN65),$AM65&gt;$AN65),"Inicio posterior a fecha límite"&amp;" · ","")&amp;IF(AND($V65="Macro",$H65&lt;&gt;"",OR(NOT(ISNUMBER($H65)),$H65&lt;0,$H65&gt;1)),"Peso fuera de rango"&amp;" · ","")&amp;IF(AND($V65="Sub",$H65&lt;&gt;""),"Las subactividades no llevan peso (valen igual dentro de su macroactividad)"&amp;" · ","")&amp;IF(AND(N($W65)&gt;0,COUNT($I65:$L65)&gt;0),"Con subactividades: deje vacías las semanas (se calculan solas)"&amp;" · ","")&amp;IF((COUNTIF($I65:$L65,"&gt;1")+COUNTIF($I65:$L65,"&lt;0")+COUNTA($I65:$L65)-COUNT($I65:$L65))&gt;0,"Avance fuera de rango 0-100%"&amp;" · ","")&amp;IF(OR(AND($J65&lt;&gt;"",$J65&lt;$I65),AND($K65&lt;&gt;"",$K65&lt;MAX($I65:$J65)),AND($L65&lt;&gt;"",$L65&lt;MAX($I65:$K65))),"Avance semanal decreciente"&amp;" · ","")&amp;IF(AND(ISNUMBER($AN65),$AN65&lt;FechaRef,IF($V65="Sub",N($X65),N($M65))&lt;1),"Vencida"&amp;" · ","")&amp;IF(AND(ObsObligatoria="Sí",ISNUMBER($AN65),$AN65&lt;FechaRef,IF($V65="Sub",N($X65),N($M65))&lt;1,$Q65=""),"Vencida sin observación"&amp;" · ",""))="","✔ OK","⚠ "&amp;LEFT(IF($C65="","Falta el nombre de la actividad"&amp;" · ","")&amp;IF(AND($V65="Sub",N($U65)=0),"Subactividad sin macroactividad arriba"&amp;" · ","")&amp;IF($AM65="","Sin fecha de inicio"&amp;" · ","")&amp;IF($AN65="","Sin fecha límite"&amp;" · ","")&amp;IF(AND(LEFT($C65,11)="[Jefatura] ",N($AL65)=0),"No se encuentra en la hoja de la jefatura (elíjala de nuevo en la lista)"&amp;" · ","")&amp;IF(OR(AND($E65&lt;&gt;"",NOT(ISNUMBER($E65))),AND($F65&lt;&gt;"",NOT(ISNUMBER($F65))),AND($G65&lt;&gt;"",NOT(ISNUMBER($G65)))),"Fecha no válida"&amp;" · ","")&amp;IF(AND(ISNUMBER($AM65),ISNUMBER($AN65),$AM65&gt;$AN65),"Inicio posterior a fecha límite"&amp;" · ","")&amp;IF(AND($V65="Macro",$H65&lt;&gt;"",OR(NOT(ISNUMBER($H65)),$H65&lt;0,$H65&gt;1)),"Peso fuera de rango"&amp;" · ","")&amp;IF(AND($V65="Sub",$H65&lt;&gt;""),"Las subactividades no llevan peso (valen igual dentro de su macroactividad)"&amp;" · ","")&amp;IF(AND(N($W65)&gt;0,COUNT($I65:$L65)&gt;0),"Con subactividades: deje vacías las semanas (se calculan solas)"&amp;" · ","")&amp;IF((COUNTIF($I65:$L65,"&gt;1")+COUNTIF($I65:$L65,"&lt;0")+COUNTA($I65:$L65)-COUNT($I65:$L65))&gt;0,"Avance fuera de rango 0-100%"&amp;" · ","")&amp;IF(OR(AND($J65&lt;&gt;"",$J65&lt;$I65),AND($K65&lt;&gt;"",$K65&lt;MAX($I65:$J65)),AND($L65&lt;&gt;"",$L65&lt;MAX($I65:$K65))),"Avance semanal decreciente"&amp;" · ","")&amp;IF(AND(ISNUMBER($AN65),$AN65&lt;FechaRef,IF($V65="Sub",N($X65),N($M65))&lt;1),"Vencida"&amp;" · ","")&amp;IF(AND(ObsObligatoria="Sí",ISNUMBER($AN65),$AN65&lt;FechaRef,IF($V65="Sub",N($X65),N($M65))&lt;1,$Q65=""),"Vencida sin observación"&amp;" · ",""),LEN(IF($C65="","Falta el nombre de la actividad"&amp;" · ","")&amp;IF(AND($V65="Sub",N($U65)=0),"Subactividad sin macroactividad arriba"&amp;" · ","")&amp;IF($AM65="","Sin fecha de inicio"&amp;" · ","")&amp;IF($AN65="","Sin fecha límite"&amp;" · ","")&amp;IF(AND(LEFT($C65,11)="[Jefatura] ",N($AL65)=0),"No se encuentra en la hoja de la jefatura (elíjala de nuevo en la lista)"&amp;" · ","")&amp;IF(OR(AND($E65&lt;&gt;"",NOT(ISNUMBER($E65))),AND($F65&lt;&gt;"",NOT(ISNUMBER($F65))),AND($G65&lt;&gt;"",NOT(ISNUMBER($G65)))),"Fecha no válida"&amp;" · ","")&amp;IF(AND(ISNUMBER($AM65),ISNUMBER($AN65),$AM65&gt;$AN65),"Inicio posterior a fecha límite"&amp;" · ","")&amp;IF(AND($V65="Macro",$H65&lt;&gt;"",OR(NOT(ISNUMBER($H65)),$H65&lt;0,$H65&gt;1)),"Peso fuera de rango"&amp;" · ","")&amp;IF(AND($V65="Sub",$H65&lt;&gt;""),"Las subactividades no llevan peso (valen igual dentro de su macroactividad)"&amp;" · ","")&amp;IF(AND(N($W65)&gt;0,COUNT($I65:$L65)&gt;0),"Con subactividades: deje vacías las semanas (se calculan solas)"&amp;" · ","")&amp;IF((COUNTIF($I65:$L65,"&gt;1")+COUNTIF($I65:$L65,"&lt;0")+COUNTA($I65:$L65)-COUNT($I65:$L65))&gt;0,"Avance fuera de rango 0-100%"&amp;" · ","")&amp;IF(OR(AND($J65&lt;&gt;"",$J65&lt;$I65),AND($K65&lt;&gt;"",$K65&lt;MAX($I65:$J65)),AND($L65&lt;&gt;"",$L65&lt;MAX($I65:$K65))),"Avance semanal decreciente"&amp;" · ","")&amp;IF(AND(ISNUMBER($AN65),$AN65&lt;FechaRef,IF($V65="Sub",N($X65),N($M65))&lt;1),"Vencida"&amp;" · ","")&amp;IF(AND(ObsObligatoria="Sí",ISNUMBER($AN65),$AN65&lt;FechaRef,IF($V65="Sub",N($X65),N($M65))&lt;1,$Q65=""),"Vencida sin observación"&amp;" · ",""))-3)))</f>
        <v/>
      </c>
      <c r="S65" s="64">
        <f>IF(NOT((COUNTA($B65:$D65)+COUNTA($G65:$L65)+COUNTA($Q65))&gt;0),"",IF(AND($V65="Sub",N($U65)&gt;0),IF(ISNUMBER(INDEX($AM$5:$AM$1000,$U65-4)),DATE(YEAR(INDEX($AM$5:$AM$1000,$U65-4)),MONTH(INDEX($AM$5:$AM$1000,$U65-4)),1),IF(ISNUMBER(INDEX($AN$5:$AN$1000,$U65-4)),DATE(YEAR(INDEX($AN$5:$AN$1000,$U65-4)),MONTH(INDEX($AN$5:$AN$1000,$U65-4)),1),MesCiclo)),IF(ISNUMBER($AM65),DATE(YEAR($AM65),MONTH($AM65),1),IF(ISNUMBER($AN65),DATE(YEAR($AN65),MONTH($AN65),1),MesCiclo))))</f>
        <v/>
      </c>
      <c r="T65" s="62">
        <f>IF(OR($S65="",$S65&lt;&gt;MesCiclo,$V65&lt;&gt;"Macro"),"",COUNTIFS($S$5:$S65,MesCiclo,$V$5:$V65,"Macro"))</f>
        <v/>
      </c>
      <c r="U65" s="62">
        <f>IF($V65="","",IF($V65="Macro",ROW(),IFERROR(LOOKUP(2,1/($V$5:$V65="Macro"),ROW($V$5:$V65)),0)))</f>
        <v/>
      </c>
      <c r="V65" s="62">
        <f>IF(NOT((COUNTA($B65:$D65)+COUNTA($G65:$L65)+COUNTA($Q65))&gt;0),"",IF($B65="Subactividad","Sub","Macro"))</f>
        <v/>
      </c>
      <c r="W65" s="62">
        <f>IF($V65="Macro",COUNTIFS($U$5:$U$1000,ROW(),$V$5:$V$1000,"Sub"),"")</f>
        <v/>
      </c>
      <c r="X65" s="62">
        <f>IF($V65="","",IF(ISNUMBER($G65),1,IFERROR(LOOKUP(2,1/($I65:$L65&lt;&gt;""),$I65:$L65),0)))</f>
        <v/>
      </c>
      <c r="Y65" s="62">
        <f>IF($V65="","",IF(AND(ISNUMBER($G65),$G65&lt;=IF($S65=MesCiclo,InicioCiclo,$S65+MOD(2-WEEKDAY($S65),7))+6),1,IF(ISNUMBER($I65),$I65,0)))</f>
        <v/>
      </c>
      <c r="Z65" s="62">
        <f>IF($V65="","",IF(AND(ISNUMBER($G65),$G65&lt;=IF($S65=MesCiclo,InicioCiclo,$S65+MOD(2-WEEKDAY($S65),7))+13),1,IF(ISNUMBER($J65),$J65,$Y65)))</f>
        <v/>
      </c>
      <c r="AA65" s="62">
        <f>IF($V65="","",IF(AND(ISNUMBER($G65),$G65&lt;=IF($S65=MesCiclo,InicioCiclo,$S65+MOD(2-WEEKDAY($S65),7))+20),1,IF(ISNUMBER($K65),$K65,$Z65)))</f>
        <v/>
      </c>
      <c r="AB65" s="62">
        <f>IF($V65="","",IF(AND(ISNUMBER($G65),$G65&lt;=IF($S65=MesCiclo,InicioCiclo,$S65+MOD(2-WEEKDAY($S65),7))+27),1,IF(ISNUMBER($L65),$L65,$AA65)))</f>
        <v/>
      </c>
      <c r="AC65" s="62">
        <f>IF($V65="","",IF(AND(ISNUMBER($G65),$G65&lt;=IF($S65=MesCiclo,InicioCiclo,$S65+MOD(2-WEEKDAY($S65),7))+6),1,IF(N($W65)&gt;0,AVERAGEIFS($Y$5:$Y$1000,$U$5:$U$1000,ROW(),$V$5:$V$1000,"Sub"),$Y65)))</f>
        <v/>
      </c>
      <c r="AD65" s="62">
        <f>IF($V65="","",IF(AND(ISNUMBER($G65),$G65&lt;=IF($S65=MesCiclo,InicioCiclo,$S65+MOD(2-WEEKDAY($S65),7))+13),1,IF(N($W65)&gt;0,AVERAGEIFS($Z$5:$Z$1000,$U$5:$U$1000,ROW(),$V$5:$V$1000,"Sub"),$Z65)))</f>
        <v/>
      </c>
      <c r="AE65" s="62">
        <f>IF($V65="","",IF(AND(ISNUMBER($G65),$G65&lt;=IF($S65=MesCiclo,InicioCiclo,$S65+MOD(2-WEEKDAY($S65),7))+20),1,IF(N($W65)&gt;0,AVERAGEIFS($AA$5:$AA$1000,$U$5:$U$1000,ROW(),$V$5:$V$1000,"Sub"),$AA65)))</f>
        <v/>
      </c>
      <c r="AF65" s="62">
        <f>IF($V65="","",IF(AND(ISNUMBER($G65),$G65&lt;=IF($S65=MesCiclo,InicioCiclo,$S65+MOD(2-WEEKDAY($S65),7))+27),1,IF(N($W65)&gt;0,AVERAGEIFS($AB$5:$AB$1000,$U$5:$U$1000,ROW(),$V$5:$V$1000,"Sub"),$AB65)))</f>
        <v/>
      </c>
      <c r="AG65" s="62">
        <f>IF($V65&lt;&gt;"Macro","",IF(COUNTIFS($S$5:$S$1000,$S65,$V$5:$V$1000,"Macro",$H$5:$H$1000,"&gt;0")=0,1/COUNTIFS($S$5:$S$1000,$S65,$V$5:$V$1000,"Macro"),IF(AND(ISNUMBER($H65),N($H65)&gt;0),$H65,SUMIFS($H$5:$H$1000,$S$5:$S$1000,$S65,$V$5:$V$1000,"Macro")/COUNTIFS($S$5:$S$1000,$S65,$V$5:$V$1000,"Macro",$H$5:$H$1000,"&gt;0"))/(COUNTIFS($S$5:$S$1000,$S65,$V$5:$V$1000,"Macro")*SUMIFS($H$5:$H$1000,$S$5:$S$1000,$S65,$V$5:$V$1000,"Macro")/COUNTIFS($S$5:$S$1000,$S65,$V$5:$V$1000,"Macro",$H$5:$H$1000,"&gt;0"))))</f>
        <v/>
      </c>
      <c r="AH65" s="62" t="n"/>
      <c r="AI65" s="62" t="n"/>
      <c r="AJ65" s="62" t="n"/>
      <c r="AK65" s="62" t="n"/>
      <c r="AL65" s="62">
        <f>IF(LEFT($C65,11)="[Jefatura] ",IFERROR(MATCH("Riesgo Normativo|"&amp;MID($C65,12,500),rDname_ADM,0),0),"")</f>
        <v/>
      </c>
      <c r="AM65" s="62">
        <f>IF(N($AL65)&gt;0,INDEX(rIni_ADM,$AL65),IF(ISNUMBER($E65),$E65,""))</f>
        <v/>
      </c>
      <c r="AN65" s="62">
        <f>IF(N($AL65)&gt;0,INDEX(rLim_ADM,$AL65),IF(ISNUMBER($F65),$F65,""))</f>
        <v/>
      </c>
    </row>
    <row r="66">
      <c r="A66" s="56">
        <f>IF(NOT((COUNTA($B66:$D66)+COUNTA($G66:$L66)+COUNTA($Q66))&gt;0),"",IF($V66="Macro",COUNTIFS($V$5:$V66,"Macro",$S$5:$S66,$S66),IF(N($U66)=0,"?",COUNTIFS(INDEX($V$5:$V$1000,1):INDEX($V$5:$V$1000,$U66-4),"Macro",INDEX($S$5:$S$1000,1):INDEX($S$5:$S$1000,$U66-4),INDEX($S$5:$S$1000,$U66-4))&amp;"."&amp;COUNTIFS($U$5:$U66,$U66,$V$5:$V66,"Sub"))))</f>
        <v/>
      </c>
      <c r="B66" s="57" t="n"/>
      <c r="C66" s="58" t="n"/>
      <c r="D66" s="58" t="n"/>
      <c r="E66" s="59">
        <f>IF(N($AL66)&gt;0,INDEX(rIni_ADM,$AL66),"")</f>
        <v/>
      </c>
      <c r="F66" s="59">
        <f>IF(N($AL66)&gt;0,INDEX(rLim_ADM,$AL66),"")</f>
        <v/>
      </c>
      <c r="G66" s="59" t="n"/>
      <c r="H66" s="60" t="n"/>
      <c r="I66" s="60" t="n"/>
      <c r="J66" s="60" t="n"/>
      <c r="K66" s="60" t="n"/>
      <c r="L66" s="60" t="n"/>
      <c r="M66" s="61">
        <f>IF(NOT((COUNTA($B66:$D66)+COUNTA($G66:$L66)+COUNTA($Q66))&gt;0),"",IF($V66="Sub",IFERROR($X66/INDEX($W$5:$W$1000,$U66-4),""),IF(ISNUMBER($G66),1,IF(N($W66)&gt;0,AVERAGEIFS($X$5:$X$1000,$U$5:$U$1000,ROW(),$V$5:$V$1000,"Sub"),$X66))))</f>
        <v/>
      </c>
      <c r="N66" s="56">
        <f>IF(OR($M66="",$V66="Sub"),"",IF($M66&gt;=1,"Completado",IF($M66&gt;0,"En curso","Pendiente")))</f>
        <v/>
      </c>
      <c r="O66" s="56">
        <f>IF(OR(NOT((COUNTA($B66:$D66)+COUNTA($G66:$L66)+COUNTA($Q66))&gt;0),$V66="Sub"),"",IF(ISNUMBER($G66),IF(AND(ISNUMBER($AN66),$G66&gt;$AN66),"Cumplida con "&amp;($G66-$AN66)&amp;IF($G66-$AN66=1," día"," días")&amp;" de retraso","Cumplida"),IF(N($M66)&gt;=1,"Cumplida",IF(NOT(ISNUMBER($AN66)),"Sin fecha límite",IF($AN66&lt;FechaRef,"Vencida hace "&amp;(FechaRef-$AN66)&amp;IF(FechaRef-$AN66=1," día"," días"),IF($AN66=FechaRef,"Vence hoy",IF($AN66-FechaRef&lt;=DiasAlerta,"Vence en "&amp;($AN66-FechaRef)&amp;IF($AN66-FechaRef=1," día"," días"),"En plazo")))))))</f>
        <v/>
      </c>
      <c r="P66" s="62" t="n"/>
      <c r="Q66" s="58" t="n"/>
      <c r="R66" s="63">
        <f>IF(NOT((COUNTA($B66:$D66)+COUNTA($G66:$L66)+COUNTA($Q66))&gt;0),"",IF((IF($C66="","Falta el nombre de la actividad"&amp;" · ","")&amp;IF(AND($V66="Sub",N($U66)=0),"Subactividad sin macroactividad arriba"&amp;" · ","")&amp;IF($AM66="","Sin fecha de inicio"&amp;" · ","")&amp;IF($AN66="","Sin fecha límite"&amp;" · ","")&amp;IF(AND(LEFT($C66,11)="[Jefatura] ",N($AL66)=0),"No se encuentra en la hoja de la jefatura (elíjala de nuevo en la lista)"&amp;" · ","")&amp;IF(OR(AND($E66&lt;&gt;"",NOT(ISNUMBER($E66))),AND($F66&lt;&gt;"",NOT(ISNUMBER($F66))),AND($G66&lt;&gt;"",NOT(ISNUMBER($G66)))),"Fecha no válida"&amp;" · ","")&amp;IF(AND(ISNUMBER($AM66),ISNUMBER($AN66),$AM66&gt;$AN66),"Inicio posterior a fecha límite"&amp;" · ","")&amp;IF(AND($V66="Macro",$H66&lt;&gt;"",OR(NOT(ISNUMBER($H66)),$H66&lt;0,$H66&gt;1)),"Peso fuera de rango"&amp;" · ","")&amp;IF(AND($V66="Sub",$H66&lt;&gt;""),"Las subactividades no llevan peso (valen igual dentro de su macroactividad)"&amp;" · ","")&amp;IF(AND(N($W66)&gt;0,COUNT($I66:$L66)&gt;0),"Con subactividades: deje vacías las semanas (se calculan solas)"&amp;" · ","")&amp;IF((COUNTIF($I66:$L66,"&gt;1")+COUNTIF($I66:$L66,"&lt;0")+COUNTA($I66:$L66)-COUNT($I66:$L66))&gt;0,"Avance fuera de rango 0-100%"&amp;" · ","")&amp;IF(OR(AND($J66&lt;&gt;"",$J66&lt;$I66),AND($K66&lt;&gt;"",$K66&lt;MAX($I66:$J66)),AND($L66&lt;&gt;"",$L66&lt;MAX($I66:$K66))),"Avance semanal decreciente"&amp;" · ","")&amp;IF(AND(ISNUMBER($AN66),$AN66&lt;FechaRef,IF($V66="Sub",N($X66),N($M66))&lt;1),"Vencida"&amp;" · ","")&amp;IF(AND(ObsObligatoria="Sí",ISNUMBER($AN66),$AN66&lt;FechaRef,IF($V66="Sub",N($X66),N($M66))&lt;1,$Q66=""),"Vencida sin observación"&amp;" · ",""))="","✔ OK","⚠ "&amp;LEFT(IF($C66="","Falta el nombre de la actividad"&amp;" · ","")&amp;IF(AND($V66="Sub",N($U66)=0),"Subactividad sin macroactividad arriba"&amp;" · ","")&amp;IF($AM66="","Sin fecha de inicio"&amp;" · ","")&amp;IF($AN66="","Sin fecha límite"&amp;" · ","")&amp;IF(AND(LEFT($C66,11)="[Jefatura] ",N($AL66)=0),"No se encuentra en la hoja de la jefatura (elíjala de nuevo en la lista)"&amp;" · ","")&amp;IF(OR(AND($E66&lt;&gt;"",NOT(ISNUMBER($E66))),AND($F66&lt;&gt;"",NOT(ISNUMBER($F66))),AND($G66&lt;&gt;"",NOT(ISNUMBER($G66)))),"Fecha no válida"&amp;" · ","")&amp;IF(AND(ISNUMBER($AM66),ISNUMBER($AN66),$AM66&gt;$AN66),"Inicio posterior a fecha límite"&amp;" · ","")&amp;IF(AND($V66="Macro",$H66&lt;&gt;"",OR(NOT(ISNUMBER($H66)),$H66&lt;0,$H66&gt;1)),"Peso fuera de rango"&amp;" · ","")&amp;IF(AND($V66="Sub",$H66&lt;&gt;""),"Las subactividades no llevan peso (valen igual dentro de su macroactividad)"&amp;" · ","")&amp;IF(AND(N($W66)&gt;0,COUNT($I66:$L66)&gt;0),"Con subactividades: deje vacías las semanas (se calculan solas)"&amp;" · ","")&amp;IF((COUNTIF($I66:$L66,"&gt;1")+COUNTIF($I66:$L66,"&lt;0")+COUNTA($I66:$L66)-COUNT($I66:$L66))&gt;0,"Avance fuera de rango 0-100%"&amp;" · ","")&amp;IF(OR(AND($J66&lt;&gt;"",$J66&lt;$I66),AND($K66&lt;&gt;"",$K66&lt;MAX($I66:$J66)),AND($L66&lt;&gt;"",$L66&lt;MAX($I66:$K66))),"Avance semanal decreciente"&amp;" · ","")&amp;IF(AND(ISNUMBER($AN66),$AN66&lt;FechaRef,IF($V66="Sub",N($X66),N($M66))&lt;1),"Vencida"&amp;" · ","")&amp;IF(AND(ObsObligatoria="Sí",ISNUMBER($AN66),$AN66&lt;FechaRef,IF($V66="Sub",N($X66),N($M66))&lt;1,$Q66=""),"Vencida sin observación"&amp;" · ",""),LEN(IF($C66="","Falta el nombre de la actividad"&amp;" · ","")&amp;IF(AND($V66="Sub",N($U66)=0),"Subactividad sin macroactividad arriba"&amp;" · ","")&amp;IF($AM66="","Sin fecha de inicio"&amp;" · ","")&amp;IF($AN66="","Sin fecha límite"&amp;" · ","")&amp;IF(AND(LEFT($C66,11)="[Jefatura] ",N($AL66)=0),"No se encuentra en la hoja de la jefatura (elíjala de nuevo en la lista)"&amp;" · ","")&amp;IF(OR(AND($E66&lt;&gt;"",NOT(ISNUMBER($E66))),AND($F66&lt;&gt;"",NOT(ISNUMBER($F66))),AND($G66&lt;&gt;"",NOT(ISNUMBER($G66)))),"Fecha no válida"&amp;" · ","")&amp;IF(AND(ISNUMBER($AM66),ISNUMBER($AN66),$AM66&gt;$AN66),"Inicio posterior a fecha límite"&amp;" · ","")&amp;IF(AND($V66="Macro",$H66&lt;&gt;"",OR(NOT(ISNUMBER($H66)),$H66&lt;0,$H66&gt;1)),"Peso fuera de rango"&amp;" · ","")&amp;IF(AND($V66="Sub",$H66&lt;&gt;""),"Las subactividades no llevan peso (valen igual dentro de su macroactividad)"&amp;" · ","")&amp;IF(AND(N($W66)&gt;0,COUNT($I66:$L66)&gt;0),"Con subactividades: deje vacías las semanas (se calculan solas)"&amp;" · ","")&amp;IF((COUNTIF($I66:$L66,"&gt;1")+COUNTIF($I66:$L66,"&lt;0")+COUNTA($I66:$L66)-COUNT($I66:$L66))&gt;0,"Avance fuera de rango 0-100%"&amp;" · ","")&amp;IF(OR(AND($J66&lt;&gt;"",$J66&lt;$I66),AND($K66&lt;&gt;"",$K66&lt;MAX($I66:$J66)),AND($L66&lt;&gt;"",$L66&lt;MAX($I66:$K66))),"Avance semanal decreciente"&amp;" · ","")&amp;IF(AND(ISNUMBER($AN66),$AN66&lt;FechaRef,IF($V66="Sub",N($X66),N($M66))&lt;1),"Vencida"&amp;" · ","")&amp;IF(AND(ObsObligatoria="Sí",ISNUMBER($AN66),$AN66&lt;FechaRef,IF($V66="Sub",N($X66),N($M66))&lt;1,$Q66=""),"Vencida sin observación"&amp;" · ",""))-3)))</f>
        <v/>
      </c>
      <c r="S66" s="64">
        <f>IF(NOT((COUNTA($B66:$D66)+COUNTA($G66:$L66)+COUNTA($Q66))&gt;0),"",IF(AND($V66="Sub",N($U66)&gt;0),IF(ISNUMBER(INDEX($AM$5:$AM$1000,$U66-4)),DATE(YEAR(INDEX($AM$5:$AM$1000,$U66-4)),MONTH(INDEX($AM$5:$AM$1000,$U66-4)),1),IF(ISNUMBER(INDEX($AN$5:$AN$1000,$U66-4)),DATE(YEAR(INDEX($AN$5:$AN$1000,$U66-4)),MONTH(INDEX($AN$5:$AN$1000,$U66-4)),1),MesCiclo)),IF(ISNUMBER($AM66),DATE(YEAR($AM66),MONTH($AM66),1),IF(ISNUMBER($AN66),DATE(YEAR($AN66),MONTH($AN66),1),MesCiclo))))</f>
        <v/>
      </c>
      <c r="T66" s="62">
        <f>IF(OR($S66="",$S66&lt;&gt;MesCiclo,$V66&lt;&gt;"Macro"),"",COUNTIFS($S$5:$S66,MesCiclo,$V$5:$V66,"Macro"))</f>
        <v/>
      </c>
      <c r="U66" s="62">
        <f>IF($V66="","",IF($V66="Macro",ROW(),IFERROR(LOOKUP(2,1/($V$5:$V66="Macro"),ROW($V$5:$V66)),0)))</f>
        <v/>
      </c>
      <c r="V66" s="62">
        <f>IF(NOT((COUNTA($B66:$D66)+COUNTA($G66:$L66)+COUNTA($Q66))&gt;0),"",IF($B66="Subactividad","Sub","Macro"))</f>
        <v/>
      </c>
      <c r="W66" s="62">
        <f>IF($V66="Macro",COUNTIFS($U$5:$U$1000,ROW(),$V$5:$V$1000,"Sub"),"")</f>
        <v/>
      </c>
      <c r="X66" s="62">
        <f>IF($V66="","",IF(ISNUMBER($G66),1,IFERROR(LOOKUP(2,1/($I66:$L66&lt;&gt;""),$I66:$L66),0)))</f>
        <v/>
      </c>
      <c r="Y66" s="62">
        <f>IF($V66="","",IF(AND(ISNUMBER($G66),$G66&lt;=IF($S66=MesCiclo,InicioCiclo,$S66+MOD(2-WEEKDAY($S66),7))+6),1,IF(ISNUMBER($I66),$I66,0)))</f>
        <v/>
      </c>
      <c r="Z66" s="62">
        <f>IF($V66="","",IF(AND(ISNUMBER($G66),$G66&lt;=IF($S66=MesCiclo,InicioCiclo,$S66+MOD(2-WEEKDAY($S66),7))+13),1,IF(ISNUMBER($J66),$J66,$Y66)))</f>
        <v/>
      </c>
      <c r="AA66" s="62">
        <f>IF($V66="","",IF(AND(ISNUMBER($G66),$G66&lt;=IF($S66=MesCiclo,InicioCiclo,$S66+MOD(2-WEEKDAY($S66),7))+20),1,IF(ISNUMBER($K66),$K66,$Z66)))</f>
        <v/>
      </c>
      <c r="AB66" s="62">
        <f>IF($V66="","",IF(AND(ISNUMBER($G66),$G66&lt;=IF($S66=MesCiclo,InicioCiclo,$S66+MOD(2-WEEKDAY($S66),7))+27),1,IF(ISNUMBER($L66),$L66,$AA66)))</f>
        <v/>
      </c>
      <c r="AC66" s="62">
        <f>IF($V66="","",IF(AND(ISNUMBER($G66),$G66&lt;=IF($S66=MesCiclo,InicioCiclo,$S66+MOD(2-WEEKDAY($S66),7))+6),1,IF(N($W66)&gt;0,AVERAGEIFS($Y$5:$Y$1000,$U$5:$U$1000,ROW(),$V$5:$V$1000,"Sub"),$Y66)))</f>
        <v/>
      </c>
      <c r="AD66" s="62">
        <f>IF($V66="","",IF(AND(ISNUMBER($G66),$G66&lt;=IF($S66=MesCiclo,InicioCiclo,$S66+MOD(2-WEEKDAY($S66),7))+13),1,IF(N($W66)&gt;0,AVERAGEIFS($Z$5:$Z$1000,$U$5:$U$1000,ROW(),$V$5:$V$1000,"Sub"),$Z66)))</f>
        <v/>
      </c>
      <c r="AE66" s="62">
        <f>IF($V66="","",IF(AND(ISNUMBER($G66),$G66&lt;=IF($S66=MesCiclo,InicioCiclo,$S66+MOD(2-WEEKDAY($S66),7))+20),1,IF(N($W66)&gt;0,AVERAGEIFS($AA$5:$AA$1000,$U$5:$U$1000,ROW(),$V$5:$V$1000,"Sub"),$AA66)))</f>
        <v/>
      </c>
      <c r="AF66" s="62">
        <f>IF($V66="","",IF(AND(ISNUMBER($G66),$G66&lt;=IF($S66=MesCiclo,InicioCiclo,$S66+MOD(2-WEEKDAY($S66),7))+27),1,IF(N($W66)&gt;0,AVERAGEIFS($AB$5:$AB$1000,$U$5:$U$1000,ROW(),$V$5:$V$1000,"Sub"),$AB66)))</f>
        <v/>
      </c>
      <c r="AG66" s="62">
        <f>IF($V66&lt;&gt;"Macro","",IF(COUNTIFS($S$5:$S$1000,$S66,$V$5:$V$1000,"Macro",$H$5:$H$1000,"&gt;0")=0,1/COUNTIFS($S$5:$S$1000,$S66,$V$5:$V$1000,"Macro"),IF(AND(ISNUMBER($H66),N($H66)&gt;0),$H66,SUMIFS($H$5:$H$1000,$S$5:$S$1000,$S66,$V$5:$V$1000,"Macro")/COUNTIFS($S$5:$S$1000,$S66,$V$5:$V$1000,"Macro",$H$5:$H$1000,"&gt;0"))/(COUNTIFS($S$5:$S$1000,$S66,$V$5:$V$1000,"Macro")*SUMIFS($H$5:$H$1000,$S$5:$S$1000,$S66,$V$5:$V$1000,"Macro")/COUNTIFS($S$5:$S$1000,$S66,$V$5:$V$1000,"Macro",$H$5:$H$1000,"&gt;0"))))</f>
        <v/>
      </c>
      <c r="AH66" s="62" t="n"/>
      <c r="AI66" s="62" t="n"/>
      <c r="AJ66" s="62" t="n"/>
      <c r="AK66" s="62" t="n"/>
      <c r="AL66" s="62">
        <f>IF(LEFT($C66,11)="[Jefatura] ",IFERROR(MATCH("Riesgo Normativo|"&amp;MID($C66,12,500),rDname_ADM,0),0),"")</f>
        <v/>
      </c>
      <c r="AM66" s="62">
        <f>IF(N($AL66)&gt;0,INDEX(rIni_ADM,$AL66),IF(ISNUMBER($E66),$E66,""))</f>
        <v/>
      </c>
      <c r="AN66" s="62">
        <f>IF(N($AL66)&gt;0,INDEX(rLim_ADM,$AL66),IF(ISNUMBER($F66),$F66,""))</f>
        <v/>
      </c>
    </row>
    <row r="67">
      <c r="A67" s="56">
        <f>IF(NOT((COUNTA($B67:$D67)+COUNTA($G67:$L67)+COUNTA($Q67))&gt;0),"",IF($V67="Macro",COUNTIFS($V$5:$V67,"Macro",$S$5:$S67,$S67),IF(N($U67)=0,"?",COUNTIFS(INDEX($V$5:$V$1000,1):INDEX($V$5:$V$1000,$U67-4),"Macro",INDEX($S$5:$S$1000,1):INDEX($S$5:$S$1000,$U67-4),INDEX($S$5:$S$1000,$U67-4))&amp;"."&amp;COUNTIFS($U$5:$U67,$U67,$V$5:$V67,"Sub"))))</f>
        <v/>
      </c>
      <c r="B67" s="57" t="n"/>
      <c r="C67" s="58" t="n"/>
      <c r="D67" s="58" t="n"/>
      <c r="E67" s="59">
        <f>IF(N($AL67)&gt;0,INDEX(rIni_ADM,$AL67),"")</f>
        <v/>
      </c>
      <c r="F67" s="59">
        <f>IF(N($AL67)&gt;0,INDEX(rLim_ADM,$AL67),"")</f>
        <v/>
      </c>
      <c r="G67" s="59" t="n"/>
      <c r="H67" s="60" t="n"/>
      <c r="I67" s="60" t="n"/>
      <c r="J67" s="60" t="n"/>
      <c r="K67" s="60" t="n"/>
      <c r="L67" s="60" t="n"/>
      <c r="M67" s="61">
        <f>IF(NOT((COUNTA($B67:$D67)+COUNTA($G67:$L67)+COUNTA($Q67))&gt;0),"",IF($V67="Sub",IFERROR($X67/INDEX($W$5:$W$1000,$U67-4),""),IF(ISNUMBER($G67),1,IF(N($W67)&gt;0,AVERAGEIFS($X$5:$X$1000,$U$5:$U$1000,ROW(),$V$5:$V$1000,"Sub"),$X67))))</f>
        <v/>
      </c>
      <c r="N67" s="56">
        <f>IF(OR($M67="",$V67="Sub"),"",IF($M67&gt;=1,"Completado",IF($M67&gt;0,"En curso","Pendiente")))</f>
        <v/>
      </c>
      <c r="O67" s="56">
        <f>IF(OR(NOT((COUNTA($B67:$D67)+COUNTA($G67:$L67)+COUNTA($Q67))&gt;0),$V67="Sub"),"",IF(ISNUMBER($G67),IF(AND(ISNUMBER($AN67),$G67&gt;$AN67),"Cumplida con "&amp;($G67-$AN67)&amp;IF($G67-$AN67=1," día"," días")&amp;" de retraso","Cumplida"),IF(N($M67)&gt;=1,"Cumplida",IF(NOT(ISNUMBER($AN67)),"Sin fecha límite",IF($AN67&lt;FechaRef,"Vencida hace "&amp;(FechaRef-$AN67)&amp;IF(FechaRef-$AN67=1," día"," días"),IF($AN67=FechaRef,"Vence hoy",IF($AN67-FechaRef&lt;=DiasAlerta,"Vence en "&amp;($AN67-FechaRef)&amp;IF($AN67-FechaRef=1," día"," días"),"En plazo")))))))</f>
        <v/>
      </c>
      <c r="P67" s="62" t="n"/>
      <c r="Q67" s="58" t="n"/>
      <c r="R67" s="63">
        <f>IF(NOT((COUNTA($B67:$D67)+COUNTA($G67:$L67)+COUNTA($Q67))&gt;0),"",IF((IF($C67="","Falta el nombre de la actividad"&amp;" · ","")&amp;IF(AND($V67="Sub",N($U67)=0),"Subactividad sin macroactividad arriba"&amp;" · ","")&amp;IF($AM67="","Sin fecha de inicio"&amp;" · ","")&amp;IF($AN67="","Sin fecha límite"&amp;" · ","")&amp;IF(AND(LEFT($C67,11)="[Jefatura] ",N($AL67)=0),"No se encuentra en la hoja de la jefatura (elíjala de nuevo en la lista)"&amp;" · ","")&amp;IF(OR(AND($E67&lt;&gt;"",NOT(ISNUMBER($E67))),AND($F67&lt;&gt;"",NOT(ISNUMBER($F67))),AND($G67&lt;&gt;"",NOT(ISNUMBER($G67)))),"Fecha no válida"&amp;" · ","")&amp;IF(AND(ISNUMBER($AM67),ISNUMBER($AN67),$AM67&gt;$AN67),"Inicio posterior a fecha límite"&amp;" · ","")&amp;IF(AND($V67="Macro",$H67&lt;&gt;"",OR(NOT(ISNUMBER($H67)),$H67&lt;0,$H67&gt;1)),"Peso fuera de rango"&amp;" · ","")&amp;IF(AND($V67="Sub",$H67&lt;&gt;""),"Las subactividades no llevan peso (valen igual dentro de su macroactividad)"&amp;" · ","")&amp;IF(AND(N($W67)&gt;0,COUNT($I67:$L67)&gt;0),"Con subactividades: deje vacías las semanas (se calculan solas)"&amp;" · ","")&amp;IF((COUNTIF($I67:$L67,"&gt;1")+COUNTIF($I67:$L67,"&lt;0")+COUNTA($I67:$L67)-COUNT($I67:$L67))&gt;0,"Avance fuera de rango 0-100%"&amp;" · ","")&amp;IF(OR(AND($J67&lt;&gt;"",$J67&lt;$I67),AND($K67&lt;&gt;"",$K67&lt;MAX($I67:$J67)),AND($L67&lt;&gt;"",$L67&lt;MAX($I67:$K67))),"Avance semanal decreciente"&amp;" · ","")&amp;IF(AND(ISNUMBER($AN67),$AN67&lt;FechaRef,IF($V67="Sub",N($X67),N($M67))&lt;1),"Vencida"&amp;" · ","")&amp;IF(AND(ObsObligatoria="Sí",ISNUMBER($AN67),$AN67&lt;FechaRef,IF($V67="Sub",N($X67),N($M67))&lt;1,$Q67=""),"Vencida sin observación"&amp;" · ",""))="","✔ OK","⚠ "&amp;LEFT(IF($C67="","Falta el nombre de la actividad"&amp;" · ","")&amp;IF(AND($V67="Sub",N($U67)=0),"Subactividad sin macroactividad arriba"&amp;" · ","")&amp;IF($AM67="","Sin fecha de inicio"&amp;" · ","")&amp;IF($AN67="","Sin fecha límite"&amp;" · ","")&amp;IF(AND(LEFT($C67,11)="[Jefatura] ",N($AL67)=0),"No se encuentra en la hoja de la jefatura (elíjala de nuevo en la lista)"&amp;" · ","")&amp;IF(OR(AND($E67&lt;&gt;"",NOT(ISNUMBER($E67))),AND($F67&lt;&gt;"",NOT(ISNUMBER($F67))),AND($G67&lt;&gt;"",NOT(ISNUMBER($G67)))),"Fecha no válida"&amp;" · ","")&amp;IF(AND(ISNUMBER($AM67),ISNUMBER($AN67),$AM67&gt;$AN67),"Inicio posterior a fecha límite"&amp;" · ","")&amp;IF(AND($V67="Macro",$H67&lt;&gt;"",OR(NOT(ISNUMBER($H67)),$H67&lt;0,$H67&gt;1)),"Peso fuera de rango"&amp;" · ","")&amp;IF(AND($V67="Sub",$H67&lt;&gt;""),"Las subactividades no llevan peso (valen igual dentro de su macroactividad)"&amp;" · ","")&amp;IF(AND(N($W67)&gt;0,COUNT($I67:$L67)&gt;0),"Con subactividades: deje vacías las semanas (se calculan solas)"&amp;" · ","")&amp;IF((COUNTIF($I67:$L67,"&gt;1")+COUNTIF($I67:$L67,"&lt;0")+COUNTA($I67:$L67)-COUNT($I67:$L67))&gt;0,"Avance fuera de rango 0-100%"&amp;" · ","")&amp;IF(OR(AND($J67&lt;&gt;"",$J67&lt;$I67),AND($K67&lt;&gt;"",$K67&lt;MAX($I67:$J67)),AND($L67&lt;&gt;"",$L67&lt;MAX($I67:$K67))),"Avance semanal decreciente"&amp;" · ","")&amp;IF(AND(ISNUMBER($AN67),$AN67&lt;FechaRef,IF($V67="Sub",N($X67),N($M67))&lt;1),"Vencida"&amp;" · ","")&amp;IF(AND(ObsObligatoria="Sí",ISNUMBER($AN67),$AN67&lt;FechaRef,IF($V67="Sub",N($X67),N($M67))&lt;1,$Q67=""),"Vencida sin observación"&amp;" · ",""),LEN(IF($C67="","Falta el nombre de la actividad"&amp;" · ","")&amp;IF(AND($V67="Sub",N($U67)=0),"Subactividad sin macroactividad arriba"&amp;" · ","")&amp;IF($AM67="","Sin fecha de inicio"&amp;" · ","")&amp;IF($AN67="","Sin fecha límite"&amp;" · ","")&amp;IF(AND(LEFT($C67,11)="[Jefatura] ",N($AL67)=0),"No se encuentra en la hoja de la jefatura (elíjala de nuevo en la lista)"&amp;" · ","")&amp;IF(OR(AND($E67&lt;&gt;"",NOT(ISNUMBER($E67))),AND($F67&lt;&gt;"",NOT(ISNUMBER($F67))),AND($G67&lt;&gt;"",NOT(ISNUMBER($G67)))),"Fecha no válida"&amp;" · ","")&amp;IF(AND(ISNUMBER($AM67),ISNUMBER($AN67),$AM67&gt;$AN67),"Inicio posterior a fecha límite"&amp;" · ","")&amp;IF(AND($V67="Macro",$H67&lt;&gt;"",OR(NOT(ISNUMBER($H67)),$H67&lt;0,$H67&gt;1)),"Peso fuera de rango"&amp;" · ","")&amp;IF(AND($V67="Sub",$H67&lt;&gt;""),"Las subactividades no llevan peso (valen igual dentro de su macroactividad)"&amp;" · ","")&amp;IF(AND(N($W67)&gt;0,COUNT($I67:$L67)&gt;0),"Con subactividades: deje vacías las semanas (se calculan solas)"&amp;" · ","")&amp;IF((COUNTIF($I67:$L67,"&gt;1")+COUNTIF($I67:$L67,"&lt;0")+COUNTA($I67:$L67)-COUNT($I67:$L67))&gt;0,"Avance fuera de rango 0-100%"&amp;" · ","")&amp;IF(OR(AND($J67&lt;&gt;"",$J67&lt;$I67),AND($K67&lt;&gt;"",$K67&lt;MAX($I67:$J67)),AND($L67&lt;&gt;"",$L67&lt;MAX($I67:$K67))),"Avance semanal decreciente"&amp;" · ","")&amp;IF(AND(ISNUMBER($AN67),$AN67&lt;FechaRef,IF($V67="Sub",N($X67),N($M67))&lt;1),"Vencida"&amp;" · ","")&amp;IF(AND(ObsObligatoria="Sí",ISNUMBER($AN67),$AN67&lt;FechaRef,IF($V67="Sub",N($X67),N($M67))&lt;1,$Q67=""),"Vencida sin observación"&amp;" · ",""))-3)))</f>
        <v/>
      </c>
      <c r="S67" s="64">
        <f>IF(NOT((COUNTA($B67:$D67)+COUNTA($G67:$L67)+COUNTA($Q67))&gt;0),"",IF(AND($V67="Sub",N($U67)&gt;0),IF(ISNUMBER(INDEX($AM$5:$AM$1000,$U67-4)),DATE(YEAR(INDEX($AM$5:$AM$1000,$U67-4)),MONTH(INDEX($AM$5:$AM$1000,$U67-4)),1),IF(ISNUMBER(INDEX($AN$5:$AN$1000,$U67-4)),DATE(YEAR(INDEX($AN$5:$AN$1000,$U67-4)),MONTH(INDEX($AN$5:$AN$1000,$U67-4)),1),MesCiclo)),IF(ISNUMBER($AM67),DATE(YEAR($AM67),MONTH($AM67),1),IF(ISNUMBER($AN67),DATE(YEAR($AN67),MONTH($AN67),1),MesCiclo))))</f>
        <v/>
      </c>
      <c r="T67" s="62">
        <f>IF(OR($S67="",$S67&lt;&gt;MesCiclo,$V67&lt;&gt;"Macro"),"",COUNTIFS($S$5:$S67,MesCiclo,$V$5:$V67,"Macro"))</f>
        <v/>
      </c>
      <c r="U67" s="62">
        <f>IF($V67="","",IF($V67="Macro",ROW(),IFERROR(LOOKUP(2,1/($V$5:$V67="Macro"),ROW($V$5:$V67)),0)))</f>
        <v/>
      </c>
      <c r="V67" s="62">
        <f>IF(NOT((COUNTA($B67:$D67)+COUNTA($G67:$L67)+COUNTA($Q67))&gt;0),"",IF($B67="Subactividad","Sub","Macro"))</f>
        <v/>
      </c>
      <c r="W67" s="62">
        <f>IF($V67="Macro",COUNTIFS($U$5:$U$1000,ROW(),$V$5:$V$1000,"Sub"),"")</f>
        <v/>
      </c>
      <c r="X67" s="62">
        <f>IF($V67="","",IF(ISNUMBER($G67),1,IFERROR(LOOKUP(2,1/($I67:$L67&lt;&gt;""),$I67:$L67),0)))</f>
        <v/>
      </c>
      <c r="Y67" s="62">
        <f>IF($V67="","",IF(AND(ISNUMBER($G67),$G67&lt;=IF($S67=MesCiclo,InicioCiclo,$S67+MOD(2-WEEKDAY($S67),7))+6),1,IF(ISNUMBER($I67),$I67,0)))</f>
        <v/>
      </c>
      <c r="Z67" s="62">
        <f>IF($V67="","",IF(AND(ISNUMBER($G67),$G67&lt;=IF($S67=MesCiclo,InicioCiclo,$S67+MOD(2-WEEKDAY($S67),7))+13),1,IF(ISNUMBER($J67),$J67,$Y67)))</f>
        <v/>
      </c>
      <c r="AA67" s="62">
        <f>IF($V67="","",IF(AND(ISNUMBER($G67),$G67&lt;=IF($S67=MesCiclo,InicioCiclo,$S67+MOD(2-WEEKDAY($S67),7))+20),1,IF(ISNUMBER($K67),$K67,$Z67)))</f>
        <v/>
      </c>
      <c r="AB67" s="62">
        <f>IF($V67="","",IF(AND(ISNUMBER($G67),$G67&lt;=IF($S67=MesCiclo,InicioCiclo,$S67+MOD(2-WEEKDAY($S67),7))+27),1,IF(ISNUMBER($L67),$L67,$AA67)))</f>
        <v/>
      </c>
      <c r="AC67" s="62">
        <f>IF($V67="","",IF(AND(ISNUMBER($G67),$G67&lt;=IF($S67=MesCiclo,InicioCiclo,$S67+MOD(2-WEEKDAY($S67),7))+6),1,IF(N($W67)&gt;0,AVERAGEIFS($Y$5:$Y$1000,$U$5:$U$1000,ROW(),$V$5:$V$1000,"Sub"),$Y67)))</f>
        <v/>
      </c>
      <c r="AD67" s="62">
        <f>IF($V67="","",IF(AND(ISNUMBER($G67),$G67&lt;=IF($S67=MesCiclo,InicioCiclo,$S67+MOD(2-WEEKDAY($S67),7))+13),1,IF(N($W67)&gt;0,AVERAGEIFS($Z$5:$Z$1000,$U$5:$U$1000,ROW(),$V$5:$V$1000,"Sub"),$Z67)))</f>
        <v/>
      </c>
      <c r="AE67" s="62">
        <f>IF($V67="","",IF(AND(ISNUMBER($G67),$G67&lt;=IF($S67=MesCiclo,InicioCiclo,$S67+MOD(2-WEEKDAY($S67),7))+20),1,IF(N($W67)&gt;0,AVERAGEIFS($AA$5:$AA$1000,$U$5:$U$1000,ROW(),$V$5:$V$1000,"Sub"),$AA67)))</f>
        <v/>
      </c>
      <c r="AF67" s="62">
        <f>IF($V67="","",IF(AND(ISNUMBER($G67),$G67&lt;=IF($S67=MesCiclo,InicioCiclo,$S67+MOD(2-WEEKDAY($S67),7))+27),1,IF(N($W67)&gt;0,AVERAGEIFS($AB$5:$AB$1000,$U$5:$U$1000,ROW(),$V$5:$V$1000,"Sub"),$AB67)))</f>
        <v/>
      </c>
      <c r="AG67" s="62">
        <f>IF($V67&lt;&gt;"Macro","",IF(COUNTIFS($S$5:$S$1000,$S67,$V$5:$V$1000,"Macro",$H$5:$H$1000,"&gt;0")=0,1/COUNTIFS($S$5:$S$1000,$S67,$V$5:$V$1000,"Macro"),IF(AND(ISNUMBER($H67),N($H67)&gt;0),$H67,SUMIFS($H$5:$H$1000,$S$5:$S$1000,$S67,$V$5:$V$1000,"Macro")/COUNTIFS($S$5:$S$1000,$S67,$V$5:$V$1000,"Macro",$H$5:$H$1000,"&gt;0"))/(COUNTIFS($S$5:$S$1000,$S67,$V$5:$V$1000,"Macro")*SUMIFS($H$5:$H$1000,$S$5:$S$1000,$S67,$V$5:$V$1000,"Macro")/COUNTIFS($S$5:$S$1000,$S67,$V$5:$V$1000,"Macro",$H$5:$H$1000,"&gt;0"))))</f>
        <v/>
      </c>
      <c r="AH67" s="62" t="n"/>
      <c r="AI67" s="62" t="n"/>
      <c r="AJ67" s="62" t="n"/>
      <c r="AK67" s="62" t="n"/>
      <c r="AL67" s="62">
        <f>IF(LEFT($C67,11)="[Jefatura] ",IFERROR(MATCH("Riesgo Normativo|"&amp;MID($C67,12,500),rDname_ADM,0),0),"")</f>
        <v/>
      </c>
      <c r="AM67" s="62">
        <f>IF(N($AL67)&gt;0,INDEX(rIni_ADM,$AL67),IF(ISNUMBER($E67),$E67,""))</f>
        <v/>
      </c>
      <c r="AN67" s="62">
        <f>IF(N($AL67)&gt;0,INDEX(rLim_ADM,$AL67),IF(ISNUMBER($F67),$F67,""))</f>
        <v/>
      </c>
    </row>
    <row r="68">
      <c r="A68" s="56">
        <f>IF(NOT((COUNTA($B68:$D68)+COUNTA($G68:$L68)+COUNTA($Q68))&gt;0),"",IF($V68="Macro",COUNTIFS($V$5:$V68,"Macro",$S$5:$S68,$S68),IF(N($U68)=0,"?",COUNTIFS(INDEX($V$5:$V$1000,1):INDEX($V$5:$V$1000,$U68-4),"Macro",INDEX($S$5:$S$1000,1):INDEX($S$5:$S$1000,$U68-4),INDEX($S$5:$S$1000,$U68-4))&amp;"."&amp;COUNTIFS($U$5:$U68,$U68,$V$5:$V68,"Sub"))))</f>
        <v/>
      </c>
      <c r="B68" s="57" t="n"/>
      <c r="C68" s="58" t="n"/>
      <c r="D68" s="58" t="n"/>
      <c r="E68" s="59">
        <f>IF(N($AL68)&gt;0,INDEX(rIni_ADM,$AL68),"")</f>
        <v/>
      </c>
      <c r="F68" s="59">
        <f>IF(N($AL68)&gt;0,INDEX(rLim_ADM,$AL68),"")</f>
        <v/>
      </c>
      <c r="G68" s="59" t="n"/>
      <c r="H68" s="60" t="n"/>
      <c r="I68" s="60" t="n"/>
      <c r="J68" s="60" t="n"/>
      <c r="K68" s="60" t="n"/>
      <c r="L68" s="60" t="n"/>
      <c r="M68" s="61">
        <f>IF(NOT((COUNTA($B68:$D68)+COUNTA($G68:$L68)+COUNTA($Q68))&gt;0),"",IF($V68="Sub",IFERROR($X68/INDEX($W$5:$W$1000,$U68-4),""),IF(ISNUMBER($G68),1,IF(N($W68)&gt;0,AVERAGEIFS($X$5:$X$1000,$U$5:$U$1000,ROW(),$V$5:$V$1000,"Sub"),$X68))))</f>
        <v/>
      </c>
      <c r="N68" s="56">
        <f>IF(OR($M68="",$V68="Sub"),"",IF($M68&gt;=1,"Completado",IF($M68&gt;0,"En curso","Pendiente")))</f>
        <v/>
      </c>
      <c r="O68" s="56">
        <f>IF(OR(NOT((COUNTA($B68:$D68)+COUNTA($G68:$L68)+COUNTA($Q68))&gt;0),$V68="Sub"),"",IF(ISNUMBER($G68),IF(AND(ISNUMBER($AN68),$G68&gt;$AN68),"Cumplida con "&amp;($G68-$AN68)&amp;IF($G68-$AN68=1," día"," días")&amp;" de retraso","Cumplida"),IF(N($M68)&gt;=1,"Cumplida",IF(NOT(ISNUMBER($AN68)),"Sin fecha límite",IF($AN68&lt;FechaRef,"Vencida hace "&amp;(FechaRef-$AN68)&amp;IF(FechaRef-$AN68=1," día"," días"),IF($AN68=FechaRef,"Vence hoy",IF($AN68-FechaRef&lt;=DiasAlerta,"Vence en "&amp;($AN68-FechaRef)&amp;IF($AN68-FechaRef=1," día"," días"),"En plazo")))))))</f>
        <v/>
      </c>
      <c r="P68" s="62" t="n"/>
      <c r="Q68" s="58" t="n"/>
      <c r="R68" s="63">
        <f>IF(NOT((COUNTA($B68:$D68)+COUNTA($G68:$L68)+COUNTA($Q68))&gt;0),"",IF((IF($C68="","Falta el nombre de la actividad"&amp;" · ","")&amp;IF(AND($V68="Sub",N($U68)=0),"Subactividad sin macroactividad arriba"&amp;" · ","")&amp;IF($AM68="","Sin fecha de inicio"&amp;" · ","")&amp;IF($AN68="","Sin fecha límite"&amp;" · ","")&amp;IF(AND(LEFT($C68,11)="[Jefatura] ",N($AL68)=0),"No se encuentra en la hoja de la jefatura (elíjala de nuevo en la lista)"&amp;" · ","")&amp;IF(OR(AND($E68&lt;&gt;"",NOT(ISNUMBER($E68))),AND($F68&lt;&gt;"",NOT(ISNUMBER($F68))),AND($G68&lt;&gt;"",NOT(ISNUMBER($G68)))),"Fecha no válida"&amp;" · ","")&amp;IF(AND(ISNUMBER($AM68),ISNUMBER($AN68),$AM68&gt;$AN68),"Inicio posterior a fecha límite"&amp;" · ","")&amp;IF(AND($V68="Macro",$H68&lt;&gt;"",OR(NOT(ISNUMBER($H68)),$H68&lt;0,$H68&gt;1)),"Peso fuera de rango"&amp;" · ","")&amp;IF(AND($V68="Sub",$H68&lt;&gt;""),"Las subactividades no llevan peso (valen igual dentro de su macroactividad)"&amp;" · ","")&amp;IF(AND(N($W68)&gt;0,COUNT($I68:$L68)&gt;0),"Con subactividades: deje vacías las semanas (se calculan solas)"&amp;" · ","")&amp;IF((COUNTIF($I68:$L68,"&gt;1")+COUNTIF($I68:$L68,"&lt;0")+COUNTA($I68:$L68)-COUNT($I68:$L68))&gt;0,"Avance fuera de rango 0-100%"&amp;" · ","")&amp;IF(OR(AND($J68&lt;&gt;"",$J68&lt;$I68),AND($K68&lt;&gt;"",$K68&lt;MAX($I68:$J68)),AND($L68&lt;&gt;"",$L68&lt;MAX($I68:$K68))),"Avance semanal decreciente"&amp;" · ","")&amp;IF(AND(ISNUMBER($AN68),$AN68&lt;FechaRef,IF($V68="Sub",N($X68),N($M68))&lt;1),"Vencida"&amp;" · ","")&amp;IF(AND(ObsObligatoria="Sí",ISNUMBER($AN68),$AN68&lt;FechaRef,IF($V68="Sub",N($X68),N($M68))&lt;1,$Q68=""),"Vencida sin observación"&amp;" · ",""))="","✔ OK","⚠ "&amp;LEFT(IF($C68="","Falta el nombre de la actividad"&amp;" · ","")&amp;IF(AND($V68="Sub",N($U68)=0),"Subactividad sin macroactividad arriba"&amp;" · ","")&amp;IF($AM68="","Sin fecha de inicio"&amp;" · ","")&amp;IF($AN68="","Sin fecha límite"&amp;" · ","")&amp;IF(AND(LEFT($C68,11)="[Jefatura] ",N($AL68)=0),"No se encuentra en la hoja de la jefatura (elíjala de nuevo en la lista)"&amp;" · ","")&amp;IF(OR(AND($E68&lt;&gt;"",NOT(ISNUMBER($E68))),AND($F68&lt;&gt;"",NOT(ISNUMBER($F68))),AND($G68&lt;&gt;"",NOT(ISNUMBER($G68)))),"Fecha no válida"&amp;" · ","")&amp;IF(AND(ISNUMBER($AM68),ISNUMBER($AN68),$AM68&gt;$AN68),"Inicio posterior a fecha límite"&amp;" · ","")&amp;IF(AND($V68="Macro",$H68&lt;&gt;"",OR(NOT(ISNUMBER($H68)),$H68&lt;0,$H68&gt;1)),"Peso fuera de rango"&amp;" · ","")&amp;IF(AND($V68="Sub",$H68&lt;&gt;""),"Las subactividades no llevan peso (valen igual dentro de su macroactividad)"&amp;" · ","")&amp;IF(AND(N($W68)&gt;0,COUNT($I68:$L68)&gt;0),"Con subactividades: deje vacías las semanas (se calculan solas)"&amp;" · ","")&amp;IF((COUNTIF($I68:$L68,"&gt;1")+COUNTIF($I68:$L68,"&lt;0")+COUNTA($I68:$L68)-COUNT($I68:$L68))&gt;0,"Avance fuera de rango 0-100%"&amp;" · ","")&amp;IF(OR(AND($J68&lt;&gt;"",$J68&lt;$I68),AND($K68&lt;&gt;"",$K68&lt;MAX($I68:$J68)),AND($L68&lt;&gt;"",$L68&lt;MAX($I68:$K68))),"Avance semanal decreciente"&amp;" · ","")&amp;IF(AND(ISNUMBER($AN68),$AN68&lt;FechaRef,IF($V68="Sub",N($X68),N($M68))&lt;1),"Vencida"&amp;" · ","")&amp;IF(AND(ObsObligatoria="Sí",ISNUMBER($AN68),$AN68&lt;FechaRef,IF($V68="Sub",N($X68),N($M68))&lt;1,$Q68=""),"Vencida sin observación"&amp;" · ",""),LEN(IF($C68="","Falta el nombre de la actividad"&amp;" · ","")&amp;IF(AND($V68="Sub",N($U68)=0),"Subactividad sin macroactividad arriba"&amp;" · ","")&amp;IF($AM68="","Sin fecha de inicio"&amp;" · ","")&amp;IF($AN68="","Sin fecha límite"&amp;" · ","")&amp;IF(AND(LEFT($C68,11)="[Jefatura] ",N($AL68)=0),"No se encuentra en la hoja de la jefatura (elíjala de nuevo en la lista)"&amp;" · ","")&amp;IF(OR(AND($E68&lt;&gt;"",NOT(ISNUMBER($E68))),AND($F68&lt;&gt;"",NOT(ISNUMBER($F68))),AND($G68&lt;&gt;"",NOT(ISNUMBER($G68)))),"Fecha no válida"&amp;" · ","")&amp;IF(AND(ISNUMBER($AM68),ISNUMBER($AN68),$AM68&gt;$AN68),"Inicio posterior a fecha límite"&amp;" · ","")&amp;IF(AND($V68="Macro",$H68&lt;&gt;"",OR(NOT(ISNUMBER($H68)),$H68&lt;0,$H68&gt;1)),"Peso fuera de rango"&amp;" · ","")&amp;IF(AND($V68="Sub",$H68&lt;&gt;""),"Las subactividades no llevan peso (valen igual dentro de su macroactividad)"&amp;" · ","")&amp;IF(AND(N($W68)&gt;0,COUNT($I68:$L68)&gt;0),"Con subactividades: deje vacías las semanas (se calculan solas)"&amp;" · ","")&amp;IF((COUNTIF($I68:$L68,"&gt;1")+COUNTIF($I68:$L68,"&lt;0")+COUNTA($I68:$L68)-COUNT($I68:$L68))&gt;0,"Avance fuera de rango 0-100%"&amp;" · ","")&amp;IF(OR(AND($J68&lt;&gt;"",$J68&lt;$I68),AND($K68&lt;&gt;"",$K68&lt;MAX($I68:$J68)),AND($L68&lt;&gt;"",$L68&lt;MAX($I68:$K68))),"Avance semanal decreciente"&amp;" · ","")&amp;IF(AND(ISNUMBER($AN68),$AN68&lt;FechaRef,IF($V68="Sub",N($X68),N($M68))&lt;1),"Vencida"&amp;" · ","")&amp;IF(AND(ObsObligatoria="Sí",ISNUMBER($AN68),$AN68&lt;FechaRef,IF($V68="Sub",N($X68),N($M68))&lt;1,$Q68=""),"Vencida sin observación"&amp;" · ",""))-3)))</f>
        <v/>
      </c>
      <c r="S68" s="64">
        <f>IF(NOT((COUNTA($B68:$D68)+COUNTA($G68:$L68)+COUNTA($Q68))&gt;0),"",IF(AND($V68="Sub",N($U68)&gt;0),IF(ISNUMBER(INDEX($AM$5:$AM$1000,$U68-4)),DATE(YEAR(INDEX($AM$5:$AM$1000,$U68-4)),MONTH(INDEX($AM$5:$AM$1000,$U68-4)),1),IF(ISNUMBER(INDEX($AN$5:$AN$1000,$U68-4)),DATE(YEAR(INDEX($AN$5:$AN$1000,$U68-4)),MONTH(INDEX($AN$5:$AN$1000,$U68-4)),1),MesCiclo)),IF(ISNUMBER($AM68),DATE(YEAR($AM68),MONTH($AM68),1),IF(ISNUMBER($AN68),DATE(YEAR($AN68),MONTH($AN68),1),MesCiclo))))</f>
        <v/>
      </c>
      <c r="T68" s="62">
        <f>IF(OR($S68="",$S68&lt;&gt;MesCiclo,$V68&lt;&gt;"Macro"),"",COUNTIFS($S$5:$S68,MesCiclo,$V$5:$V68,"Macro"))</f>
        <v/>
      </c>
      <c r="U68" s="62">
        <f>IF($V68="","",IF($V68="Macro",ROW(),IFERROR(LOOKUP(2,1/($V$5:$V68="Macro"),ROW($V$5:$V68)),0)))</f>
        <v/>
      </c>
      <c r="V68" s="62">
        <f>IF(NOT((COUNTA($B68:$D68)+COUNTA($G68:$L68)+COUNTA($Q68))&gt;0),"",IF($B68="Subactividad","Sub","Macro"))</f>
        <v/>
      </c>
      <c r="W68" s="62">
        <f>IF($V68="Macro",COUNTIFS($U$5:$U$1000,ROW(),$V$5:$V$1000,"Sub"),"")</f>
        <v/>
      </c>
      <c r="X68" s="62">
        <f>IF($V68="","",IF(ISNUMBER($G68),1,IFERROR(LOOKUP(2,1/($I68:$L68&lt;&gt;""),$I68:$L68),0)))</f>
        <v/>
      </c>
      <c r="Y68" s="62">
        <f>IF($V68="","",IF(AND(ISNUMBER($G68),$G68&lt;=IF($S68=MesCiclo,InicioCiclo,$S68+MOD(2-WEEKDAY($S68),7))+6),1,IF(ISNUMBER($I68),$I68,0)))</f>
        <v/>
      </c>
      <c r="Z68" s="62">
        <f>IF($V68="","",IF(AND(ISNUMBER($G68),$G68&lt;=IF($S68=MesCiclo,InicioCiclo,$S68+MOD(2-WEEKDAY($S68),7))+13),1,IF(ISNUMBER($J68),$J68,$Y68)))</f>
        <v/>
      </c>
      <c r="AA68" s="62">
        <f>IF($V68="","",IF(AND(ISNUMBER($G68),$G68&lt;=IF($S68=MesCiclo,InicioCiclo,$S68+MOD(2-WEEKDAY($S68),7))+20),1,IF(ISNUMBER($K68),$K68,$Z68)))</f>
        <v/>
      </c>
      <c r="AB68" s="62">
        <f>IF($V68="","",IF(AND(ISNUMBER($G68),$G68&lt;=IF($S68=MesCiclo,InicioCiclo,$S68+MOD(2-WEEKDAY($S68),7))+27),1,IF(ISNUMBER($L68),$L68,$AA68)))</f>
        <v/>
      </c>
      <c r="AC68" s="62">
        <f>IF($V68="","",IF(AND(ISNUMBER($G68),$G68&lt;=IF($S68=MesCiclo,InicioCiclo,$S68+MOD(2-WEEKDAY($S68),7))+6),1,IF(N($W68)&gt;0,AVERAGEIFS($Y$5:$Y$1000,$U$5:$U$1000,ROW(),$V$5:$V$1000,"Sub"),$Y68)))</f>
        <v/>
      </c>
      <c r="AD68" s="62">
        <f>IF($V68="","",IF(AND(ISNUMBER($G68),$G68&lt;=IF($S68=MesCiclo,InicioCiclo,$S68+MOD(2-WEEKDAY($S68),7))+13),1,IF(N($W68)&gt;0,AVERAGEIFS($Z$5:$Z$1000,$U$5:$U$1000,ROW(),$V$5:$V$1000,"Sub"),$Z68)))</f>
        <v/>
      </c>
      <c r="AE68" s="62">
        <f>IF($V68="","",IF(AND(ISNUMBER($G68),$G68&lt;=IF($S68=MesCiclo,InicioCiclo,$S68+MOD(2-WEEKDAY($S68),7))+20),1,IF(N($W68)&gt;0,AVERAGEIFS($AA$5:$AA$1000,$U$5:$U$1000,ROW(),$V$5:$V$1000,"Sub"),$AA68)))</f>
        <v/>
      </c>
      <c r="AF68" s="62">
        <f>IF($V68="","",IF(AND(ISNUMBER($G68),$G68&lt;=IF($S68=MesCiclo,InicioCiclo,$S68+MOD(2-WEEKDAY($S68),7))+27),1,IF(N($W68)&gt;0,AVERAGEIFS($AB$5:$AB$1000,$U$5:$U$1000,ROW(),$V$5:$V$1000,"Sub"),$AB68)))</f>
        <v/>
      </c>
      <c r="AG68" s="62">
        <f>IF($V68&lt;&gt;"Macro","",IF(COUNTIFS($S$5:$S$1000,$S68,$V$5:$V$1000,"Macro",$H$5:$H$1000,"&gt;0")=0,1/COUNTIFS($S$5:$S$1000,$S68,$V$5:$V$1000,"Macro"),IF(AND(ISNUMBER($H68),N($H68)&gt;0),$H68,SUMIFS($H$5:$H$1000,$S$5:$S$1000,$S68,$V$5:$V$1000,"Macro")/COUNTIFS($S$5:$S$1000,$S68,$V$5:$V$1000,"Macro",$H$5:$H$1000,"&gt;0"))/(COUNTIFS($S$5:$S$1000,$S68,$V$5:$V$1000,"Macro")*SUMIFS($H$5:$H$1000,$S$5:$S$1000,$S68,$V$5:$V$1000,"Macro")/COUNTIFS($S$5:$S$1000,$S68,$V$5:$V$1000,"Macro",$H$5:$H$1000,"&gt;0"))))</f>
        <v/>
      </c>
      <c r="AH68" s="62" t="n"/>
      <c r="AI68" s="62" t="n"/>
      <c r="AJ68" s="62" t="n"/>
      <c r="AK68" s="62" t="n"/>
      <c r="AL68" s="62">
        <f>IF(LEFT($C68,11)="[Jefatura] ",IFERROR(MATCH("Riesgo Normativo|"&amp;MID($C68,12,500),rDname_ADM,0),0),"")</f>
        <v/>
      </c>
      <c r="AM68" s="62">
        <f>IF(N($AL68)&gt;0,INDEX(rIni_ADM,$AL68),IF(ISNUMBER($E68),$E68,""))</f>
        <v/>
      </c>
      <c r="AN68" s="62">
        <f>IF(N($AL68)&gt;0,INDEX(rLim_ADM,$AL68),IF(ISNUMBER($F68),$F68,""))</f>
        <v/>
      </c>
    </row>
    <row r="69">
      <c r="A69" s="56">
        <f>IF(NOT((COUNTA($B69:$D69)+COUNTA($G69:$L69)+COUNTA($Q69))&gt;0),"",IF($V69="Macro",COUNTIFS($V$5:$V69,"Macro",$S$5:$S69,$S69),IF(N($U69)=0,"?",COUNTIFS(INDEX($V$5:$V$1000,1):INDEX($V$5:$V$1000,$U69-4),"Macro",INDEX($S$5:$S$1000,1):INDEX($S$5:$S$1000,$U69-4),INDEX($S$5:$S$1000,$U69-4))&amp;"."&amp;COUNTIFS($U$5:$U69,$U69,$V$5:$V69,"Sub"))))</f>
        <v/>
      </c>
      <c r="B69" s="57" t="n"/>
      <c r="C69" s="58" t="n"/>
      <c r="D69" s="58" t="n"/>
      <c r="E69" s="59">
        <f>IF(N($AL69)&gt;0,INDEX(rIni_ADM,$AL69),"")</f>
        <v/>
      </c>
      <c r="F69" s="59">
        <f>IF(N($AL69)&gt;0,INDEX(rLim_ADM,$AL69),"")</f>
        <v/>
      </c>
      <c r="G69" s="59" t="n"/>
      <c r="H69" s="60" t="n"/>
      <c r="I69" s="60" t="n"/>
      <c r="J69" s="60" t="n"/>
      <c r="K69" s="60" t="n"/>
      <c r="L69" s="60" t="n"/>
      <c r="M69" s="61">
        <f>IF(NOT((COUNTA($B69:$D69)+COUNTA($G69:$L69)+COUNTA($Q69))&gt;0),"",IF($V69="Sub",IFERROR($X69/INDEX($W$5:$W$1000,$U69-4),""),IF(ISNUMBER($G69),1,IF(N($W69)&gt;0,AVERAGEIFS($X$5:$X$1000,$U$5:$U$1000,ROW(),$V$5:$V$1000,"Sub"),$X69))))</f>
        <v/>
      </c>
      <c r="N69" s="56">
        <f>IF(OR($M69="",$V69="Sub"),"",IF($M69&gt;=1,"Completado",IF($M69&gt;0,"En curso","Pendiente")))</f>
        <v/>
      </c>
      <c r="O69" s="56">
        <f>IF(OR(NOT((COUNTA($B69:$D69)+COUNTA($G69:$L69)+COUNTA($Q69))&gt;0),$V69="Sub"),"",IF(ISNUMBER($G69),IF(AND(ISNUMBER($AN69),$G69&gt;$AN69),"Cumplida con "&amp;($G69-$AN69)&amp;IF($G69-$AN69=1," día"," días")&amp;" de retraso","Cumplida"),IF(N($M69)&gt;=1,"Cumplida",IF(NOT(ISNUMBER($AN69)),"Sin fecha límite",IF($AN69&lt;FechaRef,"Vencida hace "&amp;(FechaRef-$AN69)&amp;IF(FechaRef-$AN69=1," día"," días"),IF($AN69=FechaRef,"Vence hoy",IF($AN69-FechaRef&lt;=DiasAlerta,"Vence en "&amp;($AN69-FechaRef)&amp;IF($AN69-FechaRef=1," día"," días"),"En plazo")))))))</f>
        <v/>
      </c>
      <c r="P69" s="62" t="n"/>
      <c r="Q69" s="58" t="n"/>
      <c r="R69" s="63">
        <f>IF(NOT((COUNTA($B69:$D69)+COUNTA($G69:$L69)+COUNTA($Q69))&gt;0),"",IF((IF($C69="","Falta el nombre de la actividad"&amp;" · ","")&amp;IF(AND($V69="Sub",N($U69)=0),"Subactividad sin macroactividad arriba"&amp;" · ","")&amp;IF($AM69="","Sin fecha de inicio"&amp;" · ","")&amp;IF($AN69="","Sin fecha límite"&amp;" · ","")&amp;IF(AND(LEFT($C69,11)="[Jefatura] ",N($AL69)=0),"No se encuentra en la hoja de la jefatura (elíjala de nuevo en la lista)"&amp;" · ","")&amp;IF(OR(AND($E69&lt;&gt;"",NOT(ISNUMBER($E69))),AND($F69&lt;&gt;"",NOT(ISNUMBER($F69))),AND($G69&lt;&gt;"",NOT(ISNUMBER($G69)))),"Fecha no válida"&amp;" · ","")&amp;IF(AND(ISNUMBER($AM69),ISNUMBER($AN69),$AM69&gt;$AN69),"Inicio posterior a fecha límite"&amp;" · ","")&amp;IF(AND($V69="Macro",$H69&lt;&gt;"",OR(NOT(ISNUMBER($H69)),$H69&lt;0,$H69&gt;1)),"Peso fuera de rango"&amp;" · ","")&amp;IF(AND($V69="Sub",$H69&lt;&gt;""),"Las subactividades no llevan peso (valen igual dentro de su macroactividad)"&amp;" · ","")&amp;IF(AND(N($W69)&gt;0,COUNT($I69:$L69)&gt;0),"Con subactividades: deje vacías las semanas (se calculan solas)"&amp;" · ","")&amp;IF((COUNTIF($I69:$L69,"&gt;1")+COUNTIF($I69:$L69,"&lt;0")+COUNTA($I69:$L69)-COUNT($I69:$L69))&gt;0,"Avance fuera de rango 0-100%"&amp;" · ","")&amp;IF(OR(AND($J69&lt;&gt;"",$J69&lt;$I69),AND($K69&lt;&gt;"",$K69&lt;MAX($I69:$J69)),AND($L69&lt;&gt;"",$L69&lt;MAX($I69:$K69))),"Avance semanal decreciente"&amp;" · ","")&amp;IF(AND(ISNUMBER($AN69),$AN69&lt;FechaRef,IF($V69="Sub",N($X69),N($M69))&lt;1),"Vencida"&amp;" · ","")&amp;IF(AND(ObsObligatoria="Sí",ISNUMBER($AN69),$AN69&lt;FechaRef,IF($V69="Sub",N($X69),N($M69))&lt;1,$Q69=""),"Vencida sin observación"&amp;" · ",""))="","✔ OK","⚠ "&amp;LEFT(IF($C69="","Falta el nombre de la actividad"&amp;" · ","")&amp;IF(AND($V69="Sub",N($U69)=0),"Subactividad sin macroactividad arriba"&amp;" · ","")&amp;IF($AM69="","Sin fecha de inicio"&amp;" · ","")&amp;IF($AN69="","Sin fecha límite"&amp;" · ","")&amp;IF(AND(LEFT($C69,11)="[Jefatura] ",N($AL69)=0),"No se encuentra en la hoja de la jefatura (elíjala de nuevo en la lista)"&amp;" · ","")&amp;IF(OR(AND($E69&lt;&gt;"",NOT(ISNUMBER($E69))),AND($F69&lt;&gt;"",NOT(ISNUMBER($F69))),AND($G69&lt;&gt;"",NOT(ISNUMBER($G69)))),"Fecha no válida"&amp;" · ","")&amp;IF(AND(ISNUMBER($AM69),ISNUMBER($AN69),$AM69&gt;$AN69),"Inicio posterior a fecha límite"&amp;" · ","")&amp;IF(AND($V69="Macro",$H69&lt;&gt;"",OR(NOT(ISNUMBER($H69)),$H69&lt;0,$H69&gt;1)),"Peso fuera de rango"&amp;" · ","")&amp;IF(AND($V69="Sub",$H69&lt;&gt;""),"Las subactividades no llevan peso (valen igual dentro de su macroactividad)"&amp;" · ","")&amp;IF(AND(N($W69)&gt;0,COUNT($I69:$L69)&gt;0),"Con subactividades: deje vacías las semanas (se calculan solas)"&amp;" · ","")&amp;IF((COUNTIF($I69:$L69,"&gt;1")+COUNTIF($I69:$L69,"&lt;0")+COUNTA($I69:$L69)-COUNT($I69:$L69))&gt;0,"Avance fuera de rango 0-100%"&amp;" · ","")&amp;IF(OR(AND($J69&lt;&gt;"",$J69&lt;$I69),AND($K69&lt;&gt;"",$K69&lt;MAX($I69:$J69)),AND($L69&lt;&gt;"",$L69&lt;MAX($I69:$K69))),"Avance semanal decreciente"&amp;" · ","")&amp;IF(AND(ISNUMBER($AN69),$AN69&lt;FechaRef,IF($V69="Sub",N($X69),N($M69))&lt;1),"Vencida"&amp;" · ","")&amp;IF(AND(ObsObligatoria="Sí",ISNUMBER($AN69),$AN69&lt;FechaRef,IF($V69="Sub",N($X69),N($M69))&lt;1,$Q69=""),"Vencida sin observación"&amp;" · ",""),LEN(IF($C69="","Falta el nombre de la actividad"&amp;" · ","")&amp;IF(AND($V69="Sub",N($U69)=0),"Subactividad sin macroactividad arriba"&amp;" · ","")&amp;IF($AM69="","Sin fecha de inicio"&amp;" · ","")&amp;IF($AN69="","Sin fecha límite"&amp;" · ","")&amp;IF(AND(LEFT($C69,11)="[Jefatura] ",N($AL69)=0),"No se encuentra en la hoja de la jefatura (elíjala de nuevo en la lista)"&amp;" · ","")&amp;IF(OR(AND($E69&lt;&gt;"",NOT(ISNUMBER($E69))),AND($F69&lt;&gt;"",NOT(ISNUMBER($F69))),AND($G69&lt;&gt;"",NOT(ISNUMBER($G69)))),"Fecha no válida"&amp;" · ","")&amp;IF(AND(ISNUMBER($AM69),ISNUMBER($AN69),$AM69&gt;$AN69),"Inicio posterior a fecha límite"&amp;" · ","")&amp;IF(AND($V69="Macro",$H69&lt;&gt;"",OR(NOT(ISNUMBER($H69)),$H69&lt;0,$H69&gt;1)),"Peso fuera de rango"&amp;" · ","")&amp;IF(AND($V69="Sub",$H69&lt;&gt;""),"Las subactividades no llevan peso (valen igual dentro de su macroactividad)"&amp;" · ","")&amp;IF(AND(N($W69)&gt;0,COUNT($I69:$L69)&gt;0),"Con subactividades: deje vacías las semanas (se calculan solas)"&amp;" · ","")&amp;IF((COUNTIF($I69:$L69,"&gt;1")+COUNTIF($I69:$L69,"&lt;0")+COUNTA($I69:$L69)-COUNT($I69:$L69))&gt;0,"Avance fuera de rango 0-100%"&amp;" · ","")&amp;IF(OR(AND($J69&lt;&gt;"",$J69&lt;$I69),AND($K69&lt;&gt;"",$K69&lt;MAX($I69:$J69)),AND($L69&lt;&gt;"",$L69&lt;MAX($I69:$K69))),"Avance semanal decreciente"&amp;" · ","")&amp;IF(AND(ISNUMBER($AN69),$AN69&lt;FechaRef,IF($V69="Sub",N($X69),N($M69))&lt;1),"Vencida"&amp;" · ","")&amp;IF(AND(ObsObligatoria="Sí",ISNUMBER($AN69),$AN69&lt;FechaRef,IF($V69="Sub",N($X69),N($M69))&lt;1,$Q69=""),"Vencida sin observación"&amp;" · ",""))-3)))</f>
        <v/>
      </c>
      <c r="S69" s="64">
        <f>IF(NOT((COUNTA($B69:$D69)+COUNTA($G69:$L69)+COUNTA($Q69))&gt;0),"",IF(AND($V69="Sub",N($U69)&gt;0),IF(ISNUMBER(INDEX($AM$5:$AM$1000,$U69-4)),DATE(YEAR(INDEX($AM$5:$AM$1000,$U69-4)),MONTH(INDEX($AM$5:$AM$1000,$U69-4)),1),IF(ISNUMBER(INDEX($AN$5:$AN$1000,$U69-4)),DATE(YEAR(INDEX($AN$5:$AN$1000,$U69-4)),MONTH(INDEX($AN$5:$AN$1000,$U69-4)),1),MesCiclo)),IF(ISNUMBER($AM69),DATE(YEAR($AM69),MONTH($AM69),1),IF(ISNUMBER($AN69),DATE(YEAR($AN69),MONTH($AN69),1),MesCiclo))))</f>
        <v/>
      </c>
      <c r="T69" s="62">
        <f>IF(OR($S69="",$S69&lt;&gt;MesCiclo,$V69&lt;&gt;"Macro"),"",COUNTIFS($S$5:$S69,MesCiclo,$V$5:$V69,"Macro"))</f>
        <v/>
      </c>
      <c r="U69" s="62">
        <f>IF($V69="","",IF($V69="Macro",ROW(),IFERROR(LOOKUP(2,1/($V$5:$V69="Macro"),ROW($V$5:$V69)),0)))</f>
        <v/>
      </c>
      <c r="V69" s="62">
        <f>IF(NOT((COUNTA($B69:$D69)+COUNTA($G69:$L69)+COUNTA($Q69))&gt;0),"",IF($B69="Subactividad","Sub","Macro"))</f>
        <v/>
      </c>
      <c r="W69" s="62">
        <f>IF($V69="Macro",COUNTIFS($U$5:$U$1000,ROW(),$V$5:$V$1000,"Sub"),"")</f>
        <v/>
      </c>
      <c r="X69" s="62">
        <f>IF($V69="","",IF(ISNUMBER($G69),1,IFERROR(LOOKUP(2,1/($I69:$L69&lt;&gt;""),$I69:$L69),0)))</f>
        <v/>
      </c>
      <c r="Y69" s="62">
        <f>IF($V69="","",IF(AND(ISNUMBER($G69),$G69&lt;=IF($S69=MesCiclo,InicioCiclo,$S69+MOD(2-WEEKDAY($S69),7))+6),1,IF(ISNUMBER($I69),$I69,0)))</f>
        <v/>
      </c>
      <c r="Z69" s="62">
        <f>IF($V69="","",IF(AND(ISNUMBER($G69),$G69&lt;=IF($S69=MesCiclo,InicioCiclo,$S69+MOD(2-WEEKDAY($S69),7))+13),1,IF(ISNUMBER($J69),$J69,$Y69)))</f>
        <v/>
      </c>
      <c r="AA69" s="62">
        <f>IF($V69="","",IF(AND(ISNUMBER($G69),$G69&lt;=IF($S69=MesCiclo,InicioCiclo,$S69+MOD(2-WEEKDAY($S69),7))+20),1,IF(ISNUMBER($K69),$K69,$Z69)))</f>
        <v/>
      </c>
      <c r="AB69" s="62">
        <f>IF($V69="","",IF(AND(ISNUMBER($G69),$G69&lt;=IF($S69=MesCiclo,InicioCiclo,$S69+MOD(2-WEEKDAY($S69),7))+27),1,IF(ISNUMBER($L69),$L69,$AA69)))</f>
        <v/>
      </c>
      <c r="AC69" s="62">
        <f>IF($V69="","",IF(AND(ISNUMBER($G69),$G69&lt;=IF($S69=MesCiclo,InicioCiclo,$S69+MOD(2-WEEKDAY($S69),7))+6),1,IF(N($W69)&gt;0,AVERAGEIFS($Y$5:$Y$1000,$U$5:$U$1000,ROW(),$V$5:$V$1000,"Sub"),$Y69)))</f>
        <v/>
      </c>
      <c r="AD69" s="62">
        <f>IF($V69="","",IF(AND(ISNUMBER($G69),$G69&lt;=IF($S69=MesCiclo,InicioCiclo,$S69+MOD(2-WEEKDAY($S69),7))+13),1,IF(N($W69)&gt;0,AVERAGEIFS($Z$5:$Z$1000,$U$5:$U$1000,ROW(),$V$5:$V$1000,"Sub"),$Z69)))</f>
        <v/>
      </c>
      <c r="AE69" s="62">
        <f>IF($V69="","",IF(AND(ISNUMBER($G69),$G69&lt;=IF($S69=MesCiclo,InicioCiclo,$S69+MOD(2-WEEKDAY($S69),7))+20),1,IF(N($W69)&gt;0,AVERAGEIFS($AA$5:$AA$1000,$U$5:$U$1000,ROW(),$V$5:$V$1000,"Sub"),$AA69)))</f>
        <v/>
      </c>
      <c r="AF69" s="62">
        <f>IF($V69="","",IF(AND(ISNUMBER($G69),$G69&lt;=IF($S69=MesCiclo,InicioCiclo,$S69+MOD(2-WEEKDAY($S69),7))+27),1,IF(N($W69)&gt;0,AVERAGEIFS($AB$5:$AB$1000,$U$5:$U$1000,ROW(),$V$5:$V$1000,"Sub"),$AB69)))</f>
        <v/>
      </c>
      <c r="AG69" s="62">
        <f>IF($V69&lt;&gt;"Macro","",IF(COUNTIFS($S$5:$S$1000,$S69,$V$5:$V$1000,"Macro",$H$5:$H$1000,"&gt;0")=0,1/COUNTIFS($S$5:$S$1000,$S69,$V$5:$V$1000,"Macro"),IF(AND(ISNUMBER($H69),N($H69)&gt;0),$H69,SUMIFS($H$5:$H$1000,$S$5:$S$1000,$S69,$V$5:$V$1000,"Macro")/COUNTIFS($S$5:$S$1000,$S69,$V$5:$V$1000,"Macro",$H$5:$H$1000,"&gt;0"))/(COUNTIFS($S$5:$S$1000,$S69,$V$5:$V$1000,"Macro")*SUMIFS($H$5:$H$1000,$S$5:$S$1000,$S69,$V$5:$V$1000,"Macro")/COUNTIFS($S$5:$S$1000,$S69,$V$5:$V$1000,"Macro",$H$5:$H$1000,"&gt;0"))))</f>
        <v/>
      </c>
      <c r="AH69" s="62" t="n"/>
      <c r="AI69" s="62" t="n"/>
      <c r="AJ69" s="62" t="n"/>
      <c r="AK69" s="62" t="n"/>
      <c r="AL69" s="62">
        <f>IF(LEFT($C69,11)="[Jefatura] ",IFERROR(MATCH("Riesgo Normativo|"&amp;MID($C69,12,500),rDname_ADM,0),0),"")</f>
        <v/>
      </c>
      <c r="AM69" s="62">
        <f>IF(N($AL69)&gt;0,INDEX(rIni_ADM,$AL69),IF(ISNUMBER($E69),$E69,""))</f>
        <v/>
      </c>
      <c r="AN69" s="62">
        <f>IF(N($AL69)&gt;0,INDEX(rLim_ADM,$AL69),IF(ISNUMBER($F69),$F69,""))</f>
        <v/>
      </c>
    </row>
    <row r="70">
      <c r="A70" s="56">
        <f>IF(NOT((COUNTA($B70:$D70)+COUNTA($G70:$L70)+COUNTA($Q70))&gt;0),"",IF($V70="Macro",COUNTIFS($V$5:$V70,"Macro",$S$5:$S70,$S70),IF(N($U70)=0,"?",COUNTIFS(INDEX($V$5:$V$1000,1):INDEX($V$5:$V$1000,$U70-4),"Macro",INDEX($S$5:$S$1000,1):INDEX($S$5:$S$1000,$U70-4),INDEX($S$5:$S$1000,$U70-4))&amp;"."&amp;COUNTIFS($U$5:$U70,$U70,$V$5:$V70,"Sub"))))</f>
        <v/>
      </c>
      <c r="B70" s="57" t="n"/>
      <c r="C70" s="58" t="n"/>
      <c r="D70" s="58" t="n"/>
      <c r="E70" s="59">
        <f>IF(N($AL70)&gt;0,INDEX(rIni_ADM,$AL70),"")</f>
        <v/>
      </c>
      <c r="F70" s="59">
        <f>IF(N($AL70)&gt;0,INDEX(rLim_ADM,$AL70),"")</f>
        <v/>
      </c>
      <c r="G70" s="59" t="n"/>
      <c r="H70" s="60" t="n"/>
      <c r="I70" s="60" t="n"/>
      <c r="J70" s="60" t="n"/>
      <c r="K70" s="60" t="n"/>
      <c r="L70" s="60" t="n"/>
      <c r="M70" s="61">
        <f>IF(NOT((COUNTA($B70:$D70)+COUNTA($G70:$L70)+COUNTA($Q70))&gt;0),"",IF($V70="Sub",IFERROR($X70/INDEX($W$5:$W$1000,$U70-4),""),IF(ISNUMBER($G70),1,IF(N($W70)&gt;0,AVERAGEIFS($X$5:$X$1000,$U$5:$U$1000,ROW(),$V$5:$V$1000,"Sub"),$X70))))</f>
        <v/>
      </c>
      <c r="N70" s="56">
        <f>IF(OR($M70="",$V70="Sub"),"",IF($M70&gt;=1,"Completado",IF($M70&gt;0,"En curso","Pendiente")))</f>
        <v/>
      </c>
      <c r="O70" s="56">
        <f>IF(OR(NOT((COUNTA($B70:$D70)+COUNTA($G70:$L70)+COUNTA($Q70))&gt;0),$V70="Sub"),"",IF(ISNUMBER($G70),IF(AND(ISNUMBER($AN70),$G70&gt;$AN70),"Cumplida con "&amp;($G70-$AN70)&amp;IF($G70-$AN70=1," día"," días")&amp;" de retraso","Cumplida"),IF(N($M70)&gt;=1,"Cumplida",IF(NOT(ISNUMBER($AN70)),"Sin fecha límite",IF($AN70&lt;FechaRef,"Vencida hace "&amp;(FechaRef-$AN70)&amp;IF(FechaRef-$AN70=1," día"," días"),IF($AN70=FechaRef,"Vence hoy",IF($AN70-FechaRef&lt;=DiasAlerta,"Vence en "&amp;($AN70-FechaRef)&amp;IF($AN70-FechaRef=1," día"," días"),"En plazo")))))))</f>
        <v/>
      </c>
      <c r="P70" s="62" t="n"/>
      <c r="Q70" s="58" t="n"/>
      <c r="R70" s="63">
        <f>IF(NOT((COUNTA($B70:$D70)+COUNTA($G70:$L70)+COUNTA($Q70))&gt;0),"",IF((IF($C70="","Falta el nombre de la actividad"&amp;" · ","")&amp;IF(AND($V70="Sub",N($U70)=0),"Subactividad sin macroactividad arriba"&amp;" · ","")&amp;IF($AM70="","Sin fecha de inicio"&amp;" · ","")&amp;IF($AN70="","Sin fecha límite"&amp;" · ","")&amp;IF(AND(LEFT($C70,11)="[Jefatura] ",N($AL70)=0),"No se encuentra en la hoja de la jefatura (elíjala de nuevo en la lista)"&amp;" · ","")&amp;IF(OR(AND($E70&lt;&gt;"",NOT(ISNUMBER($E70))),AND($F70&lt;&gt;"",NOT(ISNUMBER($F70))),AND($G70&lt;&gt;"",NOT(ISNUMBER($G70)))),"Fecha no válida"&amp;" · ","")&amp;IF(AND(ISNUMBER($AM70),ISNUMBER($AN70),$AM70&gt;$AN70),"Inicio posterior a fecha límite"&amp;" · ","")&amp;IF(AND($V70="Macro",$H70&lt;&gt;"",OR(NOT(ISNUMBER($H70)),$H70&lt;0,$H70&gt;1)),"Peso fuera de rango"&amp;" · ","")&amp;IF(AND($V70="Sub",$H70&lt;&gt;""),"Las subactividades no llevan peso (valen igual dentro de su macroactividad)"&amp;" · ","")&amp;IF(AND(N($W70)&gt;0,COUNT($I70:$L70)&gt;0),"Con subactividades: deje vacías las semanas (se calculan solas)"&amp;" · ","")&amp;IF((COUNTIF($I70:$L70,"&gt;1")+COUNTIF($I70:$L70,"&lt;0")+COUNTA($I70:$L70)-COUNT($I70:$L70))&gt;0,"Avance fuera de rango 0-100%"&amp;" · ","")&amp;IF(OR(AND($J70&lt;&gt;"",$J70&lt;$I70),AND($K70&lt;&gt;"",$K70&lt;MAX($I70:$J70)),AND($L70&lt;&gt;"",$L70&lt;MAX($I70:$K70))),"Avance semanal decreciente"&amp;" · ","")&amp;IF(AND(ISNUMBER($AN70),$AN70&lt;FechaRef,IF($V70="Sub",N($X70),N($M70))&lt;1),"Vencida"&amp;" · ","")&amp;IF(AND(ObsObligatoria="Sí",ISNUMBER($AN70),$AN70&lt;FechaRef,IF($V70="Sub",N($X70),N($M70))&lt;1,$Q70=""),"Vencida sin observación"&amp;" · ",""))="","✔ OK","⚠ "&amp;LEFT(IF($C70="","Falta el nombre de la actividad"&amp;" · ","")&amp;IF(AND($V70="Sub",N($U70)=0),"Subactividad sin macroactividad arriba"&amp;" · ","")&amp;IF($AM70="","Sin fecha de inicio"&amp;" · ","")&amp;IF($AN70="","Sin fecha límite"&amp;" · ","")&amp;IF(AND(LEFT($C70,11)="[Jefatura] ",N($AL70)=0),"No se encuentra en la hoja de la jefatura (elíjala de nuevo en la lista)"&amp;" · ","")&amp;IF(OR(AND($E70&lt;&gt;"",NOT(ISNUMBER($E70))),AND($F70&lt;&gt;"",NOT(ISNUMBER($F70))),AND($G70&lt;&gt;"",NOT(ISNUMBER($G70)))),"Fecha no válida"&amp;" · ","")&amp;IF(AND(ISNUMBER($AM70),ISNUMBER($AN70),$AM70&gt;$AN70),"Inicio posterior a fecha límite"&amp;" · ","")&amp;IF(AND($V70="Macro",$H70&lt;&gt;"",OR(NOT(ISNUMBER($H70)),$H70&lt;0,$H70&gt;1)),"Peso fuera de rango"&amp;" · ","")&amp;IF(AND($V70="Sub",$H70&lt;&gt;""),"Las subactividades no llevan peso (valen igual dentro de su macroactividad)"&amp;" · ","")&amp;IF(AND(N($W70)&gt;0,COUNT($I70:$L70)&gt;0),"Con subactividades: deje vacías las semanas (se calculan solas)"&amp;" · ","")&amp;IF((COUNTIF($I70:$L70,"&gt;1")+COUNTIF($I70:$L70,"&lt;0")+COUNTA($I70:$L70)-COUNT($I70:$L70))&gt;0,"Avance fuera de rango 0-100%"&amp;" · ","")&amp;IF(OR(AND($J70&lt;&gt;"",$J70&lt;$I70),AND($K70&lt;&gt;"",$K70&lt;MAX($I70:$J70)),AND($L70&lt;&gt;"",$L70&lt;MAX($I70:$K70))),"Avance semanal decreciente"&amp;" · ","")&amp;IF(AND(ISNUMBER($AN70),$AN70&lt;FechaRef,IF($V70="Sub",N($X70),N($M70))&lt;1),"Vencida"&amp;" · ","")&amp;IF(AND(ObsObligatoria="Sí",ISNUMBER($AN70),$AN70&lt;FechaRef,IF($V70="Sub",N($X70),N($M70))&lt;1,$Q70=""),"Vencida sin observación"&amp;" · ",""),LEN(IF($C70="","Falta el nombre de la actividad"&amp;" · ","")&amp;IF(AND($V70="Sub",N($U70)=0),"Subactividad sin macroactividad arriba"&amp;" · ","")&amp;IF($AM70="","Sin fecha de inicio"&amp;" · ","")&amp;IF($AN70="","Sin fecha límite"&amp;" · ","")&amp;IF(AND(LEFT($C70,11)="[Jefatura] ",N($AL70)=0),"No se encuentra en la hoja de la jefatura (elíjala de nuevo en la lista)"&amp;" · ","")&amp;IF(OR(AND($E70&lt;&gt;"",NOT(ISNUMBER($E70))),AND($F70&lt;&gt;"",NOT(ISNUMBER($F70))),AND($G70&lt;&gt;"",NOT(ISNUMBER($G70)))),"Fecha no válida"&amp;" · ","")&amp;IF(AND(ISNUMBER($AM70),ISNUMBER($AN70),$AM70&gt;$AN70),"Inicio posterior a fecha límite"&amp;" · ","")&amp;IF(AND($V70="Macro",$H70&lt;&gt;"",OR(NOT(ISNUMBER($H70)),$H70&lt;0,$H70&gt;1)),"Peso fuera de rango"&amp;" · ","")&amp;IF(AND($V70="Sub",$H70&lt;&gt;""),"Las subactividades no llevan peso (valen igual dentro de su macroactividad)"&amp;" · ","")&amp;IF(AND(N($W70)&gt;0,COUNT($I70:$L70)&gt;0),"Con subactividades: deje vacías las semanas (se calculan solas)"&amp;" · ","")&amp;IF((COUNTIF($I70:$L70,"&gt;1")+COUNTIF($I70:$L70,"&lt;0")+COUNTA($I70:$L70)-COUNT($I70:$L70))&gt;0,"Avance fuera de rango 0-100%"&amp;" · ","")&amp;IF(OR(AND($J70&lt;&gt;"",$J70&lt;$I70),AND($K70&lt;&gt;"",$K70&lt;MAX($I70:$J70)),AND($L70&lt;&gt;"",$L70&lt;MAX($I70:$K70))),"Avance semanal decreciente"&amp;" · ","")&amp;IF(AND(ISNUMBER($AN70),$AN70&lt;FechaRef,IF($V70="Sub",N($X70),N($M70))&lt;1),"Vencida"&amp;" · ","")&amp;IF(AND(ObsObligatoria="Sí",ISNUMBER($AN70),$AN70&lt;FechaRef,IF($V70="Sub",N($X70),N($M70))&lt;1,$Q70=""),"Vencida sin observación"&amp;" · ",""))-3)))</f>
        <v/>
      </c>
      <c r="S70" s="64">
        <f>IF(NOT((COUNTA($B70:$D70)+COUNTA($G70:$L70)+COUNTA($Q70))&gt;0),"",IF(AND($V70="Sub",N($U70)&gt;0),IF(ISNUMBER(INDEX($AM$5:$AM$1000,$U70-4)),DATE(YEAR(INDEX($AM$5:$AM$1000,$U70-4)),MONTH(INDEX($AM$5:$AM$1000,$U70-4)),1),IF(ISNUMBER(INDEX($AN$5:$AN$1000,$U70-4)),DATE(YEAR(INDEX($AN$5:$AN$1000,$U70-4)),MONTH(INDEX($AN$5:$AN$1000,$U70-4)),1),MesCiclo)),IF(ISNUMBER($AM70),DATE(YEAR($AM70),MONTH($AM70),1),IF(ISNUMBER($AN70),DATE(YEAR($AN70),MONTH($AN70),1),MesCiclo))))</f>
        <v/>
      </c>
      <c r="T70" s="62">
        <f>IF(OR($S70="",$S70&lt;&gt;MesCiclo,$V70&lt;&gt;"Macro"),"",COUNTIFS($S$5:$S70,MesCiclo,$V$5:$V70,"Macro"))</f>
        <v/>
      </c>
      <c r="U70" s="62">
        <f>IF($V70="","",IF($V70="Macro",ROW(),IFERROR(LOOKUP(2,1/($V$5:$V70="Macro"),ROW($V$5:$V70)),0)))</f>
        <v/>
      </c>
      <c r="V70" s="62">
        <f>IF(NOT((COUNTA($B70:$D70)+COUNTA($G70:$L70)+COUNTA($Q70))&gt;0),"",IF($B70="Subactividad","Sub","Macro"))</f>
        <v/>
      </c>
      <c r="W70" s="62">
        <f>IF($V70="Macro",COUNTIFS($U$5:$U$1000,ROW(),$V$5:$V$1000,"Sub"),"")</f>
        <v/>
      </c>
      <c r="X70" s="62">
        <f>IF($V70="","",IF(ISNUMBER($G70),1,IFERROR(LOOKUP(2,1/($I70:$L70&lt;&gt;""),$I70:$L70),0)))</f>
        <v/>
      </c>
      <c r="Y70" s="62">
        <f>IF($V70="","",IF(AND(ISNUMBER($G70),$G70&lt;=IF($S70=MesCiclo,InicioCiclo,$S70+MOD(2-WEEKDAY($S70),7))+6),1,IF(ISNUMBER($I70),$I70,0)))</f>
        <v/>
      </c>
      <c r="Z70" s="62">
        <f>IF($V70="","",IF(AND(ISNUMBER($G70),$G70&lt;=IF($S70=MesCiclo,InicioCiclo,$S70+MOD(2-WEEKDAY($S70),7))+13),1,IF(ISNUMBER($J70),$J70,$Y70)))</f>
        <v/>
      </c>
      <c r="AA70" s="62">
        <f>IF($V70="","",IF(AND(ISNUMBER($G70),$G70&lt;=IF($S70=MesCiclo,InicioCiclo,$S70+MOD(2-WEEKDAY($S70),7))+20),1,IF(ISNUMBER($K70),$K70,$Z70)))</f>
        <v/>
      </c>
      <c r="AB70" s="62">
        <f>IF($V70="","",IF(AND(ISNUMBER($G70),$G70&lt;=IF($S70=MesCiclo,InicioCiclo,$S70+MOD(2-WEEKDAY($S70),7))+27),1,IF(ISNUMBER($L70),$L70,$AA70)))</f>
        <v/>
      </c>
      <c r="AC70" s="62">
        <f>IF($V70="","",IF(AND(ISNUMBER($G70),$G70&lt;=IF($S70=MesCiclo,InicioCiclo,$S70+MOD(2-WEEKDAY($S70),7))+6),1,IF(N($W70)&gt;0,AVERAGEIFS($Y$5:$Y$1000,$U$5:$U$1000,ROW(),$V$5:$V$1000,"Sub"),$Y70)))</f>
        <v/>
      </c>
      <c r="AD70" s="62">
        <f>IF($V70="","",IF(AND(ISNUMBER($G70),$G70&lt;=IF($S70=MesCiclo,InicioCiclo,$S70+MOD(2-WEEKDAY($S70),7))+13),1,IF(N($W70)&gt;0,AVERAGEIFS($Z$5:$Z$1000,$U$5:$U$1000,ROW(),$V$5:$V$1000,"Sub"),$Z70)))</f>
        <v/>
      </c>
      <c r="AE70" s="62">
        <f>IF($V70="","",IF(AND(ISNUMBER($G70),$G70&lt;=IF($S70=MesCiclo,InicioCiclo,$S70+MOD(2-WEEKDAY($S70),7))+20),1,IF(N($W70)&gt;0,AVERAGEIFS($AA$5:$AA$1000,$U$5:$U$1000,ROW(),$V$5:$V$1000,"Sub"),$AA70)))</f>
        <v/>
      </c>
      <c r="AF70" s="62">
        <f>IF($V70="","",IF(AND(ISNUMBER($G70),$G70&lt;=IF($S70=MesCiclo,InicioCiclo,$S70+MOD(2-WEEKDAY($S70),7))+27),1,IF(N($W70)&gt;0,AVERAGEIFS($AB$5:$AB$1000,$U$5:$U$1000,ROW(),$V$5:$V$1000,"Sub"),$AB70)))</f>
        <v/>
      </c>
      <c r="AG70" s="62">
        <f>IF($V70&lt;&gt;"Macro","",IF(COUNTIFS($S$5:$S$1000,$S70,$V$5:$V$1000,"Macro",$H$5:$H$1000,"&gt;0")=0,1/COUNTIFS($S$5:$S$1000,$S70,$V$5:$V$1000,"Macro"),IF(AND(ISNUMBER($H70),N($H70)&gt;0),$H70,SUMIFS($H$5:$H$1000,$S$5:$S$1000,$S70,$V$5:$V$1000,"Macro")/COUNTIFS($S$5:$S$1000,$S70,$V$5:$V$1000,"Macro",$H$5:$H$1000,"&gt;0"))/(COUNTIFS($S$5:$S$1000,$S70,$V$5:$V$1000,"Macro")*SUMIFS($H$5:$H$1000,$S$5:$S$1000,$S70,$V$5:$V$1000,"Macro")/COUNTIFS($S$5:$S$1000,$S70,$V$5:$V$1000,"Macro",$H$5:$H$1000,"&gt;0"))))</f>
        <v/>
      </c>
      <c r="AH70" s="62" t="n"/>
      <c r="AI70" s="62" t="n"/>
      <c r="AJ70" s="62" t="n"/>
      <c r="AK70" s="62" t="n"/>
      <c r="AL70" s="62">
        <f>IF(LEFT($C70,11)="[Jefatura] ",IFERROR(MATCH("Riesgo Normativo|"&amp;MID($C70,12,500),rDname_ADM,0),0),"")</f>
        <v/>
      </c>
      <c r="AM70" s="62">
        <f>IF(N($AL70)&gt;0,INDEX(rIni_ADM,$AL70),IF(ISNUMBER($E70),$E70,""))</f>
        <v/>
      </c>
      <c r="AN70" s="62">
        <f>IF(N($AL70)&gt;0,INDEX(rLim_ADM,$AL70),IF(ISNUMBER($F70),$F70,""))</f>
        <v/>
      </c>
    </row>
    <row r="71">
      <c r="A71" s="56">
        <f>IF(NOT((COUNTA($B71:$D71)+COUNTA($G71:$L71)+COUNTA($Q71))&gt;0),"",IF($V71="Macro",COUNTIFS($V$5:$V71,"Macro",$S$5:$S71,$S71),IF(N($U71)=0,"?",COUNTIFS(INDEX($V$5:$V$1000,1):INDEX($V$5:$V$1000,$U71-4),"Macro",INDEX($S$5:$S$1000,1):INDEX($S$5:$S$1000,$U71-4),INDEX($S$5:$S$1000,$U71-4))&amp;"."&amp;COUNTIFS($U$5:$U71,$U71,$V$5:$V71,"Sub"))))</f>
        <v/>
      </c>
      <c r="B71" s="57" t="n"/>
      <c r="C71" s="58" t="n"/>
      <c r="D71" s="58" t="n"/>
      <c r="E71" s="59">
        <f>IF(N($AL71)&gt;0,INDEX(rIni_ADM,$AL71),"")</f>
        <v/>
      </c>
      <c r="F71" s="59">
        <f>IF(N($AL71)&gt;0,INDEX(rLim_ADM,$AL71),"")</f>
        <v/>
      </c>
      <c r="G71" s="59" t="n"/>
      <c r="H71" s="60" t="n"/>
      <c r="I71" s="60" t="n"/>
      <c r="J71" s="60" t="n"/>
      <c r="K71" s="60" t="n"/>
      <c r="L71" s="60" t="n"/>
      <c r="M71" s="61">
        <f>IF(NOT((COUNTA($B71:$D71)+COUNTA($G71:$L71)+COUNTA($Q71))&gt;0),"",IF($V71="Sub",IFERROR($X71/INDEX($W$5:$W$1000,$U71-4),""),IF(ISNUMBER($G71),1,IF(N($W71)&gt;0,AVERAGEIFS($X$5:$X$1000,$U$5:$U$1000,ROW(),$V$5:$V$1000,"Sub"),$X71))))</f>
        <v/>
      </c>
      <c r="N71" s="56">
        <f>IF(OR($M71="",$V71="Sub"),"",IF($M71&gt;=1,"Completado",IF($M71&gt;0,"En curso","Pendiente")))</f>
        <v/>
      </c>
      <c r="O71" s="56">
        <f>IF(OR(NOT((COUNTA($B71:$D71)+COUNTA($G71:$L71)+COUNTA($Q71))&gt;0),$V71="Sub"),"",IF(ISNUMBER($G71),IF(AND(ISNUMBER($AN71),$G71&gt;$AN71),"Cumplida con "&amp;($G71-$AN71)&amp;IF($G71-$AN71=1," día"," días")&amp;" de retraso","Cumplida"),IF(N($M71)&gt;=1,"Cumplida",IF(NOT(ISNUMBER($AN71)),"Sin fecha límite",IF($AN71&lt;FechaRef,"Vencida hace "&amp;(FechaRef-$AN71)&amp;IF(FechaRef-$AN71=1," día"," días"),IF($AN71=FechaRef,"Vence hoy",IF($AN71-FechaRef&lt;=DiasAlerta,"Vence en "&amp;($AN71-FechaRef)&amp;IF($AN71-FechaRef=1," día"," días"),"En plazo")))))))</f>
        <v/>
      </c>
      <c r="P71" s="62" t="n"/>
      <c r="Q71" s="58" t="n"/>
      <c r="R71" s="63">
        <f>IF(NOT((COUNTA($B71:$D71)+COUNTA($G71:$L71)+COUNTA($Q71))&gt;0),"",IF((IF($C71="","Falta el nombre de la actividad"&amp;" · ","")&amp;IF(AND($V71="Sub",N($U71)=0),"Subactividad sin macroactividad arriba"&amp;" · ","")&amp;IF($AM71="","Sin fecha de inicio"&amp;" · ","")&amp;IF($AN71="","Sin fecha límite"&amp;" · ","")&amp;IF(AND(LEFT($C71,11)="[Jefatura] ",N($AL71)=0),"No se encuentra en la hoja de la jefatura (elíjala de nuevo en la lista)"&amp;" · ","")&amp;IF(OR(AND($E71&lt;&gt;"",NOT(ISNUMBER($E71))),AND($F71&lt;&gt;"",NOT(ISNUMBER($F71))),AND($G71&lt;&gt;"",NOT(ISNUMBER($G71)))),"Fecha no válida"&amp;" · ","")&amp;IF(AND(ISNUMBER($AM71),ISNUMBER($AN71),$AM71&gt;$AN71),"Inicio posterior a fecha límite"&amp;" · ","")&amp;IF(AND($V71="Macro",$H71&lt;&gt;"",OR(NOT(ISNUMBER($H71)),$H71&lt;0,$H71&gt;1)),"Peso fuera de rango"&amp;" · ","")&amp;IF(AND($V71="Sub",$H71&lt;&gt;""),"Las subactividades no llevan peso (valen igual dentro de su macroactividad)"&amp;" · ","")&amp;IF(AND(N($W71)&gt;0,COUNT($I71:$L71)&gt;0),"Con subactividades: deje vacías las semanas (se calculan solas)"&amp;" · ","")&amp;IF((COUNTIF($I71:$L71,"&gt;1")+COUNTIF($I71:$L71,"&lt;0")+COUNTA($I71:$L71)-COUNT($I71:$L71))&gt;0,"Avance fuera de rango 0-100%"&amp;" · ","")&amp;IF(OR(AND($J71&lt;&gt;"",$J71&lt;$I71),AND($K71&lt;&gt;"",$K71&lt;MAX($I71:$J71)),AND($L71&lt;&gt;"",$L71&lt;MAX($I71:$K71))),"Avance semanal decreciente"&amp;" · ","")&amp;IF(AND(ISNUMBER($AN71),$AN71&lt;FechaRef,IF($V71="Sub",N($X71),N($M71))&lt;1),"Vencida"&amp;" · ","")&amp;IF(AND(ObsObligatoria="Sí",ISNUMBER($AN71),$AN71&lt;FechaRef,IF($V71="Sub",N($X71),N($M71))&lt;1,$Q71=""),"Vencida sin observación"&amp;" · ",""))="","✔ OK","⚠ "&amp;LEFT(IF($C71="","Falta el nombre de la actividad"&amp;" · ","")&amp;IF(AND($V71="Sub",N($U71)=0),"Subactividad sin macroactividad arriba"&amp;" · ","")&amp;IF($AM71="","Sin fecha de inicio"&amp;" · ","")&amp;IF($AN71="","Sin fecha límite"&amp;" · ","")&amp;IF(AND(LEFT($C71,11)="[Jefatura] ",N($AL71)=0),"No se encuentra en la hoja de la jefatura (elíjala de nuevo en la lista)"&amp;" · ","")&amp;IF(OR(AND($E71&lt;&gt;"",NOT(ISNUMBER($E71))),AND($F71&lt;&gt;"",NOT(ISNUMBER($F71))),AND($G71&lt;&gt;"",NOT(ISNUMBER($G71)))),"Fecha no válida"&amp;" · ","")&amp;IF(AND(ISNUMBER($AM71),ISNUMBER($AN71),$AM71&gt;$AN71),"Inicio posterior a fecha límite"&amp;" · ","")&amp;IF(AND($V71="Macro",$H71&lt;&gt;"",OR(NOT(ISNUMBER($H71)),$H71&lt;0,$H71&gt;1)),"Peso fuera de rango"&amp;" · ","")&amp;IF(AND($V71="Sub",$H71&lt;&gt;""),"Las subactividades no llevan peso (valen igual dentro de su macroactividad)"&amp;" · ","")&amp;IF(AND(N($W71)&gt;0,COUNT($I71:$L71)&gt;0),"Con subactividades: deje vacías las semanas (se calculan solas)"&amp;" · ","")&amp;IF((COUNTIF($I71:$L71,"&gt;1")+COUNTIF($I71:$L71,"&lt;0")+COUNTA($I71:$L71)-COUNT($I71:$L71))&gt;0,"Avance fuera de rango 0-100%"&amp;" · ","")&amp;IF(OR(AND($J71&lt;&gt;"",$J71&lt;$I71),AND($K71&lt;&gt;"",$K71&lt;MAX($I71:$J71)),AND($L71&lt;&gt;"",$L71&lt;MAX($I71:$K71))),"Avance semanal decreciente"&amp;" · ","")&amp;IF(AND(ISNUMBER($AN71),$AN71&lt;FechaRef,IF($V71="Sub",N($X71),N($M71))&lt;1),"Vencida"&amp;" · ","")&amp;IF(AND(ObsObligatoria="Sí",ISNUMBER($AN71),$AN71&lt;FechaRef,IF($V71="Sub",N($X71),N($M71))&lt;1,$Q71=""),"Vencida sin observación"&amp;" · ",""),LEN(IF($C71="","Falta el nombre de la actividad"&amp;" · ","")&amp;IF(AND($V71="Sub",N($U71)=0),"Subactividad sin macroactividad arriba"&amp;" · ","")&amp;IF($AM71="","Sin fecha de inicio"&amp;" · ","")&amp;IF($AN71="","Sin fecha límite"&amp;" · ","")&amp;IF(AND(LEFT($C71,11)="[Jefatura] ",N($AL71)=0),"No se encuentra en la hoja de la jefatura (elíjala de nuevo en la lista)"&amp;" · ","")&amp;IF(OR(AND($E71&lt;&gt;"",NOT(ISNUMBER($E71))),AND($F71&lt;&gt;"",NOT(ISNUMBER($F71))),AND($G71&lt;&gt;"",NOT(ISNUMBER($G71)))),"Fecha no válida"&amp;" · ","")&amp;IF(AND(ISNUMBER($AM71),ISNUMBER($AN71),$AM71&gt;$AN71),"Inicio posterior a fecha límite"&amp;" · ","")&amp;IF(AND($V71="Macro",$H71&lt;&gt;"",OR(NOT(ISNUMBER($H71)),$H71&lt;0,$H71&gt;1)),"Peso fuera de rango"&amp;" · ","")&amp;IF(AND($V71="Sub",$H71&lt;&gt;""),"Las subactividades no llevan peso (valen igual dentro de su macroactividad)"&amp;" · ","")&amp;IF(AND(N($W71)&gt;0,COUNT($I71:$L71)&gt;0),"Con subactividades: deje vacías las semanas (se calculan solas)"&amp;" · ","")&amp;IF((COUNTIF($I71:$L71,"&gt;1")+COUNTIF($I71:$L71,"&lt;0")+COUNTA($I71:$L71)-COUNT($I71:$L71))&gt;0,"Avance fuera de rango 0-100%"&amp;" · ","")&amp;IF(OR(AND($J71&lt;&gt;"",$J71&lt;$I71),AND($K71&lt;&gt;"",$K71&lt;MAX($I71:$J71)),AND($L71&lt;&gt;"",$L71&lt;MAX($I71:$K71))),"Avance semanal decreciente"&amp;" · ","")&amp;IF(AND(ISNUMBER($AN71),$AN71&lt;FechaRef,IF($V71="Sub",N($X71),N($M71))&lt;1),"Vencida"&amp;" · ","")&amp;IF(AND(ObsObligatoria="Sí",ISNUMBER($AN71),$AN71&lt;FechaRef,IF($V71="Sub",N($X71),N($M71))&lt;1,$Q71=""),"Vencida sin observación"&amp;" · ",""))-3)))</f>
        <v/>
      </c>
      <c r="S71" s="64">
        <f>IF(NOT((COUNTA($B71:$D71)+COUNTA($G71:$L71)+COUNTA($Q71))&gt;0),"",IF(AND($V71="Sub",N($U71)&gt;0),IF(ISNUMBER(INDEX($AM$5:$AM$1000,$U71-4)),DATE(YEAR(INDEX($AM$5:$AM$1000,$U71-4)),MONTH(INDEX($AM$5:$AM$1000,$U71-4)),1),IF(ISNUMBER(INDEX($AN$5:$AN$1000,$U71-4)),DATE(YEAR(INDEX($AN$5:$AN$1000,$U71-4)),MONTH(INDEX($AN$5:$AN$1000,$U71-4)),1),MesCiclo)),IF(ISNUMBER($AM71),DATE(YEAR($AM71),MONTH($AM71),1),IF(ISNUMBER($AN71),DATE(YEAR($AN71),MONTH($AN71),1),MesCiclo))))</f>
        <v/>
      </c>
      <c r="T71" s="62">
        <f>IF(OR($S71="",$S71&lt;&gt;MesCiclo,$V71&lt;&gt;"Macro"),"",COUNTIFS($S$5:$S71,MesCiclo,$V$5:$V71,"Macro"))</f>
        <v/>
      </c>
      <c r="U71" s="62">
        <f>IF($V71="","",IF($V71="Macro",ROW(),IFERROR(LOOKUP(2,1/($V$5:$V71="Macro"),ROW($V$5:$V71)),0)))</f>
        <v/>
      </c>
      <c r="V71" s="62">
        <f>IF(NOT((COUNTA($B71:$D71)+COUNTA($G71:$L71)+COUNTA($Q71))&gt;0),"",IF($B71="Subactividad","Sub","Macro"))</f>
        <v/>
      </c>
      <c r="W71" s="62">
        <f>IF($V71="Macro",COUNTIFS($U$5:$U$1000,ROW(),$V$5:$V$1000,"Sub"),"")</f>
        <v/>
      </c>
      <c r="X71" s="62">
        <f>IF($V71="","",IF(ISNUMBER($G71),1,IFERROR(LOOKUP(2,1/($I71:$L71&lt;&gt;""),$I71:$L71),0)))</f>
        <v/>
      </c>
      <c r="Y71" s="62">
        <f>IF($V71="","",IF(AND(ISNUMBER($G71),$G71&lt;=IF($S71=MesCiclo,InicioCiclo,$S71+MOD(2-WEEKDAY($S71),7))+6),1,IF(ISNUMBER($I71),$I71,0)))</f>
        <v/>
      </c>
      <c r="Z71" s="62">
        <f>IF($V71="","",IF(AND(ISNUMBER($G71),$G71&lt;=IF($S71=MesCiclo,InicioCiclo,$S71+MOD(2-WEEKDAY($S71),7))+13),1,IF(ISNUMBER($J71),$J71,$Y71)))</f>
        <v/>
      </c>
      <c r="AA71" s="62">
        <f>IF($V71="","",IF(AND(ISNUMBER($G71),$G71&lt;=IF($S71=MesCiclo,InicioCiclo,$S71+MOD(2-WEEKDAY($S71),7))+20),1,IF(ISNUMBER($K71),$K71,$Z71)))</f>
        <v/>
      </c>
      <c r="AB71" s="62">
        <f>IF($V71="","",IF(AND(ISNUMBER($G71),$G71&lt;=IF($S71=MesCiclo,InicioCiclo,$S71+MOD(2-WEEKDAY($S71),7))+27),1,IF(ISNUMBER($L71),$L71,$AA71)))</f>
        <v/>
      </c>
      <c r="AC71" s="62">
        <f>IF($V71="","",IF(AND(ISNUMBER($G71),$G71&lt;=IF($S71=MesCiclo,InicioCiclo,$S71+MOD(2-WEEKDAY($S71),7))+6),1,IF(N($W71)&gt;0,AVERAGEIFS($Y$5:$Y$1000,$U$5:$U$1000,ROW(),$V$5:$V$1000,"Sub"),$Y71)))</f>
        <v/>
      </c>
      <c r="AD71" s="62">
        <f>IF($V71="","",IF(AND(ISNUMBER($G71),$G71&lt;=IF($S71=MesCiclo,InicioCiclo,$S71+MOD(2-WEEKDAY($S71),7))+13),1,IF(N($W71)&gt;0,AVERAGEIFS($Z$5:$Z$1000,$U$5:$U$1000,ROW(),$V$5:$V$1000,"Sub"),$Z71)))</f>
        <v/>
      </c>
      <c r="AE71" s="62">
        <f>IF($V71="","",IF(AND(ISNUMBER($G71),$G71&lt;=IF($S71=MesCiclo,InicioCiclo,$S71+MOD(2-WEEKDAY($S71),7))+20),1,IF(N($W71)&gt;0,AVERAGEIFS($AA$5:$AA$1000,$U$5:$U$1000,ROW(),$V$5:$V$1000,"Sub"),$AA71)))</f>
        <v/>
      </c>
      <c r="AF71" s="62">
        <f>IF($V71="","",IF(AND(ISNUMBER($G71),$G71&lt;=IF($S71=MesCiclo,InicioCiclo,$S71+MOD(2-WEEKDAY($S71),7))+27),1,IF(N($W71)&gt;0,AVERAGEIFS($AB$5:$AB$1000,$U$5:$U$1000,ROW(),$V$5:$V$1000,"Sub"),$AB71)))</f>
        <v/>
      </c>
      <c r="AG71" s="62">
        <f>IF($V71&lt;&gt;"Macro","",IF(COUNTIFS($S$5:$S$1000,$S71,$V$5:$V$1000,"Macro",$H$5:$H$1000,"&gt;0")=0,1/COUNTIFS($S$5:$S$1000,$S71,$V$5:$V$1000,"Macro"),IF(AND(ISNUMBER($H71),N($H71)&gt;0),$H71,SUMIFS($H$5:$H$1000,$S$5:$S$1000,$S71,$V$5:$V$1000,"Macro")/COUNTIFS($S$5:$S$1000,$S71,$V$5:$V$1000,"Macro",$H$5:$H$1000,"&gt;0"))/(COUNTIFS($S$5:$S$1000,$S71,$V$5:$V$1000,"Macro")*SUMIFS($H$5:$H$1000,$S$5:$S$1000,$S71,$V$5:$V$1000,"Macro")/COUNTIFS($S$5:$S$1000,$S71,$V$5:$V$1000,"Macro",$H$5:$H$1000,"&gt;0"))))</f>
        <v/>
      </c>
      <c r="AH71" s="62" t="n"/>
      <c r="AI71" s="62" t="n"/>
      <c r="AJ71" s="62" t="n"/>
      <c r="AK71" s="62" t="n"/>
      <c r="AL71" s="62">
        <f>IF(LEFT($C71,11)="[Jefatura] ",IFERROR(MATCH("Riesgo Normativo|"&amp;MID($C71,12,500),rDname_ADM,0),0),"")</f>
        <v/>
      </c>
      <c r="AM71" s="62">
        <f>IF(N($AL71)&gt;0,INDEX(rIni_ADM,$AL71),IF(ISNUMBER($E71),$E71,""))</f>
        <v/>
      </c>
      <c r="AN71" s="62">
        <f>IF(N($AL71)&gt;0,INDEX(rLim_ADM,$AL71),IF(ISNUMBER($F71),$F71,""))</f>
        <v/>
      </c>
    </row>
    <row r="72">
      <c r="A72" s="56">
        <f>IF(NOT((COUNTA($B72:$D72)+COUNTA($G72:$L72)+COUNTA($Q72))&gt;0),"",IF($V72="Macro",COUNTIFS($V$5:$V72,"Macro",$S$5:$S72,$S72),IF(N($U72)=0,"?",COUNTIFS(INDEX($V$5:$V$1000,1):INDEX($V$5:$V$1000,$U72-4),"Macro",INDEX($S$5:$S$1000,1):INDEX($S$5:$S$1000,$U72-4),INDEX($S$5:$S$1000,$U72-4))&amp;"."&amp;COUNTIFS($U$5:$U72,$U72,$V$5:$V72,"Sub"))))</f>
        <v/>
      </c>
      <c r="B72" s="57" t="n"/>
      <c r="C72" s="58" t="n"/>
      <c r="D72" s="58" t="n"/>
      <c r="E72" s="59">
        <f>IF(N($AL72)&gt;0,INDEX(rIni_ADM,$AL72),"")</f>
        <v/>
      </c>
      <c r="F72" s="59">
        <f>IF(N($AL72)&gt;0,INDEX(rLim_ADM,$AL72),"")</f>
        <v/>
      </c>
      <c r="G72" s="59" t="n"/>
      <c r="H72" s="60" t="n"/>
      <c r="I72" s="60" t="n"/>
      <c r="J72" s="60" t="n"/>
      <c r="K72" s="60" t="n"/>
      <c r="L72" s="60" t="n"/>
      <c r="M72" s="61">
        <f>IF(NOT((COUNTA($B72:$D72)+COUNTA($G72:$L72)+COUNTA($Q72))&gt;0),"",IF($V72="Sub",IFERROR($X72/INDEX($W$5:$W$1000,$U72-4),""),IF(ISNUMBER($G72),1,IF(N($W72)&gt;0,AVERAGEIFS($X$5:$X$1000,$U$5:$U$1000,ROW(),$V$5:$V$1000,"Sub"),$X72))))</f>
        <v/>
      </c>
      <c r="N72" s="56">
        <f>IF(OR($M72="",$V72="Sub"),"",IF($M72&gt;=1,"Completado",IF($M72&gt;0,"En curso","Pendiente")))</f>
        <v/>
      </c>
      <c r="O72" s="56">
        <f>IF(OR(NOT((COUNTA($B72:$D72)+COUNTA($G72:$L72)+COUNTA($Q72))&gt;0),$V72="Sub"),"",IF(ISNUMBER($G72),IF(AND(ISNUMBER($AN72),$G72&gt;$AN72),"Cumplida con "&amp;($G72-$AN72)&amp;IF($G72-$AN72=1," día"," días")&amp;" de retraso","Cumplida"),IF(N($M72)&gt;=1,"Cumplida",IF(NOT(ISNUMBER($AN72)),"Sin fecha límite",IF($AN72&lt;FechaRef,"Vencida hace "&amp;(FechaRef-$AN72)&amp;IF(FechaRef-$AN72=1," día"," días"),IF($AN72=FechaRef,"Vence hoy",IF($AN72-FechaRef&lt;=DiasAlerta,"Vence en "&amp;($AN72-FechaRef)&amp;IF($AN72-FechaRef=1," día"," días"),"En plazo")))))))</f>
        <v/>
      </c>
      <c r="P72" s="62" t="n"/>
      <c r="Q72" s="58" t="n"/>
      <c r="R72" s="63">
        <f>IF(NOT((COUNTA($B72:$D72)+COUNTA($G72:$L72)+COUNTA($Q72))&gt;0),"",IF((IF($C72="","Falta el nombre de la actividad"&amp;" · ","")&amp;IF(AND($V72="Sub",N($U72)=0),"Subactividad sin macroactividad arriba"&amp;" · ","")&amp;IF($AM72="","Sin fecha de inicio"&amp;" · ","")&amp;IF($AN72="","Sin fecha límite"&amp;" · ","")&amp;IF(AND(LEFT($C72,11)="[Jefatura] ",N($AL72)=0),"No se encuentra en la hoja de la jefatura (elíjala de nuevo en la lista)"&amp;" · ","")&amp;IF(OR(AND($E72&lt;&gt;"",NOT(ISNUMBER($E72))),AND($F72&lt;&gt;"",NOT(ISNUMBER($F72))),AND($G72&lt;&gt;"",NOT(ISNUMBER($G72)))),"Fecha no válida"&amp;" · ","")&amp;IF(AND(ISNUMBER($AM72),ISNUMBER($AN72),$AM72&gt;$AN72),"Inicio posterior a fecha límite"&amp;" · ","")&amp;IF(AND($V72="Macro",$H72&lt;&gt;"",OR(NOT(ISNUMBER($H72)),$H72&lt;0,$H72&gt;1)),"Peso fuera de rango"&amp;" · ","")&amp;IF(AND($V72="Sub",$H72&lt;&gt;""),"Las subactividades no llevan peso (valen igual dentro de su macroactividad)"&amp;" · ","")&amp;IF(AND(N($W72)&gt;0,COUNT($I72:$L72)&gt;0),"Con subactividades: deje vacías las semanas (se calculan solas)"&amp;" · ","")&amp;IF((COUNTIF($I72:$L72,"&gt;1")+COUNTIF($I72:$L72,"&lt;0")+COUNTA($I72:$L72)-COUNT($I72:$L72))&gt;0,"Avance fuera de rango 0-100%"&amp;" · ","")&amp;IF(OR(AND($J72&lt;&gt;"",$J72&lt;$I72),AND($K72&lt;&gt;"",$K72&lt;MAX($I72:$J72)),AND($L72&lt;&gt;"",$L72&lt;MAX($I72:$K72))),"Avance semanal decreciente"&amp;" · ","")&amp;IF(AND(ISNUMBER($AN72),$AN72&lt;FechaRef,IF($V72="Sub",N($X72),N($M72))&lt;1),"Vencida"&amp;" · ","")&amp;IF(AND(ObsObligatoria="Sí",ISNUMBER($AN72),$AN72&lt;FechaRef,IF($V72="Sub",N($X72),N($M72))&lt;1,$Q72=""),"Vencida sin observación"&amp;" · ",""))="","✔ OK","⚠ "&amp;LEFT(IF($C72="","Falta el nombre de la actividad"&amp;" · ","")&amp;IF(AND($V72="Sub",N($U72)=0),"Subactividad sin macroactividad arriba"&amp;" · ","")&amp;IF($AM72="","Sin fecha de inicio"&amp;" · ","")&amp;IF($AN72="","Sin fecha límite"&amp;" · ","")&amp;IF(AND(LEFT($C72,11)="[Jefatura] ",N($AL72)=0),"No se encuentra en la hoja de la jefatura (elíjala de nuevo en la lista)"&amp;" · ","")&amp;IF(OR(AND($E72&lt;&gt;"",NOT(ISNUMBER($E72))),AND($F72&lt;&gt;"",NOT(ISNUMBER($F72))),AND($G72&lt;&gt;"",NOT(ISNUMBER($G72)))),"Fecha no válida"&amp;" · ","")&amp;IF(AND(ISNUMBER($AM72),ISNUMBER($AN72),$AM72&gt;$AN72),"Inicio posterior a fecha límite"&amp;" · ","")&amp;IF(AND($V72="Macro",$H72&lt;&gt;"",OR(NOT(ISNUMBER($H72)),$H72&lt;0,$H72&gt;1)),"Peso fuera de rango"&amp;" · ","")&amp;IF(AND($V72="Sub",$H72&lt;&gt;""),"Las subactividades no llevan peso (valen igual dentro de su macroactividad)"&amp;" · ","")&amp;IF(AND(N($W72)&gt;0,COUNT($I72:$L72)&gt;0),"Con subactividades: deje vacías las semanas (se calculan solas)"&amp;" · ","")&amp;IF((COUNTIF($I72:$L72,"&gt;1")+COUNTIF($I72:$L72,"&lt;0")+COUNTA($I72:$L72)-COUNT($I72:$L72))&gt;0,"Avance fuera de rango 0-100%"&amp;" · ","")&amp;IF(OR(AND($J72&lt;&gt;"",$J72&lt;$I72),AND($K72&lt;&gt;"",$K72&lt;MAX($I72:$J72)),AND($L72&lt;&gt;"",$L72&lt;MAX($I72:$K72))),"Avance semanal decreciente"&amp;" · ","")&amp;IF(AND(ISNUMBER($AN72),$AN72&lt;FechaRef,IF($V72="Sub",N($X72),N($M72))&lt;1),"Vencida"&amp;" · ","")&amp;IF(AND(ObsObligatoria="Sí",ISNUMBER($AN72),$AN72&lt;FechaRef,IF($V72="Sub",N($X72),N($M72))&lt;1,$Q72=""),"Vencida sin observación"&amp;" · ",""),LEN(IF($C72="","Falta el nombre de la actividad"&amp;" · ","")&amp;IF(AND($V72="Sub",N($U72)=0),"Subactividad sin macroactividad arriba"&amp;" · ","")&amp;IF($AM72="","Sin fecha de inicio"&amp;" · ","")&amp;IF($AN72="","Sin fecha límite"&amp;" · ","")&amp;IF(AND(LEFT($C72,11)="[Jefatura] ",N($AL72)=0),"No se encuentra en la hoja de la jefatura (elíjala de nuevo en la lista)"&amp;" · ","")&amp;IF(OR(AND($E72&lt;&gt;"",NOT(ISNUMBER($E72))),AND($F72&lt;&gt;"",NOT(ISNUMBER($F72))),AND($G72&lt;&gt;"",NOT(ISNUMBER($G72)))),"Fecha no válida"&amp;" · ","")&amp;IF(AND(ISNUMBER($AM72),ISNUMBER($AN72),$AM72&gt;$AN72),"Inicio posterior a fecha límite"&amp;" · ","")&amp;IF(AND($V72="Macro",$H72&lt;&gt;"",OR(NOT(ISNUMBER($H72)),$H72&lt;0,$H72&gt;1)),"Peso fuera de rango"&amp;" · ","")&amp;IF(AND($V72="Sub",$H72&lt;&gt;""),"Las subactividades no llevan peso (valen igual dentro de su macroactividad)"&amp;" · ","")&amp;IF(AND(N($W72)&gt;0,COUNT($I72:$L72)&gt;0),"Con subactividades: deje vacías las semanas (se calculan solas)"&amp;" · ","")&amp;IF((COUNTIF($I72:$L72,"&gt;1")+COUNTIF($I72:$L72,"&lt;0")+COUNTA($I72:$L72)-COUNT($I72:$L72))&gt;0,"Avance fuera de rango 0-100%"&amp;" · ","")&amp;IF(OR(AND($J72&lt;&gt;"",$J72&lt;$I72),AND($K72&lt;&gt;"",$K72&lt;MAX($I72:$J72)),AND($L72&lt;&gt;"",$L72&lt;MAX($I72:$K72))),"Avance semanal decreciente"&amp;" · ","")&amp;IF(AND(ISNUMBER($AN72),$AN72&lt;FechaRef,IF($V72="Sub",N($X72),N($M72))&lt;1),"Vencida"&amp;" · ","")&amp;IF(AND(ObsObligatoria="Sí",ISNUMBER($AN72),$AN72&lt;FechaRef,IF($V72="Sub",N($X72),N($M72))&lt;1,$Q72=""),"Vencida sin observación"&amp;" · ",""))-3)))</f>
        <v/>
      </c>
      <c r="S72" s="64">
        <f>IF(NOT((COUNTA($B72:$D72)+COUNTA($G72:$L72)+COUNTA($Q72))&gt;0),"",IF(AND($V72="Sub",N($U72)&gt;0),IF(ISNUMBER(INDEX($AM$5:$AM$1000,$U72-4)),DATE(YEAR(INDEX($AM$5:$AM$1000,$U72-4)),MONTH(INDEX($AM$5:$AM$1000,$U72-4)),1),IF(ISNUMBER(INDEX($AN$5:$AN$1000,$U72-4)),DATE(YEAR(INDEX($AN$5:$AN$1000,$U72-4)),MONTH(INDEX($AN$5:$AN$1000,$U72-4)),1),MesCiclo)),IF(ISNUMBER($AM72),DATE(YEAR($AM72),MONTH($AM72),1),IF(ISNUMBER($AN72),DATE(YEAR($AN72),MONTH($AN72),1),MesCiclo))))</f>
        <v/>
      </c>
      <c r="T72" s="62">
        <f>IF(OR($S72="",$S72&lt;&gt;MesCiclo,$V72&lt;&gt;"Macro"),"",COUNTIFS($S$5:$S72,MesCiclo,$V$5:$V72,"Macro"))</f>
        <v/>
      </c>
      <c r="U72" s="62">
        <f>IF($V72="","",IF($V72="Macro",ROW(),IFERROR(LOOKUP(2,1/($V$5:$V72="Macro"),ROW($V$5:$V72)),0)))</f>
        <v/>
      </c>
      <c r="V72" s="62">
        <f>IF(NOT((COUNTA($B72:$D72)+COUNTA($G72:$L72)+COUNTA($Q72))&gt;0),"",IF($B72="Subactividad","Sub","Macro"))</f>
        <v/>
      </c>
      <c r="W72" s="62">
        <f>IF($V72="Macro",COUNTIFS($U$5:$U$1000,ROW(),$V$5:$V$1000,"Sub"),"")</f>
        <v/>
      </c>
      <c r="X72" s="62">
        <f>IF($V72="","",IF(ISNUMBER($G72),1,IFERROR(LOOKUP(2,1/($I72:$L72&lt;&gt;""),$I72:$L72),0)))</f>
        <v/>
      </c>
      <c r="Y72" s="62">
        <f>IF($V72="","",IF(AND(ISNUMBER($G72),$G72&lt;=IF($S72=MesCiclo,InicioCiclo,$S72+MOD(2-WEEKDAY($S72),7))+6),1,IF(ISNUMBER($I72),$I72,0)))</f>
        <v/>
      </c>
      <c r="Z72" s="62">
        <f>IF($V72="","",IF(AND(ISNUMBER($G72),$G72&lt;=IF($S72=MesCiclo,InicioCiclo,$S72+MOD(2-WEEKDAY($S72),7))+13),1,IF(ISNUMBER($J72),$J72,$Y72)))</f>
        <v/>
      </c>
      <c r="AA72" s="62">
        <f>IF($V72="","",IF(AND(ISNUMBER($G72),$G72&lt;=IF($S72=MesCiclo,InicioCiclo,$S72+MOD(2-WEEKDAY($S72),7))+20),1,IF(ISNUMBER($K72),$K72,$Z72)))</f>
        <v/>
      </c>
      <c r="AB72" s="62">
        <f>IF($V72="","",IF(AND(ISNUMBER($G72),$G72&lt;=IF($S72=MesCiclo,InicioCiclo,$S72+MOD(2-WEEKDAY($S72),7))+27),1,IF(ISNUMBER($L72),$L72,$AA72)))</f>
        <v/>
      </c>
      <c r="AC72" s="62">
        <f>IF($V72="","",IF(AND(ISNUMBER($G72),$G72&lt;=IF($S72=MesCiclo,InicioCiclo,$S72+MOD(2-WEEKDAY($S72),7))+6),1,IF(N($W72)&gt;0,AVERAGEIFS($Y$5:$Y$1000,$U$5:$U$1000,ROW(),$V$5:$V$1000,"Sub"),$Y72)))</f>
        <v/>
      </c>
      <c r="AD72" s="62">
        <f>IF($V72="","",IF(AND(ISNUMBER($G72),$G72&lt;=IF($S72=MesCiclo,InicioCiclo,$S72+MOD(2-WEEKDAY($S72),7))+13),1,IF(N($W72)&gt;0,AVERAGEIFS($Z$5:$Z$1000,$U$5:$U$1000,ROW(),$V$5:$V$1000,"Sub"),$Z72)))</f>
        <v/>
      </c>
      <c r="AE72" s="62">
        <f>IF($V72="","",IF(AND(ISNUMBER($G72),$G72&lt;=IF($S72=MesCiclo,InicioCiclo,$S72+MOD(2-WEEKDAY($S72),7))+20),1,IF(N($W72)&gt;0,AVERAGEIFS($AA$5:$AA$1000,$U$5:$U$1000,ROW(),$V$5:$V$1000,"Sub"),$AA72)))</f>
        <v/>
      </c>
      <c r="AF72" s="62">
        <f>IF($V72="","",IF(AND(ISNUMBER($G72),$G72&lt;=IF($S72=MesCiclo,InicioCiclo,$S72+MOD(2-WEEKDAY($S72),7))+27),1,IF(N($W72)&gt;0,AVERAGEIFS($AB$5:$AB$1000,$U$5:$U$1000,ROW(),$V$5:$V$1000,"Sub"),$AB72)))</f>
        <v/>
      </c>
      <c r="AG72" s="62">
        <f>IF($V72&lt;&gt;"Macro","",IF(COUNTIFS($S$5:$S$1000,$S72,$V$5:$V$1000,"Macro",$H$5:$H$1000,"&gt;0")=0,1/COUNTIFS($S$5:$S$1000,$S72,$V$5:$V$1000,"Macro"),IF(AND(ISNUMBER($H72),N($H72)&gt;0),$H72,SUMIFS($H$5:$H$1000,$S$5:$S$1000,$S72,$V$5:$V$1000,"Macro")/COUNTIFS($S$5:$S$1000,$S72,$V$5:$V$1000,"Macro",$H$5:$H$1000,"&gt;0"))/(COUNTIFS($S$5:$S$1000,$S72,$V$5:$V$1000,"Macro")*SUMIFS($H$5:$H$1000,$S$5:$S$1000,$S72,$V$5:$V$1000,"Macro")/COUNTIFS($S$5:$S$1000,$S72,$V$5:$V$1000,"Macro",$H$5:$H$1000,"&gt;0"))))</f>
        <v/>
      </c>
      <c r="AH72" s="62" t="n"/>
      <c r="AI72" s="62" t="n"/>
      <c r="AJ72" s="62" t="n"/>
      <c r="AK72" s="62" t="n"/>
      <c r="AL72" s="62">
        <f>IF(LEFT($C72,11)="[Jefatura] ",IFERROR(MATCH("Riesgo Normativo|"&amp;MID($C72,12,500),rDname_ADM,0),0),"")</f>
        <v/>
      </c>
      <c r="AM72" s="62">
        <f>IF(N($AL72)&gt;0,INDEX(rIni_ADM,$AL72),IF(ISNUMBER($E72),$E72,""))</f>
        <v/>
      </c>
      <c r="AN72" s="62">
        <f>IF(N($AL72)&gt;0,INDEX(rLim_ADM,$AL72),IF(ISNUMBER($F72),$F72,""))</f>
        <v/>
      </c>
    </row>
    <row r="73">
      <c r="A73" s="56">
        <f>IF(NOT((COUNTA($B73:$D73)+COUNTA($G73:$L73)+COUNTA($Q73))&gt;0),"",IF($V73="Macro",COUNTIFS($V$5:$V73,"Macro",$S$5:$S73,$S73),IF(N($U73)=0,"?",COUNTIFS(INDEX($V$5:$V$1000,1):INDEX($V$5:$V$1000,$U73-4),"Macro",INDEX($S$5:$S$1000,1):INDEX($S$5:$S$1000,$U73-4),INDEX($S$5:$S$1000,$U73-4))&amp;"."&amp;COUNTIFS($U$5:$U73,$U73,$V$5:$V73,"Sub"))))</f>
        <v/>
      </c>
      <c r="B73" s="57" t="n"/>
      <c r="C73" s="58" t="n"/>
      <c r="D73" s="58" t="n"/>
      <c r="E73" s="59">
        <f>IF(N($AL73)&gt;0,INDEX(rIni_ADM,$AL73),"")</f>
        <v/>
      </c>
      <c r="F73" s="59">
        <f>IF(N($AL73)&gt;0,INDEX(rLim_ADM,$AL73),"")</f>
        <v/>
      </c>
      <c r="G73" s="59" t="n"/>
      <c r="H73" s="60" t="n"/>
      <c r="I73" s="60" t="n"/>
      <c r="J73" s="60" t="n"/>
      <c r="K73" s="60" t="n"/>
      <c r="L73" s="60" t="n"/>
      <c r="M73" s="61">
        <f>IF(NOT((COUNTA($B73:$D73)+COUNTA($G73:$L73)+COUNTA($Q73))&gt;0),"",IF($V73="Sub",IFERROR($X73/INDEX($W$5:$W$1000,$U73-4),""),IF(ISNUMBER($G73),1,IF(N($W73)&gt;0,AVERAGEIFS($X$5:$X$1000,$U$5:$U$1000,ROW(),$V$5:$V$1000,"Sub"),$X73))))</f>
        <v/>
      </c>
      <c r="N73" s="56">
        <f>IF(OR($M73="",$V73="Sub"),"",IF($M73&gt;=1,"Completado",IF($M73&gt;0,"En curso","Pendiente")))</f>
        <v/>
      </c>
      <c r="O73" s="56">
        <f>IF(OR(NOT((COUNTA($B73:$D73)+COUNTA($G73:$L73)+COUNTA($Q73))&gt;0),$V73="Sub"),"",IF(ISNUMBER($G73),IF(AND(ISNUMBER($AN73),$G73&gt;$AN73),"Cumplida con "&amp;($G73-$AN73)&amp;IF($G73-$AN73=1," día"," días")&amp;" de retraso","Cumplida"),IF(N($M73)&gt;=1,"Cumplida",IF(NOT(ISNUMBER($AN73)),"Sin fecha límite",IF($AN73&lt;FechaRef,"Vencida hace "&amp;(FechaRef-$AN73)&amp;IF(FechaRef-$AN73=1," día"," días"),IF($AN73=FechaRef,"Vence hoy",IF($AN73-FechaRef&lt;=DiasAlerta,"Vence en "&amp;($AN73-FechaRef)&amp;IF($AN73-FechaRef=1," día"," días"),"En plazo")))))))</f>
        <v/>
      </c>
      <c r="P73" s="62" t="n"/>
      <c r="Q73" s="58" t="n"/>
      <c r="R73" s="63">
        <f>IF(NOT((COUNTA($B73:$D73)+COUNTA($G73:$L73)+COUNTA($Q73))&gt;0),"",IF((IF($C73="","Falta el nombre de la actividad"&amp;" · ","")&amp;IF(AND($V73="Sub",N($U73)=0),"Subactividad sin macroactividad arriba"&amp;" · ","")&amp;IF($AM73="","Sin fecha de inicio"&amp;" · ","")&amp;IF($AN73="","Sin fecha límite"&amp;" · ","")&amp;IF(AND(LEFT($C73,11)="[Jefatura] ",N($AL73)=0),"No se encuentra en la hoja de la jefatura (elíjala de nuevo en la lista)"&amp;" · ","")&amp;IF(OR(AND($E73&lt;&gt;"",NOT(ISNUMBER($E73))),AND($F73&lt;&gt;"",NOT(ISNUMBER($F73))),AND($G73&lt;&gt;"",NOT(ISNUMBER($G73)))),"Fecha no válida"&amp;" · ","")&amp;IF(AND(ISNUMBER($AM73),ISNUMBER($AN73),$AM73&gt;$AN73),"Inicio posterior a fecha límite"&amp;" · ","")&amp;IF(AND($V73="Macro",$H73&lt;&gt;"",OR(NOT(ISNUMBER($H73)),$H73&lt;0,$H73&gt;1)),"Peso fuera de rango"&amp;" · ","")&amp;IF(AND($V73="Sub",$H73&lt;&gt;""),"Las subactividades no llevan peso (valen igual dentro de su macroactividad)"&amp;" · ","")&amp;IF(AND(N($W73)&gt;0,COUNT($I73:$L73)&gt;0),"Con subactividades: deje vacías las semanas (se calculan solas)"&amp;" · ","")&amp;IF((COUNTIF($I73:$L73,"&gt;1")+COUNTIF($I73:$L73,"&lt;0")+COUNTA($I73:$L73)-COUNT($I73:$L73))&gt;0,"Avance fuera de rango 0-100%"&amp;" · ","")&amp;IF(OR(AND($J73&lt;&gt;"",$J73&lt;$I73),AND($K73&lt;&gt;"",$K73&lt;MAX($I73:$J73)),AND($L73&lt;&gt;"",$L73&lt;MAX($I73:$K73))),"Avance semanal decreciente"&amp;" · ","")&amp;IF(AND(ISNUMBER($AN73),$AN73&lt;FechaRef,IF($V73="Sub",N($X73),N($M73))&lt;1),"Vencida"&amp;" · ","")&amp;IF(AND(ObsObligatoria="Sí",ISNUMBER($AN73),$AN73&lt;FechaRef,IF($V73="Sub",N($X73),N($M73))&lt;1,$Q73=""),"Vencida sin observación"&amp;" · ",""))="","✔ OK","⚠ "&amp;LEFT(IF($C73="","Falta el nombre de la actividad"&amp;" · ","")&amp;IF(AND($V73="Sub",N($U73)=0),"Subactividad sin macroactividad arriba"&amp;" · ","")&amp;IF($AM73="","Sin fecha de inicio"&amp;" · ","")&amp;IF($AN73="","Sin fecha límite"&amp;" · ","")&amp;IF(AND(LEFT($C73,11)="[Jefatura] ",N($AL73)=0),"No se encuentra en la hoja de la jefatura (elíjala de nuevo en la lista)"&amp;" · ","")&amp;IF(OR(AND($E73&lt;&gt;"",NOT(ISNUMBER($E73))),AND($F73&lt;&gt;"",NOT(ISNUMBER($F73))),AND($G73&lt;&gt;"",NOT(ISNUMBER($G73)))),"Fecha no válida"&amp;" · ","")&amp;IF(AND(ISNUMBER($AM73),ISNUMBER($AN73),$AM73&gt;$AN73),"Inicio posterior a fecha límite"&amp;" · ","")&amp;IF(AND($V73="Macro",$H73&lt;&gt;"",OR(NOT(ISNUMBER($H73)),$H73&lt;0,$H73&gt;1)),"Peso fuera de rango"&amp;" · ","")&amp;IF(AND($V73="Sub",$H73&lt;&gt;""),"Las subactividades no llevan peso (valen igual dentro de su macroactividad)"&amp;" · ","")&amp;IF(AND(N($W73)&gt;0,COUNT($I73:$L73)&gt;0),"Con subactividades: deje vacías las semanas (se calculan solas)"&amp;" · ","")&amp;IF((COUNTIF($I73:$L73,"&gt;1")+COUNTIF($I73:$L73,"&lt;0")+COUNTA($I73:$L73)-COUNT($I73:$L73))&gt;0,"Avance fuera de rango 0-100%"&amp;" · ","")&amp;IF(OR(AND($J73&lt;&gt;"",$J73&lt;$I73),AND($K73&lt;&gt;"",$K73&lt;MAX($I73:$J73)),AND($L73&lt;&gt;"",$L73&lt;MAX($I73:$K73))),"Avance semanal decreciente"&amp;" · ","")&amp;IF(AND(ISNUMBER($AN73),$AN73&lt;FechaRef,IF($V73="Sub",N($X73),N($M73))&lt;1),"Vencida"&amp;" · ","")&amp;IF(AND(ObsObligatoria="Sí",ISNUMBER($AN73),$AN73&lt;FechaRef,IF($V73="Sub",N($X73),N($M73))&lt;1,$Q73=""),"Vencida sin observación"&amp;" · ",""),LEN(IF($C73="","Falta el nombre de la actividad"&amp;" · ","")&amp;IF(AND($V73="Sub",N($U73)=0),"Subactividad sin macroactividad arriba"&amp;" · ","")&amp;IF($AM73="","Sin fecha de inicio"&amp;" · ","")&amp;IF($AN73="","Sin fecha límite"&amp;" · ","")&amp;IF(AND(LEFT($C73,11)="[Jefatura] ",N($AL73)=0),"No se encuentra en la hoja de la jefatura (elíjala de nuevo en la lista)"&amp;" · ","")&amp;IF(OR(AND($E73&lt;&gt;"",NOT(ISNUMBER($E73))),AND($F73&lt;&gt;"",NOT(ISNUMBER($F73))),AND($G73&lt;&gt;"",NOT(ISNUMBER($G73)))),"Fecha no válida"&amp;" · ","")&amp;IF(AND(ISNUMBER($AM73),ISNUMBER($AN73),$AM73&gt;$AN73),"Inicio posterior a fecha límite"&amp;" · ","")&amp;IF(AND($V73="Macro",$H73&lt;&gt;"",OR(NOT(ISNUMBER($H73)),$H73&lt;0,$H73&gt;1)),"Peso fuera de rango"&amp;" · ","")&amp;IF(AND($V73="Sub",$H73&lt;&gt;""),"Las subactividades no llevan peso (valen igual dentro de su macroactividad)"&amp;" · ","")&amp;IF(AND(N($W73)&gt;0,COUNT($I73:$L73)&gt;0),"Con subactividades: deje vacías las semanas (se calculan solas)"&amp;" · ","")&amp;IF((COUNTIF($I73:$L73,"&gt;1")+COUNTIF($I73:$L73,"&lt;0")+COUNTA($I73:$L73)-COUNT($I73:$L73))&gt;0,"Avance fuera de rango 0-100%"&amp;" · ","")&amp;IF(OR(AND($J73&lt;&gt;"",$J73&lt;$I73),AND($K73&lt;&gt;"",$K73&lt;MAX($I73:$J73)),AND($L73&lt;&gt;"",$L73&lt;MAX($I73:$K73))),"Avance semanal decreciente"&amp;" · ","")&amp;IF(AND(ISNUMBER($AN73),$AN73&lt;FechaRef,IF($V73="Sub",N($X73),N($M73))&lt;1),"Vencida"&amp;" · ","")&amp;IF(AND(ObsObligatoria="Sí",ISNUMBER($AN73),$AN73&lt;FechaRef,IF($V73="Sub",N($X73),N($M73))&lt;1,$Q73=""),"Vencida sin observación"&amp;" · ",""))-3)))</f>
        <v/>
      </c>
      <c r="S73" s="64">
        <f>IF(NOT((COUNTA($B73:$D73)+COUNTA($G73:$L73)+COUNTA($Q73))&gt;0),"",IF(AND($V73="Sub",N($U73)&gt;0),IF(ISNUMBER(INDEX($AM$5:$AM$1000,$U73-4)),DATE(YEAR(INDEX($AM$5:$AM$1000,$U73-4)),MONTH(INDEX($AM$5:$AM$1000,$U73-4)),1),IF(ISNUMBER(INDEX($AN$5:$AN$1000,$U73-4)),DATE(YEAR(INDEX($AN$5:$AN$1000,$U73-4)),MONTH(INDEX($AN$5:$AN$1000,$U73-4)),1),MesCiclo)),IF(ISNUMBER($AM73),DATE(YEAR($AM73),MONTH($AM73),1),IF(ISNUMBER($AN73),DATE(YEAR($AN73),MONTH($AN73),1),MesCiclo))))</f>
        <v/>
      </c>
      <c r="T73" s="62">
        <f>IF(OR($S73="",$S73&lt;&gt;MesCiclo,$V73&lt;&gt;"Macro"),"",COUNTIFS($S$5:$S73,MesCiclo,$V$5:$V73,"Macro"))</f>
        <v/>
      </c>
      <c r="U73" s="62">
        <f>IF($V73="","",IF($V73="Macro",ROW(),IFERROR(LOOKUP(2,1/($V$5:$V73="Macro"),ROW($V$5:$V73)),0)))</f>
        <v/>
      </c>
      <c r="V73" s="62">
        <f>IF(NOT((COUNTA($B73:$D73)+COUNTA($G73:$L73)+COUNTA($Q73))&gt;0),"",IF($B73="Subactividad","Sub","Macro"))</f>
        <v/>
      </c>
      <c r="W73" s="62">
        <f>IF($V73="Macro",COUNTIFS($U$5:$U$1000,ROW(),$V$5:$V$1000,"Sub"),"")</f>
        <v/>
      </c>
      <c r="X73" s="62">
        <f>IF($V73="","",IF(ISNUMBER($G73),1,IFERROR(LOOKUP(2,1/($I73:$L73&lt;&gt;""),$I73:$L73),0)))</f>
        <v/>
      </c>
      <c r="Y73" s="62">
        <f>IF($V73="","",IF(AND(ISNUMBER($G73),$G73&lt;=IF($S73=MesCiclo,InicioCiclo,$S73+MOD(2-WEEKDAY($S73),7))+6),1,IF(ISNUMBER($I73),$I73,0)))</f>
        <v/>
      </c>
      <c r="Z73" s="62">
        <f>IF($V73="","",IF(AND(ISNUMBER($G73),$G73&lt;=IF($S73=MesCiclo,InicioCiclo,$S73+MOD(2-WEEKDAY($S73),7))+13),1,IF(ISNUMBER($J73),$J73,$Y73)))</f>
        <v/>
      </c>
      <c r="AA73" s="62">
        <f>IF($V73="","",IF(AND(ISNUMBER($G73),$G73&lt;=IF($S73=MesCiclo,InicioCiclo,$S73+MOD(2-WEEKDAY($S73),7))+20),1,IF(ISNUMBER($K73),$K73,$Z73)))</f>
        <v/>
      </c>
      <c r="AB73" s="62">
        <f>IF($V73="","",IF(AND(ISNUMBER($G73),$G73&lt;=IF($S73=MesCiclo,InicioCiclo,$S73+MOD(2-WEEKDAY($S73),7))+27),1,IF(ISNUMBER($L73),$L73,$AA73)))</f>
        <v/>
      </c>
      <c r="AC73" s="62">
        <f>IF($V73="","",IF(AND(ISNUMBER($G73),$G73&lt;=IF($S73=MesCiclo,InicioCiclo,$S73+MOD(2-WEEKDAY($S73),7))+6),1,IF(N($W73)&gt;0,AVERAGEIFS($Y$5:$Y$1000,$U$5:$U$1000,ROW(),$V$5:$V$1000,"Sub"),$Y73)))</f>
        <v/>
      </c>
      <c r="AD73" s="62">
        <f>IF($V73="","",IF(AND(ISNUMBER($G73),$G73&lt;=IF($S73=MesCiclo,InicioCiclo,$S73+MOD(2-WEEKDAY($S73),7))+13),1,IF(N($W73)&gt;0,AVERAGEIFS($Z$5:$Z$1000,$U$5:$U$1000,ROW(),$V$5:$V$1000,"Sub"),$Z73)))</f>
        <v/>
      </c>
      <c r="AE73" s="62">
        <f>IF($V73="","",IF(AND(ISNUMBER($G73),$G73&lt;=IF($S73=MesCiclo,InicioCiclo,$S73+MOD(2-WEEKDAY($S73),7))+20),1,IF(N($W73)&gt;0,AVERAGEIFS($AA$5:$AA$1000,$U$5:$U$1000,ROW(),$V$5:$V$1000,"Sub"),$AA73)))</f>
        <v/>
      </c>
      <c r="AF73" s="62">
        <f>IF($V73="","",IF(AND(ISNUMBER($G73),$G73&lt;=IF($S73=MesCiclo,InicioCiclo,$S73+MOD(2-WEEKDAY($S73),7))+27),1,IF(N($W73)&gt;0,AVERAGEIFS($AB$5:$AB$1000,$U$5:$U$1000,ROW(),$V$5:$V$1000,"Sub"),$AB73)))</f>
        <v/>
      </c>
      <c r="AG73" s="62">
        <f>IF($V73&lt;&gt;"Macro","",IF(COUNTIFS($S$5:$S$1000,$S73,$V$5:$V$1000,"Macro",$H$5:$H$1000,"&gt;0")=0,1/COUNTIFS($S$5:$S$1000,$S73,$V$5:$V$1000,"Macro"),IF(AND(ISNUMBER($H73),N($H73)&gt;0),$H73,SUMIFS($H$5:$H$1000,$S$5:$S$1000,$S73,$V$5:$V$1000,"Macro")/COUNTIFS($S$5:$S$1000,$S73,$V$5:$V$1000,"Macro",$H$5:$H$1000,"&gt;0"))/(COUNTIFS($S$5:$S$1000,$S73,$V$5:$V$1000,"Macro")*SUMIFS($H$5:$H$1000,$S$5:$S$1000,$S73,$V$5:$V$1000,"Macro")/COUNTIFS($S$5:$S$1000,$S73,$V$5:$V$1000,"Macro",$H$5:$H$1000,"&gt;0"))))</f>
        <v/>
      </c>
      <c r="AH73" s="62" t="n"/>
      <c r="AI73" s="62" t="n"/>
      <c r="AJ73" s="62" t="n"/>
      <c r="AK73" s="62" t="n"/>
      <c r="AL73" s="62">
        <f>IF(LEFT($C73,11)="[Jefatura] ",IFERROR(MATCH("Riesgo Normativo|"&amp;MID($C73,12,500),rDname_ADM,0),0),"")</f>
        <v/>
      </c>
      <c r="AM73" s="62">
        <f>IF(N($AL73)&gt;0,INDEX(rIni_ADM,$AL73),IF(ISNUMBER($E73),$E73,""))</f>
        <v/>
      </c>
      <c r="AN73" s="62">
        <f>IF(N($AL73)&gt;0,INDEX(rLim_ADM,$AL73),IF(ISNUMBER($F73),$F73,""))</f>
        <v/>
      </c>
    </row>
    <row r="74">
      <c r="A74" s="56">
        <f>IF(NOT((COUNTA($B74:$D74)+COUNTA($G74:$L74)+COUNTA($Q74))&gt;0),"",IF($V74="Macro",COUNTIFS($V$5:$V74,"Macro",$S$5:$S74,$S74),IF(N($U74)=0,"?",COUNTIFS(INDEX($V$5:$V$1000,1):INDEX($V$5:$V$1000,$U74-4),"Macro",INDEX($S$5:$S$1000,1):INDEX($S$5:$S$1000,$U74-4),INDEX($S$5:$S$1000,$U74-4))&amp;"."&amp;COUNTIFS($U$5:$U74,$U74,$V$5:$V74,"Sub"))))</f>
        <v/>
      </c>
      <c r="B74" s="57" t="n"/>
      <c r="C74" s="58" t="n"/>
      <c r="D74" s="58" t="n"/>
      <c r="E74" s="59">
        <f>IF(N($AL74)&gt;0,INDEX(rIni_ADM,$AL74),"")</f>
        <v/>
      </c>
      <c r="F74" s="59">
        <f>IF(N($AL74)&gt;0,INDEX(rLim_ADM,$AL74),"")</f>
        <v/>
      </c>
      <c r="G74" s="59" t="n"/>
      <c r="H74" s="60" t="n"/>
      <c r="I74" s="60" t="n"/>
      <c r="J74" s="60" t="n"/>
      <c r="K74" s="60" t="n"/>
      <c r="L74" s="60" t="n"/>
      <c r="M74" s="61">
        <f>IF(NOT((COUNTA($B74:$D74)+COUNTA($G74:$L74)+COUNTA($Q74))&gt;0),"",IF($V74="Sub",IFERROR($X74/INDEX($W$5:$W$1000,$U74-4),""),IF(ISNUMBER($G74),1,IF(N($W74)&gt;0,AVERAGEIFS($X$5:$X$1000,$U$5:$U$1000,ROW(),$V$5:$V$1000,"Sub"),$X74))))</f>
        <v/>
      </c>
      <c r="N74" s="56">
        <f>IF(OR($M74="",$V74="Sub"),"",IF($M74&gt;=1,"Completado",IF($M74&gt;0,"En curso","Pendiente")))</f>
        <v/>
      </c>
      <c r="O74" s="56">
        <f>IF(OR(NOT((COUNTA($B74:$D74)+COUNTA($G74:$L74)+COUNTA($Q74))&gt;0),$V74="Sub"),"",IF(ISNUMBER($G74),IF(AND(ISNUMBER($AN74),$G74&gt;$AN74),"Cumplida con "&amp;($G74-$AN74)&amp;IF($G74-$AN74=1," día"," días")&amp;" de retraso","Cumplida"),IF(N($M74)&gt;=1,"Cumplida",IF(NOT(ISNUMBER($AN74)),"Sin fecha límite",IF($AN74&lt;FechaRef,"Vencida hace "&amp;(FechaRef-$AN74)&amp;IF(FechaRef-$AN74=1," día"," días"),IF($AN74=FechaRef,"Vence hoy",IF($AN74-FechaRef&lt;=DiasAlerta,"Vence en "&amp;($AN74-FechaRef)&amp;IF($AN74-FechaRef=1," día"," días"),"En plazo")))))))</f>
        <v/>
      </c>
      <c r="P74" s="62" t="n"/>
      <c r="Q74" s="58" t="n"/>
      <c r="R74" s="63">
        <f>IF(NOT((COUNTA($B74:$D74)+COUNTA($G74:$L74)+COUNTA($Q74))&gt;0),"",IF((IF($C74="","Falta el nombre de la actividad"&amp;" · ","")&amp;IF(AND($V74="Sub",N($U74)=0),"Subactividad sin macroactividad arriba"&amp;" · ","")&amp;IF($AM74="","Sin fecha de inicio"&amp;" · ","")&amp;IF($AN74="","Sin fecha límite"&amp;" · ","")&amp;IF(AND(LEFT($C74,11)="[Jefatura] ",N($AL74)=0),"No se encuentra en la hoja de la jefatura (elíjala de nuevo en la lista)"&amp;" · ","")&amp;IF(OR(AND($E74&lt;&gt;"",NOT(ISNUMBER($E74))),AND($F74&lt;&gt;"",NOT(ISNUMBER($F74))),AND($G74&lt;&gt;"",NOT(ISNUMBER($G74)))),"Fecha no válida"&amp;" · ","")&amp;IF(AND(ISNUMBER($AM74),ISNUMBER($AN74),$AM74&gt;$AN74),"Inicio posterior a fecha límite"&amp;" · ","")&amp;IF(AND($V74="Macro",$H74&lt;&gt;"",OR(NOT(ISNUMBER($H74)),$H74&lt;0,$H74&gt;1)),"Peso fuera de rango"&amp;" · ","")&amp;IF(AND($V74="Sub",$H74&lt;&gt;""),"Las subactividades no llevan peso (valen igual dentro de su macroactividad)"&amp;" · ","")&amp;IF(AND(N($W74)&gt;0,COUNT($I74:$L74)&gt;0),"Con subactividades: deje vacías las semanas (se calculan solas)"&amp;" · ","")&amp;IF((COUNTIF($I74:$L74,"&gt;1")+COUNTIF($I74:$L74,"&lt;0")+COUNTA($I74:$L74)-COUNT($I74:$L74))&gt;0,"Avance fuera de rango 0-100%"&amp;" · ","")&amp;IF(OR(AND($J74&lt;&gt;"",$J74&lt;$I74),AND($K74&lt;&gt;"",$K74&lt;MAX($I74:$J74)),AND($L74&lt;&gt;"",$L74&lt;MAX($I74:$K74))),"Avance semanal decreciente"&amp;" · ","")&amp;IF(AND(ISNUMBER($AN74),$AN74&lt;FechaRef,IF($V74="Sub",N($X74),N($M74))&lt;1),"Vencida"&amp;" · ","")&amp;IF(AND(ObsObligatoria="Sí",ISNUMBER($AN74),$AN74&lt;FechaRef,IF($V74="Sub",N($X74),N($M74))&lt;1,$Q74=""),"Vencida sin observación"&amp;" · ",""))="","✔ OK","⚠ "&amp;LEFT(IF($C74="","Falta el nombre de la actividad"&amp;" · ","")&amp;IF(AND($V74="Sub",N($U74)=0),"Subactividad sin macroactividad arriba"&amp;" · ","")&amp;IF($AM74="","Sin fecha de inicio"&amp;" · ","")&amp;IF($AN74="","Sin fecha límite"&amp;" · ","")&amp;IF(AND(LEFT($C74,11)="[Jefatura] ",N($AL74)=0),"No se encuentra en la hoja de la jefatura (elíjala de nuevo en la lista)"&amp;" · ","")&amp;IF(OR(AND($E74&lt;&gt;"",NOT(ISNUMBER($E74))),AND($F74&lt;&gt;"",NOT(ISNUMBER($F74))),AND($G74&lt;&gt;"",NOT(ISNUMBER($G74)))),"Fecha no válida"&amp;" · ","")&amp;IF(AND(ISNUMBER($AM74),ISNUMBER($AN74),$AM74&gt;$AN74),"Inicio posterior a fecha límite"&amp;" · ","")&amp;IF(AND($V74="Macro",$H74&lt;&gt;"",OR(NOT(ISNUMBER($H74)),$H74&lt;0,$H74&gt;1)),"Peso fuera de rango"&amp;" · ","")&amp;IF(AND($V74="Sub",$H74&lt;&gt;""),"Las subactividades no llevan peso (valen igual dentro de su macroactividad)"&amp;" · ","")&amp;IF(AND(N($W74)&gt;0,COUNT($I74:$L74)&gt;0),"Con subactividades: deje vacías las semanas (se calculan solas)"&amp;" · ","")&amp;IF((COUNTIF($I74:$L74,"&gt;1")+COUNTIF($I74:$L74,"&lt;0")+COUNTA($I74:$L74)-COUNT($I74:$L74))&gt;0,"Avance fuera de rango 0-100%"&amp;" · ","")&amp;IF(OR(AND($J74&lt;&gt;"",$J74&lt;$I74),AND($K74&lt;&gt;"",$K74&lt;MAX($I74:$J74)),AND($L74&lt;&gt;"",$L74&lt;MAX($I74:$K74))),"Avance semanal decreciente"&amp;" · ","")&amp;IF(AND(ISNUMBER($AN74),$AN74&lt;FechaRef,IF($V74="Sub",N($X74),N($M74))&lt;1),"Vencida"&amp;" · ","")&amp;IF(AND(ObsObligatoria="Sí",ISNUMBER($AN74),$AN74&lt;FechaRef,IF($V74="Sub",N($X74),N($M74))&lt;1,$Q74=""),"Vencida sin observación"&amp;" · ",""),LEN(IF($C74="","Falta el nombre de la actividad"&amp;" · ","")&amp;IF(AND($V74="Sub",N($U74)=0),"Subactividad sin macroactividad arriba"&amp;" · ","")&amp;IF($AM74="","Sin fecha de inicio"&amp;" · ","")&amp;IF($AN74="","Sin fecha límite"&amp;" · ","")&amp;IF(AND(LEFT($C74,11)="[Jefatura] ",N($AL74)=0),"No se encuentra en la hoja de la jefatura (elíjala de nuevo en la lista)"&amp;" · ","")&amp;IF(OR(AND($E74&lt;&gt;"",NOT(ISNUMBER($E74))),AND($F74&lt;&gt;"",NOT(ISNUMBER($F74))),AND($G74&lt;&gt;"",NOT(ISNUMBER($G74)))),"Fecha no válida"&amp;" · ","")&amp;IF(AND(ISNUMBER($AM74),ISNUMBER($AN74),$AM74&gt;$AN74),"Inicio posterior a fecha límite"&amp;" · ","")&amp;IF(AND($V74="Macro",$H74&lt;&gt;"",OR(NOT(ISNUMBER($H74)),$H74&lt;0,$H74&gt;1)),"Peso fuera de rango"&amp;" · ","")&amp;IF(AND($V74="Sub",$H74&lt;&gt;""),"Las subactividades no llevan peso (valen igual dentro de su macroactividad)"&amp;" · ","")&amp;IF(AND(N($W74)&gt;0,COUNT($I74:$L74)&gt;0),"Con subactividades: deje vacías las semanas (se calculan solas)"&amp;" · ","")&amp;IF((COUNTIF($I74:$L74,"&gt;1")+COUNTIF($I74:$L74,"&lt;0")+COUNTA($I74:$L74)-COUNT($I74:$L74))&gt;0,"Avance fuera de rango 0-100%"&amp;" · ","")&amp;IF(OR(AND($J74&lt;&gt;"",$J74&lt;$I74),AND($K74&lt;&gt;"",$K74&lt;MAX($I74:$J74)),AND($L74&lt;&gt;"",$L74&lt;MAX($I74:$K74))),"Avance semanal decreciente"&amp;" · ","")&amp;IF(AND(ISNUMBER($AN74),$AN74&lt;FechaRef,IF($V74="Sub",N($X74),N($M74))&lt;1),"Vencida"&amp;" · ","")&amp;IF(AND(ObsObligatoria="Sí",ISNUMBER($AN74),$AN74&lt;FechaRef,IF($V74="Sub",N($X74),N($M74))&lt;1,$Q74=""),"Vencida sin observación"&amp;" · ",""))-3)))</f>
        <v/>
      </c>
      <c r="S74" s="64">
        <f>IF(NOT((COUNTA($B74:$D74)+COUNTA($G74:$L74)+COUNTA($Q74))&gt;0),"",IF(AND($V74="Sub",N($U74)&gt;0),IF(ISNUMBER(INDEX($AM$5:$AM$1000,$U74-4)),DATE(YEAR(INDEX($AM$5:$AM$1000,$U74-4)),MONTH(INDEX($AM$5:$AM$1000,$U74-4)),1),IF(ISNUMBER(INDEX($AN$5:$AN$1000,$U74-4)),DATE(YEAR(INDEX($AN$5:$AN$1000,$U74-4)),MONTH(INDEX($AN$5:$AN$1000,$U74-4)),1),MesCiclo)),IF(ISNUMBER($AM74),DATE(YEAR($AM74),MONTH($AM74),1),IF(ISNUMBER($AN74),DATE(YEAR($AN74),MONTH($AN74),1),MesCiclo))))</f>
        <v/>
      </c>
      <c r="T74" s="62">
        <f>IF(OR($S74="",$S74&lt;&gt;MesCiclo,$V74&lt;&gt;"Macro"),"",COUNTIFS($S$5:$S74,MesCiclo,$V$5:$V74,"Macro"))</f>
        <v/>
      </c>
      <c r="U74" s="62">
        <f>IF($V74="","",IF($V74="Macro",ROW(),IFERROR(LOOKUP(2,1/($V$5:$V74="Macro"),ROW($V$5:$V74)),0)))</f>
        <v/>
      </c>
      <c r="V74" s="62">
        <f>IF(NOT((COUNTA($B74:$D74)+COUNTA($G74:$L74)+COUNTA($Q74))&gt;0),"",IF($B74="Subactividad","Sub","Macro"))</f>
        <v/>
      </c>
      <c r="W74" s="62">
        <f>IF($V74="Macro",COUNTIFS($U$5:$U$1000,ROW(),$V$5:$V$1000,"Sub"),"")</f>
        <v/>
      </c>
      <c r="X74" s="62">
        <f>IF($V74="","",IF(ISNUMBER($G74),1,IFERROR(LOOKUP(2,1/($I74:$L74&lt;&gt;""),$I74:$L74),0)))</f>
        <v/>
      </c>
      <c r="Y74" s="62">
        <f>IF($V74="","",IF(AND(ISNUMBER($G74),$G74&lt;=IF($S74=MesCiclo,InicioCiclo,$S74+MOD(2-WEEKDAY($S74),7))+6),1,IF(ISNUMBER($I74),$I74,0)))</f>
        <v/>
      </c>
      <c r="Z74" s="62">
        <f>IF($V74="","",IF(AND(ISNUMBER($G74),$G74&lt;=IF($S74=MesCiclo,InicioCiclo,$S74+MOD(2-WEEKDAY($S74),7))+13),1,IF(ISNUMBER($J74),$J74,$Y74)))</f>
        <v/>
      </c>
      <c r="AA74" s="62">
        <f>IF($V74="","",IF(AND(ISNUMBER($G74),$G74&lt;=IF($S74=MesCiclo,InicioCiclo,$S74+MOD(2-WEEKDAY($S74),7))+20),1,IF(ISNUMBER($K74),$K74,$Z74)))</f>
        <v/>
      </c>
      <c r="AB74" s="62">
        <f>IF($V74="","",IF(AND(ISNUMBER($G74),$G74&lt;=IF($S74=MesCiclo,InicioCiclo,$S74+MOD(2-WEEKDAY($S74),7))+27),1,IF(ISNUMBER($L74),$L74,$AA74)))</f>
        <v/>
      </c>
      <c r="AC74" s="62">
        <f>IF($V74="","",IF(AND(ISNUMBER($G74),$G74&lt;=IF($S74=MesCiclo,InicioCiclo,$S74+MOD(2-WEEKDAY($S74),7))+6),1,IF(N($W74)&gt;0,AVERAGEIFS($Y$5:$Y$1000,$U$5:$U$1000,ROW(),$V$5:$V$1000,"Sub"),$Y74)))</f>
        <v/>
      </c>
      <c r="AD74" s="62">
        <f>IF($V74="","",IF(AND(ISNUMBER($G74),$G74&lt;=IF($S74=MesCiclo,InicioCiclo,$S74+MOD(2-WEEKDAY($S74),7))+13),1,IF(N($W74)&gt;0,AVERAGEIFS($Z$5:$Z$1000,$U$5:$U$1000,ROW(),$V$5:$V$1000,"Sub"),$Z74)))</f>
        <v/>
      </c>
      <c r="AE74" s="62">
        <f>IF($V74="","",IF(AND(ISNUMBER($G74),$G74&lt;=IF($S74=MesCiclo,InicioCiclo,$S74+MOD(2-WEEKDAY($S74),7))+20),1,IF(N($W74)&gt;0,AVERAGEIFS($AA$5:$AA$1000,$U$5:$U$1000,ROW(),$V$5:$V$1000,"Sub"),$AA74)))</f>
        <v/>
      </c>
      <c r="AF74" s="62">
        <f>IF($V74="","",IF(AND(ISNUMBER($G74),$G74&lt;=IF($S74=MesCiclo,InicioCiclo,$S74+MOD(2-WEEKDAY($S74),7))+27),1,IF(N($W74)&gt;0,AVERAGEIFS($AB$5:$AB$1000,$U$5:$U$1000,ROW(),$V$5:$V$1000,"Sub"),$AB74)))</f>
        <v/>
      </c>
      <c r="AG74" s="62">
        <f>IF($V74&lt;&gt;"Macro","",IF(COUNTIFS($S$5:$S$1000,$S74,$V$5:$V$1000,"Macro",$H$5:$H$1000,"&gt;0")=0,1/COUNTIFS($S$5:$S$1000,$S74,$V$5:$V$1000,"Macro"),IF(AND(ISNUMBER($H74),N($H74)&gt;0),$H74,SUMIFS($H$5:$H$1000,$S$5:$S$1000,$S74,$V$5:$V$1000,"Macro")/COUNTIFS($S$5:$S$1000,$S74,$V$5:$V$1000,"Macro",$H$5:$H$1000,"&gt;0"))/(COUNTIFS($S$5:$S$1000,$S74,$V$5:$V$1000,"Macro")*SUMIFS($H$5:$H$1000,$S$5:$S$1000,$S74,$V$5:$V$1000,"Macro")/COUNTIFS($S$5:$S$1000,$S74,$V$5:$V$1000,"Macro",$H$5:$H$1000,"&gt;0"))))</f>
        <v/>
      </c>
      <c r="AH74" s="62" t="n"/>
      <c r="AI74" s="62" t="n"/>
      <c r="AJ74" s="62" t="n"/>
      <c r="AK74" s="62" t="n"/>
      <c r="AL74" s="62">
        <f>IF(LEFT($C74,11)="[Jefatura] ",IFERROR(MATCH("Riesgo Normativo|"&amp;MID($C74,12,500),rDname_ADM,0),0),"")</f>
        <v/>
      </c>
      <c r="AM74" s="62">
        <f>IF(N($AL74)&gt;0,INDEX(rIni_ADM,$AL74),IF(ISNUMBER($E74),$E74,""))</f>
        <v/>
      </c>
      <c r="AN74" s="62">
        <f>IF(N($AL74)&gt;0,INDEX(rLim_ADM,$AL74),IF(ISNUMBER($F74),$F74,""))</f>
        <v/>
      </c>
    </row>
    <row r="75">
      <c r="A75" s="56">
        <f>IF(NOT((COUNTA($B75:$D75)+COUNTA($G75:$L75)+COUNTA($Q75))&gt;0),"",IF($V75="Macro",COUNTIFS($V$5:$V75,"Macro",$S$5:$S75,$S75),IF(N($U75)=0,"?",COUNTIFS(INDEX($V$5:$V$1000,1):INDEX($V$5:$V$1000,$U75-4),"Macro",INDEX($S$5:$S$1000,1):INDEX($S$5:$S$1000,$U75-4),INDEX($S$5:$S$1000,$U75-4))&amp;"."&amp;COUNTIFS($U$5:$U75,$U75,$V$5:$V75,"Sub"))))</f>
        <v/>
      </c>
      <c r="B75" s="57" t="n"/>
      <c r="C75" s="58" t="n"/>
      <c r="D75" s="58" t="n"/>
      <c r="E75" s="59">
        <f>IF(N($AL75)&gt;0,INDEX(rIni_ADM,$AL75),"")</f>
        <v/>
      </c>
      <c r="F75" s="59">
        <f>IF(N($AL75)&gt;0,INDEX(rLim_ADM,$AL75),"")</f>
        <v/>
      </c>
      <c r="G75" s="59" t="n"/>
      <c r="H75" s="60" t="n"/>
      <c r="I75" s="60" t="n"/>
      <c r="J75" s="60" t="n"/>
      <c r="K75" s="60" t="n"/>
      <c r="L75" s="60" t="n"/>
      <c r="M75" s="61">
        <f>IF(NOT((COUNTA($B75:$D75)+COUNTA($G75:$L75)+COUNTA($Q75))&gt;0),"",IF($V75="Sub",IFERROR($X75/INDEX($W$5:$W$1000,$U75-4),""),IF(ISNUMBER($G75),1,IF(N($W75)&gt;0,AVERAGEIFS($X$5:$X$1000,$U$5:$U$1000,ROW(),$V$5:$V$1000,"Sub"),$X75))))</f>
        <v/>
      </c>
      <c r="N75" s="56">
        <f>IF(OR($M75="",$V75="Sub"),"",IF($M75&gt;=1,"Completado",IF($M75&gt;0,"En curso","Pendiente")))</f>
        <v/>
      </c>
      <c r="O75" s="56">
        <f>IF(OR(NOT((COUNTA($B75:$D75)+COUNTA($G75:$L75)+COUNTA($Q75))&gt;0),$V75="Sub"),"",IF(ISNUMBER($G75),IF(AND(ISNUMBER($AN75),$G75&gt;$AN75),"Cumplida con "&amp;($G75-$AN75)&amp;IF($G75-$AN75=1," día"," días")&amp;" de retraso","Cumplida"),IF(N($M75)&gt;=1,"Cumplida",IF(NOT(ISNUMBER($AN75)),"Sin fecha límite",IF($AN75&lt;FechaRef,"Vencida hace "&amp;(FechaRef-$AN75)&amp;IF(FechaRef-$AN75=1," día"," días"),IF($AN75=FechaRef,"Vence hoy",IF($AN75-FechaRef&lt;=DiasAlerta,"Vence en "&amp;($AN75-FechaRef)&amp;IF($AN75-FechaRef=1," día"," días"),"En plazo")))))))</f>
        <v/>
      </c>
      <c r="P75" s="62" t="n"/>
      <c r="Q75" s="58" t="n"/>
      <c r="R75" s="63">
        <f>IF(NOT((COUNTA($B75:$D75)+COUNTA($G75:$L75)+COUNTA($Q75))&gt;0),"",IF((IF($C75="","Falta el nombre de la actividad"&amp;" · ","")&amp;IF(AND($V75="Sub",N($U75)=0),"Subactividad sin macroactividad arriba"&amp;" · ","")&amp;IF($AM75="","Sin fecha de inicio"&amp;" · ","")&amp;IF($AN75="","Sin fecha límite"&amp;" · ","")&amp;IF(AND(LEFT($C75,11)="[Jefatura] ",N($AL75)=0),"No se encuentra en la hoja de la jefatura (elíjala de nuevo en la lista)"&amp;" · ","")&amp;IF(OR(AND($E75&lt;&gt;"",NOT(ISNUMBER($E75))),AND($F75&lt;&gt;"",NOT(ISNUMBER($F75))),AND($G75&lt;&gt;"",NOT(ISNUMBER($G75)))),"Fecha no válida"&amp;" · ","")&amp;IF(AND(ISNUMBER($AM75),ISNUMBER($AN75),$AM75&gt;$AN75),"Inicio posterior a fecha límite"&amp;" · ","")&amp;IF(AND($V75="Macro",$H75&lt;&gt;"",OR(NOT(ISNUMBER($H75)),$H75&lt;0,$H75&gt;1)),"Peso fuera de rango"&amp;" · ","")&amp;IF(AND($V75="Sub",$H75&lt;&gt;""),"Las subactividades no llevan peso (valen igual dentro de su macroactividad)"&amp;" · ","")&amp;IF(AND(N($W75)&gt;0,COUNT($I75:$L75)&gt;0),"Con subactividades: deje vacías las semanas (se calculan solas)"&amp;" · ","")&amp;IF((COUNTIF($I75:$L75,"&gt;1")+COUNTIF($I75:$L75,"&lt;0")+COUNTA($I75:$L75)-COUNT($I75:$L75))&gt;0,"Avance fuera de rango 0-100%"&amp;" · ","")&amp;IF(OR(AND($J75&lt;&gt;"",$J75&lt;$I75),AND($K75&lt;&gt;"",$K75&lt;MAX($I75:$J75)),AND($L75&lt;&gt;"",$L75&lt;MAX($I75:$K75))),"Avance semanal decreciente"&amp;" · ","")&amp;IF(AND(ISNUMBER($AN75),$AN75&lt;FechaRef,IF($V75="Sub",N($X75),N($M75))&lt;1),"Vencida"&amp;" · ","")&amp;IF(AND(ObsObligatoria="Sí",ISNUMBER($AN75),$AN75&lt;FechaRef,IF($V75="Sub",N($X75),N($M75))&lt;1,$Q75=""),"Vencida sin observación"&amp;" · ",""))="","✔ OK","⚠ "&amp;LEFT(IF($C75="","Falta el nombre de la actividad"&amp;" · ","")&amp;IF(AND($V75="Sub",N($U75)=0),"Subactividad sin macroactividad arriba"&amp;" · ","")&amp;IF($AM75="","Sin fecha de inicio"&amp;" · ","")&amp;IF($AN75="","Sin fecha límite"&amp;" · ","")&amp;IF(AND(LEFT($C75,11)="[Jefatura] ",N($AL75)=0),"No se encuentra en la hoja de la jefatura (elíjala de nuevo en la lista)"&amp;" · ","")&amp;IF(OR(AND($E75&lt;&gt;"",NOT(ISNUMBER($E75))),AND($F75&lt;&gt;"",NOT(ISNUMBER($F75))),AND($G75&lt;&gt;"",NOT(ISNUMBER($G75)))),"Fecha no válida"&amp;" · ","")&amp;IF(AND(ISNUMBER($AM75),ISNUMBER($AN75),$AM75&gt;$AN75),"Inicio posterior a fecha límite"&amp;" · ","")&amp;IF(AND($V75="Macro",$H75&lt;&gt;"",OR(NOT(ISNUMBER($H75)),$H75&lt;0,$H75&gt;1)),"Peso fuera de rango"&amp;" · ","")&amp;IF(AND($V75="Sub",$H75&lt;&gt;""),"Las subactividades no llevan peso (valen igual dentro de su macroactividad)"&amp;" · ","")&amp;IF(AND(N($W75)&gt;0,COUNT($I75:$L75)&gt;0),"Con subactividades: deje vacías las semanas (se calculan solas)"&amp;" · ","")&amp;IF((COUNTIF($I75:$L75,"&gt;1")+COUNTIF($I75:$L75,"&lt;0")+COUNTA($I75:$L75)-COUNT($I75:$L75))&gt;0,"Avance fuera de rango 0-100%"&amp;" · ","")&amp;IF(OR(AND($J75&lt;&gt;"",$J75&lt;$I75),AND($K75&lt;&gt;"",$K75&lt;MAX($I75:$J75)),AND($L75&lt;&gt;"",$L75&lt;MAX($I75:$K75))),"Avance semanal decreciente"&amp;" · ","")&amp;IF(AND(ISNUMBER($AN75),$AN75&lt;FechaRef,IF($V75="Sub",N($X75),N($M75))&lt;1),"Vencida"&amp;" · ","")&amp;IF(AND(ObsObligatoria="Sí",ISNUMBER($AN75),$AN75&lt;FechaRef,IF($V75="Sub",N($X75),N($M75))&lt;1,$Q75=""),"Vencida sin observación"&amp;" · ",""),LEN(IF($C75="","Falta el nombre de la actividad"&amp;" · ","")&amp;IF(AND($V75="Sub",N($U75)=0),"Subactividad sin macroactividad arriba"&amp;" · ","")&amp;IF($AM75="","Sin fecha de inicio"&amp;" · ","")&amp;IF($AN75="","Sin fecha límite"&amp;" · ","")&amp;IF(AND(LEFT($C75,11)="[Jefatura] ",N($AL75)=0),"No se encuentra en la hoja de la jefatura (elíjala de nuevo en la lista)"&amp;" · ","")&amp;IF(OR(AND($E75&lt;&gt;"",NOT(ISNUMBER($E75))),AND($F75&lt;&gt;"",NOT(ISNUMBER($F75))),AND($G75&lt;&gt;"",NOT(ISNUMBER($G75)))),"Fecha no válida"&amp;" · ","")&amp;IF(AND(ISNUMBER($AM75),ISNUMBER($AN75),$AM75&gt;$AN75),"Inicio posterior a fecha límite"&amp;" · ","")&amp;IF(AND($V75="Macro",$H75&lt;&gt;"",OR(NOT(ISNUMBER($H75)),$H75&lt;0,$H75&gt;1)),"Peso fuera de rango"&amp;" · ","")&amp;IF(AND($V75="Sub",$H75&lt;&gt;""),"Las subactividades no llevan peso (valen igual dentro de su macroactividad)"&amp;" · ","")&amp;IF(AND(N($W75)&gt;0,COUNT($I75:$L75)&gt;0),"Con subactividades: deje vacías las semanas (se calculan solas)"&amp;" · ","")&amp;IF((COUNTIF($I75:$L75,"&gt;1")+COUNTIF($I75:$L75,"&lt;0")+COUNTA($I75:$L75)-COUNT($I75:$L75))&gt;0,"Avance fuera de rango 0-100%"&amp;" · ","")&amp;IF(OR(AND($J75&lt;&gt;"",$J75&lt;$I75),AND($K75&lt;&gt;"",$K75&lt;MAX($I75:$J75)),AND($L75&lt;&gt;"",$L75&lt;MAX($I75:$K75))),"Avance semanal decreciente"&amp;" · ","")&amp;IF(AND(ISNUMBER($AN75),$AN75&lt;FechaRef,IF($V75="Sub",N($X75),N($M75))&lt;1),"Vencida"&amp;" · ","")&amp;IF(AND(ObsObligatoria="Sí",ISNUMBER($AN75),$AN75&lt;FechaRef,IF($V75="Sub",N($X75),N($M75))&lt;1,$Q75=""),"Vencida sin observación"&amp;" · ",""))-3)))</f>
        <v/>
      </c>
      <c r="S75" s="64">
        <f>IF(NOT((COUNTA($B75:$D75)+COUNTA($G75:$L75)+COUNTA($Q75))&gt;0),"",IF(AND($V75="Sub",N($U75)&gt;0),IF(ISNUMBER(INDEX($AM$5:$AM$1000,$U75-4)),DATE(YEAR(INDEX($AM$5:$AM$1000,$U75-4)),MONTH(INDEX($AM$5:$AM$1000,$U75-4)),1),IF(ISNUMBER(INDEX($AN$5:$AN$1000,$U75-4)),DATE(YEAR(INDEX($AN$5:$AN$1000,$U75-4)),MONTH(INDEX($AN$5:$AN$1000,$U75-4)),1),MesCiclo)),IF(ISNUMBER($AM75),DATE(YEAR($AM75),MONTH($AM75),1),IF(ISNUMBER($AN75),DATE(YEAR($AN75),MONTH($AN75),1),MesCiclo))))</f>
        <v/>
      </c>
      <c r="T75" s="62">
        <f>IF(OR($S75="",$S75&lt;&gt;MesCiclo,$V75&lt;&gt;"Macro"),"",COUNTIFS($S$5:$S75,MesCiclo,$V$5:$V75,"Macro"))</f>
        <v/>
      </c>
      <c r="U75" s="62">
        <f>IF($V75="","",IF($V75="Macro",ROW(),IFERROR(LOOKUP(2,1/($V$5:$V75="Macro"),ROW($V$5:$V75)),0)))</f>
        <v/>
      </c>
      <c r="V75" s="62">
        <f>IF(NOT((COUNTA($B75:$D75)+COUNTA($G75:$L75)+COUNTA($Q75))&gt;0),"",IF($B75="Subactividad","Sub","Macro"))</f>
        <v/>
      </c>
      <c r="W75" s="62">
        <f>IF($V75="Macro",COUNTIFS($U$5:$U$1000,ROW(),$V$5:$V$1000,"Sub"),"")</f>
        <v/>
      </c>
      <c r="X75" s="62">
        <f>IF($V75="","",IF(ISNUMBER($G75),1,IFERROR(LOOKUP(2,1/($I75:$L75&lt;&gt;""),$I75:$L75),0)))</f>
        <v/>
      </c>
      <c r="Y75" s="62">
        <f>IF($V75="","",IF(AND(ISNUMBER($G75),$G75&lt;=IF($S75=MesCiclo,InicioCiclo,$S75+MOD(2-WEEKDAY($S75),7))+6),1,IF(ISNUMBER($I75),$I75,0)))</f>
        <v/>
      </c>
      <c r="Z75" s="62">
        <f>IF($V75="","",IF(AND(ISNUMBER($G75),$G75&lt;=IF($S75=MesCiclo,InicioCiclo,$S75+MOD(2-WEEKDAY($S75),7))+13),1,IF(ISNUMBER($J75),$J75,$Y75)))</f>
        <v/>
      </c>
      <c r="AA75" s="62">
        <f>IF($V75="","",IF(AND(ISNUMBER($G75),$G75&lt;=IF($S75=MesCiclo,InicioCiclo,$S75+MOD(2-WEEKDAY($S75),7))+20),1,IF(ISNUMBER($K75),$K75,$Z75)))</f>
        <v/>
      </c>
      <c r="AB75" s="62">
        <f>IF($V75="","",IF(AND(ISNUMBER($G75),$G75&lt;=IF($S75=MesCiclo,InicioCiclo,$S75+MOD(2-WEEKDAY($S75),7))+27),1,IF(ISNUMBER($L75),$L75,$AA75)))</f>
        <v/>
      </c>
      <c r="AC75" s="62">
        <f>IF($V75="","",IF(AND(ISNUMBER($G75),$G75&lt;=IF($S75=MesCiclo,InicioCiclo,$S75+MOD(2-WEEKDAY($S75),7))+6),1,IF(N($W75)&gt;0,AVERAGEIFS($Y$5:$Y$1000,$U$5:$U$1000,ROW(),$V$5:$V$1000,"Sub"),$Y75)))</f>
        <v/>
      </c>
      <c r="AD75" s="62">
        <f>IF($V75="","",IF(AND(ISNUMBER($G75),$G75&lt;=IF($S75=MesCiclo,InicioCiclo,$S75+MOD(2-WEEKDAY($S75),7))+13),1,IF(N($W75)&gt;0,AVERAGEIFS($Z$5:$Z$1000,$U$5:$U$1000,ROW(),$V$5:$V$1000,"Sub"),$Z75)))</f>
        <v/>
      </c>
      <c r="AE75" s="62">
        <f>IF($V75="","",IF(AND(ISNUMBER($G75),$G75&lt;=IF($S75=MesCiclo,InicioCiclo,$S75+MOD(2-WEEKDAY($S75),7))+20),1,IF(N($W75)&gt;0,AVERAGEIFS($AA$5:$AA$1000,$U$5:$U$1000,ROW(),$V$5:$V$1000,"Sub"),$AA75)))</f>
        <v/>
      </c>
      <c r="AF75" s="62">
        <f>IF($V75="","",IF(AND(ISNUMBER($G75),$G75&lt;=IF($S75=MesCiclo,InicioCiclo,$S75+MOD(2-WEEKDAY($S75),7))+27),1,IF(N($W75)&gt;0,AVERAGEIFS($AB$5:$AB$1000,$U$5:$U$1000,ROW(),$V$5:$V$1000,"Sub"),$AB75)))</f>
        <v/>
      </c>
      <c r="AG75" s="62">
        <f>IF($V75&lt;&gt;"Macro","",IF(COUNTIFS($S$5:$S$1000,$S75,$V$5:$V$1000,"Macro",$H$5:$H$1000,"&gt;0")=0,1/COUNTIFS($S$5:$S$1000,$S75,$V$5:$V$1000,"Macro"),IF(AND(ISNUMBER($H75),N($H75)&gt;0),$H75,SUMIFS($H$5:$H$1000,$S$5:$S$1000,$S75,$V$5:$V$1000,"Macro")/COUNTIFS($S$5:$S$1000,$S75,$V$5:$V$1000,"Macro",$H$5:$H$1000,"&gt;0"))/(COUNTIFS($S$5:$S$1000,$S75,$V$5:$V$1000,"Macro")*SUMIFS($H$5:$H$1000,$S$5:$S$1000,$S75,$V$5:$V$1000,"Macro")/COUNTIFS($S$5:$S$1000,$S75,$V$5:$V$1000,"Macro",$H$5:$H$1000,"&gt;0"))))</f>
        <v/>
      </c>
      <c r="AH75" s="62" t="n"/>
      <c r="AI75" s="62" t="n"/>
      <c r="AJ75" s="62" t="n"/>
      <c r="AK75" s="62" t="n"/>
      <c r="AL75" s="62">
        <f>IF(LEFT($C75,11)="[Jefatura] ",IFERROR(MATCH("Riesgo Normativo|"&amp;MID($C75,12,500),rDname_ADM,0),0),"")</f>
        <v/>
      </c>
      <c r="AM75" s="62">
        <f>IF(N($AL75)&gt;0,INDEX(rIni_ADM,$AL75),IF(ISNUMBER($E75),$E75,""))</f>
        <v/>
      </c>
      <c r="AN75" s="62">
        <f>IF(N($AL75)&gt;0,INDEX(rLim_ADM,$AL75),IF(ISNUMBER($F75),$F75,""))</f>
        <v/>
      </c>
    </row>
    <row r="76">
      <c r="A76" s="56">
        <f>IF(NOT((COUNTA($B76:$D76)+COUNTA($G76:$L76)+COUNTA($Q76))&gt;0),"",IF($V76="Macro",COUNTIFS($V$5:$V76,"Macro",$S$5:$S76,$S76),IF(N($U76)=0,"?",COUNTIFS(INDEX($V$5:$V$1000,1):INDEX($V$5:$V$1000,$U76-4),"Macro",INDEX($S$5:$S$1000,1):INDEX($S$5:$S$1000,$U76-4),INDEX($S$5:$S$1000,$U76-4))&amp;"."&amp;COUNTIFS($U$5:$U76,$U76,$V$5:$V76,"Sub"))))</f>
        <v/>
      </c>
      <c r="B76" s="57" t="n"/>
      <c r="C76" s="58" t="n"/>
      <c r="D76" s="58" t="n"/>
      <c r="E76" s="59">
        <f>IF(N($AL76)&gt;0,INDEX(rIni_ADM,$AL76),"")</f>
        <v/>
      </c>
      <c r="F76" s="59">
        <f>IF(N($AL76)&gt;0,INDEX(rLim_ADM,$AL76),"")</f>
        <v/>
      </c>
      <c r="G76" s="59" t="n"/>
      <c r="H76" s="60" t="n"/>
      <c r="I76" s="60" t="n"/>
      <c r="J76" s="60" t="n"/>
      <c r="K76" s="60" t="n"/>
      <c r="L76" s="60" t="n"/>
      <c r="M76" s="61">
        <f>IF(NOT((COUNTA($B76:$D76)+COUNTA($G76:$L76)+COUNTA($Q76))&gt;0),"",IF($V76="Sub",IFERROR($X76/INDEX($W$5:$W$1000,$U76-4),""),IF(ISNUMBER($G76),1,IF(N($W76)&gt;0,AVERAGEIFS($X$5:$X$1000,$U$5:$U$1000,ROW(),$V$5:$V$1000,"Sub"),$X76))))</f>
        <v/>
      </c>
      <c r="N76" s="56">
        <f>IF(OR($M76="",$V76="Sub"),"",IF($M76&gt;=1,"Completado",IF($M76&gt;0,"En curso","Pendiente")))</f>
        <v/>
      </c>
      <c r="O76" s="56">
        <f>IF(OR(NOT((COUNTA($B76:$D76)+COUNTA($G76:$L76)+COUNTA($Q76))&gt;0),$V76="Sub"),"",IF(ISNUMBER($G76),IF(AND(ISNUMBER($AN76),$G76&gt;$AN76),"Cumplida con "&amp;($G76-$AN76)&amp;IF($G76-$AN76=1," día"," días")&amp;" de retraso","Cumplida"),IF(N($M76)&gt;=1,"Cumplida",IF(NOT(ISNUMBER($AN76)),"Sin fecha límite",IF($AN76&lt;FechaRef,"Vencida hace "&amp;(FechaRef-$AN76)&amp;IF(FechaRef-$AN76=1," día"," días"),IF($AN76=FechaRef,"Vence hoy",IF($AN76-FechaRef&lt;=DiasAlerta,"Vence en "&amp;($AN76-FechaRef)&amp;IF($AN76-FechaRef=1," día"," días"),"En plazo")))))))</f>
        <v/>
      </c>
      <c r="P76" s="62" t="n"/>
      <c r="Q76" s="58" t="n"/>
      <c r="R76" s="63">
        <f>IF(NOT((COUNTA($B76:$D76)+COUNTA($G76:$L76)+COUNTA($Q76))&gt;0),"",IF((IF($C76="","Falta el nombre de la actividad"&amp;" · ","")&amp;IF(AND($V76="Sub",N($U76)=0),"Subactividad sin macroactividad arriba"&amp;" · ","")&amp;IF($AM76="","Sin fecha de inicio"&amp;" · ","")&amp;IF($AN76="","Sin fecha límite"&amp;" · ","")&amp;IF(AND(LEFT($C76,11)="[Jefatura] ",N($AL76)=0),"No se encuentra en la hoja de la jefatura (elíjala de nuevo en la lista)"&amp;" · ","")&amp;IF(OR(AND($E76&lt;&gt;"",NOT(ISNUMBER($E76))),AND($F76&lt;&gt;"",NOT(ISNUMBER($F76))),AND($G76&lt;&gt;"",NOT(ISNUMBER($G76)))),"Fecha no válida"&amp;" · ","")&amp;IF(AND(ISNUMBER($AM76),ISNUMBER($AN76),$AM76&gt;$AN76),"Inicio posterior a fecha límite"&amp;" · ","")&amp;IF(AND($V76="Macro",$H76&lt;&gt;"",OR(NOT(ISNUMBER($H76)),$H76&lt;0,$H76&gt;1)),"Peso fuera de rango"&amp;" · ","")&amp;IF(AND($V76="Sub",$H76&lt;&gt;""),"Las subactividades no llevan peso (valen igual dentro de su macroactividad)"&amp;" · ","")&amp;IF(AND(N($W76)&gt;0,COUNT($I76:$L76)&gt;0),"Con subactividades: deje vacías las semanas (se calculan solas)"&amp;" · ","")&amp;IF((COUNTIF($I76:$L76,"&gt;1")+COUNTIF($I76:$L76,"&lt;0")+COUNTA($I76:$L76)-COUNT($I76:$L76))&gt;0,"Avance fuera de rango 0-100%"&amp;" · ","")&amp;IF(OR(AND($J76&lt;&gt;"",$J76&lt;$I76),AND($K76&lt;&gt;"",$K76&lt;MAX($I76:$J76)),AND($L76&lt;&gt;"",$L76&lt;MAX($I76:$K76))),"Avance semanal decreciente"&amp;" · ","")&amp;IF(AND(ISNUMBER($AN76),$AN76&lt;FechaRef,IF($V76="Sub",N($X76),N($M76))&lt;1),"Vencida"&amp;" · ","")&amp;IF(AND(ObsObligatoria="Sí",ISNUMBER($AN76),$AN76&lt;FechaRef,IF($V76="Sub",N($X76),N($M76))&lt;1,$Q76=""),"Vencida sin observación"&amp;" · ",""))="","✔ OK","⚠ "&amp;LEFT(IF($C76="","Falta el nombre de la actividad"&amp;" · ","")&amp;IF(AND($V76="Sub",N($U76)=0),"Subactividad sin macroactividad arriba"&amp;" · ","")&amp;IF($AM76="","Sin fecha de inicio"&amp;" · ","")&amp;IF($AN76="","Sin fecha límite"&amp;" · ","")&amp;IF(AND(LEFT($C76,11)="[Jefatura] ",N($AL76)=0),"No se encuentra en la hoja de la jefatura (elíjala de nuevo en la lista)"&amp;" · ","")&amp;IF(OR(AND($E76&lt;&gt;"",NOT(ISNUMBER($E76))),AND($F76&lt;&gt;"",NOT(ISNUMBER($F76))),AND($G76&lt;&gt;"",NOT(ISNUMBER($G76)))),"Fecha no válida"&amp;" · ","")&amp;IF(AND(ISNUMBER($AM76),ISNUMBER($AN76),$AM76&gt;$AN76),"Inicio posterior a fecha límite"&amp;" · ","")&amp;IF(AND($V76="Macro",$H76&lt;&gt;"",OR(NOT(ISNUMBER($H76)),$H76&lt;0,$H76&gt;1)),"Peso fuera de rango"&amp;" · ","")&amp;IF(AND($V76="Sub",$H76&lt;&gt;""),"Las subactividades no llevan peso (valen igual dentro de su macroactividad)"&amp;" · ","")&amp;IF(AND(N($W76)&gt;0,COUNT($I76:$L76)&gt;0),"Con subactividades: deje vacías las semanas (se calculan solas)"&amp;" · ","")&amp;IF((COUNTIF($I76:$L76,"&gt;1")+COUNTIF($I76:$L76,"&lt;0")+COUNTA($I76:$L76)-COUNT($I76:$L76))&gt;0,"Avance fuera de rango 0-100%"&amp;" · ","")&amp;IF(OR(AND($J76&lt;&gt;"",$J76&lt;$I76),AND($K76&lt;&gt;"",$K76&lt;MAX($I76:$J76)),AND($L76&lt;&gt;"",$L76&lt;MAX($I76:$K76))),"Avance semanal decreciente"&amp;" · ","")&amp;IF(AND(ISNUMBER($AN76),$AN76&lt;FechaRef,IF($V76="Sub",N($X76),N($M76))&lt;1),"Vencida"&amp;" · ","")&amp;IF(AND(ObsObligatoria="Sí",ISNUMBER($AN76),$AN76&lt;FechaRef,IF($V76="Sub",N($X76),N($M76))&lt;1,$Q76=""),"Vencida sin observación"&amp;" · ",""),LEN(IF($C76="","Falta el nombre de la actividad"&amp;" · ","")&amp;IF(AND($V76="Sub",N($U76)=0),"Subactividad sin macroactividad arriba"&amp;" · ","")&amp;IF($AM76="","Sin fecha de inicio"&amp;" · ","")&amp;IF($AN76="","Sin fecha límite"&amp;" · ","")&amp;IF(AND(LEFT($C76,11)="[Jefatura] ",N($AL76)=0),"No se encuentra en la hoja de la jefatura (elíjala de nuevo en la lista)"&amp;" · ","")&amp;IF(OR(AND($E76&lt;&gt;"",NOT(ISNUMBER($E76))),AND($F76&lt;&gt;"",NOT(ISNUMBER($F76))),AND($G76&lt;&gt;"",NOT(ISNUMBER($G76)))),"Fecha no válida"&amp;" · ","")&amp;IF(AND(ISNUMBER($AM76),ISNUMBER($AN76),$AM76&gt;$AN76),"Inicio posterior a fecha límite"&amp;" · ","")&amp;IF(AND($V76="Macro",$H76&lt;&gt;"",OR(NOT(ISNUMBER($H76)),$H76&lt;0,$H76&gt;1)),"Peso fuera de rango"&amp;" · ","")&amp;IF(AND($V76="Sub",$H76&lt;&gt;""),"Las subactividades no llevan peso (valen igual dentro de su macroactividad)"&amp;" · ","")&amp;IF(AND(N($W76)&gt;0,COUNT($I76:$L76)&gt;0),"Con subactividades: deje vacías las semanas (se calculan solas)"&amp;" · ","")&amp;IF((COUNTIF($I76:$L76,"&gt;1")+COUNTIF($I76:$L76,"&lt;0")+COUNTA($I76:$L76)-COUNT($I76:$L76))&gt;0,"Avance fuera de rango 0-100%"&amp;" · ","")&amp;IF(OR(AND($J76&lt;&gt;"",$J76&lt;$I76),AND($K76&lt;&gt;"",$K76&lt;MAX($I76:$J76)),AND($L76&lt;&gt;"",$L76&lt;MAX($I76:$K76))),"Avance semanal decreciente"&amp;" · ","")&amp;IF(AND(ISNUMBER($AN76),$AN76&lt;FechaRef,IF($V76="Sub",N($X76),N($M76))&lt;1),"Vencida"&amp;" · ","")&amp;IF(AND(ObsObligatoria="Sí",ISNUMBER($AN76),$AN76&lt;FechaRef,IF($V76="Sub",N($X76),N($M76))&lt;1,$Q76=""),"Vencida sin observación"&amp;" · ",""))-3)))</f>
        <v/>
      </c>
      <c r="S76" s="64">
        <f>IF(NOT((COUNTA($B76:$D76)+COUNTA($G76:$L76)+COUNTA($Q76))&gt;0),"",IF(AND($V76="Sub",N($U76)&gt;0),IF(ISNUMBER(INDEX($AM$5:$AM$1000,$U76-4)),DATE(YEAR(INDEX($AM$5:$AM$1000,$U76-4)),MONTH(INDEX($AM$5:$AM$1000,$U76-4)),1),IF(ISNUMBER(INDEX($AN$5:$AN$1000,$U76-4)),DATE(YEAR(INDEX($AN$5:$AN$1000,$U76-4)),MONTH(INDEX($AN$5:$AN$1000,$U76-4)),1),MesCiclo)),IF(ISNUMBER($AM76),DATE(YEAR($AM76),MONTH($AM76),1),IF(ISNUMBER($AN76),DATE(YEAR($AN76),MONTH($AN76),1),MesCiclo))))</f>
        <v/>
      </c>
      <c r="T76" s="62">
        <f>IF(OR($S76="",$S76&lt;&gt;MesCiclo,$V76&lt;&gt;"Macro"),"",COUNTIFS($S$5:$S76,MesCiclo,$V$5:$V76,"Macro"))</f>
        <v/>
      </c>
      <c r="U76" s="62">
        <f>IF($V76="","",IF($V76="Macro",ROW(),IFERROR(LOOKUP(2,1/($V$5:$V76="Macro"),ROW($V$5:$V76)),0)))</f>
        <v/>
      </c>
      <c r="V76" s="62">
        <f>IF(NOT((COUNTA($B76:$D76)+COUNTA($G76:$L76)+COUNTA($Q76))&gt;0),"",IF($B76="Subactividad","Sub","Macro"))</f>
        <v/>
      </c>
      <c r="W76" s="62">
        <f>IF($V76="Macro",COUNTIFS($U$5:$U$1000,ROW(),$V$5:$V$1000,"Sub"),"")</f>
        <v/>
      </c>
      <c r="X76" s="62">
        <f>IF($V76="","",IF(ISNUMBER($G76),1,IFERROR(LOOKUP(2,1/($I76:$L76&lt;&gt;""),$I76:$L76),0)))</f>
        <v/>
      </c>
      <c r="Y76" s="62">
        <f>IF($V76="","",IF(AND(ISNUMBER($G76),$G76&lt;=IF($S76=MesCiclo,InicioCiclo,$S76+MOD(2-WEEKDAY($S76),7))+6),1,IF(ISNUMBER($I76),$I76,0)))</f>
        <v/>
      </c>
      <c r="Z76" s="62">
        <f>IF($V76="","",IF(AND(ISNUMBER($G76),$G76&lt;=IF($S76=MesCiclo,InicioCiclo,$S76+MOD(2-WEEKDAY($S76),7))+13),1,IF(ISNUMBER($J76),$J76,$Y76)))</f>
        <v/>
      </c>
      <c r="AA76" s="62">
        <f>IF($V76="","",IF(AND(ISNUMBER($G76),$G76&lt;=IF($S76=MesCiclo,InicioCiclo,$S76+MOD(2-WEEKDAY($S76),7))+20),1,IF(ISNUMBER($K76),$K76,$Z76)))</f>
        <v/>
      </c>
      <c r="AB76" s="62">
        <f>IF($V76="","",IF(AND(ISNUMBER($G76),$G76&lt;=IF($S76=MesCiclo,InicioCiclo,$S76+MOD(2-WEEKDAY($S76),7))+27),1,IF(ISNUMBER($L76),$L76,$AA76)))</f>
        <v/>
      </c>
      <c r="AC76" s="62">
        <f>IF($V76="","",IF(AND(ISNUMBER($G76),$G76&lt;=IF($S76=MesCiclo,InicioCiclo,$S76+MOD(2-WEEKDAY($S76),7))+6),1,IF(N($W76)&gt;0,AVERAGEIFS($Y$5:$Y$1000,$U$5:$U$1000,ROW(),$V$5:$V$1000,"Sub"),$Y76)))</f>
        <v/>
      </c>
      <c r="AD76" s="62">
        <f>IF($V76="","",IF(AND(ISNUMBER($G76),$G76&lt;=IF($S76=MesCiclo,InicioCiclo,$S76+MOD(2-WEEKDAY($S76),7))+13),1,IF(N($W76)&gt;0,AVERAGEIFS($Z$5:$Z$1000,$U$5:$U$1000,ROW(),$V$5:$V$1000,"Sub"),$Z76)))</f>
        <v/>
      </c>
      <c r="AE76" s="62">
        <f>IF($V76="","",IF(AND(ISNUMBER($G76),$G76&lt;=IF($S76=MesCiclo,InicioCiclo,$S76+MOD(2-WEEKDAY($S76),7))+20),1,IF(N($W76)&gt;0,AVERAGEIFS($AA$5:$AA$1000,$U$5:$U$1000,ROW(),$V$5:$V$1000,"Sub"),$AA76)))</f>
        <v/>
      </c>
      <c r="AF76" s="62">
        <f>IF($V76="","",IF(AND(ISNUMBER($G76),$G76&lt;=IF($S76=MesCiclo,InicioCiclo,$S76+MOD(2-WEEKDAY($S76),7))+27),1,IF(N($W76)&gt;0,AVERAGEIFS($AB$5:$AB$1000,$U$5:$U$1000,ROW(),$V$5:$V$1000,"Sub"),$AB76)))</f>
        <v/>
      </c>
      <c r="AG76" s="62">
        <f>IF($V76&lt;&gt;"Macro","",IF(COUNTIFS($S$5:$S$1000,$S76,$V$5:$V$1000,"Macro",$H$5:$H$1000,"&gt;0")=0,1/COUNTIFS($S$5:$S$1000,$S76,$V$5:$V$1000,"Macro"),IF(AND(ISNUMBER($H76),N($H76)&gt;0),$H76,SUMIFS($H$5:$H$1000,$S$5:$S$1000,$S76,$V$5:$V$1000,"Macro")/COUNTIFS($S$5:$S$1000,$S76,$V$5:$V$1000,"Macro",$H$5:$H$1000,"&gt;0"))/(COUNTIFS($S$5:$S$1000,$S76,$V$5:$V$1000,"Macro")*SUMIFS($H$5:$H$1000,$S$5:$S$1000,$S76,$V$5:$V$1000,"Macro")/COUNTIFS($S$5:$S$1000,$S76,$V$5:$V$1000,"Macro",$H$5:$H$1000,"&gt;0"))))</f>
        <v/>
      </c>
      <c r="AH76" s="62" t="n"/>
      <c r="AI76" s="62" t="n"/>
      <c r="AJ76" s="62" t="n"/>
      <c r="AK76" s="62" t="n"/>
      <c r="AL76" s="62">
        <f>IF(LEFT($C76,11)="[Jefatura] ",IFERROR(MATCH("Riesgo Normativo|"&amp;MID($C76,12,500),rDname_ADM,0),0),"")</f>
        <v/>
      </c>
      <c r="AM76" s="62">
        <f>IF(N($AL76)&gt;0,INDEX(rIni_ADM,$AL76),IF(ISNUMBER($E76),$E76,""))</f>
        <v/>
      </c>
      <c r="AN76" s="62">
        <f>IF(N($AL76)&gt;0,INDEX(rLim_ADM,$AL76),IF(ISNUMBER($F76),$F76,""))</f>
        <v/>
      </c>
    </row>
    <row r="77">
      <c r="A77" s="56">
        <f>IF(NOT((COUNTA($B77:$D77)+COUNTA($G77:$L77)+COUNTA($Q77))&gt;0),"",IF($V77="Macro",COUNTIFS($V$5:$V77,"Macro",$S$5:$S77,$S77),IF(N($U77)=0,"?",COUNTIFS(INDEX($V$5:$V$1000,1):INDEX($V$5:$V$1000,$U77-4),"Macro",INDEX($S$5:$S$1000,1):INDEX($S$5:$S$1000,$U77-4),INDEX($S$5:$S$1000,$U77-4))&amp;"."&amp;COUNTIFS($U$5:$U77,$U77,$V$5:$V77,"Sub"))))</f>
        <v/>
      </c>
      <c r="B77" s="57" t="n"/>
      <c r="C77" s="58" t="n"/>
      <c r="D77" s="58" t="n"/>
      <c r="E77" s="59">
        <f>IF(N($AL77)&gt;0,INDEX(rIni_ADM,$AL77),"")</f>
        <v/>
      </c>
      <c r="F77" s="59">
        <f>IF(N($AL77)&gt;0,INDEX(rLim_ADM,$AL77),"")</f>
        <v/>
      </c>
      <c r="G77" s="59" t="n"/>
      <c r="H77" s="60" t="n"/>
      <c r="I77" s="60" t="n"/>
      <c r="J77" s="60" t="n"/>
      <c r="K77" s="60" t="n"/>
      <c r="L77" s="60" t="n"/>
      <c r="M77" s="61">
        <f>IF(NOT((COUNTA($B77:$D77)+COUNTA($G77:$L77)+COUNTA($Q77))&gt;0),"",IF($V77="Sub",IFERROR($X77/INDEX($W$5:$W$1000,$U77-4),""),IF(ISNUMBER($G77),1,IF(N($W77)&gt;0,AVERAGEIFS($X$5:$X$1000,$U$5:$U$1000,ROW(),$V$5:$V$1000,"Sub"),$X77))))</f>
        <v/>
      </c>
      <c r="N77" s="56">
        <f>IF(OR($M77="",$V77="Sub"),"",IF($M77&gt;=1,"Completado",IF($M77&gt;0,"En curso","Pendiente")))</f>
        <v/>
      </c>
      <c r="O77" s="56">
        <f>IF(OR(NOT((COUNTA($B77:$D77)+COUNTA($G77:$L77)+COUNTA($Q77))&gt;0),$V77="Sub"),"",IF(ISNUMBER($G77),IF(AND(ISNUMBER($AN77),$G77&gt;$AN77),"Cumplida con "&amp;($G77-$AN77)&amp;IF($G77-$AN77=1," día"," días")&amp;" de retraso","Cumplida"),IF(N($M77)&gt;=1,"Cumplida",IF(NOT(ISNUMBER($AN77)),"Sin fecha límite",IF($AN77&lt;FechaRef,"Vencida hace "&amp;(FechaRef-$AN77)&amp;IF(FechaRef-$AN77=1," día"," días"),IF($AN77=FechaRef,"Vence hoy",IF($AN77-FechaRef&lt;=DiasAlerta,"Vence en "&amp;($AN77-FechaRef)&amp;IF($AN77-FechaRef=1," día"," días"),"En plazo")))))))</f>
        <v/>
      </c>
      <c r="P77" s="62" t="n"/>
      <c r="Q77" s="58" t="n"/>
      <c r="R77" s="63">
        <f>IF(NOT((COUNTA($B77:$D77)+COUNTA($G77:$L77)+COUNTA($Q77))&gt;0),"",IF((IF($C77="","Falta el nombre de la actividad"&amp;" · ","")&amp;IF(AND($V77="Sub",N($U77)=0),"Subactividad sin macroactividad arriba"&amp;" · ","")&amp;IF($AM77="","Sin fecha de inicio"&amp;" · ","")&amp;IF($AN77="","Sin fecha límite"&amp;" · ","")&amp;IF(AND(LEFT($C77,11)="[Jefatura] ",N($AL77)=0),"No se encuentra en la hoja de la jefatura (elíjala de nuevo en la lista)"&amp;" · ","")&amp;IF(OR(AND($E77&lt;&gt;"",NOT(ISNUMBER($E77))),AND($F77&lt;&gt;"",NOT(ISNUMBER($F77))),AND($G77&lt;&gt;"",NOT(ISNUMBER($G77)))),"Fecha no válida"&amp;" · ","")&amp;IF(AND(ISNUMBER($AM77),ISNUMBER($AN77),$AM77&gt;$AN77),"Inicio posterior a fecha límite"&amp;" · ","")&amp;IF(AND($V77="Macro",$H77&lt;&gt;"",OR(NOT(ISNUMBER($H77)),$H77&lt;0,$H77&gt;1)),"Peso fuera de rango"&amp;" · ","")&amp;IF(AND($V77="Sub",$H77&lt;&gt;""),"Las subactividades no llevan peso (valen igual dentro de su macroactividad)"&amp;" · ","")&amp;IF(AND(N($W77)&gt;0,COUNT($I77:$L77)&gt;0),"Con subactividades: deje vacías las semanas (se calculan solas)"&amp;" · ","")&amp;IF((COUNTIF($I77:$L77,"&gt;1")+COUNTIF($I77:$L77,"&lt;0")+COUNTA($I77:$L77)-COUNT($I77:$L77))&gt;0,"Avance fuera de rango 0-100%"&amp;" · ","")&amp;IF(OR(AND($J77&lt;&gt;"",$J77&lt;$I77),AND($K77&lt;&gt;"",$K77&lt;MAX($I77:$J77)),AND($L77&lt;&gt;"",$L77&lt;MAX($I77:$K77))),"Avance semanal decreciente"&amp;" · ","")&amp;IF(AND(ISNUMBER($AN77),$AN77&lt;FechaRef,IF($V77="Sub",N($X77),N($M77))&lt;1),"Vencida"&amp;" · ","")&amp;IF(AND(ObsObligatoria="Sí",ISNUMBER($AN77),$AN77&lt;FechaRef,IF($V77="Sub",N($X77),N($M77))&lt;1,$Q77=""),"Vencida sin observación"&amp;" · ",""))="","✔ OK","⚠ "&amp;LEFT(IF($C77="","Falta el nombre de la actividad"&amp;" · ","")&amp;IF(AND($V77="Sub",N($U77)=0),"Subactividad sin macroactividad arriba"&amp;" · ","")&amp;IF($AM77="","Sin fecha de inicio"&amp;" · ","")&amp;IF($AN77="","Sin fecha límite"&amp;" · ","")&amp;IF(AND(LEFT($C77,11)="[Jefatura] ",N($AL77)=0),"No se encuentra en la hoja de la jefatura (elíjala de nuevo en la lista)"&amp;" · ","")&amp;IF(OR(AND($E77&lt;&gt;"",NOT(ISNUMBER($E77))),AND($F77&lt;&gt;"",NOT(ISNUMBER($F77))),AND($G77&lt;&gt;"",NOT(ISNUMBER($G77)))),"Fecha no válida"&amp;" · ","")&amp;IF(AND(ISNUMBER($AM77),ISNUMBER($AN77),$AM77&gt;$AN77),"Inicio posterior a fecha límite"&amp;" · ","")&amp;IF(AND($V77="Macro",$H77&lt;&gt;"",OR(NOT(ISNUMBER($H77)),$H77&lt;0,$H77&gt;1)),"Peso fuera de rango"&amp;" · ","")&amp;IF(AND($V77="Sub",$H77&lt;&gt;""),"Las subactividades no llevan peso (valen igual dentro de su macroactividad)"&amp;" · ","")&amp;IF(AND(N($W77)&gt;0,COUNT($I77:$L77)&gt;0),"Con subactividades: deje vacías las semanas (se calculan solas)"&amp;" · ","")&amp;IF((COUNTIF($I77:$L77,"&gt;1")+COUNTIF($I77:$L77,"&lt;0")+COUNTA($I77:$L77)-COUNT($I77:$L77))&gt;0,"Avance fuera de rango 0-100%"&amp;" · ","")&amp;IF(OR(AND($J77&lt;&gt;"",$J77&lt;$I77),AND($K77&lt;&gt;"",$K77&lt;MAX($I77:$J77)),AND($L77&lt;&gt;"",$L77&lt;MAX($I77:$K77))),"Avance semanal decreciente"&amp;" · ","")&amp;IF(AND(ISNUMBER($AN77),$AN77&lt;FechaRef,IF($V77="Sub",N($X77),N($M77))&lt;1),"Vencida"&amp;" · ","")&amp;IF(AND(ObsObligatoria="Sí",ISNUMBER($AN77),$AN77&lt;FechaRef,IF($V77="Sub",N($X77),N($M77))&lt;1,$Q77=""),"Vencida sin observación"&amp;" · ",""),LEN(IF($C77="","Falta el nombre de la actividad"&amp;" · ","")&amp;IF(AND($V77="Sub",N($U77)=0),"Subactividad sin macroactividad arriba"&amp;" · ","")&amp;IF($AM77="","Sin fecha de inicio"&amp;" · ","")&amp;IF($AN77="","Sin fecha límite"&amp;" · ","")&amp;IF(AND(LEFT($C77,11)="[Jefatura] ",N($AL77)=0),"No se encuentra en la hoja de la jefatura (elíjala de nuevo en la lista)"&amp;" · ","")&amp;IF(OR(AND($E77&lt;&gt;"",NOT(ISNUMBER($E77))),AND($F77&lt;&gt;"",NOT(ISNUMBER($F77))),AND($G77&lt;&gt;"",NOT(ISNUMBER($G77)))),"Fecha no válida"&amp;" · ","")&amp;IF(AND(ISNUMBER($AM77),ISNUMBER($AN77),$AM77&gt;$AN77),"Inicio posterior a fecha límite"&amp;" · ","")&amp;IF(AND($V77="Macro",$H77&lt;&gt;"",OR(NOT(ISNUMBER($H77)),$H77&lt;0,$H77&gt;1)),"Peso fuera de rango"&amp;" · ","")&amp;IF(AND($V77="Sub",$H77&lt;&gt;""),"Las subactividades no llevan peso (valen igual dentro de su macroactividad)"&amp;" · ","")&amp;IF(AND(N($W77)&gt;0,COUNT($I77:$L77)&gt;0),"Con subactividades: deje vacías las semanas (se calculan solas)"&amp;" · ","")&amp;IF((COUNTIF($I77:$L77,"&gt;1")+COUNTIF($I77:$L77,"&lt;0")+COUNTA($I77:$L77)-COUNT($I77:$L77))&gt;0,"Avance fuera de rango 0-100%"&amp;" · ","")&amp;IF(OR(AND($J77&lt;&gt;"",$J77&lt;$I77),AND($K77&lt;&gt;"",$K77&lt;MAX($I77:$J77)),AND($L77&lt;&gt;"",$L77&lt;MAX($I77:$K77))),"Avance semanal decreciente"&amp;" · ","")&amp;IF(AND(ISNUMBER($AN77),$AN77&lt;FechaRef,IF($V77="Sub",N($X77),N($M77))&lt;1),"Vencida"&amp;" · ","")&amp;IF(AND(ObsObligatoria="Sí",ISNUMBER($AN77),$AN77&lt;FechaRef,IF($V77="Sub",N($X77),N($M77))&lt;1,$Q77=""),"Vencida sin observación"&amp;" · ",""))-3)))</f>
        <v/>
      </c>
      <c r="S77" s="64">
        <f>IF(NOT((COUNTA($B77:$D77)+COUNTA($G77:$L77)+COUNTA($Q77))&gt;0),"",IF(AND($V77="Sub",N($U77)&gt;0),IF(ISNUMBER(INDEX($AM$5:$AM$1000,$U77-4)),DATE(YEAR(INDEX($AM$5:$AM$1000,$U77-4)),MONTH(INDEX($AM$5:$AM$1000,$U77-4)),1),IF(ISNUMBER(INDEX($AN$5:$AN$1000,$U77-4)),DATE(YEAR(INDEX($AN$5:$AN$1000,$U77-4)),MONTH(INDEX($AN$5:$AN$1000,$U77-4)),1),MesCiclo)),IF(ISNUMBER($AM77),DATE(YEAR($AM77),MONTH($AM77),1),IF(ISNUMBER($AN77),DATE(YEAR($AN77),MONTH($AN77),1),MesCiclo))))</f>
        <v/>
      </c>
      <c r="T77" s="62">
        <f>IF(OR($S77="",$S77&lt;&gt;MesCiclo,$V77&lt;&gt;"Macro"),"",COUNTIFS($S$5:$S77,MesCiclo,$V$5:$V77,"Macro"))</f>
        <v/>
      </c>
      <c r="U77" s="62">
        <f>IF($V77="","",IF($V77="Macro",ROW(),IFERROR(LOOKUP(2,1/($V$5:$V77="Macro"),ROW($V$5:$V77)),0)))</f>
        <v/>
      </c>
      <c r="V77" s="62">
        <f>IF(NOT((COUNTA($B77:$D77)+COUNTA($G77:$L77)+COUNTA($Q77))&gt;0),"",IF($B77="Subactividad","Sub","Macro"))</f>
        <v/>
      </c>
      <c r="W77" s="62">
        <f>IF($V77="Macro",COUNTIFS($U$5:$U$1000,ROW(),$V$5:$V$1000,"Sub"),"")</f>
        <v/>
      </c>
      <c r="X77" s="62">
        <f>IF($V77="","",IF(ISNUMBER($G77),1,IFERROR(LOOKUP(2,1/($I77:$L77&lt;&gt;""),$I77:$L77),0)))</f>
        <v/>
      </c>
      <c r="Y77" s="62">
        <f>IF($V77="","",IF(AND(ISNUMBER($G77),$G77&lt;=IF($S77=MesCiclo,InicioCiclo,$S77+MOD(2-WEEKDAY($S77),7))+6),1,IF(ISNUMBER($I77),$I77,0)))</f>
        <v/>
      </c>
      <c r="Z77" s="62">
        <f>IF($V77="","",IF(AND(ISNUMBER($G77),$G77&lt;=IF($S77=MesCiclo,InicioCiclo,$S77+MOD(2-WEEKDAY($S77),7))+13),1,IF(ISNUMBER($J77),$J77,$Y77)))</f>
        <v/>
      </c>
      <c r="AA77" s="62">
        <f>IF($V77="","",IF(AND(ISNUMBER($G77),$G77&lt;=IF($S77=MesCiclo,InicioCiclo,$S77+MOD(2-WEEKDAY($S77),7))+20),1,IF(ISNUMBER($K77),$K77,$Z77)))</f>
        <v/>
      </c>
      <c r="AB77" s="62">
        <f>IF($V77="","",IF(AND(ISNUMBER($G77),$G77&lt;=IF($S77=MesCiclo,InicioCiclo,$S77+MOD(2-WEEKDAY($S77),7))+27),1,IF(ISNUMBER($L77),$L77,$AA77)))</f>
        <v/>
      </c>
      <c r="AC77" s="62">
        <f>IF($V77="","",IF(AND(ISNUMBER($G77),$G77&lt;=IF($S77=MesCiclo,InicioCiclo,$S77+MOD(2-WEEKDAY($S77),7))+6),1,IF(N($W77)&gt;0,AVERAGEIFS($Y$5:$Y$1000,$U$5:$U$1000,ROW(),$V$5:$V$1000,"Sub"),$Y77)))</f>
        <v/>
      </c>
      <c r="AD77" s="62">
        <f>IF($V77="","",IF(AND(ISNUMBER($G77),$G77&lt;=IF($S77=MesCiclo,InicioCiclo,$S77+MOD(2-WEEKDAY($S77),7))+13),1,IF(N($W77)&gt;0,AVERAGEIFS($Z$5:$Z$1000,$U$5:$U$1000,ROW(),$V$5:$V$1000,"Sub"),$Z77)))</f>
        <v/>
      </c>
      <c r="AE77" s="62">
        <f>IF($V77="","",IF(AND(ISNUMBER($G77),$G77&lt;=IF($S77=MesCiclo,InicioCiclo,$S77+MOD(2-WEEKDAY($S77),7))+20),1,IF(N($W77)&gt;0,AVERAGEIFS($AA$5:$AA$1000,$U$5:$U$1000,ROW(),$V$5:$V$1000,"Sub"),$AA77)))</f>
        <v/>
      </c>
      <c r="AF77" s="62">
        <f>IF($V77="","",IF(AND(ISNUMBER($G77),$G77&lt;=IF($S77=MesCiclo,InicioCiclo,$S77+MOD(2-WEEKDAY($S77),7))+27),1,IF(N($W77)&gt;0,AVERAGEIFS($AB$5:$AB$1000,$U$5:$U$1000,ROW(),$V$5:$V$1000,"Sub"),$AB77)))</f>
        <v/>
      </c>
      <c r="AG77" s="62">
        <f>IF($V77&lt;&gt;"Macro","",IF(COUNTIFS($S$5:$S$1000,$S77,$V$5:$V$1000,"Macro",$H$5:$H$1000,"&gt;0")=0,1/COUNTIFS($S$5:$S$1000,$S77,$V$5:$V$1000,"Macro"),IF(AND(ISNUMBER($H77),N($H77)&gt;0),$H77,SUMIFS($H$5:$H$1000,$S$5:$S$1000,$S77,$V$5:$V$1000,"Macro")/COUNTIFS($S$5:$S$1000,$S77,$V$5:$V$1000,"Macro",$H$5:$H$1000,"&gt;0"))/(COUNTIFS($S$5:$S$1000,$S77,$V$5:$V$1000,"Macro")*SUMIFS($H$5:$H$1000,$S$5:$S$1000,$S77,$V$5:$V$1000,"Macro")/COUNTIFS($S$5:$S$1000,$S77,$V$5:$V$1000,"Macro",$H$5:$H$1000,"&gt;0"))))</f>
        <v/>
      </c>
      <c r="AH77" s="62" t="n"/>
      <c r="AI77" s="62" t="n"/>
      <c r="AJ77" s="62" t="n"/>
      <c r="AK77" s="62" t="n"/>
      <c r="AL77" s="62">
        <f>IF(LEFT($C77,11)="[Jefatura] ",IFERROR(MATCH("Riesgo Normativo|"&amp;MID($C77,12,500),rDname_ADM,0),0),"")</f>
        <v/>
      </c>
      <c r="AM77" s="62">
        <f>IF(N($AL77)&gt;0,INDEX(rIni_ADM,$AL77),IF(ISNUMBER($E77),$E77,""))</f>
        <v/>
      </c>
      <c r="AN77" s="62">
        <f>IF(N($AL77)&gt;0,INDEX(rLim_ADM,$AL77),IF(ISNUMBER($F77),$F77,""))</f>
        <v/>
      </c>
    </row>
    <row r="78">
      <c r="A78" s="56">
        <f>IF(NOT((COUNTA($B78:$D78)+COUNTA($G78:$L78)+COUNTA($Q78))&gt;0),"",IF($V78="Macro",COUNTIFS($V$5:$V78,"Macro",$S$5:$S78,$S78),IF(N($U78)=0,"?",COUNTIFS(INDEX($V$5:$V$1000,1):INDEX($V$5:$V$1000,$U78-4),"Macro",INDEX($S$5:$S$1000,1):INDEX($S$5:$S$1000,$U78-4),INDEX($S$5:$S$1000,$U78-4))&amp;"."&amp;COUNTIFS($U$5:$U78,$U78,$V$5:$V78,"Sub"))))</f>
        <v/>
      </c>
      <c r="B78" s="57" t="n"/>
      <c r="C78" s="58" t="n"/>
      <c r="D78" s="58" t="n"/>
      <c r="E78" s="59">
        <f>IF(N($AL78)&gt;0,INDEX(rIni_ADM,$AL78),"")</f>
        <v/>
      </c>
      <c r="F78" s="59">
        <f>IF(N($AL78)&gt;0,INDEX(rLim_ADM,$AL78),"")</f>
        <v/>
      </c>
      <c r="G78" s="59" t="n"/>
      <c r="H78" s="60" t="n"/>
      <c r="I78" s="60" t="n"/>
      <c r="J78" s="60" t="n"/>
      <c r="K78" s="60" t="n"/>
      <c r="L78" s="60" t="n"/>
      <c r="M78" s="61">
        <f>IF(NOT((COUNTA($B78:$D78)+COUNTA($G78:$L78)+COUNTA($Q78))&gt;0),"",IF($V78="Sub",IFERROR($X78/INDEX($W$5:$W$1000,$U78-4),""),IF(ISNUMBER($G78),1,IF(N($W78)&gt;0,AVERAGEIFS($X$5:$X$1000,$U$5:$U$1000,ROW(),$V$5:$V$1000,"Sub"),$X78))))</f>
        <v/>
      </c>
      <c r="N78" s="56">
        <f>IF(OR($M78="",$V78="Sub"),"",IF($M78&gt;=1,"Completado",IF($M78&gt;0,"En curso","Pendiente")))</f>
        <v/>
      </c>
      <c r="O78" s="56">
        <f>IF(OR(NOT((COUNTA($B78:$D78)+COUNTA($G78:$L78)+COUNTA($Q78))&gt;0),$V78="Sub"),"",IF(ISNUMBER($G78),IF(AND(ISNUMBER($AN78),$G78&gt;$AN78),"Cumplida con "&amp;($G78-$AN78)&amp;IF($G78-$AN78=1," día"," días")&amp;" de retraso","Cumplida"),IF(N($M78)&gt;=1,"Cumplida",IF(NOT(ISNUMBER($AN78)),"Sin fecha límite",IF($AN78&lt;FechaRef,"Vencida hace "&amp;(FechaRef-$AN78)&amp;IF(FechaRef-$AN78=1," día"," días"),IF($AN78=FechaRef,"Vence hoy",IF($AN78-FechaRef&lt;=DiasAlerta,"Vence en "&amp;($AN78-FechaRef)&amp;IF($AN78-FechaRef=1," día"," días"),"En plazo")))))))</f>
        <v/>
      </c>
      <c r="P78" s="62" t="n"/>
      <c r="Q78" s="58" t="n"/>
      <c r="R78" s="63">
        <f>IF(NOT((COUNTA($B78:$D78)+COUNTA($G78:$L78)+COUNTA($Q78))&gt;0),"",IF((IF($C78="","Falta el nombre de la actividad"&amp;" · ","")&amp;IF(AND($V78="Sub",N($U78)=0),"Subactividad sin macroactividad arriba"&amp;" · ","")&amp;IF($AM78="","Sin fecha de inicio"&amp;" · ","")&amp;IF($AN78="","Sin fecha límite"&amp;" · ","")&amp;IF(AND(LEFT($C78,11)="[Jefatura] ",N($AL78)=0),"No se encuentra en la hoja de la jefatura (elíjala de nuevo en la lista)"&amp;" · ","")&amp;IF(OR(AND($E78&lt;&gt;"",NOT(ISNUMBER($E78))),AND($F78&lt;&gt;"",NOT(ISNUMBER($F78))),AND($G78&lt;&gt;"",NOT(ISNUMBER($G78)))),"Fecha no válida"&amp;" · ","")&amp;IF(AND(ISNUMBER($AM78),ISNUMBER($AN78),$AM78&gt;$AN78),"Inicio posterior a fecha límite"&amp;" · ","")&amp;IF(AND($V78="Macro",$H78&lt;&gt;"",OR(NOT(ISNUMBER($H78)),$H78&lt;0,$H78&gt;1)),"Peso fuera de rango"&amp;" · ","")&amp;IF(AND($V78="Sub",$H78&lt;&gt;""),"Las subactividades no llevan peso (valen igual dentro de su macroactividad)"&amp;" · ","")&amp;IF(AND(N($W78)&gt;0,COUNT($I78:$L78)&gt;0),"Con subactividades: deje vacías las semanas (se calculan solas)"&amp;" · ","")&amp;IF((COUNTIF($I78:$L78,"&gt;1")+COUNTIF($I78:$L78,"&lt;0")+COUNTA($I78:$L78)-COUNT($I78:$L78))&gt;0,"Avance fuera de rango 0-100%"&amp;" · ","")&amp;IF(OR(AND($J78&lt;&gt;"",$J78&lt;$I78),AND($K78&lt;&gt;"",$K78&lt;MAX($I78:$J78)),AND($L78&lt;&gt;"",$L78&lt;MAX($I78:$K78))),"Avance semanal decreciente"&amp;" · ","")&amp;IF(AND(ISNUMBER($AN78),$AN78&lt;FechaRef,IF($V78="Sub",N($X78),N($M78))&lt;1),"Vencida"&amp;" · ","")&amp;IF(AND(ObsObligatoria="Sí",ISNUMBER($AN78),$AN78&lt;FechaRef,IF($V78="Sub",N($X78),N($M78))&lt;1,$Q78=""),"Vencida sin observación"&amp;" · ",""))="","✔ OK","⚠ "&amp;LEFT(IF($C78="","Falta el nombre de la actividad"&amp;" · ","")&amp;IF(AND($V78="Sub",N($U78)=0),"Subactividad sin macroactividad arriba"&amp;" · ","")&amp;IF($AM78="","Sin fecha de inicio"&amp;" · ","")&amp;IF($AN78="","Sin fecha límite"&amp;" · ","")&amp;IF(AND(LEFT($C78,11)="[Jefatura] ",N($AL78)=0),"No se encuentra en la hoja de la jefatura (elíjala de nuevo en la lista)"&amp;" · ","")&amp;IF(OR(AND($E78&lt;&gt;"",NOT(ISNUMBER($E78))),AND($F78&lt;&gt;"",NOT(ISNUMBER($F78))),AND($G78&lt;&gt;"",NOT(ISNUMBER($G78)))),"Fecha no válida"&amp;" · ","")&amp;IF(AND(ISNUMBER($AM78),ISNUMBER($AN78),$AM78&gt;$AN78),"Inicio posterior a fecha límite"&amp;" · ","")&amp;IF(AND($V78="Macro",$H78&lt;&gt;"",OR(NOT(ISNUMBER($H78)),$H78&lt;0,$H78&gt;1)),"Peso fuera de rango"&amp;" · ","")&amp;IF(AND($V78="Sub",$H78&lt;&gt;""),"Las subactividades no llevan peso (valen igual dentro de su macroactividad)"&amp;" · ","")&amp;IF(AND(N($W78)&gt;0,COUNT($I78:$L78)&gt;0),"Con subactividades: deje vacías las semanas (se calculan solas)"&amp;" · ","")&amp;IF((COUNTIF($I78:$L78,"&gt;1")+COUNTIF($I78:$L78,"&lt;0")+COUNTA($I78:$L78)-COUNT($I78:$L78))&gt;0,"Avance fuera de rango 0-100%"&amp;" · ","")&amp;IF(OR(AND($J78&lt;&gt;"",$J78&lt;$I78),AND($K78&lt;&gt;"",$K78&lt;MAX($I78:$J78)),AND($L78&lt;&gt;"",$L78&lt;MAX($I78:$K78))),"Avance semanal decreciente"&amp;" · ","")&amp;IF(AND(ISNUMBER($AN78),$AN78&lt;FechaRef,IF($V78="Sub",N($X78),N($M78))&lt;1),"Vencida"&amp;" · ","")&amp;IF(AND(ObsObligatoria="Sí",ISNUMBER($AN78),$AN78&lt;FechaRef,IF($V78="Sub",N($X78),N($M78))&lt;1,$Q78=""),"Vencida sin observación"&amp;" · ",""),LEN(IF($C78="","Falta el nombre de la actividad"&amp;" · ","")&amp;IF(AND($V78="Sub",N($U78)=0),"Subactividad sin macroactividad arriba"&amp;" · ","")&amp;IF($AM78="","Sin fecha de inicio"&amp;" · ","")&amp;IF($AN78="","Sin fecha límite"&amp;" · ","")&amp;IF(AND(LEFT($C78,11)="[Jefatura] ",N($AL78)=0),"No se encuentra en la hoja de la jefatura (elíjala de nuevo en la lista)"&amp;" · ","")&amp;IF(OR(AND($E78&lt;&gt;"",NOT(ISNUMBER($E78))),AND($F78&lt;&gt;"",NOT(ISNUMBER($F78))),AND($G78&lt;&gt;"",NOT(ISNUMBER($G78)))),"Fecha no válida"&amp;" · ","")&amp;IF(AND(ISNUMBER($AM78),ISNUMBER($AN78),$AM78&gt;$AN78),"Inicio posterior a fecha límite"&amp;" · ","")&amp;IF(AND($V78="Macro",$H78&lt;&gt;"",OR(NOT(ISNUMBER($H78)),$H78&lt;0,$H78&gt;1)),"Peso fuera de rango"&amp;" · ","")&amp;IF(AND($V78="Sub",$H78&lt;&gt;""),"Las subactividades no llevan peso (valen igual dentro de su macroactividad)"&amp;" · ","")&amp;IF(AND(N($W78)&gt;0,COUNT($I78:$L78)&gt;0),"Con subactividades: deje vacías las semanas (se calculan solas)"&amp;" · ","")&amp;IF((COUNTIF($I78:$L78,"&gt;1")+COUNTIF($I78:$L78,"&lt;0")+COUNTA($I78:$L78)-COUNT($I78:$L78))&gt;0,"Avance fuera de rango 0-100%"&amp;" · ","")&amp;IF(OR(AND($J78&lt;&gt;"",$J78&lt;$I78),AND($K78&lt;&gt;"",$K78&lt;MAX($I78:$J78)),AND($L78&lt;&gt;"",$L78&lt;MAX($I78:$K78))),"Avance semanal decreciente"&amp;" · ","")&amp;IF(AND(ISNUMBER($AN78),$AN78&lt;FechaRef,IF($V78="Sub",N($X78),N($M78))&lt;1),"Vencida"&amp;" · ","")&amp;IF(AND(ObsObligatoria="Sí",ISNUMBER($AN78),$AN78&lt;FechaRef,IF($V78="Sub",N($X78),N($M78))&lt;1,$Q78=""),"Vencida sin observación"&amp;" · ",""))-3)))</f>
        <v/>
      </c>
      <c r="S78" s="64">
        <f>IF(NOT((COUNTA($B78:$D78)+COUNTA($G78:$L78)+COUNTA($Q78))&gt;0),"",IF(AND($V78="Sub",N($U78)&gt;0),IF(ISNUMBER(INDEX($AM$5:$AM$1000,$U78-4)),DATE(YEAR(INDEX($AM$5:$AM$1000,$U78-4)),MONTH(INDEX($AM$5:$AM$1000,$U78-4)),1),IF(ISNUMBER(INDEX($AN$5:$AN$1000,$U78-4)),DATE(YEAR(INDEX($AN$5:$AN$1000,$U78-4)),MONTH(INDEX($AN$5:$AN$1000,$U78-4)),1),MesCiclo)),IF(ISNUMBER($AM78),DATE(YEAR($AM78),MONTH($AM78),1),IF(ISNUMBER($AN78),DATE(YEAR($AN78),MONTH($AN78),1),MesCiclo))))</f>
        <v/>
      </c>
      <c r="T78" s="62">
        <f>IF(OR($S78="",$S78&lt;&gt;MesCiclo,$V78&lt;&gt;"Macro"),"",COUNTIFS($S$5:$S78,MesCiclo,$V$5:$V78,"Macro"))</f>
        <v/>
      </c>
      <c r="U78" s="62">
        <f>IF($V78="","",IF($V78="Macro",ROW(),IFERROR(LOOKUP(2,1/($V$5:$V78="Macro"),ROW($V$5:$V78)),0)))</f>
        <v/>
      </c>
      <c r="V78" s="62">
        <f>IF(NOT((COUNTA($B78:$D78)+COUNTA($G78:$L78)+COUNTA($Q78))&gt;0),"",IF($B78="Subactividad","Sub","Macro"))</f>
        <v/>
      </c>
      <c r="W78" s="62">
        <f>IF($V78="Macro",COUNTIFS($U$5:$U$1000,ROW(),$V$5:$V$1000,"Sub"),"")</f>
        <v/>
      </c>
      <c r="X78" s="62">
        <f>IF($V78="","",IF(ISNUMBER($G78),1,IFERROR(LOOKUP(2,1/($I78:$L78&lt;&gt;""),$I78:$L78),0)))</f>
        <v/>
      </c>
      <c r="Y78" s="62">
        <f>IF($V78="","",IF(AND(ISNUMBER($G78),$G78&lt;=IF($S78=MesCiclo,InicioCiclo,$S78+MOD(2-WEEKDAY($S78),7))+6),1,IF(ISNUMBER($I78),$I78,0)))</f>
        <v/>
      </c>
      <c r="Z78" s="62">
        <f>IF($V78="","",IF(AND(ISNUMBER($G78),$G78&lt;=IF($S78=MesCiclo,InicioCiclo,$S78+MOD(2-WEEKDAY($S78),7))+13),1,IF(ISNUMBER($J78),$J78,$Y78)))</f>
        <v/>
      </c>
      <c r="AA78" s="62">
        <f>IF($V78="","",IF(AND(ISNUMBER($G78),$G78&lt;=IF($S78=MesCiclo,InicioCiclo,$S78+MOD(2-WEEKDAY($S78),7))+20),1,IF(ISNUMBER($K78),$K78,$Z78)))</f>
        <v/>
      </c>
      <c r="AB78" s="62">
        <f>IF($V78="","",IF(AND(ISNUMBER($G78),$G78&lt;=IF($S78=MesCiclo,InicioCiclo,$S78+MOD(2-WEEKDAY($S78),7))+27),1,IF(ISNUMBER($L78),$L78,$AA78)))</f>
        <v/>
      </c>
      <c r="AC78" s="62">
        <f>IF($V78="","",IF(AND(ISNUMBER($G78),$G78&lt;=IF($S78=MesCiclo,InicioCiclo,$S78+MOD(2-WEEKDAY($S78),7))+6),1,IF(N($W78)&gt;0,AVERAGEIFS($Y$5:$Y$1000,$U$5:$U$1000,ROW(),$V$5:$V$1000,"Sub"),$Y78)))</f>
        <v/>
      </c>
      <c r="AD78" s="62">
        <f>IF($V78="","",IF(AND(ISNUMBER($G78),$G78&lt;=IF($S78=MesCiclo,InicioCiclo,$S78+MOD(2-WEEKDAY($S78),7))+13),1,IF(N($W78)&gt;0,AVERAGEIFS($Z$5:$Z$1000,$U$5:$U$1000,ROW(),$V$5:$V$1000,"Sub"),$Z78)))</f>
        <v/>
      </c>
      <c r="AE78" s="62">
        <f>IF($V78="","",IF(AND(ISNUMBER($G78),$G78&lt;=IF($S78=MesCiclo,InicioCiclo,$S78+MOD(2-WEEKDAY($S78),7))+20),1,IF(N($W78)&gt;0,AVERAGEIFS($AA$5:$AA$1000,$U$5:$U$1000,ROW(),$V$5:$V$1000,"Sub"),$AA78)))</f>
        <v/>
      </c>
      <c r="AF78" s="62">
        <f>IF($V78="","",IF(AND(ISNUMBER($G78),$G78&lt;=IF($S78=MesCiclo,InicioCiclo,$S78+MOD(2-WEEKDAY($S78),7))+27),1,IF(N($W78)&gt;0,AVERAGEIFS($AB$5:$AB$1000,$U$5:$U$1000,ROW(),$V$5:$V$1000,"Sub"),$AB78)))</f>
        <v/>
      </c>
      <c r="AG78" s="62">
        <f>IF($V78&lt;&gt;"Macro","",IF(COUNTIFS($S$5:$S$1000,$S78,$V$5:$V$1000,"Macro",$H$5:$H$1000,"&gt;0")=0,1/COUNTIFS($S$5:$S$1000,$S78,$V$5:$V$1000,"Macro"),IF(AND(ISNUMBER($H78),N($H78)&gt;0),$H78,SUMIFS($H$5:$H$1000,$S$5:$S$1000,$S78,$V$5:$V$1000,"Macro")/COUNTIFS($S$5:$S$1000,$S78,$V$5:$V$1000,"Macro",$H$5:$H$1000,"&gt;0"))/(COUNTIFS($S$5:$S$1000,$S78,$V$5:$V$1000,"Macro")*SUMIFS($H$5:$H$1000,$S$5:$S$1000,$S78,$V$5:$V$1000,"Macro")/COUNTIFS($S$5:$S$1000,$S78,$V$5:$V$1000,"Macro",$H$5:$H$1000,"&gt;0"))))</f>
        <v/>
      </c>
      <c r="AH78" s="62" t="n"/>
      <c r="AI78" s="62" t="n"/>
      <c r="AJ78" s="62" t="n"/>
      <c r="AK78" s="62" t="n"/>
      <c r="AL78" s="62">
        <f>IF(LEFT($C78,11)="[Jefatura] ",IFERROR(MATCH("Riesgo Normativo|"&amp;MID($C78,12,500),rDname_ADM,0),0),"")</f>
        <v/>
      </c>
      <c r="AM78" s="62">
        <f>IF(N($AL78)&gt;0,INDEX(rIni_ADM,$AL78),IF(ISNUMBER($E78),$E78,""))</f>
        <v/>
      </c>
      <c r="AN78" s="62">
        <f>IF(N($AL78)&gt;0,INDEX(rLim_ADM,$AL78),IF(ISNUMBER($F78),$F78,""))</f>
        <v/>
      </c>
    </row>
    <row r="79">
      <c r="A79" s="56">
        <f>IF(NOT((COUNTA($B79:$D79)+COUNTA($G79:$L79)+COUNTA($Q79))&gt;0),"",IF($V79="Macro",COUNTIFS($V$5:$V79,"Macro",$S$5:$S79,$S79),IF(N($U79)=0,"?",COUNTIFS(INDEX($V$5:$V$1000,1):INDEX($V$5:$V$1000,$U79-4),"Macro",INDEX($S$5:$S$1000,1):INDEX($S$5:$S$1000,$U79-4),INDEX($S$5:$S$1000,$U79-4))&amp;"."&amp;COUNTIFS($U$5:$U79,$U79,$V$5:$V79,"Sub"))))</f>
        <v/>
      </c>
      <c r="B79" s="57" t="n"/>
      <c r="C79" s="58" t="n"/>
      <c r="D79" s="58" t="n"/>
      <c r="E79" s="59">
        <f>IF(N($AL79)&gt;0,INDEX(rIni_ADM,$AL79),"")</f>
        <v/>
      </c>
      <c r="F79" s="59">
        <f>IF(N($AL79)&gt;0,INDEX(rLim_ADM,$AL79),"")</f>
        <v/>
      </c>
      <c r="G79" s="59" t="n"/>
      <c r="H79" s="60" t="n"/>
      <c r="I79" s="60" t="n"/>
      <c r="J79" s="60" t="n"/>
      <c r="K79" s="60" t="n"/>
      <c r="L79" s="60" t="n"/>
      <c r="M79" s="61">
        <f>IF(NOT((COUNTA($B79:$D79)+COUNTA($G79:$L79)+COUNTA($Q79))&gt;0),"",IF($V79="Sub",IFERROR($X79/INDEX($W$5:$W$1000,$U79-4),""),IF(ISNUMBER($G79),1,IF(N($W79)&gt;0,AVERAGEIFS($X$5:$X$1000,$U$5:$U$1000,ROW(),$V$5:$V$1000,"Sub"),$X79))))</f>
        <v/>
      </c>
      <c r="N79" s="56">
        <f>IF(OR($M79="",$V79="Sub"),"",IF($M79&gt;=1,"Completado",IF($M79&gt;0,"En curso","Pendiente")))</f>
        <v/>
      </c>
      <c r="O79" s="56">
        <f>IF(OR(NOT((COUNTA($B79:$D79)+COUNTA($G79:$L79)+COUNTA($Q79))&gt;0),$V79="Sub"),"",IF(ISNUMBER($G79),IF(AND(ISNUMBER($AN79),$G79&gt;$AN79),"Cumplida con "&amp;($G79-$AN79)&amp;IF($G79-$AN79=1," día"," días")&amp;" de retraso","Cumplida"),IF(N($M79)&gt;=1,"Cumplida",IF(NOT(ISNUMBER($AN79)),"Sin fecha límite",IF($AN79&lt;FechaRef,"Vencida hace "&amp;(FechaRef-$AN79)&amp;IF(FechaRef-$AN79=1," día"," días"),IF($AN79=FechaRef,"Vence hoy",IF($AN79-FechaRef&lt;=DiasAlerta,"Vence en "&amp;($AN79-FechaRef)&amp;IF($AN79-FechaRef=1," día"," días"),"En plazo")))))))</f>
        <v/>
      </c>
      <c r="P79" s="62" t="n"/>
      <c r="Q79" s="58" t="n"/>
      <c r="R79" s="63">
        <f>IF(NOT((COUNTA($B79:$D79)+COUNTA($G79:$L79)+COUNTA($Q79))&gt;0),"",IF((IF($C79="","Falta el nombre de la actividad"&amp;" · ","")&amp;IF(AND($V79="Sub",N($U79)=0),"Subactividad sin macroactividad arriba"&amp;" · ","")&amp;IF($AM79="","Sin fecha de inicio"&amp;" · ","")&amp;IF($AN79="","Sin fecha límite"&amp;" · ","")&amp;IF(AND(LEFT($C79,11)="[Jefatura] ",N($AL79)=0),"No se encuentra en la hoja de la jefatura (elíjala de nuevo en la lista)"&amp;" · ","")&amp;IF(OR(AND($E79&lt;&gt;"",NOT(ISNUMBER($E79))),AND($F79&lt;&gt;"",NOT(ISNUMBER($F79))),AND($G79&lt;&gt;"",NOT(ISNUMBER($G79)))),"Fecha no válida"&amp;" · ","")&amp;IF(AND(ISNUMBER($AM79),ISNUMBER($AN79),$AM79&gt;$AN79),"Inicio posterior a fecha límite"&amp;" · ","")&amp;IF(AND($V79="Macro",$H79&lt;&gt;"",OR(NOT(ISNUMBER($H79)),$H79&lt;0,$H79&gt;1)),"Peso fuera de rango"&amp;" · ","")&amp;IF(AND($V79="Sub",$H79&lt;&gt;""),"Las subactividades no llevan peso (valen igual dentro de su macroactividad)"&amp;" · ","")&amp;IF(AND(N($W79)&gt;0,COUNT($I79:$L79)&gt;0),"Con subactividades: deje vacías las semanas (se calculan solas)"&amp;" · ","")&amp;IF((COUNTIF($I79:$L79,"&gt;1")+COUNTIF($I79:$L79,"&lt;0")+COUNTA($I79:$L79)-COUNT($I79:$L79))&gt;0,"Avance fuera de rango 0-100%"&amp;" · ","")&amp;IF(OR(AND($J79&lt;&gt;"",$J79&lt;$I79),AND($K79&lt;&gt;"",$K79&lt;MAX($I79:$J79)),AND($L79&lt;&gt;"",$L79&lt;MAX($I79:$K79))),"Avance semanal decreciente"&amp;" · ","")&amp;IF(AND(ISNUMBER($AN79),$AN79&lt;FechaRef,IF($V79="Sub",N($X79),N($M79))&lt;1),"Vencida"&amp;" · ","")&amp;IF(AND(ObsObligatoria="Sí",ISNUMBER($AN79),$AN79&lt;FechaRef,IF($V79="Sub",N($X79),N($M79))&lt;1,$Q79=""),"Vencida sin observación"&amp;" · ",""))="","✔ OK","⚠ "&amp;LEFT(IF($C79="","Falta el nombre de la actividad"&amp;" · ","")&amp;IF(AND($V79="Sub",N($U79)=0),"Subactividad sin macroactividad arriba"&amp;" · ","")&amp;IF($AM79="","Sin fecha de inicio"&amp;" · ","")&amp;IF($AN79="","Sin fecha límite"&amp;" · ","")&amp;IF(AND(LEFT($C79,11)="[Jefatura] ",N($AL79)=0),"No se encuentra en la hoja de la jefatura (elíjala de nuevo en la lista)"&amp;" · ","")&amp;IF(OR(AND($E79&lt;&gt;"",NOT(ISNUMBER($E79))),AND($F79&lt;&gt;"",NOT(ISNUMBER($F79))),AND($G79&lt;&gt;"",NOT(ISNUMBER($G79)))),"Fecha no válida"&amp;" · ","")&amp;IF(AND(ISNUMBER($AM79),ISNUMBER($AN79),$AM79&gt;$AN79),"Inicio posterior a fecha límite"&amp;" · ","")&amp;IF(AND($V79="Macro",$H79&lt;&gt;"",OR(NOT(ISNUMBER($H79)),$H79&lt;0,$H79&gt;1)),"Peso fuera de rango"&amp;" · ","")&amp;IF(AND($V79="Sub",$H79&lt;&gt;""),"Las subactividades no llevan peso (valen igual dentro de su macroactividad)"&amp;" · ","")&amp;IF(AND(N($W79)&gt;0,COUNT($I79:$L79)&gt;0),"Con subactividades: deje vacías las semanas (se calculan solas)"&amp;" · ","")&amp;IF((COUNTIF($I79:$L79,"&gt;1")+COUNTIF($I79:$L79,"&lt;0")+COUNTA($I79:$L79)-COUNT($I79:$L79))&gt;0,"Avance fuera de rango 0-100%"&amp;" · ","")&amp;IF(OR(AND($J79&lt;&gt;"",$J79&lt;$I79),AND($K79&lt;&gt;"",$K79&lt;MAX($I79:$J79)),AND($L79&lt;&gt;"",$L79&lt;MAX($I79:$K79))),"Avance semanal decreciente"&amp;" · ","")&amp;IF(AND(ISNUMBER($AN79),$AN79&lt;FechaRef,IF($V79="Sub",N($X79),N($M79))&lt;1),"Vencida"&amp;" · ","")&amp;IF(AND(ObsObligatoria="Sí",ISNUMBER($AN79),$AN79&lt;FechaRef,IF($V79="Sub",N($X79),N($M79))&lt;1,$Q79=""),"Vencida sin observación"&amp;" · ",""),LEN(IF($C79="","Falta el nombre de la actividad"&amp;" · ","")&amp;IF(AND($V79="Sub",N($U79)=0),"Subactividad sin macroactividad arriba"&amp;" · ","")&amp;IF($AM79="","Sin fecha de inicio"&amp;" · ","")&amp;IF($AN79="","Sin fecha límite"&amp;" · ","")&amp;IF(AND(LEFT($C79,11)="[Jefatura] ",N($AL79)=0),"No se encuentra en la hoja de la jefatura (elíjala de nuevo en la lista)"&amp;" · ","")&amp;IF(OR(AND($E79&lt;&gt;"",NOT(ISNUMBER($E79))),AND($F79&lt;&gt;"",NOT(ISNUMBER($F79))),AND($G79&lt;&gt;"",NOT(ISNUMBER($G79)))),"Fecha no válida"&amp;" · ","")&amp;IF(AND(ISNUMBER($AM79),ISNUMBER($AN79),$AM79&gt;$AN79),"Inicio posterior a fecha límite"&amp;" · ","")&amp;IF(AND($V79="Macro",$H79&lt;&gt;"",OR(NOT(ISNUMBER($H79)),$H79&lt;0,$H79&gt;1)),"Peso fuera de rango"&amp;" · ","")&amp;IF(AND($V79="Sub",$H79&lt;&gt;""),"Las subactividades no llevan peso (valen igual dentro de su macroactividad)"&amp;" · ","")&amp;IF(AND(N($W79)&gt;0,COUNT($I79:$L79)&gt;0),"Con subactividades: deje vacías las semanas (se calculan solas)"&amp;" · ","")&amp;IF((COUNTIF($I79:$L79,"&gt;1")+COUNTIF($I79:$L79,"&lt;0")+COUNTA($I79:$L79)-COUNT($I79:$L79))&gt;0,"Avance fuera de rango 0-100%"&amp;" · ","")&amp;IF(OR(AND($J79&lt;&gt;"",$J79&lt;$I79),AND($K79&lt;&gt;"",$K79&lt;MAX($I79:$J79)),AND($L79&lt;&gt;"",$L79&lt;MAX($I79:$K79))),"Avance semanal decreciente"&amp;" · ","")&amp;IF(AND(ISNUMBER($AN79),$AN79&lt;FechaRef,IF($V79="Sub",N($X79),N($M79))&lt;1),"Vencida"&amp;" · ","")&amp;IF(AND(ObsObligatoria="Sí",ISNUMBER($AN79),$AN79&lt;FechaRef,IF($V79="Sub",N($X79),N($M79))&lt;1,$Q79=""),"Vencida sin observación"&amp;" · ",""))-3)))</f>
        <v/>
      </c>
      <c r="S79" s="64">
        <f>IF(NOT((COUNTA($B79:$D79)+COUNTA($G79:$L79)+COUNTA($Q79))&gt;0),"",IF(AND($V79="Sub",N($U79)&gt;0),IF(ISNUMBER(INDEX($AM$5:$AM$1000,$U79-4)),DATE(YEAR(INDEX($AM$5:$AM$1000,$U79-4)),MONTH(INDEX($AM$5:$AM$1000,$U79-4)),1),IF(ISNUMBER(INDEX($AN$5:$AN$1000,$U79-4)),DATE(YEAR(INDEX($AN$5:$AN$1000,$U79-4)),MONTH(INDEX($AN$5:$AN$1000,$U79-4)),1),MesCiclo)),IF(ISNUMBER($AM79),DATE(YEAR($AM79),MONTH($AM79),1),IF(ISNUMBER($AN79),DATE(YEAR($AN79),MONTH($AN79),1),MesCiclo))))</f>
        <v/>
      </c>
      <c r="T79" s="62">
        <f>IF(OR($S79="",$S79&lt;&gt;MesCiclo,$V79&lt;&gt;"Macro"),"",COUNTIFS($S$5:$S79,MesCiclo,$V$5:$V79,"Macro"))</f>
        <v/>
      </c>
      <c r="U79" s="62">
        <f>IF($V79="","",IF($V79="Macro",ROW(),IFERROR(LOOKUP(2,1/($V$5:$V79="Macro"),ROW($V$5:$V79)),0)))</f>
        <v/>
      </c>
      <c r="V79" s="62">
        <f>IF(NOT((COUNTA($B79:$D79)+COUNTA($G79:$L79)+COUNTA($Q79))&gt;0),"",IF($B79="Subactividad","Sub","Macro"))</f>
        <v/>
      </c>
      <c r="W79" s="62">
        <f>IF($V79="Macro",COUNTIFS($U$5:$U$1000,ROW(),$V$5:$V$1000,"Sub"),"")</f>
        <v/>
      </c>
      <c r="X79" s="62">
        <f>IF($V79="","",IF(ISNUMBER($G79),1,IFERROR(LOOKUP(2,1/($I79:$L79&lt;&gt;""),$I79:$L79),0)))</f>
        <v/>
      </c>
      <c r="Y79" s="62">
        <f>IF($V79="","",IF(AND(ISNUMBER($G79),$G79&lt;=IF($S79=MesCiclo,InicioCiclo,$S79+MOD(2-WEEKDAY($S79),7))+6),1,IF(ISNUMBER($I79),$I79,0)))</f>
        <v/>
      </c>
      <c r="Z79" s="62">
        <f>IF($V79="","",IF(AND(ISNUMBER($G79),$G79&lt;=IF($S79=MesCiclo,InicioCiclo,$S79+MOD(2-WEEKDAY($S79),7))+13),1,IF(ISNUMBER($J79),$J79,$Y79)))</f>
        <v/>
      </c>
      <c r="AA79" s="62">
        <f>IF($V79="","",IF(AND(ISNUMBER($G79),$G79&lt;=IF($S79=MesCiclo,InicioCiclo,$S79+MOD(2-WEEKDAY($S79),7))+20),1,IF(ISNUMBER($K79),$K79,$Z79)))</f>
        <v/>
      </c>
      <c r="AB79" s="62">
        <f>IF($V79="","",IF(AND(ISNUMBER($G79),$G79&lt;=IF($S79=MesCiclo,InicioCiclo,$S79+MOD(2-WEEKDAY($S79),7))+27),1,IF(ISNUMBER($L79),$L79,$AA79)))</f>
        <v/>
      </c>
      <c r="AC79" s="62">
        <f>IF($V79="","",IF(AND(ISNUMBER($G79),$G79&lt;=IF($S79=MesCiclo,InicioCiclo,$S79+MOD(2-WEEKDAY($S79),7))+6),1,IF(N($W79)&gt;0,AVERAGEIFS($Y$5:$Y$1000,$U$5:$U$1000,ROW(),$V$5:$V$1000,"Sub"),$Y79)))</f>
        <v/>
      </c>
      <c r="AD79" s="62">
        <f>IF($V79="","",IF(AND(ISNUMBER($G79),$G79&lt;=IF($S79=MesCiclo,InicioCiclo,$S79+MOD(2-WEEKDAY($S79),7))+13),1,IF(N($W79)&gt;0,AVERAGEIFS($Z$5:$Z$1000,$U$5:$U$1000,ROW(),$V$5:$V$1000,"Sub"),$Z79)))</f>
        <v/>
      </c>
      <c r="AE79" s="62">
        <f>IF($V79="","",IF(AND(ISNUMBER($G79),$G79&lt;=IF($S79=MesCiclo,InicioCiclo,$S79+MOD(2-WEEKDAY($S79),7))+20),1,IF(N($W79)&gt;0,AVERAGEIFS($AA$5:$AA$1000,$U$5:$U$1000,ROW(),$V$5:$V$1000,"Sub"),$AA79)))</f>
        <v/>
      </c>
      <c r="AF79" s="62">
        <f>IF($V79="","",IF(AND(ISNUMBER($G79),$G79&lt;=IF($S79=MesCiclo,InicioCiclo,$S79+MOD(2-WEEKDAY($S79),7))+27),1,IF(N($W79)&gt;0,AVERAGEIFS($AB$5:$AB$1000,$U$5:$U$1000,ROW(),$V$5:$V$1000,"Sub"),$AB79)))</f>
        <v/>
      </c>
      <c r="AG79" s="62">
        <f>IF($V79&lt;&gt;"Macro","",IF(COUNTIFS($S$5:$S$1000,$S79,$V$5:$V$1000,"Macro",$H$5:$H$1000,"&gt;0")=0,1/COUNTIFS($S$5:$S$1000,$S79,$V$5:$V$1000,"Macro"),IF(AND(ISNUMBER($H79),N($H79)&gt;0),$H79,SUMIFS($H$5:$H$1000,$S$5:$S$1000,$S79,$V$5:$V$1000,"Macro")/COUNTIFS($S$5:$S$1000,$S79,$V$5:$V$1000,"Macro",$H$5:$H$1000,"&gt;0"))/(COUNTIFS($S$5:$S$1000,$S79,$V$5:$V$1000,"Macro")*SUMIFS($H$5:$H$1000,$S$5:$S$1000,$S79,$V$5:$V$1000,"Macro")/COUNTIFS($S$5:$S$1000,$S79,$V$5:$V$1000,"Macro",$H$5:$H$1000,"&gt;0"))))</f>
        <v/>
      </c>
      <c r="AH79" s="62" t="n"/>
      <c r="AI79" s="62" t="n"/>
      <c r="AJ79" s="62" t="n"/>
      <c r="AK79" s="62" t="n"/>
      <c r="AL79" s="62">
        <f>IF(LEFT($C79,11)="[Jefatura] ",IFERROR(MATCH("Riesgo Normativo|"&amp;MID($C79,12,500),rDname_ADM,0),0),"")</f>
        <v/>
      </c>
      <c r="AM79" s="62">
        <f>IF(N($AL79)&gt;0,INDEX(rIni_ADM,$AL79),IF(ISNUMBER($E79),$E79,""))</f>
        <v/>
      </c>
      <c r="AN79" s="62">
        <f>IF(N($AL79)&gt;0,INDEX(rLim_ADM,$AL79),IF(ISNUMBER($F79),$F79,""))</f>
        <v/>
      </c>
    </row>
    <row r="80">
      <c r="A80" s="56">
        <f>IF(NOT((COUNTA($B80:$D80)+COUNTA($G80:$L80)+COUNTA($Q80))&gt;0),"",IF($V80="Macro",COUNTIFS($V$5:$V80,"Macro",$S$5:$S80,$S80),IF(N($U80)=0,"?",COUNTIFS(INDEX($V$5:$V$1000,1):INDEX($V$5:$V$1000,$U80-4),"Macro",INDEX($S$5:$S$1000,1):INDEX($S$5:$S$1000,$U80-4),INDEX($S$5:$S$1000,$U80-4))&amp;"."&amp;COUNTIFS($U$5:$U80,$U80,$V$5:$V80,"Sub"))))</f>
        <v/>
      </c>
      <c r="B80" s="57" t="n"/>
      <c r="C80" s="58" t="n"/>
      <c r="D80" s="58" t="n"/>
      <c r="E80" s="59">
        <f>IF(N($AL80)&gt;0,INDEX(rIni_ADM,$AL80),"")</f>
        <v/>
      </c>
      <c r="F80" s="59">
        <f>IF(N($AL80)&gt;0,INDEX(rLim_ADM,$AL80),"")</f>
        <v/>
      </c>
      <c r="G80" s="59" t="n"/>
      <c r="H80" s="60" t="n"/>
      <c r="I80" s="60" t="n"/>
      <c r="J80" s="60" t="n"/>
      <c r="K80" s="60" t="n"/>
      <c r="L80" s="60" t="n"/>
      <c r="M80" s="61">
        <f>IF(NOT((COUNTA($B80:$D80)+COUNTA($G80:$L80)+COUNTA($Q80))&gt;0),"",IF($V80="Sub",IFERROR($X80/INDEX($W$5:$W$1000,$U80-4),""),IF(ISNUMBER($G80),1,IF(N($W80)&gt;0,AVERAGEIFS($X$5:$X$1000,$U$5:$U$1000,ROW(),$V$5:$V$1000,"Sub"),$X80))))</f>
        <v/>
      </c>
      <c r="N80" s="56">
        <f>IF(OR($M80="",$V80="Sub"),"",IF($M80&gt;=1,"Completado",IF($M80&gt;0,"En curso","Pendiente")))</f>
        <v/>
      </c>
      <c r="O80" s="56">
        <f>IF(OR(NOT((COUNTA($B80:$D80)+COUNTA($G80:$L80)+COUNTA($Q80))&gt;0),$V80="Sub"),"",IF(ISNUMBER($G80),IF(AND(ISNUMBER($AN80),$G80&gt;$AN80),"Cumplida con "&amp;($G80-$AN80)&amp;IF($G80-$AN80=1," día"," días")&amp;" de retraso","Cumplida"),IF(N($M80)&gt;=1,"Cumplida",IF(NOT(ISNUMBER($AN80)),"Sin fecha límite",IF($AN80&lt;FechaRef,"Vencida hace "&amp;(FechaRef-$AN80)&amp;IF(FechaRef-$AN80=1," día"," días"),IF($AN80=FechaRef,"Vence hoy",IF($AN80-FechaRef&lt;=DiasAlerta,"Vence en "&amp;($AN80-FechaRef)&amp;IF($AN80-FechaRef=1," día"," días"),"En plazo")))))))</f>
        <v/>
      </c>
      <c r="P80" s="62" t="n"/>
      <c r="Q80" s="58" t="n"/>
      <c r="R80" s="63">
        <f>IF(NOT((COUNTA($B80:$D80)+COUNTA($G80:$L80)+COUNTA($Q80))&gt;0),"",IF((IF($C80="","Falta el nombre de la actividad"&amp;" · ","")&amp;IF(AND($V80="Sub",N($U80)=0),"Subactividad sin macroactividad arriba"&amp;" · ","")&amp;IF($AM80="","Sin fecha de inicio"&amp;" · ","")&amp;IF($AN80="","Sin fecha límite"&amp;" · ","")&amp;IF(AND(LEFT($C80,11)="[Jefatura] ",N($AL80)=0),"No se encuentra en la hoja de la jefatura (elíjala de nuevo en la lista)"&amp;" · ","")&amp;IF(OR(AND($E80&lt;&gt;"",NOT(ISNUMBER($E80))),AND($F80&lt;&gt;"",NOT(ISNUMBER($F80))),AND($G80&lt;&gt;"",NOT(ISNUMBER($G80)))),"Fecha no válida"&amp;" · ","")&amp;IF(AND(ISNUMBER($AM80),ISNUMBER($AN80),$AM80&gt;$AN80),"Inicio posterior a fecha límite"&amp;" · ","")&amp;IF(AND($V80="Macro",$H80&lt;&gt;"",OR(NOT(ISNUMBER($H80)),$H80&lt;0,$H80&gt;1)),"Peso fuera de rango"&amp;" · ","")&amp;IF(AND($V80="Sub",$H80&lt;&gt;""),"Las subactividades no llevan peso (valen igual dentro de su macroactividad)"&amp;" · ","")&amp;IF(AND(N($W80)&gt;0,COUNT($I80:$L80)&gt;0),"Con subactividades: deje vacías las semanas (se calculan solas)"&amp;" · ","")&amp;IF((COUNTIF($I80:$L80,"&gt;1")+COUNTIF($I80:$L80,"&lt;0")+COUNTA($I80:$L80)-COUNT($I80:$L80))&gt;0,"Avance fuera de rango 0-100%"&amp;" · ","")&amp;IF(OR(AND($J80&lt;&gt;"",$J80&lt;$I80),AND($K80&lt;&gt;"",$K80&lt;MAX($I80:$J80)),AND($L80&lt;&gt;"",$L80&lt;MAX($I80:$K80))),"Avance semanal decreciente"&amp;" · ","")&amp;IF(AND(ISNUMBER($AN80),$AN80&lt;FechaRef,IF($V80="Sub",N($X80),N($M80))&lt;1),"Vencida"&amp;" · ","")&amp;IF(AND(ObsObligatoria="Sí",ISNUMBER($AN80),$AN80&lt;FechaRef,IF($V80="Sub",N($X80),N($M80))&lt;1,$Q80=""),"Vencida sin observación"&amp;" · ",""))="","✔ OK","⚠ "&amp;LEFT(IF($C80="","Falta el nombre de la actividad"&amp;" · ","")&amp;IF(AND($V80="Sub",N($U80)=0),"Subactividad sin macroactividad arriba"&amp;" · ","")&amp;IF($AM80="","Sin fecha de inicio"&amp;" · ","")&amp;IF($AN80="","Sin fecha límite"&amp;" · ","")&amp;IF(AND(LEFT($C80,11)="[Jefatura] ",N($AL80)=0),"No se encuentra en la hoja de la jefatura (elíjala de nuevo en la lista)"&amp;" · ","")&amp;IF(OR(AND($E80&lt;&gt;"",NOT(ISNUMBER($E80))),AND($F80&lt;&gt;"",NOT(ISNUMBER($F80))),AND($G80&lt;&gt;"",NOT(ISNUMBER($G80)))),"Fecha no válida"&amp;" · ","")&amp;IF(AND(ISNUMBER($AM80),ISNUMBER($AN80),$AM80&gt;$AN80),"Inicio posterior a fecha límite"&amp;" · ","")&amp;IF(AND($V80="Macro",$H80&lt;&gt;"",OR(NOT(ISNUMBER($H80)),$H80&lt;0,$H80&gt;1)),"Peso fuera de rango"&amp;" · ","")&amp;IF(AND($V80="Sub",$H80&lt;&gt;""),"Las subactividades no llevan peso (valen igual dentro de su macroactividad)"&amp;" · ","")&amp;IF(AND(N($W80)&gt;0,COUNT($I80:$L80)&gt;0),"Con subactividades: deje vacías las semanas (se calculan solas)"&amp;" · ","")&amp;IF((COUNTIF($I80:$L80,"&gt;1")+COUNTIF($I80:$L80,"&lt;0")+COUNTA($I80:$L80)-COUNT($I80:$L80))&gt;0,"Avance fuera de rango 0-100%"&amp;" · ","")&amp;IF(OR(AND($J80&lt;&gt;"",$J80&lt;$I80),AND($K80&lt;&gt;"",$K80&lt;MAX($I80:$J80)),AND($L80&lt;&gt;"",$L80&lt;MAX($I80:$K80))),"Avance semanal decreciente"&amp;" · ","")&amp;IF(AND(ISNUMBER($AN80),$AN80&lt;FechaRef,IF($V80="Sub",N($X80),N($M80))&lt;1),"Vencida"&amp;" · ","")&amp;IF(AND(ObsObligatoria="Sí",ISNUMBER($AN80),$AN80&lt;FechaRef,IF($V80="Sub",N($X80),N($M80))&lt;1,$Q80=""),"Vencida sin observación"&amp;" · ",""),LEN(IF($C80="","Falta el nombre de la actividad"&amp;" · ","")&amp;IF(AND($V80="Sub",N($U80)=0),"Subactividad sin macroactividad arriba"&amp;" · ","")&amp;IF($AM80="","Sin fecha de inicio"&amp;" · ","")&amp;IF($AN80="","Sin fecha límite"&amp;" · ","")&amp;IF(AND(LEFT($C80,11)="[Jefatura] ",N($AL80)=0),"No se encuentra en la hoja de la jefatura (elíjala de nuevo en la lista)"&amp;" · ","")&amp;IF(OR(AND($E80&lt;&gt;"",NOT(ISNUMBER($E80))),AND($F80&lt;&gt;"",NOT(ISNUMBER($F80))),AND($G80&lt;&gt;"",NOT(ISNUMBER($G80)))),"Fecha no válida"&amp;" · ","")&amp;IF(AND(ISNUMBER($AM80),ISNUMBER($AN80),$AM80&gt;$AN80),"Inicio posterior a fecha límite"&amp;" · ","")&amp;IF(AND($V80="Macro",$H80&lt;&gt;"",OR(NOT(ISNUMBER($H80)),$H80&lt;0,$H80&gt;1)),"Peso fuera de rango"&amp;" · ","")&amp;IF(AND($V80="Sub",$H80&lt;&gt;""),"Las subactividades no llevan peso (valen igual dentro de su macroactividad)"&amp;" · ","")&amp;IF(AND(N($W80)&gt;0,COUNT($I80:$L80)&gt;0),"Con subactividades: deje vacías las semanas (se calculan solas)"&amp;" · ","")&amp;IF((COUNTIF($I80:$L80,"&gt;1")+COUNTIF($I80:$L80,"&lt;0")+COUNTA($I80:$L80)-COUNT($I80:$L80))&gt;0,"Avance fuera de rango 0-100%"&amp;" · ","")&amp;IF(OR(AND($J80&lt;&gt;"",$J80&lt;$I80),AND($K80&lt;&gt;"",$K80&lt;MAX($I80:$J80)),AND($L80&lt;&gt;"",$L80&lt;MAX($I80:$K80))),"Avance semanal decreciente"&amp;" · ","")&amp;IF(AND(ISNUMBER($AN80),$AN80&lt;FechaRef,IF($V80="Sub",N($X80),N($M80))&lt;1),"Vencida"&amp;" · ","")&amp;IF(AND(ObsObligatoria="Sí",ISNUMBER($AN80),$AN80&lt;FechaRef,IF($V80="Sub",N($X80),N($M80))&lt;1,$Q80=""),"Vencida sin observación"&amp;" · ",""))-3)))</f>
        <v/>
      </c>
      <c r="S80" s="64">
        <f>IF(NOT((COUNTA($B80:$D80)+COUNTA($G80:$L80)+COUNTA($Q80))&gt;0),"",IF(AND($V80="Sub",N($U80)&gt;0),IF(ISNUMBER(INDEX($AM$5:$AM$1000,$U80-4)),DATE(YEAR(INDEX($AM$5:$AM$1000,$U80-4)),MONTH(INDEX($AM$5:$AM$1000,$U80-4)),1),IF(ISNUMBER(INDEX($AN$5:$AN$1000,$U80-4)),DATE(YEAR(INDEX($AN$5:$AN$1000,$U80-4)),MONTH(INDEX($AN$5:$AN$1000,$U80-4)),1),MesCiclo)),IF(ISNUMBER($AM80),DATE(YEAR($AM80),MONTH($AM80),1),IF(ISNUMBER($AN80),DATE(YEAR($AN80),MONTH($AN80),1),MesCiclo))))</f>
        <v/>
      </c>
      <c r="T80" s="62">
        <f>IF(OR($S80="",$S80&lt;&gt;MesCiclo,$V80&lt;&gt;"Macro"),"",COUNTIFS($S$5:$S80,MesCiclo,$V$5:$V80,"Macro"))</f>
        <v/>
      </c>
      <c r="U80" s="62">
        <f>IF($V80="","",IF($V80="Macro",ROW(),IFERROR(LOOKUP(2,1/($V$5:$V80="Macro"),ROW($V$5:$V80)),0)))</f>
        <v/>
      </c>
      <c r="V80" s="62">
        <f>IF(NOT((COUNTA($B80:$D80)+COUNTA($G80:$L80)+COUNTA($Q80))&gt;0),"",IF($B80="Subactividad","Sub","Macro"))</f>
        <v/>
      </c>
      <c r="W80" s="62">
        <f>IF($V80="Macro",COUNTIFS($U$5:$U$1000,ROW(),$V$5:$V$1000,"Sub"),"")</f>
        <v/>
      </c>
      <c r="X80" s="62">
        <f>IF($V80="","",IF(ISNUMBER($G80),1,IFERROR(LOOKUP(2,1/($I80:$L80&lt;&gt;""),$I80:$L80),0)))</f>
        <v/>
      </c>
      <c r="Y80" s="62">
        <f>IF($V80="","",IF(AND(ISNUMBER($G80),$G80&lt;=IF($S80=MesCiclo,InicioCiclo,$S80+MOD(2-WEEKDAY($S80),7))+6),1,IF(ISNUMBER($I80),$I80,0)))</f>
        <v/>
      </c>
      <c r="Z80" s="62">
        <f>IF($V80="","",IF(AND(ISNUMBER($G80),$G80&lt;=IF($S80=MesCiclo,InicioCiclo,$S80+MOD(2-WEEKDAY($S80),7))+13),1,IF(ISNUMBER($J80),$J80,$Y80)))</f>
        <v/>
      </c>
      <c r="AA80" s="62">
        <f>IF($V80="","",IF(AND(ISNUMBER($G80),$G80&lt;=IF($S80=MesCiclo,InicioCiclo,$S80+MOD(2-WEEKDAY($S80),7))+20),1,IF(ISNUMBER($K80),$K80,$Z80)))</f>
        <v/>
      </c>
      <c r="AB80" s="62">
        <f>IF($V80="","",IF(AND(ISNUMBER($G80),$G80&lt;=IF($S80=MesCiclo,InicioCiclo,$S80+MOD(2-WEEKDAY($S80),7))+27),1,IF(ISNUMBER($L80),$L80,$AA80)))</f>
        <v/>
      </c>
      <c r="AC80" s="62">
        <f>IF($V80="","",IF(AND(ISNUMBER($G80),$G80&lt;=IF($S80=MesCiclo,InicioCiclo,$S80+MOD(2-WEEKDAY($S80),7))+6),1,IF(N($W80)&gt;0,AVERAGEIFS($Y$5:$Y$1000,$U$5:$U$1000,ROW(),$V$5:$V$1000,"Sub"),$Y80)))</f>
        <v/>
      </c>
      <c r="AD80" s="62">
        <f>IF($V80="","",IF(AND(ISNUMBER($G80),$G80&lt;=IF($S80=MesCiclo,InicioCiclo,$S80+MOD(2-WEEKDAY($S80),7))+13),1,IF(N($W80)&gt;0,AVERAGEIFS($Z$5:$Z$1000,$U$5:$U$1000,ROW(),$V$5:$V$1000,"Sub"),$Z80)))</f>
        <v/>
      </c>
      <c r="AE80" s="62">
        <f>IF($V80="","",IF(AND(ISNUMBER($G80),$G80&lt;=IF($S80=MesCiclo,InicioCiclo,$S80+MOD(2-WEEKDAY($S80),7))+20),1,IF(N($W80)&gt;0,AVERAGEIFS($AA$5:$AA$1000,$U$5:$U$1000,ROW(),$V$5:$V$1000,"Sub"),$AA80)))</f>
        <v/>
      </c>
      <c r="AF80" s="62">
        <f>IF($V80="","",IF(AND(ISNUMBER($G80),$G80&lt;=IF($S80=MesCiclo,InicioCiclo,$S80+MOD(2-WEEKDAY($S80),7))+27),1,IF(N($W80)&gt;0,AVERAGEIFS($AB$5:$AB$1000,$U$5:$U$1000,ROW(),$V$5:$V$1000,"Sub"),$AB80)))</f>
        <v/>
      </c>
      <c r="AG80" s="62">
        <f>IF($V80&lt;&gt;"Macro","",IF(COUNTIFS($S$5:$S$1000,$S80,$V$5:$V$1000,"Macro",$H$5:$H$1000,"&gt;0")=0,1/COUNTIFS($S$5:$S$1000,$S80,$V$5:$V$1000,"Macro"),IF(AND(ISNUMBER($H80),N($H80)&gt;0),$H80,SUMIFS($H$5:$H$1000,$S$5:$S$1000,$S80,$V$5:$V$1000,"Macro")/COUNTIFS($S$5:$S$1000,$S80,$V$5:$V$1000,"Macro",$H$5:$H$1000,"&gt;0"))/(COUNTIFS($S$5:$S$1000,$S80,$V$5:$V$1000,"Macro")*SUMIFS($H$5:$H$1000,$S$5:$S$1000,$S80,$V$5:$V$1000,"Macro")/COUNTIFS($S$5:$S$1000,$S80,$V$5:$V$1000,"Macro",$H$5:$H$1000,"&gt;0"))))</f>
        <v/>
      </c>
      <c r="AH80" s="62" t="n"/>
      <c r="AI80" s="62" t="n"/>
      <c r="AJ80" s="62" t="n"/>
      <c r="AK80" s="62" t="n"/>
      <c r="AL80" s="62">
        <f>IF(LEFT($C80,11)="[Jefatura] ",IFERROR(MATCH("Riesgo Normativo|"&amp;MID($C80,12,500),rDname_ADM,0),0),"")</f>
        <v/>
      </c>
      <c r="AM80" s="62">
        <f>IF(N($AL80)&gt;0,INDEX(rIni_ADM,$AL80),IF(ISNUMBER($E80),$E80,""))</f>
        <v/>
      </c>
      <c r="AN80" s="62">
        <f>IF(N($AL80)&gt;0,INDEX(rLim_ADM,$AL80),IF(ISNUMBER($F80),$F80,""))</f>
        <v/>
      </c>
    </row>
    <row r="81">
      <c r="A81" s="56">
        <f>IF(NOT((COUNTA($B81:$D81)+COUNTA($G81:$L81)+COUNTA($Q81))&gt;0),"",IF($V81="Macro",COUNTIFS($V$5:$V81,"Macro",$S$5:$S81,$S81),IF(N($U81)=0,"?",COUNTIFS(INDEX($V$5:$V$1000,1):INDEX($V$5:$V$1000,$U81-4),"Macro",INDEX($S$5:$S$1000,1):INDEX($S$5:$S$1000,$U81-4),INDEX($S$5:$S$1000,$U81-4))&amp;"."&amp;COUNTIFS($U$5:$U81,$U81,$V$5:$V81,"Sub"))))</f>
        <v/>
      </c>
      <c r="B81" s="57" t="n"/>
      <c r="C81" s="58" t="n"/>
      <c r="D81" s="58" t="n"/>
      <c r="E81" s="59">
        <f>IF(N($AL81)&gt;0,INDEX(rIni_ADM,$AL81),"")</f>
        <v/>
      </c>
      <c r="F81" s="59">
        <f>IF(N($AL81)&gt;0,INDEX(rLim_ADM,$AL81),"")</f>
        <v/>
      </c>
      <c r="G81" s="59" t="n"/>
      <c r="H81" s="60" t="n"/>
      <c r="I81" s="60" t="n"/>
      <c r="J81" s="60" t="n"/>
      <c r="K81" s="60" t="n"/>
      <c r="L81" s="60" t="n"/>
      <c r="M81" s="61">
        <f>IF(NOT((COUNTA($B81:$D81)+COUNTA($G81:$L81)+COUNTA($Q81))&gt;0),"",IF($V81="Sub",IFERROR($X81/INDEX($W$5:$W$1000,$U81-4),""),IF(ISNUMBER($G81),1,IF(N($W81)&gt;0,AVERAGEIFS($X$5:$X$1000,$U$5:$U$1000,ROW(),$V$5:$V$1000,"Sub"),$X81))))</f>
        <v/>
      </c>
      <c r="N81" s="56">
        <f>IF(OR($M81="",$V81="Sub"),"",IF($M81&gt;=1,"Completado",IF($M81&gt;0,"En curso","Pendiente")))</f>
        <v/>
      </c>
      <c r="O81" s="56">
        <f>IF(OR(NOT((COUNTA($B81:$D81)+COUNTA($G81:$L81)+COUNTA($Q81))&gt;0),$V81="Sub"),"",IF(ISNUMBER($G81),IF(AND(ISNUMBER($AN81),$G81&gt;$AN81),"Cumplida con "&amp;($G81-$AN81)&amp;IF($G81-$AN81=1," día"," días")&amp;" de retraso","Cumplida"),IF(N($M81)&gt;=1,"Cumplida",IF(NOT(ISNUMBER($AN81)),"Sin fecha límite",IF($AN81&lt;FechaRef,"Vencida hace "&amp;(FechaRef-$AN81)&amp;IF(FechaRef-$AN81=1," día"," días"),IF($AN81=FechaRef,"Vence hoy",IF($AN81-FechaRef&lt;=DiasAlerta,"Vence en "&amp;($AN81-FechaRef)&amp;IF($AN81-FechaRef=1," día"," días"),"En plazo")))))))</f>
        <v/>
      </c>
      <c r="P81" s="62" t="n"/>
      <c r="Q81" s="58" t="n"/>
      <c r="R81" s="63">
        <f>IF(NOT((COUNTA($B81:$D81)+COUNTA($G81:$L81)+COUNTA($Q81))&gt;0),"",IF((IF($C81="","Falta el nombre de la actividad"&amp;" · ","")&amp;IF(AND($V81="Sub",N($U81)=0),"Subactividad sin macroactividad arriba"&amp;" · ","")&amp;IF($AM81="","Sin fecha de inicio"&amp;" · ","")&amp;IF($AN81="","Sin fecha límite"&amp;" · ","")&amp;IF(AND(LEFT($C81,11)="[Jefatura] ",N($AL81)=0),"No se encuentra en la hoja de la jefatura (elíjala de nuevo en la lista)"&amp;" · ","")&amp;IF(OR(AND($E81&lt;&gt;"",NOT(ISNUMBER($E81))),AND($F81&lt;&gt;"",NOT(ISNUMBER($F81))),AND($G81&lt;&gt;"",NOT(ISNUMBER($G81)))),"Fecha no válida"&amp;" · ","")&amp;IF(AND(ISNUMBER($AM81),ISNUMBER($AN81),$AM81&gt;$AN81),"Inicio posterior a fecha límite"&amp;" · ","")&amp;IF(AND($V81="Macro",$H81&lt;&gt;"",OR(NOT(ISNUMBER($H81)),$H81&lt;0,$H81&gt;1)),"Peso fuera de rango"&amp;" · ","")&amp;IF(AND($V81="Sub",$H81&lt;&gt;""),"Las subactividades no llevan peso (valen igual dentro de su macroactividad)"&amp;" · ","")&amp;IF(AND(N($W81)&gt;0,COUNT($I81:$L81)&gt;0),"Con subactividades: deje vacías las semanas (se calculan solas)"&amp;" · ","")&amp;IF((COUNTIF($I81:$L81,"&gt;1")+COUNTIF($I81:$L81,"&lt;0")+COUNTA($I81:$L81)-COUNT($I81:$L81))&gt;0,"Avance fuera de rango 0-100%"&amp;" · ","")&amp;IF(OR(AND($J81&lt;&gt;"",$J81&lt;$I81),AND($K81&lt;&gt;"",$K81&lt;MAX($I81:$J81)),AND($L81&lt;&gt;"",$L81&lt;MAX($I81:$K81))),"Avance semanal decreciente"&amp;" · ","")&amp;IF(AND(ISNUMBER($AN81),$AN81&lt;FechaRef,IF($V81="Sub",N($X81),N($M81))&lt;1),"Vencida"&amp;" · ","")&amp;IF(AND(ObsObligatoria="Sí",ISNUMBER($AN81),$AN81&lt;FechaRef,IF($V81="Sub",N($X81),N($M81))&lt;1,$Q81=""),"Vencida sin observación"&amp;" · ",""))="","✔ OK","⚠ "&amp;LEFT(IF($C81="","Falta el nombre de la actividad"&amp;" · ","")&amp;IF(AND($V81="Sub",N($U81)=0),"Subactividad sin macroactividad arriba"&amp;" · ","")&amp;IF($AM81="","Sin fecha de inicio"&amp;" · ","")&amp;IF($AN81="","Sin fecha límite"&amp;" · ","")&amp;IF(AND(LEFT($C81,11)="[Jefatura] ",N($AL81)=0),"No se encuentra en la hoja de la jefatura (elíjala de nuevo en la lista)"&amp;" · ","")&amp;IF(OR(AND($E81&lt;&gt;"",NOT(ISNUMBER($E81))),AND($F81&lt;&gt;"",NOT(ISNUMBER($F81))),AND($G81&lt;&gt;"",NOT(ISNUMBER($G81)))),"Fecha no válida"&amp;" · ","")&amp;IF(AND(ISNUMBER($AM81),ISNUMBER($AN81),$AM81&gt;$AN81),"Inicio posterior a fecha límite"&amp;" · ","")&amp;IF(AND($V81="Macro",$H81&lt;&gt;"",OR(NOT(ISNUMBER($H81)),$H81&lt;0,$H81&gt;1)),"Peso fuera de rango"&amp;" · ","")&amp;IF(AND($V81="Sub",$H81&lt;&gt;""),"Las subactividades no llevan peso (valen igual dentro de su macroactividad)"&amp;" · ","")&amp;IF(AND(N($W81)&gt;0,COUNT($I81:$L81)&gt;0),"Con subactividades: deje vacías las semanas (se calculan solas)"&amp;" · ","")&amp;IF((COUNTIF($I81:$L81,"&gt;1")+COUNTIF($I81:$L81,"&lt;0")+COUNTA($I81:$L81)-COUNT($I81:$L81))&gt;0,"Avance fuera de rango 0-100%"&amp;" · ","")&amp;IF(OR(AND($J81&lt;&gt;"",$J81&lt;$I81),AND($K81&lt;&gt;"",$K81&lt;MAX($I81:$J81)),AND($L81&lt;&gt;"",$L81&lt;MAX($I81:$K81))),"Avance semanal decreciente"&amp;" · ","")&amp;IF(AND(ISNUMBER($AN81),$AN81&lt;FechaRef,IF($V81="Sub",N($X81),N($M81))&lt;1),"Vencida"&amp;" · ","")&amp;IF(AND(ObsObligatoria="Sí",ISNUMBER($AN81),$AN81&lt;FechaRef,IF($V81="Sub",N($X81),N($M81))&lt;1,$Q81=""),"Vencida sin observación"&amp;" · ",""),LEN(IF($C81="","Falta el nombre de la actividad"&amp;" · ","")&amp;IF(AND($V81="Sub",N($U81)=0),"Subactividad sin macroactividad arriba"&amp;" · ","")&amp;IF($AM81="","Sin fecha de inicio"&amp;" · ","")&amp;IF($AN81="","Sin fecha límite"&amp;" · ","")&amp;IF(AND(LEFT($C81,11)="[Jefatura] ",N($AL81)=0),"No se encuentra en la hoja de la jefatura (elíjala de nuevo en la lista)"&amp;" · ","")&amp;IF(OR(AND($E81&lt;&gt;"",NOT(ISNUMBER($E81))),AND($F81&lt;&gt;"",NOT(ISNUMBER($F81))),AND($G81&lt;&gt;"",NOT(ISNUMBER($G81)))),"Fecha no válida"&amp;" · ","")&amp;IF(AND(ISNUMBER($AM81),ISNUMBER($AN81),$AM81&gt;$AN81),"Inicio posterior a fecha límite"&amp;" · ","")&amp;IF(AND($V81="Macro",$H81&lt;&gt;"",OR(NOT(ISNUMBER($H81)),$H81&lt;0,$H81&gt;1)),"Peso fuera de rango"&amp;" · ","")&amp;IF(AND($V81="Sub",$H81&lt;&gt;""),"Las subactividades no llevan peso (valen igual dentro de su macroactividad)"&amp;" · ","")&amp;IF(AND(N($W81)&gt;0,COUNT($I81:$L81)&gt;0),"Con subactividades: deje vacías las semanas (se calculan solas)"&amp;" · ","")&amp;IF((COUNTIF($I81:$L81,"&gt;1")+COUNTIF($I81:$L81,"&lt;0")+COUNTA($I81:$L81)-COUNT($I81:$L81))&gt;0,"Avance fuera de rango 0-100%"&amp;" · ","")&amp;IF(OR(AND($J81&lt;&gt;"",$J81&lt;$I81),AND($K81&lt;&gt;"",$K81&lt;MAX($I81:$J81)),AND($L81&lt;&gt;"",$L81&lt;MAX($I81:$K81))),"Avance semanal decreciente"&amp;" · ","")&amp;IF(AND(ISNUMBER($AN81),$AN81&lt;FechaRef,IF($V81="Sub",N($X81),N($M81))&lt;1),"Vencida"&amp;" · ","")&amp;IF(AND(ObsObligatoria="Sí",ISNUMBER($AN81),$AN81&lt;FechaRef,IF($V81="Sub",N($X81),N($M81))&lt;1,$Q81=""),"Vencida sin observación"&amp;" · ",""))-3)))</f>
        <v/>
      </c>
      <c r="S81" s="64">
        <f>IF(NOT((COUNTA($B81:$D81)+COUNTA($G81:$L81)+COUNTA($Q81))&gt;0),"",IF(AND($V81="Sub",N($U81)&gt;0),IF(ISNUMBER(INDEX($AM$5:$AM$1000,$U81-4)),DATE(YEAR(INDEX($AM$5:$AM$1000,$U81-4)),MONTH(INDEX($AM$5:$AM$1000,$U81-4)),1),IF(ISNUMBER(INDEX($AN$5:$AN$1000,$U81-4)),DATE(YEAR(INDEX($AN$5:$AN$1000,$U81-4)),MONTH(INDEX($AN$5:$AN$1000,$U81-4)),1),MesCiclo)),IF(ISNUMBER($AM81),DATE(YEAR($AM81),MONTH($AM81),1),IF(ISNUMBER($AN81),DATE(YEAR($AN81),MONTH($AN81),1),MesCiclo))))</f>
        <v/>
      </c>
      <c r="T81" s="62">
        <f>IF(OR($S81="",$S81&lt;&gt;MesCiclo,$V81&lt;&gt;"Macro"),"",COUNTIFS($S$5:$S81,MesCiclo,$V$5:$V81,"Macro"))</f>
        <v/>
      </c>
      <c r="U81" s="62">
        <f>IF($V81="","",IF($V81="Macro",ROW(),IFERROR(LOOKUP(2,1/($V$5:$V81="Macro"),ROW($V$5:$V81)),0)))</f>
        <v/>
      </c>
      <c r="V81" s="62">
        <f>IF(NOT((COUNTA($B81:$D81)+COUNTA($G81:$L81)+COUNTA($Q81))&gt;0),"",IF($B81="Subactividad","Sub","Macro"))</f>
        <v/>
      </c>
      <c r="W81" s="62">
        <f>IF($V81="Macro",COUNTIFS($U$5:$U$1000,ROW(),$V$5:$V$1000,"Sub"),"")</f>
        <v/>
      </c>
      <c r="X81" s="62">
        <f>IF($V81="","",IF(ISNUMBER($G81),1,IFERROR(LOOKUP(2,1/($I81:$L81&lt;&gt;""),$I81:$L81),0)))</f>
        <v/>
      </c>
      <c r="Y81" s="62">
        <f>IF($V81="","",IF(AND(ISNUMBER($G81),$G81&lt;=IF($S81=MesCiclo,InicioCiclo,$S81+MOD(2-WEEKDAY($S81),7))+6),1,IF(ISNUMBER($I81),$I81,0)))</f>
        <v/>
      </c>
      <c r="Z81" s="62">
        <f>IF($V81="","",IF(AND(ISNUMBER($G81),$G81&lt;=IF($S81=MesCiclo,InicioCiclo,$S81+MOD(2-WEEKDAY($S81),7))+13),1,IF(ISNUMBER($J81),$J81,$Y81)))</f>
        <v/>
      </c>
      <c r="AA81" s="62">
        <f>IF($V81="","",IF(AND(ISNUMBER($G81),$G81&lt;=IF($S81=MesCiclo,InicioCiclo,$S81+MOD(2-WEEKDAY($S81),7))+20),1,IF(ISNUMBER($K81),$K81,$Z81)))</f>
        <v/>
      </c>
      <c r="AB81" s="62">
        <f>IF($V81="","",IF(AND(ISNUMBER($G81),$G81&lt;=IF($S81=MesCiclo,InicioCiclo,$S81+MOD(2-WEEKDAY($S81),7))+27),1,IF(ISNUMBER($L81),$L81,$AA81)))</f>
        <v/>
      </c>
      <c r="AC81" s="62">
        <f>IF($V81="","",IF(AND(ISNUMBER($G81),$G81&lt;=IF($S81=MesCiclo,InicioCiclo,$S81+MOD(2-WEEKDAY($S81),7))+6),1,IF(N($W81)&gt;0,AVERAGEIFS($Y$5:$Y$1000,$U$5:$U$1000,ROW(),$V$5:$V$1000,"Sub"),$Y81)))</f>
        <v/>
      </c>
      <c r="AD81" s="62">
        <f>IF($V81="","",IF(AND(ISNUMBER($G81),$G81&lt;=IF($S81=MesCiclo,InicioCiclo,$S81+MOD(2-WEEKDAY($S81),7))+13),1,IF(N($W81)&gt;0,AVERAGEIFS($Z$5:$Z$1000,$U$5:$U$1000,ROW(),$V$5:$V$1000,"Sub"),$Z81)))</f>
        <v/>
      </c>
      <c r="AE81" s="62">
        <f>IF($V81="","",IF(AND(ISNUMBER($G81),$G81&lt;=IF($S81=MesCiclo,InicioCiclo,$S81+MOD(2-WEEKDAY($S81),7))+20),1,IF(N($W81)&gt;0,AVERAGEIFS($AA$5:$AA$1000,$U$5:$U$1000,ROW(),$V$5:$V$1000,"Sub"),$AA81)))</f>
        <v/>
      </c>
      <c r="AF81" s="62">
        <f>IF($V81="","",IF(AND(ISNUMBER($G81),$G81&lt;=IF($S81=MesCiclo,InicioCiclo,$S81+MOD(2-WEEKDAY($S81),7))+27),1,IF(N($W81)&gt;0,AVERAGEIFS($AB$5:$AB$1000,$U$5:$U$1000,ROW(),$V$5:$V$1000,"Sub"),$AB81)))</f>
        <v/>
      </c>
      <c r="AG81" s="62">
        <f>IF($V81&lt;&gt;"Macro","",IF(COUNTIFS($S$5:$S$1000,$S81,$V$5:$V$1000,"Macro",$H$5:$H$1000,"&gt;0")=0,1/COUNTIFS($S$5:$S$1000,$S81,$V$5:$V$1000,"Macro"),IF(AND(ISNUMBER($H81),N($H81)&gt;0),$H81,SUMIFS($H$5:$H$1000,$S$5:$S$1000,$S81,$V$5:$V$1000,"Macro")/COUNTIFS($S$5:$S$1000,$S81,$V$5:$V$1000,"Macro",$H$5:$H$1000,"&gt;0"))/(COUNTIFS($S$5:$S$1000,$S81,$V$5:$V$1000,"Macro")*SUMIFS($H$5:$H$1000,$S$5:$S$1000,$S81,$V$5:$V$1000,"Macro")/COUNTIFS($S$5:$S$1000,$S81,$V$5:$V$1000,"Macro",$H$5:$H$1000,"&gt;0"))))</f>
        <v/>
      </c>
      <c r="AH81" s="62" t="n"/>
      <c r="AI81" s="62" t="n"/>
      <c r="AJ81" s="62" t="n"/>
      <c r="AK81" s="62" t="n"/>
      <c r="AL81" s="62">
        <f>IF(LEFT($C81,11)="[Jefatura] ",IFERROR(MATCH("Riesgo Normativo|"&amp;MID($C81,12,500),rDname_ADM,0),0),"")</f>
        <v/>
      </c>
      <c r="AM81" s="62">
        <f>IF(N($AL81)&gt;0,INDEX(rIni_ADM,$AL81),IF(ISNUMBER($E81),$E81,""))</f>
        <v/>
      </c>
      <c r="AN81" s="62">
        <f>IF(N($AL81)&gt;0,INDEX(rLim_ADM,$AL81),IF(ISNUMBER($F81),$F81,""))</f>
        <v/>
      </c>
    </row>
    <row r="82">
      <c r="A82" s="56">
        <f>IF(NOT((COUNTA($B82:$D82)+COUNTA($G82:$L82)+COUNTA($Q82))&gt;0),"",IF($V82="Macro",COUNTIFS($V$5:$V82,"Macro",$S$5:$S82,$S82),IF(N($U82)=0,"?",COUNTIFS(INDEX($V$5:$V$1000,1):INDEX($V$5:$V$1000,$U82-4),"Macro",INDEX($S$5:$S$1000,1):INDEX($S$5:$S$1000,$U82-4),INDEX($S$5:$S$1000,$U82-4))&amp;"."&amp;COUNTIFS($U$5:$U82,$U82,$V$5:$V82,"Sub"))))</f>
        <v/>
      </c>
      <c r="B82" s="57" t="n"/>
      <c r="C82" s="58" t="n"/>
      <c r="D82" s="58" t="n"/>
      <c r="E82" s="59">
        <f>IF(N($AL82)&gt;0,INDEX(rIni_ADM,$AL82),"")</f>
        <v/>
      </c>
      <c r="F82" s="59">
        <f>IF(N($AL82)&gt;0,INDEX(rLim_ADM,$AL82),"")</f>
        <v/>
      </c>
      <c r="G82" s="59" t="n"/>
      <c r="H82" s="60" t="n"/>
      <c r="I82" s="60" t="n"/>
      <c r="J82" s="60" t="n"/>
      <c r="K82" s="60" t="n"/>
      <c r="L82" s="60" t="n"/>
      <c r="M82" s="61">
        <f>IF(NOT((COUNTA($B82:$D82)+COUNTA($G82:$L82)+COUNTA($Q82))&gt;0),"",IF($V82="Sub",IFERROR($X82/INDEX($W$5:$W$1000,$U82-4),""),IF(ISNUMBER($G82),1,IF(N($W82)&gt;0,AVERAGEIFS($X$5:$X$1000,$U$5:$U$1000,ROW(),$V$5:$V$1000,"Sub"),$X82))))</f>
        <v/>
      </c>
      <c r="N82" s="56">
        <f>IF(OR($M82="",$V82="Sub"),"",IF($M82&gt;=1,"Completado",IF($M82&gt;0,"En curso","Pendiente")))</f>
        <v/>
      </c>
      <c r="O82" s="56">
        <f>IF(OR(NOT((COUNTA($B82:$D82)+COUNTA($G82:$L82)+COUNTA($Q82))&gt;0),$V82="Sub"),"",IF(ISNUMBER($G82),IF(AND(ISNUMBER($AN82),$G82&gt;$AN82),"Cumplida con "&amp;($G82-$AN82)&amp;IF($G82-$AN82=1," día"," días")&amp;" de retraso","Cumplida"),IF(N($M82)&gt;=1,"Cumplida",IF(NOT(ISNUMBER($AN82)),"Sin fecha límite",IF($AN82&lt;FechaRef,"Vencida hace "&amp;(FechaRef-$AN82)&amp;IF(FechaRef-$AN82=1," día"," días"),IF($AN82=FechaRef,"Vence hoy",IF($AN82-FechaRef&lt;=DiasAlerta,"Vence en "&amp;($AN82-FechaRef)&amp;IF($AN82-FechaRef=1," día"," días"),"En plazo")))))))</f>
        <v/>
      </c>
      <c r="P82" s="62" t="n"/>
      <c r="Q82" s="58" t="n"/>
      <c r="R82" s="63">
        <f>IF(NOT((COUNTA($B82:$D82)+COUNTA($G82:$L82)+COUNTA($Q82))&gt;0),"",IF((IF($C82="","Falta el nombre de la actividad"&amp;" · ","")&amp;IF(AND($V82="Sub",N($U82)=0),"Subactividad sin macroactividad arriba"&amp;" · ","")&amp;IF($AM82="","Sin fecha de inicio"&amp;" · ","")&amp;IF($AN82="","Sin fecha límite"&amp;" · ","")&amp;IF(AND(LEFT($C82,11)="[Jefatura] ",N($AL82)=0),"No se encuentra en la hoja de la jefatura (elíjala de nuevo en la lista)"&amp;" · ","")&amp;IF(OR(AND($E82&lt;&gt;"",NOT(ISNUMBER($E82))),AND($F82&lt;&gt;"",NOT(ISNUMBER($F82))),AND($G82&lt;&gt;"",NOT(ISNUMBER($G82)))),"Fecha no válida"&amp;" · ","")&amp;IF(AND(ISNUMBER($AM82),ISNUMBER($AN82),$AM82&gt;$AN82),"Inicio posterior a fecha límite"&amp;" · ","")&amp;IF(AND($V82="Macro",$H82&lt;&gt;"",OR(NOT(ISNUMBER($H82)),$H82&lt;0,$H82&gt;1)),"Peso fuera de rango"&amp;" · ","")&amp;IF(AND($V82="Sub",$H82&lt;&gt;""),"Las subactividades no llevan peso (valen igual dentro de su macroactividad)"&amp;" · ","")&amp;IF(AND(N($W82)&gt;0,COUNT($I82:$L82)&gt;0),"Con subactividades: deje vacías las semanas (se calculan solas)"&amp;" · ","")&amp;IF((COUNTIF($I82:$L82,"&gt;1")+COUNTIF($I82:$L82,"&lt;0")+COUNTA($I82:$L82)-COUNT($I82:$L82))&gt;0,"Avance fuera de rango 0-100%"&amp;" · ","")&amp;IF(OR(AND($J82&lt;&gt;"",$J82&lt;$I82),AND($K82&lt;&gt;"",$K82&lt;MAX($I82:$J82)),AND($L82&lt;&gt;"",$L82&lt;MAX($I82:$K82))),"Avance semanal decreciente"&amp;" · ","")&amp;IF(AND(ISNUMBER($AN82),$AN82&lt;FechaRef,IF($V82="Sub",N($X82),N($M82))&lt;1),"Vencida"&amp;" · ","")&amp;IF(AND(ObsObligatoria="Sí",ISNUMBER($AN82),$AN82&lt;FechaRef,IF($V82="Sub",N($X82),N($M82))&lt;1,$Q82=""),"Vencida sin observación"&amp;" · ",""))="","✔ OK","⚠ "&amp;LEFT(IF($C82="","Falta el nombre de la actividad"&amp;" · ","")&amp;IF(AND($V82="Sub",N($U82)=0),"Subactividad sin macroactividad arriba"&amp;" · ","")&amp;IF($AM82="","Sin fecha de inicio"&amp;" · ","")&amp;IF($AN82="","Sin fecha límite"&amp;" · ","")&amp;IF(AND(LEFT($C82,11)="[Jefatura] ",N($AL82)=0),"No se encuentra en la hoja de la jefatura (elíjala de nuevo en la lista)"&amp;" · ","")&amp;IF(OR(AND($E82&lt;&gt;"",NOT(ISNUMBER($E82))),AND($F82&lt;&gt;"",NOT(ISNUMBER($F82))),AND($G82&lt;&gt;"",NOT(ISNUMBER($G82)))),"Fecha no válida"&amp;" · ","")&amp;IF(AND(ISNUMBER($AM82),ISNUMBER($AN82),$AM82&gt;$AN82),"Inicio posterior a fecha límite"&amp;" · ","")&amp;IF(AND($V82="Macro",$H82&lt;&gt;"",OR(NOT(ISNUMBER($H82)),$H82&lt;0,$H82&gt;1)),"Peso fuera de rango"&amp;" · ","")&amp;IF(AND($V82="Sub",$H82&lt;&gt;""),"Las subactividades no llevan peso (valen igual dentro de su macroactividad)"&amp;" · ","")&amp;IF(AND(N($W82)&gt;0,COUNT($I82:$L82)&gt;0),"Con subactividades: deje vacías las semanas (se calculan solas)"&amp;" · ","")&amp;IF((COUNTIF($I82:$L82,"&gt;1")+COUNTIF($I82:$L82,"&lt;0")+COUNTA($I82:$L82)-COUNT($I82:$L82))&gt;0,"Avance fuera de rango 0-100%"&amp;" · ","")&amp;IF(OR(AND($J82&lt;&gt;"",$J82&lt;$I82),AND($K82&lt;&gt;"",$K82&lt;MAX($I82:$J82)),AND($L82&lt;&gt;"",$L82&lt;MAX($I82:$K82))),"Avance semanal decreciente"&amp;" · ","")&amp;IF(AND(ISNUMBER($AN82),$AN82&lt;FechaRef,IF($V82="Sub",N($X82),N($M82))&lt;1),"Vencida"&amp;" · ","")&amp;IF(AND(ObsObligatoria="Sí",ISNUMBER($AN82),$AN82&lt;FechaRef,IF($V82="Sub",N($X82),N($M82))&lt;1,$Q82=""),"Vencida sin observación"&amp;" · ",""),LEN(IF($C82="","Falta el nombre de la actividad"&amp;" · ","")&amp;IF(AND($V82="Sub",N($U82)=0),"Subactividad sin macroactividad arriba"&amp;" · ","")&amp;IF($AM82="","Sin fecha de inicio"&amp;" · ","")&amp;IF($AN82="","Sin fecha límite"&amp;" · ","")&amp;IF(AND(LEFT($C82,11)="[Jefatura] ",N($AL82)=0),"No se encuentra en la hoja de la jefatura (elíjala de nuevo en la lista)"&amp;" · ","")&amp;IF(OR(AND($E82&lt;&gt;"",NOT(ISNUMBER($E82))),AND($F82&lt;&gt;"",NOT(ISNUMBER($F82))),AND($G82&lt;&gt;"",NOT(ISNUMBER($G82)))),"Fecha no válida"&amp;" · ","")&amp;IF(AND(ISNUMBER($AM82),ISNUMBER($AN82),$AM82&gt;$AN82),"Inicio posterior a fecha límite"&amp;" · ","")&amp;IF(AND($V82="Macro",$H82&lt;&gt;"",OR(NOT(ISNUMBER($H82)),$H82&lt;0,$H82&gt;1)),"Peso fuera de rango"&amp;" · ","")&amp;IF(AND($V82="Sub",$H82&lt;&gt;""),"Las subactividades no llevan peso (valen igual dentro de su macroactividad)"&amp;" · ","")&amp;IF(AND(N($W82)&gt;0,COUNT($I82:$L82)&gt;0),"Con subactividades: deje vacías las semanas (se calculan solas)"&amp;" · ","")&amp;IF((COUNTIF($I82:$L82,"&gt;1")+COUNTIF($I82:$L82,"&lt;0")+COUNTA($I82:$L82)-COUNT($I82:$L82))&gt;0,"Avance fuera de rango 0-100%"&amp;" · ","")&amp;IF(OR(AND($J82&lt;&gt;"",$J82&lt;$I82),AND($K82&lt;&gt;"",$K82&lt;MAX($I82:$J82)),AND($L82&lt;&gt;"",$L82&lt;MAX($I82:$K82))),"Avance semanal decreciente"&amp;" · ","")&amp;IF(AND(ISNUMBER($AN82),$AN82&lt;FechaRef,IF($V82="Sub",N($X82),N($M82))&lt;1),"Vencida"&amp;" · ","")&amp;IF(AND(ObsObligatoria="Sí",ISNUMBER($AN82),$AN82&lt;FechaRef,IF($V82="Sub",N($X82),N($M82))&lt;1,$Q82=""),"Vencida sin observación"&amp;" · ",""))-3)))</f>
        <v/>
      </c>
      <c r="S82" s="64">
        <f>IF(NOT((COUNTA($B82:$D82)+COUNTA($G82:$L82)+COUNTA($Q82))&gt;0),"",IF(AND($V82="Sub",N($U82)&gt;0),IF(ISNUMBER(INDEX($AM$5:$AM$1000,$U82-4)),DATE(YEAR(INDEX($AM$5:$AM$1000,$U82-4)),MONTH(INDEX($AM$5:$AM$1000,$U82-4)),1),IF(ISNUMBER(INDEX($AN$5:$AN$1000,$U82-4)),DATE(YEAR(INDEX($AN$5:$AN$1000,$U82-4)),MONTH(INDEX($AN$5:$AN$1000,$U82-4)),1),MesCiclo)),IF(ISNUMBER($AM82),DATE(YEAR($AM82),MONTH($AM82),1),IF(ISNUMBER($AN82),DATE(YEAR($AN82),MONTH($AN82),1),MesCiclo))))</f>
        <v/>
      </c>
      <c r="T82" s="62">
        <f>IF(OR($S82="",$S82&lt;&gt;MesCiclo,$V82&lt;&gt;"Macro"),"",COUNTIFS($S$5:$S82,MesCiclo,$V$5:$V82,"Macro"))</f>
        <v/>
      </c>
      <c r="U82" s="62">
        <f>IF($V82="","",IF($V82="Macro",ROW(),IFERROR(LOOKUP(2,1/($V$5:$V82="Macro"),ROW($V$5:$V82)),0)))</f>
        <v/>
      </c>
      <c r="V82" s="62">
        <f>IF(NOT((COUNTA($B82:$D82)+COUNTA($G82:$L82)+COUNTA($Q82))&gt;0),"",IF($B82="Subactividad","Sub","Macro"))</f>
        <v/>
      </c>
      <c r="W82" s="62">
        <f>IF($V82="Macro",COUNTIFS($U$5:$U$1000,ROW(),$V$5:$V$1000,"Sub"),"")</f>
        <v/>
      </c>
      <c r="X82" s="62">
        <f>IF($V82="","",IF(ISNUMBER($G82),1,IFERROR(LOOKUP(2,1/($I82:$L82&lt;&gt;""),$I82:$L82),0)))</f>
        <v/>
      </c>
      <c r="Y82" s="62">
        <f>IF($V82="","",IF(AND(ISNUMBER($G82),$G82&lt;=IF($S82=MesCiclo,InicioCiclo,$S82+MOD(2-WEEKDAY($S82),7))+6),1,IF(ISNUMBER($I82),$I82,0)))</f>
        <v/>
      </c>
      <c r="Z82" s="62">
        <f>IF($V82="","",IF(AND(ISNUMBER($G82),$G82&lt;=IF($S82=MesCiclo,InicioCiclo,$S82+MOD(2-WEEKDAY($S82),7))+13),1,IF(ISNUMBER($J82),$J82,$Y82)))</f>
        <v/>
      </c>
      <c r="AA82" s="62">
        <f>IF($V82="","",IF(AND(ISNUMBER($G82),$G82&lt;=IF($S82=MesCiclo,InicioCiclo,$S82+MOD(2-WEEKDAY($S82),7))+20),1,IF(ISNUMBER($K82),$K82,$Z82)))</f>
        <v/>
      </c>
      <c r="AB82" s="62">
        <f>IF($V82="","",IF(AND(ISNUMBER($G82),$G82&lt;=IF($S82=MesCiclo,InicioCiclo,$S82+MOD(2-WEEKDAY($S82),7))+27),1,IF(ISNUMBER($L82),$L82,$AA82)))</f>
        <v/>
      </c>
      <c r="AC82" s="62">
        <f>IF($V82="","",IF(AND(ISNUMBER($G82),$G82&lt;=IF($S82=MesCiclo,InicioCiclo,$S82+MOD(2-WEEKDAY($S82),7))+6),1,IF(N($W82)&gt;0,AVERAGEIFS($Y$5:$Y$1000,$U$5:$U$1000,ROW(),$V$5:$V$1000,"Sub"),$Y82)))</f>
        <v/>
      </c>
      <c r="AD82" s="62">
        <f>IF($V82="","",IF(AND(ISNUMBER($G82),$G82&lt;=IF($S82=MesCiclo,InicioCiclo,$S82+MOD(2-WEEKDAY($S82),7))+13),1,IF(N($W82)&gt;0,AVERAGEIFS($Z$5:$Z$1000,$U$5:$U$1000,ROW(),$V$5:$V$1000,"Sub"),$Z82)))</f>
        <v/>
      </c>
      <c r="AE82" s="62">
        <f>IF($V82="","",IF(AND(ISNUMBER($G82),$G82&lt;=IF($S82=MesCiclo,InicioCiclo,$S82+MOD(2-WEEKDAY($S82),7))+20),1,IF(N($W82)&gt;0,AVERAGEIFS($AA$5:$AA$1000,$U$5:$U$1000,ROW(),$V$5:$V$1000,"Sub"),$AA82)))</f>
        <v/>
      </c>
      <c r="AF82" s="62">
        <f>IF($V82="","",IF(AND(ISNUMBER($G82),$G82&lt;=IF($S82=MesCiclo,InicioCiclo,$S82+MOD(2-WEEKDAY($S82),7))+27),1,IF(N($W82)&gt;0,AVERAGEIFS($AB$5:$AB$1000,$U$5:$U$1000,ROW(),$V$5:$V$1000,"Sub"),$AB82)))</f>
        <v/>
      </c>
      <c r="AG82" s="62">
        <f>IF($V82&lt;&gt;"Macro","",IF(COUNTIFS($S$5:$S$1000,$S82,$V$5:$V$1000,"Macro",$H$5:$H$1000,"&gt;0")=0,1/COUNTIFS($S$5:$S$1000,$S82,$V$5:$V$1000,"Macro"),IF(AND(ISNUMBER($H82),N($H82)&gt;0),$H82,SUMIFS($H$5:$H$1000,$S$5:$S$1000,$S82,$V$5:$V$1000,"Macro")/COUNTIFS($S$5:$S$1000,$S82,$V$5:$V$1000,"Macro",$H$5:$H$1000,"&gt;0"))/(COUNTIFS($S$5:$S$1000,$S82,$V$5:$V$1000,"Macro")*SUMIFS($H$5:$H$1000,$S$5:$S$1000,$S82,$V$5:$V$1000,"Macro")/COUNTIFS($S$5:$S$1000,$S82,$V$5:$V$1000,"Macro",$H$5:$H$1000,"&gt;0"))))</f>
        <v/>
      </c>
      <c r="AH82" s="62" t="n"/>
      <c r="AI82" s="62" t="n"/>
      <c r="AJ82" s="62" t="n"/>
      <c r="AK82" s="62" t="n"/>
      <c r="AL82" s="62">
        <f>IF(LEFT($C82,11)="[Jefatura] ",IFERROR(MATCH("Riesgo Normativo|"&amp;MID($C82,12,500),rDname_ADM,0),0),"")</f>
        <v/>
      </c>
      <c r="AM82" s="62">
        <f>IF(N($AL82)&gt;0,INDEX(rIni_ADM,$AL82),IF(ISNUMBER($E82),$E82,""))</f>
        <v/>
      </c>
      <c r="AN82" s="62">
        <f>IF(N($AL82)&gt;0,INDEX(rLim_ADM,$AL82),IF(ISNUMBER($F82),$F82,""))</f>
        <v/>
      </c>
    </row>
    <row r="83">
      <c r="A83" s="56">
        <f>IF(NOT((COUNTA($B83:$D83)+COUNTA($G83:$L83)+COUNTA($Q83))&gt;0),"",IF($V83="Macro",COUNTIFS($V$5:$V83,"Macro",$S$5:$S83,$S83),IF(N($U83)=0,"?",COUNTIFS(INDEX($V$5:$V$1000,1):INDEX($V$5:$V$1000,$U83-4),"Macro",INDEX($S$5:$S$1000,1):INDEX($S$5:$S$1000,$U83-4),INDEX($S$5:$S$1000,$U83-4))&amp;"."&amp;COUNTIFS($U$5:$U83,$U83,$V$5:$V83,"Sub"))))</f>
        <v/>
      </c>
      <c r="B83" s="57" t="n"/>
      <c r="C83" s="58" t="n"/>
      <c r="D83" s="58" t="n"/>
      <c r="E83" s="59">
        <f>IF(N($AL83)&gt;0,INDEX(rIni_ADM,$AL83),"")</f>
        <v/>
      </c>
      <c r="F83" s="59">
        <f>IF(N($AL83)&gt;0,INDEX(rLim_ADM,$AL83),"")</f>
        <v/>
      </c>
      <c r="G83" s="59" t="n"/>
      <c r="H83" s="60" t="n"/>
      <c r="I83" s="60" t="n"/>
      <c r="J83" s="60" t="n"/>
      <c r="K83" s="60" t="n"/>
      <c r="L83" s="60" t="n"/>
      <c r="M83" s="61">
        <f>IF(NOT((COUNTA($B83:$D83)+COUNTA($G83:$L83)+COUNTA($Q83))&gt;0),"",IF($V83="Sub",IFERROR($X83/INDEX($W$5:$W$1000,$U83-4),""),IF(ISNUMBER($G83),1,IF(N($W83)&gt;0,AVERAGEIFS($X$5:$X$1000,$U$5:$U$1000,ROW(),$V$5:$V$1000,"Sub"),$X83))))</f>
        <v/>
      </c>
      <c r="N83" s="56">
        <f>IF(OR($M83="",$V83="Sub"),"",IF($M83&gt;=1,"Completado",IF($M83&gt;0,"En curso","Pendiente")))</f>
        <v/>
      </c>
      <c r="O83" s="56">
        <f>IF(OR(NOT((COUNTA($B83:$D83)+COUNTA($G83:$L83)+COUNTA($Q83))&gt;0),$V83="Sub"),"",IF(ISNUMBER($G83),IF(AND(ISNUMBER($AN83),$G83&gt;$AN83),"Cumplida con "&amp;($G83-$AN83)&amp;IF($G83-$AN83=1," día"," días")&amp;" de retraso","Cumplida"),IF(N($M83)&gt;=1,"Cumplida",IF(NOT(ISNUMBER($AN83)),"Sin fecha límite",IF($AN83&lt;FechaRef,"Vencida hace "&amp;(FechaRef-$AN83)&amp;IF(FechaRef-$AN83=1," día"," días"),IF($AN83=FechaRef,"Vence hoy",IF($AN83-FechaRef&lt;=DiasAlerta,"Vence en "&amp;($AN83-FechaRef)&amp;IF($AN83-FechaRef=1," día"," días"),"En plazo")))))))</f>
        <v/>
      </c>
      <c r="P83" s="62" t="n"/>
      <c r="Q83" s="58" t="n"/>
      <c r="R83" s="63">
        <f>IF(NOT((COUNTA($B83:$D83)+COUNTA($G83:$L83)+COUNTA($Q83))&gt;0),"",IF((IF($C83="","Falta el nombre de la actividad"&amp;" · ","")&amp;IF(AND($V83="Sub",N($U83)=0),"Subactividad sin macroactividad arriba"&amp;" · ","")&amp;IF($AM83="","Sin fecha de inicio"&amp;" · ","")&amp;IF($AN83="","Sin fecha límite"&amp;" · ","")&amp;IF(AND(LEFT($C83,11)="[Jefatura] ",N($AL83)=0),"No se encuentra en la hoja de la jefatura (elíjala de nuevo en la lista)"&amp;" · ","")&amp;IF(OR(AND($E83&lt;&gt;"",NOT(ISNUMBER($E83))),AND($F83&lt;&gt;"",NOT(ISNUMBER($F83))),AND($G83&lt;&gt;"",NOT(ISNUMBER($G83)))),"Fecha no válida"&amp;" · ","")&amp;IF(AND(ISNUMBER($AM83),ISNUMBER($AN83),$AM83&gt;$AN83),"Inicio posterior a fecha límite"&amp;" · ","")&amp;IF(AND($V83="Macro",$H83&lt;&gt;"",OR(NOT(ISNUMBER($H83)),$H83&lt;0,$H83&gt;1)),"Peso fuera de rango"&amp;" · ","")&amp;IF(AND($V83="Sub",$H83&lt;&gt;""),"Las subactividades no llevan peso (valen igual dentro de su macroactividad)"&amp;" · ","")&amp;IF(AND(N($W83)&gt;0,COUNT($I83:$L83)&gt;0),"Con subactividades: deje vacías las semanas (se calculan solas)"&amp;" · ","")&amp;IF((COUNTIF($I83:$L83,"&gt;1")+COUNTIF($I83:$L83,"&lt;0")+COUNTA($I83:$L83)-COUNT($I83:$L83))&gt;0,"Avance fuera de rango 0-100%"&amp;" · ","")&amp;IF(OR(AND($J83&lt;&gt;"",$J83&lt;$I83),AND($K83&lt;&gt;"",$K83&lt;MAX($I83:$J83)),AND($L83&lt;&gt;"",$L83&lt;MAX($I83:$K83))),"Avance semanal decreciente"&amp;" · ","")&amp;IF(AND(ISNUMBER($AN83),$AN83&lt;FechaRef,IF($V83="Sub",N($X83),N($M83))&lt;1),"Vencida"&amp;" · ","")&amp;IF(AND(ObsObligatoria="Sí",ISNUMBER($AN83),$AN83&lt;FechaRef,IF($V83="Sub",N($X83),N($M83))&lt;1,$Q83=""),"Vencida sin observación"&amp;" · ",""))="","✔ OK","⚠ "&amp;LEFT(IF($C83="","Falta el nombre de la actividad"&amp;" · ","")&amp;IF(AND($V83="Sub",N($U83)=0),"Subactividad sin macroactividad arriba"&amp;" · ","")&amp;IF($AM83="","Sin fecha de inicio"&amp;" · ","")&amp;IF($AN83="","Sin fecha límite"&amp;" · ","")&amp;IF(AND(LEFT($C83,11)="[Jefatura] ",N($AL83)=0),"No se encuentra en la hoja de la jefatura (elíjala de nuevo en la lista)"&amp;" · ","")&amp;IF(OR(AND($E83&lt;&gt;"",NOT(ISNUMBER($E83))),AND($F83&lt;&gt;"",NOT(ISNUMBER($F83))),AND($G83&lt;&gt;"",NOT(ISNUMBER($G83)))),"Fecha no válida"&amp;" · ","")&amp;IF(AND(ISNUMBER($AM83),ISNUMBER($AN83),$AM83&gt;$AN83),"Inicio posterior a fecha límite"&amp;" · ","")&amp;IF(AND($V83="Macro",$H83&lt;&gt;"",OR(NOT(ISNUMBER($H83)),$H83&lt;0,$H83&gt;1)),"Peso fuera de rango"&amp;" · ","")&amp;IF(AND($V83="Sub",$H83&lt;&gt;""),"Las subactividades no llevan peso (valen igual dentro de su macroactividad)"&amp;" · ","")&amp;IF(AND(N($W83)&gt;0,COUNT($I83:$L83)&gt;0),"Con subactividades: deje vacías las semanas (se calculan solas)"&amp;" · ","")&amp;IF((COUNTIF($I83:$L83,"&gt;1")+COUNTIF($I83:$L83,"&lt;0")+COUNTA($I83:$L83)-COUNT($I83:$L83))&gt;0,"Avance fuera de rango 0-100%"&amp;" · ","")&amp;IF(OR(AND($J83&lt;&gt;"",$J83&lt;$I83),AND($K83&lt;&gt;"",$K83&lt;MAX($I83:$J83)),AND($L83&lt;&gt;"",$L83&lt;MAX($I83:$K83))),"Avance semanal decreciente"&amp;" · ","")&amp;IF(AND(ISNUMBER($AN83),$AN83&lt;FechaRef,IF($V83="Sub",N($X83),N($M83))&lt;1),"Vencida"&amp;" · ","")&amp;IF(AND(ObsObligatoria="Sí",ISNUMBER($AN83),$AN83&lt;FechaRef,IF($V83="Sub",N($X83),N($M83))&lt;1,$Q83=""),"Vencida sin observación"&amp;" · ",""),LEN(IF($C83="","Falta el nombre de la actividad"&amp;" · ","")&amp;IF(AND($V83="Sub",N($U83)=0),"Subactividad sin macroactividad arriba"&amp;" · ","")&amp;IF($AM83="","Sin fecha de inicio"&amp;" · ","")&amp;IF($AN83="","Sin fecha límite"&amp;" · ","")&amp;IF(AND(LEFT($C83,11)="[Jefatura] ",N($AL83)=0),"No se encuentra en la hoja de la jefatura (elíjala de nuevo en la lista)"&amp;" · ","")&amp;IF(OR(AND($E83&lt;&gt;"",NOT(ISNUMBER($E83))),AND($F83&lt;&gt;"",NOT(ISNUMBER($F83))),AND($G83&lt;&gt;"",NOT(ISNUMBER($G83)))),"Fecha no válida"&amp;" · ","")&amp;IF(AND(ISNUMBER($AM83),ISNUMBER($AN83),$AM83&gt;$AN83),"Inicio posterior a fecha límite"&amp;" · ","")&amp;IF(AND($V83="Macro",$H83&lt;&gt;"",OR(NOT(ISNUMBER($H83)),$H83&lt;0,$H83&gt;1)),"Peso fuera de rango"&amp;" · ","")&amp;IF(AND($V83="Sub",$H83&lt;&gt;""),"Las subactividades no llevan peso (valen igual dentro de su macroactividad)"&amp;" · ","")&amp;IF(AND(N($W83)&gt;0,COUNT($I83:$L83)&gt;0),"Con subactividades: deje vacías las semanas (se calculan solas)"&amp;" · ","")&amp;IF((COUNTIF($I83:$L83,"&gt;1")+COUNTIF($I83:$L83,"&lt;0")+COUNTA($I83:$L83)-COUNT($I83:$L83))&gt;0,"Avance fuera de rango 0-100%"&amp;" · ","")&amp;IF(OR(AND($J83&lt;&gt;"",$J83&lt;$I83),AND($K83&lt;&gt;"",$K83&lt;MAX($I83:$J83)),AND($L83&lt;&gt;"",$L83&lt;MAX($I83:$K83))),"Avance semanal decreciente"&amp;" · ","")&amp;IF(AND(ISNUMBER($AN83),$AN83&lt;FechaRef,IF($V83="Sub",N($X83),N($M83))&lt;1),"Vencida"&amp;" · ","")&amp;IF(AND(ObsObligatoria="Sí",ISNUMBER($AN83),$AN83&lt;FechaRef,IF($V83="Sub",N($X83),N($M83))&lt;1,$Q83=""),"Vencida sin observación"&amp;" · ",""))-3)))</f>
        <v/>
      </c>
      <c r="S83" s="64">
        <f>IF(NOT((COUNTA($B83:$D83)+COUNTA($G83:$L83)+COUNTA($Q83))&gt;0),"",IF(AND($V83="Sub",N($U83)&gt;0),IF(ISNUMBER(INDEX($AM$5:$AM$1000,$U83-4)),DATE(YEAR(INDEX($AM$5:$AM$1000,$U83-4)),MONTH(INDEX($AM$5:$AM$1000,$U83-4)),1),IF(ISNUMBER(INDEX($AN$5:$AN$1000,$U83-4)),DATE(YEAR(INDEX($AN$5:$AN$1000,$U83-4)),MONTH(INDEX($AN$5:$AN$1000,$U83-4)),1),MesCiclo)),IF(ISNUMBER($AM83),DATE(YEAR($AM83),MONTH($AM83),1),IF(ISNUMBER($AN83),DATE(YEAR($AN83),MONTH($AN83),1),MesCiclo))))</f>
        <v/>
      </c>
      <c r="T83" s="62">
        <f>IF(OR($S83="",$S83&lt;&gt;MesCiclo,$V83&lt;&gt;"Macro"),"",COUNTIFS($S$5:$S83,MesCiclo,$V$5:$V83,"Macro"))</f>
        <v/>
      </c>
      <c r="U83" s="62">
        <f>IF($V83="","",IF($V83="Macro",ROW(),IFERROR(LOOKUP(2,1/($V$5:$V83="Macro"),ROW($V$5:$V83)),0)))</f>
        <v/>
      </c>
      <c r="V83" s="62">
        <f>IF(NOT((COUNTA($B83:$D83)+COUNTA($G83:$L83)+COUNTA($Q83))&gt;0),"",IF($B83="Subactividad","Sub","Macro"))</f>
        <v/>
      </c>
      <c r="W83" s="62">
        <f>IF($V83="Macro",COUNTIFS($U$5:$U$1000,ROW(),$V$5:$V$1000,"Sub"),"")</f>
        <v/>
      </c>
      <c r="X83" s="62">
        <f>IF($V83="","",IF(ISNUMBER($G83),1,IFERROR(LOOKUP(2,1/($I83:$L83&lt;&gt;""),$I83:$L83),0)))</f>
        <v/>
      </c>
      <c r="Y83" s="62">
        <f>IF($V83="","",IF(AND(ISNUMBER($G83),$G83&lt;=IF($S83=MesCiclo,InicioCiclo,$S83+MOD(2-WEEKDAY($S83),7))+6),1,IF(ISNUMBER($I83),$I83,0)))</f>
        <v/>
      </c>
      <c r="Z83" s="62">
        <f>IF($V83="","",IF(AND(ISNUMBER($G83),$G83&lt;=IF($S83=MesCiclo,InicioCiclo,$S83+MOD(2-WEEKDAY($S83),7))+13),1,IF(ISNUMBER($J83),$J83,$Y83)))</f>
        <v/>
      </c>
      <c r="AA83" s="62">
        <f>IF($V83="","",IF(AND(ISNUMBER($G83),$G83&lt;=IF($S83=MesCiclo,InicioCiclo,$S83+MOD(2-WEEKDAY($S83),7))+20),1,IF(ISNUMBER($K83),$K83,$Z83)))</f>
        <v/>
      </c>
      <c r="AB83" s="62">
        <f>IF($V83="","",IF(AND(ISNUMBER($G83),$G83&lt;=IF($S83=MesCiclo,InicioCiclo,$S83+MOD(2-WEEKDAY($S83),7))+27),1,IF(ISNUMBER($L83),$L83,$AA83)))</f>
        <v/>
      </c>
      <c r="AC83" s="62">
        <f>IF($V83="","",IF(AND(ISNUMBER($G83),$G83&lt;=IF($S83=MesCiclo,InicioCiclo,$S83+MOD(2-WEEKDAY($S83),7))+6),1,IF(N($W83)&gt;0,AVERAGEIFS($Y$5:$Y$1000,$U$5:$U$1000,ROW(),$V$5:$V$1000,"Sub"),$Y83)))</f>
        <v/>
      </c>
      <c r="AD83" s="62">
        <f>IF($V83="","",IF(AND(ISNUMBER($G83),$G83&lt;=IF($S83=MesCiclo,InicioCiclo,$S83+MOD(2-WEEKDAY($S83),7))+13),1,IF(N($W83)&gt;0,AVERAGEIFS($Z$5:$Z$1000,$U$5:$U$1000,ROW(),$V$5:$V$1000,"Sub"),$Z83)))</f>
        <v/>
      </c>
      <c r="AE83" s="62">
        <f>IF($V83="","",IF(AND(ISNUMBER($G83),$G83&lt;=IF($S83=MesCiclo,InicioCiclo,$S83+MOD(2-WEEKDAY($S83),7))+20),1,IF(N($W83)&gt;0,AVERAGEIFS($AA$5:$AA$1000,$U$5:$U$1000,ROW(),$V$5:$V$1000,"Sub"),$AA83)))</f>
        <v/>
      </c>
      <c r="AF83" s="62">
        <f>IF($V83="","",IF(AND(ISNUMBER($G83),$G83&lt;=IF($S83=MesCiclo,InicioCiclo,$S83+MOD(2-WEEKDAY($S83),7))+27),1,IF(N($W83)&gt;0,AVERAGEIFS($AB$5:$AB$1000,$U$5:$U$1000,ROW(),$V$5:$V$1000,"Sub"),$AB83)))</f>
        <v/>
      </c>
      <c r="AG83" s="62">
        <f>IF($V83&lt;&gt;"Macro","",IF(COUNTIFS($S$5:$S$1000,$S83,$V$5:$V$1000,"Macro",$H$5:$H$1000,"&gt;0")=0,1/COUNTIFS($S$5:$S$1000,$S83,$V$5:$V$1000,"Macro"),IF(AND(ISNUMBER($H83),N($H83)&gt;0),$H83,SUMIFS($H$5:$H$1000,$S$5:$S$1000,$S83,$V$5:$V$1000,"Macro")/COUNTIFS($S$5:$S$1000,$S83,$V$5:$V$1000,"Macro",$H$5:$H$1000,"&gt;0"))/(COUNTIFS($S$5:$S$1000,$S83,$V$5:$V$1000,"Macro")*SUMIFS($H$5:$H$1000,$S$5:$S$1000,$S83,$V$5:$V$1000,"Macro")/COUNTIFS($S$5:$S$1000,$S83,$V$5:$V$1000,"Macro",$H$5:$H$1000,"&gt;0"))))</f>
        <v/>
      </c>
      <c r="AH83" s="62" t="n"/>
      <c r="AI83" s="62" t="n"/>
      <c r="AJ83" s="62" t="n"/>
      <c r="AK83" s="62" t="n"/>
      <c r="AL83" s="62">
        <f>IF(LEFT($C83,11)="[Jefatura] ",IFERROR(MATCH("Riesgo Normativo|"&amp;MID($C83,12,500),rDname_ADM,0),0),"")</f>
        <v/>
      </c>
      <c r="AM83" s="62">
        <f>IF(N($AL83)&gt;0,INDEX(rIni_ADM,$AL83),IF(ISNUMBER($E83),$E83,""))</f>
        <v/>
      </c>
      <c r="AN83" s="62">
        <f>IF(N($AL83)&gt;0,INDEX(rLim_ADM,$AL83),IF(ISNUMBER($F83),$F83,""))</f>
        <v/>
      </c>
    </row>
    <row r="84">
      <c r="A84" s="56">
        <f>IF(NOT((COUNTA($B84:$D84)+COUNTA($G84:$L84)+COUNTA($Q84))&gt;0),"",IF($V84="Macro",COUNTIFS($V$5:$V84,"Macro",$S$5:$S84,$S84),IF(N($U84)=0,"?",COUNTIFS(INDEX($V$5:$V$1000,1):INDEX($V$5:$V$1000,$U84-4),"Macro",INDEX($S$5:$S$1000,1):INDEX($S$5:$S$1000,$U84-4),INDEX($S$5:$S$1000,$U84-4))&amp;"."&amp;COUNTIFS($U$5:$U84,$U84,$V$5:$V84,"Sub"))))</f>
        <v/>
      </c>
      <c r="B84" s="57" t="n"/>
      <c r="C84" s="58" t="n"/>
      <c r="D84" s="58" t="n"/>
      <c r="E84" s="59">
        <f>IF(N($AL84)&gt;0,INDEX(rIni_ADM,$AL84),"")</f>
        <v/>
      </c>
      <c r="F84" s="59">
        <f>IF(N($AL84)&gt;0,INDEX(rLim_ADM,$AL84),"")</f>
        <v/>
      </c>
      <c r="G84" s="59" t="n"/>
      <c r="H84" s="60" t="n"/>
      <c r="I84" s="60" t="n"/>
      <c r="J84" s="60" t="n"/>
      <c r="K84" s="60" t="n"/>
      <c r="L84" s="60" t="n"/>
      <c r="M84" s="61">
        <f>IF(NOT((COUNTA($B84:$D84)+COUNTA($G84:$L84)+COUNTA($Q84))&gt;0),"",IF($V84="Sub",IFERROR($X84/INDEX($W$5:$W$1000,$U84-4),""),IF(ISNUMBER($G84),1,IF(N($W84)&gt;0,AVERAGEIFS($X$5:$X$1000,$U$5:$U$1000,ROW(),$V$5:$V$1000,"Sub"),$X84))))</f>
        <v/>
      </c>
      <c r="N84" s="56">
        <f>IF(OR($M84="",$V84="Sub"),"",IF($M84&gt;=1,"Completado",IF($M84&gt;0,"En curso","Pendiente")))</f>
        <v/>
      </c>
      <c r="O84" s="56">
        <f>IF(OR(NOT((COUNTA($B84:$D84)+COUNTA($G84:$L84)+COUNTA($Q84))&gt;0),$V84="Sub"),"",IF(ISNUMBER($G84),IF(AND(ISNUMBER($AN84),$G84&gt;$AN84),"Cumplida con "&amp;($G84-$AN84)&amp;IF($G84-$AN84=1," día"," días")&amp;" de retraso","Cumplida"),IF(N($M84)&gt;=1,"Cumplida",IF(NOT(ISNUMBER($AN84)),"Sin fecha límite",IF($AN84&lt;FechaRef,"Vencida hace "&amp;(FechaRef-$AN84)&amp;IF(FechaRef-$AN84=1," día"," días"),IF($AN84=FechaRef,"Vence hoy",IF($AN84-FechaRef&lt;=DiasAlerta,"Vence en "&amp;($AN84-FechaRef)&amp;IF($AN84-FechaRef=1," día"," días"),"En plazo")))))))</f>
        <v/>
      </c>
      <c r="P84" s="62" t="n"/>
      <c r="Q84" s="58" t="n"/>
      <c r="R84" s="63">
        <f>IF(NOT((COUNTA($B84:$D84)+COUNTA($G84:$L84)+COUNTA($Q84))&gt;0),"",IF((IF($C84="","Falta el nombre de la actividad"&amp;" · ","")&amp;IF(AND($V84="Sub",N($U84)=0),"Subactividad sin macroactividad arriba"&amp;" · ","")&amp;IF($AM84="","Sin fecha de inicio"&amp;" · ","")&amp;IF($AN84="","Sin fecha límite"&amp;" · ","")&amp;IF(AND(LEFT($C84,11)="[Jefatura] ",N($AL84)=0),"No se encuentra en la hoja de la jefatura (elíjala de nuevo en la lista)"&amp;" · ","")&amp;IF(OR(AND($E84&lt;&gt;"",NOT(ISNUMBER($E84))),AND($F84&lt;&gt;"",NOT(ISNUMBER($F84))),AND($G84&lt;&gt;"",NOT(ISNUMBER($G84)))),"Fecha no válida"&amp;" · ","")&amp;IF(AND(ISNUMBER($AM84),ISNUMBER($AN84),$AM84&gt;$AN84),"Inicio posterior a fecha límite"&amp;" · ","")&amp;IF(AND($V84="Macro",$H84&lt;&gt;"",OR(NOT(ISNUMBER($H84)),$H84&lt;0,$H84&gt;1)),"Peso fuera de rango"&amp;" · ","")&amp;IF(AND($V84="Sub",$H84&lt;&gt;""),"Las subactividades no llevan peso (valen igual dentro de su macroactividad)"&amp;" · ","")&amp;IF(AND(N($W84)&gt;0,COUNT($I84:$L84)&gt;0),"Con subactividades: deje vacías las semanas (se calculan solas)"&amp;" · ","")&amp;IF((COUNTIF($I84:$L84,"&gt;1")+COUNTIF($I84:$L84,"&lt;0")+COUNTA($I84:$L84)-COUNT($I84:$L84))&gt;0,"Avance fuera de rango 0-100%"&amp;" · ","")&amp;IF(OR(AND($J84&lt;&gt;"",$J84&lt;$I84),AND($K84&lt;&gt;"",$K84&lt;MAX($I84:$J84)),AND($L84&lt;&gt;"",$L84&lt;MAX($I84:$K84))),"Avance semanal decreciente"&amp;" · ","")&amp;IF(AND(ISNUMBER($AN84),$AN84&lt;FechaRef,IF($V84="Sub",N($X84),N($M84))&lt;1),"Vencida"&amp;" · ","")&amp;IF(AND(ObsObligatoria="Sí",ISNUMBER($AN84),$AN84&lt;FechaRef,IF($V84="Sub",N($X84),N($M84))&lt;1,$Q84=""),"Vencida sin observación"&amp;" · ",""))="","✔ OK","⚠ "&amp;LEFT(IF($C84="","Falta el nombre de la actividad"&amp;" · ","")&amp;IF(AND($V84="Sub",N($U84)=0),"Subactividad sin macroactividad arriba"&amp;" · ","")&amp;IF($AM84="","Sin fecha de inicio"&amp;" · ","")&amp;IF($AN84="","Sin fecha límite"&amp;" · ","")&amp;IF(AND(LEFT($C84,11)="[Jefatura] ",N($AL84)=0),"No se encuentra en la hoja de la jefatura (elíjala de nuevo en la lista)"&amp;" · ","")&amp;IF(OR(AND($E84&lt;&gt;"",NOT(ISNUMBER($E84))),AND($F84&lt;&gt;"",NOT(ISNUMBER($F84))),AND($G84&lt;&gt;"",NOT(ISNUMBER($G84)))),"Fecha no válida"&amp;" · ","")&amp;IF(AND(ISNUMBER($AM84),ISNUMBER($AN84),$AM84&gt;$AN84),"Inicio posterior a fecha límite"&amp;" · ","")&amp;IF(AND($V84="Macro",$H84&lt;&gt;"",OR(NOT(ISNUMBER($H84)),$H84&lt;0,$H84&gt;1)),"Peso fuera de rango"&amp;" · ","")&amp;IF(AND($V84="Sub",$H84&lt;&gt;""),"Las subactividades no llevan peso (valen igual dentro de su macroactividad)"&amp;" · ","")&amp;IF(AND(N($W84)&gt;0,COUNT($I84:$L84)&gt;0),"Con subactividades: deje vacías las semanas (se calculan solas)"&amp;" · ","")&amp;IF((COUNTIF($I84:$L84,"&gt;1")+COUNTIF($I84:$L84,"&lt;0")+COUNTA($I84:$L84)-COUNT($I84:$L84))&gt;0,"Avance fuera de rango 0-100%"&amp;" · ","")&amp;IF(OR(AND($J84&lt;&gt;"",$J84&lt;$I84),AND($K84&lt;&gt;"",$K84&lt;MAX($I84:$J84)),AND($L84&lt;&gt;"",$L84&lt;MAX($I84:$K84))),"Avance semanal decreciente"&amp;" · ","")&amp;IF(AND(ISNUMBER($AN84),$AN84&lt;FechaRef,IF($V84="Sub",N($X84),N($M84))&lt;1),"Vencida"&amp;" · ","")&amp;IF(AND(ObsObligatoria="Sí",ISNUMBER($AN84),$AN84&lt;FechaRef,IF($V84="Sub",N($X84),N($M84))&lt;1,$Q84=""),"Vencida sin observación"&amp;" · ",""),LEN(IF($C84="","Falta el nombre de la actividad"&amp;" · ","")&amp;IF(AND($V84="Sub",N($U84)=0),"Subactividad sin macroactividad arriba"&amp;" · ","")&amp;IF($AM84="","Sin fecha de inicio"&amp;" · ","")&amp;IF($AN84="","Sin fecha límite"&amp;" · ","")&amp;IF(AND(LEFT($C84,11)="[Jefatura] ",N($AL84)=0),"No se encuentra en la hoja de la jefatura (elíjala de nuevo en la lista)"&amp;" · ","")&amp;IF(OR(AND($E84&lt;&gt;"",NOT(ISNUMBER($E84))),AND($F84&lt;&gt;"",NOT(ISNUMBER($F84))),AND($G84&lt;&gt;"",NOT(ISNUMBER($G84)))),"Fecha no válida"&amp;" · ","")&amp;IF(AND(ISNUMBER($AM84),ISNUMBER($AN84),$AM84&gt;$AN84),"Inicio posterior a fecha límite"&amp;" · ","")&amp;IF(AND($V84="Macro",$H84&lt;&gt;"",OR(NOT(ISNUMBER($H84)),$H84&lt;0,$H84&gt;1)),"Peso fuera de rango"&amp;" · ","")&amp;IF(AND($V84="Sub",$H84&lt;&gt;""),"Las subactividades no llevan peso (valen igual dentro de su macroactividad)"&amp;" · ","")&amp;IF(AND(N($W84)&gt;0,COUNT($I84:$L84)&gt;0),"Con subactividades: deje vacías las semanas (se calculan solas)"&amp;" · ","")&amp;IF((COUNTIF($I84:$L84,"&gt;1")+COUNTIF($I84:$L84,"&lt;0")+COUNTA($I84:$L84)-COUNT($I84:$L84))&gt;0,"Avance fuera de rango 0-100%"&amp;" · ","")&amp;IF(OR(AND($J84&lt;&gt;"",$J84&lt;$I84),AND($K84&lt;&gt;"",$K84&lt;MAX($I84:$J84)),AND($L84&lt;&gt;"",$L84&lt;MAX($I84:$K84))),"Avance semanal decreciente"&amp;" · ","")&amp;IF(AND(ISNUMBER($AN84),$AN84&lt;FechaRef,IF($V84="Sub",N($X84),N($M84))&lt;1),"Vencida"&amp;" · ","")&amp;IF(AND(ObsObligatoria="Sí",ISNUMBER($AN84),$AN84&lt;FechaRef,IF($V84="Sub",N($X84),N($M84))&lt;1,$Q84=""),"Vencida sin observación"&amp;" · ",""))-3)))</f>
        <v/>
      </c>
      <c r="S84" s="64">
        <f>IF(NOT((COUNTA($B84:$D84)+COUNTA($G84:$L84)+COUNTA($Q84))&gt;0),"",IF(AND($V84="Sub",N($U84)&gt;0),IF(ISNUMBER(INDEX($AM$5:$AM$1000,$U84-4)),DATE(YEAR(INDEX($AM$5:$AM$1000,$U84-4)),MONTH(INDEX($AM$5:$AM$1000,$U84-4)),1),IF(ISNUMBER(INDEX($AN$5:$AN$1000,$U84-4)),DATE(YEAR(INDEX($AN$5:$AN$1000,$U84-4)),MONTH(INDEX($AN$5:$AN$1000,$U84-4)),1),MesCiclo)),IF(ISNUMBER($AM84),DATE(YEAR($AM84),MONTH($AM84),1),IF(ISNUMBER($AN84),DATE(YEAR($AN84),MONTH($AN84),1),MesCiclo))))</f>
        <v/>
      </c>
      <c r="T84" s="62">
        <f>IF(OR($S84="",$S84&lt;&gt;MesCiclo,$V84&lt;&gt;"Macro"),"",COUNTIFS($S$5:$S84,MesCiclo,$V$5:$V84,"Macro"))</f>
        <v/>
      </c>
      <c r="U84" s="62">
        <f>IF($V84="","",IF($V84="Macro",ROW(),IFERROR(LOOKUP(2,1/($V$5:$V84="Macro"),ROW($V$5:$V84)),0)))</f>
        <v/>
      </c>
      <c r="V84" s="62">
        <f>IF(NOT((COUNTA($B84:$D84)+COUNTA($G84:$L84)+COUNTA($Q84))&gt;0),"",IF($B84="Subactividad","Sub","Macro"))</f>
        <v/>
      </c>
      <c r="W84" s="62">
        <f>IF($V84="Macro",COUNTIFS($U$5:$U$1000,ROW(),$V$5:$V$1000,"Sub"),"")</f>
        <v/>
      </c>
      <c r="X84" s="62">
        <f>IF($V84="","",IF(ISNUMBER($G84),1,IFERROR(LOOKUP(2,1/($I84:$L84&lt;&gt;""),$I84:$L84),0)))</f>
        <v/>
      </c>
      <c r="Y84" s="62">
        <f>IF($V84="","",IF(AND(ISNUMBER($G84),$G84&lt;=IF($S84=MesCiclo,InicioCiclo,$S84+MOD(2-WEEKDAY($S84),7))+6),1,IF(ISNUMBER($I84),$I84,0)))</f>
        <v/>
      </c>
      <c r="Z84" s="62">
        <f>IF($V84="","",IF(AND(ISNUMBER($G84),$G84&lt;=IF($S84=MesCiclo,InicioCiclo,$S84+MOD(2-WEEKDAY($S84),7))+13),1,IF(ISNUMBER($J84),$J84,$Y84)))</f>
        <v/>
      </c>
      <c r="AA84" s="62">
        <f>IF($V84="","",IF(AND(ISNUMBER($G84),$G84&lt;=IF($S84=MesCiclo,InicioCiclo,$S84+MOD(2-WEEKDAY($S84),7))+20),1,IF(ISNUMBER($K84),$K84,$Z84)))</f>
        <v/>
      </c>
      <c r="AB84" s="62">
        <f>IF($V84="","",IF(AND(ISNUMBER($G84),$G84&lt;=IF($S84=MesCiclo,InicioCiclo,$S84+MOD(2-WEEKDAY($S84),7))+27),1,IF(ISNUMBER($L84),$L84,$AA84)))</f>
        <v/>
      </c>
      <c r="AC84" s="62">
        <f>IF($V84="","",IF(AND(ISNUMBER($G84),$G84&lt;=IF($S84=MesCiclo,InicioCiclo,$S84+MOD(2-WEEKDAY($S84),7))+6),1,IF(N($W84)&gt;0,AVERAGEIFS($Y$5:$Y$1000,$U$5:$U$1000,ROW(),$V$5:$V$1000,"Sub"),$Y84)))</f>
        <v/>
      </c>
      <c r="AD84" s="62">
        <f>IF($V84="","",IF(AND(ISNUMBER($G84),$G84&lt;=IF($S84=MesCiclo,InicioCiclo,$S84+MOD(2-WEEKDAY($S84),7))+13),1,IF(N($W84)&gt;0,AVERAGEIFS($Z$5:$Z$1000,$U$5:$U$1000,ROW(),$V$5:$V$1000,"Sub"),$Z84)))</f>
        <v/>
      </c>
      <c r="AE84" s="62">
        <f>IF($V84="","",IF(AND(ISNUMBER($G84),$G84&lt;=IF($S84=MesCiclo,InicioCiclo,$S84+MOD(2-WEEKDAY($S84),7))+20),1,IF(N($W84)&gt;0,AVERAGEIFS($AA$5:$AA$1000,$U$5:$U$1000,ROW(),$V$5:$V$1000,"Sub"),$AA84)))</f>
        <v/>
      </c>
      <c r="AF84" s="62">
        <f>IF($V84="","",IF(AND(ISNUMBER($G84),$G84&lt;=IF($S84=MesCiclo,InicioCiclo,$S84+MOD(2-WEEKDAY($S84),7))+27),1,IF(N($W84)&gt;0,AVERAGEIFS($AB$5:$AB$1000,$U$5:$U$1000,ROW(),$V$5:$V$1000,"Sub"),$AB84)))</f>
        <v/>
      </c>
      <c r="AG84" s="62">
        <f>IF($V84&lt;&gt;"Macro","",IF(COUNTIFS($S$5:$S$1000,$S84,$V$5:$V$1000,"Macro",$H$5:$H$1000,"&gt;0")=0,1/COUNTIFS($S$5:$S$1000,$S84,$V$5:$V$1000,"Macro"),IF(AND(ISNUMBER($H84),N($H84)&gt;0),$H84,SUMIFS($H$5:$H$1000,$S$5:$S$1000,$S84,$V$5:$V$1000,"Macro")/COUNTIFS($S$5:$S$1000,$S84,$V$5:$V$1000,"Macro",$H$5:$H$1000,"&gt;0"))/(COUNTIFS($S$5:$S$1000,$S84,$V$5:$V$1000,"Macro")*SUMIFS($H$5:$H$1000,$S$5:$S$1000,$S84,$V$5:$V$1000,"Macro")/COUNTIFS($S$5:$S$1000,$S84,$V$5:$V$1000,"Macro",$H$5:$H$1000,"&gt;0"))))</f>
        <v/>
      </c>
      <c r="AH84" s="62" t="n"/>
      <c r="AI84" s="62" t="n"/>
      <c r="AJ84" s="62" t="n"/>
      <c r="AK84" s="62" t="n"/>
      <c r="AL84" s="62">
        <f>IF(LEFT($C84,11)="[Jefatura] ",IFERROR(MATCH("Riesgo Normativo|"&amp;MID($C84,12,500),rDname_ADM,0),0),"")</f>
        <v/>
      </c>
      <c r="AM84" s="62">
        <f>IF(N($AL84)&gt;0,INDEX(rIni_ADM,$AL84),IF(ISNUMBER($E84),$E84,""))</f>
        <v/>
      </c>
      <c r="AN84" s="62">
        <f>IF(N($AL84)&gt;0,INDEX(rLim_ADM,$AL84),IF(ISNUMBER($F84),$F84,""))</f>
        <v/>
      </c>
    </row>
    <row r="85">
      <c r="A85" s="56">
        <f>IF(NOT((COUNTA($B85:$D85)+COUNTA($G85:$L85)+COUNTA($Q85))&gt;0),"",IF($V85="Macro",COUNTIFS($V$5:$V85,"Macro",$S$5:$S85,$S85),IF(N($U85)=0,"?",COUNTIFS(INDEX($V$5:$V$1000,1):INDEX($V$5:$V$1000,$U85-4),"Macro",INDEX($S$5:$S$1000,1):INDEX($S$5:$S$1000,$U85-4),INDEX($S$5:$S$1000,$U85-4))&amp;"."&amp;COUNTIFS($U$5:$U85,$U85,$V$5:$V85,"Sub"))))</f>
        <v/>
      </c>
      <c r="B85" s="57" t="n"/>
      <c r="C85" s="58" t="n"/>
      <c r="D85" s="58" t="n"/>
      <c r="E85" s="59">
        <f>IF(N($AL85)&gt;0,INDEX(rIni_ADM,$AL85),"")</f>
        <v/>
      </c>
      <c r="F85" s="59">
        <f>IF(N($AL85)&gt;0,INDEX(rLim_ADM,$AL85),"")</f>
        <v/>
      </c>
      <c r="G85" s="59" t="n"/>
      <c r="H85" s="60" t="n"/>
      <c r="I85" s="60" t="n"/>
      <c r="J85" s="60" t="n"/>
      <c r="K85" s="60" t="n"/>
      <c r="L85" s="60" t="n"/>
      <c r="M85" s="61">
        <f>IF(NOT((COUNTA($B85:$D85)+COUNTA($G85:$L85)+COUNTA($Q85))&gt;0),"",IF($V85="Sub",IFERROR($X85/INDEX($W$5:$W$1000,$U85-4),""),IF(ISNUMBER($G85),1,IF(N($W85)&gt;0,AVERAGEIFS($X$5:$X$1000,$U$5:$U$1000,ROW(),$V$5:$V$1000,"Sub"),$X85))))</f>
        <v/>
      </c>
      <c r="N85" s="56">
        <f>IF(OR($M85="",$V85="Sub"),"",IF($M85&gt;=1,"Completado",IF($M85&gt;0,"En curso","Pendiente")))</f>
        <v/>
      </c>
      <c r="O85" s="56">
        <f>IF(OR(NOT((COUNTA($B85:$D85)+COUNTA($G85:$L85)+COUNTA($Q85))&gt;0),$V85="Sub"),"",IF(ISNUMBER($G85),IF(AND(ISNUMBER($AN85),$G85&gt;$AN85),"Cumplida con "&amp;($G85-$AN85)&amp;IF($G85-$AN85=1," día"," días")&amp;" de retraso","Cumplida"),IF(N($M85)&gt;=1,"Cumplida",IF(NOT(ISNUMBER($AN85)),"Sin fecha límite",IF($AN85&lt;FechaRef,"Vencida hace "&amp;(FechaRef-$AN85)&amp;IF(FechaRef-$AN85=1," día"," días"),IF($AN85=FechaRef,"Vence hoy",IF($AN85-FechaRef&lt;=DiasAlerta,"Vence en "&amp;($AN85-FechaRef)&amp;IF($AN85-FechaRef=1," día"," días"),"En plazo")))))))</f>
        <v/>
      </c>
      <c r="P85" s="62" t="n"/>
      <c r="Q85" s="58" t="n"/>
      <c r="R85" s="63">
        <f>IF(NOT((COUNTA($B85:$D85)+COUNTA($G85:$L85)+COUNTA($Q85))&gt;0),"",IF((IF($C85="","Falta el nombre de la actividad"&amp;" · ","")&amp;IF(AND($V85="Sub",N($U85)=0),"Subactividad sin macroactividad arriba"&amp;" · ","")&amp;IF($AM85="","Sin fecha de inicio"&amp;" · ","")&amp;IF($AN85="","Sin fecha límite"&amp;" · ","")&amp;IF(AND(LEFT($C85,11)="[Jefatura] ",N($AL85)=0),"No se encuentra en la hoja de la jefatura (elíjala de nuevo en la lista)"&amp;" · ","")&amp;IF(OR(AND($E85&lt;&gt;"",NOT(ISNUMBER($E85))),AND($F85&lt;&gt;"",NOT(ISNUMBER($F85))),AND($G85&lt;&gt;"",NOT(ISNUMBER($G85)))),"Fecha no válida"&amp;" · ","")&amp;IF(AND(ISNUMBER($AM85),ISNUMBER($AN85),$AM85&gt;$AN85),"Inicio posterior a fecha límite"&amp;" · ","")&amp;IF(AND($V85="Macro",$H85&lt;&gt;"",OR(NOT(ISNUMBER($H85)),$H85&lt;0,$H85&gt;1)),"Peso fuera de rango"&amp;" · ","")&amp;IF(AND($V85="Sub",$H85&lt;&gt;""),"Las subactividades no llevan peso (valen igual dentro de su macroactividad)"&amp;" · ","")&amp;IF(AND(N($W85)&gt;0,COUNT($I85:$L85)&gt;0),"Con subactividades: deje vacías las semanas (se calculan solas)"&amp;" · ","")&amp;IF((COUNTIF($I85:$L85,"&gt;1")+COUNTIF($I85:$L85,"&lt;0")+COUNTA($I85:$L85)-COUNT($I85:$L85))&gt;0,"Avance fuera de rango 0-100%"&amp;" · ","")&amp;IF(OR(AND($J85&lt;&gt;"",$J85&lt;$I85),AND($K85&lt;&gt;"",$K85&lt;MAX($I85:$J85)),AND($L85&lt;&gt;"",$L85&lt;MAX($I85:$K85))),"Avance semanal decreciente"&amp;" · ","")&amp;IF(AND(ISNUMBER($AN85),$AN85&lt;FechaRef,IF($V85="Sub",N($X85),N($M85))&lt;1),"Vencida"&amp;" · ","")&amp;IF(AND(ObsObligatoria="Sí",ISNUMBER($AN85),$AN85&lt;FechaRef,IF($V85="Sub",N($X85),N($M85))&lt;1,$Q85=""),"Vencida sin observación"&amp;" · ",""))="","✔ OK","⚠ "&amp;LEFT(IF($C85="","Falta el nombre de la actividad"&amp;" · ","")&amp;IF(AND($V85="Sub",N($U85)=0),"Subactividad sin macroactividad arriba"&amp;" · ","")&amp;IF($AM85="","Sin fecha de inicio"&amp;" · ","")&amp;IF($AN85="","Sin fecha límite"&amp;" · ","")&amp;IF(AND(LEFT($C85,11)="[Jefatura] ",N($AL85)=0),"No se encuentra en la hoja de la jefatura (elíjala de nuevo en la lista)"&amp;" · ","")&amp;IF(OR(AND($E85&lt;&gt;"",NOT(ISNUMBER($E85))),AND($F85&lt;&gt;"",NOT(ISNUMBER($F85))),AND($G85&lt;&gt;"",NOT(ISNUMBER($G85)))),"Fecha no válida"&amp;" · ","")&amp;IF(AND(ISNUMBER($AM85),ISNUMBER($AN85),$AM85&gt;$AN85),"Inicio posterior a fecha límite"&amp;" · ","")&amp;IF(AND($V85="Macro",$H85&lt;&gt;"",OR(NOT(ISNUMBER($H85)),$H85&lt;0,$H85&gt;1)),"Peso fuera de rango"&amp;" · ","")&amp;IF(AND($V85="Sub",$H85&lt;&gt;""),"Las subactividades no llevan peso (valen igual dentro de su macroactividad)"&amp;" · ","")&amp;IF(AND(N($W85)&gt;0,COUNT($I85:$L85)&gt;0),"Con subactividades: deje vacías las semanas (se calculan solas)"&amp;" · ","")&amp;IF((COUNTIF($I85:$L85,"&gt;1")+COUNTIF($I85:$L85,"&lt;0")+COUNTA($I85:$L85)-COUNT($I85:$L85))&gt;0,"Avance fuera de rango 0-100%"&amp;" · ","")&amp;IF(OR(AND($J85&lt;&gt;"",$J85&lt;$I85),AND($K85&lt;&gt;"",$K85&lt;MAX($I85:$J85)),AND($L85&lt;&gt;"",$L85&lt;MAX($I85:$K85))),"Avance semanal decreciente"&amp;" · ","")&amp;IF(AND(ISNUMBER($AN85),$AN85&lt;FechaRef,IF($V85="Sub",N($X85),N($M85))&lt;1),"Vencida"&amp;" · ","")&amp;IF(AND(ObsObligatoria="Sí",ISNUMBER($AN85),$AN85&lt;FechaRef,IF($V85="Sub",N($X85),N($M85))&lt;1,$Q85=""),"Vencida sin observación"&amp;" · ",""),LEN(IF($C85="","Falta el nombre de la actividad"&amp;" · ","")&amp;IF(AND($V85="Sub",N($U85)=0),"Subactividad sin macroactividad arriba"&amp;" · ","")&amp;IF($AM85="","Sin fecha de inicio"&amp;" · ","")&amp;IF($AN85="","Sin fecha límite"&amp;" · ","")&amp;IF(AND(LEFT($C85,11)="[Jefatura] ",N($AL85)=0),"No se encuentra en la hoja de la jefatura (elíjala de nuevo en la lista)"&amp;" · ","")&amp;IF(OR(AND($E85&lt;&gt;"",NOT(ISNUMBER($E85))),AND($F85&lt;&gt;"",NOT(ISNUMBER($F85))),AND($G85&lt;&gt;"",NOT(ISNUMBER($G85)))),"Fecha no válida"&amp;" · ","")&amp;IF(AND(ISNUMBER($AM85),ISNUMBER($AN85),$AM85&gt;$AN85),"Inicio posterior a fecha límite"&amp;" · ","")&amp;IF(AND($V85="Macro",$H85&lt;&gt;"",OR(NOT(ISNUMBER($H85)),$H85&lt;0,$H85&gt;1)),"Peso fuera de rango"&amp;" · ","")&amp;IF(AND($V85="Sub",$H85&lt;&gt;""),"Las subactividades no llevan peso (valen igual dentro de su macroactividad)"&amp;" · ","")&amp;IF(AND(N($W85)&gt;0,COUNT($I85:$L85)&gt;0),"Con subactividades: deje vacías las semanas (se calculan solas)"&amp;" · ","")&amp;IF((COUNTIF($I85:$L85,"&gt;1")+COUNTIF($I85:$L85,"&lt;0")+COUNTA($I85:$L85)-COUNT($I85:$L85))&gt;0,"Avance fuera de rango 0-100%"&amp;" · ","")&amp;IF(OR(AND($J85&lt;&gt;"",$J85&lt;$I85),AND($K85&lt;&gt;"",$K85&lt;MAX($I85:$J85)),AND($L85&lt;&gt;"",$L85&lt;MAX($I85:$K85))),"Avance semanal decreciente"&amp;" · ","")&amp;IF(AND(ISNUMBER($AN85),$AN85&lt;FechaRef,IF($V85="Sub",N($X85),N($M85))&lt;1),"Vencida"&amp;" · ","")&amp;IF(AND(ObsObligatoria="Sí",ISNUMBER($AN85),$AN85&lt;FechaRef,IF($V85="Sub",N($X85),N($M85))&lt;1,$Q85=""),"Vencida sin observación"&amp;" · ",""))-3)))</f>
        <v/>
      </c>
      <c r="S85" s="64">
        <f>IF(NOT((COUNTA($B85:$D85)+COUNTA($G85:$L85)+COUNTA($Q85))&gt;0),"",IF(AND($V85="Sub",N($U85)&gt;0),IF(ISNUMBER(INDEX($AM$5:$AM$1000,$U85-4)),DATE(YEAR(INDEX($AM$5:$AM$1000,$U85-4)),MONTH(INDEX($AM$5:$AM$1000,$U85-4)),1),IF(ISNUMBER(INDEX($AN$5:$AN$1000,$U85-4)),DATE(YEAR(INDEX($AN$5:$AN$1000,$U85-4)),MONTH(INDEX($AN$5:$AN$1000,$U85-4)),1),MesCiclo)),IF(ISNUMBER($AM85),DATE(YEAR($AM85),MONTH($AM85),1),IF(ISNUMBER($AN85),DATE(YEAR($AN85),MONTH($AN85),1),MesCiclo))))</f>
        <v/>
      </c>
      <c r="T85" s="62">
        <f>IF(OR($S85="",$S85&lt;&gt;MesCiclo,$V85&lt;&gt;"Macro"),"",COUNTIFS($S$5:$S85,MesCiclo,$V$5:$V85,"Macro"))</f>
        <v/>
      </c>
      <c r="U85" s="62">
        <f>IF($V85="","",IF($V85="Macro",ROW(),IFERROR(LOOKUP(2,1/($V$5:$V85="Macro"),ROW($V$5:$V85)),0)))</f>
        <v/>
      </c>
      <c r="V85" s="62">
        <f>IF(NOT((COUNTA($B85:$D85)+COUNTA($G85:$L85)+COUNTA($Q85))&gt;0),"",IF($B85="Subactividad","Sub","Macro"))</f>
        <v/>
      </c>
      <c r="W85" s="62">
        <f>IF($V85="Macro",COUNTIFS($U$5:$U$1000,ROW(),$V$5:$V$1000,"Sub"),"")</f>
        <v/>
      </c>
      <c r="X85" s="62">
        <f>IF($V85="","",IF(ISNUMBER($G85),1,IFERROR(LOOKUP(2,1/($I85:$L85&lt;&gt;""),$I85:$L85),0)))</f>
        <v/>
      </c>
      <c r="Y85" s="62">
        <f>IF($V85="","",IF(AND(ISNUMBER($G85),$G85&lt;=IF($S85=MesCiclo,InicioCiclo,$S85+MOD(2-WEEKDAY($S85),7))+6),1,IF(ISNUMBER($I85),$I85,0)))</f>
        <v/>
      </c>
      <c r="Z85" s="62">
        <f>IF($V85="","",IF(AND(ISNUMBER($G85),$G85&lt;=IF($S85=MesCiclo,InicioCiclo,$S85+MOD(2-WEEKDAY($S85),7))+13),1,IF(ISNUMBER($J85),$J85,$Y85)))</f>
        <v/>
      </c>
      <c r="AA85" s="62">
        <f>IF($V85="","",IF(AND(ISNUMBER($G85),$G85&lt;=IF($S85=MesCiclo,InicioCiclo,$S85+MOD(2-WEEKDAY($S85),7))+20),1,IF(ISNUMBER($K85),$K85,$Z85)))</f>
        <v/>
      </c>
      <c r="AB85" s="62">
        <f>IF($V85="","",IF(AND(ISNUMBER($G85),$G85&lt;=IF($S85=MesCiclo,InicioCiclo,$S85+MOD(2-WEEKDAY($S85),7))+27),1,IF(ISNUMBER($L85),$L85,$AA85)))</f>
        <v/>
      </c>
      <c r="AC85" s="62">
        <f>IF($V85="","",IF(AND(ISNUMBER($G85),$G85&lt;=IF($S85=MesCiclo,InicioCiclo,$S85+MOD(2-WEEKDAY($S85),7))+6),1,IF(N($W85)&gt;0,AVERAGEIFS($Y$5:$Y$1000,$U$5:$U$1000,ROW(),$V$5:$V$1000,"Sub"),$Y85)))</f>
        <v/>
      </c>
      <c r="AD85" s="62">
        <f>IF($V85="","",IF(AND(ISNUMBER($G85),$G85&lt;=IF($S85=MesCiclo,InicioCiclo,$S85+MOD(2-WEEKDAY($S85),7))+13),1,IF(N($W85)&gt;0,AVERAGEIFS($Z$5:$Z$1000,$U$5:$U$1000,ROW(),$V$5:$V$1000,"Sub"),$Z85)))</f>
        <v/>
      </c>
      <c r="AE85" s="62">
        <f>IF($V85="","",IF(AND(ISNUMBER($G85),$G85&lt;=IF($S85=MesCiclo,InicioCiclo,$S85+MOD(2-WEEKDAY($S85),7))+20),1,IF(N($W85)&gt;0,AVERAGEIFS($AA$5:$AA$1000,$U$5:$U$1000,ROW(),$V$5:$V$1000,"Sub"),$AA85)))</f>
        <v/>
      </c>
      <c r="AF85" s="62">
        <f>IF($V85="","",IF(AND(ISNUMBER($G85),$G85&lt;=IF($S85=MesCiclo,InicioCiclo,$S85+MOD(2-WEEKDAY($S85),7))+27),1,IF(N($W85)&gt;0,AVERAGEIFS($AB$5:$AB$1000,$U$5:$U$1000,ROW(),$V$5:$V$1000,"Sub"),$AB85)))</f>
        <v/>
      </c>
      <c r="AG85" s="62">
        <f>IF($V85&lt;&gt;"Macro","",IF(COUNTIFS($S$5:$S$1000,$S85,$V$5:$V$1000,"Macro",$H$5:$H$1000,"&gt;0")=0,1/COUNTIFS($S$5:$S$1000,$S85,$V$5:$V$1000,"Macro"),IF(AND(ISNUMBER($H85),N($H85)&gt;0),$H85,SUMIFS($H$5:$H$1000,$S$5:$S$1000,$S85,$V$5:$V$1000,"Macro")/COUNTIFS($S$5:$S$1000,$S85,$V$5:$V$1000,"Macro",$H$5:$H$1000,"&gt;0"))/(COUNTIFS($S$5:$S$1000,$S85,$V$5:$V$1000,"Macro")*SUMIFS($H$5:$H$1000,$S$5:$S$1000,$S85,$V$5:$V$1000,"Macro")/COUNTIFS($S$5:$S$1000,$S85,$V$5:$V$1000,"Macro",$H$5:$H$1000,"&gt;0"))))</f>
        <v/>
      </c>
      <c r="AH85" s="62" t="n"/>
      <c r="AI85" s="62" t="n"/>
      <c r="AJ85" s="62" t="n"/>
      <c r="AK85" s="62" t="n"/>
      <c r="AL85" s="62">
        <f>IF(LEFT($C85,11)="[Jefatura] ",IFERROR(MATCH("Riesgo Normativo|"&amp;MID($C85,12,500),rDname_ADM,0),0),"")</f>
        <v/>
      </c>
      <c r="AM85" s="62">
        <f>IF(N($AL85)&gt;0,INDEX(rIni_ADM,$AL85),IF(ISNUMBER($E85),$E85,""))</f>
        <v/>
      </c>
      <c r="AN85" s="62">
        <f>IF(N($AL85)&gt;0,INDEX(rLim_ADM,$AL85),IF(ISNUMBER($F85),$F85,""))</f>
        <v/>
      </c>
    </row>
    <row r="86">
      <c r="A86" s="56">
        <f>IF(NOT((COUNTA($B86:$D86)+COUNTA($G86:$L86)+COUNTA($Q86))&gt;0),"",IF($V86="Macro",COUNTIFS($V$5:$V86,"Macro",$S$5:$S86,$S86),IF(N($U86)=0,"?",COUNTIFS(INDEX($V$5:$V$1000,1):INDEX($V$5:$V$1000,$U86-4),"Macro",INDEX($S$5:$S$1000,1):INDEX($S$5:$S$1000,$U86-4),INDEX($S$5:$S$1000,$U86-4))&amp;"."&amp;COUNTIFS($U$5:$U86,$U86,$V$5:$V86,"Sub"))))</f>
        <v/>
      </c>
      <c r="B86" s="57" t="n"/>
      <c r="C86" s="58" t="n"/>
      <c r="D86" s="58" t="n"/>
      <c r="E86" s="59">
        <f>IF(N($AL86)&gt;0,INDEX(rIni_ADM,$AL86),"")</f>
        <v/>
      </c>
      <c r="F86" s="59">
        <f>IF(N($AL86)&gt;0,INDEX(rLim_ADM,$AL86),"")</f>
        <v/>
      </c>
      <c r="G86" s="59" t="n"/>
      <c r="H86" s="60" t="n"/>
      <c r="I86" s="60" t="n"/>
      <c r="J86" s="60" t="n"/>
      <c r="K86" s="60" t="n"/>
      <c r="L86" s="60" t="n"/>
      <c r="M86" s="61">
        <f>IF(NOT((COUNTA($B86:$D86)+COUNTA($G86:$L86)+COUNTA($Q86))&gt;0),"",IF($V86="Sub",IFERROR($X86/INDEX($W$5:$W$1000,$U86-4),""),IF(ISNUMBER($G86),1,IF(N($W86)&gt;0,AVERAGEIFS($X$5:$X$1000,$U$5:$U$1000,ROW(),$V$5:$V$1000,"Sub"),$X86))))</f>
        <v/>
      </c>
      <c r="N86" s="56">
        <f>IF(OR($M86="",$V86="Sub"),"",IF($M86&gt;=1,"Completado",IF($M86&gt;0,"En curso","Pendiente")))</f>
        <v/>
      </c>
      <c r="O86" s="56">
        <f>IF(OR(NOT((COUNTA($B86:$D86)+COUNTA($G86:$L86)+COUNTA($Q86))&gt;0),$V86="Sub"),"",IF(ISNUMBER($G86),IF(AND(ISNUMBER($AN86),$G86&gt;$AN86),"Cumplida con "&amp;($G86-$AN86)&amp;IF($G86-$AN86=1," día"," días")&amp;" de retraso","Cumplida"),IF(N($M86)&gt;=1,"Cumplida",IF(NOT(ISNUMBER($AN86)),"Sin fecha límite",IF($AN86&lt;FechaRef,"Vencida hace "&amp;(FechaRef-$AN86)&amp;IF(FechaRef-$AN86=1," día"," días"),IF($AN86=FechaRef,"Vence hoy",IF($AN86-FechaRef&lt;=DiasAlerta,"Vence en "&amp;($AN86-FechaRef)&amp;IF($AN86-FechaRef=1," día"," días"),"En plazo")))))))</f>
        <v/>
      </c>
      <c r="P86" s="62" t="n"/>
      <c r="Q86" s="58" t="n"/>
      <c r="R86" s="63">
        <f>IF(NOT((COUNTA($B86:$D86)+COUNTA($G86:$L86)+COUNTA($Q86))&gt;0),"",IF((IF($C86="","Falta el nombre de la actividad"&amp;" · ","")&amp;IF(AND($V86="Sub",N($U86)=0),"Subactividad sin macroactividad arriba"&amp;" · ","")&amp;IF($AM86="","Sin fecha de inicio"&amp;" · ","")&amp;IF($AN86="","Sin fecha límite"&amp;" · ","")&amp;IF(AND(LEFT($C86,11)="[Jefatura] ",N($AL86)=0),"No se encuentra en la hoja de la jefatura (elíjala de nuevo en la lista)"&amp;" · ","")&amp;IF(OR(AND($E86&lt;&gt;"",NOT(ISNUMBER($E86))),AND($F86&lt;&gt;"",NOT(ISNUMBER($F86))),AND($G86&lt;&gt;"",NOT(ISNUMBER($G86)))),"Fecha no válida"&amp;" · ","")&amp;IF(AND(ISNUMBER($AM86),ISNUMBER($AN86),$AM86&gt;$AN86),"Inicio posterior a fecha límite"&amp;" · ","")&amp;IF(AND($V86="Macro",$H86&lt;&gt;"",OR(NOT(ISNUMBER($H86)),$H86&lt;0,$H86&gt;1)),"Peso fuera de rango"&amp;" · ","")&amp;IF(AND($V86="Sub",$H86&lt;&gt;""),"Las subactividades no llevan peso (valen igual dentro de su macroactividad)"&amp;" · ","")&amp;IF(AND(N($W86)&gt;0,COUNT($I86:$L86)&gt;0),"Con subactividades: deje vacías las semanas (se calculan solas)"&amp;" · ","")&amp;IF((COUNTIF($I86:$L86,"&gt;1")+COUNTIF($I86:$L86,"&lt;0")+COUNTA($I86:$L86)-COUNT($I86:$L86))&gt;0,"Avance fuera de rango 0-100%"&amp;" · ","")&amp;IF(OR(AND($J86&lt;&gt;"",$J86&lt;$I86),AND($K86&lt;&gt;"",$K86&lt;MAX($I86:$J86)),AND($L86&lt;&gt;"",$L86&lt;MAX($I86:$K86))),"Avance semanal decreciente"&amp;" · ","")&amp;IF(AND(ISNUMBER($AN86),$AN86&lt;FechaRef,IF($V86="Sub",N($X86),N($M86))&lt;1),"Vencida"&amp;" · ","")&amp;IF(AND(ObsObligatoria="Sí",ISNUMBER($AN86),$AN86&lt;FechaRef,IF($V86="Sub",N($X86),N($M86))&lt;1,$Q86=""),"Vencida sin observación"&amp;" · ",""))="","✔ OK","⚠ "&amp;LEFT(IF($C86="","Falta el nombre de la actividad"&amp;" · ","")&amp;IF(AND($V86="Sub",N($U86)=0),"Subactividad sin macroactividad arriba"&amp;" · ","")&amp;IF($AM86="","Sin fecha de inicio"&amp;" · ","")&amp;IF($AN86="","Sin fecha límite"&amp;" · ","")&amp;IF(AND(LEFT($C86,11)="[Jefatura] ",N($AL86)=0),"No se encuentra en la hoja de la jefatura (elíjala de nuevo en la lista)"&amp;" · ","")&amp;IF(OR(AND($E86&lt;&gt;"",NOT(ISNUMBER($E86))),AND($F86&lt;&gt;"",NOT(ISNUMBER($F86))),AND($G86&lt;&gt;"",NOT(ISNUMBER($G86)))),"Fecha no válida"&amp;" · ","")&amp;IF(AND(ISNUMBER($AM86),ISNUMBER($AN86),$AM86&gt;$AN86),"Inicio posterior a fecha límite"&amp;" · ","")&amp;IF(AND($V86="Macro",$H86&lt;&gt;"",OR(NOT(ISNUMBER($H86)),$H86&lt;0,$H86&gt;1)),"Peso fuera de rango"&amp;" · ","")&amp;IF(AND($V86="Sub",$H86&lt;&gt;""),"Las subactividades no llevan peso (valen igual dentro de su macroactividad)"&amp;" · ","")&amp;IF(AND(N($W86)&gt;0,COUNT($I86:$L86)&gt;0),"Con subactividades: deje vacías las semanas (se calculan solas)"&amp;" · ","")&amp;IF((COUNTIF($I86:$L86,"&gt;1")+COUNTIF($I86:$L86,"&lt;0")+COUNTA($I86:$L86)-COUNT($I86:$L86))&gt;0,"Avance fuera de rango 0-100%"&amp;" · ","")&amp;IF(OR(AND($J86&lt;&gt;"",$J86&lt;$I86),AND($K86&lt;&gt;"",$K86&lt;MAX($I86:$J86)),AND($L86&lt;&gt;"",$L86&lt;MAX($I86:$K86))),"Avance semanal decreciente"&amp;" · ","")&amp;IF(AND(ISNUMBER($AN86),$AN86&lt;FechaRef,IF($V86="Sub",N($X86),N($M86))&lt;1),"Vencida"&amp;" · ","")&amp;IF(AND(ObsObligatoria="Sí",ISNUMBER($AN86),$AN86&lt;FechaRef,IF($V86="Sub",N($X86),N($M86))&lt;1,$Q86=""),"Vencida sin observación"&amp;" · ",""),LEN(IF($C86="","Falta el nombre de la actividad"&amp;" · ","")&amp;IF(AND($V86="Sub",N($U86)=0),"Subactividad sin macroactividad arriba"&amp;" · ","")&amp;IF($AM86="","Sin fecha de inicio"&amp;" · ","")&amp;IF($AN86="","Sin fecha límite"&amp;" · ","")&amp;IF(AND(LEFT($C86,11)="[Jefatura] ",N($AL86)=0),"No se encuentra en la hoja de la jefatura (elíjala de nuevo en la lista)"&amp;" · ","")&amp;IF(OR(AND($E86&lt;&gt;"",NOT(ISNUMBER($E86))),AND($F86&lt;&gt;"",NOT(ISNUMBER($F86))),AND($G86&lt;&gt;"",NOT(ISNUMBER($G86)))),"Fecha no válida"&amp;" · ","")&amp;IF(AND(ISNUMBER($AM86),ISNUMBER($AN86),$AM86&gt;$AN86),"Inicio posterior a fecha límite"&amp;" · ","")&amp;IF(AND($V86="Macro",$H86&lt;&gt;"",OR(NOT(ISNUMBER($H86)),$H86&lt;0,$H86&gt;1)),"Peso fuera de rango"&amp;" · ","")&amp;IF(AND($V86="Sub",$H86&lt;&gt;""),"Las subactividades no llevan peso (valen igual dentro de su macroactividad)"&amp;" · ","")&amp;IF(AND(N($W86)&gt;0,COUNT($I86:$L86)&gt;0),"Con subactividades: deje vacías las semanas (se calculan solas)"&amp;" · ","")&amp;IF((COUNTIF($I86:$L86,"&gt;1")+COUNTIF($I86:$L86,"&lt;0")+COUNTA($I86:$L86)-COUNT($I86:$L86))&gt;0,"Avance fuera de rango 0-100%"&amp;" · ","")&amp;IF(OR(AND($J86&lt;&gt;"",$J86&lt;$I86),AND($K86&lt;&gt;"",$K86&lt;MAX($I86:$J86)),AND($L86&lt;&gt;"",$L86&lt;MAX($I86:$K86))),"Avance semanal decreciente"&amp;" · ","")&amp;IF(AND(ISNUMBER($AN86),$AN86&lt;FechaRef,IF($V86="Sub",N($X86),N($M86))&lt;1),"Vencida"&amp;" · ","")&amp;IF(AND(ObsObligatoria="Sí",ISNUMBER($AN86),$AN86&lt;FechaRef,IF($V86="Sub",N($X86),N($M86))&lt;1,$Q86=""),"Vencida sin observación"&amp;" · ",""))-3)))</f>
        <v/>
      </c>
      <c r="S86" s="64">
        <f>IF(NOT((COUNTA($B86:$D86)+COUNTA($G86:$L86)+COUNTA($Q86))&gt;0),"",IF(AND($V86="Sub",N($U86)&gt;0),IF(ISNUMBER(INDEX($AM$5:$AM$1000,$U86-4)),DATE(YEAR(INDEX($AM$5:$AM$1000,$U86-4)),MONTH(INDEX($AM$5:$AM$1000,$U86-4)),1),IF(ISNUMBER(INDEX($AN$5:$AN$1000,$U86-4)),DATE(YEAR(INDEX($AN$5:$AN$1000,$U86-4)),MONTH(INDEX($AN$5:$AN$1000,$U86-4)),1),MesCiclo)),IF(ISNUMBER($AM86),DATE(YEAR($AM86),MONTH($AM86),1),IF(ISNUMBER($AN86),DATE(YEAR($AN86),MONTH($AN86),1),MesCiclo))))</f>
        <v/>
      </c>
      <c r="T86" s="62">
        <f>IF(OR($S86="",$S86&lt;&gt;MesCiclo,$V86&lt;&gt;"Macro"),"",COUNTIFS($S$5:$S86,MesCiclo,$V$5:$V86,"Macro"))</f>
        <v/>
      </c>
      <c r="U86" s="62">
        <f>IF($V86="","",IF($V86="Macro",ROW(),IFERROR(LOOKUP(2,1/($V$5:$V86="Macro"),ROW($V$5:$V86)),0)))</f>
        <v/>
      </c>
      <c r="V86" s="62">
        <f>IF(NOT((COUNTA($B86:$D86)+COUNTA($G86:$L86)+COUNTA($Q86))&gt;0),"",IF($B86="Subactividad","Sub","Macro"))</f>
        <v/>
      </c>
      <c r="W86" s="62">
        <f>IF($V86="Macro",COUNTIFS($U$5:$U$1000,ROW(),$V$5:$V$1000,"Sub"),"")</f>
        <v/>
      </c>
      <c r="X86" s="62">
        <f>IF($V86="","",IF(ISNUMBER($G86),1,IFERROR(LOOKUP(2,1/($I86:$L86&lt;&gt;""),$I86:$L86),0)))</f>
        <v/>
      </c>
      <c r="Y86" s="62">
        <f>IF($V86="","",IF(AND(ISNUMBER($G86),$G86&lt;=IF($S86=MesCiclo,InicioCiclo,$S86+MOD(2-WEEKDAY($S86),7))+6),1,IF(ISNUMBER($I86),$I86,0)))</f>
        <v/>
      </c>
      <c r="Z86" s="62">
        <f>IF($V86="","",IF(AND(ISNUMBER($G86),$G86&lt;=IF($S86=MesCiclo,InicioCiclo,$S86+MOD(2-WEEKDAY($S86),7))+13),1,IF(ISNUMBER($J86),$J86,$Y86)))</f>
        <v/>
      </c>
      <c r="AA86" s="62">
        <f>IF($V86="","",IF(AND(ISNUMBER($G86),$G86&lt;=IF($S86=MesCiclo,InicioCiclo,$S86+MOD(2-WEEKDAY($S86),7))+20),1,IF(ISNUMBER($K86),$K86,$Z86)))</f>
        <v/>
      </c>
      <c r="AB86" s="62">
        <f>IF($V86="","",IF(AND(ISNUMBER($G86),$G86&lt;=IF($S86=MesCiclo,InicioCiclo,$S86+MOD(2-WEEKDAY($S86),7))+27),1,IF(ISNUMBER($L86),$L86,$AA86)))</f>
        <v/>
      </c>
      <c r="AC86" s="62">
        <f>IF($V86="","",IF(AND(ISNUMBER($G86),$G86&lt;=IF($S86=MesCiclo,InicioCiclo,$S86+MOD(2-WEEKDAY($S86),7))+6),1,IF(N($W86)&gt;0,AVERAGEIFS($Y$5:$Y$1000,$U$5:$U$1000,ROW(),$V$5:$V$1000,"Sub"),$Y86)))</f>
        <v/>
      </c>
      <c r="AD86" s="62">
        <f>IF($V86="","",IF(AND(ISNUMBER($G86),$G86&lt;=IF($S86=MesCiclo,InicioCiclo,$S86+MOD(2-WEEKDAY($S86),7))+13),1,IF(N($W86)&gt;0,AVERAGEIFS($Z$5:$Z$1000,$U$5:$U$1000,ROW(),$V$5:$V$1000,"Sub"),$Z86)))</f>
        <v/>
      </c>
      <c r="AE86" s="62">
        <f>IF($V86="","",IF(AND(ISNUMBER($G86),$G86&lt;=IF($S86=MesCiclo,InicioCiclo,$S86+MOD(2-WEEKDAY($S86),7))+20),1,IF(N($W86)&gt;0,AVERAGEIFS($AA$5:$AA$1000,$U$5:$U$1000,ROW(),$V$5:$V$1000,"Sub"),$AA86)))</f>
        <v/>
      </c>
      <c r="AF86" s="62">
        <f>IF($V86="","",IF(AND(ISNUMBER($G86),$G86&lt;=IF($S86=MesCiclo,InicioCiclo,$S86+MOD(2-WEEKDAY($S86),7))+27),1,IF(N($W86)&gt;0,AVERAGEIFS($AB$5:$AB$1000,$U$5:$U$1000,ROW(),$V$5:$V$1000,"Sub"),$AB86)))</f>
        <v/>
      </c>
      <c r="AG86" s="62">
        <f>IF($V86&lt;&gt;"Macro","",IF(COUNTIFS($S$5:$S$1000,$S86,$V$5:$V$1000,"Macro",$H$5:$H$1000,"&gt;0")=0,1/COUNTIFS($S$5:$S$1000,$S86,$V$5:$V$1000,"Macro"),IF(AND(ISNUMBER($H86),N($H86)&gt;0),$H86,SUMIFS($H$5:$H$1000,$S$5:$S$1000,$S86,$V$5:$V$1000,"Macro")/COUNTIFS($S$5:$S$1000,$S86,$V$5:$V$1000,"Macro",$H$5:$H$1000,"&gt;0"))/(COUNTIFS($S$5:$S$1000,$S86,$V$5:$V$1000,"Macro")*SUMIFS($H$5:$H$1000,$S$5:$S$1000,$S86,$V$5:$V$1000,"Macro")/COUNTIFS($S$5:$S$1000,$S86,$V$5:$V$1000,"Macro",$H$5:$H$1000,"&gt;0"))))</f>
        <v/>
      </c>
      <c r="AH86" s="62" t="n"/>
      <c r="AI86" s="62" t="n"/>
      <c r="AJ86" s="62" t="n"/>
      <c r="AK86" s="62" t="n"/>
      <c r="AL86" s="62">
        <f>IF(LEFT($C86,11)="[Jefatura] ",IFERROR(MATCH("Riesgo Normativo|"&amp;MID($C86,12,500),rDname_ADM,0),0),"")</f>
        <v/>
      </c>
      <c r="AM86" s="62">
        <f>IF(N($AL86)&gt;0,INDEX(rIni_ADM,$AL86),IF(ISNUMBER($E86),$E86,""))</f>
        <v/>
      </c>
      <c r="AN86" s="62">
        <f>IF(N($AL86)&gt;0,INDEX(rLim_ADM,$AL86),IF(ISNUMBER($F86),$F86,""))</f>
        <v/>
      </c>
    </row>
    <row r="87">
      <c r="A87" s="56">
        <f>IF(NOT((COUNTA($B87:$D87)+COUNTA($G87:$L87)+COUNTA($Q87))&gt;0),"",IF($V87="Macro",COUNTIFS($V$5:$V87,"Macro",$S$5:$S87,$S87),IF(N($U87)=0,"?",COUNTIFS(INDEX($V$5:$V$1000,1):INDEX($V$5:$V$1000,$U87-4),"Macro",INDEX($S$5:$S$1000,1):INDEX($S$5:$S$1000,$U87-4),INDEX($S$5:$S$1000,$U87-4))&amp;"."&amp;COUNTIFS($U$5:$U87,$U87,$V$5:$V87,"Sub"))))</f>
        <v/>
      </c>
      <c r="B87" s="57" t="n"/>
      <c r="C87" s="58" t="n"/>
      <c r="D87" s="58" t="n"/>
      <c r="E87" s="59">
        <f>IF(N($AL87)&gt;0,INDEX(rIni_ADM,$AL87),"")</f>
        <v/>
      </c>
      <c r="F87" s="59">
        <f>IF(N($AL87)&gt;0,INDEX(rLim_ADM,$AL87),"")</f>
        <v/>
      </c>
      <c r="G87" s="59" t="n"/>
      <c r="H87" s="60" t="n"/>
      <c r="I87" s="60" t="n"/>
      <c r="J87" s="60" t="n"/>
      <c r="K87" s="60" t="n"/>
      <c r="L87" s="60" t="n"/>
      <c r="M87" s="61">
        <f>IF(NOT((COUNTA($B87:$D87)+COUNTA($G87:$L87)+COUNTA($Q87))&gt;0),"",IF($V87="Sub",IFERROR($X87/INDEX($W$5:$W$1000,$U87-4),""),IF(ISNUMBER($G87),1,IF(N($W87)&gt;0,AVERAGEIFS($X$5:$X$1000,$U$5:$U$1000,ROW(),$V$5:$V$1000,"Sub"),$X87))))</f>
        <v/>
      </c>
      <c r="N87" s="56">
        <f>IF(OR($M87="",$V87="Sub"),"",IF($M87&gt;=1,"Completado",IF($M87&gt;0,"En curso","Pendiente")))</f>
        <v/>
      </c>
      <c r="O87" s="56">
        <f>IF(OR(NOT((COUNTA($B87:$D87)+COUNTA($G87:$L87)+COUNTA($Q87))&gt;0),$V87="Sub"),"",IF(ISNUMBER($G87),IF(AND(ISNUMBER($AN87),$G87&gt;$AN87),"Cumplida con "&amp;($G87-$AN87)&amp;IF($G87-$AN87=1," día"," días")&amp;" de retraso","Cumplida"),IF(N($M87)&gt;=1,"Cumplida",IF(NOT(ISNUMBER($AN87)),"Sin fecha límite",IF($AN87&lt;FechaRef,"Vencida hace "&amp;(FechaRef-$AN87)&amp;IF(FechaRef-$AN87=1," día"," días"),IF($AN87=FechaRef,"Vence hoy",IF($AN87-FechaRef&lt;=DiasAlerta,"Vence en "&amp;($AN87-FechaRef)&amp;IF($AN87-FechaRef=1," día"," días"),"En plazo")))))))</f>
        <v/>
      </c>
      <c r="P87" s="62" t="n"/>
      <c r="Q87" s="58" t="n"/>
      <c r="R87" s="63">
        <f>IF(NOT((COUNTA($B87:$D87)+COUNTA($G87:$L87)+COUNTA($Q87))&gt;0),"",IF((IF($C87="","Falta el nombre de la actividad"&amp;" · ","")&amp;IF(AND($V87="Sub",N($U87)=0),"Subactividad sin macroactividad arriba"&amp;" · ","")&amp;IF($AM87="","Sin fecha de inicio"&amp;" · ","")&amp;IF($AN87="","Sin fecha límite"&amp;" · ","")&amp;IF(AND(LEFT($C87,11)="[Jefatura] ",N($AL87)=0),"No se encuentra en la hoja de la jefatura (elíjala de nuevo en la lista)"&amp;" · ","")&amp;IF(OR(AND($E87&lt;&gt;"",NOT(ISNUMBER($E87))),AND($F87&lt;&gt;"",NOT(ISNUMBER($F87))),AND($G87&lt;&gt;"",NOT(ISNUMBER($G87)))),"Fecha no válida"&amp;" · ","")&amp;IF(AND(ISNUMBER($AM87),ISNUMBER($AN87),$AM87&gt;$AN87),"Inicio posterior a fecha límite"&amp;" · ","")&amp;IF(AND($V87="Macro",$H87&lt;&gt;"",OR(NOT(ISNUMBER($H87)),$H87&lt;0,$H87&gt;1)),"Peso fuera de rango"&amp;" · ","")&amp;IF(AND($V87="Sub",$H87&lt;&gt;""),"Las subactividades no llevan peso (valen igual dentro de su macroactividad)"&amp;" · ","")&amp;IF(AND(N($W87)&gt;0,COUNT($I87:$L87)&gt;0),"Con subactividades: deje vacías las semanas (se calculan solas)"&amp;" · ","")&amp;IF((COUNTIF($I87:$L87,"&gt;1")+COUNTIF($I87:$L87,"&lt;0")+COUNTA($I87:$L87)-COUNT($I87:$L87))&gt;0,"Avance fuera de rango 0-100%"&amp;" · ","")&amp;IF(OR(AND($J87&lt;&gt;"",$J87&lt;$I87),AND($K87&lt;&gt;"",$K87&lt;MAX($I87:$J87)),AND($L87&lt;&gt;"",$L87&lt;MAX($I87:$K87))),"Avance semanal decreciente"&amp;" · ","")&amp;IF(AND(ISNUMBER($AN87),$AN87&lt;FechaRef,IF($V87="Sub",N($X87),N($M87))&lt;1),"Vencida"&amp;" · ","")&amp;IF(AND(ObsObligatoria="Sí",ISNUMBER($AN87),$AN87&lt;FechaRef,IF($V87="Sub",N($X87),N($M87))&lt;1,$Q87=""),"Vencida sin observación"&amp;" · ",""))="","✔ OK","⚠ "&amp;LEFT(IF($C87="","Falta el nombre de la actividad"&amp;" · ","")&amp;IF(AND($V87="Sub",N($U87)=0),"Subactividad sin macroactividad arriba"&amp;" · ","")&amp;IF($AM87="","Sin fecha de inicio"&amp;" · ","")&amp;IF($AN87="","Sin fecha límite"&amp;" · ","")&amp;IF(AND(LEFT($C87,11)="[Jefatura] ",N($AL87)=0),"No se encuentra en la hoja de la jefatura (elíjala de nuevo en la lista)"&amp;" · ","")&amp;IF(OR(AND($E87&lt;&gt;"",NOT(ISNUMBER($E87))),AND($F87&lt;&gt;"",NOT(ISNUMBER($F87))),AND($G87&lt;&gt;"",NOT(ISNUMBER($G87)))),"Fecha no válida"&amp;" · ","")&amp;IF(AND(ISNUMBER($AM87),ISNUMBER($AN87),$AM87&gt;$AN87),"Inicio posterior a fecha límite"&amp;" · ","")&amp;IF(AND($V87="Macro",$H87&lt;&gt;"",OR(NOT(ISNUMBER($H87)),$H87&lt;0,$H87&gt;1)),"Peso fuera de rango"&amp;" · ","")&amp;IF(AND($V87="Sub",$H87&lt;&gt;""),"Las subactividades no llevan peso (valen igual dentro de su macroactividad)"&amp;" · ","")&amp;IF(AND(N($W87)&gt;0,COUNT($I87:$L87)&gt;0),"Con subactividades: deje vacías las semanas (se calculan solas)"&amp;" · ","")&amp;IF((COUNTIF($I87:$L87,"&gt;1")+COUNTIF($I87:$L87,"&lt;0")+COUNTA($I87:$L87)-COUNT($I87:$L87))&gt;0,"Avance fuera de rango 0-100%"&amp;" · ","")&amp;IF(OR(AND($J87&lt;&gt;"",$J87&lt;$I87),AND($K87&lt;&gt;"",$K87&lt;MAX($I87:$J87)),AND($L87&lt;&gt;"",$L87&lt;MAX($I87:$K87))),"Avance semanal decreciente"&amp;" · ","")&amp;IF(AND(ISNUMBER($AN87),$AN87&lt;FechaRef,IF($V87="Sub",N($X87),N($M87))&lt;1),"Vencida"&amp;" · ","")&amp;IF(AND(ObsObligatoria="Sí",ISNUMBER($AN87),$AN87&lt;FechaRef,IF($V87="Sub",N($X87),N($M87))&lt;1,$Q87=""),"Vencida sin observación"&amp;" · ",""),LEN(IF($C87="","Falta el nombre de la actividad"&amp;" · ","")&amp;IF(AND($V87="Sub",N($U87)=0),"Subactividad sin macroactividad arriba"&amp;" · ","")&amp;IF($AM87="","Sin fecha de inicio"&amp;" · ","")&amp;IF($AN87="","Sin fecha límite"&amp;" · ","")&amp;IF(AND(LEFT($C87,11)="[Jefatura] ",N($AL87)=0),"No se encuentra en la hoja de la jefatura (elíjala de nuevo en la lista)"&amp;" · ","")&amp;IF(OR(AND($E87&lt;&gt;"",NOT(ISNUMBER($E87))),AND($F87&lt;&gt;"",NOT(ISNUMBER($F87))),AND($G87&lt;&gt;"",NOT(ISNUMBER($G87)))),"Fecha no válida"&amp;" · ","")&amp;IF(AND(ISNUMBER($AM87),ISNUMBER($AN87),$AM87&gt;$AN87),"Inicio posterior a fecha límite"&amp;" · ","")&amp;IF(AND($V87="Macro",$H87&lt;&gt;"",OR(NOT(ISNUMBER($H87)),$H87&lt;0,$H87&gt;1)),"Peso fuera de rango"&amp;" · ","")&amp;IF(AND($V87="Sub",$H87&lt;&gt;""),"Las subactividades no llevan peso (valen igual dentro de su macroactividad)"&amp;" · ","")&amp;IF(AND(N($W87)&gt;0,COUNT($I87:$L87)&gt;0),"Con subactividades: deje vacías las semanas (se calculan solas)"&amp;" · ","")&amp;IF((COUNTIF($I87:$L87,"&gt;1")+COUNTIF($I87:$L87,"&lt;0")+COUNTA($I87:$L87)-COUNT($I87:$L87))&gt;0,"Avance fuera de rango 0-100%"&amp;" · ","")&amp;IF(OR(AND($J87&lt;&gt;"",$J87&lt;$I87),AND($K87&lt;&gt;"",$K87&lt;MAX($I87:$J87)),AND($L87&lt;&gt;"",$L87&lt;MAX($I87:$K87))),"Avance semanal decreciente"&amp;" · ","")&amp;IF(AND(ISNUMBER($AN87),$AN87&lt;FechaRef,IF($V87="Sub",N($X87),N($M87))&lt;1),"Vencida"&amp;" · ","")&amp;IF(AND(ObsObligatoria="Sí",ISNUMBER($AN87),$AN87&lt;FechaRef,IF($V87="Sub",N($X87),N($M87))&lt;1,$Q87=""),"Vencida sin observación"&amp;" · ",""))-3)))</f>
        <v/>
      </c>
      <c r="S87" s="64">
        <f>IF(NOT((COUNTA($B87:$D87)+COUNTA($G87:$L87)+COUNTA($Q87))&gt;0),"",IF(AND($V87="Sub",N($U87)&gt;0),IF(ISNUMBER(INDEX($AM$5:$AM$1000,$U87-4)),DATE(YEAR(INDEX($AM$5:$AM$1000,$U87-4)),MONTH(INDEX($AM$5:$AM$1000,$U87-4)),1),IF(ISNUMBER(INDEX($AN$5:$AN$1000,$U87-4)),DATE(YEAR(INDEX($AN$5:$AN$1000,$U87-4)),MONTH(INDEX($AN$5:$AN$1000,$U87-4)),1),MesCiclo)),IF(ISNUMBER($AM87),DATE(YEAR($AM87),MONTH($AM87),1),IF(ISNUMBER($AN87),DATE(YEAR($AN87),MONTH($AN87),1),MesCiclo))))</f>
        <v/>
      </c>
      <c r="T87" s="62">
        <f>IF(OR($S87="",$S87&lt;&gt;MesCiclo,$V87&lt;&gt;"Macro"),"",COUNTIFS($S$5:$S87,MesCiclo,$V$5:$V87,"Macro"))</f>
        <v/>
      </c>
      <c r="U87" s="62">
        <f>IF($V87="","",IF($V87="Macro",ROW(),IFERROR(LOOKUP(2,1/($V$5:$V87="Macro"),ROW($V$5:$V87)),0)))</f>
        <v/>
      </c>
      <c r="V87" s="62">
        <f>IF(NOT((COUNTA($B87:$D87)+COUNTA($G87:$L87)+COUNTA($Q87))&gt;0),"",IF($B87="Subactividad","Sub","Macro"))</f>
        <v/>
      </c>
      <c r="W87" s="62">
        <f>IF($V87="Macro",COUNTIFS($U$5:$U$1000,ROW(),$V$5:$V$1000,"Sub"),"")</f>
        <v/>
      </c>
      <c r="X87" s="62">
        <f>IF($V87="","",IF(ISNUMBER($G87),1,IFERROR(LOOKUP(2,1/($I87:$L87&lt;&gt;""),$I87:$L87),0)))</f>
        <v/>
      </c>
      <c r="Y87" s="62">
        <f>IF($V87="","",IF(AND(ISNUMBER($G87),$G87&lt;=IF($S87=MesCiclo,InicioCiclo,$S87+MOD(2-WEEKDAY($S87),7))+6),1,IF(ISNUMBER($I87),$I87,0)))</f>
        <v/>
      </c>
      <c r="Z87" s="62">
        <f>IF($V87="","",IF(AND(ISNUMBER($G87),$G87&lt;=IF($S87=MesCiclo,InicioCiclo,$S87+MOD(2-WEEKDAY($S87),7))+13),1,IF(ISNUMBER($J87),$J87,$Y87)))</f>
        <v/>
      </c>
      <c r="AA87" s="62">
        <f>IF($V87="","",IF(AND(ISNUMBER($G87),$G87&lt;=IF($S87=MesCiclo,InicioCiclo,$S87+MOD(2-WEEKDAY($S87),7))+20),1,IF(ISNUMBER($K87),$K87,$Z87)))</f>
        <v/>
      </c>
      <c r="AB87" s="62">
        <f>IF($V87="","",IF(AND(ISNUMBER($G87),$G87&lt;=IF($S87=MesCiclo,InicioCiclo,$S87+MOD(2-WEEKDAY($S87),7))+27),1,IF(ISNUMBER($L87),$L87,$AA87)))</f>
        <v/>
      </c>
      <c r="AC87" s="62">
        <f>IF($V87="","",IF(AND(ISNUMBER($G87),$G87&lt;=IF($S87=MesCiclo,InicioCiclo,$S87+MOD(2-WEEKDAY($S87),7))+6),1,IF(N($W87)&gt;0,AVERAGEIFS($Y$5:$Y$1000,$U$5:$U$1000,ROW(),$V$5:$V$1000,"Sub"),$Y87)))</f>
        <v/>
      </c>
      <c r="AD87" s="62">
        <f>IF($V87="","",IF(AND(ISNUMBER($G87),$G87&lt;=IF($S87=MesCiclo,InicioCiclo,$S87+MOD(2-WEEKDAY($S87),7))+13),1,IF(N($W87)&gt;0,AVERAGEIFS($Z$5:$Z$1000,$U$5:$U$1000,ROW(),$V$5:$V$1000,"Sub"),$Z87)))</f>
        <v/>
      </c>
      <c r="AE87" s="62">
        <f>IF($V87="","",IF(AND(ISNUMBER($G87),$G87&lt;=IF($S87=MesCiclo,InicioCiclo,$S87+MOD(2-WEEKDAY($S87),7))+20),1,IF(N($W87)&gt;0,AVERAGEIFS($AA$5:$AA$1000,$U$5:$U$1000,ROW(),$V$5:$V$1000,"Sub"),$AA87)))</f>
        <v/>
      </c>
      <c r="AF87" s="62">
        <f>IF($V87="","",IF(AND(ISNUMBER($G87),$G87&lt;=IF($S87=MesCiclo,InicioCiclo,$S87+MOD(2-WEEKDAY($S87),7))+27),1,IF(N($W87)&gt;0,AVERAGEIFS($AB$5:$AB$1000,$U$5:$U$1000,ROW(),$V$5:$V$1000,"Sub"),$AB87)))</f>
        <v/>
      </c>
      <c r="AG87" s="62">
        <f>IF($V87&lt;&gt;"Macro","",IF(COUNTIFS($S$5:$S$1000,$S87,$V$5:$V$1000,"Macro",$H$5:$H$1000,"&gt;0")=0,1/COUNTIFS($S$5:$S$1000,$S87,$V$5:$V$1000,"Macro"),IF(AND(ISNUMBER($H87),N($H87)&gt;0),$H87,SUMIFS($H$5:$H$1000,$S$5:$S$1000,$S87,$V$5:$V$1000,"Macro")/COUNTIFS($S$5:$S$1000,$S87,$V$5:$V$1000,"Macro",$H$5:$H$1000,"&gt;0"))/(COUNTIFS($S$5:$S$1000,$S87,$V$5:$V$1000,"Macro")*SUMIFS($H$5:$H$1000,$S$5:$S$1000,$S87,$V$5:$V$1000,"Macro")/COUNTIFS($S$5:$S$1000,$S87,$V$5:$V$1000,"Macro",$H$5:$H$1000,"&gt;0"))))</f>
        <v/>
      </c>
      <c r="AH87" s="62" t="n"/>
      <c r="AI87" s="62" t="n"/>
      <c r="AJ87" s="62" t="n"/>
      <c r="AK87" s="62" t="n"/>
      <c r="AL87" s="62">
        <f>IF(LEFT($C87,11)="[Jefatura] ",IFERROR(MATCH("Riesgo Normativo|"&amp;MID($C87,12,500),rDname_ADM,0),0),"")</f>
        <v/>
      </c>
      <c r="AM87" s="62">
        <f>IF(N($AL87)&gt;0,INDEX(rIni_ADM,$AL87),IF(ISNUMBER($E87),$E87,""))</f>
        <v/>
      </c>
      <c r="AN87" s="62">
        <f>IF(N($AL87)&gt;0,INDEX(rLim_ADM,$AL87),IF(ISNUMBER($F87),$F87,""))</f>
        <v/>
      </c>
    </row>
    <row r="88">
      <c r="A88" s="56">
        <f>IF(NOT((COUNTA($B88:$D88)+COUNTA($G88:$L88)+COUNTA($Q88))&gt;0),"",IF($V88="Macro",COUNTIFS($V$5:$V88,"Macro",$S$5:$S88,$S88),IF(N($U88)=0,"?",COUNTIFS(INDEX($V$5:$V$1000,1):INDEX($V$5:$V$1000,$U88-4),"Macro",INDEX($S$5:$S$1000,1):INDEX($S$5:$S$1000,$U88-4),INDEX($S$5:$S$1000,$U88-4))&amp;"."&amp;COUNTIFS($U$5:$U88,$U88,$V$5:$V88,"Sub"))))</f>
        <v/>
      </c>
      <c r="B88" s="57" t="n"/>
      <c r="C88" s="58" t="n"/>
      <c r="D88" s="58" t="n"/>
      <c r="E88" s="59">
        <f>IF(N($AL88)&gt;0,INDEX(rIni_ADM,$AL88),"")</f>
        <v/>
      </c>
      <c r="F88" s="59">
        <f>IF(N($AL88)&gt;0,INDEX(rLim_ADM,$AL88),"")</f>
        <v/>
      </c>
      <c r="G88" s="59" t="n"/>
      <c r="H88" s="60" t="n"/>
      <c r="I88" s="60" t="n"/>
      <c r="J88" s="60" t="n"/>
      <c r="K88" s="60" t="n"/>
      <c r="L88" s="60" t="n"/>
      <c r="M88" s="61">
        <f>IF(NOT((COUNTA($B88:$D88)+COUNTA($G88:$L88)+COUNTA($Q88))&gt;0),"",IF($V88="Sub",IFERROR($X88/INDEX($W$5:$W$1000,$U88-4),""),IF(ISNUMBER($G88),1,IF(N($W88)&gt;0,AVERAGEIFS($X$5:$X$1000,$U$5:$U$1000,ROW(),$V$5:$V$1000,"Sub"),$X88))))</f>
        <v/>
      </c>
      <c r="N88" s="56">
        <f>IF(OR($M88="",$V88="Sub"),"",IF($M88&gt;=1,"Completado",IF($M88&gt;0,"En curso","Pendiente")))</f>
        <v/>
      </c>
      <c r="O88" s="56">
        <f>IF(OR(NOT((COUNTA($B88:$D88)+COUNTA($G88:$L88)+COUNTA($Q88))&gt;0),$V88="Sub"),"",IF(ISNUMBER($G88),IF(AND(ISNUMBER($AN88),$G88&gt;$AN88),"Cumplida con "&amp;($G88-$AN88)&amp;IF($G88-$AN88=1," día"," días")&amp;" de retraso","Cumplida"),IF(N($M88)&gt;=1,"Cumplida",IF(NOT(ISNUMBER($AN88)),"Sin fecha límite",IF($AN88&lt;FechaRef,"Vencida hace "&amp;(FechaRef-$AN88)&amp;IF(FechaRef-$AN88=1," día"," días"),IF($AN88=FechaRef,"Vence hoy",IF($AN88-FechaRef&lt;=DiasAlerta,"Vence en "&amp;($AN88-FechaRef)&amp;IF($AN88-FechaRef=1," día"," días"),"En plazo")))))))</f>
        <v/>
      </c>
      <c r="P88" s="62" t="n"/>
      <c r="Q88" s="58" t="n"/>
      <c r="R88" s="63">
        <f>IF(NOT((COUNTA($B88:$D88)+COUNTA($G88:$L88)+COUNTA($Q88))&gt;0),"",IF((IF($C88="","Falta el nombre de la actividad"&amp;" · ","")&amp;IF(AND($V88="Sub",N($U88)=0),"Subactividad sin macroactividad arriba"&amp;" · ","")&amp;IF($AM88="","Sin fecha de inicio"&amp;" · ","")&amp;IF($AN88="","Sin fecha límite"&amp;" · ","")&amp;IF(AND(LEFT($C88,11)="[Jefatura] ",N($AL88)=0),"No se encuentra en la hoja de la jefatura (elíjala de nuevo en la lista)"&amp;" · ","")&amp;IF(OR(AND($E88&lt;&gt;"",NOT(ISNUMBER($E88))),AND($F88&lt;&gt;"",NOT(ISNUMBER($F88))),AND($G88&lt;&gt;"",NOT(ISNUMBER($G88)))),"Fecha no válida"&amp;" · ","")&amp;IF(AND(ISNUMBER($AM88),ISNUMBER($AN88),$AM88&gt;$AN88),"Inicio posterior a fecha límite"&amp;" · ","")&amp;IF(AND($V88="Macro",$H88&lt;&gt;"",OR(NOT(ISNUMBER($H88)),$H88&lt;0,$H88&gt;1)),"Peso fuera de rango"&amp;" · ","")&amp;IF(AND($V88="Sub",$H88&lt;&gt;""),"Las subactividades no llevan peso (valen igual dentro de su macroactividad)"&amp;" · ","")&amp;IF(AND(N($W88)&gt;0,COUNT($I88:$L88)&gt;0),"Con subactividades: deje vacías las semanas (se calculan solas)"&amp;" · ","")&amp;IF((COUNTIF($I88:$L88,"&gt;1")+COUNTIF($I88:$L88,"&lt;0")+COUNTA($I88:$L88)-COUNT($I88:$L88))&gt;0,"Avance fuera de rango 0-100%"&amp;" · ","")&amp;IF(OR(AND($J88&lt;&gt;"",$J88&lt;$I88),AND($K88&lt;&gt;"",$K88&lt;MAX($I88:$J88)),AND($L88&lt;&gt;"",$L88&lt;MAX($I88:$K88))),"Avance semanal decreciente"&amp;" · ","")&amp;IF(AND(ISNUMBER($AN88),$AN88&lt;FechaRef,IF($V88="Sub",N($X88),N($M88))&lt;1),"Vencida"&amp;" · ","")&amp;IF(AND(ObsObligatoria="Sí",ISNUMBER($AN88),$AN88&lt;FechaRef,IF($V88="Sub",N($X88),N($M88))&lt;1,$Q88=""),"Vencida sin observación"&amp;" · ",""))="","✔ OK","⚠ "&amp;LEFT(IF($C88="","Falta el nombre de la actividad"&amp;" · ","")&amp;IF(AND($V88="Sub",N($U88)=0),"Subactividad sin macroactividad arriba"&amp;" · ","")&amp;IF($AM88="","Sin fecha de inicio"&amp;" · ","")&amp;IF($AN88="","Sin fecha límite"&amp;" · ","")&amp;IF(AND(LEFT($C88,11)="[Jefatura] ",N($AL88)=0),"No se encuentra en la hoja de la jefatura (elíjala de nuevo en la lista)"&amp;" · ","")&amp;IF(OR(AND($E88&lt;&gt;"",NOT(ISNUMBER($E88))),AND($F88&lt;&gt;"",NOT(ISNUMBER($F88))),AND($G88&lt;&gt;"",NOT(ISNUMBER($G88)))),"Fecha no válida"&amp;" · ","")&amp;IF(AND(ISNUMBER($AM88),ISNUMBER($AN88),$AM88&gt;$AN88),"Inicio posterior a fecha límite"&amp;" · ","")&amp;IF(AND($V88="Macro",$H88&lt;&gt;"",OR(NOT(ISNUMBER($H88)),$H88&lt;0,$H88&gt;1)),"Peso fuera de rango"&amp;" · ","")&amp;IF(AND($V88="Sub",$H88&lt;&gt;""),"Las subactividades no llevan peso (valen igual dentro de su macroactividad)"&amp;" · ","")&amp;IF(AND(N($W88)&gt;0,COUNT($I88:$L88)&gt;0),"Con subactividades: deje vacías las semanas (se calculan solas)"&amp;" · ","")&amp;IF((COUNTIF($I88:$L88,"&gt;1")+COUNTIF($I88:$L88,"&lt;0")+COUNTA($I88:$L88)-COUNT($I88:$L88))&gt;0,"Avance fuera de rango 0-100%"&amp;" · ","")&amp;IF(OR(AND($J88&lt;&gt;"",$J88&lt;$I88),AND($K88&lt;&gt;"",$K88&lt;MAX($I88:$J88)),AND($L88&lt;&gt;"",$L88&lt;MAX($I88:$K88))),"Avance semanal decreciente"&amp;" · ","")&amp;IF(AND(ISNUMBER($AN88),$AN88&lt;FechaRef,IF($V88="Sub",N($X88),N($M88))&lt;1),"Vencida"&amp;" · ","")&amp;IF(AND(ObsObligatoria="Sí",ISNUMBER($AN88),$AN88&lt;FechaRef,IF($V88="Sub",N($X88),N($M88))&lt;1,$Q88=""),"Vencida sin observación"&amp;" · ",""),LEN(IF($C88="","Falta el nombre de la actividad"&amp;" · ","")&amp;IF(AND($V88="Sub",N($U88)=0),"Subactividad sin macroactividad arriba"&amp;" · ","")&amp;IF($AM88="","Sin fecha de inicio"&amp;" · ","")&amp;IF($AN88="","Sin fecha límite"&amp;" · ","")&amp;IF(AND(LEFT($C88,11)="[Jefatura] ",N($AL88)=0),"No se encuentra en la hoja de la jefatura (elíjala de nuevo en la lista)"&amp;" · ","")&amp;IF(OR(AND($E88&lt;&gt;"",NOT(ISNUMBER($E88))),AND($F88&lt;&gt;"",NOT(ISNUMBER($F88))),AND($G88&lt;&gt;"",NOT(ISNUMBER($G88)))),"Fecha no válida"&amp;" · ","")&amp;IF(AND(ISNUMBER($AM88),ISNUMBER($AN88),$AM88&gt;$AN88),"Inicio posterior a fecha límite"&amp;" · ","")&amp;IF(AND($V88="Macro",$H88&lt;&gt;"",OR(NOT(ISNUMBER($H88)),$H88&lt;0,$H88&gt;1)),"Peso fuera de rango"&amp;" · ","")&amp;IF(AND($V88="Sub",$H88&lt;&gt;""),"Las subactividades no llevan peso (valen igual dentro de su macroactividad)"&amp;" · ","")&amp;IF(AND(N($W88)&gt;0,COUNT($I88:$L88)&gt;0),"Con subactividades: deje vacías las semanas (se calculan solas)"&amp;" · ","")&amp;IF((COUNTIF($I88:$L88,"&gt;1")+COUNTIF($I88:$L88,"&lt;0")+COUNTA($I88:$L88)-COUNT($I88:$L88))&gt;0,"Avance fuera de rango 0-100%"&amp;" · ","")&amp;IF(OR(AND($J88&lt;&gt;"",$J88&lt;$I88),AND($K88&lt;&gt;"",$K88&lt;MAX($I88:$J88)),AND($L88&lt;&gt;"",$L88&lt;MAX($I88:$K88))),"Avance semanal decreciente"&amp;" · ","")&amp;IF(AND(ISNUMBER($AN88),$AN88&lt;FechaRef,IF($V88="Sub",N($X88),N($M88))&lt;1),"Vencida"&amp;" · ","")&amp;IF(AND(ObsObligatoria="Sí",ISNUMBER($AN88),$AN88&lt;FechaRef,IF($V88="Sub",N($X88),N($M88))&lt;1,$Q88=""),"Vencida sin observación"&amp;" · ",""))-3)))</f>
        <v/>
      </c>
      <c r="S88" s="64">
        <f>IF(NOT((COUNTA($B88:$D88)+COUNTA($G88:$L88)+COUNTA($Q88))&gt;0),"",IF(AND($V88="Sub",N($U88)&gt;0),IF(ISNUMBER(INDEX($AM$5:$AM$1000,$U88-4)),DATE(YEAR(INDEX($AM$5:$AM$1000,$U88-4)),MONTH(INDEX($AM$5:$AM$1000,$U88-4)),1),IF(ISNUMBER(INDEX($AN$5:$AN$1000,$U88-4)),DATE(YEAR(INDEX($AN$5:$AN$1000,$U88-4)),MONTH(INDEX($AN$5:$AN$1000,$U88-4)),1),MesCiclo)),IF(ISNUMBER($AM88),DATE(YEAR($AM88),MONTH($AM88),1),IF(ISNUMBER($AN88),DATE(YEAR($AN88),MONTH($AN88),1),MesCiclo))))</f>
        <v/>
      </c>
      <c r="T88" s="62">
        <f>IF(OR($S88="",$S88&lt;&gt;MesCiclo,$V88&lt;&gt;"Macro"),"",COUNTIFS($S$5:$S88,MesCiclo,$V$5:$V88,"Macro"))</f>
        <v/>
      </c>
      <c r="U88" s="62">
        <f>IF($V88="","",IF($V88="Macro",ROW(),IFERROR(LOOKUP(2,1/($V$5:$V88="Macro"),ROW($V$5:$V88)),0)))</f>
        <v/>
      </c>
      <c r="V88" s="62">
        <f>IF(NOT((COUNTA($B88:$D88)+COUNTA($G88:$L88)+COUNTA($Q88))&gt;0),"",IF($B88="Subactividad","Sub","Macro"))</f>
        <v/>
      </c>
      <c r="W88" s="62">
        <f>IF($V88="Macro",COUNTIFS($U$5:$U$1000,ROW(),$V$5:$V$1000,"Sub"),"")</f>
        <v/>
      </c>
      <c r="X88" s="62">
        <f>IF($V88="","",IF(ISNUMBER($G88),1,IFERROR(LOOKUP(2,1/($I88:$L88&lt;&gt;""),$I88:$L88),0)))</f>
        <v/>
      </c>
      <c r="Y88" s="62">
        <f>IF($V88="","",IF(AND(ISNUMBER($G88),$G88&lt;=IF($S88=MesCiclo,InicioCiclo,$S88+MOD(2-WEEKDAY($S88),7))+6),1,IF(ISNUMBER($I88),$I88,0)))</f>
        <v/>
      </c>
      <c r="Z88" s="62">
        <f>IF($V88="","",IF(AND(ISNUMBER($G88),$G88&lt;=IF($S88=MesCiclo,InicioCiclo,$S88+MOD(2-WEEKDAY($S88),7))+13),1,IF(ISNUMBER($J88),$J88,$Y88)))</f>
        <v/>
      </c>
      <c r="AA88" s="62">
        <f>IF($V88="","",IF(AND(ISNUMBER($G88),$G88&lt;=IF($S88=MesCiclo,InicioCiclo,$S88+MOD(2-WEEKDAY($S88),7))+20),1,IF(ISNUMBER($K88),$K88,$Z88)))</f>
        <v/>
      </c>
      <c r="AB88" s="62">
        <f>IF($V88="","",IF(AND(ISNUMBER($G88),$G88&lt;=IF($S88=MesCiclo,InicioCiclo,$S88+MOD(2-WEEKDAY($S88),7))+27),1,IF(ISNUMBER($L88),$L88,$AA88)))</f>
        <v/>
      </c>
      <c r="AC88" s="62">
        <f>IF($V88="","",IF(AND(ISNUMBER($G88),$G88&lt;=IF($S88=MesCiclo,InicioCiclo,$S88+MOD(2-WEEKDAY($S88),7))+6),1,IF(N($W88)&gt;0,AVERAGEIFS($Y$5:$Y$1000,$U$5:$U$1000,ROW(),$V$5:$V$1000,"Sub"),$Y88)))</f>
        <v/>
      </c>
      <c r="AD88" s="62">
        <f>IF($V88="","",IF(AND(ISNUMBER($G88),$G88&lt;=IF($S88=MesCiclo,InicioCiclo,$S88+MOD(2-WEEKDAY($S88),7))+13),1,IF(N($W88)&gt;0,AVERAGEIFS($Z$5:$Z$1000,$U$5:$U$1000,ROW(),$V$5:$V$1000,"Sub"),$Z88)))</f>
        <v/>
      </c>
      <c r="AE88" s="62">
        <f>IF($V88="","",IF(AND(ISNUMBER($G88),$G88&lt;=IF($S88=MesCiclo,InicioCiclo,$S88+MOD(2-WEEKDAY($S88),7))+20),1,IF(N($W88)&gt;0,AVERAGEIFS($AA$5:$AA$1000,$U$5:$U$1000,ROW(),$V$5:$V$1000,"Sub"),$AA88)))</f>
        <v/>
      </c>
      <c r="AF88" s="62">
        <f>IF($V88="","",IF(AND(ISNUMBER($G88),$G88&lt;=IF($S88=MesCiclo,InicioCiclo,$S88+MOD(2-WEEKDAY($S88),7))+27),1,IF(N($W88)&gt;0,AVERAGEIFS($AB$5:$AB$1000,$U$5:$U$1000,ROW(),$V$5:$V$1000,"Sub"),$AB88)))</f>
        <v/>
      </c>
      <c r="AG88" s="62">
        <f>IF($V88&lt;&gt;"Macro","",IF(COUNTIFS($S$5:$S$1000,$S88,$V$5:$V$1000,"Macro",$H$5:$H$1000,"&gt;0")=0,1/COUNTIFS($S$5:$S$1000,$S88,$V$5:$V$1000,"Macro"),IF(AND(ISNUMBER($H88),N($H88)&gt;0),$H88,SUMIFS($H$5:$H$1000,$S$5:$S$1000,$S88,$V$5:$V$1000,"Macro")/COUNTIFS($S$5:$S$1000,$S88,$V$5:$V$1000,"Macro",$H$5:$H$1000,"&gt;0"))/(COUNTIFS($S$5:$S$1000,$S88,$V$5:$V$1000,"Macro")*SUMIFS($H$5:$H$1000,$S$5:$S$1000,$S88,$V$5:$V$1000,"Macro")/COUNTIFS($S$5:$S$1000,$S88,$V$5:$V$1000,"Macro",$H$5:$H$1000,"&gt;0"))))</f>
        <v/>
      </c>
      <c r="AH88" s="62" t="n"/>
      <c r="AI88" s="62" t="n"/>
      <c r="AJ88" s="62" t="n"/>
      <c r="AK88" s="62" t="n"/>
      <c r="AL88" s="62">
        <f>IF(LEFT($C88,11)="[Jefatura] ",IFERROR(MATCH("Riesgo Normativo|"&amp;MID($C88,12,500),rDname_ADM,0),0),"")</f>
        <v/>
      </c>
      <c r="AM88" s="62">
        <f>IF(N($AL88)&gt;0,INDEX(rIni_ADM,$AL88),IF(ISNUMBER($E88),$E88,""))</f>
        <v/>
      </c>
      <c r="AN88" s="62">
        <f>IF(N($AL88)&gt;0,INDEX(rLim_ADM,$AL88),IF(ISNUMBER($F88),$F88,""))</f>
        <v/>
      </c>
    </row>
    <row r="89">
      <c r="A89" s="56">
        <f>IF(NOT((COUNTA($B89:$D89)+COUNTA($G89:$L89)+COUNTA($Q89))&gt;0),"",IF($V89="Macro",COUNTIFS($V$5:$V89,"Macro",$S$5:$S89,$S89),IF(N($U89)=0,"?",COUNTIFS(INDEX($V$5:$V$1000,1):INDEX($V$5:$V$1000,$U89-4),"Macro",INDEX($S$5:$S$1000,1):INDEX($S$5:$S$1000,$U89-4),INDEX($S$5:$S$1000,$U89-4))&amp;"."&amp;COUNTIFS($U$5:$U89,$U89,$V$5:$V89,"Sub"))))</f>
        <v/>
      </c>
      <c r="B89" s="57" t="n"/>
      <c r="C89" s="58" t="n"/>
      <c r="D89" s="58" t="n"/>
      <c r="E89" s="59">
        <f>IF(N($AL89)&gt;0,INDEX(rIni_ADM,$AL89),"")</f>
        <v/>
      </c>
      <c r="F89" s="59">
        <f>IF(N($AL89)&gt;0,INDEX(rLim_ADM,$AL89),"")</f>
        <v/>
      </c>
      <c r="G89" s="59" t="n"/>
      <c r="H89" s="60" t="n"/>
      <c r="I89" s="60" t="n"/>
      <c r="J89" s="60" t="n"/>
      <c r="K89" s="60" t="n"/>
      <c r="L89" s="60" t="n"/>
      <c r="M89" s="61">
        <f>IF(NOT((COUNTA($B89:$D89)+COUNTA($G89:$L89)+COUNTA($Q89))&gt;0),"",IF($V89="Sub",IFERROR($X89/INDEX($W$5:$W$1000,$U89-4),""),IF(ISNUMBER($G89),1,IF(N($W89)&gt;0,AVERAGEIFS($X$5:$X$1000,$U$5:$U$1000,ROW(),$V$5:$V$1000,"Sub"),$X89))))</f>
        <v/>
      </c>
      <c r="N89" s="56">
        <f>IF(OR($M89="",$V89="Sub"),"",IF($M89&gt;=1,"Completado",IF($M89&gt;0,"En curso","Pendiente")))</f>
        <v/>
      </c>
      <c r="O89" s="56">
        <f>IF(OR(NOT((COUNTA($B89:$D89)+COUNTA($G89:$L89)+COUNTA($Q89))&gt;0),$V89="Sub"),"",IF(ISNUMBER($G89),IF(AND(ISNUMBER($AN89),$G89&gt;$AN89),"Cumplida con "&amp;($G89-$AN89)&amp;IF($G89-$AN89=1," día"," días")&amp;" de retraso","Cumplida"),IF(N($M89)&gt;=1,"Cumplida",IF(NOT(ISNUMBER($AN89)),"Sin fecha límite",IF($AN89&lt;FechaRef,"Vencida hace "&amp;(FechaRef-$AN89)&amp;IF(FechaRef-$AN89=1," día"," días"),IF($AN89=FechaRef,"Vence hoy",IF($AN89-FechaRef&lt;=DiasAlerta,"Vence en "&amp;($AN89-FechaRef)&amp;IF($AN89-FechaRef=1," día"," días"),"En plazo")))))))</f>
        <v/>
      </c>
      <c r="P89" s="62" t="n"/>
      <c r="Q89" s="58" t="n"/>
      <c r="R89" s="63">
        <f>IF(NOT((COUNTA($B89:$D89)+COUNTA($G89:$L89)+COUNTA($Q89))&gt;0),"",IF((IF($C89="","Falta el nombre de la actividad"&amp;" · ","")&amp;IF(AND($V89="Sub",N($U89)=0),"Subactividad sin macroactividad arriba"&amp;" · ","")&amp;IF($AM89="","Sin fecha de inicio"&amp;" · ","")&amp;IF($AN89="","Sin fecha límite"&amp;" · ","")&amp;IF(AND(LEFT($C89,11)="[Jefatura] ",N($AL89)=0),"No se encuentra en la hoja de la jefatura (elíjala de nuevo en la lista)"&amp;" · ","")&amp;IF(OR(AND($E89&lt;&gt;"",NOT(ISNUMBER($E89))),AND($F89&lt;&gt;"",NOT(ISNUMBER($F89))),AND($G89&lt;&gt;"",NOT(ISNUMBER($G89)))),"Fecha no válida"&amp;" · ","")&amp;IF(AND(ISNUMBER($AM89),ISNUMBER($AN89),$AM89&gt;$AN89),"Inicio posterior a fecha límite"&amp;" · ","")&amp;IF(AND($V89="Macro",$H89&lt;&gt;"",OR(NOT(ISNUMBER($H89)),$H89&lt;0,$H89&gt;1)),"Peso fuera de rango"&amp;" · ","")&amp;IF(AND($V89="Sub",$H89&lt;&gt;""),"Las subactividades no llevan peso (valen igual dentro de su macroactividad)"&amp;" · ","")&amp;IF(AND(N($W89)&gt;0,COUNT($I89:$L89)&gt;0),"Con subactividades: deje vacías las semanas (se calculan solas)"&amp;" · ","")&amp;IF((COUNTIF($I89:$L89,"&gt;1")+COUNTIF($I89:$L89,"&lt;0")+COUNTA($I89:$L89)-COUNT($I89:$L89))&gt;0,"Avance fuera de rango 0-100%"&amp;" · ","")&amp;IF(OR(AND($J89&lt;&gt;"",$J89&lt;$I89),AND($K89&lt;&gt;"",$K89&lt;MAX($I89:$J89)),AND($L89&lt;&gt;"",$L89&lt;MAX($I89:$K89))),"Avance semanal decreciente"&amp;" · ","")&amp;IF(AND(ISNUMBER($AN89),$AN89&lt;FechaRef,IF($V89="Sub",N($X89),N($M89))&lt;1),"Vencida"&amp;" · ","")&amp;IF(AND(ObsObligatoria="Sí",ISNUMBER($AN89),$AN89&lt;FechaRef,IF($V89="Sub",N($X89),N($M89))&lt;1,$Q89=""),"Vencida sin observación"&amp;" · ",""))="","✔ OK","⚠ "&amp;LEFT(IF($C89="","Falta el nombre de la actividad"&amp;" · ","")&amp;IF(AND($V89="Sub",N($U89)=0),"Subactividad sin macroactividad arriba"&amp;" · ","")&amp;IF($AM89="","Sin fecha de inicio"&amp;" · ","")&amp;IF($AN89="","Sin fecha límite"&amp;" · ","")&amp;IF(AND(LEFT($C89,11)="[Jefatura] ",N($AL89)=0),"No se encuentra en la hoja de la jefatura (elíjala de nuevo en la lista)"&amp;" · ","")&amp;IF(OR(AND($E89&lt;&gt;"",NOT(ISNUMBER($E89))),AND($F89&lt;&gt;"",NOT(ISNUMBER($F89))),AND($G89&lt;&gt;"",NOT(ISNUMBER($G89)))),"Fecha no válida"&amp;" · ","")&amp;IF(AND(ISNUMBER($AM89),ISNUMBER($AN89),$AM89&gt;$AN89),"Inicio posterior a fecha límite"&amp;" · ","")&amp;IF(AND($V89="Macro",$H89&lt;&gt;"",OR(NOT(ISNUMBER($H89)),$H89&lt;0,$H89&gt;1)),"Peso fuera de rango"&amp;" · ","")&amp;IF(AND($V89="Sub",$H89&lt;&gt;""),"Las subactividades no llevan peso (valen igual dentro de su macroactividad)"&amp;" · ","")&amp;IF(AND(N($W89)&gt;0,COUNT($I89:$L89)&gt;0),"Con subactividades: deje vacías las semanas (se calculan solas)"&amp;" · ","")&amp;IF((COUNTIF($I89:$L89,"&gt;1")+COUNTIF($I89:$L89,"&lt;0")+COUNTA($I89:$L89)-COUNT($I89:$L89))&gt;0,"Avance fuera de rango 0-100%"&amp;" · ","")&amp;IF(OR(AND($J89&lt;&gt;"",$J89&lt;$I89),AND($K89&lt;&gt;"",$K89&lt;MAX($I89:$J89)),AND($L89&lt;&gt;"",$L89&lt;MAX($I89:$K89))),"Avance semanal decreciente"&amp;" · ","")&amp;IF(AND(ISNUMBER($AN89),$AN89&lt;FechaRef,IF($V89="Sub",N($X89),N($M89))&lt;1),"Vencida"&amp;" · ","")&amp;IF(AND(ObsObligatoria="Sí",ISNUMBER($AN89),$AN89&lt;FechaRef,IF($V89="Sub",N($X89),N($M89))&lt;1,$Q89=""),"Vencida sin observación"&amp;" · ",""),LEN(IF($C89="","Falta el nombre de la actividad"&amp;" · ","")&amp;IF(AND($V89="Sub",N($U89)=0),"Subactividad sin macroactividad arriba"&amp;" · ","")&amp;IF($AM89="","Sin fecha de inicio"&amp;" · ","")&amp;IF($AN89="","Sin fecha límite"&amp;" · ","")&amp;IF(AND(LEFT($C89,11)="[Jefatura] ",N($AL89)=0),"No se encuentra en la hoja de la jefatura (elíjala de nuevo en la lista)"&amp;" · ","")&amp;IF(OR(AND($E89&lt;&gt;"",NOT(ISNUMBER($E89))),AND($F89&lt;&gt;"",NOT(ISNUMBER($F89))),AND($G89&lt;&gt;"",NOT(ISNUMBER($G89)))),"Fecha no válida"&amp;" · ","")&amp;IF(AND(ISNUMBER($AM89),ISNUMBER($AN89),$AM89&gt;$AN89),"Inicio posterior a fecha límite"&amp;" · ","")&amp;IF(AND($V89="Macro",$H89&lt;&gt;"",OR(NOT(ISNUMBER($H89)),$H89&lt;0,$H89&gt;1)),"Peso fuera de rango"&amp;" · ","")&amp;IF(AND($V89="Sub",$H89&lt;&gt;""),"Las subactividades no llevan peso (valen igual dentro de su macroactividad)"&amp;" · ","")&amp;IF(AND(N($W89)&gt;0,COUNT($I89:$L89)&gt;0),"Con subactividades: deje vacías las semanas (se calculan solas)"&amp;" · ","")&amp;IF((COUNTIF($I89:$L89,"&gt;1")+COUNTIF($I89:$L89,"&lt;0")+COUNTA($I89:$L89)-COUNT($I89:$L89))&gt;0,"Avance fuera de rango 0-100%"&amp;" · ","")&amp;IF(OR(AND($J89&lt;&gt;"",$J89&lt;$I89),AND($K89&lt;&gt;"",$K89&lt;MAX($I89:$J89)),AND($L89&lt;&gt;"",$L89&lt;MAX($I89:$K89))),"Avance semanal decreciente"&amp;" · ","")&amp;IF(AND(ISNUMBER($AN89),$AN89&lt;FechaRef,IF($V89="Sub",N($X89),N($M89))&lt;1),"Vencida"&amp;" · ","")&amp;IF(AND(ObsObligatoria="Sí",ISNUMBER($AN89),$AN89&lt;FechaRef,IF($V89="Sub",N($X89),N($M89))&lt;1,$Q89=""),"Vencida sin observación"&amp;" · ",""))-3)))</f>
        <v/>
      </c>
      <c r="S89" s="64">
        <f>IF(NOT((COUNTA($B89:$D89)+COUNTA($G89:$L89)+COUNTA($Q89))&gt;0),"",IF(AND($V89="Sub",N($U89)&gt;0),IF(ISNUMBER(INDEX($AM$5:$AM$1000,$U89-4)),DATE(YEAR(INDEX($AM$5:$AM$1000,$U89-4)),MONTH(INDEX($AM$5:$AM$1000,$U89-4)),1),IF(ISNUMBER(INDEX($AN$5:$AN$1000,$U89-4)),DATE(YEAR(INDEX($AN$5:$AN$1000,$U89-4)),MONTH(INDEX($AN$5:$AN$1000,$U89-4)),1),MesCiclo)),IF(ISNUMBER($AM89),DATE(YEAR($AM89),MONTH($AM89),1),IF(ISNUMBER($AN89),DATE(YEAR($AN89),MONTH($AN89),1),MesCiclo))))</f>
        <v/>
      </c>
      <c r="T89" s="62">
        <f>IF(OR($S89="",$S89&lt;&gt;MesCiclo,$V89&lt;&gt;"Macro"),"",COUNTIFS($S$5:$S89,MesCiclo,$V$5:$V89,"Macro"))</f>
        <v/>
      </c>
      <c r="U89" s="62">
        <f>IF($V89="","",IF($V89="Macro",ROW(),IFERROR(LOOKUP(2,1/($V$5:$V89="Macro"),ROW($V$5:$V89)),0)))</f>
        <v/>
      </c>
      <c r="V89" s="62">
        <f>IF(NOT((COUNTA($B89:$D89)+COUNTA($G89:$L89)+COUNTA($Q89))&gt;0),"",IF($B89="Subactividad","Sub","Macro"))</f>
        <v/>
      </c>
      <c r="W89" s="62">
        <f>IF($V89="Macro",COUNTIFS($U$5:$U$1000,ROW(),$V$5:$V$1000,"Sub"),"")</f>
        <v/>
      </c>
      <c r="X89" s="62">
        <f>IF($V89="","",IF(ISNUMBER($G89),1,IFERROR(LOOKUP(2,1/($I89:$L89&lt;&gt;""),$I89:$L89),0)))</f>
        <v/>
      </c>
      <c r="Y89" s="62">
        <f>IF($V89="","",IF(AND(ISNUMBER($G89),$G89&lt;=IF($S89=MesCiclo,InicioCiclo,$S89+MOD(2-WEEKDAY($S89),7))+6),1,IF(ISNUMBER($I89),$I89,0)))</f>
        <v/>
      </c>
      <c r="Z89" s="62">
        <f>IF($V89="","",IF(AND(ISNUMBER($G89),$G89&lt;=IF($S89=MesCiclo,InicioCiclo,$S89+MOD(2-WEEKDAY($S89),7))+13),1,IF(ISNUMBER($J89),$J89,$Y89)))</f>
        <v/>
      </c>
      <c r="AA89" s="62">
        <f>IF($V89="","",IF(AND(ISNUMBER($G89),$G89&lt;=IF($S89=MesCiclo,InicioCiclo,$S89+MOD(2-WEEKDAY($S89),7))+20),1,IF(ISNUMBER($K89),$K89,$Z89)))</f>
        <v/>
      </c>
      <c r="AB89" s="62">
        <f>IF($V89="","",IF(AND(ISNUMBER($G89),$G89&lt;=IF($S89=MesCiclo,InicioCiclo,$S89+MOD(2-WEEKDAY($S89),7))+27),1,IF(ISNUMBER($L89),$L89,$AA89)))</f>
        <v/>
      </c>
      <c r="AC89" s="62">
        <f>IF($V89="","",IF(AND(ISNUMBER($G89),$G89&lt;=IF($S89=MesCiclo,InicioCiclo,$S89+MOD(2-WEEKDAY($S89),7))+6),1,IF(N($W89)&gt;0,AVERAGEIFS($Y$5:$Y$1000,$U$5:$U$1000,ROW(),$V$5:$V$1000,"Sub"),$Y89)))</f>
        <v/>
      </c>
      <c r="AD89" s="62">
        <f>IF($V89="","",IF(AND(ISNUMBER($G89),$G89&lt;=IF($S89=MesCiclo,InicioCiclo,$S89+MOD(2-WEEKDAY($S89),7))+13),1,IF(N($W89)&gt;0,AVERAGEIFS($Z$5:$Z$1000,$U$5:$U$1000,ROW(),$V$5:$V$1000,"Sub"),$Z89)))</f>
        <v/>
      </c>
      <c r="AE89" s="62">
        <f>IF($V89="","",IF(AND(ISNUMBER($G89),$G89&lt;=IF($S89=MesCiclo,InicioCiclo,$S89+MOD(2-WEEKDAY($S89),7))+20),1,IF(N($W89)&gt;0,AVERAGEIFS($AA$5:$AA$1000,$U$5:$U$1000,ROW(),$V$5:$V$1000,"Sub"),$AA89)))</f>
        <v/>
      </c>
      <c r="AF89" s="62">
        <f>IF($V89="","",IF(AND(ISNUMBER($G89),$G89&lt;=IF($S89=MesCiclo,InicioCiclo,$S89+MOD(2-WEEKDAY($S89),7))+27),1,IF(N($W89)&gt;0,AVERAGEIFS($AB$5:$AB$1000,$U$5:$U$1000,ROW(),$V$5:$V$1000,"Sub"),$AB89)))</f>
        <v/>
      </c>
      <c r="AG89" s="62">
        <f>IF($V89&lt;&gt;"Macro","",IF(COUNTIFS($S$5:$S$1000,$S89,$V$5:$V$1000,"Macro",$H$5:$H$1000,"&gt;0")=0,1/COUNTIFS($S$5:$S$1000,$S89,$V$5:$V$1000,"Macro"),IF(AND(ISNUMBER($H89),N($H89)&gt;0),$H89,SUMIFS($H$5:$H$1000,$S$5:$S$1000,$S89,$V$5:$V$1000,"Macro")/COUNTIFS($S$5:$S$1000,$S89,$V$5:$V$1000,"Macro",$H$5:$H$1000,"&gt;0"))/(COUNTIFS($S$5:$S$1000,$S89,$V$5:$V$1000,"Macro")*SUMIFS($H$5:$H$1000,$S$5:$S$1000,$S89,$V$5:$V$1000,"Macro")/COUNTIFS($S$5:$S$1000,$S89,$V$5:$V$1000,"Macro",$H$5:$H$1000,"&gt;0"))))</f>
        <v/>
      </c>
      <c r="AH89" s="62" t="n"/>
      <c r="AI89" s="62" t="n"/>
      <c r="AJ89" s="62" t="n"/>
      <c r="AK89" s="62" t="n"/>
      <c r="AL89" s="62">
        <f>IF(LEFT($C89,11)="[Jefatura] ",IFERROR(MATCH("Riesgo Normativo|"&amp;MID($C89,12,500),rDname_ADM,0),0),"")</f>
        <v/>
      </c>
      <c r="AM89" s="62">
        <f>IF(N($AL89)&gt;0,INDEX(rIni_ADM,$AL89),IF(ISNUMBER($E89),$E89,""))</f>
        <v/>
      </c>
      <c r="AN89" s="62">
        <f>IF(N($AL89)&gt;0,INDEX(rLim_ADM,$AL89),IF(ISNUMBER($F89),$F89,""))</f>
        <v/>
      </c>
    </row>
    <row r="90">
      <c r="A90" s="56">
        <f>IF(NOT((COUNTA($B90:$D90)+COUNTA($G90:$L90)+COUNTA($Q90))&gt;0),"",IF($V90="Macro",COUNTIFS($V$5:$V90,"Macro",$S$5:$S90,$S90),IF(N($U90)=0,"?",COUNTIFS(INDEX($V$5:$V$1000,1):INDEX($V$5:$V$1000,$U90-4),"Macro",INDEX($S$5:$S$1000,1):INDEX($S$5:$S$1000,$U90-4),INDEX($S$5:$S$1000,$U90-4))&amp;"."&amp;COUNTIFS($U$5:$U90,$U90,$V$5:$V90,"Sub"))))</f>
        <v/>
      </c>
      <c r="B90" s="57" t="n"/>
      <c r="C90" s="58" t="n"/>
      <c r="D90" s="58" t="n"/>
      <c r="E90" s="59">
        <f>IF(N($AL90)&gt;0,INDEX(rIni_ADM,$AL90),"")</f>
        <v/>
      </c>
      <c r="F90" s="59">
        <f>IF(N($AL90)&gt;0,INDEX(rLim_ADM,$AL90),"")</f>
        <v/>
      </c>
      <c r="G90" s="59" t="n"/>
      <c r="H90" s="60" t="n"/>
      <c r="I90" s="60" t="n"/>
      <c r="J90" s="60" t="n"/>
      <c r="K90" s="60" t="n"/>
      <c r="L90" s="60" t="n"/>
      <c r="M90" s="61">
        <f>IF(NOT((COUNTA($B90:$D90)+COUNTA($G90:$L90)+COUNTA($Q90))&gt;0),"",IF($V90="Sub",IFERROR($X90/INDEX($W$5:$W$1000,$U90-4),""),IF(ISNUMBER($G90),1,IF(N($W90)&gt;0,AVERAGEIFS($X$5:$X$1000,$U$5:$U$1000,ROW(),$V$5:$V$1000,"Sub"),$X90))))</f>
        <v/>
      </c>
      <c r="N90" s="56">
        <f>IF(OR($M90="",$V90="Sub"),"",IF($M90&gt;=1,"Completado",IF($M90&gt;0,"En curso","Pendiente")))</f>
        <v/>
      </c>
      <c r="O90" s="56">
        <f>IF(OR(NOT((COUNTA($B90:$D90)+COUNTA($G90:$L90)+COUNTA($Q90))&gt;0),$V90="Sub"),"",IF(ISNUMBER($G90),IF(AND(ISNUMBER($AN90),$G90&gt;$AN90),"Cumplida con "&amp;($G90-$AN90)&amp;IF($G90-$AN90=1," día"," días")&amp;" de retraso","Cumplida"),IF(N($M90)&gt;=1,"Cumplida",IF(NOT(ISNUMBER($AN90)),"Sin fecha límite",IF($AN90&lt;FechaRef,"Vencida hace "&amp;(FechaRef-$AN90)&amp;IF(FechaRef-$AN90=1," día"," días"),IF($AN90=FechaRef,"Vence hoy",IF($AN90-FechaRef&lt;=DiasAlerta,"Vence en "&amp;($AN90-FechaRef)&amp;IF($AN90-FechaRef=1," día"," días"),"En plazo")))))))</f>
        <v/>
      </c>
      <c r="P90" s="62" t="n"/>
      <c r="Q90" s="58" t="n"/>
      <c r="R90" s="63">
        <f>IF(NOT((COUNTA($B90:$D90)+COUNTA($G90:$L90)+COUNTA($Q90))&gt;0),"",IF((IF($C90="","Falta el nombre de la actividad"&amp;" · ","")&amp;IF(AND($V90="Sub",N($U90)=0),"Subactividad sin macroactividad arriba"&amp;" · ","")&amp;IF($AM90="","Sin fecha de inicio"&amp;" · ","")&amp;IF($AN90="","Sin fecha límite"&amp;" · ","")&amp;IF(AND(LEFT($C90,11)="[Jefatura] ",N($AL90)=0),"No se encuentra en la hoja de la jefatura (elíjala de nuevo en la lista)"&amp;" · ","")&amp;IF(OR(AND($E90&lt;&gt;"",NOT(ISNUMBER($E90))),AND($F90&lt;&gt;"",NOT(ISNUMBER($F90))),AND($G90&lt;&gt;"",NOT(ISNUMBER($G90)))),"Fecha no válida"&amp;" · ","")&amp;IF(AND(ISNUMBER($AM90),ISNUMBER($AN90),$AM90&gt;$AN90),"Inicio posterior a fecha límite"&amp;" · ","")&amp;IF(AND($V90="Macro",$H90&lt;&gt;"",OR(NOT(ISNUMBER($H90)),$H90&lt;0,$H90&gt;1)),"Peso fuera de rango"&amp;" · ","")&amp;IF(AND($V90="Sub",$H90&lt;&gt;""),"Las subactividades no llevan peso (valen igual dentro de su macroactividad)"&amp;" · ","")&amp;IF(AND(N($W90)&gt;0,COUNT($I90:$L90)&gt;0),"Con subactividades: deje vacías las semanas (se calculan solas)"&amp;" · ","")&amp;IF((COUNTIF($I90:$L90,"&gt;1")+COUNTIF($I90:$L90,"&lt;0")+COUNTA($I90:$L90)-COUNT($I90:$L90))&gt;0,"Avance fuera de rango 0-100%"&amp;" · ","")&amp;IF(OR(AND($J90&lt;&gt;"",$J90&lt;$I90),AND($K90&lt;&gt;"",$K90&lt;MAX($I90:$J90)),AND($L90&lt;&gt;"",$L90&lt;MAX($I90:$K90))),"Avance semanal decreciente"&amp;" · ","")&amp;IF(AND(ISNUMBER($AN90),$AN90&lt;FechaRef,IF($V90="Sub",N($X90),N($M90))&lt;1),"Vencida"&amp;" · ","")&amp;IF(AND(ObsObligatoria="Sí",ISNUMBER($AN90),$AN90&lt;FechaRef,IF($V90="Sub",N($X90),N($M90))&lt;1,$Q90=""),"Vencida sin observación"&amp;" · ",""))="","✔ OK","⚠ "&amp;LEFT(IF($C90="","Falta el nombre de la actividad"&amp;" · ","")&amp;IF(AND($V90="Sub",N($U90)=0),"Subactividad sin macroactividad arriba"&amp;" · ","")&amp;IF($AM90="","Sin fecha de inicio"&amp;" · ","")&amp;IF($AN90="","Sin fecha límite"&amp;" · ","")&amp;IF(AND(LEFT($C90,11)="[Jefatura] ",N($AL90)=0),"No se encuentra en la hoja de la jefatura (elíjala de nuevo en la lista)"&amp;" · ","")&amp;IF(OR(AND($E90&lt;&gt;"",NOT(ISNUMBER($E90))),AND($F90&lt;&gt;"",NOT(ISNUMBER($F90))),AND($G90&lt;&gt;"",NOT(ISNUMBER($G90)))),"Fecha no válida"&amp;" · ","")&amp;IF(AND(ISNUMBER($AM90),ISNUMBER($AN90),$AM90&gt;$AN90),"Inicio posterior a fecha límite"&amp;" · ","")&amp;IF(AND($V90="Macro",$H90&lt;&gt;"",OR(NOT(ISNUMBER($H90)),$H90&lt;0,$H90&gt;1)),"Peso fuera de rango"&amp;" · ","")&amp;IF(AND($V90="Sub",$H90&lt;&gt;""),"Las subactividades no llevan peso (valen igual dentro de su macroactividad)"&amp;" · ","")&amp;IF(AND(N($W90)&gt;0,COUNT($I90:$L90)&gt;0),"Con subactividades: deje vacías las semanas (se calculan solas)"&amp;" · ","")&amp;IF((COUNTIF($I90:$L90,"&gt;1")+COUNTIF($I90:$L90,"&lt;0")+COUNTA($I90:$L90)-COUNT($I90:$L90))&gt;0,"Avance fuera de rango 0-100%"&amp;" · ","")&amp;IF(OR(AND($J90&lt;&gt;"",$J90&lt;$I90),AND($K90&lt;&gt;"",$K90&lt;MAX($I90:$J90)),AND($L90&lt;&gt;"",$L90&lt;MAX($I90:$K90))),"Avance semanal decreciente"&amp;" · ","")&amp;IF(AND(ISNUMBER($AN90),$AN90&lt;FechaRef,IF($V90="Sub",N($X90),N($M90))&lt;1),"Vencida"&amp;" · ","")&amp;IF(AND(ObsObligatoria="Sí",ISNUMBER($AN90),$AN90&lt;FechaRef,IF($V90="Sub",N($X90),N($M90))&lt;1,$Q90=""),"Vencida sin observación"&amp;" · ",""),LEN(IF($C90="","Falta el nombre de la actividad"&amp;" · ","")&amp;IF(AND($V90="Sub",N($U90)=0),"Subactividad sin macroactividad arriba"&amp;" · ","")&amp;IF($AM90="","Sin fecha de inicio"&amp;" · ","")&amp;IF($AN90="","Sin fecha límite"&amp;" · ","")&amp;IF(AND(LEFT($C90,11)="[Jefatura] ",N($AL90)=0),"No se encuentra en la hoja de la jefatura (elíjala de nuevo en la lista)"&amp;" · ","")&amp;IF(OR(AND($E90&lt;&gt;"",NOT(ISNUMBER($E90))),AND($F90&lt;&gt;"",NOT(ISNUMBER($F90))),AND($G90&lt;&gt;"",NOT(ISNUMBER($G90)))),"Fecha no válida"&amp;" · ","")&amp;IF(AND(ISNUMBER($AM90),ISNUMBER($AN90),$AM90&gt;$AN90),"Inicio posterior a fecha límite"&amp;" · ","")&amp;IF(AND($V90="Macro",$H90&lt;&gt;"",OR(NOT(ISNUMBER($H90)),$H90&lt;0,$H90&gt;1)),"Peso fuera de rango"&amp;" · ","")&amp;IF(AND($V90="Sub",$H90&lt;&gt;""),"Las subactividades no llevan peso (valen igual dentro de su macroactividad)"&amp;" · ","")&amp;IF(AND(N($W90)&gt;0,COUNT($I90:$L90)&gt;0),"Con subactividades: deje vacías las semanas (se calculan solas)"&amp;" · ","")&amp;IF((COUNTIF($I90:$L90,"&gt;1")+COUNTIF($I90:$L90,"&lt;0")+COUNTA($I90:$L90)-COUNT($I90:$L90))&gt;0,"Avance fuera de rango 0-100%"&amp;" · ","")&amp;IF(OR(AND($J90&lt;&gt;"",$J90&lt;$I90),AND($K90&lt;&gt;"",$K90&lt;MAX($I90:$J90)),AND($L90&lt;&gt;"",$L90&lt;MAX($I90:$K90))),"Avance semanal decreciente"&amp;" · ","")&amp;IF(AND(ISNUMBER($AN90),$AN90&lt;FechaRef,IF($V90="Sub",N($X90),N($M90))&lt;1),"Vencida"&amp;" · ","")&amp;IF(AND(ObsObligatoria="Sí",ISNUMBER($AN90),$AN90&lt;FechaRef,IF($V90="Sub",N($X90),N($M90))&lt;1,$Q90=""),"Vencida sin observación"&amp;" · ",""))-3)))</f>
        <v/>
      </c>
      <c r="S90" s="64">
        <f>IF(NOT((COUNTA($B90:$D90)+COUNTA($G90:$L90)+COUNTA($Q90))&gt;0),"",IF(AND($V90="Sub",N($U90)&gt;0),IF(ISNUMBER(INDEX($AM$5:$AM$1000,$U90-4)),DATE(YEAR(INDEX($AM$5:$AM$1000,$U90-4)),MONTH(INDEX($AM$5:$AM$1000,$U90-4)),1),IF(ISNUMBER(INDEX($AN$5:$AN$1000,$U90-4)),DATE(YEAR(INDEX($AN$5:$AN$1000,$U90-4)),MONTH(INDEX($AN$5:$AN$1000,$U90-4)),1),MesCiclo)),IF(ISNUMBER($AM90),DATE(YEAR($AM90),MONTH($AM90),1),IF(ISNUMBER($AN90),DATE(YEAR($AN90),MONTH($AN90),1),MesCiclo))))</f>
        <v/>
      </c>
      <c r="T90" s="62">
        <f>IF(OR($S90="",$S90&lt;&gt;MesCiclo,$V90&lt;&gt;"Macro"),"",COUNTIFS($S$5:$S90,MesCiclo,$V$5:$V90,"Macro"))</f>
        <v/>
      </c>
      <c r="U90" s="62">
        <f>IF($V90="","",IF($V90="Macro",ROW(),IFERROR(LOOKUP(2,1/($V$5:$V90="Macro"),ROW($V$5:$V90)),0)))</f>
        <v/>
      </c>
      <c r="V90" s="62">
        <f>IF(NOT((COUNTA($B90:$D90)+COUNTA($G90:$L90)+COUNTA($Q90))&gt;0),"",IF($B90="Subactividad","Sub","Macro"))</f>
        <v/>
      </c>
      <c r="W90" s="62">
        <f>IF($V90="Macro",COUNTIFS($U$5:$U$1000,ROW(),$V$5:$V$1000,"Sub"),"")</f>
        <v/>
      </c>
      <c r="X90" s="62">
        <f>IF($V90="","",IF(ISNUMBER($G90),1,IFERROR(LOOKUP(2,1/($I90:$L90&lt;&gt;""),$I90:$L90),0)))</f>
        <v/>
      </c>
      <c r="Y90" s="62">
        <f>IF($V90="","",IF(AND(ISNUMBER($G90),$G90&lt;=IF($S90=MesCiclo,InicioCiclo,$S90+MOD(2-WEEKDAY($S90),7))+6),1,IF(ISNUMBER($I90),$I90,0)))</f>
        <v/>
      </c>
      <c r="Z90" s="62">
        <f>IF($V90="","",IF(AND(ISNUMBER($G90),$G90&lt;=IF($S90=MesCiclo,InicioCiclo,$S90+MOD(2-WEEKDAY($S90),7))+13),1,IF(ISNUMBER($J90),$J90,$Y90)))</f>
        <v/>
      </c>
      <c r="AA90" s="62">
        <f>IF($V90="","",IF(AND(ISNUMBER($G90),$G90&lt;=IF($S90=MesCiclo,InicioCiclo,$S90+MOD(2-WEEKDAY($S90),7))+20),1,IF(ISNUMBER($K90),$K90,$Z90)))</f>
        <v/>
      </c>
      <c r="AB90" s="62">
        <f>IF($V90="","",IF(AND(ISNUMBER($G90),$G90&lt;=IF($S90=MesCiclo,InicioCiclo,$S90+MOD(2-WEEKDAY($S90),7))+27),1,IF(ISNUMBER($L90),$L90,$AA90)))</f>
        <v/>
      </c>
      <c r="AC90" s="62">
        <f>IF($V90="","",IF(AND(ISNUMBER($G90),$G90&lt;=IF($S90=MesCiclo,InicioCiclo,$S90+MOD(2-WEEKDAY($S90),7))+6),1,IF(N($W90)&gt;0,AVERAGEIFS($Y$5:$Y$1000,$U$5:$U$1000,ROW(),$V$5:$V$1000,"Sub"),$Y90)))</f>
        <v/>
      </c>
      <c r="AD90" s="62">
        <f>IF($V90="","",IF(AND(ISNUMBER($G90),$G90&lt;=IF($S90=MesCiclo,InicioCiclo,$S90+MOD(2-WEEKDAY($S90),7))+13),1,IF(N($W90)&gt;0,AVERAGEIFS($Z$5:$Z$1000,$U$5:$U$1000,ROW(),$V$5:$V$1000,"Sub"),$Z90)))</f>
        <v/>
      </c>
      <c r="AE90" s="62">
        <f>IF($V90="","",IF(AND(ISNUMBER($G90),$G90&lt;=IF($S90=MesCiclo,InicioCiclo,$S90+MOD(2-WEEKDAY($S90),7))+20),1,IF(N($W90)&gt;0,AVERAGEIFS($AA$5:$AA$1000,$U$5:$U$1000,ROW(),$V$5:$V$1000,"Sub"),$AA90)))</f>
        <v/>
      </c>
      <c r="AF90" s="62">
        <f>IF($V90="","",IF(AND(ISNUMBER($G90),$G90&lt;=IF($S90=MesCiclo,InicioCiclo,$S90+MOD(2-WEEKDAY($S90),7))+27),1,IF(N($W90)&gt;0,AVERAGEIFS($AB$5:$AB$1000,$U$5:$U$1000,ROW(),$V$5:$V$1000,"Sub"),$AB90)))</f>
        <v/>
      </c>
      <c r="AG90" s="62">
        <f>IF($V90&lt;&gt;"Macro","",IF(COUNTIFS($S$5:$S$1000,$S90,$V$5:$V$1000,"Macro",$H$5:$H$1000,"&gt;0")=0,1/COUNTIFS($S$5:$S$1000,$S90,$V$5:$V$1000,"Macro"),IF(AND(ISNUMBER($H90),N($H90)&gt;0),$H90,SUMIFS($H$5:$H$1000,$S$5:$S$1000,$S90,$V$5:$V$1000,"Macro")/COUNTIFS($S$5:$S$1000,$S90,$V$5:$V$1000,"Macro",$H$5:$H$1000,"&gt;0"))/(COUNTIFS($S$5:$S$1000,$S90,$V$5:$V$1000,"Macro")*SUMIFS($H$5:$H$1000,$S$5:$S$1000,$S90,$V$5:$V$1000,"Macro")/COUNTIFS($S$5:$S$1000,$S90,$V$5:$V$1000,"Macro",$H$5:$H$1000,"&gt;0"))))</f>
        <v/>
      </c>
      <c r="AH90" s="62" t="n"/>
      <c r="AI90" s="62" t="n"/>
      <c r="AJ90" s="62" t="n"/>
      <c r="AK90" s="62" t="n"/>
      <c r="AL90" s="62">
        <f>IF(LEFT($C90,11)="[Jefatura] ",IFERROR(MATCH("Riesgo Normativo|"&amp;MID($C90,12,500),rDname_ADM,0),0),"")</f>
        <v/>
      </c>
      <c r="AM90" s="62">
        <f>IF(N($AL90)&gt;0,INDEX(rIni_ADM,$AL90),IF(ISNUMBER($E90),$E90,""))</f>
        <v/>
      </c>
      <c r="AN90" s="62">
        <f>IF(N($AL90)&gt;0,INDEX(rLim_ADM,$AL90),IF(ISNUMBER($F90),$F90,""))</f>
        <v/>
      </c>
    </row>
    <row r="91">
      <c r="A91" s="56">
        <f>IF(NOT((COUNTA($B91:$D91)+COUNTA($G91:$L91)+COUNTA($Q91))&gt;0),"",IF($V91="Macro",COUNTIFS($V$5:$V91,"Macro",$S$5:$S91,$S91),IF(N($U91)=0,"?",COUNTIFS(INDEX($V$5:$V$1000,1):INDEX($V$5:$V$1000,$U91-4),"Macro",INDEX($S$5:$S$1000,1):INDEX($S$5:$S$1000,$U91-4),INDEX($S$5:$S$1000,$U91-4))&amp;"."&amp;COUNTIFS($U$5:$U91,$U91,$V$5:$V91,"Sub"))))</f>
        <v/>
      </c>
      <c r="B91" s="57" t="n"/>
      <c r="C91" s="58" t="n"/>
      <c r="D91" s="58" t="n"/>
      <c r="E91" s="59">
        <f>IF(N($AL91)&gt;0,INDEX(rIni_ADM,$AL91),"")</f>
        <v/>
      </c>
      <c r="F91" s="59">
        <f>IF(N($AL91)&gt;0,INDEX(rLim_ADM,$AL91),"")</f>
        <v/>
      </c>
      <c r="G91" s="59" t="n"/>
      <c r="H91" s="60" t="n"/>
      <c r="I91" s="60" t="n"/>
      <c r="J91" s="60" t="n"/>
      <c r="K91" s="60" t="n"/>
      <c r="L91" s="60" t="n"/>
      <c r="M91" s="61">
        <f>IF(NOT((COUNTA($B91:$D91)+COUNTA($G91:$L91)+COUNTA($Q91))&gt;0),"",IF($V91="Sub",IFERROR($X91/INDEX($W$5:$W$1000,$U91-4),""),IF(ISNUMBER($G91),1,IF(N($W91)&gt;0,AVERAGEIFS($X$5:$X$1000,$U$5:$U$1000,ROW(),$V$5:$V$1000,"Sub"),$X91))))</f>
        <v/>
      </c>
      <c r="N91" s="56">
        <f>IF(OR($M91="",$V91="Sub"),"",IF($M91&gt;=1,"Completado",IF($M91&gt;0,"En curso","Pendiente")))</f>
        <v/>
      </c>
      <c r="O91" s="56">
        <f>IF(OR(NOT((COUNTA($B91:$D91)+COUNTA($G91:$L91)+COUNTA($Q91))&gt;0),$V91="Sub"),"",IF(ISNUMBER($G91),IF(AND(ISNUMBER($AN91),$G91&gt;$AN91),"Cumplida con "&amp;($G91-$AN91)&amp;IF($G91-$AN91=1," día"," días")&amp;" de retraso","Cumplida"),IF(N($M91)&gt;=1,"Cumplida",IF(NOT(ISNUMBER($AN91)),"Sin fecha límite",IF($AN91&lt;FechaRef,"Vencida hace "&amp;(FechaRef-$AN91)&amp;IF(FechaRef-$AN91=1," día"," días"),IF($AN91=FechaRef,"Vence hoy",IF($AN91-FechaRef&lt;=DiasAlerta,"Vence en "&amp;($AN91-FechaRef)&amp;IF($AN91-FechaRef=1," día"," días"),"En plazo")))))))</f>
        <v/>
      </c>
      <c r="P91" s="62" t="n"/>
      <c r="Q91" s="58" t="n"/>
      <c r="R91" s="63">
        <f>IF(NOT((COUNTA($B91:$D91)+COUNTA($G91:$L91)+COUNTA($Q91))&gt;0),"",IF((IF($C91="","Falta el nombre de la actividad"&amp;" · ","")&amp;IF(AND($V91="Sub",N($U91)=0),"Subactividad sin macroactividad arriba"&amp;" · ","")&amp;IF($AM91="","Sin fecha de inicio"&amp;" · ","")&amp;IF($AN91="","Sin fecha límite"&amp;" · ","")&amp;IF(AND(LEFT($C91,11)="[Jefatura] ",N($AL91)=0),"No se encuentra en la hoja de la jefatura (elíjala de nuevo en la lista)"&amp;" · ","")&amp;IF(OR(AND($E91&lt;&gt;"",NOT(ISNUMBER($E91))),AND($F91&lt;&gt;"",NOT(ISNUMBER($F91))),AND($G91&lt;&gt;"",NOT(ISNUMBER($G91)))),"Fecha no válida"&amp;" · ","")&amp;IF(AND(ISNUMBER($AM91),ISNUMBER($AN91),$AM91&gt;$AN91),"Inicio posterior a fecha límite"&amp;" · ","")&amp;IF(AND($V91="Macro",$H91&lt;&gt;"",OR(NOT(ISNUMBER($H91)),$H91&lt;0,$H91&gt;1)),"Peso fuera de rango"&amp;" · ","")&amp;IF(AND($V91="Sub",$H91&lt;&gt;""),"Las subactividades no llevan peso (valen igual dentro de su macroactividad)"&amp;" · ","")&amp;IF(AND(N($W91)&gt;0,COUNT($I91:$L91)&gt;0),"Con subactividades: deje vacías las semanas (se calculan solas)"&amp;" · ","")&amp;IF((COUNTIF($I91:$L91,"&gt;1")+COUNTIF($I91:$L91,"&lt;0")+COUNTA($I91:$L91)-COUNT($I91:$L91))&gt;0,"Avance fuera de rango 0-100%"&amp;" · ","")&amp;IF(OR(AND($J91&lt;&gt;"",$J91&lt;$I91),AND($K91&lt;&gt;"",$K91&lt;MAX($I91:$J91)),AND($L91&lt;&gt;"",$L91&lt;MAX($I91:$K91))),"Avance semanal decreciente"&amp;" · ","")&amp;IF(AND(ISNUMBER($AN91),$AN91&lt;FechaRef,IF($V91="Sub",N($X91),N($M91))&lt;1),"Vencida"&amp;" · ","")&amp;IF(AND(ObsObligatoria="Sí",ISNUMBER($AN91),$AN91&lt;FechaRef,IF($V91="Sub",N($X91),N($M91))&lt;1,$Q91=""),"Vencida sin observación"&amp;" · ",""))="","✔ OK","⚠ "&amp;LEFT(IF($C91="","Falta el nombre de la actividad"&amp;" · ","")&amp;IF(AND($V91="Sub",N($U91)=0),"Subactividad sin macroactividad arriba"&amp;" · ","")&amp;IF($AM91="","Sin fecha de inicio"&amp;" · ","")&amp;IF($AN91="","Sin fecha límite"&amp;" · ","")&amp;IF(AND(LEFT($C91,11)="[Jefatura] ",N($AL91)=0),"No se encuentra en la hoja de la jefatura (elíjala de nuevo en la lista)"&amp;" · ","")&amp;IF(OR(AND($E91&lt;&gt;"",NOT(ISNUMBER($E91))),AND($F91&lt;&gt;"",NOT(ISNUMBER($F91))),AND($G91&lt;&gt;"",NOT(ISNUMBER($G91)))),"Fecha no válida"&amp;" · ","")&amp;IF(AND(ISNUMBER($AM91),ISNUMBER($AN91),$AM91&gt;$AN91),"Inicio posterior a fecha límite"&amp;" · ","")&amp;IF(AND($V91="Macro",$H91&lt;&gt;"",OR(NOT(ISNUMBER($H91)),$H91&lt;0,$H91&gt;1)),"Peso fuera de rango"&amp;" · ","")&amp;IF(AND($V91="Sub",$H91&lt;&gt;""),"Las subactividades no llevan peso (valen igual dentro de su macroactividad)"&amp;" · ","")&amp;IF(AND(N($W91)&gt;0,COUNT($I91:$L91)&gt;0),"Con subactividades: deje vacías las semanas (se calculan solas)"&amp;" · ","")&amp;IF((COUNTIF($I91:$L91,"&gt;1")+COUNTIF($I91:$L91,"&lt;0")+COUNTA($I91:$L91)-COUNT($I91:$L91))&gt;0,"Avance fuera de rango 0-100%"&amp;" · ","")&amp;IF(OR(AND($J91&lt;&gt;"",$J91&lt;$I91),AND($K91&lt;&gt;"",$K91&lt;MAX($I91:$J91)),AND($L91&lt;&gt;"",$L91&lt;MAX($I91:$K91))),"Avance semanal decreciente"&amp;" · ","")&amp;IF(AND(ISNUMBER($AN91),$AN91&lt;FechaRef,IF($V91="Sub",N($X91),N($M91))&lt;1),"Vencida"&amp;" · ","")&amp;IF(AND(ObsObligatoria="Sí",ISNUMBER($AN91),$AN91&lt;FechaRef,IF($V91="Sub",N($X91),N($M91))&lt;1,$Q91=""),"Vencida sin observación"&amp;" · ",""),LEN(IF($C91="","Falta el nombre de la actividad"&amp;" · ","")&amp;IF(AND($V91="Sub",N($U91)=0),"Subactividad sin macroactividad arriba"&amp;" · ","")&amp;IF($AM91="","Sin fecha de inicio"&amp;" · ","")&amp;IF($AN91="","Sin fecha límite"&amp;" · ","")&amp;IF(AND(LEFT($C91,11)="[Jefatura] ",N($AL91)=0),"No se encuentra en la hoja de la jefatura (elíjala de nuevo en la lista)"&amp;" · ","")&amp;IF(OR(AND($E91&lt;&gt;"",NOT(ISNUMBER($E91))),AND($F91&lt;&gt;"",NOT(ISNUMBER($F91))),AND($G91&lt;&gt;"",NOT(ISNUMBER($G91)))),"Fecha no válida"&amp;" · ","")&amp;IF(AND(ISNUMBER($AM91),ISNUMBER($AN91),$AM91&gt;$AN91),"Inicio posterior a fecha límite"&amp;" · ","")&amp;IF(AND($V91="Macro",$H91&lt;&gt;"",OR(NOT(ISNUMBER($H91)),$H91&lt;0,$H91&gt;1)),"Peso fuera de rango"&amp;" · ","")&amp;IF(AND($V91="Sub",$H91&lt;&gt;""),"Las subactividades no llevan peso (valen igual dentro de su macroactividad)"&amp;" · ","")&amp;IF(AND(N($W91)&gt;0,COUNT($I91:$L91)&gt;0),"Con subactividades: deje vacías las semanas (se calculan solas)"&amp;" · ","")&amp;IF((COUNTIF($I91:$L91,"&gt;1")+COUNTIF($I91:$L91,"&lt;0")+COUNTA($I91:$L91)-COUNT($I91:$L91))&gt;0,"Avance fuera de rango 0-100%"&amp;" · ","")&amp;IF(OR(AND($J91&lt;&gt;"",$J91&lt;$I91),AND($K91&lt;&gt;"",$K91&lt;MAX($I91:$J91)),AND($L91&lt;&gt;"",$L91&lt;MAX($I91:$K91))),"Avance semanal decreciente"&amp;" · ","")&amp;IF(AND(ISNUMBER($AN91),$AN91&lt;FechaRef,IF($V91="Sub",N($X91),N($M91))&lt;1),"Vencida"&amp;" · ","")&amp;IF(AND(ObsObligatoria="Sí",ISNUMBER($AN91),$AN91&lt;FechaRef,IF($V91="Sub",N($X91),N($M91))&lt;1,$Q91=""),"Vencida sin observación"&amp;" · ",""))-3)))</f>
        <v/>
      </c>
      <c r="S91" s="64">
        <f>IF(NOT((COUNTA($B91:$D91)+COUNTA($G91:$L91)+COUNTA($Q91))&gt;0),"",IF(AND($V91="Sub",N($U91)&gt;0),IF(ISNUMBER(INDEX($AM$5:$AM$1000,$U91-4)),DATE(YEAR(INDEX($AM$5:$AM$1000,$U91-4)),MONTH(INDEX($AM$5:$AM$1000,$U91-4)),1),IF(ISNUMBER(INDEX($AN$5:$AN$1000,$U91-4)),DATE(YEAR(INDEX($AN$5:$AN$1000,$U91-4)),MONTH(INDEX($AN$5:$AN$1000,$U91-4)),1),MesCiclo)),IF(ISNUMBER($AM91),DATE(YEAR($AM91),MONTH($AM91),1),IF(ISNUMBER($AN91),DATE(YEAR($AN91),MONTH($AN91),1),MesCiclo))))</f>
        <v/>
      </c>
      <c r="T91" s="62">
        <f>IF(OR($S91="",$S91&lt;&gt;MesCiclo,$V91&lt;&gt;"Macro"),"",COUNTIFS($S$5:$S91,MesCiclo,$V$5:$V91,"Macro"))</f>
        <v/>
      </c>
      <c r="U91" s="62">
        <f>IF($V91="","",IF($V91="Macro",ROW(),IFERROR(LOOKUP(2,1/($V$5:$V91="Macro"),ROW($V$5:$V91)),0)))</f>
        <v/>
      </c>
      <c r="V91" s="62">
        <f>IF(NOT((COUNTA($B91:$D91)+COUNTA($G91:$L91)+COUNTA($Q91))&gt;0),"",IF($B91="Subactividad","Sub","Macro"))</f>
        <v/>
      </c>
      <c r="W91" s="62">
        <f>IF($V91="Macro",COUNTIFS($U$5:$U$1000,ROW(),$V$5:$V$1000,"Sub"),"")</f>
        <v/>
      </c>
      <c r="X91" s="62">
        <f>IF($V91="","",IF(ISNUMBER($G91),1,IFERROR(LOOKUP(2,1/($I91:$L91&lt;&gt;""),$I91:$L91),0)))</f>
        <v/>
      </c>
      <c r="Y91" s="62">
        <f>IF($V91="","",IF(AND(ISNUMBER($G91),$G91&lt;=IF($S91=MesCiclo,InicioCiclo,$S91+MOD(2-WEEKDAY($S91),7))+6),1,IF(ISNUMBER($I91),$I91,0)))</f>
        <v/>
      </c>
      <c r="Z91" s="62">
        <f>IF($V91="","",IF(AND(ISNUMBER($G91),$G91&lt;=IF($S91=MesCiclo,InicioCiclo,$S91+MOD(2-WEEKDAY($S91),7))+13),1,IF(ISNUMBER($J91),$J91,$Y91)))</f>
        <v/>
      </c>
      <c r="AA91" s="62">
        <f>IF($V91="","",IF(AND(ISNUMBER($G91),$G91&lt;=IF($S91=MesCiclo,InicioCiclo,$S91+MOD(2-WEEKDAY($S91),7))+20),1,IF(ISNUMBER($K91),$K91,$Z91)))</f>
        <v/>
      </c>
      <c r="AB91" s="62">
        <f>IF($V91="","",IF(AND(ISNUMBER($G91),$G91&lt;=IF($S91=MesCiclo,InicioCiclo,$S91+MOD(2-WEEKDAY($S91),7))+27),1,IF(ISNUMBER($L91),$L91,$AA91)))</f>
        <v/>
      </c>
      <c r="AC91" s="62">
        <f>IF($V91="","",IF(AND(ISNUMBER($G91),$G91&lt;=IF($S91=MesCiclo,InicioCiclo,$S91+MOD(2-WEEKDAY($S91),7))+6),1,IF(N($W91)&gt;0,AVERAGEIFS($Y$5:$Y$1000,$U$5:$U$1000,ROW(),$V$5:$V$1000,"Sub"),$Y91)))</f>
        <v/>
      </c>
      <c r="AD91" s="62">
        <f>IF($V91="","",IF(AND(ISNUMBER($G91),$G91&lt;=IF($S91=MesCiclo,InicioCiclo,$S91+MOD(2-WEEKDAY($S91),7))+13),1,IF(N($W91)&gt;0,AVERAGEIFS($Z$5:$Z$1000,$U$5:$U$1000,ROW(),$V$5:$V$1000,"Sub"),$Z91)))</f>
        <v/>
      </c>
      <c r="AE91" s="62">
        <f>IF($V91="","",IF(AND(ISNUMBER($G91),$G91&lt;=IF($S91=MesCiclo,InicioCiclo,$S91+MOD(2-WEEKDAY($S91),7))+20),1,IF(N($W91)&gt;0,AVERAGEIFS($AA$5:$AA$1000,$U$5:$U$1000,ROW(),$V$5:$V$1000,"Sub"),$AA91)))</f>
        <v/>
      </c>
      <c r="AF91" s="62">
        <f>IF($V91="","",IF(AND(ISNUMBER($G91),$G91&lt;=IF($S91=MesCiclo,InicioCiclo,$S91+MOD(2-WEEKDAY($S91),7))+27),1,IF(N($W91)&gt;0,AVERAGEIFS($AB$5:$AB$1000,$U$5:$U$1000,ROW(),$V$5:$V$1000,"Sub"),$AB91)))</f>
        <v/>
      </c>
      <c r="AG91" s="62">
        <f>IF($V91&lt;&gt;"Macro","",IF(COUNTIFS($S$5:$S$1000,$S91,$V$5:$V$1000,"Macro",$H$5:$H$1000,"&gt;0")=0,1/COUNTIFS($S$5:$S$1000,$S91,$V$5:$V$1000,"Macro"),IF(AND(ISNUMBER($H91),N($H91)&gt;0),$H91,SUMIFS($H$5:$H$1000,$S$5:$S$1000,$S91,$V$5:$V$1000,"Macro")/COUNTIFS($S$5:$S$1000,$S91,$V$5:$V$1000,"Macro",$H$5:$H$1000,"&gt;0"))/(COUNTIFS($S$5:$S$1000,$S91,$V$5:$V$1000,"Macro")*SUMIFS($H$5:$H$1000,$S$5:$S$1000,$S91,$V$5:$V$1000,"Macro")/COUNTIFS($S$5:$S$1000,$S91,$V$5:$V$1000,"Macro",$H$5:$H$1000,"&gt;0"))))</f>
        <v/>
      </c>
      <c r="AH91" s="62" t="n"/>
      <c r="AI91" s="62" t="n"/>
      <c r="AJ91" s="62" t="n"/>
      <c r="AK91" s="62" t="n"/>
      <c r="AL91" s="62">
        <f>IF(LEFT($C91,11)="[Jefatura] ",IFERROR(MATCH("Riesgo Normativo|"&amp;MID($C91,12,500),rDname_ADM,0),0),"")</f>
        <v/>
      </c>
      <c r="AM91" s="62">
        <f>IF(N($AL91)&gt;0,INDEX(rIni_ADM,$AL91),IF(ISNUMBER($E91),$E91,""))</f>
        <v/>
      </c>
      <c r="AN91" s="62">
        <f>IF(N($AL91)&gt;0,INDEX(rLim_ADM,$AL91),IF(ISNUMBER($F91),$F91,""))</f>
        <v/>
      </c>
    </row>
    <row r="92">
      <c r="A92" s="56">
        <f>IF(NOT((COUNTA($B92:$D92)+COUNTA($G92:$L92)+COUNTA($Q92))&gt;0),"",IF($V92="Macro",COUNTIFS($V$5:$V92,"Macro",$S$5:$S92,$S92),IF(N($U92)=0,"?",COUNTIFS(INDEX($V$5:$V$1000,1):INDEX($V$5:$V$1000,$U92-4),"Macro",INDEX($S$5:$S$1000,1):INDEX($S$5:$S$1000,$U92-4),INDEX($S$5:$S$1000,$U92-4))&amp;"."&amp;COUNTIFS($U$5:$U92,$U92,$V$5:$V92,"Sub"))))</f>
        <v/>
      </c>
      <c r="B92" s="57" t="n"/>
      <c r="C92" s="58" t="n"/>
      <c r="D92" s="58" t="n"/>
      <c r="E92" s="59">
        <f>IF(N($AL92)&gt;0,INDEX(rIni_ADM,$AL92),"")</f>
        <v/>
      </c>
      <c r="F92" s="59">
        <f>IF(N($AL92)&gt;0,INDEX(rLim_ADM,$AL92),"")</f>
        <v/>
      </c>
      <c r="G92" s="59" t="n"/>
      <c r="H92" s="60" t="n"/>
      <c r="I92" s="60" t="n"/>
      <c r="J92" s="60" t="n"/>
      <c r="K92" s="60" t="n"/>
      <c r="L92" s="60" t="n"/>
      <c r="M92" s="61">
        <f>IF(NOT((COUNTA($B92:$D92)+COUNTA($G92:$L92)+COUNTA($Q92))&gt;0),"",IF($V92="Sub",IFERROR($X92/INDEX($W$5:$W$1000,$U92-4),""),IF(ISNUMBER($G92),1,IF(N($W92)&gt;0,AVERAGEIFS($X$5:$X$1000,$U$5:$U$1000,ROW(),$V$5:$V$1000,"Sub"),$X92))))</f>
        <v/>
      </c>
      <c r="N92" s="56">
        <f>IF(OR($M92="",$V92="Sub"),"",IF($M92&gt;=1,"Completado",IF($M92&gt;0,"En curso","Pendiente")))</f>
        <v/>
      </c>
      <c r="O92" s="56">
        <f>IF(OR(NOT((COUNTA($B92:$D92)+COUNTA($G92:$L92)+COUNTA($Q92))&gt;0),$V92="Sub"),"",IF(ISNUMBER($G92),IF(AND(ISNUMBER($AN92),$G92&gt;$AN92),"Cumplida con "&amp;($G92-$AN92)&amp;IF($G92-$AN92=1," día"," días")&amp;" de retraso","Cumplida"),IF(N($M92)&gt;=1,"Cumplida",IF(NOT(ISNUMBER($AN92)),"Sin fecha límite",IF($AN92&lt;FechaRef,"Vencida hace "&amp;(FechaRef-$AN92)&amp;IF(FechaRef-$AN92=1," día"," días"),IF($AN92=FechaRef,"Vence hoy",IF($AN92-FechaRef&lt;=DiasAlerta,"Vence en "&amp;($AN92-FechaRef)&amp;IF($AN92-FechaRef=1," día"," días"),"En plazo")))))))</f>
        <v/>
      </c>
      <c r="P92" s="62" t="n"/>
      <c r="Q92" s="58" t="n"/>
      <c r="R92" s="63">
        <f>IF(NOT((COUNTA($B92:$D92)+COUNTA($G92:$L92)+COUNTA($Q92))&gt;0),"",IF((IF($C92="","Falta el nombre de la actividad"&amp;" · ","")&amp;IF(AND($V92="Sub",N($U92)=0),"Subactividad sin macroactividad arriba"&amp;" · ","")&amp;IF($AM92="","Sin fecha de inicio"&amp;" · ","")&amp;IF($AN92="","Sin fecha límite"&amp;" · ","")&amp;IF(AND(LEFT($C92,11)="[Jefatura] ",N($AL92)=0),"No se encuentra en la hoja de la jefatura (elíjala de nuevo en la lista)"&amp;" · ","")&amp;IF(OR(AND($E92&lt;&gt;"",NOT(ISNUMBER($E92))),AND($F92&lt;&gt;"",NOT(ISNUMBER($F92))),AND($G92&lt;&gt;"",NOT(ISNUMBER($G92)))),"Fecha no válida"&amp;" · ","")&amp;IF(AND(ISNUMBER($AM92),ISNUMBER($AN92),$AM92&gt;$AN92),"Inicio posterior a fecha límite"&amp;" · ","")&amp;IF(AND($V92="Macro",$H92&lt;&gt;"",OR(NOT(ISNUMBER($H92)),$H92&lt;0,$H92&gt;1)),"Peso fuera de rango"&amp;" · ","")&amp;IF(AND($V92="Sub",$H92&lt;&gt;""),"Las subactividades no llevan peso (valen igual dentro de su macroactividad)"&amp;" · ","")&amp;IF(AND(N($W92)&gt;0,COUNT($I92:$L92)&gt;0),"Con subactividades: deje vacías las semanas (se calculan solas)"&amp;" · ","")&amp;IF((COUNTIF($I92:$L92,"&gt;1")+COUNTIF($I92:$L92,"&lt;0")+COUNTA($I92:$L92)-COUNT($I92:$L92))&gt;0,"Avance fuera de rango 0-100%"&amp;" · ","")&amp;IF(OR(AND($J92&lt;&gt;"",$J92&lt;$I92),AND($K92&lt;&gt;"",$K92&lt;MAX($I92:$J92)),AND($L92&lt;&gt;"",$L92&lt;MAX($I92:$K92))),"Avance semanal decreciente"&amp;" · ","")&amp;IF(AND(ISNUMBER($AN92),$AN92&lt;FechaRef,IF($V92="Sub",N($X92),N($M92))&lt;1),"Vencida"&amp;" · ","")&amp;IF(AND(ObsObligatoria="Sí",ISNUMBER($AN92),$AN92&lt;FechaRef,IF($V92="Sub",N($X92),N($M92))&lt;1,$Q92=""),"Vencida sin observación"&amp;" · ",""))="","✔ OK","⚠ "&amp;LEFT(IF($C92="","Falta el nombre de la actividad"&amp;" · ","")&amp;IF(AND($V92="Sub",N($U92)=0),"Subactividad sin macroactividad arriba"&amp;" · ","")&amp;IF($AM92="","Sin fecha de inicio"&amp;" · ","")&amp;IF($AN92="","Sin fecha límite"&amp;" · ","")&amp;IF(AND(LEFT($C92,11)="[Jefatura] ",N($AL92)=0),"No se encuentra en la hoja de la jefatura (elíjala de nuevo en la lista)"&amp;" · ","")&amp;IF(OR(AND($E92&lt;&gt;"",NOT(ISNUMBER($E92))),AND($F92&lt;&gt;"",NOT(ISNUMBER($F92))),AND($G92&lt;&gt;"",NOT(ISNUMBER($G92)))),"Fecha no válida"&amp;" · ","")&amp;IF(AND(ISNUMBER($AM92),ISNUMBER($AN92),$AM92&gt;$AN92),"Inicio posterior a fecha límite"&amp;" · ","")&amp;IF(AND($V92="Macro",$H92&lt;&gt;"",OR(NOT(ISNUMBER($H92)),$H92&lt;0,$H92&gt;1)),"Peso fuera de rango"&amp;" · ","")&amp;IF(AND($V92="Sub",$H92&lt;&gt;""),"Las subactividades no llevan peso (valen igual dentro de su macroactividad)"&amp;" · ","")&amp;IF(AND(N($W92)&gt;0,COUNT($I92:$L92)&gt;0),"Con subactividades: deje vacías las semanas (se calculan solas)"&amp;" · ","")&amp;IF((COUNTIF($I92:$L92,"&gt;1")+COUNTIF($I92:$L92,"&lt;0")+COUNTA($I92:$L92)-COUNT($I92:$L92))&gt;0,"Avance fuera de rango 0-100%"&amp;" · ","")&amp;IF(OR(AND($J92&lt;&gt;"",$J92&lt;$I92),AND($K92&lt;&gt;"",$K92&lt;MAX($I92:$J92)),AND($L92&lt;&gt;"",$L92&lt;MAX($I92:$K92))),"Avance semanal decreciente"&amp;" · ","")&amp;IF(AND(ISNUMBER($AN92),$AN92&lt;FechaRef,IF($V92="Sub",N($X92),N($M92))&lt;1),"Vencida"&amp;" · ","")&amp;IF(AND(ObsObligatoria="Sí",ISNUMBER($AN92),$AN92&lt;FechaRef,IF($V92="Sub",N($X92),N($M92))&lt;1,$Q92=""),"Vencida sin observación"&amp;" · ",""),LEN(IF($C92="","Falta el nombre de la actividad"&amp;" · ","")&amp;IF(AND($V92="Sub",N($U92)=0),"Subactividad sin macroactividad arriba"&amp;" · ","")&amp;IF($AM92="","Sin fecha de inicio"&amp;" · ","")&amp;IF($AN92="","Sin fecha límite"&amp;" · ","")&amp;IF(AND(LEFT($C92,11)="[Jefatura] ",N($AL92)=0),"No se encuentra en la hoja de la jefatura (elíjala de nuevo en la lista)"&amp;" · ","")&amp;IF(OR(AND($E92&lt;&gt;"",NOT(ISNUMBER($E92))),AND($F92&lt;&gt;"",NOT(ISNUMBER($F92))),AND($G92&lt;&gt;"",NOT(ISNUMBER($G92)))),"Fecha no válida"&amp;" · ","")&amp;IF(AND(ISNUMBER($AM92),ISNUMBER($AN92),$AM92&gt;$AN92),"Inicio posterior a fecha límite"&amp;" · ","")&amp;IF(AND($V92="Macro",$H92&lt;&gt;"",OR(NOT(ISNUMBER($H92)),$H92&lt;0,$H92&gt;1)),"Peso fuera de rango"&amp;" · ","")&amp;IF(AND($V92="Sub",$H92&lt;&gt;""),"Las subactividades no llevan peso (valen igual dentro de su macroactividad)"&amp;" · ","")&amp;IF(AND(N($W92)&gt;0,COUNT($I92:$L92)&gt;0),"Con subactividades: deje vacías las semanas (se calculan solas)"&amp;" · ","")&amp;IF((COUNTIF($I92:$L92,"&gt;1")+COUNTIF($I92:$L92,"&lt;0")+COUNTA($I92:$L92)-COUNT($I92:$L92))&gt;0,"Avance fuera de rango 0-100%"&amp;" · ","")&amp;IF(OR(AND($J92&lt;&gt;"",$J92&lt;$I92),AND($K92&lt;&gt;"",$K92&lt;MAX($I92:$J92)),AND($L92&lt;&gt;"",$L92&lt;MAX($I92:$K92))),"Avance semanal decreciente"&amp;" · ","")&amp;IF(AND(ISNUMBER($AN92),$AN92&lt;FechaRef,IF($V92="Sub",N($X92),N($M92))&lt;1),"Vencida"&amp;" · ","")&amp;IF(AND(ObsObligatoria="Sí",ISNUMBER($AN92),$AN92&lt;FechaRef,IF($V92="Sub",N($X92),N($M92))&lt;1,$Q92=""),"Vencida sin observación"&amp;" · ",""))-3)))</f>
        <v/>
      </c>
      <c r="S92" s="64">
        <f>IF(NOT((COUNTA($B92:$D92)+COUNTA($G92:$L92)+COUNTA($Q92))&gt;0),"",IF(AND($V92="Sub",N($U92)&gt;0),IF(ISNUMBER(INDEX($AM$5:$AM$1000,$U92-4)),DATE(YEAR(INDEX($AM$5:$AM$1000,$U92-4)),MONTH(INDEX($AM$5:$AM$1000,$U92-4)),1),IF(ISNUMBER(INDEX($AN$5:$AN$1000,$U92-4)),DATE(YEAR(INDEX($AN$5:$AN$1000,$U92-4)),MONTH(INDEX($AN$5:$AN$1000,$U92-4)),1),MesCiclo)),IF(ISNUMBER($AM92),DATE(YEAR($AM92),MONTH($AM92),1),IF(ISNUMBER($AN92),DATE(YEAR($AN92),MONTH($AN92),1),MesCiclo))))</f>
        <v/>
      </c>
      <c r="T92" s="62">
        <f>IF(OR($S92="",$S92&lt;&gt;MesCiclo,$V92&lt;&gt;"Macro"),"",COUNTIFS($S$5:$S92,MesCiclo,$V$5:$V92,"Macro"))</f>
        <v/>
      </c>
      <c r="U92" s="62">
        <f>IF($V92="","",IF($V92="Macro",ROW(),IFERROR(LOOKUP(2,1/($V$5:$V92="Macro"),ROW($V$5:$V92)),0)))</f>
        <v/>
      </c>
      <c r="V92" s="62">
        <f>IF(NOT((COUNTA($B92:$D92)+COUNTA($G92:$L92)+COUNTA($Q92))&gt;0),"",IF($B92="Subactividad","Sub","Macro"))</f>
        <v/>
      </c>
      <c r="W92" s="62">
        <f>IF($V92="Macro",COUNTIFS($U$5:$U$1000,ROW(),$V$5:$V$1000,"Sub"),"")</f>
        <v/>
      </c>
      <c r="X92" s="62">
        <f>IF($V92="","",IF(ISNUMBER($G92),1,IFERROR(LOOKUP(2,1/($I92:$L92&lt;&gt;""),$I92:$L92),0)))</f>
        <v/>
      </c>
      <c r="Y92" s="62">
        <f>IF($V92="","",IF(AND(ISNUMBER($G92),$G92&lt;=IF($S92=MesCiclo,InicioCiclo,$S92+MOD(2-WEEKDAY($S92),7))+6),1,IF(ISNUMBER($I92),$I92,0)))</f>
        <v/>
      </c>
      <c r="Z92" s="62">
        <f>IF($V92="","",IF(AND(ISNUMBER($G92),$G92&lt;=IF($S92=MesCiclo,InicioCiclo,$S92+MOD(2-WEEKDAY($S92),7))+13),1,IF(ISNUMBER($J92),$J92,$Y92)))</f>
        <v/>
      </c>
      <c r="AA92" s="62">
        <f>IF($V92="","",IF(AND(ISNUMBER($G92),$G92&lt;=IF($S92=MesCiclo,InicioCiclo,$S92+MOD(2-WEEKDAY($S92),7))+20),1,IF(ISNUMBER($K92),$K92,$Z92)))</f>
        <v/>
      </c>
      <c r="AB92" s="62">
        <f>IF($V92="","",IF(AND(ISNUMBER($G92),$G92&lt;=IF($S92=MesCiclo,InicioCiclo,$S92+MOD(2-WEEKDAY($S92),7))+27),1,IF(ISNUMBER($L92),$L92,$AA92)))</f>
        <v/>
      </c>
      <c r="AC92" s="62">
        <f>IF($V92="","",IF(AND(ISNUMBER($G92),$G92&lt;=IF($S92=MesCiclo,InicioCiclo,$S92+MOD(2-WEEKDAY($S92),7))+6),1,IF(N($W92)&gt;0,AVERAGEIFS($Y$5:$Y$1000,$U$5:$U$1000,ROW(),$V$5:$V$1000,"Sub"),$Y92)))</f>
        <v/>
      </c>
      <c r="AD92" s="62">
        <f>IF($V92="","",IF(AND(ISNUMBER($G92),$G92&lt;=IF($S92=MesCiclo,InicioCiclo,$S92+MOD(2-WEEKDAY($S92),7))+13),1,IF(N($W92)&gt;0,AVERAGEIFS($Z$5:$Z$1000,$U$5:$U$1000,ROW(),$V$5:$V$1000,"Sub"),$Z92)))</f>
        <v/>
      </c>
      <c r="AE92" s="62">
        <f>IF($V92="","",IF(AND(ISNUMBER($G92),$G92&lt;=IF($S92=MesCiclo,InicioCiclo,$S92+MOD(2-WEEKDAY($S92),7))+20),1,IF(N($W92)&gt;0,AVERAGEIFS($AA$5:$AA$1000,$U$5:$U$1000,ROW(),$V$5:$V$1000,"Sub"),$AA92)))</f>
        <v/>
      </c>
      <c r="AF92" s="62">
        <f>IF($V92="","",IF(AND(ISNUMBER($G92),$G92&lt;=IF($S92=MesCiclo,InicioCiclo,$S92+MOD(2-WEEKDAY($S92),7))+27),1,IF(N($W92)&gt;0,AVERAGEIFS($AB$5:$AB$1000,$U$5:$U$1000,ROW(),$V$5:$V$1000,"Sub"),$AB92)))</f>
        <v/>
      </c>
      <c r="AG92" s="62">
        <f>IF($V92&lt;&gt;"Macro","",IF(COUNTIFS($S$5:$S$1000,$S92,$V$5:$V$1000,"Macro",$H$5:$H$1000,"&gt;0")=0,1/COUNTIFS($S$5:$S$1000,$S92,$V$5:$V$1000,"Macro"),IF(AND(ISNUMBER($H92),N($H92)&gt;0),$H92,SUMIFS($H$5:$H$1000,$S$5:$S$1000,$S92,$V$5:$V$1000,"Macro")/COUNTIFS($S$5:$S$1000,$S92,$V$5:$V$1000,"Macro",$H$5:$H$1000,"&gt;0"))/(COUNTIFS($S$5:$S$1000,$S92,$V$5:$V$1000,"Macro")*SUMIFS($H$5:$H$1000,$S$5:$S$1000,$S92,$V$5:$V$1000,"Macro")/COUNTIFS($S$5:$S$1000,$S92,$V$5:$V$1000,"Macro",$H$5:$H$1000,"&gt;0"))))</f>
        <v/>
      </c>
      <c r="AH92" s="62" t="n"/>
      <c r="AI92" s="62" t="n"/>
      <c r="AJ92" s="62" t="n"/>
      <c r="AK92" s="62" t="n"/>
      <c r="AL92" s="62">
        <f>IF(LEFT($C92,11)="[Jefatura] ",IFERROR(MATCH("Riesgo Normativo|"&amp;MID($C92,12,500),rDname_ADM,0),0),"")</f>
        <v/>
      </c>
      <c r="AM92" s="62">
        <f>IF(N($AL92)&gt;0,INDEX(rIni_ADM,$AL92),IF(ISNUMBER($E92),$E92,""))</f>
        <v/>
      </c>
      <c r="AN92" s="62">
        <f>IF(N($AL92)&gt;0,INDEX(rLim_ADM,$AL92),IF(ISNUMBER($F92),$F92,""))</f>
        <v/>
      </c>
    </row>
    <row r="93">
      <c r="A93" s="56">
        <f>IF(NOT((COUNTA($B93:$D93)+COUNTA($G93:$L93)+COUNTA($Q93))&gt;0),"",IF($V93="Macro",COUNTIFS($V$5:$V93,"Macro",$S$5:$S93,$S93),IF(N($U93)=0,"?",COUNTIFS(INDEX($V$5:$V$1000,1):INDEX($V$5:$V$1000,$U93-4),"Macro",INDEX($S$5:$S$1000,1):INDEX($S$5:$S$1000,$U93-4),INDEX($S$5:$S$1000,$U93-4))&amp;"."&amp;COUNTIFS($U$5:$U93,$U93,$V$5:$V93,"Sub"))))</f>
        <v/>
      </c>
      <c r="B93" s="57" t="n"/>
      <c r="C93" s="58" t="n"/>
      <c r="D93" s="58" t="n"/>
      <c r="E93" s="59">
        <f>IF(N($AL93)&gt;0,INDEX(rIni_ADM,$AL93),"")</f>
        <v/>
      </c>
      <c r="F93" s="59">
        <f>IF(N($AL93)&gt;0,INDEX(rLim_ADM,$AL93),"")</f>
        <v/>
      </c>
      <c r="G93" s="59" t="n"/>
      <c r="H93" s="60" t="n"/>
      <c r="I93" s="60" t="n"/>
      <c r="J93" s="60" t="n"/>
      <c r="K93" s="60" t="n"/>
      <c r="L93" s="60" t="n"/>
      <c r="M93" s="61">
        <f>IF(NOT((COUNTA($B93:$D93)+COUNTA($G93:$L93)+COUNTA($Q93))&gt;0),"",IF($V93="Sub",IFERROR($X93/INDEX($W$5:$W$1000,$U93-4),""),IF(ISNUMBER($G93),1,IF(N($W93)&gt;0,AVERAGEIFS($X$5:$X$1000,$U$5:$U$1000,ROW(),$V$5:$V$1000,"Sub"),$X93))))</f>
        <v/>
      </c>
      <c r="N93" s="56">
        <f>IF(OR($M93="",$V93="Sub"),"",IF($M93&gt;=1,"Completado",IF($M93&gt;0,"En curso","Pendiente")))</f>
        <v/>
      </c>
      <c r="O93" s="56">
        <f>IF(OR(NOT((COUNTA($B93:$D93)+COUNTA($G93:$L93)+COUNTA($Q93))&gt;0),$V93="Sub"),"",IF(ISNUMBER($G93),IF(AND(ISNUMBER($AN93),$G93&gt;$AN93),"Cumplida con "&amp;($G93-$AN93)&amp;IF($G93-$AN93=1," día"," días")&amp;" de retraso","Cumplida"),IF(N($M93)&gt;=1,"Cumplida",IF(NOT(ISNUMBER($AN93)),"Sin fecha límite",IF($AN93&lt;FechaRef,"Vencida hace "&amp;(FechaRef-$AN93)&amp;IF(FechaRef-$AN93=1," día"," días"),IF($AN93=FechaRef,"Vence hoy",IF($AN93-FechaRef&lt;=DiasAlerta,"Vence en "&amp;($AN93-FechaRef)&amp;IF($AN93-FechaRef=1," día"," días"),"En plazo")))))))</f>
        <v/>
      </c>
      <c r="P93" s="62" t="n"/>
      <c r="Q93" s="58" t="n"/>
      <c r="R93" s="63">
        <f>IF(NOT((COUNTA($B93:$D93)+COUNTA($G93:$L93)+COUNTA($Q93))&gt;0),"",IF((IF($C93="","Falta el nombre de la actividad"&amp;" · ","")&amp;IF(AND($V93="Sub",N($U93)=0),"Subactividad sin macroactividad arriba"&amp;" · ","")&amp;IF($AM93="","Sin fecha de inicio"&amp;" · ","")&amp;IF($AN93="","Sin fecha límite"&amp;" · ","")&amp;IF(AND(LEFT($C93,11)="[Jefatura] ",N($AL93)=0),"No se encuentra en la hoja de la jefatura (elíjala de nuevo en la lista)"&amp;" · ","")&amp;IF(OR(AND($E93&lt;&gt;"",NOT(ISNUMBER($E93))),AND($F93&lt;&gt;"",NOT(ISNUMBER($F93))),AND($G93&lt;&gt;"",NOT(ISNUMBER($G93)))),"Fecha no válida"&amp;" · ","")&amp;IF(AND(ISNUMBER($AM93),ISNUMBER($AN93),$AM93&gt;$AN93),"Inicio posterior a fecha límite"&amp;" · ","")&amp;IF(AND($V93="Macro",$H93&lt;&gt;"",OR(NOT(ISNUMBER($H93)),$H93&lt;0,$H93&gt;1)),"Peso fuera de rango"&amp;" · ","")&amp;IF(AND($V93="Sub",$H93&lt;&gt;""),"Las subactividades no llevan peso (valen igual dentro de su macroactividad)"&amp;" · ","")&amp;IF(AND(N($W93)&gt;0,COUNT($I93:$L93)&gt;0),"Con subactividades: deje vacías las semanas (se calculan solas)"&amp;" · ","")&amp;IF((COUNTIF($I93:$L93,"&gt;1")+COUNTIF($I93:$L93,"&lt;0")+COUNTA($I93:$L93)-COUNT($I93:$L93))&gt;0,"Avance fuera de rango 0-100%"&amp;" · ","")&amp;IF(OR(AND($J93&lt;&gt;"",$J93&lt;$I93),AND($K93&lt;&gt;"",$K93&lt;MAX($I93:$J93)),AND($L93&lt;&gt;"",$L93&lt;MAX($I93:$K93))),"Avance semanal decreciente"&amp;" · ","")&amp;IF(AND(ISNUMBER($AN93),$AN93&lt;FechaRef,IF($V93="Sub",N($X93),N($M93))&lt;1),"Vencida"&amp;" · ","")&amp;IF(AND(ObsObligatoria="Sí",ISNUMBER($AN93),$AN93&lt;FechaRef,IF($V93="Sub",N($X93),N($M93))&lt;1,$Q93=""),"Vencida sin observación"&amp;" · ",""))="","✔ OK","⚠ "&amp;LEFT(IF($C93="","Falta el nombre de la actividad"&amp;" · ","")&amp;IF(AND($V93="Sub",N($U93)=0),"Subactividad sin macroactividad arriba"&amp;" · ","")&amp;IF($AM93="","Sin fecha de inicio"&amp;" · ","")&amp;IF($AN93="","Sin fecha límite"&amp;" · ","")&amp;IF(AND(LEFT($C93,11)="[Jefatura] ",N($AL93)=0),"No se encuentra en la hoja de la jefatura (elíjala de nuevo en la lista)"&amp;" · ","")&amp;IF(OR(AND($E93&lt;&gt;"",NOT(ISNUMBER($E93))),AND($F93&lt;&gt;"",NOT(ISNUMBER($F93))),AND($G93&lt;&gt;"",NOT(ISNUMBER($G93)))),"Fecha no válida"&amp;" · ","")&amp;IF(AND(ISNUMBER($AM93),ISNUMBER($AN93),$AM93&gt;$AN93),"Inicio posterior a fecha límite"&amp;" · ","")&amp;IF(AND($V93="Macro",$H93&lt;&gt;"",OR(NOT(ISNUMBER($H93)),$H93&lt;0,$H93&gt;1)),"Peso fuera de rango"&amp;" · ","")&amp;IF(AND($V93="Sub",$H93&lt;&gt;""),"Las subactividades no llevan peso (valen igual dentro de su macroactividad)"&amp;" · ","")&amp;IF(AND(N($W93)&gt;0,COUNT($I93:$L93)&gt;0),"Con subactividades: deje vacías las semanas (se calculan solas)"&amp;" · ","")&amp;IF((COUNTIF($I93:$L93,"&gt;1")+COUNTIF($I93:$L93,"&lt;0")+COUNTA($I93:$L93)-COUNT($I93:$L93))&gt;0,"Avance fuera de rango 0-100%"&amp;" · ","")&amp;IF(OR(AND($J93&lt;&gt;"",$J93&lt;$I93),AND($K93&lt;&gt;"",$K93&lt;MAX($I93:$J93)),AND($L93&lt;&gt;"",$L93&lt;MAX($I93:$K93))),"Avance semanal decreciente"&amp;" · ","")&amp;IF(AND(ISNUMBER($AN93),$AN93&lt;FechaRef,IF($V93="Sub",N($X93),N($M93))&lt;1),"Vencida"&amp;" · ","")&amp;IF(AND(ObsObligatoria="Sí",ISNUMBER($AN93),$AN93&lt;FechaRef,IF($V93="Sub",N($X93),N($M93))&lt;1,$Q93=""),"Vencida sin observación"&amp;" · ",""),LEN(IF($C93="","Falta el nombre de la actividad"&amp;" · ","")&amp;IF(AND($V93="Sub",N($U93)=0),"Subactividad sin macroactividad arriba"&amp;" · ","")&amp;IF($AM93="","Sin fecha de inicio"&amp;" · ","")&amp;IF($AN93="","Sin fecha límite"&amp;" · ","")&amp;IF(AND(LEFT($C93,11)="[Jefatura] ",N($AL93)=0),"No se encuentra en la hoja de la jefatura (elíjala de nuevo en la lista)"&amp;" · ","")&amp;IF(OR(AND($E93&lt;&gt;"",NOT(ISNUMBER($E93))),AND($F93&lt;&gt;"",NOT(ISNUMBER($F93))),AND($G93&lt;&gt;"",NOT(ISNUMBER($G93)))),"Fecha no válida"&amp;" · ","")&amp;IF(AND(ISNUMBER($AM93),ISNUMBER($AN93),$AM93&gt;$AN93),"Inicio posterior a fecha límite"&amp;" · ","")&amp;IF(AND($V93="Macro",$H93&lt;&gt;"",OR(NOT(ISNUMBER($H93)),$H93&lt;0,$H93&gt;1)),"Peso fuera de rango"&amp;" · ","")&amp;IF(AND($V93="Sub",$H93&lt;&gt;""),"Las subactividades no llevan peso (valen igual dentro de su macroactividad)"&amp;" · ","")&amp;IF(AND(N($W93)&gt;0,COUNT($I93:$L93)&gt;0),"Con subactividades: deje vacías las semanas (se calculan solas)"&amp;" · ","")&amp;IF((COUNTIF($I93:$L93,"&gt;1")+COUNTIF($I93:$L93,"&lt;0")+COUNTA($I93:$L93)-COUNT($I93:$L93))&gt;0,"Avance fuera de rango 0-100%"&amp;" · ","")&amp;IF(OR(AND($J93&lt;&gt;"",$J93&lt;$I93),AND($K93&lt;&gt;"",$K93&lt;MAX($I93:$J93)),AND($L93&lt;&gt;"",$L93&lt;MAX($I93:$K93))),"Avance semanal decreciente"&amp;" · ","")&amp;IF(AND(ISNUMBER($AN93),$AN93&lt;FechaRef,IF($V93="Sub",N($X93),N($M93))&lt;1),"Vencida"&amp;" · ","")&amp;IF(AND(ObsObligatoria="Sí",ISNUMBER($AN93),$AN93&lt;FechaRef,IF($V93="Sub",N($X93),N($M93))&lt;1,$Q93=""),"Vencida sin observación"&amp;" · ",""))-3)))</f>
        <v/>
      </c>
      <c r="S93" s="64">
        <f>IF(NOT((COUNTA($B93:$D93)+COUNTA($G93:$L93)+COUNTA($Q93))&gt;0),"",IF(AND($V93="Sub",N($U93)&gt;0),IF(ISNUMBER(INDEX($AM$5:$AM$1000,$U93-4)),DATE(YEAR(INDEX($AM$5:$AM$1000,$U93-4)),MONTH(INDEX($AM$5:$AM$1000,$U93-4)),1),IF(ISNUMBER(INDEX($AN$5:$AN$1000,$U93-4)),DATE(YEAR(INDEX($AN$5:$AN$1000,$U93-4)),MONTH(INDEX($AN$5:$AN$1000,$U93-4)),1),MesCiclo)),IF(ISNUMBER($AM93),DATE(YEAR($AM93),MONTH($AM93),1),IF(ISNUMBER($AN93),DATE(YEAR($AN93),MONTH($AN93),1),MesCiclo))))</f>
        <v/>
      </c>
      <c r="T93" s="62">
        <f>IF(OR($S93="",$S93&lt;&gt;MesCiclo,$V93&lt;&gt;"Macro"),"",COUNTIFS($S$5:$S93,MesCiclo,$V$5:$V93,"Macro"))</f>
        <v/>
      </c>
      <c r="U93" s="62">
        <f>IF($V93="","",IF($V93="Macro",ROW(),IFERROR(LOOKUP(2,1/($V$5:$V93="Macro"),ROW($V$5:$V93)),0)))</f>
        <v/>
      </c>
      <c r="V93" s="62">
        <f>IF(NOT((COUNTA($B93:$D93)+COUNTA($G93:$L93)+COUNTA($Q93))&gt;0),"",IF($B93="Subactividad","Sub","Macro"))</f>
        <v/>
      </c>
      <c r="W93" s="62">
        <f>IF($V93="Macro",COUNTIFS($U$5:$U$1000,ROW(),$V$5:$V$1000,"Sub"),"")</f>
        <v/>
      </c>
      <c r="X93" s="62">
        <f>IF($V93="","",IF(ISNUMBER($G93),1,IFERROR(LOOKUP(2,1/($I93:$L93&lt;&gt;""),$I93:$L93),0)))</f>
        <v/>
      </c>
      <c r="Y93" s="62">
        <f>IF($V93="","",IF(AND(ISNUMBER($G93),$G93&lt;=IF($S93=MesCiclo,InicioCiclo,$S93+MOD(2-WEEKDAY($S93),7))+6),1,IF(ISNUMBER($I93),$I93,0)))</f>
        <v/>
      </c>
      <c r="Z93" s="62">
        <f>IF($V93="","",IF(AND(ISNUMBER($G93),$G93&lt;=IF($S93=MesCiclo,InicioCiclo,$S93+MOD(2-WEEKDAY($S93),7))+13),1,IF(ISNUMBER($J93),$J93,$Y93)))</f>
        <v/>
      </c>
      <c r="AA93" s="62">
        <f>IF($V93="","",IF(AND(ISNUMBER($G93),$G93&lt;=IF($S93=MesCiclo,InicioCiclo,$S93+MOD(2-WEEKDAY($S93),7))+20),1,IF(ISNUMBER($K93),$K93,$Z93)))</f>
        <v/>
      </c>
      <c r="AB93" s="62">
        <f>IF($V93="","",IF(AND(ISNUMBER($G93),$G93&lt;=IF($S93=MesCiclo,InicioCiclo,$S93+MOD(2-WEEKDAY($S93),7))+27),1,IF(ISNUMBER($L93),$L93,$AA93)))</f>
        <v/>
      </c>
      <c r="AC93" s="62">
        <f>IF($V93="","",IF(AND(ISNUMBER($G93),$G93&lt;=IF($S93=MesCiclo,InicioCiclo,$S93+MOD(2-WEEKDAY($S93),7))+6),1,IF(N($W93)&gt;0,AVERAGEIFS($Y$5:$Y$1000,$U$5:$U$1000,ROW(),$V$5:$V$1000,"Sub"),$Y93)))</f>
        <v/>
      </c>
      <c r="AD93" s="62">
        <f>IF($V93="","",IF(AND(ISNUMBER($G93),$G93&lt;=IF($S93=MesCiclo,InicioCiclo,$S93+MOD(2-WEEKDAY($S93),7))+13),1,IF(N($W93)&gt;0,AVERAGEIFS($Z$5:$Z$1000,$U$5:$U$1000,ROW(),$V$5:$V$1000,"Sub"),$Z93)))</f>
        <v/>
      </c>
      <c r="AE93" s="62">
        <f>IF($V93="","",IF(AND(ISNUMBER($G93),$G93&lt;=IF($S93=MesCiclo,InicioCiclo,$S93+MOD(2-WEEKDAY($S93),7))+20),1,IF(N($W93)&gt;0,AVERAGEIFS($AA$5:$AA$1000,$U$5:$U$1000,ROW(),$V$5:$V$1000,"Sub"),$AA93)))</f>
        <v/>
      </c>
      <c r="AF93" s="62">
        <f>IF($V93="","",IF(AND(ISNUMBER($G93),$G93&lt;=IF($S93=MesCiclo,InicioCiclo,$S93+MOD(2-WEEKDAY($S93),7))+27),1,IF(N($W93)&gt;0,AVERAGEIFS($AB$5:$AB$1000,$U$5:$U$1000,ROW(),$V$5:$V$1000,"Sub"),$AB93)))</f>
        <v/>
      </c>
      <c r="AG93" s="62">
        <f>IF($V93&lt;&gt;"Macro","",IF(COUNTIFS($S$5:$S$1000,$S93,$V$5:$V$1000,"Macro",$H$5:$H$1000,"&gt;0")=0,1/COUNTIFS($S$5:$S$1000,$S93,$V$5:$V$1000,"Macro"),IF(AND(ISNUMBER($H93),N($H93)&gt;0),$H93,SUMIFS($H$5:$H$1000,$S$5:$S$1000,$S93,$V$5:$V$1000,"Macro")/COUNTIFS($S$5:$S$1000,$S93,$V$5:$V$1000,"Macro",$H$5:$H$1000,"&gt;0"))/(COUNTIFS($S$5:$S$1000,$S93,$V$5:$V$1000,"Macro")*SUMIFS($H$5:$H$1000,$S$5:$S$1000,$S93,$V$5:$V$1000,"Macro")/COUNTIFS($S$5:$S$1000,$S93,$V$5:$V$1000,"Macro",$H$5:$H$1000,"&gt;0"))))</f>
        <v/>
      </c>
      <c r="AH93" s="62" t="n"/>
      <c r="AI93" s="62" t="n"/>
      <c r="AJ93" s="62" t="n"/>
      <c r="AK93" s="62" t="n"/>
      <c r="AL93" s="62">
        <f>IF(LEFT($C93,11)="[Jefatura] ",IFERROR(MATCH("Riesgo Normativo|"&amp;MID($C93,12,500),rDname_ADM,0),0),"")</f>
        <v/>
      </c>
      <c r="AM93" s="62">
        <f>IF(N($AL93)&gt;0,INDEX(rIni_ADM,$AL93),IF(ISNUMBER($E93),$E93,""))</f>
        <v/>
      </c>
      <c r="AN93" s="62">
        <f>IF(N($AL93)&gt;0,INDEX(rLim_ADM,$AL93),IF(ISNUMBER($F93),$F93,""))</f>
        <v/>
      </c>
    </row>
    <row r="94">
      <c r="A94" s="56">
        <f>IF(NOT((COUNTA($B94:$D94)+COUNTA($G94:$L94)+COUNTA($Q94))&gt;0),"",IF($V94="Macro",COUNTIFS($V$5:$V94,"Macro",$S$5:$S94,$S94),IF(N($U94)=0,"?",COUNTIFS(INDEX($V$5:$V$1000,1):INDEX($V$5:$V$1000,$U94-4),"Macro",INDEX($S$5:$S$1000,1):INDEX($S$5:$S$1000,$U94-4),INDEX($S$5:$S$1000,$U94-4))&amp;"."&amp;COUNTIFS($U$5:$U94,$U94,$V$5:$V94,"Sub"))))</f>
        <v/>
      </c>
      <c r="B94" s="57" t="n"/>
      <c r="C94" s="58" t="n"/>
      <c r="D94" s="58" t="n"/>
      <c r="E94" s="59">
        <f>IF(N($AL94)&gt;0,INDEX(rIni_ADM,$AL94),"")</f>
        <v/>
      </c>
      <c r="F94" s="59">
        <f>IF(N($AL94)&gt;0,INDEX(rLim_ADM,$AL94),"")</f>
        <v/>
      </c>
      <c r="G94" s="59" t="n"/>
      <c r="H94" s="60" t="n"/>
      <c r="I94" s="60" t="n"/>
      <c r="J94" s="60" t="n"/>
      <c r="K94" s="60" t="n"/>
      <c r="L94" s="60" t="n"/>
      <c r="M94" s="61">
        <f>IF(NOT((COUNTA($B94:$D94)+COUNTA($G94:$L94)+COUNTA($Q94))&gt;0),"",IF($V94="Sub",IFERROR($X94/INDEX($W$5:$W$1000,$U94-4),""),IF(ISNUMBER($G94),1,IF(N($W94)&gt;0,AVERAGEIFS($X$5:$X$1000,$U$5:$U$1000,ROW(),$V$5:$V$1000,"Sub"),$X94))))</f>
        <v/>
      </c>
      <c r="N94" s="56">
        <f>IF(OR($M94="",$V94="Sub"),"",IF($M94&gt;=1,"Completado",IF($M94&gt;0,"En curso","Pendiente")))</f>
        <v/>
      </c>
      <c r="O94" s="56">
        <f>IF(OR(NOT((COUNTA($B94:$D94)+COUNTA($G94:$L94)+COUNTA($Q94))&gt;0),$V94="Sub"),"",IF(ISNUMBER($G94),IF(AND(ISNUMBER($AN94),$G94&gt;$AN94),"Cumplida con "&amp;($G94-$AN94)&amp;IF($G94-$AN94=1," día"," días")&amp;" de retraso","Cumplida"),IF(N($M94)&gt;=1,"Cumplida",IF(NOT(ISNUMBER($AN94)),"Sin fecha límite",IF($AN94&lt;FechaRef,"Vencida hace "&amp;(FechaRef-$AN94)&amp;IF(FechaRef-$AN94=1," día"," días"),IF($AN94=FechaRef,"Vence hoy",IF($AN94-FechaRef&lt;=DiasAlerta,"Vence en "&amp;($AN94-FechaRef)&amp;IF($AN94-FechaRef=1," día"," días"),"En plazo")))))))</f>
        <v/>
      </c>
      <c r="P94" s="62" t="n"/>
      <c r="Q94" s="58" t="n"/>
      <c r="R94" s="63">
        <f>IF(NOT((COUNTA($B94:$D94)+COUNTA($G94:$L94)+COUNTA($Q94))&gt;0),"",IF((IF($C94="","Falta el nombre de la actividad"&amp;" · ","")&amp;IF(AND($V94="Sub",N($U94)=0),"Subactividad sin macroactividad arriba"&amp;" · ","")&amp;IF($AM94="","Sin fecha de inicio"&amp;" · ","")&amp;IF($AN94="","Sin fecha límite"&amp;" · ","")&amp;IF(AND(LEFT($C94,11)="[Jefatura] ",N($AL94)=0),"No se encuentra en la hoja de la jefatura (elíjala de nuevo en la lista)"&amp;" · ","")&amp;IF(OR(AND($E94&lt;&gt;"",NOT(ISNUMBER($E94))),AND($F94&lt;&gt;"",NOT(ISNUMBER($F94))),AND($G94&lt;&gt;"",NOT(ISNUMBER($G94)))),"Fecha no válida"&amp;" · ","")&amp;IF(AND(ISNUMBER($AM94),ISNUMBER($AN94),$AM94&gt;$AN94),"Inicio posterior a fecha límite"&amp;" · ","")&amp;IF(AND($V94="Macro",$H94&lt;&gt;"",OR(NOT(ISNUMBER($H94)),$H94&lt;0,$H94&gt;1)),"Peso fuera de rango"&amp;" · ","")&amp;IF(AND($V94="Sub",$H94&lt;&gt;""),"Las subactividades no llevan peso (valen igual dentro de su macroactividad)"&amp;" · ","")&amp;IF(AND(N($W94)&gt;0,COUNT($I94:$L94)&gt;0),"Con subactividades: deje vacías las semanas (se calculan solas)"&amp;" · ","")&amp;IF((COUNTIF($I94:$L94,"&gt;1")+COUNTIF($I94:$L94,"&lt;0")+COUNTA($I94:$L94)-COUNT($I94:$L94))&gt;0,"Avance fuera de rango 0-100%"&amp;" · ","")&amp;IF(OR(AND($J94&lt;&gt;"",$J94&lt;$I94),AND($K94&lt;&gt;"",$K94&lt;MAX($I94:$J94)),AND($L94&lt;&gt;"",$L94&lt;MAX($I94:$K94))),"Avance semanal decreciente"&amp;" · ","")&amp;IF(AND(ISNUMBER($AN94),$AN94&lt;FechaRef,IF($V94="Sub",N($X94),N($M94))&lt;1),"Vencida"&amp;" · ","")&amp;IF(AND(ObsObligatoria="Sí",ISNUMBER($AN94),$AN94&lt;FechaRef,IF($V94="Sub",N($X94),N($M94))&lt;1,$Q94=""),"Vencida sin observación"&amp;" · ",""))="","✔ OK","⚠ "&amp;LEFT(IF($C94="","Falta el nombre de la actividad"&amp;" · ","")&amp;IF(AND($V94="Sub",N($U94)=0),"Subactividad sin macroactividad arriba"&amp;" · ","")&amp;IF($AM94="","Sin fecha de inicio"&amp;" · ","")&amp;IF($AN94="","Sin fecha límite"&amp;" · ","")&amp;IF(AND(LEFT($C94,11)="[Jefatura] ",N($AL94)=0),"No se encuentra en la hoja de la jefatura (elíjala de nuevo en la lista)"&amp;" · ","")&amp;IF(OR(AND($E94&lt;&gt;"",NOT(ISNUMBER($E94))),AND($F94&lt;&gt;"",NOT(ISNUMBER($F94))),AND($G94&lt;&gt;"",NOT(ISNUMBER($G94)))),"Fecha no válida"&amp;" · ","")&amp;IF(AND(ISNUMBER($AM94),ISNUMBER($AN94),$AM94&gt;$AN94),"Inicio posterior a fecha límite"&amp;" · ","")&amp;IF(AND($V94="Macro",$H94&lt;&gt;"",OR(NOT(ISNUMBER($H94)),$H94&lt;0,$H94&gt;1)),"Peso fuera de rango"&amp;" · ","")&amp;IF(AND($V94="Sub",$H94&lt;&gt;""),"Las subactividades no llevan peso (valen igual dentro de su macroactividad)"&amp;" · ","")&amp;IF(AND(N($W94)&gt;0,COUNT($I94:$L94)&gt;0),"Con subactividades: deje vacías las semanas (se calculan solas)"&amp;" · ","")&amp;IF((COUNTIF($I94:$L94,"&gt;1")+COUNTIF($I94:$L94,"&lt;0")+COUNTA($I94:$L94)-COUNT($I94:$L94))&gt;0,"Avance fuera de rango 0-100%"&amp;" · ","")&amp;IF(OR(AND($J94&lt;&gt;"",$J94&lt;$I94),AND($K94&lt;&gt;"",$K94&lt;MAX($I94:$J94)),AND($L94&lt;&gt;"",$L94&lt;MAX($I94:$K94))),"Avance semanal decreciente"&amp;" · ","")&amp;IF(AND(ISNUMBER($AN94),$AN94&lt;FechaRef,IF($V94="Sub",N($X94),N($M94))&lt;1),"Vencida"&amp;" · ","")&amp;IF(AND(ObsObligatoria="Sí",ISNUMBER($AN94),$AN94&lt;FechaRef,IF($V94="Sub",N($X94),N($M94))&lt;1,$Q94=""),"Vencida sin observación"&amp;" · ",""),LEN(IF($C94="","Falta el nombre de la actividad"&amp;" · ","")&amp;IF(AND($V94="Sub",N($U94)=0),"Subactividad sin macroactividad arriba"&amp;" · ","")&amp;IF($AM94="","Sin fecha de inicio"&amp;" · ","")&amp;IF($AN94="","Sin fecha límite"&amp;" · ","")&amp;IF(AND(LEFT($C94,11)="[Jefatura] ",N($AL94)=0),"No se encuentra en la hoja de la jefatura (elíjala de nuevo en la lista)"&amp;" · ","")&amp;IF(OR(AND($E94&lt;&gt;"",NOT(ISNUMBER($E94))),AND($F94&lt;&gt;"",NOT(ISNUMBER($F94))),AND($G94&lt;&gt;"",NOT(ISNUMBER($G94)))),"Fecha no válida"&amp;" · ","")&amp;IF(AND(ISNUMBER($AM94),ISNUMBER($AN94),$AM94&gt;$AN94),"Inicio posterior a fecha límite"&amp;" · ","")&amp;IF(AND($V94="Macro",$H94&lt;&gt;"",OR(NOT(ISNUMBER($H94)),$H94&lt;0,$H94&gt;1)),"Peso fuera de rango"&amp;" · ","")&amp;IF(AND($V94="Sub",$H94&lt;&gt;""),"Las subactividades no llevan peso (valen igual dentro de su macroactividad)"&amp;" · ","")&amp;IF(AND(N($W94)&gt;0,COUNT($I94:$L94)&gt;0),"Con subactividades: deje vacías las semanas (se calculan solas)"&amp;" · ","")&amp;IF((COUNTIF($I94:$L94,"&gt;1")+COUNTIF($I94:$L94,"&lt;0")+COUNTA($I94:$L94)-COUNT($I94:$L94))&gt;0,"Avance fuera de rango 0-100%"&amp;" · ","")&amp;IF(OR(AND($J94&lt;&gt;"",$J94&lt;$I94),AND($K94&lt;&gt;"",$K94&lt;MAX($I94:$J94)),AND($L94&lt;&gt;"",$L94&lt;MAX($I94:$K94))),"Avance semanal decreciente"&amp;" · ","")&amp;IF(AND(ISNUMBER($AN94),$AN94&lt;FechaRef,IF($V94="Sub",N($X94),N($M94))&lt;1),"Vencida"&amp;" · ","")&amp;IF(AND(ObsObligatoria="Sí",ISNUMBER($AN94),$AN94&lt;FechaRef,IF($V94="Sub",N($X94),N($M94))&lt;1,$Q94=""),"Vencida sin observación"&amp;" · ",""))-3)))</f>
        <v/>
      </c>
      <c r="S94" s="64">
        <f>IF(NOT((COUNTA($B94:$D94)+COUNTA($G94:$L94)+COUNTA($Q94))&gt;0),"",IF(AND($V94="Sub",N($U94)&gt;0),IF(ISNUMBER(INDEX($AM$5:$AM$1000,$U94-4)),DATE(YEAR(INDEX($AM$5:$AM$1000,$U94-4)),MONTH(INDEX($AM$5:$AM$1000,$U94-4)),1),IF(ISNUMBER(INDEX($AN$5:$AN$1000,$U94-4)),DATE(YEAR(INDEX($AN$5:$AN$1000,$U94-4)),MONTH(INDEX($AN$5:$AN$1000,$U94-4)),1),MesCiclo)),IF(ISNUMBER($AM94),DATE(YEAR($AM94),MONTH($AM94),1),IF(ISNUMBER($AN94),DATE(YEAR($AN94),MONTH($AN94),1),MesCiclo))))</f>
        <v/>
      </c>
      <c r="T94" s="62">
        <f>IF(OR($S94="",$S94&lt;&gt;MesCiclo,$V94&lt;&gt;"Macro"),"",COUNTIFS($S$5:$S94,MesCiclo,$V$5:$V94,"Macro"))</f>
        <v/>
      </c>
      <c r="U94" s="62">
        <f>IF($V94="","",IF($V94="Macro",ROW(),IFERROR(LOOKUP(2,1/($V$5:$V94="Macro"),ROW($V$5:$V94)),0)))</f>
        <v/>
      </c>
      <c r="V94" s="62">
        <f>IF(NOT((COUNTA($B94:$D94)+COUNTA($G94:$L94)+COUNTA($Q94))&gt;0),"",IF($B94="Subactividad","Sub","Macro"))</f>
        <v/>
      </c>
      <c r="W94" s="62">
        <f>IF($V94="Macro",COUNTIFS($U$5:$U$1000,ROW(),$V$5:$V$1000,"Sub"),"")</f>
        <v/>
      </c>
      <c r="X94" s="62">
        <f>IF($V94="","",IF(ISNUMBER($G94),1,IFERROR(LOOKUP(2,1/($I94:$L94&lt;&gt;""),$I94:$L94),0)))</f>
        <v/>
      </c>
      <c r="Y94" s="62">
        <f>IF($V94="","",IF(AND(ISNUMBER($G94),$G94&lt;=IF($S94=MesCiclo,InicioCiclo,$S94+MOD(2-WEEKDAY($S94),7))+6),1,IF(ISNUMBER($I94),$I94,0)))</f>
        <v/>
      </c>
      <c r="Z94" s="62">
        <f>IF($V94="","",IF(AND(ISNUMBER($G94),$G94&lt;=IF($S94=MesCiclo,InicioCiclo,$S94+MOD(2-WEEKDAY($S94),7))+13),1,IF(ISNUMBER($J94),$J94,$Y94)))</f>
        <v/>
      </c>
      <c r="AA94" s="62">
        <f>IF($V94="","",IF(AND(ISNUMBER($G94),$G94&lt;=IF($S94=MesCiclo,InicioCiclo,$S94+MOD(2-WEEKDAY($S94),7))+20),1,IF(ISNUMBER($K94),$K94,$Z94)))</f>
        <v/>
      </c>
      <c r="AB94" s="62">
        <f>IF($V94="","",IF(AND(ISNUMBER($G94),$G94&lt;=IF($S94=MesCiclo,InicioCiclo,$S94+MOD(2-WEEKDAY($S94),7))+27),1,IF(ISNUMBER($L94),$L94,$AA94)))</f>
        <v/>
      </c>
      <c r="AC94" s="62">
        <f>IF($V94="","",IF(AND(ISNUMBER($G94),$G94&lt;=IF($S94=MesCiclo,InicioCiclo,$S94+MOD(2-WEEKDAY($S94),7))+6),1,IF(N($W94)&gt;0,AVERAGEIFS($Y$5:$Y$1000,$U$5:$U$1000,ROW(),$V$5:$V$1000,"Sub"),$Y94)))</f>
        <v/>
      </c>
      <c r="AD94" s="62">
        <f>IF($V94="","",IF(AND(ISNUMBER($G94),$G94&lt;=IF($S94=MesCiclo,InicioCiclo,$S94+MOD(2-WEEKDAY($S94),7))+13),1,IF(N($W94)&gt;0,AVERAGEIFS($Z$5:$Z$1000,$U$5:$U$1000,ROW(),$V$5:$V$1000,"Sub"),$Z94)))</f>
        <v/>
      </c>
      <c r="AE94" s="62">
        <f>IF($V94="","",IF(AND(ISNUMBER($G94),$G94&lt;=IF($S94=MesCiclo,InicioCiclo,$S94+MOD(2-WEEKDAY($S94),7))+20),1,IF(N($W94)&gt;0,AVERAGEIFS($AA$5:$AA$1000,$U$5:$U$1000,ROW(),$V$5:$V$1000,"Sub"),$AA94)))</f>
        <v/>
      </c>
      <c r="AF94" s="62">
        <f>IF($V94="","",IF(AND(ISNUMBER($G94),$G94&lt;=IF($S94=MesCiclo,InicioCiclo,$S94+MOD(2-WEEKDAY($S94),7))+27),1,IF(N($W94)&gt;0,AVERAGEIFS($AB$5:$AB$1000,$U$5:$U$1000,ROW(),$V$5:$V$1000,"Sub"),$AB94)))</f>
        <v/>
      </c>
      <c r="AG94" s="62">
        <f>IF($V94&lt;&gt;"Macro","",IF(COUNTIFS($S$5:$S$1000,$S94,$V$5:$V$1000,"Macro",$H$5:$H$1000,"&gt;0")=0,1/COUNTIFS($S$5:$S$1000,$S94,$V$5:$V$1000,"Macro"),IF(AND(ISNUMBER($H94),N($H94)&gt;0),$H94,SUMIFS($H$5:$H$1000,$S$5:$S$1000,$S94,$V$5:$V$1000,"Macro")/COUNTIFS($S$5:$S$1000,$S94,$V$5:$V$1000,"Macro",$H$5:$H$1000,"&gt;0"))/(COUNTIFS($S$5:$S$1000,$S94,$V$5:$V$1000,"Macro")*SUMIFS($H$5:$H$1000,$S$5:$S$1000,$S94,$V$5:$V$1000,"Macro")/COUNTIFS($S$5:$S$1000,$S94,$V$5:$V$1000,"Macro",$H$5:$H$1000,"&gt;0"))))</f>
        <v/>
      </c>
      <c r="AH94" s="62" t="n"/>
      <c r="AI94" s="62" t="n"/>
      <c r="AJ94" s="62" t="n"/>
      <c r="AK94" s="62" t="n"/>
      <c r="AL94" s="62">
        <f>IF(LEFT($C94,11)="[Jefatura] ",IFERROR(MATCH("Riesgo Normativo|"&amp;MID($C94,12,500),rDname_ADM,0),0),"")</f>
        <v/>
      </c>
      <c r="AM94" s="62">
        <f>IF(N($AL94)&gt;0,INDEX(rIni_ADM,$AL94),IF(ISNUMBER($E94),$E94,""))</f>
        <v/>
      </c>
      <c r="AN94" s="62">
        <f>IF(N($AL94)&gt;0,INDEX(rLim_ADM,$AL94),IF(ISNUMBER($F94),$F94,""))</f>
        <v/>
      </c>
    </row>
    <row r="95">
      <c r="A95" s="56">
        <f>IF(NOT((COUNTA($B95:$D95)+COUNTA($G95:$L95)+COUNTA($Q95))&gt;0),"",IF($V95="Macro",COUNTIFS($V$5:$V95,"Macro",$S$5:$S95,$S95),IF(N($U95)=0,"?",COUNTIFS(INDEX($V$5:$V$1000,1):INDEX($V$5:$V$1000,$U95-4),"Macro",INDEX($S$5:$S$1000,1):INDEX($S$5:$S$1000,$U95-4),INDEX($S$5:$S$1000,$U95-4))&amp;"."&amp;COUNTIFS($U$5:$U95,$U95,$V$5:$V95,"Sub"))))</f>
        <v/>
      </c>
      <c r="B95" s="57" t="n"/>
      <c r="C95" s="58" t="n"/>
      <c r="D95" s="58" t="n"/>
      <c r="E95" s="59">
        <f>IF(N($AL95)&gt;0,INDEX(rIni_ADM,$AL95),"")</f>
        <v/>
      </c>
      <c r="F95" s="59">
        <f>IF(N($AL95)&gt;0,INDEX(rLim_ADM,$AL95),"")</f>
        <v/>
      </c>
      <c r="G95" s="59" t="n"/>
      <c r="H95" s="60" t="n"/>
      <c r="I95" s="60" t="n"/>
      <c r="J95" s="60" t="n"/>
      <c r="K95" s="60" t="n"/>
      <c r="L95" s="60" t="n"/>
      <c r="M95" s="61">
        <f>IF(NOT((COUNTA($B95:$D95)+COUNTA($G95:$L95)+COUNTA($Q95))&gt;0),"",IF($V95="Sub",IFERROR($X95/INDEX($W$5:$W$1000,$U95-4),""),IF(ISNUMBER($G95),1,IF(N($W95)&gt;0,AVERAGEIFS($X$5:$X$1000,$U$5:$U$1000,ROW(),$V$5:$V$1000,"Sub"),$X95))))</f>
        <v/>
      </c>
      <c r="N95" s="56">
        <f>IF(OR($M95="",$V95="Sub"),"",IF($M95&gt;=1,"Completado",IF($M95&gt;0,"En curso","Pendiente")))</f>
        <v/>
      </c>
      <c r="O95" s="56">
        <f>IF(OR(NOT((COUNTA($B95:$D95)+COUNTA($G95:$L95)+COUNTA($Q95))&gt;0),$V95="Sub"),"",IF(ISNUMBER($G95),IF(AND(ISNUMBER($AN95),$G95&gt;$AN95),"Cumplida con "&amp;($G95-$AN95)&amp;IF($G95-$AN95=1," día"," días")&amp;" de retraso","Cumplida"),IF(N($M95)&gt;=1,"Cumplida",IF(NOT(ISNUMBER($AN95)),"Sin fecha límite",IF($AN95&lt;FechaRef,"Vencida hace "&amp;(FechaRef-$AN95)&amp;IF(FechaRef-$AN95=1," día"," días"),IF($AN95=FechaRef,"Vence hoy",IF($AN95-FechaRef&lt;=DiasAlerta,"Vence en "&amp;($AN95-FechaRef)&amp;IF($AN95-FechaRef=1," día"," días"),"En plazo")))))))</f>
        <v/>
      </c>
      <c r="P95" s="62" t="n"/>
      <c r="Q95" s="58" t="n"/>
      <c r="R95" s="63">
        <f>IF(NOT((COUNTA($B95:$D95)+COUNTA($G95:$L95)+COUNTA($Q95))&gt;0),"",IF((IF($C95="","Falta el nombre de la actividad"&amp;" · ","")&amp;IF(AND($V95="Sub",N($U95)=0),"Subactividad sin macroactividad arriba"&amp;" · ","")&amp;IF($AM95="","Sin fecha de inicio"&amp;" · ","")&amp;IF($AN95="","Sin fecha límite"&amp;" · ","")&amp;IF(AND(LEFT($C95,11)="[Jefatura] ",N($AL95)=0),"No se encuentra en la hoja de la jefatura (elíjala de nuevo en la lista)"&amp;" · ","")&amp;IF(OR(AND($E95&lt;&gt;"",NOT(ISNUMBER($E95))),AND($F95&lt;&gt;"",NOT(ISNUMBER($F95))),AND($G95&lt;&gt;"",NOT(ISNUMBER($G95)))),"Fecha no válida"&amp;" · ","")&amp;IF(AND(ISNUMBER($AM95),ISNUMBER($AN95),$AM95&gt;$AN95),"Inicio posterior a fecha límite"&amp;" · ","")&amp;IF(AND($V95="Macro",$H95&lt;&gt;"",OR(NOT(ISNUMBER($H95)),$H95&lt;0,$H95&gt;1)),"Peso fuera de rango"&amp;" · ","")&amp;IF(AND($V95="Sub",$H95&lt;&gt;""),"Las subactividades no llevan peso (valen igual dentro de su macroactividad)"&amp;" · ","")&amp;IF(AND(N($W95)&gt;0,COUNT($I95:$L95)&gt;0),"Con subactividades: deje vacías las semanas (se calculan solas)"&amp;" · ","")&amp;IF((COUNTIF($I95:$L95,"&gt;1")+COUNTIF($I95:$L95,"&lt;0")+COUNTA($I95:$L95)-COUNT($I95:$L95))&gt;0,"Avance fuera de rango 0-100%"&amp;" · ","")&amp;IF(OR(AND($J95&lt;&gt;"",$J95&lt;$I95),AND($K95&lt;&gt;"",$K95&lt;MAX($I95:$J95)),AND($L95&lt;&gt;"",$L95&lt;MAX($I95:$K95))),"Avance semanal decreciente"&amp;" · ","")&amp;IF(AND(ISNUMBER($AN95),$AN95&lt;FechaRef,IF($V95="Sub",N($X95),N($M95))&lt;1),"Vencida"&amp;" · ","")&amp;IF(AND(ObsObligatoria="Sí",ISNUMBER($AN95),$AN95&lt;FechaRef,IF($V95="Sub",N($X95),N($M95))&lt;1,$Q95=""),"Vencida sin observación"&amp;" · ",""))="","✔ OK","⚠ "&amp;LEFT(IF($C95="","Falta el nombre de la actividad"&amp;" · ","")&amp;IF(AND($V95="Sub",N($U95)=0),"Subactividad sin macroactividad arriba"&amp;" · ","")&amp;IF($AM95="","Sin fecha de inicio"&amp;" · ","")&amp;IF($AN95="","Sin fecha límite"&amp;" · ","")&amp;IF(AND(LEFT($C95,11)="[Jefatura] ",N($AL95)=0),"No se encuentra en la hoja de la jefatura (elíjala de nuevo en la lista)"&amp;" · ","")&amp;IF(OR(AND($E95&lt;&gt;"",NOT(ISNUMBER($E95))),AND($F95&lt;&gt;"",NOT(ISNUMBER($F95))),AND($G95&lt;&gt;"",NOT(ISNUMBER($G95)))),"Fecha no válida"&amp;" · ","")&amp;IF(AND(ISNUMBER($AM95),ISNUMBER($AN95),$AM95&gt;$AN95),"Inicio posterior a fecha límite"&amp;" · ","")&amp;IF(AND($V95="Macro",$H95&lt;&gt;"",OR(NOT(ISNUMBER($H95)),$H95&lt;0,$H95&gt;1)),"Peso fuera de rango"&amp;" · ","")&amp;IF(AND($V95="Sub",$H95&lt;&gt;""),"Las subactividades no llevan peso (valen igual dentro de su macroactividad)"&amp;" · ","")&amp;IF(AND(N($W95)&gt;0,COUNT($I95:$L95)&gt;0),"Con subactividades: deje vacías las semanas (se calculan solas)"&amp;" · ","")&amp;IF((COUNTIF($I95:$L95,"&gt;1")+COUNTIF($I95:$L95,"&lt;0")+COUNTA($I95:$L95)-COUNT($I95:$L95))&gt;0,"Avance fuera de rango 0-100%"&amp;" · ","")&amp;IF(OR(AND($J95&lt;&gt;"",$J95&lt;$I95),AND($K95&lt;&gt;"",$K95&lt;MAX($I95:$J95)),AND($L95&lt;&gt;"",$L95&lt;MAX($I95:$K95))),"Avance semanal decreciente"&amp;" · ","")&amp;IF(AND(ISNUMBER($AN95),$AN95&lt;FechaRef,IF($V95="Sub",N($X95),N($M95))&lt;1),"Vencida"&amp;" · ","")&amp;IF(AND(ObsObligatoria="Sí",ISNUMBER($AN95),$AN95&lt;FechaRef,IF($V95="Sub",N($X95),N($M95))&lt;1,$Q95=""),"Vencida sin observación"&amp;" · ",""),LEN(IF($C95="","Falta el nombre de la actividad"&amp;" · ","")&amp;IF(AND($V95="Sub",N($U95)=0),"Subactividad sin macroactividad arriba"&amp;" · ","")&amp;IF($AM95="","Sin fecha de inicio"&amp;" · ","")&amp;IF($AN95="","Sin fecha límite"&amp;" · ","")&amp;IF(AND(LEFT($C95,11)="[Jefatura] ",N($AL95)=0),"No se encuentra en la hoja de la jefatura (elíjala de nuevo en la lista)"&amp;" · ","")&amp;IF(OR(AND($E95&lt;&gt;"",NOT(ISNUMBER($E95))),AND($F95&lt;&gt;"",NOT(ISNUMBER($F95))),AND($G95&lt;&gt;"",NOT(ISNUMBER($G95)))),"Fecha no válida"&amp;" · ","")&amp;IF(AND(ISNUMBER($AM95),ISNUMBER($AN95),$AM95&gt;$AN95),"Inicio posterior a fecha límite"&amp;" · ","")&amp;IF(AND($V95="Macro",$H95&lt;&gt;"",OR(NOT(ISNUMBER($H95)),$H95&lt;0,$H95&gt;1)),"Peso fuera de rango"&amp;" · ","")&amp;IF(AND($V95="Sub",$H95&lt;&gt;""),"Las subactividades no llevan peso (valen igual dentro de su macroactividad)"&amp;" · ","")&amp;IF(AND(N($W95)&gt;0,COUNT($I95:$L95)&gt;0),"Con subactividades: deje vacías las semanas (se calculan solas)"&amp;" · ","")&amp;IF((COUNTIF($I95:$L95,"&gt;1")+COUNTIF($I95:$L95,"&lt;0")+COUNTA($I95:$L95)-COUNT($I95:$L95))&gt;0,"Avance fuera de rango 0-100%"&amp;" · ","")&amp;IF(OR(AND($J95&lt;&gt;"",$J95&lt;$I95),AND($K95&lt;&gt;"",$K95&lt;MAX($I95:$J95)),AND($L95&lt;&gt;"",$L95&lt;MAX($I95:$K95))),"Avance semanal decreciente"&amp;" · ","")&amp;IF(AND(ISNUMBER($AN95),$AN95&lt;FechaRef,IF($V95="Sub",N($X95),N($M95))&lt;1),"Vencida"&amp;" · ","")&amp;IF(AND(ObsObligatoria="Sí",ISNUMBER($AN95),$AN95&lt;FechaRef,IF($V95="Sub",N($X95),N($M95))&lt;1,$Q95=""),"Vencida sin observación"&amp;" · ",""))-3)))</f>
        <v/>
      </c>
      <c r="S95" s="64">
        <f>IF(NOT((COUNTA($B95:$D95)+COUNTA($G95:$L95)+COUNTA($Q95))&gt;0),"",IF(AND($V95="Sub",N($U95)&gt;0),IF(ISNUMBER(INDEX($AM$5:$AM$1000,$U95-4)),DATE(YEAR(INDEX($AM$5:$AM$1000,$U95-4)),MONTH(INDEX($AM$5:$AM$1000,$U95-4)),1),IF(ISNUMBER(INDEX($AN$5:$AN$1000,$U95-4)),DATE(YEAR(INDEX($AN$5:$AN$1000,$U95-4)),MONTH(INDEX($AN$5:$AN$1000,$U95-4)),1),MesCiclo)),IF(ISNUMBER($AM95),DATE(YEAR($AM95),MONTH($AM95),1),IF(ISNUMBER($AN95),DATE(YEAR($AN95),MONTH($AN95),1),MesCiclo))))</f>
        <v/>
      </c>
      <c r="T95" s="62">
        <f>IF(OR($S95="",$S95&lt;&gt;MesCiclo,$V95&lt;&gt;"Macro"),"",COUNTIFS($S$5:$S95,MesCiclo,$V$5:$V95,"Macro"))</f>
        <v/>
      </c>
      <c r="U95" s="62">
        <f>IF($V95="","",IF($V95="Macro",ROW(),IFERROR(LOOKUP(2,1/($V$5:$V95="Macro"),ROW($V$5:$V95)),0)))</f>
        <v/>
      </c>
      <c r="V95" s="62">
        <f>IF(NOT((COUNTA($B95:$D95)+COUNTA($G95:$L95)+COUNTA($Q95))&gt;0),"",IF($B95="Subactividad","Sub","Macro"))</f>
        <v/>
      </c>
      <c r="W95" s="62">
        <f>IF($V95="Macro",COUNTIFS($U$5:$U$1000,ROW(),$V$5:$V$1000,"Sub"),"")</f>
        <v/>
      </c>
      <c r="X95" s="62">
        <f>IF($V95="","",IF(ISNUMBER($G95),1,IFERROR(LOOKUP(2,1/($I95:$L95&lt;&gt;""),$I95:$L95),0)))</f>
        <v/>
      </c>
      <c r="Y95" s="62">
        <f>IF($V95="","",IF(AND(ISNUMBER($G95),$G95&lt;=IF($S95=MesCiclo,InicioCiclo,$S95+MOD(2-WEEKDAY($S95),7))+6),1,IF(ISNUMBER($I95),$I95,0)))</f>
        <v/>
      </c>
      <c r="Z95" s="62">
        <f>IF($V95="","",IF(AND(ISNUMBER($G95),$G95&lt;=IF($S95=MesCiclo,InicioCiclo,$S95+MOD(2-WEEKDAY($S95),7))+13),1,IF(ISNUMBER($J95),$J95,$Y95)))</f>
        <v/>
      </c>
      <c r="AA95" s="62">
        <f>IF($V95="","",IF(AND(ISNUMBER($G95),$G95&lt;=IF($S95=MesCiclo,InicioCiclo,$S95+MOD(2-WEEKDAY($S95),7))+20),1,IF(ISNUMBER($K95),$K95,$Z95)))</f>
        <v/>
      </c>
      <c r="AB95" s="62">
        <f>IF($V95="","",IF(AND(ISNUMBER($G95),$G95&lt;=IF($S95=MesCiclo,InicioCiclo,$S95+MOD(2-WEEKDAY($S95),7))+27),1,IF(ISNUMBER($L95),$L95,$AA95)))</f>
        <v/>
      </c>
      <c r="AC95" s="62">
        <f>IF($V95="","",IF(AND(ISNUMBER($G95),$G95&lt;=IF($S95=MesCiclo,InicioCiclo,$S95+MOD(2-WEEKDAY($S95),7))+6),1,IF(N($W95)&gt;0,AVERAGEIFS($Y$5:$Y$1000,$U$5:$U$1000,ROW(),$V$5:$V$1000,"Sub"),$Y95)))</f>
        <v/>
      </c>
      <c r="AD95" s="62">
        <f>IF($V95="","",IF(AND(ISNUMBER($G95),$G95&lt;=IF($S95=MesCiclo,InicioCiclo,$S95+MOD(2-WEEKDAY($S95),7))+13),1,IF(N($W95)&gt;0,AVERAGEIFS($Z$5:$Z$1000,$U$5:$U$1000,ROW(),$V$5:$V$1000,"Sub"),$Z95)))</f>
        <v/>
      </c>
      <c r="AE95" s="62">
        <f>IF($V95="","",IF(AND(ISNUMBER($G95),$G95&lt;=IF($S95=MesCiclo,InicioCiclo,$S95+MOD(2-WEEKDAY($S95),7))+20),1,IF(N($W95)&gt;0,AVERAGEIFS($AA$5:$AA$1000,$U$5:$U$1000,ROW(),$V$5:$V$1000,"Sub"),$AA95)))</f>
        <v/>
      </c>
      <c r="AF95" s="62">
        <f>IF($V95="","",IF(AND(ISNUMBER($G95),$G95&lt;=IF($S95=MesCiclo,InicioCiclo,$S95+MOD(2-WEEKDAY($S95),7))+27),1,IF(N($W95)&gt;0,AVERAGEIFS($AB$5:$AB$1000,$U$5:$U$1000,ROW(),$V$5:$V$1000,"Sub"),$AB95)))</f>
        <v/>
      </c>
      <c r="AG95" s="62">
        <f>IF($V95&lt;&gt;"Macro","",IF(COUNTIFS($S$5:$S$1000,$S95,$V$5:$V$1000,"Macro",$H$5:$H$1000,"&gt;0")=0,1/COUNTIFS($S$5:$S$1000,$S95,$V$5:$V$1000,"Macro"),IF(AND(ISNUMBER($H95),N($H95)&gt;0),$H95,SUMIFS($H$5:$H$1000,$S$5:$S$1000,$S95,$V$5:$V$1000,"Macro")/COUNTIFS($S$5:$S$1000,$S95,$V$5:$V$1000,"Macro",$H$5:$H$1000,"&gt;0"))/(COUNTIFS($S$5:$S$1000,$S95,$V$5:$V$1000,"Macro")*SUMIFS($H$5:$H$1000,$S$5:$S$1000,$S95,$V$5:$V$1000,"Macro")/COUNTIFS($S$5:$S$1000,$S95,$V$5:$V$1000,"Macro",$H$5:$H$1000,"&gt;0"))))</f>
        <v/>
      </c>
      <c r="AH95" s="62" t="n"/>
      <c r="AI95" s="62" t="n"/>
      <c r="AJ95" s="62" t="n"/>
      <c r="AK95" s="62" t="n"/>
      <c r="AL95" s="62">
        <f>IF(LEFT($C95,11)="[Jefatura] ",IFERROR(MATCH("Riesgo Normativo|"&amp;MID($C95,12,500),rDname_ADM,0),0),"")</f>
        <v/>
      </c>
      <c r="AM95" s="62">
        <f>IF(N($AL95)&gt;0,INDEX(rIni_ADM,$AL95),IF(ISNUMBER($E95),$E95,""))</f>
        <v/>
      </c>
      <c r="AN95" s="62">
        <f>IF(N($AL95)&gt;0,INDEX(rLim_ADM,$AL95),IF(ISNUMBER($F95),$F95,""))</f>
        <v/>
      </c>
    </row>
    <row r="96">
      <c r="A96" s="56">
        <f>IF(NOT((COUNTA($B96:$D96)+COUNTA($G96:$L96)+COUNTA($Q96))&gt;0),"",IF($V96="Macro",COUNTIFS($V$5:$V96,"Macro",$S$5:$S96,$S96),IF(N($U96)=0,"?",COUNTIFS(INDEX($V$5:$V$1000,1):INDEX($V$5:$V$1000,$U96-4),"Macro",INDEX($S$5:$S$1000,1):INDEX($S$5:$S$1000,$U96-4),INDEX($S$5:$S$1000,$U96-4))&amp;"."&amp;COUNTIFS($U$5:$U96,$U96,$V$5:$V96,"Sub"))))</f>
        <v/>
      </c>
      <c r="B96" s="57" t="n"/>
      <c r="C96" s="58" t="n"/>
      <c r="D96" s="58" t="n"/>
      <c r="E96" s="59">
        <f>IF(N($AL96)&gt;0,INDEX(rIni_ADM,$AL96),"")</f>
        <v/>
      </c>
      <c r="F96" s="59">
        <f>IF(N($AL96)&gt;0,INDEX(rLim_ADM,$AL96),"")</f>
        <v/>
      </c>
      <c r="G96" s="59" t="n"/>
      <c r="H96" s="60" t="n"/>
      <c r="I96" s="60" t="n"/>
      <c r="J96" s="60" t="n"/>
      <c r="K96" s="60" t="n"/>
      <c r="L96" s="60" t="n"/>
      <c r="M96" s="61">
        <f>IF(NOT((COUNTA($B96:$D96)+COUNTA($G96:$L96)+COUNTA($Q96))&gt;0),"",IF($V96="Sub",IFERROR($X96/INDEX($W$5:$W$1000,$U96-4),""),IF(ISNUMBER($G96),1,IF(N($W96)&gt;0,AVERAGEIFS($X$5:$X$1000,$U$5:$U$1000,ROW(),$V$5:$V$1000,"Sub"),$X96))))</f>
        <v/>
      </c>
      <c r="N96" s="56">
        <f>IF(OR($M96="",$V96="Sub"),"",IF($M96&gt;=1,"Completado",IF($M96&gt;0,"En curso","Pendiente")))</f>
        <v/>
      </c>
      <c r="O96" s="56">
        <f>IF(OR(NOT((COUNTA($B96:$D96)+COUNTA($G96:$L96)+COUNTA($Q96))&gt;0),$V96="Sub"),"",IF(ISNUMBER($G96),IF(AND(ISNUMBER($AN96),$G96&gt;$AN96),"Cumplida con "&amp;($G96-$AN96)&amp;IF($G96-$AN96=1," día"," días")&amp;" de retraso","Cumplida"),IF(N($M96)&gt;=1,"Cumplida",IF(NOT(ISNUMBER($AN96)),"Sin fecha límite",IF($AN96&lt;FechaRef,"Vencida hace "&amp;(FechaRef-$AN96)&amp;IF(FechaRef-$AN96=1," día"," días"),IF($AN96=FechaRef,"Vence hoy",IF($AN96-FechaRef&lt;=DiasAlerta,"Vence en "&amp;($AN96-FechaRef)&amp;IF($AN96-FechaRef=1," día"," días"),"En plazo")))))))</f>
        <v/>
      </c>
      <c r="P96" s="62" t="n"/>
      <c r="Q96" s="58" t="n"/>
      <c r="R96" s="63">
        <f>IF(NOT((COUNTA($B96:$D96)+COUNTA($G96:$L96)+COUNTA($Q96))&gt;0),"",IF((IF($C96="","Falta el nombre de la actividad"&amp;" · ","")&amp;IF(AND($V96="Sub",N($U96)=0),"Subactividad sin macroactividad arriba"&amp;" · ","")&amp;IF($AM96="","Sin fecha de inicio"&amp;" · ","")&amp;IF($AN96="","Sin fecha límite"&amp;" · ","")&amp;IF(AND(LEFT($C96,11)="[Jefatura] ",N($AL96)=0),"No se encuentra en la hoja de la jefatura (elíjala de nuevo en la lista)"&amp;" · ","")&amp;IF(OR(AND($E96&lt;&gt;"",NOT(ISNUMBER($E96))),AND($F96&lt;&gt;"",NOT(ISNUMBER($F96))),AND($G96&lt;&gt;"",NOT(ISNUMBER($G96)))),"Fecha no válida"&amp;" · ","")&amp;IF(AND(ISNUMBER($AM96),ISNUMBER($AN96),$AM96&gt;$AN96),"Inicio posterior a fecha límite"&amp;" · ","")&amp;IF(AND($V96="Macro",$H96&lt;&gt;"",OR(NOT(ISNUMBER($H96)),$H96&lt;0,$H96&gt;1)),"Peso fuera de rango"&amp;" · ","")&amp;IF(AND($V96="Sub",$H96&lt;&gt;""),"Las subactividades no llevan peso (valen igual dentro de su macroactividad)"&amp;" · ","")&amp;IF(AND(N($W96)&gt;0,COUNT($I96:$L96)&gt;0),"Con subactividades: deje vacías las semanas (se calculan solas)"&amp;" · ","")&amp;IF((COUNTIF($I96:$L96,"&gt;1")+COUNTIF($I96:$L96,"&lt;0")+COUNTA($I96:$L96)-COUNT($I96:$L96))&gt;0,"Avance fuera de rango 0-100%"&amp;" · ","")&amp;IF(OR(AND($J96&lt;&gt;"",$J96&lt;$I96),AND($K96&lt;&gt;"",$K96&lt;MAX($I96:$J96)),AND($L96&lt;&gt;"",$L96&lt;MAX($I96:$K96))),"Avance semanal decreciente"&amp;" · ","")&amp;IF(AND(ISNUMBER($AN96),$AN96&lt;FechaRef,IF($V96="Sub",N($X96),N($M96))&lt;1),"Vencida"&amp;" · ","")&amp;IF(AND(ObsObligatoria="Sí",ISNUMBER($AN96),$AN96&lt;FechaRef,IF($V96="Sub",N($X96),N($M96))&lt;1,$Q96=""),"Vencida sin observación"&amp;" · ",""))="","✔ OK","⚠ "&amp;LEFT(IF($C96="","Falta el nombre de la actividad"&amp;" · ","")&amp;IF(AND($V96="Sub",N($U96)=0),"Subactividad sin macroactividad arriba"&amp;" · ","")&amp;IF($AM96="","Sin fecha de inicio"&amp;" · ","")&amp;IF($AN96="","Sin fecha límite"&amp;" · ","")&amp;IF(AND(LEFT($C96,11)="[Jefatura] ",N($AL96)=0),"No se encuentra en la hoja de la jefatura (elíjala de nuevo en la lista)"&amp;" · ","")&amp;IF(OR(AND($E96&lt;&gt;"",NOT(ISNUMBER($E96))),AND($F96&lt;&gt;"",NOT(ISNUMBER($F96))),AND($G96&lt;&gt;"",NOT(ISNUMBER($G96)))),"Fecha no válida"&amp;" · ","")&amp;IF(AND(ISNUMBER($AM96),ISNUMBER($AN96),$AM96&gt;$AN96),"Inicio posterior a fecha límite"&amp;" · ","")&amp;IF(AND($V96="Macro",$H96&lt;&gt;"",OR(NOT(ISNUMBER($H96)),$H96&lt;0,$H96&gt;1)),"Peso fuera de rango"&amp;" · ","")&amp;IF(AND($V96="Sub",$H96&lt;&gt;""),"Las subactividades no llevan peso (valen igual dentro de su macroactividad)"&amp;" · ","")&amp;IF(AND(N($W96)&gt;0,COUNT($I96:$L96)&gt;0),"Con subactividades: deje vacías las semanas (se calculan solas)"&amp;" · ","")&amp;IF((COUNTIF($I96:$L96,"&gt;1")+COUNTIF($I96:$L96,"&lt;0")+COUNTA($I96:$L96)-COUNT($I96:$L96))&gt;0,"Avance fuera de rango 0-100%"&amp;" · ","")&amp;IF(OR(AND($J96&lt;&gt;"",$J96&lt;$I96),AND($K96&lt;&gt;"",$K96&lt;MAX($I96:$J96)),AND($L96&lt;&gt;"",$L96&lt;MAX($I96:$K96))),"Avance semanal decreciente"&amp;" · ","")&amp;IF(AND(ISNUMBER($AN96),$AN96&lt;FechaRef,IF($V96="Sub",N($X96),N($M96))&lt;1),"Vencida"&amp;" · ","")&amp;IF(AND(ObsObligatoria="Sí",ISNUMBER($AN96),$AN96&lt;FechaRef,IF($V96="Sub",N($X96),N($M96))&lt;1,$Q96=""),"Vencida sin observación"&amp;" · ",""),LEN(IF($C96="","Falta el nombre de la actividad"&amp;" · ","")&amp;IF(AND($V96="Sub",N($U96)=0),"Subactividad sin macroactividad arriba"&amp;" · ","")&amp;IF($AM96="","Sin fecha de inicio"&amp;" · ","")&amp;IF($AN96="","Sin fecha límite"&amp;" · ","")&amp;IF(AND(LEFT($C96,11)="[Jefatura] ",N($AL96)=0),"No se encuentra en la hoja de la jefatura (elíjala de nuevo en la lista)"&amp;" · ","")&amp;IF(OR(AND($E96&lt;&gt;"",NOT(ISNUMBER($E96))),AND($F96&lt;&gt;"",NOT(ISNUMBER($F96))),AND($G96&lt;&gt;"",NOT(ISNUMBER($G96)))),"Fecha no válida"&amp;" · ","")&amp;IF(AND(ISNUMBER($AM96),ISNUMBER($AN96),$AM96&gt;$AN96),"Inicio posterior a fecha límite"&amp;" · ","")&amp;IF(AND($V96="Macro",$H96&lt;&gt;"",OR(NOT(ISNUMBER($H96)),$H96&lt;0,$H96&gt;1)),"Peso fuera de rango"&amp;" · ","")&amp;IF(AND($V96="Sub",$H96&lt;&gt;""),"Las subactividades no llevan peso (valen igual dentro de su macroactividad)"&amp;" · ","")&amp;IF(AND(N($W96)&gt;0,COUNT($I96:$L96)&gt;0),"Con subactividades: deje vacías las semanas (se calculan solas)"&amp;" · ","")&amp;IF((COUNTIF($I96:$L96,"&gt;1")+COUNTIF($I96:$L96,"&lt;0")+COUNTA($I96:$L96)-COUNT($I96:$L96))&gt;0,"Avance fuera de rango 0-100%"&amp;" · ","")&amp;IF(OR(AND($J96&lt;&gt;"",$J96&lt;$I96),AND($K96&lt;&gt;"",$K96&lt;MAX($I96:$J96)),AND($L96&lt;&gt;"",$L96&lt;MAX($I96:$K96))),"Avance semanal decreciente"&amp;" · ","")&amp;IF(AND(ISNUMBER($AN96),$AN96&lt;FechaRef,IF($V96="Sub",N($X96),N($M96))&lt;1),"Vencida"&amp;" · ","")&amp;IF(AND(ObsObligatoria="Sí",ISNUMBER($AN96),$AN96&lt;FechaRef,IF($V96="Sub",N($X96),N($M96))&lt;1,$Q96=""),"Vencida sin observación"&amp;" · ",""))-3)))</f>
        <v/>
      </c>
      <c r="S96" s="64">
        <f>IF(NOT((COUNTA($B96:$D96)+COUNTA($G96:$L96)+COUNTA($Q96))&gt;0),"",IF(AND($V96="Sub",N($U96)&gt;0),IF(ISNUMBER(INDEX($AM$5:$AM$1000,$U96-4)),DATE(YEAR(INDEX($AM$5:$AM$1000,$U96-4)),MONTH(INDEX($AM$5:$AM$1000,$U96-4)),1),IF(ISNUMBER(INDEX($AN$5:$AN$1000,$U96-4)),DATE(YEAR(INDEX($AN$5:$AN$1000,$U96-4)),MONTH(INDEX($AN$5:$AN$1000,$U96-4)),1),MesCiclo)),IF(ISNUMBER($AM96),DATE(YEAR($AM96),MONTH($AM96),1),IF(ISNUMBER($AN96),DATE(YEAR($AN96),MONTH($AN96),1),MesCiclo))))</f>
        <v/>
      </c>
      <c r="T96" s="62">
        <f>IF(OR($S96="",$S96&lt;&gt;MesCiclo,$V96&lt;&gt;"Macro"),"",COUNTIFS($S$5:$S96,MesCiclo,$V$5:$V96,"Macro"))</f>
        <v/>
      </c>
      <c r="U96" s="62">
        <f>IF($V96="","",IF($V96="Macro",ROW(),IFERROR(LOOKUP(2,1/($V$5:$V96="Macro"),ROW($V$5:$V96)),0)))</f>
        <v/>
      </c>
      <c r="V96" s="62">
        <f>IF(NOT((COUNTA($B96:$D96)+COUNTA($G96:$L96)+COUNTA($Q96))&gt;0),"",IF($B96="Subactividad","Sub","Macro"))</f>
        <v/>
      </c>
      <c r="W96" s="62">
        <f>IF($V96="Macro",COUNTIFS($U$5:$U$1000,ROW(),$V$5:$V$1000,"Sub"),"")</f>
        <v/>
      </c>
      <c r="X96" s="62">
        <f>IF($V96="","",IF(ISNUMBER($G96),1,IFERROR(LOOKUP(2,1/($I96:$L96&lt;&gt;""),$I96:$L96),0)))</f>
        <v/>
      </c>
      <c r="Y96" s="62">
        <f>IF($V96="","",IF(AND(ISNUMBER($G96),$G96&lt;=IF($S96=MesCiclo,InicioCiclo,$S96+MOD(2-WEEKDAY($S96),7))+6),1,IF(ISNUMBER($I96),$I96,0)))</f>
        <v/>
      </c>
      <c r="Z96" s="62">
        <f>IF($V96="","",IF(AND(ISNUMBER($G96),$G96&lt;=IF($S96=MesCiclo,InicioCiclo,$S96+MOD(2-WEEKDAY($S96),7))+13),1,IF(ISNUMBER($J96),$J96,$Y96)))</f>
        <v/>
      </c>
      <c r="AA96" s="62">
        <f>IF($V96="","",IF(AND(ISNUMBER($G96),$G96&lt;=IF($S96=MesCiclo,InicioCiclo,$S96+MOD(2-WEEKDAY($S96),7))+20),1,IF(ISNUMBER($K96),$K96,$Z96)))</f>
        <v/>
      </c>
      <c r="AB96" s="62">
        <f>IF($V96="","",IF(AND(ISNUMBER($G96),$G96&lt;=IF($S96=MesCiclo,InicioCiclo,$S96+MOD(2-WEEKDAY($S96),7))+27),1,IF(ISNUMBER($L96),$L96,$AA96)))</f>
        <v/>
      </c>
      <c r="AC96" s="62">
        <f>IF($V96="","",IF(AND(ISNUMBER($G96),$G96&lt;=IF($S96=MesCiclo,InicioCiclo,$S96+MOD(2-WEEKDAY($S96),7))+6),1,IF(N($W96)&gt;0,AVERAGEIFS($Y$5:$Y$1000,$U$5:$U$1000,ROW(),$V$5:$V$1000,"Sub"),$Y96)))</f>
        <v/>
      </c>
      <c r="AD96" s="62">
        <f>IF($V96="","",IF(AND(ISNUMBER($G96),$G96&lt;=IF($S96=MesCiclo,InicioCiclo,$S96+MOD(2-WEEKDAY($S96),7))+13),1,IF(N($W96)&gt;0,AVERAGEIFS($Z$5:$Z$1000,$U$5:$U$1000,ROW(),$V$5:$V$1000,"Sub"),$Z96)))</f>
        <v/>
      </c>
      <c r="AE96" s="62">
        <f>IF($V96="","",IF(AND(ISNUMBER($G96),$G96&lt;=IF($S96=MesCiclo,InicioCiclo,$S96+MOD(2-WEEKDAY($S96),7))+20),1,IF(N($W96)&gt;0,AVERAGEIFS($AA$5:$AA$1000,$U$5:$U$1000,ROW(),$V$5:$V$1000,"Sub"),$AA96)))</f>
        <v/>
      </c>
      <c r="AF96" s="62">
        <f>IF($V96="","",IF(AND(ISNUMBER($G96),$G96&lt;=IF($S96=MesCiclo,InicioCiclo,$S96+MOD(2-WEEKDAY($S96),7))+27),1,IF(N($W96)&gt;0,AVERAGEIFS($AB$5:$AB$1000,$U$5:$U$1000,ROW(),$V$5:$V$1000,"Sub"),$AB96)))</f>
        <v/>
      </c>
      <c r="AG96" s="62">
        <f>IF($V96&lt;&gt;"Macro","",IF(COUNTIFS($S$5:$S$1000,$S96,$V$5:$V$1000,"Macro",$H$5:$H$1000,"&gt;0")=0,1/COUNTIFS($S$5:$S$1000,$S96,$V$5:$V$1000,"Macro"),IF(AND(ISNUMBER($H96),N($H96)&gt;0),$H96,SUMIFS($H$5:$H$1000,$S$5:$S$1000,$S96,$V$5:$V$1000,"Macro")/COUNTIFS($S$5:$S$1000,$S96,$V$5:$V$1000,"Macro",$H$5:$H$1000,"&gt;0"))/(COUNTIFS($S$5:$S$1000,$S96,$V$5:$V$1000,"Macro")*SUMIFS($H$5:$H$1000,$S$5:$S$1000,$S96,$V$5:$V$1000,"Macro")/COUNTIFS($S$5:$S$1000,$S96,$V$5:$V$1000,"Macro",$H$5:$H$1000,"&gt;0"))))</f>
        <v/>
      </c>
      <c r="AH96" s="62" t="n"/>
      <c r="AI96" s="62" t="n"/>
      <c r="AJ96" s="62" t="n"/>
      <c r="AK96" s="62" t="n"/>
      <c r="AL96" s="62">
        <f>IF(LEFT($C96,11)="[Jefatura] ",IFERROR(MATCH("Riesgo Normativo|"&amp;MID($C96,12,500),rDname_ADM,0),0),"")</f>
        <v/>
      </c>
      <c r="AM96" s="62">
        <f>IF(N($AL96)&gt;0,INDEX(rIni_ADM,$AL96),IF(ISNUMBER($E96),$E96,""))</f>
        <v/>
      </c>
      <c r="AN96" s="62">
        <f>IF(N($AL96)&gt;0,INDEX(rLim_ADM,$AL96),IF(ISNUMBER($F96),$F96,""))</f>
        <v/>
      </c>
    </row>
    <row r="97">
      <c r="A97" s="56">
        <f>IF(NOT((COUNTA($B97:$D97)+COUNTA($G97:$L97)+COUNTA($Q97))&gt;0),"",IF($V97="Macro",COUNTIFS($V$5:$V97,"Macro",$S$5:$S97,$S97),IF(N($U97)=0,"?",COUNTIFS(INDEX($V$5:$V$1000,1):INDEX($V$5:$V$1000,$U97-4),"Macro",INDEX($S$5:$S$1000,1):INDEX($S$5:$S$1000,$U97-4),INDEX($S$5:$S$1000,$U97-4))&amp;"."&amp;COUNTIFS($U$5:$U97,$U97,$V$5:$V97,"Sub"))))</f>
        <v/>
      </c>
      <c r="B97" s="57" t="n"/>
      <c r="C97" s="58" t="n"/>
      <c r="D97" s="58" t="n"/>
      <c r="E97" s="59">
        <f>IF(N($AL97)&gt;0,INDEX(rIni_ADM,$AL97),"")</f>
        <v/>
      </c>
      <c r="F97" s="59">
        <f>IF(N($AL97)&gt;0,INDEX(rLim_ADM,$AL97),"")</f>
        <v/>
      </c>
      <c r="G97" s="59" t="n"/>
      <c r="H97" s="60" t="n"/>
      <c r="I97" s="60" t="n"/>
      <c r="J97" s="60" t="n"/>
      <c r="K97" s="60" t="n"/>
      <c r="L97" s="60" t="n"/>
      <c r="M97" s="61">
        <f>IF(NOT((COUNTA($B97:$D97)+COUNTA($G97:$L97)+COUNTA($Q97))&gt;0),"",IF($V97="Sub",IFERROR($X97/INDEX($W$5:$W$1000,$U97-4),""),IF(ISNUMBER($G97),1,IF(N($W97)&gt;0,AVERAGEIFS($X$5:$X$1000,$U$5:$U$1000,ROW(),$V$5:$V$1000,"Sub"),$X97))))</f>
        <v/>
      </c>
      <c r="N97" s="56">
        <f>IF(OR($M97="",$V97="Sub"),"",IF($M97&gt;=1,"Completado",IF($M97&gt;0,"En curso","Pendiente")))</f>
        <v/>
      </c>
      <c r="O97" s="56">
        <f>IF(OR(NOT((COUNTA($B97:$D97)+COUNTA($G97:$L97)+COUNTA($Q97))&gt;0),$V97="Sub"),"",IF(ISNUMBER($G97),IF(AND(ISNUMBER($AN97),$G97&gt;$AN97),"Cumplida con "&amp;($G97-$AN97)&amp;IF($G97-$AN97=1," día"," días")&amp;" de retraso","Cumplida"),IF(N($M97)&gt;=1,"Cumplida",IF(NOT(ISNUMBER($AN97)),"Sin fecha límite",IF($AN97&lt;FechaRef,"Vencida hace "&amp;(FechaRef-$AN97)&amp;IF(FechaRef-$AN97=1," día"," días"),IF($AN97=FechaRef,"Vence hoy",IF($AN97-FechaRef&lt;=DiasAlerta,"Vence en "&amp;($AN97-FechaRef)&amp;IF($AN97-FechaRef=1," día"," días"),"En plazo")))))))</f>
        <v/>
      </c>
      <c r="P97" s="62" t="n"/>
      <c r="Q97" s="58" t="n"/>
      <c r="R97" s="63">
        <f>IF(NOT((COUNTA($B97:$D97)+COUNTA($G97:$L97)+COUNTA($Q97))&gt;0),"",IF((IF($C97="","Falta el nombre de la actividad"&amp;" · ","")&amp;IF(AND($V97="Sub",N($U97)=0),"Subactividad sin macroactividad arriba"&amp;" · ","")&amp;IF($AM97="","Sin fecha de inicio"&amp;" · ","")&amp;IF($AN97="","Sin fecha límite"&amp;" · ","")&amp;IF(AND(LEFT($C97,11)="[Jefatura] ",N($AL97)=0),"No se encuentra en la hoja de la jefatura (elíjala de nuevo en la lista)"&amp;" · ","")&amp;IF(OR(AND($E97&lt;&gt;"",NOT(ISNUMBER($E97))),AND($F97&lt;&gt;"",NOT(ISNUMBER($F97))),AND($G97&lt;&gt;"",NOT(ISNUMBER($G97)))),"Fecha no válida"&amp;" · ","")&amp;IF(AND(ISNUMBER($AM97),ISNUMBER($AN97),$AM97&gt;$AN97),"Inicio posterior a fecha límite"&amp;" · ","")&amp;IF(AND($V97="Macro",$H97&lt;&gt;"",OR(NOT(ISNUMBER($H97)),$H97&lt;0,$H97&gt;1)),"Peso fuera de rango"&amp;" · ","")&amp;IF(AND($V97="Sub",$H97&lt;&gt;""),"Las subactividades no llevan peso (valen igual dentro de su macroactividad)"&amp;" · ","")&amp;IF(AND(N($W97)&gt;0,COUNT($I97:$L97)&gt;0),"Con subactividades: deje vacías las semanas (se calculan solas)"&amp;" · ","")&amp;IF((COUNTIF($I97:$L97,"&gt;1")+COUNTIF($I97:$L97,"&lt;0")+COUNTA($I97:$L97)-COUNT($I97:$L97))&gt;0,"Avance fuera de rango 0-100%"&amp;" · ","")&amp;IF(OR(AND($J97&lt;&gt;"",$J97&lt;$I97),AND($K97&lt;&gt;"",$K97&lt;MAX($I97:$J97)),AND($L97&lt;&gt;"",$L97&lt;MAX($I97:$K97))),"Avance semanal decreciente"&amp;" · ","")&amp;IF(AND(ISNUMBER($AN97),$AN97&lt;FechaRef,IF($V97="Sub",N($X97),N($M97))&lt;1),"Vencida"&amp;" · ","")&amp;IF(AND(ObsObligatoria="Sí",ISNUMBER($AN97),$AN97&lt;FechaRef,IF($V97="Sub",N($X97),N($M97))&lt;1,$Q97=""),"Vencida sin observación"&amp;" · ",""))="","✔ OK","⚠ "&amp;LEFT(IF($C97="","Falta el nombre de la actividad"&amp;" · ","")&amp;IF(AND($V97="Sub",N($U97)=0),"Subactividad sin macroactividad arriba"&amp;" · ","")&amp;IF($AM97="","Sin fecha de inicio"&amp;" · ","")&amp;IF($AN97="","Sin fecha límite"&amp;" · ","")&amp;IF(AND(LEFT($C97,11)="[Jefatura] ",N($AL97)=0),"No se encuentra en la hoja de la jefatura (elíjala de nuevo en la lista)"&amp;" · ","")&amp;IF(OR(AND($E97&lt;&gt;"",NOT(ISNUMBER($E97))),AND($F97&lt;&gt;"",NOT(ISNUMBER($F97))),AND($G97&lt;&gt;"",NOT(ISNUMBER($G97)))),"Fecha no válida"&amp;" · ","")&amp;IF(AND(ISNUMBER($AM97),ISNUMBER($AN97),$AM97&gt;$AN97),"Inicio posterior a fecha límite"&amp;" · ","")&amp;IF(AND($V97="Macro",$H97&lt;&gt;"",OR(NOT(ISNUMBER($H97)),$H97&lt;0,$H97&gt;1)),"Peso fuera de rango"&amp;" · ","")&amp;IF(AND($V97="Sub",$H97&lt;&gt;""),"Las subactividades no llevan peso (valen igual dentro de su macroactividad)"&amp;" · ","")&amp;IF(AND(N($W97)&gt;0,COUNT($I97:$L97)&gt;0),"Con subactividades: deje vacías las semanas (se calculan solas)"&amp;" · ","")&amp;IF((COUNTIF($I97:$L97,"&gt;1")+COUNTIF($I97:$L97,"&lt;0")+COUNTA($I97:$L97)-COUNT($I97:$L97))&gt;0,"Avance fuera de rango 0-100%"&amp;" · ","")&amp;IF(OR(AND($J97&lt;&gt;"",$J97&lt;$I97),AND($K97&lt;&gt;"",$K97&lt;MAX($I97:$J97)),AND($L97&lt;&gt;"",$L97&lt;MAX($I97:$K97))),"Avance semanal decreciente"&amp;" · ","")&amp;IF(AND(ISNUMBER($AN97),$AN97&lt;FechaRef,IF($V97="Sub",N($X97),N($M97))&lt;1),"Vencida"&amp;" · ","")&amp;IF(AND(ObsObligatoria="Sí",ISNUMBER($AN97),$AN97&lt;FechaRef,IF($V97="Sub",N($X97),N($M97))&lt;1,$Q97=""),"Vencida sin observación"&amp;" · ",""),LEN(IF($C97="","Falta el nombre de la actividad"&amp;" · ","")&amp;IF(AND($V97="Sub",N($U97)=0),"Subactividad sin macroactividad arriba"&amp;" · ","")&amp;IF($AM97="","Sin fecha de inicio"&amp;" · ","")&amp;IF($AN97="","Sin fecha límite"&amp;" · ","")&amp;IF(AND(LEFT($C97,11)="[Jefatura] ",N($AL97)=0),"No se encuentra en la hoja de la jefatura (elíjala de nuevo en la lista)"&amp;" · ","")&amp;IF(OR(AND($E97&lt;&gt;"",NOT(ISNUMBER($E97))),AND($F97&lt;&gt;"",NOT(ISNUMBER($F97))),AND($G97&lt;&gt;"",NOT(ISNUMBER($G97)))),"Fecha no válida"&amp;" · ","")&amp;IF(AND(ISNUMBER($AM97),ISNUMBER($AN97),$AM97&gt;$AN97),"Inicio posterior a fecha límite"&amp;" · ","")&amp;IF(AND($V97="Macro",$H97&lt;&gt;"",OR(NOT(ISNUMBER($H97)),$H97&lt;0,$H97&gt;1)),"Peso fuera de rango"&amp;" · ","")&amp;IF(AND($V97="Sub",$H97&lt;&gt;""),"Las subactividades no llevan peso (valen igual dentro de su macroactividad)"&amp;" · ","")&amp;IF(AND(N($W97)&gt;0,COUNT($I97:$L97)&gt;0),"Con subactividades: deje vacías las semanas (se calculan solas)"&amp;" · ","")&amp;IF((COUNTIF($I97:$L97,"&gt;1")+COUNTIF($I97:$L97,"&lt;0")+COUNTA($I97:$L97)-COUNT($I97:$L97))&gt;0,"Avance fuera de rango 0-100%"&amp;" · ","")&amp;IF(OR(AND($J97&lt;&gt;"",$J97&lt;$I97),AND($K97&lt;&gt;"",$K97&lt;MAX($I97:$J97)),AND($L97&lt;&gt;"",$L97&lt;MAX($I97:$K97))),"Avance semanal decreciente"&amp;" · ","")&amp;IF(AND(ISNUMBER($AN97),$AN97&lt;FechaRef,IF($V97="Sub",N($X97),N($M97))&lt;1),"Vencida"&amp;" · ","")&amp;IF(AND(ObsObligatoria="Sí",ISNUMBER($AN97),$AN97&lt;FechaRef,IF($V97="Sub",N($X97),N($M97))&lt;1,$Q97=""),"Vencida sin observación"&amp;" · ",""))-3)))</f>
        <v/>
      </c>
      <c r="S97" s="64">
        <f>IF(NOT((COUNTA($B97:$D97)+COUNTA($G97:$L97)+COUNTA($Q97))&gt;0),"",IF(AND($V97="Sub",N($U97)&gt;0),IF(ISNUMBER(INDEX($AM$5:$AM$1000,$U97-4)),DATE(YEAR(INDEX($AM$5:$AM$1000,$U97-4)),MONTH(INDEX($AM$5:$AM$1000,$U97-4)),1),IF(ISNUMBER(INDEX($AN$5:$AN$1000,$U97-4)),DATE(YEAR(INDEX($AN$5:$AN$1000,$U97-4)),MONTH(INDEX($AN$5:$AN$1000,$U97-4)),1),MesCiclo)),IF(ISNUMBER($AM97),DATE(YEAR($AM97),MONTH($AM97),1),IF(ISNUMBER($AN97),DATE(YEAR($AN97),MONTH($AN97),1),MesCiclo))))</f>
        <v/>
      </c>
      <c r="T97" s="62">
        <f>IF(OR($S97="",$S97&lt;&gt;MesCiclo,$V97&lt;&gt;"Macro"),"",COUNTIFS($S$5:$S97,MesCiclo,$V$5:$V97,"Macro"))</f>
        <v/>
      </c>
      <c r="U97" s="62">
        <f>IF($V97="","",IF($V97="Macro",ROW(),IFERROR(LOOKUP(2,1/($V$5:$V97="Macro"),ROW($V$5:$V97)),0)))</f>
        <v/>
      </c>
      <c r="V97" s="62">
        <f>IF(NOT((COUNTA($B97:$D97)+COUNTA($G97:$L97)+COUNTA($Q97))&gt;0),"",IF($B97="Subactividad","Sub","Macro"))</f>
        <v/>
      </c>
      <c r="W97" s="62">
        <f>IF($V97="Macro",COUNTIFS($U$5:$U$1000,ROW(),$V$5:$V$1000,"Sub"),"")</f>
        <v/>
      </c>
      <c r="X97" s="62">
        <f>IF($V97="","",IF(ISNUMBER($G97),1,IFERROR(LOOKUP(2,1/($I97:$L97&lt;&gt;""),$I97:$L97),0)))</f>
        <v/>
      </c>
      <c r="Y97" s="62">
        <f>IF($V97="","",IF(AND(ISNUMBER($G97),$G97&lt;=IF($S97=MesCiclo,InicioCiclo,$S97+MOD(2-WEEKDAY($S97),7))+6),1,IF(ISNUMBER($I97),$I97,0)))</f>
        <v/>
      </c>
      <c r="Z97" s="62">
        <f>IF($V97="","",IF(AND(ISNUMBER($G97),$G97&lt;=IF($S97=MesCiclo,InicioCiclo,$S97+MOD(2-WEEKDAY($S97),7))+13),1,IF(ISNUMBER($J97),$J97,$Y97)))</f>
        <v/>
      </c>
      <c r="AA97" s="62">
        <f>IF($V97="","",IF(AND(ISNUMBER($G97),$G97&lt;=IF($S97=MesCiclo,InicioCiclo,$S97+MOD(2-WEEKDAY($S97),7))+20),1,IF(ISNUMBER($K97),$K97,$Z97)))</f>
        <v/>
      </c>
      <c r="AB97" s="62">
        <f>IF($V97="","",IF(AND(ISNUMBER($G97),$G97&lt;=IF($S97=MesCiclo,InicioCiclo,$S97+MOD(2-WEEKDAY($S97),7))+27),1,IF(ISNUMBER($L97),$L97,$AA97)))</f>
        <v/>
      </c>
      <c r="AC97" s="62">
        <f>IF($V97="","",IF(AND(ISNUMBER($G97),$G97&lt;=IF($S97=MesCiclo,InicioCiclo,$S97+MOD(2-WEEKDAY($S97),7))+6),1,IF(N($W97)&gt;0,AVERAGEIFS($Y$5:$Y$1000,$U$5:$U$1000,ROW(),$V$5:$V$1000,"Sub"),$Y97)))</f>
        <v/>
      </c>
      <c r="AD97" s="62">
        <f>IF($V97="","",IF(AND(ISNUMBER($G97),$G97&lt;=IF($S97=MesCiclo,InicioCiclo,$S97+MOD(2-WEEKDAY($S97),7))+13),1,IF(N($W97)&gt;0,AVERAGEIFS($Z$5:$Z$1000,$U$5:$U$1000,ROW(),$V$5:$V$1000,"Sub"),$Z97)))</f>
        <v/>
      </c>
      <c r="AE97" s="62">
        <f>IF($V97="","",IF(AND(ISNUMBER($G97),$G97&lt;=IF($S97=MesCiclo,InicioCiclo,$S97+MOD(2-WEEKDAY($S97),7))+20),1,IF(N($W97)&gt;0,AVERAGEIFS($AA$5:$AA$1000,$U$5:$U$1000,ROW(),$V$5:$V$1000,"Sub"),$AA97)))</f>
        <v/>
      </c>
      <c r="AF97" s="62">
        <f>IF($V97="","",IF(AND(ISNUMBER($G97),$G97&lt;=IF($S97=MesCiclo,InicioCiclo,$S97+MOD(2-WEEKDAY($S97),7))+27),1,IF(N($W97)&gt;0,AVERAGEIFS($AB$5:$AB$1000,$U$5:$U$1000,ROW(),$V$5:$V$1000,"Sub"),$AB97)))</f>
        <v/>
      </c>
      <c r="AG97" s="62">
        <f>IF($V97&lt;&gt;"Macro","",IF(COUNTIFS($S$5:$S$1000,$S97,$V$5:$V$1000,"Macro",$H$5:$H$1000,"&gt;0")=0,1/COUNTIFS($S$5:$S$1000,$S97,$V$5:$V$1000,"Macro"),IF(AND(ISNUMBER($H97),N($H97)&gt;0),$H97,SUMIFS($H$5:$H$1000,$S$5:$S$1000,$S97,$V$5:$V$1000,"Macro")/COUNTIFS($S$5:$S$1000,$S97,$V$5:$V$1000,"Macro",$H$5:$H$1000,"&gt;0"))/(COUNTIFS($S$5:$S$1000,$S97,$V$5:$V$1000,"Macro")*SUMIFS($H$5:$H$1000,$S$5:$S$1000,$S97,$V$5:$V$1000,"Macro")/COUNTIFS($S$5:$S$1000,$S97,$V$5:$V$1000,"Macro",$H$5:$H$1000,"&gt;0"))))</f>
        <v/>
      </c>
      <c r="AH97" s="62" t="n"/>
      <c r="AI97" s="62" t="n"/>
      <c r="AJ97" s="62" t="n"/>
      <c r="AK97" s="62" t="n"/>
      <c r="AL97" s="62">
        <f>IF(LEFT($C97,11)="[Jefatura] ",IFERROR(MATCH("Riesgo Normativo|"&amp;MID($C97,12,500),rDname_ADM,0),0),"")</f>
        <v/>
      </c>
      <c r="AM97" s="62">
        <f>IF(N($AL97)&gt;0,INDEX(rIni_ADM,$AL97),IF(ISNUMBER($E97),$E97,""))</f>
        <v/>
      </c>
      <c r="AN97" s="62">
        <f>IF(N($AL97)&gt;0,INDEX(rLim_ADM,$AL97),IF(ISNUMBER($F97),$F97,""))</f>
        <v/>
      </c>
    </row>
    <row r="98">
      <c r="A98" s="56">
        <f>IF(NOT((COUNTA($B98:$D98)+COUNTA($G98:$L98)+COUNTA($Q98))&gt;0),"",IF($V98="Macro",COUNTIFS($V$5:$V98,"Macro",$S$5:$S98,$S98),IF(N($U98)=0,"?",COUNTIFS(INDEX($V$5:$V$1000,1):INDEX($V$5:$V$1000,$U98-4),"Macro",INDEX($S$5:$S$1000,1):INDEX($S$5:$S$1000,$U98-4),INDEX($S$5:$S$1000,$U98-4))&amp;"."&amp;COUNTIFS($U$5:$U98,$U98,$V$5:$V98,"Sub"))))</f>
        <v/>
      </c>
      <c r="B98" s="57" t="n"/>
      <c r="C98" s="58" t="n"/>
      <c r="D98" s="58" t="n"/>
      <c r="E98" s="59">
        <f>IF(N($AL98)&gt;0,INDEX(rIni_ADM,$AL98),"")</f>
        <v/>
      </c>
      <c r="F98" s="59">
        <f>IF(N($AL98)&gt;0,INDEX(rLim_ADM,$AL98),"")</f>
        <v/>
      </c>
      <c r="G98" s="59" t="n"/>
      <c r="H98" s="60" t="n"/>
      <c r="I98" s="60" t="n"/>
      <c r="J98" s="60" t="n"/>
      <c r="K98" s="60" t="n"/>
      <c r="L98" s="60" t="n"/>
      <c r="M98" s="61">
        <f>IF(NOT((COUNTA($B98:$D98)+COUNTA($G98:$L98)+COUNTA($Q98))&gt;0),"",IF($V98="Sub",IFERROR($X98/INDEX($W$5:$W$1000,$U98-4),""),IF(ISNUMBER($G98),1,IF(N($W98)&gt;0,AVERAGEIFS($X$5:$X$1000,$U$5:$U$1000,ROW(),$V$5:$V$1000,"Sub"),$X98))))</f>
        <v/>
      </c>
      <c r="N98" s="56">
        <f>IF(OR($M98="",$V98="Sub"),"",IF($M98&gt;=1,"Completado",IF($M98&gt;0,"En curso","Pendiente")))</f>
        <v/>
      </c>
      <c r="O98" s="56">
        <f>IF(OR(NOT((COUNTA($B98:$D98)+COUNTA($G98:$L98)+COUNTA($Q98))&gt;0),$V98="Sub"),"",IF(ISNUMBER($G98),IF(AND(ISNUMBER($AN98),$G98&gt;$AN98),"Cumplida con "&amp;($G98-$AN98)&amp;IF($G98-$AN98=1," día"," días")&amp;" de retraso","Cumplida"),IF(N($M98)&gt;=1,"Cumplida",IF(NOT(ISNUMBER($AN98)),"Sin fecha límite",IF($AN98&lt;FechaRef,"Vencida hace "&amp;(FechaRef-$AN98)&amp;IF(FechaRef-$AN98=1," día"," días"),IF($AN98=FechaRef,"Vence hoy",IF($AN98-FechaRef&lt;=DiasAlerta,"Vence en "&amp;($AN98-FechaRef)&amp;IF($AN98-FechaRef=1," día"," días"),"En plazo")))))))</f>
        <v/>
      </c>
      <c r="P98" s="62" t="n"/>
      <c r="Q98" s="58" t="n"/>
      <c r="R98" s="63">
        <f>IF(NOT((COUNTA($B98:$D98)+COUNTA($G98:$L98)+COUNTA($Q98))&gt;0),"",IF((IF($C98="","Falta el nombre de la actividad"&amp;" · ","")&amp;IF(AND($V98="Sub",N($U98)=0),"Subactividad sin macroactividad arriba"&amp;" · ","")&amp;IF($AM98="","Sin fecha de inicio"&amp;" · ","")&amp;IF($AN98="","Sin fecha límite"&amp;" · ","")&amp;IF(AND(LEFT($C98,11)="[Jefatura] ",N($AL98)=0),"No se encuentra en la hoja de la jefatura (elíjala de nuevo en la lista)"&amp;" · ","")&amp;IF(OR(AND($E98&lt;&gt;"",NOT(ISNUMBER($E98))),AND($F98&lt;&gt;"",NOT(ISNUMBER($F98))),AND($G98&lt;&gt;"",NOT(ISNUMBER($G98)))),"Fecha no válida"&amp;" · ","")&amp;IF(AND(ISNUMBER($AM98),ISNUMBER($AN98),$AM98&gt;$AN98),"Inicio posterior a fecha límite"&amp;" · ","")&amp;IF(AND($V98="Macro",$H98&lt;&gt;"",OR(NOT(ISNUMBER($H98)),$H98&lt;0,$H98&gt;1)),"Peso fuera de rango"&amp;" · ","")&amp;IF(AND($V98="Sub",$H98&lt;&gt;""),"Las subactividades no llevan peso (valen igual dentro de su macroactividad)"&amp;" · ","")&amp;IF(AND(N($W98)&gt;0,COUNT($I98:$L98)&gt;0),"Con subactividades: deje vacías las semanas (se calculan solas)"&amp;" · ","")&amp;IF((COUNTIF($I98:$L98,"&gt;1")+COUNTIF($I98:$L98,"&lt;0")+COUNTA($I98:$L98)-COUNT($I98:$L98))&gt;0,"Avance fuera de rango 0-100%"&amp;" · ","")&amp;IF(OR(AND($J98&lt;&gt;"",$J98&lt;$I98),AND($K98&lt;&gt;"",$K98&lt;MAX($I98:$J98)),AND($L98&lt;&gt;"",$L98&lt;MAX($I98:$K98))),"Avance semanal decreciente"&amp;" · ","")&amp;IF(AND(ISNUMBER($AN98),$AN98&lt;FechaRef,IF($V98="Sub",N($X98),N($M98))&lt;1),"Vencida"&amp;" · ","")&amp;IF(AND(ObsObligatoria="Sí",ISNUMBER($AN98),$AN98&lt;FechaRef,IF($V98="Sub",N($X98),N($M98))&lt;1,$Q98=""),"Vencida sin observación"&amp;" · ",""))="","✔ OK","⚠ "&amp;LEFT(IF($C98="","Falta el nombre de la actividad"&amp;" · ","")&amp;IF(AND($V98="Sub",N($U98)=0),"Subactividad sin macroactividad arriba"&amp;" · ","")&amp;IF($AM98="","Sin fecha de inicio"&amp;" · ","")&amp;IF($AN98="","Sin fecha límite"&amp;" · ","")&amp;IF(AND(LEFT($C98,11)="[Jefatura] ",N($AL98)=0),"No se encuentra en la hoja de la jefatura (elíjala de nuevo en la lista)"&amp;" · ","")&amp;IF(OR(AND($E98&lt;&gt;"",NOT(ISNUMBER($E98))),AND($F98&lt;&gt;"",NOT(ISNUMBER($F98))),AND($G98&lt;&gt;"",NOT(ISNUMBER($G98)))),"Fecha no válida"&amp;" · ","")&amp;IF(AND(ISNUMBER($AM98),ISNUMBER($AN98),$AM98&gt;$AN98),"Inicio posterior a fecha límite"&amp;" · ","")&amp;IF(AND($V98="Macro",$H98&lt;&gt;"",OR(NOT(ISNUMBER($H98)),$H98&lt;0,$H98&gt;1)),"Peso fuera de rango"&amp;" · ","")&amp;IF(AND($V98="Sub",$H98&lt;&gt;""),"Las subactividades no llevan peso (valen igual dentro de su macroactividad)"&amp;" · ","")&amp;IF(AND(N($W98)&gt;0,COUNT($I98:$L98)&gt;0),"Con subactividades: deje vacías las semanas (se calculan solas)"&amp;" · ","")&amp;IF((COUNTIF($I98:$L98,"&gt;1")+COUNTIF($I98:$L98,"&lt;0")+COUNTA($I98:$L98)-COUNT($I98:$L98))&gt;0,"Avance fuera de rango 0-100%"&amp;" · ","")&amp;IF(OR(AND($J98&lt;&gt;"",$J98&lt;$I98),AND($K98&lt;&gt;"",$K98&lt;MAX($I98:$J98)),AND($L98&lt;&gt;"",$L98&lt;MAX($I98:$K98))),"Avance semanal decreciente"&amp;" · ","")&amp;IF(AND(ISNUMBER($AN98),$AN98&lt;FechaRef,IF($V98="Sub",N($X98),N($M98))&lt;1),"Vencida"&amp;" · ","")&amp;IF(AND(ObsObligatoria="Sí",ISNUMBER($AN98),$AN98&lt;FechaRef,IF($V98="Sub",N($X98),N($M98))&lt;1,$Q98=""),"Vencida sin observación"&amp;" · ",""),LEN(IF($C98="","Falta el nombre de la actividad"&amp;" · ","")&amp;IF(AND($V98="Sub",N($U98)=0),"Subactividad sin macroactividad arriba"&amp;" · ","")&amp;IF($AM98="","Sin fecha de inicio"&amp;" · ","")&amp;IF($AN98="","Sin fecha límite"&amp;" · ","")&amp;IF(AND(LEFT($C98,11)="[Jefatura] ",N($AL98)=0),"No se encuentra en la hoja de la jefatura (elíjala de nuevo en la lista)"&amp;" · ","")&amp;IF(OR(AND($E98&lt;&gt;"",NOT(ISNUMBER($E98))),AND($F98&lt;&gt;"",NOT(ISNUMBER($F98))),AND($G98&lt;&gt;"",NOT(ISNUMBER($G98)))),"Fecha no válida"&amp;" · ","")&amp;IF(AND(ISNUMBER($AM98),ISNUMBER($AN98),$AM98&gt;$AN98),"Inicio posterior a fecha límite"&amp;" · ","")&amp;IF(AND($V98="Macro",$H98&lt;&gt;"",OR(NOT(ISNUMBER($H98)),$H98&lt;0,$H98&gt;1)),"Peso fuera de rango"&amp;" · ","")&amp;IF(AND($V98="Sub",$H98&lt;&gt;""),"Las subactividades no llevan peso (valen igual dentro de su macroactividad)"&amp;" · ","")&amp;IF(AND(N($W98)&gt;0,COUNT($I98:$L98)&gt;0),"Con subactividades: deje vacías las semanas (se calculan solas)"&amp;" · ","")&amp;IF((COUNTIF($I98:$L98,"&gt;1")+COUNTIF($I98:$L98,"&lt;0")+COUNTA($I98:$L98)-COUNT($I98:$L98))&gt;0,"Avance fuera de rango 0-100%"&amp;" · ","")&amp;IF(OR(AND($J98&lt;&gt;"",$J98&lt;$I98),AND($K98&lt;&gt;"",$K98&lt;MAX($I98:$J98)),AND($L98&lt;&gt;"",$L98&lt;MAX($I98:$K98))),"Avance semanal decreciente"&amp;" · ","")&amp;IF(AND(ISNUMBER($AN98),$AN98&lt;FechaRef,IF($V98="Sub",N($X98),N($M98))&lt;1),"Vencida"&amp;" · ","")&amp;IF(AND(ObsObligatoria="Sí",ISNUMBER($AN98),$AN98&lt;FechaRef,IF($V98="Sub",N($X98),N($M98))&lt;1,$Q98=""),"Vencida sin observación"&amp;" · ",""))-3)))</f>
        <v/>
      </c>
      <c r="S98" s="64">
        <f>IF(NOT((COUNTA($B98:$D98)+COUNTA($G98:$L98)+COUNTA($Q98))&gt;0),"",IF(AND($V98="Sub",N($U98)&gt;0),IF(ISNUMBER(INDEX($AM$5:$AM$1000,$U98-4)),DATE(YEAR(INDEX($AM$5:$AM$1000,$U98-4)),MONTH(INDEX($AM$5:$AM$1000,$U98-4)),1),IF(ISNUMBER(INDEX($AN$5:$AN$1000,$U98-4)),DATE(YEAR(INDEX($AN$5:$AN$1000,$U98-4)),MONTH(INDEX($AN$5:$AN$1000,$U98-4)),1),MesCiclo)),IF(ISNUMBER($AM98),DATE(YEAR($AM98),MONTH($AM98),1),IF(ISNUMBER($AN98),DATE(YEAR($AN98),MONTH($AN98),1),MesCiclo))))</f>
        <v/>
      </c>
      <c r="T98" s="62">
        <f>IF(OR($S98="",$S98&lt;&gt;MesCiclo,$V98&lt;&gt;"Macro"),"",COUNTIFS($S$5:$S98,MesCiclo,$V$5:$V98,"Macro"))</f>
        <v/>
      </c>
      <c r="U98" s="62">
        <f>IF($V98="","",IF($V98="Macro",ROW(),IFERROR(LOOKUP(2,1/($V$5:$V98="Macro"),ROW($V$5:$V98)),0)))</f>
        <v/>
      </c>
      <c r="V98" s="62">
        <f>IF(NOT((COUNTA($B98:$D98)+COUNTA($G98:$L98)+COUNTA($Q98))&gt;0),"",IF($B98="Subactividad","Sub","Macro"))</f>
        <v/>
      </c>
      <c r="W98" s="62">
        <f>IF($V98="Macro",COUNTIFS($U$5:$U$1000,ROW(),$V$5:$V$1000,"Sub"),"")</f>
        <v/>
      </c>
      <c r="X98" s="62">
        <f>IF($V98="","",IF(ISNUMBER($G98),1,IFERROR(LOOKUP(2,1/($I98:$L98&lt;&gt;""),$I98:$L98),0)))</f>
        <v/>
      </c>
      <c r="Y98" s="62">
        <f>IF($V98="","",IF(AND(ISNUMBER($G98),$G98&lt;=IF($S98=MesCiclo,InicioCiclo,$S98+MOD(2-WEEKDAY($S98),7))+6),1,IF(ISNUMBER($I98),$I98,0)))</f>
        <v/>
      </c>
      <c r="Z98" s="62">
        <f>IF($V98="","",IF(AND(ISNUMBER($G98),$G98&lt;=IF($S98=MesCiclo,InicioCiclo,$S98+MOD(2-WEEKDAY($S98),7))+13),1,IF(ISNUMBER($J98),$J98,$Y98)))</f>
        <v/>
      </c>
      <c r="AA98" s="62">
        <f>IF($V98="","",IF(AND(ISNUMBER($G98),$G98&lt;=IF($S98=MesCiclo,InicioCiclo,$S98+MOD(2-WEEKDAY($S98),7))+20),1,IF(ISNUMBER($K98),$K98,$Z98)))</f>
        <v/>
      </c>
      <c r="AB98" s="62">
        <f>IF($V98="","",IF(AND(ISNUMBER($G98),$G98&lt;=IF($S98=MesCiclo,InicioCiclo,$S98+MOD(2-WEEKDAY($S98),7))+27),1,IF(ISNUMBER($L98),$L98,$AA98)))</f>
        <v/>
      </c>
      <c r="AC98" s="62">
        <f>IF($V98="","",IF(AND(ISNUMBER($G98),$G98&lt;=IF($S98=MesCiclo,InicioCiclo,$S98+MOD(2-WEEKDAY($S98),7))+6),1,IF(N($W98)&gt;0,AVERAGEIFS($Y$5:$Y$1000,$U$5:$U$1000,ROW(),$V$5:$V$1000,"Sub"),$Y98)))</f>
        <v/>
      </c>
      <c r="AD98" s="62">
        <f>IF($V98="","",IF(AND(ISNUMBER($G98),$G98&lt;=IF($S98=MesCiclo,InicioCiclo,$S98+MOD(2-WEEKDAY($S98),7))+13),1,IF(N($W98)&gt;0,AVERAGEIFS($Z$5:$Z$1000,$U$5:$U$1000,ROW(),$V$5:$V$1000,"Sub"),$Z98)))</f>
        <v/>
      </c>
      <c r="AE98" s="62">
        <f>IF($V98="","",IF(AND(ISNUMBER($G98),$G98&lt;=IF($S98=MesCiclo,InicioCiclo,$S98+MOD(2-WEEKDAY($S98),7))+20),1,IF(N($W98)&gt;0,AVERAGEIFS($AA$5:$AA$1000,$U$5:$U$1000,ROW(),$V$5:$V$1000,"Sub"),$AA98)))</f>
        <v/>
      </c>
      <c r="AF98" s="62">
        <f>IF($V98="","",IF(AND(ISNUMBER($G98),$G98&lt;=IF($S98=MesCiclo,InicioCiclo,$S98+MOD(2-WEEKDAY($S98),7))+27),1,IF(N($W98)&gt;0,AVERAGEIFS($AB$5:$AB$1000,$U$5:$U$1000,ROW(),$V$5:$V$1000,"Sub"),$AB98)))</f>
        <v/>
      </c>
      <c r="AG98" s="62">
        <f>IF($V98&lt;&gt;"Macro","",IF(COUNTIFS($S$5:$S$1000,$S98,$V$5:$V$1000,"Macro",$H$5:$H$1000,"&gt;0")=0,1/COUNTIFS($S$5:$S$1000,$S98,$V$5:$V$1000,"Macro"),IF(AND(ISNUMBER($H98),N($H98)&gt;0),$H98,SUMIFS($H$5:$H$1000,$S$5:$S$1000,$S98,$V$5:$V$1000,"Macro")/COUNTIFS($S$5:$S$1000,$S98,$V$5:$V$1000,"Macro",$H$5:$H$1000,"&gt;0"))/(COUNTIFS($S$5:$S$1000,$S98,$V$5:$V$1000,"Macro")*SUMIFS($H$5:$H$1000,$S$5:$S$1000,$S98,$V$5:$V$1000,"Macro")/COUNTIFS($S$5:$S$1000,$S98,$V$5:$V$1000,"Macro",$H$5:$H$1000,"&gt;0"))))</f>
        <v/>
      </c>
      <c r="AH98" s="62" t="n"/>
      <c r="AI98" s="62" t="n"/>
      <c r="AJ98" s="62" t="n"/>
      <c r="AK98" s="62" t="n"/>
      <c r="AL98" s="62">
        <f>IF(LEFT($C98,11)="[Jefatura] ",IFERROR(MATCH("Riesgo Normativo|"&amp;MID($C98,12,500),rDname_ADM,0),0),"")</f>
        <v/>
      </c>
      <c r="AM98" s="62">
        <f>IF(N($AL98)&gt;0,INDEX(rIni_ADM,$AL98),IF(ISNUMBER($E98),$E98,""))</f>
        <v/>
      </c>
      <c r="AN98" s="62">
        <f>IF(N($AL98)&gt;0,INDEX(rLim_ADM,$AL98),IF(ISNUMBER($F98),$F98,""))</f>
        <v/>
      </c>
    </row>
    <row r="99">
      <c r="A99" s="56">
        <f>IF(NOT((COUNTA($B99:$D99)+COUNTA($G99:$L99)+COUNTA($Q99))&gt;0),"",IF($V99="Macro",COUNTIFS($V$5:$V99,"Macro",$S$5:$S99,$S99),IF(N($U99)=0,"?",COUNTIFS(INDEX($V$5:$V$1000,1):INDEX($V$5:$V$1000,$U99-4),"Macro",INDEX($S$5:$S$1000,1):INDEX($S$5:$S$1000,$U99-4),INDEX($S$5:$S$1000,$U99-4))&amp;"."&amp;COUNTIFS($U$5:$U99,$U99,$V$5:$V99,"Sub"))))</f>
        <v/>
      </c>
      <c r="B99" s="57" t="n"/>
      <c r="C99" s="58" t="n"/>
      <c r="D99" s="58" t="n"/>
      <c r="E99" s="59">
        <f>IF(N($AL99)&gt;0,INDEX(rIni_ADM,$AL99),"")</f>
        <v/>
      </c>
      <c r="F99" s="59">
        <f>IF(N($AL99)&gt;0,INDEX(rLim_ADM,$AL99),"")</f>
        <v/>
      </c>
      <c r="G99" s="59" t="n"/>
      <c r="H99" s="60" t="n"/>
      <c r="I99" s="60" t="n"/>
      <c r="J99" s="60" t="n"/>
      <c r="K99" s="60" t="n"/>
      <c r="L99" s="60" t="n"/>
      <c r="M99" s="61">
        <f>IF(NOT((COUNTA($B99:$D99)+COUNTA($G99:$L99)+COUNTA($Q99))&gt;0),"",IF($V99="Sub",IFERROR($X99/INDEX($W$5:$W$1000,$U99-4),""),IF(ISNUMBER($G99),1,IF(N($W99)&gt;0,AVERAGEIFS($X$5:$X$1000,$U$5:$U$1000,ROW(),$V$5:$V$1000,"Sub"),$X99))))</f>
        <v/>
      </c>
      <c r="N99" s="56">
        <f>IF(OR($M99="",$V99="Sub"),"",IF($M99&gt;=1,"Completado",IF($M99&gt;0,"En curso","Pendiente")))</f>
        <v/>
      </c>
      <c r="O99" s="56">
        <f>IF(OR(NOT((COUNTA($B99:$D99)+COUNTA($G99:$L99)+COUNTA($Q99))&gt;0),$V99="Sub"),"",IF(ISNUMBER($G99),IF(AND(ISNUMBER($AN99),$G99&gt;$AN99),"Cumplida con "&amp;($G99-$AN99)&amp;IF($G99-$AN99=1," día"," días")&amp;" de retraso","Cumplida"),IF(N($M99)&gt;=1,"Cumplida",IF(NOT(ISNUMBER($AN99)),"Sin fecha límite",IF($AN99&lt;FechaRef,"Vencida hace "&amp;(FechaRef-$AN99)&amp;IF(FechaRef-$AN99=1," día"," días"),IF($AN99=FechaRef,"Vence hoy",IF($AN99-FechaRef&lt;=DiasAlerta,"Vence en "&amp;($AN99-FechaRef)&amp;IF($AN99-FechaRef=1," día"," días"),"En plazo")))))))</f>
        <v/>
      </c>
      <c r="P99" s="62" t="n"/>
      <c r="Q99" s="58" t="n"/>
      <c r="R99" s="63">
        <f>IF(NOT((COUNTA($B99:$D99)+COUNTA($G99:$L99)+COUNTA($Q99))&gt;0),"",IF((IF($C99="","Falta el nombre de la actividad"&amp;" · ","")&amp;IF(AND($V99="Sub",N($U99)=0),"Subactividad sin macroactividad arriba"&amp;" · ","")&amp;IF($AM99="","Sin fecha de inicio"&amp;" · ","")&amp;IF($AN99="","Sin fecha límite"&amp;" · ","")&amp;IF(AND(LEFT($C99,11)="[Jefatura] ",N($AL99)=0),"No se encuentra en la hoja de la jefatura (elíjala de nuevo en la lista)"&amp;" · ","")&amp;IF(OR(AND($E99&lt;&gt;"",NOT(ISNUMBER($E99))),AND($F99&lt;&gt;"",NOT(ISNUMBER($F99))),AND($G99&lt;&gt;"",NOT(ISNUMBER($G99)))),"Fecha no válida"&amp;" · ","")&amp;IF(AND(ISNUMBER($AM99),ISNUMBER($AN99),$AM99&gt;$AN99),"Inicio posterior a fecha límite"&amp;" · ","")&amp;IF(AND($V99="Macro",$H99&lt;&gt;"",OR(NOT(ISNUMBER($H99)),$H99&lt;0,$H99&gt;1)),"Peso fuera de rango"&amp;" · ","")&amp;IF(AND($V99="Sub",$H99&lt;&gt;""),"Las subactividades no llevan peso (valen igual dentro de su macroactividad)"&amp;" · ","")&amp;IF(AND(N($W99)&gt;0,COUNT($I99:$L99)&gt;0),"Con subactividades: deje vacías las semanas (se calculan solas)"&amp;" · ","")&amp;IF((COUNTIF($I99:$L99,"&gt;1")+COUNTIF($I99:$L99,"&lt;0")+COUNTA($I99:$L99)-COUNT($I99:$L99))&gt;0,"Avance fuera de rango 0-100%"&amp;" · ","")&amp;IF(OR(AND($J99&lt;&gt;"",$J99&lt;$I99),AND($K99&lt;&gt;"",$K99&lt;MAX($I99:$J99)),AND($L99&lt;&gt;"",$L99&lt;MAX($I99:$K99))),"Avance semanal decreciente"&amp;" · ","")&amp;IF(AND(ISNUMBER($AN99),$AN99&lt;FechaRef,IF($V99="Sub",N($X99),N($M99))&lt;1),"Vencida"&amp;" · ","")&amp;IF(AND(ObsObligatoria="Sí",ISNUMBER($AN99),$AN99&lt;FechaRef,IF($V99="Sub",N($X99),N($M99))&lt;1,$Q99=""),"Vencida sin observación"&amp;" · ",""))="","✔ OK","⚠ "&amp;LEFT(IF($C99="","Falta el nombre de la actividad"&amp;" · ","")&amp;IF(AND($V99="Sub",N($U99)=0),"Subactividad sin macroactividad arriba"&amp;" · ","")&amp;IF($AM99="","Sin fecha de inicio"&amp;" · ","")&amp;IF($AN99="","Sin fecha límite"&amp;" · ","")&amp;IF(AND(LEFT($C99,11)="[Jefatura] ",N($AL99)=0),"No se encuentra en la hoja de la jefatura (elíjala de nuevo en la lista)"&amp;" · ","")&amp;IF(OR(AND($E99&lt;&gt;"",NOT(ISNUMBER($E99))),AND($F99&lt;&gt;"",NOT(ISNUMBER($F99))),AND($G99&lt;&gt;"",NOT(ISNUMBER($G99)))),"Fecha no válida"&amp;" · ","")&amp;IF(AND(ISNUMBER($AM99),ISNUMBER($AN99),$AM99&gt;$AN99),"Inicio posterior a fecha límite"&amp;" · ","")&amp;IF(AND($V99="Macro",$H99&lt;&gt;"",OR(NOT(ISNUMBER($H99)),$H99&lt;0,$H99&gt;1)),"Peso fuera de rango"&amp;" · ","")&amp;IF(AND($V99="Sub",$H99&lt;&gt;""),"Las subactividades no llevan peso (valen igual dentro de su macroactividad)"&amp;" · ","")&amp;IF(AND(N($W99)&gt;0,COUNT($I99:$L99)&gt;0),"Con subactividades: deje vacías las semanas (se calculan solas)"&amp;" · ","")&amp;IF((COUNTIF($I99:$L99,"&gt;1")+COUNTIF($I99:$L99,"&lt;0")+COUNTA($I99:$L99)-COUNT($I99:$L99))&gt;0,"Avance fuera de rango 0-100%"&amp;" · ","")&amp;IF(OR(AND($J99&lt;&gt;"",$J99&lt;$I99),AND($K99&lt;&gt;"",$K99&lt;MAX($I99:$J99)),AND($L99&lt;&gt;"",$L99&lt;MAX($I99:$K99))),"Avance semanal decreciente"&amp;" · ","")&amp;IF(AND(ISNUMBER($AN99),$AN99&lt;FechaRef,IF($V99="Sub",N($X99),N($M99))&lt;1),"Vencida"&amp;" · ","")&amp;IF(AND(ObsObligatoria="Sí",ISNUMBER($AN99),$AN99&lt;FechaRef,IF($V99="Sub",N($X99),N($M99))&lt;1,$Q99=""),"Vencida sin observación"&amp;" · ",""),LEN(IF($C99="","Falta el nombre de la actividad"&amp;" · ","")&amp;IF(AND($V99="Sub",N($U99)=0),"Subactividad sin macroactividad arriba"&amp;" · ","")&amp;IF($AM99="","Sin fecha de inicio"&amp;" · ","")&amp;IF($AN99="","Sin fecha límite"&amp;" · ","")&amp;IF(AND(LEFT($C99,11)="[Jefatura] ",N($AL99)=0),"No se encuentra en la hoja de la jefatura (elíjala de nuevo en la lista)"&amp;" · ","")&amp;IF(OR(AND($E99&lt;&gt;"",NOT(ISNUMBER($E99))),AND($F99&lt;&gt;"",NOT(ISNUMBER($F99))),AND($G99&lt;&gt;"",NOT(ISNUMBER($G99)))),"Fecha no válida"&amp;" · ","")&amp;IF(AND(ISNUMBER($AM99),ISNUMBER($AN99),$AM99&gt;$AN99),"Inicio posterior a fecha límite"&amp;" · ","")&amp;IF(AND($V99="Macro",$H99&lt;&gt;"",OR(NOT(ISNUMBER($H99)),$H99&lt;0,$H99&gt;1)),"Peso fuera de rango"&amp;" · ","")&amp;IF(AND($V99="Sub",$H99&lt;&gt;""),"Las subactividades no llevan peso (valen igual dentro de su macroactividad)"&amp;" · ","")&amp;IF(AND(N($W99)&gt;0,COUNT($I99:$L99)&gt;0),"Con subactividades: deje vacías las semanas (se calculan solas)"&amp;" · ","")&amp;IF((COUNTIF($I99:$L99,"&gt;1")+COUNTIF($I99:$L99,"&lt;0")+COUNTA($I99:$L99)-COUNT($I99:$L99))&gt;0,"Avance fuera de rango 0-100%"&amp;" · ","")&amp;IF(OR(AND($J99&lt;&gt;"",$J99&lt;$I99),AND($K99&lt;&gt;"",$K99&lt;MAX($I99:$J99)),AND($L99&lt;&gt;"",$L99&lt;MAX($I99:$K99))),"Avance semanal decreciente"&amp;" · ","")&amp;IF(AND(ISNUMBER($AN99),$AN99&lt;FechaRef,IF($V99="Sub",N($X99),N($M99))&lt;1),"Vencida"&amp;" · ","")&amp;IF(AND(ObsObligatoria="Sí",ISNUMBER($AN99),$AN99&lt;FechaRef,IF($V99="Sub",N($X99),N($M99))&lt;1,$Q99=""),"Vencida sin observación"&amp;" · ",""))-3)))</f>
        <v/>
      </c>
      <c r="S99" s="64">
        <f>IF(NOT((COUNTA($B99:$D99)+COUNTA($G99:$L99)+COUNTA($Q99))&gt;0),"",IF(AND($V99="Sub",N($U99)&gt;0),IF(ISNUMBER(INDEX($AM$5:$AM$1000,$U99-4)),DATE(YEAR(INDEX($AM$5:$AM$1000,$U99-4)),MONTH(INDEX($AM$5:$AM$1000,$U99-4)),1),IF(ISNUMBER(INDEX($AN$5:$AN$1000,$U99-4)),DATE(YEAR(INDEX($AN$5:$AN$1000,$U99-4)),MONTH(INDEX($AN$5:$AN$1000,$U99-4)),1),MesCiclo)),IF(ISNUMBER($AM99),DATE(YEAR($AM99),MONTH($AM99),1),IF(ISNUMBER($AN99),DATE(YEAR($AN99),MONTH($AN99),1),MesCiclo))))</f>
        <v/>
      </c>
      <c r="T99" s="62">
        <f>IF(OR($S99="",$S99&lt;&gt;MesCiclo,$V99&lt;&gt;"Macro"),"",COUNTIFS($S$5:$S99,MesCiclo,$V$5:$V99,"Macro"))</f>
        <v/>
      </c>
      <c r="U99" s="62">
        <f>IF($V99="","",IF($V99="Macro",ROW(),IFERROR(LOOKUP(2,1/($V$5:$V99="Macro"),ROW($V$5:$V99)),0)))</f>
        <v/>
      </c>
      <c r="V99" s="62">
        <f>IF(NOT((COUNTA($B99:$D99)+COUNTA($G99:$L99)+COUNTA($Q99))&gt;0),"",IF($B99="Subactividad","Sub","Macro"))</f>
        <v/>
      </c>
      <c r="W99" s="62">
        <f>IF($V99="Macro",COUNTIFS($U$5:$U$1000,ROW(),$V$5:$V$1000,"Sub"),"")</f>
        <v/>
      </c>
      <c r="X99" s="62">
        <f>IF($V99="","",IF(ISNUMBER($G99),1,IFERROR(LOOKUP(2,1/($I99:$L99&lt;&gt;""),$I99:$L99),0)))</f>
        <v/>
      </c>
      <c r="Y99" s="62">
        <f>IF($V99="","",IF(AND(ISNUMBER($G99),$G99&lt;=IF($S99=MesCiclo,InicioCiclo,$S99+MOD(2-WEEKDAY($S99),7))+6),1,IF(ISNUMBER($I99),$I99,0)))</f>
        <v/>
      </c>
      <c r="Z99" s="62">
        <f>IF($V99="","",IF(AND(ISNUMBER($G99),$G99&lt;=IF($S99=MesCiclo,InicioCiclo,$S99+MOD(2-WEEKDAY($S99),7))+13),1,IF(ISNUMBER($J99),$J99,$Y99)))</f>
        <v/>
      </c>
      <c r="AA99" s="62">
        <f>IF($V99="","",IF(AND(ISNUMBER($G99),$G99&lt;=IF($S99=MesCiclo,InicioCiclo,$S99+MOD(2-WEEKDAY($S99),7))+20),1,IF(ISNUMBER($K99),$K99,$Z99)))</f>
        <v/>
      </c>
      <c r="AB99" s="62">
        <f>IF($V99="","",IF(AND(ISNUMBER($G99),$G99&lt;=IF($S99=MesCiclo,InicioCiclo,$S99+MOD(2-WEEKDAY($S99),7))+27),1,IF(ISNUMBER($L99),$L99,$AA99)))</f>
        <v/>
      </c>
      <c r="AC99" s="62">
        <f>IF($V99="","",IF(AND(ISNUMBER($G99),$G99&lt;=IF($S99=MesCiclo,InicioCiclo,$S99+MOD(2-WEEKDAY($S99),7))+6),1,IF(N($W99)&gt;0,AVERAGEIFS($Y$5:$Y$1000,$U$5:$U$1000,ROW(),$V$5:$V$1000,"Sub"),$Y99)))</f>
        <v/>
      </c>
      <c r="AD99" s="62">
        <f>IF($V99="","",IF(AND(ISNUMBER($G99),$G99&lt;=IF($S99=MesCiclo,InicioCiclo,$S99+MOD(2-WEEKDAY($S99),7))+13),1,IF(N($W99)&gt;0,AVERAGEIFS($Z$5:$Z$1000,$U$5:$U$1000,ROW(),$V$5:$V$1000,"Sub"),$Z99)))</f>
        <v/>
      </c>
      <c r="AE99" s="62">
        <f>IF($V99="","",IF(AND(ISNUMBER($G99),$G99&lt;=IF($S99=MesCiclo,InicioCiclo,$S99+MOD(2-WEEKDAY($S99),7))+20),1,IF(N($W99)&gt;0,AVERAGEIFS($AA$5:$AA$1000,$U$5:$U$1000,ROW(),$V$5:$V$1000,"Sub"),$AA99)))</f>
        <v/>
      </c>
      <c r="AF99" s="62">
        <f>IF($V99="","",IF(AND(ISNUMBER($G99),$G99&lt;=IF($S99=MesCiclo,InicioCiclo,$S99+MOD(2-WEEKDAY($S99),7))+27),1,IF(N($W99)&gt;0,AVERAGEIFS($AB$5:$AB$1000,$U$5:$U$1000,ROW(),$V$5:$V$1000,"Sub"),$AB99)))</f>
        <v/>
      </c>
      <c r="AG99" s="62">
        <f>IF($V99&lt;&gt;"Macro","",IF(COUNTIFS($S$5:$S$1000,$S99,$V$5:$V$1000,"Macro",$H$5:$H$1000,"&gt;0")=0,1/COUNTIFS($S$5:$S$1000,$S99,$V$5:$V$1000,"Macro"),IF(AND(ISNUMBER($H99),N($H99)&gt;0),$H99,SUMIFS($H$5:$H$1000,$S$5:$S$1000,$S99,$V$5:$V$1000,"Macro")/COUNTIFS($S$5:$S$1000,$S99,$V$5:$V$1000,"Macro",$H$5:$H$1000,"&gt;0"))/(COUNTIFS($S$5:$S$1000,$S99,$V$5:$V$1000,"Macro")*SUMIFS($H$5:$H$1000,$S$5:$S$1000,$S99,$V$5:$V$1000,"Macro")/COUNTIFS($S$5:$S$1000,$S99,$V$5:$V$1000,"Macro",$H$5:$H$1000,"&gt;0"))))</f>
        <v/>
      </c>
      <c r="AH99" s="62" t="n"/>
      <c r="AI99" s="62" t="n"/>
      <c r="AJ99" s="62" t="n"/>
      <c r="AK99" s="62" t="n"/>
      <c r="AL99" s="62">
        <f>IF(LEFT($C99,11)="[Jefatura] ",IFERROR(MATCH("Riesgo Normativo|"&amp;MID($C99,12,500),rDname_ADM,0),0),"")</f>
        <v/>
      </c>
      <c r="AM99" s="62">
        <f>IF(N($AL99)&gt;0,INDEX(rIni_ADM,$AL99),IF(ISNUMBER($E99),$E99,""))</f>
        <v/>
      </c>
      <c r="AN99" s="62">
        <f>IF(N($AL99)&gt;0,INDEX(rLim_ADM,$AL99),IF(ISNUMBER($F99),$F99,""))</f>
        <v/>
      </c>
    </row>
    <row r="100">
      <c r="A100" s="56">
        <f>IF(NOT((COUNTA($B100:$D100)+COUNTA($G100:$L100)+COUNTA($Q100))&gt;0),"",IF($V100="Macro",COUNTIFS($V$5:$V100,"Macro",$S$5:$S100,$S100),IF(N($U100)=0,"?",COUNTIFS(INDEX($V$5:$V$1000,1):INDEX($V$5:$V$1000,$U100-4),"Macro",INDEX($S$5:$S$1000,1):INDEX($S$5:$S$1000,$U100-4),INDEX($S$5:$S$1000,$U100-4))&amp;"."&amp;COUNTIFS($U$5:$U100,$U100,$V$5:$V100,"Sub"))))</f>
        <v/>
      </c>
      <c r="B100" s="57" t="n"/>
      <c r="C100" s="58" t="n"/>
      <c r="D100" s="58" t="n"/>
      <c r="E100" s="59">
        <f>IF(N($AL100)&gt;0,INDEX(rIni_ADM,$AL100),"")</f>
        <v/>
      </c>
      <c r="F100" s="59">
        <f>IF(N($AL100)&gt;0,INDEX(rLim_ADM,$AL100),"")</f>
        <v/>
      </c>
      <c r="G100" s="59" t="n"/>
      <c r="H100" s="60" t="n"/>
      <c r="I100" s="60" t="n"/>
      <c r="J100" s="60" t="n"/>
      <c r="K100" s="60" t="n"/>
      <c r="L100" s="60" t="n"/>
      <c r="M100" s="61">
        <f>IF(NOT((COUNTA($B100:$D100)+COUNTA($G100:$L100)+COUNTA($Q100))&gt;0),"",IF($V100="Sub",IFERROR($X100/INDEX($W$5:$W$1000,$U100-4),""),IF(ISNUMBER($G100),1,IF(N($W100)&gt;0,AVERAGEIFS($X$5:$X$1000,$U$5:$U$1000,ROW(),$V$5:$V$1000,"Sub"),$X100))))</f>
        <v/>
      </c>
      <c r="N100" s="56">
        <f>IF(OR($M100="",$V100="Sub"),"",IF($M100&gt;=1,"Completado",IF($M100&gt;0,"En curso","Pendiente")))</f>
        <v/>
      </c>
      <c r="O100" s="56">
        <f>IF(OR(NOT((COUNTA($B100:$D100)+COUNTA($G100:$L100)+COUNTA($Q100))&gt;0),$V100="Sub"),"",IF(ISNUMBER($G100),IF(AND(ISNUMBER($AN100),$G100&gt;$AN100),"Cumplida con "&amp;($G100-$AN100)&amp;IF($G100-$AN100=1," día"," días")&amp;" de retraso","Cumplida"),IF(N($M100)&gt;=1,"Cumplida",IF(NOT(ISNUMBER($AN100)),"Sin fecha límite",IF($AN100&lt;FechaRef,"Vencida hace "&amp;(FechaRef-$AN100)&amp;IF(FechaRef-$AN100=1," día"," días"),IF($AN100=FechaRef,"Vence hoy",IF($AN100-FechaRef&lt;=DiasAlerta,"Vence en "&amp;($AN100-FechaRef)&amp;IF($AN100-FechaRef=1," día"," días"),"En plazo")))))))</f>
        <v/>
      </c>
      <c r="P100" s="62" t="n"/>
      <c r="Q100" s="58" t="n"/>
      <c r="R100" s="63">
        <f>IF(NOT((COUNTA($B100:$D100)+COUNTA($G100:$L100)+COUNTA($Q100))&gt;0),"",IF((IF($C100="","Falta el nombre de la actividad"&amp;" · ","")&amp;IF(AND($V100="Sub",N($U100)=0),"Subactividad sin macroactividad arriba"&amp;" · ","")&amp;IF($AM100="","Sin fecha de inicio"&amp;" · ","")&amp;IF($AN100="","Sin fecha límite"&amp;" · ","")&amp;IF(AND(LEFT($C100,11)="[Jefatura] ",N($AL100)=0),"No se encuentra en la hoja de la jefatura (elíjala de nuevo en la lista)"&amp;" · ","")&amp;IF(OR(AND($E100&lt;&gt;"",NOT(ISNUMBER($E100))),AND($F100&lt;&gt;"",NOT(ISNUMBER($F100))),AND($G100&lt;&gt;"",NOT(ISNUMBER($G100)))),"Fecha no válida"&amp;" · ","")&amp;IF(AND(ISNUMBER($AM100),ISNUMBER($AN100),$AM100&gt;$AN100),"Inicio posterior a fecha límite"&amp;" · ","")&amp;IF(AND($V100="Macro",$H100&lt;&gt;"",OR(NOT(ISNUMBER($H100)),$H100&lt;0,$H100&gt;1)),"Peso fuera de rango"&amp;" · ","")&amp;IF(AND($V100="Sub",$H100&lt;&gt;""),"Las subactividades no llevan peso (valen igual dentro de su macroactividad)"&amp;" · ","")&amp;IF(AND(N($W100)&gt;0,COUNT($I100:$L100)&gt;0),"Con subactividades: deje vacías las semanas (se calculan solas)"&amp;" · ","")&amp;IF((COUNTIF($I100:$L100,"&gt;1")+COUNTIF($I100:$L100,"&lt;0")+COUNTA($I100:$L100)-COUNT($I100:$L100))&gt;0,"Avance fuera de rango 0-100%"&amp;" · ","")&amp;IF(OR(AND($J100&lt;&gt;"",$J100&lt;$I100),AND($K100&lt;&gt;"",$K100&lt;MAX($I100:$J100)),AND($L100&lt;&gt;"",$L100&lt;MAX($I100:$K100))),"Avance semanal decreciente"&amp;" · ","")&amp;IF(AND(ISNUMBER($AN100),$AN100&lt;FechaRef,IF($V100="Sub",N($X100),N($M100))&lt;1),"Vencida"&amp;" · ","")&amp;IF(AND(ObsObligatoria="Sí",ISNUMBER($AN100),$AN100&lt;FechaRef,IF($V100="Sub",N($X100),N($M100))&lt;1,$Q100=""),"Vencida sin observación"&amp;" · ",""))="","✔ OK","⚠ "&amp;LEFT(IF($C100="","Falta el nombre de la actividad"&amp;" · ","")&amp;IF(AND($V100="Sub",N($U100)=0),"Subactividad sin macroactividad arriba"&amp;" · ","")&amp;IF($AM100="","Sin fecha de inicio"&amp;" · ","")&amp;IF($AN100="","Sin fecha límite"&amp;" · ","")&amp;IF(AND(LEFT($C100,11)="[Jefatura] ",N($AL100)=0),"No se encuentra en la hoja de la jefatura (elíjala de nuevo en la lista)"&amp;" · ","")&amp;IF(OR(AND($E100&lt;&gt;"",NOT(ISNUMBER($E100))),AND($F100&lt;&gt;"",NOT(ISNUMBER($F100))),AND($G100&lt;&gt;"",NOT(ISNUMBER($G100)))),"Fecha no válida"&amp;" · ","")&amp;IF(AND(ISNUMBER($AM100),ISNUMBER($AN100),$AM100&gt;$AN100),"Inicio posterior a fecha límite"&amp;" · ","")&amp;IF(AND($V100="Macro",$H100&lt;&gt;"",OR(NOT(ISNUMBER($H100)),$H100&lt;0,$H100&gt;1)),"Peso fuera de rango"&amp;" · ","")&amp;IF(AND($V100="Sub",$H100&lt;&gt;""),"Las subactividades no llevan peso (valen igual dentro de su macroactividad)"&amp;" · ","")&amp;IF(AND(N($W100)&gt;0,COUNT($I100:$L100)&gt;0),"Con subactividades: deje vacías las semanas (se calculan solas)"&amp;" · ","")&amp;IF((COUNTIF($I100:$L100,"&gt;1")+COUNTIF($I100:$L100,"&lt;0")+COUNTA($I100:$L100)-COUNT($I100:$L100))&gt;0,"Avance fuera de rango 0-100%"&amp;" · ","")&amp;IF(OR(AND($J100&lt;&gt;"",$J100&lt;$I100),AND($K100&lt;&gt;"",$K100&lt;MAX($I100:$J100)),AND($L100&lt;&gt;"",$L100&lt;MAX($I100:$K100))),"Avance semanal decreciente"&amp;" · ","")&amp;IF(AND(ISNUMBER($AN100),$AN100&lt;FechaRef,IF($V100="Sub",N($X100),N($M100))&lt;1),"Vencida"&amp;" · ","")&amp;IF(AND(ObsObligatoria="Sí",ISNUMBER($AN100),$AN100&lt;FechaRef,IF($V100="Sub",N($X100),N($M100))&lt;1,$Q100=""),"Vencida sin observación"&amp;" · ",""),LEN(IF($C100="","Falta el nombre de la actividad"&amp;" · ","")&amp;IF(AND($V100="Sub",N($U100)=0),"Subactividad sin macroactividad arriba"&amp;" · ","")&amp;IF($AM100="","Sin fecha de inicio"&amp;" · ","")&amp;IF($AN100="","Sin fecha límite"&amp;" · ","")&amp;IF(AND(LEFT($C100,11)="[Jefatura] ",N($AL100)=0),"No se encuentra en la hoja de la jefatura (elíjala de nuevo en la lista)"&amp;" · ","")&amp;IF(OR(AND($E100&lt;&gt;"",NOT(ISNUMBER($E100))),AND($F100&lt;&gt;"",NOT(ISNUMBER($F100))),AND($G100&lt;&gt;"",NOT(ISNUMBER($G100)))),"Fecha no válida"&amp;" · ","")&amp;IF(AND(ISNUMBER($AM100),ISNUMBER($AN100),$AM100&gt;$AN100),"Inicio posterior a fecha límite"&amp;" · ","")&amp;IF(AND($V100="Macro",$H100&lt;&gt;"",OR(NOT(ISNUMBER($H100)),$H100&lt;0,$H100&gt;1)),"Peso fuera de rango"&amp;" · ","")&amp;IF(AND($V100="Sub",$H100&lt;&gt;""),"Las subactividades no llevan peso (valen igual dentro de su macroactividad)"&amp;" · ","")&amp;IF(AND(N($W100)&gt;0,COUNT($I100:$L100)&gt;0),"Con subactividades: deje vacías las semanas (se calculan solas)"&amp;" · ","")&amp;IF((COUNTIF($I100:$L100,"&gt;1")+COUNTIF($I100:$L100,"&lt;0")+COUNTA($I100:$L100)-COUNT($I100:$L100))&gt;0,"Avance fuera de rango 0-100%"&amp;" · ","")&amp;IF(OR(AND($J100&lt;&gt;"",$J100&lt;$I100),AND($K100&lt;&gt;"",$K100&lt;MAX($I100:$J100)),AND($L100&lt;&gt;"",$L100&lt;MAX($I100:$K100))),"Avance semanal decreciente"&amp;" · ","")&amp;IF(AND(ISNUMBER($AN100),$AN100&lt;FechaRef,IF($V100="Sub",N($X100),N($M100))&lt;1),"Vencida"&amp;" · ","")&amp;IF(AND(ObsObligatoria="Sí",ISNUMBER($AN100),$AN100&lt;FechaRef,IF($V100="Sub",N($X100),N($M100))&lt;1,$Q100=""),"Vencida sin observación"&amp;" · ",""))-3)))</f>
        <v/>
      </c>
      <c r="S100" s="64">
        <f>IF(NOT((COUNTA($B100:$D100)+COUNTA($G100:$L100)+COUNTA($Q100))&gt;0),"",IF(AND($V100="Sub",N($U100)&gt;0),IF(ISNUMBER(INDEX($AM$5:$AM$1000,$U100-4)),DATE(YEAR(INDEX($AM$5:$AM$1000,$U100-4)),MONTH(INDEX($AM$5:$AM$1000,$U100-4)),1),IF(ISNUMBER(INDEX($AN$5:$AN$1000,$U100-4)),DATE(YEAR(INDEX($AN$5:$AN$1000,$U100-4)),MONTH(INDEX($AN$5:$AN$1000,$U100-4)),1),MesCiclo)),IF(ISNUMBER($AM100),DATE(YEAR($AM100),MONTH($AM100),1),IF(ISNUMBER($AN100),DATE(YEAR($AN100),MONTH($AN100),1),MesCiclo))))</f>
        <v/>
      </c>
      <c r="T100" s="62">
        <f>IF(OR($S100="",$S100&lt;&gt;MesCiclo,$V100&lt;&gt;"Macro"),"",COUNTIFS($S$5:$S100,MesCiclo,$V$5:$V100,"Macro"))</f>
        <v/>
      </c>
      <c r="U100" s="62">
        <f>IF($V100="","",IF($V100="Macro",ROW(),IFERROR(LOOKUP(2,1/($V$5:$V100="Macro"),ROW($V$5:$V100)),0)))</f>
        <v/>
      </c>
      <c r="V100" s="62">
        <f>IF(NOT((COUNTA($B100:$D100)+COUNTA($G100:$L100)+COUNTA($Q100))&gt;0),"",IF($B100="Subactividad","Sub","Macro"))</f>
        <v/>
      </c>
      <c r="W100" s="62">
        <f>IF($V100="Macro",COUNTIFS($U$5:$U$1000,ROW(),$V$5:$V$1000,"Sub"),"")</f>
        <v/>
      </c>
      <c r="X100" s="62">
        <f>IF($V100="","",IF(ISNUMBER($G100),1,IFERROR(LOOKUP(2,1/($I100:$L100&lt;&gt;""),$I100:$L100),0)))</f>
        <v/>
      </c>
      <c r="Y100" s="62">
        <f>IF($V100="","",IF(AND(ISNUMBER($G100),$G100&lt;=IF($S100=MesCiclo,InicioCiclo,$S100+MOD(2-WEEKDAY($S100),7))+6),1,IF(ISNUMBER($I100),$I100,0)))</f>
        <v/>
      </c>
      <c r="Z100" s="62">
        <f>IF($V100="","",IF(AND(ISNUMBER($G100),$G100&lt;=IF($S100=MesCiclo,InicioCiclo,$S100+MOD(2-WEEKDAY($S100),7))+13),1,IF(ISNUMBER($J100),$J100,$Y100)))</f>
        <v/>
      </c>
      <c r="AA100" s="62">
        <f>IF($V100="","",IF(AND(ISNUMBER($G100),$G100&lt;=IF($S100=MesCiclo,InicioCiclo,$S100+MOD(2-WEEKDAY($S100),7))+20),1,IF(ISNUMBER($K100),$K100,$Z100)))</f>
        <v/>
      </c>
      <c r="AB100" s="62">
        <f>IF($V100="","",IF(AND(ISNUMBER($G100),$G100&lt;=IF($S100=MesCiclo,InicioCiclo,$S100+MOD(2-WEEKDAY($S100),7))+27),1,IF(ISNUMBER($L100),$L100,$AA100)))</f>
        <v/>
      </c>
      <c r="AC100" s="62">
        <f>IF($V100="","",IF(AND(ISNUMBER($G100),$G100&lt;=IF($S100=MesCiclo,InicioCiclo,$S100+MOD(2-WEEKDAY($S100),7))+6),1,IF(N($W100)&gt;0,AVERAGEIFS($Y$5:$Y$1000,$U$5:$U$1000,ROW(),$V$5:$V$1000,"Sub"),$Y100)))</f>
        <v/>
      </c>
      <c r="AD100" s="62">
        <f>IF($V100="","",IF(AND(ISNUMBER($G100),$G100&lt;=IF($S100=MesCiclo,InicioCiclo,$S100+MOD(2-WEEKDAY($S100),7))+13),1,IF(N($W100)&gt;0,AVERAGEIFS($Z$5:$Z$1000,$U$5:$U$1000,ROW(),$V$5:$V$1000,"Sub"),$Z100)))</f>
        <v/>
      </c>
      <c r="AE100" s="62">
        <f>IF($V100="","",IF(AND(ISNUMBER($G100),$G100&lt;=IF($S100=MesCiclo,InicioCiclo,$S100+MOD(2-WEEKDAY($S100),7))+20),1,IF(N($W100)&gt;0,AVERAGEIFS($AA$5:$AA$1000,$U$5:$U$1000,ROW(),$V$5:$V$1000,"Sub"),$AA100)))</f>
        <v/>
      </c>
      <c r="AF100" s="62">
        <f>IF($V100="","",IF(AND(ISNUMBER($G100),$G100&lt;=IF($S100=MesCiclo,InicioCiclo,$S100+MOD(2-WEEKDAY($S100),7))+27),1,IF(N($W100)&gt;0,AVERAGEIFS($AB$5:$AB$1000,$U$5:$U$1000,ROW(),$V$5:$V$1000,"Sub"),$AB100)))</f>
        <v/>
      </c>
      <c r="AG100" s="62">
        <f>IF($V100&lt;&gt;"Macro","",IF(COUNTIFS($S$5:$S$1000,$S100,$V$5:$V$1000,"Macro",$H$5:$H$1000,"&gt;0")=0,1/COUNTIFS($S$5:$S$1000,$S100,$V$5:$V$1000,"Macro"),IF(AND(ISNUMBER($H100),N($H100)&gt;0),$H100,SUMIFS($H$5:$H$1000,$S$5:$S$1000,$S100,$V$5:$V$1000,"Macro")/COUNTIFS($S$5:$S$1000,$S100,$V$5:$V$1000,"Macro",$H$5:$H$1000,"&gt;0"))/(COUNTIFS($S$5:$S$1000,$S100,$V$5:$V$1000,"Macro")*SUMIFS($H$5:$H$1000,$S$5:$S$1000,$S100,$V$5:$V$1000,"Macro")/COUNTIFS($S$5:$S$1000,$S100,$V$5:$V$1000,"Macro",$H$5:$H$1000,"&gt;0"))))</f>
        <v/>
      </c>
      <c r="AH100" s="62" t="n"/>
      <c r="AI100" s="62" t="n"/>
      <c r="AJ100" s="62" t="n"/>
      <c r="AK100" s="62" t="n"/>
      <c r="AL100" s="62">
        <f>IF(LEFT($C100,11)="[Jefatura] ",IFERROR(MATCH("Riesgo Normativo|"&amp;MID($C100,12,500),rDname_ADM,0),0),"")</f>
        <v/>
      </c>
      <c r="AM100" s="62">
        <f>IF(N($AL100)&gt;0,INDEX(rIni_ADM,$AL100),IF(ISNUMBER($E100),$E100,""))</f>
        <v/>
      </c>
      <c r="AN100" s="62">
        <f>IF(N($AL100)&gt;0,INDEX(rLim_ADM,$AL100),IF(ISNUMBER($F100),$F100,""))</f>
        <v/>
      </c>
    </row>
    <row r="101">
      <c r="A101" s="56">
        <f>IF(NOT((COUNTA($B101:$D101)+COUNTA($G101:$L101)+COUNTA($Q101))&gt;0),"",IF($V101="Macro",COUNTIFS($V$5:$V101,"Macro",$S$5:$S101,$S101),IF(N($U101)=0,"?",COUNTIFS(INDEX($V$5:$V$1000,1):INDEX($V$5:$V$1000,$U101-4),"Macro",INDEX($S$5:$S$1000,1):INDEX($S$5:$S$1000,$U101-4),INDEX($S$5:$S$1000,$U101-4))&amp;"."&amp;COUNTIFS($U$5:$U101,$U101,$V$5:$V101,"Sub"))))</f>
        <v/>
      </c>
      <c r="B101" s="57" t="n"/>
      <c r="C101" s="58" t="n"/>
      <c r="D101" s="58" t="n"/>
      <c r="E101" s="59">
        <f>IF(N($AL101)&gt;0,INDEX(rIni_ADM,$AL101),"")</f>
        <v/>
      </c>
      <c r="F101" s="59">
        <f>IF(N($AL101)&gt;0,INDEX(rLim_ADM,$AL101),"")</f>
        <v/>
      </c>
      <c r="G101" s="59" t="n"/>
      <c r="H101" s="60" t="n"/>
      <c r="I101" s="60" t="n"/>
      <c r="J101" s="60" t="n"/>
      <c r="K101" s="60" t="n"/>
      <c r="L101" s="60" t="n"/>
      <c r="M101" s="61">
        <f>IF(NOT((COUNTA($B101:$D101)+COUNTA($G101:$L101)+COUNTA($Q101))&gt;0),"",IF($V101="Sub",IFERROR($X101/INDEX($W$5:$W$1000,$U101-4),""),IF(ISNUMBER($G101),1,IF(N($W101)&gt;0,AVERAGEIFS($X$5:$X$1000,$U$5:$U$1000,ROW(),$V$5:$V$1000,"Sub"),$X101))))</f>
        <v/>
      </c>
      <c r="N101" s="56">
        <f>IF(OR($M101="",$V101="Sub"),"",IF($M101&gt;=1,"Completado",IF($M101&gt;0,"En curso","Pendiente")))</f>
        <v/>
      </c>
      <c r="O101" s="56">
        <f>IF(OR(NOT((COUNTA($B101:$D101)+COUNTA($G101:$L101)+COUNTA($Q101))&gt;0),$V101="Sub"),"",IF(ISNUMBER($G101),IF(AND(ISNUMBER($AN101),$G101&gt;$AN101),"Cumplida con "&amp;($G101-$AN101)&amp;IF($G101-$AN101=1," día"," días")&amp;" de retraso","Cumplida"),IF(N($M101)&gt;=1,"Cumplida",IF(NOT(ISNUMBER($AN101)),"Sin fecha límite",IF($AN101&lt;FechaRef,"Vencida hace "&amp;(FechaRef-$AN101)&amp;IF(FechaRef-$AN101=1," día"," días"),IF($AN101=FechaRef,"Vence hoy",IF($AN101-FechaRef&lt;=DiasAlerta,"Vence en "&amp;($AN101-FechaRef)&amp;IF($AN101-FechaRef=1," día"," días"),"En plazo")))))))</f>
        <v/>
      </c>
      <c r="P101" s="62" t="n"/>
      <c r="Q101" s="58" t="n"/>
      <c r="R101" s="63">
        <f>IF(NOT((COUNTA($B101:$D101)+COUNTA($G101:$L101)+COUNTA($Q101))&gt;0),"",IF((IF($C101="","Falta el nombre de la actividad"&amp;" · ","")&amp;IF(AND($V101="Sub",N($U101)=0),"Subactividad sin macroactividad arriba"&amp;" · ","")&amp;IF($AM101="","Sin fecha de inicio"&amp;" · ","")&amp;IF($AN101="","Sin fecha límite"&amp;" · ","")&amp;IF(AND(LEFT($C101,11)="[Jefatura] ",N($AL101)=0),"No se encuentra en la hoja de la jefatura (elíjala de nuevo en la lista)"&amp;" · ","")&amp;IF(OR(AND($E101&lt;&gt;"",NOT(ISNUMBER($E101))),AND($F101&lt;&gt;"",NOT(ISNUMBER($F101))),AND($G101&lt;&gt;"",NOT(ISNUMBER($G101)))),"Fecha no válida"&amp;" · ","")&amp;IF(AND(ISNUMBER($AM101),ISNUMBER($AN101),$AM101&gt;$AN101),"Inicio posterior a fecha límite"&amp;" · ","")&amp;IF(AND($V101="Macro",$H101&lt;&gt;"",OR(NOT(ISNUMBER($H101)),$H101&lt;0,$H101&gt;1)),"Peso fuera de rango"&amp;" · ","")&amp;IF(AND($V101="Sub",$H101&lt;&gt;""),"Las subactividades no llevan peso (valen igual dentro de su macroactividad)"&amp;" · ","")&amp;IF(AND(N($W101)&gt;0,COUNT($I101:$L101)&gt;0),"Con subactividades: deje vacías las semanas (se calculan solas)"&amp;" · ","")&amp;IF((COUNTIF($I101:$L101,"&gt;1")+COUNTIF($I101:$L101,"&lt;0")+COUNTA($I101:$L101)-COUNT($I101:$L101))&gt;0,"Avance fuera de rango 0-100%"&amp;" · ","")&amp;IF(OR(AND($J101&lt;&gt;"",$J101&lt;$I101),AND($K101&lt;&gt;"",$K101&lt;MAX($I101:$J101)),AND($L101&lt;&gt;"",$L101&lt;MAX($I101:$K101))),"Avance semanal decreciente"&amp;" · ","")&amp;IF(AND(ISNUMBER($AN101),$AN101&lt;FechaRef,IF($V101="Sub",N($X101),N($M101))&lt;1),"Vencida"&amp;" · ","")&amp;IF(AND(ObsObligatoria="Sí",ISNUMBER($AN101),$AN101&lt;FechaRef,IF($V101="Sub",N($X101),N($M101))&lt;1,$Q101=""),"Vencida sin observación"&amp;" · ",""))="","✔ OK","⚠ "&amp;LEFT(IF($C101="","Falta el nombre de la actividad"&amp;" · ","")&amp;IF(AND($V101="Sub",N($U101)=0),"Subactividad sin macroactividad arriba"&amp;" · ","")&amp;IF($AM101="","Sin fecha de inicio"&amp;" · ","")&amp;IF($AN101="","Sin fecha límite"&amp;" · ","")&amp;IF(AND(LEFT($C101,11)="[Jefatura] ",N($AL101)=0),"No se encuentra en la hoja de la jefatura (elíjala de nuevo en la lista)"&amp;" · ","")&amp;IF(OR(AND($E101&lt;&gt;"",NOT(ISNUMBER($E101))),AND($F101&lt;&gt;"",NOT(ISNUMBER($F101))),AND($G101&lt;&gt;"",NOT(ISNUMBER($G101)))),"Fecha no válida"&amp;" · ","")&amp;IF(AND(ISNUMBER($AM101),ISNUMBER($AN101),$AM101&gt;$AN101),"Inicio posterior a fecha límite"&amp;" · ","")&amp;IF(AND($V101="Macro",$H101&lt;&gt;"",OR(NOT(ISNUMBER($H101)),$H101&lt;0,$H101&gt;1)),"Peso fuera de rango"&amp;" · ","")&amp;IF(AND($V101="Sub",$H101&lt;&gt;""),"Las subactividades no llevan peso (valen igual dentro de su macroactividad)"&amp;" · ","")&amp;IF(AND(N($W101)&gt;0,COUNT($I101:$L101)&gt;0),"Con subactividades: deje vacías las semanas (se calculan solas)"&amp;" · ","")&amp;IF((COUNTIF($I101:$L101,"&gt;1")+COUNTIF($I101:$L101,"&lt;0")+COUNTA($I101:$L101)-COUNT($I101:$L101))&gt;0,"Avance fuera de rango 0-100%"&amp;" · ","")&amp;IF(OR(AND($J101&lt;&gt;"",$J101&lt;$I101),AND($K101&lt;&gt;"",$K101&lt;MAX($I101:$J101)),AND($L101&lt;&gt;"",$L101&lt;MAX($I101:$K101))),"Avance semanal decreciente"&amp;" · ","")&amp;IF(AND(ISNUMBER($AN101),$AN101&lt;FechaRef,IF($V101="Sub",N($X101),N($M101))&lt;1),"Vencida"&amp;" · ","")&amp;IF(AND(ObsObligatoria="Sí",ISNUMBER($AN101),$AN101&lt;FechaRef,IF($V101="Sub",N($X101),N($M101))&lt;1,$Q101=""),"Vencida sin observación"&amp;" · ",""),LEN(IF($C101="","Falta el nombre de la actividad"&amp;" · ","")&amp;IF(AND($V101="Sub",N($U101)=0),"Subactividad sin macroactividad arriba"&amp;" · ","")&amp;IF($AM101="","Sin fecha de inicio"&amp;" · ","")&amp;IF($AN101="","Sin fecha límite"&amp;" · ","")&amp;IF(AND(LEFT($C101,11)="[Jefatura] ",N($AL101)=0),"No se encuentra en la hoja de la jefatura (elíjala de nuevo en la lista)"&amp;" · ","")&amp;IF(OR(AND($E101&lt;&gt;"",NOT(ISNUMBER($E101))),AND($F101&lt;&gt;"",NOT(ISNUMBER($F101))),AND($G101&lt;&gt;"",NOT(ISNUMBER($G101)))),"Fecha no válida"&amp;" · ","")&amp;IF(AND(ISNUMBER($AM101),ISNUMBER($AN101),$AM101&gt;$AN101),"Inicio posterior a fecha límite"&amp;" · ","")&amp;IF(AND($V101="Macro",$H101&lt;&gt;"",OR(NOT(ISNUMBER($H101)),$H101&lt;0,$H101&gt;1)),"Peso fuera de rango"&amp;" · ","")&amp;IF(AND($V101="Sub",$H101&lt;&gt;""),"Las subactividades no llevan peso (valen igual dentro de su macroactividad)"&amp;" · ","")&amp;IF(AND(N($W101)&gt;0,COUNT($I101:$L101)&gt;0),"Con subactividades: deje vacías las semanas (se calculan solas)"&amp;" · ","")&amp;IF((COUNTIF($I101:$L101,"&gt;1")+COUNTIF($I101:$L101,"&lt;0")+COUNTA($I101:$L101)-COUNT($I101:$L101))&gt;0,"Avance fuera de rango 0-100%"&amp;" · ","")&amp;IF(OR(AND($J101&lt;&gt;"",$J101&lt;$I101),AND($K101&lt;&gt;"",$K101&lt;MAX($I101:$J101)),AND($L101&lt;&gt;"",$L101&lt;MAX($I101:$K101))),"Avance semanal decreciente"&amp;" · ","")&amp;IF(AND(ISNUMBER($AN101),$AN101&lt;FechaRef,IF($V101="Sub",N($X101),N($M101))&lt;1),"Vencida"&amp;" · ","")&amp;IF(AND(ObsObligatoria="Sí",ISNUMBER($AN101),$AN101&lt;FechaRef,IF($V101="Sub",N($X101),N($M101))&lt;1,$Q101=""),"Vencida sin observación"&amp;" · ",""))-3)))</f>
        <v/>
      </c>
      <c r="S101" s="64">
        <f>IF(NOT((COUNTA($B101:$D101)+COUNTA($G101:$L101)+COUNTA($Q101))&gt;0),"",IF(AND($V101="Sub",N($U101)&gt;0),IF(ISNUMBER(INDEX($AM$5:$AM$1000,$U101-4)),DATE(YEAR(INDEX($AM$5:$AM$1000,$U101-4)),MONTH(INDEX($AM$5:$AM$1000,$U101-4)),1),IF(ISNUMBER(INDEX($AN$5:$AN$1000,$U101-4)),DATE(YEAR(INDEX($AN$5:$AN$1000,$U101-4)),MONTH(INDEX($AN$5:$AN$1000,$U101-4)),1),MesCiclo)),IF(ISNUMBER($AM101),DATE(YEAR($AM101),MONTH($AM101),1),IF(ISNUMBER($AN101),DATE(YEAR($AN101),MONTH($AN101),1),MesCiclo))))</f>
        <v/>
      </c>
      <c r="T101" s="62">
        <f>IF(OR($S101="",$S101&lt;&gt;MesCiclo,$V101&lt;&gt;"Macro"),"",COUNTIFS($S$5:$S101,MesCiclo,$V$5:$V101,"Macro"))</f>
        <v/>
      </c>
      <c r="U101" s="62">
        <f>IF($V101="","",IF($V101="Macro",ROW(),IFERROR(LOOKUP(2,1/($V$5:$V101="Macro"),ROW($V$5:$V101)),0)))</f>
        <v/>
      </c>
      <c r="V101" s="62">
        <f>IF(NOT((COUNTA($B101:$D101)+COUNTA($G101:$L101)+COUNTA($Q101))&gt;0),"",IF($B101="Subactividad","Sub","Macro"))</f>
        <v/>
      </c>
      <c r="W101" s="62">
        <f>IF($V101="Macro",COUNTIFS($U$5:$U$1000,ROW(),$V$5:$V$1000,"Sub"),"")</f>
        <v/>
      </c>
      <c r="X101" s="62">
        <f>IF($V101="","",IF(ISNUMBER($G101),1,IFERROR(LOOKUP(2,1/($I101:$L101&lt;&gt;""),$I101:$L101),0)))</f>
        <v/>
      </c>
      <c r="Y101" s="62">
        <f>IF($V101="","",IF(AND(ISNUMBER($G101),$G101&lt;=IF($S101=MesCiclo,InicioCiclo,$S101+MOD(2-WEEKDAY($S101),7))+6),1,IF(ISNUMBER($I101),$I101,0)))</f>
        <v/>
      </c>
      <c r="Z101" s="62">
        <f>IF($V101="","",IF(AND(ISNUMBER($G101),$G101&lt;=IF($S101=MesCiclo,InicioCiclo,$S101+MOD(2-WEEKDAY($S101),7))+13),1,IF(ISNUMBER($J101),$J101,$Y101)))</f>
        <v/>
      </c>
      <c r="AA101" s="62">
        <f>IF($V101="","",IF(AND(ISNUMBER($G101),$G101&lt;=IF($S101=MesCiclo,InicioCiclo,$S101+MOD(2-WEEKDAY($S101),7))+20),1,IF(ISNUMBER($K101),$K101,$Z101)))</f>
        <v/>
      </c>
      <c r="AB101" s="62">
        <f>IF($V101="","",IF(AND(ISNUMBER($G101),$G101&lt;=IF($S101=MesCiclo,InicioCiclo,$S101+MOD(2-WEEKDAY($S101),7))+27),1,IF(ISNUMBER($L101),$L101,$AA101)))</f>
        <v/>
      </c>
      <c r="AC101" s="62">
        <f>IF($V101="","",IF(AND(ISNUMBER($G101),$G101&lt;=IF($S101=MesCiclo,InicioCiclo,$S101+MOD(2-WEEKDAY($S101),7))+6),1,IF(N($W101)&gt;0,AVERAGEIFS($Y$5:$Y$1000,$U$5:$U$1000,ROW(),$V$5:$V$1000,"Sub"),$Y101)))</f>
        <v/>
      </c>
      <c r="AD101" s="62">
        <f>IF($V101="","",IF(AND(ISNUMBER($G101),$G101&lt;=IF($S101=MesCiclo,InicioCiclo,$S101+MOD(2-WEEKDAY($S101),7))+13),1,IF(N($W101)&gt;0,AVERAGEIFS($Z$5:$Z$1000,$U$5:$U$1000,ROW(),$V$5:$V$1000,"Sub"),$Z101)))</f>
        <v/>
      </c>
      <c r="AE101" s="62">
        <f>IF($V101="","",IF(AND(ISNUMBER($G101),$G101&lt;=IF($S101=MesCiclo,InicioCiclo,$S101+MOD(2-WEEKDAY($S101),7))+20),1,IF(N($W101)&gt;0,AVERAGEIFS($AA$5:$AA$1000,$U$5:$U$1000,ROW(),$V$5:$V$1000,"Sub"),$AA101)))</f>
        <v/>
      </c>
      <c r="AF101" s="62">
        <f>IF($V101="","",IF(AND(ISNUMBER($G101),$G101&lt;=IF($S101=MesCiclo,InicioCiclo,$S101+MOD(2-WEEKDAY($S101),7))+27),1,IF(N($W101)&gt;0,AVERAGEIFS($AB$5:$AB$1000,$U$5:$U$1000,ROW(),$V$5:$V$1000,"Sub"),$AB101)))</f>
        <v/>
      </c>
      <c r="AG101" s="62">
        <f>IF($V101&lt;&gt;"Macro","",IF(COUNTIFS($S$5:$S$1000,$S101,$V$5:$V$1000,"Macro",$H$5:$H$1000,"&gt;0")=0,1/COUNTIFS($S$5:$S$1000,$S101,$V$5:$V$1000,"Macro"),IF(AND(ISNUMBER($H101),N($H101)&gt;0),$H101,SUMIFS($H$5:$H$1000,$S$5:$S$1000,$S101,$V$5:$V$1000,"Macro")/COUNTIFS($S$5:$S$1000,$S101,$V$5:$V$1000,"Macro",$H$5:$H$1000,"&gt;0"))/(COUNTIFS($S$5:$S$1000,$S101,$V$5:$V$1000,"Macro")*SUMIFS($H$5:$H$1000,$S$5:$S$1000,$S101,$V$5:$V$1000,"Macro")/COUNTIFS($S$5:$S$1000,$S101,$V$5:$V$1000,"Macro",$H$5:$H$1000,"&gt;0"))))</f>
        <v/>
      </c>
      <c r="AH101" s="62" t="n"/>
      <c r="AI101" s="62" t="n"/>
      <c r="AJ101" s="62" t="n"/>
      <c r="AK101" s="62" t="n"/>
      <c r="AL101" s="62">
        <f>IF(LEFT($C101,11)="[Jefatura] ",IFERROR(MATCH("Riesgo Normativo|"&amp;MID($C101,12,500),rDname_ADM,0),0),"")</f>
        <v/>
      </c>
      <c r="AM101" s="62">
        <f>IF(N($AL101)&gt;0,INDEX(rIni_ADM,$AL101),IF(ISNUMBER($E101),$E101,""))</f>
        <v/>
      </c>
      <c r="AN101" s="62">
        <f>IF(N($AL101)&gt;0,INDEX(rLim_ADM,$AL101),IF(ISNUMBER($F101),$F101,""))</f>
        <v/>
      </c>
    </row>
    <row r="102">
      <c r="A102" s="56">
        <f>IF(NOT((COUNTA($B102:$D102)+COUNTA($G102:$L102)+COUNTA($Q102))&gt;0),"",IF($V102="Macro",COUNTIFS($V$5:$V102,"Macro",$S$5:$S102,$S102),IF(N($U102)=0,"?",COUNTIFS(INDEX($V$5:$V$1000,1):INDEX($V$5:$V$1000,$U102-4),"Macro",INDEX($S$5:$S$1000,1):INDEX($S$5:$S$1000,$U102-4),INDEX($S$5:$S$1000,$U102-4))&amp;"."&amp;COUNTIFS($U$5:$U102,$U102,$V$5:$V102,"Sub"))))</f>
        <v/>
      </c>
      <c r="B102" s="57" t="n"/>
      <c r="C102" s="58" t="n"/>
      <c r="D102" s="58" t="n"/>
      <c r="E102" s="59">
        <f>IF(N($AL102)&gt;0,INDEX(rIni_ADM,$AL102),"")</f>
        <v/>
      </c>
      <c r="F102" s="59">
        <f>IF(N($AL102)&gt;0,INDEX(rLim_ADM,$AL102),"")</f>
        <v/>
      </c>
      <c r="G102" s="59" t="n"/>
      <c r="H102" s="60" t="n"/>
      <c r="I102" s="60" t="n"/>
      <c r="J102" s="60" t="n"/>
      <c r="K102" s="60" t="n"/>
      <c r="L102" s="60" t="n"/>
      <c r="M102" s="61">
        <f>IF(NOT((COUNTA($B102:$D102)+COUNTA($G102:$L102)+COUNTA($Q102))&gt;0),"",IF($V102="Sub",IFERROR($X102/INDEX($W$5:$W$1000,$U102-4),""),IF(ISNUMBER($G102),1,IF(N($W102)&gt;0,AVERAGEIFS($X$5:$X$1000,$U$5:$U$1000,ROW(),$V$5:$V$1000,"Sub"),$X102))))</f>
        <v/>
      </c>
      <c r="N102" s="56">
        <f>IF(OR($M102="",$V102="Sub"),"",IF($M102&gt;=1,"Completado",IF($M102&gt;0,"En curso","Pendiente")))</f>
        <v/>
      </c>
      <c r="O102" s="56">
        <f>IF(OR(NOT((COUNTA($B102:$D102)+COUNTA($G102:$L102)+COUNTA($Q102))&gt;0),$V102="Sub"),"",IF(ISNUMBER($G102),IF(AND(ISNUMBER($AN102),$G102&gt;$AN102),"Cumplida con "&amp;($G102-$AN102)&amp;IF($G102-$AN102=1," día"," días")&amp;" de retraso","Cumplida"),IF(N($M102)&gt;=1,"Cumplida",IF(NOT(ISNUMBER($AN102)),"Sin fecha límite",IF($AN102&lt;FechaRef,"Vencida hace "&amp;(FechaRef-$AN102)&amp;IF(FechaRef-$AN102=1," día"," días"),IF($AN102=FechaRef,"Vence hoy",IF($AN102-FechaRef&lt;=DiasAlerta,"Vence en "&amp;($AN102-FechaRef)&amp;IF($AN102-FechaRef=1," día"," días"),"En plazo")))))))</f>
        <v/>
      </c>
      <c r="P102" s="62" t="n"/>
      <c r="Q102" s="58" t="n"/>
      <c r="R102" s="63">
        <f>IF(NOT((COUNTA($B102:$D102)+COUNTA($G102:$L102)+COUNTA($Q102))&gt;0),"",IF((IF($C102="","Falta el nombre de la actividad"&amp;" · ","")&amp;IF(AND($V102="Sub",N($U102)=0),"Subactividad sin macroactividad arriba"&amp;" · ","")&amp;IF($AM102="","Sin fecha de inicio"&amp;" · ","")&amp;IF($AN102="","Sin fecha límite"&amp;" · ","")&amp;IF(AND(LEFT($C102,11)="[Jefatura] ",N($AL102)=0),"No se encuentra en la hoja de la jefatura (elíjala de nuevo en la lista)"&amp;" · ","")&amp;IF(OR(AND($E102&lt;&gt;"",NOT(ISNUMBER($E102))),AND($F102&lt;&gt;"",NOT(ISNUMBER($F102))),AND($G102&lt;&gt;"",NOT(ISNUMBER($G102)))),"Fecha no válida"&amp;" · ","")&amp;IF(AND(ISNUMBER($AM102),ISNUMBER($AN102),$AM102&gt;$AN102),"Inicio posterior a fecha límite"&amp;" · ","")&amp;IF(AND($V102="Macro",$H102&lt;&gt;"",OR(NOT(ISNUMBER($H102)),$H102&lt;0,$H102&gt;1)),"Peso fuera de rango"&amp;" · ","")&amp;IF(AND($V102="Sub",$H102&lt;&gt;""),"Las subactividades no llevan peso (valen igual dentro de su macroactividad)"&amp;" · ","")&amp;IF(AND(N($W102)&gt;0,COUNT($I102:$L102)&gt;0),"Con subactividades: deje vacías las semanas (se calculan solas)"&amp;" · ","")&amp;IF((COUNTIF($I102:$L102,"&gt;1")+COUNTIF($I102:$L102,"&lt;0")+COUNTA($I102:$L102)-COUNT($I102:$L102))&gt;0,"Avance fuera de rango 0-100%"&amp;" · ","")&amp;IF(OR(AND($J102&lt;&gt;"",$J102&lt;$I102),AND($K102&lt;&gt;"",$K102&lt;MAX($I102:$J102)),AND($L102&lt;&gt;"",$L102&lt;MAX($I102:$K102))),"Avance semanal decreciente"&amp;" · ","")&amp;IF(AND(ISNUMBER($AN102),$AN102&lt;FechaRef,IF($V102="Sub",N($X102),N($M102))&lt;1),"Vencida"&amp;" · ","")&amp;IF(AND(ObsObligatoria="Sí",ISNUMBER($AN102),$AN102&lt;FechaRef,IF($V102="Sub",N($X102),N($M102))&lt;1,$Q102=""),"Vencida sin observación"&amp;" · ",""))="","✔ OK","⚠ "&amp;LEFT(IF($C102="","Falta el nombre de la actividad"&amp;" · ","")&amp;IF(AND($V102="Sub",N($U102)=0),"Subactividad sin macroactividad arriba"&amp;" · ","")&amp;IF($AM102="","Sin fecha de inicio"&amp;" · ","")&amp;IF($AN102="","Sin fecha límite"&amp;" · ","")&amp;IF(AND(LEFT($C102,11)="[Jefatura] ",N($AL102)=0),"No se encuentra en la hoja de la jefatura (elíjala de nuevo en la lista)"&amp;" · ","")&amp;IF(OR(AND($E102&lt;&gt;"",NOT(ISNUMBER($E102))),AND($F102&lt;&gt;"",NOT(ISNUMBER($F102))),AND($G102&lt;&gt;"",NOT(ISNUMBER($G102)))),"Fecha no válida"&amp;" · ","")&amp;IF(AND(ISNUMBER($AM102),ISNUMBER($AN102),$AM102&gt;$AN102),"Inicio posterior a fecha límite"&amp;" · ","")&amp;IF(AND($V102="Macro",$H102&lt;&gt;"",OR(NOT(ISNUMBER($H102)),$H102&lt;0,$H102&gt;1)),"Peso fuera de rango"&amp;" · ","")&amp;IF(AND($V102="Sub",$H102&lt;&gt;""),"Las subactividades no llevan peso (valen igual dentro de su macroactividad)"&amp;" · ","")&amp;IF(AND(N($W102)&gt;0,COUNT($I102:$L102)&gt;0),"Con subactividades: deje vacías las semanas (se calculan solas)"&amp;" · ","")&amp;IF((COUNTIF($I102:$L102,"&gt;1")+COUNTIF($I102:$L102,"&lt;0")+COUNTA($I102:$L102)-COUNT($I102:$L102))&gt;0,"Avance fuera de rango 0-100%"&amp;" · ","")&amp;IF(OR(AND($J102&lt;&gt;"",$J102&lt;$I102),AND($K102&lt;&gt;"",$K102&lt;MAX($I102:$J102)),AND($L102&lt;&gt;"",$L102&lt;MAX($I102:$K102))),"Avance semanal decreciente"&amp;" · ","")&amp;IF(AND(ISNUMBER($AN102),$AN102&lt;FechaRef,IF($V102="Sub",N($X102),N($M102))&lt;1),"Vencida"&amp;" · ","")&amp;IF(AND(ObsObligatoria="Sí",ISNUMBER($AN102),$AN102&lt;FechaRef,IF($V102="Sub",N($X102),N($M102))&lt;1,$Q102=""),"Vencida sin observación"&amp;" · ",""),LEN(IF($C102="","Falta el nombre de la actividad"&amp;" · ","")&amp;IF(AND($V102="Sub",N($U102)=0),"Subactividad sin macroactividad arriba"&amp;" · ","")&amp;IF($AM102="","Sin fecha de inicio"&amp;" · ","")&amp;IF($AN102="","Sin fecha límite"&amp;" · ","")&amp;IF(AND(LEFT($C102,11)="[Jefatura] ",N($AL102)=0),"No se encuentra en la hoja de la jefatura (elíjala de nuevo en la lista)"&amp;" · ","")&amp;IF(OR(AND($E102&lt;&gt;"",NOT(ISNUMBER($E102))),AND($F102&lt;&gt;"",NOT(ISNUMBER($F102))),AND($G102&lt;&gt;"",NOT(ISNUMBER($G102)))),"Fecha no válida"&amp;" · ","")&amp;IF(AND(ISNUMBER($AM102),ISNUMBER($AN102),$AM102&gt;$AN102),"Inicio posterior a fecha límite"&amp;" · ","")&amp;IF(AND($V102="Macro",$H102&lt;&gt;"",OR(NOT(ISNUMBER($H102)),$H102&lt;0,$H102&gt;1)),"Peso fuera de rango"&amp;" · ","")&amp;IF(AND($V102="Sub",$H102&lt;&gt;""),"Las subactividades no llevan peso (valen igual dentro de su macroactividad)"&amp;" · ","")&amp;IF(AND(N($W102)&gt;0,COUNT($I102:$L102)&gt;0),"Con subactividades: deje vacías las semanas (se calculan solas)"&amp;" · ","")&amp;IF((COUNTIF($I102:$L102,"&gt;1")+COUNTIF($I102:$L102,"&lt;0")+COUNTA($I102:$L102)-COUNT($I102:$L102))&gt;0,"Avance fuera de rango 0-100%"&amp;" · ","")&amp;IF(OR(AND($J102&lt;&gt;"",$J102&lt;$I102),AND($K102&lt;&gt;"",$K102&lt;MAX($I102:$J102)),AND($L102&lt;&gt;"",$L102&lt;MAX($I102:$K102))),"Avance semanal decreciente"&amp;" · ","")&amp;IF(AND(ISNUMBER($AN102),$AN102&lt;FechaRef,IF($V102="Sub",N($X102),N($M102))&lt;1),"Vencida"&amp;" · ","")&amp;IF(AND(ObsObligatoria="Sí",ISNUMBER($AN102),$AN102&lt;FechaRef,IF($V102="Sub",N($X102),N($M102))&lt;1,$Q102=""),"Vencida sin observación"&amp;" · ",""))-3)))</f>
        <v/>
      </c>
      <c r="S102" s="64">
        <f>IF(NOT((COUNTA($B102:$D102)+COUNTA($G102:$L102)+COUNTA($Q102))&gt;0),"",IF(AND($V102="Sub",N($U102)&gt;0),IF(ISNUMBER(INDEX($AM$5:$AM$1000,$U102-4)),DATE(YEAR(INDEX($AM$5:$AM$1000,$U102-4)),MONTH(INDEX($AM$5:$AM$1000,$U102-4)),1),IF(ISNUMBER(INDEX($AN$5:$AN$1000,$U102-4)),DATE(YEAR(INDEX($AN$5:$AN$1000,$U102-4)),MONTH(INDEX($AN$5:$AN$1000,$U102-4)),1),MesCiclo)),IF(ISNUMBER($AM102),DATE(YEAR($AM102),MONTH($AM102),1),IF(ISNUMBER($AN102),DATE(YEAR($AN102),MONTH($AN102),1),MesCiclo))))</f>
        <v/>
      </c>
      <c r="T102" s="62">
        <f>IF(OR($S102="",$S102&lt;&gt;MesCiclo,$V102&lt;&gt;"Macro"),"",COUNTIFS($S$5:$S102,MesCiclo,$V$5:$V102,"Macro"))</f>
        <v/>
      </c>
      <c r="U102" s="62">
        <f>IF($V102="","",IF($V102="Macro",ROW(),IFERROR(LOOKUP(2,1/($V$5:$V102="Macro"),ROW($V$5:$V102)),0)))</f>
        <v/>
      </c>
      <c r="V102" s="62">
        <f>IF(NOT((COUNTA($B102:$D102)+COUNTA($G102:$L102)+COUNTA($Q102))&gt;0),"",IF($B102="Subactividad","Sub","Macro"))</f>
        <v/>
      </c>
      <c r="W102" s="62">
        <f>IF($V102="Macro",COUNTIFS($U$5:$U$1000,ROW(),$V$5:$V$1000,"Sub"),"")</f>
        <v/>
      </c>
      <c r="X102" s="62">
        <f>IF($V102="","",IF(ISNUMBER($G102),1,IFERROR(LOOKUP(2,1/($I102:$L102&lt;&gt;""),$I102:$L102),0)))</f>
        <v/>
      </c>
      <c r="Y102" s="62">
        <f>IF($V102="","",IF(AND(ISNUMBER($G102),$G102&lt;=IF($S102=MesCiclo,InicioCiclo,$S102+MOD(2-WEEKDAY($S102),7))+6),1,IF(ISNUMBER($I102),$I102,0)))</f>
        <v/>
      </c>
      <c r="Z102" s="62">
        <f>IF($V102="","",IF(AND(ISNUMBER($G102),$G102&lt;=IF($S102=MesCiclo,InicioCiclo,$S102+MOD(2-WEEKDAY($S102),7))+13),1,IF(ISNUMBER($J102),$J102,$Y102)))</f>
        <v/>
      </c>
      <c r="AA102" s="62">
        <f>IF($V102="","",IF(AND(ISNUMBER($G102),$G102&lt;=IF($S102=MesCiclo,InicioCiclo,$S102+MOD(2-WEEKDAY($S102),7))+20),1,IF(ISNUMBER($K102),$K102,$Z102)))</f>
        <v/>
      </c>
      <c r="AB102" s="62">
        <f>IF($V102="","",IF(AND(ISNUMBER($G102),$G102&lt;=IF($S102=MesCiclo,InicioCiclo,$S102+MOD(2-WEEKDAY($S102),7))+27),1,IF(ISNUMBER($L102),$L102,$AA102)))</f>
        <v/>
      </c>
      <c r="AC102" s="62">
        <f>IF($V102="","",IF(AND(ISNUMBER($G102),$G102&lt;=IF($S102=MesCiclo,InicioCiclo,$S102+MOD(2-WEEKDAY($S102),7))+6),1,IF(N($W102)&gt;0,AVERAGEIFS($Y$5:$Y$1000,$U$5:$U$1000,ROW(),$V$5:$V$1000,"Sub"),$Y102)))</f>
        <v/>
      </c>
      <c r="AD102" s="62">
        <f>IF($V102="","",IF(AND(ISNUMBER($G102),$G102&lt;=IF($S102=MesCiclo,InicioCiclo,$S102+MOD(2-WEEKDAY($S102),7))+13),1,IF(N($W102)&gt;0,AVERAGEIFS($Z$5:$Z$1000,$U$5:$U$1000,ROW(),$V$5:$V$1000,"Sub"),$Z102)))</f>
        <v/>
      </c>
      <c r="AE102" s="62">
        <f>IF($V102="","",IF(AND(ISNUMBER($G102),$G102&lt;=IF($S102=MesCiclo,InicioCiclo,$S102+MOD(2-WEEKDAY($S102),7))+20),1,IF(N($W102)&gt;0,AVERAGEIFS($AA$5:$AA$1000,$U$5:$U$1000,ROW(),$V$5:$V$1000,"Sub"),$AA102)))</f>
        <v/>
      </c>
      <c r="AF102" s="62">
        <f>IF($V102="","",IF(AND(ISNUMBER($G102),$G102&lt;=IF($S102=MesCiclo,InicioCiclo,$S102+MOD(2-WEEKDAY($S102),7))+27),1,IF(N($W102)&gt;0,AVERAGEIFS($AB$5:$AB$1000,$U$5:$U$1000,ROW(),$V$5:$V$1000,"Sub"),$AB102)))</f>
        <v/>
      </c>
      <c r="AG102" s="62">
        <f>IF($V102&lt;&gt;"Macro","",IF(COUNTIFS($S$5:$S$1000,$S102,$V$5:$V$1000,"Macro",$H$5:$H$1000,"&gt;0")=0,1/COUNTIFS($S$5:$S$1000,$S102,$V$5:$V$1000,"Macro"),IF(AND(ISNUMBER($H102),N($H102)&gt;0),$H102,SUMIFS($H$5:$H$1000,$S$5:$S$1000,$S102,$V$5:$V$1000,"Macro")/COUNTIFS($S$5:$S$1000,$S102,$V$5:$V$1000,"Macro",$H$5:$H$1000,"&gt;0"))/(COUNTIFS($S$5:$S$1000,$S102,$V$5:$V$1000,"Macro")*SUMIFS($H$5:$H$1000,$S$5:$S$1000,$S102,$V$5:$V$1000,"Macro")/COUNTIFS($S$5:$S$1000,$S102,$V$5:$V$1000,"Macro",$H$5:$H$1000,"&gt;0"))))</f>
        <v/>
      </c>
      <c r="AH102" s="62" t="n"/>
      <c r="AI102" s="62" t="n"/>
      <c r="AJ102" s="62" t="n"/>
      <c r="AK102" s="62" t="n"/>
      <c r="AL102" s="62">
        <f>IF(LEFT($C102,11)="[Jefatura] ",IFERROR(MATCH("Riesgo Normativo|"&amp;MID($C102,12,500),rDname_ADM,0),0),"")</f>
        <v/>
      </c>
      <c r="AM102" s="62">
        <f>IF(N($AL102)&gt;0,INDEX(rIni_ADM,$AL102),IF(ISNUMBER($E102),$E102,""))</f>
        <v/>
      </c>
      <c r="AN102" s="62">
        <f>IF(N($AL102)&gt;0,INDEX(rLim_ADM,$AL102),IF(ISNUMBER($F102),$F102,""))</f>
        <v/>
      </c>
    </row>
    <row r="103">
      <c r="A103" s="56">
        <f>IF(NOT((COUNTA($B103:$D103)+COUNTA($G103:$L103)+COUNTA($Q103))&gt;0),"",IF($V103="Macro",COUNTIFS($V$5:$V103,"Macro",$S$5:$S103,$S103),IF(N($U103)=0,"?",COUNTIFS(INDEX($V$5:$V$1000,1):INDEX($V$5:$V$1000,$U103-4),"Macro",INDEX($S$5:$S$1000,1):INDEX($S$5:$S$1000,$U103-4),INDEX($S$5:$S$1000,$U103-4))&amp;"."&amp;COUNTIFS($U$5:$U103,$U103,$V$5:$V103,"Sub"))))</f>
        <v/>
      </c>
      <c r="B103" s="57" t="n"/>
      <c r="C103" s="58" t="n"/>
      <c r="D103" s="58" t="n"/>
      <c r="E103" s="59">
        <f>IF(N($AL103)&gt;0,INDEX(rIni_ADM,$AL103),"")</f>
        <v/>
      </c>
      <c r="F103" s="59">
        <f>IF(N($AL103)&gt;0,INDEX(rLim_ADM,$AL103),"")</f>
        <v/>
      </c>
      <c r="G103" s="59" t="n"/>
      <c r="H103" s="60" t="n"/>
      <c r="I103" s="60" t="n"/>
      <c r="J103" s="60" t="n"/>
      <c r="K103" s="60" t="n"/>
      <c r="L103" s="60" t="n"/>
      <c r="M103" s="61">
        <f>IF(NOT((COUNTA($B103:$D103)+COUNTA($G103:$L103)+COUNTA($Q103))&gt;0),"",IF($V103="Sub",IFERROR($X103/INDEX($W$5:$W$1000,$U103-4),""),IF(ISNUMBER($G103),1,IF(N($W103)&gt;0,AVERAGEIFS($X$5:$X$1000,$U$5:$U$1000,ROW(),$V$5:$V$1000,"Sub"),$X103))))</f>
        <v/>
      </c>
      <c r="N103" s="56">
        <f>IF(OR($M103="",$V103="Sub"),"",IF($M103&gt;=1,"Completado",IF($M103&gt;0,"En curso","Pendiente")))</f>
        <v/>
      </c>
      <c r="O103" s="56">
        <f>IF(OR(NOT((COUNTA($B103:$D103)+COUNTA($G103:$L103)+COUNTA($Q103))&gt;0),$V103="Sub"),"",IF(ISNUMBER($G103),IF(AND(ISNUMBER($AN103),$G103&gt;$AN103),"Cumplida con "&amp;($G103-$AN103)&amp;IF($G103-$AN103=1," día"," días")&amp;" de retraso","Cumplida"),IF(N($M103)&gt;=1,"Cumplida",IF(NOT(ISNUMBER($AN103)),"Sin fecha límite",IF($AN103&lt;FechaRef,"Vencida hace "&amp;(FechaRef-$AN103)&amp;IF(FechaRef-$AN103=1," día"," días"),IF($AN103=FechaRef,"Vence hoy",IF($AN103-FechaRef&lt;=DiasAlerta,"Vence en "&amp;($AN103-FechaRef)&amp;IF($AN103-FechaRef=1," día"," días"),"En plazo")))))))</f>
        <v/>
      </c>
      <c r="P103" s="62" t="n"/>
      <c r="Q103" s="58" t="n"/>
      <c r="R103" s="63">
        <f>IF(NOT((COUNTA($B103:$D103)+COUNTA($G103:$L103)+COUNTA($Q103))&gt;0),"",IF((IF($C103="","Falta el nombre de la actividad"&amp;" · ","")&amp;IF(AND($V103="Sub",N($U103)=0),"Subactividad sin macroactividad arriba"&amp;" · ","")&amp;IF($AM103="","Sin fecha de inicio"&amp;" · ","")&amp;IF($AN103="","Sin fecha límite"&amp;" · ","")&amp;IF(AND(LEFT($C103,11)="[Jefatura] ",N($AL103)=0),"No se encuentra en la hoja de la jefatura (elíjala de nuevo en la lista)"&amp;" · ","")&amp;IF(OR(AND($E103&lt;&gt;"",NOT(ISNUMBER($E103))),AND($F103&lt;&gt;"",NOT(ISNUMBER($F103))),AND($G103&lt;&gt;"",NOT(ISNUMBER($G103)))),"Fecha no válida"&amp;" · ","")&amp;IF(AND(ISNUMBER($AM103),ISNUMBER($AN103),$AM103&gt;$AN103),"Inicio posterior a fecha límite"&amp;" · ","")&amp;IF(AND($V103="Macro",$H103&lt;&gt;"",OR(NOT(ISNUMBER($H103)),$H103&lt;0,$H103&gt;1)),"Peso fuera de rango"&amp;" · ","")&amp;IF(AND($V103="Sub",$H103&lt;&gt;""),"Las subactividades no llevan peso (valen igual dentro de su macroactividad)"&amp;" · ","")&amp;IF(AND(N($W103)&gt;0,COUNT($I103:$L103)&gt;0),"Con subactividades: deje vacías las semanas (se calculan solas)"&amp;" · ","")&amp;IF((COUNTIF($I103:$L103,"&gt;1")+COUNTIF($I103:$L103,"&lt;0")+COUNTA($I103:$L103)-COUNT($I103:$L103))&gt;0,"Avance fuera de rango 0-100%"&amp;" · ","")&amp;IF(OR(AND($J103&lt;&gt;"",$J103&lt;$I103),AND($K103&lt;&gt;"",$K103&lt;MAX($I103:$J103)),AND($L103&lt;&gt;"",$L103&lt;MAX($I103:$K103))),"Avance semanal decreciente"&amp;" · ","")&amp;IF(AND(ISNUMBER($AN103),$AN103&lt;FechaRef,IF($V103="Sub",N($X103),N($M103))&lt;1),"Vencida"&amp;" · ","")&amp;IF(AND(ObsObligatoria="Sí",ISNUMBER($AN103),$AN103&lt;FechaRef,IF($V103="Sub",N($X103),N($M103))&lt;1,$Q103=""),"Vencida sin observación"&amp;" · ",""))="","✔ OK","⚠ "&amp;LEFT(IF($C103="","Falta el nombre de la actividad"&amp;" · ","")&amp;IF(AND($V103="Sub",N($U103)=0),"Subactividad sin macroactividad arriba"&amp;" · ","")&amp;IF($AM103="","Sin fecha de inicio"&amp;" · ","")&amp;IF($AN103="","Sin fecha límite"&amp;" · ","")&amp;IF(AND(LEFT($C103,11)="[Jefatura] ",N($AL103)=0),"No se encuentra en la hoja de la jefatura (elíjala de nuevo en la lista)"&amp;" · ","")&amp;IF(OR(AND($E103&lt;&gt;"",NOT(ISNUMBER($E103))),AND($F103&lt;&gt;"",NOT(ISNUMBER($F103))),AND($G103&lt;&gt;"",NOT(ISNUMBER($G103)))),"Fecha no válida"&amp;" · ","")&amp;IF(AND(ISNUMBER($AM103),ISNUMBER($AN103),$AM103&gt;$AN103),"Inicio posterior a fecha límite"&amp;" · ","")&amp;IF(AND($V103="Macro",$H103&lt;&gt;"",OR(NOT(ISNUMBER($H103)),$H103&lt;0,$H103&gt;1)),"Peso fuera de rango"&amp;" · ","")&amp;IF(AND($V103="Sub",$H103&lt;&gt;""),"Las subactividades no llevan peso (valen igual dentro de su macroactividad)"&amp;" · ","")&amp;IF(AND(N($W103)&gt;0,COUNT($I103:$L103)&gt;0),"Con subactividades: deje vacías las semanas (se calculan solas)"&amp;" · ","")&amp;IF((COUNTIF($I103:$L103,"&gt;1")+COUNTIF($I103:$L103,"&lt;0")+COUNTA($I103:$L103)-COUNT($I103:$L103))&gt;0,"Avance fuera de rango 0-100%"&amp;" · ","")&amp;IF(OR(AND($J103&lt;&gt;"",$J103&lt;$I103),AND($K103&lt;&gt;"",$K103&lt;MAX($I103:$J103)),AND($L103&lt;&gt;"",$L103&lt;MAX($I103:$K103))),"Avance semanal decreciente"&amp;" · ","")&amp;IF(AND(ISNUMBER($AN103),$AN103&lt;FechaRef,IF($V103="Sub",N($X103),N($M103))&lt;1),"Vencida"&amp;" · ","")&amp;IF(AND(ObsObligatoria="Sí",ISNUMBER($AN103),$AN103&lt;FechaRef,IF($V103="Sub",N($X103),N($M103))&lt;1,$Q103=""),"Vencida sin observación"&amp;" · ",""),LEN(IF($C103="","Falta el nombre de la actividad"&amp;" · ","")&amp;IF(AND($V103="Sub",N($U103)=0),"Subactividad sin macroactividad arriba"&amp;" · ","")&amp;IF($AM103="","Sin fecha de inicio"&amp;" · ","")&amp;IF($AN103="","Sin fecha límite"&amp;" · ","")&amp;IF(AND(LEFT($C103,11)="[Jefatura] ",N($AL103)=0),"No se encuentra en la hoja de la jefatura (elíjala de nuevo en la lista)"&amp;" · ","")&amp;IF(OR(AND($E103&lt;&gt;"",NOT(ISNUMBER($E103))),AND($F103&lt;&gt;"",NOT(ISNUMBER($F103))),AND($G103&lt;&gt;"",NOT(ISNUMBER($G103)))),"Fecha no válida"&amp;" · ","")&amp;IF(AND(ISNUMBER($AM103),ISNUMBER($AN103),$AM103&gt;$AN103),"Inicio posterior a fecha límite"&amp;" · ","")&amp;IF(AND($V103="Macro",$H103&lt;&gt;"",OR(NOT(ISNUMBER($H103)),$H103&lt;0,$H103&gt;1)),"Peso fuera de rango"&amp;" · ","")&amp;IF(AND($V103="Sub",$H103&lt;&gt;""),"Las subactividades no llevan peso (valen igual dentro de su macroactividad)"&amp;" · ","")&amp;IF(AND(N($W103)&gt;0,COUNT($I103:$L103)&gt;0),"Con subactividades: deje vacías las semanas (se calculan solas)"&amp;" · ","")&amp;IF((COUNTIF($I103:$L103,"&gt;1")+COUNTIF($I103:$L103,"&lt;0")+COUNTA($I103:$L103)-COUNT($I103:$L103))&gt;0,"Avance fuera de rango 0-100%"&amp;" · ","")&amp;IF(OR(AND($J103&lt;&gt;"",$J103&lt;$I103),AND($K103&lt;&gt;"",$K103&lt;MAX($I103:$J103)),AND($L103&lt;&gt;"",$L103&lt;MAX($I103:$K103))),"Avance semanal decreciente"&amp;" · ","")&amp;IF(AND(ISNUMBER($AN103),$AN103&lt;FechaRef,IF($V103="Sub",N($X103),N($M103))&lt;1),"Vencida"&amp;" · ","")&amp;IF(AND(ObsObligatoria="Sí",ISNUMBER($AN103),$AN103&lt;FechaRef,IF($V103="Sub",N($X103),N($M103))&lt;1,$Q103=""),"Vencida sin observación"&amp;" · ",""))-3)))</f>
        <v/>
      </c>
      <c r="S103" s="64">
        <f>IF(NOT((COUNTA($B103:$D103)+COUNTA($G103:$L103)+COUNTA($Q103))&gt;0),"",IF(AND($V103="Sub",N($U103)&gt;0),IF(ISNUMBER(INDEX($AM$5:$AM$1000,$U103-4)),DATE(YEAR(INDEX($AM$5:$AM$1000,$U103-4)),MONTH(INDEX($AM$5:$AM$1000,$U103-4)),1),IF(ISNUMBER(INDEX($AN$5:$AN$1000,$U103-4)),DATE(YEAR(INDEX($AN$5:$AN$1000,$U103-4)),MONTH(INDEX($AN$5:$AN$1000,$U103-4)),1),MesCiclo)),IF(ISNUMBER($AM103),DATE(YEAR($AM103),MONTH($AM103),1),IF(ISNUMBER($AN103),DATE(YEAR($AN103),MONTH($AN103),1),MesCiclo))))</f>
        <v/>
      </c>
      <c r="T103" s="62">
        <f>IF(OR($S103="",$S103&lt;&gt;MesCiclo,$V103&lt;&gt;"Macro"),"",COUNTIFS($S$5:$S103,MesCiclo,$V$5:$V103,"Macro"))</f>
        <v/>
      </c>
      <c r="U103" s="62">
        <f>IF($V103="","",IF($V103="Macro",ROW(),IFERROR(LOOKUP(2,1/($V$5:$V103="Macro"),ROW($V$5:$V103)),0)))</f>
        <v/>
      </c>
      <c r="V103" s="62">
        <f>IF(NOT((COUNTA($B103:$D103)+COUNTA($G103:$L103)+COUNTA($Q103))&gt;0),"",IF($B103="Subactividad","Sub","Macro"))</f>
        <v/>
      </c>
      <c r="W103" s="62">
        <f>IF($V103="Macro",COUNTIFS($U$5:$U$1000,ROW(),$V$5:$V$1000,"Sub"),"")</f>
        <v/>
      </c>
      <c r="X103" s="62">
        <f>IF($V103="","",IF(ISNUMBER($G103),1,IFERROR(LOOKUP(2,1/($I103:$L103&lt;&gt;""),$I103:$L103),0)))</f>
        <v/>
      </c>
      <c r="Y103" s="62">
        <f>IF($V103="","",IF(AND(ISNUMBER($G103),$G103&lt;=IF($S103=MesCiclo,InicioCiclo,$S103+MOD(2-WEEKDAY($S103),7))+6),1,IF(ISNUMBER($I103),$I103,0)))</f>
        <v/>
      </c>
      <c r="Z103" s="62">
        <f>IF($V103="","",IF(AND(ISNUMBER($G103),$G103&lt;=IF($S103=MesCiclo,InicioCiclo,$S103+MOD(2-WEEKDAY($S103),7))+13),1,IF(ISNUMBER($J103),$J103,$Y103)))</f>
        <v/>
      </c>
      <c r="AA103" s="62">
        <f>IF($V103="","",IF(AND(ISNUMBER($G103),$G103&lt;=IF($S103=MesCiclo,InicioCiclo,$S103+MOD(2-WEEKDAY($S103),7))+20),1,IF(ISNUMBER($K103),$K103,$Z103)))</f>
        <v/>
      </c>
      <c r="AB103" s="62">
        <f>IF($V103="","",IF(AND(ISNUMBER($G103),$G103&lt;=IF($S103=MesCiclo,InicioCiclo,$S103+MOD(2-WEEKDAY($S103),7))+27),1,IF(ISNUMBER($L103),$L103,$AA103)))</f>
        <v/>
      </c>
      <c r="AC103" s="62">
        <f>IF($V103="","",IF(AND(ISNUMBER($G103),$G103&lt;=IF($S103=MesCiclo,InicioCiclo,$S103+MOD(2-WEEKDAY($S103),7))+6),1,IF(N($W103)&gt;0,AVERAGEIFS($Y$5:$Y$1000,$U$5:$U$1000,ROW(),$V$5:$V$1000,"Sub"),$Y103)))</f>
        <v/>
      </c>
      <c r="AD103" s="62">
        <f>IF($V103="","",IF(AND(ISNUMBER($G103),$G103&lt;=IF($S103=MesCiclo,InicioCiclo,$S103+MOD(2-WEEKDAY($S103),7))+13),1,IF(N($W103)&gt;0,AVERAGEIFS($Z$5:$Z$1000,$U$5:$U$1000,ROW(),$V$5:$V$1000,"Sub"),$Z103)))</f>
        <v/>
      </c>
      <c r="AE103" s="62">
        <f>IF($V103="","",IF(AND(ISNUMBER($G103),$G103&lt;=IF($S103=MesCiclo,InicioCiclo,$S103+MOD(2-WEEKDAY($S103),7))+20),1,IF(N($W103)&gt;0,AVERAGEIFS($AA$5:$AA$1000,$U$5:$U$1000,ROW(),$V$5:$V$1000,"Sub"),$AA103)))</f>
        <v/>
      </c>
      <c r="AF103" s="62">
        <f>IF($V103="","",IF(AND(ISNUMBER($G103),$G103&lt;=IF($S103=MesCiclo,InicioCiclo,$S103+MOD(2-WEEKDAY($S103),7))+27),1,IF(N($W103)&gt;0,AVERAGEIFS($AB$5:$AB$1000,$U$5:$U$1000,ROW(),$V$5:$V$1000,"Sub"),$AB103)))</f>
        <v/>
      </c>
      <c r="AG103" s="62">
        <f>IF($V103&lt;&gt;"Macro","",IF(COUNTIFS($S$5:$S$1000,$S103,$V$5:$V$1000,"Macro",$H$5:$H$1000,"&gt;0")=0,1/COUNTIFS($S$5:$S$1000,$S103,$V$5:$V$1000,"Macro"),IF(AND(ISNUMBER($H103),N($H103)&gt;0),$H103,SUMIFS($H$5:$H$1000,$S$5:$S$1000,$S103,$V$5:$V$1000,"Macro")/COUNTIFS($S$5:$S$1000,$S103,$V$5:$V$1000,"Macro",$H$5:$H$1000,"&gt;0"))/(COUNTIFS($S$5:$S$1000,$S103,$V$5:$V$1000,"Macro")*SUMIFS($H$5:$H$1000,$S$5:$S$1000,$S103,$V$5:$V$1000,"Macro")/COUNTIFS($S$5:$S$1000,$S103,$V$5:$V$1000,"Macro",$H$5:$H$1000,"&gt;0"))))</f>
        <v/>
      </c>
      <c r="AH103" s="62" t="n"/>
      <c r="AI103" s="62" t="n"/>
      <c r="AJ103" s="62" t="n"/>
      <c r="AK103" s="62" t="n"/>
      <c r="AL103" s="62">
        <f>IF(LEFT($C103,11)="[Jefatura] ",IFERROR(MATCH("Riesgo Normativo|"&amp;MID($C103,12,500),rDname_ADM,0),0),"")</f>
        <v/>
      </c>
      <c r="AM103" s="62">
        <f>IF(N($AL103)&gt;0,INDEX(rIni_ADM,$AL103),IF(ISNUMBER($E103),$E103,""))</f>
        <v/>
      </c>
      <c r="AN103" s="62">
        <f>IF(N($AL103)&gt;0,INDEX(rLim_ADM,$AL103),IF(ISNUMBER($F103),$F103,""))</f>
        <v/>
      </c>
    </row>
    <row r="104">
      <c r="A104" s="56">
        <f>IF(NOT((COUNTA($B104:$D104)+COUNTA($G104:$L104)+COUNTA($Q104))&gt;0),"",IF($V104="Macro",COUNTIFS($V$5:$V104,"Macro",$S$5:$S104,$S104),IF(N($U104)=0,"?",COUNTIFS(INDEX($V$5:$V$1000,1):INDEX($V$5:$V$1000,$U104-4),"Macro",INDEX($S$5:$S$1000,1):INDEX($S$5:$S$1000,$U104-4),INDEX($S$5:$S$1000,$U104-4))&amp;"."&amp;COUNTIFS($U$5:$U104,$U104,$V$5:$V104,"Sub"))))</f>
        <v/>
      </c>
      <c r="B104" s="57" t="n"/>
      <c r="C104" s="58" t="n"/>
      <c r="D104" s="58" t="n"/>
      <c r="E104" s="59">
        <f>IF(N($AL104)&gt;0,INDEX(rIni_ADM,$AL104),"")</f>
        <v/>
      </c>
      <c r="F104" s="59">
        <f>IF(N($AL104)&gt;0,INDEX(rLim_ADM,$AL104),"")</f>
        <v/>
      </c>
      <c r="G104" s="59" t="n"/>
      <c r="H104" s="60" t="n"/>
      <c r="I104" s="60" t="n"/>
      <c r="J104" s="60" t="n"/>
      <c r="K104" s="60" t="n"/>
      <c r="L104" s="60" t="n"/>
      <c r="M104" s="61">
        <f>IF(NOT((COUNTA($B104:$D104)+COUNTA($G104:$L104)+COUNTA($Q104))&gt;0),"",IF($V104="Sub",IFERROR($X104/INDEX($W$5:$W$1000,$U104-4),""),IF(ISNUMBER($G104),1,IF(N($W104)&gt;0,AVERAGEIFS($X$5:$X$1000,$U$5:$U$1000,ROW(),$V$5:$V$1000,"Sub"),$X104))))</f>
        <v/>
      </c>
      <c r="N104" s="56">
        <f>IF(OR($M104="",$V104="Sub"),"",IF($M104&gt;=1,"Completado",IF($M104&gt;0,"En curso","Pendiente")))</f>
        <v/>
      </c>
      <c r="O104" s="56">
        <f>IF(OR(NOT((COUNTA($B104:$D104)+COUNTA($G104:$L104)+COUNTA($Q104))&gt;0),$V104="Sub"),"",IF(ISNUMBER($G104),IF(AND(ISNUMBER($AN104),$G104&gt;$AN104),"Cumplida con "&amp;($G104-$AN104)&amp;IF($G104-$AN104=1," día"," días")&amp;" de retraso","Cumplida"),IF(N($M104)&gt;=1,"Cumplida",IF(NOT(ISNUMBER($AN104)),"Sin fecha límite",IF($AN104&lt;FechaRef,"Vencida hace "&amp;(FechaRef-$AN104)&amp;IF(FechaRef-$AN104=1," día"," días"),IF($AN104=FechaRef,"Vence hoy",IF($AN104-FechaRef&lt;=DiasAlerta,"Vence en "&amp;($AN104-FechaRef)&amp;IF($AN104-FechaRef=1," día"," días"),"En plazo")))))))</f>
        <v/>
      </c>
      <c r="P104" s="62" t="n"/>
      <c r="Q104" s="58" t="n"/>
      <c r="R104" s="63">
        <f>IF(NOT((COUNTA($B104:$D104)+COUNTA($G104:$L104)+COUNTA($Q104))&gt;0),"",IF((IF($C104="","Falta el nombre de la actividad"&amp;" · ","")&amp;IF(AND($V104="Sub",N($U104)=0),"Subactividad sin macroactividad arriba"&amp;" · ","")&amp;IF($AM104="","Sin fecha de inicio"&amp;" · ","")&amp;IF($AN104="","Sin fecha límite"&amp;" · ","")&amp;IF(AND(LEFT($C104,11)="[Jefatura] ",N($AL104)=0),"No se encuentra en la hoja de la jefatura (elíjala de nuevo en la lista)"&amp;" · ","")&amp;IF(OR(AND($E104&lt;&gt;"",NOT(ISNUMBER($E104))),AND($F104&lt;&gt;"",NOT(ISNUMBER($F104))),AND($G104&lt;&gt;"",NOT(ISNUMBER($G104)))),"Fecha no válida"&amp;" · ","")&amp;IF(AND(ISNUMBER($AM104),ISNUMBER($AN104),$AM104&gt;$AN104),"Inicio posterior a fecha límite"&amp;" · ","")&amp;IF(AND($V104="Macro",$H104&lt;&gt;"",OR(NOT(ISNUMBER($H104)),$H104&lt;0,$H104&gt;1)),"Peso fuera de rango"&amp;" · ","")&amp;IF(AND($V104="Sub",$H104&lt;&gt;""),"Las subactividades no llevan peso (valen igual dentro de su macroactividad)"&amp;" · ","")&amp;IF(AND(N($W104)&gt;0,COUNT($I104:$L104)&gt;0),"Con subactividades: deje vacías las semanas (se calculan solas)"&amp;" · ","")&amp;IF((COUNTIF($I104:$L104,"&gt;1")+COUNTIF($I104:$L104,"&lt;0")+COUNTA($I104:$L104)-COUNT($I104:$L104))&gt;0,"Avance fuera de rango 0-100%"&amp;" · ","")&amp;IF(OR(AND($J104&lt;&gt;"",$J104&lt;$I104),AND($K104&lt;&gt;"",$K104&lt;MAX($I104:$J104)),AND($L104&lt;&gt;"",$L104&lt;MAX($I104:$K104))),"Avance semanal decreciente"&amp;" · ","")&amp;IF(AND(ISNUMBER($AN104),$AN104&lt;FechaRef,IF($V104="Sub",N($X104),N($M104))&lt;1),"Vencida"&amp;" · ","")&amp;IF(AND(ObsObligatoria="Sí",ISNUMBER($AN104),$AN104&lt;FechaRef,IF($V104="Sub",N($X104),N($M104))&lt;1,$Q104=""),"Vencida sin observación"&amp;" · ",""))="","✔ OK","⚠ "&amp;LEFT(IF($C104="","Falta el nombre de la actividad"&amp;" · ","")&amp;IF(AND($V104="Sub",N($U104)=0),"Subactividad sin macroactividad arriba"&amp;" · ","")&amp;IF($AM104="","Sin fecha de inicio"&amp;" · ","")&amp;IF($AN104="","Sin fecha límite"&amp;" · ","")&amp;IF(AND(LEFT($C104,11)="[Jefatura] ",N($AL104)=0),"No se encuentra en la hoja de la jefatura (elíjala de nuevo en la lista)"&amp;" · ","")&amp;IF(OR(AND($E104&lt;&gt;"",NOT(ISNUMBER($E104))),AND($F104&lt;&gt;"",NOT(ISNUMBER($F104))),AND($G104&lt;&gt;"",NOT(ISNUMBER($G104)))),"Fecha no válida"&amp;" · ","")&amp;IF(AND(ISNUMBER($AM104),ISNUMBER($AN104),$AM104&gt;$AN104),"Inicio posterior a fecha límite"&amp;" · ","")&amp;IF(AND($V104="Macro",$H104&lt;&gt;"",OR(NOT(ISNUMBER($H104)),$H104&lt;0,$H104&gt;1)),"Peso fuera de rango"&amp;" · ","")&amp;IF(AND($V104="Sub",$H104&lt;&gt;""),"Las subactividades no llevan peso (valen igual dentro de su macroactividad)"&amp;" · ","")&amp;IF(AND(N($W104)&gt;0,COUNT($I104:$L104)&gt;0),"Con subactividades: deje vacías las semanas (se calculan solas)"&amp;" · ","")&amp;IF((COUNTIF($I104:$L104,"&gt;1")+COUNTIF($I104:$L104,"&lt;0")+COUNTA($I104:$L104)-COUNT($I104:$L104))&gt;0,"Avance fuera de rango 0-100%"&amp;" · ","")&amp;IF(OR(AND($J104&lt;&gt;"",$J104&lt;$I104),AND($K104&lt;&gt;"",$K104&lt;MAX($I104:$J104)),AND($L104&lt;&gt;"",$L104&lt;MAX($I104:$K104))),"Avance semanal decreciente"&amp;" · ","")&amp;IF(AND(ISNUMBER($AN104),$AN104&lt;FechaRef,IF($V104="Sub",N($X104),N($M104))&lt;1),"Vencida"&amp;" · ","")&amp;IF(AND(ObsObligatoria="Sí",ISNUMBER($AN104),$AN104&lt;FechaRef,IF($V104="Sub",N($X104),N($M104))&lt;1,$Q104=""),"Vencida sin observación"&amp;" · ",""),LEN(IF($C104="","Falta el nombre de la actividad"&amp;" · ","")&amp;IF(AND($V104="Sub",N($U104)=0),"Subactividad sin macroactividad arriba"&amp;" · ","")&amp;IF($AM104="","Sin fecha de inicio"&amp;" · ","")&amp;IF($AN104="","Sin fecha límite"&amp;" · ","")&amp;IF(AND(LEFT($C104,11)="[Jefatura] ",N($AL104)=0),"No se encuentra en la hoja de la jefatura (elíjala de nuevo en la lista)"&amp;" · ","")&amp;IF(OR(AND($E104&lt;&gt;"",NOT(ISNUMBER($E104))),AND($F104&lt;&gt;"",NOT(ISNUMBER($F104))),AND($G104&lt;&gt;"",NOT(ISNUMBER($G104)))),"Fecha no válida"&amp;" · ","")&amp;IF(AND(ISNUMBER($AM104),ISNUMBER($AN104),$AM104&gt;$AN104),"Inicio posterior a fecha límite"&amp;" · ","")&amp;IF(AND($V104="Macro",$H104&lt;&gt;"",OR(NOT(ISNUMBER($H104)),$H104&lt;0,$H104&gt;1)),"Peso fuera de rango"&amp;" · ","")&amp;IF(AND($V104="Sub",$H104&lt;&gt;""),"Las subactividades no llevan peso (valen igual dentro de su macroactividad)"&amp;" · ","")&amp;IF(AND(N($W104)&gt;0,COUNT($I104:$L104)&gt;0),"Con subactividades: deje vacías las semanas (se calculan solas)"&amp;" · ","")&amp;IF((COUNTIF($I104:$L104,"&gt;1")+COUNTIF($I104:$L104,"&lt;0")+COUNTA($I104:$L104)-COUNT($I104:$L104))&gt;0,"Avance fuera de rango 0-100%"&amp;" · ","")&amp;IF(OR(AND($J104&lt;&gt;"",$J104&lt;$I104),AND($K104&lt;&gt;"",$K104&lt;MAX($I104:$J104)),AND($L104&lt;&gt;"",$L104&lt;MAX($I104:$K104))),"Avance semanal decreciente"&amp;" · ","")&amp;IF(AND(ISNUMBER($AN104),$AN104&lt;FechaRef,IF($V104="Sub",N($X104),N($M104))&lt;1),"Vencida"&amp;" · ","")&amp;IF(AND(ObsObligatoria="Sí",ISNUMBER($AN104),$AN104&lt;FechaRef,IF($V104="Sub",N($X104),N($M104))&lt;1,$Q104=""),"Vencida sin observación"&amp;" · ",""))-3)))</f>
        <v/>
      </c>
      <c r="S104" s="64">
        <f>IF(NOT((COUNTA($B104:$D104)+COUNTA($G104:$L104)+COUNTA($Q104))&gt;0),"",IF(AND($V104="Sub",N($U104)&gt;0),IF(ISNUMBER(INDEX($AM$5:$AM$1000,$U104-4)),DATE(YEAR(INDEX($AM$5:$AM$1000,$U104-4)),MONTH(INDEX($AM$5:$AM$1000,$U104-4)),1),IF(ISNUMBER(INDEX($AN$5:$AN$1000,$U104-4)),DATE(YEAR(INDEX($AN$5:$AN$1000,$U104-4)),MONTH(INDEX($AN$5:$AN$1000,$U104-4)),1),MesCiclo)),IF(ISNUMBER($AM104),DATE(YEAR($AM104),MONTH($AM104),1),IF(ISNUMBER($AN104),DATE(YEAR($AN104),MONTH($AN104),1),MesCiclo))))</f>
        <v/>
      </c>
      <c r="T104" s="62">
        <f>IF(OR($S104="",$S104&lt;&gt;MesCiclo,$V104&lt;&gt;"Macro"),"",COUNTIFS($S$5:$S104,MesCiclo,$V$5:$V104,"Macro"))</f>
        <v/>
      </c>
      <c r="U104" s="62">
        <f>IF($V104="","",IF($V104="Macro",ROW(),IFERROR(LOOKUP(2,1/($V$5:$V104="Macro"),ROW($V$5:$V104)),0)))</f>
        <v/>
      </c>
      <c r="V104" s="62">
        <f>IF(NOT((COUNTA($B104:$D104)+COUNTA($G104:$L104)+COUNTA($Q104))&gt;0),"",IF($B104="Subactividad","Sub","Macro"))</f>
        <v/>
      </c>
      <c r="W104" s="62">
        <f>IF($V104="Macro",COUNTIFS($U$5:$U$1000,ROW(),$V$5:$V$1000,"Sub"),"")</f>
        <v/>
      </c>
      <c r="X104" s="62">
        <f>IF($V104="","",IF(ISNUMBER($G104),1,IFERROR(LOOKUP(2,1/($I104:$L104&lt;&gt;""),$I104:$L104),0)))</f>
        <v/>
      </c>
      <c r="Y104" s="62">
        <f>IF($V104="","",IF(AND(ISNUMBER($G104),$G104&lt;=IF($S104=MesCiclo,InicioCiclo,$S104+MOD(2-WEEKDAY($S104),7))+6),1,IF(ISNUMBER($I104),$I104,0)))</f>
        <v/>
      </c>
      <c r="Z104" s="62">
        <f>IF($V104="","",IF(AND(ISNUMBER($G104),$G104&lt;=IF($S104=MesCiclo,InicioCiclo,$S104+MOD(2-WEEKDAY($S104),7))+13),1,IF(ISNUMBER($J104),$J104,$Y104)))</f>
        <v/>
      </c>
      <c r="AA104" s="62">
        <f>IF($V104="","",IF(AND(ISNUMBER($G104),$G104&lt;=IF($S104=MesCiclo,InicioCiclo,$S104+MOD(2-WEEKDAY($S104),7))+20),1,IF(ISNUMBER($K104),$K104,$Z104)))</f>
        <v/>
      </c>
      <c r="AB104" s="62">
        <f>IF($V104="","",IF(AND(ISNUMBER($G104),$G104&lt;=IF($S104=MesCiclo,InicioCiclo,$S104+MOD(2-WEEKDAY($S104),7))+27),1,IF(ISNUMBER($L104),$L104,$AA104)))</f>
        <v/>
      </c>
      <c r="AC104" s="62">
        <f>IF($V104="","",IF(AND(ISNUMBER($G104),$G104&lt;=IF($S104=MesCiclo,InicioCiclo,$S104+MOD(2-WEEKDAY($S104),7))+6),1,IF(N($W104)&gt;0,AVERAGEIFS($Y$5:$Y$1000,$U$5:$U$1000,ROW(),$V$5:$V$1000,"Sub"),$Y104)))</f>
        <v/>
      </c>
      <c r="AD104" s="62">
        <f>IF($V104="","",IF(AND(ISNUMBER($G104),$G104&lt;=IF($S104=MesCiclo,InicioCiclo,$S104+MOD(2-WEEKDAY($S104),7))+13),1,IF(N($W104)&gt;0,AVERAGEIFS($Z$5:$Z$1000,$U$5:$U$1000,ROW(),$V$5:$V$1000,"Sub"),$Z104)))</f>
        <v/>
      </c>
      <c r="AE104" s="62">
        <f>IF($V104="","",IF(AND(ISNUMBER($G104),$G104&lt;=IF($S104=MesCiclo,InicioCiclo,$S104+MOD(2-WEEKDAY($S104),7))+20),1,IF(N($W104)&gt;0,AVERAGEIFS($AA$5:$AA$1000,$U$5:$U$1000,ROW(),$V$5:$V$1000,"Sub"),$AA104)))</f>
        <v/>
      </c>
      <c r="AF104" s="62">
        <f>IF($V104="","",IF(AND(ISNUMBER($G104),$G104&lt;=IF($S104=MesCiclo,InicioCiclo,$S104+MOD(2-WEEKDAY($S104),7))+27),1,IF(N($W104)&gt;0,AVERAGEIFS($AB$5:$AB$1000,$U$5:$U$1000,ROW(),$V$5:$V$1000,"Sub"),$AB104)))</f>
        <v/>
      </c>
      <c r="AG104" s="62">
        <f>IF($V104&lt;&gt;"Macro","",IF(COUNTIFS($S$5:$S$1000,$S104,$V$5:$V$1000,"Macro",$H$5:$H$1000,"&gt;0")=0,1/COUNTIFS($S$5:$S$1000,$S104,$V$5:$V$1000,"Macro"),IF(AND(ISNUMBER($H104),N($H104)&gt;0),$H104,SUMIFS($H$5:$H$1000,$S$5:$S$1000,$S104,$V$5:$V$1000,"Macro")/COUNTIFS($S$5:$S$1000,$S104,$V$5:$V$1000,"Macro",$H$5:$H$1000,"&gt;0"))/(COUNTIFS($S$5:$S$1000,$S104,$V$5:$V$1000,"Macro")*SUMIFS($H$5:$H$1000,$S$5:$S$1000,$S104,$V$5:$V$1000,"Macro")/COUNTIFS($S$5:$S$1000,$S104,$V$5:$V$1000,"Macro",$H$5:$H$1000,"&gt;0"))))</f>
        <v/>
      </c>
      <c r="AH104" s="62" t="n"/>
      <c r="AI104" s="62" t="n"/>
      <c r="AJ104" s="62" t="n"/>
      <c r="AK104" s="62" t="n"/>
      <c r="AL104" s="62">
        <f>IF(LEFT($C104,11)="[Jefatura] ",IFERROR(MATCH("Riesgo Normativo|"&amp;MID($C104,12,500),rDname_ADM,0),0),"")</f>
        <v/>
      </c>
      <c r="AM104" s="62">
        <f>IF(N($AL104)&gt;0,INDEX(rIni_ADM,$AL104),IF(ISNUMBER($E104),$E104,""))</f>
        <v/>
      </c>
      <c r="AN104" s="62">
        <f>IF(N($AL104)&gt;0,INDEX(rLim_ADM,$AL104),IF(ISNUMBER($F104),$F104,""))</f>
        <v/>
      </c>
    </row>
    <row r="105">
      <c r="A105" s="56">
        <f>IF(NOT((COUNTA($B105:$D105)+COUNTA($G105:$L105)+COUNTA($Q105))&gt;0),"",IF($V105="Macro",COUNTIFS($V$5:$V105,"Macro",$S$5:$S105,$S105),IF(N($U105)=0,"?",COUNTIFS(INDEX($V$5:$V$1000,1):INDEX($V$5:$V$1000,$U105-4),"Macro",INDEX($S$5:$S$1000,1):INDEX($S$5:$S$1000,$U105-4),INDEX($S$5:$S$1000,$U105-4))&amp;"."&amp;COUNTIFS($U$5:$U105,$U105,$V$5:$V105,"Sub"))))</f>
        <v/>
      </c>
      <c r="B105" s="57" t="n"/>
      <c r="C105" s="58" t="n"/>
      <c r="D105" s="58" t="n"/>
      <c r="E105" s="59">
        <f>IF(N($AL105)&gt;0,INDEX(rIni_ADM,$AL105),"")</f>
        <v/>
      </c>
      <c r="F105" s="59">
        <f>IF(N($AL105)&gt;0,INDEX(rLim_ADM,$AL105),"")</f>
        <v/>
      </c>
      <c r="G105" s="59" t="n"/>
      <c r="H105" s="60" t="n"/>
      <c r="I105" s="60" t="n"/>
      <c r="J105" s="60" t="n"/>
      <c r="K105" s="60" t="n"/>
      <c r="L105" s="60" t="n"/>
      <c r="M105" s="61">
        <f>IF(NOT((COUNTA($B105:$D105)+COUNTA($G105:$L105)+COUNTA($Q105))&gt;0),"",IF($V105="Sub",IFERROR($X105/INDEX($W$5:$W$1000,$U105-4),""),IF(ISNUMBER($G105),1,IF(N($W105)&gt;0,AVERAGEIFS($X$5:$X$1000,$U$5:$U$1000,ROW(),$V$5:$V$1000,"Sub"),$X105))))</f>
        <v/>
      </c>
      <c r="N105" s="56">
        <f>IF(OR($M105="",$V105="Sub"),"",IF($M105&gt;=1,"Completado",IF($M105&gt;0,"En curso","Pendiente")))</f>
        <v/>
      </c>
      <c r="O105" s="56">
        <f>IF(OR(NOT((COUNTA($B105:$D105)+COUNTA($G105:$L105)+COUNTA($Q105))&gt;0),$V105="Sub"),"",IF(ISNUMBER($G105),IF(AND(ISNUMBER($AN105),$G105&gt;$AN105),"Cumplida con "&amp;($G105-$AN105)&amp;IF($G105-$AN105=1," día"," días")&amp;" de retraso","Cumplida"),IF(N($M105)&gt;=1,"Cumplida",IF(NOT(ISNUMBER($AN105)),"Sin fecha límite",IF($AN105&lt;FechaRef,"Vencida hace "&amp;(FechaRef-$AN105)&amp;IF(FechaRef-$AN105=1," día"," días"),IF($AN105=FechaRef,"Vence hoy",IF($AN105-FechaRef&lt;=DiasAlerta,"Vence en "&amp;($AN105-FechaRef)&amp;IF($AN105-FechaRef=1," día"," días"),"En plazo")))))))</f>
        <v/>
      </c>
      <c r="P105" s="62" t="n"/>
      <c r="Q105" s="58" t="n"/>
      <c r="R105" s="63">
        <f>IF(NOT((COUNTA($B105:$D105)+COUNTA($G105:$L105)+COUNTA($Q105))&gt;0),"",IF((IF($C105="","Falta el nombre de la actividad"&amp;" · ","")&amp;IF(AND($V105="Sub",N($U105)=0),"Subactividad sin macroactividad arriba"&amp;" · ","")&amp;IF($AM105="","Sin fecha de inicio"&amp;" · ","")&amp;IF($AN105="","Sin fecha límite"&amp;" · ","")&amp;IF(AND(LEFT($C105,11)="[Jefatura] ",N($AL105)=0),"No se encuentra en la hoja de la jefatura (elíjala de nuevo en la lista)"&amp;" · ","")&amp;IF(OR(AND($E105&lt;&gt;"",NOT(ISNUMBER($E105))),AND($F105&lt;&gt;"",NOT(ISNUMBER($F105))),AND($G105&lt;&gt;"",NOT(ISNUMBER($G105)))),"Fecha no válida"&amp;" · ","")&amp;IF(AND(ISNUMBER($AM105),ISNUMBER($AN105),$AM105&gt;$AN105),"Inicio posterior a fecha límite"&amp;" · ","")&amp;IF(AND($V105="Macro",$H105&lt;&gt;"",OR(NOT(ISNUMBER($H105)),$H105&lt;0,$H105&gt;1)),"Peso fuera de rango"&amp;" · ","")&amp;IF(AND($V105="Sub",$H105&lt;&gt;""),"Las subactividades no llevan peso (valen igual dentro de su macroactividad)"&amp;" · ","")&amp;IF(AND(N($W105)&gt;0,COUNT($I105:$L105)&gt;0),"Con subactividades: deje vacías las semanas (se calculan solas)"&amp;" · ","")&amp;IF((COUNTIF($I105:$L105,"&gt;1")+COUNTIF($I105:$L105,"&lt;0")+COUNTA($I105:$L105)-COUNT($I105:$L105))&gt;0,"Avance fuera de rango 0-100%"&amp;" · ","")&amp;IF(OR(AND($J105&lt;&gt;"",$J105&lt;$I105),AND($K105&lt;&gt;"",$K105&lt;MAX($I105:$J105)),AND($L105&lt;&gt;"",$L105&lt;MAX($I105:$K105))),"Avance semanal decreciente"&amp;" · ","")&amp;IF(AND(ISNUMBER($AN105),$AN105&lt;FechaRef,IF($V105="Sub",N($X105),N($M105))&lt;1),"Vencida"&amp;" · ","")&amp;IF(AND(ObsObligatoria="Sí",ISNUMBER($AN105),$AN105&lt;FechaRef,IF($V105="Sub",N($X105),N($M105))&lt;1,$Q105=""),"Vencida sin observación"&amp;" · ",""))="","✔ OK","⚠ "&amp;LEFT(IF($C105="","Falta el nombre de la actividad"&amp;" · ","")&amp;IF(AND($V105="Sub",N($U105)=0),"Subactividad sin macroactividad arriba"&amp;" · ","")&amp;IF($AM105="","Sin fecha de inicio"&amp;" · ","")&amp;IF($AN105="","Sin fecha límite"&amp;" · ","")&amp;IF(AND(LEFT($C105,11)="[Jefatura] ",N($AL105)=0),"No se encuentra en la hoja de la jefatura (elíjala de nuevo en la lista)"&amp;" · ","")&amp;IF(OR(AND($E105&lt;&gt;"",NOT(ISNUMBER($E105))),AND($F105&lt;&gt;"",NOT(ISNUMBER($F105))),AND($G105&lt;&gt;"",NOT(ISNUMBER($G105)))),"Fecha no válida"&amp;" · ","")&amp;IF(AND(ISNUMBER($AM105),ISNUMBER($AN105),$AM105&gt;$AN105),"Inicio posterior a fecha límite"&amp;" · ","")&amp;IF(AND($V105="Macro",$H105&lt;&gt;"",OR(NOT(ISNUMBER($H105)),$H105&lt;0,$H105&gt;1)),"Peso fuera de rango"&amp;" · ","")&amp;IF(AND($V105="Sub",$H105&lt;&gt;""),"Las subactividades no llevan peso (valen igual dentro de su macroactividad)"&amp;" · ","")&amp;IF(AND(N($W105)&gt;0,COUNT($I105:$L105)&gt;0),"Con subactividades: deje vacías las semanas (se calculan solas)"&amp;" · ","")&amp;IF((COUNTIF($I105:$L105,"&gt;1")+COUNTIF($I105:$L105,"&lt;0")+COUNTA($I105:$L105)-COUNT($I105:$L105))&gt;0,"Avance fuera de rango 0-100%"&amp;" · ","")&amp;IF(OR(AND($J105&lt;&gt;"",$J105&lt;$I105),AND($K105&lt;&gt;"",$K105&lt;MAX($I105:$J105)),AND($L105&lt;&gt;"",$L105&lt;MAX($I105:$K105))),"Avance semanal decreciente"&amp;" · ","")&amp;IF(AND(ISNUMBER($AN105),$AN105&lt;FechaRef,IF($V105="Sub",N($X105),N($M105))&lt;1),"Vencida"&amp;" · ","")&amp;IF(AND(ObsObligatoria="Sí",ISNUMBER($AN105),$AN105&lt;FechaRef,IF($V105="Sub",N($X105),N($M105))&lt;1,$Q105=""),"Vencida sin observación"&amp;" · ",""),LEN(IF($C105="","Falta el nombre de la actividad"&amp;" · ","")&amp;IF(AND($V105="Sub",N($U105)=0),"Subactividad sin macroactividad arriba"&amp;" · ","")&amp;IF($AM105="","Sin fecha de inicio"&amp;" · ","")&amp;IF($AN105="","Sin fecha límite"&amp;" · ","")&amp;IF(AND(LEFT($C105,11)="[Jefatura] ",N($AL105)=0),"No se encuentra en la hoja de la jefatura (elíjala de nuevo en la lista)"&amp;" · ","")&amp;IF(OR(AND($E105&lt;&gt;"",NOT(ISNUMBER($E105))),AND($F105&lt;&gt;"",NOT(ISNUMBER($F105))),AND($G105&lt;&gt;"",NOT(ISNUMBER($G105)))),"Fecha no válida"&amp;" · ","")&amp;IF(AND(ISNUMBER($AM105),ISNUMBER($AN105),$AM105&gt;$AN105),"Inicio posterior a fecha límite"&amp;" · ","")&amp;IF(AND($V105="Macro",$H105&lt;&gt;"",OR(NOT(ISNUMBER($H105)),$H105&lt;0,$H105&gt;1)),"Peso fuera de rango"&amp;" · ","")&amp;IF(AND($V105="Sub",$H105&lt;&gt;""),"Las subactividades no llevan peso (valen igual dentro de su macroactividad)"&amp;" · ","")&amp;IF(AND(N($W105)&gt;0,COUNT($I105:$L105)&gt;0),"Con subactividades: deje vacías las semanas (se calculan solas)"&amp;" · ","")&amp;IF((COUNTIF($I105:$L105,"&gt;1")+COUNTIF($I105:$L105,"&lt;0")+COUNTA($I105:$L105)-COUNT($I105:$L105))&gt;0,"Avance fuera de rango 0-100%"&amp;" · ","")&amp;IF(OR(AND($J105&lt;&gt;"",$J105&lt;$I105),AND($K105&lt;&gt;"",$K105&lt;MAX($I105:$J105)),AND($L105&lt;&gt;"",$L105&lt;MAX($I105:$K105))),"Avance semanal decreciente"&amp;" · ","")&amp;IF(AND(ISNUMBER($AN105),$AN105&lt;FechaRef,IF($V105="Sub",N($X105),N($M105))&lt;1),"Vencida"&amp;" · ","")&amp;IF(AND(ObsObligatoria="Sí",ISNUMBER($AN105),$AN105&lt;FechaRef,IF($V105="Sub",N($X105),N($M105))&lt;1,$Q105=""),"Vencida sin observación"&amp;" · ",""))-3)))</f>
        <v/>
      </c>
      <c r="S105" s="64">
        <f>IF(NOT((COUNTA($B105:$D105)+COUNTA($G105:$L105)+COUNTA($Q105))&gt;0),"",IF(AND($V105="Sub",N($U105)&gt;0),IF(ISNUMBER(INDEX($AM$5:$AM$1000,$U105-4)),DATE(YEAR(INDEX($AM$5:$AM$1000,$U105-4)),MONTH(INDEX($AM$5:$AM$1000,$U105-4)),1),IF(ISNUMBER(INDEX($AN$5:$AN$1000,$U105-4)),DATE(YEAR(INDEX($AN$5:$AN$1000,$U105-4)),MONTH(INDEX($AN$5:$AN$1000,$U105-4)),1),MesCiclo)),IF(ISNUMBER($AM105),DATE(YEAR($AM105),MONTH($AM105),1),IF(ISNUMBER($AN105),DATE(YEAR($AN105),MONTH($AN105),1),MesCiclo))))</f>
        <v/>
      </c>
      <c r="T105" s="62">
        <f>IF(OR($S105="",$S105&lt;&gt;MesCiclo,$V105&lt;&gt;"Macro"),"",COUNTIFS($S$5:$S105,MesCiclo,$V$5:$V105,"Macro"))</f>
        <v/>
      </c>
      <c r="U105" s="62">
        <f>IF($V105="","",IF($V105="Macro",ROW(),IFERROR(LOOKUP(2,1/($V$5:$V105="Macro"),ROW($V$5:$V105)),0)))</f>
        <v/>
      </c>
      <c r="V105" s="62">
        <f>IF(NOT((COUNTA($B105:$D105)+COUNTA($G105:$L105)+COUNTA($Q105))&gt;0),"",IF($B105="Subactividad","Sub","Macro"))</f>
        <v/>
      </c>
      <c r="W105" s="62">
        <f>IF($V105="Macro",COUNTIFS($U$5:$U$1000,ROW(),$V$5:$V$1000,"Sub"),"")</f>
        <v/>
      </c>
      <c r="X105" s="62">
        <f>IF($V105="","",IF(ISNUMBER($G105),1,IFERROR(LOOKUP(2,1/($I105:$L105&lt;&gt;""),$I105:$L105),0)))</f>
        <v/>
      </c>
      <c r="Y105" s="62">
        <f>IF($V105="","",IF(AND(ISNUMBER($G105),$G105&lt;=IF($S105=MesCiclo,InicioCiclo,$S105+MOD(2-WEEKDAY($S105),7))+6),1,IF(ISNUMBER($I105),$I105,0)))</f>
        <v/>
      </c>
      <c r="Z105" s="62">
        <f>IF($V105="","",IF(AND(ISNUMBER($G105),$G105&lt;=IF($S105=MesCiclo,InicioCiclo,$S105+MOD(2-WEEKDAY($S105),7))+13),1,IF(ISNUMBER($J105),$J105,$Y105)))</f>
        <v/>
      </c>
      <c r="AA105" s="62">
        <f>IF($V105="","",IF(AND(ISNUMBER($G105),$G105&lt;=IF($S105=MesCiclo,InicioCiclo,$S105+MOD(2-WEEKDAY($S105),7))+20),1,IF(ISNUMBER($K105),$K105,$Z105)))</f>
        <v/>
      </c>
      <c r="AB105" s="62">
        <f>IF($V105="","",IF(AND(ISNUMBER($G105),$G105&lt;=IF($S105=MesCiclo,InicioCiclo,$S105+MOD(2-WEEKDAY($S105),7))+27),1,IF(ISNUMBER($L105),$L105,$AA105)))</f>
        <v/>
      </c>
      <c r="AC105" s="62">
        <f>IF($V105="","",IF(AND(ISNUMBER($G105),$G105&lt;=IF($S105=MesCiclo,InicioCiclo,$S105+MOD(2-WEEKDAY($S105),7))+6),1,IF(N($W105)&gt;0,AVERAGEIFS($Y$5:$Y$1000,$U$5:$U$1000,ROW(),$V$5:$V$1000,"Sub"),$Y105)))</f>
        <v/>
      </c>
      <c r="AD105" s="62">
        <f>IF($V105="","",IF(AND(ISNUMBER($G105),$G105&lt;=IF($S105=MesCiclo,InicioCiclo,$S105+MOD(2-WEEKDAY($S105),7))+13),1,IF(N($W105)&gt;0,AVERAGEIFS($Z$5:$Z$1000,$U$5:$U$1000,ROW(),$V$5:$V$1000,"Sub"),$Z105)))</f>
        <v/>
      </c>
      <c r="AE105" s="62">
        <f>IF($V105="","",IF(AND(ISNUMBER($G105),$G105&lt;=IF($S105=MesCiclo,InicioCiclo,$S105+MOD(2-WEEKDAY($S105),7))+20),1,IF(N($W105)&gt;0,AVERAGEIFS($AA$5:$AA$1000,$U$5:$U$1000,ROW(),$V$5:$V$1000,"Sub"),$AA105)))</f>
        <v/>
      </c>
      <c r="AF105" s="62">
        <f>IF($V105="","",IF(AND(ISNUMBER($G105),$G105&lt;=IF($S105=MesCiclo,InicioCiclo,$S105+MOD(2-WEEKDAY($S105),7))+27),1,IF(N($W105)&gt;0,AVERAGEIFS($AB$5:$AB$1000,$U$5:$U$1000,ROW(),$V$5:$V$1000,"Sub"),$AB105)))</f>
        <v/>
      </c>
      <c r="AG105" s="62">
        <f>IF($V105&lt;&gt;"Macro","",IF(COUNTIFS($S$5:$S$1000,$S105,$V$5:$V$1000,"Macro",$H$5:$H$1000,"&gt;0")=0,1/COUNTIFS($S$5:$S$1000,$S105,$V$5:$V$1000,"Macro"),IF(AND(ISNUMBER($H105),N($H105)&gt;0),$H105,SUMIFS($H$5:$H$1000,$S$5:$S$1000,$S105,$V$5:$V$1000,"Macro")/COUNTIFS($S$5:$S$1000,$S105,$V$5:$V$1000,"Macro",$H$5:$H$1000,"&gt;0"))/(COUNTIFS($S$5:$S$1000,$S105,$V$5:$V$1000,"Macro")*SUMIFS($H$5:$H$1000,$S$5:$S$1000,$S105,$V$5:$V$1000,"Macro")/COUNTIFS($S$5:$S$1000,$S105,$V$5:$V$1000,"Macro",$H$5:$H$1000,"&gt;0"))))</f>
        <v/>
      </c>
      <c r="AH105" s="62" t="n"/>
      <c r="AI105" s="62" t="n"/>
      <c r="AJ105" s="62" t="n"/>
      <c r="AK105" s="62" t="n"/>
      <c r="AL105" s="62">
        <f>IF(LEFT($C105,11)="[Jefatura] ",IFERROR(MATCH("Riesgo Normativo|"&amp;MID($C105,12,500),rDname_ADM,0),0),"")</f>
        <v/>
      </c>
      <c r="AM105" s="62">
        <f>IF(N($AL105)&gt;0,INDEX(rIni_ADM,$AL105),IF(ISNUMBER($E105),$E105,""))</f>
        <v/>
      </c>
      <c r="AN105" s="62">
        <f>IF(N($AL105)&gt;0,INDEX(rLim_ADM,$AL105),IF(ISNUMBER($F105),$F105,""))</f>
        <v/>
      </c>
    </row>
    <row r="106">
      <c r="A106" s="56">
        <f>IF(NOT((COUNTA($B106:$D106)+COUNTA($G106:$L106)+COUNTA($Q106))&gt;0),"",IF($V106="Macro",COUNTIFS($V$5:$V106,"Macro",$S$5:$S106,$S106),IF(N($U106)=0,"?",COUNTIFS(INDEX($V$5:$V$1000,1):INDEX($V$5:$V$1000,$U106-4),"Macro",INDEX($S$5:$S$1000,1):INDEX($S$5:$S$1000,$U106-4),INDEX($S$5:$S$1000,$U106-4))&amp;"."&amp;COUNTIFS($U$5:$U106,$U106,$V$5:$V106,"Sub"))))</f>
        <v/>
      </c>
      <c r="B106" s="57" t="n"/>
      <c r="C106" s="58" t="n"/>
      <c r="D106" s="58" t="n"/>
      <c r="E106" s="59">
        <f>IF(N($AL106)&gt;0,INDEX(rIni_ADM,$AL106),"")</f>
        <v/>
      </c>
      <c r="F106" s="59">
        <f>IF(N($AL106)&gt;0,INDEX(rLim_ADM,$AL106),"")</f>
        <v/>
      </c>
      <c r="G106" s="59" t="n"/>
      <c r="H106" s="60" t="n"/>
      <c r="I106" s="60" t="n"/>
      <c r="J106" s="60" t="n"/>
      <c r="K106" s="60" t="n"/>
      <c r="L106" s="60" t="n"/>
      <c r="M106" s="61">
        <f>IF(NOT((COUNTA($B106:$D106)+COUNTA($G106:$L106)+COUNTA($Q106))&gt;0),"",IF($V106="Sub",IFERROR($X106/INDEX($W$5:$W$1000,$U106-4),""),IF(ISNUMBER($G106),1,IF(N($W106)&gt;0,AVERAGEIFS($X$5:$X$1000,$U$5:$U$1000,ROW(),$V$5:$V$1000,"Sub"),$X106))))</f>
        <v/>
      </c>
      <c r="N106" s="56">
        <f>IF(OR($M106="",$V106="Sub"),"",IF($M106&gt;=1,"Completado",IF($M106&gt;0,"En curso","Pendiente")))</f>
        <v/>
      </c>
      <c r="O106" s="56">
        <f>IF(OR(NOT((COUNTA($B106:$D106)+COUNTA($G106:$L106)+COUNTA($Q106))&gt;0),$V106="Sub"),"",IF(ISNUMBER($G106),IF(AND(ISNUMBER($AN106),$G106&gt;$AN106),"Cumplida con "&amp;($G106-$AN106)&amp;IF($G106-$AN106=1," día"," días")&amp;" de retraso","Cumplida"),IF(N($M106)&gt;=1,"Cumplida",IF(NOT(ISNUMBER($AN106)),"Sin fecha límite",IF($AN106&lt;FechaRef,"Vencida hace "&amp;(FechaRef-$AN106)&amp;IF(FechaRef-$AN106=1," día"," días"),IF($AN106=FechaRef,"Vence hoy",IF($AN106-FechaRef&lt;=DiasAlerta,"Vence en "&amp;($AN106-FechaRef)&amp;IF($AN106-FechaRef=1," día"," días"),"En plazo")))))))</f>
        <v/>
      </c>
      <c r="P106" s="62" t="n"/>
      <c r="Q106" s="58" t="n"/>
      <c r="R106" s="63">
        <f>IF(NOT((COUNTA($B106:$D106)+COUNTA($G106:$L106)+COUNTA($Q106))&gt;0),"",IF((IF($C106="","Falta el nombre de la actividad"&amp;" · ","")&amp;IF(AND($V106="Sub",N($U106)=0),"Subactividad sin macroactividad arriba"&amp;" · ","")&amp;IF($AM106="","Sin fecha de inicio"&amp;" · ","")&amp;IF($AN106="","Sin fecha límite"&amp;" · ","")&amp;IF(AND(LEFT($C106,11)="[Jefatura] ",N($AL106)=0),"No se encuentra en la hoja de la jefatura (elíjala de nuevo en la lista)"&amp;" · ","")&amp;IF(OR(AND($E106&lt;&gt;"",NOT(ISNUMBER($E106))),AND($F106&lt;&gt;"",NOT(ISNUMBER($F106))),AND($G106&lt;&gt;"",NOT(ISNUMBER($G106)))),"Fecha no válida"&amp;" · ","")&amp;IF(AND(ISNUMBER($AM106),ISNUMBER($AN106),$AM106&gt;$AN106),"Inicio posterior a fecha límite"&amp;" · ","")&amp;IF(AND($V106="Macro",$H106&lt;&gt;"",OR(NOT(ISNUMBER($H106)),$H106&lt;0,$H106&gt;1)),"Peso fuera de rango"&amp;" · ","")&amp;IF(AND($V106="Sub",$H106&lt;&gt;""),"Las subactividades no llevan peso (valen igual dentro de su macroactividad)"&amp;" · ","")&amp;IF(AND(N($W106)&gt;0,COUNT($I106:$L106)&gt;0),"Con subactividades: deje vacías las semanas (se calculan solas)"&amp;" · ","")&amp;IF((COUNTIF($I106:$L106,"&gt;1")+COUNTIF($I106:$L106,"&lt;0")+COUNTA($I106:$L106)-COUNT($I106:$L106))&gt;0,"Avance fuera de rango 0-100%"&amp;" · ","")&amp;IF(OR(AND($J106&lt;&gt;"",$J106&lt;$I106),AND($K106&lt;&gt;"",$K106&lt;MAX($I106:$J106)),AND($L106&lt;&gt;"",$L106&lt;MAX($I106:$K106))),"Avance semanal decreciente"&amp;" · ","")&amp;IF(AND(ISNUMBER($AN106),$AN106&lt;FechaRef,IF($V106="Sub",N($X106),N($M106))&lt;1),"Vencida"&amp;" · ","")&amp;IF(AND(ObsObligatoria="Sí",ISNUMBER($AN106),$AN106&lt;FechaRef,IF($V106="Sub",N($X106),N($M106))&lt;1,$Q106=""),"Vencida sin observación"&amp;" · ",""))="","✔ OK","⚠ "&amp;LEFT(IF($C106="","Falta el nombre de la actividad"&amp;" · ","")&amp;IF(AND($V106="Sub",N($U106)=0),"Subactividad sin macroactividad arriba"&amp;" · ","")&amp;IF($AM106="","Sin fecha de inicio"&amp;" · ","")&amp;IF($AN106="","Sin fecha límite"&amp;" · ","")&amp;IF(AND(LEFT($C106,11)="[Jefatura] ",N($AL106)=0),"No se encuentra en la hoja de la jefatura (elíjala de nuevo en la lista)"&amp;" · ","")&amp;IF(OR(AND($E106&lt;&gt;"",NOT(ISNUMBER($E106))),AND($F106&lt;&gt;"",NOT(ISNUMBER($F106))),AND($G106&lt;&gt;"",NOT(ISNUMBER($G106)))),"Fecha no válida"&amp;" · ","")&amp;IF(AND(ISNUMBER($AM106),ISNUMBER($AN106),$AM106&gt;$AN106),"Inicio posterior a fecha límite"&amp;" · ","")&amp;IF(AND($V106="Macro",$H106&lt;&gt;"",OR(NOT(ISNUMBER($H106)),$H106&lt;0,$H106&gt;1)),"Peso fuera de rango"&amp;" · ","")&amp;IF(AND($V106="Sub",$H106&lt;&gt;""),"Las subactividades no llevan peso (valen igual dentro de su macroactividad)"&amp;" · ","")&amp;IF(AND(N($W106)&gt;0,COUNT($I106:$L106)&gt;0),"Con subactividades: deje vacías las semanas (se calculan solas)"&amp;" · ","")&amp;IF((COUNTIF($I106:$L106,"&gt;1")+COUNTIF($I106:$L106,"&lt;0")+COUNTA($I106:$L106)-COUNT($I106:$L106))&gt;0,"Avance fuera de rango 0-100%"&amp;" · ","")&amp;IF(OR(AND($J106&lt;&gt;"",$J106&lt;$I106),AND($K106&lt;&gt;"",$K106&lt;MAX($I106:$J106)),AND($L106&lt;&gt;"",$L106&lt;MAX($I106:$K106))),"Avance semanal decreciente"&amp;" · ","")&amp;IF(AND(ISNUMBER($AN106),$AN106&lt;FechaRef,IF($V106="Sub",N($X106),N($M106))&lt;1),"Vencida"&amp;" · ","")&amp;IF(AND(ObsObligatoria="Sí",ISNUMBER($AN106),$AN106&lt;FechaRef,IF($V106="Sub",N($X106),N($M106))&lt;1,$Q106=""),"Vencida sin observación"&amp;" · ",""),LEN(IF($C106="","Falta el nombre de la actividad"&amp;" · ","")&amp;IF(AND($V106="Sub",N($U106)=0),"Subactividad sin macroactividad arriba"&amp;" · ","")&amp;IF($AM106="","Sin fecha de inicio"&amp;" · ","")&amp;IF($AN106="","Sin fecha límite"&amp;" · ","")&amp;IF(AND(LEFT($C106,11)="[Jefatura] ",N($AL106)=0),"No se encuentra en la hoja de la jefatura (elíjala de nuevo en la lista)"&amp;" · ","")&amp;IF(OR(AND($E106&lt;&gt;"",NOT(ISNUMBER($E106))),AND($F106&lt;&gt;"",NOT(ISNUMBER($F106))),AND($G106&lt;&gt;"",NOT(ISNUMBER($G106)))),"Fecha no válida"&amp;" · ","")&amp;IF(AND(ISNUMBER($AM106),ISNUMBER($AN106),$AM106&gt;$AN106),"Inicio posterior a fecha límite"&amp;" · ","")&amp;IF(AND($V106="Macro",$H106&lt;&gt;"",OR(NOT(ISNUMBER($H106)),$H106&lt;0,$H106&gt;1)),"Peso fuera de rango"&amp;" · ","")&amp;IF(AND($V106="Sub",$H106&lt;&gt;""),"Las subactividades no llevan peso (valen igual dentro de su macroactividad)"&amp;" · ","")&amp;IF(AND(N($W106)&gt;0,COUNT($I106:$L106)&gt;0),"Con subactividades: deje vacías las semanas (se calculan solas)"&amp;" · ","")&amp;IF((COUNTIF($I106:$L106,"&gt;1")+COUNTIF($I106:$L106,"&lt;0")+COUNTA($I106:$L106)-COUNT($I106:$L106))&gt;0,"Avance fuera de rango 0-100%"&amp;" · ","")&amp;IF(OR(AND($J106&lt;&gt;"",$J106&lt;$I106),AND($K106&lt;&gt;"",$K106&lt;MAX($I106:$J106)),AND($L106&lt;&gt;"",$L106&lt;MAX($I106:$K106))),"Avance semanal decreciente"&amp;" · ","")&amp;IF(AND(ISNUMBER($AN106),$AN106&lt;FechaRef,IF($V106="Sub",N($X106),N($M106))&lt;1),"Vencida"&amp;" · ","")&amp;IF(AND(ObsObligatoria="Sí",ISNUMBER($AN106),$AN106&lt;FechaRef,IF($V106="Sub",N($X106),N($M106))&lt;1,$Q106=""),"Vencida sin observación"&amp;" · ",""))-3)))</f>
        <v/>
      </c>
      <c r="S106" s="64">
        <f>IF(NOT((COUNTA($B106:$D106)+COUNTA($G106:$L106)+COUNTA($Q106))&gt;0),"",IF(AND($V106="Sub",N($U106)&gt;0),IF(ISNUMBER(INDEX($AM$5:$AM$1000,$U106-4)),DATE(YEAR(INDEX($AM$5:$AM$1000,$U106-4)),MONTH(INDEX($AM$5:$AM$1000,$U106-4)),1),IF(ISNUMBER(INDEX($AN$5:$AN$1000,$U106-4)),DATE(YEAR(INDEX($AN$5:$AN$1000,$U106-4)),MONTH(INDEX($AN$5:$AN$1000,$U106-4)),1),MesCiclo)),IF(ISNUMBER($AM106),DATE(YEAR($AM106),MONTH($AM106),1),IF(ISNUMBER($AN106),DATE(YEAR($AN106),MONTH($AN106),1),MesCiclo))))</f>
        <v/>
      </c>
      <c r="T106" s="62">
        <f>IF(OR($S106="",$S106&lt;&gt;MesCiclo,$V106&lt;&gt;"Macro"),"",COUNTIFS($S$5:$S106,MesCiclo,$V$5:$V106,"Macro"))</f>
        <v/>
      </c>
      <c r="U106" s="62">
        <f>IF($V106="","",IF($V106="Macro",ROW(),IFERROR(LOOKUP(2,1/($V$5:$V106="Macro"),ROW($V$5:$V106)),0)))</f>
        <v/>
      </c>
      <c r="V106" s="62">
        <f>IF(NOT((COUNTA($B106:$D106)+COUNTA($G106:$L106)+COUNTA($Q106))&gt;0),"",IF($B106="Subactividad","Sub","Macro"))</f>
        <v/>
      </c>
      <c r="W106" s="62">
        <f>IF($V106="Macro",COUNTIFS($U$5:$U$1000,ROW(),$V$5:$V$1000,"Sub"),"")</f>
        <v/>
      </c>
      <c r="X106" s="62">
        <f>IF($V106="","",IF(ISNUMBER($G106),1,IFERROR(LOOKUP(2,1/($I106:$L106&lt;&gt;""),$I106:$L106),0)))</f>
        <v/>
      </c>
      <c r="Y106" s="62">
        <f>IF($V106="","",IF(AND(ISNUMBER($G106),$G106&lt;=IF($S106=MesCiclo,InicioCiclo,$S106+MOD(2-WEEKDAY($S106),7))+6),1,IF(ISNUMBER($I106),$I106,0)))</f>
        <v/>
      </c>
      <c r="Z106" s="62">
        <f>IF($V106="","",IF(AND(ISNUMBER($G106),$G106&lt;=IF($S106=MesCiclo,InicioCiclo,$S106+MOD(2-WEEKDAY($S106),7))+13),1,IF(ISNUMBER($J106),$J106,$Y106)))</f>
        <v/>
      </c>
      <c r="AA106" s="62">
        <f>IF($V106="","",IF(AND(ISNUMBER($G106),$G106&lt;=IF($S106=MesCiclo,InicioCiclo,$S106+MOD(2-WEEKDAY($S106),7))+20),1,IF(ISNUMBER($K106),$K106,$Z106)))</f>
        <v/>
      </c>
      <c r="AB106" s="62">
        <f>IF($V106="","",IF(AND(ISNUMBER($G106),$G106&lt;=IF($S106=MesCiclo,InicioCiclo,$S106+MOD(2-WEEKDAY($S106),7))+27),1,IF(ISNUMBER($L106),$L106,$AA106)))</f>
        <v/>
      </c>
      <c r="AC106" s="62">
        <f>IF($V106="","",IF(AND(ISNUMBER($G106),$G106&lt;=IF($S106=MesCiclo,InicioCiclo,$S106+MOD(2-WEEKDAY($S106),7))+6),1,IF(N($W106)&gt;0,AVERAGEIFS($Y$5:$Y$1000,$U$5:$U$1000,ROW(),$V$5:$V$1000,"Sub"),$Y106)))</f>
        <v/>
      </c>
      <c r="AD106" s="62">
        <f>IF($V106="","",IF(AND(ISNUMBER($G106),$G106&lt;=IF($S106=MesCiclo,InicioCiclo,$S106+MOD(2-WEEKDAY($S106),7))+13),1,IF(N($W106)&gt;0,AVERAGEIFS($Z$5:$Z$1000,$U$5:$U$1000,ROW(),$V$5:$V$1000,"Sub"),$Z106)))</f>
        <v/>
      </c>
      <c r="AE106" s="62">
        <f>IF($V106="","",IF(AND(ISNUMBER($G106),$G106&lt;=IF($S106=MesCiclo,InicioCiclo,$S106+MOD(2-WEEKDAY($S106),7))+20),1,IF(N($W106)&gt;0,AVERAGEIFS($AA$5:$AA$1000,$U$5:$U$1000,ROW(),$V$5:$V$1000,"Sub"),$AA106)))</f>
        <v/>
      </c>
      <c r="AF106" s="62">
        <f>IF($V106="","",IF(AND(ISNUMBER($G106),$G106&lt;=IF($S106=MesCiclo,InicioCiclo,$S106+MOD(2-WEEKDAY($S106),7))+27),1,IF(N($W106)&gt;0,AVERAGEIFS($AB$5:$AB$1000,$U$5:$U$1000,ROW(),$V$5:$V$1000,"Sub"),$AB106)))</f>
        <v/>
      </c>
      <c r="AG106" s="62">
        <f>IF($V106&lt;&gt;"Macro","",IF(COUNTIFS($S$5:$S$1000,$S106,$V$5:$V$1000,"Macro",$H$5:$H$1000,"&gt;0")=0,1/COUNTIFS($S$5:$S$1000,$S106,$V$5:$V$1000,"Macro"),IF(AND(ISNUMBER($H106),N($H106)&gt;0),$H106,SUMIFS($H$5:$H$1000,$S$5:$S$1000,$S106,$V$5:$V$1000,"Macro")/COUNTIFS($S$5:$S$1000,$S106,$V$5:$V$1000,"Macro",$H$5:$H$1000,"&gt;0"))/(COUNTIFS($S$5:$S$1000,$S106,$V$5:$V$1000,"Macro")*SUMIFS($H$5:$H$1000,$S$5:$S$1000,$S106,$V$5:$V$1000,"Macro")/COUNTIFS($S$5:$S$1000,$S106,$V$5:$V$1000,"Macro",$H$5:$H$1000,"&gt;0"))))</f>
        <v/>
      </c>
      <c r="AH106" s="62" t="n"/>
      <c r="AI106" s="62" t="n"/>
      <c r="AJ106" s="62" t="n"/>
      <c r="AK106" s="62" t="n"/>
      <c r="AL106" s="62">
        <f>IF(LEFT($C106,11)="[Jefatura] ",IFERROR(MATCH("Riesgo Normativo|"&amp;MID($C106,12,500),rDname_ADM,0),0),"")</f>
        <v/>
      </c>
      <c r="AM106" s="62">
        <f>IF(N($AL106)&gt;0,INDEX(rIni_ADM,$AL106),IF(ISNUMBER($E106),$E106,""))</f>
        <v/>
      </c>
      <c r="AN106" s="62">
        <f>IF(N($AL106)&gt;0,INDEX(rLim_ADM,$AL106),IF(ISNUMBER($F106),$F106,""))</f>
        <v/>
      </c>
    </row>
    <row r="107">
      <c r="A107" s="56">
        <f>IF(NOT((COUNTA($B107:$D107)+COUNTA($G107:$L107)+COUNTA($Q107))&gt;0),"",IF($V107="Macro",COUNTIFS($V$5:$V107,"Macro",$S$5:$S107,$S107),IF(N($U107)=0,"?",COUNTIFS(INDEX($V$5:$V$1000,1):INDEX($V$5:$V$1000,$U107-4),"Macro",INDEX($S$5:$S$1000,1):INDEX($S$5:$S$1000,$U107-4),INDEX($S$5:$S$1000,$U107-4))&amp;"."&amp;COUNTIFS($U$5:$U107,$U107,$V$5:$V107,"Sub"))))</f>
        <v/>
      </c>
      <c r="B107" s="57" t="n"/>
      <c r="C107" s="58" t="n"/>
      <c r="D107" s="58" t="n"/>
      <c r="E107" s="59">
        <f>IF(N($AL107)&gt;0,INDEX(rIni_ADM,$AL107),"")</f>
        <v/>
      </c>
      <c r="F107" s="59">
        <f>IF(N($AL107)&gt;0,INDEX(rLim_ADM,$AL107),"")</f>
        <v/>
      </c>
      <c r="G107" s="59" t="n"/>
      <c r="H107" s="60" t="n"/>
      <c r="I107" s="60" t="n"/>
      <c r="J107" s="60" t="n"/>
      <c r="K107" s="60" t="n"/>
      <c r="L107" s="60" t="n"/>
      <c r="M107" s="61">
        <f>IF(NOT((COUNTA($B107:$D107)+COUNTA($G107:$L107)+COUNTA($Q107))&gt;0),"",IF($V107="Sub",IFERROR($X107/INDEX($W$5:$W$1000,$U107-4),""),IF(ISNUMBER($G107),1,IF(N($W107)&gt;0,AVERAGEIFS($X$5:$X$1000,$U$5:$U$1000,ROW(),$V$5:$V$1000,"Sub"),$X107))))</f>
        <v/>
      </c>
      <c r="N107" s="56">
        <f>IF(OR($M107="",$V107="Sub"),"",IF($M107&gt;=1,"Completado",IF($M107&gt;0,"En curso","Pendiente")))</f>
        <v/>
      </c>
      <c r="O107" s="56">
        <f>IF(OR(NOT((COUNTA($B107:$D107)+COUNTA($G107:$L107)+COUNTA($Q107))&gt;0),$V107="Sub"),"",IF(ISNUMBER($G107),IF(AND(ISNUMBER($AN107),$G107&gt;$AN107),"Cumplida con "&amp;($G107-$AN107)&amp;IF($G107-$AN107=1," día"," días")&amp;" de retraso","Cumplida"),IF(N($M107)&gt;=1,"Cumplida",IF(NOT(ISNUMBER($AN107)),"Sin fecha límite",IF($AN107&lt;FechaRef,"Vencida hace "&amp;(FechaRef-$AN107)&amp;IF(FechaRef-$AN107=1," día"," días"),IF($AN107=FechaRef,"Vence hoy",IF($AN107-FechaRef&lt;=DiasAlerta,"Vence en "&amp;($AN107-FechaRef)&amp;IF($AN107-FechaRef=1," día"," días"),"En plazo")))))))</f>
        <v/>
      </c>
      <c r="P107" s="62" t="n"/>
      <c r="Q107" s="58" t="n"/>
      <c r="R107" s="63">
        <f>IF(NOT((COUNTA($B107:$D107)+COUNTA($G107:$L107)+COUNTA($Q107))&gt;0),"",IF((IF($C107="","Falta el nombre de la actividad"&amp;" · ","")&amp;IF(AND($V107="Sub",N($U107)=0),"Subactividad sin macroactividad arriba"&amp;" · ","")&amp;IF($AM107="","Sin fecha de inicio"&amp;" · ","")&amp;IF($AN107="","Sin fecha límite"&amp;" · ","")&amp;IF(AND(LEFT($C107,11)="[Jefatura] ",N($AL107)=0),"No se encuentra en la hoja de la jefatura (elíjala de nuevo en la lista)"&amp;" · ","")&amp;IF(OR(AND($E107&lt;&gt;"",NOT(ISNUMBER($E107))),AND($F107&lt;&gt;"",NOT(ISNUMBER($F107))),AND($G107&lt;&gt;"",NOT(ISNUMBER($G107)))),"Fecha no válida"&amp;" · ","")&amp;IF(AND(ISNUMBER($AM107),ISNUMBER($AN107),$AM107&gt;$AN107),"Inicio posterior a fecha límite"&amp;" · ","")&amp;IF(AND($V107="Macro",$H107&lt;&gt;"",OR(NOT(ISNUMBER($H107)),$H107&lt;0,$H107&gt;1)),"Peso fuera de rango"&amp;" · ","")&amp;IF(AND($V107="Sub",$H107&lt;&gt;""),"Las subactividades no llevan peso (valen igual dentro de su macroactividad)"&amp;" · ","")&amp;IF(AND(N($W107)&gt;0,COUNT($I107:$L107)&gt;0),"Con subactividades: deje vacías las semanas (se calculan solas)"&amp;" · ","")&amp;IF((COUNTIF($I107:$L107,"&gt;1")+COUNTIF($I107:$L107,"&lt;0")+COUNTA($I107:$L107)-COUNT($I107:$L107))&gt;0,"Avance fuera de rango 0-100%"&amp;" · ","")&amp;IF(OR(AND($J107&lt;&gt;"",$J107&lt;$I107),AND($K107&lt;&gt;"",$K107&lt;MAX($I107:$J107)),AND($L107&lt;&gt;"",$L107&lt;MAX($I107:$K107))),"Avance semanal decreciente"&amp;" · ","")&amp;IF(AND(ISNUMBER($AN107),$AN107&lt;FechaRef,IF($V107="Sub",N($X107),N($M107))&lt;1),"Vencida"&amp;" · ","")&amp;IF(AND(ObsObligatoria="Sí",ISNUMBER($AN107),$AN107&lt;FechaRef,IF($V107="Sub",N($X107),N($M107))&lt;1,$Q107=""),"Vencida sin observación"&amp;" · ",""))="","✔ OK","⚠ "&amp;LEFT(IF($C107="","Falta el nombre de la actividad"&amp;" · ","")&amp;IF(AND($V107="Sub",N($U107)=0),"Subactividad sin macroactividad arriba"&amp;" · ","")&amp;IF($AM107="","Sin fecha de inicio"&amp;" · ","")&amp;IF($AN107="","Sin fecha límite"&amp;" · ","")&amp;IF(AND(LEFT($C107,11)="[Jefatura] ",N($AL107)=0),"No se encuentra en la hoja de la jefatura (elíjala de nuevo en la lista)"&amp;" · ","")&amp;IF(OR(AND($E107&lt;&gt;"",NOT(ISNUMBER($E107))),AND($F107&lt;&gt;"",NOT(ISNUMBER($F107))),AND($G107&lt;&gt;"",NOT(ISNUMBER($G107)))),"Fecha no válida"&amp;" · ","")&amp;IF(AND(ISNUMBER($AM107),ISNUMBER($AN107),$AM107&gt;$AN107),"Inicio posterior a fecha límite"&amp;" · ","")&amp;IF(AND($V107="Macro",$H107&lt;&gt;"",OR(NOT(ISNUMBER($H107)),$H107&lt;0,$H107&gt;1)),"Peso fuera de rango"&amp;" · ","")&amp;IF(AND($V107="Sub",$H107&lt;&gt;""),"Las subactividades no llevan peso (valen igual dentro de su macroactividad)"&amp;" · ","")&amp;IF(AND(N($W107)&gt;0,COUNT($I107:$L107)&gt;0),"Con subactividades: deje vacías las semanas (se calculan solas)"&amp;" · ","")&amp;IF((COUNTIF($I107:$L107,"&gt;1")+COUNTIF($I107:$L107,"&lt;0")+COUNTA($I107:$L107)-COUNT($I107:$L107))&gt;0,"Avance fuera de rango 0-100%"&amp;" · ","")&amp;IF(OR(AND($J107&lt;&gt;"",$J107&lt;$I107),AND($K107&lt;&gt;"",$K107&lt;MAX($I107:$J107)),AND($L107&lt;&gt;"",$L107&lt;MAX($I107:$K107))),"Avance semanal decreciente"&amp;" · ","")&amp;IF(AND(ISNUMBER($AN107),$AN107&lt;FechaRef,IF($V107="Sub",N($X107),N($M107))&lt;1),"Vencida"&amp;" · ","")&amp;IF(AND(ObsObligatoria="Sí",ISNUMBER($AN107),$AN107&lt;FechaRef,IF($V107="Sub",N($X107),N($M107))&lt;1,$Q107=""),"Vencida sin observación"&amp;" · ",""),LEN(IF($C107="","Falta el nombre de la actividad"&amp;" · ","")&amp;IF(AND($V107="Sub",N($U107)=0),"Subactividad sin macroactividad arriba"&amp;" · ","")&amp;IF($AM107="","Sin fecha de inicio"&amp;" · ","")&amp;IF($AN107="","Sin fecha límite"&amp;" · ","")&amp;IF(AND(LEFT($C107,11)="[Jefatura] ",N($AL107)=0),"No se encuentra en la hoja de la jefatura (elíjala de nuevo en la lista)"&amp;" · ","")&amp;IF(OR(AND($E107&lt;&gt;"",NOT(ISNUMBER($E107))),AND($F107&lt;&gt;"",NOT(ISNUMBER($F107))),AND($G107&lt;&gt;"",NOT(ISNUMBER($G107)))),"Fecha no válida"&amp;" · ","")&amp;IF(AND(ISNUMBER($AM107),ISNUMBER($AN107),$AM107&gt;$AN107),"Inicio posterior a fecha límite"&amp;" · ","")&amp;IF(AND($V107="Macro",$H107&lt;&gt;"",OR(NOT(ISNUMBER($H107)),$H107&lt;0,$H107&gt;1)),"Peso fuera de rango"&amp;" · ","")&amp;IF(AND($V107="Sub",$H107&lt;&gt;""),"Las subactividades no llevan peso (valen igual dentro de su macroactividad)"&amp;" · ","")&amp;IF(AND(N($W107)&gt;0,COUNT($I107:$L107)&gt;0),"Con subactividades: deje vacías las semanas (se calculan solas)"&amp;" · ","")&amp;IF((COUNTIF($I107:$L107,"&gt;1")+COUNTIF($I107:$L107,"&lt;0")+COUNTA($I107:$L107)-COUNT($I107:$L107))&gt;0,"Avance fuera de rango 0-100%"&amp;" · ","")&amp;IF(OR(AND($J107&lt;&gt;"",$J107&lt;$I107),AND($K107&lt;&gt;"",$K107&lt;MAX($I107:$J107)),AND($L107&lt;&gt;"",$L107&lt;MAX($I107:$K107))),"Avance semanal decreciente"&amp;" · ","")&amp;IF(AND(ISNUMBER($AN107),$AN107&lt;FechaRef,IF($V107="Sub",N($X107),N($M107))&lt;1),"Vencida"&amp;" · ","")&amp;IF(AND(ObsObligatoria="Sí",ISNUMBER($AN107),$AN107&lt;FechaRef,IF($V107="Sub",N($X107),N($M107))&lt;1,$Q107=""),"Vencida sin observación"&amp;" · ",""))-3)))</f>
        <v/>
      </c>
      <c r="S107" s="64">
        <f>IF(NOT((COUNTA($B107:$D107)+COUNTA($G107:$L107)+COUNTA($Q107))&gt;0),"",IF(AND($V107="Sub",N($U107)&gt;0),IF(ISNUMBER(INDEX($AM$5:$AM$1000,$U107-4)),DATE(YEAR(INDEX($AM$5:$AM$1000,$U107-4)),MONTH(INDEX($AM$5:$AM$1000,$U107-4)),1),IF(ISNUMBER(INDEX($AN$5:$AN$1000,$U107-4)),DATE(YEAR(INDEX($AN$5:$AN$1000,$U107-4)),MONTH(INDEX($AN$5:$AN$1000,$U107-4)),1),MesCiclo)),IF(ISNUMBER($AM107),DATE(YEAR($AM107),MONTH($AM107),1),IF(ISNUMBER($AN107),DATE(YEAR($AN107),MONTH($AN107),1),MesCiclo))))</f>
        <v/>
      </c>
      <c r="T107" s="62">
        <f>IF(OR($S107="",$S107&lt;&gt;MesCiclo,$V107&lt;&gt;"Macro"),"",COUNTIFS($S$5:$S107,MesCiclo,$V$5:$V107,"Macro"))</f>
        <v/>
      </c>
      <c r="U107" s="62">
        <f>IF($V107="","",IF($V107="Macro",ROW(),IFERROR(LOOKUP(2,1/($V$5:$V107="Macro"),ROW($V$5:$V107)),0)))</f>
        <v/>
      </c>
      <c r="V107" s="62">
        <f>IF(NOT((COUNTA($B107:$D107)+COUNTA($G107:$L107)+COUNTA($Q107))&gt;0),"",IF($B107="Subactividad","Sub","Macro"))</f>
        <v/>
      </c>
      <c r="W107" s="62">
        <f>IF($V107="Macro",COUNTIFS($U$5:$U$1000,ROW(),$V$5:$V$1000,"Sub"),"")</f>
        <v/>
      </c>
      <c r="X107" s="62">
        <f>IF($V107="","",IF(ISNUMBER($G107),1,IFERROR(LOOKUP(2,1/($I107:$L107&lt;&gt;""),$I107:$L107),0)))</f>
        <v/>
      </c>
      <c r="Y107" s="62">
        <f>IF($V107="","",IF(AND(ISNUMBER($G107),$G107&lt;=IF($S107=MesCiclo,InicioCiclo,$S107+MOD(2-WEEKDAY($S107),7))+6),1,IF(ISNUMBER($I107),$I107,0)))</f>
        <v/>
      </c>
      <c r="Z107" s="62">
        <f>IF($V107="","",IF(AND(ISNUMBER($G107),$G107&lt;=IF($S107=MesCiclo,InicioCiclo,$S107+MOD(2-WEEKDAY($S107),7))+13),1,IF(ISNUMBER($J107),$J107,$Y107)))</f>
        <v/>
      </c>
      <c r="AA107" s="62">
        <f>IF($V107="","",IF(AND(ISNUMBER($G107),$G107&lt;=IF($S107=MesCiclo,InicioCiclo,$S107+MOD(2-WEEKDAY($S107),7))+20),1,IF(ISNUMBER($K107),$K107,$Z107)))</f>
        <v/>
      </c>
      <c r="AB107" s="62">
        <f>IF($V107="","",IF(AND(ISNUMBER($G107),$G107&lt;=IF($S107=MesCiclo,InicioCiclo,$S107+MOD(2-WEEKDAY($S107),7))+27),1,IF(ISNUMBER($L107),$L107,$AA107)))</f>
        <v/>
      </c>
      <c r="AC107" s="62">
        <f>IF($V107="","",IF(AND(ISNUMBER($G107),$G107&lt;=IF($S107=MesCiclo,InicioCiclo,$S107+MOD(2-WEEKDAY($S107),7))+6),1,IF(N($W107)&gt;0,AVERAGEIFS($Y$5:$Y$1000,$U$5:$U$1000,ROW(),$V$5:$V$1000,"Sub"),$Y107)))</f>
        <v/>
      </c>
      <c r="AD107" s="62">
        <f>IF($V107="","",IF(AND(ISNUMBER($G107),$G107&lt;=IF($S107=MesCiclo,InicioCiclo,$S107+MOD(2-WEEKDAY($S107),7))+13),1,IF(N($W107)&gt;0,AVERAGEIFS($Z$5:$Z$1000,$U$5:$U$1000,ROW(),$V$5:$V$1000,"Sub"),$Z107)))</f>
        <v/>
      </c>
      <c r="AE107" s="62">
        <f>IF($V107="","",IF(AND(ISNUMBER($G107),$G107&lt;=IF($S107=MesCiclo,InicioCiclo,$S107+MOD(2-WEEKDAY($S107),7))+20),1,IF(N($W107)&gt;0,AVERAGEIFS($AA$5:$AA$1000,$U$5:$U$1000,ROW(),$V$5:$V$1000,"Sub"),$AA107)))</f>
        <v/>
      </c>
      <c r="AF107" s="62">
        <f>IF($V107="","",IF(AND(ISNUMBER($G107),$G107&lt;=IF($S107=MesCiclo,InicioCiclo,$S107+MOD(2-WEEKDAY($S107),7))+27),1,IF(N($W107)&gt;0,AVERAGEIFS($AB$5:$AB$1000,$U$5:$U$1000,ROW(),$V$5:$V$1000,"Sub"),$AB107)))</f>
        <v/>
      </c>
      <c r="AG107" s="62">
        <f>IF($V107&lt;&gt;"Macro","",IF(COUNTIFS($S$5:$S$1000,$S107,$V$5:$V$1000,"Macro",$H$5:$H$1000,"&gt;0")=0,1/COUNTIFS($S$5:$S$1000,$S107,$V$5:$V$1000,"Macro"),IF(AND(ISNUMBER($H107),N($H107)&gt;0),$H107,SUMIFS($H$5:$H$1000,$S$5:$S$1000,$S107,$V$5:$V$1000,"Macro")/COUNTIFS($S$5:$S$1000,$S107,$V$5:$V$1000,"Macro",$H$5:$H$1000,"&gt;0"))/(COUNTIFS($S$5:$S$1000,$S107,$V$5:$V$1000,"Macro")*SUMIFS($H$5:$H$1000,$S$5:$S$1000,$S107,$V$5:$V$1000,"Macro")/COUNTIFS($S$5:$S$1000,$S107,$V$5:$V$1000,"Macro",$H$5:$H$1000,"&gt;0"))))</f>
        <v/>
      </c>
      <c r="AH107" s="62" t="n"/>
      <c r="AI107" s="62" t="n"/>
      <c r="AJ107" s="62" t="n"/>
      <c r="AK107" s="62" t="n"/>
      <c r="AL107" s="62">
        <f>IF(LEFT($C107,11)="[Jefatura] ",IFERROR(MATCH("Riesgo Normativo|"&amp;MID($C107,12,500),rDname_ADM,0),0),"")</f>
        <v/>
      </c>
      <c r="AM107" s="62">
        <f>IF(N($AL107)&gt;0,INDEX(rIni_ADM,$AL107),IF(ISNUMBER($E107),$E107,""))</f>
        <v/>
      </c>
      <c r="AN107" s="62">
        <f>IF(N($AL107)&gt;0,INDEX(rLim_ADM,$AL107),IF(ISNUMBER($F107),$F107,""))</f>
        <v/>
      </c>
    </row>
    <row r="108">
      <c r="A108" s="56">
        <f>IF(NOT((COUNTA($B108:$D108)+COUNTA($G108:$L108)+COUNTA($Q108))&gt;0),"",IF($V108="Macro",COUNTIFS($V$5:$V108,"Macro",$S$5:$S108,$S108),IF(N($U108)=0,"?",COUNTIFS(INDEX($V$5:$V$1000,1):INDEX($V$5:$V$1000,$U108-4),"Macro",INDEX($S$5:$S$1000,1):INDEX($S$5:$S$1000,$U108-4),INDEX($S$5:$S$1000,$U108-4))&amp;"."&amp;COUNTIFS($U$5:$U108,$U108,$V$5:$V108,"Sub"))))</f>
        <v/>
      </c>
      <c r="B108" s="57" t="n"/>
      <c r="C108" s="58" t="n"/>
      <c r="D108" s="58" t="n"/>
      <c r="E108" s="59">
        <f>IF(N($AL108)&gt;0,INDEX(rIni_ADM,$AL108),"")</f>
        <v/>
      </c>
      <c r="F108" s="59">
        <f>IF(N($AL108)&gt;0,INDEX(rLim_ADM,$AL108),"")</f>
        <v/>
      </c>
      <c r="G108" s="59" t="n"/>
      <c r="H108" s="60" t="n"/>
      <c r="I108" s="60" t="n"/>
      <c r="J108" s="60" t="n"/>
      <c r="K108" s="60" t="n"/>
      <c r="L108" s="60" t="n"/>
      <c r="M108" s="61">
        <f>IF(NOT((COUNTA($B108:$D108)+COUNTA($G108:$L108)+COUNTA($Q108))&gt;0),"",IF($V108="Sub",IFERROR($X108/INDEX($W$5:$W$1000,$U108-4),""),IF(ISNUMBER($G108),1,IF(N($W108)&gt;0,AVERAGEIFS($X$5:$X$1000,$U$5:$U$1000,ROW(),$V$5:$V$1000,"Sub"),$X108))))</f>
        <v/>
      </c>
      <c r="N108" s="56">
        <f>IF(OR($M108="",$V108="Sub"),"",IF($M108&gt;=1,"Completado",IF($M108&gt;0,"En curso","Pendiente")))</f>
        <v/>
      </c>
      <c r="O108" s="56">
        <f>IF(OR(NOT((COUNTA($B108:$D108)+COUNTA($G108:$L108)+COUNTA($Q108))&gt;0),$V108="Sub"),"",IF(ISNUMBER($G108),IF(AND(ISNUMBER($AN108),$G108&gt;$AN108),"Cumplida con "&amp;($G108-$AN108)&amp;IF($G108-$AN108=1," día"," días")&amp;" de retraso","Cumplida"),IF(N($M108)&gt;=1,"Cumplida",IF(NOT(ISNUMBER($AN108)),"Sin fecha límite",IF($AN108&lt;FechaRef,"Vencida hace "&amp;(FechaRef-$AN108)&amp;IF(FechaRef-$AN108=1," día"," días"),IF($AN108=FechaRef,"Vence hoy",IF($AN108-FechaRef&lt;=DiasAlerta,"Vence en "&amp;($AN108-FechaRef)&amp;IF($AN108-FechaRef=1," día"," días"),"En plazo")))))))</f>
        <v/>
      </c>
      <c r="P108" s="62" t="n"/>
      <c r="Q108" s="58" t="n"/>
      <c r="R108" s="63">
        <f>IF(NOT((COUNTA($B108:$D108)+COUNTA($G108:$L108)+COUNTA($Q108))&gt;0),"",IF((IF($C108="","Falta el nombre de la actividad"&amp;" · ","")&amp;IF(AND($V108="Sub",N($U108)=0),"Subactividad sin macroactividad arriba"&amp;" · ","")&amp;IF($AM108="","Sin fecha de inicio"&amp;" · ","")&amp;IF($AN108="","Sin fecha límite"&amp;" · ","")&amp;IF(AND(LEFT($C108,11)="[Jefatura] ",N($AL108)=0),"No se encuentra en la hoja de la jefatura (elíjala de nuevo en la lista)"&amp;" · ","")&amp;IF(OR(AND($E108&lt;&gt;"",NOT(ISNUMBER($E108))),AND($F108&lt;&gt;"",NOT(ISNUMBER($F108))),AND($G108&lt;&gt;"",NOT(ISNUMBER($G108)))),"Fecha no válida"&amp;" · ","")&amp;IF(AND(ISNUMBER($AM108),ISNUMBER($AN108),$AM108&gt;$AN108),"Inicio posterior a fecha límite"&amp;" · ","")&amp;IF(AND($V108="Macro",$H108&lt;&gt;"",OR(NOT(ISNUMBER($H108)),$H108&lt;0,$H108&gt;1)),"Peso fuera de rango"&amp;" · ","")&amp;IF(AND($V108="Sub",$H108&lt;&gt;""),"Las subactividades no llevan peso (valen igual dentro de su macroactividad)"&amp;" · ","")&amp;IF(AND(N($W108)&gt;0,COUNT($I108:$L108)&gt;0),"Con subactividades: deje vacías las semanas (se calculan solas)"&amp;" · ","")&amp;IF((COUNTIF($I108:$L108,"&gt;1")+COUNTIF($I108:$L108,"&lt;0")+COUNTA($I108:$L108)-COUNT($I108:$L108))&gt;0,"Avance fuera de rango 0-100%"&amp;" · ","")&amp;IF(OR(AND($J108&lt;&gt;"",$J108&lt;$I108),AND($K108&lt;&gt;"",$K108&lt;MAX($I108:$J108)),AND($L108&lt;&gt;"",$L108&lt;MAX($I108:$K108))),"Avance semanal decreciente"&amp;" · ","")&amp;IF(AND(ISNUMBER($AN108),$AN108&lt;FechaRef,IF($V108="Sub",N($X108),N($M108))&lt;1),"Vencida"&amp;" · ","")&amp;IF(AND(ObsObligatoria="Sí",ISNUMBER($AN108),$AN108&lt;FechaRef,IF($V108="Sub",N($X108),N($M108))&lt;1,$Q108=""),"Vencida sin observación"&amp;" · ",""))="","✔ OK","⚠ "&amp;LEFT(IF($C108="","Falta el nombre de la actividad"&amp;" · ","")&amp;IF(AND($V108="Sub",N($U108)=0),"Subactividad sin macroactividad arriba"&amp;" · ","")&amp;IF($AM108="","Sin fecha de inicio"&amp;" · ","")&amp;IF($AN108="","Sin fecha límite"&amp;" · ","")&amp;IF(AND(LEFT($C108,11)="[Jefatura] ",N($AL108)=0),"No se encuentra en la hoja de la jefatura (elíjala de nuevo en la lista)"&amp;" · ","")&amp;IF(OR(AND($E108&lt;&gt;"",NOT(ISNUMBER($E108))),AND($F108&lt;&gt;"",NOT(ISNUMBER($F108))),AND($G108&lt;&gt;"",NOT(ISNUMBER($G108)))),"Fecha no válida"&amp;" · ","")&amp;IF(AND(ISNUMBER($AM108),ISNUMBER($AN108),$AM108&gt;$AN108),"Inicio posterior a fecha límite"&amp;" · ","")&amp;IF(AND($V108="Macro",$H108&lt;&gt;"",OR(NOT(ISNUMBER($H108)),$H108&lt;0,$H108&gt;1)),"Peso fuera de rango"&amp;" · ","")&amp;IF(AND($V108="Sub",$H108&lt;&gt;""),"Las subactividades no llevan peso (valen igual dentro de su macroactividad)"&amp;" · ","")&amp;IF(AND(N($W108)&gt;0,COUNT($I108:$L108)&gt;0),"Con subactividades: deje vacías las semanas (se calculan solas)"&amp;" · ","")&amp;IF((COUNTIF($I108:$L108,"&gt;1")+COUNTIF($I108:$L108,"&lt;0")+COUNTA($I108:$L108)-COUNT($I108:$L108))&gt;0,"Avance fuera de rango 0-100%"&amp;" · ","")&amp;IF(OR(AND($J108&lt;&gt;"",$J108&lt;$I108),AND($K108&lt;&gt;"",$K108&lt;MAX($I108:$J108)),AND($L108&lt;&gt;"",$L108&lt;MAX($I108:$K108))),"Avance semanal decreciente"&amp;" · ","")&amp;IF(AND(ISNUMBER($AN108),$AN108&lt;FechaRef,IF($V108="Sub",N($X108),N($M108))&lt;1),"Vencida"&amp;" · ","")&amp;IF(AND(ObsObligatoria="Sí",ISNUMBER($AN108),$AN108&lt;FechaRef,IF($V108="Sub",N($X108),N($M108))&lt;1,$Q108=""),"Vencida sin observación"&amp;" · ",""),LEN(IF($C108="","Falta el nombre de la actividad"&amp;" · ","")&amp;IF(AND($V108="Sub",N($U108)=0),"Subactividad sin macroactividad arriba"&amp;" · ","")&amp;IF($AM108="","Sin fecha de inicio"&amp;" · ","")&amp;IF($AN108="","Sin fecha límite"&amp;" · ","")&amp;IF(AND(LEFT($C108,11)="[Jefatura] ",N($AL108)=0),"No se encuentra en la hoja de la jefatura (elíjala de nuevo en la lista)"&amp;" · ","")&amp;IF(OR(AND($E108&lt;&gt;"",NOT(ISNUMBER($E108))),AND($F108&lt;&gt;"",NOT(ISNUMBER($F108))),AND($G108&lt;&gt;"",NOT(ISNUMBER($G108)))),"Fecha no válida"&amp;" · ","")&amp;IF(AND(ISNUMBER($AM108),ISNUMBER($AN108),$AM108&gt;$AN108),"Inicio posterior a fecha límite"&amp;" · ","")&amp;IF(AND($V108="Macro",$H108&lt;&gt;"",OR(NOT(ISNUMBER($H108)),$H108&lt;0,$H108&gt;1)),"Peso fuera de rango"&amp;" · ","")&amp;IF(AND($V108="Sub",$H108&lt;&gt;""),"Las subactividades no llevan peso (valen igual dentro de su macroactividad)"&amp;" · ","")&amp;IF(AND(N($W108)&gt;0,COUNT($I108:$L108)&gt;0),"Con subactividades: deje vacías las semanas (se calculan solas)"&amp;" · ","")&amp;IF((COUNTIF($I108:$L108,"&gt;1")+COUNTIF($I108:$L108,"&lt;0")+COUNTA($I108:$L108)-COUNT($I108:$L108))&gt;0,"Avance fuera de rango 0-100%"&amp;" · ","")&amp;IF(OR(AND($J108&lt;&gt;"",$J108&lt;$I108),AND($K108&lt;&gt;"",$K108&lt;MAX($I108:$J108)),AND($L108&lt;&gt;"",$L108&lt;MAX($I108:$K108))),"Avance semanal decreciente"&amp;" · ","")&amp;IF(AND(ISNUMBER($AN108),$AN108&lt;FechaRef,IF($V108="Sub",N($X108),N($M108))&lt;1),"Vencida"&amp;" · ","")&amp;IF(AND(ObsObligatoria="Sí",ISNUMBER($AN108),$AN108&lt;FechaRef,IF($V108="Sub",N($X108),N($M108))&lt;1,$Q108=""),"Vencida sin observación"&amp;" · ",""))-3)))</f>
        <v/>
      </c>
      <c r="S108" s="64">
        <f>IF(NOT((COUNTA($B108:$D108)+COUNTA($G108:$L108)+COUNTA($Q108))&gt;0),"",IF(AND($V108="Sub",N($U108)&gt;0),IF(ISNUMBER(INDEX($AM$5:$AM$1000,$U108-4)),DATE(YEAR(INDEX($AM$5:$AM$1000,$U108-4)),MONTH(INDEX($AM$5:$AM$1000,$U108-4)),1),IF(ISNUMBER(INDEX($AN$5:$AN$1000,$U108-4)),DATE(YEAR(INDEX($AN$5:$AN$1000,$U108-4)),MONTH(INDEX($AN$5:$AN$1000,$U108-4)),1),MesCiclo)),IF(ISNUMBER($AM108),DATE(YEAR($AM108),MONTH($AM108),1),IF(ISNUMBER($AN108),DATE(YEAR($AN108),MONTH($AN108),1),MesCiclo))))</f>
        <v/>
      </c>
      <c r="T108" s="62">
        <f>IF(OR($S108="",$S108&lt;&gt;MesCiclo,$V108&lt;&gt;"Macro"),"",COUNTIFS($S$5:$S108,MesCiclo,$V$5:$V108,"Macro"))</f>
        <v/>
      </c>
      <c r="U108" s="62">
        <f>IF($V108="","",IF($V108="Macro",ROW(),IFERROR(LOOKUP(2,1/($V$5:$V108="Macro"),ROW($V$5:$V108)),0)))</f>
        <v/>
      </c>
      <c r="V108" s="62">
        <f>IF(NOT((COUNTA($B108:$D108)+COUNTA($G108:$L108)+COUNTA($Q108))&gt;0),"",IF($B108="Subactividad","Sub","Macro"))</f>
        <v/>
      </c>
      <c r="W108" s="62">
        <f>IF($V108="Macro",COUNTIFS($U$5:$U$1000,ROW(),$V$5:$V$1000,"Sub"),"")</f>
        <v/>
      </c>
      <c r="X108" s="62">
        <f>IF($V108="","",IF(ISNUMBER($G108),1,IFERROR(LOOKUP(2,1/($I108:$L108&lt;&gt;""),$I108:$L108),0)))</f>
        <v/>
      </c>
      <c r="Y108" s="62">
        <f>IF($V108="","",IF(AND(ISNUMBER($G108),$G108&lt;=IF($S108=MesCiclo,InicioCiclo,$S108+MOD(2-WEEKDAY($S108),7))+6),1,IF(ISNUMBER($I108),$I108,0)))</f>
        <v/>
      </c>
      <c r="Z108" s="62">
        <f>IF($V108="","",IF(AND(ISNUMBER($G108),$G108&lt;=IF($S108=MesCiclo,InicioCiclo,$S108+MOD(2-WEEKDAY($S108),7))+13),1,IF(ISNUMBER($J108),$J108,$Y108)))</f>
        <v/>
      </c>
      <c r="AA108" s="62">
        <f>IF($V108="","",IF(AND(ISNUMBER($G108),$G108&lt;=IF($S108=MesCiclo,InicioCiclo,$S108+MOD(2-WEEKDAY($S108),7))+20),1,IF(ISNUMBER($K108),$K108,$Z108)))</f>
        <v/>
      </c>
      <c r="AB108" s="62">
        <f>IF($V108="","",IF(AND(ISNUMBER($G108),$G108&lt;=IF($S108=MesCiclo,InicioCiclo,$S108+MOD(2-WEEKDAY($S108),7))+27),1,IF(ISNUMBER($L108),$L108,$AA108)))</f>
        <v/>
      </c>
      <c r="AC108" s="62">
        <f>IF($V108="","",IF(AND(ISNUMBER($G108),$G108&lt;=IF($S108=MesCiclo,InicioCiclo,$S108+MOD(2-WEEKDAY($S108),7))+6),1,IF(N($W108)&gt;0,AVERAGEIFS($Y$5:$Y$1000,$U$5:$U$1000,ROW(),$V$5:$V$1000,"Sub"),$Y108)))</f>
        <v/>
      </c>
      <c r="AD108" s="62">
        <f>IF($V108="","",IF(AND(ISNUMBER($G108),$G108&lt;=IF($S108=MesCiclo,InicioCiclo,$S108+MOD(2-WEEKDAY($S108),7))+13),1,IF(N($W108)&gt;0,AVERAGEIFS($Z$5:$Z$1000,$U$5:$U$1000,ROW(),$V$5:$V$1000,"Sub"),$Z108)))</f>
        <v/>
      </c>
      <c r="AE108" s="62">
        <f>IF($V108="","",IF(AND(ISNUMBER($G108),$G108&lt;=IF($S108=MesCiclo,InicioCiclo,$S108+MOD(2-WEEKDAY($S108),7))+20),1,IF(N($W108)&gt;0,AVERAGEIFS($AA$5:$AA$1000,$U$5:$U$1000,ROW(),$V$5:$V$1000,"Sub"),$AA108)))</f>
        <v/>
      </c>
      <c r="AF108" s="62">
        <f>IF($V108="","",IF(AND(ISNUMBER($G108),$G108&lt;=IF($S108=MesCiclo,InicioCiclo,$S108+MOD(2-WEEKDAY($S108),7))+27),1,IF(N($W108)&gt;0,AVERAGEIFS($AB$5:$AB$1000,$U$5:$U$1000,ROW(),$V$5:$V$1000,"Sub"),$AB108)))</f>
        <v/>
      </c>
      <c r="AG108" s="62">
        <f>IF($V108&lt;&gt;"Macro","",IF(COUNTIFS($S$5:$S$1000,$S108,$V$5:$V$1000,"Macro",$H$5:$H$1000,"&gt;0")=0,1/COUNTIFS($S$5:$S$1000,$S108,$V$5:$V$1000,"Macro"),IF(AND(ISNUMBER($H108),N($H108)&gt;0),$H108,SUMIFS($H$5:$H$1000,$S$5:$S$1000,$S108,$V$5:$V$1000,"Macro")/COUNTIFS($S$5:$S$1000,$S108,$V$5:$V$1000,"Macro",$H$5:$H$1000,"&gt;0"))/(COUNTIFS($S$5:$S$1000,$S108,$V$5:$V$1000,"Macro")*SUMIFS($H$5:$H$1000,$S$5:$S$1000,$S108,$V$5:$V$1000,"Macro")/COUNTIFS($S$5:$S$1000,$S108,$V$5:$V$1000,"Macro",$H$5:$H$1000,"&gt;0"))))</f>
        <v/>
      </c>
      <c r="AH108" s="62" t="n"/>
      <c r="AI108" s="62" t="n"/>
      <c r="AJ108" s="62" t="n"/>
      <c r="AK108" s="62" t="n"/>
      <c r="AL108" s="62">
        <f>IF(LEFT($C108,11)="[Jefatura] ",IFERROR(MATCH("Riesgo Normativo|"&amp;MID($C108,12,500),rDname_ADM,0),0),"")</f>
        <v/>
      </c>
      <c r="AM108" s="62">
        <f>IF(N($AL108)&gt;0,INDEX(rIni_ADM,$AL108),IF(ISNUMBER($E108),$E108,""))</f>
        <v/>
      </c>
      <c r="AN108" s="62">
        <f>IF(N($AL108)&gt;0,INDEX(rLim_ADM,$AL108),IF(ISNUMBER($F108),$F108,""))</f>
        <v/>
      </c>
    </row>
    <row r="109">
      <c r="A109" s="56">
        <f>IF(NOT((COUNTA($B109:$D109)+COUNTA($G109:$L109)+COUNTA($Q109))&gt;0),"",IF($V109="Macro",COUNTIFS($V$5:$V109,"Macro",$S$5:$S109,$S109),IF(N($U109)=0,"?",COUNTIFS(INDEX($V$5:$V$1000,1):INDEX($V$5:$V$1000,$U109-4),"Macro",INDEX($S$5:$S$1000,1):INDEX($S$5:$S$1000,$U109-4),INDEX($S$5:$S$1000,$U109-4))&amp;"."&amp;COUNTIFS($U$5:$U109,$U109,$V$5:$V109,"Sub"))))</f>
        <v/>
      </c>
      <c r="B109" s="57" t="n"/>
      <c r="C109" s="58" t="n"/>
      <c r="D109" s="58" t="n"/>
      <c r="E109" s="59">
        <f>IF(N($AL109)&gt;0,INDEX(rIni_ADM,$AL109),"")</f>
        <v/>
      </c>
      <c r="F109" s="59">
        <f>IF(N($AL109)&gt;0,INDEX(rLim_ADM,$AL109),"")</f>
        <v/>
      </c>
      <c r="G109" s="59" t="n"/>
      <c r="H109" s="60" t="n"/>
      <c r="I109" s="60" t="n"/>
      <c r="J109" s="60" t="n"/>
      <c r="K109" s="60" t="n"/>
      <c r="L109" s="60" t="n"/>
      <c r="M109" s="61">
        <f>IF(NOT((COUNTA($B109:$D109)+COUNTA($G109:$L109)+COUNTA($Q109))&gt;0),"",IF($V109="Sub",IFERROR($X109/INDEX($W$5:$W$1000,$U109-4),""),IF(ISNUMBER($G109),1,IF(N($W109)&gt;0,AVERAGEIFS($X$5:$X$1000,$U$5:$U$1000,ROW(),$V$5:$V$1000,"Sub"),$X109))))</f>
        <v/>
      </c>
      <c r="N109" s="56">
        <f>IF(OR($M109="",$V109="Sub"),"",IF($M109&gt;=1,"Completado",IF($M109&gt;0,"En curso","Pendiente")))</f>
        <v/>
      </c>
      <c r="O109" s="56">
        <f>IF(OR(NOT((COUNTA($B109:$D109)+COUNTA($G109:$L109)+COUNTA($Q109))&gt;0),$V109="Sub"),"",IF(ISNUMBER($G109),IF(AND(ISNUMBER($AN109),$G109&gt;$AN109),"Cumplida con "&amp;($G109-$AN109)&amp;IF($G109-$AN109=1," día"," días")&amp;" de retraso","Cumplida"),IF(N($M109)&gt;=1,"Cumplida",IF(NOT(ISNUMBER($AN109)),"Sin fecha límite",IF($AN109&lt;FechaRef,"Vencida hace "&amp;(FechaRef-$AN109)&amp;IF(FechaRef-$AN109=1," día"," días"),IF($AN109=FechaRef,"Vence hoy",IF($AN109-FechaRef&lt;=DiasAlerta,"Vence en "&amp;($AN109-FechaRef)&amp;IF($AN109-FechaRef=1," día"," días"),"En plazo")))))))</f>
        <v/>
      </c>
      <c r="P109" s="62" t="n"/>
      <c r="Q109" s="58" t="n"/>
      <c r="R109" s="63">
        <f>IF(NOT((COUNTA($B109:$D109)+COUNTA($G109:$L109)+COUNTA($Q109))&gt;0),"",IF((IF($C109="","Falta el nombre de la actividad"&amp;" · ","")&amp;IF(AND($V109="Sub",N($U109)=0),"Subactividad sin macroactividad arriba"&amp;" · ","")&amp;IF($AM109="","Sin fecha de inicio"&amp;" · ","")&amp;IF($AN109="","Sin fecha límite"&amp;" · ","")&amp;IF(AND(LEFT($C109,11)="[Jefatura] ",N($AL109)=0),"No se encuentra en la hoja de la jefatura (elíjala de nuevo en la lista)"&amp;" · ","")&amp;IF(OR(AND($E109&lt;&gt;"",NOT(ISNUMBER($E109))),AND($F109&lt;&gt;"",NOT(ISNUMBER($F109))),AND($G109&lt;&gt;"",NOT(ISNUMBER($G109)))),"Fecha no válida"&amp;" · ","")&amp;IF(AND(ISNUMBER($AM109),ISNUMBER($AN109),$AM109&gt;$AN109),"Inicio posterior a fecha límite"&amp;" · ","")&amp;IF(AND($V109="Macro",$H109&lt;&gt;"",OR(NOT(ISNUMBER($H109)),$H109&lt;0,$H109&gt;1)),"Peso fuera de rango"&amp;" · ","")&amp;IF(AND($V109="Sub",$H109&lt;&gt;""),"Las subactividades no llevan peso (valen igual dentro de su macroactividad)"&amp;" · ","")&amp;IF(AND(N($W109)&gt;0,COUNT($I109:$L109)&gt;0),"Con subactividades: deje vacías las semanas (se calculan solas)"&amp;" · ","")&amp;IF((COUNTIF($I109:$L109,"&gt;1")+COUNTIF($I109:$L109,"&lt;0")+COUNTA($I109:$L109)-COUNT($I109:$L109))&gt;0,"Avance fuera de rango 0-100%"&amp;" · ","")&amp;IF(OR(AND($J109&lt;&gt;"",$J109&lt;$I109),AND($K109&lt;&gt;"",$K109&lt;MAX($I109:$J109)),AND($L109&lt;&gt;"",$L109&lt;MAX($I109:$K109))),"Avance semanal decreciente"&amp;" · ","")&amp;IF(AND(ISNUMBER($AN109),$AN109&lt;FechaRef,IF($V109="Sub",N($X109),N($M109))&lt;1),"Vencida"&amp;" · ","")&amp;IF(AND(ObsObligatoria="Sí",ISNUMBER($AN109),$AN109&lt;FechaRef,IF($V109="Sub",N($X109),N($M109))&lt;1,$Q109=""),"Vencida sin observación"&amp;" · ",""))="","✔ OK","⚠ "&amp;LEFT(IF($C109="","Falta el nombre de la actividad"&amp;" · ","")&amp;IF(AND($V109="Sub",N($U109)=0),"Subactividad sin macroactividad arriba"&amp;" · ","")&amp;IF($AM109="","Sin fecha de inicio"&amp;" · ","")&amp;IF($AN109="","Sin fecha límite"&amp;" · ","")&amp;IF(AND(LEFT($C109,11)="[Jefatura] ",N($AL109)=0),"No se encuentra en la hoja de la jefatura (elíjala de nuevo en la lista)"&amp;" · ","")&amp;IF(OR(AND($E109&lt;&gt;"",NOT(ISNUMBER($E109))),AND($F109&lt;&gt;"",NOT(ISNUMBER($F109))),AND($G109&lt;&gt;"",NOT(ISNUMBER($G109)))),"Fecha no válida"&amp;" · ","")&amp;IF(AND(ISNUMBER($AM109),ISNUMBER($AN109),$AM109&gt;$AN109),"Inicio posterior a fecha límite"&amp;" · ","")&amp;IF(AND($V109="Macro",$H109&lt;&gt;"",OR(NOT(ISNUMBER($H109)),$H109&lt;0,$H109&gt;1)),"Peso fuera de rango"&amp;" · ","")&amp;IF(AND($V109="Sub",$H109&lt;&gt;""),"Las subactividades no llevan peso (valen igual dentro de su macroactividad)"&amp;" · ","")&amp;IF(AND(N($W109)&gt;0,COUNT($I109:$L109)&gt;0),"Con subactividades: deje vacías las semanas (se calculan solas)"&amp;" · ","")&amp;IF((COUNTIF($I109:$L109,"&gt;1")+COUNTIF($I109:$L109,"&lt;0")+COUNTA($I109:$L109)-COUNT($I109:$L109))&gt;0,"Avance fuera de rango 0-100%"&amp;" · ","")&amp;IF(OR(AND($J109&lt;&gt;"",$J109&lt;$I109),AND($K109&lt;&gt;"",$K109&lt;MAX($I109:$J109)),AND($L109&lt;&gt;"",$L109&lt;MAX($I109:$K109))),"Avance semanal decreciente"&amp;" · ","")&amp;IF(AND(ISNUMBER($AN109),$AN109&lt;FechaRef,IF($V109="Sub",N($X109),N($M109))&lt;1),"Vencida"&amp;" · ","")&amp;IF(AND(ObsObligatoria="Sí",ISNUMBER($AN109),$AN109&lt;FechaRef,IF($V109="Sub",N($X109),N($M109))&lt;1,$Q109=""),"Vencida sin observación"&amp;" · ",""),LEN(IF($C109="","Falta el nombre de la actividad"&amp;" · ","")&amp;IF(AND($V109="Sub",N($U109)=0),"Subactividad sin macroactividad arriba"&amp;" · ","")&amp;IF($AM109="","Sin fecha de inicio"&amp;" · ","")&amp;IF($AN109="","Sin fecha límite"&amp;" · ","")&amp;IF(AND(LEFT($C109,11)="[Jefatura] ",N($AL109)=0),"No se encuentra en la hoja de la jefatura (elíjala de nuevo en la lista)"&amp;" · ","")&amp;IF(OR(AND($E109&lt;&gt;"",NOT(ISNUMBER($E109))),AND($F109&lt;&gt;"",NOT(ISNUMBER($F109))),AND($G109&lt;&gt;"",NOT(ISNUMBER($G109)))),"Fecha no válida"&amp;" · ","")&amp;IF(AND(ISNUMBER($AM109),ISNUMBER($AN109),$AM109&gt;$AN109),"Inicio posterior a fecha límite"&amp;" · ","")&amp;IF(AND($V109="Macro",$H109&lt;&gt;"",OR(NOT(ISNUMBER($H109)),$H109&lt;0,$H109&gt;1)),"Peso fuera de rango"&amp;" · ","")&amp;IF(AND($V109="Sub",$H109&lt;&gt;""),"Las subactividades no llevan peso (valen igual dentro de su macroactividad)"&amp;" · ","")&amp;IF(AND(N($W109)&gt;0,COUNT($I109:$L109)&gt;0),"Con subactividades: deje vacías las semanas (se calculan solas)"&amp;" · ","")&amp;IF((COUNTIF($I109:$L109,"&gt;1")+COUNTIF($I109:$L109,"&lt;0")+COUNTA($I109:$L109)-COUNT($I109:$L109))&gt;0,"Avance fuera de rango 0-100%"&amp;" · ","")&amp;IF(OR(AND($J109&lt;&gt;"",$J109&lt;$I109),AND($K109&lt;&gt;"",$K109&lt;MAX($I109:$J109)),AND($L109&lt;&gt;"",$L109&lt;MAX($I109:$K109))),"Avance semanal decreciente"&amp;" · ","")&amp;IF(AND(ISNUMBER($AN109),$AN109&lt;FechaRef,IF($V109="Sub",N($X109),N($M109))&lt;1),"Vencida"&amp;" · ","")&amp;IF(AND(ObsObligatoria="Sí",ISNUMBER($AN109),$AN109&lt;FechaRef,IF($V109="Sub",N($X109),N($M109))&lt;1,$Q109=""),"Vencida sin observación"&amp;" · ",""))-3)))</f>
        <v/>
      </c>
      <c r="S109" s="64">
        <f>IF(NOT((COUNTA($B109:$D109)+COUNTA($G109:$L109)+COUNTA($Q109))&gt;0),"",IF(AND($V109="Sub",N($U109)&gt;0),IF(ISNUMBER(INDEX($AM$5:$AM$1000,$U109-4)),DATE(YEAR(INDEX($AM$5:$AM$1000,$U109-4)),MONTH(INDEX($AM$5:$AM$1000,$U109-4)),1),IF(ISNUMBER(INDEX($AN$5:$AN$1000,$U109-4)),DATE(YEAR(INDEX($AN$5:$AN$1000,$U109-4)),MONTH(INDEX($AN$5:$AN$1000,$U109-4)),1),MesCiclo)),IF(ISNUMBER($AM109),DATE(YEAR($AM109),MONTH($AM109),1),IF(ISNUMBER($AN109),DATE(YEAR($AN109),MONTH($AN109),1),MesCiclo))))</f>
        <v/>
      </c>
      <c r="T109" s="62">
        <f>IF(OR($S109="",$S109&lt;&gt;MesCiclo,$V109&lt;&gt;"Macro"),"",COUNTIFS($S$5:$S109,MesCiclo,$V$5:$V109,"Macro"))</f>
        <v/>
      </c>
      <c r="U109" s="62">
        <f>IF($V109="","",IF($V109="Macro",ROW(),IFERROR(LOOKUP(2,1/($V$5:$V109="Macro"),ROW($V$5:$V109)),0)))</f>
        <v/>
      </c>
      <c r="V109" s="62">
        <f>IF(NOT((COUNTA($B109:$D109)+COUNTA($G109:$L109)+COUNTA($Q109))&gt;0),"",IF($B109="Subactividad","Sub","Macro"))</f>
        <v/>
      </c>
      <c r="W109" s="62">
        <f>IF($V109="Macro",COUNTIFS($U$5:$U$1000,ROW(),$V$5:$V$1000,"Sub"),"")</f>
        <v/>
      </c>
      <c r="X109" s="62">
        <f>IF($V109="","",IF(ISNUMBER($G109),1,IFERROR(LOOKUP(2,1/($I109:$L109&lt;&gt;""),$I109:$L109),0)))</f>
        <v/>
      </c>
      <c r="Y109" s="62">
        <f>IF($V109="","",IF(AND(ISNUMBER($G109),$G109&lt;=IF($S109=MesCiclo,InicioCiclo,$S109+MOD(2-WEEKDAY($S109),7))+6),1,IF(ISNUMBER($I109),$I109,0)))</f>
        <v/>
      </c>
      <c r="Z109" s="62">
        <f>IF($V109="","",IF(AND(ISNUMBER($G109),$G109&lt;=IF($S109=MesCiclo,InicioCiclo,$S109+MOD(2-WEEKDAY($S109),7))+13),1,IF(ISNUMBER($J109),$J109,$Y109)))</f>
        <v/>
      </c>
      <c r="AA109" s="62">
        <f>IF($V109="","",IF(AND(ISNUMBER($G109),$G109&lt;=IF($S109=MesCiclo,InicioCiclo,$S109+MOD(2-WEEKDAY($S109),7))+20),1,IF(ISNUMBER($K109),$K109,$Z109)))</f>
        <v/>
      </c>
      <c r="AB109" s="62">
        <f>IF($V109="","",IF(AND(ISNUMBER($G109),$G109&lt;=IF($S109=MesCiclo,InicioCiclo,$S109+MOD(2-WEEKDAY($S109),7))+27),1,IF(ISNUMBER($L109),$L109,$AA109)))</f>
        <v/>
      </c>
      <c r="AC109" s="62">
        <f>IF($V109="","",IF(AND(ISNUMBER($G109),$G109&lt;=IF($S109=MesCiclo,InicioCiclo,$S109+MOD(2-WEEKDAY($S109),7))+6),1,IF(N($W109)&gt;0,AVERAGEIFS($Y$5:$Y$1000,$U$5:$U$1000,ROW(),$V$5:$V$1000,"Sub"),$Y109)))</f>
        <v/>
      </c>
      <c r="AD109" s="62">
        <f>IF($V109="","",IF(AND(ISNUMBER($G109),$G109&lt;=IF($S109=MesCiclo,InicioCiclo,$S109+MOD(2-WEEKDAY($S109),7))+13),1,IF(N($W109)&gt;0,AVERAGEIFS($Z$5:$Z$1000,$U$5:$U$1000,ROW(),$V$5:$V$1000,"Sub"),$Z109)))</f>
        <v/>
      </c>
      <c r="AE109" s="62">
        <f>IF($V109="","",IF(AND(ISNUMBER($G109),$G109&lt;=IF($S109=MesCiclo,InicioCiclo,$S109+MOD(2-WEEKDAY($S109),7))+20),1,IF(N($W109)&gt;0,AVERAGEIFS($AA$5:$AA$1000,$U$5:$U$1000,ROW(),$V$5:$V$1000,"Sub"),$AA109)))</f>
        <v/>
      </c>
      <c r="AF109" s="62">
        <f>IF($V109="","",IF(AND(ISNUMBER($G109),$G109&lt;=IF($S109=MesCiclo,InicioCiclo,$S109+MOD(2-WEEKDAY($S109),7))+27),1,IF(N($W109)&gt;0,AVERAGEIFS($AB$5:$AB$1000,$U$5:$U$1000,ROW(),$V$5:$V$1000,"Sub"),$AB109)))</f>
        <v/>
      </c>
      <c r="AG109" s="62">
        <f>IF($V109&lt;&gt;"Macro","",IF(COUNTIFS($S$5:$S$1000,$S109,$V$5:$V$1000,"Macro",$H$5:$H$1000,"&gt;0")=0,1/COUNTIFS($S$5:$S$1000,$S109,$V$5:$V$1000,"Macro"),IF(AND(ISNUMBER($H109),N($H109)&gt;0),$H109,SUMIFS($H$5:$H$1000,$S$5:$S$1000,$S109,$V$5:$V$1000,"Macro")/COUNTIFS($S$5:$S$1000,$S109,$V$5:$V$1000,"Macro",$H$5:$H$1000,"&gt;0"))/(COUNTIFS($S$5:$S$1000,$S109,$V$5:$V$1000,"Macro")*SUMIFS($H$5:$H$1000,$S$5:$S$1000,$S109,$V$5:$V$1000,"Macro")/COUNTIFS($S$5:$S$1000,$S109,$V$5:$V$1000,"Macro",$H$5:$H$1000,"&gt;0"))))</f>
        <v/>
      </c>
      <c r="AH109" s="62" t="n"/>
      <c r="AI109" s="62" t="n"/>
      <c r="AJ109" s="62" t="n"/>
      <c r="AK109" s="62" t="n"/>
      <c r="AL109" s="62">
        <f>IF(LEFT($C109,11)="[Jefatura] ",IFERROR(MATCH("Riesgo Normativo|"&amp;MID($C109,12,500),rDname_ADM,0),0),"")</f>
        <v/>
      </c>
      <c r="AM109" s="62">
        <f>IF(N($AL109)&gt;0,INDEX(rIni_ADM,$AL109),IF(ISNUMBER($E109),$E109,""))</f>
        <v/>
      </c>
      <c r="AN109" s="62">
        <f>IF(N($AL109)&gt;0,INDEX(rLim_ADM,$AL109),IF(ISNUMBER($F109),$F109,""))</f>
        <v/>
      </c>
    </row>
    <row r="110">
      <c r="A110" s="56">
        <f>IF(NOT((COUNTA($B110:$D110)+COUNTA($G110:$L110)+COUNTA($Q110))&gt;0),"",IF($V110="Macro",COUNTIFS($V$5:$V110,"Macro",$S$5:$S110,$S110),IF(N($U110)=0,"?",COUNTIFS(INDEX($V$5:$V$1000,1):INDEX($V$5:$V$1000,$U110-4),"Macro",INDEX($S$5:$S$1000,1):INDEX($S$5:$S$1000,$U110-4),INDEX($S$5:$S$1000,$U110-4))&amp;"."&amp;COUNTIFS($U$5:$U110,$U110,$V$5:$V110,"Sub"))))</f>
        <v/>
      </c>
      <c r="B110" s="57" t="n"/>
      <c r="C110" s="58" t="n"/>
      <c r="D110" s="58" t="n"/>
      <c r="E110" s="59">
        <f>IF(N($AL110)&gt;0,INDEX(rIni_ADM,$AL110),"")</f>
        <v/>
      </c>
      <c r="F110" s="59">
        <f>IF(N($AL110)&gt;0,INDEX(rLim_ADM,$AL110),"")</f>
        <v/>
      </c>
      <c r="G110" s="59" t="n"/>
      <c r="H110" s="60" t="n"/>
      <c r="I110" s="60" t="n"/>
      <c r="J110" s="60" t="n"/>
      <c r="K110" s="60" t="n"/>
      <c r="L110" s="60" t="n"/>
      <c r="M110" s="61">
        <f>IF(NOT((COUNTA($B110:$D110)+COUNTA($G110:$L110)+COUNTA($Q110))&gt;0),"",IF($V110="Sub",IFERROR($X110/INDEX($W$5:$W$1000,$U110-4),""),IF(ISNUMBER($G110),1,IF(N($W110)&gt;0,AVERAGEIFS($X$5:$X$1000,$U$5:$U$1000,ROW(),$V$5:$V$1000,"Sub"),$X110))))</f>
        <v/>
      </c>
      <c r="N110" s="56">
        <f>IF(OR($M110="",$V110="Sub"),"",IF($M110&gt;=1,"Completado",IF($M110&gt;0,"En curso","Pendiente")))</f>
        <v/>
      </c>
      <c r="O110" s="56">
        <f>IF(OR(NOT((COUNTA($B110:$D110)+COUNTA($G110:$L110)+COUNTA($Q110))&gt;0),$V110="Sub"),"",IF(ISNUMBER($G110),IF(AND(ISNUMBER($AN110),$G110&gt;$AN110),"Cumplida con "&amp;($G110-$AN110)&amp;IF($G110-$AN110=1," día"," días")&amp;" de retraso","Cumplida"),IF(N($M110)&gt;=1,"Cumplida",IF(NOT(ISNUMBER($AN110)),"Sin fecha límite",IF($AN110&lt;FechaRef,"Vencida hace "&amp;(FechaRef-$AN110)&amp;IF(FechaRef-$AN110=1," día"," días"),IF($AN110=FechaRef,"Vence hoy",IF($AN110-FechaRef&lt;=DiasAlerta,"Vence en "&amp;($AN110-FechaRef)&amp;IF($AN110-FechaRef=1," día"," días"),"En plazo")))))))</f>
        <v/>
      </c>
      <c r="P110" s="62" t="n"/>
      <c r="Q110" s="58" t="n"/>
      <c r="R110" s="63">
        <f>IF(NOT((COUNTA($B110:$D110)+COUNTA($G110:$L110)+COUNTA($Q110))&gt;0),"",IF((IF($C110="","Falta el nombre de la actividad"&amp;" · ","")&amp;IF(AND($V110="Sub",N($U110)=0),"Subactividad sin macroactividad arriba"&amp;" · ","")&amp;IF($AM110="","Sin fecha de inicio"&amp;" · ","")&amp;IF($AN110="","Sin fecha límite"&amp;" · ","")&amp;IF(AND(LEFT($C110,11)="[Jefatura] ",N($AL110)=0),"No se encuentra en la hoja de la jefatura (elíjala de nuevo en la lista)"&amp;" · ","")&amp;IF(OR(AND($E110&lt;&gt;"",NOT(ISNUMBER($E110))),AND($F110&lt;&gt;"",NOT(ISNUMBER($F110))),AND($G110&lt;&gt;"",NOT(ISNUMBER($G110)))),"Fecha no válida"&amp;" · ","")&amp;IF(AND(ISNUMBER($AM110),ISNUMBER($AN110),$AM110&gt;$AN110),"Inicio posterior a fecha límite"&amp;" · ","")&amp;IF(AND($V110="Macro",$H110&lt;&gt;"",OR(NOT(ISNUMBER($H110)),$H110&lt;0,$H110&gt;1)),"Peso fuera de rango"&amp;" · ","")&amp;IF(AND($V110="Sub",$H110&lt;&gt;""),"Las subactividades no llevan peso (valen igual dentro de su macroactividad)"&amp;" · ","")&amp;IF(AND(N($W110)&gt;0,COUNT($I110:$L110)&gt;0),"Con subactividades: deje vacías las semanas (se calculan solas)"&amp;" · ","")&amp;IF((COUNTIF($I110:$L110,"&gt;1")+COUNTIF($I110:$L110,"&lt;0")+COUNTA($I110:$L110)-COUNT($I110:$L110))&gt;0,"Avance fuera de rango 0-100%"&amp;" · ","")&amp;IF(OR(AND($J110&lt;&gt;"",$J110&lt;$I110),AND($K110&lt;&gt;"",$K110&lt;MAX($I110:$J110)),AND($L110&lt;&gt;"",$L110&lt;MAX($I110:$K110))),"Avance semanal decreciente"&amp;" · ","")&amp;IF(AND(ISNUMBER($AN110),$AN110&lt;FechaRef,IF($V110="Sub",N($X110),N($M110))&lt;1),"Vencida"&amp;" · ","")&amp;IF(AND(ObsObligatoria="Sí",ISNUMBER($AN110),$AN110&lt;FechaRef,IF($V110="Sub",N($X110),N($M110))&lt;1,$Q110=""),"Vencida sin observación"&amp;" · ",""))="","✔ OK","⚠ "&amp;LEFT(IF($C110="","Falta el nombre de la actividad"&amp;" · ","")&amp;IF(AND($V110="Sub",N($U110)=0),"Subactividad sin macroactividad arriba"&amp;" · ","")&amp;IF($AM110="","Sin fecha de inicio"&amp;" · ","")&amp;IF($AN110="","Sin fecha límite"&amp;" · ","")&amp;IF(AND(LEFT($C110,11)="[Jefatura] ",N($AL110)=0),"No se encuentra en la hoja de la jefatura (elíjala de nuevo en la lista)"&amp;" · ","")&amp;IF(OR(AND($E110&lt;&gt;"",NOT(ISNUMBER($E110))),AND($F110&lt;&gt;"",NOT(ISNUMBER($F110))),AND($G110&lt;&gt;"",NOT(ISNUMBER($G110)))),"Fecha no válida"&amp;" · ","")&amp;IF(AND(ISNUMBER($AM110),ISNUMBER($AN110),$AM110&gt;$AN110),"Inicio posterior a fecha límite"&amp;" · ","")&amp;IF(AND($V110="Macro",$H110&lt;&gt;"",OR(NOT(ISNUMBER($H110)),$H110&lt;0,$H110&gt;1)),"Peso fuera de rango"&amp;" · ","")&amp;IF(AND($V110="Sub",$H110&lt;&gt;""),"Las subactividades no llevan peso (valen igual dentro de su macroactividad)"&amp;" · ","")&amp;IF(AND(N($W110)&gt;0,COUNT($I110:$L110)&gt;0),"Con subactividades: deje vacías las semanas (se calculan solas)"&amp;" · ","")&amp;IF((COUNTIF($I110:$L110,"&gt;1")+COUNTIF($I110:$L110,"&lt;0")+COUNTA($I110:$L110)-COUNT($I110:$L110))&gt;0,"Avance fuera de rango 0-100%"&amp;" · ","")&amp;IF(OR(AND($J110&lt;&gt;"",$J110&lt;$I110),AND($K110&lt;&gt;"",$K110&lt;MAX($I110:$J110)),AND($L110&lt;&gt;"",$L110&lt;MAX($I110:$K110))),"Avance semanal decreciente"&amp;" · ","")&amp;IF(AND(ISNUMBER($AN110),$AN110&lt;FechaRef,IF($V110="Sub",N($X110),N($M110))&lt;1),"Vencida"&amp;" · ","")&amp;IF(AND(ObsObligatoria="Sí",ISNUMBER($AN110),$AN110&lt;FechaRef,IF($V110="Sub",N($X110),N($M110))&lt;1,$Q110=""),"Vencida sin observación"&amp;" · ",""),LEN(IF($C110="","Falta el nombre de la actividad"&amp;" · ","")&amp;IF(AND($V110="Sub",N($U110)=0),"Subactividad sin macroactividad arriba"&amp;" · ","")&amp;IF($AM110="","Sin fecha de inicio"&amp;" · ","")&amp;IF($AN110="","Sin fecha límite"&amp;" · ","")&amp;IF(AND(LEFT($C110,11)="[Jefatura] ",N($AL110)=0),"No se encuentra en la hoja de la jefatura (elíjala de nuevo en la lista)"&amp;" · ","")&amp;IF(OR(AND($E110&lt;&gt;"",NOT(ISNUMBER($E110))),AND($F110&lt;&gt;"",NOT(ISNUMBER($F110))),AND($G110&lt;&gt;"",NOT(ISNUMBER($G110)))),"Fecha no válida"&amp;" · ","")&amp;IF(AND(ISNUMBER($AM110),ISNUMBER($AN110),$AM110&gt;$AN110),"Inicio posterior a fecha límite"&amp;" · ","")&amp;IF(AND($V110="Macro",$H110&lt;&gt;"",OR(NOT(ISNUMBER($H110)),$H110&lt;0,$H110&gt;1)),"Peso fuera de rango"&amp;" · ","")&amp;IF(AND($V110="Sub",$H110&lt;&gt;""),"Las subactividades no llevan peso (valen igual dentro de su macroactividad)"&amp;" · ","")&amp;IF(AND(N($W110)&gt;0,COUNT($I110:$L110)&gt;0),"Con subactividades: deje vacías las semanas (se calculan solas)"&amp;" · ","")&amp;IF((COUNTIF($I110:$L110,"&gt;1")+COUNTIF($I110:$L110,"&lt;0")+COUNTA($I110:$L110)-COUNT($I110:$L110))&gt;0,"Avance fuera de rango 0-100%"&amp;" · ","")&amp;IF(OR(AND($J110&lt;&gt;"",$J110&lt;$I110),AND($K110&lt;&gt;"",$K110&lt;MAX($I110:$J110)),AND($L110&lt;&gt;"",$L110&lt;MAX($I110:$K110))),"Avance semanal decreciente"&amp;" · ","")&amp;IF(AND(ISNUMBER($AN110),$AN110&lt;FechaRef,IF($V110="Sub",N($X110),N($M110))&lt;1),"Vencida"&amp;" · ","")&amp;IF(AND(ObsObligatoria="Sí",ISNUMBER($AN110),$AN110&lt;FechaRef,IF($V110="Sub",N($X110),N($M110))&lt;1,$Q110=""),"Vencida sin observación"&amp;" · ",""))-3)))</f>
        <v/>
      </c>
      <c r="S110" s="64">
        <f>IF(NOT((COUNTA($B110:$D110)+COUNTA($G110:$L110)+COUNTA($Q110))&gt;0),"",IF(AND($V110="Sub",N($U110)&gt;0),IF(ISNUMBER(INDEX($AM$5:$AM$1000,$U110-4)),DATE(YEAR(INDEX($AM$5:$AM$1000,$U110-4)),MONTH(INDEX($AM$5:$AM$1000,$U110-4)),1),IF(ISNUMBER(INDEX($AN$5:$AN$1000,$U110-4)),DATE(YEAR(INDEX($AN$5:$AN$1000,$U110-4)),MONTH(INDEX($AN$5:$AN$1000,$U110-4)),1),MesCiclo)),IF(ISNUMBER($AM110),DATE(YEAR($AM110),MONTH($AM110),1),IF(ISNUMBER($AN110),DATE(YEAR($AN110),MONTH($AN110),1),MesCiclo))))</f>
        <v/>
      </c>
      <c r="T110" s="62">
        <f>IF(OR($S110="",$S110&lt;&gt;MesCiclo,$V110&lt;&gt;"Macro"),"",COUNTIFS($S$5:$S110,MesCiclo,$V$5:$V110,"Macro"))</f>
        <v/>
      </c>
      <c r="U110" s="62">
        <f>IF($V110="","",IF($V110="Macro",ROW(),IFERROR(LOOKUP(2,1/($V$5:$V110="Macro"),ROW($V$5:$V110)),0)))</f>
        <v/>
      </c>
      <c r="V110" s="62">
        <f>IF(NOT((COUNTA($B110:$D110)+COUNTA($G110:$L110)+COUNTA($Q110))&gt;0),"",IF($B110="Subactividad","Sub","Macro"))</f>
        <v/>
      </c>
      <c r="W110" s="62">
        <f>IF($V110="Macro",COUNTIFS($U$5:$U$1000,ROW(),$V$5:$V$1000,"Sub"),"")</f>
        <v/>
      </c>
      <c r="X110" s="62">
        <f>IF($V110="","",IF(ISNUMBER($G110),1,IFERROR(LOOKUP(2,1/($I110:$L110&lt;&gt;""),$I110:$L110),0)))</f>
        <v/>
      </c>
      <c r="Y110" s="62">
        <f>IF($V110="","",IF(AND(ISNUMBER($G110),$G110&lt;=IF($S110=MesCiclo,InicioCiclo,$S110+MOD(2-WEEKDAY($S110),7))+6),1,IF(ISNUMBER($I110),$I110,0)))</f>
        <v/>
      </c>
      <c r="Z110" s="62">
        <f>IF($V110="","",IF(AND(ISNUMBER($G110),$G110&lt;=IF($S110=MesCiclo,InicioCiclo,$S110+MOD(2-WEEKDAY($S110),7))+13),1,IF(ISNUMBER($J110),$J110,$Y110)))</f>
        <v/>
      </c>
      <c r="AA110" s="62">
        <f>IF($V110="","",IF(AND(ISNUMBER($G110),$G110&lt;=IF($S110=MesCiclo,InicioCiclo,$S110+MOD(2-WEEKDAY($S110),7))+20),1,IF(ISNUMBER($K110),$K110,$Z110)))</f>
        <v/>
      </c>
      <c r="AB110" s="62">
        <f>IF($V110="","",IF(AND(ISNUMBER($G110),$G110&lt;=IF($S110=MesCiclo,InicioCiclo,$S110+MOD(2-WEEKDAY($S110),7))+27),1,IF(ISNUMBER($L110),$L110,$AA110)))</f>
        <v/>
      </c>
      <c r="AC110" s="62">
        <f>IF($V110="","",IF(AND(ISNUMBER($G110),$G110&lt;=IF($S110=MesCiclo,InicioCiclo,$S110+MOD(2-WEEKDAY($S110),7))+6),1,IF(N($W110)&gt;0,AVERAGEIFS($Y$5:$Y$1000,$U$5:$U$1000,ROW(),$V$5:$V$1000,"Sub"),$Y110)))</f>
        <v/>
      </c>
      <c r="AD110" s="62">
        <f>IF($V110="","",IF(AND(ISNUMBER($G110),$G110&lt;=IF($S110=MesCiclo,InicioCiclo,$S110+MOD(2-WEEKDAY($S110),7))+13),1,IF(N($W110)&gt;0,AVERAGEIFS($Z$5:$Z$1000,$U$5:$U$1000,ROW(),$V$5:$V$1000,"Sub"),$Z110)))</f>
        <v/>
      </c>
      <c r="AE110" s="62">
        <f>IF($V110="","",IF(AND(ISNUMBER($G110),$G110&lt;=IF($S110=MesCiclo,InicioCiclo,$S110+MOD(2-WEEKDAY($S110),7))+20),1,IF(N($W110)&gt;0,AVERAGEIFS($AA$5:$AA$1000,$U$5:$U$1000,ROW(),$V$5:$V$1000,"Sub"),$AA110)))</f>
        <v/>
      </c>
      <c r="AF110" s="62">
        <f>IF($V110="","",IF(AND(ISNUMBER($G110),$G110&lt;=IF($S110=MesCiclo,InicioCiclo,$S110+MOD(2-WEEKDAY($S110),7))+27),1,IF(N($W110)&gt;0,AVERAGEIFS($AB$5:$AB$1000,$U$5:$U$1000,ROW(),$V$5:$V$1000,"Sub"),$AB110)))</f>
        <v/>
      </c>
      <c r="AG110" s="62">
        <f>IF($V110&lt;&gt;"Macro","",IF(COUNTIFS($S$5:$S$1000,$S110,$V$5:$V$1000,"Macro",$H$5:$H$1000,"&gt;0")=0,1/COUNTIFS($S$5:$S$1000,$S110,$V$5:$V$1000,"Macro"),IF(AND(ISNUMBER($H110),N($H110)&gt;0),$H110,SUMIFS($H$5:$H$1000,$S$5:$S$1000,$S110,$V$5:$V$1000,"Macro")/COUNTIFS($S$5:$S$1000,$S110,$V$5:$V$1000,"Macro",$H$5:$H$1000,"&gt;0"))/(COUNTIFS($S$5:$S$1000,$S110,$V$5:$V$1000,"Macro")*SUMIFS($H$5:$H$1000,$S$5:$S$1000,$S110,$V$5:$V$1000,"Macro")/COUNTIFS($S$5:$S$1000,$S110,$V$5:$V$1000,"Macro",$H$5:$H$1000,"&gt;0"))))</f>
        <v/>
      </c>
      <c r="AH110" s="62" t="n"/>
      <c r="AI110" s="62" t="n"/>
      <c r="AJ110" s="62" t="n"/>
      <c r="AK110" s="62" t="n"/>
      <c r="AL110" s="62">
        <f>IF(LEFT($C110,11)="[Jefatura] ",IFERROR(MATCH("Riesgo Normativo|"&amp;MID($C110,12,500),rDname_ADM,0),0),"")</f>
        <v/>
      </c>
      <c r="AM110" s="62">
        <f>IF(N($AL110)&gt;0,INDEX(rIni_ADM,$AL110),IF(ISNUMBER($E110),$E110,""))</f>
        <v/>
      </c>
      <c r="AN110" s="62">
        <f>IF(N($AL110)&gt;0,INDEX(rLim_ADM,$AL110),IF(ISNUMBER($F110),$F110,""))</f>
        <v/>
      </c>
    </row>
    <row r="111">
      <c r="A111" s="56">
        <f>IF(NOT((COUNTA($B111:$D111)+COUNTA($G111:$L111)+COUNTA($Q111))&gt;0),"",IF($V111="Macro",COUNTIFS($V$5:$V111,"Macro",$S$5:$S111,$S111),IF(N($U111)=0,"?",COUNTIFS(INDEX($V$5:$V$1000,1):INDEX($V$5:$V$1000,$U111-4),"Macro",INDEX($S$5:$S$1000,1):INDEX($S$5:$S$1000,$U111-4),INDEX($S$5:$S$1000,$U111-4))&amp;"."&amp;COUNTIFS($U$5:$U111,$U111,$V$5:$V111,"Sub"))))</f>
        <v/>
      </c>
      <c r="B111" s="57" t="n"/>
      <c r="C111" s="58" t="n"/>
      <c r="D111" s="58" t="n"/>
      <c r="E111" s="59">
        <f>IF(N($AL111)&gt;0,INDEX(rIni_ADM,$AL111),"")</f>
        <v/>
      </c>
      <c r="F111" s="59">
        <f>IF(N($AL111)&gt;0,INDEX(rLim_ADM,$AL111),"")</f>
        <v/>
      </c>
      <c r="G111" s="59" t="n"/>
      <c r="H111" s="60" t="n"/>
      <c r="I111" s="60" t="n"/>
      <c r="J111" s="60" t="n"/>
      <c r="K111" s="60" t="n"/>
      <c r="L111" s="60" t="n"/>
      <c r="M111" s="61">
        <f>IF(NOT((COUNTA($B111:$D111)+COUNTA($G111:$L111)+COUNTA($Q111))&gt;0),"",IF($V111="Sub",IFERROR($X111/INDEX($W$5:$W$1000,$U111-4),""),IF(ISNUMBER($G111),1,IF(N($W111)&gt;0,AVERAGEIFS($X$5:$X$1000,$U$5:$U$1000,ROW(),$V$5:$V$1000,"Sub"),$X111))))</f>
        <v/>
      </c>
      <c r="N111" s="56">
        <f>IF(OR($M111="",$V111="Sub"),"",IF($M111&gt;=1,"Completado",IF($M111&gt;0,"En curso","Pendiente")))</f>
        <v/>
      </c>
      <c r="O111" s="56">
        <f>IF(OR(NOT((COUNTA($B111:$D111)+COUNTA($G111:$L111)+COUNTA($Q111))&gt;0),$V111="Sub"),"",IF(ISNUMBER($G111),IF(AND(ISNUMBER($AN111),$G111&gt;$AN111),"Cumplida con "&amp;($G111-$AN111)&amp;IF($G111-$AN111=1," día"," días")&amp;" de retraso","Cumplida"),IF(N($M111)&gt;=1,"Cumplida",IF(NOT(ISNUMBER($AN111)),"Sin fecha límite",IF($AN111&lt;FechaRef,"Vencida hace "&amp;(FechaRef-$AN111)&amp;IF(FechaRef-$AN111=1," día"," días"),IF($AN111=FechaRef,"Vence hoy",IF($AN111-FechaRef&lt;=DiasAlerta,"Vence en "&amp;($AN111-FechaRef)&amp;IF($AN111-FechaRef=1," día"," días"),"En plazo")))))))</f>
        <v/>
      </c>
      <c r="P111" s="62" t="n"/>
      <c r="Q111" s="58" t="n"/>
      <c r="R111" s="63">
        <f>IF(NOT((COUNTA($B111:$D111)+COUNTA($G111:$L111)+COUNTA($Q111))&gt;0),"",IF((IF($C111="","Falta el nombre de la actividad"&amp;" · ","")&amp;IF(AND($V111="Sub",N($U111)=0),"Subactividad sin macroactividad arriba"&amp;" · ","")&amp;IF($AM111="","Sin fecha de inicio"&amp;" · ","")&amp;IF($AN111="","Sin fecha límite"&amp;" · ","")&amp;IF(AND(LEFT($C111,11)="[Jefatura] ",N($AL111)=0),"No se encuentra en la hoja de la jefatura (elíjala de nuevo en la lista)"&amp;" · ","")&amp;IF(OR(AND($E111&lt;&gt;"",NOT(ISNUMBER($E111))),AND($F111&lt;&gt;"",NOT(ISNUMBER($F111))),AND($G111&lt;&gt;"",NOT(ISNUMBER($G111)))),"Fecha no válida"&amp;" · ","")&amp;IF(AND(ISNUMBER($AM111),ISNUMBER($AN111),$AM111&gt;$AN111),"Inicio posterior a fecha límite"&amp;" · ","")&amp;IF(AND($V111="Macro",$H111&lt;&gt;"",OR(NOT(ISNUMBER($H111)),$H111&lt;0,$H111&gt;1)),"Peso fuera de rango"&amp;" · ","")&amp;IF(AND($V111="Sub",$H111&lt;&gt;""),"Las subactividades no llevan peso (valen igual dentro de su macroactividad)"&amp;" · ","")&amp;IF(AND(N($W111)&gt;0,COUNT($I111:$L111)&gt;0),"Con subactividades: deje vacías las semanas (se calculan solas)"&amp;" · ","")&amp;IF((COUNTIF($I111:$L111,"&gt;1")+COUNTIF($I111:$L111,"&lt;0")+COUNTA($I111:$L111)-COUNT($I111:$L111))&gt;0,"Avance fuera de rango 0-100%"&amp;" · ","")&amp;IF(OR(AND($J111&lt;&gt;"",$J111&lt;$I111),AND($K111&lt;&gt;"",$K111&lt;MAX($I111:$J111)),AND($L111&lt;&gt;"",$L111&lt;MAX($I111:$K111))),"Avance semanal decreciente"&amp;" · ","")&amp;IF(AND(ISNUMBER($AN111),$AN111&lt;FechaRef,IF($V111="Sub",N($X111),N($M111))&lt;1),"Vencida"&amp;" · ","")&amp;IF(AND(ObsObligatoria="Sí",ISNUMBER($AN111),$AN111&lt;FechaRef,IF($V111="Sub",N($X111),N($M111))&lt;1,$Q111=""),"Vencida sin observación"&amp;" · ",""))="","✔ OK","⚠ "&amp;LEFT(IF($C111="","Falta el nombre de la actividad"&amp;" · ","")&amp;IF(AND($V111="Sub",N($U111)=0),"Subactividad sin macroactividad arriba"&amp;" · ","")&amp;IF($AM111="","Sin fecha de inicio"&amp;" · ","")&amp;IF($AN111="","Sin fecha límite"&amp;" · ","")&amp;IF(AND(LEFT($C111,11)="[Jefatura] ",N($AL111)=0),"No se encuentra en la hoja de la jefatura (elíjala de nuevo en la lista)"&amp;" · ","")&amp;IF(OR(AND($E111&lt;&gt;"",NOT(ISNUMBER($E111))),AND($F111&lt;&gt;"",NOT(ISNUMBER($F111))),AND($G111&lt;&gt;"",NOT(ISNUMBER($G111)))),"Fecha no válida"&amp;" · ","")&amp;IF(AND(ISNUMBER($AM111),ISNUMBER($AN111),$AM111&gt;$AN111),"Inicio posterior a fecha límite"&amp;" · ","")&amp;IF(AND($V111="Macro",$H111&lt;&gt;"",OR(NOT(ISNUMBER($H111)),$H111&lt;0,$H111&gt;1)),"Peso fuera de rango"&amp;" · ","")&amp;IF(AND($V111="Sub",$H111&lt;&gt;""),"Las subactividades no llevan peso (valen igual dentro de su macroactividad)"&amp;" · ","")&amp;IF(AND(N($W111)&gt;0,COUNT($I111:$L111)&gt;0),"Con subactividades: deje vacías las semanas (se calculan solas)"&amp;" · ","")&amp;IF((COUNTIF($I111:$L111,"&gt;1")+COUNTIF($I111:$L111,"&lt;0")+COUNTA($I111:$L111)-COUNT($I111:$L111))&gt;0,"Avance fuera de rango 0-100%"&amp;" · ","")&amp;IF(OR(AND($J111&lt;&gt;"",$J111&lt;$I111),AND($K111&lt;&gt;"",$K111&lt;MAX($I111:$J111)),AND($L111&lt;&gt;"",$L111&lt;MAX($I111:$K111))),"Avance semanal decreciente"&amp;" · ","")&amp;IF(AND(ISNUMBER($AN111),$AN111&lt;FechaRef,IF($V111="Sub",N($X111),N($M111))&lt;1),"Vencida"&amp;" · ","")&amp;IF(AND(ObsObligatoria="Sí",ISNUMBER($AN111),$AN111&lt;FechaRef,IF($V111="Sub",N($X111),N($M111))&lt;1,$Q111=""),"Vencida sin observación"&amp;" · ",""),LEN(IF($C111="","Falta el nombre de la actividad"&amp;" · ","")&amp;IF(AND($V111="Sub",N($U111)=0),"Subactividad sin macroactividad arriba"&amp;" · ","")&amp;IF($AM111="","Sin fecha de inicio"&amp;" · ","")&amp;IF($AN111="","Sin fecha límite"&amp;" · ","")&amp;IF(AND(LEFT($C111,11)="[Jefatura] ",N($AL111)=0),"No se encuentra en la hoja de la jefatura (elíjala de nuevo en la lista)"&amp;" · ","")&amp;IF(OR(AND($E111&lt;&gt;"",NOT(ISNUMBER($E111))),AND($F111&lt;&gt;"",NOT(ISNUMBER($F111))),AND($G111&lt;&gt;"",NOT(ISNUMBER($G111)))),"Fecha no válida"&amp;" · ","")&amp;IF(AND(ISNUMBER($AM111),ISNUMBER($AN111),$AM111&gt;$AN111),"Inicio posterior a fecha límite"&amp;" · ","")&amp;IF(AND($V111="Macro",$H111&lt;&gt;"",OR(NOT(ISNUMBER($H111)),$H111&lt;0,$H111&gt;1)),"Peso fuera de rango"&amp;" · ","")&amp;IF(AND($V111="Sub",$H111&lt;&gt;""),"Las subactividades no llevan peso (valen igual dentro de su macroactividad)"&amp;" · ","")&amp;IF(AND(N($W111)&gt;0,COUNT($I111:$L111)&gt;0),"Con subactividades: deje vacías las semanas (se calculan solas)"&amp;" · ","")&amp;IF((COUNTIF($I111:$L111,"&gt;1")+COUNTIF($I111:$L111,"&lt;0")+COUNTA($I111:$L111)-COUNT($I111:$L111))&gt;0,"Avance fuera de rango 0-100%"&amp;" · ","")&amp;IF(OR(AND($J111&lt;&gt;"",$J111&lt;$I111),AND($K111&lt;&gt;"",$K111&lt;MAX($I111:$J111)),AND($L111&lt;&gt;"",$L111&lt;MAX($I111:$K111))),"Avance semanal decreciente"&amp;" · ","")&amp;IF(AND(ISNUMBER($AN111),$AN111&lt;FechaRef,IF($V111="Sub",N($X111),N($M111))&lt;1),"Vencida"&amp;" · ","")&amp;IF(AND(ObsObligatoria="Sí",ISNUMBER($AN111),$AN111&lt;FechaRef,IF($V111="Sub",N($X111),N($M111))&lt;1,$Q111=""),"Vencida sin observación"&amp;" · ",""))-3)))</f>
        <v/>
      </c>
      <c r="S111" s="64">
        <f>IF(NOT((COUNTA($B111:$D111)+COUNTA($G111:$L111)+COUNTA($Q111))&gt;0),"",IF(AND($V111="Sub",N($U111)&gt;0),IF(ISNUMBER(INDEX($AM$5:$AM$1000,$U111-4)),DATE(YEAR(INDEX($AM$5:$AM$1000,$U111-4)),MONTH(INDEX($AM$5:$AM$1000,$U111-4)),1),IF(ISNUMBER(INDEX($AN$5:$AN$1000,$U111-4)),DATE(YEAR(INDEX($AN$5:$AN$1000,$U111-4)),MONTH(INDEX($AN$5:$AN$1000,$U111-4)),1),MesCiclo)),IF(ISNUMBER($AM111),DATE(YEAR($AM111),MONTH($AM111),1),IF(ISNUMBER($AN111),DATE(YEAR($AN111),MONTH($AN111),1),MesCiclo))))</f>
        <v/>
      </c>
      <c r="T111" s="62">
        <f>IF(OR($S111="",$S111&lt;&gt;MesCiclo,$V111&lt;&gt;"Macro"),"",COUNTIFS($S$5:$S111,MesCiclo,$V$5:$V111,"Macro"))</f>
        <v/>
      </c>
      <c r="U111" s="62">
        <f>IF($V111="","",IF($V111="Macro",ROW(),IFERROR(LOOKUP(2,1/($V$5:$V111="Macro"),ROW($V$5:$V111)),0)))</f>
        <v/>
      </c>
      <c r="V111" s="62">
        <f>IF(NOT((COUNTA($B111:$D111)+COUNTA($G111:$L111)+COUNTA($Q111))&gt;0),"",IF($B111="Subactividad","Sub","Macro"))</f>
        <v/>
      </c>
      <c r="W111" s="62">
        <f>IF($V111="Macro",COUNTIFS($U$5:$U$1000,ROW(),$V$5:$V$1000,"Sub"),"")</f>
        <v/>
      </c>
      <c r="X111" s="62">
        <f>IF($V111="","",IF(ISNUMBER($G111),1,IFERROR(LOOKUP(2,1/($I111:$L111&lt;&gt;""),$I111:$L111),0)))</f>
        <v/>
      </c>
      <c r="Y111" s="62">
        <f>IF($V111="","",IF(AND(ISNUMBER($G111),$G111&lt;=IF($S111=MesCiclo,InicioCiclo,$S111+MOD(2-WEEKDAY($S111),7))+6),1,IF(ISNUMBER($I111),$I111,0)))</f>
        <v/>
      </c>
      <c r="Z111" s="62">
        <f>IF($V111="","",IF(AND(ISNUMBER($G111),$G111&lt;=IF($S111=MesCiclo,InicioCiclo,$S111+MOD(2-WEEKDAY($S111),7))+13),1,IF(ISNUMBER($J111),$J111,$Y111)))</f>
        <v/>
      </c>
      <c r="AA111" s="62">
        <f>IF($V111="","",IF(AND(ISNUMBER($G111),$G111&lt;=IF($S111=MesCiclo,InicioCiclo,$S111+MOD(2-WEEKDAY($S111),7))+20),1,IF(ISNUMBER($K111),$K111,$Z111)))</f>
        <v/>
      </c>
      <c r="AB111" s="62">
        <f>IF($V111="","",IF(AND(ISNUMBER($G111),$G111&lt;=IF($S111=MesCiclo,InicioCiclo,$S111+MOD(2-WEEKDAY($S111),7))+27),1,IF(ISNUMBER($L111),$L111,$AA111)))</f>
        <v/>
      </c>
      <c r="AC111" s="62">
        <f>IF($V111="","",IF(AND(ISNUMBER($G111),$G111&lt;=IF($S111=MesCiclo,InicioCiclo,$S111+MOD(2-WEEKDAY($S111),7))+6),1,IF(N($W111)&gt;0,AVERAGEIFS($Y$5:$Y$1000,$U$5:$U$1000,ROW(),$V$5:$V$1000,"Sub"),$Y111)))</f>
        <v/>
      </c>
      <c r="AD111" s="62">
        <f>IF($V111="","",IF(AND(ISNUMBER($G111),$G111&lt;=IF($S111=MesCiclo,InicioCiclo,$S111+MOD(2-WEEKDAY($S111),7))+13),1,IF(N($W111)&gt;0,AVERAGEIFS($Z$5:$Z$1000,$U$5:$U$1000,ROW(),$V$5:$V$1000,"Sub"),$Z111)))</f>
        <v/>
      </c>
      <c r="AE111" s="62">
        <f>IF($V111="","",IF(AND(ISNUMBER($G111),$G111&lt;=IF($S111=MesCiclo,InicioCiclo,$S111+MOD(2-WEEKDAY($S111),7))+20),1,IF(N($W111)&gt;0,AVERAGEIFS($AA$5:$AA$1000,$U$5:$U$1000,ROW(),$V$5:$V$1000,"Sub"),$AA111)))</f>
        <v/>
      </c>
      <c r="AF111" s="62">
        <f>IF($V111="","",IF(AND(ISNUMBER($G111),$G111&lt;=IF($S111=MesCiclo,InicioCiclo,$S111+MOD(2-WEEKDAY($S111),7))+27),1,IF(N($W111)&gt;0,AVERAGEIFS($AB$5:$AB$1000,$U$5:$U$1000,ROW(),$V$5:$V$1000,"Sub"),$AB111)))</f>
        <v/>
      </c>
      <c r="AG111" s="62">
        <f>IF($V111&lt;&gt;"Macro","",IF(COUNTIFS($S$5:$S$1000,$S111,$V$5:$V$1000,"Macro",$H$5:$H$1000,"&gt;0")=0,1/COUNTIFS($S$5:$S$1000,$S111,$V$5:$V$1000,"Macro"),IF(AND(ISNUMBER($H111),N($H111)&gt;0),$H111,SUMIFS($H$5:$H$1000,$S$5:$S$1000,$S111,$V$5:$V$1000,"Macro")/COUNTIFS($S$5:$S$1000,$S111,$V$5:$V$1000,"Macro",$H$5:$H$1000,"&gt;0"))/(COUNTIFS($S$5:$S$1000,$S111,$V$5:$V$1000,"Macro")*SUMIFS($H$5:$H$1000,$S$5:$S$1000,$S111,$V$5:$V$1000,"Macro")/COUNTIFS($S$5:$S$1000,$S111,$V$5:$V$1000,"Macro",$H$5:$H$1000,"&gt;0"))))</f>
        <v/>
      </c>
      <c r="AH111" s="62" t="n"/>
      <c r="AI111" s="62" t="n"/>
      <c r="AJ111" s="62" t="n"/>
      <c r="AK111" s="62" t="n"/>
      <c r="AL111" s="62">
        <f>IF(LEFT($C111,11)="[Jefatura] ",IFERROR(MATCH("Riesgo Normativo|"&amp;MID($C111,12,500),rDname_ADM,0),0),"")</f>
        <v/>
      </c>
      <c r="AM111" s="62">
        <f>IF(N($AL111)&gt;0,INDEX(rIni_ADM,$AL111),IF(ISNUMBER($E111),$E111,""))</f>
        <v/>
      </c>
      <c r="AN111" s="62">
        <f>IF(N($AL111)&gt;0,INDEX(rLim_ADM,$AL111),IF(ISNUMBER($F111),$F111,""))</f>
        <v/>
      </c>
    </row>
    <row r="112">
      <c r="A112" s="56">
        <f>IF(NOT((COUNTA($B112:$D112)+COUNTA($G112:$L112)+COUNTA($Q112))&gt;0),"",IF($V112="Macro",COUNTIFS($V$5:$V112,"Macro",$S$5:$S112,$S112),IF(N($U112)=0,"?",COUNTIFS(INDEX($V$5:$V$1000,1):INDEX($V$5:$V$1000,$U112-4),"Macro",INDEX($S$5:$S$1000,1):INDEX($S$5:$S$1000,$U112-4),INDEX($S$5:$S$1000,$U112-4))&amp;"."&amp;COUNTIFS($U$5:$U112,$U112,$V$5:$V112,"Sub"))))</f>
        <v/>
      </c>
      <c r="B112" s="57" t="n"/>
      <c r="C112" s="58" t="n"/>
      <c r="D112" s="58" t="n"/>
      <c r="E112" s="59">
        <f>IF(N($AL112)&gt;0,INDEX(rIni_ADM,$AL112),"")</f>
        <v/>
      </c>
      <c r="F112" s="59">
        <f>IF(N($AL112)&gt;0,INDEX(rLim_ADM,$AL112),"")</f>
        <v/>
      </c>
      <c r="G112" s="59" t="n"/>
      <c r="H112" s="60" t="n"/>
      <c r="I112" s="60" t="n"/>
      <c r="J112" s="60" t="n"/>
      <c r="K112" s="60" t="n"/>
      <c r="L112" s="60" t="n"/>
      <c r="M112" s="61">
        <f>IF(NOT((COUNTA($B112:$D112)+COUNTA($G112:$L112)+COUNTA($Q112))&gt;0),"",IF($V112="Sub",IFERROR($X112/INDEX($W$5:$W$1000,$U112-4),""),IF(ISNUMBER($G112),1,IF(N($W112)&gt;0,AVERAGEIFS($X$5:$X$1000,$U$5:$U$1000,ROW(),$V$5:$V$1000,"Sub"),$X112))))</f>
        <v/>
      </c>
      <c r="N112" s="56">
        <f>IF(OR($M112="",$V112="Sub"),"",IF($M112&gt;=1,"Completado",IF($M112&gt;0,"En curso","Pendiente")))</f>
        <v/>
      </c>
      <c r="O112" s="56">
        <f>IF(OR(NOT((COUNTA($B112:$D112)+COUNTA($G112:$L112)+COUNTA($Q112))&gt;0),$V112="Sub"),"",IF(ISNUMBER($G112),IF(AND(ISNUMBER($AN112),$G112&gt;$AN112),"Cumplida con "&amp;($G112-$AN112)&amp;IF($G112-$AN112=1," día"," días")&amp;" de retraso","Cumplida"),IF(N($M112)&gt;=1,"Cumplida",IF(NOT(ISNUMBER($AN112)),"Sin fecha límite",IF($AN112&lt;FechaRef,"Vencida hace "&amp;(FechaRef-$AN112)&amp;IF(FechaRef-$AN112=1," día"," días"),IF($AN112=FechaRef,"Vence hoy",IF($AN112-FechaRef&lt;=DiasAlerta,"Vence en "&amp;($AN112-FechaRef)&amp;IF($AN112-FechaRef=1," día"," días"),"En plazo")))))))</f>
        <v/>
      </c>
      <c r="P112" s="62" t="n"/>
      <c r="Q112" s="58" t="n"/>
      <c r="R112" s="63">
        <f>IF(NOT((COUNTA($B112:$D112)+COUNTA($G112:$L112)+COUNTA($Q112))&gt;0),"",IF((IF($C112="","Falta el nombre de la actividad"&amp;" · ","")&amp;IF(AND($V112="Sub",N($U112)=0),"Subactividad sin macroactividad arriba"&amp;" · ","")&amp;IF($AM112="","Sin fecha de inicio"&amp;" · ","")&amp;IF($AN112="","Sin fecha límite"&amp;" · ","")&amp;IF(AND(LEFT($C112,11)="[Jefatura] ",N($AL112)=0),"No se encuentra en la hoja de la jefatura (elíjala de nuevo en la lista)"&amp;" · ","")&amp;IF(OR(AND($E112&lt;&gt;"",NOT(ISNUMBER($E112))),AND($F112&lt;&gt;"",NOT(ISNUMBER($F112))),AND($G112&lt;&gt;"",NOT(ISNUMBER($G112)))),"Fecha no válida"&amp;" · ","")&amp;IF(AND(ISNUMBER($AM112),ISNUMBER($AN112),$AM112&gt;$AN112),"Inicio posterior a fecha límite"&amp;" · ","")&amp;IF(AND($V112="Macro",$H112&lt;&gt;"",OR(NOT(ISNUMBER($H112)),$H112&lt;0,$H112&gt;1)),"Peso fuera de rango"&amp;" · ","")&amp;IF(AND($V112="Sub",$H112&lt;&gt;""),"Las subactividades no llevan peso (valen igual dentro de su macroactividad)"&amp;" · ","")&amp;IF(AND(N($W112)&gt;0,COUNT($I112:$L112)&gt;0),"Con subactividades: deje vacías las semanas (se calculan solas)"&amp;" · ","")&amp;IF((COUNTIF($I112:$L112,"&gt;1")+COUNTIF($I112:$L112,"&lt;0")+COUNTA($I112:$L112)-COUNT($I112:$L112))&gt;0,"Avance fuera de rango 0-100%"&amp;" · ","")&amp;IF(OR(AND($J112&lt;&gt;"",$J112&lt;$I112),AND($K112&lt;&gt;"",$K112&lt;MAX($I112:$J112)),AND($L112&lt;&gt;"",$L112&lt;MAX($I112:$K112))),"Avance semanal decreciente"&amp;" · ","")&amp;IF(AND(ISNUMBER($AN112),$AN112&lt;FechaRef,IF($V112="Sub",N($X112),N($M112))&lt;1),"Vencida"&amp;" · ","")&amp;IF(AND(ObsObligatoria="Sí",ISNUMBER($AN112),$AN112&lt;FechaRef,IF($V112="Sub",N($X112),N($M112))&lt;1,$Q112=""),"Vencida sin observación"&amp;" · ",""))="","✔ OK","⚠ "&amp;LEFT(IF($C112="","Falta el nombre de la actividad"&amp;" · ","")&amp;IF(AND($V112="Sub",N($U112)=0),"Subactividad sin macroactividad arriba"&amp;" · ","")&amp;IF($AM112="","Sin fecha de inicio"&amp;" · ","")&amp;IF($AN112="","Sin fecha límite"&amp;" · ","")&amp;IF(AND(LEFT($C112,11)="[Jefatura] ",N($AL112)=0),"No se encuentra en la hoja de la jefatura (elíjala de nuevo en la lista)"&amp;" · ","")&amp;IF(OR(AND($E112&lt;&gt;"",NOT(ISNUMBER($E112))),AND($F112&lt;&gt;"",NOT(ISNUMBER($F112))),AND($G112&lt;&gt;"",NOT(ISNUMBER($G112)))),"Fecha no válida"&amp;" · ","")&amp;IF(AND(ISNUMBER($AM112),ISNUMBER($AN112),$AM112&gt;$AN112),"Inicio posterior a fecha límite"&amp;" · ","")&amp;IF(AND($V112="Macro",$H112&lt;&gt;"",OR(NOT(ISNUMBER($H112)),$H112&lt;0,$H112&gt;1)),"Peso fuera de rango"&amp;" · ","")&amp;IF(AND($V112="Sub",$H112&lt;&gt;""),"Las subactividades no llevan peso (valen igual dentro de su macroactividad)"&amp;" · ","")&amp;IF(AND(N($W112)&gt;0,COUNT($I112:$L112)&gt;0),"Con subactividades: deje vacías las semanas (se calculan solas)"&amp;" · ","")&amp;IF((COUNTIF($I112:$L112,"&gt;1")+COUNTIF($I112:$L112,"&lt;0")+COUNTA($I112:$L112)-COUNT($I112:$L112))&gt;0,"Avance fuera de rango 0-100%"&amp;" · ","")&amp;IF(OR(AND($J112&lt;&gt;"",$J112&lt;$I112),AND($K112&lt;&gt;"",$K112&lt;MAX($I112:$J112)),AND($L112&lt;&gt;"",$L112&lt;MAX($I112:$K112))),"Avance semanal decreciente"&amp;" · ","")&amp;IF(AND(ISNUMBER($AN112),$AN112&lt;FechaRef,IF($V112="Sub",N($X112),N($M112))&lt;1),"Vencida"&amp;" · ","")&amp;IF(AND(ObsObligatoria="Sí",ISNUMBER($AN112),$AN112&lt;FechaRef,IF($V112="Sub",N($X112),N($M112))&lt;1,$Q112=""),"Vencida sin observación"&amp;" · ",""),LEN(IF($C112="","Falta el nombre de la actividad"&amp;" · ","")&amp;IF(AND($V112="Sub",N($U112)=0),"Subactividad sin macroactividad arriba"&amp;" · ","")&amp;IF($AM112="","Sin fecha de inicio"&amp;" · ","")&amp;IF($AN112="","Sin fecha límite"&amp;" · ","")&amp;IF(AND(LEFT($C112,11)="[Jefatura] ",N($AL112)=0),"No se encuentra en la hoja de la jefatura (elíjala de nuevo en la lista)"&amp;" · ","")&amp;IF(OR(AND($E112&lt;&gt;"",NOT(ISNUMBER($E112))),AND($F112&lt;&gt;"",NOT(ISNUMBER($F112))),AND($G112&lt;&gt;"",NOT(ISNUMBER($G112)))),"Fecha no válida"&amp;" · ","")&amp;IF(AND(ISNUMBER($AM112),ISNUMBER($AN112),$AM112&gt;$AN112),"Inicio posterior a fecha límite"&amp;" · ","")&amp;IF(AND($V112="Macro",$H112&lt;&gt;"",OR(NOT(ISNUMBER($H112)),$H112&lt;0,$H112&gt;1)),"Peso fuera de rango"&amp;" · ","")&amp;IF(AND($V112="Sub",$H112&lt;&gt;""),"Las subactividades no llevan peso (valen igual dentro de su macroactividad)"&amp;" · ","")&amp;IF(AND(N($W112)&gt;0,COUNT($I112:$L112)&gt;0),"Con subactividades: deje vacías las semanas (se calculan solas)"&amp;" · ","")&amp;IF((COUNTIF($I112:$L112,"&gt;1")+COUNTIF($I112:$L112,"&lt;0")+COUNTA($I112:$L112)-COUNT($I112:$L112))&gt;0,"Avance fuera de rango 0-100%"&amp;" · ","")&amp;IF(OR(AND($J112&lt;&gt;"",$J112&lt;$I112),AND($K112&lt;&gt;"",$K112&lt;MAX($I112:$J112)),AND($L112&lt;&gt;"",$L112&lt;MAX($I112:$K112))),"Avance semanal decreciente"&amp;" · ","")&amp;IF(AND(ISNUMBER($AN112),$AN112&lt;FechaRef,IF($V112="Sub",N($X112),N($M112))&lt;1),"Vencida"&amp;" · ","")&amp;IF(AND(ObsObligatoria="Sí",ISNUMBER($AN112),$AN112&lt;FechaRef,IF($V112="Sub",N($X112),N($M112))&lt;1,$Q112=""),"Vencida sin observación"&amp;" · ",""))-3)))</f>
        <v/>
      </c>
      <c r="S112" s="64">
        <f>IF(NOT((COUNTA($B112:$D112)+COUNTA($G112:$L112)+COUNTA($Q112))&gt;0),"",IF(AND($V112="Sub",N($U112)&gt;0),IF(ISNUMBER(INDEX($AM$5:$AM$1000,$U112-4)),DATE(YEAR(INDEX($AM$5:$AM$1000,$U112-4)),MONTH(INDEX($AM$5:$AM$1000,$U112-4)),1),IF(ISNUMBER(INDEX($AN$5:$AN$1000,$U112-4)),DATE(YEAR(INDEX($AN$5:$AN$1000,$U112-4)),MONTH(INDEX($AN$5:$AN$1000,$U112-4)),1),MesCiclo)),IF(ISNUMBER($AM112),DATE(YEAR($AM112),MONTH($AM112),1),IF(ISNUMBER($AN112),DATE(YEAR($AN112),MONTH($AN112),1),MesCiclo))))</f>
        <v/>
      </c>
      <c r="T112" s="62">
        <f>IF(OR($S112="",$S112&lt;&gt;MesCiclo,$V112&lt;&gt;"Macro"),"",COUNTIFS($S$5:$S112,MesCiclo,$V$5:$V112,"Macro"))</f>
        <v/>
      </c>
      <c r="U112" s="62">
        <f>IF($V112="","",IF($V112="Macro",ROW(),IFERROR(LOOKUP(2,1/($V$5:$V112="Macro"),ROW($V$5:$V112)),0)))</f>
        <v/>
      </c>
      <c r="V112" s="62">
        <f>IF(NOT((COUNTA($B112:$D112)+COUNTA($G112:$L112)+COUNTA($Q112))&gt;0),"",IF($B112="Subactividad","Sub","Macro"))</f>
        <v/>
      </c>
      <c r="W112" s="62">
        <f>IF($V112="Macro",COUNTIFS($U$5:$U$1000,ROW(),$V$5:$V$1000,"Sub"),"")</f>
        <v/>
      </c>
      <c r="X112" s="62">
        <f>IF($V112="","",IF(ISNUMBER($G112),1,IFERROR(LOOKUP(2,1/($I112:$L112&lt;&gt;""),$I112:$L112),0)))</f>
        <v/>
      </c>
      <c r="Y112" s="62">
        <f>IF($V112="","",IF(AND(ISNUMBER($G112),$G112&lt;=IF($S112=MesCiclo,InicioCiclo,$S112+MOD(2-WEEKDAY($S112),7))+6),1,IF(ISNUMBER($I112),$I112,0)))</f>
        <v/>
      </c>
      <c r="Z112" s="62">
        <f>IF($V112="","",IF(AND(ISNUMBER($G112),$G112&lt;=IF($S112=MesCiclo,InicioCiclo,$S112+MOD(2-WEEKDAY($S112),7))+13),1,IF(ISNUMBER($J112),$J112,$Y112)))</f>
        <v/>
      </c>
      <c r="AA112" s="62">
        <f>IF($V112="","",IF(AND(ISNUMBER($G112),$G112&lt;=IF($S112=MesCiclo,InicioCiclo,$S112+MOD(2-WEEKDAY($S112),7))+20),1,IF(ISNUMBER($K112),$K112,$Z112)))</f>
        <v/>
      </c>
      <c r="AB112" s="62">
        <f>IF($V112="","",IF(AND(ISNUMBER($G112),$G112&lt;=IF($S112=MesCiclo,InicioCiclo,$S112+MOD(2-WEEKDAY($S112),7))+27),1,IF(ISNUMBER($L112),$L112,$AA112)))</f>
        <v/>
      </c>
      <c r="AC112" s="62">
        <f>IF($V112="","",IF(AND(ISNUMBER($G112),$G112&lt;=IF($S112=MesCiclo,InicioCiclo,$S112+MOD(2-WEEKDAY($S112),7))+6),1,IF(N($W112)&gt;0,AVERAGEIFS($Y$5:$Y$1000,$U$5:$U$1000,ROW(),$V$5:$V$1000,"Sub"),$Y112)))</f>
        <v/>
      </c>
      <c r="AD112" s="62">
        <f>IF($V112="","",IF(AND(ISNUMBER($G112),$G112&lt;=IF($S112=MesCiclo,InicioCiclo,$S112+MOD(2-WEEKDAY($S112),7))+13),1,IF(N($W112)&gt;0,AVERAGEIFS($Z$5:$Z$1000,$U$5:$U$1000,ROW(),$V$5:$V$1000,"Sub"),$Z112)))</f>
        <v/>
      </c>
      <c r="AE112" s="62">
        <f>IF($V112="","",IF(AND(ISNUMBER($G112),$G112&lt;=IF($S112=MesCiclo,InicioCiclo,$S112+MOD(2-WEEKDAY($S112),7))+20),1,IF(N($W112)&gt;0,AVERAGEIFS($AA$5:$AA$1000,$U$5:$U$1000,ROW(),$V$5:$V$1000,"Sub"),$AA112)))</f>
        <v/>
      </c>
      <c r="AF112" s="62">
        <f>IF($V112="","",IF(AND(ISNUMBER($G112),$G112&lt;=IF($S112=MesCiclo,InicioCiclo,$S112+MOD(2-WEEKDAY($S112),7))+27),1,IF(N($W112)&gt;0,AVERAGEIFS($AB$5:$AB$1000,$U$5:$U$1000,ROW(),$V$5:$V$1000,"Sub"),$AB112)))</f>
        <v/>
      </c>
      <c r="AG112" s="62">
        <f>IF($V112&lt;&gt;"Macro","",IF(COUNTIFS($S$5:$S$1000,$S112,$V$5:$V$1000,"Macro",$H$5:$H$1000,"&gt;0")=0,1/COUNTIFS($S$5:$S$1000,$S112,$V$5:$V$1000,"Macro"),IF(AND(ISNUMBER($H112),N($H112)&gt;0),$H112,SUMIFS($H$5:$H$1000,$S$5:$S$1000,$S112,$V$5:$V$1000,"Macro")/COUNTIFS($S$5:$S$1000,$S112,$V$5:$V$1000,"Macro",$H$5:$H$1000,"&gt;0"))/(COUNTIFS($S$5:$S$1000,$S112,$V$5:$V$1000,"Macro")*SUMIFS($H$5:$H$1000,$S$5:$S$1000,$S112,$V$5:$V$1000,"Macro")/COUNTIFS($S$5:$S$1000,$S112,$V$5:$V$1000,"Macro",$H$5:$H$1000,"&gt;0"))))</f>
        <v/>
      </c>
      <c r="AH112" s="62" t="n"/>
      <c r="AI112" s="62" t="n"/>
      <c r="AJ112" s="62" t="n"/>
      <c r="AK112" s="62" t="n"/>
      <c r="AL112" s="62">
        <f>IF(LEFT($C112,11)="[Jefatura] ",IFERROR(MATCH("Riesgo Normativo|"&amp;MID($C112,12,500),rDname_ADM,0),0),"")</f>
        <v/>
      </c>
      <c r="AM112" s="62">
        <f>IF(N($AL112)&gt;0,INDEX(rIni_ADM,$AL112),IF(ISNUMBER($E112),$E112,""))</f>
        <v/>
      </c>
      <c r="AN112" s="62">
        <f>IF(N($AL112)&gt;0,INDEX(rLim_ADM,$AL112),IF(ISNUMBER($F112),$F112,""))</f>
        <v/>
      </c>
    </row>
    <row r="113">
      <c r="A113" s="56">
        <f>IF(NOT((COUNTA($B113:$D113)+COUNTA($G113:$L113)+COUNTA($Q113))&gt;0),"",IF($V113="Macro",COUNTIFS($V$5:$V113,"Macro",$S$5:$S113,$S113),IF(N($U113)=0,"?",COUNTIFS(INDEX($V$5:$V$1000,1):INDEX($V$5:$V$1000,$U113-4),"Macro",INDEX($S$5:$S$1000,1):INDEX($S$5:$S$1000,$U113-4),INDEX($S$5:$S$1000,$U113-4))&amp;"."&amp;COUNTIFS($U$5:$U113,$U113,$V$5:$V113,"Sub"))))</f>
        <v/>
      </c>
      <c r="B113" s="57" t="n"/>
      <c r="C113" s="58" t="n"/>
      <c r="D113" s="58" t="n"/>
      <c r="E113" s="59">
        <f>IF(N($AL113)&gt;0,INDEX(rIni_ADM,$AL113),"")</f>
        <v/>
      </c>
      <c r="F113" s="59">
        <f>IF(N($AL113)&gt;0,INDEX(rLim_ADM,$AL113),"")</f>
        <v/>
      </c>
      <c r="G113" s="59" t="n"/>
      <c r="H113" s="60" t="n"/>
      <c r="I113" s="60" t="n"/>
      <c r="J113" s="60" t="n"/>
      <c r="K113" s="60" t="n"/>
      <c r="L113" s="60" t="n"/>
      <c r="M113" s="61">
        <f>IF(NOT((COUNTA($B113:$D113)+COUNTA($G113:$L113)+COUNTA($Q113))&gt;0),"",IF($V113="Sub",IFERROR($X113/INDEX($W$5:$W$1000,$U113-4),""),IF(ISNUMBER($G113),1,IF(N($W113)&gt;0,AVERAGEIFS($X$5:$X$1000,$U$5:$U$1000,ROW(),$V$5:$V$1000,"Sub"),$X113))))</f>
        <v/>
      </c>
      <c r="N113" s="56">
        <f>IF(OR($M113="",$V113="Sub"),"",IF($M113&gt;=1,"Completado",IF($M113&gt;0,"En curso","Pendiente")))</f>
        <v/>
      </c>
      <c r="O113" s="56">
        <f>IF(OR(NOT((COUNTA($B113:$D113)+COUNTA($G113:$L113)+COUNTA($Q113))&gt;0),$V113="Sub"),"",IF(ISNUMBER($G113),IF(AND(ISNUMBER($AN113),$G113&gt;$AN113),"Cumplida con "&amp;($G113-$AN113)&amp;IF($G113-$AN113=1," día"," días")&amp;" de retraso","Cumplida"),IF(N($M113)&gt;=1,"Cumplida",IF(NOT(ISNUMBER($AN113)),"Sin fecha límite",IF($AN113&lt;FechaRef,"Vencida hace "&amp;(FechaRef-$AN113)&amp;IF(FechaRef-$AN113=1," día"," días"),IF($AN113=FechaRef,"Vence hoy",IF($AN113-FechaRef&lt;=DiasAlerta,"Vence en "&amp;($AN113-FechaRef)&amp;IF($AN113-FechaRef=1," día"," días"),"En plazo")))))))</f>
        <v/>
      </c>
      <c r="P113" s="62" t="n"/>
      <c r="Q113" s="58" t="n"/>
      <c r="R113" s="63">
        <f>IF(NOT((COUNTA($B113:$D113)+COUNTA($G113:$L113)+COUNTA($Q113))&gt;0),"",IF((IF($C113="","Falta el nombre de la actividad"&amp;" · ","")&amp;IF(AND($V113="Sub",N($U113)=0),"Subactividad sin macroactividad arriba"&amp;" · ","")&amp;IF($AM113="","Sin fecha de inicio"&amp;" · ","")&amp;IF($AN113="","Sin fecha límite"&amp;" · ","")&amp;IF(AND(LEFT($C113,11)="[Jefatura] ",N($AL113)=0),"No se encuentra en la hoja de la jefatura (elíjala de nuevo en la lista)"&amp;" · ","")&amp;IF(OR(AND($E113&lt;&gt;"",NOT(ISNUMBER($E113))),AND($F113&lt;&gt;"",NOT(ISNUMBER($F113))),AND($G113&lt;&gt;"",NOT(ISNUMBER($G113)))),"Fecha no válida"&amp;" · ","")&amp;IF(AND(ISNUMBER($AM113),ISNUMBER($AN113),$AM113&gt;$AN113),"Inicio posterior a fecha límite"&amp;" · ","")&amp;IF(AND($V113="Macro",$H113&lt;&gt;"",OR(NOT(ISNUMBER($H113)),$H113&lt;0,$H113&gt;1)),"Peso fuera de rango"&amp;" · ","")&amp;IF(AND($V113="Sub",$H113&lt;&gt;""),"Las subactividades no llevan peso (valen igual dentro de su macroactividad)"&amp;" · ","")&amp;IF(AND(N($W113)&gt;0,COUNT($I113:$L113)&gt;0),"Con subactividades: deje vacías las semanas (se calculan solas)"&amp;" · ","")&amp;IF((COUNTIF($I113:$L113,"&gt;1")+COUNTIF($I113:$L113,"&lt;0")+COUNTA($I113:$L113)-COUNT($I113:$L113))&gt;0,"Avance fuera de rango 0-100%"&amp;" · ","")&amp;IF(OR(AND($J113&lt;&gt;"",$J113&lt;$I113),AND($K113&lt;&gt;"",$K113&lt;MAX($I113:$J113)),AND($L113&lt;&gt;"",$L113&lt;MAX($I113:$K113))),"Avance semanal decreciente"&amp;" · ","")&amp;IF(AND(ISNUMBER($AN113),$AN113&lt;FechaRef,IF($V113="Sub",N($X113),N($M113))&lt;1),"Vencida"&amp;" · ","")&amp;IF(AND(ObsObligatoria="Sí",ISNUMBER($AN113),$AN113&lt;FechaRef,IF($V113="Sub",N($X113),N($M113))&lt;1,$Q113=""),"Vencida sin observación"&amp;" · ",""))="","✔ OK","⚠ "&amp;LEFT(IF($C113="","Falta el nombre de la actividad"&amp;" · ","")&amp;IF(AND($V113="Sub",N($U113)=0),"Subactividad sin macroactividad arriba"&amp;" · ","")&amp;IF($AM113="","Sin fecha de inicio"&amp;" · ","")&amp;IF($AN113="","Sin fecha límite"&amp;" · ","")&amp;IF(AND(LEFT($C113,11)="[Jefatura] ",N($AL113)=0),"No se encuentra en la hoja de la jefatura (elíjala de nuevo en la lista)"&amp;" · ","")&amp;IF(OR(AND($E113&lt;&gt;"",NOT(ISNUMBER($E113))),AND($F113&lt;&gt;"",NOT(ISNUMBER($F113))),AND($G113&lt;&gt;"",NOT(ISNUMBER($G113)))),"Fecha no válida"&amp;" · ","")&amp;IF(AND(ISNUMBER($AM113),ISNUMBER($AN113),$AM113&gt;$AN113),"Inicio posterior a fecha límite"&amp;" · ","")&amp;IF(AND($V113="Macro",$H113&lt;&gt;"",OR(NOT(ISNUMBER($H113)),$H113&lt;0,$H113&gt;1)),"Peso fuera de rango"&amp;" · ","")&amp;IF(AND($V113="Sub",$H113&lt;&gt;""),"Las subactividades no llevan peso (valen igual dentro de su macroactividad)"&amp;" · ","")&amp;IF(AND(N($W113)&gt;0,COUNT($I113:$L113)&gt;0),"Con subactividades: deje vacías las semanas (se calculan solas)"&amp;" · ","")&amp;IF((COUNTIF($I113:$L113,"&gt;1")+COUNTIF($I113:$L113,"&lt;0")+COUNTA($I113:$L113)-COUNT($I113:$L113))&gt;0,"Avance fuera de rango 0-100%"&amp;" · ","")&amp;IF(OR(AND($J113&lt;&gt;"",$J113&lt;$I113),AND($K113&lt;&gt;"",$K113&lt;MAX($I113:$J113)),AND($L113&lt;&gt;"",$L113&lt;MAX($I113:$K113))),"Avance semanal decreciente"&amp;" · ","")&amp;IF(AND(ISNUMBER($AN113),$AN113&lt;FechaRef,IF($V113="Sub",N($X113),N($M113))&lt;1),"Vencida"&amp;" · ","")&amp;IF(AND(ObsObligatoria="Sí",ISNUMBER($AN113),$AN113&lt;FechaRef,IF($V113="Sub",N($X113),N($M113))&lt;1,$Q113=""),"Vencida sin observación"&amp;" · ",""),LEN(IF($C113="","Falta el nombre de la actividad"&amp;" · ","")&amp;IF(AND($V113="Sub",N($U113)=0),"Subactividad sin macroactividad arriba"&amp;" · ","")&amp;IF($AM113="","Sin fecha de inicio"&amp;" · ","")&amp;IF($AN113="","Sin fecha límite"&amp;" · ","")&amp;IF(AND(LEFT($C113,11)="[Jefatura] ",N($AL113)=0),"No se encuentra en la hoja de la jefatura (elíjala de nuevo en la lista)"&amp;" · ","")&amp;IF(OR(AND($E113&lt;&gt;"",NOT(ISNUMBER($E113))),AND($F113&lt;&gt;"",NOT(ISNUMBER($F113))),AND($G113&lt;&gt;"",NOT(ISNUMBER($G113)))),"Fecha no válida"&amp;" · ","")&amp;IF(AND(ISNUMBER($AM113),ISNUMBER($AN113),$AM113&gt;$AN113),"Inicio posterior a fecha límite"&amp;" · ","")&amp;IF(AND($V113="Macro",$H113&lt;&gt;"",OR(NOT(ISNUMBER($H113)),$H113&lt;0,$H113&gt;1)),"Peso fuera de rango"&amp;" · ","")&amp;IF(AND($V113="Sub",$H113&lt;&gt;""),"Las subactividades no llevan peso (valen igual dentro de su macroactividad)"&amp;" · ","")&amp;IF(AND(N($W113)&gt;0,COUNT($I113:$L113)&gt;0),"Con subactividades: deje vacías las semanas (se calculan solas)"&amp;" · ","")&amp;IF((COUNTIF($I113:$L113,"&gt;1")+COUNTIF($I113:$L113,"&lt;0")+COUNTA($I113:$L113)-COUNT($I113:$L113))&gt;0,"Avance fuera de rango 0-100%"&amp;" · ","")&amp;IF(OR(AND($J113&lt;&gt;"",$J113&lt;$I113),AND($K113&lt;&gt;"",$K113&lt;MAX($I113:$J113)),AND($L113&lt;&gt;"",$L113&lt;MAX($I113:$K113))),"Avance semanal decreciente"&amp;" · ","")&amp;IF(AND(ISNUMBER($AN113),$AN113&lt;FechaRef,IF($V113="Sub",N($X113),N($M113))&lt;1),"Vencida"&amp;" · ","")&amp;IF(AND(ObsObligatoria="Sí",ISNUMBER($AN113),$AN113&lt;FechaRef,IF($V113="Sub",N($X113),N($M113))&lt;1,$Q113=""),"Vencida sin observación"&amp;" · ",""))-3)))</f>
        <v/>
      </c>
      <c r="S113" s="64">
        <f>IF(NOT((COUNTA($B113:$D113)+COUNTA($G113:$L113)+COUNTA($Q113))&gt;0),"",IF(AND($V113="Sub",N($U113)&gt;0),IF(ISNUMBER(INDEX($AM$5:$AM$1000,$U113-4)),DATE(YEAR(INDEX($AM$5:$AM$1000,$U113-4)),MONTH(INDEX($AM$5:$AM$1000,$U113-4)),1),IF(ISNUMBER(INDEX($AN$5:$AN$1000,$U113-4)),DATE(YEAR(INDEX($AN$5:$AN$1000,$U113-4)),MONTH(INDEX($AN$5:$AN$1000,$U113-4)),1),MesCiclo)),IF(ISNUMBER($AM113),DATE(YEAR($AM113),MONTH($AM113),1),IF(ISNUMBER($AN113),DATE(YEAR($AN113),MONTH($AN113),1),MesCiclo))))</f>
        <v/>
      </c>
      <c r="T113" s="62">
        <f>IF(OR($S113="",$S113&lt;&gt;MesCiclo,$V113&lt;&gt;"Macro"),"",COUNTIFS($S$5:$S113,MesCiclo,$V$5:$V113,"Macro"))</f>
        <v/>
      </c>
      <c r="U113" s="62">
        <f>IF($V113="","",IF($V113="Macro",ROW(),IFERROR(LOOKUP(2,1/($V$5:$V113="Macro"),ROW($V$5:$V113)),0)))</f>
        <v/>
      </c>
      <c r="V113" s="62">
        <f>IF(NOT((COUNTA($B113:$D113)+COUNTA($G113:$L113)+COUNTA($Q113))&gt;0),"",IF($B113="Subactividad","Sub","Macro"))</f>
        <v/>
      </c>
      <c r="W113" s="62">
        <f>IF($V113="Macro",COUNTIFS($U$5:$U$1000,ROW(),$V$5:$V$1000,"Sub"),"")</f>
        <v/>
      </c>
      <c r="X113" s="62">
        <f>IF($V113="","",IF(ISNUMBER($G113),1,IFERROR(LOOKUP(2,1/($I113:$L113&lt;&gt;""),$I113:$L113),0)))</f>
        <v/>
      </c>
      <c r="Y113" s="62">
        <f>IF($V113="","",IF(AND(ISNUMBER($G113),$G113&lt;=IF($S113=MesCiclo,InicioCiclo,$S113+MOD(2-WEEKDAY($S113),7))+6),1,IF(ISNUMBER($I113),$I113,0)))</f>
        <v/>
      </c>
      <c r="Z113" s="62">
        <f>IF($V113="","",IF(AND(ISNUMBER($G113),$G113&lt;=IF($S113=MesCiclo,InicioCiclo,$S113+MOD(2-WEEKDAY($S113),7))+13),1,IF(ISNUMBER($J113),$J113,$Y113)))</f>
        <v/>
      </c>
      <c r="AA113" s="62">
        <f>IF($V113="","",IF(AND(ISNUMBER($G113),$G113&lt;=IF($S113=MesCiclo,InicioCiclo,$S113+MOD(2-WEEKDAY($S113),7))+20),1,IF(ISNUMBER($K113),$K113,$Z113)))</f>
        <v/>
      </c>
      <c r="AB113" s="62">
        <f>IF($V113="","",IF(AND(ISNUMBER($G113),$G113&lt;=IF($S113=MesCiclo,InicioCiclo,$S113+MOD(2-WEEKDAY($S113),7))+27),1,IF(ISNUMBER($L113),$L113,$AA113)))</f>
        <v/>
      </c>
      <c r="AC113" s="62">
        <f>IF($V113="","",IF(AND(ISNUMBER($G113),$G113&lt;=IF($S113=MesCiclo,InicioCiclo,$S113+MOD(2-WEEKDAY($S113),7))+6),1,IF(N($W113)&gt;0,AVERAGEIFS($Y$5:$Y$1000,$U$5:$U$1000,ROW(),$V$5:$V$1000,"Sub"),$Y113)))</f>
        <v/>
      </c>
      <c r="AD113" s="62">
        <f>IF($V113="","",IF(AND(ISNUMBER($G113),$G113&lt;=IF($S113=MesCiclo,InicioCiclo,$S113+MOD(2-WEEKDAY($S113),7))+13),1,IF(N($W113)&gt;0,AVERAGEIFS($Z$5:$Z$1000,$U$5:$U$1000,ROW(),$V$5:$V$1000,"Sub"),$Z113)))</f>
        <v/>
      </c>
      <c r="AE113" s="62">
        <f>IF($V113="","",IF(AND(ISNUMBER($G113),$G113&lt;=IF($S113=MesCiclo,InicioCiclo,$S113+MOD(2-WEEKDAY($S113),7))+20),1,IF(N($W113)&gt;0,AVERAGEIFS($AA$5:$AA$1000,$U$5:$U$1000,ROW(),$V$5:$V$1000,"Sub"),$AA113)))</f>
        <v/>
      </c>
      <c r="AF113" s="62">
        <f>IF($V113="","",IF(AND(ISNUMBER($G113),$G113&lt;=IF($S113=MesCiclo,InicioCiclo,$S113+MOD(2-WEEKDAY($S113),7))+27),1,IF(N($W113)&gt;0,AVERAGEIFS($AB$5:$AB$1000,$U$5:$U$1000,ROW(),$V$5:$V$1000,"Sub"),$AB113)))</f>
        <v/>
      </c>
      <c r="AG113" s="62">
        <f>IF($V113&lt;&gt;"Macro","",IF(COUNTIFS($S$5:$S$1000,$S113,$V$5:$V$1000,"Macro",$H$5:$H$1000,"&gt;0")=0,1/COUNTIFS($S$5:$S$1000,$S113,$V$5:$V$1000,"Macro"),IF(AND(ISNUMBER($H113),N($H113)&gt;0),$H113,SUMIFS($H$5:$H$1000,$S$5:$S$1000,$S113,$V$5:$V$1000,"Macro")/COUNTIFS($S$5:$S$1000,$S113,$V$5:$V$1000,"Macro",$H$5:$H$1000,"&gt;0"))/(COUNTIFS($S$5:$S$1000,$S113,$V$5:$V$1000,"Macro")*SUMIFS($H$5:$H$1000,$S$5:$S$1000,$S113,$V$5:$V$1000,"Macro")/COUNTIFS($S$5:$S$1000,$S113,$V$5:$V$1000,"Macro",$H$5:$H$1000,"&gt;0"))))</f>
        <v/>
      </c>
      <c r="AH113" s="62" t="n"/>
      <c r="AI113" s="62" t="n"/>
      <c r="AJ113" s="62" t="n"/>
      <c r="AK113" s="62" t="n"/>
      <c r="AL113" s="62">
        <f>IF(LEFT($C113,11)="[Jefatura] ",IFERROR(MATCH("Riesgo Normativo|"&amp;MID($C113,12,500),rDname_ADM,0),0),"")</f>
        <v/>
      </c>
      <c r="AM113" s="62">
        <f>IF(N($AL113)&gt;0,INDEX(rIni_ADM,$AL113),IF(ISNUMBER($E113),$E113,""))</f>
        <v/>
      </c>
      <c r="AN113" s="62">
        <f>IF(N($AL113)&gt;0,INDEX(rLim_ADM,$AL113),IF(ISNUMBER($F113),$F113,""))</f>
        <v/>
      </c>
    </row>
    <row r="114">
      <c r="A114" s="56">
        <f>IF(NOT((COUNTA($B114:$D114)+COUNTA($G114:$L114)+COUNTA($Q114))&gt;0),"",IF($V114="Macro",COUNTIFS($V$5:$V114,"Macro",$S$5:$S114,$S114),IF(N($U114)=0,"?",COUNTIFS(INDEX($V$5:$V$1000,1):INDEX($V$5:$V$1000,$U114-4),"Macro",INDEX($S$5:$S$1000,1):INDEX($S$5:$S$1000,$U114-4),INDEX($S$5:$S$1000,$U114-4))&amp;"."&amp;COUNTIFS($U$5:$U114,$U114,$V$5:$V114,"Sub"))))</f>
        <v/>
      </c>
      <c r="B114" s="57" t="n"/>
      <c r="C114" s="58" t="n"/>
      <c r="D114" s="58" t="n"/>
      <c r="E114" s="59">
        <f>IF(N($AL114)&gt;0,INDEX(rIni_ADM,$AL114),"")</f>
        <v/>
      </c>
      <c r="F114" s="59">
        <f>IF(N($AL114)&gt;0,INDEX(rLim_ADM,$AL114),"")</f>
        <v/>
      </c>
      <c r="G114" s="59" t="n"/>
      <c r="H114" s="60" t="n"/>
      <c r="I114" s="60" t="n"/>
      <c r="J114" s="60" t="n"/>
      <c r="K114" s="60" t="n"/>
      <c r="L114" s="60" t="n"/>
      <c r="M114" s="61">
        <f>IF(NOT((COUNTA($B114:$D114)+COUNTA($G114:$L114)+COUNTA($Q114))&gt;0),"",IF($V114="Sub",IFERROR($X114/INDEX($W$5:$W$1000,$U114-4),""),IF(ISNUMBER($G114),1,IF(N($W114)&gt;0,AVERAGEIFS($X$5:$X$1000,$U$5:$U$1000,ROW(),$V$5:$V$1000,"Sub"),$X114))))</f>
        <v/>
      </c>
      <c r="N114" s="56">
        <f>IF(OR($M114="",$V114="Sub"),"",IF($M114&gt;=1,"Completado",IF($M114&gt;0,"En curso","Pendiente")))</f>
        <v/>
      </c>
      <c r="O114" s="56">
        <f>IF(OR(NOT((COUNTA($B114:$D114)+COUNTA($G114:$L114)+COUNTA($Q114))&gt;0),$V114="Sub"),"",IF(ISNUMBER($G114),IF(AND(ISNUMBER($AN114),$G114&gt;$AN114),"Cumplida con "&amp;($G114-$AN114)&amp;IF($G114-$AN114=1," día"," días")&amp;" de retraso","Cumplida"),IF(N($M114)&gt;=1,"Cumplida",IF(NOT(ISNUMBER($AN114)),"Sin fecha límite",IF($AN114&lt;FechaRef,"Vencida hace "&amp;(FechaRef-$AN114)&amp;IF(FechaRef-$AN114=1," día"," días"),IF($AN114=FechaRef,"Vence hoy",IF($AN114-FechaRef&lt;=DiasAlerta,"Vence en "&amp;($AN114-FechaRef)&amp;IF($AN114-FechaRef=1," día"," días"),"En plazo")))))))</f>
        <v/>
      </c>
      <c r="P114" s="62" t="n"/>
      <c r="Q114" s="58" t="n"/>
      <c r="R114" s="63">
        <f>IF(NOT((COUNTA($B114:$D114)+COUNTA($G114:$L114)+COUNTA($Q114))&gt;0),"",IF((IF($C114="","Falta el nombre de la actividad"&amp;" · ","")&amp;IF(AND($V114="Sub",N($U114)=0),"Subactividad sin macroactividad arriba"&amp;" · ","")&amp;IF($AM114="","Sin fecha de inicio"&amp;" · ","")&amp;IF($AN114="","Sin fecha límite"&amp;" · ","")&amp;IF(AND(LEFT($C114,11)="[Jefatura] ",N($AL114)=0),"No se encuentra en la hoja de la jefatura (elíjala de nuevo en la lista)"&amp;" · ","")&amp;IF(OR(AND($E114&lt;&gt;"",NOT(ISNUMBER($E114))),AND($F114&lt;&gt;"",NOT(ISNUMBER($F114))),AND($G114&lt;&gt;"",NOT(ISNUMBER($G114)))),"Fecha no válida"&amp;" · ","")&amp;IF(AND(ISNUMBER($AM114),ISNUMBER($AN114),$AM114&gt;$AN114),"Inicio posterior a fecha límite"&amp;" · ","")&amp;IF(AND($V114="Macro",$H114&lt;&gt;"",OR(NOT(ISNUMBER($H114)),$H114&lt;0,$H114&gt;1)),"Peso fuera de rango"&amp;" · ","")&amp;IF(AND($V114="Sub",$H114&lt;&gt;""),"Las subactividades no llevan peso (valen igual dentro de su macroactividad)"&amp;" · ","")&amp;IF(AND(N($W114)&gt;0,COUNT($I114:$L114)&gt;0),"Con subactividades: deje vacías las semanas (se calculan solas)"&amp;" · ","")&amp;IF((COUNTIF($I114:$L114,"&gt;1")+COUNTIF($I114:$L114,"&lt;0")+COUNTA($I114:$L114)-COUNT($I114:$L114))&gt;0,"Avance fuera de rango 0-100%"&amp;" · ","")&amp;IF(OR(AND($J114&lt;&gt;"",$J114&lt;$I114),AND($K114&lt;&gt;"",$K114&lt;MAX($I114:$J114)),AND($L114&lt;&gt;"",$L114&lt;MAX($I114:$K114))),"Avance semanal decreciente"&amp;" · ","")&amp;IF(AND(ISNUMBER($AN114),$AN114&lt;FechaRef,IF($V114="Sub",N($X114),N($M114))&lt;1),"Vencida"&amp;" · ","")&amp;IF(AND(ObsObligatoria="Sí",ISNUMBER($AN114),$AN114&lt;FechaRef,IF($V114="Sub",N($X114),N($M114))&lt;1,$Q114=""),"Vencida sin observación"&amp;" · ",""))="","✔ OK","⚠ "&amp;LEFT(IF($C114="","Falta el nombre de la actividad"&amp;" · ","")&amp;IF(AND($V114="Sub",N($U114)=0),"Subactividad sin macroactividad arriba"&amp;" · ","")&amp;IF($AM114="","Sin fecha de inicio"&amp;" · ","")&amp;IF($AN114="","Sin fecha límite"&amp;" · ","")&amp;IF(AND(LEFT($C114,11)="[Jefatura] ",N($AL114)=0),"No se encuentra en la hoja de la jefatura (elíjala de nuevo en la lista)"&amp;" · ","")&amp;IF(OR(AND($E114&lt;&gt;"",NOT(ISNUMBER($E114))),AND($F114&lt;&gt;"",NOT(ISNUMBER($F114))),AND($G114&lt;&gt;"",NOT(ISNUMBER($G114)))),"Fecha no válida"&amp;" · ","")&amp;IF(AND(ISNUMBER($AM114),ISNUMBER($AN114),$AM114&gt;$AN114),"Inicio posterior a fecha límite"&amp;" · ","")&amp;IF(AND($V114="Macro",$H114&lt;&gt;"",OR(NOT(ISNUMBER($H114)),$H114&lt;0,$H114&gt;1)),"Peso fuera de rango"&amp;" · ","")&amp;IF(AND($V114="Sub",$H114&lt;&gt;""),"Las subactividades no llevan peso (valen igual dentro de su macroactividad)"&amp;" · ","")&amp;IF(AND(N($W114)&gt;0,COUNT($I114:$L114)&gt;0),"Con subactividades: deje vacías las semanas (se calculan solas)"&amp;" · ","")&amp;IF((COUNTIF($I114:$L114,"&gt;1")+COUNTIF($I114:$L114,"&lt;0")+COUNTA($I114:$L114)-COUNT($I114:$L114))&gt;0,"Avance fuera de rango 0-100%"&amp;" · ","")&amp;IF(OR(AND($J114&lt;&gt;"",$J114&lt;$I114),AND($K114&lt;&gt;"",$K114&lt;MAX($I114:$J114)),AND($L114&lt;&gt;"",$L114&lt;MAX($I114:$K114))),"Avance semanal decreciente"&amp;" · ","")&amp;IF(AND(ISNUMBER($AN114),$AN114&lt;FechaRef,IF($V114="Sub",N($X114),N($M114))&lt;1),"Vencida"&amp;" · ","")&amp;IF(AND(ObsObligatoria="Sí",ISNUMBER($AN114),$AN114&lt;FechaRef,IF($V114="Sub",N($X114),N($M114))&lt;1,$Q114=""),"Vencida sin observación"&amp;" · ",""),LEN(IF($C114="","Falta el nombre de la actividad"&amp;" · ","")&amp;IF(AND($V114="Sub",N($U114)=0),"Subactividad sin macroactividad arriba"&amp;" · ","")&amp;IF($AM114="","Sin fecha de inicio"&amp;" · ","")&amp;IF($AN114="","Sin fecha límite"&amp;" · ","")&amp;IF(AND(LEFT($C114,11)="[Jefatura] ",N($AL114)=0),"No se encuentra en la hoja de la jefatura (elíjala de nuevo en la lista)"&amp;" · ","")&amp;IF(OR(AND($E114&lt;&gt;"",NOT(ISNUMBER($E114))),AND($F114&lt;&gt;"",NOT(ISNUMBER($F114))),AND($G114&lt;&gt;"",NOT(ISNUMBER($G114)))),"Fecha no válida"&amp;" · ","")&amp;IF(AND(ISNUMBER($AM114),ISNUMBER($AN114),$AM114&gt;$AN114),"Inicio posterior a fecha límite"&amp;" · ","")&amp;IF(AND($V114="Macro",$H114&lt;&gt;"",OR(NOT(ISNUMBER($H114)),$H114&lt;0,$H114&gt;1)),"Peso fuera de rango"&amp;" · ","")&amp;IF(AND($V114="Sub",$H114&lt;&gt;""),"Las subactividades no llevan peso (valen igual dentro de su macroactividad)"&amp;" · ","")&amp;IF(AND(N($W114)&gt;0,COUNT($I114:$L114)&gt;0),"Con subactividades: deje vacías las semanas (se calculan solas)"&amp;" · ","")&amp;IF((COUNTIF($I114:$L114,"&gt;1")+COUNTIF($I114:$L114,"&lt;0")+COUNTA($I114:$L114)-COUNT($I114:$L114))&gt;0,"Avance fuera de rango 0-100%"&amp;" · ","")&amp;IF(OR(AND($J114&lt;&gt;"",$J114&lt;$I114),AND($K114&lt;&gt;"",$K114&lt;MAX($I114:$J114)),AND($L114&lt;&gt;"",$L114&lt;MAX($I114:$K114))),"Avance semanal decreciente"&amp;" · ","")&amp;IF(AND(ISNUMBER($AN114),$AN114&lt;FechaRef,IF($V114="Sub",N($X114),N($M114))&lt;1),"Vencida"&amp;" · ","")&amp;IF(AND(ObsObligatoria="Sí",ISNUMBER($AN114),$AN114&lt;FechaRef,IF($V114="Sub",N($X114),N($M114))&lt;1,$Q114=""),"Vencida sin observación"&amp;" · ",""))-3)))</f>
        <v/>
      </c>
      <c r="S114" s="64">
        <f>IF(NOT((COUNTA($B114:$D114)+COUNTA($G114:$L114)+COUNTA($Q114))&gt;0),"",IF(AND($V114="Sub",N($U114)&gt;0),IF(ISNUMBER(INDEX($AM$5:$AM$1000,$U114-4)),DATE(YEAR(INDEX($AM$5:$AM$1000,$U114-4)),MONTH(INDEX($AM$5:$AM$1000,$U114-4)),1),IF(ISNUMBER(INDEX($AN$5:$AN$1000,$U114-4)),DATE(YEAR(INDEX($AN$5:$AN$1000,$U114-4)),MONTH(INDEX($AN$5:$AN$1000,$U114-4)),1),MesCiclo)),IF(ISNUMBER($AM114),DATE(YEAR($AM114),MONTH($AM114),1),IF(ISNUMBER($AN114),DATE(YEAR($AN114),MONTH($AN114),1),MesCiclo))))</f>
        <v/>
      </c>
      <c r="T114" s="62">
        <f>IF(OR($S114="",$S114&lt;&gt;MesCiclo,$V114&lt;&gt;"Macro"),"",COUNTIFS($S$5:$S114,MesCiclo,$V$5:$V114,"Macro"))</f>
        <v/>
      </c>
      <c r="U114" s="62">
        <f>IF($V114="","",IF($V114="Macro",ROW(),IFERROR(LOOKUP(2,1/($V$5:$V114="Macro"),ROW($V$5:$V114)),0)))</f>
        <v/>
      </c>
      <c r="V114" s="62">
        <f>IF(NOT((COUNTA($B114:$D114)+COUNTA($G114:$L114)+COUNTA($Q114))&gt;0),"",IF($B114="Subactividad","Sub","Macro"))</f>
        <v/>
      </c>
      <c r="W114" s="62">
        <f>IF($V114="Macro",COUNTIFS($U$5:$U$1000,ROW(),$V$5:$V$1000,"Sub"),"")</f>
        <v/>
      </c>
      <c r="X114" s="62">
        <f>IF($V114="","",IF(ISNUMBER($G114),1,IFERROR(LOOKUP(2,1/($I114:$L114&lt;&gt;""),$I114:$L114),0)))</f>
        <v/>
      </c>
      <c r="Y114" s="62">
        <f>IF($V114="","",IF(AND(ISNUMBER($G114),$G114&lt;=IF($S114=MesCiclo,InicioCiclo,$S114+MOD(2-WEEKDAY($S114),7))+6),1,IF(ISNUMBER($I114),$I114,0)))</f>
        <v/>
      </c>
      <c r="Z114" s="62">
        <f>IF($V114="","",IF(AND(ISNUMBER($G114),$G114&lt;=IF($S114=MesCiclo,InicioCiclo,$S114+MOD(2-WEEKDAY($S114),7))+13),1,IF(ISNUMBER($J114),$J114,$Y114)))</f>
        <v/>
      </c>
      <c r="AA114" s="62">
        <f>IF($V114="","",IF(AND(ISNUMBER($G114),$G114&lt;=IF($S114=MesCiclo,InicioCiclo,$S114+MOD(2-WEEKDAY($S114),7))+20),1,IF(ISNUMBER($K114),$K114,$Z114)))</f>
        <v/>
      </c>
      <c r="AB114" s="62">
        <f>IF($V114="","",IF(AND(ISNUMBER($G114),$G114&lt;=IF($S114=MesCiclo,InicioCiclo,$S114+MOD(2-WEEKDAY($S114),7))+27),1,IF(ISNUMBER($L114),$L114,$AA114)))</f>
        <v/>
      </c>
      <c r="AC114" s="62">
        <f>IF($V114="","",IF(AND(ISNUMBER($G114),$G114&lt;=IF($S114=MesCiclo,InicioCiclo,$S114+MOD(2-WEEKDAY($S114),7))+6),1,IF(N($W114)&gt;0,AVERAGEIFS($Y$5:$Y$1000,$U$5:$U$1000,ROW(),$V$5:$V$1000,"Sub"),$Y114)))</f>
        <v/>
      </c>
      <c r="AD114" s="62">
        <f>IF($V114="","",IF(AND(ISNUMBER($G114),$G114&lt;=IF($S114=MesCiclo,InicioCiclo,$S114+MOD(2-WEEKDAY($S114),7))+13),1,IF(N($W114)&gt;0,AVERAGEIFS($Z$5:$Z$1000,$U$5:$U$1000,ROW(),$V$5:$V$1000,"Sub"),$Z114)))</f>
        <v/>
      </c>
      <c r="AE114" s="62">
        <f>IF($V114="","",IF(AND(ISNUMBER($G114),$G114&lt;=IF($S114=MesCiclo,InicioCiclo,$S114+MOD(2-WEEKDAY($S114),7))+20),1,IF(N($W114)&gt;0,AVERAGEIFS($AA$5:$AA$1000,$U$5:$U$1000,ROW(),$V$5:$V$1000,"Sub"),$AA114)))</f>
        <v/>
      </c>
      <c r="AF114" s="62">
        <f>IF($V114="","",IF(AND(ISNUMBER($G114),$G114&lt;=IF($S114=MesCiclo,InicioCiclo,$S114+MOD(2-WEEKDAY($S114),7))+27),1,IF(N($W114)&gt;0,AVERAGEIFS($AB$5:$AB$1000,$U$5:$U$1000,ROW(),$V$5:$V$1000,"Sub"),$AB114)))</f>
        <v/>
      </c>
      <c r="AG114" s="62">
        <f>IF($V114&lt;&gt;"Macro","",IF(COUNTIFS($S$5:$S$1000,$S114,$V$5:$V$1000,"Macro",$H$5:$H$1000,"&gt;0")=0,1/COUNTIFS($S$5:$S$1000,$S114,$V$5:$V$1000,"Macro"),IF(AND(ISNUMBER($H114),N($H114)&gt;0),$H114,SUMIFS($H$5:$H$1000,$S$5:$S$1000,$S114,$V$5:$V$1000,"Macro")/COUNTIFS($S$5:$S$1000,$S114,$V$5:$V$1000,"Macro",$H$5:$H$1000,"&gt;0"))/(COUNTIFS($S$5:$S$1000,$S114,$V$5:$V$1000,"Macro")*SUMIFS($H$5:$H$1000,$S$5:$S$1000,$S114,$V$5:$V$1000,"Macro")/COUNTIFS($S$5:$S$1000,$S114,$V$5:$V$1000,"Macro",$H$5:$H$1000,"&gt;0"))))</f>
        <v/>
      </c>
      <c r="AH114" s="62" t="n"/>
      <c r="AI114" s="62" t="n"/>
      <c r="AJ114" s="62" t="n"/>
      <c r="AK114" s="62" t="n"/>
      <c r="AL114" s="62">
        <f>IF(LEFT($C114,11)="[Jefatura] ",IFERROR(MATCH("Riesgo Normativo|"&amp;MID($C114,12,500),rDname_ADM,0),0),"")</f>
        <v/>
      </c>
      <c r="AM114" s="62">
        <f>IF(N($AL114)&gt;0,INDEX(rIni_ADM,$AL114),IF(ISNUMBER($E114),$E114,""))</f>
        <v/>
      </c>
      <c r="AN114" s="62">
        <f>IF(N($AL114)&gt;0,INDEX(rLim_ADM,$AL114),IF(ISNUMBER($F114),$F114,""))</f>
        <v/>
      </c>
    </row>
    <row r="115">
      <c r="A115" s="56">
        <f>IF(NOT((COUNTA($B115:$D115)+COUNTA($G115:$L115)+COUNTA($Q115))&gt;0),"",IF($V115="Macro",COUNTIFS($V$5:$V115,"Macro",$S$5:$S115,$S115),IF(N($U115)=0,"?",COUNTIFS(INDEX($V$5:$V$1000,1):INDEX($V$5:$V$1000,$U115-4),"Macro",INDEX($S$5:$S$1000,1):INDEX($S$5:$S$1000,$U115-4),INDEX($S$5:$S$1000,$U115-4))&amp;"."&amp;COUNTIFS($U$5:$U115,$U115,$V$5:$V115,"Sub"))))</f>
        <v/>
      </c>
      <c r="B115" s="57" t="n"/>
      <c r="C115" s="58" t="n"/>
      <c r="D115" s="58" t="n"/>
      <c r="E115" s="59">
        <f>IF(N($AL115)&gt;0,INDEX(rIni_ADM,$AL115),"")</f>
        <v/>
      </c>
      <c r="F115" s="59">
        <f>IF(N($AL115)&gt;0,INDEX(rLim_ADM,$AL115),"")</f>
        <v/>
      </c>
      <c r="G115" s="59" t="n"/>
      <c r="H115" s="60" t="n"/>
      <c r="I115" s="60" t="n"/>
      <c r="J115" s="60" t="n"/>
      <c r="K115" s="60" t="n"/>
      <c r="L115" s="60" t="n"/>
      <c r="M115" s="61">
        <f>IF(NOT((COUNTA($B115:$D115)+COUNTA($G115:$L115)+COUNTA($Q115))&gt;0),"",IF($V115="Sub",IFERROR($X115/INDEX($W$5:$W$1000,$U115-4),""),IF(ISNUMBER($G115),1,IF(N($W115)&gt;0,AVERAGEIFS($X$5:$X$1000,$U$5:$U$1000,ROW(),$V$5:$V$1000,"Sub"),$X115))))</f>
        <v/>
      </c>
      <c r="N115" s="56">
        <f>IF(OR($M115="",$V115="Sub"),"",IF($M115&gt;=1,"Completado",IF($M115&gt;0,"En curso","Pendiente")))</f>
        <v/>
      </c>
      <c r="O115" s="56">
        <f>IF(OR(NOT((COUNTA($B115:$D115)+COUNTA($G115:$L115)+COUNTA($Q115))&gt;0),$V115="Sub"),"",IF(ISNUMBER($G115),IF(AND(ISNUMBER($AN115),$G115&gt;$AN115),"Cumplida con "&amp;($G115-$AN115)&amp;IF($G115-$AN115=1," día"," días")&amp;" de retraso","Cumplida"),IF(N($M115)&gt;=1,"Cumplida",IF(NOT(ISNUMBER($AN115)),"Sin fecha límite",IF($AN115&lt;FechaRef,"Vencida hace "&amp;(FechaRef-$AN115)&amp;IF(FechaRef-$AN115=1," día"," días"),IF($AN115=FechaRef,"Vence hoy",IF($AN115-FechaRef&lt;=DiasAlerta,"Vence en "&amp;($AN115-FechaRef)&amp;IF($AN115-FechaRef=1," día"," días"),"En plazo")))))))</f>
        <v/>
      </c>
      <c r="P115" s="62" t="n"/>
      <c r="Q115" s="58" t="n"/>
      <c r="R115" s="63">
        <f>IF(NOT((COUNTA($B115:$D115)+COUNTA($G115:$L115)+COUNTA($Q115))&gt;0),"",IF((IF($C115="","Falta el nombre de la actividad"&amp;" · ","")&amp;IF(AND($V115="Sub",N($U115)=0),"Subactividad sin macroactividad arriba"&amp;" · ","")&amp;IF($AM115="","Sin fecha de inicio"&amp;" · ","")&amp;IF($AN115="","Sin fecha límite"&amp;" · ","")&amp;IF(AND(LEFT($C115,11)="[Jefatura] ",N($AL115)=0),"No se encuentra en la hoja de la jefatura (elíjala de nuevo en la lista)"&amp;" · ","")&amp;IF(OR(AND($E115&lt;&gt;"",NOT(ISNUMBER($E115))),AND($F115&lt;&gt;"",NOT(ISNUMBER($F115))),AND($G115&lt;&gt;"",NOT(ISNUMBER($G115)))),"Fecha no válida"&amp;" · ","")&amp;IF(AND(ISNUMBER($AM115),ISNUMBER($AN115),$AM115&gt;$AN115),"Inicio posterior a fecha límite"&amp;" · ","")&amp;IF(AND($V115="Macro",$H115&lt;&gt;"",OR(NOT(ISNUMBER($H115)),$H115&lt;0,$H115&gt;1)),"Peso fuera de rango"&amp;" · ","")&amp;IF(AND($V115="Sub",$H115&lt;&gt;""),"Las subactividades no llevan peso (valen igual dentro de su macroactividad)"&amp;" · ","")&amp;IF(AND(N($W115)&gt;0,COUNT($I115:$L115)&gt;0),"Con subactividades: deje vacías las semanas (se calculan solas)"&amp;" · ","")&amp;IF((COUNTIF($I115:$L115,"&gt;1")+COUNTIF($I115:$L115,"&lt;0")+COUNTA($I115:$L115)-COUNT($I115:$L115))&gt;0,"Avance fuera de rango 0-100%"&amp;" · ","")&amp;IF(OR(AND($J115&lt;&gt;"",$J115&lt;$I115),AND($K115&lt;&gt;"",$K115&lt;MAX($I115:$J115)),AND($L115&lt;&gt;"",$L115&lt;MAX($I115:$K115))),"Avance semanal decreciente"&amp;" · ","")&amp;IF(AND(ISNUMBER($AN115),$AN115&lt;FechaRef,IF($V115="Sub",N($X115),N($M115))&lt;1),"Vencida"&amp;" · ","")&amp;IF(AND(ObsObligatoria="Sí",ISNUMBER($AN115),$AN115&lt;FechaRef,IF($V115="Sub",N($X115),N($M115))&lt;1,$Q115=""),"Vencida sin observación"&amp;" · ",""))="","✔ OK","⚠ "&amp;LEFT(IF($C115="","Falta el nombre de la actividad"&amp;" · ","")&amp;IF(AND($V115="Sub",N($U115)=0),"Subactividad sin macroactividad arriba"&amp;" · ","")&amp;IF($AM115="","Sin fecha de inicio"&amp;" · ","")&amp;IF($AN115="","Sin fecha límite"&amp;" · ","")&amp;IF(AND(LEFT($C115,11)="[Jefatura] ",N($AL115)=0),"No se encuentra en la hoja de la jefatura (elíjala de nuevo en la lista)"&amp;" · ","")&amp;IF(OR(AND($E115&lt;&gt;"",NOT(ISNUMBER($E115))),AND($F115&lt;&gt;"",NOT(ISNUMBER($F115))),AND($G115&lt;&gt;"",NOT(ISNUMBER($G115)))),"Fecha no válida"&amp;" · ","")&amp;IF(AND(ISNUMBER($AM115),ISNUMBER($AN115),$AM115&gt;$AN115),"Inicio posterior a fecha límite"&amp;" · ","")&amp;IF(AND($V115="Macro",$H115&lt;&gt;"",OR(NOT(ISNUMBER($H115)),$H115&lt;0,$H115&gt;1)),"Peso fuera de rango"&amp;" · ","")&amp;IF(AND($V115="Sub",$H115&lt;&gt;""),"Las subactividades no llevan peso (valen igual dentro de su macroactividad)"&amp;" · ","")&amp;IF(AND(N($W115)&gt;0,COUNT($I115:$L115)&gt;0),"Con subactividades: deje vacías las semanas (se calculan solas)"&amp;" · ","")&amp;IF((COUNTIF($I115:$L115,"&gt;1")+COUNTIF($I115:$L115,"&lt;0")+COUNTA($I115:$L115)-COUNT($I115:$L115))&gt;0,"Avance fuera de rango 0-100%"&amp;" · ","")&amp;IF(OR(AND($J115&lt;&gt;"",$J115&lt;$I115),AND($K115&lt;&gt;"",$K115&lt;MAX($I115:$J115)),AND($L115&lt;&gt;"",$L115&lt;MAX($I115:$K115))),"Avance semanal decreciente"&amp;" · ","")&amp;IF(AND(ISNUMBER($AN115),$AN115&lt;FechaRef,IF($V115="Sub",N($X115),N($M115))&lt;1),"Vencida"&amp;" · ","")&amp;IF(AND(ObsObligatoria="Sí",ISNUMBER($AN115),$AN115&lt;FechaRef,IF($V115="Sub",N($X115),N($M115))&lt;1,$Q115=""),"Vencida sin observación"&amp;" · ",""),LEN(IF($C115="","Falta el nombre de la actividad"&amp;" · ","")&amp;IF(AND($V115="Sub",N($U115)=0),"Subactividad sin macroactividad arriba"&amp;" · ","")&amp;IF($AM115="","Sin fecha de inicio"&amp;" · ","")&amp;IF($AN115="","Sin fecha límite"&amp;" · ","")&amp;IF(AND(LEFT($C115,11)="[Jefatura] ",N($AL115)=0),"No se encuentra en la hoja de la jefatura (elíjala de nuevo en la lista)"&amp;" · ","")&amp;IF(OR(AND($E115&lt;&gt;"",NOT(ISNUMBER($E115))),AND($F115&lt;&gt;"",NOT(ISNUMBER($F115))),AND($G115&lt;&gt;"",NOT(ISNUMBER($G115)))),"Fecha no válida"&amp;" · ","")&amp;IF(AND(ISNUMBER($AM115),ISNUMBER($AN115),$AM115&gt;$AN115),"Inicio posterior a fecha límite"&amp;" · ","")&amp;IF(AND($V115="Macro",$H115&lt;&gt;"",OR(NOT(ISNUMBER($H115)),$H115&lt;0,$H115&gt;1)),"Peso fuera de rango"&amp;" · ","")&amp;IF(AND($V115="Sub",$H115&lt;&gt;""),"Las subactividades no llevan peso (valen igual dentro de su macroactividad)"&amp;" · ","")&amp;IF(AND(N($W115)&gt;0,COUNT($I115:$L115)&gt;0),"Con subactividades: deje vacías las semanas (se calculan solas)"&amp;" · ","")&amp;IF((COUNTIF($I115:$L115,"&gt;1")+COUNTIF($I115:$L115,"&lt;0")+COUNTA($I115:$L115)-COUNT($I115:$L115))&gt;0,"Avance fuera de rango 0-100%"&amp;" · ","")&amp;IF(OR(AND($J115&lt;&gt;"",$J115&lt;$I115),AND($K115&lt;&gt;"",$K115&lt;MAX($I115:$J115)),AND($L115&lt;&gt;"",$L115&lt;MAX($I115:$K115))),"Avance semanal decreciente"&amp;" · ","")&amp;IF(AND(ISNUMBER($AN115),$AN115&lt;FechaRef,IF($V115="Sub",N($X115),N($M115))&lt;1),"Vencida"&amp;" · ","")&amp;IF(AND(ObsObligatoria="Sí",ISNUMBER($AN115),$AN115&lt;FechaRef,IF($V115="Sub",N($X115),N($M115))&lt;1,$Q115=""),"Vencida sin observación"&amp;" · ",""))-3)))</f>
        <v/>
      </c>
      <c r="S115" s="64">
        <f>IF(NOT((COUNTA($B115:$D115)+COUNTA($G115:$L115)+COUNTA($Q115))&gt;0),"",IF(AND($V115="Sub",N($U115)&gt;0),IF(ISNUMBER(INDEX($AM$5:$AM$1000,$U115-4)),DATE(YEAR(INDEX($AM$5:$AM$1000,$U115-4)),MONTH(INDEX($AM$5:$AM$1000,$U115-4)),1),IF(ISNUMBER(INDEX($AN$5:$AN$1000,$U115-4)),DATE(YEAR(INDEX($AN$5:$AN$1000,$U115-4)),MONTH(INDEX($AN$5:$AN$1000,$U115-4)),1),MesCiclo)),IF(ISNUMBER($AM115),DATE(YEAR($AM115),MONTH($AM115),1),IF(ISNUMBER($AN115),DATE(YEAR($AN115),MONTH($AN115),1),MesCiclo))))</f>
        <v/>
      </c>
      <c r="T115" s="62">
        <f>IF(OR($S115="",$S115&lt;&gt;MesCiclo,$V115&lt;&gt;"Macro"),"",COUNTIFS($S$5:$S115,MesCiclo,$V$5:$V115,"Macro"))</f>
        <v/>
      </c>
      <c r="U115" s="62">
        <f>IF($V115="","",IF($V115="Macro",ROW(),IFERROR(LOOKUP(2,1/($V$5:$V115="Macro"),ROW($V$5:$V115)),0)))</f>
        <v/>
      </c>
      <c r="V115" s="62">
        <f>IF(NOT((COUNTA($B115:$D115)+COUNTA($G115:$L115)+COUNTA($Q115))&gt;0),"",IF($B115="Subactividad","Sub","Macro"))</f>
        <v/>
      </c>
      <c r="W115" s="62">
        <f>IF($V115="Macro",COUNTIFS($U$5:$U$1000,ROW(),$V$5:$V$1000,"Sub"),"")</f>
        <v/>
      </c>
      <c r="X115" s="62">
        <f>IF($V115="","",IF(ISNUMBER($G115),1,IFERROR(LOOKUP(2,1/($I115:$L115&lt;&gt;""),$I115:$L115),0)))</f>
        <v/>
      </c>
      <c r="Y115" s="62">
        <f>IF($V115="","",IF(AND(ISNUMBER($G115),$G115&lt;=IF($S115=MesCiclo,InicioCiclo,$S115+MOD(2-WEEKDAY($S115),7))+6),1,IF(ISNUMBER($I115),$I115,0)))</f>
        <v/>
      </c>
      <c r="Z115" s="62">
        <f>IF($V115="","",IF(AND(ISNUMBER($G115),$G115&lt;=IF($S115=MesCiclo,InicioCiclo,$S115+MOD(2-WEEKDAY($S115),7))+13),1,IF(ISNUMBER($J115),$J115,$Y115)))</f>
        <v/>
      </c>
      <c r="AA115" s="62">
        <f>IF($V115="","",IF(AND(ISNUMBER($G115),$G115&lt;=IF($S115=MesCiclo,InicioCiclo,$S115+MOD(2-WEEKDAY($S115),7))+20),1,IF(ISNUMBER($K115),$K115,$Z115)))</f>
        <v/>
      </c>
      <c r="AB115" s="62">
        <f>IF($V115="","",IF(AND(ISNUMBER($G115),$G115&lt;=IF($S115=MesCiclo,InicioCiclo,$S115+MOD(2-WEEKDAY($S115),7))+27),1,IF(ISNUMBER($L115),$L115,$AA115)))</f>
        <v/>
      </c>
      <c r="AC115" s="62">
        <f>IF($V115="","",IF(AND(ISNUMBER($G115),$G115&lt;=IF($S115=MesCiclo,InicioCiclo,$S115+MOD(2-WEEKDAY($S115),7))+6),1,IF(N($W115)&gt;0,AVERAGEIFS($Y$5:$Y$1000,$U$5:$U$1000,ROW(),$V$5:$V$1000,"Sub"),$Y115)))</f>
        <v/>
      </c>
      <c r="AD115" s="62">
        <f>IF($V115="","",IF(AND(ISNUMBER($G115),$G115&lt;=IF($S115=MesCiclo,InicioCiclo,$S115+MOD(2-WEEKDAY($S115),7))+13),1,IF(N($W115)&gt;0,AVERAGEIFS($Z$5:$Z$1000,$U$5:$U$1000,ROW(),$V$5:$V$1000,"Sub"),$Z115)))</f>
        <v/>
      </c>
      <c r="AE115" s="62">
        <f>IF($V115="","",IF(AND(ISNUMBER($G115),$G115&lt;=IF($S115=MesCiclo,InicioCiclo,$S115+MOD(2-WEEKDAY($S115),7))+20),1,IF(N($W115)&gt;0,AVERAGEIFS($AA$5:$AA$1000,$U$5:$U$1000,ROW(),$V$5:$V$1000,"Sub"),$AA115)))</f>
        <v/>
      </c>
      <c r="AF115" s="62">
        <f>IF($V115="","",IF(AND(ISNUMBER($G115),$G115&lt;=IF($S115=MesCiclo,InicioCiclo,$S115+MOD(2-WEEKDAY($S115),7))+27),1,IF(N($W115)&gt;0,AVERAGEIFS($AB$5:$AB$1000,$U$5:$U$1000,ROW(),$V$5:$V$1000,"Sub"),$AB115)))</f>
        <v/>
      </c>
      <c r="AG115" s="62">
        <f>IF($V115&lt;&gt;"Macro","",IF(COUNTIFS($S$5:$S$1000,$S115,$V$5:$V$1000,"Macro",$H$5:$H$1000,"&gt;0")=0,1/COUNTIFS($S$5:$S$1000,$S115,$V$5:$V$1000,"Macro"),IF(AND(ISNUMBER($H115),N($H115)&gt;0),$H115,SUMIFS($H$5:$H$1000,$S$5:$S$1000,$S115,$V$5:$V$1000,"Macro")/COUNTIFS($S$5:$S$1000,$S115,$V$5:$V$1000,"Macro",$H$5:$H$1000,"&gt;0"))/(COUNTIFS($S$5:$S$1000,$S115,$V$5:$V$1000,"Macro")*SUMIFS($H$5:$H$1000,$S$5:$S$1000,$S115,$V$5:$V$1000,"Macro")/COUNTIFS($S$5:$S$1000,$S115,$V$5:$V$1000,"Macro",$H$5:$H$1000,"&gt;0"))))</f>
        <v/>
      </c>
      <c r="AH115" s="62" t="n"/>
      <c r="AI115" s="62" t="n"/>
      <c r="AJ115" s="62" t="n"/>
      <c r="AK115" s="62" t="n"/>
      <c r="AL115" s="62">
        <f>IF(LEFT($C115,11)="[Jefatura] ",IFERROR(MATCH("Riesgo Normativo|"&amp;MID($C115,12,500),rDname_ADM,0),0),"")</f>
        <v/>
      </c>
      <c r="AM115" s="62">
        <f>IF(N($AL115)&gt;0,INDEX(rIni_ADM,$AL115),IF(ISNUMBER($E115),$E115,""))</f>
        <v/>
      </c>
      <c r="AN115" s="62">
        <f>IF(N($AL115)&gt;0,INDEX(rLim_ADM,$AL115),IF(ISNUMBER($F115),$F115,""))</f>
        <v/>
      </c>
    </row>
    <row r="116">
      <c r="A116" s="56">
        <f>IF(NOT((COUNTA($B116:$D116)+COUNTA($G116:$L116)+COUNTA($Q116))&gt;0),"",IF($V116="Macro",COUNTIFS($V$5:$V116,"Macro",$S$5:$S116,$S116),IF(N($U116)=0,"?",COUNTIFS(INDEX($V$5:$V$1000,1):INDEX($V$5:$V$1000,$U116-4),"Macro",INDEX($S$5:$S$1000,1):INDEX($S$5:$S$1000,$U116-4),INDEX($S$5:$S$1000,$U116-4))&amp;"."&amp;COUNTIFS($U$5:$U116,$U116,$V$5:$V116,"Sub"))))</f>
        <v/>
      </c>
      <c r="B116" s="57" t="n"/>
      <c r="C116" s="58" t="n"/>
      <c r="D116" s="58" t="n"/>
      <c r="E116" s="59">
        <f>IF(N($AL116)&gt;0,INDEX(rIni_ADM,$AL116),"")</f>
        <v/>
      </c>
      <c r="F116" s="59">
        <f>IF(N($AL116)&gt;0,INDEX(rLim_ADM,$AL116),"")</f>
        <v/>
      </c>
      <c r="G116" s="59" t="n"/>
      <c r="H116" s="60" t="n"/>
      <c r="I116" s="60" t="n"/>
      <c r="J116" s="60" t="n"/>
      <c r="K116" s="60" t="n"/>
      <c r="L116" s="60" t="n"/>
      <c r="M116" s="61">
        <f>IF(NOT((COUNTA($B116:$D116)+COUNTA($G116:$L116)+COUNTA($Q116))&gt;0),"",IF($V116="Sub",IFERROR($X116/INDEX($W$5:$W$1000,$U116-4),""),IF(ISNUMBER($G116),1,IF(N($W116)&gt;0,AVERAGEIFS($X$5:$X$1000,$U$5:$U$1000,ROW(),$V$5:$V$1000,"Sub"),$X116))))</f>
        <v/>
      </c>
      <c r="N116" s="56">
        <f>IF(OR($M116="",$V116="Sub"),"",IF($M116&gt;=1,"Completado",IF($M116&gt;0,"En curso","Pendiente")))</f>
        <v/>
      </c>
      <c r="O116" s="56">
        <f>IF(OR(NOT((COUNTA($B116:$D116)+COUNTA($G116:$L116)+COUNTA($Q116))&gt;0),$V116="Sub"),"",IF(ISNUMBER($G116),IF(AND(ISNUMBER($AN116),$G116&gt;$AN116),"Cumplida con "&amp;($G116-$AN116)&amp;IF($G116-$AN116=1," día"," días")&amp;" de retraso","Cumplida"),IF(N($M116)&gt;=1,"Cumplida",IF(NOT(ISNUMBER($AN116)),"Sin fecha límite",IF($AN116&lt;FechaRef,"Vencida hace "&amp;(FechaRef-$AN116)&amp;IF(FechaRef-$AN116=1," día"," días"),IF($AN116=FechaRef,"Vence hoy",IF($AN116-FechaRef&lt;=DiasAlerta,"Vence en "&amp;($AN116-FechaRef)&amp;IF($AN116-FechaRef=1," día"," días"),"En plazo")))))))</f>
        <v/>
      </c>
      <c r="P116" s="62" t="n"/>
      <c r="Q116" s="58" t="n"/>
      <c r="R116" s="63">
        <f>IF(NOT((COUNTA($B116:$D116)+COUNTA($G116:$L116)+COUNTA($Q116))&gt;0),"",IF((IF($C116="","Falta el nombre de la actividad"&amp;" · ","")&amp;IF(AND($V116="Sub",N($U116)=0),"Subactividad sin macroactividad arriba"&amp;" · ","")&amp;IF($AM116="","Sin fecha de inicio"&amp;" · ","")&amp;IF($AN116="","Sin fecha límite"&amp;" · ","")&amp;IF(AND(LEFT($C116,11)="[Jefatura] ",N($AL116)=0),"No se encuentra en la hoja de la jefatura (elíjala de nuevo en la lista)"&amp;" · ","")&amp;IF(OR(AND($E116&lt;&gt;"",NOT(ISNUMBER($E116))),AND($F116&lt;&gt;"",NOT(ISNUMBER($F116))),AND($G116&lt;&gt;"",NOT(ISNUMBER($G116)))),"Fecha no válida"&amp;" · ","")&amp;IF(AND(ISNUMBER($AM116),ISNUMBER($AN116),$AM116&gt;$AN116),"Inicio posterior a fecha límite"&amp;" · ","")&amp;IF(AND($V116="Macro",$H116&lt;&gt;"",OR(NOT(ISNUMBER($H116)),$H116&lt;0,$H116&gt;1)),"Peso fuera de rango"&amp;" · ","")&amp;IF(AND($V116="Sub",$H116&lt;&gt;""),"Las subactividades no llevan peso (valen igual dentro de su macroactividad)"&amp;" · ","")&amp;IF(AND(N($W116)&gt;0,COUNT($I116:$L116)&gt;0),"Con subactividades: deje vacías las semanas (se calculan solas)"&amp;" · ","")&amp;IF((COUNTIF($I116:$L116,"&gt;1")+COUNTIF($I116:$L116,"&lt;0")+COUNTA($I116:$L116)-COUNT($I116:$L116))&gt;0,"Avance fuera de rango 0-100%"&amp;" · ","")&amp;IF(OR(AND($J116&lt;&gt;"",$J116&lt;$I116),AND($K116&lt;&gt;"",$K116&lt;MAX($I116:$J116)),AND($L116&lt;&gt;"",$L116&lt;MAX($I116:$K116))),"Avance semanal decreciente"&amp;" · ","")&amp;IF(AND(ISNUMBER($AN116),$AN116&lt;FechaRef,IF($V116="Sub",N($X116),N($M116))&lt;1),"Vencida"&amp;" · ","")&amp;IF(AND(ObsObligatoria="Sí",ISNUMBER($AN116),$AN116&lt;FechaRef,IF($V116="Sub",N($X116),N($M116))&lt;1,$Q116=""),"Vencida sin observación"&amp;" · ",""))="","✔ OK","⚠ "&amp;LEFT(IF($C116="","Falta el nombre de la actividad"&amp;" · ","")&amp;IF(AND($V116="Sub",N($U116)=0),"Subactividad sin macroactividad arriba"&amp;" · ","")&amp;IF($AM116="","Sin fecha de inicio"&amp;" · ","")&amp;IF($AN116="","Sin fecha límite"&amp;" · ","")&amp;IF(AND(LEFT($C116,11)="[Jefatura] ",N($AL116)=0),"No se encuentra en la hoja de la jefatura (elíjala de nuevo en la lista)"&amp;" · ","")&amp;IF(OR(AND($E116&lt;&gt;"",NOT(ISNUMBER($E116))),AND($F116&lt;&gt;"",NOT(ISNUMBER($F116))),AND($G116&lt;&gt;"",NOT(ISNUMBER($G116)))),"Fecha no válida"&amp;" · ","")&amp;IF(AND(ISNUMBER($AM116),ISNUMBER($AN116),$AM116&gt;$AN116),"Inicio posterior a fecha límite"&amp;" · ","")&amp;IF(AND($V116="Macro",$H116&lt;&gt;"",OR(NOT(ISNUMBER($H116)),$H116&lt;0,$H116&gt;1)),"Peso fuera de rango"&amp;" · ","")&amp;IF(AND($V116="Sub",$H116&lt;&gt;""),"Las subactividades no llevan peso (valen igual dentro de su macroactividad)"&amp;" · ","")&amp;IF(AND(N($W116)&gt;0,COUNT($I116:$L116)&gt;0),"Con subactividades: deje vacías las semanas (se calculan solas)"&amp;" · ","")&amp;IF((COUNTIF($I116:$L116,"&gt;1")+COUNTIF($I116:$L116,"&lt;0")+COUNTA($I116:$L116)-COUNT($I116:$L116))&gt;0,"Avance fuera de rango 0-100%"&amp;" · ","")&amp;IF(OR(AND($J116&lt;&gt;"",$J116&lt;$I116),AND($K116&lt;&gt;"",$K116&lt;MAX($I116:$J116)),AND($L116&lt;&gt;"",$L116&lt;MAX($I116:$K116))),"Avance semanal decreciente"&amp;" · ","")&amp;IF(AND(ISNUMBER($AN116),$AN116&lt;FechaRef,IF($V116="Sub",N($X116),N($M116))&lt;1),"Vencida"&amp;" · ","")&amp;IF(AND(ObsObligatoria="Sí",ISNUMBER($AN116),$AN116&lt;FechaRef,IF($V116="Sub",N($X116),N($M116))&lt;1,$Q116=""),"Vencida sin observación"&amp;" · ",""),LEN(IF($C116="","Falta el nombre de la actividad"&amp;" · ","")&amp;IF(AND($V116="Sub",N($U116)=0),"Subactividad sin macroactividad arriba"&amp;" · ","")&amp;IF($AM116="","Sin fecha de inicio"&amp;" · ","")&amp;IF($AN116="","Sin fecha límite"&amp;" · ","")&amp;IF(AND(LEFT($C116,11)="[Jefatura] ",N($AL116)=0),"No se encuentra en la hoja de la jefatura (elíjala de nuevo en la lista)"&amp;" · ","")&amp;IF(OR(AND($E116&lt;&gt;"",NOT(ISNUMBER($E116))),AND($F116&lt;&gt;"",NOT(ISNUMBER($F116))),AND($G116&lt;&gt;"",NOT(ISNUMBER($G116)))),"Fecha no válida"&amp;" · ","")&amp;IF(AND(ISNUMBER($AM116),ISNUMBER($AN116),$AM116&gt;$AN116),"Inicio posterior a fecha límite"&amp;" · ","")&amp;IF(AND($V116="Macro",$H116&lt;&gt;"",OR(NOT(ISNUMBER($H116)),$H116&lt;0,$H116&gt;1)),"Peso fuera de rango"&amp;" · ","")&amp;IF(AND($V116="Sub",$H116&lt;&gt;""),"Las subactividades no llevan peso (valen igual dentro de su macroactividad)"&amp;" · ","")&amp;IF(AND(N($W116)&gt;0,COUNT($I116:$L116)&gt;0),"Con subactividades: deje vacías las semanas (se calculan solas)"&amp;" · ","")&amp;IF((COUNTIF($I116:$L116,"&gt;1")+COUNTIF($I116:$L116,"&lt;0")+COUNTA($I116:$L116)-COUNT($I116:$L116))&gt;0,"Avance fuera de rango 0-100%"&amp;" · ","")&amp;IF(OR(AND($J116&lt;&gt;"",$J116&lt;$I116),AND($K116&lt;&gt;"",$K116&lt;MAX($I116:$J116)),AND($L116&lt;&gt;"",$L116&lt;MAX($I116:$K116))),"Avance semanal decreciente"&amp;" · ","")&amp;IF(AND(ISNUMBER($AN116),$AN116&lt;FechaRef,IF($V116="Sub",N($X116),N($M116))&lt;1),"Vencida"&amp;" · ","")&amp;IF(AND(ObsObligatoria="Sí",ISNUMBER($AN116),$AN116&lt;FechaRef,IF($V116="Sub",N($X116),N($M116))&lt;1,$Q116=""),"Vencida sin observación"&amp;" · ",""))-3)))</f>
        <v/>
      </c>
      <c r="S116" s="64">
        <f>IF(NOT((COUNTA($B116:$D116)+COUNTA($G116:$L116)+COUNTA($Q116))&gt;0),"",IF(AND($V116="Sub",N($U116)&gt;0),IF(ISNUMBER(INDEX($AM$5:$AM$1000,$U116-4)),DATE(YEAR(INDEX($AM$5:$AM$1000,$U116-4)),MONTH(INDEX($AM$5:$AM$1000,$U116-4)),1),IF(ISNUMBER(INDEX($AN$5:$AN$1000,$U116-4)),DATE(YEAR(INDEX($AN$5:$AN$1000,$U116-4)),MONTH(INDEX($AN$5:$AN$1000,$U116-4)),1),MesCiclo)),IF(ISNUMBER($AM116),DATE(YEAR($AM116),MONTH($AM116),1),IF(ISNUMBER($AN116),DATE(YEAR($AN116),MONTH($AN116),1),MesCiclo))))</f>
        <v/>
      </c>
      <c r="T116" s="62">
        <f>IF(OR($S116="",$S116&lt;&gt;MesCiclo,$V116&lt;&gt;"Macro"),"",COUNTIFS($S$5:$S116,MesCiclo,$V$5:$V116,"Macro"))</f>
        <v/>
      </c>
      <c r="U116" s="62">
        <f>IF($V116="","",IF($V116="Macro",ROW(),IFERROR(LOOKUP(2,1/($V$5:$V116="Macro"),ROW($V$5:$V116)),0)))</f>
        <v/>
      </c>
      <c r="V116" s="62">
        <f>IF(NOT((COUNTA($B116:$D116)+COUNTA($G116:$L116)+COUNTA($Q116))&gt;0),"",IF($B116="Subactividad","Sub","Macro"))</f>
        <v/>
      </c>
      <c r="W116" s="62">
        <f>IF($V116="Macro",COUNTIFS($U$5:$U$1000,ROW(),$V$5:$V$1000,"Sub"),"")</f>
        <v/>
      </c>
      <c r="X116" s="62">
        <f>IF($V116="","",IF(ISNUMBER($G116),1,IFERROR(LOOKUP(2,1/($I116:$L116&lt;&gt;""),$I116:$L116),0)))</f>
        <v/>
      </c>
      <c r="Y116" s="62">
        <f>IF($V116="","",IF(AND(ISNUMBER($G116),$G116&lt;=IF($S116=MesCiclo,InicioCiclo,$S116+MOD(2-WEEKDAY($S116),7))+6),1,IF(ISNUMBER($I116),$I116,0)))</f>
        <v/>
      </c>
      <c r="Z116" s="62">
        <f>IF($V116="","",IF(AND(ISNUMBER($G116),$G116&lt;=IF($S116=MesCiclo,InicioCiclo,$S116+MOD(2-WEEKDAY($S116),7))+13),1,IF(ISNUMBER($J116),$J116,$Y116)))</f>
        <v/>
      </c>
      <c r="AA116" s="62">
        <f>IF($V116="","",IF(AND(ISNUMBER($G116),$G116&lt;=IF($S116=MesCiclo,InicioCiclo,$S116+MOD(2-WEEKDAY($S116),7))+20),1,IF(ISNUMBER($K116),$K116,$Z116)))</f>
        <v/>
      </c>
      <c r="AB116" s="62">
        <f>IF($V116="","",IF(AND(ISNUMBER($G116),$G116&lt;=IF($S116=MesCiclo,InicioCiclo,$S116+MOD(2-WEEKDAY($S116),7))+27),1,IF(ISNUMBER($L116),$L116,$AA116)))</f>
        <v/>
      </c>
      <c r="AC116" s="62">
        <f>IF($V116="","",IF(AND(ISNUMBER($G116),$G116&lt;=IF($S116=MesCiclo,InicioCiclo,$S116+MOD(2-WEEKDAY($S116),7))+6),1,IF(N($W116)&gt;0,AVERAGEIFS($Y$5:$Y$1000,$U$5:$U$1000,ROW(),$V$5:$V$1000,"Sub"),$Y116)))</f>
        <v/>
      </c>
      <c r="AD116" s="62">
        <f>IF($V116="","",IF(AND(ISNUMBER($G116),$G116&lt;=IF($S116=MesCiclo,InicioCiclo,$S116+MOD(2-WEEKDAY($S116),7))+13),1,IF(N($W116)&gt;0,AVERAGEIFS($Z$5:$Z$1000,$U$5:$U$1000,ROW(),$V$5:$V$1000,"Sub"),$Z116)))</f>
        <v/>
      </c>
      <c r="AE116" s="62">
        <f>IF($V116="","",IF(AND(ISNUMBER($G116),$G116&lt;=IF($S116=MesCiclo,InicioCiclo,$S116+MOD(2-WEEKDAY($S116),7))+20),1,IF(N($W116)&gt;0,AVERAGEIFS($AA$5:$AA$1000,$U$5:$U$1000,ROW(),$V$5:$V$1000,"Sub"),$AA116)))</f>
        <v/>
      </c>
      <c r="AF116" s="62">
        <f>IF($V116="","",IF(AND(ISNUMBER($G116),$G116&lt;=IF($S116=MesCiclo,InicioCiclo,$S116+MOD(2-WEEKDAY($S116),7))+27),1,IF(N($W116)&gt;0,AVERAGEIFS($AB$5:$AB$1000,$U$5:$U$1000,ROW(),$V$5:$V$1000,"Sub"),$AB116)))</f>
        <v/>
      </c>
      <c r="AG116" s="62">
        <f>IF($V116&lt;&gt;"Macro","",IF(COUNTIFS($S$5:$S$1000,$S116,$V$5:$V$1000,"Macro",$H$5:$H$1000,"&gt;0")=0,1/COUNTIFS($S$5:$S$1000,$S116,$V$5:$V$1000,"Macro"),IF(AND(ISNUMBER($H116),N($H116)&gt;0),$H116,SUMIFS($H$5:$H$1000,$S$5:$S$1000,$S116,$V$5:$V$1000,"Macro")/COUNTIFS($S$5:$S$1000,$S116,$V$5:$V$1000,"Macro",$H$5:$H$1000,"&gt;0"))/(COUNTIFS($S$5:$S$1000,$S116,$V$5:$V$1000,"Macro")*SUMIFS($H$5:$H$1000,$S$5:$S$1000,$S116,$V$5:$V$1000,"Macro")/COUNTIFS($S$5:$S$1000,$S116,$V$5:$V$1000,"Macro",$H$5:$H$1000,"&gt;0"))))</f>
        <v/>
      </c>
      <c r="AH116" s="62" t="n"/>
      <c r="AI116" s="62" t="n"/>
      <c r="AJ116" s="62" t="n"/>
      <c r="AK116" s="62" t="n"/>
      <c r="AL116" s="62">
        <f>IF(LEFT($C116,11)="[Jefatura] ",IFERROR(MATCH("Riesgo Normativo|"&amp;MID($C116,12,500),rDname_ADM,0),0),"")</f>
        <v/>
      </c>
      <c r="AM116" s="62">
        <f>IF(N($AL116)&gt;0,INDEX(rIni_ADM,$AL116),IF(ISNUMBER($E116),$E116,""))</f>
        <v/>
      </c>
      <c r="AN116" s="62">
        <f>IF(N($AL116)&gt;0,INDEX(rLim_ADM,$AL116),IF(ISNUMBER($F116),$F116,""))</f>
        <v/>
      </c>
    </row>
    <row r="117">
      <c r="A117" s="56">
        <f>IF(NOT((COUNTA($B117:$D117)+COUNTA($G117:$L117)+COUNTA($Q117))&gt;0),"",IF($V117="Macro",COUNTIFS($V$5:$V117,"Macro",$S$5:$S117,$S117),IF(N($U117)=0,"?",COUNTIFS(INDEX($V$5:$V$1000,1):INDEX($V$5:$V$1000,$U117-4),"Macro",INDEX($S$5:$S$1000,1):INDEX($S$5:$S$1000,$U117-4),INDEX($S$5:$S$1000,$U117-4))&amp;"."&amp;COUNTIFS($U$5:$U117,$U117,$V$5:$V117,"Sub"))))</f>
        <v/>
      </c>
      <c r="B117" s="57" t="n"/>
      <c r="C117" s="58" t="n"/>
      <c r="D117" s="58" t="n"/>
      <c r="E117" s="59">
        <f>IF(N($AL117)&gt;0,INDEX(rIni_ADM,$AL117),"")</f>
        <v/>
      </c>
      <c r="F117" s="59">
        <f>IF(N($AL117)&gt;0,INDEX(rLim_ADM,$AL117),"")</f>
        <v/>
      </c>
      <c r="G117" s="59" t="n"/>
      <c r="H117" s="60" t="n"/>
      <c r="I117" s="60" t="n"/>
      <c r="J117" s="60" t="n"/>
      <c r="K117" s="60" t="n"/>
      <c r="L117" s="60" t="n"/>
      <c r="M117" s="61">
        <f>IF(NOT((COUNTA($B117:$D117)+COUNTA($G117:$L117)+COUNTA($Q117))&gt;0),"",IF($V117="Sub",IFERROR($X117/INDEX($W$5:$W$1000,$U117-4),""),IF(ISNUMBER($G117),1,IF(N($W117)&gt;0,AVERAGEIFS($X$5:$X$1000,$U$5:$U$1000,ROW(),$V$5:$V$1000,"Sub"),$X117))))</f>
        <v/>
      </c>
      <c r="N117" s="56">
        <f>IF(OR($M117="",$V117="Sub"),"",IF($M117&gt;=1,"Completado",IF($M117&gt;0,"En curso","Pendiente")))</f>
        <v/>
      </c>
      <c r="O117" s="56">
        <f>IF(OR(NOT((COUNTA($B117:$D117)+COUNTA($G117:$L117)+COUNTA($Q117))&gt;0),$V117="Sub"),"",IF(ISNUMBER($G117),IF(AND(ISNUMBER($AN117),$G117&gt;$AN117),"Cumplida con "&amp;($G117-$AN117)&amp;IF($G117-$AN117=1," día"," días")&amp;" de retraso","Cumplida"),IF(N($M117)&gt;=1,"Cumplida",IF(NOT(ISNUMBER($AN117)),"Sin fecha límite",IF($AN117&lt;FechaRef,"Vencida hace "&amp;(FechaRef-$AN117)&amp;IF(FechaRef-$AN117=1," día"," días"),IF($AN117=FechaRef,"Vence hoy",IF($AN117-FechaRef&lt;=DiasAlerta,"Vence en "&amp;($AN117-FechaRef)&amp;IF($AN117-FechaRef=1," día"," días"),"En plazo")))))))</f>
        <v/>
      </c>
      <c r="P117" s="62" t="n"/>
      <c r="Q117" s="58" t="n"/>
      <c r="R117" s="63">
        <f>IF(NOT((COUNTA($B117:$D117)+COUNTA($G117:$L117)+COUNTA($Q117))&gt;0),"",IF((IF($C117="","Falta el nombre de la actividad"&amp;" · ","")&amp;IF(AND($V117="Sub",N($U117)=0),"Subactividad sin macroactividad arriba"&amp;" · ","")&amp;IF($AM117="","Sin fecha de inicio"&amp;" · ","")&amp;IF($AN117="","Sin fecha límite"&amp;" · ","")&amp;IF(AND(LEFT($C117,11)="[Jefatura] ",N($AL117)=0),"No se encuentra en la hoja de la jefatura (elíjala de nuevo en la lista)"&amp;" · ","")&amp;IF(OR(AND($E117&lt;&gt;"",NOT(ISNUMBER($E117))),AND($F117&lt;&gt;"",NOT(ISNUMBER($F117))),AND($G117&lt;&gt;"",NOT(ISNUMBER($G117)))),"Fecha no válida"&amp;" · ","")&amp;IF(AND(ISNUMBER($AM117),ISNUMBER($AN117),$AM117&gt;$AN117),"Inicio posterior a fecha límite"&amp;" · ","")&amp;IF(AND($V117="Macro",$H117&lt;&gt;"",OR(NOT(ISNUMBER($H117)),$H117&lt;0,$H117&gt;1)),"Peso fuera de rango"&amp;" · ","")&amp;IF(AND($V117="Sub",$H117&lt;&gt;""),"Las subactividades no llevan peso (valen igual dentro de su macroactividad)"&amp;" · ","")&amp;IF(AND(N($W117)&gt;0,COUNT($I117:$L117)&gt;0),"Con subactividades: deje vacías las semanas (se calculan solas)"&amp;" · ","")&amp;IF((COUNTIF($I117:$L117,"&gt;1")+COUNTIF($I117:$L117,"&lt;0")+COUNTA($I117:$L117)-COUNT($I117:$L117))&gt;0,"Avance fuera de rango 0-100%"&amp;" · ","")&amp;IF(OR(AND($J117&lt;&gt;"",$J117&lt;$I117),AND($K117&lt;&gt;"",$K117&lt;MAX($I117:$J117)),AND($L117&lt;&gt;"",$L117&lt;MAX($I117:$K117))),"Avance semanal decreciente"&amp;" · ","")&amp;IF(AND(ISNUMBER($AN117),$AN117&lt;FechaRef,IF($V117="Sub",N($X117),N($M117))&lt;1),"Vencida"&amp;" · ","")&amp;IF(AND(ObsObligatoria="Sí",ISNUMBER($AN117),$AN117&lt;FechaRef,IF($V117="Sub",N($X117),N($M117))&lt;1,$Q117=""),"Vencida sin observación"&amp;" · ",""))="","✔ OK","⚠ "&amp;LEFT(IF($C117="","Falta el nombre de la actividad"&amp;" · ","")&amp;IF(AND($V117="Sub",N($U117)=0),"Subactividad sin macroactividad arriba"&amp;" · ","")&amp;IF($AM117="","Sin fecha de inicio"&amp;" · ","")&amp;IF($AN117="","Sin fecha límite"&amp;" · ","")&amp;IF(AND(LEFT($C117,11)="[Jefatura] ",N($AL117)=0),"No se encuentra en la hoja de la jefatura (elíjala de nuevo en la lista)"&amp;" · ","")&amp;IF(OR(AND($E117&lt;&gt;"",NOT(ISNUMBER($E117))),AND($F117&lt;&gt;"",NOT(ISNUMBER($F117))),AND($G117&lt;&gt;"",NOT(ISNUMBER($G117)))),"Fecha no válida"&amp;" · ","")&amp;IF(AND(ISNUMBER($AM117),ISNUMBER($AN117),$AM117&gt;$AN117),"Inicio posterior a fecha límite"&amp;" · ","")&amp;IF(AND($V117="Macro",$H117&lt;&gt;"",OR(NOT(ISNUMBER($H117)),$H117&lt;0,$H117&gt;1)),"Peso fuera de rango"&amp;" · ","")&amp;IF(AND($V117="Sub",$H117&lt;&gt;""),"Las subactividades no llevan peso (valen igual dentro de su macroactividad)"&amp;" · ","")&amp;IF(AND(N($W117)&gt;0,COUNT($I117:$L117)&gt;0),"Con subactividades: deje vacías las semanas (se calculan solas)"&amp;" · ","")&amp;IF((COUNTIF($I117:$L117,"&gt;1")+COUNTIF($I117:$L117,"&lt;0")+COUNTA($I117:$L117)-COUNT($I117:$L117))&gt;0,"Avance fuera de rango 0-100%"&amp;" · ","")&amp;IF(OR(AND($J117&lt;&gt;"",$J117&lt;$I117),AND($K117&lt;&gt;"",$K117&lt;MAX($I117:$J117)),AND($L117&lt;&gt;"",$L117&lt;MAX($I117:$K117))),"Avance semanal decreciente"&amp;" · ","")&amp;IF(AND(ISNUMBER($AN117),$AN117&lt;FechaRef,IF($V117="Sub",N($X117),N($M117))&lt;1),"Vencida"&amp;" · ","")&amp;IF(AND(ObsObligatoria="Sí",ISNUMBER($AN117),$AN117&lt;FechaRef,IF($V117="Sub",N($X117),N($M117))&lt;1,$Q117=""),"Vencida sin observación"&amp;" · ",""),LEN(IF($C117="","Falta el nombre de la actividad"&amp;" · ","")&amp;IF(AND($V117="Sub",N($U117)=0),"Subactividad sin macroactividad arriba"&amp;" · ","")&amp;IF($AM117="","Sin fecha de inicio"&amp;" · ","")&amp;IF($AN117="","Sin fecha límite"&amp;" · ","")&amp;IF(AND(LEFT($C117,11)="[Jefatura] ",N($AL117)=0),"No se encuentra en la hoja de la jefatura (elíjala de nuevo en la lista)"&amp;" · ","")&amp;IF(OR(AND($E117&lt;&gt;"",NOT(ISNUMBER($E117))),AND($F117&lt;&gt;"",NOT(ISNUMBER($F117))),AND($G117&lt;&gt;"",NOT(ISNUMBER($G117)))),"Fecha no válida"&amp;" · ","")&amp;IF(AND(ISNUMBER($AM117),ISNUMBER($AN117),$AM117&gt;$AN117),"Inicio posterior a fecha límite"&amp;" · ","")&amp;IF(AND($V117="Macro",$H117&lt;&gt;"",OR(NOT(ISNUMBER($H117)),$H117&lt;0,$H117&gt;1)),"Peso fuera de rango"&amp;" · ","")&amp;IF(AND($V117="Sub",$H117&lt;&gt;""),"Las subactividades no llevan peso (valen igual dentro de su macroactividad)"&amp;" · ","")&amp;IF(AND(N($W117)&gt;0,COUNT($I117:$L117)&gt;0),"Con subactividades: deje vacías las semanas (se calculan solas)"&amp;" · ","")&amp;IF((COUNTIF($I117:$L117,"&gt;1")+COUNTIF($I117:$L117,"&lt;0")+COUNTA($I117:$L117)-COUNT($I117:$L117))&gt;0,"Avance fuera de rango 0-100%"&amp;" · ","")&amp;IF(OR(AND($J117&lt;&gt;"",$J117&lt;$I117),AND($K117&lt;&gt;"",$K117&lt;MAX($I117:$J117)),AND($L117&lt;&gt;"",$L117&lt;MAX($I117:$K117))),"Avance semanal decreciente"&amp;" · ","")&amp;IF(AND(ISNUMBER($AN117),$AN117&lt;FechaRef,IF($V117="Sub",N($X117),N($M117))&lt;1),"Vencida"&amp;" · ","")&amp;IF(AND(ObsObligatoria="Sí",ISNUMBER($AN117),$AN117&lt;FechaRef,IF($V117="Sub",N($X117),N($M117))&lt;1,$Q117=""),"Vencida sin observación"&amp;" · ",""))-3)))</f>
        <v/>
      </c>
      <c r="S117" s="64">
        <f>IF(NOT((COUNTA($B117:$D117)+COUNTA($G117:$L117)+COUNTA($Q117))&gt;0),"",IF(AND($V117="Sub",N($U117)&gt;0),IF(ISNUMBER(INDEX($AM$5:$AM$1000,$U117-4)),DATE(YEAR(INDEX($AM$5:$AM$1000,$U117-4)),MONTH(INDEX($AM$5:$AM$1000,$U117-4)),1),IF(ISNUMBER(INDEX($AN$5:$AN$1000,$U117-4)),DATE(YEAR(INDEX($AN$5:$AN$1000,$U117-4)),MONTH(INDEX($AN$5:$AN$1000,$U117-4)),1),MesCiclo)),IF(ISNUMBER($AM117),DATE(YEAR($AM117),MONTH($AM117),1),IF(ISNUMBER($AN117),DATE(YEAR($AN117),MONTH($AN117),1),MesCiclo))))</f>
        <v/>
      </c>
      <c r="T117" s="62">
        <f>IF(OR($S117="",$S117&lt;&gt;MesCiclo,$V117&lt;&gt;"Macro"),"",COUNTIFS($S$5:$S117,MesCiclo,$V$5:$V117,"Macro"))</f>
        <v/>
      </c>
      <c r="U117" s="62">
        <f>IF($V117="","",IF($V117="Macro",ROW(),IFERROR(LOOKUP(2,1/($V$5:$V117="Macro"),ROW($V$5:$V117)),0)))</f>
        <v/>
      </c>
      <c r="V117" s="62">
        <f>IF(NOT((COUNTA($B117:$D117)+COUNTA($G117:$L117)+COUNTA($Q117))&gt;0),"",IF($B117="Subactividad","Sub","Macro"))</f>
        <v/>
      </c>
      <c r="W117" s="62">
        <f>IF($V117="Macro",COUNTIFS($U$5:$U$1000,ROW(),$V$5:$V$1000,"Sub"),"")</f>
        <v/>
      </c>
      <c r="X117" s="62">
        <f>IF($V117="","",IF(ISNUMBER($G117),1,IFERROR(LOOKUP(2,1/($I117:$L117&lt;&gt;""),$I117:$L117),0)))</f>
        <v/>
      </c>
      <c r="Y117" s="62">
        <f>IF($V117="","",IF(AND(ISNUMBER($G117),$G117&lt;=IF($S117=MesCiclo,InicioCiclo,$S117+MOD(2-WEEKDAY($S117),7))+6),1,IF(ISNUMBER($I117),$I117,0)))</f>
        <v/>
      </c>
      <c r="Z117" s="62">
        <f>IF($V117="","",IF(AND(ISNUMBER($G117),$G117&lt;=IF($S117=MesCiclo,InicioCiclo,$S117+MOD(2-WEEKDAY($S117),7))+13),1,IF(ISNUMBER($J117),$J117,$Y117)))</f>
        <v/>
      </c>
      <c r="AA117" s="62">
        <f>IF($V117="","",IF(AND(ISNUMBER($G117),$G117&lt;=IF($S117=MesCiclo,InicioCiclo,$S117+MOD(2-WEEKDAY($S117),7))+20),1,IF(ISNUMBER($K117),$K117,$Z117)))</f>
        <v/>
      </c>
      <c r="AB117" s="62">
        <f>IF($V117="","",IF(AND(ISNUMBER($G117),$G117&lt;=IF($S117=MesCiclo,InicioCiclo,$S117+MOD(2-WEEKDAY($S117),7))+27),1,IF(ISNUMBER($L117),$L117,$AA117)))</f>
        <v/>
      </c>
      <c r="AC117" s="62">
        <f>IF($V117="","",IF(AND(ISNUMBER($G117),$G117&lt;=IF($S117=MesCiclo,InicioCiclo,$S117+MOD(2-WEEKDAY($S117),7))+6),1,IF(N($W117)&gt;0,AVERAGEIFS($Y$5:$Y$1000,$U$5:$U$1000,ROW(),$V$5:$V$1000,"Sub"),$Y117)))</f>
        <v/>
      </c>
      <c r="AD117" s="62">
        <f>IF($V117="","",IF(AND(ISNUMBER($G117),$G117&lt;=IF($S117=MesCiclo,InicioCiclo,$S117+MOD(2-WEEKDAY($S117),7))+13),1,IF(N($W117)&gt;0,AVERAGEIFS($Z$5:$Z$1000,$U$5:$U$1000,ROW(),$V$5:$V$1000,"Sub"),$Z117)))</f>
        <v/>
      </c>
      <c r="AE117" s="62">
        <f>IF($V117="","",IF(AND(ISNUMBER($G117),$G117&lt;=IF($S117=MesCiclo,InicioCiclo,$S117+MOD(2-WEEKDAY($S117),7))+20),1,IF(N($W117)&gt;0,AVERAGEIFS($AA$5:$AA$1000,$U$5:$U$1000,ROW(),$V$5:$V$1000,"Sub"),$AA117)))</f>
        <v/>
      </c>
      <c r="AF117" s="62">
        <f>IF($V117="","",IF(AND(ISNUMBER($G117),$G117&lt;=IF($S117=MesCiclo,InicioCiclo,$S117+MOD(2-WEEKDAY($S117),7))+27),1,IF(N($W117)&gt;0,AVERAGEIFS($AB$5:$AB$1000,$U$5:$U$1000,ROW(),$V$5:$V$1000,"Sub"),$AB117)))</f>
        <v/>
      </c>
      <c r="AG117" s="62">
        <f>IF($V117&lt;&gt;"Macro","",IF(COUNTIFS($S$5:$S$1000,$S117,$V$5:$V$1000,"Macro",$H$5:$H$1000,"&gt;0")=0,1/COUNTIFS($S$5:$S$1000,$S117,$V$5:$V$1000,"Macro"),IF(AND(ISNUMBER($H117),N($H117)&gt;0),$H117,SUMIFS($H$5:$H$1000,$S$5:$S$1000,$S117,$V$5:$V$1000,"Macro")/COUNTIFS($S$5:$S$1000,$S117,$V$5:$V$1000,"Macro",$H$5:$H$1000,"&gt;0"))/(COUNTIFS($S$5:$S$1000,$S117,$V$5:$V$1000,"Macro")*SUMIFS($H$5:$H$1000,$S$5:$S$1000,$S117,$V$5:$V$1000,"Macro")/COUNTIFS($S$5:$S$1000,$S117,$V$5:$V$1000,"Macro",$H$5:$H$1000,"&gt;0"))))</f>
        <v/>
      </c>
      <c r="AH117" s="62" t="n"/>
      <c r="AI117" s="62" t="n"/>
      <c r="AJ117" s="62" t="n"/>
      <c r="AK117" s="62" t="n"/>
      <c r="AL117" s="62">
        <f>IF(LEFT($C117,11)="[Jefatura] ",IFERROR(MATCH("Riesgo Normativo|"&amp;MID($C117,12,500),rDname_ADM,0),0),"")</f>
        <v/>
      </c>
      <c r="AM117" s="62">
        <f>IF(N($AL117)&gt;0,INDEX(rIni_ADM,$AL117),IF(ISNUMBER($E117),$E117,""))</f>
        <v/>
      </c>
      <c r="AN117" s="62">
        <f>IF(N($AL117)&gt;0,INDEX(rLim_ADM,$AL117),IF(ISNUMBER($F117),$F117,""))</f>
        <v/>
      </c>
    </row>
    <row r="118">
      <c r="A118" s="56">
        <f>IF(NOT((COUNTA($B118:$D118)+COUNTA($G118:$L118)+COUNTA($Q118))&gt;0),"",IF($V118="Macro",COUNTIFS($V$5:$V118,"Macro",$S$5:$S118,$S118),IF(N($U118)=0,"?",COUNTIFS(INDEX($V$5:$V$1000,1):INDEX($V$5:$V$1000,$U118-4),"Macro",INDEX($S$5:$S$1000,1):INDEX($S$5:$S$1000,$U118-4),INDEX($S$5:$S$1000,$U118-4))&amp;"."&amp;COUNTIFS($U$5:$U118,$U118,$V$5:$V118,"Sub"))))</f>
        <v/>
      </c>
      <c r="B118" s="57" t="n"/>
      <c r="C118" s="58" t="n"/>
      <c r="D118" s="58" t="n"/>
      <c r="E118" s="59">
        <f>IF(N($AL118)&gt;0,INDEX(rIni_ADM,$AL118),"")</f>
        <v/>
      </c>
      <c r="F118" s="59">
        <f>IF(N($AL118)&gt;0,INDEX(rLim_ADM,$AL118),"")</f>
        <v/>
      </c>
      <c r="G118" s="59" t="n"/>
      <c r="H118" s="60" t="n"/>
      <c r="I118" s="60" t="n"/>
      <c r="J118" s="60" t="n"/>
      <c r="K118" s="60" t="n"/>
      <c r="L118" s="60" t="n"/>
      <c r="M118" s="61">
        <f>IF(NOT((COUNTA($B118:$D118)+COUNTA($G118:$L118)+COUNTA($Q118))&gt;0),"",IF($V118="Sub",IFERROR($X118/INDEX($W$5:$W$1000,$U118-4),""),IF(ISNUMBER($G118),1,IF(N($W118)&gt;0,AVERAGEIFS($X$5:$X$1000,$U$5:$U$1000,ROW(),$V$5:$V$1000,"Sub"),$X118))))</f>
        <v/>
      </c>
      <c r="N118" s="56">
        <f>IF(OR($M118="",$V118="Sub"),"",IF($M118&gt;=1,"Completado",IF($M118&gt;0,"En curso","Pendiente")))</f>
        <v/>
      </c>
      <c r="O118" s="56">
        <f>IF(OR(NOT((COUNTA($B118:$D118)+COUNTA($G118:$L118)+COUNTA($Q118))&gt;0),$V118="Sub"),"",IF(ISNUMBER($G118),IF(AND(ISNUMBER($AN118),$G118&gt;$AN118),"Cumplida con "&amp;($G118-$AN118)&amp;IF($G118-$AN118=1," día"," días")&amp;" de retraso","Cumplida"),IF(N($M118)&gt;=1,"Cumplida",IF(NOT(ISNUMBER($AN118)),"Sin fecha límite",IF($AN118&lt;FechaRef,"Vencida hace "&amp;(FechaRef-$AN118)&amp;IF(FechaRef-$AN118=1," día"," días"),IF($AN118=FechaRef,"Vence hoy",IF($AN118-FechaRef&lt;=DiasAlerta,"Vence en "&amp;($AN118-FechaRef)&amp;IF($AN118-FechaRef=1," día"," días"),"En plazo")))))))</f>
        <v/>
      </c>
      <c r="P118" s="62" t="n"/>
      <c r="Q118" s="58" t="n"/>
      <c r="R118" s="63">
        <f>IF(NOT((COUNTA($B118:$D118)+COUNTA($G118:$L118)+COUNTA($Q118))&gt;0),"",IF((IF($C118="","Falta el nombre de la actividad"&amp;" · ","")&amp;IF(AND($V118="Sub",N($U118)=0),"Subactividad sin macroactividad arriba"&amp;" · ","")&amp;IF($AM118="","Sin fecha de inicio"&amp;" · ","")&amp;IF($AN118="","Sin fecha límite"&amp;" · ","")&amp;IF(AND(LEFT($C118,11)="[Jefatura] ",N($AL118)=0),"No se encuentra en la hoja de la jefatura (elíjala de nuevo en la lista)"&amp;" · ","")&amp;IF(OR(AND($E118&lt;&gt;"",NOT(ISNUMBER($E118))),AND($F118&lt;&gt;"",NOT(ISNUMBER($F118))),AND($G118&lt;&gt;"",NOT(ISNUMBER($G118)))),"Fecha no válida"&amp;" · ","")&amp;IF(AND(ISNUMBER($AM118),ISNUMBER($AN118),$AM118&gt;$AN118),"Inicio posterior a fecha límite"&amp;" · ","")&amp;IF(AND($V118="Macro",$H118&lt;&gt;"",OR(NOT(ISNUMBER($H118)),$H118&lt;0,$H118&gt;1)),"Peso fuera de rango"&amp;" · ","")&amp;IF(AND($V118="Sub",$H118&lt;&gt;""),"Las subactividades no llevan peso (valen igual dentro de su macroactividad)"&amp;" · ","")&amp;IF(AND(N($W118)&gt;0,COUNT($I118:$L118)&gt;0),"Con subactividades: deje vacías las semanas (se calculan solas)"&amp;" · ","")&amp;IF((COUNTIF($I118:$L118,"&gt;1")+COUNTIF($I118:$L118,"&lt;0")+COUNTA($I118:$L118)-COUNT($I118:$L118))&gt;0,"Avance fuera de rango 0-100%"&amp;" · ","")&amp;IF(OR(AND($J118&lt;&gt;"",$J118&lt;$I118),AND($K118&lt;&gt;"",$K118&lt;MAX($I118:$J118)),AND($L118&lt;&gt;"",$L118&lt;MAX($I118:$K118))),"Avance semanal decreciente"&amp;" · ","")&amp;IF(AND(ISNUMBER($AN118),$AN118&lt;FechaRef,IF($V118="Sub",N($X118),N($M118))&lt;1),"Vencida"&amp;" · ","")&amp;IF(AND(ObsObligatoria="Sí",ISNUMBER($AN118),$AN118&lt;FechaRef,IF($V118="Sub",N($X118),N($M118))&lt;1,$Q118=""),"Vencida sin observación"&amp;" · ",""))="","✔ OK","⚠ "&amp;LEFT(IF($C118="","Falta el nombre de la actividad"&amp;" · ","")&amp;IF(AND($V118="Sub",N($U118)=0),"Subactividad sin macroactividad arriba"&amp;" · ","")&amp;IF($AM118="","Sin fecha de inicio"&amp;" · ","")&amp;IF($AN118="","Sin fecha límite"&amp;" · ","")&amp;IF(AND(LEFT($C118,11)="[Jefatura] ",N($AL118)=0),"No se encuentra en la hoja de la jefatura (elíjala de nuevo en la lista)"&amp;" · ","")&amp;IF(OR(AND($E118&lt;&gt;"",NOT(ISNUMBER($E118))),AND($F118&lt;&gt;"",NOT(ISNUMBER($F118))),AND($G118&lt;&gt;"",NOT(ISNUMBER($G118)))),"Fecha no válida"&amp;" · ","")&amp;IF(AND(ISNUMBER($AM118),ISNUMBER($AN118),$AM118&gt;$AN118),"Inicio posterior a fecha límite"&amp;" · ","")&amp;IF(AND($V118="Macro",$H118&lt;&gt;"",OR(NOT(ISNUMBER($H118)),$H118&lt;0,$H118&gt;1)),"Peso fuera de rango"&amp;" · ","")&amp;IF(AND($V118="Sub",$H118&lt;&gt;""),"Las subactividades no llevan peso (valen igual dentro de su macroactividad)"&amp;" · ","")&amp;IF(AND(N($W118)&gt;0,COUNT($I118:$L118)&gt;0),"Con subactividades: deje vacías las semanas (se calculan solas)"&amp;" · ","")&amp;IF((COUNTIF($I118:$L118,"&gt;1")+COUNTIF($I118:$L118,"&lt;0")+COUNTA($I118:$L118)-COUNT($I118:$L118))&gt;0,"Avance fuera de rango 0-100%"&amp;" · ","")&amp;IF(OR(AND($J118&lt;&gt;"",$J118&lt;$I118),AND($K118&lt;&gt;"",$K118&lt;MAX($I118:$J118)),AND($L118&lt;&gt;"",$L118&lt;MAX($I118:$K118))),"Avance semanal decreciente"&amp;" · ","")&amp;IF(AND(ISNUMBER($AN118),$AN118&lt;FechaRef,IF($V118="Sub",N($X118),N($M118))&lt;1),"Vencida"&amp;" · ","")&amp;IF(AND(ObsObligatoria="Sí",ISNUMBER($AN118),$AN118&lt;FechaRef,IF($V118="Sub",N($X118),N($M118))&lt;1,$Q118=""),"Vencida sin observación"&amp;" · ",""),LEN(IF($C118="","Falta el nombre de la actividad"&amp;" · ","")&amp;IF(AND($V118="Sub",N($U118)=0),"Subactividad sin macroactividad arriba"&amp;" · ","")&amp;IF($AM118="","Sin fecha de inicio"&amp;" · ","")&amp;IF($AN118="","Sin fecha límite"&amp;" · ","")&amp;IF(AND(LEFT($C118,11)="[Jefatura] ",N($AL118)=0),"No se encuentra en la hoja de la jefatura (elíjala de nuevo en la lista)"&amp;" · ","")&amp;IF(OR(AND($E118&lt;&gt;"",NOT(ISNUMBER($E118))),AND($F118&lt;&gt;"",NOT(ISNUMBER($F118))),AND($G118&lt;&gt;"",NOT(ISNUMBER($G118)))),"Fecha no válida"&amp;" · ","")&amp;IF(AND(ISNUMBER($AM118),ISNUMBER($AN118),$AM118&gt;$AN118),"Inicio posterior a fecha límite"&amp;" · ","")&amp;IF(AND($V118="Macro",$H118&lt;&gt;"",OR(NOT(ISNUMBER($H118)),$H118&lt;0,$H118&gt;1)),"Peso fuera de rango"&amp;" · ","")&amp;IF(AND($V118="Sub",$H118&lt;&gt;""),"Las subactividades no llevan peso (valen igual dentro de su macroactividad)"&amp;" · ","")&amp;IF(AND(N($W118)&gt;0,COUNT($I118:$L118)&gt;0),"Con subactividades: deje vacías las semanas (se calculan solas)"&amp;" · ","")&amp;IF((COUNTIF($I118:$L118,"&gt;1")+COUNTIF($I118:$L118,"&lt;0")+COUNTA($I118:$L118)-COUNT($I118:$L118))&gt;0,"Avance fuera de rango 0-100%"&amp;" · ","")&amp;IF(OR(AND($J118&lt;&gt;"",$J118&lt;$I118),AND($K118&lt;&gt;"",$K118&lt;MAX($I118:$J118)),AND($L118&lt;&gt;"",$L118&lt;MAX($I118:$K118))),"Avance semanal decreciente"&amp;" · ","")&amp;IF(AND(ISNUMBER($AN118),$AN118&lt;FechaRef,IF($V118="Sub",N($X118),N($M118))&lt;1),"Vencida"&amp;" · ","")&amp;IF(AND(ObsObligatoria="Sí",ISNUMBER($AN118),$AN118&lt;FechaRef,IF($V118="Sub",N($X118),N($M118))&lt;1,$Q118=""),"Vencida sin observación"&amp;" · ",""))-3)))</f>
        <v/>
      </c>
      <c r="S118" s="64">
        <f>IF(NOT((COUNTA($B118:$D118)+COUNTA($G118:$L118)+COUNTA($Q118))&gt;0),"",IF(AND($V118="Sub",N($U118)&gt;0),IF(ISNUMBER(INDEX($AM$5:$AM$1000,$U118-4)),DATE(YEAR(INDEX($AM$5:$AM$1000,$U118-4)),MONTH(INDEX($AM$5:$AM$1000,$U118-4)),1),IF(ISNUMBER(INDEX($AN$5:$AN$1000,$U118-4)),DATE(YEAR(INDEX($AN$5:$AN$1000,$U118-4)),MONTH(INDEX($AN$5:$AN$1000,$U118-4)),1),MesCiclo)),IF(ISNUMBER($AM118),DATE(YEAR($AM118),MONTH($AM118),1),IF(ISNUMBER($AN118),DATE(YEAR($AN118),MONTH($AN118),1),MesCiclo))))</f>
        <v/>
      </c>
      <c r="T118" s="62">
        <f>IF(OR($S118="",$S118&lt;&gt;MesCiclo,$V118&lt;&gt;"Macro"),"",COUNTIFS($S$5:$S118,MesCiclo,$V$5:$V118,"Macro"))</f>
        <v/>
      </c>
      <c r="U118" s="62">
        <f>IF($V118="","",IF($V118="Macro",ROW(),IFERROR(LOOKUP(2,1/($V$5:$V118="Macro"),ROW($V$5:$V118)),0)))</f>
        <v/>
      </c>
      <c r="V118" s="62">
        <f>IF(NOT((COUNTA($B118:$D118)+COUNTA($G118:$L118)+COUNTA($Q118))&gt;0),"",IF($B118="Subactividad","Sub","Macro"))</f>
        <v/>
      </c>
      <c r="W118" s="62">
        <f>IF($V118="Macro",COUNTIFS($U$5:$U$1000,ROW(),$V$5:$V$1000,"Sub"),"")</f>
        <v/>
      </c>
      <c r="X118" s="62">
        <f>IF($V118="","",IF(ISNUMBER($G118),1,IFERROR(LOOKUP(2,1/($I118:$L118&lt;&gt;""),$I118:$L118),0)))</f>
        <v/>
      </c>
      <c r="Y118" s="62">
        <f>IF($V118="","",IF(AND(ISNUMBER($G118),$G118&lt;=IF($S118=MesCiclo,InicioCiclo,$S118+MOD(2-WEEKDAY($S118),7))+6),1,IF(ISNUMBER($I118),$I118,0)))</f>
        <v/>
      </c>
      <c r="Z118" s="62">
        <f>IF($V118="","",IF(AND(ISNUMBER($G118),$G118&lt;=IF($S118=MesCiclo,InicioCiclo,$S118+MOD(2-WEEKDAY($S118),7))+13),1,IF(ISNUMBER($J118),$J118,$Y118)))</f>
        <v/>
      </c>
      <c r="AA118" s="62">
        <f>IF($V118="","",IF(AND(ISNUMBER($G118),$G118&lt;=IF($S118=MesCiclo,InicioCiclo,$S118+MOD(2-WEEKDAY($S118),7))+20),1,IF(ISNUMBER($K118),$K118,$Z118)))</f>
        <v/>
      </c>
      <c r="AB118" s="62">
        <f>IF($V118="","",IF(AND(ISNUMBER($G118),$G118&lt;=IF($S118=MesCiclo,InicioCiclo,$S118+MOD(2-WEEKDAY($S118),7))+27),1,IF(ISNUMBER($L118),$L118,$AA118)))</f>
        <v/>
      </c>
      <c r="AC118" s="62">
        <f>IF($V118="","",IF(AND(ISNUMBER($G118),$G118&lt;=IF($S118=MesCiclo,InicioCiclo,$S118+MOD(2-WEEKDAY($S118),7))+6),1,IF(N($W118)&gt;0,AVERAGEIFS($Y$5:$Y$1000,$U$5:$U$1000,ROW(),$V$5:$V$1000,"Sub"),$Y118)))</f>
        <v/>
      </c>
      <c r="AD118" s="62">
        <f>IF($V118="","",IF(AND(ISNUMBER($G118),$G118&lt;=IF($S118=MesCiclo,InicioCiclo,$S118+MOD(2-WEEKDAY($S118),7))+13),1,IF(N($W118)&gt;0,AVERAGEIFS($Z$5:$Z$1000,$U$5:$U$1000,ROW(),$V$5:$V$1000,"Sub"),$Z118)))</f>
        <v/>
      </c>
      <c r="AE118" s="62">
        <f>IF($V118="","",IF(AND(ISNUMBER($G118),$G118&lt;=IF($S118=MesCiclo,InicioCiclo,$S118+MOD(2-WEEKDAY($S118),7))+20),1,IF(N($W118)&gt;0,AVERAGEIFS($AA$5:$AA$1000,$U$5:$U$1000,ROW(),$V$5:$V$1000,"Sub"),$AA118)))</f>
        <v/>
      </c>
      <c r="AF118" s="62">
        <f>IF($V118="","",IF(AND(ISNUMBER($G118),$G118&lt;=IF($S118=MesCiclo,InicioCiclo,$S118+MOD(2-WEEKDAY($S118),7))+27),1,IF(N($W118)&gt;0,AVERAGEIFS($AB$5:$AB$1000,$U$5:$U$1000,ROW(),$V$5:$V$1000,"Sub"),$AB118)))</f>
        <v/>
      </c>
      <c r="AG118" s="62">
        <f>IF($V118&lt;&gt;"Macro","",IF(COUNTIFS($S$5:$S$1000,$S118,$V$5:$V$1000,"Macro",$H$5:$H$1000,"&gt;0")=0,1/COUNTIFS($S$5:$S$1000,$S118,$V$5:$V$1000,"Macro"),IF(AND(ISNUMBER($H118),N($H118)&gt;0),$H118,SUMIFS($H$5:$H$1000,$S$5:$S$1000,$S118,$V$5:$V$1000,"Macro")/COUNTIFS($S$5:$S$1000,$S118,$V$5:$V$1000,"Macro",$H$5:$H$1000,"&gt;0"))/(COUNTIFS($S$5:$S$1000,$S118,$V$5:$V$1000,"Macro")*SUMIFS($H$5:$H$1000,$S$5:$S$1000,$S118,$V$5:$V$1000,"Macro")/COUNTIFS($S$5:$S$1000,$S118,$V$5:$V$1000,"Macro",$H$5:$H$1000,"&gt;0"))))</f>
        <v/>
      </c>
      <c r="AH118" s="62" t="n"/>
      <c r="AI118" s="62" t="n"/>
      <c r="AJ118" s="62" t="n"/>
      <c r="AK118" s="62" t="n"/>
      <c r="AL118" s="62">
        <f>IF(LEFT($C118,11)="[Jefatura] ",IFERROR(MATCH("Riesgo Normativo|"&amp;MID($C118,12,500),rDname_ADM,0),0),"")</f>
        <v/>
      </c>
      <c r="AM118" s="62">
        <f>IF(N($AL118)&gt;0,INDEX(rIni_ADM,$AL118),IF(ISNUMBER($E118),$E118,""))</f>
        <v/>
      </c>
      <c r="AN118" s="62">
        <f>IF(N($AL118)&gt;0,INDEX(rLim_ADM,$AL118),IF(ISNUMBER($F118),$F118,""))</f>
        <v/>
      </c>
    </row>
    <row r="119">
      <c r="A119" s="56">
        <f>IF(NOT((COUNTA($B119:$D119)+COUNTA($G119:$L119)+COUNTA($Q119))&gt;0),"",IF($V119="Macro",COUNTIFS($V$5:$V119,"Macro",$S$5:$S119,$S119),IF(N($U119)=0,"?",COUNTIFS(INDEX($V$5:$V$1000,1):INDEX($V$5:$V$1000,$U119-4),"Macro",INDEX($S$5:$S$1000,1):INDEX($S$5:$S$1000,$U119-4),INDEX($S$5:$S$1000,$U119-4))&amp;"."&amp;COUNTIFS($U$5:$U119,$U119,$V$5:$V119,"Sub"))))</f>
        <v/>
      </c>
      <c r="B119" s="57" t="n"/>
      <c r="C119" s="58" t="n"/>
      <c r="D119" s="58" t="n"/>
      <c r="E119" s="59">
        <f>IF(N($AL119)&gt;0,INDEX(rIni_ADM,$AL119),"")</f>
        <v/>
      </c>
      <c r="F119" s="59">
        <f>IF(N($AL119)&gt;0,INDEX(rLim_ADM,$AL119),"")</f>
        <v/>
      </c>
      <c r="G119" s="59" t="n"/>
      <c r="H119" s="60" t="n"/>
      <c r="I119" s="60" t="n"/>
      <c r="J119" s="60" t="n"/>
      <c r="K119" s="60" t="n"/>
      <c r="L119" s="60" t="n"/>
      <c r="M119" s="61">
        <f>IF(NOT((COUNTA($B119:$D119)+COUNTA($G119:$L119)+COUNTA($Q119))&gt;0),"",IF($V119="Sub",IFERROR($X119/INDEX($W$5:$W$1000,$U119-4),""),IF(ISNUMBER($G119),1,IF(N($W119)&gt;0,AVERAGEIFS($X$5:$X$1000,$U$5:$U$1000,ROW(),$V$5:$V$1000,"Sub"),$X119))))</f>
        <v/>
      </c>
      <c r="N119" s="56">
        <f>IF(OR($M119="",$V119="Sub"),"",IF($M119&gt;=1,"Completado",IF($M119&gt;0,"En curso","Pendiente")))</f>
        <v/>
      </c>
      <c r="O119" s="56">
        <f>IF(OR(NOT((COUNTA($B119:$D119)+COUNTA($G119:$L119)+COUNTA($Q119))&gt;0),$V119="Sub"),"",IF(ISNUMBER($G119),IF(AND(ISNUMBER($AN119),$G119&gt;$AN119),"Cumplida con "&amp;($G119-$AN119)&amp;IF($G119-$AN119=1," día"," días")&amp;" de retraso","Cumplida"),IF(N($M119)&gt;=1,"Cumplida",IF(NOT(ISNUMBER($AN119)),"Sin fecha límite",IF($AN119&lt;FechaRef,"Vencida hace "&amp;(FechaRef-$AN119)&amp;IF(FechaRef-$AN119=1," día"," días"),IF($AN119=FechaRef,"Vence hoy",IF($AN119-FechaRef&lt;=DiasAlerta,"Vence en "&amp;($AN119-FechaRef)&amp;IF($AN119-FechaRef=1," día"," días"),"En plazo")))))))</f>
        <v/>
      </c>
      <c r="P119" s="62" t="n"/>
      <c r="Q119" s="58" t="n"/>
      <c r="R119" s="63">
        <f>IF(NOT((COUNTA($B119:$D119)+COUNTA($G119:$L119)+COUNTA($Q119))&gt;0),"",IF((IF($C119="","Falta el nombre de la actividad"&amp;" · ","")&amp;IF(AND($V119="Sub",N($U119)=0),"Subactividad sin macroactividad arriba"&amp;" · ","")&amp;IF($AM119="","Sin fecha de inicio"&amp;" · ","")&amp;IF($AN119="","Sin fecha límite"&amp;" · ","")&amp;IF(AND(LEFT($C119,11)="[Jefatura] ",N($AL119)=0),"No se encuentra en la hoja de la jefatura (elíjala de nuevo en la lista)"&amp;" · ","")&amp;IF(OR(AND($E119&lt;&gt;"",NOT(ISNUMBER($E119))),AND($F119&lt;&gt;"",NOT(ISNUMBER($F119))),AND($G119&lt;&gt;"",NOT(ISNUMBER($G119)))),"Fecha no válida"&amp;" · ","")&amp;IF(AND(ISNUMBER($AM119),ISNUMBER($AN119),$AM119&gt;$AN119),"Inicio posterior a fecha límite"&amp;" · ","")&amp;IF(AND($V119="Macro",$H119&lt;&gt;"",OR(NOT(ISNUMBER($H119)),$H119&lt;0,$H119&gt;1)),"Peso fuera de rango"&amp;" · ","")&amp;IF(AND($V119="Sub",$H119&lt;&gt;""),"Las subactividades no llevan peso (valen igual dentro de su macroactividad)"&amp;" · ","")&amp;IF(AND(N($W119)&gt;0,COUNT($I119:$L119)&gt;0),"Con subactividades: deje vacías las semanas (se calculan solas)"&amp;" · ","")&amp;IF((COUNTIF($I119:$L119,"&gt;1")+COUNTIF($I119:$L119,"&lt;0")+COUNTA($I119:$L119)-COUNT($I119:$L119))&gt;0,"Avance fuera de rango 0-100%"&amp;" · ","")&amp;IF(OR(AND($J119&lt;&gt;"",$J119&lt;$I119),AND($K119&lt;&gt;"",$K119&lt;MAX($I119:$J119)),AND($L119&lt;&gt;"",$L119&lt;MAX($I119:$K119))),"Avance semanal decreciente"&amp;" · ","")&amp;IF(AND(ISNUMBER($AN119),$AN119&lt;FechaRef,IF($V119="Sub",N($X119),N($M119))&lt;1),"Vencida"&amp;" · ","")&amp;IF(AND(ObsObligatoria="Sí",ISNUMBER($AN119),$AN119&lt;FechaRef,IF($V119="Sub",N($X119),N($M119))&lt;1,$Q119=""),"Vencida sin observación"&amp;" · ",""))="","✔ OK","⚠ "&amp;LEFT(IF($C119="","Falta el nombre de la actividad"&amp;" · ","")&amp;IF(AND($V119="Sub",N($U119)=0),"Subactividad sin macroactividad arriba"&amp;" · ","")&amp;IF($AM119="","Sin fecha de inicio"&amp;" · ","")&amp;IF($AN119="","Sin fecha límite"&amp;" · ","")&amp;IF(AND(LEFT($C119,11)="[Jefatura] ",N($AL119)=0),"No se encuentra en la hoja de la jefatura (elíjala de nuevo en la lista)"&amp;" · ","")&amp;IF(OR(AND($E119&lt;&gt;"",NOT(ISNUMBER($E119))),AND($F119&lt;&gt;"",NOT(ISNUMBER($F119))),AND($G119&lt;&gt;"",NOT(ISNUMBER($G119)))),"Fecha no válida"&amp;" · ","")&amp;IF(AND(ISNUMBER($AM119),ISNUMBER($AN119),$AM119&gt;$AN119),"Inicio posterior a fecha límite"&amp;" · ","")&amp;IF(AND($V119="Macro",$H119&lt;&gt;"",OR(NOT(ISNUMBER($H119)),$H119&lt;0,$H119&gt;1)),"Peso fuera de rango"&amp;" · ","")&amp;IF(AND($V119="Sub",$H119&lt;&gt;""),"Las subactividades no llevan peso (valen igual dentro de su macroactividad)"&amp;" · ","")&amp;IF(AND(N($W119)&gt;0,COUNT($I119:$L119)&gt;0),"Con subactividades: deje vacías las semanas (se calculan solas)"&amp;" · ","")&amp;IF((COUNTIF($I119:$L119,"&gt;1")+COUNTIF($I119:$L119,"&lt;0")+COUNTA($I119:$L119)-COUNT($I119:$L119))&gt;0,"Avance fuera de rango 0-100%"&amp;" · ","")&amp;IF(OR(AND($J119&lt;&gt;"",$J119&lt;$I119),AND($K119&lt;&gt;"",$K119&lt;MAX($I119:$J119)),AND($L119&lt;&gt;"",$L119&lt;MAX($I119:$K119))),"Avance semanal decreciente"&amp;" · ","")&amp;IF(AND(ISNUMBER($AN119),$AN119&lt;FechaRef,IF($V119="Sub",N($X119),N($M119))&lt;1),"Vencida"&amp;" · ","")&amp;IF(AND(ObsObligatoria="Sí",ISNUMBER($AN119),$AN119&lt;FechaRef,IF($V119="Sub",N($X119),N($M119))&lt;1,$Q119=""),"Vencida sin observación"&amp;" · ",""),LEN(IF($C119="","Falta el nombre de la actividad"&amp;" · ","")&amp;IF(AND($V119="Sub",N($U119)=0),"Subactividad sin macroactividad arriba"&amp;" · ","")&amp;IF($AM119="","Sin fecha de inicio"&amp;" · ","")&amp;IF($AN119="","Sin fecha límite"&amp;" · ","")&amp;IF(AND(LEFT($C119,11)="[Jefatura] ",N($AL119)=0),"No se encuentra en la hoja de la jefatura (elíjala de nuevo en la lista)"&amp;" · ","")&amp;IF(OR(AND($E119&lt;&gt;"",NOT(ISNUMBER($E119))),AND($F119&lt;&gt;"",NOT(ISNUMBER($F119))),AND($G119&lt;&gt;"",NOT(ISNUMBER($G119)))),"Fecha no válida"&amp;" · ","")&amp;IF(AND(ISNUMBER($AM119),ISNUMBER($AN119),$AM119&gt;$AN119),"Inicio posterior a fecha límite"&amp;" · ","")&amp;IF(AND($V119="Macro",$H119&lt;&gt;"",OR(NOT(ISNUMBER($H119)),$H119&lt;0,$H119&gt;1)),"Peso fuera de rango"&amp;" · ","")&amp;IF(AND($V119="Sub",$H119&lt;&gt;""),"Las subactividades no llevan peso (valen igual dentro de su macroactividad)"&amp;" · ","")&amp;IF(AND(N($W119)&gt;0,COUNT($I119:$L119)&gt;0),"Con subactividades: deje vacías las semanas (se calculan solas)"&amp;" · ","")&amp;IF((COUNTIF($I119:$L119,"&gt;1")+COUNTIF($I119:$L119,"&lt;0")+COUNTA($I119:$L119)-COUNT($I119:$L119))&gt;0,"Avance fuera de rango 0-100%"&amp;" · ","")&amp;IF(OR(AND($J119&lt;&gt;"",$J119&lt;$I119),AND($K119&lt;&gt;"",$K119&lt;MAX($I119:$J119)),AND($L119&lt;&gt;"",$L119&lt;MAX($I119:$K119))),"Avance semanal decreciente"&amp;" · ","")&amp;IF(AND(ISNUMBER($AN119),$AN119&lt;FechaRef,IF($V119="Sub",N($X119),N($M119))&lt;1),"Vencida"&amp;" · ","")&amp;IF(AND(ObsObligatoria="Sí",ISNUMBER($AN119),$AN119&lt;FechaRef,IF($V119="Sub",N($X119),N($M119))&lt;1,$Q119=""),"Vencida sin observación"&amp;" · ",""))-3)))</f>
        <v/>
      </c>
      <c r="S119" s="64">
        <f>IF(NOT((COUNTA($B119:$D119)+COUNTA($G119:$L119)+COUNTA($Q119))&gt;0),"",IF(AND($V119="Sub",N($U119)&gt;0),IF(ISNUMBER(INDEX($AM$5:$AM$1000,$U119-4)),DATE(YEAR(INDEX($AM$5:$AM$1000,$U119-4)),MONTH(INDEX($AM$5:$AM$1000,$U119-4)),1),IF(ISNUMBER(INDEX($AN$5:$AN$1000,$U119-4)),DATE(YEAR(INDEX($AN$5:$AN$1000,$U119-4)),MONTH(INDEX($AN$5:$AN$1000,$U119-4)),1),MesCiclo)),IF(ISNUMBER($AM119),DATE(YEAR($AM119),MONTH($AM119),1),IF(ISNUMBER($AN119),DATE(YEAR($AN119),MONTH($AN119),1),MesCiclo))))</f>
        <v/>
      </c>
      <c r="T119" s="62">
        <f>IF(OR($S119="",$S119&lt;&gt;MesCiclo,$V119&lt;&gt;"Macro"),"",COUNTIFS($S$5:$S119,MesCiclo,$V$5:$V119,"Macro"))</f>
        <v/>
      </c>
      <c r="U119" s="62">
        <f>IF($V119="","",IF($V119="Macro",ROW(),IFERROR(LOOKUP(2,1/($V$5:$V119="Macro"),ROW($V$5:$V119)),0)))</f>
        <v/>
      </c>
      <c r="V119" s="62">
        <f>IF(NOT((COUNTA($B119:$D119)+COUNTA($G119:$L119)+COUNTA($Q119))&gt;0),"",IF($B119="Subactividad","Sub","Macro"))</f>
        <v/>
      </c>
      <c r="W119" s="62">
        <f>IF($V119="Macro",COUNTIFS($U$5:$U$1000,ROW(),$V$5:$V$1000,"Sub"),"")</f>
        <v/>
      </c>
      <c r="X119" s="62">
        <f>IF($V119="","",IF(ISNUMBER($G119),1,IFERROR(LOOKUP(2,1/($I119:$L119&lt;&gt;""),$I119:$L119),0)))</f>
        <v/>
      </c>
      <c r="Y119" s="62">
        <f>IF($V119="","",IF(AND(ISNUMBER($G119),$G119&lt;=IF($S119=MesCiclo,InicioCiclo,$S119+MOD(2-WEEKDAY($S119),7))+6),1,IF(ISNUMBER($I119),$I119,0)))</f>
        <v/>
      </c>
      <c r="Z119" s="62">
        <f>IF($V119="","",IF(AND(ISNUMBER($G119),$G119&lt;=IF($S119=MesCiclo,InicioCiclo,$S119+MOD(2-WEEKDAY($S119),7))+13),1,IF(ISNUMBER($J119),$J119,$Y119)))</f>
        <v/>
      </c>
      <c r="AA119" s="62">
        <f>IF($V119="","",IF(AND(ISNUMBER($G119),$G119&lt;=IF($S119=MesCiclo,InicioCiclo,$S119+MOD(2-WEEKDAY($S119),7))+20),1,IF(ISNUMBER($K119),$K119,$Z119)))</f>
        <v/>
      </c>
      <c r="AB119" s="62">
        <f>IF($V119="","",IF(AND(ISNUMBER($G119),$G119&lt;=IF($S119=MesCiclo,InicioCiclo,$S119+MOD(2-WEEKDAY($S119),7))+27),1,IF(ISNUMBER($L119),$L119,$AA119)))</f>
        <v/>
      </c>
      <c r="AC119" s="62">
        <f>IF($V119="","",IF(AND(ISNUMBER($G119),$G119&lt;=IF($S119=MesCiclo,InicioCiclo,$S119+MOD(2-WEEKDAY($S119),7))+6),1,IF(N($W119)&gt;0,AVERAGEIFS($Y$5:$Y$1000,$U$5:$U$1000,ROW(),$V$5:$V$1000,"Sub"),$Y119)))</f>
        <v/>
      </c>
      <c r="AD119" s="62">
        <f>IF($V119="","",IF(AND(ISNUMBER($G119),$G119&lt;=IF($S119=MesCiclo,InicioCiclo,$S119+MOD(2-WEEKDAY($S119),7))+13),1,IF(N($W119)&gt;0,AVERAGEIFS($Z$5:$Z$1000,$U$5:$U$1000,ROW(),$V$5:$V$1000,"Sub"),$Z119)))</f>
        <v/>
      </c>
      <c r="AE119" s="62">
        <f>IF($V119="","",IF(AND(ISNUMBER($G119),$G119&lt;=IF($S119=MesCiclo,InicioCiclo,$S119+MOD(2-WEEKDAY($S119),7))+20),1,IF(N($W119)&gt;0,AVERAGEIFS($AA$5:$AA$1000,$U$5:$U$1000,ROW(),$V$5:$V$1000,"Sub"),$AA119)))</f>
        <v/>
      </c>
      <c r="AF119" s="62">
        <f>IF($V119="","",IF(AND(ISNUMBER($G119),$G119&lt;=IF($S119=MesCiclo,InicioCiclo,$S119+MOD(2-WEEKDAY($S119),7))+27),1,IF(N($W119)&gt;0,AVERAGEIFS($AB$5:$AB$1000,$U$5:$U$1000,ROW(),$V$5:$V$1000,"Sub"),$AB119)))</f>
        <v/>
      </c>
      <c r="AG119" s="62">
        <f>IF($V119&lt;&gt;"Macro","",IF(COUNTIFS($S$5:$S$1000,$S119,$V$5:$V$1000,"Macro",$H$5:$H$1000,"&gt;0")=0,1/COUNTIFS($S$5:$S$1000,$S119,$V$5:$V$1000,"Macro"),IF(AND(ISNUMBER($H119),N($H119)&gt;0),$H119,SUMIFS($H$5:$H$1000,$S$5:$S$1000,$S119,$V$5:$V$1000,"Macro")/COUNTIFS($S$5:$S$1000,$S119,$V$5:$V$1000,"Macro",$H$5:$H$1000,"&gt;0"))/(COUNTIFS($S$5:$S$1000,$S119,$V$5:$V$1000,"Macro")*SUMIFS($H$5:$H$1000,$S$5:$S$1000,$S119,$V$5:$V$1000,"Macro")/COUNTIFS($S$5:$S$1000,$S119,$V$5:$V$1000,"Macro",$H$5:$H$1000,"&gt;0"))))</f>
        <v/>
      </c>
      <c r="AH119" s="62" t="n"/>
      <c r="AI119" s="62" t="n"/>
      <c r="AJ119" s="62" t="n"/>
      <c r="AK119" s="62" t="n"/>
      <c r="AL119" s="62">
        <f>IF(LEFT($C119,11)="[Jefatura] ",IFERROR(MATCH("Riesgo Normativo|"&amp;MID($C119,12,500),rDname_ADM,0),0),"")</f>
        <v/>
      </c>
      <c r="AM119" s="62">
        <f>IF(N($AL119)&gt;0,INDEX(rIni_ADM,$AL119),IF(ISNUMBER($E119),$E119,""))</f>
        <v/>
      </c>
      <c r="AN119" s="62">
        <f>IF(N($AL119)&gt;0,INDEX(rLim_ADM,$AL119),IF(ISNUMBER($F119),$F119,""))</f>
        <v/>
      </c>
    </row>
    <row r="120">
      <c r="A120" s="56">
        <f>IF(NOT((COUNTA($B120:$D120)+COUNTA($G120:$L120)+COUNTA($Q120))&gt;0),"",IF($V120="Macro",COUNTIFS($V$5:$V120,"Macro",$S$5:$S120,$S120),IF(N($U120)=0,"?",COUNTIFS(INDEX($V$5:$V$1000,1):INDEX($V$5:$V$1000,$U120-4),"Macro",INDEX($S$5:$S$1000,1):INDEX($S$5:$S$1000,$U120-4),INDEX($S$5:$S$1000,$U120-4))&amp;"."&amp;COUNTIFS($U$5:$U120,$U120,$V$5:$V120,"Sub"))))</f>
        <v/>
      </c>
      <c r="B120" s="57" t="n"/>
      <c r="C120" s="58" t="n"/>
      <c r="D120" s="58" t="n"/>
      <c r="E120" s="59">
        <f>IF(N($AL120)&gt;0,INDEX(rIni_ADM,$AL120),"")</f>
        <v/>
      </c>
      <c r="F120" s="59">
        <f>IF(N($AL120)&gt;0,INDEX(rLim_ADM,$AL120),"")</f>
        <v/>
      </c>
      <c r="G120" s="59" t="n"/>
      <c r="H120" s="60" t="n"/>
      <c r="I120" s="60" t="n"/>
      <c r="J120" s="60" t="n"/>
      <c r="K120" s="60" t="n"/>
      <c r="L120" s="60" t="n"/>
      <c r="M120" s="61">
        <f>IF(NOT((COUNTA($B120:$D120)+COUNTA($G120:$L120)+COUNTA($Q120))&gt;0),"",IF($V120="Sub",IFERROR($X120/INDEX($W$5:$W$1000,$U120-4),""),IF(ISNUMBER($G120),1,IF(N($W120)&gt;0,AVERAGEIFS($X$5:$X$1000,$U$5:$U$1000,ROW(),$V$5:$V$1000,"Sub"),$X120))))</f>
        <v/>
      </c>
      <c r="N120" s="56">
        <f>IF(OR($M120="",$V120="Sub"),"",IF($M120&gt;=1,"Completado",IF($M120&gt;0,"En curso","Pendiente")))</f>
        <v/>
      </c>
      <c r="O120" s="56">
        <f>IF(OR(NOT((COUNTA($B120:$D120)+COUNTA($G120:$L120)+COUNTA($Q120))&gt;0),$V120="Sub"),"",IF(ISNUMBER($G120),IF(AND(ISNUMBER($AN120),$G120&gt;$AN120),"Cumplida con "&amp;($G120-$AN120)&amp;IF($G120-$AN120=1," día"," días")&amp;" de retraso","Cumplida"),IF(N($M120)&gt;=1,"Cumplida",IF(NOT(ISNUMBER($AN120)),"Sin fecha límite",IF($AN120&lt;FechaRef,"Vencida hace "&amp;(FechaRef-$AN120)&amp;IF(FechaRef-$AN120=1," día"," días"),IF($AN120=FechaRef,"Vence hoy",IF($AN120-FechaRef&lt;=DiasAlerta,"Vence en "&amp;($AN120-FechaRef)&amp;IF($AN120-FechaRef=1," día"," días"),"En plazo")))))))</f>
        <v/>
      </c>
      <c r="P120" s="62" t="n"/>
      <c r="Q120" s="58" t="n"/>
      <c r="R120" s="63">
        <f>IF(NOT((COUNTA($B120:$D120)+COUNTA($G120:$L120)+COUNTA($Q120))&gt;0),"",IF((IF($C120="","Falta el nombre de la actividad"&amp;" · ","")&amp;IF(AND($V120="Sub",N($U120)=0),"Subactividad sin macroactividad arriba"&amp;" · ","")&amp;IF($AM120="","Sin fecha de inicio"&amp;" · ","")&amp;IF($AN120="","Sin fecha límite"&amp;" · ","")&amp;IF(AND(LEFT($C120,11)="[Jefatura] ",N($AL120)=0),"No se encuentra en la hoja de la jefatura (elíjala de nuevo en la lista)"&amp;" · ","")&amp;IF(OR(AND($E120&lt;&gt;"",NOT(ISNUMBER($E120))),AND($F120&lt;&gt;"",NOT(ISNUMBER($F120))),AND($G120&lt;&gt;"",NOT(ISNUMBER($G120)))),"Fecha no válida"&amp;" · ","")&amp;IF(AND(ISNUMBER($AM120),ISNUMBER($AN120),$AM120&gt;$AN120),"Inicio posterior a fecha límite"&amp;" · ","")&amp;IF(AND($V120="Macro",$H120&lt;&gt;"",OR(NOT(ISNUMBER($H120)),$H120&lt;0,$H120&gt;1)),"Peso fuera de rango"&amp;" · ","")&amp;IF(AND($V120="Sub",$H120&lt;&gt;""),"Las subactividades no llevan peso (valen igual dentro de su macroactividad)"&amp;" · ","")&amp;IF(AND(N($W120)&gt;0,COUNT($I120:$L120)&gt;0),"Con subactividades: deje vacías las semanas (se calculan solas)"&amp;" · ","")&amp;IF((COUNTIF($I120:$L120,"&gt;1")+COUNTIF($I120:$L120,"&lt;0")+COUNTA($I120:$L120)-COUNT($I120:$L120))&gt;0,"Avance fuera de rango 0-100%"&amp;" · ","")&amp;IF(OR(AND($J120&lt;&gt;"",$J120&lt;$I120),AND($K120&lt;&gt;"",$K120&lt;MAX($I120:$J120)),AND($L120&lt;&gt;"",$L120&lt;MAX($I120:$K120))),"Avance semanal decreciente"&amp;" · ","")&amp;IF(AND(ISNUMBER($AN120),$AN120&lt;FechaRef,IF($V120="Sub",N($X120),N($M120))&lt;1),"Vencida"&amp;" · ","")&amp;IF(AND(ObsObligatoria="Sí",ISNUMBER($AN120),$AN120&lt;FechaRef,IF($V120="Sub",N($X120),N($M120))&lt;1,$Q120=""),"Vencida sin observación"&amp;" · ",""))="","✔ OK","⚠ "&amp;LEFT(IF($C120="","Falta el nombre de la actividad"&amp;" · ","")&amp;IF(AND($V120="Sub",N($U120)=0),"Subactividad sin macroactividad arriba"&amp;" · ","")&amp;IF($AM120="","Sin fecha de inicio"&amp;" · ","")&amp;IF($AN120="","Sin fecha límite"&amp;" · ","")&amp;IF(AND(LEFT($C120,11)="[Jefatura] ",N($AL120)=0),"No se encuentra en la hoja de la jefatura (elíjala de nuevo en la lista)"&amp;" · ","")&amp;IF(OR(AND($E120&lt;&gt;"",NOT(ISNUMBER($E120))),AND($F120&lt;&gt;"",NOT(ISNUMBER($F120))),AND($G120&lt;&gt;"",NOT(ISNUMBER($G120)))),"Fecha no válida"&amp;" · ","")&amp;IF(AND(ISNUMBER($AM120),ISNUMBER($AN120),$AM120&gt;$AN120),"Inicio posterior a fecha límite"&amp;" · ","")&amp;IF(AND($V120="Macro",$H120&lt;&gt;"",OR(NOT(ISNUMBER($H120)),$H120&lt;0,$H120&gt;1)),"Peso fuera de rango"&amp;" · ","")&amp;IF(AND($V120="Sub",$H120&lt;&gt;""),"Las subactividades no llevan peso (valen igual dentro de su macroactividad)"&amp;" · ","")&amp;IF(AND(N($W120)&gt;0,COUNT($I120:$L120)&gt;0),"Con subactividades: deje vacías las semanas (se calculan solas)"&amp;" · ","")&amp;IF((COUNTIF($I120:$L120,"&gt;1")+COUNTIF($I120:$L120,"&lt;0")+COUNTA($I120:$L120)-COUNT($I120:$L120))&gt;0,"Avance fuera de rango 0-100%"&amp;" · ","")&amp;IF(OR(AND($J120&lt;&gt;"",$J120&lt;$I120),AND($K120&lt;&gt;"",$K120&lt;MAX($I120:$J120)),AND($L120&lt;&gt;"",$L120&lt;MAX($I120:$K120))),"Avance semanal decreciente"&amp;" · ","")&amp;IF(AND(ISNUMBER($AN120),$AN120&lt;FechaRef,IF($V120="Sub",N($X120),N($M120))&lt;1),"Vencida"&amp;" · ","")&amp;IF(AND(ObsObligatoria="Sí",ISNUMBER($AN120),$AN120&lt;FechaRef,IF($V120="Sub",N($X120),N($M120))&lt;1,$Q120=""),"Vencida sin observación"&amp;" · ",""),LEN(IF($C120="","Falta el nombre de la actividad"&amp;" · ","")&amp;IF(AND($V120="Sub",N($U120)=0),"Subactividad sin macroactividad arriba"&amp;" · ","")&amp;IF($AM120="","Sin fecha de inicio"&amp;" · ","")&amp;IF($AN120="","Sin fecha límite"&amp;" · ","")&amp;IF(AND(LEFT($C120,11)="[Jefatura] ",N($AL120)=0),"No se encuentra en la hoja de la jefatura (elíjala de nuevo en la lista)"&amp;" · ","")&amp;IF(OR(AND($E120&lt;&gt;"",NOT(ISNUMBER($E120))),AND($F120&lt;&gt;"",NOT(ISNUMBER($F120))),AND($G120&lt;&gt;"",NOT(ISNUMBER($G120)))),"Fecha no válida"&amp;" · ","")&amp;IF(AND(ISNUMBER($AM120),ISNUMBER($AN120),$AM120&gt;$AN120),"Inicio posterior a fecha límite"&amp;" · ","")&amp;IF(AND($V120="Macro",$H120&lt;&gt;"",OR(NOT(ISNUMBER($H120)),$H120&lt;0,$H120&gt;1)),"Peso fuera de rango"&amp;" · ","")&amp;IF(AND($V120="Sub",$H120&lt;&gt;""),"Las subactividades no llevan peso (valen igual dentro de su macroactividad)"&amp;" · ","")&amp;IF(AND(N($W120)&gt;0,COUNT($I120:$L120)&gt;0),"Con subactividades: deje vacías las semanas (se calculan solas)"&amp;" · ","")&amp;IF((COUNTIF($I120:$L120,"&gt;1")+COUNTIF($I120:$L120,"&lt;0")+COUNTA($I120:$L120)-COUNT($I120:$L120))&gt;0,"Avance fuera de rango 0-100%"&amp;" · ","")&amp;IF(OR(AND($J120&lt;&gt;"",$J120&lt;$I120),AND($K120&lt;&gt;"",$K120&lt;MAX($I120:$J120)),AND($L120&lt;&gt;"",$L120&lt;MAX($I120:$K120))),"Avance semanal decreciente"&amp;" · ","")&amp;IF(AND(ISNUMBER($AN120),$AN120&lt;FechaRef,IF($V120="Sub",N($X120),N($M120))&lt;1),"Vencida"&amp;" · ","")&amp;IF(AND(ObsObligatoria="Sí",ISNUMBER($AN120),$AN120&lt;FechaRef,IF($V120="Sub",N($X120),N($M120))&lt;1,$Q120=""),"Vencida sin observación"&amp;" · ",""))-3)))</f>
        <v/>
      </c>
      <c r="S120" s="64">
        <f>IF(NOT((COUNTA($B120:$D120)+COUNTA($G120:$L120)+COUNTA($Q120))&gt;0),"",IF(AND($V120="Sub",N($U120)&gt;0),IF(ISNUMBER(INDEX($AM$5:$AM$1000,$U120-4)),DATE(YEAR(INDEX($AM$5:$AM$1000,$U120-4)),MONTH(INDEX($AM$5:$AM$1000,$U120-4)),1),IF(ISNUMBER(INDEX($AN$5:$AN$1000,$U120-4)),DATE(YEAR(INDEX($AN$5:$AN$1000,$U120-4)),MONTH(INDEX($AN$5:$AN$1000,$U120-4)),1),MesCiclo)),IF(ISNUMBER($AM120),DATE(YEAR($AM120),MONTH($AM120),1),IF(ISNUMBER($AN120),DATE(YEAR($AN120),MONTH($AN120),1),MesCiclo))))</f>
        <v/>
      </c>
      <c r="T120" s="62">
        <f>IF(OR($S120="",$S120&lt;&gt;MesCiclo,$V120&lt;&gt;"Macro"),"",COUNTIFS($S$5:$S120,MesCiclo,$V$5:$V120,"Macro"))</f>
        <v/>
      </c>
      <c r="U120" s="62">
        <f>IF($V120="","",IF($V120="Macro",ROW(),IFERROR(LOOKUP(2,1/($V$5:$V120="Macro"),ROW($V$5:$V120)),0)))</f>
        <v/>
      </c>
      <c r="V120" s="62">
        <f>IF(NOT((COUNTA($B120:$D120)+COUNTA($G120:$L120)+COUNTA($Q120))&gt;0),"",IF($B120="Subactividad","Sub","Macro"))</f>
        <v/>
      </c>
      <c r="W120" s="62">
        <f>IF($V120="Macro",COUNTIFS($U$5:$U$1000,ROW(),$V$5:$V$1000,"Sub"),"")</f>
        <v/>
      </c>
      <c r="X120" s="62">
        <f>IF($V120="","",IF(ISNUMBER($G120),1,IFERROR(LOOKUP(2,1/($I120:$L120&lt;&gt;""),$I120:$L120),0)))</f>
        <v/>
      </c>
      <c r="Y120" s="62">
        <f>IF($V120="","",IF(AND(ISNUMBER($G120),$G120&lt;=IF($S120=MesCiclo,InicioCiclo,$S120+MOD(2-WEEKDAY($S120),7))+6),1,IF(ISNUMBER($I120),$I120,0)))</f>
        <v/>
      </c>
      <c r="Z120" s="62">
        <f>IF($V120="","",IF(AND(ISNUMBER($G120),$G120&lt;=IF($S120=MesCiclo,InicioCiclo,$S120+MOD(2-WEEKDAY($S120),7))+13),1,IF(ISNUMBER($J120),$J120,$Y120)))</f>
        <v/>
      </c>
      <c r="AA120" s="62">
        <f>IF($V120="","",IF(AND(ISNUMBER($G120),$G120&lt;=IF($S120=MesCiclo,InicioCiclo,$S120+MOD(2-WEEKDAY($S120),7))+20),1,IF(ISNUMBER($K120),$K120,$Z120)))</f>
        <v/>
      </c>
      <c r="AB120" s="62">
        <f>IF($V120="","",IF(AND(ISNUMBER($G120),$G120&lt;=IF($S120=MesCiclo,InicioCiclo,$S120+MOD(2-WEEKDAY($S120),7))+27),1,IF(ISNUMBER($L120),$L120,$AA120)))</f>
        <v/>
      </c>
      <c r="AC120" s="62">
        <f>IF($V120="","",IF(AND(ISNUMBER($G120),$G120&lt;=IF($S120=MesCiclo,InicioCiclo,$S120+MOD(2-WEEKDAY($S120),7))+6),1,IF(N($W120)&gt;0,AVERAGEIFS($Y$5:$Y$1000,$U$5:$U$1000,ROW(),$V$5:$V$1000,"Sub"),$Y120)))</f>
        <v/>
      </c>
      <c r="AD120" s="62">
        <f>IF($V120="","",IF(AND(ISNUMBER($G120),$G120&lt;=IF($S120=MesCiclo,InicioCiclo,$S120+MOD(2-WEEKDAY($S120),7))+13),1,IF(N($W120)&gt;0,AVERAGEIFS($Z$5:$Z$1000,$U$5:$U$1000,ROW(),$V$5:$V$1000,"Sub"),$Z120)))</f>
        <v/>
      </c>
      <c r="AE120" s="62">
        <f>IF($V120="","",IF(AND(ISNUMBER($G120),$G120&lt;=IF($S120=MesCiclo,InicioCiclo,$S120+MOD(2-WEEKDAY($S120),7))+20),1,IF(N($W120)&gt;0,AVERAGEIFS($AA$5:$AA$1000,$U$5:$U$1000,ROW(),$V$5:$V$1000,"Sub"),$AA120)))</f>
        <v/>
      </c>
      <c r="AF120" s="62">
        <f>IF($V120="","",IF(AND(ISNUMBER($G120),$G120&lt;=IF($S120=MesCiclo,InicioCiclo,$S120+MOD(2-WEEKDAY($S120),7))+27),1,IF(N($W120)&gt;0,AVERAGEIFS($AB$5:$AB$1000,$U$5:$U$1000,ROW(),$V$5:$V$1000,"Sub"),$AB120)))</f>
        <v/>
      </c>
      <c r="AG120" s="62">
        <f>IF($V120&lt;&gt;"Macro","",IF(COUNTIFS($S$5:$S$1000,$S120,$V$5:$V$1000,"Macro",$H$5:$H$1000,"&gt;0")=0,1/COUNTIFS($S$5:$S$1000,$S120,$V$5:$V$1000,"Macro"),IF(AND(ISNUMBER($H120),N($H120)&gt;0),$H120,SUMIFS($H$5:$H$1000,$S$5:$S$1000,$S120,$V$5:$V$1000,"Macro")/COUNTIFS($S$5:$S$1000,$S120,$V$5:$V$1000,"Macro",$H$5:$H$1000,"&gt;0"))/(COUNTIFS($S$5:$S$1000,$S120,$V$5:$V$1000,"Macro")*SUMIFS($H$5:$H$1000,$S$5:$S$1000,$S120,$V$5:$V$1000,"Macro")/COUNTIFS($S$5:$S$1000,$S120,$V$5:$V$1000,"Macro",$H$5:$H$1000,"&gt;0"))))</f>
        <v/>
      </c>
      <c r="AH120" s="62" t="n"/>
      <c r="AI120" s="62" t="n"/>
      <c r="AJ120" s="62" t="n"/>
      <c r="AK120" s="62" t="n"/>
      <c r="AL120" s="62">
        <f>IF(LEFT($C120,11)="[Jefatura] ",IFERROR(MATCH("Riesgo Normativo|"&amp;MID($C120,12,500),rDname_ADM,0),0),"")</f>
        <v/>
      </c>
      <c r="AM120" s="62">
        <f>IF(N($AL120)&gt;0,INDEX(rIni_ADM,$AL120),IF(ISNUMBER($E120),$E120,""))</f>
        <v/>
      </c>
      <c r="AN120" s="62">
        <f>IF(N($AL120)&gt;0,INDEX(rLim_ADM,$AL120),IF(ISNUMBER($F120),$F120,""))</f>
        <v/>
      </c>
    </row>
    <row r="121">
      <c r="A121" s="56">
        <f>IF(NOT((COUNTA($B121:$D121)+COUNTA($G121:$L121)+COUNTA($Q121))&gt;0),"",IF($V121="Macro",COUNTIFS($V$5:$V121,"Macro",$S$5:$S121,$S121),IF(N($U121)=0,"?",COUNTIFS(INDEX($V$5:$V$1000,1):INDEX($V$5:$V$1000,$U121-4),"Macro",INDEX($S$5:$S$1000,1):INDEX($S$5:$S$1000,$U121-4),INDEX($S$5:$S$1000,$U121-4))&amp;"."&amp;COUNTIFS($U$5:$U121,$U121,$V$5:$V121,"Sub"))))</f>
        <v/>
      </c>
      <c r="B121" s="57" t="n"/>
      <c r="C121" s="58" t="n"/>
      <c r="D121" s="58" t="n"/>
      <c r="E121" s="59">
        <f>IF(N($AL121)&gt;0,INDEX(rIni_ADM,$AL121),"")</f>
        <v/>
      </c>
      <c r="F121" s="59">
        <f>IF(N($AL121)&gt;0,INDEX(rLim_ADM,$AL121),"")</f>
        <v/>
      </c>
      <c r="G121" s="59" t="n"/>
      <c r="H121" s="60" t="n"/>
      <c r="I121" s="60" t="n"/>
      <c r="J121" s="60" t="n"/>
      <c r="K121" s="60" t="n"/>
      <c r="L121" s="60" t="n"/>
      <c r="M121" s="61">
        <f>IF(NOT((COUNTA($B121:$D121)+COUNTA($G121:$L121)+COUNTA($Q121))&gt;0),"",IF($V121="Sub",IFERROR($X121/INDEX($W$5:$W$1000,$U121-4),""),IF(ISNUMBER($G121),1,IF(N($W121)&gt;0,AVERAGEIFS($X$5:$X$1000,$U$5:$U$1000,ROW(),$V$5:$V$1000,"Sub"),$X121))))</f>
        <v/>
      </c>
      <c r="N121" s="56">
        <f>IF(OR($M121="",$V121="Sub"),"",IF($M121&gt;=1,"Completado",IF($M121&gt;0,"En curso","Pendiente")))</f>
        <v/>
      </c>
      <c r="O121" s="56">
        <f>IF(OR(NOT((COUNTA($B121:$D121)+COUNTA($G121:$L121)+COUNTA($Q121))&gt;0),$V121="Sub"),"",IF(ISNUMBER($G121),IF(AND(ISNUMBER($AN121),$G121&gt;$AN121),"Cumplida con "&amp;($G121-$AN121)&amp;IF($G121-$AN121=1," día"," días")&amp;" de retraso","Cumplida"),IF(N($M121)&gt;=1,"Cumplida",IF(NOT(ISNUMBER($AN121)),"Sin fecha límite",IF($AN121&lt;FechaRef,"Vencida hace "&amp;(FechaRef-$AN121)&amp;IF(FechaRef-$AN121=1," día"," días"),IF($AN121=FechaRef,"Vence hoy",IF($AN121-FechaRef&lt;=DiasAlerta,"Vence en "&amp;($AN121-FechaRef)&amp;IF($AN121-FechaRef=1," día"," días"),"En plazo")))))))</f>
        <v/>
      </c>
      <c r="P121" s="62" t="n"/>
      <c r="Q121" s="58" t="n"/>
      <c r="R121" s="63">
        <f>IF(NOT((COUNTA($B121:$D121)+COUNTA($G121:$L121)+COUNTA($Q121))&gt;0),"",IF((IF($C121="","Falta el nombre de la actividad"&amp;" · ","")&amp;IF(AND($V121="Sub",N($U121)=0),"Subactividad sin macroactividad arriba"&amp;" · ","")&amp;IF($AM121="","Sin fecha de inicio"&amp;" · ","")&amp;IF($AN121="","Sin fecha límite"&amp;" · ","")&amp;IF(AND(LEFT($C121,11)="[Jefatura] ",N($AL121)=0),"No se encuentra en la hoja de la jefatura (elíjala de nuevo en la lista)"&amp;" · ","")&amp;IF(OR(AND($E121&lt;&gt;"",NOT(ISNUMBER($E121))),AND($F121&lt;&gt;"",NOT(ISNUMBER($F121))),AND($G121&lt;&gt;"",NOT(ISNUMBER($G121)))),"Fecha no válida"&amp;" · ","")&amp;IF(AND(ISNUMBER($AM121),ISNUMBER($AN121),$AM121&gt;$AN121),"Inicio posterior a fecha límite"&amp;" · ","")&amp;IF(AND($V121="Macro",$H121&lt;&gt;"",OR(NOT(ISNUMBER($H121)),$H121&lt;0,$H121&gt;1)),"Peso fuera de rango"&amp;" · ","")&amp;IF(AND($V121="Sub",$H121&lt;&gt;""),"Las subactividades no llevan peso (valen igual dentro de su macroactividad)"&amp;" · ","")&amp;IF(AND(N($W121)&gt;0,COUNT($I121:$L121)&gt;0),"Con subactividades: deje vacías las semanas (se calculan solas)"&amp;" · ","")&amp;IF((COUNTIF($I121:$L121,"&gt;1")+COUNTIF($I121:$L121,"&lt;0")+COUNTA($I121:$L121)-COUNT($I121:$L121))&gt;0,"Avance fuera de rango 0-100%"&amp;" · ","")&amp;IF(OR(AND($J121&lt;&gt;"",$J121&lt;$I121),AND($K121&lt;&gt;"",$K121&lt;MAX($I121:$J121)),AND($L121&lt;&gt;"",$L121&lt;MAX($I121:$K121))),"Avance semanal decreciente"&amp;" · ","")&amp;IF(AND(ISNUMBER($AN121),$AN121&lt;FechaRef,IF($V121="Sub",N($X121),N($M121))&lt;1),"Vencida"&amp;" · ","")&amp;IF(AND(ObsObligatoria="Sí",ISNUMBER($AN121),$AN121&lt;FechaRef,IF($V121="Sub",N($X121),N($M121))&lt;1,$Q121=""),"Vencida sin observación"&amp;" · ",""))="","✔ OK","⚠ "&amp;LEFT(IF($C121="","Falta el nombre de la actividad"&amp;" · ","")&amp;IF(AND($V121="Sub",N($U121)=0),"Subactividad sin macroactividad arriba"&amp;" · ","")&amp;IF($AM121="","Sin fecha de inicio"&amp;" · ","")&amp;IF($AN121="","Sin fecha límite"&amp;" · ","")&amp;IF(AND(LEFT($C121,11)="[Jefatura] ",N($AL121)=0),"No se encuentra en la hoja de la jefatura (elíjala de nuevo en la lista)"&amp;" · ","")&amp;IF(OR(AND($E121&lt;&gt;"",NOT(ISNUMBER($E121))),AND($F121&lt;&gt;"",NOT(ISNUMBER($F121))),AND($G121&lt;&gt;"",NOT(ISNUMBER($G121)))),"Fecha no válida"&amp;" · ","")&amp;IF(AND(ISNUMBER($AM121),ISNUMBER($AN121),$AM121&gt;$AN121),"Inicio posterior a fecha límite"&amp;" · ","")&amp;IF(AND($V121="Macro",$H121&lt;&gt;"",OR(NOT(ISNUMBER($H121)),$H121&lt;0,$H121&gt;1)),"Peso fuera de rango"&amp;" · ","")&amp;IF(AND($V121="Sub",$H121&lt;&gt;""),"Las subactividades no llevan peso (valen igual dentro de su macroactividad)"&amp;" · ","")&amp;IF(AND(N($W121)&gt;0,COUNT($I121:$L121)&gt;0),"Con subactividades: deje vacías las semanas (se calculan solas)"&amp;" · ","")&amp;IF((COUNTIF($I121:$L121,"&gt;1")+COUNTIF($I121:$L121,"&lt;0")+COUNTA($I121:$L121)-COUNT($I121:$L121))&gt;0,"Avance fuera de rango 0-100%"&amp;" · ","")&amp;IF(OR(AND($J121&lt;&gt;"",$J121&lt;$I121),AND($K121&lt;&gt;"",$K121&lt;MAX($I121:$J121)),AND($L121&lt;&gt;"",$L121&lt;MAX($I121:$K121))),"Avance semanal decreciente"&amp;" · ","")&amp;IF(AND(ISNUMBER($AN121),$AN121&lt;FechaRef,IF($V121="Sub",N($X121),N($M121))&lt;1),"Vencida"&amp;" · ","")&amp;IF(AND(ObsObligatoria="Sí",ISNUMBER($AN121),$AN121&lt;FechaRef,IF($V121="Sub",N($X121),N($M121))&lt;1,$Q121=""),"Vencida sin observación"&amp;" · ",""),LEN(IF($C121="","Falta el nombre de la actividad"&amp;" · ","")&amp;IF(AND($V121="Sub",N($U121)=0),"Subactividad sin macroactividad arriba"&amp;" · ","")&amp;IF($AM121="","Sin fecha de inicio"&amp;" · ","")&amp;IF($AN121="","Sin fecha límite"&amp;" · ","")&amp;IF(AND(LEFT($C121,11)="[Jefatura] ",N($AL121)=0),"No se encuentra en la hoja de la jefatura (elíjala de nuevo en la lista)"&amp;" · ","")&amp;IF(OR(AND($E121&lt;&gt;"",NOT(ISNUMBER($E121))),AND($F121&lt;&gt;"",NOT(ISNUMBER($F121))),AND($G121&lt;&gt;"",NOT(ISNUMBER($G121)))),"Fecha no válida"&amp;" · ","")&amp;IF(AND(ISNUMBER($AM121),ISNUMBER($AN121),$AM121&gt;$AN121),"Inicio posterior a fecha límite"&amp;" · ","")&amp;IF(AND($V121="Macro",$H121&lt;&gt;"",OR(NOT(ISNUMBER($H121)),$H121&lt;0,$H121&gt;1)),"Peso fuera de rango"&amp;" · ","")&amp;IF(AND($V121="Sub",$H121&lt;&gt;""),"Las subactividades no llevan peso (valen igual dentro de su macroactividad)"&amp;" · ","")&amp;IF(AND(N($W121)&gt;0,COUNT($I121:$L121)&gt;0),"Con subactividades: deje vacías las semanas (se calculan solas)"&amp;" · ","")&amp;IF((COUNTIF($I121:$L121,"&gt;1")+COUNTIF($I121:$L121,"&lt;0")+COUNTA($I121:$L121)-COUNT($I121:$L121))&gt;0,"Avance fuera de rango 0-100%"&amp;" · ","")&amp;IF(OR(AND($J121&lt;&gt;"",$J121&lt;$I121),AND($K121&lt;&gt;"",$K121&lt;MAX($I121:$J121)),AND($L121&lt;&gt;"",$L121&lt;MAX($I121:$K121))),"Avance semanal decreciente"&amp;" · ","")&amp;IF(AND(ISNUMBER($AN121),$AN121&lt;FechaRef,IF($V121="Sub",N($X121),N($M121))&lt;1),"Vencida"&amp;" · ","")&amp;IF(AND(ObsObligatoria="Sí",ISNUMBER($AN121),$AN121&lt;FechaRef,IF($V121="Sub",N($X121),N($M121))&lt;1,$Q121=""),"Vencida sin observación"&amp;" · ",""))-3)))</f>
        <v/>
      </c>
      <c r="S121" s="64">
        <f>IF(NOT((COUNTA($B121:$D121)+COUNTA($G121:$L121)+COUNTA($Q121))&gt;0),"",IF(AND($V121="Sub",N($U121)&gt;0),IF(ISNUMBER(INDEX($AM$5:$AM$1000,$U121-4)),DATE(YEAR(INDEX($AM$5:$AM$1000,$U121-4)),MONTH(INDEX($AM$5:$AM$1000,$U121-4)),1),IF(ISNUMBER(INDEX($AN$5:$AN$1000,$U121-4)),DATE(YEAR(INDEX($AN$5:$AN$1000,$U121-4)),MONTH(INDEX($AN$5:$AN$1000,$U121-4)),1),MesCiclo)),IF(ISNUMBER($AM121),DATE(YEAR($AM121),MONTH($AM121),1),IF(ISNUMBER($AN121),DATE(YEAR($AN121),MONTH($AN121),1),MesCiclo))))</f>
        <v/>
      </c>
      <c r="T121" s="62">
        <f>IF(OR($S121="",$S121&lt;&gt;MesCiclo,$V121&lt;&gt;"Macro"),"",COUNTIFS($S$5:$S121,MesCiclo,$V$5:$V121,"Macro"))</f>
        <v/>
      </c>
      <c r="U121" s="62">
        <f>IF($V121="","",IF($V121="Macro",ROW(),IFERROR(LOOKUP(2,1/($V$5:$V121="Macro"),ROW($V$5:$V121)),0)))</f>
        <v/>
      </c>
      <c r="V121" s="62">
        <f>IF(NOT((COUNTA($B121:$D121)+COUNTA($G121:$L121)+COUNTA($Q121))&gt;0),"",IF($B121="Subactividad","Sub","Macro"))</f>
        <v/>
      </c>
      <c r="W121" s="62">
        <f>IF($V121="Macro",COUNTIFS($U$5:$U$1000,ROW(),$V$5:$V$1000,"Sub"),"")</f>
        <v/>
      </c>
      <c r="X121" s="62">
        <f>IF($V121="","",IF(ISNUMBER($G121),1,IFERROR(LOOKUP(2,1/($I121:$L121&lt;&gt;""),$I121:$L121),0)))</f>
        <v/>
      </c>
      <c r="Y121" s="62">
        <f>IF($V121="","",IF(AND(ISNUMBER($G121),$G121&lt;=IF($S121=MesCiclo,InicioCiclo,$S121+MOD(2-WEEKDAY($S121),7))+6),1,IF(ISNUMBER($I121),$I121,0)))</f>
        <v/>
      </c>
      <c r="Z121" s="62">
        <f>IF($V121="","",IF(AND(ISNUMBER($G121),$G121&lt;=IF($S121=MesCiclo,InicioCiclo,$S121+MOD(2-WEEKDAY($S121),7))+13),1,IF(ISNUMBER($J121),$J121,$Y121)))</f>
        <v/>
      </c>
      <c r="AA121" s="62">
        <f>IF($V121="","",IF(AND(ISNUMBER($G121),$G121&lt;=IF($S121=MesCiclo,InicioCiclo,$S121+MOD(2-WEEKDAY($S121),7))+20),1,IF(ISNUMBER($K121),$K121,$Z121)))</f>
        <v/>
      </c>
      <c r="AB121" s="62">
        <f>IF($V121="","",IF(AND(ISNUMBER($G121),$G121&lt;=IF($S121=MesCiclo,InicioCiclo,$S121+MOD(2-WEEKDAY($S121),7))+27),1,IF(ISNUMBER($L121),$L121,$AA121)))</f>
        <v/>
      </c>
      <c r="AC121" s="62">
        <f>IF($V121="","",IF(AND(ISNUMBER($G121),$G121&lt;=IF($S121=MesCiclo,InicioCiclo,$S121+MOD(2-WEEKDAY($S121),7))+6),1,IF(N($W121)&gt;0,AVERAGEIFS($Y$5:$Y$1000,$U$5:$U$1000,ROW(),$V$5:$V$1000,"Sub"),$Y121)))</f>
        <v/>
      </c>
      <c r="AD121" s="62">
        <f>IF($V121="","",IF(AND(ISNUMBER($G121),$G121&lt;=IF($S121=MesCiclo,InicioCiclo,$S121+MOD(2-WEEKDAY($S121),7))+13),1,IF(N($W121)&gt;0,AVERAGEIFS($Z$5:$Z$1000,$U$5:$U$1000,ROW(),$V$5:$V$1000,"Sub"),$Z121)))</f>
        <v/>
      </c>
      <c r="AE121" s="62">
        <f>IF($V121="","",IF(AND(ISNUMBER($G121),$G121&lt;=IF($S121=MesCiclo,InicioCiclo,$S121+MOD(2-WEEKDAY($S121),7))+20),1,IF(N($W121)&gt;0,AVERAGEIFS($AA$5:$AA$1000,$U$5:$U$1000,ROW(),$V$5:$V$1000,"Sub"),$AA121)))</f>
        <v/>
      </c>
      <c r="AF121" s="62">
        <f>IF($V121="","",IF(AND(ISNUMBER($G121),$G121&lt;=IF($S121=MesCiclo,InicioCiclo,$S121+MOD(2-WEEKDAY($S121),7))+27),1,IF(N($W121)&gt;0,AVERAGEIFS($AB$5:$AB$1000,$U$5:$U$1000,ROW(),$V$5:$V$1000,"Sub"),$AB121)))</f>
        <v/>
      </c>
      <c r="AG121" s="62">
        <f>IF($V121&lt;&gt;"Macro","",IF(COUNTIFS($S$5:$S$1000,$S121,$V$5:$V$1000,"Macro",$H$5:$H$1000,"&gt;0")=0,1/COUNTIFS($S$5:$S$1000,$S121,$V$5:$V$1000,"Macro"),IF(AND(ISNUMBER($H121),N($H121)&gt;0),$H121,SUMIFS($H$5:$H$1000,$S$5:$S$1000,$S121,$V$5:$V$1000,"Macro")/COUNTIFS($S$5:$S$1000,$S121,$V$5:$V$1000,"Macro",$H$5:$H$1000,"&gt;0"))/(COUNTIFS($S$5:$S$1000,$S121,$V$5:$V$1000,"Macro")*SUMIFS($H$5:$H$1000,$S$5:$S$1000,$S121,$V$5:$V$1000,"Macro")/COUNTIFS($S$5:$S$1000,$S121,$V$5:$V$1000,"Macro",$H$5:$H$1000,"&gt;0"))))</f>
        <v/>
      </c>
      <c r="AH121" s="62" t="n"/>
      <c r="AI121" s="62" t="n"/>
      <c r="AJ121" s="62" t="n"/>
      <c r="AK121" s="62" t="n"/>
      <c r="AL121" s="62">
        <f>IF(LEFT($C121,11)="[Jefatura] ",IFERROR(MATCH("Riesgo Normativo|"&amp;MID($C121,12,500),rDname_ADM,0),0),"")</f>
        <v/>
      </c>
      <c r="AM121" s="62">
        <f>IF(N($AL121)&gt;0,INDEX(rIni_ADM,$AL121),IF(ISNUMBER($E121),$E121,""))</f>
        <v/>
      </c>
      <c r="AN121" s="62">
        <f>IF(N($AL121)&gt;0,INDEX(rLim_ADM,$AL121),IF(ISNUMBER($F121),$F121,""))</f>
        <v/>
      </c>
    </row>
    <row r="122">
      <c r="A122" s="56">
        <f>IF(NOT((COUNTA($B122:$D122)+COUNTA($G122:$L122)+COUNTA($Q122))&gt;0),"",IF($V122="Macro",COUNTIFS($V$5:$V122,"Macro",$S$5:$S122,$S122),IF(N($U122)=0,"?",COUNTIFS(INDEX($V$5:$V$1000,1):INDEX($V$5:$V$1000,$U122-4),"Macro",INDEX($S$5:$S$1000,1):INDEX($S$5:$S$1000,$U122-4),INDEX($S$5:$S$1000,$U122-4))&amp;"."&amp;COUNTIFS($U$5:$U122,$U122,$V$5:$V122,"Sub"))))</f>
        <v/>
      </c>
      <c r="B122" s="57" t="n"/>
      <c r="C122" s="58" t="n"/>
      <c r="D122" s="58" t="n"/>
      <c r="E122" s="59">
        <f>IF(N($AL122)&gt;0,INDEX(rIni_ADM,$AL122),"")</f>
        <v/>
      </c>
      <c r="F122" s="59">
        <f>IF(N($AL122)&gt;0,INDEX(rLim_ADM,$AL122),"")</f>
        <v/>
      </c>
      <c r="G122" s="59" t="n"/>
      <c r="H122" s="60" t="n"/>
      <c r="I122" s="60" t="n"/>
      <c r="J122" s="60" t="n"/>
      <c r="K122" s="60" t="n"/>
      <c r="L122" s="60" t="n"/>
      <c r="M122" s="61">
        <f>IF(NOT((COUNTA($B122:$D122)+COUNTA($G122:$L122)+COUNTA($Q122))&gt;0),"",IF($V122="Sub",IFERROR($X122/INDEX($W$5:$W$1000,$U122-4),""),IF(ISNUMBER($G122),1,IF(N($W122)&gt;0,AVERAGEIFS($X$5:$X$1000,$U$5:$U$1000,ROW(),$V$5:$V$1000,"Sub"),$X122))))</f>
        <v/>
      </c>
      <c r="N122" s="56">
        <f>IF(OR($M122="",$V122="Sub"),"",IF($M122&gt;=1,"Completado",IF($M122&gt;0,"En curso","Pendiente")))</f>
        <v/>
      </c>
      <c r="O122" s="56">
        <f>IF(OR(NOT((COUNTA($B122:$D122)+COUNTA($G122:$L122)+COUNTA($Q122))&gt;0),$V122="Sub"),"",IF(ISNUMBER($G122),IF(AND(ISNUMBER($AN122),$G122&gt;$AN122),"Cumplida con "&amp;($G122-$AN122)&amp;IF($G122-$AN122=1," día"," días")&amp;" de retraso","Cumplida"),IF(N($M122)&gt;=1,"Cumplida",IF(NOT(ISNUMBER($AN122)),"Sin fecha límite",IF($AN122&lt;FechaRef,"Vencida hace "&amp;(FechaRef-$AN122)&amp;IF(FechaRef-$AN122=1," día"," días"),IF($AN122=FechaRef,"Vence hoy",IF($AN122-FechaRef&lt;=DiasAlerta,"Vence en "&amp;($AN122-FechaRef)&amp;IF($AN122-FechaRef=1," día"," días"),"En plazo")))))))</f>
        <v/>
      </c>
      <c r="P122" s="62" t="n"/>
      <c r="Q122" s="58" t="n"/>
      <c r="R122" s="63">
        <f>IF(NOT((COUNTA($B122:$D122)+COUNTA($G122:$L122)+COUNTA($Q122))&gt;0),"",IF((IF($C122="","Falta el nombre de la actividad"&amp;" · ","")&amp;IF(AND($V122="Sub",N($U122)=0),"Subactividad sin macroactividad arriba"&amp;" · ","")&amp;IF($AM122="","Sin fecha de inicio"&amp;" · ","")&amp;IF($AN122="","Sin fecha límite"&amp;" · ","")&amp;IF(AND(LEFT($C122,11)="[Jefatura] ",N($AL122)=0),"No se encuentra en la hoja de la jefatura (elíjala de nuevo en la lista)"&amp;" · ","")&amp;IF(OR(AND($E122&lt;&gt;"",NOT(ISNUMBER($E122))),AND($F122&lt;&gt;"",NOT(ISNUMBER($F122))),AND($G122&lt;&gt;"",NOT(ISNUMBER($G122)))),"Fecha no válida"&amp;" · ","")&amp;IF(AND(ISNUMBER($AM122),ISNUMBER($AN122),$AM122&gt;$AN122),"Inicio posterior a fecha límite"&amp;" · ","")&amp;IF(AND($V122="Macro",$H122&lt;&gt;"",OR(NOT(ISNUMBER($H122)),$H122&lt;0,$H122&gt;1)),"Peso fuera de rango"&amp;" · ","")&amp;IF(AND($V122="Sub",$H122&lt;&gt;""),"Las subactividades no llevan peso (valen igual dentro de su macroactividad)"&amp;" · ","")&amp;IF(AND(N($W122)&gt;0,COUNT($I122:$L122)&gt;0),"Con subactividades: deje vacías las semanas (se calculan solas)"&amp;" · ","")&amp;IF((COUNTIF($I122:$L122,"&gt;1")+COUNTIF($I122:$L122,"&lt;0")+COUNTA($I122:$L122)-COUNT($I122:$L122))&gt;0,"Avance fuera de rango 0-100%"&amp;" · ","")&amp;IF(OR(AND($J122&lt;&gt;"",$J122&lt;$I122),AND($K122&lt;&gt;"",$K122&lt;MAX($I122:$J122)),AND($L122&lt;&gt;"",$L122&lt;MAX($I122:$K122))),"Avance semanal decreciente"&amp;" · ","")&amp;IF(AND(ISNUMBER($AN122),$AN122&lt;FechaRef,IF($V122="Sub",N($X122),N($M122))&lt;1),"Vencida"&amp;" · ","")&amp;IF(AND(ObsObligatoria="Sí",ISNUMBER($AN122),$AN122&lt;FechaRef,IF($V122="Sub",N($X122),N($M122))&lt;1,$Q122=""),"Vencida sin observación"&amp;" · ",""))="","✔ OK","⚠ "&amp;LEFT(IF($C122="","Falta el nombre de la actividad"&amp;" · ","")&amp;IF(AND($V122="Sub",N($U122)=0),"Subactividad sin macroactividad arriba"&amp;" · ","")&amp;IF($AM122="","Sin fecha de inicio"&amp;" · ","")&amp;IF($AN122="","Sin fecha límite"&amp;" · ","")&amp;IF(AND(LEFT($C122,11)="[Jefatura] ",N($AL122)=0),"No se encuentra en la hoja de la jefatura (elíjala de nuevo en la lista)"&amp;" · ","")&amp;IF(OR(AND($E122&lt;&gt;"",NOT(ISNUMBER($E122))),AND($F122&lt;&gt;"",NOT(ISNUMBER($F122))),AND($G122&lt;&gt;"",NOT(ISNUMBER($G122)))),"Fecha no válida"&amp;" · ","")&amp;IF(AND(ISNUMBER($AM122),ISNUMBER($AN122),$AM122&gt;$AN122),"Inicio posterior a fecha límite"&amp;" · ","")&amp;IF(AND($V122="Macro",$H122&lt;&gt;"",OR(NOT(ISNUMBER($H122)),$H122&lt;0,$H122&gt;1)),"Peso fuera de rango"&amp;" · ","")&amp;IF(AND($V122="Sub",$H122&lt;&gt;""),"Las subactividades no llevan peso (valen igual dentro de su macroactividad)"&amp;" · ","")&amp;IF(AND(N($W122)&gt;0,COUNT($I122:$L122)&gt;0),"Con subactividades: deje vacías las semanas (se calculan solas)"&amp;" · ","")&amp;IF((COUNTIF($I122:$L122,"&gt;1")+COUNTIF($I122:$L122,"&lt;0")+COUNTA($I122:$L122)-COUNT($I122:$L122))&gt;0,"Avance fuera de rango 0-100%"&amp;" · ","")&amp;IF(OR(AND($J122&lt;&gt;"",$J122&lt;$I122),AND($K122&lt;&gt;"",$K122&lt;MAX($I122:$J122)),AND($L122&lt;&gt;"",$L122&lt;MAX($I122:$K122))),"Avance semanal decreciente"&amp;" · ","")&amp;IF(AND(ISNUMBER($AN122),$AN122&lt;FechaRef,IF($V122="Sub",N($X122),N($M122))&lt;1),"Vencida"&amp;" · ","")&amp;IF(AND(ObsObligatoria="Sí",ISNUMBER($AN122),$AN122&lt;FechaRef,IF($V122="Sub",N($X122),N($M122))&lt;1,$Q122=""),"Vencida sin observación"&amp;" · ",""),LEN(IF($C122="","Falta el nombre de la actividad"&amp;" · ","")&amp;IF(AND($V122="Sub",N($U122)=0),"Subactividad sin macroactividad arriba"&amp;" · ","")&amp;IF($AM122="","Sin fecha de inicio"&amp;" · ","")&amp;IF($AN122="","Sin fecha límite"&amp;" · ","")&amp;IF(AND(LEFT($C122,11)="[Jefatura] ",N($AL122)=0),"No se encuentra en la hoja de la jefatura (elíjala de nuevo en la lista)"&amp;" · ","")&amp;IF(OR(AND($E122&lt;&gt;"",NOT(ISNUMBER($E122))),AND($F122&lt;&gt;"",NOT(ISNUMBER($F122))),AND($G122&lt;&gt;"",NOT(ISNUMBER($G122)))),"Fecha no válida"&amp;" · ","")&amp;IF(AND(ISNUMBER($AM122),ISNUMBER($AN122),$AM122&gt;$AN122),"Inicio posterior a fecha límite"&amp;" · ","")&amp;IF(AND($V122="Macro",$H122&lt;&gt;"",OR(NOT(ISNUMBER($H122)),$H122&lt;0,$H122&gt;1)),"Peso fuera de rango"&amp;" · ","")&amp;IF(AND($V122="Sub",$H122&lt;&gt;""),"Las subactividades no llevan peso (valen igual dentro de su macroactividad)"&amp;" · ","")&amp;IF(AND(N($W122)&gt;0,COUNT($I122:$L122)&gt;0),"Con subactividades: deje vacías las semanas (se calculan solas)"&amp;" · ","")&amp;IF((COUNTIF($I122:$L122,"&gt;1")+COUNTIF($I122:$L122,"&lt;0")+COUNTA($I122:$L122)-COUNT($I122:$L122))&gt;0,"Avance fuera de rango 0-100%"&amp;" · ","")&amp;IF(OR(AND($J122&lt;&gt;"",$J122&lt;$I122),AND($K122&lt;&gt;"",$K122&lt;MAX($I122:$J122)),AND($L122&lt;&gt;"",$L122&lt;MAX($I122:$K122))),"Avance semanal decreciente"&amp;" · ","")&amp;IF(AND(ISNUMBER($AN122),$AN122&lt;FechaRef,IF($V122="Sub",N($X122),N($M122))&lt;1),"Vencida"&amp;" · ","")&amp;IF(AND(ObsObligatoria="Sí",ISNUMBER($AN122),$AN122&lt;FechaRef,IF($V122="Sub",N($X122),N($M122))&lt;1,$Q122=""),"Vencida sin observación"&amp;" · ",""))-3)))</f>
        <v/>
      </c>
      <c r="S122" s="64">
        <f>IF(NOT((COUNTA($B122:$D122)+COUNTA($G122:$L122)+COUNTA($Q122))&gt;0),"",IF(AND($V122="Sub",N($U122)&gt;0),IF(ISNUMBER(INDEX($AM$5:$AM$1000,$U122-4)),DATE(YEAR(INDEX($AM$5:$AM$1000,$U122-4)),MONTH(INDEX($AM$5:$AM$1000,$U122-4)),1),IF(ISNUMBER(INDEX($AN$5:$AN$1000,$U122-4)),DATE(YEAR(INDEX($AN$5:$AN$1000,$U122-4)),MONTH(INDEX($AN$5:$AN$1000,$U122-4)),1),MesCiclo)),IF(ISNUMBER($AM122),DATE(YEAR($AM122),MONTH($AM122),1),IF(ISNUMBER($AN122),DATE(YEAR($AN122),MONTH($AN122),1),MesCiclo))))</f>
        <v/>
      </c>
      <c r="T122" s="62">
        <f>IF(OR($S122="",$S122&lt;&gt;MesCiclo,$V122&lt;&gt;"Macro"),"",COUNTIFS($S$5:$S122,MesCiclo,$V$5:$V122,"Macro"))</f>
        <v/>
      </c>
      <c r="U122" s="62">
        <f>IF($V122="","",IF($V122="Macro",ROW(),IFERROR(LOOKUP(2,1/($V$5:$V122="Macro"),ROW($V$5:$V122)),0)))</f>
        <v/>
      </c>
      <c r="V122" s="62">
        <f>IF(NOT((COUNTA($B122:$D122)+COUNTA($G122:$L122)+COUNTA($Q122))&gt;0),"",IF($B122="Subactividad","Sub","Macro"))</f>
        <v/>
      </c>
      <c r="W122" s="62">
        <f>IF($V122="Macro",COUNTIFS($U$5:$U$1000,ROW(),$V$5:$V$1000,"Sub"),"")</f>
        <v/>
      </c>
      <c r="X122" s="62">
        <f>IF($V122="","",IF(ISNUMBER($G122),1,IFERROR(LOOKUP(2,1/($I122:$L122&lt;&gt;""),$I122:$L122),0)))</f>
        <v/>
      </c>
      <c r="Y122" s="62">
        <f>IF($V122="","",IF(AND(ISNUMBER($G122),$G122&lt;=IF($S122=MesCiclo,InicioCiclo,$S122+MOD(2-WEEKDAY($S122),7))+6),1,IF(ISNUMBER($I122),$I122,0)))</f>
        <v/>
      </c>
      <c r="Z122" s="62">
        <f>IF($V122="","",IF(AND(ISNUMBER($G122),$G122&lt;=IF($S122=MesCiclo,InicioCiclo,$S122+MOD(2-WEEKDAY($S122),7))+13),1,IF(ISNUMBER($J122),$J122,$Y122)))</f>
        <v/>
      </c>
      <c r="AA122" s="62">
        <f>IF($V122="","",IF(AND(ISNUMBER($G122),$G122&lt;=IF($S122=MesCiclo,InicioCiclo,$S122+MOD(2-WEEKDAY($S122),7))+20),1,IF(ISNUMBER($K122),$K122,$Z122)))</f>
        <v/>
      </c>
      <c r="AB122" s="62">
        <f>IF($V122="","",IF(AND(ISNUMBER($G122),$G122&lt;=IF($S122=MesCiclo,InicioCiclo,$S122+MOD(2-WEEKDAY($S122),7))+27),1,IF(ISNUMBER($L122),$L122,$AA122)))</f>
        <v/>
      </c>
      <c r="AC122" s="62">
        <f>IF($V122="","",IF(AND(ISNUMBER($G122),$G122&lt;=IF($S122=MesCiclo,InicioCiclo,$S122+MOD(2-WEEKDAY($S122),7))+6),1,IF(N($W122)&gt;0,AVERAGEIFS($Y$5:$Y$1000,$U$5:$U$1000,ROW(),$V$5:$V$1000,"Sub"),$Y122)))</f>
        <v/>
      </c>
      <c r="AD122" s="62">
        <f>IF($V122="","",IF(AND(ISNUMBER($G122),$G122&lt;=IF($S122=MesCiclo,InicioCiclo,$S122+MOD(2-WEEKDAY($S122),7))+13),1,IF(N($W122)&gt;0,AVERAGEIFS($Z$5:$Z$1000,$U$5:$U$1000,ROW(),$V$5:$V$1000,"Sub"),$Z122)))</f>
        <v/>
      </c>
      <c r="AE122" s="62">
        <f>IF($V122="","",IF(AND(ISNUMBER($G122),$G122&lt;=IF($S122=MesCiclo,InicioCiclo,$S122+MOD(2-WEEKDAY($S122),7))+20),1,IF(N($W122)&gt;0,AVERAGEIFS($AA$5:$AA$1000,$U$5:$U$1000,ROW(),$V$5:$V$1000,"Sub"),$AA122)))</f>
        <v/>
      </c>
      <c r="AF122" s="62">
        <f>IF($V122="","",IF(AND(ISNUMBER($G122),$G122&lt;=IF($S122=MesCiclo,InicioCiclo,$S122+MOD(2-WEEKDAY($S122),7))+27),1,IF(N($W122)&gt;0,AVERAGEIFS($AB$5:$AB$1000,$U$5:$U$1000,ROW(),$V$5:$V$1000,"Sub"),$AB122)))</f>
        <v/>
      </c>
      <c r="AG122" s="62">
        <f>IF($V122&lt;&gt;"Macro","",IF(COUNTIFS($S$5:$S$1000,$S122,$V$5:$V$1000,"Macro",$H$5:$H$1000,"&gt;0")=0,1/COUNTIFS($S$5:$S$1000,$S122,$V$5:$V$1000,"Macro"),IF(AND(ISNUMBER($H122),N($H122)&gt;0),$H122,SUMIFS($H$5:$H$1000,$S$5:$S$1000,$S122,$V$5:$V$1000,"Macro")/COUNTIFS($S$5:$S$1000,$S122,$V$5:$V$1000,"Macro",$H$5:$H$1000,"&gt;0"))/(COUNTIFS($S$5:$S$1000,$S122,$V$5:$V$1000,"Macro")*SUMIFS($H$5:$H$1000,$S$5:$S$1000,$S122,$V$5:$V$1000,"Macro")/COUNTIFS($S$5:$S$1000,$S122,$V$5:$V$1000,"Macro",$H$5:$H$1000,"&gt;0"))))</f>
        <v/>
      </c>
      <c r="AH122" s="62" t="n"/>
      <c r="AI122" s="62" t="n"/>
      <c r="AJ122" s="62" t="n"/>
      <c r="AK122" s="62" t="n"/>
      <c r="AL122" s="62">
        <f>IF(LEFT($C122,11)="[Jefatura] ",IFERROR(MATCH("Riesgo Normativo|"&amp;MID($C122,12,500),rDname_ADM,0),0),"")</f>
        <v/>
      </c>
      <c r="AM122" s="62">
        <f>IF(N($AL122)&gt;0,INDEX(rIni_ADM,$AL122),IF(ISNUMBER($E122),$E122,""))</f>
        <v/>
      </c>
      <c r="AN122" s="62">
        <f>IF(N($AL122)&gt;0,INDEX(rLim_ADM,$AL122),IF(ISNUMBER($F122),$F122,""))</f>
        <v/>
      </c>
    </row>
    <row r="123">
      <c r="A123" s="56">
        <f>IF(NOT((COUNTA($B123:$D123)+COUNTA($G123:$L123)+COUNTA($Q123))&gt;0),"",IF($V123="Macro",COUNTIFS($V$5:$V123,"Macro",$S$5:$S123,$S123),IF(N($U123)=0,"?",COUNTIFS(INDEX($V$5:$V$1000,1):INDEX($V$5:$V$1000,$U123-4),"Macro",INDEX($S$5:$S$1000,1):INDEX($S$5:$S$1000,$U123-4),INDEX($S$5:$S$1000,$U123-4))&amp;"."&amp;COUNTIFS($U$5:$U123,$U123,$V$5:$V123,"Sub"))))</f>
        <v/>
      </c>
      <c r="B123" s="57" t="n"/>
      <c r="C123" s="58" t="n"/>
      <c r="D123" s="58" t="n"/>
      <c r="E123" s="59">
        <f>IF(N($AL123)&gt;0,INDEX(rIni_ADM,$AL123),"")</f>
        <v/>
      </c>
      <c r="F123" s="59">
        <f>IF(N($AL123)&gt;0,INDEX(rLim_ADM,$AL123),"")</f>
        <v/>
      </c>
      <c r="G123" s="59" t="n"/>
      <c r="H123" s="60" t="n"/>
      <c r="I123" s="60" t="n"/>
      <c r="J123" s="60" t="n"/>
      <c r="K123" s="60" t="n"/>
      <c r="L123" s="60" t="n"/>
      <c r="M123" s="61">
        <f>IF(NOT((COUNTA($B123:$D123)+COUNTA($G123:$L123)+COUNTA($Q123))&gt;0),"",IF($V123="Sub",IFERROR($X123/INDEX($W$5:$W$1000,$U123-4),""),IF(ISNUMBER($G123),1,IF(N($W123)&gt;0,AVERAGEIFS($X$5:$X$1000,$U$5:$U$1000,ROW(),$V$5:$V$1000,"Sub"),$X123))))</f>
        <v/>
      </c>
      <c r="N123" s="56">
        <f>IF(OR($M123="",$V123="Sub"),"",IF($M123&gt;=1,"Completado",IF($M123&gt;0,"En curso","Pendiente")))</f>
        <v/>
      </c>
      <c r="O123" s="56">
        <f>IF(OR(NOT((COUNTA($B123:$D123)+COUNTA($G123:$L123)+COUNTA($Q123))&gt;0),$V123="Sub"),"",IF(ISNUMBER($G123),IF(AND(ISNUMBER($AN123),$G123&gt;$AN123),"Cumplida con "&amp;($G123-$AN123)&amp;IF($G123-$AN123=1," día"," días")&amp;" de retraso","Cumplida"),IF(N($M123)&gt;=1,"Cumplida",IF(NOT(ISNUMBER($AN123)),"Sin fecha límite",IF($AN123&lt;FechaRef,"Vencida hace "&amp;(FechaRef-$AN123)&amp;IF(FechaRef-$AN123=1," día"," días"),IF($AN123=FechaRef,"Vence hoy",IF($AN123-FechaRef&lt;=DiasAlerta,"Vence en "&amp;($AN123-FechaRef)&amp;IF($AN123-FechaRef=1," día"," días"),"En plazo")))))))</f>
        <v/>
      </c>
      <c r="P123" s="62" t="n"/>
      <c r="Q123" s="58" t="n"/>
      <c r="R123" s="63">
        <f>IF(NOT((COUNTA($B123:$D123)+COUNTA($G123:$L123)+COUNTA($Q123))&gt;0),"",IF((IF($C123="","Falta el nombre de la actividad"&amp;" · ","")&amp;IF(AND($V123="Sub",N($U123)=0),"Subactividad sin macroactividad arriba"&amp;" · ","")&amp;IF($AM123="","Sin fecha de inicio"&amp;" · ","")&amp;IF($AN123="","Sin fecha límite"&amp;" · ","")&amp;IF(AND(LEFT($C123,11)="[Jefatura] ",N($AL123)=0),"No se encuentra en la hoja de la jefatura (elíjala de nuevo en la lista)"&amp;" · ","")&amp;IF(OR(AND($E123&lt;&gt;"",NOT(ISNUMBER($E123))),AND($F123&lt;&gt;"",NOT(ISNUMBER($F123))),AND($G123&lt;&gt;"",NOT(ISNUMBER($G123)))),"Fecha no válida"&amp;" · ","")&amp;IF(AND(ISNUMBER($AM123),ISNUMBER($AN123),$AM123&gt;$AN123),"Inicio posterior a fecha límite"&amp;" · ","")&amp;IF(AND($V123="Macro",$H123&lt;&gt;"",OR(NOT(ISNUMBER($H123)),$H123&lt;0,$H123&gt;1)),"Peso fuera de rango"&amp;" · ","")&amp;IF(AND($V123="Sub",$H123&lt;&gt;""),"Las subactividades no llevan peso (valen igual dentro de su macroactividad)"&amp;" · ","")&amp;IF(AND(N($W123)&gt;0,COUNT($I123:$L123)&gt;0),"Con subactividades: deje vacías las semanas (se calculan solas)"&amp;" · ","")&amp;IF((COUNTIF($I123:$L123,"&gt;1")+COUNTIF($I123:$L123,"&lt;0")+COUNTA($I123:$L123)-COUNT($I123:$L123))&gt;0,"Avance fuera de rango 0-100%"&amp;" · ","")&amp;IF(OR(AND($J123&lt;&gt;"",$J123&lt;$I123),AND($K123&lt;&gt;"",$K123&lt;MAX($I123:$J123)),AND($L123&lt;&gt;"",$L123&lt;MAX($I123:$K123))),"Avance semanal decreciente"&amp;" · ","")&amp;IF(AND(ISNUMBER($AN123),$AN123&lt;FechaRef,IF($V123="Sub",N($X123),N($M123))&lt;1),"Vencida"&amp;" · ","")&amp;IF(AND(ObsObligatoria="Sí",ISNUMBER($AN123),$AN123&lt;FechaRef,IF($V123="Sub",N($X123),N($M123))&lt;1,$Q123=""),"Vencida sin observación"&amp;" · ",""))="","✔ OK","⚠ "&amp;LEFT(IF($C123="","Falta el nombre de la actividad"&amp;" · ","")&amp;IF(AND($V123="Sub",N($U123)=0),"Subactividad sin macroactividad arriba"&amp;" · ","")&amp;IF($AM123="","Sin fecha de inicio"&amp;" · ","")&amp;IF($AN123="","Sin fecha límite"&amp;" · ","")&amp;IF(AND(LEFT($C123,11)="[Jefatura] ",N($AL123)=0),"No se encuentra en la hoja de la jefatura (elíjala de nuevo en la lista)"&amp;" · ","")&amp;IF(OR(AND($E123&lt;&gt;"",NOT(ISNUMBER($E123))),AND($F123&lt;&gt;"",NOT(ISNUMBER($F123))),AND($G123&lt;&gt;"",NOT(ISNUMBER($G123)))),"Fecha no válida"&amp;" · ","")&amp;IF(AND(ISNUMBER($AM123),ISNUMBER($AN123),$AM123&gt;$AN123),"Inicio posterior a fecha límite"&amp;" · ","")&amp;IF(AND($V123="Macro",$H123&lt;&gt;"",OR(NOT(ISNUMBER($H123)),$H123&lt;0,$H123&gt;1)),"Peso fuera de rango"&amp;" · ","")&amp;IF(AND($V123="Sub",$H123&lt;&gt;""),"Las subactividades no llevan peso (valen igual dentro de su macroactividad)"&amp;" · ","")&amp;IF(AND(N($W123)&gt;0,COUNT($I123:$L123)&gt;0),"Con subactividades: deje vacías las semanas (se calculan solas)"&amp;" · ","")&amp;IF((COUNTIF($I123:$L123,"&gt;1")+COUNTIF($I123:$L123,"&lt;0")+COUNTA($I123:$L123)-COUNT($I123:$L123))&gt;0,"Avance fuera de rango 0-100%"&amp;" · ","")&amp;IF(OR(AND($J123&lt;&gt;"",$J123&lt;$I123),AND($K123&lt;&gt;"",$K123&lt;MAX($I123:$J123)),AND($L123&lt;&gt;"",$L123&lt;MAX($I123:$K123))),"Avance semanal decreciente"&amp;" · ","")&amp;IF(AND(ISNUMBER($AN123),$AN123&lt;FechaRef,IF($V123="Sub",N($X123),N($M123))&lt;1),"Vencida"&amp;" · ","")&amp;IF(AND(ObsObligatoria="Sí",ISNUMBER($AN123),$AN123&lt;FechaRef,IF($V123="Sub",N($X123),N($M123))&lt;1,$Q123=""),"Vencida sin observación"&amp;" · ",""),LEN(IF($C123="","Falta el nombre de la actividad"&amp;" · ","")&amp;IF(AND($V123="Sub",N($U123)=0),"Subactividad sin macroactividad arriba"&amp;" · ","")&amp;IF($AM123="","Sin fecha de inicio"&amp;" · ","")&amp;IF($AN123="","Sin fecha límite"&amp;" · ","")&amp;IF(AND(LEFT($C123,11)="[Jefatura] ",N($AL123)=0),"No se encuentra en la hoja de la jefatura (elíjala de nuevo en la lista)"&amp;" · ","")&amp;IF(OR(AND($E123&lt;&gt;"",NOT(ISNUMBER($E123))),AND($F123&lt;&gt;"",NOT(ISNUMBER($F123))),AND($G123&lt;&gt;"",NOT(ISNUMBER($G123)))),"Fecha no válida"&amp;" · ","")&amp;IF(AND(ISNUMBER($AM123),ISNUMBER($AN123),$AM123&gt;$AN123),"Inicio posterior a fecha límite"&amp;" · ","")&amp;IF(AND($V123="Macro",$H123&lt;&gt;"",OR(NOT(ISNUMBER($H123)),$H123&lt;0,$H123&gt;1)),"Peso fuera de rango"&amp;" · ","")&amp;IF(AND($V123="Sub",$H123&lt;&gt;""),"Las subactividades no llevan peso (valen igual dentro de su macroactividad)"&amp;" · ","")&amp;IF(AND(N($W123)&gt;0,COUNT($I123:$L123)&gt;0),"Con subactividades: deje vacías las semanas (se calculan solas)"&amp;" · ","")&amp;IF((COUNTIF($I123:$L123,"&gt;1")+COUNTIF($I123:$L123,"&lt;0")+COUNTA($I123:$L123)-COUNT($I123:$L123))&gt;0,"Avance fuera de rango 0-100%"&amp;" · ","")&amp;IF(OR(AND($J123&lt;&gt;"",$J123&lt;$I123),AND($K123&lt;&gt;"",$K123&lt;MAX($I123:$J123)),AND($L123&lt;&gt;"",$L123&lt;MAX($I123:$K123))),"Avance semanal decreciente"&amp;" · ","")&amp;IF(AND(ISNUMBER($AN123),$AN123&lt;FechaRef,IF($V123="Sub",N($X123),N($M123))&lt;1),"Vencida"&amp;" · ","")&amp;IF(AND(ObsObligatoria="Sí",ISNUMBER($AN123),$AN123&lt;FechaRef,IF($V123="Sub",N($X123),N($M123))&lt;1,$Q123=""),"Vencida sin observación"&amp;" · ",""))-3)))</f>
        <v/>
      </c>
      <c r="S123" s="64">
        <f>IF(NOT((COUNTA($B123:$D123)+COUNTA($G123:$L123)+COUNTA($Q123))&gt;0),"",IF(AND($V123="Sub",N($U123)&gt;0),IF(ISNUMBER(INDEX($AM$5:$AM$1000,$U123-4)),DATE(YEAR(INDEX($AM$5:$AM$1000,$U123-4)),MONTH(INDEX($AM$5:$AM$1000,$U123-4)),1),IF(ISNUMBER(INDEX($AN$5:$AN$1000,$U123-4)),DATE(YEAR(INDEX($AN$5:$AN$1000,$U123-4)),MONTH(INDEX($AN$5:$AN$1000,$U123-4)),1),MesCiclo)),IF(ISNUMBER($AM123),DATE(YEAR($AM123),MONTH($AM123),1),IF(ISNUMBER($AN123),DATE(YEAR($AN123),MONTH($AN123),1),MesCiclo))))</f>
        <v/>
      </c>
      <c r="T123" s="62">
        <f>IF(OR($S123="",$S123&lt;&gt;MesCiclo,$V123&lt;&gt;"Macro"),"",COUNTIFS($S$5:$S123,MesCiclo,$V$5:$V123,"Macro"))</f>
        <v/>
      </c>
      <c r="U123" s="62">
        <f>IF($V123="","",IF($V123="Macro",ROW(),IFERROR(LOOKUP(2,1/($V$5:$V123="Macro"),ROW($V$5:$V123)),0)))</f>
        <v/>
      </c>
      <c r="V123" s="62">
        <f>IF(NOT((COUNTA($B123:$D123)+COUNTA($G123:$L123)+COUNTA($Q123))&gt;0),"",IF($B123="Subactividad","Sub","Macro"))</f>
        <v/>
      </c>
      <c r="W123" s="62">
        <f>IF($V123="Macro",COUNTIFS($U$5:$U$1000,ROW(),$V$5:$V$1000,"Sub"),"")</f>
        <v/>
      </c>
      <c r="X123" s="62">
        <f>IF($V123="","",IF(ISNUMBER($G123),1,IFERROR(LOOKUP(2,1/($I123:$L123&lt;&gt;""),$I123:$L123),0)))</f>
        <v/>
      </c>
      <c r="Y123" s="62">
        <f>IF($V123="","",IF(AND(ISNUMBER($G123),$G123&lt;=IF($S123=MesCiclo,InicioCiclo,$S123+MOD(2-WEEKDAY($S123),7))+6),1,IF(ISNUMBER($I123),$I123,0)))</f>
        <v/>
      </c>
      <c r="Z123" s="62">
        <f>IF($V123="","",IF(AND(ISNUMBER($G123),$G123&lt;=IF($S123=MesCiclo,InicioCiclo,$S123+MOD(2-WEEKDAY($S123),7))+13),1,IF(ISNUMBER($J123),$J123,$Y123)))</f>
        <v/>
      </c>
      <c r="AA123" s="62">
        <f>IF($V123="","",IF(AND(ISNUMBER($G123),$G123&lt;=IF($S123=MesCiclo,InicioCiclo,$S123+MOD(2-WEEKDAY($S123),7))+20),1,IF(ISNUMBER($K123),$K123,$Z123)))</f>
        <v/>
      </c>
      <c r="AB123" s="62">
        <f>IF($V123="","",IF(AND(ISNUMBER($G123),$G123&lt;=IF($S123=MesCiclo,InicioCiclo,$S123+MOD(2-WEEKDAY($S123),7))+27),1,IF(ISNUMBER($L123),$L123,$AA123)))</f>
        <v/>
      </c>
      <c r="AC123" s="62">
        <f>IF($V123="","",IF(AND(ISNUMBER($G123),$G123&lt;=IF($S123=MesCiclo,InicioCiclo,$S123+MOD(2-WEEKDAY($S123),7))+6),1,IF(N($W123)&gt;0,AVERAGEIFS($Y$5:$Y$1000,$U$5:$U$1000,ROW(),$V$5:$V$1000,"Sub"),$Y123)))</f>
        <v/>
      </c>
      <c r="AD123" s="62">
        <f>IF($V123="","",IF(AND(ISNUMBER($G123),$G123&lt;=IF($S123=MesCiclo,InicioCiclo,$S123+MOD(2-WEEKDAY($S123),7))+13),1,IF(N($W123)&gt;0,AVERAGEIFS($Z$5:$Z$1000,$U$5:$U$1000,ROW(),$V$5:$V$1000,"Sub"),$Z123)))</f>
        <v/>
      </c>
      <c r="AE123" s="62">
        <f>IF($V123="","",IF(AND(ISNUMBER($G123),$G123&lt;=IF($S123=MesCiclo,InicioCiclo,$S123+MOD(2-WEEKDAY($S123),7))+20),1,IF(N($W123)&gt;0,AVERAGEIFS($AA$5:$AA$1000,$U$5:$U$1000,ROW(),$V$5:$V$1000,"Sub"),$AA123)))</f>
        <v/>
      </c>
      <c r="AF123" s="62">
        <f>IF($V123="","",IF(AND(ISNUMBER($G123),$G123&lt;=IF($S123=MesCiclo,InicioCiclo,$S123+MOD(2-WEEKDAY($S123),7))+27),1,IF(N($W123)&gt;0,AVERAGEIFS($AB$5:$AB$1000,$U$5:$U$1000,ROW(),$V$5:$V$1000,"Sub"),$AB123)))</f>
        <v/>
      </c>
      <c r="AG123" s="62">
        <f>IF($V123&lt;&gt;"Macro","",IF(COUNTIFS($S$5:$S$1000,$S123,$V$5:$V$1000,"Macro",$H$5:$H$1000,"&gt;0")=0,1/COUNTIFS($S$5:$S$1000,$S123,$V$5:$V$1000,"Macro"),IF(AND(ISNUMBER($H123),N($H123)&gt;0),$H123,SUMIFS($H$5:$H$1000,$S$5:$S$1000,$S123,$V$5:$V$1000,"Macro")/COUNTIFS($S$5:$S$1000,$S123,$V$5:$V$1000,"Macro",$H$5:$H$1000,"&gt;0"))/(COUNTIFS($S$5:$S$1000,$S123,$V$5:$V$1000,"Macro")*SUMIFS($H$5:$H$1000,$S$5:$S$1000,$S123,$V$5:$V$1000,"Macro")/COUNTIFS($S$5:$S$1000,$S123,$V$5:$V$1000,"Macro",$H$5:$H$1000,"&gt;0"))))</f>
        <v/>
      </c>
      <c r="AH123" s="62" t="n"/>
      <c r="AI123" s="62" t="n"/>
      <c r="AJ123" s="62" t="n"/>
      <c r="AK123" s="62" t="n"/>
      <c r="AL123" s="62">
        <f>IF(LEFT($C123,11)="[Jefatura] ",IFERROR(MATCH("Riesgo Normativo|"&amp;MID($C123,12,500),rDname_ADM,0),0),"")</f>
        <v/>
      </c>
      <c r="AM123" s="62">
        <f>IF(N($AL123)&gt;0,INDEX(rIni_ADM,$AL123),IF(ISNUMBER($E123),$E123,""))</f>
        <v/>
      </c>
      <c r="AN123" s="62">
        <f>IF(N($AL123)&gt;0,INDEX(rLim_ADM,$AL123),IF(ISNUMBER($F123),$F123,""))</f>
        <v/>
      </c>
    </row>
    <row r="124">
      <c r="A124" s="56">
        <f>IF(NOT((COUNTA($B124:$D124)+COUNTA($G124:$L124)+COUNTA($Q124))&gt;0),"",IF($V124="Macro",COUNTIFS($V$5:$V124,"Macro",$S$5:$S124,$S124),IF(N($U124)=0,"?",COUNTIFS(INDEX($V$5:$V$1000,1):INDEX($V$5:$V$1000,$U124-4),"Macro",INDEX($S$5:$S$1000,1):INDEX($S$5:$S$1000,$U124-4),INDEX($S$5:$S$1000,$U124-4))&amp;"."&amp;COUNTIFS($U$5:$U124,$U124,$V$5:$V124,"Sub"))))</f>
        <v/>
      </c>
      <c r="B124" s="57" t="n"/>
      <c r="C124" s="58" t="n"/>
      <c r="D124" s="58" t="n"/>
      <c r="E124" s="59">
        <f>IF(N($AL124)&gt;0,INDEX(rIni_ADM,$AL124),"")</f>
        <v/>
      </c>
      <c r="F124" s="59">
        <f>IF(N($AL124)&gt;0,INDEX(rLim_ADM,$AL124),"")</f>
        <v/>
      </c>
      <c r="G124" s="59" t="n"/>
      <c r="H124" s="60" t="n"/>
      <c r="I124" s="60" t="n"/>
      <c r="J124" s="60" t="n"/>
      <c r="K124" s="60" t="n"/>
      <c r="L124" s="60" t="n"/>
      <c r="M124" s="61">
        <f>IF(NOT((COUNTA($B124:$D124)+COUNTA($G124:$L124)+COUNTA($Q124))&gt;0),"",IF($V124="Sub",IFERROR($X124/INDEX($W$5:$W$1000,$U124-4),""),IF(ISNUMBER($G124),1,IF(N($W124)&gt;0,AVERAGEIFS($X$5:$X$1000,$U$5:$U$1000,ROW(),$V$5:$V$1000,"Sub"),$X124))))</f>
        <v/>
      </c>
      <c r="N124" s="56">
        <f>IF(OR($M124="",$V124="Sub"),"",IF($M124&gt;=1,"Completado",IF($M124&gt;0,"En curso","Pendiente")))</f>
        <v/>
      </c>
      <c r="O124" s="56">
        <f>IF(OR(NOT((COUNTA($B124:$D124)+COUNTA($G124:$L124)+COUNTA($Q124))&gt;0),$V124="Sub"),"",IF(ISNUMBER($G124),IF(AND(ISNUMBER($AN124),$G124&gt;$AN124),"Cumplida con "&amp;($G124-$AN124)&amp;IF($G124-$AN124=1," día"," días")&amp;" de retraso","Cumplida"),IF(N($M124)&gt;=1,"Cumplida",IF(NOT(ISNUMBER($AN124)),"Sin fecha límite",IF($AN124&lt;FechaRef,"Vencida hace "&amp;(FechaRef-$AN124)&amp;IF(FechaRef-$AN124=1," día"," días"),IF($AN124=FechaRef,"Vence hoy",IF($AN124-FechaRef&lt;=DiasAlerta,"Vence en "&amp;($AN124-FechaRef)&amp;IF($AN124-FechaRef=1," día"," días"),"En plazo")))))))</f>
        <v/>
      </c>
      <c r="P124" s="62" t="n"/>
      <c r="Q124" s="58" t="n"/>
      <c r="R124" s="63">
        <f>IF(NOT((COUNTA($B124:$D124)+COUNTA($G124:$L124)+COUNTA($Q124))&gt;0),"",IF((IF($C124="","Falta el nombre de la actividad"&amp;" · ","")&amp;IF(AND($V124="Sub",N($U124)=0),"Subactividad sin macroactividad arriba"&amp;" · ","")&amp;IF($AM124="","Sin fecha de inicio"&amp;" · ","")&amp;IF($AN124="","Sin fecha límite"&amp;" · ","")&amp;IF(AND(LEFT($C124,11)="[Jefatura] ",N($AL124)=0),"No se encuentra en la hoja de la jefatura (elíjala de nuevo en la lista)"&amp;" · ","")&amp;IF(OR(AND($E124&lt;&gt;"",NOT(ISNUMBER($E124))),AND($F124&lt;&gt;"",NOT(ISNUMBER($F124))),AND($G124&lt;&gt;"",NOT(ISNUMBER($G124)))),"Fecha no válida"&amp;" · ","")&amp;IF(AND(ISNUMBER($AM124),ISNUMBER($AN124),$AM124&gt;$AN124),"Inicio posterior a fecha límite"&amp;" · ","")&amp;IF(AND($V124="Macro",$H124&lt;&gt;"",OR(NOT(ISNUMBER($H124)),$H124&lt;0,$H124&gt;1)),"Peso fuera de rango"&amp;" · ","")&amp;IF(AND($V124="Sub",$H124&lt;&gt;""),"Las subactividades no llevan peso (valen igual dentro de su macroactividad)"&amp;" · ","")&amp;IF(AND(N($W124)&gt;0,COUNT($I124:$L124)&gt;0),"Con subactividades: deje vacías las semanas (se calculan solas)"&amp;" · ","")&amp;IF((COUNTIF($I124:$L124,"&gt;1")+COUNTIF($I124:$L124,"&lt;0")+COUNTA($I124:$L124)-COUNT($I124:$L124))&gt;0,"Avance fuera de rango 0-100%"&amp;" · ","")&amp;IF(OR(AND($J124&lt;&gt;"",$J124&lt;$I124),AND($K124&lt;&gt;"",$K124&lt;MAX($I124:$J124)),AND($L124&lt;&gt;"",$L124&lt;MAX($I124:$K124))),"Avance semanal decreciente"&amp;" · ","")&amp;IF(AND(ISNUMBER($AN124),$AN124&lt;FechaRef,IF($V124="Sub",N($X124),N($M124))&lt;1),"Vencida"&amp;" · ","")&amp;IF(AND(ObsObligatoria="Sí",ISNUMBER($AN124),$AN124&lt;FechaRef,IF($V124="Sub",N($X124),N($M124))&lt;1,$Q124=""),"Vencida sin observación"&amp;" · ",""))="","✔ OK","⚠ "&amp;LEFT(IF($C124="","Falta el nombre de la actividad"&amp;" · ","")&amp;IF(AND($V124="Sub",N($U124)=0),"Subactividad sin macroactividad arriba"&amp;" · ","")&amp;IF($AM124="","Sin fecha de inicio"&amp;" · ","")&amp;IF($AN124="","Sin fecha límite"&amp;" · ","")&amp;IF(AND(LEFT($C124,11)="[Jefatura] ",N($AL124)=0),"No se encuentra en la hoja de la jefatura (elíjala de nuevo en la lista)"&amp;" · ","")&amp;IF(OR(AND($E124&lt;&gt;"",NOT(ISNUMBER($E124))),AND($F124&lt;&gt;"",NOT(ISNUMBER($F124))),AND($G124&lt;&gt;"",NOT(ISNUMBER($G124)))),"Fecha no válida"&amp;" · ","")&amp;IF(AND(ISNUMBER($AM124),ISNUMBER($AN124),$AM124&gt;$AN124),"Inicio posterior a fecha límite"&amp;" · ","")&amp;IF(AND($V124="Macro",$H124&lt;&gt;"",OR(NOT(ISNUMBER($H124)),$H124&lt;0,$H124&gt;1)),"Peso fuera de rango"&amp;" · ","")&amp;IF(AND($V124="Sub",$H124&lt;&gt;""),"Las subactividades no llevan peso (valen igual dentro de su macroactividad)"&amp;" · ","")&amp;IF(AND(N($W124)&gt;0,COUNT($I124:$L124)&gt;0),"Con subactividades: deje vacías las semanas (se calculan solas)"&amp;" · ","")&amp;IF((COUNTIF($I124:$L124,"&gt;1")+COUNTIF($I124:$L124,"&lt;0")+COUNTA($I124:$L124)-COUNT($I124:$L124))&gt;0,"Avance fuera de rango 0-100%"&amp;" · ","")&amp;IF(OR(AND($J124&lt;&gt;"",$J124&lt;$I124),AND($K124&lt;&gt;"",$K124&lt;MAX($I124:$J124)),AND($L124&lt;&gt;"",$L124&lt;MAX($I124:$K124))),"Avance semanal decreciente"&amp;" · ","")&amp;IF(AND(ISNUMBER($AN124),$AN124&lt;FechaRef,IF($V124="Sub",N($X124),N($M124))&lt;1),"Vencida"&amp;" · ","")&amp;IF(AND(ObsObligatoria="Sí",ISNUMBER($AN124),$AN124&lt;FechaRef,IF($V124="Sub",N($X124),N($M124))&lt;1,$Q124=""),"Vencida sin observación"&amp;" · ",""),LEN(IF($C124="","Falta el nombre de la actividad"&amp;" · ","")&amp;IF(AND($V124="Sub",N($U124)=0),"Subactividad sin macroactividad arriba"&amp;" · ","")&amp;IF($AM124="","Sin fecha de inicio"&amp;" · ","")&amp;IF($AN124="","Sin fecha límite"&amp;" · ","")&amp;IF(AND(LEFT($C124,11)="[Jefatura] ",N($AL124)=0),"No se encuentra en la hoja de la jefatura (elíjala de nuevo en la lista)"&amp;" · ","")&amp;IF(OR(AND($E124&lt;&gt;"",NOT(ISNUMBER($E124))),AND($F124&lt;&gt;"",NOT(ISNUMBER($F124))),AND($G124&lt;&gt;"",NOT(ISNUMBER($G124)))),"Fecha no válida"&amp;" · ","")&amp;IF(AND(ISNUMBER($AM124),ISNUMBER($AN124),$AM124&gt;$AN124),"Inicio posterior a fecha límite"&amp;" · ","")&amp;IF(AND($V124="Macro",$H124&lt;&gt;"",OR(NOT(ISNUMBER($H124)),$H124&lt;0,$H124&gt;1)),"Peso fuera de rango"&amp;" · ","")&amp;IF(AND($V124="Sub",$H124&lt;&gt;""),"Las subactividades no llevan peso (valen igual dentro de su macroactividad)"&amp;" · ","")&amp;IF(AND(N($W124)&gt;0,COUNT($I124:$L124)&gt;0),"Con subactividades: deje vacías las semanas (se calculan solas)"&amp;" · ","")&amp;IF((COUNTIF($I124:$L124,"&gt;1")+COUNTIF($I124:$L124,"&lt;0")+COUNTA($I124:$L124)-COUNT($I124:$L124))&gt;0,"Avance fuera de rango 0-100%"&amp;" · ","")&amp;IF(OR(AND($J124&lt;&gt;"",$J124&lt;$I124),AND($K124&lt;&gt;"",$K124&lt;MAX($I124:$J124)),AND($L124&lt;&gt;"",$L124&lt;MAX($I124:$K124))),"Avance semanal decreciente"&amp;" · ","")&amp;IF(AND(ISNUMBER($AN124),$AN124&lt;FechaRef,IF($V124="Sub",N($X124),N($M124))&lt;1),"Vencida"&amp;" · ","")&amp;IF(AND(ObsObligatoria="Sí",ISNUMBER($AN124),$AN124&lt;FechaRef,IF($V124="Sub",N($X124),N($M124))&lt;1,$Q124=""),"Vencida sin observación"&amp;" · ",""))-3)))</f>
        <v/>
      </c>
      <c r="S124" s="64">
        <f>IF(NOT((COUNTA($B124:$D124)+COUNTA($G124:$L124)+COUNTA($Q124))&gt;0),"",IF(AND($V124="Sub",N($U124)&gt;0),IF(ISNUMBER(INDEX($AM$5:$AM$1000,$U124-4)),DATE(YEAR(INDEX($AM$5:$AM$1000,$U124-4)),MONTH(INDEX($AM$5:$AM$1000,$U124-4)),1),IF(ISNUMBER(INDEX($AN$5:$AN$1000,$U124-4)),DATE(YEAR(INDEX($AN$5:$AN$1000,$U124-4)),MONTH(INDEX($AN$5:$AN$1000,$U124-4)),1),MesCiclo)),IF(ISNUMBER($AM124),DATE(YEAR($AM124),MONTH($AM124),1),IF(ISNUMBER($AN124),DATE(YEAR($AN124),MONTH($AN124),1),MesCiclo))))</f>
        <v/>
      </c>
      <c r="T124" s="62">
        <f>IF(OR($S124="",$S124&lt;&gt;MesCiclo,$V124&lt;&gt;"Macro"),"",COUNTIFS($S$5:$S124,MesCiclo,$V$5:$V124,"Macro"))</f>
        <v/>
      </c>
      <c r="U124" s="62">
        <f>IF($V124="","",IF($V124="Macro",ROW(),IFERROR(LOOKUP(2,1/($V$5:$V124="Macro"),ROW($V$5:$V124)),0)))</f>
        <v/>
      </c>
      <c r="V124" s="62">
        <f>IF(NOT((COUNTA($B124:$D124)+COUNTA($G124:$L124)+COUNTA($Q124))&gt;0),"",IF($B124="Subactividad","Sub","Macro"))</f>
        <v/>
      </c>
      <c r="W124" s="62">
        <f>IF($V124="Macro",COUNTIFS($U$5:$U$1000,ROW(),$V$5:$V$1000,"Sub"),"")</f>
        <v/>
      </c>
      <c r="X124" s="62">
        <f>IF($V124="","",IF(ISNUMBER($G124),1,IFERROR(LOOKUP(2,1/($I124:$L124&lt;&gt;""),$I124:$L124),0)))</f>
        <v/>
      </c>
      <c r="Y124" s="62">
        <f>IF($V124="","",IF(AND(ISNUMBER($G124),$G124&lt;=IF($S124=MesCiclo,InicioCiclo,$S124+MOD(2-WEEKDAY($S124),7))+6),1,IF(ISNUMBER($I124),$I124,0)))</f>
        <v/>
      </c>
      <c r="Z124" s="62">
        <f>IF($V124="","",IF(AND(ISNUMBER($G124),$G124&lt;=IF($S124=MesCiclo,InicioCiclo,$S124+MOD(2-WEEKDAY($S124),7))+13),1,IF(ISNUMBER($J124),$J124,$Y124)))</f>
        <v/>
      </c>
      <c r="AA124" s="62">
        <f>IF($V124="","",IF(AND(ISNUMBER($G124),$G124&lt;=IF($S124=MesCiclo,InicioCiclo,$S124+MOD(2-WEEKDAY($S124),7))+20),1,IF(ISNUMBER($K124),$K124,$Z124)))</f>
        <v/>
      </c>
      <c r="AB124" s="62">
        <f>IF($V124="","",IF(AND(ISNUMBER($G124),$G124&lt;=IF($S124=MesCiclo,InicioCiclo,$S124+MOD(2-WEEKDAY($S124),7))+27),1,IF(ISNUMBER($L124),$L124,$AA124)))</f>
        <v/>
      </c>
      <c r="AC124" s="62">
        <f>IF($V124="","",IF(AND(ISNUMBER($G124),$G124&lt;=IF($S124=MesCiclo,InicioCiclo,$S124+MOD(2-WEEKDAY($S124),7))+6),1,IF(N($W124)&gt;0,AVERAGEIFS($Y$5:$Y$1000,$U$5:$U$1000,ROW(),$V$5:$V$1000,"Sub"),$Y124)))</f>
        <v/>
      </c>
      <c r="AD124" s="62">
        <f>IF($V124="","",IF(AND(ISNUMBER($G124),$G124&lt;=IF($S124=MesCiclo,InicioCiclo,$S124+MOD(2-WEEKDAY($S124),7))+13),1,IF(N($W124)&gt;0,AVERAGEIFS($Z$5:$Z$1000,$U$5:$U$1000,ROW(),$V$5:$V$1000,"Sub"),$Z124)))</f>
        <v/>
      </c>
      <c r="AE124" s="62">
        <f>IF($V124="","",IF(AND(ISNUMBER($G124),$G124&lt;=IF($S124=MesCiclo,InicioCiclo,$S124+MOD(2-WEEKDAY($S124),7))+20),1,IF(N($W124)&gt;0,AVERAGEIFS($AA$5:$AA$1000,$U$5:$U$1000,ROW(),$V$5:$V$1000,"Sub"),$AA124)))</f>
        <v/>
      </c>
      <c r="AF124" s="62">
        <f>IF($V124="","",IF(AND(ISNUMBER($G124),$G124&lt;=IF($S124=MesCiclo,InicioCiclo,$S124+MOD(2-WEEKDAY($S124),7))+27),1,IF(N($W124)&gt;0,AVERAGEIFS($AB$5:$AB$1000,$U$5:$U$1000,ROW(),$V$5:$V$1000,"Sub"),$AB124)))</f>
        <v/>
      </c>
      <c r="AG124" s="62">
        <f>IF($V124&lt;&gt;"Macro","",IF(COUNTIFS($S$5:$S$1000,$S124,$V$5:$V$1000,"Macro",$H$5:$H$1000,"&gt;0")=0,1/COUNTIFS($S$5:$S$1000,$S124,$V$5:$V$1000,"Macro"),IF(AND(ISNUMBER($H124),N($H124)&gt;0),$H124,SUMIFS($H$5:$H$1000,$S$5:$S$1000,$S124,$V$5:$V$1000,"Macro")/COUNTIFS($S$5:$S$1000,$S124,$V$5:$V$1000,"Macro",$H$5:$H$1000,"&gt;0"))/(COUNTIFS($S$5:$S$1000,$S124,$V$5:$V$1000,"Macro")*SUMIFS($H$5:$H$1000,$S$5:$S$1000,$S124,$V$5:$V$1000,"Macro")/COUNTIFS($S$5:$S$1000,$S124,$V$5:$V$1000,"Macro",$H$5:$H$1000,"&gt;0"))))</f>
        <v/>
      </c>
      <c r="AH124" s="62" t="n"/>
      <c r="AI124" s="62" t="n"/>
      <c r="AJ124" s="62" t="n"/>
      <c r="AK124" s="62" t="n"/>
      <c r="AL124" s="62">
        <f>IF(LEFT($C124,11)="[Jefatura] ",IFERROR(MATCH("Riesgo Normativo|"&amp;MID($C124,12,500),rDname_ADM,0),0),"")</f>
        <v/>
      </c>
      <c r="AM124" s="62">
        <f>IF(N($AL124)&gt;0,INDEX(rIni_ADM,$AL124),IF(ISNUMBER($E124),$E124,""))</f>
        <v/>
      </c>
      <c r="AN124" s="62">
        <f>IF(N($AL124)&gt;0,INDEX(rLim_ADM,$AL124),IF(ISNUMBER($F124),$F124,""))</f>
        <v/>
      </c>
    </row>
    <row r="125">
      <c r="A125" s="56">
        <f>IF(NOT((COUNTA($B125:$D125)+COUNTA($G125:$L125)+COUNTA($Q125))&gt;0),"",IF($V125="Macro",COUNTIFS($V$5:$V125,"Macro",$S$5:$S125,$S125),IF(N($U125)=0,"?",COUNTIFS(INDEX($V$5:$V$1000,1):INDEX($V$5:$V$1000,$U125-4),"Macro",INDEX($S$5:$S$1000,1):INDEX($S$5:$S$1000,$U125-4),INDEX($S$5:$S$1000,$U125-4))&amp;"."&amp;COUNTIFS($U$5:$U125,$U125,$V$5:$V125,"Sub"))))</f>
        <v/>
      </c>
      <c r="B125" s="57" t="n"/>
      <c r="C125" s="58" t="n"/>
      <c r="D125" s="58" t="n"/>
      <c r="E125" s="59">
        <f>IF(N($AL125)&gt;0,INDEX(rIni_ADM,$AL125),"")</f>
        <v/>
      </c>
      <c r="F125" s="59">
        <f>IF(N($AL125)&gt;0,INDEX(rLim_ADM,$AL125),"")</f>
        <v/>
      </c>
      <c r="G125" s="59" t="n"/>
      <c r="H125" s="60" t="n"/>
      <c r="I125" s="60" t="n"/>
      <c r="J125" s="60" t="n"/>
      <c r="K125" s="60" t="n"/>
      <c r="L125" s="60" t="n"/>
      <c r="M125" s="61">
        <f>IF(NOT((COUNTA($B125:$D125)+COUNTA($G125:$L125)+COUNTA($Q125))&gt;0),"",IF($V125="Sub",IFERROR($X125/INDEX($W$5:$W$1000,$U125-4),""),IF(ISNUMBER($G125),1,IF(N($W125)&gt;0,AVERAGEIFS($X$5:$X$1000,$U$5:$U$1000,ROW(),$V$5:$V$1000,"Sub"),$X125))))</f>
        <v/>
      </c>
      <c r="N125" s="56">
        <f>IF(OR($M125="",$V125="Sub"),"",IF($M125&gt;=1,"Completado",IF($M125&gt;0,"En curso","Pendiente")))</f>
        <v/>
      </c>
      <c r="O125" s="56">
        <f>IF(OR(NOT((COUNTA($B125:$D125)+COUNTA($G125:$L125)+COUNTA($Q125))&gt;0),$V125="Sub"),"",IF(ISNUMBER($G125),IF(AND(ISNUMBER($AN125),$G125&gt;$AN125),"Cumplida con "&amp;($G125-$AN125)&amp;IF($G125-$AN125=1," día"," días")&amp;" de retraso","Cumplida"),IF(N($M125)&gt;=1,"Cumplida",IF(NOT(ISNUMBER($AN125)),"Sin fecha límite",IF($AN125&lt;FechaRef,"Vencida hace "&amp;(FechaRef-$AN125)&amp;IF(FechaRef-$AN125=1," día"," días"),IF($AN125=FechaRef,"Vence hoy",IF($AN125-FechaRef&lt;=DiasAlerta,"Vence en "&amp;($AN125-FechaRef)&amp;IF($AN125-FechaRef=1," día"," días"),"En plazo")))))))</f>
        <v/>
      </c>
      <c r="P125" s="62" t="n"/>
      <c r="Q125" s="58" t="n"/>
      <c r="R125" s="63">
        <f>IF(NOT((COUNTA($B125:$D125)+COUNTA($G125:$L125)+COUNTA($Q125))&gt;0),"",IF((IF($C125="","Falta el nombre de la actividad"&amp;" · ","")&amp;IF(AND($V125="Sub",N($U125)=0),"Subactividad sin macroactividad arriba"&amp;" · ","")&amp;IF($AM125="","Sin fecha de inicio"&amp;" · ","")&amp;IF($AN125="","Sin fecha límite"&amp;" · ","")&amp;IF(AND(LEFT($C125,11)="[Jefatura] ",N($AL125)=0),"No se encuentra en la hoja de la jefatura (elíjala de nuevo en la lista)"&amp;" · ","")&amp;IF(OR(AND($E125&lt;&gt;"",NOT(ISNUMBER($E125))),AND($F125&lt;&gt;"",NOT(ISNUMBER($F125))),AND($G125&lt;&gt;"",NOT(ISNUMBER($G125)))),"Fecha no válida"&amp;" · ","")&amp;IF(AND(ISNUMBER($AM125),ISNUMBER($AN125),$AM125&gt;$AN125),"Inicio posterior a fecha límite"&amp;" · ","")&amp;IF(AND($V125="Macro",$H125&lt;&gt;"",OR(NOT(ISNUMBER($H125)),$H125&lt;0,$H125&gt;1)),"Peso fuera de rango"&amp;" · ","")&amp;IF(AND($V125="Sub",$H125&lt;&gt;""),"Las subactividades no llevan peso (valen igual dentro de su macroactividad)"&amp;" · ","")&amp;IF(AND(N($W125)&gt;0,COUNT($I125:$L125)&gt;0),"Con subactividades: deje vacías las semanas (se calculan solas)"&amp;" · ","")&amp;IF((COUNTIF($I125:$L125,"&gt;1")+COUNTIF($I125:$L125,"&lt;0")+COUNTA($I125:$L125)-COUNT($I125:$L125))&gt;0,"Avance fuera de rango 0-100%"&amp;" · ","")&amp;IF(OR(AND($J125&lt;&gt;"",$J125&lt;$I125),AND($K125&lt;&gt;"",$K125&lt;MAX($I125:$J125)),AND($L125&lt;&gt;"",$L125&lt;MAX($I125:$K125))),"Avance semanal decreciente"&amp;" · ","")&amp;IF(AND(ISNUMBER($AN125),$AN125&lt;FechaRef,IF($V125="Sub",N($X125),N($M125))&lt;1),"Vencida"&amp;" · ","")&amp;IF(AND(ObsObligatoria="Sí",ISNUMBER($AN125),$AN125&lt;FechaRef,IF($V125="Sub",N($X125),N($M125))&lt;1,$Q125=""),"Vencida sin observación"&amp;" · ",""))="","✔ OK","⚠ "&amp;LEFT(IF($C125="","Falta el nombre de la actividad"&amp;" · ","")&amp;IF(AND($V125="Sub",N($U125)=0),"Subactividad sin macroactividad arriba"&amp;" · ","")&amp;IF($AM125="","Sin fecha de inicio"&amp;" · ","")&amp;IF($AN125="","Sin fecha límite"&amp;" · ","")&amp;IF(AND(LEFT($C125,11)="[Jefatura] ",N($AL125)=0),"No se encuentra en la hoja de la jefatura (elíjala de nuevo en la lista)"&amp;" · ","")&amp;IF(OR(AND($E125&lt;&gt;"",NOT(ISNUMBER($E125))),AND($F125&lt;&gt;"",NOT(ISNUMBER($F125))),AND($G125&lt;&gt;"",NOT(ISNUMBER($G125)))),"Fecha no válida"&amp;" · ","")&amp;IF(AND(ISNUMBER($AM125),ISNUMBER($AN125),$AM125&gt;$AN125),"Inicio posterior a fecha límite"&amp;" · ","")&amp;IF(AND($V125="Macro",$H125&lt;&gt;"",OR(NOT(ISNUMBER($H125)),$H125&lt;0,$H125&gt;1)),"Peso fuera de rango"&amp;" · ","")&amp;IF(AND($V125="Sub",$H125&lt;&gt;""),"Las subactividades no llevan peso (valen igual dentro de su macroactividad)"&amp;" · ","")&amp;IF(AND(N($W125)&gt;0,COUNT($I125:$L125)&gt;0),"Con subactividades: deje vacías las semanas (se calculan solas)"&amp;" · ","")&amp;IF((COUNTIF($I125:$L125,"&gt;1")+COUNTIF($I125:$L125,"&lt;0")+COUNTA($I125:$L125)-COUNT($I125:$L125))&gt;0,"Avance fuera de rango 0-100%"&amp;" · ","")&amp;IF(OR(AND($J125&lt;&gt;"",$J125&lt;$I125),AND($K125&lt;&gt;"",$K125&lt;MAX($I125:$J125)),AND($L125&lt;&gt;"",$L125&lt;MAX($I125:$K125))),"Avance semanal decreciente"&amp;" · ","")&amp;IF(AND(ISNUMBER($AN125),$AN125&lt;FechaRef,IF($V125="Sub",N($X125),N($M125))&lt;1),"Vencida"&amp;" · ","")&amp;IF(AND(ObsObligatoria="Sí",ISNUMBER($AN125),$AN125&lt;FechaRef,IF($V125="Sub",N($X125),N($M125))&lt;1,$Q125=""),"Vencida sin observación"&amp;" · ",""),LEN(IF($C125="","Falta el nombre de la actividad"&amp;" · ","")&amp;IF(AND($V125="Sub",N($U125)=0),"Subactividad sin macroactividad arriba"&amp;" · ","")&amp;IF($AM125="","Sin fecha de inicio"&amp;" · ","")&amp;IF($AN125="","Sin fecha límite"&amp;" · ","")&amp;IF(AND(LEFT($C125,11)="[Jefatura] ",N($AL125)=0),"No se encuentra en la hoja de la jefatura (elíjala de nuevo en la lista)"&amp;" · ","")&amp;IF(OR(AND($E125&lt;&gt;"",NOT(ISNUMBER($E125))),AND($F125&lt;&gt;"",NOT(ISNUMBER($F125))),AND($G125&lt;&gt;"",NOT(ISNUMBER($G125)))),"Fecha no válida"&amp;" · ","")&amp;IF(AND(ISNUMBER($AM125),ISNUMBER($AN125),$AM125&gt;$AN125),"Inicio posterior a fecha límite"&amp;" · ","")&amp;IF(AND($V125="Macro",$H125&lt;&gt;"",OR(NOT(ISNUMBER($H125)),$H125&lt;0,$H125&gt;1)),"Peso fuera de rango"&amp;" · ","")&amp;IF(AND($V125="Sub",$H125&lt;&gt;""),"Las subactividades no llevan peso (valen igual dentro de su macroactividad)"&amp;" · ","")&amp;IF(AND(N($W125)&gt;0,COUNT($I125:$L125)&gt;0),"Con subactividades: deje vacías las semanas (se calculan solas)"&amp;" · ","")&amp;IF((COUNTIF($I125:$L125,"&gt;1")+COUNTIF($I125:$L125,"&lt;0")+COUNTA($I125:$L125)-COUNT($I125:$L125))&gt;0,"Avance fuera de rango 0-100%"&amp;" · ","")&amp;IF(OR(AND($J125&lt;&gt;"",$J125&lt;$I125),AND($K125&lt;&gt;"",$K125&lt;MAX($I125:$J125)),AND($L125&lt;&gt;"",$L125&lt;MAX($I125:$K125))),"Avance semanal decreciente"&amp;" · ","")&amp;IF(AND(ISNUMBER($AN125),$AN125&lt;FechaRef,IF($V125="Sub",N($X125),N($M125))&lt;1),"Vencida"&amp;" · ","")&amp;IF(AND(ObsObligatoria="Sí",ISNUMBER($AN125),$AN125&lt;FechaRef,IF($V125="Sub",N($X125),N($M125))&lt;1,$Q125=""),"Vencida sin observación"&amp;" · ",""))-3)))</f>
        <v/>
      </c>
      <c r="S125" s="64">
        <f>IF(NOT((COUNTA($B125:$D125)+COUNTA($G125:$L125)+COUNTA($Q125))&gt;0),"",IF(AND($V125="Sub",N($U125)&gt;0),IF(ISNUMBER(INDEX($AM$5:$AM$1000,$U125-4)),DATE(YEAR(INDEX($AM$5:$AM$1000,$U125-4)),MONTH(INDEX($AM$5:$AM$1000,$U125-4)),1),IF(ISNUMBER(INDEX($AN$5:$AN$1000,$U125-4)),DATE(YEAR(INDEX($AN$5:$AN$1000,$U125-4)),MONTH(INDEX($AN$5:$AN$1000,$U125-4)),1),MesCiclo)),IF(ISNUMBER($AM125),DATE(YEAR($AM125),MONTH($AM125),1),IF(ISNUMBER($AN125),DATE(YEAR($AN125),MONTH($AN125),1),MesCiclo))))</f>
        <v/>
      </c>
      <c r="T125" s="62">
        <f>IF(OR($S125="",$S125&lt;&gt;MesCiclo,$V125&lt;&gt;"Macro"),"",COUNTIFS($S$5:$S125,MesCiclo,$V$5:$V125,"Macro"))</f>
        <v/>
      </c>
      <c r="U125" s="62">
        <f>IF($V125="","",IF($V125="Macro",ROW(),IFERROR(LOOKUP(2,1/($V$5:$V125="Macro"),ROW($V$5:$V125)),0)))</f>
        <v/>
      </c>
      <c r="V125" s="62">
        <f>IF(NOT((COUNTA($B125:$D125)+COUNTA($G125:$L125)+COUNTA($Q125))&gt;0),"",IF($B125="Subactividad","Sub","Macro"))</f>
        <v/>
      </c>
      <c r="W125" s="62">
        <f>IF($V125="Macro",COUNTIFS($U$5:$U$1000,ROW(),$V$5:$V$1000,"Sub"),"")</f>
        <v/>
      </c>
      <c r="X125" s="62">
        <f>IF($V125="","",IF(ISNUMBER($G125),1,IFERROR(LOOKUP(2,1/($I125:$L125&lt;&gt;""),$I125:$L125),0)))</f>
        <v/>
      </c>
      <c r="Y125" s="62">
        <f>IF($V125="","",IF(AND(ISNUMBER($G125),$G125&lt;=IF($S125=MesCiclo,InicioCiclo,$S125+MOD(2-WEEKDAY($S125),7))+6),1,IF(ISNUMBER($I125),$I125,0)))</f>
        <v/>
      </c>
      <c r="Z125" s="62">
        <f>IF($V125="","",IF(AND(ISNUMBER($G125),$G125&lt;=IF($S125=MesCiclo,InicioCiclo,$S125+MOD(2-WEEKDAY($S125),7))+13),1,IF(ISNUMBER($J125),$J125,$Y125)))</f>
        <v/>
      </c>
      <c r="AA125" s="62">
        <f>IF($V125="","",IF(AND(ISNUMBER($G125),$G125&lt;=IF($S125=MesCiclo,InicioCiclo,$S125+MOD(2-WEEKDAY($S125),7))+20),1,IF(ISNUMBER($K125),$K125,$Z125)))</f>
        <v/>
      </c>
      <c r="AB125" s="62">
        <f>IF($V125="","",IF(AND(ISNUMBER($G125),$G125&lt;=IF($S125=MesCiclo,InicioCiclo,$S125+MOD(2-WEEKDAY($S125),7))+27),1,IF(ISNUMBER($L125),$L125,$AA125)))</f>
        <v/>
      </c>
      <c r="AC125" s="62">
        <f>IF($V125="","",IF(AND(ISNUMBER($G125),$G125&lt;=IF($S125=MesCiclo,InicioCiclo,$S125+MOD(2-WEEKDAY($S125),7))+6),1,IF(N($W125)&gt;0,AVERAGEIFS($Y$5:$Y$1000,$U$5:$U$1000,ROW(),$V$5:$V$1000,"Sub"),$Y125)))</f>
        <v/>
      </c>
      <c r="AD125" s="62">
        <f>IF($V125="","",IF(AND(ISNUMBER($G125),$G125&lt;=IF($S125=MesCiclo,InicioCiclo,$S125+MOD(2-WEEKDAY($S125),7))+13),1,IF(N($W125)&gt;0,AVERAGEIFS($Z$5:$Z$1000,$U$5:$U$1000,ROW(),$V$5:$V$1000,"Sub"),$Z125)))</f>
        <v/>
      </c>
      <c r="AE125" s="62">
        <f>IF($V125="","",IF(AND(ISNUMBER($G125),$G125&lt;=IF($S125=MesCiclo,InicioCiclo,$S125+MOD(2-WEEKDAY($S125),7))+20),1,IF(N($W125)&gt;0,AVERAGEIFS($AA$5:$AA$1000,$U$5:$U$1000,ROW(),$V$5:$V$1000,"Sub"),$AA125)))</f>
        <v/>
      </c>
      <c r="AF125" s="62">
        <f>IF($V125="","",IF(AND(ISNUMBER($G125),$G125&lt;=IF($S125=MesCiclo,InicioCiclo,$S125+MOD(2-WEEKDAY($S125),7))+27),1,IF(N($W125)&gt;0,AVERAGEIFS($AB$5:$AB$1000,$U$5:$U$1000,ROW(),$V$5:$V$1000,"Sub"),$AB125)))</f>
        <v/>
      </c>
      <c r="AG125" s="62">
        <f>IF($V125&lt;&gt;"Macro","",IF(COUNTIFS($S$5:$S$1000,$S125,$V$5:$V$1000,"Macro",$H$5:$H$1000,"&gt;0")=0,1/COUNTIFS($S$5:$S$1000,$S125,$V$5:$V$1000,"Macro"),IF(AND(ISNUMBER($H125),N($H125)&gt;0),$H125,SUMIFS($H$5:$H$1000,$S$5:$S$1000,$S125,$V$5:$V$1000,"Macro")/COUNTIFS($S$5:$S$1000,$S125,$V$5:$V$1000,"Macro",$H$5:$H$1000,"&gt;0"))/(COUNTIFS($S$5:$S$1000,$S125,$V$5:$V$1000,"Macro")*SUMIFS($H$5:$H$1000,$S$5:$S$1000,$S125,$V$5:$V$1000,"Macro")/COUNTIFS($S$5:$S$1000,$S125,$V$5:$V$1000,"Macro",$H$5:$H$1000,"&gt;0"))))</f>
        <v/>
      </c>
      <c r="AH125" s="62" t="n"/>
      <c r="AI125" s="62" t="n"/>
      <c r="AJ125" s="62" t="n"/>
      <c r="AK125" s="62" t="n"/>
      <c r="AL125" s="62">
        <f>IF(LEFT($C125,11)="[Jefatura] ",IFERROR(MATCH("Riesgo Normativo|"&amp;MID($C125,12,500),rDname_ADM,0),0),"")</f>
        <v/>
      </c>
      <c r="AM125" s="62">
        <f>IF(N($AL125)&gt;0,INDEX(rIni_ADM,$AL125),IF(ISNUMBER($E125),$E125,""))</f>
        <v/>
      </c>
      <c r="AN125" s="62">
        <f>IF(N($AL125)&gt;0,INDEX(rLim_ADM,$AL125),IF(ISNUMBER($F125),$F125,""))</f>
        <v/>
      </c>
    </row>
    <row r="126">
      <c r="A126" s="56">
        <f>IF(NOT((COUNTA($B126:$D126)+COUNTA($G126:$L126)+COUNTA($Q126))&gt;0),"",IF($V126="Macro",COUNTIFS($V$5:$V126,"Macro",$S$5:$S126,$S126),IF(N($U126)=0,"?",COUNTIFS(INDEX($V$5:$V$1000,1):INDEX($V$5:$V$1000,$U126-4),"Macro",INDEX($S$5:$S$1000,1):INDEX($S$5:$S$1000,$U126-4),INDEX($S$5:$S$1000,$U126-4))&amp;"."&amp;COUNTIFS($U$5:$U126,$U126,$V$5:$V126,"Sub"))))</f>
        <v/>
      </c>
      <c r="B126" s="57" t="n"/>
      <c r="C126" s="58" t="n"/>
      <c r="D126" s="58" t="n"/>
      <c r="E126" s="59">
        <f>IF(N($AL126)&gt;0,INDEX(rIni_ADM,$AL126),"")</f>
        <v/>
      </c>
      <c r="F126" s="59">
        <f>IF(N($AL126)&gt;0,INDEX(rLim_ADM,$AL126),"")</f>
        <v/>
      </c>
      <c r="G126" s="59" t="n"/>
      <c r="H126" s="60" t="n"/>
      <c r="I126" s="60" t="n"/>
      <c r="J126" s="60" t="n"/>
      <c r="K126" s="60" t="n"/>
      <c r="L126" s="60" t="n"/>
      <c r="M126" s="61">
        <f>IF(NOT((COUNTA($B126:$D126)+COUNTA($G126:$L126)+COUNTA($Q126))&gt;0),"",IF($V126="Sub",IFERROR($X126/INDEX($W$5:$W$1000,$U126-4),""),IF(ISNUMBER($G126),1,IF(N($W126)&gt;0,AVERAGEIFS($X$5:$X$1000,$U$5:$U$1000,ROW(),$V$5:$V$1000,"Sub"),$X126))))</f>
        <v/>
      </c>
      <c r="N126" s="56">
        <f>IF(OR($M126="",$V126="Sub"),"",IF($M126&gt;=1,"Completado",IF($M126&gt;0,"En curso","Pendiente")))</f>
        <v/>
      </c>
      <c r="O126" s="56">
        <f>IF(OR(NOT((COUNTA($B126:$D126)+COUNTA($G126:$L126)+COUNTA($Q126))&gt;0),$V126="Sub"),"",IF(ISNUMBER($G126),IF(AND(ISNUMBER($AN126),$G126&gt;$AN126),"Cumplida con "&amp;($G126-$AN126)&amp;IF($G126-$AN126=1," día"," días")&amp;" de retraso","Cumplida"),IF(N($M126)&gt;=1,"Cumplida",IF(NOT(ISNUMBER($AN126)),"Sin fecha límite",IF($AN126&lt;FechaRef,"Vencida hace "&amp;(FechaRef-$AN126)&amp;IF(FechaRef-$AN126=1," día"," días"),IF($AN126=FechaRef,"Vence hoy",IF($AN126-FechaRef&lt;=DiasAlerta,"Vence en "&amp;($AN126-FechaRef)&amp;IF($AN126-FechaRef=1," día"," días"),"En plazo")))))))</f>
        <v/>
      </c>
      <c r="P126" s="62" t="n"/>
      <c r="Q126" s="58" t="n"/>
      <c r="R126" s="63">
        <f>IF(NOT((COUNTA($B126:$D126)+COUNTA($G126:$L126)+COUNTA($Q126))&gt;0),"",IF((IF($C126="","Falta el nombre de la actividad"&amp;" · ","")&amp;IF(AND($V126="Sub",N($U126)=0),"Subactividad sin macroactividad arriba"&amp;" · ","")&amp;IF($AM126="","Sin fecha de inicio"&amp;" · ","")&amp;IF($AN126="","Sin fecha límite"&amp;" · ","")&amp;IF(AND(LEFT($C126,11)="[Jefatura] ",N($AL126)=0),"No se encuentra en la hoja de la jefatura (elíjala de nuevo en la lista)"&amp;" · ","")&amp;IF(OR(AND($E126&lt;&gt;"",NOT(ISNUMBER($E126))),AND($F126&lt;&gt;"",NOT(ISNUMBER($F126))),AND($G126&lt;&gt;"",NOT(ISNUMBER($G126)))),"Fecha no válida"&amp;" · ","")&amp;IF(AND(ISNUMBER($AM126),ISNUMBER($AN126),$AM126&gt;$AN126),"Inicio posterior a fecha límite"&amp;" · ","")&amp;IF(AND($V126="Macro",$H126&lt;&gt;"",OR(NOT(ISNUMBER($H126)),$H126&lt;0,$H126&gt;1)),"Peso fuera de rango"&amp;" · ","")&amp;IF(AND($V126="Sub",$H126&lt;&gt;""),"Las subactividades no llevan peso (valen igual dentro de su macroactividad)"&amp;" · ","")&amp;IF(AND(N($W126)&gt;0,COUNT($I126:$L126)&gt;0),"Con subactividades: deje vacías las semanas (se calculan solas)"&amp;" · ","")&amp;IF((COUNTIF($I126:$L126,"&gt;1")+COUNTIF($I126:$L126,"&lt;0")+COUNTA($I126:$L126)-COUNT($I126:$L126))&gt;0,"Avance fuera de rango 0-100%"&amp;" · ","")&amp;IF(OR(AND($J126&lt;&gt;"",$J126&lt;$I126),AND($K126&lt;&gt;"",$K126&lt;MAX($I126:$J126)),AND($L126&lt;&gt;"",$L126&lt;MAX($I126:$K126))),"Avance semanal decreciente"&amp;" · ","")&amp;IF(AND(ISNUMBER($AN126),$AN126&lt;FechaRef,IF($V126="Sub",N($X126),N($M126))&lt;1),"Vencida"&amp;" · ","")&amp;IF(AND(ObsObligatoria="Sí",ISNUMBER($AN126),$AN126&lt;FechaRef,IF($V126="Sub",N($X126),N($M126))&lt;1,$Q126=""),"Vencida sin observación"&amp;" · ",""))="","✔ OK","⚠ "&amp;LEFT(IF($C126="","Falta el nombre de la actividad"&amp;" · ","")&amp;IF(AND($V126="Sub",N($U126)=0),"Subactividad sin macroactividad arriba"&amp;" · ","")&amp;IF($AM126="","Sin fecha de inicio"&amp;" · ","")&amp;IF($AN126="","Sin fecha límite"&amp;" · ","")&amp;IF(AND(LEFT($C126,11)="[Jefatura] ",N($AL126)=0),"No se encuentra en la hoja de la jefatura (elíjala de nuevo en la lista)"&amp;" · ","")&amp;IF(OR(AND($E126&lt;&gt;"",NOT(ISNUMBER($E126))),AND($F126&lt;&gt;"",NOT(ISNUMBER($F126))),AND($G126&lt;&gt;"",NOT(ISNUMBER($G126)))),"Fecha no válida"&amp;" · ","")&amp;IF(AND(ISNUMBER($AM126),ISNUMBER($AN126),$AM126&gt;$AN126),"Inicio posterior a fecha límite"&amp;" · ","")&amp;IF(AND($V126="Macro",$H126&lt;&gt;"",OR(NOT(ISNUMBER($H126)),$H126&lt;0,$H126&gt;1)),"Peso fuera de rango"&amp;" · ","")&amp;IF(AND($V126="Sub",$H126&lt;&gt;""),"Las subactividades no llevan peso (valen igual dentro de su macroactividad)"&amp;" · ","")&amp;IF(AND(N($W126)&gt;0,COUNT($I126:$L126)&gt;0),"Con subactividades: deje vacías las semanas (se calculan solas)"&amp;" · ","")&amp;IF((COUNTIF($I126:$L126,"&gt;1")+COUNTIF($I126:$L126,"&lt;0")+COUNTA($I126:$L126)-COUNT($I126:$L126))&gt;0,"Avance fuera de rango 0-100%"&amp;" · ","")&amp;IF(OR(AND($J126&lt;&gt;"",$J126&lt;$I126),AND($K126&lt;&gt;"",$K126&lt;MAX($I126:$J126)),AND($L126&lt;&gt;"",$L126&lt;MAX($I126:$K126))),"Avance semanal decreciente"&amp;" · ","")&amp;IF(AND(ISNUMBER($AN126),$AN126&lt;FechaRef,IF($V126="Sub",N($X126),N($M126))&lt;1),"Vencida"&amp;" · ","")&amp;IF(AND(ObsObligatoria="Sí",ISNUMBER($AN126),$AN126&lt;FechaRef,IF($V126="Sub",N($X126),N($M126))&lt;1,$Q126=""),"Vencida sin observación"&amp;" · ",""),LEN(IF($C126="","Falta el nombre de la actividad"&amp;" · ","")&amp;IF(AND($V126="Sub",N($U126)=0),"Subactividad sin macroactividad arriba"&amp;" · ","")&amp;IF($AM126="","Sin fecha de inicio"&amp;" · ","")&amp;IF($AN126="","Sin fecha límite"&amp;" · ","")&amp;IF(AND(LEFT($C126,11)="[Jefatura] ",N($AL126)=0),"No se encuentra en la hoja de la jefatura (elíjala de nuevo en la lista)"&amp;" · ","")&amp;IF(OR(AND($E126&lt;&gt;"",NOT(ISNUMBER($E126))),AND($F126&lt;&gt;"",NOT(ISNUMBER($F126))),AND($G126&lt;&gt;"",NOT(ISNUMBER($G126)))),"Fecha no válida"&amp;" · ","")&amp;IF(AND(ISNUMBER($AM126),ISNUMBER($AN126),$AM126&gt;$AN126),"Inicio posterior a fecha límite"&amp;" · ","")&amp;IF(AND($V126="Macro",$H126&lt;&gt;"",OR(NOT(ISNUMBER($H126)),$H126&lt;0,$H126&gt;1)),"Peso fuera de rango"&amp;" · ","")&amp;IF(AND($V126="Sub",$H126&lt;&gt;""),"Las subactividades no llevan peso (valen igual dentro de su macroactividad)"&amp;" · ","")&amp;IF(AND(N($W126)&gt;0,COUNT($I126:$L126)&gt;0),"Con subactividades: deje vacías las semanas (se calculan solas)"&amp;" · ","")&amp;IF((COUNTIF($I126:$L126,"&gt;1")+COUNTIF($I126:$L126,"&lt;0")+COUNTA($I126:$L126)-COUNT($I126:$L126))&gt;0,"Avance fuera de rango 0-100%"&amp;" · ","")&amp;IF(OR(AND($J126&lt;&gt;"",$J126&lt;$I126),AND($K126&lt;&gt;"",$K126&lt;MAX($I126:$J126)),AND($L126&lt;&gt;"",$L126&lt;MAX($I126:$K126))),"Avance semanal decreciente"&amp;" · ","")&amp;IF(AND(ISNUMBER($AN126),$AN126&lt;FechaRef,IF($V126="Sub",N($X126),N($M126))&lt;1),"Vencida"&amp;" · ","")&amp;IF(AND(ObsObligatoria="Sí",ISNUMBER($AN126),$AN126&lt;FechaRef,IF($V126="Sub",N($X126),N($M126))&lt;1,$Q126=""),"Vencida sin observación"&amp;" · ",""))-3)))</f>
        <v/>
      </c>
      <c r="S126" s="64">
        <f>IF(NOT((COUNTA($B126:$D126)+COUNTA($G126:$L126)+COUNTA($Q126))&gt;0),"",IF(AND($V126="Sub",N($U126)&gt;0),IF(ISNUMBER(INDEX($AM$5:$AM$1000,$U126-4)),DATE(YEAR(INDEX($AM$5:$AM$1000,$U126-4)),MONTH(INDEX($AM$5:$AM$1000,$U126-4)),1),IF(ISNUMBER(INDEX($AN$5:$AN$1000,$U126-4)),DATE(YEAR(INDEX($AN$5:$AN$1000,$U126-4)),MONTH(INDEX($AN$5:$AN$1000,$U126-4)),1),MesCiclo)),IF(ISNUMBER($AM126),DATE(YEAR($AM126),MONTH($AM126),1),IF(ISNUMBER($AN126),DATE(YEAR($AN126),MONTH($AN126),1),MesCiclo))))</f>
        <v/>
      </c>
      <c r="T126" s="62">
        <f>IF(OR($S126="",$S126&lt;&gt;MesCiclo,$V126&lt;&gt;"Macro"),"",COUNTIFS($S$5:$S126,MesCiclo,$V$5:$V126,"Macro"))</f>
        <v/>
      </c>
      <c r="U126" s="62">
        <f>IF($V126="","",IF($V126="Macro",ROW(),IFERROR(LOOKUP(2,1/($V$5:$V126="Macro"),ROW($V$5:$V126)),0)))</f>
        <v/>
      </c>
      <c r="V126" s="62">
        <f>IF(NOT((COUNTA($B126:$D126)+COUNTA($G126:$L126)+COUNTA($Q126))&gt;0),"",IF($B126="Subactividad","Sub","Macro"))</f>
        <v/>
      </c>
      <c r="W126" s="62">
        <f>IF($V126="Macro",COUNTIFS($U$5:$U$1000,ROW(),$V$5:$V$1000,"Sub"),"")</f>
        <v/>
      </c>
      <c r="X126" s="62">
        <f>IF($V126="","",IF(ISNUMBER($G126),1,IFERROR(LOOKUP(2,1/($I126:$L126&lt;&gt;""),$I126:$L126),0)))</f>
        <v/>
      </c>
      <c r="Y126" s="62">
        <f>IF($V126="","",IF(AND(ISNUMBER($G126),$G126&lt;=IF($S126=MesCiclo,InicioCiclo,$S126+MOD(2-WEEKDAY($S126),7))+6),1,IF(ISNUMBER($I126),$I126,0)))</f>
        <v/>
      </c>
      <c r="Z126" s="62">
        <f>IF($V126="","",IF(AND(ISNUMBER($G126),$G126&lt;=IF($S126=MesCiclo,InicioCiclo,$S126+MOD(2-WEEKDAY($S126),7))+13),1,IF(ISNUMBER($J126),$J126,$Y126)))</f>
        <v/>
      </c>
      <c r="AA126" s="62">
        <f>IF($V126="","",IF(AND(ISNUMBER($G126),$G126&lt;=IF($S126=MesCiclo,InicioCiclo,$S126+MOD(2-WEEKDAY($S126),7))+20),1,IF(ISNUMBER($K126),$K126,$Z126)))</f>
        <v/>
      </c>
      <c r="AB126" s="62">
        <f>IF($V126="","",IF(AND(ISNUMBER($G126),$G126&lt;=IF($S126=MesCiclo,InicioCiclo,$S126+MOD(2-WEEKDAY($S126),7))+27),1,IF(ISNUMBER($L126),$L126,$AA126)))</f>
        <v/>
      </c>
      <c r="AC126" s="62">
        <f>IF($V126="","",IF(AND(ISNUMBER($G126),$G126&lt;=IF($S126=MesCiclo,InicioCiclo,$S126+MOD(2-WEEKDAY($S126),7))+6),1,IF(N($W126)&gt;0,AVERAGEIFS($Y$5:$Y$1000,$U$5:$U$1000,ROW(),$V$5:$V$1000,"Sub"),$Y126)))</f>
        <v/>
      </c>
      <c r="AD126" s="62">
        <f>IF($V126="","",IF(AND(ISNUMBER($G126),$G126&lt;=IF($S126=MesCiclo,InicioCiclo,$S126+MOD(2-WEEKDAY($S126),7))+13),1,IF(N($W126)&gt;0,AVERAGEIFS($Z$5:$Z$1000,$U$5:$U$1000,ROW(),$V$5:$V$1000,"Sub"),$Z126)))</f>
        <v/>
      </c>
      <c r="AE126" s="62">
        <f>IF($V126="","",IF(AND(ISNUMBER($G126),$G126&lt;=IF($S126=MesCiclo,InicioCiclo,$S126+MOD(2-WEEKDAY($S126),7))+20),1,IF(N($W126)&gt;0,AVERAGEIFS($AA$5:$AA$1000,$U$5:$U$1000,ROW(),$V$5:$V$1000,"Sub"),$AA126)))</f>
        <v/>
      </c>
      <c r="AF126" s="62">
        <f>IF($V126="","",IF(AND(ISNUMBER($G126),$G126&lt;=IF($S126=MesCiclo,InicioCiclo,$S126+MOD(2-WEEKDAY($S126),7))+27),1,IF(N($W126)&gt;0,AVERAGEIFS($AB$5:$AB$1000,$U$5:$U$1000,ROW(),$V$5:$V$1000,"Sub"),$AB126)))</f>
        <v/>
      </c>
      <c r="AG126" s="62">
        <f>IF($V126&lt;&gt;"Macro","",IF(COUNTIFS($S$5:$S$1000,$S126,$V$5:$V$1000,"Macro",$H$5:$H$1000,"&gt;0")=0,1/COUNTIFS($S$5:$S$1000,$S126,$V$5:$V$1000,"Macro"),IF(AND(ISNUMBER($H126),N($H126)&gt;0),$H126,SUMIFS($H$5:$H$1000,$S$5:$S$1000,$S126,$V$5:$V$1000,"Macro")/COUNTIFS($S$5:$S$1000,$S126,$V$5:$V$1000,"Macro",$H$5:$H$1000,"&gt;0"))/(COUNTIFS($S$5:$S$1000,$S126,$V$5:$V$1000,"Macro")*SUMIFS($H$5:$H$1000,$S$5:$S$1000,$S126,$V$5:$V$1000,"Macro")/COUNTIFS($S$5:$S$1000,$S126,$V$5:$V$1000,"Macro",$H$5:$H$1000,"&gt;0"))))</f>
        <v/>
      </c>
      <c r="AH126" s="62" t="n"/>
      <c r="AI126" s="62" t="n"/>
      <c r="AJ126" s="62" t="n"/>
      <c r="AK126" s="62" t="n"/>
      <c r="AL126" s="62">
        <f>IF(LEFT($C126,11)="[Jefatura] ",IFERROR(MATCH("Riesgo Normativo|"&amp;MID($C126,12,500),rDname_ADM,0),0),"")</f>
        <v/>
      </c>
      <c r="AM126" s="62">
        <f>IF(N($AL126)&gt;0,INDEX(rIni_ADM,$AL126),IF(ISNUMBER($E126),$E126,""))</f>
        <v/>
      </c>
      <c r="AN126" s="62">
        <f>IF(N($AL126)&gt;0,INDEX(rLim_ADM,$AL126),IF(ISNUMBER($F126),$F126,""))</f>
        <v/>
      </c>
    </row>
    <row r="127">
      <c r="A127" s="56">
        <f>IF(NOT((COUNTA($B127:$D127)+COUNTA($G127:$L127)+COUNTA($Q127))&gt;0),"",IF($V127="Macro",COUNTIFS($V$5:$V127,"Macro",$S$5:$S127,$S127),IF(N($U127)=0,"?",COUNTIFS(INDEX($V$5:$V$1000,1):INDEX($V$5:$V$1000,$U127-4),"Macro",INDEX($S$5:$S$1000,1):INDEX($S$5:$S$1000,$U127-4),INDEX($S$5:$S$1000,$U127-4))&amp;"."&amp;COUNTIFS($U$5:$U127,$U127,$V$5:$V127,"Sub"))))</f>
        <v/>
      </c>
      <c r="B127" s="57" t="n"/>
      <c r="C127" s="58" t="n"/>
      <c r="D127" s="58" t="n"/>
      <c r="E127" s="59">
        <f>IF(N($AL127)&gt;0,INDEX(rIni_ADM,$AL127),"")</f>
        <v/>
      </c>
      <c r="F127" s="59">
        <f>IF(N($AL127)&gt;0,INDEX(rLim_ADM,$AL127),"")</f>
        <v/>
      </c>
      <c r="G127" s="59" t="n"/>
      <c r="H127" s="60" t="n"/>
      <c r="I127" s="60" t="n"/>
      <c r="J127" s="60" t="n"/>
      <c r="K127" s="60" t="n"/>
      <c r="L127" s="60" t="n"/>
      <c r="M127" s="61">
        <f>IF(NOT((COUNTA($B127:$D127)+COUNTA($G127:$L127)+COUNTA($Q127))&gt;0),"",IF($V127="Sub",IFERROR($X127/INDEX($W$5:$W$1000,$U127-4),""),IF(ISNUMBER($G127),1,IF(N($W127)&gt;0,AVERAGEIFS($X$5:$X$1000,$U$5:$U$1000,ROW(),$V$5:$V$1000,"Sub"),$X127))))</f>
        <v/>
      </c>
      <c r="N127" s="56">
        <f>IF(OR($M127="",$V127="Sub"),"",IF($M127&gt;=1,"Completado",IF($M127&gt;0,"En curso","Pendiente")))</f>
        <v/>
      </c>
      <c r="O127" s="56">
        <f>IF(OR(NOT((COUNTA($B127:$D127)+COUNTA($G127:$L127)+COUNTA($Q127))&gt;0),$V127="Sub"),"",IF(ISNUMBER($G127),IF(AND(ISNUMBER($AN127),$G127&gt;$AN127),"Cumplida con "&amp;($G127-$AN127)&amp;IF($G127-$AN127=1," día"," días")&amp;" de retraso","Cumplida"),IF(N($M127)&gt;=1,"Cumplida",IF(NOT(ISNUMBER($AN127)),"Sin fecha límite",IF($AN127&lt;FechaRef,"Vencida hace "&amp;(FechaRef-$AN127)&amp;IF(FechaRef-$AN127=1," día"," días"),IF($AN127=FechaRef,"Vence hoy",IF($AN127-FechaRef&lt;=DiasAlerta,"Vence en "&amp;($AN127-FechaRef)&amp;IF($AN127-FechaRef=1," día"," días"),"En plazo")))))))</f>
        <v/>
      </c>
      <c r="P127" s="62" t="n"/>
      <c r="Q127" s="58" t="n"/>
      <c r="R127" s="63">
        <f>IF(NOT((COUNTA($B127:$D127)+COUNTA($G127:$L127)+COUNTA($Q127))&gt;0),"",IF((IF($C127="","Falta el nombre de la actividad"&amp;" · ","")&amp;IF(AND($V127="Sub",N($U127)=0),"Subactividad sin macroactividad arriba"&amp;" · ","")&amp;IF($AM127="","Sin fecha de inicio"&amp;" · ","")&amp;IF($AN127="","Sin fecha límite"&amp;" · ","")&amp;IF(AND(LEFT($C127,11)="[Jefatura] ",N($AL127)=0),"No se encuentra en la hoja de la jefatura (elíjala de nuevo en la lista)"&amp;" · ","")&amp;IF(OR(AND($E127&lt;&gt;"",NOT(ISNUMBER($E127))),AND($F127&lt;&gt;"",NOT(ISNUMBER($F127))),AND($G127&lt;&gt;"",NOT(ISNUMBER($G127)))),"Fecha no válida"&amp;" · ","")&amp;IF(AND(ISNUMBER($AM127),ISNUMBER($AN127),$AM127&gt;$AN127),"Inicio posterior a fecha límite"&amp;" · ","")&amp;IF(AND($V127="Macro",$H127&lt;&gt;"",OR(NOT(ISNUMBER($H127)),$H127&lt;0,$H127&gt;1)),"Peso fuera de rango"&amp;" · ","")&amp;IF(AND($V127="Sub",$H127&lt;&gt;""),"Las subactividades no llevan peso (valen igual dentro de su macroactividad)"&amp;" · ","")&amp;IF(AND(N($W127)&gt;0,COUNT($I127:$L127)&gt;0),"Con subactividades: deje vacías las semanas (se calculan solas)"&amp;" · ","")&amp;IF((COUNTIF($I127:$L127,"&gt;1")+COUNTIF($I127:$L127,"&lt;0")+COUNTA($I127:$L127)-COUNT($I127:$L127))&gt;0,"Avance fuera de rango 0-100%"&amp;" · ","")&amp;IF(OR(AND($J127&lt;&gt;"",$J127&lt;$I127),AND($K127&lt;&gt;"",$K127&lt;MAX($I127:$J127)),AND($L127&lt;&gt;"",$L127&lt;MAX($I127:$K127))),"Avance semanal decreciente"&amp;" · ","")&amp;IF(AND(ISNUMBER($AN127),$AN127&lt;FechaRef,IF($V127="Sub",N($X127),N($M127))&lt;1),"Vencida"&amp;" · ","")&amp;IF(AND(ObsObligatoria="Sí",ISNUMBER($AN127),$AN127&lt;FechaRef,IF($V127="Sub",N($X127),N($M127))&lt;1,$Q127=""),"Vencida sin observación"&amp;" · ",""))="","✔ OK","⚠ "&amp;LEFT(IF($C127="","Falta el nombre de la actividad"&amp;" · ","")&amp;IF(AND($V127="Sub",N($U127)=0),"Subactividad sin macroactividad arriba"&amp;" · ","")&amp;IF($AM127="","Sin fecha de inicio"&amp;" · ","")&amp;IF($AN127="","Sin fecha límite"&amp;" · ","")&amp;IF(AND(LEFT($C127,11)="[Jefatura] ",N($AL127)=0),"No se encuentra en la hoja de la jefatura (elíjala de nuevo en la lista)"&amp;" · ","")&amp;IF(OR(AND($E127&lt;&gt;"",NOT(ISNUMBER($E127))),AND($F127&lt;&gt;"",NOT(ISNUMBER($F127))),AND($G127&lt;&gt;"",NOT(ISNUMBER($G127)))),"Fecha no válida"&amp;" · ","")&amp;IF(AND(ISNUMBER($AM127),ISNUMBER($AN127),$AM127&gt;$AN127),"Inicio posterior a fecha límite"&amp;" · ","")&amp;IF(AND($V127="Macro",$H127&lt;&gt;"",OR(NOT(ISNUMBER($H127)),$H127&lt;0,$H127&gt;1)),"Peso fuera de rango"&amp;" · ","")&amp;IF(AND($V127="Sub",$H127&lt;&gt;""),"Las subactividades no llevan peso (valen igual dentro de su macroactividad)"&amp;" · ","")&amp;IF(AND(N($W127)&gt;0,COUNT($I127:$L127)&gt;0),"Con subactividades: deje vacías las semanas (se calculan solas)"&amp;" · ","")&amp;IF((COUNTIF($I127:$L127,"&gt;1")+COUNTIF($I127:$L127,"&lt;0")+COUNTA($I127:$L127)-COUNT($I127:$L127))&gt;0,"Avance fuera de rango 0-100%"&amp;" · ","")&amp;IF(OR(AND($J127&lt;&gt;"",$J127&lt;$I127),AND($K127&lt;&gt;"",$K127&lt;MAX($I127:$J127)),AND($L127&lt;&gt;"",$L127&lt;MAX($I127:$K127))),"Avance semanal decreciente"&amp;" · ","")&amp;IF(AND(ISNUMBER($AN127),$AN127&lt;FechaRef,IF($V127="Sub",N($X127),N($M127))&lt;1),"Vencida"&amp;" · ","")&amp;IF(AND(ObsObligatoria="Sí",ISNUMBER($AN127),$AN127&lt;FechaRef,IF($V127="Sub",N($X127),N($M127))&lt;1,$Q127=""),"Vencida sin observación"&amp;" · ",""),LEN(IF($C127="","Falta el nombre de la actividad"&amp;" · ","")&amp;IF(AND($V127="Sub",N($U127)=0),"Subactividad sin macroactividad arriba"&amp;" · ","")&amp;IF($AM127="","Sin fecha de inicio"&amp;" · ","")&amp;IF($AN127="","Sin fecha límite"&amp;" · ","")&amp;IF(AND(LEFT($C127,11)="[Jefatura] ",N($AL127)=0),"No se encuentra en la hoja de la jefatura (elíjala de nuevo en la lista)"&amp;" · ","")&amp;IF(OR(AND($E127&lt;&gt;"",NOT(ISNUMBER($E127))),AND($F127&lt;&gt;"",NOT(ISNUMBER($F127))),AND($G127&lt;&gt;"",NOT(ISNUMBER($G127)))),"Fecha no válida"&amp;" · ","")&amp;IF(AND(ISNUMBER($AM127),ISNUMBER($AN127),$AM127&gt;$AN127),"Inicio posterior a fecha límite"&amp;" · ","")&amp;IF(AND($V127="Macro",$H127&lt;&gt;"",OR(NOT(ISNUMBER($H127)),$H127&lt;0,$H127&gt;1)),"Peso fuera de rango"&amp;" · ","")&amp;IF(AND($V127="Sub",$H127&lt;&gt;""),"Las subactividades no llevan peso (valen igual dentro de su macroactividad)"&amp;" · ","")&amp;IF(AND(N($W127)&gt;0,COUNT($I127:$L127)&gt;0),"Con subactividades: deje vacías las semanas (se calculan solas)"&amp;" · ","")&amp;IF((COUNTIF($I127:$L127,"&gt;1")+COUNTIF($I127:$L127,"&lt;0")+COUNTA($I127:$L127)-COUNT($I127:$L127))&gt;0,"Avance fuera de rango 0-100%"&amp;" · ","")&amp;IF(OR(AND($J127&lt;&gt;"",$J127&lt;$I127),AND($K127&lt;&gt;"",$K127&lt;MAX($I127:$J127)),AND($L127&lt;&gt;"",$L127&lt;MAX($I127:$K127))),"Avance semanal decreciente"&amp;" · ","")&amp;IF(AND(ISNUMBER($AN127),$AN127&lt;FechaRef,IF($V127="Sub",N($X127),N($M127))&lt;1),"Vencida"&amp;" · ","")&amp;IF(AND(ObsObligatoria="Sí",ISNUMBER($AN127),$AN127&lt;FechaRef,IF($V127="Sub",N($X127),N($M127))&lt;1,$Q127=""),"Vencida sin observación"&amp;" · ",""))-3)))</f>
        <v/>
      </c>
      <c r="S127" s="64">
        <f>IF(NOT((COUNTA($B127:$D127)+COUNTA($G127:$L127)+COUNTA($Q127))&gt;0),"",IF(AND($V127="Sub",N($U127)&gt;0),IF(ISNUMBER(INDEX($AM$5:$AM$1000,$U127-4)),DATE(YEAR(INDEX($AM$5:$AM$1000,$U127-4)),MONTH(INDEX($AM$5:$AM$1000,$U127-4)),1),IF(ISNUMBER(INDEX($AN$5:$AN$1000,$U127-4)),DATE(YEAR(INDEX($AN$5:$AN$1000,$U127-4)),MONTH(INDEX($AN$5:$AN$1000,$U127-4)),1),MesCiclo)),IF(ISNUMBER($AM127),DATE(YEAR($AM127),MONTH($AM127),1),IF(ISNUMBER($AN127),DATE(YEAR($AN127),MONTH($AN127),1),MesCiclo))))</f>
        <v/>
      </c>
      <c r="T127" s="62">
        <f>IF(OR($S127="",$S127&lt;&gt;MesCiclo,$V127&lt;&gt;"Macro"),"",COUNTIFS($S$5:$S127,MesCiclo,$V$5:$V127,"Macro"))</f>
        <v/>
      </c>
      <c r="U127" s="62">
        <f>IF($V127="","",IF($V127="Macro",ROW(),IFERROR(LOOKUP(2,1/($V$5:$V127="Macro"),ROW($V$5:$V127)),0)))</f>
        <v/>
      </c>
      <c r="V127" s="62">
        <f>IF(NOT((COUNTA($B127:$D127)+COUNTA($G127:$L127)+COUNTA($Q127))&gt;0),"",IF($B127="Subactividad","Sub","Macro"))</f>
        <v/>
      </c>
      <c r="W127" s="62">
        <f>IF($V127="Macro",COUNTIFS($U$5:$U$1000,ROW(),$V$5:$V$1000,"Sub"),"")</f>
        <v/>
      </c>
      <c r="X127" s="62">
        <f>IF($V127="","",IF(ISNUMBER($G127),1,IFERROR(LOOKUP(2,1/($I127:$L127&lt;&gt;""),$I127:$L127),0)))</f>
        <v/>
      </c>
      <c r="Y127" s="62">
        <f>IF($V127="","",IF(AND(ISNUMBER($G127),$G127&lt;=IF($S127=MesCiclo,InicioCiclo,$S127+MOD(2-WEEKDAY($S127),7))+6),1,IF(ISNUMBER($I127),$I127,0)))</f>
        <v/>
      </c>
      <c r="Z127" s="62">
        <f>IF($V127="","",IF(AND(ISNUMBER($G127),$G127&lt;=IF($S127=MesCiclo,InicioCiclo,$S127+MOD(2-WEEKDAY($S127),7))+13),1,IF(ISNUMBER($J127),$J127,$Y127)))</f>
        <v/>
      </c>
      <c r="AA127" s="62">
        <f>IF($V127="","",IF(AND(ISNUMBER($G127),$G127&lt;=IF($S127=MesCiclo,InicioCiclo,$S127+MOD(2-WEEKDAY($S127),7))+20),1,IF(ISNUMBER($K127),$K127,$Z127)))</f>
        <v/>
      </c>
      <c r="AB127" s="62">
        <f>IF($V127="","",IF(AND(ISNUMBER($G127),$G127&lt;=IF($S127=MesCiclo,InicioCiclo,$S127+MOD(2-WEEKDAY($S127),7))+27),1,IF(ISNUMBER($L127),$L127,$AA127)))</f>
        <v/>
      </c>
      <c r="AC127" s="62">
        <f>IF($V127="","",IF(AND(ISNUMBER($G127),$G127&lt;=IF($S127=MesCiclo,InicioCiclo,$S127+MOD(2-WEEKDAY($S127),7))+6),1,IF(N($W127)&gt;0,AVERAGEIFS($Y$5:$Y$1000,$U$5:$U$1000,ROW(),$V$5:$V$1000,"Sub"),$Y127)))</f>
        <v/>
      </c>
      <c r="AD127" s="62">
        <f>IF($V127="","",IF(AND(ISNUMBER($G127),$G127&lt;=IF($S127=MesCiclo,InicioCiclo,$S127+MOD(2-WEEKDAY($S127),7))+13),1,IF(N($W127)&gt;0,AVERAGEIFS($Z$5:$Z$1000,$U$5:$U$1000,ROW(),$V$5:$V$1000,"Sub"),$Z127)))</f>
        <v/>
      </c>
      <c r="AE127" s="62">
        <f>IF($V127="","",IF(AND(ISNUMBER($G127),$G127&lt;=IF($S127=MesCiclo,InicioCiclo,$S127+MOD(2-WEEKDAY($S127),7))+20),1,IF(N($W127)&gt;0,AVERAGEIFS($AA$5:$AA$1000,$U$5:$U$1000,ROW(),$V$5:$V$1000,"Sub"),$AA127)))</f>
        <v/>
      </c>
      <c r="AF127" s="62">
        <f>IF($V127="","",IF(AND(ISNUMBER($G127),$G127&lt;=IF($S127=MesCiclo,InicioCiclo,$S127+MOD(2-WEEKDAY($S127),7))+27),1,IF(N($W127)&gt;0,AVERAGEIFS($AB$5:$AB$1000,$U$5:$U$1000,ROW(),$V$5:$V$1000,"Sub"),$AB127)))</f>
        <v/>
      </c>
      <c r="AG127" s="62">
        <f>IF($V127&lt;&gt;"Macro","",IF(COUNTIFS($S$5:$S$1000,$S127,$V$5:$V$1000,"Macro",$H$5:$H$1000,"&gt;0")=0,1/COUNTIFS($S$5:$S$1000,$S127,$V$5:$V$1000,"Macro"),IF(AND(ISNUMBER($H127),N($H127)&gt;0),$H127,SUMIFS($H$5:$H$1000,$S$5:$S$1000,$S127,$V$5:$V$1000,"Macro")/COUNTIFS($S$5:$S$1000,$S127,$V$5:$V$1000,"Macro",$H$5:$H$1000,"&gt;0"))/(COUNTIFS($S$5:$S$1000,$S127,$V$5:$V$1000,"Macro")*SUMIFS($H$5:$H$1000,$S$5:$S$1000,$S127,$V$5:$V$1000,"Macro")/COUNTIFS($S$5:$S$1000,$S127,$V$5:$V$1000,"Macro",$H$5:$H$1000,"&gt;0"))))</f>
        <v/>
      </c>
      <c r="AH127" s="62" t="n"/>
      <c r="AI127" s="62" t="n"/>
      <c r="AJ127" s="62" t="n"/>
      <c r="AK127" s="62" t="n"/>
      <c r="AL127" s="62">
        <f>IF(LEFT($C127,11)="[Jefatura] ",IFERROR(MATCH("Riesgo Normativo|"&amp;MID($C127,12,500),rDname_ADM,0),0),"")</f>
        <v/>
      </c>
      <c r="AM127" s="62">
        <f>IF(N($AL127)&gt;0,INDEX(rIni_ADM,$AL127),IF(ISNUMBER($E127),$E127,""))</f>
        <v/>
      </c>
      <c r="AN127" s="62">
        <f>IF(N($AL127)&gt;0,INDEX(rLim_ADM,$AL127),IF(ISNUMBER($F127),$F127,""))</f>
        <v/>
      </c>
    </row>
    <row r="128">
      <c r="A128" s="56">
        <f>IF(NOT((COUNTA($B128:$D128)+COUNTA($G128:$L128)+COUNTA($Q128))&gt;0),"",IF($V128="Macro",COUNTIFS($V$5:$V128,"Macro",$S$5:$S128,$S128),IF(N($U128)=0,"?",COUNTIFS(INDEX($V$5:$V$1000,1):INDEX($V$5:$V$1000,$U128-4),"Macro",INDEX($S$5:$S$1000,1):INDEX($S$5:$S$1000,$U128-4),INDEX($S$5:$S$1000,$U128-4))&amp;"."&amp;COUNTIFS($U$5:$U128,$U128,$V$5:$V128,"Sub"))))</f>
        <v/>
      </c>
      <c r="B128" s="57" t="n"/>
      <c r="C128" s="58" t="n"/>
      <c r="D128" s="58" t="n"/>
      <c r="E128" s="59">
        <f>IF(N($AL128)&gt;0,INDEX(rIni_ADM,$AL128),"")</f>
        <v/>
      </c>
      <c r="F128" s="59">
        <f>IF(N($AL128)&gt;0,INDEX(rLim_ADM,$AL128),"")</f>
        <v/>
      </c>
      <c r="G128" s="59" t="n"/>
      <c r="H128" s="60" t="n"/>
      <c r="I128" s="60" t="n"/>
      <c r="J128" s="60" t="n"/>
      <c r="K128" s="60" t="n"/>
      <c r="L128" s="60" t="n"/>
      <c r="M128" s="61">
        <f>IF(NOT((COUNTA($B128:$D128)+COUNTA($G128:$L128)+COUNTA($Q128))&gt;0),"",IF($V128="Sub",IFERROR($X128/INDEX($W$5:$W$1000,$U128-4),""),IF(ISNUMBER($G128),1,IF(N($W128)&gt;0,AVERAGEIFS($X$5:$X$1000,$U$5:$U$1000,ROW(),$V$5:$V$1000,"Sub"),$X128))))</f>
        <v/>
      </c>
      <c r="N128" s="56">
        <f>IF(OR($M128="",$V128="Sub"),"",IF($M128&gt;=1,"Completado",IF($M128&gt;0,"En curso","Pendiente")))</f>
        <v/>
      </c>
      <c r="O128" s="56">
        <f>IF(OR(NOT((COUNTA($B128:$D128)+COUNTA($G128:$L128)+COUNTA($Q128))&gt;0),$V128="Sub"),"",IF(ISNUMBER($G128),IF(AND(ISNUMBER($AN128),$G128&gt;$AN128),"Cumplida con "&amp;($G128-$AN128)&amp;IF($G128-$AN128=1," día"," días")&amp;" de retraso","Cumplida"),IF(N($M128)&gt;=1,"Cumplida",IF(NOT(ISNUMBER($AN128)),"Sin fecha límite",IF($AN128&lt;FechaRef,"Vencida hace "&amp;(FechaRef-$AN128)&amp;IF(FechaRef-$AN128=1," día"," días"),IF($AN128=FechaRef,"Vence hoy",IF($AN128-FechaRef&lt;=DiasAlerta,"Vence en "&amp;($AN128-FechaRef)&amp;IF($AN128-FechaRef=1," día"," días"),"En plazo")))))))</f>
        <v/>
      </c>
      <c r="P128" s="62" t="n"/>
      <c r="Q128" s="58" t="n"/>
      <c r="R128" s="63">
        <f>IF(NOT((COUNTA($B128:$D128)+COUNTA($G128:$L128)+COUNTA($Q128))&gt;0),"",IF((IF($C128="","Falta el nombre de la actividad"&amp;" · ","")&amp;IF(AND($V128="Sub",N($U128)=0),"Subactividad sin macroactividad arriba"&amp;" · ","")&amp;IF($AM128="","Sin fecha de inicio"&amp;" · ","")&amp;IF($AN128="","Sin fecha límite"&amp;" · ","")&amp;IF(AND(LEFT($C128,11)="[Jefatura] ",N($AL128)=0),"No se encuentra en la hoja de la jefatura (elíjala de nuevo en la lista)"&amp;" · ","")&amp;IF(OR(AND($E128&lt;&gt;"",NOT(ISNUMBER($E128))),AND($F128&lt;&gt;"",NOT(ISNUMBER($F128))),AND($G128&lt;&gt;"",NOT(ISNUMBER($G128)))),"Fecha no válida"&amp;" · ","")&amp;IF(AND(ISNUMBER($AM128),ISNUMBER($AN128),$AM128&gt;$AN128),"Inicio posterior a fecha límite"&amp;" · ","")&amp;IF(AND($V128="Macro",$H128&lt;&gt;"",OR(NOT(ISNUMBER($H128)),$H128&lt;0,$H128&gt;1)),"Peso fuera de rango"&amp;" · ","")&amp;IF(AND($V128="Sub",$H128&lt;&gt;""),"Las subactividades no llevan peso (valen igual dentro de su macroactividad)"&amp;" · ","")&amp;IF(AND(N($W128)&gt;0,COUNT($I128:$L128)&gt;0),"Con subactividades: deje vacías las semanas (se calculan solas)"&amp;" · ","")&amp;IF((COUNTIF($I128:$L128,"&gt;1")+COUNTIF($I128:$L128,"&lt;0")+COUNTA($I128:$L128)-COUNT($I128:$L128))&gt;0,"Avance fuera de rango 0-100%"&amp;" · ","")&amp;IF(OR(AND($J128&lt;&gt;"",$J128&lt;$I128),AND($K128&lt;&gt;"",$K128&lt;MAX($I128:$J128)),AND($L128&lt;&gt;"",$L128&lt;MAX($I128:$K128))),"Avance semanal decreciente"&amp;" · ","")&amp;IF(AND(ISNUMBER($AN128),$AN128&lt;FechaRef,IF($V128="Sub",N($X128),N($M128))&lt;1),"Vencida"&amp;" · ","")&amp;IF(AND(ObsObligatoria="Sí",ISNUMBER($AN128),$AN128&lt;FechaRef,IF($V128="Sub",N($X128),N($M128))&lt;1,$Q128=""),"Vencida sin observación"&amp;" · ",""))="","✔ OK","⚠ "&amp;LEFT(IF($C128="","Falta el nombre de la actividad"&amp;" · ","")&amp;IF(AND($V128="Sub",N($U128)=0),"Subactividad sin macroactividad arriba"&amp;" · ","")&amp;IF($AM128="","Sin fecha de inicio"&amp;" · ","")&amp;IF($AN128="","Sin fecha límite"&amp;" · ","")&amp;IF(AND(LEFT($C128,11)="[Jefatura] ",N($AL128)=0),"No se encuentra en la hoja de la jefatura (elíjala de nuevo en la lista)"&amp;" · ","")&amp;IF(OR(AND($E128&lt;&gt;"",NOT(ISNUMBER($E128))),AND($F128&lt;&gt;"",NOT(ISNUMBER($F128))),AND($G128&lt;&gt;"",NOT(ISNUMBER($G128)))),"Fecha no válida"&amp;" · ","")&amp;IF(AND(ISNUMBER($AM128),ISNUMBER($AN128),$AM128&gt;$AN128),"Inicio posterior a fecha límite"&amp;" · ","")&amp;IF(AND($V128="Macro",$H128&lt;&gt;"",OR(NOT(ISNUMBER($H128)),$H128&lt;0,$H128&gt;1)),"Peso fuera de rango"&amp;" · ","")&amp;IF(AND($V128="Sub",$H128&lt;&gt;""),"Las subactividades no llevan peso (valen igual dentro de su macroactividad)"&amp;" · ","")&amp;IF(AND(N($W128)&gt;0,COUNT($I128:$L128)&gt;0),"Con subactividades: deje vacías las semanas (se calculan solas)"&amp;" · ","")&amp;IF((COUNTIF($I128:$L128,"&gt;1")+COUNTIF($I128:$L128,"&lt;0")+COUNTA($I128:$L128)-COUNT($I128:$L128))&gt;0,"Avance fuera de rango 0-100%"&amp;" · ","")&amp;IF(OR(AND($J128&lt;&gt;"",$J128&lt;$I128),AND($K128&lt;&gt;"",$K128&lt;MAX($I128:$J128)),AND($L128&lt;&gt;"",$L128&lt;MAX($I128:$K128))),"Avance semanal decreciente"&amp;" · ","")&amp;IF(AND(ISNUMBER($AN128),$AN128&lt;FechaRef,IF($V128="Sub",N($X128),N($M128))&lt;1),"Vencida"&amp;" · ","")&amp;IF(AND(ObsObligatoria="Sí",ISNUMBER($AN128),$AN128&lt;FechaRef,IF($V128="Sub",N($X128),N($M128))&lt;1,$Q128=""),"Vencida sin observación"&amp;" · ",""),LEN(IF($C128="","Falta el nombre de la actividad"&amp;" · ","")&amp;IF(AND($V128="Sub",N($U128)=0),"Subactividad sin macroactividad arriba"&amp;" · ","")&amp;IF($AM128="","Sin fecha de inicio"&amp;" · ","")&amp;IF($AN128="","Sin fecha límite"&amp;" · ","")&amp;IF(AND(LEFT($C128,11)="[Jefatura] ",N($AL128)=0),"No se encuentra en la hoja de la jefatura (elíjala de nuevo en la lista)"&amp;" · ","")&amp;IF(OR(AND($E128&lt;&gt;"",NOT(ISNUMBER($E128))),AND($F128&lt;&gt;"",NOT(ISNUMBER($F128))),AND($G128&lt;&gt;"",NOT(ISNUMBER($G128)))),"Fecha no válida"&amp;" · ","")&amp;IF(AND(ISNUMBER($AM128),ISNUMBER($AN128),$AM128&gt;$AN128),"Inicio posterior a fecha límite"&amp;" · ","")&amp;IF(AND($V128="Macro",$H128&lt;&gt;"",OR(NOT(ISNUMBER($H128)),$H128&lt;0,$H128&gt;1)),"Peso fuera de rango"&amp;" · ","")&amp;IF(AND($V128="Sub",$H128&lt;&gt;""),"Las subactividades no llevan peso (valen igual dentro de su macroactividad)"&amp;" · ","")&amp;IF(AND(N($W128)&gt;0,COUNT($I128:$L128)&gt;0),"Con subactividades: deje vacías las semanas (se calculan solas)"&amp;" · ","")&amp;IF((COUNTIF($I128:$L128,"&gt;1")+COUNTIF($I128:$L128,"&lt;0")+COUNTA($I128:$L128)-COUNT($I128:$L128))&gt;0,"Avance fuera de rango 0-100%"&amp;" · ","")&amp;IF(OR(AND($J128&lt;&gt;"",$J128&lt;$I128),AND($K128&lt;&gt;"",$K128&lt;MAX($I128:$J128)),AND($L128&lt;&gt;"",$L128&lt;MAX($I128:$K128))),"Avance semanal decreciente"&amp;" · ","")&amp;IF(AND(ISNUMBER($AN128),$AN128&lt;FechaRef,IF($V128="Sub",N($X128),N($M128))&lt;1),"Vencida"&amp;" · ","")&amp;IF(AND(ObsObligatoria="Sí",ISNUMBER($AN128),$AN128&lt;FechaRef,IF($V128="Sub",N($X128),N($M128))&lt;1,$Q128=""),"Vencida sin observación"&amp;" · ",""))-3)))</f>
        <v/>
      </c>
      <c r="S128" s="64">
        <f>IF(NOT((COUNTA($B128:$D128)+COUNTA($G128:$L128)+COUNTA($Q128))&gt;0),"",IF(AND($V128="Sub",N($U128)&gt;0),IF(ISNUMBER(INDEX($AM$5:$AM$1000,$U128-4)),DATE(YEAR(INDEX($AM$5:$AM$1000,$U128-4)),MONTH(INDEX($AM$5:$AM$1000,$U128-4)),1),IF(ISNUMBER(INDEX($AN$5:$AN$1000,$U128-4)),DATE(YEAR(INDEX($AN$5:$AN$1000,$U128-4)),MONTH(INDEX($AN$5:$AN$1000,$U128-4)),1),MesCiclo)),IF(ISNUMBER($AM128),DATE(YEAR($AM128),MONTH($AM128),1),IF(ISNUMBER($AN128),DATE(YEAR($AN128),MONTH($AN128),1),MesCiclo))))</f>
        <v/>
      </c>
      <c r="T128" s="62">
        <f>IF(OR($S128="",$S128&lt;&gt;MesCiclo,$V128&lt;&gt;"Macro"),"",COUNTIFS($S$5:$S128,MesCiclo,$V$5:$V128,"Macro"))</f>
        <v/>
      </c>
      <c r="U128" s="62">
        <f>IF($V128="","",IF($V128="Macro",ROW(),IFERROR(LOOKUP(2,1/($V$5:$V128="Macro"),ROW($V$5:$V128)),0)))</f>
        <v/>
      </c>
      <c r="V128" s="62">
        <f>IF(NOT((COUNTA($B128:$D128)+COUNTA($G128:$L128)+COUNTA($Q128))&gt;0),"",IF($B128="Subactividad","Sub","Macro"))</f>
        <v/>
      </c>
      <c r="W128" s="62">
        <f>IF($V128="Macro",COUNTIFS($U$5:$U$1000,ROW(),$V$5:$V$1000,"Sub"),"")</f>
        <v/>
      </c>
      <c r="X128" s="62">
        <f>IF($V128="","",IF(ISNUMBER($G128),1,IFERROR(LOOKUP(2,1/($I128:$L128&lt;&gt;""),$I128:$L128),0)))</f>
        <v/>
      </c>
      <c r="Y128" s="62">
        <f>IF($V128="","",IF(AND(ISNUMBER($G128),$G128&lt;=IF($S128=MesCiclo,InicioCiclo,$S128+MOD(2-WEEKDAY($S128),7))+6),1,IF(ISNUMBER($I128),$I128,0)))</f>
        <v/>
      </c>
      <c r="Z128" s="62">
        <f>IF($V128="","",IF(AND(ISNUMBER($G128),$G128&lt;=IF($S128=MesCiclo,InicioCiclo,$S128+MOD(2-WEEKDAY($S128),7))+13),1,IF(ISNUMBER($J128),$J128,$Y128)))</f>
        <v/>
      </c>
      <c r="AA128" s="62">
        <f>IF($V128="","",IF(AND(ISNUMBER($G128),$G128&lt;=IF($S128=MesCiclo,InicioCiclo,$S128+MOD(2-WEEKDAY($S128),7))+20),1,IF(ISNUMBER($K128),$K128,$Z128)))</f>
        <v/>
      </c>
      <c r="AB128" s="62">
        <f>IF($V128="","",IF(AND(ISNUMBER($G128),$G128&lt;=IF($S128=MesCiclo,InicioCiclo,$S128+MOD(2-WEEKDAY($S128),7))+27),1,IF(ISNUMBER($L128),$L128,$AA128)))</f>
        <v/>
      </c>
      <c r="AC128" s="62">
        <f>IF($V128="","",IF(AND(ISNUMBER($G128),$G128&lt;=IF($S128=MesCiclo,InicioCiclo,$S128+MOD(2-WEEKDAY($S128),7))+6),1,IF(N($W128)&gt;0,AVERAGEIFS($Y$5:$Y$1000,$U$5:$U$1000,ROW(),$V$5:$V$1000,"Sub"),$Y128)))</f>
        <v/>
      </c>
      <c r="AD128" s="62">
        <f>IF($V128="","",IF(AND(ISNUMBER($G128),$G128&lt;=IF($S128=MesCiclo,InicioCiclo,$S128+MOD(2-WEEKDAY($S128),7))+13),1,IF(N($W128)&gt;0,AVERAGEIFS($Z$5:$Z$1000,$U$5:$U$1000,ROW(),$V$5:$V$1000,"Sub"),$Z128)))</f>
        <v/>
      </c>
      <c r="AE128" s="62">
        <f>IF($V128="","",IF(AND(ISNUMBER($G128),$G128&lt;=IF($S128=MesCiclo,InicioCiclo,$S128+MOD(2-WEEKDAY($S128),7))+20),1,IF(N($W128)&gt;0,AVERAGEIFS($AA$5:$AA$1000,$U$5:$U$1000,ROW(),$V$5:$V$1000,"Sub"),$AA128)))</f>
        <v/>
      </c>
      <c r="AF128" s="62">
        <f>IF($V128="","",IF(AND(ISNUMBER($G128),$G128&lt;=IF($S128=MesCiclo,InicioCiclo,$S128+MOD(2-WEEKDAY($S128),7))+27),1,IF(N($W128)&gt;0,AVERAGEIFS($AB$5:$AB$1000,$U$5:$U$1000,ROW(),$V$5:$V$1000,"Sub"),$AB128)))</f>
        <v/>
      </c>
      <c r="AG128" s="62">
        <f>IF($V128&lt;&gt;"Macro","",IF(COUNTIFS($S$5:$S$1000,$S128,$V$5:$V$1000,"Macro",$H$5:$H$1000,"&gt;0")=0,1/COUNTIFS($S$5:$S$1000,$S128,$V$5:$V$1000,"Macro"),IF(AND(ISNUMBER($H128),N($H128)&gt;0),$H128,SUMIFS($H$5:$H$1000,$S$5:$S$1000,$S128,$V$5:$V$1000,"Macro")/COUNTIFS($S$5:$S$1000,$S128,$V$5:$V$1000,"Macro",$H$5:$H$1000,"&gt;0"))/(COUNTIFS($S$5:$S$1000,$S128,$V$5:$V$1000,"Macro")*SUMIFS($H$5:$H$1000,$S$5:$S$1000,$S128,$V$5:$V$1000,"Macro")/COUNTIFS($S$5:$S$1000,$S128,$V$5:$V$1000,"Macro",$H$5:$H$1000,"&gt;0"))))</f>
        <v/>
      </c>
      <c r="AH128" s="62" t="n"/>
      <c r="AI128" s="62" t="n"/>
      <c r="AJ128" s="62" t="n"/>
      <c r="AK128" s="62" t="n"/>
      <c r="AL128" s="62">
        <f>IF(LEFT($C128,11)="[Jefatura] ",IFERROR(MATCH("Riesgo Normativo|"&amp;MID($C128,12,500),rDname_ADM,0),0),"")</f>
        <v/>
      </c>
      <c r="AM128" s="62">
        <f>IF(N($AL128)&gt;0,INDEX(rIni_ADM,$AL128),IF(ISNUMBER($E128),$E128,""))</f>
        <v/>
      </c>
      <c r="AN128" s="62">
        <f>IF(N($AL128)&gt;0,INDEX(rLim_ADM,$AL128),IF(ISNUMBER($F128),$F128,""))</f>
        <v/>
      </c>
    </row>
    <row r="129">
      <c r="A129" s="56">
        <f>IF(NOT((COUNTA($B129:$D129)+COUNTA($G129:$L129)+COUNTA($Q129))&gt;0),"",IF($V129="Macro",COUNTIFS($V$5:$V129,"Macro",$S$5:$S129,$S129),IF(N($U129)=0,"?",COUNTIFS(INDEX($V$5:$V$1000,1):INDEX($V$5:$V$1000,$U129-4),"Macro",INDEX($S$5:$S$1000,1):INDEX($S$5:$S$1000,$U129-4),INDEX($S$5:$S$1000,$U129-4))&amp;"."&amp;COUNTIFS($U$5:$U129,$U129,$V$5:$V129,"Sub"))))</f>
        <v/>
      </c>
      <c r="B129" s="57" t="n"/>
      <c r="C129" s="58" t="n"/>
      <c r="D129" s="58" t="n"/>
      <c r="E129" s="59">
        <f>IF(N($AL129)&gt;0,INDEX(rIni_ADM,$AL129),"")</f>
        <v/>
      </c>
      <c r="F129" s="59">
        <f>IF(N($AL129)&gt;0,INDEX(rLim_ADM,$AL129),"")</f>
        <v/>
      </c>
      <c r="G129" s="59" t="n"/>
      <c r="H129" s="60" t="n"/>
      <c r="I129" s="60" t="n"/>
      <c r="J129" s="60" t="n"/>
      <c r="K129" s="60" t="n"/>
      <c r="L129" s="60" t="n"/>
      <c r="M129" s="61">
        <f>IF(NOT((COUNTA($B129:$D129)+COUNTA($G129:$L129)+COUNTA($Q129))&gt;0),"",IF($V129="Sub",IFERROR($X129/INDEX($W$5:$W$1000,$U129-4),""),IF(ISNUMBER($G129),1,IF(N($W129)&gt;0,AVERAGEIFS($X$5:$X$1000,$U$5:$U$1000,ROW(),$V$5:$V$1000,"Sub"),$X129))))</f>
        <v/>
      </c>
      <c r="N129" s="56">
        <f>IF(OR($M129="",$V129="Sub"),"",IF($M129&gt;=1,"Completado",IF($M129&gt;0,"En curso","Pendiente")))</f>
        <v/>
      </c>
      <c r="O129" s="56">
        <f>IF(OR(NOT((COUNTA($B129:$D129)+COUNTA($G129:$L129)+COUNTA($Q129))&gt;0),$V129="Sub"),"",IF(ISNUMBER($G129),IF(AND(ISNUMBER($AN129),$G129&gt;$AN129),"Cumplida con "&amp;($G129-$AN129)&amp;IF($G129-$AN129=1," día"," días")&amp;" de retraso","Cumplida"),IF(N($M129)&gt;=1,"Cumplida",IF(NOT(ISNUMBER($AN129)),"Sin fecha límite",IF($AN129&lt;FechaRef,"Vencida hace "&amp;(FechaRef-$AN129)&amp;IF(FechaRef-$AN129=1," día"," días"),IF($AN129=FechaRef,"Vence hoy",IF($AN129-FechaRef&lt;=DiasAlerta,"Vence en "&amp;($AN129-FechaRef)&amp;IF($AN129-FechaRef=1," día"," días"),"En plazo")))))))</f>
        <v/>
      </c>
      <c r="P129" s="62" t="n"/>
      <c r="Q129" s="58" t="n"/>
      <c r="R129" s="63">
        <f>IF(NOT((COUNTA($B129:$D129)+COUNTA($G129:$L129)+COUNTA($Q129))&gt;0),"",IF((IF($C129="","Falta el nombre de la actividad"&amp;" · ","")&amp;IF(AND($V129="Sub",N($U129)=0),"Subactividad sin macroactividad arriba"&amp;" · ","")&amp;IF($AM129="","Sin fecha de inicio"&amp;" · ","")&amp;IF($AN129="","Sin fecha límite"&amp;" · ","")&amp;IF(AND(LEFT($C129,11)="[Jefatura] ",N($AL129)=0),"No se encuentra en la hoja de la jefatura (elíjala de nuevo en la lista)"&amp;" · ","")&amp;IF(OR(AND($E129&lt;&gt;"",NOT(ISNUMBER($E129))),AND($F129&lt;&gt;"",NOT(ISNUMBER($F129))),AND($G129&lt;&gt;"",NOT(ISNUMBER($G129)))),"Fecha no válida"&amp;" · ","")&amp;IF(AND(ISNUMBER($AM129),ISNUMBER($AN129),$AM129&gt;$AN129),"Inicio posterior a fecha límite"&amp;" · ","")&amp;IF(AND($V129="Macro",$H129&lt;&gt;"",OR(NOT(ISNUMBER($H129)),$H129&lt;0,$H129&gt;1)),"Peso fuera de rango"&amp;" · ","")&amp;IF(AND($V129="Sub",$H129&lt;&gt;""),"Las subactividades no llevan peso (valen igual dentro de su macroactividad)"&amp;" · ","")&amp;IF(AND(N($W129)&gt;0,COUNT($I129:$L129)&gt;0),"Con subactividades: deje vacías las semanas (se calculan solas)"&amp;" · ","")&amp;IF((COUNTIF($I129:$L129,"&gt;1")+COUNTIF($I129:$L129,"&lt;0")+COUNTA($I129:$L129)-COUNT($I129:$L129))&gt;0,"Avance fuera de rango 0-100%"&amp;" · ","")&amp;IF(OR(AND($J129&lt;&gt;"",$J129&lt;$I129),AND($K129&lt;&gt;"",$K129&lt;MAX($I129:$J129)),AND($L129&lt;&gt;"",$L129&lt;MAX($I129:$K129))),"Avance semanal decreciente"&amp;" · ","")&amp;IF(AND(ISNUMBER($AN129),$AN129&lt;FechaRef,IF($V129="Sub",N($X129),N($M129))&lt;1),"Vencida"&amp;" · ","")&amp;IF(AND(ObsObligatoria="Sí",ISNUMBER($AN129),$AN129&lt;FechaRef,IF($V129="Sub",N($X129),N($M129))&lt;1,$Q129=""),"Vencida sin observación"&amp;" · ",""))="","✔ OK","⚠ "&amp;LEFT(IF($C129="","Falta el nombre de la actividad"&amp;" · ","")&amp;IF(AND($V129="Sub",N($U129)=0),"Subactividad sin macroactividad arriba"&amp;" · ","")&amp;IF($AM129="","Sin fecha de inicio"&amp;" · ","")&amp;IF($AN129="","Sin fecha límite"&amp;" · ","")&amp;IF(AND(LEFT($C129,11)="[Jefatura] ",N($AL129)=0),"No se encuentra en la hoja de la jefatura (elíjala de nuevo en la lista)"&amp;" · ","")&amp;IF(OR(AND($E129&lt;&gt;"",NOT(ISNUMBER($E129))),AND($F129&lt;&gt;"",NOT(ISNUMBER($F129))),AND($G129&lt;&gt;"",NOT(ISNUMBER($G129)))),"Fecha no válida"&amp;" · ","")&amp;IF(AND(ISNUMBER($AM129),ISNUMBER($AN129),$AM129&gt;$AN129),"Inicio posterior a fecha límite"&amp;" · ","")&amp;IF(AND($V129="Macro",$H129&lt;&gt;"",OR(NOT(ISNUMBER($H129)),$H129&lt;0,$H129&gt;1)),"Peso fuera de rango"&amp;" · ","")&amp;IF(AND($V129="Sub",$H129&lt;&gt;""),"Las subactividades no llevan peso (valen igual dentro de su macroactividad)"&amp;" · ","")&amp;IF(AND(N($W129)&gt;0,COUNT($I129:$L129)&gt;0),"Con subactividades: deje vacías las semanas (se calculan solas)"&amp;" · ","")&amp;IF((COUNTIF($I129:$L129,"&gt;1")+COUNTIF($I129:$L129,"&lt;0")+COUNTA($I129:$L129)-COUNT($I129:$L129))&gt;0,"Avance fuera de rango 0-100%"&amp;" · ","")&amp;IF(OR(AND($J129&lt;&gt;"",$J129&lt;$I129),AND($K129&lt;&gt;"",$K129&lt;MAX($I129:$J129)),AND($L129&lt;&gt;"",$L129&lt;MAX($I129:$K129))),"Avance semanal decreciente"&amp;" · ","")&amp;IF(AND(ISNUMBER($AN129),$AN129&lt;FechaRef,IF($V129="Sub",N($X129),N($M129))&lt;1),"Vencida"&amp;" · ","")&amp;IF(AND(ObsObligatoria="Sí",ISNUMBER($AN129),$AN129&lt;FechaRef,IF($V129="Sub",N($X129),N($M129))&lt;1,$Q129=""),"Vencida sin observación"&amp;" · ",""),LEN(IF($C129="","Falta el nombre de la actividad"&amp;" · ","")&amp;IF(AND($V129="Sub",N($U129)=0),"Subactividad sin macroactividad arriba"&amp;" · ","")&amp;IF($AM129="","Sin fecha de inicio"&amp;" · ","")&amp;IF($AN129="","Sin fecha límite"&amp;" · ","")&amp;IF(AND(LEFT($C129,11)="[Jefatura] ",N($AL129)=0),"No se encuentra en la hoja de la jefatura (elíjala de nuevo en la lista)"&amp;" · ","")&amp;IF(OR(AND($E129&lt;&gt;"",NOT(ISNUMBER($E129))),AND($F129&lt;&gt;"",NOT(ISNUMBER($F129))),AND($G129&lt;&gt;"",NOT(ISNUMBER($G129)))),"Fecha no válida"&amp;" · ","")&amp;IF(AND(ISNUMBER($AM129),ISNUMBER($AN129),$AM129&gt;$AN129),"Inicio posterior a fecha límite"&amp;" · ","")&amp;IF(AND($V129="Macro",$H129&lt;&gt;"",OR(NOT(ISNUMBER($H129)),$H129&lt;0,$H129&gt;1)),"Peso fuera de rango"&amp;" · ","")&amp;IF(AND($V129="Sub",$H129&lt;&gt;""),"Las subactividades no llevan peso (valen igual dentro de su macroactividad)"&amp;" · ","")&amp;IF(AND(N($W129)&gt;0,COUNT($I129:$L129)&gt;0),"Con subactividades: deje vacías las semanas (se calculan solas)"&amp;" · ","")&amp;IF((COUNTIF($I129:$L129,"&gt;1")+COUNTIF($I129:$L129,"&lt;0")+COUNTA($I129:$L129)-COUNT($I129:$L129))&gt;0,"Avance fuera de rango 0-100%"&amp;" · ","")&amp;IF(OR(AND($J129&lt;&gt;"",$J129&lt;$I129),AND($K129&lt;&gt;"",$K129&lt;MAX($I129:$J129)),AND($L129&lt;&gt;"",$L129&lt;MAX($I129:$K129))),"Avance semanal decreciente"&amp;" · ","")&amp;IF(AND(ISNUMBER($AN129),$AN129&lt;FechaRef,IF($V129="Sub",N($X129),N($M129))&lt;1),"Vencida"&amp;" · ","")&amp;IF(AND(ObsObligatoria="Sí",ISNUMBER($AN129),$AN129&lt;FechaRef,IF($V129="Sub",N($X129),N($M129))&lt;1,$Q129=""),"Vencida sin observación"&amp;" · ",""))-3)))</f>
        <v/>
      </c>
      <c r="S129" s="64">
        <f>IF(NOT((COUNTA($B129:$D129)+COUNTA($G129:$L129)+COUNTA($Q129))&gt;0),"",IF(AND($V129="Sub",N($U129)&gt;0),IF(ISNUMBER(INDEX($AM$5:$AM$1000,$U129-4)),DATE(YEAR(INDEX($AM$5:$AM$1000,$U129-4)),MONTH(INDEX($AM$5:$AM$1000,$U129-4)),1),IF(ISNUMBER(INDEX($AN$5:$AN$1000,$U129-4)),DATE(YEAR(INDEX($AN$5:$AN$1000,$U129-4)),MONTH(INDEX($AN$5:$AN$1000,$U129-4)),1),MesCiclo)),IF(ISNUMBER($AM129),DATE(YEAR($AM129),MONTH($AM129),1),IF(ISNUMBER($AN129),DATE(YEAR($AN129),MONTH($AN129),1),MesCiclo))))</f>
        <v/>
      </c>
      <c r="T129" s="62">
        <f>IF(OR($S129="",$S129&lt;&gt;MesCiclo,$V129&lt;&gt;"Macro"),"",COUNTIFS($S$5:$S129,MesCiclo,$V$5:$V129,"Macro"))</f>
        <v/>
      </c>
      <c r="U129" s="62">
        <f>IF($V129="","",IF($V129="Macro",ROW(),IFERROR(LOOKUP(2,1/($V$5:$V129="Macro"),ROW($V$5:$V129)),0)))</f>
        <v/>
      </c>
      <c r="V129" s="62">
        <f>IF(NOT((COUNTA($B129:$D129)+COUNTA($G129:$L129)+COUNTA($Q129))&gt;0),"",IF($B129="Subactividad","Sub","Macro"))</f>
        <v/>
      </c>
      <c r="W129" s="62">
        <f>IF($V129="Macro",COUNTIFS($U$5:$U$1000,ROW(),$V$5:$V$1000,"Sub"),"")</f>
        <v/>
      </c>
      <c r="X129" s="62">
        <f>IF($V129="","",IF(ISNUMBER($G129),1,IFERROR(LOOKUP(2,1/($I129:$L129&lt;&gt;""),$I129:$L129),0)))</f>
        <v/>
      </c>
      <c r="Y129" s="62">
        <f>IF($V129="","",IF(AND(ISNUMBER($G129),$G129&lt;=IF($S129=MesCiclo,InicioCiclo,$S129+MOD(2-WEEKDAY($S129),7))+6),1,IF(ISNUMBER($I129),$I129,0)))</f>
        <v/>
      </c>
      <c r="Z129" s="62">
        <f>IF($V129="","",IF(AND(ISNUMBER($G129),$G129&lt;=IF($S129=MesCiclo,InicioCiclo,$S129+MOD(2-WEEKDAY($S129),7))+13),1,IF(ISNUMBER($J129),$J129,$Y129)))</f>
        <v/>
      </c>
      <c r="AA129" s="62">
        <f>IF($V129="","",IF(AND(ISNUMBER($G129),$G129&lt;=IF($S129=MesCiclo,InicioCiclo,$S129+MOD(2-WEEKDAY($S129),7))+20),1,IF(ISNUMBER($K129),$K129,$Z129)))</f>
        <v/>
      </c>
      <c r="AB129" s="62">
        <f>IF($V129="","",IF(AND(ISNUMBER($G129),$G129&lt;=IF($S129=MesCiclo,InicioCiclo,$S129+MOD(2-WEEKDAY($S129),7))+27),1,IF(ISNUMBER($L129),$L129,$AA129)))</f>
        <v/>
      </c>
      <c r="AC129" s="62">
        <f>IF($V129="","",IF(AND(ISNUMBER($G129),$G129&lt;=IF($S129=MesCiclo,InicioCiclo,$S129+MOD(2-WEEKDAY($S129),7))+6),1,IF(N($W129)&gt;0,AVERAGEIFS($Y$5:$Y$1000,$U$5:$U$1000,ROW(),$V$5:$V$1000,"Sub"),$Y129)))</f>
        <v/>
      </c>
      <c r="AD129" s="62">
        <f>IF($V129="","",IF(AND(ISNUMBER($G129),$G129&lt;=IF($S129=MesCiclo,InicioCiclo,$S129+MOD(2-WEEKDAY($S129),7))+13),1,IF(N($W129)&gt;0,AVERAGEIFS($Z$5:$Z$1000,$U$5:$U$1000,ROW(),$V$5:$V$1000,"Sub"),$Z129)))</f>
        <v/>
      </c>
      <c r="AE129" s="62">
        <f>IF($V129="","",IF(AND(ISNUMBER($G129),$G129&lt;=IF($S129=MesCiclo,InicioCiclo,$S129+MOD(2-WEEKDAY($S129),7))+20),1,IF(N($W129)&gt;0,AVERAGEIFS($AA$5:$AA$1000,$U$5:$U$1000,ROW(),$V$5:$V$1000,"Sub"),$AA129)))</f>
        <v/>
      </c>
      <c r="AF129" s="62">
        <f>IF($V129="","",IF(AND(ISNUMBER($G129),$G129&lt;=IF($S129=MesCiclo,InicioCiclo,$S129+MOD(2-WEEKDAY($S129),7))+27),1,IF(N($W129)&gt;0,AVERAGEIFS($AB$5:$AB$1000,$U$5:$U$1000,ROW(),$V$5:$V$1000,"Sub"),$AB129)))</f>
        <v/>
      </c>
      <c r="AG129" s="62">
        <f>IF($V129&lt;&gt;"Macro","",IF(COUNTIFS($S$5:$S$1000,$S129,$V$5:$V$1000,"Macro",$H$5:$H$1000,"&gt;0")=0,1/COUNTIFS($S$5:$S$1000,$S129,$V$5:$V$1000,"Macro"),IF(AND(ISNUMBER($H129),N($H129)&gt;0),$H129,SUMIFS($H$5:$H$1000,$S$5:$S$1000,$S129,$V$5:$V$1000,"Macro")/COUNTIFS($S$5:$S$1000,$S129,$V$5:$V$1000,"Macro",$H$5:$H$1000,"&gt;0"))/(COUNTIFS($S$5:$S$1000,$S129,$V$5:$V$1000,"Macro")*SUMIFS($H$5:$H$1000,$S$5:$S$1000,$S129,$V$5:$V$1000,"Macro")/COUNTIFS($S$5:$S$1000,$S129,$V$5:$V$1000,"Macro",$H$5:$H$1000,"&gt;0"))))</f>
        <v/>
      </c>
      <c r="AH129" s="62" t="n"/>
      <c r="AI129" s="62" t="n"/>
      <c r="AJ129" s="62" t="n"/>
      <c r="AK129" s="62" t="n"/>
      <c r="AL129" s="62">
        <f>IF(LEFT($C129,11)="[Jefatura] ",IFERROR(MATCH("Riesgo Normativo|"&amp;MID($C129,12,500),rDname_ADM,0),0),"")</f>
        <v/>
      </c>
      <c r="AM129" s="62">
        <f>IF(N($AL129)&gt;0,INDEX(rIni_ADM,$AL129),IF(ISNUMBER($E129),$E129,""))</f>
        <v/>
      </c>
      <c r="AN129" s="62">
        <f>IF(N($AL129)&gt;0,INDEX(rLim_ADM,$AL129),IF(ISNUMBER($F129),$F129,""))</f>
        <v/>
      </c>
    </row>
    <row r="130">
      <c r="A130" s="56">
        <f>IF(NOT((COUNTA($B130:$D130)+COUNTA($G130:$L130)+COUNTA($Q130))&gt;0),"",IF($V130="Macro",COUNTIFS($V$5:$V130,"Macro",$S$5:$S130,$S130),IF(N($U130)=0,"?",COUNTIFS(INDEX($V$5:$V$1000,1):INDEX($V$5:$V$1000,$U130-4),"Macro",INDEX($S$5:$S$1000,1):INDEX($S$5:$S$1000,$U130-4),INDEX($S$5:$S$1000,$U130-4))&amp;"."&amp;COUNTIFS($U$5:$U130,$U130,$V$5:$V130,"Sub"))))</f>
        <v/>
      </c>
      <c r="B130" s="57" t="n"/>
      <c r="C130" s="58" t="n"/>
      <c r="D130" s="58" t="n"/>
      <c r="E130" s="59">
        <f>IF(N($AL130)&gt;0,INDEX(rIni_ADM,$AL130),"")</f>
        <v/>
      </c>
      <c r="F130" s="59">
        <f>IF(N($AL130)&gt;0,INDEX(rLim_ADM,$AL130),"")</f>
        <v/>
      </c>
      <c r="G130" s="59" t="n"/>
      <c r="H130" s="60" t="n"/>
      <c r="I130" s="60" t="n"/>
      <c r="J130" s="60" t="n"/>
      <c r="K130" s="60" t="n"/>
      <c r="L130" s="60" t="n"/>
      <c r="M130" s="61">
        <f>IF(NOT((COUNTA($B130:$D130)+COUNTA($G130:$L130)+COUNTA($Q130))&gt;0),"",IF($V130="Sub",IFERROR($X130/INDEX($W$5:$W$1000,$U130-4),""),IF(ISNUMBER($G130),1,IF(N($W130)&gt;0,AVERAGEIFS($X$5:$X$1000,$U$5:$U$1000,ROW(),$V$5:$V$1000,"Sub"),$X130))))</f>
        <v/>
      </c>
      <c r="N130" s="56">
        <f>IF(OR($M130="",$V130="Sub"),"",IF($M130&gt;=1,"Completado",IF($M130&gt;0,"En curso","Pendiente")))</f>
        <v/>
      </c>
      <c r="O130" s="56">
        <f>IF(OR(NOT((COUNTA($B130:$D130)+COUNTA($G130:$L130)+COUNTA($Q130))&gt;0),$V130="Sub"),"",IF(ISNUMBER($G130),IF(AND(ISNUMBER($AN130),$G130&gt;$AN130),"Cumplida con "&amp;($G130-$AN130)&amp;IF($G130-$AN130=1," día"," días")&amp;" de retraso","Cumplida"),IF(N($M130)&gt;=1,"Cumplida",IF(NOT(ISNUMBER($AN130)),"Sin fecha límite",IF($AN130&lt;FechaRef,"Vencida hace "&amp;(FechaRef-$AN130)&amp;IF(FechaRef-$AN130=1," día"," días"),IF($AN130=FechaRef,"Vence hoy",IF($AN130-FechaRef&lt;=DiasAlerta,"Vence en "&amp;($AN130-FechaRef)&amp;IF($AN130-FechaRef=1," día"," días"),"En plazo")))))))</f>
        <v/>
      </c>
      <c r="P130" s="62" t="n"/>
      <c r="Q130" s="58" t="n"/>
      <c r="R130" s="63">
        <f>IF(NOT((COUNTA($B130:$D130)+COUNTA($G130:$L130)+COUNTA($Q130))&gt;0),"",IF((IF($C130="","Falta el nombre de la actividad"&amp;" · ","")&amp;IF(AND($V130="Sub",N($U130)=0),"Subactividad sin macroactividad arriba"&amp;" · ","")&amp;IF($AM130="","Sin fecha de inicio"&amp;" · ","")&amp;IF($AN130="","Sin fecha límite"&amp;" · ","")&amp;IF(AND(LEFT($C130,11)="[Jefatura] ",N($AL130)=0),"No se encuentra en la hoja de la jefatura (elíjala de nuevo en la lista)"&amp;" · ","")&amp;IF(OR(AND($E130&lt;&gt;"",NOT(ISNUMBER($E130))),AND($F130&lt;&gt;"",NOT(ISNUMBER($F130))),AND($G130&lt;&gt;"",NOT(ISNUMBER($G130)))),"Fecha no válida"&amp;" · ","")&amp;IF(AND(ISNUMBER($AM130),ISNUMBER($AN130),$AM130&gt;$AN130),"Inicio posterior a fecha límite"&amp;" · ","")&amp;IF(AND($V130="Macro",$H130&lt;&gt;"",OR(NOT(ISNUMBER($H130)),$H130&lt;0,$H130&gt;1)),"Peso fuera de rango"&amp;" · ","")&amp;IF(AND($V130="Sub",$H130&lt;&gt;""),"Las subactividades no llevan peso (valen igual dentro de su macroactividad)"&amp;" · ","")&amp;IF(AND(N($W130)&gt;0,COUNT($I130:$L130)&gt;0),"Con subactividades: deje vacías las semanas (se calculan solas)"&amp;" · ","")&amp;IF((COUNTIF($I130:$L130,"&gt;1")+COUNTIF($I130:$L130,"&lt;0")+COUNTA($I130:$L130)-COUNT($I130:$L130))&gt;0,"Avance fuera de rango 0-100%"&amp;" · ","")&amp;IF(OR(AND($J130&lt;&gt;"",$J130&lt;$I130),AND($K130&lt;&gt;"",$K130&lt;MAX($I130:$J130)),AND($L130&lt;&gt;"",$L130&lt;MAX($I130:$K130))),"Avance semanal decreciente"&amp;" · ","")&amp;IF(AND(ISNUMBER($AN130),$AN130&lt;FechaRef,IF($V130="Sub",N($X130),N($M130))&lt;1),"Vencida"&amp;" · ","")&amp;IF(AND(ObsObligatoria="Sí",ISNUMBER($AN130),$AN130&lt;FechaRef,IF($V130="Sub",N($X130),N($M130))&lt;1,$Q130=""),"Vencida sin observación"&amp;" · ",""))="","✔ OK","⚠ "&amp;LEFT(IF($C130="","Falta el nombre de la actividad"&amp;" · ","")&amp;IF(AND($V130="Sub",N($U130)=0),"Subactividad sin macroactividad arriba"&amp;" · ","")&amp;IF($AM130="","Sin fecha de inicio"&amp;" · ","")&amp;IF($AN130="","Sin fecha límite"&amp;" · ","")&amp;IF(AND(LEFT($C130,11)="[Jefatura] ",N($AL130)=0),"No se encuentra en la hoja de la jefatura (elíjala de nuevo en la lista)"&amp;" · ","")&amp;IF(OR(AND($E130&lt;&gt;"",NOT(ISNUMBER($E130))),AND($F130&lt;&gt;"",NOT(ISNUMBER($F130))),AND($G130&lt;&gt;"",NOT(ISNUMBER($G130)))),"Fecha no válida"&amp;" · ","")&amp;IF(AND(ISNUMBER($AM130),ISNUMBER($AN130),$AM130&gt;$AN130),"Inicio posterior a fecha límite"&amp;" · ","")&amp;IF(AND($V130="Macro",$H130&lt;&gt;"",OR(NOT(ISNUMBER($H130)),$H130&lt;0,$H130&gt;1)),"Peso fuera de rango"&amp;" · ","")&amp;IF(AND($V130="Sub",$H130&lt;&gt;""),"Las subactividades no llevan peso (valen igual dentro de su macroactividad)"&amp;" · ","")&amp;IF(AND(N($W130)&gt;0,COUNT($I130:$L130)&gt;0),"Con subactividades: deje vacías las semanas (se calculan solas)"&amp;" · ","")&amp;IF((COUNTIF($I130:$L130,"&gt;1")+COUNTIF($I130:$L130,"&lt;0")+COUNTA($I130:$L130)-COUNT($I130:$L130))&gt;0,"Avance fuera de rango 0-100%"&amp;" · ","")&amp;IF(OR(AND($J130&lt;&gt;"",$J130&lt;$I130),AND($K130&lt;&gt;"",$K130&lt;MAX($I130:$J130)),AND($L130&lt;&gt;"",$L130&lt;MAX($I130:$K130))),"Avance semanal decreciente"&amp;" · ","")&amp;IF(AND(ISNUMBER($AN130),$AN130&lt;FechaRef,IF($V130="Sub",N($X130),N($M130))&lt;1),"Vencida"&amp;" · ","")&amp;IF(AND(ObsObligatoria="Sí",ISNUMBER($AN130),$AN130&lt;FechaRef,IF($V130="Sub",N($X130),N($M130))&lt;1,$Q130=""),"Vencida sin observación"&amp;" · ",""),LEN(IF($C130="","Falta el nombre de la actividad"&amp;" · ","")&amp;IF(AND($V130="Sub",N($U130)=0),"Subactividad sin macroactividad arriba"&amp;" · ","")&amp;IF($AM130="","Sin fecha de inicio"&amp;" · ","")&amp;IF($AN130="","Sin fecha límite"&amp;" · ","")&amp;IF(AND(LEFT($C130,11)="[Jefatura] ",N($AL130)=0),"No se encuentra en la hoja de la jefatura (elíjala de nuevo en la lista)"&amp;" · ","")&amp;IF(OR(AND($E130&lt;&gt;"",NOT(ISNUMBER($E130))),AND($F130&lt;&gt;"",NOT(ISNUMBER($F130))),AND($G130&lt;&gt;"",NOT(ISNUMBER($G130)))),"Fecha no válida"&amp;" · ","")&amp;IF(AND(ISNUMBER($AM130),ISNUMBER($AN130),$AM130&gt;$AN130),"Inicio posterior a fecha límite"&amp;" · ","")&amp;IF(AND($V130="Macro",$H130&lt;&gt;"",OR(NOT(ISNUMBER($H130)),$H130&lt;0,$H130&gt;1)),"Peso fuera de rango"&amp;" · ","")&amp;IF(AND($V130="Sub",$H130&lt;&gt;""),"Las subactividades no llevan peso (valen igual dentro de su macroactividad)"&amp;" · ","")&amp;IF(AND(N($W130)&gt;0,COUNT($I130:$L130)&gt;0),"Con subactividades: deje vacías las semanas (se calculan solas)"&amp;" · ","")&amp;IF((COUNTIF($I130:$L130,"&gt;1")+COUNTIF($I130:$L130,"&lt;0")+COUNTA($I130:$L130)-COUNT($I130:$L130))&gt;0,"Avance fuera de rango 0-100%"&amp;" · ","")&amp;IF(OR(AND($J130&lt;&gt;"",$J130&lt;$I130),AND($K130&lt;&gt;"",$K130&lt;MAX($I130:$J130)),AND($L130&lt;&gt;"",$L130&lt;MAX($I130:$K130))),"Avance semanal decreciente"&amp;" · ","")&amp;IF(AND(ISNUMBER($AN130),$AN130&lt;FechaRef,IF($V130="Sub",N($X130),N($M130))&lt;1),"Vencida"&amp;" · ","")&amp;IF(AND(ObsObligatoria="Sí",ISNUMBER($AN130),$AN130&lt;FechaRef,IF($V130="Sub",N($X130),N($M130))&lt;1,$Q130=""),"Vencida sin observación"&amp;" · ",""))-3)))</f>
        <v/>
      </c>
      <c r="S130" s="64">
        <f>IF(NOT((COUNTA($B130:$D130)+COUNTA($G130:$L130)+COUNTA($Q130))&gt;0),"",IF(AND($V130="Sub",N($U130)&gt;0),IF(ISNUMBER(INDEX($AM$5:$AM$1000,$U130-4)),DATE(YEAR(INDEX($AM$5:$AM$1000,$U130-4)),MONTH(INDEX($AM$5:$AM$1000,$U130-4)),1),IF(ISNUMBER(INDEX($AN$5:$AN$1000,$U130-4)),DATE(YEAR(INDEX($AN$5:$AN$1000,$U130-4)),MONTH(INDEX($AN$5:$AN$1000,$U130-4)),1),MesCiclo)),IF(ISNUMBER($AM130),DATE(YEAR($AM130),MONTH($AM130),1),IF(ISNUMBER($AN130),DATE(YEAR($AN130),MONTH($AN130),1),MesCiclo))))</f>
        <v/>
      </c>
      <c r="T130" s="62">
        <f>IF(OR($S130="",$S130&lt;&gt;MesCiclo,$V130&lt;&gt;"Macro"),"",COUNTIFS($S$5:$S130,MesCiclo,$V$5:$V130,"Macro"))</f>
        <v/>
      </c>
      <c r="U130" s="62">
        <f>IF($V130="","",IF($V130="Macro",ROW(),IFERROR(LOOKUP(2,1/($V$5:$V130="Macro"),ROW($V$5:$V130)),0)))</f>
        <v/>
      </c>
      <c r="V130" s="62">
        <f>IF(NOT((COUNTA($B130:$D130)+COUNTA($G130:$L130)+COUNTA($Q130))&gt;0),"",IF($B130="Subactividad","Sub","Macro"))</f>
        <v/>
      </c>
      <c r="W130" s="62">
        <f>IF($V130="Macro",COUNTIFS($U$5:$U$1000,ROW(),$V$5:$V$1000,"Sub"),"")</f>
        <v/>
      </c>
      <c r="X130" s="62">
        <f>IF($V130="","",IF(ISNUMBER($G130),1,IFERROR(LOOKUP(2,1/($I130:$L130&lt;&gt;""),$I130:$L130),0)))</f>
        <v/>
      </c>
      <c r="Y130" s="62">
        <f>IF($V130="","",IF(AND(ISNUMBER($G130),$G130&lt;=IF($S130=MesCiclo,InicioCiclo,$S130+MOD(2-WEEKDAY($S130),7))+6),1,IF(ISNUMBER($I130),$I130,0)))</f>
        <v/>
      </c>
      <c r="Z130" s="62">
        <f>IF($V130="","",IF(AND(ISNUMBER($G130),$G130&lt;=IF($S130=MesCiclo,InicioCiclo,$S130+MOD(2-WEEKDAY($S130),7))+13),1,IF(ISNUMBER($J130),$J130,$Y130)))</f>
        <v/>
      </c>
      <c r="AA130" s="62">
        <f>IF($V130="","",IF(AND(ISNUMBER($G130),$G130&lt;=IF($S130=MesCiclo,InicioCiclo,$S130+MOD(2-WEEKDAY($S130),7))+20),1,IF(ISNUMBER($K130),$K130,$Z130)))</f>
        <v/>
      </c>
      <c r="AB130" s="62">
        <f>IF($V130="","",IF(AND(ISNUMBER($G130),$G130&lt;=IF($S130=MesCiclo,InicioCiclo,$S130+MOD(2-WEEKDAY($S130),7))+27),1,IF(ISNUMBER($L130),$L130,$AA130)))</f>
        <v/>
      </c>
      <c r="AC130" s="62">
        <f>IF($V130="","",IF(AND(ISNUMBER($G130),$G130&lt;=IF($S130=MesCiclo,InicioCiclo,$S130+MOD(2-WEEKDAY($S130),7))+6),1,IF(N($W130)&gt;0,AVERAGEIFS($Y$5:$Y$1000,$U$5:$U$1000,ROW(),$V$5:$V$1000,"Sub"),$Y130)))</f>
        <v/>
      </c>
      <c r="AD130" s="62">
        <f>IF($V130="","",IF(AND(ISNUMBER($G130),$G130&lt;=IF($S130=MesCiclo,InicioCiclo,$S130+MOD(2-WEEKDAY($S130),7))+13),1,IF(N($W130)&gt;0,AVERAGEIFS($Z$5:$Z$1000,$U$5:$U$1000,ROW(),$V$5:$V$1000,"Sub"),$Z130)))</f>
        <v/>
      </c>
      <c r="AE130" s="62">
        <f>IF($V130="","",IF(AND(ISNUMBER($G130),$G130&lt;=IF($S130=MesCiclo,InicioCiclo,$S130+MOD(2-WEEKDAY($S130),7))+20),1,IF(N($W130)&gt;0,AVERAGEIFS($AA$5:$AA$1000,$U$5:$U$1000,ROW(),$V$5:$V$1000,"Sub"),$AA130)))</f>
        <v/>
      </c>
      <c r="AF130" s="62">
        <f>IF($V130="","",IF(AND(ISNUMBER($G130),$G130&lt;=IF($S130=MesCiclo,InicioCiclo,$S130+MOD(2-WEEKDAY($S130),7))+27),1,IF(N($W130)&gt;0,AVERAGEIFS($AB$5:$AB$1000,$U$5:$U$1000,ROW(),$V$5:$V$1000,"Sub"),$AB130)))</f>
        <v/>
      </c>
      <c r="AG130" s="62">
        <f>IF($V130&lt;&gt;"Macro","",IF(COUNTIFS($S$5:$S$1000,$S130,$V$5:$V$1000,"Macro",$H$5:$H$1000,"&gt;0")=0,1/COUNTIFS($S$5:$S$1000,$S130,$V$5:$V$1000,"Macro"),IF(AND(ISNUMBER($H130),N($H130)&gt;0),$H130,SUMIFS($H$5:$H$1000,$S$5:$S$1000,$S130,$V$5:$V$1000,"Macro")/COUNTIFS($S$5:$S$1000,$S130,$V$5:$V$1000,"Macro",$H$5:$H$1000,"&gt;0"))/(COUNTIFS($S$5:$S$1000,$S130,$V$5:$V$1000,"Macro")*SUMIFS($H$5:$H$1000,$S$5:$S$1000,$S130,$V$5:$V$1000,"Macro")/COUNTIFS($S$5:$S$1000,$S130,$V$5:$V$1000,"Macro",$H$5:$H$1000,"&gt;0"))))</f>
        <v/>
      </c>
      <c r="AH130" s="62" t="n"/>
      <c r="AI130" s="62" t="n"/>
      <c r="AJ130" s="62" t="n"/>
      <c r="AK130" s="62" t="n"/>
      <c r="AL130" s="62">
        <f>IF(LEFT($C130,11)="[Jefatura] ",IFERROR(MATCH("Riesgo Normativo|"&amp;MID($C130,12,500),rDname_ADM,0),0),"")</f>
        <v/>
      </c>
      <c r="AM130" s="62">
        <f>IF(N($AL130)&gt;0,INDEX(rIni_ADM,$AL130),IF(ISNUMBER($E130),$E130,""))</f>
        <v/>
      </c>
      <c r="AN130" s="62">
        <f>IF(N($AL130)&gt;0,INDEX(rLim_ADM,$AL130),IF(ISNUMBER($F130),$F130,""))</f>
        <v/>
      </c>
    </row>
    <row r="131">
      <c r="A131" s="56">
        <f>IF(NOT((COUNTA($B131:$D131)+COUNTA($G131:$L131)+COUNTA($Q131))&gt;0),"",IF($V131="Macro",COUNTIFS($V$5:$V131,"Macro",$S$5:$S131,$S131),IF(N($U131)=0,"?",COUNTIFS(INDEX($V$5:$V$1000,1):INDEX($V$5:$V$1000,$U131-4),"Macro",INDEX($S$5:$S$1000,1):INDEX($S$5:$S$1000,$U131-4),INDEX($S$5:$S$1000,$U131-4))&amp;"."&amp;COUNTIFS($U$5:$U131,$U131,$V$5:$V131,"Sub"))))</f>
        <v/>
      </c>
      <c r="B131" s="57" t="n"/>
      <c r="C131" s="58" t="n"/>
      <c r="D131" s="58" t="n"/>
      <c r="E131" s="59">
        <f>IF(N($AL131)&gt;0,INDEX(rIni_ADM,$AL131),"")</f>
        <v/>
      </c>
      <c r="F131" s="59">
        <f>IF(N($AL131)&gt;0,INDEX(rLim_ADM,$AL131),"")</f>
        <v/>
      </c>
      <c r="G131" s="59" t="n"/>
      <c r="H131" s="60" t="n"/>
      <c r="I131" s="60" t="n"/>
      <c r="J131" s="60" t="n"/>
      <c r="K131" s="60" t="n"/>
      <c r="L131" s="60" t="n"/>
      <c r="M131" s="61">
        <f>IF(NOT((COUNTA($B131:$D131)+COUNTA($G131:$L131)+COUNTA($Q131))&gt;0),"",IF($V131="Sub",IFERROR($X131/INDEX($W$5:$W$1000,$U131-4),""),IF(ISNUMBER($G131),1,IF(N($W131)&gt;0,AVERAGEIFS($X$5:$X$1000,$U$5:$U$1000,ROW(),$V$5:$V$1000,"Sub"),$X131))))</f>
        <v/>
      </c>
      <c r="N131" s="56">
        <f>IF(OR($M131="",$V131="Sub"),"",IF($M131&gt;=1,"Completado",IF($M131&gt;0,"En curso","Pendiente")))</f>
        <v/>
      </c>
      <c r="O131" s="56">
        <f>IF(OR(NOT((COUNTA($B131:$D131)+COUNTA($G131:$L131)+COUNTA($Q131))&gt;0),$V131="Sub"),"",IF(ISNUMBER($G131),IF(AND(ISNUMBER($AN131),$G131&gt;$AN131),"Cumplida con "&amp;($G131-$AN131)&amp;IF($G131-$AN131=1," día"," días")&amp;" de retraso","Cumplida"),IF(N($M131)&gt;=1,"Cumplida",IF(NOT(ISNUMBER($AN131)),"Sin fecha límite",IF($AN131&lt;FechaRef,"Vencida hace "&amp;(FechaRef-$AN131)&amp;IF(FechaRef-$AN131=1," día"," días"),IF($AN131=FechaRef,"Vence hoy",IF($AN131-FechaRef&lt;=DiasAlerta,"Vence en "&amp;($AN131-FechaRef)&amp;IF($AN131-FechaRef=1," día"," días"),"En plazo")))))))</f>
        <v/>
      </c>
      <c r="P131" s="62" t="n"/>
      <c r="Q131" s="58" t="n"/>
      <c r="R131" s="63">
        <f>IF(NOT((COUNTA($B131:$D131)+COUNTA($G131:$L131)+COUNTA($Q131))&gt;0),"",IF((IF($C131="","Falta el nombre de la actividad"&amp;" · ","")&amp;IF(AND($V131="Sub",N($U131)=0),"Subactividad sin macroactividad arriba"&amp;" · ","")&amp;IF($AM131="","Sin fecha de inicio"&amp;" · ","")&amp;IF($AN131="","Sin fecha límite"&amp;" · ","")&amp;IF(AND(LEFT($C131,11)="[Jefatura] ",N($AL131)=0),"No se encuentra en la hoja de la jefatura (elíjala de nuevo en la lista)"&amp;" · ","")&amp;IF(OR(AND($E131&lt;&gt;"",NOT(ISNUMBER($E131))),AND($F131&lt;&gt;"",NOT(ISNUMBER($F131))),AND($G131&lt;&gt;"",NOT(ISNUMBER($G131)))),"Fecha no válida"&amp;" · ","")&amp;IF(AND(ISNUMBER($AM131),ISNUMBER($AN131),$AM131&gt;$AN131),"Inicio posterior a fecha límite"&amp;" · ","")&amp;IF(AND($V131="Macro",$H131&lt;&gt;"",OR(NOT(ISNUMBER($H131)),$H131&lt;0,$H131&gt;1)),"Peso fuera de rango"&amp;" · ","")&amp;IF(AND($V131="Sub",$H131&lt;&gt;""),"Las subactividades no llevan peso (valen igual dentro de su macroactividad)"&amp;" · ","")&amp;IF(AND(N($W131)&gt;0,COUNT($I131:$L131)&gt;0),"Con subactividades: deje vacías las semanas (se calculan solas)"&amp;" · ","")&amp;IF((COUNTIF($I131:$L131,"&gt;1")+COUNTIF($I131:$L131,"&lt;0")+COUNTA($I131:$L131)-COUNT($I131:$L131))&gt;0,"Avance fuera de rango 0-100%"&amp;" · ","")&amp;IF(OR(AND($J131&lt;&gt;"",$J131&lt;$I131),AND($K131&lt;&gt;"",$K131&lt;MAX($I131:$J131)),AND($L131&lt;&gt;"",$L131&lt;MAX($I131:$K131))),"Avance semanal decreciente"&amp;" · ","")&amp;IF(AND(ISNUMBER($AN131),$AN131&lt;FechaRef,IF($V131="Sub",N($X131),N($M131))&lt;1),"Vencida"&amp;" · ","")&amp;IF(AND(ObsObligatoria="Sí",ISNUMBER($AN131),$AN131&lt;FechaRef,IF($V131="Sub",N($X131),N($M131))&lt;1,$Q131=""),"Vencida sin observación"&amp;" · ",""))="","✔ OK","⚠ "&amp;LEFT(IF($C131="","Falta el nombre de la actividad"&amp;" · ","")&amp;IF(AND($V131="Sub",N($U131)=0),"Subactividad sin macroactividad arriba"&amp;" · ","")&amp;IF($AM131="","Sin fecha de inicio"&amp;" · ","")&amp;IF($AN131="","Sin fecha límite"&amp;" · ","")&amp;IF(AND(LEFT($C131,11)="[Jefatura] ",N($AL131)=0),"No se encuentra en la hoja de la jefatura (elíjala de nuevo en la lista)"&amp;" · ","")&amp;IF(OR(AND($E131&lt;&gt;"",NOT(ISNUMBER($E131))),AND($F131&lt;&gt;"",NOT(ISNUMBER($F131))),AND($G131&lt;&gt;"",NOT(ISNUMBER($G131)))),"Fecha no válida"&amp;" · ","")&amp;IF(AND(ISNUMBER($AM131),ISNUMBER($AN131),$AM131&gt;$AN131),"Inicio posterior a fecha límite"&amp;" · ","")&amp;IF(AND($V131="Macro",$H131&lt;&gt;"",OR(NOT(ISNUMBER($H131)),$H131&lt;0,$H131&gt;1)),"Peso fuera de rango"&amp;" · ","")&amp;IF(AND($V131="Sub",$H131&lt;&gt;""),"Las subactividades no llevan peso (valen igual dentro de su macroactividad)"&amp;" · ","")&amp;IF(AND(N($W131)&gt;0,COUNT($I131:$L131)&gt;0),"Con subactividades: deje vacías las semanas (se calculan solas)"&amp;" · ","")&amp;IF((COUNTIF($I131:$L131,"&gt;1")+COUNTIF($I131:$L131,"&lt;0")+COUNTA($I131:$L131)-COUNT($I131:$L131))&gt;0,"Avance fuera de rango 0-100%"&amp;" · ","")&amp;IF(OR(AND($J131&lt;&gt;"",$J131&lt;$I131),AND($K131&lt;&gt;"",$K131&lt;MAX($I131:$J131)),AND($L131&lt;&gt;"",$L131&lt;MAX($I131:$K131))),"Avance semanal decreciente"&amp;" · ","")&amp;IF(AND(ISNUMBER($AN131),$AN131&lt;FechaRef,IF($V131="Sub",N($X131),N($M131))&lt;1),"Vencida"&amp;" · ","")&amp;IF(AND(ObsObligatoria="Sí",ISNUMBER($AN131),$AN131&lt;FechaRef,IF($V131="Sub",N($X131),N($M131))&lt;1,$Q131=""),"Vencida sin observación"&amp;" · ",""),LEN(IF($C131="","Falta el nombre de la actividad"&amp;" · ","")&amp;IF(AND($V131="Sub",N($U131)=0),"Subactividad sin macroactividad arriba"&amp;" · ","")&amp;IF($AM131="","Sin fecha de inicio"&amp;" · ","")&amp;IF($AN131="","Sin fecha límite"&amp;" · ","")&amp;IF(AND(LEFT($C131,11)="[Jefatura] ",N($AL131)=0),"No se encuentra en la hoja de la jefatura (elíjala de nuevo en la lista)"&amp;" · ","")&amp;IF(OR(AND($E131&lt;&gt;"",NOT(ISNUMBER($E131))),AND($F131&lt;&gt;"",NOT(ISNUMBER($F131))),AND($G131&lt;&gt;"",NOT(ISNUMBER($G131)))),"Fecha no válida"&amp;" · ","")&amp;IF(AND(ISNUMBER($AM131),ISNUMBER($AN131),$AM131&gt;$AN131),"Inicio posterior a fecha límite"&amp;" · ","")&amp;IF(AND($V131="Macro",$H131&lt;&gt;"",OR(NOT(ISNUMBER($H131)),$H131&lt;0,$H131&gt;1)),"Peso fuera de rango"&amp;" · ","")&amp;IF(AND($V131="Sub",$H131&lt;&gt;""),"Las subactividades no llevan peso (valen igual dentro de su macroactividad)"&amp;" · ","")&amp;IF(AND(N($W131)&gt;0,COUNT($I131:$L131)&gt;0),"Con subactividades: deje vacías las semanas (se calculan solas)"&amp;" · ","")&amp;IF((COUNTIF($I131:$L131,"&gt;1")+COUNTIF($I131:$L131,"&lt;0")+COUNTA($I131:$L131)-COUNT($I131:$L131))&gt;0,"Avance fuera de rango 0-100%"&amp;" · ","")&amp;IF(OR(AND($J131&lt;&gt;"",$J131&lt;$I131),AND($K131&lt;&gt;"",$K131&lt;MAX($I131:$J131)),AND($L131&lt;&gt;"",$L131&lt;MAX($I131:$K131))),"Avance semanal decreciente"&amp;" · ","")&amp;IF(AND(ISNUMBER($AN131),$AN131&lt;FechaRef,IF($V131="Sub",N($X131),N($M131))&lt;1),"Vencida"&amp;" · ","")&amp;IF(AND(ObsObligatoria="Sí",ISNUMBER($AN131),$AN131&lt;FechaRef,IF($V131="Sub",N($X131),N($M131))&lt;1,$Q131=""),"Vencida sin observación"&amp;" · ",""))-3)))</f>
        <v/>
      </c>
      <c r="S131" s="64">
        <f>IF(NOT((COUNTA($B131:$D131)+COUNTA($G131:$L131)+COUNTA($Q131))&gt;0),"",IF(AND($V131="Sub",N($U131)&gt;0),IF(ISNUMBER(INDEX($AM$5:$AM$1000,$U131-4)),DATE(YEAR(INDEX($AM$5:$AM$1000,$U131-4)),MONTH(INDEX($AM$5:$AM$1000,$U131-4)),1),IF(ISNUMBER(INDEX($AN$5:$AN$1000,$U131-4)),DATE(YEAR(INDEX($AN$5:$AN$1000,$U131-4)),MONTH(INDEX($AN$5:$AN$1000,$U131-4)),1),MesCiclo)),IF(ISNUMBER($AM131),DATE(YEAR($AM131),MONTH($AM131),1),IF(ISNUMBER($AN131),DATE(YEAR($AN131),MONTH($AN131),1),MesCiclo))))</f>
        <v/>
      </c>
      <c r="T131" s="62">
        <f>IF(OR($S131="",$S131&lt;&gt;MesCiclo,$V131&lt;&gt;"Macro"),"",COUNTIFS($S$5:$S131,MesCiclo,$V$5:$V131,"Macro"))</f>
        <v/>
      </c>
      <c r="U131" s="62">
        <f>IF($V131="","",IF($V131="Macro",ROW(),IFERROR(LOOKUP(2,1/($V$5:$V131="Macro"),ROW($V$5:$V131)),0)))</f>
        <v/>
      </c>
      <c r="V131" s="62">
        <f>IF(NOT((COUNTA($B131:$D131)+COUNTA($G131:$L131)+COUNTA($Q131))&gt;0),"",IF($B131="Subactividad","Sub","Macro"))</f>
        <v/>
      </c>
      <c r="W131" s="62">
        <f>IF($V131="Macro",COUNTIFS($U$5:$U$1000,ROW(),$V$5:$V$1000,"Sub"),"")</f>
        <v/>
      </c>
      <c r="X131" s="62">
        <f>IF($V131="","",IF(ISNUMBER($G131),1,IFERROR(LOOKUP(2,1/($I131:$L131&lt;&gt;""),$I131:$L131),0)))</f>
        <v/>
      </c>
      <c r="Y131" s="62">
        <f>IF($V131="","",IF(AND(ISNUMBER($G131),$G131&lt;=IF($S131=MesCiclo,InicioCiclo,$S131+MOD(2-WEEKDAY($S131),7))+6),1,IF(ISNUMBER($I131),$I131,0)))</f>
        <v/>
      </c>
      <c r="Z131" s="62">
        <f>IF($V131="","",IF(AND(ISNUMBER($G131),$G131&lt;=IF($S131=MesCiclo,InicioCiclo,$S131+MOD(2-WEEKDAY($S131),7))+13),1,IF(ISNUMBER($J131),$J131,$Y131)))</f>
        <v/>
      </c>
      <c r="AA131" s="62">
        <f>IF($V131="","",IF(AND(ISNUMBER($G131),$G131&lt;=IF($S131=MesCiclo,InicioCiclo,$S131+MOD(2-WEEKDAY($S131),7))+20),1,IF(ISNUMBER($K131),$K131,$Z131)))</f>
        <v/>
      </c>
      <c r="AB131" s="62">
        <f>IF($V131="","",IF(AND(ISNUMBER($G131),$G131&lt;=IF($S131=MesCiclo,InicioCiclo,$S131+MOD(2-WEEKDAY($S131),7))+27),1,IF(ISNUMBER($L131),$L131,$AA131)))</f>
        <v/>
      </c>
      <c r="AC131" s="62">
        <f>IF($V131="","",IF(AND(ISNUMBER($G131),$G131&lt;=IF($S131=MesCiclo,InicioCiclo,$S131+MOD(2-WEEKDAY($S131),7))+6),1,IF(N($W131)&gt;0,AVERAGEIFS($Y$5:$Y$1000,$U$5:$U$1000,ROW(),$V$5:$V$1000,"Sub"),$Y131)))</f>
        <v/>
      </c>
      <c r="AD131" s="62">
        <f>IF($V131="","",IF(AND(ISNUMBER($G131),$G131&lt;=IF($S131=MesCiclo,InicioCiclo,$S131+MOD(2-WEEKDAY($S131),7))+13),1,IF(N($W131)&gt;0,AVERAGEIFS($Z$5:$Z$1000,$U$5:$U$1000,ROW(),$V$5:$V$1000,"Sub"),$Z131)))</f>
        <v/>
      </c>
      <c r="AE131" s="62">
        <f>IF($V131="","",IF(AND(ISNUMBER($G131),$G131&lt;=IF($S131=MesCiclo,InicioCiclo,$S131+MOD(2-WEEKDAY($S131),7))+20),1,IF(N($W131)&gt;0,AVERAGEIFS($AA$5:$AA$1000,$U$5:$U$1000,ROW(),$V$5:$V$1000,"Sub"),$AA131)))</f>
        <v/>
      </c>
      <c r="AF131" s="62">
        <f>IF($V131="","",IF(AND(ISNUMBER($G131),$G131&lt;=IF($S131=MesCiclo,InicioCiclo,$S131+MOD(2-WEEKDAY($S131),7))+27),1,IF(N($W131)&gt;0,AVERAGEIFS($AB$5:$AB$1000,$U$5:$U$1000,ROW(),$V$5:$V$1000,"Sub"),$AB131)))</f>
        <v/>
      </c>
      <c r="AG131" s="62">
        <f>IF($V131&lt;&gt;"Macro","",IF(COUNTIFS($S$5:$S$1000,$S131,$V$5:$V$1000,"Macro",$H$5:$H$1000,"&gt;0")=0,1/COUNTIFS($S$5:$S$1000,$S131,$V$5:$V$1000,"Macro"),IF(AND(ISNUMBER($H131),N($H131)&gt;0),$H131,SUMIFS($H$5:$H$1000,$S$5:$S$1000,$S131,$V$5:$V$1000,"Macro")/COUNTIFS($S$5:$S$1000,$S131,$V$5:$V$1000,"Macro",$H$5:$H$1000,"&gt;0"))/(COUNTIFS($S$5:$S$1000,$S131,$V$5:$V$1000,"Macro")*SUMIFS($H$5:$H$1000,$S$5:$S$1000,$S131,$V$5:$V$1000,"Macro")/COUNTIFS($S$5:$S$1000,$S131,$V$5:$V$1000,"Macro",$H$5:$H$1000,"&gt;0"))))</f>
        <v/>
      </c>
      <c r="AH131" s="62" t="n"/>
      <c r="AI131" s="62" t="n"/>
      <c r="AJ131" s="62" t="n"/>
      <c r="AK131" s="62" t="n"/>
      <c r="AL131" s="62">
        <f>IF(LEFT($C131,11)="[Jefatura] ",IFERROR(MATCH("Riesgo Normativo|"&amp;MID($C131,12,500),rDname_ADM,0),0),"")</f>
        <v/>
      </c>
      <c r="AM131" s="62">
        <f>IF(N($AL131)&gt;0,INDEX(rIni_ADM,$AL131),IF(ISNUMBER($E131),$E131,""))</f>
        <v/>
      </c>
      <c r="AN131" s="62">
        <f>IF(N($AL131)&gt;0,INDEX(rLim_ADM,$AL131),IF(ISNUMBER($F131),$F131,""))</f>
        <v/>
      </c>
    </row>
    <row r="132">
      <c r="A132" s="56">
        <f>IF(NOT((COUNTA($B132:$D132)+COUNTA($G132:$L132)+COUNTA($Q132))&gt;0),"",IF($V132="Macro",COUNTIFS($V$5:$V132,"Macro",$S$5:$S132,$S132),IF(N($U132)=0,"?",COUNTIFS(INDEX($V$5:$V$1000,1):INDEX($V$5:$V$1000,$U132-4),"Macro",INDEX($S$5:$S$1000,1):INDEX($S$5:$S$1000,$U132-4),INDEX($S$5:$S$1000,$U132-4))&amp;"."&amp;COUNTIFS($U$5:$U132,$U132,$V$5:$V132,"Sub"))))</f>
        <v/>
      </c>
      <c r="B132" s="57" t="n"/>
      <c r="C132" s="58" t="n"/>
      <c r="D132" s="58" t="n"/>
      <c r="E132" s="59">
        <f>IF(N($AL132)&gt;0,INDEX(rIni_ADM,$AL132),"")</f>
        <v/>
      </c>
      <c r="F132" s="59">
        <f>IF(N($AL132)&gt;0,INDEX(rLim_ADM,$AL132),"")</f>
        <v/>
      </c>
      <c r="G132" s="59" t="n"/>
      <c r="H132" s="60" t="n"/>
      <c r="I132" s="60" t="n"/>
      <c r="J132" s="60" t="n"/>
      <c r="K132" s="60" t="n"/>
      <c r="L132" s="60" t="n"/>
      <c r="M132" s="61">
        <f>IF(NOT((COUNTA($B132:$D132)+COUNTA($G132:$L132)+COUNTA($Q132))&gt;0),"",IF($V132="Sub",IFERROR($X132/INDEX($W$5:$W$1000,$U132-4),""),IF(ISNUMBER($G132),1,IF(N($W132)&gt;0,AVERAGEIFS($X$5:$X$1000,$U$5:$U$1000,ROW(),$V$5:$V$1000,"Sub"),$X132))))</f>
        <v/>
      </c>
      <c r="N132" s="56">
        <f>IF(OR($M132="",$V132="Sub"),"",IF($M132&gt;=1,"Completado",IF($M132&gt;0,"En curso","Pendiente")))</f>
        <v/>
      </c>
      <c r="O132" s="56">
        <f>IF(OR(NOT((COUNTA($B132:$D132)+COUNTA($G132:$L132)+COUNTA($Q132))&gt;0),$V132="Sub"),"",IF(ISNUMBER($G132),IF(AND(ISNUMBER($AN132),$G132&gt;$AN132),"Cumplida con "&amp;($G132-$AN132)&amp;IF($G132-$AN132=1," día"," días")&amp;" de retraso","Cumplida"),IF(N($M132)&gt;=1,"Cumplida",IF(NOT(ISNUMBER($AN132)),"Sin fecha límite",IF($AN132&lt;FechaRef,"Vencida hace "&amp;(FechaRef-$AN132)&amp;IF(FechaRef-$AN132=1," día"," días"),IF($AN132=FechaRef,"Vence hoy",IF($AN132-FechaRef&lt;=DiasAlerta,"Vence en "&amp;($AN132-FechaRef)&amp;IF($AN132-FechaRef=1," día"," días"),"En plazo")))))))</f>
        <v/>
      </c>
      <c r="P132" s="62" t="n"/>
      <c r="Q132" s="58" t="n"/>
      <c r="R132" s="63">
        <f>IF(NOT((COUNTA($B132:$D132)+COUNTA($G132:$L132)+COUNTA($Q132))&gt;0),"",IF((IF($C132="","Falta el nombre de la actividad"&amp;" · ","")&amp;IF(AND($V132="Sub",N($U132)=0),"Subactividad sin macroactividad arriba"&amp;" · ","")&amp;IF($AM132="","Sin fecha de inicio"&amp;" · ","")&amp;IF($AN132="","Sin fecha límite"&amp;" · ","")&amp;IF(AND(LEFT($C132,11)="[Jefatura] ",N($AL132)=0),"No se encuentra en la hoja de la jefatura (elíjala de nuevo en la lista)"&amp;" · ","")&amp;IF(OR(AND($E132&lt;&gt;"",NOT(ISNUMBER($E132))),AND($F132&lt;&gt;"",NOT(ISNUMBER($F132))),AND($G132&lt;&gt;"",NOT(ISNUMBER($G132)))),"Fecha no válida"&amp;" · ","")&amp;IF(AND(ISNUMBER($AM132),ISNUMBER($AN132),$AM132&gt;$AN132),"Inicio posterior a fecha límite"&amp;" · ","")&amp;IF(AND($V132="Macro",$H132&lt;&gt;"",OR(NOT(ISNUMBER($H132)),$H132&lt;0,$H132&gt;1)),"Peso fuera de rango"&amp;" · ","")&amp;IF(AND($V132="Sub",$H132&lt;&gt;""),"Las subactividades no llevan peso (valen igual dentro de su macroactividad)"&amp;" · ","")&amp;IF(AND(N($W132)&gt;0,COUNT($I132:$L132)&gt;0),"Con subactividades: deje vacías las semanas (se calculan solas)"&amp;" · ","")&amp;IF((COUNTIF($I132:$L132,"&gt;1")+COUNTIF($I132:$L132,"&lt;0")+COUNTA($I132:$L132)-COUNT($I132:$L132))&gt;0,"Avance fuera de rango 0-100%"&amp;" · ","")&amp;IF(OR(AND($J132&lt;&gt;"",$J132&lt;$I132),AND($K132&lt;&gt;"",$K132&lt;MAX($I132:$J132)),AND($L132&lt;&gt;"",$L132&lt;MAX($I132:$K132))),"Avance semanal decreciente"&amp;" · ","")&amp;IF(AND(ISNUMBER($AN132),$AN132&lt;FechaRef,IF($V132="Sub",N($X132),N($M132))&lt;1),"Vencida"&amp;" · ","")&amp;IF(AND(ObsObligatoria="Sí",ISNUMBER($AN132),$AN132&lt;FechaRef,IF($V132="Sub",N($X132),N($M132))&lt;1,$Q132=""),"Vencida sin observación"&amp;" · ",""))="","✔ OK","⚠ "&amp;LEFT(IF($C132="","Falta el nombre de la actividad"&amp;" · ","")&amp;IF(AND($V132="Sub",N($U132)=0),"Subactividad sin macroactividad arriba"&amp;" · ","")&amp;IF($AM132="","Sin fecha de inicio"&amp;" · ","")&amp;IF($AN132="","Sin fecha límite"&amp;" · ","")&amp;IF(AND(LEFT($C132,11)="[Jefatura] ",N($AL132)=0),"No se encuentra en la hoja de la jefatura (elíjala de nuevo en la lista)"&amp;" · ","")&amp;IF(OR(AND($E132&lt;&gt;"",NOT(ISNUMBER($E132))),AND($F132&lt;&gt;"",NOT(ISNUMBER($F132))),AND($G132&lt;&gt;"",NOT(ISNUMBER($G132)))),"Fecha no válida"&amp;" · ","")&amp;IF(AND(ISNUMBER($AM132),ISNUMBER($AN132),$AM132&gt;$AN132),"Inicio posterior a fecha límite"&amp;" · ","")&amp;IF(AND($V132="Macro",$H132&lt;&gt;"",OR(NOT(ISNUMBER($H132)),$H132&lt;0,$H132&gt;1)),"Peso fuera de rango"&amp;" · ","")&amp;IF(AND($V132="Sub",$H132&lt;&gt;""),"Las subactividades no llevan peso (valen igual dentro de su macroactividad)"&amp;" · ","")&amp;IF(AND(N($W132)&gt;0,COUNT($I132:$L132)&gt;0),"Con subactividades: deje vacías las semanas (se calculan solas)"&amp;" · ","")&amp;IF((COUNTIF($I132:$L132,"&gt;1")+COUNTIF($I132:$L132,"&lt;0")+COUNTA($I132:$L132)-COUNT($I132:$L132))&gt;0,"Avance fuera de rango 0-100%"&amp;" · ","")&amp;IF(OR(AND($J132&lt;&gt;"",$J132&lt;$I132),AND($K132&lt;&gt;"",$K132&lt;MAX($I132:$J132)),AND($L132&lt;&gt;"",$L132&lt;MAX($I132:$K132))),"Avance semanal decreciente"&amp;" · ","")&amp;IF(AND(ISNUMBER($AN132),$AN132&lt;FechaRef,IF($V132="Sub",N($X132),N($M132))&lt;1),"Vencida"&amp;" · ","")&amp;IF(AND(ObsObligatoria="Sí",ISNUMBER($AN132),$AN132&lt;FechaRef,IF($V132="Sub",N($X132),N($M132))&lt;1,$Q132=""),"Vencida sin observación"&amp;" · ",""),LEN(IF($C132="","Falta el nombre de la actividad"&amp;" · ","")&amp;IF(AND($V132="Sub",N($U132)=0),"Subactividad sin macroactividad arriba"&amp;" · ","")&amp;IF($AM132="","Sin fecha de inicio"&amp;" · ","")&amp;IF($AN132="","Sin fecha límite"&amp;" · ","")&amp;IF(AND(LEFT($C132,11)="[Jefatura] ",N($AL132)=0),"No se encuentra en la hoja de la jefatura (elíjala de nuevo en la lista)"&amp;" · ","")&amp;IF(OR(AND($E132&lt;&gt;"",NOT(ISNUMBER($E132))),AND($F132&lt;&gt;"",NOT(ISNUMBER($F132))),AND($G132&lt;&gt;"",NOT(ISNUMBER($G132)))),"Fecha no válida"&amp;" · ","")&amp;IF(AND(ISNUMBER($AM132),ISNUMBER($AN132),$AM132&gt;$AN132),"Inicio posterior a fecha límite"&amp;" · ","")&amp;IF(AND($V132="Macro",$H132&lt;&gt;"",OR(NOT(ISNUMBER($H132)),$H132&lt;0,$H132&gt;1)),"Peso fuera de rango"&amp;" · ","")&amp;IF(AND($V132="Sub",$H132&lt;&gt;""),"Las subactividades no llevan peso (valen igual dentro de su macroactividad)"&amp;" · ","")&amp;IF(AND(N($W132)&gt;0,COUNT($I132:$L132)&gt;0),"Con subactividades: deje vacías las semanas (se calculan solas)"&amp;" · ","")&amp;IF((COUNTIF($I132:$L132,"&gt;1")+COUNTIF($I132:$L132,"&lt;0")+COUNTA($I132:$L132)-COUNT($I132:$L132))&gt;0,"Avance fuera de rango 0-100%"&amp;" · ","")&amp;IF(OR(AND($J132&lt;&gt;"",$J132&lt;$I132),AND($K132&lt;&gt;"",$K132&lt;MAX($I132:$J132)),AND($L132&lt;&gt;"",$L132&lt;MAX($I132:$K132))),"Avance semanal decreciente"&amp;" · ","")&amp;IF(AND(ISNUMBER($AN132),$AN132&lt;FechaRef,IF($V132="Sub",N($X132),N($M132))&lt;1),"Vencida"&amp;" · ","")&amp;IF(AND(ObsObligatoria="Sí",ISNUMBER($AN132),$AN132&lt;FechaRef,IF($V132="Sub",N($X132),N($M132))&lt;1,$Q132=""),"Vencida sin observación"&amp;" · ",""))-3)))</f>
        <v/>
      </c>
      <c r="S132" s="64">
        <f>IF(NOT((COUNTA($B132:$D132)+COUNTA($G132:$L132)+COUNTA($Q132))&gt;0),"",IF(AND($V132="Sub",N($U132)&gt;0),IF(ISNUMBER(INDEX($AM$5:$AM$1000,$U132-4)),DATE(YEAR(INDEX($AM$5:$AM$1000,$U132-4)),MONTH(INDEX($AM$5:$AM$1000,$U132-4)),1),IF(ISNUMBER(INDEX($AN$5:$AN$1000,$U132-4)),DATE(YEAR(INDEX($AN$5:$AN$1000,$U132-4)),MONTH(INDEX($AN$5:$AN$1000,$U132-4)),1),MesCiclo)),IF(ISNUMBER($AM132),DATE(YEAR($AM132),MONTH($AM132),1),IF(ISNUMBER($AN132),DATE(YEAR($AN132),MONTH($AN132),1),MesCiclo))))</f>
        <v/>
      </c>
      <c r="T132" s="62">
        <f>IF(OR($S132="",$S132&lt;&gt;MesCiclo,$V132&lt;&gt;"Macro"),"",COUNTIFS($S$5:$S132,MesCiclo,$V$5:$V132,"Macro"))</f>
        <v/>
      </c>
      <c r="U132" s="62">
        <f>IF($V132="","",IF($V132="Macro",ROW(),IFERROR(LOOKUP(2,1/($V$5:$V132="Macro"),ROW($V$5:$V132)),0)))</f>
        <v/>
      </c>
      <c r="V132" s="62">
        <f>IF(NOT((COUNTA($B132:$D132)+COUNTA($G132:$L132)+COUNTA($Q132))&gt;0),"",IF($B132="Subactividad","Sub","Macro"))</f>
        <v/>
      </c>
      <c r="W132" s="62">
        <f>IF($V132="Macro",COUNTIFS($U$5:$U$1000,ROW(),$V$5:$V$1000,"Sub"),"")</f>
        <v/>
      </c>
      <c r="X132" s="62">
        <f>IF($V132="","",IF(ISNUMBER($G132),1,IFERROR(LOOKUP(2,1/($I132:$L132&lt;&gt;""),$I132:$L132),0)))</f>
        <v/>
      </c>
      <c r="Y132" s="62">
        <f>IF($V132="","",IF(AND(ISNUMBER($G132),$G132&lt;=IF($S132=MesCiclo,InicioCiclo,$S132+MOD(2-WEEKDAY($S132),7))+6),1,IF(ISNUMBER($I132),$I132,0)))</f>
        <v/>
      </c>
      <c r="Z132" s="62">
        <f>IF($V132="","",IF(AND(ISNUMBER($G132),$G132&lt;=IF($S132=MesCiclo,InicioCiclo,$S132+MOD(2-WEEKDAY($S132),7))+13),1,IF(ISNUMBER($J132),$J132,$Y132)))</f>
        <v/>
      </c>
      <c r="AA132" s="62">
        <f>IF($V132="","",IF(AND(ISNUMBER($G132),$G132&lt;=IF($S132=MesCiclo,InicioCiclo,$S132+MOD(2-WEEKDAY($S132),7))+20),1,IF(ISNUMBER($K132),$K132,$Z132)))</f>
        <v/>
      </c>
      <c r="AB132" s="62">
        <f>IF($V132="","",IF(AND(ISNUMBER($G132),$G132&lt;=IF($S132=MesCiclo,InicioCiclo,$S132+MOD(2-WEEKDAY($S132),7))+27),1,IF(ISNUMBER($L132),$L132,$AA132)))</f>
        <v/>
      </c>
      <c r="AC132" s="62">
        <f>IF($V132="","",IF(AND(ISNUMBER($G132),$G132&lt;=IF($S132=MesCiclo,InicioCiclo,$S132+MOD(2-WEEKDAY($S132),7))+6),1,IF(N($W132)&gt;0,AVERAGEIFS($Y$5:$Y$1000,$U$5:$U$1000,ROW(),$V$5:$V$1000,"Sub"),$Y132)))</f>
        <v/>
      </c>
      <c r="AD132" s="62">
        <f>IF($V132="","",IF(AND(ISNUMBER($G132),$G132&lt;=IF($S132=MesCiclo,InicioCiclo,$S132+MOD(2-WEEKDAY($S132),7))+13),1,IF(N($W132)&gt;0,AVERAGEIFS($Z$5:$Z$1000,$U$5:$U$1000,ROW(),$V$5:$V$1000,"Sub"),$Z132)))</f>
        <v/>
      </c>
      <c r="AE132" s="62">
        <f>IF($V132="","",IF(AND(ISNUMBER($G132),$G132&lt;=IF($S132=MesCiclo,InicioCiclo,$S132+MOD(2-WEEKDAY($S132),7))+20),1,IF(N($W132)&gt;0,AVERAGEIFS($AA$5:$AA$1000,$U$5:$U$1000,ROW(),$V$5:$V$1000,"Sub"),$AA132)))</f>
        <v/>
      </c>
      <c r="AF132" s="62">
        <f>IF($V132="","",IF(AND(ISNUMBER($G132),$G132&lt;=IF($S132=MesCiclo,InicioCiclo,$S132+MOD(2-WEEKDAY($S132),7))+27),1,IF(N($W132)&gt;0,AVERAGEIFS($AB$5:$AB$1000,$U$5:$U$1000,ROW(),$V$5:$V$1000,"Sub"),$AB132)))</f>
        <v/>
      </c>
      <c r="AG132" s="62">
        <f>IF($V132&lt;&gt;"Macro","",IF(COUNTIFS($S$5:$S$1000,$S132,$V$5:$V$1000,"Macro",$H$5:$H$1000,"&gt;0")=0,1/COUNTIFS($S$5:$S$1000,$S132,$V$5:$V$1000,"Macro"),IF(AND(ISNUMBER($H132),N($H132)&gt;0),$H132,SUMIFS($H$5:$H$1000,$S$5:$S$1000,$S132,$V$5:$V$1000,"Macro")/COUNTIFS($S$5:$S$1000,$S132,$V$5:$V$1000,"Macro",$H$5:$H$1000,"&gt;0"))/(COUNTIFS($S$5:$S$1000,$S132,$V$5:$V$1000,"Macro")*SUMIFS($H$5:$H$1000,$S$5:$S$1000,$S132,$V$5:$V$1000,"Macro")/COUNTIFS($S$5:$S$1000,$S132,$V$5:$V$1000,"Macro",$H$5:$H$1000,"&gt;0"))))</f>
        <v/>
      </c>
      <c r="AH132" s="62" t="n"/>
      <c r="AI132" s="62" t="n"/>
      <c r="AJ132" s="62" t="n"/>
      <c r="AK132" s="62" t="n"/>
      <c r="AL132" s="62">
        <f>IF(LEFT($C132,11)="[Jefatura] ",IFERROR(MATCH("Riesgo Normativo|"&amp;MID($C132,12,500),rDname_ADM,0),0),"")</f>
        <v/>
      </c>
      <c r="AM132" s="62">
        <f>IF(N($AL132)&gt;0,INDEX(rIni_ADM,$AL132),IF(ISNUMBER($E132),$E132,""))</f>
        <v/>
      </c>
      <c r="AN132" s="62">
        <f>IF(N($AL132)&gt;0,INDEX(rLim_ADM,$AL132),IF(ISNUMBER($F132),$F132,""))</f>
        <v/>
      </c>
    </row>
    <row r="133">
      <c r="A133" s="56">
        <f>IF(NOT((COUNTA($B133:$D133)+COUNTA($G133:$L133)+COUNTA($Q133))&gt;0),"",IF($V133="Macro",COUNTIFS($V$5:$V133,"Macro",$S$5:$S133,$S133),IF(N($U133)=0,"?",COUNTIFS(INDEX($V$5:$V$1000,1):INDEX($V$5:$V$1000,$U133-4),"Macro",INDEX($S$5:$S$1000,1):INDEX($S$5:$S$1000,$U133-4),INDEX($S$5:$S$1000,$U133-4))&amp;"."&amp;COUNTIFS($U$5:$U133,$U133,$V$5:$V133,"Sub"))))</f>
        <v/>
      </c>
      <c r="B133" s="57" t="n"/>
      <c r="C133" s="58" t="n"/>
      <c r="D133" s="58" t="n"/>
      <c r="E133" s="59">
        <f>IF(N($AL133)&gt;0,INDEX(rIni_ADM,$AL133),"")</f>
        <v/>
      </c>
      <c r="F133" s="59">
        <f>IF(N($AL133)&gt;0,INDEX(rLim_ADM,$AL133),"")</f>
        <v/>
      </c>
      <c r="G133" s="59" t="n"/>
      <c r="H133" s="60" t="n"/>
      <c r="I133" s="60" t="n"/>
      <c r="J133" s="60" t="n"/>
      <c r="K133" s="60" t="n"/>
      <c r="L133" s="60" t="n"/>
      <c r="M133" s="61">
        <f>IF(NOT((COUNTA($B133:$D133)+COUNTA($G133:$L133)+COUNTA($Q133))&gt;0),"",IF($V133="Sub",IFERROR($X133/INDEX($W$5:$W$1000,$U133-4),""),IF(ISNUMBER($G133),1,IF(N($W133)&gt;0,AVERAGEIFS($X$5:$X$1000,$U$5:$U$1000,ROW(),$V$5:$V$1000,"Sub"),$X133))))</f>
        <v/>
      </c>
      <c r="N133" s="56">
        <f>IF(OR($M133="",$V133="Sub"),"",IF($M133&gt;=1,"Completado",IF($M133&gt;0,"En curso","Pendiente")))</f>
        <v/>
      </c>
      <c r="O133" s="56">
        <f>IF(OR(NOT((COUNTA($B133:$D133)+COUNTA($G133:$L133)+COUNTA($Q133))&gt;0),$V133="Sub"),"",IF(ISNUMBER($G133),IF(AND(ISNUMBER($AN133),$G133&gt;$AN133),"Cumplida con "&amp;($G133-$AN133)&amp;IF($G133-$AN133=1," día"," días")&amp;" de retraso","Cumplida"),IF(N($M133)&gt;=1,"Cumplida",IF(NOT(ISNUMBER($AN133)),"Sin fecha límite",IF($AN133&lt;FechaRef,"Vencida hace "&amp;(FechaRef-$AN133)&amp;IF(FechaRef-$AN133=1," día"," días"),IF($AN133=FechaRef,"Vence hoy",IF($AN133-FechaRef&lt;=DiasAlerta,"Vence en "&amp;($AN133-FechaRef)&amp;IF($AN133-FechaRef=1," día"," días"),"En plazo")))))))</f>
        <v/>
      </c>
      <c r="P133" s="62" t="n"/>
      <c r="Q133" s="58" t="n"/>
      <c r="R133" s="63">
        <f>IF(NOT((COUNTA($B133:$D133)+COUNTA($G133:$L133)+COUNTA($Q133))&gt;0),"",IF((IF($C133="","Falta el nombre de la actividad"&amp;" · ","")&amp;IF(AND($V133="Sub",N($U133)=0),"Subactividad sin macroactividad arriba"&amp;" · ","")&amp;IF($AM133="","Sin fecha de inicio"&amp;" · ","")&amp;IF($AN133="","Sin fecha límite"&amp;" · ","")&amp;IF(AND(LEFT($C133,11)="[Jefatura] ",N($AL133)=0),"No se encuentra en la hoja de la jefatura (elíjala de nuevo en la lista)"&amp;" · ","")&amp;IF(OR(AND($E133&lt;&gt;"",NOT(ISNUMBER($E133))),AND($F133&lt;&gt;"",NOT(ISNUMBER($F133))),AND($G133&lt;&gt;"",NOT(ISNUMBER($G133)))),"Fecha no válida"&amp;" · ","")&amp;IF(AND(ISNUMBER($AM133),ISNUMBER($AN133),$AM133&gt;$AN133),"Inicio posterior a fecha límite"&amp;" · ","")&amp;IF(AND($V133="Macro",$H133&lt;&gt;"",OR(NOT(ISNUMBER($H133)),$H133&lt;0,$H133&gt;1)),"Peso fuera de rango"&amp;" · ","")&amp;IF(AND($V133="Sub",$H133&lt;&gt;""),"Las subactividades no llevan peso (valen igual dentro de su macroactividad)"&amp;" · ","")&amp;IF(AND(N($W133)&gt;0,COUNT($I133:$L133)&gt;0),"Con subactividades: deje vacías las semanas (se calculan solas)"&amp;" · ","")&amp;IF((COUNTIF($I133:$L133,"&gt;1")+COUNTIF($I133:$L133,"&lt;0")+COUNTA($I133:$L133)-COUNT($I133:$L133))&gt;0,"Avance fuera de rango 0-100%"&amp;" · ","")&amp;IF(OR(AND($J133&lt;&gt;"",$J133&lt;$I133),AND($K133&lt;&gt;"",$K133&lt;MAX($I133:$J133)),AND($L133&lt;&gt;"",$L133&lt;MAX($I133:$K133))),"Avance semanal decreciente"&amp;" · ","")&amp;IF(AND(ISNUMBER($AN133),$AN133&lt;FechaRef,IF($V133="Sub",N($X133),N($M133))&lt;1),"Vencida"&amp;" · ","")&amp;IF(AND(ObsObligatoria="Sí",ISNUMBER($AN133),$AN133&lt;FechaRef,IF($V133="Sub",N($X133),N($M133))&lt;1,$Q133=""),"Vencida sin observación"&amp;" · ",""))="","✔ OK","⚠ "&amp;LEFT(IF($C133="","Falta el nombre de la actividad"&amp;" · ","")&amp;IF(AND($V133="Sub",N($U133)=0),"Subactividad sin macroactividad arriba"&amp;" · ","")&amp;IF($AM133="","Sin fecha de inicio"&amp;" · ","")&amp;IF($AN133="","Sin fecha límite"&amp;" · ","")&amp;IF(AND(LEFT($C133,11)="[Jefatura] ",N($AL133)=0),"No se encuentra en la hoja de la jefatura (elíjala de nuevo en la lista)"&amp;" · ","")&amp;IF(OR(AND($E133&lt;&gt;"",NOT(ISNUMBER($E133))),AND($F133&lt;&gt;"",NOT(ISNUMBER($F133))),AND($G133&lt;&gt;"",NOT(ISNUMBER($G133)))),"Fecha no válida"&amp;" · ","")&amp;IF(AND(ISNUMBER($AM133),ISNUMBER($AN133),$AM133&gt;$AN133),"Inicio posterior a fecha límite"&amp;" · ","")&amp;IF(AND($V133="Macro",$H133&lt;&gt;"",OR(NOT(ISNUMBER($H133)),$H133&lt;0,$H133&gt;1)),"Peso fuera de rango"&amp;" · ","")&amp;IF(AND($V133="Sub",$H133&lt;&gt;""),"Las subactividades no llevan peso (valen igual dentro de su macroactividad)"&amp;" · ","")&amp;IF(AND(N($W133)&gt;0,COUNT($I133:$L133)&gt;0),"Con subactividades: deje vacías las semanas (se calculan solas)"&amp;" · ","")&amp;IF((COUNTIF($I133:$L133,"&gt;1")+COUNTIF($I133:$L133,"&lt;0")+COUNTA($I133:$L133)-COUNT($I133:$L133))&gt;0,"Avance fuera de rango 0-100%"&amp;" · ","")&amp;IF(OR(AND($J133&lt;&gt;"",$J133&lt;$I133),AND($K133&lt;&gt;"",$K133&lt;MAX($I133:$J133)),AND($L133&lt;&gt;"",$L133&lt;MAX($I133:$K133))),"Avance semanal decreciente"&amp;" · ","")&amp;IF(AND(ISNUMBER($AN133),$AN133&lt;FechaRef,IF($V133="Sub",N($X133),N($M133))&lt;1),"Vencida"&amp;" · ","")&amp;IF(AND(ObsObligatoria="Sí",ISNUMBER($AN133),$AN133&lt;FechaRef,IF($V133="Sub",N($X133),N($M133))&lt;1,$Q133=""),"Vencida sin observación"&amp;" · ",""),LEN(IF($C133="","Falta el nombre de la actividad"&amp;" · ","")&amp;IF(AND($V133="Sub",N($U133)=0),"Subactividad sin macroactividad arriba"&amp;" · ","")&amp;IF($AM133="","Sin fecha de inicio"&amp;" · ","")&amp;IF($AN133="","Sin fecha límite"&amp;" · ","")&amp;IF(AND(LEFT($C133,11)="[Jefatura] ",N($AL133)=0),"No se encuentra en la hoja de la jefatura (elíjala de nuevo en la lista)"&amp;" · ","")&amp;IF(OR(AND($E133&lt;&gt;"",NOT(ISNUMBER($E133))),AND($F133&lt;&gt;"",NOT(ISNUMBER($F133))),AND($G133&lt;&gt;"",NOT(ISNUMBER($G133)))),"Fecha no válida"&amp;" · ","")&amp;IF(AND(ISNUMBER($AM133),ISNUMBER($AN133),$AM133&gt;$AN133),"Inicio posterior a fecha límite"&amp;" · ","")&amp;IF(AND($V133="Macro",$H133&lt;&gt;"",OR(NOT(ISNUMBER($H133)),$H133&lt;0,$H133&gt;1)),"Peso fuera de rango"&amp;" · ","")&amp;IF(AND($V133="Sub",$H133&lt;&gt;""),"Las subactividades no llevan peso (valen igual dentro de su macroactividad)"&amp;" · ","")&amp;IF(AND(N($W133)&gt;0,COUNT($I133:$L133)&gt;0),"Con subactividades: deje vacías las semanas (se calculan solas)"&amp;" · ","")&amp;IF((COUNTIF($I133:$L133,"&gt;1")+COUNTIF($I133:$L133,"&lt;0")+COUNTA($I133:$L133)-COUNT($I133:$L133))&gt;0,"Avance fuera de rango 0-100%"&amp;" · ","")&amp;IF(OR(AND($J133&lt;&gt;"",$J133&lt;$I133),AND($K133&lt;&gt;"",$K133&lt;MAX($I133:$J133)),AND($L133&lt;&gt;"",$L133&lt;MAX($I133:$K133))),"Avance semanal decreciente"&amp;" · ","")&amp;IF(AND(ISNUMBER($AN133),$AN133&lt;FechaRef,IF($V133="Sub",N($X133),N($M133))&lt;1),"Vencida"&amp;" · ","")&amp;IF(AND(ObsObligatoria="Sí",ISNUMBER($AN133),$AN133&lt;FechaRef,IF($V133="Sub",N($X133),N($M133))&lt;1,$Q133=""),"Vencida sin observación"&amp;" · ",""))-3)))</f>
        <v/>
      </c>
      <c r="S133" s="64">
        <f>IF(NOT((COUNTA($B133:$D133)+COUNTA($G133:$L133)+COUNTA($Q133))&gt;0),"",IF(AND($V133="Sub",N($U133)&gt;0),IF(ISNUMBER(INDEX($AM$5:$AM$1000,$U133-4)),DATE(YEAR(INDEX($AM$5:$AM$1000,$U133-4)),MONTH(INDEX($AM$5:$AM$1000,$U133-4)),1),IF(ISNUMBER(INDEX($AN$5:$AN$1000,$U133-4)),DATE(YEAR(INDEX($AN$5:$AN$1000,$U133-4)),MONTH(INDEX($AN$5:$AN$1000,$U133-4)),1),MesCiclo)),IF(ISNUMBER($AM133),DATE(YEAR($AM133),MONTH($AM133),1),IF(ISNUMBER($AN133),DATE(YEAR($AN133),MONTH($AN133),1),MesCiclo))))</f>
        <v/>
      </c>
      <c r="T133" s="62">
        <f>IF(OR($S133="",$S133&lt;&gt;MesCiclo,$V133&lt;&gt;"Macro"),"",COUNTIFS($S$5:$S133,MesCiclo,$V$5:$V133,"Macro"))</f>
        <v/>
      </c>
      <c r="U133" s="62">
        <f>IF($V133="","",IF($V133="Macro",ROW(),IFERROR(LOOKUP(2,1/($V$5:$V133="Macro"),ROW($V$5:$V133)),0)))</f>
        <v/>
      </c>
      <c r="V133" s="62">
        <f>IF(NOT((COUNTA($B133:$D133)+COUNTA($G133:$L133)+COUNTA($Q133))&gt;0),"",IF($B133="Subactividad","Sub","Macro"))</f>
        <v/>
      </c>
      <c r="W133" s="62">
        <f>IF($V133="Macro",COUNTIFS($U$5:$U$1000,ROW(),$V$5:$V$1000,"Sub"),"")</f>
        <v/>
      </c>
      <c r="X133" s="62">
        <f>IF($V133="","",IF(ISNUMBER($G133),1,IFERROR(LOOKUP(2,1/($I133:$L133&lt;&gt;""),$I133:$L133),0)))</f>
        <v/>
      </c>
      <c r="Y133" s="62">
        <f>IF($V133="","",IF(AND(ISNUMBER($G133),$G133&lt;=IF($S133=MesCiclo,InicioCiclo,$S133+MOD(2-WEEKDAY($S133),7))+6),1,IF(ISNUMBER($I133),$I133,0)))</f>
        <v/>
      </c>
      <c r="Z133" s="62">
        <f>IF($V133="","",IF(AND(ISNUMBER($G133),$G133&lt;=IF($S133=MesCiclo,InicioCiclo,$S133+MOD(2-WEEKDAY($S133),7))+13),1,IF(ISNUMBER($J133),$J133,$Y133)))</f>
        <v/>
      </c>
      <c r="AA133" s="62">
        <f>IF($V133="","",IF(AND(ISNUMBER($G133),$G133&lt;=IF($S133=MesCiclo,InicioCiclo,$S133+MOD(2-WEEKDAY($S133),7))+20),1,IF(ISNUMBER($K133),$K133,$Z133)))</f>
        <v/>
      </c>
      <c r="AB133" s="62">
        <f>IF($V133="","",IF(AND(ISNUMBER($G133),$G133&lt;=IF($S133=MesCiclo,InicioCiclo,$S133+MOD(2-WEEKDAY($S133),7))+27),1,IF(ISNUMBER($L133),$L133,$AA133)))</f>
        <v/>
      </c>
      <c r="AC133" s="62">
        <f>IF($V133="","",IF(AND(ISNUMBER($G133),$G133&lt;=IF($S133=MesCiclo,InicioCiclo,$S133+MOD(2-WEEKDAY($S133),7))+6),1,IF(N($W133)&gt;0,AVERAGEIFS($Y$5:$Y$1000,$U$5:$U$1000,ROW(),$V$5:$V$1000,"Sub"),$Y133)))</f>
        <v/>
      </c>
      <c r="AD133" s="62">
        <f>IF($V133="","",IF(AND(ISNUMBER($G133),$G133&lt;=IF($S133=MesCiclo,InicioCiclo,$S133+MOD(2-WEEKDAY($S133),7))+13),1,IF(N($W133)&gt;0,AVERAGEIFS($Z$5:$Z$1000,$U$5:$U$1000,ROW(),$V$5:$V$1000,"Sub"),$Z133)))</f>
        <v/>
      </c>
      <c r="AE133" s="62">
        <f>IF($V133="","",IF(AND(ISNUMBER($G133),$G133&lt;=IF($S133=MesCiclo,InicioCiclo,$S133+MOD(2-WEEKDAY($S133),7))+20),1,IF(N($W133)&gt;0,AVERAGEIFS($AA$5:$AA$1000,$U$5:$U$1000,ROW(),$V$5:$V$1000,"Sub"),$AA133)))</f>
        <v/>
      </c>
      <c r="AF133" s="62">
        <f>IF($V133="","",IF(AND(ISNUMBER($G133),$G133&lt;=IF($S133=MesCiclo,InicioCiclo,$S133+MOD(2-WEEKDAY($S133),7))+27),1,IF(N($W133)&gt;0,AVERAGEIFS($AB$5:$AB$1000,$U$5:$U$1000,ROW(),$V$5:$V$1000,"Sub"),$AB133)))</f>
        <v/>
      </c>
      <c r="AG133" s="62">
        <f>IF($V133&lt;&gt;"Macro","",IF(COUNTIFS($S$5:$S$1000,$S133,$V$5:$V$1000,"Macro",$H$5:$H$1000,"&gt;0")=0,1/COUNTIFS($S$5:$S$1000,$S133,$V$5:$V$1000,"Macro"),IF(AND(ISNUMBER($H133),N($H133)&gt;0),$H133,SUMIFS($H$5:$H$1000,$S$5:$S$1000,$S133,$V$5:$V$1000,"Macro")/COUNTIFS($S$5:$S$1000,$S133,$V$5:$V$1000,"Macro",$H$5:$H$1000,"&gt;0"))/(COUNTIFS($S$5:$S$1000,$S133,$V$5:$V$1000,"Macro")*SUMIFS($H$5:$H$1000,$S$5:$S$1000,$S133,$V$5:$V$1000,"Macro")/COUNTIFS($S$5:$S$1000,$S133,$V$5:$V$1000,"Macro",$H$5:$H$1000,"&gt;0"))))</f>
        <v/>
      </c>
      <c r="AH133" s="62" t="n"/>
      <c r="AI133" s="62" t="n"/>
      <c r="AJ133" s="62" t="n"/>
      <c r="AK133" s="62" t="n"/>
      <c r="AL133" s="62">
        <f>IF(LEFT($C133,11)="[Jefatura] ",IFERROR(MATCH("Riesgo Normativo|"&amp;MID($C133,12,500),rDname_ADM,0),0),"")</f>
        <v/>
      </c>
      <c r="AM133" s="62">
        <f>IF(N($AL133)&gt;0,INDEX(rIni_ADM,$AL133),IF(ISNUMBER($E133),$E133,""))</f>
        <v/>
      </c>
      <c r="AN133" s="62">
        <f>IF(N($AL133)&gt;0,INDEX(rLim_ADM,$AL133),IF(ISNUMBER($F133),$F133,""))</f>
        <v/>
      </c>
    </row>
    <row r="134">
      <c r="A134" s="56">
        <f>IF(NOT((COUNTA($B134:$D134)+COUNTA($G134:$L134)+COUNTA($Q134))&gt;0),"",IF($V134="Macro",COUNTIFS($V$5:$V134,"Macro",$S$5:$S134,$S134),IF(N($U134)=0,"?",COUNTIFS(INDEX($V$5:$V$1000,1):INDEX($V$5:$V$1000,$U134-4),"Macro",INDEX($S$5:$S$1000,1):INDEX($S$5:$S$1000,$U134-4),INDEX($S$5:$S$1000,$U134-4))&amp;"."&amp;COUNTIFS($U$5:$U134,$U134,$V$5:$V134,"Sub"))))</f>
        <v/>
      </c>
      <c r="B134" s="57" t="n"/>
      <c r="C134" s="58" t="n"/>
      <c r="D134" s="58" t="n"/>
      <c r="E134" s="59">
        <f>IF(N($AL134)&gt;0,INDEX(rIni_ADM,$AL134),"")</f>
        <v/>
      </c>
      <c r="F134" s="59">
        <f>IF(N($AL134)&gt;0,INDEX(rLim_ADM,$AL134),"")</f>
        <v/>
      </c>
      <c r="G134" s="59" t="n"/>
      <c r="H134" s="60" t="n"/>
      <c r="I134" s="60" t="n"/>
      <c r="J134" s="60" t="n"/>
      <c r="K134" s="60" t="n"/>
      <c r="L134" s="60" t="n"/>
      <c r="M134" s="61">
        <f>IF(NOT((COUNTA($B134:$D134)+COUNTA($G134:$L134)+COUNTA($Q134))&gt;0),"",IF($V134="Sub",IFERROR($X134/INDEX($W$5:$W$1000,$U134-4),""),IF(ISNUMBER($G134),1,IF(N($W134)&gt;0,AVERAGEIFS($X$5:$X$1000,$U$5:$U$1000,ROW(),$V$5:$V$1000,"Sub"),$X134))))</f>
        <v/>
      </c>
      <c r="N134" s="56">
        <f>IF(OR($M134="",$V134="Sub"),"",IF($M134&gt;=1,"Completado",IF($M134&gt;0,"En curso","Pendiente")))</f>
        <v/>
      </c>
      <c r="O134" s="56">
        <f>IF(OR(NOT((COUNTA($B134:$D134)+COUNTA($G134:$L134)+COUNTA($Q134))&gt;0),$V134="Sub"),"",IF(ISNUMBER($G134),IF(AND(ISNUMBER($AN134),$G134&gt;$AN134),"Cumplida con "&amp;($G134-$AN134)&amp;IF($G134-$AN134=1," día"," días")&amp;" de retraso","Cumplida"),IF(N($M134)&gt;=1,"Cumplida",IF(NOT(ISNUMBER($AN134)),"Sin fecha límite",IF($AN134&lt;FechaRef,"Vencida hace "&amp;(FechaRef-$AN134)&amp;IF(FechaRef-$AN134=1," día"," días"),IF($AN134=FechaRef,"Vence hoy",IF($AN134-FechaRef&lt;=DiasAlerta,"Vence en "&amp;($AN134-FechaRef)&amp;IF($AN134-FechaRef=1," día"," días"),"En plazo")))))))</f>
        <v/>
      </c>
      <c r="P134" s="62" t="n"/>
      <c r="Q134" s="58" t="n"/>
      <c r="R134" s="63">
        <f>IF(NOT((COUNTA($B134:$D134)+COUNTA($G134:$L134)+COUNTA($Q134))&gt;0),"",IF((IF($C134="","Falta el nombre de la actividad"&amp;" · ","")&amp;IF(AND($V134="Sub",N($U134)=0),"Subactividad sin macroactividad arriba"&amp;" · ","")&amp;IF($AM134="","Sin fecha de inicio"&amp;" · ","")&amp;IF($AN134="","Sin fecha límite"&amp;" · ","")&amp;IF(AND(LEFT($C134,11)="[Jefatura] ",N($AL134)=0),"No se encuentra en la hoja de la jefatura (elíjala de nuevo en la lista)"&amp;" · ","")&amp;IF(OR(AND($E134&lt;&gt;"",NOT(ISNUMBER($E134))),AND($F134&lt;&gt;"",NOT(ISNUMBER($F134))),AND($G134&lt;&gt;"",NOT(ISNUMBER($G134)))),"Fecha no válida"&amp;" · ","")&amp;IF(AND(ISNUMBER($AM134),ISNUMBER($AN134),$AM134&gt;$AN134),"Inicio posterior a fecha límite"&amp;" · ","")&amp;IF(AND($V134="Macro",$H134&lt;&gt;"",OR(NOT(ISNUMBER($H134)),$H134&lt;0,$H134&gt;1)),"Peso fuera de rango"&amp;" · ","")&amp;IF(AND($V134="Sub",$H134&lt;&gt;""),"Las subactividades no llevan peso (valen igual dentro de su macroactividad)"&amp;" · ","")&amp;IF(AND(N($W134)&gt;0,COUNT($I134:$L134)&gt;0),"Con subactividades: deje vacías las semanas (se calculan solas)"&amp;" · ","")&amp;IF((COUNTIF($I134:$L134,"&gt;1")+COUNTIF($I134:$L134,"&lt;0")+COUNTA($I134:$L134)-COUNT($I134:$L134))&gt;0,"Avance fuera de rango 0-100%"&amp;" · ","")&amp;IF(OR(AND($J134&lt;&gt;"",$J134&lt;$I134),AND($K134&lt;&gt;"",$K134&lt;MAX($I134:$J134)),AND($L134&lt;&gt;"",$L134&lt;MAX($I134:$K134))),"Avance semanal decreciente"&amp;" · ","")&amp;IF(AND(ISNUMBER($AN134),$AN134&lt;FechaRef,IF($V134="Sub",N($X134),N($M134))&lt;1),"Vencida"&amp;" · ","")&amp;IF(AND(ObsObligatoria="Sí",ISNUMBER($AN134),$AN134&lt;FechaRef,IF($V134="Sub",N($X134),N($M134))&lt;1,$Q134=""),"Vencida sin observación"&amp;" · ",""))="","✔ OK","⚠ "&amp;LEFT(IF($C134="","Falta el nombre de la actividad"&amp;" · ","")&amp;IF(AND($V134="Sub",N($U134)=0),"Subactividad sin macroactividad arriba"&amp;" · ","")&amp;IF($AM134="","Sin fecha de inicio"&amp;" · ","")&amp;IF($AN134="","Sin fecha límite"&amp;" · ","")&amp;IF(AND(LEFT($C134,11)="[Jefatura] ",N($AL134)=0),"No se encuentra en la hoja de la jefatura (elíjala de nuevo en la lista)"&amp;" · ","")&amp;IF(OR(AND($E134&lt;&gt;"",NOT(ISNUMBER($E134))),AND($F134&lt;&gt;"",NOT(ISNUMBER($F134))),AND($G134&lt;&gt;"",NOT(ISNUMBER($G134)))),"Fecha no válida"&amp;" · ","")&amp;IF(AND(ISNUMBER($AM134),ISNUMBER($AN134),$AM134&gt;$AN134),"Inicio posterior a fecha límite"&amp;" · ","")&amp;IF(AND($V134="Macro",$H134&lt;&gt;"",OR(NOT(ISNUMBER($H134)),$H134&lt;0,$H134&gt;1)),"Peso fuera de rango"&amp;" · ","")&amp;IF(AND($V134="Sub",$H134&lt;&gt;""),"Las subactividades no llevan peso (valen igual dentro de su macroactividad)"&amp;" · ","")&amp;IF(AND(N($W134)&gt;0,COUNT($I134:$L134)&gt;0),"Con subactividades: deje vacías las semanas (se calculan solas)"&amp;" · ","")&amp;IF((COUNTIF($I134:$L134,"&gt;1")+COUNTIF($I134:$L134,"&lt;0")+COUNTA($I134:$L134)-COUNT($I134:$L134))&gt;0,"Avance fuera de rango 0-100%"&amp;" · ","")&amp;IF(OR(AND($J134&lt;&gt;"",$J134&lt;$I134),AND($K134&lt;&gt;"",$K134&lt;MAX($I134:$J134)),AND($L134&lt;&gt;"",$L134&lt;MAX($I134:$K134))),"Avance semanal decreciente"&amp;" · ","")&amp;IF(AND(ISNUMBER($AN134),$AN134&lt;FechaRef,IF($V134="Sub",N($X134),N($M134))&lt;1),"Vencida"&amp;" · ","")&amp;IF(AND(ObsObligatoria="Sí",ISNUMBER($AN134),$AN134&lt;FechaRef,IF($V134="Sub",N($X134),N($M134))&lt;1,$Q134=""),"Vencida sin observación"&amp;" · ",""),LEN(IF($C134="","Falta el nombre de la actividad"&amp;" · ","")&amp;IF(AND($V134="Sub",N($U134)=0),"Subactividad sin macroactividad arriba"&amp;" · ","")&amp;IF($AM134="","Sin fecha de inicio"&amp;" · ","")&amp;IF($AN134="","Sin fecha límite"&amp;" · ","")&amp;IF(AND(LEFT($C134,11)="[Jefatura] ",N($AL134)=0),"No se encuentra en la hoja de la jefatura (elíjala de nuevo en la lista)"&amp;" · ","")&amp;IF(OR(AND($E134&lt;&gt;"",NOT(ISNUMBER($E134))),AND($F134&lt;&gt;"",NOT(ISNUMBER($F134))),AND($G134&lt;&gt;"",NOT(ISNUMBER($G134)))),"Fecha no válida"&amp;" · ","")&amp;IF(AND(ISNUMBER($AM134),ISNUMBER($AN134),$AM134&gt;$AN134),"Inicio posterior a fecha límite"&amp;" · ","")&amp;IF(AND($V134="Macro",$H134&lt;&gt;"",OR(NOT(ISNUMBER($H134)),$H134&lt;0,$H134&gt;1)),"Peso fuera de rango"&amp;" · ","")&amp;IF(AND($V134="Sub",$H134&lt;&gt;""),"Las subactividades no llevan peso (valen igual dentro de su macroactividad)"&amp;" · ","")&amp;IF(AND(N($W134)&gt;0,COUNT($I134:$L134)&gt;0),"Con subactividades: deje vacías las semanas (se calculan solas)"&amp;" · ","")&amp;IF((COUNTIF($I134:$L134,"&gt;1")+COUNTIF($I134:$L134,"&lt;0")+COUNTA($I134:$L134)-COUNT($I134:$L134))&gt;0,"Avance fuera de rango 0-100%"&amp;" · ","")&amp;IF(OR(AND($J134&lt;&gt;"",$J134&lt;$I134),AND($K134&lt;&gt;"",$K134&lt;MAX($I134:$J134)),AND($L134&lt;&gt;"",$L134&lt;MAX($I134:$K134))),"Avance semanal decreciente"&amp;" · ","")&amp;IF(AND(ISNUMBER($AN134),$AN134&lt;FechaRef,IF($V134="Sub",N($X134),N($M134))&lt;1),"Vencida"&amp;" · ","")&amp;IF(AND(ObsObligatoria="Sí",ISNUMBER($AN134),$AN134&lt;FechaRef,IF($V134="Sub",N($X134),N($M134))&lt;1,$Q134=""),"Vencida sin observación"&amp;" · ",""))-3)))</f>
        <v/>
      </c>
      <c r="S134" s="64">
        <f>IF(NOT((COUNTA($B134:$D134)+COUNTA($G134:$L134)+COUNTA($Q134))&gt;0),"",IF(AND($V134="Sub",N($U134)&gt;0),IF(ISNUMBER(INDEX($AM$5:$AM$1000,$U134-4)),DATE(YEAR(INDEX($AM$5:$AM$1000,$U134-4)),MONTH(INDEX($AM$5:$AM$1000,$U134-4)),1),IF(ISNUMBER(INDEX($AN$5:$AN$1000,$U134-4)),DATE(YEAR(INDEX($AN$5:$AN$1000,$U134-4)),MONTH(INDEX($AN$5:$AN$1000,$U134-4)),1),MesCiclo)),IF(ISNUMBER($AM134),DATE(YEAR($AM134),MONTH($AM134),1),IF(ISNUMBER($AN134),DATE(YEAR($AN134),MONTH($AN134),1),MesCiclo))))</f>
        <v/>
      </c>
      <c r="T134" s="62">
        <f>IF(OR($S134="",$S134&lt;&gt;MesCiclo,$V134&lt;&gt;"Macro"),"",COUNTIFS($S$5:$S134,MesCiclo,$V$5:$V134,"Macro"))</f>
        <v/>
      </c>
      <c r="U134" s="62">
        <f>IF($V134="","",IF($V134="Macro",ROW(),IFERROR(LOOKUP(2,1/($V$5:$V134="Macro"),ROW($V$5:$V134)),0)))</f>
        <v/>
      </c>
      <c r="V134" s="62">
        <f>IF(NOT((COUNTA($B134:$D134)+COUNTA($G134:$L134)+COUNTA($Q134))&gt;0),"",IF($B134="Subactividad","Sub","Macro"))</f>
        <v/>
      </c>
      <c r="W134" s="62">
        <f>IF($V134="Macro",COUNTIFS($U$5:$U$1000,ROW(),$V$5:$V$1000,"Sub"),"")</f>
        <v/>
      </c>
      <c r="X134" s="62">
        <f>IF($V134="","",IF(ISNUMBER($G134),1,IFERROR(LOOKUP(2,1/($I134:$L134&lt;&gt;""),$I134:$L134),0)))</f>
        <v/>
      </c>
      <c r="Y134" s="62">
        <f>IF($V134="","",IF(AND(ISNUMBER($G134),$G134&lt;=IF($S134=MesCiclo,InicioCiclo,$S134+MOD(2-WEEKDAY($S134),7))+6),1,IF(ISNUMBER($I134),$I134,0)))</f>
        <v/>
      </c>
      <c r="Z134" s="62">
        <f>IF($V134="","",IF(AND(ISNUMBER($G134),$G134&lt;=IF($S134=MesCiclo,InicioCiclo,$S134+MOD(2-WEEKDAY($S134),7))+13),1,IF(ISNUMBER($J134),$J134,$Y134)))</f>
        <v/>
      </c>
      <c r="AA134" s="62">
        <f>IF($V134="","",IF(AND(ISNUMBER($G134),$G134&lt;=IF($S134=MesCiclo,InicioCiclo,$S134+MOD(2-WEEKDAY($S134),7))+20),1,IF(ISNUMBER($K134),$K134,$Z134)))</f>
        <v/>
      </c>
      <c r="AB134" s="62">
        <f>IF($V134="","",IF(AND(ISNUMBER($G134),$G134&lt;=IF($S134=MesCiclo,InicioCiclo,$S134+MOD(2-WEEKDAY($S134),7))+27),1,IF(ISNUMBER($L134),$L134,$AA134)))</f>
        <v/>
      </c>
      <c r="AC134" s="62">
        <f>IF($V134="","",IF(AND(ISNUMBER($G134),$G134&lt;=IF($S134=MesCiclo,InicioCiclo,$S134+MOD(2-WEEKDAY($S134),7))+6),1,IF(N($W134)&gt;0,AVERAGEIFS($Y$5:$Y$1000,$U$5:$U$1000,ROW(),$V$5:$V$1000,"Sub"),$Y134)))</f>
        <v/>
      </c>
      <c r="AD134" s="62">
        <f>IF($V134="","",IF(AND(ISNUMBER($G134),$G134&lt;=IF($S134=MesCiclo,InicioCiclo,$S134+MOD(2-WEEKDAY($S134),7))+13),1,IF(N($W134)&gt;0,AVERAGEIFS($Z$5:$Z$1000,$U$5:$U$1000,ROW(),$V$5:$V$1000,"Sub"),$Z134)))</f>
        <v/>
      </c>
      <c r="AE134" s="62">
        <f>IF($V134="","",IF(AND(ISNUMBER($G134),$G134&lt;=IF($S134=MesCiclo,InicioCiclo,$S134+MOD(2-WEEKDAY($S134),7))+20),1,IF(N($W134)&gt;0,AVERAGEIFS($AA$5:$AA$1000,$U$5:$U$1000,ROW(),$V$5:$V$1000,"Sub"),$AA134)))</f>
        <v/>
      </c>
      <c r="AF134" s="62">
        <f>IF($V134="","",IF(AND(ISNUMBER($G134),$G134&lt;=IF($S134=MesCiclo,InicioCiclo,$S134+MOD(2-WEEKDAY($S134),7))+27),1,IF(N($W134)&gt;0,AVERAGEIFS($AB$5:$AB$1000,$U$5:$U$1000,ROW(),$V$5:$V$1000,"Sub"),$AB134)))</f>
        <v/>
      </c>
      <c r="AG134" s="62">
        <f>IF($V134&lt;&gt;"Macro","",IF(COUNTIFS($S$5:$S$1000,$S134,$V$5:$V$1000,"Macro",$H$5:$H$1000,"&gt;0")=0,1/COUNTIFS($S$5:$S$1000,$S134,$V$5:$V$1000,"Macro"),IF(AND(ISNUMBER($H134),N($H134)&gt;0),$H134,SUMIFS($H$5:$H$1000,$S$5:$S$1000,$S134,$V$5:$V$1000,"Macro")/COUNTIFS($S$5:$S$1000,$S134,$V$5:$V$1000,"Macro",$H$5:$H$1000,"&gt;0"))/(COUNTIFS($S$5:$S$1000,$S134,$V$5:$V$1000,"Macro")*SUMIFS($H$5:$H$1000,$S$5:$S$1000,$S134,$V$5:$V$1000,"Macro")/COUNTIFS($S$5:$S$1000,$S134,$V$5:$V$1000,"Macro",$H$5:$H$1000,"&gt;0"))))</f>
        <v/>
      </c>
      <c r="AH134" s="62" t="n"/>
      <c r="AI134" s="62" t="n"/>
      <c r="AJ134" s="62" t="n"/>
      <c r="AK134" s="62" t="n"/>
      <c r="AL134" s="62">
        <f>IF(LEFT($C134,11)="[Jefatura] ",IFERROR(MATCH("Riesgo Normativo|"&amp;MID($C134,12,500),rDname_ADM,0),0),"")</f>
        <v/>
      </c>
      <c r="AM134" s="62">
        <f>IF(N($AL134)&gt;0,INDEX(rIni_ADM,$AL134),IF(ISNUMBER($E134),$E134,""))</f>
        <v/>
      </c>
      <c r="AN134" s="62">
        <f>IF(N($AL134)&gt;0,INDEX(rLim_ADM,$AL134),IF(ISNUMBER($F134),$F134,""))</f>
        <v/>
      </c>
    </row>
    <row r="135">
      <c r="A135" s="56">
        <f>IF(NOT((COUNTA($B135:$D135)+COUNTA($G135:$L135)+COUNTA($Q135))&gt;0),"",IF($V135="Macro",COUNTIFS($V$5:$V135,"Macro",$S$5:$S135,$S135),IF(N($U135)=0,"?",COUNTIFS(INDEX($V$5:$V$1000,1):INDEX($V$5:$V$1000,$U135-4),"Macro",INDEX($S$5:$S$1000,1):INDEX($S$5:$S$1000,$U135-4),INDEX($S$5:$S$1000,$U135-4))&amp;"."&amp;COUNTIFS($U$5:$U135,$U135,$V$5:$V135,"Sub"))))</f>
        <v/>
      </c>
      <c r="B135" s="57" t="n"/>
      <c r="C135" s="58" t="n"/>
      <c r="D135" s="58" t="n"/>
      <c r="E135" s="59">
        <f>IF(N($AL135)&gt;0,INDEX(rIni_ADM,$AL135),"")</f>
        <v/>
      </c>
      <c r="F135" s="59">
        <f>IF(N($AL135)&gt;0,INDEX(rLim_ADM,$AL135),"")</f>
        <v/>
      </c>
      <c r="G135" s="59" t="n"/>
      <c r="H135" s="60" t="n"/>
      <c r="I135" s="60" t="n"/>
      <c r="J135" s="60" t="n"/>
      <c r="K135" s="60" t="n"/>
      <c r="L135" s="60" t="n"/>
      <c r="M135" s="61">
        <f>IF(NOT((COUNTA($B135:$D135)+COUNTA($G135:$L135)+COUNTA($Q135))&gt;0),"",IF($V135="Sub",IFERROR($X135/INDEX($W$5:$W$1000,$U135-4),""),IF(ISNUMBER($G135),1,IF(N($W135)&gt;0,AVERAGEIFS($X$5:$X$1000,$U$5:$U$1000,ROW(),$V$5:$V$1000,"Sub"),$X135))))</f>
        <v/>
      </c>
      <c r="N135" s="56">
        <f>IF(OR($M135="",$V135="Sub"),"",IF($M135&gt;=1,"Completado",IF($M135&gt;0,"En curso","Pendiente")))</f>
        <v/>
      </c>
      <c r="O135" s="56">
        <f>IF(OR(NOT((COUNTA($B135:$D135)+COUNTA($G135:$L135)+COUNTA($Q135))&gt;0),$V135="Sub"),"",IF(ISNUMBER($G135),IF(AND(ISNUMBER($AN135),$G135&gt;$AN135),"Cumplida con "&amp;($G135-$AN135)&amp;IF($G135-$AN135=1," día"," días")&amp;" de retraso","Cumplida"),IF(N($M135)&gt;=1,"Cumplida",IF(NOT(ISNUMBER($AN135)),"Sin fecha límite",IF($AN135&lt;FechaRef,"Vencida hace "&amp;(FechaRef-$AN135)&amp;IF(FechaRef-$AN135=1," día"," días"),IF($AN135=FechaRef,"Vence hoy",IF($AN135-FechaRef&lt;=DiasAlerta,"Vence en "&amp;($AN135-FechaRef)&amp;IF($AN135-FechaRef=1," día"," días"),"En plazo")))))))</f>
        <v/>
      </c>
      <c r="P135" s="62" t="n"/>
      <c r="Q135" s="58" t="n"/>
      <c r="R135" s="63">
        <f>IF(NOT((COUNTA($B135:$D135)+COUNTA($G135:$L135)+COUNTA($Q135))&gt;0),"",IF((IF($C135="","Falta el nombre de la actividad"&amp;" · ","")&amp;IF(AND($V135="Sub",N($U135)=0),"Subactividad sin macroactividad arriba"&amp;" · ","")&amp;IF($AM135="","Sin fecha de inicio"&amp;" · ","")&amp;IF($AN135="","Sin fecha límite"&amp;" · ","")&amp;IF(AND(LEFT($C135,11)="[Jefatura] ",N($AL135)=0),"No se encuentra en la hoja de la jefatura (elíjala de nuevo en la lista)"&amp;" · ","")&amp;IF(OR(AND($E135&lt;&gt;"",NOT(ISNUMBER($E135))),AND($F135&lt;&gt;"",NOT(ISNUMBER($F135))),AND($G135&lt;&gt;"",NOT(ISNUMBER($G135)))),"Fecha no válida"&amp;" · ","")&amp;IF(AND(ISNUMBER($AM135),ISNUMBER($AN135),$AM135&gt;$AN135),"Inicio posterior a fecha límite"&amp;" · ","")&amp;IF(AND($V135="Macro",$H135&lt;&gt;"",OR(NOT(ISNUMBER($H135)),$H135&lt;0,$H135&gt;1)),"Peso fuera de rango"&amp;" · ","")&amp;IF(AND($V135="Sub",$H135&lt;&gt;""),"Las subactividades no llevan peso (valen igual dentro de su macroactividad)"&amp;" · ","")&amp;IF(AND(N($W135)&gt;0,COUNT($I135:$L135)&gt;0),"Con subactividades: deje vacías las semanas (se calculan solas)"&amp;" · ","")&amp;IF((COUNTIF($I135:$L135,"&gt;1")+COUNTIF($I135:$L135,"&lt;0")+COUNTA($I135:$L135)-COUNT($I135:$L135))&gt;0,"Avance fuera de rango 0-100%"&amp;" · ","")&amp;IF(OR(AND($J135&lt;&gt;"",$J135&lt;$I135),AND($K135&lt;&gt;"",$K135&lt;MAX($I135:$J135)),AND($L135&lt;&gt;"",$L135&lt;MAX($I135:$K135))),"Avance semanal decreciente"&amp;" · ","")&amp;IF(AND(ISNUMBER($AN135),$AN135&lt;FechaRef,IF($V135="Sub",N($X135),N($M135))&lt;1),"Vencida"&amp;" · ","")&amp;IF(AND(ObsObligatoria="Sí",ISNUMBER($AN135),$AN135&lt;FechaRef,IF($V135="Sub",N($X135),N($M135))&lt;1,$Q135=""),"Vencida sin observación"&amp;" · ",""))="","✔ OK","⚠ "&amp;LEFT(IF($C135="","Falta el nombre de la actividad"&amp;" · ","")&amp;IF(AND($V135="Sub",N($U135)=0),"Subactividad sin macroactividad arriba"&amp;" · ","")&amp;IF($AM135="","Sin fecha de inicio"&amp;" · ","")&amp;IF($AN135="","Sin fecha límite"&amp;" · ","")&amp;IF(AND(LEFT($C135,11)="[Jefatura] ",N($AL135)=0),"No se encuentra en la hoja de la jefatura (elíjala de nuevo en la lista)"&amp;" · ","")&amp;IF(OR(AND($E135&lt;&gt;"",NOT(ISNUMBER($E135))),AND($F135&lt;&gt;"",NOT(ISNUMBER($F135))),AND($G135&lt;&gt;"",NOT(ISNUMBER($G135)))),"Fecha no válida"&amp;" · ","")&amp;IF(AND(ISNUMBER($AM135),ISNUMBER($AN135),$AM135&gt;$AN135),"Inicio posterior a fecha límite"&amp;" · ","")&amp;IF(AND($V135="Macro",$H135&lt;&gt;"",OR(NOT(ISNUMBER($H135)),$H135&lt;0,$H135&gt;1)),"Peso fuera de rango"&amp;" · ","")&amp;IF(AND($V135="Sub",$H135&lt;&gt;""),"Las subactividades no llevan peso (valen igual dentro de su macroactividad)"&amp;" · ","")&amp;IF(AND(N($W135)&gt;0,COUNT($I135:$L135)&gt;0),"Con subactividades: deje vacías las semanas (se calculan solas)"&amp;" · ","")&amp;IF((COUNTIF($I135:$L135,"&gt;1")+COUNTIF($I135:$L135,"&lt;0")+COUNTA($I135:$L135)-COUNT($I135:$L135))&gt;0,"Avance fuera de rango 0-100%"&amp;" · ","")&amp;IF(OR(AND($J135&lt;&gt;"",$J135&lt;$I135),AND($K135&lt;&gt;"",$K135&lt;MAX($I135:$J135)),AND($L135&lt;&gt;"",$L135&lt;MAX($I135:$K135))),"Avance semanal decreciente"&amp;" · ","")&amp;IF(AND(ISNUMBER($AN135),$AN135&lt;FechaRef,IF($V135="Sub",N($X135),N($M135))&lt;1),"Vencida"&amp;" · ","")&amp;IF(AND(ObsObligatoria="Sí",ISNUMBER($AN135),$AN135&lt;FechaRef,IF($V135="Sub",N($X135),N($M135))&lt;1,$Q135=""),"Vencida sin observación"&amp;" · ",""),LEN(IF($C135="","Falta el nombre de la actividad"&amp;" · ","")&amp;IF(AND($V135="Sub",N($U135)=0),"Subactividad sin macroactividad arriba"&amp;" · ","")&amp;IF($AM135="","Sin fecha de inicio"&amp;" · ","")&amp;IF($AN135="","Sin fecha límite"&amp;" · ","")&amp;IF(AND(LEFT($C135,11)="[Jefatura] ",N($AL135)=0),"No se encuentra en la hoja de la jefatura (elíjala de nuevo en la lista)"&amp;" · ","")&amp;IF(OR(AND($E135&lt;&gt;"",NOT(ISNUMBER($E135))),AND($F135&lt;&gt;"",NOT(ISNUMBER($F135))),AND($G135&lt;&gt;"",NOT(ISNUMBER($G135)))),"Fecha no válida"&amp;" · ","")&amp;IF(AND(ISNUMBER($AM135),ISNUMBER($AN135),$AM135&gt;$AN135),"Inicio posterior a fecha límite"&amp;" · ","")&amp;IF(AND($V135="Macro",$H135&lt;&gt;"",OR(NOT(ISNUMBER($H135)),$H135&lt;0,$H135&gt;1)),"Peso fuera de rango"&amp;" · ","")&amp;IF(AND($V135="Sub",$H135&lt;&gt;""),"Las subactividades no llevan peso (valen igual dentro de su macroactividad)"&amp;" · ","")&amp;IF(AND(N($W135)&gt;0,COUNT($I135:$L135)&gt;0),"Con subactividades: deje vacías las semanas (se calculan solas)"&amp;" · ","")&amp;IF((COUNTIF($I135:$L135,"&gt;1")+COUNTIF($I135:$L135,"&lt;0")+COUNTA($I135:$L135)-COUNT($I135:$L135))&gt;0,"Avance fuera de rango 0-100%"&amp;" · ","")&amp;IF(OR(AND($J135&lt;&gt;"",$J135&lt;$I135),AND($K135&lt;&gt;"",$K135&lt;MAX($I135:$J135)),AND($L135&lt;&gt;"",$L135&lt;MAX($I135:$K135))),"Avance semanal decreciente"&amp;" · ","")&amp;IF(AND(ISNUMBER($AN135),$AN135&lt;FechaRef,IF($V135="Sub",N($X135),N($M135))&lt;1),"Vencida"&amp;" · ","")&amp;IF(AND(ObsObligatoria="Sí",ISNUMBER($AN135),$AN135&lt;FechaRef,IF($V135="Sub",N($X135),N($M135))&lt;1,$Q135=""),"Vencida sin observación"&amp;" · ",""))-3)))</f>
        <v/>
      </c>
      <c r="S135" s="64">
        <f>IF(NOT((COUNTA($B135:$D135)+COUNTA($G135:$L135)+COUNTA($Q135))&gt;0),"",IF(AND($V135="Sub",N($U135)&gt;0),IF(ISNUMBER(INDEX($AM$5:$AM$1000,$U135-4)),DATE(YEAR(INDEX($AM$5:$AM$1000,$U135-4)),MONTH(INDEX($AM$5:$AM$1000,$U135-4)),1),IF(ISNUMBER(INDEX($AN$5:$AN$1000,$U135-4)),DATE(YEAR(INDEX($AN$5:$AN$1000,$U135-4)),MONTH(INDEX($AN$5:$AN$1000,$U135-4)),1),MesCiclo)),IF(ISNUMBER($AM135),DATE(YEAR($AM135),MONTH($AM135),1),IF(ISNUMBER($AN135),DATE(YEAR($AN135),MONTH($AN135),1),MesCiclo))))</f>
        <v/>
      </c>
      <c r="T135" s="62">
        <f>IF(OR($S135="",$S135&lt;&gt;MesCiclo,$V135&lt;&gt;"Macro"),"",COUNTIFS($S$5:$S135,MesCiclo,$V$5:$V135,"Macro"))</f>
        <v/>
      </c>
      <c r="U135" s="62">
        <f>IF($V135="","",IF($V135="Macro",ROW(),IFERROR(LOOKUP(2,1/($V$5:$V135="Macro"),ROW($V$5:$V135)),0)))</f>
        <v/>
      </c>
      <c r="V135" s="62">
        <f>IF(NOT((COUNTA($B135:$D135)+COUNTA($G135:$L135)+COUNTA($Q135))&gt;0),"",IF($B135="Subactividad","Sub","Macro"))</f>
        <v/>
      </c>
      <c r="W135" s="62">
        <f>IF($V135="Macro",COUNTIFS($U$5:$U$1000,ROW(),$V$5:$V$1000,"Sub"),"")</f>
        <v/>
      </c>
      <c r="X135" s="62">
        <f>IF($V135="","",IF(ISNUMBER($G135),1,IFERROR(LOOKUP(2,1/($I135:$L135&lt;&gt;""),$I135:$L135),0)))</f>
        <v/>
      </c>
      <c r="Y135" s="62">
        <f>IF($V135="","",IF(AND(ISNUMBER($G135),$G135&lt;=IF($S135=MesCiclo,InicioCiclo,$S135+MOD(2-WEEKDAY($S135),7))+6),1,IF(ISNUMBER($I135),$I135,0)))</f>
        <v/>
      </c>
      <c r="Z135" s="62">
        <f>IF($V135="","",IF(AND(ISNUMBER($G135),$G135&lt;=IF($S135=MesCiclo,InicioCiclo,$S135+MOD(2-WEEKDAY($S135),7))+13),1,IF(ISNUMBER($J135),$J135,$Y135)))</f>
        <v/>
      </c>
      <c r="AA135" s="62">
        <f>IF($V135="","",IF(AND(ISNUMBER($G135),$G135&lt;=IF($S135=MesCiclo,InicioCiclo,$S135+MOD(2-WEEKDAY($S135),7))+20),1,IF(ISNUMBER($K135),$K135,$Z135)))</f>
        <v/>
      </c>
      <c r="AB135" s="62">
        <f>IF($V135="","",IF(AND(ISNUMBER($G135),$G135&lt;=IF($S135=MesCiclo,InicioCiclo,$S135+MOD(2-WEEKDAY($S135),7))+27),1,IF(ISNUMBER($L135),$L135,$AA135)))</f>
        <v/>
      </c>
      <c r="AC135" s="62">
        <f>IF($V135="","",IF(AND(ISNUMBER($G135),$G135&lt;=IF($S135=MesCiclo,InicioCiclo,$S135+MOD(2-WEEKDAY($S135),7))+6),1,IF(N($W135)&gt;0,AVERAGEIFS($Y$5:$Y$1000,$U$5:$U$1000,ROW(),$V$5:$V$1000,"Sub"),$Y135)))</f>
        <v/>
      </c>
      <c r="AD135" s="62">
        <f>IF($V135="","",IF(AND(ISNUMBER($G135),$G135&lt;=IF($S135=MesCiclo,InicioCiclo,$S135+MOD(2-WEEKDAY($S135),7))+13),1,IF(N($W135)&gt;0,AVERAGEIFS($Z$5:$Z$1000,$U$5:$U$1000,ROW(),$V$5:$V$1000,"Sub"),$Z135)))</f>
        <v/>
      </c>
      <c r="AE135" s="62">
        <f>IF($V135="","",IF(AND(ISNUMBER($G135),$G135&lt;=IF($S135=MesCiclo,InicioCiclo,$S135+MOD(2-WEEKDAY($S135),7))+20),1,IF(N($W135)&gt;0,AVERAGEIFS($AA$5:$AA$1000,$U$5:$U$1000,ROW(),$V$5:$V$1000,"Sub"),$AA135)))</f>
        <v/>
      </c>
      <c r="AF135" s="62">
        <f>IF($V135="","",IF(AND(ISNUMBER($G135),$G135&lt;=IF($S135=MesCiclo,InicioCiclo,$S135+MOD(2-WEEKDAY($S135),7))+27),1,IF(N($W135)&gt;0,AVERAGEIFS($AB$5:$AB$1000,$U$5:$U$1000,ROW(),$V$5:$V$1000,"Sub"),$AB135)))</f>
        <v/>
      </c>
      <c r="AG135" s="62">
        <f>IF($V135&lt;&gt;"Macro","",IF(COUNTIFS($S$5:$S$1000,$S135,$V$5:$V$1000,"Macro",$H$5:$H$1000,"&gt;0")=0,1/COUNTIFS($S$5:$S$1000,$S135,$V$5:$V$1000,"Macro"),IF(AND(ISNUMBER($H135),N($H135)&gt;0),$H135,SUMIFS($H$5:$H$1000,$S$5:$S$1000,$S135,$V$5:$V$1000,"Macro")/COUNTIFS($S$5:$S$1000,$S135,$V$5:$V$1000,"Macro",$H$5:$H$1000,"&gt;0"))/(COUNTIFS($S$5:$S$1000,$S135,$V$5:$V$1000,"Macro")*SUMIFS($H$5:$H$1000,$S$5:$S$1000,$S135,$V$5:$V$1000,"Macro")/COUNTIFS($S$5:$S$1000,$S135,$V$5:$V$1000,"Macro",$H$5:$H$1000,"&gt;0"))))</f>
        <v/>
      </c>
      <c r="AH135" s="62" t="n"/>
      <c r="AI135" s="62" t="n"/>
      <c r="AJ135" s="62" t="n"/>
      <c r="AK135" s="62" t="n"/>
      <c r="AL135" s="62">
        <f>IF(LEFT($C135,11)="[Jefatura] ",IFERROR(MATCH("Riesgo Normativo|"&amp;MID($C135,12,500),rDname_ADM,0),0),"")</f>
        <v/>
      </c>
      <c r="AM135" s="62">
        <f>IF(N($AL135)&gt;0,INDEX(rIni_ADM,$AL135),IF(ISNUMBER($E135),$E135,""))</f>
        <v/>
      </c>
      <c r="AN135" s="62">
        <f>IF(N($AL135)&gt;0,INDEX(rLim_ADM,$AL135),IF(ISNUMBER($F135),$F135,""))</f>
        <v/>
      </c>
    </row>
    <row r="136">
      <c r="A136" s="56">
        <f>IF(NOT((COUNTA($B136:$D136)+COUNTA($G136:$L136)+COUNTA($Q136))&gt;0),"",IF($V136="Macro",COUNTIFS($V$5:$V136,"Macro",$S$5:$S136,$S136),IF(N($U136)=0,"?",COUNTIFS(INDEX($V$5:$V$1000,1):INDEX($V$5:$V$1000,$U136-4),"Macro",INDEX($S$5:$S$1000,1):INDEX($S$5:$S$1000,$U136-4),INDEX($S$5:$S$1000,$U136-4))&amp;"."&amp;COUNTIFS($U$5:$U136,$U136,$V$5:$V136,"Sub"))))</f>
        <v/>
      </c>
      <c r="B136" s="57" t="n"/>
      <c r="C136" s="58" t="n"/>
      <c r="D136" s="58" t="n"/>
      <c r="E136" s="59">
        <f>IF(N($AL136)&gt;0,INDEX(rIni_ADM,$AL136),"")</f>
        <v/>
      </c>
      <c r="F136" s="59">
        <f>IF(N($AL136)&gt;0,INDEX(rLim_ADM,$AL136),"")</f>
        <v/>
      </c>
      <c r="G136" s="59" t="n"/>
      <c r="H136" s="60" t="n"/>
      <c r="I136" s="60" t="n"/>
      <c r="J136" s="60" t="n"/>
      <c r="K136" s="60" t="n"/>
      <c r="L136" s="60" t="n"/>
      <c r="M136" s="61">
        <f>IF(NOT((COUNTA($B136:$D136)+COUNTA($G136:$L136)+COUNTA($Q136))&gt;0),"",IF($V136="Sub",IFERROR($X136/INDEX($W$5:$W$1000,$U136-4),""),IF(ISNUMBER($G136),1,IF(N($W136)&gt;0,AVERAGEIFS($X$5:$X$1000,$U$5:$U$1000,ROW(),$V$5:$V$1000,"Sub"),$X136))))</f>
        <v/>
      </c>
      <c r="N136" s="56">
        <f>IF(OR($M136="",$V136="Sub"),"",IF($M136&gt;=1,"Completado",IF($M136&gt;0,"En curso","Pendiente")))</f>
        <v/>
      </c>
      <c r="O136" s="56">
        <f>IF(OR(NOT((COUNTA($B136:$D136)+COUNTA($G136:$L136)+COUNTA($Q136))&gt;0),$V136="Sub"),"",IF(ISNUMBER($G136),IF(AND(ISNUMBER($AN136),$G136&gt;$AN136),"Cumplida con "&amp;($G136-$AN136)&amp;IF($G136-$AN136=1," día"," días")&amp;" de retraso","Cumplida"),IF(N($M136)&gt;=1,"Cumplida",IF(NOT(ISNUMBER($AN136)),"Sin fecha límite",IF($AN136&lt;FechaRef,"Vencida hace "&amp;(FechaRef-$AN136)&amp;IF(FechaRef-$AN136=1," día"," días"),IF($AN136=FechaRef,"Vence hoy",IF($AN136-FechaRef&lt;=DiasAlerta,"Vence en "&amp;($AN136-FechaRef)&amp;IF($AN136-FechaRef=1," día"," días"),"En plazo")))))))</f>
        <v/>
      </c>
      <c r="P136" s="62" t="n"/>
      <c r="Q136" s="58" t="n"/>
      <c r="R136" s="63">
        <f>IF(NOT((COUNTA($B136:$D136)+COUNTA($G136:$L136)+COUNTA($Q136))&gt;0),"",IF((IF($C136="","Falta el nombre de la actividad"&amp;" · ","")&amp;IF(AND($V136="Sub",N($U136)=0),"Subactividad sin macroactividad arriba"&amp;" · ","")&amp;IF($AM136="","Sin fecha de inicio"&amp;" · ","")&amp;IF($AN136="","Sin fecha límite"&amp;" · ","")&amp;IF(AND(LEFT($C136,11)="[Jefatura] ",N($AL136)=0),"No se encuentra en la hoja de la jefatura (elíjala de nuevo en la lista)"&amp;" · ","")&amp;IF(OR(AND($E136&lt;&gt;"",NOT(ISNUMBER($E136))),AND($F136&lt;&gt;"",NOT(ISNUMBER($F136))),AND($G136&lt;&gt;"",NOT(ISNUMBER($G136)))),"Fecha no válida"&amp;" · ","")&amp;IF(AND(ISNUMBER($AM136),ISNUMBER($AN136),$AM136&gt;$AN136),"Inicio posterior a fecha límite"&amp;" · ","")&amp;IF(AND($V136="Macro",$H136&lt;&gt;"",OR(NOT(ISNUMBER($H136)),$H136&lt;0,$H136&gt;1)),"Peso fuera de rango"&amp;" · ","")&amp;IF(AND($V136="Sub",$H136&lt;&gt;""),"Las subactividades no llevan peso (valen igual dentro de su macroactividad)"&amp;" · ","")&amp;IF(AND(N($W136)&gt;0,COUNT($I136:$L136)&gt;0),"Con subactividades: deje vacías las semanas (se calculan solas)"&amp;" · ","")&amp;IF((COUNTIF($I136:$L136,"&gt;1")+COUNTIF($I136:$L136,"&lt;0")+COUNTA($I136:$L136)-COUNT($I136:$L136))&gt;0,"Avance fuera de rango 0-100%"&amp;" · ","")&amp;IF(OR(AND($J136&lt;&gt;"",$J136&lt;$I136),AND($K136&lt;&gt;"",$K136&lt;MAX($I136:$J136)),AND($L136&lt;&gt;"",$L136&lt;MAX($I136:$K136))),"Avance semanal decreciente"&amp;" · ","")&amp;IF(AND(ISNUMBER($AN136),$AN136&lt;FechaRef,IF($V136="Sub",N($X136),N($M136))&lt;1),"Vencida"&amp;" · ","")&amp;IF(AND(ObsObligatoria="Sí",ISNUMBER($AN136),$AN136&lt;FechaRef,IF($V136="Sub",N($X136),N($M136))&lt;1,$Q136=""),"Vencida sin observación"&amp;" · ",""))="","✔ OK","⚠ "&amp;LEFT(IF($C136="","Falta el nombre de la actividad"&amp;" · ","")&amp;IF(AND($V136="Sub",N($U136)=0),"Subactividad sin macroactividad arriba"&amp;" · ","")&amp;IF($AM136="","Sin fecha de inicio"&amp;" · ","")&amp;IF($AN136="","Sin fecha límite"&amp;" · ","")&amp;IF(AND(LEFT($C136,11)="[Jefatura] ",N($AL136)=0),"No se encuentra en la hoja de la jefatura (elíjala de nuevo en la lista)"&amp;" · ","")&amp;IF(OR(AND($E136&lt;&gt;"",NOT(ISNUMBER($E136))),AND($F136&lt;&gt;"",NOT(ISNUMBER($F136))),AND($G136&lt;&gt;"",NOT(ISNUMBER($G136)))),"Fecha no válida"&amp;" · ","")&amp;IF(AND(ISNUMBER($AM136),ISNUMBER($AN136),$AM136&gt;$AN136),"Inicio posterior a fecha límite"&amp;" · ","")&amp;IF(AND($V136="Macro",$H136&lt;&gt;"",OR(NOT(ISNUMBER($H136)),$H136&lt;0,$H136&gt;1)),"Peso fuera de rango"&amp;" · ","")&amp;IF(AND($V136="Sub",$H136&lt;&gt;""),"Las subactividades no llevan peso (valen igual dentro de su macroactividad)"&amp;" · ","")&amp;IF(AND(N($W136)&gt;0,COUNT($I136:$L136)&gt;0),"Con subactividades: deje vacías las semanas (se calculan solas)"&amp;" · ","")&amp;IF((COUNTIF($I136:$L136,"&gt;1")+COUNTIF($I136:$L136,"&lt;0")+COUNTA($I136:$L136)-COUNT($I136:$L136))&gt;0,"Avance fuera de rango 0-100%"&amp;" · ","")&amp;IF(OR(AND($J136&lt;&gt;"",$J136&lt;$I136),AND($K136&lt;&gt;"",$K136&lt;MAX($I136:$J136)),AND($L136&lt;&gt;"",$L136&lt;MAX($I136:$K136))),"Avance semanal decreciente"&amp;" · ","")&amp;IF(AND(ISNUMBER($AN136),$AN136&lt;FechaRef,IF($V136="Sub",N($X136),N($M136))&lt;1),"Vencida"&amp;" · ","")&amp;IF(AND(ObsObligatoria="Sí",ISNUMBER($AN136),$AN136&lt;FechaRef,IF($V136="Sub",N($X136),N($M136))&lt;1,$Q136=""),"Vencida sin observación"&amp;" · ",""),LEN(IF($C136="","Falta el nombre de la actividad"&amp;" · ","")&amp;IF(AND($V136="Sub",N($U136)=0),"Subactividad sin macroactividad arriba"&amp;" · ","")&amp;IF($AM136="","Sin fecha de inicio"&amp;" · ","")&amp;IF($AN136="","Sin fecha límite"&amp;" · ","")&amp;IF(AND(LEFT($C136,11)="[Jefatura] ",N($AL136)=0),"No se encuentra en la hoja de la jefatura (elíjala de nuevo en la lista)"&amp;" · ","")&amp;IF(OR(AND($E136&lt;&gt;"",NOT(ISNUMBER($E136))),AND($F136&lt;&gt;"",NOT(ISNUMBER($F136))),AND($G136&lt;&gt;"",NOT(ISNUMBER($G136)))),"Fecha no válida"&amp;" · ","")&amp;IF(AND(ISNUMBER($AM136),ISNUMBER($AN136),$AM136&gt;$AN136),"Inicio posterior a fecha límite"&amp;" · ","")&amp;IF(AND($V136="Macro",$H136&lt;&gt;"",OR(NOT(ISNUMBER($H136)),$H136&lt;0,$H136&gt;1)),"Peso fuera de rango"&amp;" · ","")&amp;IF(AND($V136="Sub",$H136&lt;&gt;""),"Las subactividades no llevan peso (valen igual dentro de su macroactividad)"&amp;" · ","")&amp;IF(AND(N($W136)&gt;0,COUNT($I136:$L136)&gt;0),"Con subactividades: deje vacías las semanas (se calculan solas)"&amp;" · ","")&amp;IF((COUNTIF($I136:$L136,"&gt;1")+COUNTIF($I136:$L136,"&lt;0")+COUNTA($I136:$L136)-COUNT($I136:$L136))&gt;0,"Avance fuera de rango 0-100%"&amp;" · ","")&amp;IF(OR(AND($J136&lt;&gt;"",$J136&lt;$I136),AND($K136&lt;&gt;"",$K136&lt;MAX($I136:$J136)),AND($L136&lt;&gt;"",$L136&lt;MAX($I136:$K136))),"Avance semanal decreciente"&amp;" · ","")&amp;IF(AND(ISNUMBER($AN136),$AN136&lt;FechaRef,IF($V136="Sub",N($X136),N($M136))&lt;1),"Vencida"&amp;" · ","")&amp;IF(AND(ObsObligatoria="Sí",ISNUMBER($AN136),$AN136&lt;FechaRef,IF($V136="Sub",N($X136),N($M136))&lt;1,$Q136=""),"Vencida sin observación"&amp;" · ",""))-3)))</f>
        <v/>
      </c>
      <c r="S136" s="64">
        <f>IF(NOT((COUNTA($B136:$D136)+COUNTA($G136:$L136)+COUNTA($Q136))&gt;0),"",IF(AND($V136="Sub",N($U136)&gt;0),IF(ISNUMBER(INDEX($AM$5:$AM$1000,$U136-4)),DATE(YEAR(INDEX($AM$5:$AM$1000,$U136-4)),MONTH(INDEX($AM$5:$AM$1000,$U136-4)),1),IF(ISNUMBER(INDEX($AN$5:$AN$1000,$U136-4)),DATE(YEAR(INDEX($AN$5:$AN$1000,$U136-4)),MONTH(INDEX($AN$5:$AN$1000,$U136-4)),1),MesCiclo)),IF(ISNUMBER($AM136),DATE(YEAR($AM136),MONTH($AM136),1),IF(ISNUMBER($AN136),DATE(YEAR($AN136),MONTH($AN136),1),MesCiclo))))</f>
        <v/>
      </c>
      <c r="T136" s="62">
        <f>IF(OR($S136="",$S136&lt;&gt;MesCiclo,$V136&lt;&gt;"Macro"),"",COUNTIFS($S$5:$S136,MesCiclo,$V$5:$V136,"Macro"))</f>
        <v/>
      </c>
      <c r="U136" s="62">
        <f>IF($V136="","",IF($V136="Macro",ROW(),IFERROR(LOOKUP(2,1/($V$5:$V136="Macro"),ROW($V$5:$V136)),0)))</f>
        <v/>
      </c>
      <c r="V136" s="62">
        <f>IF(NOT((COUNTA($B136:$D136)+COUNTA($G136:$L136)+COUNTA($Q136))&gt;0),"",IF($B136="Subactividad","Sub","Macro"))</f>
        <v/>
      </c>
      <c r="W136" s="62">
        <f>IF($V136="Macro",COUNTIFS($U$5:$U$1000,ROW(),$V$5:$V$1000,"Sub"),"")</f>
        <v/>
      </c>
      <c r="X136" s="62">
        <f>IF($V136="","",IF(ISNUMBER($G136),1,IFERROR(LOOKUP(2,1/($I136:$L136&lt;&gt;""),$I136:$L136),0)))</f>
        <v/>
      </c>
      <c r="Y136" s="62">
        <f>IF($V136="","",IF(AND(ISNUMBER($G136),$G136&lt;=IF($S136=MesCiclo,InicioCiclo,$S136+MOD(2-WEEKDAY($S136),7))+6),1,IF(ISNUMBER($I136),$I136,0)))</f>
        <v/>
      </c>
      <c r="Z136" s="62">
        <f>IF($V136="","",IF(AND(ISNUMBER($G136),$G136&lt;=IF($S136=MesCiclo,InicioCiclo,$S136+MOD(2-WEEKDAY($S136),7))+13),1,IF(ISNUMBER($J136),$J136,$Y136)))</f>
        <v/>
      </c>
      <c r="AA136" s="62">
        <f>IF($V136="","",IF(AND(ISNUMBER($G136),$G136&lt;=IF($S136=MesCiclo,InicioCiclo,$S136+MOD(2-WEEKDAY($S136),7))+20),1,IF(ISNUMBER($K136),$K136,$Z136)))</f>
        <v/>
      </c>
      <c r="AB136" s="62">
        <f>IF($V136="","",IF(AND(ISNUMBER($G136),$G136&lt;=IF($S136=MesCiclo,InicioCiclo,$S136+MOD(2-WEEKDAY($S136),7))+27),1,IF(ISNUMBER($L136),$L136,$AA136)))</f>
        <v/>
      </c>
      <c r="AC136" s="62">
        <f>IF($V136="","",IF(AND(ISNUMBER($G136),$G136&lt;=IF($S136=MesCiclo,InicioCiclo,$S136+MOD(2-WEEKDAY($S136),7))+6),1,IF(N($W136)&gt;0,AVERAGEIFS($Y$5:$Y$1000,$U$5:$U$1000,ROW(),$V$5:$V$1000,"Sub"),$Y136)))</f>
        <v/>
      </c>
      <c r="AD136" s="62">
        <f>IF($V136="","",IF(AND(ISNUMBER($G136),$G136&lt;=IF($S136=MesCiclo,InicioCiclo,$S136+MOD(2-WEEKDAY($S136),7))+13),1,IF(N($W136)&gt;0,AVERAGEIFS($Z$5:$Z$1000,$U$5:$U$1000,ROW(),$V$5:$V$1000,"Sub"),$Z136)))</f>
        <v/>
      </c>
      <c r="AE136" s="62">
        <f>IF($V136="","",IF(AND(ISNUMBER($G136),$G136&lt;=IF($S136=MesCiclo,InicioCiclo,$S136+MOD(2-WEEKDAY($S136),7))+20),1,IF(N($W136)&gt;0,AVERAGEIFS($AA$5:$AA$1000,$U$5:$U$1000,ROW(),$V$5:$V$1000,"Sub"),$AA136)))</f>
        <v/>
      </c>
      <c r="AF136" s="62">
        <f>IF($V136="","",IF(AND(ISNUMBER($G136),$G136&lt;=IF($S136=MesCiclo,InicioCiclo,$S136+MOD(2-WEEKDAY($S136),7))+27),1,IF(N($W136)&gt;0,AVERAGEIFS($AB$5:$AB$1000,$U$5:$U$1000,ROW(),$V$5:$V$1000,"Sub"),$AB136)))</f>
        <v/>
      </c>
      <c r="AG136" s="62">
        <f>IF($V136&lt;&gt;"Macro","",IF(COUNTIFS($S$5:$S$1000,$S136,$V$5:$V$1000,"Macro",$H$5:$H$1000,"&gt;0")=0,1/COUNTIFS($S$5:$S$1000,$S136,$V$5:$V$1000,"Macro"),IF(AND(ISNUMBER($H136),N($H136)&gt;0),$H136,SUMIFS($H$5:$H$1000,$S$5:$S$1000,$S136,$V$5:$V$1000,"Macro")/COUNTIFS($S$5:$S$1000,$S136,$V$5:$V$1000,"Macro",$H$5:$H$1000,"&gt;0"))/(COUNTIFS($S$5:$S$1000,$S136,$V$5:$V$1000,"Macro")*SUMIFS($H$5:$H$1000,$S$5:$S$1000,$S136,$V$5:$V$1000,"Macro")/COUNTIFS($S$5:$S$1000,$S136,$V$5:$V$1000,"Macro",$H$5:$H$1000,"&gt;0"))))</f>
        <v/>
      </c>
      <c r="AH136" s="62" t="n"/>
      <c r="AI136" s="62" t="n"/>
      <c r="AJ136" s="62" t="n"/>
      <c r="AK136" s="62" t="n"/>
      <c r="AL136" s="62">
        <f>IF(LEFT($C136,11)="[Jefatura] ",IFERROR(MATCH("Riesgo Normativo|"&amp;MID($C136,12,500),rDname_ADM,0),0),"")</f>
        <v/>
      </c>
      <c r="AM136" s="62">
        <f>IF(N($AL136)&gt;0,INDEX(rIni_ADM,$AL136),IF(ISNUMBER($E136),$E136,""))</f>
        <v/>
      </c>
      <c r="AN136" s="62">
        <f>IF(N($AL136)&gt;0,INDEX(rLim_ADM,$AL136),IF(ISNUMBER($F136),$F136,""))</f>
        <v/>
      </c>
    </row>
    <row r="137">
      <c r="A137" s="56">
        <f>IF(NOT((COUNTA($B137:$D137)+COUNTA($G137:$L137)+COUNTA($Q137))&gt;0),"",IF($V137="Macro",COUNTIFS($V$5:$V137,"Macro",$S$5:$S137,$S137),IF(N($U137)=0,"?",COUNTIFS(INDEX($V$5:$V$1000,1):INDEX($V$5:$V$1000,$U137-4),"Macro",INDEX($S$5:$S$1000,1):INDEX($S$5:$S$1000,$U137-4),INDEX($S$5:$S$1000,$U137-4))&amp;"."&amp;COUNTIFS($U$5:$U137,$U137,$V$5:$V137,"Sub"))))</f>
        <v/>
      </c>
      <c r="B137" s="57" t="n"/>
      <c r="C137" s="58" t="n"/>
      <c r="D137" s="58" t="n"/>
      <c r="E137" s="59">
        <f>IF(N($AL137)&gt;0,INDEX(rIni_ADM,$AL137),"")</f>
        <v/>
      </c>
      <c r="F137" s="59">
        <f>IF(N($AL137)&gt;0,INDEX(rLim_ADM,$AL137),"")</f>
        <v/>
      </c>
      <c r="G137" s="59" t="n"/>
      <c r="H137" s="60" t="n"/>
      <c r="I137" s="60" t="n"/>
      <c r="J137" s="60" t="n"/>
      <c r="K137" s="60" t="n"/>
      <c r="L137" s="60" t="n"/>
      <c r="M137" s="61">
        <f>IF(NOT((COUNTA($B137:$D137)+COUNTA($G137:$L137)+COUNTA($Q137))&gt;0),"",IF($V137="Sub",IFERROR($X137/INDEX($W$5:$W$1000,$U137-4),""),IF(ISNUMBER($G137),1,IF(N($W137)&gt;0,AVERAGEIFS($X$5:$X$1000,$U$5:$U$1000,ROW(),$V$5:$V$1000,"Sub"),$X137))))</f>
        <v/>
      </c>
      <c r="N137" s="56">
        <f>IF(OR($M137="",$V137="Sub"),"",IF($M137&gt;=1,"Completado",IF($M137&gt;0,"En curso","Pendiente")))</f>
        <v/>
      </c>
      <c r="O137" s="56">
        <f>IF(OR(NOT((COUNTA($B137:$D137)+COUNTA($G137:$L137)+COUNTA($Q137))&gt;0),$V137="Sub"),"",IF(ISNUMBER($G137),IF(AND(ISNUMBER($AN137),$G137&gt;$AN137),"Cumplida con "&amp;($G137-$AN137)&amp;IF($G137-$AN137=1," día"," días")&amp;" de retraso","Cumplida"),IF(N($M137)&gt;=1,"Cumplida",IF(NOT(ISNUMBER($AN137)),"Sin fecha límite",IF($AN137&lt;FechaRef,"Vencida hace "&amp;(FechaRef-$AN137)&amp;IF(FechaRef-$AN137=1," día"," días"),IF($AN137=FechaRef,"Vence hoy",IF($AN137-FechaRef&lt;=DiasAlerta,"Vence en "&amp;($AN137-FechaRef)&amp;IF($AN137-FechaRef=1," día"," días"),"En plazo")))))))</f>
        <v/>
      </c>
      <c r="P137" s="62" t="n"/>
      <c r="Q137" s="58" t="n"/>
      <c r="R137" s="63">
        <f>IF(NOT((COUNTA($B137:$D137)+COUNTA($G137:$L137)+COUNTA($Q137))&gt;0),"",IF((IF($C137="","Falta el nombre de la actividad"&amp;" · ","")&amp;IF(AND($V137="Sub",N($U137)=0),"Subactividad sin macroactividad arriba"&amp;" · ","")&amp;IF($AM137="","Sin fecha de inicio"&amp;" · ","")&amp;IF($AN137="","Sin fecha límite"&amp;" · ","")&amp;IF(AND(LEFT($C137,11)="[Jefatura] ",N($AL137)=0),"No se encuentra en la hoja de la jefatura (elíjala de nuevo en la lista)"&amp;" · ","")&amp;IF(OR(AND($E137&lt;&gt;"",NOT(ISNUMBER($E137))),AND($F137&lt;&gt;"",NOT(ISNUMBER($F137))),AND($G137&lt;&gt;"",NOT(ISNUMBER($G137)))),"Fecha no válida"&amp;" · ","")&amp;IF(AND(ISNUMBER($AM137),ISNUMBER($AN137),$AM137&gt;$AN137),"Inicio posterior a fecha límite"&amp;" · ","")&amp;IF(AND($V137="Macro",$H137&lt;&gt;"",OR(NOT(ISNUMBER($H137)),$H137&lt;0,$H137&gt;1)),"Peso fuera de rango"&amp;" · ","")&amp;IF(AND($V137="Sub",$H137&lt;&gt;""),"Las subactividades no llevan peso (valen igual dentro de su macroactividad)"&amp;" · ","")&amp;IF(AND(N($W137)&gt;0,COUNT($I137:$L137)&gt;0),"Con subactividades: deje vacías las semanas (se calculan solas)"&amp;" · ","")&amp;IF((COUNTIF($I137:$L137,"&gt;1")+COUNTIF($I137:$L137,"&lt;0")+COUNTA($I137:$L137)-COUNT($I137:$L137))&gt;0,"Avance fuera de rango 0-100%"&amp;" · ","")&amp;IF(OR(AND($J137&lt;&gt;"",$J137&lt;$I137),AND($K137&lt;&gt;"",$K137&lt;MAX($I137:$J137)),AND($L137&lt;&gt;"",$L137&lt;MAX($I137:$K137))),"Avance semanal decreciente"&amp;" · ","")&amp;IF(AND(ISNUMBER($AN137),$AN137&lt;FechaRef,IF($V137="Sub",N($X137),N($M137))&lt;1),"Vencida"&amp;" · ","")&amp;IF(AND(ObsObligatoria="Sí",ISNUMBER($AN137),$AN137&lt;FechaRef,IF($V137="Sub",N($X137),N($M137))&lt;1,$Q137=""),"Vencida sin observación"&amp;" · ",""))="","✔ OK","⚠ "&amp;LEFT(IF($C137="","Falta el nombre de la actividad"&amp;" · ","")&amp;IF(AND($V137="Sub",N($U137)=0),"Subactividad sin macroactividad arriba"&amp;" · ","")&amp;IF($AM137="","Sin fecha de inicio"&amp;" · ","")&amp;IF($AN137="","Sin fecha límite"&amp;" · ","")&amp;IF(AND(LEFT($C137,11)="[Jefatura] ",N($AL137)=0),"No se encuentra en la hoja de la jefatura (elíjala de nuevo en la lista)"&amp;" · ","")&amp;IF(OR(AND($E137&lt;&gt;"",NOT(ISNUMBER($E137))),AND($F137&lt;&gt;"",NOT(ISNUMBER($F137))),AND($G137&lt;&gt;"",NOT(ISNUMBER($G137)))),"Fecha no válida"&amp;" · ","")&amp;IF(AND(ISNUMBER($AM137),ISNUMBER($AN137),$AM137&gt;$AN137),"Inicio posterior a fecha límite"&amp;" · ","")&amp;IF(AND($V137="Macro",$H137&lt;&gt;"",OR(NOT(ISNUMBER($H137)),$H137&lt;0,$H137&gt;1)),"Peso fuera de rango"&amp;" · ","")&amp;IF(AND($V137="Sub",$H137&lt;&gt;""),"Las subactividades no llevan peso (valen igual dentro de su macroactividad)"&amp;" · ","")&amp;IF(AND(N($W137)&gt;0,COUNT($I137:$L137)&gt;0),"Con subactividades: deje vacías las semanas (se calculan solas)"&amp;" · ","")&amp;IF((COUNTIF($I137:$L137,"&gt;1")+COUNTIF($I137:$L137,"&lt;0")+COUNTA($I137:$L137)-COUNT($I137:$L137))&gt;0,"Avance fuera de rango 0-100%"&amp;" · ","")&amp;IF(OR(AND($J137&lt;&gt;"",$J137&lt;$I137),AND($K137&lt;&gt;"",$K137&lt;MAX($I137:$J137)),AND($L137&lt;&gt;"",$L137&lt;MAX($I137:$K137))),"Avance semanal decreciente"&amp;" · ","")&amp;IF(AND(ISNUMBER($AN137),$AN137&lt;FechaRef,IF($V137="Sub",N($X137),N($M137))&lt;1),"Vencida"&amp;" · ","")&amp;IF(AND(ObsObligatoria="Sí",ISNUMBER($AN137),$AN137&lt;FechaRef,IF($V137="Sub",N($X137),N($M137))&lt;1,$Q137=""),"Vencida sin observación"&amp;" · ",""),LEN(IF($C137="","Falta el nombre de la actividad"&amp;" · ","")&amp;IF(AND($V137="Sub",N($U137)=0),"Subactividad sin macroactividad arriba"&amp;" · ","")&amp;IF($AM137="","Sin fecha de inicio"&amp;" · ","")&amp;IF($AN137="","Sin fecha límite"&amp;" · ","")&amp;IF(AND(LEFT($C137,11)="[Jefatura] ",N($AL137)=0),"No se encuentra en la hoja de la jefatura (elíjala de nuevo en la lista)"&amp;" · ","")&amp;IF(OR(AND($E137&lt;&gt;"",NOT(ISNUMBER($E137))),AND($F137&lt;&gt;"",NOT(ISNUMBER($F137))),AND($G137&lt;&gt;"",NOT(ISNUMBER($G137)))),"Fecha no válida"&amp;" · ","")&amp;IF(AND(ISNUMBER($AM137),ISNUMBER($AN137),$AM137&gt;$AN137),"Inicio posterior a fecha límite"&amp;" · ","")&amp;IF(AND($V137="Macro",$H137&lt;&gt;"",OR(NOT(ISNUMBER($H137)),$H137&lt;0,$H137&gt;1)),"Peso fuera de rango"&amp;" · ","")&amp;IF(AND($V137="Sub",$H137&lt;&gt;""),"Las subactividades no llevan peso (valen igual dentro de su macroactividad)"&amp;" · ","")&amp;IF(AND(N($W137)&gt;0,COUNT($I137:$L137)&gt;0),"Con subactividades: deje vacías las semanas (se calculan solas)"&amp;" · ","")&amp;IF((COUNTIF($I137:$L137,"&gt;1")+COUNTIF($I137:$L137,"&lt;0")+COUNTA($I137:$L137)-COUNT($I137:$L137))&gt;0,"Avance fuera de rango 0-100%"&amp;" · ","")&amp;IF(OR(AND($J137&lt;&gt;"",$J137&lt;$I137),AND($K137&lt;&gt;"",$K137&lt;MAX($I137:$J137)),AND($L137&lt;&gt;"",$L137&lt;MAX($I137:$K137))),"Avance semanal decreciente"&amp;" · ","")&amp;IF(AND(ISNUMBER($AN137),$AN137&lt;FechaRef,IF($V137="Sub",N($X137),N($M137))&lt;1),"Vencida"&amp;" · ","")&amp;IF(AND(ObsObligatoria="Sí",ISNUMBER($AN137),$AN137&lt;FechaRef,IF($V137="Sub",N($X137),N($M137))&lt;1,$Q137=""),"Vencida sin observación"&amp;" · ",""))-3)))</f>
        <v/>
      </c>
      <c r="S137" s="64">
        <f>IF(NOT((COUNTA($B137:$D137)+COUNTA($G137:$L137)+COUNTA($Q137))&gt;0),"",IF(AND($V137="Sub",N($U137)&gt;0),IF(ISNUMBER(INDEX($AM$5:$AM$1000,$U137-4)),DATE(YEAR(INDEX($AM$5:$AM$1000,$U137-4)),MONTH(INDEX($AM$5:$AM$1000,$U137-4)),1),IF(ISNUMBER(INDEX($AN$5:$AN$1000,$U137-4)),DATE(YEAR(INDEX($AN$5:$AN$1000,$U137-4)),MONTH(INDEX($AN$5:$AN$1000,$U137-4)),1),MesCiclo)),IF(ISNUMBER($AM137),DATE(YEAR($AM137),MONTH($AM137),1),IF(ISNUMBER($AN137),DATE(YEAR($AN137),MONTH($AN137),1),MesCiclo))))</f>
        <v/>
      </c>
      <c r="T137" s="62">
        <f>IF(OR($S137="",$S137&lt;&gt;MesCiclo,$V137&lt;&gt;"Macro"),"",COUNTIFS($S$5:$S137,MesCiclo,$V$5:$V137,"Macro"))</f>
        <v/>
      </c>
      <c r="U137" s="62">
        <f>IF($V137="","",IF($V137="Macro",ROW(),IFERROR(LOOKUP(2,1/($V$5:$V137="Macro"),ROW($V$5:$V137)),0)))</f>
        <v/>
      </c>
      <c r="V137" s="62">
        <f>IF(NOT((COUNTA($B137:$D137)+COUNTA($G137:$L137)+COUNTA($Q137))&gt;0),"",IF($B137="Subactividad","Sub","Macro"))</f>
        <v/>
      </c>
      <c r="W137" s="62">
        <f>IF($V137="Macro",COUNTIFS($U$5:$U$1000,ROW(),$V$5:$V$1000,"Sub"),"")</f>
        <v/>
      </c>
      <c r="X137" s="62">
        <f>IF($V137="","",IF(ISNUMBER($G137),1,IFERROR(LOOKUP(2,1/($I137:$L137&lt;&gt;""),$I137:$L137),0)))</f>
        <v/>
      </c>
      <c r="Y137" s="62">
        <f>IF($V137="","",IF(AND(ISNUMBER($G137),$G137&lt;=IF($S137=MesCiclo,InicioCiclo,$S137+MOD(2-WEEKDAY($S137),7))+6),1,IF(ISNUMBER($I137),$I137,0)))</f>
        <v/>
      </c>
      <c r="Z137" s="62">
        <f>IF($V137="","",IF(AND(ISNUMBER($G137),$G137&lt;=IF($S137=MesCiclo,InicioCiclo,$S137+MOD(2-WEEKDAY($S137),7))+13),1,IF(ISNUMBER($J137),$J137,$Y137)))</f>
        <v/>
      </c>
      <c r="AA137" s="62">
        <f>IF($V137="","",IF(AND(ISNUMBER($G137),$G137&lt;=IF($S137=MesCiclo,InicioCiclo,$S137+MOD(2-WEEKDAY($S137),7))+20),1,IF(ISNUMBER($K137),$K137,$Z137)))</f>
        <v/>
      </c>
      <c r="AB137" s="62">
        <f>IF($V137="","",IF(AND(ISNUMBER($G137),$G137&lt;=IF($S137=MesCiclo,InicioCiclo,$S137+MOD(2-WEEKDAY($S137),7))+27),1,IF(ISNUMBER($L137),$L137,$AA137)))</f>
        <v/>
      </c>
      <c r="AC137" s="62">
        <f>IF($V137="","",IF(AND(ISNUMBER($G137),$G137&lt;=IF($S137=MesCiclo,InicioCiclo,$S137+MOD(2-WEEKDAY($S137),7))+6),1,IF(N($W137)&gt;0,AVERAGEIFS($Y$5:$Y$1000,$U$5:$U$1000,ROW(),$V$5:$V$1000,"Sub"),$Y137)))</f>
        <v/>
      </c>
      <c r="AD137" s="62">
        <f>IF($V137="","",IF(AND(ISNUMBER($G137),$G137&lt;=IF($S137=MesCiclo,InicioCiclo,$S137+MOD(2-WEEKDAY($S137),7))+13),1,IF(N($W137)&gt;0,AVERAGEIFS($Z$5:$Z$1000,$U$5:$U$1000,ROW(),$V$5:$V$1000,"Sub"),$Z137)))</f>
        <v/>
      </c>
      <c r="AE137" s="62">
        <f>IF($V137="","",IF(AND(ISNUMBER($G137),$G137&lt;=IF($S137=MesCiclo,InicioCiclo,$S137+MOD(2-WEEKDAY($S137),7))+20),1,IF(N($W137)&gt;0,AVERAGEIFS($AA$5:$AA$1000,$U$5:$U$1000,ROW(),$V$5:$V$1000,"Sub"),$AA137)))</f>
        <v/>
      </c>
      <c r="AF137" s="62">
        <f>IF($V137="","",IF(AND(ISNUMBER($G137),$G137&lt;=IF($S137=MesCiclo,InicioCiclo,$S137+MOD(2-WEEKDAY($S137),7))+27),1,IF(N($W137)&gt;0,AVERAGEIFS($AB$5:$AB$1000,$U$5:$U$1000,ROW(),$V$5:$V$1000,"Sub"),$AB137)))</f>
        <v/>
      </c>
      <c r="AG137" s="62">
        <f>IF($V137&lt;&gt;"Macro","",IF(COUNTIFS($S$5:$S$1000,$S137,$V$5:$V$1000,"Macro",$H$5:$H$1000,"&gt;0")=0,1/COUNTIFS($S$5:$S$1000,$S137,$V$5:$V$1000,"Macro"),IF(AND(ISNUMBER($H137),N($H137)&gt;0),$H137,SUMIFS($H$5:$H$1000,$S$5:$S$1000,$S137,$V$5:$V$1000,"Macro")/COUNTIFS($S$5:$S$1000,$S137,$V$5:$V$1000,"Macro",$H$5:$H$1000,"&gt;0"))/(COUNTIFS($S$5:$S$1000,$S137,$V$5:$V$1000,"Macro")*SUMIFS($H$5:$H$1000,$S$5:$S$1000,$S137,$V$5:$V$1000,"Macro")/COUNTIFS($S$5:$S$1000,$S137,$V$5:$V$1000,"Macro",$H$5:$H$1000,"&gt;0"))))</f>
        <v/>
      </c>
      <c r="AH137" s="62" t="n"/>
      <c r="AI137" s="62" t="n"/>
      <c r="AJ137" s="62" t="n"/>
      <c r="AK137" s="62" t="n"/>
      <c r="AL137" s="62">
        <f>IF(LEFT($C137,11)="[Jefatura] ",IFERROR(MATCH("Riesgo Normativo|"&amp;MID($C137,12,500),rDname_ADM,0),0),"")</f>
        <v/>
      </c>
      <c r="AM137" s="62">
        <f>IF(N($AL137)&gt;0,INDEX(rIni_ADM,$AL137),IF(ISNUMBER($E137),$E137,""))</f>
        <v/>
      </c>
      <c r="AN137" s="62">
        <f>IF(N($AL137)&gt;0,INDEX(rLim_ADM,$AL137),IF(ISNUMBER($F137),$F137,""))</f>
        <v/>
      </c>
    </row>
    <row r="138">
      <c r="A138" s="56">
        <f>IF(NOT((COUNTA($B138:$D138)+COUNTA($G138:$L138)+COUNTA($Q138))&gt;0),"",IF($V138="Macro",COUNTIFS($V$5:$V138,"Macro",$S$5:$S138,$S138),IF(N($U138)=0,"?",COUNTIFS(INDEX($V$5:$V$1000,1):INDEX($V$5:$V$1000,$U138-4),"Macro",INDEX($S$5:$S$1000,1):INDEX($S$5:$S$1000,$U138-4),INDEX($S$5:$S$1000,$U138-4))&amp;"."&amp;COUNTIFS($U$5:$U138,$U138,$V$5:$V138,"Sub"))))</f>
        <v/>
      </c>
      <c r="B138" s="57" t="n"/>
      <c r="C138" s="58" t="n"/>
      <c r="D138" s="58" t="n"/>
      <c r="E138" s="59">
        <f>IF(N($AL138)&gt;0,INDEX(rIni_ADM,$AL138),"")</f>
        <v/>
      </c>
      <c r="F138" s="59">
        <f>IF(N($AL138)&gt;0,INDEX(rLim_ADM,$AL138),"")</f>
        <v/>
      </c>
      <c r="G138" s="59" t="n"/>
      <c r="H138" s="60" t="n"/>
      <c r="I138" s="60" t="n"/>
      <c r="J138" s="60" t="n"/>
      <c r="K138" s="60" t="n"/>
      <c r="L138" s="60" t="n"/>
      <c r="M138" s="61">
        <f>IF(NOT((COUNTA($B138:$D138)+COUNTA($G138:$L138)+COUNTA($Q138))&gt;0),"",IF($V138="Sub",IFERROR($X138/INDEX($W$5:$W$1000,$U138-4),""),IF(ISNUMBER($G138),1,IF(N($W138)&gt;0,AVERAGEIFS($X$5:$X$1000,$U$5:$U$1000,ROW(),$V$5:$V$1000,"Sub"),$X138))))</f>
        <v/>
      </c>
      <c r="N138" s="56">
        <f>IF(OR($M138="",$V138="Sub"),"",IF($M138&gt;=1,"Completado",IF($M138&gt;0,"En curso","Pendiente")))</f>
        <v/>
      </c>
      <c r="O138" s="56">
        <f>IF(OR(NOT((COUNTA($B138:$D138)+COUNTA($G138:$L138)+COUNTA($Q138))&gt;0),$V138="Sub"),"",IF(ISNUMBER($G138),IF(AND(ISNUMBER($AN138),$G138&gt;$AN138),"Cumplida con "&amp;($G138-$AN138)&amp;IF($G138-$AN138=1," día"," días")&amp;" de retraso","Cumplida"),IF(N($M138)&gt;=1,"Cumplida",IF(NOT(ISNUMBER($AN138)),"Sin fecha límite",IF($AN138&lt;FechaRef,"Vencida hace "&amp;(FechaRef-$AN138)&amp;IF(FechaRef-$AN138=1," día"," días"),IF($AN138=FechaRef,"Vence hoy",IF($AN138-FechaRef&lt;=DiasAlerta,"Vence en "&amp;($AN138-FechaRef)&amp;IF($AN138-FechaRef=1," día"," días"),"En plazo")))))))</f>
        <v/>
      </c>
      <c r="P138" s="62" t="n"/>
      <c r="Q138" s="58" t="n"/>
      <c r="R138" s="63">
        <f>IF(NOT((COUNTA($B138:$D138)+COUNTA($G138:$L138)+COUNTA($Q138))&gt;0),"",IF((IF($C138="","Falta el nombre de la actividad"&amp;" · ","")&amp;IF(AND($V138="Sub",N($U138)=0),"Subactividad sin macroactividad arriba"&amp;" · ","")&amp;IF($AM138="","Sin fecha de inicio"&amp;" · ","")&amp;IF($AN138="","Sin fecha límite"&amp;" · ","")&amp;IF(AND(LEFT($C138,11)="[Jefatura] ",N($AL138)=0),"No se encuentra en la hoja de la jefatura (elíjala de nuevo en la lista)"&amp;" · ","")&amp;IF(OR(AND($E138&lt;&gt;"",NOT(ISNUMBER($E138))),AND($F138&lt;&gt;"",NOT(ISNUMBER($F138))),AND($G138&lt;&gt;"",NOT(ISNUMBER($G138)))),"Fecha no válida"&amp;" · ","")&amp;IF(AND(ISNUMBER($AM138),ISNUMBER($AN138),$AM138&gt;$AN138),"Inicio posterior a fecha límite"&amp;" · ","")&amp;IF(AND($V138="Macro",$H138&lt;&gt;"",OR(NOT(ISNUMBER($H138)),$H138&lt;0,$H138&gt;1)),"Peso fuera de rango"&amp;" · ","")&amp;IF(AND($V138="Sub",$H138&lt;&gt;""),"Las subactividades no llevan peso (valen igual dentro de su macroactividad)"&amp;" · ","")&amp;IF(AND(N($W138)&gt;0,COUNT($I138:$L138)&gt;0),"Con subactividades: deje vacías las semanas (se calculan solas)"&amp;" · ","")&amp;IF((COUNTIF($I138:$L138,"&gt;1")+COUNTIF($I138:$L138,"&lt;0")+COUNTA($I138:$L138)-COUNT($I138:$L138))&gt;0,"Avance fuera de rango 0-100%"&amp;" · ","")&amp;IF(OR(AND($J138&lt;&gt;"",$J138&lt;$I138),AND($K138&lt;&gt;"",$K138&lt;MAX($I138:$J138)),AND($L138&lt;&gt;"",$L138&lt;MAX($I138:$K138))),"Avance semanal decreciente"&amp;" · ","")&amp;IF(AND(ISNUMBER($AN138),$AN138&lt;FechaRef,IF($V138="Sub",N($X138),N($M138))&lt;1),"Vencida"&amp;" · ","")&amp;IF(AND(ObsObligatoria="Sí",ISNUMBER($AN138),$AN138&lt;FechaRef,IF($V138="Sub",N($X138),N($M138))&lt;1,$Q138=""),"Vencida sin observación"&amp;" · ",""))="","✔ OK","⚠ "&amp;LEFT(IF($C138="","Falta el nombre de la actividad"&amp;" · ","")&amp;IF(AND($V138="Sub",N($U138)=0),"Subactividad sin macroactividad arriba"&amp;" · ","")&amp;IF($AM138="","Sin fecha de inicio"&amp;" · ","")&amp;IF($AN138="","Sin fecha límite"&amp;" · ","")&amp;IF(AND(LEFT($C138,11)="[Jefatura] ",N($AL138)=0),"No se encuentra en la hoja de la jefatura (elíjala de nuevo en la lista)"&amp;" · ","")&amp;IF(OR(AND($E138&lt;&gt;"",NOT(ISNUMBER($E138))),AND($F138&lt;&gt;"",NOT(ISNUMBER($F138))),AND($G138&lt;&gt;"",NOT(ISNUMBER($G138)))),"Fecha no válida"&amp;" · ","")&amp;IF(AND(ISNUMBER($AM138),ISNUMBER($AN138),$AM138&gt;$AN138),"Inicio posterior a fecha límite"&amp;" · ","")&amp;IF(AND($V138="Macro",$H138&lt;&gt;"",OR(NOT(ISNUMBER($H138)),$H138&lt;0,$H138&gt;1)),"Peso fuera de rango"&amp;" · ","")&amp;IF(AND($V138="Sub",$H138&lt;&gt;""),"Las subactividades no llevan peso (valen igual dentro de su macroactividad)"&amp;" · ","")&amp;IF(AND(N($W138)&gt;0,COUNT($I138:$L138)&gt;0),"Con subactividades: deje vacías las semanas (se calculan solas)"&amp;" · ","")&amp;IF((COUNTIF($I138:$L138,"&gt;1")+COUNTIF($I138:$L138,"&lt;0")+COUNTA($I138:$L138)-COUNT($I138:$L138))&gt;0,"Avance fuera de rango 0-100%"&amp;" · ","")&amp;IF(OR(AND($J138&lt;&gt;"",$J138&lt;$I138),AND($K138&lt;&gt;"",$K138&lt;MAX($I138:$J138)),AND($L138&lt;&gt;"",$L138&lt;MAX($I138:$K138))),"Avance semanal decreciente"&amp;" · ","")&amp;IF(AND(ISNUMBER($AN138),$AN138&lt;FechaRef,IF($V138="Sub",N($X138),N($M138))&lt;1),"Vencida"&amp;" · ","")&amp;IF(AND(ObsObligatoria="Sí",ISNUMBER($AN138),$AN138&lt;FechaRef,IF($V138="Sub",N($X138),N($M138))&lt;1,$Q138=""),"Vencida sin observación"&amp;" · ",""),LEN(IF($C138="","Falta el nombre de la actividad"&amp;" · ","")&amp;IF(AND($V138="Sub",N($U138)=0),"Subactividad sin macroactividad arriba"&amp;" · ","")&amp;IF($AM138="","Sin fecha de inicio"&amp;" · ","")&amp;IF($AN138="","Sin fecha límite"&amp;" · ","")&amp;IF(AND(LEFT($C138,11)="[Jefatura] ",N($AL138)=0),"No se encuentra en la hoja de la jefatura (elíjala de nuevo en la lista)"&amp;" · ","")&amp;IF(OR(AND($E138&lt;&gt;"",NOT(ISNUMBER($E138))),AND($F138&lt;&gt;"",NOT(ISNUMBER($F138))),AND($G138&lt;&gt;"",NOT(ISNUMBER($G138)))),"Fecha no válida"&amp;" · ","")&amp;IF(AND(ISNUMBER($AM138),ISNUMBER($AN138),$AM138&gt;$AN138),"Inicio posterior a fecha límite"&amp;" · ","")&amp;IF(AND($V138="Macro",$H138&lt;&gt;"",OR(NOT(ISNUMBER($H138)),$H138&lt;0,$H138&gt;1)),"Peso fuera de rango"&amp;" · ","")&amp;IF(AND($V138="Sub",$H138&lt;&gt;""),"Las subactividades no llevan peso (valen igual dentro de su macroactividad)"&amp;" · ","")&amp;IF(AND(N($W138)&gt;0,COUNT($I138:$L138)&gt;0),"Con subactividades: deje vacías las semanas (se calculan solas)"&amp;" · ","")&amp;IF((COUNTIF($I138:$L138,"&gt;1")+COUNTIF($I138:$L138,"&lt;0")+COUNTA($I138:$L138)-COUNT($I138:$L138))&gt;0,"Avance fuera de rango 0-100%"&amp;" · ","")&amp;IF(OR(AND($J138&lt;&gt;"",$J138&lt;$I138),AND($K138&lt;&gt;"",$K138&lt;MAX($I138:$J138)),AND($L138&lt;&gt;"",$L138&lt;MAX($I138:$K138))),"Avance semanal decreciente"&amp;" · ","")&amp;IF(AND(ISNUMBER($AN138),$AN138&lt;FechaRef,IF($V138="Sub",N($X138),N($M138))&lt;1),"Vencida"&amp;" · ","")&amp;IF(AND(ObsObligatoria="Sí",ISNUMBER($AN138),$AN138&lt;FechaRef,IF($V138="Sub",N($X138),N($M138))&lt;1,$Q138=""),"Vencida sin observación"&amp;" · ",""))-3)))</f>
        <v/>
      </c>
      <c r="S138" s="64">
        <f>IF(NOT((COUNTA($B138:$D138)+COUNTA($G138:$L138)+COUNTA($Q138))&gt;0),"",IF(AND($V138="Sub",N($U138)&gt;0),IF(ISNUMBER(INDEX($AM$5:$AM$1000,$U138-4)),DATE(YEAR(INDEX($AM$5:$AM$1000,$U138-4)),MONTH(INDEX($AM$5:$AM$1000,$U138-4)),1),IF(ISNUMBER(INDEX($AN$5:$AN$1000,$U138-4)),DATE(YEAR(INDEX($AN$5:$AN$1000,$U138-4)),MONTH(INDEX($AN$5:$AN$1000,$U138-4)),1),MesCiclo)),IF(ISNUMBER($AM138),DATE(YEAR($AM138),MONTH($AM138),1),IF(ISNUMBER($AN138),DATE(YEAR($AN138),MONTH($AN138),1),MesCiclo))))</f>
        <v/>
      </c>
      <c r="T138" s="62">
        <f>IF(OR($S138="",$S138&lt;&gt;MesCiclo,$V138&lt;&gt;"Macro"),"",COUNTIFS($S$5:$S138,MesCiclo,$V$5:$V138,"Macro"))</f>
        <v/>
      </c>
      <c r="U138" s="62">
        <f>IF($V138="","",IF($V138="Macro",ROW(),IFERROR(LOOKUP(2,1/($V$5:$V138="Macro"),ROW($V$5:$V138)),0)))</f>
        <v/>
      </c>
      <c r="V138" s="62">
        <f>IF(NOT((COUNTA($B138:$D138)+COUNTA($G138:$L138)+COUNTA($Q138))&gt;0),"",IF($B138="Subactividad","Sub","Macro"))</f>
        <v/>
      </c>
      <c r="W138" s="62">
        <f>IF($V138="Macro",COUNTIFS($U$5:$U$1000,ROW(),$V$5:$V$1000,"Sub"),"")</f>
        <v/>
      </c>
      <c r="X138" s="62">
        <f>IF($V138="","",IF(ISNUMBER($G138),1,IFERROR(LOOKUP(2,1/($I138:$L138&lt;&gt;""),$I138:$L138),0)))</f>
        <v/>
      </c>
      <c r="Y138" s="62">
        <f>IF($V138="","",IF(AND(ISNUMBER($G138),$G138&lt;=IF($S138=MesCiclo,InicioCiclo,$S138+MOD(2-WEEKDAY($S138),7))+6),1,IF(ISNUMBER($I138),$I138,0)))</f>
        <v/>
      </c>
      <c r="Z138" s="62">
        <f>IF($V138="","",IF(AND(ISNUMBER($G138),$G138&lt;=IF($S138=MesCiclo,InicioCiclo,$S138+MOD(2-WEEKDAY($S138),7))+13),1,IF(ISNUMBER($J138),$J138,$Y138)))</f>
        <v/>
      </c>
      <c r="AA138" s="62">
        <f>IF($V138="","",IF(AND(ISNUMBER($G138),$G138&lt;=IF($S138=MesCiclo,InicioCiclo,$S138+MOD(2-WEEKDAY($S138),7))+20),1,IF(ISNUMBER($K138),$K138,$Z138)))</f>
        <v/>
      </c>
      <c r="AB138" s="62">
        <f>IF($V138="","",IF(AND(ISNUMBER($G138),$G138&lt;=IF($S138=MesCiclo,InicioCiclo,$S138+MOD(2-WEEKDAY($S138),7))+27),1,IF(ISNUMBER($L138),$L138,$AA138)))</f>
        <v/>
      </c>
      <c r="AC138" s="62">
        <f>IF($V138="","",IF(AND(ISNUMBER($G138),$G138&lt;=IF($S138=MesCiclo,InicioCiclo,$S138+MOD(2-WEEKDAY($S138),7))+6),1,IF(N($W138)&gt;0,AVERAGEIFS($Y$5:$Y$1000,$U$5:$U$1000,ROW(),$V$5:$V$1000,"Sub"),$Y138)))</f>
        <v/>
      </c>
      <c r="AD138" s="62">
        <f>IF($V138="","",IF(AND(ISNUMBER($G138),$G138&lt;=IF($S138=MesCiclo,InicioCiclo,$S138+MOD(2-WEEKDAY($S138),7))+13),1,IF(N($W138)&gt;0,AVERAGEIFS($Z$5:$Z$1000,$U$5:$U$1000,ROW(),$V$5:$V$1000,"Sub"),$Z138)))</f>
        <v/>
      </c>
      <c r="AE138" s="62">
        <f>IF($V138="","",IF(AND(ISNUMBER($G138),$G138&lt;=IF($S138=MesCiclo,InicioCiclo,$S138+MOD(2-WEEKDAY($S138),7))+20),1,IF(N($W138)&gt;0,AVERAGEIFS($AA$5:$AA$1000,$U$5:$U$1000,ROW(),$V$5:$V$1000,"Sub"),$AA138)))</f>
        <v/>
      </c>
      <c r="AF138" s="62">
        <f>IF($V138="","",IF(AND(ISNUMBER($G138),$G138&lt;=IF($S138=MesCiclo,InicioCiclo,$S138+MOD(2-WEEKDAY($S138),7))+27),1,IF(N($W138)&gt;0,AVERAGEIFS($AB$5:$AB$1000,$U$5:$U$1000,ROW(),$V$5:$V$1000,"Sub"),$AB138)))</f>
        <v/>
      </c>
      <c r="AG138" s="62">
        <f>IF($V138&lt;&gt;"Macro","",IF(COUNTIFS($S$5:$S$1000,$S138,$V$5:$V$1000,"Macro",$H$5:$H$1000,"&gt;0")=0,1/COUNTIFS($S$5:$S$1000,$S138,$V$5:$V$1000,"Macro"),IF(AND(ISNUMBER($H138),N($H138)&gt;0),$H138,SUMIFS($H$5:$H$1000,$S$5:$S$1000,$S138,$V$5:$V$1000,"Macro")/COUNTIFS($S$5:$S$1000,$S138,$V$5:$V$1000,"Macro",$H$5:$H$1000,"&gt;0"))/(COUNTIFS($S$5:$S$1000,$S138,$V$5:$V$1000,"Macro")*SUMIFS($H$5:$H$1000,$S$5:$S$1000,$S138,$V$5:$V$1000,"Macro")/COUNTIFS($S$5:$S$1000,$S138,$V$5:$V$1000,"Macro",$H$5:$H$1000,"&gt;0"))))</f>
        <v/>
      </c>
      <c r="AH138" s="62" t="n"/>
      <c r="AI138" s="62" t="n"/>
      <c r="AJ138" s="62" t="n"/>
      <c r="AK138" s="62" t="n"/>
      <c r="AL138" s="62">
        <f>IF(LEFT($C138,11)="[Jefatura] ",IFERROR(MATCH("Riesgo Normativo|"&amp;MID($C138,12,500),rDname_ADM,0),0),"")</f>
        <v/>
      </c>
      <c r="AM138" s="62">
        <f>IF(N($AL138)&gt;0,INDEX(rIni_ADM,$AL138),IF(ISNUMBER($E138),$E138,""))</f>
        <v/>
      </c>
      <c r="AN138" s="62">
        <f>IF(N($AL138)&gt;0,INDEX(rLim_ADM,$AL138),IF(ISNUMBER($F138),$F138,""))</f>
        <v/>
      </c>
    </row>
    <row r="139">
      <c r="A139" s="56">
        <f>IF(NOT((COUNTA($B139:$D139)+COUNTA($G139:$L139)+COUNTA($Q139))&gt;0),"",IF($V139="Macro",COUNTIFS($V$5:$V139,"Macro",$S$5:$S139,$S139),IF(N($U139)=0,"?",COUNTIFS(INDEX($V$5:$V$1000,1):INDEX($V$5:$V$1000,$U139-4),"Macro",INDEX($S$5:$S$1000,1):INDEX($S$5:$S$1000,$U139-4),INDEX($S$5:$S$1000,$U139-4))&amp;"."&amp;COUNTIFS($U$5:$U139,$U139,$V$5:$V139,"Sub"))))</f>
        <v/>
      </c>
      <c r="B139" s="57" t="n"/>
      <c r="C139" s="58" t="n"/>
      <c r="D139" s="58" t="n"/>
      <c r="E139" s="59">
        <f>IF(N($AL139)&gt;0,INDEX(rIni_ADM,$AL139),"")</f>
        <v/>
      </c>
      <c r="F139" s="59">
        <f>IF(N($AL139)&gt;0,INDEX(rLim_ADM,$AL139),"")</f>
        <v/>
      </c>
      <c r="G139" s="59" t="n"/>
      <c r="H139" s="60" t="n"/>
      <c r="I139" s="60" t="n"/>
      <c r="J139" s="60" t="n"/>
      <c r="K139" s="60" t="n"/>
      <c r="L139" s="60" t="n"/>
      <c r="M139" s="61">
        <f>IF(NOT((COUNTA($B139:$D139)+COUNTA($G139:$L139)+COUNTA($Q139))&gt;0),"",IF($V139="Sub",IFERROR($X139/INDEX($W$5:$W$1000,$U139-4),""),IF(ISNUMBER($G139),1,IF(N($W139)&gt;0,AVERAGEIFS($X$5:$X$1000,$U$5:$U$1000,ROW(),$V$5:$V$1000,"Sub"),$X139))))</f>
        <v/>
      </c>
      <c r="N139" s="56">
        <f>IF(OR($M139="",$V139="Sub"),"",IF($M139&gt;=1,"Completado",IF($M139&gt;0,"En curso","Pendiente")))</f>
        <v/>
      </c>
      <c r="O139" s="56">
        <f>IF(OR(NOT((COUNTA($B139:$D139)+COUNTA($G139:$L139)+COUNTA($Q139))&gt;0),$V139="Sub"),"",IF(ISNUMBER($G139),IF(AND(ISNUMBER($AN139),$G139&gt;$AN139),"Cumplida con "&amp;($G139-$AN139)&amp;IF($G139-$AN139=1," día"," días")&amp;" de retraso","Cumplida"),IF(N($M139)&gt;=1,"Cumplida",IF(NOT(ISNUMBER($AN139)),"Sin fecha límite",IF($AN139&lt;FechaRef,"Vencida hace "&amp;(FechaRef-$AN139)&amp;IF(FechaRef-$AN139=1," día"," días"),IF($AN139=FechaRef,"Vence hoy",IF($AN139-FechaRef&lt;=DiasAlerta,"Vence en "&amp;($AN139-FechaRef)&amp;IF($AN139-FechaRef=1," día"," días"),"En plazo")))))))</f>
        <v/>
      </c>
      <c r="P139" s="62" t="n"/>
      <c r="Q139" s="58" t="n"/>
      <c r="R139" s="63">
        <f>IF(NOT((COUNTA($B139:$D139)+COUNTA($G139:$L139)+COUNTA($Q139))&gt;0),"",IF((IF($C139="","Falta el nombre de la actividad"&amp;" · ","")&amp;IF(AND($V139="Sub",N($U139)=0),"Subactividad sin macroactividad arriba"&amp;" · ","")&amp;IF($AM139="","Sin fecha de inicio"&amp;" · ","")&amp;IF($AN139="","Sin fecha límite"&amp;" · ","")&amp;IF(AND(LEFT($C139,11)="[Jefatura] ",N($AL139)=0),"No se encuentra en la hoja de la jefatura (elíjala de nuevo en la lista)"&amp;" · ","")&amp;IF(OR(AND($E139&lt;&gt;"",NOT(ISNUMBER($E139))),AND($F139&lt;&gt;"",NOT(ISNUMBER($F139))),AND($G139&lt;&gt;"",NOT(ISNUMBER($G139)))),"Fecha no válida"&amp;" · ","")&amp;IF(AND(ISNUMBER($AM139),ISNUMBER($AN139),$AM139&gt;$AN139),"Inicio posterior a fecha límite"&amp;" · ","")&amp;IF(AND($V139="Macro",$H139&lt;&gt;"",OR(NOT(ISNUMBER($H139)),$H139&lt;0,$H139&gt;1)),"Peso fuera de rango"&amp;" · ","")&amp;IF(AND($V139="Sub",$H139&lt;&gt;""),"Las subactividades no llevan peso (valen igual dentro de su macroactividad)"&amp;" · ","")&amp;IF(AND(N($W139)&gt;0,COUNT($I139:$L139)&gt;0),"Con subactividades: deje vacías las semanas (se calculan solas)"&amp;" · ","")&amp;IF((COUNTIF($I139:$L139,"&gt;1")+COUNTIF($I139:$L139,"&lt;0")+COUNTA($I139:$L139)-COUNT($I139:$L139))&gt;0,"Avance fuera de rango 0-100%"&amp;" · ","")&amp;IF(OR(AND($J139&lt;&gt;"",$J139&lt;$I139),AND($K139&lt;&gt;"",$K139&lt;MAX($I139:$J139)),AND($L139&lt;&gt;"",$L139&lt;MAX($I139:$K139))),"Avance semanal decreciente"&amp;" · ","")&amp;IF(AND(ISNUMBER($AN139),$AN139&lt;FechaRef,IF($V139="Sub",N($X139),N($M139))&lt;1),"Vencida"&amp;" · ","")&amp;IF(AND(ObsObligatoria="Sí",ISNUMBER($AN139),$AN139&lt;FechaRef,IF($V139="Sub",N($X139),N($M139))&lt;1,$Q139=""),"Vencida sin observación"&amp;" · ",""))="","✔ OK","⚠ "&amp;LEFT(IF($C139="","Falta el nombre de la actividad"&amp;" · ","")&amp;IF(AND($V139="Sub",N($U139)=0),"Subactividad sin macroactividad arriba"&amp;" · ","")&amp;IF($AM139="","Sin fecha de inicio"&amp;" · ","")&amp;IF($AN139="","Sin fecha límite"&amp;" · ","")&amp;IF(AND(LEFT($C139,11)="[Jefatura] ",N($AL139)=0),"No se encuentra en la hoja de la jefatura (elíjala de nuevo en la lista)"&amp;" · ","")&amp;IF(OR(AND($E139&lt;&gt;"",NOT(ISNUMBER($E139))),AND($F139&lt;&gt;"",NOT(ISNUMBER($F139))),AND($G139&lt;&gt;"",NOT(ISNUMBER($G139)))),"Fecha no válida"&amp;" · ","")&amp;IF(AND(ISNUMBER($AM139),ISNUMBER($AN139),$AM139&gt;$AN139),"Inicio posterior a fecha límite"&amp;" · ","")&amp;IF(AND($V139="Macro",$H139&lt;&gt;"",OR(NOT(ISNUMBER($H139)),$H139&lt;0,$H139&gt;1)),"Peso fuera de rango"&amp;" · ","")&amp;IF(AND($V139="Sub",$H139&lt;&gt;""),"Las subactividades no llevan peso (valen igual dentro de su macroactividad)"&amp;" · ","")&amp;IF(AND(N($W139)&gt;0,COUNT($I139:$L139)&gt;0),"Con subactividades: deje vacías las semanas (se calculan solas)"&amp;" · ","")&amp;IF((COUNTIF($I139:$L139,"&gt;1")+COUNTIF($I139:$L139,"&lt;0")+COUNTA($I139:$L139)-COUNT($I139:$L139))&gt;0,"Avance fuera de rango 0-100%"&amp;" · ","")&amp;IF(OR(AND($J139&lt;&gt;"",$J139&lt;$I139),AND($K139&lt;&gt;"",$K139&lt;MAX($I139:$J139)),AND($L139&lt;&gt;"",$L139&lt;MAX($I139:$K139))),"Avance semanal decreciente"&amp;" · ","")&amp;IF(AND(ISNUMBER($AN139),$AN139&lt;FechaRef,IF($V139="Sub",N($X139),N($M139))&lt;1),"Vencida"&amp;" · ","")&amp;IF(AND(ObsObligatoria="Sí",ISNUMBER($AN139),$AN139&lt;FechaRef,IF($V139="Sub",N($X139),N($M139))&lt;1,$Q139=""),"Vencida sin observación"&amp;" · ",""),LEN(IF($C139="","Falta el nombre de la actividad"&amp;" · ","")&amp;IF(AND($V139="Sub",N($U139)=0),"Subactividad sin macroactividad arriba"&amp;" · ","")&amp;IF($AM139="","Sin fecha de inicio"&amp;" · ","")&amp;IF($AN139="","Sin fecha límite"&amp;" · ","")&amp;IF(AND(LEFT($C139,11)="[Jefatura] ",N($AL139)=0),"No se encuentra en la hoja de la jefatura (elíjala de nuevo en la lista)"&amp;" · ","")&amp;IF(OR(AND($E139&lt;&gt;"",NOT(ISNUMBER($E139))),AND($F139&lt;&gt;"",NOT(ISNUMBER($F139))),AND($G139&lt;&gt;"",NOT(ISNUMBER($G139)))),"Fecha no válida"&amp;" · ","")&amp;IF(AND(ISNUMBER($AM139),ISNUMBER($AN139),$AM139&gt;$AN139),"Inicio posterior a fecha límite"&amp;" · ","")&amp;IF(AND($V139="Macro",$H139&lt;&gt;"",OR(NOT(ISNUMBER($H139)),$H139&lt;0,$H139&gt;1)),"Peso fuera de rango"&amp;" · ","")&amp;IF(AND($V139="Sub",$H139&lt;&gt;""),"Las subactividades no llevan peso (valen igual dentro de su macroactividad)"&amp;" · ","")&amp;IF(AND(N($W139)&gt;0,COUNT($I139:$L139)&gt;0),"Con subactividades: deje vacías las semanas (se calculan solas)"&amp;" · ","")&amp;IF((COUNTIF($I139:$L139,"&gt;1")+COUNTIF($I139:$L139,"&lt;0")+COUNTA($I139:$L139)-COUNT($I139:$L139))&gt;0,"Avance fuera de rango 0-100%"&amp;" · ","")&amp;IF(OR(AND($J139&lt;&gt;"",$J139&lt;$I139),AND($K139&lt;&gt;"",$K139&lt;MAX($I139:$J139)),AND($L139&lt;&gt;"",$L139&lt;MAX($I139:$K139))),"Avance semanal decreciente"&amp;" · ","")&amp;IF(AND(ISNUMBER($AN139),$AN139&lt;FechaRef,IF($V139="Sub",N($X139),N($M139))&lt;1),"Vencida"&amp;" · ","")&amp;IF(AND(ObsObligatoria="Sí",ISNUMBER($AN139),$AN139&lt;FechaRef,IF($V139="Sub",N($X139),N($M139))&lt;1,$Q139=""),"Vencida sin observación"&amp;" · ",""))-3)))</f>
        <v/>
      </c>
      <c r="S139" s="64">
        <f>IF(NOT((COUNTA($B139:$D139)+COUNTA($G139:$L139)+COUNTA($Q139))&gt;0),"",IF(AND($V139="Sub",N($U139)&gt;0),IF(ISNUMBER(INDEX($AM$5:$AM$1000,$U139-4)),DATE(YEAR(INDEX($AM$5:$AM$1000,$U139-4)),MONTH(INDEX($AM$5:$AM$1000,$U139-4)),1),IF(ISNUMBER(INDEX($AN$5:$AN$1000,$U139-4)),DATE(YEAR(INDEX($AN$5:$AN$1000,$U139-4)),MONTH(INDEX($AN$5:$AN$1000,$U139-4)),1),MesCiclo)),IF(ISNUMBER($AM139),DATE(YEAR($AM139),MONTH($AM139),1),IF(ISNUMBER($AN139),DATE(YEAR($AN139),MONTH($AN139),1),MesCiclo))))</f>
        <v/>
      </c>
      <c r="T139" s="62">
        <f>IF(OR($S139="",$S139&lt;&gt;MesCiclo,$V139&lt;&gt;"Macro"),"",COUNTIFS($S$5:$S139,MesCiclo,$V$5:$V139,"Macro"))</f>
        <v/>
      </c>
      <c r="U139" s="62">
        <f>IF($V139="","",IF($V139="Macro",ROW(),IFERROR(LOOKUP(2,1/($V$5:$V139="Macro"),ROW($V$5:$V139)),0)))</f>
        <v/>
      </c>
      <c r="V139" s="62">
        <f>IF(NOT((COUNTA($B139:$D139)+COUNTA($G139:$L139)+COUNTA($Q139))&gt;0),"",IF($B139="Subactividad","Sub","Macro"))</f>
        <v/>
      </c>
      <c r="W139" s="62">
        <f>IF($V139="Macro",COUNTIFS($U$5:$U$1000,ROW(),$V$5:$V$1000,"Sub"),"")</f>
        <v/>
      </c>
      <c r="X139" s="62">
        <f>IF($V139="","",IF(ISNUMBER($G139),1,IFERROR(LOOKUP(2,1/($I139:$L139&lt;&gt;""),$I139:$L139),0)))</f>
        <v/>
      </c>
      <c r="Y139" s="62">
        <f>IF($V139="","",IF(AND(ISNUMBER($G139),$G139&lt;=IF($S139=MesCiclo,InicioCiclo,$S139+MOD(2-WEEKDAY($S139),7))+6),1,IF(ISNUMBER($I139),$I139,0)))</f>
        <v/>
      </c>
      <c r="Z139" s="62">
        <f>IF($V139="","",IF(AND(ISNUMBER($G139),$G139&lt;=IF($S139=MesCiclo,InicioCiclo,$S139+MOD(2-WEEKDAY($S139),7))+13),1,IF(ISNUMBER($J139),$J139,$Y139)))</f>
        <v/>
      </c>
      <c r="AA139" s="62">
        <f>IF($V139="","",IF(AND(ISNUMBER($G139),$G139&lt;=IF($S139=MesCiclo,InicioCiclo,$S139+MOD(2-WEEKDAY($S139),7))+20),1,IF(ISNUMBER($K139),$K139,$Z139)))</f>
        <v/>
      </c>
      <c r="AB139" s="62">
        <f>IF($V139="","",IF(AND(ISNUMBER($G139),$G139&lt;=IF($S139=MesCiclo,InicioCiclo,$S139+MOD(2-WEEKDAY($S139),7))+27),1,IF(ISNUMBER($L139),$L139,$AA139)))</f>
        <v/>
      </c>
      <c r="AC139" s="62">
        <f>IF($V139="","",IF(AND(ISNUMBER($G139),$G139&lt;=IF($S139=MesCiclo,InicioCiclo,$S139+MOD(2-WEEKDAY($S139),7))+6),1,IF(N($W139)&gt;0,AVERAGEIFS($Y$5:$Y$1000,$U$5:$U$1000,ROW(),$V$5:$V$1000,"Sub"),$Y139)))</f>
        <v/>
      </c>
      <c r="AD139" s="62">
        <f>IF($V139="","",IF(AND(ISNUMBER($G139),$G139&lt;=IF($S139=MesCiclo,InicioCiclo,$S139+MOD(2-WEEKDAY($S139),7))+13),1,IF(N($W139)&gt;0,AVERAGEIFS($Z$5:$Z$1000,$U$5:$U$1000,ROW(),$V$5:$V$1000,"Sub"),$Z139)))</f>
        <v/>
      </c>
      <c r="AE139" s="62">
        <f>IF($V139="","",IF(AND(ISNUMBER($G139),$G139&lt;=IF($S139=MesCiclo,InicioCiclo,$S139+MOD(2-WEEKDAY($S139),7))+20),1,IF(N($W139)&gt;0,AVERAGEIFS($AA$5:$AA$1000,$U$5:$U$1000,ROW(),$V$5:$V$1000,"Sub"),$AA139)))</f>
        <v/>
      </c>
      <c r="AF139" s="62">
        <f>IF($V139="","",IF(AND(ISNUMBER($G139),$G139&lt;=IF($S139=MesCiclo,InicioCiclo,$S139+MOD(2-WEEKDAY($S139),7))+27),1,IF(N($W139)&gt;0,AVERAGEIFS($AB$5:$AB$1000,$U$5:$U$1000,ROW(),$V$5:$V$1000,"Sub"),$AB139)))</f>
        <v/>
      </c>
      <c r="AG139" s="62">
        <f>IF($V139&lt;&gt;"Macro","",IF(COUNTIFS($S$5:$S$1000,$S139,$V$5:$V$1000,"Macro",$H$5:$H$1000,"&gt;0")=0,1/COUNTIFS($S$5:$S$1000,$S139,$V$5:$V$1000,"Macro"),IF(AND(ISNUMBER($H139),N($H139)&gt;0),$H139,SUMIFS($H$5:$H$1000,$S$5:$S$1000,$S139,$V$5:$V$1000,"Macro")/COUNTIFS($S$5:$S$1000,$S139,$V$5:$V$1000,"Macro",$H$5:$H$1000,"&gt;0"))/(COUNTIFS($S$5:$S$1000,$S139,$V$5:$V$1000,"Macro")*SUMIFS($H$5:$H$1000,$S$5:$S$1000,$S139,$V$5:$V$1000,"Macro")/COUNTIFS($S$5:$S$1000,$S139,$V$5:$V$1000,"Macro",$H$5:$H$1000,"&gt;0"))))</f>
        <v/>
      </c>
      <c r="AH139" s="62" t="n"/>
      <c r="AI139" s="62" t="n"/>
      <c r="AJ139" s="62" t="n"/>
      <c r="AK139" s="62" t="n"/>
      <c r="AL139" s="62">
        <f>IF(LEFT($C139,11)="[Jefatura] ",IFERROR(MATCH("Riesgo Normativo|"&amp;MID($C139,12,500),rDname_ADM,0),0),"")</f>
        <v/>
      </c>
      <c r="AM139" s="62">
        <f>IF(N($AL139)&gt;0,INDEX(rIni_ADM,$AL139),IF(ISNUMBER($E139),$E139,""))</f>
        <v/>
      </c>
      <c r="AN139" s="62">
        <f>IF(N($AL139)&gt;0,INDEX(rLim_ADM,$AL139),IF(ISNUMBER($F139),$F139,""))</f>
        <v/>
      </c>
    </row>
    <row r="140">
      <c r="A140" s="56">
        <f>IF(NOT((COUNTA($B140:$D140)+COUNTA($G140:$L140)+COUNTA($Q140))&gt;0),"",IF($V140="Macro",COUNTIFS($V$5:$V140,"Macro",$S$5:$S140,$S140),IF(N($U140)=0,"?",COUNTIFS(INDEX($V$5:$V$1000,1):INDEX($V$5:$V$1000,$U140-4),"Macro",INDEX($S$5:$S$1000,1):INDEX($S$5:$S$1000,$U140-4),INDEX($S$5:$S$1000,$U140-4))&amp;"."&amp;COUNTIFS($U$5:$U140,$U140,$V$5:$V140,"Sub"))))</f>
        <v/>
      </c>
      <c r="B140" s="57" t="n"/>
      <c r="C140" s="58" t="n"/>
      <c r="D140" s="58" t="n"/>
      <c r="E140" s="59">
        <f>IF(N($AL140)&gt;0,INDEX(rIni_ADM,$AL140),"")</f>
        <v/>
      </c>
      <c r="F140" s="59">
        <f>IF(N($AL140)&gt;0,INDEX(rLim_ADM,$AL140),"")</f>
        <v/>
      </c>
      <c r="G140" s="59" t="n"/>
      <c r="H140" s="60" t="n"/>
      <c r="I140" s="60" t="n"/>
      <c r="J140" s="60" t="n"/>
      <c r="K140" s="60" t="n"/>
      <c r="L140" s="60" t="n"/>
      <c r="M140" s="61">
        <f>IF(NOT((COUNTA($B140:$D140)+COUNTA($G140:$L140)+COUNTA($Q140))&gt;0),"",IF($V140="Sub",IFERROR($X140/INDEX($W$5:$W$1000,$U140-4),""),IF(ISNUMBER($G140),1,IF(N($W140)&gt;0,AVERAGEIFS($X$5:$X$1000,$U$5:$U$1000,ROW(),$V$5:$V$1000,"Sub"),$X140))))</f>
        <v/>
      </c>
      <c r="N140" s="56">
        <f>IF(OR($M140="",$V140="Sub"),"",IF($M140&gt;=1,"Completado",IF($M140&gt;0,"En curso","Pendiente")))</f>
        <v/>
      </c>
      <c r="O140" s="56">
        <f>IF(OR(NOT((COUNTA($B140:$D140)+COUNTA($G140:$L140)+COUNTA($Q140))&gt;0),$V140="Sub"),"",IF(ISNUMBER($G140),IF(AND(ISNUMBER($AN140),$G140&gt;$AN140),"Cumplida con "&amp;($G140-$AN140)&amp;IF($G140-$AN140=1," día"," días")&amp;" de retraso","Cumplida"),IF(N($M140)&gt;=1,"Cumplida",IF(NOT(ISNUMBER($AN140)),"Sin fecha límite",IF($AN140&lt;FechaRef,"Vencida hace "&amp;(FechaRef-$AN140)&amp;IF(FechaRef-$AN140=1," día"," días"),IF($AN140=FechaRef,"Vence hoy",IF($AN140-FechaRef&lt;=DiasAlerta,"Vence en "&amp;($AN140-FechaRef)&amp;IF($AN140-FechaRef=1," día"," días"),"En plazo")))))))</f>
        <v/>
      </c>
      <c r="P140" s="62" t="n"/>
      <c r="Q140" s="58" t="n"/>
      <c r="R140" s="63">
        <f>IF(NOT((COUNTA($B140:$D140)+COUNTA($G140:$L140)+COUNTA($Q140))&gt;0),"",IF((IF($C140="","Falta el nombre de la actividad"&amp;" · ","")&amp;IF(AND($V140="Sub",N($U140)=0),"Subactividad sin macroactividad arriba"&amp;" · ","")&amp;IF($AM140="","Sin fecha de inicio"&amp;" · ","")&amp;IF($AN140="","Sin fecha límite"&amp;" · ","")&amp;IF(AND(LEFT($C140,11)="[Jefatura] ",N($AL140)=0),"No se encuentra en la hoja de la jefatura (elíjala de nuevo en la lista)"&amp;" · ","")&amp;IF(OR(AND($E140&lt;&gt;"",NOT(ISNUMBER($E140))),AND($F140&lt;&gt;"",NOT(ISNUMBER($F140))),AND($G140&lt;&gt;"",NOT(ISNUMBER($G140)))),"Fecha no válida"&amp;" · ","")&amp;IF(AND(ISNUMBER($AM140),ISNUMBER($AN140),$AM140&gt;$AN140),"Inicio posterior a fecha límite"&amp;" · ","")&amp;IF(AND($V140="Macro",$H140&lt;&gt;"",OR(NOT(ISNUMBER($H140)),$H140&lt;0,$H140&gt;1)),"Peso fuera de rango"&amp;" · ","")&amp;IF(AND($V140="Sub",$H140&lt;&gt;""),"Las subactividades no llevan peso (valen igual dentro de su macroactividad)"&amp;" · ","")&amp;IF(AND(N($W140)&gt;0,COUNT($I140:$L140)&gt;0),"Con subactividades: deje vacías las semanas (se calculan solas)"&amp;" · ","")&amp;IF((COUNTIF($I140:$L140,"&gt;1")+COUNTIF($I140:$L140,"&lt;0")+COUNTA($I140:$L140)-COUNT($I140:$L140))&gt;0,"Avance fuera de rango 0-100%"&amp;" · ","")&amp;IF(OR(AND($J140&lt;&gt;"",$J140&lt;$I140),AND($K140&lt;&gt;"",$K140&lt;MAX($I140:$J140)),AND($L140&lt;&gt;"",$L140&lt;MAX($I140:$K140))),"Avance semanal decreciente"&amp;" · ","")&amp;IF(AND(ISNUMBER($AN140),$AN140&lt;FechaRef,IF($V140="Sub",N($X140),N($M140))&lt;1),"Vencida"&amp;" · ","")&amp;IF(AND(ObsObligatoria="Sí",ISNUMBER($AN140),$AN140&lt;FechaRef,IF($V140="Sub",N($X140),N($M140))&lt;1,$Q140=""),"Vencida sin observación"&amp;" · ",""))="","✔ OK","⚠ "&amp;LEFT(IF($C140="","Falta el nombre de la actividad"&amp;" · ","")&amp;IF(AND($V140="Sub",N($U140)=0),"Subactividad sin macroactividad arriba"&amp;" · ","")&amp;IF($AM140="","Sin fecha de inicio"&amp;" · ","")&amp;IF($AN140="","Sin fecha límite"&amp;" · ","")&amp;IF(AND(LEFT($C140,11)="[Jefatura] ",N($AL140)=0),"No se encuentra en la hoja de la jefatura (elíjala de nuevo en la lista)"&amp;" · ","")&amp;IF(OR(AND($E140&lt;&gt;"",NOT(ISNUMBER($E140))),AND($F140&lt;&gt;"",NOT(ISNUMBER($F140))),AND($G140&lt;&gt;"",NOT(ISNUMBER($G140)))),"Fecha no válida"&amp;" · ","")&amp;IF(AND(ISNUMBER($AM140),ISNUMBER($AN140),$AM140&gt;$AN140),"Inicio posterior a fecha límite"&amp;" · ","")&amp;IF(AND($V140="Macro",$H140&lt;&gt;"",OR(NOT(ISNUMBER($H140)),$H140&lt;0,$H140&gt;1)),"Peso fuera de rango"&amp;" · ","")&amp;IF(AND($V140="Sub",$H140&lt;&gt;""),"Las subactividades no llevan peso (valen igual dentro de su macroactividad)"&amp;" · ","")&amp;IF(AND(N($W140)&gt;0,COUNT($I140:$L140)&gt;0),"Con subactividades: deje vacías las semanas (se calculan solas)"&amp;" · ","")&amp;IF((COUNTIF($I140:$L140,"&gt;1")+COUNTIF($I140:$L140,"&lt;0")+COUNTA($I140:$L140)-COUNT($I140:$L140))&gt;0,"Avance fuera de rango 0-100%"&amp;" · ","")&amp;IF(OR(AND($J140&lt;&gt;"",$J140&lt;$I140),AND($K140&lt;&gt;"",$K140&lt;MAX($I140:$J140)),AND($L140&lt;&gt;"",$L140&lt;MAX($I140:$K140))),"Avance semanal decreciente"&amp;" · ","")&amp;IF(AND(ISNUMBER($AN140),$AN140&lt;FechaRef,IF($V140="Sub",N($X140),N($M140))&lt;1),"Vencida"&amp;" · ","")&amp;IF(AND(ObsObligatoria="Sí",ISNUMBER($AN140),$AN140&lt;FechaRef,IF($V140="Sub",N($X140),N($M140))&lt;1,$Q140=""),"Vencida sin observación"&amp;" · ",""),LEN(IF($C140="","Falta el nombre de la actividad"&amp;" · ","")&amp;IF(AND($V140="Sub",N($U140)=0),"Subactividad sin macroactividad arriba"&amp;" · ","")&amp;IF($AM140="","Sin fecha de inicio"&amp;" · ","")&amp;IF($AN140="","Sin fecha límite"&amp;" · ","")&amp;IF(AND(LEFT($C140,11)="[Jefatura] ",N($AL140)=0),"No se encuentra en la hoja de la jefatura (elíjala de nuevo en la lista)"&amp;" · ","")&amp;IF(OR(AND($E140&lt;&gt;"",NOT(ISNUMBER($E140))),AND($F140&lt;&gt;"",NOT(ISNUMBER($F140))),AND($G140&lt;&gt;"",NOT(ISNUMBER($G140)))),"Fecha no válida"&amp;" · ","")&amp;IF(AND(ISNUMBER($AM140),ISNUMBER($AN140),$AM140&gt;$AN140),"Inicio posterior a fecha límite"&amp;" · ","")&amp;IF(AND($V140="Macro",$H140&lt;&gt;"",OR(NOT(ISNUMBER($H140)),$H140&lt;0,$H140&gt;1)),"Peso fuera de rango"&amp;" · ","")&amp;IF(AND($V140="Sub",$H140&lt;&gt;""),"Las subactividades no llevan peso (valen igual dentro de su macroactividad)"&amp;" · ","")&amp;IF(AND(N($W140)&gt;0,COUNT($I140:$L140)&gt;0),"Con subactividades: deje vacías las semanas (se calculan solas)"&amp;" · ","")&amp;IF((COUNTIF($I140:$L140,"&gt;1")+COUNTIF($I140:$L140,"&lt;0")+COUNTA($I140:$L140)-COUNT($I140:$L140))&gt;0,"Avance fuera de rango 0-100%"&amp;" · ","")&amp;IF(OR(AND($J140&lt;&gt;"",$J140&lt;$I140),AND($K140&lt;&gt;"",$K140&lt;MAX($I140:$J140)),AND($L140&lt;&gt;"",$L140&lt;MAX($I140:$K140))),"Avance semanal decreciente"&amp;" · ","")&amp;IF(AND(ISNUMBER($AN140),$AN140&lt;FechaRef,IF($V140="Sub",N($X140),N($M140))&lt;1),"Vencida"&amp;" · ","")&amp;IF(AND(ObsObligatoria="Sí",ISNUMBER($AN140),$AN140&lt;FechaRef,IF($V140="Sub",N($X140),N($M140))&lt;1,$Q140=""),"Vencida sin observación"&amp;" · ",""))-3)))</f>
        <v/>
      </c>
      <c r="S140" s="64">
        <f>IF(NOT((COUNTA($B140:$D140)+COUNTA($G140:$L140)+COUNTA($Q140))&gt;0),"",IF(AND($V140="Sub",N($U140)&gt;0),IF(ISNUMBER(INDEX($AM$5:$AM$1000,$U140-4)),DATE(YEAR(INDEX($AM$5:$AM$1000,$U140-4)),MONTH(INDEX($AM$5:$AM$1000,$U140-4)),1),IF(ISNUMBER(INDEX($AN$5:$AN$1000,$U140-4)),DATE(YEAR(INDEX($AN$5:$AN$1000,$U140-4)),MONTH(INDEX($AN$5:$AN$1000,$U140-4)),1),MesCiclo)),IF(ISNUMBER($AM140),DATE(YEAR($AM140),MONTH($AM140),1),IF(ISNUMBER($AN140),DATE(YEAR($AN140),MONTH($AN140),1),MesCiclo))))</f>
        <v/>
      </c>
      <c r="T140" s="62">
        <f>IF(OR($S140="",$S140&lt;&gt;MesCiclo,$V140&lt;&gt;"Macro"),"",COUNTIFS($S$5:$S140,MesCiclo,$V$5:$V140,"Macro"))</f>
        <v/>
      </c>
      <c r="U140" s="62">
        <f>IF($V140="","",IF($V140="Macro",ROW(),IFERROR(LOOKUP(2,1/($V$5:$V140="Macro"),ROW($V$5:$V140)),0)))</f>
        <v/>
      </c>
      <c r="V140" s="62">
        <f>IF(NOT((COUNTA($B140:$D140)+COUNTA($G140:$L140)+COUNTA($Q140))&gt;0),"",IF($B140="Subactividad","Sub","Macro"))</f>
        <v/>
      </c>
      <c r="W140" s="62">
        <f>IF($V140="Macro",COUNTIFS($U$5:$U$1000,ROW(),$V$5:$V$1000,"Sub"),"")</f>
        <v/>
      </c>
      <c r="X140" s="62">
        <f>IF($V140="","",IF(ISNUMBER($G140),1,IFERROR(LOOKUP(2,1/($I140:$L140&lt;&gt;""),$I140:$L140),0)))</f>
        <v/>
      </c>
      <c r="Y140" s="62">
        <f>IF($V140="","",IF(AND(ISNUMBER($G140),$G140&lt;=IF($S140=MesCiclo,InicioCiclo,$S140+MOD(2-WEEKDAY($S140),7))+6),1,IF(ISNUMBER($I140),$I140,0)))</f>
        <v/>
      </c>
      <c r="Z140" s="62">
        <f>IF($V140="","",IF(AND(ISNUMBER($G140),$G140&lt;=IF($S140=MesCiclo,InicioCiclo,$S140+MOD(2-WEEKDAY($S140),7))+13),1,IF(ISNUMBER($J140),$J140,$Y140)))</f>
        <v/>
      </c>
      <c r="AA140" s="62">
        <f>IF($V140="","",IF(AND(ISNUMBER($G140),$G140&lt;=IF($S140=MesCiclo,InicioCiclo,$S140+MOD(2-WEEKDAY($S140),7))+20),1,IF(ISNUMBER($K140),$K140,$Z140)))</f>
        <v/>
      </c>
      <c r="AB140" s="62">
        <f>IF($V140="","",IF(AND(ISNUMBER($G140),$G140&lt;=IF($S140=MesCiclo,InicioCiclo,$S140+MOD(2-WEEKDAY($S140),7))+27),1,IF(ISNUMBER($L140),$L140,$AA140)))</f>
        <v/>
      </c>
      <c r="AC140" s="62">
        <f>IF($V140="","",IF(AND(ISNUMBER($G140),$G140&lt;=IF($S140=MesCiclo,InicioCiclo,$S140+MOD(2-WEEKDAY($S140),7))+6),1,IF(N($W140)&gt;0,AVERAGEIFS($Y$5:$Y$1000,$U$5:$U$1000,ROW(),$V$5:$V$1000,"Sub"),$Y140)))</f>
        <v/>
      </c>
      <c r="AD140" s="62">
        <f>IF($V140="","",IF(AND(ISNUMBER($G140),$G140&lt;=IF($S140=MesCiclo,InicioCiclo,$S140+MOD(2-WEEKDAY($S140),7))+13),1,IF(N($W140)&gt;0,AVERAGEIFS($Z$5:$Z$1000,$U$5:$U$1000,ROW(),$V$5:$V$1000,"Sub"),$Z140)))</f>
        <v/>
      </c>
      <c r="AE140" s="62">
        <f>IF($V140="","",IF(AND(ISNUMBER($G140),$G140&lt;=IF($S140=MesCiclo,InicioCiclo,$S140+MOD(2-WEEKDAY($S140),7))+20),1,IF(N($W140)&gt;0,AVERAGEIFS($AA$5:$AA$1000,$U$5:$U$1000,ROW(),$V$5:$V$1000,"Sub"),$AA140)))</f>
        <v/>
      </c>
      <c r="AF140" s="62">
        <f>IF($V140="","",IF(AND(ISNUMBER($G140),$G140&lt;=IF($S140=MesCiclo,InicioCiclo,$S140+MOD(2-WEEKDAY($S140),7))+27),1,IF(N($W140)&gt;0,AVERAGEIFS($AB$5:$AB$1000,$U$5:$U$1000,ROW(),$V$5:$V$1000,"Sub"),$AB140)))</f>
        <v/>
      </c>
      <c r="AG140" s="62">
        <f>IF($V140&lt;&gt;"Macro","",IF(COUNTIFS($S$5:$S$1000,$S140,$V$5:$V$1000,"Macro",$H$5:$H$1000,"&gt;0")=0,1/COUNTIFS($S$5:$S$1000,$S140,$V$5:$V$1000,"Macro"),IF(AND(ISNUMBER($H140),N($H140)&gt;0),$H140,SUMIFS($H$5:$H$1000,$S$5:$S$1000,$S140,$V$5:$V$1000,"Macro")/COUNTIFS($S$5:$S$1000,$S140,$V$5:$V$1000,"Macro",$H$5:$H$1000,"&gt;0"))/(COUNTIFS($S$5:$S$1000,$S140,$V$5:$V$1000,"Macro")*SUMIFS($H$5:$H$1000,$S$5:$S$1000,$S140,$V$5:$V$1000,"Macro")/COUNTIFS($S$5:$S$1000,$S140,$V$5:$V$1000,"Macro",$H$5:$H$1000,"&gt;0"))))</f>
        <v/>
      </c>
      <c r="AH140" s="62" t="n"/>
      <c r="AI140" s="62" t="n"/>
      <c r="AJ140" s="62" t="n"/>
      <c r="AK140" s="62" t="n"/>
      <c r="AL140" s="62">
        <f>IF(LEFT($C140,11)="[Jefatura] ",IFERROR(MATCH("Riesgo Normativo|"&amp;MID($C140,12,500),rDname_ADM,0),0),"")</f>
        <v/>
      </c>
      <c r="AM140" s="62">
        <f>IF(N($AL140)&gt;0,INDEX(rIni_ADM,$AL140),IF(ISNUMBER($E140),$E140,""))</f>
        <v/>
      </c>
      <c r="AN140" s="62">
        <f>IF(N($AL140)&gt;0,INDEX(rLim_ADM,$AL140),IF(ISNUMBER($F140),$F140,""))</f>
        <v/>
      </c>
    </row>
    <row r="141">
      <c r="A141" s="56">
        <f>IF(NOT((COUNTA($B141:$D141)+COUNTA($G141:$L141)+COUNTA($Q141))&gt;0),"",IF($V141="Macro",COUNTIFS($V$5:$V141,"Macro",$S$5:$S141,$S141),IF(N($U141)=0,"?",COUNTIFS(INDEX($V$5:$V$1000,1):INDEX($V$5:$V$1000,$U141-4),"Macro",INDEX($S$5:$S$1000,1):INDEX($S$5:$S$1000,$U141-4),INDEX($S$5:$S$1000,$U141-4))&amp;"."&amp;COUNTIFS($U$5:$U141,$U141,$V$5:$V141,"Sub"))))</f>
        <v/>
      </c>
      <c r="B141" s="57" t="n"/>
      <c r="C141" s="58" t="n"/>
      <c r="D141" s="58" t="n"/>
      <c r="E141" s="59">
        <f>IF(N($AL141)&gt;0,INDEX(rIni_ADM,$AL141),"")</f>
        <v/>
      </c>
      <c r="F141" s="59">
        <f>IF(N($AL141)&gt;0,INDEX(rLim_ADM,$AL141),"")</f>
        <v/>
      </c>
      <c r="G141" s="59" t="n"/>
      <c r="H141" s="60" t="n"/>
      <c r="I141" s="60" t="n"/>
      <c r="J141" s="60" t="n"/>
      <c r="K141" s="60" t="n"/>
      <c r="L141" s="60" t="n"/>
      <c r="M141" s="61">
        <f>IF(NOT((COUNTA($B141:$D141)+COUNTA($G141:$L141)+COUNTA($Q141))&gt;0),"",IF($V141="Sub",IFERROR($X141/INDEX($W$5:$W$1000,$U141-4),""),IF(ISNUMBER($G141),1,IF(N($W141)&gt;0,AVERAGEIFS($X$5:$X$1000,$U$5:$U$1000,ROW(),$V$5:$V$1000,"Sub"),$X141))))</f>
        <v/>
      </c>
      <c r="N141" s="56">
        <f>IF(OR($M141="",$V141="Sub"),"",IF($M141&gt;=1,"Completado",IF($M141&gt;0,"En curso","Pendiente")))</f>
        <v/>
      </c>
      <c r="O141" s="56">
        <f>IF(OR(NOT((COUNTA($B141:$D141)+COUNTA($G141:$L141)+COUNTA($Q141))&gt;0),$V141="Sub"),"",IF(ISNUMBER($G141),IF(AND(ISNUMBER($AN141),$G141&gt;$AN141),"Cumplida con "&amp;($G141-$AN141)&amp;IF($G141-$AN141=1," día"," días")&amp;" de retraso","Cumplida"),IF(N($M141)&gt;=1,"Cumplida",IF(NOT(ISNUMBER($AN141)),"Sin fecha límite",IF($AN141&lt;FechaRef,"Vencida hace "&amp;(FechaRef-$AN141)&amp;IF(FechaRef-$AN141=1," día"," días"),IF($AN141=FechaRef,"Vence hoy",IF($AN141-FechaRef&lt;=DiasAlerta,"Vence en "&amp;($AN141-FechaRef)&amp;IF($AN141-FechaRef=1," día"," días"),"En plazo")))))))</f>
        <v/>
      </c>
      <c r="P141" s="62" t="n"/>
      <c r="Q141" s="58" t="n"/>
      <c r="R141" s="63">
        <f>IF(NOT((COUNTA($B141:$D141)+COUNTA($G141:$L141)+COUNTA($Q141))&gt;0),"",IF((IF($C141="","Falta el nombre de la actividad"&amp;" · ","")&amp;IF(AND($V141="Sub",N($U141)=0),"Subactividad sin macroactividad arriba"&amp;" · ","")&amp;IF($AM141="","Sin fecha de inicio"&amp;" · ","")&amp;IF($AN141="","Sin fecha límite"&amp;" · ","")&amp;IF(AND(LEFT($C141,11)="[Jefatura] ",N($AL141)=0),"No se encuentra en la hoja de la jefatura (elíjala de nuevo en la lista)"&amp;" · ","")&amp;IF(OR(AND($E141&lt;&gt;"",NOT(ISNUMBER($E141))),AND($F141&lt;&gt;"",NOT(ISNUMBER($F141))),AND($G141&lt;&gt;"",NOT(ISNUMBER($G141)))),"Fecha no válida"&amp;" · ","")&amp;IF(AND(ISNUMBER($AM141),ISNUMBER($AN141),$AM141&gt;$AN141),"Inicio posterior a fecha límite"&amp;" · ","")&amp;IF(AND($V141="Macro",$H141&lt;&gt;"",OR(NOT(ISNUMBER($H141)),$H141&lt;0,$H141&gt;1)),"Peso fuera de rango"&amp;" · ","")&amp;IF(AND($V141="Sub",$H141&lt;&gt;""),"Las subactividades no llevan peso (valen igual dentro de su macroactividad)"&amp;" · ","")&amp;IF(AND(N($W141)&gt;0,COUNT($I141:$L141)&gt;0),"Con subactividades: deje vacías las semanas (se calculan solas)"&amp;" · ","")&amp;IF((COUNTIF($I141:$L141,"&gt;1")+COUNTIF($I141:$L141,"&lt;0")+COUNTA($I141:$L141)-COUNT($I141:$L141))&gt;0,"Avance fuera de rango 0-100%"&amp;" · ","")&amp;IF(OR(AND($J141&lt;&gt;"",$J141&lt;$I141),AND($K141&lt;&gt;"",$K141&lt;MAX($I141:$J141)),AND($L141&lt;&gt;"",$L141&lt;MAX($I141:$K141))),"Avance semanal decreciente"&amp;" · ","")&amp;IF(AND(ISNUMBER($AN141),$AN141&lt;FechaRef,IF($V141="Sub",N($X141),N($M141))&lt;1),"Vencida"&amp;" · ","")&amp;IF(AND(ObsObligatoria="Sí",ISNUMBER($AN141),$AN141&lt;FechaRef,IF($V141="Sub",N($X141),N($M141))&lt;1,$Q141=""),"Vencida sin observación"&amp;" · ",""))="","✔ OK","⚠ "&amp;LEFT(IF($C141="","Falta el nombre de la actividad"&amp;" · ","")&amp;IF(AND($V141="Sub",N($U141)=0),"Subactividad sin macroactividad arriba"&amp;" · ","")&amp;IF($AM141="","Sin fecha de inicio"&amp;" · ","")&amp;IF($AN141="","Sin fecha límite"&amp;" · ","")&amp;IF(AND(LEFT($C141,11)="[Jefatura] ",N($AL141)=0),"No se encuentra en la hoja de la jefatura (elíjala de nuevo en la lista)"&amp;" · ","")&amp;IF(OR(AND($E141&lt;&gt;"",NOT(ISNUMBER($E141))),AND($F141&lt;&gt;"",NOT(ISNUMBER($F141))),AND($G141&lt;&gt;"",NOT(ISNUMBER($G141)))),"Fecha no válida"&amp;" · ","")&amp;IF(AND(ISNUMBER($AM141),ISNUMBER($AN141),$AM141&gt;$AN141),"Inicio posterior a fecha límite"&amp;" · ","")&amp;IF(AND($V141="Macro",$H141&lt;&gt;"",OR(NOT(ISNUMBER($H141)),$H141&lt;0,$H141&gt;1)),"Peso fuera de rango"&amp;" · ","")&amp;IF(AND($V141="Sub",$H141&lt;&gt;""),"Las subactividades no llevan peso (valen igual dentro de su macroactividad)"&amp;" · ","")&amp;IF(AND(N($W141)&gt;0,COUNT($I141:$L141)&gt;0),"Con subactividades: deje vacías las semanas (se calculan solas)"&amp;" · ","")&amp;IF((COUNTIF($I141:$L141,"&gt;1")+COUNTIF($I141:$L141,"&lt;0")+COUNTA($I141:$L141)-COUNT($I141:$L141))&gt;0,"Avance fuera de rango 0-100%"&amp;" · ","")&amp;IF(OR(AND($J141&lt;&gt;"",$J141&lt;$I141),AND($K141&lt;&gt;"",$K141&lt;MAX($I141:$J141)),AND($L141&lt;&gt;"",$L141&lt;MAX($I141:$K141))),"Avance semanal decreciente"&amp;" · ","")&amp;IF(AND(ISNUMBER($AN141),$AN141&lt;FechaRef,IF($V141="Sub",N($X141),N($M141))&lt;1),"Vencida"&amp;" · ","")&amp;IF(AND(ObsObligatoria="Sí",ISNUMBER($AN141),$AN141&lt;FechaRef,IF($V141="Sub",N($X141),N($M141))&lt;1,$Q141=""),"Vencida sin observación"&amp;" · ",""),LEN(IF($C141="","Falta el nombre de la actividad"&amp;" · ","")&amp;IF(AND($V141="Sub",N($U141)=0),"Subactividad sin macroactividad arriba"&amp;" · ","")&amp;IF($AM141="","Sin fecha de inicio"&amp;" · ","")&amp;IF($AN141="","Sin fecha límite"&amp;" · ","")&amp;IF(AND(LEFT($C141,11)="[Jefatura] ",N($AL141)=0),"No se encuentra en la hoja de la jefatura (elíjala de nuevo en la lista)"&amp;" · ","")&amp;IF(OR(AND($E141&lt;&gt;"",NOT(ISNUMBER($E141))),AND($F141&lt;&gt;"",NOT(ISNUMBER($F141))),AND($G141&lt;&gt;"",NOT(ISNUMBER($G141)))),"Fecha no válida"&amp;" · ","")&amp;IF(AND(ISNUMBER($AM141),ISNUMBER($AN141),$AM141&gt;$AN141),"Inicio posterior a fecha límite"&amp;" · ","")&amp;IF(AND($V141="Macro",$H141&lt;&gt;"",OR(NOT(ISNUMBER($H141)),$H141&lt;0,$H141&gt;1)),"Peso fuera de rango"&amp;" · ","")&amp;IF(AND($V141="Sub",$H141&lt;&gt;""),"Las subactividades no llevan peso (valen igual dentro de su macroactividad)"&amp;" · ","")&amp;IF(AND(N($W141)&gt;0,COUNT($I141:$L141)&gt;0),"Con subactividades: deje vacías las semanas (se calculan solas)"&amp;" · ","")&amp;IF((COUNTIF($I141:$L141,"&gt;1")+COUNTIF($I141:$L141,"&lt;0")+COUNTA($I141:$L141)-COUNT($I141:$L141))&gt;0,"Avance fuera de rango 0-100%"&amp;" · ","")&amp;IF(OR(AND($J141&lt;&gt;"",$J141&lt;$I141),AND($K141&lt;&gt;"",$K141&lt;MAX($I141:$J141)),AND($L141&lt;&gt;"",$L141&lt;MAX($I141:$K141))),"Avance semanal decreciente"&amp;" · ","")&amp;IF(AND(ISNUMBER($AN141),$AN141&lt;FechaRef,IF($V141="Sub",N($X141),N($M141))&lt;1),"Vencida"&amp;" · ","")&amp;IF(AND(ObsObligatoria="Sí",ISNUMBER($AN141),$AN141&lt;FechaRef,IF($V141="Sub",N($X141),N($M141))&lt;1,$Q141=""),"Vencida sin observación"&amp;" · ",""))-3)))</f>
        <v/>
      </c>
      <c r="S141" s="64">
        <f>IF(NOT((COUNTA($B141:$D141)+COUNTA($G141:$L141)+COUNTA($Q141))&gt;0),"",IF(AND($V141="Sub",N($U141)&gt;0),IF(ISNUMBER(INDEX($AM$5:$AM$1000,$U141-4)),DATE(YEAR(INDEX($AM$5:$AM$1000,$U141-4)),MONTH(INDEX($AM$5:$AM$1000,$U141-4)),1),IF(ISNUMBER(INDEX($AN$5:$AN$1000,$U141-4)),DATE(YEAR(INDEX($AN$5:$AN$1000,$U141-4)),MONTH(INDEX($AN$5:$AN$1000,$U141-4)),1),MesCiclo)),IF(ISNUMBER($AM141),DATE(YEAR($AM141),MONTH($AM141),1),IF(ISNUMBER($AN141),DATE(YEAR($AN141),MONTH($AN141),1),MesCiclo))))</f>
        <v/>
      </c>
      <c r="T141" s="62">
        <f>IF(OR($S141="",$S141&lt;&gt;MesCiclo,$V141&lt;&gt;"Macro"),"",COUNTIFS($S$5:$S141,MesCiclo,$V$5:$V141,"Macro"))</f>
        <v/>
      </c>
      <c r="U141" s="62">
        <f>IF($V141="","",IF($V141="Macro",ROW(),IFERROR(LOOKUP(2,1/($V$5:$V141="Macro"),ROW($V$5:$V141)),0)))</f>
        <v/>
      </c>
      <c r="V141" s="62">
        <f>IF(NOT((COUNTA($B141:$D141)+COUNTA($G141:$L141)+COUNTA($Q141))&gt;0),"",IF($B141="Subactividad","Sub","Macro"))</f>
        <v/>
      </c>
      <c r="W141" s="62">
        <f>IF($V141="Macro",COUNTIFS($U$5:$U$1000,ROW(),$V$5:$V$1000,"Sub"),"")</f>
        <v/>
      </c>
      <c r="X141" s="62">
        <f>IF($V141="","",IF(ISNUMBER($G141),1,IFERROR(LOOKUP(2,1/($I141:$L141&lt;&gt;""),$I141:$L141),0)))</f>
        <v/>
      </c>
      <c r="Y141" s="62">
        <f>IF($V141="","",IF(AND(ISNUMBER($G141),$G141&lt;=IF($S141=MesCiclo,InicioCiclo,$S141+MOD(2-WEEKDAY($S141),7))+6),1,IF(ISNUMBER($I141),$I141,0)))</f>
        <v/>
      </c>
      <c r="Z141" s="62">
        <f>IF($V141="","",IF(AND(ISNUMBER($G141),$G141&lt;=IF($S141=MesCiclo,InicioCiclo,$S141+MOD(2-WEEKDAY($S141),7))+13),1,IF(ISNUMBER($J141),$J141,$Y141)))</f>
        <v/>
      </c>
      <c r="AA141" s="62">
        <f>IF($V141="","",IF(AND(ISNUMBER($G141),$G141&lt;=IF($S141=MesCiclo,InicioCiclo,$S141+MOD(2-WEEKDAY($S141),7))+20),1,IF(ISNUMBER($K141),$K141,$Z141)))</f>
        <v/>
      </c>
      <c r="AB141" s="62">
        <f>IF($V141="","",IF(AND(ISNUMBER($G141),$G141&lt;=IF($S141=MesCiclo,InicioCiclo,$S141+MOD(2-WEEKDAY($S141),7))+27),1,IF(ISNUMBER($L141),$L141,$AA141)))</f>
        <v/>
      </c>
      <c r="AC141" s="62">
        <f>IF($V141="","",IF(AND(ISNUMBER($G141),$G141&lt;=IF($S141=MesCiclo,InicioCiclo,$S141+MOD(2-WEEKDAY($S141),7))+6),1,IF(N($W141)&gt;0,AVERAGEIFS($Y$5:$Y$1000,$U$5:$U$1000,ROW(),$V$5:$V$1000,"Sub"),$Y141)))</f>
        <v/>
      </c>
      <c r="AD141" s="62">
        <f>IF($V141="","",IF(AND(ISNUMBER($G141),$G141&lt;=IF($S141=MesCiclo,InicioCiclo,$S141+MOD(2-WEEKDAY($S141),7))+13),1,IF(N($W141)&gt;0,AVERAGEIFS($Z$5:$Z$1000,$U$5:$U$1000,ROW(),$V$5:$V$1000,"Sub"),$Z141)))</f>
        <v/>
      </c>
      <c r="AE141" s="62">
        <f>IF($V141="","",IF(AND(ISNUMBER($G141),$G141&lt;=IF($S141=MesCiclo,InicioCiclo,$S141+MOD(2-WEEKDAY($S141),7))+20),1,IF(N($W141)&gt;0,AVERAGEIFS($AA$5:$AA$1000,$U$5:$U$1000,ROW(),$V$5:$V$1000,"Sub"),$AA141)))</f>
        <v/>
      </c>
      <c r="AF141" s="62">
        <f>IF($V141="","",IF(AND(ISNUMBER($G141),$G141&lt;=IF($S141=MesCiclo,InicioCiclo,$S141+MOD(2-WEEKDAY($S141),7))+27),1,IF(N($W141)&gt;0,AVERAGEIFS($AB$5:$AB$1000,$U$5:$U$1000,ROW(),$V$5:$V$1000,"Sub"),$AB141)))</f>
        <v/>
      </c>
      <c r="AG141" s="62">
        <f>IF($V141&lt;&gt;"Macro","",IF(COUNTIFS($S$5:$S$1000,$S141,$V$5:$V$1000,"Macro",$H$5:$H$1000,"&gt;0")=0,1/COUNTIFS($S$5:$S$1000,$S141,$V$5:$V$1000,"Macro"),IF(AND(ISNUMBER($H141),N($H141)&gt;0),$H141,SUMIFS($H$5:$H$1000,$S$5:$S$1000,$S141,$V$5:$V$1000,"Macro")/COUNTIFS($S$5:$S$1000,$S141,$V$5:$V$1000,"Macro",$H$5:$H$1000,"&gt;0"))/(COUNTIFS($S$5:$S$1000,$S141,$V$5:$V$1000,"Macro")*SUMIFS($H$5:$H$1000,$S$5:$S$1000,$S141,$V$5:$V$1000,"Macro")/COUNTIFS($S$5:$S$1000,$S141,$V$5:$V$1000,"Macro",$H$5:$H$1000,"&gt;0"))))</f>
        <v/>
      </c>
      <c r="AH141" s="62" t="n"/>
      <c r="AI141" s="62" t="n"/>
      <c r="AJ141" s="62" t="n"/>
      <c r="AK141" s="62" t="n"/>
      <c r="AL141" s="62">
        <f>IF(LEFT($C141,11)="[Jefatura] ",IFERROR(MATCH("Riesgo Normativo|"&amp;MID($C141,12,500),rDname_ADM,0),0),"")</f>
        <v/>
      </c>
      <c r="AM141" s="62">
        <f>IF(N($AL141)&gt;0,INDEX(rIni_ADM,$AL141),IF(ISNUMBER($E141),$E141,""))</f>
        <v/>
      </c>
      <c r="AN141" s="62">
        <f>IF(N($AL141)&gt;0,INDEX(rLim_ADM,$AL141),IF(ISNUMBER($F141),$F141,""))</f>
        <v/>
      </c>
    </row>
    <row r="142">
      <c r="A142" s="56">
        <f>IF(NOT((COUNTA($B142:$D142)+COUNTA($G142:$L142)+COUNTA($Q142))&gt;0),"",IF($V142="Macro",COUNTIFS($V$5:$V142,"Macro",$S$5:$S142,$S142),IF(N($U142)=0,"?",COUNTIFS(INDEX($V$5:$V$1000,1):INDEX($V$5:$V$1000,$U142-4),"Macro",INDEX($S$5:$S$1000,1):INDEX($S$5:$S$1000,$U142-4),INDEX($S$5:$S$1000,$U142-4))&amp;"."&amp;COUNTIFS($U$5:$U142,$U142,$V$5:$V142,"Sub"))))</f>
        <v/>
      </c>
      <c r="B142" s="57" t="n"/>
      <c r="C142" s="58" t="n"/>
      <c r="D142" s="58" t="n"/>
      <c r="E142" s="59">
        <f>IF(N($AL142)&gt;0,INDEX(rIni_ADM,$AL142),"")</f>
        <v/>
      </c>
      <c r="F142" s="59">
        <f>IF(N($AL142)&gt;0,INDEX(rLim_ADM,$AL142),"")</f>
        <v/>
      </c>
      <c r="G142" s="59" t="n"/>
      <c r="H142" s="60" t="n"/>
      <c r="I142" s="60" t="n"/>
      <c r="J142" s="60" t="n"/>
      <c r="K142" s="60" t="n"/>
      <c r="L142" s="60" t="n"/>
      <c r="M142" s="61">
        <f>IF(NOT((COUNTA($B142:$D142)+COUNTA($G142:$L142)+COUNTA($Q142))&gt;0),"",IF($V142="Sub",IFERROR($X142/INDEX($W$5:$W$1000,$U142-4),""),IF(ISNUMBER($G142),1,IF(N($W142)&gt;0,AVERAGEIFS($X$5:$X$1000,$U$5:$U$1000,ROW(),$V$5:$V$1000,"Sub"),$X142))))</f>
        <v/>
      </c>
      <c r="N142" s="56">
        <f>IF(OR($M142="",$V142="Sub"),"",IF($M142&gt;=1,"Completado",IF($M142&gt;0,"En curso","Pendiente")))</f>
        <v/>
      </c>
      <c r="O142" s="56">
        <f>IF(OR(NOT((COUNTA($B142:$D142)+COUNTA($G142:$L142)+COUNTA($Q142))&gt;0),$V142="Sub"),"",IF(ISNUMBER($G142),IF(AND(ISNUMBER($AN142),$G142&gt;$AN142),"Cumplida con "&amp;($G142-$AN142)&amp;IF($G142-$AN142=1," día"," días")&amp;" de retraso","Cumplida"),IF(N($M142)&gt;=1,"Cumplida",IF(NOT(ISNUMBER($AN142)),"Sin fecha límite",IF($AN142&lt;FechaRef,"Vencida hace "&amp;(FechaRef-$AN142)&amp;IF(FechaRef-$AN142=1," día"," días"),IF($AN142=FechaRef,"Vence hoy",IF($AN142-FechaRef&lt;=DiasAlerta,"Vence en "&amp;($AN142-FechaRef)&amp;IF($AN142-FechaRef=1," día"," días"),"En plazo")))))))</f>
        <v/>
      </c>
      <c r="P142" s="62" t="n"/>
      <c r="Q142" s="58" t="n"/>
      <c r="R142" s="63">
        <f>IF(NOT((COUNTA($B142:$D142)+COUNTA($G142:$L142)+COUNTA($Q142))&gt;0),"",IF((IF($C142="","Falta el nombre de la actividad"&amp;" · ","")&amp;IF(AND($V142="Sub",N($U142)=0),"Subactividad sin macroactividad arriba"&amp;" · ","")&amp;IF($AM142="","Sin fecha de inicio"&amp;" · ","")&amp;IF($AN142="","Sin fecha límite"&amp;" · ","")&amp;IF(AND(LEFT($C142,11)="[Jefatura] ",N($AL142)=0),"No se encuentra en la hoja de la jefatura (elíjala de nuevo en la lista)"&amp;" · ","")&amp;IF(OR(AND($E142&lt;&gt;"",NOT(ISNUMBER($E142))),AND($F142&lt;&gt;"",NOT(ISNUMBER($F142))),AND($G142&lt;&gt;"",NOT(ISNUMBER($G142)))),"Fecha no válida"&amp;" · ","")&amp;IF(AND(ISNUMBER($AM142),ISNUMBER($AN142),$AM142&gt;$AN142),"Inicio posterior a fecha límite"&amp;" · ","")&amp;IF(AND($V142="Macro",$H142&lt;&gt;"",OR(NOT(ISNUMBER($H142)),$H142&lt;0,$H142&gt;1)),"Peso fuera de rango"&amp;" · ","")&amp;IF(AND($V142="Sub",$H142&lt;&gt;""),"Las subactividades no llevan peso (valen igual dentro de su macroactividad)"&amp;" · ","")&amp;IF(AND(N($W142)&gt;0,COUNT($I142:$L142)&gt;0),"Con subactividades: deje vacías las semanas (se calculan solas)"&amp;" · ","")&amp;IF((COUNTIF($I142:$L142,"&gt;1")+COUNTIF($I142:$L142,"&lt;0")+COUNTA($I142:$L142)-COUNT($I142:$L142))&gt;0,"Avance fuera de rango 0-100%"&amp;" · ","")&amp;IF(OR(AND($J142&lt;&gt;"",$J142&lt;$I142),AND($K142&lt;&gt;"",$K142&lt;MAX($I142:$J142)),AND($L142&lt;&gt;"",$L142&lt;MAX($I142:$K142))),"Avance semanal decreciente"&amp;" · ","")&amp;IF(AND(ISNUMBER($AN142),$AN142&lt;FechaRef,IF($V142="Sub",N($X142),N($M142))&lt;1),"Vencida"&amp;" · ","")&amp;IF(AND(ObsObligatoria="Sí",ISNUMBER($AN142),$AN142&lt;FechaRef,IF($V142="Sub",N($X142),N($M142))&lt;1,$Q142=""),"Vencida sin observación"&amp;" · ",""))="","✔ OK","⚠ "&amp;LEFT(IF($C142="","Falta el nombre de la actividad"&amp;" · ","")&amp;IF(AND($V142="Sub",N($U142)=0),"Subactividad sin macroactividad arriba"&amp;" · ","")&amp;IF($AM142="","Sin fecha de inicio"&amp;" · ","")&amp;IF($AN142="","Sin fecha límite"&amp;" · ","")&amp;IF(AND(LEFT($C142,11)="[Jefatura] ",N($AL142)=0),"No se encuentra en la hoja de la jefatura (elíjala de nuevo en la lista)"&amp;" · ","")&amp;IF(OR(AND($E142&lt;&gt;"",NOT(ISNUMBER($E142))),AND($F142&lt;&gt;"",NOT(ISNUMBER($F142))),AND($G142&lt;&gt;"",NOT(ISNUMBER($G142)))),"Fecha no válida"&amp;" · ","")&amp;IF(AND(ISNUMBER($AM142),ISNUMBER($AN142),$AM142&gt;$AN142),"Inicio posterior a fecha límite"&amp;" · ","")&amp;IF(AND($V142="Macro",$H142&lt;&gt;"",OR(NOT(ISNUMBER($H142)),$H142&lt;0,$H142&gt;1)),"Peso fuera de rango"&amp;" · ","")&amp;IF(AND($V142="Sub",$H142&lt;&gt;""),"Las subactividades no llevan peso (valen igual dentro de su macroactividad)"&amp;" · ","")&amp;IF(AND(N($W142)&gt;0,COUNT($I142:$L142)&gt;0),"Con subactividades: deje vacías las semanas (se calculan solas)"&amp;" · ","")&amp;IF((COUNTIF($I142:$L142,"&gt;1")+COUNTIF($I142:$L142,"&lt;0")+COUNTA($I142:$L142)-COUNT($I142:$L142))&gt;0,"Avance fuera de rango 0-100%"&amp;" · ","")&amp;IF(OR(AND($J142&lt;&gt;"",$J142&lt;$I142),AND($K142&lt;&gt;"",$K142&lt;MAX($I142:$J142)),AND($L142&lt;&gt;"",$L142&lt;MAX($I142:$K142))),"Avance semanal decreciente"&amp;" · ","")&amp;IF(AND(ISNUMBER($AN142),$AN142&lt;FechaRef,IF($V142="Sub",N($X142),N($M142))&lt;1),"Vencida"&amp;" · ","")&amp;IF(AND(ObsObligatoria="Sí",ISNUMBER($AN142),$AN142&lt;FechaRef,IF($V142="Sub",N($X142),N($M142))&lt;1,$Q142=""),"Vencida sin observación"&amp;" · ",""),LEN(IF($C142="","Falta el nombre de la actividad"&amp;" · ","")&amp;IF(AND($V142="Sub",N($U142)=0),"Subactividad sin macroactividad arriba"&amp;" · ","")&amp;IF($AM142="","Sin fecha de inicio"&amp;" · ","")&amp;IF($AN142="","Sin fecha límite"&amp;" · ","")&amp;IF(AND(LEFT($C142,11)="[Jefatura] ",N($AL142)=0),"No se encuentra en la hoja de la jefatura (elíjala de nuevo en la lista)"&amp;" · ","")&amp;IF(OR(AND($E142&lt;&gt;"",NOT(ISNUMBER($E142))),AND($F142&lt;&gt;"",NOT(ISNUMBER($F142))),AND($G142&lt;&gt;"",NOT(ISNUMBER($G142)))),"Fecha no válida"&amp;" · ","")&amp;IF(AND(ISNUMBER($AM142),ISNUMBER($AN142),$AM142&gt;$AN142),"Inicio posterior a fecha límite"&amp;" · ","")&amp;IF(AND($V142="Macro",$H142&lt;&gt;"",OR(NOT(ISNUMBER($H142)),$H142&lt;0,$H142&gt;1)),"Peso fuera de rango"&amp;" · ","")&amp;IF(AND($V142="Sub",$H142&lt;&gt;""),"Las subactividades no llevan peso (valen igual dentro de su macroactividad)"&amp;" · ","")&amp;IF(AND(N($W142)&gt;0,COUNT($I142:$L142)&gt;0),"Con subactividades: deje vacías las semanas (se calculan solas)"&amp;" · ","")&amp;IF((COUNTIF($I142:$L142,"&gt;1")+COUNTIF($I142:$L142,"&lt;0")+COUNTA($I142:$L142)-COUNT($I142:$L142))&gt;0,"Avance fuera de rango 0-100%"&amp;" · ","")&amp;IF(OR(AND($J142&lt;&gt;"",$J142&lt;$I142),AND($K142&lt;&gt;"",$K142&lt;MAX($I142:$J142)),AND($L142&lt;&gt;"",$L142&lt;MAX($I142:$K142))),"Avance semanal decreciente"&amp;" · ","")&amp;IF(AND(ISNUMBER($AN142),$AN142&lt;FechaRef,IF($V142="Sub",N($X142),N($M142))&lt;1),"Vencida"&amp;" · ","")&amp;IF(AND(ObsObligatoria="Sí",ISNUMBER($AN142),$AN142&lt;FechaRef,IF($V142="Sub",N($X142),N($M142))&lt;1,$Q142=""),"Vencida sin observación"&amp;" · ",""))-3)))</f>
        <v/>
      </c>
      <c r="S142" s="64">
        <f>IF(NOT((COUNTA($B142:$D142)+COUNTA($G142:$L142)+COUNTA($Q142))&gt;0),"",IF(AND($V142="Sub",N($U142)&gt;0),IF(ISNUMBER(INDEX($AM$5:$AM$1000,$U142-4)),DATE(YEAR(INDEX($AM$5:$AM$1000,$U142-4)),MONTH(INDEX($AM$5:$AM$1000,$U142-4)),1),IF(ISNUMBER(INDEX($AN$5:$AN$1000,$U142-4)),DATE(YEAR(INDEX($AN$5:$AN$1000,$U142-4)),MONTH(INDEX($AN$5:$AN$1000,$U142-4)),1),MesCiclo)),IF(ISNUMBER($AM142),DATE(YEAR($AM142),MONTH($AM142),1),IF(ISNUMBER($AN142),DATE(YEAR($AN142),MONTH($AN142),1),MesCiclo))))</f>
        <v/>
      </c>
      <c r="T142" s="62">
        <f>IF(OR($S142="",$S142&lt;&gt;MesCiclo,$V142&lt;&gt;"Macro"),"",COUNTIFS($S$5:$S142,MesCiclo,$V$5:$V142,"Macro"))</f>
        <v/>
      </c>
      <c r="U142" s="62">
        <f>IF($V142="","",IF($V142="Macro",ROW(),IFERROR(LOOKUP(2,1/($V$5:$V142="Macro"),ROW($V$5:$V142)),0)))</f>
        <v/>
      </c>
      <c r="V142" s="62">
        <f>IF(NOT((COUNTA($B142:$D142)+COUNTA($G142:$L142)+COUNTA($Q142))&gt;0),"",IF($B142="Subactividad","Sub","Macro"))</f>
        <v/>
      </c>
      <c r="W142" s="62">
        <f>IF($V142="Macro",COUNTIFS($U$5:$U$1000,ROW(),$V$5:$V$1000,"Sub"),"")</f>
        <v/>
      </c>
      <c r="X142" s="62">
        <f>IF($V142="","",IF(ISNUMBER($G142),1,IFERROR(LOOKUP(2,1/($I142:$L142&lt;&gt;""),$I142:$L142),0)))</f>
        <v/>
      </c>
      <c r="Y142" s="62">
        <f>IF($V142="","",IF(AND(ISNUMBER($G142),$G142&lt;=IF($S142=MesCiclo,InicioCiclo,$S142+MOD(2-WEEKDAY($S142),7))+6),1,IF(ISNUMBER($I142),$I142,0)))</f>
        <v/>
      </c>
      <c r="Z142" s="62">
        <f>IF($V142="","",IF(AND(ISNUMBER($G142),$G142&lt;=IF($S142=MesCiclo,InicioCiclo,$S142+MOD(2-WEEKDAY($S142),7))+13),1,IF(ISNUMBER($J142),$J142,$Y142)))</f>
        <v/>
      </c>
      <c r="AA142" s="62">
        <f>IF($V142="","",IF(AND(ISNUMBER($G142),$G142&lt;=IF($S142=MesCiclo,InicioCiclo,$S142+MOD(2-WEEKDAY($S142),7))+20),1,IF(ISNUMBER($K142),$K142,$Z142)))</f>
        <v/>
      </c>
      <c r="AB142" s="62">
        <f>IF($V142="","",IF(AND(ISNUMBER($G142),$G142&lt;=IF($S142=MesCiclo,InicioCiclo,$S142+MOD(2-WEEKDAY($S142),7))+27),1,IF(ISNUMBER($L142),$L142,$AA142)))</f>
        <v/>
      </c>
      <c r="AC142" s="62">
        <f>IF($V142="","",IF(AND(ISNUMBER($G142),$G142&lt;=IF($S142=MesCiclo,InicioCiclo,$S142+MOD(2-WEEKDAY($S142),7))+6),1,IF(N($W142)&gt;0,AVERAGEIFS($Y$5:$Y$1000,$U$5:$U$1000,ROW(),$V$5:$V$1000,"Sub"),$Y142)))</f>
        <v/>
      </c>
      <c r="AD142" s="62">
        <f>IF($V142="","",IF(AND(ISNUMBER($G142),$G142&lt;=IF($S142=MesCiclo,InicioCiclo,$S142+MOD(2-WEEKDAY($S142),7))+13),1,IF(N($W142)&gt;0,AVERAGEIFS($Z$5:$Z$1000,$U$5:$U$1000,ROW(),$V$5:$V$1000,"Sub"),$Z142)))</f>
        <v/>
      </c>
      <c r="AE142" s="62">
        <f>IF($V142="","",IF(AND(ISNUMBER($G142),$G142&lt;=IF($S142=MesCiclo,InicioCiclo,$S142+MOD(2-WEEKDAY($S142),7))+20),1,IF(N($W142)&gt;0,AVERAGEIFS($AA$5:$AA$1000,$U$5:$U$1000,ROW(),$V$5:$V$1000,"Sub"),$AA142)))</f>
        <v/>
      </c>
      <c r="AF142" s="62">
        <f>IF($V142="","",IF(AND(ISNUMBER($G142),$G142&lt;=IF($S142=MesCiclo,InicioCiclo,$S142+MOD(2-WEEKDAY($S142),7))+27),1,IF(N($W142)&gt;0,AVERAGEIFS($AB$5:$AB$1000,$U$5:$U$1000,ROW(),$V$5:$V$1000,"Sub"),$AB142)))</f>
        <v/>
      </c>
      <c r="AG142" s="62">
        <f>IF($V142&lt;&gt;"Macro","",IF(COUNTIFS($S$5:$S$1000,$S142,$V$5:$V$1000,"Macro",$H$5:$H$1000,"&gt;0")=0,1/COUNTIFS($S$5:$S$1000,$S142,$V$5:$V$1000,"Macro"),IF(AND(ISNUMBER($H142),N($H142)&gt;0),$H142,SUMIFS($H$5:$H$1000,$S$5:$S$1000,$S142,$V$5:$V$1000,"Macro")/COUNTIFS($S$5:$S$1000,$S142,$V$5:$V$1000,"Macro",$H$5:$H$1000,"&gt;0"))/(COUNTIFS($S$5:$S$1000,$S142,$V$5:$V$1000,"Macro")*SUMIFS($H$5:$H$1000,$S$5:$S$1000,$S142,$V$5:$V$1000,"Macro")/COUNTIFS($S$5:$S$1000,$S142,$V$5:$V$1000,"Macro",$H$5:$H$1000,"&gt;0"))))</f>
        <v/>
      </c>
      <c r="AH142" s="62" t="n"/>
      <c r="AI142" s="62" t="n"/>
      <c r="AJ142" s="62" t="n"/>
      <c r="AK142" s="62" t="n"/>
      <c r="AL142" s="62">
        <f>IF(LEFT($C142,11)="[Jefatura] ",IFERROR(MATCH("Riesgo Normativo|"&amp;MID($C142,12,500),rDname_ADM,0),0),"")</f>
        <v/>
      </c>
      <c r="AM142" s="62">
        <f>IF(N($AL142)&gt;0,INDEX(rIni_ADM,$AL142),IF(ISNUMBER($E142),$E142,""))</f>
        <v/>
      </c>
      <c r="AN142" s="62">
        <f>IF(N($AL142)&gt;0,INDEX(rLim_ADM,$AL142),IF(ISNUMBER($F142),$F142,""))</f>
        <v/>
      </c>
    </row>
    <row r="143">
      <c r="A143" s="56">
        <f>IF(NOT((COUNTA($B143:$D143)+COUNTA($G143:$L143)+COUNTA($Q143))&gt;0),"",IF($V143="Macro",COUNTIFS($V$5:$V143,"Macro",$S$5:$S143,$S143),IF(N($U143)=0,"?",COUNTIFS(INDEX($V$5:$V$1000,1):INDEX($V$5:$V$1000,$U143-4),"Macro",INDEX($S$5:$S$1000,1):INDEX($S$5:$S$1000,$U143-4),INDEX($S$5:$S$1000,$U143-4))&amp;"."&amp;COUNTIFS($U$5:$U143,$U143,$V$5:$V143,"Sub"))))</f>
        <v/>
      </c>
      <c r="B143" s="57" t="n"/>
      <c r="C143" s="58" t="n"/>
      <c r="D143" s="58" t="n"/>
      <c r="E143" s="59">
        <f>IF(N($AL143)&gt;0,INDEX(rIni_ADM,$AL143),"")</f>
        <v/>
      </c>
      <c r="F143" s="59">
        <f>IF(N($AL143)&gt;0,INDEX(rLim_ADM,$AL143),"")</f>
        <v/>
      </c>
      <c r="G143" s="59" t="n"/>
      <c r="H143" s="60" t="n"/>
      <c r="I143" s="60" t="n"/>
      <c r="J143" s="60" t="n"/>
      <c r="K143" s="60" t="n"/>
      <c r="L143" s="60" t="n"/>
      <c r="M143" s="61">
        <f>IF(NOT((COUNTA($B143:$D143)+COUNTA($G143:$L143)+COUNTA($Q143))&gt;0),"",IF($V143="Sub",IFERROR($X143/INDEX($W$5:$W$1000,$U143-4),""),IF(ISNUMBER($G143),1,IF(N($W143)&gt;0,AVERAGEIFS($X$5:$X$1000,$U$5:$U$1000,ROW(),$V$5:$V$1000,"Sub"),$X143))))</f>
        <v/>
      </c>
      <c r="N143" s="56">
        <f>IF(OR($M143="",$V143="Sub"),"",IF($M143&gt;=1,"Completado",IF($M143&gt;0,"En curso","Pendiente")))</f>
        <v/>
      </c>
      <c r="O143" s="56">
        <f>IF(OR(NOT((COUNTA($B143:$D143)+COUNTA($G143:$L143)+COUNTA($Q143))&gt;0),$V143="Sub"),"",IF(ISNUMBER($G143),IF(AND(ISNUMBER($AN143),$G143&gt;$AN143),"Cumplida con "&amp;($G143-$AN143)&amp;IF($G143-$AN143=1," día"," días")&amp;" de retraso","Cumplida"),IF(N($M143)&gt;=1,"Cumplida",IF(NOT(ISNUMBER($AN143)),"Sin fecha límite",IF($AN143&lt;FechaRef,"Vencida hace "&amp;(FechaRef-$AN143)&amp;IF(FechaRef-$AN143=1," día"," días"),IF($AN143=FechaRef,"Vence hoy",IF($AN143-FechaRef&lt;=DiasAlerta,"Vence en "&amp;($AN143-FechaRef)&amp;IF($AN143-FechaRef=1," día"," días"),"En plazo")))))))</f>
        <v/>
      </c>
      <c r="P143" s="62" t="n"/>
      <c r="Q143" s="58" t="n"/>
      <c r="R143" s="63">
        <f>IF(NOT((COUNTA($B143:$D143)+COUNTA($G143:$L143)+COUNTA($Q143))&gt;0),"",IF((IF($C143="","Falta el nombre de la actividad"&amp;" · ","")&amp;IF(AND($V143="Sub",N($U143)=0),"Subactividad sin macroactividad arriba"&amp;" · ","")&amp;IF($AM143="","Sin fecha de inicio"&amp;" · ","")&amp;IF($AN143="","Sin fecha límite"&amp;" · ","")&amp;IF(AND(LEFT($C143,11)="[Jefatura] ",N($AL143)=0),"No se encuentra en la hoja de la jefatura (elíjala de nuevo en la lista)"&amp;" · ","")&amp;IF(OR(AND($E143&lt;&gt;"",NOT(ISNUMBER($E143))),AND($F143&lt;&gt;"",NOT(ISNUMBER($F143))),AND($G143&lt;&gt;"",NOT(ISNUMBER($G143)))),"Fecha no válida"&amp;" · ","")&amp;IF(AND(ISNUMBER($AM143),ISNUMBER($AN143),$AM143&gt;$AN143),"Inicio posterior a fecha límite"&amp;" · ","")&amp;IF(AND($V143="Macro",$H143&lt;&gt;"",OR(NOT(ISNUMBER($H143)),$H143&lt;0,$H143&gt;1)),"Peso fuera de rango"&amp;" · ","")&amp;IF(AND($V143="Sub",$H143&lt;&gt;""),"Las subactividades no llevan peso (valen igual dentro de su macroactividad)"&amp;" · ","")&amp;IF(AND(N($W143)&gt;0,COUNT($I143:$L143)&gt;0),"Con subactividades: deje vacías las semanas (se calculan solas)"&amp;" · ","")&amp;IF((COUNTIF($I143:$L143,"&gt;1")+COUNTIF($I143:$L143,"&lt;0")+COUNTA($I143:$L143)-COUNT($I143:$L143))&gt;0,"Avance fuera de rango 0-100%"&amp;" · ","")&amp;IF(OR(AND($J143&lt;&gt;"",$J143&lt;$I143),AND($K143&lt;&gt;"",$K143&lt;MAX($I143:$J143)),AND($L143&lt;&gt;"",$L143&lt;MAX($I143:$K143))),"Avance semanal decreciente"&amp;" · ","")&amp;IF(AND(ISNUMBER($AN143),$AN143&lt;FechaRef,IF($V143="Sub",N($X143),N($M143))&lt;1),"Vencida"&amp;" · ","")&amp;IF(AND(ObsObligatoria="Sí",ISNUMBER($AN143),$AN143&lt;FechaRef,IF($V143="Sub",N($X143),N($M143))&lt;1,$Q143=""),"Vencida sin observación"&amp;" · ",""))="","✔ OK","⚠ "&amp;LEFT(IF($C143="","Falta el nombre de la actividad"&amp;" · ","")&amp;IF(AND($V143="Sub",N($U143)=0),"Subactividad sin macroactividad arriba"&amp;" · ","")&amp;IF($AM143="","Sin fecha de inicio"&amp;" · ","")&amp;IF($AN143="","Sin fecha límite"&amp;" · ","")&amp;IF(AND(LEFT($C143,11)="[Jefatura] ",N($AL143)=0),"No se encuentra en la hoja de la jefatura (elíjala de nuevo en la lista)"&amp;" · ","")&amp;IF(OR(AND($E143&lt;&gt;"",NOT(ISNUMBER($E143))),AND($F143&lt;&gt;"",NOT(ISNUMBER($F143))),AND($G143&lt;&gt;"",NOT(ISNUMBER($G143)))),"Fecha no válida"&amp;" · ","")&amp;IF(AND(ISNUMBER($AM143),ISNUMBER($AN143),$AM143&gt;$AN143),"Inicio posterior a fecha límite"&amp;" · ","")&amp;IF(AND($V143="Macro",$H143&lt;&gt;"",OR(NOT(ISNUMBER($H143)),$H143&lt;0,$H143&gt;1)),"Peso fuera de rango"&amp;" · ","")&amp;IF(AND($V143="Sub",$H143&lt;&gt;""),"Las subactividades no llevan peso (valen igual dentro de su macroactividad)"&amp;" · ","")&amp;IF(AND(N($W143)&gt;0,COUNT($I143:$L143)&gt;0),"Con subactividades: deje vacías las semanas (se calculan solas)"&amp;" · ","")&amp;IF((COUNTIF($I143:$L143,"&gt;1")+COUNTIF($I143:$L143,"&lt;0")+COUNTA($I143:$L143)-COUNT($I143:$L143))&gt;0,"Avance fuera de rango 0-100%"&amp;" · ","")&amp;IF(OR(AND($J143&lt;&gt;"",$J143&lt;$I143),AND($K143&lt;&gt;"",$K143&lt;MAX($I143:$J143)),AND($L143&lt;&gt;"",$L143&lt;MAX($I143:$K143))),"Avance semanal decreciente"&amp;" · ","")&amp;IF(AND(ISNUMBER($AN143),$AN143&lt;FechaRef,IF($V143="Sub",N($X143),N($M143))&lt;1),"Vencida"&amp;" · ","")&amp;IF(AND(ObsObligatoria="Sí",ISNUMBER($AN143),$AN143&lt;FechaRef,IF($V143="Sub",N($X143),N($M143))&lt;1,$Q143=""),"Vencida sin observación"&amp;" · ",""),LEN(IF($C143="","Falta el nombre de la actividad"&amp;" · ","")&amp;IF(AND($V143="Sub",N($U143)=0),"Subactividad sin macroactividad arriba"&amp;" · ","")&amp;IF($AM143="","Sin fecha de inicio"&amp;" · ","")&amp;IF($AN143="","Sin fecha límite"&amp;" · ","")&amp;IF(AND(LEFT($C143,11)="[Jefatura] ",N($AL143)=0),"No se encuentra en la hoja de la jefatura (elíjala de nuevo en la lista)"&amp;" · ","")&amp;IF(OR(AND($E143&lt;&gt;"",NOT(ISNUMBER($E143))),AND($F143&lt;&gt;"",NOT(ISNUMBER($F143))),AND($G143&lt;&gt;"",NOT(ISNUMBER($G143)))),"Fecha no válida"&amp;" · ","")&amp;IF(AND(ISNUMBER($AM143),ISNUMBER($AN143),$AM143&gt;$AN143),"Inicio posterior a fecha límite"&amp;" · ","")&amp;IF(AND($V143="Macro",$H143&lt;&gt;"",OR(NOT(ISNUMBER($H143)),$H143&lt;0,$H143&gt;1)),"Peso fuera de rango"&amp;" · ","")&amp;IF(AND($V143="Sub",$H143&lt;&gt;""),"Las subactividades no llevan peso (valen igual dentro de su macroactividad)"&amp;" · ","")&amp;IF(AND(N($W143)&gt;0,COUNT($I143:$L143)&gt;0),"Con subactividades: deje vacías las semanas (se calculan solas)"&amp;" · ","")&amp;IF((COUNTIF($I143:$L143,"&gt;1")+COUNTIF($I143:$L143,"&lt;0")+COUNTA($I143:$L143)-COUNT($I143:$L143))&gt;0,"Avance fuera de rango 0-100%"&amp;" · ","")&amp;IF(OR(AND($J143&lt;&gt;"",$J143&lt;$I143),AND($K143&lt;&gt;"",$K143&lt;MAX($I143:$J143)),AND($L143&lt;&gt;"",$L143&lt;MAX($I143:$K143))),"Avance semanal decreciente"&amp;" · ","")&amp;IF(AND(ISNUMBER($AN143),$AN143&lt;FechaRef,IF($V143="Sub",N($X143),N($M143))&lt;1),"Vencida"&amp;" · ","")&amp;IF(AND(ObsObligatoria="Sí",ISNUMBER($AN143),$AN143&lt;FechaRef,IF($V143="Sub",N($X143),N($M143))&lt;1,$Q143=""),"Vencida sin observación"&amp;" · ",""))-3)))</f>
        <v/>
      </c>
      <c r="S143" s="64">
        <f>IF(NOT((COUNTA($B143:$D143)+COUNTA($G143:$L143)+COUNTA($Q143))&gt;0),"",IF(AND($V143="Sub",N($U143)&gt;0),IF(ISNUMBER(INDEX($AM$5:$AM$1000,$U143-4)),DATE(YEAR(INDEX($AM$5:$AM$1000,$U143-4)),MONTH(INDEX($AM$5:$AM$1000,$U143-4)),1),IF(ISNUMBER(INDEX($AN$5:$AN$1000,$U143-4)),DATE(YEAR(INDEX($AN$5:$AN$1000,$U143-4)),MONTH(INDEX($AN$5:$AN$1000,$U143-4)),1),MesCiclo)),IF(ISNUMBER($AM143),DATE(YEAR($AM143),MONTH($AM143),1),IF(ISNUMBER($AN143),DATE(YEAR($AN143),MONTH($AN143),1),MesCiclo))))</f>
        <v/>
      </c>
      <c r="T143" s="62">
        <f>IF(OR($S143="",$S143&lt;&gt;MesCiclo,$V143&lt;&gt;"Macro"),"",COUNTIFS($S$5:$S143,MesCiclo,$V$5:$V143,"Macro"))</f>
        <v/>
      </c>
      <c r="U143" s="62">
        <f>IF($V143="","",IF($V143="Macro",ROW(),IFERROR(LOOKUP(2,1/($V$5:$V143="Macro"),ROW($V$5:$V143)),0)))</f>
        <v/>
      </c>
      <c r="V143" s="62">
        <f>IF(NOT((COUNTA($B143:$D143)+COUNTA($G143:$L143)+COUNTA($Q143))&gt;0),"",IF($B143="Subactividad","Sub","Macro"))</f>
        <v/>
      </c>
      <c r="W143" s="62">
        <f>IF($V143="Macro",COUNTIFS($U$5:$U$1000,ROW(),$V$5:$V$1000,"Sub"),"")</f>
        <v/>
      </c>
      <c r="X143" s="62">
        <f>IF($V143="","",IF(ISNUMBER($G143),1,IFERROR(LOOKUP(2,1/($I143:$L143&lt;&gt;""),$I143:$L143),0)))</f>
        <v/>
      </c>
      <c r="Y143" s="62">
        <f>IF($V143="","",IF(AND(ISNUMBER($G143),$G143&lt;=IF($S143=MesCiclo,InicioCiclo,$S143+MOD(2-WEEKDAY($S143),7))+6),1,IF(ISNUMBER($I143),$I143,0)))</f>
        <v/>
      </c>
      <c r="Z143" s="62">
        <f>IF($V143="","",IF(AND(ISNUMBER($G143),$G143&lt;=IF($S143=MesCiclo,InicioCiclo,$S143+MOD(2-WEEKDAY($S143),7))+13),1,IF(ISNUMBER($J143),$J143,$Y143)))</f>
        <v/>
      </c>
      <c r="AA143" s="62">
        <f>IF($V143="","",IF(AND(ISNUMBER($G143),$G143&lt;=IF($S143=MesCiclo,InicioCiclo,$S143+MOD(2-WEEKDAY($S143),7))+20),1,IF(ISNUMBER($K143),$K143,$Z143)))</f>
        <v/>
      </c>
      <c r="AB143" s="62">
        <f>IF($V143="","",IF(AND(ISNUMBER($G143),$G143&lt;=IF($S143=MesCiclo,InicioCiclo,$S143+MOD(2-WEEKDAY($S143),7))+27),1,IF(ISNUMBER($L143),$L143,$AA143)))</f>
        <v/>
      </c>
      <c r="AC143" s="62">
        <f>IF($V143="","",IF(AND(ISNUMBER($G143),$G143&lt;=IF($S143=MesCiclo,InicioCiclo,$S143+MOD(2-WEEKDAY($S143),7))+6),1,IF(N($W143)&gt;0,AVERAGEIFS($Y$5:$Y$1000,$U$5:$U$1000,ROW(),$V$5:$V$1000,"Sub"),$Y143)))</f>
        <v/>
      </c>
      <c r="AD143" s="62">
        <f>IF($V143="","",IF(AND(ISNUMBER($G143),$G143&lt;=IF($S143=MesCiclo,InicioCiclo,$S143+MOD(2-WEEKDAY($S143),7))+13),1,IF(N($W143)&gt;0,AVERAGEIFS($Z$5:$Z$1000,$U$5:$U$1000,ROW(),$V$5:$V$1000,"Sub"),$Z143)))</f>
        <v/>
      </c>
      <c r="AE143" s="62">
        <f>IF($V143="","",IF(AND(ISNUMBER($G143),$G143&lt;=IF($S143=MesCiclo,InicioCiclo,$S143+MOD(2-WEEKDAY($S143),7))+20),1,IF(N($W143)&gt;0,AVERAGEIFS($AA$5:$AA$1000,$U$5:$U$1000,ROW(),$V$5:$V$1000,"Sub"),$AA143)))</f>
        <v/>
      </c>
      <c r="AF143" s="62">
        <f>IF($V143="","",IF(AND(ISNUMBER($G143),$G143&lt;=IF($S143=MesCiclo,InicioCiclo,$S143+MOD(2-WEEKDAY($S143),7))+27),1,IF(N($W143)&gt;0,AVERAGEIFS($AB$5:$AB$1000,$U$5:$U$1000,ROW(),$V$5:$V$1000,"Sub"),$AB143)))</f>
        <v/>
      </c>
      <c r="AG143" s="62">
        <f>IF($V143&lt;&gt;"Macro","",IF(COUNTIFS($S$5:$S$1000,$S143,$V$5:$V$1000,"Macro",$H$5:$H$1000,"&gt;0")=0,1/COUNTIFS($S$5:$S$1000,$S143,$V$5:$V$1000,"Macro"),IF(AND(ISNUMBER($H143),N($H143)&gt;0),$H143,SUMIFS($H$5:$H$1000,$S$5:$S$1000,$S143,$V$5:$V$1000,"Macro")/COUNTIFS($S$5:$S$1000,$S143,$V$5:$V$1000,"Macro",$H$5:$H$1000,"&gt;0"))/(COUNTIFS($S$5:$S$1000,$S143,$V$5:$V$1000,"Macro")*SUMIFS($H$5:$H$1000,$S$5:$S$1000,$S143,$V$5:$V$1000,"Macro")/COUNTIFS($S$5:$S$1000,$S143,$V$5:$V$1000,"Macro",$H$5:$H$1000,"&gt;0"))))</f>
        <v/>
      </c>
      <c r="AH143" s="62" t="n"/>
      <c r="AI143" s="62" t="n"/>
      <c r="AJ143" s="62" t="n"/>
      <c r="AK143" s="62" t="n"/>
      <c r="AL143" s="62">
        <f>IF(LEFT($C143,11)="[Jefatura] ",IFERROR(MATCH("Riesgo Normativo|"&amp;MID($C143,12,500),rDname_ADM,0),0),"")</f>
        <v/>
      </c>
      <c r="AM143" s="62">
        <f>IF(N($AL143)&gt;0,INDEX(rIni_ADM,$AL143),IF(ISNUMBER($E143),$E143,""))</f>
        <v/>
      </c>
      <c r="AN143" s="62">
        <f>IF(N($AL143)&gt;0,INDEX(rLim_ADM,$AL143),IF(ISNUMBER($F143),$F143,""))</f>
        <v/>
      </c>
    </row>
    <row r="144">
      <c r="A144" s="56">
        <f>IF(NOT((COUNTA($B144:$D144)+COUNTA($G144:$L144)+COUNTA($Q144))&gt;0),"",IF($V144="Macro",COUNTIFS($V$5:$V144,"Macro",$S$5:$S144,$S144),IF(N($U144)=0,"?",COUNTIFS(INDEX($V$5:$V$1000,1):INDEX($V$5:$V$1000,$U144-4),"Macro",INDEX($S$5:$S$1000,1):INDEX($S$5:$S$1000,$U144-4),INDEX($S$5:$S$1000,$U144-4))&amp;"."&amp;COUNTIFS($U$5:$U144,$U144,$V$5:$V144,"Sub"))))</f>
        <v/>
      </c>
      <c r="B144" s="57" t="n"/>
      <c r="C144" s="58" t="n"/>
      <c r="D144" s="58" t="n"/>
      <c r="E144" s="59">
        <f>IF(N($AL144)&gt;0,INDEX(rIni_ADM,$AL144),"")</f>
        <v/>
      </c>
      <c r="F144" s="59">
        <f>IF(N($AL144)&gt;0,INDEX(rLim_ADM,$AL144),"")</f>
        <v/>
      </c>
      <c r="G144" s="59" t="n"/>
      <c r="H144" s="60" t="n"/>
      <c r="I144" s="60" t="n"/>
      <c r="J144" s="60" t="n"/>
      <c r="K144" s="60" t="n"/>
      <c r="L144" s="60" t="n"/>
      <c r="M144" s="61">
        <f>IF(NOT((COUNTA($B144:$D144)+COUNTA($G144:$L144)+COUNTA($Q144))&gt;0),"",IF($V144="Sub",IFERROR($X144/INDEX($W$5:$W$1000,$U144-4),""),IF(ISNUMBER($G144),1,IF(N($W144)&gt;0,AVERAGEIFS($X$5:$X$1000,$U$5:$U$1000,ROW(),$V$5:$V$1000,"Sub"),$X144))))</f>
        <v/>
      </c>
      <c r="N144" s="56">
        <f>IF(OR($M144="",$V144="Sub"),"",IF($M144&gt;=1,"Completado",IF($M144&gt;0,"En curso","Pendiente")))</f>
        <v/>
      </c>
      <c r="O144" s="56">
        <f>IF(OR(NOT((COUNTA($B144:$D144)+COUNTA($G144:$L144)+COUNTA($Q144))&gt;0),$V144="Sub"),"",IF(ISNUMBER($G144),IF(AND(ISNUMBER($AN144),$G144&gt;$AN144),"Cumplida con "&amp;($G144-$AN144)&amp;IF($G144-$AN144=1," día"," días")&amp;" de retraso","Cumplida"),IF(N($M144)&gt;=1,"Cumplida",IF(NOT(ISNUMBER($AN144)),"Sin fecha límite",IF($AN144&lt;FechaRef,"Vencida hace "&amp;(FechaRef-$AN144)&amp;IF(FechaRef-$AN144=1," día"," días"),IF($AN144=FechaRef,"Vence hoy",IF($AN144-FechaRef&lt;=DiasAlerta,"Vence en "&amp;($AN144-FechaRef)&amp;IF($AN144-FechaRef=1," día"," días"),"En plazo")))))))</f>
        <v/>
      </c>
      <c r="P144" s="62" t="n"/>
      <c r="Q144" s="58" t="n"/>
      <c r="R144" s="63">
        <f>IF(NOT((COUNTA($B144:$D144)+COUNTA($G144:$L144)+COUNTA($Q144))&gt;0),"",IF((IF($C144="","Falta el nombre de la actividad"&amp;" · ","")&amp;IF(AND($V144="Sub",N($U144)=0),"Subactividad sin macroactividad arriba"&amp;" · ","")&amp;IF($AM144="","Sin fecha de inicio"&amp;" · ","")&amp;IF($AN144="","Sin fecha límite"&amp;" · ","")&amp;IF(AND(LEFT($C144,11)="[Jefatura] ",N($AL144)=0),"No se encuentra en la hoja de la jefatura (elíjala de nuevo en la lista)"&amp;" · ","")&amp;IF(OR(AND($E144&lt;&gt;"",NOT(ISNUMBER($E144))),AND($F144&lt;&gt;"",NOT(ISNUMBER($F144))),AND($G144&lt;&gt;"",NOT(ISNUMBER($G144)))),"Fecha no válida"&amp;" · ","")&amp;IF(AND(ISNUMBER($AM144),ISNUMBER($AN144),$AM144&gt;$AN144),"Inicio posterior a fecha límite"&amp;" · ","")&amp;IF(AND($V144="Macro",$H144&lt;&gt;"",OR(NOT(ISNUMBER($H144)),$H144&lt;0,$H144&gt;1)),"Peso fuera de rango"&amp;" · ","")&amp;IF(AND($V144="Sub",$H144&lt;&gt;""),"Las subactividades no llevan peso (valen igual dentro de su macroactividad)"&amp;" · ","")&amp;IF(AND(N($W144)&gt;0,COUNT($I144:$L144)&gt;0),"Con subactividades: deje vacías las semanas (se calculan solas)"&amp;" · ","")&amp;IF((COUNTIF($I144:$L144,"&gt;1")+COUNTIF($I144:$L144,"&lt;0")+COUNTA($I144:$L144)-COUNT($I144:$L144))&gt;0,"Avance fuera de rango 0-100%"&amp;" · ","")&amp;IF(OR(AND($J144&lt;&gt;"",$J144&lt;$I144),AND($K144&lt;&gt;"",$K144&lt;MAX($I144:$J144)),AND($L144&lt;&gt;"",$L144&lt;MAX($I144:$K144))),"Avance semanal decreciente"&amp;" · ","")&amp;IF(AND(ISNUMBER($AN144),$AN144&lt;FechaRef,IF($V144="Sub",N($X144),N($M144))&lt;1),"Vencida"&amp;" · ","")&amp;IF(AND(ObsObligatoria="Sí",ISNUMBER($AN144),$AN144&lt;FechaRef,IF($V144="Sub",N($X144),N($M144))&lt;1,$Q144=""),"Vencida sin observación"&amp;" · ",""))="","✔ OK","⚠ "&amp;LEFT(IF($C144="","Falta el nombre de la actividad"&amp;" · ","")&amp;IF(AND($V144="Sub",N($U144)=0),"Subactividad sin macroactividad arriba"&amp;" · ","")&amp;IF($AM144="","Sin fecha de inicio"&amp;" · ","")&amp;IF($AN144="","Sin fecha límite"&amp;" · ","")&amp;IF(AND(LEFT($C144,11)="[Jefatura] ",N($AL144)=0),"No se encuentra en la hoja de la jefatura (elíjala de nuevo en la lista)"&amp;" · ","")&amp;IF(OR(AND($E144&lt;&gt;"",NOT(ISNUMBER($E144))),AND($F144&lt;&gt;"",NOT(ISNUMBER($F144))),AND($G144&lt;&gt;"",NOT(ISNUMBER($G144)))),"Fecha no válida"&amp;" · ","")&amp;IF(AND(ISNUMBER($AM144),ISNUMBER($AN144),$AM144&gt;$AN144),"Inicio posterior a fecha límite"&amp;" · ","")&amp;IF(AND($V144="Macro",$H144&lt;&gt;"",OR(NOT(ISNUMBER($H144)),$H144&lt;0,$H144&gt;1)),"Peso fuera de rango"&amp;" · ","")&amp;IF(AND($V144="Sub",$H144&lt;&gt;""),"Las subactividades no llevan peso (valen igual dentro de su macroactividad)"&amp;" · ","")&amp;IF(AND(N($W144)&gt;0,COUNT($I144:$L144)&gt;0),"Con subactividades: deje vacías las semanas (se calculan solas)"&amp;" · ","")&amp;IF((COUNTIF($I144:$L144,"&gt;1")+COUNTIF($I144:$L144,"&lt;0")+COUNTA($I144:$L144)-COUNT($I144:$L144))&gt;0,"Avance fuera de rango 0-100%"&amp;" · ","")&amp;IF(OR(AND($J144&lt;&gt;"",$J144&lt;$I144),AND($K144&lt;&gt;"",$K144&lt;MAX($I144:$J144)),AND($L144&lt;&gt;"",$L144&lt;MAX($I144:$K144))),"Avance semanal decreciente"&amp;" · ","")&amp;IF(AND(ISNUMBER($AN144),$AN144&lt;FechaRef,IF($V144="Sub",N($X144),N($M144))&lt;1),"Vencida"&amp;" · ","")&amp;IF(AND(ObsObligatoria="Sí",ISNUMBER($AN144),$AN144&lt;FechaRef,IF($V144="Sub",N($X144),N($M144))&lt;1,$Q144=""),"Vencida sin observación"&amp;" · ",""),LEN(IF($C144="","Falta el nombre de la actividad"&amp;" · ","")&amp;IF(AND($V144="Sub",N($U144)=0),"Subactividad sin macroactividad arriba"&amp;" · ","")&amp;IF($AM144="","Sin fecha de inicio"&amp;" · ","")&amp;IF($AN144="","Sin fecha límite"&amp;" · ","")&amp;IF(AND(LEFT($C144,11)="[Jefatura] ",N($AL144)=0),"No se encuentra en la hoja de la jefatura (elíjala de nuevo en la lista)"&amp;" · ","")&amp;IF(OR(AND($E144&lt;&gt;"",NOT(ISNUMBER($E144))),AND($F144&lt;&gt;"",NOT(ISNUMBER($F144))),AND($G144&lt;&gt;"",NOT(ISNUMBER($G144)))),"Fecha no válida"&amp;" · ","")&amp;IF(AND(ISNUMBER($AM144),ISNUMBER($AN144),$AM144&gt;$AN144),"Inicio posterior a fecha límite"&amp;" · ","")&amp;IF(AND($V144="Macro",$H144&lt;&gt;"",OR(NOT(ISNUMBER($H144)),$H144&lt;0,$H144&gt;1)),"Peso fuera de rango"&amp;" · ","")&amp;IF(AND($V144="Sub",$H144&lt;&gt;""),"Las subactividades no llevan peso (valen igual dentro de su macroactividad)"&amp;" · ","")&amp;IF(AND(N($W144)&gt;0,COUNT($I144:$L144)&gt;0),"Con subactividades: deje vacías las semanas (se calculan solas)"&amp;" · ","")&amp;IF((COUNTIF($I144:$L144,"&gt;1")+COUNTIF($I144:$L144,"&lt;0")+COUNTA($I144:$L144)-COUNT($I144:$L144))&gt;0,"Avance fuera de rango 0-100%"&amp;" · ","")&amp;IF(OR(AND($J144&lt;&gt;"",$J144&lt;$I144),AND($K144&lt;&gt;"",$K144&lt;MAX($I144:$J144)),AND($L144&lt;&gt;"",$L144&lt;MAX($I144:$K144))),"Avance semanal decreciente"&amp;" · ","")&amp;IF(AND(ISNUMBER($AN144),$AN144&lt;FechaRef,IF($V144="Sub",N($X144),N($M144))&lt;1),"Vencida"&amp;" · ","")&amp;IF(AND(ObsObligatoria="Sí",ISNUMBER($AN144),$AN144&lt;FechaRef,IF($V144="Sub",N($X144),N($M144))&lt;1,$Q144=""),"Vencida sin observación"&amp;" · ",""))-3)))</f>
        <v/>
      </c>
      <c r="S144" s="64">
        <f>IF(NOT((COUNTA($B144:$D144)+COUNTA($G144:$L144)+COUNTA($Q144))&gt;0),"",IF(AND($V144="Sub",N($U144)&gt;0),IF(ISNUMBER(INDEX($AM$5:$AM$1000,$U144-4)),DATE(YEAR(INDEX($AM$5:$AM$1000,$U144-4)),MONTH(INDEX($AM$5:$AM$1000,$U144-4)),1),IF(ISNUMBER(INDEX($AN$5:$AN$1000,$U144-4)),DATE(YEAR(INDEX($AN$5:$AN$1000,$U144-4)),MONTH(INDEX($AN$5:$AN$1000,$U144-4)),1),MesCiclo)),IF(ISNUMBER($AM144),DATE(YEAR($AM144),MONTH($AM144),1),IF(ISNUMBER($AN144),DATE(YEAR($AN144),MONTH($AN144),1),MesCiclo))))</f>
        <v/>
      </c>
      <c r="T144" s="62">
        <f>IF(OR($S144="",$S144&lt;&gt;MesCiclo,$V144&lt;&gt;"Macro"),"",COUNTIFS($S$5:$S144,MesCiclo,$V$5:$V144,"Macro"))</f>
        <v/>
      </c>
      <c r="U144" s="62">
        <f>IF($V144="","",IF($V144="Macro",ROW(),IFERROR(LOOKUP(2,1/($V$5:$V144="Macro"),ROW($V$5:$V144)),0)))</f>
        <v/>
      </c>
      <c r="V144" s="62">
        <f>IF(NOT((COUNTA($B144:$D144)+COUNTA($G144:$L144)+COUNTA($Q144))&gt;0),"",IF($B144="Subactividad","Sub","Macro"))</f>
        <v/>
      </c>
      <c r="W144" s="62">
        <f>IF($V144="Macro",COUNTIFS($U$5:$U$1000,ROW(),$V$5:$V$1000,"Sub"),"")</f>
        <v/>
      </c>
      <c r="X144" s="62">
        <f>IF($V144="","",IF(ISNUMBER($G144),1,IFERROR(LOOKUP(2,1/($I144:$L144&lt;&gt;""),$I144:$L144),0)))</f>
        <v/>
      </c>
      <c r="Y144" s="62">
        <f>IF($V144="","",IF(AND(ISNUMBER($G144),$G144&lt;=IF($S144=MesCiclo,InicioCiclo,$S144+MOD(2-WEEKDAY($S144),7))+6),1,IF(ISNUMBER($I144),$I144,0)))</f>
        <v/>
      </c>
      <c r="Z144" s="62">
        <f>IF($V144="","",IF(AND(ISNUMBER($G144),$G144&lt;=IF($S144=MesCiclo,InicioCiclo,$S144+MOD(2-WEEKDAY($S144),7))+13),1,IF(ISNUMBER($J144),$J144,$Y144)))</f>
        <v/>
      </c>
      <c r="AA144" s="62">
        <f>IF($V144="","",IF(AND(ISNUMBER($G144),$G144&lt;=IF($S144=MesCiclo,InicioCiclo,$S144+MOD(2-WEEKDAY($S144),7))+20),1,IF(ISNUMBER($K144),$K144,$Z144)))</f>
        <v/>
      </c>
      <c r="AB144" s="62">
        <f>IF($V144="","",IF(AND(ISNUMBER($G144),$G144&lt;=IF($S144=MesCiclo,InicioCiclo,$S144+MOD(2-WEEKDAY($S144),7))+27),1,IF(ISNUMBER($L144),$L144,$AA144)))</f>
        <v/>
      </c>
      <c r="AC144" s="62">
        <f>IF($V144="","",IF(AND(ISNUMBER($G144),$G144&lt;=IF($S144=MesCiclo,InicioCiclo,$S144+MOD(2-WEEKDAY($S144),7))+6),1,IF(N($W144)&gt;0,AVERAGEIFS($Y$5:$Y$1000,$U$5:$U$1000,ROW(),$V$5:$V$1000,"Sub"),$Y144)))</f>
        <v/>
      </c>
      <c r="AD144" s="62">
        <f>IF($V144="","",IF(AND(ISNUMBER($G144),$G144&lt;=IF($S144=MesCiclo,InicioCiclo,$S144+MOD(2-WEEKDAY($S144),7))+13),1,IF(N($W144)&gt;0,AVERAGEIFS($Z$5:$Z$1000,$U$5:$U$1000,ROW(),$V$5:$V$1000,"Sub"),$Z144)))</f>
        <v/>
      </c>
      <c r="AE144" s="62">
        <f>IF($V144="","",IF(AND(ISNUMBER($G144),$G144&lt;=IF($S144=MesCiclo,InicioCiclo,$S144+MOD(2-WEEKDAY($S144),7))+20),1,IF(N($W144)&gt;0,AVERAGEIFS($AA$5:$AA$1000,$U$5:$U$1000,ROW(),$V$5:$V$1000,"Sub"),$AA144)))</f>
        <v/>
      </c>
      <c r="AF144" s="62">
        <f>IF($V144="","",IF(AND(ISNUMBER($G144),$G144&lt;=IF($S144=MesCiclo,InicioCiclo,$S144+MOD(2-WEEKDAY($S144),7))+27),1,IF(N($W144)&gt;0,AVERAGEIFS($AB$5:$AB$1000,$U$5:$U$1000,ROW(),$V$5:$V$1000,"Sub"),$AB144)))</f>
        <v/>
      </c>
      <c r="AG144" s="62">
        <f>IF($V144&lt;&gt;"Macro","",IF(COUNTIFS($S$5:$S$1000,$S144,$V$5:$V$1000,"Macro",$H$5:$H$1000,"&gt;0")=0,1/COUNTIFS($S$5:$S$1000,$S144,$V$5:$V$1000,"Macro"),IF(AND(ISNUMBER($H144),N($H144)&gt;0),$H144,SUMIFS($H$5:$H$1000,$S$5:$S$1000,$S144,$V$5:$V$1000,"Macro")/COUNTIFS($S$5:$S$1000,$S144,$V$5:$V$1000,"Macro",$H$5:$H$1000,"&gt;0"))/(COUNTIFS($S$5:$S$1000,$S144,$V$5:$V$1000,"Macro")*SUMIFS($H$5:$H$1000,$S$5:$S$1000,$S144,$V$5:$V$1000,"Macro")/COUNTIFS($S$5:$S$1000,$S144,$V$5:$V$1000,"Macro",$H$5:$H$1000,"&gt;0"))))</f>
        <v/>
      </c>
      <c r="AH144" s="62" t="n"/>
      <c r="AI144" s="62" t="n"/>
      <c r="AJ144" s="62" t="n"/>
      <c r="AK144" s="62" t="n"/>
      <c r="AL144" s="62">
        <f>IF(LEFT($C144,11)="[Jefatura] ",IFERROR(MATCH("Riesgo Normativo|"&amp;MID($C144,12,500),rDname_ADM,0),0),"")</f>
        <v/>
      </c>
      <c r="AM144" s="62">
        <f>IF(N($AL144)&gt;0,INDEX(rIni_ADM,$AL144),IF(ISNUMBER($E144),$E144,""))</f>
        <v/>
      </c>
      <c r="AN144" s="62">
        <f>IF(N($AL144)&gt;0,INDEX(rLim_ADM,$AL144),IF(ISNUMBER($F144),$F144,""))</f>
        <v/>
      </c>
    </row>
    <row r="145">
      <c r="A145" s="56">
        <f>IF(NOT((COUNTA($B145:$D145)+COUNTA($G145:$L145)+COUNTA($Q145))&gt;0),"",IF($V145="Macro",COUNTIFS($V$5:$V145,"Macro",$S$5:$S145,$S145),IF(N($U145)=0,"?",COUNTIFS(INDEX($V$5:$V$1000,1):INDEX($V$5:$V$1000,$U145-4),"Macro",INDEX($S$5:$S$1000,1):INDEX($S$5:$S$1000,$U145-4),INDEX($S$5:$S$1000,$U145-4))&amp;"."&amp;COUNTIFS($U$5:$U145,$U145,$V$5:$V145,"Sub"))))</f>
        <v/>
      </c>
      <c r="B145" s="57" t="n"/>
      <c r="C145" s="58" t="n"/>
      <c r="D145" s="58" t="n"/>
      <c r="E145" s="59">
        <f>IF(N($AL145)&gt;0,INDEX(rIni_ADM,$AL145),"")</f>
        <v/>
      </c>
      <c r="F145" s="59">
        <f>IF(N($AL145)&gt;0,INDEX(rLim_ADM,$AL145),"")</f>
        <v/>
      </c>
      <c r="G145" s="59" t="n"/>
      <c r="H145" s="60" t="n"/>
      <c r="I145" s="60" t="n"/>
      <c r="J145" s="60" t="n"/>
      <c r="K145" s="60" t="n"/>
      <c r="L145" s="60" t="n"/>
      <c r="M145" s="61">
        <f>IF(NOT((COUNTA($B145:$D145)+COUNTA($G145:$L145)+COUNTA($Q145))&gt;0),"",IF($V145="Sub",IFERROR($X145/INDEX($W$5:$W$1000,$U145-4),""),IF(ISNUMBER($G145),1,IF(N($W145)&gt;0,AVERAGEIFS($X$5:$X$1000,$U$5:$U$1000,ROW(),$V$5:$V$1000,"Sub"),$X145))))</f>
        <v/>
      </c>
      <c r="N145" s="56">
        <f>IF(OR($M145="",$V145="Sub"),"",IF($M145&gt;=1,"Completado",IF($M145&gt;0,"En curso","Pendiente")))</f>
        <v/>
      </c>
      <c r="O145" s="56">
        <f>IF(OR(NOT((COUNTA($B145:$D145)+COUNTA($G145:$L145)+COUNTA($Q145))&gt;0),$V145="Sub"),"",IF(ISNUMBER($G145),IF(AND(ISNUMBER($AN145),$G145&gt;$AN145),"Cumplida con "&amp;($G145-$AN145)&amp;IF($G145-$AN145=1," día"," días")&amp;" de retraso","Cumplida"),IF(N($M145)&gt;=1,"Cumplida",IF(NOT(ISNUMBER($AN145)),"Sin fecha límite",IF($AN145&lt;FechaRef,"Vencida hace "&amp;(FechaRef-$AN145)&amp;IF(FechaRef-$AN145=1," día"," días"),IF($AN145=FechaRef,"Vence hoy",IF($AN145-FechaRef&lt;=DiasAlerta,"Vence en "&amp;($AN145-FechaRef)&amp;IF($AN145-FechaRef=1," día"," días"),"En plazo")))))))</f>
        <v/>
      </c>
      <c r="P145" s="62" t="n"/>
      <c r="Q145" s="58" t="n"/>
      <c r="R145" s="63">
        <f>IF(NOT((COUNTA($B145:$D145)+COUNTA($G145:$L145)+COUNTA($Q145))&gt;0),"",IF((IF($C145="","Falta el nombre de la actividad"&amp;" · ","")&amp;IF(AND($V145="Sub",N($U145)=0),"Subactividad sin macroactividad arriba"&amp;" · ","")&amp;IF($AM145="","Sin fecha de inicio"&amp;" · ","")&amp;IF($AN145="","Sin fecha límite"&amp;" · ","")&amp;IF(AND(LEFT($C145,11)="[Jefatura] ",N($AL145)=0),"No se encuentra en la hoja de la jefatura (elíjala de nuevo en la lista)"&amp;" · ","")&amp;IF(OR(AND($E145&lt;&gt;"",NOT(ISNUMBER($E145))),AND($F145&lt;&gt;"",NOT(ISNUMBER($F145))),AND($G145&lt;&gt;"",NOT(ISNUMBER($G145)))),"Fecha no válida"&amp;" · ","")&amp;IF(AND(ISNUMBER($AM145),ISNUMBER($AN145),$AM145&gt;$AN145),"Inicio posterior a fecha límite"&amp;" · ","")&amp;IF(AND($V145="Macro",$H145&lt;&gt;"",OR(NOT(ISNUMBER($H145)),$H145&lt;0,$H145&gt;1)),"Peso fuera de rango"&amp;" · ","")&amp;IF(AND($V145="Sub",$H145&lt;&gt;""),"Las subactividades no llevan peso (valen igual dentro de su macroactividad)"&amp;" · ","")&amp;IF(AND(N($W145)&gt;0,COUNT($I145:$L145)&gt;0),"Con subactividades: deje vacías las semanas (se calculan solas)"&amp;" · ","")&amp;IF((COUNTIF($I145:$L145,"&gt;1")+COUNTIF($I145:$L145,"&lt;0")+COUNTA($I145:$L145)-COUNT($I145:$L145))&gt;0,"Avance fuera de rango 0-100%"&amp;" · ","")&amp;IF(OR(AND($J145&lt;&gt;"",$J145&lt;$I145),AND($K145&lt;&gt;"",$K145&lt;MAX($I145:$J145)),AND($L145&lt;&gt;"",$L145&lt;MAX($I145:$K145))),"Avance semanal decreciente"&amp;" · ","")&amp;IF(AND(ISNUMBER($AN145),$AN145&lt;FechaRef,IF($V145="Sub",N($X145),N($M145))&lt;1),"Vencida"&amp;" · ","")&amp;IF(AND(ObsObligatoria="Sí",ISNUMBER($AN145),$AN145&lt;FechaRef,IF($V145="Sub",N($X145),N($M145))&lt;1,$Q145=""),"Vencida sin observación"&amp;" · ",""))="","✔ OK","⚠ "&amp;LEFT(IF($C145="","Falta el nombre de la actividad"&amp;" · ","")&amp;IF(AND($V145="Sub",N($U145)=0),"Subactividad sin macroactividad arriba"&amp;" · ","")&amp;IF($AM145="","Sin fecha de inicio"&amp;" · ","")&amp;IF($AN145="","Sin fecha límite"&amp;" · ","")&amp;IF(AND(LEFT($C145,11)="[Jefatura] ",N($AL145)=0),"No se encuentra en la hoja de la jefatura (elíjala de nuevo en la lista)"&amp;" · ","")&amp;IF(OR(AND($E145&lt;&gt;"",NOT(ISNUMBER($E145))),AND($F145&lt;&gt;"",NOT(ISNUMBER($F145))),AND($G145&lt;&gt;"",NOT(ISNUMBER($G145)))),"Fecha no válida"&amp;" · ","")&amp;IF(AND(ISNUMBER($AM145),ISNUMBER($AN145),$AM145&gt;$AN145),"Inicio posterior a fecha límite"&amp;" · ","")&amp;IF(AND($V145="Macro",$H145&lt;&gt;"",OR(NOT(ISNUMBER($H145)),$H145&lt;0,$H145&gt;1)),"Peso fuera de rango"&amp;" · ","")&amp;IF(AND($V145="Sub",$H145&lt;&gt;""),"Las subactividades no llevan peso (valen igual dentro de su macroactividad)"&amp;" · ","")&amp;IF(AND(N($W145)&gt;0,COUNT($I145:$L145)&gt;0),"Con subactividades: deje vacías las semanas (se calculan solas)"&amp;" · ","")&amp;IF((COUNTIF($I145:$L145,"&gt;1")+COUNTIF($I145:$L145,"&lt;0")+COUNTA($I145:$L145)-COUNT($I145:$L145))&gt;0,"Avance fuera de rango 0-100%"&amp;" · ","")&amp;IF(OR(AND($J145&lt;&gt;"",$J145&lt;$I145),AND($K145&lt;&gt;"",$K145&lt;MAX($I145:$J145)),AND($L145&lt;&gt;"",$L145&lt;MAX($I145:$K145))),"Avance semanal decreciente"&amp;" · ","")&amp;IF(AND(ISNUMBER($AN145),$AN145&lt;FechaRef,IF($V145="Sub",N($X145),N($M145))&lt;1),"Vencida"&amp;" · ","")&amp;IF(AND(ObsObligatoria="Sí",ISNUMBER($AN145),$AN145&lt;FechaRef,IF($V145="Sub",N($X145),N($M145))&lt;1,$Q145=""),"Vencida sin observación"&amp;" · ",""),LEN(IF($C145="","Falta el nombre de la actividad"&amp;" · ","")&amp;IF(AND($V145="Sub",N($U145)=0),"Subactividad sin macroactividad arriba"&amp;" · ","")&amp;IF($AM145="","Sin fecha de inicio"&amp;" · ","")&amp;IF($AN145="","Sin fecha límite"&amp;" · ","")&amp;IF(AND(LEFT($C145,11)="[Jefatura] ",N($AL145)=0),"No se encuentra en la hoja de la jefatura (elíjala de nuevo en la lista)"&amp;" · ","")&amp;IF(OR(AND($E145&lt;&gt;"",NOT(ISNUMBER($E145))),AND($F145&lt;&gt;"",NOT(ISNUMBER($F145))),AND($G145&lt;&gt;"",NOT(ISNUMBER($G145)))),"Fecha no válida"&amp;" · ","")&amp;IF(AND(ISNUMBER($AM145),ISNUMBER($AN145),$AM145&gt;$AN145),"Inicio posterior a fecha límite"&amp;" · ","")&amp;IF(AND($V145="Macro",$H145&lt;&gt;"",OR(NOT(ISNUMBER($H145)),$H145&lt;0,$H145&gt;1)),"Peso fuera de rango"&amp;" · ","")&amp;IF(AND($V145="Sub",$H145&lt;&gt;""),"Las subactividades no llevan peso (valen igual dentro de su macroactividad)"&amp;" · ","")&amp;IF(AND(N($W145)&gt;0,COUNT($I145:$L145)&gt;0),"Con subactividades: deje vacías las semanas (se calculan solas)"&amp;" · ","")&amp;IF((COUNTIF($I145:$L145,"&gt;1")+COUNTIF($I145:$L145,"&lt;0")+COUNTA($I145:$L145)-COUNT($I145:$L145))&gt;0,"Avance fuera de rango 0-100%"&amp;" · ","")&amp;IF(OR(AND($J145&lt;&gt;"",$J145&lt;$I145),AND($K145&lt;&gt;"",$K145&lt;MAX($I145:$J145)),AND($L145&lt;&gt;"",$L145&lt;MAX($I145:$K145))),"Avance semanal decreciente"&amp;" · ","")&amp;IF(AND(ISNUMBER($AN145),$AN145&lt;FechaRef,IF($V145="Sub",N($X145),N($M145))&lt;1),"Vencida"&amp;" · ","")&amp;IF(AND(ObsObligatoria="Sí",ISNUMBER($AN145),$AN145&lt;FechaRef,IF($V145="Sub",N($X145),N($M145))&lt;1,$Q145=""),"Vencida sin observación"&amp;" · ",""))-3)))</f>
        <v/>
      </c>
      <c r="S145" s="64">
        <f>IF(NOT((COUNTA($B145:$D145)+COUNTA($G145:$L145)+COUNTA($Q145))&gt;0),"",IF(AND($V145="Sub",N($U145)&gt;0),IF(ISNUMBER(INDEX($AM$5:$AM$1000,$U145-4)),DATE(YEAR(INDEX($AM$5:$AM$1000,$U145-4)),MONTH(INDEX($AM$5:$AM$1000,$U145-4)),1),IF(ISNUMBER(INDEX($AN$5:$AN$1000,$U145-4)),DATE(YEAR(INDEX($AN$5:$AN$1000,$U145-4)),MONTH(INDEX($AN$5:$AN$1000,$U145-4)),1),MesCiclo)),IF(ISNUMBER($AM145),DATE(YEAR($AM145),MONTH($AM145),1),IF(ISNUMBER($AN145),DATE(YEAR($AN145),MONTH($AN145),1),MesCiclo))))</f>
        <v/>
      </c>
      <c r="T145" s="62">
        <f>IF(OR($S145="",$S145&lt;&gt;MesCiclo,$V145&lt;&gt;"Macro"),"",COUNTIFS($S$5:$S145,MesCiclo,$V$5:$V145,"Macro"))</f>
        <v/>
      </c>
      <c r="U145" s="62">
        <f>IF($V145="","",IF($V145="Macro",ROW(),IFERROR(LOOKUP(2,1/($V$5:$V145="Macro"),ROW($V$5:$V145)),0)))</f>
        <v/>
      </c>
      <c r="V145" s="62">
        <f>IF(NOT((COUNTA($B145:$D145)+COUNTA($G145:$L145)+COUNTA($Q145))&gt;0),"",IF($B145="Subactividad","Sub","Macro"))</f>
        <v/>
      </c>
      <c r="W145" s="62">
        <f>IF($V145="Macro",COUNTIFS($U$5:$U$1000,ROW(),$V$5:$V$1000,"Sub"),"")</f>
        <v/>
      </c>
      <c r="X145" s="62">
        <f>IF($V145="","",IF(ISNUMBER($G145),1,IFERROR(LOOKUP(2,1/($I145:$L145&lt;&gt;""),$I145:$L145),0)))</f>
        <v/>
      </c>
      <c r="Y145" s="62">
        <f>IF($V145="","",IF(AND(ISNUMBER($G145),$G145&lt;=IF($S145=MesCiclo,InicioCiclo,$S145+MOD(2-WEEKDAY($S145),7))+6),1,IF(ISNUMBER($I145),$I145,0)))</f>
        <v/>
      </c>
      <c r="Z145" s="62">
        <f>IF($V145="","",IF(AND(ISNUMBER($G145),$G145&lt;=IF($S145=MesCiclo,InicioCiclo,$S145+MOD(2-WEEKDAY($S145),7))+13),1,IF(ISNUMBER($J145),$J145,$Y145)))</f>
        <v/>
      </c>
      <c r="AA145" s="62">
        <f>IF($V145="","",IF(AND(ISNUMBER($G145),$G145&lt;=IF($S145=MesCiclo,InicioCiclo,$S145+MOD(2-WEEKDAY($S145),7))+20),1,IF(ISNUMBER($K145),$K145,$Z145)))</f>
        <v/>
      </c>
      <c r="AB145" s="62">
        <f>IF($V145="","",IF(AND(ISNUMBER($G145),$G145&lt;=IF($S145=MesCiclo,InicioCiclo,$S145+MOD(2-WEEKDAY($S145),7))+27),1,IF(ISNUMBER($L145),$L145,$AA145)))</f>
        <v/>
      </c>
      <c r="AC145" s="62">
        <f>IF($V145="","",IF(AND(ISNUMBER($G145),$G145&lt;=IF($S145=MesCiclo,InicioCiclo,$S145+MOD(2-WEEKDAY($S145),7))+6),1,IF(N($W145)&gt;0,AVERAGEIFS($Y$5:$Y$1000,$U$5:$U$1000,ROW(),$V$5:$V$1000,"Sub"),$Y145)))</f>
        <v/>
      </c>
      <c r="AD145" s="62">
        <f>IF($V145="","",IF(AND(ISNUMBER($G145),$G145&lt;=IF($S145=MesCiclo,InicioCiclo,$S145+MOD(2-WEEKDAY($S145),7))+13),1,IF(N($W145)&gt;0,AVERAGEIFS($Z$5:$Z$1000,$U$5:$U$1000,ROW(),$V$5:$V$1000,"Sub"),$Z145)))</f>
        <v/>
      </c>
      <c r="AE145" s="62">
        <f>IF($V145="","",IF(AND(ISNUMBER($G145),$G145&lt;=IF($S145=MesCiclo,InicioCiclo,$S145+MOD(2-WEEKDAY($S145),7))+20),1,IF(N($W145)&gt;0,AVERAGEIFS($AA$5:$AA$1000,$U$5:$U$1000,ROW(),$V$5:$V$1000,"Sub"),$AA145)))</f>
        <v/>
      </c>
      <c r="AF145" s="62">
        <f>IF($V145="","",IF(AND(ISNUMBER($G145),$G145&lt;=IF($S145=MesCiclo,InicioCiclo,$S145+MOD(2-WEEKDAY($S145),7))+27),1,IF(N($W145)&gt;0,AVERAGEIFS($AB$5:$AB$1000,$U$5:$U$1000,ROW(),$V$5:$V$1000,"Sub"),$AB145)))</f>
        <v/>
      </c>
      <c r="AG145" s="62">
        <f>IF($V145&lt;&gt;"Macro","",IF(COUNTIFS($S$5:$S$1000,$S145,$V$5:$V$1000,"Macro",$H$5:$H$1000,"&gt;0")=0,1/COUNTIFS($S$5:$S$1000,$S145,$V$5:$V$1000,"Macro"),IF(AND(ISNUMBER($H145),N($H145)&gt;0),$H145,SUMIFS($H$5:$H$1000,$S$5:$S$1000,$S145,$V$5:$V$1000,"Macro")/COUNTIFS($S$5:$S$1000,$S145,$V$5:$V$1000,"Macro",$H$5:$H$1000,"&gt;0"))/(COUNTIFS($S$5:$S$1000,$S145,$V$5:$V$1000,"Macro")*SUMIFS($H$5:$H$1000,$S$5:$S$1000,$S145,$V$5:$V$1000,"Macro")/COUNTIFS($S$5:$S$1000,$S145,$V$5:$V$1000,"Macro",$H$5:$H$1000,"&gt;0"))))</f>
        <v/>
      </c>
      <c r="AH145" s="62" t="n"/>
      <c r="AI145" s="62" t="n"/>
      <c r="AJ145" s="62" t="n"/>
      <c r="AK145" s="62" t="n"/>
      <c r="AL145" s="62">
        <f>IF(LEFT($C145,11)="[Jefatura] ",IFERROR(MATCH("Riesgo Normativo|"&amp;MID($C145,12,500),rDname_ADM,0),0),"")</f>
        <v/>
      </c>
      <c r="AM145" s="62">
        <f>IF(N($AL145)&gt;0,INDEX(rIni_ADM,$AL145),IF(ISNUMBER($E145),$E145,""))</f>
        <v/>
      </c>
      <c r="AN145" s="62">
        <f>IF(N($AL145)&gt;0,INDEX(rLim_ADM,$AL145),IF(ISNUMBER($F145),$F145,""))</f>
        <v/>
      </c>
    </row>
    <row r="146">
      <c r="A146" s="56">
        <f>IF(NOT((COUNTA($B146:$D146)+COUNTA($G146:$L146)+COUNTA($Q146))&gt;0),"",IF($V146="Macro",COUNTIFS($V$5:$V146,"Macro",$S$5:$S146,$S146),IF(N($U146)=0,"?",COUNTIFS(INDEX($V$5:$V$1000,1):INDEX($V$5:$V$1000,$U146-4),"Macro",INDEX($S$5:$S$1000,1):INDEX($S$5:$S$1000,$U146-4),INDEX($S$5:$S$1000,$U146-4))&amp;"."&amp;COUNTIFS($U$5:$U146,$U146,$V$5:$V146,"Sub"))))</f>
        <v/>
      </c>
      <c r="B146" s="57" t="n"/>
      <c r="C146" s="58" t="n"/>
      <c r="D146" s="58" t="n"/>
      <c r="E146" s="59">
        <f>IF(N($AL146)&gt;0,INDEX(rIni_ADM,$AL146),"")</f>
        <v/>
      </c>
      <c r="F146" s="59">
        <f>IF(N($AL146)&gt;0,INDEX(rLim_ADM,$AL146),"")</f>
        <v/>
      </c>
      <c r="G146" s="59" t="n"/>
      <c r="H146" s="60" t="n"/>
      <c r="I146" s="60" t="n"/>
      <c r="J146" s="60" t="n"/>
      <c r="K146" s="60" t="n"/>
      <c r="L146" s="60" t="n"/>
      <c r="M146" s="61">
        <f>IF(NOT((COUNTA($B146:$D146)+COUNTA($G146:$L146)+COUNTA($Q146))&gt;0),"",IF($V146="Sub",IFERROR($X146/INDEX($W$5:$W$1000,$U146-4),""),IF(ISNUMBER($G146),1,IF(N($W146)&gt;0,AVERAGEIFS($X$5:$X$1000,$U$5:$U$1000,ROW(),$V$5:$V$1000,"Sub"),$X146))))</f>
        <v/>
      </c>
      <c r="N146" s="56">
        <f>IF(OR($M146="",$V146="Sub"),"",IF($M146&gt;=1,"Completado",IF($M146&gt;0,"En curso","Pendiente")))</f>
        <v/>
      </c>
      <c r="O146" s="56">
        <f>IF(OR(NOT((COUNTA($B146:$D146)+COUNTA($G146:$L146)+COUNTA($Q146))&gt;0),$V146="Sub"),"",IF(ISNUMBER($G146),IF(AND(ISNUMBER($AN146),$G146&gt;$AN146),"Cumplida con "&amp;($G146-$AN146)&amp;IF($G146-$AN146=1," día"," días")&amp;" de retraso","Cumplida"),IF(N($M146)&gt;=1,"Cumplida",IF(NOT(ISNUMBER($AN146)),"Sin fecha límite",IF($AN146&lt;FechaRef,"Vencida hace "&amp;(FechaRef-$AN146)&amp;IF(FechaRef-$AN146=1," día"," días"),IF($AN146=FechaRef,"Vence hoy",IF($AN146-FechaRef&lt;=DiasAlerta,"Vence en "&amp;($AN146-FechaRef)&amp;IF($AN146-FechaRef=1," día"," días"),"En plazo")))))))</f>
        <v/>
      </c>
      <c r="P146" s="62" t="n"/>
      <c r="Q146" s="58" t="n"/>
      <c r="R146" s="63">
        <f>IF(NOT((COUNTA($B146:$D146)+COUNTA($G146:$L146)+COUNTA($Q146))&gt;0),"",IF((IF($C146="","Falta el nombre de la actividad"&amp;" · ","")&amp;IF(AND($V146="Sub",N($U146)=0),"Subactividad sin macroactividad arriba"&amp;" · ","")&amp;IF($AM146="","Sin fecha de inicio"&amp;" · ","")&amp;IF($AN146="","Sin fecha límite"&amp;" · ","")&amp;IF(AND(LEFT($C146,11)="[Jefatura] ",N($AL146)=0),"No se encuentra en la hoja de la jefatura (elíjala de nuevo en la lista)"&amp;" · ","")&amp;IF(OR(AND($E146&lt;&gt;"",NOT(ISNUMBER($E146))),AND($F146&lt;&gt;"",NOT(ISNUMBER($F146))),AND($G146&lt;&gt;"",NOT(ISNUMBER($G146)))),"Fecha no válida"&amp;" · ","")&amp;IF(AND(ISNUMBER($AM146),ISNUMBER($AN146),$AM146&gt;$AN146),"Inicio posterior a fecha límite"&amp;" · ","")&amp;IF(AND($V146="Macro",$H146&lt;&gt;"",OR(NOT(ISNUMBER($H146)),$H146&lt;0,$H146&gt;1)),"Peso fuera de rango"&amp;" · ","")&amp;IF(AND($V146="Sub",$H146&lt;&gt;""),"Las subactividades no llevan peso (valen igual dentro de su macroactividad)"&amp;" · ","")&amp;IF(AND(N($W146)&gt;0,COUNT($I146:$L146)&gt;0),"Con subactividades: deje vacías las semanas (se calculan solas)"&amp;" · ","")&amp;IF((COUNTIF($I146:$L146,"&gt;1")+COUNTIF($I146:$L146,"&lt;0")+COUNTA($I146:$L146)-COUNT($I146:$L146))&gt;0,"Avance fuera de rango 0-100%"&amp;" · ","")&amp;IF(OR(AND($J146&lt;&gt;"",$J146&lt;$I146),AND($K146&lt;&gt;"",$K146&lt;MAX($I146:$J146)),AND($L146&lt;&gt;"",$L146&lt;MAX($I146:$K146))),"Avance semanal decreciente"&amp;" · ","")&amp;IF(AND(ISNUMBER($AN146),$AN146&lt;FechaRef,IF($V146="Sub",N($X146),N($M146))&lt;1),"Vencida"&amp;" · ","")&amp;IF(AND(ObsObligatoria="Sí",ISNUMBER($AN146),$AN146&lt;FechaRef,IF($V146="Sub",N($X146),N($M146))&lt;1,$Q146=""),"Vencida sin observación"&amp;" · ",""))="","✔ OK","⚠ "&amp;LEFT(IF($C146="","Falta el nombre de la actividad"&amp;" · ","")&amp;IF(AND($V146="Sub",N($U146)=0),"Subactividad sin macroactividad arriba"&amp;" · ","")&amp;IF($AM146="","Sin fecha de inicio"&amp;" · ","")&amp;IF($AN146="","Sin fecha límite"&amp;" · ","")&amp;IF(AND(LEFT($C146,11)="[Jefatura] ",N($AL146)=0),"No se encuentra en la hoja de la jefatura (elíjala de nuevo en la lista)"&amp;" · ","")&amp;IF(OR(AND($E146&lt;&gt;"",NOT(ISNUMBER($E146))),AND($F146&lt;&gt;"",NOT(ISNUMBER($F146))),AND($G146&lt;&gt;"",NOT(ISNUMBER($G146)))),"Fecha no válida"&amp;" · ","")&amp;IF(AND(ISNUMBER($AM146),ISNUMBER($AN146),$AM146&gt;$AN146),"Inicio posterior a fecha límite"&amp;" · ","")&amp;IF(AND($V146="Macro",$H146&lt;&gt;"",OR(NOT(ISNUMBER($H146)),$H146&lt;0,$H146&gt;1)),"Peso fuera de rango"&amp;" · ","")&amp;IF(AND($V146="Sub",$H146&lt;&gt;""),"Las subactividades no llevan peso (valen igual dentro de su macroactividad)"&amp;" · ","")&amp;IF(AND(N($W146)&gt;0,COUNT($I146:$L146)&gt;0),"Con subactividades: deje vacías las semanas (se calculan solas)"&amp;" · ","")&amp;IF((COUNTIF($I146:$L146,"&gt;1")+COUNTIF($I146:$L146,"&lt;0")+COUNTA($I146:$L146)-COUNT($I146:$L146))&gt;0,"Avance fuera de rango 0-100%"&amp;" · ","")&amp;IF(OR(AND($J146&lt;&gt;"",$J146&lt;$I146),AND($K146&lt;&gt;"",$K146&lt;MAX($I146:$J146)),AND($L146&lt;&gt;"",$L146&lt;MAX($I146:$K146))),"Avance semanal decreciente"&amp;" · ","")&amp;IF(AND(ISNUMBER($AN146),$AN146&lt;FechaRef,IF($V146="Sub",N($X146),N($M146))&lt;1),"Vencida"&amp;" · ","")&amp;IF(AND(ObsObligatoria="Sí",ISNUMBER($AN146),$AN146&lt;FechaRef,IF($V146="Sub",N($X146),N($M146))&lt;1,$Q146=""),"Vencida sin observación"&amp;" · ",""),LEN(IF($C146="","Falta el nombre de la actividad"&amp;" · ","")&amp;IF(AND($V146="Sub",N($U146)=0),"Subactividad sin macroactividad arriba"&amp;" · ","")&amp;IF($AM146="","Sin fecha de inicio"&amp;" · ","")&amp;IF($AN146="","Sin fecha límite"&amp;" · ","")&amp;IF(AND(LEFT($C146,11)="[Jefatura] ",N($AL146)=0),"No se encuentra en la hoja de la jefatura (elíjala de nuevo en la lista)"&amp;" · ","")&amp;IF(OR(AND($E146&lt;&gt;"",NOT(ISNUMBER($E146))),AND($F146&lt;&gt;"",NOT(ISNUMBER($F146))),AND($G146&lt;&gt;"",NOT(ISNUMBER($G146)))),"Fecha no válida"&amp;" · ","")&amp;IF(AND(ISNUMBER($AM146),ISNUMBER($AN146),$AM146&gt;$AN146),"Inicio posterior a fecha límite"&amp;" · ","")&amp;IF(AND($V146="Macro",$H146&lt;&gt;"",OR(NOT(ISNUMBER($H146)),$H146&lt;0,$H146&gt;1)),"Peso fuera de rango"&amp;" · ","")&amp;IF(AND($V146="Sub",$H146&lt;&gt;""),"Las subactividades no llevan peso (valen igual dentro de su macroactividad)"&amp;" · ","")&amp;IF(AND(N($W146)&gt;0,COUNT($I146:$L146)&gt;0),"Con subactividades: deje vacías las semanas (se calculan solas)"&amp;" · ","")&amp;IF((COUNTIF($I146:$L146,"&gt;1")+COUNTIF($I146:$L146,"&lt;0")+COUNTA($I146:$L146)-COUNT($I146:$L146))&gt;0,"Avance fuera de rango 0-100%"&amp;" · ","")&amp;IF(OR(AND($J146&lt;&gt;"",$J146&lt;$I146),AND($K146&lt;&gt;"",$K146&lt;MAX($I146:$J146)),AND($L146&lt;&gt;"",$L146&lt;MAX($I146:$K146))),"Avance semanal decreciente"&amp;" · ","")&amp;IF(AND(ISNUMBER($AN146),$AN146&lt;FechaRef,IF($V146="Sub",N($X146),N($M146))&lt;1),"Vencida"&amp;" · ","")&amp;IF(AND(ObsObligatoria="Sí",ISNUMBER($AN146),$AN146&lt;FechaRef,IF($V146="Sub",N($X146),N($M146))&lt;1,$Q146=""),"Vencida sin observación"&amp;" · ",""))-3)))</f>
        <v/>
      </c>
      <c r="S146" s="64">
        <f>IF(NOT((COUNTA($B146:$D146)+COUNTA($G146:$L146)+COUNTA($Q146))&gt;0),"",IF(AND($V146="Sub",N($U146)&gt;0),IF(ISNUMBER(INDEX($AM$5:$AM$1000,$U146-4)),DATE(YEAR(INDEX($AM$5:$AM$1000,$U146-4)),MONTH(INDEX($AM$5:$AM$1000,$U146-4)),1),IF(ISNUMBER(INDEX($AN$5:$AN$1000,$U146-4)),DATE(YEAR(INDEX($AN$5:$AN$1000,$U146-4)),MONTH(INDEX($AN$5:$AN$1000,$U146-4)),1),MesCiclo)),IF(ISNUMBER($AM146),DATE(YEAR($AM146),MONTH($AM146),1),IF(ISNUMBER($AN146),DATE(YEAR($AN146),MONTH($AN146),1),MesCiclo))))</f>
        <v/>
      </c>
      <c r="T146" s="62">
        <f>IF(OR($S146="",$S146&lt;&gt;MesCiclo,$V146&lt;&gt;"Macro"),"",COUNTIFS($S$5:$S146,MesCiclo,$V$5:$V146,"Macro"))</f>
        <v/>
      </c>
      <c r="U146" s="62">
        <f>IF($V146="","",IF($V146="Macro",ROW(),IFERROR(LOOKUP(2,1/($V$5:$V146="Macro"),ROW($V$5:$V146)),0)))</f>
        <v/>
      </c>
      <c r="V146" s="62">
        <f>IF(NOT((COUNTA($B146:$D146)+COUNTA($G146:$L146)+COUNTA($Q146))&gt;0),"",IF($B146="Subactividad","Sub","Macro"))</f>
        <v/>
      </c>
      <c r="W146" s="62">
        <f>IF($V146="Macro",COUNTIFS($U$5:$U$1000,ROW(),$V$5:$V$1000,"Sub"),"")</f>
        <v/>
      </c>
      <c r="X146" s="62">
        <f>IF($V146="","",IF(ISNUMBER($G146),1,IFERROR(LOOKUP(2,1/($I146:$L146&lt;&gt;""),$I146:$L146),0)))</f>
        <v/>
      </c>
      <c r="Y146" s="62">
        <f>IF($V146="","",IF(AND(ISNUMBER($G146),$G146&lt;=IF($S146=MesCiclo,InicioCiclo,$S146+MOD(2-WEEKDAY($S146),7))+6),1,IF(ISNUMBER($I146),$I146,0)))</f>
        <v/>
      </c>
      <c r="Z146" s="62">
        <f>IF($V146="","",IF(AND(ISNUMBER($G146),$G146&lt;=IF($S146=MesCiclo,InicioCiclo,$S146+MOD(2-WEEKDAY($S146),7))+13),1,IF(ISNUMBER($J146),$J146,$Y146)))</f>
        <v/>
      </c>
      <c r="AA146" s="62">
        <f>IF($V146="","",IF(AND(ISNUMBER($G146),$G146&lt;=IF($S146=MesCiclo,InicioCiclo,$S146+MOD(2-WEEKDAY($S146),7))+20),1,IF(ISNUMBER($K146),$K146,$Z146)))</f>
        <v/>
      </c>
      <c r="AB146" s="62">
        <f>IF($V146="","",IF(AND(ISNUMBER($G146),$G146&lt;=IF($S146=MesCiclo,InicioCiclo,$S146+MOD(2-WEEKDAY($S146),7))+27),1,IF(ISNUMBER($L146),$L146,$AA146)))</f>
        <v/>
      </c>
      <c r="AC146" s="62">
        <f>IF($V146="","",IF(AND(ISNUMBER($G146),$G146&lt;=IF($S146=MesCiclo,InicioCiclo,$S146+MOD(2-WEEKDAY($S146),7))+6),1,IF(N($W146)&gt;0,AVERAGEIFS($Y$5:$Y$1000,$U$5:$U$1000,ROW(),$V$5:$V$1000,"Sub"),$Y146)))</f>
        <v/>
      </c>
      <c r="AD146" s="62">
        <f>IF($V146="","",IF(AND(ISNUMBER($G146),$G146&lt;=IF($S146=MesCiclo,InicioCiclo,$S146+MOD(2-WEEKDAY($S146),7))+13),1,IF(N($W146)&gt;0,AVERAGEIFS($Z$5:$Z$1000,$U$5:$U$1000,ROW(),$V$5:$V$1000,"Sub"),$Z146)))</f>
        <v/>
      </c>
      <c r="AE146" s="62">
        <f>IF($V146="","",IF(AND(ISNUMBER($G146),$G146&lt;=IF($S146=MesCiclo,InicioCiclo,$S146+MOD(2-WEEKDAY($S146),7))+20),1,IF(N($W146)&gt;0,AVERAGEIFS($AA$5:$AA$1000,$U$5:$U$1000,ROW(),$V$5:$V$1000,"Sub"),$AA146)))</f>
        <v/>
      </c>
      <c r="AF146" s="62">
        <f>IF($V146="","",IF(AND(ISNUMBER($G146),$G146&lt;=IF($S146=MesCiclo,InicioCiclo,$S146+MOD(2-WEEKDAY($S146),7))+27),1,IF(N($W146)&gt;0,AVERAGEIFS($AB$5:$AB$1000,$U$5:$U$1000,ROW(),$V$5:$V$1000,"Sub"),$AB146)))</f>
        <v/>
      </c>
      <c r="AG146" s="62">
        <f>IF($V146&lt;&gt;"Macro","",IF(COUNTIFS($S$5:$S$1000,$S146,$V$5:$V$1000,"Macro",$H$5:$H$1000,"&gt;0")=0,1/COUNTIFS($S$5:$S$1000,$S146,$V$5:$V$1000,"Macro"),IF(AND(ISNUMBER($H146),N($H146)&gt;0),$H146,SUMIFS($H$5:$H$1000,$S$5:$S$1000,$S146,$V$5:$V$1000,"Macro")/COUNTIFS($S$5:$S$1000,$S146,$V$5:$V$1000,"Macro",$H$5:$H$1000,"&gt;0"))/(COUNTIFS($S$5:$S$1000,$S146,$V$5:$V$1000,"Macro")*SUMIFS($H$5:$H$1000,$S$5:$S$1000,$S146,$V$5:$V$1000,"Macro")/COUNTIFS($S$5:$S$1000,$S146,$V$5:$V$1000,"Macro",$H$5:$H$1000,"&gt;0"))))</f>
        <v/>
      </c>
      <c r="AH146" s="62" t="n"/>
      <c r="AI146" s="62" t="n"/>
      <c r="AJ146" s="62" t="n"/>
      <c r="AK146" s="62" t="n"/>
      <c r="AL146" s="62">
        <f>IF(LEFT($C146,11)="[Jefatura] ",IFERROR(MATCH("Riesgo Normativo|"&amp;MID($C146,12,500),rDname_ADM,0),0),"")</f>
        <v/>
      </c>
      <c r="AM146" s="62">
        <f>IF(N($AL146)&gt;0,INDEX(rIni_ADM,$AL146),IF(ISNUMBER($E146),$E146,""))</f>
        <v/>
      </c>
      <c r="AN146" s="62">
        <f>IF(N($AL146)&gt;0,INDEX(rLim_ADM,$AL146),IF(ISNUMBER($F146),$F146,""))</f>
        <v/>
      </c>
    </row>
    <row r="147">
      <c r="A147" s="56">
        <f>IF(NOT((COUNTA($B147:$D147)+COUNTA($G147:$L147)+COUNTA($Q147))&gt;0),"",IF($V147="Macro",COUNTIFS($V$5:$V147,"Macro",$S$5:$S147,$S147),IF(N($U147)=0,"?",COUNTIFS(INDEX($V$5:$V$1000,1):INDEX($V$5:$V$1000,$U147-4),"Macro",INDEX($S$5:$S$1000,1):INDEX($S$5:$S$1000,$U147-4),INDEX($S$5:$S$1000,$U147-4))&amp;"."&amp;COUNTIFS($U$5:$U147,$U147,$V$5:$V147,"Sub"))))</f>
        <v/>
      </c>
      <c r="B147" s="57" t="n"/>
      <c r="C147" s="58" t="n"/>
      <c r="D147" s="58" t="n"/>
      <c r="E147" s="59">
        <f>IF(N($AL147)&gt;0,INDEX(rIni_ADM,$AL147),"")</f>
        <v/>
      </c>
      <c r="F147" s="59">
        <f>IF(N($AL147)&gt;0,INDEX(rLim_ADM,$AL147),"")</f>
        <v/>
      </c>
      <c r="G147" s="59" t="n"/>
      <c r="H147" s="60" t="n"/>
      <c r="I147" s="60" t="n"/>
      <c r="J147" s="60" t="n"/>
      <c r="K147" s="60" t="n"/>
      <c r="L147" s="60" t="n"/>
      <c r="M147" s="61">
        <f>IF(NOT((COUNTA($B147:$D147)+COUNTA($G147:$L147)+COUNTA($Q147))&gt;0),"",IF($V147="Sub",IFERROR($X147/INDEX($W$5:$W$1000,$U147-4),""),IF(ISNUMBER($G147),1,IF(N($W147)&gt;0,AVERAGEIFS($X$5:$X$1000,$U$5:$U$1000,ROW(),$V$5:$V$1000,"Sub"),$X147))))</f>
        <v/>
      </c>
      <c r="N147" s="56">
        <f>IF(OR($M147="",$V147="Sub"),"",IF($M147&gt;=1,"Completado",IF($M147&gt;0,"En curso","Pendiente")))</f>
        <v/>
      </c>
      <c r="O147" s="56">
        <f>IF(OR(NOT((COUNTA($B147:$D147)+COUNTA($G147:$L147)+COUNTA($Q147))&gt;0),$V147="Sub"),"",IF(ISNUMBER($G147),IF(AND(ISNUMBER($AN147),$G147&gt;$AN147),"Cumplida con "&amp;($G147-$AN147)&amp;IF($G147-$AN147=1," día"," días")&amp;" de retraso","Cumplida"),IF(N($M147)&gt;=1,"Cumplida",IF(NOT(ISNUMBER($AN147)),"Sin fecha límite",IF($AN147&lt;FechaRef,"Vencida hace "&amp;(FechaRef-$AN147)&amp;IF(FechaRef-$AN147=1," día"," días"),IF($AN147=FechaRef,"Vence hoy",IF($AN147-FechaRef&lt;=DiasAlerta,"Vence en "&amp;($AN147-FechaRef)&amp;IF($AN147-FechaRef=1," día"," días"),"En plazo")))))))</f>
        <v/>
      </c>
      <c r="P147" s="62" t="n"/>
      <c r="Q147" s="58" t="n"/>
      <c r="R147" s="63">
        <f>IF(NOT((COUNTA($B147:$D147)+COUNTA($G147:$L147)+COUNTA($Q147))&gt;0),"",IF((IF($C147="","Falta el nombre de la actividad"&amp;" · ","")&amp;IF(AND($V147="Sub",N($U147)=0),"Subactividad sin macroactividad arriba"&amp;" · ","")&amp;IF($AM147="","Sin fecha de inicio"&amp;" · ","")&amp;IF($AN147="","Sin fecha límite"&amp;" · ","")&amp;IF(AND(LEFT($C147,11)="[Jefatura] ",N($AL147)=0),"No se encuentra en la hoja de la jefatura (elíjala de nuevo en la lista)"&amp;" · ","")&amp;IF(OR(AND($E147&lt;&gt;"",NOT(ISNUMBER($E147))),AND($F147&lt;&gt;"",NOT(ISNUMBER($F147))),AND($G147&lt;&gt;"",NOT(ISNUMBER($G147)))),"Fecha no válida"&amp;" · ","")&amp;IF(AND(ISNUMBER($AM147),ISNUMBER($AN147),$AM147&gt;$AN147),"Inicio posterior a fecha límite"&amp;" · ","")&amp;IF(AND($V147="Macro",$H147&lt;&gt;"",OR(NOT(ISNUMBER($H147)),$H147&lt;0,$H147&gt;1)),"Peso fuera de rango"&amp;" · ","")&amp;IF(AND($V147="Sub",$H147&lt;&gt;""),"Las subactividades no llevan peso (valen igual dentro de su macroactividad)"&amp;" · ","")&amp;IF(AND(N($W147)&gt;0,COUNT($I147:$L147)&gt;0),"Con subactividades: deje vacías las semanas (se calculan solas)"&amp;" · ","")&amp;IF((COUNTIF($I147:$L147,"&gt;1")+COUNTIF($I147:$L147,"&lt;0")+COUNTA($I147:$L147)-COUNT($I147:$L147))&gt;0,"Avance fuera de rango 0-100%"&amp;" · ","")&amp;IF(OR(AND($J147&lt;&gt;"",$J147&lt;$I147),AND($K147&lt;&gt;"",$K147&lt;MAX($I147:$J147)),AND($L147&lt;&gt;"",$L147&lt;MAX($I147:$K147))),"Avance semanal decreciente"&amp;" · ","")&amp;IF(AND(ISNUMBER($AN147),$AN147&lt;FechaRef,IF($V147="Sub",N($X147),N($M147))&lt;1),"Vencida"&amp;" · ","")&amp;IF(AND(ObsObligatoria="Sí",ISNUMBER($AN147),$AN147&lt;FechaRef,IF($V147="Sub",N($X147),N($M147))&lt;1,$Q147=""),"Vencida sin observación"&amp;" · ",""))="","✔ OK","⚠ "&amp;LEFT(IF($C147="","Falta el nombre de la actividad"&amp;" · ","")&amp;IF(AND($V147="Sub",N($U147)=0),"Subactividad sin macroactividad arriba"&amp;" · ","")&amp;IF($AM147="","Sin fecha de inicio"&amp;" · ","")&amp;IF($AN147="","Sin fecha límite"&amp;" · ","")&amp;IF(AND(LEFT($C147,11)="[Jefatura] ",N($AL147)=0),"No se encuentra en la hoja de la jefatura (elíjala de nuevo en la lista)"&amp;" · ","")&amp;IF(OR(AND($E147&lt;&gt;"",NOT(ISNUMBER($E147))),AND($F147&lt;&gt;"",NOT(ISNUMBER($F147))),AND($G147&lt;&gt;"",NOT(ISNUMBER($G147)))),"Fecha no válida"&amp;" · ","")&amp;IF(AND(ISNUMBER($AM147),ISNUMBER($AN147),$AM147&gt;$AN147),"Inicio posterior a fecha límite"&amp;" · ","")&amp;IF(AND($V147="Macro",$H147&lt;&gt;"",OR(NOT(ISNUMBER($H147)),$H147&lt;0,$H147&gt;1)),"Peso fuera de rango"&amp;" · ","")&amp;IF(AND($V147="Sub",$H147&lt;&gt;""),"Las subactividades no llevan peso (valen igual dentro de su macroactividad)"&amp;" · ","")&amp;IF(AND(N($W147)&gt;0,COUNT($I147:$L147)&gt;0),"Con subactividades: deje vacías las semanas (se calculan solas)"&amp;" · ","")&amp;IF((COUNTIF($I147:$L147,"&gt;1")+COUNTIF($I147:$L147,"&lt;0")+COUNTA($I147:$L147)-COUNT($I147:$L147))&gt;0,"Avance fuera de rango 0-100%"&amp;" · ","")&amp;IF(OR(AND($J147&lt;&gt;"",$J147&lt;$I147),AND($K147&lt;&gt;"",$K147&lt;MAX($I147:$J147)),AND($L147&lt;&gt;"",$L147&lt;MAX($I147:$K147))),"Avance semanal decreciente"&amp;" · ","")&amp;IF(AND(ISNUMBER($AN147),$AN147&lt;FechaRef,IF($V147="Sub",N($X147),N($M147))&lt;1),"Vencida"&amp;" · ","")&amp;IF(AND(ObsObligatoria="Sí",ISNUMBER($AN147),$AN147&lt;FechaRef,IF($V147="Sub",N($X147),N($M147))&lt;1,$Q147=""),"Vencida sin observación"&amp;" · ",""),LEN(IF($C147="","Falta el nombre de la actividad"&amp;" · ","")&amp;IF(AND($V147="Sub",N($U147)=0),"Subactividad sin macroactividad arriba"&amp;" · ","")&amp;IF($AM147="","Sin fecha de inicio"&amp;" · ","")&amp;IF($AN147="","Sin fecha límite"&amp;" · ","")&amp;IF(AND(LEFT($C147,11)="[Jefatura] ",N($AL147)=0),"No se encuentra en la hoja de la jefatura (elíjala de nuevo en la lista)"&amp;" · ","")&amp;IF(OR(AND($E147&lt;&gt;"",NOT(ISNUMBER($E147))),AND($F147&lt;&gt;"",NOT(ISNUMBER($F147))),AND($G147&lt;&gt;"",NOT(ISNUMBER($G147)))),"Fecha no válida"&amp;" · ","")&amp;IF(AND(ISNUMBER($AM147),ISNUMBER($AN147),$AM147&gt;$AN147),"Inicio posterior a fecha límite"&amp;" · ","")&amp;IF(AND($V147="Macro",$H147&lt;&gt;"",OR(NOT(ISNUMBER($H147)),$H147&lt;0,$H147&gt;1)),"Peso fuera de rango"&amp;" · ","")&amp;IF(AND($V147="Sub",$H147&lt;&gt;""),"Las subactividades no llevan peso (valen igual dentro de su macroactividad)"&amp;" · ","")&amp;IF(AND(N($W147)&gt;0,COUNT($I147:$L147)&gt;0),"Con subactividades: deje vacías las semanas (se calculan solas)"&amp;" · ","")&amp;IF((COUNTIF($I147:$L147,"&gt;1")+COUNTIF($I147:$L147,"&lt;0")+COUNTA($I147:$L147)-COUNT($I147:$L147))&gt;0,"Avance fuera de rango 0-100%"&amp;" · ","")&amp;IF(OR(AND($J147&lt;&gt;"",$J147&lt;$I147),AND($K147&lt;&gt;"",$K147&lt;MAX($I147:$J147)),AND($L147&lt;&gt;"",$L147&lt;MAX($I147:$K147))),"Avance semanal decreciente"&amp;" · ","")&amp;IF(AND(ISNUMBER($AN147),$AN147&lt;FechaRef,IF($V147="Sub",N($X147),N($M147))&lt;1),"Vencida"&amp;" · ","")&amp;IF(AND(ObsObligatoria="Sí",ISNUMBER($AN147),$AN147&lt;FechaRef,IF($V147="Sub",N($X147),N($M147))&lt;1,$Q147=""),"Vencida sin observación"&amp;" · ",""))-3)))</f>
        <v/>
      </c>
      <c r="S147" s="64">
        <f>IF(NOT((COUNTA($B147:$D147)+COUNTA($G147:$L147)+COUNTA($Q147))&gt;0),"",IF(AND($V147="Sub",N($U147)&gt;0),IF(ISNUMBER(INDEX($AM$5:$AM$1000,$U147-4)),DATE(YEAR(INDEX($AM$5:$AM$1000,$U147-4)),MONTH(INDEX($AM$5:$AM$1000,$U147-4)),1),IF(ISNUMBER(INDEX($AN$5:$AN$1000,$U147-4)),DATE(YEAR(INDEX($AN$5:$AN$1000,$U147-4)),MONTH(INDEX($AN$5:$AN$1000,$U147-4)),1),MesCiclo)),IF(ISNUMBER($AM147),DATE(YEAR($AM147),MONTH($AM147),1),IF(ISNUMBER($AN147),DATE(YEAR($AN147),MONTH($AN147),1),MesCiclo))))</f>
        <v/>
      </c>
      <c r="T147" s="62">
        <f>IF(OR($S147="",$S147&lt;&gt;MesCiclo,$V147&lt;&gt;"Macro"),"",COUNTIFS($S$5:$S147,MesCiclo,$V$5:$V147,"Macro"))</f>
        <v/>
      </c>
      <c r="U147" s="62">
        <f>IF($V147="","",IF($V147="Macro",ROW(),IFERROR(LOOKUP(2,1/($V$5:$V147="Macro"),ROW($V$5:$V147)),0)))</f>
        <v/>
      </c>
      <c r="V147" s="62">
        <f>IF(NOT((COUNTA($B147:$D147)+COUNTA($G147:$L147)+COUNTA($Q147))&gt;0),"",IF($B147="Subactividad","Sub","Macro"))</f>
        <v/>
      </c>
      <c r="W147" s="62">
        <f>IF($V147="Macro",COUNTIFS($U$5:$U$1000,ROW(),$V$5:$V$1000,"Sub"),"")</f>
        <v/>
      </c>
      <c r="X147" s="62">
        <f>IF($V147="","",IF(ISNUMBER($G147),1,IFERROR(LOOKUP(2,1/($I147:$L147&lt;&gt;""),$I147:$L147),0)))</f>
        <v/>
      </c>
      <c r="Y147" s="62">
        <f>IF($V147="","",IF(AND(ISNUMBER($G147),$G147&lt;=IF($S147=MesCiclo,InicioCiclo,$S147+MOD(2-WEEKDAY($S147),7))+6),1,IF(ISNUMBER($I147),$I147,0)))</f>
        <v/>
      </c>
      <c r="Z147" s="62">
        <f>IF($V147="","",IF(AND(ISNUMBER($G147),$G147&lt;=IF($S147=MesCiclo,InicioCiclo,$S147+MOD(2-WEEKDAY($S147),7))+13),1,IF(ISNUMBER($J147),$J147,$Y147)))</f>
        <v/>
      </c>
      <c r="AA147" s="62">
        <f>IF($V147="","",IF(AND(ISNUMBER($G147),$G147&lt;=IF($S147=MesCiclo,InicioCiclo,$S147+MOD(2-WEEKDAY($S147),7))+20),1,IF(ISNUMBER($K147),$K147,$Z147)))</f>
        <v/>
      </c>
      <c r="AB147" s="62">
        <f>IF($V147="","",IF(AND(ISNUMBER($G147),$G147&lt;=IF($S147=MesCiclo,InicioCiclo,$S147+MOD(2-WEEKDAY($S147),7))+27),1,IF(ISNUMBER($L147),$L147,$AA147)))</f>
        <v/>
      </c>
      <c r="AC147" s="62">
        <f>IF($V147="","",IF(AND(ISNUMBER($G147),$G147&lt;=IF($S147=MesCiclo,InicioCiclo,$S147+MOD(2-WEEKDAY($S147),7))+6),1,IF(N($W147)&gt;0,AVERAGEIFS($Y$5:$Y$1000,$U$5:$U$1000,ROW(),$V$5:$V$1000,"Sub"),$Y147)))</f>
        <v/>
      </c>
      <c r="AD147" s="62">
        <f>IF($V147="","",IF(AND(ISNUMBER($G147),$G147&lt;=IF($S147=MesCiclo,InicioCiclo,$S147+MOD(2-WEEKDAY($S147),7))+13),1,IF(N($W147)&gt;0,AVERAGEIFS($Z$5:$Z$1000,$U$5:$U$1000,ROW(),$V$5:$V$1000,"Sub"),$Z147)))</f>
        <v/>
      </c>
      <c r="AE147" s="62">
        <f>IF($V147="","",IF(AND(ISNUMBER($G147),$G147&lt;=IF($S147=MesCiclo,InicioCiclo,$S147+MOD(2-WEEKDAY($S147),7))+20),1,IF(N($W147)&gt;0,AVERAGEIFS($AA$5:$AA$1000,$U$5:$U$1000,ROW(),$V$5:$V$1000,"Sub"),$AA147)))</f>
        <v/>
      </c>
      <c r="AF147" s="62">
        <f>IF($V147="","",IF(AND(ISNUMBER($G147),$G147&lt;=IF($S147=MesCiclo,InicioCiclo,$S147+MOD(2-WEEKDAY($S147),7))+27),1,IF(N($W147)&gt;0,AVERAGEIFS($AB$5:$AB$1000,$U$5:$U$1000,ROW(),$V$5:$V$1000,"Sub"),$AB147)))</f>
        <v/>
      </c>
      <c r="AG147" s="62">
        <f>IF($V147&lt;&gt;"Macro","",IF(COUNTIFS($S$5:$S$1000,$S147,$V$5:$V$1000,"Macro",$H$5:$H$1000,"&gt;0")=0,1/COUNTIFS($S$5:$S$1000,$S147,$V$5:$V$1000,"Macro"),IF(AND(ISNUMBER($H147),N($H147)&gt;0),$H147,SUMIFS($H$5:$H$1000,$S$5:$S$1000,$S147,$V$5:$V$1000,"Macro")/COUNTIFS($S$5:$S$1000,$S147,$V$5:$V$1000,"Macro",$H$5:$H$1000,"&gt;0"))/(COUNTIFS($S$5:$S$1000,$S147,$V$5:$V$1000,"Macro")*SUMIFS($H$5:$H$1000,$S$5:$S$1000,$S147,$V$5:$V$1000,"Macro")/COUNTIFS($S$5:$S$1000,$S147,$V$5:$V$1000,"Macro",$H$5:$H$1000,"&gt;0"))))</f>
        <v/>
      </c>
      <c r="AH147" s="62" t="n"/>
      <c r="AI147" s="62" t="n"/>
      <c r="AJ147" s="62" t="n"/>
      <c r="AK147" s="62" t="n"/>
      <c r="AL147" s="62">
        <f>IF(LEFT($C147,11)="[Jefatura] ",IFERROR(MATCH("Riesgo Normativo|"&amp;MID($C147,12,500),rDname_ADM,0),0),"")</f>
        <v/>
      </c>
      <c r="AM147" s="62">
        <f>IF(N($AL147)&gt;0,INDEX(rIni_ADM,$AL147),IF(ISNUMBER($E147),$E147,""))</f>
        <v/>
      </c>
      <c r="AN147" s="62">
        <f>IF(N($AL147)&gt;0,INDEX(rLim_ADM,$AL147),IF(ISNUMBER($F147),$F147,""))</f>
        <v/>
      </c>
    </row>
    <row r="148">
      <c r="A148" s="56">
        <f>IF(NOT((COUNTA($B148:$D148)+COUNTA($G148:$L148)+COUNTA($Q148))&gt;0),"",IF($V148="Macro",COUNTIFS($V$5:$V148,"Macro",$S$5:$S148,$S148),IF(N($U148)=0,"?",COUNTIFS(INDEX($V$5:$V$1000,1):INDEX($V$5:$V$1000,$U148-4),"Macro",INDEX($S$5:$S$1000,1):INDEX($S$5:$S$1000,$U148-4),INDEX($S$5:$S$1000,$U148-4))&amp;"."&amp;COUNTIFS($U$5:$U148,$U148,$V$5:$V148,"Sub"))))</f>
        <v/>
      </c>
      <c r="B148" s="57" t="n"/>
      <c r="C148" s="58" t="n"/>
      <c r="D148" s="58" t="n"/>
      <c r="E148" s="59">
        <f>IF(N($AL148)&gt;0,INDEX(rIni_ADM,$AL148),"")</f>
        <v/>
      </c>
      <c r="F148" s="59">
        <f>IF(N($AL148)&gt;0,INDEX(rLim_ADM,$AL148),"")</f>
        <v/>
      </c>
      <c r="G148" s="59" t="n"/>
      <c r="H148" s="60" t="n"/>
      <c r="I148" s="60" t="n"/>
      <c r="J148" s="60" t="n"/>
      <c r="K148" s="60" t="n"/>
      <c r="L148" s="60" t="n"/>
      <c r="M148" s="61">
        <f>IF(NOT((COUNTA($B148:$D148)+COUNTA($G148:$L148)+COUNTA($Q148))&gt;0),"",IF($V148="Sub",IFERROR($X148/INDEX($W$5:$W$1000,$U148-4),""),IF(ISNUMBER($G148),1,IF(N($W148)&gt;0,AVERAGEIFS($X$5:$X$1000,$U$5:$U$1000,ROW(),$V$5:$V$1000,"Sub"),$X148))))</f>
        <v/>
      </c>
      <c r="N148" s="56">
        <f>IF(OR($M148="",$V148="Sub"),"",IF($M148&gt;=1,"Completado",IF($M148&gt;0,"En curso","Pendiente")))</f>
        <v/>
      </c>
      <c r="O148" s="56">
        <f>IF(OR(NOT((COUNTA($B148:$D148)+COUNTA($G148:$L148)+COUNTA($Q148))&gt;0),$V148="Sub"),"",IF(ISNUMBER($G148),IF(AND(ISNUMBER($AN148),$G148&gt;$AN148),"Cumplida con "&amp;($G148-$AN148)&amp;IF($G148-$AN148=1," día"," días")&amp;" de retraso","Cumplida"),IF(N($M148)&gt;=1,"Cumplida",IF(NOT(ISNUMBER($AN148)),"Sin fecha límite",IF($AN148&lt;FechaRef,"Vencida hace "&amp;(FechaRef-$AN148)&amp;IF(FechaRef-$AN148=1," día"," días"),IF($AN148=FechaRef,"Vence hoy",IF($AN148-FechaRef&lt;=DiasAlerta,"Vence en "&amp;($AN148-FechaRef)&amp;IF($AN148-FechaRef=1," día"," días"),"En plazo")))))))</f>
        <v/>
      </c>
      <c r="P148" s="62" t="n"/>
      <c r="Q148" s="58" t="n"/>
      <c r="R148" s="63">
        <f>IF(NOT((COUNTA($B148:$D148)+COUNTA($G148:$L148)+COUNTA($Q148))&gt;0),"",IF((IF($C148="","Falta el nombre de la actividad"&amp;" · ","")&amp;IF(AND($V148="Sub",N($U148)=0),"Subactividad sin macroactividad arriba"&amp;" · ","")&amp;IF($AM148="","Sin fecha de inicio"&amp;" · ","")&amp;IF($AN148="","Sin fecha límite"&amp;" · ","")&amp;IF(AND(LEFT($C148,11)="[Jefatura] ",N($AL148)=0),"No se encuentra en la hoja de la jefatura (elíjala de nuevo en la lista)"&amp;" · ","")&amp;IF(OR(AND($E148&lt;&gt;"",NOT(ISNUMBER($E148))),AND($F148&lt;&gt;"",NOT(ISNUMBER($F148))),AND($G148&lt;&gt;"",NOT(ISNUMBER($G148)))),"Fecha no válida"&amp;" · ","")&amp;IF(AND(ISNUMBER($AM148),ISNUMBER($AN148),$AM148&gt;$AN148),"Inicio posterior a fecha límite"&amp;" · ","")&amp;IF(AND($V148="Macro",$H148&lt;&gt;"",OR(NOT(ISNUMBER($H148)),$H148&lt;0,$H148&gt;1)),"Peso fuera de rango"&amp;" · ","")&amp;IF(AND($V148="Sub",$H148&lt;&gt;""),"Las subactividades no llevan peso (valen igual dentro de su macroactividad)"&amp;" · ","")&amp;IF(AND(N($W148)&gt;0,COUNT($I148:$L148)&gt;0),"Con subactividades: deje vacías las semanas (se calculan solas)"&amp;" · ","")&amp;IF((COUNTIF($I148:$L148,"&gt;1")+COUNTIF($I148:$L148,"&lt;0")+COUNTA($I148:$L148)-COUNT($I148:$L148))&gt;0,"Avance fuera de rango 0-100%"&amp;" · ","")&amp;IF(OR(AND($J148&lt;&gt;"",$J148&lt;$I148),AND($K148&lt;&gt;"",$K148&lt;MAX($I148:$J148)),AND($L148&lt;&gt;"",$L148&lt;MAX($I148:$K148))),"Avance semanal decreciente"&amp;" · ","")&amp;IF(AND(ISNUMBER($AN148),$AN148&lt;FechaRef,IF($V148="Sub",N($X148),N($M148))&lt;1),"Vencida"&amp;" · ","")&amp;IF(AND(ObsObligatoria="Sí",ISNUMBER($AN148),$AN148&lt;FechaRef,IF($V148="Sub",N($X148),N($M148))&lt;1,$Q148=""),"Vencida sin observación"&amp;" · ",""))="","✔ OK","⚠ "&amp;LEFT(IF($C148="","Falta el nombre de la actividad"&amp;" · ","")&amp;IF(AND($V148="Sub",N($U148)=0),"Subactividad sin macroactividad arriba"&amp;" · ","")&amp;IF($AM148="","Sin fecha de inicio"&amp;" · ","")&amp;IF($AN148="","Sin fecha límite"&amp;" · ","")&amp;IF(AND(LEFT($C148,11)="[Jefatura] ",N($AL148)=0),"No se encuentra en la hoja de la jefatura (elíjala de nuevo en la lista)"&amp;" · ","")&amp;IF(OR(AND($E148&lt;&gt;"",NOT(ISNUMBER($E148))),AND($F148&lt;&gt;"",NOT(ISNUMBER($F148))),AND($G148&lt;&gt;"",NOT(ISNUMBER($G148)))),"Fecha no válida"&amp;" · ","")&amp;IF(AND(ISNUMBER($AM148),ISNUMBER($AN148),$AM148&gt;$AN148),"Inicio posterior a fecha límite"&amp;" · ","")&amp;IF(AND($V148="Macro",$H148&lt;&gt;"",OR(NOT(ISNUMBER($H148)),$H148&lt;0,$H148&gt;1)),"Peso fuera de rango"&amp;" · ","")&amp;IF(AND($V148="Sub",$H148&lt;&gt;""),"Las subactividades no llevan peso (valen igual dentro de su macroactividad)"&amp;" · ","")&amp;IF(AND(N($W148)&gt;0,COUNT($I148:$L148)&gt;0),"Con subactividades: deje vacías las semanas (se calculan solas)"&amp;" · ","")&amp;IF((COUNTIF($I148:$L148,"&gt;1")+COUNTIF($I148:$L148,"&lt;0")+COUNTA($I148:$L148)-COUNT($I148:$L148))&gt;0,"Avance fuera de rango 0-100%"&amp;" · ","")&amp;IF(OR(AND($J148&lt;&gt;"",$J148&lt;$I148),AND($K148&lt;&gt;"",$K148&lt;MAX($I148:$J148)),AND($L148&lt;&gt;"",$L148&lt;MAX($I148:$K148))),"Avance semanal decreciente"&amp;" · ","")&amp;IF(AND(ISNUMBER($AN148),$AN148&lt;FechaRef,IF($V148="Sub",N($X148),N($M148))&lt;1),"Vencida"&amp;" · ","")&amp;IF(AND(ObsObligatoria="Sí",ISNUMBER($AN148),$AN148&lt;FechaRef,IF($V148="Sub",N($X148),N($M148))&lt;1,$Q148=""),"Vencida sin observación"&amp;" · ",""),LEN(IF($C148="","Falta el nombre de la actividad"&amp;" · ","")&amp;IF(AND($V148="Sub",N($U148)=0),"Subactividad sin macroactividad arriba"&amp;" · ","")&amp;IF($AM148="","Sin fecha de inicio"&amp;" · ","")&amp;IF($AN148="","Sin fecha límite"&amp;" · ","")&amp;IF(AND(LEFT($C148,11)="[Jefatura] ",N($AL148)=0),"No se encuentra en la hoja de la jefatura (elíjala de nuevo en la lista)"&amp;" · ","")&amp;IF(OR(AND($E148&lt;&gt;"",NOT(ISNUMBER($E148))),AND($F148&lt;&gt;"",NOT(ISNUMBER($F148))),AND($G148&lt;&gt;"",NOT(ISNUMBER($G148)))),"Fecha no válida"&amp;" · ","")&amp;IF(AND(ISNUMBER($AM148),ISNUMBER($AN148),$AM148&gt;$AN148),"Inicio posterior a fecha límite"&amp;" · ","")&amp;IF(AND($V148="Macro",$H148&lt;&gt;"",OR(NOT(ISNUMBER($H148)),$H148&lt;0,$H148&gt;1)),"Peso fuera de rango"&amp;" · ","")&amp;IF(AND($V148="Sub",$H148&lt;&gt;""),"Las subactividades no llevan peso (valen igual dentro de su macroactividad)"&amp;" · ","")&amp;IF(AND(N($W148)&gt;0,COUNT($I148:$L148)&gt;0),"Con subactividades: deje vacías las semanas (se calculan solas)"&amp;" · ","")&amp;IF((COUNTIF($I148:$L148,"&gt;1")+COUNTIF($I148:$L148,"&lt;0")+COUNTA($I148:$L148)-COUNT($I148:$L148))&gt;0,"Avance fuera de rango 0-100%"&amp;" · ","")&amp;IF(OR(AND($J148&lt;&gt;"",$J148&lt;$I148),AND($K148&lt;&gt;"",$K148&lt;MAX($I148:$J148)),AND($L148&lt;&gt;"",$L148&lt;MAX($I148:$K148))),"Avance semanal decreciente"&amp;" · ","")&amp;IF(AND(ISNUMBER($AN148),$AN148&lt;FechaRef,IF($V148="Sub",N($X148),N($M148))&lt;1),"Vencida"&amp;" · ","")&amp;IF(AND(ObsObligatoria="Sí",ISNUMBER($AN148),$AN148&lt;FechaRef,IF($V148="Sub",N($X148),N($M148))&lt;1,$Q148=""),"Vencida sin observación"&amp;" · ",""))-3)))</f>
        <v/>
      </c>
      <c r="S148" s="64">
        <f>IF(NOT((COUNTA($B148:$D148)+COUNTA($G148:$L148)+COUNTA($Q148))&gt;0),"",IF(AND($V148="Sub",N($U148)&gt;0),IF(ISNUMBER(INDEX($AM$5:$AM$1000,$U148-4)),DATE(YEAR(INDEX($AM$5:$AM$1000,$U148-4)),MONTH(INDEX($AM$5:$AM$1000,$U148-4)),1),IF(ISNUMBER(INDEX($AN$5:$AN$1000,$U148-4)),DATE(YEAR(INDEX($AN$5:$AN$1000,$U148-4)),MONTH(INDEX($AN$5:$AN$1000,$U148-4)),1),MesCiclo)),IF(ISNUMBER($AM148),DATE(YEAR($AM148),MONTH($AM148),1),IF(ISNUMBER($AN148),DATE(YEAR($AN148),MONTH($AN148),1),MesCiclo))))</f>
        <v/>
      </c>
      <c r="T148" s="62">
        <f>IF(OR($S148="",$S148&lt;&gt;MesCiclo,$V148&lt;&gt;"Macro"),"",COUNTIFS($S$5:$S148,MesCiclo,$V$5:$V148,"Macro"))</f>
        <v/>
      </c>
      <c r="U148" s="62">
        <f>IF($V148="","",IF($V148="Macro",ROW(),IFERROR(LOOKUP(2,1/($V$5:$V148="Macro"),ROW($V$5:$V148)),0)))</f>
        <v/>
      </c>
      <c r="V148" s="62">
        <f>IF(NOT((COUNTA($B148:$D148)+COUNTA($G148:$L148)+COUNTA($Q148))&gt;0),"",IF($B148="Subactividad","Sub","Macro"))</f>
        <v/>
      </c>
      <c r="W148" s="62">
        <f>IF($V148="Macro",COUNTIFS($U$5:$U$1000,ROW(),$V$5:$V$1000,"Sub"),"")</f>
        <v/>
      </c>
      <c r="X148" s="62">
        <f>IF($V148="","",IF(ISNUMBER($G148),1,IFERROR(LOOKUP(2,1/($I148:$L148&lt;&gt;""),$I148:$L148),0)))</f>
        <v/>
      </c>
      <c r="Y148" s="62">
        <f>IF($V148="","",IF(AND(ISNUMBER($G148),$G148&lt;=IF($S148=MesCiclo,InicioCiclo,$S148+MOD(2-WEEKDAY($S148),7))+6),1,IF(ISNUMBER($I148),$I148,0)))</f>
        <v/>
      </c>
      <c r="Z148" s="62">
        <f>IF($V148="","",IF(AND(ISNUMBER($G148),$G148&lt;=IF($S148=MesCiclo,InicioCiclo,$S148+MOD(2-WEEKDAY($S148),7))+13),1,IF(ISNUMBER($J148),$J148,$Y148)))</f>
        <v/>
      </c>
      <c r="AA148" s="62">
        <f>IF($V148="","",IF(AND(ISNUMBER($G148),$G148&lt;=IF($S148=MesCiclo,InicioCiclo,$S148+MOD(2-WEEKDAY($S148),7))+20),1,IF(ISNUMBER($K148),$K148,$Z148)))</f>
        <v/>
      </c>
      <c r="AB148" s="62">
        <f>IF($V148="","",IF(AND(ISNUMBER($G148),$G148&lt;=IF($S148=MesCiclo,InicioCiclo,$S148+MOD(2-WEEKDAY($S148),7))+27),1,IF(ISNUMBER($L148),$L148,$AA148)))</f>
        <v/>
      </c>
      <c r="AC148" s="62">
        <f>IF($V148="","",IF(AND(ISNUMBER($G148),$G148&lt;=IF($S148=MesCiclo,InicioCiclo,$S148+MOD(2-WEEKDAY($S148),7))+6),1,IF(N($W148)&gt;0,AVERAGEIFS($Y$5:$Y$1000,$U$5:$U$1000,ROW(),$V$5:$V$1000,"Sub"),$Y148)))</f>
        <v/>
      </c>
      <c r="AD148" s="62">
        <f>IF($V148="","",IF(AND(ISNUMBER($G148),$G148&lt;=IF($S148=MesCiclo,InicioCiclo,$S148+MOD(2-WEEKDAY($S148),7))+13),1,IF(N($W148)&gt;0,AVERAGEIFS($Z$5:$Z$1000,$U$5:$U$1000,ROW(),$V$5:$V$1000,"Sub"),$Z148)))</f>
        <v/>
      </c>
      <c r="AE148" s="62">
        <f>IF($V148="","",IF(AND(ISNUMBER($G148),$G148&lt;=IF($S148=MesCiclo,InicioCiclo,$S148+MOD(2-WEEKDAY($S148),7))+20),1,IF(N($W148)&gt;0,AVERAGEIFS($AA$5:$AA$1000,$U$5:$U$1000,ROW(),$V$5:$V$1000,"Sub"),$AA148)))</f>
        <v/>
      </c>
      <c r="AF148" s="62">
        <f>IF($V148="","",IF(AND(ISNUMBER($G148),$G148&lt;=IF($S148=MesCiclo,InicioCiclo,$S148+MOD(2-WEEKDAY($S148),7))+27),1,IF(N($W148)&gt;0,AVERAGEIFS($AB$5:$AB$1000,$U$5:$U$1000,ROW(),$V$5:$V$1000,"Sub"),$AB148)))</f>
        <v/>
      </c>
      <c r="AG148" s="62">
        <f>IF($V148&lt;&gt;"Macro","",IF(COUNTIFS($S$5:$S$1000,$S148,$V$5:$V$1000,"Macro",$H$5:$H$1000,"&gt;0")=0,1/COUNTIFS($S$5:$S$1000,$S148,$V$5:$V$1000,"Macro"),IF(AND(ISNUMBER($H148),N($H148)&gt;0),$H148,SUMIFS($H$5:$H$1000,$S$5:$S$1000,$S148,$V$5:$V$1000,"Macro")/COUNTIFS($S$5:$S$1000,$S148,$V$5:$V$1000,"Macro",$H$5:$H$1000,"&gt;0"))/(COUNTIFS($S$5:$S$1000,$S148,$V$5:$V$1000,"Macro")*SUMIFS($H$5:$H$1000,$S$5:$S$1000,$S148,$V$5:$V$1000,"Macro")/COUNTIFS($S$5:$S$1000,$S148,$V$5:$V$1000,"Macro",$H$5:$H$1000,"&gt;0"))))</f>
        <v/>
      </c>
      <c r="AH148" s="62" t="n"/>
      <c r="AI148" s="62" t="n"/>
      <c r="AJ148" s="62" t="n"/>
      <c r="AK148" s="62" t="n"/>
      <c r="AL148" s="62">
        <f>IF(LEFT($C148,11)="[Jefatura] ",IFERROR(MATCH("Riesgo Normativo|"&amp;MID($C148,12,500),rDname_ADM,0),0),"")</f>
        <v/>
      </c>
      <c r="AM148" s="62">
        <f>IF(N($AL148)&gt;0,INDEX(rIni_ADM,$AL148),IF(ISNUMBER($E148),$E148,""))</f>
        <v/>
      </c>
      <c r="AN148" s="62">
        <f>IF(N($AL148)&gt;0,INDEX(rLim_ADM,$AL148),IF(ISNUMBER($F148),$F148,""))</f>
        <v/>
      </c>
    </row>
    <row r="149">
      <c r="A149" s="56">
        <f>IF(NOT((COUNTA($B149:$D149)+COUNTA($G149:$L149)+COUNTA($Q149))&gt;0),"",IF($V149="Macro",COUNTIFS($V$5:$V149,"Macro",$S$5:$S149,$S149),IF(N($U149)=0,"?",COUNTIFS(INDEX($V$5:$V$1000,1):INDEX($V$5:$V$1000,$U149-4),"Macro",INDEX($S$5:$S$1000,1):INDEX($S$5:$S$1000,$U149-4),INDEX($S$5:$S$1000,$U149-4))&amp;"."&amp;COUNTIFS($U$5:$U149,$U149,$V$5:$V149,"Sub"))))</f>
        <v/>
      </c>
      <c r="B149" s="57" t="n"/>
      <c r="C149" s="58" t="n"/>
      <c r="D149" s="58" t="n"/>
      <c r="E149" s="59">
        <f>IF(N($AL149)&gt;0,INDEX(rIni_ADM,$AL149),"")</f>
        <v/>
      </c>
      <c r="F149" s="59">
        <f>IF(N($AL149)&gt;0,INDEX(rLim_ADM,$AL149),"")</f>
        <v/>
      </c>
      <c r="G149" s="59" t="n"/>
      <c r="H149" s="60" t="n"/>
      <c r="I149" s="60" t="n"/>
      <c r="J149" s="60" t="n"/>
      <c r="K149" s="60" t="n"/>
      <c r="L149" s="60" t="n"/>
      <c r="M149" s="61">
        <f>IF(NOT((COUNTA($B149:$D149)+COUNTA($G149:$L149)+COUNTA($Q149))&gt;0),"",IF($V149="Sub",IFERROR($X149/INDEX($W$5:$W$1000,$U149-4),""),IF(ISNUMBER($G149),1,IF(N($W149)&gt;0,AVERAGEIFS($X$5:$X$1000,$U$5:$U$1000,ROW(),$V$5:$V$1000,"Sub"),$X149))))</f>
        <v/>
      </c>
      <c r="N149" s="56">
        <f>IF(OR($M149="",$V149="Sub"),"",IF($M149&gt;=1,"Completado",IF($M149&gt;0,"En curso","Pendiente")))</f>
        <v/>
      </c>
      <c r="O149" s="56">
        <f>IF(OR(NOT((COUNTA($B149:$D149)+COUNTA($G149:$L149)+COUNTA($Q149))&gt;0),$V149="Sub"),"",IF(ISNUMBER($G149),IF(AND(ISNUMBER($AN149),$G149&gt;$AN149),"Cumplida con "&amp;($G149-$AN149)&amp;IF($G149-$AN149=1," día"," días")&amp;" de retraso","Cumplida"),IF(N($M149)&gt;=1,"Cumplida",IF(NOT(ISNUMBER($AN149)),"Sin fecha límite",IF($AN149&lt;FechaRef,"Vencida hace "&amp;(FechaRef-$AN149)&amp;IF(FechaRef-$AN149=1," día"," días"),IF($AN149=FechaRef,"Vence hoy",IF($AN149-FechaRef&lt;=DiasAlerta,"Vence en "&amp;($AN149-FechaRef)&amp;IF($AN149-FechaRef=1," día"," días"),"En plazo")))))))</f>
        <v/>
      </c>
      <c r="P149" s="62" t="n"/>
      <c r="Q149" s="58" t="n"/>
      <c r="R149" s="63">
        <f>IF(NOT((COUNTA($B149:$D149)+COUNTA($G149:$L149)+COUNTA($Q149))&gt;0),"",IF((IF($C149="","Falta el nombre de la actividad"&amp;" · ","")&amp;IF(AND($V149="Sub",N($U149)=0),"Subactividad sin macroactividad arriba"&amp;" · ","")&amp;IF($AM149="","Sin fecha de inicio"&amp;" · ","")&amp;IF($AN149="","Sin fecha límite"&amp;" · ","")&amp;IF(AND(LEFT($C149,11)="[Jefatura] ",N($AL149)=0),"No se encuentra en la hoja de la jefatura (elíjala de nuevo en la lista)"&amp;" · ","")&amp;IF(OR(AND($E149&lt;&gt;"",NOT(ISNUMBER($E149))),AND($F149&lt;&gt;"",NOT(ISNUMBER($F149))),AND($G149&lt;&gt;"",NOT(ISNUMBER($G149)))),"Fecha no válida"&amp;" · ","")&amp;IF(AND(ISNUMBER($AM149),ISNUMBER($AN149),$AM149&gt;$AN149),"Inicio posterior a fecha límite"&amp;" · ","")&amp;IF(AND($V149="Macro",$H149&lt;&gt;"",OR(NOT(ISNUMBER($H149)),$H149&lt;0,$H149&gt;1)),"Peso fuera de rango"&amp;" · ","")&amp;IF(AND($V149="Sub",$H149&lt;&gt;""),"Las subactividades no llevan peso (valen igual dentro de su macroactividad)"&amp;" · ","")&amp;IF(AND(N($W149)&gt;0,COUNT($I149:$L149)&gt;0),"Con subactividades: deje vacías las semanas (se calculan solas)"&amp;" · ","")&amp;IF((COUNTIF($I149:$L149,"&gt;1")+COUNTIF($I149:$L149,"&lt;0")+COUNTA($I149:$L149)-COUNT($I149:$L149))&gt;0,"Avance fuera de rango 0-100%"&amp;" · ","")&amp;IF(OR(AND($J149&lt;&gt;"",$J149&lt;$I149),AND($K149&lt;&gt;"",$K149&lt;MAX($I149:$J149)),AND($L149&lt;&gt;"",$L149&lt;MAX($I149:$K149))),"Avance semanal decreciente"&amp;" · ","")&amp;IF(AND(ISNUMBER($AN149),$AN149&lt;FechaRef,IF($V149="Sub",N($X149),N($M149))&lt;1),"Vencida"&amp;" · ","")&amp;IF(AND(ObsObligatoria="Sí",ISNUMBER($AN149),$AN149&lt;FechaRef,IF($V149="Sub",N($X149),N($M149))&lt;1,$Q149=""),"Vencida sin observación"&amp;" · ",""))="","✔ OK","⚠ "&amp;LEFT(IF($C149="","Falta el nombre de la actividad"&amp;" · ","")&amp;IF(AND($V149="Sub",N($U149)=0),"Subactividad sin macroactividad arriba"&amp;" · ","")&amp;IF($AM149="","Sin fecha de inicio"&amp;" · ","")&amp;IF($AN149="","Sin fecha límite"&amp;" · ","")&amp;IF(AND(LEFT($C149,11)="[Jefatura] ",N($AL149)=0),"No se encuentra en la hoja de la jefatura (elíjala de nuevo en la lista)"&amp;" · ","")&amp;IF(OR(AND($E149&lt;&gt;"",NOT(ISNUMBER($E149))),AND($F149&lt;&gt;"",NOT(ISNUMBER($F149))),AND($G149&lt;&gt;"",NOT(ISNUMBER($G149)))),"Fecha no válida"&amp;" · ","")&amp;IF(AND(ISNUMBER($AM149),ISNUMBER($AN149),$AM149&gt;$AN149),"Inicio posterior a fecha límite"&amp;" · ","")&amp;IF(AND($V149="Macro",$H149&lt;&gt;"",OR(NOT(ISNUMBER($H149)),$H149&lt;0,$H149&gt;1)),"Peso fuera de rango"&amp;" · ","")&amp;IF(AND($V149="Sub",$H149&lt;&gt;""),"Las subactividades no llevan peso (valen igual dentro de su macroactividad)"&amp;" · ","")&amp;IF(AND(N($W149)&gt;0,COUNT($I149:$L149)&gt;0),"Con subactividades: deje vacías las semanas (se calculan solas)"&amp;" · ","")&amp;IF((COUNTIF($I149:$L149,"&gt;1")+COUNTIF($I149:$L149,"&lt;0")+COUNTA($I149:$L149)-COUNT($I149:$L149))&gt;0,"Avance fuera de rango 0-100%"&amp;" · ","")&amp;IF(OR(AND($J149&lt;&gt;"",$J149&lt;$I149),AND($K149&lt;&gt;"",$K149&lt;MAX($I149:$J149)),AND($L149&lt;&gt;"",$L149&lt;MAX($I149:$K149))),"Avance semanal decreciente"&amp;" · ","")&amp;IF(AND(ISNUMBER($AN149),$AN149&lt;FechaRef,IF($V149="Sub",N($X149),N($M149))&lt;1),"Vencida"&amp;" · ","")&amp;IF(AND(ObsObligatoria="Sí",ISNUMBER($AN149),$AN149&lt;FechaRef,IF($V149="Sub",N($X149),N($M149))&lt;1,$Q149=""),"Vencida sin observación"&amp;" · ",""),LEN(IF($C149="","Falta el nombre de la actividad"&amp;" · ","")&amp;IF(AND($V149="Sub",N($U149)=0),"Subactividad sin macroactividad arriba"&amp;" · ","")&amp;IF($AM149="","Sin fecha de inicio"&amp;" · ","")&amp;IF($AN149="","Sin fecha límite"&amp;" · ","")&amp;IF(AND(LEFT($C149,11)="[Jefatura] ",N($AL149)=0),"No se encuentra en la hoja de la jefatura (elíjala de nuevo en la lista)"&amp;" · ","")&amp;IF(OR(AND($E149&lt;&gt;"",NOT(ISNUMBER($E149))),AND($F149&lt;&gt;"",NOT(ISNUMBER($F149))),AND($G149&lt;&gt;"",NOT(ISNUMBER($G149)))),"Fecha no válida"&amp;" · ","")&amp;IF(AND(ISNUMBER($AM149),ISNUMBER($AN149),$AM149&gt;$AN149),"Inicio posterior a fecha límite"&amp;" · ","")&amp;IF(AND($V149="Macro",$H149&lt;&gt;"",OR(NOT(ISNUMBER($H149)),$H149&lt;0,$H149&gt;1)),"Peso fuera de rango"&amp;" · ","")&amp;IF(AND($V149="Sub",$H149&lt;&gt;""),"Las subactividades no llevan peso (valen igual dentro de su macroactividad)"&amp;" · ","")&amp;IF(AND(N($W149)&gt;0,COUNT($I149:$L149)&gt;0),"Con subactividades: deje vacías las semanas (se calculan solas)"&amp;" · ","")&amp;IF((COUNTIF($I149:$L149,"&gt;1")+COUNTIF($I149:$L149,"&lt;0")+COUNTA($I149:$L149)-COUNT($I149:$L149))&gt;0,"Avance fuera de rango 0-100%"&amp;" · ","")&amp;IF(OR(AND($J149&lt;&gt;"",$J149&lt;$I149),AND($K149&lt;&gt;"",$K149&lt;MAX($I149:$J149)),AND($L149&lt;&gt;"",$L149&lt;MAX($I149:$K149))),"Avance semanal decreciente"&amp;" · ","")&amp;IF(AND(ISNUMBER($AN149),$AN149&lt;FechaRef,IF($V149="Sub",N($X149),N($M149))&lt;1),"Vencida"&amp;" · ","")&amp;IF(AND(ObsObligatoria="Sí",ISNUMBER($AN149),$AN149&lt;FechaRef,IF($V149="Sub",N($X149),N($M149))&lt;1,$Q149=""),"Vencida sin observación"&amp;" · ",""))-3)))</f>
        <v/>
      </c>
      <c r="S149" s="64">
        <f>IF(NOT((COUNTA($B149:$D149)+COUNTA($G149:$L149)+COUNTA($Q149))&gt;0),"",IF(AND($V149="Sub",N($U149)&gt;0),IF(ISNUMBER(INDEX($AM$5:$AM$1000,$U149-4)),DATE(YEAR(INDEX($AM$5:$AM$1000,$U149-4)),MONTH(INDEX($AM$5:$AM$1000,$U149-4)),1),IF(ISNUMBER(INDEX($AN$5:$AN$1000,$U149-4)),DATE(YEAR(INDEX($AN$5:$AN$1000,$U149-4)),MONTH(INDEX($AN$5:$AN$1000,$U149-4)),1),MesCiclo)),IF(ISNUMBER($AM149),DATE(YEAR($AM149),MONTH($AM149),1),IF(ISNUMBER($AN149),DATE(YEAR($AN149),MONTH($AN149),1),MesCiclo))))</f>
        <v/>
      </c>
      <c r="T149" s="62">
        <f>IF(OR($S149="",$S149&lt;&gt;MesCiclo,$V149&lt;&gt;"Macro"),"",COUNTIFS($S$5:$S149,MesCiclo,$V$5:$V149,"Macro"))</f>
        <v/>
      </c>
      <c r="U149" s="62">
        <f>IF($V149="","",IF($V149="Macro",ROW(),IFERROR(LOOKUP(2,1/($V$5:$V149="Macro"),ROW($V$5:$V149)),0)))</f>
        <v/>
      </c>
      <c r="V149" s="62">
        <f>IF(NOT((COUNTA($B149:$D149)+COUNTA($G149:$L149)+COUNTA($Q149))&gt;0),"",IF($B149="Subactividad","Sub","Macro"))</f>
        <v/>
      </c>
      <c r="W149" s="62">
        <f>IF($V149="Macro",COUNTIFS($U$5:$U$1000,ROW(),$V$5:$V$1000,"Sub"),"")</f>
        <v/>
      </c>
      <c r="X149" s="62">
        <f>IF($V149="","",IF(ISNUMBER($G149),1,IFERROR(LOOKUP(2,1/($I149:$L149&lt;&gt;""),$I149:$L149),0)))</f>
        <v/>
      </c>
      <c r="Y149" s="62">
        <f>IF($V149="","",IF(AND(ISNUMBER($G149),$G149&lt;=IF($S149=MesCiclo,InicioCiclo,$S149+MOD(2-WEEKDAY($S149),7))+6),1,IF(ISNUMBER($I149),$I149,0)))</f>
        <v/>
      </c>
      <c r="Z149" s="62">
        <f>IF($V149="","",IF(AND(ISNUMBER($G149),$G149&lt;=IF($S149=MesCiclo,InicioCiclo,$S149+MOD(2-WEEKDAY($S149),7))+13),1,IF(ISNUMBER($J149),$J149,$Y149)))</f>
        <v/>
      </c>
      <c r="AA149" s="62">
        <f>IF($V149="","",IF(AND(ISNUMBER($G149),$G149&lt;=IF($S149=MesCiclo,InicioCiclo,$S149+MOD(2-WEEKDAY($S149),7))+20),1,IF(ISNUMBER($K149),$K149,$Z149)))</f>
        <v/>
      </c>
      <c r="AB149" s="62">
        <f>IF($V149="","",IF(AND(ISNUMBER($G149),$G149&lt;=IF($S149=MesCiclo,InicioCiclo,$S149+MOD(2-WEEKDAY($S149),7))+27),1,IF(ISNUMBER($L149),$L149,$AA149)))</f>
        <v/>
      </c>
      <c r="AC149" s="62">
        <f>IF($V149="","",IF(AND(ISNUMBER($G149),$G149&lt;=IF($S149=MesCiclo,InicioCiclo,$S149+MOD(2-WEEKDAY($S149),7))+6),1,IF(N($W149)&gt;0,AVERAGEIFS($Y$5:$Y$1000,$U$5:$U$1000,ROW(),$V$5:$V$1000,"Sub"),$Y149)))</f>
        <v/>
      </c>
      <c r="AD149" s="62">
        <f>IF($V149="","",IF(AND(ISNUMBER($G149),$G149&lt;=IF($S149=MesCiclo,InicioCiclo,$S149+MOD(2-WEEKDAY($S149),7))+13),1,IF(N($W149)&gt;0,AVERAGEIFS($Z$5:$Z$1000,$U$5:$U$1000,ROW(),$V$5:$V$1000,"Sub"),$Z149)))</f>
        <v/>
      </c>
      <c r="AE149" s="62">
        <f>IF($V149="","",IF(AND(ISNUMBER($G149),$G149&lt;=IF($S149=MesCiclo,InicioCiclo,$S149+MOD(2-WEEKDAY($S149),7))+20),1,IF(N($W149)&gt;0,AVERAGEIFS($AA$5:$AA$1000,$U$5:$U$1000,ROW(),$V$5:$V$1000,"Sub"),$AA149)))</f>
        <v/>
      </c>
      <c r="AF149" s="62">
        <f>IF($V149="","",IF(AND(ISNUMBER($G149),$G149&lt;=IF($S149=MesCiclo,InicioCiclo,$S149+MOD(2-WEEKDAY($S149),7))+27),1,IF(N($W149)&gt;0,AVERAGEIFS($AB$5:$AB$1000,$U$5:$U$1000,ROW(),$V$5:$V$1000,"Sub"),$AB149)))</f>
        <v/>
      </c>
      <c r="AG149" s="62">
        <f>IF($V149&lt;&gt;"Macro","",IF(COUNTIFS($S$5:$S$1000,$S149,$V$5:$V$1000,"Macro",$H$5:$H$1000,"&gt;0")=0,1/COUNTIFS($S$5:$S$1000,$S149,$V$5:$V$1000,"Macro"),IF(AND(ISNUMBER($H149),N($H149)&gt;0),$H149,SUMIFS($H$5:$H$1000,$S$5:$S$1000,$S149,$V$5:$V$1000,"Macro")/COUNTIFS($S$5:$S$1000,$S149,$V$5:$V$1000,"Macro",$H$5:$H$1000,"&gt;0"))/(COUNTIFS($S$5:$S$1000,$S149,$V$5:$V$1000,"Macro")*SUMIFS($H$5:$H$1000,$S$5:$S$1000,$S149,$V$5:$V$1000,"Macro")/COUNTIFS($S$5:$S$1000,$S149,$V$5:$V$1000,"Macro",$H$5:$H$1000,"&gt;0"))))</f>
        <v/>
      </c>
      <c r="AH149" s="62" t="n"/>
      <c r="AI149" s="62" t="n"/>
      <c r="AJ149" s="62" t="n"/>
      <c r="AK149" s="62" t="n"/>
      <c r="AL149" s="62">
        <f>IF(LEFT($C149,11)="[Jefatura] ",IFERROR(MATCH("Riesgo Normativo|"&amp;MID($C149,12,500),rDname_ADM,0),0),"")</f>
        <v/>
      </c>
      <c r="AM149" s="62">
        <f>IF(N($AL149)&gt;0,INDEX(rIni_ADM,$AL149),IF(ISNUMBER($E149),$E149,""))</f>
        <v/>
      </c>
      <c r="AN149" s="62">
        <f>IF(N($AL149)&gt;0,INDEX(rLim_ADM,$AL149),IF(ISNUMBER($F149),$F149,""))</f>
        <v/>
      </c>
    </row>
    <row r="150">
      <c r="A150" s="56">
        <f>IF(NOT((COUNTA($B150:$D150)+COUNTA($G150:$L150)+COUNTA($Q150))&gt;0),"",IF($V150="Macro",COUNTIFS($V$5:$V150,"Macro",$S$5:$S150,$S150),IF(N($U150)=0,"?",COUNTIFS(INDEX($V$5:$V$1000,1):INDEX($V$5:$V$1000,$U150-4),"Macro",INDEX($S$5:$S$1000,1):INDEX($S$5:$S$1000,$U150-4),INDEX($S$5:$S$1000,$U150-4))&amp;"."&amp;COUNTIFS($U$5:$U150,$U150,$V$5:$V150,"Sub"))))</f>
        <v/>
      </c>
      <c r="B150" s="57" t="n"/>
      <c r="C150" s="58" t="n"/>
      <c r="D150" s="58" t="n"/>
      <c r="E150" s="59">
        <f>IF(N($AL150)&gt;0,INDEX(rIni_ADM,$AL150),"")</f>
        <v/>
      </c>
      <c r="F150" s="59">
        <f>IF(N($AL150)&gt;0,INDEX(rLim_ADM,$AL150),"")</f>
        <v/>
      </c>
      <c r="G150" s="59" t="n"/>
      <c r="H150" s="60" t="n"/>
      <c r="I150" s="60" t="n"/>
      <c r="J150" s="60" t="n"/>
      <c r="K150" s="60" t="n"/>
      <c r="L150" s="60" t="n"/>
      <c r="M150" s="61">
        <f>IF(NOT((COUNTA($B150:$D150)+COUNTA($G150:$L150)+COUNTA($Q150))&gt;0),"",IF($V150="Sub",IFERROR($X150/INDEX($W$5:$W$1000,$U150-4),""),IF(ISNUMBER($G150),1,IF(N($W150)&gt;0,AVERAGEIFS($X$5:$X$1000,$U$5:$U$1000,ROW(),$V$5:$V$1000,"Sub"),$X150))))</f>
        <v/>
      </c>
      <c r="N150" s="56">
        <f>IF(OR($M150="",$V150="Sub"),"",IF($M150&gt;=1,"Completado",IF($M150&gt;0,"En curso","Pendiente")))</f>
        <v/>
      </c>
      <c r="O150" s="56">
        <f>IF(OR(NOT((COUNTA($B150:$D150)+COUNTA($G150:$L150)+COUNTA($Q150))&gt;0),$V150="Sub"),"",IF(ISNUMBER($G150),IF(AND(ISNUMBER($AN150),$G150&gt;$AN150),"Cumplida con "&amp;($G150-$AN150)&amp;IF($G150-$AN150=1," día"," días")&amp;" de retraso","Cumplida"),IF(N($M150)&gt;=1,"Cumplida",IF(NOT(ISNUMBER($AN150)),"Sin fecha límite",IF($AN150&lt;FechaRef,"Vencida hace "&amp;(FechaRef-$AN150)&amp;IF(FechaRef-$AN150=1," día"," días"),IF($AN150=FechaRef,"Vence hoy",IF($AN150-FechaRef&lt;=DiasAlerta,"Vence en "&amp;($AN150-FechaRef)&amp;IF($AN150-FechaRef=1," día"," días"),"En plazo")))))))</f>
        <v/>
      </c>
      <c r="P150" s="62" t="n"/>
      <c r="Q150" s="58" t="n"/>
      <c r="R150" s="63">
        <f>IF(NOT((COUNTA($B150:$D150)+COUNTA($G150:$L150)+COUNTA($Q150))&gt;0),"",IF((IF($C150="","Falta el nombre de la actividad"&amp;" · ","")&amp;IF(AND($V150="Sub",N($U150)=0),"Subactividad sin macroactividad arriba"&amp;" · ","")&amp;IF($AM150="","Sin fecha de inicio"&amp;" · ","")&amp;IF($AN150="","Sin fecha límite"&amp;" · ","")&amp;IF(AND(LEFT($C150,11)="[Jefatura] ",N($AL150)=0),"No se encuentra en la hoja de la jefatura (elíjala de nuevo en la lista)"&amp;" · ","")&amp;IF(OR(AND($E150&lt;&gt;"",NOT(ISNUMBER($E150))),AND($F150&lt;&gt;"",NOT(ISNUMBER($F150))),AND($G150&lt;&gt;"",NOT(ISNUMBER($G150)))),"Fecha no válida"&amp;" · ","")&amp;IF(AND(ISNUMBER($AM150),ISNUMBER($AN150),$AM150&gt;$AN150),"Inicio posterior a fecha límite"&amp;" · ","")&amp;IF(AND($V150="Macro",$H150&lt;&gt;"",OR(NOT(ISNUMBER($H150)),$H150&lt;0,$H150&gt;1)),"Peso fuera de rango"&amp;" · ","")&amp;IF(AND($V150="Sub",$H150&lt;&gt;""),"Las subactividades no llevan peso (valen igual dentro de su macroactividad)"&amp;" · ","")&amp;IF(AND(N($W150)&gt;0,COUNT($I150:$L150)&gt;0),"Con subactividades: deje vacías las semanas (se calculan solas)"&amp;" · ","")&amp;IF((COUNTIF($I150:$L150,"&gt;1")+COUNTIF($I150:$L150,"&lt;0")+COUNTA($I150:$L150)-COUNT($I150:$L150))&gt;0,"Avance fuera de rango 0-100%"&amp;" · ","")&amp;IF(OR(AND($J150&lt;&gt;"",$J150&lt;$I150),AND($K150&lt;&gt;"",$K150&lt;MAX($I150:$J150)),AND($L150&lt;&gt;"",$L150&lt;MAX($I150:$K150))),"Avance semanal decreciente"&amp;" · ","")&amp;IF(AND(ISNUMBER($AN150),$AN150&lt;FechaRef,IF($V150="Sub",N($X150),N($M150))&lt;1),"Vencida"&amp;" · ","")&amp;IF(AND(ObsObligatoria="Sí",ISNUMBER($AN150),$AN150&lt;FechaRef,IF($V150="Sub",N($X150),N($M150))&lt;1,$Q150=""),"Vencida sin observación"&amp;" · ",""))="","✔ OK","⚠ "&amp;LEFT(IF($C150="","Falta el nombre de la actividad"&amp;" · ","")&amp;IF(AND($V150="Sub",N($U150)=0),"Subactividad sin macroactividad arriba"&amp;" · ","")&amp;IF($AM150="","Sin fecha de inicio"&amp;" · ","")&amp;IF($AN150="","Sin fecha límite"&amp;" · ","")&amp;IF(AND(LEFT($C150,11)="[Jefatura] ",N($AL150)=0),"No se encuentra en la hoja de la jefatura (elíjala de nuevo en la lista)"&amp;" · ","")&amp;IF(OR(AND($E150&lt;&gt;"",NOT(ISNUMBER($E150))),AND($F150&lt;&gt;"",NOT(ISNUMBER($F150))),AND($G150&lt;&gt;"",NOT(ISNUMBER($G150)))),"Fecha no válida"&amp;" · ","")&amp;IF(AND(ISNUMBER($AM150),ISNUMBER($AN150),$AM150&gt;$AN150),"Inicio posterior a fecha límite"&amp;" · ","")&amp;IF(AND($V150="Macro",$H150&lt;&gt;"",OR(NOT(ISNUMBER($H150)),$H150&lt;0,$H150&gt;1)),"Peso fuera de rango"&amp;" · ","")&amp;IF(AND($V150="Sub",$H150&lt;&gt;""),"Las subactividades no llevan peso (valen igual dentro de su macroactividad)"&amp;" · ","")&amp;IF(AND(N($W150)&gt;0,COUNT($I150:$L150)&gt;0),"Con subactividades: deje vacías las semanas (se calculan solas)"&amp;" · ","")&amp;IF((COUNTIF($I150:$L150,"&gt;1")+COUNTIF($I150:$L150,"&lt;0")+COUNTA($I150:$L150)-COUNT($I150:$L150))&gt;0,"Avance fuera de rango 0-100%"&amp;" · ","")&amp;IF(OR(AND($J150&lt;&gt;"",$J150&lt;$I150),AND($K150&lt;&gt;"",$K150&lt;MAX($I150:$J150)),AND($L150&lt;&gt;"",$L150&lt;MAX($I150:$K150))),"Avance semanal decreciente"&amp;" · ","")&amp;IF(AND(ISNUMBER($AN150),$AN150&lt;FechaRef,IF($V150="Sub",N($X150),N($M150))&lt;1),"Vencida"&amp;" · ","")&amp;IF(AND(ObsObligatoria="Sí",ISNUMBER($AN150),$AN150&lt;FechaRef,IF($V150="Sub",N($X150),N($M150))&lt;1,$Q150=""),"Vencida sin observación"&amp;" · ",""),LEN(IF($C150="","Falta el nombre de la actividad"&amp;" · ","")&amp;IF(AND($V150="Sub",N($U150)=0),"Subactividad sin macroactividad arriba"&amp;" · ","")&amp;IF($AM150="","Sin fecha de inicio"&amp;" · ","")&amp;IF($AN150="","Sin fecha límite"&amp;" · ","")&amp;IF(AND(LEFT($C150,11)="[Jefatura] ",N($AL150)=0),"No se encuentra en la hoja de la jefatura (elíjala de nuevo en la lista)"&amp;" · ","")&amp;IF(OR(AND($E150&lt;&gt;"",NOT(ISNUMBER($E150))),AND($F150&lt;&gt;"",NOT(ISNUMBER($F150))),AND($G150&lt;&gt;"",NOT(ISNUMBER($G150)))),"Fecha no válida"&amp;" · ","")&amp;IF(AND(ISNUMBER($AM150),ISNUMBER($AN150),$AM150&gt;$AN150),"Inicio posterior a fecha límite"&amp;" · ","")&amp;IF(AND($V150="Macro",$H150&lt;&gt;"",OR(NOT(ISNUMBER($H150)),$H150&lt;0,$H150&gt;1)),"Peso fuera de rango"&amp;" · ","")&amp;IF(AND($V150="Sub",$H150&lt;&gt;""),"Las subactividades no llevan peso (valen igual dentro de su macroactividad)"&amp;" · ","")&amp;IF(AND(N($W150)&gt;0,COUNT($I150:$L150)&gt;0),"Con subactividades: deje vacías las semanas (se calculan solas)"&amp;" · ","")&amp;IF((COUNTIF($I150:$L150,"&gt;1")+COUNTIF($I150:$L150,"&lt;0")+COUNTA($I150:$L150)-COUNT($I150:$L150))&gt;0,"Avance fuera de rango 0-100%"&amp;" · ","")&amp;IF(OR(AND($J150&lt;&gt;"",$J150&lt;$I150),AND($K150&lt;&gt;"",$K150&lt;MAX($I150:$J150)),AND($L150&lt;&gt;"",$L150&lt;MAX($I150:$K150))),"Avance semanal decreciente"&amp;" · ","")&amp;IF(AND(ISNUMBER($AN150),$AN150&lt;FechaRef,IF($V150="Sub",N($X150),N($M150))&lt;1),"Vencida"&amp;" · ","")&amp;IF(AND(ObsObligatoria="Sí",ISNUMBER($AN150),$AN150&lt;FechaRef,IF($V150="Sub",N($X150),N($M150))&lt;1,$Q150=""),"Vencida sin observación"&amp;" · ",""))-3)))</f>
        <v/>
      </c>
      <c r="S150" s="64">
        <f>IF(NOT((COUNTA($B150:$D150)+COUNTA($G150:$L150)+COUNTA($Q150))&gt;0),"",IF(AND($V150="Sub",N($U150)&gt;0),IF(ISNUMBER(INDEX($AM$5:$AM$1000,$U150-4)),DATE(YEAR(INDEX($AM$5:$AM$1000,$U150-4)),MONTH(INDEX($AM$5:$AM$1000,$U150-4)),1),IF(ISNUMBER(INDEX($AN$5:$AN$1000,$U150-4)),DATE(YEAR(INDEX($AN$5:$AN$1000,$U150-4)),MONTH(INDEX($AN$5:$AN$1000,$U150-4)),1),MesCiclo)),IF(ISNUMBER($AM150),DATE(YEAR($AM150),MONTH($AM150),1),IF(ISNUMBER($AN150),DATE(YEAR($AN150),MONTH($AN150),1),MesCiclo))))</f>
        <v/>
      </c>
      <c r="T150" s="62">
        <f>IF(OR($S150="",$S150&lt;&gt;MesCiclo,$V150&lt;&gt;"Macro"),"",COUNTIFS($S$5:$S150,MesCiclo,$V$5:$V150,"Macro"))</f>
        <v/>
      </c>
      <c r="U150" s="62">
        <f>IF($V150="","",IF($V150="Macro",ROW(),IFERROR(LOOKUP(2,1/($V$5:$V150="Macro"),ROW($V$5:$V150)),0)))</f>
        <v/>
      </c>
      <c r="V150" s="62">
        <f>IF(NOT((COUNTA($B150:$D150)+COUNTA($G150:$L150)+COUNTA($Q150))&gt;0),"",IF($B150="Subactividad","Sub","Macro"))</f>
        <v/>
      </c>
      <c r="W150" s="62">
        <f>IF($V150="Macro",COUNTIFS($U$5:$U$1000,ROW(),$V$5:$V$1000,"Sub"),"")</f>
        <v/>
      </c>
      <c r="X150" s="62">
        <f>IF($V150="","",IF(ISNUMBER($G150),1,IFERROR(LOOKUP(2,1/($I150:$L150&lt;&gt;""),$I150:$L150),0)))</f>
        <v/>
      </c>
      <c r="Y150" s="62">
        <f>IF($V150="","",IF(AND(ISNUMBER($G150),$G150&lt;=IF($S150=MesCiclo,InicioCiclo,$S150+MOD(2-WEEKDAY($S150),7))+6),1,IF(ISNUMBER($I150),$I150,0)))</f>
        <v/>
      </c>
      <c r="Z150" s="62">
        <f>IF($V150="","",IF(AND(ISNUMBER($G150),$G150&lt;=IF($S150=MesCiclo,InicioCiclo,$S150+MOD(2-WEEKDAY($S150),7))+13),1,IF(ISNUMBER($J150),$J150,$Y150)))</f>
        <v/>
      </c>
      <c r="AA150" s="62">
        <f>IF($V150="","",IF(AND(ISNUMBER($G150),$G150&lt;=IF($S150=MesCiclo,InicioCiclo,$S150+MOD(2-WEEKDAY($S150),7))+20),1,IF(ISNUMBER($K150),$K150,$Z150)))</f>
        <v/>
      </c>
      <c r="AB150" s="62">
        <f>IF($V150="","",IF(AND(ISNUMBER($G150),$G150&lt;=IF($S150=MesCiclo,InicioCiclo,$S150+MOD(2-WEEKDAY($S150),7))+27),1,IF(ISNUMBER($L150),$L150,$AA150)))</f>
        <v/>
      </c>
      <c r="AC150" s="62">
        <f>IF($V150="","",IF(AND(ISNUMBER($G150),$G150&lt;=IF($S150=MesCiclo,InicioCiclo,$S150+MOD(2-WEEKDAY($S150),7))+6),1,IF(N($W150)&gt;0,AVERAGEIFS($Y$5:$Y$1000,$U$5:$U$1000,ROW(),$V$5:$V$1000,"Sub"),$Y150)))</f>
        <v/>
      </c>
      <c r="AD150" s="62">
        <f>IF($V150="","",IF(AND(ISNUMBER($G150),$G150&lt;=IF($S150=MesCiclo,InicioCiclo,$S150+MOD(2-WEEKDAY($S150),7))+13),1,IF(N($W150)&gt;0,AVERAGEIFS($Z$5:$Z$1000,$U$5:$U$1000,ROW(),$V$5:$V$1000,"Sub"),$Z150)))</f>
        <v/>
      </c>
      <c r="AE150" s="62">
        <f>IF($V150="","",IF(AND(ISNUMBER($G150),$G150&lt;=IF($S150=MesCiclo,InicioCiclo,$S150+MOD(2-WEEKDAY($S150),7))+20),1,IF(N($W150)&gt;0,AVERAGEIFS($AA$5:$AA$1000,$U$5:$U$1000,ROW(),$V$5:$V$1000,"Sub"),$AA150)))</f>
        <v/>
      </c>
      <c r="AF150" s="62">
        <f>IF($V150="","",IF(AND(ISNUMBER($G150),$G150&lt;=IF($S150=MesCiclo,InicioCiclo,$S150+MOD(2-WEEKDAY($S150),7))+27),1,IF(N($W150)&gt;0,AVERAGEIFS($AB$5:$AB$1000,$U$5:$U$1000,ROW(),$V$5:$V$1000,"Sub"),$AB150)))</f>
        <v/>
      </c>
      <c r="AG150" s="62">
        <f>IF($V150&lt;&gt;"Macro","",IF(COUNTIFS($S$5:$S$1000,$S150,$V$5:$V$1000,"Macro",$H$5:$H$1000,"&gt;0")=0,1/COUNTIFS($S$5:$S$1000,$S150,$V$5:$V$1000,"Macro"),IF(AND(ISNUMBER($H150),N($H150)&gt;0),$H150,SUMIFS($H$5:$H$1000,$S$5:$S$1000,$S150,$V$5:$V$1000,"Macro")/COUNTIFS($S$5:$S$1000,$S150,$V$5:$V$1000,"Macro",$H$5:$H$1000,"&gt;0"))/(COUNTIFS($S$5:$S$1000,$S150,$V$5:$V$1000,"Macro")*SUMIFS($H$5:$H$1000,$S$5:$S$1000,$S150,$V$5:$V$1000,"Macro")/COUNTIFS($S$5:$S$1000,$S150,$V$5:$V$1000,"Macro",$H$5:$H$1000,"&gt;0"))))</f>
        <v/>
      </c>
      <c r="AH150" s="62" t="n"/>
      <c r="AI150" s="62" t="n"/>
      <c r="AJ150" s="62" t="n"/>
      <c r="AK150" s="62" t="n"/>
      <c r="AL150" s="62">
        <f>IF(LEFT($C150,11)="[Jefatura] ",IFERROR(MATCH("Riesgo Normativo|"&amp;MID($C150,12,500),rDname_ADM,0),0),"")</f>
        <v/>
      </c>
      <c r="AM150" s="62">
        <f>IF(N($AL150)&gt;0,INDEX(rIni_ADM,$AL150),IF(ISNUMBER($E150),$E150,""))</f>
        <v/>
      </c>
      <c r="AN150" s="62">
        <f>IF(N($AL150)&gt;0,INDEX(rLim_ADM,$AL150),IF(ISNUMBER($F150),$F150,""))</f>
        <v/>
      </c>
    </row>
    <row r="151">
      <c r="A151" s="56">
        <f>IF(NOT((COUNTA($B151:$D151)+COUNTA($G151:$L151)+COUNTA($Q151))&gt;0),"",IF($V151="Macro",COUNTIFS($V$5:$V151,"Macro",$S$5:$S151,$S151),IF(N($U151)=0,"?",COUNTIFS(INDEX($V$5:$V$1000,1):INDEX($V$5:$V$1000,$U151-4),"Macro",INDEX($S$5:$S$1000,1):INDEX($S$5:$S$1000,$U151-4),INDEX($S$5:$S$1000,$U151-4))&amp;"."&amp;COUNTIFS($U$5:$U151,$U151,$V$5:$V151,"Sub"))))</f>
        <v/>
      </c>
      <c r="B151" s="57" t="n"/>
      <c r="C151" s="58" t="n"/>
      <c r="D151" s="58" t="n"/>
      <c r="E151" s="59">
        <f>IF(N($AL151)&gt;0,INDEX(rIni_ADM,$AL151),"")</f>
        <v/>
      </c>
      <c r="F151" s="59">
        <f>IF(N($AL151)&gt;0,INDEX(rLim_ADM,$AL151),"")</f>
        <v/>
      </c>
      <c r="G151" s="59" t="n"/>
      <c r="H151" s="60" t="n"/>
      <c r="I151" s="60" t="n"/>
      <c r="J151" s="60" t="n"/>
      <c r="K151" s="60" t="n"/>
      <c r="L151" s="60" t="n"/>
      <c r="M151" s="61">
        <f>IF(NOT((COUNTA($B151:$D151)+COUNTA($G151:$L151)+COUNTA($Q151))&gt;0),"",IF($V151="Sub",IFERROR($X151/INDEX($W$5:$W$1000,$U151-4),""),IF(ISNUMBER($G151),1,IF(N($W151)&gt;0,AVERAGEIFS($X$5:$X$1000,$U$5:$U$1000,ROW(),$V$5:$V$1000,"Sub"),$X151))))</f>
        <v/>
      </c>
      <c r="N151" s="56">
        <f>IF(OR($M151="",$V151="Sub"),"",IF($M151&gt;=1,"Completado",IF($M151&gt;0,"En curso","Pendiente")))</f>
        <v/>
      </c>
      <c r="O151" s="56">
        <f>IF(OR(NOT((COUNTA($B151:$D151)+COUNTA($G151:$L151)+COUNTA($Q151))&gt;0),$V151="Sub"),"",IF(ISNUMBER($G151),IF(AND(ISNUMBER($AN151),$G151&gt;$AN151),"Cumplida con "&amp;($G151-$AN151)&amp;IF($G151-$AN151=1," día"," días")&amp;" de retraso","Cumplida"),IF(N($M151)&gt;=1,"Cumplida",IF(NOT(ISNUMBER($AN151)),"Sin fecha límite",IF($AN151&lt;FechaRef,"Vencida hace "&amp;(FechaRef-$AN151)&amp;IF(FechaRef-$AN151=1," día"," días"),IF($AN151=FechaRef,"Vence hoy",IF($AN151-FechaRef&lt;=DiasAlerta,"Vence en "&amp;($AN151-FechaRef)&amp;IF($AN151-FechaRef=1," día"," días"),"En plazo")))))))</f>
        <v/>
      </c>
      <c r="P151" s="62" t="n"/>
      <c r="Q151" s="58" t="n"/>
      <c r="R151" s="63">
        <f>IF(NOT((COUNTA($B151:$D151)+COUNTA($G151:$L151)+COUNTA($Q151))&gt;0),"",IF((IF($C151="","Falta el nombre de la actividad"&amp;" · ","")&amp;IF(AND($V151="Sub",N($U151)=0),"Subactividad sin macroactividad arriba"&amp;" · ","")&amp;IF($AM151="","Sin fecha de inicio"&amp;" · ","")&amp;IF($AN151="","Sin fecha límite"&amp;" · ","")&amp;IF(AND(LEFT($C151,11)="[Jefatura] ",N($AL151)=0),"No se encuentra en la hoja de la jefatura (elíjala de nuevo en la lista)"&amp;" · ","")&amp;IF(OR(AND($E151&lt;&gt;"",NOT(ISNUMBER($E151))),AND($F151&lt;&gt;"",NOT(ISNUMBER($F151))),AND($G151&lt;&gt;"",NOT(ISNUMBER($G151)))),"Fecha no válida"&amp;" · ","")&amp;IF(AND(ISNUMBER($AM151),ISNUMBER($AN151),$AM151&gt;$AN151),"Inicio posterior a fecha límite"&amp;" · ","")&amp;IF(AND($V151="Macro",$H151&lt;&gt;"",OR(NOT(ISNUMBER($H151)),$H151&lt;0,$H151&gt;1)),"Peso fuera de rango"&amp;" · ","")&amp;IF(AND($V151="Sub",$H151&lt;&gt;""),"Las subactividades no llevan peso (valen igual dentro de su macroactividad)"&amp;" · ","")&amp;IF(AND(N($W151)&gt;0,COUNT($I151:$L151)&gt;0),"Con subactividades: deje vacías las semanas (se calculan solas)"&amp;" · ","")&amp;IF((COUNTIF($I151:$L151,"&gt;1")+COUNTIF($I151:$L151,"&lt;0")+COUNTA($I151:$L151)-COUNT($I151:$L151))&gt;0,"Avance fuera de rango 0-100%"&amp;" · ","")&amp;IF(OR(AND($J151&lt;&gt;"",$J151&lt;$I151),AND($K151&lt;&gt;"",$K151&lt;MAX($I151:$J151)),AND($L151&lt;&gt;"",$L151&lt;MAX($I151:$K151))),"Avance semanal decreciente"&amp;" · ","")&amp;IF(AND(ISNUMBER($AN151),$AN151&lt;FechaRef,IF($V151="Sub",N($X151),N($M151))&lt;1),"Vencida"&amp;" · ","")&amp;IF(AND(ObsObligatoria="Sí",ISNUMBER($AN151),$AN151&lt;FechaRef,IF($V151="Sub",N($X151),N($M151))&lt;1,$Q151=""),"Vencida sin observación"&amp;" · ",""))="","✔ OK","⚠ "&amp;LEFT(IF($C151="","Falta el nombre de la actividad"&amp;" · ","")&amp;IF(AND($V151="Sub",N($U151)=0),"Subactividad sin macroactividad arriba"&amp;" · ","")&amp;IF($AM151="","Sin fecha de inicio"&amp;" · ","")&amp;IF($AN151="","Sin fecha límite"&amp;" · ","")&amp;IF(AND(LEFT($C151,11)="[Jefatura] ",N($AL151)=0),"No se encuentra en la hoja de la jefatura (elíjala de nuevo en la lista)"&amp;" · ","")&amp;IF(OR(AND($E151&lt;&gt;"",NOT(ISNUMBER($E151))),AND($F151&lt;&gt;"",NOT(ISNUMBER($F151))),AND($G151&lt;&gt;"",NOT(ISNUMBER($G151)))),"Fecha no válida"&amp;" · ","")&amp;IF(AND(ISNUMBER($AM151),ISNUMBER($AN151),$AM151&gt;$AN151),"Inicio posterior a fecha límite"&amp;" · ","")&amp;IF(AND($V151="Macro",$H151&lt;&gt;"",OR(NOT(ISNUMBER($H151)),$H151&lt;0,$H151&gt;1)),"Peso fuera de rango"&amp;" · ","")&amp;IF(AND($V151="Sub",$H151&lt;&gt;""),"Las subactividades no llevan peso (valen igual dentro de su macroactividad)"&amp;" · ","")&amp;IF(AND(N($W151)&gt;0,COUNT($I151:$L151)&gt;0),"Con subactividades: deje vacías las semanas (se calculan solas)"&amp;" · ","")&amp;IF((COUNTIF($I151:$L151,"&gt;1")+COUNTIF($I151:$L151,"&lt;0")+COUNTA($I151:$L151)-COUNT($I151:$L151))&gt;0,"Avance fuera de rango 0-100%"&amp;" · ","")&amp;IF(OR(AND($J151&lt;&gt;"",$J151&lt;$I151),AND($K151&lt;&gt;"",$K151&lt;MAX($I151:$J151)),AND($L151&lt;&gt;"",$L151&lt;MAX($I151:$K151))),"Avance semanal decreciente"&amp;" · ","")&amp;IF(AND(ISNUMBER($AN151),$AN151&lt;FechaRef,IF($V151="Sub",N($X151),N($M151))&lt;1),"Vencida"&amp;" · ","")&amp;IF(AND(ObsObligatoria="Sí",ISNUMBER($AN151),$AN151&lt;FechaRef,IF($V151="Sub",N($X151),N($M151))&lt;1,$Q151=""),"Vencida sin observación"&amp;" · ",""),LEN(IF($C151="","Falta el nombre de la actividad"&amp;" · ","")&amp;IF(AND($V151="Sub",N($U151)=0),"Subactividad sin macroactividad arriba"&amp;" · ","")&amp;IF($AM151="","Sin fecha de inicio"&amp;" · ","")&amp;IF($AN151="","Sin fecha límite"&amp;" · ","")&amp;IF(AND(LEFT($C151,11)="[Jefatura] ",N($AL151)=0),"No se encuentra en la hoja de la jefatura (elíjala de nuevo en la lista)"&amp;" · ","")&amp;IF(OR(AND($E151&lt;&gt;"",NOT(ISNUMBER($E151))),AND($F151&lt;&gt;"",NOT(ISNUMBER($F151))),AND($G151&lt;&gt;"",NOT(ISNUMBER($G151)))),"Fecha no válida"&amp;" · ","")&amp;IF(AND(ISNUMBER($AM151),ISNUMBER($AN151),$AM151&gt;$AN151),"Inicio posterior a fecha límite"&amp;" · ","")&amp;IF(AND($V151="Macro",$H151&lt;&gt;"",OR(NOT(ISNUMBER($H151)),$H151&lt;0,$H151&gt;1)),"Peso fuera de rango"&amp;" · ","")&amp;IF(AND($V151="Sub",$H151&lt;&gt;""),"Las subactividades no llevan peso (valen igual dentro de su macroactividad)"&amp;" · ","")&amp;IF(AND(N($W151)&gt;0,COUNT($I151:$L151)&gt;0),"Con subactividades: deje vacías las semanas (se calculan solas)"&amp;" · ","")&amp;IF((COUNTIF($I151:$L151,"&gt;1")+COUNTIF($I151:$L151,"&lt;0")+COUNTA($I151:$L151)-COUNT($I151:$L151))&gt;0,"Avance fuera de rango 0-100%"&amp;" · ","")&amp;IF(OR(AND($J151&lt;&gt;"",$J151&lt;$I151),AND($K151&lt;&gt;"",$K151&lt;MAX($I151:$J151)),AND($L151&lt;&gt;"",$L151&lt;MAX($I151:$K151))),"Avance semanal decreciente"&amp;" · ","")&amp;IF(AND(ISNUMBER($AN151),$AN151&lt;FechaRef,IF($V151="Sub",N($X151),N($M151))&lt;1),"Vencida"&amp;" · ","")&amp;IF(AND(ObsObligatoria="Sí",ISNUMBER($AN151),$AN151&lt;FechaRef,IF($V151="Sub",N($X151),N($M151))&lt;1,$Q151=""),"Vencida sin observación"&amp;" · ",""))-3)))</f>
        <v/>
      </c>
      <c r="S151" s="64">
        <f>IF(NOT((COUNTA($B151:$D151)+COUNTA($G151:$L151)+COUNTA($Q151))&gt;0),"",IF(AND($V151="Sub",N($U151)&gt;0),IF(ISNUMBER(INDEX($AM$5:$AM$1000,$U151-4)),DATE(YEAR(INDEX($AM$5:$AM$1000,$U151-4)),MONTH(INDEX($AM$5:$AM$1000,$U151-4)),1),IF(ISNUMBER(INDEX($AN$5:$AN$1000,$U151-4)),DATE(YEAR(INDEX($AN$5:$AN$1000,$U151-4)),MONTH(INDEX($AN$5:$AN$1000,$U151-4)),1),MesCiclo)),IF(ISNUMBER($AM151),DATE(YEAR($AM151),MONTH($AM151),1),IF(ISNUMBER($AN151),DATE(YEAR($AN151),MONTH($AN151),1),MesCiclo))))</f>
        <v/>
      </c>
      <c r="T151" s="62">
        <f>IF(OR($S151="",$S151&lt;&gt;MesCiclo,$V151&lt;&gt;"Macro"),"",COUNTIFS($S$5:$S151,MesCiclo,$V$5:$V151,"Macro"))</f>
        <v/>
      </c>
      <c r="U151" s="62">
        <f>IF($V151="","",IF($V151="Macro",ROW(),IFERROR(LOOKUP(2,1/($V$5:$V151="Macro"),ROW($V$5:$V151)),0)))</f>
        <v/>
      </c>
      <c r="V151" s="62">
        <f>IF(NOT((COUNTA($B151:$D151)+COUNTA($G151:$L151)+COUNTA($Q151))&gt;0),"",IF($B151="Subactividad","Sub","Macro"))</f>
        <v/>
      </c>
      <c r="W151" s="62">
        <f>IF($V151="Macro",COUNTIFS($U$5:$U$1000,ROW(),$V$5:$V$1000,"Sub"),"")</f>
        <v/>
      </c>
      <c r="X151" s="62">
        <f>IF($V151="","",IF(ISNUMBER($G151),1,IFERROR(LOOKUP(2,1/($I151:$L151&lt;&gt;""),$I151:$L151),0)))</f>
        <v/>
      </c>
      <c r="Y151" s="62">
        <f>IF($V151="","",IF(AND(ISNUMBER($G151),$G151&lt;=IF($S151=MesCiclo,InicioCiclo,$S151+MOD(2-WEEKDAY($S151),7))+6),1,IF(ISNUMBER($I151),$I151,0)))</f>
        <v/>
      </c>
      <c r="Z151" s="62">
        <f>IF($V151="","",IF(AND(ISNUMBER($G151),$G151&lt;=IF($S151=MesCiclo,InicioCiclo,$S151+MOD(2-WEEKDAY($S151),7))+13),1,IF(ISNUMBER($J151),$J151,$Y151)))</f>
        <v/>
      </c>
      <c r="AA151" s="62">
        <f>IF($V151="","",IF(AND(ISNUMBER($G151),$G151&lt;=IF($S151=MesCiclo,InicioCiclo,$S151+MOD(2-WEEKDAY($S151),7))+20),1,IF(ISNUMBER($K151),$K151,$Z151)))</f>
        <v/>
      </c>
      <c r="AB151" s="62">
        <f>IF($V151="","",IF(AND(ISNUMBER($G151),$G151&lt;=IF($S151=MesCiclo,InicioCiclo,$S151+MOD(2-WEEKDAY($S151),7))+27),1,IF(ISNUMBER($L151),$L151,$AA151)))</f>
        <v/>
      </c>
      <c r="AC151" s="62">
        <f>IF($V151="","",IF(AND(ISNUMBER($G151),$G151&lt;=IF($S151=MesCiclo,InicioCiclo,$S151+MOD(2-WEEKDAY($S151),7))+6),1,IF(N($W151)&gt;0,AVERAGEIFS($Y$5:$Y$1000,$U$5:$U$1000,ROW(),$V$5:$V$1000,"Sub"),$Y151)))</f>
        <v/>
      </c>
      <c r="AD151" s="62">
        <f>IF($V151="","",IF(AND(ISNUMBER($G151),$G151&lt;=IF($S151=MesCiclo,InicioCiclo,$S151+MOD(2-WEEKDAY($S151),7))+13),1,IF(N($W151)&gt;0,AVERAGEIFS($Z$5:$Z$1000,$U$5:$U$1000,ROW(),$V$5:$V$1000,"Sub"),$Z151)))</f>
        <v/>
      </c>
      <c r="AE151" s="62">
        <f>IF($V151="","",IF(AND(ISNUMBER($G151),$G151&lt;=IF($S151=MesCiclo,InicioCiclo,$S151+MOD(2-WEEKDAY($S151),7))+20),1,IF(N($W151)&gt;0,AVERAGEIFS($AA$5:$AA$1000,$U$5:$U$1000,ROW(),$V$5:$V$1000,"Sub"),$AA151)))</f>
        <v/>
      </c>
      <c r="AF151" s="62">
        <f>IF($V151="","",IF(AND(ISNUMBER($G151),$G151&lt;=IF($S151=MesCiclo,InicioCiclo,$S151+MOD(2-WEEKDAY($S151),7))+27),1,IF(N($W151)&gt;0,AVERAGEIFS($AB$5:$AB$1000,$U$5:$U$1000,ROW(),$V$5:$V$1000,"Sub"),$AB151)))</f>
        <v/>
      </c>
      <c r="AG151" s="62">
        <f>IF($V151&lt;&gt;"Macro","",IF(COUNTIFS($S$5:$S$1000,$S151,$V$5:$V$1000,"Macro",$H$5:$H$1000,"&gt;0")=0,1/COUNTIFS($S$5:$S$1000,$S151,$V$5:$V$1000,"Macro"),IF(AND(ISNUMBER($H151),N($H151)&gt;0),$H151,SUMIFS($H$5:$H$1000,$S$5:$S$1000,$S151,$V$5:$V$1000,"Macro")/COUNTIFS($S$5:$S$1000,$S151,$V$5:$V$1000,"Macro",$H$5:$H$1000,"&gt;0"))/(COUNTIFS($S$5:$S$1000,$S151,$V$5:$V$1000,"Macro")*SUMIFS($H$5:$H$1000,$S$5:$S$1000,$S151,$V$5:$V$1000,"Macro")/COUNTIFS($S$5:$S$1000,$S151,$V$5:$V$1000,"Macro",$H$5:$H$1000,"&gt;0"))))</f>
        <v/>
      </c>
      <c r="AH151" s="62" t="n"/>
      <c r="AI151" s="62" t="n"/>
      <c r="AJ151" s="62" t="n"/>
      <c r="AK151" s="62" t="n"/>
      <c r="AL151" s="62">
        <f>IF(LEFT($C151,11)="[Jefatura] ",IFERROR(MATCH("Riesgo Normativo|"&amp;MID($C151,12,500),rDname_ADM,0),0),"")</f>
        <v/>
      </c>
      <c r="AM151" s="62">
        <f>IF(N($AL151)&gt;0,INDEX(rIni_ADM,$AL151),IF(ISNUMBER($E151),$E151,""))</f>
        <v/>
      </c>
      <c r="AN151" s="62">
        <f>IF(N($AL151)&gt;0,INDEX(rLim_ADM,$AL151),IF(ISNUMBER($F151),$F151,""))</f>
        <v/>
      </c>
    </row>
    <row r="152">
      <c r="A152" s="56">
        <f>IF(NOT((COUNTA($B152:$D152)+COUNTA($G152:$L152)+COUNTA($Q152))&gt;0),"",IF($V152="Macro",COUNTIFS($V$5:$V152,"Macro",$S$5:$S152,$S152),IF(N($U152)=0,"?",COUNTIFS(INDEX($V$5:$V$1000,1):INDEX($V$5:$V$1000,$U152-4),"Macro",INDEX($S$5:$S$1000,1):INDEX($S$5:$S$1000,$U152-4),INDEX($S$5:$S$1000,$U152-4))&amp;"."&amp;COUNTIFS($U$5:$U152,$U152,$V$5:$V152,"Sub"))))</f>
        <v/>
      </c>
      <c r="B152" s="57" t="n"/>
      <c r="C152" s="58" t="n"/>
      <c r="D152" s="58" t="n"/>
      <c r="E152" s="59">
        <f>IF(N($AL152)&gt;0,INDEX(rIni_ADM,$AL152),"")</f>
        <v/>
      </c>
      <c r="F152" s="59">
        <f>IF(N($AL152)&gt;0,INDEX(rLim_ADM,$AL152),"")</f>
        <v/>
      </c>
      <c r="G152" s="59" t="n"/>
      <c r="H152" s="60" t="n"/>
      <c r="I152" s="60" t="n"/>
      <c r="J152" s="60" t="n"/>
      <c r="K152" s="60" t="n"/>
      <c r="L152" s="60" t="n"/>
      <c r="M152" s="61">
        <f>IF(NOT((COUNTA($B152:$D152)+COUNTA($G152:$L152)+COUNTA($Q152))&gt;0),"",IF($V152="Sub",IFERROR($X152/INDEX($W$5:$W$1000,$U152-4),""),IF(ISNUMBER($G152),1,IF(N($W152)&gt;0,AVERAGEIFS($X$5:$X$1000,$U$5:$U$1000,ROW(),$V$5:$V$1000,"Sub"),$X152))))</f>
        <v/>
      </c>
      <c r="N152" s="56">
        <f>IF(OR($M152="",$V152="Sub"),"",IF($M152&gt;=1,"Completado",IF($M152&gt;0,"En curso","Pendiente")))</f>
        <v/>
      </c>
      <c r="O152" s="56">
        <f>IF(OR(NOT((COUNTA($B152:$D152)+COUNTA($G152:$L152)+COUNTA($Q152))&gt;0),$V152="Sub"),"",IF(ISNUMBER($G152),IF(AND(ISNUMBER($AN152),$G152&gt;$AN152),"Cumplida con "&amp;($G152-$AN152)&amp;IF($G152-$AN152=1," día"," días")&amp;" de retraso","Cumplida"),IF(N($M152)&gt;=1,"Cumplida",IF(NOT(ISNUMBER($AN152)),"Sin fecha límite",IF($AN152&lt;FechaRef,"Vencida hace "&amp;(FechaRef-$AN152)&amp;IF(FechaRef-$AN152=1," día"," días"),IF($AN152=FechaRef,"Vence hoy",IF($AN152-FechaRef&lt;=DiasAlerta,"Vence en "&amp;($AN152-FechaRef)&amp;IF($AN152-FechaRef=1," día"," días"),"En plazo")))))))</f>
        <v/>
      </c>
      <c r="P152" s="62" t="n"/>
      <c r="Q152" s="58" t="n"/>
      <c r="R152" s="63">
        <f>IF(NOT((COUNTA($B152:$D152)+COUNTA($G152:$L152)+COUNTA($Q152))&gt;0),"",IF((IF($C152="","Falta el nombre de la actividad"&amp;" · ","")&amp;IF(AND($V152="Sub",N($U152)=0),"Subactividad sin macroactividad arriba"&amp;" · ","")&amp;IF($AM152="","Sin fecha de inicio"&amp;" · ","")&amp;IF($AN152="","Sin fecha límite"&amp;" · ","")&amp;IF(AND(LEFT($C152,11)="[Jefatura] ",N($AL152)=0),"No se encuentra en la hoja de la jefatura (elíjala de nuevo en la lista)"&amp;" · ","")&amp;IF(OR(AND($E152&lt;&gt;"",NOT(ISNUMBER($E152))),AND($F152&lt;&gt;"",NOT(ISNUMBER($F152))),AND($G152&lt;&gt;"",NOT(ISNUMBER($G152)))),"Fecha no válida"&amp;" · ","")&amp;IF(AND(ISNUMBER($AM152),ISNUMBER($AN152),$AM152&gt;$AN152),"Inicio posterior a fecha límite"&amp;" · ","")&amp;IF(AND($V152="Macro",$H152&lt;&gt;"",OR(NOT(ISNUMBER($H152)),$H152&lt;0,$H152&gt;1)),"Peso fuera de rango"&amp;" · ","")&amp;IF(AND($V152="Sub",$H152&lt;&gt;""),"Las subactividades no llevan peso (valen igual dentro de su macroactividad)"&amp;" · ","")&amp;IF(AND(N($W152)&gt;0,COUNT($I152:$L152)&gt;0),"Con subactividades: deje vacías las semanas (se calculan solas)"&amp;" · ","")&amp;IF((COUNTIF($I152:$L152,"&gt;1")+COUNTIF($I152:$L152,"&lt;0")+COUNTA($I152:$L152)-COUNT($I152:$L152))&gt;0,"Avance fuera de rango 0-100%"&amp;" · ","")&amp;IF(OR(AND($J152&lt;&gt;"",$J152&lt;$I152),AND($K152&lt;&gt;"",$K152&lt;MAX($I152:$J152)),AND($L152&lt;&gt;"",$L152&lt;MAX($I152:$K152))),"Avance semanal decreciente"&amp;" · ","")&amp;IF(AND(ISNUMBER($AN152),$AN152&lt;FechaRef,IF($V152="Sub",N($X152),N($M152))&lt;1),"Vencida"&amp;" · ","")&amp;IF(AND(ObsObligatoria="Sí",ISNUMBER($AN152),$AN152&lt;FechaRef,IF($V152="Sub",N($X152),N($M152))&lt;1,$Q152=""),"Vencida sin observación"&amp;" · ",""))="","✔ OK","⚠ "&amp;LEFT(IF($C152="","Falta el nombre de la actividad"&amp;" · ","")&amp;IF(AND($V152="Sub",N($U152)=0),"Subactividad sin macroactividad arriba"&amp;" · ","")&amp;IF($AM152="","Sin fecha de inicio"&amp;" · ","")&amp;IF($AN152="","Sin fecha límite"&amp;" · ","")&amp;IF(AND(LEFT($C152,11)="[Jefatura] ",N($AL152)=0),"No se encuentra en la hoja de la jefatura (elíjala de nuevo en la lista)"&amp;" · ","")&amp;IF(OR(AND($E152&lt;&gt;"",NOT(ISNUMBER($E152))),AND($F152&lt;&gt;"",NOT(ISNUMBER($F152))),AND($G152&lt;&gt;"",NOT(ISNUMBER($G152)))),"Fecha no válida"&amp;" · ","")&amp;IF(AND(ISNUMBER($AM152),ISNUMBER($AN152),$AM152&gt;$AN152),"Inicio posterior a fecha límite"&amp;" · ","")&amp;IF(AND($V152="Macro",$H152&lt;&gt;"",OR(NOT(ISNUMBER($H152)),$H152&lt;0,$H152&gt;1)),"Peso fuera de rango"&amp;" · ","")&amp;IF(AND($V152="Sub",$H152&lt;&gt;""),"Las subactividades no llevan peso (valen igual dentro de su macroactividad)"&amp;" · ","")&amp;IF(AND(N($W152)&gt;0,COUNT($I152:$L152)&gt;0),"Con subactividades: deje vacías las semanas (se calculan solas)"&amp;" · ","")&amp;IF((COUNTIF($I152:$L152,"&gt;1")+COUNTIF($I152:$L152,"&lt;0")+COUNTA($I152:$L152)-COUNT($I152:$L152))&gt;0,"Avance fuera de rango 0-100%"&amp;" · ","")&amp;IF(OR(AND($J152&lt;&gt;"",$J152&lt;$I152),AND($K152&lt;&gt;"",$K152&lt;MAX($I152:$J152)),AND($L152&lt;&gt;"",$L152&lt;MAX($I152:$K152))),"Avance semanal decreciente"&amp;" · ","")&amp;IF(AND(ISNUMBER($AN152),$AN152&lt;FechaRef,IF($V152="Sub",N($X152),N($M152))&lt;1),"Vencida"&amp;" · ","")&amp;IF(AND(ObsObligatoria="Sí",ISNUMBER($AN152),$AN152&lt;FechaRef,IF($V152="Sub",N($X152),N($M152))&lt;1,$Q152=""),"Vencida sin observación"&amp;" · ",""),LEN(IF($C152="","Falta el nombre de la actividad"&amp;" · ","")&amp;IF(AND($V152="Sub",N($U152)=0),"Subactividad sin macroactividad arriba"&amp;" · ","")&amp;IF($AM152="","Sin fecha de inicio"&amp;" · ","")&amp;IF($AN152="","Sin fecha límite"&amp;" · ","")&amp;IF(AND(LEFT($C152,11)="[Jefatura] ",N($AL152)=0),"No se encuentra en la hoja de la jefatura (elíjala de nuevo en la lista)"&amp;" · ","")&amp;IF(OR(AND($E152&lt;&gt;"",NOT(ISNUMBER($E152))),AND($F152&lt;&gt;"",NOT(ISNUMBER($F152))),AND($G152&lt;&gt;"",NOT(ISNUMBER($G152)))),"Fecha no válida"&amp;" · ","")&amp;IF(AND(ISNUMBER($AM152),ISNUMBER($AN152),$AM152&gt;$AN152),"Inicio posterior a fecha límite"&amp;" · ","")&amp;IF(AND($V152="Macro",$H152&lt;&gt;"",OR(NOT(ISNUMBER($H152)),$H152&lt;0,$H152&gt;1)),"Peso fuera de rango"&amp;" · ","")&amp;IF(AND($V152="Sub",$H152&lt;&gt;""),"Las subactividades no llevan peso (valen igual dentro de su macroactividad)"&amp;" · ","")&amp;IF(AND(N($W152)&gt;0,COUNT($I152:$L152)&gt;0),"Con subactividades: deje vacías las semanas (se calculan solas)"&amp;" · ","")&amp;IF((COUNTIF($I152:$L152,"&gt;1")+COUNTIF($I152:$L152,"&lt;0")+COUNTA($I152:$L152)-COUNT($I152:$L152))&gt;0,"Avance fuera de rango 0-100%"&amp;" · ","")&amp;IF(OR(AND($J152&lt;&gt;"",$J152&lt;$I152),AND($K152&lt;&gt;"",$K152&lt;MAX($I152:$J152)),AND($L152&lt;&gt;"",$L152&lt;MAX($I152:$K152))),"Avance semanal decreciente"&amp;" · ","")&amp;IF(AND(ISNUMBER($AN152),$AN152&lt;FechaRef,IF($V152="Sub",N($X152),N($M152))&lt;1),"Vencida"&amp;" · ","")&amp;IF(AND(ObsObligatoria="Sí",ISNUMBER($AN152),$AN152&lt;FechaRef,IF($V152="Sub",N($X152),N($M152))&lt;1,$Q152=""),"Vencida sin observación"&amp;" · ",""))-3)))</f>
        <v/>
      </c>
      <c r="S152" s="64">
        <f>IF(NOT((COUNTA($B152:$D152)+COUNTA($G152:$L152)+COUNTA($Q152))&gt;0),"",IF(AND($V152="Sub",N($U152)&gt;0),IF(ISNUMBER(INDEX($AM$5:$AM$1000,$U152-4)),DATE(YEAR(INDEX($AM$5:$AM$1000,$U152-4)),MONTH(INDEX($AM$5:$AM$1000,$U152-4)),1),IF(ISNUMBER(INDEX($AN$5:$AN$1000,$U152-4)),DATE(YEAR(INDEX($AN$5:$AN$1000,$U152-4)),MONTH(INDEX($AN$5:$AN$1000,$U152-4)),1),MesCiclo)),IF(ISNUMBER($AM152),DATE(YEAR($AM152),MONTH($AM152),1),IF(ISNUMBER($AN152),DATE(YEAR($AN152),MONTH($AN152),1),MesCiclo))))</f>
        <v/>
      </c>
      <c r="T152" s="62">
        <f>IF(OR($S152="",$S152&lt;&gt;MesCiclo,$V152&lt;&gt;"Macro"),"",COUNTIFS($S$5:$S152,MesCiclo,$V$5:$V152,"Macro"))</f>
        <v/>
      </c>
      <c r="U152" s="62">
        <f>IF($V152="","",IF($V152="Macro",ROW(),IFERROR(LOOKUP(2,1/($V$5:$V152="Macro"),ROW($V$5:$V152)),0)))</f>
        <v/>
      </c>
      <c r="V152" s="62">
        <f>IF(NOT((COUNTA($B152:$D152)+COUNTA($G152:$L152)+COUNTA($Q152))&gt;0),"",IF($B152="Subactividad","Sub","Macro"))</f>
        <v/>
      </c>
      <c r="W152" s="62">
        <f>IF($V152="Macro",COUNTIFS($U$5:$U$1000,ROW(),$V$5:$V$1000,"Sub"),"")</f>
        <v/>
      </c>
      <c r="X152" s="62">
        <f>IF($V152="","",IF(ISNUMBER($G152),1,IFERROR(LOOKUP(2,1/($I152:$L152&lt;&gt;""),$I152:$L152),0)))</f>
        <v/>
      </c>
      <c r="Y152" s="62">
        <f>IF($V152="","",IF(AND(ISNUMBER($G152),$G152&lt;=IF($S152=MesCiclo,InicioCiclo,$S152+MOD(2-WEEKDAY($S152),7))+6),1,IF(ISNUMBER($I152),$I152,0)))</f>
        <v/>
      </c>
      <c r="Z152" s="62">
        <f>IF($V152="","",IF(AND(ISNUMBER($G152),$G152&lt;=IF($S152=MesCiclo,InicioCiclo,$S152+MOD(2-WEEKDAY($S152),7))+13),1,IF(ISNUMBER($J152),$J152,$Y152)))</f>
        <v/>
      </c>
      <c r="AA152" s="62">
        <f>IF($V152="","",IF(AND(ISNUMBER($G152),$G152&lt;=IF($S152=MesCiclo,InicioCiclo,$S152+MOD(2-WEEKDAY($S152),7))+20),1,IF(ISNUMBER($K152),$K152,$Z152)))</f>
        <v/>
      </c>
      <c r="AB152" s="62">
        <f>IF($V152="","",IF(AND(ISNUMBER($G152),$G152&lt;=IF($S152=MesCiclo,InicioCiclo,$S152+MOD(2-WEEKDAY($S152),7))+27),1,IF(ISNUMBER($L152),$L152,$AA152)))</f>
        <v/>
      </c>
      <c r="AC152" s="62">
        <f>IF($V152="","",IF(AND(ISNUMBER($G152),$G152&lt;=IF($S152=MesCiclo,InicioCiclo,$S152+MOD(2-WEEKDAY($S152),7))+6),1,IF(N($W152)&gt;0,AVERAGEIFS($Y$5:$Y$1000,$U$5:$U$1000,ROW(),$V$5:$V$1000,"Sub"),$Y152)))</f>
        <v/>
      </c>
      <c r="AD152" s="62">
        <f>IF($V152="","",IF(AND(ISNUMBER($G152),$G152&lt;=IF($S152=MesCiclo,InicioCiclo,$S152+MOD(2-WEEKDAY($S152),7))+13),1,IF(N($W152)&gt;0,AVERAGEIFS($Z$5:$Z$1000,$U$5:$U$1000,ROW(),$V$5:$V$1000,"Sub"),$Z152)))</f>
        <v/>
      </c>
      <c r="AE152" s="62">
        <f>IF($V152="","",IF(AND(ISNUMBER($G152),$G152&lt;=IF($S152=MesCiclo,InicioCiclo,$S152+MOD(2-WEEKDAY($S152),7))+20),1,IF(N($W152)&gt;0,AVERAGEIFS($AA$5:$AA$1000,$U$5:$U$1000,ROW(),$V$5:$V$1000,"Sub"),$AA152)))</f>
        <v/>
      </c>
      <c r="AF152" s="62">
        <f>IF($V152="","",IF(AND(ISNUMBER($G152),$G152&lt;=IF($S152=MesCiclo,InicioCiclo,$S152+MOD(2-WEEKDAY($S152),7))+27),1,IF(N($W152)&gt;0,AVERAGEIFS($AB$5:$AB$1000,$U$5:$U$1000,ROW(),$V$5:$V$1000,"Sub"),$AB152)))</f>
        <v/>
      </c>
      <c r="AG152" s="62">
        <f>IF($V152&lt;&gt;"Macro","",IF(COUNTIFS($S$5:$S$1000,$S152,$V$5:$V$1000,"Macro",$H$5:$H$1000,"&gt;0")=0,1/COUNTIFS($S$5:$S$1000,$S152,$V$5:$V$1000,"Macro"),IF(AND(ISNUMBER($H152),N($H152)&gt;0),$H152,SUMIFS($H$5:$H$1000,$S$5:$S$1000,$S152,$V$5:$V$1000,"Macro")/COUNTIFS($S$5:$S$1000,$S152,$V$5:$V$1000,"Macro",$H$5:$H$1000,"&gt;0"))/(COUNTIFS($S$5:$S$1000,$S152,$V$5:$V$1000,"Macro")*SUMIFS($H$5:$H$1000,$S$5:$S$1000,$S152,$V$5:$V$1000,"Macro")/COUNTIFS($S$5:$S$1000,$S152,$V$5:$V$1000,"Macro",$H$5:$H$1000,"&gt;0"))))</f>
        <v/>
      </c>
      <c r="AH152" s="62" t="n"/>
      <c r="AI152" s="62" t="n"/>
      <c r="AJ152" s="62" t="n"/>
      <c r="AK152" s="62" t="n"/>
      <c r="AL152" s="62">
        <f>IF(LEFT($C152,11)="[Jefatura] ",IFERROR(MATCH("Riesgo Normativo|"&amp;MID($C152,12,500),rDname_ADM,0),0),"")</f>
        <v/>
      </c>
      <c r="AM152" s="62">
        <f>IF(N($AL152)&gt;0,INDEX(rIni_ADM,$AL152),IF(ISNUMBER($E152),$E152,""))</f>
        <v/>
      </c>
      <c r="AN152" s="62">
        <f>IF(N($AL152)&gt;0,INDEX(rLim_ADM,$AL152),IF(ISNUMBER($F152),$F152,""))</f>
        <v/>
      </c>
    </row>
    <row r="153">
      <c r="A153" s="56">
        <f>IF(NOT((COUNTA($B153:$D153)+COUNTA($G153:$L153)+COUNTA($Q153))&gt;0),"",IF($V153="Macro",COUNTIFS($V$5:$V153,"Macro",$S$5:$S153,$S153),IF(N($U153)=0,"?",COUNTIFS(INDEX($V$5:$V$1000,1):INDEX($V$5:$V$1000,$U153-4),"Macro",INDEX($S$5:$S$1000,1):INDEX($S$5:$S$1000,$U153-4),INDEX($S$5:$S$1000,$U153-4))&amp;"."&amp;COUNTIFS($U$5:$U153,$U153,$V$5:$V153,"Sub"))))</f>
        <v/>
      </c>
      <c r="B153" s="57" t="n"/>
      <c r="C153" s="58" t="n"/>
      <c r="D153" s="58" t="n"/>
      <c r="E153" s="59">
        <f>IF(N($AL153)&gt;0,INDEX(rIni_ADM,$AL153),"")</f>
        <v/>
      </c>
      <c r="F153" s="59">
        <f>IF(N($AL153)&gt;0,INDEX(rLim_ADM,$AL153),"")</f>
        <v/>
      </c>
      <c r="G153" s="59" t="n"/>
      <c r="H153" s="60" t="n"/>
      <c r="I153" s="60" t="n"/>
      <c r="J153" s="60" t="n"/>
      <c r="K153" s="60" t="n"/>
      <c r="L153" s="60" t="n"/>
      <c r="M153" s="61">
        <f>IF(NOT((COUNTA($B153:$D153)+COUNTA($G153:$L153)+COUNTA($Q153))&gt;0),"",IF($V153="Sub",IFERROR($X153/INDEX($W$5:$W$1000,$U153-4),""),IF(ISNUMBER($G153),1,IF(N($W153)&gt;0,AVERAGEIFS($X$5:$X$1000,$U$5:$U$1000,ROW(),$V$5:$V$1000,"Sub"),$X153))))</f>
        <v/>
      </c>
      <c r="N153" s="56">
        <f>IF(OR($M153="",$V153="Sub"),"",IF($M153&gt;=1,"Completado",IF($M153&gt;0,"En curso","Pendiente")))</f>
        <v/>
      </c>
      <c r="O153" s="56">
        <f>IF(OR(NOT((COUNTA($B153:$D153)+COUNTA($G153:$L153)+COUNTA($Q153))&gt;0),$V153="Sub"),"",IF(ISNUMBER($G153),IF(AND(ISNUMBER($AN153),$G153&gt;$AN153),"Cumplida con "&amp;($G153-$AN153)&amp;IF($G153-$AN153=1," día"," días")&amp;" de retraso","Cumplida"),IF(N($M153)&gt;=1,"Cumplida",IF(NOT(ISNUMBER($AN153)),"Sin fecha límite",IF($AN153&lt;FechaRef,"Vencida hace "&amp;(FechaRef-$AN153)&amp;IF(FechaRef-$AN153=1," día"," días"),IF($AN153=FechaRef,"Vence hoy",IF($AN153-FechaRef&lt;=DiasAlerta,"Vence en "&amp;($AN153-FechaRef)&amp;IF($AN153-FechaRef=1," día"," días"),"En plazo")))))))</f>
        <v/>
      </c>
      <c r="P153" s="62" t="n"/>
      <c r="Q153" s="58" t="n"/>
      <c r="R153" s="63">
        <f>IF(NOT((COUNTA($B153:$D153)+COUNTA($G153:$L153)+COUNTA($Q153))&gt;0),"",IF((IF($C153="","Falta el nombre de la actividad"&amp;" · ","")&amp;IF(AND($V153="Sub",N($U153)=0),"Subactividad sin macroactividad arriba"&amp;" · ","")&amp;IF($AM153="","Sin fecha de inicio"&amp;" · ","")&amp;IF($AN153="","Sin fecha límite"&amp;" · ","")&amp;IF(AND(LEFT($C153,11)="[Jefatura] ",N($AL153)=0),"No se encuentra en la hoja de la jefatura (elíjala de nuevo en la lista)"&amp;" · ","")&amp;IF(OR(AND($E153&lt;&gt;"",NOT(ISNUMBER($E153))),AND($F153&lt;&gt;"",NOT(ISNUMBER($F153))),AND($G153&lt;&gt;"",NOT(ISNUMBER($G153)))),"Fecha no válida"&amp;" · ","")&amp;IF(AND(ISNUMBER($AM153),ISNUMBER($AN153),$AM153&gt;$AN153),"Inicio posterior a fecha límite"&amp;" · ","")&amp;IF(AND($V153="Macro",$H153&lt;&gt;"",OR(NOT(ISNUMBER($H153)),$H153&lt;0,$H153&gt;1)),"Peso fuera de rango"&amp;" · ","")&amp;IF(AND($V153="Sub",$H153&lt;&gt;""),"Las subactividades no llevan peso (valen igual dentro de su macroactividad)"&amp;" · ","")&amp;IF(AND(N($W153)&gt;0,COUNT($I153:$L153)&gt;0),"Con subactividades: deje vacías las semanas (se calculan solas)"&amp;" · ","")&amp;IF((COUNTIF($I153:$L153,"&gt;1")+COUNTIF($I153:$L153,"&lt;0")+COUNTA($I153:$L153)-COUNT($I153:$L153))&gt;0,"Avance fuera de rango 0-100%"&amp;" · ","")&amp;IF(OR(AND($J153&lt;&gt;"",$J153&lt;$I153),AND($K153&lt;&gt;"",$K153&lt;MAX($I153:$J153)),AND($L153&lt;&gt;"",$L153&lt;MAX($I153:$K153))),"Avance semanal decreciente"&amp;" · ","")&amp;IF(AND(ISNUMBER($AN153),$AN153&lt;FechaRef,IF($V153="Sub",N($X153),N($M153))&lt;1),"Vencida"&amp;" · ","")&amp;IF(AND(ObsObligatoria="Sí",ISNUMBER($AN153),$AN153&lt;FechaRef,IF($V153="Sub",N($X153),N($M153))&lt;1,$Q153=""),"Vencida sin observación"&amp;" · ",""))="","✔ OK","⚠ "&amp;LEFT(IF($C153="","Falta el nombre de la actividad"&amp;" · ","")&amp;IF(AND($V153="Sub",N($U153)=0),"Subactividad sin macroactividad arriba"&amp;" · ","")&amp;IF($AM153="","Sin fecha de inicio"&amp;" · ","")&amp;IF($AN153="","Sin fecha límite"&amp;" · ","")&amp;IF(AND(LEFT($C153,11)="[Jefatura] ",N($AL153)=0),"No se encuentra en la hoja de la jefatura (elíjala de nuevo en la lista)"&amp;" · ","")&amp;IF(OR(AND($E153&lt;&gt;"",NOT(ISNUMBER($E153))),AND($F153&lt;&gt;"",NOT(ISNUMBER($F153))),AND($G153&lt;&gt;"",NOT(ISNUMBER($G153)))),"Fecha no válida"&amp;" · ","")&amp;IF(AND(ISNUMBER($AM153),ISNUMBER($AN153),$AM153&gt;$AN153),"Inicio posterior a fecha límite"&amp;" · ","")&amp;IF(AND($V153="Macro",$H153&lt;&gt;"",OR(NOT(ISNUMBER($H153)),$H153&lt;0,$H153&gt;1)),"Peso fuera de rango"&amp;" · ","")&amp;IF(AND($V153="Sub",$H153&lt;&gt;""),"Las subactividades no llevan peso (valen igual dentro de su macroactividad)"&amp;" · ","")&amp;IF(AND(N($W153)&gt;0,COUNT($I153:$L153)&gt;0),"Con subactividades: deje vacías las semanas (se calculan solas)"&amp;" · ","")&amp;IF((COUNTIF($I153:$L153,"&gt;1")+COUNTIF($I153:$L153,"&lt;0")+COUNTA($I153:$L153)-COUNT($I153:$L153))&gt;0,"Avance fuera de rango 0-100%"&amp;" · ","")&amp;IF(OR(AND($J153&lt;&gt;"",$J153&lt;$I153),AND($K153&lt;&gt;"",$K153&lt;MAX($I153:$J153)),AND($L153&lt;&gt;"",$L153&lt;MAX($I153:$K153))),"Avance semanal decreciente"&amp;" · ","")&amp;IF(AND(ISNUMBER($AN153),$AN153&lt;FechaRef,IF($V153="Sub",N($X153),N($M153))&lt;1),"Vencida"&amp;" · ","")&amp;IF(AND(ObsObligatoria="Sí",ISNUMBER($AN153),$AN153&lt;FechaRef,IF($V153="Sub",N($X153),N($M153))&lt;1,$Q153=""),"Vencida sin observación"&amp;" · ",""),LEN(IF($C153="","Falta el nombre de la actividad"&amp;" · ","")&amp;IF(AND($V153="Sub",N($U153)=0),"Subactividad sin macroactividad arriba"&amp;" · ","")&amp;IF($AM153="","Sin fecha de inicio"&amp;" · ","")&amp;IF($AN153="","Sin fecha límite"&amp;" · ","")&amp;IF(AND(LEFT($C153,11)="[Jefatura] ",N($AL153)=0),"No se encuentra en la hoja de la jefatura (elíjala de nuevo en la lista)"&amp;" · ","")&amp;IF(OR(AND($E153&lt;&gt;"",NOT(ISNUMBER($E153))),AND($F153&lt;&gt;"",NOT(ISNUMBER($F153))),AND($G153&lt;&gt;"",NOT(ISNUMBER($G153)))),"Fecha no válida"&amp;" · ","")&amp;IF(AND(ISNUMBER($AM153),ISNUMBER($AN153),$AM153&gt;$AN153),"Inicio posterior a fecha límite"&amp;" · ","")&amp;IF(AND($V153="Macro",$H153&lt;&gt;"",OR(NOT(ISNUMBER($H153)),$H153&lt;0,$H153&gt;1)),"Peso fuera de rango"&amp;" · ","")&amp;IF(AND($V153="Sub",$H153&lt;&gt;""),"Las subactividades no llevan peso (valen igual dentro de su macroactividad)"&amp;" · ","")&amp;IF(AND(N($W153)&gt;0,COUNT($I153:$L153)&gt;0),"Con subactividades: deje vacías las semanas (se calculan solas)"&amp;" · ","")&amp;IF((COUNTIF($I153:$L153,"&gt;1")+COUNTIF($I153:$L153,"&lt;0")+COUNTA($I153:$L153)-COUNT($I153:$L153))&gt;0,"Avance fuera de rango 0-100%"&amp;" · ","")&amp;IF(OR(AND($J153&lt;&gt;"",$J153&lt;$I153),AND($K153&lt;&gt;"",$K153&lt;MAX($I153:$J153)),AND($L153&lt;&gt;"",$L153&lt;MAX($I153:$K153))),"Avance semanal decreciente"&amp;" · ","")&amp;IF(AND(ISNUMBER($AN153),$AN153&lt;FechaRef,IF($V153="Sub",N($X153),N($M153))&lt;1),"Vencida"&amp;" · ","")&amp;IF(AND(ObsObligatoria="Sí",ISNUMBER($AN153),$AN153&lt;FechaRef,IF($V153="Sub",N($X153),N($M153))&lt;1,$Q153=""),"Vencida sin observación"&amp;" · ",""))-3)))</f>
        <v/>
      </c>
      <c r="S153" s="64">
        <f>IF(NOT((COUNTA($B153:$D153)+COUNTA($G153:$L153)+COUNTA($Q153))&gt;0),"",IF(AND($V153="Sub",N($U153)&gt;0),IF(ISNUMBER(INDEX($AM$5:$AM$1000,$U153-4)),DATE(YEAR(INDEX($AM$5:$AM$1000,$U153-4)),MONTH(INDEX($AM$5:$AM$1000,$U153-4)),1),IF(ISNUMBER(INDEX($AN$5:$AN$1000,$U153-4)),DATE(YEAR(INDEX($AN$5:$AN$1000,$U153-4)),MONTH(INDEX($AN$5:$AN$1000,$U153-4)),1),MesCiclo)),IF(ISNUMBER($AM153),DATE(YEAR($AM153),MONTH($AM153),1),IF(ISNUMBER($AN153),DATE(YEAR($AN153),MONTH($AN153),1),MesCiclo))))</f>
        <v/>
      </c>
      <c r="T153" s="62">
        <f>IF(OR($S153="",$S153&lt;&gt;MesCiclo,$V153&lt;&gt;"Macro"),"",COUNTIFS($S$5:$S153,MesCiclo,$V$5:$V153,"Macro"))</f>
        <v/>
      </c>
      <c r="U153" s="62">
        <f>IF($V153="","",IF($V153="Macro",ROW(),IFERROR(LOOKUP(2,1/($V$5:$V153="Macro"),ROW($V$5:$V153)),0)))</f>
        <v/>
      </c>
      <c r="V153" s="62">
        <f>IF(NOT((COUNTA($B153:$D153)+COUNTA($G153:$L153)+COUNTA($Q153))&gt;0),"",IF($B153="Subactividad","Sub","Macro"))</f>
        <v/>
      </c>
      <c r="W153" s="62">
        <f>IF($V153="Macro",COUNTIFS($U$5:$U$1000,ROW(),$V$5:$V$1000,"Sub"),"")</f>
        <v/>
      </c>
      <c r="X153" s="62">
        <f>IF($V153="","",IF(ISNUMBER($G153),1,IFERROR(LOOKUP(2,1/($I153:$L153&lt;&gt;""),$I153:$L153),0)))</f>
        <v/>
      </c>
      <c r="Y153" s="62">
        <f>IF($V153="","",IF(AND(ISNUMBER($G153),$G153&lt;=IF($S153=MesCiclo,InicioCiclo,$S153+MOD(2-WEEKDAY($S153),7))+6),1,IF(ISNUMBER($I153),$I153,0)))</f>
        <v/>
      </c>
      <c r="Z153" s="62">
        <f>IF($V153="","",IF(AND(ISNUMBER($G153),$G153&lt;=IF($S153=MesCiclo,InicioCiclo,$S153+MOD(2-WEEKDAY($S153),7))+13),1,IF(ISNUMBER($J153),$J153,$Y153)))</f>
        <v/>
      </c>
      <c r="AA153" s="62">
        <f>IF($V153="","",IF(AND(ISNUMBER($G153),$G153&lt;=IF($S153=MesCiclo,InicioCiclo,$S153+MOD(2-WEEKDAY($S153),7))+20),1,IF(ISNUMBER($K153),$K153,$Z153)))</f>
        <v/>
      </c>
      <c r="AB153" s="62">
        <f>IF($V153="","",IF(AND(ISNUMBER($G153),$G153&lt;=IF($S153=MesCiclo,InicioCiclo,$S153+MOD(2-WEEKDAY($S153),7))+27),1,IF(ISNUMBER($L153),$L153,$AA153)))</f>
        <v/>
      </c>
      <c r="AC153" s="62">
        <f>IF($V153="","",IF(AND(ISNUMBER($G153),$G153&lt;=IF($S153=MesCiclo,InicioCiclo,$S153+MOD(2-WEEKDAY($S153),7))+6),1,IF(N($W153)&gt;0,AVERAGEIFS($Y$5:$Y$1000,$U$5:$U$1000,ROW(),$V$5:$V$1000,"Sub"),$Y153)))</f>
        <v/>
      </c>
      <c r="AD153" s="62">
        <f>IF($V153="","",IF(AND(ISNUMBER($G153),$G153&lt;=IF($S153=MesCiclo,InicioCiclo,$S153+MOD(2-WEEKDAY($S153),7))+13),1,IF(N($W153)&gt;0,AVERAGEIFS($Z$5:$Z$1000,$U$5:$U$1000,ROW(),$V$5:$V$1000,"Sub"),$Z153)))</f>
        <v/>
      </c>
      <c r="AE153" s="62">
        <f>IF($V153="","",IF(AND(ISNUMBER($G153),$G153&lt;=IF($S153=MesCiclo,InicioCiclo,$S153+MOD(2-WEEKDAY($S153),7))+20),1,IF(N($W153)&gt;0,AVERAGEIFS($AA$5:$AA$1000,$U$5:$U$1000,ROW(),$V$5:$V$1000,"Sub"),$AA153)))</f>
        <v/>
      </c>
      <c r="AF153" s="62">
        <f>IF($V153="","",IF(AND(ISNUMBER($G153),$G153&lt;=IF($S153=MesCiclo,InicioCiclo,$S153+MOD(2-WEEKDAY($S153),7))+27),1,IF(N($W153)&gt;0,AVERAGEIFS($AB$5:$AB$1000,$U$5:$U$1000,ROW(),$V$5:$V$1000,"Sub"),$AB153)))</f>
        <v/>
      </c>
      <c r="AG153" s="62">
        <f>IF($V153&lt;&gt;"Macro","",IF(COUNTIFS($S$5:$S$1000,$S153,$V$5:$V$1000,"Macro",$H$5:$H$1000,"&gt;0")=0,1/COUNTIFS($S$5:$S$1000,$S153,$V$5:$V$1000,"Macro"),IF(AND(ISNUMBER($H153),N($H153)&gt;0),$H153,SUMIFS($H$5:$H$1000,$S$5:$S$1000,$S153,$V$5:$V$1000,"Macro")/COUNTIFS($S$5:$S$1000,$S153,$V$5:$V$1000,"Macro",$H$5:$H$1000,"&gt;0"))/(COUNTIFS($S$5:$S$1000,$S153,$V$5:$V$1000,"Macro")*SUMIFS($H$5:$H$1000,$S$5:$S$1000,$S153,$V$5:$V$1000,"Macro")/COUNTIFS($S$5:$S$1000,$S153,$V$5:$V$1000,"Macro",$H$5:$H$1000,"&gt;0"))))</f>
        <v/>
      </c>
      <c r="AH153" s="62" t="n"/>
      <c r="AI153" s="62" t="n"/>
      <c r="AJ153" s="62" t="n"/>
      <c r="AK153" s="62" t="n"/>
      <c r="AL153" s="62">
        <f>IF(LEFT($C153,11)="[Jefatura] ",IFERROR(MATCH("Riesgo Normativo|"&amp;MID($C153,12,500),rDname_ADM,0),0),"")</f>
        <v/>
      </c>
      <c r="AM153" s="62">
        <f>IF(N($AL153)&gt;0,INDEX(rIni_ADM,$AL153),IF(ISNUMBER($E153),$E153,""))</f>
        <v/>
      </c>
      <c r="AN153" s="62">
        <f>IF(N($AL153)&gt;0,INDEX(rLim_ADM,$AL153),IF(ISNUMBER($F153),$F153,""))</f>
        <v/>
      </c>
    </row>
    <row r="154">
      <c r="A154" s="56">
        <f>IF(NOT((COUNTA($B154:$D154)+COUNTA($G154:$L154)+COUNTA($Q154))&gt;0),"",IF($V154="Macro",COUNTIFS($V$5:$V154,"Macro",$S$5:$S154,$S154),IF(N($U154)=0,"?",COUNTIFS(INDEX($V$5:$V$1000,1):INDEX($V$5:$V$1000,$U154-4),"Macro",INDEX($S$5:$S$1000,1):INDEX($S$5:$S$1000,$U154-4),INDEX($S$5:$S$1000,$U154-4))&amp;"."&amp;COUNTIFS($U$5:$U154,$U154,$V$5:$V154,"Sub"))))</f>
        <v/>
      </c>
      <c r="B154" s="57" t="n"/>
      <c r="C154" s="58" t="n"/>
      <c r="D154" s="58" t="n"/>
      <c r="E154" s="59">
        <f>IF(N($AL154)&gt;0,INDEX(rIni_ADM,$AL154),"")</f>
        <v/>
      </c>
      <c r="F154" s="59">
        <f>IF(N($AL154)&gt;0,INDEX(rLim_ADM,$AL154),"")</f>
        <v/>
      </c>
      <c r="G154" s="59" t="n"/>
      <c r="H154" s="60" t="n"/>
      <c r="I154" s="60" t="n"/>
      <c r="J154" s="60" t="n"/>
      <c r="K154" s="60" t="n"/>
      <c r="L154" s="60" t="n"/>
      <c r="M154" s="61">
        <f>IF(NOT((COUNTA($B154:$D154)+COUNTA($G154:$L154)+COUNTA($Q154))&gt;0),"",IF($V154="Sub",IFERROR($X154/INDEX($W$5:$W$1000,$U154-4),""),IF(ISNUMBER($G154),1,IF(N($W154)&gt;0,AVERAGEIFS($X$5:$X$1000,$U$5:$U$1000,ROW(),$V$5:$V$1000,"Sub"),$X154))))</f>
        <v/>
      </c>
      <c r="N154" s="56">
        <f>IF(OR($M154="",$V154="Sub"),"",IF($M154&gt;=1,"Completado",IF($M154&gt;0,"En curso","Pendiente")))</f>
        <v/>
      </c>
      <c r="O154" s="56">
        <f>IF(OR(NOT((COUNTA($B154:$D154)+COUNTA($G154:$L154)+COUNTA($Q154))&gt;0),$V154="Sub"),"",IF(ISNUMBER($G154),IF(AND(ISNUMBER($AN154),$G154&gt;$AN154),"Cumplida con "&amp;($G154-$AN154)&amp;IF($G154-$AN154=1," día"," días")&amp;" de retraso","Cumplida"),IF(N($M154)&gt;=1,"Cumplida",IF(NOT(ISNUMBER($AN154)),"Sin fecha límite",IF($AN154&lt;FechaRef,"Vencida hace "&amp;(FechaRef-$AN154)&amp;IF(FechaRef-$AN154=1," día"," días"),IF($AN154=FechaRef,"Vence hoy",IF($AN154-FechaRef&lt;=DiasAlerta,"Vence en "&amp;($AN154-FechaRef)&amp;IF($AN154-FechaRef=1," día"," días"),"En plazo")))))))</f>
        <v/>
      </c>
      <c r="P154" s="62" t="n"/>
      <c r="Q154" s="58" t="n"/>
      <c r="R154" s="63">
        <f>IF(NOT((COUNTA($B154:$D154)+COUNTA($G154:$L154)+COUNTA($Q154))&gt;0),"",IF((IF($C154="","Falta el nombre de la actividad"&amp;" · ","")&amp;IF(AND($V154="Sub",N($U154)=0),"Subactividad sin macroactividad arriba"&amp;" · ","")&amp;IF($AM154="","Sin fecha de inicio"&amp;" · ","")&amp;IF($AN154="","Sin fecha límite"&amp;" · ","")&amp;IF(AND(LEFT($C154,11)="[Jefatura] ",N($AL154)=0),"No se encuentra en la hoja de la jefatura (elíjala de nuevo en la lista)"&amp;" · ","")&amp;IF(OR(AND($E154&lt;&gt;"",NOT(ISNUMBER($E154))),AND($F154&lt;&gt;"",NOT(ISNUMBER($F154))),AND($G154&lt;&gt;"",NOT(ISNUMBER($G154)))),"Fecha no válida"&amp;" · ","")&amp;IF(AND(ISNUMBER($AM154),ISNUMBER($AN154),$AM154&gt;$AN154),"Inicio posterior a fecha límite"&amp;" · ","")&amp;IF(AND($V154="Macro",$H154&lt;&gt;"",OR(NOT(ISNUMBER($H154)),$H154&lt;0,$H154&gt;1)),"Peso fuera de rango"&amp;" · ","")&amp;IF(AND($V154="Sub",$H154&lt;&gt;""),"Las subactividades no llevan peso (valen igual dentro de su macroactividad)"&amp;" · ","")&amp;IF(AND(N($W154)&gt;0,COUNT($I154:$L154)&gt;0),"Con subactividades: deje vacías las semanas (se calculan solas)"&amp;" · ","")&amp;IF((COUNTIF($I154:$L154,"&gt;1")+COUNTIF($I154:$L154,"&lt;0")+COUNTA($I154:$L154)-COUNT($I154:$L154))&gt;0,"Avance fuera de rango 0-100%"&amp;" · ","")&amp;IF(OR(AND($J154&lt;&gt;"",$J154&lt;$I154),AND($K154&lt;&gt;"",$K154&lt;MAX($I154:$J154)),AND($L154&lt;&gt;"",$L154&lt;MAX($I154:$K154))),"Avance semanal decreciente"&amp;" · ","")&amp;IF(AND(ISNUMBER($AN154),$AN154&lt;FechaRef,IF($V154="Sub",N($X154),N($M154))&lt;1),"Vencida"&amp;" · ","")&amp;IF(AND(ObsObligatoria="Sí",ISNUMBER($AN154),$AN154&lt;FechaRef,IF($V154="Sub",N($X154),N($M154))&lt;1,$Q154=""),"Vencida sin observación"&amp;" · ",""))="","✔ OK","⚠ "&amp;LEFT(IF($C154="","Falta el nombre de la actividad"&amp;" · ","")&amp;IF(AND($V154="Sub",N($U154)=0),"Subactividad sin macroactividad arriba"&amp;" · ","")&amp;IF($AM154="","Sin fecha de inicio"&amp;" · ","")&amp;IF($AN154="","Sin fecha límite"&amp;" · ","")&amp;IF(AND(LEFT($C154,11)="[Jefatura] ",N($AL154)=0),"No se encuentra en la hoja de la jefatura (elíjala de nuevo en la lista)"&amp;" · ","")&amp;IF(OR(AND($E154&lt;&gt;"",NOT(ISNUMBER($E154))),AND($F154&lt;&gt;"",NOT(ISNUMBER($F154))),AND($G154&lt;&gt;"",NOT(ISNUMBER($G154)))),"Fecha no válida"&amp;" · ","")&amp;IF(AND(ISNUMBER($AM154),ISNUMBER($AN154),$AM154&gt;$AN154),"Inicio posterior a fecha límite"&amp;" · ","")&amp;IF(AND($V154="Macro",$H154&lt;&gt;"",OR(NOT(ISNUMBER($H154)),$H154&lt;0,$H154&gt;1)),"Peso fuera de rango"&amp;" · ","")&amp;IF(AND($V154="Sub",$H154&lt;&gt;""),"Las subactividades no llevan peso (valen igual dentro de su macroactividad)"&amp;" · ","")&amp;IF(AND(N($W154)&gt;0,COUNT($I154:$L154)&gt;0),"Con subactividades: deje vacías las semanas (se calculan solas)"&amp;" · ","")&amp;IF((COUNTIF($I154:$L154,"&gt;1")+COUNTIF($I154:$L154,"&lt;0")+COUNTA($I154:$L154)-COUNT($I154:$L154))&gt;0,"Avance fuera de rango 0-100%"&amp;" · ","")&amp;IF(OR(AND($J154&lt;&gt;"",$J154&lt;$I154),AND($K154&lt;&gt;"",$K154&lt;MAX($I154:$J154)),AND($L154&lt;&gt;"",$L154&lt;MAX($I154:$K154))),"Avance semanal decreciente"&amp;" · ","")&amp;IF(AND(ISNUMBER($AN154),$AN154&lt;FechaRef,IF($V154="Sub",N($X154),N($M154))&lt;1),"Vencida"&amp;" · ","")&amp;IF(AND(ObsObligatoria="Sí",ISNUMBER($AN154),$AN154&lt;FechaRef,IF($V154="Sub",N($X154),N($M154))&lt;1,$Q154=""),"Vencida sin observación"&amp;" · ",""),LEN(IF($C154="","Falta el nombre de la actividad"&amp;" · ","")&amp;IF(AND($V154="Sub",N($U154)=0),"Subactividad sin macroactividad arriba"&amp;" · ","")&amp;IF($AM154="","Sin fecha de inicio"&amp;" · ","")&amp;IF($AN154="","Sin fecha límite"&amp;" · ","")&amp;IF(AND(LEFT($C154,11)="[Jefatura] ",N($AL154)=0),"No se encuentra en la hoja de la jefatura (elíjala de nuevo en la lista)"&amp;" · ","")&amp;IF(OR(AND($E154&lt;&gt;"",NOT(ISNUMBER($E154))),AND($F154&lt;&gt;"",NOT(ISNUMBER($F154))),AND($G154&lt;&gt;"",NOT(ISNUMBER($G154)))),"Fecha no válida"&amp;" · ","")&amp;IF(AND(ISNUMBER($AM154),ISNUMBER($AN154),$AM154&gt;$AN154),"Inicio posterior a fecha límite"&amp;" · ","")&amp;IF(AND($V154="Macro",$H154&lt;&gt;"",OR(NOT(ISNUMBER($H154)),$H154&lt;0,$H154&gt;1)),"Peso fuera de rango"&amp;" · ","")&amp;IF(AND($V154="Sub",$H154&lt;&gt;""),"Las subactividades no llevan peso (valen igual dentro de su macroactividad)"&amp;" · ","")&amp;IF(AND(N($W154)&gt;0,COUNT($I154:$L154)&gt;0),"Con subactividades: deje vacías las semanas (se calculan solas)"&amp;" · ","")&amp;IF((COUNTIF($I154:$L154,"&gt;1")+COUNTIF($I154:$L154,"&lt;0")+COUNTA($I154:$L154)-COUNT($I154:$L154))&gt;0,"Avance fuera de rango 0-100%"&amp;" · ","")&amp;IF(OR(AND($J154&lt;&gt;"",$J154&lt;$I154),AND($K154&lt;&gt;"",$K154&lt;MAX($I154:$J154)),AND($L154&lt;&gt;"",$L154&lt;MAX($I154:$K154))),"Avance semanal decreciente"&amp;" · ","")&amp;IF(AND(ISNUMBER($AN154),$AN154&lt;FechaRef,IF($V154="Sub",N($X154),N($M154))&lt;1),"Vencida"&amp;" · ","")&amp;IF(AND(ObsObligatoria="Sí",ISNUMBER($AN154),$AN154&lt;FechaRef,IF($V154="Sub",N($X154),N($M154))&lt;1,$Q154=""),"Vencida sin observación"&amp;" · ",""))-3)))</f>
        <v/>
      </c>
      <c r="S154" s="64">
        <f>IF(NOT((COUNTA($B154:$D154)+COUNTA($G154:$L154)+COUNTA($Q154))&gt;0),"",IF(AND($V154="Sub",N($U154)&gt;0),IF(ISNUMBER(INDEX($AM$5:$AM$1000,$U154-4)),DATE(YEAR(INDEX($AM$5:$AM$1000,$U154-4)),MONTH(INDEX($AM$5:$AM$1000,$U154-4)),1),IF(ISNUMBER(INDEX($AN$5:$AN$1000,$U154-4)),DATE(YEAR(INDEX($AN$5:$AN$1000,$U154-4)),MONTH(INDEX($AN$5:$AN$1000,$U154-4)),1),MesCiclo)),IF(ISNUMBER($AM154),DATE(YEAR($AM154),MONTH($AM154),1),IF(ISNUMBER($AN154),DATE(YEAR($AN154),MONTH($AN154),1),MesCiclo))))</f>
        <v/>
      </c>
      <c r="T154" s="62">
        <f>IF(OR($S154="",$S154&lt;&gt;MesCiclo,$V154&lt;&gt;"Macro"),"",COUNTIFS($S$5:$S154,MesCiclo,$V$5:$V154,"Macro"))</f>
        <v/>
      </c>
      <c r="U154" s="62">
        <f>IF($V154="","",IF($V154="Macro",ROW(),IFERROR(LOOKUP(2,1/($V$5:$V154="Macro"),ROW($V$5:$V154)),0)))</f>
        <v/>
      </c>
      <c r="V154" s="62">
        <f>IF(NOT((COUNTA($B154:$D154)+COUNTA($G154:$L154)+COUNTA($Q154))&gt;0),"",IF($B154="Subactividad","Sub","Macro"))</f>
        <v/>
      </c>
      <c r="W154" s="62">
        <f>IF($V154="Macro",COUNTIFS($U$5:$U$1000,ROW(),$V$5:$V$1000,"Sub"),"")</f>
        <v/>
      </c>
      <c r="X154" s="62">
        <f>IF($V154="","",IF(ISNUMBER($G154),1,IFERROR(LOOKUP(2,1/($I154:$L154&lt;&gt;""),$I154:$L154),0)))</f>
        <v/>
      </c>
      <c r="Y154" s="62">
        <f>IF($V154="","",IF(AND(ISNUMBER($G154),$G154&lt;=IF($S154=MesCiclo,InicioCiclo,$S154+MOD(2-WEEKDAY($S154),7))+6),1,IF(ISNUMBER($I154),$I154,0)))</f>
        <v/>
      </c>
      <c r="Z154" s="62">
        <f>IF($V154="","",IF(AND(ISNUMBER($G154),$G154&lt;=IF($S154=MesCiclo,InicioCiclo,$S154+MOD(2-WEEKDAY($S154),7))+13),1,IF(ISNUMBER($J154),$J154,$Y154)))</f>
        <v/>
      </c>
      <c r="AA154" s="62">
        <f>IF($V154="","",IF(AND(ISNUMBER($G154),$G154&lt;=IF($S154=MesCiclo,InicioCiclo,$S154+MOD(2-WEEKDAY($S154),7))+20),1,IF(ISNUMBER($K154),$K154,$Z154)))</f>
        <v/>
      </c>
      <c r="AB154" s="62">
        <f>IF($V154="","",IF(AND(ISNUMBER($G154),$G154&lt;=IF($S154=MesCiclo,InicioCiclo,$S154+MOD(2-WEEKDAY($S154),7))+27),1,IF(ISNUMBER($L154),$L154,$AA154)))</f>
        <v/>
      </c>
      <c r="AC154" s="62">
        <f>IF($V154="","",IF(AND(ISNUMBER($G154),$G154&lt;=IF($S154=MesCiclo,InicioCiclo,$S154+MOD(2-WEEKDAY($S154),7))+6),1,IF(N($W154)&gt;0,AVERAGEIFS($Y$5:$Y$1000,$U$5:$U$1000,ROW(),$V$5:$V$1000,"Sub"),$Y154)))</f>
        <v/>
      </c>
      <c r="AD154" s="62">
        <f>IF($V154="","",IF(AND(ISNUMBER($G154),$G154&lt;=IF($S154=MesCiclo,InicioCiclo,$S154+MOD(2-WEEKDAY($S154),7))+13),1,IF(N($W154)&gt;0,AVERAGEIFS($Z$5:$Z$1000,$U$5:$U$1000,ROW(),$V$5:$V$1000,"Sub"),$Z154)))</f>
        <v/>
      </c>
      <c r="AE154" s="62">
        <f>IF($V154="","",IF(AND(ISNUMBER($G154),$G154&lt;=IF($S154=MesCiclo,InicioCiclo,$S154+MOD(2-WEEKDAY($S154),7))+20),1,IF(N($W154)&gt;0,AVERAGEIFS($AA$5:$AA$1000,$U$5:$U$1000,ROW(),$V$5:$V$1000,"Sub"),$AA154)))</f>
        <v/>
      </c>
      <c r="AF154" s="62">
        <f>IF($V154="","",IF(AND(ISNUMBER($G154),$G154&lt;=IF($S154=MesCiclo,InicioCiclo,$S154+MOD(2-WEEKDAY($S154),7))+27),1,IF(N($W154)&gt;0,AVERAGEIFS($AB$5:$AB$1000,$U$5:$U$1000,ROW(),$V$5:$V$1000,"Sub"),$AB154)))</f>
        <v/>
      </c>
      <c r="AG154" s="62">
        <f>IF($V154&lt;&gt;"Macro","",IF(COUNTIFS($S$5:$S$1000,$S154,$V$5:$V$1000,"Macro",$H$5:$H$1000,"&gt;0")=0,1/COUNTIFS($S$5:$S$1000,$S154,$V$5:$V$1000,"Macro"),IF(AND(ISNUMBER($H154),N($H154)&gt;0),$H154,SUMIFS($H$5:$H$1000,$S$5:$S$1000,$S154,$V$5:$V$1000,"Macro")/COUNTIFS($S$5:$S$1000,$S154,$V$5:$V$1000,"Macro",$H$5:$H$1000,"&gt;0"))/(COUNTIFS($S$5:$S$1000,$S154,$V$5:$V$1000,"Macro")*SUMIFS($H$5:$H$1000,$S$5:$S$1000,$S154,$V$5:$V$1000,"Macro")/COUNTIFS($S$5:$S$1000,$S154,$V$5:$V$1000,"Macro",$H$5:$H$1000,"&gt;0"))))</f>
        <v/>
      </c>
      <c r="AH154" s="62" t="n"/>
      <c r="AI154" s="62" t="n"/>
      <c r="AJ154" s="62" t="n"/>
      <c r="AK154" s="62" t="n"/>
      <c r="AL154" s="62">
        <f>IF(LEFT($C154,11)="[Jefatura] ",IFERROR(MATCH("Riesgo Normativo|"&amp;MID($C154,12,500),rDname_ADM,0),0),"")</f>
        <v/>
      </c>
      <c r="AM154" s="62">
        <f>IF(N($AL154)&gt;0,INDEX(rIni_ADM,$AL154),IF(ISNUMBER($E154),$E154,""))</f>
        <v/>
      </c>
      <c r="AN154" s="62">
        <f>IF(N($AL154)&gt;0,INDEX(rLim_ADM,$AL154),IF(ISNUMBER($F154),$F154,""))</f>
        <v/>
      </c>
    </row>
    <row r="155">
      <c r="A155" s="56">
        <f>IF(NOT((COUNTA($B155:$D155)+COUNTA($G155:$L155)+COUNTA($Q155))&gt;0),"",IF($V155="Macro",COUNTIFS($V$5:$V155,"Macro",$S$5:$S155,$S155),IF(N($U155)=0,"?",COUNTIFS(INDEX($V$5:$V$1000,1):INDEX($V$5:$V$1000,$U155-4),"Macro",INDEX($S$5:$S$1000,1):INDEX($S$5:$S$1000,$U155-4),INDEX($S$5:$S$1000,$U155-4))&amp;"."&amp;COUNTIFS($U$5:$U155,$U155,$V$5:$V155,"Sub"))))</f>
        <v/>
      </c>
      <c r="B155" s="57" t="n"/>
      <c r="C155" s="58" t="n"/>
      <c r="D155" s="58" t="n"/>
      <c r="E155" s="59">
        <f>IF(N($AL155)&gt;0,INDEX(rIni_ADM,$AL155),"")</f>
        <v/>
      </c>
      <c r="F155" s="59">
        <f>IF(N($AL155)&gt;0,INDEX(rLim_ADM,$AL155),"")</f>
        <v/>
      </c>
      <c r="G155" s="59" t="n"/>
      <c r="H155" s="60" t="n"/>
      <c r="I155" s="60" t="n"/>
      <c r="J155" s="60" t="n"/>
      <c r="K155" s="60" t="n"/>
      <c r="L155" s="60" t="n"/>
      <c r="M155" s="61">
        <f>IF(NOT((COUNTA($B155:$D155)+COUNTA($G155:$L155)+COUNTA($Q155))&gt;0),"",IF($V155="Sub",IFERROR($X155/INDEX($W$5:$W$1000,$U155-4),""),IF(ISNUMBER($G155),1,IF(N($W155)&gt;0,AVERAGEIFS($X$5:$X$1000,$U$5:$U$1000,ROW(),$V$5:$V$1000,"Sub"),$X155))))</f>
        <v/>
      </c>
      <c r="N155" s="56">
        <f>IF(OR($M155="",$V155="Sub"),"",IF($M155&gt;=1,"Completado",IF($M155&gt;0,"En curso","Pendiente")))</f>
        <v/>
      </c>
      <c r="O155" s="56">
        <f>IF(OR(NOT((COUNTA($B155:$D155)+COUNTA($G155:$L155)+COUNTA($Q155))&gt;0),$V155="Sub"),"",IF(ISNUMBER($G155),IF(AND(ISNUMBER($AN155),$G155&gt;$AN155),"Cumplida con "&amp;($G155-$AN155)&amp;IF($G155-$AN155=1," día"," días")&amp;" de retraso","Cumplida"),IF(N($M155)&gt;=1,"Cumplida",IF(NOT(ISNUMBER($AN155)),"Sin fecha límite",IF($AN155&lt;FechaRef,"Vencida hace "&amp;(FechaRef-$AN155)&amp;IF(FechaRef-$AN155=1," día"," días"),IF($AN155=FechaRef,"Vence hoy",IF($AN155-FechaRef&lt;=DiasAlerta,"Vence en "&amp;($AN155-FechaRef)&amp;IF($AN155-FechaRef=1," día"," días"),"En plazo")))))))</f>
        <v/>
      </c>
      <c r="P155" s="62" t="n"/>
      <c r="Q155" s="58" t="n"/>
      <c r="R155" s="63">
        <f>IF(NOT((COUNTA($B155:$D155)+COUNTA($G155:$L155)+COUNTA($Q155))&gt;0),"",IF((IF($C155="","Falta el nombre de la actividad"&amp;" · ","")&amp;IF(AND($V155="Sub",N($U155)=0),"Subactividad sin macroactividad arriba"&amp;" · ","")&amp;IF($AM155="","Sin fecha de inicio"&amp;" · ","")&amp;IF($AN155="","Sin fecha límite"&amp;" · ","")&amp;IF(AND(LEFT($C155,11)="[Jefatura] ",N($AL155)=0),"No se encuentra en la hoja de la jefatura (elíjala de nuevo en la lista)"&amp;" · ","")&amp;IF(OR(AND($E155&lt;&gt;"",NOT(ISNUMBER($E155))),AND($F155&lt;&gt;"",NOT(ISNUMBER($F155))),AND($G155&lt;&gt;"",NOT(ISNUMBER($G155)))),"Fecha no válida"&amp;" · ","")&amp;IF(AND(ISNUMBER($AM155),ISNUMBER($AN155),$AM155&gt;$AN155),"Inicio posterior a fecha límite"&amp;" · ","")&amp;IF(AND($V155="Macro",$H155&lt;&gt;"",OR(NOT(ISNUMBER($H155)),$H155&lt;0,$H155&gt;1)),"Peso fuera de rango"&amp;" · ","")&amp;IF(AND($V155="Sub",$H155&lt;&gt;""),"Las subactividades no llevan peso (valen igual dentro de su macroactividad)"&amp;" · ","")&amp;IF(AND(N($W155)&gt;0,COUNT($I155:$L155)&gt;0),"Con subactividades: deje vacías las semanas (se calculan solas)"&amp;" · ","")&amp;IF((COUNTIF($I155:$L155,"&gt;1")+COUNTIF($I155:$L155,"&lt;0")+COUNTA($I155:$L155)-COUNT($I155:$L155))&gt;0,"Avance fuera de rango 0-100%"&amp;" · ","")&amp;IF(OR(AND($J155&lt;&gt;"",$J155&lt;$I155),AND($K155&lt;&gt;"",$K155&lt;MAX($I155:$J155)),AND($L155&lt;&gt;"",$L155&lt;MAX($I155:$K155))),"Avance semanal decreciente"&amp;" · ","")&amp;IF(AND(ISNUMBER($AN155),$AN155&lt;FechaRef,IF($V155="Sub",N($X155),N($M155))&lt;1),"Vencida"&amp;" · ","")&amp;IF(AND(ObsObligatoria="Sí",ISNUMBER($AN155),$AN155&lt;FechaRef,IF($V155="Sub",N($X155),N($M155))&lt;1,$Q155=""),"Vencida sin observación"&amp;" · ",""))="","✔ OK","⚠ "&amp;LEFT(IF($C155="","Falta el nombre de la actividad"&amp;" · ","")&amp;IF(AND($V155="Sub",N($U155)=0),"Subactividad sin macroactividad arriba"&amp;" · ","")&amp;IF($AM155="","Sin fecha de inicio"&amp;" · ","")&amp;IF($AN155="","Sin fecha límite"&amp;" · ","")&amp;IF(AND(LEFT($C155,11)="[Jefatura] ",N($AL155)=0),"No se encuentra en la hoja de la jefatura (elíjala de nuevo en la lista)"&amp;" · ","")&amp;IF(OR(AND($E155&lt;&gt;"",NOT(ISNUMBER($E155))),AND($F155&lt;&gt;"",NOT(ISNUMBER($F155))),AND($G155&lt;&gt;"",NOT(ISNUMBER($G155)))),"Fecha no válida"&amp;" · ","")&amp;IF(AND(ISNUMBER($AM155),ISNUMBER($AN155),$AM155&gt;$AN155),"Inicio posterior a fecha límite"&amp;" · ","")&amp;IF(AND($V155="Macro",$H155&lt;&gt;"",OR(NOT(ISNUMBER($H155)),$H155&lt;0,$H155&gt;1)),"Peso fuera de rango"&amp;" · ","")&amp;IF(AND($V155="Sub",$H155&lt;&gt;""),"Las subactividades no llevan peso (valen igual dentro de su macroactividad)"&amp;" · ","")&amp;IF(AND(N($W155)&gt;0,COUNT($I155:$L155)&gt;0),"Con subactividades: deje vacías las semanas (se calculan solas)"&amp;" · ","")&amp;IF((COUNTIF($I155:$L155,"&gt;1")+COUNTIF($I155:$L155,"&lt;0")+COUNTA($I155:$L155)-COUNT($I155:$L155))&gt;0,"Avance fuera de rango 0-100%"&amp;" · ","")&amp;IF(OR(AND($J155&lt;&gt;"",$J155&lt;$I155),AND($K155&lt;&gt;"",$K155&lt;MAX($I155:$J155)),AND($L155&lt;&gt;"",$L155&lt;MAX($I155:$K155))),"Avance semanal decreciente"&amp;" · ","")&amp;IF(AND(ISNUMBER($AN155),$AN155&lt;FechaRef,IF($V155="Sub",N($X155),N($M155))&lt;1),"Vencida"&amp;" · ","")&amp;IF(AND(ObsObligatoria="Sí",ISNUMBER($AN155),$AN155&lt;FechaRef,IF($V155="Sub",N($X155),N($M155))&lt;1,$Q155=""),"Vencida sin observación"&amp;" · ",""),LEN(IF($C155="","Falta el nombre de la actividad"&amp;" · ","")&amp;IF(AND($V155="Sub",N($U155)=0),"Subactividad sin macroactividad arriba"&amp;" · ","")&amp;IF($AM155="","Sin fecha de inicio"&amp;" · ","")&amp;IF($AN155="","Sin fecha límite"&amp;" · ","")&amp;IF(AND(LEFT($C155,11)="[Jefatura] ",N($AL155)=0),"No se encuentra en la hoja de la jefatura (elíjala de nuevo en la lista)"&amp;" · ","")&amp;IF(OR(AND($E155&lt;&gt;"",NOT(ISNUMBER($E155))),AND($F155&lt;&gt;"",NOT(ISNUMBER($F155))),AND($G155&lt;&gt;"",NOT(ISNUMBER($G155)))),"Fecha no válida"&amp;" · ","")&amp;IF(AND(ISNUMBER($AM155),ISNUMBER($AN155),$AM155&gt;$AN155),"Inicio posterior a fecha límite"&amp;" · ","")&amp;IF(AND($V155="Macro",$H155&lt;&gt;"",OR(NOT(ISNUMBER($H155)),$H155&lt;0,$H155&gt;1)),"Peso fuera de rango"&amp;" · ","")&amp;IF(AND($V155="Sub",$H155&lt;&gt;""),"Las subactividades no llevan peso (valen igual dentro de su macroactividad)"&amp;" · ","")&amp;IF(AND(N($W155)&gt;0,COUNT($I155:$L155)&gt;0),"Con subactividades: deje vacías las semanas (se calculan solas)"&amp;" · ","")&amp;IF((COUNTIF($I155:$L155,"&gt;1")+COUNTIF($I155:$L155,"&lt;0")+COUNTA($I155:$L155)-COUNT($I155:$L155))&gt;0,"Avance fuera de rango 0-100%"&amp;" · ","")&amp;IF(OR(AND($J155&lt;&gt;"",$J155&lt;$I155),AND($K155&lt;&gt;"",$K155&lt;MAX($I155:$J155)),AND($L155&lt;&gt;"",$L155&lt;MAX($I155:$K155))),"Avance semanal decreciente"&amp;" · ","")&amp;IF(AND(ISNUMBER($AN155),$AN155&lt;FechaRef,IF($V155="Sub",N($X155),N($M155))&lt;1),"Vencida"&amp;" · ","")&amp;IF(AND(ObsObligatoria="Sí",ISNUMBER($AN155),$AN155&lt;FechaRef,IF($V155="Sub",N($X155),N($M155))&lt;1,$Q155=""),"Vencida sin observación"&amp;" · ",""))-3)))</f>
        <v/>
      </c>
      <c r="S155" s="64">
        <f>IF(NOT((COUNTA($B155:$D155)+COUNTA($G155:$L155)+COUNTA($Q155))&gt;0),"",IF(AND($V155="Sub",N($U155)&gt;0),IF(ISNUMBER(INDEX($AM$5:$AM$1000,$U155-4)),DATE(YEAR(INDEX($AM$5:$AM$1000,$U155-4)),MONTH(INDEX($AM$5:$AM$1000,$U155-4)),1),IF(ISNUMBER(INDEX($AN$5:$AN$1000,$U155-4)),DATE(YEAR(INDEX($AN$5:$AN$1000,$U155-4)),MONTH(INDEX($AN$5:$AN$1000,$U155-4)),1),MesCiclo)),IF(ISNUMBER($AM155),DATE(YEAR($AM155),MONTH($AM155),1),IF(ISNUMBER($AN155),DATE(YEAR($AN155),MONTH($AN155),1),MesCiclo))))</f>
        <v/>
      </c>
      <c r="T155" s="62">
        <f>IF(OR($S155="",$S155&lt;&gt;MesCiclo,$V155&lt;&gt;"Macro"),"",COUNTIFS($S$5:$S155,MesCiclo,$V$5:$V155,"Macro"))</f>
        <v/>
      </c>
      <c r="U155" s="62">
        <f>IF($V155="","",IF($V155="Macro",ROW(),IFERROR(LOOKUP(2,1/($V$5:$V155="Macro"),ROW($V$5:$V155)),0)))</f>
        <v/>
      </c>
      <c r="V155" s="62">
        <f>IF(NOT((COUNTA($B155:$D155)+COUNTA($G155:$L155)+COUNTA($Q155))&gt;0),"",IF($B155="Subactividad","Sub","Macro"))</f>
        <v/>
      </c>
      <c r="W155" s="62">
        <f>IF($V155="Macro",COUNTIFS($U$5:$U$1000,ROW(),$V$5:$V$1000,"Sub"),"")</f>
        <v/>
      </c>
      <c r="X155" s="62">
        <f>IF($V155="","",IF(ISNUMBER($G155),1,IFERROR(LOOKUP(2,1/($I155:$L155&lt;&gt;""),$I155:$L155),0)))</f>
        <v/>
      </c>
      <c r="Y155" s="62">
        <f>IF($V155="","",IF(AND(ISNUMBER($G155),$G155&lt;=IF($S155=MesCiclo,InicioCiclo,$S155+MOD(2-WEEKDAY($S155),7))+6),1,IF(ISNUMBER($I155),$I155,0)))</f>
        <v/>
      </c>
      <c r="Z155" s="62">
        <f>IF($V155="","",IF(AND(ISNUMBER($G155),$G155&lt;=IF($S155=MesCiclo,InicioCiclo,$S155+MOD(2-WEEKDAY($S155),7))+13),1,IF(ISNUMBER($J155),$J155,$Y155)))</f>
        <v/>
      </c>
      <c r="AA155" s="62">
        <f>IF($V155="","",IF(AND(ISNUMBER($G155),$G155&lt;=IF($S155=MesCiclo,InicioCiclo,$S155+MOD(2-WEEKDAY($S155),7))+20),1,IF(ISNUMBER($K155),$K155,$Z155)))</f>
        <v/>
      </c>
      <c r="AB155" s="62">
        <f>IF($V155="","",IF(AND(ISNUMBER($G155),$G155&lt;=IF($S155=MesCiclo,InicioCiclo,$S155+MOD(2-WEEKDAY($S155),7))+27),1,IF(ISNUMBER($L155),$L155,$AA155)))</f>
        <v/>
      </c>
      <c r="AC155" s="62">
        <f>IF($V155="","",IF(AND(ISNUMBER($G155),$G155&lt;=IF($S155=MesCiclo,InicioCiclo,$S155+MOD(2-WEEKDAY($S155),7))+6),1,IF(N($W155)&gt;0,AVERAGEIFS($Y$5:$Y$1000,$U$5:$U$1000,ROW(),$V$5:$V$1000,"Sub"),$Y155)))</f>
        <v/>
      </c>
      <c r="AD155" s="62">
        <f>IF($V155="","",IF(AND(ISNUMBER($G155),$G155&lt;=IF($S155=MesCiclo,InicioCiclo,$S155+MOD(2-WEEKDAY($S155),7))+13),1,IF(N($W155)&gt;0,AVERAGEIFS($Z$5:$Z$1000,$U$5:$U$1000,ROW(),$V$5:$V$1000,"Sub"),$Z155)))</f>
        <v/>
      </c>
      <c r="AE155" s="62">
        <f>IF($V155="","",IF(AND(ISNUMBER($G155),$G155&lt;=IF($S155=MesCiclo,InicioCiclo,$S155+MOD(2-WEEKDAY($S155),7))+20),1,IF(N($W155)&gt;0,AVERAGEIFS($AA$5:$AA$1000,$U$5:$U$1000,ROW(),$V$5:$V$1000,"Sub"),$AA155)))</f>
        <v/>
      </c>
      <c r="AF155" s="62">
        <f>IF($V155="","",IF(AND(ISNUMBER($G155),$G155&lt;=IF($S155=MesCiclo,InicioCiclo,$S155+MOD(2-WEEKDAY($S155),7))+27),1,IF(N($W155)&gt;0,AVERAGEIFS($AB$5:$AB$1000,$U$5:$U$1000,ROW(),$V$5:$V$1000,"Sub"),$AB155)))</f>
        <v/>
      </c>
      <c r="AG155" s="62">
        <f>IF($V155&lt;&gt;"Macro","",IF(COUNTIFS($S$5:$S$1000,$S155,$V$5:$V$1000,"Macro",$H$5:$H$1000,"&gt;0")=0,1/COUNTIFS($S$5:$S$1000,$S155,$V$5:$V$1000,"Macro"),IF(AND(ISNUMBER($H155),N($H155)&gt;0),$H155,SUMIFS($H$5:$H$1000,$S$5:$S$1000,$S155,$V$5:$V$1000,"Macro")/COUNTIFS($S$5:$S$1000,$S155,$V$5:$V$1000,"Macro",$H$5:$H$1000,"&gt;0"))/(COUNTIFS($S$5:$S$1000,$S155,$V$5:$V$1000,"Macro")*SUMIFS($H$5:$H$1000,$S$5:$S$1000,$S155,$V$5:$V$1000,"Macro")/COUNTIFS($S$5:$S$1000,$S155,$V$5:$V$1000,"Macro",$H$5:$H$1000,"&gt;0"))))</f>
        <v/>
      </c>
      <c r="AH155" s="62" t="n"/>
      <c r="AI155" s="62" t="n"/>
      <c r="AJ155" s="62" t="n"/>
      <c r="AK155" s="62" t="n"/>
      <c r="AL155" s="62">
        <f>IF(LEFT($C155,11)="[Jefatura] ",IFERROR(MATCH("Riesgo Normativo|"&amp;MID($C155,12,500),rDname_ADM,0),0),"")</f>
        <v/>
      </c>
      <c r="AM155" s="62">
        <f>IF(N($AL155)&gt;0,INDEX(rIni_ADM,$AL155),IF(ISNUMBER($E155),$E155,""))</f>
        <v/>
      </c>
      <c r="AN155" s="62">
        <f>IF(N($AL155)&gt;0,INDEX(rLim_ADM,$AL155),IF(ISNUMBER($F155),$F155,""))</f>
        <v/>
      </c>
    </row>
    <row r="156">
      <c r="A156" s="56">
        <f>IF(NOT((COUNTA($B156:$D156)+COUNTA($G156:$L156)+COUNTA($Q156))&gt;0),"",IF($V156="Macro",COUNTIFS($V$5:$V156,"Macro",$S$5:$S156,$S156),IF(N($U156)=0,"?",COUNTIFS(INDEX($V$5:$V$1000,1):INDEX($V$5:$V$1000,$U156-4),"Macro",INDEX($S$5:$S$1000,1):INDEX($S$5:$S$1000,$U156-4),INDEX($S$5:$S$1000,$U156-4))&amp;"."&amp;COUNTIFS($U$5:$U156,$U156,$V$5:$V156,"Sub"))))</f>
        <v/>
      </c>
      <c r="B156" s="57" t="n"/>
      <c r="C156" s="58" t="n"/>
      <c r="D156" s="58" t="n"/>
      <c r="E156" s="59">
        <f>IF(N($AL156)&gt;0,INDEX(rIni_ADM,$AL156),"")</f>
        <v/>
      </c>
      <c r="F156" s="59">
        <f>IF(N($AL156)&gt;0,INDEX(rLim_ADM,$AL156),"")</f>
        <v/>
      </c>
      <c r="G156" s="59" t="n"/>
      <c r="H156" s="60" t="n"/>
      <c r="I156" s="60" t="n"/>
      <c r="J156" s="60" t="n"/>
      <c r="K156" s="60" t="n"/>
      <c r="L156" s="60" t="n"/>
      <c r="M156" s="61">
        <f>IF(NOT((COUNTA($B156:$D156)+COUNTA($G156:$L156)+COUNTA($Q156))&gt;0),"",IF($V156="Sub",IFERROR($X156/INDEX($W$5:$W$1000,$U156-4),""),IF(ISNUMBER($G156),1,IF(N($W156)&gt;0,AVERAGEIFS($X$5:$X$1000,$U$5:$U$1000,ROW(),$V$5:$V$1000,"Sub"),$X156))))</f>
        <v/>
      </c>
      <c r="N156" s="56">
        <f>IF(OR($M156="",$V156="Sub"),"",IF($M156&gt;=1,"Completado",IF($M156&gt;0,"En curso","Pendiente")))</f>
        <v/>
      </c>
      <c r="O156" s="56">
        <f>IF(OR(NOT((COUNTA($B156:$D156)+COUNTA($G156:$L156)+COUNTA($Q156))&gt;0),$V156="Sub"),"",IF(ISNUMBER($G156),IF(AND(ISNUMBER($AN156),$G156&gt;$AN156),"Cumplida con "&amp;($G156-$AN156)&amp;IF($G156-$AN156=1," día"," días")&amp;" de retraso","Cumplida"),IF(N($M156)&gt;=1,"Cumplida",IF(NOT(ISNUMBER($AN156)),"Sin fecha límite",IF($AN156&lt;FechaRef,"Vencida hace "&amp;(FechaRef-$AN156)&amp;IF(FechaRef-$AN156=1," día"," días"),IF($AN156=FechaRef,"Vence hoy",IF($AN156-FechaRef&lt;=DiasAlerta,"Vence en "&amp;($AN156-FechaRef)&amp;IF($AN156-FechaRef=1," día"," días"),"En plazo")))))))</f>
        <v/>
      </c>
      <c r="P156" s="62" t="n"/>
      <c r="Q156" s="58" t="n"/>
      <c r="R156" s="63">
        <f>IF(NOT((COUNTA($B156:$D156)+COUNTA($G156:$L156)+COUNTA($Q156))&gt;0),"",IF((IF($C156="","Falta el nombre de la actividad"&amp;" · ","")&amp;IF(AND($V156="Sub",N($U156)=0),"Subactividad sin macroactividad arriba"&amp;" · ","")&amp;IF($AM156="","Sin fecha de inicio"&amp;" · ","")&amp;IF($AN156="","Sin fecha límite"&amp;" · ","")&amp;IF(AND(LEFT($C156,11)="[Jefatura] ",N($AL156)=0),"No se encuentra en la hoja de la jefatura (elíjala de nuevo en la lista)"&amp;" · ","")&amp;IF(OR(AND($E156&lt;&gt;"",NOT(ISNUMBER($E156))),AND($F156&lt;&gt;"",NOT(ISNUMBER($F156))),AND($G156&lt;&gt;"",NOT(ISNUMBER($G156)))),"Fecha no válida"&amp;" · ","")&amp;IF(AND(ISNUMBER($AM156),ISNUMBER($AN156),$AM156&gt;$AN156),"Inicio posterior a fecha límite"&amp;" · ","")&amp;IF(AND($V156="Macro",$H156&lt;&gt;"",OR(NOT(ISNUMBER($H156)),$H156&lt;0,$H156&gt;1)),"Peso fuera de rango"&amp;" · ","")&amp;IF(AND($V156="Sub",$H156&lt;&gt;""),"Las subactividades no llevan peso (valen igual dentro de su macroactividad)"&amp;" · ","")&amp;IF(AND(N($W156)&gt;0,COUNT($I156:$L156)&gt;0),"Con subactividades: deje vacías las semanas (se calculan solas)"&amp;" · ","")&amp;IF((COUNTIF($I156:$L156,"&gt;1")+COUNTIF($I156:$L156,"&lt;0")+COUNTA($I156:$L156)-COUNT($I156:$L156))&gt;0,"Avance fuera de rango 0-100%"&amp;" · ","")&amp;IF(OR(AND($J156&lt;&gt;"",$J156&lt;$I156),AND($K156&lt;&gt;"",$K156&lt;MAX($I156:$J156)),AND($L156&lt;&gt;"",$L156&lt;MAX($I156:$K156))),"Avance semanal decreciente"&amp;" · ","")&amp;IF(AND(ISNUMBER($AN156),$AN156&lt;FechaRef,IF($V156="Sub",N($X156),N($M156))&lt;1),"Vencida"&amp;" · ","")&amp;IF(AND(ObsObligatoria="Sí",ISNUMBER($AN156),$AN156&lt;FechaRef,IF($V156="Sub",N($X156),N($M156))&lt;1,$Q156=""),"Vencida sin observación"&amp;" · ",""))="","✔ OK","⚠ "&amp;LEFT(IF($C156="","Falta el nombre de la actividad"&amp;" · ","")&amp;IF(AND($V156="Sub",N($U156)=0),"Subactividad sin macroactividad arriba"&amp;" · ","")&amp;IF($AM156="","Sin fecha de inicio"&amp;" · ","")&amp;IF($AN156="","Sin fecha límite"&amp;" · ","")&amp;IF(AND(LEFT($C156,11)="[Jefatura] ",N($AL156)=0),"No se encuentra en la hoja de la jefatura (elíjala de nuevo en la lista)"&amp;" · ","")&amp;IF(OR(AND($E156&lt;&gt;"",NOT(ISNUMBER($E156))),AND($F156&lt;&gt;"",NOT(ISNUMBER($F156))),AND($G156&lt;&gt;"",NOT(ISNUMBER($G156)))),"Fecha no válida"&amp;" · ","")&amp;IF(AND(ISNUMBER($AM156),ISNUMBER($AN156),$AM156&gt;$AN156),"Inicio posterior a fecha límite"&amp;" · ","")&amp;IF(AND($V156="Macro",$H156&lt;&gt;"",OR(NOT(ISNUMBER($H156)),$H156&lt;0,$H156&gt;1)),"Peso fuera de rango"&amp;" · ","")&amp;IF(AND($V156="Sub",$H156&lt;&gt;""),"Las subactividades no llevan peso (valen igual dentro de su macroactividad)"&amp;" · ","")&amp;IF(AND(N($W156)&gt;0,COUNT($I156:$L156)&gt;0),"Con subactividades: deje vacías las semanas (se calculan solas)"&amp;" · ","")&amp;IF((COUNTIF($I156:$L156,"&gt;1")+COUNTIF($I156:$L156,"&lt;0")+COUNTA($I156:$L156)-COUNT($I156:$L156))&gt;0,"Avance fuera de rango 0-100%"&amp;" · ","")&amp;IF(OR(AND($J156&lt;&gt;"",$J156&lt;$I156),AND($K156&lt;&gt;"",$K156&lt;MAX($I156:$J156)),AND($L156&lt;&gt;"",$L156&lt;MAX($I156:$K156))),"Avance semanal decreciente"&amp;" · ","")&amp;IF(AND(ISNUMBER($AN156),$AN156&lt;FechaRef,IF($V156="Sub",N($X156),N($M156))&lt;1),"Vencida"&amp;" · ","")&amp;IF(AND(ObsObligatoria="Sí",ISNUMBER($AN156),$AN156&lt;FechaRef,IF($V156="Sub",N($X156),N($M156))&lt;1,$Q156=""),"Vencida sin observación"&amp;" · ",""),LEN(IF($C156="","Falta el nombre de la actividad"&amp;" · ","")&amp;IF(AND($V156="Sub",N($U156)=0),"Subactividad sin macroactividad arriba"&amp;" · ","")&amp;IF($AM156="","Sin fecha de inicio"&amp;" · ","")&amp;IF($AN156="","Sin fecha límite"&amp;" · ","")&amp;IF(AND(LEFT($C156,11)="[Jefatura] ",N($AL156)=0),"No se encuentra en la hoja de la jefatura (elíjala de nuevo en la lista)"&amp;" · ","")&amp;IF(OR(AND($E156&lt;&gt;"",NOT(ISNUMBER($E156))),AND($F156&lt;&gt;"",NOT(ISNUMBER($F156))),AND($G156&lt;&gt;"",NOT(ISNUMBER($G156)))),"Fecha no válida"&amp;" · ","")&amp;IF(AND(ISNUMBER($AM156),ISNUMBER($AN156),$AM156&gt;$AN156),"Inicio posterior a fecha límite"&amp;" · ","")&amp;IF(AND($V156="Macro",$H156&lt;&gt;"",OR(NOT(ISNUMBER($H156)),$H156&lt;0,$H156&gt;1)),"Peso fuera de rango"&amp;" · ","")&amp;IF(AND($V156="Sub",$H156&lt;&gt;""),"Las subactividades no llevan peso (valen igual dentro de su macroactividad)"&amp;" · ","")&amp;IF(AND(N($W156)&gt;0,COUNT($I156:$L156)&gt;0),"Con subactividades: deje vacías las semanas (se calculan solas)"&amp;" · ","")&amp;IF((COUNTIF($I156:$L156,"&gt;1")+COUNTIF($I156:$L156,"&lt;0")+COUNTA($I156:$L156)-COUNT($I156:$L156))&gt;0,"Avance fuera de rango 0-100%"&amp;" · ","")&amp;IF(OR(AND($J156&lt;&gt;"",$J156&lt;$I156),AND($K156&lt;&gt;"",$K156&lt;MAX($I156:$J156)),AND($L156&lt;&gt;"",$L156&lt;MAX($I156:$K156))),"Avance semanal decreciente"&amp;" · ","")&amp;IF(AND(ISNUMBER($AN156),$AN156&lt;FechaRef,IF($V156="Sub",N($X156),N($M156))&lt;1),"Vencida"&amp;" · ","")&amp;IF(AND(ObsObligatoria="Sí",ISNUMBER($AN156),$AN156&lt;FechaRef,IF($V156="Sub",N($X156),N($M156))&lt;1,$Q156=""),"Vencida sin observación"&amp;" · ",""))-3)))</f>
        <v/>
      </c>
      <c r="S156" s="64">
        <f>IF(NOT((COUNTA($B156:$D156)+COUNTA($G156:$L156)+COUNTA($Q156))&gt;0),"",IF(AND($V156="Sub",N($U156)&gt;0),IF(ISNUMBER(INDEX($AM$5:$AM$1000,$U156-4)),DATE(YEAR(INDEX($AM$5:$AM$1000,$U156-4)),MONTH(INDEX($AM$5:$AM$1000,$U156-4)),1),IF(ISNUMBER(INDEX($AN$5:$AN$1000,$U156-4)),DATE(YEAR(INDEX($AN$5:$AN$1000,$U156-4)),MONTH(INDEX($AN$5:$AN$1000,$U156-4)),1),MesCiclo)),IF(ISNUMBER($AM156),DATE(YEAR($AM156),MONTH($AM156),1),IF(ISNUMBER($AN156),DATE(YEAR($AN156),MONTH($AN156),1),MesCiclo))))</f>
        <v/>
      </c>
      <c r="T156" s="62">
        <f>IF(OR($S156="",$S156&lt;&gt;MesCiclo,$V156&lt;&gt;"Macro"),"",COUNTIFS($S$5:$S156,MesCiclo,$V$5:$V156,"Macro"))</f>
        <v/>
      </c>
      <c r="U156" s="62">
        <f>IF($V156="","",IF($V156="Macro",ROW(),IFERROR(LOOKUP(2,1/($V$5:$V156="Macro"),ROW($V$5:$V156)),0)))</f>
        <v/>
      </c>
      <c r="V156" s="62">
        <f>IF(NOT((COUNTA($B156:$D156)+COUNTA($G156:$L156)+COUNTA($Q156))&gt;0),"",IF($B156="Subactividad","Sub","Macro"))</f>
        <v/>
      </c>
      <c r="W156" s="62">
        <f>IF($V156="Macro",COUNTIFS($U$5:$U$1000,ROW(),$V$5:$V$1000,"Sub"),"")</f>
        <v/>
      </c>
      <c r="X156" s="62">
        <f>IF($V156="","",IF(ISNUMBER($G156),1,IFERROR(LOOKUP(2,1/($I156:$L156&lt;&gt;""),$I156:$L156),0)))</f>
        <v/>
      </c>
      <c r="Y156" s="62">
        <f>IF($V156="","",IF(AND(ISNUMBER($G156),$G156&lt;=IF($S156=MesCiclo,InicioCiclo,$S156+MOD(2-WEEKDAY($S156),7))+6),1,IF(ISNUMBER($I156),$I156,0)))</f>
        <v/>
      </c>
      <c r="Z156" s="62">
        <f>IF($V156="","",IF(AND(ISNUMBER($G156),$G156&lt;=IF($S156=MesCiclo,InicioCiclo,$S156+MOD(2-WEEKDAY($S156),7))+13),1,IF(ISNUMBER($J156),$J156,$Y156)))</f>
        <v/>
      </c>
      <c r="AA156" s="62">
        <f>IF($V156="","",IF(AND(ISNUMBER($G156),$G156&lt;=IF($S156=MesCiclo,InicioCiclo,$S156+MOD(2-WEEKDAY($S156),7))+20),1,IF(ISNUMBER($K156),$K156,$Z156)))</f>
        <v/>
      </c>
      <c r="AB156" s="62">
        <f>IF($V156="","",IF(AND(ISNUMBER($G156),$G156&lt;=IF($S156=MesCiclo,InicioCiclo,$S156+MOD(2-WEEKDAY($S156),7))+27),1,IF(ISNUMBER($L156),$L156,$AA156)))</f>
        <v/>
      </c>
      <c r="AC156" s="62">
        <f>IF($V156="","",IF(AND(ISNUMBER($G156),$G156&lt;=IF($S156=MesCiclo,InicioCiclo,$S156+MOD(2-WEEKDAY($S156),7))+6),1,IF(N($W156)&gt;0,AVERAGEIFS($Y$5:$Y$1000,$U$5:$U$1000,ROW(),$V$5:$V$1000,"Sub"),$Y156)))</f>
        <v/>
      </c>
      <c r="AD156" s="62">
        <f>IF($V156="","",IF(AND(ISNUMBER($G156),$G156&lt;=IF($S156=MesCiclo,InicioCiclo,$S156+MOD(2-WEEKDAY($S156),7))+13),1,IF(N($W156)&gt;0,AVERAGEIFS($Z$5:$Z$1000,$U$5:$U$1000,ROW(),$V$5:$V$1000,"Sub"),$Z156)))</f>
        <v/>
      </c>
      <c r="AE156" s="62">
        <f>IF($V156="","",IF(AND(ISNUMBER($G156),$G156&lt;=IF($S156=MesCiclo,InicioCiclo,$S156+MOD(2-WEEKDAY($S156),7))+20),1,IF(N($W156)&gt;0,AVERAGEIFS($AA$5:$AA$1000,$U$5:$U$1000,ROW(),$V$5:$V$1000,"Sub"),$AA156)))</f>
        <v/>
      </c>
      <c r="AF156" s="62">
        <f>IF($V156="","",IF(AND(ISNUMBER($G156),$G156&lt;=IF($S156=MesCiclo,InicioCiclo,$S156+MOD(2-WEEKDAY($S156),7))+27),1,IF(N($W156)&gt;0,AVERAGEIFS($AB$5:$AB$1000,$U$5:$U$1000,ROW(),$V$5:$V$1000,"Sub"),$AB156)))</f>
        <v/>
      </c>
      <c r="AG156" s="62">
        <f>IF($V156&lt;&gt;"Macro","",IF(COUNTIFS($S$5:$S$1000,$S156,$V$5:$V$1000,"Macro",$H$5:$H$1000,"&gt;0")=0,1/COUNTIFS($S$5:$S$1000,$S156,$V$5:$V$1000,"Macro"),IF(AND(ISNUMBER($H156),N($H156)&gt;0),$H156,SUMIFS($H$5:$H$1000,$S$5:$S$1000,$S156,$V$5:$V$1000,"Macro")/COUNTIFS($S$5:$S$1000,$S156,$V$5:$V$1000,"Macro",$H$5:$H$1000,"&gt;0"))/(COUNTIFS($S$5:$S$1000,$S156,$V$5:$V$1000,"Macro")*SUMIFS($H$5:$H$1000,$S$5:$S$1000,$S156,$V$5:$V$1000,"Macro")/COUNTIFS($S$5:$S$1000,$S156,$V$5:$V$1000,"Macro",$H$5:$H$1000,"&gt;0"))))</f>
        <v/>
      </c>
      <c r="AH156" s="62" t="n"/>
      <c r="AI156" s="62" t="n"/>
      <c r="AJ156" s="62" t="n"/>
      <c r="AK156" s="62" t="n"/>
      <c r="AL156" s="62">
        <f>IF(LEFT($C156,11)="[Jefatura] ",IFERROR(MATCH("Riesgo Normativo|"&amp;MID($C156,12,500),rDname_ADM,0),0),"")</f>
        <v/>
      </c>
      <c r="AM156" s="62">
        <f>IF(N($AL156)&gt;0,INDEX(rIni_ADM,$AL156),IF(ISNUMBER($E156),$E156,""))</f>
        <v/>
      </c>
      <c r="AN156" s="62">
        <f>IF(N($AL156)&gt;0,INDEX(rLim_ADM,$AL156),IF(ISNUMBER($F156),$F156,""))</f>
        <v/>
      </c>
    </row>
    <row r="157">
      <c r="A157" s="56">
        <f>IF(NOT((COUNTA($B157:$D157)+COUNTA($G157:$L157)+COUNTA($Q157))&gt;0),"",IF($V157="Macro",COUNTIFS($V$5:$V157,"Macro",$S$5:$S157,$S157),IF(N($U157)=0,"?",COUNTIFS(INDEX($V$5:$V$1000,1):INDEX($V$5:$V$1000,$U157-4),"Macro",INDEX($S$5:$S$1000,1):INDEX($S$5:$S$1000,$U157-4),INDEX($S$5:$S$1000,$U157-4))&amp;"."&amp;COUNTIFS($U$5:$U157,$U157,$V$5:$V157,"Sub"))))</f>
        <v/>
      </c>
      <c r="B157" s="57" t="n"/>
      <c r="C157" s="58" t="n"/>
      <c r="D157" s="58" t="n"/>
      <c r="E157" s="59">
        <f>IF(N($AL157)&gt;0,INDEX(rIni_ADM,$AL157),"")</f>
        <v/>
      </c>
      <c r="F157" s="59">
        <f>IF(N($AL157)&gt;0,INDEX(rLim_ADM,$AL157),"")</f>
        <v/>
      </c>
      <c r="G157" s="59" t="n"/>
      <c r="H157" s="60" t="n"/>
      <c r="I157" s="60" t="n"/>
      <c r="J157" s="60" t="n"/>
      <c r="K157" s="60" t="n"/>
      <c r="L157" s="60" t="n"/>
      <c r="M157" s="61">
        <f>IF(NOT((COUNTA($B157:$D157)+COUNTA($G157:$L157)+COUNTA($Q157))&gt;0),"",IF($V157="Sub",IFERROR($X157/INDEX($W$5:$W$1000,$U157-4),""),IF(ISNUMBER($G157),1,IF(N($W157)&gt;0,AVERAGEIFS($X$5:$X$1000,$U$5:$U$1000,ROW(),$V$5:$V$1000,"Sub"),$X157))))</f>
        <v/>
      </c>
      <c r="N157" s="56">
        <f>IF(OR($M157="",$V157="Sub"),"",IF($M157&gt;=1,"Completado",IF($M157&gt;0,"En curso","Pendiente")))</f>
        <v/>
      </c>
      <c r="O157" s="56">
        <f>IF(OR(NOT((COUNTA($B157:$D157)+COUNTA($G157:$L157)+COUNTA($Q157))&gt;0),$V157="Sub"),"",IF(ISNUMBER($G157),IF(AND(ISNUMBER($AN157),$G157&gt;$AN157),"Cumplida con "&amp;($G157-$AN157)&amp;IF($G157-$AN157=1," día"," días")&amp;" de retraso","Cumplida"),IF(N($M157)&gt;=1,"Cumplida",IF(NOT(ISNUMBER($AN157)),"Sin fecha límite",IF($AN157&lt;FechaRef,"Vencida hace "&amp;(FechaRef-$AN157)&amp;IF(FechaRef-$AN157=1," día"," días"),IF($AN157=FechaRef,"Vence hoy",IF($AN157-FechaRef&lt;=DiasAlerta,"Vence en "&amp;($AN157-FechaRef)&amp;IF($AN157-FechaRef=1," día"," días"),"En plazo")))))))</f>
        <v/>
      </c>
      <c r="P157" s="62" t="n"/>
      <c r="Q157" s="58" t="n"/>
      <c r="R157" s="63">
        <f>IF(NOT((COUNTA($B157:$D157)+COUNTA($G157:$L157)+COUNTA($Q157))&gt;0),"",IF((IF($C157="","Falta el nombre de la actividad"&amp;" · ","")&amp;IF(AND($V157="Sub",N($U157)=0),"Subactividad sin macroactividad arriba"&amp;" · ","")&amp;IF($AM157="","Sin fecha de inicio"&amp;" · ","")&amp;IF($AN157="","Sin fecha límite"&amp;" · ","")&amp;IF(AND(LEFT($C157,11)="[Jefatura] ",N($AL157)=0),"No se encuentra en la hoja de la jefatura (elíjala de nuevo en la lista)"&amp;" · ","")&amp;IF(OR(AND($E157&lt;&gt;"",NOT(ISNUMBER($E157))),AND($F157&lt;&gt;"",NOT(ISNUMBER($F157))),AND($G157&lt;&gt;"",NOT(ISNUMBER($G157)))),"Fecha no válida"&amp;" · ","")&amp;IF(AND(ISNUMBER($AM157),ISNUMBER($AN157),$AM157&gt;$AN157),"Inicio posterior a fecha límite"&amp;" · ","")&amp;IF(AND($V157="Macro",$H157&lt;&gt;"",OR(NOT(ISNUMBER($H157)),$H157&lt;0,$H157&gt;1)),"Peso fuera de rango"&amp;" · ","")&amp;IF(AND($V157="Sub",$H157&lt;&gt;""),"Las subactividades no llevan peso (valen igual dentro de su macroactividad)"&amp;" · ","")&amp;IF(AND(N($W157)&gt;0,COUNT($I157:$L157)&gt;0),"Con subactividades: deje vacías las semanas (se calculan solas)"&amp;" · ","")&amp;IF((COUNTIF($I157:$L157,"&gt;1")+COUNTIF($I157:$L157,"&lt;0")+COUNTA($I157:$L157)-COUNT($I157:$L157))&gt;0,"Avance fuera de rango 0-100%"&amp;" · ","")&amp;IF(OR(AND($J157&lt;&gt;"",$J157&lt;$I157),AND($K157&lt;&gt;"",$K157&lt;MAX($I157:$J157)),AND($L157&lt;&gt;"",$L157&lt;MAX($I157:$K157))),"Avance semanal decreciente"&amp;" · ","")&amp;IF(AND(ISNUMBER($AN157),$AN157&lt;FechaRef,IF($V157="Sub",N($X157),N($M157))&lt;1),"Vencida"&amp;" · ","")&amp;IF(AND(ObsObligatoria="Sí",ISNUMBER($AN157),$AN157&lt;FechaRef,IF($V157="Sub",N($X157),N($M157))&lt;1,$Q157=""),"Vencida sin observación"&amp;" · ",""))="","✔ OK","⚠ "&amp;LEFT(IF($C157="","Falta el nombre de la actividad"&amp;" · ","")&amp;IF(AND($V157="Sub",N($U157)=0),"Subactividad sin macroactividad arriba"&amp;" · ","")&amp;IF($AM157="","Sin fecha de inicio"&amp;" · ","")&amp;IF($AN157="","Sin fecha límite"&amp;" · ","")&amp;IF(AND(LEFT($C157,11)="[Jefatura] ",N($AL157)=0),"No se encuentra en la hoja de la jefatura (elíjala de nuevo en la lista)"&amp;" · ","")&amp;IF(OR(AND($E157&lt;&gt;"",NOT(ISNUMBER($E157))),AND($F157&lt;&gt;"",NOT(ISNUMBER($F157))),AND($G157&lt;&gt;"",NOT(ISNUMBER($G157)))),"Fecha no válida"&amp;" · ","")&amp;IF(AND(ISNUMBER($AM157),ISNUMBER($AN157),$AM157&gt;$AN157),"Inicio posterior a fecha límite"&amp;" · ","")&amp;IF(AND($V157="Macro",$H157&lt;&gt;"",OR(NOT(ISNUMBER($H157)),$H157&lt;0,$H157&gt;1)),"Peso fuera de rango"&amp;" · ","")&amp;IF(AND($V157="Sub",$H157&lt;&gt;""),"Las subactividades no llevan peso (valen igual dentro de su macroactividad)"&amp;" · ","")&amp;IF(AND(N($W157)&gt;0,COUNT($I157:$L157)&gt;0),"Con subactividades: deje vacías las semanas (se calculan solas)"&amp;" · ","")&amp;IF((COUNTIF($I157:$L157,"&gt;1")+COUNTIF($I157:$L157,"&lt;0")+COUNTA($I157:$L157)-COUNT($I157:$L157))&gt;0,"Avance fuera de rango 0-100%"&amp;" · ","")&amp;IF(OR(AND($J157&lt;&gt;"",$J157&lt;$I157),AND($K157&lt;&gt;"",$K157&lt;MAX($I157:$J157)),AND($L157&lt;&gt;"",$L157&lt;MAX($I157:$K157))),"Avance semanal decreciente"&amp;" · ","")&amp;IF(AND(ISNUMBER($AN157),$AN157&lt;FechaRef,IF($V157="Sub",N($X157),N($M157))&lt;1),"Vencida"&amp;" · ","")&amp;IF(AND(ObsObligatoria="Sí",ISNUMBER($AN157),$AN157&lt;FechaRef,IF($V157="Sub",N($X157),N($M157))&lt;1,$Q157=""),"Vencida sin observación"&amp;" · ",""),LEN(IF($C157="","Falta el nombre de la actividad"&amp;" · ","")&amp;IF(AND($V157="Sub",N($U157)=0),"Subactividad sin macroactividad arriba"&amp;" · ","")&amp;IF($AM157="","Sin fecha de inicio"&amp;" · ","")&amp;IF($AN157="","Sin fecha límite"&amp;" · ","")&amp;IF(AND(LEFT($C157,11)="[Jefatura] ",N($AL157)=0),"No se encuentra en la hoja de la jefatura (elíjala de nuevo en la lista)"&amp;" · ","")&amp;IF(OR(AND($E157&lt;&gt;"",NOT(ISNUMBER($E157))),AND($F157&lt;&gt;"",NOT(ISNUMBER($F157))),AND($G157&lt;&gt;"",NOT(ISNUMBER($G157)))),"Fecha no válida"&amp;" · ","")&amp;IF(AND(ISNUMBER($AM157),ISNUMBER($AN157),$AM157&gt;$AN157),"Inicio posterior a fecha límite"&amp;" · ","")&amp;IF(AND($V157="Macro",$H157&lt;&gt;"",OR(NOT(ISNUMBER($H157)),$H157&lt;0,$H157&gt;1)),"Peso fuera de rango"&amp;" · ","")&amp;IF(AND($V157="Sub",$H157&lt;&gt;""),"Las subactividades no llevan peso (valen igual dentro de su macroactividad)"&amp;" · ","")&amp;IF(AND(N($W157)&gt;0,COUNT($I157:$L157)&gt;0),"Con subactividades: deje vacías las semanas (se calculan solas)"&amp;" · ","")&amp;IF((COUNTIF($I157:$L157,"&gt;1")+COUNTIF($I157:$L157,"&lt;0")+COUNTA($I157:$L157)-COUNT($I157:$L157))&gt;0,"Avance fuera de rango 0-100%"&amp;" · ","")&amp;IF(OR(AND($J157&lt;&gt;"",$J157&lt;$I157),AND($K157&lt;&gt;"",$K157&lt;MAX($I157:$J157)),AND($L157&lt;&gt;"",$L157&lt;MAX($I157:$K157))),"Avance semanal decreciente"&amp;" · ","")&amp;IF(AND(ISNUMBER($AN157),$AN157&lt;FechaRef,IF($V157="Sub",N($X157),N($M157))&lt;1),"Vencida"&amp;" · ","")&amp;IF(AND(ObsObligatoria="Sí",ISNUMBER($AN157),$AN157&lt;FechaRef,IF($V157="Sub",N($X157),N($M157))&lt;1,$Q157=""),"Vencida sin observación"&amp;" · ",""))-3)))</f>
        <v/>
      </c>
      <c r="S157" s="64">
        <f>IF(NOT((COUNTA($B157:$D157)+COUNTA($G157:$L157)+COUNTA($Q157))&gt;0),"",IF(AND($V157="Sub",N($U157)&gt;0),IF(ISNUMBER(INDEX($AM$5:$AM$1000,$U157-4)),DATE(YEAR(INDEX($AM$5:$AM$1000,$U157-4)),MONTH(INDEX($AM$5:$AM$1000,$U157-4)),1),IF(ISNUMBER(INDEX($AN$5:$AN$1000,$U157-4)),DATE(YEAR(INDEX($AN$5:$AN$1000,$U157-4)),MONTH(INDEX($AN$5:$AN$1000,$U157-4)),1),MesCiclo)),IF(ISNUMBER($AM157),DATE(YEAR($AM157),MONTH($AM157),1),IF(ISNUMBER($AN157),DATE(YEAR($AN157),MONTH($AN157),1),MesCiclo))))</f>
        <v/>
      </c>
      <c r="T157" s="62">
        <f>IF(OR($S157="",$S157&lt;&gt;MesCiclo,$V157&lt;&gt;"Macro"),"",COUNTIFS($S$5:$S157,MesCiclo,$V$5:$V157,"Macro"))</f>
        <v/>
      </c>
      <c r="U157" s="62">
        <f>IF($V157="","",IF($V157="Macro",ROW(),IFERROR(LOOKUP(2,1/($V$5:$V157="Macro"),ROW($V$5:$V157)),0)))</f>
        <v/>
      </c>
      <c r="V157" s="62">
        <f>IF(NOT((COUNTA($B157:$D157)+COUNTA($G157:$L157)+COUNTA($Q157))&gt;0),"",IF($B157="Subactividad","Sub","Macro"))</f>
        <v/>
      </c>
      <c r="W157" s="62">
        <f>IF($V157="Macro",COUNTIFS($U$5:$U$1000,ROW(),$V$5:$V$1000,"Sub"),"")</f>
        <v/>
      </c>
      <c r="X157" s="62">
        <f>IF($V157="","",IF(ISNUMBER($G157),1,IFERROR(LOOKUP(2,1/($I157:$L157&lt;&gt;""),$I157:$L157),0)))</f>
        <v/>
      </c>
      <c r="Y157" s="62">
        <f>IF($V157="","",IF(AND(ISNUMBER($G157),$G157&lt;=IF($S157=MesCiclo,InicioCiclo,$S157+MOD(2-WEEKDAY($S157),7))+6),1,IF(ISNUMBER($I157),$I157,0)))</f>
        <v/>
      </c>
      <c r="Z157" s="62">
        <f>IF($V157="","",IF(AND(ISNUMBER($G157),$G157&lt;=IF($S157=MesCiclo,InicioCiclo,$S157+MOD(2-WEEKDAY($S157),7))+13),1,IF(ISNUMBER($J157),$J157,$Y157)))</f>
        <v/>
      </c>
      <c r="AA157" s="62">
        <f>IF($V157="","",IF(AND(ISNUMBER($G157),$G157&lt;=IF($S157=MesCiclo,InicioCiclo,$S157+MOD(2-WEEKDAY($S157),7))+20),1,IF(ISNUMBER($K157),$K157,$Z157)))</f>
        <v/>
      </c>
      <c r="AB157" s="62">
        <f>IF($V157="","",IF(AND(ISNUMBER($G157),$G157&lt;=IF($S157=MesCiclo,InicioCiclo,$S157+MOD(2-WEEKDAY($S157),7))+27),1,IF(ISNUMBER($L157),$L157,$AA157)))</f>
        <v/>
      </c>
      <c r="AC157" s="62">
        <f>IF($V157="","",IF(AND(ISNUMBER($G157),$G157&lt;=IF($S157=MesCiclo,InicioCiclo,$S157+MOD(2-WEEKDAY($S157),7))+6),1,IF(N($W157)&gt;0,AVERAGEIFS($Y$5:$Y$1000,$U$5:$U$1000,ROW(),$V$5:$V$1000,"Sub"),$Y157)))</f>
        <v/>
      </c>
      <c r="AD157" s="62">
        <f>IF($V157="","",IF(AND(ISNUMBER($G157),$G157&lt;=IF($S157=MesCiclo,InicioCiclo,$S157+MOD(2-WEEKDAY($S157),7))+13),1,IF(N($W157)&gt;0,AVERAGEIFS($Z$5:$Z$1000,$U$5:$U$1000,ROW(),$V$5:$V$1000,"Sub"),$Z157)))</f>
        <v/>
      </c>
      <c r="AE157" s="62">
        <f>IF($V157="","",IF(AND(ISNUMBER($G157),$G157&lt;=IF($S157=MesCiclo,InicioCiclo,$S157+MOD(2-WEEKDAY($S157),7))+20),1,IF(N($W157)&gt;0,AVERAGEIFS($AA$5:$AA$1000,$U$5:$U$1000,ROW(),$V$5:$V$1000,"Sub"),$AA157)))</f>
        <v/>
      </c>
      <c r="AF157" s="62">
        <f>IF($V157="","",IF(AND(ISNUMBER($G157),$G157&lt;=IF($S157=MesCiclo,InicioCiclo,$S157+MOD(2-WEEKDAY($S157),7))+27),1,IF(N($W157)&gt;0,AVERAGEIFS($AB$5:$AB$1000,$U$5:$U$1000,ROW(),$V$5:$V$1000,"Sub"),$AB157)))</f>
        <v/>
      </c>
      <c r="AG157" s="62">
        <f>IF($V157&lt;&gt;"Macro","",IF(COUNTIFS($S$5:$S$1000,$S157,$V$5:$V$1000,"Macro",$H$5:$H$1000,"&gt;0")=0,1/COUNTIFS($S$5:$S$1000,$S157,$V$5:$V$1000,"Macro"),IF(AND(ISNUMBER($H157),N($H157)&gt;0),$H157,SUMIFS($H$5:$H$1000,$S$5:$S$1000,$S157,$V$5:$V$1000,"Macro")/COUNTIFS($S$5:$S$1000,$S157,$V$5:$V$1000,"Macro",$H$5:$H$1000,"&gt;0"))/(COUNTIFS($S$5:$S$1000,$S157,$V$5:$V$1000,"Macro")*SUMIFS($H$5:$H$1000,$S$5:$S$1000,$S157,$V$5:$V$1000,"Macro")/COUNTIFS($S$5:$S$1000,$S157,$V$5:$V$1000,"Macro",$H$5:$H$1000,"&gt;0"))))</f>
        <v/>
      </c>
      <c r="AH157" s="62" t="n"/>
      <c r="AI157" s="62" t="n"/>
      <c r="AJ157" s="62" t="n"/>
      <c r="AK157" s="62" t="n"/>
      <c r="AL157" s="62">
        <f>IF(LEFT($C157,11)="[Jefatura] ",IFERROR(MATCH("Riesgo Normativo|"&amp;MID($C157,12,500),rDname_ADM,0),0),"")</f>
        <v/>
      </c>
      <c r="AM157" s="62">
        <f>IF(N($AL157)&gt;0,INDEX(rIni_ADM,$AL157),IF(ISNUMBER($E157),$E157,""))</f>
        <v/>
      </c>
      <c r="AN157" s="62">
        <f>IF(N($AL157)&gt;0,INDEX(rLim_ADM,$AL157),IF(ISNUMBER($F157),$F157,""))</f>
        <v/>
      </c>
    </row>
    <row r="158">
      <c r="A158" s="56">
        <f>IF(NOT((COUNTA($B158:$D158)+COUNTA($G158:$L158)+COUNTA($Q158))&gt;0),"",IF($V158="Macro",COUNTIFS($V$5:$V158,"Macro",$S$5:$S158,$S158),IF(N($U158)=0,"?",COUNTIFS(INDEX($V$5:$V$1000,1):INDEX($V$5:$V$1000,$U158-4),"Macro",INDEX($S$5:$S$1000,1):INDEX($S$5:$S$1000,$U158-4),INDEX($S$5:$S$1000,$U158-4))&amp;"."&amp;COUNTIFS($U$5:$U158,$U158,$V$5:$V158,"Sub"))))</f>
        <v/>
      </c>
      <c r="B158" s="57" t="n"/>
      <c r="C158" s="58" t="n"/>
      <c r="D158" s="58" t="n"/>
      <c r="E158" s="59">
        <f>IF(N($AL158)&gt;0,INDEX(rIni_ADM,$AL158),"")</f>
        <v/>
      </c>
      <c r="F158" s="59">
        <f>IF(N($AL158)&gt;0,INDEX(rLim_ADM,$AL158),"")</f>
        <v/>
      </c>
      <c r="G158" s="59" t="n"/>
      <c r="H158" s="60" t="n"/>
      <c r="I158" s="60" t="n"/>
      <c r="J158" s="60" t="n"/>
      <c r="K158" s="60" t="n"/>
      <c r="L158" s="60" t="n"/>
      <c r="M158" s="61">
        <f>IF(NOT((COUNTA($B158:$D158)+COUNTA($G158:$L158)+COUNTA($Q158))&gt;0),"",IF($V158="Sub",IFERROR($X158/INDEX($W$5:$W$1000,$U158-4),""),IF(ISNUMBER($G158),1,IF(N($W158)&gt;0,AVERAGEIFS($X$5:$X$1000,$U$5:$U$1000,ROW(),$V$5:$V$1000,"Sub"),$X158))))</f>
        <v/>
      </c>
      <c r="N158" s="56">
        <f>IF(OR($M158="",$V158="Sub"),"",IF($M158&gt;=1,"Completado",IF($M158&gt;0,"En curso","Pendiente")))</f>
        <v/>
      </c>
      <c r="O158" s="56">
        <f>IF(OR(NOT((COUNTA($B158:$D158)+COUNTA($G158:$L158)+COUNTA($Q158))&gt;0),$V158="Sub"),"",IF(ISNUMBER($G158),IF(AND(ISNUMBER($AN158),$G158&gt;$AN158),"Cumplida con "&amp;($G158-$AN158)&amp;IF($G158-$AN158=1," día"," días")&amp;" de retraso","Cumplida"),IF(N($M158)&gt;=1,"Cumplida",IF(NOT(ISNUMBER($AN158)),"Sin fecha límite",IF($AN158&lt;FechaRef,"Vencida hace "&amp;(FechaRef-$AN158)&amp;IF(FechaRef-$AN158=1," día"," días"),IF($AN158=FechaRef,"Vence hoy",IF($AN158-FechaRef&lt;=DiasAlerta,"Vence en "&amp;($AN158-FechaRef)&amp;IF($AN158-FechaRef=1," día"," días"),"En plazo")))))))</f>
        <v/>
      </c>
      <c r="P158" s="62" t="n"/>
      <c r="Q158" s="58" t="n"/>
      <c r="R158" s="63">
        <f>IF(NOT((COUNTA($B158:$D158)+COUNTA($G158:$L158)+COUNTA($Q158))&gt;0),"",IF((IF($C158="","Falta el nombre de la actividad"&amp;" · ","")&amp;IF(AND($V158="Sub",N($U158)=0),"Subactividad sin macroactividad arriba"&amp;" · ","")&amp;IF($AM158="","Sin fecha de inicio"&amp;" · ","")&amp;IF($AN158="","Sin fecha límite"&amp;" · ","")&amp;IF(AND(LEFT($C158,11)="[Jefatura] ",N($AL158)=0),"No se encuentra en la hoja de la jefatura (elíjala de nuevo en la lista)"&amp;" · ","")&amp;IF(OR(AND($E158&lt;&gt;"",NOT(ISNUMBER($E158))),AND($F158&lt;&gt;"",NOT(ISNUMBER($F158))),AND($G158&lt;&gt;"",NOT(ISNUMBER($G158)))),"Fecha no válida"&amp;" · ","")&amp;IF(AND(ISNUMBER($AM158),ISNUMBER($AN158),$AM158&gt;$AN158),"Inicio posterior a fecha límite"&amp;" · ","")&amp;IF(AND($V158="Macro",$H158&lt;&gt;"",OR(NOT(ISNUMBER($H158)),$H158&lt;0,$H158&gt;1)),"Peso fuera de rango"&amp;" · ","")&amp;IF(AND($V158="Sub",$H158&lt;&gt;""),"Las subactividades no llevan peso (valen igual dentro de su macroactividad)"&amp;" · ","")&amp;IF(AND(N($W158)&gt;0,COUNT($I158:$L158)&gt;0),"Con subactividades: deje vacías las semanas (se calculan solas)"&amp;" · ","")&amp;IF((COUNTIF($I158:$L158,"&gt;1")+COUNTIF($I158:$L158,"&lt;0")+COUNTA($I158:$L158)-COUNT($I158:$L158))&gt;0,"Avance fuera de rango 0-100%"&amp;" · ","")&amp;IF(OR(AND($J158&lt;&gt;"",$J158&lt;$I158),AND($K158&lt;&gt;"",$K158&lt;MAX($I158:$J158)),AND($L158&lt;&gt;"",$L158&lt;MAX($I158:$K158))),"Avance semanal decreciente"&amp;" · ","")&amp;IF(AND(ISNUMBER($AN158),$AN158&lt;FechaRef,IF($V158="Sub",N($X158),N($M158))&lt;1),"Vencida"&amp;" · ","")&amp;IF(AND(ObsObligatoria="Sí",ISNUMBER($AN158),$AN158&lt;FechaRef,IF($V158="Sub",N($X158),N($M158))&lt;1,$Q158=""),"Vencida sin observación"&amp;" · ",""))="","✔ OK","⚠ "&amp;LEFT(IF($C158="","Falta el nombre de la actividad"&amp;" · ","")&amp;IF(AND($V158="Sub",N($U158)=0),"Subactividad sin macroactividad arriba"&amp;" · ","")&amp;IF($AM158="","Sin fecha de inicio"&amp;" · ","")&amp;IF($AN158="","Sin fecha límite"&amp;" · ","")&amp;IF(AND(LEFT($C158,11)="[Jefatura] ",N($AL158)=0),"No se encuentra en la hoja de la jefatura (elíjala de nuevo en la lista)"&amp;" · ","")&amp;IF(OR(AND($E158&lt;&gt;"",NOT(ISNUMBER($E158))),AND($F158&lt;&gt;"",NOT(ISNUMBER($F158))),AND($G158&lt;&gt;"",NOT(ISNUMBER($G158)))),"Fecha no válida"&amp;" · ","")&amp;IF(AND(ISNUMBER($AM158),ISNUMBER($AN158),$AM158&gt;$AN158),"Inicio posterior a fecha límite"&amp;" · ","")&amp;IF(AND($V158="Macro",$H158&lt;&gt;"",OR(NOT(ISNUMBER($H158)),$H158&lt;0,$H158&gt;1)),"Peso fuera de rango"&amp;" · ","")&amp;IF(AND($V158="Sub",$H158&lt;&gt;""),"Las subactividades no llevan peso (valen igual dentro de su macroactividad)"&amp;" · ","")&amp;IF(AND(N($W158)&gt;0,COUNT($I158:$L158)&gt;0),"Con subactividades: deje vacías las semanas (se calculan solas)"&amp;" · ","")&amp;IF((COUNTIF($I158:$L158,"&gt;1")+COUNTIF($I158:$L158,"&lt;0")+COUNTA($I158:$L158)-COUNT($I158:$L158))&gt;0,"Avance fuera de rango 0-100%"&amp;" · ","")&amp;IF(OR(AND($J158&lt;&gt;"",$J158&lt;$I158),AND($K158&lt;&gt;"",$K158&lt;MAX($I158:$J158)),AND($L158&lt;&gt;"",$L158&lt;MAX($I158:$K158))),"Avance semanal decreciente"&amp;" · ","")&amp;IF(AND(ISNUMBER($AN158),$AN158&lt;FechaRef,IF($V158="Sub",N($X158),N($M158))&lt;1),"Vencida"&amp;" · ","")&amp;IF(AND(ObsObligatoria="Sí",ISNUMBER($AN158),$AN158&lt;FechaRef,IF($V158="Sub",N($X158),N($M158))&lt;1,$Q158=""),"Vencida sin observación"&amp;" · ",""),LEN(IF($C158="","Falta el nombre de la actividad"&amp;" · ","")&amp;IF(AND($V158="Sub",N($U158)=0),"Subactividad sin macroactividad arriba"&amp;" · ","")&amp;IF($AM158="","Sin fecha de inicio"&amp;" · ","")&amp;IF($AN158="","Sin fecha límite"&amp;" · ","")&amp;IF(AND(LEFT($C158,11)="[Jefatura] ",N($AL158)=0),"No se encuentra en la hoja de la jefatura (elíjala de nuevo en la lista)"&amp;" · ","")&amp;IF(OR(AND($E158&lt;&gt;"",NOT(ISNUMBER($E158))),AND($F158&lt;&gt;"",NOT(ISNUMBER($F158))),AND($G158&lt;&gt;"",NOT(ISNUMBER($G158)))),"Fecha no válida"&amp;" · ","")&amp;IF(AND(ISNUMBER($AM158),ISNUMBER($AN158),$AM158&gt;$AN158),"Inicio posterior a fecha límite"&amp;" · ","")&amp;IF(AND($V158="Macro",$H158&lt;&gt;"",OR(NOT(ISNUMBER($H158)),$H158&lt;0,$H158&gt;1)),"Peso fuera de rango"&amp;" · ","")&amp;IF(AND($V158="Sub",$H158&lt;&gt;""),"Las subactividades no llevan peso (valen igual dentro de su macroactividad)"&amp;" · ","")&amp;IF(AND(N($W158)&gt;0,COUNT($I158:$L158)&gt;0),"Con subactividades: deje vacías las semanas (se calculan solas)"&amp;" · ","")&amp;IF((COUNTIF($I158:$L158,"&gt;1")+COUNTIF($I158:$L158,"&lt;0")+COUNTA($I158:$L158)-COUNT($I158:$L158))&gt;0,"Avance fuera de rango 0-100%"&amp;" · ","")&amp;IF(OR(AND($J158&lt;&gt;"",$J158&lt;$I158),AND($K158&lt;&gt;"",$K158&lt;MAX($I158:$J158)),AND($L158&lt;&gt;"",$L158&lt;MAX($I158:$K158))),"Avance semanal decreciente"&amp;" · ","")&amp;IF(AND(ISNUMBER($AN158),$AN158&lt;FechaRef,IF($V158="Sub",N($X158),N($M158))&lt;1),"Vencida"&amp;" · ","")&amp;IF(AND(ObsObligatoria="Sí",ISNUMBER($AN158),$AN158&lt;FechaRef,IF($V158="Sub",N($X158),N($M158))&lt;1,$Q158=""),"Vencida sin observación"&amp;" · ",""))-3)))</f>
        <v/>
      </c>
      <c r="S158" s="64">
        <f>IF(NOT((COUNTA($B158:$D158)+COUNTA($G158:$L158)+COUNTA($Q158))&gt;0),"",IF(AND($V158="Sub",N($U158)&gt;0),IF(ISNUMBER(INDEX($AM$5:$AM$1000,$U158-4)),DATE(YEAR(INDEX($AM$5:$AM$1000,$U158-4)),MONTH(INDEX($AM$5:$AM$1000,$U158-4)),1),IF(ISNUMBER(INDEX($AN$5:$AN$1000,$U158-4)),DATE(YEAR(INDEX($AN$5:$AN$1000,$U158-4)),MONTH(INDEX($AN$5:$AN$1000,$U158-4)),1),MesCiclo)),IF(ISNUMBER($AM158),DATE(YEAR($AM158),MONTH($AM158),1),IF(ISNUMBER($AN158),DATE(YEAR($AN158),MONTH($AN158),1),MesCiclo))))</f>
        <v/>
      </c>
      <c r="T158" s="62">
        <f>IF(OR($S158="",$S158&lt;&gt;MesCiclo,$V158&lt;&gt;"Macro"),"",COUNTIFS($S$5:$S158,MesCiclo,$V$5:$V158,"Macro"))</f>
        <v/>
      </c>
      <c r="U158" s="62">
        <f>IF($V158="","",IF($V158="Macro",ROW(),IFERROR(LOOKUP(2,1/($V$5:$V158="Macro"),ROW($V$5:$V158)),0)))</f>
        <v/>
      </c>
      <c r="V158" s="62">
        <f>IF(NOT((COUNTA($B158:$D158)+COUNTA($G158:$L158)+COUNTA($Q158))&gt;0),"",IF($B158="Subactividad","Sub","Macro"))</f>
        <v/>
      </c>
      <c r="W158" s="62">
        <f>IF($V158="Macro",COUNTIFS($U$5:$U$1000,ROW(),$V$5:$V$1000,"Sub"),"")</f>
        <v/>
      </c>
      <c r="X158" s="62">
        <f>IF($V158="","",IF(ISNUMBER($G158),1,IFERROR(LOOKUP(2,1/($I158:$L158&lt;&gt;""),$I158:$L158),0)))</f>
        <v/>
      </c>
      <c r="Y158" s="62">
        <f>IF($V158="","",IF(AND(ISNUMBER($G158),$G158&lt;=IF($S158=MesCiclo,InicioCiclo,$S158+MOD(2-WEEKDAY($S158),7))+6),1,IF(ISNUMBER($I158),$I158,0)))</f>
        <v/>
      </c>
      <c r="Z158" s="62">
        <f>IF($V158="","",IF(AND(ISNUMBER($G158),$G158&lt;=IF($S158=MesCiclo,InicioCiclo,$S158+MOD(2-WEEKDAY($S158),7))+13),1,IF(ISNUMBER($J158),$J158,$Y158)))</f>
        <v/>
      </c>
      <c r="AA158" s="62">
        <f>IF($V158="","",IF(AND(ISNUMBER($G158),$G158&lt;=IF($S158=MesCiclo,InicioCiclo,$S158+MOD(2-WEEKDAY($S158),7))+20),1,IF(ISNUMBER($K158),$K158,$Z158)))</f>
        <v/>
      </c>
      <c r="AB158" s="62">
        <f>IF($V158="","",IF(AND(ISNUMBER($G158),$G158&lt;=IF($S158=MesCiclo,InicioCiclo,$S158+MOD(2-WEEKDAY($S158),7))+27),1,IF(ISNUMBER($L158),$L158,$AA158)))</f>
        <v/>
      </c>
      <c r="AC158" s="62">
        <f>IF($V158="","",IF(AND(ISNUMBER($G158),$G158&lt;=IF($S158=MesCiclo,InicioCiclo,$S158+MOD(2-WEEKDAY($S158),7))+6),1,IF(N($W158)&gt;0,AVERAGEIFS($Y$5:$Y$1000,$U$5:$U$1000,ROW(),$V$5:$V$1000,"Sub"),$Y158)))</f>
        <v/>
      </c>
      <c r="AD158" s="62">
        <f>IF($V158="","",IF(AND(ISNUMBER($G158),$G158&lt;=IF($S158=MesCiclo,InicioCiclo,$S158+MOD(2-WEEKDAY($S158),7))+13),1,IF(N($W158)&gt;0,AVERAGEIFS($Z$5:$Z$1000,$U$5:$U$1000,ROW(),$V$5:$V$1000,"Sub"),$Z158)))</f>
        <v/>
      </c>
      <c r="AE158" s="62">
        <f>IF($V158="","",IF(AND(ISNUMBER($G158),$G158&lt;=IF($S158=MesCiclo,InicioCiclo,$S158+MOD(2-WEEKDAY($S158),7))+20),1,IF(N($W158)&gt;0,AVERAGEIFS($AA$5:$AA$1000,$U$5:$U$1000,ROW(),$V$5:$V$1000,"Sub"),$AA158)))</f>
        <v/>
      </c>
      <c r="AF158" s="62">
        <f>IF($V158="","",IF(AND(ISNUMBER($G158),$G158&lt;=IF($S158=MesCiclo,InicioCiclo,$S158+MOD(2-WEEKDAY($S158),7))+27),1,IF(N($W158)&gt;0,AVERAGEIFS($AB$5:$AB$1000,$U$5:$U$1000,ROW(),$V$5:$V$1000,"Sub"),$AB158)))</f>
        <v/>
      </c>
      <c r="AG158" s="62">
        <f>IF($V158&lt;&gt;"Macro","",IF(COUNTIFS($S$5:$S$1000,$S158,$V$5:$V$1000,"Macro",$H$5:$H$1000,"&gt;0")=0,1/COUNTIFS($S$5:$S$1000,$S158,$V$5:$V$1000,"Macro"),IF(AND(ISNUMBER($H158),N($H158)&gt;0),$H158,SUMIFS($H$5:$H$1000,$S$5:$S$1000,$S158,$V$5:$V$1000,"Macro")/COUNTIFS($S$5:$S$1000,$S158,$V$5:$V$1000,"Macro",$H$5:$H$1000,"&gt;0"))/(COUNTIFS($S$5:$S$1000,$S158,$V$5:$V$1000,"Macro")*SUMIFS($H$5:$H$1000,$S$5:$S$1000,$S158,$V$5:$V$1000,"Macro")/COUNTIFS($S$5:$S$1000,$S158,$V$5:$V$1000,"Macro",$H$5:$H$1000,"&gt;0"))))</f>
        <v/>
      </c>
      <c r="AH158" s="62" t="n"/>
      <c r="AI158" s="62" t="n"/>
      <c r="AJ158" s="62" t="n"/>
      <c r="AK158" s="62" t="n"/>
      <c r="AL158" s="62">
        <f>IF(LEFT($C158,11)="[Jefatura] ",IFERROR(MATCH("Riesgo Normativo|"&amp;MID($C158,12,500),rDname_ADM,0),0),"")</f>
        <v/>
      </c>
      <c r="AM158" s="62">
        <f>IF(N($AL158)&gt;0,INDEX(rIni_ADM,$AL158),IF(ISNUMBER($E158),$E158,""))</f>
        <v/>
      </c>
      <c r="AN158" s="62">
        <f>IF(N($AL158)&gt;0,INDEX(rLim_ADM,$AL158),IF(ISNUMBER($F158),$F158,""))</f>
        <v/>
      </c>
    </row>
    <row r="159">
      <c r="A159" s="56">
        <f>IF(NOT((COUNTA($B159:$D159)+COUNTA($G159:$L159)+COUNTA($Q159))&gt;0),"",IF($V159="Macro",COUNTIFS($V$5:$V159,"Macro",$S$5:$S159,$S159),IF(N($U159)=0,"?",COUNTIFS(INDEX($V$5:$V$1000,1):INDEX($V$5:$V$1000,$U159-4),"Macro",INDEX($S$5:$S$1000,1):INDEX($S$5:$S$1000,$U159-4),INDEX($S$5:$S$1000,$U159-4))&amp;"."&amp;COUNTIFS($U$5:$U159,$U159,$V$5:$V159,"Sub"))))</f>
        <v/>
      </c>
      <c r="B159" s="57" t="n"/>
      <c r="C159" s="58" t="n"/>
      <c r="D159" s="58" t="n"/>
      <c r="E159" s="59">
        <f>IF(N($AL159)&gt;0,INDEX(rIni_ADM,$AL159),"")</f>
        <v/>
      </c>
      <c r="F159" s="59">
        <f>IF(N($AL159)&gt;0,INDEX(rLim_ADM,$AL159),"")</f>
        <v/>
      </c>
      <c r="G159" s="59" t="n"/>
      <c r="H159" s="60" t="n"/>
      <c r="I159" s="60" t="n"/>
      <c r="J159" s="60" t="n"/>
      <c r="K159" s="60" t="n"/>
      <c r="L159" s="60" t="n"/>
      <c r="M159" s="61">
        <f>IF(NOT((COUNTA($B159:$D159)+COUNTA($G159:$L159)+COUNTA($Q159))&gt;0),"",IF($V159="Sub",IFERROR($X159/INDEX($W$5:$W$1000,$U159-4),""),IF(ISNUMBER($G159),1,IF(N($W159)&gt;0,AVERAGEIFS($X$5:$X$1000,$U$5:$U$1000,ROW(),$V$5:$V$1000,"Sub"),$X159))))</f>
        <v/>
      </c>
      <c r="N159" s="56">
        <f>IF(OR($M159="",$V159="Sub"),"",IF($M159&gt;=1,"Completado",IF($M159&gt;0,"En curso","Pendiente")))</f>
        <v/>
      </c>
      <c r="O159" s="56">
        <f>IF(OR(NOT((COUNTA($B159:$D159)+COUNTA($G159:$L159)+COUNTA($Q159))&gt;0),$V159="Sub"),"",IF(ISNUMBER($G159),IF(AND(ISNUMBER($AN159),$G159&gt;$AN159),"Cumplida con "&amp;($G159-$AN159)&amp;IF($G159-$AN159=1," día"," días")&amp;" de retraso","Cumplida"),IF(N($M159)&gt;=1,"Cumplida",IF(NOT(ISNUMBER($AN159)),"Sin fecha límite",IF($AN159&lt;FechaRef,"Vencida hace "&amp;(FechaRef-$AN159)&amp;IF(FechaRef-$AN159=1," día"," días"),IF($AN159=FechaRef,"Vence hoy",IF($AN159-FechaRef&lt;=DiasAlerta,"Vence en "&amp;($AN159-FechaRef)&amp;IF($AN159-FechaRef=1," día"," días"),"En plazo")))))))</f>
        <v/>
      </c>
      <c r="P159" s="62" t="n"/>
      <c r="Q159" s="58" t="n"/>
      <c r="R159" s="63">
        <f>IF(NOT((COUNTA($B159:$D159)+COUNTA($G159:$L159)+COUNTA($Q159))&gt;0),"",IF((IF($C159="","Falta el nombre de la actividad"&amp;" · ","")&amp;IF(AND($V159="Sub",N($U159)=0),"Subactividad sin macroactividad arriba"&amp;" · ","")&amp;IF($AM159="","Sin fecha de inicio"&amp;" · ","")&amp;IF($AN159="","Sin fecha límite"&amp;" · ","")&amp;IF(AND(LEFT($C159,11)="[Jefatura] ",N($AL159)=0),"No se encuentra en la hoja de la jefatura (elíjala de nuevo en la lista)"&amp;" · ","")&amp;IF(OR(AND($E159&lt;&gt;"",NOT(ISNUMBER($E159))),AND($F159&lt;&gt;"",NOT(ISNUMBER($F159))),AND($G159&lt;&gt;"",NOT(ISNUMBER($G159)))),"Fecha no válida"&amp;" · ","")&amp;IF(AND(ISNUMBER($AM159),ISNUMBER($AN159),$AM159&gt;$AN159),"Inicio posterior a fecha límite"&amp;" · ","")&amp;IF(AND($V159="Macro",$H159&lt;&gt;"",OR(NOT(ISNUMBER($H159)),$H159&lt;0,$H159&gt;1)),"Peso fuera de rango"&amp;" · ","")&amp;IF(AND($V159="Sub",$H159&lt;&gt;""),"Las subactividades no llevan peso (valen igual dentro de su macroactividad)"&amp;" · ","")&amp;IF(AND(N($W159)&gt;0,COUNT($I159:$L159)&gt;0),"Con subactividades: deje vacías las semanas (se calculan solas)"&amp;" · ","")&amp;IF((COUNTIF($I159:$L159,"&gt;1")+COUNTIF($I159:$L159,"&lt;0")+COUNTA($I159:$L159)-COUNT($I159:$L159))&gt;0,"Avance fuera de rango 0-100%"&amp;" · ","")&amp;IF(OR(AND($J159&lt;&gt;"",$J159&lt;$I159),AND($K159&lt;&gt;"",$K159&lt;MAX($I159:$J159)),AND($L159&lt;&gt;"",$L159&lt;MAX($I159:$K159))),"Avance semanal decreciente"&amp;" · ","")&amp;IF(AND(ISNUMBER($AN159),$AN159&lt;FechaRef,IF($V159="Sub",N($X159),N($M159))&lt;1),"Vencida"&amp;" · ","")&amp;IF(AND(ObsObligatoria="Sí",ISNUMBER($AN159),$AN159&lt;FechaRef,IF($V159="Sub",N($X159),N($M159))&lt;1,$Q159=""),"Vencida sin observación"&amp;" · ",""))="","✔ OK","⚠ "&amp;LEFT(IF($C159="","Falta el nombre de la actividad"&amp;" · ","")&amp;IF(AND($V159="Sub",N($U159)=0),"Subactividad sin macroactividad arriba"&amp;" · ","")&amp;IF($AM159="","Sin fecha de inicio"&amp;" · ","")&amp;IF($AN159="","Sin fecha límite"&amp;" · ","")&amp;IF(AND(LEFT($C159,11)="[Jefatura] ",N($AL159)=0),"No se encuentra en la hoja de la jefatura (elíjala de nuevo en la lista)"&amp;" · ","")&amp;IF(OR(AND($E159&lt;&gt;"",NOT(ISNUMBER($E159))),AND($F159&lt;&gt;"",NOT(ISNUMBER($F159))),AND($G159&lt;&gt;"",NOT(ISNUMBER($G159)))),"Fecha no válida"&amp;" · ","")&amp;IF(AND(ISNUMBER($AM159),ISNUMBER($AN159),$AM159&gt;$AN159),"Inicio posterior a fecha límite"&amp;" · ","")&amp;IF(AND($V159="Macro",$H159&lt;&gt;"",OR(NOT(ISNUMBER($H159)),$H159&lt;0,$H159&gt;1)),"Peso fuera de rango"&amp;" · ","")&amp;IF(AND($V159="Sub",$H159&lt;&gt;""),"Las subactividades no llevan peso (valen igual dentro de su macroactividad)"&amp;" · ","")&amp;IF(AND(N($W159)&gt;0,COUNT($I159:$L159)&gt;0),"Con subactividades: deje vacías las semanas (se calculan solas)"&amp;" · ","")&amp;IF((COUNTIF($I159:$L159,"&gt;1")+COUNTIF($I159:$L159,"&lt;0")+COUNTA($I159:$L159)-COUNT($I159:$L159))&gt;0,"Avance fuera de rango 0-100%"&amp;" · ","")&amp;IF(OR(AND($J159&lt;&gt;"",$J159&lt;$I159),AND($K159&lt;&gt;"",$K159&lt;MAX($I159:$J159)),AND($L159&lt;&gt;"",$L159&lt;MAX($I159:$K159))),"Avance semanal decreciente"&amp;" · ","")&amp;IF(AND(ISNUMBER($AN159),$AN159&lt;FechaRef,IF($V159="Sub",N($X159),N($M159))&lt;1),"Vencida"&amp;" · ","")&amp;IF(AND(ObsObligatoria="Sí",ISNUMBER($AN159),$AN159&lt;FechaRef,IF($V159="Sub",N($X159),N($M159))&lt;1,$Q159=""),"Vencida sin observación"&amp;" · ",""),LEN(IF($C159="","Falta el nombre de la actividad"&amp;" · ","")&amp;IF(AND($V159="Sub",N($U159)=0),"Subactividad sin macroactividad arriba"&amp;" · ","")&amp;IF($AM159="","Sin fecha de inicio"&amp;" · ","")&amp;IF($AN159="","Sin fecha límite"&amp;" · ","")&amp;IF(AND(LEFT($C159,11)="[Jefatura] ",N($AL159)=0),"No se encuentra en la hoja de la jefatura (elíjala de nuevo en la lista)"&amp;" · ","")&amp;IF(OR(AND($E159&lt;&gt;"",NOT(ISNUMBER($E159))),AND($F159&lt;&gt;"",NOT(ISNUMBER($F159))),AND($G159&lt;&gt;"",NOT(ISNUMBER($G159)))),"Fecha no válida"&amp;" · ","")&amp;IF(AND(ISNUMBER($AM159),ISNUMBER($AN159),$AM159&gt;$AN159),"Inicio posterior a fecha límite"&amp;" · ","")&amp;IF(AND($V159="Macro",$H159&lt;&gt;"",OR(NOT(ISNUMBER($H159)),$H159&lt;0,$H159&gt;1)),"Peso fuera de rango"&amp;" · ","")&amp;IF(AND($V159="Sub",$H159&lt;&gt;""),"Las subactividades no llevan peso (valen igual dentro de su macroactividad)"&amp;" · ","")&amp;IF(AND(N($W159)&gt;0,COUNT($I159:$L159)&gt;0),"Con subactividades: deje vacías las semanas (se calculan solas)"&amp;" · ","")&amp;IF((COUNTIF($I159:$L159,"&gt;1")+COUNTIF($I159:$L159,"&lt;0")+COUNTA($I159:$L159)-COUNT($I159:$L159))&gt;0,"Avance fuera de rango 0-100%"&amp;" · ","")&amp;IF(OR(AND($J159&lt;&gt;"",$J159&lt;$I159),AND($K159&lt;&gt;"",$K159&lt;MAX($I159:$J159)),AND($L159&lt;&gt;"",$L159&lt;MAX($I159:$K159))),"Avance semanal decreciente"&amp;" · ","")&amp;IF(AND(ISNUMBER($AN159),$AN159&lt;FechaRef,IF($V159="Sub",N($X159),N($M159))&lt;1),"Vencida"&amp;" · ","")&amp;IF(AND(ObsObligatoria="Sí",ISNUMBER($AN159),$AN159&lt;FechaRef,IF($V159="Sub",N($X159),N($M159))&lt;1,$Q159=""),"Vencida sin observación"&amp;" · ",""))-3)))</f>
        <v/>
      </c>
      <c r="S159" s="64">
        <f>IF(NOT((COUNTA($B159:$D159)+COUNTA($G159:$L159)+COUNTA($Q159))&gt;0),"",IF(AND($V159="Sub",N($U159)&gt;0),IF(ISNUMBER(INDEX($AM$5:$AM$1000,$U159-4)),DATE(YEAR(INDEX($AM$5:$AM$1000,$U159-4)),MONTH(INDEX($AM$5:$AM$1000,$U159-4)),1),IF(ISNUMBER(INDEX($AN$5:$AN$1000,$U159-4)),DATE(YEAR(INDEX($AN$5:$AN$1000,$U159-4)),MONTH(INDEX($AN$5:$AN$1000,$U159-4)),1),MesCiclo)),IF(ISNUMBER($AM159),DATE(YEAR($AM159),MONTH($AM159),1),IF(ISNUMBER($AN159),DATE(YEAR($AN159),MONTH($AN159),1),MesCiclo))))</f>
        <v/>
      </c>
      <c r="T159" s="62">
        <f>IF(OR($S159="",$S159&lt;&gt;MesCiclo,$V159&lt;&gt;"Macro"),"",COUNTIFS($S$5:$S159,MesCiclo,$V$5:$V159,"Macro"))</f>
        <v/>
      </c>
      <c r="U159" s="62">
        <f>IF($V159="","",IF($V159="Macro",ROW(),IFERROR(LOOKUP(2,1/($V$5:$V159="Macro"),ROW($V$5:$V159)),0)))</f>
        <v/>
      </c>
      <c r="V159" s="62">
        <f>IF(NOT((COUNTA($B159:$D159)+COUNTA($G159:$L159)+COUNTA($Q159))&gt;0),"",IF($B159="Subactividad","Sub","Macro"))</f>
        <v/>
      </c>
      <c r="W159" s="62">
        <f>IF($V159="Macro",COUNTIFS($U$5:$U$1000,ROW(),$V$5:$V$1000,"Sub"),"")</f>
        <v/>
      </c>
      <c r="X159" s="62">
        <f>IF($V159="","",IF(ISNUMBER($G159),1,IFERROR(LOOKUP(2,1/($I159:$L159&lt;&gt;""),$I159:$L159),0)))</f>
        <v/>
      </c>
      <c r="Y159" s="62">
        <f>IF($V159="","",IF(AND(ISNUMBER($G159),$G159&lt;=IF($S159=MesCiclo,InicioCiclo,$S159+MOD(2-WEEKDAY($S159),7))+6),1,IF(ISNUMBER($I159),$I159,0)))</f>
        <v/>
      </c>
      <c r="Z159" s="62">
        <f>IF($V159="","",IF(AND(ISNUMBER($G159),$G159&lt;=IF($S159=MesCiclo,InicioCiclo,$S159+MOD(2-WEEKDAY($S159),7))+13),1,IF(ISNUMBER($J159),$J159,$Y159)))</f>
        <v/>
      </c>
      <c r="AA159" s="62">
        <f>IF($V159="","",IF(AND(ISNUMBER($G159),$G159&lt;=IF($S159=MesCiclo,InicioCiclo,$S159+MOD(2-WEEKDAY($S159),7))+20),1,IF(ISNUMBER($K159),$K159,$Z159)))</f>
        <v/>
      </c>
      <c r="AB159" s="62">
        <f>IF($V159="","",IF(AND(ISNUMBER($G159),$G159&lt;=IF($S159=MesCiclo,InicioCiclo,$S159+MOD(2-WEEKDAY($S159),7))+27),1,IF(ISNUMBER($L159),$L159,$AA159)))</f>
        <v/>
      </c>
      <c r="AC159" s="62">
        <f>IF($V159="","",IF(AND(ISNUMBER($G159),$G159&lt;=IF($S159=MesCiclo,InicioCiclo,$S159+MOD(2-WEEKDAY($S159),7))+6),1,IF(N($W159)&gt;0,AVERAGEIFS($Y$5:$Y$1000,$U$5:$U$1000,ROW(),$V$5:$V$1000,"Sub"),$Y159)))</f>
        <v/>
      </c>
      <c r="AD159" s="62">
        <f>IF($V159="","",IF(AND(ISNUMBER($G159),$G159&lt;=IF($S159=MesCiclo,InicioCiclo,$S159+MOD(2-WEEKDAY($S159),7))+13),1,IF(N($W159)&gt;0,AVERAGEIFS($Z$5:$Z$1000,$U$5:$U$1000,ROW(),$V$5:$V$1000,"Sub"),$Z159)))</f>
        <v/>
      </c>
      <c r="AE159" s="62">
        <f>IF($V159="","",IF(AND(ISNUMBER($G159),$G159&lt;=IF($S159=MesCiclo,InicioCiclo,$S159+MOD(2-WEEKDAY($S159),7))+20),1,IF(N($W159)&gt;0,AVERAGEIFS($AA$5:$AA$1000,$U$5:$U$1000,ROW(),$V$5:$V$1000,"Sub"),$AA159)))</f>
        <v/>
      </c>
      <c r="AF159" s="62">
        <f>IF($V159="","",IF(AND(ISNUMBER($G159),$G159&lt;=IF($S159=MesCiclo,InicioCiclo,$S159+MOD(2-WEEKDAY($S159),7))+27),1,IF(N($W159)&gt;0,AVERAGEIFS($AB$5:$AB$1000,$U$5:$U$1000,ROW(),$V$5:$V$1000,"Sub"),$AB159)))</f>
        <v/>
      </c>
      <c r="AG159" s="62">
        <f>IF($V159&lt;&gt;"Macro","",IF(COUNTIFS($S$5:$S$1000,$S159,$V$5:$V$1000,"Macro",$H$5:$H$1000,"&gt;0")=0,1/COUNTIFS($S$5:$S$1000,$S159,$V$5:$V$1000,"Macro"),IF(AND(ISNUMBER($H159),N($H159)&gt;0),$H159,SUMIFS($H$5:$H$1000,$S$5:$S$1000,$S159,$V$5:$V$1000,"Macro")/COUNTIFS($S$5:$S$1000,$S159,$V$5:$V$1000,"Macro",$H$5:$H$1000,"&gt;0"))/(COUNTIFS($S$5:$S$1000,$S159,$V$5:$V$1000,"Macro")*SUMIFS($H$5:$H$1000,$S$5:$S$1000,$S159,$V$5:$V$1000,"Macro")/COUNTIFS($S$5:$S$1000,$S159,$V$5:$V$1000,"Macro",$H$5:$H$1000,"&gt;0"))))</f>
        <v/>
      </c>
      <c r="AH159" s="62" t="n"/>
      <c r="AI159" s="62" t="n"/>
      <c r="AJ159" s="62" t="n"/>
      <c r="AK159" s="62" t="n"/>
      <c r="AL159" s="62">
        <f>IF(LEFT($C159,11)="[Jefatura] ",IFERROR(MATCH("Riesgo Normativo|"&amp;MID($C159,12,500),rDname_ADM,0),0),"")</f>
        <v/>
      </c>
      <c r="AM159" s="62">
        <f>IF(N($AL159)&gt;0,INDEX(rIni_ADM,$AL159),IF(ISNUMBER($E159),$E159,""))</f>
        <v/>
      </c>
      <c r="AN159" s="62">
        <f>IF(N($AL159)&gt;0,INDEX(rLim_ADM,$AL159),IF(ISNUMBER($F159),$F159,""))</f>
        <v/>
      </c>
    </row>
    <row r="160">
      <c r="A160" s="56">
        <f>IF(NOT((COUNTA($B160:$D160)+COUNTA($G160:$L160)+COUNTA($Q160))&gt;0),"",IF($V160="Macro",COUNTIFS($V$5:$V160,"Macro",$S$5:$S160,$S160),IF(N($U160)=0,"?",COUNTIFS(INDEX($V$5:$V$1000,1):INDEX($V$5:$V$1000,$U160-4),"Macro",INDEX($S$5:$S$1000,1):INDEX($S$5:$S$1000,$U160-4),INDEX($S$5:$S$1000,$U160-4))&amp;"."&amp;COUNTIFS($U$5:$U160,$U160,$V$5:$V160,"Sub"))))</f>
        <v/>
      </c>
      <c r="B160" s="57" t="n"/>
      <c r="C160" s="58" t="n"/>
      <c r="D160" s="58" t="n"/>
      <c r="E160" s="59">
        <f>IF(N($AL160)&gt;0,INDEX(rIni_ADM,$AL160),"")</f>
        <v/>
      </c>
      <c r="F160" s="59">
        <f>IF(N($AL160)&gt;0,INDEX(rLim_ADM,$AL160),"")</f>
        <v/>
      </c>
      <c r="G160" s="59" t="n"/>
      <c r="H160" s="60" t="n"/>
      <c r="I160" s="60" t="n"/>
      <c r="J160" s="60" t="n"/>
      <c r="K160" s="60" t="n"/>
      <c r="L160" s="60" t="n"/>
      <c r="M160" s="61">
        <f>IF(NOT((COUNTA($B160:$D160)+COUNTA($G160:$L160)+COUNTA($Q160))&gt;0),"",IF($V160="Sub",IFERROR($X160/INDEX($W$5:$W$1000,$U160-4),""),IF(ISNUMBER($G160),1,IF(N($W160)&gt;0,AVERAGEIFS($X$5:$X$1000,$U$5:$U$1000,ROW(),$V$5:$V$1000,"Sub"),$X160))))</f>
        <v/>
      </c>
      <c r="N160" s="56">
        <f>IF(OR($M160="",$V160="Sub"),"",IF($M160&gt;=1,"Completado",IF($M160&gt;0,"En curso","Pendiente")))</f>
        <v/>
      </c>
      <c r="O160" s="56">
        <f>IF(OR(NOT((COUNTA($B160:$D160)+COUNTA($G160:$L160)+COUNTA($Q160))&gt;0),$V160="Sub"),"",IF(ISNUMBER($G160),IF(AND(ISNUMBER($AN160),$G160&gt;$AN160),"Cumplida con "&amp;($G160-$AN160)&amp;IF($G160-$AN160=1," día"," días")&amp;" de retraso","Cumplida"),IF(N($M160)&gt;=1,"Cumplida",IF(NOT(ISNUMBER($AN160)),"Sin fecha límite",IF($AN160&lt;FechaRef,"Vencida hace "&amp;(FechaRef-$AN160)&amp;IF(FechaRef-$AN160=1," día"," días"),IF($AN160=FechaRef,"Vence hoy",IF($AN160-FechaRef&lt;=DiasAlerta,"Vence en "&amp;($AN160-FechaRef)&amp;IF($AN160-FechaRef=1," día"," días"),"En plazo")))))))</f>
        <v/>
      </c>
      <c r="P160" s="62" t="n"/>
      <c r="Q160" s="58" t="n"/>
      <c r="R160" s="63">
        <f>IF(NOT((COUNTA($B160:$D160)+COUNTA($G160:$L160)+COUNTA($Q160))&gt;0),"",IF((IF($C160="","Falta el nombre de la actividad"&amp;" · ","")&amp;IF(AND($V160="Sub",N($U160)=0),"Subactividad sin macroactividad arriba"&amp;" · ","")&amp;IF($AM160="","Sin fecha de inicio"&amp;" · ","")&amp;IF($AN160="","Sin fecha límite"&amp;" · ","")&amp;IF(AND(LEFT($C160,11)="[Jefatura] ",N($AL160)=0),"No se encuentra en la hoja de la jefatura (elíjala de nuevo en la lista)"&amp;" · ","")&amp;IF(OR(AND($E160&lt;&gt;"",NOT(ISNUMBER($E160))),AND($F160&lt;&gt;"",NOT(ISNUMBER($F160))),AND($G160&lt;&gt;"",NOT(ISNUMBER($G160)))),"Fecha no válida"&amp;" · ","")&amp;IF(AND(ISNUMBER($AM160),ISNUMBER($AN160),$AM160&gt;$AN160),"Inicio posterior a fecha límite"&amp;" · ","")&amp;IF(AND($V160="Macro",$H160&lt;&gt;"",OR(NOT(ISNUMBER($H160)),$H160&lt;0,$H160&gt;1)),"Peso fuera de rango"&amp;" · ","")&amp;IF(AND($V160="Sub",$H160&lt;&gt;""),"Las subactividades no llevan peso (valen igual dentro de su macroactividad)"&amp;" · ","")&amp;IF(AND(N($W160)&gt;0,COUNT($I160:$L160)&gt;0),"Con subactividades: deje vacías las semanas (se calculan solas)"&amp;" · ","")&amp;IF((COUNTIF($I160:$L160,"&gt;1")+COUNTIF($I160:$L160,"&lt;0")+COUNTA($I160:$L160)-COUNT($I160:$L160))&gt;0,"Avance fuera de rango 0-100%"&amp;" · ","")&amp;IF(OR(AND($J160&lt;&gt;"",$J160&lt;$I160),AND($K160&lt;&gt;"",$K160&lt;MAX($I160:$J160)),AND($L160&lt;&gt;"",$L160&lt;MAX($I160:$K160))),"Avance semanal decreciente"&amp;" · ","")&amp;IF(AND(ISNUMBER($AN160),$AN160&lt;FechaRef,IF($V160="Sub",N($X160),N($M160))&lt;1),"Vencida"&amp;" · ","")&amp;IF(AND(ObsObligatoria="Sí",ISNUMBER($AN160),$AN160&lt;FechaRef,IF($V160="Sub",N($X160),N($M160))&lt;1,$Q160=""),"Vencida sin observación"&amp;" · ",""))="","✔ OK","⚠ "&amp;LEFT(IF($C160="","Falta el nombre de la actividad"&amp;" · ","")&amp;IF(AND($V160="Sub",N($U160)=0),"Subactividad sin macroactividad arriba"&amp;" · ","")&amp;IF($AM160="","Sin fecha de inicio"&amp;" · ","")&amp;IF($AN160="","Sin fecha límite"&amp;" · ","")&amp;IF(AND(LEFT($C160,11)="[Jefatura] ",N($AL160)=0),"No se encuentra en la hoja de la jefatura (elíjala de nuevo en la lista)"&amp;" · ","")&amp;IF(OR(AND($E160&lt;&gt;"",NOT(ISNUMBER($E160))),AND($F160&lt;&gt;"",NOT(ISNUMBER($F160))),AND($G160&lt;&gt;"",NOT(ISNUMBER($G160)))),"Fecha no válida"&amp;" · ","")&amp;IF(AND(ISNUMBER($AM160),ISNUMBER($AN160),$AM160&gt;$AN160),"Inicio posterior a fecha límite"&amp;" · ","")&amp;IF(AND($V160="Macro",$H160&lt;&gt;"",OR(NOT(ISNUMBER($H160)),$H160&lt;0,$H160&gt;1)),"Peso fuera de rango"&amp;" · ","")&amp;IF(AND($V160="Sub",$H160&lt;&gt;""),"Las subactividades no llevan peso (valen igual dentro de su macroactividad)"&amp;" · ","")&amp;IF(AND(N($W160)&gt;0,COUNT($I160:$L160)&gt;0),"Con subactividades: deje vacías las semanas (se calculan solas)"&amp;" · ","")&amp;IF((COUNTIF($I160:$L160,"&gt;1")+COUNTIF($I160:$L160,"&lt;0")+COUNTA($I160:$L160)-COUNT($I160:$L160))&gt;0,"Avance fuera de rango 0-100%"&amp;" · ","")&amp;IF(OR(AND($J160&lt;&gt;"",$J160&lt;$I160),AND($K160&lt;&gt;"",$K160&lt;MAX($I160:$J160)),AND($L160&lt;&gt;"",$L160&lt;MAX($I160:$K160))),"Avance semanal decreciente"&amp;" · ","")&amp;IF(AND(ISNUMBER($AN160),$AN160&lt;FechaRef,IF($V160="Sub",N($X160),N($M160))&lt;1),"Vencida"&amp;" · ","")&amp;IF(AND(ObsObligatoria="Sí",ISNUMBER($AN160),$AN160&lt;FechaRef,IF($V160="Sub",N($X160),N($M160))&lt;1,$Q160=""),"Vencida sin observación"&amp;" · ",""),LEN(IF($C160="","Falta el nombre de la actividad"&amp;" · ","")&amp;IF(AND($V160="Sub",N($U160)=0),"Subactividad sin macroactividad arriba"&amp;" · ","")&amp;IF($AM160="","Sin fecha de inicio"&amp;" · ","")&amp;IF($AN160="","Sin fecha límite"&amp;" · ","")&amp;IF(AND(LEFT($C160,11)="[Jefatura] ",N($AL160)=0),"No se encuentra en la hoja de la jefatura (elíjala de nuevo en la lista)"&amp;" · ","")&amp;IF(OR(AND($E160&lt;&gt;"",NOT(ISNUMBER($E160))),AND($F160&lt;&gt;"",NOT(ISNUMBER($F160))),AND($G160&lt;&gt;"",NOT(ISNUMBER($G160)))),"Fecha no válida"&amp;" · ","")&amp;IF(AND(ISNUMBER($AM160),ISNUMBER($AN160),$AM160&gt;$AN160),"Inicio posterior a fecha límite"&amp;" · ","")&amp;IF(AND($V160="Macro",$H160&lt;&gt;"",OR(NOT(ISNUMBER($H160)),$H160&lt;0,$H160&gt;1)),"Peso fuera de rango"&amp;" · ","")&amp;IF(AND($V160="Sub",$H160&lt;&gt;""),"Las subactividades no llevan peso (valen igual dentro de su macroactividad)"&amp;" · ","")&amp;IF(AND(N($W160)&gt;0,COUNT($I160:$L160)&gt;0),"Con subactividades: deje vacías las semanas (se calculan solas)"&amp;" · ","")&amp;IF((COUNTIF($I160:$L160,"&gt;1")+COUNTIF($I160:$L160,"&lt;0")+COUNTA($I160:$L160)-COUNT($I160:$L160))&gt;0,"Avance fuera de rango 0-100%"&amp;" · ","")&amp;IF(OR(AND($J160&lt;&gt;"",$J160&lt;$I160),AND($K160&lt;&gt;"",$K160&lt;MAX($I160:$J160)),AND($L160&lt;&gt;"",$L160&lt;MAX($I160:$K160))),"Avance semanal decreciente"&amp;" · ","")&amp;IF(AND(ISNUMBER($AN160),$AN160&lt;FechaRef,IF($V160="Sub",N($X160),N($M160))&lt;1),"Vencida"&amp;" · ","")&amp;IF(AND(ObsObligatoria="Sí",ISNUMBER($AN160),$AN160&lt;FechaRef,IF($V160="Sub",N($X160),N($M160))&lt;1,$Q160=""),"Vencida sin observación"&amp;" · ",""))-3)))</f>
        <v/>
      </c>
      <c r="S160" s="64">
        <f>IF(NOT((COUNTA($B160:$D160)+COUNTA($G160:$L160)+COUNTA($Q160))&gt;0),"",IF(AND($V160="Sub",N($U160)&gt;0),IF(ISNUMBER(INDEX($AM$5:$AM$1000,$U160-4)),DATE(YEAR(INDEX($AM$5:$AM$1000,$U160-4)),MONTH(INDEX($AM$5:$AM$1000,$U160-4)),1),IF(ISNUMBER(INDEX($AN$5:$AN$1000,$U160-4)),DATE(YEAR(INDEX($AN$5:$AN$1000,$U160-4)),MONTH(INDEX($AN$5:$AN$1000,$U160-4)),1),MesCiclo)),IF(ISNUMBER($AM160),DATE(YEAR($AM160),MONTH($AM160),1),IF(ISNUMBER($AN160),DATE(YEAR($AN160),MONTH($AN160),1),MesCiclo))))</f>
        <v/>
      </c>
      <c r="T160" s="62">
        <f>IF(OR($S160="",$S160&lt;&gt;MesCiclo,$V160&lt;&gt;"Macro"),"",COUNTIFS($S$5:$S160,MesCiclo,$V$5:$V160,"Macro"))</f>
        <v/>
      </c>
      <c r="U160" s="62">
        <f>IF($V160="","",IF($V160="Macro",ROW(),IFERROR(LOOKUP(2,1/($V$5:$V160="Macro"),ROW($V$5:$V160)),0)))</f>
        <v/>
      </c>
      <c r="V160" s="62">
        <f>IF(NOT((COUNTA($B160:$D160)+COUNTA($G160:$L160)+COUNTA($Q160))&gt;0),"",IF($B160="Subactividad","Sub","Macro"))</f>
        <v/>
      </c>
      <c r="W160" s="62">
        <f>IF($V160="Macro",COUNTIFS($U$5:$U$1000,ROW(),$V$5:$V$1000,"Sub"),"")</f>
        <v/>
      </c>
      <c r="X160" s="62">
        <f>IF($V160="","",IF(ISNUMBER($G160),1,IFERROR(LOOKUP(2,1/($I160:$L160&lt;&gt;""),$I160:$L160),0)))</f>
        <v/>
      </c>
      <c r="Y160" s="62">
        <f>IF($V160="","",IF(AND(ISNUMBER($G160),$G160&lt;=IF($S160=MesCiclo,InicioCiclo,$S160+MOD(2-WEEKDAY($S160),7))+6),1,IF(ISNUMBER($I160),$I160,0)))</f>
        <v/>
      </c>
      <c r="Z160" s="62">
        <f>IF($V160="","",IF(AND(ISNUMBER($G160),$G160&lt;=IF($S160=MesCiclo,InicioCiclo,$S160+MOD(2-WEEKDAY($S160),7))+13),1,IF(ISNUMBER($J160),$J160,$Y160)))</f>
        <v/>
      </c>
      <c r="AA160" s="62">
        <f>IF($V160="","",IF(AND(ISNUMBER($G160),$G160&lt;=IF($S160=MesCiclo,InicioCiclo,$S160+MOD(2-WEEKDAY($S160),7))+20),1,IF(ISNUMBER($K160),$K160,$Z160)))</f>
        <v/>
      </c>
      <c r="AB160" s="62">
        <f>IF($V160="","",IF(AND(ISNUMBER($G160),$G160&lt;=IF($S160=MesCiclo,InicioCiclo,$S160+MOD(2-WEEKDAY($S160),7))+27),1,IF(ISNUMBER($L160),$L160,$AA160)))</f>
        <v/>
      </c>
      <c r="AC160" s="62">
        <f>IF($V160="","",IF(AND(ISNUMBER($G160),$G160&lt;=IF($S160=MesCiclo,InicioCiclo,$S160+MOD(2-WEEKDAY($S160),7))+6),1,IF(N($W160)&gt;0,AVERAGEIFS($Y$5:$Y$1000,$U$5:$U$1000,ROW(),$V$5:$V$1000,"Sub"),$Y160)))</f>
        <v/>
      </c>
      <c r="AD160" s="62">
        <f>IF($V160="","",IF(AND(ISNUMBER($G160),$G160&lt;=IF($S160=MesCiclo,InicioCiclo,$S160+MOD(2-WEEKDAY($S160),7))+13),1,IF(N($W160)&gt;0,AVERAGEIFS($Z$5:$Z$1000,$U$5:$U$1000,ROW(),$V$5:$V$1000,"Sub"),$Z160)))</f>
        <v/>
      </c>
      <c r="AE160" s="62">
        <f>IF($V160="","",IF(AND(ISNUMBER($G160),$G160&lt;=IF($S160=MesCiclo,InicioCiclo,$S160+MOD(2-WEEKDAY($S160),7))+20),1,IF(N($W160)&gt;0,AVERAGEIFS($AA$5:$AA$1000,$U$5:$U$1000,ROW(),$V$5:$V$1000,"Sub"),$AA160)))</f>
        <v/>
      </c>
      <c r="AF160" s="62">
        <f>IF($V160="","",IF(AND(ISNUMBER($G160),$G160&lt;=IF($S160=MesCiclo,InicioCiclo,$S160+MOD(2-WEEKDAY($S160),7))+27),1,IF(N($W160)&gt;0,AVERAGEIFS($AB$5:$AB$1000,$U$5:$U$1000,ROW(),$V$5:$V$1000,"Sub"),$AB160)))</f>
        <v/>
      </c>
      <c r="AG160" s="62">
        <f>IF($V160&lt;&gt;"Macro","",IF(COUNTIFS($S$5:$S$1000,$S160,$V$5:$V$1000,"Macro",$H$5:$H$1000,"&gt;0")=0,1/COUNTIFS($S$5:$S$1000,$S160,$V$5:$V$1000,"Macro"),IF(AND(ISNUMBER($H160),N($H160)&gt;0),$H160,SUMIFS($H$5:$H$1000,$S$5:$S$1000,$S160,$V$5:$V$1000,"Macro")/COUNTIFS($S$5:$S$1000,$S160,$V$5:$V$1000,"Macro",$H$5:$H$1000,"&gt;0"))/(COUNTIFS($S$5:$S$1000,$S160,$V$5:$V$1000,"Macro")*SUMIFS($H$5:$H$1000,$S$5:$S$1000,$S160,$V$5:$V$1000,"Macro")/COUNTIFS($S$5:$S$1000,$S160,$V$5:$V$1000,"Macro",$H$5:$H$1000,"&gt;0"))))</f>
        <v/>
      </c>
      <c r="AH160" s="62" t="n"/>
      <c r="AI160" s="62" t="n"/>
      <c r="AJ160" s="62" t="n"/>
      <c r="AK160" s="62" t="n"/>
      <c r="AL160" s="62">
        <f>IF(LEFT($C160,11)="[Jefatura] ",IFERROR(MATCH("Riesgo Normativo|"&amp;MID($C160,12,500),rDname_ADM,0),0),"")</f>
        <v/>
      </c>
      <c r="AM160" s="62">
        <f>IF(N($AL160)&gt;0,INDEX(rIni_ADM,$AL160),IF(ISNUMBER($E160),$E160,""))</f>
        <v/>
      </c>
      <c r="AN160" s="62">
        <f>IF(N($AL160)&gt;0,INDEX(rLim_ADM,$AL160),IF(ISNUMBER($F160),$F160,""))</f>
        <v/>
      </c>
    </row>
    <row r="161">
      <c r="A161" s="56">
        <f>IF(NOT((COUNTA($B161:$D161)+COUNTA($G161:$L161)+COUNTA($Q161))&gt;0),"",IF($V161="Macro",COUNTIFS($V$5:$V161,"Macro",$S$5:$S161,$S161),IF(N($U161)=0,"?",COUNTIFS(INDEX($V$5:$V$1000,1):INDEX($V$5:$V$1000,$U161-4),"Macro",INDEX($S$5:$S$1000,1):INDEX($S$5:$S$1000,$U161-4),INDEX($S$5:$S$1000,$U161-4))&amp;"."&amp;COUNTIFS($U$5:$U161,$U161,$V$5:$V161,"Sub"))))</f>
        <v/>
      </c>
      <c r="B161" s="57" t="n"/>
      <c r="C161" s="58" t="n"/>
      <c r="D161" s="58" t="n"/>
      <c r="E161" s="59">
        <f>IF(N($AL161)&gt;0,INDEX(rIni_ADM,$AL161),"")</f>
        <v/>
      </c>
      <c r="F161" s="59">
        <f>IF(N($AL161)&gt;0,INDEX(rLim_ADM,$AL161),"")</f>
        <v/>
      </c>
      <c r="G161" s="59" t="n"/>
      <c r="H161" s="60" t="n"/>
      <c r="I161" s="60" t="n"/>
      <c r="J161" s="60" t="n"/>
      <c r="K161" s="60" t="n"/>
      <c r="L161" s="60" t="n"/>
      <c r="M161" s="61">
        <f>IF(NOT((COUNTA($B161:$D161)+COUNTA($G161:$L161)+COUNTA($Q161))&gt;0),"",IF($V161="Sub",IFERROR($X161/INDEX($W$5:$W$1000,$U161-4),""),IF(ISNUMBER($G161),1,IF(N($W161)&gt;0,AVERAGEIFS($X$5:$X$1000,$U$5:$U$1000,ROW(),$V$5:$V$1000,"Sub"),$X161))))</f>
        <v/>
      </c>
      <c r="N161" s="56">
        <f>IF(OR($M161="",$V161="Sub"),"",IF($M161&gt;=1,"Completado",IF($M161&gt;0,"En curso","Pendiente")))</f>
        <v/>
      </c>
      <c r="O161" s="56">
        <f>IF(OR(NOT((COUNTA($B161:$D161)+COUNTA($G161:$L161)+COUNTA($Q161))&gt;0),$V161="Sub"),"",IF(ISNUMBER($G161),IF(AND(ISNUMBER($AN161),$G161&gt;$AN161),"Cumplida con "&amp;($G161-$AN161)&amp;IF($G161-$AN161=1," día"," días")&amp;" de retraso","Cumplida"),IF(N($M161)&gt;=1,"Cumplida",IF(NOT(ISNUMBER($AN161)),"Sin fecha límite",IF($AN161&lt;FechaRef,"Vencida hace "&amp;(FechaRef-$AN161)&amp;IF(FechaRef-$AN161=1," día"," días"),IF($AN161=FechaRef,"Vence hoy",IF($AN161-FechaRef&lt;=DiasAlerta,"Vence en "&amp;($AN161-FechaRef)&amp;IF($AN161-FechaRef=1," día"," días"),"En plazo")))))))</f>
        <v/>
      </c>
      <c r="P161" s="62" t="n"/>
      <c r="Q161" s="58" t="n"/>
      <c r="R161" s="63">
        <f>IF(NOT((COUNTA($B161:$D161)+COUNTA($G161:$L161)+COUNTA($Q161))&gt;0),"",IF((IF($C161="","Falta el nombre de la actividad"&amp;" · ","")&amp;IF(AND($V161="Sub",N($U161)=0),"Subactividad sin macroactividad arriba"&amp;" · ","")&amp;IF($AM161="","Sin fecha de inicio"&amp;" · ","")&amp;IF($AN161="","Sin fecha límite"&amp;" · ","")&amp;IF(AND(LEFT($C161,11)="[Jefatura] ",N($AL161)=0),"No se encuentra en la hoja de la jefatura (elíjala de nuevo en la lista)"&amp;" · ","")&amp;IF(OR(AND($E161&lt;&gt;"",NOT(ISNUMBER($E161))),AND($F161&lt;&gt;"",NOT(ISNUMBER($F161))),AND($G161&lt;&gt;"",NOT(ISNUMBER($G161)))),"Fecha no válida"&amp;" · ","")&amp;IF(AND(ISNUMBER($AM161),ISNUMBER($AN161),$AM161&gt;$AN161),"Inicio posterior a fecha límite"&amp;" · ","")&amp;IF(AND($V161="Macro",$H161&lt;&gt;"",OR(NOT(ISNUMBER($H161)),$H161&lt;0,$H161&gt;1)),"Peso fuera de rango"&amp;" · ","")&amp;IF(AND($V161="Sub",$H161&lt;&gt;""),"Las subactividades no llevan peso (valen igual dentro de su macroactividad)"&amp;" · ","")&amp;IF(AND(N($W161)&gt;0,COUNT($I161:$L161)&gt;0),"Con subactividades: deje vacías las semanas (se calculan solas)"&amp;" · ","")&amp;IF((COUNTIF($I161:$L161,"&gt;1")+COUNTIF($I161:$L161,"&lt;0")+COUNTA($I161:$L161)-COUNT($I161:$L161))&gt;0,"Avance fuera de rango 0-100%"&amp;" · ","")&amp;IF(OR(AND($J161&lt;&gt;"",$J161&lt;$I161),AND($K161&lt;&gt;"",$K161&lt;MAX($I161:$J161)),AND($L161&lt;&gt;"",$L161&lt;MAX($I161:$K161))),"Avance semanal decreciente"&amp;" · ","")&amp;IF(AND(ISNUMBER($AN161),$AN161&lt;FechaRef,IF($V161="Sub",N($X161),N($M161))&lt;1),"Vencida"&amp;" · ","")&amp;IF(AND(ObsObligatoria="Sí",ISNUMBER($AN161),$AN161&lt;FechaRef,IF($V161="Sub",N($X161),N($M161))&lt;1,$Q161=""),"Vencida sin observación"&amp;" · ",""))="","✔ OK","⚠ "&amp;LEFT(IF($C161="","Falta el nombre de la actividad"&amp;" · ","")&amp;IF(AND($V161="Sub",N($U161)=0),"Subactividad sin macroactividad arriba"&amp;" · ","")&amp;IF($AM161="","Sin fecha de inicio"&amp;" · ","")&amp;IF($AN161="","Sin fecha límite"&amp;" · ","")&amp;IF(AND(LEFT($C161,11)="[Jefatura] ",N($AL161)=0),"No se encuentra en la hoja de la jefatura (elíjala de nuevo en la lista)"&amp;" · ","")&amp;IF(OR(AND($E161&lt;&gt;"",NOT(ISNUMBER($E161))),AND($F161&lt;&gt;"",NOT(ISNUMBER($F161))),AND($G161&lt;&gt;"",NOT(ISNUMBER($G161)))),"Fecha no válida"&amp;" · ","")&amp;IF(AND(ISNUMBER($AM161),ISNUMBER($AN161),$AM161&gt;$AN161),"Inicio posterior a fecha límite"&amp;" · ","")&amp;IF(AND($V161="Macro",$H161&lt;&gt;"",OR(NOT(ISNUMBER($H161)),$H161&lt;0,$H161&gt;1)),"Peso fuera de rango"&amp;" · ","")&amp;IF(AND($V161="Sub",$H161&lt;&gt;""),"Las subactividades no llevan peso (valen igual dentro de su macroactividad)"&amp;" · ","")&amp;IF(AND(N($W161)&gt;0,COUNT($I161:$L161)&gt;0),"Con subactividades: deje vacías las semanas (se calculan solas)"&amp;" · ","")&amp;IF((COUNTIF($I161:$L161,"&gt;1")+COUNTIF($I161:$L161,"&lt;0")+COUNTA($I161:$L161)-COUNT($I161:$L161))&gt;0,"Avance fuera de rango 0-100%"&amp;" · ","")&amp;IF(OR(AND($J161&lt;&gt;"",$J161&lt;$I161),AND($K161&lt;&gt;"",$K161&lt;MAX($I161:$J161)),AND($L161&lt;&gt;"",$L161&lt;MAX($I161:$K161))),"Avance semanal decreciente"&amp;" · ","")&amp;IF(AND(ISNUMBER($AN161),$AN161&lt;FechaRef,IF($V161="Sub",N($X161),N($M161))&lt;1),"Vencida"&amp;" · ","")&amp;IF(AND(ObsObligatoria="Sí",ISNUMBER($AN161),$AN161&lt;FechaRef,IF($V161="Sub",N($X161),N($M161))&lt;1,$Q161=""),"Vencida sin observación"&amp;" · ",""),LEN(IF($C161="","Falta el nombre de la actividad"&amp;" · ","")&amp;IF(AND($V161="Sub",N($U161)=0),"Subactividad sin macroactividad arriba"&amp;" · ","")&amp;IF($AM161="","Sin fecha de inicio"&amp;" · ","")&amp;IF($AN161="","Sin fecha límite"&amp;" · ","")&amp;IF(AND(LEFT($C161,11)="[Jefatura] ",N($AL161)=0),"No se encuentra en la hoja de la jefatura (elíjala de nuevo en la lista)"&amp;" · ","")&amp;IF(OR(AND($E161&lt;&gt;"",NOT(ISNUMBER($E161))),AND($F161&lt;&gt;"",NOT(ISNUMBER($F161))),AND($G161&lt;&gt;"",NOT(ISNUMBER($G161)))),"Fecha no válida"&amp;" · ","")&amp;IF(AND(ISNUMBER($AM161),ISNUMBER($AN161),$AM161&gt;$AN161),"Inicio posterior a fecha límite"&amp;" · ","")&amp;IF(AND($V161="Macro",$H161&lt;&gt;"",OR(NOT(ISNUMBER($H161)),$H161&lt;0,$H161&gt;1)),"Peso fuera de rango"&amp;" · ","")&amp;IF(AND($V161="Sub",$H161&lt;&gt;""),"Las subactividades no llevan peso (valen igual dentro de su macroactividad)"&amp;" · ","")&amp;IF(AND(N($W161)&gt;0,COUNT($I161:$L161)&gt;0),"Con subactividades: deje vacías las semanas (se calculan solas)"&amp;" · ","")&amp;IF((COUNTIF($I161:$L161,"&gt;1")+COUNTIF($I161:$L161,"&lt;0")+COUNTA($I161:$L161)-COUNT($I161:$L161))&gt;0,"Avance fuera de rango 0-100%"&amp;" · ","")&amp;IF(OR(AND($J161&lt;&gt;"",$J161&lt;$I161),AND($K161&lt;&gt;"",$K161&lt;MAX($I161:$J161)),AND($L161&lt;&gt;"",$L161&lt;MAX($I161:$K161))),"Avance semanal decreciente"&amp;" · ","")&amp;IF(AND(ISNUMBER($AN161),$AN161&lt;FechaRef,IF($V161="Sub",N($X161),N($M161))&lt;1),"Vencida"&amp;" · ","")&amp;IF(AND(ObsObligatoria="Sí",ISNUMBER($AN161),$AN161&lt;FechaRef,IF($V161="Sub",N($X161),N($M161))&lt;1,$Q161=""),"Vencida sin observación"&amp;" · ",""))-3)))</f>
        <v/>
      </c>
      <c r="S161" s="64">
        <f>IF(NOT((COUNTA($B161:$D161)+COUNTA($G161:$L161)+COUNTA($Q161))&gt;0),"",IF(AND($V161="Sub",N($U161)&gt;0),IF(ISNUMBER(INDEX($AM$5:$AM$1000,$U161-4)),DATE(YEAR(INDEX($AM$5:$AM$1000,$U161-4)),MONTH(INDEX($AM$5:$AM$1000,$U161-4)),1),IF(ISNUMBER(INDEX($AN$5:$AN$1000,$U161-4)),DATE(YEAR(INDEX($AN$5:$AN$1000,$U161-4)),MONTH(INDEX($AN$5:$AN$1000,$U161-4)),1),MesCiclo)),IF(ISNUMBER($AM161),DATE(YEAR($AM161),MONTH($AM161),1),IF(ISNUMBER($AN161),DATE(YEAR($AN161),MONTH($AN161),1),MesCiclo))))</f>
        <v/>
      </c>
      <c r="T161" s="62">
        <f>IF(OR($S161="",$S161&lt;&gt;MesCiclo,$V161&lt;&gt;"Macro"),"",COUNTIFS($S$5:$S161,MesCiclo,$V$5:$V161,"Macro"))</f>
        <v/>
      </c>
      <c r="U161" s="62">
        <f>IF($V161="","",IF($V161="Macro",ROW(),IFERROR(LOOKUP(2,1/($V$5:$V161="Macro"),ROW($V$5:$V161)),0)))</f>
        <v/>
      </c>
      <c r="V161" s="62">
        <f>IF(NOT((COUNTA($B161:$D161)+COUNTA($G161:$L161)+COUNTA($Q161))&gt;0),"",IF($B161="Subactividad","Sub","Macro"))</f>
        <v/>
      </c>
      <c r="W161" s="62">
        <f>IF($V161="Macro",COUNTIFS($U$5:$U$1000,ROW(),$V$5:$V$1000,"Sub"),"")</f>
        <v/>
      </c>
      <c r="X161" s="62">
        <f>IF($V161="","",IF(ISNUMBER($G161),1,IFERROR(LOOKUP(2,1/($I161:$L161&lt;&gt;""),$I161:$L161),0)))</f>
        <v/>
      </c>
      <c r="Y161" s="62">
        <f>IF($V161="","",IF(AND(ISNUMBER($G161),$G161&lt;=IF($S161=MesCiclo,InicioCiclo,$S161+MOD(2-WEEKDAY($S161),7))+6),1,IF(ISNUMBER($I161),$I161,0)))</f>
        <v/>
      </c>
      <c r="Z161" s="62">
        <f>IF($V161="","",IF(AND(ISNUMBER($G161),$G161&lt;=IF($S161=MesCiclo,InicioCiclo,$S161+MOD(2-WEEKDAY($S161),7))+13),1,IF(ISNUMBER($J161),$J161,$Y161)))</f>
        <v/>
      </c>
      <c r="AA161" s="62">
        <f>IF($V161="","",IF(AND(ISNUMBER($G161),$G161&lt;=IF($S161=MesCiclo,InicioCiclo,$S161+MOD(2-WEEKDAY($S161),7))+20),1,IF(ISNUMBER($K161),$K161,$Z161)))</f>
        <v/>
      </c>
      <c r="AB161" s="62">
        <f>IF($V161="","",IF(AND(ISNUMBER($G161),$G161&lt;=IF($S161=MesCiclo,InicioCiclo,$S161+MOD(2-WEEKDAY($S161),7))+27),1,IF(ISNUMBER($L161),$L161,$AA161)))</f>
        <v/>
      </c>
      <c r="AC161" s="62">
        <f>IF($V161="","",IF(AND(ISNUMBER($G161),$G161&lt;=IF($S161=MesCiclo,InicioCiclo,$S161+MOD(2-WEEKDAY($S161),7))+6),1,IF(N($W161)&gt;0,AVERAGEIFS($Y$5:$Y$1000,$U$5:$U$1000,ROW(),$V$5:$V$1000,"Sub"),$Y161)))</f>
        <v/>
      </c>
      <c r="AD161" s="62">
        <f>IF($V161="","",IF(AND(ISNUMBER($G161),$G161&lt;=IF($S161=MesCiclo,InicioCiclo,$S161+MOD(2-WEEKDAY($S161),7))+13),1,IF(N($W161)&gt;0,AVERAGEIFS($Z$5:$Z$1000,$U$5:$U$1000,ROW(),$V$5:$V$1000,"Sub"),$Z161)))</f>
        <v/>
      </c>
      <c r="AE161" s="62">
        <f>IF($V161="","",IF(AND(ISNUMBER($G161),$G161&lt;=IF($S161=MesCiclo,InicioCiclo,$S161+MOD(2-WEEKDAY($S161),7))+20),1,IF(N($W161)&gt;0,AVERAGEIFS($AA$5:$AA$1000,$U$5:$U$1000,ROW(),$V$5:$V$1000,"Sub"),$AA161)))</f>
        <v/>
      </c>
      <c r="AF161" s="62">
        <f>IF($V161="","",IF(AND(ISNUMBER($G161),$G161&lt;=IF($S161=MesCiclo,InicioCiclo,$S161+MOD(2-WEEKDAY($S161),7))+27),1,IF(N($W161)&gt;0,AVERAGEIFS($AB$5:$AB$1000,$U$5:$U$1000,ROW(),$V$5:$V$1000,"Sub"),$AB161)))</f>
        <v/>
      </c>
      <c r="AG161" s="62">
        <f>IF($V161&lt;&gt;"Macro","",IF(COUNTIFS($S$5:$S$1000,$S161,$V$5:$V$1000,"Macro",$H$5:$H$1000,"&gt;0")=0,1/COUNTIFS($S$5:$S$1000,$S161,$V$5:$V$1000,"Macro"),IF(AND(ISNUMBER($H161),N($H161)&gt;0),$H161,SUMIFS($H$5:$H$1000,$S$5:$S$1000,$S161,$V$5:$V$1000,"Macro")/COUNTIFS($S$5:$S$1000,$S161,$V$5:$V$1000,"Macro",$H$5:$H$1000,"&gt;0"))/(COUNTIFS($S$5:$S$1000,$S161,$V$5:$V$1000,"Macro")*SUMIFS($H$5:$H$1000,$S$5:$S$1000,$S161,$V$5:$V$1000,"Macro")/COUNTIFS($S$5:$S$1000,$S161,$V$5:$V$1000,"Macro",$H$5:$H$1000,"&gt;0"))))</f>
        <v/>
      </c>
      <c r="AH161" s="62" t="n"/>
      <c r="AI161" s="62" t="n"/>
      <c r="AJ161" s="62" t="n"/>
      <c r="AK161" s="62" t="n"/>
      <c r="AL161" s="62">
        <f>IF(LEFT($C161,11)="[Jefatura] ",IFERROR(MATCH("Riesgo Normativo|"&amp;MID($C161,12,500),rDname_ADM,0),0),"")</f>
        <v/>
      </c>
      <c r="AM161" s="62">
        <f>IF(N($AL161)&gt;0,INDEX(rIni_ADM,$AL161),IF(ISNUMBER($E161),$E161,""))</f>
        <v/>
      </c>
      <c r="AN161" s="62">
        <f>IF(N($AL161)&gt;0,INDEX(rLim_ADM,$AL161),IF(ISNUMBER($F161),$F161,""))</f>
        <v/>
      </c>
    </row>
    <row r="162">
      <c r="A162" s="56">
        <f>IF(NOT((COUNTA($B162:$D162)+COUNTA($G162:$L162)+COUNTA($Q162))&gt;0),"",IF($V162="Macro",COUNTIFS($V$5:$V162,"Macro",$S$5:$S162,$S162),IF(N($U162)=0,"?",COUNTIFS(INDEX($V$5:$V$1000,1):INDEX($V$5:$V$1000,$U162-4),"Macro",INDEX($S$5:$S$1000,1):INDEX($S$5:$S$1000,$U162-4),INDEX($S$5:$S$1000,$U162-4))&amp;"."&amp;COUNTIFS($U$5:$U162,$U162,$V$5:$V162,"Sub"))))</f>
        <v/>
      </c>
      <c r="B162" s="57" t="n"/>
      <c r="C162" s="58" t="n"/>
      <c r="D162" s="58" t="n"/>
      <c r="E162" s="59">
        <f>IF(N($AL162)&gt;0,INDEX(rIni_ADM,$AL162),"")</f>
        <v/>
      </c>
      <c r="F162" s="59">
        <f>IF(N($AL162)&gt;0,INDEX(rLim_ADM,$AL162),"")</f>
        <v/>
      </c>
      <c r="G162" s="59" t="n"/>
      <c r="H162" s="60" t="n"/>
      <c r="I162" s="60" t="n"/>
      <c r="J162" s="60" t="n"/>
      <c r="K162" s="60" t="n"/>
      <c r="L162" s="60" t="n"/>
      <c r="M162" s="61">
        <f>IF(NOT((COUNTA($B162:$D162)+COUNTA($G162:$L162)+COUNTA($Q162))&gt;0),"",IF($V162="Sub",IFERROR($X162/INDEX($W$5:$W$1000,$U162-4),""),IF(ISNUMBER($G162),1,IF(N($W162)&gt;0,AVERAGEIFS($X$5:$X$1000,$U$5:$U$1000,ROW(),$V$5:$V$1000,"Sub"),$X162))))</f>
        <v/>
      </c>
      <c r="N162" s="56">
        <f>IF(OR($M162="",$V162="Sub"),"",IF($M162&gt;=1,"Completado",IF($M162&gt;0,"En curso","Pendiente")))</f>
        <v/>
      </c>
      <c r="O162" s="56">
        <f>IF(OR(NOT((COUNTA($B162:$D162)+COUNTA($G162:$L162)+COUNTA($Q162))&gt;0),$V162="Sub"),"",IF(ISNUMBER($G162),IF(AND(ISNUMBER($AN162),$G162&gt;$AN162),"Cumplida con "&amp;($G162-$AN162)&amp;IF($G162-$AN162=1," día"," días")&amp;" de retraso","Cumplida"),IF(N($M162)&gt;=1,"Cumplida",IF(NOT(ISNUMBER($AN162)),"Sin fecha límite",IF($AN162&lt;FechaRef,"Vencida hace "&amp;(FechaRef-$AN162)&amp;IF(FechaRef-$AN162=1," día"," días"),IF($AN162=FechaRef,"Vence hoy",IF($AN162-FechaRef&lt;=DiasAlerta,"Vence en "&amp;($AN162-FechaRef)&amp;IF($AN162-FechaRef=1," día"," días"),"En plazo")))))))</f>
        <v/>
      </c>
      <c r="P162" s="62" t="n"/>
      <c r="Q162" s="58" t="n"/>
      <c r="R162" s="63">
        <f>IF(NOT((COUNTA($B162:$D162)+COUNTA($G162:$L162)+COUNTA($Q162))&gt;0),"",IF((IF($C162="","Falta el nombre de la actividad"&amp;" · ","")&amp;IF(AND($V162="Sub",N($U162)=0),"Subactividad sin macroactividad arriba"&amp;" · ","")&amp;IF($AM162="","Sin fecha de inicio"&amp;" · ","")&amp;IF($AN162="","Sin fecha límite"&amp;" · ","")&amp;IF(AND(LEFT($C162,11)="[Jefatura] ",N($AL162)=0),"No se encuentra en la hoja de la jefatura (elíjala de nuevo en la lista)"&amp;" · ","")&amp;IF(OR(AND($E162&lt;&gt;"",NOT(ISNUMBER($E162))),AND($F162&lt;&gt;"",NOT(ISNUMBER($F162))),AND($G162&lt;&gt;"",NOT(ISNUMBER($G162)))),"Fecha no válida"&amp;" · ","")&amp;IF(AND(ISNUMBER($AM162),ISNUMBER($AN162),$AM162&gt;$AN162),"Inicio posterior a fecha límite"&amp;" · ","")&amp;IF(AND($V162="Macro",$H162&lt;&gt;"",OR(NOT(ISNUMBER($H162)),$H162&lt;0,$H162&gt;1)),"Peso fuera de rango"&amp;" · ","")&amp;IF(AND($V162="Sub",$H162&lt;&gt;""),"Las subactividades no llevan peso (valen igual dentro de su macroactividad)"&amp;" · ","")&amp;IF(AND(N($W162)&gt;0,COUNT($I162:$L162)&gt;0),"Con subactividades: deje vacías las semanas (se calculan solas)"&amp;" · ","")&amp;IF((COUNTIF($I162:$L162,"&gt;1")+COUNTIF($I162:$L162,"&lt;0")+COUNTA($I162:$L162)-COUNT($I162:$L162))&gt;0,"Avance fuera de rango 0-100%"&amp;" · ","")&amp;IF(OR(AND($J162&lt;&gt;"",$J162&lt;$I162),AND($K162&lt;&gt;"",$K162&lt;MAX($I162:$J162)),AND($L162&lt;&gt;"",$L162&lt;MAX($I162:$K162))),"Avance semanal decreciente"&amp;" · ","")&amp;IF(AND(ISNUMBER($AN162),$AN162&lt;FechaRef,IF($V162="Sub",N($X162),N($M162))&lt;1),"Vencida"&amp;" · ","")&amp;IF(AND(ObsObligatoria="Sí",ISNUMBER($AN162),$AN162&lt;FechaRef,IF($V162="Sub",N($X162),N($M162))&lt;1,$Q162=""),"Vencida sin observación"&amp;" · ",""))="","✔ OK","⚠ "&amp;LEFT(IF($C162="","Falta el nombre de la actividad"&amp;" · ","")&amp;IF(AND($V162="Sub",N($U162)=0),"Subactividad sin macroactividad arriba"&amp;" · ","")&amp;IF($AM162="","Sin fecha de inicio"&amp;" · ","")&amp;IF($AN162="","Sin fecha límite"&amp;" · ","")&amp;IF(AND(LEFT($C162,11)="[Jefatura] ",N($AL162)=0),"No se encuentra en la hoja de la jefatura (elíjala de nuevo en la lista)"&amp;" · ","")&amp;IF(OR(AND($E162&lt;&gt;"",NOT(ISNUMBER($E162))),AND($F162&lt;&gt;"",NOT(ISNUMBER($F162))),AND($G162&lt;&gt;"",NOT(ISNUMBER($G162)))),"Fecha no válida"&amp;" · ","")&amp;IF(AND(ISNUMBER($AM162),ISNUMBER($AN162),$AM162&gt;$AN162),"Inicio posterior a fecha límite"&amp;" · ","")&amp;IF(AND($V162="Macro",$H162&lt;&gt;"",OR(NOT(ISNUMBER($H162)),$H162&lt;0,$H162&gt;1)),"Peso fuera de rango"&amp;" · ","")&amp;IF(AND($V162="Sub",$H162&lt;&gt;""),"Las subactividades no llevan peso (valen igual dentro de su macroactividad)"&amp;" · ","")&amp;IF(AND(N($W162)&gt;0,COUNT($I162:$L162)&gt;0),"Con subactividades: deje vacías las semanas (se calculan solas)"&amp;" · ","")&amp;IF((COUNTIF($I162:$L162,"&gt;1")+COUNTIF($I162:$L162,"&lt;0")+COUNTA($I162:$L162)-COUNT($I162:$L162))&gt;0,"Avance fuera de rango 0-100%"&amp;" · ","")&amp;IF(OR(AND($J162&lt;&gt;"",$J162&lt;$I162),AND($K162&lt;&gt;"",$K162&lt;MAX($I162:$J162)),AND($L162&lt;&gt;"",$L162&lt;MAX($I162:$K162))),"Avance semanal decreciente"&amp;" · ","")&amp;IF(AND(ISNUMBER($AN162),$AN162&lt;FechaRef,IF($V162="Sub",N($X162),N($M162))&lt;1),"Vencida"&amp;" · ","")&amp;IF(AND(ObsObligatoria="Sí",ISNUMBER($AN162),$AN162&lt;FechaRef,IF($V162="Sub",N($X162),N($M162))&lt;1,$Q162=""),"Vencida sin observación"&amp;" · ",""),LEN(IF($C162="","Falta el nombre de la actividad"&amp;" · ","")&amp;IF(AND($V162="Sub",N($U162)=0),"Subactividad sin macroactividad arriba"&amp;" · ","")&amp;IF($AM162="","Sin fecha de inicio"&amp;" · ","")&amp;IF($AN162="","Sin fecha límite"&amp;" · ","")&amp;IF(AND(LEFT($C162,11)="[Jefatura] ",N($AL162)=0),"No se encuentra en la hoja de la jefatura (elíjala de nuevo en la lista)"&amp;" · ","")&amp;IF(OR(AND($E162&lt;&gt;"",NOT(ISNUMBER($E162))),AND($F162&lt;&gt;"",NOT(ISNUMBER($F162))),AND($G162&lt;&gt;"",NOT(ISNUMBER($G162)))),"Fecha no válida"&amp;" · ","")&amp;IF(AND(ISNUMBER($AM162),ISNUMBER($AN162),$AM162&gt;$AN162),"Inicio posterior a fecha límite"&amp;" · ","")&amp;IF(AND($V162="Macro",$H162&lt;&gt;"",OR(NOT(ISNUMBER($H162)),$H162&lt;0,$H162&gt;1)),"Peso fuera de rango"&amp;" · ","")&amp;IF(AND($V162="Sub",$H162&lt;&gt;""),"Las subactividades no llevan peso (valen igual dentro de su macroactividad)"&amp;" · ","")&amp;IF(AND(N($W162)&gt;0,COUNT($I162:$L162)&gt;0),"Con subactividades: deje vacías las semanas (se calculan solas)"&amp;" · ","")&amp;IF((COUNTIF($I162:$L162,"&gt;1")+COUNTIF($I162:$L162,"&lt;0")+COUNTA($I162:$L162)-COUNT($I162:$L162))&gt;0,"Avance fuera de rango 0-100%"&amp;" · ","")&amp;IF(OR(AND($J162&lt;&gt;"",$J162&lt;$I162),AND($K162&lt;&gt;"",$K162&lt;MAX($I162:$J162)),AND($L162&lt;&gt;"",$L162&lt;MAX($I162:$K162))),"Avance semanal decreciente"&amp;" · ","")&amp;IF(AND(ISNUMBER($AN162),$AN162&lt;FechaRef,IF($V162="Sub",N($X162),N($M162))&lt;1),"Vencida"&amp;" · ","")&amp;IF(AND(ObsObligatoria="Sí",ISNUMBER($AN162),$AN162&lt;FechaRef,IF($V162="Sub",N($X162),N($M162))&lt;1,$Q162=""),"Vencida sin observación"&amp;" · ",""))-3)))</f>
        <v/>
      </c>
      <c r="S162" s="64">
        <f>IF(NOT((COUNTA($B162:$D162)+COUNTA($G162:$L162)+COUNTA($Q162))&gt;0),"",IF(AND($V162="Sub",N($U162)&gt;0),IF(ISNUMBER(INDEX($AM$5:$AM$1000,$U162-4)),DATE(YEAR(INDEX($AM$5:$AM$1000,$U162-4)),MONTH(INDEX($AM$5:$AM$1000,$U162-4)),1),IF(ISNUMBER(INDEX($AN$5:$AN$1000,$U162-4)),DATE(YEAR(INDEX($AN$5:$AN$1000,$U162-4)),MONTH(INDEX($AN$5:$AN$1000,$U162-4)),1),MesCiclo)),IF(ISNUMBER($AM162),DATE(YEAR($AM162),MONTH($AM162),1),IF(ISNUMBER($AN162),DATE(YEAR($AN162),MONTH($AN162),1),MesCiclo))))</f>
        <v/>
      </c>
      <c r="T162" s="62">
        <f>IF(OR($S162="",$S162&lt;&gt;MesCiclo,$V162&lt;&gt;"Macro"),"",COUNTIFS($S$5:$S162,MesCiclo,$V$5:$V162,"Macro"))</f>
        <v/>
      </c>
      <c r="U162" s="62">
        <f>IF($V162="","",IF($V162="Macro",ROW(),IFERROR(LOOKUP(2,1/($V$5:$V162="Macro"),ROW($V$5:$V162)),0)))</f>
        <v/>
      </c>
      <c r="V162" s="62">
        <f>IF(NOT((COUNTA($B162:$D162)+COUNTA($G162:$L162)+COUNTA($Q162))&gt;0),"",IF($B162="Subactividad","Sub","Macro"))</f>
        <v/>
      </c>
      <c r="W162" s="62">
        <f>IF($V162="Macro",COUNTIFS($U$5:$U$1000,ROW(),$V$5:$V$1000,"Sub"),"")</f>
        <v/>
      </c>
      <c r="X162" s="62">
        <f>IF($V162="","",IF(ISNUMBER($G162),1,IFERROR(LOOKUP(2,1/($I162:$L162&lt;&gt;""),$I162:$L162),0)))</f>
        <v/>
      </c>
      <c r="Y162" s="62">
        <f>IF($V162="","",IF(AND(ISNUMBER($G162),$G162&lt;=IF($S162=MesCiclo,InicioCiclo,$S162+MOD(2-WEEKDAY($S162),7))+6),1,IF(ISNUMBER($I162),$I162,0)))</f>
        <v/>
      </c>
      <c r="Z162" s="62">
        <f>IF($V162="","",IF(AND(ISNUMBER($G162),$G162&lt;=IF($S162=MesCiclo,InicioCiclo,$S162+MOD(2-WEEKDAY($S162),7))+13),1,IF(ISNUMBER($J162),$J162,$Y162)))</f>
        <v/>
      </c>
      <c r="AA162" s="62">
        <f>IF($V162="","",IF(AND(ISNUMBER($G162),$G162&lt;=IF($S162=MesCiclo,InicioCiclo,$S162+MOD(2-WEEKDAY($S162),7))+20),1,IF(ISNUMBER($K162),$K162,$Z162)))</f>
        <v/>
      </c>
      <c r="AB162" s="62">
        <f>IF($V162="","",IF(AND(ISNUMBER($G162),$G162&lt;=IF($S162=MesCiclo,InicioCiclo,$S162+MOD(2-WEEKDAY($S162),7))+27),1,IF(ISNUMBER($L162),$L162,$AA162)))</f>
        <v/>
      </c>
      <c r="AC162" s="62">
        <f>IF($V162="","",IF(AND(ISNUMBER($G162),$G162&lt;=IF($S162=MesCiclo,InicioCiclo,$S162+MOD(2-WEEKDAY($S162),7))+6),1,IF(N($W162)&gt;0,AVERAGEIFS($Y$5:$Y$1000,$U$5:$U$1000,ROW(),$V$5:$V$1000,"Sub"),$Y162)))</f>
        <v/>
      </c>
      <c r="AD162" s="62">
        <f>IF($V162="","",IF(AND(ISNUMBER($G162),$G162&lt;=IF($S162=MesCiclo,InicioCiclo,$S162+MOD(2-WEEKDAY($S162),7))+13),1,IF(N($W162)&gt;0,AVERAGEIFS($Z$5:$Z$1000,$U$5:$U$1000,ROW(),$V$5:$V$1000,"Sub"),$Z162)))</f>
        <v/>
      </c>
      <c r="AE162" s="62">
        <f>IF($V162="","",IF(AND(ISNUMBER($G162),$G162&lt;=IF($S162=MesCiclo,InicioCiclo,$S162+MOD(2-WEEKDAY($S162),7))+20),1,IF(N($W162)&gt;0,AVERAGEIFS($AA$5:$AA$1000,$U$5:$U$1000,ROW(),$V$5:$V$1000,"Sub"),$AA162)))</f>
        <v/>
      </c>
      <c r="AF162" s="62">
        <f>IF($V162="","",IF(AND(ISNUMBER($G162),$G162&lt;=IF($S162=MesCiclo,InicioCiclo,$S162+MOD(2-WEEKDAY($S162),7))+27),1,IF(N($W162)&gt;0,AVERAGEIFS($AB$5:$AB$1000,$U$5:$U$1000,ROW(),$V$5:$V$1000,"Sub"),$AB162)))</f>
        <v/>
      </c>
      <c r="AG162" s="62">
        <f>IF($V162&lt;&gt;"Macro","",IF(COUNTIFS($S$5:$S$1000,$S162,$V$5:$V$1000,"Macro",$H$5:$H$1000,"&gt;0")=0,1/COUNTIFS($S$5:$S$1000,$S162,$V$5:$V$1000,"Macro"),IF(AND(ISNUMBER($H162),N($H162)&gt;0),$H162,SUMIFS($H$5:$H$1000,$S$5:$S$1000,$S162,$V$5:$V$1000,"Macro")/COUNTIFS($S$5:$S$1000,$S162,$V$5:$V$1000,"Macro",$H$5:$H$1000,"&gt;0"))/(COUNTIFS($S$5:$S$1000,$S162,$V$5:$V$1000,"Macro")*SUMIFS($H$5:$H$1000,$S$5:$S$1000,$S162,$V$5:$V$1000,"Macro")/COUNTIFS($S$5:$S$1000,$S162,$V$5:$V$1000,"Macro",$H$5:$H$1000,"&gt;0"))))</f>
        <v/>
      </c>
      <c r="AH162" s="62" t="n"/>
      <c r="AI162" s="62" t="n"/>
      <c r="AJ162" s="62" t="n"/>
      <c r="AK162" s="62" t="n"/>
      <c r="AL162" s="62">
        <f>IF(LEFT($C162,11)="[Jefatura] ",IFERROR(MATCH("Riesgo Normativo|"&amp;MID($C162,12,500),rDname_ADM,0),0),"")</f>
        <v/>
      </c>
      <c r="AM162" s="62">
        <f>IF(N($AL162)&gt;0,INDEX(rIni_ADM,$AL162),IF(ISNUMBER($E162),$E162,""))</f>
        <v/>
      </c>
      <c r="AN162" s="62">
        <f>IF(N($AL162)&gt;0,INDEX(rLim_ADM,$AL162),IF(ISNUMBER($F162),$F162,""))</f>
        <v/>
      </c>
    </row>
    <row r="163">
      <c r="A163" s="56">
        <f>IF(NOT((COUNTA($B163:$D163)+COUNTA($G163:$L163)+COUNTA($Q163))&gt;0),"",IF($V163="Macro",COUNTIFS($V$5:$V163,"Macro",$S$5:$S163,$S163),IF(N($U163)=0,"?",COUNTIFS(INDEX($V$5:$V$1000,1):INDEX($V$5:$V$1000,$U163-4),"Macro",INDEX($S$5:$S$1000,1):INDEX($S$5:$S$1000,$U163-4),INDEX($S$5:$S$1000,$U163-4))&amp;"."&amp;COUNTIFS($U$5:$U163,$U163,$V$5:$V163,"Sub"))))</f>
        <v/>
      </c>
      <c r="B163" s="57" t="n"/>
      <c r="C163" s="58" t="n"/>
      <c r="D163" s="58" t="n"/>
      <c r="E163" s="59">
        <f>IF(N($AL163)&gt;0,INDEX(rIni_ADM,$AL163),"")</f>
        <v/>
      </c>
      <c r="F163" s="59">
        <f>IF(N($AL163)&gt;0,INDEX(rLim_ADM,$AL163),"")</f>
        <v/>
      </c>
      <c r="G163" s="59" t="n"/>
      <c r="H163" s="60" t="n"/>
      <c r="I163" s="60" t="n"/>
      <c r="J163" s="60" t="n"/>
      <c r="K163" s="60" t="n"/>
      <c r="L163" s="60" t="n"/>
      <c r="M163" s="61">
        <f>IF(NOT((COUNTA($B163:$D163)+COUNTA($G163:$L163)+COUNTA($Q163))&gt;0),"",IF($V163="Sub",IFERROR($X163/INDEX($W$5:$W$1000,$U163-4),""),IF(ISNUMBER($G163),1,IF(N($W163)&gt;0,AVERAGEIFS($X$5:$X$1000,$U$5:$U$1000,ROW(),$V$5:$V$1000,"Sub"),$X163))))</f>
        <v/>
      </c>
      <c r="N163" s="56">
        <f>IF(OR($M163="",$V163="Sub"),"",IF($M163&gt;=1,"Completado",IF($M163&gt;0,"En curso","Pendiente")))</f>
        <v/>
      </c>
      <c r="O163" s="56">
        <f>IF(OR(NOT((COUNTA($B163:$D163)+COUNTA($G163:$L163)+COUNTA($Q163))&gt;0),$V163="Sub"),"",IF(ISNUMBER($G163),IF(AND(ISNUMBER($AN163),$G163&gt;$AN163),"Cumplida con "&amp;($G163-$AN163)&amp;IF($G163-$AN163=1," día"," días")&amp;" de retraso","Cumplida"),IF(N($M163)&gt;=1,"Cumplida",IF(NOT(ISNUMBER($AN163)),"Sin fecha límite",IF($AN163&lt;FechaRef,"Vencida hace "&amp;(FechaRef-$AN163)&amp;IF(FechaRef-$AN163=1," día"," días"),IF($AN163=FechaRef,"Vence hoy",IF($AN163-FechaRef&lt;=DiasAlerta,"Vence en "&amp;($AN163-FechaRef)&amp;IF($AN163-FechaRef=1," día"," días"),"En plazo")))))))</f>
        <v/>
      </c>
      <c r="P163" s="62" t="n"/>
      <c r="Q163" s="58" t="n"/>
      <c r="R163" s="63">
        <f>IF(NOT((COUNTA($B163:$D163)+COUNTA($G163:$L163)+COUNTA($Q163))&gt;0),"",IF((IF($C163="","Falta el nombre de la actividad"&amp;" · ","")&amp;IF(AND($V163="Sub",N($U163)=0),"Subactividad sin macroactividad arriba"&amp;" · ","")&amp;IF($AM163="","Sin fecha de inicio"&amp;" · ","")&amp;IF($AN163="","Sin fecha límite"&amp;" · ","")&amp;IF(AND(LEFT($C163,11)="[Jefatura] ",N($AL163)=0),"No se encuentra en la hoja de la jefatura (elíjala de nuevo en la lista)"&amp;" · ","")&amp;IF(OR(AND($E163&lt;&gt;"",NOT(ISNUMBER($E163))),AND($F163&lt;&gt;"",NOT(ISNUMBER($F163))),AND($G163&lt;&gt;"",NOT(ISNUMBER($G163)))),"Fecha no válida"&amp;" · ","")&amp;IF(AND(ISNUMBER($AM163),ISNUMBER($AN163),$AM163&gt;$AN163),"Inicio posterior a fecha límite"&amp;" · ","")&amp;IF(AND($V163="Macro",$H163&lt;&gt;"",OR(NOT(ISNUMBER($H163)),$H163&lt;0,$H163&gt;1)),"Peso fuera de rango"&amp;" · ","")&amp;IF(AND($V163="Sub",$H163&lt;&gt;""),"Las subactividades no llevan peso (valen igual dentro de su macroactividad)"&amp;" · ","")&amp;IF(AND(N($W163)&gt;0,COUNT($I163:$L163)&gt;0),"Con subactividades: deje vacías las semanas (se calculan solas)"&amp;" · ","")&amp;IF((COUNTIF($I163:$L163,"&gt;1")+COUNTIF($I163:$L163,"&lt;0")+COUNTA($I163:$L163)-COUNT($I163:$L163))&gt;0,"Avance fuera de rango 0-100%"&amp;" · ","")&amp;IF(OR(AND($J163&lt;&gt;"",$J163&lt;$I163),AND($K163&lt;&gt;"",$K163&lt;MAX($I163:$J163)),AND($L163&lt;&gt;"",$L163&lt;MAX($I163:$K163))),"Avance semanal decreciente"&amp;" · ","")&amp;IF(AND(ISNUMBER($AN163),$AN163&lt;FechaRef,IF($V163="Sub",N($X163),N($M163))&lt;1),"Vencida"&amp;" · ","")&amp;IF(AND(ObsObligatoria="Sí",ISNUMBER($AN163),$AN163&lt;FechaRef,IF($V163="Sub",N($X163),N($M163))&lt;1,$Q163=""),"Vencida sin observación"&amp;" · ",""))="","✔ OK","⚠ "&amp;LEFT(IF($C163="","Falta el nombre de la actividad"&amp;" · ","")&amp;IF(AND($V163="Sub",N($U163)=0),"Subactividad sin macroactividad arriba"&amp;" · ","")&amp;IF($AM163="","Sin fecha de inicio"&amp;" · ","")&amp;IF($AN163="","Sin fecha límite"&amp;" · ","")&amp;IF(AND(LEFT($C163,11)="[Jefatura] ",N($AL163)=0),"No se encuentra en la hoja de la jefatura (elíjala de nuevo en la lista)"&amp;" · ","")&amp;IF(OR(AND($E163&lt;&gt;"",NOT(ISNUMBER($E163))),AND($F163&lt;&gt;"",NOT(ISNUMBER($F163))),AND($G163&lt;&gt;"",NOT(ISNUMBER($G163)))),"Fecha no válida"&amp;" · ","")&amp;IF(AND(ISNUMBER($AM163),ISNUMBER($AN163),$AM163&gt;$AN163),"Inicio posterior a fecha límite"&amp;" · ","")&amp;IF(AND($V163="Macro",$H163&lt;&gt;"",OR(NOT(ISNUMBER($H163)),$H163&lt;0,$H163&gt;1)),"Peso fuera de rango"&amp;" · ","")&amp;IF(AND($V163="Sub",$H163&lt;&gt;""),"Las subactividades no llevan peso (valen igual dentro de su macroactividad)"&amp;" · ","")&amp;IF(AND(N($W163)&gt;0,COUNT($I163:$L163)&gt;0),"Con subactividades: deje vacías las semanas (se calculan solas)"&amp;" · ","")&amp;IF((COUNTIF($I163:$L163,"&gt;1")+COUNTIF($I163:$L163,"&lt;0")+COUNTA($I163:$L163)-COUNT($I163:$L163))&gt;0,"Avance fuera de rango 0-100%"&amp;" · ","")&amp;IF(OR(AND($J163&lt;&gt;"",$J163&lt;$I163),AND($K163&lt;&gt;"",$K163&lt;MAX($I163:$J163)),AND($L163&lt;&gt;"",$L163&lt;MAX($I163:$K163))),"Avance semanal decreciente"&amp;" · ","")&amp;IF(AND(ISNUMBER($AN163),$AN163&lt;FechaRef,IF($V163="Sub",N($X163),N($M163))&lt;1),"Vencida"&amp;" · ","")&amp;IF(AND(ObsObligatoria="Sí",ISNUMBER($AN163),$AN163&lt;FechaRef,IF($V163="Sub",N($X163),N($M163))&lt;1,$Q163=""),"Vencida sin observación"&amp;" · ",""),LEN(IF($C163="","Falta el nombre de la actividad"&amp;" · ","")&amp;IF(AND($V163="Sub",N($U163)=0),"Subactividad sin macroactividad arriba"&amp;" · ","")&amp;IF($AM163="","Sin fecha de inicio"&amp;" · ","")&amp;IF($AN163="","Sin fecha límite"&amp;" · ","")&amp;IF(AND(LEFT($C163,11)="[Jefatura] ",N($AL163)=0),"No se encuentra en la hoja de la jefatura (elíjala de nuevo en la lista)"&amp;" · ","")&amp;IF(OR(AND($E163&lt;&gt;"",NOT(ISNUMBER($E163))),AND($F163&lt;&gt;"",NOT(ISNUMBER($F163))),AND($G163&lt;&gt;"",NOT(ISNUMBER($G163)))),"Fecha no válida"&amp;" · ","")&amp;IF(AND(ISNUMBER($AM163),ISNUMBER($AN163),$AM163&gt;$AN163),"Inicio posterior a fecha límite"&amp;" · ","")&amp;IF(AND($V163="Macro",$H163&lt;&gt;"",OR(NOT(ISNUMBER($H163)),$H163&lt;0,$H163&gt;1)),"Peso fuera de rango"&amp;" · ","")&amp;IF(AND($V163="Sub",$H163&lt;&gt;""),"Las subactividades no llevan peso (valen igual dentro de su macroactividad)"&amp;" · ","")&amp;IF(AND(N($W163)&gt;0,COUNT($I163:$L163)&gt;0),"Con subactividades: deje vacías las semanas (se calculan solas)"&amp;" · ","")&amp;IF((COUNTIF($I163:$L163,"&gt;1")+COUNTIF($I163:$L163,"&lt;0")+COUNTA($I163:$L163)-COUNT($I163:$L163))&gt;0,"Avance fuera de rango 0-100%"&amp;" · ","")&amp;IF(OR(AND($J163&lt;&gt;"",$J163&lt;$I163),AND($K163&lt;&gt;"",$K163&lt;MAX($I163:$J163)),AND($L163&lt;&gt;"",$L163&lt;MAX($I163:$K163))),"Avance semanal decreciente"&amp;" · ","")&amp;IF(AND(ISNUMBER($AN163),$AN163&lt;FechaRef,IF($V163="Sub",N($X163),N($M163))&lt;1),"Vencida"&amp;" · ","")&amp;IF(AND(ObsObligatoria="Sí",ISNUMBER($AN163),$AN163&lt;FechaRef,IF($V163="Sub",N($X163),N($M163))&lt;1,$Q163=""),"Vencida sin observación"&amp;" · ",""))-3)))</f>
        <v/>
      </c>
      <c r="S163" s="64">
        <f>IF(NOT((COUNTA($B163:$D163)+COUNTA($G163:$L163)+COUNTA($Q163))&gt;0),"",IF(AND($V163="Sub",N($U163)&gt;0),IF(ISNUMBER(INDEX($AM$5:$AM$1000,$U163-4)),DATE(YEAR(INDEX($AM$5:$AM$1000,$U163-4)),MONTH(INDEX($AM$5:$AM$1000,$U163-4)),1),IF(ISNUMBER(INDEX($AN$5:$AN$1000,$U163-4)),DATE(YEAR(INDEX($AN$5:$AN$1000,$U163-4)),MONTH(INDEX($AN$5:$AN$1000,$U163-4)),1),MesCiclo)),IF(ISNUMBER($AM163),DATE(YEAR($AM163),MONTH($AM163),1),IF(ISNUMBER($AN163),DATE(YEAR($AN163),MONTH($AN163),1),MesCiclo))))</f>
        <v/>
      </c>
      <c r="T163" s="62">
        <f>IF(OR($S163="",$S163&lt;&gt;MesCiclo,$V163&lt;&gt;"Macro"),"",COUNTIFS($S$5:$S163,MesCiclo,$V$5:$V163,"Macro"))</f>
        <v/>
      </c>
      <c r="U163" s="62">
        <f>IF($V163="","",IF($V163="Macro",ROW(),IFERROR(LOOKUP(2,1/($V$5:$V163="Macro"),ROW($V$5:$V163)),0)))</f>
        <v/>
      </c>
      <c r="V163" s="62">
        <f>IF(NOT((COUNTA($B163:$D163)+COUNTA($G163:$L163)+COUNTA($Q163))&gt;0),"",IF($B163="Subactividad","Sub","Macro"))</f>
        <v/>
      </c>
      <c r="W163" s="62">
        <f>IF($V163="Macro",COUNTIFS($U$5:$U$1000,ROW(),$V$5:$V$1000,"Sub"),"")</f>
        <v/>
      </c>
      <c r="X163" s="62">
        <f>IF($V163="","",IF(ISNUMBER($G163),1,IFERROR(LOOKUP(2,1/($I163:$L163&lt;&gt;""),$I163:$L163),0)))</f>
        <v/>
      </c>
      <c r="Y163" s="62">
        <f>IF($V163="","",IF(AND(ISNUMBER($G163),$G163&lt;=IF($S163=MesCiclo,InicioCiclo,$S163+MOD(2-WEEKDAY($S163),7))+6),1,IF(ISNUMBER($I163),$I163,0)))</f>
        <v/>
      </c>
      <c r="Z163" s="62">
        <f>IF($V163="","",IF(AND(ISNUMBER($G163),$G163&lt;=IF($S163=MesCiclo,InicioCiclo,$S163+MOD(2-WEEKDAY($S163),7))+13),1,IF(ISNUMBER($J163),$J163,$Y163)))</f>
        <v/>
      </c>
      <c r="AA163" s="62">
        <f>IF($V163="","",IF(AND(ISNUMBER($G163),$G163&lt;=IF($S163=MesCiclo,InicioCiclo,$S163+MOD(2-WEEKDAY($S163),7))+20),1,IF(ISNUMBER($K163),$K163,$Z163)))</f>
        <v/>
      </c>
      <c r="AB163" s="62">
        <f>IF($V163="","",IF(AND(ISNUMBER($G163),$G163&lt;=IF($S163=MesCiclo,InicioCiclo,$S163+MOD(2-WEEKDAY($S163),7))+27),1,IF(ISNUMBER($L163),$L163,$AA163)))</f>
        <v/>
      </c>
      <c r="AC163" s="62">
        <f>IF($V163="","",IF(AND(ISNUMBER($G163),$G163&lt;=IF($S163=MesCiclo,InicioCiclo,$S163+MOD(2-WEEKDAY($S163),7))+6),1,IF(N($W163)&gt;0,AVERAGEIFS($Y$5:$Y$1000,$U$5:$U$1000,ROW(),$V$5:$V$1000,"Sub"),$Y163)))</f>
        <v/>
      </c>
      <c r="AD163" s="62">
        <f>IF($V163="","",IF(AND(ISNUMBER($G163),$G163&lt;=IF($S163=MesCiclo,InicioCiclo,$S163+MOD(2-WEEKDAY($S163),7))+13),1,IF(N($W163)&gt;0,AVERAGEIFS($Z$5:$Z$1000,$U$5:$U$1000,ROW(),$V$5:$V$1000,"Sub"),$Z163)))</f>
        <v/>
      </c>
      <c r="AE163" s="62">
        <f>IF($V163="","",IF(AND(ISNUMBER($G163),$G163&lt;=IF($S163=MesCiclo,InicioCiclo,$S163+MOD(2-WEEKDAY($S163),7))+20),1,IF(N($W163)&gt;0,AVERAGEIFS($AA$5:$AA$1000,$U$5:$U$1000,ROW(),$V$5:$V$1000,"Sub"),$AA163)))</f>
        <v/>
      </c>
      <c r="AF163" s="62">
        <f>IF($V163="","",IF(AND(ISNUMBER($G163),$G163&lt;=IF($S163=MesCiclo,InicioCiclo,$S163+MOD(2-WEEKDAY($S163),7))+27),1,IF(N($W163)&gt;0,AVERAGEIFS($AB$5:$AB$1000,$U$5:$U$1000,ROW(),$V$5:$V$1000,"Sub"),$AB163)))</f>
        <v/>
      </c>
      <c r="AG163" s="62">
        <f>IF($V163&lt;&gt;"Macro","",IF(COUNTIFS($S$5:$S$1000,$S163,$V$5:$V$1000,"Macro",$H$5:$H$1000,"&gt;0")=0,1/COUNTIFS($S$5:$S$1000,$S163,$V$5:$V$1000,"Macro"),IF(AND(ISNUMBER($H163),N($H163)&gt;0),$H163,SUMIFS($H$5:$H$1000,$S$5:$S$1000,$S163,$V$5:$V$1000,"Macro")/COUNTIFS($S$5:$S$1000,$S163,$V$5:$V$1000,"Macro",$H$5:$H$1000,"&gt;0"))/(COUNTIFS($S$5:$S$1000,$S163,$V$5:$V$1000,"Macro")*SUMIFS($H$5:$H$1000,$S$5:$S$1000,$S163,$V$5:$V$1000,"Macro")/COUNTIFS($S$5:$S$1000,$S163,$V$5:$V$1000,"Macro",$H$5:$H$1000,"&gt;0"))))</f>
        <v/>
      </c>
      <c r="AH163" s="62" t="n"/>
      <c r="AI163" s="62" t="n"/>
      <c r="AJ163" s="62" t="n"/>
      <c r="AK163" s="62" t="n"/>
      <c r="AL163" s="62">
        <f>IF(LEFT($C163,11)="[Jefatura] ",IFERROR(MATCH("Riesgo Normativo|"&amp;MID($C163,12,500),rDname_ADM,0),0),"")</f>
        <v/>
      </c>
      <c r="AM163" s="62">
        <f>IF(N($AL163)&gt;0,INDEX(rIni_ADM,$AL163),IF(ISNUMBER($E163),$E163,""))</f>
        <v/>
      </c>
      <c r="AN163" s="62">
        <f>IF(N($AL163)&gt;0,INDEX(rLim_ADM,$AL163),IF(ISNUMBER($F163),$F163,""))</f>
        <v/>
      </c>
    </row>
    <row r="164">
      <c r="A164" s="56">
        <f>IF(NOT((COUNTA($B164:$D164)+COUNTA($G164:$L164)+COUNTA($Q164))&gt;0),"",IF($V164="Macro",COUNTIFS($V$5:$V164,"Macro",$S$5:$S164,$S164),IF(N($U164)=0,"?",COUNTIFS(INDEX($V$5:$V$1000,1):INDEX($V$5:$V$1000,$U164-4),"Macro",INDEX($S$5:$S$1000,1):INDEX($S$5:$S$1000,$U164-4),INDEX($S$5:$S$1000,$U164-4))&amp;"."&amp;COUNTIFS($U$5:$U164,$U164,$V$5:$V164,"Sub"))))</f>
        <v/>
      </c>
      <c r="B164" s="57" t="n"/>
      <c r="C164" s="58" t="n"/>
      <c r="D164" s="58" t="n"/>
      <c r="E164" s="59">
        <f>IF(N($AL164)&gt;0,INDEX(rIni_ADM,$AL164),"")</f>
        <v/>
      </c>
      <c r="F164" s="59">
        <f>IF(N($AL164)&gt;0,INDEX(rLim_ADM,$AL164),"")</f>
        <v/>
      </c>
      <c r="G164" s="59" t="n"/>
      <c r="H164" s="60" t="n"/>
      <c r="I164" s="60" t="n"/>
      <c r="J164" s="60" t="n"/>
      <c r="K164" s="60" t="n"/>
      <c r="L164" s="60" t="n"/>
      <c r="M164" s="61">
        <f>IF(NOT((COUNTA($B164:$D164)+COUNTA($G164:$L164)+COUNTA($Q164))&gt;0),"",IF($V164="Sub",IFERROR($X164/INDEX($W$5:$W$1000,$U164-4),""),IF(ISNUMBER($G164),1,IF(N($W164)&gt;0,AVERAGEIFS($X$5:$X$1000,$U$5:$U$1000,ROW(),$V$5:$V$1000,"Sub"),$X164))))</f>
        <v/>
      </c>
      <c r="N164" s="56">
        <f>IF(OR($M164="",$V164="Sub"),"",IF($M164&gt;=1,"Completado",IF($M164&gt;0,"En curso","Pendiente")))</f>
        <v/>
      </c>
      <c r="O164" s="56">
        <f>IF(OR(NOT((COUNTA($B164:$D164)+COUNTA($G164:$L164)+COUNTA($Q164))&gt;0),$V164="Sub"),"",IF(ISNUMBER($G164),IF(AND(ISNUMBER($AN164),$G164&gt;$AN164),"Cumplida con "&amp;($G164-$AN164)&amp;IF($G164-$AN164=1," día"," días")&amp;" de retraso","Cumplida"),IF(N($M164)&gt;=1,"Cumplida",IF(NOT(ISNUMBER($AN164)),"Sin fecha límite",IF($AN164&lt;FechaRef,"Vencida hace "&amp;(FechaRef-$AN164)&amp;IF(FechaRef-$AN164=1," día"," días"),IF($AN164=FechaRef,"Vence hoy",IF($AN164-FechaRef&lt;=DiasAlerta,"Vence en "&amp;($AN164-FechaRef)&amp;IF($AN164-FechaRef=1," día"," días"),"En plazo")))))))</f>
        <v/>
      </c>
      <c r="P164" s="62" t="n"/>
      <c r="Q164" s="58" t="n"/>
      <c r="R164" s="63">
        <f>IF(NOT((COUNTA($B164:$D164)+COUNTA($G164:$L164)+COUNTA($Q164))&gt;0),"",IF((IF($C164="","Falta el nombre de la actividad"&amp;" · ","")&amp;IF(AND($V164="Sub",N($U164)=0),"Subactividad sin macroactividad arriba"&amp;" · ","")&amp;IF($AM164="","Sin fecha de inicio"&amp;" · ","")&amp;IF($AN164="","Sin fecha límite"&amp;" · ","")&amp;IF(AND(LEFT($C164,11)="[Jefatura] ",N($AL164)=0),"No se encuentra en la hoja de la jefatura (elíjala de nuevo en la lista)"&amp;" · ","")&amp;IF(OR(AND($E164&lt;&gt;"",NOT(ISNUMBER($E164))),AND($F164&lt;&gt;"",NOT(ISNUMBER($F164))),AND($G164&lt;&gt;"",NOT(ISNUMBER($G164)))),"Fecha no válida"&amp;" · ","")&amp;IF(AND(ISNUMBER($AM164),ISNUMBER($AN164),$AM164&gt;$AN164),"Inicio posterior a fecha límite"&amp;" · ","")&amp;IF(AND($V164="Macro",$H164&lt;&gt;"",OR(NOT(ISNUMBER($H164)),$H164&lt;0,$H164&gt;1)),"Peso fuera de rango"&amp;" · ","")&amp;IF(AND($V164="Sub",$H164&lt;&gt;""),"Las subactividades no llevan peso (valen igual dentro de su macroactividad)"&amp;" · ","")&amp;IF(AND(N($W164)&gt;0,COUNT($I164:$L164)&gt;0),"Con subactividades: deje vacías las semanas (se calculan solas)"&amp;" · ","")&amp;IF((COUNTIF($I164:$L164,"&gt;1")+COUNTIF($I164:$L164,"&lt;0")+COUNTA($I164:$L164)-COUNT($I164:$L164))&gt;0,"Avance fuera de rango 0-100%"&amp;" · ","")&amp;IF(OR(AND($J164&lt;&gt;"",$J164&lt;$I164),AND($K164&lt;&gt;"",$K164&lt;MAX($I164:$J164)),AND($L164&lt;&gt;"",$L164&lt;MAX($I164:$K164))),"Avance semanal decreciente"&amp;" · ","")&amp;IF(AND(ISNUMBER($AN164),$AN164&lt;FechaRef,IF($V164="Sub",N($X164),N($M164))&lt;1),"Vencida"&amp;" · ","")&amp;IF(AND(ObsObligatoria="Sí",ISNUMBER($AN164),$AN164&lt;FechaRef,IF($V164="Sub",N($X164),N($M164))&lt;1,$Q164=""),"Vencida sin observación"&amp;" · ",""))="","✔ OK","⚠ "&amp;LEFT(IF($C164="","Falta el nombre de la actividad"&amp;" · ","")&amp;IF(AND($V164="Sub",N($U164)=0),"Subactividad sin macroactividad arriba"&amp;" · ","")&amp;IF($AM164="","Sin fecha de inicio"&amp;" · ","")&amp;IF($AN164="","Sin fecha límite"&amp;" · ","")&amp;IF(AND(LEFT($C164,11)="[Jefatura] ",N($AL164)=0),"No se encuentra en la hoja de la jefatura (elíjala de nuevo en la lista)"&amp;" · ","")&amp;IF(OR(AND($E164&lt;&gt;"",NOT(ISNUMBER($E164))),AND($F164&lt;&gt;"",NOT(ISNUMBER($F164))),AND($G164&lt;&gt;"",NOT(ISNUMBER($G164)))),"Fecha no válida"&amp;" · ","")&amp;IF(AND(ISNUMBER($AM164),ISNUMBER($AN164),$AM164&gt;$AN164),"Inicio posterior a fecha límite"&amp;" · ","")&amp;IF(AND($V164="Macro",$H164&lt;&gt;"",OR(NOT(ISNUMBER($H164)),$H164&lt;0,$H164&gt;1)),"Peso fuera de rango"&amp;" · ","")&amp;IF(AND($V164="Sub",$H164&lt;&gt;""),"Las subactividades no llevan peso (valen igual dentro de su macroactividad)"&amp;" · ","")&amp;IF(AND(N($W164)&gt;0,COUNT($I164:$L164)&gt;0),"Con subactividades: deje vacías las semanas (se calculan solas)"&amp;" · ","")&amp;IF((COUNTIF($I164:$L164,"&gt;1")+COUNTIF($I164:$L164,"&lt;0")+COUNTA($I164:$L164)-COUNT($I164:$L164))&gt;0,"Avance fuera de rango 0-100%"&amp;" · ","")&amp;IF(OR(AND($J164&lt;&gt;"",$J164&lt;$I164),AND($K164&lt;&gt;"",$K164&lt;MAX($I164:$J164)),AND($L164&lt;&gt;"",$L164&lt;MAX($I164:$K164))),"Avance semanal decreciente"&amp;" · ","")&amp;IF(AND(ISNUMBER($AN164),$AN164&lt;FechaRef,IF($V164="Sub",N($X164),N($M164))&lt;1),"Vencida"&amp;" · ","")&amp;IF(AND(ObsObligatoria="Sí",ISNUMBER($AN164),$AN164&lt;FechaRef,IF($V164="Sub",N($X164),N($M164))&lt;1,$Q164=""),"Vencida sin observación"&amp;" · ",""),LEN(IF($C164="","Falta el nombre de la actividad"&amp;" · ","")&amp;IF(AND($V164="Sub",N($U164)=0),"Subactividad sin macroactividad arriba"&amp;" · ","")&amp;IF($AM164="","Sin fecha de inicio"&amp;" · ","")&amp;IF($AN164="","Sin fecha límite"&amp;" · ","")&amp;IF(AND(LEFT($C164,11)="[Jefatura] ",N($AL164)=0),"No se encuentra en la hoja de la jefatura (elíjala de nuevo en la lista)"&amp;" · ","")&amp;IF(OR(AND($E164&lt;&gt;"",NOT(ISNUMBER($E164))),AND($F164&lt;&gt;"",NOT(ISNUMBER($F164))),AND($G164&lt;&gt;"",NOT(ISNUMBER($G164)))),"Fecha no válida"&amp;" · ","")&amp;IF(AND(ISNUMBER($AM164),ISNUMBER($AN164),$AM164&gt;$AN164),"Inicio posterior a fecha límite"&amp;" · ","")&amp;IF(AND($V164="Macro",$H164&lt;&gt;"",OR(NOT(ISNUMBER($H164)),$H164&lt;0,$H164&gt;1)),"Peso fuera de rango"&amp;" · ","")&amp;IF(AND($V164="Sub",$H164&lt;&gt;""),"Las subactividades no llevan peso (valen igual dentro de su macroactividad)"&amp;" · ","")&amp;IF(AND(N($W164)&gt;0,COUNT($I164:$L164)&gt;0),"Con subactividades: deje vacías las semanas (se calculan solas)"&amp;" · ","")&amp;IF((COUNTIF($I164:$L164,"&gt;1")+COUNTIF($I164:$L164,"&lt;0")+COUNTA($I164:$L164)-COUNT($I164:$L164))&gt;0,"Avance fuera de rango 0-100%"&amp;" · ","")&amp;IF(OR(AND($J164&lt;&gt;"",$J164&lt;$I164),AND($K164&lt;&gt;"",$K164&lt;MAX($I164:$J164)),AND($L164&lt;&gt;"",$L164&lt;MAX($I164:$K164))),"Avance semanal decreciente"&amp;" · ","")&amp;IF(AND(ISNUMBER($AN164),$AN164&lt;FechaRef,IF($V164="Sub",N($X164),N($M164))&lt;1),"Vencida"&amp;" · ","")&amp;IF(AND(ObsObligatoria="Sí",ISNUMBER($AN164),$AN164&lt;FechaRef,IF($V164="Sub",N($X164),N($M164))&lt;1,$Q164=""),"Vencida sin observación"&amp;" · ",""))-3)))</f>
        <v/>
      </c>
      <c r="S164" s="64">
        <f>IF(NOT((COUNTA($B164:$D164)+COUNTA($G164:$L164)+COUNTA($Q164))&gt;0),"",IF(AND($V164="Sub",N($U164)&gt;0),IF(ISNUMBER(INDEX($AM$5:$AM$1000,$U164-4)),DATE(YEAR(INDEX($AM$5:$AM$1000,$U164-4)),MONTH(INDEX($AM$5:$AM$1000,$U164-4)),1),IF(ISNUMBER(INDEX($AN$5:$AN$1000,$U164-4)),DATE(YEAR(INDEX($AN$5:$AN$1000,$U164-4)),MONTH(INDEX($AN$5:$AN$1000,$U164-4)),1),MesCiclo)),IF(ISNUMBER($AM164),DATE(YEAR($AM164),MONTH($AM164),1),IF(ISNUMBER($AN164),DATE(YEAR($AN164),MONTH($AN164),1),MesCiclo))))</f>
        <v/>
      </c>
      <c r="T164" s="62">
        <f>IF(OR($S164="",$S164&lt;&gt;MesCiclo,$V164&lt;&gt;"Macro"),"",COUNTIFS($S$5:$S164,MesCiclo,$V$5:$V164,"Macro"))</f>
        <v/>
      </c>
      <c r="U164" s="62">
        <f>IF($V164="","",IF($V164="Macro",ROW(),IFERROR(LOOKUP(2,1/($V$5:$V164="Macro"),ROW($V$5:$V164)),0)))</f>
        <v/>
      </c>
      <c r="V164" s="62">
        <f>IF(NOT((COUNTA($B164:$D164)+COUNTA($G164:$L164)+COUNTA($Q164))&gt;0),"",IF($B164="Subactividad","Sub","Macro"))</f>
        <v/>
      </c>
      <c r="W164" s="62">
        <f>IF($V164="Macro",COUNTIFS($U$5:$U$1000,ROW(),$V$5:$V$1000,"Sub"),"")</f>
        <v/>
      </c>
      <c r="X164" s="62">
        <f>IF($V164="","",IF(ISNUMBER($G164),1,IFERROR(LOOKUP(2,1/($I164:$L164&lt;&gt;""),$I164:$L164),0)))</f>
        <v/>
      </c>
      <c r="Y164" s="62">
        <f>IF($V164="","",IF(AND(ISNUMBER($G164),$G164&lt;=IF($S164=MesCiclo,InicioCiclo,$S164+MOD(2-WEEKDAY($S164),7))+6),1,IF(ISNUMBER($I164),$I164,0)))</f>
        <v/>
      </c>
      <c r="Z164" s="62">
        <f>IF($V164="","",IF(AND(ISNUMBER($G164),$G164&lt;=IF($S164=MesCiclo,InicioCiclo,$S164+MOD(2-WEEKDAY($S164),7))+13),1,IF(ISNUMBER($J164),$J164,$Y164)))</f>
        <v/>
      </c>
      <c r="AA164" s="62">
        <f>IF($V164="","",IF(AND(ISNUMBER($G164),$G164&lt;=IF($S164=MesCiclo,InicioCiclo,$S164+MOD(2-WEEKDAY($S164),7))+20),1,IF(ISNUMBER($K164),$K164,$Z164)))</f>
        <v/>
      </c>
      <c r="AB164" s="62">
        <f>IF($V164="","",IF(AND(ISNUMBER($G164),$G164&lt;=IF($S164=MesCiclo,InicioCiclo,$S164+MOD(2-WEEKDAY($S164),7))+27),1,IF(ISNUMBER($L164),$L164,$AA164)))</f>
        <v/>
      </c>
      <c r="AC164" s="62">
        <f>IF($V164="","",IF(AND(ISNUMBER($G164),$G164&lt;=IF($S164=MesCiclo,InicioCiclo,$S164+MOD(2-WEEKDAY($S164),7))+6),1,IF(N($W164)&gt;0,AVERAGEIFS($Y$5:$Y$1000,$U$5:$U$1000,ROW(),$V$5:$V$1000,"Sub"),$Y164)))</f>
        <v/>
      </c>
      <c r="AD164" s="62">
        <f>IF($V164="","",IF(AND(ISNUMBER($G164),$G164&lt;=IF($S164=MesCiclo,InicioCiclo,$S164+MOD(2-WEEKDAY($S164),7))+13),1,IF(N($W164)&gt;0,AVERAGEIFS($Z$5:$Z$1000,$U$5:$U$1000,ROW(),$V$5:$V$1000,"Sub"),$Z164)))</f>
        <v/>
      </c>
      <c r="AE164" s="62">
        <f>IF($V164="","",IF(AND(ISNUMBER($G164),$G164&lt;=IF($S164=MesCiclo,InicioCiclo,$S164+MOD(2-WEEKDAY($S164),7))+20),1,IF(N($W164)&gt;0,AVERAGEIFS($AA$5:$AA$1000,$U$5:$U$1000,ROW(),$V$5:$V$1000,"Sub"),$AA164)))</f>
        <v/>
      </c>
      <c r="AF164" s="62">
        <f>IF($V164="","",IF(AND(ISNUMBER($G164),$G164&lt;=IF($S164=MesCiclo,InicioCiclo,$S164+MOD(2-WEEKDAY($S164),7))+27),1,IF(N($W164)&gt;0,AVERAGEIFS($AB$5:$AB$1000,$U$5:$U$1000,ROW(),$V$5:$V$1000,"Sub"),$AB164)))</f>
        <v/>
      </c>
      <c r="AG164" s="62">
        <f>IF($V164&lt;&gt;"Macro","",IF(COUNTIFS($S$5:$S$1000,$S164,$V$5:$V$1000,"Macro",$H$5:$H$1000,"&gt;0")=0,1/COUNTIFS($S$5:$S$1000,$S164,$V$5:$V$1000,"Macro"),IF(AND(ISNUMBER($H164),N($H164)&gt;0),$H164,SUMIFS($H$5:$H$1000,$S$5:$S$1000,$S164,$V$5:$V$1000,"Macro")/COUNTIFS($S$5:$S$1000,$S164,$V$5:$V$1000,"Macro",$H$5:$H$1000,"&gt;0"))/(COUNTIFS($S$5:$S$1000,$S164,$V$5:$V$1000,"Macro")*SUMIFS($H$5:$H$1000,$S$5:$S$1000,$S164,$V$5:$V$1000,"Macro")/COUNTIFS($S$5:$S$1000,$S164,$V$5:$V$1000,"Macro",$H$5:$H$1000,"&gt;0"))))</f>
        <v/>
      </c>
      <c r="AH164" s="62" t="n"/>
      <c r="AI164" s="62" t="n"/>
      <c r="AJ164" s="62" t="n"/>
      <c r="AK164" s="62" t="n"/>
      <c r="AL164" s="62">
        <f>IF(LEFT($C164,11)="[Jefatura] ",IFERROR(MATCH("Riesgo Normativo|"&amp;MID($C164,12,500),rDname_ADM,0),0),"")</f>
        <v/>
      </c>
      <c r="AM164" s="62">
        <f>IF(N($AL164)&gt;0,INDEX(rIni_ADM,$AL164),IF(ISNUMBER($E164),$E164,""))</f>
        <v/>
      </c>
      <c r="AN164" s="62">
        <f>IF(N($AL164)&gt;0,INDEX(rLim_ADM,$AL164),IF(ISNUMBER($F164),$F164,""))</f>
        <v/>
      </c>
    </row>
    <row r="165">
      <c r="A165" s="56">
        <f>IF(NOT((COUNTA($B165:$D165)+COUNTA($G165:$L165)+COUNTA($Q165))&gt;0),"",IF($V165="Macro",COUNTIFS($V$5:$V165,"Macro",$S$5:$S165,$S165),IF(N($U165)=0,"?",COUNTIFS(INDEX($V$5:$V$1000,1):INDEX($V$5:$V$1000,$U165-4),"Macro",INDEX($S$5:$S$1000,1):INDEX($S$5:$S$1000,$U165-4),INDEX($S$5:$S$1000,$U165-4))&amp;"."&amp;COUNTIFS($U$5:$U165,$U165,$V$5:$V165,"Sub"))))</f>
        <v/>
      </c>
      <c r="B165" s="57" t="n"/>
      <c r="C165" s="58" t="n"/>
      <c r="D165" s="58" t="n"/>
      <c r="E165" s="59">
        <f>IF(N($AL165)&gt;0,INDEX(rIni_ADM,$AL165),"")</f>
        <v/>
      </c>
      <c r="F165" s="59">
        <f>IF(N($AL165)&gt;0,INDEX(rLim_ADM,$AL165),"")</f>
        <v/>
      </c>
      <c r="G165" s="59" t="n"/>
      <c r="H165" s="60" t="n"/>
      <c r="I165" s="60" t="n"/>
      <c r="J165" s="60" t="n"/>
      <c r="K165" s="60" t="n"/>
      <c r="L165" s="60" t="n"/>
      <c r="M165" s="61">
        <f>IF(NOT((COUNTA($B165:$D165)+COUNTA($G165:$L165)+COUNTA($Q165))&gt;0),"",IF($V165="Sub",IFERROR($X165/INDEX($W$5:$W$1000,$U165-4),""),IF(ISNUMBER($G165),1,IF(N($W165)&gt;0,AVERAGEIFS($X$5:$X$1000,$U$5:$U$1000,ROW(),$V$5:$V$1000,"Sub"),$X165))))</f>
        <v/>
      </c>
      <c r="N165" s="56">
        <f>IF(OR($M165="",$V165="Sub"),"",IF($M165&gt;=1,"Completado",IF($M165&gt;0,"En curso","Pendiente")))</f>
        <v/>
      </c>
      <c r="O165" s="56">
        <f>IF(OR(NOT((COUNTA($B165:$D165)+COUNTA($G165:$L165)+COUNTA($Q165))&gt;0),$V165="Sub"),"",IF(ISNUMBER($G165),IF(AND(ISNUMBER($AN165),$G165&gt;$AN165),"Cumplida con "&amp;($G165-$AN165)&amp;IF($G165-$AN165=1," día"," días")&amp;" de retraso","Cumplida"),IF(N($M165)&gt;=1,"Cumplida",IF(NOT(ISNUMBER($AN165)),"Sin fecha límite",IF($AN165&lt;FechaRef,"Vencida hace "&amp;(FechaRef-$AN165)&amp;IF(FechaRef-$AN165=1," día"," días"),IF($AN165=FechaRef,"Vence hoy",IF($AN165-FechaRef&lt;=DiasAlerta,"Vence en "&amp;($AN165-FechaRef)&amp;IF($AN165-FechaRef=1," día"," días"),"En plazo")))))))</f>
        <v/>
      </c>
      <c r="P165" s="62" t="n"/>
      <c r="Q165" s="58" t="n"/>
      <c r="R165" s="63">
        <f>IF(NOT((COUNTA($B165:$D165)+COUNTA($G165:$L165)+COUNTA($Q165))&gt;0),"",IF((IF($C165="","Falta el nombre de la actividad"&amp;" · ","")&amp;IF(AND($V165="Sub",N($U165)=0),"Subactividad sin macroactividad arriba"&amp;" · ","")&amp;IF($AM165="","Sin fecha de inicio"&amp;" · ","")&amp;IF($AN165="","Sin fecha límite"&amp;" · ","")&amp;IF(AND(LEFT($C165,11)="[Jefatura] ",N($AL165)=0),"No se encuentra en la hoja de la jefatura (elíjala de nuevo en la lista)"&amp;" · ","")&amp;IF(OR(AND($E165&lt;&gt;"",NOT(ISNUMBER($E165))),AND($F165&lt;&gt;"",NOT(ISNUMBER($F165))),AND($G165&lt;&gt;"",NOT(ISNUMBER($G165)))),"Fecha no válida"&amp;" · ","")&amp;IF(AND(ISNUMBER($AM165),ISNUMBER($AN165),$AM165&gt;$AN165),"Inicio posterior a fecha límite"&amp;" · ","")&amp;IF(AND($V165="Macro",$H165&lt;&gt;"",OR(NOT(ISNUMBER($H165)),$H165&lt;0,$H165&gt;1)),"Peso fuera de rango"&amp;" · ","")&amp;IF(AND($V165="Sub",$H165&lt;&gt;""),"Las subactividades no llevan peso (valen igual dentro de su macroactividad)"&amp;" · ","")&amp;IF(AND(N($W165)&gt;0,COUNT($I165:$L165)&gt;0),"Con subactividades: deje vacías las semanas (se calculan solas)"&amp;" · ","")&amp;IF((COUNTIF($I165:$L165,"&gt;1")+COUNTIF($I165:$L165,"&lt;0")+COUNTA($I165:$L165)-COUNT($I165:$L165))&gt;0,"Avance fuera de rango 0-100%"&amp;" · ","")&amp;IF(OR(AND($J165&lt;&gt;"",$J165&lt;$I165),AND($K165&lt;&gt;"",$K165&lt;MAX($I165:$J165)),AND($L165&lt;&gt;"",$L165&lt;MAX($I165:$K165))),"Avance semanal decreciente"&amp;" · ","")&amp;IF(AND(ISNUMBER($AN165),$AN165&lt;FechaRef,IF($V165="Sub",N($X165),N($M165))&lt;1),"Vencida"&amp;" · ","")&amp;IF(AND(ObsObligatoria="Sí",ISNUMBER($AN165),$AN165&lt;FechaRef,IF($V165="Sub",N($X165),N($M165))&lt;1,$Q165=""),"Vencida sin observación"&amp;" · ",""))="","✔ OK","⚠ "&amp;LEFT(IF($C165="","Falta el nombre de la actividad"&amp;" · ","")&amp;IF(AND($V165="Sub",N($U165)=0),"Subactividad sin macroactividad arriba"&amp;" · ","")&amp;IF($AM165="","Sin fecha de inicio"&amp;" · ","")&amp;IF($AN165="","Sin fecha límite"&amp;" · ","")&amp;IF(AND(LEFT($C165,11)="[Jefatura] ",N($AL165)=0),"No se encuentra en la hoja de la jefatura (elíjala de nuevo en la lista)"&amp;" · ","")&amp;IF(OR(AND($E165&lt;&gt;"",NOT(ISNUMBER($E165))),AND($F165&lt;&gt;"",NOT(ISNUMBER($F165))),AND($G165&lt;&gt;"",NOT(ISNUMBER($G165)))),"Fecha no válida"&amp;" · ","")&amp;IF(AND(ISNUMBER($AM165),ISNUMBER($AN165),$AM165&gt;$AN165),"Inicio posterior a fecha límite"&amp;" · ","")&amp;IF(AND($V165="Macro",$H165&lt;&gt;"",OR(NOT(ISNUMBER($H165)),$H165&lt;0,$H165&gt;1)),"Peso fuera de rango"&amp;" · ","")&amp;IF(AND($V165="Sub",$H165&lt;&gt;""),"Las subactividades no llevan peso (valen igual dentro de su macroactividad)"&amp;" · ","")&amp;IF(AND(N($W165)&gt;0,COUNT($I165:$L165)&gt;0),"Con subactividades: deje vacías las semanas (se calculan solas)"&amp;" · ","")&amp;IF((COUNTIF($I165:$L165,"&gt;1")+COUNTIF($I165:$L165,"&lt;0")+COUNTA($I165:$L165)-COUNT($I165:$L165))&gt;0,"Avance fuera de rango 0-100%"&amp;" · ","")&amp;IF(OR(AND($J165&lt;&gt;"",$J165&lt;$I165),AND($K165&lt;&gt;"",$K165&lt;MAX($I165:$J165)),AND($L165&lt;&gt;"",$L165&lt;MAX($I165:$K165))),"Avance semanal decreciente"&amp;" · ","")&amp;IF(AND(ISNUMBER($AN165),$AN165&lt;FechaRef,IF($V165="Sub",N($X165),N($M165))&lt;1),"Vencida"&amp;" · ","")&amp;IF(AND(ObsObligatoria="Sí",ISNUMBER($AN165),$AN165&lt;FechaRef,IF($V165="Sub",N($X165),N($M165))&lt;1,$Q165=""),"Vencida sin observación"&amp;" · ",""),LEN(IF($C165="","Falta el nombre de la actividad"&amp;" · ","")&amp;IF(AND($V165="Sub",N($U165)=0),"Subactividad sin macroactividad arriba"&amp;" · ","")&amp;IF($AM165="","Sin fecha de inicio"&amp;" · ","")&amp;IF($AN165="","Sin fecha límite"&amp;" · ","")&amp;IF(AND(LEFT($C165,11)="[Jefatura] ",N($AL165)=0),"No se encuentra en la hoja de la jefatura (elíjala de nuevo en la lista)"&amp;" · ","")&amp;IF(OR(AND($E165&lt;&gt;"",NOT(ISNUMBER($E165))),AND($F165&lt;&gt;"",NOT(ISNUMBER($F165))),AND($G165&lt;&gt;"",NOT(ISNUMBER($G165)))),"Fecha no válida"&amp;" · ","")&amp;IF(AND(ISNUMBER($AM165),ISNUMBER($AN165),$AM165&gt;$AN165),"Inicio posterior a fecha límite"&amp;" · ","")&amp;IF(AND($V165="Macro",$H165&lt;&gt;"",OR(NOT(ISNUMBER($H165)),$H165&lt;0,$H165&gt;1)),"Peso fuera de rango"&amp;" · ","")&amp;IF(AND($V165="Sub",$H165&lt;&gt;""),"Las subactividades no llevan peso (valen igual dentro de su macroactividad)"&amp;" · ","")&amp;IF(AND(N($W165)&gt;0,COUNT($I165:$L165)&gt;0),"Con subactividades: deje vacías las semanas (se calculan solas)"&amp;" · ","")&amp;IF((COUNTIF($I165:$L165,"&gt;1")+COUNTIF($I165:$L165,"&lt;0")+COUNTA($I165:$L165)-COUNT($I165:$L165))&gt;0,"Avance fuera de rango 0-100%"&amp;" · ","")&amp;IF(OR(AND($J165&lt;&gt;"",$J165&lt;$I165),AND($K165&lt;&gt;"",$K165&lt;MAX($I165:$J165)),AND($L165&lt;&gt;"",$L165&lt;MAX($I165:$K165))),"Avance semanal decreciente"&amp;" · ","")&amp;IF(AND(ISNUMBER($AN165),$AN165&lt;FechaRef,IF($V165="Sub",N($X165),N($M165))&lt;1),"Vencida"&amp;" · ","")&amp;IF(AND(ObsObligatoria="Sí",ISNUMBER($AN165),$AN165&lt;FechaRef,IF($V165="Sub",N($X165),N($M165))&lt;1,$Q165=""),"Vencida sin observación"&amp;" · ",""))-3)))</f>
        <v/>
      </c>
      <c r="S165" s="64">
        <f>IF(NOT((COUNTA($B165:$D165)+COUNTA($G165:$L165)+COUNTA($Q165))&gt;0),"",IF(AND($V165="Sub",N($U165)&gt;0),IF(ISNUMBER(INDEX($AM$5:$AM$1000,$U165-4)),DATE(YEAR(INDEX($AM$5:$AM$1000,$U165-4)),MONTH(INDEX($AM$5:$AM$1000,$U165-4)),1),IF(ISNUMBER(INDEX($AN$5:$AN$1000,$U165-4)),DATE(YEAR(INDEX($AN$5:$AN$1000,$U165-4)),MONTH(INDEX($AN$5:$AN$1000,$U165-4)),1),MesCiclo)),IF(ISNUMBER($AM165),DATE(YEAR($AM165),MONTH($AM165),1),IF(ISNUMBER($AN165),DATE(YEAR($AN165),MONTH($AN165),1),MesCiclo))))</f>
        <v/>
      </c>
      <c r="T165" s="62">
        <f>IF(OR($S165="",$S165&lt;&gt;MesCiclo,$V165&lt;&gt;"Macro"),"",COUNTIFS($S$5:$S165,MesCiclo,$V$5:$V165,"Macro"))</f>
        <v/>
      </c>
      <c r="U165" s="62">
        <f>IF($V165="","",IF($V165="Macro",ROW(),IFERROR(LOOKUP(2,1/($V$5:$V165="Macro"),ROW($V$5:$V165)),0)))</f>
        <v/>
      </c>
      <c r="V165" s="62">
        <f>IF(NOT((COUNTA($B165:$D165)+COUNTA($G165:$L165)+COUNTA($Q165))&gt;0),"",IF($B165="Subactividad","Sub","Macro"))</f>
        <v/>
      </c>
      <c r="W165" s="62">
        <f>IF($V165="Macro",COUNTIFS($U$5:$U$1000,ROW(),$V$5:$V$1000,"Sub"),"")</f>
        <v/>
      </c>
      <c r="X165" s="62">
        <f>IF($V165="","",IF(ISNUMBER($G165),1,IFERROR(LOOKUP(2,1/($I165:$L165&lt;&gt;""),$I165:$L165),0)))</f>
        <v/>
      </c>
      <c r="Y165" s="62">
        <f>IF($V165="","",IF(AND(ISNUMBER($G165),$G165&lt;=IF($S165=MesCiclo,InicioCiclo,$S165+MOD(2-WEEKDAY($S165),7))+6),1,IF(ISNUMBER($I165),$I165,0)))</f>
        <v/>
      </c>
      <c r="Z165" s="62">
        <f>IF($V165="","",IF(AND(ISNUMBER($G165),$G165&lt;=IF($S165=MesCiclo,InicioCiclo,$S165+MOD(2-WEEKDAY($S165),7))+13),1,IF(ISNUMBER($J165),$J165,$Y165)))</f>
        <v/>
      </c>
      <c r="AA165" s="62">
        <f>IF($V165="","",IF(AND(ISNUMBER($G165),$G165&lt;=IF($S165=MesCiclo,InicioCiclo,$S165+MOD(2-WEEKDAY($S165),7))+20),1,IF(ISNUMBER($K165),$K165,$Z165)))</f>
        <v/>
      </c>
      <c r="AB165" s="62">
        <f>IF($V165="","",IF(AND(ISNUMBER($G165),$G165&lt;=IF($S165=MesCiclo,InicioCiclo,$S165+MOD(2-WEEKDAY($S165),7))+27),1,IF(ISNUMBER($L165),$L165,$AA165)))</f>
        <v/>
      </c>
      <c r="AC165" s="62">
        <f>IF($V165="","",IF(AND(ISNUMBER($G165),$G165&lt;=IF($S165=MesCiclo,InicioCiclo,$S165+MOD(2-WEEKDAY($S165),7))+6),1,IF(N($W165)&gt;0,AVERAGEIFS($Y$5:$Y$1000,$U$5:$U$1000,ROW(),$V$5:$V$1000,"Sub"),$Y165)))</f>
        <v/>
      </c>
      <c r="AD165" s="62">
        <f>IF($V165="","",IF(AND(ISNUMBER($G165),$G165&lt;=IF($S165=MesCiclo,InicioCiclo,$S165+MOD(2-WEEKDAY($S165),7))+13),1,IF(N($W165)&gt;0,AVERAGEIFS($Z$5:$Z$1000,$U$5:$U$1000,ROW(),$V$5:$V$1000,"Sub"),$Z165)))</f>
        <v/>
      </c>
      <c r="AE165" s="62">
        <f>IF($V165="","",IF(AND(ISNUMBER($G165),$G165&lt;=IF($S165=MesCiclo,InicioCiclo,$S165+MOD(2-WEEKDAY($S165),7))+20),1,IF(N($W165)&gt;0,AVERAGEIFS($AA$5:$AA$1000,$U$5:$U$1000,ROW(),$V$5:$V$1000,"Sub"),$AA165)))</f>
        <v/>
      </c>
      <c r="AF165" s="62">
        <f>IF($V165="","",IF(AND(ISNUMBER($G165),$G165&lt;=IF($S165=MesCiclo,InicioCiclo,$S165+MOD(2-WEEKDAY($S165),7))+27),1,IF(N($W165)&gt;0,AVERAGEIFS($AB$5:$AB$1000,$U$5:$U$1000,ROW(),$V$5:$V$1000,"Sub"),$AB165)))</f>
        <v/>
      </c>
      <c r="AG165" s="62">
        <f>IF($V165&lt;&gt;"Macro","",IF(COUNTIFS($S$5:$S$1000,$S165,$V$5:$V$1000,"Macro",$H$5:$H$1000,"&gt;0")=0,1/COUNTIFS($S$5:$S$1000,$S165,$V$5:$V$1000,"Macro"),IF(AND(ISNUMBER($H165),N($H165)&gt;0),$H165,SUMIFS($H$5:$H$1000,$S$5:$S$1000,$S165,$V$5:$V$1000,"Macro")/COUNTIFS($S$5:$S$1000,$S165,$V$5:$V$1000,"Macro",$H$5:$H$1000,"&gt;0"))/(COUNTIFS($S$5:$S$1000,$S165,$V$5:$V$1000,"Macro")*SUMIFS($H$5:$H$1000,$S$5:$S$1000,$S165,$V$5:$V$1000,"Macro")/COUNTIFS($S$5:$S$1000,$S165,$V$5:$V$1000,"Macro",$H$5:$H$1000,"&gt;0"))))</f>
        <v/>
      </c>
      <c r="AH165" s="62" t="n"/>
      <c r="AI165" s="62" t="n"/>
      <c r="AJ165" s="62" t="n"/>
      <c r="AK165" s="62" t="n"/>
      <c r="AL165" s="62">
        <f>IF(LEFT($C165,11)="[Jefatura] ",IFERROR(MATCH("Riesgo Normativo|"&amp;MID($C165,12,500),rDname_ADM,0),0),"")</f>
        <v/>
      </c>
      <c r="AM165" s="62">
        <f>IF(N($AL165)&gt;0,INDEX(rIni_ADM,$AL165),IF(ISNUMBER($E165),$E165,""))</f>
        <v/>
      </c>
      <c r="AN165" s="62">
        <f>IF(N($AL165)&gt;0,INDEX(rLim_ADM,$AL165),IF(ISNUMBER($F165),$F165,""))</f>
        <v/>
      </c>
    </row>
    <row r="166">
      <c r="A166" s="56">
        <f>IF(NOT((COUNTA($B166:$D166)+COUNTA($G166:$L166)+COUNTA($Q166))&gt;0),"",IF($V166="Macro",COUNTIFS($V$5:$V166,"Macro",$S$5:$S166,$S166),IF(N($U166)=0,"?",COUNTIFS(INDEX($V$5:$V$1000,1):INDEX($V$5:$V$1000,$U166-4),"Macro",INDEX($S$5:$S$1000,1):INDEX($S$5:$S$1000,$U166-4),INDEX($S$5:$S$1000,$U166-4))&amp;"."&amp;COUNTIFS($U$5:$U166,$U166,$V$5:$V166,"Sub"))))</f>
        <v/>
      </c>
      <c r="B166" s="57" t="n"/>
      <c r="C166" s="58" t="n"/>
      <c r="D166" s="58" t="n"/>
      <c r="E166" s="59">
        <f>IF(N($AL166)&gt;0,INDEX(rIni_ADM,$AL166),"")</f>
        <v/>
      </c>
      <c r="F166" s="59">
        <f>IF(N($AL166)&gt;0,INDEX(rLim_ADM,$AL166),"")</f>
        <v/>
      </c>
      <c r="G166" s="59" t="n"/>
      <c r="H166" s="60" t="n"/>
      <c r="I166" s="60" t="n"/>
      <c r="J166" s="60" t="n"/>
      <c r="K166" s="60" t="n"/>
      <c r="L166" s="60" t="n"/>
      <c r="M166" s="61">
        <f>IF(NOT((COUNTA($B166:$D166)+COUNTA($G166:$L166)+COUNTA($Q166))&gt;0),"",IF($V166="Sub",IFERROR($X166/INDEX($W$5:$W$1000,$U166-4),""),IF(ISNUMBER($G166),1,IF(N($W166)&gt;0,AVERAGEIFS($X$5:$X$1000,$U$5:$U$1000,ROW(),$V$5:$V$1000,"Sub"),$X166))))</f>
        <v/>
      </c>
      <c r="N166" s="56">
        <f>IF(OR($M166="",$V166="Sub"),"",IF($M166&gt;=1,"Completado",IF($M166&gt;0,"En curso","Pendiente")))</f>
        <v/>
      </c>
      <c r="O166" s="56">
        <f>IF(OR(NOT((COUNTA($B166:$D166)+COUNTA($G166:$L166)+COUNTA($Q166))&gt;0),$V166="Sub"),"",IF(ISNUMBER($G166),IF(AND(ISNUMBER($AN166),$G166&gt;$AN166),"Cumplida con "&amp;($G166-$AN166)&amp;IF($G166-$AN166=1," día"," días")&amp;" de retraso","Cumplida"),IF(N($M166)&gt;=1,"Cumplida",IF(NOT(ISNUMBER($AN166)),"Sin fecha límite",IF($AN166&lt;FechaRef,"Vencida hace "&amp;(FechaRef-$AN166)&amp;IF(FechaRef-$AN166=1," día"," días"),IF($AN166=FechaRef,"Vence hoy",IF($AN166-FechaRef&lt;=DiasAlerta,"Vence en "&amp;($AN166-FechaRef)&amp;IF($AN166-FechaRef=1," día"," días"),"En plazo")))))))</f>
        <v/>
      </c>
      <c r="P166" s="62" t="n"/>
      <c r="Q166" s="58" t="n"/>
      <c r="R166" s="63">
        <f>IF(NOT((COUNTA($B166:$D166)+COUNTA($G166:$L166)+COUNTA($Q166))&gt;0),"",IF((IF($C166="","Falta el nombre de la actividad"&amp;" · ","")&amp;IF(AND($V166="Sub",N($U166)=0),"Subactividad sin macroactividad arriba"&amp;" · ","")&amp;IF($AM166="","Sin fecha de inicio"&amp;" · ","")&amp;IF($AN166="","Sin fecha límite"&amp;" · ","")&amp;IF(AND(LEFT($C166,11)="[Jefatura] ",N($AL166)=0),"No se encuentra en la hoja de la jefatura (elíjala de nuevo en la lista)"&amp;" · ","")&amp;IF(OR(AND($E166&lt;&gt;"",NOT(ISNUMBER($E166))),AND($F166&lt;&gt;"",NOT(ISNUMBER($F166))),AND($G166&lt;&gt;"",NOT(ISNUMBER($G166)))),"Fecha no válida"&amp;" · ","")&amp;IF(AND(ISNUMBER($AM166),ISNUMBER($AN166),$AM166&gt;$AN166),"Inicio posterior a fecha límite"&amp;" · ","")&amp;IF(AND($V166="Macro",$H166&lt;&gt;"",OR(NOT(ISNUMBER($H166)),$H166&lt;0,$H166&gt;1)),"Peso fuera de rango"&amp;" · ","")&amp;IF(AND($V166="Sub",$H166&lt;&gt;""),"Las subactividades no llevan peso (valen igual dentro de su macroactividad)"&amp;" · ","")&amp;IF(AND(N($W166)&gt;0,COUNT($I166:$L166)&gt;0),"Con subactividades: deje vacías las semanas (se calculan solas)"&amp;" · ","")&amp;IF((COUNTIF($I166:$L166,"&gt;1")+COUNTIF($I166:$L166,"&lt;0")+COUNTA($I166:$L166)-COUNT($I166:$L166))&gt;0,"Avance fuera de rango 0-100%"&amp;" · ","")&amp;IF(OR(AND($J166&lt;&gt;"",$J166&lt;$I166),AND($K166&lt;&gt;"",$K166&lt;MAX($I166:$J166)),AND($L166&lt;&gt;"",$L166&lt;MAX($I166:$K166))),"Avance semanal decreciente"&amp;" · ","")&amp;IF(AND(ISNUMBER($AN166),$AN166&lt;FechaRef,IF($V166="Sub",N($X166),N($M166))&lt;1),"Vencida"&amp;" · ","")&amp;IF(AND(ObsObligatoria="Sí",ISNUMBER($AN166),$AN166&lt;FechaRef,IF($V166="Sub",N($X166),N($M166))&lt;1,$Q166=""),"Vencida sin observación"&amp;" · ",""))="","✔ OK","⚠ "&amp;LEFT(IF($C166="","Falta el nombre de la actividad"&amp;" · ","")&amp;IF(AND($V166="Sub",N($U166)=0),"Subactividad sin macroactividad arriba"&amp;" · ","")&amp;IF($AM166="","Sin fecha de inicio"&amp;" · ","")&amp;IF($AN166="","Sin fecha límite"&amp;" · ","")&amp;IF(AND(LEFT($C166,11)="[Jefatura] ",N($AL166)=0),"No se encuentra en la hoja de la jefatura (elíjala de nuevo en la lista)"&amp;" · ","")&amp;IF(OR(AND($E166&lt;&gt;"",NOT(ISNUMBER($E166))),AND($F166&lt;&gt;"",NOT(ISNUMBER($F166))),AND($G166&lt;&gt;"",NOT(ISNUMBER($G166)))),"Fecha no válida"&amp;" · ","")&amp;IF(AND(ISNUMBER($AM166),ISNUMBER($AN166),$AM166&gt;$AN166),"Inicio posterior a fecha límite"&amp;" · ","")&amp;IF(AND($V166="Macro",$H166&lt;&gt;"",OR(NOT(ISNUMBER($H166)),$H166&lt;0,$H166&gt;1)),"Peso fuera de rango"&amp;" · ","")&amp;IF(AND($V166="Sub",$H166&lt;&gt;""),"Las subactividades no llevan peso (valen igual dentro de su macroactividad)"&amp;" · ","")&amp;IF(AND(N($W166)&gt;0,COUNT($I166:$L166)&gt;0),"Con subactividades: deje vacías las semanas (se calculan solas)"&amp;" · ","")&amp;IF((COUNTIF($I166:$L166,"&gt;1")+COUNTIF($I166:$L166,"&lt;0")+COUNTA($I166:$L166)-COUNT($I166:$L166))&gt;0,"Avance fuera de rango 0-100%"&amp;" · ","")&amp;IF(OR(AND($J166&lt;&gt;"",$J166&lt;$I166),AND($K166&lt;&gt;"",$K166&lt;MAX($I166:$J166)),AND($L166&lt;&gt;"",$L166&lt;MAX($I166:$K166))),"Avance semanal decreciente"&amp;" · ","")&amp;IF(AND(ISNUMBER($AN166),$AN166&lt;FechaRef,IF($V166="Sub",N($X166),N($M166))&lt;1),"Vencida"&amp;" · ","")&amp;IF(AND(ObsObligatoria="Sí",ISNUMBER($AN166),$AN166&lt;FechaRef,IF($V166="Sub",N($X166),N($M166))&lt;1,$Q166=""),"Vencida sin observación"&amp;" · ",""),LEN(IF($C166="","Falta el nombre de la actividad"&amp;" · ","")&amp;IF(AND($V166="Sub",N($U166)=0),"Subactividad sin macroactividad arriba"&amp;" · ","")&amp;IF($AM166="","Sin fecha de inicio"&amp;" · ","")&amp;IF($AN166="","Sin fecha límite"&amp;" · ","")&amp;IF(AND(LEFT($C166,11)="[Jefatura] ",N($AL166)=0),"No se encuentra en la hoja de la jefatura (elíjala de nuevo en la lista)"&amp;" · ","")&amp;IF(OR(AND($E166&lt;&gt;"",NOT(ISNUMBER($E166))),AND($F166&lt;&gt;"",NOT(ISNUMBER($F166))),AND($G166&lt;&gt;"",NOT(ISNUMBER($G166)))),"Fecha no válida"&amp;" · ","")&amp;IF(AND(ISNUMBER($AM166),ISNUMBER($AN166),$AM166&gt;$AN166),"Inicio posterior a fecha límite"&amp;" · ","")&amp;IF(AND($V166="Macro",$H166&lt;&gt;"",OR(NOT(ISNUMBER($H166)),$H166&lt;0,$H166&gt;1)),"Peso fuera de rango"&amp;" · ","")&amp;IF(AND($V166="Sub",$H166&lt;&gt;""),"Las subactividades no llevan peso (valen igual dentro de su macroactividad)"&amp;" · ","")&amp;IF(AND(N($W166)&gt;0,COUNT($I166:$L166)&gt;0),"Con subactividades: deje vacías las semanas (se calculan solas)"&amp;" · ","")&amp;IF((COUNTIF($I166:$L166,"&gt;1")+COUNTIF($I166:$L166,"&lt;0")+COUNTA($I166:$L166)-COUNT($I166:$L166))&gt;0,"Avance fuera de rango 0-100%"&amp;" · ","")&amp;IF(OR(AND($J166&lt;&gt;"",$J166&lt;$I166),AND($K166&lt;&gt;"",$K166&lt;MAX($I166:$J166)),AND($L166&lt;&gt;"",$L166&lt;MAX($I166:$K166))),"Avance semanal decreciente"&amp;" · ","")&amp;IF(AND(ISNUMBER($AN166),$AN166&lt;FechaRef,IF($V166="Sub",N($X166),N($M166))&lt;1),"Vencida"&amp;" · ","")&amp;IF(AND(ObsObligatoria="Sí",ISNUMBER($AN166),$AN166&lt;FechaRef,IF($V166="Sub",N($X166),N($M166))&lt;1,$Q166=""),"Vencida sin observación"&amp;" · ",""))-3)))</f>
        <v/>
      </c>
      <c r="S166" s="64">
        <f>IF(NOT((COUNTA($B166:$D166)+COUNTA($G166:$L166)+COUNTA($Q166))&gt;0),"",IF(AND($V166="Sub",N($U166)&gt;0),IF(ISNUMBER(INDEX($AM$5:$AM$1000,$U166-4)),DATE(YEAR(INDEX($AM$5:$AM$1000,$U166-4)),MONTH(INDEX($AM$5:$AM$1000,$U166-4)),1),IF(ISNUMBER(INDEX($AN$5:$AN$1000,$U166-4)),DATE(YEAR(INDEX($AN$5:$AN$1000,$U166-4)),MONTH(INDEX($AN$5:$AN$1000,$U166-4)),1),MesCiclo)),IF(ISNUMBER($AM166),DATE(YEAR($AM166),MONTH($AM166),1),IF(ISNUMBER($AN166),DATE(YEAR($AN166),MONTH($AN166),1),MesCiclo))))</f>
        <v/>
      </c>
      <c r="T166" s="62">
        <f>IF(OR($S166="",$S166&lt;&gt;MesCiclo,$V166&lt;&gt;"Macro"),"",COUNTIFS($S$5:$S166,MesCiclo,$V$5:$V166,"Macro"))</f>
        <v/>
      </c>
      <c r="U166" s="62">
        <f>IF($V166="","",IF($V166="Macro",ROW(),IFERROR(LOOKUP(2,1/($V$5:$V166="Macro"),ROW($V$5:$V166)),0)))</f>
        <v/>
      </c>
      <c r="V166" s="62">
        <f>IF(NOT((COUNTA($B166:$D166)+COUNTA($G166:$L166)+COUNTA($Q166))&gt;0),"",IF($B166="Subactividad","Sub","Macro"))</f>
        <v/>
      </c>
      <c r="W166" s="62">
        <f>IF($V166="Macro",COUNTIFS($U$5:$U$1000,ROW(),$V$5:$V$1000,"Sub"),"")</f>
        <v/>
      </c>
      <c r="X166" s="62">
        <f>IF($V166="","",IF(ISNUMBER($G166),1,IFERROR(LOOKUP(2,1/($I166:$L166&lt;&gt;""),$I166:$L166),0)))</f>
        <v/>
      </c>
      <c r="Y166" s="62">
        <f>IF($V166="","",IF(AND(ISNUMBER($G166),$G166&lt;=IF($S166=MesCiclo,InicioCiclo,$S166+MOD(2-WEEKDAY($S166),7))+6),1,IF(ISNUMBER($I166),$I166,0)))</f>
        <v/>
      </c>
      <c r="Z166" s="62">
        <f>IF($V166="","",IF(AND(ISNUMBER($G166),$G166&lt;=IF($S166=MesCiclo,InicioCiclo,$S166+MOD(2-WEEKDAY($S166),7))+13),1,IF(ISNUMBER($J166),$J166,$Y166)))</f>
        <v/>
      </c>
      <c r="AA166" s="62">
        <f>IF($V166="","",IF(AND(ISNUMBER($G166),$G166&lt;=IF($S166=MesCiclo,InicioCiclo,$S166+MOD(2-WEEKDAY($S166),7))+20),1,IF(ISNUMBER($K166),$K166,$Z166)))</f>
        <v/>
      </c>
      <c r="AB166" s="62">
        <f>IF($V166="","",IF(AND(ISNUMBER($G166),$G166&lt;=IF($S166=MesCiclo,InicioCiclo,$S166+MOD(2-WEEKDAY($S166),7))+27),1,IF(ISNUMBER($L166),$L166,$AA166)))</f>
        <v/>
      </c>
      <c r="AC166" s="62">
        <f>IF($V166="","",IF(AND(ISNUMBER($G166),$G166&lt;=IF($S166=MesCiclo,InicioCiclo,$S166+MOD(2-WEEKDAY($S166),7))+6),1,IF(N($W166)&gt;0,AVERAGEIFS($Y$5:$Y$1000,$U$5:$U$1000,ROW(),$V$5:$V$1000,"Sub"),$Y166)))</f>
        <v/>
      </c>
      <c r="AD166" s="62">
        <f>IF($V166="","",IF(AND(ISNUMBER($G166),$G166&lt;=IF($S166=MesCiclo,InicioCiclo,$S166+MOD(2-WEEKDAY($S166),7))+13),1,IF(N($W166)&gt;0,AVERAGEIFS($Z$5:$Z$1000,$U$5:$U$1000,ROW(),$V$5:$V$1000,"Sub"),$Z166)))</f>
        <v/>
      </c>
      <c r="AE166" s="62">
        <f>IF($V166="","",IF(AND(ISNUMBER($G166),$G166&lt;=IF($S166=MesCiclo,InicioCiclo,$S166+MOD(2-WEEKDAY($S166),7))+20),1,IF(N($W166)&gt;0,AVERAGEIFS($AA$5:$AA$1000,$U$5:$U$1000,ROW(),$V$5:$V$1000,"Sub"),$AA166)))</f>
        <v/>
      </c>
      <c r="AF166" s="62">
        <f>IF($V166="","",IF(AND(ISNUMBER($G166),$G166&lt;=IF($S166=MesCiclo,InicioCiclo,$S166+MOD(2-WEEKDAY($S166),7))+27),1,IF(N($W166)&gt;0,AVERAGEIFS($AB$5:$AB$1000,$U$5:$U$1000,ROW(),$V$5:$V$1000,"Sub"),$AB166)))</f>
        <v/>
      </c>
      <c r="AG166" s="62">
        <f>IF($V166&lt;&gt;"Macro","",IF(COUNTIFS($S$5:$S$1000,$S166,$V$5:$V$1000,"Macro",$H$5:$H$1000,"&gt;0")=0,1/COUNTIFS($S$5:$S$1000,$S166,$V$5:$V$1000,"Macro"),IF(AND(ISNUMBER($H166),N($H166)&gt;0),$H166,SUMIFS($H$5:$H$1000,$S$5:$S$1000,$S166,$V$5:$V$1000,"Macro")/COUNTIFS($S$5:$S$1000,$S166,$V$5:$V$1000,"Macro",$H$5:$H$1000,"&gt;0"))/(COUNTIFS($S$5:$S$1000,$S166,$V$5:$V$1000,"Macro")*SUMIFS($H$5:$H$1000,$S$5:$S$1000,$S166,$V$5:$V$1000,"Macro")/COUNTIFS($S$5:$S$1000,$S166,$V$5:$V$1000,"Macro",$H$5:$H$1000,"&gt;0"))))</f>
        <v/>
      </c>
      <c r="AH166" s="62" t="n"/>
      <c r="AI166" s="62" t="n"/>
      <c r="AJ166" s="62" t="n"/>
      <c r="AK166" s="62" t="n"/>
      <c r="AL166" s="62">
        <f>IF(LEFT($C166,11)="[Jefatura] ",IFERROR(MATCH("Riesgo Normativo|"&amp;MID($C166,12,500),rDname_ADM,0),0),"")</f>
        <v/>
      </c>
      <c r="AM166" s="62">
        <f>IF(N($AL166)&gt;0,INDEX(rIni_ADM,$AL166),IF(ISNUMBER($E166),$E166,""))</f>
        <v/>
      </c>
      <c r="AN166" s="62">
        <f>IF(N($AL166)&gt;0,INDEX(rLim_ADM,$AL166),IF(ISNUMBER($F166),$F166,""))</f>
        <v/>
      </c>
    </row>
    <row r="167">
      <c r="A167" s="56">
        <f>IF(NOT((COUNTA($B167:$D167)+COUNTA($G167:$L167)+COUNTA($Q167))&gt;0),"",IF($V167="Macro",COUNTIFS($V$5:$V167,"Macro",$S$5:$S167,$S167),IF(N($U167)=0,"?",COUNTIFS(INDEX($V$5:$V$1000,1):INDEX($V$5:$V$1000,$U167-4),"Macro",INDEX($S$5:$S$1000,1):INDEX($S$5:$S$1000,$U167-4),INDEX($S$5:$S$1000,$U167-4))&amp;"."&amp;COUNTIFS($U$5:$U167,$U167,$V$5:$V167,"Sub"))))</f>
        <v/>
      </c>
      <c r="B167" s="57" t="n"/>
      <c r="C167" s="58" t="n"/>
      <c r="D167" s="58" t="n"/>
      <c r="E167" s="59">
        <f>IF(N($AL167)&gt;0,INDEX(rIni_ADM,$AL167),"")</f>
        <v/>
      </c>
      <c r="F167" s="59">
        <f>IF(N($AL167)&gt;0,INDEX(rLim_ADM,$AL167),"")</f>
        <v/>
      </c>
      <c r="G167" s="59" t="n"/>
      <c r="H167" s="60" t="n"/>
      <c r="I167" s="60" t="n"/>
      <c r="J167" s="60" t="n"/>
      <c r="K167" s="60" t="n"/>
      <c r="L167" s="60" t="n"/>
      <c r="M167" s="61">
        <f>IF(NOT((COUNTA($B167:$D167)+COUNTA($G167:$L167)+COUNTA($Q167))&gt;0),"",IF($V167="Sub",IFERROR($X167/INDEX($W$5:$W$1000,$U167-4),""),IF(ISNUMBER($G167),1,IF(N($W167)&gt;0,AVERAGEIFS($X$5:$X$1000,$U$5:$U$1000,ROW(),$V$5:$V$1000,"Sub"),$X167))))</f>
        <v/>
      </c>
      <c r="N167" s="56">
        <f>IF(OR($M167="",$V167="Sub"),"",IF($M167&gt;=1,"Completado",IF($M167&gt;0,"En curso","Pendiente")))</f>
        <v/>
      </c>
      <c r="O167" s="56">
        <f>IF(OR(NOT((COUNTA($B167:$D167)+COUNTA($G167:$L167)+COUNTA($Q167))&gt;0),$V167="Sub"),"",IF(ISNUMBER($G167),IF(AND(ISNUMBER($AN167),$G167&gt;$AN167),"Cumplida con "&amp;($G167-$AN167)&amp;IF($G167-$AN167=1," día"," días")&amp;" de retraso","Cumplida"),IF(N($M167)&gt;=1,"Cumplida",IF(NOT(ISNUMBER($AN167)),"Sin fecha límite",IF($AN167&lt;FechaRef,"Vencida hace "&amp;(FechaRef-$AN167)&amp;IF(FechaRef-$AN167=1," día"," días"),IF($AN167=FechaRef,"Vence hoy",IF($AN167-FechaRef&lt;=DiasAlerta,"Vence en "&amp;($AN167-FechaRef)&amp;IF($AN167-FechaRef=1," día"," días"),"En plazo")))))))</f>
        <v/>
      </c>
      <c r="P167" s="62" t="n"/>
      <c r="Q167" s="58" t="n"/>
      <c r="R167" s="63">
        <f>IF(NOT((COUNTA($B167:$D167)+COUNTA($G167:$L167)+COUNTA($Q167))&gt;0),"",IF((IF($C167="","Falta el nombre de la actividad"&amp;" · ","")&amp;IF(AND($V167="Sub",N($U167)=0),"Subactividad sin macroactividad arriba"&amp;" · ","")&amp;IF($AM167="","Sin fecha de inicio"&amp;" · ","")&amp;IF($AN167="","Sin fecha límite"&amp;" · ","")&amp;IF(AND(LEFT($C167,11)="[Jefatura] ",N($AL167)=0),"No se encuentra en la hoja de la jefatura (elíjala de nuevo en la lista)"&amp;" · ","")&amp;IF(OR(AND($E167&lt;&gt;"",NOT(ISNUMBER($E167))),AND($F167&lt;&gt;"",NOT(ISNUMBER($F167))),AND($G167&lt;&gt;"",NOT(ISNUMBER($G167)))),"Fecha no válida"&amp;" · ","")&amp;IF(AND(ISNUMBER($AM167),ISNUMBER($AN167),$AM167&gt;$AN167),"Inicio posterior a fecha límite"&amp;" · ","")&amp;IF(AND($V167="Macro",$H167&lt;&gt;"",OR(NOT(ISNUMBER($H167)),$H167&lt;0,$H167&gt;1)),"Peso fuera de rango"&amp;" · ","")&amp;IF(AND($V167="Sub",$H167&lt;&gt;""),"Las subactividades no llevan peso (valen igual dentro de su macroactividad)"&amp;" · ","")&amp;IF(AND(N($W167)&gt;0,COUNT($I167:$L167)&gt;0),"Con subactividades: deje vacías las semanas (se calculan solas)"&amp;" · ","")&amp;IF((COUNTIF($I167:$L167,"&gt;1")+COUNTIF($I167:$L167,"&lt;0")+COUNTA($I167:$L167)-COUNT($I167:$L167))&gt;0,"Avance fuera de rango 0-100%"&amp;" · ","")&amp;IF(OR(AND($J167&lt;&gt;"",$J167&lt;$I167),AND($K167&lt;&gt;"",$K167&lt;MAX($I167:$J167)),AND($L167&lt;&gt;"",$L167&lt;MAX($I167:$K167))),"Avance semanal decreciente"&amp;" · ","")&amp;IF(AND(ISNUMBER($AN167),$AN167&lt;FechaRef,IF($V167="Sub",N($X167),N($M167))&lt;1),"Vencida"&amp;" · ","")&amp;IF(AND(ObsObligatoria="Sí",ISNUMBER($AN167),$AN167&lt;FechaRef,IF($V167="Sub",N($X167),N($M167))&lt;1,$Q167=""),"Vencida sin observación"&amp;" · ",""))="","✔ OK","⚠ "&amp;LEFT(IF($C167="","Falta el nombre de la actividad"&amp;" · ","")&amp;IF(AND($V167="Sub",N($U167)=0),"Subactividad sin macroactividad arriba"&amp;" · ","")&amp;IF($AM167="","Sin fecha de inicio"&amp;" · ","")&amp;IF($AN167="","Sin fecha límite"&amp;" · ","")&amp;IF(AND(LEFT($C167,11)="[Jefatura] ",N($AL167)=0),"No se encuentra en la hoja de la jefatura (elíjala de nuevo en la lista)"&amp;" · ","")&amp;IF(OR(AND($E167&lt;&gt;"",NOT(ISNUMBER($E167))),AND($F167&lt;&gt;"",NOT(ISNUMBER($F167))),AND($G167&lt;&gt;"",NOT(ISNUMBER($G167)))),"Fecha no válida"&amp;" · ","")&amp;IF(AND(ISNUMBER($AM167),ISNUMBER($AN167),$AM167&gt;$AN167),"Inicio posterior a fecha límite"&amp;" · ","")&amp;IF(AND($V167="Macro",$H167&lt;&gt;"",OR(NOT(ISNUMBER($H167)),$H167&lt;0,$H167&gt;1)),"Peso fuera de rango"&amp;" · ","")&amp;IF(AND($V167="Sub",$H167&lt;&gt;""),"Las subactividades no llevan peso (valen igual dentro de su macroactividad)"&amp;" · ","")&amp;IF(AND(N($W167)&gt;0,COUNT($I167:$L167)&gt;0),"Con subactividades: deje vacías las semanas (se calculan solas)"&amp;" · ","")&amp;IF((COUNTIF($I167:$L167,"&gt;1")+COUNTIF($I167:$L167,"&lt;0")+COUNTA($I167:$L167)-COUNT($I167:$L167))&gt;0,"Avance fuera de rango 0-100%"&amp;" · ","")&amp;IF(OR(AND($J167&lt;&gt;"",$J167&lt;$I167),AND($K167&lt;&gt;"",$K167&lt;MAX($I167:$J167)),AND($L167&lt;&gt;"",$L167&lt;MAX($I167:$K167))),"Avance semanal decreciente"&amp;" · ","")&amp;IF(AND(ISNUMBER($AN167),$AN167&lt;FechaRef,IF($V167="Sub",N($X167),N($M167))&lt;1),"Vencida"&amp;" · ","")&amp;IF(AND(ObsObligatoria="Sí",ISNUMBER($AN167),$AN167&lt;FechaRef,IF($V167="Sub",N($X167),N($M167))&lt;1,$Q167=""),"Vencida sin observación"&amp;" · ",""),LEN(IF($C167="","Falta el nombre de la actividad"&amp;" · ","")&amp;IF(AND($V167="Sub",N($U167)=0),"Subactividad sin macroactividad arriba"&amp;" · ","")&amp;IF($AM167="","Sin fecha de inicio"&amp;" · ","")&amp;IF($AN167="","Sin fecha límite"&amp;" · ","")&amp;IF(AND(LEFT($C167,11)="[Jefatura] ",N($AL167)=0),"No se encuentra en la hoja de la jefatura (elíjala de nuevo en la lista)"&amp;" · ","")&amp;IF(OR(AND($E167&lt;&gt;"",NOT(ISNUMBER($E167))),AND($F167&lt;&gt;"",NOT(ISNUMBER($F167))),AND($G167&lt;&gt;"",NOT(ISNUMBER($G167)))),"Fecha no válida"&amp;" · ","")&amp;IF(AND(ISNUMBER($AM167),ISNUMBER($AN167),$AM167&gt;$AN167),"Inicio posterior a fecha límite"&amp;" · ","")&amp;IF(AND($V167="Macro",$H167&lt;&gt;"",OR(NOT(ISNUMBER($H167)),$H167&lt;0,$H167&gt;1)),"Peso fuera de rango"&amp;" · ","")&amp;IF(AND($V167="Sub",$H167&lt;&gt;""),"Las subactividades no llevan peso (valen igual dentro de su macroactividad)"&amp;" · ","")&amp;IF(AND(N($W167)&gt;0,COUNT($I167:$L167)&gt;0),"Con subactividades: deje vacías las semanas (se calculan solas)"&amp;" · ","")&amp;IF((COUNTIF($I167:$L167,"&gt;1")+COUNTIF($I167:$L167,"&lt;0")+COUNTA($I167:$L167)-COUNT($I167:$L167))&gt;0,"Avance fuera de rango 0-100%"&amp;" · ","")&amp;IF(OR(AND($J167&lt;&gt;"",$J167&lt;$I167),AND($K167&lt;&gt;"",$K167&lt;MAX($I167:$J167)),AND($L167&lt;&gt;"",$L167&lt;MAX($I167:$K167))),"Avance semanal decreciente"&amp;" · ","")&amp;IF(AND(ISNUMBER($AN167),$AN167&lt;FechaRef,IF($V167="Sub",N($X167),N($M167))&lt;1),"Vencida"&amp;" · ","")&amp;IF(AND(ObsObligatoria="Sí",ISNUMBER($AN167),$AN167&lt;FechaRef,IF($V167="Sub",N($X167),N($M167))&lt;1,$Q167=""),"Vencida sin observación"&amp;" · ",""))-3)))</f>
        <v/>
      </c>
      <c r="S167" s="64">
        <f>IF(NOT((COUNTA($B167:$D167)+COUNTA($G167:$L167)+COUNTA($Q167))&gt;0),"",IF(AND($V167="Sub",N($U167)&gt;0),IF(ISNUMBER(INDEX($AM$5:$AM$1000,$U167-4)),DATE(YEAR(INDEX($AM$5:$AM$1000,$U167-4)),MONTH(INDEX($AM$5:$AM$1000,$U167-4)),1),IF(ISNUMBER(INDEX($AN$5:$AN$1000,$U167-4)),DATE(YEAR(INDEX($AN$5:$AN$1000,$U167-4)),MONTH(INDEX($AN$5:$AN$1000,$U167-4)),1),MesCiclo)),IF(ISNUMBER($AM167),DATE(YEAR($AM167),MONTH($AM167),1),IF(ISNUMBER($AN167),DATE(YEAR($AN167),MONTH($AN167),1),MesCiclo))))</f>
        <v/>
      </c>
      <c r="T167" s="62">
        <f>IF(OR($S167="",$S167&lt;&gt;MesCiclo,$V167&lt;&gt;"Macro"),"",COUNTIFS($S$5:$S167,MesCiclo,$V$5:$V167,"Macro"))</f>
        <v/>
      </c>
      <c r="U167" s="62">
        <f>IF($V167="","",IF($V167="Macro",ROW(),IFERROR(LOOKUP(2,1/($V$5:$V167="Macro"),ROW($V$5:$V167)),0)))</f>
        <v/>
      </c>
      <c r="V167" s="62">
        <f>IF(NOT((COUNTA($B167:$D167)+COUNTA($G167:$L167)+COUNTA($Q167))&gt;0),"",IF($B167="Subactividad","Sub","Macro"))</f>
        <v/>
      </c>
      <c r="W167" s="62">
        <f>IF($V167="Macro",COUNTIFS($U$5:$U$1000,ROW(),$V$5:$V$1000,"Sub"),"")</f>
        <v/>
      </c>
      <c r="X167" s="62">
        <f>IF($V167="","",IF(ISNUMBER($G167),1,IFERROR(LOOKUP(2,1/($I167:$L167&lt;&gt;""),$I167:$L167),0)))</f>
        <v/>
      </c>
      <c r="Y167" s="62">
        <f>IF($V167="","",IF(AND(ISNUMBER($G167),$G167&lt;=IF($S167=MesCiclo,InicioCiclo,$S167+MOD(2-WEEKDAY($S167),7))+6),1,IF(ISNUMBER($I167),$I167,0)))</f>
        <v/>
      </c>
      <c r="Z167" s="62">
        <f>IF($V167="","",IF(AND(ISNUMBER($G167),$G167&lt;=IF($S167=MesCiclo,InicioCiclo,$S167+MOD(2-WEEKDAY($S167),7))+13),1,IF(ISNUMBER($J167),$J167,$Y167)))</f>
        <v/>
      </c>
      <c r="AA167" s="62">
        <f>IF($V167="","",IF(AND(ISNUMBER($G167),$G167&lt;=IF($S167=MesCiclo,InicioCiclo,$S167+MOD(2-WEEKDAY($S167),7))+20),1,IF(ISNUMBER($K167),$K167,$Z167)))</f>
        <v/>
      </c>
      <c r="AB167" s="62">
        <f>IF($V167="","",IF(AND(ISNUMBER($G167),$G167&lt;=IF($S167=MesCiclo,InicioCiclo,$S167+MOD(2-WEEKDAY($S167),7))+27),1,IF(ISNUMBER($L167),$L167,$AA167)))</f>
        <v/>
      </c>
      <c r="AC167" s="62">
        <f>IF($V167="","",IF(AND(ISNUMBER($G167),$G167&lt;=IF($S167=MesCiclo,InicioCiclo,$S167+MOD(2-WEEKDAY($S167),7))+6),1,IF(N($W167)&gt;0,AVERAGEIFS($Y$5:$Y$1000,$U$5:$U$1000,ROW(),$V$5:$V$1000,"Sub"),$Y167)))</f>
        <v/>
      </c>
      <c r="AD167" s="62">
        <f>IF($V167="","",IF(AND(ISNUMBER($G167),$G167&lt;=IF($S167=MesCiclo,InicioCiclo,$S167+MOD(2-WEEKDAY($S167),7))+13),1,IF(N($W167)&gt;0,AVERAGEIFS($Z$5:$Z$1000,$U$5:$U$1000,ROW(),$V$5:$V$1000,"Sub"),$Z167)))</f>
        <v/>
      </c>
      <c r="AE167" s="62">
        <f>IF($V167="","",IF(AND(ISNUMBER($G167),$G167&lt;=IF($S167=MesCiclo,InicioCiclo,$S167+MOD(2-WEEKDAY($S167),7))+20),1,IF(N($W167)&gt;0,AVERAGEIFS($AA$5:$AA$1000,$U$5:$U$1000,ROW(),$V$5:$V$1000,"Sub"),$AA167)))</f>
        <v/>
      </c>
      <c r="AF167" s="62">
        <f>IF($V167="","",IF(AND(ISNUMBER($G167),$G167&lt;=IF($S167=MesCiclo,InicioCiclo,$S167+MOD(2-WEEKDAY($S167),7))+27),1,IF(N($W167)&gt;0,AVERAGEIFS($AB$5:$AB$1000,$U$5:$U$1000,ROW(),$V$5:$V$1000,"Sub"),$AB167)))</f>
        <v/>
      </c>
      <c r="AG167" s="62">
        <f>IF($V167&lt;&gt;"Macro","",IF(COUNTIFS($S$5:$S$1000,$S167,$V$5:$V$1000,"Macro",$H$5:$H$1000,"&gt;0")=0,1/COUNTIFS($S$5:$S$1000,$S167,$V$5:$V$1000,"Macro"),IF(AND(ISNUMBER($H167),N($H167)&gt;0),$H167,SUMIFS($H$5:$H$1000,$S$5:$S$1000,$S167,$V$5:$V$1000,"Macro")/COUNTIFS($S$5:$S$1000,$S167,$V$5:$V$1000,"Macro",$H$5:$H$1000,"&gt;0"))/(COUNTIFS($S$5:$S$1000,$S167,$V$5:$V$1000,"Macro")*SUMIFS($H$5:$H$1000,$S$5:$S$1000,$S167,$V$5:$V$1000,"Macro")/COUNTIFS($S$5:$S$1000,$S167,$V$5:$V$1000,"Macro",$H$5:$H$1000,"&gt;0"))))</f>
        <v/>
      </c>
      <c r="AH167" s="62" t="n"/>
      <c r="AI167" s="62" t="n"/>
      <c r="AJ167" s="62" t="n"/>
      <c r="AK167" s="62" t="n"/>
      <c r="AL167" s="62">
        <f>IF(LEFT($C167,11)="[Jefatura] ",IFERROR(MATCH("Riesgo Normativo|"&amp;MID($C167,12,500),rDname_ADM,0),0),"")</f>
        <v/>
      </c>
      <c r="AM167" s="62">
        <f>IF(N($AL167)&gt;0,INDEX(rIni_ADM,$AL167),IF(ISNUMBER($E167),$E167,""))</f>
        <v/>
      </c>
      <c r="AN167" s="62">
        <f>IF(N($AL167)&gt;0,INDEX(rLim_ADM,$AL167),IF(ISNUMBER($F167),$F167,""))</f>
        <v/>
      </c>
    </row>
    <row r="168">
      <c r="A168" s="56">
        <f>IF(NOT((COUNTA($B168:$D168)+COUNTA($G168:$L168)+COUNTA($Q168))&gt;0),"",IF($V168="Macro",COUNTIFS($V$5:$V168,"Macro",$S$5:$S168,$S168),IF(N($U168)=0,"?",COUNTIFS(INDEX($V$5:$V$1000,1):INDEX($V$5:$V$1000,$U168-4),"Macro",INDEX($S$5:$S$1000,1):INDEX($S$5:$S$1000,$U168-4),INDEX($S$5:$S$1000,$U168-4))&amp;"."&amp;COUNTIFS($U$5:$U168,$U168,$V$5:$V168,"Sub"))))</f>
        <v/>
      </c>
      <c r="B168" s="57" t="n"/>
      <c r="C168" s="58" t="n"/>
      <c r="D168" s="58" t="n"/>
      <c r="E168" s="59">
        <f>IF(N($AL168)&gt;0,INDEX(rIni_ADM,$AL168),"")</f>
        <v/>
      </c>
      <c r="F168" s="59">
        <f>IF(N($AL168)&gt;0,INDEX(rLim_ADM,$AL168),"")</f>
        <v/>
      </c>
      <c r="G168" s="59" t="n"/>
      <c r="H168" s="60" t="n"/>
      <c r="I168" s="60" t="n"/>
      <c r="J168" s="60" t="n"/>
      <c r="K168" s="60" t="n"/>
      <c r="L168" s="60" t="n"/>
      <c r="M168" s="61">
        <f>IF(NOT((COUNTA($B168:$D168)+COUNTA($G168:$L168)+COUNTA($Q168))&gt;0),"",IF($V168="Sub",IFERROR($X168/INDEX($W$5:$W$1000,$U168-4),""),IF(ISNUMBER($G168),1,IF(N($W168)&gt;0,AVERAGEIFS($X$5:$X$1000,$U$5:$U$1000,ROW(),$V$5:$V$1000,"Sub"),$X168))))</f>
        <v/>
      </c>
      <c r="N168" s="56">
        <f>IF(OR($M168="",$V168="Sub"),"",IF($M168&gt;=1,"Completado",IF($M168&gt;0,"En curso","Pendiente")))</f>
        <v/>
      </c>
      <c r="O168" s="56">
        <f>IF(OR(NOT((COUNTA($B168:$D168)+COUNTA($G168:$L168)+COUNTA($Q168))&gt;0),$V168="Sub"),"",IF(ISNUMBER($G168),IF(AND(ISNUMBER($AN168),$G168&gt;$AN168),"Cumplida con "&amp;($G168-$AN168)&amp;IF($G168-$AN168=1," día"," días")&amp;" de retraso","Cumplida"),IF(N($M168)&gt;=1,"Cumplida",IF(NOT(ISNUMBER($AN168)),"Sin fecha límite",IF($AN168&lt;FechaRef,"Vencida hace "&amp;(FechaRef-$AN168)&amp;IF(FechaRef-$AN168=1," día"," días"),IF($AN168=FechaRef,"Vence hoy",IF($AN168-FechaRef&lt;=DiasAlerta,"Vence en "&amp;($AN168-FechaRef)&amp;IF($AN168-FechaRef=1," día"," días"),"En plazo")))))))</f>
        <v/>
      </c>
      <c r="P168" s="62" t="n"/>
      <c r="Q168" s="58" t="n"/>
      <c r="R168" s="63">
        <f>IF(NOT((COUNTA($B168:$D168)+COUNTA($G168:$L168)+COUNTA($Q168))&gt;0),"",IF((IF($C168="","Falta el nombre de la actividad"&amp;" · ","")&amp;IF(AND($V168="Sub",N($U168)=0),"Subactividad sin macroactividad arriba"&amp;" · ","")&amp;IF($AM168="","Sin fecha de inicio"&amp;" · ","")&amp;IF($AN168="","Sin fecha límite"&amp;" · ","")&amp;IF(AND(LEFT($C168,11)="[Jefatura] ",N($AL168)=0),"No se encuentra en la hoja de la jefatura (elíjala de nuevo en la lista)"&amp;" · ","")&amp;IF(OR(AND($E168&lt;&gt;"",NOT(ISNUMBER($E168))),AND($F168&lt;&gt;"",NOT(ISNUMBER($F168))),AND($G168&lt;&gt;"",NOT(ISNUMBER($G168)))),"Fecha no válida"&amp;" · ","")&amp;IF(AND(ISNUMBER($AM168),ISNUMBER($AN168),$AM168&gt;$AN168),"Inicio posterior a fecha límite"&amp;" · ","")&amp;IF(AND($V168="Macro",$H168&lt;&gt;"",OR(NOT(ISNUMBER($H168)),$H168&lt;0,$H168&gt;1)),"Peso fuera de rango"&amp;" · ","")&amp;IF(AND($V168="Sub",$H168&lt;&gt;""),"Las subactividades no llevan peso (valen igual dentro de su macroactividad)"&amp;" · ","")&amp;IF(AND(N($W168)&gt;0,COUNT($I168:$L168)&gt;0),"Con subactividades: deje vacías las semanas (se calculan solas)"&amp;" · ","")&amp;IF((COUNTIF($I168:$L168,"&gt;1")+COUNTIF($I168:$L168,"&lt;0")+COUNTA($I168:$L168)-COUNT($I168:$L168))&gt;0,"Avance fuera de rango 0-100%"&amp;" · ","")&amp;IF(OR(AND($J168&lt;&gt;"",$J168&lt;$I168),AND($K168&lt;&gt;"",$K168&lt;MAX($I168:$J168)),AND($L168&lt;&gt;"",$L168&lt;MAX($I168:$K168))),"Avance semanal decreciente"&amp;" · ","")&amp;IF(AND(ISNUMBER($AN168),$AN168&lt;FechaRef,IF($V168="Sub",N($X168),N($M168))&lt;1),"Vencida"&amp;" · ","")&amp;IF(AND(ObsObligatoria="Sí",ISNUMBER($AN168),$AN168&lt;FechaRef,IF($V168="Sub",N($X168),N($M168))&lt;1,$Q168=""),"Vencida sin observación"&amp;" · ",""))="","✔ OK","⚠ "&amp;LEFT(IF($C168="","Falta el nombre de la actividad"&amp;" · ","")&amp;IF(AND($V168="Sub",N($U168)=0),"Subactividad sin macroactividad arriba"&amp;" · ","")&amp;IF($AM168="","Sin fecha de inicio"&amp;" · ","")&amp;IF($AN168="","Sin fecha límite"&amp;" · ","")&amp;IF(AND(LEFT($C168,11)="[Jefatura] ",N($AL168)=0),"No se encuentra en la hoja de la jefatura (elíjala de nuevo en la lista)"&amp;" · ","")&amp;IF(OR(AND($E168&lt;&gt;"",NOT(ISNUMBER($E168))),AND($F168&lt;&gt;"",NOT(ISNUMBER($F168))),AND($G168&lt;&gt;"",NOT(ISNUMBER($G168)))),"Fecha no válida"&amp;" · ","")&amp;IF(AND(ISNUMBER($AM168),ISNUMBER($AN168),$AM168&gt;$AN168),"Inicio posterior a fecha límite"&amp;" · ","")&amp;IF(AND($V168="Macro",$H168&lt;&gt;"",OR(NOT(ISNUMBER($H168)),$H168&lt;0,$H168&gt;1)),"Peso fuera de rango"&amp;" · ","")&amp;IF(AND($V168="Sub",$H168&lt;&gt;""),"Las subactividades no llevan peso (valen igual dentro de su macroactividad)"&amp;" · ","")&amp;IF(AND(N($W168)&gt;0,COUNT($I168:$L168)&gt;0),"Con subactividades: deje vacías las semanas (se calculan solas)"&amp;" · ","")&amp;IF((COUNTIF($I168:$L168,"&gt;1")+COUNTIF($I168:$L168,"&lt;0")+COUNTA($I168:$L168)-COUNT($I168:$L168))&gt;0,"Avance fuera de rango 0-100%"&amp;" · ","")&amp;IF(OR(AND($J168&lt;&gt;"",$J168&lt;$I168),AND($K168&lt;&gt;"",$K168&lt;MAX($I168:$J168)),AND($L168&lt;&gt;"",$L168&lt;MAX($I168:$K168))),"Avance semanal decreciente"&amp;" · ","")&amp;IF(AND(ISNUMBER($AN168),$AN168&lt;FechaRef,IF($V168="Sub",N($X168),N($M168))&lt;1),"Vencida"&amp;" · ","")&amp;IF(AND(ObsObligatoria="Sí",ISNUMBER($AN168),$AN168&lt;FechaRef,IF($V168="Sub",N($X168),N($M168))&lt;1,$Q168=""),"Vencida sin observación"&amp;" · ",""),LEN(IF($C168="","Falta el nombre de la actividad"&amp;" · ","")&amp;IF(AND($V168="Sub",N($U168)=0),"Subactividad sin macroactividad arriba"&amp;" · ","")&amp;IF($AM168="","Sin fecha de inicio"&amp;" · ","")&amp;IF($AN168="","Sin fecha límite"&amp;" · ","")&amp;IF(AND(LEFT($C168,11)="[Jefatura] ",N($AL168)=0),"No se encuentra en la hoja de la jefatura (elíjala de nuevo en la lista)"&amp;" · ","")&amp;IF(OR(AND($E168&lt;&gt;"",NOT(ISNUMBER($E168))),AND($F168&lt;&gt;"",NOT(ISNUMBER($F168))),AND($G168&lt;&gt;"",NOT(ISNUMBER($G168)))),"Fecha no válida"&amp;" · ","")&amp;IF(AND(ISNUMBER($AM168),ISNUMBER($AN168),$AM168&gt;$AN168),"Inicio posterior a fecha límite"&amp;" · ","")&amp;IF(AND($V168="Macro",$H168&lt;&gt;"",OR(NOT(ISNUMBER($H168)),$H168&lt;0,$H168&gt;1)),"Peso fuera de rango"&amp;" · ","")&amp;IF(AND($V168="Sub",$H168&lt;&gt;""),"Las subactividades no llevan peso (valen igual dentro de su macroactividad)"&amp;" · ","")&amp;IF(AND(N($W168)&gt;0,COUNT($I168:$L168)&gt;0),"Con subactividades: deje vacías las semanas (se calculan solas)"&amp;" · ","")&amp;IF((COUNTIF($I168:$L168,"&gt;1")+COUNTIF($I168:$L168,"&lt;0")+COUNTA($I168:$L168)-COUNT($I168:$L168))&gt;0,"Avance fuera de rango 0-100%"&amp;" · ","")&amp;IF(OR(AND($J168&lt;&gt;"",$J168&lt;$I168),AND($K168&lt;&gt;"",$K168&lt;MAX($I168:$J168)),AND($L168&lt;&gt;"",$L168&lt;MAX($I168:$K168))),"Avance semanal decreciente"&amp;" · ","")&amp;IF(AND(ISNUMBER($AN168),$AN168&lt;FechaRef,IF($V168="Sub",N($X168),N($M168))&lt;1),"Vencida"&amp;" · ","")&amp;IF(AND(ObsObligatoria="Sí",ISNUMBER($AN168),$AN168&lt;FechaRef,IF($V168="Sub",N($X168),N($M168))&lt;1,$Q168=""),"Vencida sin observación"&amp;" · ",""))-3)))</f>
        <v/>
      </c>
      <c r="S168" s="64">
        <f>IF(NOT((COUNTA($B168:$D168)+COUNTA($G168:$L168)+COUNTA($Q168))&gt;0),"",IF(AND($V168="Sub",N($U168)&gt;0),IF(ISNUMBER(INDEX($AM$5:$AM$1000,$U168-4)),DATE(YEAR(INDEX($AM$5:$AM$1000,$U168-4)),MONTH(INDEX($AM$5:$AM$1000,$U168-4)),1),IF(ISNUMBER(INDEX($AN$5:$AN$1000,$U168-4)),DATE(YEAR(INDEX($AN$5:$AN$1000,$U168-4)),MONTH(INDEX($AN$5:$AN$1000,$U168-4)),1),MesCiclo)),IF(ISNUMBER($AM168),DATE(YEAR($AM168),MONTH($AM168),1),IF(ISNUMBER($AN168),DATE(YEAR($AN168),MONTH($AN168),1),MesCiclo))))</f>
        <v/>
      </c>
      <c r="T168" s="62">
        <f>IF(OR($S168="",$S168&lt;&gt;MesCiclo,$V168&lt;&gt;"Macro"),"",COUNTIFS($S$5:$S168,MesCiclo,$V$5:$V168,"Macro"))</f>
        <v/>
      </c>
      <c r="U168" s="62">
        <f>IF($V168="","",IF($V168="Macro",ROW(),IFERROR(LOOKUP(2,1/($V$5:$V168="Macro"),ROW($V$5:$V168)),0)))</f>
        <v/>
      </c>
      <c r="V168" s="62">
        <f>IF(NOT((COUNTA($B168:$D168)+COUNTA($G168:$L168)+COUNTA($Q168))&gt;0),"",IF($B168="Subactividad","Sub","Macro"))</f>
        <v/>
      </c>
      <c r="W168" s="62">
        <f>IF($V168="Macro",COUNTIFS($U$5:$U$1000,ROW(),$V$5:$V$1000,"Sub"),"")</f>
        <v/>
      </c>
      <c r="X168" s="62">
        <f>IF($V168="","",IF(ISNUMBER($G168),1,IFERROR(LOOKUP(2,1/($I168:$L168&lt;&gt;""),$I168:$L168),0)))</f>
        <v/>
      </c>
      <c r="Y168" s="62">
        <f>IF($V168="","",IF(AND(ISNUMBER($G168),$G168&lt;=IF($S168=MesCiclo,InicioCiclo,$S168+MOD(2-WEEKDAY($S168),7))+6),1,IF(ISNUMBER($I168),$I168,0)))</f>
        <v/>
      </c>
      <c r="Z168" s="62">
        <f>IF($V168="","",IF(AND(ISNUMBER($G168),$G168&lt;=IF($S168=MesCiclo,InicioCiclo,$S168+MOD(2-WEEKDAY($S168),7))+13),1,IF(ISNUMBER($J168),$J168,$Y168)))</f>
        <v/>
      </c>
      <c r="AA168" s="62">
        <f>IF($V168="","",IF(AND(ISNUMBER($G168),$G168&lt;=IF($S168=MesCiclo,InicioCiclo,$S168+MOD(2-WEEKDAY($S168),7))+20),1,IF(ISNUMBER($K168),$K168,$Z168)))</f>
        <v/>
      </c>
      <c r="AB168" s="62">
        <f>IF($V168="","",IF(AND(ISNUMBER($G168),$G168&lt;=IF($S168=MesCiclo,InicioCiclo,$S168+MOD(2-WEEKDAY($S168),7))+27),1,IF(ISNUMBER($L168),$L168,$AA168)))</f>
        <v/>
      </c>
      <c r="AC168" s="62">
        <f>IF($V168="","",IF(AND(ISNUMBER($G168),$G168&lt;=IF($S168=MesCiclo,InicioCiclo,$S168+MOD(2-WEEKDAY($S168),7))+6),1,IF(N($W168)&gt;0,AVERAGEIFS($Y$5:$Y$1000,$U$5:$U$1000,ROW(),$V$5:$V$1000,"Sub"),$Y168)))</f>
        <v/>
      </c>
      <c r="AD168" s="62">
        <f>IF($V168="","",IF(AND(ISNUMBER($G168),$G168&lt;=IF($S168=MesCiclo,InicioCiclo,$S168+MOD(2-WEEKDAY($S168),7))+13),1,IF(N($W168)&gt;0,AVERAGEIFS($Z$5:$Z$1000,$U$5:$U$1000,ROW(),$V$5:$V$1000,"Sub"),$Z168)))</f>
        <v/>
      </c>
      <c r="AE168" s="62">
        <f>IF($V168="","",IF(AND(ISNUMBER($G168),$G168&lt;=IF($S168=MesCiclo,InicioCiclo,$S168+MOD(2-WEEKDAY($S168),7))+20),1,IF(N($W168)&gt;0,AVERAGEIFS($AA$5:$AA$1000,$U$5:$U$1000,ROW(),$V$5:$V$1000,"Sub"),$AA168)))</f>
        <v/>
      </c>
      <c r="AF168" s="62">
        <f>IF($V168="","",IF(AND(ISNUMBER($G168),$G168&lt;=IF($S168=MesCiclo,InicioCiclo,$S168+MOD(2-WEEKDAY($S168),7))+27),1,IF(N($W168)&gt;0,AVERAGEIFS($AB$5:$AB$1000,$U$5:$U$1000,ROW(),$V$5:$V$1000,"Sub"),$AB168)))</f>
        <v/>
      </c>
      <c r="AG168" s="62">
        <f>IF($V168&lt;&gt;"Macro","",IF(COUNTIFS($S$5:$S$1000,$S168,$V$5:$V$1000,"Macro",$H$5:$H$1000,"&gt;0")=0,1/COUNTIFS($S$5:$S$1000,$S168,$V$5:$V$1000,"Macro"),IF(AND(ISNUMBER($H168),N($H168)&gt;0),$H168,SUMIFS($H$5:$H$1000,$S$5:$S$1000,$S168,$V$5:$V$1000,"Macro")/COUNTIFS($S$5:$S$1000,$S168,$V$5:$V$1000,"Macro",$H$5:$H$1000,"&gt;0"))/(COUNTIFS($S$5:$S$1000,$S168,$V$5:$V$1000,"Macro")*SUMIFS($H$5:$H$1000,$S$5:$S$1000,$S168,$V$5:$V$1000,"Macro")/COUNTIFS($S$5:$S$1000,$S168,$V$5:$V$1000,"Macro",$H$5:$H$1000,"&gt;0"))))</f>
        <v/>
      </c>
      <c r="AH168" s="62" t="n"/>
      <c r="AI168" s="62" t="n"/>
      <c r="AJ168" s="62" t="n"/>
      <c r="AK168" s="62" t="n"/>
      <c r="AL168" s="62">
        <f>IF(LEFT($C168,11)="[Jefatura] ",IFERROR(MATCH("Riesgo Normativo|"&amp;MID($C168,12,500),rDname_ADM,0),0),"")</f>
        <v/>
      </c>
      <c r="AM168" s="62">
        <f>IF(N($AL168)&gt;0,INDEX(rIni_ADM,$AL168),IF(ISNUMBER($E168),$E168,""))</f>
        <v/>
      </c>
      <c r="AN168" s="62">
        <f>IF(N($AL168)&gt;0,INDEX(rLim_ADM,$AL168),IF(ISNUMBER($F168),$F168,""))</f>
        <v/>
      </c>
    </row>
    <row r="169">
      <c r="A169" s="56">
        <f>IF(NOT((COUNTA($B169:$D169)+COUNTA($G169:$L169)+COUNTA($Q169))&gt;0),"",IF($V169="Macro",COUNTIFS($V$5:$V169,"Macro",$S$5:$S169,$S169),IF(N($U169)=0,"?",COUNTIFS(INDEX($V$5:$V$1000,1):INDEX($V$5:$V$1000,$U169-4),"Macro",INDEX($S$5:$S$1000,1):INDEX($S$5:$S$1000,$U169-4),INDEX($S$5:$S$1000,$U169-4))&amp;"."&amp;COUNTIFS($U$5:$U169,$U169,$V$5:$V169,"Sub"))))</f>
        <v/>
      </c>
      <c r="B169" s="57" t="n"/>
      <c r="C169" s="58" t="n"/>
      <c r="D169" s="58" t="n"/>
      <c r="E169" s="59">
        <f>IF(N($AL169)&gt;0,INDEX(rIni_ADM,$AL169),"")</f>
        <v/>
      </c>
      <c r="F169" s="59">
        <f>IF(N($AL169)&gt;0,INDEX(rLim_ADM,$AL169),"")</f>
        <v/>
      </c>
      <c r="G169" s="59" t="n"/>
      <c r="H169" s="60" t="n"/>
      <c r="I169" s="60" t="n"/>
      <c r="J169" s="60" t="n"/>
      <c r="K169" s="60" t="n"/>
      <c r="L169" s="60" t="n"/>
      <c r="M169" s="61">
        <f>IF(NOT((COUNTA($B169:$D169)+COUNTA($G169:$L169)+COUNTA($Q169))&gt;0),"",IF($V169="Sub",IFERROR($X169/INDEX($W$5:$W$1000,$U169-4),""),IF(ISNUMBER($G169),1,IF(N($W169)&gt;0,AVERAGEIFS($X$5:$X$1000,$U$5:$U$1000,ROW(),$V$5:$V$1000,"Sub"),$X169))))</f>
        <v/>
      </c>
      <c r="N169" s="56">
        <f>IF(OR($M169="",$V169="Sub"),"",IF($M169&gt;=1,"Completado",IF($M169&gt;0,"En curso","Pendiente")))</f>
        <v/>
      </c>
      <c r="O169" s="56">
        <f>IF(OR(NOT((COUNTA($B169:$D169)+COUNTA($G169:$L169)+COUNTA($Q169))&gt;0),$V169="Sub"),"",IF(ISNUMBER($G169),IF(AND(ISNUMBER($AN169),$G169&gt;$AN169),"Cumplida con "&amp;($G169-$AN169)&amp;IF($G169-$AN169=1," día"," días")&amp;" de retraso","Cumplida"),IF(N($M169)&gt;=1,"Cumplida",IF(NOT(ISNUMBER($AN169)),"Sin fecha límite",IF($AN169&lt;FechaRef,"Vencida hace "&amp;(FechaRef-$AN169)&amp;IF(FechaRef-$AN169=1," día"," días"),IF($AN169=FechaRef,"Vence hoy",IF($AN169-FechaRef&lt;=DiasAlerta,"Vence en "&amp;($AN169-FechaRef)&amp;IF($AN169-FechaRef=1," día"," días"),"En plazo")))))))</f>
        <v/>
      </c>
      <c r="P169" s="62" t="n"/>
      <c r="Q169" s="58" t="n"/>
      <c r="R169" s="63">
        <f>IF(NOT((COUNTA($B169:$D169)+COUNTA($G169:$L169)+COUNTA($Q169))&gt;0),"",IF((IF($C169="","Falta el nombre de la actividad"&amp;" · ","")&amp;IF(AND($V169="Sub",N($U169)=0),"Subactividad sin macroactividad arriba"&amp;" · ","")&amp;IF($AM169="","Sin fecha de inicio"&amp;" · ","")&amp;IF($AN169="","Sin fecha límite"&amp;" · ","")&amp;IF(AND(LEFT($C169,11)="[Jefatura] ",N($AL169)=0),"No se encuentra en la hoja de la jefatura (elíjala de nuevo en la lista)"&amp;" · ","")&amp;IF(OR(AND($E169&lt;&gt;"",NOT(ISNUMBER($E169))),AND($F169&lt;&gt;"",NOT(ISNUMBER($F169))),AND($G169&lt;&gt;"",NOT(ISNUMBER($G169)))),"Fecha no válida"&amp;" · ","")&amp;IF(AND(ISNUMBER($AM169),ISNUMBER($AN169),$AM169&gt;$AN169),"Inicio posterior a fecha límite"&amp;" · ","")&amp;IF(AND($V169="Macro",$H169&lt;&gt;"",OR(NOT(ISNUMBER($H169)),$H169&lt;0,$H169&gt;1)),"Peso fuera de rango"&amp;" · ","")&amp;IF(AND($V169="Sub",$H169&lt;&gt;""),"Las subactividades no llevan peso (valen igual dentro de su macroactividad)"&amp;" · ","")&amp;IF(AND(N($W169)&gt;0,COUNT($I169:$L169)&gt;0),"Con subactividades: deje vacías las semanas (se calculan solas)"&amp;" · ","")&amp;IF((COUNTIF($I169:$L169,"&gt;1")+COUNTIF($I169:$L169,"&lt;0")+COUNTA($I169:$L169)-COUNT($I169:$L169))&gt;0,"Avance fuera de rango 0-100%"&amp;" · ","")&amp;IF(OR(AND($J169&lt;&gt;"",$J169&lt;$I169),AND($K169&lt;&gt;"",$K169&lt;MAX($I169:$J169)),AND($L169&lt;&gt;"",$L169&lt;MAX($I169:$K169))),"Avance semanal decreciente"&amp;" · ","")&amp;IF(AND(ISNUMBER($AN169),$AN169&lt;FechaRef,IF($V169="Sub",N($X169),N($M169))&lt;1),"Vencida"&amp;" · ","")&amp;IF(AND(ObsObligatoria="Sí",ISNUMBER($AN169),$AN169&lt;FechaRef,IF($V169="Sub",N($X169),N($M169))&lt;1,$Q169=""),"Vencida sin observación"&amp;" · ",""))="","✔ OK","⚠ "&amp;LEFT(IF($C169="","Falta el nombre de la actividad"&amp;" · ","")&amp;IF(AND($V169="Sub",N($U169)=0),"Subactividad sin macroactividad arriba"&amp;" · ","")&amp;IF($AM169="","Sin fecha de inicio"&amp;" · ","")&amp;IF($AN169="","Sin fecha límite"&amp;" · ","")&amp;IF(AND(LEFT($C169,11)="[Jefatura] ",N($AL169)=0),"No se encuentra en la hoja de la jefatura (elíjala de nuevo en la lista)"&amp;" · ","")&amp;IF(OR(AND($E169&lt;&gt;"",NOT(ISNUMBER($E169))),AND($F169&lt;&gt;"",NOT(ISNUMBER($F169))),AND($G169&lt;&gt;"",NOT(ISNUMBER($G169)))),"Fecha no válida"&amp;" · ","")&amp;IF(AND(ISNUMBER($AM169),ISNUMBER($AN169),$AM169&gt;$AN169),"Inicio posterior a fecha límite"&amp;" · ","")&amp;IF(AND($V169="Macro",$H169&lt;&gt;"",OR(NOT(ISNUMBER($H169)),$H169&lt;0,$H169&gt;1)),"Peso fuera de rango"&amp;" · ","")&amp;IF(AND($V169="Sub",$H169&lt;&gt;""),"Las subactividades no llevan peso (valen igual dentro de su macroactividad)"&amp;" · ","")&amp;IF(AND(N($W169)&gt;0,COUNT($I169:$L169)&gt;0),"Con subactividades: deje vacías las semanas (se calculan solas)"&amp;" · ","")&amp;IF((COUNTIF($I169:$L169,"&gt;1")+COUNTIF($I169:$L169,"&lt;0")+COUNTA($I169:$L169)-COUNT($I169:$L169))&gt;0,"Avance fuera de rango 0-100%"&amp;" · ","")&amp;IF(OR(AND($J169&lt;&gt;"",$J169&lt;$I169),AND($K169&lt;&gt;"",$K169&lt;MAX($I169:$J169)),AND($L169&lt;&gt;"",$L169&lt;MAX($I169:$K169))),"Avance semanal decreciente"&amp;" · ","")&amp;IF(AND(ISNUMBER($AN169),$AN169&lt;FechaRef,IF($V169="Sub",N($X169),N($M169))&lt;1),"Vencida"&amp;" · ","")&amp;IF(AND(ObsObligatoria="Sí",ISNUMBER($AN169),$AN169&lt;FechaRef,IF($V169="Sub",N($X169),N($M169))&lt;1,$Q169=""),"Vencida sin observación"&amp;" · ",""),LEN(IF($C169="","Falta el nombre de la actividad"&amp;" · ","")&amp;IF(AND($V169="Sub",N($U169)=0),"Subactividad sin macroactividad arriba"&amp;" · ","")&amp;IF($AM169="","Sin fecha de inicio"&amp;" · ","")&amp;IF($AN169="","Sin fecha límite"&amp;" · ","")&amp;IF(AND(LEFT($C169,11)="[Jefatura] ",N($AL169)=0),"No se encuentra en la hoja de la jefatura (elíjala de nuevo en la lista)"&amp;" · ","")&amp;IF(OR(AND($E169&lt;&gt;"",NOT(ISNUMBER($E169))),AND($F169&lt;&gt;"",NOT(ISNUMBER($F169))),AND($G169&lt;&gt;"",NOT(ISNUMBER($G169)))),"Fecha no válida"&amp;" · ","")&amp;IF(AND(ISNUMBER($AM169),ISNUMBER($AN169),$AM169&gt;$AN169),"Inicio posterior a fecha límite"&amp;" · ","")&amp;IF(AND($V169="Macro",$H169&lt;&gt;"",OR(NOT(ISNUMBER($H169)),$H169&lt;0,$H169&gt;1)),"Peso fuera de rango"&amp;" · ","")&amp;IF(AND($V169="Sub",$H169&lt;&gt;""),"Las subactividades no llevan peso (valen igual dentro de su macroactividad)"&amp;" · ","")&amp;IF(AND(N($W169)&gt;0,COUNT($I169:$L169)&gt;0),"Con subactividades: deje vacías las semanas (se calculan solas)"&amp;" · ","")&amp;IF((COUNTIF($I169:$L169,"&gt;1")+COUNTIF($I169:$L169,"&lt;0")+COUNTA($I169:$L169)-COUNT($I169:$L169))&gt;0,"Avance fuera de rango 0-100%"&amp;" · ","")&amp;IF(OR(AND($J169&lt;&gt;"",$J169&lt;$I169),AND($K169&lt;&gt;"",$K169&lt;MAX($I169:$J169)),AND($L169&lt;&gt;"",$L169&lt;MAX($I169:$K169))),"Avance semanal decreciente"&amp;" · ","")&amp;IF(AND(ISNUMBER($AN169),$AN169&lt;FechaRef,IF($V169="Sub",N($X169),N($M169))&lt;1),"Vencida"&amp;" · ","")&amp;IF(AND(ObsObligatoria="Sí",ISNUMBER($AN169),$AN169&lt;FechaRef,IF($V169="Sub",N($X169),N($M169))&lt;1,$Q169=""),"Vencida sin observación"&amp;" · ",""))-3)))</f>
        <v/>
      </c>
      <c r="S169" s="64">
        <f>IF(NOT((COUNTA($B169:$D169)+COUNTA($G169:$L169)+COUNTA($Q169))&gt;0),"",IF(AND($V169="Sub",N($U169)&gt;0),IF(ISNUMBER(INDEX($AM$5:$AM$1000,$U169-4)),DATE(YEAR(INDEX($AM$5:$AM$1000,$U169-4)),MONTH(INDEX($AM$5:$AM$1000,$U169-4)),1),IF(ISNUMBER(INDEX($AN$5:$AN$1000,$U169-4)),DATE(YEAR(INDEX($AN$5:$AN$1000,$U169-4)),MONTH(INDEX($AN$5:$AN$1000,$U169-4)),1),MesCiclo)),IF(ISNUMBER($AM169),DATE(YEAR($AM169),MONTH($AM169),1),IF(ISNUMBER($AN169),DATE(YEAR($AN169),MONTH($AN169),1),MesCiclo))))</f>
        <v/>
      </c>
      <c r="T169" s="62">
        <f>IF(OR($S169="",$S169&lt;&gt;MesCiclo,$V169&lt;&gt;"Macro"),"",COUNTIFS($S$5:$S169,MesCiclo,$V$5:$V169,"Macro"))</f>
        <v/>
      </c>
      <c r="U169" s="62">
        <f>IF($V169="","",IF($V169="Macro",ROW(),IFERROR(LOOKUP(2,1/($V$5:$V169="Macro"),ROW($V$5:$V169)),0)))</f>
        <v/>
      </c>
      <c r="V169" s="62">
        <f>IF(NOT((COUNTA($B169:$D169)+COUNTA($G169:$L169)+COUNTA($Q169))&gt;0),"",IF($B169="Subactividad","Sub","Macro"))</f>
        <v/>
      </c>
      <c r="W169" s="62">
        <f>IF($V169="Macro",COUNTIFS($U$5:$U$1000,ROW(),$V$5:$V$1000,"Sub"),"")</f>
        <v/>
      </c>
      <c r="X169" s="62">
        <f>IF($V169="","",IF(ISNUMBER($G169),1,IFERROR(LOOKUP(2,1/($I169:$L169&lt;&gt;""),$I169:$L169),0)))</f>
        <v/>
      </c>
      <c r="Y169" s="62">
        <f>IF($V169="","",IF(AND(ISNUMBER($G169),$G169&lt;=IF($S169=MesCiclo,InicioCiclo,$S169+MOD(2-WEEKDAY($S169),7))+6),1,IF(ISNUMBER($I169),$I169,0)))</f>
        <v/>
      </c>
      <c r="Z169" s="62">
        <f>IF($V169="","",IF(AND(ISNUMBER($G169),$G169&lt;=IF($S169=MesCiclo,InicioCiclo,$S169+MOD(2-WEEKDAY($S169),7))+13),1,IF(ISNUMBER($J169),$J169,$Y169)))</f>
        <v/>
      </c>
      <c r="AA169" s="62">
        <f>IF($V169="","",IF(AND(ISNUMBER($G169),$G169&lt;=IF($S169=MesCiclo,InicioCiclo,$S169+MOD(2-WEEKDAY($S169),7))+20),1,IF(ISNUMBER($K169),$K169,$Z169)))</f>
        <v/>
      </c>
      <c r="AB169" s="62">
        <f>IF($V169="","",IF(AND(ISNUMBER($G169),$G169&lt;=IF($S169=MesCiclo,InicioCiclo,$S169+MOD(2-WEEKDAY($S169),7))+27),1,IF(ISNUMBER($L169),$L169,$AA169)))</f>
        <v/>
      </c>
      <c r="AC169" s="62">
        <f>IF($V169="","",IF(AND(ISNUMBER($G169),$G169&lt;=IF($S169=MesCiclo,InicioCiclo,$S169+MOD(2-WEEKDAY($S169),7))+6),1,IF(N($W169)&gt;0,AVERAGEIFS($Y$5:$Y$1000,$U$5:$U$1000,ROW(),$V$5:$V$1000,"Sub"),$Y169)))</f>
        <v/>
      </c>
      <c r="AD169" s="62">
        <f>IF($V169="","",IF(AND(ISNUMBER($G169),$G169&lt;=IF($S169=MesCiclo,InicioCiclo,$S169+MOD(2-WEEKDAY($S169),7))+13),1,IF(N($W169)&gt;0,AVERAGEIFS($Z$5:$Z$1000,$U$5:$U$1000,ROW(),$V$5:$V$1000,"Sub"),$Z169)))</f>
        <v/>
      </c>
      <c r="AE169" s="62">
        <f>IF($V169="","",IF(AND(ISNUMBER($G169),$G169&lt;=IF($S169=MesCiclo,InicioCiclo,$S169+MOD(2-WEEKDAY($S169),7))+20),1,IF(N($W169)&gt;0,AVERAGEIFS($AA$5:$AA$1000,$U$5:$U$1000,ROW(),$V$5:$V$1000,"Sub"),$AA169)))</f>
        <v/>
      </c>
      <c r="AF169" s="62">
        <f>IF($V169="","",IF(AND(ISNUMBER($G169),$G169&lt;=IF($S169=MesCiclo,InicioCiclo,$S169+MOD(2-WEEKDAY($S169),7))+27),1,IF(N($W169)&gt;0,AVERAGEIFS($AB$5:$AB$1000,$U$5:$U$1000,ROW(),$V$5:$V$1000,"Sub"),$AB169)))</f>
        <v/>
      </c>
      <c r="AG169" s="62">
        <f>IF($V169&lt;&gt;"Macro","",IF(COUNTIFS($S$5:$S$1000,$S169,$V$5:$V$1000,"Macro",$H$5:$H$1000,"&gt;0")=0,1/COUNTIFS($S$5:$S$1000,$S169,$V$5:$V$1000,"Macro"),IF(AND(ISNUMBER($H169),N($H169)&gt;0),$H169,SUMIFS($H$5:$H$1000,$S$5:$S$1000,$S169,$V$5:$V$1000,"Macro")/COUNTIFS($S$5:$S$1000,$S169,$V$5:$V$1000,"Macro",$H$5:$H$1000,"&gt;0"))/(COUNTIFS($S$5:$S$1000,$S169,$V$5:$V$1000,"Macro")*SUMIFS($H$5:$H$1000,$S$5:$S$1000,$S169,$V$5:$V$1000,"Macro")/COUNTIFS($S$5:$S$1000,$S169,$V$5:$V$1000,"Macro",$H$5:$H$1000,"&gt;0"))))</f>
        <v/>
      </c>
      <c r="AH169" s="62" t="n"/>
      <c r="AI169" s="62" t="n"/>
      <c r="AJ169" s="62" t="n"/>
      <c r="AK169" s="62" t="n"/>
      <c r="AL169" s="62">
        <f>IF(LEFT($C169,11)="[Jefatura] ",IFERROR(MATCH("Riesgo Normativo|"&amp;MID($C169,12,500),rDname_ADM,0),0),"")</f>
        <v/>
      </c>
      <c r="AM169" s="62">
        <f>IF(N($AL169)&gt;0,INDEX(rIni_ADM,$AL169),IF(ISNUMBER($E169),$E169,""))</f>
        <v/>
      </c>
      <c r="AN169" s="62">
        <f>IF(N($AL169)&gt;0,INDEX(rLim_ADM,$AL169),IF(ISNUMBER($F169),$F169,""))</f>
        <v/>
      </c>
    </row>
    <row r="170">
      <c r="A170" s="56">
        <f>IF(NOT((COUNTA($B170:$D170)+COUNTA($G170:$L170)+COUNTA($Q170))&gt;0),"",IF($V170="Macro",COUNTIFS($V$5:$V170,"Macro",$S$5:$S170,$S170),IF(N($U170)=0,"?",COUNTIFS(INDEX($V$5:$V$1000,1):INDEX($V$5:$V$1000,$U170-4),"Macro",INDEX($S$5:$S$1000,1):INDEX($S$5:$S$1000,$U170-4),INDEX($S$5:$S$1000,$U170-4))&amp;"."&amp;COUNTIFS($U$5:$U170,$U170,$V$5:$V170,"Sub"))))</f>
        <v/>
      </c>
      <c r="B170" s="57" t="n"/>
      <c r="C170" s="58" t="n"/>
      <c r="D170" s="58" t="n"/>
      <c r="E170" s="59">
        <f>IF(N($AL170)&gt;0,INDEX(rIni_ADM,$AL170),"")</f>
        <v/>
      </c>
      <c r="F170" s="59">
        <f>IF(N($AL170)&gt;0,INDEX(rLim_ADM,$AL170),"")</f>
        <v/>
      </c>
      <c r="G170" s="59" t="n"/>
      <c r="H170" s="60" t="n"/>
      <c r="I170" s="60" t="n"/>
      <c r="J170" s="60" t="n"/>
      <c r="K170" s="60" t="n"/>
      <c r="L170" s="60" t="n"/>
      <c r="M170" s="61">
        <f>IF(NOT((COUNTA($B170:$D170)+COUNTA($G170:$L170)+COUNTA($Q170))&gt;0),"",IF($V170="Sub",IFERROR($X170/INDEX($W$5:$W$1000,$U170-4),""),IF(ISNUMBER($G170),1,IF(N($W170)&gt;0,AVERAGEIFS($X$5:$X$1000,$U$5:$U$1000,ROW(),$V$5:$V$1000,"Sub"),$X170))))</f>
        <v/>
      </c>
      <c r="N170" s="56">
        <f>IF(OR($M170="",$V170="Sub"),"",IF($M170&gt;=1,"Completado",IF($M170&gt;0,"En curso","Pendiente")))</f>
        <v/>
      </c>
      <c r="O170" s="56">
        <f>IF(OR(NOT((COUNTA($B170:$D170)+COUNTA($G170:$L170)+COUNTA($Q170))&gt;0),$V170="Sub"),"",IF(ISNUMBER($G170),IF(AND(ISNUMBER($AN170),$G170&gt;$AN170),"Cumplida con "&amp;($G170-$AN170)&amp;IF($G170-$AN170=1," día"," días")&amp;" de retraso","Cumplida"),IF(N($M170)&gt;=1,"Cumplida",IF(NOT(ISNUMBER($AN170)),"Sin fecha límite",IF($AN170&lt;FechaRef,"Vencida hace "&amp;(FechaRef-$AN170)&amp;IF(FechaRef-$AN170=1," día"," días"),IF($AN170=FechaRef,"Vence hoy",IF($AN170-FechaRef&lt;=DiasAlerta,"Vence en "&amp;($AN170-FechaRef)&amp;IF($AN170-FechaRef=1," día"," días"),"En plazo")))))))</f>
        <v/>
      </c>
      <c r="P170" s="62" t="n"/>
      <c r="Q170" s="58" t="n"/>
      <c r="R170" s="63">
        <f>IF(NOT((COUNTA($B170:$D170)+COUNTA($G170:$L170)+COUNTA($Q170))&gt;0),"",IF((IF($C170="","Falta el nombre de la actividad"&amp;" · ","")&amp;IF(AND($V170="Sub",N($U170)=0),"Subactividad sin macroactividad arriba"&amp;" · ","")&amp;IF($AM170="","Sin fecha de inicio"&amp;" · ","")&amp;IF($AN170="","Sin fecha límite"&amp;" · ","")&amp;IF(AND(LEFT($C170,11)="[Jefatura] ",N($AL170)=0),"No se encuentra en la hoja de la jefatura (elíjala de nuevo en la lista)"&amp;" · ","")&amp;IF(OR(AND($E170&lt;&gt;"",NOT(ISNUMBER($E170))),AND($F170&lt;&gt;"",NOT(ISNUMBER($F170))),AND($G170&lt;&gt;"",NOT(ISNUMBER($G170)))),"Fecha no válida"&amp;" · ","")&amp;IF(AND(ISNUMBER($AM170),ISNUMBER($AN170),$AM170&gt;$AN170),"Inicio posterior a fecha límite"&amp;" · ","")&amp;IF(AND($V170="Macro",$H170&lt;&gt;"",OR(NOT(ISNUMBER($H170)),$H170&lt;0,$H170&gt;1)),"Peso fuera de rango"&amp;" · ","")&amp;IF(AND($V170="Sub",$H170&lt;&gt;""),"Las subactividades no llevan peso (valen igual dentro de su macroactividad)"&amp;" · ","")&amp;IF(AND(N($W170)&gt;0,COUNT($I170:$L170)&gt;0),"Con subactividades: deje vacías las semanas (se calculan solas)"&amp;" · ","")&amp;IF((COUNTIF($I170:$L170,"&gt;1")+COUNTIF($I170:$L170,"&lt;0")+COUNTA($I170:$L170)-COUNT($I170:$L170))&gt;0,"Avance fuera de rango 0-100%"&amp;" · ","")&amp;IF(OR(AND($J170&lt;&gt;"",$J170&lt;$I170),AND($K170&lt;&gt;"",$K170&lt;MAX($I170:$J170)),AND($L170&lt;&gt;"",$L170&lt;MAX($I170:$K170))),"Avance semanal decreciente"&amp;" · ","")&amp;IF(AND(ISNUMBER($AN170),$AN170&lt;FechaRef,IF($V170="Sub",N($X170),N($M170))&lt;1),"Vencida"&amp;" · ","")&amp;IF(AND(ObsObligatoria="Sí",ISNUMBER($AN170),$AN170&lt;FechaRef,IF($V170="Sub",N($X170),N($M170))&lt;1,$Q170=""),"Vencida sin observación"&amp;" · ",""))="","✔ OK","⚠ "&amp;LEFT(IF($C170="","Falta el nombre de la actividad"&amp;" · ","")&amp;IF(AND($V170="Sub",N($U170)=0),"Subactividad sin macroactividad arriba"&amp;" · ","")&amp;IF($AM170="","Sin fecha de inicio"&amp;" · ","")&amp;IF($AN170="","Sin fecha límite"&amp;" · ","")&amp;IF(AND(LEFT($C170,11)="[Jefatura] ",N($AL170)=0),"No se encuentra en la hoja de la jefatura (elíjala de nuevo en la lista)"&amp;" · ","")&amp;IF(OR(AND($E170&lt;&gt;"",NOT(ISNUMBER($E170))),AND($F170&lt;&gt;"",NOT(ISNUMBER($F170))),AND($G170&lt;&gt;"",NOT(ISNUMBER($G170)))),"Fecha no válida"&amp;" · ","")&amp;IF(AND(ISNUMBER($AM170),ISNUMBER($AN170),$AM170&gt;$AN170),"Inicio posterior a fecha límite"&amp;" · ","")&amp;IF(AND($V170="Macro",$H170&lt;&gt;"",OR(NOT(ISNUMBER($H170)),$H170&lt;0,$H170&gt;1)),"Peso fuera de rango"&amp;" · ","")&amp;IF(AND($V170="Sub",$H170&lt;&gt;""),"Las subactividades no llevan peso (valen igual dentro de su macroactividad)"&amp;" · ","")&amp;IF(AND(N($W170)&gt;0,COUNT($I170:$L170)&gt;0),"Con subactividades: deje vacías las semanas (se calculan solas)"&amp;" · ","")&amp;IF((COUNTIF($I170:$L170,"&gt;1")+COUNTIF($I170:$L170,"&lt;0")+COUNTA($I170:$L170)-COUNT($I170:$L170))&gt;0,"Avance fuera de rango 0-100%"&amp;" · ","")&amp;IF(OR(AND($J170&lt;&gt;"",$J170&lt;$I170),AND($K170&lt;&gt;"",$K170&lt;MAX($I170:$J170)),AND($L170&lt;&gt;"",$L170&lt;MAX($I170:$K170))),"Avance semanal decreciente"&amp;" · ","")&amp;IF(AND(ISNUMBER($AN170),$AN170&lt;FechaRef,IF($V170="Sub",N($X170),N($M170))&lt;1),"Vencida"&amp;" · ","")&amp;IF(AND(ObsObligatoria="Sí",ISNUMBER($AN170),$AN170&lt;FechaRef,IF($V170="Sub",N($X170),N($M170))&lt;1,$Q170=""),"Vencida sin observación"&amp;" · ",""),LEN(IF($C170="","Falta el nombre de la actividad"&amp;" · ","")&amp;IF(AND($V170="Sub",N($U170)=0),"Subactividad sin macroactividad arriba"&amp;" · ","")&amp;IF($AM170="","Sin fecha de inicio"&amp;" · ","")&amp;IF($AN170="","Sin fecha límite"&amp;" · ","")&amp;IF(AND(LEFT($C170,11)="[Jefatura] ",N($AL170)=0),"No se encuentra en la hoja de la jefatura (elíjala de nuevo en la lista)"&amp;" · ","")&amp;IF(OR(AND($E170&lt;&gt;"",NOT(ISNUMBER($E170))),AND($F170&lt;&gt;"",NOT(ISNUMBER($F170))),AND($G170&lt;&gt;"",NOT(ISNUMBER($G170)))),"Fecha no válida"&amp;" · ","")&amp;IF(AND(ISNUMBER($AM170),ISNUMBER($AN170),$AM170&gt;$AN170),"Inicio posterior a fecha límite"&amp;" · ","")&amp;IF(AND($V170="Macro",$H170&lt;&gt;"",OR(NOT(ISNUMBER($H170)),$H170&lt;0,$H170&gt;1)),"Peso fuera de rango"&amp;" · ","")&amp;IF(AND($V170="Sub",$H170&lt;&gt;""),"Las subactividades no llevan peso (valen igual dentro de su macroactividad)"&amp;" · ","")&amp;IF(AND(N($W170)&gt;0,COUNT($I170:$L170)&gt;0),"Con subactividades: deje vacías las semanas (se calculan solas)"&amp;" · ","")&amp;IF((COUNTIF($I170:$L170,"&gt;1")+COUNTIF($I170:$L170,"&lt;0")+COUNTA($I170:$L170)-COUNT($I170:$L170))&gt;0,"Avance fuera de rango 0-100%"&amp;" · ","")&amp;IF(OR(AND($J170&lt;&gt;"",$J170&lt;$I170),AND($K170&lt;&gt;"",$K170&lt;MAX($I170:$J170)),AND($L170&lt;&gt;"",$L170&lt;MAX($I170:$K170))),"Avance semanal decreciente"&amp;" · ","")&amp;IF(AND(ISNUMBER($AN170),$AN170&lt;FechaRef,IF($V170="Sub",N($X170),N($M170))&lt;1),"Vencida"&amp;" · ","")&amp;IF(AND(ObsObligatoria="Sí",ISNUMBER($AN170),$AN170&lt;FechaRef,IF($V170="Sub",N($X170),N($M170))&lt;1,$Q170=""),"Vencida sin observación"&amp;" · ",""))-3)))</f>
        <v/>
      </c>
      <c r="S170" s="64">
        <f>IF(NOT((COUNTA($B170:$D170)+COUNTA($G170:$L170)+COUNTA($Q170))&gt;0),"",IF(AND($V170="Sub",N($U170)&gt;0),IF(ISNUMBER(INDEX($AM$5:$AM$1000,$U170-4)),DATE(YEAR(INDEX($AM$5:$AM$1000,$U170-4)),MONTH(INDEX($AM$5:$AM$1000,$U170-4)),1),IF(ISNUMBER(INDEX($AN$5:$AN$1000,$U170-4)),DATE(YEAR(INDEX($AN$5:$AN$1000,$U170-4)),MONTH(INDEX($AN$5:$AN$1000,$U170-4)),1),MesCiclo)),IF(ISNUMBER($AM170),DATE(YEAR($AM170),MONTH($AM170),1),IF(ISNUMBER($AN170),DATE(YEAR($AN170),MONTH($AN170),1),MesCiclo))))</f>
        <v/>
      </c>
      <c r="T170" s="62">
        <f>IF(OR($S170="",$S170&lt;&gt;MesCiclo,$V170&lt;&gt;"Macro"),"",COUNTIFS($S$5:$S170,MesCiclo,$V$5:$V170,"Macro"))</f>
        <v/>
      </c>
      <c r="U170" s="62">
        <f>IF($V170="","",IF($V170="Macro",ROW(),IFERROR(LOOKUP(2,1/($V$5:$V170="Macro"),ROW($V$5:$V170)),0)))</f>
        <v/>
      </c>
      <c r="V170" s="62">
        <f>IF(NOT((COUNTA($B170:$D170)+COUNTA($G170:$L170)+COUNTA($Q170))&gt;0),"",IF($B170="Subactividad","Sub","Macro"))</f>
        <v/>
      </c>
      <c r="W170" s="62">
        <f>IF($V170="Macro",COUNTIFS($U$5:$U$1000,ROW(),$V$5:$V$1000,"Sub"),"")</f>
        <v/>
      </c>
      <c r="X170" s="62">
        <f>IF($V170="","",IF(ISNUMBER($G170),1,IFERROR(LOOKUP(2,1/($I170:$L170&lt;&gt;""),$I170:$L170),0)))</f>
        <v/>
      </c>
      <c r="Y170" s="62">
        <f>IF($V170="","",IF(AND(ISNUMBER($G170),$G170&lt;=IF($S170=MesCiclo,InicioCiclo,$S170+MOD(2-WEEKDAY($S170),7))+6),1,IF(ISNUMBER($I170),$I170,0)))</f>
        <v/>
      </c>
      <c r="Z170" s="62">
        <f>IF($V170="","",IF(AND(ISNUMBER($G170),$G170&lt;=IF($S170=MesCiclo,InicioCiclo,$S170+MOD(2-WEEKDAY($S170),7))+13),1,IF(ISNUMBER($J170),$J170,$Y170)))</f>
        <v/>
      </c>
      <c r="AA170" s="62">
        <f>IF($V170="","",IF(AND(ISNUMBER($G170),$G170&lt;=IF($S170=MesCiclo,InicioCiclo,$S170+MOD(2-WEEKDAY($S170),7))+20),1,IF(ISNUMBER($K170),$K170,$Z170)))</f>
        <v/>
      </c>
      <c r="AB170" s="62">
        <f>IF($V170="","",IF(AND(ISNUMBER($G170),$G170&lt;=IF($S170=MesCiclo,InicioCiclo,$S170+MOD(2-WEEKDAY($S170),7))+27),1,IF(ISNUMBER($L170),$L170,$AA170)))</f>
        <v/>
      </c>
      <c r="AC170" s="62">
        <f>IF($V170="","",IF(AND(ISNUMBER($G170),$G170&lt;=IF($S170=MesCiclo,InicioCiclo,$S170+MOD(2-WEEKDAY($S170),7))+6),1,IF(N($W170)&gt;0,AVERAGEIFS($Y$5:$Y$1000,$U$5:$U$1000,ROW(),$V$5:$V$1000,"Sub"),$Y170)))</f>
        <v/>
      </c>
      <c r="AD170" s="62">
        <f>IF($V170="","",IF(AND(ISNUMBER($G170),$G170&lt;=IF($S170=MesCiclo,InicioCiclo,$S170+MOD(2-WEEKDAY($S170),7))+13),1,IF(N($W170)&gt;0,AVERAGEIFS($Z$5:$Z$1000,$U$5:$U$1000,ROW(),$V$5:$V$1000,"Sub"),$Z170)))</f>
        <v/>
      </c>
      <c r="AE170" s="62">
        <f>IF($V170="","",IF(AND(ISNUMBER($G170),$G170&lt;=IF($S170=MesCiclo,InicioCiclo,$S170+MOD(2-WEEKDAY($S170),7))+20),1,IF(N($W170)&gt;0,AVERAGEIFS($AA$5:$AA$1000,$U$5:$U$1000,ROW(),$V$5:$V$1000,"Sub"),$AA170)))</f>
        <v/>
      </c>
      <c r="AF170" s="62">
        <f>IF($V170="","",IF(AND(ISNUMBER($G170),$G170&lt;=IF($S170=MesCiclo,InicioCiclo,$S170+MOD(2-WEEKDAY($S170),7))+27),1,IF(N($W170)&gt;0,AVERAGEIFS($AB$5:$AB$1000,$U$5:$U$1000,ROW(),$V$5:$V$1000,"Sub"),$AB170)))</f>
        <v/>
      </c>
      <c r="AG170" s="62">
        <f>IF($V170&lt;&gt;"Macro","",IF(COUNTIFS($S$5:$S$1000,$S170,$V$5:$V$1000,"Macro",$H$5:$H$1000,"&gt;0")=0,1/COUNTIFS($S$5:$S$1000,$S170,$V$5:$V$1000,"Macro"),IF(AND(ISNUMBER($H170),N($H170)&gt;0),$H170,SUMIFS($H$5:$H$1000,$S$5:$S$1000,$S170,$V$5:$V$1000,"Macro")/COUNTIFS($S$5:$S$1000,$S170,$V$5:$V$1000,"Macro",$H$5:$H$1000,"&gt;0"))/(COUNTIFS($S$5:$S$1000,$S170,$V$5:$V$1000,"Macro")*SUMIFS($H$5:$H$1000,$S$5:$S$1000,$S170,$V$5:$V$1000,"Macro")/COUNTIFS($S$5:$S$1000,$S170,$V$5:$V$1000,"Macro",$H$5:$H$1000,"&gt;0"))))</f>
        <v/>
      </c>
      <c r="AH170" s="62" t="n"/>
      <c r="AI170" s="62" t="n"/>
      <c r="AJ170" s="62" t="n"/>
      <c r="AK170" s="62" t="n"/>
      <c r="AL170" s="62">
        <f>IF(LEFT($C170,11)="[Jefatura] ",IFERROR(MATCH("Riesgo Normativo|"&amp;MID($C170,12,500),rDname_ADM,0),0),"")</f>
        <v/>
      </c>
      <c r="AM170" s="62">
        <f>IF(N($AL170)&gt;0,INDEX(rIni_ADM,$AL170),IF(ISNUMBER($E170),$E170,""))</f>
        <v/>
      </c>
      <c r="AN170" s="62">
        <f>IF(N($AL170)&gt;0,INDEX(rLim_ADM,$AL170),IF(ISNUMBER($F170),$F170,""))</f>
        <v/>
      </c>
    </row>
    <row r="171">
      <c r="A171" s="56">
        <f>IF(NOT((COUNTA($B171:$D171)+COUNTA($G171:$L171)+COUNTA($Q171))&gt;0),"",IF($V171="Macro",COUNTIFS($V$5:$V171,"Macro",$S$5:$S171,$S171),IF(N($U171)=0,"?",COUNTIFS(INDEX($V$5:$V$1000,1):INDEX($V$5:$V$1000,$U171-4),"Macro",INDEX($S$5:$S$1000,1):INDEX($S$5:$S$1000,$U171-4),INDEX($S$5:$S$1000,$U171-4))&amp;"."&amp;COUNTIFS($U$5:$U171,$U171,$V$5:$V171,"Sub"))))</f>
        <v/>
      </c>
      <c r="B171" s="57" t="n"/>
      <c r="C171" s="58" t="n"/>
      <c r="D171" s="58" t="n"/>
      <c r="E171" s="59">
        <f>IF(N($AL171)&gt;0,INDEX(rIni_ADM,$AL171),"")</f>
        <v/>
      </c>
      <c r="F171" s="59">
        <f>IF(N($AL171)&gt;0,INDEX(rLim_ADM,$AL171),"")</f>
        <v/>
      </c>
      <c r="G171" s="59" t="n"/>
      <c r="H171" s="60" t="n"/>
      <c r="I171" s="60" t="n"/>
      <c r="J171" s="60" t="n"/>
      <c r="K171" s="60" t="n"/>
      <c r="L171" s="60" t="n"/>
      <c r="M171" s="61">
        <f>IF(NOT((COUNTA($B171:$D171)+COUNTA($G171:$L171)+COUNTA($Q171))&gt;0),"",IF($V171="Sub",IFERROR($X171/INDEX($W$5:$W$1000,$U171-4),""),IF(ISNUMBER($G171),1,IF(N($W171)&gt;0,AVERAGEIFS($X$5:$X$1000,$U$5:$U$1000,ROW(),$V$5:$V$1000,"Sub"),$X171))))</f>
        <v/>
      </c>
      <c r="N171" s="56">
        <f>IF(OR($M171="",$V171="Sub"),"",IF($M171&gt;=1,"Completado",IF($M171&gt;0,"En curso","Pendiente")))</f>
        <v/>
      </c>
      <c r="O171" s="56">
        <f>IF(OR(NOT((COUNTA($B171:$D171)+COUNTA($G171:$L171)+COUNTA($Q171))&gt;0),$V171="Sub"),"",IF(ISNUMBER($G171),IF(AND(ISNUMBER($AN171),$G171&gt;$AN171),"Cumplida con "&amp;($G171-$AN171)&amp;IF($G171-$AN171=1," día"," días")&amp;" de retraso","Cumplida"),IF(N($M171)&gt;=1,"Cumplida",IF(NOT(ISNUMBER($AN171)),"Sin fecha límite",IF($AN171&lt;FechaRef,"Vencida hace "&amp;(FechaRef-$AN171)&amp;IF(FechaRef-$AN171=1," día"," días"),IF($AN171=FechaRef,"Vence hoy",IF($AN171-FechaRef&lt;=DiasAlerta,"Vence en "&amp;($AN171-FechaRef)&amp;IF($AN171-FechaRef=1," día"," días"),"En plazo")))))))</f>
        <v/>
      </c>
      <c r="P171" s="62" t="n"/>
      <c r="Q171" s="58" t="n"/>
      <c r="R171" s="63">
        <f>IF(NOT((COUNTA($B171:$D171)+COUNTA($G171:$L171)+COUNTA($Q171))&gt;0),"",IF((IF($C171="","Falta el nombre de la actividad"&amp;" · ","")&amp;IF(AND($V171="Sub",N($U171)=0),"Subactividad sin macroactividad arriba"&amp;" · ","")&amp;IF($AM171="","Sin fecha de inicio"&amp;" · ","")&amp;IF($AN171="","Sin fecha límite"&amp;" · ","")&amp;IF(AND(LEFT($C171,11)="[Jefatura] ",N($AL171)=0),"No se encuentra en la hoja de la jefatura (elíjala de nuevo en la lista)"&amp;" · ","")&amp;IF(OR(AND($E171&lt;&gt;"",NOT(ISNUMBER($E171))),AND($F171&lt;&gt;"",NOT(ISNUMBER($F171))),AND($G171&lt;&gt;"",NOT(ISNUMBER($G171)))),"Fecha no válida"&amp;" · ","")&amp;IF(AND(ISNUMBER($AM171),ISNUMBER($AN171),$AM171&gt;$AN171),"Inicio posterior a fecha límite"&amp;" · ","")&amp;IF(AND($V171="Macro",$H171&lt;&gt;"",OR(NOT(ISNUMBER($H171)),$H171&lt;0,$H171&gt;1)),"Peso fuera de rango"&amp;" · ","")&amp;IF(AND($V171="Sub",$H171&lt;&gt;""),"Las subactividades no llevan peso (valen igual dentro de su macroactividad)"&amp;" · ","")&amp;IF(AND(N($W171)&gt;0,COUNT($I171:$L171)&gt;0),"Con subactividades: deje vacías las semanas (se calculan solas)"&amp;" · ","")&amp;IF((COUNTIF($I171:$L171,"&gt;1")+COUNTIF($I171:$L171,"&lt;0")+COUNTA($I171:$L171)-COUNT($I171:$L171))&gt;0,"Avance fuera de rango 0-100%"&amp;" · ","")&amp;IF(OR(AND($J171&lt;&gt;"",$J171&lt;$I171),AND($K171&lt;&gt;"",$K171&lt;MAX($I171:$J171)),AND($L171&lt;&gt;"",$L171&lt;MAX($I171:$K171))),"Avance semanal decreciente"&amp;" · ","")&amp;IF(AND(ISNUMBER($AN171),$AN171&lt;FechaRef,IF($V171="Sub",N($X171),N($M171))&lt;1),"Vencida"&amp;" · ","")&amp;IF(AND(ObsObligatoria="Sí",ISNUMBER($AN171),$AN171&lt;FechaRef,IF($V171="Sub",N($X171),N($M171))&lt;1,$Q171=""),"Vencida sin observación"&amp;" · ",""))="","✔ OK","⚠ "&amp;LEFT(IF($C171="","Falta el nombre de la actividad"&amp;" · ","")&amp;IF(AND($V171="Sub",N($U171)=0),"Subactividad sin macroactividad arriba"&amp;" · ","")&amp;IF($AM171="","Sin fecha de inicio"&amp;" · ","")&amp;IF($AN171="","Sin fecha límite"&amp;" · ","")&amp;IF(AND(LEFT($C171,11)="[Jefatura] ",N($AL171)=0),"No se encuentra en la hoja de la jefatura (elíjala de nuevo en la lista)"&amp;" · ","")&amp;IF(OR(AND($E171&lt;&gt;"",NOT(ISNUMBER($E171))),AND($F171&lt;&gt;"",NOT(ISNUMBER($F171))),AND($G171&lt;&gt;"",NOT(ISNUMBER($G171)))),"Fecha no válida"&amp;" · ","")&amp;IF(AND(ISNUMBER($AM171),ISNUMBER($AN171),$AM171&gt;$AN171),"Inicio posterior a fecha límite"&amp;" · ","")&amp;IF(AND($V171="Macro",$H171&lt;&gt;"",OR(NOT(ISNUMBER($H171)),$H171&lt;0,$H171&gt;1)),"Peso fuera de rango"&amp;" · ","")&amp;IF(AND($V171="Sub",$H171&lt;&gt;""),"Las subactividades no llevan peso (valen igual dentro de su macroactividad)"&amp;" · ","")&amp;IF(AND(N($W171)&gt;0,COUNT($I171:$L171)&gt;0),"Con subactividades: deje vacías las semanas (se calculan solas)"&amp;" · ","")&amp;IF((COUNTIF($I171:$L171,"&gt;1")+COUNTIF($I171:$L171,"&lt;0")+COUNTA($I171:$L171)-COUNT($I171:$L171))&gt;0,"Avance fuera de rango 0-100%"&amp;" · ","")&amp;IF(OR(AND($J171&lt;&gt;"",$J171&lt;$I171),AND($K171&lt;&gt;"",$K171&lt;MAX($I171:$J171)),AND($L171&lt;&gt;"",$L171&lt;MAX($I171:$K171))),"Avance semanal decreciente"&amp;" · ","")&amp;IF(AND(ISNUMBER($AN171),$AN171&lt;FechaRef,IF($V171="Sub",N($X171),N($M171))&lt;1),"Vencida"&amp;" · ","")&amp;IF(AND(ObsObligatoria="Sí",ISNUMBER($AN171),$AN171&lt;FechaRef,IF($V171="Sub",N($X171),N($M171))&lt;1,$Q171=""),"Vencida sin observación"&amp;" · ",""),LEN(IF($C171="","Falta el nombre de la actividad"&amp;" · ","")&amp;IF(AND($V171="Sub",N($U171)=0),"Subactividad sin macroactividad arriba"&amp;" · ","")&amp;IF($AM171="","Sin fecha de inicio"&amp;" · ","")&amp;IF($AN171="","Sin fecha límite"&amp;" · ","")&amp;IF(AND(LEFT($C171,11)="[Jefatura] ",N($AL171)=0),"No se encuentra en la hoja de la jefatura (elíjala de nuevo en la lista)"&amp;" · ","")&amp;IF(OR(AND($E171&lt;&gt;"",NOT(ISNUMBER($E171))),AND($F171&lt;&gt;"",NOT(ISNUMBER($F171))),AND($G171&lt;&gt;"",NOT(ISNUMBER($G171)))),"Fecha no válida"&amp;" · ","")&amp;IF(AND(ISNUMBER($AM171),ISNUMBER($AN171),$AM171&gt;$AN171),"Inicio posterior a fecha límite"&amp;" · ","")&amp;IF(AND($V171="Macro",$H171&lt;&gt;"",OR(NOT(ISNUMBER($H171)),$H171&lt;0,$H171&gt;1)),"Peso fuera de rango"&amp;" · ","")&amp;IF(AND($V171="Sub",$H171&lt;&gt;""),"Las subactividades no llevan peso (valen igual dentro de su macroactividad)"&amp;" · ","")&amp;IF(AND(N($W171)&gt;0,COUNT($I171:$L171)&gt;0),"Con subactividades: deje vacías las semanas (se calculan solas)"&amp;" · ","")&amp;IF((COUNTIF($I171:$L171,"&gt;1")+COUNTIF($I171:$L171,"&lt;0")+COUNTA($I171:$L171)-COUNT($I171:$L171))&gt;0,"Avance fuera de rango 0-100%"&amp;" · ","")&amp;IF(OR(AND($J171&lt;&gt;"",$J171&lt;$I171),AND($K171&lt;&gt;"",$K171&lt;MAX($I171:$J171)),AND($L171&lt;&gt;"",$L171&lt;MAX($I171:$K171))),"Avance semanal decreciente"&amp;" · ","")&amp;IF(AND(ISNUMBER($AN171),$AN171&lt;FechaRef,IF($V171="Sub",N($X171),N($M171))&lt;1),"Vencida"&amp;" · ","")&amp;IF(AND(ObsObligatoria="Sí",ISNUMBER($AN171),$AN171&lt;FechaRef,IF($V171="Sub",N($X171),N($M171))&lt;1,$Q171=""),"Vencida sin observación"&amp;" · ",""))-3)))</f>
        <v/>
      </c>
      <c r="S171" s="64">
        <f>IF(NOT((COUNTA($B171:$D171)+COUNTA($G171:$L171)+COUNTA($Q171))&gt;0),"",IF(AND($V171="Sub",N($U171)&gt;0),IF(ISNUMBER(INDEX($AM$5:$AM$1000,$U171-4)),DATE(YEAR(INDEX($AM$5:$AM$1000,$U171-4)),MONTH(INDEX($AM$5:$AM$1000,$U171-4)),1),IF(ISNUMBER(INDEX($AN$5:$AN$1000,$U171-4)),DATE(YEAR(INDEX($AN$5:$AN$1000,$U171-4)),MONTH(INDEX($AN$5:$AN$1000,$U171-4)),1),MesCiclo)),IF(ISNUMBER($AM171),DATE(YEAR($AM171),MONTH($AM171),1),IF(ISNUMBER($AN171),DATE(YEAR($AN171),MONTH($AN171),1),MesCiclo))))</f>
        <v/>
      </c>
      <c r="T171" s="62">
        <f>IF(OR($S171="",$S171&lt;&gt;MesCiclo,$V171&lt;&gt;"Macro"),"",COUNTIFS($S$5:$S171,MesCiclo,$V$5:$V171,"Macro"))</f>
        <v/>
      </c>
      <c r="U171" s="62">
        <f>IF($V171="","",IF($V171="Macro",ROW(),IFERROR(LOOKUP(2,1/($V$5:$V171="Macro"),ROW($V$5:$V171)),0)))</f>
        <v/>
      </c>
      <c r="V171" s="62">
        <f>IF(NOT((COUNTA($B171:$D171)+COUNTA($G171:$L171)+COUNTA($Q171))&gt;0),"",IF($B171="Subactividad","Sub","Macro"))</f>
        <v/>
      </c>
      <c r="W171" s="62">
        <f>IF($V171="Macro",COUNTIFS($U$5:$U$1000,ROW(),$V$5:$V$1000,"Sub"),"")</f>
        <v/>
      </c>
      <c r="X171" s="62">
        <f>IF($V171="","",IF(ISNUMBER($G171),1,IFERROR(LOOKUP(2,1/($I171:$L171&lt;&gt;""),$I171:$L171),0)))</f>
        <v/>
      </c>
      <c r="Y171" s="62">
        <f>IF($V171="","",IF(AND(ISNUMBER($G171),$G171&lt;=IF($S171=MesCiclo,InicioCiclo,$S171+MOD(2-WEEKDAY($S171),7))+6),1,IF(ISNUMBER($I171),$I171,0)))</f>
        <v/>
      </c>
      <c r="Z171" s="62">
        <f>IF($V171="","",IF(AND(ISNUMBER($G171),$G171&lt;=IF($S171=MesCiclo,InicioCiclo,$S171+MOD(2-WEEKDAY($S171),7))+13),1,IF(ISNUMBER($J171),$J171,$Y171)))</f>
        <v/>
      </c>
      <c r="AA171" s="62">
        <f>IF($V171="","",IF(AND(ISNUMBER($G171),$G171&lt;=IF($S171=MesCiclo,InicioCiclo,$S171+MOD(2-WEEKDAY($S171),7))+20),1,IF(ISNUMBER($K171),$K171,$Z171)))</f>
        <v/>
      </c>
      <c r="AB171" s="62">
        <f>IF($V171="","",IF(AND(ISNUMBER($G171),$G171&lt;=IF($S171=MesCiclo,InicioCiclo,$S171+MOD(2-WEEKDAY($S171),7))+27),1,IF(ISNUMBER($L171),$L171,$AA171)))</f>
        <v/>
      </c>
      <c r="AC171" s="62">
        <f>IF($V171="","",IF(AND(ISNUMBER($G171),$G171&lt;=IF($S171=MesCiclo,InicioCiclo,$S171+MOD(2-WEEKDAY($S171),7))+6),1,IF(N($W171)&gt;0,AVERAGEIFS($Y$5:$Y$1000,$U$5:$U$1000,ROW(),$V$5:$V$1000,"Sub"),$Y171)))</f>
        <v/>
      </c>
      <c r="AD171" s="62">
        <f>IF($V171="","",IF(AND(ISNUMBER($G171),$G171&lt;=IF($S171=MesCiclo,InicioCiclo,$S171+MOD(2-WEEKDAY($S171),7))+13),1,IF(N($W171)&gt;0,AVERAGEIFS($Z$5:$Z$1000,$U$5:$U$1000,ROW(),$V$5:$V$1000,"Sub"),$Z171)))</f>
        <v/>
      </c>
      <c r="AE171" s="62">
        <f>IF($V171="","",IF(AND(ISNUMBER($G171),$G171&lt;=IF($S171=MesCiclo,InicioCiclo,$S171+MOD(2-WEEKDAY($S171),7))+20),1,IF(N($W171)&gt;0,AVERAGEIFS($AA$5:$AA$1000,$U$5:$U$1000,ROW(),$V$5:$V$1000,"Sub"),$AA171)))</f>
        <v/>
      </c>
      <c r="AF171" s="62">
        <f>IF($V171="","",IF(AND(ISNUMBER($G171),$G171&lt;=IF($S171=MesCiclo,InicioCiclo,$S171+MOD(2-WEEKDAY($S171),7))+27),1,IF(N($W171)&gt;0,AVERAGEIFS($AB$5:$AB$1000,$U$5:$U$1000,ROW(),$V$5:$V$1000,"Sub"),$AB171)))</f>
        <v/>
      </c>
      <c r="AG171" s="62">
        <f>IF($V171&lt;&gt;"Macro","",IF(COUNTIFS($S$5:$S$1000,$S171,$V$5:$V$1000,"Macro",$H$5:$H$1000,"&gt;0")=0,1/COUNTIFS($S$5:$S$1000,$S171,$V$5:$V$1000,"Macro"),IF(AND(ISNUMBER($H171),N($H171)&gt;0),$H171,SUMIFS($H$5:$H$1000,$S$5:$S$1000,$S171,$V$5:$V$1000,"Macro")/COUNTIFS($S$5:$S$1000,$S171,$V$5:$V$1000,"Macro",$H$5:$H$1000,"&gt;0"))/(COUNTIFS($S$5:$S$1000,$S171,$V$5:$V$1000,"Macro")*SUMIFS($H$5:$H$1000,$S$5:$S$1000,$S171,$V$5:$V$1000,"Macro")/COUNTIFS($S$5:$S$1000,$S171,$V$5:$V$1000,"Macro",$H$5:$H$1000,"&gt;0"))))</f>
        <v/>
      </c>
      <c r="AH171" s="62" t="n"/>
      <c r="AI171" s="62" t="n"/>
      <c r="AJ171" s="62" t="n"/>
      <c r="AK171" s="62" t="n"/>
      <c r="AL171" s="62">
        <f>IF(LEFT($C171,11)="[Jefatura] ",IFERROR(MATCH("Riesgo Normativo|"&amp;MID($C171,12,500),rDname_ADM,0),0),"")</f>
        <v/>
      </c>
      <c r="AM171" s="62">
        <f>IF(N($AL171)&gt;0,INDEX(rIni_ADM,$AL171),IF(ISNUMBER($E171),$E171,""))</f>
        <v/>
      </c>
      <c r="AN171" s="62">
        <f>IF(N($AL171)&gt;0,INDEX(rLim_ADM,$AL171),IF(ISNUMBER($F171),$F171,""))</f>
        <v/>
      </c>
    </row>
    <row r="172">
      <c r="A172" s="56">
        <f>IF(NOT((COUNTA($B172:$D172)+COUNTA($G172:$L172)+COUNTA($Q172))&gt;0),"",IF($V172="Macro",COUNTIFS($V$5:$V172,"Macro",$S$5:$S172,$S172),IF(N($U172)=0,"?",COUNTIFS(INDEX($V$5:$V$1000,1):INDEX($V$5:$V$1000,$U172-4),"Macro",INDEX($S$5:$S$1000,1):INDEX($S$5:$S$1000,$U172-4),INDEX($S$5:$S$1000,$U172-4))&amp;"."&amp;COUNTIFS($U$5:$U172,$U172,$V$5:$V172,"Sub"))))</f>
        <v/>
      </c>
      <c r="B172" s="57" t="n"/>
      <c r="C172" s="58" t="n"/>
      <c r="D172" s="58" t="n"/>
      <c r="E172" s="59">
        <f>IF(N($AL172)&gt;0,INDEX(rIni_ADM,$AL172),"")</f>
        <v/>
      </c>
      <c r="F172" s="59">
        <f>IF(N($AL172)&gt;0,INDEX(rLim_ADM,$AL172),"")</f>
        <v/>
      </c>
      <c r="G172" s="59" t="n"/>
      <c r="H172" s="60" t="n"/>
      <c r="I172" s="60" t="n"/>
      <c r="J172" s="60" t="n"/>
      <c r="K172" s="60" t="n"/>
      <c r="L172" s="60" t="n"/>
      <c r="M172" s="61">
        <f>IF(NOT((COUNTA($B172:$D172)+COUNTA($G172:$L172)+COUNTA($Q172))&gt;0),"",IF($V172="Sub",IFERROR($X172/INDEX($W$5:$W$1000,$U172-4),""),IF(ISNUMBER($G172),1,IF(N($W172)&gt;0,AVERAGEIFS($X$5:$X$1000,$U$5:$U$1000,ROW(),$V$5:$V$1000,"Sub"),$X172))))</f>
        <v/>
      </c>
      <c r="N172" s="56">
        <f>IF(OR($M172="",$V172="Sub"),"",IF($M172&gt;=1,"Completado",IF($M172&gt;0,"En curso","Pendiente")))</f>
        <v/>
      </c>
      <c r="O172" s="56">
        <f>IF(OR(NOT((COUNTA($B172:$D172)+COUNTA($G172:$L172)+COUNTA($Q172))&gt;0),$V172="Sub"),"",IF(ISNUMBER($G172),IF(AND(ISNUMBER($AN172),$G172&gt;$AN172),"Cumplida con "&amp;($G172-$AN172)&amp;IF($G172-$AN172=1," día"," días")&amp;" de retraso","Cumplida"),IF(N($M172)&gt;=1,"Cumplida",IF(NOT(ISNUMBER($AN172)),"Sin fecha límite",IF($AN172&lt;FechaRef,"Vencida hace "&amp;(FechaRef-$AN172)&amp;IF(FechaRef-$AN172=1," día"," días"),IF($AN172=FechaRef,"Vence hoy",IF($AN172-FechaRef&lt;=DiasAlerta,"Vence en "&amp;($AN172-FechaRef)&amp;IF($AN172-FechaRef=1," día"," días"),"En plazo")))))))</f>
        <v/>
      </c>
      <c r="P172" s="62" t="n"/>
      <c r="Q172" s="58" t="n"/>
      <c r="R172" s="63">
        <f>IF(NOT((COUNTA($B172:$D172)+COUNTA($G172:$L172)+COUNTA($Q172))&gt;0),"",IF((IF($C172="","Falta el nombre de la actividad"&amp;" · ","")&amp;IF(AND($V172="Sub",N($U172)=0),"Subactividad sin macroactividad arriba"&amp;" · ","")&amp;IF($AM172="","Sin fecha de inicio"&amp;" · ","")&amp;IF($AN172="","Sin fecha límite"&amp;" · ","")&amp;IF(AND(LEFT($C172,11)="[Jefatura] ",N($AL172)=0),"No se encuentra en la hoja de la jefatura (elíjala de nuevo en la lista)"&amp;" · ","")&amp;IF(OR(AND($E172&lt;&gt;"",NOT(ISNUMBER($E172))),AND($F172&lt;&gt;"",NOT(ISNUMBER($F172))),AND($G172&lt;&gt;"",NOT(ISNUMBER($G172)))),"Fecha no válida"&amp;" · ","")&amp;IF(AND(ISNUMBER($AM172),ISNUMBER($AN172),$AM172&gt;$AN172),"Inicio posterior a fecha límite"&amp;" · ","")&amp;IF(AND($V172="Macro",$H172&lt;&gt;"",OR(NOT(ISNUMBER($H172)),$H172&lt;0,$H172&gt;1)),"Peso fuera de rango"&amp;" · ","")&amp;IF(AND($V172="Sub",$H172&lt;&gt;""),"Las subactividades no llevan peso (valen igual dentro de su macroactividad)"&amp;" · ","")&amp;IF(AND(N($W172)&gt;0,COUNT($I172:$L172)&gt;0),"Con subactividades: deje vacías las semanas (se calculan solas)"&amp;" · ","")&amp;IF((COUNTIF($I172:$L172,"&gt;1")+COUNTIF($I172:$L172,"&lt;0")+COUNTA($I172:$L172)-COUNT($I172:$L172))&gt;0,"Avance fuera de rango 0-100%"&amp;" · ","")&amp;IF(OR(AND($J172&lt;&gt;"",$J172&lt;$I172),AND($K172&lt;&gt;"",$K172&lt;MAX($I172:$J172)),AND($L172&lt;&gt;"",$L172&lt;MAX($I172:$K172))),"Avance semanal decreciente"&amp;" · ","")&amp;IF(AND(ISNUMBER($AN172),$AN172&lt;FechaRef,IF($V172="Sub",N($X172),N($M172))&lt;1),"Vencida"&amp;" · ","")&amp;IF(AND(ObsObligatoria="Sí",ISNUMBER($AN172),$AN172&lt;FechaRef,IF($V172="Sub",N($X172),N($M172))&lt;1,$Q172=""),"Vencida sin observación"&amp;" · ",""))="","✔ OK","⚠ "&amp;LEFT(IF($C172="","Falta el nombre de la actividad"&amp;" · ","")&amp;IF(AND($V172="Sub",N($U172)=0),"Subactividad sin macroactividad arriba"&amp;" · ","")&amp;IF($AM172="","Sin fecha de inicio"&amp;" · ","")&amp;IF($AN172="","Sin fecha límite"&amp;" · ","")&amp;IF(AND(LEFT($C172,11)="[Jefatura] ",N($AL172)=0),"No se encuentra en la hoja de la jefatura (elíjala de nuevo en la lista)"&amp;" · ","")&amp;IF(OR(AND($E172&lt;&gt;"",NOT(ISNUMBER($E172))),AND($F172&lt;&gt;"",NOT(ISNUMBER($F172))),AND($G172&lt;&gt;"",NOT(ISNUMBER($G172)))),"Fecha no válida"&amp;" · ","")&amp;IF(AND(ISNUMBER($AM172),ISNUMBER($AN172),$AM172&gt;$AN172),"Inicio posterior a fecha límite"&amp;" · ","")&amp;IF(AND($V172="Macro",$H172&lt;&gt;"",OR(NOT(ISNUMBER($H172)),$H172&lt;0,$H172&gt;1)),"Peso fuera de rango"&amp;" · ","")&amp;IF(AND($V172="Sub",$H172&lt;&gt;""),"Las subactividades no llevan peso (valen igual dentro de su macroactividad)"&amp;" · ","")&amp;IF(AND(N($W172)&gt;0,COUNT($I172:$L172)&gt;0),"Con subactividades: deje vacías las semanas (se calculan solas)"&amp;" · ","")&amp;IF((COUNTIF($I172:$L172,"&gt;1")+COUNTIF($I172:$L172,"&lt;0")+COUNTA($I172:$L172)-COUNT($I172:$L172))&gt;0,"Avance fuera de rango 0-100%"&amp;" · ","")&amp;IF(OR(AND($J172&lt;&gt;"",$J172&lt;$I172),AND($K172&lt;&gt;"",$K172&lt;MAX($I172:$J172)),AND($L172&lt;&gt;"",$L172&lt;MAX($I172:$K172))),"Avance semanal decreciente"&amp;" · ","")&amp;IF(AND(ISNUMBER($AN172),$AN172&lt;FechaRef,IF($V172="Sub",N($X172),N($M172))&lt;1),"Vencida"&amp;" · ","")&amp;IF(AND(ObsObligatoria="Sí",ISNUMBER($AN172),$AN172&lt;FechaRef,IF($V172="Sub",N($X172),N($M172))&lt;1,$Q172=""),"Vencida sin observación"&amp;" · ",""),LEN(IF($C172="","Falta el nombre de la actividad"&amp;" · ","")&amp;IF(AND($V172="Sub",N($U172)=0),"Subactividad sin macroactividad arriba"&amp;" · ","")&amp;IF($AM172="","Sin fecha de inicio"&amp;" · ","")&amp;IF($AN172="","Sin fecha límite"&amp;" · ","")&amp;IF(AND(LEFT($C172,11)="[Jefatura] ",N($AL172)=0),"No se encuentra en la hoja de la jefatura (elíjala de nuevo en la lista)"&amp;" · ","")&amp;IF(OR(AND($E172&lt;&gt;"",NOT(ISNUMBER($E172))),AND($F172&lt;&gt;"",NOT(ISNUMBER($F172))),AND($G172&lt;&gt;"",NOT(ISNUMBER($G172)))),"Fecha no válida"&amp;" · ","")&amp;IF(AND(ISNUMBER($AM172),ISNUMBER($AN172),$AM172&gt;$AN172),"Inicio posterior a fecha límite"&amp;" · ","")&amp;IF(AND($V172="Macro",$H172&lt;&gt;"",OR(NOT(ISNUMBER($H172)),$H172&lt;0,$H172&gt;1)),"Peso fuera de rango"&amp;" · ","")&amp;IF(AND($V172="Sub",$H172&lt;&gt;""),"Las subactividades no llevan peso (valen igual dentro de su macroactividad)"&amp;" · ","")&amp;IF(AND(N($W172)&gt;0,COUNT($I172:$L172)&gt;0),"Con subactividades: deje vacías las semanas (se calculan solas)"&amp;" · ","")&amp;IF((COUNTIF($I172:$L172,"&gt;1")+COUNTIF($I172:$L172,"&lt;0")+COUNTA($I172:$L172)-COUNT($I172:$L172))&gt;0,"Avance fuera de rango 0-100%"&amp;" · ","")&amp;IF(OR(AND($J172&lt;&gt;"",$J172&lt;$I172),AND($K172&lt;&gt;"",$K172&lt;MAX($I172:$J172)),AND($L172&lt;&gt;"",$L172&lt;MAX($I172:$K172))),"Avance semanal decreciente"&amp;" · ","")&amp;IF(AND(ISNUMBER($AN172),$AN172&lt;FechaRef,IF($V172="Sub",N($X172),N($M172))&lt;1),"Vencida"&amp;" · ","")&amp;IF(AND(ObsObligatoria="Sí",ISNUMBER($AN172),$AN172&lt;FechaRef,IF($V172="Sub",N($X172),N($M172))&lt;1,$Q172=""),"Vencida sin observación"&amp;" · ",""))-3)))</f>
        <v/>
      </c>
      <c r="S172" s="64">
        <f>IF(NOT((COUNTA($B172:$D172)+COUNTA($G172:$L172)+COUNTA($Q172))&gt;0),"",IF(AND($V172="Sub",N($U172)&gt;0),IF(ISNUMBER(INDEX($AM$5:$AM$1000,$U172-4)),DATE(YEAR(INDEX($AM$5:$AM$1000,$U172-4)),MONTH(INDEX($AM$5:$AM$1000,$U172-4)),1),IF(ISNUMBER(INDEX($AN$5:$AN$1000,$U172-4)),DATE(YEAR(INDEX($AN$5:$AN$1000,$U172-4)),MONTH(INDEX($AN$5:$AN$1000,$U172-4)),1),MesCiclo)),IF(ISNUMBER($AM172),DATE(YEAR($AM172),MONTH($AM172),1),IF(ISNUMBER($AN172),DATE(YEAR($AN172),MONTH($AN172),1),MesCiclo))))</f>
        <v/>
      </c>
      <c r="T172" s="62">
        <f>IF(OR($S172="",$S172&lt;&gt;MesCiclo,$V172&lt;&gt;"Macro"),"",COUNTIFS($S$5:$S172,MesCiclo,$V$5:$V172,"Macro"))</f>
        <v/>
      </c>
      <c r="U172" s="62">
        <f>IF($V172="","",IF($V172="Macro",ROW(),IFERROR(LOOKUP(2,1/($V$5:$V172="Macro"),ROW($V$5:$V172)),0)))</f>
        <v/>
      </c>
      <c r="V172" s="62">
        <f>IF(NOT((COUNTA($B172:$D172)+COUNTA($G172:$L172)+COUNTA($Q172))&gt;0),"",IF($B172="Subactividad","Sub","Macro"))</f>
        <v/>
      </c>
      <c r="W172" s="62">
        <f>IF($V172="Macro",COUNTIFS($U$5:$U$1000,ROW(),$V$5:$V$1000,"Sub"),"")</f>
        <v/>
      </c>
      <c r="X172" s="62">
        <f>IF($V172="","",IF(ISNUMBER($G172),1,IFERROR(LOOKUP(2,1/($I172:$L172&lt;&gt;""),$I172:$L172),0)))</f>
        <v/>
      </c>
      <c r="Y172" s="62">
        <f>IF($V172="","",IF(AND(ISNUMBER($G172),$G172&lt;=IF($S172=MesCiclo,InicioCiclo,$S172+MOD(2-WEEKDAY($S172),7))+6),1,IF(ISNUMBER($I172),$I172,0)))</f>
        <v/>
      </c>
      <c r="Z172" s="62">
        <f>IF($V172="","",IF(AND(ISNUMBER($G172),$G172&lt;=IF($S172=MesCiclo,InicioCiclo,$S172+MOD(2-WEEKDAY($S172),7))+13),1,IF(ISNUMBER($J172),$J172,$Y172)))</f>
        <v/>
      </c>
      <c r="AA172" s="62">
        <f>IF($V172="","",IF(AND(ISNUMBER($G172),$G172&lt;=IF($S172=MesCiclo,InicioCiclo,$S172+MOD(2-WEEKDAY($S172),7))+20),1,IF(ISNUMBER($K172),$K172,$Z172)))</f>
        <v/>
      </c>
      <c r="AB172" s="62">
        <f>IF($V172="","",IF(AND(ISNUMBER($G172),$G172&lt;=IF($S172=MesCiclo,InicioCiclo,$S172+MOD(2-WEEKDAY($S172),7))+27),1,IF(ISNUMBER($L172),$L172,$AA172)))</f>
        <v/>
      </c>
      <c r="AC172" s="62">
        <f>IF($V172="","",IF(AND(ISNUMBER($G172),$G172&lt;=IF($S172=MesCiclo,InicioCiclo,$S172+MOD(2-WEEKDAY($S172),7))+6),1,IF(N($W172)&gt;0,AVERAGEIFS($Y$5:$Y$1000,$U$5:$U$1000,ROW(),$V$5:$V$1000,"Sub"),$Y172)))</f>
        <v/>
      </c>
      <c r="AD172" s="62">
        <f>IF($V172="","",IF(AND(ISNUMBER($G172),$G172&lt;=IF($S172=MesCiclo,InicioCiclo,$S172+MOD(2-WEEKDAY($S172),7))+13),1,IF(N($W172)&gt;0,AVERAGEIFS($Z$5:$Z$1000,$U$5:$U$1000,ROW(),$V$5:$V$1000,"Sub"),$Z172)))</f>
        <v/>
      </c>
      <c r="AE172" s="62">
        <f>IF($V172="","",IF(AND(ISNUMBER($G172),$G172&lt;=IF($S172=MesCiclo,InicioCiclo,$S172+MOD(2-WEEKDAY($S172),7))+20),1,IF(N($W172)&gt;0,AVERAGEIFS($AA$5:$AA$1000,$U$5:$U$1000,ROW(),$V$5:$V$1000,"Sub"),$AA172)))</f>
        <v/>
      </c>
      <c r="AF172" s="62">
        <f>IF($V172="","",IF(AND(ISNUMBER($G172),$G172&lt;=IF($S172=MesCiclo,InicioCiclo,$S172+MOD(2-WEEKDAY($S172),7))+27),1,IF(N($W172)&gt;0,AVERAGEIFS($AB$5:$AB$1000,$U$5:$U$1000,ROW(),$V$5:$V$1000,"Sub"),$AB172)))</f>
        <v/>
      </c>
      <c r="AG172" s="62">
        <f>IF($V172&lt;&gt;"Macro","",IF(COUNTIFS($S$5:$S$1000,$S172,$V$5:$V$1000,"Macro",$H$5:$H$1000,"&gt;0")=0,1/COUNTIFS($S$5:$S$1000,$S172,$V$5:$V$1000,"Macro"),IF(AND(ISNUMBER($H172),N($H172)&gt;0),$H172,SUMIFS($H$5:$H$1000,$S$5:$S$1000,$S172,$V$5:$V$1000,"Macro")/COUNTIFS($S$5:$S$1000,$S172,$V$5:$V$1000,"Macro",$H$5:$H$1000,"&gt;0"))/(COUNTIFS($S$5:$S$1000,$S172,$V$5:$V$1000,"Macro")*SUMIFS($H$5:$H$1000,$S$5:$S$1000,$S172,$V$5:$V$1000,"Macro")/COUNTIFS($S$5:$S$1000,$S172,$V$5:$V$1000,"Macro",$H$5:$H$1000,"&gt;0"))))</f>
        <v/>
      </c>
      <c r="AH172" s="62" t="n"/>
      <c r="AI172" s="62" t="n"/>
      <c r="AJ172" s="62" t="n"/>
      <c r="AK172" s="62" t="n"/>
      <c r="AL172" s="62">
        <f>IF(LEFT($C172,11)="[Jefatura] ",IFERROR(MATCH("Riesgo Normativo|"&amp;MID($C172,12,500),rDname_ADM,0),0),"")</f>
        <v/>
      </c>
      <c r="AM172" s="62">
        <f>IF(N($AL172)&gt;0,INDEX(rIni_ADM,$AL172),IF(ISNUMBER($E172),$E172,""))</f>
        <v/>
      </c>
      <c r="AN172" s="62">
        <f>IF(N($AL172)&gt;0,INDEX(rLim_ADM,$AL172),IF(ISNUMBER($F172),$F172,""))</f>
        <v/>
      </c>
    </row>
    <row r="173">
      <c r="A173" s="56">
        <f>IF(NOT((COUNTA($B173:$D173)+COUNTA($G173:$L173)+COUNTA($Q173))&gt;0),"",IF($V173="Macro",COUNTIFS($V$5:$V173,"Macro",$S$5:$S173,$S173),IF(N($U173)=0,"?",COUNTIFS(INDEX($V$5:$V$1000,1):INDEX($V$5:$V$1000,$U173-4),"Macro",INDEX($S$5:$S$1000,1):INDEX($S$5:$S$1000,$U173-4),INDEX($S$5:$S$1000,$U173-4))&amp;"."&amp;COUNTIFS($U$5:$U173,$U173,$V$5:$V173,"Sub"))))</f>
        <v/>
      </c>
      <c r="B173" s="57" t="n"/>
      <c r="C173" s="58" t="n"/>
      <c r="D173" s="58" t="n"/>
      <c r="E173" s="59">
        <f>IF(N($AL173)&gt;0,INDEX(rIni_ADM,$AL173),"")</f>
        <v/>
      </c>
      <c r="F173" s="59">
        <f>IF(N($AL173)&gt;0,INDEX(rLim_ADM,$AL173),"")</f>
        <v/>
      </c>
      <c r="G173" s="59" t="n"/>
      <c r="H173" s="60" t="n"/>
      <c r="I173" s="60" t="n"/>
      <c r="J173" s="60" t="n"/>
      <c r="K173" s="60" t="n"/>
      <c r="L173" s="60" t="n"/>
      <c r="M173" s="61">
        <f>IF(NOT((COUNTA($B173:$D173)+COUNTA($G173:$L173)+COUNTA($Q173))&gt;0),"",IF($V173="Sub",IFERROR($X173/INDEX($W$5:$W$1000,$U173-4),""),IF(ISNUMBER($G173),1,IF(N($W173)&gt;0,AVERAGEIFS($X$5:$X$1000,$U$5:$U$1000,ROW(),$V$5:$V$1000,"Sub"),$X173))))</f>
        <v/>
      </c>
      <c r="N173" s="56">
        <f>IF(OR($M173="",$V173="Sub"),"",IF($M173&gt;=1,"Completado",IF($M173&gt;0,"En curso","Pendiente")))</f>
        <v/>
      </c>
      <c r="O173" s="56">
        <f>IF(OR(NOT((COUNTA($B173:$D173)+COUNTA($G173:$L173)+COUNTA($Q173))&gt;0),$V173="Sub"),"",IF(ISNUMBER($G173),IF(AND(ISNUMBER($AN173),$G173&gt;$AN173),"Cumplida con "&amp;($G173-$AN173)&amp;IF($G173-$AN173=1," día"," días")&amp;" de retraso","Cumplida"),IF(N($M173)&gt;=1,"Cumplida",IF(NOT(ISNUMBER($AN173)),"Sin fecha límite",IF($AN173&lt;FechaRef,"Vencida hace "&amp;(FechaRef-$AN173)&amp;IF(FechaRef-$AN173=1," día"," días"),IF($AN173=FechaRef,"Vence hoy",IF($AN173-FechaRef&lt;=DiasAlerta,"Vence en "&amp;($AN173-FechaRef)&amp;IF($AN173-FechaRef=1," día"," días"),"En plazo")))))))</f>
        <v/>
      </c>
      <c r="P173" s="62" t="n"/>
      <c r="Q173" s="58" t="n"/>
      <c r="R173" s="63">
        <f>IF(NOT((COUNTA($B173:$D173)+COUNTA($G173:$L173)+COUNTA($Q173))&gt;0),"",IF((IF($C173="","Falta el nombre de la actividad"&amp;" · ","")&amp;IF(AND($V173="Sub",N($U173)=0),"Subactividad sin macroactividad arriba"&amp;" · ","")&amp;IF($AM173="","Sin fecha de inicio"&amp;" · ","")&amp;IF($AN173="","Sin fecha límite"&amp;" · ","")&amp;IF(AND(LEFT($C173,11)="[Jefatura] ",N($AL173)=0),"No se encuentra en la hoja de la jefatura (elíjala de nuevo en la lista)"&amp;" · ","")&amp;IF(OR(AND($E173&lt;&gt;"",NOT(ISNUMBER($E173))),AND($F173&lt;&gt;"",NOT(ISNUMBER($F173))),AND($G173&lt;&gt;"",NOT(ISNUMBER($G173)))),"Fecha no válida"&amp;" · ","")&amp;IF(AND(ISNUMBER($AM173),ISNUMBER($AN173),$AM173&gt;$AN173),"Inicio posterior a fecha límite"&amp;" · ","")&amp;IF(AND($V173="Macro",$H173&lt;&gt;"",OR(NOT(ISNUMBER($H173)),$H173&lt;0,$H173&gt;1)),"Peso fuera de rango"&amp;" · ","")&amp;IF(AND($V173="Sub",$H173&lt;&gt;""),"Las subactividades no llevan peso (valen igual dentro de su macroactividad)"&amp;" · ","")&amp;IF(AND(N($W173)&gt;0,COUNT($I173:$L173)&gt;0),"Con subactividades: deje vacías las semanas (se calculan solas)"&amp;" · ","")&amp;IF((COUNTIF($I173:$L173,"&gt;1")+COUNTIF($I173:$L173,"&lt;0")+COUNTA($I173:$L173)-COUNT($I173:$L173))&gt;0,"Avance fuera de rango 0-100%"&amp;" · ","")&amp;IF(OR(AND($J173&lt;&gt;"",$J173&lt;$I173),AND($K173&lt;&gt;"",$K173&lt;MAX($I173:$J173)),AND($L173&lt;&gt;"",$L173&lt;MAX($I173:$K173))),"Avance semanal decreciente"&amp;" · ","")&amp;IF(AND(ISNUMBER($AN173),$AN173&lt;FechaRef,IF($V173="Sub",N($X173),N($M173))&lt;1),"Vencida"&amp;" · ","")&amp;IF(AND(ObsObligatoria="Sí",ISNUMBER($AN173),$AN173&lt;FechaRef,IF($V173="Sub",N($X173),N($M173))&lt;1,$Q173=""),"Vencida sin observación"&amp;" · ",""))="","✔ OK","⚠ "&amp;LEFT(IF($C173="","Falta el nombre de la actividad"&amp;" · ","")&amp;IF(AND($V173="Sub",N($U173)=0),"Subactividad sin macroactividad arriba"&amp;" · ","")&amp;IF($AM173="","Sin fecha de inicio"&amp;" · ","")&amp;IF($AN173="","Sin fecha límite"&amp;" · ","")&amp;IF(AND(LEFT($C173,11)="[Jefatura] ",N($AL173)=0),"No se encuentra en la hoja de la jefatura (elíjala de nuevo en la lista)"&amp;" · ","")&amp;IF(OR(AND($E173&lt;&gt;"",NOT(ISNUMBER($E173))),AND($F173&lt;&gt;"",NOT(ISNUMBER($F173))),AND($G173&lt;&gt;"",NOT(ISNUMBER($G173)))),"Fecha no válida"&amp;" · ","")&amp;IF(AND(ISNUMBER($AM173),ISNUMBER($AN173),$AM173&gt;$AN173),"Inicio posterior a fecha límite"&amp;" · ","")&amp;IF(AND($V173="Macro",$H173&lt;&gt;"",OR(NOT(ISNUMBER($H173)),$H173&lt;0,$H173&gt;1)),"Peso fuera de rango"&amp;" · ","")&amp;IF(AND($V173="Sub",$H173&lt;&gt;""),"Las subactividades no llevan peso (valen igual dentro de su macroactividad)"&amp;" · ","")&amp;IF(AND(N($W173)&gt;0,COUNT($I173:$L173)&gt;0),"Con subactividades: deje vacías las semanas (se calculan solas)"&amp;" · ","")&amp;IF((COUNTIF($I173:$L173,"&gt;1")+COUNTIF($I173:$L173,"&lt;0")+COUNTA($I173:$L173)-COUNT($I173:$L173))&gt;0,"Avance fuera de rango 0-100%"&amp;" · ","")&amp;IF(OR(AND($J173&lt;&gt;"",$J173&lt;$I173),AND($K173&lt;&gt;"",$K173&lt;MAX($I173:$J173)),AND($L173&lt;&gt;"",$L173&lt;MAX($I173:$K173))),"Avance semanal decreciente"&amp;" · ","")&amp;IF(AND(ISNUMBER($AN173),$AN173&lt;FechaRef,IF($V173="Sub",N($X173),N($M173))&lt;1),"Vencida"&amp;" · ","")&amp;IF(AND(ObsObligatoria="Sí",ISNUMBER($AN173),$AN173&lt;FechaRef,IF($V173="Sub",N($X173),N($M173))&lt;1,$Q173=""),"Vencida sin observación"&amp;" · ",""),LEN(IF($C173="","Falta el nombre de la actividad"&amp;" · ","")&amp;IF(AND($V173="Sub",N($U173)=0),"Subactividad sin macroactividad arriba"&amp;" · ","")&amp;IF($AM173="","Sin fecha de inicio"&amp;" · ","")&amp;IF($AN173="","Sin fecha límite"&amp;" · ","")&amp;IF(AND(LEFT($C173,11)="[Jefatura] ",N($AL173)=0),"No se encuentra en la hoja de la jefatura (elíjala de nuevo en la lista)"&amp;" · ","")&amp;IF(OR(AND($E173&lt;&gt;"",NOT(ISNUMBER($E173))),AND($F173&lt;&gt;"",NOT(ISNUMBER($F173))),AND($G173&lt;&gt;"",NOT(ISNUMBER($G173)))),"Fecha no válida"&amp;" · ","")&amp;IF(AND(ISNUMBER($AM173),ISNUMBER($AN173),$AM173&gt;$AN173),"Inicio posterior a fecha límite"&amp;" · ","")&amp;IF(AND($V173="Macro",$H173&lt;&gt;"",OR(NOT(ISNUMBER($H173)),$H173&lt;0,$H173&gt;1)),"Peso fuera de rango"&amp;" · ","")&amp;IF(AND($V173="Sub",$H173&lt;&gt;""),"Las subactividades no llevan peso (valen igual dentro de su macroactividad)"&amp;" · ","")&amp;IF(AND(N($W173)&gt;0,COUNT($I173:$L173)&gt;0),"Con subactividades: deje vacías las semanas (se calculan solas)"&amp;" · ","")&amp;IF((COUNTIF($I173:$L173,"&gt;1")+COUNTIF($I173:$L173,"&lt;0")+COUNTA($I173:$L173)-COUNT($I173:$L173))&gt;0,"Avance fuera de rango 0-100%"&amp;" · ","")&amp;IF(OR(AND($J173&lt;&gt;"",$J173&lt;$I173),AND($K173&lt;&gt;"",$K173&lt;MAX($I173:$J173)),AND($L173&lt;&gt;"",$L173&lt;MAX($I173:$K173))),"Avance semanal decreciente"&amp;" · ","")&amp;IF(AND(ISNUMBER($AN173),$AN173&lt;FechaRef,IF($V173="Sub",N($X173),N($M173))&lt;1),"Vencida"&amp;" · ","")&amp;IF(AND(ObsObligatoria="Sí",ISNUMBER($AN173),$AN173&lt;FechaRef,IF($V173="Sub",N($X173),N($M173))&lt;1,$Q173=""),"Vencida sin observación"&amp;" · ",""))-3)))</f>
        <v/>
      </c>
      <c r="S173" s="64">
        <f>IF(NOT((COUNTA($B173:$D173)+COUNTA($G173:$L173)+COUNTA($Q173))&gt;0),"",IF(AND($V173="Sub",N($U173)&gt;0),IF(ISNUMBER(INDEX($AM$5:$AM$1000,$U173-4)),DATE(YEAR(INDEX($AM$5:$AM$1000,$U173-4)),MONTH(INDEX($AM$5:$AM$1000,$U173-4)),1),IF(ISNUMBER(INDEX($AN$5:$AN$1000,$U173-4)),DATE(YEAR(INDEX($AN$5:$AN$1000,$U173-4)),MONTH(INDEX($AN$5:$AN$1000,$U173-4)),1),MesCiclo)),IF(ISNUMBER($AM173),DATE(YEAR($AM173),MONTH($AM173),1),IF(ISNUMBER($AN173),DATE(YEAR($AN173),MONTH($AN173),1),MesCiclo))))</f>
        <v/>
      </c>
      <c r="T173" s="62">
        <f>IF(OR($S173="",$S173&lt;&gt;MesCiclo,$V173&lt;&gt;"Macro"),"",COUNTIFS($S$5:$S173,MesCiclo,$V$5:$V173,"Macro"))</f>
        <v/>
      </c>
      <c r="U173" s="62">
        <f>IF($V173="","",IF($V173="Macro",ROW(),IFERROR(LOOKUP(2,1/($V$5:$V173="Macro"),ROW($V$5:$V173)),0)))</f>
        <v/>
      </c>
      <c r="V173" s="62">
        <f>IF(NOT((COUNTA($B173:$D173)+COUNTA($G173:$L173)+COUNTA($Q173))&gt;0),"",IF($B173="Subactividad","Sub","Macro"))</f>
        <v/>
      </c>
      <c r="W173" s="62">
        <f>IF($V173="Macro",COUNTIFS($U$5:$U$1000,ROW(),$V$5:$V$1000,"Sub"),"")</f>
        <v/>
      </c>
      <c r="X173" s="62">
        <f>IF($V173="","",IF(ISNUMBER($G173),1,IFERROR(LOOKUP(2,1/($I173:$L173&lt;&gt;""),$I173:$L173),0)))</f>
        <v/>
      </c>
      <c r="Y173" s="62">
        <f>IF($V173="","",IF(AND(ISNUMBER($G173),$G173&lt;=IF($S173=MesCiclo,InicioCiclo,$S173+MOD(2-WEEKDAY($S173),7))+6),1,IF(ISNUMBER($I173),$I173,0)))</f>
        <v/>
      </c>
      <c r="Z173" s="62">
        <f>IF($V173="","",IF(AND(ISNUMBER($G173),$G173&lt;=IF($S173=MesCiclo,InicioCiclo,$S173+MOD(2-WEEKDAY($S173),7))+13),1,IF(ISNUMBER($J173),$J173,$Y173)))</f>
        <v/>
      </c>
      <c r="AA173" s="62">
        <f>IF($V173="","",IF(AND(ISNUMBER($G173),$G173&lt;=IF($S173=MesCiclo,InicioCiclo,$S173+MOD(2-WEEKDAY($S173),7))+20),1,IF(ISNUMBER($K173),$K173,$Z173)))</f>
        <v/>
      </c>
      <c r="AB173" s="62">
        <f>IF($V173="","",IF(AND(ISNUMBER($G173),$G173&lt;=IF($S173=MesCiclo,InicioCiclo,$S173+MOD(2-WEEKDAY($S173),7))+27),1,IF(ISNUMBER($L173),$L173,$AA173)))</f>
        <v/>
      </c>
      <c r="AC173" s="62">
        <f>IF($V173="","",IF(AND(ISNUMBER($G173),$G173&lt;=IF($S173=MesCiclo,InicioCiclo,$S173+MOD(2-WEEKDAY($S173),7))+6),1,IF(N($W173)&gt;0,AVERAGEIFS($Y$5:$Y$1000,$U$5:$U$1000,ROW(),$V$5:$V$1000,"Sub"),$Y173)))</f>
        <v/>
      </c>
      <c r="AD173" s="62">
        <f>IF($V173="","",IF(AND(ISNUMBER($G173),$G173&lt;=IF($S173=MesCiclo,InicioCiclo,$S173+MOD(2-WEEKDAY($S173),7))+13),1,IF(N($W173)&gt;0,AVERAGEIFS($Z$5:$Z$1000,$U$5:$U$1000,ROW(),$V$5:$V$1000,"Sub"),$Z173)))</f>
        <v/>
      </c>
      <c r="AE173" s="62">
        <f>IF($V173="","",IF(AND(ISNUMBER($G173),$G173&lt;=IF($S173=MesCiclo,InicioCiclo,$S173+MOD(2-WEEKDAY($S173),7))+20),1,IF(N($W173)&gt;0,AVERAGEIFS($AA$5:$AA$1000,$U$5:$U$1000,ROW(),$V$5:$V$1000,"Sub"),$AA173)))</f>
        <v/>
      </c>
      <c r="AF173" s="62">
        <f>IF($V173="","",IF(AND(ISNUMBER($G173),$G173&lt;=IF($S173=MesCiclo,InicioCiclo,$S173+MOD(2-WEEKDAY($S173),7))+27),1,IF(N($W173)&gt;0,AVERAGEIFS($AB$5:$AB$1000,$U$5:$U$1000,ROW(),$V$5:$V$1000,"Sub"),$AB173)))</f>
        <v/>
      </c>
      <c r="AG173" s="62">
        <f>IF($V173&lt;&gt;"Macro","",IF(COUNTIFS($S$5:$S$1000,$S173,$V$5:$V$1000,"Macro",$H$5:$H$1000,"&gt;0")=0,1/COUNTIFS($S$5:$S$1000,$S173,$V$5:$V$1000,"Macro"),IF(AND(ISNUMBER($H173),N($H173)&gt;0),$H173,SUMIFS($H$5:$H$1000,$S$5:$S$1000,$S173,$V$5:$V$1000,"Macro")/COUNTIFS($S$5:$S$1000,$S173,$V$5:$V$1000,"Macro",$H$5:$H$1000,"&gt;0"))/(COUNTIFS($S$5:$S$1000,$S173,$V$5:$V$1000,"Macro")*SUMIFS($H$5:$H$1000,$S$5:$S$1000,$S173,$V$5:$V$1000,"Macro")/COUNTIFS($S$5:$S$1000,$S173,$V$5:$V$1000,"Macro",$H$5:$H$1000,"&gt;0"))))</f>
        <v/>
      </c>
      <c r="AH173" s="62" t="n"/>
      <c r="AI173" s="62" t="n"/>
      <c r="AJ173" s="62" t="n"/>
      <c r="AK173" s="62" t="n"/>
      <c r="AL173" s="62">
        <f>IF(LEFT($C173,11)="[Jefatura] ",IFERROR(MATCH("Riesgo Normativo|"&amp;MID($C173,12,500),rDname_ADM,0),0),"")</f>
        <v/>
      </c>
      <c r="AM173" s="62">
        <f>IF(N($AL173)&gt;0,INDEX(rIni_ADM,$AL173),IF(ISNUMBER($E173),$E173,""))</f>
        <v/>
      </c>
      <c r="AN173" s="62">
        <f>IF(N($AL173)&gt;0,INDEX(rLim_ADM,$AL173),IF(ISNUMBER($F173),$F173,""))</f>
        <v/>
      </c>
    </row>
    <row r="174">
      <c r="A174" s="56">
        <f>IF(NOT((COUNTA($B174:$D174)+COUNTA($G174:$L174)+COUNTA($Q174))&gt;0),"",IF($V174="Macro",COUNTIFS($V$5:$V174,"Macro",$S$5:$S174,$S174),IF(N($U174)=0,"?",COUNTIFS(INDEX($V$5:$V$1000,1):INDEX($V$5:$V$1000,$U174-4),"Macro",INDEX($S$5:$S$1000,1):INDEX($S$5:$S$1000,$U174-4),INDEX($S$5:$S$1000,$U174-4))&amp;"."&amp;COUNTIFS($U$5:$U174,$U174,$V$5:$V174,"Sub"))))</f>
        <v/>
      </c>
      <c r="B174" s="57" t="n"/>
      <c r="C174" s="58" t="n"/>
      <c r="D174" s="58" t="n"/>
      <c r="E174" s="59">
        <f>IF(N($AL174)&gt;0,INDEX(rIni_ADM,$AL174),"")</f>
        <v/>
      </c>
      <c r="F174" s="59">
        <f>IF(N($AL174)&gt;0,INDEX(rLim_ADM,$AL174),"")</f>
        <v/>
      </c>
      <c r="G174" s="59" t="n"/>
      <c r="H174" s="60" t="n"/>
      <c r="I174" s="60" t="n"/>
      <c r="J174" s="60" t="n"/>
      <c r="K174" s="60" t="n"/>
      <c r="L174" s="60" t="n"/>
      <c r="M174" s="61">
        <f>IF(NOT((COUNTA($B174:$D174)+COUNTA($G174:$L174)+COUNTA($Q174))&gt;0),"",IF($V174="Sub",IFERROR($X174/INDEX($W$5:$W$1000,$U174-4),""),IF(ISNUMBER($G174),1,IF(N($W174)&gt;0,AVERAGEIFS($X$5:$X$1000,$U$5:$U$1000,ROW(),$V$5:$V$1000,"Sub"),$X174))))</f>
        <v/>
      </c>
      <c r="N174" s="56">
        <f>IF(OR($M174="",$V174="Sub"),"",IF($M174&gt;=1,"Completado",IF($M174&gt;0,"En curso","Pendiente")))</f>
        <v/>
      </c>
      <c r="O174" s="56">
        <f>IF(OR(NOT((COUNTA($B174:$D174)+COUNTA($G174:$L174)+COUNTA($Q174))&gt;0),$V174="Sub"),"",IF(ISNUMBER($G174),IF(AND(ISNUMBER($AN174),$G174&gt;$AN174),"Cumplida con "&amp;($G174-$AN174)&amp;IF($G174-$AN174=1," día"," días")&amp;" de retraso","Cumplida"),IF(N($M174)&gt;=1,"Cumplida",IF(NOT(ISNUMBER($AN174)),"Sin fecha límite",IF($AN174&lt;FechaRef,"Vencida hace "&amp;(FechaRef-$AN174)&amp;IF(FechaRef-$AN174=1," día"," días"),IF($AN174=FechaRef,"Vence hoy",IF($AN174-FechaRef&lt;=DiasAlerta,"Vence en "&amp;($AN174-FechaRef)&amp;IF($AN174-FechaRef=1," día"," días"),"En plazo")))))))</f>
        <v/>
      </c>
      <c r="P174" s="62" t="n"/>
      <c r="Q174" s="58" t="n"/>
      <c r="R174" s="63">
        <f>IF(NOT((COUNTA($B174:$D174)+COUNTA($G174:$L174)+COUNTA($Q174))&gt;0),"",IF((IF($C174="","Falta el nombre de la actividad"&amp;" · ","")&amp;IF(AND($V174="Sub",N($U174)=0),"Subactividad sin macroactividad arriba"&amp;" · ","")&amp;IF($AM174="","Sin fecha de inicio"&amp;" · ","")&amp;IF($AN174="","Sin fecha límite"&amp;" · ","")&amp;IF(AND(LEFT($C174,11)="[Jefatura] ",N($AL174)=0),"No se encuentra en la hoja de la jefatura (elíjala de nuevo en la lista)"&amp;" · ","")&amp;IF(OR(AND($E174&lt;&gt;"",NOT(ISNUMBER($E174))),AND($F174&lt;&gt;"",NOT(ISNUMBER($F174))),AND($G174&lt;&gt;"",NOT(ISNUMBER($G174)))),"Fecha no válida"&amp;" · ","")&amp;IF(AND(ISNUMBER($AM174),ISNUMBER($AN174),$AM174&gt;$AN174),"Inicio posterior a fecha límite"&amp;" · ","")&amp;IF(AND($V174="Macro",$H174&lt;&gt;"",OR(NOT(ISNUMBER($H174)),$H174&lt;0,$H174&gt;1)),"Peso fuera de rango"&amp;" · ","")&amp;IF(AND($V174="Sub",$H174&lt;&gt;""),"Las subactividades no llevan peso (valen igual dentro de su macroactividad)"&amp;" · ","")&amp;IF(AND(N($W174)&gt;0,COUNT($I174:$L174)&gt;0),"Con subactividades: deje vacías las semanas (se calculan solas)"&amp;" · ","")&amp;IF((COUNTIF($I174:$L174,"&gt;1")+COUNTIF($I174:$L174,"&lt;0")+COUNTA($I174:$L174)-COUNT($I174:$L174))&gt;0,"Avance fuera de rango 0-100%"&amp;" · ","")&amp;IF(OR(AND($J174&lt;&gt;"",$J174&lt;$I174),AND($K174&lt;&gt;"",$K174&lt;MAX($I174:$J174)),AND($L174&lt;&gt;"",$L174&lt;MAX($I174:$K174))),"Avance semanal decreciente"&amp;" · ","")&amp;IF(AND(ISNUMBER($AN174),$AN174&lt;FechaRef,IF($V174="Sub",N($X174),N($M174))&lt;1),"Vencida"&amp;" · ","")&amp;IF(AND(ObsObligatoria="Sí",ISNUMBER($AN174),$AN174&lt;FechaRef,IF($V174="Sub",N($X174),N($M174))&lt;1,$Q174=""),"Vencida sin observación"&amp;" · ",""))="","✔ OK","⚠ "&amp;LEFT(IF($C174="","Falta el nombre de la actividad"&amp;" · ","")&amp;IF(AND($V174="Sub",N($U174)=0),"Subactividad sin macroactividad arriba"&amp;" · ","")&amp;IF($AM174="","Sin fecha de inicio"&amp;" · ","")&amp;IF($AN174="","Sin fecha límite"&amp;" · ","")&amp;IF(AND(LEFT($C174,11)="[Jefatura] ",N($AL174)=0),"No se encuentra en la hoja de la jefatura (elíjala de nuevo en la lista)"&amp;" · ","")&amp;IF(OR(AND($E174&lt;&gt;"",NOT(ISNUMBER($E174))),AND($F174&lt;&gt;"",NOT(ISNUMBER($F174))),AND($G174&lt;&gt;"",NOT(ISNUMBER($G174)))),"Fecha no válida"&amp;" · ","")&amp;IF(AND(ISNUMBER($AM174),ISNUMBER($AN174),$AM174&gt;$AN174),"Inicio posterior a fecha límite"&amp;" · ","")&amp;IF(AND($V174="Macro",$H174&lt;&gt;"",OR(NOT(ISNUMBER($H174)),$H174&lt;0,$H174&gt;1)),"Peso fuera de rango"&amp;" · ","")&amp;IF(AND($V174="Sub",$H174&lt;&gt;""),"Las subactividades no llevan peso (valen igual dentro de su macroactividad)"&amp;" · ","")&amp;IF(AND(N($W174)&gt;0,COUNT($I174:$L174)&gt;0),"Con subactividades: deje vacías las semanas (se calculan solas)"&amp;" · ","")&amp;IF((COUNTIF($I174:$L174,"&gt;1")+COUNTIF($I174:$L174,"&lt;0")+COUNTA($I174:$L174)-COUNT($I174:$L174))&gt;0,"Avance fuera de rango 0-100%"&amp;" · ","")&amp;IF(OR(AND($J174&lt;&gt;"",$J174&lt;$I174),AND($K174&lt;&gt;"",$K174&lt;MAX($I174:$J174)),AND($L174&lt;&gt;"",$L174&lt;MAX($I174:$K174))),"Avance semanal decreciente"&amp;" · ","")&amp;IF(AND(ISNUMBER($AN174),$AN174&lt;FechaRef,IF($V174="Sub",N($X174),N($M174))&lt;1),"Vencida"&amp;" · ","")&amp;IF(AND(ObsObligatoria="Sí",ISNUMBER($AN174),$AN174&lt;FechaRef,IF($V174="Sub",N($X174),N($M174))&lt;1,$Q174=""),"Vencida sin observación"&amp;" · ",""),LEN(IF($C174="","Falta el nombre de la actividad"&amp;" · ","")&amp;IF(AND($V174="Sub",N($U174)=0),"Subactividad sin macroactividad arriba"&amp;" · ","")&amp;IF($AM174="","Sin fecha de inicio"&amp;" · ","")&amp;IF($AN174="","Sin fecha límite"&amp;" · ","")&amp;IF(AND(LEFT($C174,11)="[Jefatura] ",N($AL174)=0),"No se encuentra en la hoja de la jefatura (elíjala de nuevo en la lista)"&amp;" · ","")&amp;IF(OR(AND($E174&lt;&gt;"",NOT(ISNUMBER($E174))),AND($F174&lt;&gt;"",NOT(ISNUMBER($F174))),AND($G174&lt;&gt;"",NOT(ISNUMBER($G174)))),"Fecha no válida"&amp;" · ","")&amp;IF(AND(ISNUMBER($AM174),ISNUMBER($AN174),$AM174&gt;$AN174),"Inicio posterior a fecha límite"&amp;" · ","")&amp;IF(AND($V174="Macro",$H174&lt;&gt;"",OR(NOT(ISNUMBER($H174)),$H174&lt;0,$H174&gt;1)),"Peso fuera de rango"&amp;" · ","")&amp;IF(AND($V174="Sub",$H174&lt;&gt;""),"Las subactividades no llevan peso (valen igual dentro de su macroactividad)"&amp;" · ","")&amp;IF(AND(N($W174)&gt;0,COUNT($I174:$L174)&gt;0),"Con subactividades: deje vacías las semanas (se calculan solas)"&amp;" · ","")&amp;IF((COUNTIF($I174:$L174,"&gt;1")+COUNTIF($I174:$L174,"&lt;0")+COUNTA($I174:$L174)-COUNT($I174:$L174))&gt;0,"Avance fuera de rango 0-100%"&amp;" · ","")&amp;IF(OR(AND($J174&lt;&gt;"",$J174&lt;$I174),AND($K174&lt;&gt;"",$K174&lt;MAX($I174:$J174)),AND($L174&lt;&gt;"",$L174&lt;MAX($I174:$K174))),"Avance semanal decreciente"&amp;" · ","")&amp;IF(AND(ISNUMBER($AN174),$AN174&lt;FechaRef,IF($V174="Sub",N($X174),N($M174))&lt;1),"Vencida"&amp;" · ","")&amp;IF(AND(ObsObligatoria="Sí",ISNUMBER($AN174),$AN174&lt;FechaRef,IF($V174="Sub",N($X174),N($M174))&lt;1,$Q174=""),"Vencida sin observación"&amp;" · ",""))-3)))</f>
        <v/>
      </c>
      <c r="S174" s="64">
        <f>IF(NOT((COUNTA($B174:$D174)+COUNTA($G174:$L174)+COUNTA($Q174))&gt;0),"",IF(AND($V174="Sub",N($U174)&gt;0),IF(ISNUMBER(INDEX($AM$5:$AM$1000,$U174-4)),DATE(YEAR(INDEX($AM$5:$AM$1000,$U174-4)),MONTH(INDEX($AM$5:$AM$1000,$U174-4)),1),IF(ISNUMBER(INDEX($AN$5:$AN$1000,$U174-4)),DATE(YEAR(INDEX($AN$5:$AN$1000,$U174-4)),MONTH(INDEX($AN$5:$AN$1000,$U174-4)),1),MesCiclo)),IF(ISNUMBER($AM174),DATE(YEAR($AM174),MONTH($AM174),1),IF(ISNUMBER($AN174),DATE(YEAR($AN174),MONTH($AN174),1),MesCiclo))))</f>
        <v/>
      </c>
      <c r="T174" s="62">
        <f>IF(OR($S174="",$S174&lt;&gt;MesCiclo,$V174&lt;&gt;"Macro"),"",COUNTIFS($S$5:$S174,MesCiclo,$V$5:$V174,"Macro"))</f>
        <v/>
      </c>
      <c r="U174" s="62">
        <f>IF($V174="","",IF($V174="Macro",ROW(),IFERROR(LOOKUP(2,1/($V$5:$V174="Macro"),ROW($V$5:$V174)),0)))</f>
        <v/>
      </c>
      <c r="V174" s="62">
        <f>IF(NOT((COUNTA($B174:$D174)+COUNTA($G174:$L174)+COUNTA($Q174))&gt;0),"",IF($B174="Subactividad","Sub","Macro"))</f>
        <v/>
      </c>
      <c r="W174" s="62">
        <f>IF($V174="Macro",COUNTIFS($U$5:$U$1000,ROW(),$V$5:$V$1000,"Sub"),"")</f>
        <v/>
      </c>
      <c r="X174" s="62">
        <f>IF($V174="","",IF(ISNUMBER($G174),1,IFERROR(LOOKUP(2,1/($I174:$L174&lt;&gt;""),$I174:$L174),0)))</f>
        <v/>
      </c>
      <c r="Y174" s="62">
        <f>IF($V174="","",IF(AND(ISNUMBER($G174),$G174&lt;=IF($S174=MesCiclo,InicioCiclo,$S174+MOD(2-WEEKDAY($S174),7))+6),1,IF(ISNUMBER($I174),$I174,0)))</f>
        <v/>
      </c>
      <c r="Z174" s="62">
        <f>IF($V174="","",IF(AND(ISNUMBER($G174),$G174&lt;=IF($S174=MesCiclo,InicioCiclo,$S174+MOD(2-WEEKDAY($S174),7))+13),1,IF(ISNUMBER($J174),$J174,$Y174)))</f>
        <v/>
      </c>
      <c r="AA174" s="62">
        <f>IF($V174="","",IF(AND(ISNUMBER($G174),$G174&lt;=IF($S174=MesCiclo,InicioCiclo,$S174+MOD(2-WEEKDAY($S174),7))+20),1,IF(ISNUMBER($K174),$K174,$Z174)))</f>
        <v/>
      </c>
      <c r="AB174" s="62">
        <f>IF($V174="","",IF(AND(ISNUMBER($G174),$G174&lt;=IF($S174=MesCiclo,InicioCiclo,$S174+MOD(2-WEEKDAY($S174),7))+27),1,IF(ISNUMBER($L174),$L174,$AA174)))</f>
        <v/>
      </c>
      <c r="AC174" s="62">
        <f>IF($V174="","",IF(AND(ISNUMBER($G174),$G174&lt;=IF($S174=MesCiclo,InicioCiclo,$S174+MOD(2-WEEKDAY($S174),7))+6),1,IF(N($W174)&gt;0,AVERAGEIFS($Y$5:$Y$1000,$U$5:$U$1000,ROW(),$V$5:$V$1000,"Sub"),$Y174)))</f>
        <v/>
      </c>
      <c r="AD174" s="62">
        <f>IF($V174="","",IF(AND(ISNUMBER($G174),$G174&lt;=IF($S174=MesCiclo,InicioCiclo,$S174+MOD(2-WEEKDAY($S174),7))+13),1,IF(N($W174)&gt;0,AVERAGEIFS($Z$5:$Z$1000,$U$5:$U$1000,ROW(),$V$5:$V$1000,"Sub"),$Z174)))</f>
        <v/>
      </c>
      <c r="AE174" s="62">
        <f>IF($V174="","",IF(AND(ISNUMBER($G174),$G174&lt;=IF($S174=MesCiclo,InicioCiclo,$S174+MOD(2-WEEKDAY($S174),7))+20),1,IF(N($W174)&gt;0,AVERAGEIFS($AA$5:$AA$1000,$U$5:$U$1000,ROW(),$V$5:$V$1000,"Sub"),$AA174)))</f>
        <v/>
      </c>
      <c r="AF174" s="62">
        <f>IF($V174="","",IF(AND(ISNUMBER($G174),$G174&lt;=IF($S174=MesCiclo,InicioCiclo,$S174+MOD(2-WEEKDAY($S174),7))+27),1,IF(N($W174)&gt;0,AVERAGEIFS($AB$5:$AB$1000,$U$5:$U$1000,ROW(),$V$5:$V$1000,"Sub"),$AB174)))</f>
        <v/>
      </c>
      <c r="AG174" s="62">
        <f>IF($V174&lt;&gt;"Macro","",IF(COUNTIFS($S$5:$S$1000,$S174,$V$5:$V$1000,"Macro",$H$5:$H$1000,"&gt;0")=0,1/COUNTIFS($S$5:$S$1000,$S174,$V$5:$V$1000,"Macro"),IF(AND(ISNUMBER($H174),N($H174)&gt;0),$H174,SUMIFS($H$5:$H$1000,$S$5:$S$1000,$S174,$V$5:$V$1000,"Macro")/COUNTIFS($S$5:$S$1000,$S174,$V$5:$V$1000,"Macro",$H$5:$H$1000,"&gt;0"))/(COUNTIFS($S$5:$S$1000,$S174,$V$5:$V$1000,"Macro")*SUMIFS($H$5:$H$1000,$S$5:$S$1000,$S174,$V$5:$V$1000,"Macro")/COUNTIFS($S$5:$S$1000,$S174,$V$5:$V$1000,"Macro",$H$5:$H$1000,"&gt;0"))))</f>
        <v/>
      </c>
      <c r="AH174" s="62" t="n"/>
      <c r="AI174" s="62" t="n"/>
      <c r="AJ174" s="62" t="n"/>
      <c r="AK174" s="62" t="n"/>
      <c r="AL174" s="62">
        <f>IF(LEFT($C174,11)="[Jefatura] ",IFERROR(MATCH("Riesgo Normativo|"&amp;MID($C174,12,500),rDname_ADM,0),0),"")</f>
        <v/>
      </c>
      <c r="AM174" s="62">
        <f>IF(N($AL174)&gt;0,INDEX(rIni_ADM,$AL174),IF(ISNUMBER($E174),$E174,""))</f>
        <v/>
      </c>
      <c r="AN174" s="62">
        <f>IF(N($AL174)&gt;0,INDEX(rLim_ADM,$AL174),IF(ISNUMBER($F174),$F174,""))</f>
        <v/>
      </c>
    </row>
    <row r="175">
      <c r="A175" s="56">
        <f>IF(NOT((COUNTA($B175:$D175)+COUNTA($G175:$L175)+COUNTA($Q175))&gt;0),"",IF($V175="Macro",COUNTIFS($V$5:$V175,"Macro",$S$5:$S175,$S175),IF(N($U175)=0,"?",COUNTIFS(INDEX($V$5:$V$1000,1):INDEX($V$5:$V$1000,$U175-4),"Macro",INDEX($S$5:$S$1000,1):INDEX($S$5:$S$1000,$U175-4),INDEX($S$5:$S$1000,$U175-4))&amp;"."&amp;COUNTIFS($U$5:$U175,$U175,$V$5:$V175,"Sub"))))</f>
        <v/>
      </c>
      <c r="B175" s="57" t="n"/>
      <c r="C175" s="58" t="n"/>
      <c r="D175" s="58" t="n"/>
      <c r="E175" s="59">
        <f>IF(N($AL175)&gt;0,INDEX(rIni_ADM,$AL175),"")</f>
        <v/>
      </c>
      <c r="F175" s="59">
        <f>IF(N($AL175)&gt;0,INDEX(rLim_ADM,$AL175),"")</f>
        <v/>
      </c>
      <c r="G175" s="59" t="n"/>
      <c r="H175" s="60" t="n"/>
      <c r="I175" s="60" t="n"/>
      <c r="J175" s="60" t="n"/>
      <c r="K175" s="60" t="n"/>
      <c r="L175" s="60" t="n"/>
      <c r="M175" s="61">
        <f>IF(NOT((COUNTA($B175:$D175)+COUNTA($G175:$L175)+COUNTA($Q175))&gt;0),"",IF($V175="Sub",IFERROR($X175/INDEX($W$5:$W$1000,$U175-4),""),IF(ISNUMBER($G175),1,IF(N($W175)&gt;0,AVERAGEIFS($X$5:$X$1000,$U$5:$U$1000,ROW(),$V$5:$V$1000,"Sub"),$X175))))</f>
        <v/>
      </c>
      <c r="N175" s="56">
        <f>IF(OR($M175="",$V175="Sub"),"",IF($M175&gt;=1,"Completado",IF($M175&gt;0,"En curso","Pendiente")))</f>
        <v/>
      </c>
      <c r="O175" s="56">
        <f>IF(OR(NOT((COUNTA($B175:$D175)+COUNTA($G175:$L175)+COUNTA($Q175))&gt;0),$V175="Sub"),"",IF(ISNUMBER($G175),IF(AND(ISNUMBER($AN175),$G175&gt;$AN175),"Cumplida con "&amp;($G175-$AN175)&amp;IF($G175-$AN175=1," día"," días")&amp;" de retraso","Cumplida"),IF(N($M175)&gt;=1,"Cumplida",IF(NOT(ISNUMBER($AN175)),"Sin fecha límite",IF($AN175&lt;FechaRef,"Vencida hace "&amp;(FechaRef-$AN175)&amp;IF(FechaRef-$AN175=1," día"," días"),IF($AN175=FechaRef,"Vence hoy",IF($AN175-FechaRef&lt;=DiasAlerta,"Vence en "&amp;($AN175-FechaRef)&amp;IF($AN175-FechaRef=1," día"," días"),"En plazo")))))))</f>
        <v/>
      </c>
      <c r="P175" s="62" t="n"/>
      <c r="Q175" s="58" t="n"/>
      <c r="R175" s="63">
        <f>IF(NOT((COUNTA($B175:$D175)+COUNTA($G175:$L175)+COUNTA($Q175))&gt;0),"",IF((IF($C175="","Falta el nombre de la actividad"&amp;" · ","")&amp;IF(AND($V175="Sub",N($U175)=0),"Subactividad sin macroactividad arriba"&amp;" · ","")&amp;IF($AM175="","Sin fecha de inicio"&amp;" · ","")&amp;IF($AN175="","Sin fecha límite"&amp;" · ","")&amp;IF(AND(LEFT($C175,11)="[Jefatura] ",N($AL175)=0),"No se encuentra en la hoja de la jefatura (elíjala de nuevo en la lista)"&amp;" · ","")&amp;IF(OR(AND($E175&lt;&gt;"",NOT(ISNUMBER($E175))),AND($F175&lt;&gt;"",NOT(ISNUMBER($F175))),AND($G175&lt;&gt;"",NOT(ISNUMBER($G175)))),"Fecha no válida"&amp;" · ","")&amp;IF(AND(ISNUMBER($AM175),ISNUMBER($AN175),$AM175&gt;$AN175),"Inicio posterior a fecha límite"&amp;" · ","")&amp;IF(AND($V175="Macro",$H175&lt;&gt;"",OR(NOT(ISNUMBER($H175)),$H175&lt;0,$H175&gt;1)),"Peso fuera de rango"&amp;" · ","")&amp;IF(AND($V175="Sub",$H175&lt;&gt;""),"Las subactividades no llevan peso (valen igual dentro de su macroactividad)"&amp;" · ","")&amp;IF(AND(N($W175)&gt;0,COUNT($I175:$L175)&gt;0),"Con subactividades: deje vacías las semanas (se calculan solas)"&amp;" · ","")&amp;IF((COUNTIF($I175:$L175,"&gt;1")+COUNTIF($I175:$L175,"&lt;0")+COUNTA($I175:$L175)-COUNT($I175:$L175))&gt;0,"Avance fuera de rango 0-100%"&amp;" · ","")&amp;IF(OR(AND($J175&lt;&gt;"",$J175&lt;$I175),AND($K175&lt;&gt;"",$K175&lt;MAX($I175:$J175)),AND($L175&lt;&gt;"",$L175&lt;MAX($I175:$K175))),"Avance semanal decreciente"&amp;" · ","")&amp;IF(AND(ISNUMBER($AN175),$AN175&lt;FechaRef,IF($V175="Sub",N($X175),N($M175))&lt;1),"Vencida"&amp;" · ","")&amp;IF(AND(ObsObligatoria="Sí",ISNUMBER($AN175),$AN175&lt;FechaRef,IF($V175="Sub",N($X175),N($M175))&lt;1,$Q175=""),"Vencida sin observación"&amp;" · ",""))="","✔ OK","⚠ "&amp;LEFT(IF($C175="","Falta el nombre de la actividad"&amp;" · ","")&amp;IF(AND($V175="Sub",N($U175)=0),"Subactividad sin macroactividad arriba"&amp;" · ","")&amp;IF($AM175="","Sin fecha de inicio"&amp;" · ","")&amp;IF($AN175="","Sin fecha límite"&amp;" · ","")&amp;IF(AND(LEFT($C175,11)="[Jefatura] ",N($AL175)=0),"No se encuentra en la hoja de la jefatura (elíjala de nuevo en la lista)"&amp;" · ","")&amp;IF(OR(AND($E175&lt;&gt;"",NOT(ISNUMBER($E175))),AND($F175&lt;&gt;"",NOT(ISNUMBER($F175))),AND($G175&lt;&gt;"",NOT(ISNUMBER($G175)))),"Fecha no válida"&amp;" · ","")&amp;IF(AND(ISNUMBER($AM175),ISNUMBER($AN175),$AM175&gt;$AN175),"Inicio posterior a fecha límite"&amp;" · ","")&amp;IF(AND($V175="Macro",$H175&lt;&gt;"",OR(NOT(ISNUMBER($H175)),$H175&lt;0,$H175&gt;1)),"Peso fuera de rango"&amp;" · ","")&amp;IF(AND($V175="Sub",$H175&lt;&gt;""),"Las subactividades no llevan peso (valen igual dentro de su macroactividad)"&amp;" · ","")&amp;IF(AND(N($W175)&gt;0,COUNT($I175:$L175)&gt;0),"Con subactividades: deje vacías las semanas (se calculan solas)"&amp;" · ","")&amp;IF((COUNTIF($I175:$L175,"&gt;1")+COUNTIF($I175:$L175,"&lt;0")+COUNTA($I175:$L175)-COUNT($I175:$L175))&gt;0,"Avance fuera de rango 0-100%"&amp;" · ","")&amp;IF(OR(AND($J175&lt;&gt;"",$J175&lt;$I175),AND($K175&lt;&gt;"",$K175&lt;MAX($I175:$J175)),AND($L175&lt;&gt;"",$L175&lt;MAX($I175:$K175))),"Avance semanal decreciente"&amp;" · ","")&amp;IF(AND(ISNUMBER($AN175),$AN175&lt;FechaRef,IF($V175="Sub",N($X175),N($M175))&lt;1),"Vencida"&amp;" · ","")&amp;IF(AND(ObsObligatoria="Sí",ISNUMBER($AN175),$AN175&lt;FechaRef,IF($V175="Sub",N($X175),N($M175))&lt;1,$Q175=""),"Vencida sin observación"&amp;" · ",""),LEN(IF($C175="","Falta el nombre de la actividad"&amp;" · ","")&amp;IF(AND($V175="Sub",N($U175)=0),"Subactividad sin macroactividad arriba"&amp;" · ","")&amp;IF($AM175="","Sin fecha de inicio"&amp;" · ","")&amp;IF($AN175="","Sin fecha límite"&amp;" · ","")&amp;IF(AND(LEFT($C175,11)="[Jefatura] ",N($AL175)=0),"No se encuentra en la hoja de la jefatura (elíjala de nuevo en la lista)"&amp;" · ","")&amp;IF(OR(AND($E175&lt;&gt;"",NOT(ISNUMBER($E175))),AND($F175&lt;&gt;"",NOT(ISNUMBER($F175))),AND($G175&lt;&gt;"",NOT(ISNUMBER($G175)))),"Fecha no válida"&amp;" · ","")&amp;IF(AND(ISNUMBER($AM175),ISNUMBER($AN175),$AM175&gt;$AN175),"Inicio posterior a fecha límite"&amp;" · ","")&amp;IF(AND($V175="Macro",$H175&lt;&gt;"",OR(NOT(ISNUMBER($H175)),$H175&lt;0,$H175&gt;1)),"Peso fuera de rango"&amp;" · ","")&amp;IF(AND($V175="Sub",$H175&lt;&gt;""),"Las subactividades no llevan peso (valen igual dentro de su macroactividad)"&amp;" · ","")&amp;IF(AND(N($W175)&gt;0,COUNT($I175:$L175)&gt;0),"Con subactividades: deje vacías las semanas (se calculan solas)"&amp;" · ","")&amp;IF((COUNTIF($I175:$L175,"&gt;1")+COUNTIF($I175:$L175,"&lt;0")+COUNTA($I175:$L175)-COUNT($I175:$L175))&gt;0,"Avance fuera de rango 0-100%"&amp;" · ","")&amp;IF(OR(AND($J175&lt;&gt;"",$J175&lt;$I175),AND($K175&lt;&gt;"",$K175&lt;MAX($I175:$J175)),AND($L175&lt;&gt;"",$L175&lt;MAX($I175:$K175))),"Avance semanal decreciente"&amp;" · ","")&amp;IF(AND(ISNUMBER($AN175),$AN175&lt;FechaRef,IF($V175="Sub",N($X175),N($M175))&lt;1),"Vencida"&amp;" · ","")&amp;IF(AND(ObsObligatoria="Sí",ISNUMBER($AN175),$AN175&lt;FechaRef,IF($V175="Sub",N($X175),N($M175))&lt;1,$Q175=""),"Vencida sin observación"&amp;" · ",""))-3)))</f>
        <v/>
      </c>
      <c r="S175" s="64">
        <f>IF(NOT((COUNTA($B175:$D175)+COUNTA($G175:$L175)+COUNTA($Q175))&gt;0),"",IF(AND($V175="Sub",N($U175)&gt;0),IF(ISNUMBER(INDEX($AM$5:$AM$1000,$U175-4)),DATE(YEAR(INDEX($AM$5:$AM$1000,$U175-4)),MONTH(INDEX($AM$5:$AM$1000,$U175-4)),1),IF(ISNUMBER(INDEX($AN$5:$AN$1000,$U175-4)),DATE(YEAR(INDEX($AN$5:$AN$1000,$U175-4)),MONTH(INDEX($AN$5:$AN$1000,$U175-4)),1),MesCiclo)),IF(ISNUMBER($AM175),DATE(YEAR($AM175),MONTH($AM175),1),IF(ISNUMBER($AN175),DATE(YEAR($AN175),MONTH($AN175),1),MesCiclo))))</f>
        <v/>
      </c>
      <c r="T175" s="62">
        <f>IF(OR($S175="",$S175&lt;&gt;MesCiclo,$V175&lt;&gt;"Macro"),"",COUNTIFS($S$5:$S175,MesCiclo,$V$5:$V175,"Macro"))</f>
        <v/>
      </c>
      <c r="U175" s="62">
        <f>IF($V175="","",IF($V175="Macro",ROW(),IFERROR(LOOKUP(2,1/($V$5:$V175="Macro"),ROW($V$5:$V175)),0)))</f>
        <v/>
      </c>
      <c r="V175" s="62">
        <f>IF(NOT((COUNTA($B175:$D175)+COUNTA($G175:$L175)+COUNTA($Q175))&gt;0),"",IF($B175="Subactividad","Sub","Macro"))</f>
        <v/>
      </c>
      <c r="W175" s="62">
        <f>IF($V175="Macro",COUNTIFS($U$5:$U$1000,ROW(),$V$5:$V$1000,"Sub"),"")</f>
        <v/>
      </c>
      <c r="X175" s="62">
        <f>IF($V175="","",IF(ISNUMBER($G175),1,IFERROR(LOOKUP(2,1/($I175:$L175&lt;&gt;""),$I175:$L175),0)))</f>
        <v/>
      </c>
      <c r="Y175" s="62">
        <f>IF($V175="","",IF(AND(ISNUMBER($G175),$G175&lt;=IF($S175=MesCiclo,InicioCiclo,$S175+MOD(2-WEEKDAY($S175),7))+6),1,IF(ISNUMBER($I175),$I175,0)))</f>
        <v/>
      </c>
      <c r="Z175" s="62">
        <f>IF($V175="","",IF(AND(ISNUMBER($G175),$G175&lt;=IF($S175=MesCiclo,InicioCiclo,$S175+MOD(2-WEEKDAY($S175),7))+13),1,IF(ISNUMBER($J175),$J175,$Y175)))</f>
        <v/>
      </c>
      <c r="AA175" s="62">
        <f>IF($V175="","",IF(AND(ISNUMBER($G175),$G175&lt;=IF($S175=MesCiclo,InicioCiclo,$S175+MOD(2-WEEKDAY($S175),7))+20),1,IF(ISNUMBER($K175),$K175,$Z175)))</f>
        <v/>
      </c>
      <c r="AB175" s="62">
        <f>IF($V175="","",IF(AND(ISNUMBER($G175),$G175&lt;=IF($S175=MesCiclo,InicioCiclo,$S175+MOD(2-WEEKDAY($S175),7))+27),1,IF(ISNUMBER($L175),$L175,$AA175)))</f>
        <v/>
      </c>
      <c r="AC175" s="62">
        <f>IF($V175="","",IF(AND(ISNUMBER($G175),$G175&lt;=IF($S175=MesCiclo,InicioCiclo,$S175+MOD(2-WEEKDAY($S175),7))+6),1,IF(N($W175)&gt;0,AVERAGEIFS($Y$5:$Y$1000,$U$5:$U$1000,ROW(),$V$5:$V$1000,"Sub"),$Y175)))</f>
        <v/>
      </c>
      <c r="AD175" s="62">
        <f>IF($V175="","",IF(AND(ISNUMBER($G175),$G175&lt;=IF($S175=MesCiclo,InicioCiclo,$S175+MOD(2-WEEKDAY($S175),7))+13),1,IF(N($W175)&gt;0,AVERAGEIFS($Z$5:$Z$1000,$U$5:$U$1000,ROW(),$V$5:$V$1000,"Sub"),$Z175)))</f>
        <v/>
      </c>
      <c r="AE175" s="62">
        <f>IF($V175="","",IF(AND(ISNUMBER($G175),$G175&lt;=IF($S175=MesCiclo,InicioCiclo,$S175+MOD(2-WEEKDAY($S175),7))+20),1,IF(N($W175)&gt;0,AVERAGEIFS($AA$5:$AA$1000,$U$5:$U$1000,ROW(),$V$5:$V$1000,"Sub"),$AA175)))</f>
        <v/>
      </c>
      <c r="AF175" s="62">
        <f>IF($V175="","",IF(AND(ISNUMBER($G175),$G175&lt;=IF($S175=MesCiclo,InicioCiclo,$S175+MOD(2-WEEKDAY($S175),7))+27),1,IF(N($W175)&gt;0,AVERAGEIFS($AB$5:$AB$1000,$U$5:$U$1000,ROW(),$V$5:$V$1000,"Sub"),$AB175)))</f>
        <v/>
      </c>
      <c r="AG175" s="62">
        <f>IF($V175&lt;&gt;"Macro","",IF(COUNTIFS($S$5:$S$1000,$S175,$V$5:$V$1000,"Macro",$H$5:$H$1000,"&gt;0")=0,1/COUNTIFS($S$5:$S$1000,$S175,$V$5:$V$1000,"Macro"),IF(AND(ISNUMBER($H175),N($H175)&gt;0),$H175,SUMIFS($H$5:$H$1000,$S$5:$S$1000,$S175,$V$5:$V$1000,"Macro")/COUNTIFS($S$5:$S$1000,$S175,$V$5:$V$1000,"Macro",$H$5:$H$1000,"&gt;0"))/(COUNTIFS($S$5:$S$1000,$S175,$V$5:$V$1000,"Macro")*SUMIFS($H$5:$H$1000,$S$5:$S$1000,$S175,$V$5:$V$1000,"Macro")/COUNTIFS($S$5:$S$1000,$S175,$V$5:$V$1000,"Macro",$H$5:$H$1000,"&gt;0"))))</f>
        <v/>
      </c>
      <c r="AH175" s="62" t="n"/>
      <c r="AI175" s="62" t="n"/>
      <c r="AJ175" s="62" t="n"/>
      <c r="AK175" s="62" t="n"/>
      <c r="AL175" s="62">
        <f>IF(LEFT($C175,11)="[Jefatura] ",IFERROR(MATCH("Riesgo Normativo|"&amp;MID($C175,12,500),rDname_ADM,0),0),"")</f>
        <v/>
      </c>
      <c r="AM175" s="62">
        <f>IF(N($AL175)&gt;0,INDEX(rIni_ADM,$AL175),IF(ISNUMBER($E175),$E175,""))</f>
        <v/>
      </c>
      <c r="AN175" s="62">
        <f>IF(N($AL175)&gt;0,INDEX(rLim_ADM,$AL175),IF(ISNUMBER($F175),$F175,""))</f>
        <v/>
      </c>
    </row>
    <row r="176">
      <c r="A176" s="56">
        <f>IF(NOT((COUNTA($B176:$D176)+COUNTA($G176:$L176)+COUNTA($Q176))&gt;0),"",IF($V176="Macro",COUNTIFS($V$5:$V176,"Macro",$S$5:$S176,$S176),IF(N($U176)=0,"?",COUNTIFS(INDEX($V$5:$V$1000,1):INDEX($V$5:$V$1000,$U176-4),"Macro",INDEX($S$5:$S$1000,1):INDEX($S$5:$S$1000,$U176-4),INDEX($S$5:$S$1000,$U176-4))&amp;"."&amp;COUNTIFS($U$5:$U176,$U176,$V$5:$V176,"Sub"))))</f>
        <v/>
      </c>
      <c r="B176" s="57" t="n"/>
      <c r="C176" s="58" t="n"/>
      <c r="D176" s="58" t="n"/>
      <c r="E176" s="59">
        <f>IF(N($AL176)&gt;0,INDEX(rIni_ADM,$AL176),"")</f>
        <v/>
      </c>
      <c r="F176" s="59">
        <f>IF(N($AL176)&gt;0,INDEX(rLim_ADM,$AL176),"")</f>
        <v/>
      </c>
      <c r="G176" s="59" t="n"/>
      <c r="H176" s="60" t="n"/>
      <c r="I176" s="60" t="n"/>
      <c r="J176" s="60" t="n"/>
      <c r="K176" s="60" t="n"/>
      <c r="L176" s="60" t="n"/>
      <c r="M176" s="61">
        <f>IF(NOT((COUNTA($B176:$D176)+COUNTA($G176:$L176)+COUNTA($Q176))&gt;0),"",IF($V176="Sub",IFERROR($X176/INDEX($W$5:$W$1000,$U176-4),""),IF(ISNUMBER($G176),1,IF(N($W176)&gt;0,AVERAGEIFS($X$5:$X$1000,$U$5:$U$1000,ROW(),$V$5:$V$1000,"Sub"),$X176))))</f>
        <v/>
      </c>
      <c r="N176" s="56">
        <f>IF(OR($M176="",$V176="Sub"),"",IF($M176&gt;=1,"Completado",IF($M176&gt;0,"En curso","Pendiente")))</f>
        <v/>
      </c>
      <c r="O176" s="56">
        <f>IF(OR(NOT((COUNTA($B176:$D176)+COUNTA($G176:$L176)+COUNTA($Q176))&gt;0),$V176="Sub"),"",IF(ISNUMBER($G176),IF(AND(ISNUMBER($AN176),$G176&gt;$AN176),"Cumplida con "&amp;($G176-$AN176)&amp;IF($G176-$AN176=1," día"," días")&amp;" de retraso","Cumplida"),IF(N($M176)&gt;=1,"Cumplida",IF(NOT(ISNUMBER($AN176)),"Sin fecha límite",IF($AN176&lt;FechaRef,"Vencida hace "&amp;(FechaRef-$AN176)&amp;IF(FechaRef-$AN176=1," día"," días"),IF($AN176=FechaRef,"Vence hoy",IF($AN176-FechaRef&lt;=DiasAlerta,"Vence en "&amp;($AN176-FechaRef)&amp;IF($AN176-FechaRef=1," día"," días"),"En plazo")))))))</f>
        <v/>
      </c>
      <c r="P176" s="62" t="n"/>
      <c r="Q176" s="58" t="n"/>
      <c r="R176" s="63">
        <f>IF(NOT((COUNTA($B176:$D176)+COUNTA($G176:$L176)+COUNTA($Q176))&gt;0),"",IF((IF($C176="","Falta el nombre de la actividad"&amp;" · ","")&amp;IF(AND($V176="Sub",N($U176)=0),"Subactividad sin macroactividad arriba"&amp;" · ","")&amp;IF($AM176="","Sin fecha de inicio"&amp;" · ","")&amp;IF($AN176="","Sin fecha límite"&amp;" · ","")&amp;IF(AND(LEFT($C176,11)="[Jefatura] ",N($AL176)=0),"No se encuentra en la hoja de la jefatura (elíjala de nuevo en la lista)"&amp;" · ","")&amp;IF(OR(AND($E176&lt;&gt;"",NOT(ISNUMBER($E176))),AND($F176&lt;&gt;"",NOT(ISNUMBER($F176))),AND($G176&lt;&gt;"",NOT(ISNUMBER($G176)))),"Fecha no válida"&amp;" · ","")&amp;IF(AND(ISNUMBER($AM176),ISNUMBER($AN176),$AM176&gt;$AN176),"Inicio posterior a fecha límite"&amp;" · ","")&amp;IF(AND($V176="Macro",$H176&lt;&gt;"",OR(NOT(ISNUMBER($H176)),$H176&lt;0,$H176&gt;1)),"Peso fuera de rango"&amp;" · ","")&amp;IF(AND($V176="Sub",$H176&lt;&gt;""),"Las subactividades no llevan peso (valen igual dentro de su macroactividad)"&amp;" · ","")&amp;IF(AND(N($W176)&gt;0,COUNT($I176:$L176)&gt;0),"Con subactividades: deje vacías las semanas (se calculan solas)"&amp;" · ","")&amp;IF((COUNTIF($I176:$L176,"&gt;1")+COUNTIF($I176:$L176,"&lt;0")+COUNTA($I176:$L176)-COUNT($I176:$L176))&gt;0,"Avance fuera de rango 0-100%"&amp;" · ","")&amp;IF(OR(AND($J176&lt;&gt;"",$J176&lt;$I176),AND($K176&lt;&gt;"",$K176&lt;MAX($I176:$J176)),AND($L176&lt;&gt;"",$L176&lt;MAX($I176:$K176))),"Avance semanal decreciente"&amp;" · ","")&amp;IF(AND(ISNUMBER($AN176),$AN176&lt;FechaRef,IF($V176="Sub",N($X176),N($M176))&lt;1),"Vencida"&amp;" · ","")&amp;IF(AND(ObsObligatoria="Sí",ISNUMBER($AN176),$AN176&lt;FechaRef,IF($V176="Sub",N($X176),N($M176))&lt;1,$Q176=""),"Vencida sin observación"&amp;" · ",""))="","✔ OK","⚠ "&amp;LEFT(IF($C176="","Falta el nombre de la actividad"&amp;" · ","")&amp;IF(AND($V176="Sub",N($U176)=0),"Subactividad sin macroactividad arriba"&amp;" · ","")&amp;IF($AM176="","Sin fecha de inicio"&amp;" · ","")&amp;IF($AN176="","Sin fecha límite"&amp;" · ","")&amp;IF(AND(LEFT($C176,11)="[Jefatura] ",N($AL176)=0),"No se encuentra en la hoja de la jefatura (elíjala de nuevo en la lista)"&amp;" · ","")&amp;IF(OR(AND($E176&lt;&gt;"",NOT(ISNUMBER($E176))),AND($F176&lt;&gt;"",NOT(ISNUMBER($F176))),AND($G176&lt;&gt;"",NOT(ISNUMBER($G176)))),"Fecha no válida"&amp;" · ","")&amp;IF(AND(ISNUMBER($AM176),ISNUMBER($AN176),$AM176&gt;$AN176),"Inicio posterior a fecha límite"&amp;" · ","")&amp;IF(AND($V176="Macro",$H176&lt;&gt;"",OR(NOT(ISNUMBER($H176)),$H176&lt;0,$H176&gt;1)),"Peso fuera de rango"&amp;" · ","")&amp;IF(AND($V176="Sub",$H176&lt;&gt;""),"Las subactividades no llevan peso (valen igual dentro de su macroactividad)"&amp;" · ","")&amp;IF(AND(N($W176)&gt;0,COUNT($I176:$L176)&gt;0),"Con subactividades: deje vacías las semanas (se calculan solas)"&amp;" · ","")&amp;IF((COUNTIF($I176:$L176,"&gt;1")+COUNTIF($I176:$L176,"&lt;0")+COUNTA($I176:$L176)-COUNT($I176:$L176))&gt;0,"Avance fuera de rango 0-100%"&amp;" · ","")&amp;IF(OR(AND($J176&lt;&gt;"",$J176&lt;$I176),AND($K176&lt;&gt;"",$K176&lt;MAX($I176:$J176)),AND($L176&lt;&gt;"",$L176&lt;MAX($I176:$K176))),"Avance semanal decreciente"&amp;" · ","")&amp;IF(AND(ISNUMBER($AN176),$AN176&lt;FechaRef,IF($V176="Sub",N($X176),N($M176))&lt;1),"Vencida"&amp;" · ","")&amp;IF(AND(ObsObligatoria="Sí",ISNUMBER($AN176),$AN176&lt;FechaRef,IF($V176="Sub",N($X176),N($M176))&lt;1,$Q176=""),"Vencida sin observación"&amp;" · ",""),LEN(IF($C176="","Falta el nombre de la actividad"&amp;" · ","")&amp;IF(AND($V176="Sub",N($U176)=0),"Subactividad sin macroactividad arriba"&amp;" · ","")&amp;IF($AM176="","Sin fecha de inicio"&amp;" · ","")&amp;IF($AN176="","Sin fecha límite"&amp;" · ","")&amp;IF(AND(LEFT($C176,11)="[Jefatura] ",N($AL176)=0),"No se encuentra en la hoja de la jefatura (elíjala de nuevo en la lista)"&amp;" · ","")&amp;IF(OR(AND($E176&lt;&gt;"",NOT(ISNUMBER($E176))),AND($F176&lt;&gt;"",NOT(ISNUMBER($F176))),AND($G176&lt;&gt;"",NOT(ISNUMBER($G176)))),"Fecha no válida"&amp;" · ","")&amp;IF(AND(ISNUMBER($AM176),ISNUMBER($AN176),$AM176&gt;$AN176),"Inicio posterior a fecha límite"&amp;" · ","")&amp;IF(AND($V176="Macro",$H176&lt;&gt;"",OR(NOT(ISNUMBER($H176)),$H176&lt;0,$H176&gt;1)),"Peso fuera de rango"&amp;" · ","")&amp;IF(AND($V176="Sub",$H176&lt;&gt;""),"Las subactividades no llevan peso (valen igual dentro de su macroactividad)"&amp;" · ","")&amp;IF(AND(N($W176)&gt;0,COUNT($I176:$L176)&gt;0),"Con subactividades: deje vacías las semanas (se calculan solas)"&amp;" · ","")&amp;IF((COUNTIF($I176:$L176,"&gt;1")+COUNTIF($I176:$L176,"&lt;0")+COUNTA($I176:$L176)-COUNT($I176:$L176))&gt;0,"Avance fuera de rango 0-100%"&amp;" · ","")&amp;IF(OR(AND($J176&lt;&gt;"",$J176&lt;$I176),AND($K176&lt;&gt;"",$K176&lt;MAX($I176:$J176)),AND($L176&lt;&gt;"",$L176&lt;MAX($I176:$K176))),"Avance semanal decreciente"&amp;" · ","")&amp;IF(AND(ISNUMBER($AN176),$AN176&lt;FechaRef,IF($V176="Sub",N($X176),N($M176))&lt;1),"Vencida"&amp;" · ","")&amp;IF(AND(ObsObligatoria="Sí",ISNUMBER($AN176),$AN176&lt;FechaRef,IF($V176="Sub",N($X176),N($M176))&lt;1,$Q176=""),"Vencida sin observación"&amp;" · ",""))-3)))</f>
        <v/>
      </c>
      <c r="S176" s="64">
        <f>IF(NOT((COUNTA($B176:$D176)+COUNTA($G176:$L176)+COUNTA($Q176))&gt;0),"",IF(AND($V176="Sub",N($U176)&gt;0),IF(ISNUMBER(INDEX($AM$5:$AM$1000,$U176-4)),DATE(YEAR(INDEX($AM$5:$AM$1000,$U176-4)),MONTH(INDEX($AM$5:$AM$1000,$U176-4)),1),IF(ISNUMBER(INDEX($AN$5:$AN$1000,$U176-4)),DATE(YEAR(INDEX($AN$5:$AN$1000,$U176-4)),MONTH(INDEX($AN$5:$AN$1000,$U176-4)),1),MesCiclo)),IF(ISNUMBER($AM176),DATE(YEAR($AM176),MONTH($AM176),1),IF(ISNUMBER($AN176),DATE(YEAR($AN176),MONTH($AN176),1),MesCiclo))))</f>
        <v/>
      </c>
      <c r="T176" s="62">
        <f>IF(OR($S176="",$S176&lt;&gt;MesCiclo,$V176&lt;&gt;"Macro"),"",COUNTIFS($S$5:$S176,MesCiclo,$V$5:$V176,"Macro"))</f>
        <v/>
      </c>
      <c r="U176" s="62">
        <f>IF($V176="","",IF($V176="Macro",ROW(),IFERROR(LOOKUP(2,1/($V$5:$V176="Macro"),ROW($V$5:$V176)),0)))</f>
        <v/>
      </c>
      <c r="V176" s="62">
        <f>IF(NOT((COUNTA($B176:$D176)+COUNTA($G176:$L176)+COUNTA($Q176))&gt;0),"",IF($B176="Subactividad","Sub","Macro"))</f>
        <v/>
      </c>
      <c r="W176" s="62">
        <f>IF($V176="Macro",COUNTIFS($U$5:$U$1000,ROW(),$V$5:$V$1000,"Sub"),"")</f>
        <v/>
      </c>
      <c r="X176" s="62">
        <f>IF($V176="","",IF(ISNUMBER($G176),1,IFERROR(LOOKUP(2,1/($I176:$L176&lt;&gt;""),$I176:$L176),0)))</f>
        <v/>
      </c>
      <c r="Y176" s="62">
        <f>IF($V176="","",IF(AND(ISNUMBER($G176),$G176&lt;=IF($S176=MesCiclo,InicioCiclo,$S176+MOD(2-WEEKDAY($S176),7))+6),1,IF(ISNUMBER($I176),$I176,0)))</f>
        <v/>
      </c>
      <c r="Z176" s="62">
        <f>IF($V176="","",IF(AND(ISNUMBER($G176),$G176&lt;=IF($S176=MesCiclo,InicioCiclo,$S176+MOD(2-WEEKDAY($S176),7))+13),1,IF(ISNUMBER($J176),$J176,$Y176)))</f>
        <v/>
      </c>
      <c r="AA176" s="62">
        <f>IF($V176="","",IF(AND(ISNUMBER($G176),$G176&lt;=IF($S176=MesCiclo,InicioCiclo,$S176+MOD(2-WEEKDAY($S176),7))+20),1,IF(ISNUMBER($K176),$K176,$Z176)))</f>
        <v/>
      </c>
      <c r="AB176" s="62">
        <f>IF($V176="","",IF(AND(ISNUMBER($G176),$G176&lt;=IF($S176=MesCiclo,InicioCiclo,$S176+MOD(2-WEEKDAY($S176),7))+27),1,IF(ISNUMBER($L176),$L176,$AA176)))</f>
        <v/>
      </c>
      <c r="AC176" s="62">
        <f>IF($V176="","",IF(AND(ISNUMBER($G176),$G176&lt;=IF($S176=MesCiclo,InicioCiclo,$S176+MOD(2-WEEKDAY($S176),7))+6),1,IF(N($W176)&gt;0,AVERAGEIFS($Y$5:$Y$1000,$U$5:$U$1000,ROW(),$V$5:$V$1000,"Sub"),$Y176)))</f>
        <v/>
      </c>
      <c r="AD176" s="62">
        <f>IF($V176="","",IF(AND(ISNUMBER($G176),$G176&lt;=IF($S176=MesCiclo,InicioCiclo,$S176+MOD(2-WEEKDAY($S176),7))+13),1,IF(N($W176)&gt;0,AVERAGEIFS($Z$5:$Z$1000,$U$5:$U$1000,ROW(),$V$5:$V$1000,"Sub"),$Z176)))</f>
        <v/>
      </c>
      <c r="AE176" s="62">
        <f>IF($V176="","",IF(AND(ISNUMBER($G176),$G176&lt;=IF($S176=MesCiclo,InicioCiclo,$S176+MOD(2-WEEKDAY($S176),7))+20),1,IF(N($W176)&gt;0,AVERAGEIFS($AA$5:$AA$1000,$U$5:$U$1000,ROW(),$V$5:$V$1000,"Sub"),$AA176)))</f>
        <v/>
      </c>
      <c r="AF176" s="62">
        <f>IF($V176="","",IF(AND(ISNUMBER($G176),$G176&lt;=IF($S176=MesCiclo,InicioCiclo,$S176+MOD(2-WEEKDAY($S176),7))+27),1,IF(N($W176)&gt;0,AVERAGEIFS($AB$5:$AB$1000,$U$5:$U$1000,ROW(),$V$5:$V$1000,"Sub"),$AB176)))</f>
        <v/>
      </c>
      <c r="AG176" s="62">
        <f>IF($V176&lt;&gt;"Macro","",IF(COUNTIFS($S$5:$S$1000,$S176,$V$5:$V$1000,"Macro",$H$5:$H$1000,"&gt;0")=0,1/COUNTIFS($S$5:$S$1000,$S176,$V$5:$V$1000,"Macro"),IF(AND(ISNUMBER($H176),N($H176)&gt;0),$H176,SUMIFS($H$5:$H$1000,$S$5:$S$1000,$S176,$V$5:$V$1000,"Macro")/COUNTIFS($S$5:$S$1000,$S176,$V$5:$V$1000,"Macro",$H$5:$H$1000,"&gt;0"))/(COUNTIFS($S$5:$S$1000,$S176,$V$5:$V$1000,"Macro")*SUMIFS($H$5:$H$1000,$S$5:$S$1000,$S176,$V$5:$V$1000,"Macro")/COUNTIFS($S$5:$S$1000,$S176,$V$5:$V$1000,"Macro",$H$5:$H$1000,"&gt;0"))))</f>
        <v/>
      </c>
      <c r="AH176" s="62" t="n"/>
      <c r="AI176" s="62" t="n"/>
      <c r="AJ176" s="62" t="n"/>
      <c r="AK176" s="62" t="n"/>
      <c r="AL176" s="62">
        <f>IF(LEFT($C176,11)="[Jefatura] ",IFERROR(MATCH("Riesgo Normativo|"&amp;MID($C176,12,500),rDname_ADM,0),0),"")</f>
        <v/>
      </c>
      <c r="AM176" s="62">
        <f>IF(N($AL176)&gt;0,INDEX(rIni_ADM,$AL176),IF(ISNUMBER($E176),$E176,""))</f>
        <v/>
      </c>
      <c r="AN176" s="62">
        <f>IF(N($AL176)&gt;0,INDEX(rLim_ADM,$AL176),IF(ISNUMBER($F176),$F176,""))</f>
        <v/>
      </c>
    </row>
    <row r="177">
      <c r="A177" s="56">
        <f>IF(NOT((COUNTA($B177:$D177)+COUNTA($G177:$L177)+COUNTA($Q177))&gt;0),"",IF($V177="Macro",COUNTIFS($V$5:$V177,"Macro",$S$5:$S177,$S177),IF(N($U177)=0,"?",COUNTIFS(INDEX($V$5:$V$1000,1):INDEX($V$5:$V$1000,$U177-4),"Macro",INDEX($S$5:$S$1000,1):INDEX($S$5:$S$1000,$U177-4),INDEX($S$5:$S$1000,$U177-4))&amp;"."&amp;COUNTIFS($U$5:$U177,$U177,$V$5:$V177,"Sub"))))</f>
        <v/>
      </c>
      <c r="B177" s="57" t="n"/>
      <c r="C177" s="58" t="n"/>
      <c r="D177" s="58" t="n"/>
      <c r="E177" s="59">
        <f>IF(N($AL177)&gt;0,INDEX(rIni_ADM,$AL177),"")</f>
        <v/>
      </c>
      <c r="F177" s="59">
        <f>IF(N($AL177)&gt;0,INDEX(rLim_ADM,$AL177),"")</f>
        <v/>
      </c>
      <c r="G177" s="59" t="n"/>
      <c r="H177" s="60" t="n"/>
      <c r="I177" s="60" t="n"/>
      <c r="J177" s="60" t="n"/>
      <c r="K177" s="60" t="n"/>
      <c r="L177" s="60" t="n"/>
      <c r="M177" s="61">
        <f>IF(NOT((COUNTA($B177:$D177)+COUNTA($G177:$L177)+COUNTA($Q177))&gt;0),"",IF($V177="Sub",IFERROR($X177/INDEX($W$5:$W$1000,$U177-4),""),IF(ISNUMBER($G177),1,IF(N($W177)&gt;0,AVERAGEIFS($X$5:$X$1000,$U$5:$U$1000,ROW(),$V$5:$V$1000,"Sub"),$X177))))</f>
        <v/>
      </c>
      <c r="N177" s="56">
        <f>IF(OR($M177="",$V177="Sub"),"",IF($M177&gt;=1,"Completado",IF($M177&gt;0,"En curso","Pendiente")))</f>
        <v/>
      </c>
      <c r="O177" s="56">
        <f>IF(OR(NOT((COUNTA($B177:$D177)+COUNTA($G177:$L177)+COUNTA($Q177))&gt;0),$V177="Sub"),"",IF(ISNUMBER($G177),IF(AND(ISNUMBER($AN177),$G177&gt;$AN177),"Cumplida con "&amp;($G177-$AN177)&amp;IF($G177-$AN177=1," día"," días")&amp;" de retraso","Cumplida"),IF(N($M177)&gt;=1,"Cumplida",IF(NOT(ISNUMBER($AN177)),"Sin fecha límite",IF($AN177&lt;FechaRef,"Vencida hace "&amp;(FechaRef-$AN177)&amp;IF(FechaRef-$AN177=1," día"," días"),IF($AN177=FechaRef,"Vence hoy",IF($AN177-FechaRef&lt;=DiasAlerta,"Vence en "&amp;($AN177-FechaRef)&amp;IF($AN177-FechaRef=1," día"," días"),"En plazo")))))))</f>
        <v/>
      </c>
      <c r="P177" s="62" t="n"/>
      <c r="Q177" s="58" t="n"/>
      <c r="R177" s="63">
        <f>IF(NOT((COUNTA($B177:$D177)+COUNTA($G177:$L177)+COUNTA($Q177))&gt;0),"",IF((IF($C177="","Falta el nombre de la actividad"&amp;" · ","")&amp;IF(AND($V177="Sub",N($U177)=0),"Subactividad sin macroactividad arriba"&amp;" · ","")&amp;IF($AM177="","Sin fecha de inicio"&amp;" · ","")&amp;IF($AN177="","Sin fecha límite"&amp;" · ","")&amp;IF(AND(LEFT($C177,11)="[Jefatura] ",N($AL177)=0),"No se encuentra en la hoja de la jefatura (elíjala de nuevo en la lista)"&amp;" · ","")&amp;IF(OR(AND($E177&lt;&gt;"",NOT(ISNUMBER($E177))),AND($F177&lt;&gt;"",NOT(ISNUMBER($F177))),AND($G177&lt;&gt;"",NOT(ISNUMBER($G177)))),"Fecha no válida"&amp;" · ","")&amp;IF(AND(ISNUMBER($AM177),ISNUMBER($AN177),$AM177&gt;$AN177),"Inicio posterior a fecha límite"&amp;" · ","")&amp;IF(AND($V177="Macro",$H177&lt;&gt;"",OR(NOT(ISNUMBER($H177)),$H177&lt;0,$H177&gt;1)),"Peso fuera de rango"&amp;" · ","")&amp;IF(AND($V177="Sub",$H177&lt;&gt;""),"Las subactividades no llevan peso (valen igual dentro de su macroactividad)"&amp;" · ","")&amp;IF(AND(N($W177)&gt;0,COUNT($I177:$L177)&gt;0),"Con subactividades: deje vacías las semanas (se calculan solas)"&amp;" · ","")&amp;IF((COUNTIF($I177:$L177,"&gt;1")+COUNTIF($I177:$L177,"&lt;0")+COUNTA($I177:$L177)-COUNT($I177:$L177))&gt;0,"Avance fuera de rango 0-100%"&amp;" · ","")&amp;IF(OR(AND($J177&lt;&gt;"",$J177&lt;$I177),AND($K177&lt;&gt;"",$K177&lt;MAX($I177:$J177)),AND($L177&lt;&gt;"",$L177&lt;MAX($I177:$K177))),"Avance semanal decreciente"&amp;" · ","")&amp;IF(AND(ISNUMBER($AN177),$AN177&lt;FechaRef,IF($V177="Sub",N($X177),N($M177))&lt;1),"Vencida"&amp;" · ","")&amp;IF(AND(ObsObligatoria="Sí",ISNUMBER($AN177),$AN177&lt;FechaRef,IF($V177="Sub",N($X177),N($M177))&lt;1,$Q177=""),"Vencida sin observación"&amp;" · ",""))="","✔ OK","⚠ "&amp;LEFT(IF($C177="","Falta el nombre de la actividad"&amp;" · ","")&amp;IF(AND($V177="Sub",N($U177)=0),"Subactividad sin macroactividad arriba"&amp;" · ","")&amp;IF($AM177="","Sin fecha de inicio"&amp;" · ","")&amp;IF($AN177="","Sin fecha límite"&amp;" · ","")&amp;IF(AND(LEFT($C177,11)="[Jefatura] ",N($AL177)=0),"No se encuentra en la hoja de la jefatura (elíjala de nuevo en la lista)"&amp;" · ","")&amp;IF(OR(AND($E177&lt;&gt;"",NOT(ISNUMBER($E177))),AND($F177&lt;&gt;"",NOT(ISNUMBER($F177))),AND($G177&lt;&gt;"",NOT(ISNUMBER($G177)))),"Fecha no válida"&amp;" · ","")&amp;IF(AND(ISNUMBER($AM177),ISNUMBER($AN177),$AM177&gt;$AN177),"Inicio posterior a fecha límite"&amp;" · ","")&amp;IF(AND($V177="Macro",$H177&lt;&gt;"",OR(NOT(ISNUMBER($H177)),$H177&lt;0,$H177&gt;1)),"Peso fuera de rango"&amp;" · ","")&amp;IF(AND($V177="Sub",$H177&lt;&gt;""),"Las subactividades no llevan peso (valen igual dentro de su macroactividad)"&amp;" · ","")&amp;IF(AND(N($W177)&gt;0,COUNT($I177:$L177)&gt;0),"Con subactividades: deje vacías las semanas (se calculan solas)"&amp;" · ","")&amp;IF((COUNTIF($I177:$L177,"&gt;1")+COUNTIF($I177:$L177,"&lt;0")+COUNTA($I177:$L177)-COUNT($I177:$L177))&gt;0,"Avance fuera de rango 0-100%"&amp;" · ","")&amp;IF(OR(AND($J177&lt;&gt;"",$J177&lt;$I177),AND($K177&lt;&gt;"",$K177&lt;MAX($I177:$J177)),AND($L177&lt;&gt;"",$L177&lt;MAX($I177:$K177))),"Avance semanal decreciente"&amp;" · ","")&amp;IF(AND(ISNUMBER($AN177),$AN177&lt;FechaRef,IF($V177="Sub",N($X177),N($M177))&lt;1),"Vencida"&amp;" · ","")&amp;IF(AND(ObsObligatoria="Sí",ISNUMBER($AN177),$AN177&lt;FechaRef,IF($V177="Sub",N($X177),N($M177))&lt;1,$Q177=""),"Vencida sin observación"&amp;" · ",""),LEN(IF($C177="","Falta el nombre de la actividad"&amp;" · ","")&amp;IF(AND($V177="Sub",N($U177)=0),"Subactividad sin macroactividad arriba"&amp;" · ","")&amp;IF($AM177="","Sin fecha de inicio"&amp;" · ","")&amp;IF($AN177="","Sin fecha límite"&amp;" · ","")&amp;IF(AND(LEFT($C177,11)="[Jefatura] ",N($AL177)=0),"No se encuentra en la hoja de la jefatura (elíjala de nuevo en la lista)"&amp;" · ","")&amp;IF(OR(AND($E177&lt;&gt;"",NOT(ISNUMBER($E177))),AND($F177&lt;&gt;"",NOT(ISNUMBER($F177))),AND($G177&lt;&gt;"",NOT(ISNUMBER($G177)))),"Fecha no válida"&amp;" · ","")&amp;IF(AND(ISNUMBER($AM177),ISNUMBER($AN177),$AM177&gt;$AN177),"Inicio posterior a fecha límite"&amp;" · ","")&amp;IF(AND($V177="Macro",$H177&lt;&gt;"",OR(NOT(ISNUMBER($H177)),$H177&lt;0,$H177&gt;1)),"Peso fuera de rango"&amp;" · ","")&amp;IF(AND($V177="Sub",$H177&lt;&gt;""),"Las subactividades no llevan peso (valen igual dentro de su macroactividad)"&amp;" · ","")&amp;IF(AND(N($W177)&gt;0,COUNT($I177:$L177)&gt;0),"Con subactividades: deje vacías las semanas (se calculan solas)"&amp;" · ","")&amp;IF((COUNTIF($I177:$L177,"&gt;1")+COUNTIF($I177:$L177,"&lt;0")+COUNTA($I177:$L177)-COUNT($I177:$L177))&gt;0,"Avance fuera de rango 0-100%"&amp;" · ","")&amp;IF(OR(AND($J177&lt;&gt;"",$J177&lt;$I177),AND($K177&lt;&gt;"",$K177&lt;MAX($I177:$J177)),AND($L177&lt;&gt;"",$L177&lt;MAX($I177:$K177))),"Avance semanal decreciente"&amp;" · ","")&amp;IF(AND(ISNUMBER($AN177),$AN177&lt;FechaRef,IF($V177="Sub",N($X177),N($M177))&lt;1),"Vencida"&amp;" · ","")&amp;IF(AND(ObsObligatoria="Sí",ISNUMBER($AN177),$AN177&lt;FechaRef,IF($V177="Sub",N($X177),N($M177))&lt;1,$Q177=""),"Vencida sin observación"&amp;" · ",""))-3)))</f>
        <v/>
      </c>
      <c r="S177" s="64">
        <f>IF(NOT((COUNTA($B177:$D177)+COUNTA($G177:$L177)+COUNTA($Q177))&gt;0),"",IF(AND($V177="Sub",N($U177)&gt;0),IF(ISNUMBER(INDEX($AM$5:$AM$1000,$U177-4)),DATE(YEAR(INDEX($AM$5:$AM$1000,$U177-4)),MONTH(INDEX($AM$5:$AM$1000,$U177-4)),1),IF(ISNUMBER(INDEX($AN$5:$AN$1000,$U177-4)),DATE(YEAR(INDEX($AN$5:$AN$1000,$U177-4)),MONTH(INDEX($AN$5:$AN$1000,$U177-4)),1),MesCiclo)),IF(ISNUMBER($AM177),DATE(YEAR($AM177),MONTH($AM177),1),IF(ISNUMBER($AN177),DATE(YEAR($AN177),MONTH($AN177),1),MesCiclo))))</f>
        <v/>
      </c>
      <c r="T177" s="62">
        <f>IF(OR($S177="",$S177&lt;&gt;MesCiclo,$V177&lt;&gt;"Macro"),"",COUNTIFS($S$5:$S177,MesCiclo,$V$5:$V177,"Macro"))</f>
        <v/>
      </c>
      <c r="U177" s="62">
        <f>IF($V177="","",IF($V177="Macro",ROW(),IFERROR(LOOKUP(2,1/($V$5:$V177="Macro"),ROW($V$5:$V177)),0)))</f>
        <v/>
      </c>
      <c r="V177" s="62">
        <f>IF(NOT((COUNTA($B177:$D177)+COUNTA($G177:$L177)+COUNTA($Q177))&gt;0),"",IF($B177="Subactividad","Sub","Macro"))</f>
        <v/>
      </c>
      <c r="W177" s="62">
        <f>IF($V177="Macro",COUNTIFS($U$5:$U$1000,ROW(),$V$5:$V$1000,"Sub"),"")</f>
        <v/>
      </c>
      <c r="X177" s="62">
        <f>IF($V177="","",IF(ISNUMBER($G177),1,IFERROR(LOOKUP(2,1/($I177:$L177&lt;&gt;""),$I177:$L177),0)))</f>
        <v/>
      </c>
      <c r="Y177" s="62">
        <f>IF($V177="","",IF(AND(ISNUMBER($G177),$G177&lt;=IF($S177=MesCiclo,InicioCiclo,$S177+MOD(2-WEEKDAY($S177),7))+6),1,IF(ISNUMBER($I177),$I177,0)))</f>
        <v/>
      </c>
      <c r="Z177" s="62">
        <f>IF($V177="","",IF(AND(ISNUMBER($G177),$G177&lt;=IF($S177=MesCiclo,InicioCiclo,$S177+MOD(2-WEEKDAY($S177),7))+13),1,IF(ISNUMBER($J177),$J177,$Y177)))</f>
        <v/>
      </c>
      <c r="AA177" s="62">
        <f>IF($V177="","",IF(AND(ISNUMBER($G177),$G177&lt;=IF($S177=MesCiclo,InicioCiclo,$S177+MOD(2-WEEKDAY($S177),7))+20),1,IF(ISNUMBER($K177),$K177,$Z177)))</f>
        <v/>
      </c>
      <c r="AB177" s="62">
        <f>IF($V177="","",IF(AND(ISNUMBER($G177),$G177&lt;=IF($S177=MesCiclo,InicioCiclo,$S177+MOD(2-WEEKDAY($S177),7))+27),1,IF(ISNUMBER($L177),$L177,$AA177)))</f>
        <v/>
      </c>
      <c r="AC177" s="62">
        <f>IF($V177="","",IF(AND(ISNUMBER($G177),$G177&lt;=IF($S177=MesCiclo,InicioCiclo,$S177+MOD(2-WEEKDAY($S177),7))+6),1,IF(N($W177)&gt;0,AVERAGEIFS($Y$5:$Y$1000,$U$5:$U$1000,ROW(),$V$5:$V$1000,"Sub"),$Y177)))</f>
        <v/>
      </c>
      <c r="AD177" s="62">
        <f>IF($V177="","",IF(AND(ISNUMBER($G177),$G177&lt;=IF($S177=MesCiclo,InicioCiclo,$S177+MOD(2-WEEKDAY($S177),7))+13),1,IF(N($W177)&gt;0,AVERAGEIFS($Z$5:$Z$1000,$U$5:$U$1000,ROW(),$V$5:$V$1000,"Sub"),$Z177)))</f>
        <v/>
      </c>
      <c r="AE177" s="62">
        <f>IF($V177="","",IF(AND(ISNUMBER($G177),$G177&lt;=IF($S177=MesCiclo,InicioCiclo,$S177+MOD(2-WEEKDAY($S177),7))+20),1,IF(N($W177)&gt;0,AVERAGEIFS($AA$5:$AA$1000,$U$5:$U$1000,ROW(),$V$5:$V$1000,"Sub"),$AA177)))</f>
        <v/>
      </c>
      <c r="AF177" s="62">
        <f>IF($V177="","",IF(AND(ISNUMBER($G177),$G177&lt;=IF($S177=MesCiclo,InicioCiclo,$S177+MOD(2-WEEKDAY($S177),7))+27),1,IF(N($W177)&gt;0,AVERAGEIFS($AB$5:$AB$1000,$U$5:$U$1000,ROW(),$V$5:$V$1000,"Sub"),$AB177)))</f>
        <v/>
      </c>
      <c r="AG177" s="62">
        <f>IF($V177&lt;&gt;"Macro","",IF(COUNTIFS($S$5:$S$1000,$S177,$V$5:$V$1000,"Macro",$H$5:$H$1000,"&gt;0")=0,1/COUNTIFS($S$5:$S$1000,$S177,$V$5:$V$1000,"Macro"),IF(AND(ISNUMBER($H177),N($H177)&gt;0),$H177,SUMIFS($H$5:$H$1000,$S$5:$S$1000,$S177,$V$5:$V$1000,"Macro")/COUNTIFS($S$5:$S$1000,$S177,$V$5:$V$1000,"Macro",$H$5:$H$1000,"&gt;0"))/(COUNTIFS($S$5:$S$1000,$S177,$V$5:$V$1000,"Macro")*SUMIFS($H$5:$H$1000,$S$5:$S$1000,$S177,$V$5:$V$1000,"Macro")/COUNTIFS($S$5:$S$1000,$S177,$V$5:$V$1000,"Macro",$H$5:$H$1000,"&gt;0"))))</f>
        <v/>
      </c>
      <c r="AH177" s="62" t="n"/>
      <c r="AI177" s="62" t="n"/>
      <c r="AJ177" s="62" t="n"/>
      <c r="AK177" s="62" t="n"/>
      <c r="AL177" s="62">
        <f>IF(LEFT($C177,11)="[Jefatura] ",IFERROR(MATCH("Riesgo Normativo|"&amp;MID($C177,12,500),rDname_ADM,0),0),"")</f>
        <v/>
      </c>
      <c r="AM177" s="62">
        <f>IF(N($AL177)&gt;0,INDEX(rIni_ADM,$AL177),IF(ISNUMBER($E177),$E177,""))</f>
        <v/>
      </c>
      <c r="AN177" s="62">
        <f>IF(N($AL177)&gt;0,INDEX(rLim_ADM,$AL177),IF(ISNUMBER($F177),$F177,""))</f>
        <v/>
      </c>
    </row>
    <row r="178">
      <c r="A178" s="56">
        <f>IF(NOT((COUNTA($B178:$D178)+COUNTA($G178:$L178)+COUNTA($Q178))&gt;0),"",IF($V178="Macro",COUNTIFS($V$5:$V178,"Macro",$S$5:$S178,$S178),IF(N($U178)=0,"?",COUNTIFS(INDEX($V$5:$V$1000,1):INDEX($V$5:$V$1000,$U178-4),"Macro",INDEX($S$5:$S$1000,1):INDEX($S$5:$S$1000,$U178-4),INDEX($S$5:$S$1000,$U178-4))&amp;"."&amp;COUNTIFS($U$5:$U178,$U178,$V$5:$V178,"Sub"))))</f>
        <v/>
      </c>
      <c r="B178" s="57" t="n"/>
      <c r="C178" s="58" t="n"/>
      <c r="D178" s="58" t="n"/>
      <c r="E178" s="59">
        <f>IF(N($AL178)&gt;0,INDEX(rIni_ADM,$AL178),"")</f>
        <v/>
      </c>
      <c r="F178" s="59">
        <f>IF(N($AL178)&gt;0,INDEX(rLim_ADM,$AL178),"")</f>
        <v/>
      </c>
      <c r="G178" s="59" t="n"/>
      <c r="H178" s="60" t="n"/>
      <c r="I178" s="60" t="n"/>
      <c r="J178" s="60" t="n"/>
      <c r="K178" s="60" t="n"/>
      <c r="L178" s="60" t="n"/>
      <c r="M178" s="61">
        <f>IF(NOT((COUNTA($B178:$D178)+COUNTA($G178:$L178)+COUNTA($Q178))&gt;0),"",IF($V178="Sub",IFERROR($X178/INDEX($W$5:$W$1000,$U178-4),""),IF(ISNUMBER($G178),1,IF(N($W178)&gt;0,AVERAGEIFS($X$5:$X$1000,$U$5:$U$1000,ROW(),$V$5:$V$1000,"Sub"),$X178))))</f>
        <v/>
      </c>
      <c r="N178" s="56">
        <f>IF(OR($M178="",$V178="Sub"),"",IF($M178&gt;=1,"Completado",IF($M178&gt;0,"En curso","Pendiente")))</f>
        <v/>
      </c>
      <c r="O178" s="56">
        <f>IF(OR(NOT((COUNTA($B178:$D178)+COUNTA($G178:$L178)+COUNTA($Q178))&gt;0),$V178="Sub"),"",IF(ISNUMBER($G178),IF(AND(ISNUMBER($AN178),$G178&gt;$AN178),"Cumplida con "&amp;($G178-$AN178)&amp;IF($G178-$AN178=1," día"," días")&amp;" de retraso","Cumplida"),IF(N($M178)&gt;=1,"Cumplida",IF(NOT(ISNUMBER($AN178)),"Sin fecha límite",IF($AN178&lt;FechaRef,"Vencida hace "&amp;(FechaRef-$AN178)&amp;IF(FechaRef-$AN178=1," día"," días"),IF($AN178=FechaRef,"Vence hoy",IF($AN178-FechaRef&lt;=DiasAlerta,"Vence en "&amp;($AN178-FechaRef)&amp;IF($AN178-FechaRef=1," día"," días"),"En plazo")))))))</f>
        <v/>
      </c>
      <c r="P178" s="62" t="n"/>
      <c r="Q178" s="58" t="n"/>
      <c r="R178" s="63">
        <f>IF(NOT((COUNTA($B178:$D178)+COUNTA($G178:$L178)+COUNTA($Q178))&gt;0),"",IF((IF($C178="","Falta el nombre de la actividad"&amp;" · ","")&amp;IF(AND($V178="Sub",N($U178)=0),"Subactividad sin macroactividad arriba"&amp;" · ","")&amp;IF($AM178="","Sin fecha de inicio"&amp;" · ","")&amp;IF($AN178="","Sin fecha límite"&amp;" · ","")&amp;IF(AND(LEFT($C178,11)="[Jefatura] ",N($AL178)=0),"No se encuentra en la hoja de la jefatura (elíjala de nuevo en la lista)"&amp;" · ","")&amp;IF(OR(AND($E178&lt;&gt;"",NOT(ISNUMBER($E178))),AND($F178&lt;&gt;"",NOT(ISNUMBER($F178))),AND($G178&lt;&gt;"",NOT(ISNUMBER($G178)))),"Fecha no válida"&amp;" · ","")&amp;IF(AND(ISNUMBER($AM178),ISNUMBER($AN178),$AM178&gt;$AN178),"Inicio posterior a fecha límite"&amp;" · ","")&amp;IF(AND($V178="Macro",$H178&lt;&gt;"",OR(NOT(ISNUMBER($H178)),$H178&lt;0,$H178&gt;1)),"Peso fuera de rango"&amp;" · ","")&amp;IF(AND($V178="Sub",$H178&lt;&gt;""),"Las subactividades no llevan peso (valen igual dentro de su macroactividad)"&amp;" · ","")&amp;IF(AND(N($W178)&gt;0,COUNT($I178:$L178)&gt;0),"Con subactividades: deje vacías las semanas (se calculan solas)"&amp;" · ","")&amp;IF((COUNTIF($I178:$L178,"&gt;1")+COUNTIF($I178:$L178,"&lt;0")+COUNTA($I178:$L178)-COUNT($I178:$L178))&gt;0,"Avance fuera de rango 0-100%"&amp;" · ","")&amp;IF(OR(AND($J178&lt;&gt;"",$J178&lt;$I178),AND($K178&lt;&gt;"",$K178&lt;MAX($I178:$J178)),AND($L178&lt;&gt;"",$L178&lt;MAX($I178:$K178))),"Avance semanal decreciente"&amp;" · ","")&amp;IF(AND(ISNUMBER($AN178),$AN178&lt;FechaRef,IF($V178="Sub",N($X178),N($M178))&lt;1),"Vencida"&amp;" · ","")&amp;IF(AND(ObsObligatoria="Sí",ISNUMBER($AN178),$AN178&lt;FechaRef,IF($V178="Sub",N($X178),N($M178))&lt;1,$Q178=""),"Vencida sin observación"&amp;" · ",""))="","✔ OK","⚠ "&amp;LEFT(IF($C178="","Falta el nombre de la actividad"&amp;" · ","")&amp;IF(AND($V178="Sub",N($U178)=0),"Subactividad sin macroactividad arriba"&amp;" · ","")&amp;IF($AM178="","Sin fecha de inicio"&amp;" · ","")&amp;IF($AN178="","Sin fecha límite"&amp;" · ","")&amp;IF(AND(LEFT($C178,11)="[Jefatura] ",N($AL178)=0),"No se encuentra en la hoja de la jefatura (elíjala de nuevo en la lista)"&amp;" · ","")&amp;IF(OR(AND($E178&lt;&gt;"",NOT(ISNUMBER($E178))),AND($F178&lt;&gt;"",NOT(ISNUMBER($F178))),AND($G178&lt;&gt;"",NOT(ISNUMBER($G178)))),"Fecha no válida"&amp;" · ","")&amp;IF(AND(ISNUMBER($AM178),ISNUMBER($AN178),$AM178&gt;$AN178),"Inicio posterior a fecha límite"&amp;" · ","")&amp;IF(AND($V178="Macro",$H178&lt;&gt;"",OR(NOT(ISNUMBER($H178)),$H178&lt;0,$H178&gt;1)),"Peso fuera de rango"&amp;" · ","")&amp;IF(AND($V178="Sub",$H178&lt;&gt;""),"Las subactividades no llevan peso (valen igual dentro de su macroactividad)"&amp;" · ","")&amp;IF(AND(N($W178)&gt;0,COUNT($I178:$L178)&gt;0),"Con subactividades: deje vacías las semanas (se calculan solas)"&amp;" · ","")&amp;IF((COUNTIF($I178:$L178,"&gt;1")+COUNTIF($I178:$L178,"&lt;0")+COUNTA($I178:$L178)-COUNT($I178:$L178))&gt;0,"Avance fuera de rango 0-100%"&amp;" · ","")&amp;IF(OR(AND($J178&lt;&gt;"",$J178&lt;$I178),AND($K178&lt;&gt;"",$K178&lt;MAX($I178:$J178)),AND($L178&lt;&gt;"",$L178&lt;MAX($I178:$K178))),"Avance semanal decreciente"&amp;" · ","")&amp;IF(AND(ISNUMBER($AN178),$AN178&lt;FechaRef,IF($V178="Sub",N($X178),N($M178))&lt;1),"Vencida"&amp;" · ","")&amp;IF(AND(ObsObligatoria="Sí",ISNUMBER($AN178),$AN178&lt;FechaRef,IF($V178="Sub",N($X178),N($M178))&lt;1,$Q178=""),"Vencida sin observación"&amp;" · ",""),LEN(IF($C178="","Falta el nombre de la actividad"&amp;" · ","")&amp;IF(AND($V178="Sub",N($U178)=0),"Subactividad sin macroactividad arriba"&amp;" · ","")&amp;IF($AM178="","Sin fecha de inicio"&amp;" · ","")&amp;IF($AN178="","Sin fecha límite"&amp;" · ","")&amp;IF(AND(LEFT($C178,11)="[Jefatura] ",N($AL178)=0),"No se encuentra en la hoja de la jefatura (elíjala de nuevo en la lista)"&amp;" · ","")&amp;IF(OR(AND($E178&lt;&gt;"",NOT(ISNUMBER($E178))),AND($F178&lt;&gt;"",NOT(ISNUMBER($F178))),AND($G178&lt;&gt;"",NOT(ISNUMBER($G178)))),"Fecha no válida"&amp;" · ","")&amp;IF(AND(ISNUMBER($AM178),ISNUMBER($AN178),$AM178&gt;$AN178),"Inicio posterior a fecha límite"&amp;" · ","")&amp;IF(AND($V178="Macro",$H178&lt;&gt;"",OR(NOT(ISNUMBER($H178)),$H178&lt;0,$H178&gt;1)),"Peso fuera de rango"&amp;" · ","")&amp;IF(AND($V178="Sub",$H178&lt;&gt;""),"Las subactividades no llevan peso (valen igual dentro de su macroactividad)"&amp;" · ","")&amp;IF(AND(N($W178)&gt;0,COUNT($I178:$L178)&gt;0),"Con subactividades: deje vacías las semanas (se calculan solas)"&amp;" · ","")&amp;IF((COUNTIF($I178:$L178,"&gt;1")+COUNTIF($I178:$L178,"&lt;0")+COUNTA($I178:$L178)-COUNT($I178:$L178))&gt;0,"Avance fuera de rango 0-100%"&amp;" · ","")&amp;IF(OR(AND($J178&lt;&gt;"",$J178&lt;$I178),AND($K178&lt;&gt;"",$K178&lt;MAX($I178:$J178)),AND($L178&lt;&gt;"",$L178&lt;MAX($I178:$K178))),"Avance semanal decreciente"&amp;" · ","")&amp;IF(AND(ISNUMBER($AN178),$AN178&lt;FechaRef,IF($V178="Sub",N($X178),N($M178))&lt;1),"Vencida"&amp;" · ","")&amp;IF(AND(ObsObligatoria="Sí",ISNUMBER($AN178),$AN178&lt;FechaRef,IF($V178="Sub",N($X178),N($M178))&lt;1,$Q178=""),"Vencida sin observación"&amp;" · ",""))-3)))</f>
        <v/>
      </c>
      <c r="S178" s="64">
        <f>IF(NOT((COUNTA($B178:$D178)+COUNTA($G178:$L178)+COUNTA($Q178))&gt;0),"",IF(AND($V178="Sub",N($U178)&gt;0),IF(ISNUMBER(INDEX($AM$5:$AM$1000,$U178-4)),DATE(YEAR(INDEX($AM$5:$AM$1000,$U178-4)),MONTH(INDEX($AM$5:$AM$1000,$U178-4)),1),IF(ISNUMBER(INDEX($AN$5:$AN$1000,$U178-4)),DATE(YEAR(INDEX($AN$5:$AN$1000,$U178-4)),MONTH(INDEX($AN$5:$AN$1000,$U178-4)),1),MesCiclo)),IF(ISNUMBER($AM178),DATE(YEAR($AM178),MONTH($AM178),1),IF(ISNUMBER($AN178),DATE(YEAR($AN178),MONTH($AN178),1),MesCiclo))))</f>
        <v/>
      </c>
      <c r="T178" s="62">
        <f>IF(OR($S178="",$S178&lt;&gt;MesCiclo,$V178&lt;&gt;"Macro"),"",COUNTIFS($S$5:$S178,MesCiclo,$V$5:$V178,"Macro"))</f>
        <v/>
      </c>
      <c r="U178" s="62">
        <f>IF($V178="","",IF($V178="Macro",ROW(),IFERROR(LOOKUP(2,1/($V$5:$V178="Macro"),ROW($V$5:$V178)),0)))</f>
        <v/>
      </c>
      <c r="V178" s="62">
        <f>IF(NOT((COUNTA($B178:$D178)+COUNTA($G178:$L178)+COUNTA($Q178))&gt;0),"",IF($B178="Subactividad","Sub","Macro"))</f>
        <v/>
      </c>
      <c r="W178" s="62">
        <f>IF($V178="Macro",COUNTIFS($U$5:$U$1000,ROW(),$V$5:$V$1000,"Sub"),"")</f>
        <v/>
      </c>
      <c r="X178" s="62">
        <f>IF($V178="","",IF(ISNUMBER($G178),1,IFERROR(LOOKUP(2,1/($I178:$L178&lt;&gt;""),$I178:$L178),0)))</f>
        <v/>
      </c>
      <c r="Y178" s="62">
        <f>IF($V178="","",IF(AND(ISNUMBER($G178),$G178&lt;=IF($S178=MesCiclo,InicioCiclo,$S178+MOD(2-WEEKDAY($S178),7))+6),1,IF(ISNUMBER($I178),$I178,0)))</f>
        <v/>
      </c>
      <c r="Z178" s="62">
        <f>IF($V178="","",IF(AND(ISNUMBER($G178),$G178&lt;=IF($S178=MesCiclo,InicioCiclo,$S178+MOD(2-WEEKDAY($S178),7))+13),1,IF(ISNUMBER($J178),$J178,$Y178)))</f>
        <v/>
      </c>
      <c r="AA178" s="62">
        <f>IF($V178="","",IF(AND(ISNUMBER($G178),$G178&lt;=IF($S178=MesCiclo,InicioCiclo,$S178+MOD(2-WEEKDAY($S178),7))+20),1,IF(ISNUMBER($K178),$K178,$Z178)))</f>
        <v/>
      </c>
      <c r="AB178" s="62">
        <f>IF($V178="","",IF(AND(ISNUMBER($G178),$G178&lt;=IF($S178=MesCiclo,InicioCiclo,$S178+MOD(2-WEEKDAY($S178),7))+27),1,IF(ISNUMBER($L178),$L178,$AA178)))</f>
        <v/>
      </c>
      <c r="AC178" s="62">
        <f>IF($V178="","",IF(AND(ISNUMBER($G178),$G178&lt;=IF($S178=MesCiclo,InicioCiclo,$S178+MOD(2-WEEKDAY($S178),7))+6),1,IF(N($W178)&gt;0,AVERAGEIFS($Y$5:$Y$1000,$U$5:$U$1000,ROW(),$V$5:$V$1000,"Sub"),$Y178)))</f>
        <v/>
      </c>
      <c r="AD178" s="62">
        <f>IF($V178="","",IF(AND(ISNUMBER($G178),$G178&lt;=IF($S178=MesCiclo,InicioCiclo,$S178+MOD(2-WEEKDAY($S178),7))+13),1,IF(N($W178)&gt;0,AVERAGEIFS($Z$5:$Z$1000,$U$5:$U$1000,ROW(),$V$5:$V$1000,"Sub"),$Z178)))</f>
        <v/>
      </c>
      <c r="AE178" s="62">
        <f>IF($V178="","",IF(AND(ISNUMBER($G178),$G178&lt;=IF($S178=MesCiclo,InicioCiclo,$S178+MOD(2-WEEKDAY($S178),7))+20),1,IF(N($W178)&gt;0,AVERAGEIFS($AA$5:$AA$1000,$U$5:$U$1000,ROW(),$V$5:$V$1000,"Sub"),$AA178)))</f>
        <v/>
      </c>
      <c r="AF178" s="62">
        <f>IF($V178="","",IF(AND(ISNUMBER($G178),$G178&lt;=IF($S178=MesCiclo,InicioCiclo,$S178+MOD(2-WEEKDAY($S178),7))+27),1,IF(N($W178)&gt;0,AVERAGEIFS($AB$5:$AB$1000,$U$5:$U$1000,ROW(),$V$5:$V$1000,"Sub"),$AB178)))</f>
        <v/>
      </c>
      <c r="AG178" s="62">
        <f>IF($V178&lt;&gt;"Macro","",IF(COUNTIFS($S$5:$S$1000,$S178,$V$5:$V$1000,"Macro",$H$5:$H$1000,"&gt;0")=0,1/COUNTIFS($S$5:$S$1000,$S178,$V$5:$V$1000,"Macro"),IF(AND(ISNUMBER($H178),N($H178)&gt;0),$H178,SUMIFS($H$5:$H$1000,$S$5:$S$1000,$S178,$V$5:$V$1000,"Macro")/COUNTIFS($S$5:$S$1000,$S178,$V$5:$V$1000,"Macro",$H$5:$H$1000,"&gt;0"))/(COUNTIFS($S$5:$S$1000,$S178,$V$5:$V$1000,"Macro")*SUMIFS($H$5:$H$1000,$S$5:$S$1000,$S178,$V$5:$V$1000,"Macro")/COUNTIFS($S$5:$S$1000,$S178,$V$5:$V$1000,"Macro",$H$5:$H$1000,"&gt;0"))))</f>
        <v/>
      </c>
      <c r="AH178" s="62" t="n"/>
      <c r="AI178" s="62" t="n"/>
      <c r="AJ178" s="62" t="n"/>
      <c r="AK178" s="62" t="n"/>
      <c r="AL178" s="62">
        <f>IF(LEFT($C178,11)="[Jefatura] ",IFERROR(MATCH("Riesgo Normativo|"&amp;MID($C178,12,500),rDname_ADM,0),0),"")</f>
        <v/>
      </c>
      <c r="AM178" s="62">
        <f>IF(N($AL178)&gt;0,INDEX(rIni_ADM,$AL178),IF(ISNUMBER($E178),$E178,""))</f>
        <v/>
      </c>
      <c r="AN178" s="62">
        <f>IF(N($AL178)&gt;0,INDEX(rLim_ADM,$AL178),IF(ISNUMBER($F178),$F178,""))</f>
        <v/>
      </c>
    </row>
    <row r="179">
      <c r="A179" s="56">
        <f>IF(NOT((COUNTA($B179:$D179)+COUNTA($G179:$L179)+COUNTA($Q179))&gt;0),"",IF($V179="Macro",COUNTIFS($V$5:$V179,"Macro",$S$5:$S179,$S179),IF(N($U179)=0,"?",COUNTIFS(INDEX($V$5:$V$1000,1):INDEX($V$5:$V$1000,$U179-4),"Macro",INDEX($S$5:$S$1000,1):INDEX($S$5:$S$1000,$U179-4),INDEX($S$5:$S$1000,$U179-4))&amp;"."&amp;COUNTIFS($U$5:$U179,$U179,$V$5:$V179,"Sub"))))</f>
        <v/>
      </c>
      <c r="B179" s="57" t="n"/>
      <c r="C179" s="58" t="n"/>
      <c r="D179" s="58" t="n"/>
      <c r="E179" s="59">
        <f>IF(N($AL179)&gt;0,INDEX(rIni_ADM,$AL179),"")</f>
        <v/>
      </c>
      <c r="F179" s="59">
        <f>IF(N($AL179)&gt;0,INDEX(rLim_ADM,$AL179),"")</f>
        <v/>
      </c>
      <c r="G179" s="59" t="n"/>
      <c r="H179" s="60" t="n"/>
      <c r="I179" s="60" t="n"/>
      <c r="J179" s="60" t="n"/>
      <c r="K179" s="60" t="n"/>
      <c r="L179" s="60" t="n"/>
      <c r="M179" s="61">
        <f>IF(NOT((COUNTA($B179:$D179)+COUNTA($G179:$L179)+COUNTA($Q179))&gt;0),"",IF($V179="Sub",IFERROR($X179/INDEX($W$5:$W$1000,$U179-4),""),IF(ISNUMBER($G179),1,IF(N($W179)&gt;0,AVERAGEIFS($X$5:$X$1000,$U$5:$U$1000,ROW(),$V$5:$V$1000,"Sub"),$X179))))</f>
        <v/>
      </c>
      <c r="N179" s="56">
        <f>IF(OR($M179="",$V179="Sub"),"",IF($M179&gt;=1,"Completado",IF($M179&gt;0,"En curso","Pendiente")))</f>
        <v/>
      </c>
      <c r="O179" s="56">
        <f>IF(OR(NOT((COUNTA($B179:$D179)+COUNTA($G179:$L179)+COUNTA($Q179))&gt;0),$V179="Sub"),"",IF(ISNUMBER($G179),IF(AND(ISNUMBER($AN179),$G179&gt;$AN179),"Cumplida con "&amp;($G179-$AN179)&amp;IF($G179-$AN179=1," día"," días")&amp;" de retraso","Cumplida"),IF(N($M179)&gt;=1,"Cumplida",IF(NOT(ISNUMBER($AN179)),"Sin fecha límite",IF($AN179&lt;FechaRef,"Vencida hace "&amp;(FechaRef-$AN179)&amp;IF(FechaRef-$AN179=1," día"," días"),IF($AN179=FechaRef,"Vence hoy",IF($AN179-FechaRef&lt;=DiasAlerta,"Vence en "&amp;($AN179-FechaRef)&amp;IF($AN179-FechaRef=1," día"," días"),"En plazo")))))))</f>
        <v/>
      </c>
      <c r="P179" s="62" t="n"/>
      <c r="Q179" s="58" t="n"/>
      <c r="R179" s="63">
        <f>IF(NOT((COUNTA($B179:$D179)+COUNTA($G179:$L179)+COUNTA($Q179))&gt;0),"",IF((IF($C179="","Falta el nombre de la actividad"&amp;" · ","")&amp;IF(AND($V179="Sub",N($U179)=0),"Subactividad sin macroactividad arriba"&amp;" · ","")&amp;IF($AM179="","Sin fecha de inicio"&amp;" · ","")&amp;IF($AN179="","Sin fecha límite"&amp;" · ","")&amp;IF(AND(LEFT($C179,11)="[Jefatura] ",N($AL179)=0),"No se encuentra en la hoja de la jefatura (elíjala de nuevo en la lista)"&amp;" · ","")&amp;IF(OR(AND($E179&lt;&gt;"",NOT(ISNUMBER($E179))),AND($F179&lt;&gt;"",NOT(ISNUMBER($F179))),AND($G179&lt;&gt;"",NOT(ISNUMBER($G179)))),"Fecha no válida"&amp;" · ","")&amp;IF(AND(ISNUMBER($AM179),ISNUMBER($AN179),$AM179&gt;$AN179),"Inicio posterior a fecha límite"&amp;" · ","")&amp;IF(AND($V179="Macro",$H179&lt;&gt;"",OR(NOT(ISNUMBER($H179)),$H179&lt;0,$H179&gt;1)),"Peso fuera de rango"&amp;" · ","")&amp;IF(AND($V179="Sub",$H179&lt;&gt;""),"Las subactividades no llevan peso (valen igual dentro de su macroactividad)"&amp;" · ","")&amp;IF(AND(N($W179)&gt;0,COUNT($I179:$L179)&gt;0),"Con subactividades: deje vacías las semanas (se calculan solas)"&amp;" · ","")&amp;IF((COUNTIF($I179:$L179,"&gt;1")+COUNTIF($I179:$L179,"&lt;0")+COUNTA($I179:$L179)-COUNT($I179:$L179))&gt;0,"Avance fuera de rango 0-100%"&amp;" · ","")&amp;IF(OR(AND($J179&lt;&gt;"",$J179&lt;$I179),AND($K179&lt;&gt;"",$K179&lt;MAX($I179:$J179)),AND($L179&lt;&gt;"",$L179&lt;MAX($I179:$K179))),"Avance semanal decreciente"&amp;" · ","")&amp;IF(AND(ISNUMBER($AN179),$AN179&lt;FechaRef,IF($V179="Sub",N($X179),N($M179))&lt;1),"Vencida"&amp;" · ","")&amp;IF(AND(ObsObligatoria="Sí",ISNUMBER($AN179),$AN179&lt;FechaRef,IF($V179="Sub",N($X179),N($M179))&lt;1,$Q179=""),"Vencida sin observación"&amp;" · ",""))="","✔ OK","⚠ "&amp;LEFT(IF($C179="","Falta el nombre de la actividad"&amp;" · ","")&amp;IF(AND($V179="Sub",N($U179)=0),"Subactividad sin macroactividad arriba"&amp;" · ","")&amp;IF($AM179="","Sin fecha de inicio"&amp;" · ","")&amp;IF($AN179="","Sin fecha límite"&amp;" · ","")&amp;IF(AND(LEFT($C179,11)="[Jefatura] ",N($AL179)=0),"No se encuentra en la hoja de la jefatura (elíjala de nuevo en la lista)"&amp;" · ","")&amp;IF(OR(AND($E179&lt;&gt;"",NOT(ISNUMBER($E179))),AND($F179&lt;&gt;"",NOT(ISNUMBER($F179))),AND($G179&lt;&gt;"",NOT(ISNUMBER($G179)))),"Fecha no válida"&amp;" · ","")&amp;IF(AND(ISNUMBER($AM179),ISNUMBER($AN179),$AM179&gt;$AN179),"Inicio posterior a fecha límite"&amp;" · ","")&amp;IF(AND($V179="Macro",$H179&lt;&gt;"",OR(NOT(ISNUMBER($H179)),$H179&lt;0,$H179&gt;1)),"Peso fuera de rango"&amp;" · ","")&amp;IF(AND($V179="Sub",$H179&lt;&gt;""),"Las subactividades no llevan peso (valen igual dentro de su macroactividad)"&amp;" · ","")&amp;IF(AND(N($W179)&gt;0,COUNT($I179:$L179)&gt;0),"Con subactividades: deje vacías las semanas (se calculan solas)"&amp;" · ","")&amp;IF((COUNTIF($I179:$L179,"&gt;1")+COUNTIF($I179:$L179,"&lt;0")+COUNTA($I179:$L179)-COUNT($I179:$L179))&gt;0,"Avance fuera de rango 0-100%"&amp;" · ","")&amp;IF(OR(AND($J179&lt;&gt;"",$J179&lt;$I179),AND($K179&lt;&gt;"",$K179&lt;MAX($I179:$J179)),AND($L179&lt;&gt;"",$L179&lt;MAX($I179:$K179))),"Avance semanal decreciente"&amp;" · ","")&amp;IF(AND(ISNUMBER($AN179),$AN179&lt;FechaRef,IF($V179="Sub",N($X179),N($M179))&lt;1),"Vencida"&amp;" · ","")&amp;IF(AND(ObsObligatoria="Sí",ISNUMBER($AN179),$AN179&lt;FechaRef,IF($V179="Sub",N($X179),N($M179))&lt;1,$Q179=""),"Vencida sin observación"&amp;" · ",""),LEN(IF($C179="","Falta el nombre de la actividad"&amp;" · ","")&amp;IF(AND($V179="Sub",N($U179)=0),"Subactividad sin macroactividad arriba"&amp;" · ","")&amp;IF($AM179="","Sin fecha de inicio"&amp;" · ","")&amp;IF($AN179="","Sin fecha límite"&amp;" · ","")&amp;IF(AND(LEFT($C179,11)="[Jefatura] ",N($AL179)=0),"No se encuentra en la hoja de la jefatura (elíjala de nuevo en la lista)"&amp;" · ","")&amp;IF(OR(AND($E179&lt;&gt;"",NOT(ISNUMBER($E179))),AND($F179&lt;&gt;"",NOT(ISNUMBER($F179))),AND($G179&lt;&gt;"",NOT(ISNUMBER($G179)))),"Fecha no válida"&amp;" · ","")&amp;IF(AND(ISNUMBER($AM179),ISNUMBER($AN179),$AM179&gt;$AN179),"Inicio posterior a fecha límite"&amp;" · ","")&amp;IF(AND($V179="Macro",$H179&lt;&gt;"",OR(NOT(ISNUMBER($H179)),$H179&lt;0,$H179&gt;1)),"Peso fuera de rango"&amp;" · ","")&amp;IF(AND($V179="Sub",$H179&lt;&gt;""),"Las subactividades no llevan peso (valen igual dentro de su macroactividad)"&amp;" · ","")&amp;IF(AND(N($W179)&gt;0,COUNT($I179:$L179)&gt;0),"Con subactividades: deje vacías las semanas (se calculan solas)"&amp;" · ","")&amp;IF((COUNTIF($I179:$L179,"&gt;1")+COUNTIF($I179:$L179,"&lt;0")+COUNTA($I179:$L179)-COUNT($I179:$L179))&gt;0,"Avance fuera de rango 0-100%"&amp;" · ","")&amp;IF(OR(AND($J179&lt;&gt;"",$J179&lt;$I179),AND($K179&lt;&gt;"",$K179&lt;MAX($I179:$J179)),AND($L179&lt;&gt;"",$L179&lt;MAX($I179:$K179))),"Avance semanal decreciente"&amp;" · ","")&amp;IF(AND(ISNUMBER($AN179),$AN179&lt;FechaRef,IF($V179="Sub",N($X179),N($M179))&lt;1),"Vencida"&amp;" · ","")&amp;IF(AND(ObsObligatoria="Sí",ISNUMBER($AN179),$AN179&lt;FechaRef,IF($V179="Sub",N($X179),N($M179))&lt;1,$Q179=""),"Vencida sin observación"&amp;" · ",""))-3)))</f>
        <v/>
      </c>
      <c r="S179" s="64">
        <f>IF(NOT((COUNTA($B179:$D179)+COUNTA($G179:$L179)+COUNTA($Q179))&gt;0),"",IF(AND($V179="Sub",N($U179)&gt;0),IF(ISNUMBER(INDEX($AM$5:$AM$1000,$U179-4)),DATE(YEAR(INDEX($AM$5:$AM$1000,$U179-4)),MONTH(INDEX($AM$5:$AM$1000,$U179-4)),1),IF(ISNUMBER(INDEX($AN$5:$AN$1000,$U179-4)),DATE(YEAR(INDEX($AN$5:$AN$1000,$U179-4)),MONTH(INDEX($AN$5:$AN$1000,$U179-4)),1),MesCiclo)),IF(ISNUMBER($AM179),DATE(YEAR($AM179),MONTH($AM179),1),IF(ISNUMBER($AN179),DATE(YEAR($AN179),MONTH($AN179),1),MesCiclo))))</f>
        <v/>
      </c>
      <c r="T179" s="62">
        <f>IF(OR($S179="",$S179&lt;&gt;MesCiclo,$V179&lt;&gt;"Macro"),"",COUNTIFS($S$5:$S179,MesCiclo,$V$5:$V179,"Macro"))</f>
        <v/>
      </c>
      <c r="U179" s="62">
        <f>IF($V179="","",IF($V179="Macro",ROW(),IFERROR(LOOKUP(2,1/($V$5:$V179="Macro"),ROW($V$5:$V179)),0)))</f>
        <v/>
      </c>
      <c r="V179" s="62">
        <f>IF(NOT((COUNTA($B179:$D179)+COUNTA($G179:$L179)+COUNTA($Q179))&gt;0),"",IF($B179="Subactividad","Sub","Macro"))</f>
        <v/>
      </c>
      <c r="W179" s="62">
        <f>IF($V179="Macro",COUNTIFS($U$5:$U$1000,ROW(),$V$5:$V$1000,"Sub"),"")</f>
        <v/>
      </c>
      <c r="X179" s="62">
        <f>IF($V179="","",IF(ISNUMBER($G179),1,IFERROR(LOOKUP(2,1/($I179:$L179&lt;&gt;""),$I179:$L179),0)))</f>
        <v/>
      </c>
      <c r="Y179" s="62">
        <f>IF($V179="","",IF(AND(ISNUMBER($G179),$G179&lt;=IF($S179=MesCiclo,InicioCiclo,$S179+MOD(2-WEEKDAY($S179),7))+6),1,IF(ISNUMBER($I179),$I179,0)))</f>
        <v/>
      </c>
      <c r="Z179" s="62">
        <f>IF($V179="","",IF(AND(ISNUMBER($G179),$G179&lt;=IF($S179=MesCiclo,InicioCiclo,$S179+MOD(2-WEEKDAY($S179),7))+13),1,IF(ISNUMBER($J179),$J179,$Y179)))</f>
        <v/>
      </c>
      <c r="AA179" s="62">
        <f>IF($V179="","",IF(AND(ISNUMBER($G179),$G179&lt;=IF($S179=MesCiclo,InicioCiclo,$S179+MOD(2-WEEKDAY($S179),7))+20),1,IF(ISNUMBER($K179),$K179,$Z179)))</f>
        <v/>
      </c>
      <c r="AB179" s="62">
        <f>IF($V179="","",IF(AND(ISNUMBER($G179),$G179&lt;=IF($S179=MesCiclo,InicioCiclo,$S179+MOD(2-WEEKDAY($S179),7))+27),1,IF(ISNUMBER($L179),$L179,$AA179)))</f>
        <v/>
      </c>
      <c r="AC179" s="62">
        <f>IF($V179="","",IF(AND(ISNUMBER($G179),$G179&lt;=IF($S179=MesCiclo,InicioCiclo,$S179+MOD(2-WEEKDAY($S179),7))+6),1,IF(N($W179)&gt;0,AVERAGEIFS($Y$5:$Y$1000,$U$5:$U$1000,ROW(),$V$5:$V$1000,"Sub"),$Y179)))</f>
        <v/>
      </c>
      <c r="AD179" s="62">
        <f>IF($V179="","",IF(AND(ISNUMBER($G179),$G179&lt;=IF($S179=MesCiclo,InicioCiclo,$S179+MOD(2-WEEKDAY($S179),7))+13),1,IF(N($W179)&gt;0,AVERAGEIFS($Z$5:$Z$1000,$U$5:$U$1000,ROW(),$V$5:$V$1000,"Sub"),$Z179)))</f>
        <v/>
      </c>
      <c r="AE179" s="62">
        <f>IF($V179="","",IF(AND(ISNUMBER($G179),$G179&lt;=IF($S179=MesCiclo,InicioCiclo,$S179+MOD(2-WEEKDAY($S179),7))+20),1,IF(N($W179)&gt;0,AVERAGEIFS($AA$5:$AA$1000,$U$5:$U$1000,ROW(),$V$5:$V$1000,"Sub"),$AA179)))</f>
        <v/>
      </c>
      <c r="AF179" s="62">
        <f>IF($V179="","",IF(AND(ISNUMBER($G179),$G179&lt;=IF($S179=MesCiclo,InicioCiclo,$S179+MOD(2-WEEKDAY($S179),7))+27),1,IF(N($W179)&gt;0,AVERAGEIFS($AB$5:$AB$1000,$U$5:$U$1000,ROW(),$V$5:$V$1000,"Sub"),$AB179)))</f>
        <v/>
      </c>
      <c r="AG179" s="62">
        <f>IF($V179&lt;&gt;"Macro","",IF(COUNTIFS($S$5:$S$1000,$S179,$V$5:$V$1000,"Macro",$H$5:$H$1000,"&gt;0")=0,1/COUNTIFS($S$5:$S$1000,$S179,$V$5:$V$1000,"Macro"),IF(AND(ISNUMBER($H179),N($H179)&gt;0),$H179,SUMIFS($H$5:$H$1000,$S$5:$S$1000,$S179,$V$5:$V$1000,"Macro")/COUNTIFS($S$5:$S$1000,$S179,$V$5:$V$1000,"Macro",$H$5:$H$1000,"&gt;0"))/(COUNTIFS($S$5:$S$1000,$S179,$V$5:$V$1000,"Macro")*SUMIFS($H$5:$H$1000,$S$5:$S$1000,$S179,$V$5:$V$1000,"Macro")/COUNTIFS($S$5:$S$1000,$S179,$V$5:$V$1000,"Macro",$H$5:$H$1000,"&gt;0"))))</f>
        <v/>
      </c>
      <c r="AH179" s="62" t="n"/>
      <c r="AI179" s="62" t="n"/>
      <c r="AJ179" s="62" t="n"/>
      <c r="AK179" s="62" t="n"/>
      <c r="AL179" s="62">
        <f>IF(LEFT($C179,11)="[Jefatura] ",IFERROR(MATCH("Riesgo Normativo|"&amp;MID($C179,12,500),rDname_ADM,0),0),"")</f>
        <v/>
      </c>
      <c r="AM179" s="62">
        <f>IF(N($AL179)&gt;0,INDEX(rIni_ADM,$AL179),IF(ISNUMBER($E179),$E179,""))</f>
        <v/>
      </c>
      <c r="AN179" s="62">
        <f>IF(N($AL179)&gt;0,INDEX(rLim_ADM,$AL179),IF(ISNUMBER($F179),$F179,""))</f>
        <v/>
      </c>
    </row>
    <row r="180">
      <c r="A180" s="56">
        <f>IF(NOT((COUNTA($B180:$D180)+COUNTA($G180:$L180)+COUNTA($Q180))&gt;0),"",IF($V180="Macro",COUNTIFS($V$5:$V180,"Macro",$S$5:$S180,$S180),IF(N($U180)=0,"?",COUNTIFS(INDEX($V$5:$V$1000,1):INDEX($V$5:$V$1000,$U180-4),"Macro",INDEX($S$5:$S$1000,1):INDEX($S$5:$S$1000,$U180-4),INDEX($S$5:$S$1000,$U180-4))&amp;"."&amp;COUNTIFS($U$5:$U180,$U180,$V$5:$V180,"Sub"))))</f>
        <v/>
      </c>
      <c r="B180" s="57" t="n"/>
      <c r="C180" s="58" t="n"/>
      <c r="D180" s="58" t="n"/>
      <c r="E180" s="59">
        <f>IF(N($AL180)&gt;0,INDEX(rIni_ADM,$AL180),"")</f>
        <v/>
      </c>
      <c r="F180" s="59">
        <f>IF(N($AL180)&gt;0,INDEX(rLim_ADM,$AL180),"")</f>
        <v/>
      </c>
      <c r="G180" s="59" t="n"/>
      <c r="H180" s="60" t="n"/>
      <c r="I180" s="60" t="n"/>
      <c r="J180" s="60" t="n"/>
      <c r="K180" s="60" t="n"/>
      <c r="L180" s="60" t="n"/>
      <c r="M180" s="61">
        <f>IF(NOT((COUNTA($B180:$D180)+COUNTA($G180:$L180)+COUNTA($Q180))&gt;0),"",IF($V180="Sub",IFERROR($X180/INDEX($W$5:$W$1000,$U180-4),""),IF(ISNUMBER($G180),1,IF(N($W180)&gt;0,AVERAGEIFS($X$5:$X$1000,$U$5:$U$1000,ROW(),$V$5:$V$1000,"Sub"),$X180))))</f>
        <v/>
      </c>
      <c r="N180" s="56">
        <f>IF(OR($M180="",$V180="Sub"),"",IF($M180&gt;=1,"Completado",IF($M180&gt;0,"En curso","Pendiente")))</f>
        <v/>
      </c>
      <c r="O180" s="56">
        <f>IF(OR(NOT((COUNTA($B180:$D180)+COUNTA($G180:$L180)+COUNTA($Q180))&gt;0),$V180="Sub"),"",IF(ISNUMBER($G180),IF(AND(ISNUMBER($AN180),$G180&gt;$AN180),"Cumplida con "&amp;($G180-$AN180)&amp;IF($G180-$AN180=1," día"," días")&amp;" de retraso","Cumplida"),IF(N($M180)&gt;=1,"Cumplida",IF(NOT(ISNUMBER($AN180)),"Sin fecha límite",IF($AN180&lt;FechaRef,"Vencida hace "&amp;(FechaRef-$AN180)&amp;IF(FechaRef-$AN180=1," día"," días"),IF($AN180=FechaRef,"Vence hoy",IF($AN180-FechaRef&lt;=DiasAlerta,"Vence en "&amp;($AN180-FechaRef)&amp;IF($AN180-FechaRef=1," día"," días"),"En plazo")))))))</f>
        <v/>
      </c>
      <c r="P180" s="62" t="n"/>
      <c r="Q180" s="58" t="n"/>
      <c r="R180" s="63">
        <f>IF(NOT((COUNTA($B180:$D180)+COUNTA($G180:$L180)+COUNTA($Q180))&gt;0),"",IF((IF($C180="","Falta el nombre de la actividad"&amp;" · ","")&amp;IF(AND($V180="Sub",N($U180)=0),"Subactividad sin macroactividad arriba"&amp;" · ","")&amp;IF($AM180="","Sin fecha de inicio"&amp;" · ","")&amp;IF($AN180="","Sin fecha límite"&amp;" · ","")&amp;IF(AND(LEFT($C180,11)="[Jefatura] ",N($AL180)=0),"No se encuentra en la hoja de la jefatura (elíjala de nuevo en la lista)"&amp;" · ","")&amp;IF(OR(AND($E180&lt;&gt;"",NOT(ISNUMBER($E180))),AND($F180&lt;&gt;"",NOT(ISNUMBER($F180))),AND($G180&lt;&gt;"",NOT(ISNUMBER($G180)))),"Fecha no válida"&amp;" · ","")&amp;IF(AND(ISNUMBER($AM180),ISNUMBER($AN180),$AM180&gt;$AN180),"Inicio posterior a fecha límite"&amp;" · ","")&amp;IF(AND($V180="Macro",$H180&lt;&gt;"",OR(NOT(ISNUMBER($H180)),$H180&lt;0,$H180&gt;1)),"Peso fuera de rango"&amp;" · ","")&amp;IF(AND($V180="Sub",$H180&lt;&gt;""),"Las subactividades no llevan peso (valen igual dentro de su macroactividad)"&amp;" · ","")&amp;IF(AND(N($W180)&gt;0,COUNT($I180:$L180)&gt;0),"Con subactividades: deje vacías las semanas (se calculan solas)"&amp;" · ","")&amp;IF((COUNTIF($I180:$L180,"&gt;1")+COUNTIF($I180:$L180,"&lt;0")+COUNTA($I180:$L180)-COUNT($I180:$L180))&gt;0,"Avance fuera de rango 0-100%"&amp;" · ","")&amp;IF(OR(AND($J180&lt;&gt;"",$J180&lt;$I180),AND($K180&lt;&gt;"",$K180&lt;MAX($I180:$J180)),AND($L180&lt;&gt;"",$L180&lt;MAX($I180:$K180))),"Avance semanal decreciente"&amp;" · ","")&amp;IF(AND(ISNUMBER($AN180),$AN180&lt;FechaRef,IF($V180="Sub",N($X180),N($M180))&lt;1),"Vencida"&amp;" · ","")&amp;IF(AND(ObsObligatoria="Sí",ISNUMBER($AN180),$AN180&lt;FechaRef,IF($V180="Sub",N($X180),N($M180))&lt;1,$Q180=""),"Vencida sin observación"&amp;" · ",""))="","✔ OK","⚠ "&amp;LEFT(IF($C180="","Falta el nombre de la actividad"&amp;" · ","")&amp;IF(AND($V180="Sub",N($U180)=0),"Subactividad sin macroactividad arriba"&amp;" · ","")&amp;IF($AM180="","Sin fecha de inicio"&amp;" · ","")&amp;IF($AN180="","Sin fecha límite"&amp;" · ","")&amp;IF(AND(LEFT($C180,11)="[Jefatura] ",N($AL180)=0),"No se encuentra en la hoja de la jefatura (elíjala de nuevo en la lista)"&amp;" · ","")&amp;IF(OR(AND($E180&lt;&gt;"",NOT(ISNUMBER($E180))),AND($F180&lt;&gt;"",NOT(ISNUMBER($F180))),AND($G180&lt;&gt;"",NOT(ISNUMBER($G180)))),"Fecha no válida"&amp;" · ","")&amp;IF(AND(ISNUMBER($AM180),ISNUMBER($AN180),$AM180&gt;$AN180),"Inicio posterior a fecha límite"&amp;" · ","")&amp;IF(AND($V180="Macro",$H180&lt;&gt;"",OR(NOT(ISNUMBER($H180)),$H180&lt;0,$H180&gt;1)),"Peso fuera de rango"&amp;" · ","")&amp;IF(AND($V180="Sub",$H180&lt;&gt;""),"Las subactividades no llevan peso (valen igual dentro de su macroactividad)"&amp;" · ","")&amp;IF(AND(N($W180)&gt;0,COUNT($I180:$L180)&gt;0),"Con subactividades: deje vacías las semanas (se calculan solas)"&amp;" · ","")&amp;IF((COUNTIF($I180:$L180,"&gt;1")+COUNTIF($I180:$L180,"&lt;0")+COUNTA($I180:$L180)-COUNT($I180:$L180))&gt;0,"Avance fuera de rango 0-100%"&amp;" · ","")&amp;IF(OR(AND($J180&lt;&gt;"",$J180&lt;$I180),AND($K180&lt;&gt;"",$K180&lt;MAX($I180:$J180)),AND($L180&lt;&gt;"",$L180&lt;MAX($I180:$K180))),"Avance semanal decreciente"&amp;" · ","")&amp;IF(AND(ISNUMBER($AN180),$AN180&lt;FechaRef,IF($V180="Sub",N($X180),N($M180))&lt;1),"Vencida"&amp;" · ","")&amp;IF(AND(ObsObligatoria="Sí",ISNUMBER($AN180),$AN180&lt;FechaRef,IF($V180="Sub",N($X180),N($M180))&lt;1,$Q180=""),"Vencida sin observación"&amp;" · ",""),LEN(IF($C180="","Falta el nombre de la actividad"&amp;" · ","")&amp;IF(AND($V180="Sub",N($U180)=0),"Subactividad sin macroactividad arriba"&amp;" · ","")&amp;IF($AM180="","Sin fecha de inicio"&amp;" · ","")&amp;IF($AN180="","Sin fecha límite"&amp;" · ","")&amp;IF(AND(LEFT($C180,11)="[Jefatura] ",N($AL180)=0),"No se encuentra en la hoja de la jefatura (elíjala de nuevo en la lista)"&amp;" · ","")&amp;IF(OR(AND($E180&lt;&gt;"",NOT(ISNUMBER($E180))),AND($F180&lt;&gt;"",NOT(ISNUMBER($F180))),AND($G180&lt;&gt;"",NOT(ISNUMBER($G180)))),"Fecha no válida"&amp;" · ","")&amp;IF(AND(ISNUMBER($AM180),ISNUMBER($AN180),$AM180&gt;$AN180),"Inicio posterior a fecha límite"&amp;" · ","")&amp;IF(AND($V180="Macro",$H180&lt;&gt;"",OR(NOT(ISNUMBER($H180)),$H180&lt;0,$H180&gt;1)),"Peso fuera de rango"&amp;" · ","")&amp;IF(AND($V180="Sub",$H180&lt;&gt;""),"Las subactividades no llevan peso (valen igual dentro de su macroactividad)"&amp;" · ","")&amp;IF(AND(N($W180)&gt;0,COUNT($I180:$L180)&gt;0),"Con subactividades: deje vacías las semanas (se calculan solas)"&amp;" · ","")&amp;IF((COUNTIF($I180:$L180,"&gt;1")+COUNTIF($I180:$L180,"&lt;0")+COUNTA($I180:$L180)-COUNT($I180:$L180))&gt;0,"Avance fuera de rango 0-100%"&amp;" · ","")&amp;IF(OR(AND($J180&lt;&gt;"",$J180&lt;$I180),AND($K180&lt;&gt;"",$K180&lt;MAX($I180:$J180)),AND($L180&lt;&gt;"",$L180&lt;MAX($I180:$K180))),"Avance semanal decreciente"&amp;" · ","")&amp;IF(AND(ISNUMBER($AN180),$AN180&lt;FechaRef,IF($V180="Sub",N($X180),N($M180))&lt;1),"Vencida"&amp;" · ","")&amp;IF(AND(ObsObligatoria="Sí",ISNUMBER($AN180),$AN180&lt;FechaRef,IF($V180="Sub",N($X180),N($M180))&lt;1,$Q180=""),"Vencida sin observación"&amp;" · ",""))-3)))</f>
        <v/>
      </c>
      <c r="S180" s="64">
        <f>IF(NOT((COUNTA($B180:$D180)+COUNTA($G180:$L180)+COUNTA($Q180))&gt;0),"",IF(AND($V180="Sub",N($U180)&gt;0),IF(ISNUMBER(INDEX($AM$5:$AM$1000,$U180-4)),DATE(YEAR(INDEX($AM$5:$AM$1000,$U180-4)),MONTH(INDEX($AM$5:$AM$1000,$U180-4)),1),IF(ISNUMBER(INDEX($AN$5:$AN$1000,$U180-4)),DATE(YEAR(INDEX($AN$5:$AN$1000,$U180-4)),MONTH(INDEX($AN$5:$AN$1000,$U180-4)),1),MesCiclo)),IF(ISNUMBER($AM180),DATE(YEAR($AM180),MONTH($AM180),1),IF(ISNUMBER($AN180),DATE(YEAR($AN180),MONTH($AN180),1),MesCiclo))))</f>
        <v/>
      </c>
      <c r="T180" s="62">
        <f>IF(OR($S180="",$S180&lt;&gt;MesCiclo,$V180&lt;&gt;"Macro"),"",COUNTIFS($S$5:$S180,MesCiclo,$V$5:$V180,"Macro"))</f>
        <v/>
      </c>
      <c r="U180" s="62">
        <f>IF($V180="","",IF($V180="Macro",ROW(),IFERROR(LOOKUP(2,1/($V$5:$V180="Macro"),ROW($V$5:$V180)),0)))</f>
        <v/>
      </c>
      <c r="V180" s="62">
        <f>IF(NOT((COUNTA($B180:$D180)+COUNTA($G180:$L180)+COUNTA($Q180))&gt;0),"",IF($B180="Subactividad","Sub","Macro"))</f>
        <v/>
      </c>
      <c r="W180" s="62">
        <f>IF($V180="Macro",COUNTIFS($U$5:$U$1000,ROW(),$V$5:$V$1000,"Sub"),"")</f>
        <v/>
      </c>
      <c r="X180" s="62">
        <f>IF($V180="","",IF(ISNUMBER($G180),1,IFERROR(LOOKUP(2,1/($I180:$L180&lt;&gt;""),$I180:$L180),0)))</f>
        <v/>
      </c>
      <c r="Y180" s="62">
        <f>IF($V180="","",IF(AND(ISNUMBER($G180),$G180&lt;=IF($S180=MesCiclo,InicioCiclo,$S180+MOD(2-WEEKDAY($S180),7))+6),1,IF(ISNUMBER($I180),$I180,0)))</f>
        <v/>
      </c>
      <c r="Z180" s="62">
        <f>IF($V180="","",IF(AND(ISNUMBER($G180),$G180&lt;=IF($S180=MesCiclo,InicioCiclo,$S180+MOD(2-WEEKDAY($S180),7))+13),1,IF(ISNUMBER($J180),$J180,$Y180)))</f>
        <v/>
      </c>
      <c r="AA180" s="62">
        <f>IF($V180="","",IF(AND(ISNUMBER($G180),$G180&lt;=IF($S180=MesCiclo,InicioCiclo,$S180+MOD(2-WEEKDAY($S180),7))+20),1,IF(ISNUMBER($K180),$K180,$Z180)))</f>
        <v/>
      </c>
      <c r="AB180" s="62">
        <f>IF($V180="","",IF(AND(ISNUMBER($G180),$G180&lt;=IF($S180=MesCiclo,InicioCiclo,$S180+MOD(2-WEEKDAY($S180),7))+27),1,IF(ISNUMBER($L180),$L180,$AA180)))</f>
        <v/>
      </c>
      <c r="AC180" s="62">
        <f>IF($V180="","",IF(AND(ISNUMBER($G180),$G180&lt;=IF($S180=MesCiclo,InicioCiclo,$S180+MOD(2-WEEKDAY($S180),7))+6),1,IF(N($W180)&gt;0,AVERAGEIFS($Y$5:$Y$1000,$U$5:$U$1000,ROW(),$V$5:$V$1000,"Sub"),$Y180)))</f>
        <v/>
      </c>
      <c r="AD180" s="62">
        <f>IF($V180="","",IF(AND(ISNUMBER($G180),$G180&lt;=IF($S180=MesCiclo,InicioCiclo,$S180+MOD(2-WEEKDAY($S180),7))+13),1,IF(N($W180)&gt;0,AVERAGEIFS($Z$5:$Z$1000,$U$5:$U$1000,ROW(),$V$5:$V$1000,"Sub"),$Z180)))</f>
        <v/>
      </c>
      <c r="AE180" s="62">
        <f>IF($V180="","",IF(AND(ISNUMBER($G180),$G180&lt;=IF($S180=MesCiclo,InicioCiclo,$S180+MOD(2-WEEKDAY($S180),7))+20),1,IF(N($W180)&gt;0,AVERAGEIFS($AA$5:$AA$1000,$U$5:$U$1000,ROW(),$V$5:$V$1000,"Sub"),$AA180)))</f>
        <v/>
      </c>
      <c r="AF180" s="62">
        <f>IF($V180="","",IF(AND(ISNUMBER($G180),$G180&lt;=IF($S180=MesCiclo,InicioCiclo,$S180+MOD(2-WEEKDAY($S180),7))+27),1,IF(N($W180)&gt;0,AVERAGEIFS($AB$5:$AB$1000,$U$5:$U$1000,ROW(),$V$5:$V$1000,"Sub"),$AB180)))</f>
        <v/>
      </c>
      <c r="AG180" s="62">
        <f>IF($V180&lt;&gt;"Macro","",IF(COUNTIFS($S$5:$S$1000,$S180,$V$5:$V$1000,"Macro",$H$5:$H$1000,"&gt;0")=0,1/COUNTIFS($S$5:$S$1000,$S180,$V$5:$V$1000,"Macro"),IF(AND(ISNUMBER($H180),N($H180)&gt;0),$H180,SUMIFS($H$5:$H$1000,$S$5:$S$1000,$S180,$V$5:$V$1000,"Macro")/COUNTIFS($S$5:$S$1000,$S180,$V$5:$V$1000,"Macro",$H$5:$H$1000,"&gt;0"))/(COUNTIFS($S$5:$S$1000,$S180,$V$5:$V$1000,"Macro")*SUMIFS($H$5:$H$1000,$S$5:$S$1000,$S180,$V$5:$V$1000,"Macro")/COUNTIFS($S$5:$S$1000,$S180,$V$5:$V$1000,"Macro",$H$5:$H$1000,"&gt;0"))))</f>
        <v/>
      </c>
      <c r="AH180" s="62" t="n"/>
      <c r="AI180" s="62" t="n"/>
      <c r="AJ180" s="62" t="n"/>
      <c r="AK180" s="62" t="n"/>
      <c r="AL180" s="62">
        <f>IF(LEFT($C180,11)="[Jefatura] ",IFERROR(MATCH("Riesgo Normativo|"&amp;MID($C180,12,500),rDname_ADM,0),0),"")</f>
        <v/>
      </c>
      <c r="AM180" s="62">
        <f>IF(N($AL180)&gt;0,INDEX(rIni_ADM,$AL180),IF(ISNUMBER($E180),$E180,""))</f>
        <v/>
      </c>
      <c r="AN180" s="62">
        <f>IF(N($AL180)&gt;0,INDEX(rLim_ADM,$AL180),IF(ISNUMBER($F180),$F180,""))</f>
        <v/>
      </c>
    </row>
    <row r="181">
      <c r="A181" s="56">
        <f>IF(NOT((COUNTA($B181:$D181)+COUNTA($G181:$L181)+COUNTA($Q181))&gt;0),"",IF($V181="Macro",COUNTIFS($V$5:$V181,"Macro",$S$5:$S181,$S181),IF(N($U181)=0,"?",COUNTIFS(INDEX($V$5:$V$1000,1):INDEX($V$5:$V$1000,$U181-4),"Macro",INDEX($S$5:$S$1000,1):INDEX($S$5:$S$1000,$U181-4),INDEX($S$5:$S$1000,$U181-4))&amp;"."&amp;COUNTIFS($U$5:$U181,$U181,$V$5:$V181,"Sub"))))</f>
        <v/>
      </c>
      <c r="B181" s="57" t="n"/>
      <c r="C181" s="58" t="n"/>
      <c r="D181" s="58" t="n"/>
      <c r="E181" s="59">
        <f>IF(N($AL181)&gt;0,INDEX(rIni_ADM,$AL181),"")</f>
        <v/>
      </c>
      <c r="F181" s="59">
        <f>IF(N($AL181)&gt;0,INDEX(rLim_ADM,$AL181),"")</f>
        <v/>
      </c>
      <c r="G181" s="59" t="n"/>
      <c r="H181" s="60" t="n"/>
      <c r="I181" s="60" t="n"/>
      <c r="J181" s="60" t="n"/>
      <c r="K181" s="60" t="n"/>
      <c r="L181" s="60" t="n"/>
      <c r="M181" s="61">
        <f>IF(NOT((COUNTA($B181:$D181)+COUNTA($G181:$L181)+COUNTA($Q181))&gt;0),"",IF($V181="Sub",IFERROR($X181/INDEX($W$5:$W$1000,$U181-4),""),IF(ISNUMBER($G181),1,IF(N($W181)&gt;0,AVERAGEIFS($X$5:$X$1000,$U$5:$U$1000,ROW(),$V$5:$V$1000,"Sub"),$X181))))</f>
        <v/>
      </c>
      <c r="N181" s="56">
        <f>IF(OR($M181="",$V181="Sub"),"",IF($M181&gt;=1,"Completado",IF($M181&gt;0,"En curso","Pendiente")))</f>
        <v/>
      </c>
      <c r="O181" s="56">
        <f>IF(OR(NOT((COUNTA($B181:$D181)+COUNTA($G181:$L181)+COUNTA($Q181))&gt;0),$V181="Sub"),"",IF(ISNUMBER($G181),IF(AND(ISNUMBER($AN181),$G181&gt;$AN181),"Cumplida con "&amp;($G181-$AN181)&amp;IF($G181-$AN181=1," día"," días")&amp;" de retraso","Cumplida"),IF(N($M181)&gt;=1,"Cumplida",IF(NOT(ISNUMBER($AN181)),"Sin fecha límite",IF($AN181&lt;FechaRef,"Vencida hace "&amp;(FechaRef-$AN181)&amp;IF(FechaRef-$AN181=1," día"," días"),IF($AN181=FechaRef,"Vence hoy",IF($AN181-FechaRef&lt;=DiasAlerta,"Vence en "&amp;($AN181-FechaRef)&amp;IF($AN181-FechaRef=1," día"," días"),"En plazo")))))))</f>
        <v/>
      </c>
      <c r="P181" s="62" t="n"/>
      <c r="Q181" s="58" t="n"/>
      <c r="R181" s="63">
        <f>IF(NOT((COUNTA($B181:$D181)+COUNTA($G181:$L181)+COUNTA($Q181))&gt;0),"",IF((IF($C181="","Falta el nombre de la actividad"&amp;" · ","")&amp;IF(AND($V181="Sub",N($U181)=0),"Subactividad sin macroactividad arriba"&amp;" · ","")&amp;IF($AM181="","Sin fecha de inicio"&amp;" · ","")&amp;IF($AN181="","Sin fecha límite"&amp;" · ","")&amp;IF(AND(LEFT($C181,11)="[Jefatura] ",N($AL181)=0),"No se encuentra en la hoja de la jefatura (elíjala de nuevo en la lista)"&amp;" · ","")&amp;IF(OR(AND($E181&lt;&gt;"",NOT(ISNUMBER($E181))),AND($F181&lt;&gt;"",NOT(ISNUMBER($F181))),AND($G181&lt;&gt;"",NOT(ISNUMBER($G181)))),"Fecha no válida"&amp;" · ","")&amp;IF(AND(ISNUMBER($AM181),ISNUMBER($AN181),$AM181&gt;$AN181),"Inicio posterior a fecha límite"&amp;" · ","")&amp;IF(AND($V181="Macro",$H181&lt;&gt;"",OR(NOT(ISNUMBER($H181)),$H181&lt;0,$H181&gt;1)),"Peso fuera de rango"&amp;" · ","")&amp;IF(AND($V181="Sub",$H181&lt;&gt;""),"Las subactividades no llevan peso (valen igual dentro de su macroactividad)"&amp;" · ","")&amp;IF(AND(N($W181)&gt;0,COUNT($I181:$L181)&gt;0),"Con subactividades: deje vacías las semanas (se calculan solas)"&amp;" · ","")&amp;IF((COUNTIF($I181:$L181,"&gt;1")+COUNTIF($I181:$L181,"&lt;0")+COUNTA($I181:$L181)-COUNT($I181:$L181))&gt;0,"Avance fuera de rango 0-100%"&amp;" · ","")&amp;IF(OR(AND($J181&lt;&gt;"",$J181&lt;$I181),AND($K181&lt;&gt;"",$K181&lt;MAX($I181:$J181)),AND($L181&lt;&gt;"",$L181&lt;MAX($I181:$K181))),"Avance semanal decreciente"&amp;" · ","")&amp;IF(AND(ISNUMBER($AN181),$AN181&lt;FechaRef,IF($V181="Sub",N($X181),N($M181))&lt;1),"Vencida"&amp;" · ","")&amp;IF(AND(ObsObligatoria="Sí",ISNUMBER($AN181),$AN181&lt;FechaRef,IF($V181="Sub",N($X181),N($M181))&lt;1,$Q181=""),"Vencida sin observación"&amp;" · ",""))="","✔ OK","⚠ "&amp;LEFT(IF($C181="","Falta el nombre de la actividad"&amp;" · ","")&amp;IF(AND($V181="Sub",N($U181)=0),"Subactividad sin macroactividad arriba"&amp;" · ","")&amp;IF($AM181="","Sin fecha de inicio"&amp;" · ","")&amp;IF($AN181="","Sin fecha límite"&amp;" · ","")&amp;IF(AND(LEFT($C181,11)="[Jefatura] ",N($AL181)=0),"No se encuentra en la hoja de la jefatura (elíjala de nuevo en la lista)"&amp;" · ","")&amp;IF(OR(AND($E181&lt;&gt;"",NOT(ISNUMBER($E181))),AND($F181&lt;&gt;"",NOT(ISNUMBER($F181))),AND($G181&lt;&gt;"",NOT(ISNUMBER($G181)))),"Fecha no válida"&amp;" · ","")&amp;IF(AND(ISNUMBER($AM181),ISNUMBER($AN181),$AM181&gt;$AN181),"Inicio posterior a fecha límite"&amp;" · ","")&amp;IF(AND($V181="Macro",$H181&lt;&gt;"",OR(NOT(ISNUMBER($H181)),$H181&lt;0,$H181&gt;1)),"Peso fuera de rango"&amp;" · ","")&amp;IF(AND($V181="Sub",$H181&lt;&gt;""),"Las subactividades no llevan peso (valen igual dentro de su macroactividad)"&amp;" · ","")&amp;IF(AND(N($W181)&gt;0,COUNT($I181:$L181)&gt;0),"Con subactividades: deje vacías las semanas (se calculan solas)"&amp;" · ","")&amp;IF((COUNTIF($I181:$L181,"&gt;1")+COUNTIF($I181:$L181,"&lt;0")+COUNTA($I181:$L181)-COUNT($I181:$L181))&gt;0,"Avance fuera de rango 0-100%"&amp;" · ","")&amp;IF(OR(AND($J181&lt;&gt;"",$J181&lt;$I181),AND($K181&lt;&gt;"",$K181&lt;MAX($I181:$J181)),AND($L181&lt;&gt;"",$L181&lt;MAX($I181:$K181))),"Avance semanal decreciente"&amp;" · ","")&amp;IF(AND(ISNUMBER($AN181),$AN181&lt;FechaRef,IF($V181="Sub",N($X181),N($M181))&lt;1),"Vencida"&amp;" · ","")&amp;IF(AND(ObsObligatoria="Sí",ISNUMBER($AN181),$AN181&lt;FechaRef,IF($V181="Sub",N($X181),N($M181))&lt;1,$Q181=""),"Vencida sin observación"&amp;" · ",""),LEN(IF($C181="","Falta el nombre de la actividad"&amp;" · ","")&amp;IF(AND($V181="Sub",N($U181)=0),"Subactividad sin macroactividad arriba"&amp;" · ","")&amp;IF($AM181="","Sin fecha de inicio"&amp;" · ","")&amp;IF($AN181="","Sin fecha límite"&amp;" · ","")&amp;IF(AND(LEFT($C181,11)="[Jefatura] ",N($AL181)=0),"No se encuentra en la hoja de la jefatura (elíjala de nuevo en la lista)"&amp;" · ","")&amp;IF(OR(AND($E181&lt;&gt;"",NOT(ISNUMBER($E181))),AND($F181&lt;&gt;"",NOT(ISNUMBER($F181))),AND($G181&lt;&gt;"",NOT(ISNUMBER($G181)))),"Fecha no válida"&amp;" · ","")&amp;IF(AND(ISNUMBER($AM181),ISNUMBER($AN181),$AM181&gt;$AN181),"Inicio posterior a fecha límite"&amp;" · ","")&amp;IF(AND($V181="Macro",$H181&lt;&gt;"",OR(NOT(ISNUMBER($H181)),$H181&lt;0,$H181&gt;1)),"Peso fuera de rango"&amp;" · ","")&amp;IF(AND($V181="Sub",$H181&lt;&gt;""),"Las subactividades no llevan peso (valen igual dentro de su macroactividad)"&amp;" · ","")&amp;IF(AND(N($W181)&gt;0,COUNT($I181:$L181)&gt;0),"Con subactividades: deje vacías las semanas (se calculan solas)"&amp;" · ","")&amp;IF((COUNTIF($I181:$L181,"&gt;1")+COUNTIF($I181:$L181,"&lt;0")+COUNTA($I181:$L181)-COUNT($I181:$L181))&gt;0,"Avance fuera de rango 0-100%"&amp;" · ","")&amp;IF(OR(AND($J181&lt;&gt;"",$J181&lt;$I181),AND($K181&lt;&gt;"",$K181&lt;MAX($I181:$J181)),AND($L181&lt;&gt;"",$L181&lt;MAX($I181:$K181))),"Avance semanal decreciente"&amp;" · ","")&amp;IF(AND(ISNUMBER($AN181),$AN181&lt;FechaRef,IF($V181="Sub",N($X181),N($M181))&lt;1),"Vencida"&amp;" · ","")&amp;IF(AND(ObsObligatoria="Sí",ISNUMBER($AN181),$AN181&lt;FechaRef,IF($V181="Sub",N($X181),N($M181))&lt;1,$Q181=""),"Vencida sin observación"&amp;" · ",""))-3)))</f>
        <v/>
      </c>
      <c r="S181" s="64">
        <f>IF(NOT((COUNTA($B181:$D181)+COUNTA($G181:$L181)+COUNTA($Q181))&gt;0),"",IF(AND($V181="Sub",N($U181)&gt;0),IF(ISNUMBER(INDEX($AM$5:$AM$1000,$U181-4)),DATE(YEAR(INDEX($AM$5:$AM$1000,$U181-4)),MONTH(INDEX($AM$5:$AM$1000,$U181-4)),1),IF(ISNUMBER(INDEX($AN$5:$AN$1000,$U181-4)),DATE(YEAR(INDEX($AN$5:$AN$1000,$U181-4)),MONTH(INDEX($AN$5:$AN$1000,$U181-4)),1),MesCiclo)),IF(ISNUMBER($AM181),DATE(YEAR($AM181),MONTH($AM181),1),IF(ISNUMBER($AN181),DATE(YEAR($AN181),MONTH($AN181),1),MesCiclo))))</f>
        <v/>
      </c>
      <c r="T181" s="62">
        <f>IF(OR($S181="",$S181&lt;&gt;MesCiclo,$V181&lt;&gt;"Macro"),"",COUNTIFS($S$5:$S181,MesCiclo,$V$5:$V181,"Macro"))</f>
        <v/>
      </c>
      <c r="U181" s="62">
        <f>IF($V181="","",IF($V181="Macro",ROW(),IFERROR(LOOKUP(2,1/($V$5:$V181="Macro"),ROW($V$5:$V181)),0)))</f>
        <v/>
      </c>
      <c r="V181" s="62">
        <f>IF(NOT((COUNTA($B181:$D181)+COUNTA($G181:$L181)+COUNTA($Q181))&gt;0),"",IF($B181="Subactividad","Sub","Macro"))</f>
        <v/>
      </c>
      <c r="W181" s="62">
        <f>IF($V181="Macro",COUNTIFS($U$5:$U$1000,ROW(),$V$5:$V$1000,"Sub"),"")</f>
        <v/>
      </c>
      <c r="X181" s="62">
        <f>IF($V181="","",IF(ISNUMBER($G181),1,IFERROR(LOOKUP(2,1/($I181:$L181&lt;&gt;""),$I181:$L181),0)))</f>
        <v/>
      </c>
      <c r="Y181" s="62">
        <f>IF($V181="","",IF(AND(ISNUMBER($G181),$G181&lt;=IF($S181=MesCiclo,InicioCiclo,$S181+MOD(2-WEEKDAY($S181),7))+6),1,IF(ISNUMBER($I181),$I181,0)))</f>
        <v/>
      </c>
      <c r="Z181" s="62">
        <f>IF($V181="","",IF(AND(ISNUMBER($G181),$G181&lt;=IF($S181=MesCiclo,InicioCiclo,$S181+MOD(2-WEEKDAY($S181),7))+13),1,IF(ISNUMBER($J181),$J181,$Y181)))</f>
        <v/>
      </c>
      <c r="AA181" s="62">
        <f>IF($V181="","",IF(AND(ISNUMBER($G181),$G181&lt;=IF($S181=MesCiclo,InicioCiclo,$S181+MOD(2-WEEKDAY($S181),7))+20),1,IF(ISNUMBER($K181),$K181,$Z181)))</f>
        <v/>
      </c>
      <c r="AB181" s="62">
        <f>IF($V181="","",IF(AND(ISNUMBER($G181),$G181&lt;=IF($S181=MesCiclo,InicioCiclo,$S181+MOD(2-WEEKDAY($S181),7))+27),1,IF(ISNUMBER($L181),$L181,$AA181)))</f>
        <v/>
      </c>
      <c r="AC181" s="62">
        <f>IF($V181="","",IF(AND(ISNUMBER($G181),$G181&lt;=IF($S181=MesCiclo,InicioCiclo,$S181+MOD(2-WEEKDAY($S181),7))+6),1,IF(N($W181)&gt;0,AVERAGEIFS($Y$5:$Y$1000,$U$5:$U$1000,ROW(),$V$5:$V$1000,"Sub"),$Y181)))</f>
        <v/>
      </c>
      <c r="AD181" s="62">
        <f>IF($V181="","",IF(AND(ISNUMBER($G181),$G181&lt;=IF($S181=MesCiclo,InicioCiclo,$S181+MOD(2-WEEKDAY($S181),7))+13),1,IF(N($W181)&gt;0,AVERAGEIFS($Z$5:$Z$1000,$U$5:$U$1000,ROW(),$V$5:$V$1000,"Sub"),$Z181)))</f>
        <v/>
      </c>
      <c r="AE181" s="62">
        <f>IF($V181="","",IF(AND(ISNUMBER($G181),$G181&lt;=IF($S181=MesCiclo,InicioCiclo,$S181+MOD(2-WEEKDAY($S181),7))+20),1,IF(N($W181)&gt;0,AVERAGEIFS($AA$5:$AA$1000,$U$5:$U$1000,ROW(),$V$5:$V$1000,"Sub"),$AA181)))</f>
        <v/>
      </c>
      <c r="AF181" s="62">
        <f>IF($V181="","",IF(AND(ISNUMBER($G181),$G181&lt;=IF($S181=MesCiclo,InicioCiclo,$S181+MOD(2-WEEKDAY($S181),7))+27),1,IF(N($W181)&gt;0,AVERAGEIFS($AB$5:$AB$1000,$U$5:$U$1000,ROW(),$V$5:$V$1000,"Sub"),$AB181)))</f>
        <v/>
      </c>
      <c r="AG181" s="62">
        <f>IF($V181&lt;&gt;"Macro","",IF(COUNTIFS($S$5:$S$1000,$S181,$V$5:$V$1000,"Macro",$H$5:$H$1000,"&gt;0")=0,1/COUNTIFS($S$5:$S$1000,$S181,$V$5:$V$1000,"Macro"),IF(AND(ISNUMBER($H181),N($H181)&gt;0),$H181,SUMIFS($H$5:$H$1000,$S$5:$S$1000,$S181,$V$5:$V$1000,"Macro")/COUNTIFS($S$5:$S$1000,$S181,$V$5:$V$1000,"Macro",$H$5:$H$1000,"&gt;0"))/(COUNTIFS($S$5:$S$1000,$S181,$V$5:$V$1000,"Macro")*SUMIFS($H$5:$H$1000,$S$5:$S$1000,$S181,$V$5:$V$1000,"Macro")/COUNTIFS($S$5:$S$1000,$S181,$V$5:$V$1000,"Macro",$H$5:$H$1000,"&gt;0"))))</f>
        <v/>
      </c>
      <c r="AH181" s="62" t="n"/>
      <c r="AI181" s="62" t="n"/>
      <c r="AJ181" s="62" t="n"/>
      <c r="AK181" s="62" t="n"/>
      <c r="AL181" s="62">
        <f>IF(LEFT($C181,11)="[Jefatura] ",IFERROR(MATCH("Riesgo Normativo|"&amp;MID($C181,12,500),rDname_ADM,0),0),"")</f>
        <v/>
      </c>
      <c r="AM181" s="62">
        <f>IF(N($AL181)&gt;0,INDEX(rIni_ADM,$AL181),IF(ISNUMBER($E181),$E181,""))</f>
        <v/>
      </c>
      <c r="AN181" s="62">
        <f>IF(N($AL181)&gt;0,INDEX(rLim_ADM,$AL181),IF(ISNUMBER($F181),$F181,""))</f>
        <v/>
      </c>
    </row>
    <row r="182">
      <c r="A182" s="56">
        <f>IF(NOT((COUNTA($B182:$D182)+COUNTA($G182:$L182)+COUNTA($Q182))&gt;0),"",IF($V182="Macro",COUNTIFS($V$5:$V182,"Macro",$S$5:$S182,$S182),IF(N($U182)=0,"?",COUNTIFS(INDEX($V$5:$V$1000,1):INDEX($V$5:$V$1000,$U182-4),"Macro",INDEX($S$5:$S$1000,1):INDEX($S$5:$S$1000,$U182-4),INDEX($S$5:$S$1000,$U182-4))&amp;"."&amp;COUNTIFS($U$5:$U182,$U182,$V$5:$V182,"Sub"))))</f>
        <v/>
      </c>
      <c r="B182" s="57" t="n"/>
      <c r="C182" s="58" t="n"/>
      <c r="D182" s="58" t="n"/>
      <c r="E182" s="59">
        <f>IF(N($AL182)&gt;0,INDEX(rIni_ADM,$AL182),"")</f>
        <v/>
      </c>
      <c r="F182" s="59">
        <f>IF(N($AL182)&gt;0,INDEX(rLim_ADM,$AL182),"")</f>
        <v/>
      </c>
      <c r="G182" s="59" t="n"/>
      <c r="H182" s="60" t="n"/>
      <c r="I182" s="60" t="n"/>
      <c r="J182" s="60" t="n"/>
      <c r="K182" s="60" t="n"/>
      <c r="L182" s="60" t="n"/>
      <c r="M182" s="61">
        <f>IF(NOT((COUNTA($B182:$D182)+COUNTA($G182:$L182)+COUNTA($Q182))&gt;0),"",IF($V182="Sub",IFERROR($X182/INDEX($W$5:$W$1000,$U182-4),""),IF(ISNUMBER($G182),1,IF(N($W182)&gt;0,AVERAGEIFS($X$5:$X$1000,$U$5:$U$1000,ROW(),$V$5:$V$1000,"Sub"),$X182))))</f>
        <v/>
      </c>
      <c r="N182" s="56">
        <f>IF(OR($M182="",$V182="Sub"),"",IF($M182&gt;=1,"Completado",IF($M182&gt;0,"En curso","Pendiente")))</f>
        <v/>
      </c>
      <c r="O182" s="56">
        <f>IF(OR(NOT((COUNTA($B182:$D182)+COUNTA($G182:$L182)+COUNTA($Q182))&gt;0),$V182="Sub"),"",IF(ISNUMBER($G182),IF(AND(ISNUMBER($AN182),$G182&gt;$AN182),"Cumplida con "&amp;($G182-$AN182)&amp;IF($G182-$AN182=1," día"," días")&amp;" de retraso","Cumplida"),IF(N($M182)&gt;=1,"Cumplida",IF(NOT(ISNUMBER($AN182)),"Sin fecha límite",IF($AN182&lt;FechaRef,"Vencida hace "&amp;(FechaRef-$AN182)&amp;IF(FechaRef-$AN182=1," día"," días"),IF($AN182=FechaRef,"Vence hoy",IF($AN182-FechaRef&lt;=DiasAlerta,"Vence en "&amp;($AN182-FechaRef)&amp;IF($AN182-FechaRef=1," día"," días"),"En plazo")))))))</f>
        <v/>
      </c>
      <c r="P182" s="62" t="n"/>
      <c r="Q182" s="58" t="n"/>
      <c r="R182" s="63">
        <f>IF(NOT((COUNTA($B182:$D182)+COUNTA($G182:$L182)+COUNTA($Q182))&gt;0),"",IF((IF($C182="","Falta el nombre de la actividad"&amp;" · ","")&amp;IF(AND($V182="Sub",N($U182)=0),"Subactividad sin macroactividad arriba"&amp;" · ","")&amp;IF($AM182="","Sin fecha de inicio"&amp;" · ","")&amp;IF($AN182="","Sin fecha límite"&amp;" · ","")&amp;IF(AND(LEFT($C182,11)="[Jefatura] ",N($AL182)=0),"No se encuentra en la hoja de la jefatura (elíjala de nuevo en la lista)"&amp;" · ","")&amp;IF(OR(AND($E182&lt;&gt;"",NOT(ISNUMBER($E182))),AND($F182&lt;&gt;"",NOT(ISNUMBER($F182))),AND($G182&lt;&gt;"",NOT(ISNUMBER($G182)))),"Fecha no válida"&amp;" · ","")&amp;IF(AND(ISNUMBER($AM182),ISNUMBER($AN182),$AM182&gt;$AN182),"Inicio posterior a fecha límite"&amp;" · ","")&amp;IF(AND($V182="Macro",$H182&lt;&gt;"",OR(NOT(ISNUMBER($H182)),$H182&lt;0,$H182&gt;1)),"Peso fuera de rango"&amp;" · ","")&amp;IF(AND($V182="Sub",$H182&lt;&gt;""),"Las subactividades no llevan peso (valen igual dentro de su macroactividad)"&amp;" · ","")&amp;IF(AND(N($W182)&gt;0,COUNT($I182:$L182)&gt;0),"Con subactividades: deje vacías las semanas (se calculan solas)"&amp;" · ","")&amp;IF((COUNTIF($I182:$L182,"&gt;1")+COUNTIF($I182:$L182,"&lt;0")+COUNTA($I182:$L182)-COUNT($I182:$L182))&gt;0,"Avance fuera de rango 0-100%"&amp;" · ","")&amp;IF(OR(AND($J182&lt;&gt;"",$J182&lt;$I182),AND($K182&lt;&gt;"",$K182&lt;MAX($I182:$J182)),AND($L182&lt;&gt;"",$L182&lt;MAX($I182:$K182))),"Avance semanal decreciente"&amp;" · ","")&amp;IF(AND(ISNUMBER($AN182),$AN182&lt;FechaRef,IF($V182="Sub",N($X182),N($M182))&lt;1),"Vencida"&amp;" · ","")&amp;IF(AND(ObsObligatoria="Sí",ISNUMBER($AN182),$AN182&lt;FechaRef,IF($V182="Sub",N($X182),N($M182))&lt;1,$Q182=""),"Vencida sin observación"&amp;" · ",""))="","✔ OK","⚠ "&amp;LEFT(IF($C182="","Falta el nombre de la actividad"&amp;" · ","")&amp;IF(AND($V182="Sub",N($U182)=0),"Subactividad sin macroactividad arriba"&amp;" · ","")&amp;IF($AM182="","Sin fecha de inicio"&amp;" · ","")&amp;IF($AN182="","Sin fecha límite"&amp;" · ","")&amp;IF(AND(LEFT($C182,11)="[Jefatura] ",N($AL182)=0),"No se encuentra en la hoja de la jefatura (elíjala de nuevo en la lista)"&amp;" · ","")&amp;IF(OR(AND($E182&lt;&gt;"",NOT(ISNUMBER($E182))),AND($F182&lt;&gt;"",NOT(ISNUMBER($F182))),AND($G182&lt;&gt;"",NOT(ISNUMBER($G182)))),"Fecha no válida"&amp;" · ","")&amp;IF(AND(ISNUMBER($AM182),ISNUMBER($AN182),$AM182&gt;$AN182),"Inicio posterior a fecha límite"&amp;" · ","")&amp;IF(AND($V182="Macro",$H182&lt;&gt;"",OR(NOT(ISNUMBER($H182)),$H182&lt;0,$H182&gt;1)),"Peso fuera de rango"&amp;" · ","")&amp;IF(AND($V182="Sub",$H182&lt;&gt;""),"Las subactividades no llevan peso (valen igual dentro de su macroactividad)"&amp;" · ","")&amp;IF(AND(N($W182)&gt;0,COUNT($I182:$L182)&gt;0),"Con subactividades: deje vacías las semanas (se calculan solas)"&amp;" · ","")&amp;IF((COUNTIF($I182:$L182,"&gt;1")+COUNTIF($I182:$L182,"&lt;0")+COUNTA($I182:$L182)-COUNT($I182:$L182))&gt;0,"Avance fuera de rango 0-100%"&amp;" · ","")&amp;IF(OR(AND($J182&lt;&gt;"",$J182&lt;$I182),AND($K182&lt;&gt;"",$K182&lt;MAX($I182:$J182)),AND($L182&lt;&gt;"",$L182&lt;MAX($I182:$K182))),"Avance semanal decreciente"&amp;" · ","")&amp;IF(AND(ISNUMBER($AN182),$AN182&lt;FechaRef,IF($V182="Sub",N($X182),N($M182))&lt;1),"Vencida"&amp;" · ","")&amp;IF(AND(ObsObligatoria="Sí",ISNUMBER($AN182),$AN182&lt;FechaRef,IF($V182="Sub",N($X182),N($M182))&lt;1,$Q182=""),"Vencida sin observación"&amp;" · ",""),LEN(IF($C182="","Falta el nombre de la actividad"&amp;" · ","")&amp;IF(AND($V182="Sub",N($U182)=0),"Subactividad sin macroactividad arriba"&amp;" · ","")&amp;IF($AM182="","Sin fecha de inicio"&amp;" · ","")&amp;IF($AN182="","Sin fecha límite"&amp;" · ","")&amp;IF(AND(LEFT($C182,11)="[Jefatura] ",N($AL182)=0),"No se encuentra en la hoja de la jefatura (elíjala de nuevo en la lista)"&amp;" · ","")&amp;IF(OR(AND($E182&lt;&gt;"",NOT(ISNUMBER($E182))),AND($F182&lt;&gt;"",NOT(ISNUMBER($F182))),AND($G182&lt;&gt;"",NOT(ISNUMBER($G182)))),"Fecha no válida"&amp;" · ","")&amp;IF(AND(ISNUMBER($AM182),ISNUMBER($AN182),$AM182&gt;$AN182),"Inicio posterior a fecha límite"&amp;" · ","")&amp;IF(AND($V182="Macro",$H182&lt;&gt;"",OR(NOT(ISNUMBER($H182)),$H182&lt;0,$H182&gt;1)),"Peso fuera de rango"&amp;" · ","")&amp;IF(AND($V182="Sub",$H182&lt;&gt;""),"Las subactividades no llevan peso (valen igual dentro de su macroactividad)"&amp;" · ","")&amp;IF(AND(N($W182)&gt;0,COUNT($I182:$L182)&gt;0),"Con subactividades: deje vacías las semanas (se calculan solas)"&amp;" · ","")&amp;IF((COUNTIF($I182:$L182,"&gt;1")+COUNTIF($I182:$L182,"&lt;0")+COUNTA($I182:$L182)-COUNT($I182:$L182))&gt;0,"Avance fuera de rango 0-100%"&amp;" · ","")&amp;IF(OR(AND($J182&lt;&gt;"",$J182&lt;$I182),AND($K182&lt;&gt;"",$K182&lt;MAX($I182:$J182)),AND($L182&lt;&gt;"",$L182&lt;MAX($I182:$K182))),"Avance semanal decreciente"&amp;" · ","")&amp;IF(AND(ISNUMBER($AN182),$AN182&lt;FechaRef,IF($V182="Sub",N($X182),N($M182))&lt;1),"Vencida"&amp;" · ","")&amp;IF(AND(ObsObligatoria="Sí",ISNUMBER($AN182),$AN182&lt;FechaRef,IF($V182="Sub",N($X182),N($M182))&lt;1,$Q182=""),"Vencida sin observación"&amp;" · ",""))-3)))</f>
        <v/>
      </c>
      <c r="S182" s="64">
        <f>IF(NOT((COUNTA($B182:$D182)+COUNTA($G182:$L182)+COUNTA($Q182))&gt;0),"",IF(AND($V182="Sub",N($U182)&gt;0),IF(ISNUMBER(INDEX($AM$5:$AM$1000,$U182-4)),DATE(YEAR(INDEX($AM$5:$AM$1000,$U182-4)),MONTH(INDEX($AM$5:$AM$1000,$U182-4)),1),IF(ISNUMBER(INDEX($AN$5:$AN$1000,$U182-4)),DATE(YEAR(INDEX($AN$5:$AN$1000,$U182-4)),MONTH(INDEX($AN$5:$AN$1000,$U182-4)),1),MesCiclo)),IF(ISNUMBER($AM182),DATE(YEAR($AM182),MONTH($AM182),1),IF(ISNUMBER($AN182),DATE(YEAR($AN182),MONTH($AN182),1),MesCiclo))))</f>
        <v/>
      </c>
      <c r="T182" s="62">
        <f>IF(OR($S182="",$S182&lt;&gt;MesCiclo,$V182&lt;&gt;"Macro"),"",COUNTIFS($S$5:$S182,MesCiclo,$V$5:$V182,"Macro"))</f>
        <v/>
      </c>
      <c r="U182" s="62">
        <f>IF($V182="","",IF($V182="Macro",ROW(),IFERROR(LOOKUP(2,1/($V$5:$V182="Macro"),ROW($V$5:$V182)),0)))</f>
        <v/>
      </c>
      <c r="V182" s="62">
        <f>IF(NOT((COUNTA($B182:$D182)+COUNTA($G182:$L182)+COUNTA($Q182))&gt;0),"",IF($B182="Subactividad","Sub","Macro"))</f>
        <v/>
      </c>
      <c r="W182" s="62">
        <f>IF($V182="Macro",COUNTIFS($U$5:$U$1000,ROW(),$V$5:$V$1000,"Sub"),"")</f>
        <v/>
      </c>
      <c r="X182" s="62">
        <f>IF($V182="","",IF(ISNUMBER($G182),1,IFERROR(LOOKUP(2,1/($I182:$L182&lt;&gt;""),$I182:$L182),0)))</f>
        <v/>
      </c>
      <c r="Y182" s="62">
        <f>IF($V182="","",IF(AND(ISNUMBER($G182),$G182&lt;=IF($S182=MesCiclo,InicioCiclo,$S182+MOD(2-WEEKDAY($S182),7))+6),1,IF(ISNUMBER($I182),$I182,0)))</f>
        <v/>
      </c>
      <c r="Z182" s="62">
        <f>IF($V182="","",IF(AND(ISNUMBER($G182),$G182&lt;=IF($S182=MesCiclo,InicioCiclo,$S182+MOD(2-WEEKDAY($S182),7))+13),1,IF(ISNUMBER($J182),$J182,$Y182)))</f>
        <v/>
      </c>
      <c r="AA182" s="62">
        <f>IF($V182="","",IF(AND(ISNUMBER($G182),$G182&lt;=IF($S182=MesCiclo,InicioCiclo,$S182+MOD(2-WEEKDAY($S182),7))+20),1,IF(ISNUMBER($K182),$K182,$Z182)))</f>
        <v/>
      </c>
      <c r="AB182" s="62">
        <f>IF($V182="","",IF(AND(ISNUMBER($G182),$G182&lt;=IF($S182=MesCiclo,InicioCiclo,$S182+MOD(2-WEEKDAY($S182),7))+27),1,IF(ISNUMBER($L182),$L182,$AA182)))</f>
        <v/>
      </c>
      <c r="AC182" s="62">
        <f>IF($V182="","",IF(AND(ISNUMBER($G182),$G182&lt;=IF($S182=MesCiclo,InicioCiclo,$S182+MOD(2-WEEKDAY($S182),7))+6),1,IF(N($W182)&gt;0,AVERAGEIFS($Y$5:$Y$1000,$U$5:$U$1000,ROW(),$V$5:$V$1000,"Sub"),$Y182)))</f>
        <v/>
      </c>
      <c r="AD182" s="62">
        <f>IF($V182="","",IF(AND(ISNUMBER($G182),$G182&lt;=IF($S182=MesCiclo,InicioCiclo,$S182+MOD(2-WEEKDAY($S182),7))+13),1,IF(N($W182)&gt;0,AVERAGEIFS($Z$5:$Z$1000,$U$5:$U$1000,ROW(),$V$5:$V$1000,"Sub"),$Z182)))</f>
        <v/>
      </c>
      <c r="AE182" s="62">
        <f>IF($V182="","",IF(AND(ISNUMBER($G182),$G182&lt;=IF($S182=MesCiclo,InicioCiclo,$S182+MOD(2-WEEKDAY($S182),7))+20),1,IF(N($W182)&gt;0,AVERAGEIFS($AA$5:$AA$1000,$U$5:$U$1000,ROW(),$V$5:$V$1000,"Sub"),$AA182)))</f>
        <v/>
      </c>
      <c r="AF182" s="62">
        <f>IF($V182="","",IF(AND(ISNUMBER($G182),$G182&lt;=IF($S182=MesCiclo,InicioCiclo,$S182+MOD(2-WEEKDAY($S182),7))+27),1,IF(N($W182)&gt;0,AVERAGEIFS($AB$5:$AB$1000,$U$5:$U$1000,ROW(),$V$5:$V$1000,"Sub"),$AB182)))</f>
        <v/>
      </c>
      <c r="AG182" s="62">
        <f>IF($V182&lt;&gt;"Macro","",IF(COUNTIFS($S$5:$S$1000,$S182,$V$5:$V$1000,"Macro",$H$5:$H$1000,"&gt;0")=0,1/COUNTIFS($S$5:$S$1000,$S182,$V$5:$V$1000,"Macro"),IF(AND(ISNUMBER($H182),N($H182)&gt;0),$H182,SUMIFS($H$5:$H$1000,$S$5:$S$1000,$S182,$V$5:$V$1000,"Macro")/COUNTIFS($S$5:$S$1000,$S182,$V$5:$V$1000,"Macro",$H$5:$H$1000,"&gt;0"))/(COUNTIFS($S$5:$S$1000,$S182,$V$5:$V$1000,"Macro")*SUMIFS($H$5:$H$1000,$S$5:$S$1000,$S182,$V$5:$V$1000,"Macro")/COUNTIFS($S$5:$S$1000,$S182,$V$5:$V$1000,"Macro",$H$5:$H$1000,"&gt;0"))))</f>
        <v/>
      </c>
      <c r="AH182" s="62" t="n"/>
      <c r="AI182" s="62" t="n"/>
      <c r="AJ182" s="62" t="n"/>
      <c r="AK182" s="62" t="n"/>
      <c r="AL182" s="62">
        <f>IF(LEFT($C182,11)="[Jefatura] ",IFERROR(MATCH("Riesgo Normativo|"&amp;MID($C182,12,500),rDname_ADM,0),0),"")</f>
        <v/>
      </c>
      <c r="AM182" s="62">
        <f>IF(N($AL182)&gt;0,INDEX(rIni_ADM,$AL182),IF(ISNUMBER($E182),$E182,""))</f>
        <v/>
      </c>
      <c r="AN182" s="62">
        <f>IF(N($AL182)&gt;0,INDEX(rLim_ADM,$AL182),IF(ISNUMBER($F182),$F182,""))</f>
        <v/>
      </c>
    </row>
    <row r="183">
      <c r="A183" s="56">
        <f>IF(NOT((COUNTA($B183:$D183)+COUNTA($G183:$L183)+COUNTA($Q183))&gt;0),"",IF($V183="Macro",COUNTIFS($V$5:$V183,"Macro",$S$5:$S183,$S183),IF(N($U183)=0,"?",COUNTIFS(INDEX($V$5:$V$1000,1):INDEX($V$5:$V$1000,$U183-4),"Macro",INDEX($S$5:$S$1000,1):INDEX($S$5:$S$1000,$U183-4),INDEX($S$5:$S$1000,$U183-4))&amp;"."&amp;COUNTIFS($U$5:$U183,$U183,$V$5:$V183,"Sub"))))</f>
        <v/>
      </c>
      <c r="B183" s="57" t="n"/>
      <c r="C183" s="58" t="n"/>
      <c r="D183" s="58" t="n"/>
      <c r="E183" s="59">
        <f>IF(N($AL183)&gt;0,INDEX(rIni_ADM,$AL183),"")</f>
        <v/>
      </c>
      <c r="F183" s="59">
        <f>IF(N($AL183)&gt;0,INDEX(rLim_ADM,$AL183),"")</f>
        <v/>
      </c>
      <c r="G183" s="59" t="n"/>
      <c r="H183" s="60" t="n"/>
      <c r="I183" s="60" t="n"/>
      <c r="J183" s="60" t="n"/>
      <c r="K183" s="60" t="n"/>
      <c r="L183" s="60" t="n"/>
      <c r="M183" s="61">
        <f>IF(NOT((COUNTA($B183:$D183)+COUNTA($G183:$L183)+COUNTA($Q183))&gt;0),"",IF($V183="Sub",IFERROR($X183/INDEX($W$5:$W$1000,$U183-4),""),IF(ISNUMBER($G183),1,IF(N($W183)&gt;0,AVERAGEIFS($X$5:$X$1000,$U$5:$U$1000,ROW(),$V$5:$V$1000,"Sub"),$X183))))</f>
        <v/>
      </c>
      <c r="N183" s="56">
        <f>IF(OR($M183="",$V183="Sub"),"",IF($M183&gt;=1,"Completado",IF($M183&gt;0,"En curso","Pendiente")))</f>
        <v/>
      </c>
      <c r="O183" s="56">
        <f>IF(OR(NOT((COUNTA($B183:$D183)+COUNTA($G183:$L183)+COUNTA($Q183))&gt;0),$V183="Sub"),"",IF(ISNUMBER($G183),IF(AND(ISNUMBER($AN183),$G183&gt;$AN183),"Cumplida con "&amp;($G183-$AN183)&amp;IF($G183-$AN183=1," día"," días")&amp;" de retraso","Cumplida"),IF(N($M183)&gt;=1,"Cumplida",IF(NOT(ISNUMBER($AN183)),"Sin fecha límite",IF($AN183&lt;FechaRef,"Vencida hace "&amp;(FechaRef-$AN183)&amp;IF(FechaRef-$AN183=1," día"," días"),IF($AN183=FechaRef,"Vence hoy",IF($AN183-FechaRef&lt;=DiasAlerta,"Vence en "&amp;($AN183-FechaRef)&amp;IF($AN183-FechaRef=1," día"," días"),"En plazo")))))))</f>
        <v/>
      </c>
      <c r="P183" s="62" t="n"/>
      <c r="Q183" s="58" t="n"/>
      <c r="R183" s="63">
        <f>IF(NOT((COUNTA($B183:$D183)+COUNTA($G183:$L183)+COUNTA($Q183))&gt;0),"",IF((IF($C183="","Falta el nombre de la actividad"&amp;" · ","")&amp;IF(AND($V183="Sub",N($U183)=0),"Subactividad sin macroactividad arriba"&amp;" · ","")&amp;IF($AM183="","Sin fecha de inicio"&amp;" · ","")&amp;IF($AN183="","Sin fecha límite"&amp;" · ","")&amp;IF(AND(LEFT($C183,11)="[Jefatura] ",N($AL183)=0),"No se encuentra en la hoja de la jefatura (elíjala de nuevo en la lista)"&amp;" · ","")&amp;IF(OR(AND($E183&lt;&gt;"",NOT(ISNUMBER($E183))),AND($F183&lt;&gt;"",NOT(ISNUMBER($F183))),AND($G183&lt;&gt;"",NOT(ISNUMBER($G183)))),"Fecha no válida"&amp;" · ","")&amp;IF(AND(ISNUMBER($AM183),ISNUMBER($AN183),$AM183&gt;$AN183),"Inicio posterior a fecha límite"&amp;" · ","")&amp;IF(AND($V183="Macro",$H183&lt;&gt;"",OR(NOT(ISNUMBER($H183)),$H183&lt;0,$H183&gt;1)),"Peso fuera de rango"&amp;" · ","")&amp;IF(AND($V183="Sub",$H183&lt;&gt;""),"Las subactividades no llevan peso (valen igual dentro de su macroactividad)"&amp;" · ","")&amp;IF(AND(N($W183)&gt;0,COUNT($I183:$L183)&gt;0),"Con subactividades: deje vacías las semanas (se calculan solas)"&amp;" · ","")&amp;IF((COUNTIF($I183:$L183,"&gt;1")+COUNTIF($I183:$L183,"&lt;0")+COUNTA($I183:$L183)-COUNT($I183:$L183))&gt;0,"Avance fuera de rango 0-100%"&amp;" · ","")&amp;IF(OR(AND($J183&lt;&gt;"",$J183&lt;$I183),AND($K183&lt;&gt;"",$K183&lt;MAX($I183:$J183)),AND($L183&lt;&gt;"",$L183&lt;MAX($I183:$K183))),"Avance semanal decreciente"&amp;" · ","")&amp;IF(AND(ISNUMBER($AN183),$AN183&lt;FechaRef,IF($V183="Sub",N($X183),N($M183))&lt;1),"Vencida"&amp;" · ","")&amp;IF(AND(ObsObligatoria="Sí",ISNUMBER($AN183),$AN183&lt;FechaRef,IF($V183="Sub",N($X183),N($M183))&lt;1,$Q183=""),"Vencida sin observación"&amp;" · ",""))="","✔ OK","⚠ "&amp;LEFT(IF($C183="","Falta el nombre de la actividad"&amp;" · ","")&amp;IF(AND($V183="Sub",N($U183)=0),"Subactividad sin macroactividad arriba"&amp;" · ","")&amp;IF($AM183="","Sin fecha de inicio"&amp;" · ","")&amp;IF($AN183="","Sin fecha límite"&amp;" · ","")&amp;IF(AND(LEFT($C183,11)="[Jefatura] ",N($AL183)=0),"No se encuentra en la hoja de la jefatura (elíjala de nuevo en la lista)"&amp;" · ","")&amp;IF(OR(AND($E183&lt;&gt;"",NOT(ISNUMBER($E183))),AND($F183&lt;&gt;"",NOT(ISNUMBER($F183))),AND($G183&lt;&gt;"",NOT(ISNUMBER($G183)))),"Fecha no válida"&amp;" · ","")&amp;IF(AND(ISNUMBER($AM183),ISNUMBER($AN183),$AM183&gt;$AN183),"Inicio posterior a fecha límite"&amp;" · ","")&amp;IF(AND($V183="Macro",$H183&lt;&gt;"",OR(NOT(ISNUMBER($H183)),$H183&lt;0,$H183&gt;1)),"Peso fuera de rango"&amp;" · ","")&amp;IF(AND($V183="Sub",$H183&lt;&gt;""),"Las subactividades no llevan peso (valen igual dentro de su macroactividad)"&amp;" · ","")&amp;IF(AND(N($W183)&gt;0,COUNT($I183:$L183)&gt;0),"Con subactividades: deje vacías las semanas (se calculan solas)"&amp;" · ","")&amp;IF((COUNTIF($I183:$L183,"&gt;1")+COUNTIF($I183:$L183,"&lt;0")+COUNTA($I183:$L183)-COUNT($I183:$L183))&gt;0,"Avance fuera de rango 0-100%"&amp;" · ","")&amp;IF(OR(AND($J183&lt;&gt;"",$J183&lt;$I183),AND($K183&lt;&gt;"",$K183&lt;MAX($I183:$J183)),AND($L183&lt;&gt;"",$L183&lt;MAX($I183:$K183))),"Avance semanal decreciente"&amp;" · ","")&amp;IF(AND(ISNUMBER($AN183),$AN183&lt;FechaRef,IF($V183="Sub",N($X183),N($M183))&lt;1),"Vencida"&amp;" · ","")&amp;IF(AND(ObsObligatoria="Sí",ISNUMBER($AN183),$AN183&lt;FechaRef,IF($V183="Sub",N($X183),N($M183))&lt;1,$Q183=""),"Vencida sin observación"&amp;" · ",""),LEN(IF($C183="","Falta el nombre de la actividad"&amp;" · ","")&amp;IF(AND($V183="Sub",N($U183)=0),"Subactividad sin macroactividad arriba"&amp;" · ","")&amp;IF($AM183="","Sin fecha de inicio"&amp;" · ","")&amp;IF($AN183="","Sin fecha límite"&amp;" · ","")&amp;IF(AND(LEFT($C183,11)="[Jefatura] ",N($AL183)=0),"No se encuentra en la hoja de la jefatura (elíjala de nuevo en la lista)"&amp;" · ","")&amp;IF(OR(AND($E183&lt;&gt;"",NOT(ISNUMBER($E183))),AND($F183&lt;&gt;"",NOT(ISNUMBER($F183))),AND($G183&lt;&gt;"",NOT(ISNUMBER($G183)))),"Fecha no válida"&amp;" · ","")&amp;IF(AND(ISNUMBER($AM183),ISNUMBER($AN183),$AM183&gt;$AN183),"Inicio posterior a fecha límite"&amp;" · ","")&amp;IF(AND($V183="Macro",$H183&lt;&gt;"",OR(NOT(ISNUMBER($H183)),$H183&lt;0,$H183&gt;1)),"Peso fuera de rango"&amp;" · ","")&amp;IF(AND($V183="Sub",$H183&lt;&gt;""),"Las subactividades no llevan peso (valen igual dentro de su macroactividad)"&amp;" · ","")&amp;IF(AND(N($W183)&gt;0,COUNT($I183:$L183)&gt;0),"Con subactividades: deje vacías las semanas (se calculan solas)"&amp;" · ","")&amp;IF((COUNTIF($I183:$L183,"&gt;1")+COUNTIF($I183:$L183,"&lt;0")+COUNTA($I183:$L183)-COUNT($I183:$L183))&gt;0,"Avance fuera de rango 0-100%"&amp;" · ","")&amp;IF(OR(AND($J183&lt;&gt;"",$J183&lt;$I183),AND($K183&lt;&gt;"",$K183&lt;MAX($I183:$J183)),AND($L183&lt;&gt;"",$L183&lt;MAX($I183:$K183))),"Avance semanal decreciente"&amp;" · ","")&amp;IF(AND(ISNUMBER($AN183),$AN183&lt;FechaRef,IF($V183="Sub",N($X183),N($M183))&lt;1),"Vencida"&amp;" · ","")&amp;IF(AND(ObsObligatoria="Sí",ISNUMBER($AN183),$AN183&lt;FechaRef,IF($V183="Sub",N($X183),N($M183))&lt;1,$Q183=""),"Vencida sin observación"&amp;" · ",""))-3)))</f>
        <v/>
      </c>
      <c r="S183" s="64">
        <f>IF(NOT((COUNTA($B183:$D183)+COUNTA($G183:$L183)+COUNTA($Q183))&gt;0),"",IF(AND($V183="Sub",N($U183)&gt;0),IF(ISNUMBER(INDEX($AM$5:$AM$1000,$U183-4)),DATE(YEAR(INDEX($AM$5:$AM$1000,$U183-4)),MONTH(INDEX($AM$5:$AM$1000,$U183-4)),1),IF(ISNUMBER(INDEX($AN$5:$AN$1000,$U183-4)),DATE(YEAR(INDEX($AN$5:$AN$1000,$U183-4)),MONTH(INDEX($AN$5:$AN$1000,$U183-4)),1),MesCiclo)),IF(ISNUMBER($AM183),DATE(YEAR($AM183),MONTH($AM183),1),IF(ISNUMBER($AN183),DATE(YEAR($AN183),MONTH($AN183),1),MesCiclo))))</f>
        <v/>
      </c>
      <c r="T183" s="62">
        <f>IF(OR($S183="",$S183&lt;&gt;MesCiclo,$V183&lt;&gt;"Macro"),"",COUNTIFS($S$5:$S183,MesCiclo,$V$5:$V183,"Macro"))</f>
        <v/>
      </c>
      <c r="U183" s="62">
        <f>IF($V183="","",IF($V183="Macro",ROW(),IFERROR(LOOKUP(2,1/($V$5:$V183="Macro"),ROW($V$5:$V183)),0)))</f>
        <v/>
      </c>
      <c r="V183" s="62">
        <f>IF(NOT((COUNTA($B183:$D183)+COUNTA($G183:$L183)+COUNTA($Q183))&gt;0),"",IF($B183="Subactividad","Sub","Macro"))</f>
        <v/>
      </c>
      <c r="W183" s="62">
        <f>IF($V183="Macro",COUNTIFS($U$5:$U$1000,ROW(),$V$5:$V$1000,"Sub"),"")</f>
        <v/>
      </c>
      <c r="X183" s="62">
        <f>IF($V183="","",IF(ISNUMBER($G183),1,IFERROR(LOOKUP(2,1/($I183:$L183&lt;&gt;""),$I183:$L183),0)))</f>
        <v/>
      </c>
      <c r="Y183" s="62">
        <f>IF($V183="","",IF(AND(ISNUMBER($G183),$G183&lt;=IF($S183=MesCiclo,InicioCiclo,$S183+MOD(2-WEEKDAY($S183),7))+6),1,IF(ISNUMBER($I183),$I183,0)))</f>
        <v/>
      </c>
      <c r="Z183" s="62">
        <f>IF($V183="","",IF(AND(ISNUMBER($G183),$G183&lt;=IF($S183=MesCiclo,InicioCiclo,$S183+MOD(2-WEEKDAY($S183),7))+13),1,IF(ISNUMBER($J183),$J183,$Y183)))</f>
        <v/>
      </c>
      <c r="AA183" s="62">
        <f>IF($V183="","",IF(AND(ISNUMBER($G183),$G183&lt;=IF($S183=MesCiclo,InicioCiclo,$S183+MOD(2-WEEKDAY($S183),7))+20),1,IF(ISNUMBER($K183),$K183,$Z183)))</f>
        <v/>
      </c>
      <c r="AB183" s="62">
        <f>IF($V183="","",IF(AND(ISNUMBER($G183),$G183&lt;=IF($S183=MesCiclo,InicioCiclo,$S183+MOD(2-WEEKDAY($S183),7))+27),1,IF(ISNUMBER($L183),$L183,$AA183)))</f>
        <v/>
      </c>
      <c r="AC183" s="62">
        <f>IF($V183="","",IF(AND(ISNUMBER($G183),$G183&lt;=IF($S183=MesCiclo,InicioCiclo,$S183+MOD(2-WEEKDAY($S183),7))+6),1,IF(N($W183)&gt;0,AVERAGEIFS($Y$5:$Y$1000,$U$5:$U$1000,ROW(),$V$5:$V$1000,"Sub"),$Y183)))</f>
        <v/>
      </c>
      <c r="AD183" s="62">
        <f>IF($V183="","",IF(AND(ISNUMBER($G183),$G183&lt;=IF($S183=MesCiclo,InicioCiclo,$S183+MOD(2-WEEKDAY($S183),7))+13),1,IF(N($W183)&gt;0,AVERAGEIFS($Z$5:$Z$1000,$U$5:$U$1000,ROW(),$V$5:$V$1000,"Sub"),$Z183)))</f>
        <v/>
      </c>
      <c r="AE183" s="62">
        <f>IF($V183="","",IF(AND(ISNUMBER($G183),$G183&lt;=IF($S183=MesCiclo,InicioCiclo,$S183+MOD(2-WEEKDAY($S183),7))+20),1,IF(N($W183)&gt;0,AVERAGEIFS($AA$5:$AA$1000,$U$5:$U$1000,ROW(),$V$5:$V$1000,"Sub"),$AA183)))</f>
        <v/>
      </c>
      <c r="AF183" s="62">
        <f>IF($V183="","",IF(AND(ISNUMBER($G183),$G183&lt;=IF($S183=MesCiclo,InicioCiclo,$S183+MOD(2-WEEKDAY($S183),7))+27),1,IF(N($W183)&gt;0,AVERAGEIFS($AB$5:$AB$1000,$U$5:$U$1000,ROW(),$V$5:$V$1000,"Sub"),$AB183)))</f>
        <v/>
      </c>
      <c r="AG183" s="62">
        <f>IF($V183&lt;&gt;"Macro","",IF(COUNTIFS($S$5:$S$1000,$S183,$V$5:$V$1000,"Macro",$H$5:$H$1000,"&gt;0")=0,1/COUNTIFS($S$5:$S$1000,$S183,$V$5:$V$1000,"Macro"),IF(AND(ISNUMBER($H183),N($H183)&gt;0),$H183,SUMIFS($H$5:$H$1000,$S$5:$S$1000,$S183,$V$5:$V$1000,"Macro")/COUNTIFS($S$5:$S$1000,$S183,$V$5:$V$1000,"Macro",$H$5:$H$1000,"&gt;0"))/(COUNTIFS($S$5:$S$1000,$S183,$V$5:$V$1000,"Macro")*SUMIFS($H$5:$H$1000,$S$5:$S$1000,$S183,$V$5:$V$1000,"Macro")/COUNTIFS($S$5:$S$1000,$S183,$V$5:$V$1000,"Macro",$H$5:$H$1000,"&gt;0"))))</f>
        <v/>
      </c>
      <c r="AH183" s="62" t="n"/>
      <c r="AI183" s="62" t="n"/>
      <c r="AJ183" s="62" t="n"/>
      <c r="AK183" s="62" t="n"/>
      <c r="AL183" s="62">
        <f>IF(LEFT($C183,11)="[Jefatura] ",IFERROR(MATCH("Riesgo Normativo|"&amp;MID($C183,12,500),rDname_ADM,0),0),"")</f>
        <v/>
      </c>
      <c r="AM183" s="62">
        <f>IF(N($AL183)&gt;0,INDEX(rIni_ADM,$AL183),IF(ISNUMBER($E183),$E183,""))</f>
        <v/>
      </c>
      <c r="AN183" s="62">
        <f>IF(N($AL183)&gt;0,INDEX(rLim_ADM,$AL183),IF(ISNUMBER($F183),$F183,""))</f>
        <v/>
      </c>
    </row>
    <row r="184">
      <c r="A184" s="56">
        <f>IF(NOT((COUNTA($B184:$D184)+COUNTA($G184:$L184)+COUNTA($Q184))&gt;0),"",IF($V184="Macro",COUNTIFS($V$5:$V184,"Macro",$S$5:$S184,$S184),IF(N($U184)=0,"?",COUNTIFS(INDEX($V$5:$V$1000,1):INDEX($V$5:$V$1000,$U184-4),"Macro",INDEX($S$5:$S$1000,1):INDEX($S$5:$S$1000,$U184-4),INDEX($S$5:$S$1000,$U184-4))&amp;"."&amp;COUNTIFS($U$5:$U184,$U184,$V$5:$V184,"Sub"))))</f>
        <v/>
      </c>
      <c r="B184" s="57" t="n"/>
      <c r="C184" s="58" t="n"/>
      <c r="D184" s="58" t="n"/>
      <c r="E184" s="59">
        <f>IF(N($AL184)&gt;0,INDEX(rIni_ADM,$AL184),"")</f>
        <v/>
      </c>
      <c r="F184" s="59">
        <f>IF(N($AL184)&gt;0,INDEX(rLim_ADM,$AL184),"")</f>
        <v/>
      </c>
      <c r="G184" s="59" t="n"/>
      <c r="H184" s="60" t="n"/>
      <c r="I184" s="60" t="n"/>
      <c r="J184" s="60" t="n"/>
      <c r="K184" s="60" t="n"/>
      <c r="L184" s="60" t="n"/>
      <c r="M184" s="61">
        <f>IF(NOT((COUNTA($B184:$D184)+COUNTA($G184:$L184)+COUNTA($Q184))&gt;0),"",IF($V184="Sub",IFERROR($X184/INDEX($W$5:$W$1000,$U184-4),""),IF(ISNUMBER($G184),1,IF(N($W184)&gt;0,AVERAGEIFS($X$5:$X$1000,$U$5:$U$1000,ROW(),$V$5:$V$1000,"Sub"),$X184))))</f>
        <v/>
      </c>
      <c r="N184" s="56">
        <f>IF(OR($M184="",$V184="Sub"),"",IF($M184&gt;=1,"Completado",IF($M184&gt;0,"En curso","Pendiente")))</f>
        <v/>
      </c>
      <c r="O184" s="56">
        <f>IF(OR(NOT((COUNTA($B184:$D184)+COUNTA($G184:$L184)+COUNTA($Q184))&gt;0),$V184="Sub"),"",IF(ISNUMBER($G184),IF(AND(ISNUMBER($AN184),$G184&gt;$AN184),"Cumplida con "&amp;($G184-$AN184)&amp;IF($G184-$AN184=1," día"," días")&amp;" de retraso","Cumplida"),IF(N($M184)&gt;=1,"Cumplida",IF(NOT(ISNUMBER($AN184)),"Sin fecha límite",IF($AN184&lt;FechaRef,"Vencida hace "&amp;(FechaRef-$AN184)&amp;IF(FechaRef-$AN184=1," día"," días"),IF($AN184=FechaRef,"Vence hoy",IF($AN184-FechaRef&lt;=DiasAlerta,"Vence en "&amp;($AN184-FechaRef)&amp;IF($AN184-FechaRef=1," día"," días"),"En plazo")))))))</f>
        <v/>
      </c>
      <c r="P184" s="62" t="n"/>
      <c r="Q184" s="58" t="n"/>
      <c r="R184" s="63">
        <f>IF(NOT((COUNTA($B184:$D184)+COUNTA($G184:$L184)+COUNTA($Q184))&gt;0),"",IF((IF($C184="","Falta el nombre de la actividad"&amp;" · ","")&amp;IF(AND($V184="Sub",N($U184)=0),"Subactividad sin macroactividad arriba"&amp;" · ","")&amp;IF($AM184="","Sin fecha de inicio"&amp;" · ","")&amp;IF($AN184="","Sin fecha límite"&amp;" · ","")&amp;IF(AND(LEFT($C184,11)="[Jefatura] ",N($AL184)=0),"No se encuentra en la hoja de la jefatura (elíjala de nuevo en la lista)"&amp;" · ","")&amp;IF(OR(AND($E184&lt;&gt;"",NOT(ISNUMBER($E184))),AND($F184&lt;&gt;"",NOT(ISNUMBER($F184))),AND($G184&lt;&gt;"",NOT(ISNUMBER($G184)))),"Fecha no válida"&amp;" · ","")&amp;IF(AND(ISNUMBER($AM184),ISNUMBER($AN184),$AM184&gt;$AN184),"Inicio posterior a fecha límite"&amp;" · ","")&amp;IF(AND($V184="Macro",$H184&lt;&gt;"",OR(NOT(ISNUMBER($H184)),$H184&lt;0,$H184&gt;1)),"Peso fuera de rango"&amp;" · ","")&amp;IF(AND($V184="Sub",$H184&lt;&gt;""),"Las subactividades no llevan peso (valen igual dentro de su macroactividad)"&amp;" · ","")&amp;IF(AND(N($W184)&gt;0,COUNT($I184:$L184)&gt;0),"Con subactividades: deje vacías las semanas (se calculan solas)"&amp;" · ","")&amp;IF((COUNTIF($I184:$L184,"&gt;1")+COUNTIF($I184:$L184,"&lt;0")+COUNTA($I184:$L184)-COUNT($I184:$L184))&gt;0,"Avance fuera de rango 0-100%"&amp;" · ","")&amp;IF(OR(AND($J184&lt;&gt;"",$J184&lt;$I184),AND($K184&lt;&gt;"",$K184&lt;MAX($I184:$J184)),AND($L184&lt;&gt;"",$L184&lt;MAX($I184:$K184))),"Avance semanal decreciente"&amp;" · ","")&amp;IF(AND(ISNUMBER($AN184),$AN184&lt;FechaRef,IF($V184="Sub",N($X184),N($M184))&lt;1),"Vencida"&amp;" · ","")&amp;IF(AND(ObsObligatoria="Sí",ISNUMBER($AN184),$AN184&lt;FechaRef,IF($V184="Sub",N($X184),N($M184))&lt;1,$Q184=""),"Vencida sin observación"&amp;" · ",""))="","✔ OK","⚠ "&amp;LEFT(IF($C184="","Falta el nombre de la actividad"&amp;" · ","")&amp;IF(AND($V184="Sub",N($U184)=0),"Subactividad sin macroactividad arriba"&amp;" · ","")&amp;IF($AM184="","Sin fecha de inicio"&amp;" · ","")&amp;IF($AN184="","Sin fecha límite"&amp;" · ","")&amp;IF(AND(LEFT($C184,11)="[Jefatura] ",N($AL184)=0),"No se encuentra en la hoja de la jefatura (elíjala de nuevo en la lista)"&amp;" · ","")&amp;IF(OR(AND($E184&lt;&gt;"",NOT(ISNUMBER($E184))),AND($F184&lt;&gt;"",NOT(ISNUMBER($F184))),AND($G184&lt;&gt;"",NOT(ISNUMBER($G184)))),"Fecha no válida"&amp;" · ","")&amp;IF(AND(ISNUMBER($AM184),ISNUMBER($AN184),$AM184&gt;$AN184),"Inicio posterior a fecha límite"&amp;" · ","")&amp;IF(AND($V184="Macro",$H184&lt;&gt;"",OR(NOT(ISNUMBER($H184)),$H184&lt;0,$H184&gt;1)),"Peso fuera de rango"&amp;" · ","")&amp;IF(AND($V184="Sub",$H184&lt;&gt;""),"Las subactividades no llevan peso (valen igual dentro de su macroactividad)"&amp;" · ","")&amp;IF(AND(N($W184)&gt;0,COUNT($I184:$L184)&gt;0),"Con subactividades: deje vacías las semanas (se calculan solas)"&amp;" · ","")&amp;IF((COUNTIF($I184:$L184,"&gt;1")+COUNTIF($I184:$L184,"&lt;0")+COUNTA($I184:$L184)-COUNT($I184:$L184))&gt;0,"Avance fuera de rango 0-100%"&amp;" · ","")&amp;IF(OR(AND($J184&lt;&gt;"",$J184&lt;$I184),AND($K184&lt;&gt;"",$K184&lt;MAX($I184:$J184)),AND($L184&lt;&gt;"",$L184&lt;MAX($I184:$K184))),"Avance semanal decreciente"&amp;" · ","")&amp;IF(AND(ISNUMBER($AN184),$AN184&lt;FechaRef,IF($V184="Sub",N($X184),N($M184))&lt;1),"Vencida"&amp;" · ","")&amp;IF(AND(ObsObligatoria="Sí",ISNUMBER($AN184),$AN184&lt;FechaRef,IF($V184="Sub",N($X184),N($M184))&lt;1,$Q184=""),"Vencida sin observación"&amp;" · ",""),LEN(IF($C184="","Falta el nombre de la actividad"&amp;" · ","")&amp;IF(AND($V184="Sub",N($U184)=0),"Subactividad sin macroactividad arriba"&amp;" · ","")&amp;IF($AM184="","Sin fecha de inicio"&amp;" · ","")&amp;IF($AN184="","Sin fecha límite"&amp;" · ","")&amp;IF(AND(LEFT($C184,11)="[Jefatura] ",N($AL184)=0),"No se encuentra en la hoja de la jefatura (elíjala de nuevo en la lista)"&amp;" · ","")&amp;IF(OR(AND($E184&lt;&gt;"",NOT(ISNUMBER($E184))),AND($F184&lt;&gt;"",NOT(ISNUMBER($F184))),AND($G184&lt;&gt;"",NOT(ISNUMBER($G184)))),"Fecha no válida"&amp;" · ","")&amp;IF(AND(ISNUMBER($AM184),ISNUMBER($AN184),$AM184&gt;$AN184),"Inicio posterior a fecha límite"&amp;" · ","")&amp;IF(AND($V184="Macro",$H184&lt;&gt;"",OR(NOT(ISNUMBER($H184)),$H184&lt;0,$H184&gt;1)),"Peso fuera de rango"&amp;" · ","")&amp;IF(AND($V184="Sub",$H184&lt;&gt;""),"Las subactividades no llevan peso (valen igual dentro de su macroactividad)"&amp;" · ","")&amp;IF(AND(N($W184)&gt;0,COUNT($I184:$L184)&gt;0),"Con subactividades: deje vacías las semanas (se calculan solas)"&amp;" · ","")&amp;IF((COUNTIF($I184:$L184,"&gt;1")+COUNTIF($I184:$L184,"&lt;0")+COUNTA($I184:$L184)-COUNT($I184:$L184))&gt;0,"Avance fuera de rango 0-100%"&amp;" · ","")&amp;IF(OR(AND($J184&lt;&gt;"",$J184&lt;$I184),AND($K184&lt;&gt;"",$K184&lt;MAX($I184:$J184)),AND($L184&lt;&gt;"",$L184&lt;MAX($I184:$K184))),"Avance semanal decreciente"&amp;" · ","")&amp;IF(AND(ISNUMBER($AN184),$AN184&lt;FechaRef,IF($V184="Sub",N($X184),N($M184))&lt;1),"Vencida"&amp;" · ","")&amp;IF(AND(ObsObligatoria="Sí",ISNUMBER($AN184),$AN184&lt;FechaRef,IF($V184="Sub",N($X184),N($M184))&lt;1,$Q184=""),"Vencida sin observación"&amp;" · ",""))-3)))</f>
        <v/>
      </c>
      <c r="S184" s="64">
        <f>IF(NOT((COUNTA($B184:$D184)+COUNTA($G184:$L184)+COUNTA($Q184))&gt;0),"",IF(AND($V184="Sub",N($U184)&gt;0),IF(ISNUMBER(INDEX($AM$5:$AM$1000,$U184-4)),DATE(YEAR(INDEX($AM$5:$AM$1000,$U184-4)),MONTH(INDEX($AM$5:$AM$1000,$U184-4)),1),IF(ISNUMBER(INDEX($AN$5:$AN$1000,$U184-4)),DATE(YEAR(INDEX($AN$5:$AN$1000,$U184-4)),MONTH(INDEX($AN$5:$AN$1000,$U184-4)),1),MesCiclo)),IF(ISNUMBER($AM184),DATE(YEAR($AM184),MONTH($AM184),1),IF(ISNUMBER($AN184),DATE(YEAR($AN184),MONTH($AN184),1),MesCiclo))))</f>
        <v/>
      </c>
      <c r="T184" s="62">
        <f>IF(OR($S184="",$S184&lt;&gt;MesCiclo,$V184&lt;&gt;"Macro"),"",COUNTIFS($S$5:$S184,MesCiclo,$V$5:$V184,"Macro"))</f>
        <v/>
      </c>
      <c r="U184" s="62">
        <f>IF($V184="","",IF($V184="Macro",ROW(),IFERROR(LOOKUP(2,1/($V$5:$V184="Macro"),ROW($V$5:$V184)),0)))</f>
        <v/>
      </c>
      <c r="V184" s="62">
        <f>IF(NOT((COUNTA($B184:$D184)+COUNTA($G184:$L184)+COUNTA($Q184))&gt;0),"",IF($B184="Subactividad","Sub","Macro"))</f>
        <v/>
      </c>
      <c r="W184" s="62">
        <f>IF($V184="Macro",COUNTIFS($U$5:$U$1000,ROW(),$V$5:$V$1000,"Sub"),"")</f>
        <v/>
      </c>
      <c r="X184" s="62">
        <f>IF($V184="","",IF(ISNUMBER($G184),1,IFERROR(LOOKUP(2,1/($I184:$L184&lt;&gt;""),$I184:$L184),0)))</f>
        <v/>
      </c>
      <c r="Y184" s="62">
        <f>IF($V184="","",IF(AND(ISNUMBER($G184),$G184&lt;=IF($S184=MesCiclo,InicioCiclo,$S184+MOD(2-WEEKDAY($S184),7))+6),1,IF(ISNUMBER($I184),$I184,0)))</f>
        <v/>
      </c>
      <c r="Z184" s="62">
        <f>IF($V184="","",IF(AND(ISNUMBER($G184),$G184&lt;=IF($S184=MesCiclo,InicioCiclo,$S184+MOD(2-WEEKDAY($S184),7))+13),1,IF(ISNUMBER($J184),$J184,$Y184)))</f>
        <v/>
      </c>
      <c r="AA184" s="62">
        <f>IF($V184="","",IF(AND(ISNUMBER($G184),$G184&lt;=IF($S184=MesCiclo,InicioCiclo,$S184+MOD(2-WEEKDAY($S184),7))+20),1,IF(ISNUMBER($K184),$K184,$Z184)))</f>
        <v/>
      </c>
      <c r="AB184" s="62">
        <f>IF($V184="","",IF(AND(ISNUMBER($G184),$G184&lt;=IF($S184=MesCiclo,InicioCiclo,$S184+MOD(2-WEEKDAY($S184),7))+27),1,IF(ISNUMBER($L184),$L184,$AA184)))</f>
        <v/>
      </c>
      <c r="AC184" s="62">
        <f>IF($V184="","",IF(AND(ISNUMBER($G184),$G184&lt;=IF($S184=MesCiclo,InicioCiclo,$S184+MOD(2-WEEKDAY($S184),7))+6),1,IF(N($W184)&gt;0,AVERAGEIFS($Y$5:$Y$1000,$U$5:$U$1000,ROW(),$V$5:$V$1000,"Sub"),$Y184)))</f>
        <v/>
      </c>
      <c r="AD184" s="62">
        <f>IF($V184="","",IF(AND(ISNUMBER($G184),$G184&lt;=IF($S184=MesCiclo,InicioCiclo,$S184+MOD(2-WEEKDAY($S184),7))+13),1,IF(N($W184)&gt;0,AVERAGEIFS($Z$5:$Z$1000,$U$5:$U$1000,ROW(),$V$5:$V$1000,"Sub"),$Z184)))</f>
        <v/>
      </c>
      <c r="AE184" s="62">
        <f>IF($V184="","",IF(AND(ISNUMBER($G184),$G184&lt;=IF($S184=MesCiclo,InicioCiclo,$S184+MOD(2-WEEKDAY($S184),7))+20),1,IF(N($W184)&gt;0,AVERAGEIFS($AA$5:$AA$1000,$U$5:$U$1000,ROW(),$V$5:$V$1000,"Sub"),$AA184)))</f>
        <v/>
      </c>
      <c r="AF184" s="62">
        <f>IF($V184="","",IF(AND(ISNUMBER($G184),$G184&lt;=IF($S184=MesCiclo,InicioCiclo,$S184+MOD(2-WEEKDAY($S184),7))+27),1,IF(N($W184)&gt;0,AVERAGEIFS($AB$5:$AB$1000,$U$5:$U$1000,ROW(),$V$5:$V$1000,"Sub"),$AB184)))</f>
        <v/>
      </c>
      <c r="AG184" s="62">
        <f>IF($V184&lt;&gt;"Macro","",IF(COUNTIFS($S$5:$S$1000,$S184,$V$5:$V$1000,"Macro",$H$5:$H$1000,"&gt;0")=0,1/COUNTIFS($S$5:$S$1000,$S184,$V$5:$V$1000,"Macro"),IF(AND(ISNUMBER($H184),N($H184)&gt;0),$H184,SUMIFS($H$5:$H$1000,$S$5:$S$1000,$S184,$V$5:$V$1000,"Macro")/COUNTIFS($S$5:$S$1000,$S184,$V$5:$V$1000,"Macro",$H$5:$H$1000,"&gt;0"))/(COUNTIFS($S$5:$S$1000,$S184,$V$5:$V$1000,"Macro")*SUMIFS($H$5:$H$1000,$S$5:$S$1000,$S184,$V$5:$V$1000,"Macro")/COUNTIFS($S$5:$S$1000,$S184,$V$5:$V$1000,"Macro",$H$5:$H$1000,"&gt;0"))))</f>
        <v/>
      </c>
      <c r="AH184" s="62" t="n"/>
      <c r="AI184" s="62" t="n"/>
      <c r="AJ184" s="62" t="n"/>
      <c r="AK184" s="62" t="n"/>
      <c r="AL184" s="62">
        <f>IF(LEFT($C184,11)="[Jefatura] ",IFERROR(MATCH("Riesgo Normativo|"&amp;MID($C184,12,500),rDname_ADM,0),0),"")</f>
        <v/>
      </c>
      <c r="AM184" s="62">
        <f>IF(N($AL184)&gt;0,INDEX(rIni_ADM,$AL184),IF(ISNUMBER($E184),$E184,""))</f>
        <v/>
      </c>
      <c r="AN184" s="62">
        <f>IF(N($AL184)&gt;0,INDEX(rLim_ADM,$AL184),IF(ISNUMBER($F184),$F184,""))</f>
        <v/>
      </c>
    </row>
    <row r="185">
      <c r="A185" s="56">
        <f>IF(NOT((COUNTA($B185:$D185)+COUNTA($G185:$L185)+COUNTA($Q185))&gt;0),"",IF($V185="Macro",COUNTIFS($V$5:$V185,"Macro",$S$5:$S185,$S185),IF(N($U185)=0,"?",COUNTIFS(INDEX($V$5:$V$1000,1):INDEX($V$5:$V$1000,$U185-4),"Macro",INDEX($S$5:$S$1000,1):INDEX($S$5:$S$1000,$U185-4),INDEX($S$5:$S$1000,$U185-4))&amp;"."&amp;COUNTIFS($U$5:$U185,$U185,$V$5:$V185,"Sub"))))</f>
        <v/>
      </c>
      <c r="B185" s="57" t="n"/>
      <c r="C185" s="58" t="n"/>
      <c r="D185" s="58" t="n"/>
      <c r="E185" s="59">
        <f>IF(N($AL185)&gt;0,INDEX(rIni_ADM,$AL185),"")</f>
        <v/>
      </c>
      <c r="F185" s="59">
        <f>IF(N($AL185)&gt;0,INDEX(rLim_ADM,$AL185),"")</f>
        <v/>
      </c>
      <c r="G185" s="59" t="n"/>
      <c r="H185" s="60" t="n"/>
      <c r="I185" s="60" t="n"/>
      <c r="J185" s="60" t="n"/>
      <c r="K185" s="60" t="n"/>
      <c r="L185" s="60" t="n"/>
      <c r="M185" s="61">
        <f>IF(NOT((COUNTA($B185:$D185)+COUNTA($G185:$L185)+COUNTA($Q185))&gt;0),"",IF($V185="Sub",IFERROR($X185/INDEX($W$5:$W$1000,$U185-4),""),IF(ISNUMBER($G185),1,IF(N($W185)&gt;0,AVERAGEIFS($X$5:$X$1000,$U$5:$U$1000,ROW(),$V$5:$V$1000,"Sub"),$X185))))</f>
        <v/>
      </c>
      <c r="N185" s="56">
        <f>IF(OR($M185="",$V185="Sub"),"",IF($M185&gt;=1,"Completado",IF($M185&gt;0,"En curso","Pendiente")))</f>
        <v/>
      </c>
      <c r="O185" s="56">
        <f>IF(OR(NOT((COUNTA($B185:$D185)+COUNTA($G185:$L185)+COUNTA($Q185))&gt;0),$V185="Sub"),"",IF(ISNUMBER($G185),IF(AND(ISNUMBER($AN185),$G185&gt;$AN185),"Cumplida con "&amp;($G185-$AN185)&amp;IF($G185-$AN185=1," día"," días")&amp;" de retraso","Cumplida"),IF(N($M185)&gt;=1,"Cumplida",IF(NOT(ISNUMBER($AN185)),"Sin fecha límite",IF($AN185&lt;FechaRef,"Vencida hace "&amp;(FechaRef-$AN185)&amp;IF(FechaRef-$AN185=1," día"," días"),IF($AN185=FechaRef,"Vence hoy",IF($AN185-FechaRef&lt;=DiasAlerta,"Vence en "&amp;($AN185-FechaRef)&amp;IF($AN185-FechaRef=1," día"," días"),"En plazo")))))))</f>
        <v/>
      </c>
      <c r="P185" s="62" t="n"/>
      <c r="Q185" s="58" t="n"/>
      <c r="R185" s="63">
        <f>IF(NOT((COUNTA($B185:$D185)+COUNTA($G185:$L185)+COUNTA($Q185))&gt;0),"",IF((IF($C185="","Falta el nombre de la actividad"&amp;" · ","")&amp;IF(AND($V185="Sub",N($U185)=0),"Subactividad sin macroactividad arriba"&amp;" · ","")&amp;IF($AM185="","Sin fecha de inicio"&amp;" · ","")&amp;IF($AN185="","Sin fecha límite"&amp;" · ","")&amp;IF(AND(LEFT($C185,11)="[Jefatura] ",N($AL185)=0),"No se encuentra en la hoja de la jefatura (elíjala de nuevo en la lista)"&amp;" · ","")&amp;IF(OR(AND($E185&lt;&gt;"",NOT(ISNUMBER($E185))),AND($F185&lt;&gt;"",NOT(ISNUMBER($F185))),AND($G185&lt;&gt;"",NOT(ISNUMBER($G185)))),"Fecha no válida"&amp;" · ","")&amp;IF(AND(ISNUMBER($AM185),ISNUMBER($AN185),$AM185&gt;$AN185),"Inicio posterior a fecha límite"&amp;" · ","")&amp;IF(AND($V185="Macro",$H185&lt;&gt;"",OR(NOT(ISNUMBER($H185)),$H185&lt;0,$H185&gt;1)),"Peso fuera de rango"&amp;" · ","")&amp;IF(AND($V185="Sub",$H185&lt;&gt;""),"Las subactividades no llevan peso (valen igual dentro de su macroactividad)"&amp;" · ","")&amp;IF(AND(N($W185)&gt;0,COUNT($I185:$L185)&gt;0),"Con subactividades: deje vacías las semanas (se calculan solas)"&amp;" · ","")&amp;IF((COUNTIF($I185:$L185,"&gt;1")+COUNTIF($I185:$L185,"&lt;0")+COUNTA($I185:$L185)-COUNT($I185:$L185))&gt;0,"Avance fuera de rango 0-100%"&amp;" · ","")&amp;IF(OR(AND($J185&lt;&gt;"",$J185&lt;$I185),AND($K185&lt;&gt;"",$K185&lt;MAX($I185:$J185)),AND($L185&lt;&gt;"",$L185&lt;MAX($I185:$K185))),"Avance semanal decreciente"&amp;" · ","")&amp;IF(AND(ISNUMBER($AN185),$AN185&lt;FechaRef,IF($V185="Sub",N($X185),N($M185))&lt;1),"Vencida"&amp;" · ","")&amp;IF(AND(ObsObligatoria="Sí",ISNUMBER($AN185),$AN185&lt;FechaRef,IF($V185="Sub",N($X185),N($M185))&lt;1,$Q185=""),"Vencida sin observación"&amp;" · ",""))="","✔ OK","⚠ "&amp;LEFT(IF($C185="","Falta el nombre de la actividad"&amp;" · ","")&amp;IF(AND($V185="Sub",N($U185)=0),"Subactividad sin macroactividad arriba"&amp;" · ","")&amp;IF($AM185="","Sin fecha de inicio"&amp;" · ","")&amp;IF($AN185="","Sin fecha límite"&amp;" · ","")&amp;IF(AND(LEFT($C185,11)="[Jefatura] ",N($AL185)=0),"No se encuentra en la hoja de la jefatura (elíjala de nuevo en la lista)"&amp;" · ","")&amp;IF(OR(AND($E185&lt;&gt;"",NOT(ISNUMBER($E185))),AND($F185&lt;&gt;"",NOT(ISNUMBER($F185))),AND($G185&lt;&gt;"",NOT(ISNUMBER($G185)))),"Fecha no válida"&amp;" · ","")&amp;IF(AND(ISNUMBER($AM185),ISNUMBER($AN185),$AM185&gt;$AN185),"Inicio posterior a fecha límite"&amp;" · ","")&amp;IF(AND($V185="Macro",$H185&lt;&gt;"",OR(NOT(ISNUMBER($H185)),$H185&lt;0,$H185&gt;1)),"Peso fuera de rango"&amp;" · ","")&amp;IF(AND($V185="Sub",$H185&lt;&gt;""),"Las subactividades no llevan peso (valen igual dentro de su macroactividad)"&amp;" · ","")&amp;IF(AND(N($W185)&gt;0,COUNT($I185:$L185)&gt;0),"Con subactividades: deje vacías las semanas (se calculan solas)"&amp;" · ","")&amp;IF((COUNTIF($I185:$L185,"&gt;1")+COUNTIF($I185:$L185,"&lt;0")+COUNTA($I185:$L185)-COUNT($I185:$L185))&gt;0,"Avance fuera de rango 0-100%"&amp;" · ","")&amp;IF(OR(AND($J185&lt;&gt;"",$J185&lt;$I185),AND($K185&lt;&gt;"",$K185&lt;MAX($I185:$J185)),AND($L185&lt;&gt;"",$L185&lt;MAX($I185:$K185))),"Avance semanal decreciente"&amp;" · ","")&amp;IF(AND(ISNUMBER($AN185),$AN185&lt;FechaRef,IF($V185="Sub",N($X185),N($M185))&lt;1),"Vencida"&amp;" · ","")&amp;IF(AND(ObsObligatoria="Sí",ISNUMBER($AN185),$AN185&lt;FechaRef,IF($V185="Sub",N($X185),N($M185))&lt;1,$Q185=""),"Vencida sin observación"&amp;" · ",""),LEN(IF($C185="","Falta el nombre de la actividad"&amp;" · ","")&amp;IF(AND($V185="Sub",N($U185)=0),"Subactividad sin macroactividad arriba"&amp;" · ","")&amp;IF($AM185="","Sin fecha de inicio"&amp;" · ","")&amp;IF($AN185="","Sin fecha límite"&amp;" · ","")&amp;IF(AND(LEFT($C185,11)="[Jefatura] ",N($AL185)=0),"No se encuentra en la hoja de la jefatura (elíjala de nuevo en la lista)"&amp;" · ","")&amp;IF(OR(AND($E185&lt;&gt;"",NOT(ISNUMBER($E185))),AND($F185&lt;&gt;"",NOT(ISNUMBER($F185))),AND($G185&lt;&gt;"",NOT(ISNUMBER($G185)))),"Fecha no válida"&amp;" · ","")&amp;IF(AND(ISNUMBER($AM185),ISNUMBER($AN185),$AM185&gt;$AN185),"Inicio posterior a fecha límite"&amp;" · ","")&amp;IF(AND($V185="Macro",$H185&lt;&gt;"",OR(NOT(ISNUMBER($H185)),$H185&lt;0,$H185&gt;1)),"Peso fuera de rango"&amp;" · ","")&amp;IF(AND($V185="Sub",$H185&lt;&gt;""),"Las subactividades no llevan peso (valen igual dentro de su macroactividad)"&amp;" · ","")&amp;IF(AND(N($W185)&gt;0,COUNT($I185:$L185)&gt;0),"Con subactividades: deje vacías las semanas (se calculan solas)"&amp;" · ","")&amp;IF((COUNTIF($I185:$L185,"&gt;1")+COUNTIF($I185:$L185,"&lt;0")+COUNTA($I185:$L185)-COUNT($I185:$L185))&gt;0,"Avance fuera de rango 0-100%"&amp;" · ","")&amp;IF(OR(AND($J185&lt;&gt;"",$J185&lt;$I185),AND($K185&lt;&gt;"",$K185&lt;MAX($I185:$J185)),AND($L185&lt;&gt;"",$L185&lt;MAX($I185:$K185))),"Avance semanal decreciente"&amp;" · ","")&amp;IF(AND(ISNUMBER($AN185),$AN185&lt;FechaRef,IF($V185="Sub",N($X185),N($M185))&lt;1),"Vencida"&amp;" · ","")&amp;IF(AND(ObsObligatoria="Sí",ISNUMBER($AN185),$AN185&lt;FechaRef,IF($V185="Sub",N($X185),N($M185))&lt;1,$Q185=""),"Vencida sin observación"&amp;" · ",""))-3)))</f>
        <v/>
      </c>
      <c r="S185" s="64">
        <f>IF(NOT((COUNTA($B185:$D185)+COUNTA($G185:$L185)+COUNTA($Q185))&gt;0),"",IF(AND($V185="Sub",N($U185)&gt;0),IF(ISNUMBER(INDEX($AM$5:$AM$1000,$U185-4)),DATE(YEAR(INDEX($AM$5:$AM$1000,$U185-4)),MONTH(INDEX($AM$5:$AM$1000,$U185-4)),1),IF(ISNUMBER(INDEX($AN$5:$AN$1000,$U185-4)),DATE(YEAR(INDEX($AN$5:$AN$1000,$U185-4)),MONTH(INDEX($AN$5:$AN$1000,$U185-4)),1),MesCiclo)),IF(ISNUMBER($AM185),DATE(YEAR($AM185),MONTH($AM185),1),IF(ISNUMBER($AN185),DATE(YEAR($AN185),MONTH($AN185),1),MesCiclo))))</f>
        <v/>
      </c>
      <c r="T185" s="62">
        <f>IF(OR($S185="",$S185&lt;&gt;MesCiclo,$V185&lt;&gt;"Macro"),"",COUNTIFS($S$5:$S185,MesCiclo,$V$5:$V185,"Macro"))</f>
        <v/>
      </c>
      <c r="U185" s="62">
        <f>IF($V185="","",IF($V185="Macro",ROW(),IFERROR(LOOKUP(2,1/($V$5:$V185="Macro"),ROW($V$5:$V185)),0)))</f>
        <v/>
      </c>
      <c r="V185" s="62">
        <f>IF(NOT((COUNTA($B185:$D185)+COUNTA($G185:$L185)+COUNTA($Q185))&gt;0),"",IF($B185="Subactividad","Sub","Macro"))</f>
        <v/>
      </c>
      <c r="W185" s="62">
        <f>IF($V185="Macro",COUNTIFS($U$5:$U$1000,ROW(),$V$5:$V$1000,"Sub"),"")</f>
        <v/>
      </c>
      <c r="X185" s="62">
        <f>IF($V185="","",IF(ISNUMBER($G185),1,IFERROR(LOOKUP(2,1/($I185:$L185&lt;&gt;""),$I185:$L185),0)))</f>
        <v/>
      </c>
      <c r="Y185" s="62">
        <f>IF($V185="","",IF(AND(ISNUMBER($G185),$G185&lt;=IF($S185=MesCiclo,InicioCiclo,$S185+MOD(2-WEEKDAY($S185),7))+6),1,IF(ISNUMBER($I185),$I185,0)))</f>
        <v/>
      </c>
      <c r="Z185" s="62">
        <f>IF($V185="","",IF(AND(ISNUMBER($G185),$G185&lt;=IF($S185=MesCiclo,InicioCiclo,$S185+MOD(2-WEEKDAY($S185),7))+13),1,IF(ISNUMBER($J185),$J185,$Y185)))</f>
        <v/>
      </c>
      <c r="AA185" s="62">
        <f>IF($V185="","",IF(AND(ISNUMBER($G185),$G185&lt;=IF($S185=MesCiclo,InicioCiclo,$S185+MOD(2-WEEKDAY($S185),7))+20),1,IF(ISNUMBER($K185),$K185,$Z185)))</f>
        <v/>
      </c>
      <c r="AB185" s="62">
        <f>IF($V185="","",IF(AND(ISNUMBER($G185),$G185&lt;=IF($S185=MesCiclo,InicioCiclo,$S185+MOD(2-WEEKDAY($S185),7))+27),1,IF(ISNUMBER($L185),$L185,$AA185)))</f>
        <v/>
      </c>
      <c r="AC185" s="62">
        <f>IF($V185="","",IF(AND(ISNUMBER($G185),$G185&lt;=IF($S185=MesCiclo,InicioCiclo,$S185+MOD(2-WEEKDAY($S185),7))+6),1,IF(N($W185)&gt;0,AVERAGEIFS($Y$5:$Y$1000,$U$5:$U$1000,ROW(),$V$5:$V$1000,"Sub"),$Y185)))</f>
        <v/>
      </c>
      <c r="AD185" s="62">
        <f>IF($V185="","",IF(AND(ISNUMBER($G185),$G185&lt;=IF($S185=MesCiclo,InicioCiclo,$S185+MOD(2-WEEKDAY($S185),7))+13),1,IF(N($W185)&gt;0,AVERAGEIFS($Z$5:$Z$1000,$U$5:$U$1000,ROW(),$V$5:$V$1000,"Sub"),$Z185)))</f>
        <v/>
      </c>
      <c r="AE185" s="62">
        <f>IF($V185="","",IF(AND(ISNUMBER($G185),$G185&lt;=IF($S185=MesCiclo,InicioCiclo,$S185+MOD(2-WEEKDAY($S185),7))+20),1,IF(N($W185)&gt;0,AVERAGEIFS($AA$5:$AA$1000,$U$5:$U$1000,ROW(),$V$5:$V$1000,"Sub"),$AA185)))</f>
        <v/>
      </c>
      <c r="AF185" s="62">
        <f>IF($V185="","",IF(AND(ISNUMBER($G185),$G185&lt;=IF($S185=MesCiclo,InicioCiclo,$S185+MOD(2-WEEKDAY($S185),7))+27),1,IF(N($W185)&gt;0,AVERAGEIFS($AB$5:$AB$1000,$U$5:$U$1000,ROW(),$V$5:$V$1000,"Sub"),$AB185)))</f>
        <v/>
      </c>
      <c r="AG185" s="62">
        <f>IF($V185&lt;&gt;"Macro","",IF(COUNTIFS($S$5:$S$1000,$S185,$V$5:$V$1000,"Macro",$H$5:$H$1000,"&gt;0")=0,1/COUNTIFS($S$5:$S$1000,$S185,$V$5:$V$1000,"Macro"),IF(AND(ISNUMBER($H185),N($H185)&gt;0),$H185,SUMIFS($H$5:$H$1000,$S$5:$S$1000,$S185,$V$5:$V$1000,"Macro")/COUNTIFS($S$5:$S$1000,$S185,$V$5:$V$1000,"Macro",$H$5:$H$1000,"&gt;0"))/(COUNTIFS($S$5:$S$1000,$S185,$V$5:$V$1000,"Macro")*SUMIFS($H$5:$H$1000,$S$5:$S$1000,$S185,$V$5:$V$1000,"Macro")/COUNTIFS($S$5:$S$1000,$S185,$V$5:$V$1000,"Macro",$H$5:$H$1000,"&gt;0"))))</f>
        <v/>
      </c>
      <c r="AH185" s="62" t="n"/>
      <c r="AI185" s="62" t="n"/>
      <c r="AJ185" s="62" t="n"/>
      <c r="AK185" s="62" t="n"/>
      <c r="AL185" s="62">
        <f>IF(LEFT($C185,11)="[Jefatura] ",IFERROR(MATCH("Riesgo Normativo|"&amp;MID($C185,12,500),rDname_ADM,0),0),"")</f>
        <v/>
      </c>
      <c r="AM185" s="62">
        <f>IF(N($AL185)&gt;0,INDEX(rIni_ADM,$AL185),IF(ISNUMBER($E185),$E185,""))</f>
        <v/>
      </c>
      <c r="AN185" s="62">
        <f>IF(N($AL185)&gt;0,INDEX(rLim_ADM,$AL185),IF(ISNUMBER($F185),$F185,""))</f>
        <v/>
      </c>
    </row>
    <row r="186">
      <c r="A186" s="56">
        <f>IF(NOT((COUNTA($B186:$D186)+COUNTA($G186:$L186)+COUNTA($Q186))&gt;0),"",IF($V186="Macro",COUNTIFS($V$5:$V186,"Macro",$S$5:$S186,$S186),IF(N($U186)=0,"?",COUNTIFS(INDEX($V$5:$V$1000,1):INDEX($V$5:$V$1000,$U186-4),"Macro",INDEX($S$5:$S$1000,1):INDEX($S$5:$S$1000,$U186-4),INDEX($S$5:$S$1000,$U186-4))&amp;"."&amp;COUNTIFS($U$5:$U186,$U186,$V$5:$V186,"Sub"))))</f>
        <v/>
      </c>
      <c r="B186" s="57" t="n"/>
      <c r="C186" s="58" t="n"/>
      <c r="D186" s="58" t="n"/>
      <c r="E186" s="59">
        <f>IF(N($AL186)&gt;0,INDEX(rIni_ADM,$AL186),"")</f>
        <v/>
      </c>
      <c r="F186" s="59">
        <f>IF(N($AL186)&gt;0,INDEX(rLim_ADM,$AL186),"")</f>
        <v/>
      </c>
      <c r="G186" s="59" t="n"/>
      <c r="H186" s="60" t="n"/>
      <c r="I186" s="60" t="n"/>
      <c r="J186" s="60" t="n"/>
      <c r="K186" s="60" t="n"/>
      <c r="L186" s="60" t="n"/>
      <c r="M186" s="61">
        <f>IF(NOT((COUNTA($B186:$D186)+COUNTA($G186:$L186)+COUNTA($Q186))&gt;0),"",IF($V186="Sub",IFERROR($X186/INDEX($W$5:$W$1000,$U186-4),""),IF(ISNUMBER($G186),1,IF(N($W186)&gt;0,AVERAGEIFS($X$5:$X$1000,$U$5:$U$1000,ROW(),$V$5:$V$1000,"Sub"),$X186))))</f>
        <v/>
      </c>
      <c r="N186" s="56">
        <f>IF(OR($M186="",$V186="Sub"),"",IF($M186&gt;=1,"Completado",IF($M186&gt;0,"En curso","Pendiente")))</f>
        <v/>
      </c>
      <c r="O186" s="56">
        <f>IF(OR(NOT((COUNTA($B186:$D186)+COUNTA($G186:$L186)+COUNTA($Q186))&gt;0),$V186="Sub"),"",IF(ISNUMBER($G186),IF(AND(ISNUMBER($AN186),$G186&gt;$AN186),"Cumplida con "&amp;($G186-$AN186)&amp;IF($G186-$AN186=1," día"," días")&amp;" de retraso","Cumplida"),IF(N($M186)&gt;=1,"Cumplida",IF(NOT(ISNUMBER($AN186)),"Sin fecha límite",IF($AN186&lt;FechaRef,"Vencida hace "&amp;(FechaRef-$AN186)&amp;IF(FechaRef-$AN186=1," día"," días"),IF($AN186=FechaRef,"Vence hoy",IF($AN186-FechaRef&lt;=DiasAlerta,"Vence en "&amp;($AN186-FechaRef)&amp;IF($AN186-FechaRef=1," día"," días"),"En plazo")))))))</f>
        <v/>
      </c>
      <c r="P186" s="62" t="n"/>
      <c r="Q186" s="58" t="n"/>
      <c r="R186" s="63">
        <f>IF(NOT((COUNTA($B186:$D186)+COUNTA($G186:$L186)+COUNTA($Q186))&gt;0),"",IF((IF($C186="","Falta el nombre de la actividad"&amp;" · ","")&amp;IF(AND($V186="Sub",N($U186)=0),"Subactividad sin macroactividad arriba"&amp;" · ","")&amp;IF($AM186="","Sin fecha de inicio"&amp;" · ","")&amp;IF($AN186="","Sin fecha límite"&amp;" · ","")&amp;IF(AND(LEFT($C186,11)="[Jefatura] ",N($AL186)=0),"No se encuentra en la hoja de la jefatura (elíjala de nuevo en la lista)"&amp;" · ","")&amp;IF(OR(AND($E186&lt;&gt;"",NOT(ISNUMBER($E186))),AND($F186&lt;&gt;"",NOT(ISNUMBER($F186))),AND($G186&lt;&gt;"",NOT(ISNUMBER($G186)))),"Fecha no válida"&amp;" · ","")&amp;IF(AND(ISNUMBER($AM186),ISNUMBER($AN186),$AM186&gt;$AN186),"Inicio posterior a fecha límite"&amp;" · ","")&amp;IF(AND($V186="Macro",$H186&lt;&gt;"",OR(NOT(ISNUMBER($H186)),$H186&lt;0,$H186&gt;1)),"Peso fuera de rango"&amp;" · ","")&amp;IF(AND($V186="Sub",$H186&lt;&gt;""),"Las subactividades no llevan peso (valen igual dentro de su macroactividad)"&amp;" · ","")&amp;IF(AND(N($W186)&gt;0,COUNT($I186:$L186)&gt;0),"Con subactividades: deje vacías las semanas (se calculan solas)"&amp;" · ","")&amp;IF((COUNTIF($I186:$L186,"&gt;1")+COUNTIF($I186:$L186,"&lt;0")+COUNTA($I186:$L186)-COUNT($I186:$L186))&gt;0,"Avance fuera de rango 0-100%"&amp;" · ","")&amp;IF(OR(AND($J186&lt;&gt;"",$J186&lt;$I186),AND($K186&lt;&gt;"",$K186&lt;MAX($I186:$J186)),AND($L186&lt;&gt;"",$L186&lt;MAX($I186:$K186))),"Avance semanal decreciente"&amp;" · ","")&amp;IF(AND(ISNUMBER($AN186),$AN186&lt;FechaRef,IF($V186="Sub",N($X186),N($M186))&lt;1),"Vencida"&amp;" · ","")&amp;IF(AND(ObsObligatoria="Sí",ISNUMBER($AN186),$AN186&lt;FechaRef,IF($V186="Sub",N($X186),N($M186))&lt;1,$Q186=""),"Vencida sin observación"&amp;" · ",""))="","✔ OK","⚠ "&amp;LEFT(IF($C186="","Falta el nombre de la actividad"&amp;" · ","")&amp;IF(AND($V186="Sub",N($U186)=0),"Subactividad sin macroactividad arriba"&amp;" · ","")&amp;IF($AM186="","Sin fecha de inicio"&amp;" · ","")&amp;IF($AN186="","Sin fecha límite"&amp;" · ","")&amp;IF(AND(LEFT($C186,11)="[Jefatura] ",N($AL186)=0),"No se encuentra en la hoja de la jefatura (elíjala de nuevo en la lista)"&amp;" · ","")&amp;IF(OR(AND($E186&lt;&gt;"",NOT(ISNUMBER($E186))),AND($F186&lt;&gt;"",NOT(ISNUMBER($F186))),AND($G186&lt;&gt;"",NOT(ISNUMBER($G186)))),"Fecha no válida"&amp;" · ","")&amp;IF(AND(ISNUMBER($AM186),ISNUMBER($AN186),$AM186&gt;$AN186),"Inicio posterior a fecha límite"&amp;" · ","")&amp;IF(AND($V186="Macro",$H186&lt;&gt;"",OR(NOT(ISNUMBER($H186)),$H186&lt;0,$H186&gt;1)),"Peso fuera de rango"&amp;" · ","")&amp;IF(AND($V186="Sub",$H186&lt;&gt;""),"Las subactividades no llevan peso (valen igual dentro de su macroactividad)"&amp;" · ","")&amp;IF(AND(N($W186)&gt;0,COUNT($I186:$L186)&gt;0),"Con subactividades: deje vacías las semanas (se calculan solas)"&amp;" · ","")&amp;IF((COUNTIF($I186:$L186,"&gt;1")+COUNTIF($I186:$L186,"&lt;0")+COUNTA($I186:$L186)-COUNT($I186:$L186))&gt;0,"Avance fuera de rango 0-100%"&amp;" · ","")&amp;IF(OR(AND($J186&lt;&gt;"",$J186&lt;$I186),AND($K186&lt;&gt;"",$K186&lt;MAX($I186:$J186)),AND($L186&lt;&gt;"",$L186&lt;MAX($I186:$K186))),"Avance semanal decreciente"&amp;" · ","")&amp;IF(AND(ISNUMBER($AN186),$AN186&lt;FechaRef,IF($V186="Sub",N($X186),N($M186))&lt;1),"Vencida"&amp;" · ","")&amp;IF(AND(ObsObligatoria="Sí",ISNUMBER($AN186),$AN186&lt;FechaRef,IF($V186="Sub",N($X186),N($M186))&lt;1,$Q186=""),"Vencida sin observación"&amp;" · ",""),LEN(IF($C186="","Falta el nombre de la actividad"&amp;" · ","")&amp;IF(AND($V186="Sub",N($U186)=0),"Subactividad sin macroactividad arriba"&amp;" · ","")&amp;IF($AM186="","Sin fecha de inicio"&amp;" · ","")&amp;IF($AN186="","Sin fecha límite"&amp;" · ","")&amp;IF(AND(LEFT($C186,11)="[Jefatura] ",N($AL186)=0),"No se encuentra en la hoja de la jefatura (elíjala de nuevo en la lista)"&amp;" · ","")&amp;IF(OR(AND($E186&lt;&gt;"",NOT(ISNUMBER($E186))),AND($F186&lt;&gt;"",NOT(ISNUMBER($F186))),AND($G186&lt;&gt;"",NOT(ISNUMBER($G186)))),"Fecha no válida"&amp;" · ","")&amp;IF(AND(ISNUMBER($AM186),ISNUMBER($AN186),$AM186&gt;$AN186),"Inicio posterior a fecha límite"&amp;" · ","")&amp;IF(AND($V186="Macro",$H186&lt;&gt;"",OR(NOT(ISNUMBER($H186)),$H186&lt;0,$H186&gt;1)),"Peso fuera de rango"&amp;" · ","")&amp;IF(AND($V186="Sub",$H186&lt;&gt;""),"Las subactividades no llevan peso (valen igual dentro de su macroactividad)"&amp;" · ","")&amp;IF(AND(N($W186)&gt;0,COUNT($I186:$L186)&gt;0),"Con subactividades: deje vacías las semanas (se calculan solas)"&amp;" · ","")&amp;IF((COUNTIF($I186:$L186,"&gt;1")+COUNTIF($I186:$L186,"&lt;0")+COUNTA($I186:$L186)-COUNT($I186:$L186))&gt;0,"Avance fuera de rango 0-100%"&amp;" · ","")&amp;IF(OR(AND($J186&lt;&gt;"",$J186&lt;$I186),AND($K186&lt;&gt;"",$K186&lt;MAX($I186:$J186)),AND($L186&lt;&gt;"",$L186&lt;MAX($I186:$K186))),"Avance semanal decreciente"&amp;" · ","")&amp;IF(AND(ISNUMBER($AN186),$AN186&lt;FechaRef,IF($V186="Sub",N($X186),N($M186))&lt;1),"Vencida"&amp;" · ","")&amp;IF(AND(ObsObligatoria="Sí",ISNUMBER($AN186),$AN186&lt;FechaRef,IF($V186="Sub",N($X186),N($M186))&lt;1,$Q186=""),"Vencida sin observación"&amp;" · ",""))-3)))</f>
        <v/>
      </c>
      <c r="S186" s="64">
        <f>IF(NOT((COUNTA($B186:$D186)+COUNTA($G186:$L186)+COUNTA($Q186))&gt;0),"",IF(AND($V186="Sub",N($U186)&gt;0),IF(ISNUMBER(INDEX($AM$5:$AM$1000,$U186-4)),DATE(YEAR(INDEX($AM$5:$AM$1000,$U186-4)),MONTH(INDEX($AM$5:$AM$1000,$U186-4)),1),IF(ISNUMBER(INDEX($AN$5:$AN$1000,$U186-4)),DATE(YEAR(INDEX($AN$5:$AN$1000,$U186-4)),MONTH(INDEX($AN$5:$AN$1000,$U186-4)),1),MesCiclo)),IF(ISNUMBER($AM186),DATE(YEAR($AM186),MONTH($AM186),1),IF(ISNUMBER($AN186),DATE(YEAR($AN186),MONTH($AN186),1),MesCiclo))))</f>
        <v/>
      </c>
      <c r="T186" s="62">
        <f>IF(OR($S186="",$S186&lt;&gt;MesCiclo,$V186&lt;&gt;"Macro"),"",COUNTIFS($S$5:$S186,MesCiclo,$V$5:$V186,"Macro"))</f>
        <v/>
      </c>
      <c r="U186" s="62">
        <f>IF($V186="","",IF($V186="Macro",ROW(),IFERROR(LOOKUP(2,1/($V$5:$V186="Macro"),ROW($V$5:$V186)),0)))</f>
        <v/>
      </c>
      <c r="V186" s="62">
        <f>IF(NOT((COUNTA($B186:$D186)+COUNTA($G186:$L186)+COUNTA($Q186))&gt;0),"",IF($B186="Subactividad","Sub","Macro"))</f>
        <v/>
      </c>
      <c r="W186" s="62">
        <f>IF($V186="Macro",COUNTIFS($U$5:$U$1000,ROW(),$V$5:$V$1000,"Sub"),"")</f>
        <v/>
      </c>
      <c r="X186" s="62">
        <f>IF($V186="","",IF(ISNUMBER($G186),1,IFERROR(LOOKUP(2,1/($I186:$L186&lt;&gt;""),$I186:$L186),0)))</f>
        <v/>
      </c>
      <c r="Y186" s="62">
        <f>IF($V186="","",IF(AND(ISNUMBER($G186),$G186&lt;=IF($S186=MesCiclo,InicioCiclo,$S186+MOD(2-WEEKDAY($S186),7))+6),1,IF(ISNUMBER($I186),$I186,0)))</f>
        <v/>
      </c>
      <c r="Z186" s="62">
        <f>IF($V186="","",IF(AND(ISNUMBER($G186),$G186&lt;=IF($S186=MesCiclo,InicioCiclo,$S186+MOD(2-WEEKDAY($S186),7))+13),1,IF(ISNUMBER($J186),$J186,$Y186)))</f>
        <v/>
      </c>
      <c r="AA186" s="62">
        <f>IF($V186="","",IF(AND(ISNUMBER($G186),$G186&lt;=IF($S186=MesCiclo,InicioCiclo,$S186+MOD(2-WEEKDAY($S186),7))+20),1,IF(ISNUMBER($K186),$K186,$Z186)))</f>
        <v/>
      </c>
      <c r="AB186" s="62">
        <f>IF($V186="","",IF(AND(ISNUMBER($G186),$G186&lt;=IF($S186=MesCiclo,InicioCiclo,$S186+MOD(2-WEEKDAY($S186),7))+27),1,IF(ISNUMBER($L186),$L186,$AA186)))</f>
        <v/>
      </c>
      <c r="AC186" s="62">
        <f>IF($V186="","",IF(AND(ISNUMBER($G186),$G186&lt;=IF($S186=MesCiclo,InicioCiclo,$S186+MOD(2-WEEKDAY($S186),7))+6),1,IF(N($W186)&gt;0,AVERAGEIFS($Y$5:$Y$1000,$U$5:$U$1000,ROW(),$V$5:$V$1000,"Sub"),$Y186)))</f>
        <v/>
      </c>
      <c r="AD186" s="62">
        <f>IF($V186="","",IF(AND(ISNUMBER($G186),$G186&lt;=IF($S186=MesCiclo,InicioCiclo,$S186+MOD(2-WEEKDAY($S186),7))+13),1,IF(N($W186)&gt;0,AVERAGEIFS($Z$5:$Z$1000,$U$5:$U$1000,ROW(),$V$5:$V$1000,"Sub"),$Z186)))</f>
        <v/>
      </c>
      <c r="AE186" s="62">
        <f>IF($V186="","",IF(AND(ISNUMBER($G186),$G186&lt;=IF($S186=MesCiclo,InicioCiclo,$S186+MOD(2-WEEKDAY($S186),7))+20),1,IF(N($W186)&gt;0,AVERAGEIFS($AA$5:$AA$1000,$U$5:$U$1000,ROW(),$V$5:$V$1000,"Sub"),$AA186)))</f>
        <v/>
      </c>
      <c r="AF186" s="62">
        <f>IF($V186="","",IF(AND(ISNUMBER($G186),$G186&lt;=IF($S186=MesCiclo,InicioCiclo,$S186+MOD(2-WEEKDAY($S186),7))+27),1,IF(N($W186)&gt;0,AVERAGEIFS($AB$5:$AB$1000,$U$5:$U$1000,ROW(),$V$5:$V$1000,"Sub"),$AB186)))</f>
        <v/>
      </c>
      <c r="AG186" s="62">
        <f>IF($V186&lt;&gt;"Macro","",IF(COUNTIFS($S$5:$S$1000,$S186,$V$5:$V$1000,"Macro",$H$5:$H$1000,"&gt;0")=0,1/COUNTIFS($S$5:$S$1000,$S186,$V$5:$V$1000,"Macro"),IF(AND(ISNUMBER($H186),N($H186)&gt;0),$H186,SUMIFS($H$5:$H$1000,$S$5:$S$1000,$S186,$V$5:$V$1000,"Macro")/COUNTIFS($S$5:$S$1000,$S186,$V$5:$V$1000,"Macro",$H$5:$H$1000,"&gt;0"))/(COUNTIFS($S$5:$S$1000,$S186,$V$5:$V$1000,"Macro")*SUMIFS($H$5:$H$1000,$S$5:$S$1000,$S186,$V$5:$V$1000,"Macro")/COUNTIFS($S$5:$S$1000,$S186,$V$5:$V$1000,"Macro",$H$5:$H$1000,"&gt;0"))))</f>
        <v/>
      </c>
      <c r="AH186" s="62" t="n"/>
      <c r="AI186" s="62" t="n"/>
      <c r="AJ186" s="62" t="n"/>
      <c r="AK186" s="62" t="n"/>
      <c r="AL186" s="62">
        <f>IF(LEFT($C186,11)="[Jefatura] ",IFERROR(MATCH("Riesgo Normativo|"&amp;MID($C186,12,500),rDname_ADM,0),0),"")</f>
        <v/>
      </c>
      <c r="AM186" s="62">
        <f>IF(N($AL186)&gt;0,INDEX(rIni_ADM,$AL186),IF(ISNUMBER($E186),$E186,""))</f>
        <v/>
      </c>
      <c r="AN186" s="62">
        <f>IF(N($AL186)&gt;0,INDEX(rLim_ADM,$AL186),IF(ISNUMBER($F186),$F186,""))</f>
        <v/>
      </c>
    </row>
    <row r="187">
      <c r="A187" s="56">
        <f>IF(NOT((COUNTA($B187:$D187)+COUNTA($G187:$L187)+COUNTA($Q187))&gt;0),"",IF($V187="Macro",COUNTIFS($V$5:$V187,"Macro",$S$5:$S187,$S187),IF(N($U187)=0,"?",COUNTIFS(INDEX($V$5:$V$1000,1):INDEX($V$5:$V$1000,$U187-4),"Macro",INDEX($S$5:$S$1000,1):INDEX($S$5:$S$1000,$U187-4),INDEX($S$5:$S$1000,$U187-4))&amp;"."&amp;COUNTIFS($U$5:$U187,$U187,$V$5:$V187,"Sub"))))</f>
        <v/>
      </c>
      <c r="B187" s="57" t="n"/>
      <c r="C187" s="58" t="n"/>
      <c r="D187" s="58" t="n"/>
      <c r="E187" s="59">
        <f>IF(N($AL187)&gt;0,INDEX(rIni_ADM,$AL187),"")</f>
        <v/>
      </c>
      <c r="F187" s="59">
        <f>IF(N($AL187)&gt;0,INDEX(rLim_ADM,$AL187),"")</f>
        <v/>
      </c>
      <c r="G187" s="59" t="n"/>
      <c r="H187" s="60" t="n"/>
      <c r="I187" s="60" t="n"/>
      <c r="J187" s="60" t="n"/>
      <c r="K187" s="60" t="n"/>
      <c r="L187" s="60" t="n"/>
      <c r="M187" s="61">
        <f>IF(NOT((COUNTA($B187:$D187)+COUNTA($G187:$L187)+COUNTA($Q187))&gt;0),"",IF($V187="Sub",IFERROR($X187/INDEX($W$5:$W$1000,$U187-4),""),IF(ISNUMBER($G187),1,IF(N($W187)&gt;0,AVERAGEIFS($X$5:$X$1000,$U$5:$U$1000,ROW(),$V$5:$V$1000,"Sub"),$X187))))</f>
        <v/>
      </c>
      <c r="N187" s="56">
        <f>IF(OR($M187="",$V187="Sub"),"",IF($M187&gt;=1,"Completado",IF($M187&gt;0,"En curso","Pendiente")))</f>
        <v/>
      </c>
      <c r="O187" s="56">
        <f>IF(OR(NOT((COUNTA($B187:$D187)+COUNTA($G187:$L187)+COUNTA($Q187))&gt;0),$V187="Sub"),"",IF(ISNUMBER($G187),IF(AND(ISNUMBER($AN187),$G187&gt;$AN187),"Cumplida con "&amp;($G187-$AN187)&amp;IF($G187-$AN187=1," día"," días")&amp;" de retraso","Cumplida"),IF(N($M187)&gt;=1,"Cumplida",IF(NOT(ISNUMBER($AN187)),"Sin fecha límite",IF($AN187&lt;FechaRef,"Vencida hace "&amp;(FechaRef-$AN187)&amp;IF(FechaRef-$AN187=1," día"," días"),IF($AN187=FechaRef,"Vence hoy",IF($AN187-FechaRef&lt;=DiasAlerta,"Vence en "&amp;($AN187-FechaRef)&amp;IF($AN187-FechaRef=1," día"," días"),"En plazo")))))))</f>
        <v/>
      </c>
      <c r="P187" s="62" t="n"/>
      <c r="Q187" s="58" t="n"/>
      <c r="R187" s="63">
        <f>IF(NOT((COUNTA($B187:$D187)+COUNTA($G187:$L187)+COUNTA($Q187))&gt;0),"",IF((IF($C187="","Falta el nombre de la actividad"&amp;" · ","")&amp;IF(AND($V187="Sub",N($U187)=0),"Subactividad sin macroactividad arriba"&amp;" · ","")&amp;IF($AM187="","Sin fecha de inicio"&amp;" · ","")&amp;IF($AN187="","Sin fecha límite"&amp;" · ","")&amp;IF(AND(LEFT($C187,11)="[Jefatura] ",N($AL187)=0),"No se encuentra en la hoja de la jefatura (elíjala de nuevo en la lista)"&amp;" · ","")&amp;IF(OR(AND($E187&lt;&gt;"",NOT(ISNUMBER($E187))),AND($F187&lt;&gt;"",NOT(ISNUMBER($F187))),AND($G187&lt;&gt;"",NOT(ISNUMBER($G187)))),"Fecha no válida"&amp;" · ","")&amp;IF(AND(ISNUMBER($AM187),ISNUMBER($AN187),$AM187&gt;$AN187),"Inicio posterior a fecha límite"&amp;" · ","")&amp;IF(AND($V187="Macro",$H187&lt;&gt;"",OR(NOT(ISNUMBER($H187)),$H187&lt;0,$H187&gt;1)),"Peso fuera de rango"&amp;" · ","")&amp;IF(AND($V187="Sub",$H187&lt;&gt;""),"Las subactividades no llevan peso (valen igual dentro de su macroactividad)"&amp;" · ","")&amp;IF(AND(N($W187)&gt;0,COUNT($I187:$L187)&gt;0),"Con subactividades: deje vacías las semanas (se calculan solas)"&amp;" · ","")&amp;IF((COUNTIF($I187:$L187,"&gt;1")+COUNTIF($I187:$L187,"&lt;0")+COUNTA($I187:$L187)-COUNT($I187:$L187))&gt;0,"Avance fuera de rango 0-100%"&amp;" · ","")&amp;IF(OR(AND($J187&lt;&gt;"",$J187&lt;$I187),AND($K187&lt;&gt;"",$K187&lt;MAX($I187:$J187)),AND($L187&lt;&gt;"",$L187&lt;MAX($I187:$K187))),"Avance semanal decreciente"&amp;" · ","")&amp;IF(AND(ISNUMBER($AN187),$AN187&lt;FechaRef,IF($V187="Sub",N($X187),N($M187))&lt;1),"Vencida"&amp;" · ","")&amp;IF(AND(ObsObligatoria="Sí",ISNUMBER($AN187),$AN187&lt;FechaRef,IF($V187="Sub",N($X187),N($M187))&lt;1,$Q187=""),"Vencida sin observación"&amp;" · ",""))="","✔ OK","⚠ "&amp;LEFT(IF($C187="","Falta el nombre de la actividad"&amp;" · ","")&amp;IF(AND($V187="Sub",N($U187)=0),"Subactividad sin macroactividad arriba"&amp;" · ","")&amp;IF($AM187="","Sin fecha de inicio"&amp;" · ","")&amp;IF($AN187="","Sin fecha límite"&amp;" · ","")&amp;IF(AND(LEFT($C187,11)="[Jefatura] ",N($AL187)=0),"No se encuentra en la hoja de la jefatura (elíjala de nuevo en la lista)"&amp;" · ","")&amp;IF(OR(AND($E187&lt;&gt;"",NOT(ISNUMBER($E187))),AND($F187&lt;&gt;"",NOT(ISNUMBER($F187))),AND($G187&lt;&gt;"",NOT(ISNUMBER($G187)))),"Fecha no válida"&amp;" · ","")&amp;IF(AND(ISNUMBER($AM187),ISNUMBER($AN187),$AM187&gt;$AN187),"Inicio posterior a fecha límite"&amp;" · ","")&amp;IF(AND($V187="Macro",$H187&lt;&gt;"",OR(NOT(ISNUMBER($H187)),$H187&lt;0,$H187&gt;1)),"Peso fuera de rango"&amp;" · ","")&amp;IF(AND($V187="Sub",$H187&lt;&gt;""),"Las subactividades no llevan peso (valen igual dentro de su macroactividad)"&amp;" · ","")&amp;IF(AND(N($W187)&gt;0,COUNT($I187:$L187)&gt;0),"Con subactividades: deje vacías las semanas (se calculan solas)"&amp;" · ","")&amp;IF((COUNTIF($I187:$L187,"&gt;1")+COUNTIF($I187:$L187,"&lt;0")+COUNTA($I187:$L187)-COUNT($I187:$L187))&gt;0,"Avance fuera de rango 0-100%"&amp;" · ","")&amp;IF(OR(AND($J187&lt;&gt;"",$J187&lt;$I187),AND($K187&lt;&gt;"",$K187&lt;MAX($I187:$J187)),AND($L187&lt;&gt;"",$L187&lt;MAX($I187:$K187))),"Avance semanal decreciente"&amp;" · ","")&amp;IF(AND(ISNUMBER($AN187),$AN187&lt;FechaRef,IF($V187="Sub",N($X187),N($M187))&lt;1),"Vencida"&amp;" · ","")&amp;IF(AND(ObsObligatoria="Sí",ISNUMBER($AN187),$AN187&lt;FechaRef,IF($V187="Sub",N($X187),N($M187))&lt;1,$Q187=""),"Vencida sin observación"&amp;" · ",""),LEN(IF($C187="","Falta el nombre de la actividad"&amp;" · ","")&amp;IF(AND($V187="Sub",N($U187)=0),"Subactividad sin macroactividad arriba"&amp;" · ","")&amp;IF($AM187="","Sin fecha de inicio"&amp;" · ","")&amp;IF($AN187="","Sin fecha límite"&amp;" · ","")&amp;IF(AND(LEFT($C187,11)="[Jefatura] ",N($AL187)=0),"No se encuentra en la hoja de la jefatura (elíjala de nuevo en la lista)"&amp;" · ","")&amp;IF(OR(AND($E187&lt;&gt;"",NOT(ISNUMBER($E187))),AND($F187&lt;&gt;"",NOT(ISNUMBER($F187))),AND($G187&lt;&gt;"",NOT(ISNUMBER($G187)))),"Fecha no válida"&amp;" · ","")&amp;IF(AND(ISNUMBER($AM187),ISNUMBER($AN187),$AM187&gt;$AN187),"Inicio posterior a fecha límite"&amp;" · ","")&amp;IF(AND($V187="Macro",$H187&lt;&gt;"",OR(NOT(ISNUMBER($H187)),$H187&lt;0,$H187&gt;1)),"Peso fuera de rango"&amp;" · ","")&amp;IF(AND($V187="Sub",$H187&lt;&gt;""),"Las subactividades no llevan peso (valen igual dentro de su macroactividad)"&amp;" · ","")&amp;IF(AND(N($W187)&gt;0,COUNT($I187:$L187)&gt;0),"Con subactividades: deje vacías las semanas (se calculan solas)"&amp;" · ","")&amp;IF((COUNTIF($I187:$L187,"&gt;1")+COUNTIF($I187:$L187,"&lt;0")+COUNTA($I187:$L187)-COUNT($I187:$L187))&gt;0,"Avance fuera de rango 0-100%"&amp;" · ","")&amp;IF(OR(AND($J187&lt;&gt;"",$J187&lt;$I187),AND($K187&lt;&gt;"",$K187&lt;MAX($I187:$J187)),AND($L187&lt;&gt;"",$L187&lt;MAX($I187:$K187))),"Avance semanal decreciente"&amp;" · ","")&amp;IF(AND(ISNUMBER($AN187),$AN187&lt;FechaRef,IF($V187="Sub",N($X187),N($M187))&lt;1),"Vencida"&amp;" · ","")&amp;IF(AND(ObsObligatoria="Sí",ISNUMBER($AN187),$AN187&lt;FechaRef,IF($V187="Sub",N($X187),N($M187))&lt;1,$Q187=""),"Vencida sin observación"&amp;" · ",""))-3)))</f>
        <v/>
      </c>
      <c r="S187" s="64">
        <f>IF(NOT((COUNTA($B187:$D187)+COUNTA($G187:$L187)+COUNTA($Q187))&gt;0),"",IF(AND($V187="Sub",N($U187)&gt;0),IF(ISNUMBER(INDEX($AM$5:$AM$1000,$U187-4)),DATE(YEAR(INDEX($AM$5:$AM$1000,$U187-4)),MONTH(INDEX($AM$5:$AM$1000,$U187-4)),1),IF(ISNUMBER(INDEX($AN$5:$AN$1000,$U187-4)),DATE(YEAR(INDEX($AN$5:$AN$1000,$U187-4)),MONTH(INDEX($AN$5:$AN$1000,$U187-4)),1),MesCiclo)),IF(ISNUMBER($AM187),DATE(YEAR($AM187),MONTH($AM187),1),IF(ISNUMBER($AN187),DATE(YEAR($AN187),MONTH($AN187),1),MesCiclo))))</f>
        <v/>
      </c>
      <c r="T187" s="62">
        <f>IF(OR($S187="",$S187&lt;&gt;MesCiclo,$V187&lt;&gt;"Macro"),"",COUNTIFS($S$5:$S187,MesCiclo,$V$5:$V187,"Macro"))</f>
        <v/>
      </c>
      <c r="U187" s="62">
        <f>IF($V187="","",IF($V187="Macro",ROW(),IFERROR(LOOKUP(2,1/($V$5:$V187="Macro"),ROW($V$5:$V187)),0)))</f>
        <v/>
      </c>
      <c r="V187" s="62">
        <f>IF(NOT((COUNTA($B187:$D187)+COUNTA($G187:$L187)+COUNTA($Q187))&gt;0),"",IF($B187="Subactividad","Sub","Macro"))</f>
        <v/>
      </c>
      <c r="W187" s="62">
        <f>IF($V187="Macro",COUNTIFS($U$5:$U$1000,ROW(),$V$5:$V$1000,"Sub"),"")</f>
        <v/>
      </c>
      <c r="X187" s="62">
        <f>IF($V187="","",IF(ISNUMBER($G187),1,IFERROR(LOOKUP(2,1/($I187:$L187&lt;&gt;""),$I187:$L187),0)))</f>
        <v/>
      </c>
      <c r="Y187" s="62">
        <f>IF($V187="","",IF(AND(ISNUMBER($G187),$G187&lt;=IF($S187=MesCiclo,InicioCiclo,$S187+MOD(2-WEEKDAY($S187),7))+6),1,IF(ISNUMBER($I187),$I187,0)))</f>
        <v/>
      </c>
      <c r="Z187" s="62">
        <f>IF($V187="","",IF(AND(ISNUMBER($G187),$G187&lt;=IF($S187=MesCiclo,InicioCiclo,$S187+MOD(2-WEEKDAY($S187),7))+13),1,IF(ISNUMBER($J187),$J187,$Y187)))</f>
        <v/>
      </c>
      <c r="AA187" s="62">
        <f>IF($V187="","",IF(AND(ISNUMBER($G187),$G187&lt;=IF($S187=MesCiclo,InicioCiclo,$S187+MOD(2-WEEKDAY($S187),7))+20),1,IF(ISNUMBER($K187),$K187,$Z187)))</f>
        <v/>
      </c>
      <c r="AB187" s="62">
        <f>IF($V187="","",IF(AND(ISNUMBER($G187),$G187&lt;=IF($S187=MesCiclo,InicioCiclo,$S187+MOD(2-WEEKDAY($S187),7))+27),1,IF(ISNUMBER($L187),$L187,$AA187)))</f>
        <v/>
      </c>
      <c r="AC187" s="62">
        <f>IF($V187="","",IF(AND(ISNUMBER($G187),$G187&lt;=IF($S187=MesCiclo,InicioCiclo,$S187+MOD(2-WEEKDAY($S187),7))+6),1,IF(N($W187)&gt;0,AVERAGEIFS($Y$5:$Y$1000,$U$5:$U$1000,ROW(),$V$5:$V$1000,"Sub"),$Y187)))</f>
        <v/>
      </c>
      <c r="AD187" s="62">
        <f>IF($V187="","",IF(AND(ISNUMBER($G187),$G187&lt;=IF($S187=MesCiclo,InicioCiclo,$S187+MOD(2-WEEKDAY($S187),7))+13),1,IF(N($W187)&gt;0,AVERAGEIFS($Z$5:$Z$1000,$U$5:$U$1000,ROW(),$V$5:$V$1000,"Sub"),$Z187)))</f>
        <v/>
      </c>
      <c r="AE187" s="62">
        <f>IF($V187="","",IF(AND(ISNUMBER($G187),$G187&lt;=IF($S187=MesCiclo,InicioCiclo,$S187+MOD(2-WEEKDAY($S187),7))+20),1,IF(N($W187)&gt;0,AVERAGEIFS($AA$5:$AA$1000,$U$5:$U$1000,ROW(),$V$5:$V$1000,"Sub"),$AA187)))</f>
        <v/>
      </c>
      <c r="AF187" s="62">
        <f>IF($V187="","",IF(AND(ISNUMBER($G187),$G187&lt;=IF($S187=MesCiclo,InicioCiclo,$S187+MOD(2-WEEKDAY($S187),7))+27),1,IF(N($W187)&gt;0,AVERAGEIFS($AB$5:$AB$1000,$U$5:$U$1000,ROW(),$V$5:$V$1000,"Sub"),$AB187)))</f>
        <v/>
      </c>
      <c r="AG187" s="62">
        <f>IF($V187&lt;&gt;"Macro","",IF(COUNTIFS($S$5:$S$1000,$S187,$V$5:$V$1000,"Macro",$H$5:$H$1000,"&gt;0")=0,1/COUNTIFS($S$5:$S$1000,$S187,$V$5:$V$1000,"Macro"),IF(AND(ISNUMBER($H187),N($H187)&gt;0),$H187,SUMIFS($H$5:$H$1000,$S$5:$S$1000,$S187,$V$5:$V$1000,"Macro")/COUNTIFS($S$5:$S$1000,$S187,$V$5:$V$1000,"Macro",$H$5:$H$1000,"&gt;0"))/(COUNTIFS($S$5:$S$1000,$S187,$V$5:$V$1000,"Macro")*SUMIFS($H$5:$H$1000,$S$5:$S$1000,$S187,$V$5:$V$1000,"Macro")/COUNTIFS($S$5:$S$1000,$S187,$V$5:$V$1000,"Macro",$H$5:$H$1000,"&gt;0"))))</f>
        <v/>
      </c>
      <c r="AH187" s="62" t="n"/>
      <c r="AI187" s="62" t="n"/>
      <c r="AJ187" s="62" t="n"/>
      <c r="AK187" s="62" t="n"/>
      <c r="AL187" s="62">
        <f>IF(LEFT($C187,11)="[Jefatura] ",IFERROR(MATCH("Riesgo Normativo|"&amp;MID($C187,12,500),rDname_ADM,0),0),"")</f>
        <v/>
      </c>
      <c r="AM187" s="62">
        <f>IF(N($AL187)&gt;0,INDEX(rIni_ADM,$AL187),IF(ISNUMBER($E187),$E187,""))</f>
        <v/>
      </c>
      <c r="AN187" s="62">
        <f>IF(N($AL187)&gt;0,INDEX(rLim_ADM,$AL187),IF(ISNUMBER($F187),$F187,""))</f>
        <v/>
      </c>
    </row>
    <row r="188">
      <c r="A188" s="56">
        <f>IF(NOT((COUNTA($B188:$D188)+COUNTA($G188:$L188)+COUNTA($Q188))&gt;0),"",IF($V188="Macro",COUNTIFS($V$5:$V188,"Macro",$S$5:$S188,$S188),IF(N($U188)=0,"?",COUNTIFS(INDEX($V$5:$V$1000,1):INDEX($V$5:$V$1000,$U188-4),"Macro",INDEX($S$5:$S$1000,1):INDEX($S$5:$S$1000,$U188-4),INDEX($S$5:$S$1000,$U188-4))&amp;"."&amp;COUNTIFS($U$5:$U188,$U188,$V$5:$V188,"Sub"))))</f>
        <v/>
      </c>
      <c r="B188" s="57" t="n"/>
      <c r="C188" s="58" t="n"/>
      <c r="D188" s="58" t="n"/>
      <c r="E188" s="59">
        <f>IF(N($AL188)&gt;0,INDEX(rIni_ADM,$AL188),"")</f>
        <v/>
      </c>
      <c r="F188" s="59">
        <f>IF(N($AL188)&gt;0,INDEX(rLim_ADM,$AL188),"")</f>
        <v/>
      </c>
      <c r="G188" s="59" t="n"/>
      <c r="H188" s="60" t="n"/>
      <c r="I188" s="60" t="n"/>
      <c r="J188" s="60" t="n"/>
      <c r="K188" s="60" t="n"/>
      <c r="L188" s="60" t="n"/>
      <c r="M188" s="61">
        <f>IF(NOT((COUNTA($B188:$D188)+COUNTA($G188:$L188)+COUNTA($Q188))&gt;0),"",IF($V188="Sub",IFERROR($X188/INDEX($W$5:$W$1000,$U188-4),""),IF(ISNUMBER($G188),1,IF(N($W188)&gt;0,AVERAGEIFS($X$5:$X$1000,$U$5:$U$1000,ROW(),$V$5:$V$1000,"Sub"),$X188))))</f>
        <v/>
      </c>
      <c r="N188" s="56">
        <f>IF(OR($M188="",$V188="Sub"),"",IF($M188&gt;=1,"Completado",IF($M188&gt;0,"En curso","Pendiente")))</f>
        <v/>
      </c>
      <c r="O188" s="56">
        <f>IF(OR(NOT((COUNTA($B188:$D188)+COUNTA($G188:$L188)+COUNTA($Q188))&gt;0),$V188="Sub"),"",IF(ISNUMBER($G188),IF(AND(ISNUMBER($AN188),$G188&gt;$AN188),"Cumplida con "&amp;($G188-$AN188)&amp;IF($G188-$AN188=1," día"," días")&amp;" de retraso","Cumplida"),IF(N($M188)&gt;=1,"Cumplida",IF(NOT(ISNUMBER($AN188)),"Sin fecha límite",IF($AN188&lt;FechaRef,"Vencida hace "&amp;(FechaRef-$AN188)&amp;IF(FechaRef-$AN188=1," día"," días"),IF($AN188=FechaRef,"Vence hoy",IF($AN188-FechaRef&lt;=DiasAlerta,"Vence en "&amp;($AN188-FechaRef)&amp;IF($AN188-FechaRef=1," día"," días"),"En plazo")))))))</f>
        <v/>
      </c>
      <c r="P188" s="62" t="n"/>
      <c r="Q188" s="58" t="n"/>
      <c r="R188" s="63">
        <f>IF(NOT((COUNTA($B188:$D188)+COUNTA($G188:$L188)+COUNTA($Q188))&gt;0),"",IF((IF($C188="","Falta el nombre de la actividad"&amp;" · ","")&amp;IF(AND($V188="Sub",N($U188)=0),"Subactividad sin macroactividad arriba"&amp;" · ","")&amp;IF($AM188="","Sin fecha de inicio"&amp;" · ","")&amp;IF($AN188="","Sin fecha límite"&amp;" · ","")&amp;IF(AND(LEFT($C188,11)="[Jefatura] ",N($AL188)=0),"No se encuentra en la hoja de la jefatura (elíjala de nuevo en la lista)"&amp;" · ","")&amp;IF(OR(AND($E188&lt;&gt;"",NOT(ISNUMBER($E188))),AND($F188&lt;&gt;"",NOT(ISNUMBER($F188))),AND($G188&lt;&gt;"",NOT(ISNUMBER($G188)))),"Fecha no válida"&amp;" · ","")&amp;IF(AND(ISNUMBER($AM188),ISNUMBER($AN188),$AM188&gt;$AN188),"Inicio posterior a fecha límite"&amp;" · ","")&amp;IF(AND($V188="Macro",$H188&lt;&gt;"",OR(NOT(ISNUMBER($H188)),$H188&lt;0,$H188&gt;1)),"Peso fuera de rango"&amp;" · ","")&amp;IF(AND($V188="Sub",$H188&lt;&gt;""),"Las subactividades no llevan peso (valen igual dentro de su macroactividad)"&amp;" · ","")&amp;IF(AND(N($W188)&gt;0,COUNT($I188:$L188)&gt;0),"Con subactividades: deje vacías las semanas (se calculan solas)"&amp;" · ","")&amp;IF((COUNTIF($I188:$L188,"&gt;1")+COUNTIF($I188:$L188,"&lt;0")+COUNTA($I188:$L188)-COUNT($I188:$L188))&gt;0,"Avance fuera de rango 0-100%"&amp;" · ","")&amp;IF(OR(AND($J188&lt;&gt;"",$J188&lt;$I188),AND($K188&lt;&gt;"",$K188&lt;MAX($I188:$J188)),AND($L188&lt;&gt;"",$L188&lt;MAX($I188:$K188))),"Avance semanal decreciente"&amp;" · ","")&amp;IF(AND(ISNUMBER($AN188),$AN188&lt;FechaRef,IF($V188="Sub",N($X188),N($M188))&lt;1),"Vencida"&amp;" · ","")&amp;IF(AND(ObsObligatoria="Sí",ISNUMBER($AN188),$AN188&lt;FechaRef,IF($V188="Sub",N($X188),N($M188))&lt;1,$Q188=""),"Vencida sin observación"&amp;" · ",""))="","✔ OK","⚠ "&amp;LEFT(IF($C188="","Falta el nombre de la actividad"&amp;" · ","")&amp;IF(AND($V188="Sub",N($U188)=0),"Subactividad sin macroactividad arriba"&amp;" · ","")&amp;IF($AM188="","Sin fecha de inicio"&amp;" · ","")&amp;IF($AN188="","Sin fecha límite"&amp;" · ","")&amp;IF(AND(LEFT($C188,11)="[Jefatura] ",N($AL188)=0),"No se encuentra en la hoja de la jefatura (elíjala de nuevo en la lista)"&amp;" · ","")&amp;IF(OR(AND($E188&lt;&gt;"",NOT(ISNUMBER($E188))),AND($F188&lt;&gt;"",NOT(ISNUMBER($F188))),AND($G188&lt;&gt;"",NOT(ISNUMBER($G188)))),"Fecha no válida"&amp;" · ","")&amp;IF(AND(ISNUMBER($AM188),ISNUMBER($AN188),$AM188&gt;$AN188),"Inicio posterior a fecha límite"&amp;" · ","")&amp;IF(AND($V188="Macro",$H188&lt;&gt;"",OR(NOT(ISNUMBER($H188)),$H188&lt;0,$H188&gt;1)),"Peso fuera de rango"&amp;" · ","")&amp;IF(AND($V188="Sub",$H188&lt;&gt;""),"Las subactividades no llevan peso (valen igual dentro de su macroactividad)"&amp;" · ","")&amp;IF(AND(N($W188)&gt;0,COUNT($I188:$L188)&gt;0),"Con subactividades: deje vacías las semanas (se calculan solas)"&amp;" · ","")&amp;IF((COUNTIF($I188:$L188,"&gt;1")+COUNTIF($I188:$L188,"&lt;0")+COUNTA($I188:$L188)-COUNT($I188:$L188))&gt;0,"Avance fuera de rango 0-100%"&amp;" · ","")&amp;IF(OR(AND($J188&lt;&gt;"",$J188&lt;$I188),AND($K188&lt;&gt;"",$K188&lt;MAX($I188:$J188)),AND($L188&lt;&gt;"",$L188&lt;MAX($I188:$K188))),"Avance semanal decreciente"&amp;" · ","")&amp;IF(AND(ISNUMBER($AN188),$AN188&lt;FechaRef,IF($V188="Sub",N($X188),N($M188))&lt;1),"Vencida"&amp;" · ","")&amp;IF(AND(ObsObligatoria="Sí",ISNUMBER($AN188),$AN188&lt;FechaRef,IF($V188="Sub",N($X188),N($M188))&lt;1,$Q188=""),"Vencida sin observación"&amp;" · ",""),LEN(IF($C188="","Falta el nombre de la actividad"&amp;" · ","")&amp;IF(AND($V188="Sub",N($U188)=0),"Subactividad sin macroactividad arriba"&amp;" · ","")&amp;IF($AM188="","Sin fecha de inicio"&amp;" · ","")&amp;IF($AN188="","Sin fecha límite"&amp;" · ","")&amp;IF(AND(LEFT($C188,11)="[Jefatura] ",N($AL188)=0),"No se encuentra en la hoja de la jefatura (elíjala de nuevo en la lista)"&amp;" · ","")&amp;IF(OR(AND($E188&lt;&gt;"",NOT(ISNUMBER($E188))),AND($F188&lt;&gt;"",NOT(ISNUMBER($F188))),AND($G188&lt;&gt;"",NOT(ISNUMBER($G188)))),"Fecha no válida"&amp;" · ","")&amp;IF(AND(ISNUMBER($AM188),ISNUMBER($AN188),$AM188&gt;$AN188),"Inicio posterior a fecha límite"&amp;" · ","")&amp;IF(AND($V188="Macro",$H188&lt;&gt;"",OR(NOT(ISNUMBER($H188)),$H188&lt;0,$H188&gt;1)),"Peso fuera de rango"&amp;" · ","")&amp;IF(AND($V188="Sub",$H188&lt;&gt;""),"Las subactividades no llevan peso (valen igual dentro de su macroactividad)"&amp;" · ","")&amp;IF(AND(N($W188)&gt;0,COUNT($I188:$L188)&gt;0),"Con subactividades: deje vacías las semanas (se calculan solas)"&amp;" · ","")&amp;IF((COUNTIF($I188:$L188,"&gt;1")+COUNTIF($I188:$L188,"&lt;0")+COUNTA($I188:$L188)-COUNT($I188:$L188))&gt;0,"Avance fuera de rango 0-100%"&amp;" · ","")&amp;IF(OR(AND($J188&lt;&gt;"",$J188&lt;$I188),AND($K188&lt;&gt;"",$K188&lt;MAX($I188:$J188)),AND($L188&lt;&gt;"",$L188&lt;MAX($I188:$K188))),"Avance semanal decreciente"&amp;" · ","")&amp;IF(AND(ISNUMBER($AN188),$AN188&lt;FechaRef,IF($V188="Sub",N($X188),N($M188))&lt;1),"Vencida"&amp;" · ","")&amp;IF(AND(ObsObligatoria="Sí",ISNUMBER($AN188),$AN188&lt;FechaRef,IF($V188="Sub",N($X188),N($M188))&lt;1,$Q188=""),"Vencida sin observación"&amp;" · ",""))-3)))</f>
        <v/>
      </c>
      <c r="S188" s="64">
        <f>IF(NOT((COUNTA($B188:$D188)+COUNTA($G188:$L188)+COUNTA($Q188))&gt;0),"",IF(AND($V188="Sub",N($U188)&gt;0),IF(ISNUMBER(INDEX($AM$5:$AM$1000,$U188-4)),DATE(YEAR(INDEX($AM$5:$AM$1000,$U188-4)),MONTH(INDEX($AM$5:$AM$1000,$U188-4)),1),IF(ISNUMBER(INDEX($AN$5:$AN$1000,$U188-4)),DATE(YEAR(INDEX($AN$5:$AN$1000,$U188-4)),MONTH(INDEX($AN$5:$AN$1000,$U188-4)),1),MesCiclo)),IF(ISNUMBER($AM188),DATE(YEAR($AM188),MONTH($AM188),1),IF(ISNUMBER($AN188),DATE(YEAR($AN188),MONTH($AN188),1),MesCiclo))))</f>
        <v/>
      </c>
      <c r="T188" s="62">
        <f>IF(OR($S188="",$S188&lt;&gt;MesCiclo,$V188&lt;&gt;"Macro"),"",COUNTIFS($S$5:$S188,MesCiclo,$V$5:$V188,"Macro"))</f>
        <v/>
      </c>
      <c r="U188" s="62">
        <f>IF($V188="","",IF($V188="Macro",ROW(),IFERROR(LOOKUP(2,1/($V$5:$V188="Macro"),ROW($V$5:$V188)),0)))</f>
        <v/>
      </c>
      <c r="V188" s="62">
        <f>IF(NOT((COUNTA($B188:$D188)+COUNTA($G188:$L188)+COUNTA($Q188))&gt;0),"",IF($B188="Subactividad","Sub","Macro"))</f>
        <v/>
      </c>
      <c r="W188" s="62">
        <f>IF($V188="Macro",COUNTIFS($U$5:$U$1000,ROW(),$V$5:$V$1000,"Sub"),"")</f>
        <v/>
      </c>
      <c r="X188" s="62">
        <f>IF($V188="","",IF(ISNUMBER($G188),1,IFERROR(LOOKUP(2,1/($I188:$L188&lt;&gt;""),$I188:$L188),0)))</f>
        <v/>
      </c>
      <c r="Y188" s="62">
        <f>IF($V188="","",IF(AND(ISNUMBER($G188),$G188&lt;=IF($S188=MesCiclo,InicioCiclo,$S188+MOD(2-WEEKDAY($S188),7))+6),1,IF(ISNUMBER($I188),$I188,0)))</f>
        <v/>
      </c>
      <c r="Z188" s="62">
        <f>IF($V188="","",IF(AND(ISNUMBER($G188),$G188&lt;=IF($S188=MesCiclo,InicioCiclo,$S188+MOD(2-WEEKDAY($S188),7))+13),1,IF(ISNUMBER($J188),$J188,$Y188)))</f>
        <v/>
      </c>
      <c r="AA188" s="62">
        <f>IF($V188="","",IF(AND(ISNUMBER($G188),$G188&lt;=IF($S188=MesCiclo,InicioCiclo,$S188+MOD(2-WEEKDAY($S188),7))+20),1,IF(ISNUMBER($K188),$K188,$Z188)))</f>
        <v/>
      </c>
      <c r="AB188" s="62">
        <f>IF($V188="","",IF(AND(ISNUMBER($G188),$G188&lt;=IF($S188=MesCiclo,InicioCiclo,$S188+MOD(2-WEEKDAY($S188),7))+27),1,IF(ISNUMBER($L188),$L188,$AA188)))</f>
        <v/>
      </c>
      <c r="AC188" s="62">
        <f>IF($V188="","",IF(AND(ISNUMBER($G188),$G188&lt;=IF($S188=MesCiclo,InicioCiclo,$S188+MOD(2-WEEKDAY($S188),7))+6),1,IF(N($W188)&gt;0,AVERAGEIFS($Y$5:$Y$1000,$U$5:$U$1000,ROW(),$V$5:$V$1000,"Sub"),$Y188)))</f>
        <v/>
      </c>
      <c r="AD188" s="62">
        <f>IF($V188="","",IF(AND(ISNUMBER($G188),$G188&lt;=IF($S188=MesCiclo,InicioCiclo,$S188+MOD(2-WEEKDAY($S188),7))+13),1,IF(N($W188)&gt;0,AVERAGEIFS($Z$5:$Z$1000,$U$5:$U$1000,ROW(),$V$5:$V$1000,"Sub"),$Z188)))</f>
        <v/>
      </c>
      <c r="AE188" s="62">
        <f>IF($V188="","",IF(AND(ISNUMBER($G188),$G188&lt;=IF($S188=MesCiclo,InicioCiclo,$S188+MOD(2-WEEKDAY($S188),7))+20),1,IF(N($W188)&gt;0,AVERAGEIFS($AA$5:$AA$1000,$U$5:$U$1000,ROW(),$V$5:$V$1000,"Sub"),$AA188)))</f>
        <v/>
      </c>
      <c r="AF188" s="62">
        <f>IF($V188="","",IF(AND(ISNUMBER($G188),$G188&lt;=IF($S188=MesCiclo,InicioCiclo,$S188+MOD(2-WEEKDAY($S188),7))+27),1,IF(N($W188)&gt;0,AVERAGEIFS($AB$5:$AB$1000,$U$5:$U$1000,ROW(),$V$5:$V$1000,"Sub"),$AB188)))</f>
        <v/>
      </c>
      <c r="AG188" s="62">
        <f>IF($V188&lt;&gt;"Macro","",IF(COUNTIFS($S$5:$S$1000,$S188,$V$5:$V$1000,"Macro",$H$5:$H$1000,"&gt;0")=0,1/COUNTIFS($S$5:$S$1000,$S188,$V$5:$V$1000,"Macro"),IF(AND(ISNUMBER($H188),N($H188)&gt;0),$H188,SUMIFS($H$5:$H$1000,$S$5:$S$1000,$S188,$V$5:$V$1000,"Macro")/COUNTIFS($S$5:$S$1000,$S188,$V$5:$V$1000,"Macro",$H$5:$H$1000,"&gt;0"))/(COUNTIFS($S$5:$S$1000,$S188,$V$5:$V$1000,"Macro")*SUMIFS($H$5:$H$1000,$S$5:$S$1000,$S188,$V$5:$V$1000,"Macro")/COUNTIFS($S$5:$S$1000,$S188,$V$5:$V$1000,"Macro",$H$5:$H$1000,"&gt;0"))))</f>
        <v/>
      </c>
      <c r="AH188" s="62" t="n"/>
      <c r="AI188" s="62" t="n"/>
      <c r="AJ188" s="62" t="n"/>
      <c r="AK188" s="62" t="n"/>
      <c r="AL188" s="62">
        <f>IF(LEFT($C188,11)="[Jefatura] ",IFERROR(MATCH("Riesgo Normativo|"&amp;MID($C188,12,500),rDname_ADM,0),0),"")</f>
        <v/>
      </c>
      <c r="AM188" s="62">
        <f>IF(N($AL188)&gt;0,INDEX(rIni_ADM,$AL188),IF(ISNUMBER($E188),$E188,""))</f>
        <v/>
      </c>
      <c r="AN188" s="62">
        <f>IF(N($AL188)&gt;0,INDEX(rLim_ADM,$AL188),IF(ISNUMBER($F188),$F188,""))</f>
        <v/>
      </c>
    </row>
    <row r="189">
      <c r="A189" s="56">
        <f>IF(NOT((COUNTA($B189:$D189)+COUNTA($G189:$L189)+COUNTA($Q189))&gt;0),"",IF($V189="Macro",COUNTIFS($V$5:$V189,"Macro",$S$5:$S189,$S189),IF(N($U189)=0,"?",COUNTIFS(INDEX($V$5:$V$1000,1):INDEX($V$5:$V$1000,$U189-4),"Macro",INDEX($S$5:$S$1000,1):INDEX($S$5:$S$1000,$U189-4),INDEX($S$5:$S$1000,$U189-4))&amp;"."&amp;COUNTIFS($U$5:$U189,$U189,$V$5:$V189,"Sub"))))</f>
        <v/>
      </c>
      <c r="B189" s="57" t="n"/>
      <c r="C189" s="58" t="n"/>
      <c r="D189" s="58" t="n"/>
      <c r="E189" s="59">
        <f>IF(N($AL189)&gt;0,INDEX(rIni_ADM,$AL189),"")</f>
        <v/>
      </c>
      <c r="F189" s="59">
        <f>IF(N($AL189)&gt;0,INDEX(rLim_ADM,$AL189),"")</f>
        <v/>
      </c>
      <c r="G189" s="59" t="n"/>
      <c r="H189" s="60" t="n"/>
      <c r="I189" s="60" t="n"/>
      <c r="J189" s="60" t="n"/>
      <c r="K189" s="60" t="n"/>
      <c r="L189" s="60" t="n"/>
      <c r="M189" s="61">
        <f>IF(NOT((COUNTA($B189:$D189)+COUNTA($G189:$L189)+COUNTA($Q189))&gt;0),"",IF($V189="Sub",IFERROR($X189/INDEX($W$5:$W$1000,$U189-4),""),IF(ISNUMBER($G189),1,IF(N($W189)&gt;0,AVERAGEIFS($X$5:$X$1000,$U$5:$U$1000,ROW(),$V$5:$V$1000,"Sub"),$X189))))</f>
        <v/>
      </c>
      <c r="N189" s="56">
        <f>IF(OR($M189="",$V189="Sub"),"",IF($M189&gt;=1,"Completado",IF($M189&gt;0,"En curso","Pendiente")))</f>
        <v/>
      </c>
      <c r="O189" s="56">
        <f>IF(OR(NOT((COUNTA($B189:$D189)+COUNTA($G189:$L189)+COUNTA($Q189))&gt;0),$V189="Sub"),"",IF(ISNUMBER($G189),IF(AND(ISNUMBER($AN189),$G189&gt;$AN189),"Cumplida con "&amp;($G189-$AN189)&amp;IF($G189-$AN189=1," día"," días")&amp;" de retraso","Cumplida"),IF(N($M189)&gt;=1,"Cumplida",IF(NOT(ISNUMBER($AN189)),"Sin fecha límite",IF($AN189&lt;FechaRef,"Vencida hace "&amp;(FechaRef-$AN189)&amp;IF(FechaRef-$AN189=1," día"," días"),IF($AN189=FechaRef,"Vence hoy",IF($AN189-FechaRef&lt;=DiasAlerta,"Vence en "&amp;($AN189-FechaRef)&amp;IF($AN189-FechaRef=1," día"," días"),"En plazo")))))))</f>
        <v/>
      </c>
      <c r="P189" s="62" t="n"/>
      <c r="Q189" s="58" t="n"/>
      <c r="R189" s="63">
        <f>IF(NOT((COUNTA($B189:$D189)+COUNTA($G189:$L189)+COUNTA($Q189))&gt;0),"",IF((IF($C189="","Falta el nombre de la actividad"&amp;" · ","")&amp;IF(AND($V189="Sub",N($U189)=0),"Subactividad sin macroactividad arriba"&amp;" · ","")&amp;IF($AM189="","Sin fecha de inicio"&amp;" · ","")&amp;IF($AN189="","Sin fecha límite"&amp;" · ","")&amp;IF(AND(LEFT($C189,11)="[Jefatura] ",N($AL189)=0),"No se encuentra en la hoja de la jefatura (elíjala de nuevo en la lista)"&amp;" · ","")&amp;IF(OR(AND($E189&lt;&gt;"",NOT(ISNUMBER($E189))),AND($F189&lt;&gt;"",NOT(ISNUMBER($F189))),AND($G189&lt;&gt;"",NOT(ISNUMBER($G189)))),"Fecha no válida"&amp;" · ","")&amp;IF(AND(ISNUMBER($AM189),ISNUMBER($AN189),$AM189&gt;$AN189),"Inicio posterior a fecha límite"&amp;" · ","")&amp;IF(AND($V189="Macro",$H189&lt;&gt;"",OR(NOT(ISNUMBER($H189)),$H189&lt;0,$H189&gt;1)),"Peso fuera de rango"&amp;" · ","")&amp;IF(AND($V189="Sub",$H189&lt;&gt;""),"Las subactividades no llevan peso (valen igual dentro de su macroactividad)"&amp;" · ","")&amp;IF(AND(N($W189)&gt;0,COUNT($I189:$L189)&gt;0),"Con subactividades: deje vacías las semanas (se calculan solas)"&amp;" · ","")&amp;IF((COUNTIF($I189:$L189,"&gt;1")+COUNTIF($I189:$L189,"&lt;0")+COUNTA($I189:$L189)-COUNT($I189:$L189))&gt;0,"Avance fuera de rango 0-100%"&amp;" · ","")&amp;IF(OR(AND($J189&lt;&gt;"",$J189&lt;$I189),AND($K189&lt;&gt;"",$K189&lt;MAX($I189:$J189)),AND($L189&lt;&gt;"",$L189&lt;MAX($I189:$K189))),"Avance semanal decreciente"&amp;" · ","")&amp;IF(AND(ISNUMBER($AN189),$AN189&lt;FechaRef,IF($V189="Sub",N($X189),N($M189))&lt;1),"Vencida"&amp;" · ","")&amp;IF(AND(ObsObligatoria="Sí",ISNUMBER($AN189),$AN189&lt;FechaRef,IF($V189="Sub",N($X189),N($M189))&lt;1,$Q189=""),"Vencida sin observación"&amp;" · ",""))="","✔ OK","⚠ "&amp;LEFT(IF($C189="","Falta el nombre de la actividad"&amp;" · ","")&amp;IF(AND($V189="Sub",N($U189)=0),"Subactividad sin macroactividad arriba"&amp;" · ","")&amp;IF($AM189="","Sin fecha de inicio"&amp;" · ","")&amp;IF($AN189="","Sin fecha límite"&amp;" · ","")&amp;IF(AND(LEFT($C189,11)="[Jefatura] ",N($AL189)=0),"No se encuentra en la hoja de la jefatura (elíjala de nuevo en la lista)"&amp;" · ","")&amp;IF(OR(AND($E189&lt;&gt;"",NOT(ISNUMBER($E189))),AND($F189&lt;&gt;"",NOT(ISNUMBER($F189))),AND($G189&lt;&gt;"",NOT(ISNUMBER($G189)))),"Fecha no válida"&amp;" · ","")&amp;IF(AND(ISNUMBER($AM189),ISNUMBER($AN189),$AM189&gt;$AN189),"Inicio posterior a fecha límite"&amp;" · ","")&amp;IF(AND($V189="Macro",$H189&lt;&gt;"",OR(NOT(ISNUMBER($H189)),$H189&lt;0,$H189&gt;1)),"Peso fuera de rango"&amp;" · ","")&amp;IF(AND($V189="Sub",$H189&lt;&gt;""),"Las subactividades no llevan peso (valen igual dentro de su macroactividad)"&amp;" · ","")&amp;IF(AND(N($W189)&gt;0,COUNT($I189:$L189)&gt;0),"Con subactividades: deje vacías las semanas (se calculan solas)"&amp;" · ","")&amp;IF((COUNTIF($I189:$L189,"&gt;1")+COUNTIF($I189:$L189,"&lt;0")+COUNTA($I189:$L189)-COUNT($I189:$L189))&gt;0,"Avance fuera de rango 0-100%"&amp;" · ","")&amp;IF(OR(AND($J189&lt;&gt;"",$J189&lt;$I189),AND($K189&lt;&gt;"",$K189&lt;MAX($I189:$J189)),AND($L189&lt;&gt;"",$L189&lt;MAX($I189:$K189))),"Avance semanal decreciente"&amp;" · ","")&amp;IF(AND(ISNUMBER($AN189),$AN189&lt;FechaRef,IF($V189="Sub",N($X189),N($M189))&lt;1),"Vencida"&amp;" · ","")&amp;IF(AND(ObsObligatoria="Sí",ISNUMBER($AN189),$AN189&lt;FechaRef,IF($V189="Sub",N($X189),N($M189))&lt;1,$Q189=""),"Vencida sin observación"&amp;" · ",""),LEN(IF($C189="","Falta el nombre de la actividad"&amp;" · ","")&amp;IF(AND($V189="Sub",N($U189)=0),"Subactividad sin macroactividad arriba"&amp;" · ","")&amp;IF($AM189="","Sin fecha de inicio"&amp;" · ","")&amp;IF($AN189="","Sin fecha límite"&amp;" · ","")&amp;IF(AND(LEFT($C189,11)="[Jefatura] ",N($AL189)=0),"No se encuentra en la hoja de la jefatura (elíjala de nuevo en la lista)"&amp;" · ","")&amp;IF(OR(AND($E189&lt;&gt;"",NOT(ISNUMBER($E189))),AND($F189&lt;&gt;"",NOT(ISNUMBER($F189))),AND($G189&lt;&gt;"",NOT(ISNUMBER($G189)))),"Fecha no válida"&amp;" · ","")&amp;IF(AND(ISNUMBER($AM189),ISNUMBER($AN189),$AM189&gt;$AN189),"Inicio posterior a fecha límite"&amp;" · ","")&amp;IF(AND($V189="Macro",$H189&lt;&gt;"",OR(NOT(ISNUMBER($H189)),$H189&lt;0,$H189&gt;1)),"Peso fuera de rango"&amp;" · ","")&amp;IF(AND($V189="Sub",$H189&lt;&gt;""),"Las subactividades no llevan peso (valen igual dentro de su macroactividad)"&amp;" · ","")&amp;IF(AND(N($W189)&gt;0,COUNT($I189:$L189)&gt;0),"Con subactividades: deje vacías las semanas (se calculan solas)"&amp;" · ","")&amp;IF((COUNTIF($I189:$L189,"&gt;1")+COUNTIF($I189:$L189,"&lt;0")+COUNTA($I189:$L189)-COUNT($I189:$L189))&gt;0,"Avance fuera de rango 0-100%"&amp;" · ","")&amp;IF(OR(AND($J189&lt;&gt;"",$J189&lt;$I189),AND($K189&lt;&gt;"",$K189&lt;MAX($I189:$J189)),AND($L189&lt;&gt;"",$L189&lt;MAX($I189:$K189))),"Avance semanal decreciente"&amp;" · ","")&amp;IF(AND(ISNUMBER($AN189),$AN189&lt;FechaRef,IF($V189="Sub",N($X189),N($M189))&lt;1),"Vencida"&amp;" · ","")&amp;IF(AND(ObsObligatoria="Sí",ISNUMBER($AN189),$AN189&lt;FechaRef,IF($V189="Sub",N($X189),N($M189))&lt;1,$Q189=""),"Vencida sin observación"&amp;" · ",""))-3)))</f>
        <v/>
      </c>
      <c r="S189" s="64">
        <f>IF(NOT((COUNTA($B189:$D189)+COUNTA($G189:$L189)+COUNTA($Q189))&gt;0),"",IF(AND($V189="Sub",N($U189)&gt;0),IF(ISNUMBER(INDEX($AM$5:$AM$1000,$U189-4)),DATE(YEAR(INDEX($AM$5:$AM$1000,$U189-4)),MONTH(INDEX($AM$5:$AM$1000,$U189-4)),1),IF(ISNUMBER(INDEX($AN$5:$AN$1000,$U189-4)),DATE(YEAR(INDEX($AN$5:$AN$1000,$U189-4)),MONTH(INDEX($AN$5:$AN$1000,$U189-4)),1),MesCiclo)),IF(ISNUMBER($AM189),DATE(YEAR($AM189),MONTH($AM189),1),IF(ISNUMBER($AN189),DATE(YEAR($AN189),MONTH($AN189),1),MesCiclo))))</f>
        <v/>
      </c>
      <c r="T189" s="62">
        <f>IF(OR($S189="",$S189&lt;&gt;MesCiclo,$V189&lt;&gt;"Macro"),"",COUNTIFS($S$5:$S189,MesCiclo,$V$5:$V189,"Macro"))</f>
        <v/>
      </c>
      <c r="U189" s="62">
        <f>IF($V189="","",IF($V189="Macro",ROW(),IFERROR(LOOKUP(2,1/($V$5:$V189="Macro"),ROW($V$5:$V189)),0)))</f>
        <v/>
      </c>
      <c r="V189" s="62">
        <f>IF(NOT((COUNTA($B189:$D189)+COUNTA($G189:$L189)+COUNTA($Q189))&gt;0),"",IF($B189="Subactividad","Sub","Macro"))</f>
        <v/>
      </c>
      <c r="W189" s="62">
        <f>IF($V189="Macro",COUNTIFS($U$5:$U$1000,ROW(),$V$5:$V$1000,"Sub"),"")</f>
        <v/>
      </c>
      <c r="X189" s="62">
        <f>IF($V189="","",IF(ISNUMBER($G189),1,IFERROR(LOOKUP(2,1/($I189:$L189&lt;&gt;""),$I189:$L189),0)))</f>
        <v/>
      </c>
      <c r="Y189" s="62">
        <f>IF($V189="","",IF(AND(ISNUMBER($G189),$G189&lt;=IF($S189=MesCiclo,InicioCiclo,$S189+MOD(2-WEEKDAY($S189),7))+6),1,IF(ISNUMBER($I189),$I189,0)))</f>
        <v/>
      </c>
      <c r="Z189" s="62">
        <f>IF($V189="","",IF(AND(ISNUMBER($G189),$G189&lt;=IF($S189=MesCiclo,InicioCiclo,$S189+MOD(2-WEEKDAY($S189),7))+13),1,IF(ISNUMBER($J189),$J189,$Y189)))</f>
        <v/>
      </c>
      <c r="AA189" s="62">
        <f>IF($V189="","",IF(AND(ISNUMBER($G189),$G189&lt;=IF($S189=MesCiclo,InicioCiclo,$S189+MOD(2-WEEKDAY($S189),7))+20),1,IF(ISNUMBER($K189),$K189,$Z189)))</f>
        <v/>
      </c>
      <c r="AB189" s="62">
        <f>IF($V189="","",IF(AND(ISNUMBER($G189),$G189&lt;=IF($S189=MesCiclo,InicioCiclo,$S189+MOD(2-WEEKDAY($S189),7))+27),1,IF(ISNUMBER($L189),$L189,$AA189)))</f>
        <v/>
      </c>
      <c r="AC189" s="62">
        <f>IF($V189="","",IF(AND(ISNUMBER($G189),$G189&lt;=IF($S189=MesCiclo,InicioCiclo,$S189+MOD(2-WEEKDAY($S189),7))+6),1,IF(N($W189)&gt;0,AVERAGEIFS($Y$5:$Y$1000,$U$5:$U$1000,ROW(),$V$5:$V$1000,"Sub"),$Y189)))</f>
        <v/>
      </c>
      <c r="AD189" s="62">
        <f>IF($V189="","",IF(AND(ISNUMBER($G189),$G189&lt;=IF($S189=MesCiclo,InicioCiclo,$S189+MOD(2-WEEKDAY($S189),7))+13),1,IF(N($W189)&gt;0,AVERAGEIFS($Z$5:$Z$1000,$U$5:$U$1000,ROW(),$V$5:$V$1000,"Sub"),$Z189)))</f>
        <v/>
      </c>
      <c r="AE189" s="62">
        <f>IF($V189="","",IF(AND(ISNUMBER($G189),$G189&lt;=IF($S189=MesCiclo,InicioCiclo,$S189+MOD(2-WEEKDAY($S189),7))+20),1,IF(N($W189)&gt;0,AVERAGEIFS($AA$5:$AA$1000,$U$5:$U$1000,ROW(),$V$5:$V$1000,"Sub"),$AA189)))</f>
        <v/>
      </c>
      <c r="AF189" s="62">
        <f>IF($V189="","",IF(AND(ISNUMBER($G189),$G189&lt;=IF($S189=MesCiclo,InicioCiclo,$S189+MOD(2-WEEKDAY($S189),7))+27),1,IF(N($W189)&gt;0,AVERAGEIFS($AB$5:$AB$1000,$U$5:$U$1000,ROW(),$V$5:$V$1000,"Sub"),$AB189)))</f>
        <v/>
      </c>
      <c r="AG189" s="62">
        <f>IF($V189&lt;&gt;"Macro","",IF(COUNTIFS($S$5:$S$1000,$S189,$V$5:$V$1000,"Macro",$H$5:$H$1000,"&gt;0")=0,1/COUNTIFS($S$5:$S$1000,$S189,$V$5:$V$1000,"Macro"),IF(AND(ISNUMBER($H189),N($H189)&gt;0),$H189,SUMIFS($H$5:$H$1000,$S$5:$S$1000,$S189,$V$5:$V$1000,"Macro")/COUNTIFS($S$5:$S$1000,$S189,$V$5:$V$1000,"Macro",$H$5:$H$1000,"&gt;0"))/(COUNTIFS($S$5:$S$1000,$S189,$V$5:$V$1000,"Macro")*SUMIFS($H$5:$H$1000,$S$5:$S$1000,$S189,$V$5:$V$1000,"Macro")/COUNTIFS($S$5:$S$1000,$S189,$V$5:$V$1000,"Macro",$H$5:$H$1000,"&gt;0"))))</f>
        <v/>
      </c>
      <c r="AH189" s="62" t="n"/>
      <c r="AI189" s="62" t="n"/>
      <c r="AJ189" s="62" t="n"/>
      <c r="AK189" s="62" t="n"/>
      <c r="AL189" s="62">
        <f>IF(LEFT($C189,11)="[Jefatura] ",IFERROR(MATCH("Riesgo Normativo|"&amp;MID($C189,12,500),rDname_ADM,0),0),"")</f>
        <v/>
      </c>
      <c r="AM189" s="62">
        <f>IF(N($AL189)&gt;0,INDEX(rIni_ADM,$AL189),IF(ISNUMBER($E189),$E189,""))</f>
        <v/>
      </c>
      <c r="AN189" s="62">
        <f>IF(N($AL189)&gt;0,INDEX(rLim_ADM,$AL189),IF(ISNUMBER($F189),$F189,""))</f>
        <v/>
      </c>
    </row>
    <row r="190">
      <c r="A190" s="56">
        <f>IF(NOT((COUNTA($B190:$D190)+COUNTA($G190:$L190)+COUNTA($Q190))&gt;0),"",IF($V190="Macro",COUNTIFS($V$5:$V190,"Macro",$S$5:$S190,$S190),IF(N($U190)=0,"?",COUNTIFS(INDEX($V$5:$V$1000,1):INDEX($V$5:$V$1000,$U190-4),"Macro",INDEX($S$5:$S$1000,1):INDEX($S$5:$S$1000,$U190-4),INDEX($S$5:$S$1000,$U190-4))&amp;"."&amp;COUNTIFS($U$5:$U190,$U190,$V$5:$V190,"Sub"))))</f>
        <v/>
      </c>
      <c r="B190" s="57" t="n"/>
      <c r="C190" s="58" t="n"/>
      <c r="D190" s="58" t="n"/>
      <c r="E190" s="59">
        <f>IF(N($AL190)&gt;0,INDEX(rIni_ADM,$AL190),"")</f>
        <v/>
      </c>
      <c r="F190" s="59">
        <f>IF(N($AL190)&gt;0,INDEX(rLim_ADM,$AL190),"")</f>
        <v/>
      </c>
      <c r="G190" s="59" t="n"/>
      <c r="H190" s="60" t="n"/>
      <c r="I190" s="60" t="n"/>
      <c r="J190" s="60" t="n"/>
      <c r="K190" s="60" t="n"/>
      <c r="L190" s="60" t="n"/>
      <c r="M190" s="61">
        <f>IF(NOT((COUNTA($B190:$D190)+COUNTA($G190:$L190)+COUNTA($Q190))&gt;0),"",IF($V190="Sub",IFERROR($X190/INDEX($W$5:$W$1000,$U190-4),""),IF(ISNUMBER($G190),1,IF(N($W190)&gt;0,AVERAGEIFS($X$5:$X$1000,$U$5:$U$1000,ROW(),$V$5:$V$1000,"Sub"),$X190))))</f>
        <v/>
      </c>
      <c r="N190" s="56">
        <f>IF(OR($M190="",$V190="Sub"),"",IF($M190&gt;=1,"Completado",IF($M190&gt;0,"En curso","Pendiente")))</f>
        <v/>
      </c>
      <c r="O190" s="56">
        <f>IF(OR(NOT((COUNTA($B190:$D190)+COUNTA($G190:$L190)+COUNTA($Q190))&gt;0),$V190="Sub"),"",IF(ISNUMBER($G190),IF(AND(ISNUMBER($AN190),$G190&gt;$AN190),"Cumplida con "&amp;($G190-$AN190)&amp;IF($G190-$AN190=1," día"," días")&amp;" de retraso","Cumplida"),IF(N($M190)&gt;=1,"Cumplida",IF(NOT(ISNUMBER($AN190)),"Sin fecha límite",IF($AN190&lt;FechaRef,"Vencida hace "&amp;(FechaRef-$AN190)&amp;IF(FechaRef-$AN190=1," día"," días"),IF($AN190=FechaRef,"Vence hoy",IF($AN190-FechaRef&lt;=DiasAlerta,"Vence en "&amp;($AN190-FechaRef)&amp;IF($AN190-FechaRef=1," día"," días"),"En plazo")))))))</f>
        <v/>
      </c>
      <c r="P190" s="62" t="n"/>
      <c r="Q190" s="58" t="n"/>
      <c r="R190" s="63">
        <f>IF(NOT((COUNTA($B190:$D190)+COUNTA($G190:$L190)+COUNTA($Q190))&gt;0),"",IF((IF($C190="","Falta el nombre de la actividad"&amp;" · ","")&amp;IF(AND($V190="Sub",N($U190)=0),"Subactividad sin macroactividad arriba"&amp;" · ","")&amp;IF($AM190="","Sin fecha de inicio"&amp;" · ","")&amp;IF($AN190="","Sin fecha límite"&amp;" · ","")&amp;IF(AND(LEFT($C190,11)="[Jefatura] ",N($AL190)=0),"No se encuentra en la hoja de la jefatura (elíjala de nuevo en la lista)"&amp;" · ","")&amp;IF(OR(AND($E190&lt;&gt;"",NOT(ISNUMBER($E190))),AND($F190&lt;&gt;"",NOT(ISNUMBER($F190))),AND($G190&lt;&gt;"",NOT(ISNUMBER($G190)))),"Fecha no válida"&amp;" · ","")&amp;IF(AND(ISNUMBER($AM190),ISNUMBER($AN190),$AM190&gt;$AN190),"Inicio posterior a fecha límite"&amp;" · ","")&amp;IF(AND($V190="Macro",$H190&lt;&gt;"",OR(NOT(ISNUMBER($H190)),$H190&lt;0,$H190&gt;1)),"Peso fuera de rango"&amp;" · ","")&amp;IF(AND($V190="Sub",$H190&lt;&gt;""),"Las subactividades no llevan peso (valen igual dentro de su macroactividad)"&amp;" · ","")&amp;IF(AND(N($W190)&gt;0,COUNT($I190:$L190)&gt;0),"Con subactividades: deje vacías las semanas (se calculan solas)"&amp;" · ","")&amp;IF((COUNTIF($I190:$L190,"&gt;1")+COUNTIF($I190:$L190,"&lt;0")+COUNTA($I190:$L190)-COUNT($I190:$L190))&gt;0,"Avance fuera de rango 0-100%"&amp;" · ","")&amp;IF(OR(AND($J190&lt;&gt;"",$J190&lt;$I190),AND($K190&lt;&gt;"",$K190&lt;MAX($I190:$J190)),AND($L190&lt;&gt;"",$L190&lt;MAX($I190:$K190))),"Avance semanal decreciente"&amp;" · ","")&amp;IF(AND(ISNUMBER($AN190),$AN190&lt;FechaRef,IF($V190="Sub",N($X190),N($M190))&lt;1),"Vencida"&amp;" · ","")&amp;IF(AND(ObsObligatoria="Sí",ISNUMBER($AN190),$AN190&lt;FechaRef,IF($V190="Sub",N($X190),N($M190))&lt;1,$Q190=""),"Vencida sin observación"&amp;" · ",""))="","✔ OK","⚠ "&amp;LEFT(IF($C190="","Falta el nombre de la actividad"&amp;" · ","")&amp;IF(AND($V190="Sub",N($U190)=0),"Subactividad sin macroactividad arriba"&amp;" · ","")&amp;IF($AM190="","Sin fecha de inicio"&amp;" · ","")&amp;IF($AN190="","Sin fecha límite"&amp;" · ","")&amp;IF(AND(LEFT($C190,11)="[Jefatura] ",N($AL190)=0),"No se encuentra en la hoja de la jefatura (elíjala de nuevo en la lista)"&amp;" · ","")&amp;IF(OR(AND($E190&lt;&gt;"",NOT(ISNUMBER($E190))),AND($F190&lt;&gt;"",NOT(ISNUMBER($F190))),AND($G190&lt;&gt;"",NOT(ISNUMBER($G190)))),"Fecha no válida"&amp;" · ","")&amp;IF(AND(ISNUMBER($AM190),ISNUMBER($AN190),$AM190&gt;$AN190),"Inicio posterior a fecha límite"&amp;" · ","")&amp;IF(AND($V190="Macro",$H190&lt;&gt;"",OR(NOT(ISNUMBER($H190)),$H190&lt;0,$H190&gt;1)),"Peso fuera de rango"&amp;" · ","")&amp;IF(AND($V190="Sub",$H190&lt;&gt;""),"Las subactividades no llevan peso (valen igual dentro de su macroactividad)"&amp;" · ","")&amp;IF(AND(N($W190)&gt;0,COUNT($I190:$L190)&gt;0),"Con subactividades: deje vacías las semanas (se calculan solas)"&amp;" · ","")&amp;IF((COUNTIF($I190:$L190,"&gt;1")+COUNTIF($I190:$L190,"&lt;0")+COUNTA($I190:$L190)-COUNT($I190:$L190))&gt;0,"Avance fuera de rango 0-100%"&amp;" · ","")&amp;IF(OR(AND($J190&lt;&gt;"",$J190&lt;$I190),AND($K190&lt;&gt;"",$K190&lt;MAX($I190:$J190)),AND($L190&lt;&gt;"",$L190&lt;MAX($I190:$K190))),"Avance semanal decreciente"&amp;" · ","")&amp;IF(AND(ISNUMBER($AN190),$AN190&lt;FechaRef,IF($V190="Sub",N($X190),N($M190))&lt;1),"Vencida"&amp;" · ","")&amp;IF(AND(ObsObligatoria="Sí",ISNUMBER($AN190),$AN190&lt;FechaRef,IF($V190="Sub",N($X190),N($M190))&lt;1,$Q190=""),"Vencida sin observación"&amp;" · ",""),LEN(IF($C190="","Falta el nombre de la actividad"&amp;" · ","")&amp;IF(AND($V190="Sub",N($U190)=0),"Subactividad sin macroactividad arriba"&amp;" · ","")&amp;IF($AM190="","Sin fecha de inicio"&amp;" · ","")&amp;IF($AN190="","Sin fecha límite"&amp;" · ","")&amp;IF(AND(LEFT($C190,11)="[Jefatura] ",N($AL190)=0),"No se encuentra en la hoja de la jefatura (elíjala de nuevo en la lista)"&amp;" · ","")&amp;IF(OR(AND($E190&lt;&gt;"",NOT(ISNUMBER($E190))),AND($F190&lt;&gt;"",NOT(ISNUMBER($F190))),AND($G190&lt;&gt;"",NOT(ISNUMBER($G190)))),"Fecha no válida"&amp;" · ","")&amp;IF(AND(ISNUMBER($AM190),ISNUMBER($AN190),$AM190&gt;$AN190),"Inicio posterior a fecha límite"&amp;" · ","")&amp;IF(AND($V190="Macro",$H190&lt;&gt;"",OR(NOT(ISNUMBER($H190)),$H190&lt;0,$H190&gt;1)),"Peso fuera de rango"&amp;" · ","")&amp;IF(AND($V190="Sub",$H190&lt;&gt;""),"Las subactividades no llevan peso (valen igual dentro de su macroactividad)"&amp;" · ","")&amp;IF(AND(N($W190)&gt;0,COUNT($I190:$L190)&gt;0),"Con subactividades: deje vacías las semanas (se calculan solas)"&amp;" · ","")&amp;IF((COUNTIF($I190:$L190,"&gt;1")+COUNTIF($I190:$L190,"&lt;0")+COUNTA($I190:$L190)-COUNT($I190:$L190))&gt;0,"Avance fuera de rango 0-100%"&amp;" · ","")&amp;IF(OR(AND($J190&lt;&gt;"",$J190&lt;$I190),AND($K190&lt;&gt;"",$K190&lt;MAX($I190:$J190)),AND($L190&lt;&gt;"",$L190&lt;MAX($I190:$K190))),"Avance semanal decreciente"&amp;" · ","")&amp;IF(AND(ISNUMBER($AN190),$AN190&lt;FechaRef,IF($V190="Sub",N($X190),N($M190))&lt;1),"Vencida"&amp;" · ","")&amp;IF(AND(ObsObligatoria="Sí",ISNUMBER($AN190),$AN190&lt;FechaRef,IF($V190="Sub",N($X190),N($M190))&lt;1,$Q190=""),"Vencida sin observación"&amp;" · ",""))-3)))</f>
        <v/>
      </c>
      <c r="S190" s="64">
        <f>IF(NOT((COUNTA($B190:$D190)+COUNTA($G190:$L190)+COUNTA($Q190))&gt;0),"",IF(AND($V190="Sub",N($U190)&gt;0),IF(ISNUMBER(INDEX($AM$5:$AM$1000,$U190-4)),DATE(YEAR(INDEX($AM$5:$AM$1000,$U190-4)),MONTH(INDEX($AM$5:$AM$1000,$U190-4)),1),IF(ISNUMBER(INDEX($AN$5:$AN$1000,$U190-4)),DATE(YEAR(INDEX($AN$5:$AN$1000,$U190-4)),MONTH(INDEX($AN$5:$AN$1000,$U190-4)),1),MesCiclo)),IF(ISNUMBER($AM190),DATE(YEAR($AM190),MONTH($AM190),1),IF(ISNUMBER($AN190),DATE(YEAR($AN190),MONTH($AN190),1),MesCiclo))))</f>
        <v/>
      </c>
      <c r="T190" s="62">
        <f>IF(OR($S190="",$S190&lt;&gt;MesCiclo,$V190&lt;&gt;"Macro"),"",COUNTIFS($S$5:$S190,MesCiclo,$V$5:$V190,"Macro"))</f>
        <v/>
      </c>
      <c r="U190" s="62">
        <f>IF($V190="","",IF($V190="Macro",ROW(),IFERROR(LOOKUP(2,1/($V$5:$V190="Macro"),ROW($V$5:$V190)),0)))</f>
        <v/>
      </c>
      <c r="V190" s="62">
        <f>IF(NOT((COUNTA($B190:$D190)+COUNTA($G190:$L190)+COUNTA($Q190))&gt;0),"",IF($B190="Subactividad","Sub","Macro"))</f>
        <v/>
      </c>
      <c r="W190" s="62">
        <f>IF($V190="Macro",COUNTIFS($U$5:$U$1000,ROW(),$V$5:$V$1000,"Sub"),"")</f>
        <v/>
      </c>
      <c r="X190" s="62">
        <f>IF($V190="","",IF(ISNUMBER($G190),1,IFERROR(LOOKUP(2,1/($I190:$L190&lt;&gt;""),$I190:$L190),0)))</f>
        <v/>
      </c>
      <c r="Y190" s="62">
        <f>IF($V190="","",IF(AND(ISNUMBER($G190),$G190&lt;=IF($S190=MesCiclo,InicioCiclo,$S190+MOD(2-WEEKDAY($S190),7))+6),1,IF(ISNUMBER($I190),$I190,0)))</f>
        <v/>
      </c>
      <c r="Z190" s="62">
        <f>IF($V190="","",IF(AND(ISNUMBER($G190),$G190&lt;=IF($S190=MesCiclo,InicioCiclo,$S190+MOD(2-WEEKDAY($S190),7))+13),1,IF(ISNUMBER($J190),$J190,$Y190)))</f>
        <v/>
      </c>
      <c r="AA190" s="62">
        <f>IF($V190="","",IF(AND(ISNUMBER($G190),$G190&lt;=IF($S190=MesCiclo,InicioCiclo,$S190+MOD(2-WEEKDAY($S190),7))+20),1,IF(ISNUMBER($K190),$K190,$Z190)))</f>
        <v/>
      </c>
      <c r="AB190" s="62">
        <f>IF($V190="","",IF(AND(ISNUMBER($G190),$G190&lt;=IF($S190=MesCiclo,InicioCiclo,$S190+MOD(2-WEEKDAY($S190),7))+27),1,IF(ISNUMBER($L190),$L190,$AA190)))</f>
        <v/>
      </c>
      <c r="AC190" s="62">
        <f>IF($V190="","",IF(AND(ISNUMBER($G190),$G190&lt;=IF($S190=MesCiclo,InicioCiclo,$S190+MOD(2-WEEKDAY($S190),7))+6),1,IF(N($W190)&gt;0,AVERAGEIFS($Y$5:$Y$1000,$U$5:$U$1000,ROW(),$V$5:$V$1000,"Sub"),$Y190)))</f>
        <v/>
      </c>
      <c r="AD190" s="62">
        <f>IF($V190="","",IF(AND(ISNUMBER($G190),$G190&lt;=IF($S190=MesCiclo,InicioCiclo,$S190+MOD(2-WEEKDAY($S190),7))+13),1,IF(N($W190)&gt;0,AVERAGEIFS($Z$5:$Z$1000,$U$5:$U$1000,ROW(),$V$5:$V$1000,"Sub"),$Z190)))</f>
        <v/>
      </c>
      <c r="AE190" s="62">
        <f>IF($V190="","",IF(AND(ISNUMBER($G190),$G190&lt;=IF($S190=MesCiclo,InicioCiclo,$S190+MOD(2-WEEKDAY($S190),7))+20),1,IF(N($W190)&gt;0,AVERAGEIFS($AA$5:$AA$1000,$U$5:$U$1000,ROW(),$V$5:$V$1000,"Sub"),$AA190)))</f>
        <v/>
      </c>
      <c r="AF190" s="62">
        <f>IF($V190="","",IF(AND(ISNUMBER($G190),$G190&lt;=IF($S190=MesCiclo,InicioCiclo,$S190+MOD(2-WEEKDAY($S190),7))+27),1,IF(N($W190)&gt;0,AVERAGEIFS($AB$5:$AB$1000,$U$5:$U$1000,ROW(),$V$5:$V$1000,"Sub"),$AB190)))</f>
        <v/>
      </c>
      <c r="AG190" s="62">
        <f>IF($V190&lt;&gt;"Macro","",IF(COUNTIFS($S$5:$S$1000,$S190,$V$5:$V$1000,"Macro",$H$5:$H$1000,"&gt;0")=0,1/COUNTIFS($S$5:$S$1000,$S190,$V$5:$V$1000,"Macro"),IF(AND(ISNUMBER($H190),N($H190)&gt;0),$H190,SUMIFS($H$5:$H$1000,$S$5:$S$1000,$S190,$V$5:$V$1000,"Macro")/COUNTIFS($S$5:$S$1000,$S190,$V$5:$V$1000,"Macro",$H$5:$H$1000,"&gt;0"))/(COUNTIFS($S$5:$S$1000,$S190,$V$5:$V$1000,"Macro")*SUMIFS($H$5:$H$1000,$S$5:$S$1000,$S190,$V$5:$V$1000,"Macro")/COUNTIFS($S$5:$S$1000,$S190,$V$5:$V$1000,"Macro",$H$5:$H$1000,"&gt;0"))))</f>
        <v/>
      </c>
      <c r="AH190" s="62" t="n"/>
      <c r="AI190" s="62" t="n"/>
      <c r="AJ190" s="62" t="n"/>
      <c r="AK190" s="62" t="n"/>
      <c r="AL190" s="62">
        <f>IF(LEFT($C190,11)="[Jefatura] ",IFERROR(MATCH("Riesgo Normativo|"&amp;MID($C190,12,500),rDname_ADM,0),0),"")</f>
        <v/>
      </c>
      <c r="AM190" s="62">
        <f>IF(N($AL190)&gt;0,INDEX(rIni_ADM,$AL190),IF(ISNUMBER($E190),$E190,""))</f>
        <v/>
      </c>
      <c r="AN190" s="62">
        <f>IF(N($AL190)&gt;0,INDEX(rLim_ADM,$AL190),IF(ISNUMBER($F190),$F190,""))</f>
        <v/>
      </c>
    </row>
    <row r="191">
      <c r="A191" s="56">
        <f>IF(NOT((COUNTA($B191:$D191)+COUNTA($G191:$L191)+COUNTA($Q191))&gt;0),"",IF($V191="Macro",COUNTIFS($V$5:$V191,"Macro",$S$5:$S191,$S191),IF(N($U191)=0,"?",COUNTIFS(INDEX($V$5:$V$1000,1):INDEX($V$5:$V$1000,$U191-4),"Macro",INDEX($S$5:$S$1000,1):INDEX($S$5:$S$1000,$U191-4),INDEX($S$5:$S$1000,$U191-4))&amp;"."&amp;COUNTIFS($U$5:$U191,$U191,$V$5:$V191,"Sub"))))</f>
        <v/>
      </c>
      <c r="B191" s="57" t="n"/>
      <c r="C191" s="58" t="n"/>
      <c r="D191" s="58" t="n"/>
      <c r="E191" s="59">
        <f>IF(N($AL191)&gt;0,INDEX(rIni_ADM,$AL191),"")</f>
        <v/>
      </c>
      <c r="F191" s="59">
        <f>IF(N($AL191)&gt;0,INDEX(rLim_ADM,$AL191),"")</f>
        <v/>
      </c>
      <c r="G191" s="59" t="n"/>
      <c r="H191" s="60" t="n"/>
      <c r="I191" s="60" t="n"/>
      <c r="J191" s="60" t="n"/>
      <c r="K191" s="60" t="n"/>
      <c r="L191" s="60" t="n"/>
      <c r="M191" s="61">
        <f>IF(NOT((COUNTA($B191:$D191)+COUNTA($G191:$L191)+COUNTA($Q191))&gt;0),"",IF($V191="Sub",IFERROR($X191/INDEX($W$5:$W$1000,$U191-4),""),IF(ISNUMBER($G191),1,IF(N($W191)&gt;0,AVERAGEIFS($X$5:$X$1000,$U$5:$U$1000,ROW(),$V$5:$V$1000,"Sub"),$X191))))</f>
        <v/>
      </c>
      <c r="N191" s="56">
        <f>IF(OR($M191="",$V191="Sub"),"",IF($M191&gt;=1,"Completado",IF($M191&gt;0,"En curso","Pendiente")))</f>
        <v/>
      </c>
      <c r="O191" s="56">
        <f>IF(OR(NOT((COUNTA($B191:$D191)+COUNTA($G191:$L191)+COUNTA($Q191))&gt;0),$V191="Sub"),"",IF(ISNUMBER($G191),IF(AND(ISNUMBER($AN191),$G191&gt;$AN191),"Cumplida con "&amp;($G191-$AN191)&amp;IF($G191-$AN191=1," día"," días")&amp;" de retraso","Cumplida"),IF(N($M191)&gt;=1,"Cumplida",IF(NOT(ISNUMBER($AN191)),"Sin fecha límite",IF($AN191&lt;FechaRef,"Vencida hace "&amp;(FechaRef-$AN191)&amp;IF(FechaRef-$AN191=1," día"," días"),IF($AN191=FechaRef,"Vence hoy",IF($AN191-FechaRef&lt;=DiasAlerta,"Vence en "&amp;($AN191-FechaRef)&amp;IF($AN191-FechaRef=1," día"," días"),"En plazo")))))))</f>
        <v/>
      </c>
      <c r="P191" s="62" t="n"/>
      <c r="Q191" s="58" t="n"/>
      <c r="R191" s="63">
        <f>IF(NOT((COUNTA($B191:$D191)+COUNTA($G191:$L191)+COUNTA($Q191))&gt;0),"",IF((IF($C191="","Falta el nombre de la actividad"&amp;" · ","")&amp;IF(AND($V191="Sub",N($U191)=0),"Subactividad sin macroactividad arriba"&amp;" · ","")&amp;IF($AM191="","Sin fecha de inicio"&amp;" · ","")&amp;IF($AN191="","Sin fecha límite"&amp;" · ","")&amp;IF(AND(LEFT($C191,11)="[Jefatura] ",N($AL191)=0),"No se encuentra en la hoja de la jefatura (elíjala de nuevo en la lista)"&amp;" · ","")&amp;IF(OR(AND($E191&lt;&gt;"",NOT(ISNUMBER($E191))),AND($F191&lt;&gt;"",NOT(ISNUMBER($F191))),AND($G191&lt;&gt;"",NOT(ISNUMBER($G191)))),"Fecha no válida"&amp;" · ","")&amp;IF(AND(ISNUMBER($AM191),ISNUMBER($AN191),$AM191&gt;$AN191),"Inicio posterior a fecha límite"&amp;" · ","")&amp;IF(AND($V191="Macro",$H191&lt;&gt;"",OR(NOT(ISNUMBER($H191)),$H191&lt;0,$H191&gt;1)),"Peso fuera de rango"&amp;" · ","")&amp;IF(AND($V191="Sub",$H191&lt;&gt;""),"Las subactividades no llevan peso (valen igual dentro de su macroactividad)"&amp;" · ","")&amp;IF(AND(N($W191)&gt;0,COUNT($I191:$L191)&gt;0),"Con subactividades: deje vacías las semanas (se calculan solas)"&amp;" · ","")&amp;IF((COUNTIF($I191:$L191,"&gt;1")+COUNTIF($I191:$L191,"&lt;0")+COUNTA($I191:$L191)-COUNT($I191:$L191))&gt;0,"Avance fuera de rango 0-100%"&amp;" · ","")&amp;IF(OR(AND($J191&lt;&gt;"",$J191&lt;$I191),AND($K191&lt;&gt;"",$K191&lt;MAX($I191:$J191)),AND($L191&lt;&gt;"",$L191&lt;MAX($I191:$K191))),"Avance semanal decreciente"&amp;" · ","")&amp;IF(AND(ISNUMBER($AN191),$AN191&lt;FechaRef,IF($V191="Sub",N($X191),N($M191))&lt;1),"Vencida"&amp;" · ","")&amp;IF(AND(ObsObligatoria="Sí",ISNUMBER($AN191),$AN191&lt;FechaRef,IF($V191="Sub",N($X191),N($M191))&lt;1,$Q191=""),"Vencida sin observación"&amp;" · ",""))="","✔ OK","⚠ "&amp;LEFT(IF($C191="","Falta el nombre de la actividad"&amp;" · ","")&amp;IF(AND($V191="Sub",N($U191)=0),"Subactividad sin macroactividad arriba"&amp;" · ","")&amp;IF($AM191="","Sin fecha de inicio"&amp;" · ","")&amp;IF($AN191="","Sin fecha límite"&amp;" · ","")&amp;IF(AND(LEFT($C191,11)="[Jefatura] ",N($AL191)=0),"No se encuentra en la hoja de la jefatura (elíjala de nuevo en la lista)"&amp;" · ","")&amp;IF(OR(AND($E191&lt;&gt;"",NOT(ISNUMBER($E191))),AND($F191&lt;&gt;"",NOT(ISNUMBER($F191))),AND($G191&lt;&gt;"",NOT(ISNUMBER($G191)))),"Fecha no válida"&amp;" · ","")&amp;IF(AND(ISNUMBER($AM191),ISNUMBER($AN191),$AM191&gt;$AN191),"Inicio posterior a fecha límite"&amp;" · ","")&amp;IF(AND($V191="Macro",$H191&lt;&gt;"",OR(NOT(ISNUMBER($H191)),$H191&lt;0,$H191&gt;1)),"Peso fuera de rango"&amp;" · ","")&amp;IF(AND($V191="Sub",$H191&lt;&gt;""),"Las subactividades no llevan peso (valen igual dentro de su macroactividad)"&amp;" · ","")&amp;IF(AND(N($W191)&gt;0,COUNT($I191:$L191)&gt;0),"Con subactividades: deje vacías las semanas (se calculan solas)"&amp;" · ","")&amp;IF((COUNTIF($I191:$L191,"&gt;1")+COUNTIF($I191:$L191,"&lt;0")+COUNTA($I191:$L191)-COUNT($I191:$L191))&gt;0,"Avance fuera de rango 0-100%"&amp;" · ","")&amp;IF(OR(AND($J191&lt;&gt;"",$J191&lt;$I191),AND($K191&lt;&gt;"",$K191&lt;MAX($I191:$J191)),AND($L191&lt;&gt;"",$L191&lt;MAX($I191:$K191))),"Avance semanal decreciente"&amp;" · ","")&amp;IF(AND(ISNUMBER($AN191),$AN191&lt;FechaRef,IF($V191="Sub",N($X191),N($M191))&lt;1),"Vencida"&amp;" · ","")&amp;IF(AND(ObsObligatoria="Sí",ISNUMBER($AN191),$AN191&lt;FechaRef,IF($V191="Sub",N($X191),N($M191))&lt;1,$Q191=""),"Vencida sin observación"&amp;" · ",""),LEN(IF($C191="","Falta el nombre de la actividad"&amp;" · ","")&amp;IF(AND($V191="Sub",N($U191)=0),"Subactividad sin macroactividad arriba"&amp;" · ","")&amp;IF($AM191="","Sin fecha de inicio"&amp;" · ","")&amp;IF($AN191="","Sin fecha límite"&amp;" · ","")&amp;IF(AND(LEFT($C191,11)="[Jefatura] ",N($AL191)=0),"No se encuentra en la hoja de la jefatura (elíjala de nuevo en la lista)"&amp;" · ","")&amp;IF(OR(AND($E191&lt;&gt;"",NOT(ISNUMBER($E191))),AND($F191&lt;&gt;"",NOT(ISNUMBER($F191))),AND($G191&lt;&gt;"",NOT(ISNUMBER($G191)))),"Fecha no válida"&amp;" · ","")&amp;IF(AND(ISNUMBER($AM191),ISNUMBER($AN191),$AM191&gt;$AN191),"Inicio posterior a fecha límite"&amp;" · ","")&amp;IF(AND($V191="Macro",$H191&lt;&gt;"",OR(NOT(ISNUMBER($H191)),$H191&lt;0,$H191&gt;1)),"Peso fuera de rango"&amp;" · ","")&amp;IF(AND($V191="Sub",$H191&lt;&gt;""),"Las subactividades no llevan peso (valen igual dentro de su macroactividad)"&amp;" · ","")&amp;IF(AND(N($W191)&gt;0,COUNT($I191:$L191)&gt;0),"Con subactividades: deje vacías las semanas (se calculan solas)"&amp;" · ","")&amp;IF((COUNTIF($I191:$L191,"&gt;1")+COUNTIF($I191:$L191,"&lt;0")+COUNTA($I191:$L191)-COUNT($I191:$L191))&gt;0,"Avance fuera de rango 0-100%"&amp;" · ","")&amp;IF(OR(AND($J191&lt;&gt;"",$J191&lt;$I191),AND($K191&lt;&gt;"",$K191&lt;MAX($I191:$J191)),AND($L191&lt;&gt;"",$L191&lt;MAX($I191:$K191))),"Avance semanal decreciente"&amp;" · ","")&amp;IF(AND(ISNUMBER($AN191),$AN191&lt;FechaRef,IF($V191="Sub",N($X191),N($M191))&lt;1),"Vencida"&amp;" · ","")&amp;IF(AND(ObsObligatoria="Sí",ISNUMBER($AN191),$AN191&lt;FechaRef,IF($V191="Sub",N($X191),N($M191))&lt;1,$Q191=""),"Vencida sin observación"&amp;" · ",""))-3)))</f>
        <v/>
      </c>
      <c r="S191" s="64">
        <f>IF(NOT((COUNTA($B191:$D191)+COUNTA($G191:$L191)+COUNTA($Q191))&gt;0),"",IF(AND($V191="Sub",N($U191)&gt;0),IF(ISNUMBER(INDEX($AM$5:$AM$1000,$U191-4)),DATE(YEAR(INDEX($AM$5:$AM$1000,$U191-4)),MONTH(INDEX($AM$5:$AM$1000,$U191-4)),1),IF(ISNUMBER(INDEX($AN$5:$AN$1000,$U191-4)),DATE(YEAR(INDEX($AN$5:$AN$1000,$U191-4)),MONTH(INDEX($AN$5:$AN$1000,$U191-4)),1),MesCiclo)),IF(ISNUMBER($AM191),DATE(YEAR($AM191),MONTH($AM191),1),IF(ISNUMBER($AN191),DATE(YEAR($AN191),MONTH($AN191),1),MesCiclo))))</f>
        <v/>
      </c>
      <c r="T191" s="62">
        <f>IF(OR($S191="",$S191&lt;&gt;MesCiclo,$V191&lt;&gt;"Macro"),"",COUNTIFS($S$5:$S191,MesCiclo,$V$5:$V191,"Macro"))</f>
        <v/>
      </c>
      <c r="U191" s="62">
        <f>IF($V191="","",IF($V191="Macro",ROW(),IFERROR(LOOKUP(2,1/($V$5:$V191="Macro"),ROW($V$5:$V191)),0)))</f>
        <v/>
      </c>
      <c r="V191" s="62">
        <f>IF(NOT((COUNTA($B191:$D191)+COUNTA($G191:$L191)+COUNTA($Q191))&gt;0),"",IF($B191="Subactividad","Sub","Macro"))</f>
        <v/>
      </c>
      <c r="W191" s="62">
        <f>IF($V191="Macro",COUNTIFS($U$5:$U$1000,ROW(),$V$5:$V$1000,"Sub"),"")</f>
        <v/>
      </c>
      <c r="X191" s="62">
        <f>IF($V191="","",IF(ISNUMBER($G191),1,IFERROR(LOOKUP(2,1/($I191:$L191&lt;&gt;""),$I191:$L191),0)))</f>
        <v/>
      </c>
      <c r="Y191" s="62">
        <f>IF($V191="","",IF(AND(ISNUMBER($G191),$G191&lt;=IF($S191=MesCiclo,InicioCiclo,$S191+MOD(2-WEEKDAY($S191),7))+6),1,IF(ISNUMBER($I191),$I191,0)))</f>
        <v/>
      </c>
      <c r="Z191" s="62">
        <f>IF($V191="","",IF(AND(ISNUMBER($G191),$G191&lt;=IF($S191=MesCiclo,InicioCiclo,$S191+MOD(2-WEEKDAY($S191),7))+13),1,IF(ISNUMBER($J191),$J191,$Y191)))</f>
        <v/>
      </c>
      <c r="AA191" s="62">
        <f>IF($V191="","",IF(AND(ISNUMBER($G191),$G191&lt;=IF($S191=MesCiclo,InicioCiclo,$S191+MOD(2-WEEKDAY($S191),7))+20),1,IF(ISNUMBER($K191),$K191,$Z191)))</f>
        <v/>
      </c>
      <c r="AB191" s="62">
        <f>IF($V191="","",IF(AND(ISNUMBER($G191),$G191&lt;=IF($S191=MesCiclo,InicioCiclo,$S191+MOD(2-WEEKDAY($S191),7))+27),1,IF(ISNUMBER($L191),$L191,$AA191)))</f>
        <v/>
      </c>
      <c r="AC191" s="62">
        <f>IF($V191="","",IF(AND(ISNUMBER($G191),$G191&lt;=IF($S191=MesCiclo,InicioCiclo,$S191+MOD(2-WEEKDAY($S191),7))+6),1,IF(N($W191)&gt;0,AVERAGEIFS($Y$5:$Y$1000,$U$5:$U$1000,ROW(),$V$5:$V$1000,"Sub"),$Y191)))</f>
        <v/>
      </c>
      <c r="AD191" s="62">
        <f>IF($V191="","",IF(AND(ISNUMBER($G191),$G191&lt;=IF($S191=MesCiclo,InicioCiclo,$S191+MOD(2-WEEKDAY($S191),7))+13),1,IF(N($W191)&gt;0,AVERAGEIFS($Z$5:$Z$1000,$U$5:$U$1000,ROW(),$V$5:$V$1000,"Sub"),$Z191)))</f>
        <v/>
      </c>
      <c r="AE191" s="62">
        <f>IF($V191="","",IF(AND(ISNUMBER($G191),$G191&lt;=IF($S191=MesCiclo,InicioCiclo,$S191+MOD(2-WEEKDAY($S191),7))+20),1,IF(N($W191)&gt;0,AVERAGEIFS($AA$5:$AA$1000,$U$5:$U$1000,ROW(),$V$5:$V$1000,"Sub"),$AA191)))</f>
        <v/>
      </c>
      <c r="AF191" s="62">
        <f>IF($V191="","",IF(AND(ISNUMBER($G191),$G191&lt;=IF($S191=MesCiclo,InicioCiclo,$S191+MOD(2-WEEKDAY($S191),7))+27),1,IF(N($W191)&gt;0,AVERAGEIFS($AB$5:$AB$1000,$U$5:$U$1000,ROW(),$V$5:$V$1000,"Sub"),$AB191)))</f>
        <v/>
      </c>
      <c r="AG191" s="62">
        <f>IF($V191&lt;&gt;"Macro","",IF(COUNTIFS($S$5:$S$1000,$S191,$V$5:$V$1000,"Macro",$H$5:$H$1000,"&gt;0")=0,1/COUNTIFS($S$5:$S$1000,$S191,$V$5:$V$1000,"Macro"),IF(AND(ISNUMBER($H191),N($H191)&gt;0),$H191,SUMIFS($H$5:$H$1000,$S$5:$S$1000,$S191,$V$5:$V$1000,"Macro")/COUNTIFS($S$5:$S$1000,$S191,$V$5:$V$1000,"Macro",$H$5:$H$1000,"&gt;0"))/(COUNTIFS($S$5:$S$1000,$S191,$V$5:$V$1000,"Macro")*SUMIFS($H$5:$H$1000,$S$5:$S$1000,$S191,$V$5:$V$1000,"Macro")/COUNTIFS($S$5:$S$1000,$S191,$V$5:$V$1000,"Macro",$H$5:$H$1000,"&gt;0"))))</f>
        <v/>
      </c>
      <c r="AH191" s="62" t="n"/>
      <c r="AI191" s="62" t="n"/>
      <c r="AJ191" s="62" t="n"/>
      <c r="AK191" s="62" t="n"/>
      <c r="AL191" s="62">
        <f>IF(LEFT($C191,11)="[Jefatura] ",IFERROR(MATCH("Riesgo Normativo|"&amp;MID($C191,12,500),rDname_ADM,0),0),"")</f>
        <v/>
      </c>
      <c r="AM191" s="62">
        <f>IF(N($AL191)&gt;0,INDEX(rIni_ADM,$AL191),IF(ISNUMBER($E191),$E191,""))</f>
        <v/>
      </c>
      <c r="AN191" s="62">
        <f>IF(N($AL191)&gt;0,INDEX(rLim_ADM,$AL191),IF(ISNUMBER($F191),$F191,""))</f>
        <v/>
      </c>
    </row>
    <row r="192">
      <c r="A192" s="56">
        <f>IF(NOT((COUNTA($B192:$D192)+COUNTA($G192:$L192)+COUNTA($Q192))&gt;0),"",IF($V192="Macro",COUNTIFS($V$5:$V192,"Macro",$S$5:$S192,$S192),IF(N($U192)=0,"?",COUNTIFS(INDEX($V$5:$V$1000,1):INDEX($V$5:$V$1000,$U192-4),"Macro",INDEX($S$5:$S$1000,1):INDEX($S$5:$S$1000,$U192-4),INDEX($S$5:$S$1000,$U192-4))&amp;"."&amp;COUNTIFS($U$5:$U192,$U192,$V$5:$V192,"Sub"))))</f>
        <v/>
      </c>
      <c r="B192" s="57" t="n"/>
      <c r="C192" s="58" t="n"/>
      <c r="D192" s="58" t="n"/>
      <c r="E192" s="59">
        <f>IF(N($AL192)&gt;0,INDEX(rIni_ADM,$AL192),"")</f>
        <v/>
      </c>
      <c r="F192" s="59">
        <f>IF(N($AL192)&gt;0,INDEX(rLim_ADM,$AL192),"")</f>
        <v/>
      </c>
      <c r="G192" s="59" t="n"/>
      <c r="H192" s="60" t="n"/>
      <c r="I192" s="60" t="n"/>
      <c r="J192" s="60" t="n"/>
      <c r="K192" s="60" t="n"/>
      <c r="L192" s="60" t="n"/>
      <c r="M192" s="61">
        <f>IF(NOT((COUNTA($B192:$D192)+COUNTA($G192:$L192)+COUNTA($Q192))&gt;0),"",IF($V192="Sub",IFERROR($X192/INDEX($W$5:$W$1000,$U192-4),""),IF(ISNUMBER($G192),1,IF(N($W192)&gt;0,AVERAGEIFS($X$5:$X$1000,$U$5:$U$1000,ROW(),$V$5:$V$1000,"Sub"),$X192))))</f>
        <v/>
      </c>
      <c r="N192" s="56">
        <f>IF(OR($M192="",$V192="Sub"),"",IF($M192&gt;=1,"Completado",IF($M192&gt;0,"En curso","Pendiente")))</f>
        <v/>
      </c>
      <c r="O192" s="56">
        <f>IF(OR(NOT((COUNTA($B192:$D192)+COUNTA($G192:$L192)+COUNTA($Q192))&gt;0),$V192="Sub"),"",IF(ISNUMBER($G192),IF(AND(ISNUMBER($AN192),$G192&gt;$AN192),"Cumplida con "&amp;($G192-$AN192)&amp;IF($G192-$AN192=1," día"," días")&amp;" de retraso","Cumplida"),IF(N($M192)&gt;=1,"Cumplida",IF(NOT(ISNUMBER($AN192)),"Sin fecha límite",IF($AN192&lt;FechaRef,"Vencida hace "&amp;(FechaRef-$AN192)&amp;IF(FechaRef-$AN192=1," día"," días"),IF($AN192=FechaRef,"Vence hoy",IF($AN192-FechaRef&lt;=DiasAlerta,"Vence en "&amp;($AN192-FechaRef)&amp;IF($AN192-FechaRef=1," día"," días"),"En plazo")))))))</f>
        <v/>
      </c>
      <c r="P192" s="62" t="n"/>
      <c r="Q192" s="58" t="n"/>
      <c r="R192" s="63">
        <f>IF(NOT((COUNTA($B192:$D192)+COUNTA($G192:$L192)+COUNTA($Q192))&gt;0),"",IF((IF($C192="","Falta el nombre de la actividad"&amp;" · ","")&amp;IF(AND($V192="Sub",N($U192)=0),"Subactividad sin macroactividad arriba"&amp;" · ","")&amp;IF($AM192="","Sin fecha de inicio"&amp;" · ","")&amp;IF($AN192="","Sin fecha límite"&amp;" · ","")&amp;IF(AND(LEFT($C192,11)="[Jefatura] ",N($AL192)=0),"No se encuentra en la hoja de la jefatura (elíjala de nuevo en la lista)"&amp;" · ","")&amp;IF(OR(AND($E192&lt;&gt;"",NOT(ISNUMBER($E192))),AND($F192&lt;&gt;"",NOT(ISNUMBER($F192))),AND($G192&lt;&gt;"",NOT(ISNUMBER($G192)))),"Fecha no válida"&amp;" · ","")&amp;IF(AND(ISNUMBER($AM192),ISNUMBER($AN192),$AM192&gt;$AN192),"Inicio posterior a fecha límite"&amp;" · ","")&amp;IF(AND($V192="Macro",$H192&lt;&gt;"",OR(NOT(ISNUMBER($H192)),$H192&lt;0,$H192&gt;1)),"Peso fuera de rango"&amp;" · ","")&amp;IF(AND($V192="Sub",$H192&lt;&gt;""),"Las subactividades no llevan peso (valen igual dentro de su macroactividad)"&amp;" · ","")&amp;IF(AND(N($W192)&gt;0,COUNT($I192:$L192)&gt;0),"Con subactividades: deje vacías las semanas (se calculan solas)"&amp;" · ","")&amp;IF((COUNTIF($I192:$L192,"&gt;1")+COUNTIF($I192:$L192,"&lt;0")+COUNTA($I192:$L192)-COUNT($I192:$L192))&gt;0,"Avance fuera de rango 0-100%"&amp;" · ","")&amp;IF(OR(AND($J192&lt;&gt;"",$J192&lt;$I192),AND($K192&lt;&gt;"",$K192&lt;MAX($I192:$J192)),AND($L192&lt;&gt;"",$L192&lt;MAX($I192:$K192))),"Avance semanal decreciente"&amp;" · ","")&amp;IF(AND(ISNUMBER($AN192),$AN192&lt;FechaRef,IF($V192="Sub",N($X192),N($M192))&lt;1),"Vencida"&amp;" · ","")&amp;IF(AND(ObsObligatoria="Sí",ISNUMBER($AN192),$AN192&lt;FechaRef,IF($V192="Sub",N($X192),N($M192))&lt;1,$Q192=""),"Vencida sin observación"&amp;" · ",""))="","✔ OK","⚠ "&amp;LEFT(IF($C192="","Falta el nombre de la actividad"&amp;" · ","")&amp;IF(AND($V192="Sub",N($U192)=0),"Subactividad sin macroactividad arriba"&amp;" · ","")&amp;IF($AM192="","Sin fecha de inicio"&amp;" · ","")&amp;IF($AN192="","Sin fecha límite"&amp;" · ","")&amp;IF(AND(LEFT($C192,11)="[Jefatura] ",N($AL192)=0),"No se encuentra en la hoja de la jefatura (elíjala de nuevo en la lista)"&amp;" · ","")&amp;IF(OR(AND($E192&lt;&gt;"",NOT(ISNUMBER($E192))),AND($F192&lt;&gt;"",NOT(ISNUMBER($F192))),AND($G192&lt;&gt;"",NOT(ISNUMBER($G192)))),"Fecha no válida"&amp;" · ","")&amp;IF(AND(ISNUMBER($AM192),ISNUMBER($AN192),$AM192&gt;$AN192),"Inicio posterior a fecha límite"&amp;" · ","")&amp;IF(AND($V192="Macro",$H192&lt;&gt;"",OR(NOT(ISNUMBER($H192)),$H192&lt;0,$H192&gt;1)),"Peso fuera de rango"&amp;" · ","")&amp;IF(AND($V192="Sub",$H192&lt;&gt;""),"Las subactividades no llevan peso (valen igual dentro de su macroactividad)"&amp;" · ","")&amp;IF(AND(N($W192)&gt;0,COUNT($I192:$L192)&gt;0),"Con subactividades: deje vacías las semanas (se calculan solas)"&amp;" · ","")&amp;IF((COUNTIF($I192:$L192,"&gt;1")+COUNTIF($I192:$L192,"&lt;0")+COUNTA($I192:$L192)-COUNT($I192:$L192))&gt;0,"Avance fuera de rango 0-100%"&amp;" · ","")&amp;IF(OR(AND($J192&lt;&gt;"",$J192&lt;$I192),AND($K192&lt;&gt;"",$K192&lt;MAX($I192:$J192)),AND($L192&lt;&gt;"",$L192&lt;MAX($I192:$K192))),"Avance semanal decreciente"&amp;" · ","")&amp;IF(AND(ISNUMBER($AN192),$AN192&lt;FechaRef,IF($V192="Sub",N($X192),N($M192))&lt;1),"Vencida"&amp;" · ","")&amp;IF(AND(ObsObligatoria="Sí",ISNUMBER($AN192),$AN192&lt;FechaRef,IF($V192="Sub",N($X192),N($M192))&lt;1,$Q192=""),"Vencida sin observación"&amp;" · ",""),LEN(IF($C192="","Falta el nombre de la actividad"&amp;" · ","")&amp;IF(AND($V192="Sub",N($U192)=0),"Subactividad sin macroactividad arriba"&amp;" · ","")&amp;IF($AM192="","Sin fecha de inicio"&amp;" · ","")&amp;IF($AN192="","Sin fecha límite"&amp;" · ","")&amp;IF(AND(LEFT($C192,11)="[Jefatura] ",N($AL192)=0),"No se encuentra en la hoja de la jefatura (elíjala de nuevo en la lista)"&amp;" · ","")&amp;IF(OR(AND($E192&lt;&gt;"",NOT(ISNUMBER($E192))),AND($F192&lt;&gt;"",NOT(ISNUMBER($F192))),AND($G192&lt;&gt;"",NOT(ISNUMBER($G192)))),"Fecha no válida"&amp;" · ","")&amp;IF(AND(ISNUMBER($AM192),ISNUMBER($AN192),$AM192&gt;$AN192),"Inicio posterior a fecha límite"&amp;" · ","")&amp;IF(AND($V192="Macro",$H192&lt;&gt;"",OR(NOT(ISNUMBER($H192)),$H192&lt;0,$H192&gt;1)),"Peso fuera de rango"&amp;" · ","")&amp;IF(AND($V192="Sub",$H192&lt;&gt;""),"Las subactividades no llevan peso (valen igual dentro de su macroactividad)"&amp;" · ","")&amp;IF(AND(N($W192)&gt;0,COUNT($I192:$L192)&gt;0),"Con subactividades: deje vacías las semanas (se calculan solas)"&amp;" · ","")&amp;IF((COUNTIF($I192:$L192,"&gt;1")+COUNTIF($I192:$L192,"&lt;0")+COUNTA($I192:$L192)-COUNT($I192:$L192))&gt;0,"Avance fuera de rango 0-100%"&amp;" · ","")&amp;IF(OR(AND($J192&lt;&gt;"",$J192&lt;$I192),AND($K192&lt;&gt;"",$K192&lt;MAX($I192:$J192)),AND($L192&lt;&gt;"",$L192&lt;MAX($I192:$K192))),"Avance semanal decreciente"&amp;" · ","")&amp;IF(AND(ISNUMBER($AN192),$AN192&lt;FechaRef,IF($V192="Sub",N($X192),N($M192))&lt;1),"Vencida"&amp;" · ","")&amp;IF(AND(ObsObligatoria="Sí",ISNUMBER($AN192),$AN192&lt;FechaRef,IF($V192="Sub",N($X192),N($M192))&lt;1,$Q192=""),"Vencida sin observación"&amp;" · ",""))-3)))</f>
        <v/>
      </c>
      <c r="S192" s="64">
        <f>IF(NOT((COUNTA($B192:$D192)+COUNTA($G192:$L192)+COUNTA($Q192))&gt;0),"",IF(AND($V192="Sub",N($U192)&gt;0),IF(ISNUMBER(INDEX($AM$5:$AM$1000,$U192-4)),DATE(YEAR(INDEX($AM$5:$AM$1000,$U192-4)),MONTH(INDEX($AM$5:$AM$1000,$U192-4)),1),IF(ISNUMBER(INDEX($AN$5:$AN$1000,$U192-4)),DATE(YEAR(INDEX($AN$5:$AN$1000,$U192-4)),MONTH(INDEX($AN$5:$AN$1000,$U192-4)),1),MesCiclo)),IF(ISNUMBER($AM192),DATE(YEAR($AM192),MONTH($AM192),1),IF(ISNUMBER($AN192),DATE(YEAR($AN192),MONTH($AN192),1),MesCiclo))))</f>
        <v/>
      </c>
      <c r="T192" s="62">
        <f>IF(OR($S192="",$S192&lt;&gt;MesCiclo,$V192&lt;&gt;"Macro"),"",COUNTIFS($S$5:$S192,MesCiclo,$V$5:$V192,"Macro"))</f>
        <v/>
      </c>
      <c r="U192" s="62">
        <f>IF($V192="","",IF($V192="Macro",ROW(),IFERROR(LOOKUP(2,1/($V$5:$V192="Macro"),ROW($V$5:$V192)),0)))</f>
        <v/>
      </c>
      <c r="V192" s="62">
        <f>IF(NOT((COUNTA($B192:$D192)+COUNTA($G192:$L192)+COUNTA($Q192))&gt;0),"",IF($B192="Subactividad","Sub","Macro"))</f>
        <v/>
      </c>
      <c r="W192" s="62">
        <f>IF($V192="Macro",COUNTIFS($U$5:$U$1000,ROW(),$V$5:$V$1000,"Sub"),"")</f>
        <v/>
      </c>
      <c r="X192" s="62">
        <f>IF($V192="","",IF(ISNUMBER($G192),1,IFERROR(LOOKUP(2,1/($I192:$L192&lt;&gt;""),$I192:$L192),0)))</f>
        <v/>
      </c>
      <c r="Y192" s="62">
        <f>IF($V192="","",IF(AND(ISNUMBER($G192),$G192&lt;=IF($S192=MesCiclo,InicioCiclo,$S192+MOD(2-WEEKDAY($S192),7))+6),1,IF(ISNUMBER($I192),$I192,0)))</f>
        <v/>
      </c>
      <c r="Z192" s="62">
        <f>IF($V192="","",IF(AND(ISNUMBER($G192),$G192&lt;=IF($S192=MesCiclo,InicioCiclo,$S192+MOD(2-WEEKDAY($S192),7))+13),1,IF(ISNUMBER($J192),$J192,$Y192)))</f>
        <v/>
      </c>
      <c r="AA192" s="62">
        <f>IF($V192="","",IF(AND(ISNUMBER($G192),$G192&lt;=IF($S192=MesCiclo,InicioCiclo,$S192+MOD(2-WEEKDAY($S192),7))+20),1,IF(ISNUMBER($K192),$K192,$Z192)))</f>
        <v/>
      </c>
      <c r="AB192" s="62">
        <f>IF($V192="","",IF(AND(ISNUMBER($G192),$G192&lt;=IF($S192=MesCiclo,InicioCiclo,$S192+MOD(2-WEEKDAY($S192),7))+27),1,IF(ISNUMBER($L192),$L192,$AA192)))</f>
        <v/>
      </c>
      <c r="AC192" s="62">
        <f>IF($V192="","",IF(AND(ISNUMBER($G192),$G192&lt;=IF($S192=MesCiclo,InicioCiclo,$S192+MOD(2-WEEKDAY($S192),7))+6),1,IF(N($W192)&gt;0,AVERAGEIFS($Y$5:$Y$1000,$U$5:$U$1000,ROW(),$V$5:$V$1000,"Sub"),$Y192)))</f>
        <v/>
      </c>
      <c r="AD192" s="62">
        <f>IF($V192="","",IF(AND(ISNUMBER($G192),$G192&lt;=IF($S192=MesCiclo,InicioCiclo,$S192+MOD(2-WEEKDAY($S192),7))+13),1,IF(N($W192)&gt;0,AVERAGEIFS($Z$5:$Z$1000,$U$5:$U$1000,ROW(),$V$5:$V$1000,"Sub"),$Z192)))</f>
        <v/>
      </c>
      <c r="AE192" s="62">
        <f>IF($V192="","",IF(AND(ISNUMBER($G192),$G192&lt;=IF($S192=MesCiclo,InicioCiclo,$S192+MOD(2-WEEKDAY($S192),7))+20),1,IF(N($W192)&gt;0,AVERAGEIFS($AA$5:$AA$1000,$U$5:$U$1000,ROW(),$V$5:$V$1000,"Sub"),$AA192)))</f>
        <v/>
      </c>
      <c r="AF192" s="62">
        <f>IF($V192="","",IF(AND(ISNUMBER($G192),$G192&lt;=IF($S192=MesCiclo,InicioCiclo,$S192+MOD(2-WEEKDAY($S192),7))+27),1,IF(N($W192)&gt;0,AVERAGEIFS($AB$5:$AB$1000,$U$5:$U$1000,ROW(),$V$5:$V$1000,"Sub"),$AB192)))</f>
        <v/>
      </c>
      <c r="AG192" s="62">
        <f>IF($V192&lt;&gt;"Macro","",IF(COUNTIFS($S$5:$S$1000,$S192,$V$5:$V$1000,"Macro",$H$5:$H$1000,"&gt;0")=0,1/COUNTIFS($S$5:$S$1000,$S192,$V$5:$V$1000,"Macro"),IF(AND(ISNUMBER($H192),N($H192)&gt;0),$H192,SUMIFS($H$5:$H$1000,$S$5:$S$1000,$S192,$V$5:$V$1000,"Macro")/COUNTIFS($S$5:$S$1000,$S192,$V$5:$V$1000,"Macro",$H$5:$H$1000,"&gt;0"))/(COUNTIFS($S$5:$S$1000,$S192,$V$5:$V$1000,"Macro")*SUMIFS($H$5:$H$1000,$S$5:$S$1000,$S192,$V$5:$V$1000,"Macro")/COUNTIFS($S$5:$S$1000,$S192,$V$5:$V$1000,"Macro",$H$5:$H$1000,"&gt;0"))))</f>
        <v/>
      </c>
      <c r="AH192" s="62" t="n"/>
      <c r="AI192" s="62" t="n"/>
      <c r="AJ192" s="62" t="n"/>
      <c r="AK192" s="62" t="n"/>
      <c r="AL192" s="62">
        <f>IF(LEFT($C192,11)="[Jefatura] ",IFERROR(MATCH("Riesgo Normativo|"&amp;MID($C192,12,500),rDname_ADM,0),0),"")</f>
        <v/>
      </c>
      <c r="AM192" s="62">
        <f>IF(N($AL192)&gt;0,INDEX(rIni_ADM,$AL192),IF(ISNUMBER($E192),$E192,""))</f>
        <v/>
      </c>
      <c r="AN192" s="62">
        <f>IF(N($AL192)&gt;0,INDEX(rLim_ADM,$AL192),IF(ISNUMBER($F192),$F192,""))</f>
        <v/>
      </c>
    </row>
    <row r="193">
      <c r="A193" s="56">
        <f>IF(NOT((COUNTA($B193:$D193)+COUNTA($G193:$L193)+COUNTA($Q193))&gt;0),"",IF($V193="Macro",COUNTIFS($V$5:$V193,"Macro",$S$5:$S193,$S193),IF(N($U193)=0,"?",COUNTIFS(INDEX($V$5:$V$1000,1):INDEX($V$5:$V$1000,$U193-4),"Macro",INDEX($S$5:$S$1000,1):INDEX($S$5:$S$1000,$U193-4),INDEX($S$5:$S$1000,$U193-4))&amp;"."&amp;COUNTIFS($U$5:$U193,$U193,$V$5:$V193,"Sub"))))</f>
        <v/>
      </c>
      <c r="B193" s="57" t="n"/>
      <c r="C193" s="58" t="n"/>
      <c r="D193" s="58" t="n"/>
      <c r="E193" s="59">
        <f>IF(N($AL193)&gt;0,INDEX(rIni_ADM,$AL193),"")</f>
        <v/>
      </c>
      <c r="F193" s="59">
        <f>IF(N($AL193)&gt;0,INDEX(rLim_ADM,$AL193),"")</f>
        <v/>
      </c>
      <c r="G193" s="59" t="n"/>
      <c r="H193" s="60" t="n"/>
      <c r="I193" s="60" t="n"/>
      <c r="J193" s="60" t="n"/>
      <c r="K193" s="60" t="n"/>
      <c r="L193" s="60" t="n"/>
      <c r="M193" s="61">
        <f>IF(NOT((COUNTA($B193:$D193)+COUNTA($G193:$L193)+COUNTA($Q193))&gt;0),"",IF($V193="Sub",IFERROR($X193/INDEX($W$5:$W$1000,$U193-4),""),IF(ISNUMBER($G193),1,IF(N($W193)&gt;0,AVERAGEIFS($X$5:$X$1000,$U$5:$U$1000,ROW(),$V$5:$V$1000,"Sub"),$X193))))</f>
        <v/>
      </c>
      <c r="N193" s="56">
        <f>IF(OR($M193="",$V193="Sub"),"",IF($M193&gt;=1,"Completado",IF($M193&gt;0,"En curso","Pendiente")))</f>
        <v/>
      </c>
      <c r="O193" s="56">
        <f>IF(OR(NOT((COUNTA($B193:$D193)+COUNTA($G193:$L193)+COUNTA($Q193))&gt;0),$V193="Sub"),"",IF(ISNUMBER($G193),IF(AND(ISNUMBER($AN193),$G193&gt;$AN193),"Cumplida con "&amp;($G193-$AN193)&amp;IF($G193-$AN193=1," día"," días")&amp;" de retraso","Cumplida"),IF(N($M193)&gt;=1,"Cumplida",IF(NOT(ISNUMBER($AN193)),"Sin fecha límite",IF($AN193&lt;FechaRef,"Vencida hace "&amp;(FechaRef-$AN193)&amp;IF(FechaRef-$AN193=1," día"," días"),IF($AN193=FechaRef,"Vence hoy",IF($AN193-FechaRef&lt;=DiasAlerta,"Vence en "&amp;($AN193-FechaRef)&amp;IF($AN193-FechaRef=1," día"," días"),"En plazo")))))))</f>
        <v/>
      </c>
      <c r="P193" s="62" t="n"/>
      <c r="Q193" s="58" t="n"/>
      <c r="R193" s="63">
        <f>IF(NOT((COUNTA($B193:$D193)+COUNTA($G193:$L193)+COUNTA($Q193))&gt;0),"",IF((IF($C193="","Falta el nombre de la actividad"&amp;" · ","")&amp;IF(AND($V193="Sub",N($U193)=0),"Subactividad sin macroactividad arriba"&amp;" · ","")&amp;IF($AM193="","Sin fecha de inicio"&amp;" · ","")&amp;IF($AN193="","Sin fecha límite"&amp;" · ","")&amp;IF(AND(LEFT($C193,11)="[Jefatura] ",N($AL193)=0),"No se encuentra en la hoja de la jefatura (elíjala de nuevo en la lista)"&amp;" · ","")&amp;IF(OR(AND($E193&lt;&gt;"",NOT(ISNUMBER($E193))),AND($F193&lt;&gt;"",NOT(ISNUMBER($F193))),AND($G193&lt;&gt;"",NOT(ISNUMBER($G193)))),"Fecha no válida"&amp;" · ","")&amp;IF(AND(ISNUMBER($AM193),ISNUMBER($AN193),$AM193&gt;$AN193),"Inicio posterior a fecha límite"&amp;" · ","")&amp;IF(AND($V193="Macro",$H193&lt;&gt;"",OR(NOT(ISNUMBER($H193)),$H193&lt;0,$H193&gt;1)),"Peso fuera de rango"&amp;" · ","")&amp;IF(AND($V193="Sub",$H193&lt;&gt;""),"Las subactividades no llevan peso (valen igual dentro de su macroactividad)"&amp;" · ","")&amp;IF(AND(N($W193)&gt;0,COUNT($I193:$L193)&gt;0),"Con subactividades: deje vacías las semanas (se calculan solas)"&amp;" · ","")&amp;IF((COUNTIF($I193:$L193,"&gt;1")+COUNTIF($I193:$L193,"&lt;0")+COUNTA($I193:$L193)-COUNT($I193:$L193))&gt;0,"Avance fuera de rango 0-100%"&amp;" · ","")&amp;IF(OR(AND($J193&lt;&gt;"",$J193&lt;$I193),AND($K193&lt;&gt;"",$K193&lt;MAX($I193:$J193)),AND($L193&lt;&gt;"",$L193&lt;MAX($I193:$K193))),"Avance semanal decreciente"&amp;" · ","")&amp;IF(AND(ISNUMBER($AN193),$AN193&lt;FechaRef,IF($V193="Sub",N($X193),N($M193))&lt;1),"Vencida"&amp;" · ","")&amp;IF(AND(ObsObligatoria="Sí",ISNUMBER($AN193),$AN193&lt;FechaRef,IF($V193="Sub",N($X193),N($M193))&lt;1,$Q193=""),"Vencida sin observación"&amp;" · ",""))="","✔ OK","⚠ "&amp;LEFT(IF($C193="","Falta el nombre de la actividad"&amp;" · ","")&amp;IF(AND($V193="Sub",N($U193)=0),"Subactividad sin macroactividad arriba"&amp;" · ","")&amp;IF($AM193="","Sin fecha de inicio"&amp;" · ","")&amp;IF($AN193="","Sin fecha límite"&amp;" · ","")&amp;IF(AND(LEFT($C193,11)="[Jefatura] ",N($AL193)=0),"No se encuentra en la hoja de la jefatura (elíjala de nuevo en la lista)"&amp;" · ","")&amp;IF(OR(AND($E193&lt;&gt;"",NOT(ISNUMBER($E193))),AND($F193&lt;&gt;"",NOT(ISNUMBER($F193))),AND($G193&lt;&gt;"",NOT(ISNUMBER($G193)))),"Fecha no válida"&amp;" · ","")&amp;IF(AND(ISNUMBER($AM193),ISNUMBER($AN193),$AM193&gt;$AN193),"Inicio posterior a fecha límite"&amp;" · ","")&amp;IF(AND($V193="Macro",$H193&lt;&gt;"",OR(NOT(ISNUMBER($H193)),$H193&lt;0,$H193&gt;1)),"Peso fuera de rango"&amp;" · ","")&amp;IF(AND($V193="Sub",$H193&lt;&gt;""),"Las subactividades no llevan peso (valen igual dentro de su macroactividad)"&amp;" · ","")&amp;IF(AND(N($W193)&gt;0,COUNT($I193:$L193)&gt;0),"Con subactividades: deje vacías las semanas (se calculan solas)"&amp;" · ","")&amp;IF((COUNTIF($I193:$L193,"&gt;1")+COUNTIF($I193:$L193,"&lt;0")+COUNTA($I193:$L193)-COUNT($I193:$L193))&gt;0,"Avance fuera de rango 0-100%"&amp;" · ","")&amp;IF(OR(AND($J193&lt;&gt;"",$J193&lt;$I193),AND($K193&lt;&gt;"",$K193&lt;MAX($I193:$J193)),AND($L193&lt;&gt;"",$L193&lt;MAX($I193:$K193))),"Avance semanal decreciente"&amp;" · ","")&amp;IF(AND(ISNUMBER($AN193),$AN193&lt;FechaRef,IF($V193="Sub",N($X193),N($M193))&lt;1),"Vencida"&amp;" · ","")&amp;IF(AND(ObsObligatoria="Sí",ISNUMBER($AN193),$AN193&lt;FechaRef,IF($V193="Sub",N($X193),N($M193))&lt;1,$Q193=""),"Vencida sin observación"&amp;" · ",""),LEN(IF($C193="","Falta el nombre de la actividad"&amp;" · ","")&amp;IF(AND($V193="Sub",N($U193)=0),"Subactividad sin macroactividad arriba"&amp;" · ","")&amp;IF($AM193="","Sin fecha de inicio"&amp;" · ","")&amp;IF($AN193="","Sin fecha límite"&amp;" · ","")&amp;IF(AND(LEFT($C193,11)="[Jefatura] ",N($AL193)=0),"No se encuentra en la hoja de la jefatura (elíjala de nuevo en la lista)"&amp;" · ","")&amp;IF(OR(AND($E193&lt;&gt;"",NOT(ISNUMBER($E193))),AND($F193&lt;&gt;"",NOT(ISNUMBER($F193))),AND($G193&lt;&gt;"",NOT(ISNUMBER($G193)))),"Fecha no válida"&amp;" · ","")&amp;IF(AND(ISNUMBER($AM193),ISNUMBER($AN193),$AM193&gt;$AN193),"Inicio posterior a fecha límite"&amp;" · ","")&amp;IF(AND($V193="Macro",$H193&lt;&gt;"",OR(NOT(ISNUMBER($H193)),$H193&lt;0,$H193&gt;1)),"Peso fuera de rango"&amp;" · ","")&amp;IF(AND($V193="Sub",$H193&lt;&gt;""),"Las subactividades no llevan peso (valen igual dentro de su macroactividad)"&amp;" · ","")&amp;IF(AND(N($W193)&gt;0,COUNT($I193:$L193)&gt;0),"Con subactividades: deje vacías las semanas (se calculan solas)"&amp;" · ","")&amp;IF((COUNTIF($I193:$L193,"&gt;1")+COUNTIF($I193:$L193,"&lt;0")+COUNTA($I193:$L193)-COUNT($I193:$L193))&gt;0,"Avance fuera de rango 0-100%"&amp;" · ","")&amp;IF(OR(AND($J193&lt;&gt;"",$J193&lt;$I193),AND($K193&lt;&gt;"",$K193&lt;MAX($I193:$J193)),AND($L193&lt;&gt;"",$L193&lt;MAX($I193:$K193))),"Avance semanal decreciente"&amp;" · ","")&amp;IF(AND(ISNUMBER($AN193),$AN193&lt;FechaRef,IF($V193="Sub",N($X193),N($M193))&lt;1),"Vencida"&amp;" · ","")&amp;IF(AND(ObsObligatoria="Sí",ISNUMBER($AN193),$AN193&lt;FechaRef,IF($V193="Sub",N($X193),N($M193))&lt;1,$Q193=""),"Vencida sin observación"&amp;" · ",""))-3)))</f>
        <v/>
      </c>
      <c r="S193" s="64">
        <f>IF(NOT((COUNTA($B193:$D193)+COUNTA($G193:$L193)+COUNTA($Q193))&gt;0),"",IF(AND($V193="Sub",N($U193)&gt;0),IF(ISNUMBER(INDEX($AM$5:$AM$1000,$U193-4)),DATE(YEAR(INDEX($AM$5:$AM$1000,$U193-4)),MONTH(INDEX($AM$5:$AM$1000,$U193-4)),1),IF(ISNUMBER(INDEX($AN$5:$AN$1000,$U193-4)),DATE(YEAR(INDEX($AN$5:$AN$1000,$U193-4)),MONTH(INDEX($AN$5:$AN$1000,$U193-4)),1),MesCiclo)),IF(ISNUMBER($AM193),DATE(YEAR($AM193),MONTH($AM193),1),IF(ISNUMBER($AN193),DATE(YEAR($AN193),MONTH($AN193),1),MesCiclo))))</f>
        <v/>
      </c>
      <c r="T193" s="62">
        <f>IF(OR($S193="",$S193&lt;&gt;MesCiclo,$V193&lt;&gt;"Macro"),"",COUNTIFS($S$5:$S193,MesCiclo,$V$5:$V193,"Macro"))</f>
        <v/>
      </c>
      <c r="U193" s="62">
        <f>IF($V193="","",IF($V193="Macro",ROW(),IFERROR(LOOKUP(2,1/($V$5:$V193="Macro"),ROW($V$5:$V193)),0)))</f>
        <v/>
      </c>
      <c r="V193" s="62">
        <f>IF(NOT((COUNTA($B193:$D193)+COUNTA($G193:$L193)+COUNTA($Q193))&gt;0),"",IF($B193="Subactividad","Sub","Macro"))</f>
        <v/>
      </c>
      <c r="W193" s="62">
        <f>IF($V193="Macro",COUNTIFS($U$5:$U$1000,ROW(),$V$5:$V$1000,"Sub"),"")</f>
        <v/>
      </c>
      <c r="X193" s="62">
        <f>IF($V193="","",IF(ISNUMBER($G193),1,IFERROR(LOOKUP(2,1/($I193:$L193&lt;&gt;""),$I193:$L193),0)))</f>
        <v/>
      </c>
      <c r="Y193" s="62">
        <f>IF($V193="","",IF(AND(ISNUMBER($G193),$G193&lt;=IF($S193=MesCiclo,InicioCiclo,$S193+MOD(2-WEEKDAY($S193),7))+6),1,IF(ISNUMBER($I193),$I193,0)))</f>
        <v/>
      </c>
      <c r="Z193" s="62">
        <f>IF($V193="","",IF(AND(ISNUMBER($G193),$G193&lt;=IF($S193=MesCiclo,InicioCiclo,$S193+MOD(2-WEEKDAY($S193),7))+13),1,IF(ISNUMBER($J193),$J193,$Y193)))</f>
        <v/>
      </c>
      <c r="AA193" s="62">
        <f>IF($V193="","",IF(AND(ISNUMBER($G193),$G193&lt;=IF($S193=MesCiclo,InicioCiclo,$S193+MOD(2-WEEKDAY($S193),7))+20),1,IF(ISNUMBER($K193),$K193,$Z193)))</f>
        <v/>
      </c>
      <c r="AB193" s="62">
        <f>IF($V193="","",IF(AND(ISNUMBER($G193),$G193&lt;=IF($S193=MesCiclo,InicioCiclo,$S193+MOD(2-WEEKDAY($S193),7))+27),1,IF(ISNUMBER($L193),$L193,$AA193)))</f>
        <v/>
      </c>
      <c r="AC193" s="62">
        <f>IF($V193="","",IF(AND(ISNUMBER($G193),$G193&lt;=IF($S193=MesCiclo,InicioCiclo,$S193+MOD(2-WEEKDAY($S193),7))+6),1,IF(N($W193)&gt;0,AVERAGEIFS($Y$5:$Y$1000,$U$5:$U$1000,ROW(),$V$5:$V$1000,"Sub"),$Y193)))</f>
        <v/>
      </c>
      <c r="AD193" s="62">
        <f>IF($V193="","",IF(AND(ISNUMBER($G193),$G193&lt;=IF($S193=MesCiclo,InicioCiclo,$S193+MOD(2-WEEKDAY($S193),7))+13),1,IF(N($W193)&gt;0,AVERAGEIFS($Z$5:$Z$1000,$U$5:$U$1000,ROW(),$V$5:$V$1000,"Sub"),$Z193)))</f>
        <v/>
      </c>
      <c r="AE193" s="62">
        <f>IF($V193="","",IF(AND(ISNUMBER($G193),$G193&lt;=IF($S193=MesCiclo,InicioCiclo,$S193+MOD(2-WEEKDAY($S193),7))+20),1,IF(N($W193)&gt;0,AVERAGEIFS($AA$5:$AA$1000,$U$5:$U$1000,ROW(),$V$5:$V$1000,"Sub"),$AA193)))</f>
        <v/>
      </c>
      <c r="AF193" s="62">
        <f>IF($V193="","",IF(AND(ISNUMBER($G193),$G193&lt;=IF($S193=MesCiclo,InicioCiclo,$S193+MOD(2-WEEKDAY($S193),7))+27),1,IF(N($W193)&gt;0,AVERAGEIFS($AB$5:$AB$1000,$U$5:$U$1000,ROW(),$V$5:$V$1000,"Sub"),$AB193)))</f>
        <v/>
      </c>
      <c r="AG193" s="62">
        <f>IF($V193&lt;&gt;"Macro","",IF(COUNTIFS($S$5:$S$1000,$S193,$V$5:$V$1000,"Macro",$H$5:$H$1000,"&gt;0")=0,1/COUNTIFS($S$5:$S$1000,$S193,$V$5:$V$1000,"Macro"),IF(AND(ISNUMBER($H193),N($H193)&gt;0),$H193,SUMIFS($H$5:$H$1000,$S$5:$S$1000,$S193,$V$5:$V$1000,"Macro")/COUNTIFS($S$5:$S$1000,$S193,$V$5:$V$1000,"Macro",$H$5:$H$1000,"&gt;0"))/(COUNTIFS($S$5:$S$1000,$S193,$V$5:$V$1000,"Macro")*SUMIFS($H$5:$H$1000,$S$5:$S$1000,$S193,$V$5:$V$1000,"Macro")/COUNTIFS($S$5:$S$1000,$S193,$V$5:$V$1000,"Macro",$H$5:$H$1000,"&gt;0"))))</f>
        <v/>
      </c>
      <c r="AH193" s="62" t="n"/>
      <c r="AI193" s="62" t="n"/>
      <c r="AJ193" s="62" t="n"/>
      <c r="AK193" s="62" t="n"/>
      <c r="AL193" s="62">
        <f>IF(LEFT($C193,11)="[Jefatura] ",IFERROR(MATCH("Riesgo Normativo|"&amp;MID($C193,12,500),rDname_ADM,0),0),"")</f>
        <v/>
      </c>
      <c r="AM193" s="62">
        <f>IF(N($AL193)&gt;0,INDEX(rIni_ADM,$AL193),IF(ISNUMBER($E193),$E193,""))</f>
        <v/>
      </c>
      <c r="AN193" s="62">
        <f>IF(N($AL193)&gt;0,INDEX(rLim_ADM,$AL193),IF(ISNUMBER($F193),$F193,""))</f>
        <v/>
      </c>
    </row>
    <row r="194">
      <c r="A194" s="56">
        <f>IF(NOT((COUNTA($B194:$D194)+COUNTA($G194:$L194)+COUNTA($Q194))&gt;0),"",IF($V194="Macro",COUNTIFS($V$5:$V194,"Macro",$S$5:$S194,$S194),IF(N($U194)=0,"?",COUNTIFS(INDEX($V$5:$V$1000,1):INDEX($V$5:$V$1000,$U194-4),"Macro",INDEX($S$5:$S$1000,1):INDEX($S$5:$S$1000,$U194-4),INDEX($S$5:$S$1000,$U194-4))&amp;"."&amp;COUNTIFS($U$5:$U194,$U194,$V$5:$V194,"Sub"))))</f>
        <v/>
      </c>
      <c r="B194" s="57" t="n"/>
      <c r="C194" s="58" t="n"/>
      <c r="D194" s="58" t="n"/>
      <c r="E194" s="59">
        <f>IF(N($AL194)&gt;0,INDEX(rIni_ADM,$AL194),"")</f>
        <v/>
      </c>
      <c r="F194" s="59">
        <f>IF(N($AL194)&gt;0,INDEX(rLim_ADM,$AL194),"")</f>
        <v/>
      </c>
      <c r="G194" s="59" t="n"/>
      <c r="H194" s="60" t="n"/>
      <c r="I194" s="60" t="n"/>
      <c r="J194" s="60" t="n"/>
      <c r="K194" s="60" t="n"/>
      <c r="L194" s="60" t="n"/>
      <c r="M194" s="61">
        <f>IF(NOT((COUNTA($B194:$D194)+COUNTA($G194:$L194)+COUNTA($Q194))&gt;0),"",IF($V194="Sub",IFERROR($X194/INDEX($W$5:$W$1000,$U194-4),""),IF(ISNUMBER($G194),1,IF(N($W194)&gt;0,AVERAGEIFS($X$5:$X$1000,$U$5:$U$1000,ROW(),$V$5:$V$1000,"Sub"),$X194))))</f>
        <v/>
      </c>
      <c r="N194" s="56">
        <f>IF(OR($M194="",$V194="Sub"),"",IF($M194&gt;=1,"Completado",IF($M194&gt;0,"En curso","Pendiente")))</f>
        <v/>
      </c>
      <c r="O194" s="56">
        <f>IF(OR(NOT((COUNTA($B194:$D194)+COUNTA($G194:$L194)+COUNTA($Q194))&gt;0),$V194="Sub"),"",IF(ISNUMBER($G194),IF(AND(ISNUMBER($AN194),$G194&gt;$AN194),"Cumplida con "&amp;($G194-$AN194)&amp;IF($G194-$AN194=1," día"," días")&amp;" de retraso","Cumplida"),IF(N($M194)&gt;=1,"Cumplida",IF(NOT(ISNUMBER($AN194)),"Sin fecha límite",IF($AN194&lt;FechaRef,"Vencida hace "&amp;(FechaRef-$AN194)&amp;IF(FechaRef-$AN194=1," día"," días"),IF($AN194=FechaRef,"Vence hoy",IF($AN194-FechaRef&lt;=DiasAlerta,"Vence en "&amp;($AN194-FechaRef)&amp;IF($AN194-FechaRef=1," día"," días"),"En plazo")))))))</f>
        <v/>
      </c>
      <c r="P194" s="62" t="n"/>
      <c r="Q194" s="58" t="n"/>
      <c r="R194" s="63">
        <f>IF(NOT((COUNTA($B194:$D194)+COUNTA($G194:$L194)+COUNTA($Q194))&gt;0),"",IF((IF($C194="","Falta el nombre de la actividad"&amp;" · ","")&amp;IF(AND($V194="Sub",N($U194)=0),"Subactividad sin macroactividad arriba"&amp;" · ","")&amp;IF($AM194="","Sin fecha de inicio"&amp;" · ","")&amp;IF($AN194="","Sin fecha límite"&amp;" · ","")&amp;IF(AND(LEFT($C194,11)="[Jefatura] ",N($AL194)=0),"No se encuentra en la hoja de la jefatura (elíjala de nuevo en la lista)"&amp;" · ","")&amp;IF(OR(AND($E194&lt;&gt;"",NOT(ISNUMBER($E194))),AND($F194&lt;&gt;"",NOT(ISNUMBER($F194))),AND($G194&lt;&gt;"",NOT(ISNUMBER($G194)))),"Fecha no válida"&amp;" · ","")&amp;IF(AND(ISNUMBER($AM194),ISNUMBER($AN194),$AM194&gt;$AN194),"Inicio posterior a fecha límite"&amp;" · ","")&amp;IF(AND($V194="Macro",$H194&lt;&gt;"",OR(NOT(ISNUMBER($H194)),$H194&lt;0,$H194&gt;1)),"Peso fuera de rango"&amp;" · ","")&amp;IF(AND($V194="Sub",$H194&lt;&gt;""),"Las subactividades no llevan peso (valen igual dentro de su macroactividad)"&amp;" · ","")&amp;IF(AND(N($W194)&gt;0,COUNT($I194:$L194)&gt;0),"Con subactividades: deje vacías las semanas (se calculan solas)"&amp;" · ","")&amp;IF((COUNTIF($I194:$L194,"&gt;1")+COUNTIF($I194:$L194,"&lt;0")+COUNTA($I194:$L194)-COUNT($I194:$L194))&gt;0,"Avance fuera de rango 0-100%"&amp;" · ","")&amp;IF(OR(AND($J194&lt;&gt;"",$J194&lt;$I194),AND($K194&lt;&gt;"",$K194&lt;MAX($I194:$J194)),AND($L194&lt;&gt;"",$L194&lt;MAX($I194:$K194))),"Avance semanal decreciente"&amp;" · ","")&amp;IF(AND(ISNUMBER($AN194),$AN194&lt;FechaRef,IF($V194="Sub",N($X194),N($M194))&lt;1),"Vencida"&amp;" · ","")&amp;IF(AND(ObsObligatoria="Sí",ISNUMBER($AN194),$AN194&lt;FechaRef,IF($V194="Sub",N($X194),N($M194))&lt;1,$Q194=""),"Vencida sin observación"&amp;" · ",""))="","✔ OK","⚠ "&amp;LEFT(IF($C194="","Falta el nombre de la actividad"&amp;" · ","")&amp;IF(AND($V194="Sub",N($U194)=0),"Subactividad sin macroactividad arriba"&amp;" · ","")&amp;IF($AM194="","Sin fecha de inicio"&amp;" · ","")&amp;IF($AN194="","Sin fecha límite"&amp;" · ","")&amp;IF(AND(LEFT($C194,11)="[Jefatura] ",N($AL194)=0),"No se encuentra en la hoja de la jefatura (elíjala de nuevo en la lista)"&amp;" · ","")&amp;IF(OR(AND($E194&lt;&gt;"",NOT(ISNUMBER($E194))),AND($F194&lt;&gt;"",NOT(ISNUMBER($F194))),AND($G194&lt;&gt;"",NOT(ISNUMBER($G194)))),"Fecha no válida"&amp;" · ","")&amp;IF(AND(ISNUMBER($AM194),ISNUMBER($AN194),$AM194&gt;$AN194),"Inicio posterior a fecha límite"&amp;" · ","")&amp;IF(AND($V194="Macro",$H194&lt;&gt;"",OR(NOT(ISNUMBER($H194)),$H194&lt;0,$H194&gt;1)),"Peso fuera de rango"&amp;" · ","")&amp;IF(AND($V194="Sub",$H194&lt;&gt;""),"Las subactividades no llevan peso (valen igual dentro de su macroactividad)"&amp;" · ","")&amp;IF(AND(N($W194)&gt;0,COUNT($I194:$L194)&gt;0),"Con subactividades: deje vacías las semanas (se calculan solas)"&amp;" · ","")&amp;IF((COUNTIF($I194:$L194,"&gt;1")+COUNTIF($I194:$L194,"&lt;0")+COUNTA($I194:$L194)-COUNT($I194:$L194))&gt;0,"Avance fuera de rango 0-100%"&amp;" · ","")&amp;IF(OR(AND($J194&lt;&gt;"",$J194&lt;$I194),AND($K194&lt;&gt;"",$K194&lt;MAX($I194:$J194)),AND($L194&lt;&gt;"",$L194&lt;MAX($I194:$K194))),"Avance semanal decreciente"&amp;" · ","")&amp;IF(AND(ISNUMBER($AN194),$AN194&lt;FechaRef,IF($V194="Sub",N($X194),N($M194))&lt;1),"Vencida"&amp;" · ","")&amp;IF(AND(ObsObligatoria="Sí",ISNUMBER($AN194),$AN194&lt;FechaRef,IF($V194="Sub",N($X194),N($M194))&lt;1,$Q194=""),"Vencida sin observación"&amp;" · ",""),LEN(IF($C194="","Falta el nombre de la actividad"&amp;" · ","")&amp;IF(AND($V194="Sub",N($U194)=0),"Subactividad sin macroactividad arriba"&amp;" · ","")&amp;IF($AM194="","Sin fecha de inicio"&amp;" · ","")&amp;IF($AN194="","Sin fecha límite"&amp;" · ","")&amp;IF(AND(LEFT($C194,11)="[Jefatura] ",N($AL194)=0),"No se encuentra en la hoja de la jefatura (elíjala de nuevo en la lista)"&amp;" · ","")&amp;IF(OR(AND($E194&lt;&gt;"",NOT(ISNUMBER($E194))),AND($F194&lt;&gt;"",NOT(ISNUMBER($F194))),AND($G194&lt;&gt;"",NOT(ISNUMBER($G194)))),"Fecha no válida"&amp;" · ","")&amp;IF(AND(ISNUMBER($AM194),ISNUMBER($AN194),$AM194&gt;$AN194),"Inicio posterior a fecha límite"&amp;" · ","")&amp;IF(AND($V194="Macro",$H194&lt;&gt;"",OR(NOT(ISNUMBER($H194)),$H194&lt;0,$H194&gt;1)),"Peso fuera de rango"&amp;" · ","")&amp;IF(AND($V194="Sub",$H194&lt;&gt;""),"Las subactividades no llevan peso (valen igual dentro de su macroactividad)"&amp;" · ","")&amp;IF(AND(N($W194)&gt;0,COUNT($I194:$L194)&gt;0),"Con subactividades: deje vacías las semanas (se calculan solas)"&amp;" · ","")&amp;IF((COUNTIF($I194:$L194,"&gt;1")+COUNTIF($I194:$L194,"&lt;0")+COUNTA($I194:$L194)-COUNT($I194:$L194))&gt;0,"Avance fuera de rango 0-100%"&amp;" · ","")&amp;IF(OR(AND($J194&lt;&gt;"",$J194&lt;$I194),AND($K194&lt;&gt;"",$K194&lt;MAX($I194:$J194)),AND($L194&lt;&gt;"",$L194&lt;MAX($I194:$K194))),"Avance semanal decreciente"&amp;" · ","")&amp;IF(AND(ISNUMBER($AN194),$AN194&lt;FechaRef,IF($V194="Sub",N($X194),N($M194))&lt;1),"Vencida"&amp;" · ","")&amp;IF(AND(ObsObligatoria="Sí",ISNUMBER($AN194),$AN194&lt;FechaRef,IF($V194="Sub",N($X194),N($M194))&lt;1,$Q194=""),"Vencida sin observación"&amp;" · ",""))-3)))</f>
        <v/>
      </c>
      <c r="S194" s="64">
        <f>IF(NOT((COUNTA($B194:$D194)+COUNTA($G194:$L194)+COUNTA($Q194))&gt;0),"",IF(AND($V194="Sub",N($U194)&gt;0),IF(ISNUMBER(INDEX($AM$5:$AM$1000,$U194-4)),DATE(YEAR(INDEX($AM$5:$AM$1000,$U194-4)),MONTH(INDEX($AM$5:$AM$1000,$U194-4)),1),IF(ISNUMBER(INDEX($AN$5:$AN$1000,$U194-4)),DATE(YEAR(INDEX($AN$5:$AN$1000,$U194-4)),MONTH(INDEX($AN$5:$AN$1000,$U194-4)),1),MesCiclo)),IF(ISNUMBER($AM194),DATE(YEAR($AM194),MONTH($AM194),1),IF(ISNUMBER($AN194),DATE(YEAR($AN194),MONTH($AN194),1),MesCiclo))))</f>
        <v/>
      </c>
      <c r="T194" s="62">
        <f>IF(OR($S194="",$S194&lt;&gt;MesCiclo,$V194&lt;&gt;"Macro"),"",COUNTIFS($S$5:$S194,MesCiclo,$V$5:$V194,"Macro"))</f>
        <v/>
      </c>
      <c r="U194" s="62">
        <f>IF($V194="","",IF($V194="Macro",ROW(),IFERROR(LOOKUP(2,1/($V$5:$V194="Macro"),ROW($V$5:$V194)),0)))</f>
        <v/>
      </c>
      <c r="V194" s="62">
        <f>IF(NOT((COUNTA($B194:$D194)+COUNTA($G194:$L194)+COUNTA($Q194))&gt;0),"",IF($B194="Subactividad","Sub","Macro"))</f>
        <v/>
      </c>
      <c r="W194" s="62">
        <f>IF($V194="Macro",COUNTIFS($U$5:$U$1000,ROW(),$V$5:$V$1000,"Sub"),"")</f>
        <v/>
      </c>
      <c r="X194" s="62">
        <f>IF($V194="","",IF(ISNUMBER($G194),1,IFERROR(LOOKUP(2,1/($I194:$L194&lt;&gt;""),$I194:$L194),0)))</f>
        <v/>
      </c>
      <c r="Y194" s="62">
        <f>IF($V194="","",IF(AND(ISNUMBER($G194),$G194&lt;=IF($S194=MesCiclo,InicioCiclo,$S194+MOD(2-WEEKDAY($S194),7))+6),1,IF(ISNUMBER($I194),$I194,0)))</f>
        <v/>
      </c>
      <c r="Z194" s="62">
        <f>IF($V194="","",IF(AND(ISNUMBER($G194),$G194&lt;=IF($S194=MesCiclo,InicioCiclo,$S194+MOD(2-WEEKDAY($S194),7))+13),1,IF(ISNUMBER($J194),$J194,$Y194)))</f>
        <v/>
      </c>
      <c r="AA194" s="62">
        <f>IF($V194="","",IF(AND(ISNUMBER($G194),$G194&lt;=IF($S194=MesCiclo,InicioCiclo,$S194+MOD(2-WEEKDAY($S194),7))+20),1,IF(ISNUMBER($K194),$K194,$Z194)))</f>
        <v/>
      </c>
      <c r="AB194" s="62">
        <f>IF($V194="","",IF(AND(ISNUMBER($G194),$G194&lt;=IF($S194=MesCiclo,InicioCiclo,$S194+MOD(2-WEEKDAY($S194),7))+27),1,IF(ISNUMBER($L194),$L194,$AA194)))</f>
        <v/>
      </c>
      <c r="AC194" s="62">
        <f>IF($V194="","",IF(AND(ISNUMBER($G194),$G194&lt;=IF($S194=MesCiclo,InicioCiclo,$S194+MOD(2-WEEKDAY($S194),7))+6),1,IF(N($W194)&gt;0,AVERAGEIFS($Y$5:$Y$1000,$U$5:$U$1000,ROW(),$V$5:$V$1000,"Sub"),$Y194)))</f>
        <v/>
      </c>
      <c r="AD194" s="62">
        <f>IF($V194="","",IF(AND(ISNUMBER($G194),$G194&lt;=IF($S194=MesCiclo,InicioCiclo,$S194+MOD(2-WEEKDAY($S194),7))+13),1,IF(N($W194)&gt;0,AVERAGEIFS($Z$5:$Z$1000,$U$5:$U$1000,ROW(),$V$5:$V$1000,"Sub"),$Z194)))</f>
        <v/>
      </c>
      <c r="AE194" s="62">
        <f>IF($V194="","",IF(AND(ISNUMBER($G194),$G194&lt;=IF($S194=MesCiclo,InicioCiclo,$S194+MOD(2-WEEKDAY($S194),7))+20),1,IF(N($W194)&gt;0,AVERAGEIFS($AA$5:$AA$1000,$U$5:$U$1000,ROW(),$V$5:$V$1000,"Sub"),$AA194)))</f>
        <v/>
      </c>
      <c r="AF194" s="62">
        <f>IF($V194="","",IF(AND(ISNUMBER($G194),$G194&lt;=IF($S194=MesCiclo,InicioCiclo,$S194+MOD(2-WEEKDAY($S194),7))+27),1,IF(N($W194)&gt;0,AVERAGEIFS($AB$5:$AB$1000,$U$5:$U$1000,ROW(),$V$5:$V$1000,"Sub"),$AB194)))</f>
        <v/>
      </c>
      <c r="AG194" s="62">
        <f>IF($V194&lt;&gt;"Macro","",IF(COUNTIFS($S$5:$S$1000,$S194,$V$5:$V$1000,"Macro",$H$5:$H$1000,"&gt;0")=0,1/COUNTIFS($S$5:$S$1000,$S194,$V$5:$V$1000,"Macro"),IF(AND(ISNUMBER($H194),N($H194)&gt;0),$H194,SUMIFS($H$5:$H$1000,$S$5:$S$1000,$S194,$V$5:$V$1000,"Macro")/COUNTIFS($S$5:$S$1000,$S194,$V$5:$V$1000,"Macro",$H$5:$H$1000,"&gt;0"))/(COUNTIFS($S$5:$S$1000,$S194,$V$5:$V$1000,"Macro")*SUMIFS($H$5:$H$1000,$S$5:$S$1000,$S194,$V$5:$V$1000,"Macro")/COUNTIFS($S$5:$S$1000,$S194,$V$5:$V$1000,"Macro",$H$5:$H$1000,"&gt;0"))))</f>
        <v/>
      </c>
      <c r="AH194" s="62" t="n"/>
      <c r="AI194" s="62" t="n"/>
      <c r="AJ194" s="62" t="n"/>
      <c r="AK194" s="62" t="n"/>
      <c r="AL194" s="62">
        <f>IF(LEFT($C194,11)="[Jefatura] ",IFERROR(MATCH("Riesgo Normativo|"&amp;MID($C194,12,500),rDname_ADM,0),0),"")</f>
        <v/>
      </c>
      <c r="AM194" s="62">
        <f>IF(N($AL194)&gt;0,INDEX(rIni_ADM,$AL194),IF(ISNUMBER($E194),$E194,""))</f>
        <v/>
      </c>
      <c r="AN194" s="62">
        <f>IF(N($AL194)&gt;0,INDEX(rLim_ADM,$AL194),IF(ISNUMBER($F194),$F194,""))</f>
        <v/>
      </c>
    </row>
    <row r="195">
      <c r="A195" s="56">
        <f>IF(NOT((COUNTA($B195:$D195)+COUNTA($G195:$L195)+COUNTA($Q195))&gt;0),"",IF($V195="Macro",COUNTIFS($V$5:$V195,"Macro",$S$5:$S195,$S195),IF(N($U195)=0,"?",COUNTIFS(INDEX($V$5:$V$1000,1):INDEX($V$5:$V$1000,$U195-4),"Macro",INDEX($S$5:$S$1000,1):INDEX($S$5:$S$1000,$U195-4),INDEX($S$5:$S$1000,$U195-4))&amp;"."&amp;COUNTIFS($U$5:$U195,$U195,$V$5:$V195,"Sub"))))</f>
        <v/>
      </c>
      <c r="B195" s="57" t="n"/>
      <c r="C195" s="58" t="n"/>
      <c r="D195" s="58" t="n"/>
      <c r="E195" s="59">
        <f>IF(N($AL195)&gt;0,INDEX(rIni_ADM,$AL195),"")</f>
        <v/>
      </c>
      <c r="F195" s="59">
        <f>IF(N($AL195)&gt;0,INDEX(rLim_ADM,$AL195),"")</f>
        <v/>
      </c>
      <c r="G195" s="59" t="n"/>
      <c r="H195" s="60" t="n"/>
      <c r="I195" s="60" t="n"/>
      <c r="J195" s="60" t="n"/>
      <c r="K195" s="60" t="n"/>
      <c r="L195" s="60" t="n"/>
      <c r="M195" s="61">
        <f>IF(NOT((COUNTA($B195:$D195)+COUNTA($G195:$L195)+COUNTA($Q195))&gt;0),"",IF($V195="Sub",IFERROR($X195/INDEX($W$5:$W$1000,$U195-4),""),IF(ISNUMBER($G195),1,IF(N($W195)&gt;0,AVERAGEIFS($X$5:$X$1000,$U$5:$U$1000,ROW(),$V$5:$V$1000,"Sub"),$X195))))</f>
        <v/>
      </c>
      <c r="N195" s="56">
        <f>IF(OR($M195="",$V195="Sub"),"",IF($M195&gt;=1,"Completado",IF($M195&gt;0,"En curso","Pendiente")))</f>
        <v/>
      </c>
      <c r="O195" s="56">
        <f>IF(OR(NOT((COUNTA($B195:$D195)+COUNTA($G195:$L195)+COUNTA($Q195))&gt;0),$V195="Sub"),"",IF(ISNUMBER($G195),IF(AND(ISNUMBER($AN195),$G195&gt;$AN195),"Cumplida con "&amp;($G195-$AN195)&amp;IF($G195-$AN195=1," día"," días")&amp;" de retraso","Cumplida"),IF(N($M195)&gt;=1,"Cumplida",IF(NOT(ISNUMBER($AN195)),"Sin fecha límite",IF($AN195&lt;FechaRef,"Vencida hace "&amp;(FechaRef-$AN195)&amp;IF(FechaRef-$AN195=1," día"," días"),IF($AN195=FechaRef,"Vence hoy",IF($AN195-FechaRef&lt;=DiasAlerta,"Vence en "&amp;($AN195-FechaRef)&amp;IF($AN195-FechaRef=1," día"," días"),"En plazo")))))))</f>
        <v/>
      </c>
      <c r="P195" s="62" t="n"/>
      <c r="Q195" s="58" t="n"/>
      <c r="R195" s="63">
        <f>IF(NOT((COUNTA($B195:$D195)+COUNTA($G195:$L195)+COUNTA($Q195))&gt;0),"",IF((IF($C195="","Falta el nombre de la actividad"&amp;" · ","")&amp;IF(AND($V195="Sub",N($U195)=0),"Subactividad sin macroactividad arriba"&amp;" · ","")&amp;IF($AM195="","Sin fecha de inicio"&amp;" · ","")&amp;IF($AN195="","Sin fecha límite"&amp;" · ","")&amp;IF(AND(LEFT($C195,11)="[Jefatura] ",N($AL195)=0),"No se encuentra en la hoja de la jefatura (elíjala de nuevo en la lista)"&amp;" · ","")&amp;IF(OR(AND($E195&lt;&gt;"",NOT(ISNUMBER($E195))),AND($F195&lt;&gt;"",NOT(ISNUMBER($F195))),AND($G195&lt;&gt;"",NOT(ISNUMBER($G195)))),"Fecha no válida"&amp;" · ","")&amp;IF(AND(ISNUMBER($AM195),ISNUMBER($AN195),$AM195&gt;$AN195),"Inicio posterior a fecha límite"&amp;" · ","")&amp;IF(AND($V195="Macro",$H195&lt;&gt;"",OR(NOT(ISNUMBER($H195)),$H195&lt;0,$H195&gt;1)),"Peso fuera de rango"&amp;" · ","")&amp;IF(AND($V195="Sub",$H195&lt;&gt;""),"Las subactividades no llevan peso (valen igual dentro de su macroactividad)"&amp;" · ","")&amp;IF(AND(N($W195)&gt;0,COUNT($I195:$L195)&gt;0),"Con subactividades: deje vacías las semanas (se calculan solas)"&amp;" · ","")&amp;IF((COUNTIF($I195:$L195,"&gt;1")+COUNTIF($I195:$L195,"&lt;0")+COUNTA($I195:$L195)-COUNT($I195:$L195))&gt;0,"Avance fuera de rango 0-100%"&amp;" · ","")&amp;IF(OR(AND($J195&lt;&gt;"",$J195&lt;$I195),AND($K195&lt;&gt;"",$K195&lt;MAX($I195:$J195)),AND($L195&lt;&gt;"",$L195&lt;MAX($I195:$K195))),"Avance semanal decreciente"&amp;" · ","")&amp;IF(AND(ISNUMBER($AN195),$AN195&lt;FechaRef,IF($V195="Sub",N($X195),N($M195))&lt;1),"Vencida"&amp;" · ","")&amp;IF(AND(ObsObligatoria="Sí",ISNUMBER($AN195),$AN195&lt;FechaRef,IF($V195="Sub",N($X195),N($M195))&lt;1,$Q195=""),"Vencida sin observación"&amp;" · ",""))="","✔ OK","⚠ "&amp;LEFT(IF($C195="","Falta el nombre de la actividad"&amp;" · ","")&amp;IF(AND($V195="Sub",N($U195)=0),"Subactividad sin macroactividad arriba"&amp;" · ","")&amp;IF($AM195="","Sin fecha de inicio"&amp;" · ","")&amp;IF($AN195="","Sin fecha límite"&amp;" · ","")&amp;IF(AND(LEFT($C195,11)="[Jefatura] ",N($AL195)=0),"No se encuentra en la hoja de la jefatura (elíjala de nuevo en la lista)"&amp;" · ","")&amp;IF(OR(AND($E195&lt;&gt;"",NOT(ISNUMBER($E195))),AND($F195&lt;&gt;"",NOT(ISNUMBER($F195))),AND($G195&lt;&gt;"",NOT(ISNUMBER($G195)))),"Fecha no válida"&amp;" · ","")&amp;IF(AND(ISNUMBER($AM195),ISNUMBER($AN195),$AM195&gt;$AN195),"Inicio posterior a fecha límite"&amp;" · ","")&amp;IF(AND($V195="Macro",$H195&lt;&gt;"",OR(NOT(ISNUMBER($H195)),$H195&lt;0,$H195&gt;1)),"Peso fuera de rango"&amp;" · ","")&amp;IF(AND($V195="Sub",$H195&lt;&gt;""),"Las subactividades no llevan peso (valen igual dentro de su macroactividad)"&amp;" · ","")&amp;IF(AND(N($W195)&gt;0,COUNT($I195:$L195)&gt;0),"Con subactividades: deje vacías las semanas (se calculan solas)"&amp;" · ","")&amp;IF((COUNTIF($I195:$L195,"&gt;1")+COUNTIF($I195:$L195,"&lt;0")+COUNTA($I195:$L195)-COUNT($I195:$L195))&gt;0,"Avance fuera de rango 0-100%"&amp;" · ","")&amp;IF(OR(AND($J195&lt;&gt;"",$J195&lt;$I195),AND($K195&lt;&gt;"",$K195&lt;MAX($I195:$J195)),AND($L195&lt;&gt;"",$L195&lt;MAX($I195:$K195))),"Avance semanal decreciente"&amp;" · ","")&amp;IF(AND(ISNUMBER($AN195),$AN195&lt;FechaRef,IF($V195="Sub",N($X195),N($M195))&lt;1),"Vencida"&amp;" · ","")&amp;IF(AND(ObsObligatoria="Sí",ISNUMBER($AN195),$AN195&lt;FechaRef,IF($V195="Sub",N($X195),N($M195))&lt;1,$Q195=""),"Vencida sin observación"&amp;" · ",""),LEN(IF($C195="","Falta el nombre de la actividad"&amp;" · ","")&amp;IF(AND($V195="Sub",N($U195)=0),"Subactividad sin macroactividad arriba"&amp;" · ","")&amp;IF($AM195="","Sin fecha de inicio"&amp;" · ","")&amp;IF($AN195="","Sin fecha límite"&amp;" · ","")&amp;IF(AND(LEFT($C195,11)="[Jefatura] ",N($AL195)=0),"No se encuentra en la hoja de la jefatura (elíjala de nuevo en la lista)"&amp;" · ","")&amp;IF(OR(AND($E195&lt;&gt;"",NOT(ISNUMBER($E195))),AND($F195&lt;&gt;"",NOT(ISNUMBER($F195))),AND($G195&lt;&gt;"",NOT(ISNUMBER($G195)))),"Fecha no válida"&amp;" · ","")&amp;IF(AND(ISNUMBER($AM195),ISNUMBER($AN195),$AM195&gt;$AN195),"Inicio posterior a fecha límite"&amp;" · ","")&amp;IF(AND($V195="Macro",$H195&lt;&gt;"",OR(NOT(ISNUMBER($H195)),$H195&lt;0,$H195&gt;1)),"Peso fuera de rango"&amp;" · ","")&amp;IF(AND($V195="Sub",$H195&lt;&gt;""),"Las subactividades no llevan peso (valen igual dentro de su macroactividad)"&amp;" · ","")&amp;IF(AND(N($W195)&gt;0,COUNT($I195:$L195)&gt;0),"Con subactividades: deje vacías las semanas (se calculan solas)"&amp;" · ","")&amp;IF((COUNTIF($I195:$L195,"&gt;1")+COUNTIF($I195:$L195,"&lt;0")+COUNTA($I195:$L195)-COUNT($I195:$L195))&gt;0,"Avance fuera de rango 0-100%"&amp;" · ","")&amp;IF(OR(AND($J195&lt;&gt;"",$J195&lt;$I195),AND($K195&lt;&gt;"",$K195&lt;MAX($I195:$J195)),AND($L195&lt;&gt;"",$L195&lt;MAX($I195:$K195))),"Avance semanal decreciente"&amp;" · ","")&amp;IF(AND(ISNUMBER($AN195),$AN195&lt;FechaRef,IF($V195="Sub",N($X195),N($M195))&lt;1),"Vencida"&amp;" · ","")&amp;IF(AND(ObsObligatoria="Sí",ISNUMBER($AN195),$AN195&lt;FechaRef,IF($V195="Sub",N($X195),N($M195))&lt;1,$Q195=""),"Vencida sin observación"&amp;" · ",""))-3)))</f>
        <v/>
      </c>
      <c r="S195" s="64">
        <f>IF(NOT((COUNTA($B195:$D195)+COUNTA($G195:$L195)+COUNTA($Q195))&gt;0),"",IF(AND($V195="Sub",N($U195)&gt;0),IF(ISNUMBER(INDEX($AM$5:$AM$1000,$U195-4)),DATE(YEAR(INDEX($AM$5:$AM$1000,$U195-4)),MONTH(INDEX($AM$5:$AM$1000,$U195-4)),1),IF(ISNUMBER(INDEX($AN$5:$AN$1000,$U195-4)),DATE(YEAR(INDEX($AN$5:$AN$1000,$U195-4)),MONTH(INDEX($AN$5:$AN$1000,$U195-4)),1),MesCiclo)),IF(ISNUMBER($AM195),DATE(YEAR($AM195),MONTH($AM195),1),IF(ISNUMBER($AN195),DATE(YEAR($AN195),MONTH($AN195),1),MesCiclo))))</f>
        <v/>
      </c>
      <c r="T195" s="62">
        <f>IF(OR($S195="",$S195&lt;&gt;MesCiclo,$V195&lt;&gt;"Macro"),"",COUNTIFS($S$5:$S195,MesCiclo,$V$5:$V195,"Macro"))</f>
        <v/>
      </c>
      <c r="U195" s="62">
        <f>IF($V195="","",IF($V195="Macro",ROW(),IFERROR(LOOKUP(2,1/($V$5:$V195="Macro"),ROW($V$5:$V195)),0)))</f>
        <v/>
      </c>
      <c r="V195" s="62">
        <f>IF(NOT((COUNTA($B195:$D195)+COUNTA($G195:$L195)+COUNTA($Q195))&gt;0),"",IF($B195="Subactividad","Sub","Macro"))</f>
        <v/>
      </c>
      <c r="W195" s="62">
        <f>IF($V195="Macro",COUNTIFS($U$5:$U$1000,ROW(),$V$5:$V$1000,"Sub"),"")</f>
        <v/>
      </c>
      <c r="X195" s="62">
        <f>IF($V195="","",IF(ISNUMBER($G195),1,IFERROR(LOOKUP(2,1/($I195:$L195&lt;&gt;""),$I195:$L195),0)))</f>
        <v/>
      </c>
      <c r="Y195" s="62">
        <f>IF($V195="","",IF(AND(ISNUMBER($G195),$G195&lt;=IF($S195=MesCiclo,InicioCiclo,$S195+MOD(2-WEEKDAY($S195),7))+6),1,IF(ISNUMBER($I195),$I195,0)))</f>
        <v/>
      </c>
      <c r="Z195" s="62">
        <f>IF($V195="","",IF(AND(ISNUMBER($G195),$G195&lt;=IF($S195=MesCiclo,InicioCiclo,$S195+MOD(2-WEEKDAY($S195),7))+13),1,IF(ISNUMBER($J195),$J195,$Y195)))</f>
        <v/>
      </c>
      <c r="AA195" s="62">
        <f>IF($V195="","",IF(AND(ISNUMBER($G195),$G195&lt;=IF($S195=MesCiclo,InicioCiclo,$S195+MOD(2-WEEKDAY($S195),7))+20),1,IF(ISNUMBER($K195),$K195,$Z195)))</f>
        <v/>
      </c>
      <c r="AB195" s="62">
        <f>IF($V195="","",IF(AND(ISNUMBER($G195),$G195&lt;=IF($S195=MesCiclo,InicioCiclo,$S195+MOD(2-WEEKDAY($S195),7))+27),1,IF(ISNUMBER($L195),$L195,$AA195)))</f>
        <v/>
      </c>
      <c r="AC195" s="62">
        <f>IF($V195="","",IF(AND(ISNUMBER($G195),$G195&lt;=IF($S195=MesCiclo,InicioCiclo,$S195+MOD(2-WEEKDAY($S195),7))+6),1,IF(N($W195)&gt;0,AVERAGEIFS($Y$5:$Y$1000,$U$5:$U$1000,ROW(),$V$5:$V$1000,"Sub"),$Y195)))</f>
        <v/>
      </c>
      <c r="AD195" s="62">
        <f>IF($V195="","",IF(AND(ISNUMBER($G195),$G195&lt;=IF($S195=MesCiclo,InicioCiclo,$S195+MOD(2-WEEKDAY($S195),7))+13),1,IF(N($W195)&gt;0,AVERAGEIFS($Z$5:$Z$1000,$U$5:$U$1000,ROW(),$V$5:$V$1000,"Sub"),$Z195)))</f>
        <v/>
      </c>
      <c r="AE195" s="62">
        <f>IF($V195="","",IF(AND(ISNUMBER($G195),$G195&lt;=IF($S195=MesCiclo,InicioCiclo,$S195+MOD(2-WEEKDAY($S195),7))+20),1,IF(N($W195)&gt;0,AVERAGEIFS($AA$5:$AA$1000,$U$5:$U$1000,ROW(),$V$5:$V$1000,"Sub"),$AA195)))</f>
        <v/>
      </c>
      <c r="AF195" s="62">
        <f>IF($V195="","",IF(AND(ISNUMBER($G195),$G195&lt;=IF($S195=MesCiclo,InicioCiclo,$S195+MOD(2-WEEKDAY($S195),7))+27),1,IF(N($W195)&gt;0,AVERAGEIFS($AB$5:$AB$1000,$U$5:$U$1000,ROW(),$V$5:$V$1000,"Sub"),$AB195)))</f>
        <v/>
      </c>
      <c r="AG195" s="62">
        <f>IF($V195&lt;&gt;"Macro","",IF(COUNTIFS($S$5:$S$1000,$S195,$V$5:$V$1000,"Macro",$H$5:$H$1000,"&gt;0")=0,1/COUNTIFS($S$5:$S$1000,$S195,$V$5:$V$1000,"Macro"),IF(AND(ISNUMBER($H195),N($H195)&gt;0),$H195,SUMIFS($H$5:$H$1000,$S$5:$S$1000,$S195,$V$5:$V$1000,"Macro")/COUNTIFS($S$5:$S$1000,$S195,$V$5:$V$1000,"Macro",$H$5:$H$1000,"&gt;0"))/(COUNTIFS($S$5:$S$1000,$S195,$V$5:$V$1000,"Macro")*SUMIFS($H$5:$H$1000,$S$5:$S$1000,$S195,$V$5:$V$1000,"Macro")/COUNTIFS($S$5:$S$1000,$S195,$V$5:$V$1000,"Macro",$H$5:$H$1000,"&gt;0"))))</f>
        <v/>
      </c>
      <c r="AH195" s="62" t="n"/>
      <c r="AI195" s="62" t="n"/>
      <c r="AJ195" s="62" t="n"/>
      <c r="AK195" s="62" t="n"/>
      <c r="AL195" s="62">
        <f>IF(LEFT($C195,11)="[Jefatura] ",IFERROR(MATCH("Riesgo Normativo|"&amp;MID($C195,12,500),rDname_ADM,0),0),"")</f>
        <v/>
      </c>
      <c r="AM195" s="62">
        <f>IF(N($AL195)&gt;0,INDEX(rIni_ADM,$AL195),IF(ISNUMBER($E195),$E195,""))</f>
        <v/>
      </c>
      <c r="AN195" s="62">
        <f>IF(N($AL195)&gt;0,INDEX(rLim_ADM,$AL195),IF(ISNUMBER($F195),$F195,""))</f>
        <v/>
      </c>
    </row>
    <row r="196">
      <c r="A196" s="56">
        <f>IF(NOT((COUNTA($B196:$D196)+COUNTA($G196:$L196)+COUNTA($Q196))&gt;0),"",IF($V196="Macro",COUNTIFS($V$5:$V196,"Macro",$S$5:$S196,$S196),IF(N($U196)=0,"?",COUNTIFS(INDEX($V$5:$V$1000,1):INDEX($V$5:$V$1000,$U196-4),"Macro",INDEX($S$5:$S$1000,1):INDEX($S$5:$S$1000,$U196-4),INDEX($S$5:$S$1000,$U196-4))&amp;"."&amp;COUNTIFS($U$5:$U196,$U196,$V$5:$V196,"Sub"))))</f>
        <v/>
      </c>
      <c r="B196" s="57" t="n"/>
      <c r="C196" s="58" t="n"/>
      <c r="D196" s="58" t="n"/>
      <c r="E196" s="59">
        <f>IF(N($AL196)&gt;0,INDEX(rIni_ADM,$AL196),"")</f>
        <v/>
      </c>
      <c r="F196" s="59">
        <f>IF(N($AL196)&gt;0,INDEX(rLim_ADM,$AL196),"")</f>
        <v/>
      </c>
      <c r="G196" s="59" t="n"/>
      <c r="H196" s="60" t="n"/>
      <c r="I196" s="60" t="n"/>
      <c r="J196" s="60" t="n"/>
      <c r="K196" s="60" t="n"/>
      <c r="L196" s="60" t="n"/>
      <c r="M196" s="61">
        <f>IF(NOT((COUNTA($B196:$D196)+COUNTA($G196:$L196)+COUNTA($Q196))&gt;0),"",IF($V196="Sub",IFERROR($X196/INDEX($W$5:$W$1000,$U196-4),""),IF(ISNUMBER($G196),1,IF(N($W196)&gt;0,AVERAGEIFS($X$5:$X$1000,$U$5:$U$1000,ROW(),$V$5:$V$1000,"Sub"),$X196))))</f>
        <v/>
      </c>
      <c r="N196" s="56">
        <f>IF(OR($M196="",$V196="Sub"),"",IF($M196&gt;=1,"Completado",IF($M196&gt;0,"En curso","Pendiente")))</f>
        <v/>
      </c>
      <c r="O196" s="56">
        <f>IF(OR(NOT((COUNTA($B196:$D196)+COUNTA($G196:$L196)+COUNTA($Q196))&gt;0),$V196="Sub"),"",IF(ISNUMBER($G196),IF(AND(ISNUMBER($AN196),$G196&gt;$AN196),"Cumplida con "&amp;($G196-$AN196)&amp;IF($G196-$AN196=1," día"," días")&amp;" de retraso","Cumplida"),IF(N($M196)&gt;=1,"Cumplida",IF(NOT(ISNUMBER($AN196)),"Sin fecha límite",IF($AN196&lt;FechaRef,"Vencida hace "&amp;(FechaRef-$AN196)&amp;IF(FechaRef-$AN196=1," día"," días"),IF($AN196=FechaRef,"Vence hoy",IF($AN196-FechaRef&lt;=DiasAlerta,"Vence en "&amp;($AN196-FechaRef)&amp;IF($AN196-FechaRef=1," día"," días"),"En plazo")))))))</f>
        <v/>
      </c>
      <c r="P196" s="62" t="n"/>
      <c r="Q196" s="58" t="n"/>
      <c r="R196" s="63">
        <f>IF(NOT((COUNTA($B196:$D196)+COUNTA($G196:$L196)+COUNTA($Q196))&gt;0),"",IF((IF($C196="","Falta el nombre de la actividad"&amp;" · ","")&amp;IF(AND($V196="Sub",N($U196)=0),"Subactividad sin macroactividad arriba"&amp;" · ","")&amp;IF($AM196="","Sin fecha de inicio"&amp;" · ","")&amp;IF($AN196="","Sin fecha límite"&amp;" · ","")&amp;IF(AND(LEFT($C196,11)="[Jefatura] ",N($AL196)=0),"No se encuentra en la hoja de la jefatura (elíjala de nuevo en la lista)"&amp;" · ","")&amp;IF(OR(AND($E196&lt;&gt;"",NOT(ISNUMBER($E196))),AND($F196&lt;&gt;"",NOT(ISNUMBER($F196))),AND($G196&lt;&gt;"",NOT(ISNUMBER($G196)))),"Fecha no válida"&amp;" · ","")&amp;IF(AND(ISNUMBER($AM196),ISNUMBER($AN196),$AM196&gt;$AN196),"Inicio posterior a fecha límite"&amp;" · ","")&amp;IF(AND($V196="Macro",$H196&lt;&gt;"",OR(NOT(ISNUMBER($H196)),$H196&lt;0,$H196&gt;1)),"Peso fuera de rango"&amp;" · ","")&amp;IF(AND($V196="Sub",$H196&lt;&gt;""),"Las subactividades no llevan peso (valen igual dentro de su macroactividad)"&amp;" · ","")&amp;IF(AND(N($W196)&gt;0,COUNT($I196:$L196)&gt;0),"Con subactividades: deje vacías las semanas (se calculan solas)"&amp;" · ","")&amp;IF((COUNTIF($I196:$L196,"&gt;1")+COUNTIF($I196:$L196,"&lt;0")+COUNTA($I196:$L196)-COUNT($I196:$L196))&gt;0,"Avance fuera de rango 0-100%"&amp;" · ","")&amp;IF(OR(AND($J196&lt;&gt;"",$J196&lt;$I196),AND($K196&lt;&gt;"",$K196&lt;MAX($I196:$J196)),AND($L196&lt;&gt;"",$L196&lt;MAX($I196:$K196))),"Avance semanal decreciente"&amp;" · ","")&amp;IF(AND(ISNUMBER($AN196),$AN196&lt;FechaRef,IF($V196="Sub",N($X196),N($M196))&lt;1),"Vencida"&amp;" · ","")&amp;IF(AND(ObsObligatoria="Sí",ISNUMBER($AN196),$AN196&lt;FechaRef,IF($V196="Sub",N($X196),N($M196))&lt;1,$Q196=""),"Vencida sin observación"&amp;" · ",""))="","✔ OK","⚠ "&amp;LEFT(IF($C196="","Falta el nombre de la actividad"&amp;" · ","")&amp;IF(AND($V196="Sub",N($U196)=0),"Subactividad sin macroactividad arriba"&amp;" · ","")&amp;IF($AM196="","Sin fecha de inicio"&amp;" · ","")&amp;IF($AN196="","Sin fecha límite"&amp;" · ","")&amp;IF(AND(LEFT($C196,11)="[Jefatura] ",N($AL196)=0),"No se encuentra en la hoja de la jefatura (elíjala de nuevo en la lista)"&amp;" · ","")&amp;IF(OR(AND($E196&lt;&gt;"",NOT(ISNUMBER($E196))),AND($F196&lt;&gt;"",NOT(ISNUMBER($F196))),AND($G196&lt;&gt;"",NOT(ISNUMBER($G196)))),"Fecha no válida"&amp;" · ","")&amp;IF(AND(ISNUMBER($AM196),ISNUMBER($AN196),$AM196&gt;$AN196),"Inicio posterior a fecha límite"&amp;" · ","")&amp;IF(AND($V196="Macro",$H196&lt;&gt;"",OR(NOT(ISNUMBER($H196)),$H196&lt;0,$H196&gt;1)),"Peso fuera de rango"&amp;" · ","")&amp;IF(AND($V196="Sub",$H196&lt;&gt;""),"Las subactividades no llevan peso (valen igual dentro de su macroactividad)"&amp;" · ","")&amp;IF(AND(N($W196)&gt;0,COUNT($I196:$L196)&gt;0),"Con subactividades: deje vacías las semanas (se calculan solas)"&amp;" · ","")&amp;IF((COUNTIF($I196:$L196,"&gt;1")+COUNTIF($I196:$L196,"&lt;0")+COUNTA($I196:$L196)-COUNT($I196:$L196))&gt;0,"Avance fuera de rango 0-100%"&amp;" · ","")&amp;IF(OR(AND($J196&lt;&gt;"",$J196&lt;$I196),AND($K196&lt;&gt;"",$K196&lt;MAX($I196:$J196)),AND($L196&lt;&gt;"",$L196&lt;MAX($I196:$K196))),"Avance semanal decreciente"&amp;" · ","")&amp;IF(AND(ISNUMBER($AN196),$AN196&lt;FechaRef,IF($V196="Sub",N($X196),N($M196))&lt;1),"Vencida"&amp;" · ","")&amp;IF(AND(ObsObligatoria="Sí",ISNUMBER($AN196),$AN196&lt;FechaRef,IF($V196="Sub",N($X196),N($M196))&lt;1,$Q196=""),"Vencida sin observación"&amp;" · ",""),LEN(IF($C196="","Falta el nombre de la actividad"&amp;" · ","")&amp;IF(AND($V196="Sub",N($U196)=0),"Subactividad sin macroactividad arriba"&amp;" · ","")&amp;IF($AM196="","Sin fecha de inicio"&amp;" · ","")&amp;IF($AN196="","Sin fecha límite"&amp;" · ","")&amp;IF(AND(LEFT($C196,11)="[Jefatura] ",N($AL196)=0),"No se encuentra en la hoja de la jefatura (elíjala de nuevo en la lista)"&amp;" · ","")&amp;IF(OR(AND($E196&lt;&gt;"",NOT(ISNUMBER($E196))),AND($F196&lt;&gt;"",NOT(ISNUMBER($F196))),AND($G196&lt;&gt;"",NOT(ISNUMBER($G196)))),"Fecha no válida"&amp;" · ","")&amp;IF(AND(ISNUMBER($AM196),ISNUMBER($AN196),$AM196&gt;$AN196),"Inicio posterior a fecha límite"&amp;" · ","")&amp;IF(AND($V196="Macro",$H196&lt;&gt;"",OR(NOT(ISNUMBER($H196)),$H196&lt;0,$H196&gt;1)),"Peso fuera de rango"&amp;" · ","")&amp;IF(AND($V196="Sub",$H196&lt;&gt;""),"Las subactividades no llevan peso (valen igual dentro de su macroactividad)"&amp;" · ","")&amp;IF(AND(N($W196)&gt;0,COUNT($I196:$L196)&gt;0),"Con subactividades: deje vacías las semanas (se calculan solas)"&amp;" · ","")&amp;IF((COUNTIF($I196:$L196,"&gt;1")+COUNTIF($I196:$L196,"&lt;0")+COUNTA($I196:$L196)-COUNT($I196:$L196))&gt;0,"Avance fuera de rango 0-100%"&amp;" · ","")&amp;IF(OR(AND($J196&lt;&gt;"",$J196&lt;$I196),AND($K196&lt;&gt;"",$K196&lt;MAX($I196:$J196)),AND($L196&lt;&gt;"",$L196&lt;MAX($I196:$K196))),"Avance semanal decreciente"&amp;" · ","")&amp;IF(AND(ISNUMBER($AN196),$AN196&lt;FechaRef,IF($V196="Sub",N($X196),N($M196))&lt;1),"Vencida"&amp;" · ","")&amp;IF(AND(ObsObligatoria="Sí",ISNUMBER($AN196),$AN196&lt;FechaRef,IF($V196="Sub",N($X196),N($M196))&lt;1,$Q196=""),"Vencida sin observación"&amp;" · ",""))-3)))</f>
        <v/>
      </c>
      <c r="S196" s="64">
        <f>IF(NOT((COUNTA($B196:$D196)+COUNTA($G196:$L196)+COUNTA($Q196))&gt;0),"",IF(AND($V196="Sub",N($U196)&gt;0),IF(ISNUMBER(INDEX($AM$5:$AM$1000,$U196-4)),DATE(YEAR(INDEX($AM$5:$AM$1000,$U196-4)),MONTH(INDEX($AM$5:$AM$1000,$U196-4)),1),IF(ISNUMBER(INDEX($AN$5:$AN$1000,$U196-4)),DATE(YEAR(INDEX($AN$5:$AN$1000,$U196-4)),MONTH(INDEX($AN$5:$AN$1000,$U196-4)),1),MesCiclo)),IF(ISNUMBER($AM196),DATE(YEAR($AM196),MONTH($AM196),1),IF(ISNUMBER($AN196),DATE(YEAR($AN196),MONTH($AN196),1),MesCiclo))))</f>
        <v/>
      </c>
      <c r="T196" s="62">
        <f>IF(OR($S196="",$S196&lt;&gt;MesCiclo,$V196&lt;&gt;"Macro"),"",COUNTIFS($S$5:$S196,MesCiclo,$V$5:$V196,"Macro"))</f>
        <v/>
      </c>
      <c r="U196" s="62">
        <f>IF($V196="","",IF($V196="Macro",ROW(),IFERROR(LOOKUP(2,1/($V$5:$V196="Macro"),ROW($V$5:$V196)),0)))</f>
        <v/>
      </c>
      <c r="V196" s="62">
        <f>IF(NOT((COUNTA($B196:$D196)+COUNTA($G196:$L196)+COUNTA($Q196))&gt;0),"",IF($B196="Subactividad","Sub","Macro"))</f>
        <v/>
      </c>
      <c r="W196" s="62">
        <f>IF($V196="Macro",COUNTIFS($U$5:$U$1000,ROW(),$V$5:$V$1000,"Sub"),"")</f>
        <v/>
      </c>
      <c r="X196" s="62">
        <f>IF($V196="","",IF(ISNUMBER($G196),1,IFERROR(LOOKUP(2,1/($I196:$L196&lt;&gt;""),$I196:$L196),0)))</f>
        <v/>
      </c>
      <c r="Y196" s="62">
        <f>IF($V196="","",IF(AND(ISNUMBER($G196),$G196&lt;=IF($S196=MesCiclo,InicioCiclo,$S196+MOD(2-WEEKDAY($S196),7))+6),1,IF(ISNUMBER($I196),$I196,0)))</f>
        <v/>
      </c>
      <c r="Z196" s="62">
        <f>IF($V196="","",IF(AND(ISNUMBER($G196),$G196&lt;=IF($S196=MesCiclo,InicioCiclo,$S196+MOD(2-WEEKDAY($S196),7))+13),1,IF(ISNUMBER($J196),$J196,$Y196)))</f>
        <v/>
      </c>
      <c r="AA196" s="62">
        <f>IF($V196="","",IF(AND(ISNUMBER($G196),$G196&lt;=IF($S196=MesCiclo,InicioCiclo,$S196+MOD(2-WEEKDAY($S196),7))+20),1,IF(ISNUMBER($K196),$K196,$Z196)))</f>
        <v/>
      </c>
      <c r="AB196" s="62">
        <f>IF($V196="","",IF(AND(ISNUMBER($G196),$G196&lt;=IF($S196=MesCiclo,InicioCiclo,$S196+MOD(2-WEEKDAY($S196),7))+27),1,IF(ISNUMBER($L196),$L196,$AA196)))</f>
        <v/>
      </c>
      <c r="AC196" s="62">
        <f>IF($V196="","",IF(AND(ISNUMBER($G196),$G196&lt;=IF($S196=MesCiclo,InicioCiclo,$S196+MOD(2-WEEKDAY($S196),7))+6),1,IF(N($W196)&gt;0,AVERAGEIFS($Y$5:$Y$1000,$U$5:$U$1000,ROW(),$V$5:$V$1000,"Sub"),$Y196)))</f>
        <v/>
      </c>
      <c r="AD196" s="62">
        <f>IF($V196="","",IF(AND(ISNUMBER($G196),$G196&lt;=IF($S196=MesCiclo,InicioCiclo,$S196+MOD(2-WEEKDAY($S196),7))+13),1,IF(N($W196)&gt;0,AVERAGEIFS($Z$5:$Z$1000,$U$5:$U$1000,ROW(),$V$5:$V$1000,"Sub"),$Z196)))</f>
        <v/>
      </c>
      <c r="AE196" s="62">
        <f>IF($V196="","",IF(AND(ISNUMBER($G196),$G196&lt;=IF($S196=MesCiclo,InicioCiclo,$S196+MOD(2-WEEKDAY($S196),7))+20),1,IF(N($W196)&gt;0,AVERAGEIFS($AA$5:$AA$1000,$U$5:$U$1000,ROW(),$V$5:$V$1000,"Sub"),$AA196)))</f>
        <v/>
      </c>
      <c r="AF196" s="62">
        <f>IF($V196="","",IF(AND(ISNUMBER($G196),$G196&lt;=IF($S196=MesCiclo,InicioCiclo,$S196+MOD(2-WEEKDAY($S196),7))+27),1,IF(N($W196)&gt;0,AVERAGEIFS($AB$5:$AB$1000,$U$5:$U$1000,ROW(),$V$5:$V$1000,"Sub"),$AB196)))</f>
        <v/>
      </c>
      <c r="AG196" s="62">
        <f>IF($V196&lt;&gt;"Macro","",IF(COUNTIFS($S$5:$S$1000,$S196,$V$5:$V$1000,"Macro",$H$5:$H$1000,"&gt;0")=0,1/COUNTIFS($S$5:$S$1000,$S196,$V$5:$V$1000,"Macro"),IF(AND(ISNUMBER($H196),N($H196)&gt;0),$H196,SUMIFS($H$5:$H$1000,$S$5:$S$1000,$S196,$V$5:$V$1000,"Macro")/COUNTIFS($S$5:$S$1000,$S196,$V$5:$V$1000,"Macro",$H$5:$H$1000,"&gt;0"))/(COUNTIFS($S$5:$S$1000,$S196,$V$5:$V$1000,"Macro")*SUMIFS($H$5:$H$1000,$S$5:$S$1000,$S196,$V$5:$V$1000,"Macro")/COUNTIFS($S$5:$S$1000,$S196,$V$5:$V$1000,"Macro",$H$5:$H$1000,"&gt;0"))))</f>
        <v/>
      </c>
      <c r="AH196" s="62" t="n"/>
      <c r="AI196" s="62" t="n"/>
      <c r="AJ196" s="62" t="n"/>
      <c r="AK196" s="62" t="n"/>
      <c r="AL196" s="62">
        <f>IF(LEFT($C196,11)="[Jefatura] ",IFERROR(MATCH("Riesgo Normativo|"&amp;MID($C196,12,500),rDname_ADM,0),0),"")</f>
        <v/>
      </c>
      <c r="AM196" s="62">
        <f>IF(N($AL196)&gt;0,INDEX(rIni_ADM,$AL196),IF(ISNUMBER($E196),$E196,""))</f>
        <v/>
      </c>
      <c r="AN196" s="62">
        <f>IF(N($AL196)&gt;0,INDEX(rLim_ADM,$AL196),IF(ISNUMBER($F196),$F196,""))</f>
        <v/>
      </c>
    </row>
    <row r="197">
      <c r="A197" s="56">
        <f>IF(NOT((COUNTA($B197:$D197)+COUNTA($G197:$L197)+COUNTA($Q197))&gt;0),"",IF($V197="Macro",COUNTIFS($V$5:$V197,"Macro",$S$5:$S197,$S197),IF(N($U197)=0,"?",COUNTIFS(INDEX($V$5:$V$1000,1):INDEX($V$5:$V$1000,$U197-4),"Macro",INDEX($S$5:$S$1000,1):INDEX($S$5:$S$1000,$U197-4),INDEX($S$5:$S$1000,$U197-4))&amp;"."&amp;COUNTIFS($U$5:$U197,$U197,$V$5:$V197,"Sub"))))</f>
        <v/>
      </c>
      <c r="B197" s="57" t="n"/>
      <c r="C197" s="58" t="n"/>
      <c r="D197" s="58" t="n"/>
      <c r="E197" s="59">
        <f>IF(N($AL197)&gt;0,INDEX(rIni_ADM,$AL197),"")</f>
        <v/>
      </c>
      <c r="F197" s="59">
        <f>IF(N($AL197)&gt;0,INDEX(rLim_ADM,$AL197),"")</f>
        <v/>
      </c>
      <c r="G197" s="59" t="n"/>
      <c r="H197" s="60" t="n"/>
      <c r="I197" s="60" t="n"/>
      <c r="J197" s="60" t="n"/>
      <c r="K197" s="60" t="n"/>
      <c r="L197" s="60" t="n"/>
      <c r="M197" s="61">
        <f>IF(NOT((COUNTA($B197:$D197)+COUNTA($G197:$L197)+COUNTA($Q197))&gt;0),"",IF($V197="Sub",IFERROR($X197/INDEX($W$5:$W$1000,$U197-4),""),IF(ISNUMBER($G197),1,IF(N($W197)&gt;0,AVERAGEIFS($X$5:$X$1000,$U$5:$U$1000,ROW(),$V$5:$V$1000,"Sub"),$X197))))</f>
        <v/>
      </c>
      <c r="N197" s="56">
        <f>IF(OR($M197="",$V197="Sub"),"",IF($M197&gt;=1,"Completado",IF($M197&gt;0,"En curso","Pendiente")))</f>
        <v/>
      </c>
      <c r="O197" s="56">
        <f>IF(OR(NOT((COUNTA($B197:$D197)+COUNTA($G197:$L197)+COUNTA($Q197))&gt;0),$V197="Sub"),"",IF(ISNUMBER($G197),IF(AND(ISNUMBER($AN197),$G197&gt;$AN197),"Cumplida con "&amp;($G197-$AN197)&amp;IF($G197-$AN197=1," día"," días")&amp;" de retraso","Cumplida"),IF(N($M197)&gt;=1,"Cumplida",IF(NOT(ISNUMBER($AN197)),"Sin fecha límite",IF($AN197&lt;FechaRef,"Vencida hace "&amp;(FechaRef-$AN197)&amp;IF(FechaRef-$AN197=1," día"," días"),IF($AN197=FechaRef,"Vence hoy",IF($AN197-FechaRef&lt;=DiasAlerta,"Vence en "&amp;($AN197-FechaRef)&amp;IF($AN197-FechaRef=1," día"," días"),"En plazo")))))))</f>
        <v/>
      </c>
      <c r="P197" s="62" t="n"/>
      <c r="Q197" s="58" t="n"/>
      <c r="R197" s="63">
        <f>IF(NOT((COUNTA($B197:$D197)+COUNTA($G197:$L197)+COUNTA($Q197))&gt;0),"",IF((IF($C197="","Falta el nombre de la actividad"&amp;" · ","")&amp;IF(AND($V197="Sub",N($U197)=0),"Subactividad sin macroactividad arriba"&amp;" · ","")&amp;IF($AM197="","Sin fecha de inicio"&amp;" · ","")&amp;IF($AN197="","Sin fecha límite"&amp;" · ","")&amp;IF(AND(LEFT($C197,11)="[Jefatura] ",N($AL197)=0),"No se encuentra en la hoja de la jefatura (elíjala de nuevo en la lista)"&amp;" · ","")&amp;IF(OR(AND($E197&lt;&gt;"",NOT(ISNUMBER($E197))),AND($F197&lt;&gt;"",NOT(ISNUMBER($F197))),AND($G197&lt;&gt;"",NOT(ISNUMBER($G197)))),"Fecha no válida"&amp;" · ","")&amp;IF(AND(ISNUMBER($AM197),ISNUMBER($AN197),$AM197&gt;$AN197),"Inicio posterior a fecha límite"&amp;" · ","")&amp;IF(AND($V197="Macro",$H197&lt;&gt;"",OR(NOT(ISNUMBER($H197)),$H197&lt;0,$H197&gt;1)),"Peso fuera de rango"&amp;" · ","")&amp;IF(AND($V197="Sub",$H197&lt;&gt;""),"Las subactividades no llevan peso (valen igual dentro de su macroactividad)"&amp;" · ","")&amp;IF(AND(N($W197)&gt;0,COUNT($I197:$L197)&gt;0),"Con subactividades: deje vacías las semanas (se calculan solas)"&amp;" · ","")&amp;IF((COUNTIF($I197:$L197,"&gt;1")+COUNTIF($I197:$L197,"&lt;0")+COUNTA($I197:$L197)-COUNT($I197:$L197))&gt;0,"Avance fuera de rango 0-100%"&amp;" · ","")&amp;IF(OR(AND($J197&lt;&gt;"",$J197&lt;$I197),AND($K197&lt;&gt;"",$K197&lt;MAX($I197:$J197)),AND($L197&lt;&gt;"",$L197&lt;MAX($I197:$K197))),"Avance semanal decreciente"&amp;" · ","")&amp;IF(AND(ISNUMBER($AN197),$AN197&lt;FechaRef,IF($V197="Sub",N($X197),N($M197))&lt;1),"Vencida"&amp;" · ","")&amp;IF(AND(ObsObligatoria="Sí",ISNUMBER($AN197),$AN197&lt;FechaRef,IF($V197="Sub",N($X197),N($M197))&lt;1,$Q197=""),"Vencida sin observación"&amp;" · ",""))="","✔ OK","⚠ "&amp;LEFT(IF($C197="","Falta el nombre de la actividad"&amp;" · ","")&amp;IF(AND($V197="Sub",N($U197)=0),"Subactividad sin macroactividad arriba"&amp;" · ","")&amp;IF($AM197="","Sin fecha de inicio"&amp;" · ","")&amp;IF($AN197="","Sin fecha límite"&amp;" · ","")&amp;IF(AND(LEFT($C197,11)="[Jefatura] ",N($AL197)=0),"No se encuentra en la hoja de la jefatura (elíjala de nuevo en la lista)"&amp;" · ","")&amp;IF(OR(AND($E197&lt;&gt;"",NOT(ISNUMBER($E197))),AND($F197&lt;&gt;"",NOT(ISNUMBER($F197))),AND($G197&lt;&gt;"",NOT(ISNUMBER($G197)))),"Fecha no válida"&amp;" · ","")&amp;IF(AND(ISNUMBER($AM197),ISNUMBER($AN197),$AM197&gt;$AN197),"Inicio posterior a fecha límite"&amp;" · ","")&amp;IF(AND($V197="Macro",$H197&lt;&gt;"",OR(NOT(ISNUMBER($H197)),$H197&lt;0,$H197&gt;1)),"Peso fuera de rango"&amp;" · ","")&amp;IF(AND($V197="Sub",$H197&lt;&gt;""),"Las subactividades no llevan peso (valen igual dentro de su macroactividad)"&amp;" · ","")&amp;IF(AND(N($W197)&gt;0,COUNT($I197:$L197)&gt;0),"Con subactividades: deje vacías las semanas (se calculan solas)"&amp;" · ","")&amp;IF((COUNTIF($I197:$L197,"&gt;1")+COUNTIF($I197:$L197,"&lt;0")+COUNTA($I197:$L197)-COUNT($I197:$L197))&gt;0,"Avance fuera de rango 0-100%"&amp;" · ","")&amp;IF(OR(AND($J197&lt;&gt;"",$J197&lt;$I197),AND($K197&lt;&gt;"",$K197&lt;MAX($I197:$J197)),AND($L197&lt;&gt;"",$L197&lt;MAX($I197:$K197))),"Avance semanal decreciente"&amp;" · ","")&amp;IF(AND(ISNUMBER($AN197),$AN197&lt;FechaRef,IF($V197="Sub",N($X197),N($M197))&lt;1),"Vencida"&amp;" · ","")&amp;IF(AND(ObsObligatoria="Sí",ISNUMBER($AN197),$AN197&lt;FechaRef,IF($V197="Sub",N($X197),N($M197))&lt;1,$Q197=""),"Vencida sin observación"&amp;" · ",""),LEN(IF($C197="","Falta el nombre de la actividad"&amp;" · ","")&amp;IF(AND($V197="Sub",N($U197)=0),"Subactividad sin macroactividad arriba"&amp;" · ","")&amp;IF($AM197="","Sin fecha de inicio"&amp;" · ","")&amp;IF($AN197="","Sin fecha límite"&amp;" · ","")&amp;IF(AND(LEFT($C197,11)="[Jefatura] ",N($AL197)=0),"No se encuentra en la hoja de la jefatura (elíjala de nuevo en la lista)"&amp;" · ","")&amp;IF(OR(AND($E197&lt;&gt;"",NOT(ISNUMBER($E197))),AND($F197&lt;&gt;"",NOT(ISNUMBER($F197))),AND($G197&lt;&gt;"",NOT(ISNUMBER($G197)))),"Fecha no válida"&amp;" · ","")&amp;IF(AND(ISNUMBER($AM197),ISNUMBER($AN197),$AM197&gt;$AN197),"Inicio posterior a fecha límite"&amp;" · ","")&amp;IF(AND($V197="Macro",$H197&lt;&gt;"",OR(NOT(ISNUMBER($H197)),$H197&lt;0,$H197&gt;1)),"Peso fuera de rango"&amp;" · ","")&amp;IF(AND($V197="Sub",$H197&lt;&gt;""),"Las subactividades no llevan peso (valen igual dentro de su macroactividad)"&amp;" · ","")&amp;IF(AND(N($W197)&gt;0,COUNT($I197:$L197)&gt;0),"Con subactividades: deje vacías las semanas (se calculan solas)"&amp;" · ","")&amp;IF((COUNTIF($I197:$L197,"&gt;1")+COUNTIF($I197:$L197,"&lt;0")+COUNTA($I197:$L197)-COUNT($I197:$L197))&gt;0,"Avance fuera de rango 0-100%"&amp;" · ","")&amp;IF(OR(AND($J197&lt;&gt;"",$J197&lt;$I197),AND($K197&lt;&gt;"",$K197&lt;MAX($I197:$J197)),AND($L197&lt;&gt;"",$L197&lt;MAX($I197:$K197))),"Avance semanal decreciente"&amp;" · ","")&amp;IF(AND(ISNUMBER($AN197),$AN197&lt;FechaRef,IF($V197="Sub",N($X197),N($M197))&lt;1),"Vencida"&amp;" · ","")&amp;IF(AND(ObsObligatoria="Sí",ISNUMBER($AN197),$AN197&lt;FechaRef,IF($V197="Sub",N($X197),N($M197))&lt;1,$Q197=""),"Vencida sin observación"&amp;" · ",""))-3)))</f>
        <v/>
      </c>
      <c r="S197" s="64">
        <f>IF(NOT((COUNTA($B197:$D197)+COUNTA($G197:$L197)+COUNTA($Q197))&gt;0),"",IF(AND($V197="Sub",N($U197)&gt;0),IF(ISNUMBER(INDEX($AM$5:$AM$1000,$U197-4)),DATE(YEAR(INDEX($AM$5:$AM$1000,$U197-4)),MONTH(INDEX($AM$5:$AM$1000,$U197-4)),1),IF(ISNUMBER(INDEX($AN$5:$AN$1000,$U197-4)),DATE(YEAR(INDEX($AN$5:$AN$1000,$U197-4)),MONTH(INDEX($AN$5:$AN$1000,$U197-4)),1),MesCiclo)),IF(ISNUMBER($AM197),DATE(YEAR($AM197),MONTH($AM197),1),IF(ISNUMBER($AN197),DATE(YEAR($AN197),MONTH($AN197),1),MesCiclo))))</f>
        <v/>
      </c>
      <c r="T197" s="62">
        <f>IF(OR($S197="",$S197&lt;&gt;MesCiclo,$V197&lt;&gt;"Macro"),"",COUNTIFS($S$5:$S197,MesCiclo,$V$5:$V197,"Macro"))</f>
        <v/>
      </c>
      <c r="U197" s="62">
        <f>IF($V197="","",IF($V197="Macro",ROW(),IFERROR(LOOKUP(2,1/($V$5:$V197="Macro"),ROW($V$5:$V197)),0)))</f>
        <v/>
      </c>
      <c r="V197" s="62">
        <f>IF(NOT((COUNTA($B197:$D197)+COUNTA($G197:$L197)+COUNTA($Q197))&gt;0),"",IF($B197="Subactividad","Sub","Macro"))</f>
        <v/>
      </c>
      <c r="W197" s="62">
        <f>IF($V197="Macro",COUNTIFS($U$5:$U$1000,ROW(),$V$5:$V$1000,"Sub"),"")</f>
        <v/>
      </c>
      <c r="X197" s="62">
        <f>IF($V197="","",IF(ISNUMBER($G197),1,IFERROR(LOOKUP(2,1/($I197:$L197&lt;&gt;""),$I197:$L197),0)))</f>
        <v/>
      </c>
      <c r="Y197" s="62">
        <f>IF($V197="","",IF(AND(ISNUMBER($G197),$G197&lt;=IF($S197=MesCiclo,InicioCiclo,$S197+MOD(2-WEEKDAY($S197),7))+6),1,IF(ISNUMBER($I197),$I197,0)))</f>
        <v/>
      </c>
      <c r="Z197" s="62">
        <f>IF($V197="","",IF(AND(ISNUMBER($G197),$G197&lt;=IF($S197=MesCiclo,InicioCiclo,$S197+MOD(2-WEEKDAY($S197),7))+13),1,IF(ISNUMBER($J197),$J197,$Y197)))</f>
        <v/>
      </c>
      <c r="AA197" s="62">
        <f>IF($V197="","",IF(AND(ISNUMBER($G197),$G197&lt;=IF($S197=MesCiclo,InicioCiclo,$S197+MOD(2-WEEKDAY($S197),7))+20),1,IF(ISNUMBER($K197),$K197,$Z197)))</f>
        <v/>
      </c>
      <c r="AB197" s="62">
        <f>IF($V197="","",IF(AND(ISNUMBER($G197),$G197&lt;=IF($S197=MesCiclo,InicioCiclo,$S197+MOD(2-WEEKDAY($S197),7))+27),1,IF(ISNUMBER($L197),$L197,$AA197)))</f>
        <v/>
      </c>
      <c r="AC197" s="62">
        <f>IF($V197="","",IF(AND(ISNUMBER($G197),$G197&lt;=IF($S197=MesCiclo,InicioCiclo,$S197+MOD(2-WEEKDAY($S197),7))+6),1,IF(N($W197)&gt;0,AVERAGEIFS($Y$5:$Y$1000,$U$5:$U$1000,ROW(),$V$5:$V$1000,"Sub"),$Y197)))</f>
        <v/>
      </c>
      <c r="AD197" s="62">
        <f>IF($V197="","",IF(AND(ISNUMBER($G197),$G197&lt;=IF($S197=MesCiclo,InicioCiclo,$S197+MOD(2-WEEKDAY($S197),7))+13),1,IF(N($W197)&gt;0,AVERAGEIFS($Z$5:$Z$1000,$U$5:$U$1000,ROW(),$V$5:$V$1000,"Sub"),$Z197)))</f>
        <v/>
      </c>
      <c r="AE197" s="62">
        <f>IF($V197="","",IF(AND(ISNUMBER($G197),$G197&lt;=IF($S197=MesCiclo,InicioCiclo,$S197+MOD(2-WEEKDAY($S197),7))+20),1,IF(N($W197)&gt;0,AVERAGEIFS($AA$5:$AA$1000,$U$5:$U$1000,ROW(),$V$5:$V$1000,"Sub"),$AA197)))</f>
        <v/>
      </c>
      <c r="AF197" s="62">
        <f>IF($V197="","",IF(AND(ISNUMBER($G197),$G197&lt;=IF($S197=MesCiclo,InicioCiclo,$S197+MOD(2-WEEKDAY($S197),7))+27),1,IF(N($W197)&gt;0,AVERAGEIFS($AB$5:$AB$1000,$U$5:$U$1000,ROW(),$V$5:$V$1000,"Sub"),$AB197)))</f>
        <v/>
      </c>
      <c r="AG197" s="62">
        <f>IF($V197&lt;&gt;"Macro","",IF(COUNTIFS($S$5:$S$1000,$S197,$V$5:$V$1000,"Macro",$H$5:$H$1000,"&gt;0")=0,1/COUNTIFS($S$5:$S$1000,$S197,$V$5:$V$1000,"Macro"),IF(AND(ISNUMBER($H197),N($H197)&gt;0),$H197,SUMIFS($H$5:$H$1000,$S$5:$S$1000,$S197,$V$5:$V$1000,"Macro")/COUNTIFS($S$5:$S$1000,$S197,$V$5:$V$1000,"Macro",$H$5:$H$1000,"&gt;0"))/(COUNTIFS($S$5:$S$1000,$S197,$V$5:$V$1000,"Macro")*SUMIFS($H$5:$H$1000,$S$5:$S$1000,$S197,$V$5:$V$1000,"Macro")/COUNTIFS($S$5:$S$1000,$S197,$V$5:$V$1000,"Macro",$H$5:$H$1000,"&gt;0"))))</f>
        <v/>
      </c>
      <c r="AH197" s="62" t="n"/>
      <c r="AI197" s="62" t="n"/>
      <c r="AJ197" s="62" t="n"/>
      <c r="AK197" s="62" t="n"/>
      <c r="AL197" s="62">
        <f>IF(LEFT($C197,11)="[Jefatura] ",IFERROR(MATCH("Riesgo Normativo|"&amp;MID($C197,12,500),rDname_ADM,0),0),"")</f>
        <v/>
      </c>
      <c r="AM197" s="62">
        <f>IF(N($AL197)&gt;0,INDEX(rIni_ADM,$AL197),IF(ISNUMBER($E197),$E197,""))</f>
        <v/>
      </c>
      <c r="AN197" s="62">
        <f>IF(N($AL197)&gt;0,INDEX(rLim_ADM,$AL197),IF(ISNUMBER($F197),$F197,""))</f>
        <v/>
      </c>
    </row>
    <row r="198">
      <c r="A198" s="56">
        <f>IF(NOT((COUNTA($B198:$D198)+COUNTA($G198:$L198)+COUNTA($Q198))&gt;0),"",IF($V198="Macro",COUNTIFS($V$5:$V198,"Macro",$S$5:$S198,$S198),IF(N($U198)=0,"?",COUNTIFS(INDEX($V$5:$V$1000,1):INDEX($V$5:$V$1000,$U198-4),"Macro",INDEX($S$5:$S$1000,1):INDEX($S$5:$S$1000,$U198-4),INDEX($S$5:$S$1000,$U198-4))&amp;"."&amp;COUNTIFS($U$5:$U198,$U198,$V$5:$V198,"Sub"))))</f>
        <v/>
      </c>
      <c r="B198" s="57" t="n"/>
      <c r="C198" s="58" t="n"/>
      <c r="D198" s="58" t="n"/>
      <c r="E198" s="59">
        <f>IF(N($AL198)&gt;0,INDEX(rIni_ADM,$AL198),"")</f>
        <v/>
      </c>
      <c r="F198" s="59">
        <f>IF(N($AL198)&gt;0,INDEX(rLim_ADM,$AL198),"")</f>
        <v/>
      </c>
      <c r="G198" s="59" t="n"/>
      <c r="H198" s="60" t="n"/>
      <c r="I198" s="60" t="n"/>
      <c r="J198" s="60" t="n"/>
      <c r="K198" s="60" t="n"/>
      <c r="L198" s="60" t="n"/>
      <c r="M198" s="61">
        <f>IF(NOT((COUNTA($B198:$D198)+COUNTA($G198:$L198)+COUNTA($Q198))&gt;0),"",IF($V198="Sub",IFERROR($X198/INDEX($W$5:$W$1000,$U198-4),""),IF(ISNUMBER($G198),1,IF(N($W198)&gt;0,AVERAGEIFS($X$5:$X$1000,$U$5:$U$1000,ROW(),$V$5:$V$1000,"Sub"),$X198))))</f>
        <v/>
      </c>
      <c r="N198" s="56">
        <f>IF(OR($M198="",$V198="Sub"),"",IF($M198&gt;=1,"Completado",IF($M198&gt;0,"En curso","Pendiente")))</f>
        <v/>
      </c>
      <c r="O198" s="56">
        <f>IF(OR(NOT((COUNTA($B198:$D198)+COUNTA($G198:$L198)+COUNTA($Q198))&gt;0),$V198="Sub"),"",IF(ISNUMBER($G198),IF(AND(ISNUMBER($AN198),$G198&gt;$AN198),"Cumplida con "&amp;($G198-$AN198)&amp;IF($G198-$AN198=1," día"," días")&amp;" de retraso","Cumplida"),IF(N($M198)&gt;=1,"Cumplida",IF(NOT(ISNUMBER($AN198)),"Sin fecha límite",IF($AN198&lt;FechaRef,"Vencida hace "&amp;(FechaRef-$AN198)&amp;IF(FechaRef-$AN198=1," día"," días"),IF($AN198=FechaRef,"Vence hoy",IF($AN198-FechaRef&lt;=DiasAlerta,"Vence en "&amp;($AN198-FechaRef)&amp;IF($AN198-FechaRef=1," día"," días"),"En plazo")))))))</f>
        <v/>
      </c>
      <c r="P198" s="62" t="n"/>
      <c r="Q198" s="58" t="n"/>
      <c r="R198" s="63">
        <f>IF(NOT((COUNTA($B198:$D198)+COUNTA($G198:$L198)+COUNTA($Q198))&gt;0),"",IF((IF($C198="","Falta el nombre de la actividad"&amp;" · ","")&amp;IF(AND($V198="Sub",N($U198)=0),"Subactividad sin macroactividad arriba"&amp;" · ","")&amp;IF($AM198="","Sin fecha de inicio"&amp;" · ","")&amp;IF($AN198="","Sin fecha límite"&amp;" · ","")&amp;IF(AND(LEFT($C198,11)="[Jefatura] ",N($AL198)=0),"No se encuentra en la hoja de la jefatura (elíjala de nuevo en la lista)"&amp;" · ","")&amp;IF(OR(AND($E198&lt;&gt;"",NOT(ISNUMBER($E198))),AND($F198&lt;&gt;"",NOT(ISNUMBER($F198))),AND($G198&lt;&gt;"",NOT(ISNUMBER($G198)))),"Fecha no válida"&amp;" · ","")&amp;IF(AND(ISNUMBER($AM198),ISNUMBER($AN198),$AM198&gt;$AN198),"Inicio posterior a fecha límite"&amp;" · ","")&amp;IF(AND($V198="Macro",$H198&lt;&gt;"",OR(NOT(ISNUMBER($H198)),$H198&lt;0,$H198&gt;1)),"Peso fuera de rango"&amp;" · ","")&amp;IF(AND($V198="Sub",$H198&lt;&gt;""),"Las subactividades no llevan peso (valen igual dentro de su macroactividad)"&amp;" · ","")&amp;IF(AND(N($W198)&gt;0,COUNT($I198:$L198)&gt;0),"Con subactividades: deje vacías las semanas (se calculan solas)"&amp;" · ","")&amp;IF((COUNTIF($I198:$L198,"&gt;1")+COUNTIF($I198:$L198,"&lt;0")+COUNTA($I198:$L198)-COUNT($I198:$L198))&gt;0,"Avance fuera de rango 0-100%"&amp;" · ","")&amp;IF(OR(AND($J198&lt;&gt;"",$J198&lt;$I198),AND($K198&lt;&gt;"",$K198&lt;MAX($I198:$J198)),AND($L198&lt;&gt;"",$L198&lt;MAX($I198:$K198))),"Avance semanal decreciente"&amp;" · ","")&amp;IF(AND(ISNUMBER($AN198),$AN198&lt;FechaRef,IF($V198="Sub",N($X198),N($M198))&lt;1),"Vencida"&amp;" · ","")&amp;IF(AND(ObsObligatoria="Sí",ISNUMBER($AN198),$AN198&lt;FechaRef,IF($V198="Sub",N($X198),N($M198))&lt;1,$Q198=""),"Vencida sin observación"&amp;" · ",""))="","✔ OK","⚠ "&amp;LEFT(IF($C198="","Falta el nombre de la actividad"&amp;" · ","")&amp;IF(AND($V198="Sub",N($U198)=0),"Subactividad sin macroactividad arriba"&amp;" · ","")&amp;IF($AM198="","Sin fecha de inicio"&amp;" · ","")&amp;IF($AN198="","Sin fecha límite"&amp;" · ","")&amp;IF(AND(LEFT($C198,11)="[Jefatura] ",N($AL198)=0),"No se encuentra en la hoja de la jefatura (elíjala de nuevo en la lista)"&amp;" · ","")&amp;IF(OR(AND($E198&lt;&gt;"",NOT(ISNUMBER($E198))),AND($F198&lt;&gt;"",NOT(ISNUMBER($F198))),AND($G198&lt;&gt;"",NOT(ISNUMBER($G198)))),"Fecha no válida"&amp;" · ","")&amp;IF(AND(ISNUMBER($AM198),ISNUMBER($AN198),$AM198&gt;$AN198),"Inicio posterior a fecha límite"&amp;" · ","")&amp;IF(AND($V198="Macro",$H198&lt;&gt;"",OR(NOT(ISNUMBER($H198)),$H198&lt;0,$H198&gt;1)),"Peso fuera de rango"&amp;" · ","")&amp;IF(AND($V198="Sub",$H198&lt;&gt;""),"Las subactividades no llevan peso (valen igual dentro de su macroactividad)"&amp;" · ","")&amp;IF(AND(N($W198)&gt;0,COUNT($I198:$L198)&gt;0),"Con subactividades: deje vacías las semanas (se calculan solas)"&amp;" · ","")&amp;IF((COUNTIF($I198:$L198,"&gt;1")+COUNTIF($I198:$L198,"&lt;0")+COUNTA($I198:$L198)-COUNT($I198:$L198))&gt;0,"Avance fuera de rango 0-100%"&amp;" · ","")&amp;IF(OR(AND($J198&lt;&gt;"",$J198&lt;$I198),AND($K198&lt;&gt;"",$K198&lt;MAX($I198:$J198)),AND($L198&lt;&gt;"",$L198&lt;MAX($I198:$K198))),"Avance semanal decreciente"&amp;" · ","")&amp;IF(AND(ISNUMBER($AN198),$AN198&lt;FechaRef,IF($V198="Sub",N($X198),N($M198))&lt;1),"Vencida"&amp;" · ","")&amp;IF(AND(ObsObligatoria="Sí",ISNUMBER($AN198),$AN198&lt;FechaRef,IF($V198="Sub",N($X198),N($M198))&lt;1,$Q198=""),"Vencida sin observación"&amp;" · ",""),LEN(IF($C198="","Falta el nombre de la actividad"&amp;" · ","")&amp;IF(AND($V198="Sub",N($U198)=0),"Subactividad sin macroactividad arriba"&amp;" · ","")&amp;IF($AM198="","Sin fecha de inicio"&amp;" · ","")&amp;IF($AN198="","Sin fecha límite"&amp;" · ","")&amp;IF(AND(LEFT($C198,11)="[Jefatura] ",N($AL198)=0),"No se encuentra en la hoja de la jefatura (elíjala de nuevo en la lista)"&amp;" · ","")&amp;IF(OR(AND($E198&lt;&gt;"",NOT(ISNUMBER($E198))),AND($F198&lt;&gt;"",NOT(ISNUMBER($F198))),AND($G198&lt;&gt;"",NOT(ISNUMBER($G198)))),"Fecha no válida"&amp;" · ","")&amp;IF(AND(ISNUMBER($AM198),ISNUMBER($AN198),$AM198&gt;$AN198),"Inicio posterior a fecha límite"&amp;" · ","")&amp;IF(AND($V198="Macro",$H198&lt;&gt;"",OR(NOT(ISNUMBER($H198)),$H198&lt;0,$H198&gt;1)),"Peso fuera de rango"&amp;" · ","")&amp;IF(AND($V198="Sub",$H198&lt;&gt;""),"Las subactividades no llevan peso (valen igual dentro de su macroactividad)"&amp;" · ","")&amp;IF(AND(N($W198)&gt;0,COUNT($I198:$L198)&gt;0),"Con subactividades: deje vacías las semanas (se calculan solas)"&amp;" · ","")&amp;IF((COUNTIF($I198:$L198,"&gt;1")+COUNTIF($I198:$L198,"&lt;0")+COUNTA($I198:$L198)-COUNT($I198:$L198))&gt;0,"Avance fuera de rango 0-100%"&amp;" · ","")&amp;IF(OR(AND($J198&lt;&gt;"",$J198&lt;$I198),AND($K198&lt;&gt;"",$K198&lt;MAX($I198:$J198)),AND($L198&lt;&gt;"",$L198&lt;MAX($I198:$K198))),"Avance semanal decreciente"&amp;" · ","")&amp;IF(AND(ISNUMBER($AN198),$AN198&lt;FechaRef,IF($V198="Sub",N($X198),N($M198))&lt;1),"Vencida"&amp;" · ","")&amp;IF(AND(ObsObligatoria="Sí",ISNUMBER($AN198),$AN198&lt;FechaRef,IF($V198="Sub",N($X198),N($M198))&lt;1,$Q198=""),"Vencida sin observación"&amp;" · ",""))-3)))</f>
        <v/>
      </c>
      <c r="S198" s="64">
        <f>IF(NOT((COUNTA($B198:$D198)+COUNTA($G198:$L198)+COUNTA($Q198))&gt;0),"",IF(AND($V198="Sub",N($U198)&gt;0),IF(ISNUMBER(INDEX($AM$5:$AM$1000,$U198-4)),DATE(YEAR(INDEX($AM$5:$AM$1000,$U198-4)),MONTH(INDEX($AM$5:$AM$1000,$U198-4)),1),IF(ISNUMBER(INDEX($AN$5:$AN$1000,$U198-4)),DATE(YEAR(INDEX($AN$5:$AN$1000,$U198-4)),MONTH(INDEX($AN$5:$AN$1000,$U198-4)),1),MesCiclo)),IF(ISNUMBER($AM198),DATE(YEAR($AM198),MONTH($AM198),1),IF(ISNUMBER($AN198),DATE(YEAR($AN198),MONTH($AN198),1),MesCiclo))))</f>
        <v/>
      </c>
      <c r="T198" s="62">
        <f>IF(OR($S198="",$S198&lt;&gt;MesCiclo,$V198&lt;&gt;"Macro"),"",COUNTIFS($S$5:$S198,MesCiclo,$V$5:$V198,"Macro"))</f>
        <v/>
      </c>
      <c r="U198" s="62">
        <f>IF($V198="","",IF($V198="Macro",ROW(),IFERROR(LOOKUP(2,1/($V$5:$V198="Macro"),ROW($V$5:$V198)),0)))</f>
        <v/>
      </c>
      <c r="V198" s="62">
        <f>IF(NOT((COUNTA($B198:$D198)+COUNTA($G198:$L198)+COUNTA($Q198))&gt;0),"",IF($B198="Subactividad","Sub","Macro"))</f>
        <v/>
      </c>
      <c r="W198" s="62">
        <f>IF($V198="Macro",COUNTIFS($U$5:$U$1000,ROW(),$V$5:$V$1000,"Sub"),"")</f>
        <v/>
      </c>
      <c r="X198" s="62">
        <f>IF($V198="","",IF(ISNUMBER($G198),1,IFERROR(LOOKUP(2,1/($I198:$L198&lt;&gt;""),$I198:$L198),0)))</f>
        <v/>
      </c>
      <c r="Y198" s="62">
        <f>IF($V198="","",IF(AND(ISNUMBER($G198),$G198&lt;=IF($S198=MesCiclo,InicioCiclo,$S198+MOD(2-WEEKDAY($S198),7))+6),1,IF(ISNUMBER($I198),$I198,0)))</f>
        <v/>
      </c>
      <c r="Z198" s="62">
        <f>IF($V198="","",IF(AND(ISNUMBER($G198),$G198&lt;=IF($S198=MesCiclo,InicioCiclo,$S198+MOD(2-WEEKDAY($S198),7))+13),1,IF(ISNUMBER($J198),$J198,$Y198)))</f>
        <v/>
      </c>
      <c r="AA198" s="62">
        <f>IF($V198="","",IF(AND(ISNUMBER($G198),$G198&lt;=IF($S198=MesCiclo,InicioCiclo,$S198+MOD(2-WEEKDAY($S198),7))+20),1,IF(ISNUMBER($K198),$K198,$Z198)))</f>
        <v/>
      </c>
      <c r="AB198" s="62">
        <f>IF($V198="","",IF(AND(ISNUMBER($G198),$G198&lt;=IF($S198=MesCiclo,InicioCiclo,$S198+MOD(2-WEEKDAY($S198),7))+27),1,IF(ISNUMBER($L198),$L198,$AA198)))</f>
        <v/>
      </c>
      <c r="AC198" s="62">
        <f>IF($V198="","",IF(AND(ISNUMBER($G198),$G198&lt;=IF($S198=MesCiclo,InicioCiclo,$S198+MOD(2-WEEKDAY($S198),7))+6),1,IF(N($W198)&gt;0,AVERAGEIFS($Y$5:$Y$1000,$U$5:$U$1000,ROW(),$V$5:$V$1000,"Sub"),$Y198)))</f>
        <v/>
      </c>
      <c r="AD198" s="62">
        <f>IF($V198="","",IF(AND(ISNUMBER($G198),$G198&lt;=IF($S198=MesCiclo,InicioCiclo,$S198+MOD(2-WEEKDAY($S198),7))+13),1,IF(N($W198)&gt;0,AVERAGEIFS($Z$5:$Z$1000,$U$5:$U$1000,ROW(),$V$5:$V$1000,"Sub"),$Z198)))</f>
        <v/>
      </c>
      <c r="AE198" s="62">
        <f>IF($V198="","",IF(AND(ISNUMBER($G198),$G198&lt;=IF($S198=MesCiclo,InicioCiclo,$S198+MOD(2-WEEKDAY($S198),7))+20),1,IF(N($W198)&gt;0,AVERAGEIFS($AA$5:$AA$1000,$U$5:$U$1000,ROW(),$V$5:$V$1000,"Sub"),$AA198)))</f>
        <v/>
      </c>
      <c r="AF198" s="62">
        <f>IF($V198="","",IF(AND(ISNUMBER($G198),$G198&lt;=IF($S198=MesCiclo,InicioCiclo,$S198+MOD(2-WEEKDAY($S198),7))+27),1,IF(N($W198)&gt;0,AVERAGEIFS($AB$5:$AB$1000,$U$5:$U$1000,ROW(),$V$5:$V$1000,"Sub"),$AB198)))</f>
        <v/>
      </c>
      <c r="AG198" s="62">
        <f>IF($V198&lt;&gt;"Macro","",IF(COUNTIFS($S$5:$S$1000,$S198,$V$5:$V$1000,"Macro",$H$5:$H$1000,"&gt;0")=0,1/COUNTIFS($S$5:$S$1000,$S198,$V$5:$V$1000,"Macro"),IF(AND(ISNUMBER($H198),N($H198)&gt;0),$H198,SUMIFS($H$5:$H$1000,$S$5:$S$1000,$S198,$V$5:$V$1000,"Macro")/COUNTIFS($S$5:$S$1000,$S198,$V$5:$V$1000,"Macro",$H$5:$H$1000,"&gt;0"))/(COUNTIFS($S$5:$S$1000,$S198,$V$5:$V$1000,"Macro")*SUMIFS($H$5:$H$1000,$S$5:$S$1000,$S198,$V$5:$V$1000,"Macro")/COUNTIFS($S$5:$S$1000,$S198,$V$5:$V$1000,"Macro",$H$5:$H$1000,"&gt;0"))))</f>
        <v/>
      </c>
      <c r="AH198" s="62" t="n"/>
      <c r="AI198" s="62" t="n"/>
      <c r="AJ198" s="62" t="n"/>
      <c r="AK198" s="62" t="n"/>
      <c r="AL198" s="62">
        <f>IF(LEFT($C198,11)="[Jefatura] ",IFERROR(MATCH("Riesgo Normativo|"&amp;MID($C198,12,500),rDname_ADM,0),0),"")</f>
        <v/>
      </c>
      <c r="AM198" s="62">
        <f>IF(N($AL198)&gt;0,INDEX(rIni_ADM,$AL198),IF(ISNUMBER($E198),$E198,""))</f>
        <v/>
      </c>
      <c r="AN198" s="62">
        <f>IF(N($AL198)&gt;0,INDEX(rLim_ADM,$AL198),IF(ISNUMBER($F198),$F198,""))</f>
        <v/>
      </c>
    </row>
    <row r="199">
      <c r="A199" s="56">
        <f>IF(NOT((COUNTA($B199:$D199)+COUNTA($G199:$L199)+COUNTA($Q199))&gt;0),"",IF($V199="Macro",COUNTIFS($V$5:$V199,"Macro",$S$5:$S199,$S199),IF(N($U199)=0,"?",COUNTIFS(INDEX($V$5:$V$1000,1):INDEX($V$5:$V$1000,$U199-4),"Macro",INDEX($S$5:$S$1000,1):INDEX($S$5:$S$1000,$U199-4),INDEX($S$5:$S$1000,$U199-4))&amp;"."&amp;COUNTIFS($U$5:$U199,$U199,$V$5:$V199,"Sub"))))</f>
        <v/>
      </c>
      <c r="B199" s="57" t="n"/>
      <c r="C199" s="58" t="n"/>
      <c r="D199" s="58" t="n"/>
      <c r="E199" s="59">
        <f>IF(N($AL199)&gt;0,INDEX(rIni_ADM,$AL199),"")</f>
        <v/>
      </c>
      <c r="F199" s="59">
        <f>IF(N($AL199)&gt;0,INDEX(rLim_ADM,$AL199),"")</f>
        <v/>
      </c>
      <c r="G199" s="59" t="n"/>
      <c r="H199" s="60" t="n"/>
      <c r="I199" s="60" t="n"/>
      <c r="J199" s="60" t="n"/>
      <c r="K199" s="60" t="n"/>
      <c r="L199" s="60" t="n"/>
      <c r="M199" s="61">
        <f>IF(NOT((COUNTA($B199:$D199)+COUNTA($G199:$L199)+COUNTA($Q199))&gt;0),"",IF($V199="Sub",IFERROR($X199/INDEX($W$5:$W$1000,$U199-4),""),IF(ISNUMBER($G199),1,IF(N($W199)&gt;0,AVERAGEIFS($X$5:$X$1000,$U$5:$U$1000,ROW(),$V$5:$V$1000,"Sub"),$X199))))</f>
        <v/>
      </c>
      <c r="N199" s="56">
        <f>IF(OR($M199="",$V199="Sub"),"",IF($M199&gt;=1,"Completado",IF($M199&gt;0,"En curso","Pendiente")))</f>
        <v/>
      </c>
      <c r="O199" s="56">
        <f>IF(OR(NOT((COUNTA($B199:$D199)+COUNTA($G199:$L199)+COUNTA($Q199))&gt;0),$V199="Sub"),"",IF(ISNUMBER($G199),IF(AND(ISNUMBER($AN199),$G199&gt;$AN199),"Cumplida con "&amp;($G199-$AN199)&amp;IF($G199-$AN199=1," día"," días")&amp;" de retraso","Cumplida"),IF(N($M199)&gt;=1,"Cumplida",IF(NOT(ISNUMBER($AN199)),"Sin fecha límite",IF($AN199&lt;FechaRef,"Vencida hace "&amp;(FechaRef-$AN199)&amp;IF(FechaRef-$AN199=1," día"," días"),IF($AN199=FechaRef,"Vence hoy",IF($AN199-FechaRef&lt;=DiasAlerta,"Vence en "&amp;($AN199-FechaRef)&amp;IF($AN199-FechaRef=1," día"," días"),"En plazo")))))))</f>
        <v/>
      </c>
      <c r="P199" s="62" t="n"/>
      <c r="Q199" s="58" t="n"/>
      <c r="R199" s="63">
        <f>IF(NOT((COUNTA($B199:$D199)+COUNTA($G199:$L199)+COUNTA($Q199))&gt;0),"",IF((IF($C199="","Falta el nombre de la actividad"&amp;" · ","")&amp;IF(AND($V199="Sub",N($U199)=0),"Subactividad sin macroactividad arriba"&amp;" · ","")&amp;IF($AM199="","Sin fecha de inicio"&amp;" · ","")&amp;IF($AN199="","Sin fecha límite"&amp;" · ","")&amp;IF(AND(LEFT($C199,11)="[Jefatura] ",N($AL199)=0),"No se encuentra en la hoja de la jefatura (elíjala de nuevo en la lista)"&amp;" · ","")&amp;IF(OR(AND($E199&lt;&gt;"",NOT(ISNUMBER($E199))),AND($F199&lt;&gt;"",NOT(ISNUMBER($F199))),AND($G199&lt;&gt;"",NOT(ISNUMBER($G199)))),"Fecha no válida"&amp;" · ","")&amp;IF(AND(ISNUMBER($AM199),ISNUMBER($AN199),$AM199&gt;$AN199),"Inicio posterior a fecha límite"&amp;" · ","")&amp;IF(AND($V199="Macro",$H199&lt;&gt;"",OR(NOT(ISNUMBER($H199)),$H199&lt;0,$H199&gt;1)),"Peso fuera de rango"&amp;" · ","")&amp;IF(AND($V199="Sub",$H199&lt;&gt;""),"Las subactividades no llevan peso (valen igual dentro de su macroactividad)"&amp;" · ","")&amp;IF(AND(N($W199)&gt;0,COUNT($I199:$L199)&gt;0),"Con subactividades: deje vacías las semanas (se calculan solas)"&amp;" · ","")&amp;IF((COUNTIF($I199:$L199,"&gt;1")+COUNTIF($I199:$L199,"&lt;0")+COUNTA($I199:$L199)-COUNT($I199:$L199))&gt;0,"Avance fuera de rango 0-100%"&amp;" · ","")&amp;IF(OR(AND($J199&lt;&gt;"",$J199&lt;$I199),AND($K199&lt;&gt;"",$K199&lt;MAX($I199:$J199)),AND($L199&lt;&gt;"",$L199&lt;MAX($I199:$K199))),"Avance semanal decreciente"&amp;" · ","")&amp;IF(AND(ISNUMBER($AN199),$AN199&lt;FechaRef,IF($V199="Sub",N($X199),N($M199))&lt;1),"Vencida"&amp;" · ","")&amp;IF(AND(ObsObligatoria="Sí",ISNUMBER($AN199),$AN199&lt;FechaRef,IF($V199="Sub",N($X199),N($M199))&lt;1,$Q199=""),"Vencida sin observación"&amp;" · ",""))="","✔ OK","⚠ "&amp;LEFT(IF($C199="","Falta el nombre de la actividad"&amp;" · ","")&amp;IF(AND($V199="Sub",N($U199)=0),"Subactividad sin macroactividad arriba"&amp;" · ","")&amp;IF($AM199="","Sin fecha de inicio"&amp;" · ","")&amp;IF($AN199="","Sin fecha límite"&amp;" · ","")&amp;IF(AND(LEFT($C199,11)="[Jefatura] ",N($AL199)=0),"No se encuentra en la hoja de la jefatura (elíjala de nuevo en la lista)"&amp;" · ","")&amp;IF(OR(AND($E199&lt;&gt;"",NOT(ISNUMBER($E199))),AND($F199&lt;&gt;"",NOT(ISNUMBER($F199))),AND($G199&lt;&gt;"",NOT(ISNUMBER($G199)))),"Fecha no válida"&amp;" · ","")&amp;IF(AND(ISNUMBER($AM199),ISNUMBER($AN199),$AM199&gt;$AN199),"Inicio posterior a fecha límite"&amp;" · ","")&amp;IF(AND($V199="Macro",$H199&lt;&gt;"",OR(NOT(ISNUMBER($H199)),$H199&lt;0,$H199&gt;1)),"Peso fuera de rango"&amp;" · ","")&amp;IF(AND($V199="Sub",$H199&lt;&gt;""),"Las subactividades no llevan peso (valen igual dentro de su macroactividad)"&amp;" · ","")&amp;IF(AND(N($W199)&gt;0,COUNT($I199:$L199)&gt;0),"Con subactividades: deje vacías las semanas (se calculan solas)"&amp;" · ","")&amp;IF((COUNTIF($I199:$L199,"&gt;1")+COUNTIF($I199:$L199,"&lt;0")+COUNTA($I199:$L199)-COUNT($I199:$L199))&gt;0,"Avance fuera de rango 0-100%"&amp;" · ","")&amp;IF(OR(AND($J199&lt;&gt;"",$J199&lt;$I199),AND($K199&lt;&gt;"",$K199&lt;MAX($I199:$J199)),AND($L199&lt;&gt;"",$L199&lt;MAX($I199:$K199))),"Avance semanal decreciente"&amp;" · ","")&amp;IF(AND(ISNUMBER($AN199),$AN199&lt;FechaRef,IF($V199="Sub",N($X199),N($M199))&lt;1),"Vencida"&amp;" · ","")&amp;IF(AND(ObsObligatoria="Sí",ISNUMBER($AN199),$AN199&lt;FechaRef,IF($V199="Sub",N($X199),N($M199))&lt;1,$Q199=""),"Vencida sin observación"&amp;" · ",""),LEN(IF($C199="","Falta el nombre de la actividad"&amp;" · ","")&amp;IF(AND($V199="Sub",N($U199)=0),"Subactividad sin macroactividad arriba"&amp;" · ","")&amp;IF($AM199="","Sin fecha de inicio"&amp;" · ","")&amp;IF($AN199="","Sin fecha límite"&amp;" · ","")&amp;IF(AND(LEFT($C199,11)="[Jefatura] ",N($AL199)=0),"No se encuentra en la hoja de la jefatura (elíjala de nuevo en la lista)"&amp;" · ","")&amp;IF(OR(AND($E199&lt;&gt;"",NOT(ISNUMBER($E199))),AND($F199&lt;&gt;"",NOT(ISNUMBER($F199))),AND($G199&lt;&gt;"",NOT(ISNUMBER($G199)))),"Fecha no válida"&amp;" · ","")&amp;IF(AND(ISNUMBER($AM199),ISNUMBER($AN199),$AM199&gt;$AN199),"Inicio posterior a fecha límite"&amp;" · ","")&amp;IF(AND($V199="Macro",$H199&lt;&gt;"",OR(NOT(ISNUMBER($H199)),$H199&lt;0,$H199&gt;1)),"Peso fuera de rango"&amp;" · ","")&amp;IF(AND($V199="Sub",$H199&lt;&gt;""),"Las subactividades no llevan peso (valen igual dentro de su macroactividad)"&amp;" · ","")&amp;IF(AND(N($W199)&gt;0,COUNT($I199:$L199)&gt;0),"Con subactividades: deje vacías las semanas (se calculan solas)"&amp;" · ","")&amp;IF((COUNTIF($I199:$L199,"&gt;1")+COUNTIF($I199:$L199,"&lt;0")+COUNTA($I199:$L199)-COUNT($I199:$L199))&gt;0,"Avance fuera de rango 0-100%"&amp;" · ","")&amp;IF(OR(AND($J199&lt;&gt;"",$J199&lt;$I199),AND($K199&lt;&gt;"",$K199&lt;MAX($I199:$J199)),AND($L199&lt;&gt;"",$L199&lt;MAX($I199:$K199))),"Avance semanal decreciente"&amp;" · ","")&amp;IF(AND(ISNUMBER($AN199),$AN199&lt;FechaRef,IF($V199="Sub",N($X199),N($M199))&lt;1),"Vencida"&amp;" · ","")&amp;IF(AND(ObsObligatoria="Sí",ISNUMBER($AN199),$AN199&lt;FechaRef,IF($V199="Sub",N($X199),N($M199))&lt;1,$Q199=""),"Vencida sin observación"&amp;" · ",""))-3)))</f>
        <v/>
      </c>
      <c r="S199" s="64">
        <f>IF(NOT((COUNTA($B199:$D199)+COUNTA($G199:$L199)+COUNTA($Q199))&gt;0),"",IF(AND($V199="Sub",N($U199)&gt;0),IF(ISNUMBER(INDEX($AM$5:$AM$1000,$U199-4)),DATE(YEAR(INDEX($AM$5:$AM$1000,$U199-4)),MONTH(INDEX($AM$5:$AM$1000,$U199-4)),1),IF(ISNUMBER(INDEX($AN$5:$AN$1000,$U199-4)),DATE(YEAR(INDEX($AN$5:$AN$1000,$U199-4)),MONTH(INDEX($AN$5:$AN$1000,$U199-4)),1),MesCiclo)),IF(ISNUMBER($AM199),DATE(YEAR($AM199),MONTH($AM199),1),IF(ISNUMBER($AN199),DATE(YEAR($AN199),MONTH($AN199),1),MesCiclo))))</f>
        <v/>
      </c>
      <c r="T199" s="62">
        <f>IF(OR($S199="",$S199&lt;&gt;MesCiclo,$V199&lt;&gt;"Macro"),"",COUNTIFS($S$5:$S199,MesCiclo,$V$5:$V199,"Macro"))</f>
        <v/>
      </c>
      <c r="U199" s="62">
        <f>IF($V199="","",IF($V199="Macro",ROW(),IFERROR(LOOKUP(2,1/($V$5:$V199="Macro"),ROW($V$5:$V199)),0)))</f>
        <v/>
      </c>
      <c r="V199" s="62">
        <f>IF(NOT((COUNTA($B199:$D199)+COUNTA($G199:$L199)+COUNTA($Q199))&gt;0),"",IF($B199="Subactividad","Sub","Macro"))</f>
        <v/>
      </c>
      <c r="W199" s="62">
        <f>IF($V199="Macro",COUNTIFS($U$5:$U$1000,ROW(),$V$5:$V$1000,"Sub"),"")</f>
        <v/>
      </c>
      <c r="X199" s="62">
        <f>IF($V199="","",IF(ISNUMBER($G199),1,IFERROR(LOOKUP(2,1/($I199:$L199&lt;&gt;""),$I199:$L199),0)))</f>
        <v/>
      </c>
      <c r="Y199" s="62">
        <f>IF($V199="","",IF(AND(ISNUMBER($G199),$G199&lt;=IF($S199=MesCiclo,InicioCiclo,$S199+MOD(2-WEEKDAY($S199),7))+6),1,IF(ISNUMBER($I199),$I199,0)))</f>
        <v/>
      </c>
      <c r="Z199" s="62">
        <f>IF($V199="","",IF(AND(ISNUMBER($G199),$G199&lt;=IF($S199=MesCiclo,InicioCiclo,$S199+MOD(2-WEEKDAY($S199),7))+13),1,IF(ISNUMBER($J199),$J199,$Y199)))</f>
        <v/>
      </c>
      <c r="AA199" s="62">
        <f>IF($V199="","",IF(AND(ISNUMBER($G199),$G199&lt;=IF($S199=MesCiclo,InicioCiclo,$S199+MOD(2-WEEKDAY($S199),7))+20),1,IF(ISNUMBER($K199),$K199,$Z199)))</f>
        <v/>
      </c>
      <c r="AB199" s="62">
        <f>IF($V199="","",IF(AND(ISNUMBER($G199),$G199&lt;=IF($S199=MesCiclo,InicioCiclo,$S199+MOD(2-WEEKDAY($S199),7))+27),1,IF(ISNUMBER($L199),$L199,$AA199)))</f>
        <v/>
      </c>
      <c r="AC199" s="62">
        <f>IF($V199="","",IF(AND(ISNUMBER($G199),$G199&lt;=IF($S199=MesCiclo,InicioCiclo,$S199+MOD(2-WEEKDAY($S199),7))+6),1,IF(N($W199)&gt;0,AVERAGEIFS($Y$5:$Y$1000,$U$5:$U$1000,ROW(),$V$5:$V$1000,"Sub"),$Y199)))</f>
        <v/>
      </c>
      <c r="AD199" s="62">
        <f>IF($V199="","",IF(AND(ISNUMBER($G199),$G199&lt;=IF($S199=MesCiclo,InicioCiclo,$S199+MOD(2-WEEKDAY($S199),7))+13),1,IF(N($W199)&gt;0,AVERAGEIFS($Z$5:$Z$1000,$U$5:$U$1000,ROW(),$V$5:$V$1000,"Sub"),$Z199)))</f>
        <v/>
      </c>
      <c r="AE199" s="62">
        <f>IF($V199="","",IF(AND(ISNUMBER($G199),$G199&lt;=IF($S199=MesCiclo,InicioCiclo,$S199+MOD(2-WEEKDAY($S199),7))+20),1,IF(N($W199)&gt;0,AVERAGEIFS($AA$5:$AA$1000,$U$5:$U$1000,ROW(),$V$5:$V$1000,"Sub"),$AA199)))</f>
        <v/>
      </c>
      <c r="AF199" s="62">
        <f>IF($V199="","",IF(AND(ISNUMBER($G199),$G199&lt;=IF($S199=MesCiclo,InicioCiclo,$S199+MOD(2-WEEKDAY($S199),7))+27),1,IF(N($W199)&gt;0,AVERAGEIFS($AB$5:$AB$1000,$U$5:$U$1000,ROW(),$V$5:$V$1000,"Sub"),$AB199)))</f>
        <v/>
      </c>
      <c r="AG199" s="62">
        <f>IF($V199&lt;&gt;"Macro","",IF(COUNTIFS($S$5:$S$1000,$S199,$V$5:$V$1000,"Macro",$H$5:$H$1000,"&gt;0")=0,1/COUNTIFS($S$5:$S$1000,$S199,$V$5:$V$1000,"Macro"),IF(AND(ISNUMBER($H199),N($H199)&gt;0),$H199,SUMIFS($H$5:$H$1000,$S$5:$S$1000,$S199,$V$5:$V$1000,"Macro")/COUNTIFS($S$5:$S$1000,$S199,$V$5:$V$1000,"Macro",$H$5:$H$1000,"&gt;0"))/(COUNTIFS($S$5:$S$1000,$S199,$V$5:$V$1000,"Macro")*SUMIFS($H$5:$H$1000,$S$5:$S$1000,$S199,$V$5:$V$1000,"Macro")/COUNTIFS($S$5:$S$1000,$S199,$V$5:$V$1000,"Macro",$H$5:$H$1000,"&gt;0"))))</f>
        <v/>
      </c>
      <c r="AH199" s="62" t="n"/>
      <c r="AI199" s="62" t="n"/>
      <c r="AJ199" s="62" t="n"/>
      <c r="AK199" s="62" t="n"/>
      <c r="AL199" s="62">
        <f>IF(LEFT($C199,11)="[Jefatura] ",IFERROR(MATCH("Riesgo Normativo|"&amp;MID($C199,12,500),rDname_ADM,0),0),"")</f>
        <v/>
      </c>
      <c r="AM199" s="62">
        <f>IF(N($AL199)&gt;0,INDEX(rIni_ADM,$AL199),IF(ISNUMBER($E199),$E199,""))</f>
        <v/>
      </c>
      <c r="AN199" s="62">
        <f>IF(N($AL199)&gt;0,INDEX(rLim_ADM,$AL199),IF(ISNUMBER($F199),$F199,""))</f>
        <v/>
      </c>
    </row>
    <row r="200">
      <c r="A200" s="56">
        <f>IF(NOT((COUNTA($B200:$D200)+COUNTA($G200:$L200)+COUNTA($Q200))&gt;0),"",IF($V200="Macro",COUNTIFS($V$5:$V200,"Macro",$S$5:$S200,$S200),IF(N($U200)=0,"?",COUNTIFS(INDEX($V$5:$V$1000,1):INDEX($V$5:$V$1000,$U200-4),"Macro",INDEX($S$5:$S$1000,1):INDEX($S$5:$S$1000,$U200-4),INDEX($S$5:$S$1000,$U200-4))&amp;"."&amp;COUNTIFS($U$5:$U200,$U200,$V$5:$V200,"Sub"))))</f>
        <v/>
      </c>
      <c r="B200" s="57" t="n"/>
      <c r="C200" s="58" t="n"/>
      <c r="D200" s="58" t="n"/>
      <c r="E200" s="59">
        <f>IF(N($AL200)&gt;0,INDEX(rIni_ADM,$AL200),"")</f>
        <v/>
      </c>
      <c r="F200" s="59">
        <f>IF(N($AL200)&gt;0,INDEX(rLim_ADM,$AL200),"")</f>
        <v/>
      </c>
      <c r="G200" s="59" t="n"/>
      <c r="H200" s="60" t="n"/>
      <c r="I200" s="60" t="n"/>
      <c r="J200" s="60" t="n"/>
      <c r="K200" s="60" t="n"/>
      <c r="L200" s="60" t="n"/>
      <c r="M200" s="61">
        <f>IF(NOT((COUNTA($B200:$D200)+COUNTA($G200:$L200)+COUNTA($Q200))&gt;0),"",IF($V200="Sub",IFERROR($X200/INDEX($W$5:$W$1000,$U200-4),""),IF(ISNUMBER($G200),1,IF(N($W200)&gt;0,AVERAGEIFS($X$5:$X$1000,$U$5:$U$1000,ROW(),$V$5:$V$1000,"Sub"),$X200))))</f>
        <v/>
      </c>
      <c r="N200" s="56">
        <f>IF(OR($M200="",$V200="Sub"),"",IF($M200&gt;=1,"Completado",IF($M200&gt;0,"En curso","Pendiente")))</f>
        <v/>
      </c>
      <c r="O200" s="56">
        <f>IF(OR(NOT((COUNTA($B200:$D200)+COUNTA($G200:$L200)+COUNTA($Q200))&gt;0),$V200="Sub"),"",IF(ISNUMBER($G200),IF(AND(ISNUMBER($AN200),$G200&gt;$AN200),"Cumplida con "&amp;($G200-$AN200)&amp;IF($G200-$AN200=1," día"," días")&amp;" de retraso","Cumplida"),IF(N($M200)&gt;=1,"Cumplida",IF(NOT(ISNUMBER($AN200)),"Sin fecha límite",IF($AN200&lt;FechaRef,"Vencida hace "&amp;(FechaRef-$AN200)&amp;IF(FechaRef-$AN200=1," día"," días"),IF($AN200=FechaRef,"Vence hoy",IF($AN200-FechaRef&lt;=DiasAlerta,"Vence en "&amp;($AN200-FechaRef)&amp;IF($AN200-FechaRef=1," día"," días"),"En plazo")))))))</f>
        <v/>
      </c>
      <c r="P200" s="62" t="n"/>
      <c r="Q200" s="58" t="n"/>
      <c r="R200" s="63">
        <f>IF(NOT((COUNTA($B200:$D200)+COUNTA($G200:$L200)+COUNTA($Q200))&gt;0),"",IF((IF($C200="","Falta el nombre de la actividad"&amp;" · ","")&amp;IF(AND($V200="Sub",N($U200)=0),"Subactividad sin macroactividad arriba"&amp;" · ","")&amp;IF($AM200="","Sin fecha de inicio"&amp;" · ","")&amp;IF($AN200="","Sin fecha límite"&amp;" · ","")&amp;IF(AND(LEFT($C200,11)="[Jefatura] ",N($AL200)=0),"No se encuentra en la hoja de la jefatura (elíjala de nuevo en la lista)"&amp;" · ","")&amp;IF(OR(AND($E200&lt;&gt;"",NOT(ISNUMBER($E200))),AND($F200&lt;&gt;"",NOT(ISNUMBER($F200))),AND($G200&lt;&gt;"",NOT(ISNUMBER($G200)))),"Fecha no válida"&amp;" · ","")&amp;IF(AND(ISNUMBER($AM200),ISNUMBER($AN200),$AM200&gt;$AN200),"Inicio posterior a fecha límite"&amp;" · ","")&amp;IF(AND($V200="Macro",$H200&lt;&gt;"",OR(NOT(ISNUMBER($H200)),$H200&lt;0,$H200&gt;1)),"Peso fuera de rango"&amp;" · ","")&amp;IF(AND($V200="Sub",$H200&lt;&gt;""),"Las subactividades no llevan peso (valen igual dentro de su macroactividad)"&amp;" · ","")&amp;IF(AND(N($W200)&gt;0,COUNT($I200:$L200)&gt;0),"Con subactividades: deje vacías las semanas (se calculan solas)"&amp;" · ","")&amp;IF((COUNTIF($I200:$L200,"&gt;1")+COUNTIF($I200:$L200,"&lt;0")+COUNTA($I200:$L200)-COUNT($I200:$L200))&gt;0,"Avance fuera de rango 0-100%"&amp;" · ","")&amp;IF(OR(AND($J200&lt;&gt;"",$J200&lt;$I200),AND($K200&lt;&gt;"",$K200&lt;MAX($I200:$J200)),AND($L200&lt;&gt;"",$L200&lt;MAX($I200:$K200))),"Avance semanal decreciente"&amp;" · ","")&amp;IF(AND(ISNUMBER($AN200),$AN200&lt;FechaRef,IF($V200="Sub",N($X200),N($M200))&lt;1),"Vencida"&amp;" · ","")&amp;IF(AND(ObsObligatoria="Sí",ISNUMBER($AN200),$AN200&lt;FechaRef,IF($V200="Sub",N($X200),N($M200))&lt;1,$Q200=""),"Vencida sin observación"&amp;" · ",""))="","✔ OK","⚠ "&amp;LEFT(IF($C200="","Falta el nombre de la actividad"&amp;" · ","")&amp;IF(AND($V200="Sub",N($U200)=0),"Subactividad sin macroactividad arriba"&amp;" · ","")&amp;IF($AM200="","Sin fecha de inicio"&amp;" · ","")&amp;IF($AN200="","Sin fecha límite"&amp;" · ","")&amp;IF(AND(LEFT($C200,11)="[Jefatura] ",N($AL200)=0),"No se encuentra en la hoja de la jefatura (elíjala de nuevo en la lista)"&amp;" · ","")&amp;IF(OR(AND($E200&lt;&gt;"",NOT(ISNUMBER($E200))),AND($F200&lt;&gt;"",NOT(ISNUMBER($F200))),AND($G200&lt;&gt;"",NOT(ISNUMBER($G200)))),"Fecha no válida"&amp;" · ","")&amp;IF(AND(ISNUMBER($AM200),ISNUMBER($AN200),$AM200&gt;$AN200),"Inicio posterior a fecha límite"&amp;" · ","")&amp;IF(AND($V200="Macro",$H200&lt;&gt;"",OR(NOT(ISNUMBER($H200)),$H200&lt;0,$H200&gt;1)),"Peso fuera de rango"&amp;" · ","")&amp;IF(AND($V200="Sub",$H200&lt;&gt;""),"Las subactividades no llevan peso (valen igual dentro de su macroactividad)"&amp;" · ","")&amp;IF(AND(N($W200)&gt;0,COUNT($I200:$L200)&gt;0),"Con subactividades: deje vacías las semanas (se calculan solas)"&amp;" · ","")&amp;IF((COUNTIF($I200:$L200,"&gt;1")+COUNTIF($I200:$L200,"&lt;0")+COUNTA($I200:$L200)-COUNT($I200:$L200))&gt;0,"Avance fuera de rango 0-100%"&amp;" · ","")&amp;IF(OR(AND($J200&lt;&gt;"",$J200&lt;$I200),AND($K200&lt;&gt;"",$K200&lt;MAX($I200:$J200)),AND($L200&lt;&gt;"",$L200&lt;MAX($I200:$K200))),"Avance semanal decreciente"&amp;" · ","")&amp;IF(AND(ISNUMBER($AN200),$AN200&lt;FechaRef,IF($V200="Sub",N($X200),N($M200))&lt;1),"Vencida"&amp;" · ","")&amp;IF(AND(ObsObligatoria="Sí",ISNUMBER($AN200),$AN200&lt;FechaRef,IF($V200="Sub",N($X200),N($M200))&lt;1,$Q200=""),"Vencida sin observación"&amp;" · ",""),LEN(IF($C200="","Falta el nombre de la actividad"&amp;" · ","")&amp;IF(AND($V200="Sub",N($U200)=0),"Subactividad sin macroactividad arriba"&amp;" · ","")&amp;IF($AM200="","Sin fecha de inicio"&amp;" · ","")&amp;IF($AN200="","Sin fecha límite"&amp;" · ","")&amp;IF(AND(LEFT($C200,11)="[Jefatura] ",N($AL200)=0),"No se encuentra en la hoja de la jefatura (elíjala de nuevo en la lista)"&amp;" · ","")&amp;IF(OR(AND($E200&lt;&gt;"",NOT(ISNUMBER($E200))),AND($F200&lt;&gt;"",NOT(ISNUMBER($F200))),AND($G200&lt;&gt;"",NOT(ISNUMBER($G200)))),"Fecha no válida"&amp;" · ","")&amp;IF(AND(ISNUMBER($AM200),ISNUMBER($AN200),$AM200&gt;$AN200),"Inicio posterior a fecha límite"&amp;" · ","")&amp;IF(AND($V200="Macro",$H200&lt;&gt;"",OR(NOT(ISNUMBER($H200)),$H200&lt;0,$H200&gt;1)),"Peso fuera de rango"&amp;" · ","")&amp;IF(AND($V200="Sub",$H200&lt;&gt;""),"Las subactividades no llevan peso (valen igual dentro de su macroactividad)"&amp;" · ","")&amp;IF(AND(N($W200)&gt;0,COUNT($I200:$L200)&gt;0),"Con subactividades: deje vacías las semanas (se calculan solas)"&amp;" · ","")&amp;IF((COUNTIF($I200:$L200,"&gt;1")+COUNTIF($I200:$L200,"&lt;0")+COUNTA($I200:$L200)-COUNT($I200:$L200))&gt;0,"Avance fuera de rango 0-100%"&amp;" · ","")&amp;IF(OR(AND($J200&lt;&gt;"",$J200&lt;$I200),AND($K200&lt;&gt;"",$K200&lt;MAX($I200:$J200)),AND($L200&lt;&gt;"",$L200&lt;MAX($I200:$K200))),"Avance semanal decreciente"&amp;" · ","")&amp;IF(AND(ISNUMBER($AN200),$AN200&lt;FechaRef,IF($V200="Sub",N($X200),N($M200))&lt;1),"Vencida"&amp;" · ","")&amp;IF(AND(ObsObligatoria="Sí",ISNUMBER($AN200),$AN200&lt;FechaRef,IF($V200="Sub",N($X200),N($M200))&lt;1,$Q200=""),"Vencida sin observación"&amp;" · ",""))-3)))</f>
        <v/>
      </c>
      <c r="S200" s="64">
        <f>IF(NOT((COUNTA($B200:$D200)+COUNTA($G200:$L200)+COUNTA($Q200))&gt;0),"",IF(AND($V200="Sub",N($U200)&gt;0),IF(ISNUMBER(INDEX($AM$5:$AM$1000,$U200-4)),DATE(YEAR(INDEX($AM$5:$AM$1000,$U200-4)),MONTH(INDEX($AM$5:$AM$1000,$U200-4)),1),IF(ISNUMBER(INDEX($AN$5:$AN$1000,$U200-4)),DATE(YEAR(INDEX($AN$5:$AN$1000,$U200-4)),MONTH(INDEX($AN$5:$AN$1000,$U200-4)),1),MesCiclo)),IF(ISNUMBER($AM200),DATE(YEAR($AM200),MONTH($AM200),1),IF(ISNUMBER($AN200),DATE(YEAR($AN200),MONTH($AN200),1),MesCiclo))))</f>
        <v/>
      </c>
      <c r="T200" s="62">
        <f>IF(OR($S200="",$S200&lt;&gt;MesCiclo,$V200&lt;&gt;"Macro"),"",COUNTIFS($S$5:$S200,MesCiclo,$V$5:$V200,"Macro"))</f>
        <v/>
      </c>
      <c r="U200" s="62">
        <f>IF($V200="","",IF($V200="Macro",ROW(),IFERROR(LOOKUP(2,1/($V$5:$V200="Macro"),ROW($V$5:$V200)),0)))</f>
        <v/>
      </c>
      <c r="V200" s="62">
        <f>IF(NOT((COUNTA($B200:$D200)+COUNTA($G200:$L200)+COUNTA($Q200))&gt;0),"",IF($B200="Subactividad","Sub","Macro"))</f>
        <v/>
      </c>
      <c r="W200" s="62">
        <f>IF($V200="Macro",COUNTIFS($U$5:$U$1000,ROW(),$V$5:$V$1000,"Sub"),"")</f>
        <v/>
      </c>
      <c r="X200" s="62">
        <f>IF($V200="","",IF(ISNUMBER($G200),1,IFERROR(LOOKUP(2,1/($I200:$L200&lt;&gt;""),$I200:$L200),0)))</f>
        <v/>
      </c>
      <c r="Y200" s="62">
        <f>IF($V200="","",IF(AND(ISNUMBER($G200),$G200&lt;=IF($S200=MesCiclo,InicioCiclo,$S200+MOD(2-WEEKDAY($S200),7))+6),1,IF(ISNUMBER($I200),$I200,0)))</f>
        <v/>
      </c>
      <c r="Z200" s="62">
        <f>IF($V200="","",IF(AND(ISNUMBER($G200),$G200&lt;=IF($S200=MesCiclo,InicioCiclo,$S200+MOD(2-WEEKDAY($S200),7))+13),1,IF(ISNUMBER($J200),$J200,$Y200)))</f>
        <v/>
      </c>
      <c r="AA200" s="62">
        <f>IF($V200="","",IF(AND(ISNUMBER($G200),$G200&lt;=IF($S200=MesCiclo,InicioCiclo,$S200+MOD(2-WEEKDAY($S200),7))+20),1,IF(ISNUMBER($K200),$K200,$Z200)))</f>
        <v/>
      </c>
      <c r="AB200" s="62">
        <f>IF($V200="","",IF(AND(ISNUMBER($G200),$G200&lt;=IF($S200=MesCiclo,InicioCiclo,$S200+MOD(2-WEEKDAY($S200),7))+27),1,IF(ISNUMBER($L200),$L200,$AA200)))</f>
        <v/>
      </c>
      <c r="AC200" s="62">
        <f>IF($V200="","",IF(AND(ISNUMBER($G200),$G200&lt;=IF($S200=MesCiclo,InicioCiclo,$S200+MOD(2-WEEKDAY($S200),7))+6),1,IF(N($W200)&gt;0,AVERAGEIFS($Y$5:$Y$1000,$U$5:$U$1000,ROW(),$V$5:$V$1000,"Sub"),$Y200)))</f>
        <v/>
      </c>
      <c r="AD200" s="62">
        <f>IF($V200="","",IF(AND(ISNUMBER($G200),$G200&lt;=IF($S200=MesCiclo,InicioCiclo,$S200+MOD(2-WEEKDAY($S200),7))+13),1,IF(N($W200)&gt;0,AVERAGEIFS($Z$5:$Z$1000,$U$5:$U$1000,ROW(),$V$5:$V$1000,"Sub"),$Z200)))</f>
        <v/>
      </c>
      <c r="AE200" s="62">
        <f>IF($V200="","",IF(AND(ISNUMBER($G200),$G200&lt;=IF($S200=MesCiclo,InicioCiclo,$S200+MOD(2-WEEKDAY($S200),7))+20),1,IF(N($W200)&gt;0,AVERAGEIFS($AA$5:$AA$1000,$U$5:$U$1000,ROW(),$V$5:$V$1000,"Sub"),$AA200)))</f>
        <v/>
      </c>
      <c r="AF200" s="62">
        <f>IF($V200="","",IF(AND(ISNUMBER($G200),$G200&lt;=IF($S200=MesCiclo,InicioCiclo,$S200+MOD(2-WEEKDAY($S200),7))+27),1,IF(N($W200)&gt;0,AVERAGEIFS($AB$5:$AB$1000,$U$5:$U$1000,ROW(),$V$5:$V$1000,"Sub"),$AB200)))</f>
        <v/>
      </c>
      <c r="AG200" s="62">
        <f>IF($V200&lt;&gt;"Macro","",IF(COUNTIFS($S$5:$S$1000,$S200,$V$5:$V$1000,"Macro",$H$5:$H$1000,"&gt;0")=0,1/COUNTIFS($S$5:$S$1000,$S200,$V$5:$V$1000,"Macro"),IF(AND(ISNUMBER($H200),N($H200)&gt;0),$H200,SUMIFS($H$5:$H$1000,$S$5:$S$1000,$S200,$V$5:$V$1000,"Macro")/COUNTIFS($S$5:$S$1000,$S200,$V$5:$V$1000,"Macro",$H$5:$H$1000,"&gt;0"))/(COUNTIFS($S$5:$S$1000,$S200,$V$5:$V$1000,"Macro")*SUMIFS($H$5:$H$1000,$S$5:$S$1000,$S200,$V$5:$V$1000,"Macro")/COUNTIFS($S$5:$S$1000,$S200,$V$5:$V$1000,"Macro",$H$5:$H$1000,"&gt;0"))))</f>
        <v/>
      </c>
      <c r="AH200" s="62" t="n"/>
      <c r="AI200" s="62" t="n"/>
      <c r="AJ200" s="62" t="n"/>
      <c r="AK200" s="62" t="n"/>
      <c r="AL200" s="62">
        <f>IF(LEFT($C200,11)="[Jefatura] ",IFERROR(MATCH("Riesgo Normativo|"&amp;MID($C200,12,500),rDname_ADM,0),0),"")</f>
        <v/>
      </c>
      <c r="AM200" s="62">
        <f>IF(N($AL200)&gt;0,INDEX(rIni_ADM,$AL200),IF(ISNUMBER($E200),$E200,""))</f>
        <v/>
      </c>
      <c r="AN200" s="62">
        <f>IF(N($AL200)&gt;0,INDEX(rLim_ADM,$AL200),IF(ISNUMBER($F200),$F200,""))</f>
        <v/>
      </c>
    </row>
    <row r="201">
      <c r="A201" s="56">
        <f>IF(NOT((COUNTA($B201:$D201)+COUNTA($G201:$L201)+COUNTA($Q201))&gt;0),"",IF($V201="Macro",COUNTIFS($V$5:$V201,"Macro",$S$5:$S201,$S201),IF(N($U201)=0,"?",COUNTIFS(INDEX($V$5:$V$1000,1):INDEX($V$5:$V$1000,$U201-4),"Macro",INDEX($S$5:$S$1000,1):INDEX($S$5:$S$1000,$U201-4),INDEX($S$5:$S$1000,$U201-4))&amp;"."&amp;COUNTIFS($U$5:$U201,$U201,$V$5:$V201,"Sub"))))</f>
        <v/>
      </c>
      <c r="B201" s="57" t="n"/>
      <c r="C201" s="58" t="n"/>
      <c r="D201" s="58" t="n"/>
      <c r="E201" s="59">
        <f>IF(N($AL201)&gt;0,INDEX(rIni_ADM,$AL201),"")</f>
        <v/>
      </c>
      <c r="F201" s="59">
        <f>IF(N($AL201)&gt;0,INDEX(rLim_ADM,$AL201),"")</f>
        <v/>
      </c>
      <c r="G201" s="59" t="n"/>
      <c r="H201" s="60" t="n"/>
      <c r="I201" s="60" t="n"/>
      <c r="J201" s="60" t="n"/>
      <c r="K201" s="60" t="n"/>
      <c r="L201" s="60" t="n"/>
      <c r="M201" s="61">
        <f>IF(NOT((COUNTA($B201:$D201)+COUNTA($G201:$L201)+COUNTA($Q201))&gt;0),"",IF($V201="Sub",IFERROR($X201/INDEX($W$5:$W$1000,$U201-4),""),IF(ISNUMBER($G201),1,IF(N($W201)&gt;0,AVERAGEIFS($X$5:$X$1000,$U$5:$U$1000,ROW(),$V$5:$V$1000,"Sub"),$X201))))</f>
        <v/>
      </c>
      <c r="N201" s="56">
        <f>IF(OR($M201="",$V201="Sub"),"",IF($M201&gt;=1,"Completado",IF($M201&gt;0,"En curso","Pendiente")))</f>
        <v/>
      </c>
      <c r="O201" s="56">
        <f>IF(OR(NOT((COUNTA($B201:$D201)+COUNTA($G201:$L201)+COUNTA($Q201))&gt;0),$V201="Sub"),"",IF(ISNUMBER($G201),IF(AND(ISNUMBER($AN201),$G201&gt;$AN201),"Cumplida con "&amp;($G201-$AN201)&amp;IF($G201-$AN201=1," día"," días")&amp;" de retraso","Cumplida"),IF(N($M201)&gt;=1,"Cumplida",IF(NOT(ISNUMBER($AN201)),"Sin fecha límite",IF($AN201&lt;FechaRef,"Vencida hace "&amp;(FechaRef-$AN201)&amp;IF(FechaRef-$AN201=1," día"," días"),IF($AN201=FechaRef,"Vence hoy",IF($AN201-FechaRef&lt;=DiasAlerta,"Vence en "&amp;($AN201-FechaRef)&amp;IF($AN201-FechaRef=1," día"," días"),"En plazo")))))))</f>
        <v/>
      </c>
      <c r="P201" s="62" t="n"/>
      <c r="Q201" s="58" t="n"/>
      <c r="R201" s="63">
        <f>IF(NOT((COUNTA($B201:$D201)+COUNTA($G201:$L201)+COUNTA($Q201))&gt;0),"",IF((IF($C201="","Falta el nombre de la actividad"&amp;" · ","")&amp;IF(AND($V201="Sub",N($U201)=0),"Subactividad sin macroactividad arriba"&amp;" · ","")&amp;IF($AM201="","Sin fecha de inicio"&amp;" · ","")&amp;IF($AN201="","Sin fecha límite"&amp;" · ","")&amp;IF(AND(LEFT($C201,11)="[Jefatura] ",N($AL201)=0),"No se encuentra en la hoja de la jefatura (elíjala de nuevo en la lista)"&amp;" · ","")&amp;IF(OR(AND($E201&lt;&gt;"",NOT(ISNUMBER($E201))),AND($F201&lt;&gt;"",NOT(ISNUMBER($F201))),AND($G201&lt;&gt;"",NOT(ISNUMBER($G201)))),"Fecha no válida"&amp;" · ","")&amp;IF(AND(ISNUMBER($AM201),ISNUMBER($AN201),$AM201&gt;$AN201),"Inicio posterior a fecha límite"&amp;" · ","")&amp;IF(AND($V201="Macro",$H201&lt;&gt;"",OR(NOT(ISNUMBER($H201)),$H201&lt;0,$H201&gt;1)),"Peso fuera de rango"&amp;" · ","")&amp;IF(AND($V201="Sub",$H201&lt;&gt;""),"Las subactividades no llevan peso (valen igual dentro de su macroactividad)"&amp;" · ","")&amp;IF(AND(N($W201)&gt;0,COUNT($I201:$L201)&gt;0),"Con subactividades: deje vacías las semanas (se calculan solas)"&amp;" · ","")&amp;IF((COUNTIF($I201:$L201,"&gt;1")+COUNTIF($I201:$L201,"&lt;0")+COUNTA($I201:$L201)-COUNT($I201:$L201))&gt;0,"Avance fuera de rango 0-100%"&amp;" · ","")&amp;IF(OR(AND($J201&lt;&gt;"",$J201&lt;$I201),AND($K201&lt;&gt;"",$K201&lt;MAX($I201:$J201)),AND($L201&lt;&gt;"",$L201&lt;MAX($I201:$K201))),"Avance semanal decreciente"&amp;" · ","")&amp;IF(AND(ISNUMBER($AN201),$AN201&lt;FechaRef,IF($V201="Sub",N($X201),N($M201))&lt;1),"Vencida"&amp;" · ","")&amp;IF(AND(ObsObligatoria="Sí",ISNUMBER($AN201),$AN201&lt;FechaRef,IF($V201="Sub",N($X201),N($M201))&lt;1,$Q201=""),"Vencida sin observación"&amp;" · ",""))="","✔ OK","⚠ "&amp;LEFT(IF($C201="","Falta el nombre de la actividad"&amp;" · ","")&amp;IF(AND($V201="Sub",N($U201)=0),"Subactividad sin macroactividad arriba"&amp;" · ","")&amp;IF($AM201="","Sin fecha de inicio"&amp;" · ","")&amp;IF($AN201="","Sin fecha límite"&amp;" · ","")&amp;IF(AND(LEFT($C201,11)="[Jefatura] ",N($AL201)=0),"No se encuentra en la hoja de la jefatura (elíjala de nuevo en la lista)"&amp;" · ","")&amp;IF(OR(AND($E201&lt;&gt;"",NOT(ISNUMBER($E201))),AND($F201&lt;&gt;"",NOT(ISNUMBER($F201))),AND($G201&lt;&gt;"",NOT(ISNUMBER($G201)))),"Fecha no válida"&amp;" · ","")&amp;IF(AND(ISNUMBER($AM201),ISNUMBER($AN201),$AM201&gt;$AN201),"Inicio posterior a fecha límite"&amp;" · ","")&amp;IF(AND($V201="Macro",$H201&lt;&gt;"",OR(NOT(ISNUMBER($H201)),$H201&lt;0,$H201&gt;1)),"Peso fuera de rango"&amp;" · ","")&amp;IF(AND($V201="Sub",$H201&lt;&gt;""),"Las subactividades no llevan peso (valen igual dentro de su macroactividad)"&amp;" · ","")&amp;IF(AND(N($W201)&gt;0,COUNT($I201:$L201)&gt;0),"Con subactividades: deje vacías las semanas (se calculan solas)"&amp;" · ","")&amp;IF((COUNTIF($I201:$L201,"&gt;1")+COUNTIF($I201:$L201,"&lt;0")+COUNTA($I201:$L201)-COUNT($I201:$L201))&gt;0,"Avance fuera de rango 0-100%"&amp;" · ","")&amp;IF(OR(AND($J201&lt;&gt;"",$J201&lt;$I201),AND($K201&lt;&gt;"",$K201&lt;MAX($I201:$J201)),AND($L201&lt;&gt;"",$L201&lt;MAX($I201:$K201))),"Avance semanal decreciente"&amp;" · ","")&amp;IF(AND(ISNUMBER($AN201),$AN201&lt;FechaRef,IF($V201="Sub",N($X201),N($M201))&lt;1),"Vencida"&amp;" · ","")&amp;IF(AND(ObsObligatoria="Sí",ISNUMBER($AN201),$AN201&lt;FechaRef,IF($V201="Sub",N($X201),N($M201))&lt;1,$Q201=""),"Vencida sin observación"&amp;" · ",""),LEN(IF($C201="","Falta el nombre de la actividad"&amp;" · ","")&amp;IF(AND($V201="Sub",N($U201)=0),"Subactividad sin macroactividad arriba"&amp;" · ","")&amp;IF($AM201="","Sin fecha de inicio"&amp;" · ","")&amp;IF($AN201="","Sin fecha límite"&amp;" · ","")&amp;IF(AND(LEFT($C201,11)="[Jefatura] ",N($AL201)=0),"No se encuentra en la hoja de la jefatura (elíjala de nuevo en la lista)"&amp;" · ","")&amp;IF(OR(AND($E201&lt;&gt;"",NOT(ISNUMBER($E201))),AND($F201&lt;&gt;"",NOT(ISNUMBER($F201))),AND($G201&lt;&gt;"",NOT(ISNUMBER($G201)))),"Fecha no válida"&amp;" · ","")&amp;IF(AND(ISNUMBER($AM201),ISNUMBER($AN201),$AM201&gt;$AN201),"Inicio posterior a fecha límite"&amp;" · ","")&amp;IF(AND($V201="Macro",$H201&lt;&gt;"",OR(NOT(ISNUMBER($H201)),$H201&lt;0,$H201&gt;1)),"Peso fuera de rango"&amp;" · ","")&amp;IF(AND($V201="Sub",$H201&lt;&gt;""),"Las subactividades no llevan peso (valen igual dentro de su macroactividad)"&amp;" · ","")&amp;IF(AND(N($W201)&gt;0,COUNT($I201:$L201)&gt;0),"Con subactividades: deje vacías las semanas (se calculan solas)"&amp;" · ","")&amp;IF((COUNTIF($I201:$L201,"&gt;1")+COUNTIF($I201:$L201,"&lt;0")+COUNTA($I201:$L201)-COUNT($I201:$L201))&gt;0,"Avance fuera de rango 0-100%"&amp;" · ","")&amp;IF(OR(AND($J201&lt;&gt;"",$J201&lt;$I201),AND($K201&lt;&gt;"",$K201&lt;MAX($I201:$J201)),AND($L201&lt;&gt;"",$L201&lt;MAX($I201:$K201))),"Avance semanal decreciente"&amp;" · ","")&amp;IF(AND(ISNUMBER($AN201),$AN201&lt;FechaRef,IF($V201="Sub",N($X201),N($M201))&lt;1),"Vencida"&amp;" · ","")&amp;IF(AND(ObsObligatoria="Sí",ISNUMBER($AN201),$AN201&lt;FechaRef,IF($V201="Sub",N($X201),N($M201))&lt;1,$Q201=""),"Vencida sin observación"&amp;" · ",""))-3)))</f>
        <v/>
      </c>
      <c r="S201" s="64">
        <f>IF(NOT((COUNTA($B201:$D201)+COUNTA($G201:$L201)+COUNTA($Q201))&gt;0),"",IF(AND($V201="Sub",N($U201)&gt;0),IF(ISNUMBER(INDEX($AM$5:$AM$1000,$U201-4)),DATE(YEAR(INDEX($AM$5:$AM$1000,$U201-4)),MONTH(INDEX($AM$5:$AM$1000,$U201-4)),1),IF(ISNUMBER(INDEX($AN$5:$AN$1000,$U201-4)),DATE(YEAR(INDEX($AN$5:$AN$1000,$U201-4)),MONTH(INDEX($AN$5:$AN$1000,$U201-4)),1),MesCiclo)),IF(ISNUMBER($AM201),DATE(YEAR($AM201),MONTH($AM201),1),IF(ISNUMBER($AN201),DATE(YEAR($AN201),MONTH($AN201),1),MesCiclo))))</f>
        <v/>
      </c>
      <c r="T201" s="62">
        <f>IF(OR($S201="",$S201&lt;&gt;MesCiclo,$V201&lt;&gt;"Macro"),"",COUNTIFS($S$5:$S201,MesCiclo,$V$5:$V201,"Macro"))</f>
        <v/>
      </c>
      <c r="U201" s="62">
        <f>IF($V201="","",IF($V201="Macro",ROW(),IFERROR(LOOKUP(2,1/($V$5:$V201="Macro"),ROW($V$5:$V201)),0)))</f>
        <v/>
      </c>
      <c r="V201" s="62">
        <f>IF(NOT((COUNTA($B201:$D201)+COUNTA($G201:$L201)+COUNTA($Q201))&gt;0),"",IF($B201="Subactividad","Sub","Macro"))</f>
        <v/>
      </c>
      <c r="W201" s="62">
        <f>IF($V201="Macro",COUNTIFS($U$5:$U$1000,ROW(),$V$5:$V$1000,"Sub"),"")</f>
        <v/>
      </c>
      <c r="X201" s="62">
        <f>IF($V201="","",IF(ISNUMBER($G201),1,IFERROR(LOOKUP(2,1/($I201:$L201&lt;&gt;""),$I201:$L201),0)))</f>
        <v/>
      </c>
      <c r="Y201" s="62">
        <f>IF($V201="","",IF(AND(ISNUMBER($G201),$G201&lt;=IF($S201=MesCiclo,InicioCiclo,$S201+MOD(2-WEEKDAY($S201),7))+6),1,IF(ISNUMBER($I201),$I201,0)))</f>
        <v/>
      </c>
      <c r="Z201" s="62">
        <f>IF($V201="","",IF(AND(ISNUMBER($G201),$G201&lt;=IF($S201=MesCiclo,InicioCiclo,$S201+MOD(2-WEEKDAY($S201),7))+13),1,IF(ISNUMBER($J201),$J201,$Y201)))</f>
        <v/>
      </c>
      <c r="AA201" s="62">
        <f>IF($V201="","",IF(AND(ISNUMBER($G201),$G201&lt;=IF($S201=MesCiclo,InicioCiclo,$S201+MOD(2-WEEKDAY($S201),7))+20),1,IF(ISNUMBER($K201),$K201,$Z201)))</f>
        <v/>
      </c>
      <c r="AB201" s="62">
        <f>IF($V201="","",IF(AND(ISNUMBER($G201),$G201&lt;=IF($S201=MesCiclo,InicioCiclo,$S201+MOD(2-WEEKDAY($S201),7))+27),1,IF(ISNUMBER($L201),$L201,$AA201)))</f>
        <v/>
      </c>
      <c r="AC201" s="62">
        <f>IF($V201="","",IF(AND(ISNUMBER($G201),$G201&lt;=IF($S201=MesCiclo,InicioCiclo,$S201+MOD(2-WEEKDAY($S201),7))+6),1,IF(N($W201)&gt;0,AVERAGEIFS($Y$5:$Y$1000,$U$5:$U$1000,ROW(),$V$5:$V$1000,"Sub"),$Y201)))</f>
        <v/>
      </c>
      <c r="AD201" s="62">
        <f>IF($V201="","",IF(AND(ISNUMBER($G201),$G201&lt;=IF($S201=MesCiclo,InicioCiclo,$S201+MOD(2-WEEKDAY($S201),7))+13),1,IF(N($W201)&gt;0,AVERAGEIFS($Z$5:$Z$1000,$U$5:$U$1000,ROW(),$V$5:$V$1000,"Sub"),$Z201)))</f>
        <v/>
      </c>
      <c r="AE201" s="62">
        <f>IF($V201="","",IF(AND(ISNUMBER($G201),$G201&lt;=IF($S201=MesCiclo,InicioCiclo,$S201+MOD(2-WEEKDAY($S201),7))+20),1,IF(N($W201)&gt;0,AVERAGEIFS($AA$5:$AA$1000,$U$5:$U$1000,ROW(),$V$5:$V$1000,"Sub"),$AA201)))</f>
        <v/>
      </c>
      <c r="AF201" s="62">
        <f>IF($V201="","",IF(AND(ISNUMBER($G201),$G201&lt;=IF($S201=MesCiclo,InicioCiclo,$S201+MOD(2-WEEKDAY($S201),7))+27),1,IF(N($W201)&gt;0,AVERAGEIFS($AB$5:$AB$1000,$U$5:$U$1000,ROW(),$V$5:$V$1000,"Sub"),$AB201)))</f>
        <v/>
      </c>
      <c r="AG201" s="62">
        <f>IF($V201&lt;&gt;"Macro","",IF(COUNTIFS($S$5:$S$1000,$S201,$V$5:$V$1000,"Macro",$H$5:$H$1000,"&gt;0")=0,1/COUNTIFS($S$5:$S$1000,$S201,$V$5:$V$1000,"Macro"),IF(AND(ISNUMBER($H201),N($H201)&gt;0),$H201,SUMIFS($H$5:$H$1000,$S$5:$S$1000,$S201,$V$5:$V$1000,"Macro")/COUNTIFS($S$5:$S$1000,$S201,$V$5:$V$1000,"Macro",$H$5:$H$1000,"&gt;0"))/(COUNTIFS($S$5:$S$1000,$S201,$V$5:$V$1000,"Macro")*SUMIFS($H$5:$H$1000,$S$5:$S$1000,$S201,$V$5:$V$1000,"Macro")/COUNTIFS($S$5:$S$1000,$S201,$V$5:$V$1000,"Macro",$H$5:$H$1000,"&gt;0"))))</f>
        <v/>
      </c>
      <c r="AH201" s="62" t="n"/>
      <c r="AI201" s="62" t="n"/>
      <c r="AJ201" s="62" t="n"/>
      <c r="AK201" s="62" t="n"/>
      <c r="AL201" s="62">
        <f>IF(LEFT($C201,11)="[Jefatura] ",IFERROR(MATCH("Riesgo Normativo|"&amp;MID($C201,12,500),rDname_ADM,0),0),"")</f>
        <v/>
      </c>
      <c r="AM201" s="62">
        <f>IF(N($AL201)&gt;0,INDEX(rIni_ADM,$AL201),IF(ISNUMBER($E201),$E201,""))</f>
        <v/>
      </c>
      <c r="AN201" s="62">
        <f>IF(N($AL201)&gt;0,INDEX(rLim_ADM,$AL201),IF(ISNUMBER($F201),$F201,""))</f>
        <v/>
      </c>
    </row>
    <row r="202">
      <c r="A202" s="56">
        <f>IF(NOT((COUNTA($B202:$D202)+COUNTA($G202:$L202)+COUNTA($Q202))&gt;0),"",IF($V202="Macro",COUNTIFS($V$5:$V202,"Macro",$S$5:$S202,$S202),IF(N($U202)=0,"?",COUNTIFS(INDEX($V$5:$V$1000,1):INDEX($V$5:$V$1000,$U202-4),"Macro",INDEX($S$5:$S$1000,1):INDEX($S$5:$S$1000,$U202-4),INDEX($S$5:$S$1000,$U202-4))&amp;"."&amp;COUNTIFS($U$5:$U202,$U202,$V$5:$V202,"Sub"))))</f>
        <v/>
      </c>
      <c r="B202" s="57" t="n"/>
      <c r="C202" s="58" t="n"/>
      <c r="D202" s="58" t="n"/>
      <c r="E202" s="59">
        <f>IF(N($AL202)&gt;0,INDEX(rIni_ADM,$AL202),"")</f>
        <v/>
      </c>
      <c r="F202" s="59">
        <f>IF(N($AL202)&gt;0,INDEX(rLim_ADM,$AL202),"")</f>
        <v/>
      </c>
      <c r="G202" s="59" t="n"/>
      <c r="H202" s="60" t="n"/>
      <c r="I202" s="60" t="n"/>
      <c r="J202" s="60" t="n"/>
      <c r="K202" s="60" t="n"/>
      <c r="L202" s="60" t="n"/>
      <c r="M202" s="61">
        <f>IF(NOT((COUNTA($B202:$D202)+COUNTA($G202:$L202)+COUNTA($Q202))&gt;0),"",IF($V202="Sub",IFERROR($X202/INDEX($W$5:$W$1000,$U202-4),""),IF(ISNUMBER($G202),1,IF(N($W202)&gt;0,AVERAGEIFS($X$5:$X$1000,$U$5:$U$1000,ROW(),$V$5:$V$1000,"Sub"),$X202))))</f>
        <v/>
      </c>
      <c r="N202" s="56">
        <f>IF(OR($M202="",$V202="Sub"),"",IF($M202&gt;=1,"Completado",IF($M202&gt;0,"En curso","Pendiente")))</f>
        <v/>
      </c>
      <c r="O202" s="56">
        <f>IF(OR(NOT((COUNTA($B202:$D202)+COUNTA($G202:$L202)+COUNTA($Q202))&gt;0),$V202="Sub"),"",IF(ISNUMBER($G202),IF(AND(ISNUMBER($AN202),$G202&gt;$AN202),"Cumplida con "&amp;($G202-$AN202)&amp;IF($G202-$AN202=1," día"," días")&amp;" de retraso","Cumplida"),IF(N($M202)&gt;=1,"Cumplida",IF(NOT(ISNUMBER($AN202)),"Sin fecha límite",IF($AN202&lt;FechaRef,"Vencida hace "&amp;(FechaRef-$AN202)&amp;IF(FechaRef-$AN202=1," día"," días"),IF($AN202=FechaRef,"Vence hoy",IF($AN202-FechaRef&lt;=DiasAlerta,"Vence en "&amp;($AN202-FechaRef)&amp;IF($AN202-FechaRef=1," día"," días"),"En plazo")))))))</f>
        <v/>
      </c>
      <c r="P202" s="62" t="n"/>
      <c r="Q202" s="58" t="n"/>
      <c r="R202" s="63">
        <f>IF(NOT((COUNTA($B202:$D202)+COUNTA($G202:$L202)+COUNTA($Q202))&gt;0),"",IF((IF($C202="","Falta el nombre de la actividad"&amp;" · ","")&amp;IF(AND($V202="Sub",N($U202)=0),"Subactividad sin macroactividad arriba"&amp;" · ","")&amp;IF($AM202="","Sin fecha de inicio"&amp;" · ","")&amp;IF($AN202="","Sin fecha límite"&amp;" · ","")&amp;IF(AND(LEFT($C202,11)="[Jefatura] ",N($AL202)=0),"No se encuentra en la hoja de la jefatura (elíjala de nuevo en la lista)"&amp;" · ","")&amp;IF(OR(AND($E202&lt;&gt;"",NOT(ISNUMBER($E202))),AND($F202&lt;&gt;"",NOT(ISNUMBER($F202))),AND($G202&lt;&gt;"",NOT(ISNUMBER($G202)))),"Fecha no válida"&amp;" · ","")&amp;IF(AND(ISNUMBER($AM202),ISNUMBER($AN202),$AM202&gt;$AN202),"Inicio posterior a fecha límite"&amp;" · ","")&amp;IF(AND($V202="Macro",$H202&lt;&gt;"",OR(NOT(ISNUMBER($H202)),$H202&lt;0,$H202&gt;1)),"Peso fuera de rango"&amp;" · ","")&amp;IF(AND($V202="Sub",$H202&lt;&gt;""),"Las subactividades no llevan peso (valen igual dentro de su macroactividad)"&amp;" · ","")&amp;IF(AND(N($W202)&gt;0,COUNT($I202:$L202)&gt;0),"Con subactividades: deje vacías las semanas (se calculan solas)"&amp;" · ","")&amp;IF((COUNTIF($I202:$L202,"&gt;1")+COUNTIF($I202:$L202,"&lt;0")+COUNTA($I202:$L202)-COUNT($I202:$L202))&gt;0,"Avance fuera de rango 0-100%"&amp;" · ","")&amp;IF(OR(AND($J202&lt;&gt;"",$J202&lt;$I202),AND($K202&lt;&gt;"",$K202&lt;MAX($I202:$J202)),AND($L202&lt;&gt;"",$L202&lt;MAX($I202:$K202))),"Avance semanal decreciente"&amp;" · ","")&amp;IF(AND(ISNUMBER($AN202),$AN202&lt;FechaRef,IF($V202="Sub",N($X202),N($M202))&lt;1),"Vencida"&amp;" · ","")&amp;IF(AND(ObsObligatoria="Sí",ISNUMBER($AN202),$AN202&lt;FechaRef,IF($V202="Sub",N($X202),N($M202))&lt;1,$Q202=""),"Vencida sin observación"&amp;" · ",""))="","✔ OK","⚠ "&amp;LEFT(IF($C202="","Falta el nombre de la actividad"&amp;" · ","")&amp;IF(AND($V202="Sub",N($U202)=0),"Subactividad sin macroactividad arriba"&amp;" · ","")&amp;IF($AM202="","Sin fecha de inicio"&amp;" · ","")&amp;IF($AN202="","Sin fecha límite"&amp;" · ","")&amp;IF(AND(LEFT($C202,11)="[Jefatura] ",N($AL202)=0),"No se encuentra en la hoja de la jefatura (elíjala de nuevo en la lista)"&amp;" · ","")&amp;IF(OR(AND($E202&lt;&gt;"",NOT(ISNUMBER($E202))),AND($F202&lt;&gt;"",NOT(ISNUMBER($F202))),AND($G202&lt;&gt;"",NOT(ISNUMBER($G202)))),"Fecha no válida"&amp;" · ","")&amp;IF(AND(ISNUMBER($AM202),ISNUMBER($AN202),$AM202&gt;$AN202),"Inicio posterior a fecha límite"&amp;" · ","")&amp;IF(AND($V202="Macro",$H202&lt;&gt;"",OR(NOT(ISNUMBER($H202)),$H202&lt;0,$H202&gt;1)),"Peso fuera de rango"&amp;" · ","")&amp;IF(AND($V202="Sub",$H202&lt;&gt;""),"Las subactividades no llevan peso (valen igual dentro de su macroactividad)"&amp;" · ","")&amp;IF(AND(N($W202)&gt;0,COUNT($I202:$L202)&gt;0),"Con subactividades: deje vacías las semanas (se calculan solas)"&amp;" · ","")&amp;IF((COUNTIF($I202:$L202,"&gt;1")+COUNTIF($I202:$L202,"&lt;0")+COUNTA($I202:$L202)-COUNT($I202:$L202))&gt;0,"Avance fuera de rango 0-100%"&amp;" · ","")&amp;IF(OR(AND($J202&lt;&gt;"",$J202&lt;$I202),AND($K202&lt;&gt;"",$K202&lt;MAX($I202:$J202)),AND($L202&lt;&gt;"",$L202&lt;MAX($I202:$K202))),"Avance semanal decreciente"&amp;" · ","")&amp;IF(AND(ISNUMBER($AN202),$AN202&lt;FechaRef,IF($V202="Sub",N($X202),N($M202))&lt;1),"Vencida"&amp;" · ","")&amp;IF(AND(ObsObligatoria="Sí",ISNUMBER($AN202),$AN202&lt;FechaRef,IF($V202="Sub",N($X202),N($M202))&lt;1,$Q202=""),"Vencida sin observación"&amp;" · ",""),LEN(IF($C202="","Falta el nombre de la actividad"&amp;" · ","")&amp;IF(AND($V202="Sub",N($U202)=0),"Subactividad sin macroactividad arriba"&amp;" · ","")&amp;IF($AM202="","Sin fecha de inicio"&amp;" · ","")&amp;IF($AN202="","Sin fecha límite"&amp;" · ","")&amp;IF(AND(LEFT($C202,11)="[Jefatura] ",N($AL202)=0),"No se encuentra en la hoja de la jefatura (elíjala de nuevo en la lista)"&amp;" · ","")&amp;IF(OR(AND($E202&lt;&gt;"",NOT(ISNUMBER($E202))),AND($F202&lt;&gt;"",NOT(ISNUMBER($F202))),AND($G202&lt;&gt;"",NOT(ISNUMBER($G202)))),"Fecha no válida"&amp;" · ","")&amp;IF(AND(ISNUMBER($AM202),ISNUMBER($AN202),$AM202&gt;$AN202),"Inicio posterior a fecha límite"&amp;" · ","")&amp;IF(AND($V202="Macro",$H202&lt;&gt;"",OR(NOT(ISNUMBER($H202)),$H202&lt;0,$H202&gt;1)),"Peso fuera de rango"&amp;" · ","")&amp;IF(AND($V202="Sub",$H202&lt;&gt;""),"Las subactividades no llevan peso (valen igual dentro de su macroactividad)"&amp;" · ","")&amp;IF(AND(N($W202)&gt;0,COUNT($I202:$L202)&gt;0),"Con subactividades: deje vacías las semanas (se calculan solas)"&amp;" · ","")&amp;IF((COUNTIF($I202:$L202,"&gt;1")+COUNTIF($I202:$L202,"&lt;0")+COUNTA($I202:$L202)-COUNT($I202:$L202))&gt;0,"Avance fuera de rango 0-100%"&amp;" · ","")&amp;IF(OR(AND($J202&lt;&gt;"",$J202&lt;$I202),AND($K202&lt;&gt;"",$K202&lt;MAX($I202:$J202)),AND($L202&lt;&gt;"",$L202&lt;MAX($I202:$K202))),"Avance semanal decreciente"&amp;" · ","")&amp;IF(AND(ISNUMBER($AN202),$AN202&lt;FechaRef,IF($V202="Sub",N($X202),N($M202))&lt;1),"Vencida"&amp;" · ","")&amp;IF(AND(ObsObligatoria="Sí",ISNUMBER($AN202),$AN202&lt;FechaRef,IF($V202="Sub",N($X202),N($M202))&lt;1,$Q202=""),"Vencida sin observación"&amp;" · ",""))-3)))</f>
        <v/>
      </c>
      <c r="S202" s="64">
        <f>IF(NOT((COUNTA($B202:$D202)+COUNTA($G202:$L202)+COUNTA($Q202))&gt;0),"",IF(AND($V202="Sub",N($U202)&gt;0),IF(ISNUMBER(INDEX($AM$5:$AM$1000,$U202-4)),DATE(YEAR(INDEX($AM$5:$AM$1000,$U202-4)),MONTH(INDEX($AM$5:$AM$1000,$U202-4)),1),IF(ISNUMBER(INDEX($AN$5:$AN$1000,$U202-4)),DATE(YEAR(INDEX($AN$5:$AN$1000,$U202-4)),MONTH(INDEX($AN$5:$AN$1000,$U202-4)),1),MesCiclo)),IF(ISNUMBER($AM202),DATE(YEAR($AM202),MONTH($AM202),1),IF(ISNUMBER($AN202),DATE(YEAR($AN202),MONTH($AN202),1),MesCiclo))))</f>
        <v/>
      </c>
      <c r="T202" s="62">
        <f>IF(OR($S202="",$S202&lt;&gt;MesCiclo,$V202&lt;&gt;"Macro"),"",COUNTIFS($S$5:$S202,MesCiclo,$V$5:$V202,"Macro"))</f>
        <v/>
      </c>
      <c r="U202" s="62">
        <f>IF($V202="","",IF($V202="Macro",ROW(),IFERROR(LOOKUP(2,1/($V$5:$V202="Macro"),ROW($V$5:$V202)),0)))</f>
        <v/>
      </c>
      <c r="V202" s="62">
        <f>IF(NOT((COUNTA($B202:$D202)+COUNTA($G202:$L202)+COUNTA($Q202))&gt;0),"",IF($B202="Subactividad","Sub","Macro"))</f>
        <v/>
      </c>
      <c r="W202" s="62">
        <f>IF($V202="Macro",COUNTIFS($U$5:$U$1000,ROW(),$V$5:$V$1000,"Sub"),"")</f>
        <v/>
      </c>
      <c r="X202" s="62">
        <f>IF($V202="","",IF(ISNUMBER($G202),1,IFERROR(LOOKUP(2,1/($I202:$L202&lt;&gt;""),$I202:$L202),0)))</f>
        <v/>
      </c>
      <c r="Y202" s="62">
        <f>IF($V202="","",IF(AND(ISNUMBER($G202),$G202&lt;=IF($S202=MesCiclo,InicioCiclo,$S202+MOD(2-WEEKDAY($S202),7))+6),1,IF(ISNUMBER($I202),$I202,0)))</f>
        <v/>
      </c>
      <c r="Z202" s="62">
        <f>IF($V202="","",IF(AND(ISNUMBER($G202),$G202&lt;=IF($S202=MesCiclo,InicioCiclo,$S202+MOD(2-WEEKDAY($S202),7))+13),1,IF(ISNUMBER($J202),$J202,$Y202)))</f>
        <v/>
      </c>
      <c r="AA202" s="62">
        <f>IF($V202="","",IF(AND(ISNUMBER($G202),$G202&lt;=IF($S202=MesCiclo,InicioCiclo,$S202+MOD(2-WEEKDAY($S202),7))+20),1,IF(ISNUMBER($K202),$K202,$Z202)))</f>
        <v/>
      </c>
      <c r="AB202" s="62">
        <f>IF($V202="","",IF(AND(ISNUMBER($G202),$G202&lt;=IF($S202=MesCiclo,InicioCiclo,$S202+MOD(2-WEEKDAY($S202),7))+27),1,IF(ISNUMBER($L202),$L202,$AA202)))</f>
        <v/>
      </c>
      <c r="AC202" s="62">
        <f>IF($V202="","",IF(AND(ISNUMBER($G202),$G202&lt;=IF($S202=MesCiclo,InicioCiclo,$S202+MOD(2-WEEKDAY($S202),7))+6),1,IF(N($W202)&gt;0,AVERAGEIFS($Y$5:$Y$1000,$U$5:$U$1000,ROW(),$V$5:$V$1000,"Sub"),$Y202)))</f>
        <v/>
      </c>
      <c r="AD202" s="62">
        <f>IF($V202="","",IF(AND(ISNUMBER($G202),$G202&lt;=IF($S202=MesCiclo,InicioCiclo,$S202+MOD(2-WEEKDAY($S202),7))+13),1,IF(N($W202)&gt;0,AVERAGEIFS($Z$5:$Z$1000,$U$5:$U$1000,ROW(),$V$5:$V$1000,"Sub"),$Z202)))</f>
        <v/>
      </c>
      <c r="AE202" s="62">
        <f>IF($V202="","",IF(AND(ISNUMBER($G202),$G202&lt;=IF($S202=MesCiclo,InicioCiclo,$S202+MOD(2-WEEKDAY($S202),7))+20),1,IF(N($W202)&gt;0,AVERAGEIFS($AA$5:$AA$1000,$U$5:$U$1000,ROW(),$V$5:$V$1000,"Sub"),$AA202)))</f>
        <v/>
      </c>
      <c r="AF202" s="62">
        <f>IF($V202="","",IF(AND(ISNUMBER($G202),$G202&lt;=IF($S202=MesCiclo,InicioCiclo,$S202+MOD(2-WEEKDAY($S202),7))+27),1,IF(N($W202)&gt;0,AVERAGEIFS($AB$5:$AB$1000,$U$5:$U$1000,ROW(),$V$5:$V$1000,"Sub"),$AB202)))</f>
        <v/>
      </c>
      <c r="AG202" s="62">
        <f>IF($V202&lt;&gt;"Macro","",IF(COUNTIFS($S$5:$S$1000,$S202,$V$5:$V$1000,"Macro",$H$5:$H$1000,"&gt;0")=0,1/COUNTIFS($S$5:$S$1000,$S202,$V$5:$V$1000,"Macro"),IF(AND(ISNUMBER($H202),N($H202)&gt;0),$H202,SUMIFS($H$5:$H$1000,$S$5:$S$1000,$S202,$V$5:$V$1000,"Macro")/COUNTIFS($S$5:$S$1000,$S202,$V$5:$V$1000,"Macro",$H$5:$H$1000,"&gt;0"))/(COUNTIFS($S$5:$S$1000,$S202,$V$5:$V$1000,"Macro")*SUMIFS($H$5:$H$1000,$S$5:$S$1000,$S202,$V$5:$V$1000,"Macro")/COUNTIFS($S$5:$S$1000,$S202,$V$5:$V$1000,"Macro",$H$5:$H$1000,"&gt;0"))))</f>
        <v/>
      </c>
      <c r="AH202" s="62" t="n"/>
      <c r="AI202" s="62" t="n"/>
      <c r="AJ202" s="62" t="n"/>
      <c r="AK202" s="62" t="n"/>
      <c r="AL202" s="62">
        <f>IF(LEFT($C202,11)="[Jefatura] ",IFERROR(MATCH("Riesgo Normativo|"&amp;MID($C202,12,500),rDname_ADM,0),0),"")</f>
        <v/>
      </c>
      <c r="AM202" s="62">
        <f>IF(N($AL202)&gt;0,INDEX(rIni_ADM,$AL202),IF(ISNUMBER($E202),$E202,""))</f>
        <v/>
      </c>
      <c r="AN202" s="62">
        <f>IF(N($AL202)&gt;0,INDEX(rLim_ADM,$AL202),IF(ISNUMBER($F202),$F202,""))</f>
        <v/>
      </c>
    </row>
    <row r="203">
      <c r="A203" s="56">
        <f>IF(NOT((COUNTA($B203:$D203)+COUNTA($G203:$L203)+COUNTA($Q203))&gt;0),"",IF($V203="Macro",COUNTIFS($V$5:$V203,"Macro",$S$5:$S203,$S203),IF(N($U203)=0,"?",COUNTIFS(INDEX($V$5:$V$1000,1):INDEX($V$5:$V$1000,$U203-4),"Macro",INDEX($S$5:$S$1000,1):INDEX($S$5:$S$1000,$U203-4),INDEX($S$5:$S$1000,$U203-4))&amp;"."&amp;COUNTIFS($U$5:$U203,$U203,$V$5:$V203,"Sub"))))</f>
        <v/>
      </c>
      <c r="B203" s="57" t="n"/>
      <c r="C203" s="58" t="n"/>
      <c r="D203" s="58" t="n"/>
      <c r="E203" s="59">
        <f>IF(N($AL203)&gt;0,INDEX(rIni_ADM,$AL203),"")</f>
        <v/>
      </c>
      <c r="F203" s="59">
        <f>IF(N($AL203)&gt;0,INDEX(rLim_ADM,$AL203),"")</f>
        <v/>
      </c>
      <c r="G203" s="59" t="n"/>
      <c r="H203" s="60" t="n"/>
      <c r="I203" s="60" t="n"/>
      <c r="J203" s="60" t="n"/>
      <c r="K203" s="60" t="n"/>
      <c r="L203" s="60" t="n"/>
      <c r="M203" s="61">
        <f>IF(NOT((COUNTA($B203:$D203)+COUNTA($G203:$L203)+COUNTA($Q203))&gt;0),"",IF($V203="Sub",IFERROR($X203/INDEX($W$5:$W$1000,$U203-4),""),IF(ISNUMBER($G203),1,IF(N($W203)&gt;0,AVERAGEIFS($X$5:$X$1000,$U$5:$U$1000,ROW(),$V$5:$V$1000,"Sub"),$X203))))</f>
        <v/>
      </c>
      <c r="N203" s="56">
        <f>IF(OR($M203="",$V203="Sub"),"",IF($M203&gt;=1,"Completado",IF($M203&gt;0,"En curso","Pendiente")))</f>
        <v/>
      </c>
      <c r="O203" s="56">
        <f>IF(OR(NOT((COUNTA($B203:$D203)+COUNTA($G203:$L203)+COUNTA($Q203))&gt;0),$V203="Sub"),"",IF(ISNUMBER($G203),IF(AND(ISNUMBER($AN203),$G203&gt;$AN203),"Cumplida con "&amp;($G203-$AN203)&amp;IF($G203-$AN203=1," día"," días")&amp;" de retraso","Cumplida"),IF(N($M203)&gt;=1,"Cumplida",IF(NOT(ISNUMBER($AN203)),"Sin fecha límite",IF($AN203&lt;FechaRef,"Vencida hace "&amp;(FechaRef-$AN203)&amp;IF(FechaRef-$AN203=1," día"," días"),IF($AN203=FechaRef,"Vence hoy",IF($AN203-FechaRef&lt;=DiasAlerta,"Vence en "&amp;($AN203-FechaRef)&amp;IF($AN203-FechaRef=1," día"," días"),"En plazo")))))))</f>
        <v/>
      </c>
      <c r="P203" s="62" t="n"/>
      <c r="Q203" s="58" t="n"/>
      <c r="R203" s="63">
        <f>IF(NOT((COUNTA($B203:$D203)+COUNTA($G203:$L203)+COUNTA($Q203))&gt;0),"",IF((IF($C203="","Falta el nombre de la actividad"&amp;" · ","")&amp;IF(AND($V203="Sub",N($U203)=0),"Subactividad sin macroactividad arriba"&amp;" · ","")&amp;IF($AM203="","Sin fecha de inicio"&amp;" · ","")&amp;IF($AN203="","Sin fecha límite"&amp;" · ","")&amp;IF(AND(LEFT($C203,11)="[Jefatura] ",N($AL203)=0),"No se encuentra en la hoja de la jefatura (elíjala de nuevo en la lista)"&amp;" · ","")&amp;IF(OR(AND($E203&lt;&gt;"",NOT(ISNUMBER($E203))),AND($F203&lt;&gt;"",NOT(ISNUMBER($F203))),AND($G203&lt;&gt;"",NOT(ISNUMBER($G203)))),"Fecha no válida"&amp;" · ","")&amp;IF(AND(ISNUMBER($AM203),ISNUMBER($AN203),$AM203&gt;$AN203),"Inicio posterior a fecha límite"&amp;" · ","")&amp;IF(AND($V203="Macro",$H203&lt;&gt;"",OR(NOT(ISNUMBER($H203)),$H203&lt;0,$H203&gt;1)),"Peso fuera de rango"&amp;" · ","")&amp;IF(AND($V203="Sub",$H203&lt;&gt;""),"Las subactividades no llevan peso (valen igual dentro de su macroactividad)"&amp;" · ","")&amp;IF(AND(N($W203)&gt;0,COUNT($I203:$L203)&gt;0),"Con subactividades: deje vacías las semanas (se calculan solas)"&amp;" · ","")&amp;IF((COUNTIF($I203:$L203,"&gt;1")+COUNTIF($I203:$L203,"&lt;0")+COUNTA($I203:$L203)-COUNT($I203:$L203))&gt;0,"Avance fuera de rango 0-100%"&amp;" · ","")&amp;IF(OR(AND($J203&lt;&gt;"",$J203&lt;$I203),AND($K203&lt;&gt;"",$K203&lt;MAX($I203:$J203)),AND($L203&lt;&gt;"",$L203&lt;MAX($I203:$K203))),"Avance semanal decreciente"&amp;" · ","")&amp;IF(AND(ISNUMBER($AN203),$AN203&lt;FechaRef,IF($V203="Sub",N($X203),N($M203))&lt;1),"Vencida"&amp;" · ","")&amp;IF(AND(ObsObligatoria="Sí",ISNUMBER($AN203),$AN203&lt;FechaRef,IF($V203="Sub",N($X203),N($M203))&lt;1,$Q203=""),"Vencida sin observación"&amp;" · ",""))="","✔ OK","⚠ "&amp;LEFT(IF($C203="","Falta el nombre de la actividad"&amp;" · ","")&amp;IF(AND($V203="Sub",N($U203)=0),"Subactividad sin macroactividad arriba"&amp;" · ","")&amp;IF($AM203="","Sin fecha de inicio"&amp;" · ","")&amp;IF($AN203="","Sin fecha límite"&amp;" · ","")&amp;IF(AND(LEFT($C203,11)="[Jefatura] ",N($AL203)=0),"No se encuentra en la hoja de la jefatura (elíjala de nuevo en la lista)"&amp;" · ","")&amp;IF(OR(AND($E203&lt;&gt;"",NOT(ISNUMBER($E203))),AND($F203&lt;&gt;"",NOT(ISNUMBER($F203))),AND($G203&lt;&gt;"",NOT(ISNUMBER($G203)))),"Fecha no válida"&amp;" · ","")&amp;IF(AND(ISNUMBER($AM203),ISNUMBER($AN203),$AM203&gt;$AN203),"Inicio posterior a fecha límite"&amp;" · ","")&amp;IF(AND($V203="Macro",$H203&lt;&gt;"",OR(NOT(ISNUMBER($H203)),$H203&lt;0,$H203&gt;1)),"Peso fuera de rango"&amp;" · ","")&amp;IF(AND($V203="Sub",$H203&lt;&gt;""),"Las subactividades no llevan peso (valen igual dentro de su macroactividad)"&amp;" · ","")&amp;IF(AND(N($W203)&gt;0,COUNT($I203:$L203)&gt;0),"Con subactividades: deje vacías las semanas (se calculan solas)"&amp;" · ","")&amp;IF((COUNTIF($I203:$L203,"&gt;1")+COUNTIF($I203:$L203,"&lt;0")+COUNTA($I203:$L203)-COUNT($I203:$L203))&gt;0,"Avance fuera de rango 0-100%"&amp;" · ","")&amp;IF(OR(AND($J203&lt;&gt;"",$J203&lt;$I203),AND($K203&lt;&gt;"",$K203&lt;MAX($I203:$J203)),AND($L203&lt;&gt;"",$L203&lt;MAX($I203:$K203))),"Avance semanal decreciente"&amp;" · ","")&amp;IF(AND(ISNUMBER($AN203),$AN203&lt;FechaRef,IF($V203="Sub",N($X203),N($M203))&lt;1),"Vencida"&amp;" · ","")&amp;IF(AND(ObsObligatoria="Sí",ISNUMBER($AN203),$AN203&lt;FechaRef,IF($V203="Sub",N($X203),N($M203))&lt;1,$Q203=""),"Vencida sin observación"&amp;" · ",""),LEN(IF($C203="","Falta el nombre de la actividad"&amp;" · ","")&amp;IF(AND($V203="Sub",N($U203)=0),"Subactividad sin macroactividad arriba"&amp;" · ","")&amp;IF($AM203="","Sin fecha de inicio"&amp;" · ","")&amp;IF($AN203="","Sin fecha límite"&amp;" · ","")&amp;IF(AND(LEFT($C203,11)="[Jefatura] ",N($AL203)=0),"No se encuentra en la hoja de la jefatura (elíjala de nuevo en la lista)"&amp;" · ","")&amp;IF(OR(AND($E203&lt;&gt;"",NOT(ISNUMBER($E203))),AND($F203&lt;&gt;"",NOT(ISNUMBER($F203))),AND($G203&lt;&gt;"",NOT(ISNUMBER($G203)))),"Fecha no válida"&amp;" · ","")&amp;IF(AND(ISNUMBER($AM203),ISNUMBER($AN203),$AM203&gt;$AN203),"Inicio posterior a fecha límite"&amp;" · ","")&amp;IF(AND($V203="Macro",$H203&lt;&gt;"",OR(NOT(ISNUMBER($H203)),$H203&lt;0,$H203&gt;1)),"Peso fuera de rango"&amp;" · ","")&amp;IF(AND($V203="Sub",$H203&lt;&gt;""),"Las subactividades no llevan peso (valen igual dentro de su macroactividad)"&amp;" · ","")&amp;IF(AND(N($W203)&gt;0,COUNT($I203:$L203)&gt;0),"Con subactividades: deje vacías las semanas (se calculan solas)"&amp;" · ","")&amp;IF((COUNTIF($I203:$L203,"&gt;1")+COUNTIF($I203:$L203,"&lt;0")+COUNTA($I203:$L203)-COUNT($I203:$L203))&gt;0,"Avance fuera de rango 0-100%"&amp;" · ","")&amp;IF(OR(AND($J203&lt;&gt;"",$J203&lt;$I203),AND($K203&lt;&gt;"",$K203&lt;MAX($I203:$J203)),AND($L203&lt;&gt;"",$L203&lt;MAX($I203:$K203))),"Avance semanal decreciente"&amp;" · ","")&amp;IF(AND(ISNUMBER($AN203),$AN203&lt;FechaRef,IF($V203="Sub",N($X203),N($M203))&lt;1),"Vencida"&amp;" · ","")&amp;IF(AND(ObsObligatoria="Sí",ISNUMBER($AN203),$AN203&lt;FechaRef,IF($V203="Sub",N($X203),N($M203))&lt;1,$Q203=""),"Vencida sin observación"&amp;" · ",""))-3)))</f>
        <v/>
      </c>
      <c r="S203" s="64">
        <f>IF(NOT((COUNTA($B203:$D203)+COUNTA($G203:$L203)+COUNTA($Q203))&gt;0),"",IF(AND($V203="Sub",N($U203)&gt;0),IF(ISNUMBER(INDEX($AM$5:$AM$1000,$U203-4)),DATE(YEAR(INDEX($AM$5:$AM$1000,$U203-4)),MONTH(INDEX($AM$5:$AM$1000,$U203-4)),1),IF(ISNUMBER(INDEX($AN$5:$AN$1000,$U203-4)),DATE(YEAR(INDEX($AN$5:$AN$1000,$U203-4)),MONTH(INDEX($AN$5:$AN$1000,$U203-4)),1),MesCiclo)),IF(ISNUMBER($AM203),DATE(YEAR($AM203),MONTH($AM203),1),IF(ISNUMBER($AN203),DATE(YEAR($AN203),MONTH($AN203),1),MesCiclo))))</f>
        <v/>
      </c>
      <c r="T203" s="62">
        <f>IF(OR($S203="",$S203&lt;&gt;MesCiclo,$V203&lt;&gt;"Macro"),"",COUNTIFS($S$5:$S203,MesCiclo,$V$5:$V203,"Macro"))</f>
        <v/>
      </c>
      <c r="U203" s="62">
        <f>IF($V203="","",IF($V203="Macro",ROW(),IFERROR(LOOKUP(2,1/($V$5:$V203="Macro"),ROW($V$5:$V203)),0)))</f>
        <v/>
      </c>
      <c r="V203" s="62">
        <f>IF(NOT((COUNTA($B203:$D203)+COUNTA($G203:$L203)+COUNTA($Q203))&gt;0),"",IF($B203="Subactividad","Sub","Macro"))</f>
        <v/>
      </c>
      <c r="W203" s="62">
        <f>IF($V203="Macro",COUNTIFS($U$5:$U$1000,ROW(),$V$5:$V$1000,"Sub"),"")</f>
        <v/>
      </c>
      <c r="X203" s="62">
        <f>IF($V203="","",IF(ISNUMBER($G203),1,IFERROR(LOOKUP(2,1/($I203:$L203&lt;&gt;""),$I203:$L203),0)))</f>
        <v/>
      </c>
      <c r="Y203" s="62">
        <f>IF($V203="","",IF(AND(ISNUMBER($G203),$G203&lt;=IF($S203=MesCiclo,InicioCiclo,$S203+MOD(2-WEEKDAY($S203),7))+6),1,IF(ISNUMBER($I203),$I203,0)))</f>
        <v/>
      </c>
      <c r="Z203" s="62">
        <f>IF($V203="","",IF(AND(ISNUMBER($G203),$G203&lt;=IF($S203=MesCiclo,InicioCiclo,$S203+MOD(2-WEEKDAY($S203),7))+13),1,IF(ISNUMBER($J203),$J203,$Y203)))</f>
        <v/>
      </c>
      <c r="AA203" s="62">
        <f>IF($V203="","",IF(AND(ISNUMBER($G203),$G203&lt;=IF($S203=MesCiclo,InicioCiclo,$S203+MOD(2-WEEKDAY($S203),7))+20),1,IF(ISNUMBER($K203),$K203,$Z203)))</f>
        <v/>
      </c>
      <c r="AB203" s="62">
        <f>IF($V203="","",IF(AND(ISNUMBER($G203),$G203&lt;=IF($S203=MesCiclo,InicioCiclo,$S203+MOD(2-WEEKDAY($S203),7))+27),1,IF(ISNUMBER($L203),$L203,$AA203)))</f>
        <v/>
      </c>
      <c r="AC203" s="62">
        <f>IF($V203="","",IF(AND(ISNUMBER($G203),$G203&lt;=IF($S203=MesCiclo,InicioCiclo,$S203+MOD(2-WEEKDAY($S203),7))+6),1,IF(N($W203)&gt;0,AVERAGEIFS($Y$5:$Y$1000,$U$5:$U$1000,ROW(),$V$5:$V$1000,"Sub"),$Y203)))</f>
        <v/>
      </c>
      <c r="AD203" s="62">
        <f>IF($V203="","",IF(AND(ISNUMBER($G203),$G203&lt;=IF($S203=MesCiclo,InicioCiclo,$S203+MOD(2-WEEKDAY($S203),7))+13),1,IF(N($W203)&gt;0,AVERAGEIFS($Z$5:$Z$1000,$U$5:$U$1000,ROW(),$V$5:$V$1000,"Sub"),$Z203)))</f>
        <v/>
      </c>
      <c r="AE203" s="62">
        <f>IF($V203="","",IF(AND(ISNUMBER($G203),$G203&lt;=IF($S203=MesCiclo,InicioCiclo,$S203+MOD(2-WEEKDAY($S203),7))+20),1,IF(N($W203)&gt;0,AVERAGEIFS($AA$5:$AA$1000,$U$5:$U$1000,ROW(),$V$5:$V$1000,"Sub"),$AA203)))</f>
        <v/>
      </c>
      <c r="AF203" s="62">
        <f>IF($V203="","",IF(AND(ISNUMBER($G203),$G203&lt;=IF($S203=MesCiclo,InicioCiclo,$S203+MOD(2-WEEKDAY($S203),7))+27),1,IF(N($W203)&gt;0,AVERAGEIFS($AB$5:$AB$1000,$U$5:$U$1000,ROW(),$V$5:$V$1000,"Sub"),$AB203)))</f>
        <v/>
      </c>
      <c r="AG203" s="62">
        <f>IF($V203&lt;&gt;"Macro","",IF(COUNTIFS($S$5:$S$1000,$S203,$V$5:$V$1000,"Macro",$H$5:$H$1000,"&gt;0")=0,1/COUNTIFS($S$5:$S$1000,$S203,$V$5:$V$1000,"Macro"),IF(AND(ISNUMBER($H203),N($H203)&gt;0),$H203,SUMIFS($H$5:$H$1000,$S$5:$S$1000,$S203,$V$5:$V$1000,"Macro")/COUNTIFS($S$5:$S$1000,$S203,$V$5:$V$1000,"Macro",$H$5:$H$1000,"&gt;0"))/(COUNTIFS($S$5:$S$1000,$S203,$V$5:$V$1000,"Macro")*SUMIFS($H$5:$H$1000,$S$5:$S$1000,$S203,$V$5:$V$1000,"Macro")/COUNTIFS($S$5:$S$1000,$S203,$V$5:$V$1000,"Macro",$H$5:$H$1000,"&gt;0"))))</f>
        <v/>
      </c>
      <c r="AH203" s="62" t="n"/>
      <c r="AI203" s="62" t="n"/>
      <c r="AJ203" s="62" t="n"/>
      <c r="AK203" s="62" t="n"/>
      <c r="AL203" s="62">
        <f>IF(LEFT($C203,11)="[Jefatura] ",IFERROR(MATCH("Riesgo Normativo|"&amp;MID($C203,12,500),rDname_ADM,0),0),"")</f>
        <v/>
      </c>
      <c r="AM203" s="62">
        <f>IF(N($AL203)&gt;0,INDEX(rIni_ADM,$AL203),IF(ISNUMBER($E203),$E203,""))</f>
        <v/>
      </c>
      <c r="AN203" s="62">
        <f>IF(N($AL203)&gt;0,INDEX(rLim_ADM,$AL203),IF(ISNUMBER($F203),$F203,""))</f>
        <v/>
      </c>
    </row>
    <row r="204">
      <c r="A204" s="56">
        <f>IF(NOT((COUNTA($B204:$D204)+COUNTA($G204:$L204)+COUNTA($Q204))&gt;0),"",IF($V204="Macro",COUNTIFS($V$5:$V204,"Macro",$S$5:$S204,$S204),IF(N($U204)=0,"?",COUNTIFS(INDEX($V$5:$V$1000,1):INDEX($V$5:$V$1000,$U204-4),"Macro",INDEX($S$5:$S$1000,1):INDEX($S$5:$S$1000,$U204-4),INDEX($S$5:$S$1000,$U204-4))&amp;"."&amp;COUNTIFS($U$5:$U204,$U204,$V$5:$V204,"Sub"))))</f>
        <v/>
      </c>
      <c r="B204" s="57" t="n"/>
      <c r="C204" s="58" t="n"/>
      <c r="D204" s="58" t="n"/>
      <c r="E204" s="59">
        <f>IF(N($AL204)&gt;0,INDEX(rIni_ADM,$AL204),"")</f>
        <v/>
      </c>
      <c r="F204" s="59">
        <f>IF(N($AL204)&gt;0,INDEX(rLim_ADM,$AL204),"")</f>
        <v/>
      </c>
      <c r="G204" s="59" t="n"/>
      <c r="H204" s="60" t="n"/>
      <c r="I204" s="60" t="n"/>
      <c r="J204" s="60" t="n"/>
      <c r="K204" s="60" t="n"/>
      <c r="L204" s="60" t="n"/>
      <c r="M204" s="61">
        <f>IF(NOT((COUNTA($B204:$D204)+COUNTA($G204:$L204)+COUNTA($Q204))&gt;0),"",IF($V204="Sub",IFERROR($X204/INDEX($W$5:$W$1000,$U204-4),""),IF(ISNUMBER($G204),1,IF(N($W204)&gt;0,AVERAGEIFS($X$5:$X$1000,$U$5:$U$1000,ROW(),$V$5:$V$1000,"Sub"),$X204))))</f>
        <v/>
      </c>
      <c r="N204" s="56">
        <f>IF(OR($M204="",$V204="Sub"),"",IF($M204&gt;=1,"Completado",IF($M204&gt;0,"En curso","Pendiente")))</f>
        <v/>
      </c>
      <c r="O204" s="56">
        <f>IF(OR(NOT((COUNTA($B204:$D204)+COUNTA($G204:$L204)+COUNTA($Q204))&gt;0),$V204="Sub"),"",IF(ISNUMBER($G204),IF(AND(ISNUMBER($AN204),$G204&gt;$AN204),"Cumplida con "&amp;($G204-$AN204)&amp;IF($G204-$AN204=1," día"," días")&amp;" de retraso","Cumplida"),IF(N($M204)&gt;=1,"Cumplida",IF(NOT(ISNUMBER($AN204)),"Sin fecha límite",IF($AN204&lt;FechaRef,"Vencida hace "&amp;(FechaRef-$AN204)&amp;IF(FechaRef-$AN204=1," día"," días"),IF($AN204=FechaRef,"Vence hoy",IF($AN204-FechaRef&lt;=DiasAlerta,"Vence en "&amp;($AN204-FechaRef)&amp;IF($AN204-FechaRef=1," día"," días"),"En plazo")))))))</f>
        <v/>
      </c>
      <c r="P204" s="62" t="n"/>
      <c r="Q204" s="58" t="n"/>
      <c r="R204" s="63">
        <f>IF(NOT((COUNTA($B204:$D204)+COUNTA($G204:$L204)+COUNTA($Q204))&gt;0),"",IF((IF($C204="","Falta el nombre de la actividad"&amp;" · ","")&amp;IF(AND($V204="Sub",N($U204)=0),"Subactividad sin macroactividad arriba"&amp;" · ","")&amp;IF($AM204="","Sin fecha de inicio"&amp;" · ","")&amp;IF($AN204="","Sin fecha límite"&amp;" · ","")&amp;IF(AND(LEFT($C204,11)="[Jefatura] ",N($AL204)=0),"No se encuentra en la hoja de la jefatura (elíjala de nuevo en la lista)"&amp;" · ","")&amp;IF(OR(AND($E204&lt;&gt;"",NOT(ISNUMBER($E204))),AND($F204&lt;&gt;"",NOT(ISNUMBER($F204))),AND($G204&lt;&gt;"",NOT(ISNUMBER($G204)))),"Fecha no válida"&amp;" · ","")&amp;IF(AND(ISNUMBER($AM204),ISNUMBER($AN204),$AM204&gt;$AN204),"Inicio posterior a fecha límite"&amp;" · ","")&amp;IF(AND($V204="Macro",$H204&lt;&gt;"",OR(NOT(ISNUMBER($H204)),$H204&lt;0,$H204&gt;1)),"Peso fuera de rango"&amp;" · ","")&amp;IF(AND($V204="Sub",$H204&lt;&gt;""),"Las subactividades no llevan peso (valen igual dentro de su macroactividad)"&amp;" · ","")&amp;IF(AND(N($W204)&gt;0,COUNT($I204:$L204)&gt;0),"Con subactividades: deje vacías las semanas (se calculan solas)"&amp;" · ","")&amp;IF((COUNTIF($I204:$L204,"&gt;1")+COUNTIF($I204:$L204,"&lt;0")+COUNTA($I204:$L204)-COUNT($I204:$L204))&gt;0,"Avance fuera de rango 0-100%"&amp;" · ","")&amp;IF(OR(AND($J204&lt;&gt;"",$J204&lt;$I204),AND($K204&lt;&gt;"",$K204&lt;MAX($I204:$J204)),AND($L204&lt;&gt;"",$L204&lt;MAX($I204:$K204))),"Avance semanal decreciente"&amp;" · ","")&amp;IF(AND(ISNUMBER($AN204),$AN204&lt;FechaRef,IF($V204="Sub",N($X204),N($M204))&lt;1),"Vencida"&amp;" · ","")&amp;IF(AND(ObsObligatoria="Sí",ISNUMBER($AN204),$AN204&lt;FechaRef,IF($V204="Sub",N($X204),N($M204))&lt;1,$Q204=""),"Vencida sin observación"&amp;" · ",""))="","✔ OK","⚠ "&amp;LEFT(IF($C204="","Falta el nombre de la actividad"&amp;" · ","")&amp;IF(AND($V204="Sub",N($U204)=0),"Subactividad sin macroactividad arriba"&amp;" · ","")&amp;IF($AM204="","Sin fecha de inicio"&amp;" · ","")&amp;IF($AN204="","Sin fecha límite"&amp;" · ","")&amp;IF(AND(LEFT($C204,11)="[Jefatura] ",N($AL204)=0),"No se encuentra en la hoja de la jefatura (elíjala de nuevo en la lista)"&amp;" · ","")&amp;IF(OR(AND($E204&lt;&gt;"",NOT(ISNUMBER($E204))),AND($F204&lt;&gt;"",NOT(ISNUMBER($F204))),AND($G204&lt;&gt;"",NOT(ISNUMBER($G204)))),"Fecha no válida"&amp;" · ","")&amp;IF(AND(ISNUMBER($AM204),ISNUMBER($AN204),$AM204&gt;$AN204),"Inicio posterior a fecha límite"&amp;" · ","")&amp;IF(AND($V204="Macro",$H204&lt;&gt;"",OR(NOT(ISNUMBER($H204)),$H204&lt;0,$H204&gt;1)),"Peso fuera de rango"&amp;" · ","")&amp;IF(AND($V204="Sub",$H204&lt;&gt;""),"Las subactividades no llevan peso (valen igual dentro de su macroactividad)"&amp;" · ","")&amp;IF(AND(N($W204)&gt;0,COUNT($I204:$L204)&gt;0),"Con subactividades: deje vacías las semanas (se calculan solas)"&amp;" · ","")&amp;IF((COUNTIF($I204:$L204,"&gt;1")+COUNTIF($I204:$L204,"&lt;0")+COUNTA($I204:$L204)-COUNT($I204:$L204))&gt;0,"Avance fuera de rango 0-100%"&amp;" · ","")&amp;IF(OR(AND($J204&lt;&gt;"",$J204&lt;$I204),AND($K204&lt;&gt;"",$K204&lt;MAX($I204:$J204)),AND($L204&lt;&gt;"",$L204&lt;MAX($I204:$K204))),"Avance semanal decreciente"&amp;" · ","")&amp;IF(AND(ISNUMBER($AN204),$AN204&lt;FechaRef,IF($V204="Sub",N($X204),N($M204))&lt;1),"Vencida"&amp;" · ","")&amp;IF(AND(ObsObligatoria="Sí",ISNUMBER($AN204),$AN204&lt;FechaRef,IF($V204="Sub",N($X204),N($M204))&lt;1,$Q204=""),"Vencida sin observación"&amp;" · ",""),LEN(IF($C204="","Falta el nombre de la actividad"&amp;" · ","")&amp;IF(AND($V204="Sub",N($U204)=0),"Subactividad sin macroactividad arriba"&amp;" · ","")&amp;IF($AM204="","Sin fecha de inicio"&amp;" · ","")&amp;IF($AN204="","Sin fecha límite"&amp;" · ","")&amp;IF(AND(LEFT($C204,11)="[Jefatura] ",N($AL204)=0),"No se encuentra en la hoja de la jefatura (elíjala de nuevo en la lista)"&amp;" · ","")&amp;IF(OR(AND($E204&lt;&gt;"",NOT(ISNUMBER($E204))),AND($F204&lt;&gt;"",NOT(ISNUMBER($F204))),AND($G204&lt;&gt;"",NOT(ISNUMBER($G204)))),"Fecha no válida"&amp;" · ","")&amp;IF(AND(ISNUMBER($AM204),ISNUMBER($AN204),$AM204&gt;$AN204),"Inicio posterior a fecha límite"&amp;" · ","")&amp;IF(AND($V204="Macro",$H204&lt;&gt;"",OR(NOT(ISNUMBER($H204)),$H204&lt;0,$H204&gt;1)),"Peso fuera de rango"&amp;" · ","")&amp;IF(AND($V204="Sub",$H204&lt;&gt;""),"Las subactividades no llevan peso (valen igual dentro de su macroactividad)"&amp;" · ","")&amp;IF(AND(N($W204)&gt;0,COUNT($I204:$L204)&gt;0),"Con subactividades: deje vacías las semanas (se calculan solas)"&amp;" · ","")&amp;IF((COUNTIF($I204:$L204,"&gt;1")+COUNTIF($I204:$L204,"&lt;0")+COUNTA($I204:$L204)-COUNT($I204:$L204))&gt;0,"Avance fuera de rango 0-100%"&amp;" · ","")&amp;IF(OR(AND($J204&lt;&gt;"",$J204&lt;$I204),AND($K204&lt;&gt;"",$K204&lt;MAX($I204:$J204)),AND($L204&lt;&gt;"",$L204&lt;MAX($I204:$K204))),"Avance semanal decreciente"&amp;" · ","")&amp;IF(AND(ISNUMBER($AN204),$AN204&lt;FechaRef,IF($V204="Sub",N($X204),N($M204))&lt;1),"Vencida"&amp;" · ","")&amp;IF(AND(ObsObligatoria="Sí",ISNUMBER($AN204),$AN204&lt;FechaRef,IF($V204="Sub",N($X204),N($M204))&lt;1,$Q204=""),"Vencida sin observación"&amp;" · ",""))-3)))</f>
        <v/>
      </c>
      <c r="S204" s="64">
        <f>IF(NOT((COUNTA($B204:$D204)+COUNTA($G204:$L204)+COUNTA($Q204))&gt;0),"",IF(AND($V204="Sub",N($U204)&gt;0),IF(ISNUMBER(INDEX($AM$5:$AM$1000,$U204-4)),DATE(YEAR(INDEX($AM$5:$AM$1000,$U204-4)),MONTH(INDEX($AM$5:$AM$1000,$U204-4)),1),IF(ISNUMBER(INDEX($AN$5:$AN$1000,$U204-4)),DATE(YEAR(INDEX($AN$5:$AN$1000,$U204-4)),MONTH(INDEX($AN$5:$AN$1000,$U204-4)),1),MesCiclo)),IF(ISNUMBER($AM204),DATE(YEAR($AM204),MONTH($AM204),1),IF(ISNUMBER($AN204),DATE(YEAR($AN204),MONTH($AN204),1),MesCiclo))))</f>
        <v/>
      </c>
      <c r="T204" s="62">
        <f>IF(OR($S204="",$S204&lt;&gt;MesCiclo,$V204&lt;&gt;"Macro"),"",COUNTIFS($S$5:$S204,MesCiclo,$V$5:$V204,"Macro"))</f>
        <v/>
      </c>
      <c r="U204" s="62">
        <f>IF($V204="","",IF($V204="Macro",ROW(),IFERROR(LOOKUP(2,1/($V$5:$V204="Macro"),ROW($V$5:$V204)),0)))</f>
        <v/>
      </c>
      <c r="V204" s="62">
        <f>IF(NOT((COUNTA($B204:$D204)+COUNTA($G204:$L204)+COUNTA($Q204))&gt;0),"",IF($B204="Subactividad","Sub","Macro"))</f>
        <v/>
      </c>
      <c r="W204" s="62">
        <f>IF($V204="Macro",COUNTIFS($U$5:$U$1000,ROW(),$V$5:$V$1000,"Sub"),"")</f>
        <v/>
      </c>
      <c r="X204" s="62">
        <f>IF($V204="","",IF(ISNUMBER($G204),1,IFERROR(LOOKUP(2,1/($I204:$L204&lt;&gt;""),$I204:$L204),0)))</f>
        <v/>
      </c>
      <c r="Y204" s="62">
        <f>IF($V204="","",IF(AND(ISNUMBER($G204),$G204&lt;=IF($S204=MesCiclo,InicioCiclo,$S204+MOD(2-WEEKDAY($S204),7))+6),1,IF(ISNUMBER($I204),$I204,0)))</f>
        <v/>
      </c>
      <c r="Z204" s="62">
        <f>IF($V204="","",IF(AND(ISNUMBER($G204),$G204&lt;=IF($S204=MesCiclo,InicioCiclo,$S204+MOD(2-WEEKDAY($S204),7))+13),1,IF(ISNUMBER($J204),$J204,$Y204)))</f>
        <v/>
      </c>
      <c r="AA204" s="62">
        <f>IF($V204="","",IF(AND(ISNUMBER($G204),$G204&lt;=IF($S204=MesCiclo,InicioCiclo,$S204+MOD(2-WEEKDAY($S204),7))+20),1,IF(ISNUMBER($K204),$K204,$Z204)))</f>
        <v/>
      </c>
      <c r="AB204" s="62">
        <f>IF($V204="","",IF(AND(ISNUMBER($G204),$G204&lt;=IF($S204=MesCiclo,InicioCiclo,$S204+MOD(2-WEEKDAY($S204),7))+27),1,IF(ISNUMBER($L204),$L204,$AA204)))</f>
        <v/>
      </c>
      <c r="AC204" s="62">
        <f>IF($V204="","",IF(AND(ISNUMBER($G204),$G204&lt;=IF($S204=MesCiclo,InicioCiclo,$S204+MOD(2-WEEKDAY($S204),7))+6),1,IF(N($W204)&gt;0,AVERAGEIFS($Y$5:$Y$1000,$U$5:$U$1000,ROW(),$V$5:$V$1000,"Sub"),$Y204)))</f>
        <v/>
      </c>
      <c r="AD204" s="62">
        <f>IF($V204="","",IF(AND(ISNUMBER($G204),$G204&lt;=IF($S204=MesCiclo,InicioCiclo,$S204+MOD(2-WEEKDAY($S204),7))+13),1,IF(N($W204)&gt;0,AVERAGEIFS($Z$5:$Z$1000,$U$5:$U$1000,ROW(),$V$5:$V$1000,"Sub"),$Z204)))</f>
        <v/>
      </c>
      <c r="AE204" s="62">
        <f>IF($V204="","",IF(AND(ISNUMBER($G204),$G204&lt;=IF($S204=MesCiclo,InicioCiclo,$S204+MOD(2-WEEKDAY($S204),7))+20),1,IF(N($W204)&gt;0,AVERAGEIFS($AA$5:$AA$1000,$U$5:$U$1000,ROW(),$V$5:$V$1000,"Sub"),$AA204)))</f>
        <v/>
      </c>
      <c r="AF204" s="62">
        <f>IF($V204="","",IF(AND(ISNUMBER($G204),$G204&lt;=IF($S204=MesCiclo,InicioCiclo,$S204+MOD(2-WEEKDAY($S204),7))+27),1,IF(N($W204)&gt;0,AVERAGEIFS($AB$5:$AB$1000,$U$5:$U$1000,ROW(),$V$5:$V$1000,"Sub"),$AB204)))</f>
        <v/>
      </c>
      <c r="AG204" s="62">
        <f>IF($V204&lt;&gt;"Macro","",IF(COUNTIFS($S$5:$S$1000,$S204,$V$5:$V$1000,"Macro",$H$5:$H$1000,"&gt;0")=0,1/COUNTIFS($S$5:$S$1000,$S204,$V$5:$V$1000,"Macro"),IF(AND(ISNUMBER($H204),N($H204)&gt;0),$H204,SUMIFS($H$5:$H$1000,$S$5:$S$1000,$S204,$V$5:$V$1000,"Macro")/COUNTIFS($S$5:$S$1000,$S204,$V$5:$V$1000,"Macro",$H$5:$H$1000,"&gt;0"))/(COUNTIFS($S$5:$S$1000,$S204,$V$5:$V$1000,"Macro")*SUMIFS($H$5:$H$1000,$S$5:$S$1000,$S204,$V$5:$V$1000,"Macro")/COUNTIFS($S$5:$S$1000,$S204,$V$5:$V$1000,"Macro",$H$5:$H$1000,"&gt;0"))))</f>
        <v/>
      </c>
      <c r="AH204" s="62" t="n"/>
      <c r="AI204" s="62" t="n"/>
      <c r="AJ204" s="62" t="n"/>
      <c r="AK204" s="62" t="n"/>
      <c r="AL204" s="62">
        <f>IF(LEFT($C204,11)="[Jefatura] ",IFERROR(MATCH("Riesgo Normativo|"&amp;MID($C204,12,500),rDname_ADM,0),0),"")</f>
        <v/>
      </c>
      <c r="AM204" s="62">
        <f>IF(N($AL204)&gt;0,INDEX(rIni_ADM,$AL204),IF(ISNUMBER($E204),$E204,""))</f>
        <v/>
      </c>
      <c r="AN204" s="62">
        <f>IF(N($AL204)&gt;0,INDEX(rLim_ADM,$AL204),IF(ISNUMBER($F204),$F204,""))</f>
        <v/>
      </c>
    </row>
    <row r="205">
      <c r="A205" s="56">
        <f>IF(NOT((COUNTA($B205:$D205)+COUNTA($G205:$L205)+COUNTA($Q205))&gt;0),"",IF($V205="Macro",COUNTIFS($V$5:$V205,"Macro",$S$5:$S205,$S205),IF(N($U205)=0,"?",COUNTIFS(INDEX($V$5:$V$1000,1):INDEX($V$5:$V$1000,$U205-4),"Macro",INDEX($S$5:$S$1000,1):INDEX($S$5:$S$1000,$U205-4),INDEX($S$5:$S$1000,$U205-4))&amp;"."&amp;COUNTIFS($U$5:$U205,$U205,$V$5:$V205,"Sub"))))</f>
        <v/>
      </c>
      <c r="B205" s="57" t="n"/>
      <c r="C205" s="58" t="n"/>
      <c r="D205" s="58" t="n"/>
      <c r="E205" s="59">
        <f>IF(N($AL205)&gt;0,INDEX(rIni_ADM,$AL205),"")</f>
        <v/>
      </c>
      <c r="F205" s="59">
        <f>IF(N($AL205)&gt;0,INDEX(rLim_ADM,$AL205),"")</f>
        <v/>
      </c>
      <c r="G205" s="59" t="n"/>
      <c r="H205" s="60" t="n"/>
      <c r="I205" s="60" t="n"/>
      <c r="J205" s="60" t="n"/>
      <c r="K205" s="60" t="n"/>
      <c r="L205" s="60" t="n"/>
      <c r="M205" s="61">
        <f>IF(NOT((COUNTA($B205:$D205)+COUNTA($G205:$L205)+COUNTA($Q205))&gt;0),"",IF($V205="Sub",IFERROR($X205/INDEX($W$5:$W$1000,$U205-4),""),IF(ISNUMBER($G205),1,IF(N($W205)&gt;0,AVERAGEIFS($X$5:$X$1000,$U$5:$U$1000,ROW(),$V$5:$V$1000,"Sub"),$X205))))</f>
        <v/>
      </c>
      <c r="N205" s="56">
        <f>IF(OR($M205="",$V205="Sub"),"",IF($M205&gt;=1,"Completado",IF($M205&gt;0,"En curso","Pendiente")))</f>
        <v/>
      </c>
      <c r="O205" s="56">
        <f>IF(OR(NOT((COUNTA($B205:$D205)+COUNTA($G205:$L205)+COUNTA($Q205))&gt;0),$V205="Sub"),"",IF(ISNUMBER($G205),IF(AND(ISNUMBER($AN205),$G205&gt;$AN205),"Cumplida con "&amp;($G205-$AN205)&amp;IF($G205-$AN205=1," día"," días")&amp;" de retraso","Cumplida"),IF(N($M205)&gt;=1,"Cumplida",IF(NOT(ISNUMBER($AN205)),"Sin fecha límite",IF($AN205&lt;FechaRef,"Vencida hace "&amp;(FechaRef-$AN205)&amp;IF(FechaRef-$AN205=1," día"," días"),IF($AN205=FechaRef,"Vence hoy",IF($AN205-FechaRef&lt;=DiasAlerta,"Vence en "&amp;($AN205-FechaRef)&amp;IF($AN205-FechaRef=1," día"," días"),"En plazo")))))))</f>
        <v/>
      </c>
      <c r="P205" s="62" t="n"/>
      <c r="Q205" s="58" t="n"/>
      <c r="R205" s="63">
        <f>IF(NOT((COUNTA($B205:$D205)+COUNTA($G205:$L205)+COUNTA($Q205))&gt;0),"",IF((IF($C205="","Falta el nombre de la actividad"&amp;" · ","")&amp;IF(AND($V205="Sub",N($U205)=0),"Subactividad sin macroactividad arriba"&amp;" · ","")&amp;IF($AM205="","Sin fecha de inicio"&amp;" · ","")&amp;IF($AN205="","Sin fecha límite"&amp;" · ","")&amp;IF(AND(LEFT($C205,11)="[Jefatura] ",N($AL205)=0),"No se encuentra en la hoja de la jefatura (elíjala de nuevo en la lista)"&amp;" · ","")&amp;IF(OR(AND($E205&lt;&gt;"",NOT(ISNUMBER($E205))),AND($F205&lt;&gt;"",NOT(ISNUMBER($F205))),AND($G205&lt;&gt;"",NOT(ISNUMBER($G205)))),"Fecha no válida"&amp;" · ","")&amp;IF(AND(ISNUMBER($AM205),ISNUMBER($AN205),$AM205&gt;$AN205),"Inicio posterior a fecha límite"&amp;" · ","")&amp;IF(AND($V205="Macro",$H205&lt;&gt;"",OR(NOT(ISNUMBER($H205)),$H205&lt;0,$H205&gt;1)),"Peso fuera de rango"&amp;" · ","")&amp;IF(AND($V205="Sub",$H205&lt;&gt;""),"Las subactividades no llevan peso (valen igual dentro de su macroactividad)"&amp;" · ","")&amp;IF(AND(N($W205)&gt;0,COUNT($I205:$L205)&gt;0),"Con subactividades: deje vacías las semanas (se calculan solas)"&amp;" · ","")&amp;IF((COUNTIF($I205:$L205,"&gt;1")+COUNTIF($I205:$L205,"&lt;0")+COUNTA($I205:$L205)-COUNT($I205:$L205))&gt;0,"Avance fuera de rango 0-100%"&amp;" · ","")&amp;IF(OR(AND($J205&lt;&gt;"",$J205&lt;$I205),AND($K205&lt;&gt;"",$K205&lt;MAX($I205:$J205)),AND($L205&lt;&gt;"",$L205&lt;MAX($I205:$K205))),"Avance semanal decreciente"&amp;" · ","")&amp;IF(AND(ISNUMBER($AN205),$AN205&lt;FechaRef,IF($V205="Sub",N($X205),N($M205))&lt;1),"Vencida"&amp;" · ","")&amp;IF(AND(ObsObligatoria="Sí",ISNUMBER($AN205),$AN205&lt;FechaRef,IF($V205="Sub",N($X205),N($M205))&lt;1,$Q205=""),"Vencida sin observación"&amp;" · ",""))="","✔ OK","⚠ "&amp;LEFT(IF($C205="","Falta el nombre de la actividad"&amp;" · ","")&amp;IF(AND($V205="Sub",N($U205)=0),"Subactividad sin macroactividad arriba"&amp;" · ","")&amp;IF($AM205="","Sin fecha de inicio"&amp;" · ","")&amp;IF($AN205="","Sin fecha límite"&amp;" · ","")&amp;IF(AND(LEFT($C205,11)="[Jefatura] ",N($AL205)=0),"No se encuentra en la hoja de la jefatura (elíjala de nuevo en la lista)"&amp;" · ","")&amp;IF(OR(AND($E205&lt;&gt;"",NOT(ISNUMBER($E205))),AND($F205&lt;&gt;"",NOT(ISNUMBER($F205))),AND($G205&lt;&gt;"",NOT(ISNUMBER($G205)))),"Fecha no válida"&amp;" · ","")&amp;IF(AND(ISNUMBER($AM205),ISNUMBER($AN205),$AM205&gt;$AN205),"Inicio posterior a fecha límite"&amp;" · ","")&amp;IF(AND($V205="Macro",$H205&lt;&gt;"",OR(NOT(ISNUMBER($H205)),$H205&lt;0,$H205&gt;1)),"Peso fuera de rango"&amp;" · ","")&amp;IF(AND($V205="Sub",$H205&lt;&gt;""),"Las subactividades no llevan peso (valen igual dentro de su macroactividad)"&amp;" · ","")&amp;IF(AND(N($W205)&gt;0,COUNT($I205:$L205)&gt;0),"Con subactividades: deje vacías las semanas (se calculan solas)"&amp;" · ","")&amp;IF((COUNTIF($I205:$L205,"&gt;1")+COUNTIF($I205:$L205,"&lt;0")+COUNTA($I205:$L205)-COUNT($I205:$L205))&gt;0,"Avance fuera de rango 0-100%"&amp;" · ","")&amp;IF(OR(AND($J205&lt;&gt;"",$J205&lt;$I205),AND($K205&lt;&gt;"",$K205&lt;MAX($I205:$J205)),AND($L205&lt;&gt;"",$L205&lt;MAX($I205:$K205))),"Avance semanal decreciente"&amp;" · ","")&amp;IF(AND(ISNUMBER($AN205),$AN205&lt;FechaRef,IF($V205="Sub",N($X205),N($M205))&lt;1),"Vencida"&amp;" · ","")&amp;IF(AND(ObsObligatoria="Sí",ISNUMBER($AN205),$AN205&lt;FechaRef,IF($V205="Sub",N($X205),N($M205))&lt;1,$Q205=""),"Vencida sin observación"&amp;" · ",""),LEN(IF($C205="","Falta el nombre de la actividad"&amp;" · ","")&amp;IF(AND($V205="Sub",N($U205)=0),"Subactividad sin macroactividad arriba"&amp;" · ","")&amp;IF($AM205="","Sin fecha de inicio"&amp;" · ","")&amp;IF($AN205="","Sin fecha límite"&amp;" · ","")&amp;IF(AND(LEFT($C205,11)="[Jefatura] ",N($AL205)=0),"No se encuentra en la hoja de la jefatura (elíjala de nuevo en la lista)"&amp;" · ","")&amp;IF(OR(AND($E205&lt;&gt;"",NOT(ISNUMBER($E205))),AND($F205&lt;&gt;"",NOT(ISNUMBER($F205))),AND($G205&lt;&gt;"",NOT(ISNUMBER($G205)))),"Fecha no válida"&amp;" · ","")&amp;IF(AND(ISNUMBER($AM205),ISNUMBER($AN205),$AM205&gt;$AN205),"Inicio posterior a fecha límite"&amp;" · ","")&amp;IF(AND($V205="Macro",$H205&lt;&gt;"",OR(NOT(ISNUMBER($H205)),$H205&lt;0,$H205&gt;1)),"Peso fuera de rango"&amp;" · ","")&amp;IF(AND($V205="Sub",$H205&lt;&gt;""),"Las subactividades no llevan peso (valen igual dentro de su macroactividad)"&amp;" · ","")&amp;IF(AND(N($W205)&gt;0,COUNT($I205:$L205)&gt;0),"Con subactividades: deje vacías las semanas (se calculan solas)"&amp;" · ","")&amp;IF((COUNTIF($I205:$L205,"&gt;1")+COUNTIF($I205:$L205,"&lt;0")+COUNTA($I205:$L205)-COUNT($I205:$L205))&gt;0,"Avance fuera de rango 0-100%"&amp;" · ","")&amp;IF(OR(AND($J205&lt;&gt;"",$J205&lt;$I205),AND($K205&lt;&gt;"",$K205&lt;MAX($I205:$J205)),AND($L205&lt;&gt;"",$L205&lt;MAX($I205:$K205))),"Avance semanal decreciente"&amp;" · ","")&amp;IF(AND(ISNUMBER($AN205),$AN205&lt;FechaRef,IF($V205="Sub",N($X205),N($M205))&lt;1),"Vencida"&amp;" · ","")&amp;IF(AND(ObsObligatoria="Sí",ISNUMBER($AN205),$AN205&lt;FechaRef,IF($V205="Sub",N($X205),N($M205))&lt;1,$Q205=""),"Vencida sin observación"&amp;" · ",""))-3)))</f>
        <v/>
      </c>
      <c r="S205" s="64">
        <f>IF(NOT((COUNTA($B205:$D205)+COUNTA($G205:$L205)+COUNTA($Q205))&gt;0),"",IF(AND($V205="Sub",N($U205)&gt;0),IF(ISNUMBER(INDEX($AM$5:$AM$1000,$U205-4)),DATE(YEAR(INDEX($AM$5:$AM$1000,$U205-4)),MONTH(INDEX($AM$5:$AM$1000,$U205-4)),1),IF(ISNUMBER(INDEX($AN$5:$AN$1000,$U205-4)),DATE(YEAR(INDEX($AN$5:$AN$1000,$U205-4)),MONTH(INDEX($AN$5:$AN$1000,$U205-4)),1),MesCiclo)),IF(ISNUMBER($AM205),DATE(YEAR($AM205),MONTH($AM205),1),IF(ISNUMBER($AN205),DATE(YEAR($AN205),MONTH($AN205),1),MesCiclo))))</f>
        <v/>
      </c>
      <c r="T205" s="62">
        <f>IF(OR($S205="",$S205&lt;&gt;MesCiclo,$V205&lt;&gt;"Macro"),"",COUNTIFS($S$5:$S205,MesCiclo,$V$5:$V205,"Macro"))</f>
        <v/>
      </c>
      <c r="U205" s="62">
        <f>IF($V205="","",IF($V205="Macro",ROW(),IFERROR(LOOKUP(2,1/($V$5:$V205="Macro"),ROW($V$5:$V205)),0)))</f>
        <v/>
      </c>
      <c r="V205" s="62">
        <f>IF(NOT((COUNTA($B205:$D205)+COUNTA($G205:$L205)+COUNTA($Q205))&gt;0),"",IF($B205="Subactividad","Sub","Macro"))</f>
        <v/>
      </c>
      <c r="W205" s="62">
        <f>IF($V205="Macro",COUNTIFS($U$5:$U$1000,ROW(),$V$5:$V$1000,"Sub"),"")</f>
        <v/>
      </c>
      <c r="X205" s="62">
        <f>IF($V205="","",IF(ISNUMBER($G205),1,IFERROR(LOOKUP(2,1/($I205:$L205&lt;&gt;""),$I205:$L205),0)))</f>
        <v/>
      </c>
      <c r="Y205" s="62">
        <f>IF($V205="","",IF(AND(ISNUMBER($G205),$G205&lt;=IF($S205=MesCiclo,InicioCiclo,$S205+MOD(2-WEEKDAY($S205),7))+6),1,IF(ISNUMBER($I205),$I205,0)))</f>
        <v/>
      </c>
      <c r="Z205" s="62">
        <f>IF($V205="","",IF(AND(ISNUMBER($G205),$G205&lt;=IF($S205=MesCiclo,InicioCiclo,$S205+MOD(2-WEEKDAY($S205),7))+13),1,IF(ISNUMBER($J205),$J205,$Y205)))</f>
        <v/>
      </c>
      <c r="AA205" s="62">
        <f>IF($V205="","",IF(AND(ISNUMBER($G205),$G205&lt;=IF($S205=MesCiclo,InicioCiclo,$S205+MOD(2-WEEKDAY($S205),7))+20),1,IF(ISNUMBER($K205),$K205,$Z205)))</f>
        <v/>
      </c>
      <c r="AB205" s="62">
        <f>IF($V205="","",IF(AND(ISNUMBER($G205),$G205&lt;=IF($S205=MesCiclo,InicioCiclo,$S205+MOD(2-WEEKDAY($S205),7))+27),1,IF(ISNUMBER($L205),$L205,$AA205)))</f>
        <v/>
      </c>
      <c r="AC205" s="62">
        <f>IF($V205="","",IF(AND(ISNUMBER($G205),$G205&lt;=IF($S205=MesCiclo,InicioCiclo,$S205+MOD(2-WEEKDAY($S205),7))+6),1,IF(N($W205)&gt;0,AVERAGEIFS($Y$5:$Y$1000,$U$5:$U$1000,ROW(),$V$5:$V$1000,"Sub"),$Y205)))</f>
        <v/>
      </c>
      <c r="AD205" s="62">
        <f>IF($V205="","",IF(AND(ISNUMBER($G205),$G205&lt;=IF($S205=MesCiclo,InicioCiclo,$S205+MOD(2-WEEKDAY($S205),7))+13),1,IF(N($W205)&gt;0,AVERAGEIFS($Z$5:$Z$1000,$U$5:$U$1000,ROW(),$V$5:$V$1000,"Sub"),$Z205)))</f>
        <v/>
      </c>
      <c r="AE205" s="62">
        <f>IF($V205="","",IF(AND(ISNUMBER($G205),$G205&lt;=IF($S205=MesCiclo,InicioCiclo,$S205+MOD(2-WEEKDAY($S205),7))+20),1,IF(N($W205)&gt;0,AVERAGEIFS($AA$5:$AA$1000,$U$5:$U$1000,ROW(),$V$5:$V$1000,"Sub"),$AA205)))</f>
        <v/>
      </c>
      <c r="AF205" s="62">
        <f>IF($V205="","",IF(AND(ISNUMBER($G205),$G205&lt;=IF($S205=MesCiclo,InicioCiclo,$S205+MOD(2-WEEKDAY($S205),7))+27),1,IF(N($W205)&gt;0,AVERAGEIFS($AB$5:$AB$1000,$U$5:$U$1000,ROW(),$V$5:$V$1000,"Sub"),$AB205)))</f>
        <v/>
      </c>
      <c r="AG205" s="62">
        <f>IF($V205&lt;&gt;"Macro","",IF(COUNTIFS($S$5:$S$1000,$S205,$V$5:$V$1000,"Macro",$H$5:$H$1000,"&gt;0")=0,1/COUNTIFS($S$5:$S$1000,$S205,$V$5:$V$1000,"Macro"),IF(AND(ISNUMBER($H205),N($H205)&gt;0),$H205,SUMIFS($H$5:$H$1000,$S$5:$S$1000,$S205,$V$5:$V$1000,"Macro")/COUNTIFS($S$5:$S$1000,$S205,$V$5:$V$1000,"Macro",$H$5:$H$1000,"&gt;0"))/(COUNTIFS($S$5:$S$1000,$S205,$V$5:$V$1000,"Macro")*SUMIFS($H$5:$H$1000,$S$5:$S$1000,$S205,$V$5:$V$1000,"Macro")/COUNTIFS($S$5:$S$1000,$S205,$V$5:$V$1000,"Macro",$H$5:$H$1000,"&gt;0"))))</f>
        <v/>
      </c>
      <c r="AH205" s="62" t="n"/>
      <c r="AI205" s="62" t="n"/>
      <c r="AJ205" s="62" t="n"/>
      <c r="AK205" s="62" t="n"/>
      <c r="AL205" s="62">
        <f>IF(LEFT($C205,11)="[Jefatura] ",IFERROR(MATCH("Riesgo Normativo|"&amp;MID($C205,12,500),rDname_ADM,0),0),"")</f>
        <v/>
      </c>
      <c r="AM205" s="62">
        <f>IF(N($AL205)&gt;0,INDEX(rIni_ADM,$AL205),IF(ISNUMBER($E205),$E205,""))</f>
        <v/>
      </c>
      <c r="AN205" s="62">
        <f>IF(N($AL205)&gt;0,INDEX(rLim_ADM,$AL205),IF(ISNUMBER($F205),$F205,""))</f>
        <v/>
      </c>
    </row>
    <row r="206">
      <c r="A206" s="56">
        <f>IF(NOT((COUNTA($B206:$D206)+COUNTA($G206:$L206)+COUNTA($Q206))&gt;0),"",IF($V206="Macro",COUNTIFS($V$5:$V206,"Macro",$S$5:$S206,$S206),IF(N($U206)=0,"?",COUNTIFS(INDEX($V$5:$V$1000,1):INDEX($V$5:$V$1000,$U206-4),"Macro",INDEX($S$5:$S$1000,1):INDEX($S$5:$S$1000,$U206-4),INDEX($S$5:$S$1000,$U206-4))&amp;"."&amp;COUNTIFS($U$5:$U206,$U206,$V$5:$V206,"Sub"))))</f>
        <v/>
      </c>
      <c r="B206" s="57" t="n"/>
      <c r="C206" s="58" t="n"/>
      <c r="D206" s="58" t="n"/>
      <c r="E206" s="59">
        <f>IF(N($AL206)&gt;0,INDEX(rIni_ADM,$AL206),"")</f>
        <v/>
      </c>
      <c r="F206" s="59">
        <f>IF(N($AL206)&gt;0,INDEX(rLim_ADM,$AL206),"")</f>
        <v/>
      </c>
      <c r="G206" s="59" t="n"/>
      <c r="H206" s="60" t="n"/>
      <c r="I206" s="60" t="n"/>
      <c r="J206" s="60" t="n"/>
      <c r="K206" s="60" t="n"/>
      <c r="L206" s="60" t="n"/>
      <c r="M206" s="61">
        <f>IF(NOT((COUNTA($B206:$D206)+COUNTA($G206:$L206)+COUNTA($Q206))&gt;0),"",IF($V206="Sub",IFERROR($X206/INDEX($W$5:$W$1000,$U206-4),""),IF(ISNUMBER($G206),1,IF(N($W206)&gt;0,AVERAGEIFS($X$5:$X$1000,$U$5:$U$1000,ROW(),$V$5:$V$1000,"Sub"),$X206))))</f>
        <v/>
      </c>
      <c r="N206" s="56">
        <f>IF(OR($M206="",$V206="Sub"),"",IF($M206&gt;=1,"Completado",IF($M206&gt;0,"En curso","Pendiente")))</f>
        <v/>
      </c>
      <c r="O206" s="56">
        <f>IF(OR(NOT((COUNTA($B206:$D206)+COUNTA($G206:$L206)+COUNTA($Q206))&gt;0),$V206="Sub"),"",IF(ISNUMBER($G206),IF(AND(ISNUMBER($AN206),$G206&gt;$AN206),"Cumplida con "&amp;($G206-$AN206)&amp;IF($G206-$AN206=1," día"," días")&amp;" de retraso","Cumplida"),IF(N($M206)&gt;=1,"Cumplida",IF(NOT(ISNUMBER($AN206)),"Sin fecha límite",IF($AN206&lt;FechaRef,"Vencida hace "&amp;(FechaRef-$AN206)&amp;IF(FechaRef-$AN206=1," día"," días"),IF($AN206=FechaRef,"Vence hoy",IF($AN206-FechaRef&lt;=DiasAlerta,"Vence en "&amp;($AN206-FechaRef)&amp;IF($AN206-FechaRef=1," día"," días"),"En plazo")))))))</f>
        <v/>
      </c>
      <c r="P206" s="62" t="n"/>
      <c r="Q206" s="58" t="n"/>
      <c r="R206" s="63">
        <f>IF(NOT((COUNTA($B206:$D206)+COUNTA($G206:$L206)+COUNTA($Q206))&gt;0),"",IF((IF($C206="","Falta el nombre de la actividad"&amp;" · ","")&amp;IF(AND($V206="Sub",N($U206)=0),"Subactividad sin macroactividad arriba"&amp;" · ","")&amp;IF($AM206="","Sin fecha de inicio"&amp;" · ","")&amp;IF($AN206="","Sin fecha límite"&amp;" · ","")&amp;IF(AND(LEFT($C206,11)="[Jefatura] ",N($AL206)=0),"No se encuentra en la hoja de la jefatura (elíjala de nuevo en la lista)"&amp;" · ","")&amp;IF(OR(AND($E206&lt;&gt;"",NOT(ISNUMBER($E206))),AND($F206&lt;&gt;"",NOT(ISNUMBER($F206))),AND($G206&lt;&gt;"",NOT(ISNUMBER($G206)))),"Fecha no válida"&amp;" · ","")&amp;IF(AND(ISNUMBER($AM206),ISNUMBER($AN206),$AM206&gt;$AN206),"Inicio posterior a fecha límite"&amp;" · ","")&amp;IF(AND($V206="Macro",$H206&lt;&gt;"",OR(NOT(ISNUMBER($H206)),$H206&lt;0,$H206&gt;1)),"Peso fuera de rango"&amp;" · ","")&amp;IF(AND($V206="Sub",$H206&lt;&gt;""),"Las subactividades no llevan peso (valen igual dentro de su macroactividad)"&amp;" · ","")&amp;IF(AND(N($W206)&gt;0,COUNT($I206:$L206)&gt;0),"Con subactividades: deje vacías las semanas (se calculan solas)"&amp;" · ","")&amp;IF((COUNTIF($I206:$L206,"&gt;1")+COUNTIF($I206:$L206,"&lt;0")+COUNTA($I206:$L206)-COUNT($I206:$L206))&gt;0,"Avance fuera de rango 0-100%"&amp;" · ","")&amp;IF(OR(AND($J206&lt;&gt;"",$J206&lt;$I206),AND($K206&lt;&gt;"",$K206&lt;MAX($I206:$J206)),AND($L206&lt;&gt;"",$L206&lt;MAX($I206:$K206))),"Avance semanal decreciente"&amp;" · ","")&amp;IF(AND(ISNUMBER($AN206),$AN206&lt;FechaRef,IF($V206="Sub",N($X206),N($M206))&lt;1),"Vencida"&amp;" · ","")&amp;IF(AND(ObsObligatoria="Sí",ISNUMBER($AN206),$AN206&lt;FechaRef,IF($V206="Sub",N($X206),N($M206))&lt;1,$Q206=""),"Vencida sin observación"&amp;" · ",""))="","✔ OK","⚠ "&amp;LEFT(IF($C206="","Falta el nombre de la actividad"&amp;" · ","")&amp;IF(AND($V206="Sub",N($U206)=0),"Subactividad sin macroactividad arriba"&amp;" · ","")&amp;IF($AM206="","Sin fecha de inicio"&amp;" · ","")&amp;IF($AN206="","Sin fecha límite"&amp;" · ","")&amp;IF(AND(LEFT($C206,11)="[Jefatura] ",N($AL206)=0),"No se encuentra en la hoja de la jefatura (elíjala de nuevo en la lista)"&amp;" · ","")&amp;IF(OR(AND($E206&lt;&gt;"",NOT(ISNUMBER($E206))),AND($F206&lt;&gt;"",NOT(ISNUMBER($F206))),AND($G206&lt;&gt;"",NOT(ISNUMBER($G206)))),"Fecha no válida"&amp;" · ","")&amp;IF(AND(ISNUMBER($AM206),ISNUMBER($AN206),$AM206&gt;$AN206),"Inicio posterior a fecha límite"&amp;" · ","")&amp;IF(AND($V206="Macro",$H206&lt;&gt;"",OR(NOT(ISNUMBER($H206)),$H206&lt;0,$H206&gt;1)),"Peso fuera de rango"&amp;" · ","")&amp;IF(AND($V206="Sub",$H206&lt;&gt;""),"Las subactividades no llevan peso (valen igual dentro de su macroactividad)"&amp;" · ","")&amp;IF(AND(N($W206)&gt;0,COUNT($I206:$L206)&gt;0),"Con subactividades: deje vacías las semanas (se calculan solas)"&amp;" · ","")&amp;IF((COUNTIF($I206:$L206,"&gt;1")+COUNTIF($I206:$L206,"&lt;0")+COUNTA($I206:$L206)-COUNT($I206:$L206))&gt;0,"Avance fuera de rango 0-100%"&amp;" · ","")&amp;IF(OR(AND($J206&lt;&gt;"",$J206&lt;$I206),AND($K206&lt;&gt;"",$K206&lt;MAX($I206:$J206)),AND($L206&lt;&gt;"",$L206&lt;MAX($I206:$K206))),"Avance semanal decreciente"&amp;" · ","")&amp;IF(AND(ISNUMBER($AN206),$AN206&lt;FechaRef,IF($V206="Sub",N($X206),N($M206))&lt;1),"Vencida"&amp;" · ","")&amp;IF(AND(ObsObligatoria="Sí",ISNUMBER($AN206),$AN206&lt;FechaRef,IF($V206="Sub",N($X206),N($M206))&lt;1,$Q206=""),"Vencida sin observación"&amp;" · ",""),LEN(IF($C206="","Falta el nombre de la actividad"&amp;" · ","")&amp;IF(AND($V206="Sub",N($U206)=0),"Subactividad sin macroactividad arriba"&amp;" · ","")&amp;IF($AM206="","Sin fecha de inicio"&amp;" · ","")&amp;IF($AN206="","Sin fecha límite"&amp;" · ","")&amp;IF(AND(LEFT($C206,11)="[Jefatura] ",N($AL206)=0),"No se encuentra en la hoja de la jefatura (elíjala de nuevo en la lista)"&amp;" · ","")&amp;IF(OR(AND($E206&lt;&gt;"",NOT(ISNUMBER($E206))),AND($F206&lt;&gt;"",NOT(ISNUMBER($F206))),AND($G206&lt;&gt;"",NOT(ISNUMBER($G206)))),"Fecha no válida"&amp;" · ","")&amp;IF(AND(ISNUMBER($AM206),ISNUMBER($AN206),$AM206&gt;$AN206),"Inicio posterior a fecha límite"&amp;" · ","")&amp;IF(AND($V206="Macro",$H206&lt;&gt;"",OR(NOT(ISNUMBER($H206)),$H206&lt;0,$H206&gt;1)),"Peso fuera de rango"&amp;" · ","")&amp;IF(AND($V206="Sub",$H206&lt;&gt;""),"Las subactividades no llevan peso (valen igual dentro de su macroactividad)"&amp;" · ","")&amp;IF(AND(N($W206)&gt;0,COUNT($I206:$L206)&gt;0),"Con subactividades: deje vacías las semanas (se calculan solas)"&amp;" · ","")&amp;IF((COUNTIF($I206:$L206,"&gt;1")+COUNTIF($I206:$L206,"&lt;0")+COUNTA($I206:$L206)-COUNT($I206:$L206))&gt;0,"Avance fuera de rango 0-100%"&amp;" · ","")&amp;IF(OR(AND($J206&lt;&gt;"",$J206&lt;$I206),AND($K206&lt;&gt;"",$K206&lt;MAX($I206:$J206)),AND($L206&lt;&gt;"",$L206&lt;MAX($I206:$K206))),"Avance semanal decreciente"&amp;" · ","")&amp;IF(AND(ISNUMBER($AN206),$AN206&lt;FechaRef,IF($V206="Sub",N($X206),N($M206))&lt;1),"Vencida"&amp;" · ","")&amp;IF(AND(ObsObligatoria="Sí",ISNUMBER($AN206),$AN206&lt;FechaRef,IF($V206="Sub",N($X206),N($M206))&lt;1,$Q206=""),"Vencida sin observación"&amp;" · ",""))-3)))</f>
        <v/>
      </c>
      <c r="S206" s="64">
        <f>IF(NOT((COUNTA($B206:$D206)+COUNTA($G206:$L206)+COUNTA($Q206))&gt;0),"",IF(AND($V206="Sub",N($U206)&gt;0),IF(ISNUMBER(INDEX($AM$5:$AM$1000,$U206-4)),DATE(YEAR(INDEX($AM$5:$AM$1000,$U206-4)),MONTH(INDEX($AM$5:$AM$1000,$U206-4)),1),IF(ISNUMBER(INDEX($AN$5:$AN$1000,$U206-4)),DATE(YEAR(INDEX($AN$5:$AN$1000,$U206-4)),MONTH(INDEX($AN$5:$AN$1000,$U206-4)),1),MesCiclo)),IF(ISNUMBER($AM206),DATE(YEAR($AM206),MONTH($AM206),1),IF(ISNUMBER($AN206),DATE(YEAR($AN206),MONTH($AN206),1),MesCiclo))))</f>
        <v/>
      </c>
      <c r="T206" s="62">
        <f>IF(OR($S206="",$S206&lt;&gt;MesCiclo,$V206&lt;&gt;"Macro"),"",COUNTIFS($S$5:$S206,MesCiclo,$V$5:$V206,"Macro"))</f>
        <v/>
      </c>
      <c r="U206" s="62">
        <f>IF($V206="","",IF($V206="Macro",ROW(),IFERROR(LOOKUP(2,1/($V$5:$V206="Macro"),ROW($V$5:$V206)),0)))</f>
        <v/>
      </c>
      <c r="V206" s="62">
        <f>IF(NOT((COUNTA($B206:$D206)+COUNTA($G206:$L206)+COUNTA($Q206))&gt;0),"",IF($B206="Subactividad","Sub","Macro"))</f>
        <v/>
      </c>
      <c r="W206" s="62">
        <f>IF($V206="Macro",COUNTIFS($U$5:$U$1000,ROW(),$V$5:$V$1000,"Sub"),"")</f>
        <v/>
      </c>
      <c r="X206" s="62">
        <f>IF($V206="","",IF(ISNUMBER($G206),1,IFERROR(LOOKUP(2,1/($I206:$L206&lt;&gt;""),$I206:$L206),0)))</f>
        <v/>
      </c>
      <c r="Y206" s="62">
        <f>IF($V206="","",IF(AND(ISNUMBER($G206),$G206&lt;=IF($S206=MesCiclo,InicioCiclo,$S206+MOD(2-WEEKDAY($S206),7))+6),1,IF(ISNUMBER($I206),$I206,0)))</f>
        <v/>
      </c>
      <c r="Z206" s="62">
        <f>IF($V206="","",IF(AND(ISNUMBER($G206),$G206&lt;=IF($S206=MesCiclo,InicioCiclo,$S206+MOD(2-WEEKDAY($S206),7))+13),1,IF(ISNUMBER($J206),$J206,$Y206)))</f>
        <v/>
      </c>
      <c r="AA206" s="62">
        <f>IF($V206="","",IF(AND(ISNUMBER($G206),$G206&lt;=IF($S206=MesCiclo,InicioCiclo,$S206+MOD(2-WEEKDAY($S206),7))+20),1,IF(ISNUMBER($K206),$K206,$Z206)))</f>
        <v/>
      </c>
      <c r="AB206" s="62">
        <f>IF($V206="","",IF(AND(ISNUMBER($G206),$G206&lt;=IF($S206=MesCiclo,InicioCiclo,$S206+MOD(2-WEEKDAY($S206),7))+27),1,IF(ISNUMBER($L206),$L206,$AA206)))</f>
        <v/>
      </c>
      <c r="AC206" s="62">
        <f>IF($V206="","",IF(AND(ISNUMBER($G206),$G206&lt;=IF($S206=MesCiclo,InicioCiclo,$S206+MOD(2-WEEKDAY($S206),7))+6),1,IF(N($W206)&gt;0,AVERAGEIFS($Y$5:$Y$1000,$U$5:$U$1000,ROW(),$V$5:$V$1000,"Sub"),$Y206)))</f>
        <v/>
      </c>
      <c r="AD206" s="62">
        <f>IF($V206="","",IF(AND(ISNUMBER($G206),$G206&lt;=IF($S206=MesCiclo,InicioCiclo,$S206+MOD(2-WEEKDAY($S206),7))+13),1,IF(N($W206)&gt;0,AVERAGEIFS($Z$5:$Z$1000,$U$5:$U$1000,ROW(),$V$5:$V$1000,"Sub"),$Z206)))</f>
        <v/>
      </c>
      <c r="AE206" s="62">
        <f>IF($V206="","",IF(AND(ISNUMBER($G206),$G206&lt;=IF($S206=MesCiclo,InicioCiclo,$S206+MOD(2-WEEKDAY($S206),7))+20),1,IF(N($W206)&gt;0,AVERAGEIFS($AA$5:$AA$1000,$U$5:$U$1000,ROW(),$V$5:$V$1000,"Sub"),$AA206)))</f>
        <v/>
      </c>
      <c r="AF206" s="62">
        <f>IF($V206="","",IF(AND(ISNUMBER($G206),$G206&lt;=IF($S206=MesCiclo,InicioCiclo,$S206+MOD(2-WEEKDAY($S206),7))+27),1,IF(N($W206)&gt;0,AVERAGEIFS($AB$5:$AB$1000,$U$5:$U$1000,ROW(),$V$5:$V$1000,"Sub"),$AB206)))</f>
        <v/>
      </c>
      <c r="AG206" s="62">
        <f>IF($V206&lt;&gt;"Macro","",IF(COUNTIFS($S$5:$S$1000,$S206,$V$5:$V$1000,"Macro",$H$5:$H$1000,"&gt;0")=0,1/COUNTIFS($S$5:$S$1000,$S206,$V$5:$V$1000,"Macro"),IF(AND(ISNUMBER($H206),N($H206)&gt;0),$H206,SUMIFS($H$5:$H$1000,$S$5:$S$1000,$S206,$V$5:$V$1000,"Macro")/COUNTIFS($S$5:$S$1000,$S206,$V$5:$V$1000,"Macro",$H$5:$H$1000,"&gt;0"))/(COUNTIFS($S$5:$S$1000,$S206,$V$5:$V$1000,"Macro")*SUMIFS($H$5:$H$1000,$S$5:$S$1000,$S206,$V$5:$V$1000,"Macro")/COUNTIFS($S$5:$S$1000,$S206,$V$5:$V$1000,"Macro",$H$5:$H$1000,"&gt;0"))))</f>
        <v/>
      </c>
      <c r="AH206" s="62" t="n"/>
      <c r="AI206" s="62" t="n"/>
      <c r="AJ206" s="62" t="n"/>
      <c r="AK206" s="62" t="n"/>
      <c r="AL206" s="62">
        <f>IF(LEFT($C206,11)="[Jefatura] ",IFERROR(MATCH("Riesgo Normativo|"&amp;MID($C206,12,500),rDname_ADM,0),0),"")</f>
        <v/>
      </c>
      <c r="AM206" s="62">
        <f>IF(N($AL206)&gt;0,INDEX(rIni_ADM,$AL206),IF(ISNUMBER($E206),$E206,""))</f>
        <v/>
      </c>
      <c r="AN206" s="62">
        <f>IF(N($AL206)&gt;0,INDEX(rLim_ADM,$AL206),IF(ISNUMBER($F206),$F206,""))</f>
        <v/>
      </c>
    </row>
    <row r="207">
      <c r="A207" s="56">
        <f>IF(NOT((COUNTA($B207:$D207)+COUNTA($G207:$L207)+COUNTA($Q207))&gt;0),"",IF($V207="Macro",COUNTIFS($V$5:$V207,"Macro",$S$5:$S207,$S207),IF(N($U207)=0,"?",COUNTIFS(INDEX($V$5:$V$1000,1):INDEX($V$5:$V$1000,$U207-4),"Macro",INDEX($S$5:$S$1000,1):INDEX($S$5:$S$1000,$U207-4),INDEX($S$5:$S$1000,$U207-4))&amp;"."&amp;COUNTIFS($U$5:$U207,$U207,$V$5:$V207,"Sub"))))</f>
        <v/>
      </c>
      <c r="B207" s="57" t="n"/>
      <c r="C207" s="58" t="n"/>
      <c r="D207" s="58" t="n"/>
      <c r="E207" s="59">
        <f>IF(N($AL207)&gt;0,INDEX(rIni_ADM,$AL207),"")</f>
        <v/>
      </c>
      <c r="F207" s="59">
        <f>IF(N($AL207)&gt;0,INDEX(rLim_ADM,$AL207),"")</f>
        <v/>
      </c>
      <c r="G207" s="59" t="n"/>
      <c r="H207" s="60" t="n"/>
      <c r="I207" s="60" t="n"/>
      <c r="J207" s="60" t="n"/>
      <c r="K207" s="60" t="n"/>
      <c r="L207" s="60" t="n"/>
      <c r="M207" s="61">
        <f>IF(NOT((COUNTA($B207:$D207)+COUNTA($G207:$L207)+COUNTA($Q207))&gt;0),"",IF($V207="Sub",IFERROR($X207/INDEX($W$5:$W$1000,$U207-4),""),IF(ISNUMBER($G207),1,IF(N($W207)&gt;0,AVERAGEIFS($X$5:$X$1000,$U$5:$U$1000,ROW(),$V$5:$V$1000,"Sub"),$X207))))</f>
        <v/>
      </c>
      <c r="N207" s="56">
        <f>IF(OR($M207="",$V207="Sub"),"",IF($M207&gt;=1,"Completado",IF($M207&gt;0,"En curso","Pendiente")))</f>
        <v/>
      </c>
      <c r="O207" s="56">
        <f>IF(OR(NOT((COUNTA($B207:$D207)+COUNTA($G207:$L207)+COUNTA($Q207))&gt;0),$V207="Sub"),"",IF(ISNUMBER($G207),IF(AND(ISNUMBER($AN207),$G207&gt;$AN207),"Cumplida con "&amp;($G207-$AN207)&amp;IF($G207-$AN207=1," día"," días")&amp;" de retraso","Cumplida"),IF(N($M207)&gt;=1,"Cumplida",IF(NOT(ISNUMBER($AN207)),"Sin fecha límite",IF($AN207&lt;FechaRef,"Vencida hace "&amp;(FechaRef-$AN207)&amp;IF(FechaRef-$AN207=1," día"," días"),IF($AN207=FechaRef,"Vence hoy",IF($AN207-FechaRef&lt;=DiasAlerta,"Vence en "&amp;($AN207-FechaRef)&amp;IF($AN207-FechaRef=1," día"," días"),"En plazo")))))))</f>
        <v/>
      </c>
      <c r="P207" s="62" t="n"/>
      <c r="Q207" s="58" t="n"/>
      <c r="R207" s="63">
        <f>IF(NOT((COUNTA($B207:$D207)+COUNTA($G207:$L207)+COUNTA($Q207))&gt;0),"",IF((IF($C207="","Falta el nombre de la actividad"&amp;" · ","")&amp;IF(AND($V207="Sub",N($U207)=0),"Subactividad sin macroactividad arriba"&amp;" · ","")&amp;IF($AM207="","Sin fecha de inicio"&amp;" · ","")&amp;IF($AN207="","Sin fecha límite"&amp;" · ","")&amp;IF(AND(LEFT($C207,11)="[Jefatura] ",N($AL207)=0),"No se encuentra en la hoja de la jefatura (elíjala de nuevo en la lista)"&amp;" · ","")&amp;IF(OR(AND($E207&lt;&gt;"",NOT(ISNUMBER($E207))),AND($F207&lt;&gt;"",NOT(ISNUMBER($F207))),AND($G207&lt;&gt;"",NOT(ISNUMBER($G207)))),"Fecha no válida"&amp;" · ","")&amp;IF(AND(ISNUMBER($AM207),ISNUMBER($AN207),$AM207&gt;$AN207),"Inicio posterior a fecha límite"&amp;" · ","")&amp;IF(AND($V207="Macro",$H207&lt;&gt;"",OR(NOT(ISNUMBER($H207)),$H207&lt;0,$H207&gt;1)),"Peso fuera de rango"&amp;" · ","")&amp;IF(AND($V207="Sub",$H207&lt;&gt;""),"Las subactividades no llevan peso (valen igual dentro de su macroactividad)"&amp;" · ","")&amp;IF(AND(N($W207)&gt;0,COUNT($I207:$L207)&gt;0),"Con subactividades: deje vacías las semanas (se calculan solas)"&amp;" · ","")&amp;IF((COUNTIF($I207:$L207,"&gt;1")+COUNTIF($I207:$L207,"&lt;0")+COUNTA($I207:$L207)-COUNT($I207:$L207))&gt;0,"Avance fuera de rango 0-100%"&amp;" · ","")&amp;IF(OR(AND($J207&lt;&gt;"",$J207&lt;$I207),AND($K207&lt;&gt;"",$K207&lt;MAX($I207:$J207)),AND($L207&lt;&gt;"",$L207&lt;MAX($I207:$K207))),"Avance semanal decreciente"&amp;" · ","")&amp;IF(AND(ISNUMBER($AN207),$AN207&lt;FechaRef,IF($V207="Sub",N($X207),N($M207))&lt;1),"Vencida"&amp;" · ","")&amp;IF(AND(ObsObligatoria="Sí",ISNUMBER($AN207),$AN207&lt;FechaRef,IF($V207="Sub",N($X207),N($M207))&lt;1,$Q207=""),"Vencida sin observación"&amp;" · ",""))="","✔ OK","⚠ "&amp;LEFT(IF($C207="","Falta el nombre de la actividad"&amp;" · ","")&amp;IF(AND($V207="Sub",N($U207)=0),"Subactividad sin macroactividad arriba"&amp;" · ","")&amp;IF($AM207="","Sin fecha de inicio"&amp;" · ","")&amp;IF($AN207="","Sin fecha límite"&amp;" · ","")&amp;IF(AND(LEFT($C207,11)="[Jefatura] ",N($AL207)=0),"No se encuentra en la hoja de la jefatura (elíjala de nuevo en la lista)"&amp;" · ","")&amp;IF(OR(AND($E207&lt;&gt;"",NOT(ISNUMBER($E207))),AND($F207&lt;&gt;"",NOT(ISNUMBER($F207))),AND($G207&lt;&gt;"",NOT(ISNUMBER($G207)))),"Fecha no válida"&amp;" · ","")&amp;IF(AND(ISNUMBER($AM207),ISNUMBER($AN207),$AM207&gt;$AN207),"Inicio posterior a fecha límite"&amp;" · ","")&amp;IF(AND($V207="Macro",$H207&lt;&gt;"",OR(NOT(ISNUMBER($H207)),$H207&lt;0,$H207&gt;1)),"Peso fuera de rango"&amp;" · ","")&amp;IF(AND($V207="Sub",$H207&lt;&gt;""),"Las subactividades no llevan peso (valen igual dentro de su macroactividad)"&amp;" · ","")&amp;IF(AND(N($W207)&gt;0,COUNT($I207:$L207)&gt;0),"Con subactividades: deje vacías las semanas (se calculan solas)"&amp;" · ","")&amp;IF((COUNTIF($I207:$L207,"&gt;1")+COUNTIF($I207:$L207,"&lt;0")+COUNTA($I207:$L207)-COUNT($I207:$L207))&gt;0,"Avance fuera de rango 0-100%"&amp;" · ","")&amp;IF(OR(AND($J207&lt;&gt;"",$J207&lt;$I207),AND($K207&lt;&gt;"",$K207&lt;MAX($I207:$J207)),AND($L207&lt;&gt;"",$L207&lt;MAX($I207:$K207))),"Avance semanal decreciente"&amp;" · ","")&amp;IF(AND(ISNUMBER($AN207),$AN207&lt;FechaRef,IF($V207="Sub",N($X207),N($M207))&lt;1),"Vencida"&amp;" · ","")&amp;IF(AND(ObsObligatoria="Sí",ISNUMBER($AN207),$AN207&lt;FechaRef,IF($V207="Sub",N($X207),N($M207))&lt;1,$Q207=""),"Vencida sin observación"&amp;" · ",""),LEN(IF($C207="","Falta el nombre de la actividad"&amp;" · ","")&amp;IF(AND($V207="Sub",N($U207)=0),"Subactividad sin macroactividad arriba"&amp;" · ","")&amp;IF($AM207="","Sin fecha de inicio"&amp;" · ","")&amp;IF($AN207="","Sin fecha límite"&amp;" · ","")&amp;IF(AND(LEFT($C207,11)="[Jefatura] ",N($AL207)=0),"No se encuentra en la hoja de la jefatura (elíjala de nuevo en la lista)"&amp;" · ","")&amp;IF(OR(AND($E207&lt;&gt;"",NOT(ISNUMBER($E207))),AND($F207&lt;&gt;"",NOT(ISNUMBER($F207))),AND($G207&lt;&gt;"",NOT(ISNUMBER($G207)))),"Fecha no válida"&amp;" · ","")&amp;IF(AND(ISNUMBER($AM207),ISNUMBER($AN207),$AM207&gt;$AN207),"Inicio posterior a fecha límite"&amp;" · ","")&amp;IF(AND($V207="Macro",$H207&lt;&gt;"",OR(NOT(ISNUMBER($H207)),$H207&lt;0,$H207&gt;1)),"Peso fuera de rango"&amp;" · ","")&amp;IF(AND($V207="Sub",$H207&lt;&gt;""),"Las subactividades no llevan peso (valen igual dentro de su macroactividad)"&amp;" · ","")&amp;IF(AND(N($W207)&gt;0,COUNT($I207:$L207)&gt;0),"Con subactividades: deje vacías las semanas (se calculan solas)"&amp;" · ","")&amp;IF((COUNTIF($I207:$L207,"&gt;1")+COUNTIF($I207:$L207,"&lt;0")+COUNTA($I207:$L207)-COUNT($I207:$L207))&gt;0,"Avance fuera de rango 0-100%"&amp;" · ","")&amp;IF(OR(AND($J207&lt;&gt;"",$J207&lt;$I207),AND($K207&lt;&gt;"",$K207&lt;MAX($I207:$J207)),AND($L207&lt;&gt;"",$L207&lt;MAX($I207:$K207))),"Avance semanal decreciente"&amp;" · ","")&amp;IF(AND(ISNUMBER($AN207),$AN207&lt;FechaRef,IF($V207="Sub",N($X207),N($M207))&lt;1),"Vencida"&amp;" · ","")&amp;IF(AND(ObsObligatoria="Sí",ISNUMBER($AN207),$AN207&lt;FechaRef,IF($V207="Sub",N($X207),N($M207))&lt;1,$Q207=""),"Vencida sin observación"&amp;" · ",""))-3)))</f>
        <v/>
      </c>
      <c r="S207" s="64">
        <f>IF(NOT((COUNTA($B207:$D207)+COUNTA($G207:$L207)+COUNTA($Q207))&gt;0),"",IF(AND($V207="Sub",N($U207)&gt;0),IF(ISNUMBER(INDEX($AM$5:$AM$1000,$U207-4)),DATE(YEAR(INDEX($AM$5:$AM$1000,$U207-4)),MONTH(INDEX($AM$5:$AM$1000,$U207-4)),1),IF(ISNUMBER(INDEX($AN$5:$AN$1000,$U207-4)),DATE(YEAR(INDEX($AN$5:$AN$1000,$U207-4)),MONTH(INDEX($AN$5:$AN$1000,$U207-4)),1),MesCiclo)),IF(ISNUMBER($AM207),DATE(YEAR($AM207),MONTH($AM207),1),IF(ISNUMBER($AN207),DATE(YEAR($AN207),MONTH($AN207),1),MesCiclo))))</f>
        <v/>
      </c>
      <c r="T207" s="62">
        <f>IF(OR($S207="",$S207&lt;&gt;MesCiclo,$V207&lt;&gt;"Macro"),"",COUNTIFS($S$5:$S207,MesCiclo,$V$5:$V207,"Macro"))</f>
        <v/>
      </c>
      <c r="U207" s="62">
        <f>IF($V207="","",IF($V207="Macro",ROW(),IFERROR(LOOKUP(2,1/($V$5:$V207="Macro"),ROW($V$5:$V207)),0)))</f>
        <v/>
      </c>
      <c r="V207" s="62">
        <f>IF(NOT((COUNTA($B207:$D207)+COUNTA($G207:$L207)+COUNTA($Q207))&gt;0),"",IF($B207="Subactividad","Sub","Macro"))</f>
        <v/>
      </c>
      <c r="W207" s="62">
        <f>IF($V207="Macro",COUNTIFS($U$5:$U$1000,ROW(),$V$5:$V$1000,"Sub"),"")</f>
        <v/>
      </c>
      <c r="X207" s="62">
        <f>IF($V207="","",IF(ISNUMBER($G207),1,IFERROR(LOOKUP(2,1/($I207:$L207&lt;&gt;""),$I207:$L207),0)))</f>
        <v/>
      </c>
      <c r="Y207" s="62">
        <f>IF($V207="","",IF(AND(ISNUMBER($G207),$G207&lt;=IF($S207=MesCiclo,InicioCiclo,$S207+MOD(2-WEEKDAY($S207),7))+6),1,IF(ISNUMBER($I207),$I207,0)))</f>
        <v/>
      </c>
      <c r="Z207" s="62">
        <f>IF($V207="","",IF(AND(ISNUMBER($G207),$G207&lt;=IF($S207=MesCiclo,InicioCiclo,$S207+MOD(2-WEEKDAY($S207),7))+13),1,IF(ISNUMBER($J207),$J207,$Y207)))</f>
        <v/>
      </c>
      <c r="AA207" s="62">
        <f>IF($V207="","",IF(AND(ISNUMBER($G207),$G207&lt;=IF($S207=MesCiclo,InicioCiclo,$S207+MOD(2-WEEKDAY($S207),7))+20),1,IF(ISNUMBER($K207),$K207,$Z207)))</f>
        <v/>
      </c>
      <c r="AB207" s="62">
        <f>IF($V207="","",IF(AND(ISNUMBER($G207),$G207&lt;=IF($S207=MesCiclo,InicioCiclo,$S207+MOD(2-WEEKDAY($S207),7))+27),1,IF(ISNUMBER($L207),$L207,$AA207)))</f>
        <v/>
      </c>
      <c r="AC207" s="62">
        <f>IF($V207="","",IF(AND(ISNUMBER($G207),$G207&lt;=IF($S207=MesCiclo,InicioCiclo,$S207+MOD(2-WEEKDAY($S207),7))+6),1,IF(N($W207)&gt;0,AVERAGEIFS($Y$5:$Y$1000,$U$5:$U$1000,ROW(),$V$5:$V$1000,"Sub"),$Y207)))</f>
        <v/>
      </c>
      <c r="AD207" s="62">
        <f>IF($V207="","",IF(AND(ISNUMBER($G207),$G207&lt;=IF($S207=MesCiclo,InicioCiclo,$S207+MOD(2-WEEKDAY($S207),7))+13),1,IF(N($W207)&gt;0,AVERAGEIFS($Z$5:$Z$1000,$U$5:$U$1000,ROW(),$V$5:$V$1000,"Sub"),$Z207)))</f>
        <v/>
      </c>
      <c r="AE207" s="62">
        <f>IF($V207="","",IF(AND(ISNUMBER($G207),$G207&lt;=IF($S207=MesCiclo,InicioCiclo,$S207+MOD(2-WEEKDAY($S207),7))+20),1,IF(N($W207)&gt;0,AVERAGEIFS($AA$5:$AA$1000,$U$5:$U$1000,ROW(),$V$5:$V$1000,"Sub"),$AA207)))</f>
        <v/>
      </c>
      <c r="AF207" s="62">
        <f>IF($V207="","",IF(AND(ISNUMBER($G207),$G207&lt;=IF($S207=MesCiclo,InicioCiclo,$S207+MOD(2-WEEKDAY($S207),7))+27),1,IF(N($W207)&gt;0,AVERAGEIFS($AB$5:$AB$1000,$U$5:$U$1000,ROW(),$V$5:$V$1000,"Sub"),$AB207)))</f>
        <v/>
      </c>
      <c r="AG207" s="62">
        <f>IF($V207&lt;&gt;"Macro","",IF(COUNTIFS($S$5:$S$1000,$S207,$V$5:$V$1000,"Macro",$H$5:$H$1000,"&gt;0")=0,1/COUNTIFS($S$5:$S$1000,$S207,$V$5:$V$1000,"Macro"),IF(AND(ISNUMBER($H207),N($H207)&gt;0),$H207,SUMIFS($H$5:$H$1000,$S$5:$S$1000,$S207,$V$5:$V$1000,"Macro")/COUNTIFS($S$5:$S$1000,$S207,$V$5:$V$1000,"Macro",$H$5:$H$1000,"&gt;0"))/(COUNTIFS($S$5:$S$1000,$S207,$V$5:$V$1000,"Macro")*SUMIFS($H$5:$H$1000,$S$5:$S$1000,$S207,$V$5:$V$1000,"Macro")/COUNTIFS($S$5:$S$1000,$S207,$V$5:$V$1000,"Macro",$H$5:$H$1000,"&gt;0"))))</f>
        <v/>
      </c>
      <c r="AH207" s="62" t="n"/>
      <c r="AI207" s="62" t="n"/>
      <c r="AJ207" s="62" t="n"/>
      <c r="AK207" s="62" t="n"/>
      <c r="AL207" s="62">
        <f>IF(LEFT($C207,11)="[Jefatura] ",IFERROR(MATCH("Riesgo Normativo|"&amp;MID($C207,12,500),rDname_ADM,0),0),"")</f>
        <v/>
      </c>
      <c r="AM207" s="62">
        <f>IF(N($AL207)&gt;0,INDEX(rIni_ADM,$AL207),IF(ISNUMBER($E207),$E207,""))</f>
        <v/>
      </c>
      <c r="AN207" s="62">
        <f>IF(N($AL207)&gt;0,INDEX(rLim_ADM,$AL207),IF(ISNUMBER($F207),$F207,""))</f>
        <v/>
      </c>
    </row>
    <row r="208">
      <c r="A208" s="56">
        <f>IF(NOT((COUNTA($B208:$D208)+COUNTA($G208:$L208)+COUNTA($Q208))&gt;0),"",IF($V208="Macro",COUNTIFS($V$5:$V208,"Macro",$S$5:$S208,$S208),IF(N($U208)=0,"?",COUNTIFS(INDEX($V$5:$V$1000,1):INDEX($V$5:$V$1000,$U208-4),"Macro",INDEX($S$5:$S$1000,1):INDEX($S$5:$S$1000,$U208-4),INDEX($S$5:$S$1000,$U208-4))&amp;"."&amp;COUNTIFS($U$5:$U208,$U208,$V$5:$V208,"Sub"))))</f>
        <v/>
      </c>
      <c r="B208" s="57" t="n"/>
      <c r="C208" s="58" t="n"/>
      <c r="D208" s="58" t="n"/>
      <c r="E208" s="59">
        <f>IF(N($AL208)&gt;0,INDEX(rIni_ADM,$AL208),"")</f>
        <v/>
      </c>
      <c r="F208" s="59">
        <f>IF(N($AL208)&gt;0,INDEX(rLim_ADM,$AL208),"")</f>
        <v/>
      </c>
      <c r="G208" s="59" t="n"/>
      <c r="H208" s="60" t="n"/>
      <c r="I208" s="60" t="n"/>
      <c r="J208" s="60" t="n"/>
      <c r="K208" s="60" t="n"/>
      <c r="L208" s="60" t="n"/>
      <c r="M208" s="61">
        <f>IF(NOT((COUNTA($B208:$D208)+COUNTA($G208:$L208)+COUNTA($Q208))&gt;0),"",IF($V208="Sub",IFERROR($X208/INDEX($W$5:$W$1000,$U208-4),""),IF(ISNUMBER($G208),1,IF(N($W208)&gt;0,AVERAGEIFS($X$5:$X$1000,$U$5:$U$1000,ROW(),$V$5:$V$1000,"Sub"),$X208))))</f>
        <v/>
      </c>
      <c r="N208" s="56">
        <f>IF(OR($M208="",$V208="Sub"),"",IF($M208&gt;=1,"Completado",IF($M208&gt;0,"En curso","Pendiente")))</f>
        <v/>
      </c>
      <c r="O208" s="56">
        <f>IF(OR(NOT((COUNTA($B208:$D208)+COUNTA($G208:$L208)+COUNTA($Q208))&gt;0),$V208="Sub"),"",IF(ISNUMBER($G208),IF(AND(ISNUMBER($AN208),$G208&gt;$AN208),"Cumplida con "&amp;($G208-$AN208)&amp;IF($G208-$AN208=1," día"," días")&amp;" de retraso","Cumplida"),IF(N($M208)&gt;=1,"Cumplida",IF(NOT(ISNUMBER($AN208)),"Sin fecha límite",IF($AN208&lt;FechaRef,"Vencida hace "&amp;(FechaRef-$AN208)&amp;IF(FechaRef-$AN208=1," día"," días"),IF($AN208=FechaRef,"Vence hoy",IF($AN208-FechaRef&lt;=DiasAlerta,"Vence en "&amp;($AN208-FechaRef)&amp;IF($AN208-FechaRef=1," día"," días"),"En plazo")))))))</f>
        <v/>
      </c>
      <c r="P208" s="62" t="n"/>
      <c r="Q208" s="58" t="n"/>
      <c r="R208" s="63">
        <f>IF(NOT((COUNTA($B208:$D208)+COUNTA($G208:$L208)+COUNTA($Q208))&gt;0),"",IF((IF($C208="","Falta el nombre de la actividad"&amp;" · ","")&amp;IF(AND($V208="Sub",N($U208)=0),"Subactividad sin macroactividad arriba"&amp;" · ","")&amp;IF($AM208="","Sin fecha de inicio"&amp;" · ","")&amp;IF($AN208="","Sin fecha límite"&amp;" · ","")&amp;IF(AND(LEFT($C208,11)="[Jefatura] ",N($AL208)=0),"No se encuentra en la hoja de la jefatura (elíjala de nuevo en la lista)"&amp;" · ","")&amp;IF(OR(AND($E208&lt;&gt;"",NOT(ISNUMBER($E208))),AND($F208&lt;&gt;"",NOT(ISNUMBER($F208))),AND($G208&lt;&gt;"",NOT(ISNUMBER($G208)))),"Fecha no válida"&amp;" · ","")&amp;IF(AND(ISNUMBER($AM208),ISNUMBER($AN208),$AM208&gt;$AN208),"Inicio posterior a fecha límite"&amp;" · ","")&amp;IF(AND($V208="Macro",$H208&lt;&gt;"",OR(NOT(ISNUMBER($H208)),$H208&lt;0,$H208&gt;1)),"Peso fuera de rango"&amp;" · ","")&amp;IF(AND($V208="Sub",$H208&lt;&gt;""),"Las subactividades no llevan peso (valen igual dentro de su macroactividad)"&amp;" · ","")&amp;IF(AND(N($W208)&gt;0,COUNT($I208:$L208)&gt;0),"Con subactividades: deje vacías las semanas (se calculan solas)"&amp;" · ","")&amp;IF((COUNTIF($I208:$L208,"&gt;1")+COUNTIF($I208:$L208,"&lt;0")+COUNTA($I208:$L208)-COUNT($I208:$L208))&gt;0,"Avance fuera de rango 0-100%"&amp;" · ","")&amp;IF(OR(AND($J208&lt;&gt;"",$J208&lt;$I208),AND($K208&lt;&gt;"",$K208&lt;MAX($I208:$J208)),AND($L208&lt;&gt;"",$L208&lt;MAX($I208:$K208))),"Avance semanal decreciente"&amp;" · ","")&amp;IF(AND(ISNUMBER($AN208),$AN208&lt;FechaRef,IF($V208="Sub",N($X208),N($M208))&lt;1),"Vencida"&amp;" · ","")&amp;IF(AND(ObsObligatoria="Sí",ISNUMBER($AN208),$AN208&lt;FechaRef,IF($V208="Sub",N($X208),N($M208))&lt;1,$Q208=""),"Vencida sin observación"&amp;" · ",""))="","✔ OK","⚠ "&amp;LEFT(IF($C208="","Falta el nombre de la actividad"&amp;" · ","")&amp;IF(AND($V208="Sub",N($U208)=0),"Subactividad sin macroactividad arriba"&amp;" · ","")&amp;IF($AM208="","Sin fecha de inicio"&amp;" · ","")&amp;IF($AN208="","Sin fecha límite"&amp;" · ","")&amp;IF(AND(LEFT($C208,11)="[Jefatura] ",N($AL208)=0),"No se encuentra en la hoja de la jefatura (elíjala de nuevo en la lista)"&amp;" · ","")&amp;IF(OR(AND($E208&lt;&gt;"",NOT(ISNUMBER($E208))),AND($F208&lt;&gt;"",NOT(ISNUMBER($F208))),AND($G208&lt;&gt;"",NOT(ISNUMBER($G208)))),"Fecha no válida"&amp;" · ","")&amp;IF(AND(ISNUMBER($AM208),ISNUMBER($AN208),$AM208&gt;$AN208),"Inicio posterior a fecha límite"&amp;" · ","")&amp;IF(AND($V208="Macro",$H208&lt;&gt;"",OR(NOT(ISNUMBER($H208)),$H208&lt;0,$H208&gt;1)),"Peso fuera de rango"&amp;" · ","")&amp;IF(AND($V208="Sub",$H208&lt;&gt;""),"Las subactividades no llevan peso (valen igual dentro de su macroactividad)"&amp;" · ","")&amp;IF(AND(N($W208)&gt;0,COUNT($I208:$L208)&gt;0),"Con subactividades: deje vacías las semanas (se calculan solas)"&amp;" · ","")&amp;IF((COUNTIF($I208:$L208,"&gt;1")+COUNTIF($I208:$L208,"&lt;0")+COUNTA($I208:$L208)-COUNT($I208:$L208))&gt;0,"Avance fuera de rango 0-100%"&amp;" · ","")&amp;IF(OR(AND($J208&lt;&gt;"",$J208&lt;$I208),AND($K208&lt;&gt;"",$K208&lt;MAX($I208:$J208)),AND($L208&lt;&gt;"",$L208&lt;MAX($I208:$K208))),"Avance semanal decreciente"&amp;" · ","")&amp;IF(AND(ISNUMBER($AN208),$AN208&lt;FechaRef,IF($V208="Sub",N($X208),N($M208))&lt;1),"Vencida"&amp;" · ","")&amp;IF(AND(ObsObligatoria="Sí",ISNUMBER($AN208),$AN208&lt;FechaRef,IF($V208="Sub",N($X208),N($M208))&lt;1,$Q208=""),"Vencida sin observación"&amp;" · ",""),LEN(IF($C208="","Falta el nombre de la actividad"&amp;" · ","")&amp;IF(AND($V208="Sub",N($U208)=0),"Subactividad sin macroactividad arriba"&amp;" · ","")&amp;IF($AM208="","Sin fecha de inicio"&amp;" · ","")&amp;IF($AN208="","Sin fecha límite"&amp;" · ","")&amp;IF(AND(LEFT($C208,11)="[Jefatura] ",N($AL208)=0),"No se encuentra en la hoja de la jefatura (elíjala de nuevo en la lista)"&amp;" · ","")&amp;IF(OR(AND($E208&lt;&gt;"",NOT(ISNUMBER($E208))),AND($F208&lt;&gt;"",NOT(ISNUMBER($F208))),AND($G208&lt;&gt;"",NOT(ISNUMBER($G208)))),"Fecha no válida"&amp;" · ","")&amp;IF(AND(ISNUMBER($AM208),ISNUMBER($AN208),$AM208&gt;$AN208),"Inicio posterior a fecha límite"&amp;" · ","")&amp;IF(AND($V208="Macro",$H208&lt;&gt;"",OR(NOT(ISNUMBER($H208)),$H208&lt;0,$H208&gt;1)),"Peso fuera de rango"&amp;" · ","")&amp;IF(AND($V208="Sub",$H208&lt;&gt;""),"Las subactividades no llevan peso (valen igual dentro de su macroactividad)"&amp;" · ","")&amp;IF(AND(N($W208)&gt;0,COUNT($I208:$L208)&gt;0),"Con subactividades: deje vacías las semanas (se calculan solas)"&amp;" · ","")&amp;IF((COUNTIF($I208:$L208,"&gt;1")+COUNTIF($I208:$L208,"&lt;0")+COUNTA($I208:$L208)-COUNT($I208:$L208))&gt;0,"Avance fuera de rango 0-100%"&amp;" · ","")&amp;IF(OR(AND($J208&lt;&gt;"",$J208&lt;$I208),AND($K208&lt;&gt;"",$K208&lt;MAX($I208:$J208)),AND($L208&lt;&gt;"",$L208&lt;MAX($I208:$K208))),"Avance semanal decreciente"&amp;" · ","")&amp;IF(AND(ISNUMBER($AN208),$AN208&lt;FechaRef,IF($V208="Sub",N($X208),N($M208))&lt;1),"Vencida"&amp;" · ","")&amp;IF(AND(ObsObligatoria="Sí",ISNUMBER($AN208),$AN208&lt;FechaRef,IF($V208="Sub",N($X208),N($M208))&lt;1,$Q208=""),"Vencida sin observación"&amp;" · ",""))-3)))</f>
        <v/>
      </c>
      <c r="S208" s="64">
        <f>IF(NOT((COUNTA($B208:$D208)+COUNTA($G208:$L208)+COUNTA($Q208))&gt;0),"",IF(AND($V208="Sub",N($U208)&gt;0),IF(ISNUMBER(INDEX($AM$5:$AM$1000,$U208-4)),DATE(YEAR(INDEX($AM$5:$AM$1000,$U208-4)),MONTH(INDEX($AM$5:$AM$1000,$U208-4)),1),IF(ISNUMBER(INDEX($AN$5:$AN$1000,$U208-4)),DATE(YEAR(INDEX($AN$5:$AN$1000,$U208-4)),MONTH(INDEX($AN$5:$AN$1000,$U208-4)),1),MesCiclo)),IF(ISNUMBER($AM208),DATE(YEAR($AM208),MONTH($AM208),1),IF(ISNUMBER($AN208),DATE(YEAR($AN208),MONTH($AN208),1),MesCiclo))))</f>
        <v/>
      </c>
      <c r="T208" s="62">
        <f>IF(OR($S208="",$S208&lt;&gt;MesCiclo,$V208&lt;&gt;"Macro"),"",COUNTIFS($S$5:$S208,MesCiclo,$V$5:$V208,"Macro"))</f>
        <v/>
      </c>
      <c r="U208" s="62">
        <f>IF($V208="","",IF($V208="Macro",ROW(),IFERROR(LOOKUP(2,1/($V$5:$V208="Macro"),ROW($V$5:$V208)),0)))</f>
        <v/>
      </c>
      <c r="V208" s="62">
        <f>IF(NOT((COUNTA($B208:$D208)+COUNTA($G208:$L208)+COUNTA($Q208))&gt;0),"",IF($B208="Subactividad","Sub","Macro"))</f>
        <v/>
      </c>
      <c r="W208" s="62">
        <f>IF($V208="Macro",COUNTIFS($U$5:$U$1000,ROW(),$V$5:$V$1000,"Sub"),"")</f>
        <v/>
      </c>
      <c r="X208" s="62">
        <f>IF($V208="","",IF(ISNUMBER($G208),1,IFERROR(LOOKUP(2,1/($I208:$L208&lt;&gt;""),$I208:$L208),0)))</f>
        <v/>
      </c>
      <c r="Y208" s="62">
        <f>IF($V208="","",IF(AND(ISNUMBER($G208),$G208&lt;=IF($S208=MesCiclo,InicioCiclo,$S208+MOD(2-WEEKDAY($S208),7))+6),1,IF(ISNUMBER($I208),$I208,0)))</f>
        <v/>
      </c>
      <c r="Z208" s="62">
        <f>IF($V208="","",IF(AND(ISNUMBER($G208),$G208&lt;=IF($S208=MesCiclo,InicioCiclo,$S208+MOD(2-WEEKDAY($S208),7))+13),1,IF(ISNUMBER($J208),$J208,$Y208)))</f>
        <v/>
      </c>
      <c r="AA208" s="62">
        <f>IF($V208="","",IF(AND(ISNUMBER($G208),$G208&lt;=IF($S208=MesCiclo,InicioCiclo,$S208+MOD(2-WEEKDAY($S208),7))+20),1,IF(ISNUMBER($K208),$K208,$Z208)))</f>
        <v/>
      </c>
      <c r="AB208" s="62">
        <f>IF($V208="","",IF(AND(ISNUMBER($G208),$G208&lt;=IF($S208=MesCiclo,InicioCiclo,$S208+MOD(2-WEEKDAY($S208),7))+27),1,IF(ISNUMBER($L208),$L208,$AA208)))</f>
        <v/>
      </c>
      <c r="AC208" s="62">
        <f>IF($V208="","",IF(AND(ISNUMBER($G208),$G208&lt;=IF($S208=MesCiclo,InicioCiclo,$S208+MOD(2-WEEKDAY($S208),7))+6),1,IF(N($W208)&gt;0,AVERAGEIFS($Y$5:$Y$1000,$U$5:$U$1000,ROW(),$V$5:$V$1000,"Sub"),$Y208)))</f>
        <v/>
      </c>
      <c r="AD208" s="62">
        <f>IF($V208="","",IF(AND(ISNUMBER($G208),$G208&lt;=IF($S208=MesCiclo,InicioCiclo,$S208+MOD(2-WEEKDAY($S208),7))+13),1,IF(N($W208)&gt;0,AVERAGEIFS($Z$5:$Z$1000,$U$5:$U$1000,ROW(),$V$5:$V$1000,"Sub"),$Z208)))</f>
        <v/>
      </c>
      <c r="AE208" s="62">
        <f>IF($V208="","",IF(AND(ISNUMBER($G208),$G208&lt;=IF($S208=MesCiclo,InicioCiclo,$S208+MOD(2-WEEKDAY($S208),7))+20),1,IF(N($W208)&gt;0,AVERAGEIFS($AA$5:$AA$1000,$U$5:$U$1000,ROW(),$V$5:$V$1000,"Sub"),$AA208)))</f>
        <v/>
      </c>
      <c r="AF208" s="62">
        <f>IF($V208="","",IF(AND(ISNUMBER($G208),$G208&lt;=IF($S208=MesCiclo,InicioCiclo,$S208+MOD(2-WEEKDAY($S208),7))+27),1,IF(N($W208)&gt;0,AVERAGEIFS($AB$5:$AB$1000,$U$5:$U$1000,ROW(),$V$5:$V$1000,"Sub"),$AB208)))</f>
        <v/>
      </c>
      <c r="AG208" s="62">
        <f>IF($V208&lt;&gt;"Macro","",IF(COUNTIFS($S$5:$S$1000,$S208,$V$5:$V$1000,"Macro",$H$5:$H$1000,"&gt;0")=0,1/COUNTIFS($S$5:$S$1000,$S208,$V$5:$V$1000,"Macro"),IF(AND(ISNUMBER($H208),N($H208)&gt;0),$H208,SUMIFS($H$5:$H$1000,$S$5:$S$1000,$S208,$V$5:$V$1000,"Macro")/COUNTIFS($S$5:$S$1000,$S208,$V$5:$V$1000,"Macro",$H$5:$H$1000,"&gt;0"))/(COUNTIFS($S$5:$S$1000,$S208,$V$5:$V$1000,"Macro")*SUMIFS($H$5:$H$1000,$S$5:$S$1000,$S208,$V$5:$V$1000,"Macro")/COUNTIFS($S$5:$S$1000,$S208,$V$5:$V$1000,"Macro",$H$5:$H$1000,"&gt;0"))))</f>
        <v/>
      </c>
      <c r="AH208" s="62" t="n"/>
      <c r="AI208" s="62" t="n"/>
      <c r="AJ208" s="62" t="n"/>
      <c r="AK208" s="62" t="n"/>
      <c r="AL208" s="62">
        <f>IF(LEFT($C208,11)="[Jefatura] ",IFERROR(MATCH("Riesgo Normativo|"&amp;MID($C208,12,500),rDname_ADM,0),0),"")</f>
        <v/>
      </c>
      <c r="AM208" s="62">
        <f>IF(N($AL208)&gt;0,INDEX(rIni_ADM,$AL208),IF(ISNUMBER($E208),$E208,""))</f>
        <v/>
      </c>
      <c r="AN208" s="62">
        <f>IF(N($AL208)&gt;0,INDEX(rLim_ADM,$AL208),IF(ISNUMBER($F208),$F208,""))</f>
        <v/>
      </c>
    </row>
    <row r="209">
      <c r="A209" s="56">
        <f>IF(NOT((COUNTA($B209:$D209)+COUNTA($G209:$L209)+COUNTA($Q209))&gt;0),"",IF($V209="Macro",COUNTIFS($V$5:$V209,"Macro",$S$5:$S209,$S209),IF(N($U209)=0,"?",COUNTIFS(INDEX($V$5:$V$1000,1):INDEX($V$5:$V$1000,$U209-4),"Macro",INDEX($S$5:$S$1000,1):INDEX($S$5:$S$1000,$U209-4),INDEX($S$5:$S$1000,$U209-4))&amp;"."&amp;COUNTIFS($U$5:$U209,$U209,$V$5:$V209,"Sub"))))</f>
        <v/>
      </c>
      <c r="B209" s="57" t="n"/>
      <c r="C209" s="58" t="n"/>
      <c r="D209" s="58" t="n"/>
      <c r="E209" s="59">
        <f>IF(N($AL209)&gt;0,INDEX(rIni_ADM,$AL209),"")</f>
        <v/>
      </c>
      <c r="F209" s="59">
        <f>IF(N($AL209)&gt;0,INDEX(rLim_ADM,$AL209),"")</f>
        <v/>
      </c>
      <c r="G209" s="59" t="n"/>
      <c r="H209" s="60" t="n"/>
      <c r="I209" s="60" t="n"/>
      <c r="J209" s="60" t="n"/>
      <c r="K209" s="60" t="n"/>
      <c r="L209" s="60" t="n"/>
      <c r="M209" s="61">
        <f>IF(NOT((COUNTA($B209:$D209)+COUNTA($G209:$L209)+COUNTA($Q209))&gt;0),"",IF($V209="Sub",IFERROR($X209/INDEX($W$5:$W$1000,$U209-4),""),IF(ISNUMBER($G209),1,IF(N($W209)&gt;0,AVERAGEIFS($X$5:$X$1000,$U$5:$U$1000,ROW(),$V$5:$V$1000,"Sub"),$X209))))</f>
        <v/>
      </c>
      <c r="N209" s="56">
        <f>IF(OR($M209="",$V209="Sub"),"",IF($M209&gt;=1,"Completado",IF($M209&gt;0,"En curso","Pendiente")))</f>
        <v/>
      </c>
      <c r="O209" s="56">
        <f>IF(OR(NOT((COUNTA($B209:$D209)+COUNTA($G209:$L209)+COUNTA($Q209))&gt;0),$V209="Sub"),"",IF(ISNUMBER($G209),IF(AND(ISNUMBER($AN209),$G209&gt;$AN209),"Cumplida con "&amp;($G209-$AN209)&amp;IF($G209-$AN209=1," día"," días")&amp;" de retraso","Cumplida"),IF(N($M209)&gt;=1,"Cumplida",IF(NOT(ISNUMBER($AN209)),"Sin fecha límite",IF($AN209&lt;FechaRef,"Vencida hace "&amp;(FechaRef-$AN209)&amp;IF(FechaRef-$AN209=1," día"," días"),IF($AN209=FechaRef,"Vence hoy",IF($AN209-FechaRef&lt;=DiasAlerta,"Vence en "&amp;($AN209-FechaRef)&amp;IF($AN209-FechaRef=1," día"," días"),"En plazo")))))))</f>
        <v/>
      </c>
      <c r="P209" s="62" t="n"/>
      <c r="Q209" s="58" t="n"/>
      <c r="R209" s="63">
        <f>IF(NOT((COUNTA($B209:$D209)+COUNTA($G209:$L209)+COUNTA($Q209))&gt;0),"",IF((IF($C209="","Falta el nombre de la actividad"&amp;" · ","")&amp;IF(AND($V209="Sub",N($U209)=0),"Subactividad sin macroactividad arriba"&amp;" · ","")&amp;IF($AM209="","Sin fecha de inicio"&amp;" · ","")&amp;IF($AN209="","Sin fecha límite"&amp;" · ","")&amp;IF(AND(LEFT($C209,11)="[Jefatura] ",N($AL209)=0),"No se encuentra en la hoja de la jefatura (elíjala de nuevo en la lista)"&amp;" · ","")&amp;IF(OR(AND($E209&lt;&gt;"",NOT(ISNUMBER($E209))),AND($F209&lt;&gt;"",NOT(ISNUMBER($F209))),AND($G209&lt;&gt;"",NOT(ISNUMBER($G209)))),"Fecha no válida"&amp;" · ","")&amp;IF(AND(ISNUMBER($AM209),ISNUMBER($AN209),$AM209&gt;$AN209),"Inicio posterior a fecha límite"&amp;" · ","")&amp;IF(AND($V209="Macro",$H209&lt;&gt;"",OR(NOT(ISNUMBER($H209)),$H209&lt;0,$H209&gt;1)),"Peso fuera de rango"&amp;" · ","")&amp;IF(AND($V209="Sub",$H209&lt;&gt;""),"Las subactividades no llevan peso (valen igual dentro de su macroactividad)"&amp;" · ","")&amp;IF(AND(N($W209)&gt;0,COUNT($I209:$L209)&gt;0),"Con subactividades: deje vacías las semanas (se calculan solas)"&amp;" · ","")&amp;IF((COUNTIF($I209:$L209,"&gt;1")+COUNTIF($I209:$L209,"&lt;0")+COUNTA($I209:$L209)-COUNT($I209:$L209))&gt;0,"Avance fuera de rango 0-100%"&amp;" · ","")&amp;IF(OR(AND($J209&lt;&gt;"",$J209&lt;$I209),AND($K209&lt;&gt;"",$K209&lt;MAX($I209:$J209)),AND($L209&lt;&gt;"",$L209&lt;MAX($I209:$K209))),"Avance semanal decreciente"&amp;" · ","")&amp;IF(AND(ISNUMBER($AN209),$AN209&lt;FechaRef,IF($V209="Sub",N($X209),N($M209))&lt;1),"Vencida"&amp;" · ","")&amp;IF(AND(ObsObligatoria="Sí",ISNUMBER($AN209),$AN209&lt;FechaRef,IF($V209="Sub",N($X209),N($M209))&lt;1,$Q209=""),"Vencida sin observación"&amp;" · ",""))="","✔ OK","⚠ "&amp;LEFT(IF($C209="","Falta el nombre de la actividad"&amp;" · ","")&amp;IF(AND($V209="Sub",N($U209)=0),"Subactividad sin macroactividad arriba"&amp;" · ","")&amp;IF($AM209="","Sin fecha de inicio"&amp;" · ","")&amp;IF($AN209="","Sin fecha límite"&amp;" · ","")&amp;IF(AND(LEFT($C209,11)="[Jefatura] ",N($AL209)=0),"No se encuentra en la hoja de la jefatura (elíjala de nuevo en la lista)"&amp;" · ","")&amp;IF(OR(AND($E209&lt;&gt;"",NOT(ISNUMBER($E209))),AND($F209&lt;&gt;"",NOT(ISNUMBER($F209))),AND($G209&lt;&gt;"",NOT(ISNUMBER($G209)))),"Fecha no válida"&amp;" · ","")&amp;IF(AND(ISNUMBER($AM209),ISNUMBER($AN209),$AM209&gt;$AN209),"Inicio posterior a fecha límite"&amp;" · ","")&amp;IF(AND($V209="Macro",$H209&lt;&gt;"",OR(NOT(ISNUMBER($H209)),$H209&lt;0,$H209&gt;1)),"Peso fuera de rango"&amp;" · ","")&amp;IF(AND($V209="Sub",$H209&lt;&gt;""),"Las subactividades no llevan peso (valen igual dentro de su macroactividad)"&amp;" · ","")&amp;IF(AND(N($W209)&gt;0,COUNT($I209:$L209)&gt;0),"Con subactividades: deje vacías las semanas (se calculan solas)"&amp;" · ","")&amp;IF((COUNTIF($I209:$L209,"&gt;1")+COUNTIF($I209:$L209,"&lt;0")+COUNTA($I209:$L209)-COUNT($I209:$L209))&gt;0,"Avance fuera de rango 0-100%"&amp;" · ","")&amp;IF(OR(AND($J209&lt;&gt;"",$J209&lt;$I209),AND($K209&lt;&gt;"",$K209&lt;MAX($I209:$J209)),AND($L209&lt;&gt;"",$L209&lt;MAX($I209:$K209))),"Avance semanal decreciente"&amp;" · ","")&amp;IF(AND(ISNUMBER($AN209),$AN209&lt;FechaRef,IF($V209="Sub",N($X209),N($M209))&lt;1),"Vencida"&amp;" · ","")&amp;IF(AND(ObsObligatoria="Sí",ISNUMBER($AN209),$AN209&lt;FechaRef,IF($V209="Sub",N($X209),N($M209))&lt;1,$Q209=""),"Vencida sin observación"&amp;" · ",""),LEN(IF($C209="","Falta el nombre de la actividad"&amp;" · ","")&amp;IF(AND($V209="Sub",N($U209)=0),"Subactividad sin macroactividad arriba"&amp;" · ","")&amp;IF($AM209="","Sin fecha de inicio"&amp;" · ","")&amp;IF($AN209="","Sin fecha límite"&amp;" · ","")&amp;IF(AND(LEFT($C209,11)="[Jefatura] ",N($AL209)=0),"No se encuentra en la hoja de la jefatura (elíjala de nuevo en la lista)"&amp;" · ","")&amp;IF(OR(AND($E209&lt;&gt;"",NOT(ISNUMBER($E209))),AND($F209&lt;&gt;"",NOT(ISNUMBER($F209))),AND($G209&lt;&gt;"",NOT(ISNUMBER($G209)))),"Fecha no válida"&amp;" · ","")&amp;IF(AND(ISNUMBER($AM209),ISNUMBER($AN209),$AM209&gt;$AN209),"Inicio posterior a fecha límite"&amp;" · ","")&amp;IF(AND($V209="Macro",$H209&lt;&gt;"",OR(NOT(ISNUMBER($H209)),$H209&lt;0,$H209&gt;1)),"Peso fuera de rango"&amp;" · ","")&amp;IF(AND($V209="Sub",$H209&lt;&gt;""),"Las subactividades no llevan peso (valen igual dentro de su macroactividad)"&amp;" · ","")&amp;IF(AND(N($W209)&gt;0,COUNT($I209:$L209)&gt;0),"Con subactividades: deje vacías las semanas (se calculan solas)"&amp;" · ","")&amp;IF((COUNTIF($I209:$L209,"&gt;1")+COUNTIF($I209:$L209,"&lt;0")+COUNTA($I209:$L209)-COUNT($I209:$L209))&gt;0,"Avance fuera de rango 0-100%"&amp;" · ","")&amp;IF(OR(AND($J209&lt;&gt;"",$J209&lt;$I209),AND($K209&lt;&gt;"",$K209&lt;MAX($I209:$J209)),AND($L209&lt;&gt;"",$L209&lt;MAX($I209:$K209))),"Avance semanal decreciente"&amp;" · ","")&amp;IF(AND(ISNUMBER($AN209),$AN209&lt;FechaRef,IF($V209="Sub",N($X209),N($M209))&lt;1),"Vencida"&amp;" · ","")&amp;IF(AND(ObsObligatoria="Sí",ISNUMBER($AN209),$AN209&lt;FechaRef,IF($V209="Sub",N($X209),N($M209))&lt;1,$Q209=""),"Vencida sin observación"&amp;" · ",""))-3)))</f>
        <v/>
      </c>
      <c r="S209" s="64">
        <f>IF(NOT((COUNTA($B209:$D209)+COUNTA($G209:$L209)+COUNTA($Q209))&gt;0),"",IF(AND($V209="Sub",N($U209)&gt;0),IF(ISNUMBER(INDEX($AM$5:$AM$1000,$U209-4)),DATE(YEAR(INDEX($AM$5:$AM$1000,$U209-4)),MONTH(INDEX($AM$5:$AM$1000,$U209-4)),1),IF(ISNUMBER(INDEX($AN$5:$AN$1000,$U209-4)),DATE(YEAR(INDEX($AN$5:$AN$1000,$U209-4)),MONTH(INDEX($AN$5:$AN$1000,$U209-4)),1),MesCiclo)),IF(ISNUMBER($AM209),DATE(YEAR($AM209),MONTH($AM209),1),IF(ISNUMBER($AN209),DATE(YEAR($AN209),MONTH($AN209),1),MesCiclo))))</f>
        <v/>
      </c>
      <c r="T209" s="62">
        <f>IF(OR($S209="",$S209&lt;&gt;MesCiclo,$V209&lt;&gt;"Macro"),"",COUNTIFS($S$5:$S209,MesCiclo,$V$5:$V209,"Macro"))</f>
        <v/>
      </c>
      <c r="U209" s="62">
        <f>IF($V209="","",IF($V209="Macro",ROW(),IFERROR(LOOKUP(2,1/($V$5:$V209="Macro"),ROW($V$5:$V209)),0)))</f>
        <v/>
      </c>
      <c r="V209" s="62">
        <f>IF(NOT((COUNTA($B209:$D209)+COUNTA($G209:$L209)+COUNTA($Q209))&gt;0),"",IF($B209="Subactividad","Sub","Macro"))</f>
        <v/>
      </c>
      <c r="W209" s="62">
        <f>IF($V209="Macro",COUNTIFS($U$5:$U$1000,ROW(),$V$5:$V$1000,"Sub"),"")</f>
        <v/>
      </c>
      <c r="X209" s="62">
        <f>IF($V209="","",IF(ISNUMBER($G209),1,IFERROR(LOOKUP(2,1/($I209:$L209&lt;&gt;""),$I209:$L209),0)))</f>
        <v/>
      </c>
      <c r="Y209" s="62">
        <f>IF($V209="","",IF(AND(ISNUMBER($G209),$G209&lt;=IF($S209=MesCiclo,InicioCiclo,$S209+MOD(2-WEEKDAY($S209),7))+6),1,IF(ISNUMBER($I209),$I209,0)))</f>
        <v/>
      </c>
      <c r="Z209" s="62">
        <f>IF($V209="","",IF(AND(ISNUMBER($G209),$G209&lt;=IF($S209=MesCiclo,InicioCiclo,$S209+MOD(2-WEEKDAY($S209),7))+13),1,IF(ISNUMBER($J209),$J209,$Y209)))</f>
        <v/>
      </c>
      <c r="AA209" s="62">
        <f>IF($V209="","",IF(AND(ISNUMBER($G209),$G209&lt;=IF($S209=MesCiclo,InicioCiclo,$S209+MOD(2-WEEKDAY($S209),7))+20),1,IF(ISNUMBER($K209),$K209,$Z209)))</f>
        <v/>
      </c>
      <c r="AB209" s="62">
        <f>IF($V209="","",IF(AND(ISNUMBER($G209),$G209&lt;=IF($S209=MesCiclo,InicioCiclo,$S209+MOD(2-WEEKDAY($S209),7))+27),1,IF(ISNUMBER($L209),$L209,$AA209)))</f>
        <v/>
      </c>
      <c r="AC209" s="62">
        <f>IF($V209="","",IF(AND(ISNUMBER($G209),$G209&lt;=IF($S209=MesCiclo,InicioCiclo,$S209+MOD(2-WEEKDAY($S209),7))+6),1,IF(N($W209)&gt;0,AVERAGEIFS($Y$5:$Y$1000,$U$5:$U$1000,ROW(),$V$5:$V$1000,"Sub"),$Y209)))</f>
        <v/>
      </c>
      <c r="AD209" s="62">
        <f>IF($V209="","",IF(AND(ISNUMBER($G209),$G209&lt;=IF($S209=MesCiclo,InicioCiclo,$S209+MOD(2-WEEKDAY($S209),7))+13),1,IF(N($W209)&gt;0,AVERAGEIFS($Z$5:$Z$1000,$U$5:$U$1000,ROW(),$V$5:$V$1000,"Sub"),$Z209)))</f>
        <v/>
      </c>
      <c r="AE209" s="62">
        <f>IF($V209="","",IF(AND(ISNUMBER($G209),$G209&lt;=IF($S209=MesCiclo,InicioCiclo,$S209+MOD(2-WEEKDAY($S209),7))+20),1,IF(N($W209)&gt;0,AVERAGEIFS($AA$5:$AA$1000,$U$5:$U$1000,ROW(),$V$5:$V$1000,"Sub"),$AA209)))</f>
        <v/>
      </c>
      <c r="AF209" s="62">
        <f>IF($V209="","",IF(AND(ISNUMBER($G209),$G209&lt;=IF($S209=MesCiclo,InicioCiclo,$S209+MOD(2-WEEKDAY($S209),7))+27),1,IF(N($W209)&gt;0,AVERAGEIFS($AB$5:$AB$1000,$U$5:$U$1000,ROW(),$V$5:$V$1000,"Sub"),$AB209)))</f>
        <v/>
      </c>
      <c r="AG209" s="62">
        <f>IF($V209&lt;&gt;"Macro","",IF(COUNTIFS($S$5:$S$1000,$S209,$V$5:$V$1000,"Macro",$H$5:$H$1000,"&gt;0")=0,1/COUNTIFS($S$5:$S$1000,$S209,$V$5:$V$1000,"Macro"),IF(AND(ISNUMBER($H209),N($H209)&gt;0),$H209,SUMIFS($H$5:$H$1000,$S$5:$S$1000,$S209,$V$5:$V$1000,"Macro")/COUNTIFS($S$5:$S$1000,$S209,$V$5:$V$1000,"Macro",$H$5:$H$1000,"&gt;0"))/(COUNTIFS($S$5:$S$1000,$S209,$V$5:$V$1000,"Macro")*SUMIFS($H$5:$H$1000,$S$5:$S$1000,$S209,$V$5:$V$1000,"Macro")/COUNTIFS($S$5:$S$1000,$S209,$V$5:$V$1000,"Macro",$H$5:$H$1000,"&gt;0"))))</f>
        <v/>
      </c>
      <c r="AH209" s="62" t="n"/>
      <c r="AI209" s="62" t="n"/>
      <c r="AJ209" s="62" t="n"/>
      <c r="AK209" s="62" t="n"/>
      <c r="AL209" s="62">
        <f>IF(LEFT($C209,11)="[Jefatura] ",IFERROR(MATCH("Riesgo Normativo|"&amp;MID($C209,12,500),rDname_ADM,0),0),"")</f>
        <v/>
      </c>
      <c r="AM209" s="62">
        <f>IF(N($AL209)&gt;0,INDEX(rIni_ADM,$AL209),IF(ISNUMBER($E209),$E209,""))</f>
        <v/>
      </c>
      <c r="AN209" s="62">
        <f>IF(N($AL209)&gt;0,INDEX(rLim_ADM,$AL209),IF(ISNUMBER($F209),$F209,""))</f>
        <v/>
      </c>
    </row>
    <row r="210">
      <c r="A210" s="56">
        <f>IF(NOT((COUNTA($B210:$D210)+COUNTA($G210:$L210)+COUNTA($Q210))&gt;0),"",IF($V210="Macro",COUNTIFS($V$5:$V210,"Macro",$S$5:$S210,$S210),IF(N($U210)=0,"?",COUNTIFS(INDEX($V$5:$V$1000,1):INDEX($V$5:$V$1000,$U210-4),"Macro",INDEX($S$5:$S$1000,1):INDEX($S$5:$S$1000,$U210-4),INDEX($S$5:$S$1000,$U210-4))&amp;"."&amp;COUNTIFS($U$5:$U210,$U210,$V$5:$V210,"Sub"))))</f>
        <v/>
      </c>
      <c r="B210" s="57" t="n"/>
      <c r="C210" s="58" t="n"/>
      <c r="D210" s="58" t="n"/>
      <c r="E210" s="59">
        <f>IF(N($AL210)&gt;0,INDEX(rIni_ADM,$AL210),"")</f>
        <v/>
      </c>
      <c r="F210" s="59">
        <f>IF(N($AL210)&gt;0,INDEX(rLim_ADM,$AL210),"")</f>
        <v/>
      </c>
      <c r="G210" s="59" t="n"/>
      <c r="H210" s="60" t="n"/>
      <c r="I210" s="60" t="n"/>
      <c r="J210" s="60" t="n"/>
      <c r="K210" s="60" t="n"/>
      <c r="L210" s="60" t="n"/>
      <c r="M210" s="61">
        <f>IF(NOT((COUNTA($B210:$D210)+COUNTA($G210:$L210)+COUNTA($Q210))&gt;0),"",IF($V210="Sub",IFERROR($X210/INDEX($W$5:$W$1000,$U210-4),""),IF(ISNUMBER($G210),1,IF(N($W210)&gt;0,AVERAGEIFS($X$5:$X$1000,$U$5:$U$1000,ROW(),$V$5:$V$1000,"Sub"),$X210))))</f>
        <v/>
      </c>
      <c r="N210" s="56">
        <f>IF(OR($M210="",$V210="Sub"),"",IF($M210&gt;=1,"Completado",IF($M210&gt;0,"En curso","Pendiente")))</f>
        <v/>
      </c>
      <c r="O210" s="56">
        <f>IF(OR(NOT((COUNTA($B210:$D210)+COUNTA($G210:$L210)+COUNTA($Q210))&gt;0),$V210="Sub"),"",IF(ISNUMBER($G210),IF(AND(ISNUMBER($AN210),$G210&gt;$AN210),"Cumplida con "&amp;($G210-$AN210)&amp;IF($G210-$AN210=1," día"," días")&amp;" de retraso","Cumplida"),IF(N($M210)&gt;=1,"Cumplida",IF(NOT(ISNUMBER($AN210)),"Sin fecha límite",IF($AN210&lt;FechaRef,"Vencida hace "&amp;(FechaRef-$AN210)&amp;IF(FechaRef-$AN210=1," día"," días"),IF($AN210=FechaRef,"Vence hoy",IF($AN210-FechaRef&lt;=DiasAlerta,"Vence en "&amp;($AN210-FechaRef)&amp;IF($AN210-FechaRef=1," día"," días"),"En plazo")))))))</f>
        <v/>
      </c>
      <c r="P210" s="62" t="n"/>
      <c r="Q210" s="58" t="n"/>
      <c r="R210" s="63">
        <f>IF(NOT((COUNTA($B210:$D210)+COUNTA($G210:$L210)+COUNTA($Q210))&gt;0),"",IF((IF($C210="","Falta el nombre de la actividad"&amp;" · ","")&amp;IF(AND($V210="Sub",N($U210)=0),"Subactividad sin macroactividad arriba"&amp;" · ","")&amp;IF($AM210="","Sin fecha de inicio"&amp;" · ","")&amp;IF($AN210="","Sin fecha límite"&amp;" · ","")&amp;IF(AND(LEFT($C210,11)="[Jefatura] ",N($AL210)=0),"No se encuentra en la hoja de la jefatura (elíjala de nuevo en la lista)"&amp;" · ","")&amp;IF(OR(AND($E210&lt;&gt;"",NOT(ISNUMBER($E210))),AND($F210&lt;&gt;"",NOT(ISNUMBER($F210))),AND($G210&lt;&gt;"",NOT(ISNUMBER($G210)))),"Fecha no válida"&amp;" · ","")&amp;IF(AND(ISNUMBER($AM210),ISNUMBER($AN210),$AM210&gt;$AN210),"Inicio posterior a fecha límite"&amp;" · ","")&amp;IF(AND($V210="Macro",$H210&lt;&gt;"",OR(NOT(ISNUMBER($H210)),$H210&lt;0,$H210&gt;1)),"Peso fuera de rango"&amp;" · ","")&amp;IF(AND($V210="Sub",$H210&lt;&gt;""),"Las subactividades no llevan peso (valen igual dentro de su macroactividad)"&amp;" · ","")&amp;IF(AND(N($W210)&gt;0,COUNT($I210:$L210)&gt;0),"Con subactividades: deje vacías las semanas (se calculan solas)"&amp;" · ","")&amp;IF((COUNTIF($I210:$L210,"&gt;1")+COUNTIF($I210:$L210,"&lt;0")+COUNTA($I210:$L210)-COUNT($I210:$L210))&gt;0,"Avance fuera de rango 0-100%"&amp;" · ","")&amp;IF(OR(AND($J210&lt;&gt;"",$J210&lt;$I210),AND($K210&lt;&gt;"",$K210&lt;MAX($I210:$J210)),AND($L210&lt;&gt;"",$L210&lt;MAX($I210:$K210))),"Avance semanal decreciente"&amp;" · ","")&amp;IF(AND(ISNUMBER($AN210),$AN210&lt;FechaRef,IF($V210="Sub",N($X210),N($M210))&lt;1),"Vencida"&amp;" · ","")&amp;IF(AND(ObsObligatoria="Sí",ISNUMBER($AN210),$AN210&lt;FechaRef,IF($V210="Sub",N($X210),N($M210))&lt;1,$Q210=""),"Vencida sin observación"&amp;" · ",""))="","✔ OK","⚠ "&amp;LEFT(IF($C210="","Falta el nombre de la actividad"&amp;" · ","")&amp;IF(AND($V210="Sub",N($U210)=0),"Subactividad sin macroactividad arriba"&amp;" · ","")&amp;IF($AM210="","Sin fecha de inicio"&amp;" · ","")&amp;IF($AN210="","Sin fecha límite"&amp;" · ","")&amp;IF(AND(LEFT($C210,11)="[Jefatura] ",N($AL210)=0),"No se encuentra en la hoja de la jefatura (elíjala de nuevo en la lista)"&amp;" · ","")&amp;IF(OR(AND($E210&lt;&gt;"",NOT(ISNUMBER($E210))),AND($F210&lt;&gt;"",NOT(ISNUMBER($F210))),AND($G210&lt;&gt;"",NOT(ISNUMBER($G210)))),"Fecha no válida"&amp;" · ","")&amp;IF(AND(ISNUMBER($AM210),ISNUMBER($AN210),$AM210&gt;$AN210),"Inicio posterior a fecha límite"&amp;" · ","")&amp;IF(AND($V210="Macro",$H210&lt;&gt;"",OR(NOT(ISNUMBER($H210)),$H210&lt;0,$H210&gt;1)),"Peso fuera de rango"&amp;" · ","")&amp;IF(AND($V210="Sub",$H210&lt;&gt;""),"Las subactividades no llevan peso (valen igual dentro de su macroactividad)"&amp;" · ","")&amp;IF(AND(N($W210)&gt;0,COUNT($I210:$L210)&gt;0),"Con subactividades: deje vacías las semanas (se calculan solas)"&amp;" · ","")&amp;IF((COUNTIF($I210:$L210,"&gt;1")+COUNTIF($I210:$L210,"&lt;0")+COUNTA($I210:$L210)-COUNT($I210:$L210))&gt;0,"Avance fuera de rango 0-100%"&amp;" · ","")&amp;IF(OR(AND($J210&lt;&gt;"",$J210&lt;$I210),AND($K210&lt;&gt;"",$K210&lt;MAX($I210:$J210)),AND($L210&lt;&gt;"",$L210&lt;MAX($I210:$K210))),"Avance semanal decreciente"&amp;" · ","")&amp;IF(AND(ISNUMBER($AN210),$AN210&lt;FechaRef,IF($V210="Sub",N($X210),N($M210))&lt;1),"Vencida"&amp;" · ","")&amp;IF(AND(ObsObligatoria="Sí",ISNUMBER($AN210),$AN210&lt;FechaRef,IF($V210="Sub",N($X210),N($M210))&lt;1,$Q210=""),"Vencida sin observación"&amp;" · ",""),LEN(IF($C210="","Falta el nombre de la actividad"&amp;" · ","")&amp;IF(AND($V210="Sub",N($U210)=0),"Subactividad sin macroactividad arriba"&amp;" · ","")&amp;IF($AM210="","Sin fecha de inicio"&amp;" · ","")&amp;IF($AN210="","Sin fecha límite"&amp;" · ","")&amp;IF(AND(LEFT($C210,11)="[Jefatura] ",N($AL210)=0),"No se encuentra en la hoja de la jefatura (elíjala de nuevo en la lista)"&amp;" · ","")&amp;IF(OR(AND($E210&lt;&gt;"",NOT(ISNUMBER($E210))),AND($F210&lt;&gt;"",NOT(ISNUMBER($F210))),AND($G210&lt;&gt;"",NOT(ISNUMBER($G210)))),"Fecha no válida"&amp;" · ","")&amp;IF(AND(ISNUMBER($AM210),ISNUMBER($AN210),$AM210&gt;$AN210),"Inicio posterior a fecha límite"&amp;" · ","")&amp;IF(AND($V210="Macro",$H210&lt;&gt;"",OR(NOT(ISNUMBER($H210)),$H210&lt;0,$H210&gt;1)),"Peso fuera de rango"&amp;" · ","")&amp;IF(AND($V210="Sub",$H210&lt;&gt;""),"Las subactividades no llevan peso (valen igual dentro de su macroactividad)"&amp;" · ","")&amp;IF(AND(N($W210)&gt;0,COUNT($I210:$L210)&gt;0),"Con subactividades: deje vacías las semanas (se calculan solas)"&amp;" · ","")&amp;IF((COUNTIF($I210:$L210,"&gt;1")+COUNTIF($I210:$L210,"&lt;0")+COUNTA($I210:$L210)-COUNT($I210:$L210))&gt;0,"Avance fuera de rango 0-100%"&amp;" · ","")&amp;IF(OR(AND($J210&lt;&gt;"",$J210&lt;$I210),AND($K210&lt;&gt;"",$K210&lt;MAX($I210:$J210)),AND($L210&lt;&gt;"",$L210&lt;MAX($I210:$K210))),"Avance semanal decreciente"&amp;" · ","")&amp;IF(AND(ISNUMBER($AN210),$AN210&lt;FechaRef,IF($V210="Sub",N($X210),N($M210))&lt;1),"Vencida"&amp;" · ","")&amp;IF(AND(ObsObligatoria="Sí",ISNUMBER($AN210),$AN210&lt;FechaRef,IF($V210="Sub",N($X210),N($M210))&lt;1,$Q210=""),"Vencida sin observación"&amp;" · ",""))-3)))</f>
        <v/>
      </c>
      <c r="S210" s="64">
        <f>IF(NOT((COUNTA($B210:$D210)+COUNTA($G210:$L210)+COUNTA($Q210))&gt;0),"",IF(AND($V210="Sub",N($U210)&gt;0),IF(ISNUMBER(INDEX($AM$5:$AM$1000,$U210-4)),DATE(YEAR(INDEX($AM$5:$AM$1000,$U210-4)),MONTH(INDEX($AM$5:$AM$1000,$U210-4)),1),IF(ISNUMBER(INDEX($AN$5:$AN$1000,$U210-4)),DATE(YEAR(INDEX($AN$5:$AN$1000,$U210-4)),MONTH(INDEX($AN$5:$AN$1000,$U210-4)),1),MesCiclo)),IF(ISNUMBER($AM210),DATE(YEAR($AM210),MONTH($AM210),1),IF(ISNUMBER($AN210),DATE(YEAR($AN210),MONTH($AN210),1),MesCiclo))))</f>
        <v/>
      </c>
      <c r="T210" s="62">
        <f>IF(OR($S210="",$S210&lt;&gt;MesCiclo,$V210&lt;&gt;"Macro"),"",COUNTIFS($S$5:$S210,MesCiclo,$V$5:$V210,"Macro"))</f>
        <v/>
      </c>
      <c r="U210" s="62">
        <f>IF($V210="","",IF($V210="Macro",ROW(),IFERROR(LOOKUP(2,1/($V$5:$V210="Macro"),ROW($V$5:$V210)),0)))</f>
        <v/>
      </c>
      <c r="V210" s="62">
        <f>IF(NOT((COUNTA($B210:$D210)+COUNTA($G210:$L210)+COUNTA($Q210))&gt;0),"",IF($B210="Subactividad","Sub","Macro"))</f>
        <v/>
      </c>
      <c r="W210" s="62">
        <f>IF($V210="Macro",COUNTIFS($U$5:$U$1000,ROW(),$V$5:$V$1000,"Sub"),"")</f>
        <v/>
      </c>
      <c r="X210" s="62">
        <f>IF($V210="","",IF(ISNUMBER($G210),1,IFERROR(LOOKUP(2,1/($I210:$L210&lt;&gt;""),$I210:$L210),0)))</f>
        <v/>
      </c>
      <c r="Y210" s="62">
        <f>IF($V210="","",IF(AND(ISNUMBER($G210),$G210&lt;=IF($S210=MesCiclo,InicioCiclo,$S210+MOD(2-WEEKDAY($S210),7))+6),1,IF(ISNUMBER($I210),$I210,0)))</f>
        <v/>
      </c>
      <c r="Z210" s="62">
        <f>IF($V210="","",IF(AND(ISNUMBER($G210),$G210&lt;=IF($S210=MesCiclo,InicioCiclo,$S210+MOD(2-WEEKDAY($S210),7))+13),1,IF(ISNUMBER($J210),$J210,$Y210)))</f>
        <v/>
      </c>
      <c r="AA210" s="62">
        <f>IF($V210="","",IF(AND(ISNUMBER($G210),$G210&lt;=IF($S210=MesCiclo,InicioCiclo,$S210+MOD(2-WEEKDAY($S210),7))+20),1,IF(ISNUMBER($K210),$K210,$Z210)))</f>
        <v/>
      </c>
      <c r="AB210" s="62">
        <f>IF($V210="","",IF(AND(ISNUMBER($G210),$G210&lt;=IF($S210=MesCiclo,InicioCiclo,$S210+MOD(2-WEEKDAY($S210),7))+27),1,IF(ISNUMBER($L210),$L210,$AA210)))</f>
        <v/>
      </c>
      <c r="AC210" s="62">
        <f>IF($V210="","",IF(AND(ISNUMBER($G210),$G210&lt;=IF($S210=MesCiclo,InicioCiclo,$S210+MOD(2-WEEKDAY($S210),7))+6),1,IF(N($W210)&gt;0,AVERAGEIFS($Y$5:$Y$1000,$U$5:$U$1000,ROW(),$V$5:$V$1000,"Sub"),$Y210)))</f>
        <v/>
      </c>
      <c r="AD210" s="62">
        <f>IF($V210="","",IF(AND(ISNUMBER($G210),$G210&lt;=IF($S210=MesCiclo,InicioCiclo,$S210+MOD(2-WEEKDAY($S210),7))+13),1,IF(N($W210)&gt;0,AVERAGEIFS($Z$5:$Z$1000,$U$5:$U$1000,ROW(),$V$5:$V$1000,"Sub"),$Z210)))</f>
        <v/>
      </c>
      <c r="AE210" s="62">
        <f>IF($V210="","",IF(AND(ISNUMBER($G210),$G210&lt;=IF($S210=MesCiclo,InicioCiclo,$S210+MOD(2-WEEKDAY($S210),7))+20),1,IF(N($W210)&gt;0,AVERAGEIFS($AA$5:$AA$1000,$U$5:$U$1000,ROW(),$V$5:$V$1000,"Sub"),$AA210)))</f>
        <v/>
      </c>
      <c r="AF210" s="62">
        <f>IF($V210="","",IF(AND(ISNUMBER($G210),$G210&lt;=IF($S210=MesCiclo,InicioCiclo,$S210+MOD(2-WEEKDAY($S210),7))+27),1,IF(N($W210)&gt;0,AVERAGEIFS($AB$5:$AB$1000,$U$5:$U$1000,ROW(),$V$5:$V$1000,"Sub"),$AB210)))</f>
        <v/>
      </c>
      <c r="AG210" s="62">
        <f>IF($V210&lt;&gt;"Macro","",IF(COUNTIFS($S$5:$S$1000,$S210,$V$5:$V$1000,"Macro",$H$5:$H$1000,"&gt;0")=0,1/COUNTIFS($S$5:$S$1000,$S210,$V$5:$V$1000,"Macro"),IF(AND(ISNUMBER($H210),N($H210)&gt;0),$H210,SUMIFS($H$5:$H$1000,$S$5:$S$1000,$S210,$V$5:$V$1000,"Macro")/COUNTIFS($S$5:$S$1000,$S210,$V$5:$V$1000,"Macro",$H$5:$H$1000,"&gt;0"))/(COUNTIFS($S$5:$S$1000,$S210,$V$5:$V$1000,"Macro")*SUMIFS($H$5:$H$1000,$S$5:$S$1000,$S210,$V$5:$V$1000,"Macro")/COUNTIFS($S$5:$S$1000,$S210,$V$5:$V$1000,"Macro",$H$5:$H$1000,"&gt;0"))))</f>
        <v/>
      </c>
      <c r="AH210" s="62" t="n"/>
      <c r="AI210" s="62" t="n"/>
      <c r="AJ210" s="62" t="n"/>
      <c r="AK210" s="62" t="n"/>
      <c r="AL210" s="62">
        <f>IF(LEFT($C210,11)="[Jefatura] ",IFERROR(MATCH("Riesgo Normativo|"&amp;MID($C210,12,500),rDname_ADM,0),0),"")</f>
        <v/>
      </c>
      <c r="AM210" s="62">
        <f>IF(N($AL210)&gt;0,INDEX(rIni_ADM,$AL210),IF(ISNUMBER($E210),$E210,""))</f>
        <v/>
      </c>
      <c r="AN210" s="62">
        <f>IF(N($AL210)&gt;0,INDEX(rLim_ADM,$AL210),IF(ISNUMBER($F210),$F210,""))</f>
        <v/>
      </c>
    </row>
    <row r="211">
      <c r="A211" s="56">
        <f>IF(NOT((COUNTA($B211:$D211)+COUNTA($G211:$L211)+COUNTA($Q211))&gt;0),"",IF($V211="Macro",COUNTIFS($V$5:$V211,"Macro",$S$5:$S211,$S211),IF(N($U211)=0,"?",COUNTIFS(INDEX($V$5:$V$1000,1):INDEX($V$5:$V$1000,$U211-4),"Macro",INDEX($S$5:$S$1000,1):INDEX($S$5:$S$1000,$U211-4),INDEX($S$5:$S$1000,$U211-4))&amp;"."&amp;COUNTIFS($U$5:$U211,$U211,$V$5:$V211,"Sub"))))</f>
        <v/>
      </c>
      <c r="B211" s="57" t="n"/>
      <c r="C211" s="58" t="n"/>
      <c r="D211" s="58" t="n"/>
      <c r="E211" s="59">
        <f>IF(N($AL211)&gt;0,INDEX(rIni_ADM,$AL211),"")</f>
        <v/>
      </c>
      <c r="F211" s="59">
        <f>IF(N($AL211)&gt;0,INDEX(rLim_ADM,$AL211),"")</f>
        <v/>
      </c>
      <c r="G211" s="59" t="n"/>
      <c r="H211" s="60" t="n"/>
      <c r="I211" s="60" t="n"/>
      <c r="J211" s="60" t="n"/>
      <c r="K211" s="60" t="n"/>
      <c r="L211" s="60" t="n"/>
      <c r="M211" s="61">
        <f>IF(NOT((COUNTA($B211:$D211)+COUNTA($G211:$L211)+COUNTA($Q211))&gt;0),"",IF($V211="Sub",IFERROR($X211/INDEX($W$5:$W$1000,$U211-4),""),IF(ISNUMBER($G211),1,IF(N($W211)&gt;0,AVERAGEIFS($X$5:$X$1000,$U$5:$U$1000,ROW(),$V$5:$V$1000,"Sub"),$X211))))</f>
        <v/>
      </c>
      <c r="N211" s="56">
        <f>IF(OR($M211="",$V211="Sub"),"",IF($M211&gt;=1,"Completado",IF($M211&gt;0,"En curso","Pendiente")))</f>
        <v/>
      </c>
      <c r="O211" s="56">
        <f>IF(OR(NOT((COUNTA($B211:$D211)+COUNTA($G211:$L211)+COUNTA($Q211))&gt;0),$V211="Sub"),"",IF(ISNUMBER($G211),IF(AND(ISNUMBER($AN211),$G211&gt;$AN211),"Cumplida con "&amp;($G211-$AN211)&amp;IF($G211-$AN211=1," día"," días")&amp;" de retraso","Cumplida"),IF(N($M211)&gt;=1,"Cumplida",IF(NOT(ISNUMBER($AN211)),"Sin fecha límite",IF($AN211&lt;FechaRef,"Vencida hace "&amp;(FechaRef-$AN211)&amp;IF(FechaRef-$AN211=1," día"," días"),IF($AN211=FechaRef,"Vence hoy",IF($AN211-FechaRef&lt;=DiasAlerta,"Vence en "&amp;($AN211-FechaRef)&amp;IF($AN211-FechaRef=1," día"," días"),"En plazo")))))))</f>
        <v/>
      </c>
      <c r="P211" s="62" t="n"/>
      <c r="Q211" s="58" t="n"/>
      <c r="R211" s="63">
        <f>IF(NOT((COUNTA($B211:$D211)+COUNTA($G211:$L211)+COUNTA($Q211))&gt;0),"",IF((IF($C211="","Falta el nombre de la actividad"&amp;" · ","")&amp;IF(AND($V211="Sub",N($U211)=0),"Subactividad sin macroactividad arriba"&amp;" · ","")&amp;IF($AM211="","Sin fecha de inicio"&amp;" · ","")&amp;IF($AN211="","Sin fecha límite"&amp;" · ","")&amp;IF(AND(LEFT($C211,11)="[Jefatura] ",N($AL211)=0),"No se encuentra en la hoja de la jefatura (elíjala de nuevo en la lista)"&amp;" · ","")&amp;IF(OR(AND($E211&lt;&gt;"",NOT(ISNUMBER($E211))),AND($F211&lt;&gt;"",NOT(ISNUMBER($F211))),AND($G211&lt;&gt;"",NOT(ISNUMBER($G211)))),"Fecha no válida"&amp;" · ","")&amp;IF(AND(ISNUMBER($AM211),ISNUMBER($AN211),$AM211&gt;$AN211),"Inicio posterior a fecha límite"&amp;" · ","")&amp;IF(AND($V211="Macro",$H211&lt;&gt;"",OR(NOT(ISNUMBER($H211)),$H211&lt;0,$H211&gt;1)),"Peso fuera de rango"&amp;" · ","")&amp;IF(AND($V211="Sub",$H211&lt;&gt;""),"Las subactividades no llevan peso (valen igual dentro de su macroactividad)"&amp;" · ","")&amp;IF(AND(N($W211)&gt;0,COUNT($I211:$L211)&gt;0),"Con subactividades: deje vacías las semanas (se calculan solas)"&amp;" · ","")&amp;IF((COUNTIF($I211:$L211,"&gt;1")+COUNTIF($I211:$L211,"&lt;0")+COUNTA($I211:$L211)-COUNT($I211:$L211))&gt;0,"Avance fuera de rango 0-100%"&amp;" · ","")&amp;IF(OR(AND($J211&lt;&gt;"",$J211&lt;$I211),AND($K211&lt;&gt;"",$K211&lt;MAX($I211:$J211)),AND($L211&lt;&gt;"",$L211&lt;MAX($I211:$K211))),"Avance semanal decreciente"&amp;" · ","")&amp;IF(AND(ISNUMBER($AN211),$AN211&lt;FechaRef,IF($V211="Sub",N($X211),N($M211))&lt;1),"Vencida"&amp;" · ","")&amp;IF(AND(ObsObligatoria="Sí",ISNUMBER($AN211),$AN211&lt;FechaRef,IF($V211="Sub",N($X211),N($M211))&lt;1,$Q211=""),"Vencida sin observación"&amp;" · ",""))="","✔ OK","⚠ "&amp;LEFT(IF($C211="","Falta el nombre de la actividad"&amp;" · ","")&amp;IF(AND($V211="Sub",N($U211)=0),"Subactividad sin macroactividad arriba"&amp;" · ","")&amp;IF($AM211="","Sin fecha de inicio"&amp;" · ","")&amp;IF($AN211="","Sin fecha límite"&amp;" · ","")&amp;IF(AND(LEFT($C211,11)="[Jefatura] ",N($AL211)=0),"No se encuentra en la hoja de la jefatura (elíjala de nuevo en la lista)"&amp;" · ","")&amp;IF(OR(AND($E211&lt;&gt;"",NOT(ISNUMBER($E211))),AND($F211&lt;&gt;"",NOT(ISNUMBER($F211))),AND($G211&lt;&gt;"",NOT(ISNUMBER($G211)))),"Fecha no válida"&amp;" · ","")&amp;IF(AND(ISNUMBER($AM211),ISNUMBER($AN211),$AM211&gt;$AN211),"Inicio posterior a fecha límite"&amp;" · ","")&amp;IF(AND($V211="Macro",$H211&lt;&gt;"",OR(NOT(ISNUMBER($H211)),$H211&lt;0,$H211&gt;1)),"Peso fuera de rango"&amp;" · ","")&amp;IF(AND($V211="Sub",$H211&lt;&gt;""),"Las subactividades no llevan peso (valen igual dentro de su macroactividad)"&amp;" · ","")&amp;IF(AND(N($W211)&gt;0,COUNT($I211:$L211)&gt;0),"Con subactividades: deje vacías las semanas (se calculan solas)"&amp;" · ","")&amp;IF((COUNTIF($I211:$L211,"&gt;1")+COUNTIF($I211:$L211,"&lt;0")+COUNTA($I211:$L211)-COUNT($I211:$L211))&gt;0,"Avance fuera de rango 0-100%"&amp;" · ","")&amp;IF(OR(AND($J211&lt;&gt;"",$J211&lt;$I211),AND($K211&lt;&gt;"",$K211&lt;MAX($I211:$J211)),AND($L211&lt;&gt;"",$L211&lt;MAX($I211:$K211))),"Avance semanal decreciente"&amp;" · ","")&amp;IF(AND(ISNUMBER($AN211),$AN211&lt;FechaRef,IF($V211="Sub",N($X211),N($M211))&lt;1),"Vencida"&amp;" · ","")&amp;IF(AND(ObsObligatoria="Sí",ISNUMBER($AN211),$AN211&lt;FechaRef,IF($V211="Sub",N($X211),N($M211))&lt;1,$Q211=""),"Vencida sin observación"&amp;" · ",""),LEN(IF($C211="","Falta el nombre de la actividad"&amp;" · ","")&amp;IF(AND($V211="Sub",N($U211)=0),"Subactividad sin macroactividad arriba"&amp;" · ","")&amp;IF($AM211="","Sin fecha de inicio"&amp;" · ","")&amp;IF($AN211="","Sin fecha límite"&amp;" · ","")&amp;IF(AND(LEFT($C211,11)="[Jefatura] ",N($AL211)=0),"No se encuentra en la hoja de la jefatura (elíjala de nuevo en la lista)"&amp;" · ","")&amp;IF(OR(AND($E211&lt;&gt;"",NOT(ISNUMBER($E211))),AND($F211&lt;&gt;"",NOT(ISNUMBER($F211))),AND($G211&lt;&gt;"",NOT(ISNUMBER($G211)))),"Fecha no válida"&amp;" · ","")&amp;IF(AND(ISNUMBER($AM211),ISNUMBER($AN211),$AM211&gt;$AN211),"Inicio posterior a fecha límite"&amp;" · ","")&amp;IF(AND($V211="Macro",$H211&lt;&gt;"",OR(NOT(ISNUMBER($H211)),$H211&lt;0,$H211&gt;1)),"Peso fuera de rango"&amp;" · ","")&amp;IF(AND($V211="Sub",$H211&lt;&gt;""),"Las subactividades no llevan peso (valen igual dentro de su macroactividad)"&amp;" · ","")&amp;IF(AND(N($W211)&gt;0,COUNT($I211:$L211)&gt;0),"Con subactividades: deje vacías las semanas (se calculan solas)"&amp;" · ","")&amp;IF((COUNTIF($I211:$L211,"&gt;1")+COUNTIF($I211:$L211,"&lt;0")+COUNTA($I211:$L211)-COUNT($I211:$L211))&gt;0,"Avance fuera de rango 0-100%"&amp;" · ","")&amp;IF(OR(AND($J211&lt;&gt;"",$J211&lt;$I211),AND($K211&lt;&gt;"",$K211&lt;MAX($I211:$J211)),AND($L211&lt;&gt;"",$L211&lt;MAX($I211:$K211))),"Avance semanal decreciente"&amp;" · ","")&amp;IF(AND(ISNUMBER($AN211),$AN211&lt;FechaRef,IF($V211="Sub",N($X211),N($M211))&lt;1),"Vencida"&amp;" · ","")&amp;IF(AND(ObsObligatoria="Sí",ISNUMBER($AN211),$AN211&lt;FechaRef,IF($V211="Sub",N($X211),N($M211))&lt;1,$Q211=""),"Vencida sin observación"&amp;" · ",""))-3)))</f>
        <v/>
      </c>
      <c r="S211" s="64">
        <f>IF(NOT((COUNTA($B211:$D211)+COUNTA($G211:$L211)+COUNTA($Q211))&gt;0),"",IF(AND($V211="Sub",N($U211)&gt;0),IF(ISNUMBER(INDEX($AM$5:$AM$1000,$U211-4)),DATE(YEAR(INDEX($AM$5:$AM$1000,$U211-4)),MONTH(INDEX($AM$5:$AM$1000,$U211-4)),1),IF(ISNUMBER(INDEX($AN$5:$AN$1000,$U211-4)),DATE(YEAR(INDEX($AN$5:$AN$1000,$U211-4)),MONTH(INDEX($AN$5:$AN$1000,$U211-4)),1),MesCiclo)),IF(ISNUMBER($AM211),DATE(YEAR($AM211),MONTH($AM211),1),IF(ISNUMBER($AN211),DATE(YEAR($AN211),MONTH($AN211),1),MesCiclo))))</f>
        <v/>
      </c>
      <c r="T211" s="62">
        <f>IF(OR($S211="",$S211&lt;&gt;MesCiclo,$V211&lt;&gt;"Macro"),"",COUNTIFS($S$5:$S211,MesCiclo,$V$5:$V211,"Macro"))</f>
        <v/>
      </c>
      <c r="U211" s="62">
        <f>IF($V211="","",IF($V211="Macro",ROW(),IFERROR(LOOKUP(2,1/($V$5:$V211="Macro"),ROW($V$5:$V211)),0)))</f>
        <v/>
      </c>
      <c r="V211" s="62">
        <f>IF(NOT((COUNTA($B211:$D211)+COUNTA($G211:$L211)+COUNTA($Q211))&gt;0),"",IF($B211="Subactividad","Sub","Macro"))</f>
        <v/>
      </c>
      <c r="W211" s="62">
        <f>IF($V211="Macro",COUNTIFS($U$5:$U$1000,ROW(),$V$5:$V$1000,"Sub"),"")</f>
        <v/>
      </c>
      <c r="X211" s="62">
        <f>IF($V211="","",IF(ISNUMBER($G211),1,IFERROR(LOOKUP(2,1/($I211:$L211&lt;&gt;""),$I211:$L211),0)))</f>
        <v/>
      </c>
      <c r="Y211" s="62">
        <f>IF($V211="","",IF(AND(ISNUMBER($G211),$G211&lt;=IF($S211=MesCiclo,InicioCiclo,$S211+MOD(2-WEEKDAY($S211),7))+6),1,IF(ISNUMBER($I211),$I211,0)))</f>
        <v/>
      </c>
      <c r="Z211" s="62">
        <f>IF($V211="","",IF(AND(ISNUMBER($G211),$G211&lt;=IF($S211=MesCiclo,InicioCiclo,$S211+MOD(2-WEEKDAY($S211),7))+13),1,IF(ISNUMBER($J211),$J211,$Y211)))</f>
        <v/>
      </c>
      <c r="AA211" s="62">
        <f>IF($V211="","",IF(AND(ISNUMBER($G211),$G211&lt;=IF($S211=MesCiclo,InicioCiclo,$S211+MOD(2-WEEKDAY($S211),7))+20),1,IF(ISNUMBER($K211),$K211,$Z211)))</f>
        <v/>
      </c>
      <c r="AB211" s="62">
        <f>IF($V211="","",IF(AND(ISNUMBER($G211),$G211&lt;=IF($S211=MesCiclo,InicioCiclo,$S211+MOD(2-WEEKDAY($S211),7))+27),1,IF(ISNUMBER($L211),$L211,$AA211)))</f>
        <v/>
      </c>
      <c r="AC211" s="62">
        <f>IF($V211="","",IF(AND(ISNUMBER($G211),$G211&lt;=IF($S211=MesCiclo,InicioCiclo,$S211+MOD(2-WEEKDAY($S211),7))+6),1,IF(N($W211)&gt;0,AVERAGEIFS($Y$5:$Y$1000,$U$5:$U$1000,ROW(),$V$5:$V$1000,"Sub"),$Y211)))</f>
        <v/>
      </c>
      <c r="AD211" s="62">
        <f>IF($V211="","",IF(AND(ISNUMBER($G211),$G211&lt;=IF($S211=MesCiclo,InicioCiclo,$S211+MOD(2-WEEKDAY($S211),7))+13),1,IF(N($W211)&gt;0,AVERAGEIFS($Z$5:$Z$1000,$U$5:$U$1000,ROW(),$V$5:$V$1000,"Sub"),$Z211)))</f>
        <v/>
      </c>
      <c r="AE211" s="62">
        <f>IF($V211="","",IF(AND(ISNUMBER($G211),$G211&lt;=IF($S211=MesCiclo,InicioCiclo,$S211+MOD(2-WEEKDAY($S211),7))+20),1,IF(N($W211)&gt;0,AVERAGEIFS($AA$5:$AA$1000,$U$5:$U$1000,ROW(),$V$5:$V$1000,"Sub"),$AA211)))</f>
        <v/>
      </c>
      <c r="AF211" s="62">
        <f>IF($V211="","",IF(AND(ISNUMBER($G211),$G211&lt;=IF($S211=MesCiclo,InicioCiclo,$S211+MOD(2-WEEKDAY($S211),7))+27),1,IF(N($W211)&gt;0,AVERAGEIFS($AB$5:$AB$1000,$U$5:$U$1000,ROW(),$V$5:$V$1000,"Sub"),$AB211)))</f>
        <v/>
      </c>
      <c r="AG211" s="62">
        <f>IF($V211&lt;&gt;"Macro","",IF(COUNTIFS($S$5:$S$1000,$S211,$V$5:$V$1000,"Macro",$H$5:$H$1000,"&gt;0")=0,1/COUNTIFS($S$5:$S$1000,$S211,$V$5:$V$1000,"Macro"),IF(AND(ISNUMBER($H211),N($H211)&gt;0),$H211,SUMIFS($H$5:$H$1000,$S$5:$S$1000,$S211,$V$5:$V$1000,"Macro")/COUNTIFS($S$5:$S$1000,$S211,$V$5:$V$1000,"Macro",$H$5:$H$1000,"&gt;0"))/(COUNTIFS($S$5:$S$1000,$S211,$V$5:$V$1000,"Macro")*SUMIFS($H$5:$H$1000,$S$5:$S$1000,$S211,$V$5:$V$1000,"Macro")/COUNTIFS($S$5:$S$1000,$S211,$V$5:$V$1000,"Macro",$H$5:$H$1000,"&gt;0"))))</f>
        <v/>
      </c>
      <c r="AH211" s="62" t="n"/>
      <c r="AI211" s="62" t="n"/>
      <c r="AJ211" s="62" t="n"/>
      <c r="AK211" s="62" t="n"/>
      <c r="AL211" s="62">
        <f>IF(LEFT($C211,11)="[Jefatura] ",IFERROR(MATCH("Riesgo Normativo|"&amp;MID($C211,12,500),rDname_ADM,0),0),"")</f>
        <v/>
      </c>
      <c r="AM211" s="62">
        <f>IF(N($AL211)&gt;0,INDEX(rIni_ADM,$AL211),IF(ISNUMBER($E211),$E211,""))</f>
        <v/>
      </c>
      <c r="AN211" s="62">
        <f>IF(N($AL211)&gt;0,INDEX(rLim_ADM,$AL211),IF(ISNUMBER($F211),$F211,""))</f>
        <v/>
      </c>
    </row>
    <row r="212">
      <c r="A212" s="56">
        <f>IF(NOT((COUNTA($B212:$D212)+COUNTA($G212:$L212)+COUNTA($Q212))&gt;0),"",IF($V212="Macro",COUNTIFS($V$5:$V212,"Macro",$S$5:$S212,$S212),IF(N($U212)=0,"?",COUNTIFS(INDEX($V$5:$V$1000,1):INDEX($V$5:$V$1000,$U212-4),"Macro",INDEX($S$5:$S$1000,1):INDEX($S$5:$S$1000,$U212-4),INDEX($S$5:$S$1000,$U212-4))&amp;"."&amp;COUNTIFS($U$5:$U212,$U212,$V$5:$V212,"Sub"))))</f>
        <v/>
      </c>
      <c r="B212" s="57" t="n"/>
      <c r="C212" s="58" t="n"/>
      <c r="D212" s="58" t="n"/>
      <c r="E212" s="59">
        <f>IF(N($AL212)&gt;0,INDEX(rIni_ADM,$AL212),"")</f>
        <v/>
      </c>
      <c r="F212" s="59">
        <f>IF(N($AL212)&gt;0,INDEX(rLim_ADM,$AL212),"")</f>
        <v/>
      </c>
      <c r="G212" s="59" t="n"/>
      <c r="H212" s="60" t="n"/>
      <c r="I212" s="60" t="n"/>
      <c r="J212" s="60" t="n"/>
      <c r="K212" s="60" t="n"/>
      <c r="L212" s="60" t="n"/>
      <c r="M212" s="61">
        <f>IF(NOT((COUNTA($B212:$D212)+COUNTA($G212:$L212)+COUNTA($Q212))&gt;0),"",IF($V212="Sub",IFERROR($X212/INDEX($W$5:$W$1000,$U212-4),""),IF(ISNUMBER($G212),1,IF(N($W212)&gt;0,AVERAGEIFS($X$5:$X$1000,$U$5:$U$1000,ROW(),$V$5:$V$1000,"Sub"),$X212))))</f>
        <v/>
      </c>
      <c r="N212" s="56">
        <f>IF(OR($M212="",$V212="Sub"),"",IF($M212&gt;=1,"Completado",IF($M212&gt;0,"En curso","Pendiente")))</f>
        <v/>
      </c>
      <c r="O212" s="56">
        <f>IF(OR(NOT((COUNTA($B212:$D212)+COUNTA($G212:$L212)+COUNTA($Q212))&gt;0),$V212="Sub"),"",IF(ISNUMBER($G212),IF(AND(ISNUMBER($AN212),$G212&gt;$AN212),"Cumplida con "&amp;($G212-$AN212)&amp;IF($G212-$AN212=1," día"," días")&amp;" de retraso","Cumplida"),IF(N($M212)&gt;=1,"Cumplida",IF(NOT(ISNUMBER($AN212)),"Sin fecha límite",IF($AN212&lt;FechaRef,"Vencida hace "&amp;(FechaRef-$AN212)&amp;IF(FechaRef-$AN212=1," día"," días"),IF($AN212=FechaRef,"Vence hoy",IF($AN212-FechaRef&lt;=DiasAlerta,"Vence en "&amp;($AN212-FechaRef)&amp;IF($AN212-FechaRef=1," día"," días"),"En plazo")))))))</f>
        <v/>
      </c>
      <c r="P212" s="62" t="n"/>
      <c r="Q212" s="58" t="n"/>
      <c r="R212" s="63">
        <f>IF(NOT((COUNTA($B212:$D212)+COUNTA($G212:$L212)+COUNTA($Q212))&gt;0),"",IF((IF($C212="","Falta el nombre de la actividad"&amp;" · ","")&amp;IF(AND($V212="Sub",N($U212)=0),"Subactividad sin macroactividad arriba"&amp;" · ","")&amp;IF($AM212="","Sin fecha de inicio"&amp;" · ","")&amp;IF($AN212="","Sin fecha límite"&amp;" · ","")&amp;IF(AND(LEFT($C212,11)="[Jefatura] ",N($AL212)=0),"No se encuentra en la hoja de la jefatura (elíjala de nuevo en la lista)"&amp;" · ","")&amp;IF(OR(AND($E212&lt;&gt;"",NOT(ISNUMBER($E212))),AND($F212&lt;&gt;"",NOT(ISNUMBER($F212))),AND($G212&lt;&gt;"",NOT(ISNUMBER($G212)))),"Fecha no válida"&amp;" · ","")&amp;IF(AND(ISNUMBER($AM212),ISNUMBER($AN212),$AM212&gt;$AN212),"Inicio posterior a fecha límite"&amp;" · ","")&amp;IF(AND($V212="Macro",$H212&lt;&gt;"",OR(NOT(ISNUMBER($H212)),$H212&lt;0,$H212&gt;1)),"Peso fuera de rango"&amp;" · ","")&amp;IF(AND($V212="Sub",$H212&lt;&gt;""),"Las subactividades no llevan peso (valen igual dentro de su macroactividad)"&amp;" · ","")&amp;IF(AND(N($W212)&gt;0,COUNT($I212:$L212)&gt;0),"Con subactividades: deje vacías las semanas (se calculan solas)"&amp;" · ","")&amp;IF((COUNTIF($I212:$L212,"&gt;1")+COUNTIF($I212:$L212,"&lt;0")+COUNTA($I212:$L212)-COUNT($I212:$L212))&gt;0,"Avance fuera de rango 0-100%"&amp;" · ","")&amp;IF(OR(AND($J212&lt;&gt;"",$J212&lt;$I212),AND($K212&lt;&gt;"",$K212&lt;MAX($I212:$J212)),AND($L212&lt;&gt;"",$L212&lt;MAX($I212:$K212))),"Avance semanal decreciente"&amp;" · ","")&amp;IF(AND(ISNUMBER($AN212),$AN212&lt;FechaRef,IF($V212="Sub",N($X212),N($M212))&lt;1),"Vencida"&amp;" · ","")&amp;IF(AND(ObsObligatoria="Sí",ISNUMBER($AN212),$AN212&lt;FechaRef,IF($V212="Sub",N($X212),N($M212))&lt;1,$Q212=""),"Vencida sin observación"&amp;" · ",""))="","✔ OK","⚠ "&amp;LEFT(IF($C212="","Falta el nombre de la actividad"&amp;" · ","")&amp;IF(AND($V212="Sub",N($U212)=0),"Subactividad sin macroactividad arriba"&amp;" · ","")&amp;IF($AM212="","Sin fecha de inicio"&amp;" · ","")&amp;IF($AN212="","Sin fecha límite"&amp;" · ","")&amp;IF(AND(LEFT($C212,11)="[Jefatura] ",N($AL212)=0),"No se encuentra en la hoja de la jefatura (elíjala de nuevo en la lista)"&amp;" · ","")&amp;IF(OR(AND($E212&lt;&gt;"",NOT(ISNUMBER($E212))),AND($F212&lt;&gt;"",NOT(ISNUMBER($F212))),AND($G212&lt;&gt;"",NOT(ISNUMBER($G212)))),"Fecha no válida"&amp;" · ","")&amp;IF(AND(ISNUMBER($AM212),ISNUMBER($AN212),$AM212&gt;$AN212),"Inicio posterior a fecha límite"&amp;" · ","")&amp;IF(AND($V212="Macro",$H212&lt;&gt;"",OR(NOT(ISNUMBER($H212)),$H212&lt;0,$H212&gt;1)),"Peso fuera de rango"&amp;" · ","")&amp;IF(AND($V212="Sub",$H212&lt;&gt;""),"Las subactividades no llevan peso (valen igual dentro de su macroactividad)"&amp;" · ","")&amp;IF(AND(N($W212)&gt;0,COUNT($I212:$L212)&gt;0),"Con subactividades: deje vacías las semanas (se calculan solas)"&amp;" · ","")&amp;IF((COUNTIF($I212:$L212,"&gt;1")+COUNTIF($I212:$L212,"&lt;0")+COUNTA($I212:$L212)-COUNT($I212:$L212))&gt;0,"Avance fuera de rango 0-100%"&amp;" · ","")&amp;IF(OR(AND($J212&lt;&gt;"",$J212&lt;$I212),AND($K212&lt;&gt;"",$K212&lt;MAX($I212:$J212)),AND($L212&lt;&gt;"",$L212&lt;MAX($I212:$K212))),"Avance semanal decreciente"&amp;" · ","")&amp;IF(AND(ISNUMBER($AN212),$AN212&lt;FechaRef,IF($V212="Sub",N($X212),N($M212))&lt;1),"Vencida"&amp;" · ","")&amp;IF(AND(ObsObligatoria="Sí",ISNUMBER($AN212),$AN212&lt;FechaRef,IF($V212="Sub",N($X212),N($M212))&lt;1,$Q212=""),"Vencida sin observación"&amp;" · ",""),LEN(IF($C212="","Falta el nombre de la actividad"&amp;" · ","")&amp;IF(AND($V212="Sub",N($U212)=0),"Subactividad sin macroactividad arriba"&amp;" · ","")&amp;IF($AM212="","Sin fecha de inicio"&amp;" · ","")&amp;IF($AN212="","Sin fecha límite"&amp;" · ","")&amp;IF(AND(LEFT($C212,11)="[Jefatura] ",N($AL212)=0),"No se encuentra en la hoja de la jefatura (elíjala de nuevo en la lista)"&amp;" · ","")&amp;IF(OR(AND($E212&lt;&gt;"",NOT(ISNUMBER($E212))),AND($F212&lt;&gt;"",NOT(ISNUMBER($F212))),AND($G212&lt;&gt;"",NOT(ISNUMBER($G212)))),"Fecha no válida"&amp;" · ","")&amp;IF(AND(ISNUMBER($AM212),ISNUMBER($AN212),$AM212&gt;$AN212),"Inicio posterior a fecha límite"&amp;" · ","")&amp;IF(AND($V212="Macro",$H212&lt;&gt;"",OR(NOT(ISNUMBER($H212)),$H212&lt;0,$H212&gt;1)),"Peso fuera de rango"&amp;" · ","")&amp;IF(AND($V212="Sub",$H212&lt;&gt;""),"Las subactividades no llevan peso (valen igual dentro de su macroactividad)"&amp;" · ","")&amp;IF(AND(N($W212)&gt;0,COUNT($I212:$L212)&gt;0),"Con subactividades: deje vacías las semanas (se calculan solas)"&amp;" · ","")&amp;IF((COUNTIF($I212:$L212,"&gt;1")+COUNTIF($I212:$L212,"&lt;0")+COUNTA($I212:$L212)-COUNT($I212:$L212))&gt;0,"Avance fuera de rango 0-100%"&amp;" · ","")&amp;IF(OR(AND($J212&lt;&gt;"",$J212&lt;$I212),AND($K212&lt;&gt;"",$K212&lt;MAX($I212:$J212)),AND($L212&lt;&gt;"",$L212&lt;MAX($I212:$K212))),"Avance semanal decreciente"&amp;" · ","")&amp;IF(AND(ISNUMBER($AN212),$AN212&lt;FechaRef,IF($V212="Sub",N($X212),N($M212))&lt;1),"Vencida"&amp;" · ","")&amp;IF(AND(ObsObligatoria="Sí",ISNUMBER($AN212),$AN212&lt;FechaRef,IF($V212="Sub",N($X212),N($M212))&lt;1,$Q212=""),"Vencida sin observación"&amp;" · ",""))-3)))</f>
        <v/>
      </c>
      <c r="S212" s="64">
        <f>IF(NOT((COUNTA($B212:$D212)+COUNTA($G212:$L212)+COUNTA($Q212))&gt;0),"",IF(AND($V212="Sub",N($U212)&gt;0),IF(ISNUMBER(INDEX($AM$5:$AM$1000,$U212-4)),DATE(YEAR(INDEX($AM$5:$AM$1000,$U212-4)),MONTH(INDEX($AM$5:$AM$1000,$U212-4)),1),IF(ISNUMBER(INDEX($AN$5:$AN$1000,$U212-4)),DATE(YEAR(INDEX($AN$5:$AN$1000,$U212-4)),MONTH(INDEX($AN$5:$AN$1000,$U212-4)),1),MesCiclo)),IF(ISNUMBER($AM212),DATE(YEAR($AM212),MONTH($AM212),1),IF(ISNUMBER($AN212),DATE(YEAR($AN212),MONTH($AN212),1),MesCiclo))))</f>
        <v/>
      </c>
      <c r="T212" s="62">
        <f>IF(OR($S212="",$S212&lt;&gt;MesCiclo,$V212&lt;&gt;"Macro"),"",COUNTIFS($S$5:$S212,MesCiclo,$V$5:$V212,"Macro"))</f>
        <v/>
      </c>
      <c r="U212" s="62">
        <f>IF($V212="","",IF($V212="Macro",ROW(),IFERROR(LOOKUP(2,1/($V$5:$V212="Macro"),ROW($V$5:$V212)),0)))</f>
        <v/>
      </c>
      <c r="V212" s="62">
        <f>IF(NOT((COUNTA($B212:$D212)+COUNTA($G212:$L212)+COUNTA($Q212))&gt;0),"",IF($B212="Subactividad","Sub","Macro"))</f>
        <v/>
      </c>
      <c r="W212" s="62">
        <f>IF($V212="Macro",COUNTIFS($U$5:$U$1000,ROW(),$V$5:$V$1000,"Sub"),"")</f>
        <v/>
      </c>
      <c r="X212" s="62">
        <f>IF($V212="","",IF(ISNUMBER($G212),1,IFERROR(LOOKUP(2,1/($I212:$L212&lt;&gt;""),$I212:$L212),0)))</f>
        <v/>
      </c>
      <c r="Y212" s="62">
        <f>IF($V212="","",IF(AND(ISNUMBER($G212),$G212&lt;=IF($S212=MesCiclo,InicioCiclo,$S212+MOD(2-WEEKDAY($S212),7))+6),1,IF(ISNUMBER($I212),$I212,0)))</f>
        <v/>
      </c>
      <c r="Z212" s="62">
        <f>IF($V212="","",IF(AND(ISNUMBER($G212),$G212&lt;=IF($S212=MesCiclo,InicioCiclo,$S212+MOD(2-WEEKDAY($S212),7))+13),1,IF(ISNUMBER($J212),$J212,$Y212)))</f>
        <v/>
      </c>
      <c r="AA212" s="62">
        <f>IF($V212="","",IF(AND(ISNUMBER($G212),$G212&lt;=IF($S212=MesCiclo,InicioCiclo,$S212+MOD(2-WEEKDAY($S212),7))+20),1,IF(ISNUMBER($K212),$K212,$Z212)))</f>
        <v/>
      </c>
      <c r="AB212" s="62">
        <f>IF($V212="","",IF(AND(ISNUMBER($G212),$G212&lt;=IF($S212=MesCiclo,InicioCiclo,$S212+MOD(2-WEEKDAY($S212),7))+27),1,IF(ISNUMBER($L212),$L212,$AA212)))</f>
        <v/>
      </c>
      <c r="AC212" s="62">
        <f>IF($V212="","",IF(AND(ISNUMBER($G212),$G212&lt;=IF($S212=MesCiclo,InicioCiclo,$S212+MOD(2-WEEKDAY($S212),7))+6),1,IF(N($W212)&gt;0,AVERAGEIFS($Y$5:$Y$1000,$U$5:$U$1000,ROW(),$V$5:$V$1000,"Sub"),$Y212)))</f>
        <v/>
      </c>
      <c r="AD212" s="62">
        <f>IF($V212="","",IF(AND(ISNUMBER($G212),$G212&lt;=IF($S212=MesCiclo,InicioCiclo,$S212+MOD(2-WEEKDAY($S212),7))+13),1,IF(N($W212)&gt;0,AVERAGEIFS($Z$5:$Z$1000,$U$5:$U$1000,ROW(),$V$5:$V$1000,"Sub"),$Z212)))</f>
        <v/>
      </c>
      <c r="AE212" s="62">
        <f>IF($V212="","",IF(AND(ISNUMBER($G212),$G212&lt;=IF($S212=MesCiclo,InicioCiclo,$S212+MOD(2-WEEKDAY($S212),7))+20),1,IF(N($W212)&gt;0,AVERAGEIFS($AA$5:$AA$1000,$U$5:$U$1000,ROW(),$V$5:$V$1000,"Sub"),$AA212)))</f>
        <v/>
      </c>
      <c r="AF212" s="62">
        <f>IF($V212="","",IF(AND(ISNUMBER($G212),$G212&lt;=IF($S212=MesCiclo,InicioCiclo,$S212+MOD(2-WEEKDAY($S212),7))+27),1,IF(N($W212)&gt;0,AVERAGEIFS($AB$5:$AB$1000,$U$5:$U$1000,ROW(),$V$5:$V$1000,"Sub"),$AB212)))</f>
        <v/>
      </c>
      <c r="AG212" s="62">
        <f>IF($V212&lt;&gt;"Macro","",IF(COUNTIFS($S$5:$S$1000,$S212,$V$5:$V$1000,"Macro",$H$5:$H$1000,"&gt;0")=0,1/COUNTIFS($S$5:$S$1000,$S212,$V$5:$V$1000,"Macro"),IF(AND(ISNUMBER($H212),N($H212)&gt;0),$H212,SUMIFS($H$5:$H$1000,$S$5:$S$1000,$S212,$V$5:$V$1000,"Macro")/COUNTIFS($S$5:$S$1000,$S212,$V$5:$V$1000,"Macro",$H$5:$H$1000,"&gt;0"))/(COUNTIFS($S$5:$S$1000,$S212,$V$5:$V$1000,"Macro")*SUMIFS($H$5:$H$1000,$S$5:$S$1000,$S212,$V$5:$V$1000,"Macro")/COUNTIFS($S$5:$S$1000,$S212,$V$5:$V$1000,"Macro",$H$5:$H$1000,"&gt;0"))))</f>
        <v/>
      </c>
      <c r="AH212" s="62" t="n"/>
      <c r="AI212" s="62" t="n"/>
      <c r="AJ212" s="62" t="n"/>
      <c r="AK212" s="62" t="n"/>
      <c r="AL212" s="62">
        <f>IF(LEFT($C212,11)="[Jefatura] ",IFERROR(MATCH("Riesgo Normativo|"&amp;MID($C212,12,500),rDname_ADM,0),0),"")</f>
        <v/>
      </c>
      <c r="AM212" s="62">
        <f>IF(N($AL212)&gt;0,INDEX(rIni_ADM,$AL212),IF(ISNUMBER($E212),$E212,""))</f>
        <v/>
      </c>
      <c r="AN212" s="62">
        <f>IF(N($AL212)&gt;0,INDEX(rLim_ADM,$AL212),IF(ISNUMBER($F212),$F212,""))</f>
        <v/>
      </c>
    </row>
    <row r="213">
      <c r="A213" s="56">
        <f>IF(NOT((COUNTA($B213:$D213)+COUNTA($G213:$L213)+COUNTA($Q213))&gt;0),"",IF($V213="Macro",COUNTIFS($V$5:$V213,"Macro",$S$5:$S213,$S213),IF(N($U213)=0,"?",COUNTIFS(INDEX($V$5:$V$1000,1):INDEX($V$5:$V$1000,$U213-4),"Macro",INDEX($S$5:$S$1000,1):INDEX($S$5:$S$1000,$U213-4),INDEX($S$5:$S$1000,$U213-4))&amp;"."&amp;COUNTIFS($U$5:$U213,$U213,$V$5:$V213,"Sub"))))</f>
        <v/>
      </c>
      <c r="B213" s="57" t="n"/>
      <c r="C213" s="58" t="n"/>
      <c r="D213" s="58" t="n"/>
      <c r="E213" s="59">
        <f>IF(N($AL213)&gt;0,INDEX(rIni_ADM,$AL213),"")</f>
        <v/>
      </c>
      <c r="F213" s="59">
        <f>IF(N($AL213)&gt;0,INDEX(rLim_ADM,$AL213),"")</f>
        <v/>
      </c>
      <c r="G213" s="59" t="n"/>
      <c r="H213" s="60" t="n"/>
      <c r="I213" s="60" t="n"/>
      <c r="J213" s="60" t="n"/>
      <c r="K213" s="60" t="n"/>
      <c r="L213" s="60" t="n"/>
      <c r="M213" s="61">
        <f>IF(NOT((COUNTA($B213:$D213)+COUNTA($G213:$L213)+COUNTA($Q213))&gt;0),"",IF($V213="Sub",IFERROR($X213/INDEX($W$5:$W$1000,$U213-4),""),IF(ISNUMBER($G213),1,IF(N($W213)&gt;0,AVERAGEIFS($X$5:$X$1000,$U$5:$U$1000,ROW(),$V$5:$V$1000,"Sub"),$X213))))</f>
        <v/>
      </c>
      <c r="N213" s="56">
        <f>IF(OR($M213="",$V213="Sub"),"",IF($M213&gt;=1,"Completado",IF($M213&gt;0,"En curso","Pendiente")))</f>
        <v/>
      </c>
      <c r="O213" s="56">
        <f>IF(OR(NOT((COUNTA($B213:$D213)+COUNTA($G213:$L213)+COUNTA($Q213))&gt;0),$V213="Sub"),"",IF(ISNUMBER($G213),IF(AND(ISNUMBER($AN213),$G213&gt;$AN213),"Cumplida con "&amp;($G213-$AN213)&amp;IF($G213-$AN213=1," día"," días")&amp;" de retraso","Cumplida"),IF(N($M213)&gt;=1,"Cumplida",IF(NOT(ISNUMBER($AN213)),"Sin fecha límite",IF($AN213&lt;FechaRef,"Vencida hace "&amp;(FechaRef-$AN213)&amp;IF(FechaRef-$AN213=1," día"," días"),IF($AN213=FechaRef,"Vence hoy",IF($AN213-FechaRef&lt;=DiasAlerta,"Vence en "&amp;($AN213-FechaRef)&amp;IF($AN213-FechaRef=1," día"," días"),"En plazo")))))))</f>
        <v/>
      </c>
      <c r="P213" s="62" t="n"/>
      <c r="Q213" s="58" t="n"/>
      <c r="R213" s="63">
        <f>IF(NOT((COUNTA($B213:$D213)+COUNTA($G213:$L213)+COUNTA($Q213))&gt;0),"",IF((IF($C213="","Falta el nombre de la actividad"&amp;" · ","")&amp;IF(AND($V213="Sub",N($U213)=0),"Subactividad sin macroactividad arriba"&amp;" · ","")&amp;IF($AM213="","Sin fecha de inicio"&amp;" · ","")&amp;IF($AN213="","Sin fecha límite"&amp;" · ","")&amp;IF(AND(LEFT($C213,11)="[Jefatura] ",N($AL213)=0),"No se encuentra en la hoja de la jefatura (elíjala de nuevo en la lista)"&amp;" · ","")&amp;IF(OR(AND($E213&lt;&gt;"",NOT(ISNUMBER($E213))),AND($F213&lt;&gt;"",NOT(ISNUMBER($F213))),AND($G213&lt;&gt;"",NOT(ISNUMBER($G213)))),"Fecha no válida"&amp;" · ","")&amp;IF(AND(ISNUMBER($AM213),ISNUMBER($AN213),$AM213&gt;$AN213),"Inicio posterior a fecha límite"&amp;" · ","")&amp;IF(AND($V213="Macro",$H213&lt;&gt;"",OR(NOT(ISNUMBER($H213)),$H213&lt;0,$H213&gt;1)),"Peso fuera de rango"&amp;" · ","")&amp;IF(AND($V213="Sub",$H213&lt;&gt;""),"Las subactividades no llevan peso (valen igual dentro de su macroactividad)"&amp;" · ","")&amp;IF(AND(N($W213)&gt;0,COUNT($I213:$L213)&gt;0),"Con subactividades: deje vacías las semanas (se calculan solas)"&amp;" · ","")&amp;IF((COUNTIF($I213:$L213,"&gt;1")+COUNTIF($I213:$L213,"&lt;0")+COUNTA($I213:$L213)-COUNT($I213:$L213))&gt;0,"Avance fuera de rango 0-100%"&amp;" · ","")&amp;IF(OR(AND($J213&lt;&gt;"",$J213&lt;$I213),AND($K213&lt;&gt;"",$K213&lt;MAX($I213:$J213)),AND($L213&lt;&gt;"",$L213&lt;MAX($I213:$K213))),"Avance semanal decreciente"&amp;" · ","")&amp;IF(AND(ISNUMBER($AN213),$AN213&lt;FechaRef,IF($V213="Sub",N($X213),N($M213))&lt;1),"Vencida"&amp;" · ","")&amp;IF(AND(ObsObligatoria="Sí",ISNUMBER($AN213),$AN213&lt;FechaRef,IF($V213="Sub",N($X213),N($M213))&lt;1,$Q213=""),"Vencida sin observación"&amp;" · ",""))="","✔ OK","⚠ "&amp;LEFT(IF($C213="","Falta el nombre de la actividad"&amp;" · ","")&amp;IF(AND($V213="Sub",N($U213)=0),"Subactividad sin macroactividad arriba"&amp;" · ","")&amp;IF($AM213="","Sin fecha de inicio"&amp;" · ","")&amp;IF($AN213="","Sin fecha límite"&amp;" · ","")&amp;IF(AND(LEFT($C213,11)="[Jefatura] ",N($AL213)=0),"No se encuentra en la hoja de la jefatura (elíjala de nuevo en la lista)"&amp;" · ","")&amp;IF(OR(AND($E213&lt;&gt;"",NOT(ISNUMBER($E213))),AND($F213&lt;&gt;"",NOT(ISNUMBER($F213))),AND($G213&lt;&gt;"",NOT(ISNUMBER($G213)))),"Fecha no válida"&amp;" · ","")&amp;IF(AND(ISNUMBER($AM213),ISNUMBER($AN213),$AM213&gt;$AN213),"Inicio posterior a fecha límite"&amp;" · ","")&amp;IF(AND($V213="Macro",$H213&lt;&gt;"",OR(NOT(ISNUMBER($H213)),$H213&lt;0,$H213&gt;1)),"Peso fuera de rango"&amp;" · ","")&amp;IF(AND($V213="Sub",$H213&lt;&gt;""),"Las subactividades no llevan peso (valen igual dentro de su macroactividad)"&amp;" · ","")&amp;IF(AND(N($W213)&gt;0,COUNT($I213:$L213)&gt;0),"Con subactividades: deje vacías las semanas (se calculan solas)"&amp;" · ","")&amp;IF((COUNTIF($I213:$L213,"&gt;1")+COUNTIF($I213:$L213,"&lt;0")+COUNTA($I213:$L213)-COUNT($I213:$L213))&gt;0,"Avance fuera de rango 0-100%"&amp;" · ","")&amp;IF(OR(AND($J213&lt;&gt;"",$J213&lt;$I213),AND($K213&lt;&gt;"",$K213&lt;MAX($I213:$J213)),AND($L213&lt;&gt;"",$L213&lt;MAX($I213:$K213))),"Avance semanal decreciente"&amp;" · ","")&amp;IF(AND(ISNUMBER($AN213),$AN213&lt;FechaRef,IF($V213="Sub",N($X213),N($M213))&lt;1),"Vencida"&amp;" · ","")&amp;IF(AND(ObsObligatoria="Sí",ISNUMBER($AN213),$AN213&lt;FechaRef,IF($V213="Sub",N($X213),N($M213))&lt;1,$Q213=""),"Vencida sin observación"&amp;" · ",""),LEN(IF($C213="","Falta el nombre de la actividad"&amp;" · ","")&amp;IF(AND($V213="Sub",N($U213)=0),"Subactividad sin macroactividad arriba"&amp;" · ","")&amp;IF($AM213="","Sin fecha de inicio"&amp;" · ","")&amp;IF($AN213="","Sin fecha límite"&amp;" · ","")&amp;IF(AND(LEFT($C213,11)="[Jefatura] ",N($AL213)=0),"No se encuentra en la hoja de la jefatura (elíjala de nuevo en la lista)"&amp;" · ","")&amp;IF(OR(AND($E213&lt;&gt;"",NOT(ISNUMBER($E213))),AND($F213&lt;&gt;"",NOT(ISNUMBER($F213))),AND($G213&lt;&gt;"",NOT(ISNUMBER($G213)))),"Fecha no válida"&amp;" · ","")&amp;IF(AND(ISNUMBER($AM213),ISNUMBER($AN213),$AM213&gt;$AN213),"Inicio posterior a fecha límite"&amp;" · ","")&amp;IF(AND($V213="Macro",$H213&lt;&gt;"",OR(NOT(ISNUMBER($H213)),$H213&lt;0,$H213&gt;1)),"Peso fuera de rango"&amp;" · ","")&amp;IF(AND($V213="Sub",$H213&lt;&gt;""),"Las subactividades no llevan peso (valen igual dentro de su macroactividad)"&amp;" · ","")&amp;IF(AND(N($W213)&gt;0,COUNT($I213:$L213)&gt;0),"Con subactividades: deje vacías las semanas (se calculan solas)"&amp;" · ","")&amp;IF((COUNTIF($I213:$L213,"&gt;1")+COUNTIF($I213:$L213,"&lt;0")+COUNTA($I213:$L213)-COUNT($I213:$L213))&gt;0,"Avance fuera de rango 0-100%"&amp;" · ","")&amp;IF(OR(AND($J213&lt;&gt;"",$J213&lt;$I213),AND($K213&lt;&gt;"",$K213&lt;MAX($I213:$J213)),AND($L213&lt;&gt;"",$L213&lt;MAX($I213:$K213))),"Avance semanal decreciente"&amp;" · ","")&amp;IF(AND(ISNUMBER($AN213),$AN213&lt;FechaRef,IF($V213="Sub",N($X213),N($M213))&lt;1),"Vencida"&amp;" · ","")&amp;IF(AND(ObsObligatoria="Sí",ISNUMBER($AN213),$AN213&lt;FechaRef,IF($V213="Sub",N($X213),N($M213))&lt;1,$Q213=""),"Vencida sin observación"&amp;" · ",""))-3)))</f>
        <v/>
      </c>
      <c r="S213" s="64">
        <f>IF(NOT((COUNTA($B213:$D213)+COUNTA($G213:$L213)+COUNTA($Q213))&gt;0),"",IF(AND($V213="Sub",N($U213)&gt;0),IF(ISNUMBER(INDEX($AM$5:$AM$1000,$U213-4)),DATE(YEAR(INDEX($AM$5:$AM$1000,$U213-4)),MONTH(INDEX($AM$5:$AM$1000,$U213-4)),1),IF(ISNUMBER(INDEX($AN$5:$AN$1000,$U213-4)),DATE(YEAR(INDEX($AN$5:$AN$1000,$U213-4)),MONTH(INDEX($AN$5:$AN$1000,$U213-4)),1),MesCiclo)),IF(ISNUMBER($AM213),DATE(YEAR($AM213),MONTH($AM213),1),IF(ISNUMBER($AN213),DATE(YEAR($AN213),MONTH($AN213),1),MesCiclo))))</f>
        <v/>
      </c>
      <c r="T213" s="62">
        <f>IF(OR($S213="",$S213&lt;&gt;MesCiclo,$V213&lt;&gt;"Macro"),"",COUNTIFS($S$5:$S213,MesCiclo,$V$5:$V213,"Macro"))</f>
        <v/>
      </c>
      <c r="U213" s="62">
        <f>IF($V213="","",IF($V213="Macro",ROW(),IFERROR(LOOKUP(2,1/($V$5:$V213="Macro"),ROW($V$5:$V213)),0)))</f>
        <v/>
      </c>
      <c r="V213" s="62">
        <f>IF(NOT((COUNTA($B213:$D213)+COUNTA($G213:$L213)+COUNTA($Q213))&gt;0),"",IF($B213="Subactividad","Sub","Macro"))</f>
        <v/>
      </c>
      <c r="W213" s="62">
        <f>IF($V213="Macro",COUNTIFS($U$5:$U$1000,ROW(),$V$5:$V$1000,"Sub"),"")</f>
        <v/>
      </c>
      <c r="X213" s="62">
        <f>IF($V213="","",IF(ISNUMBER($G213),1,IFERROR(LOOKUP(2,1/($I213:$L213&lt;&gt;""),$I213:$L213),0)))</f>
        <v/>
      </c>
      <c r="Y213" s="62">
        <f>IF($V213="","",IF(AND(ISNUMBER($G213),$G213&lt;=IF($S213=MesCiclo,InicioCiclo,$S213+MOD(2-WEEKDAY($S213),7))+6),1,IF(ISNUMBER($I213),$I213,0)))</f>
        <v/>
      </c>
      <c r="Z213" s="62">
        <f>IF($V213="","",IF(AND(ISNUMBER($G213),$G213&lt;=IF($S213=MesCiclo,InicioCiclo,$S213+MOD(2-WEEKDAY($S213),7))+13),1,IF(ISNUMBER($J213),$J213,$Y213)))</f>
        <v/>
      </c>
      <c r="AA213" s="62">
        <f>IF($V213="","",IF(AND(ISNUMBER($G213),$G213&lt;=IF($S213=MesCiclo,InicioCiclo,$S213+MOD(2-WEEKDAY($S213),7))+20),1,IF(ISNUMBER($K213),$K213,$Z213)))</f>
        <v/>
      </c>
      <c r="AB213" s="62">
        <f>IF($V213="","",IF(AND(ISNUMBER($G213),$G213&lt;=IF($S213=MesCiclo,InicioCiclo,$S213+MOD(2-WEEKDAY($S213),7))+27),1,IF(ISNUMBER($L213),$L213,$AA213)))</f>
        <v/>
      </c>
      <c r="AC213" s="62">
        <f>IF($V213="","",IF(AND(ISNUMBER($G213),$G213&lt;=IF($S213=MesCiclo,InicioCiclo,$S213+MOD(2-WEEKDAY($S213),7))+6),1,IF(N($W213)&gt;0,AVERAGEIFS($Y$5:$Y$1000,$U$5:$U$1000,ROW(),$V$5:$V$1000,"Sub"),$Y213)))</f>
        <v/>
      </c>
      <c r="AD213" s="62">
        <f>IF($V213="","",IF(AND(ISNUMBER($G213),$G213&lt;=IF($S213=MesCiclo,InicioCiclo,$S213+MOD(2-WEEKDAY($S213),7))+13),1,IF(N($W213)&gt;0,AVERAGEIFS($Z$5:$Z$1000,$U$5:$U$1000,ROW(),$V$5:$V$1000,"Sub"),$Z213)))</f>
        <v/>
      </c>
      <c r="AE213" s="62">
        <f>IF($V213="","",IF(AND(ISNUMBER($G213),$G213&lt;=IF($S213=MesCiclo,InicioCiclo,$S213+MOD(2-WEEKDAY($S213),7))+20),1,IF(N($W213)&gt;0,AVERAGEIFS($AA$5:$AA$1000,$U$5:$U$1000,ROW(),$V$5:$V$1000,"Sub"),$AA213)))</f>
        <v/>
      </c>
      <c r="AF213" s="62">
        <f>IF($V213="","",IF(AND(ISNUMBER($G213),$G213&lt;=IF($S213=MesCiclo,InicioCiclo,$S213+MOD(2-WEEKDAY($S213),7))+27),1,IF(N($W213)&gt;0,AVERAGEIFS($AB$5:$AB$1000,$U$5:$U$1000,ROW(),$V$5:$V$1000,"Sub"),$AB213)))</f>
        <v/>
      </c>
      <c r="AG213" s="62">
        <f>IF($V213&lt;&gt;"Macro","",IF(COUNTIFS($S$5:$S$1000,$S213,$V$5:$V$1000,"Macro",$H$5:$H$1000,"&gt;0")=0,1/COUNTIFS($S$5:$S$1000,$S213,$V$5:$V$1000,"Macro"),IF(AND(ISNUMBER($H213),N($H213)&gt;0),$H213,SUMIFS($H$5:$H$1000,$S$5:$S$1000,$S213,$V$5:$V$1000,"Macro")/COUNTIFS($S$5:$S$1000,$S213,$V$5:$V$1000,"Macro",$H$5:$H$1000,"&gt;0"))/(COUNTIFS($S$5:$S$1000,$S213,$V$5:$V$1000,"Macro")*SUMIFS($H$5:$H$1000,$S$5:$S$1000,$S213,$V$5:$V$1000,"Macro")/COUNTIFS($S$5:$S$1000,$S213,$V$5:$V$1000,"Macro",$H$5:$H$1000,"&gt;0"))))</f>
        <v/>
      </c>
      <c r="AH213" s="62" t="n"/>
      <c r="AI213" s="62" t="n"/>
      <c r="AJ213" s="62" t="n"/>
      <c r="AK213" s="62" t="n"/>
      <c r="AL213" s="62">
        <f>IF(LEFT($C213,11)="[Jefatura] ",IFERROR(MATCH("Riesgo Normativo|"&amp;MID($C213,12,500),rDname_ADM,0),0),"")</f>
        <v/>
      </c>
      <c r="AM213" s="62">
        <f>IF(N($AL213)&gt;0,INDEX(rIni_ADM,$AL213),IF(ISNUMBER($E213),$E213,""))</f>
        <v/>
      </c>
      <c r="AN213" s="62">
        <f>IF(N($AL213)&gt;0,INDEX(rLim_ADM,$AL213),IF(ISNUMBER($F213),$F213,""))</f>
        <v/>
      </c>
    </row>
    <row r="214">
      <c r="A214" s="56">
        <f>IF(NOT((COUNTA($B214:$D214)+COUNTA($G214:$L214)+COUNTA($Q214))&gt;0),"",IF($V214="Macro",COUNTIFS($V$5:$V214,"Macro",$S$5:$S214,$S214),IF(N($U214)=0,"?",COUNTIFS(INDEX($V$5:$V$1000,1):INDEX($V$5:$V$1000,$U214-4),"Macro",INDEX($S$5:$S$1000,1):INDEX($S$5:$S$1000,$U214-4),INDEX($S$5:$S$1000,$U214-4))&amp;"."&amp;COUNTIFS($U$5:$U214,$U214,$V$5:$V214,"Sub"))))</f>
        <v/>
      </c>
      <c r="B214" s="57" t="n"/>
      <c r="C214" s="58" t="n"/>
      <c r="D214" s="58" t="n"/>
      <c r="E214" s="59">
        <f>IF(N($AL214)&gt;0,INDEX(rIni_ADM,$AL214),"")</f>
        <v/>
      </c>
      <c r="F214" s="59">
        <f>IF(N($AL214)&gt;0,INDEX(rLim_ADM,$AL214),"")</f>
        <v/>
      </c>
      <c r="G214" s="59" t="n"/>
      <c r="H214" s="60" t="n"/>
      <c r="I214" s="60" t="n"/>
      <c r="J214" s="60" t="n"/>
      <c r="K214" s="60" t="n"/>
      <c r="L214" s="60" t="n"/>
      <c r="M214" s="61">
        <f>IF(NOT((COUNTA($B214:$D214)+COUNTA($G214:$L214)+COUNTA($Q214))&gt;0),"",IF($V214="Sub",IFERROR($X214/INDEX($W$5:$W$1000,$U214-4),""),IF(ISNUMBER($G214),1,IF(N($W214)&gt;0,AVERAGEIFS($X$5:$X$1000,$U$5:$U$1000,ROW(),$V$5:$V$1000,"Sub"),$X214))))</f>
        <v/>
      </c>
      <c r="N214" s="56">
        <f>IF(OR($M214="",$V214="Sub"),"",IF($M214&gt;=1,"Completado",IF($M214&gt;0,"En curso","Pendiente")))</f>
        <v/>
      </c>
      <c r="O214" s="56">
        <f>IF(OR(NOT((COUNTA($B214:$D214)+COUNTA($G214:$L214)+COUNTA($Q214))&gt;0),$V214="Sub"),"",IF(ISNUMBER($G214),IF(AND(ISNUMBER($AN214),$G214&gt;$AN214),"Cumplida con "&amp;($G214-$AN214)&amp;IF($G214-$AN214=1," día"," días")&amp;" de retraso","Cumplida"),IF(N($M214)&gt;=1,"Cumplida",IF(NOT(ISNUMBER($AN214)),"Sin fecha límite",IF($AN214&lt;FechaRef,"Vencida hace "&amp;(FechaRef-$AN214)&amp;IF(FechaRef-$AN214=1," día"," días"),IF($AN214=FechaRef,"Vence hoy",IF($AN214-FechaRef&lt;=DiasAlerta,"Vence en "&amp;($AN214-FechaRef)&amp;IF($AN214-FechaRef=1," día"," días"),"En plazo")))))))</f>
        <v/>
      </c>
      <c r="P214" s="62" t="n"/>
      <c r="Q214" s="58" t="n"/>
      <c r="R214" s="63">
        <f>IF(NOT((COUNTA($B214:$D214)+COUNTA($G214:$L214)+COUNTA($Q214))&gt;0),"",IF((IF($C214="","Falta el nombre de la actividad"&amp;" · ","")&amp;IF(AND($V214="Sub",N($U214)=0),"Subactividad sin macroactividad arriba"&amp;" · ","")&amp;IF($AM214="","Sin fecha de inicio"&amp;" · ","")&amp;IF($AN214="","Sin fecha límite"&amp;" · ","")&amp;IF(AND(LEFT($C214,11)="[Jefatura] ",N($AL214)=0),"No se encuentra en la hoja de la jefatura (elíjala de nuevo en la lista)"&amp;" · ","")&amp;IF(OR(AND($E214&lt;&gt;"",NOT(ISNUMBER($E214))),AND($F214&lt;&gt;"",NOT(ISNUMBER($F214))),AND($G214&lt;&gt;"",NOT(ISNUMBER($G214)))),"Fecha no válida"&amp;" · ","")&amp;IF(AND(ISNUMBER($AM214),ISNUMBER($AN214),$AM214&gt;$AN214),"Inicio posterior a fecha límite"&amp;" · ","")&amp;IF(AND($V214="Macro",$H214&lt;&gt;"",OR(NOT(ISNUMBER($H214)),$H214&lt;0,$H214&gt;1)),"Peso fuera de rango"&amp;" · ","")&amp;IF(AND($V214="Sub",$H214&lt;&gt;""),"Las subactividades no llevan peso (valen igual dentro de su macroactividad)"&amp;" · ","")&amp;IF(AND(N($W214)&gt;0,COUNT($I214:$L214)&gt;0),"Con subactividades: deje vacías las semanas (se calculan solas)"&amp;" · ","")&amp;IF((COUNTIF($I214:$L214,"&gt;1")+COUNTIF($I214:$L214,"&lt;0")+COUNTA($I214:$L214)-COUNT($I214:$L214))&gt;0,"Avance fuera de rango 0-100%"&amp;" · ","")&amp;IF(OR(AND($J214&lt;&gt;"",$J214&lt;$I214),AND($K214&lt;&gt;"",$K214&lt;MAX($I214:$J214)),AND($L214&lt;&gt;"",$L214&lt;MAX($I214:$K214))),"Avance semanal decreciente"&amp;" · ","")&amp;IF(AND(ISNUMBER($AN214),$AN214&lt;FechaRef,IF($V214="Sub",N($X214),N($M214))&lt;1),"Vencida"&amp;" · ","")&amp;IF(AND(ObsObligatoria="Sí",ISNUMBER($AN214),$AN214&lt;FechaRef,IF($V214="Sub",N($X214),N($M214))&lt;1,$Q214=""),"Vencida sin observación"&amp;" · ",""))="","✔ OK","⚠ "&amp;LEFT(IF($C214="","Falta el nombre de la actividad"&amp;" · ","")&amp;IF(AND($V214="Sub",N($U214)=0),"Subactividad sin macroactividad arriba"&amp;" · ","")&amp;IF($AM214="","Sin fecha de inicio"&amp;" · ","")&amp;IF($AN214="","Sin fecha límite"&amp;" · ","")&amp;IF(AND(LEFT($C214,11)="[Jefatura] ",N($AL214)=0),"No se encuentra en la hoja de la jefatura (elíjala de nuevo en la lista)"&amp;" · ","")&amp;IF(OR(AND($E214&lt;&gt;"",NOT(ISNUMBER($E214))),AND($F214&lt;&gt;"",NOT(ISNUMBER($F214))),AND($G214&lt;&gt;"",NOT(ISNUMBER($G214)))),"Fecha no válida"&amp;" · ","")&amp;IF(AND(ISNUMBER($AM214),ISNUMBER($AN214),$AM214&gt;$AN214),"Inicio posterior a fecha límite"&amp;" · ","")&amp;IF(AND($V214="Macro",$H214&lt;&gt;"",OR(NOT(ISNUMBER($H214)),$H214&lt;0,$H214&gt;1)),"Peso fuera de rango"&amp;" · ","")&amp;IF(AND($V214="Sub",$H214&lt;&gt;""),"Las subactividades no llevan peso (valen igual dentro de su macroactividad)"&amp;" · ","")&amp;IF(AND(N($W214)&gt;0,COUNT($I214:$L214)&gt;0),"Con subactividades: deje vacías las semanas (se calculan solas)"&amp;" · ","")&amp;IF((COUNTIF($I214:$L214,"&gt;1")+COUNTIF($I214:$L214,"&lt;0")+COUNTA($I214:$L214)-COUNT($I214:$L214))&gt;0,"Avance fuera de rango 0-100%"&amp;" · ","")&amp;IF(OR(AND($J214&lt;&gt;"",$J214&lt;$I214),AND($K214&lt;&gt;"",$K214&lt;MAX($I214:$J214)),AND($L214&lt;&gt;"",$L214&lt;MAX($I214:$K214))),"Avance semanal decreciente"&amp;" · ","")&amp;IF(AND(ISNUMBER($AN214),$AN214&lt;FechaRef,IF($V214="Sub",N($X214),N($M214))&lt;1),"Vencida"&amp;" · ","")&amp;IF(AND(ObsObligatoria="Sí",ISNUMBER($AN214),$AN214&lt;FechaRef,IF($V214="Sub",N($X214),N($M214))&lt;1,$Q214=""),"Vencida sin observación"&amp;" · ",""),LEN(IF($C214="","Falta el nombre de la actividad"&amp;" · ","")&amp;IF(AND($V214="Sub",N($U214)=0),"Subactividad sin macroactividad arriba"&amp;" · ","")&amp;IF($AM214="","Sin fecha de inicio"&amp;" · ","")&amp;IF($AN214="","Sin fecha límite"&amp;" · ","")&amp;IF(AND(LEFT($C214,11)="[Jefatura] ",N($AL214)=0),"No se encuentra en la hoja de la jefatura (elíjala de nuevo en la lista)"&amp;" · ","")&amp;IF(OR(AND($E214&lt;&gt;"",NOT(ISNUMBER($E214))),AND($F214&lt;&gt;"",NOT(ISNUMBER($F214))),AND($G214&lt;&gt;"",NOT(ISNUMBER($G214)))),"Fecha no válida"&amp;" · ","")&amp;IF(AND(ISNUMBER($AM214),ISNUMBER($AN214),$AM214&gt;$AN214),"Inicio posterior a fecha límite"&amp;" · ","")&amp;IF(AND($V214="Macro",$H214&lt;&gt;"",OR(NOT(ISNUMBER($H214)),$H214&lt;0,$H214&gt;1)),"Peso fuera de rango"&amp;" · ","")&amp;IF(AND($V214="Sub",$H214&lt;&gt;""),"Las subactividades no llevan peso (valen igual dentro de su macroactividad)"&amp;" · ","")&amp;IF(AND(N($W214)&gt;0,COUNT($I214:$L214)&gt;0),"Con subactividades: deje vacías las semanas (se calculan solas)"&amp;" · ","")&amp;IF((COUNTIF($I214:$L214,"&gt;1")+COUNTIF($I214:$L214,"&lt;0")+COUNTA($I214:$L214)-COUNT($I214:$L214))&gt;0,"Avance fuera de rango 0-100%"&amp;" · ","")&amp;IF(OR(AND($J214&lt;&gt;"",$J214&lt;$I214),AND($K214&lt;&gt;"",$K214&lt;MAX($I214:$J214)),AND($L214&lt;&gt;"",$L214&lt;MAX($I214:$K214))),"Avance semanal decreciente"&amp;" · ","")&amp;IF(AND(ISNUMBER($AN214),$AN214&lt;FechaRef,IF($V214="Sub",N($X214),N($M214))&lt;1),"Vencida"&amp;" · ","")&amp;IF(AND(ObsObligatoria="Sí",ISNUMBER($AN214),$AN214&lt;FechaRef,IF($V214="Sub",N($X214),N($M214))&lt;1,$Q214=""),"Vencida sin observación"&amp;" · ",""))-3)))</f>
        <v/>
      </c>
      <c r="S214" s="64">
        <f>IF(NOT((COUNTA($B214:$D214)+COUNTA($G214:$L214)+COUNTA($Q214))&gt;0),"",IF(AND($V214="Sub",N($U214)&gt;0),IF(ISNUMBER(INDEX($AM$5:$AM$1000,$U214-4)),DATE(YEAR(INDEX($AM$5:$AM$1000,$U214-4)),MONTH(INDEX($AM$5:$AM$1000,$U214-4)),1),IF(ISNUMBER(INDEX($AN$5:$AN$1000,$U214-4)),DATE(YEAR(INDEX($AN$5:$AN$1000,$U214-4)),MONTH(INDEX($AN$5:$AN$1000,$U214-4)),1),MesCiclo)),IF(ISNUMBER($AM214),DATE(YEAR($AM214),MONTH($AM214),1),IF(ISNUMBER($AN214),DATE(YEAR($AN214),MONTH($AN214),1),MesCiclo))))</f>
        <v/>
      </c>
      <c r="T214" s="62">
        <f>IF(OR($S214="",$S214&lt;&gt;MesCiclo,$V214&lt;&gt;"Macro"),"",COUNTIFS($S$5:$S214,MesCiclo,$V$5:$V214,"Macro"))</f>
        <v/>
      </c>
      <c r="U214" s="62">
        <f>IF($V214="","",IF($V214="Macro",ROW(),IFERROR(LOOKUP(2,1/($V$5:$V214="Macro"),ROW($V$5:$V214)),0)))</f>
        <v/>
      </c>
      <c r="V214" s="62">
        <f>IF(NOT((COUNTA($B214:$D214)+COUNTA($G214:$L214)+COUNTA($Q214))&gt;0),"",IF($B214="Subactividad","Sub","Macro"))</f>
        <v/>
      </c>
      <c r="W214" s="62">
        <f>IF($V214="Macro",COUNTIFS($U$5:$U$1000,ROW(),$V$5:$V$1000,"Sub"),"")</f>
        <v/>
      </c>
      <c r="X214" s="62">
        <f>IF($V214="","",IF(ISNUMBER($G214),1,IFERROR(LOOKUP(2,1/($I214:$L214&lt;&gt;""),$I214:$L214),0)))</f>
        <v/>
      </c>
      <c r="Y214" s="62">
        <f>IF($V214="","",IF(AND(ISNUMBER($G214),$G214&lt;=IF($S214=MesCiclo,InicioCiclo,$S214+MOD(2-WEEKDAY($S214),7))+6),1,IF(ISNUMBER($I214),$I214,0)))</f>
        <v/>
      </c>
      <c r="Z214" s="62">
        <f>IF($V214="","",IF(AND(ISNUMBER($G214),$G214&lt;=IF($S214=MesCiclo,InicioCiclo,$S214+MOD(2-WEEKDAY($S214),7))+13),1,IF(ISNUMBER($J214),$J214,$Y214)))</f>
        <v/>
      </c>
      <c r="AA214" s="62">
        <f>IF($V214="","",IF(AND(ISNUMBER($G214),$G214&lt;=IF($S214=MesCiclo,InicioCiclo,$S214+MOD(2-WEEKDAY($S214),7))+20),1,IF(ISNUMBER($K214),$K214,$Z214)))</f>
        <v/>
      </c>
      <c r="AB214" s="62">
        <f>IF($V214="","",IF(AND(ISNUMBER($G214),$G214&lt;=IF($S214=MesCiclo,InicioCiclo,$S214+MOD(2-WEEKDAY($S214),7))+27),1,IF(ISNUMBER($L214),$L214,$AA214)))</f>
        <v/>
      </c>
      <c r="AC214" s="62">
        <f>IF($V214="","",IF(AND(ISNUMBER($G214),$G214&lt;=IF($S214=MesCiclo,InicioCiclo,$S214+MOD(2-WEEKDAY($S214),7))+6),1,IF(N($W214)&gt;0,AVERAGEIFS($Y$5:$Y$1000,$U$5:$U$1000,ROW(),$V$5:$V$1000,"Sub"),$Y214)))</f>
        <v/>
      </c>
      <c r="AD214" s="62">
        <f>IF($V214="","",IF(AND(ISNUMBER($G214),$G214&lt;=IF($S214=MesCiclo,InicioCiclo,$S214+MOD(2-WEEKDAY($S214),7))+13),1,IF(N($W214)&gt;0,AVERAGEIFS($Z$5:$Z$1000,$U$5:$U$1000,ROW(),$V$5:$V$1000,"Sub"),$Z214)))</f>
        <v/>
      </c>
      <c r="AE214" s="62">
        <f>IF($V214="","",IF(AND(ISNUMBER($G214),$G214&lt;=IF($S214=MesCiclo,InicioCiclo,$S214+MOD(2-WEEKDAY($S214),7))+20),1,IF(N($W214)&gt;0,AVERAGEIFS($AA$5:$AA$1000,$U$5:$U$1000,ROW(),$V$5:$V$1000,"Sub"),$AA214)))</f>
        <v/>
      </c>
      <c r="AF214" s="62">
        <f>IF($V214="","",IF(AND(ISNUMBER($G214),$G214&lt;=IF($S214=MesCiclo,InicioCiclo,$S214+MOD(2-WEEKDAY($S214),7))+27),1,IF(N($W214)&gt;0,AVERAGEIFS($AB$5:$AB$1000,$U$5:$U$1000,ROW(),$V$5:$V$1000,"Sub"),$AB214)))</f>
        <v/>
      </c>
      <c r="AG214" s="62">
        <f>IF($V214&lt;&gt;"Macro","",IF(COUNTIFS($S$5:$S$1000,$S214,$V$5:$V$1000,"Macro",$H$5:$H$1000,"&gt;0")=0,1/COUNTIFS($S$5:$S$1000,$S214,$V$5:$V$1000,"Macro"),IF(AND(ISNUMBER($H214),N($H214)&gt;0),$H214,SUMIFS($H$5:$H$1000,$S$5:$S$1000,$S214,$V$5:$V$1000,"Macro")/COUNTIFS($S$5:$S$1000,$S214,$V$5:$V$1000,"Macro",$H$5:$H$1000,"&gt;0"))/(COUNTIFS($S$5:$S$1000,$S214,$V$5:$V$1000,"Macro")*SUMIFS($H$5:$H$1000,$S$5:$S$1000,$S214,$V$5:$V$1000,"Macro")/COUNTIFS($S$5:$S$1000,$S214,$V$5:$V$1000,"Macro",$H$5:$H$1000,"&gt;0"))))</f>
        <v/>
      </c>
      <c r="AH214" s="62" t="n"/>
      <c r="AI214" s="62" t="n"/>
      <c r="AJ214" s="62" t="n"/>
      <c r="AK214" s="62" t="n"/>
      <c r="AL214" s="62">
        <f>IF(LEFT($C214,11)="[Jefatura] ",IFERROR(MATCH("Riesgo Normativo|"&amp;MID($C214,12,500),rDname_ADM,0),0),"")</f>
        <v/>
      </c>
      <c r="AM214" s="62">
        <f>IF(N($AL214)&gt;0,INDEX(rIni_ADM,$AL214),IF(ISNUMBER($E214),$E214,""))</f>
        <v/>
      </c>
      <c r="AN214" s="62">
        <f>IF(N($AL214)&gt;0,INDEX(rLim_ADM,$AL214),IF(ISNUMBER($F214),$F214,""))</f>
        <v/>
      </c>
    </row>
    <row r="215">
      <c r="A215" s="56">
        <f>IF(NOT((COUNTA($B215:$D215)+COUNTA($G215:$L215)+COUNTA($Q215))&gt;0),"",IF($V215="Macro",COUNTIFS($V$5:$V215,"Macro",$S$5:$S215,$S215),IF(N($U215)=0,"?",COUNTIFS(INDEX($V$5:$V$1000,1):INDEX($V$5:$V$1000,$U215-4),"Macro",INDEX($S$5:$S$1000,1):INDEX($S$5:$S$1000,$U215-4),INDEX($S$5:$S$1000,$U215-4))&amp;"."&amp;COUNTIFS($U$5:$U215,$U215,$V$5:$V215,"Sub"))))</f>
        <v/>
      </c>
      <c r="B215" s="57" t="n"/>
      <c r="C215" s="58" t="n"/>
      <c r="D215" s="58" t="n"/>
      <c r="E215" s="59">
        <f>IF(N($AL215)&gt;0,INDEX(rIni_ADM,$AL215),"")</f>
        <v/>
      </c>
      <c r="F215" s="59">
        <f>IF(N($AL215)&gt;0,INDEX(rLim_ADM,$AL215),"")</f>
        <v/>
      </c>
      <c r="G215" s="59" t="n"/>
      <c r="H215" s="60" t="n"/>
      <c r="I215" s="60" t="n"/>
      <c r="J215" s="60" t="n"/>
      <c r="K215" s="60" t="n"/>
      <c r="L215" s="60" t="n"/>
      <c r="M215" s="61">
        <f>IF(NOT((COUNTA($B215:$D215)+COUNTA($G215:$L215)+COUNTA($Q215))&gt;0),"",IF($V215="Sub",IFERROR($X215/INDEX($W$5:$W$1000,$U215-4),""),IF(ISNUMBER($G215),1,IF(N($W215)&gt;0,AVERAGEIFS($X$5:$X$1000,$U$5:$U$1000,ROW(),$V$5:$V$1000,"Sub"),$X215))))</f>
        <v/>
      </c>
      <c r="N215" s="56">
        <f>IF(OR($M215="",$V215="Sub"),"",IF($M215&gt;=1,"Completado",IF($M215&gt;0,"En curso","Pendiente")))</f>
        <v/>
      </c>
      <c r="O215" s="56">
        <f>IF(OR(NOT((COUNTA($B215:$D215)+COUNTA($G215:$L215)+COUNTA($Q215))&gt;0),$V215="Sub"),"",IF(ISNUMBER($G215),IF(AND(ISNUMBER($AN215),$G215&gt;$AN215),"Cumplida con "&amp;($G215-$AN215)&amp;IF($G215-$AN215=1," día"," días")&amp;" de retraso","Cumplida"),IF(N($M215)&gt;=1,"Cumplida",IF(NOT(ISNUMBER($AN215)),"Sin fecha límite",IF($AN215&lt;FechaRef,"Vencida hace "&amp;(FechaRef-$AN215)&amp;IF(FechaRef-$AN215=1," día"," días"),IF($AN215=FechaRef,"Vence hoy",IF($AN215-FechaRef&lt;=DiasAlerta,"Vence en "&amp;($AN215-FechaRef)&amp;IF($AN215-FechaRef=1," día"," días"),"En plazo")))))))</f>
        <v/>
      </c>
      <c r="P215" s="62" t="n"/>
      <c r="Q215" s="58" t="n"/>
      <c r="R215" s="63">
        <f>IF(NOT((COUNTA($B215:$D215)+COUNTA($G215:$L215)+COUNTA($Q215))&gt;0),"",IF((IF($C215="","Falta el nombre de la actividad"&amp;" · ","")&amp;IF(AND($V215="Sub",N($U215)=0),"Subactividad sin macroactividad arriba"&amp;" · ","")&amp;IF($AM215="","Sin fecha de inicio"&amp;" · ","")&amp;IF($AN215="","Sin fecha límite"&amp;" · ","")&amp;IF(AND(LEFT($C215,11)="[Jefatura] ",N($AL215)=0),"No se encuentra en la hoja de la jefatura (elíjala de nuevo en la lista)"&amp;" · ","")&amp;IF(OR(AND($E215&lt;&gt;"",NOT(ISNUMBER($E215))),AND($F215&lt;&gt;"",NOT(ISNUMBER($F215))),AND($G215&lt;&gt;"",NOT(ISNUMBER($G215)))),"Fecha no válida"&amp;" · ","")&amp;IF(AND(ISNUMBER($AM215),ISNUMBER($AN215),$AM215&gt;$AN215),"Inicio posterior a fecha límite"&amp;" · ","")&amp;IF(AND($V215="Macro",$H215&lt;&gt;"",OR(NOT(ISNUMBER($H215)),$H215&lt;0,$H215&gt;1)),"Peso fuera de rango"&amp;" · ","")&amp;IF(AND($V215="Sub",$H215&lt;&gt;""),"Las subactividades no llevan peso (valen igual dentro de su macroactividad)"&amp;" · ","")&amp;IF(AND(N($W215)&gt;0,COUNT($I215:$L215)&gt;0),"Con subactividades: deje vacías las semanas (se calculan solas)"&amp;" · ","")&amp;IF((COUNTIF($I215:$L215,"&gt;1")+COUNTIF($I215:$L215,"&lt;0")+COUNTA($I215:$L215)-COUNT($I215:$L215))&gt;0,"Avance fuera de rango 0-100%"&amp;" · ","")&amp;IF(OR(AND($J215&lt;&gt;"",$J215&lt;$I215),AND($K215&lt;&gt;"",$K215&lt;MAX($I215:$J215)),AND($L215&lt;&gt;"",$L215&lt;MAX($I215:$K215))),"Avance semanal decreciente"&amp;" · ","")&amp;IF(AND(ISNUMBER($AN215),$AN215&lt;FechaRef,IF($V215="Sub",N($X215),N($M215))&lt;1),"Vencida"&amp;" · ","")&amp;IF(AND(ObsObligatoria="Sí",ISNUMBER($AN215),$AN215&lt;FechaRef,IF($V215="Sub",N($X215),N($M215))&lt;1,$Q215=""),"Vencida sin observación"&amp;" · ",""))="","✔ OK","⚠ "&amp;LEFT(IF($C215="","Falta el nombre de la actividad"&amp;" · ","")&amp;IF(AND($V215="Sub",N($U215)=0),"Subactividad sin macroactividad arriba"&amp;" · ","")&amp;IF($AM215="","Sin fecha de inicio"&amp;" · ","")&amp;IF($AN215="","Sin fecha límite"&amp;" · ","")&amp;IF(AND(LEFT($C215,11)="[Jefatura] ",N($AL215)=0),"No se encuentra en la hoja de la jefatura (elíjala de nuevo en la lista)"&amp;" · ","")&amp;IF(OR(AND($E215&lt;&gt;"",NOT(ISNUMBER($E215))),AND($F215&lt;&gt;"",NOT(ISNUMBER($F215))),AND($G215&lt;&gt;"",NOT(ISNUMBER($G215)))),"Fecha no válida"&amp;" · ","")&amp;IF(AND(ISNUMBER($AM215),ISNUMBER($AN215),$AM215&gt;$AN215),"Inicio posterior a fecha límite"&amp;" · ","")&amp;IF(AND($V215="Macro",$H215&lt;&gt;"",OR(NOT(ISNUMBER($H215)),$H215&lt;0,$H215&gt;1)),"Peso fuera de rango"&amp;" · ","")&amp;IF(AND($V215="Sub",$H215&lt;&gt;""),"Las subactividades no llevan peso (valen igual dentro de su macroactividad)"&amp;" · ","")&amp;IF(AND(N($W215)&gt;0,COUNT($I215:$L215)&gt;0),"Con subactividades: deje vacías las semanas (se calculan solas)"&amp;" · ","")&amp;IF((COUNTIF($I215:$L215,"&gt;1")+COUNTIF($I215:$L215,"&lt;0")+COUNTA($I215:$L215)-COUNT($I215:$L215))&gt;0,"Avance fuera de rango 0-100%"&amp;" · ","")&amp;IF(OR(AND($J215&lt;&gt;"",$J215&lt;$I215),AND($K215&lt;&gt;"",$K215&lt;MAX($I215:$J215)),AND($L215&lt;&gt;"",$L215&lt;MAX($I215:$K215))),"Avance semanal decreciente"&amp;" · ","")&amp;IF(AND(ISNUMBER($AN215),$AN215&lt;FechaRef,IF($V215="Sub",N($X215),N($M215))&lt;1),"Vencida"&amp;" · ","")&amp;IF(AND(ObsObligatoria="Sí",ISNUMBER($AN215),$AN215&lt;FechaRef,IF($V215="Sub",N($X215),N($M215))&lt;1,$Q215=""),"Vencida sin observación"&amp;" · ",""),LEN(IF($C215="","Falta el nombre de la actividad"&amp;" · ","")&amp;IF(AND($V215="Sub",N($U215)=0),"Subactividad sin macroactividad arriba"&amp;" · ","")&amp;IF($AM215="","Sin fecha de inicio"&amp;" · ","")&amp;IF($AN215="","Sin fecha límite"&amp;" · ","")&amp;IF(AND(LEFT($C215,11)="[Jefatura] ",N($AL215)=0),"No se encuentra en la hoja de la jefatura (elíjala de nuevo en la lista)"&amp;" · ","")&amp;IF(OR(AND($E215&lt;&gt;"",NOT(ISNUMBER($E215))),AND($F215&lt;&gt;"",NOT(ISNUMBER($F215))),AND($G215&lt;&gt;"",NOT(ISNUMBER($G215)))),"Fecha no válida"&amp;" · ","")&amp;IF(AND(ISNUMBER($AM215),ISNUMBER($AN215),$AM215&gt;$AN215),"Inicio posterior a fecha límite"&amp;" · ","")&amp;IF(AND($V215="Macro",$H215&lt;&gt;"",OR(NOT(ISNUMBER($H215)),$H215&lt;0,$H215&gt;1)),"Peso fuera de rango"&amp;" · ","")&amp;IF(AND($V215="Sub",$H215&lt;&gt;""),"Las subactividades no llevan peso (valen igual dentro de su macroactividad)"&amp;" · ","")&amp;IF(AND(N($W215)&gt;0,COUNT($I215:$L215)&gt;0),"Con subactividades: deje vacías las semanas (se calculan solas)"&amp;" · ","")&amp;IF((COUNTIF($I215:$L215,"&gt;1")+COUNTIF($I215:$L215,"&lt;0")+COUNTA($I215:$L215)-COUNT($I215:$L215))&gt;0,"Avance fuera de rango 0-100%"&amp;" · ","")&amp;IF(OR(AND($J215&lt;&gt;"",$J215&lt;$I215),AND($K215&lt;&gt;"",$K215&lt;MAX($I215:$J215)),AND($L215&lt;&gt;"",$L215&lt;MAX($I215:$K215))),"Avance semanal decreciente"&amp;" · ","")&amp;IF(AND(ISNUMBER($AN215),$AN215&lt;FechaRef,IF($V215="Sub",N($X215),N($M215))&lt;1),"Vencida"&amp;" · ","")&amp;IF(AND(ObsObligatoria="Sí",ISNUMBER($AN215),$AN215&lt;FechaRef,IF($V215="Sub",N($X215),N($M215))&lt;1,$Q215=""),"Vencida sin observación"&amp;" · ",""))-3)))</f>
        <v/>
      </c>
      <c r="S215" s="64">
        <f>IF(NOT((COUNTA($B215:$D215)+COUNTA($G215:$L215)+COUNTA($Q215))&gt;0),"",IF(AND($V215="Sub",N($U215)&gt;0),IF(ISNUMBER(INDEX($AM$5:$AM$1000,$U215-4)),DATE(YEAR(INDEX($AM$5:$AM$1000,$U215-4)),MONTH(INDEX($AM$5:$AM$1000,$U215-4)),1),IF(ISNUMBER(INDEX($AN$5:$AN$1000,$U215-4)),DATE(YEAR(INDEX($AN$5:$AN$1000,$U215-4)),MONTH(INDEX($AN$5:$AN$1000,$U215-4)),1),MesCiclo)),IF(ISNUMBER($AM215),DATE(YEAR($AM215),MONTH($AM215),1),IF(ISNUMBER($AN215),DATE(YEAR($AN215),MONTH($AN215),1),MesCiclo))))</f>
        <v/>
      </c>
      <c r="T215" s="62">
        <f>IF(OR($S215="",$S215&lt;&gt;MesCiclo,$V215&lt;&gt;"Macro"),"",COUNTIFS($S$5:$S215,MesCiclo,$V$5:$V215,"Macro"))</f>
        <v/>
      </c>
      <c r="U215" s="62">
        <f>IF($V215="","",IF($V215="Macro",ROW(),IFERROR(LOOKUP(2,1/($V$5:$V215="Macro"),ROW($V$5:$V215)),0)))</f>
        <v/>
      </c>
      <c r="V215" s="62">
        <f>IF(NOT((COUNTA($B215:$D215)+COUNTA($G215:$L215)+COUNTA($Q215))&gt;0),"",IF($B215="Subactividad","Sub","Macro"))</f>
        <v/>
      </c>
      <c r="W215" s="62">
        <f>IF($V215="Macro",COUNTIFS($U$5:$U$1000,ROW(),$V$5:$V$1000,"Sub"),"")</f>
        <v/>
      </c>
      <c r="X215" s="62">
        <f>IF($V215="","",IF(ISNUMBER($G215),1,IFERROR(LOOKUP(2,1/($I215:$L215&lt;&gt;""),$I215:$L215),0)))</f>
        <v/>
      </c>
      <c r="Y215" s="62">
        <f>IF($V215="","",IF(AND(ISNUMBER($G215),$G215&lt;=IF($S215=MesCiclo,InicioCiclo,$S215+MOD(2-WEEKDAY($S215),7))+6),1,IF(ISNUMBER($I215),$I215,0)))</f>
        <v/>
      </c>
      <c r="Z215" s="62">
        <f>IF($V215="","",IF(AND(ISNUMBER($G215),$G215&lt;=IF($S215=MesCiclo,InicioCiclo,$S215+MOD(2-WEEKDAY($S215),7))+13),1,IF(ISNUMBER($J215),$J215,$Y215)))</f>
        <v/>
      </c>
      <c r="AA215" s="62">
        <f>IF($V215="","",IF(AND(ISNUMBER($G215),$G215&lt;=IF($S215=MesCiclo,InicioCiclo,$S215+MOD(2-WEEKDAY($S215),7))+20),1,IF(ISNUMBER($K215),$K215,$Z215)))</f>
        <v/>
      </c>
      <c r="AB215" s="62">
        <f>IF($V215="","",IF(AND(ISNUMBER($G215),$G215&lt;=IF($S215=MesCiclo,InicioCiclo,$S215+MOD(2-WEEKDAY($S215),7))+27),1,IF(ISNUMBER($L215),$L215,$AA215)))</f>
        <v/>
      </c>
      <c r="AC215" s="62">
        <f>IF($V215="","",IF(AND(ISNUMBER($G215),$G215&lt;=IF($S215=MesCiclo,InicioCiclo,$S215+MOD(2-WEEKDAY($S215),7))+6),1,IF(N($W215)&gt;0,AVERAGEIFS($Y$5:$Y$1000,$U$5:$U$1000,ROW(),$V$5:$V$1000,"Sub"),$Y215)))</f>
        <v/>
      </c>
      <c r="AD215" s="62">
        <f>IF($V215="","",IF(AND(ISNUMBER($G215),$G215&lt;=IF($S215=MesCiclo,InicioCiclo,$S215+MOD(2-WEEKDAY($S215),7))+13),1,IF(N($W215)&gt;0,AVERAGEIFS($Z$5:$Z$1000,$U$5:$U$1000,ROW(),$V$5:$V$1000,"Sub"),$Z215)))</f>
        <v/>
      </c>
      <c r="AE215" s="62">
        <f>IF($V215="","",IF(AND(ISNUMBER($G215),$G215&lt;=IF($S215=MesCiclo,InicioCiclo,$S215+MOD(2-WEEKDAY($S215),7))+20),1,IF(N($W215)&gt;0,AVERAGEIFS($AA$5:$AA$1000,$U$5:$U$1000,ROW(),$V$5:$V$1000,"Sub"),$AA215)))</f>
        <v/>
      </c>
      <c r="AF215" s="62">
        <f>IF($V215="","",IF(AND(ISNUMBER($G215),$G215&lt;=IF($S215=MesCiclo,InicioCiclo,$S215+MOD(2-WEEKDAY($S215),7))+27),1,IF(N($W215)&gt;0,AVERAGEIFS($AB$5:$AB$1000,$U$5:$U$1000,ROW(),$V$5:$V$1000,"Sub"),$AB215)))</f>
        <v/>
      </c>
      <c r="AG215" s="62">
        <f>IF($V215&lt;&gt;"Macro","",IF(COUNTIFS($S$5:$S$1000,$S215,$V$5:$V$1000,"Macro",$H$5:$H$1000,"&gt;0")=0,1/COUNTIFS($S$5:$S$1000,$S215,$V$5:$V$1000,"Macro"),IF(AND(ISNUMBER($H215),N($H215)&gt;0),$H215,SUMIFS($H$5:$H$1000,$S$5:$S$1000,$S215,$V$5:$V$1000,"Macro")/COUNTIFS($S$5:$S$1000,$S215,$V$5:$V$1000,"Macro",$H$5:$H$1000,"&gt;0"))/(COUNTIFS($S$5:$S$1000,$S215,$V$5:$V$1000,"Macro")*SUMIFS($H$5:$H$1000,$S$5:$S$1000,$S215,$V$5:$V$1000,"Macro")/COUNTIFS($S$5:$S$1000,$S215,$V$5:$V$1000,"Macro",$H$5:$H$1000,"&gt;0"))))</f>
        <v/>
      </c>
      <c r="AH215" s="62" t="n"/>
      <c r="AI215" s="62" t="n"/>
      <c r="AJ215" s="62" t="n"/>
      <c r="AK215" s="62" t="n"/>
      <c r="AL215" s="62">
        <f>IF(LEFT($C215,11)="[Jefatura] ",IFERROR(MATCH("Riesgo Normativo|"&amp;MID($C215,12,500),rDname_ADM,0),0),"")</f>
        <v/>
      </c>
      <c r="AM215" s="62">
        <f>IF(N($AL215)&gt;0,INDEX(rIni_ADM,$AL215),IF(ISNUMBER($E215),$E215,""))</f>
        <v/>
      </c>
      <c r="AN215" s="62">
        <f>IF(N($AL215)&gt;0,INDEX(rLim_ADM,$AL215),IF(ISNUMBER($F215),$F215,""))</f>
        <v/>
      </c>
    </row>
    <row r="216">
      <c r="A216" s="56">
        <f>IF(NOT((COUNTA($B216:$D216)+COUNTA($G216:$L216)+COUNTA($Q216))&gt;0),"",IF($V216="Macro",COUNTIFS($V$5:$V216,"Macro",$S$5:$S216,$S216),IF(N($U216)=0,"?",COUNTIFS(INDEX($V$5:$V$1000,1):INDEX($V$5:$V$1000,$U216-4),"Macro",INDEX($S$5:$S$1000,1):INDEX($S$5:$S$1000,$U216-4),INDEX($S$5:$S$1000,$U216-4))&amp;"."&amp;COUNTIFS($U$5:$U216,$U216,$V$5:$V216,"Sub"))))</f>
        <v/>
      </c>
      <c r="B216" s="57" t="n"/>
      <c r="C216" s="58" t="n"/>
      <c r="D216" s="58" t="n"/>
      <c r="E216" s="59">
        <f>IF(N($AL216)&gt;0,INDEX(rIni_ADM,$AL216),"")</f>
        <v/>
      </c>
      <c r="F216" s="59">
        <f>IF(N($AL216)&gt;0,INDEX(rLim_ADM,$AL216),"")</f>
        <v/>
      </c>
      <c r="G216" s="59" t="n"/>
      <c r="H216" s="60" t="n"/>
      <c r="I216" s="60" t="n"/>
      <c r="J216" s="60" t="n"/>
      <c r="K216" s="60" t="n"/>
      <c r="L216" s="60" t="n"/>
      <c r="M216" s="61">
        <f>IF(NOT((COUNTA($B216:$D216)+COUNTA($G216:$L216)+COUNTA($Q216))&gt;0),"",IF($V216="Sub",IFERROR($X216/INDEX($W$5:$W$1000,$U216-4),""),IF(ISNUMBER($G216),1,IF(N($W216)&gt;0,AVERAGEIFS($X$5:$X$1000,$U$5:$U$1000,ROW(),$V$5:$V$1000,"Sub"),$X216))))</f>
        <v/>
      </c>
      <c r="N216" s="56">
        <f>IF(OR($M216="",$V216="Sub"),"",IF($M216&gt;=1,"Completado",IF($M216&gt;0,"En curso","Pendiente")))</f>
        <v/>
      </c>
      <c r="O216" s="56">
        <f>IF(OR(NOT((COUNTA($B216:$D216)+COUNTA($G216:$L216)+COUNTA($Q216))&gt;0),$V216="Sub"),"",IF(ISNUMBER($G216),IF(AND(ISNUMBER($AN216),$G216&gt;$AN216),"Cumplida con "&amp;($G216-$AN216)&amp;IF($G216-$AN216=1," día"," días")&amp;" de retraso","Cumplida"),IF(N($M216)&gt;=1,"Cumplida",IF(NOT(ISNUMBER($AN216)),"Sin fecha límite",IF($AN216&lt;FechaRef,"Vencida hace "&amp;(FechaRef-$AN216)&amp;IF(FechaRef-$AN216=1," día"," días"),IF($AN216=FechaRef,"Vence hoy",IF($AN216-FechaRef&lt;=DiasAlerta,"Vence en "&amp;($AN216-FechaRef)&amp;IF($AN216-FechaRef=1," día"," días"),"En plazo")))))))</f>
        <v/>
      </c>
      <c r="P216" s="62" t="n"/>
      <c r="Q216" s="58" t="n"/>
      <c r="R216" s="63">
        <f>IF(NOT((COUNTA($B216:$D216)+COUNTA($G216:$L216)+COUNTA($Q216))&gt;0),"",IF((IF($C216="","Falta el nombre de la actividad"&amp;" · ","")&amp;IF(AND($V216="Sub",N($U216)=0),"Subactividad sin macroactividad arriba"&amp;" · ","")&amp;IF($AM216="","Sin fecha de inicio"&amp;" · ","")&amp;IF($AN216="","Sin fecha límite"&amp;" · ","")&amp;IF(AND(LEFT($C216,11)="[Jefatura] ",N($AL216)=0),"No se encuentra en la hoja de la jefatura (elíjala de nuevo en la lista)"&amp;" · ","")&amp;IF(OR(AND($E216&lt;&gt;"",NOT(ISNUMBER($E216))),AND($F216&lt;&gt;"",NOT(ISNUMBER($F216))),AND($G216&lt;&gt;"",NOT(ISNUMBER($G216)))),"Fecha no válida"&amp;" · ","")&amp;IF(AND(ISNUMBER($AM216),ISNUMBER($AN216),$AM216&gt;$AN216),"Inicio posterior a fecha límite"&amp;" · ","")&amp;IF(AND($V216="Macro",$H216&lt;&gt;"",OR(NOT(ISNUMBER($H216)),$H216&lt;0,$H216&gt;1)),"Peso fuera de rango"&amp;" · ","")&amp;IF(AND($V216="Sub",$H216&lt;&gt;""),"Las subactividades no llevan peso (valen igual dentro de su macroactividad)"&amp;" · ","")&amp;IF(AND(N($W216)&gt;0,COUNT($I216:$L216)&gt;0),"Con subactividades: deje vacías las semanas (se calculan solas)"&amp;" · ","")&amp;IF((COUNTIF($I216:$L216,"&gt;1")+COUNTIF($I216:$L216,"&lt;0")+COUNTA($I216:$L216)-COUNT($I216:$L216))&gt;0,"Avance fuera de rango 0-100%"&amp;" · ","")&amp;IF(OR(AND($J216&lt;&gt;"",$J216&lt;$I216),AND($K216&lt;&gt;"",$K216&lt;MAX($I216:$J216)),AND($L216&lt;&gt;"",$L216&lt;MAX($I216:$K216))),"Avance semanal decreciente"&amp;" · ","")&amp;IF(AND(ISNUMBER($AN216),$AN216&lt;FechaRef,IF($V216="Sub",N($X216),N($M216))&lt;1),"Vencida"&amp;" · ","")&amp;IF(AND(ObsObligatoria="Sí",ISNUMBER($AN216),$AN216&lt;FechaRef,IF($V216="Sub",N($X216),N($M216))&lt;1,$Q216=""),"Vencida sin observación"&amp;" · ",""))="","✔ OK","⚠ "&amp;LEFT(IF($C216="","Falta el nombre de la actividad"&amp;" · ","")&amp;IF(AND($V216="Sub",N($U216)=0),"Subactividad sin macroactividad arriba"&amp;" · ","")&amp;IF($AM216="","Sin fecha de inicio"&amp;" · ","")&amp;IF($AN216="","Sin fecha límite"&amp;" · ","")&amp;IF(AND(LEFT($C216,11)="[Jefatura] ",N($AL216)=0),"No se encuentra en la hoja de la jefatura (elíjala de nuevo en la lista)"&amp;" · ","")&amp;IF(OR(AND($E216&lt;&gt;"",NOT(ISNUMBER($E216))),AND($F216&lt;&gt;"",NOT(ISNUMBER($F216))),AND($G216&lt;&gt;"",NOT(ISNUMBER($G216)))),"Fecha no válida"&amp;" · ","")&amp;IF(AND(ISNUMBER($AM216),ISNUMBER($AN216),$AM216&gt;$AN216),"Inicio posterior a fecha límite"&amp;" · ","")&amp;IF(AND($V216="Macro",$H216&lt;&gt;"",OR(NOT(ISNUMBER($H216)),$H216&lt;0,$H216&gt;1)),"Peso fuera de rango"&amp;" · ","")&amp;IF(AND($V216="Sub",$H216&lt;&gt;""),"Las subactividades no llevan peso (valen igual dentro de su macroactividad)"&amp;" · ","")&amp;IF(AND(N($W216)&gt;0,COUNT($I216:$L216)&gt;0),"Con subactividades: deje vacías las semanas (se calculan solas)"&amp;" · ","")&amp;IF((COUNTIF($I216:$L216,"&gt;1")+COUNTIF($I216:$L216,"&lt;0")+COUNTA($I216:$L216)-COUNT($I216:$L216))&gt;0,"Avance fuera de rango 0-100%"&amp;" · ","")&amp;IF(OR(AND($J216&lt;&gt;"",$J216&lt;$I216),AND($K216&lt;&gt;"",$K216&lt;MAX($I216:$J216)),AND($L216&lt;&gt;"",$L216&lt;MAX($I216:$K216))),"Avance semanal decreciente"&amp;" · ","")&amp;IF(AND(ISNUMBER($AN216),$AN216&lt;FechaRef,IF($V216="Sub",N($X216),N($M216))&lt;1),"Vencida"&amp;" · ","")&amp;IF(AND(ObsObligatoria="Sí",ISNUMBER($AN216),$AN216&lt;FechaRef,IF($V216="Sub",N($X216),N($M216))&lt;1,$Q216=""),"Vencida sin observación"&amp;" · ",""),LEN(IF($C216="","Falta el nombre de la actividad"&amp;" · ","")&amp;IF(AND($V216="Sub",N($U216)=0),"Subactividad sin macroactividad arriba"&amp;" · ","")&amp;IF($AM216="","Sin fecha de inicio"&amp;" · ","")&amp;IF($AN216="","Sin fecha límite"&amp;" · ","")&amp;IF(AND(LEFT($C216,11)="[Jefatura] ",N($AL216)=0),"No se encuentra en la hoja de la jefatura (elíjala de nuevo en la lista)"&amp;" · ","")&amp;IF(OR(AND($E216&lt;&gt;"",NOT(ISNUMBER($E216))),AND($F216&lt;&gt;"",NOT(ISNUMBER($F216))),AND($G216&lt;&gt;"",NOT(ISNUMBER($G216)))),"Fecha no válida"&amp;" · ","")&amp;IF(AND(ISNUMBER($AM216),ISNUMBER($AN216),$AM216&gt;$AN216),"Inicio posterior a fecha límite"&amp;" · ","")&amp;IF(AND($V216="Macro",$H216&lt;&gt;"",OR(NOT(ISNUMBER($H216)),$H216&lt;0,$H216&gt;1)),"Peso fuera de rango"&amp;" · ","")&amp;IF(AND($V216="Sub",$H216&lt;&gt;""),"Las subactividades no llevan peso (valen igual dentro de su macroactividad)"&amp;" · ","")&amp;IF(AND(N($W216)&gt;0,COUNT($I216:$L216)&gt;0),"Con subactividades: deje vacías las semanas (se calculan solas)"&amp;" · ","")&amp;IF((COUNTIF($I216:$L216,"&gt;1")+COUNTIF($I216:$L216,"&lt;0")+COUNTA($I216:$L216)-COUNT($I216:$L216))&gt;0,"Avance fuera de rango 0-100%"&amp;" · ","")&amp;IF(OR(AND($J216&lt;&gt;"",$J216&lt;$I216),AND($K216&lt;&gt;"",$K216&lt;MAX($I216:$J216)),AND($L216&lt;&gt;"",$L216&lt;MAX($I216:$K216))),"Avance semanal decreciente"&amp;" · ","")&amp;IF(AND(ISNUMBER($AN216),$AN216&lt;FechaRef,IF($V216="Sub",N($X216),N($M216))&lt;1),"Vencida"&amp;" · ","")&amp;IF(AND(ObsObligatoria="Sí",ISNUMBER($AN216),$AN216&lt;FechaRef,IF($V216="Sub",N($X216),N($M216))&lt;1,$Q216=""),"Vencida sin observación"&amp;" · ",""))-3)))</f>
        <v/>
      </c>
      <c r="S216" s="64">
        <f>IF(NOT((COUNTA($B216:$D216)+COUNTA($G216:$L216)+COUNTA($Q216))&gt;0),"",IF(AND($V216="Sub",N($U216)&gt;0),IF(ISNUMBER(INDEX($AM$5:$AM$1000,$U216-4)),DATE(YEAR(INDEX($AM$5:$AM$1000,$U216-4)),MONTH(INDEX($AM$5:$AM$1000,$U216-4)),1),IF(ISNUMBER(INDEX($AN$5:$AN$1000,$U216-4)),DATE(YEAR(INDEX($AN$5:$AN$1000,$U216-4)),MONTH(INDEX($AN$5:$AN$1000,$U216-4)),1),MesCiclo)),IF(ISNUMBER($AM216),DATE(YEAR($AM216),MONTH($AM216),1),IF(ISNUMBER($AN216),DATE(YEAR($AN216),MONTH($AN216),1),MesCiclo))))</f>
        <v/>
      </c>
      <c r="T216" s="62">
        <f>IF(OR($S216="",$S216&lt;&gt;MesCiclo,$V216&lt;&gt;"Macro"),"",COUNTIFS($S$5:$S216,MesCiclo,$V$5:$V216,"Macro"))</f>
        <v/>
      </c>
      <c r="U216" s="62">
        <f>IF($V216="","",IF($V216="Macro",ROW(),IFERROR(LOOKUP(2,1/($V$5:$V216="Macro"),ROW($V$5:$V216)),0)))</f>
        <v/>
      </c>
      <c r="V216" s="62">
        <f>IF(NOT((COUNTA($B216:$D216)+COUNTA($G216:$L216)+COUNTA($Q216))&gt;0),"",IF($B216="Subactividad","Sub","Macro"))</f>
        <v/>
      </c>
      <c r="W216" s="62">
        <f>IF($V216="Macro",COUNTIFS($U$5:$U$1000,ROW(),$V$5:$V$1000,"Sub"),"")</f>
        <v/>
      </c>
      <c r="X216" s="62">
        <f>IF($V216="","",IF(ISNUMBER($G216),1,IFERROR(LOOKUP(2,1/($I216:$L216&lt;&gt;""),$I216:$L216),0)))</f>
        <v/>
      </c>
      <c r="Y216" s="62">
        <f>IF($V216="","",IF(AND(ISNUMBER($G216),$G216&lt;=IF($S216=MesCiclo,InicioCiclo,$S216+MOD(2-WEEKDAY($S216),7))+6),1,IF(ISNUMBER($I216),$I216,0)))</f>
        <v/>
      </c>
      <c r="Z216" s="62">
        <f>IF($V216="","",IF(AND(ISNUMBER($G216),$G216&lt;=IF($S216=MesCiclo,InicioCiclo,$S216+MOD(2-WEEKDAY($S216),7))+13),1,IF(ISNUMBER($J216),$J216,$Y216)))</f>
        <v/>
      </c>
      <c r="AA216" s="62">
        <f>IF($V216="","",IF(AND(ISNUMBER($G216),$G216&lt;=IF($S216=MesCiclo,InicioCiclo,$S216+MOD(2-WEEKDAY($S216),7))+20),1,IF(ISNUMBER($K216),$K216,$Z216)))</f>
        <v/>
      </c>
      <c r="AB216" s="62">
        <f>IF($V216="","",IF(AND(ISNUMBER($G216),$G216&lt;=IF($S216=MesCiclo,InicioCiclo,$S216+MOD(2-WEEKDAY($S216),7))+27),1,IF(ISNUMBER($L216),$L216,$AA216)))</f>
        <v/>
      </c>
      <c r="AC216" s="62">
        <f>IF($V216="","",IF(AND(ISNUMBER($G216),$G216&lt;=IF($S216=MesCiclo,InicioCiclo,$S216+MOD(2-WEEKDAY($S216),7))+6),1,IF(N($W216)&gt;0,AVERAGEIFS($Y$5:$Y$1000,$U$5:$U$1000,ROW(),$V$5:$V$1000,"Sub"),$Y216)))</f>
        <v/>
      </c>
      <c r="AD216" s="62">
        <f>IF($V216="","",IF(AND(ISNUMBER($G216),$G216&lt;=IF($S216=MesCiclo,InicioCiclo,$S216+MOD(2-WEEKDAY($S216),7))+13),1,IF(N($W216)&gt;0,AVERAGEIFS($Z$5:$Z$1000,$U$5:$U$1000,ROW(),$V$5:$V$1000,"Sub"),$Z216)))</f>
        <v/>
      </c>
      <c r="AE216" s="62">
        <f>IF($V216="","",IF(AND(ISNUMBER($G216),$G216&lt;=IF($S216=MesCiclo,InicioCiclo,$S216+MOD(2-WEEKDAY($S216),7))+20),1,IF(N($W216)&gt;0,AVERAGEIFS($AA$5:$AA$1000,$U$5:$U$1000,ROW(),$V$5:$V$1000,"Sub"),$AA216)))</f>
        <v/>
      </c>
      <c r="AF216" s="62">
        <f>IF($V216="","",IF(AND(ISNUMBER($G216),$G216&lt;=IF($S216=MesCiclo,InicioCiclo,$S216+MOD(2-WEEKDAY($S216),7))+27),1,IF(N($W216)&gt;0,AVERAGEIFS($AB$5:$AB$1000,$U$5:$U$1000,ROW(),$V$5:$V$1000,"Sub"),$AB216)))</f>
        <v/>
      </c>
      <c r="AG216" s="62">
        <f>IF($V216&lt;&gt;"Macro","",IF(COUNTIFS($S$5:$S$1000,$S216,$V$5:$V$1000,"Macro",$H$5:$H$1000,"&gt;0")=0,1/COUNTIFS($S$5:$S$1000,$S216,$V$5:$V$1000,"Macro"),IF(AND(ISNUMBER($H216),N($H216)&gt;0),$H216,SUMIFS($H$5:$H$1000,$S$5:$S$1000,$S216,$V$5:$V$1000,"Macro")/COUNTIFS($S$5:$S$1000,$S216,$V$5:$V$1000,"Macro",$H$5:$H$1000,"&gt;0"))/(COUNTIFS($S$5:$S$1000,$S216,$V$5:$V$1000,"Macro")*SUMIFS($H$5:$H$1000,$S$5:$S$1000,$S216,$V$5:$V$1000,"Macro")/COUNTIFS($S$5:$S$1000,$S216,$V$5:$V$1000,"Macro",$H$5:$H$1000,"&gt;0"))))</f>
        <v/>
      </c>
      <c r="AH216" s="62" t="n"/>
      <c r="AI216" s="62" t="n"/>
      <c r="AJ216" s="62" t="n"/>
      <c r="AK216" s="62" t="n"/>
      <c r="AL216" s="62">
        <f>IF(LEFT($C216,11)="[Jefatura] ",IFERROR(MATCH("Riesgo Normativo|"&amp;MID($C216,12,500),rDname_ADM,0),0),"")</f>
        <v/>
      </c>
      <c r="AM216" s="62">
        <f>IF(N($AL216)&gt;0,INDEX(rIni_ADM,$AL216),IF(ISNUMBER($E216),$E216,""))</f>
        <v/>
      </c>
      <c r="AN216" s="62">
        <f>IF(N($AL216)&gt;0,INDEX(rLim_ADM,$AL216),IF(ISNUMBER($F216),$F216,""))</f>
        <v/>
      </c>
    </row>
    <row r="217">
      <c r="A217" s="56">
        <f>IF(NOT((COUNTA($B217:$D217)+COUNTA($G217:$L217)+COUNTA($Q217))&gt;0),"",IF($V217="Macro",COUNTIFS($V$5:$V217,"Macro",$S$5:$S217,$S217),IF(N($U217)=0,"?",COUNTIFS(INDEX($V$5:$V$1000,1):INDEX($V$5:$V$1000,$U217-4),"Macro",INDEX($S$5:$S$1000,1):INDEX($S$5:$S$1000,$U217-4),INDEX($S$5:$S$1000,$U217-4))&amp;"."&amp;COUNTIFS($U$5:$U217,$U217,$V$5:$V217,"Sub"))))</f>
        <v/>
      </c>
      <c r="B217" s="57" t="n"/>
      <c r="C217" s="58" t="n"/>
      <c r="D217" s="58" t="n"/>
      <c r="E217" s="59">
        <f>IF(N($AL217)&gt;0,INDEX(rIni_ADM,$AL217),"")</f>
        <v/>
      </c>
      <c r="F217" s="59">
        <f>IF(N($AL217)&gt;0,INDEX(rLim_ADM,$AL217),"")</f>
        <v/>
      </c>
      <c r="G217" s="59" t="n"/>
      <c r="H217" s="60" t="n"/>
      <c r="I217" s="60" t="n"/>
      <c r="J217" s="60" t="n"/>
      <c r="K217" s="60" t="n"/>
      <c r="L217" s="60" t="n"/>
      <c r="M217" s="61">
        <f>IF(NOT((COUNTA($B217:$D217)+COUNTA($G217:$L217)+COUNTA($Q217))&gt;0),"",IF($V217="Sub",IFERROR($X217/INDEX($W$5:$W$1000,$U217-4),""),IF(ISNUMBER($G217),1,IF(N($W217)&gt;0,AVERAGEIFS($X$5:$X$1000,$U$5:$U$1000,ROW(),$V$5:$V$1000,"Sub"),$X217))))</f>
        <v/>
      </c>
      <c r="N217" s="56">
        <f>IF(OR($M217="",$V217="Sub"),"",IF($M217&gt;=1,"Completado",IF($M217&gt;0,"En curso","Pendiente")))</f>
        <v/>
      </c>
      <c r="O217" s="56">
        <f>IF(OR(NOT((COUNTA($B217:$D217)+COUNTA($G217:$L217)+COUNTA($Q217))&gt;0),$V217="Sub"),"",IF(ISNUMBER($G217),IF(AND(ISNUMBER($AN217),$G217&gt;$AN217),"Cumplida con "&amp;($G217-$AN217)&amp;IF($G217-$AN217=1," día"," días")&amp;" de retraso","Cumplida"),IF(N($M217)&gt;=1,"Cumplida",IF(NOT(ISNUMBER($AN217)),"Sin fecha límite",IF($AN217&lt;FechaRef,"Vencida hace "&amp;(FechaRef-$AN217)&amp;IF(FechaRef-$AN217=1," día"," días"),IF($AN217=FechaRef,"Vence hoy",IF($AN217-FechaRef&lt;=DiasAlerta,"Vence en "&amp;($AN217-FechaRef)&amp;IF($AN217-FechaRef=1," día"," días"),"En plazo")))))))</f>
        <v/>
      </c>
      <c r="P217" s="62" t="n"/>
      <c r="Q217" s="58" t="n"/>
      <c r="R217" s="63">
        <f>IF(NOT((COUNTA($B217:$D217)+COUNTA($G217:$L217)+COUNTA($Q217))&gt;0),"",IF((IF($C217="","Falta el nombre de la actividad"&amp;" · ","")&amp;IF(AND($V217="Sub",N($U217)=0),"Subactividad sin macroactividad arriba"&amp;" · ","")&amp;IF($AM217="","Sin fecha de inicio"&amp;" · ","")&amp;IF($AN217="","Sin fecha límite"&amp;" · ","")&amp;IF(AND(LEFT($C217,11)="[Jefatura] ",N($AL217)=0),"No se encuentra en la hoja de la jefatura (elíjala de nuevo en la lista)"&amp;" · ","")&amp;IF(OR(AND($E217&lt;&gt;"",NOT(ISNUMBER($E217))),AND($F217&lt;&gt;"",NOT(ISNUMBER($F217))),AND($G217&lt;&gt;"",NOT(ISNUMBER($G217)))),"Fecha no válida"&amp;" · ","")&amp;IF(AND(ISNUMBER($AM217),ISNUMBER($AN217),$AM217&gt;$AN217),"Inicio posterior a fecha límite"&amp;" · ","")&amp;IF(AND($V217="Macro",$H217&lt;&gt;"",OR(NOT(ISNUMBER($H217)),$H217&lt;0,$H217&gt;1)),"Peso fuera de rango"&amp;" · ","")&amp;IF(AND($V217="Sub",$H217&lt;&gt;""),"Las subactividades no llevan peso (valen igual dentro de su macroactividad)"&amp;" · ","")&amp;IF(AND(N($W217)&gt;0,COUNT($I217:$L217)&gt;0),"Con subactividades: deje vacías las semanas (se calculan solas)"&amp;" · ","")&amp;IF((COUNTIF($I217:$L217,"&gt;1")+COUNTIF($I217:$L217,"&lt;0")+COUNTA($I217:$L217)-COUNT($I217:$L217))&gt;0,"Avance fuera de rango 0-100%"&amp;" · ","")&amp;IF(OR(AND($J217&lt;&gt;"",$J217&lt;$I217),AND($K217&lt;&gt;"",$K217&lt;MAX($I217:$J217)),AND($L217&lt;&gt;"",$L217&lt;MAX($I217:$K217))),"Avance semanal decreciente"&amp;" · ","")&amp;IF(AND(ISNUMBER($AN217),$AN217&lt;FechaRef,IF($V217="Sub",N($X217),N($M217))&lt;1),"Vencida"&amp;" · ","")&amp;IF(AND(ObsObligatoria="Sí",ISNUMBER($AN217),$AN217&lt;FechaRef,IF($V217="Sub",N($X217),N($M217))&lt;1,$Q217=""),"Vencida sin observación"&amp;" · ",""))="","✔ OK","⚠ "&amp;LEFT(IF($C217="","Falta el nombre de la actividad"&amp;" · ","")&amp;IF(AND($V217="Sub",N($U217)=0),"Subactividad sin macroactividad arriba"&amp;" · ","")&amp;IF($AM217="","Sin fecha de inicio"&amp;" · ","")&amp;IF($AN217="","Sin fecha límite"&amp;" · ","")&amp;IF(AND(LEFT($C217,11)="[Jefatura] ",N($AL217)=0),"No se encuentra en la hoja de la jefatura (elíjala de nuevo en la lista)"&amp;" · ","")&amp;IF(OR(AND($E217&lt;&gt;"",NOT(ISNUMBER($E217))),AND($F217&lt;&gt;"",NOT(ISNUMBER($F217))),AND($G217&lt;&gt;"",NOT(ISNUMBER($G217)))),"Fecha no válida"&amp;" · ","")&amp;IF(AND(ISNUMBER($AM217),ISNUMBER($AN217),$AM217&gt;$AN217),"Inicio posterior a fecha límite"&amp;" · ","")&amp;IF(AND($V217="Macro",$H217&lt;&gt;"",OR(NOT(ISNUMBER($H217)),$H217&lt;0,$H217&gt;1)),"Peso fuera de rango"&amp;" · ","")&amp;IF(AND($V217="Sub",$H217&lt;&gt;""),"Las subactividades no llevan peso (valen igual dentro de su macroactividad)"&amp;" · ","")&amp;IF(AND(N($W217)&gt;0,COUNT($I217:$L217)&gt;0),"Con subactividades: deje vacías las semanas (se calculan solas)"&amp;" · ","")&amp;IF((COUNTIF($I217:$L217,"&gt;1")+COUNTIF($I217:$L217,"&lt;0")+COUNTA($I217:$L217)-COUNT($I217:$L217))&gt;0,"Avance fuera de rango 0-100%"&amp;" · ","")&amp;IF(OR(AND($J217&lt;&gt;"",$J217&lt;$I217),AND($K217&lt;&gt;"",$K217&lt;MAX($I217:$J217)),AND($L217&lt;&gt;"",$L217&lt;MAX($I217:$K217))),"Avance semanal decreciente"&amp;" · ","")&amp;IF(AND(ISNUMBER($AN217),$AN217&lt;FechaRef,IF($V217="Sub",N($X217),N($M217))&lt;1),"Vencida"&amp;" · ","")&amp;IF(AND(ObsObligatoria="Sí",ISNUMBER($AN217),$AN217&lt;FechaRef,IF($V217="Sub",N($X217),N($M217))&lt;1,$Q217=""),"Vencida sin observación"&amp;" · ",""),LEN(IF($C217="","Falta el nombre de la actividad"&amp;" · ","")&amp;IF(AND($V217="Sub",N($U217)=0),"Subactividad sin macroactividad arriba"&amp;" · ","")&amp;IF($AM217="","Sin fecha de inicio"&amp;" · ","")&amp;IF($AN217="","Sin fecha límite"&amp;" · ","")&amp;IF(AND(LEFT($C217,11)="[Jefatura] ",N($AL217)=0),"No se encuentra en la hoja de la jefatura (elíjala de nuevo en la lista)"&amp;" · ","")&amp;IF(OR(AND($E217&lt;&gt;"",NOT(ISNUMBER($E217))),AND($F217&lt;&gt;"",NOT(ISNUMBER($F217))),AND($G217&lt;&gt;"",NOT(ISNUMBER($G217)))),"Fecha no válida"&amp;" · ","")&amp;IF(AND(ISNUMBER($AM217),ISNUMBER($AN217),$AM217&gt;$AN217),"Inicio posterior a fecha límite"&amp;" · ","")&amp;IF(AND($V217="Macro",$H217&lt;&gt;"",OR(NOT(ISNUMBER($H217)),$H217&lt;0,$H217&gt;1)),"Peso fuera de rango"&amp;" · ","")&amp;IF(AND($V217="Sub",$H217&lt;&gt;""),"Las subactividades no llevan peso (valen igual dentro de su macroactividad)"&amp;" · ","")&amp;IF(AND(N($W217)&gt;0,COUNT($I217:$L217)&gt;0),"Con subactividades: deje vacías las semanas (se calculan solas)"&amp;" · ","")&amp;IF((COUNTIF($I217:$L217,"&gt;1")+COUNTIF($I217:$L217,"&lt;0")+COUNTA($I217:$L217)-COUNT($I217:$L217))&gt;0,"Avance fuera de rango 0-100%"&amp;" · ","")&amp;IF(OR(AND($J217&lt;&gt;"",$J217&lt;$I217),AND($K217&lt;&gt;"",$K217&lt;MAX($I217:$J217)),AND($L217&lt;&gt;"",$L217&lt;MAX($I217:$K217))),"Avance semanal decreciente"&amp;" · ","")&amp;IF(AND(ISNUMBER($AN217),$AN217&lt;FechaRef,IF($V217="Sub",N($X217),N($M217))&lt;1),"Vencida"&amp;" · ","")&amp;IF(AND(ObsObligatoria="Sí",ISNUMBER($AN217),$AN217&lt;FechaRef,IF($V217="Sub",N($X217),N($M217))&lt;1,$Q217=""),"Vencida sin observación"&amp;" · ",""))-3)))</f>
        <v/>
      </c>
      <c r="S217" s="64">
        <f>IF(NOT((COUNTA($B217:$D217)+COUNTA($G217:$L217)+COUNTA($Q217))&gt;0),"",IF(AND($V217="Sub",N($U217)&gt;0),IF(ISNUMBER(INDEX($AM$5:$AM$1000,$U217-4)),DATE(YEAR(INDEX($AM$5:$AM$1000,$U217-4)),MONTH(INDEX($AM$5:$AM$1000,$U217-4)),1),IF(ISNUMBER(INDEX($AN$5:$AN$1000,$U217-4)),DATE(YEAR(INDEX($AN$5:$AN$1000,$U217-4)),MONTH(INDEX($AN$5:$AN$1000,$U217-4)),1),MesCiclo)),IF(ISNUMBER($AM217),DATE(YEAR($AM217),MONTH($AM217),1),IF(ISNUMBER($AN217),DATE(YEAR($AN217),MONTH($AN217),1),MesCiclo))))</f>
        <v/>
      </c>
      <c r="T217" s="62">
        <f>IF(OR($S217="",$S217&lt;&gt;MesCiclo,$V217&lt;&gt;"Macro"),"",COUNTIFS($S$5:$S217,MesCiclo,$V$5:$V217,"Macro"))</f>
        <v/>
      </c>
      <c r="U217" s="62">
        <f>IF($V217="","",IF($V217="Macro",ROW(),IFERROR(LOOKUP(2,1/($V$5:$V217="Macro"),ROW($V$5:$V217)),0)))</f>
        <v/>
      </c>
      <c r="V217" s="62">
        <f>IF(NOT((COUNTA($B217:$D217)+COUNTA($G217:$L217)+COUNTA($Q217))&gt;0),"",IF($B217="Subactividad","Sub","Macro"))</f>
        <v/>
      </c>
      <c r="W217" s="62">
        <f>IF($V217="Macro",COUNTIFS($U$5:$U$1000,ROW(),$V$5:$V$1000,"Sub"),"")</f>
        <v/>
      </c>
      <c r="X217" s="62">
        <f>IF($V217="","",IF(ISNUMBER($G217),1,IFERROR(LOOKUP(2,1/($I217:$L217&lt;&gt;""),$I217:$L217),0)))</f>
        <v/>
      </c>
      <c r="Y217" s="62">
        <f>IF($V217="","",IF(AND(ISNUMBER($G217),$G217&lt;=IF($S217=MesCiclo,InicioCiclo,$S217+MOD(2-WEEKDAY($S217),7))+6),1,IF(ISNUMBER($I217),$I217,0)))</f>
        <v/>
      </c>
      <c r="Z217" s="62">
        <f>IF($V217="","",IF(AND(ISNUMBER($G217),$G217&lt;=IF($S217=MesCiclo,InicioCiclo,$S217+MOD(2-WEEKDAY($S217),7))+13),1,IF(ISNUMBER($J217),$J217,$Y217)))</f>
        <v/>
      </c>
      <c r="AA217" s="62">
        <f>IF($V217="","",IF(AND(ISNUMBER($G217),$G217&lt;=IF($S217=MesCiclo,InicioCiclo,$S217+MOD(2-WEEKDAY($S217),7))+20),1,IF(ISNUMBER($K217),$K217,$Z217)))</f>
        <v/>
      </c>
      <c r="AB217" s="62">
        <f>IF($V217="","",IF(AND(ISNUMBER($G217),$G217&lt;=IF($S217=MesCiclo,InicioCiclo,$S217+MOD(2-WEEKDAY($S217),7))+27),1,IF(ISNUMBER($L217),$L217,$AA217)))</f>
        <v/>
      </c>
      <c r="AC217" s="62">
        <f>IF($V217="","",IF(AND(ISNUMBER($G217),$G217&lt;=IF($S217=MesCiclo,InicioCiclo,$S217+MOD(2-WEEKDAY($S217),7))+6),1,IF(N($W217)&gt;0,AVERAGEIFS($Y$5:$Y$1000,$U$5:$U$1000,ROW(),$V$5:$V$1000,"Sub"),$Y217)))</f>
        <v/>
      </c>
      <c r="AD217" s="62">
        <f>IF($V217="","",IF(AND(ISNUMBER($G217),$G217&lt;=IF($S217=MesCiclo,InicioCiclo,$S217+MOD(2-WEEKDAY($S217),7))+13),1,IF(N($W217)&gt;0,AVERAGEIFS($Z$5:$Z$1000,$U$5:$U$1000,ROW(),$V$5:$V$1000,"Sub"),$Z217)))</f>
        <v/>
      </c>
      <c r="AE217" s="62">
        <f>IF($V217="","",IF(AND(ISNUMBER($G217),$G217&lt;=IF($S217=MesCiclo,InicioCiclo,$S217+MOD(2-WEEKDAY($S217),7))+20),1,IF(N($W217)&gt;0,AVERAGEIFS($AA$5:$AA$1000,$U$5:$U$1000,ROW(),$V$5:$V$1000,"Sub"),$AA217)))</f>
        <v/>
      </c>
      <c r="AF217" s="62">
        <f>IF($V217="","",IF(AND(ISNUMBER($G217),$G217&lt;=IF($S217=MesCiclo,InicioCiclo,$S217+MOD(2-WEEKDAY($S217),7))+27),1,IF(N($W217)&gt;0,AVERAGEIFS($AB$5:$AB$1000,$U$5:$U$1000,ROW(),$V$5:$V$1000,"Sub"),$AB217)))</f>
        <v/>
      </c>
      <c r="AG217" s="62">
        <f>IF($V217&lt;&gt;"Macro","",IF(COUNTIFS($S$5:$S$1000,$S217,$V$5:$V$1000,"Macro",$H$5:$H$1000,"&gt;0")=0,1/COUNTIFS($S$5:$S$1000,$S217,$V$5:$V$1000,"Macro"),IF(AND(ISNUMBER($H217),N($H217)&gt;0),$H217,SUMIFS($H$5:$H$1000,$S$5:$S$1000,$S217,$V$5:$V$1000,"Macro")/COUNTIFS($S$5:$S$1000,$S217,$V$5:$V$1000,"Macro",$H$5:$H$1000,"&gt;0"))/(COUNTIFS($S$5:$S$1000,$S217,$V$5:$V$1000,"Macro")*SUMIFS($H$5:$H$1000,$S$5:$S$1000,$S217,$V$5:$V$1000,"Macro")/COUNTIFS($S$5:$S$1000,$S217,$V$5:$V$1000,"Macro",$H$5:$H$1000,"&gt;0"))))</f>
        <v/>
      </c>
      <c r="AH217" s="62" t="n"/>
      <c r="AI217" s="62" t="n"/>
      <c r="AJ217" s="62" t="n"/>
      <c r="AK217" s="62" t="n"/>
      <c r="AL217" s="62">
        <f>IF(LEFT($C217,11)="[Jefatura] ",IFERROR(MATCH("Riesgo Normativo|"&amp;MID($C217,12,500),rDname_ADM,0),0),"")</f>
        <v/>
      </c>
      <c r="AM217" s="62">
        <f>IF(N($AL217)&gt;0,INDEX(rIni_ADM,$AL217),IF(ISNUMBER($E217),$E217,""))</f>
        <v/>
      </c>
      <c r="AN217" s="62">
        <f>IF(N($AL217)&gt;0,INDEX(rLim_ADM,$AL217),IF(ISNUMBER($F217),$F217,""))</f>
        <v/>
      </c>
    </row>
    <row r="218">
      <c r="A218" s="56">
        <f>IF(NOT((COUNTA($B218:$D218)+COUNTA($G218:$L218)+COUNTA($Q218))&gt;0),"",IF($V218="Macro",COUNTIFS($V$5:$V218,"Macro",$S$5:$S218,$S218),IF(N($U218)=0,"?",COUNTIFS(INDEX($V$5:$V$1000,1):INDEX($V$5:$V$1000,$U218-4),"Macro",INDEX($S$5:$S$1000,1):INDEX($S$5:$S$1000,$U218-4),INDEX($S$5:$S$1000,$U218-4))&amp;"."&amp;COUNTIFS($U$5:$U218,$U218,$V$5:$V218,"Sub"))))</f>
        <v/>
      </c>
      <c r="B218" s="57" t="n"/>
      <c r="C218" s="58" t="n"/>
      <c r="D218" s="58" t="n"/>
      <c r="E218" s="59">
        <f>IF(N($AL218)&gt;0,INDEX(rIni_ADM,$AL218),"")</f>
        <v/>
      </c>
      <c r="F218" s="59">
        <f>IF(N($AL218)&gt;0,INDEX(rLim_ADM,$AL218),"")</f>
        <v/>
      </c>
      <c r="G218" s="59" t="n"/>
      <c r="H218" s="60" t="n"/>
      <c r="I218" s="60" t="n"/>
      <c r="J218" s="60" t="n"/>
      <c r="K218" s="60" t="n"/>
      <c r="L218" s="60" t="n"/>
      <c r="M218" s="61">
        <f>IF(NOT((COUNTA($B218:$D218)+COUNTA($G218:$L218)+COUNTA($Q218))&gt;0),"",IF($V218="Sub",IFERROR($X218/INDEX($W$5:$W$1000,$U218-4),""),IF(ISNUMBER($G218),1,IF(N($W218)&gt;0,AVERAGEIFS($X$5:$X$1000,$U$5:$U$1000,ROW(),$V$5:$V$1000,"Sub"),$X218))))</f>
        <v/>
      </c>
      <c r="N218" s="56">
        <f>IF(OR($M218="",$V218="Sub"),"",IF($M218&gt;=1,"Completado",IF($M218&gt;0,"En curso","Pendiente")))</f>
        <v/>
      </c>
      <c r="O218" s="56">
        <f>IF(OR(NOT((COUNTA($B218:$D218)+COUNTA($G218:$L218)+COUNTA($Q218))&gt;0),$V218="Sub"),"",IF(ISNUMBER($G218),IF(AND(ISNUMBER($AN218),$G218&gt;$AN218),"Cumplida con "&amp;($G218-$AN218)&amp;IF($G218-$AN218=1," día"," días")&amp;" de retraso","Cumplida"),IF(N($M218)&gt;=1,"Cumplida",IF(NOT(ISNUMBER($AN218)),"Sin fecha límite",IF($AN218&lt;FechaRef,"Vencida hace "&amp;(FechaRef-$AN218)&amp;IF(FechaRef-$AN218=1," día"," días"),IF($AN218=FechaRef,"Vence hoy",IF($AN218-FechaRef&lt;=DiasAlerta,"Vence en "&amp;($AN218-FechaRef)&amp;IF($AN218-FechaRef=1," día"," días"),"En plazo")))))))</f>
        <v/>
      </c>
      <c r="P218" s="62" t="n"/>
      <c r="Q218" s="58" t="n"/>
      <c r="R218" s="63">
        <f>IF(NOT((COUNTA($B218:$D218)+COUNTA($G218:$L218)+COUNTA($Q218))&gt;0),"",IF((IF($C218="","Falta el nombre de la actividad"&amp;" · ","")&amp;IF(AND($V218="Sub",N($U218)=0),"Subactividad sin macroactividad arriba"&amp;" · ","")&amp;IF($AM218="","Sin fecha de inicio"&amp;" · ","")&amp;IF($AN218="","Sin fecha límite"&amp;" · ","")&amp;IF(AND(LEFT($C218,11)="[Jefatura] ",N($AL218)=0),"No se encuentra en la hoja de la jefatura (elíjala de nuevo en la lista)"&amp;" · ","")&amp;IF(OR(AND($E218&lt;&gt;"",NOT(ISNUMBER($E218))),AND($F218&lt;&gt;"",NOT(ISNUMBER($F218))),AND($G218&lt;&gt;"",NOT(ISNUMBER($G218)))),"Fecha no válida"&amp;" · ","")&amp;IF(AND(ISNUMBER($AM218),ISNUMBER($AN218),$AM218&gt;$AN218),"Inicio posterior a fecha límite"&amp;" · ","")&amp;IF(AND($V218="Macro",$H218&lt;&gt;"",OR(NOT(ISNUMBER($H218)),$H218&lt;0,$H218&gt;1)),"Peso fuera de rango"&amp;" · ","")&amp;IF(AND($V218="Sub",$H218&lt;&gt;""),"Las subactividades no llevan peso (valen igual dentro de su macroactividad)"&amp;" · ","")&amp;IF(AND(N($W218)&gt;0,COUNT($I218:$L218)&gt;0),"Con subactividades: deje vacías las semanas (se calculan solas)"&amp;" · ","")&amp;IF((COUNTIF($I218:$L218,"&gt;1")+COUNTIF($I218:$L218,"&lt;0")+COUNTA($I218:$L218)-COUNT($I218:$L218))&gt;0,"Avance fuera de rango 0-100%"&amp;" · ","")&amp;IF(OR(AND($J218&lt;&gt;"",$J218&lt;$I218),AND($K218&lt;&gt;"",$K218&lt;MAX($I218:$J218)),AND($L218&lt;&gt;"",$L218&lt;MAX($I218:$K218))),"Avance semanal decreciente"&amp;" · ","")&amp;IF(AND(ISNUMBER($AN218),$AN218&lt;FechaRef,IF($V218="Sub",N($X218),N($M218))&lt;1),"Vencida"&amp;" · ","")&amp;IF(AND(ObsObligatoria="Sí",ISNUMBER($AN218),$AN218&lt;FechaRef,IF($V218="Sub",N($X218),N($M218))&lt;1,$Q218=""),"Vencida sin observación"&amp;" · ",""))="","✔ OK","⚠ "&amp;LEFT(IF($C218="","Falta el nombre de la actividad"&amp;" · ","")&amp;IF(AND($V218="Sub",N($U218)=0),"Subactividad sin macroactividad arriba"&amp;" · ","")&amp;IF($AM218="","Sin fecha de inicio"&amp;" · ","")&amp;IF($AN218="","Sin fecha límite"&amp;" · ","")&amp;IF(AND(LEFT($C218,11)="[Jefatura] ",N($AL218)=0),"No se encuentra en la hoja de la jefatura (elíjala de nuevo en la lista)"&amp;" · ","")&amp;IF(OR(AND($E218&lt;&gt;"",NOT(ISNUMBER($E218))),AND($F218&lt;&gt;"",NOT(ISNUMBER($F218))),AND($G218&lt;&gt;"",NOT(ISNUMBER($G218)))),"Fecha no válida"&amp;" · ","")&amp;IF(AND(ISNUMBER($AM218),ISNUMBER($AN218),$AM218&gt;$AN218),"Inicio posterior a fecha límite"&amp;" · ","")&amp;IF(AND($V218="Macro",$H218&lt;&gt;"",OR(NOT(ISNUMBER($H218)),$H218&lt;0,$H218&gt;1)),"Peso fuera de rango"&amp;" · ","")&amp;IF(AND($V218="Sub",$H218&lt;&gt;""),"Las subactividades no llevan peso (valen igual dentro de su macroactividad)"&amp;" · ","")&amp;IF(AND(N($W218)&gt;0,COUNT($I218:$L218)&gt;0),"Con subactividades: deje vacías las semanas (se calculan solas)"&amp;" · ","")&amp;IF((COUNTIF($I218:$L218,"&gt;1")+COUNTIF($I218:$L218,"&lt;0")+COUNTA($I218:$L218)-COUNT($I218:$L218))&gt;0,"Avance fuera de rango 0-100%"&amp;" · ","")&amp;IF(OR(AND($J218&lt;&gt;"",$J218&lt;$I218),AND($K218&lt;&gt;"",$K218&lt;MAX($I218:$J218)),AND($L218&lt;&gt;"",$L218&lt;MAX($I218:$K218))),"Avance semanal decreciente"&amp;" · ","")&amp;IF(AND(ISNUMBER($AN218),$AN218&lt;FechaRef,IF($V218="Sub",N($X218),N($M218))&lt;1),"Vencida"&amp;" · ","")&amp;IF(AND(ObsObligatoria="Sí",ISNUMBER($AN218),$AN218&lt;FechaRef,IF($V218="Sub",N($X218),N($M218))&lt;1,$Q218=""),"Vencida sin observación"&amp;" · ",""),LEN(IF($C218="","Falta el nombre de la actividad"&amp;" · ","")&amp;IF(AND($V218="Sub",N($U218)=0),"Subactividad sin macroactividad arriba"&amp;" · ","")&amp;IF($AM218="","Sin fecha de inicio"&amp;" · ","")&amp;IF($AN218="","Sin fecha límite"&amp;" · ","")&amp;IF(AND(LEFT($C218,11)="[Jefatura] ",N($AL218)=0),"No se encuentra en la hoja de la jefatura (elíjala de nuevo en la lista)"&amp;" · ","")&amp;IF(OR(AND($E218&lt;&gt;"",NOT(ISNUMBER($E218))),AND($F218&lt;&gt;"",NOT(ISNUMBER($F218))),AND($G218&lt;&gt;"",NOT(ISNUMBER($G218)))),"Fecha no válida"&amp;" · ","")&amp;IF(AND(ISNUMBER($AM218),ISNUMBER($AN218),$AM218&gt;$AN218),"Inicio posterior a fecha límite"&amp;" · ","")&amp;IF(AND($V218="Macro",$H218&lt;&gt;"",OR(NOT(ISNUMBER($H218)),$H218&lt;0,$H218&gt;1)),"Peso fuera de rango"&amp;" · ","")&amp;IF(AND($V218="Sub",$H218&lt;&gt;""),"Las subactividades no llevan peso (valen igual dentro de su macroactividad)"&amp;" · ","")&amp;IF(AND(N($W218)&gt;0,COUNT($I218:$L218)&gt;0),"Con subactividades: deje vacías las semanas (se calculan solas)"&amp;" · ","")&amp;IF((COUNTIF($I218:$L218,"&gt;1")+COUNTIF($I218:$L218,"&lt;0")+COUNTA($I218:$L218)-COUNT($I218:$L218))&gt;0,"Avance fuera de rango 0-100%"&amp;" · ","")&amp;IF(OR(AND($J218&lt;&gt;"",$J218&lt;$I218),AND($K218&lt;&gt;"",$K218&lt;MAX($I218:$J218)),AND($L218&lt;&gt;"",$L218&lt;MAX($I218:$K218))),"Avance semanal decreciente"&amp;" · ","")&amp;IF(AND(ISNUMBER($AN218),$AN218&lt;FechaRef,IF($V218="Sub",N($X218),N($M218))&lt;1),"Vencida"&amp;" · ","")&amp;IF(AND(ObsObligatoria="Sí",ISNUMBER($AN218),$AN218&lt;FechaRef,IF($V218="Sub",N($X218),N($M218))&lt;1,$Q218=""),"Vencida sin observación"&amp;" · ",""))-3)))</f>
        <v/>
      </c>
      <c r="S218" s="64">
        <f>IF(NOT((COUNTA($B218:$D218)+COUNTA($G218:$L218)+COUNTA($Q218))&gt;0),"",IF(AND($V218="Sub",N($U218)&gt;0),IF(ISNUMBER(INDEX($AM$5:$AM$1000,$U218-4)),DATE(YEAR(INDEX($AM$5:$AM$1000,$U218-4)),MONTH(INDEX($AM$5:$AM$1000,$U218-4)),1),IF(ISNUMBER(INDEX($AN$5:$AN$1000,$U218-4)),DATE(YEAR(INDEX($AN$5:$AN$1000,$U218-4)),MONTH(INDEX($AN$5:$AN$1000,$U218-4)),1),MesCiclo)),IF(ISNUMBER($AM218),DATE(YEAR($AM218),MONTH($AM218),1),IF(ISNUMBER($AN218),DATE(YEAR($AN218),MONTH($AN218),1),MesCiclo))))</f>
        <v/>
      </c>
      <c r="T218" s="62">
        <f>IF(OR($S218="",$S218&lt;&gt;MesCiclo,$V218&lt;&gt;"Macro"),"",COUNTIFS($S$5:$S218,MesCiclo,$V$5:$V218,"Macro"))</f>
        <v/>
      </c>
      <c r="U218" s="62">
        <f>IF($V218="","",IF($V218="Macro",ROW(),IFERROR(LOOKUP(2,1/($V$5:$V218="Macro"),ROW($V$5:$V218)),0)))</f>
        <v/>
      </c>
      <c r="V218" s="62">
        <f>IF(NOT((COUNTA($B218:$D218)+COUNTA($G218:$L218)+COUNTA($Q218))&gt;0),"",IF($B218="Subactividad","Sub","Macro"))</f>
        <v/>
      </c>
      <c r="W218" s="62">
        <f>IF($V218="Macro",COUNTIFS($U$5:$U$1000,ROW(),$V$5:$V$1000,"Sub"),"")</f>
        <v/>
      </c>
      <c r="X218" s="62">
        <f>IF($V218="","",IF(ISNUMBER($G218),1,IFERROR(LOOKUP(2,1/($I218:$L218&lt;&gt;""),$I218:$L218),0)))</f>
        <v/>
      </c>
      <c r="Y218" s="62">
        <f>IF($V218="","",IF(AND(ISNUMBER($G218),$G218&lt;=IF($S218=MesCiclo,InicioCiclo,$S218+MOD(2-WEEKDAY($S218),7))+6),1,IF(ISNUMBER($I218),$I218,0)))</f>
        <v/>
      </c>
      <c r="Z218" s="62">
        <f>IF($V218="","",IF(AND(ISNUMBER($G218),$G218&lt;=IF($S218=MesCiclo,InicioCiclo,$S218+MOD(2-WEEKDAY($S218),7))+13),1,IF(ISNUMBER($J218),$J218,$Y218)))</f>
        <v/>
      </c>
      <c r="AA218" s="62">
        <f>IF($V218="","",IF(AND(ISNUMBER($G218),$G218&lt;=IF($S218=MesCiclo,InicioCiclo,$S218+MOD(2-WEEKDAY($S218),7))+20),1,IF(ISNUMBER($K218),$K218,$Z218)))</f>
        <v/>
      </c>
      <c r="AB218" s="62">
        <f>IF($V218="","",IF(AND(ISNUMBER($G218),$G218&lt;=IF($S218=MesCiclo,InicioCiclo,$S218+MOD(2-WEEKDAY($S218),7))+27),1,IF(ISNUMBER($L218),$L218,$AA218)))</f>
        <v/>
      </c>
      <c r="AC218" s="62">
        <f>IF($V218="","",IF(AND(ISNUMBER($G218),$G218&lt;=IF($S218=MesCiclo,InicioCiclo,$S218+MOD(2-WEEKDAY($S218),7))+6),1,IF(N($W218)&gt;0,AVERAGEIFS($Y$5:$Y$1000,$U$5:$U$1000,ROW(),$V$5:$V$1000,"Sub"),$Y218)))</f>
        <v/>
      </c>
      <c r="AD218" s="62">
        <f>IF($V218="","",IF(AND(ISNUMBER($G218),$G218&lt;=IF($S218=MesCiclo,InicioCiclo,$S218+MOD(2-WEEKDAY($S218),7))+13),1,IF(N($W218)&gt;0,AVERAGEIFS($Z$5:$Z$1000,$U$5:$U$1000,ROW(),$V$5:$V$1000,"Sub"),$Z218)))</f>
        <v/>
      </c>
      <c r="AE218" s="62">
        <f>IF($V218="","",IF(AND(ISNUMBER($G218),$G218&lt;=IF($S218=MesCiclo,InicioCiclo,$S218+MOD(2-WEEKDAY($S218),7))+20),1,IF(N($W218)&gt;0,AVERAGEIFS($AA$5:$AA$1000,$U$5:$U$1000,ROW(),$V$5:$V$1000,"Sub"),$AA218)))</f>
        <v/>
      </c>
      <c r="AF218" s="62">
        <f>IF($V218="","",IF(AND(ISNUMBER($G218),$G218&lt;=IF($S218=MesCiclo,InicioCiclo,$S218+MOD(2-WEEKDAY($S218),7))+27),1,IF(N($W218)&gt;0,AVERAGEIFS($AB$5:$AB$1000,$U$5:$U$1000,ROW(),$V$5:$V$1000,"Sub"),$AB218)))</f>
        <v/>
      </c>
      <c r="AG218" s="62">
        <f>IF($V218&lt;&gt;"Macro","",IF(COUNTIFS($S$5:$S$1000,$S218,$V$5:$V$1000,"Macro",$H$5:$H$1000,"&gt;0")=0,1/COUNTIFS($S$5:$S$1000,$S218,$V$5:$V$1000,"Macro"),IF(AND(ISNUMBER($H218),N($H218)&gt;0),$H218,SUMIFS($H$5:$H$1000,$S$5:$S$1000,$S218,$V$5:$V$1000,"Macro")/COUNTIFS($S$5:$S$1000,$S218,$V$5:$V$1000,"Macro",$H$5:$H$1000,"&gt;0"))/(COUNTIFS($S$5:$S$1000,$S218,$V$5:$V$1000,"Macro")*SUMIFS($H$5:$H$1000,$S$5:$S$1000,$S218,$V$5:$V$1000,"Macro")/COUNTIFS($S$5:$S$1000,$S218,$V$5:$V$1000,"Macro",$H$5:$H$1000,"&gt;0"))))</f>
        <v/>
      </c>
      <c r="AH218" s="62" t="n"/>
      <c r="AI218" s="62" t="n"/>
      <c r="AJ218" s="62" t="n"/>
      <c r="AK218" s="62" t="n"/>
      <c r="AL218" s="62">
        <f>IF(LEFT($C218,11)="[Jefatura] ",IFERROR(MATCH("Riesgo Normativo|"&amp;MID($C218,12,500),rDname_ADM,0),0),"")</f>
        <v/>
      </c>
      <c r="AM218" s="62">
        <f>IF(N($AL218)&gt;0,INDEX(rIni_ADM,$AL218),IF(ISNUMBER($E218),$E218,""))</f>
        <v/>
      </c>
      <c r="AN218" s="62">
        <f>IF(N($AL218)&gt;0,INDEX(rLim_ADM,$AL218),IF(ISNUMBER($F218),$F218,""))</f>
        <v/>
      </c>
    </row>
    <row r="219">
      <c r="A219" s="56">
        <f>IF(NOT((COUNTA($B219:$D219)+COUNTA($G219:$L219)+COUNTA($Q219))&gt;0),"",IF($V219="Macro",COUNTIFS($V$5:$V219,"Macro",$S$5:$S219,$S219),IF(N($U219)=0,"?",COUNTIFS(INDEX($V$5:$V$1000,1):INDEX($V$5:$V$1000,$U219-4),"Macro",INDEX($S$5:$S$1000,1):INDEX($S$5:$S$1000,$U219-4),INDEX($S$5:$S$1000,$U219-4))&amp;"."&amp;COUNTIFS($U$5:$U219,$U219,$V$5:$V219,"Sub"))))</f>
        <v/>
      </c>
      <c r="B219" s="57" t="n"/>
      <c r="C219" s="58" t="n"/>
      <c r="D219" s="58" t="n"/>
      <c r="E219" s="59">
        <f>IF(N($AL219)&gt;0,INDEX(rIni_ADM,$AL219),"")</f>
        <v/>
      </c>
      <c r="F219" s="59">
        <f>IF(N($AL219)&gt;0,INDEX(rLim_ADM,$AL219),"")</f>
        <v/>
      </c>
      <c r="G219" s="59" t="n"/>
      <c r="H219" s="60" t="n"/>
      <c r="I219" s="60" t="n"/>
      <c r="J219" s="60" t="n"/>
      <c r="K219" s="60" t="n"/>
      <c r="L219" s="60" t="n"/>
      <c r="M219" s="61">
        <f>IF(NOT((COUNTA($B219:$D219)+COUNTA($G219:$L219)+COUNTA($Q219))&gt;0),"",IF($V219="Sub",IFERROR($X219/INDEX($W$5:$W$1000,$U219-4),""),IF(ISNUMBER($G219),1,IF(N($W219)&gt;0,AVERAGEIFS($X$5:$X$1000,$U$5:$U$1000,ROW(),$V$5:$V$1000,"Sub"),$X219))))</f>
        <v/>
      </c>
      <c r="N219" s="56">
        <f>IF(OR($M219="",$V219="Sub"),"",IF($M219&gt;=1,"Completado",IF($M219&gt;0,"En curso","Pendiente")))</f>
        <v/>
      </c>
      <c r="O219" s="56">
        <f>IF(OR(NOT((COUNTA($B219:$D219)+COUNTA($G219:$L219)+COUNTA($Q219))&gt;0),$V219="Sub"),"",IF(ISNUMBER($G219),IF(AND(ISNUMBER($AN219),$G219&gt;$AN219),"Cumplida con "&amp;($G219-$AN219)&amp;IF($G219-$AN219=1," día"," días")&amp;" de retraso","Cumplida"),IF(N($M219)&gt;=1,"Cumplida",IF(NOT(ISNUMBER($AN219)),"Sin fecha límite",IF($AN219&lt;FechaRef,"Vencida hace "&amp;(FechaRef-$AN219)&amp;IF(FechaRef-$AN219=1," día"," días"),IF($AN219=FechaRef,"Vence hoy",IF($AN219-FechaRef&lt;=DiasAlerta,"Vence en "&amp;($AN219-FechaRef)&amp;IF($AN219-FechaRef=1," día"," días"),"En plazo")))))))</f>
        <v/>
      </c>
      <c r="P219" s="62" t="n"/>
      <c r="Q219" s="58" t="n"/>
      <c r="R219" s="63">
        <f>IF(NOT((COUNTA($B219:$D219)+COUNTA($G219:$L219)+COUNTA($Q219))&gt;0),"",IF((IF($C219="","Falta el nombre de la actividad"&amp;" · ","")&amp;IF(AND($V219="Sub",N($U219)=0),"Subactividad sin macroactividad arriba"&amp;" · ","")&amp;IF($AM219="","Sin fecha de inicio"&amp;" · ","")&amp;IF($AN219="","Sin fecha límite"&amp;" · ","")&amp;IF(AND(LEFT($C219,11)="[Jefatura] ",N($AL219)=0),"No se encuentra en la hoja de la jefatura (elíjala de nuevo en la lista)"&amp;" · ","")&amp;IF(OR(AND($E219&lt;&gt;"",NOT(ISNUMBER($E219))),AND($F219&lt;&gt;"",NOT(ISNUMBER($F219))),AND($G219&lt;&gt;"",NOT(ISNUMBER($G219)))),"Fecha no válida"&amp;" · ","")&amp;IF(AND(ISNUMBER($AM219),ISNUMBER($AN219),$AM219&gt;$AN219),"Inicio posterior a fecha límite"&amp;" · ","")&amp;IF(AND($V219="Macro",$H219&lt;&gt;"",OR(NOT(ISNUMBER($H219)),$H219&lt;0,$H219&gt;1)),"Peso fuera de rango"&amp;" · ","")&amp;IF(AND($V219="Sub",$H219&lt;&gt;""),"Las subactividades no llevan peso (valen igual dentro de su macroactividad)"&amp;" · ","")&amp;IF(AND(N($W219)&gt;0,COUNT($I219:$L219)&gt;0),"Con subactividades: deje vacías las semanas (se calculan solas)"&amp;" · ","")&amp;IF((COUNTIF($I219:$L219,"&gt;1")+COUNTIF($I219:$L219,"&lt;0")+COUNTA($I219:$L219)-COUNT($I219:$L219))&gt;0,"Avance fuera de rango 0-100%"&amp;" · ","")&amp;IF(OR(AND($J219&lt;&gt;"",$J219&lt;$I219),AND($K219&lt;&gt;"",$K219&lt;MAX($I219:$J219)),AND($L219&lt;&gt;"",$L219&lt;MAX($I219:$K219))),"Avance semanal decreciente"&amp;" · ","")&amp;IF(AND(ISNUMBER($AN219),$AN219&lt;FechaRef,IF($V219="Sub",N($X219),N($M219))&lt;1),"Vencida"&amp;" · ","")&amp;IF(AND(ObsObligatoria="Sí",ISNUMBER($AN219),$AN219&lt;FechaRef,IF($V219="Sub",N($X219),N($M219))&lt;1,$Q219=""),"Vencida sin observación"&amp;" · ",""))="","✔ OK","⚠ "&amp;LEFT(IF($C219="","Falta el nombre de la actividad"&amp;" · ","")&amp;IF(AND($V219="Sub",N($U219)=0),"Subactividad sin macroactividad arriba"&amp;" · ","")&amp;IF($AM219="","Sin fecha de inicio"&amp;" · ","")&amp;IF($AN219="","Sin fecha límite"&amp;" · ","")&amp;IF(AND(LEFT($C219,11)="[Jefatura] ",N($AL219)=0),"No se encuentra en la hoja de la jefatura (elíjala de nuevo en la lista)"&amp;" · ","")&amp;IF(OR(AND($E219&lt;&gt;"",NOT(ISNUMBER($E219))),AND($F219&lt;&gt;"",NOT(ISNUMBER($F219))),AND($G219&lt;&gt;"",NOT(ISNUMBER($G219)))),"Fecha no válida"&amp;" · ","")&amp;IF(AND(ISNUMBER($AM219),ISNUMBER($AN219),$AM219&gt;$AN219),"Inicio posterior a fecha límite"&amp;" · ","")&amp;IF(AND($V219="Macro",$H219&lt;&gt;"",OR(NOT(ISNUMBER($H219)),$H219&lt;0,$H219&gt;1)),"Peso fuera de rango"&amp;" · ","")&amp;IF(AND($V219="Sub",$H219&lt;&gt;""),"Las subactividades no llevan peso (valen igual dentro de su macroactividad)"&amp;" · ","")&amp;IF(AND(N($W219)&gt;0,COUNT($I219:$L219)&gt;0),"Con subactividades: deje vacías las semanas (se calculan solas)"&amp;" · ","")&amp;IF((COUNTIF($I219:$L219,"&gt;1")+COUNTIF($I219:$L219,"&lt;0")+COUNTA($I219:$L219)-COUNT($I219:$L219))&gt;0,"Avance fuera de rango 0-100%"&amp;" · ","")&amp;IF(OR(AND($J219&lt;&gt;"",$J219&lt;$I219),AND($K219&lt;&gt;"",$K219&lt;MAX($I219:$J219)),AND($L219&lt;&gt;"",$L219&lt;MAX($I219:$K219))),"Avance semanal decreciente"&amp;" · ","")&amp;IF(AND(ISNUMBER($AN219),$AN219&lt;FechaRef,IF($V219="Sub",N($X219),N($M219))&lt;1),"Vencida"&amp;" · ","")&amp;IF(AND(ObsObligatoria="Sí",ISNUMBER($AN219),$AN219&lt;FechaRef,IF($V219="Sub",N($X219),N($M219))&lt;1,$Q219=""),"Vencida sin observación"&amp;" · ",""),LEN(IF($C219="","Falta el nombre de la actividad"&amp;" · ","")&amp;IF(AND($V219="Sub",N($U219)=0),"Subactividad sin macroactividad arriba"&amp;" · ","")&amp;IF($AM219="","Sin fecha de inicio"&amp;" · ","")&amp;IF($AN219="","Sin fecha límite"&amp;" · ","")&amp;IF(AND(LEFT($C219,11)="[Jefatura] ",N($AL219)=0),"No se encuentra en la hoja de la jefatura (elíjala de nuevo en la lista)"&amp;" · ","")&amp;IF(OR(AND($E219&lt;&gt;"",NOT(ISNUMBER($E219))),AND($F219&lt;&gt;"",NOT(ISNUMBER($F219))),AND($G219&lt;&gt;"",NOT(ISNUMBER($G219)))),"Fecha no válida"&amp;" · ","")&amp;IF(AND(ISNUMBER($AM219),ISNUMBER($AN219),$AM219&gt;$AN219),"Inicio posterior a fecha límite"&amp;" · ","")&amp;IF(AND($V219="Macro",$H219&lt;&gt;"",OR(NOT(ISNUMBER($H219)),$H219&lt;0,$H219&gt;1)),"Peso fuera de rango"&amp;" · ","")&amp;IF(AND($V219="Sub",$H219&lt;&gt;""),"Las subactividades no llevan peso (valen igual dentro de su macroactividad)"&amp;" · ","")&amp;IF(AND(N($W219)&gt;0,COUNT($I219:$L219)&gt;0),"Con subactividades: deje vacías las semanas (se calculan solas)"&amp;" · ","")&amp;IF((COUNTIF($I219:$L219,"&gt;1")+COUNTIF($I219:$L219,"&lt;0")+COUNTA($I219:$L219)-COUNT($I219:$L219))&gt;0,"Avance fuera de rango 0-100%"&amp;" · ","")&amp;IF(OR(AND($J219&lt;&gt;"",$J219&lt;$I219),AND($K219&lt;&gt;"",$K219&lt;MAX($I219:$J219)),AND($L219&lt;&gt;"",$L219&lt;MAX($I219:$K219))),"Avance semanal decreciente"&amp;" · ","")&amp;IF(AND(ISNUMBER($AN219),$AN219&lt;FechaRef,IF($V219="Sub",N($X219),N($M219))&lt;1),"Vencida"&amp;" · ","")&amp;IF(AND(ObsObligatoria="Sí",ISNUMBER($AN219),$AN219&lt;FechaRef,IF($V219="Sub",N($X219),N($M219))&lt;1,$Q219=""),"Vencida sin observación"&amp;" · ",""))-3)))</f>
        <v/>
      </c>
      <c r="S219" s="64">
        <f>IF(NOT((COUNTA($B219:$D219)+COUNTA($G219:$L219)+COUNTA($Q219))&gt;0),"",IF(AND($V219="Sub",N($U219)&gt;0),IF(ISNUMBER(INDEX($AM$5:$AM$1000,$U219-4)),DATE(YEAR(INDEX($AM$5:$AM$1000,$U219-4)),MONTH(INDEX($AM$5:$AM$1000,$U219-4)),1),IF(ISNUMBER(INDEX($AN$5:$AN$1000,$U219-4)),DATE(YEAR(INDEX($AN$5:$AN$1000,$U219-4)),MONTH(INDEX($AN$5:$AN$1000,$U219-4)),1),MesCiclo)),IF(ISNUMBER($AM219),DATE(YEAR($AM219),MONTH($AM219),1),IF(ISNUMBER($AN219),DATE(YEAR($AN219),MONTH($AN219),1),MesCiclo))))</f>
        <v/>
      </c>
      <c r="T219" s="62">
        <f>IF(OR($S219="",$S219&lt;&gt;MesCiclo,$V219&lt;&gt;"Macro"),"",COUNTIFS($S$5:$S219,MesCiclo,$V$5:$V219,"Macro"))</f>
        <v/>
      </c>
      <c r="U219" s="62">
        <f>IF($V219="","",IF($V219="Macro",ROW(),IFERROR(LOOKUP(2,1/($V$5:$V219="Macro"),ROW($V$5:$V219)),0)))</f>
        <v/>
      </c>
      <c r="V219" s="62">
        <f>IF(NOT((COUNTA($B219:$D219)+COUNTA($G219:$L219)+COUNTA($Q219))&gt;0),"",IF($B219="Subactividad","Sub","Macro"))</f>
        <v/>
      </c>
      <c r="W219" s="62">
        <f>IF($V219="Macro",COUNTIFS($U$5:$U$1000,ROW(),$V$5:$V$1000,"Sub"),"")</f>
        <v/>
      </c>
      <c r="X219" s="62">
        <f>IF($V219="","",IF(ISNUMBER($G219),1,IFERROR(LOOKUP(2,1/($I219:$L219&lt;&gt;""),$I219:$L219),0)))</f>
        <v/>
      </c>
      <c r="Y219" s="62">
        <f>IF($V219="","",IF(AND(ISNUMBER($G219),$G219&lt;=IF($S219=MesCiclo,InicioCiclo,$S219+MOD(2-WEEKDAY($S219),7))+6),1,IF(ISNUMBER($I219),$I219,0)))</f>
        <v/>
      </c>
      <c r="Z219" s="62">
        <f>IF($V219="","",IF(AND(ISNUMBER($G219),$G219&lt;=IF($S219=MesCiclo,InicioCiclo,$S219+MOD(2-WEEKDAY($S219),7))+13),1,IF(ISNUMBER($J219),$J219,$Y219)))</f>
        <v/>
      </c>
      <c r="AA219" s="62">
        <f>IF($V219="","",IF(AND(ISNUMBER($G219),$G219&lt;=IF($S219=MesCiclo,InicioCiclo,$S219+MOD(2-WEEKDAY($S219),7))+20),1,IF(ISNUMBER($K219),$K219,$Z219)))</f>
        <v/>
      </c>
      <c r="AB219" s="62">
        <f>IF($V219="","",IF(AND(ISNUMBER($G219),$G219&lt;=IF($S219=MesCiclo,InicioCiclo,$S219+MOD(2-WEEKDAY($S219),7))+27),1,IF(ISNUMBER($L219),$L219,$AA219)))</f>
        <v/>
      </c>
      <c r="AC219" s="62">
        <f>IF($V219="","",IF(AND(ISNUMBER($G219),$G219&lt;=IF($S219=MesCiclo,InicioCiclo,$S219+MOD(2-WEEKDAY($S219),7))+6),1,IF(N($W219)&gt;0,AVERAGEIFS($Y$5:$Y$1000,$U$5:$U$1000,ROW(),$V$5:$V$1000,"Sub"),$Y219)))</f>
        <v/>
      </c>
      <c r="AD219" s="62">
        <f>IF($V219="","",IF(AND(ISNUMBER($G219),$G219&lt;=IF($S219=MesCiclo,InicioCiclo,$S219+MOD(2-WEEKDAY($S219),7))+13),1,IF(N($W219)&gt;0,AVERAGEIFS($Z$5:$Z$1000,$U$5:$U$1000,ROW(),$V$5:$V$1000,"Sub"),$Z219)))</f>
        <v/>
      </c>
      <c r="AE219" s="62">
        <f>IF($V219="","",IF(AND(ISNUMBER($G219),$G219&lt;=IF($S219=MesCiclo,InicioCiclo,$S219+MOD(2-WEEKDAY($S219),7))+20),1,IF(N($W219)&gt;0,AVERAGEIFS($AA$5:$AA$1000,$U$5:$U$1000,ROW(),$V$5:$V$1000,"Sub"),$AA219)))</f>
        <v/>
      </c>
      <c r="AF219" s="62">
        <f>IF($V219="","",IF(AND(ISNUMBER($G219),$G219&lt;=IF($S219=MesCiclo,InicioCiclo,$S219+MOD(2-WEEKDAY($S219),7))+27),1,IF(N($W219)&gt;0,AVERAGEIFS($AB$5:$AB$1000,$U$5:$U$1000,ROW(),$V$5:$V$1000,"Sub"),$AB219)))</f>
        <v/>
      </c>
      <c r="AG219" s="62">
        <f>IF($V219&lt;&gt;"Macro","",IF(COUNTIFS($S$5:$S$1000,$S219,$V$5:$V$1000,"Macro",$H$5:$H$1000,"&gt;0")=0,1/COUNTIFS($S$5:$S$1000,$S219,$V$5:$V$1000,"Macro"),IF(AND(ISNUMBER($H219),N($H219)&gt;0),$H219,SUMIFS($H$5:$H$1000,$S$5:$S$1000,$S219,$V$5:$V$1000,"Macro")/COUNTIFS($S$5:$S$1000,$S219,$V$5:$V$1000,"Macro",$H$5:$H$1000,"&gt;0"))/(COUNTIFS($S$5:$S$1000,$S219,$V$5:$V$1000,"Macro")*SUMIFS($H$5:$H$1000,$S$5:$S$1000,$S219,$V$5:$V$1000,"Macro")/COUNTIFS($S$5:$S$1000,$S219,$V$5:$V$1000,"Macro",$H$5:$H$1000,"&gt;0"))))</f>
        <v/>
      </c>
      <c r="AH219" s="62" t="n"/>
      <c r="AI219" s="62" t="n"/>
      <c r="AJ219" s="62" t="n"/>
      <c r="AK219" s="62" t="n"/>
      <c r="AL219" s="62">
        <f>IF(LEFT($C219,11)="[Jefatura] ",IFERROR(MATCH("Riesgo Normativo|"&amp;MID($C219,12,500),rDname_ADM,0),0),"")</f>
        <v/>
      </c>
      <c r="AM219" s="62">
        <f>IF(N($AL219)&gt;0,INDEX(rIni_ADM,$AL219),IF(ISNUMBER($E219),$E219,""))</f>
        <v/>
      </c>
      <c r="AN219" s="62">
        <f>IF(N($AL219)&gt;0,INDEX(rLim_ADM,$AL219),IF(ISNUMBER($F219),$F219,""))</f>
        <v/>
      </c>
    </row>
    <row r="220">
      <c r="A220" s="56">
        <f>IF(NOT((COUNTA($B220:$D220)+COUNTA($G220:$L220)+COUNTA($Q220))&gt;0),"",IF($V220="Macro",COUNTIFS($V$5:$V220,"Macro",$S$5:$S220,$S220),IF(N($U220)=0,"?",COUNTIFS(INDEX($V$5:$V$1000,1):INDEX($V$5:$V$1000,$U220-4),"Macro",INDEX($S$5:$S$1000,1):INDEX($S$5:$S$1000,$U220-4),INDEX($S$5:$S$1000,$U220-4))&amp;"."&amp;COUNTIFS($U$5:$U220,$U220,$V$5:$V220,"Sub"))))</f>
        <v/>
      </c>
      <c r="B220" s="57" t="n"/>
      <c r="C220" s="58" t="n"/>
      <c r="D220" s="58" t="n"/>
      <c r="E220" s="59">
        <f>IF(N($AL220)&gt;0,INDEX(rIni_ADM,$AL220),"")</f>
        <v/>
      </c>
      <c r="F220" s="59">
        <f>IF(N($AL220)&gt;0,INDEX(rLim_ADM,$AL220),"")</f>
        <v/>
      </c>
      <c r="G220" s="59" t="n"/>
      <c r="H220" s="60" t="n"/>
      <c r="I220" s="60" t="n"/>
      <c r="J220" s="60" t="n"/>
      <c r="K220" s="60" t="n"/>
      <c r="L220" s="60" t="n"/>
      <c r="M220" s="61">
        <f>IF(NOT((COUNTA($B220:$D220)+COUNTA($G220:$L220)+COUNTA($Q220))&gt;0),"",IF($V220="Sub",IFERROR($X220/INDEX($W$5:$W$1000,$U220-4),""),IF(ISNUMBER($G220),1,IF(N($W220)&gt;0,AVERAGEIFS($X$5:$X$1000,$U$5:$U$1000,ROW(),$V$5:$V$1000,"Sub"),$X220))))</f>
        <v/>
      </c>
      <c r="N220" s="56">
        <f>IF(OR($M220="",$V220="Sub"),"",IF($M220&gt;=1,"Completado",IF($M220&gt;0,"En curso","Pendiente")))</f>
        <v/>
      </c>
      <c r="O220" s="56">
        <f>IF(OR(NOT((COUNTA($B220:$D220)+COUNTA($G220:$L220)+COUNTA($Q220))&gt;0),$V220="Sub"),"",IF(ISNUMBER($G220),IF(AND(ISNUMBER($AN220),$G220&gt;$AN220),"Cumplida con "&amp;($G220-$AN220)&amp;IF($G220-$AN220=1," día"," días")&amp;" de retraso","Cumplida"),IF(N($M220)&gt;=1,"Cumplida",IF(NOT(ISNUMBER($AN220)),"Sin fecha límite",IF($AN220&lt;FechaRef,"Vencida hace "&amp;(FechaRef-$AN220)&amp;IF(FechaRef-$AN220=1," día"," días"),IF($AN220=FechaRef,"Vence hoy",IF($AN220-FechaRef&lt;=DiasAlerta,"Vence en "&amp;($AN220-FechaRef)&amp;IF($AN220-FechaRef=1," día"," días"),"En plazo")))))))</f>
        <v/>
      </c>
      <c r="P220" s="62" t="n"/>
      <c r="Q220" s="58" t="n"/>
      <c r="R220" s="63">
        <f>IF(NOT((COUNTA($B220:$D220)+COUNTA($G220:$L220)+COUNTA($Q220))&gt;0),"",IF((IF($C220="","Falta el nombre de la actividad"&amp;" · ","")&amp;IF(AND($V220="Sub",N($U220)=0),"Subactividad sin macroactividad arriba"&amp;" · ","")&amp;IF($AM220="","Sin fecha de inicio"&amp;" · ","")&amp;IF($AN220="","Sin fecha límite"&amp;" · ","")&amp;IF(AND(LEFT($C220,11)="[Jefatura] ",N($AL220)=0),"No se encuentra en la hoja de la jefatura (elíjala de nuevo en la lista)"&amp;" · ","")&amp;IF(OR(AND($E220&lt;&gt;"",NOT(ISNUMBER($E220))),AND($F220&lt;&gt;"",NOT(ISNUMBER($F220))),AND($G220&lt;&gt;"",NOT(ISNUMBER($G220)))),"Fecha no válida"&amp;" · ","")&amp;IF(AND(ISNUMBER($AM220),ISNUMBER($AN220),$AM220&gt;$AN220),"Inicio posterior a fecha límite"&amp;" · ","")&amp;IF(AND($V220="Macro",$H220&lt;&gt;"",OR(NOT(ISNUMBER($H220)),$H220&lt;0,$H220&gt;1)),"Peso fuera de rango"&amp;" · ","")&amp;IF(AND($V220="Sub",$H220&lt;&gt;""),"Las subactividades no llevan peso (valen igual dentro de su macroactividad)"&amp;" · ","")&amp;IF(AND(N($W220)&gt;0,COUNT($I220:$L220)&gt;0),"Con subactividades: deje vacías las semanas (se calculan solas)"&amp;" · ","")&amp;IF((COUNTIF($I220:$L220,"&gt;1")+COUNTIF($I220:$L220,"&lt;0")+COUNTA($I220:$L220)-COUNT($I220:$L220))&gt;0,"Avance fuera de rango 0-100%"&amp;" · ","")&amp;IF(OR(AND($J220&lt;&gt;"",$J220&lt;$I220),AND($K220&lt;&gt;"",$K220&lt;MAX($I220:$J220)),AND($L220&lt;&gt;"",$L220&lt;MAX($I220:$K220))),"Avance semanal decreciente"&amp;" · ","")&amp;IF(AND(ISNUMBER($AN220),$AN220&lt;FechaRef,IF($V220="Sub",N($X220),N($M220))&lt;1),"Vencida"&amp;" · ","")&amp;IF(AND(ObsObligatoria="Sí",ISNUMBER($AN220),$AN220&lt;FechaRef,IF($V220="Sub",N($X220),N($M220))&lt;1,$Q220=""),"Vencida sin observación"&amp;" · ",""))="","✔ OK","⚠ "&amp;LEFT(IF($C220="","Falta el nombre de la actividad"&amp;" · ","")&amp;IF(AND($V220="Sub",N($U220)=0),"Subactividad sin macroactividad arriba"&amp;" · ","")&amp;IF($AM220="","Sin fecha de inicio"&amp;" · ","")&amp;IF($AN220="","Sin fecha límite"&amp;" · ","")&amp;IF(AND(LEFT($C220,11)="[Jefatura] ",N($AL220)=0),"No se encuentra en la hoja de la jefatura (elíjala de nuevo en la lista)"&amp;" · ","")&amp;IF(OR(AND($E220&lt;&gt;"",NOT(ISNUMBER($E220))),AND($F220&lt;&gt;"",NOT(ISNUMBER($F220))),AND($G220&lt;&gt;"",NOT(ISNUMBER($G220)))),"Fecha no válida"&amp;" · ","")&amp;IF(AND(ISNUMBER($AM220),ISNUMBER($AN220),$AM220&gt;$AN220),"Inicio posterior a fecha límite"&amp;" · ","")&amp;IF(AND($V220="Macro",$H220&lt;&gt;"",OR(NOT(ISNUMBER($H220)),$H220&lt;0,$H220&gt;1)),"Peso fuera de rango"&amp;" · ","")&amp;IF(AND($V220="Sub",$H220&lt;&gt;""),"Las subactividades no llevan peso (valen igual dentro de su macroactividad)"&amp;" · ","")&amp;IF(AND(N($W220)&gt;0,COUNT($I220:$L220)&gt;0),"Con subactividades: deje vacías las semanas (se calculan solas)"&amp;" · ","")&amp;IF((COUNTIF($I220:$L220,"&gt;1")+COUNTIF($I220:$L220,"&lt;0")+COUNTA($I220:$L220)-COUNT($I220:$L220))&gt;0,"Avance fuera de rango 0-100%"&amp;" · ","")&amp;IF(OR(AND($J220&lt;&gt;"",$J220&lt;$I220),AND($K220&lt;&gt;"",$K220&lt;MAX($I220:$J220)),AND($L220&lt;&gt;"",$L220&lt;MAX($I220:$K220))),"Avance semanal decreciente"&amp;" · ","")&amp;IF(AND(ISNUMBER($AN220),$AN220&lt;FechaRef,IF($V220="Sub",N($X220),N($M220))&lt;1),"Vencida"&amp;" · ","")&amp;IF(AND(ObsObligatoria="Sí",ISNUMBER($AN220),$AN220&lt;FechaRef,IF($V220="Sub",N($X220),N($M220))&lt;1,$Q220=""),"Vencida sin observación"&amp;" · ",""),LEN(IF($C220="","Falta el nombre de la actividad"&amp;" · ","")&amp;IF(AND($V220="Sub",N($U220)=0),"Subactividad sin macroactividad arriba"&amp;" · ","")&amp;IF($AM220="","Sin fecha de inicio"&amp;" · ","")&amp;IF($AN220="","Sin fecha límite"&amp;" · ","")&amp;IF(AND(LEFT($C220,11)="[Jefatura] ",N($AL220)=0),"No se encuentra en la hoja de la jefatura (elíjala de nuevo en la lista)"&amp;" · ","")&amp;IF(OR(AND($E220&lt;&gt;"",NOT(ISNUMBER($E220))),AND($F220&lt;&gt;"",NOT(ISNUMBER($F220))),AND($G220&lt;&gt;"",NOT(ISNUMBER($G220)))),"Fecha no válida"&amp;" · ","")&amp;IF(AND(ISNUMBER($AM220),ISNUMBER($AN220),$AM220&gt;$AN220),"Inicio posterior a fecha límite"&amp;" · ","")&amp;IF(AND($V220="Macro",$H220&lt;&gt;"",OR(NOT(ISNUMBER($H220)),$H220&lt;0,$H220&gt;1)),"Peso fuera de rango"&amp;" · ","")&amp;IF(AND($V220="Sub",$H220&lt;&gt;""),"Las subactividades no llevan peso (valen igual dentro de su macroactividad)"&amp;" · ","")&amp;IF(AND(N($W220)&gt;0,COUNT($I220:$L220)&gt;0),"Con subactividades: deje vacías las semanas (se calculan solas)"&amp;" · ","")&amp;IF((COUNTIF($I220:$L220,"&gt;1")+COUNTIF($I220:$L220,"&lt;0")+COUNTA($I220:$L220)-COUNT($I220:$L220))&gt;0,"Avance fuera de rango 0-100%"&amp;" · ","")&amp;IF(OR(AND($J220&lt;&gt;"",$J220&lt;$I220),AND($K220&lt;&gt;"",$K220&lt;MAX($I220:$J220)),AND($L220&lt;&gt;"",$L220&lt;MAX($I220:$K220))),"Avance semanal decreciente"&amp;" · ","")&amp;IF(AND(ISNUMBER($AN220),$AN220&lt;FechaRef,IF($V220="Sub",N($X220),N($M220))&lt;1),"Vencida"&amp;" · ","")&amp;IF(AND(ObsObligatoria="Sí",ISNUMBER($AN220),$AN220&lt;FechaRef,IF($V220="Sub",N($X220),N($M220))&lt;1,$Q220=""),"Vencida sin observación"&amp;" · ",""))-3)))</f>
        <v/>
      </c>
      <c r="S220" s="64">
        <f>IF(NOT((COUNTA($B220:$D220)+COUNTA($G220:$L220)+COUNTA($Q220))&gt;0),"",IF(AND($V220="Sub",N($U220)&gt;0),IF(ISNUMBER(INDEX($AM$5:$AM$1000,$U220-4)),DATE(YEAR(INDEX($AM$5:$AM$1000,$U220-4)),MONTH(INDEX($AM$5:$AM$1000,$U220-4)),1),IF(ISNUMBER(INDEX($AN$5:$AN$1000,$U220-4)),DATE(YEAR(INDEX($AN$5:$AN$1000,$U220-4)),MONTH(INDEX($AN$5:$AN$1000,$U220-4)),1),MesCiclo)),IF(ISNUMBER($AM220),DATE(YEAR($AM220),MONTH($AM220),1),IF(ISNUMBER($AN220),DATE(YEAR($AN220),MONTH($AN220),1),MesCiclo))))</f>
        <v/>
      </c>
      <c r="T220" s="62">
        <f>IF(OR($S220="",$S220&lt;&gt;MesCiclo,$V220&lt;&gt;"Macro"),"",COUNTIFS($S$5:$S220,MesCiclo,$V$5:$V220,"Macro"))</f>
        <v/>
      </c>
      <c r="U220" s="62">
        <f>IF($V220="","",IF($V220="Macro",ROW(),IFERROR(LOOKUP(2,1/($V$5:$V220="Macro"),ROW($V$5:$V220)),0)))</f>
        <v/>
      </c>
      <c r="V220" s="62">
        <f>IF(NOT((COUNTA($B220:$D220)+COUNTA($G220:$L220)+COUNTA($Q220))&gt;0),"",IF($B220="Subactividad","Sub","Macro"))</f>
        <v/>
      </c>
      <c r="W220" s="62">
        <f>IF($V220="Macro",COUNTIFS($U$5:$U$1000,ROW(),$V$5:$V$1000,"Sub"),"")</f>
        <v/>
      </c>
      <c r="X220" s="62">
        <f>IF($V220="","",IF(ISNUMBER($G220),1,IFERROR(LOOKUP(2,1/($I220:$L220&lt;&gt;""),$I220:$L220),0)))</f>
        <v/>
      </c>
      <c r="Y220" s="62">
        <f>IF($V220="","",IF(AND(ISNUMBER($G220),$G220&lt;=IF($S220=MesCiclo,InicioCiclo,$S220+MOD(2-WEEKDAY($S220),7))+6),1,IF(ISNUMBER($I220),$I220,0)))</f>
        <v/>
      </c>
      <c r="Z220" s="62">
        <f>IF($V220="","",IF(AND(ISNUMBER($G220),$G220&lt;=IF($S220=MesCiclo,InicioCiclo,$S220+MOD(2-WEEKDAY($S220),7))+13),1,IF(ISNUMBER($J220),$J220,$Y220)))</f>
        <v/>
      </c>
      <c r="AA220" s="62">
        <f>IF($V220="","",IF(AND(ISNUMBER($G220),$G220&lt;=IF($S220=MesCiclo,InicioCiclo,$S220+MOD(2-WEEKDAY($S220),7))+20),1,IF(ISNUMBER($K220),$K220,$Z220)))</f>
        <v/>
      </c>
      <c r="AB220" s="62">
        <f>IF($V220="","",IF(AND(ISNUMBER($G220),$G220&lt;=IF($S220=MesCiclo,InicioCiclo,$S220+MOD(2-WEEKDAY($S220),7))+27),1,IF(ISNUMBER($L220),$L220,$AA220)))</f>
        <v/>
      </c>
      <c r="AC220" s="62">
        <f>IF($V220="","",IF(AND(ISNUMBER($G220),$G220&lt;=IF($S220=MesCiclo,InicioCiclo,$S220+MOD(2-WEEKDAY($S220),7))+6),1,IF(N($W220)&gt;0,AVERAGEIFS($Y$5:$Y$1000,$U$5:$U$1000,ROW(),$V$5:$V$1000,"Sub"),$Y220)))</f>
        <v/>
      </c>
      <c r="AD220" s="62">
        <f>IF($V220="","",IF(AND(ISNUMBER($G220),$G220&lt;=IF($S220=MesCiclo,InicioCiclo,$S220+MOD(2-WEEKDAY($S220),7))+13),1,IF(N($W220)&gt;0,AVERAGEIFS($Z$5:$Z$1000,$U$5:$U$1000,ROW(),$V$5:$V$1000,"Sub"),$Z220)))</f>
        <v/>
      </c>
      <c r="AE220" s="62">
        <f>IF($V220="","",IF(AND(ISNUMBER($G220),$G220&lt;=IF($S220=MesCiclo,InicioCiclo,$S220+MOD(2-WEEKDAY($S220),7))+20),1,IF(N($W220)&gt;0,AVERAGEIFS($AA$5:$AA$1000,$U$5:$U$1000,ROW(),$V$5:$V$1000,"Sub"),$AA220)))</f>
        <v/>
      </c>
      <c r="AF220" s="62">
        <f>IF($V220="","",IF(AND(ISNUMBER($G220),$G220&lt;=IF($S220=MesCiclo,InicioCiclo,$S220+MOD(2-WEEKDAY($S220),7))+27),1,IF(N($W220)&gt;0,AVERAGEIFS($AB$5:$AB$1000,$U$5:$U$1000,ROW(),$V$5:$V$1000,"Sub"),$AB220)))</f>
        <v/>
      </c>
      <c r="AG220" s="62">
        <f>IF($V220&lt;&gt;"Macro","",IF(COUNTIFS($S$5:$S$1000,$S220,$V$5:$V$1000,"Macro",$H$5:$H$1000,"&gt;0")=0,1/COUNTIFS($S$5:$S$1000,$S220,$V$5:$V$1000,"Macro"),IF(AND(ISNUMBER($H220),N($H220)&gt;0),$H220,SUMIFS($H$5:$H$1000,$S$5:$S$1000,$S220,$V$5:$V$1000,"Macro")/COUNTIFS($S$5:$S$1000,$S220,$V$5:$V$1000,"Macro",$H$5:$H$1000,"&gt;0"))/(COUNTIFS($S$5:$S$1000,$S220,$V$5:$V$1000,"Macro")*SUMIFS($H$5:$H$1000,$S$5:$S$1000,$S220,$V$5:$V$1000,"Macro")/COUNTIFS($S$5:$S$1000,$S220,$V$5:$V$1000,"Macro",$H$5:$H$1000,"&gt;0"))))</f>
        <v/>
      </c>
      <c r="AH220" s="62" t="n"/>
      <c r="AI220" s="62" t="n"/>
      <c r="AJ220" s="62" t="n"/>
      <c r="AK220" s="62" t="n"/>
      <c r="AL220" s="62">
        <f>IF(LEFT($C220,11)="[Jefatura] ",IFERROR(MATCH("Riesgo Normativo|"&amp;MID($C220,12,500),rDname_ADM,0),0),"")</f>
        <v/>
      </c>
      <c r="AM220" s="62">
        <f>IF(N($AL220)&gt;0,INDEX(rIni_ADM,$AL220),IF(ISNUMBER($E220),$E220,""))</f>
        <v/>
      </c>
      <c r="AN220" s="62">
        <f>IF(N($AL220)&gt;0,INDEX(rLim_ADM,$AL220),IF(ISNUMBER($F220),$F220,""))</f>
        <v/>
      </c>
    </row>
    <row r="221">
      <c r="A221" s="56">
        <f>IF(NOT((COUNTA($B221:$D221)+COUNTA($G221:$L221)+COUNTA($Q221))&gt;0),"",IF($V221="Macro",COUNTIFS($V$5:$V221,"Macro",$S$5:$S221,$S221),IF(N($U221)=0,"?",COUNTIFS(INDEX($V$5:$V$1000,1):INDEX($V$5:$V$1000,$U221-4),"Macro",INDEX($S$5:$S$1000,1):INDEX($S$5:$S$1000,$U221-4),INDEX($S$5:$S$1000,$U221-4))&amp;"."&amp;COUNTIFS($U$5:$U221,$U221,$V$5:$V221,"Sub"))))</f>
        <v/>
      </c>
      <c r="B221" s="57" t="n"/>
      <c r="C221" s="58" t="n"/>
      <c r="D221" s="58" t="n"/>
      <c r="E221" s="59">
        <f>IF(N($AL221)&gt;0,INDEX(rIni_ADM,$AL221),"")</f>
        <v/>
      </c>
      <c r="F221" s="59">
        <f>IF(N($AL221)&gt;0,INDEX(rLim_ADM,$AL221),"")</f>
        <v/>
      </c>
      <c r="G221" s="59" t="n"/>
      <c r="H221" s="60" t="n"/>
      <c r="I221" s="60" t="n"/>
      <c r="J221" s="60" t="n"/>
      <c r="K221" s="60" t="n"/>
      <c r="L221" s="60" t="n"/>
      <c r="M221" s="61">
        <f>IF(NOT((COUNTA($B221:$D221)+COUNTA($G221:$L221)+COUNTA($Q221))&gt;0),"",IF($V221="Sub",IFERROR($X221/INDEX($W$5:$W$1000,$U221-4),""),IF(ISNUMBER($G221),1,IF(N($W221)&gt;0,AVERAGEIFS($X$5:$X$1000,$U$5:$U$1000,ROW(),$V$5:$V$1000,"Sub"),$X221))))</f>
        <v/>
      </c>
      <c r="N221" s="56">
        <f>IF(OR($M221="",$V221="Sub"),"",IF($M221&gt;=1,"Completado",IF($M221&gt;0,"En curso","Pendiente")))</f>
        <v/>
      </c>
      <c r="O221" s="56">
        <f>IF(OR(NOT((COUNTA($B221:$D221)+COUNTA($G221:$L221)+COUNTA($Q221))&gt;0),$V221="Sub"),"",IF(ISNUMBER($G221),IF(AND(ISNUMBER($AN221),$G221&gt;$AN221),"Cumplida con "&amp;($G221-$AN221)&amp;IF($G221-$AN221=1," día"," días")&amp;" de retraso","Cumplida"),IF(N($M221)&gt;=1,"Cumplida",IF(NOT(ISNUMBER($AN221)),"Sin fecha límite",IF($AN221&lt;FechaRef,"Vencida hace "&amp;(FechaRef-$AN221)&amp;IF(FechaRef-$AN221=1," día"," días"),IF($AN221=FechaRef,"Vence hoy",IF($AN221-FechaRef&lt;=DiasAlerta,"Vence en "&amp;($AN221-FechaRef)&amp;IF($AN221-FechaRef=1," día"," días"),"En plazo")))))))</f>
        <v/>
      </c>
      <c r="P221" s="62" t="n"/>
      <c r="Q221" s="58" t="n"/>
      <c r="R221" s="63">
        <f>IF(NOT((COUNTA($B221:$D221)+COUNTA($G221:$L221)+COUNTA($Q221))&gt;0),"",IF((IF($C221="","Falta el nombre de la actividad"&amp;" · ","")&amp;IF(AND($V221="Sub",N($U221)=0),"Subactividad sin macroactividad arriba"&amp;" · ","")&amp;IF($AM221="","Sin fecha de inicio"&amp;" · ","")&amp;IF($AN221="","Sin fecha límite"&amp;" · ","")&amp;IF(AND(LEFT($C221,11)="[Jefatura] ",N($AL221)=0),"No se encuentra en la hoja de la jefatura (elíjala de nuevo en la lista)"&amp;" · ","")&amp;IF(OR(AND($E221&lt;&gt;"",NOT(ISNUMBER($E221))),AND($F221&lt;&gt;"",NOT(ISNUMBER($F221))),AND($G221&lt;&gt;"",NOT(ISNUMBER($G221)))),"Fecha no válida"&amp;" · ","")&amp;IF(AND(ISNUMBER($AM221),ISNUMBER($AN221),$AM221&gt;$AN221),"Inicio posterior a fecha límite"&amp;" · ","")&amp;IF(AND($V221="Macro",$H221&lt;&gt;"",OR(NOT(ISNUMBER($H221)),$H221&lt;0,$H221&gt;1)),"Peso fuera de rango"&amp;" · ","")&amp;IF(AND($V221="Sub",$H221&lt;&gt;""),"Las subactividades no llevan peso (valen igual dentro de su macroactividad)"&amp;" · ","")&amp;IF(AND(N($W221)&gt;0,COUNT($I221:$L221)&gt;0),"Con subactividades: deje vacías las semanas (se calculan solas)"&amp;" · ","")&amp;IF((COUNTIF($I221:$L221,"&gt;1")+COUNTIF($I221:$L221,"&lt;0")+COUNTA($I221:$L221)-COUNT($I221:$L221))&gt;0,"Avance fuera de rango 0-100%"&amp;" · ","")&amp;IF(OR(AND($J221&lt;&gt;"",$J221&lt;$I221),AND($K221&lt;&gt;"",$K221&lt;MAX($I221:$J221)),AND($L221&lt;&gt;"",$L221&lt;MAX($I221:$K221))),"Avance semanal decreciente"&amp;" · ","")&amp;IF(AND(ISNUMBER($AN221),$AN221&lt;FechaRef,IF($V221="Sub",N($X221),N($M221))&lt;1),"Vencida"&amp;" · ","")&amp;IF(AND(ObsObligatoria="Sí",ISNUMBER($AN221),$AN221&lt;FechaRef,IF($V221="Sub",N($X221),N($M221))&lt;1,$Q221=""),"Vencida sin observación"&amp;" · ",""))="","✔ OK","⚠ "&amp;LEFT(IF($C221="","Falta el nombre de la actividad"&amp;" · ","")&amp;IF(AND($V221="Sub",N($U221)=0),"Subactividad sin macroactividad arriba"&amp;" · ","")&amp;IF($AM221="","Sin fecha de inicio"&amp;" · ","")&amp;IF($AN221="","Sin fecha límite"&amp;" · ","")&amp;IF(AND(LEFT($C221,11)="[Jefatura] ",N($AL221)=0),"No se encuentra en la hoja de la jefatura (elíjala de nuevo en la lista)"&amp;" · ","")&amp;IF(OR(AND($E221&lt;&gt;"",NOT(ISNUMBER($E221))),AND($F221&lt;&gt;"",NOT(ISNUMBER($F221))),AND($G221&lt;&gt;"",NOT(ISNUMBER($G221)))),"Fecha no válida"&amp;" · ","")&amp;IF(AND(ISNUMBER($AM221),ISNUMBER($AN221),$AM221&gt;$AN221),"Inicio posterior a fecha límite"&amp;" · ","")&amp;IF(AND($V221="Macro",$H221&lt;&gt;"",OR(NOT(ISNUMBER($H221)),$H221&lt;0,$H221&gt;1)),"Peso fuera de rango"&amp;" · ","")&amp;IF(AND($V221="Sub",$H221&lt;&gt;""),"Las subactividades no llevan peso (valen igual dentro de su macroactividad)"&amp;" · ","")&amp;IF(AND(N($W221)&gt;0,COUNT($I221:$L221)&gt;0),"Con subactividades: deje vacías las semanas (se calculan solas)"&amp;" · ","")&amp;IF((COUNTIF($I221:$L221,"&gt;1")+COUNTIF($I221:$L221,"&lt;0")+COUNTA($I221:$L221)-COUNT($I221:$L221))&gt;0,"Avance fuera de rango 0-100%"&amp;" · ","")&amp;IF(OR(AND($J221&lt;&gt;"",$J221&lt;$I221),AND($K221&lt;&gt;"",$K221&lt;MAX($I221:$J221)),AND($L221&lt;&gt;"",$L221&lt;MAX($I221:$K221))),"Avance semanal decreciente"&amp;" · ","")&amp;IF(AND(ISNUMBER($AN221),$AN221&lt;FechaRef,IF($V221="Sub",N($X221),N($M221))&lt;1),"Vencida"&amp;" · ","")&amp;IF(AND(ObsObligatoria="Sí",ISNUMBER($AN221),$AN221&lt;FechaRef,IF($V221="Sub",N($X221),N($M221))&lt;1,$Q221=""),"Vencida sin observación"&amp;" · ",""),LEN(IF($C221="","Falta el nombre de la actividad"&amp;" · ","")&amp;IF(AND($V221="Sub",N($U221)=0),"Subactividad sin macroactividad arriba"&amp;" · ","")&amp;IF($AM221="","Sin fecha de inicio"&amp;" · ","")&amp;IF($AN221="","Sin fecha límite"&amp;" · ","")&amp;IF(AND(LEFT($C221,11)="[Jefatura] ",N($AL221)=0),"No se encuentra en la hoja de la jefatura (elíjala de nuevo en la lista)"&amp;" · ","")&amp;IF(OR(AND($E221&lt;&gt;"",NOT(ISNUMBER($E221))),AND($F221&lt;&gt;"",NOT(ISNUMBER($F221))),AND($G221&lt;&gt;"",NOT(ISNUMBER($G221)))),"Fecha no válida"&amp;" · ","")&amp;IF(AND(ISNUMBER($AM221),ISNUMBER($AN221),$AM221&gt;$AN221),"Inicio posterior a fecha límite"&amp;" · ","")&amp;IF(AND($V221="Macro",$H221&lt;&gt;"",OR(NOT(ISNUMBER($H221)),$H221&lt;0,$H221&gt;1)),"Peso fuera de rango"&amp;" · ","")&amp;IF(AND($V221="Sub",$H221&lt;&gt;""),"Las subactividades no llevan peso (valen igual dentro de su macroactividad)"&amp;" · ","")&amp;IF(AND(N($W221)&gt;0,COUNT($I221:$L221)&gt;0),"Con subactividades: deje vacías las semanas (se calculan solas)"&amp;" · ","")&amp;IF((COUNTIF($I221:$L221,"&gt;1")+COUNTIF($I221:$L221,"&lt;0")+COUNTA($I221:$L221)-COUNT($I221:$L221))&gt;0,"Avance fuera de rango 0-100%"&amp;" · ","")&amp;IF(OR(AND($J221&lt;&gt;"",$J221&lt;$I221),AND($K221&lt;&gt;"",$K221&lt;MAX($I221:$J221)),AND($L221&lt;&gt;"",$L221&lt;MAX($I221:$K221))),"Avance semanal decreciente"&amp;" · ","")&amp;IF(AND(ISNUMBER($AN221),$AN221&lt;FechaRef,IF($V221="Sub",N($X221),N($M221))&lt;1),"Vencida"&amp;" · ","")&amp;IF(AND(ObsObligatoria="Sí",ISNUMBER($AN221),$AN221&lt;FechaRef,IF($V221="Sub",N($X221),N($M221))&lt;1,$Q221=""),"Vencida sin observación"&amp;" · ",""))-3)))</f>
        <v/>
      </c>
      <c r="S221" s="64">
        <f>IF(NOT((COUNTA($B221:$D221)+COUNTA($G221:$L221)+COUNTA($Q221))&gt;0),"",IF(AND($V221="Sub",N($U221)&gt;0),IF(ISNUMBER(INDEX($AM$5:$AM$1000,$U221-4)),DATE(YEAR(INDEX($AM$5:$AM$1000,$U221-4)),MONTH(INDEX($AM$5:$AM$1000,$U221-4)),1),IF(ISNUMBER(INDEX($AN$5:$AN$1000,$U221-4)),DATE(YEAR(INDEX($AN$5:$AN$1000,$U221-4)),MONTH(INDEX($AN$5:$AN$1000,$U221-4)),1),MesCiclo)),IF(ISNUMBER($AM221),DATE(YEAR($AM221),MONTH($AM221),1),IF(ISNUMBER($AN221),DATE(YEAR($AN221),MONTH($AN221),1),MesCiclo))))</f>
        <v/>
      </c>
      <c r="T221" s="62">
        <f>IF(OR($S221="",$S221&lt;&gt;MesCiclo,$V221&lt;&gt;"Macro"),"",COUNTIFS($S$5:$S221,MesCiclo,$V$5:$V221,"Macro"))</f>
        <v/>
      </c>
      <c r="U221" s="62">
        <f>IF($V221="","",IF($V221="Macro",ROW(),IFERROR(LOOKUP(2,1/($V$5:$V221="Macro"),ROW($V$5:$V221)),0)))</f>
        <v/>
      </c>
      <c r="V221" s="62">
        <f>IF(NOT((COUNTA($B221:$D221)+COUNTA($G221:$L221)+COUNTA($Q221))&gt;0),"",IF($B221="Subactividad","Sub","Macro"))</f>
        <v/>
      </c>
      <c r="W221" s="62">
        <f>IF($V221="Macro",COUNTIFS($U$5:$U$1000,ROW(),$V$5:$V$1000,"Sub"),"")</f>
        <v/>
      </c>
      <c r="X221" s="62">
        <f>IF($V221="","",IF(ISNUMBER($G221),1,IFERROR(LOOKUP(2,1/($I221:$L221&lt;&gt;""),$I221:$L221),0)))</f>
        <v/>
      </c>
      <c r="Y221" s="62">
        <f>IF($V221="","",IF(AND(ISNUMBER($G221),$G221&lt;=IF($S221=MesCiclo,InicioCiclo,$S221+MOD(2-WEEKDAY($S221),7))+6),1,IF(ISNUMBER($I221),$I221,0)))</f>
        <v/>
      </c>
      <c r="Z221" s="62">
        <f>IF($V221="","",IF(AND(ISNUMBER($G221),$G221&lt;=IF($S221=MesCiclo,InicioCiclo,$S221+MOD(2-WEEKDAY($S221),7))+13),1,IF(ISNUMBER($J221),$J221,$Y221)))</f>
        <v/>
      </c>
      <c r="AA221" s="62">
        <f>IF($V221="","",IF(AND(ISNUMBER($G221),$G221&lt;=IF($S221=MesCiclo,InicioCiclo,$S221+MOD(2-WEEKDAY($S221),7))+20),1,IF(ISNUMBER($K221),$K221,$Z221)))</f>
        <v/>
      </c>
      <c r="AB221" s="62">
        <f>IF($V221="","",IF(AND(ISNUMBER($G221),$G221&lt;=IF($S221=MesCiclo,InicioCiclo,$S221+MOD(2-WEEKDAY($S221),7))+27),1,IF(ISNUMBER($L221),$L221,$AA221)))</f>
        <v/>
      </c>
      <c r="AC221" s="62">
        <f>IF($V221="","",IF(AND(ISNUMBER($G221),$G221&lt;=IF($S221=MesCiclo,InicioCiclo,$S221+MOD(2-WEEKDAY($S221),7))+6),1,IF(N($W221)&gt;0,AVERAGEIFS($Y$5:$Y$1000,$U$5:$U$1000,ROW(),$V$5:$V$1000,"Sub"),$Y221)))</f>
        <v/>
      </c>
      <c r="AD221" s="62">
        <f>IF($V221="","",IF(AND(ISNUMBER($G221),$G221&lt;=IF($S221=MesCiclo,InicioCiclo,$S221+MOD(2-WEEKDAY($S221),7))+13),1,IF(N($W221)&gt;0,AVERAGEIFS($Z$5:$Z$1000,$U$5:$U$1000,ROW(),$V$5:$V$1000,"Sub"),$Z221)))</f>
        <v/>
      </c>
      <c r="AE221" s="62">
        <f>IF($V221="","",IF(AND(ISNUMBER($G221),$G221&lt;=IF($S221=MesCiclo,InicioCiclo,$S221+MOD(2-WEEKDAY($S221),7))+20),1,IF(N($W221)&gt;0,AVERAGEIFS($AA$5:$AA$1000,$U$5:$U$1000,ROW(),$V$5:$V$1000,"Sub"),$AA221)))</f>
        <v/>
      </c>
      <c r="AF221" s="62">
        <f>IF($V221="","",IF(AND(ISNUMBER($G221),$G221&lt;=IF($S221=MesCiclo,InicioCiclo,$S221+MOD(2-WEEKDAY($S221),7))+27),1,IF(N($W221)&gt;0,AVERAGEIFS($AB$5:$AB$1000,$U$5:$U$1000,ROW(),$V$5:$V$1000,"Sub"),$AB221)))</f>
        <v/>
      </c>
      <c r="AG221" s="62">
        <f>IF($V221&lt;&gt;"Macro","",IF(COUNTIFS($S$5:$S$1000,$S221,$V$5:$V$1000,"Macro",$H$5:$H$1000,"&gt;0")=0,1/COUNTIFS($S$5:$S$1000,$S221,$V$5:$V$1000,"Macro"),IF(AND(ISNUMBER($H221),N($H221)&gt;0),$H221,SUMIFS($H$5:$H$1000,$S$5:$S$1000,$S221,$V$5:$V$1000,"Macro")/COUNTIFS($S$5:$S$1000,$S221,$V$5:$V$1000,"Macro",$H$5:$H$1000,"&gt;0"))/(COUNTIFS($S$5:$S$1000,$S221,$V$5:$V$1000,"Macro")*SUMIFS($H$5:$H$1000,$S$5:$S$1000,$S221,$V$5:$V$1000,"Macro")/COUNTIFS($S$5:$S$1000,$S221,$V$5:$V$1000,"Macro",$H$5:$H$1000,"&gt;0"))))</f>
        <v/>
      </c>
      <c r="AH221" s="62" t="n"/>
      <c r="AI221" s="62" t="n"/>
      <c r="AJ221" s="62" t="n"/>
      <c r="AK221" s="62" t="n"/>
      <c r="AL221" s="62">
        <f>IF(LEFT($C221,11)="[Jefatura] ",IFERROR(MATCH("Riesgo Normativo|"&amp;MID($C221,12,500),rDname_ADM,0),0),"")</f>
        <v/>
      </c>
      <c r="AM221" s="62">
        <f>IF(N($AL221)&gt;0,INDEX(rIni_ADM,$AL221),IF(ISNUMBER($E221),$E221,""))</f>
        <v/>
      </c>
      <c r="AN221" s="62">
        <f>IF(N($AL221)&gt;0,INDEX(rLim_ADM,$AL221),IF(ISNUMBER($F221),$F221,""))</f>
        <v/>
      </c>
    </row>
    <row r="222">
      <c r="A222" s="56">
        <f>IF(NOT((COUNTA($B222:$D222)+COUNTA($G222:$L222)+COUNTA($Q222))&gt;0),"",IF($V222="Macro",COUNTIFS($V$5:$V222,"Macro",$S$5:$S222,$S222),IF(N($U222)=0,"?",COUNTIFS(INDEX($V$5:$V$1000,1):INDEX($V$5:$V$1000,$U222-4),"Macro",INDEX($S$5:$S$1000,1):INDEX($S$5:$S$1000,$U222-4),INDEX($S$5:$S$1000,$U222-4))&amp;"."&amp;COUNTIFS($U$5:$U222,$U222,$V$5:$V222,"Sub"))))</f>
        <v/>
      </c>
      <c r="B222" s="57" t="n"/>
      <c r="C222" s="58" t="n"/>
      <c r="D222" s="58" t="n"/>
      <c r="E222" s="59">
        <f>IF(N($AL222)&gt;0,INDEX(rIni_ADM,$AL222),"")</f>
        <v/>
      </c>
      <c r="F222" s="59">
        <f>IF(N($AL222)&gt;0,INDEX(rLim_ADM,$AL222),"")</f>
        <v/>
      </c>
      <c r="G222" s="59" t="n"/>
      <c r="H222" s="60" t="n"/>
      <c r="I222" s="60" t="n"/>
      <c r="J222" s="60" t="n"/>
      <c r="K222" s="60" t="n"/>
      <c r="L222" s="60" t="n"/>
      <c r="M222" s="61">
        <f>IF(NOT((COUNTA($B222:$D222)+COUNTA($G222:$L222)+COUNTA($Q222))&gt;0),"",IF($V222="Sub",IFERROR($X222/INDEX($W$5:$W$1000,$U222-4),""),IF(ISNUMBER($G222),1,IF(N($W222)&gt;0,AVERAGEIFS($X$5:$X$1000,$U$5:$U$1000,ROW(),$V$5:$V$1000,"Sub"),$X222))))</f>
        <v/>
      </c>
      <c r="N222" s="56">
        <f>IF(OR($M222="",$V222="Sub"),"",IF($M222&gt;=1,"Completado",IF($M222&gt;0,"En curso","Pendiente")))</f>
        <v/>
      </c>
      <c r="O222" s="56">
        <f>IF(OR(NOT((COUNTA($B222:$D222)+COUNTA($G222:$L222)+COUNTA($Q222))&gt;0),$V222="Sub"),"",IF(ISNUMBER($G222),IF(AND(ISNUMBER($AN222),$G222&gt;$AN222),"Cumplida con "&amp;($G222-$AN222)&amp;IF($G222-$AN222=1," día"," días")&amp;" de retraso","Cumplida"),IF(N($M222)&gt;=1,"Cumplida",IF(NOT(ISNUMBER($AN222)),"Sin fecha límite",IF($AN222&lt;FechaRef,"Vencida hace "&amp;(FechaRef-$AN222)&amp;IF(FechaRef-$AN222=1," día"," días"),IF($AN222=FechaRef,"Vence hoy",IF($AN222-FechaRef&lt;=DiasAlerta,"Vence en "&amp;($AN222-FechaRef)&amp;IF($AN222-FechaRef=1," día"," días"),"En plazo")))))))</f>
        <v/>
      </c>
      <c r="P222" s="62" t="n"/>
      <c r="Q222" s="58" t="n"/>
      <c r="R222" s="63">
        <f>IF(NOT((COUNTA($B222:$D222)+COUNTA($G222:$L222)+COUNTA($Q222))&gt;0),"",IF((IF($C222="","Falta el nombre de la actividad"&amp;" · ","")&amp;IF(AND($V222="Sub",N($U222)=0),"Subactividad sin macroactividad arriba"&amp;" · ","")&amp;IF($AM222="","Sin fecha de inicio"&amp;" · ","")&amp;IF($AN222="","Sin fecha límite"&amp;" · ","")&amp;IF(AND(LEFT($C222,11)="[Jefatura] ",N($AL222)=0),"No se encuentra en la hoja de la jefatura (elíjala de nuevo en la lista)"&amp;" · ","")&amp;IF(OR(AND($E222&lt;&gt;"",NOT(ISNUMBER($E222))),AND($F222&lt;&gt;"",NOT(ISNUMBER($F222))),AND($G222&lt;&gt;"",NOT(ISNUMBER($G222)))),"Fecha no válida"&amp;" · ","")&amp;IF(AND(ISNUMBER($AM222),ISNUMBER($AN222),$AM222&gt;$AN222),"Inicio posterior a fecha límite"&amp;" · ","")&amp;IF(AND($V222="Macro",$H222&lt;&gt;"",OR(NOT(ISNUMBER($H222)),$H222&lt;0,$H222&gt;1)),"Peso fuera de rango"&amp;" · ","")&amp;IF(AND($V222="Sub",$H222&lt;&gt;""),"Las subactividades no llevan peso (valen igual dentro de su macroactividad)"&amp;" · ","")&amp;IF(AND(N($W222)&gt;0,COUNT($I222:$L222)&gt;0),"Con subactividades: deje vacías las semanas (se calculan solas)"&amp;" · ","")&amp;IF((COUNTIF($I222:$L222,"&gt;1")+COUNTIF($I222:$L222,"&lt;0")+COUNTA($I222:$L222)-COUNT($I222:$L222))&gt;0,"Avance fuera de rango 0-100%"&amp;" · ","")&amp;IF(OR(AND($J222&lt;&gt;"",$J222&lt;$I222),AND($K222&lt;&gt;"",$K222&lt;MAX($I222:$J222)),AND($L222&lt;&gt;"",$L222&lt;MAX($I222:$K222))),"Avance semanal decreciente"&amp;" · ","")&amp;IF(AND(ISNUMBER($AN222),$AN222&lt;FechaRef,IF($V222="Sub",N($X222),N($M222))&lt;1),"Vencida"&amp;" · ","")&amp;IF(AND(ObsObligatoria="Sí",ISNUMBER($AN222),$AN222&lt;FechaRef,IF($V222="Sub",N($X222),N($M222))&lt;1,$Q222=""),"Vencida sin observación"&amp;" · ",""))="","✔ OK","⚠ "&amp;LEFT(IF($C222="","Falta el nombre de la actividad"&amp;" · ","")&amp;IF(AND($V222="Sub",N($U222)=0),"Subactividad sin macroactividad arriba"&amp;" · ","")&amp;IF($AM222="","Sin fecha de inicio"&amp;" · ","")&amp;IF($AN222="","Sin fecha límite"&amp;" · ","")&amp;IF(AND(LEFT($C222,11)="[Jefatura] ",N($AL222)=0),"No se encuentra en la hoja de la jefatura (elíjala de nuevo en la lista)"&amp;" · ","")&amp;IF(OR(AND($E222&lt;&gt;"",NOT(ISNUMBER($E222))),AND($F222&lt;&gt;"",NOT(ISNUMBER($F222))),AND($G222&lt;&gt;"",NOT(ISNUMBER($G222)))),"Fecha no válida"&amp;" · ","")&amp;IF(AND(ISNUMBER($AM222),ISNUMBER($AN222),$AM222&gt;$AN222),"Inicio posterior a fecha límite"&amp;" · ","")&amp;IF(AND($V222="Macro",$H222&lt;&gt;"",OR(NOT(ISNUMBER($H222)),$H222&lt;0,$H222&gt;1)),"Peso fuera de rango"&amp;" · ","")&amp;IF(AND($V222="Sub",$H222&lt;&gt;""),"Las subactividades no llevan peso (valen igual dentro de su macroactividad)"&amp;" · ","")&amp;IF(AND(N($W222)&gt;0,COUNT($I222:$L222)&gt;0),"Con subactividades: deje vacías las semanas (se calculan solas)"&amp;" · ","")&amp;IF((COUNTIF($I222:$L222,"&gt;1")+COUNTIF($I222:$L222,"&lt;0")+COUNTA($I222:$L222)-COUNT($I222:$L222))&gt;0,"Avance fuera de rango 0-100%"&amp;" · ","")&amp;IF(OR(AND($J222&lt;&gt;"",$J222&lt;$I222),AND($K222&lt;&gt;"",$K222&lt;MAX($I222:$J222)),AND($L222&lt;&gt;"",$L222&lt;MAX($I222:$K222))),"Avance semanal decreciente"&amp;" · ","")&amp;IF(AND(ISNUMBER($AN222),$AN222&lt;FechaRef,IF($V222="Sub",N($X222),N($M222))&lt;1),"Vencida"&amp;" · ","")&amp;IF(AND(ObsObligatoria="Sí",ISNUMBER($AN222),$AN222&lt;FechaRef,IF($V222="Sub",N($X222),N($M222))&lt;1,$Q222=""),"Vencida sin observación"&amp;" · ",""),LEN(IF($C222="","Falta el nombre de la actividad"&amp;" · ","")&amp;IF(AND($V222="Sub",N($U222)=0),"Subactividad sin macroactividad arriba"&amp;" · ","")&amp;IF($AM222="","Sin fecha de inicio"&amp;" · ","")&amp;IF($AN222="","Sin fecha límite"&amp;" · ","")&amp;IF(AND(LEFT($C222,11)="[Jefatura] ",N($AL222)=0),"No se encuentra en la hoja de la jefatura (elíjala de nuevo en la lista)"&amp;" · ","")&amp;IF(OR(AND($E222&lt;&gt;"",NOT(ISNUMBER($E222))),AND($F222&lt;&gt;"",NOT(ISNUMBER($F222))),AND($G222&lt;&gt;"",NOT(ISNUMBER($G222)))),"Fecha no válida"&amp;" · ","")&amp;IF(AND(ISNUMBER($AM222),ISNUMBER($AN222),$AM222&gt;$AN222),"Inicio posterior a fecha límite"&amp;" · ","")&amp;IF(AND($V222="Macro",$H222&lt;&gt;"",OR(NOT(ISNUMBER($H222)),$H222&lt;0,$H222&gt;1)),"Peso fuera de rango"&amp;" · ","")&amp;IF(AND($V222="Sub",$H222&lt;&gt;""),"Las subactividades no llevan peso (valen igual dentro de su macroactividad)"&amp;" · ","")&amp;IF(AND(N($W222)&gt;0,COUNT($I222:$L222)&gt;0),"Con subactividades: deje vacías las semanas (se calculan solas)"&amp;" · ","")&amp;IF((COUNTIF($I222:$L222,"&gt;1")+COUNTIF($I222:$L222,"&lt;0")+COUNTA($I222:$L222)-COUNT($I222:$L222))&gt;0,"Avance fuera de rango 0-100%"&amp;" · ","")&amp;IF(OR(AND($J222&lt;&gt;"",$J222&lt;$I222),AND($K222&lt;&gt;"",$K222&lt;MAX($I222:$J222)),AND($L222&lt;&gt;"",$L222&lt;MAX($I222:$K222))),"Avance semanal decreciente"&amp;" · ","")&amp;IF(AND(ISNUMBER($AN222),$AN222&lt;FechaRef,IF($V222="Sub",N($X222),N($M222))&lt;1),"Vencida"&amp;" · ","")&amp;IF(AND(ObsObligatoria="Sí",ISNUMBER($AN222),$AN222&lt;FechaRef,IF($V222="Sub",N($X222),N($M222))&lt;1,$Q222=""),"Vencida sin observación"&amp;" · ",""))-3)))</f>
        <v/>
      </c>
      <c r="S222" s="64">
        <f>IF(NOT((COUNTA($B222:$D222)+COUNTA($G222:$L222)+COUNTA($Q222))&gt;0),"",IF(AND($V222="Sub",N($U222)&gt;0),IF(ISNUMBER(INDEX($AM$5:$AM$1000,$U222-4)),DATE(YEAR(INDEX($AM$5:$AM$1000,$U222-4)),MONTH(INDEX($AM$5:$AM$1000,$U222-4)),1),IF(ISNUMBER(INDEX($AN$5:$AN$1000,$U222-4)),DATE(YEAR(INDEX($AN$5:$AN$1000,$U222-4)),MONTH(INDEX($AN$5:$AN$1000,$U222-4)),1),MesCiclo)),IF(ISNUMBER($AM222),DATE(YEAR($AM222),MONTH($AM222),1),IF(ISNUMBER($AN222),DATE(YEAR($AN222),MONTH($AN222),1),MesCiclo))))</f>
        <v/>
      </c>
      <c r="T222" s="62">
        <f>IF(OR($S222="",$S222&lt;&gt;MesCiclo,$V222&lt;&gt;"Macro"),"",COUNTIFS($S$5:$S222,MesCiclo,$V$5:$V222,"Macro"))</f>
        <v/>
      </c>
      <c r="U222" s="62">
        <f>IF($V222="","",IF($V222="Macro",ROW(),IFERROR(LOOKUP(2,1/($V$5:$V222="Macro"),ROW($V$5:$V222)),0)))</f>
        <v/>
      </c>
      <c r="V222" s="62">
        <f>IF(NOT((COUNTA($B222:$D222)+COUNTA($G222:$L222)+COUNTA($Q222))&gt;0),"",IF($B222="Subactividad","Sub","Macro"))</f>
        <v/>
      </c>
      <c r="W222" s="62">
        <f>IF($V222="Macro",COUNTIFS($U$5:$U$1000,ROW(),$V$5:$V$1000,"Sub"),"")</f>
        <v/>
      </c>
      <c r="X222" s="62">
        <f>IF($V222="","",IF(ISNUMBER($G222),1,IFERROR(LOOKUP(2,1/($I222:$L222&lt;&gt;""),$I222:$L222),0)))</f>
        <v/>
      </c>
      <c r="Y222" s="62">
        <f>IF($V222="","",IF(AND(ISNUMBER($G222),$G222&lt;=IF($S222=MesCiclo,InicioCiclo,$S222+MOD(2-WEEKDAY($S222),7))+6),1,IF(ISNUMBER($I222),$I222,0)))</f>
        <v/>
      </c>
      <c r="Z222" s="62">
        <f>IF($V222="","",IF(AND(ISNUMBER($G222),$G222&lt;=IF($S222=MesCiclo,InicioCiclo,$S222+MOD(2-WEEKDAY($S222),7))+13),1,IF(ISNUMBER($J222),$J222,$Y222)))</f>
        <v/>
      </c>
      <c r="AA222" s="62">
        <f>IF($V222="","",IF(AND(ISNUMBER($G222),$G222&lt;=IF($S222=MesCiclo,InicioCiclo,$S222+MOD(2-WEEKDAY($S222),7))+20),1,IF(ISNUMBER($K222),$K222,$Z222)))</f>
        <v/>
      </c>
      <c r="AB222" s="62">
        <f>IF($V222="","",IF(AND(ISNUMBER($G222),$G222&lt;=IF($S222=MesCiclo,InicioCiclo,$S222+MOD(2-WEEKDAY($S222),7))+27),1,IF(ISNUMBER($L222),$L222,$AA222)))</f>
        <v/>
      </c>
      <c r="AC222" s="62">
        <f>IF($V222="","",IF(AND(ISNUMBER($G222),$G222&lt;=IF($S222=MesCiclo,InicioCiclo,$S222+MOD(2-WEEKDAY($S222),7))+6),1,IF(N($W222)&gt;0,AVERAGEIFS($Y$5:$Y$1000,$U$5:$U$1000,ROW(),$V$5:$V$1000,"Sub"),$Y222)))</f>
        <v/>
      </c>
      <c r="AD222" s="62">
        <f>IF($V222="","",IF(AND(ISNUMBER($G222),$G222&lt;=IF($S222=MesCiclo,InicioCiclo,$S222+MOD(2-WEEKDAY($S222),7))+13),1,IF(N($W222)&gt;0,AVERAGEIFS($Z$5:$Z$1000,$U$5:$U$1000,ROW(),$V$5:$V$1000,"Sub"),$Z222)))</f>
        <v/>
      </c>
      <c r="AE222" s="62">
        <f>IF($V222="","",IF(AND(ISNUMBER($G222),$G222&lt;=IF($S222=MesCiclo,InicioCiclo,$S222+MOD(2-WEEKDAY($S222),7))+20),1,IF(N($W222)&gt;0,AVERAGEIFS($AA$5:$AA$1000,$U$5:$U$1000,ROW(),$V$5:$V$1000,"Sub"),$AA222)))</f>
        <v/>
      </c>
      <c r="AF222" s="62">
        <f>IF($V222="","",IF(AND(ISNUMBER($G222),$G222&lt;=IF($S222=MesCiclo,InicioCiclo,$S222+MOD(2-WEEKDAY($S222),7))+27),1,IF(N($W222)&gt;0,AVERAGEIFS($AB$5:$AB$1000,$U$5:$U$1000,ROW(),$V$5:$V$1000,"Sub"),$AB222)))</f>
        <v/>
      </c>
      <c r="AG222" s="62">
        <f>IF($V222&lt;&gt;"Macro","",IF(COUNTIFS($S$5:$S$1000,$S222,$V$5:$V$1000,"Macro",$H$5:$H$1000,"&gt;0")=0,1/COUNTIFS($S$5:$S$1000,$S222,$V$5:$V$1000,"Macro"),IF(AND(ISNUMBER($H222),N($H222)&gt;0),$H222,SUMIFS($H$5:$H$1000,$S$5:$S$1000,$S222,$V$5:$V$1000,"Macro")/COUNTIFS($S$5:$S$1000,$S222,$V$5:$V$1000,"Macro",$H$5:$H$1000,"&gt;0"))/(COUNTIFS($S$5:$S$1000,$S222,$V$5:$V$1000,"Macro")*SUMIFS($H$5:$H$1000,$S$5:$S$1000,$S222,$V$5:$V$1000,"Macro")/COUNTIFS($S$5:$S$1000,$S222,$V$5:$V$1000,"Macro",$H$5:$H$1000,"&gt;0"))))</f>
        <v/>
      </c>
      <c r="AH222" s="62" t="n"/>
      <c r="AI222" s="62" t="n"/>
      <c r="AJ222" s="62" t="n"/>
      <c r="AK222" s="62" t="n"/>
      <c r="AL222" s="62">
        <f>IF(LEFT($C222,11)="[Jefatura] ",IFERROR(MATCH("Riesgo Normativo|"&amp;MID($C222,12,500),rDname_ADM,0),0),"")</f>
        <v/>
      </c>
      <c r="AM222" s="62">
        <f>IF(N($AL222)&gt;0,INDEX(rIni_ADM,$AL222),IF(ISNUMBER($E222),$E222,""))</f>
        <v/>
      </c>
      <c r="AN222" s="62">
        <f>IF(N($AL222)&gt;0,INDEX(rLim_ADM,$AL222),IF(ISNUMBER($F222),$F222,""))</f>
        <v/>
      </c>
    </row>
    <row r="223">
      <c r="A223" s="56">
        <f>IF(NOT((COUNTA($B223:$D223)+COUNTA($G223:$L223)+COUNTA($Q223))&gt;0),"",IF($V223="Macro",COUNTIFS($V$5:$V223,"Macro",$S$5:$S223,$S223),IF(N($U223)=0,"?",COUNTIFS(INDEX($V$5:$V$1000,1):INDEX($V$5:$V$1000,$U223-4),"Macro",INDEX($S$5:$S$1000,1):INDEX($S$5:$S$1000,$U223-4),INDEX($S$5:$S$1000,$U223-4))&amp;"."&amp;COUNTIFS($U$5:$U223,$U223,$V$5:$V223,"Sub"))))</f>
        <v/>
      </c>
      <c r="B223" s="57" t="n"/>
      <c r="C223" s="58" t="n"/>
      <c r="D223" s="58" t="n"/>
      <c r="E223" s="59">
        <f>IF(N($AL223)&gt;0,INDEX(rIni_ADM,$AL223),"")</f>
        <v/>
      </c>
      <c r="F223" s="59">
        <f>IF(N($AL223)&gt;0,INDEX(rLim_ADM,$AL223),"")</f>
        <v/>
      </c>
      <c r="G223" s="59" t="n"/>
      <c r="H223" s="60" t="n"/>
      <c r="I223" s="60" t="n"/>
      <c r="J223" s="60" t="n"/>
      <c r="K223" s="60" t="n"/>
      <c r="L223" s="60" t="n"/>
      <c r="M223" s="61">
        <f>IF(NOT((COUNTA($B223:$D223)+COUNTA($G223:$L223)+COUNTA($Q223))&gt;0),"",IF($V223="Sub",IFERROR($X223/INDEX($W$5:$W$1000,$U223-4),""),IF(ISNUMBER($G223),1,IF(N($W223)&gt;0,AVERAGEIFS($X$5:$X$1000,$U$5:$U$1000,ROW(),$V$5:$V$1000,"Sub"),$X223))))</f>
        <v/>
      </c>
      <c r="N223" s="56">
        <f>IF(OR($M223="",$V223="Sub"),"",IF($M223&gt;=1,"Completado",IF($M223&gt;0,"En curso","Pendiente")))</f>
        <v/>
      </c>
      <c r="O223" s="56">
        <f>IF(OR(NOT((COUNTA($B223:$D223)+COUNTA($G223:$L223)+COUNTA($Q223))&gt;0),$V223="Sub"),"",IF(ISNUMBER($G223),IF(AND(ISNUMBER($AN223),$G223&gt;$AN223),"Cumplida con "&amp;($G223-$AN223)&amp;IF($G223-$AN223=1," día"," días")&amp;" de retraso","Cumplida"),IF(N($M223)&gt;=1,"Cumplida",IF(NOT(ISNUMBER($AN223)),"Sin fecha límite",IF($AN223&lt;FechaRef,"Vencida hace "&amp;(FechaRef-$AN223)&amp;IF(FechaRef-$AN223=1," día"," días"),IF($AN223=FechaRef,"Vence hoy",IF($AN223-FechaRef&lt;=DiasAlerta,"Vence en "&amp;($AN223-FechaRef)&amp;IF($AN223-FechaRef=1," día"," días"),"En plazo")))))))</f>
        <v/>
      </c>
      <c r="P223" s="62" t="n"/>
      <c r="Q223" s="58" t="n"/>
      <c r="R223" s="63">
        <f>IF(NOT((COUNTA($B223:$D223)+COUNTA($G223:$L223)+COUNTA($Q223))&gt;0),"",IF((IF($C223="","Falta el nombre de la actividad"&amp;" · ","")&amp;IF(AND($V223="Sub",N($U223)=0),"Subactividad sin macroactividad arriba"&amp;" · ","")&amp;IF($AM223="","Sin fecha de inicio"&amp;" · ","")&amp;IF($AN223="","Sin fecha límite"&amp;" · ","")&amp;IF(AND(LEFT($C223,11)="[Jefatura] ",N($AL223)=0),"No se encuentra en la hoja de la jefatura (elíjala de nuevo en la lista)"&amp;" · ","")&amp;IF(OR(AND($E223&lt;&gt;"",NOT(ISNUMBER($E223))),AND($F223&lt;&gt;"",NOT(ISNUMBER($F223))),AND($G223&lt;&gt;"",NOT(ISNUMBER($G223)))),"Fecha no válida"&amp;" · ","")&amp;IF(AND(ISNUMBER($AM223),ISNUMBER($AN223),$AM223&gt;$AN223),"Inicio posterior a fecha límite"&amp;" · ","")&amp;IF(AND($V223="Macro",$H223&lt;&gt;"",OR(NOT(ISNUMBER($H223)),$H223&lt;0,$H223&gt;1)),"Peso fuera de rango"&amp;" · ","")&amp;IF(AND($V223="Sub",$H223&lt;&gt;""),"Las subactividades no llevan peso (valen igual dentro de su macroactividad)"&amp;" · ","")&amp;IF(AND(N($W223)&gt;0,COUNT($I223:$L223)&gt;0),"Con subactividades: deje vacías las semanas (se calculan solas)"&amp;" · ","")&amp;IF((COUNTIF($I223:$L223,"&gt;1")+COUNTIF($I223:$L223,"&lt;0")+COUNTA($I223:$L223)-COUNT($I223:$L223))&gt;0,"Avance fuera de rango 0-100%"&amp;" · ","")&amp;IF(OR(AND($J223&lt;&gt;"",$J223&lt;$I223),AND($K223&lt;&gt;"",$K223&lt;MAX($I223:$J223)),AND($L223&lt;&gt;"",$L223&lt;MAX($I223:$K223))),"Avance semanal decreciente"&amp;" · ","")&amp;IF(AND(ISNUMBER($AN223),$AN223&lt;FechaRef,IF($V223="Sub",N($X223),N($M223))&lt;1),"Vencida"&amp;" · ","")&amp;IF(AND(ObsObligatoria="Sí",ISNUMBER($AN223),$AN223&lt;FechaRef,IF($V223="Sub",N($X223),N($M223))&lt;1,$Q223=""),"Vencida sin observación"&amp;" · ",""))="","✔ OK","⚠ "&amp;LEFT(IF($C223="","Falta el nombre de la actividad"&amp;" · ","")&amp;IF(AND($V223="Sub",N($U223)=0),"Subactividad sin macroactividad arriba"&amp;" · ","")&amp;IF($AM223="","Sin fecha de inicio"&amp;" · ","")&amp;IF($AN223="","Sin fecha límite"&amp;" · ","")&amp;IF(AND(LEFT($C223,11)="[Jefatura] ",N($AL223)=0),"No se encuentra en la hoja de la jefatura (elíjala de nuevo en la lista)"&amp;" · ","")&amp;IF(OR(AND($E223&lt;&gt;"",NOT(ISNUMBER($E223))),AND($F223&lt;&gt;"",NOT(ISNUMBER($F223))),AND($G223&lt;&gt;"",NOT(ISNUMBER($G223)))),"Fecha no válida"&amp;" · ","")&amp;IF(AND(ISNUMBER($AM223),ISNUMBER($AN223),$AM223&gt;$AN223),"Inicio posterior a fecha límite"&amp;" · ","")&amp;IF(AND($V223="Macro",$H223&lt;&gt;"",OR(NOT(ISNUMBER($H223)),$H223&lt;0,$H223&gt;1)),"Peso fuera de rango"&amp;" · ","")&amp;IF(AND($V223="Sub",$H223&lt;&gt;""),"Las subactividades no llevan peso (valen igual dentro de su macroactividad)"&amp;" · ","")&amp;IF(AND(N($W223)&gt;0,COUNT($I223:$L223)&gt;0),"Con subactividades: deje vacías las semanas (se calculan solas)"&amp;" · ","")&amp;IF((COUNTIF($I223:$L223,"&gt;1")+COUNTIF($I223:$L223,"&lt;0")+COUNTA($I223:$L223)-COUNT($I223:$L223))&gt;0,"Avance fuera de rango 0-100%"&amp;" · ","")&amp;IF(OR(AND($J223&lt;&gt;"",$J223&lt;$I223),AND($K223&lt;&gt;"",$K223&lt;MAX($I223:$J223)),AND($L223&lt;&gt;"",$L223&lt;MAX($I223:$K223))),"Avance semanal decreciente"&amp;" · ","")&amp;IF(AND(ISNUMBER($AN223),$AN223&lt;FechaRef,IF($V223="Sub",N($X223),N($M223))&lt;1),"Vencida"&amp;" · ","")&amp;IF(AND(ObsObligatoria="Sí",ISNUMBER($AN223),$AN223&lt;FechaRef,IF($V223="Sub",N($X223),N($M223))&lt;1,$Q223=""),"Vencida sin observación"&amp;" · ",""),LEN(IF($C223="","Falta el nombre de la actividad"&amp;" · ","")&amp;IF(AND($V223="Sub",N($U223)=0),"Subactividad sin macroactividad arriba"&amp;" · ","")&amp;IF($AM223="","Sin fecha de inicio"&amp;" · ","")&amp;IF($AN223="","Sin fecha límite"&amp;" · ","")&amp;IF(AND(LEFT($C223,11)="[Jefatura] ",N($AL223)=0),"No se encuentra en la hoja de la jefatura (elíjala de nuevo en la lista)"&amp;" · ","")&amp;IF(OR(AND($E223&lt;&gt;"",NOT(ISNUMBER($E223))),AND($F223&lt;&gt;"",NOT(ISNUMBER($F223))),AND($G223&lt;&gt;"",NOT(ISNUMBER($G223)))),"Fecha no válida"&amp;" · ","")&amp;IF(AND(ISNUMBER($AM223),ISNUMBER($AN223),$AM223&gt;$AN223),"Inicio posterior a fecha límite"&amp;" · ","")&amp;IF(AND($V223="Macro",$H223&lt;&gt;"",OR(NOT(ISNUMBER($H223)),$H223&lt;0,$H223&gt;1)),"Peso fuera de rango"&amp;" · ","")&amp;IF(AND($V223="Sub",$H223&lt;&gt;""),"Las subactividades no llevan peso (valen igual dentro de su macroactividad)"&amp;" · ","")&amp;IF(AND(N($W223)&gt;0,COUNT($I223:$L223)&gt;0),"Con subactividades: deje vacías las semanas (se calculan solas)"&amp;" · ","")&amp;IF((COUNTIF($I223:$L223,"&gt;1")+COUNTIF($I223:$L223,"&lt;0")+COUNTA($I223:$L223)-COUNT($I223:$L223))&gt;0,"Avance fuera de rango 0-100%"&amp;" · ","")&amp;IF(OR(AND($J223&lt;&gt;"",$J223&lt;$I223),AND($K223&lt;&gt;"",$K223&lt;MAX($I223:$J223)),AND($L223&lt;&gt;"",$L223&lt;MAX($I223:$K223))),"Avance semanal decreciente"&amp;" · ","")&amp;IF(AND(ISNUMBER($AN223),$AN223&lt;FechaRef,IF($V223="Sub",N($X223),N($M223))&lt;1),"Vencida"&amp;" · ","")&amp;IF(AND(ObsObligatoria="Sí",ISNUMBER($AN223),$AN223&lt;FechaRef,IF($V223="Sub",N($X223),N($M223))&lt;1,$Q223=""),"Vencida sin observación"&amp;" · ",""))-3)))</f>
        <v/>
      </c>
      <c r="S223" s="64">
        <f>IF(NOT((COUNTA($B223:$D223)+COUNTA($G223:$L223)+COUNTA($Q223))&gt;0),"",IF(AND($V223="Sub",N($U223)&gt;0),IF(ISNUMBER(INDEX($AM$5:$AM$1000,$U223-4)),DATE(YEAR(INDEX($AM$5:$AM$1000,$U223-4)),MONTH(INDEX($AM$5:$AM$1000,$U223-4)),1),IF(ISNUMBER(INDEX($AN$5:$AN$1000,$U223-4)),DATE(YEAR(INDEX($AN$5:$AN$1000,$U223-4)),MONTH(INDEX($AN$5:$AN$1000,$U223-4)),1),MesCiclo)),IF(ISNUMBER($AM223),DATE(YEAR($AM223),MONTH($AM223),1),IF(ISNUMBER($AN223),DATE(YEAR($AN223),MONTH($AN223),1),MesCiclo))))</f>
        <v/>
      </c>
      <c r="T223" s="62">
        <f>IF(OR($S223="",$S223&lt;&gt;MesCiclo,$V223&lt;&gt;"Macro"),"",COUNTIFS($S$5:$S223,MesCiclo,$V$5:$V223,"Macro"))</f>
        <v/>
      </c>
      <c r="U223" s="62">
        <f>IF($V223="","",IF($V223="Macro",ROW(),IFERROR(LOOKUP(2,1/($V$5:$V223="Macro"),ROW($V$5:$V223)),0)))</f>
        <v/>
      </c>
      <c r="V223" s="62">
        <f>IF(NOT((COUNTA($B223:$D223)+COUNTA($G223:$L223)+COUNTA($Q223))&gt;0),"",IF($B223="Subactividad","Sub","Macro"))</f>
        <v/>
      </c>
      <c r="W223" s="62">
        <f>IF($V223="Macro",COUNTIFS($U$5:$U$1000,ROW(),$V$5:$V$1000,"Sub"),"")</f>
        <v/>
      </c>
      <c r="X223" s="62">
        <f>IF($V223="","",IF(ISNUMBER($G223),1,IFERROR(LOOKUP(2,1/($I223:$L223&lt;&gt;""),$I223:$L223),0)))</f>
        <v/>
      </c>
      <c r="Y223" s="62">
        <f>IF($V223="","",IF(AND(ISNUMBER($G223),$G223&lt;=IF($S223=MesCiclo,InicioCiclo,$S223+MOD(2-WEEKDAY($S223),7))+6),1,IF(ISNUMBER($I223),$I223,0)))</f>
        <v/>
      </c>
      <c r="Z223" s="62">
        <f>IF($V223="","",IF(AND(ISNUMBER($G223),$G223&lt;=IF($S223=MesCiclo,InicioCiclo,$S223+MOD(2-WEEKDAY($S223),7))+13),1,IF(ISNUMBER($J223),$J223,$Y223)))</f>
        <v/>
      </c>
      <c r="AA223" s="62">
        <f>IF($V223="","",IF(AND(ISNUMBER($G223),$G223&lt;=IF($S223=MesCiclo,InicioCiclo,$S223+MOD(2-WEEKDAY($S223),7))+20),1,IF(ISNUMBER($K223),$K223,$Z223)))</f>
        <v/>
      </c>
      <c r="AB223" s="62">
        <f>IF($V223="","",IF(AND(ISNUMBER($G223),$G223&lt;=IF($S223=MesCiclo,InicioCiclo,$S223+MOD(2-WEEKDAY($S223),7))+27),1,IF(ISNUMBER($L223),$L223,$AA223)))</f>
        <v/>
      </c>
      <c r="AC223" s="62">
        <f>IF($V223="","",IF(AND(ISNUMBER($G223),$G223&lt;=IF($S223=MesCiclo,InicioCiclo,$S223+MOD(2-WEEKDAY($S223),7))+6),1,IF(N($W223)&gt;0,AVERAGEIFS($Y$5:$Y$1000,$U$5:$U$1000,ROW(),$V$5:$V$1000,"Sub"),$Y223)))</f>
        <v/>
      </c>
      <c r="AD223" s="62">
        <f>IF($V223="","",IF(AND(ISNUMBER($G223),$G223&lt;=IF($S223=MesCiclo,InicioCiclo,$S223+MOD(2-WEEKDAY($S223),7))+13),1,IF(N($W223)&gt;0,AVERAGEIFS($Z$5:$Z$1000,$U$5:$U$1000,ROW(),$V$5:$V$1000,"Sub"),$Z223)))</f>
        <v/>
      </c>
      <c r="AE223" s="62">
        <f>IF($V223="","",IF(AND(ISNUMBER($G223),$G223&lt;=IF($S223=MesCiclo,InicioCiclo,$S223+MOD(2-WEEKDAY($S223),7))+20),1,IF(N($W223)&gt;0,AVERAGEIFS($AA$5:$AA$1000,$U$5:$U$1000,ROW(),$V$5:$V$1000,"Sub"),$AA223)))</f>
        <v/>
      </c>
      <c r="AF223" s="62">
        <f>IF($V223="","",IF(AND(ISNUMBER($G223),$G223&lt;=IF($S223=MesCiclo,InicioCiclo,$S223+MOD(2-WEEKDAY($S223),7))+27),1,IF(N($W223)&gt;0,AVERAGEIFS($AB$5:$AB$1000,$U$5:$U$1000,ROW(),$V$5:$V$1000,"Sub"),$AB223)))</f>
        <v/>
      </c>
      <c r="AG223" s="62">
        <f>IF($V223&lt;&gt;"Macro","",IF(COUNTIFS($S$5:$S$1000,$S223,$V$5:$V$1000,"Macro",$H$5:$H$1000,"&gt;0")=0,1/COUNTIFS($S$5:$S$1000,$S223,$V$5:$V$1000,"Macro"),IF(AND(ISNUMBER($H223),N($H223)&gt;0),$H223,SUMIFS($H$5:$H$1000,$S$5:$S$1000,$S223,$V$5:$V$1000,"Macro")/COUNTIFS($S$5:$S$1000,$S223,$V$5:$V$1000,"Macro",$H$5:$H$1000,"&gt;0"))/(COUNTIFS($S$5:$S$1000,$S223,$V$5:$V$1000,"Macro")*SUMIFS($H$5:$H$1000,$S$5:$S$1000,$S223,$V$5:$V$1000,"Macro")/COUNTIFS($S$5:$S$1000,$S223,$V$5:$V$1000,"Macro",$H$5:$H$1000,"&gt;0"))))</f>
        <v/>
      </c>
      <c r="AH223" s="62" t="n"/>
      <c r="AI223" s="62" t="n"/>
      <c r="AJ223" s="62" t="n"/>
      <c r="AK223" s="62" t="n"/>
      <c r="AL223" s="62">
        <f>IF(LEFT($C223,11)="[Jefatura] ",IFERROR(MATCH("Riesgo Normativo|"&amp;MID($C223,12,500),rDname_ADM,0),0),"")</f>
        <v/>
      </c>
      <c r="AM223" s="62">
        <f>IF(N($AL223)&gt;0,INDEX(rIni_ADM,$AL223),IF(ISNUMBER($E223),$E223,""))</f>
        <v/>
      </c>
      <c r="AN223" s="62">
        <f>IF(N($AL223)&gt;0,INDEX(rLim_ADM,$AL223),IF(ISNUMBER($F223),$F223,""))</f>
        <v/>
      </c>
    </row>
    <row r="224">
      <c r="A224" s="56">
        <f>IF(NOT((COUNTA($B224:$D224)+COUNTA($G224:$L224)+COUNTA($Q224))&gt;0),"",IF($V224="Macro",COUNTIFS($V$5:$V224,"Macro",$S$5:$S224,$S224),IF(N($U224)=0,"?",COUNTIFS(INDEX($V$5:$V$1000,1):INDEX($V$5:$V$1000,$U224-4),"Macro",INDEX($S$5:$S$1000,1):INDEX($S$5:$S$1000,$U224-4),INDEX($S$5:$S$1000,$U224-4))&amp;"."&amp;COUNTIFS($U$5:$U224,$U224,$V$5:$V224,"Sub"))))</f>
        <v/>
      </c>
      <c r="B224" s="57" t="n"/>
      <c r="C224" s="58" t="n"/>
      <c r="D224" s="58" t="n"/>
      <c r="E224" s="59">
        <f>IF(N($AL224)&gt;0,INDEX(rIni_ADM,$AL224),"")</f>
        <v/>
      </c>
      <c r="F224" s="59">
        <f>IF(N($AL224)&gt;0,INDEX(rLim_ADM,$AL224),"")</f>
        <v/>
      </c>
      <c r="G224" s="59" t="n"/>
      <c r="H224" s="60" t="n"/>
      <c r="I224" s="60" t="n"/>
      <c r="J224" s="60" t="n"/>
      <c r="K224" s="60" t="n"/>
      <c r="L224" s="60" t="n"/>
      <c r="M224" s="61">
        <f>IF(NOT((COUNTA($B224:$D224)+COUNTA($G224:$L224)+COUNTA($Q224))&gt;0),"",IF($V224="Sub",IFERROR($X224/INDEX($W$5:$W$1000,$U224-4),""),IF(ISNUMBER($G224),1,IF(N($W224)&gt;0,AVERAGEIFS($X$5:$X$1000,$U$5:$U$1000,ROW(),$V$5:$V$1000,"Sub"),$X224))))</f>
        <v/>
      </c>
      <c r="N224" s="56">
        <f>IF(OR($M224="",$V224="Sub"),"",IF($M224&gt;=1,"Completado",IF($M224&gt;0,"En curso","Pendiente")))</f>
        <v/>
      </c>
      <c r="O224" s="56">
        <f>IF(OR(NOT((COUNTA($B224:$D224)+COUNTA($G224:$L224)+COUNTA($Q224))&gt;0),$V224="Sub"),"",IF(ISNUMBER($G224),IF(AND(ISNUMBER($AN224),$G224&gt;$AN224),"Cumplida con "&amp;($G224-$AN224)&amp;IF($G224-$AN224=1," día"," días")&amp;" de retraso","Cumplida"),IF(N($M224)&gt;=1,"Cumplida",IF(NOT(ISNUMBER($AN224)),"Sin fecha límite",IF($AN224&lt;FechaRef,"Vencida hace "&amp;(FechaRef-$AN224)&amp;IF(FechaRef-$AN224=1," día"," días"),IF($AN224=FechaRef,"Vence hoy",IF($AN224-FechaRef&lt;=DiasAlerta,"Vence en "&amp;($AN224-FechaRef)&amp;IF($AN224-FechaRef=1," día"," días"),"En plazo")))))))</f>
        <v/>
      </c>
      <c r="P224" s="62" t="n"/>
      <c r="Q224" s="58" t="n"/>
      <c r="R224" s="63">
        <f>IF(NOT((COUNTA($B224:$D224)+COUNTA($G224:$L224)+COUNTA($Q224))&gt;0),"",IF((IF($C224="","Falta el nombre de la actividad"&amp;" · ","")&amp;IF(AND($V224="Sub",N($U224)=0),"Subactividad sin macroactividad arriba"&amp;" · ","")&amp;IF($AM224="","Sin fecha de inicio"&amp;" · ","")&amp;IF($AN224="","Sin fecha límite"&amp;" · ","")&amp;IF(AND(LEFT($C224,11)="[Jefatura] ",N($AL224)=0),"No se encuentra en la hoja de la jefatura (elíjala de nuevo en la lista)"&amp;" · ","")&amp;IF(OR(AND($E224&lt;&gt;"",NOT(ISNUMBER($E224))),AND($F224&lt;&gt;"",NOT(ISNUMBER($F224))),AND($G224&lt;&gt;"",NOT(ISNUMBER($G224)))),"Fecha no válida"&amp;" · ","")&amp;IF(AND(ISNUMBER($AM224),ISNUMBER($AN224),$AM224&gt;$AN224),"Inicio posterior a fecha límite"&amp;" · ","")&amp;IF(AND($V224="Macro",$H224&lt;&gt;"",OR(NOT(ISNUMBER($H224)),$H224&lt;0,$H224&gt;1)),"Peso fuera de rango"&amp;" · ","")&amp;IF(AND($V224="Sub",$H224&lt;&gt;""),"Las subactividades no llevan peso (valen igual dentro de su macroactividad)"&amp;" · ","")&amp;IF(AND(N($W224)&gt;0,COUNT($I224:$L224)&gt;0),"Con subactividades: deje vacías las semanas (se calculan solas)"&amp;" · ","")&amp;IF((COUNTIF($I224:$L224,"&gt;1")+COUNTIF($I224:$L224,"&lt;0")+COUNTA($I224:$L224)-COUNT($I224:$L224))&gt;0,"Avance fuera de rango 0-100%"&amp;" · ","")&amp;IF(OR(AND($J224&lt;&gt;"",$J224&lt;$I224),AND($K224&lt;&gt;"",$K224&lt;MAX($I224:$J224)),AND($L224&lt;&gt;"",$L224&lt;MAX($I224:$K224))),"Avance semanal decreciente"&amp;" · ","")&amp;IF(AND(ISNUMBER($AN224),$AN224&lt;FechaRef,IF($V224="Sub",N($X224),N($M224))&lt;1),"Vencida"&amp;" · ","")&amp;IF(AND(ObsObligatoria="Sí",ISNUMBER($AN224),$AN224&lt;FechaRef,IF($V224="Sub",N($X224),N($M224))&lt;1,$Q224=""),"Vencida sin observación"&amp;" · ",""))="","✔ OK","⚠ "&amp;LEFT(IF($C224="","Falta el nombre de la actividad"&amp;" · ","")&amp;IF(AND($V224="Sub",N($U224)=0),"Subactividad sin macroactividad arriba"&amp;" · ","")&amp;IF($AM224="","Sin fecha de inicio"&amp;" · ","")&amp;IF($AN224="","Sin fecha límite"&amp;" · ","")&amp;IF(AND(LEFT($C224,11)="[Jefatura] ",N($AL224)=0),"No se encuentra en la hoja de la jefatura (elíjala de nuevo en la lista)"&amp;" · ","")&amp;IF(OR(AND($E224&lt;&gt;"",NOT(ISNUMBER($E224))),AND($F224&lt;&gt;"",NOT(ISNUMBER($F224))),AND($G224&lt;&gt;"",NOT(ISNUMBER($G224)))),"Fecha no válida"&amp;" · ","")&amp;IF(AND(ISNUMBER($AM224),ISNUMBER($AN224),$AM224&gt;$AN224),"Inicio posterior a fecha límite"&amp;" · ","")&amp;IF(AND($V224="Macro",$H224&lt;&gt;"",OR(NOT(ISNUMBER($H224)),$H224&lt;0,$H224&gt;1)),"Peso fuera de rango"&amp;" · ","")&amp;IF(AND($V224="Sub",$H224&lt;&gt;""),"Las subactividades no llevan peso (valen igual dentro de su macroactividad)"&amp;" · ","")&amp;IF(AND(N($W224)&gt;0,COUNT($I224:$L224)&gt;0),"Con subactividades: deje vacías las semanas (se calculan solas)"&amp;" · ","")&amp;IF((COUNTIF($I224:$L224,"&gt;1")+COUNTIF($I224:$L224,"&lt;0")+COUNTA($I224:$L224)-COUNT($I224:$L224))&gt;0,"Avance fuera de rango 0-100%"&amp;" · ","")&amp;IF(OR(AND($J224&lt;&gt;"",$J224&lt;$I224),AND($K224&lt;&gt;"",$K224&lt;MAX($I224:$J224)),AND($L224&lt;&gt;"",$L224&lt;MAX($I224:$K224))),"Avance semanal decreciente"&amp;" · ","")&amp;IF(AND(ISNUMBER($AN224),$AN224&lt;FechaRef,IF($V224="Sub",N($X224),N($M224))&lt;1),"Vencida"&amp;" · ","")&amp;IF(AND(ObsObligatoria="Sí",ISNUMBER($AN224),$AN224&lt;FechaRef,IF($V224="Sub",N($X224),N($M224))&lt;1,$Q224=""),"Vencida sin observación"&amp;" · ",""),LEN(IF($C224="","Falta el nombre de la actividad"&amp;" · ","")&amp;IF(AND($V224="Sub",N($U224)=0),"Subactividad sin macroactividad arriba"&amp;" · ","")&amp;IF($AM224="","Sin fecha de inicio"&amp;" · ","")&amp;IF($AN224="","Sin fecha límite"&amp;" · ","")&amp;IF(AND(LEFT($C224,11)="[Jefatura] ",N($AL224)=0),"No se encuentra en la hoja de la jefatura (elíjala de nuevo en la lista)"&amp;" · ","")&amp;IF(OR(AND($E224&lt;&gt;"",NOT(ISNUMBER($E224))),AND($F224&lt;&gt;"",NOT(ISNUMBER($F224))),AND($G224&lt;&gt;"",NOT(ISNUMBER($G224)))),"Fecha no válida"&amp;" · ","")&amp;IF(AND(ISNUMBER($AM224),ISNUMBER($AN224),$AM224&gt;$AN224),"Inicio posterior a fecha límite"&amp;" · ","")&amp;IF(AND($V224="Macro",$H224&lt;&gt;"",OR(NOT(ISNUMBER($H224)),$H224&lt;0,$H224&gt;1)),"Peso fuera de rango"&amp;" · ","")&amp;IF(AND($V224="Sub",$H224&lt;&gt;""),"Las subactividades no llevan peso (valen igual dentro de su macroactividad)"&amp;" · ","")&amp;IF(AND(N($W224)&gt;0,COUNT($I224:$L224)&gt;0),"Con subactividades: deje vacías las semanas (se calculan solas)"&amp;" · ","")&amp;IF((COUNTIF($I224:$L224,"&gt;1")+COUNTIF($I224:$L224,"&lt;0")+COUNTA($I224:$L224)-COUNT($I224:$L224))&gt;0,"Avance fuera de rango 0-100%"&amp;" · ","")&amp;IF(OR(AND($J224&lt;&gt;"",$J224&lt;$I224),AND($K224&lt;&gt;"",$K224&lt;MAX($I224:$J224)),AND($L224&lt;&gt;"",$L224&lt;MAX($I224:$K224))),"Avance semanal decreciente"&amp;" · ","")&amp;IF(AND(ISNUMBER($AN224),$AN224&lt;FechaRef,IF($V224="Sub",N($X224),N($M224))&lt;1),"Vencida"&amp;" · ","")&amp;IF(AND(ObsObligatoria="Sí",ISNUMBER($AN224),$AN224&lt;FechaRef,IF($V224="Sub",N($X224),N($M224))&lt;1,$Q224=""),"Vencida sin observación"&amp;" · ",""))-3)))</f>
        <v/>
      </c>
      <c r="S224" s="64">
        <f>IF(NOT((COUNTA($B224:$D224)+COUNTA($G224:$L224)+COUNTA($Q224))&gt;0),"",IF(AND($V224="Sub",N($U224)&gt;0),IF(ISNUMBER(INDEX($AM$5:$AM$1000,$U224-4)),DATE(YEAR(INDEX($AM$5:$AM$1000,$U224-4)),MONTH(INDEX($AM$5:$AM$1000,$U224-4)),1),IF(ISNUMBER(INDEX($AN$5:$AN$1000,$U224-4)),DATE(YEAR(INDEX($AN$5:$AN$1000,$U224-4)),MONTH(INDEX($AN$5:$AN$1000,$U224-4)),1),MesCiclo)),IF(ISNUMBER($AM224),DATE(YEAR($AM224),MONTH($AM224),1),IF(ISNUMBER($AN224),DATE(YEAR($AN224),MONTH($AN224),1),MesCiclo))))</f>
        <v/>
      </c>
      <c r="T224" s="62">
        <f>IF(OR($S224="",$S224&lt;&gt;MesCiclo,$V224&lt;&gt;"Macro"),"",COUNTIFS($S$5:$S224,MesCiclo,$V$5:$V224,"Macro"))</f>
        <v/>
      </c>
      <c r="U224" s="62">
        <f>IF($V224="","",IF($V224="Macro",ROW(),IFERROR(LOOKUP(2,1/($V$5:$V224="Macro"),ROW($V$5:$V224)),0)))</f>
        <v/>
      </c>
      <c r="V224" s="62">
        <f>IF(NOT((COUNTA($B224:$D224)+COUNTA($G224:$L224)+COUNTA($Q224))&gt;0),"",IF($B224="Subactividad","Sub","Macro"))</f>
        <v/>
      </c>
      <c r="W224" s="62">
        <f>IF($V224="Macro",COUNTIFS($U$5:$U$1000,ROW(),$V$5:$V$1000,"Sub"),"")</f>
        <v/>
      </c>
      <c r="X224" s="62">
        <f>IF($V224="","",IF(ISNUMBER($G224),1,IFERROR(LOOKUP(2,1/($I224:$L224&lt;&gt;""),$I224:$L224),0)))</f>
        <v/>
      </c>
      <c r="Y224" s="62">
        <f>IF($V224="","",IF(AND(ISNUMBER($G224),$G224&lt;=IF($S224=MesCiclo,InicioCiclo,$S224+MOD(2-WEEKDAY($S224),7))+6),1,IF(ISNUMBER($I224),$I224,0)))</f>
        <v/>
      </c>
      <c r="Z224" s="62">
        <f>IF($V224="","",IF(AND(ISNUMBER($G224),$G224&lt;=IF($S224=MesCiclo,InicioCiclo,$S224+MOD(2-WEEKDAY($S224),7))+13),1,IF(ISNUMBER($J224),$J224,$Y224)))</f>
        <v/>
      </c>
      <c r="AA224" s="62">
        <f>IF($V224="","",IF(AND(ISNUMBER($G224),$G224&lt;=IF($S224=MesCiclo,InicioCiclo,$S224+MOD(2-WEEKDAY($S224),7))+20),1,IF(ISNUMBER($K224),$K224,$Z224)))</f>
        <v/>
      </c>
      <c r="AB224" s="62">
        <f>IF($V224="","",IF(AND(ISNUMBER($G224),$G224&lt;=IF($S224=MesCiclo,InicioCiclo,$S224+MOD(2-WEEKDAY($S224),7))+27),1,IF(ISNUMBER($L224),$L224,$AA224)))</f>
        <v/>
      </c>
      <c r="AC224" s="62">
        <f>IF($V224="","",IF(AND(ISNUMBER($G224),$G224&lt;=IF($S224=MesCiclo,InicioCiclo,$S224+MOD(2-WEEKDAY($S224),7))+6),1,IF(N($W224)&gt;0,AVERAGEIFS($Y$5:$Y$1000,$U$5:$U$1000,ROW(),$V$5:$V$1000,"Sub"),$Y224)))</f>
        <v/>
      </c>
      <c r="AD224" s="62">
        <f>IF($V224="","",IF(AND(ISNUMBER($G224),$G224&lt;=IF($S224=MesCiclo,InicioCiclo,$S224+MOD(2-WEEKDAY($S224),7))+13),1,IF(N($W224)&gt;0,AVERAGEIFS($Z$5:$Z$1000,$U$5:$U$1000,ROW(),$V$5:$V$1000,"Sub"),$Z224)))</f>
        <v/>
      </c>
      <c r="AE224" s="62">
        <f>IF($V224="","",IF(AND(ISNUMBER($G224),$G224&lt;=IF($S224=MesCiclo,InicioCiclo,$S224+MOD(2-WEEKDAY($S224),7))+20),1,IF(N($W224)&gt;0,AVERAGEIFS($AA$5:$AA$1000,$U$5:$U$1000,ROW(),$V$5:$V$1000,"Sub"),$AA224)))</f>
        <v/>
      </c>
      <c r="AF224" s="62">
        <f>IF($V224="","",IF(AND(ISNUMBER($G224),$G224&lt;=IF($S224=MesCiclo,InicioCiclo,$S224+MOD(2-WEEKDAY($S224),7))+27),1,IF(N($W224)&gt;0,AVERAGEIFS($AB$5:$AB$1000,$U$5:$U$1000,ROW(),$V$5:$V$1000,"Sub"),$AB224)))</f>
        <v/>
      </c>
      <c r="AG224" s="62">
        <f>IF($V224&lt;&gt;"Macro","",IF(COUNTIFS($S$5:$S$1000,$S224,$V$5:$V$1000,"Macro",$H$5:$H$1000,"&gt;0")=0,1/COUNTIFS($S$5:$S$1000,$S224,$V$5:$V$1000,"Macro"),IF(AND(ISNUMBER($H224),N($H224)&gt;0),$H224,SUMIFS($H$5:$H$1000,$S$5:$S$1000,$S224,$V$5:$V$1000,"Macro")/COUNTIFS($S$5:$S$1000,$S224,$V$5:$V$1000,"Macro",$H$5:$H$1000,"&gt;0"))/(COUNTIFS($S$5:$S$1000,$S224,$V$5:$V$1000,"Macro")*SUMIFS($H$5:$H$1000,$S$5:$S$1000,$S224,$V$5:$V$1000,"Macro")/COUNTIFS($S$5:$S$1000,$S224,$V$5:$V$1000,"Macro",$H$5:$H$1000,"&gt;0"))))</f>
        <v/>
      </c>
      <c r="AH224" s="62" t="n"/>
      <c r="AI224" s="62" t="n"/>
      <c r="AJ224" s="62" t="n"/>
      <c r="AK224" s="62" t="n"/>
      <c r="AL224" s="62">
        <f>IF(LEFT($C224,11)="[Jefatura] ",IFERROR(MATCH("Riesgo Normativo|"&amp;MID($C224,12,500),rDname_ADM,0),0),"")</f>
        <v/>
      </c>
      <c r="AM224" s="62">
        <f>IF(N($AL224)&gt;0,INDEX(rIni_ADM,$AL224),IF(ISNUMBER($E224),$E224,""))</f>
        <v/>
      </c>
      <c r="AN224" s="62">
        <f>IF(N($AL224)&gt;0,INDEX(rLim_ADM,$AL224),IF(ISNUMBER($F224),$F224,""))</f>
        <v/>
      </c>
    </row>
    <row r="225">
      <c r="A225" s="56">
        <f>IF(NOT((COUNTA($B225:$D225)+COUNTA($G225:$L225)+COUNTA($Q225))&gt;0),"",IF($V225="Macro",COUNTIFS($V$5:$V225,"Macro",$S$5:$S225,$S225),IF(N($U225)=0,"?",COUNTIFS(INDEX($V$5:$V$1000,1):INDEX($V$5:$V$1000,$U225-4),"Macro",INDEX($S$5:$S$1000,1):INDEX($S$5:$S$1000,$U225-4),INDEX($S$5:$S$1000,$U225-4))&amp;"."&amp;COUNTIFS($U$5:$U225,$U225,$V$5:$V225,"Sub"))))</f>
        <v/>
      </c>
      <c r="B225" s="57" t="n"/>
      <c r="C225" s="58" t="n"/>
      <c r="D225" s="58" t="n"/>
      <c r="E225" s="59">
        <f>IF(N($AL225)&gt;0,INDEX(rIni_ADM,$AL225),"")</f>
        <v/>
      </c>
      <c r="F225" s="59">
        <f>IF(N($AL225)&gt;0,INDEX(rLim_ADM,$AL225),"")</f>
        <v/>
      </c>
      <c r="G225" s="59" t="n"/>
      <c r="H225" s="60" t="n"/>
      <c r="I225" s="60" t="n"/>
      <c r="J225" s="60" t="n"/>
      <c r="K225" s="60" t="n"/>
      <c r="L225" s="60" t="n"/>
      <c r="M225" s="61">
        <f>IF(NOT((COUNTA($B225:$D225)+COUNTA($G225:$L225)+COUNTA($Q225))&gt;0),"",IF($V225="Sub",IFERROR($X225/INDEX($W$5:$W$1000,$U225-4),""),IF(ISNUMBER($G225),1,IF(N($W225)&gt;0,AVERAGEIFS($X$5:$X$1000,$U$5:$U$1000,ROW(),$V$5:$V$1000,"Sub"),$X225))))</f>
        <v/>
      </c>
      <c r="N225" s="56">
        <f>IF(OR($M225="",$V225="Sub"),"",IF($M225&gt;=1,"Completado",IF($M225&gt;0,"En curso","Pendiente")))</f>
        <v/>
      </c>
      <c r="O225" s="56">
        <f>IF(OR(NOT((COUNTA($B225:$D225)+COUNTA($G225:$L225)+COUNTA($Q225))&gt;0),$V225="Sub"),"",IF(ISNUMBER($G225),IF(AND(ISNUMBER($AN225),$G225&gt;$AN225),"Cumplida con "&amp;($G225-$AN225)&amp;IF($G225-$AN225=1," día"," días")&amp;" de retraso","Cumplida"),IF(N($M225)&gt;=1,"Cumplida",IF(NOT(ISNUMBER($AN225)),"Sin fecha límite",IF($AN225&lt;FechaRef,"Vencida hace "&amp;(FechaRef-$AN225)&amp;IF(FechaRef-$AN225=1," día"," días"),IF($AN225=FechaRef,"Vence hoy",IF($AN225-FechaRef&lt;=DiasAlerta,"Vence en "&amp;($AN225-FechaRef)&amp;IF($AN225-FechaRef=1," día"," días"),"En plazo")))))))</f>
        <v/>
      </c>
      <c r="P225" s="62" t="n"/>
      <c r="Q225" s="58" t="n"/>
      <c r="R225" s="63">
        <f>IF(NOT((COUNTA($B225:$D225)+COUNTA($G225:$L225)+COUNTA($Q225))&gt;0),"",IF((IF($C225="","Falta el nombre de la actividad"&amp;" · ","")&amp;IF(AND($V225="Sub",N($U225)=0),"Subactividad sin macroactividad arriba"&amp;" · ","")&amp;IF($AM225="","Sin fecha de inicio"&amp;" · ","")&amp;IF($AN225="","Sin fecha límite"&amp;" · ","")&amp;IF(AND(LEFT($C225,11)="[Jefatura] ",N($AL225)=0),"No se encuentra en la hoja de la jefatura (elíjala de nuevo en la lista)"&amp;" · ","")&amp;IF(OR(AND($E225&lt;&gt;"",NOT(ISNUMBER($E225))),AND($F225&lt;&gt;"",NOT(ISNUMBER($F225))),AND($G225&lt;&gt;"",NOT(ISNUMBER($G225)))),"Fecha no válida"&amp;" · ","")&amp;IF(AND(ISNUMBER($AM225),ISNUMBER($AN225),$AM225&gt;$AN225),"Inicio posterior a fecha límite"&amp;" · ","")&amp;IF(AND($V225="Macro",$H225&lt;&gt;"",OR(NOT(ISNUMBER($H225)),$H225&lt;0,$H225&gt;1)),"Peso fuera de rango"&amp;" · ","")&amp;IF(AND($V225="Sub",$H225&lt;&gt;""),"Las subactividades no llevan peso (valen igual dentro de su macroactividad)"&amp;" · ","")&amp;IF(AND(N($W225)&gt;0,COUNT($I225:$L225)&gt;0),"Con subactividades: deje vacías las semanas (se calculan solas)"&amp;" · ","")&amp;IF((COUNTIF($I225:$L225,"&gt;1")+COUNTIF($I225:$L225,"&lt;0")+COUNTA($I225:$L225)-COUNT($I225:$L225))&gt;0,"Avance fuera de rango 0-100%"&amp;" · ","")&amp;IF(OR(AND($J225&lt;&gt;"",$J225&lt;$I225),AND($K225&lt;&gt;"",$K225&lt;MAX($I225:$J225)),AND($L225&lt;&gt;"",$L225&lt;MAX($I225:$K225))),"Avance semanal decreciente"&amp;" · ","")&amp;IF(AND(ISNUMBER($AN225),$AN225&lt;FechaRef,IF($V225="Sub",N($X225),N($M225))&lt;1),"Vencida"&amp;" · ","")&amp;IF(AND(ObsObligatoria="Sí",ISNUMBER($AN225),$AN225&lt;FechaRef,IF($V225="Sub",N($X225),N($M225))&lt;1,$Q225=""),"Vencida sin observación"&amp;" · ",""))="","✔ OK","⚠ "&amp;LEFT(IF($C225="","Falta el nombre de la actividad"&amp;" · ","")&amp;IF(AND($V225="Sub",N($U225)=0),"Subactividad sin macroactividad arriba"&amp;" · ","")&amp;IF($AM225="","Sin fecha de inicio"&amp;" · ","")&amp;IF($AN225="","Sin fecha límite"&amp;" · ","")&amp;IF(AND(LEFT($C225,11)="[Jefatura] ",N($AL225)=0),"No se encuentra en la hoja de la jefatura (elíjala de nuevo en la lista)"&amp;" · ","")&amp;IF(OR(AND($E225&lt;&gt;"",NOT(ISNUMBER($E225))),AND($F225&lt;&gt;"",NOT(ISNUMBER($F225))),AND($G225&lt;&gt;"",NOT(ISNUMBER($G225)))),"Fecha no válida"&amp;" · ","")&amp;IF(AND(ISNUMBER($AM225),ISNUMBER($AN225),$AM225&gt;$AN225),"Inicio posterior a fecha límite"&amp;" · ","")&amp;IF(AND($V225="Macro",$H225&lt;&gt;"",OR(NOT(ISNUMBER($H225)),$H225&lt;0,$H225&gt;1)),"Peso fuera de rango"&amp;" · ","")&amp;IF(AND($V225="Sub",$H225&lt;&gt;""),"Las subactividades no llevan peso (valen igual dentro de su macroactividad)"&amp;" · ","")&amp;IF(AND(N($W225)&gt;0,COUNT($I225:$L225)&gt;0),"Con subactividades: deje vacías las semanas (se calculan solas)"&amp;" · ","")&amp;IF((COUNTIF($I225:$L225,"&gt;1")+COUNTIF($I225:$L225,"&lt;0")+COUNTA($I225:$L225)-COUNT($I225:$L225))&gt;0,"Avance fuera de rango 0-100%"&amp;" · ","")&amp;IF(OR(AND($J225&lt;&gt;"",$J225&lt;$I225),AND($K225&lt;&gt;"",$K225&lt;MAX($I225:$J225)),AND($L225&lt;&gt;"",$L225&lt;MAX($I225:$K225))),"Avance semanal decreciente"&amp;" · ","")&amp;IF(AND(ISNUMBER($AN225),$AN225&lt;FechaRef,IF($V225="Sub",N($X225),N($M225))&lt;1),"Vencida"&amp;" · ","")&amp;IF(AND(ObsObligatoria="Sí",ISNUMBER($AN225),$AN225&lt;FechaRef,IF($V225="Sub",N($X225),N($M225))&lt;1,$Q225=""),"Vencida sin observación"&amp;" · ",""),LEN(IF($C225="","Falta el nombre de la actividad"&amp;" · ","")&amp;IF(AND($V225="Sub",N($U225)=0),"Subactividad sin macroactividad arriba"&amp;" · ","")&amp;IF($AM225="","Sin fecha de inicio"&amp;" · ","")&amp;IF($AN225="","Sin fecha límite"&amp;" · ","")&amp;IF(AND(LEFT($C225,11)="[Jefatura] ",N($AL225)=0),"No se encuentra en la hoja de la jefatura (elíjala de nuevo en la lista)"&amp;" · ","")&amp;IF(OR(AND($E225&lt;&gt;"",NOT(ISNUMBER($E225))),AND($F225&lt;&gt;"",NOT(ISNUMBER($F225))),AND($G225&lt;&gt;"",NOT(ISNUMBER($G225)))),"Fecha no válida"&amp;" · ","")&amp;IF(AND(ISNUMBER($AM225),ISNUMBER($AN225),$AM225&gt;$AN225),"Inicio posterior a fecha límite"&amp;" · ","")&amp;IF(AND($V225="Macro",$H225&lt;&gt;"",OR(NOT(ISNUMBER($H225)),$H225&lt;0,$H225&gt;1)),"Peso fuera de rango"&amp;" · ","")&amp;IF(AND($V225="Sub",$H225&lt;&gt;""),"Las subactividades no llevan peso (valen igual dentro de su macroactividad)"&amp;" · ","")&amp;IF(AND(N($W225)&gt;0,COUNT($I225:$L225)&gt;0),"Con subactividades: deje vacías las semanas (se calculan solas)"&amp;" · ","")&amp;IF((COUNTIF($I225:$L225,"&gt;1")+COUNTIF($I225:$L225,"&lt;0")+COUNTA($I225:$L225)-COUNT($I225:$L225))&gt;0,"Avance fuera de rango 0-100%"&amp;" · ","")&amp;IF(OR(AND($J225&lt;&gt;"",$J225&lt;$I225),AND($K225&lt;&gt;"",$K225&lt;MAX($I225:$J225)),AND($L225&lt;&gt;"",$L225&lt;MAX($I225:$K225))),"Avance semanal decreciente"&amp;" · ","")&amp;IF(AND(ISNUMBER($AN225),$AN225&lt;FechaRef,IF($V225="Sub",N($X225),N($M225))&lt;1),"Vencida"&amp;" · ","")&amp;IF(AND(ObsObligatoria="Sí",ISNUMBER($AN225),$AN225&lt;FechaRef,IF($V225="Sub",N($X225),N($M225))&lt;1,$Q225=""),"Vencida sin observación"&amp;" · ",""))-3)))</f>
        <v/>
      </c>
      <c r="S225" s="64">
        <f>IF(NOT((COUNTA($B225:$D225)+COUNTA($G225:$L225)+COUNTA($Q225))&gt;0),"",IF(AND($V225="Sub",N($U225)&gt;0),IF(ISNUMBER(INDEX($AM$5:$AM$1000,$U225-4)),DATE(YEAR(INDEX($AM$5:$AM$1000,$U225-4)),MONTH(INDEX($AM$5:$AM$1000,$U225-4)),1),IF(ISNUMBER(INDEX($AN$5:$AN$1000,$U225-4)),DATE(YEAR(INDEX($AN$5:$AN$1000,$U225-4)),MONTH(INDEX($AN$5:$AN$1000,$U225-4)),1),MesCiclo)),IF(ISNUMBER($AM225),DATE(YEAR($AM225),MONTH($AM225),1),IF(ISNUMBER($AN225),DATE(YEAR($AN225),MONTH($AN225),1),MesCiclo))))</f>
        <v/>
      </c>
      <c r="T225" s="62">
        <f>IF(OR($S225="",$S225&lt;&gt;MesCiclo,$V225&lt;&gt;"Macro"),"",COUNTIFS($S$5:$S225,MesCiclo,$V$5:$V225,"Macro"))</f>
        <v/>
      </c>
      <c r="U225" s="62">
        <f>IF($V225="","",IF($V225="Macro",ROW(),IFERROR(LOOKUP(2,1/($V$5:$V225="Macro"),ROW($V$5:$V225)),0)))</f>
        <v/>
      </c>
      <c r="V225" s="62">
        <f>IF(NOT((COUNTA($B225:$D225)+COUNTA($G225:$L225)+COUNTA($Q225))&gt;0),"",IF($B225="Subactividad","Sub","Macro"))</f>
        <v/>
      </c>
      <c r="W225" s="62">
        <f>IF($V225="Macro",COUNTIFS($U$5:$U$1000,ROW(),$V$5:$V$1000,"Sub"),"")</f>
        <v/>
      </c>
      <c r="X225" s="62">
        <f>IF($V225="","",IF(ISNUMBER($G225),1,IFERROR(LOOKUP(2,1/($I225:$L225&lt;&gt;""),$I225:$L225),0)))</f>
        <v/>
      </c>
      <c r="Y225" s="62">
        <f>IF($V225="","",IF(AND(ISNUMBER($G225),$G225&lt;=IF($S225=MesCiclo,InicioCiclo,$S225+MOD(2-WEEKDAY($S225),7))+6),1,IF(ISNUMBER($I225),$I225,0)))</f>
        <v/>
      </c>
      <c r="Z225" s="62">
        <f>IF($V225="","",IF(AND(ISNUMBER($G225),$G225&lt;=IF($S225=MesCiclo,InicioCiclo,$S225+MOD(2-WEEKDAY($S225),7))+13),1,IF(ISNUMBER($J225),$J225,$Y225)))</f>
        <v/>
      </c>
      <c r="AA225" s="62">
        <f>IF($V225="","",IF(AND(ISNUMBER($G225),$G225&lt;=IF($S225=MesCiclo,InicioCiclo,$S225+MOD(2-WEEKDAY($S225),7))+20),1,IF(ISNUMBER($K225),$K225,$Z225)))</f>
        <v/>
      </c>
      <c r="AB225" s="62">
        <f>IF($V225="","",IF(AND(ISNUMBER($G225),$G225&lt;=IF($S225=MesCiclo,InicioCiclo,$S225+MOD(2-WEEKDAY($S225),7))+27),1,IF(ISNUMBER($L225),$L225,$AA225)))</f>
        <v/>
      </c>
      <c r="AC225" s="62">
        <f>IF($V225="","",IF(AND(ISNUMBER($G225),$G225&lt;=IF($S225=MesCiclo,InicioCiclo,$S225+MOD(2-WEEKDAY($S225),7))+6),1,IF(N($W225)&gt;0,AVERAGEIFS($Y$5:$Y$1000,$U$5:$U$1000,ROW(),$V$5:$V$1000,"Sub"),$Y225)))</f>
        <v/>
      </c>
      <c r="AD225" s="62">
        <f>IF($V225="","",IF(AND(ISNUMBER($G225),$G225&lt;=IF($S225=MesCiclo,InicioCiclo,$S225+MOD(2-WEEKDAY($S225),7))+13),1,IF(N($W225)&gt;0,AVERAGEIFS($Z$5:$Z$1000,$U$5:$U$1000,ROW(),$V$5:$V$1000,"Sub"),$Z225)))</f>
        <v/>
      </c>
      <c r="AE225" s="62">
        <f>IF($V225="","",IF(AND(ISNUMBER($G225),$G225&lt;=IF($S225=MesCiclo,InicioCiclo,$S225+MOD(2-WEEKDAY($S225),7))+20),1,IF(N($W225)&gt;0,AVERAGEIFS($AA$5:$AA$1000,$U$5:$U$1000,ROW(),$V$5:$V$1000,"Sub"),$AA225)))</f>
        <v/>
      </c>
      <c r="AF225" s="62">
        <f>IF($V225="","",IF(AND(ISNUMBER($G225),$G225&lt;=IF($S225=MesCiclo,InicioCiclo,$S225+MOD(2-WEEKDAY($S225),7))+27),1,IF(N($W225)&gt;0,AVERAGEIFS($AB$5:$AB$1000,$U$5:$U$1000,ROW(),$V$5:$V$1000,"Sub"),$AB225)))</f>
        <v/>
      </c>
      <c r="AG225" s="62">
        <f>IF($V225&lt;&gt;"Macro","",IF(COUNTIFS($S$5:$S$1000,$S225,$V$5:$V$1000,"Macro",$H$5:$H$1000,"&gt;0")=0,1/COUNTIFS($S$5:$S$1000,$S225,$V$5:$V$1000,"Macro"),IF(AND(ISNUMBER($H225),N($H225)&gt;0),$H225,SUMIFS($H$5:$H$1000,$S$5:$S$1000,$S225,$V$5:$V$1000,"Macro")/COUNTIFS($S$5:$S$1000,$S225,$V$5:$V$1000,"Macro",$H$5:$H$1000,"&gt;0"))/(COUNTIFS($S$5:$S$1000,$S225,$V$5:$V$1000,"Macro")*SUMIFS($H$5:$H$1000,$S$5:$S$1000,$S225,$V$5:$V$1000,"Macro")/COUNTIFS($S$5:$S$1000,$S225,$V$5:$V$1000,"Macro",$H$5:$H$1000,"&gt;0"))))</f>
        <v/>
      </c>
      <c r="AH225" s="62" t="n"/>
      <c r="AI225" s="62" t="n"/>
      <c r="AJ225" s="62" t="n"/>
      <c r="AK225" s="62" t="n"/>
      <c r="AL225" s="62">
        <f>IF(LEFT($C225,11)="[Jefatura] ",IFERROR(MATCH("Riesgo Normativo|"&amp;MID($C225,12,500),rDname_ADM,0),0),"")</f>
        <v/>
      </c>
      <c r="AM225" s="62">
        <f>IF(N($AL225)&gt;0,INDEX(rIni_ADM,$AL225),IF(ISNUMBER($E225),$E225,""))</f>
        <v/>
      </c>
      <c r="AN225" s="62">
        <f>IF(N($AL225)&gt;0,INDEX(rLim_ADM,$AL225),IF(ISNUMBER($F225),$F225,""))</f>
        <v/>
      </c>
    </row>
    <row r="226">
      <c r="A226" s="56">
        <f>IF(NOT((COUNTA($B226:$D226)+COUNTA($G226:$L226)+COUNTA($Q226))&gt;0),"",IF($V226="Macro",COUNTIFS($V$5:$V226,"Macro",$S$5:$S226,$S226),IF(N($U226)=0,"?",COUNTIFS(INDEX($V$5:$V$1000,1):INDEX($V$5:$V$1000,$U226-4),"Macro",INDEX($S$5:$S$1000,1):INDEX($S$5:$S$1000,$U226-4),INDEX($S$5:$S$1000,$U226-4))&amp;"."&amp;COUNTIFS($U$5:$U226,$U226,$V$5:$V226,"Sub"))))</f>
        <v/>
      </c>
      <c r="B226" s="57" t="n"/>
      <c r="C226" s="58" t="n"/>
      <c r="D226" s="58" t="n"/>
      <c r="E226" s="59">
        <f>IF(N($AL226)&gt;0,INDEX(rIni_ADM,$AL226),"")</f>
        <v/>
      </c>
      <c r="F226" s="59">
        <f>IF(N($AL226)&gt;0,INDEX(rLim_ADM,$AL226),"")</f>
        <v/>
      </c>
      <c r="G226" s="59" t="n"/>
      <c r="H226" s="60" t="n"/>
      <c r="I226" s="60" t="n"/>
      <c r="J226" s="60" t="n"/>
      <c r="K226" s="60" t="n"/>
      <c r="L226" s="60" t="n"/>
      <c r="M226" s="61">
        <f>IF(NOT((COUNTA($B226:$D226)+COUNTA($G226:$L226)+COUNTA($Q226))&gt;0),"",IF($V226="Sub",IFERROR($X226/INDEX($W$5:$W$1000,$U226-4),""),IF(ISNUMBER($G226),1,IF(N($W226)&gt;0,AVERAGEIFS($X$5:$X$1000,$U$5:$U$1000,ROW(),$V$5:$V$1000,"Sub"),$X226))))</f>
        <v/>
      </c>
      <c r="N226" s="56">
        <f>IF(OR($M226="",$V226="Sub"),"",IF($M226&gt;=1,"Completado",IF($M226&gt;0,"En curso","Pendiente")))</f>
        <v/>
      </c>
      <c r="O226" s="56">
        <f>IF(OR(NOT((COUNTA($B226:$D226)+COUNTA($G226:$L226)+COUNTA($Q226))&gt;0),$V226="Sub"),"",IF(ISNUMBER($G226),IF(AND(ISNUMBER($AN226),$G226&gt;$AN226),"Cumplida con "&amp;($G226-$AN226)&amp;IF($G226-$AN226=1," día"," días")&amp;" de retraso","Cumplida"),IF(N($M226)&gt;=1,"Cumplida",IF(NOT(ISNUMBER($AN226)),"Sin fecha límite",IF($AN226&lt;FechaRef,"Vencida hace "&amp;(FechaRef-$AN226)&amp;IF(FechaRef-$AN226=1," día"," días"),IF($AN226=FechaRef,"Vence hoy",IF($AN226-FechaRef&lt;=DiasAlerta,"Vence en "&amp;($AN226-FechaRef)&amp;IF($AN226-FechaRef=1," día"," días"),"En plazo")))))))</f>
        <v/>
      </c>
      <c r="P226" s="62" t="n"/>
      <c r="Q226" s="58" t="n"/>
      <c r="R226" s="63">
        <f>IF(NOT((COUNTA($B226:$D226)+COUNTA($G226:$L226)+COUNTA($Q226))&gt;0),"",IF((IF($C226="","Falta el nombre de la actividad"&amp;" · ","")&amp;IF(AND($V226="Sub",N($U226)=0),"Subactividad sin macroactividad arriba"&amp;" · ","")&amp;IF($AM226="","Sin fecha de inicio"&amp;" · ","")&amp;IF($AN226="","Sin fecha límite"&amp;" · ","")&amp;IF(AND(LEFT($C226,11)="[Jefatura] ",N($AL226)=0),"No se encuentra en la hoja de la jefatura (elíjala de nuevo en la lista)"&amp;" · ","")&amp;IF(OR(AND($E226&lt;&gt;"",NOT(ISNUMBER($E226))),AND($F226&lt;&gt;"",NOT(ISNUMBER($F226))),AND($G226&lt;&gt;"",NOT(ISNUMBER($G226)))),"Fecha no válida"&amp;" · ","")&amp;IF(AND(ISNUMBER($AM226),ISNUMBER($AN226),$AM226&gt;$AN226),"Inicio posterior a fecha límite"&amp;" · ","")&amp;IF(AND($V226="Macro",$H226&lt;&gt;"",OR(NOT(ISNUMBER($H226)),$H226&lt;0,$H226&gt;1)),"Peso fuera de rango"&amp;" · ","")&amp;IF(AND($V226="Sub",$H226&lt;&gt;""),"Las subactividades no llevan peso (valen igual dentro de su macroactividad)"&amp;" · ","")&amp;IF(AND(N($W226)&gt;0,COUNT($I226:$L226)&gt;0),"Con subactividades: deje vacías las semanas (se calculan solas)"&amp;" · ","")&amp;IF((COUNTIF($I226:$L226,"&gt;1")+COUNTIF($I226:$L226,"&lt;0")+COUNTA($I226:$L226)-COUNT($I226:$L226))&gt;0,"Avance fuera de rango 0-100%"&amp;" · ","")&amp;IF(OR(AND($J226&lt;&gt;"",$J226&lt;$I226),AND($K226&lt;&gt;"",$K226&lt;MAX($I226:$J226)),AND($L226&lt;&gt;"",$L226&lt;MAX($I226:$K226))),"Avance semanal decreciente"&amp;" · ","")&amp;IF(AND(ISNUMBER($AN226),$AN226&lt;FechaRef,IF($V226="Sub",N($X226),N($M226))&lt;1),"Vencida"&amp;" · ","")&amp;IF(AND(ObsObligatoria="Sí",ISNUMBER($AN226),$AN226&lt;FechaRef,IF($V226="Sub",N($X226),N($M226))&lt;1,$Q226=""),"Vencida sin observación"&amp;" · ",""))="","✔ OK","⚠ "&amp;LEFT(IF($C226="","Falta el nombre de la actividad"&amp;" · ","")&amp;IF(AND($V226="Sub",N($U226)=0),"Subactividad sin macroactividad arriba"&amp;" · ","")&amp;IF($AM226="","Sin fecha de inicio"&amp;" · ","")&amp;IF($AN226="","Sin fecha límite"&amp;" · ","")&amp;IF(AND(LEFT($C226,11)="[Jefatura] ",N($AL226)=0),"No se encuentra en la hoja de la jefatura (elíjala de nuevo en la lista)"&amp;" · ","")&amp;IF(OR(AND($E226&lt;&gt;"",NOT(ISNUMBER($E226))),AND($F226&lt;&gt;"",NOT(ISNUMBER($F226))),AND($G226&lt;&gt;"",NOT(ISNUMBER($G226)))),"Fecha no válida"&amp;" · ","")&amp;IF(AND(ISNUMBER($AM226),ISNUMBER($AN226),$AM226&gt;$AN226),"Inicio posterior a fecha límite"&amp;" · ","")&amp;IF(AND($V226="Macro",$H226&lt;&gt;"",OR(NOT(ISNUMBER($H226)),$H226&lt;0,$H226&gt;1)),"Peso fuera de rango"&amp;" · ","")&amp;IF(AND($V226="Sub",$H226&lt;&gt;""),"Las subactividades no llevan peso (valen igual dentro de su macroactividad)"&amp;" · ","")&amp;IF(AND(N($W226)&gt;0,COUNT($I226:$L226)&gt;0),"Con subactividades: deje vacías las semanas (se calculan solas)"&amp;" · ","")&amp;IF((COUNTIF($I226:$L226,"&gt;1")+COUNTIF($I226:$L226,"&lt;0")+COUNTA($I226:$L226)-COUNT($I226:$L226))&gt;0,"Avance fuera de rango 0-100%"&amp;" · ","")&amp;IF(OR(AND($J226&lt;&gt;"",$J226&lt;$I226),AND($K226&lt;&gt;"",$K226&lt;MAX($I226:$J226)),AND($L226&lt;&gt;"",$L226&lt;MAX($I226:$K226))),"Avance semanal decreciente"&amp;" · ","")&amp;IF(AND(ISNUMBER($AN226),$AN226&lt;FechaRef,IF($V226="Sub",N($X226),N($M226))&lt;1),"Vencida"&amp;" · ","")&amp;IF(AND(ObsObligatoria="Sí",ISNUMBER($AN226),$AN226&lt;FechaRef,IF($V226="Sub",N($X226),N($M226))&lt;1,$Q226=""),"Vencida sin observación"&amp;" · ",""),LEN(IF($C226="","Falta el nombre de la actividad"&amp;" · ","")&amp;IF(AND($V226="Sub",N($U226)=0),"Subactividad sin macroactividad arriba"&amp;" · ","")&amp;IF($AM226="","Sin fecha de inicio"&amp;" · ","")&amp;IF($AN226="","Sin fecha límite"&amp;" · ","")&amp;IF(AND(LEFT($C226,11)="[Jefatura] ",N($AL226)=0),"No se encuentra en la hoja de la jefatura (elíjala de nuevo en la lista)"&amp;" · ","")&amp;IF(OR(AND($E226&lt;&gt;"",NOT(ISNUMBER($E226))),AND($F226&lt;&gt;"",NOT(ISNUMBER($F226))),AND($G226&lt;&gt;"",NOT(ISNUMBER($G226)))),"Fecha no válida"&amp;" · ","")&amp;IF(AND(ISNUMBER($AM226),ISNUMBER($AN226),$AM226&gt;$AN226),"Inicio posterior a fecha límite"&amp;" · ","")&amp;IF(AND($V226="Macro",$H226&lt;&gt;"",OR(NOT(ISNUMBER($H226)),$H226&lt;0,$H226&gt;1)),"Peso fuera de rango"&amp;" · ","")&amp;IF(AND($V226="Sub",$H226&lt;&gt;""),"Las subactividades no llevan peso (valen igual dentro de su macroactividad)"&amp;" · ","")&amp;IF(AND(N($W226)&gt;0,COUNT($I226:$L226)&gt;0),"Con subactividades: deje vacías las semanas (se calculan solas)"&amp;" · ","")&amp;IF((COUNTIF($I226:$L226,"&gt;1")+COUNTIF($I226:$L226,"&lt;0")+COUNTA($I226:$L226)-COUNT($I226:$L226))&gt;0,"Avance fuera de rango 0-100%"&amp;" · ","")&amp;IF(OR(AND($J226&lt;&gt;"",$J226&lt;$I226),AND($K226&lt;&gt;"",$K226&lt;MAX($I226:$J226)),AND($L226&lt;&gt;"",$L226&lt;MAX($I226:$K226))),"Avance semanal decreciente"&amp;" · ","")&amp;IF(AND(ISNUMBER($AN226),$AN226&lt;FechaRef,IF($V226="Sub",N($X226),N($M226))&lt;1),"Vencida"&amp;" · ","")&amp;IF(AND(ObsObligatoria="Sí",ISNUMBER($AN226),$AN226&lt;FechaRef,IF($V226="Sub",N($X226),N($M226))&lt;1,$Q226=""),"Vencida sin observación"&amp;" · ",""))-3)))</f>
        <v/>
      </c>
      <c r="S226" s="64">
        <f>IF(NOT((COUNTA($B226:$D226)+COUNTA($G226:$L226)+COUNTA($Q226))&gt;0),"",IF(AND($V226="Sub",N($U226)&gt;0),IF(ISNUMBER(INDEX($AM$5:$AM$1000,$U226-4)),DATE(YEAR(INDEX($AM$5:$AM$1000,$U226-4)),MONTH(INDEX($AM$5:$AM$1000,$U226-4)),1),IF(ISNUMBER(INDEX($AN$5:$AN$1000,$U226-4)),DATE(YEAR(INDEX($AN$5:$AN$1000,$U226-4)),MONTH(INDEX($AN$5:$AN$1000,$U226-4)),1),MesCiclo)),IF(ISNUMBER($AM226),DATE(YEAR($AM226),MONTH($AM226),1),IF(ISNUMBER($AN226),DATE(YEAR($AN226),MONTH($AN226),1),MesCiclo))))</f>
        <v/>
      </c>
      <c r="T226" s="62">
        <f>IF(OR($S226="",$S226&lt;&gt;MesCiclo,$V226&lt;&gt;"Macro"),"",COUNTIFS($S$5:$S226,MesCiclo,$V$5:$V226,"Macro"))</f>
        <v/>
      </c>
      <c r="U226" s="62">
        <f>IF($V226="","",IF($V226="Macro",ROW(),IFERROR(LOOKUP(2,1/($V$5:$V226="Macro"),ROW($V$5:$V226)),0)))</f>
        <v/>
      </c>
      <c r="V226" s="62">
        <f>IF(NOT((COUNTA($B226:$D226)+COUNTA($G226:$L226)+COUNTA($Q226))&gt;0),"",IF($B226="Subactividad","Sub","Macro"))</f>
        <v/>
      </c>
      <c r="W226" s="62">
        <f>IF($V226="Macro",COUNTIFS($U$5:$U$1000,ROW(),$V$5:$V$1000,"Sub"),"")</f>
        <v/>
      </c>
      <c r="X226" s="62">
        <f>IF($V226="","",IF(ISNUMBER($G226),1,IFERROR(LOOKUP(2,1/($I226:$L226&lt;&gt;""),$I226:$L226),0)))</f>
        <v/>
      </c>
      <c r="Y226" s="62">
        <f>IF($V226="","",IF(AND(ISNUMBER($G226),$G226&lt;=IF($S226=MesCiclo,InicioCiclo,$S226+MOD(2-WEEKDAY($S226),7))+6),1,IF(ISNUMBER($I226),$I226,0)))</f>
        <v/>
      </c>
      <c r="Z226" s="62">
        <f>IF($V226="","",IF(AND(ISNUMBER($G226),$G226&lt;=IF($S226=MesCiclo,InicioCiclo,$S226+MOD(2-WEEKDAY($S226),7))+13),1,IF(ISNUMBER($J226),$J226,$Y226)))</f>
        <v/>
      </c>
      <c r="AA226" s="62">
        <f>IF($V226="","",IF(AND(ISNUMBER($G226),$G226&lt;=IF($S226=MesCiclo,InicioCiclo,$S226+MOD(2-WEEKDAY($S226),7))+20),1,IF(ISNUMBER($K226),$K226,$Z226)))</f>
        <v/>
      </c>
      <c r="AB226" s="62">
        <f>IF($V226="","",IF(AND(ISNUMBER($G226),$G226&lt;=IF($S226=MesCiclo,InicioCiclo,$S226+MOD(2-WEEKDAY($S226),7))+27),1,IF(ISNUMBER($L226),$L226,$AA226)))</f>
        <v/>
      </c>
      <c r="AC226" s="62">
        <f>IF($V226="","",IF(AND(ISNUMBER($G226),$G226&lt;=IF($S226=MesCiclo,InicioCiclo,$S226+MOD(2-WEEKDAY($S226),7))+6),1,IF(N($W226)&gt;0,AVERAGEIFS($Y$5:$Y$1000,$U$5:$U$1000,ROW(),$V$5:$V$1000,"Sub"),$Y226)))</f>
        <v/>
      </c>
      <c r="AD226" s="62">
        <f>IF($V226="","",IF(AND(ISNUMBER($G226),$G226&lt;=IF($S226=MesCiclo,InicioCiclo,$S226+MOD(2-WEEKDAY($S226),7))+13),1,IF(N($W226)&gt;0,AVERAGEIFS($Z$5:$Z$1000,$U$5:$U$1000,ROW(),$V$5:$V$1000,"Sub"),$Z226)))</f>
        <v/>
      </c>
      <c r="AE226" s="62">
        <f>IF($V226="","",IF(AND(ISNUMBER($G226),$G226&lt;=IF($S226=MesCiclo,InicioCiclo,$S226+MOD(2-WEEKDAY($S226),7))+20),1,IF(N($W226)&gt;0,AVERAGEIFS($AA$5:$AA$1000,$U$5:$U$1000,ROW(),$V$5:$V$1000,"Sub"),$AA226)))</f>
        <v/>
      </c>
      <c r="AF226" s="62">
        <f>IF($V226="","",IF(AND(ISNUMBER($G226),$G226&lt;=IF($S226=MesCiclo,InicioCiclo,$S226+MOD(2-WEEKDAY($S226),7))+27),1,IF(N($W226)&gt;0,AVERAGEIFS($AB$5:$AB$1000,$U$5:$U$1000,ROW(),$V$5:$V$1000,"Sub"),$AB226)))</f>
        <v/>
      </c>
      <c r="AG226" s="62">
        <f>IF($V226&lt;&gt;"Macro","",IF(COUNTIFS($S$5:$S$1000,$S226,$V$5:$V$1000,"Macro",$H$5:$H$1000,"&gt;0")=0,1/COUNTIFS($S$5:$S$1000,$S226,$V$5:$V$1000,"Macro"),IF(AND(ISNUMBER($H226),N($H226)&gt;0),$H226,SUMIFS($H$5:$H$1000,$S$5:$S$1000,$S226,$V$5:$V$1000,"Macro")/COUNTIFS($S$5:$S$1000,$S226,$V$5:$V$1000,"Macro",$H$5:$H$1000,"&gt;0"))/(COUNTIFS($S$5:$S$1000,$S226,$V$5:$V$1000,"Macro")*SUMIFS($H$5:$H$1000,$S$5:$S$1000,$S226,$V$5:$V$1000,"Macro")/COUNTIFS($S$5:$S$1000,$S226,$V$5:$V$1000,"Macro",$H$5:$H$1000,"&gt;0"))))</f>
        <v/>
      </c>
      <c r="AH226" s="62" t="n"/>
      <c r="AI226" s="62" t="n"/>
      <c r="AJ226" s="62" t="n"/>
      <c r="AK226" s="62" t="n"/>
      <c r="AL226" s="62">
        <f>IF(LEFT($C226,11)="[Jefatura] ",IFERROR(MATCH("Riesgo Normativo|"&amp;MID($C226,12,500),rDname_ADM,0),0),"")</f>
        <v/>
      </c>
      <c r="AM226" s="62">
        <f>IF(N($AL226)&gt;0,INDEX(rIni_ADM,$AL226),IF(ISNUMBER($E226),$E226,""))</f>
        <v/>
      </c>
      <c r="AN226" s="62">
        <f>IF(N($AL226)&gt;0,INDEX(rLim_ADM,$AL226),IF(ISNUMBER($F226),$F226,""))</f>
        <v/>
      </c>
    </row>
    <row r="227">
      <c r="A227" s="56">
        <f>IF(NOT((COUNTA($B227:$D227)+COUNTA($G227:$L227)+COUNTA($Q227))&gt;0),"",IF($V227="Macro",COUNTIFS($V$5:$V227,"Macro",$S$5:$S227,$S227),IF(N($U227)=0,"?",COUNTIFS(INDEX($V$5:$V$1000,1):INDEX($V$5:$V$1000,$U227-4),"Macro",INDEX($S$5:$S$1000,1):INDEX($S$5:$S$1000,$U227-4),INDEX($S$5:$S$1000,$U227-4))&amp;"."&amp;COUNTIFS($U$5:$U227,$U227,$V$5:$V227,"Sub"))))</f>
        <v/>
      </c>
      <c r="B227" s="57" t="n"/>
      <c r="C227" s="58" t="n"/>
      <c r="D227" s="58" t="n"/>
      <c r="E227" s="59">
        <f>IF(N($AL227)&gt;0,INDEX(rIni_ADM,$AL227),"")</f>
        <v/>
      </c>
      <c r="F227" s="59">
        <f>IF(N($AL227)&gt;0,INDEX(rLim_ADM,$AL227),"")</f>
        <v/>
      </c>
      <c r="G227" s="59" t="n"/>
      <c r="H227" s="60" t="n"/>
      <c r="I227" s="60" t="n"/>
      <c r="J227" s="60" t="n"/>
      <c r="K227" s="60" t="n"/>
      <c r="L227" s="60" t="n"/>
      <c r="M227" s="61">
        <f>IF(NOT((COUNTA($B227:$D227)+COUNTA($G227:$L227)+COUNTA($Q227))&gt;0),"",IF($V227="Sub",IFERROR($X227/INDEX($W$5:$W$1000,$U227-4),""),IF(ISNUMBER($G227),1,IF(N($W227)&gt;0,AVERAGEIFS($X$5:$X$1000,$U$5:$U$1000,ROW(),$V$5:$V$1000,"Sub"),$X227))))</f>
        <v/>
      </c>
      <c r="N227" s="56">
        <f>IF(OR($M227="",$V227="Sub"),"",IF($M227&gt;=1,"Completado",IF($M227&gt;0,"En curso","Pendiente")))</f>
        <v/>
      </c>
      <c r="O227" s="56">
        <f>IF(OR(NOT((COUNTA($B227:$D227)+COUNTA($G227:$L227)+COUNTA($Q227))&gt;0),$V227="Sub"),"",IF(ISNUMBER($G227),IF(AND(ISNUMBER($AN227),$G227&gt;$AN227),"Cumplida con "&amp;($G227-$AN227)&amp;IF($G227-$AN227=1," día"," días")&amp;" de retraso","Cumplida"),IF(N($M227)&gt;=1,"Cumplida",IF(NOT(ISNUMBER($AN227)),"Sin fecha límite",IF($AN227&lt;FechaRef,"Vencida hace "&amp;(FechaRef-$AN227)&amp;IF(FechaRef-$AN227=1," día"," días"),IF($AN227=FechaRef,"Vence hoy",IF($AN227-FechaRef&lt;=DiasAlerta,"Vence en "&amp;($AN227-FechaRef)&amp;IF($AN227-FechaRef=1," día"," días"),"En plazo")))))))</f>
        <v/>
      </c>
      <c r="P227" s="62" t="n"/>
      <c r="Q227" s="58" t="n"/>
      <c r="R227" s="63">
        <f>IF(NOT((COUNTA($B227:$D227)+COUNTA($G227:$L227)+COUNTA($Q227))&gt;0),"",IF((IF($C227="","Falta el nombre de la actividad"&amp;" · ","")&amp;IF(AND($V227="Sub",N($U227)=0),"Subactividad sin macroactividad arriba"&amp;" · ","")&amp;IF($AM227="","Sin fecha de inicio"&amp;" · ","")&amp;IF($AN227="","Sin fecha límite"&amp;" · ","")&amp;IF(AND(LEFT($C227,11)="[Jefatura] ",N($AL227)=0),"No se encuentra en la hoja de la jefatura (elíjala de nuevo en la lista)"&amp;" · ","")&amp;IF(OR(AND($E227&lt;&gt;"",NOT(ISNUMBER($E227))),AND($F227&lt;&gt;"",NOT(ISNUMBER($F227))),AND($G227&lt;&gt;"",NOT(ISNUMBER($G227)))),"Fecha no válida"&amp;" · ","")&amp;IF(AND(ISNUMBER($AM227),ISNUMBER($AN227),$AM227&gt;$AN227),"Inicio posterior a fecha límite"&amp;" · ","")&amp;IF(AND($V227="Macro",$H227&lt;&gt;"",OR(NOT(ISNUMBER($H227)),$H227&lt;0,$H227&gt;1)),"Peso fuera de rango"&amp;" · ","")&amp;IF(AND($V227="Sub",$H227&lt;&gt;""),"Las subactividades no llevan peso (valen igual dentro de su macroactividad)"&amp;" · ","")&amp;IF(AND(N($W227)&gt;0,COUNT($I227:$L227)&gt;0),"Con subactividades: deje vacías las semanas (se calculan solas)"&amp;" · ","")&amp;IF((COUNTIF($I227:$L227,"&gt;1")+COUNTIF($I227:$L227,"&lt;0")+COUNTA($I227:$L227)-COUNT($I227:$L227))&gt;0,"Avance fuera de rango 0-100%"&amp;" · ","")&amp;IF(OR(AND($J227&lt;&gt;"",$J227&lt;$I227),AND($K227&lt;&gt;"",$K227&lt;MAX($I227:$J227)),AND($L227&lt;&gt;"",$L227&lt;MAX($I227:$K227))),"Avance semanal decreciente"&amp;" · ","")&amp;IF(AND(ISNUMBER($AN227),$AN227&lt;FechaRef,IF($V227="Sub",N($X227),N($M227))&lt;1),"Vencida"&amp;" · ","")&amp;IF(AND(ObsObligatoria="Sí",ISNUMBER($AN227),$AN227&lt;FechaRef,IF($V227="Sub",N($X227),N($M227))&lt;1,$Q227=""),"Vencida sin observación"&amp;" · ",""))="","✔ OK","⚠ "&amp;LEFT(IF($C227="","Falta el nombre de la actividad"&amp;" · ","")&amp;IF(AND($V227="Sub",N($U227)=0),"Subactividad sin macroactividad arriba"&amp;" · ","")&amp;IF($AM227="","Sin fecha de inicio"&amp;" · ","")&amp;IF($AN227="","Sin fecha límite"&amp;" · ","")&amp;IF(AND(LEFT($C227,11)="[Jefatura] ",N($AL227)=0),"No se encuentra en la hoja de la jefatura (elíjala de nuevo en la lista)"&amp;" · ","")&amp;IF(OR(AND($E227&lt;&gt;"",NOT(ISNUMBER($E227))),AND($F227&lt;&gt;"",NOT(ISNUMBER($F227))),AND($G227&lt;&gt;"",NOT(ISNUMBER($G227)))),"Fecha no válida"&amp;" · ","")&amp;IF(AND(ISNUMBER($AM227),ISNUMBER($AN227),$AM227&gt;$AN227),"Inicio posterior a fecha límite"&amp;" · ","")&amp;IF(AND($V227="Macro",$H227&lt;&gt;"",OR(NOT(ISNUMBER($H227)),$H227&lt;0,$H227&gt;1)),"Peso fuera de rango"&amp;" · ","")&amp;IF(AND($V227="Sub",$H227&lt;&gt;""),"Las subactividades no llevan peso (valen igual dentro de su macroactividad)"&amp;" · ","")&amp;IF(AND(N($W227)&gt;0,COUNT($I227:$L227)&gt;0),"Con subactividades: deje vacías las semanas (se calculan solas)"&amp;" · ","")&amp;IF((COUNTIF($I227:$L227,"&gt;1")+COUNTIF($I227:$L227,"&lt;0")+COUNTA($I227:$L227)-COUNT($I227:$L227))&gt;0,"Avance fuera de rango 0-100%"&amp;" · ","")&amp;IF(OR(AND($J227&lt;&gt;"",$J227&lt;$I227),AND($K227&lt;&gt;"",$K227&lt;MAX($I227:$J227)),AND($L227&lt;&gt;"",$L227&lt;MAX($I227:$K227))),"Avance semanal decreciente"&amp;" · ","")&amp;IF(AND(ISNUMBER($AN227),$AN227&lt;FechaRef,IF($V227="Sub",N($X227),N($M227))&lt;1),"Vencida"&amp;" · ","")&amp;IF(AND(ObsObligatoria="Sí",ISNUMBER($AN227),$AN227&lt;FechaRef,IF($V227="Sub",N($X227),N($M227))&lt;1,$Q227=""),"Vencida sin observación"&amp;" · ",""),LEN(IF($C227="","Falta el nombre de la actividad"&amp;" · ","")&amp;IF(AND($V227="Sub",N($U227)=0),"Subactividad sin macroactividad arriba"&amp;" · ","")&amp;IF($AM227="","Sin fecha de inicio"&amp;" · ","")&amp;IF($AN227="","Sin fecha límite"&amp;" · ","")&amp;IF(AND(LEFT($C227,11)="[Jefatura] ",N($AL227)=0),"No se encuentra en la hoja de la jefatura (elíjala de nuevo en la lista)"&amp;" · ","")&amp;IF(OR(AND($E227&lt;&gt;"",NOT(ISNUMBER($E227))),AND($F227&lt;&gt;"",NOT(ISNUMBER($F227))),AND($G227&lt;&gt;"",NOT(ISNUMBER($G227)))),"Fecha no válida"&amp;" · ","")&amp;IF(AND(ISNUMBER($AM227),ISNUMBER($AN227),$AM227&gt;$AN227),"Inicio posterior a fecha límite"&amp;" · ","")&amp;IF(AND($V227="Macro",$H227&lt;&gt;"",OR(NOT(ISNUMBER($H227)),$H227&lt;0,$H227&gt;1)),"Peso fuera de rango"&amp;" · ","")&amp;IF(AND($V227="Sub",$H227&lt;&gt;""),"Las subactividades no llevan peso (valen igual dentro de su macroactividad)"&amp;" · ","")&amp;IF(AND(N($W227)&gt;0,COUNT($I227:$L227)&gt;0),"Con subactividades: deje vacías las semanas (se calculan solas)"&amp;" · ","")&amp;IF((COUNTIF($I227:$L227,"&gt;1")+COUNTIF($I227:$L227,"&lt;0")+COUNTA($I227:$L227)-COUNT($I227:$L227))&gt;0,"Avance fuera de rango 0-100%"&amp;" · ","")&amp;IF(OR(AND($J227&lt;&gt;"",$J227&lt;$I227),AND($K227&lt;&gt;"",$K227&lt;MAX($I227:$J227)),AND($L227&lt;&gt;"",$L227&lt;MAX($I227:$K227))),"Avance semanal decreciente"&amp;" · ","")&amp;IF(AND(ISNUMBER($AN227),$AN227&lt;FechaRef,IF($V227="Sub",N($X227),N($M227))&lt;1),"Vencida"&amp;" · ","")&amp;IF(AND(ObsObligatoria="Sí",ISNUMBER($AN227),$AN227&lt;FechaRef,IF($V227="Sub",N($X227),N($M227))&lt;1,$Q227=""),"Vencida sin observación"&amp;" · ",""))-3)))</f>
        <v/>
      </c>
      <c r="S227" s="64">
        <f>IF(NOT((COUNTA($B227:$D227)+COUNTA($G227:$L227)+COUNTA($Q227))&gt;0),"",IF(AND($V227="Sub",N($U227)&gt;0),IF(ISNUMBER(INDEX($AM$5:$AM$1000,$U227-4)),DATE(YEAR(INDEX($AM$5:$AM$1000,$U227-4)),MONTH(INDEX($AM$5:$AM$1000,$U227-4)),1),IF(ISNUMBER(INDEX($AN$5:$AN$1000,$U227-4)),DATE(YEAR(INDEX($AN$5:$AN$1000,$U227-4)),MONTH(INDEX($AN$5:$AN$1000,$U227-4)),1),MesCiclo)),IF(ISNUMBER($AM227),DATE(YEAR($AM227),MONTH($AM227),1),IF(ISNUMBER($AN227),DATE(YEAR($AN227),MONTH($AN227),1),MesCiclo))))</f>
        <v/>
      </c>
      <c r="T227" s="62">
        <f>IF(OR($S227="",$S227&lt;&gt;MesCiclo,$V227&lt;&gt;"Macro"),"",COUNTIFS($S$5:$S227,MesCiclo,$V$5:$V227,"Macro"))</f>
        <v/>
      </c>
      <c r="U227" s="62">
        <f>IF($V227="","",IF($V227="Macro",ROW(),IFERROR(LOOKUP(2,1/($V$5:$V227="Macro"),ROW($V$5:$V227)),0)))</f>
        <v/>
      </c>
      <c r="V227" s="62">
        <f>IF(NOT((COUNTA($B227:$D227)+COUNTA($G227:$L227)+COUNTA($Q227))&gt;0),"",IF($B227="Subactividad","Sub","Macro"))</f>
        <v/>
      </c>
      <c r="W227" s="62">
        <f>IF($V227="Macro",COUNTIFS($U$5:$U$1000,ROW(),$V$5:$V$1000,"Sub"),"")</f>
        <v/>
      </c>
      <c r="X227" s="62">
        <f>IF($V227="","",IF(ISNUMBER($G227),1,IFERROR(LOOKUP(2,1/($I227:$L227&lt;&gt;""),$I227:$L227),0)))</f>
        <v/>
      </c>
      <c r="Y227" s="62">
        <f>IF($V227="","",IF(AND(ISNUMBER($G227),$G227&lt;=IF($S227=MesCiclo,InicioCiclo,$S227+MOD(2-WEEKDAY($S227),7))+6),1,IF(ISNUMBER($I227),$I227,0)))</f>
        <v/>
      </c>
      <c r="Z227" s="62">
        <f>IF($V227="","",IF(AND(ISNUMBER($G227),$G227&lt;=IF($S227=MesCiclo,InicioCiclo,$S227+MOD(2-WEEKDAY($S227),7))+13),1,IF(ISNUMBER($J227),$J227,$Y227)))</f>
        <v/>
      </c>
      <c r="AA227" s="62">
        <f>IF($V227="","",IF(AND(ISNUMBER($G227),$G227&lt;=IF($S227=MesCiclo,InicioCiclo,$S227+MOD(2-WEEKDAY($S227),7))+20),1,IF(ISNUMBER($K227),$K227,$Z227)))</f>
        <v/>
      </c>
      <c r="AB227" s="62">
        <f>IF($V227="","",IF(AND(ISNUMBER($G227),$G227&lt;=IF($S227=MesCiclo,InicioCiclo,$S227+MOD(2-WEEKDAY($S227),7))+27),1,IF(ISNUMBER($L227),$L227,$AA227)))</f>
        <v/>
      </c>
      <c r="AC227" s="62">
        <f>IF($V227="","",IF(AND(ISNUMBER($G227),$G227&lt;=IF($S227=MesCiclo,InicioCiclo,$S227+MOD(2-WEEKDAY($S227),7))+6),1,IF(N($W227)&gt;0,AVERAGEIFS($Y$5:$Y$1000,$U$5:$U$1000,ROW(),$V$5:$V$1000,"Sub"),$Y227)))</f>
        <v/>
      </c>
      <c r="AD227" s="62">
        <f>IF($V227="","",IF(AND(ISNUMBER($G227),$G227&lt;=IF($S227=MesCiclo,InicioCiclo,$S227+MOD(2-WEEKDAY($S227),7))+13),1,IF(N($W227)&gt;0,AVERAGEIFS($Z$5:$Z$1000,$U$5:$U$1000,ROW(),$V$5:$V$1000,"Sub"),$Z227)))</f>
        <v/>
      </c>
      <c r="AE227" s="62">
        <f>IF($V227="","",IF(AND(ISNUMBER($G227),$G227&lt;=IF($S227=MesCiclo,InicioCiclo,$S227+MOD(2-WEEKDAY($S227),7))+20),1,IF(N($W227)&gt;0,AVERAGEIFS($AA$5:$AA$1000,$U$5:$U$1000,ROW(),$V$5:$V$1000,"Sub"),$AA227)))</f>
        <v/>
      </c>
      <c r="AF227" s="62">
        <f>IF($V227="","",IF(AND(ISNUMBER($G227),$G227&lt;=IF($S227=MesCiclo,InicioCiclo,$S227+MOD(2-WEEKDAY($S227),7))+27),1,IF(N($W227)&gt;0,AVERAGEIFS($AB$5:$AB$1000,$U$5:$U$1000,ROW(),$V$5:$V$1000,"Sub"),$AB227)))</f>
        <v/>
      </c>
      <c r="AG227" s="62">
        <f>IF($V227&lt;&gt;"Macro","",IF(COUNTIFS($S$5:$S$1000,$S227,$V$5:$V$1000,"Macro",$H$5:$H$1000,"&gt;0")=0,1/COUNTIFS($S$5:$S$1000,$S227,$V$5:$V$1000,"Macro"),IF(AND(ISNUMBER($H227),N($H227)&gt;0),$H227,SUMIFS($H$5:$H$1000,$S$5:$S$1000,$S227,$V$5:$V$1000,"Macro")/COUNTIFS($S$5:$S$1000,$S227,$V$5:$V$1000,"Macro",$H$5:$H$1000,"&gt;0"))/(COUNTIFS($S$5:$S$1000,$S227,$V$5:$V$1000,"Macro")*SUMIFS($H$5:$H$1000,$S$5:$S$1000,$S227,$V$5:$V$1000,"Macro")/COUNTIFS($S$5:$S$1000,$S227,$V$5:$V$1000,"Macro",$H$5:$H$1000,"&gt;0"))))</f>
        <v/>
      </c>
      <c r="AH227" s="62" t="n"/>
      <c r="AI227" s="62" t="n"/>
      <c r="AJ227" s="62" t="n"/>
      <c r="AK227" s="62" t="n"/>
      <c r="AL227" s="62">
        <f>IF(LEFT($C227,11)="[Jefatura] ",IFERROR(MATCH("Riesgo Normativo|"&amp;MID($C227,12,500),rDname_ADM,0),0),"")</f>
        <v/>
      </c>
      <c r="AM227" s="62">
        <f>IF(N($AL227)&gt;0,INDEX(rIni_ADM,$AL227),IF(ISNUMBER($E227),$E227,""))</f>
        <v/>
      </c>
      <c r="AN227" s="62">
        <f>IF(N($AL227)&gt;0,INDEX(rLim_ADM,$AL227),IF(ISNUMBER($F227),$F227,""))</f>
        <v/>
      </c>
    </row>
    <row r="228">
      <c r="A228" s="56">
        <f>IF(NOT((COUNTA($B228:$D228)+COUNTA($G228:$L228)+COUNTA($Q228))&gt;0),"",IF($V228="Macro",COUNTIFS($V$5:$V228,"Macro",$S$5:$S228,$S228),IF(N($U228)=0,"?",COUNTIFS(INDEX($V$5:$V$1000,1):INDEX($V$5:$V$1000,$U228-4),"Macro",INDEX($S$5:$S$1000,1):INDEX($S$5:$S$1000,$U228-4),INDEX($S$5:$S$1000,$U228-4))&amp;"."&amp;COUNTIFS($U$5:$U228,$U228,$V$5:$V228,"Sub"))))</f>
        <v/>
      </c>
      <c r="B228" s="57" t="n"/>
      <c r="C228" s="58" t="n"/>
      <c r="D228" s="58" t="n"/>
      <c r="E228" s="59">
        <f>IF(N($AL228)&gt;0,INDEX(rIni_ADM,$AL228),"")</f>
        <v/>
      </c>
      <c r="F228" s="59">
        <f>IF(N($AL228)&gt;0,INDEX(rLim_ADM,$AL228),"")</f>
        <v/>
      </c>
      <c r="G228" s="59" t="n"/>
      <c r="H228" s="60" t="n"/>
      <c r="I228" s="60" t="n"/>
      <c r="J228" s="60" t="n"/>
      <c r="K228" s="60" t="n"/>
      <c r="L228" s="60" t="n"/>
      <c r="M228" s="61">
        <f>IF(NOT((COUNTA($B228:$D228)+COUNTA($G228:$L228)+COUNTA($Q228))&gt;0),"",IF($V228="Sub",IFERROR($X228/INDEX($W$5:$W$1000,$U228-4),""),IF(ISNUMBER($G228),1,IF(N($W228)&gt;0,AVERAGEIFS($X$5:$X$1000,$U$5:$U$1000,ROW(),$V$5:$V$1000,"Sub"),$X228))))</f>
        <v/>
      </c>
      <c r="N228" s="56">
        <f>IF(OR($M228="",$V228="Sub"),"",IF($M228&gt;=1,"Completado",IF($M228&gt;0,"En curso","Pendiente")))</f>
        <v/>
      </c>
      <c r="O228" s="56">
        <f>IF(OR(NOT((COUNTA($B228:$D228)+COUNTA($G228:$L228)+COUNTA($Q228))&gt;0),$V228="Sub"),"",IF(ISNUMBER($G228),IF(AND(ISNUMBER($AN228),$G228&gt;$AN228),"Cumplida con "&amp;($G228-$AN228)&amp;IF($G228-$AN228=1," día"," días")&amp;" de retraso","Cumplida"),IF(N($M228)&gt;=1,"Cumplida",IF(NOT(ISNUMBER($AN228)),"Sin fecha límite",IF($AN228&lt;FechaRef,"Vencida hace "&amp;(FechaRef-$AN228)&amp;IF(FechaRef-$AN228=1," día"," días"),IF($AN228=FechaRef,"Vence hoy",IF($AN228-FechaRef&lt;=DiasAlerta,"Vence en "&amp;($AN228-FechaRef)&amp;IF($AN228-FechaRef=1," día"," días"),"En plazo")))))))</f>
        <v/>
      </c>
      <c r="P228" s="62" t="n"/>
      <c r="Q228" s="58" t="n"/>
      <c r="R228" s="63">
        <f>IF(NOT((COUNTA($B228:$D228)+COUNTA($G228:$L228)+COUNTA($Q228))&gt;0),"",IF((IF($C228="","Falta el nombre de la actividad"&amp;" · ","")&amp;IF(AND($V228="Sub",N($U228)=0),"Subactividad sin macroactividad arriba"&amp;" · ","")&amp;IF($AM228="","Sin fecha de inicio"&amp;" · ","")&amp;IF($AN228="","Sin fecha límite"&amp;" · ","")&amp;IF(AND(LEFT($C228,11)="[Jefatura] ",N($AL228)=0),"No se encuentra en la hoja de la jefatura (elíjala de nuevo en la lista)"&amp;" · ","")&amp;IF(OR(AND($E228&lt;&gt;"",NOT(ISNUMBER($E228))),AND($F228&lt;&gt;"",NOT(ISNUMBER($F228))),AND($G228&lt;&gt;"",NOT(ISNUMBER($G228)))),"Fecha no válida"&amp;" · ","")&amp;IF(AND(ISNUMBER($AM228),ISNUMBER($AN228),$AM228&gt;$AN228),"Inicio posterior a fecha límite"&amp;" · ","")&amp;IF(AND($V228="Macro",$H228&lt;&gt;"",OR(NOT(ISNUMBER($H228)),$H228&lt;0,$H228&gt;1)),"Peso fuera de rango"&amp;" · ","")&amp;IF(AND($V228="Sub",$H228&lt;&gt;""),"Las subactividades no llevan peso (valen igual dentro de su macroactividad)"&amp;" · ","")&amp;IF(AND(N($W228)&gt;0,COUNT($I228:$L228)&gt;0),"Con subactividades: deje vacías las semanas (se calculan solas)"&amp;" · ","")&amp;IF((COUNTIF($I228:$L228,"&gt;1")+COUNTIF($I228:$L228,"&lt;0")+COUNTA($I228:$L228)-COUNT($I228:$L228))&gt;0,"Avance fuera de rango 0-100%"&amp;" · ","")&amp;IF(OR(AND($J228&lt;&gt;"",$J228&lt;$I228),AND($K228&lt;&gt;"",$K228&lt;MAX($I228:$J228)),AND($L228&lt;&gt;"",$L228&lt;MAX($I228:$K228))),"Avance semanal decreciente"&amp;" · ","")&amp;IF(AND(ISNUMBER($AN228),$AN228&lt;FechaRef,IF($V228="Sub",N($X228),N($M228))&lt;1),"Vencida"&amp;" · ","")&amp;IF(AND(ObsObligatoria="Sí",ISNUMBER($AN228),$AN228&lt;FechaRef,IF($V228="Sub",N($X228),N($M228))&lt;1,$Q228=""),"Vencida sin observación"&amp;" · ",""))="","✔ OK","⚠ "&amp;LEFT(IF($C228="","Falta el nombre de la actividad"&amp;" · ","")&amp;IF(AND($V228="Sub",N($U228)=0),"Subactividad sin macroactividad arriba"&amp;" · ","")&amp;IF($AM228="","Sin fecha de inicio"&amp;" · ","")&amp;IF($AN228="","Sin fecha límite"&amp;" · ","")&amp;IF(AND(LEFT($C228,11)="[Jefatura] ",N($AL228)=0),"No se encuentra en la hoja de la jefatura (elíjala de nuevo en la lista)"&amp;" · ","")&amp;IF(OR(AND($E228&lt;&gt;"",NOT(ISNUMBER($E228))),AND($F228&lt;&gt;"",NOT(ISNUMBER($F228))),AND($G228&lt;&gt;"",NOT(ISNUMBER($G228)))),"Fecha no válida"&amp;" · ","")&amp;IF(AND(ISNUMBER($AM228),ISNUMBER($AN228),$AM228&gt;$AN228),"Inicio posterior a fecha límite"&amp;" · ","")&amp;IF(AND($V228="Macro",$H228&lt;&gt;"",OR(NOT(ISNUMBER($H228)),$H228&lt;0,$H228&gt;1)),"Peso fuera de rango"&amp;" · ","")&amp;IF(AND($V228="Sub",$H228&lt;&gt;""),"Las subactividades no llevan peso (valen igual dentro de su macroactividad)"&amp;" · ","")&amp;IF(AND(N($W228)&gt;0,COUNT($I228:$L228)&gt;0),"Con subactividades: deje vacías las semanas (se calculan solas)"&amp;" · ","")&amp;IF((COUNTIF($I228:$L228,"&gt;1")+COUNTIF($I228:$L228,"&lt;0")+COUNTA($I228:$L228)-COUNT($I228:$L228))&gt;0,"Avance fuera de rango 0-100%"&amp;" · ","")&amp;IF(OR(AND($J228&lt;&gt;"",$J228&lt;$I228),AND($K228&lt;&gt;"",$K228&lt;MAX($I228:$J228)),AND($L228&lt;&gt;"",$L228&lt;MAX($I228:$K228))),"Avance semanal decreciente"&amp;" · ","")&amp;IF(AND(ISNUMBER($AN228),$AN228&lt;FechaRef,IF($V228="Sub",N($X228),N($M228))&lt;1),"Vencida"&amp;" · ","")&amp;IF(AND(ObsObligatoria="Sí",ISNUMBER($AN228),$AN228&lt;FechaRef,IF($V228="Sub",N($X228),N($M228))&lt;1,$Q228=""),"Vencida sin observación"&amp;" · ",""),LEN(IF($C228="","Falta el nombre de la actividad"&amp;" · ","")&amp;IF(AND($V228="Sub",N($U228)=0),"Subactividad sin macroactividad arriba"&amp;" · ","")&amp;IF($AM228="","Sin fecha de inicio"&amp;" · ","")&amp;IF($AN228="","Sin fecha límite"&amp;" · ","")&amp;IF(AND(LEFT($C228,11)="[Jefatura] ",N($AL228)=0),"No se encuentra en la hoja de la jefatura (elíjala de nuevo en la lista)"&amp;" · ","")&amp;IF(OR(AND($E228&lt;&gt;"",NOT(ISNUMBER($E228))),AND($F228&lt;&gt;"",NOT(ISNUMBER($F228))),AND($G228&lt;&gt;"",NOT(ISNUMBER($G228)))),"Fecha no válida"&amp;" · ","")&amp;IF(AND(ISNUMBER($AM228),ISNUMBER($AN228),$AM228&gt;$AN228),"Inicio posterior a fecha límite"&amp;" · ","")&amp;IF(AND($V228="Macro",$H228&lt;&gt;"",OR(NOT(ISNUMBER($H228)),$H228&lt;0,$H228&gt;1)),"Peso fuera de rango"&amp;" · ","")&amp;IF(AND($V228="Sub",$H228&lt;&gt;""),"Las subactividades no llevan peso (valen igual dentro de su macroactividad)"&amp;" · ","")&amp;IF(AND(N($W228)&gt;0,COUNT($I228:$L228)&gt;0),"Con subactividades: deje vacías las semanas (se calculan solas)"&amp;" · ","")&amp;IF((COUNTIF($I228:$L228,"&gt;1")+COUNTIF($I228:$L228,"&lt;0")+COUNTA($I228:$L228)-COUNT($I228:$L228))&gt;0,"Avance fuera de rango 0-100%"&amp;" · ","")&amp;IF(OR(AND($J228&lt;&gt;"",$J228&lt;$I228),AND($K228&lt;&gt;"",$K228&lt;MAX($I228:$J228)),AND($L228&lt;&gt;"",$L228&lt;MAX($I228:$K228))),"Avance semanal decreciente"&amp;" · ","")&amp;IF(AND(ISNUMBER($AN228),$AN228&lt;FechaRef,IF($V228="Sub",N($X228),N($M228))&lt;1),"Vencida"&amp;" · ","")&amp;IF(AND(ObsObligatoria="Sí",ISNUMBER($AN228),$AN228&lt;FechaRef,IF($V228="Sub",N($X228),N($M228))&lt;1,$Q228=""),"Vencida sin observación"&amp;" · ",""))-3)))</f>
        <v/>
      </c>
      <c r="S228" s="64">
        <f>IF(NOT((COUNTA($B228:$D228)+COUNTA($G228:$L228)+COUNTA($Q228))&gt;0),"",IF(AND($V228="Sub",N($U228)&gt;0),IF(ISNUMBER(INDEX($AM$5:$AM$1000,$U228-4)),DATE(YEAR(INDEX($AM$5:$AM$1000,$U228-4)),MONTH(INDEX($AM$5:$AM$1000,$U228-4)),1),IF(ISNUMBER(INDEX($AN$5:$AN$1000,$U228-4)),DATE(YEAR(INDEX($AN$5:$AN$1000,$U228-4)),MONTH(INDEX($AN$5:$AN$1000,$U228-4)),1),MesCiclo)),IF(ISNUMBER($AM228),DATE(YEAR($AM228),MONTH($AM228),1),IF(ISNUMBER($AN228),DATE(YEAR($AN228),MONTH($AN228),1),MesCiclo))))</f>
        <v/>
      </c>
      <c r="T228" s="62">
        <f>IF(OR($S228="",$S228&lt;&gt;MesCiclo,$V228&lt;&gt;"Macro"),"",COUNTIFS($S$5:$S228,MesCiclo,$V$5:$V228,"Macro"))</f>
        <v/>
      </c>
      <c r="U228" s="62">
        <f>IF($V228="","",IF($V228="Macro",ROW(),IFERROR(LOOKUP(2,1/($V$5:$V228="Macro"),ROW($V$5:$V228)),0)))</f>
        <v/>
      </c>
      <c r="V228" s="62">
        <f>IF(NOT((COUNTA($B228:$D228)+COUNTA($G228:$L228)+COUNTA($Q228))&gt;0),"",IF($B228="Subactividad","Sub","Macro"))</f>
        <v/>
      </c>
      <c r="W228" s="62">
        <f>IF($V228="Macro",COUNTIFS($U$5:$U$1000,ROW(),$V$5:$V$1000,"Sub"),"")</f>
        <v/>
      </c>
      <c r="X228" s="62">
        <f>IF($V228="","",IF(ISNUMBER($G228),1,IFERROR(LOOKUP(2,1/($I228:$L228&lt;&gt;""),$I228:$L228),0)))</f>
        <v/>
      </c>
      <c r="Y228" s="62">
        <f>IF($V228="","",IF(AND(ISNUMBER($G228),$G228&lt;=IF($S228=MesCiclo,InicioCiclo,$S228+MOD(2-WEEKDAY($S228),7))+6),1,IF(ISNUMBER($I228),$I228,0)))</f>
        <v/>
      </c>
      <c r="Z228" s="62">
        <f>IF($V228="","",IF(AND(ISNUMBER($G228),$G228&lt;=IF($S228=MesCiclo,InicioCiclo,$S228+MOD(2-WEEKDAY($S228),7))+13),1,IF(ISNUMBER($J228),$J228,$Y228)))</f>
        <v/>
      </c>
      <c r="AA228" s="62">
        <f>IF($V228="","",IF(AND(ISNUMBER($G228),$G228&lt;=IF($S228=MesCiclo,InicioCiclo,$S228+MOD(2-WEEKDAY($S228),7))+20),1,IF(ISNUMBER($K228),$K228,$Z228)))</f>
        <v/>
      </c>
      <c r="AB228" s="62">
        <f>IF($V228="","",IF(AND(ISNUMBER($G228),$G228&lt;=IF($S228=MesCiclo,InicioCiclo,$S228+MOD(2-WEEKDAY($S228),7))+27),1,IF(ISNUMBER($L228),$L228,$AA228)))</f>
        <v/>
      </c>
      <c r="AC228" s="62">
        <f>IF($V228="","",IF(AND(ISNUMBER($G228),$G228&lt;=IF($S228=MesCiclo,InicioCiclo,$S228+MOD(2-WEEKDAY($S228),7))+6),1,IF(N($W228)&gt;0,AVERAGEIFS($Y$5:$Y$1000,$U$5:$U$1000,ROW(),$V$5:$V$1000,"Sub"),$Y228)))</f>
        <v/>
      </c>
      <c r="AD228" s="62">
        <f>IF($V228="","",IF(AND(ISNUMBER($G228),$G228&lt;=IF($S228=MesCiclo,InicioCiclo,$S228+MOD(2-WEEKDAY($S228),7))+13),1,IF(N($W228)&gt;0,AVERAGEIFS($Z$5:$Z$1000,$U$5:$U$1000,ROW(),$V$5:$V$1000,"Sub"),$Z228)))</f>
        <v/>
      </c>
      <c r="AE228" s="62">
        <f>IF($V228="","",IF(AND(ISNUMBER($G228),$G228&lt;=IF($S228=MesCiclo,InicioCiclo,$S228+MOD(2-WEEKDAY($S228),7))+20),1,IF(N($W228)&gt;0,AVERAGEIFS($AA$5:$AA$1000,$U$5:$U$1000,ROW(),$V$5:$V$1000,"Sub"),$AA228)))</f>
        <v/>
      </c>
      <c r="AF228" s="62">
        <f>IF($V228="","",IF(AND(ISNUMBER($G228),$G228&lt;=IF($S228=MesCiclo,InicioCiclo,$S228+MOD(2-WEEKDAY($S228),7))+27),1,IF(N($W228)&gt;0,AVERAGEIFS($AB$5:$AB$1000,$U$5:$U$1000,ROW(),$V$5:$V$1000,"Sub"),$AB228)))</f>
        <v/>
      </c>
      <c r="AG228" s="62">
        <f>IF($V228&lt;&gt;"Macro","",IF(COUNTIFS($S$5:$S$1000,$S228,$V$5:$V$1000,"Macro",$H$5:$H$1000,"&gt;0")=0,1/COUNTIFS($S$5:$S$1000,$S228,$V$5:$V$1000,"Macro"),IF(AND(ISNUMBER($H228),N($H228)&gt;0),$H228,SUMIFS($H$5:$H$1000,$S$5:$S$1000,$S228,$V$5:$V$1000,"Macro")/COUNTIFS($S$5:$S$1000,$S228,$V$5:$V$1000,"Macro",$H$5:$H$1000,"&gt;0"))/(COUNTIFS($S$5:$S$1000,$S228,$V$5:$V$1000,"Macro")*SUMIFS($H$5:$H$1000,$S$5:$S$1000,$S228,$V$5:$V$1000,"Macro")/COUNTIFS($S$5:$S$1000,$S228,$V$5:$V$1000,"Macro",$H$5:$H$1000,"&gt;0"))))</f>
        <v/>
      </c>
      <c r="AH228" s="62" t="n"/>
      <c r="AI228" s="62" t="n"/>
      <c r="AJ228" s="62" t="n"/>
      <c r="AK228" s="62" t="n"/>
      <c r="AL228" s="62">
        <f>IF(LEFT($C228,11)="[Jefatura] ",IFERROR(MATCH("Riesgo Normativo|"&amp;MID($C228,12,500),rDname_ADM,0),0),"")</f>
        <v/>
      </c>
      <c r="AM228" s="62">
        <f>IF(N($AL228)&gt;0,INDEX(rIni_ADM,$AL228),IF(ISNUMBER($E228),$E228,""))</f>
        <v/>
      </c>
      <c r="AN228" s="62">
        <f>IF(N($AL228)&gt;0,INDEX(rLim_ADM,$AL228),IF(ISNUMBER($F228),$F228,""))</f>
        <v/>
      </c>
    </row>
    <row r="229">
      <c r="A229" s="56">
        <f>IF(NOT((COUNTA($B229:$D229)+COUNTA($G229:$L229)+COUNTA($Q229))&gt;0),"",IF($V229="Macro",COUNTIFS($V$5:$V229,"Macro",$S$5:$S229,$S229),IF(N($U229)=0,"?",COUNTIFS(INDEX($V$5:$V$1000,1):INDEX($V$5:$V$1000,$U229-4),"Macro",INDEX($S$5:$S$1000,1):INDEX($S$5:$S$1000,$U229-4),INDEX($S$5:$S$1000,$U229-4))&amp;"."&amp;COUNTIFS($U$5:$U229,$U229,$V$5:$V229,"Sub"))))</f>
        <v/>
      </c>
      <c r="B229" s="57" t="n"/>
      <c r="C229" s="58" t="n"/>
      <c r="D229" s="58" t="n"/>
      <c r="E229" s="59">
        <f>IF(N($AL229)&gt;0,INDEX(rIni_ADM,$AL229),"")</f>
        <v/>
      </c>
      <c r="F229" s="59">
        <f>IF(N($AL229)&gt;0,INDEX(rLim_ADM,$AL229),"")</f>
        <v/>
      </c>
      <c r="G229" s="59" t="n"/>
      <c r="H229" s="60" t="n"/>
      <c r="I229" s="60" t="n"/>
      <c r="J229" s="60" t="n"/>
      <c r="K229" s="60" t="n"/>
      <c r="L229" s="60" t="n"/>
      <c r="M229" s="61">
        <f>IF(NOT((COUNTA($B229:$D229)+COUNTA($G229:$L229)+COUNTA($Q229))&gt;0),"",IF($V229="Sub",IFERROR($X229/INDEX($W$5:$W$1000,$U229-4),""),IF(ISNUMBER($G229),1,IF(N($W229)&gt;0,AVERAGEIFS($X$5:$X$1000,$U$5:$U$1000,ROW(),$V$5:$V$1000,"Sub"),$X229))))</f>
        <v/>
      </c>
      <c r="N229" s="56">
        <f>IF(OR($M229="",$V229="Sub"),"",IF($M229&gt;=1,"Completado",IF($M229&gt;0,"En curso","Pendiente")))</f>
        <v/>
      </c>
      <c r="O229" s="56">
        <f>IF(OR(NOT((COUNTA($B229:$D229)+COUNTA($G229:$L229)+COUNTA($Q229))&gt;0),$V229="Sub"),"",IF(ISNUMBER($G229),IF(AND(ISNUMBER($AN229),$G229&gt;$AN229),"Cumplida con "&amp;($G229-$AN229)&amp;IF($G229-$AN229=1," día"," días")&amp;" de retraso","Cumplida"),IF(N($M229)&gt;=1,"Cumplida",IF(NOT(ISNUMBER($AN229)),"Sin fecha límite",IF($AN229&lt;FechaRef,"Vencida hace "&amp;(FechaRef-$AN229)&amp;IF(FechaRef-$AN229=1," día"," días"),IF($AN229=FechaRef,"Vence hoy",IF($AN229-FechaRef&lt;=DiasAlerta,"Vence en "&amp;($AN229-FechaRef)&amp;IF($AN229-FechaRef=1," día"," días"),"En plazo")))))))</f>
        <v/>
      </c>
      <c r="P229" s="62" t="n"/>
      <c r="Q229" s="58" t="n"/>
      <c r="R229" s="63">
        <f>IF(NOT((COUNTA($B229:$D229)+COUNTA($G229:$L229)+COUNTA($Q229))&gt;0),"",IF((IF($C229="","Falta el nombre de la actividad"&amp;" · ","")&amp;IF(AND($V229="Sub",N($U229)=0),"Subactividad sin macroactividad arriba"&amp;" · ","")&amp;IF($AM229="","Sin fecha de inicio"&amp;" · ","")&amp;IF($AN229="","Sin fecha límite"&amp;" · ","")&amp;IF(AND(LEFT($C229,11)="[Jefatura] ",N($AL229)=0),"No se encuentra en la hoja de la jefatura (elíjala de nuevo en la lista)"&amp;" · ","")&amp;IF(OR(AND($E229&lt;&gt;"",NOT(ISNUMBER($E229))),AND($F229&lt;&gt;"",NOT(ISNUMBER($F229))),AND($G229&lt;&gt;"",NOT(ISNUMBER($G229)))),"Fecha no válida"&amp;" · ","")&amp;IF(AND(ISNUMBER($AM229),ISNUMBER($AN229),$AM229&gt;$AN229),"Inicio posterior a fecha límite"&amp;" · ","")&amp;IF(AND($V229="Macro",$H229&lt;&gt;"",OR(NOT(ISNUMBER($H229)),$H229&lt;0,$H229&gt;1)),"Peso fuera de rango"&amp;" · ","")&amp;IF(AND($V229="Sub",$H229&lt;&gt;""),"Las subactividades no llevan peso (valen igual dentro de su macroactividad)"&amp;" · ","")&amp;IF(AND(N($W229)&gt;0,COUNT($I229:$L229)&gt;0),"Con subactividades: deje vacías las semanas (se calculan solas)"&amp;" · ","")&amp;IF((COUNTIF($I229:$L229,"&gt;1")+COUNTIF($I229:$L229,"&lt;0")+COUNTA($I229:$L229)-COUNT($I229:$L229))&gt;0,"Avance fuera de rango 0-100%"&amp;" · ","")&amp;IF(OR(AND($J229&lt;&gt;"",$J229&lt;$I229),AND($K229&lt;&gt;"",$K229&lt;MAX($I229:$J229)),AND($L229&lt;&gt;"",$L229&lt;MAX($I229:$K229))),"Avance semanal decreciente"&amp;" · ","")&amp;IF(AND(ISNUMBER($AN229),$AN229&lt;FechaRef,IF($V229="Sub",N($X229),N($M229))&lt;1),"Vencida"&amp;" · ","")&amp;IF(AND(ObsObligatoria="Sí",ISNUMBER($AN229),$AN229&lt;FechaRef,IF($V229="Sub",N($X229),N($M229))&lt;1,$Q229=""),"Vencida sin observación"&amp;" · ",""))="","✔ OK","⚠ "&amp;LEFT(IF($C229="","Falta el nombre de la actividad"&amp;" · ","")&amp;IF(AND($V229="Sub",N($U229)=0),"Subactividad sin macroactividad arriba"&amp;" · ","")&amp;IF($AM229="","Sin fecha de inicio"&amp;" · ","")&amp;IF($AN229="","Sin fecha límite"&amp;" · ","")&amp;IF(AND(LEFT($C229,11)="[Jefatura] ",N($AL229)=0),"No se encuentra en la hoja de la jefatura (elíjala de nuevo en la lista)"&amp;" · ","")&amp;IF(OR(AND($E229&lt;&gt;"",NOT(ISNUMBER($E229))),AND($F229&lt;&gt;"",NOT(ISNUMBER($F229))),AND($G229&lt;&gt;"",NOT(ISNUMBER($G229)))),"Fecha no válida"&amp;" · ","")&amp;IF(AND(ISNUMBER($AM229),ISNUMBER($AN229),$AM229&gt;$AN229),"Inicio posterior a fecha límite"&amp;" · ","")&amp;IF(AND($V229="Macro",$H229&lt;&gt;"",OR(NOT(ISNUMBER($H229)),$H229&lt;0,$H229&gt;1)),"Peso fuera de rango"&amp;" · ","")&amp;IF(AND($V229="Sub",$H229&lt;&gt;""),"Las subactividades no llevan peso (valen igual dentro de su macroactividad)"&amp;" · ","")&amp;IF(AND(N($W229)&gt;0,COUNT($I229:$L229)&gt;0),"Con subactividades: deje vacías las semanas (se calculan solas)"&amp;" · ","")&amp;IF((COUNTIF($I229:$L229,"&gt;1")+COUNTIF($I229:$L229,"&lt;0")+COUNTA($I229:$L229)-COUNT($I229:$L229))&gt;0,"Avance fuera de rango 0-100%"&amp;" · ","")&amp;IF(OR(AND($J229&lt;&gt;"",$J229&lt;$I229),AND($K229&lt;&gt;"",$K229&lt;MAX($I229:$J229)),AND($L229&lt;&gt;"",$L229&lt;MAX($I229:$K229))),"Avance semanal decreciente"&amp;" · ","")&amp;IF(AND(ISNUMBER($AN229),$AN229&lt;FechaRef,IF($V229="Sub",N($X229),N($M229))&lt;1),"Vencida"&amp;" · ","")&amp;IF(AND(ObsObligatoria="Sí",ISNUMBER($AN229),$AN229&lt;FechaRef,IF($V229="Sub",N($X229),N($M229))&lt;1,$Q229=""),"Vencida sin observación"&amp;" · ",""),LEN(IF($C229="","Falta el nombre de la actividad"&amp;" · ","")&amp;IF(AND($V229="Sub",N($U229)=0),"Subactividad sin macroactividad arriba"&amp;" · ","")&amp;IF($AM229="","Sin fecha de inicio"&amp;" · ","")&amp;IF($AN229="","Sin fecha límite"&amp;" · ","")&amp;IF(AND(LEFT($C229,11)="[Jefatura] ",N($AL229)=0),"No se encuentra en la hoja de la jefatura (elíjala de nuevo en la lista)"&amp;" · ","")&amp;IF(OR(AND($E229&lt;&gt;"",NOT(ISNUMBER($E229))),AND($F229&lt;&gt;"",NOT(ISNUMBER($F229))),AND($G229&lt;&gt;"",NOT(ISNUMBER($G229)))),"Fecha no válida"&amp;" · ","")&amp;IF(AND(ISNUMBER($AM229),ISNUMBER($AN229),$AM229&gt;$AN229),"Inicio posterior a fecha límite"&amp;" · ","")&amp;IF(AND($V229="Macro",$H229&lt;&gt;"",OR(NOT(ISNUMBER($H229)),$H229&lt;0,$H229&gt;1)),"Peso fuera de rango"&amp;" · ","")&amp;IF(AND($V229="Sub",$H229&lt;&gt;""),"Las subactividades no llevan peso (valen igual dentro de su macroactividad)"&amp;" · ","")&amp;IF(AND(N($W229)&gt;0,COUNT($I229:$L229)&gt;0),"Con subactividades: deje vacías las semanas (se calculan solas)"&amp;" · ","")&amp;IF((COUNTIF($I229:$L229,"&gt;1")+COUNTIF($I229:$L229,"&lt;0")+COUNTA($I229:$L229)-COUNT($I229:$L229))&gt;0,"Avance fuera de rango 0-100%"&amp;" · ","")&amp;IF(OR(AND($J229&lt;&gt;"",$J229&lt;$I229),AND($K229&lt;&gt;"",$K229&lt;MAX($I229:$J229)),AND($L229&lt;&gt;"",$L229&lt;MAX($I229:$K229))),"Avance semanal decreciente"&amp;" · ","")&amp;IF(AND(ISNUMBER($AN229),$AN229&lt;FechaRef,IF($V229="Sub",N($X229),N($M229))&lt;1),"Vencida"&amp;" · ","")&amp;IF(AND(ObsObligatoria="Sí",ISNUMBER($AN229),$AN229&lt;FechaRef,IF($V229="Sub",N($X229),N($M229))&lt;1,$Q229=""),"Vencida sin observación"&amp;" · ",""))-3)))</f>
        <v/>
      </c>
      <c r="S229" s="64">
        <f>IF(NOT((COUNTA($B229:$D229)+COUNTA($G229:$L229)+COUNTA($Q229))&gt;0),"",IF(AND($V229="Sub",N($U229)&gt;0),IF(ISNUMBER(INDEX($AM$5:$AM$1000,$U229-4)),DATE(YEAR(INDEX($AM$5:$AM$1000,$U229-4)),MONTH(INDEX($AM$5:$AM$1000,$U229-4)),1),IF(ISNUMBER(INDEX($AN$5:$AN$1000,$U229-4)),DATE(YEAR(INDEX($AN$5:$AN$1000,$U229-4)),MONTH(INDEX($AN$5:$AN$1000,$U229-4)),1),MesCiclo)),IF(ISNUMBER($AM229),DATE(YEAR($AM229),MONTH($AM229),1),IF(ISNUMBER($AN229),DATE(YEAR($AN229),MONTH($AN229),1),MesCiclo))))</f>
        <v/>
      </c>
      <c r="T229" s="62">
        <f>IF(OR($S229="",$S229&lt;&gt;MesCiclo,$V229&lt;&gt;"Macro"),"",COUNTIFS($S$5:$S229,MesCiclo,$V$5:$V229,"Macro"))</f>
        <v/>
      </c>
      <c r="U229" s="62">
        <f>IF($V229="","",IF($V229="Macro",ROW(),IFERROR(LOOKUP(2,1/($V$5:$V229="Macro"),ROW($V$5:$V229)),0)))</f>
        <v/>
      </c>
      <c r="V229" s="62">
        <f>IF(NOT((COUNTA($B229:$D229)+COUNTA($G229:$L229)+COUNTA($Q229))&gt;0),"",IF($B229="Subactividad","Sub","Macro"))</f>
        <v/>
      </c>
      <c r="W229" s="62">
        <f>IF($V229="Macro",COUNTIFS($U$5:$U$1000,ROW(),$V$5:$V$1000,"Sub"),"")</f>
        <v/>
      </c>
      <c r="X229" s="62">
        <f>IF($V229="","",IF(ISNUMBER($G229),1,IFERROR(LOOKUP(2,1/($I229:$L229&lt;&gt;""),$I229:$L229),0)))</f>
        <v/>
      </c>
      <c r="Y229" s="62">
        <f>IF($V229="","",IF(AND(ISNUMBER($G229),$G229&lt;=IF($S229=MesCiclo,InicioCiclo,$S229+MOD(2-WEEKDAY($S229),7))+6),1,IF(ISNUMBER($I229),$I229,0)))</f>
        <v/>
      </c>
      <c r="Z229" s="62">
        <f>IF($V229="","",IF(AND(ISNUMBER($G229),$G229&lt;=IF($S229=MesCiclo,InicioCiclo,$S229+MOD(2-WEEKDAY($S229),7))+13),1,IF(ISNUMBER($J229),$J229,$Y229)))</f>
        <v/>
      </c>
      <c r="AA229" s="62">
        <f>IF($V229="","",IF(AND(ISNUMBER($G229),$G229&lt;=IF($S229=MesCiclo,InicioCiclo,$S229+MOD(2-WEEKDAY($S229),7))+20),1,IF(ISNUMBER($K229),$K229,$Z229)))</f>
        <v/>
      </c>
      <c r="AB229" s="62">
        <f>IF($V229="","",IF(AND(ISNUMBER($G229),$G229&lt;=IF($S229=MesCiclo,InicioCiclo,$S229+MOD(2-WEEKDAY($S229),7))+27),1,IF(ISNUMBER($L229),$L229,$AA229)))</f>
        <v/>
      </c>
      <c r="AC229" s="62">
        <f>IF($V229="","",IF(AND(ISNUMBER($G229),$G229&lt;=IF($S229=MesCiclo,InicioCiclo,$S229+MOD(2-WEEKDAY($S229),7))+6),1,IF(N($W229)&gt;0,AVERAGEIFS($Y$5:$Y$1000,$U$5:$U$1000,ROW(),$V$5:$V$1000,"Sub"),$Y229)))</f>
        <v/>
      </c>
      <c r="AD229" s="62">
        <f>IF($V229="","",IF(AND(ISNUMBER($G229),$G229&lt;=IF($S229=MesCiclo,InicioCiclo,$S229+MOD(2-WEEKDAY($S229),7))+13),1,IF(N($W229)&gt;0,AVERAGEIFS($Z$5:$Z$1000,$U$5:$U$1000,ROW(),$V$5:$V$1000,"Sub"),$Z229)))</f>
        <v/>
      </c>
      <c r="AE229" s="62">
        <f>IF($V229="","",IF(AND(ISNUMBER($G229),$G229&lt;=IF($S229=MesCiclo,InicioCiclo,$S229+MOD(2-WEEKDAY($S229),7))+20),1,IF(N($W229)&gt;0,AVERAGEIFS($AA$5:$AA$1000,$U$5:$U$1000,ROW(),$V$5:$V$1000,"Sub"),$AA229)))</f>
        <v/>
      </c>
      <c r="AF229" s="62">
        <f>IF($V229="","",IF(AND(ISNUMBER($G229),$G229&lt;=IF($S229=MesCiclo,InicioCiclo,$S229+MOD(2-WEEKDAY($S229),7))+27),1,IF(N($W229)&gt;0,AVERAGEIFS($AB$5:$AB$1000,$U$5:$U$1000,ROW(),$V$5:$V$1000,"Sub"),$AB229)))</f>
        <v/>
      </c>
      <c r="AG229" s="62">
        <f>IF($V229&lt;&gt;"Macro","",IF(COUNTIFS($S$5:$S$1000,$S229,$V$5:$V$1000,"Macro",$H$5:$H$1000,"&gt;0")=0,1/COUNTIFS($S$5:$S$1000,$S229,$V$5:$V$1000,"Macro"),IF(AND(ISNUMBER($H229),N($H229)&gt;0),$H229,SUMIFS($H$5:$H$1000,$S$5:$S$1000,$S229,$V$5:$V$1000,"Macro")/COUNTIFS($S$5:$S$1000,$S229,$V$5:$V$1000,"Macro",$H$5:$H$1000,"&gt;0"))/(COUNTIFS($S$5:$S$1000,$S229,$V$5:$V$1000,"Macro")*SUMIFS($H$5:$H$1000,$S$5:$S$1000,$S229,$V$5:$V$1000,"Macro")/COUNTIFS($S$5:$S$1000,$S229,$V$5:$V$1000,"Macro",$H$5:$H$1000,"&gt;0"))))</f>
        <v/>
      </c>
      <c r="AH229" s="62" t="n"/>
      <c r="AI229" s="62" t="n"/>
      <c r="AJ229" s="62" t="n"/>
      <c r="AK229" s="62" t="n"/>
      <c r="AL229" s="62">
        <f>IF(LEFT($C229,11)="[Jefatura] ",IFERROR(MATCH("Riesgo Normativo|"&amp;MID($C229,12,500),rDname_ADM,0),0),"")</f>
        <v/>
      </c>
      <c r="AM229" s="62">
        <f>IF(N($AL229)&gt;0,INDEX(rIni_ADM,$AL229),IF(ISNUMBER($E229),$E229,""))</f>
        <v/>
      </c>
      <c r="AN229" s="62">
        <f>IF(N($AL229)&gt;0,INDEX(rLim_ADM,$AL229),IF(ISNUMBER($F229),$F229,""))</f>
        <v/>
      </c>
    </row>
    <row r="230">
      <c r="A230" s="56">
        <f>IF(NOT((COUNTA($B230:$D230)+COUNTA($G230:$L230)+COUNTA($Q230))&gt;0),"",IF($V230="Macro",COUNTIFS($V$5:$V230,"Macro",$S$5:$S230,$S230),IF(N($U230)=0,"?",COUNTIFS(INDEX($V$5:$V$1000,1):INDEX($V$5:$V$1000,$U230-4),"Macro",INDEX($S$5:$S$1000,1):INDEX($S$5:$S$1000,$U230-4),INDEX($S$5:$S$1000,$U230-4))&amp;"."&amp;COUNTIFS($U$5:$U230,$U230,$V$5:$V230,"Sub"))))</f>
        <v/>
      </c>
      <c r="B230" s="57" t="n"/>
      <c r="C230" s="58" t="n"/>
      <c r="D230" s="58" t="n"/>
      <c r="E230" s="59">
        <f>IF(N($AL230)&gt;0,INDEX(rIni_ADM,$AL230),"")</f>
        <v/>
      </c>
      <c r="F230" s="59">
        <f>IF(N($AL230)&gt;0,INDEX(rLim_ADM,$AL230),"")</f>
        <v/>
      </c>
      <c r="G230" s="59" t="n"/>
      <c r="H230" s="60" t="n"/>
      <c r="I230" s="60" t="n"/>
      <c r="J230" s="60" t="n"/>
      <c r="K230" s="60" t="n"/>
      <c r="L230" s="60" t="n"/>
      <c r="M230" s="61">
        <f>IF(NOT((COUNTA($B230:$D230)+COUNTA($G230:$L230)+COUNTA($Q230))&gt;0),"",IF($V230="Sub",IFERROR($X230/INDEX($W$5:$W$1000,$U230-4),""),IF(ISNUMBER($G230),1,IF(N($W230)&gt;0,AVERAGEIFS($X$5:$X$1000,$U$5:$U$1000,ROW(),$V$5:$V$1000,"Sub"),$X230))))</f>
        <v/>
      </c>
      <c r="N230" s="56">
        <f>IF(OR($M230="",$V230="Sub"),"",IF($M230&gt;=1,"Completado",IF($M230&gt;0,"En curso","Pendiente")))</f>
        <v/>
      </c>
      <c r="O230" s="56">
        <f>IF(OR(NOT((COUNTA($B230:$D230)+COUNTA($G230:$L230)+COUNTA($Q230))&gt;0),$V230="Sub"),"",IF(ISNUMBER($G230),IF(AND(ISNUMBER($AN230),$G230&gt;$AN230),"Cumplida con "&amp;($G230-$AN230)&amp;IF($G230-$AN230=1," día"," días")&amp;" de retraso","Cumplida"),IF(N($M230)&gt;=1,"Cumplida",IF(NOT(ISNUMBER($AN230)),"Sin fecha límite",IF($AN230&lt;FechaRef,"Vencida hace "&amp;(FechaRef-$AN230)&amp;IF(FechaRef-$AN230=1," día"," días"),IF($AN230=FechaRef,"Vence hoy",IF($AN230-FechaRef&lt;=DiasAlerta,"Vence en "&amp;($AN230-FechaRef)&amp;IF($AN230-FechaRef=1," día"," días"),"En plazo")))))))</f>
        <v/>
      </c>
      <c r="P230" s="62" t="n"/>
      <c r="Q230" s="58" t="n"/>
      <c r="R230" s="63">
        <f>IF(NOT((COUNTA($B230:$D230)+COUNTA($G230:$L230)+COUNTA($Q230))&gt;0),"",IF((IF($C230="","Falta el nombre de la actividad"&amp;" · ","")&amp;IF(AND($V230="Sub",N($U230)=0),"Subactividad sin macroactividad arriba"&amp;" · ","")&amp;IF($AM230="","Sin fecha de inicio"&amp;" · ","")&amp;IF($AN230="","Sin fecha límite"&amp;" · ","")&amp;IF(AND(LEFT($C230,11)="[Jefatura] ",N($AL230)=0),"No se encuentra en la hoja de la jefatura (elíjala de nuevo en la lista)"&amp;" · ","")&amp;IF(OR(AND($E230&lt;&gt;"",NOT(ISNUMBER($E230))),AND($F230&lt;&gt;"",NOT(ISNUMBER($F230))),AND($G230&lt;&gt;"",NOT(ISNUMBER($G230)))),"Fecha no válida"&amp;" · ","")&amp;IF(AND(ISNUMBER($AM230),ISNUMBER($AN230),$AM230&gt;$AN230),"Inicio posterior a fecha límite"&amp;" · ","")&amp;IF(AND($V230="Macro",$H230&lt;&gt;"",OR(NOT(ISNUMBER($H230)),$H230&lt;0,$H230&gt;1)),"Peso fuera de rango"&amp;" · ","")&amp;IF(AND($V230="Sub",$H230&lt;&gt;""),"Las subactividades no llevan peso (valen igual dentro de su macroactividad)"&amp;" · ","")&amp;IF(AND(N($W230)&gt;0,COUNT($I230:$L230)&gt;0),"Con subactividades: deje vacías las semanas (se calculan solas)"&amp;" · ","")&amp;IF((COUNTIF($I230:$L230,"&gt;1")+COUNTIF($I230:$L230,"&lt;0")+COUNTA($I230:$L230)-COUNT($I230:$L230))&gt;0,"Avance fuera de rango 0-100%"&amp;" · ","")&amp;IF(OR(AND($J230&lt;&gt;"",$J230&lt;$I230),AND($K230&lt;&gt;"",$K230&lt;MAX($I230:$J230)),AND($L230&lt;&gt;"",$L230&lt;MAX($I230:$K230))),"Avance semanal decreciente"&amp;" · ","")&amp;IF(AND(ISNUMBER($AN230),$AN230&lt;FechaRef,IF($V230="Sub",N($X230),N($M230))&lt;1),"Vencida"&amp;" · ","")&amp;IF(AND(ObsObligatoria="Sí",ISNUMBER($AN230),$AN230&lt;FechaRef,IF($V230="Sub",N($X230),N($M230))&lt;1,$Q230=""),"Vencida sin observación"&amp;" · ",""))="","✔ OK","⚠ "&amp;LEFT(IF($C230="","Falta el nombre de la actividad"&amp;" · ","")&amp;IF(AND($V230="Sub",N($U230)=0),"Subactividad sin macroactividad arriba"&amp;" · ","")&amp;IF($AM230="","Sin fecha de inicio"&amp;" · ","")&amp;IF($AN230="","Sin fecha límite"&amp;" · ","")&amp;IF(AND(LEFT($C230,11)="[Jefatura] ",N($AL230)=0),"No se encuentra en la hoja de la jefatura (elíjala de nuevo en la lista)"&amp;" · ","")&amp;IF(OR(AND($E230&lt;&gt;"",NOT(ISNUMBER($E230))),AND($F230&lt;&gt;"",NOT(ISNUMBER($F230))),AND($G230&lt;&gt;"",NOT(ISNUMBER($G230)))),"Fecha no válida"&amp;" · ","")&amp;IF(AND(ISNUMBER($AM230),ISNUMBER($AN230),$AM230&gt;$AN230),"Inicio posterior a fecha límite"&amp;" · ","")&amp;IF(AND($V230="Macro",$H230&lt;&gt;"",OR(NOT(ISNUMBER($H230)),$H230&lt;0,$H230&gt;1)),"Peso fuera de rango"&amp;" · ","")&amp;IF(AND($V230="Sub",$H230&lt;&gt;""),"Las subactividades no llevan peso (valen igual dentro de su macroactividad)"&amp;" · ","")&amp;IF(AND(N($W230)&gt;0,COUNT($I230:$L230)&gt;0),"Con subactividades: deje vacías las semanas (se calculan solas)"&amp;" · ","")&amp;IF((COUNTIF($I230:$L230,"&gt;1")+COUNTIF($I230:$L230,"&lt;0")+COUNTA($I230:$L230)-COUNT($I230:$L230))&gt;0,"Avance fuera de rango 0-100%"&amp;" · ","")&amp;IF(OR(AND($J230&lt;&gt;"",$J230&lt;$I230),AND($K230&lt;&gt;"",$K230&lt;MAX($I230:$J230)),AND($L230&lt;&gt;"",$L230&lt;MAX($I230:$K230))),"Avance semanal decreciente"&amp;" · ","")&amp;IF(AND(ISNUMBER($AN230),$AN230&lt;FechaRef,IF($V230="Sub",N($X230),N($M230))&lt;1),"Vencida"&amp;" · ","")&amp;IF(AND(ObsObligatoria="Sí",ISNUMBER($AN230),$AN230&lt;FechaRef,IF($V230="Sub",N($X230),N($M230))&lt;1,$Q230=""),"Vencida sin observación"&amp;" · ",""),LEN(IF($C230="","Falta el nombre de la actividad"&amp;" · ","")&amp;IF(AND($V230="Sub",N($U230)=0),"Subactividad sin macroactividad arriba"&amp;" · ","")&amp;IF($AM230="","Sin fecha de inicio"&amp;" · ","")&amp;IF($AN230="","Sin fecha límite"&amp;" · ","")&amp;IF(AND(LEFT($C230,11)="[Jefatura] ",N($AL230)=0),"No se encuentra en la hoja de la jefatura (elíjala de nuevo en la lista)"&amp;" · ","")&amp;IF(OR(AND($E230&lt;&gt;"",NOT(ISNUMBER($E230))),AND($F230&lt;&gt;"",NOT(ISNUMBER($F230))),AND($G230&lt;&gt;"",NOT(ISNUMBER($G230)))),"Fecha no válida"&amp;" · ","")&amp;IF(AND(ISNUMBER($AM230),ISNUMBER($AN230),$AM230&gt;$AN230),"Inicio posterior a fecha límite"&amp;" · ","")&amp;IF(AND($V230="Macro",$H230&lt;&gt;"",OR(NOT(ISNUMBER($H230)),$H230&lt;0,$H230&gt;1)),"Peso fuera de rango"&amp;" · ","")&amp;IF(AND($V230="Sub",$H230&lt;&gt;""),"Las subactividades no llevan peso (valen igual dentro de su macroactividad)"&amp;" · ","")&amp;IF(AND(N($W230)&gt;0,COUNT($I230:$L230)&gt;0),"Con subactividades: deje vacías las semanas (se calculan solas)"&amp;" · ","")&amp;IF((COUNTIF($I230:$L230,"&gt;1")+COUNTIF($I230:$L230,"&lt;0")+COUNTA($I230:$L230)-COUNT($I230:$L230))&gt;0,"Avance fuera de rango 0-100%"&amp;" · ","")&amp;IF(OR(AND($J230&lt;&gt;"",$J230&lt;$I230),AND($K230&lt;&gt;"",$K230&lt;MAX($I230:$J230)),AND($L230&lt;&gt;"",$L230&lt;MAX($I230:$K230))),"Avance semanal decreciente"&amp;" · ","")&amp;IF(AND(ISNUMBER($AN230),$AN230&lt;FechaRef,IF($V230="Sub",N($X230),N($M230))&lt;1),"Vencida"&amp;" · ","")&amp;IF(AND(ObsObligatoria="Sí",ISNUMBER($AN230),$AN230&lt;FechaRef,IF($V230="Sub",N($X230),N($M230))&lt;1,$Q230=""),"Vencida sin observación"&amp;" · ",""))-3)))</f>
        <v/>
      </c>
      <c r="S230" s="64">
        <f>IF(NOT((COUNTA($B230:$D230)+COUNTA($G230:$L230)+COUNTA($Q230))&gt;0),"",IF(AND($V230="Sub",N($U230)&gt;0),IF(ISNUMBER(INDEX($AM$5:$AM$1000,$U230-4)),DATE(YEAR(INDEX($AM$5:$AM$1000,$U230-4)),MONTH(INDEX($AM$5:$AM$1000,$U230-4)),1),IF(ISNUMBER(INDEX($AN$5:$AN$1000,$U230-4)),DATE(YEAR(INDEX($AN$5:$AN$1000,$U230-4)),MONTH(INDEX($AN$5:$AN$1000,$U230-4)),1),MesCiclo)),IF(ISNUMBER($AM230),DATE(YEAR($AM230),MONTH($AM230),1),IF(ISNUMBER($AN230),DATE(YEAR($AN230),MONTH($AN230),1),MesCiclo))))</f>
        <v/>
      </c>
      <c r="T230" s="62">
        <f>IF(OR($S230="",$S230&lt;&gt;MesCiclo,$V230&lt;&gt;"Macro"),"",COUNTIFS($S$5:$S230,MesCiclo,$V$5:$V230,"Macro"))</f>
        <v/>
      </c>
      <c r="U230" s="62">
        <f>IF($V230="","",IF($V230="Macro",ROW(),IFERROR(LOOKUP(2,1/($V$5:$V230="Macro"),ROW($V$5:$V230)),0)))</f>
        <v/>
      </c>
      <c r="V230" s="62">
        <f>IF(NOT((COUNTA($B230:$D230)+COUNTA($G230:$L230)+COUNTA($Q230))&gt;0),"",IF($B230="Subactividad","Sub","Macro"))</f>
        <v/>
      </c>
      <c r="W230" s="62">
        <f>IF($V230="Macro",COUNTIFS($U$5:$U$1000,ROW(),$V$5:$V$1000,"Sub"),"")</f>
        <v/>
      </c>
      <c r="X230" s="62">
        <f>IF($V230="","",IF(ISNUMBER($G230),1,IFERROR(LOOKUP(2,1/($I230:$L230&lt;&gt;""),$I230:$L230),0)))</f>
        <v/>
      </c>
      <c r="Y230" s="62">
        <f>IF($V230="","",IF(AND(ISNUMBER($G230),$G230&lt;=IF($S230=MesCiclo,InicioCiclo,$S230+MOD(2-WEEKDAY($S230),7))+6),1,IF(ISNUMBER($I230),$I230,0)))</f>
        <v/>
      </c>
      <c r="Z230" s="62">
        <f>IF($V230="","",IF(AND(ISNUMBER($G230),$G230&lt;=IF($S230=MesCiclo,InicioCiclo,$S230+MOD(2-WEEKDAY($S230),7))+13),1,IF(ISNUMBER($J230),$J230,$Y230)))</f>
        <v/>
      </c>
      <c r="AA230" s="62">
        <f>IF($V230="","",IF(AND(ISNUMBER($G230),$G230&lt;=IF($S230=MesCiclo,InicioCiclo,$S230+MOD(2-WEEKDAY($S230),7))+20),1,IF(ISNUMBER($K230),$K230,$Z230)))</f>
        <v/>
      </c>
      <c r="AB230" s="62">
        <f>IF($V230="","",IF(AND(ISNUMBER($G230),$G230&lt;=IF($S230=MesCiclo,InicioCiclo,$S230+MOD(2-WEEKDAY($S230),7))+27),1,IF(ISNUMBER($L230),$L230,$AA230)))</f>
        <v/>
      </c>
      <c r="AC230" s="62">
        <f>IF($V230="","",IF(AND(ISNUMBER($G230),$G230&lt;=IF($S230=MesCiclo,InicioCiclo,$S230+MOD(2-WEEKDAY($S230),7))+6),1,IF(N($W230)&gt;0,AVERAGEIFS($Y$5:$Y$1000,$U$5:$U$1000,ROW(),$V$5:$V$1000,"Sub"),$Y230)))</f>
        <v/>
      </c>
      <c r="AD230" s="62">
        <f>IF($V230="","",IF(AND(ISNUMBER($G230),$G230&lt;=IF($S230=MesCiclo,InicioCiclo,$S230+MOD(2-WEEKDAY($S230),7))+13),1,IF(N($W230)&gt;0,AVERAGEIFS($Z$5:$Z$1000,$U$5:$U$1000,ROW(),$V$5:$V$1000,"Sub"),$Z230)))</f>
        <v/>
      </c>
      <c r="AE230" s="62">
        <f>IF($V230="","",IF(AND(ISNUMBER($G230),$G230&lt;=IF($S230=MesCiclo,InicioCiclo,$S230+MOD(2-WEEKDAY($S230),7))+20),1,IF(N($W230)&gt;0,AVERAGEIFS($AA$5:$AA$1000,$U$5:$U$1000,ROW(),$V$5:$V$1000,"Sub"),$AA230)))</f>
        <v/>
      </c>
      <c r="AF230" s="62">
        <f>IF($V230="","",IF(AND(ISNUMBER($G230),$G230&lt;=IF($S230=MesCiclo,InicioCiclo,$S230+MOD(2-WEEKDAY($S230),7))+27),1,IF(N($W230)&gt;0,AVERAGEIFS($AB$5:$AB$1000,$U$5:$U$1000,ROW(),$V$5:$V$1000,"Sub"),$AB230)))</f>
        <v/>
      </c>
      <c r="AG230" s="62">
        <f>IF($V230&lt;&gt;"Macro","",IF(COUNTIFS($S$5:$S$1000,$S230,$V$5:$V$1000,"Macro",$H$5:$H$1000,"&gt;0")=0,1/COUNTIFS($S$5:$S$1000,$S230,$V$5:$V$1000,"Macro"),IF(AND(ISNUMBER($H230),N($H230)&gt;0),$H230,SUMIFS($H$5:$H$1000,$S$5:$S$1000,$S230,$V$5:$V$1000,"Macro")/COUNTIFS($S$5:$S$1000,$S230,$V$5:$V$1000,"Macro",$H$5:$H$1000,"&gt;0"))/(COUNTIFS($S$5:$S$1000,$S230,$V$5:$V$1000,"Macro")*SUMIFS($H$5:$H$1000,$S$5:$S$1000,$S230,$V$5:$V$1000,"Macro")/COUNTIFS($S$5:$S$1000,$S230,$V$5:$V$1000,"Macro",$H$5:$H$1000,"&gt;0"))))</f>
        <v/>
      </c>
      <c r="AH230" s="62" t="n"/>
      <c r="AI230" s="62" t="n"/>
      <c r="AJ230" s="62" t="n"/>
      <c r="AK230" s="62" t="n"/>
      <c r="AL230" s="62">
        <f>IF(LEFT($C230,11)="[Jefatura] ",IFERROR(MATCH("Riesgo Normativo|"&amp;MID($C230,12,500),rDname_ADM,0),0),"")</f>
        <v/>
      </c>
      <c r="AM230" s="62">
        <f>IF(N($AL230)&gt;0,INDEX(rIni_ADM,$AL230),IF(ISNUMBER($E230),$E230,""))</f>
        <v/>
      </c>
      <c r="AN230" s="62">
        <f>IF(N($AL230)&gt;0,INDEX(rLim_ADM,$AL230),IF(ISNUMBER($F230),$F230,""))</f>
        <v/>
      </c>
    </row>
    <row r="231">
      <c r="A231" s="56">
        <f>IF(NOT((COUNTA($B231:$D231)+COUNTA($G231:$L231)+COUNTA($Q231))&gt;0),"",IF($V231="Macro",COUNTIFS($V$5:$V231,"Macro",$S$5:$S231,$S231),IF(N($U231)=0,"?",COUNTIFS(INDEX($V$5:$V$1000,1):INDEX($V$5:$V$1000,$U231-4),"Macro",INDEX($S$5:$S$1000,1):INDEX($S$5:$S$1000,$U231-4),INDEX($S$5:$S$1000,$U231-4))&amp;"."&amp;COUNTIFS($U$5:$U231,$U231,$V$5:$V231,"Sub"))))</f>
        <v/>
      </c>
      <c r="B231" s="57" t="n"/>
      <c r="C231" s="58" t="n"/>
      <c r="D231" s="58" t="n"/>
      <c r="E231" s="59">
        <f>IF(N($AL231)&gt;0,INDEX(rIni_ADM,$AL231),"")</f>
        <v/>
      </c>
      <c r="F231" s="59">
        <f>IF(N($AL231)&gt;0,INDEX(rLim_ADM,$AL231),"")</f>
        <v/>
      </c>
      <c r="G231" s="59" t="n"/>
      <c r="H231" s="60" t="n"/>
      <c r="I231" s="60" t="n"/>
      <c r="J231" s="60" t="n"/>
      <c r="K231" s="60" t="n"/>
      <c r="L231" s="60" t="n"/>
      <c r="M231" s="61">
        <f>IF(NOT((COUNTA($B231:$D231)+COUNTA($G231:$L231)+COUNTA($Q231))&gt;0),"",IF($V231="Sub",IFERROR($X231/INDEX($W$5:$W$1000,$U231-4),""),IF(ISNUMBER($G231),1,IF(N($W231)&gt;0,AVERAGEIFS($X$5:$X$1000,$U$5:$U$1000,ROW(),$V$5:$V$1000,"Sub"),$X231))))</f>
        <v/>
      </c>
      <c r="N231" s="56">
        <f>IF(OR($M231="",$V231="Sub"),"",IF($M231&gt;=1,"Completado",IF($M231&gt;0,"En curso","Pendiente")))</f>
        <v/>
      </c>
      <c r="O231" s="56">
        <f>IF(OR(NOT((COUNTA($B231:$D231)+COUNTA($G231:$L231)+COUNTA($Q231))&gt;0),$V231="Sub"),"",IF(ISNUMBER($G231),IF(AND(ISNUMBER($AN231),$G231&gt;$AN231),"Cumplida con "&amp;($G231-$AN231)&amp;IF($G231-$AN231=1," día"," días")&amp;" de retraso","Cumplida"),IF(N($M231)&gt;=1,"Cumplida",IF(NOT(ISNUMBER($AN231)),"Sin fecha límite",IF($AN231&lt;FechaRef,"Vencida hace "&amp;(FechaRef-$AN231)&amp;IF(FechaRef-$AN231=1," día"," días"),IF($AN231=FechaRef,"Vence hoy",IF($AN231-FechaRef&lt;=DiasAlerta,"Vence en "&amp;($AN231-FechaRef)&amp;IF($AN231-FechaRef=1," día"," días"),"En plazo")))))))</f>
        <v/>
      </c>
      <c r="P231" s="62" t="n"/>
      <c r="Q231" s="58" t="n"/>
      <c r="R231" s="63">
        <f>IF(NOT((COUNTA($B231:$D231)+COUNTA($G231:$L231)+COUNTA($Q231))&gt;0),"",IF((IF($C231="","Falta el nombre de la actividad"&amp;" · ","")&amp;IF(AND($V231="Sub",N($U231)=0),"Subactividad sin macroactividad arriba"&amp;" · ","")&amp;IF($AM231="","Sin fecha de inicio"&amp;" · ","")&amp;IF($AN231="","Sin fecha límite"&amp;" · ","")&amp;IF(AND(LEFT($C231,11)="[Jefatura] ",N($AL231)=0),"No se encuentra en la hoja de la jefatura (elíjala de nuevo en la lista)"&amp;" · ","")&amp;IF(OR(AND($E231&lt;&gt;"",NOT(ISNUMBER($E231))),AND($F231&lt;&gt;"",NOT(ISNUMBER($F231))),AND($G231&lt;&gt;"",NOT(ISNUMBER($G231)))),"Fecha no válida"&amp;" · ","")&amp;IF(AND(ISNUMBER($AM231),ISNUMBER($AN231),$AM231&gt;$AN231),"Inicio posterior a fecha límite"&amp;" · ","")&amp;IF(AND($V231="Macro",$H231&lt;&gt;"",OR(NOT(ISNUMBER($H231)),$H231&lt;0,$H231&gt;1)),"Peso fuera de rango"&amp;" · ","")&amp;IF(AND($V231="Sub",$H231&lt;&gt;""),"Las subactividades no llevan peso (valen igual dentro de su macroactividad)"&amp;" · ","")&amp;IF(AND(N($W231)&gt;0,COUNT($I231:$L231)&gt;0),"Con subactividades: deje vacías las semanas (se calculan solas)"&amp;" · ","")&amp;IF((COUNTIF($I231:$L231,"&gt;1")+COUNTIF($I231:$L231,"&lt;0")+COUNTA($I231:$L231)-COUNT($I231:$L231))&gt;0,"Avance fuera de rango 0-100%"&amp;" · ","")&amp;IF(OR(AND($J231&lt;&gt;"",$J231&lt;$I231),AND($K231&lt;&gt;"",$K231&lt;MAX($I231:$J231)),AND($L231&lt;&gt;"",$L231&lt;MAX($I231:$K231))),"Avance semanal decreciente"&amp;" · ","")&amp;IF(AND(ISNUMBER($AN231),$AN231&lt;FechaRef,IF($V231="Sub",N($X231),N($M231))&lt;1),"Vencida"&amp;" · ","")&amp;IF(AND(ObsObligatoria="Sí",ISNUMBER($AN231),$AN231&lt;FechaRef,IF($V231="Sub",N($X231),N($M231))&lt;1,$Q231=""),"Vencida sin observación"&amp;" · ",""))="","✔ OK","⚠ "&amp;LEFT(IF($C231="","Falta el nombre de la actividad"&amp;" · ","")&amp;IF(AND($V231="Sub",N($U231)=0),"Subactividad sin macroactividad arriba"&amp;" · ","")&amp;IF($AM231="","Sin fecha de inicio"&amp;" · ","")&amp;IF($AN231="","Sin fecha límite"&amp;" · ","")&amp;IF(AND(LEFT($C231,11)="[Jefatura] ",N($AL231)=0),"No se encuentra en la hoja de la jefatura (elíjala de nuevo en la lista)"&amp;" · ","")&amp;IF(OR(AND($E231&lt;&gt;"",NOT(ISNUMBER($E231))),AND($F231&lt;&gt;"",NOT(ISNUMBER($F231))),AND($G231&lt;&gt;"",NOT(ISNUMBER($G231)))),"Fecha no válida"&amp;" · ","")&amp;IF(AND(ISNUMBER($AM231),ISNUMBER($AN231),$AM231&gt;$AN231),"Inicio posterior a fecha límite"&amp;" · ","")&amp;IF(AND($V231="Macro",$H231&lt;&gt;"",OR(NOT(ISNUMBER($H231)),$H231&lt;0,$H231&gt;1)),"Peso fuera de rango"&amp;" · ","")&amp;IF(AND($V231="Sub",$H231&lt;&gt;""),"Las subactividades no llevan peso (valen igual dentro de su macroactividad)"&amp;" · ","")&amp;IF(AND(N($W231)&gt;0,COUNT($I231:$L231)&gt;0),"Con subactividades: deje vacías las semanas (se calculan solas)"&amp;" · ","")&amp;IF((COUNTIF($I231:$L231,"&gt;1")+COUNTIF($I231:$L231,"&lt;0")+COUNTA($I231:$L231)-COUNT($I231:$L231))&gt;0,"Avance fuera de rango 0-100%"&amp;" · ","")&amp;IF(OR(AND($J231&lt;&gt;"",$J231&lt;$I231),AND($K231&lt;&gt;"",$K231&lt;MAX($I231:$J231)),AND($L231&lt;&gt;"",$L231&lt;MAX($I231:$K231))),"Avance semanal decreciente"&amp;" · ","")&amp;IF(AND(ISNUMBER($AN231),$AN231&lt;FechaRef,IF($V231="Sub",N($X231),N($M231))&lt;1),"Vencida"&amp;" · ","")&amp;IF(AND(ObsObligatoria="Sí",ISNUMBER($AN231),$AN231&lt;FechaRef,IF($V231="Sub",N($X231),N($M231))&lt;1,$Q231=""),"Vencida sin observación"&amp;" · ",""),LEN(IF($C231="","Falta el nombre de la actividad"&amp;" · ","")&amp;IF(AND($V231="Sub",N($U231)=0),"Subactividad sin macroactividad arriba"&amp;" · ","")&amp;IF($AM231="","Sin fecha de inicio"&amp;" · ","")&amp;IF($AN231="","Sin fecha límite"&amp;" · ","")&amp;IF(AND(LEFT($C231,11)="[Jefatura] ",N($AL231)=0),"No se encuentra en la hoja de la jefatura (elíjala de nuevo en la lista)"&amp;" · ","")&amp;IF(OR(AND($E231&lt;&gt;"",NOT(ISNUMBER($E231))),AND($F231&lt;&gt;"",NOT(ISNUMBER($F231))),AND($G231&lt;&gt;"",NOT(ISNUMBER($G231)))),"Fecha no válida"&amp;" · ","")&amp;IF(AND(ISNUMBER($AM231),ISNUMBER($AN231),$AM231&gt;$AN231),"Inicio posterior a fecha límite"&amp;" · ","")&amp;IF(AND($V231="Macro",$H231&lt;&gt;"",OR(NOT(ISNUMBER($H231)),$H231&lt;0,$H231&gt;1)),"Peso fuera de rango"&amp;" · ","")&amp;IF(AND($V231="Sub",$H231&lt;&gt;""),"Las subactividades no llevan peso (valen igual dentro de su macroactividad)"&amp;" · ","")&amp;IF(AND(N($W231)&gt;0,COUNT($I231:$L231)&gt;0),"Con subactividades: deje vacías las semanas (se calculan solas)"&amp;" · ","")&amp;IF((COUNTIF($I231:$L231,"&gt;1")+COUNTIF($I231:$L231,"&lt;0")+COUNTA($I231:$L231)-COUNT($I231:$L231))&gt;0,"Avance fuera de rango 0-100%"&amp;" · ","")&amp;IF(OR(AND($J231&lt;&gt;"",$J231&lt;$I231),AND($K231&lt;&gt;"",$K231&lt;MAX($I231:$J231)),AND($L231&lt;&gt;"",$L231&lt;MAX($I231:$K231))),"Avance semanal decreciente"&amp;" · ","")&amp;IF(AND(ISNUMBER($AN231),$AN231&lt;FechaRef,IF($V231="Sub",N($X231),N($M231))&lt;1),"Vencida"&amp;" · ","")&amp;IF(AND(ObsObligatoria="Sí",ISNUMBER($AN231),$AN231&lt;FechaRef,IF($V231="Sub",N($X231),N($M231))&lt;1,$Q231=""),"Vencida sin observación"&amp;" · ",""))-3)))</f>
        <v/>
      </c>
      <c r="S231" s="64">
        <f>IF(NOT((COUNTA($B231:$D231)+COUNTA($G231:$L231)+COUNTA($Q231))&gt;0),"",IF(AND($V231="Sub",N($U231)&gt;0),IF(ISNUMBER(INDEX($AM$5:$AM$1000,$U231-4)),DATE(YEAR(INDEX($AM$5:$AM$1000,$U231-4)),MONTH(INDEX($AM$5:$AM$1000,$U231-4)),1),IF(ISNUMBER(INDEX($AN$5:$AN$1000,$U231-4)),DATE(YEAR(INDEX($AN$5:$AN$1000,$U231-4)),MONTH(INDEX($AN$5:$AN$1000,$U231-4)),1),MesCiclo)),IF(ISNUMBER($AM231),DATE(YEAR($AM231),MONTH($AM231),1),IF(ISNUMBER($AN231),DATE(YEAR($AN231),MONTH($AN231),1),MesCiclo))))</f>
        <v/>
      </c>
      <c r="T231" s="62">
        <f>IF(OR($S231="",$S231&lt;&gt;MesCiclo,$V231&lt;&gt;"Macro"),"",COUNTIFS($S$5:$S231,MesCiclo,$V$5:$V231,"Macro"))</f>
        <v/>
      </c>
      <c r="U231" s="62">
        <f>IF($V231="","",IF($V231="Macro",ROW(),IFERROR(LOOKUP(2,1/($V$5:$V231="Macro"),ROW($V$5:$V231)),0)))</f>
        <v/>
      </c>
      <c r="V231" s="62">
        <f>IF(NOT((COUNTA($B231:$D231)+COUNTA($G231:$L231)+COUNTA($Q231))&gt;0),"",IF($B231="Subactividad","Sub","Macro"))</f>
        <v/>
      </c>
      <c r="W231" s="62">
        <f>IF($V231="Macro",COUNTIFS($U$5:$U$1000,ROW(),$V$5:$V$1000,"Sub"),"")</f>
        <v/>
      </c>
      <c r="X231" s="62">
        <f>IF($V231="","",IF(ISNUMBER($G231),1,IFERROR(LOOKUP(2,1/($I231:$L231&lt;&gt;""),$I231:$L231),0)))</f>
        <v/>
      </c>
      <c r="Y231" s="62">
        <f>IF($V231="","",IF(AND(ISNUMBER($G231),$G231&lt;=IF($S231=MesCiclo,InicioCiclo,$S231+MOD(2-WEEKDAY($S231),7))+6),1,IF(ISNUMBER($I231),$I231,0)))</f>
        <v/>
      </c>
      <c r="Z231" s="62">
        <f>IF($V231="","",IF(AND(ISNUMBER($G231),$G231&lt;=IF($S231=MesCiclo,InicioCiclo,$S231+MOD(2-WEEKDAY($S231),7))+13),1,IF(ISNUMBER($J231),$J231,$Y231)))</f>
        <v/>
      </c>
      <c r="AA231" s="62">
        <f>IF($V231="","",IF(AND(ISNUMBER($G231),$G231&lt;=IF($S231=MesCiclo,InicioCiclo,$S231+MOD(2-WEEKDAY($S231),7))+20),1,IF(ISNUMBER($K231),$K231,$Z231)))</f>
        <v/>
      </c>
      <c r="AB231" s="62">
        <f>IF($V231="","",IF(AND(ISNUMBER($G231),$G231&lt;=IF($S231=MesCiclo,InicioCiclo,$S231+MOD(2-WEEKDAY($S231),7))+27),1,IF(ISNUMBER($L231),$L231,$AA231)))</f>
        <v/>
      </c>
      <c r="AC231" s="62">
        <f>IF($V231="","",IF(AND(ISNUMBER($G231),$G231&lt;=IF($S231=MesCiclo,InicioCiclo,$S231+MOD(2-WEEKDAY($S231),7))+6),1,IF(N($W231)&gt;0,AVERAGEIFS($Y$5:$Y$1000,$U$5:$U$1000,ROW(),$V$5:$V$1000,"Sub"),$Y231)))</f>
        <v/>
      </c>
      <c r="AD231" s="62">
        <f>IF($V231="","",IF(AND(ISNUMBER($G231),$G231&lt;=IF($S231=MesCiclo,InicioCiclo,$S231+MOD(2-WEEKDAY($S231),7))+13),1,IF(N($W231)&gt;0,AVERAGEIFS($Z$5:$Z$1000,$U$5:$U$1000,ROW(),$V$5:$V$1000,"Sub"),$Z231)))</f>
        <v/>
      </c>
      <c r="AE231" s="62">
        <f>IF($V231="","",IF(AND(ISNUMBER($G231),$G231&lt;=IF($S231=MesCiclo,InicioCiclo,$S231+MOD(2-WEEKDAY($S231),7))+20),1,IF(N($W231)&gt;0,AVERAGEIFS($AA$5:$AA$1000,$U$5:$U$1000,ROW(),$V$5:$V$1000,"Sub"),$AA231)))</f>
        <v/>
      </c>
      <c r="AF231" s="62">
        <f>IF($V231="","",IF(AND(ISNUMBER($G231),$G231&lt;=IF($S231=MesCiclo,InicioCiclo,$S231+MOD(2-WEEKDAY($S231),7))+27),1,IF(N($W231)&gt;0,AVERAGEIFS($AB$5:$AB$1000,$U$5:$U$1000,ROW(),$V$5:$V$1000,"Sub"),$AB231)))</f>
        <v/>
      </c>
      <c r="AG231" s="62">
        <f>IF($V231&lt;&gt;"Macro","",IF(COUNTIFS($S$5:$S$1000,$S231,$V$5:$V$1000,"Macro",$H$5:$H$1000,"&gt;0")=0,1/COUNTIFS($S$5:$S$1000,$S231,$V$5:$V$1000,"Macro"),IF(AND(ISNUMBER($H231),N($H231)&gt;0),$H231,SUMIFS($H$5:$H$1000,$S$5:$S$1000,$S231,$V$5:$V$1000,"Macro")/COUNTIFS($S$5:$S$1000,$S231,$V$5:$V$1000,"Macro",$H$5:$H$1000,"&gt;0"))/(COUNTIFS($S$5:$S$1000,$S231,$V$5:$V$1000,"Macro")*SUMIFS($H$5:$H$1000,$S$5:$S$1000,$S231,$V$5:$V$1000,"Macro")/COUNTIFS($S$5:$S$1000,$S231,$V$5:$V$1000,"Macro",$H$5:$H$1000,"&gt;0"))))</f>
        <v/>
      </c>
      <c r="AH231" s="62" t="n"/>
      <c r="AI231" s="62" t="n"/>
      <c r="AJ231" s="62" t="n"/>
      <c r="AK231" s="62" t="n"/>
      <c r="AL231" s="62">
        <f>IF(LEFT($C231,11)="[Jefatura] ",IFERROR(MATCH("Riesgo Normativo|"&amp;MID($C231,12,500),rDname_ADM,0),0),"")</f>
        <v/>
      </c>
      <c r="AM231" s="62">
        <f>IF(N($AL231)&gt;0,INDEX(rIni_ADM,$AL231),IF(ISNUMBER($E231),$E231,""))</f>
        <v/>
      </c>
      <c r="AN231" s="62">
        <f>IF(N($AL231)&gt;0,INDEX(rLim_ADM,$AL231),IF(ISNUMBER($F231),$F231,""))</f>
        <v/>
      </c>
    </row>
    <row r="232">
      <c r="A232" s="56">
        <f>IF(NOT((COUNTA($B232:$D232)+COUNTA($G232:$L232)+COUNTA($Q232))&gt;0),"",IF($V232="Macro",COUNTIFS($V$5:$V232,"Macro",$S$5:$S232,$S232),IF(N($U232)=0,"?",COUNTIFS(INDEX($V$5:$V$1000,1):INDEX($V$5:$V$1000,$U232-4),"Macro",INDEX($S$5:$S$1000,1):INDEX($S$5:$S$1000,$U232-4),INDEX($S$5:$S$1000,$U232-4))&amp;"."&amp;COUNTIFS($U$5:$U232,$U232,$V$5:$V232,"Sub"))))</f>
        <v/>
      </c>
      <c r="B232" s="57" t="n"/>
      <c r="C232" s="58" t="n"/>
      <c r="D232" s="58" t="n"/>
      <c r="E232" s="59">
        <f>IF(N($AL232)&gt;0,INDEX(rIni_ADM,$AL232),"")</f>
        <v/>
      </c>
      <c r="F232" s="59">
        <f>IF(N($AL232)&gt;0,INDEX(rLim_ADM,$AL232),"")</f>
        <v/>
      </c>
      <c r="G232" s="59" t="n"/>
      <c r="H232" s="60" t="n"/>
      <c r="I232" s="60" t="n"/>
      <c r="J232" s="60" t="n"/>
      <c r="K232" s="60" t="n"/>
      <c r="L232" s="60" t="n"/>
      <c r="M232" s="61">
        <f>IF(NOT((COUNTA($B232:$D232)+COUNTA($G232:$L232)+COUNTA($Q232))&gt;0),"",IF($V232="Sub",IFERROR($X232/INDEX($W$5:$W$1000,$U232-4),""),IF(ISNUMBER($G232),1,IF(N($W232)&gt;0,AVERAGEIFS($X$5:$X$1000,$U$5:$U$1000,ROW(),$V$5:$V$1000,"Sub"),$X232))))</f>
        <v/>
      </c>
      <c r="N232" s="56">
        <f>IF(OR($M232="",$V232="Sub"),"",IF($M232&gt;=1,"Completado",IF($M232&gt;0,"En curso","Pendiente")))</f>
        <v/>
      </c>
      <c r="O232" s="56">
        <f>IF(OR(NOT((COUNTA($B232:$D232)+COUNTA($G232:$L232)+COUNTA($Q232))&gt;0),$V232="Sub"),"",IF(ISNUMBER($G232),IF(AND(ISNUMBER($AN232),$G232&gt;$AN232),"Cumplida con "&amp;($G232-$AN232)&amp;IF($G232-$AN232=1," día"," días")&amp;" de retraso","Cumplida"),IF(N($M232)&gt;=1,"Cumplida",IF(NOT(ISNUMBER($AN232)),"Sin fecha límite",IF($AN232&lt;FechaRef,"Vencida hace "&amp;(FechaRef-$AN232)&amp;IF(FechaRef-$AN232=1," día"," días"),IF($AN232=FechaRef,"Vence hoy",IF($AN232-FechaRef&lt;=DiasAlerta,"Vence en "&amp;($AN232-FechaRef)&amp;IF($AN232-FechaRef=1," día"," días"),"En plazo")))))))</f>
        <v/>
      </c>
      <c r="P232" s="62" t="n"/>
      <c r="Q232" s="58" t="n"/>
      <c r="R232" s="63">
        <f>IF(NOT((COUNTA($B232:$D232)+COUNTA($G232:$L232)+COUNTA($Q232))&gt;0),"",IF((IF($C232="","Falta el nombre de la actividad"&amp;" · ","")&amp;IF(AND($V232="Sub",N($U232)=0),"Subactividad sin macroactividad arriba"&amp;" · ","")&amp;IF($AM232="","Sin fecha de inicio"&amp;" · ","")&amp;IF($AN232="","Sin fecha límite"&amp;" · ","")&amp;IF(AND(LEFT($C232,11)="[Jefatura] ",N($AL232)=0),"No se encuentra en la hoja de la jefatura (elíjala de nuevo en la lista)"&amp;" · ","")&amp;IF(OR(AND($E232&lt;&gt;"",NOT(ISNUMBER($E232))),AND($F232&lt;&gt;"",NOT(ISNUMBER($F232))),AND($G232&lt;&gt;"",NOT(ISNUMBER($G232)))),"Fecha no válida"&amp;" · ","")&amp;IF(AND(ISNUMBER($AM232),ISNUMBER($AN232),$AM232&gt;$AN232),"Inicio posterior a fecha límite"&amp;" · ","")&amp;IF(AND($V232="Macro",$H232&lt;&gt;"",OR(NOT(ISNUMBER($H232)),$H232&lt;0,$H232&gt;1)),"Peso fuera de rango"&amp;" · ","")&amp;IF(AND($V232="Sub",$H232&lt;&gt;""),"Las subactividades no llevan peso (valen igual dentro de su macroactividad)"&amp;" · ","")&amp;IF(AND(N($W232)&gt;0,COUNT($I232:$L232)&gt;0),"Con subactividades: deje vacías las semanas (se calculan solas)"&amp;" · ","")&amp;IF((COUNTIF($I232:$L232,"&gt;1")+COUNTIF($I232:$L232,"&lt;0")+COUNTA($I232:$L232)-COUNT($I232:$L232))&gt;0,"Avance fuera de rango 0-100%"&amp;" · ","")&amp;IF(OR(AND($J232&lt;&gt;"",$J232&lt;$I232),AND($K232&lt;&gt;"",$K232&lt;MAX($I232:$J232)),AND($L232&lt;&gt;"",$L232&lt;MAX($I232:$K232))),"Avance semanal decreciente"&amp;" · ","")&amp;IF(AND(ISNUMBER($AN232),$AN232&lt;FechaRef,IF($V232="Sub",N($X232),N($M232))&lt;1),"Vencida"&amp;" · ","")&amp;IF(AND(ObsObligatoria="Sí",ISNUMBER($AN232),$AN232&lt;FechaRef,IF($V232="Sub",N($X232),N($M232))&lt;1,$Q232=""),"Vencida sin observación"&amp;" · ",""))="","✔ OK","⚠ "&amp;LEFT(IF($C232="","Falta el nombre de la actividad"&amp;" · ","")&amp;IF(AND($V232="Sub",N($U232)=0),"Subactividad sin macroactividad arriba"&amp;" · ","")&amp;IF($AM232="","Sin fecha de inicio"&amp;" · ","")&amp;IF($AN232="","Sin fecha límite"&amp;" · ","")&amp;IF(AND(LEFT($C232,11)="[Jefatura] ",N($AL232)=0),"No se encuentra en la hoja de la jefatura (elíjala de nuevo en la lista)"&amp;" · ","")&amp;IF(OR(AND($E232&lt;&gt;"",NOT(ISNUMBER($E232))),AND($F232&lt;&gt;"",NOT(ISNUMBER($F232))),AND($G232&lt;&gt;"",NOT(ISNUMBER($G232)))),"Fecha no válida"&amp;" · ","")&amp;IF(AND(ISNUMBER($AM232),ISNUMBER($AN232),$AM232&gt;$AN232),"Inicio posterior a fecha límite"&amp;" · ","")&amp;IF(AND($V232="Macro",$H232&lt;&gt;"",OR(NOT(ISNUMBER($H232)),$H232&lt;0,$H232&gt;1)),"Peso fuera de rango"&amp;" · ","")&amp;IF(AND($V232="Sub",$H232&lt;&gt;""),"Las subactividades no llevan peso (valen igual dentro de su macroactividad)"&amp;" · ","")&amp;IF(AND(N($W232)&gt;0,COUNT($I232:$L232)&gt;0),"Con subactividades: deje vacías las semanas (se calculan solas)"&amp;" · ","")&amp;IF((COUNTIF($I232:$L232,"&gt;1")+COUNTIF($I232:$L232,"&lt;0")+COUNTA($I232:$L232)-COUNT($I232:$L232))&gt;0,"Avance fuera de rango 0-100%"&amp;" · ","")&amp;IF(OR(AND($J232&lt;&gt;"",$J232&lt;$I232),AND($K232&lt;&gt;"",$K232&lt;MAX($I232:$J232)),AND($L232&lt;&gt;"",$L232&lt;MAX($I232:$K232))),"Avance semanal decreciente"&amp;" · ","")&amp;IF(AND(ISNUMBER($AN232),$AN232&lt;FechaRef,IF($V232="Sub",N($X232),N($M232))&lt;1),"Vencida"&amp;" · ","")&amp;IF(AND(ObsObligatoria="Sí",ISNUMBER($AN232),$AN232&lt;FechaRef,IF($V232="Sub",N($X232),N($M232))&lt;1,$Q232=""),"Vencida sin observación"&amp;" · ",""),LEN(IF($C232="","Falta el nombre de la actividad"&amp;" · ","")&amp;IF(AND($V232="Sub",N($U232)=0),"Subactividad sin macroactividad arriba"&amp;" · ","")&amp;IF($AM232="","Sin fecha de inicio"&amp;" · ","")&amp;IF($AN232="","Sin fecha límite"&amp;" · ","")&amp;IF(AND(LEFT($C232,11)="[Jefatura] ",N($AL232)=0),"No se encuentra en la hoja de la jefatura (elíjala de nuevo en la lista)"&amp;" · ","")&amp;IF(OR(AND($E232&lt;&gt;"",NOT(ISNUMBER($E232))),AND($F232&lt;&gt;"",NOT(ISNUMBER($F232))),AND($G232&lt;&gt;"",NOT(ISNUMBER($G232)))),"Fecha no válida"&amp;" · ","")&amp;IF(AND(ISNUMBER($AM232),ISNUMBER($AN232),$AM232&gt;$AN232),"Inicio posterior a fecha límite"&amp;" · ","")&amp;IF(AND($V232="Macro",$H232&lt;&gt;"",OR(NOT(ISNUMBER($H232)),$H232&lt;0,$H232&gt;1)),"Peso fuera de rango"&amp;" · ","")&amp;IF(AND($V232="Sub",$H232&lt;&gt;""),"Las subactividades no llevan peso (valen igual dentro de su macroactividad)"&amp;" · ","")&amp;IF(AND(N($W232)&gt;0,COUNT($I232:$L232)&gt;0),"Con subactividades: deje vacías las semanas (se calculan solas)"&amp;" · ","")&amp;IF((COUNTIF($I232:$L232,"&gt;1")+COUNTIF($I232:$L232,"&lt;0")+COUNTA($I232:$L232)-COUNT($I232:$L232))&gt;0,"Avance fuera de rango 0-100%"&amp;" · ","")&amp;IF(OR(AND($J232&lt;&gt;"",$J232&lt;$I232),AND($K232&lt;&gt;"",$K232&lt;MAX($I232:$J232)),AND($L232&lt;&gt;"",$L232&lt;MAX($I232:$K232))),"Avance semanal decreciente"&amp;" · ","")&amp;IF(AND(ISNUMBER($AN232),$AN232&lt;FechaRef,IF($V232="Sub",N($X232),N($M232))&lt;1),"Vencida"&amp;" · ","")&amp;IF(AND(ObsObligatoria="Sí",ISNUMBER($AN232),$AN232&lt;FechaRef,IF($V232="Sub",N($X232),N($M232))&lt;1,$Q232=""),"Vencida sin observación"&amp;" · ",""))-3)))</f>
        <v/>
      </c>
      <c r="S232" s="64">
        <f>IF(NOT((COUNTA($B232:$D232)+COUNTA($G232:$L232)+COUNTA($Q232))&gt;0),"",IF(AND($V232="Sub",N($U232)&gt;0),IF(ISNUMBER(INDEX($AM$5:$AM$1000,$U232-4)),DATE(YEAR(INDEX($AM$5:$AM$1000,$U232-4)),MONTH(INDEX($AM$5:$AM$1000,$U232-4)),1),IF(ISNUMBER(INDEX($AN$5:$AN$1000,$U232-4)),DATE(YEAR(INDEX($AN$5:$AN$1000,$U232-4)),MONTH(INDEX($AN$5:$AN$1000,$U232-4)),1),MesCiclo)),IF(ISNUMBER($AM232),DATE(YEAR($AM232),MONTH($AM232),1),IF(ISNUMBER($AN232),DATE(YEAR($AN232),MONTH($AN232),1),MesCiclo))))</f>
        <v/>
      </c>
      <c r="T232" s="62">
        <f>IF(OR($S232="",$S232&lt;&gt;MesCiclo,$V232&lt;&gt;"Macro"),"",COUNTIFS($S$5:$S232,MesCiclo,$V$5:$V232,"Macro"))</f>
        <v/>
      </c>
      <c r="U232" s="62">
        <f>IF($V232="","",IF($V232="Macro",ROW(),IFERROR(LOOKUP(2,1/($V$5:$V232="Macro"),ROW($V$5:$V232)),0)))</f>
        <v/>
      </c>
      <c r="V232" s="62">
        <f>IF(NOT((COUNTA($B232:$D232)+COUNTA($G232:$L232)+COUNTA($Q232))&gt;0),"",IF($B232="Subactividad","Sub","Macro"))</f>
        <v/>
      </c>
      <c r="W232" s="62">
        <f>IF($V232="Macro",COUNTIFS($U$5:$U$1000,ROW(),$V$5:$V$1000,"Sub"),"")</f>
        <v/>
      </c>
      <c r="X232" s="62">
        <f>IF($V232="","",IF(ISNUMBER($G232),1,IFERROR(LOOKUP(2,1/($I232:$L232&lt;&gt;""),$I232:$L232),0)))</f>
        <v/>
      </c>
      <c r="Y232" s="62">
        <f>IF($V232="","",IF(AND(ISNUMBER($G232),$G232&lt;=IF($S232=MesCiclo,InicioCiclo,$S232+MOD(2-WEEKDAY($S232),7))+6),1,IF(ISNUMBER($I232),$I232,0)))</f>
        <v/>
      </c>
      <c r="Z232" s="62">
        <f>IF($V232="","",IF(AND(ISNUMBER($G232),$G232&lt;=IF($S232=MesCiclo,InicioCiclo,$S232+MOD(2-WEEKDAY($S232),7))+13),1,IF(ISNUMBER($J232),$J232,$Y232)))</f>
        <v/>
      </c>
      <c r="AA232" s="62">
        <f>IF($V232="","",IF(AND(ISNUMBER($G232),$G232&lt;=IF($S232=MesCiclo,InicioCiclo,$S232+MOD(2-WEEKDAY($S232),7))+20),1,IF(ISNUMBER($K232),$K232,$Z232)))</f>
        <v/>
      </c>
      <c r="AB232" s="62">
        <f>IF($V232="","",IF(AND(ISNUMBER($G232),$G232&lt;=IF($S232=MesCiclo,InicioCiclo,$S232+MOD(2-WEEKDAY($S232),7))+27),1,IF(ISNUMBER($L232),$L232,$AA232)))</f>
        <v/>
      </c>
      <c r="AC232" s="62">
        <f>IF($V232="","",IF(AND(ISNUMBER($G232),$G232&lt;=IF($S232=MesCiclo,InicioCiclo,$S232+MOD(2-WEEKDAY($S232),7))+6),1,IF(N($W232)&gt;0,AVERAGEIFS($Y$5:$Y$1000,$U$5:$U$1000,ROW(),$V$5:$V$1000,"Sub"),$Y232)))</f>
        <v/>
      </c>
      <c r="AD232" s="62">
        <f>IF($V232="","",IF(AND(ISNUMBER($G232),$G232&lt;=IF($S232=MesCiclo,InicioCiclo,$S232+MOD(2-WEEKDAY($S232),7))+13),1,IF(N($W232)&gt;0,AVERAGEIFS($Z$5:$Z$1000,$U$5:$U$1000,ROW(),$V$5:$V$1000,"Sub"),$Z232)))</f>
        <v/>
      </c>
      <c r="AE232" s="62">
        <f>IF($V232="","",IF(AND(ISNUMBER($G232),$G232&lt;=IF($S232=MesCiclo,InicioCiclo,$S232+MOD(2-WEEKDAY($S232),7))+20),1,IF(N($W232)&gt;0,AVERAGEIFS($AA$5:$AA$1000,$U$5:$U$1000,ROW(),$V$5:$V$1000,"Sub"),$AA232)))</f>
        <v/>
      </c>
      <c r="AF232" s="62">
        <f>IF($V232="","",IF(AND(ISNUMBER($G232),$G232&lt;=IF($S232=MesCiclo,InicioCiclo,$S232+MOD(2-WEEKDAY($S232),7))+27),1,IF(N($W232)&gt;0,AVERAGEIFS($AB$5:$AB$1000,$U$5:$U$1000,ROW(),$V$5:$V$1000,"Sub"),$AB232)))</f>
        <v/>
      </c>
      <c r="AG232" s="62">
        <f>IF($V232&lt;&gt;"Macro","",IF(COUNTIFS($S$5:$S$1000,$S232,$V$5:$V$1000,"Macro",$H$5:$H$1000,"&gt;0")=0,1/COUNTIFS($S$5:$S$1000,$S232,$V$5:$V$1000,"Macro"),IF(AND(ISNUMBER($H232),N($H232)&gt;0),$H232,SUMIFS($H$5:$H$1000,$S$5:$S$1000,$S232,$V$5:$V$1000,"Macro")/COUNTIFS($S$5:$S$1000,$S232,$V$5:$V$1000,"Macro",$H$5:$H$1000,"&gt;0"))/(COUNTIFS($S$5:$S$1000,$S232,$V$5:$V$1000,"Macro")*SUMIFS($H$5:$H$1000,$S$5:$S$1000,$S232,$V$5:$V$1000,"Macro")/COUNTIFS($S$5:$S$1000,$S232,$V$5:$V$1000,"Macro",$H$5:$H$1000,"&gt;0"))))</f>
        <v/>
      </c>
      <c r="AH232" s="62" t="n"/>
      <c r="AI232" s="62" t="n"/>
      <c r="AJ232" s="62" t="n"/>
      <c r="AK232" s="62" t="n"/>
      <c r="AL232" s="62">
        <f>IF(LEFT($C232,11)="[Jefatura] ",IFERROR(MATCH("Riesgo Normativo|"&amp;MID($C232,12,500),rDname_ADM,0),0),"")</f>
        <v/>
      </c>
      <c r="AM232" s="62">
        <f>IF(N($AL232)&gt;0,INDEX(rIni_ADM,$AL232),IF(ISNUMBER($E232),$E232,""))</f>
        <v/>
      </c>
      <c r="AN232" s="62">
        <f>IF(N($AL232)&gt;0,INDEX(rLim_ADM,$AL232),IF(ISNUMBER($F232),$F232,""))</f>
        <v/>
      </c>
    </row>
    <row r="233">
      <c r="A233" s="56">
        <f>IF(NOT((COUNTA($B233:$D233)+COUNTA($G233:$L233)+COUNTA($Q233))&gt;0),"",IF($V233="Macro",COUNTIFS($V$5:$V233,"Macro",$S$5:$S233,$S233),IF(N($U233)=0,"?",COUNTIFS(INDEX($V$5:$V$1000,1):INDEX($V$5:$V$1000,$U233-4),"Macro",INDEX($S$5:$S$1000,1):INDEX($S$5:$S$1000,$U233-4),INDEX($S$5:$S$1000,$U233-4))&amp;"."&amp;COUNTIFS($U$5:$U233,$U233,$V$5:$V233,"Sub"))))</f>
        <v/>
      </c>
      <c r="B233" s="57" t="n"/>
      <c r="C233" s="58" t="n"/>
      <c r="D233" s="58" t="n"/>
      <c r="E233" s="59">
        <f>IF(N($AL233)&gt;0,INDEX(rIni_ADM,$AL233),"")</f>
        <v/>
      </c>
      <c r="F233" s="59">
        <f>IF(N($AL233)&gt;0,INDEX(rLim_ADM,$AL233),"")</f>
        <v/>
      </c>
      <c r="G233" s="59" t="n"/>
      <c r="H233" s="60" t="n"/>
      <c r="I233" s="60" t="n"/>
      <c r="J233" s="60" t="n"/>
      <c r="K233" s="60" t="n"/>
      <c r="L233" s="60" t="n"/>
      <c r="M233" s="61">
        <f>IF(NOT((COUNTA($B233:$D233)+COUNTA($G233:$L233)+COUNTA($Q233))&gt;0),"",IF($V233="Sub",IFERROR($X233/INDEX($W$5:$W$1000,$U233-4),""),IF(ISNUMBER($G233),1,IF(N($W233)&gt;0,AVERAGEIFS($X$5:$X$1000,$U$5:$U$1000,ROW(),$V$5:$V$1000,"Sub"),$X233))))</f>
        <v/>
      </c>
      <c r="N233" s="56">
        <f>IF(OR($M233="",$V233="Sub"),"",IF($M233&gt;=1,"Completado",IF($M233&gt;0,"En curso","Pendiente")))</f>
        <v/>
      </c>
      <c r="O233" s="56">
        <f>IF(OR(NOT((COUNTA($B233:$D233)+COUNTA($G233:$L233)+COUNTA($Q233))&gt;0),$V233="Sub"),"",IF(ISNUMBER($G233),IF(AND(ISNUMBER($AN233),$G233&gt;$AN233),"Cumplida con "&amp;($G233-$AN233)&amp;IF($G233-$AN233=1," día"," días")&amp;" de retraso","Cumplida"),IF(N($M233)&gt;=1,"Cumplida",IF(NOT(ISNUMBER($AN233)),"Sin fecha límite",IF($AN233&lt;FechaRef,"Vencida hace "&amp;(FechaRef-$AN233)&amp;IF(FechaRef-$AN233=1," día"," días"),IF($AN233=FechaRef,"Vence hoy",IF($AN233-FechaRef&lt;=DiasAlerta,"Vence en "&amp;($AN233-FechaRef)&amp;IF($AN233-FechaRef=1," día"," días"),"En plazo")))))))</f>
        <v/>
      </c>
      <c r="P233" s="62" t="n"/>
      <c r="Q233" s="58" t="n"/>
      <c r="R233" s="63">
        <f>IF(NOT((COUNTA($B233:$D233)+COUNTA($G233:$L233)+COUNTA($Q233))&gt;0),"",IF((IF($C233="","Falta el nombre de la actividad"&amp;" · ","")&amp;IF(AND($V233="Sub",N($U233)=0),"Subactividad sin macroactividad arriba"&amp;" · ","")&amp;IF($AM233="","Sin fecha de inicio"&amp;" · ","")&amp;IF($AN233="","Sin fecha límite"&amp;" · ","")&amp;IF(AND(LEFT($C233,11)="[Jefatura] ",N($AL233)=0),"No se encuentra en la hoja de la jefatura (elíjala de nuevo en la lista)"&amp;" · ","")&amp;IF(OR(AND($E233&lt;&gt;"",NOT(ISNUMBER($E233))),AND($F233&lt;&gt;"",NOT(ISNUMBER($F233))),AND($G233&lt;&gt;"",NOT(ISNUMBER($G233)))),"Fecha no válida"&amp;" · ","")&amp;IF(AND(ISNUMBER($AM233),ISNUMBER($AN233),$AM233&gt;$AN233),"Inicio posterior a fecha límite"&amp;" · ","")&amp;IF(AND($V233="Macro",$H233&lt;&gt;"",OR(NOT(ISNUMBER($H233)),$H233&lt;0,$H233&gt;1)),"Peso fuera de rango"&amp;" · ","")&amp;IF(AND($V233="Sub",$H233&lt;&gt;""),"Las subactividades no llevan peso (valen igual dentro de su macroactividad)"&amp;" · ","")&amp;IF(AND(N($W233)&gt;0,COUNT($I233:$L233)&gt;0),"Con subactividades: deje vacías las semanas (se calculan solas)"&amp;" · ","")&amp;IF((COUNTIF($I233:$L233,"&gt;1")+COUNTIF($I233:$L233,"&lt;0")+COUNTA($I233:$L233)-COUNT($I233:$L233))&gt;0,"Avance fuera de rango 0-100%"&amp;" · ","")&amp;IF(OR(AND($J233&lt;&gt;"",$J233&lt;$I233),AND($K233&lt;&gt;"",$K233&lt;MAX($I233:$J233)),AND($L233&lt;&gt;"",$L233&lt;MAX($I233:$K233))),"Avance semanal decreciente"&amp;" · ","")&amp;IF(AND(ISNUMBER($AN233),$AN233&lt;FechaRef,IF($V233="Sub",N($X233),N($M233))&lt;1),"Vencida"&amp;" · ","")&amp;IF(AND(ObsObligatoria="Sí",ISNUMBER($AN233),$AN233&lt;FechaRef,IF($V233="Sub",N($X233),N($M233))&lt;1,$Q233=""),"Vencida sin observación"&amp;" · ",""))="","✔ OK","⚠ "&amp;LEFT(IF($C233="","Falta el nombre de la actividad"&amp;" · ","")&amp;IF(AND($V233="Sub",N($U233)=0),"Subactividad sin macroactividad arriba"&amp;" · ","")&amp;IF($AM233="","Sin fecha de inicio"&amp;" · ","")&amp;IF($AN233="","Sin fecha límite"&amp;" · ","")&amp;IF(AND(LEFT($C233,11)="[Jefatura] ",N($AL233)=0),"No se encuentra en la hoja de la jefatura (elíjala de nuevo en la lista)"&amp;" · ","")&amp;IF(OR(AND($E233&lt;&gt;"",NOT(ISNUMBER($E233))),AND($F233&lt;&gt;"",NOT(ISNUMBER($F233))),AND($G233&lt;&gt;"",NOT(ISNUMBER($G233)))),"Fecha no válida"&amp;" · ","")&amp;IF(AND(ISNUMBER($AM233),ISNUMBER($AN233),$AM233&gt;$AN233),"Inicio posterior a fecha límite"&amp;" · ","")&amp;IF(AND($V233="Macro",$H233&lt;&gt;"",OR(NOT(ISNUMBER($H233)),$H233&lt;0,$H233&gt;1)),"Peso fuera de rango"&amp;" · ","")&amp;IF(AND($V233="Sub",$H233&lt;&gt;""),"Las subactividades no llevan peso (valen igual dentro de su macroactividad)"&amp;" · ","")&amp;IF(AND(N($W233)&gt;0,COUNT($I233:$L233)&gt;0),"Con subactividades: deje vacías las semanas (se calculan solas)"&amp;" · ","")&amp;IF((COUNTIF($I233:$L233,"&gt;1")+COUNTIF($I233:$L233,"&lt;0")+COUNTA($I233:$L233)-COUNT($I233:$L233))&gt;0,"Avance fuera de rango 0-100%"&amp;" · ","")&amp;IF(OR(AND($J233&lt;&gt;"",$J233&lt;$I233),AND($K233&lt;&gt;"",$K233&lt;MAX($I233:$J233)),AND($L233&lt;&gt;"",$L233&lt;MAX($I233:$K233))),"Avance semanal decreciente"&amp;" · ","")&amp;IF(AND(ISNUMBER($AN233),$AN233&lt;FechaRef,IF($V233="Sub",N($X233),N($M233))&lt;1),"Vencida"&amp;" · ","")&amp;IF(AND(ObsObligatoria="Sí",ISNUMBER($AN233),$AN233&lt;FechaRef,IF($V233="Sub",N($X233),N($M233))&lt;1,$Q233=""),"Vencida sin observación"&amp;" · ",""),LEN(IF($C233="","Falta el nombre de la actividad"&amp;" · ","")&amp;IF(AND($V233="Sub",N($U233)=0),"Subactividad sin macroactividad arriba"&amp;" · ","")&amp;IF($AM233="","Sin fecha de inicio"&amp;" · ","")&amp;IF($AN233="","Sin fecha límite"&amp;" · ","")&amp;IF(AND(LEFT($C233,11)="[Jefatura] ",N($AL233)=0),"No se encuentra en la hoja de la jefatura (elíjala de nuevo en la lista)"&amp;" · ","")&amp;IF(OR(AND($E233&lt;&gt;"",NOT(ISNUMBER($E233))),AND($F233&lt;&gt;"",NOT(ISNUMBER($F233))),AND($G233&lt;&gt;"",NOT(ISNUMBER($G233)))),"Fecha no válida"&amp;" · ","")&amp;IF(AND(ISNUMBER($AM233),ISNUMBER($AN233),$AM233&gt;$AN233),"Inicio posterior a fecha límite"&amp;" · ","")&amp;IF(AND($V233="Macro",$H233&lt;&gt;"",OR(NOT(ISNUMBER($H233)),$H233&lt;0,$H233&gt;1)),"Peso fuera de rango"&amp;" · ","")&amp;IF(AND($V233="Sub",$H233&lt;&gt;""),"Las subactividades no llevan peso (valen igual dentro de su macroactividad)"&amp;" · ","")&amp;IF(AND(N($W233)&gt;0,COUNT($I233:$L233)&gt;0),"Con subactividades: deje vacías las semanas (se calculan solas)"&amp;" · ","")&amp;IF((COUNTIF($I233:$L233,"&gt;1")+COUNTIF($I233:$L233,"&lt;0")+COUNTA($I233:$L233)-COUNT($I233:$L233))&gt;0,"Avance fuera de rango 0-100%"&amp;" · ","")&amp;IF(OR(AND($J233&lt;&gt;"",$J233&lt;$I233),AND($K233&lt;&gt;"",$K233&lt;MAX($I233:$J233)),AND($L233&lt;&gt;"",$L233&lt;MAX($I233:$K233))),"Avance semanal decreciente"&amp;" · ","")&amp;IF(AND(ISNUMBER($AN233),$AN233&lt;FechaRef,IF($V233="Sub",N($X233),N($M233))&lt;1),"Vencida"&amp;" · ","")&amp;IF(AND(ObsObligatoria="Sí",ISNUMBER($AN233),$AN233&lt;FechaRef,IF($V233="Sub",N($X233),N($M233))&lt;1,$Q233=""),"Vencida sin observación"&amp;" · ",""))-3)))</f>
        <v/>
      </c>
      <c r="S233" s="64">
        <f>IF(NOT((COUNTA($B233:$D233)+COUNTA($G233:$L233)+COUNTA($Q233))&gt;0),"",IF(AND($V233="Sub",N($U233)&gt;0),IF(ISNUMBER(INDEX($AM$5:$AM$1000,$U233-4)),DATE(YEAR(INDEX($AM$5:$AM$1000,$U233-4)),MONTH(INDEX($AM$5:$AM$1000,$U233-4)),1),IF(ISNUMBER(INDEX($AN$5:$AN$1000,$U233-4)),DATE(YEAR(INDEX($AN$5:$AN$1000,$U233-4)),MONTH(INDEX($AN$5:$AN$1000,$U233-4)),1),MesCiclo)),IF(ISNUMBER($AM233),DATE(YEAR($AM233),MONTH($AM233),1),IF(ISNUMBER($AN233),DATE(YEAR($AN233),MONTH($AN233),1),MesCiclo))))</f>
        <v/>
      </c>
      <c r="T233" s="62">
        <f>IF(OR($S233="",$S233&lt;&gt;MesCiclo,$V233&lt;&gt;"Macro"),"",COUNTIFS($S$5:$S233,MesCiclo,$V$5:$V233,"Macro"))</f>
        <v/>
      </c>
      <c r="U233" s="62">
        <f>IF($V233="","",IF($V233="Macro",ROW(),IFERROR(LOOKUP(2,1/($V$5:$V233="Macro"),ROW($V$5:$V233)),0)))</f>
        <v/>
      </c>
      <c r="V233" s="62">
        <f>IF(NOT((COUNTA($B233:$D233)+COUNTA($G233:$L233)+COUNTA($Q233))&gt;0),"",IF($B233="Subactividad","Sub","Macro"))</f>
        <v/>
      </c>
      <c r="W233" s="62">
        <f>IF($V233="Macro",COUNTIFS($U$5:$U$1000,ROW(),$V$5:$V$1000,"Sub"),"")</f>
        <v/>
      </c>
      <c r="X233" s="62">
        <f>IF($V233="","",IF(ISNUMBER($G233),1,IFERROR(LOOKUP(2,1/($I233:$L233&lt;&gt;""),$I233:$L233),0)))</f>
        <v/>
      </c>
      <c r="Y233" s="62">
        <f>IF($V233="","",IF(AND(ISNUMBER($G233),$G233&lt;=IF($S233=MesCiclo,InicioCiclo,$S233+MOD(2-WEEKDAY($S233),7))+6),1,IF(ISNUMBER($I233),$I233,0)))</f>
        <v/>
      </c>
      <c r="Z233" s="62">
        <f>IF($V233="","",IF(AND(ISNUMBER($G233),$G233&lt;=IF($S233=MesCiclo,InicioCiclo,$S233+MOD(2-WEEKDAY($S233),7))+13),1,IF(ISNUMBER($J233),$J233,$Y233)))</f>
        <v/>
      </c>
      <c r="AA233" s="62">
        <f>IF($V233="","",IF(AND(ISNUMBER($G233),$G233&lt;=IF($S233=MesCiclo,InicioCiclo,$S233+MOD(2-WEEKDAY($S233),7))+20),1,IF(ISNUMBER($K233),$K233,$Z233)))</f>
        <v/>
      </c>
      <c r="AB233" s="62">
        <f>IF($V233="","",IF(AND(ISNUMBER($G233),$G233&lt;=IF($S233=MesCiclo,InicioCiclo,$S233+MOD(2-WEEKDAY($S233),7))+27),1,IF(ISNUMBER($L233),$L233,$AA233)))</f>
        <v/>
      </c>
      <c r="AC233" s="62">
        <f>IF($V233="","",IF(AND(ISNUMBER($G233),$G233&lt;=IF($S233=MesCiclo,InicioCiclo,$S233+MOD(2-WEEKDAY($S233),7))+6),1,IF(N($W233)&gt;0,AVERAGEIFS($Y$5:$Y$1000,$U$5:$U$1000,ROW(),$V$5:$V$1000,"Sub"),$Y233)))</f>
        <v/>
      </c>
      <c r="AD233" s="62">
        <f>IF($V233="","",IF(AND(ISNUMBER($G233),$G233&lt;=IF($S233=MesCiclo,InicioCiclo,$S233+MOD(2-WEEKDAY($S233),7))+13),1,IF(N($W233)&gt;0,AVERAGEIFS($Z$5:$Z$1000,$U$5:$U$1000,ROW(),$V$5:$V$1000,"Sub"),$Z233)))</f>
        <v/>
      </c>
      <c r="AE233" s="62">
        <f>IF($V233="","",IF(AND(ISNUMBER($G233),$G233&lt;=IF($S233=MesCiclo,InicioCiclo,$S233+MOD(2-WEEKDAY($S233),7))+20),1,IF(N($W233)&gt;0,AVERAGEIFS($AA$5:$AA$1000,$U$5:$U$1000,ROW(),$V$5:$V$1000,"Sub"),$AA233)))</f>
        <v/>
      </c>
      <c r="AF233" s="62">
        <f>IF($V233="","",IF(AND(ISNUMBER($G233),$G233&lt;=IF($S233=MesCiclo,InicioCiclo,$S233+MOD(2-WEEKDAY($S233),7))+27),1,IF(N($W233)&gt;0,AVERAGEIFS($AB$5:$AB$1000,$U$5:$U$1000,ROW(),$V$5:$V$1000,"Sub"),$AB233)))</f>
        <v/>
      </c>
      <c r="AG233" s="62">
        <f>IF($V233&lt;&gt;"Macro","",IF(COUNTIFS($S$5:$S$1000,$S233,$V$5:$V$1000,"Macro",$H$5:$H$1000,"&gt;0")=0,1/COUNTIFS($S$5:$S$1000,$S233,$V$5:$V$1000,"Macro"),IF(AND(ISNUMBER($H233),N($H233)&gt;0),$H233,SUMIFS($H$5:$H$1000,$S$5:$S$1000,$S233,$V$5:$V$1000,"Macro")/COUNTIFS($S$5:$S$1000,$S233,$V$5:$V$1000,"Macro",$H$5:$H$1000,"&gt;0"))/(COUNTIFS($S$5:$S$1000,$S233,$V$5:$V$1000,"Macro")*SUMIFS($H$5:$H$1000,$S$5:$S$1000,$S233,$V$5:$V$1000,"Macro")/COUNTIFS($S$5:$S$1000,$S233,$V$5:$V$1000,"Macro",$H$5:$H$1000,"&gt;0"))))</f>
        <v/>
      </c>
      <c r="AH233" s="62" t="n"/>
      <c r="AI233" s="62" t="n"/>
      <c r="AJ233" s="62" t="n"/>
      <c r="AK233" s="62" t="n"/>
      <c r="AL233" s="62">
        <f>IF(LEFT($C233,11)="[Jefatura] ",IFERROR(MATCH("Riesgo Normativo|"&amp;MID($C233,12,500),rDname_ADM,0),0),"")</f>
        <v/>
      </c>
      <c r="AM233" s="62">
        <f>IF(N($AL233)&gt;0,INDEX(rIni_ADM,$AL233),IF(ISNUMBER($E233),$E233,""))</f>
        <v/>
      </c>
      <c r="AN233" s="62">
        <f>IF(N($AL233)&gt;0,INDEX(rLim_ADM,$AL233),IF(ISNUMBER($F233),$F233,""))</f>
        <v/>
      </c>
    </row>
    <row r="234">
      <c r="A234" s="56">
        <f>IF(NOT((COUNTA($B234:$D234)+COUNTA($G234:$L234)+COUNTA($Q234))&gt;0),"",IF($V234="Macro",COUNTIFS($V$5:$V234,"Macro",$S$5:$S234,$S234),IF(N($U234)=0,"?",COUNTIFS(INDEX($V$5:$V$1000,1):INDEX($V$5:$V$1000,$U234-4),"Macro",INDEX($S$5:$S$1000,1):INDEX($S$5:$S$1000,$U234-4),INDEX($S$5:$S$1000,$U234-4))&amp;"."&amp;COUNTIFS($U$5:$U234,$U234,$V$5:$V234,"Sub"))))</f>
        <v/>
      </c>
      <c r="B234" s="57" t="n"/>
      <c r="C234" s="58" t="n"/>
      <c r="D234" s="58" t="n"/>
      <c r="E234" s="59">
        <f>IF(N($AL234)&gt;0,INDEX(rIni_ADM,$AL234),"")</f>
        <v/>
      </c>
      <c r="F234" s="59">
        <f>IF(N($AL234)&gt;0,INDEX(rLim_ADM,$AL234),"")</f>
        <v/>
      </c>
      <c r="G234" s="59" t="n"/>
      <c r="H234" s="60" t="n"/>
      <c r="I234" s="60" t="n"/>
      <c r="J234" s="60" t="n"/>
      <c r="K234" s="60" t="n"/>
      <c r="L234" s="60" t="n"/>
      <c r="M234" s="61">
        <f>IF(NOT((COUNTA($B234:$D234)+COUNTA($G234:$L234)+COUNTA($Q234))&gt;0),"",IF($V234="Sub",IFERROR($X234/INDEX($W$5:$W$1000,$U234-4),""),IF(ISNUMBER($G234),1,IF(N($W234)&gt;0,AVERAGEIFS($X$5:$X$1000,$U$5:$U$1000,ROW(),$V$5:$V$1000,"Sub"),$X234))))</f>
        <v/>
      </c>
      <c r="N234" s="56">
        <f>IF(OR($M234="",$V234="Sub"),"",IF($M234&gt;=1,"Completado",IF($M234&gt;0,"En curso","Pendiente")))</f>
        <v/>
      </c>
      <c r="O234" s="56">
        <f>IF(OR(NOT((COUNTA($B234:$D234)+COUNTA($G234:$L234)+COUNTA($Q234))&gt;0),$V234="Sub"),"",IF(ISNUMBER($G234),IF(AND(ISNUMBER($AN234),$G234&gt;$AN234),"Cumplida con "&amp;($G234-$AN234)&amp;IF($G234-$AN234=1," día"," días")&amp;" de retraso","Cumplida"),IF(N($M234)&gt;=1,"Cumplida",IF(NOT(ISNUMBER($AN234)),"Sin fecha límite",IF($AN234&lt;FechaRef,"Vencida hace "&amp;(FechaRef-$AN234)&amp;IF(FechaRef-$AN234=1," día"," días"),IF($AN234=FechaRef,"Vence hoy",IF($AN234-FechaRef&lt;=DiasAlerta,"Vence en "&amp;($AN234-FechaRef)&amp;IF($AN234-FechaRef=1," día"," días"),"En plazo")))))))</f>
        <v/>
      </c>
      <c r="P234" s="62" t="n"/>
      <c r="Q234" s="58" t="n"/>
      <c r="R234" s="63">
        <f>IF(NOT((COUNTA($B234:$D234)+COUNTA($G234:$L234)+COUNTA($Q234))&gt;0),"",IF((IF($C234="","Falta el nombre de la actividad"&amp;" · ","")&amp;IF(AND($V234="Sub",N($U234)=0),"Subactividad sin macroactividad arriba"&amp;" · ","")&amp;IF($AM234="","Sin fecha de inicio"&amp;" · ","")&amp;IF($AN234="","Sin fecha límite"&amp;" · ","")&amp;IF(AND(LEFT($C234,11)="[Jefatura] ",N($AL234)=0),"No se encuentra en la hoja de la jefatura (elíjala de nuevo en la lista)"&amp;" · ","")&amp;IF(OR(AND($E234&lt;&gt;"",NOT(ISNUMBER($E234))),AND($F234&lt;&gt;"",NOT(ISNUMBER($F234))),AND($G234&lt;&gt;"",NOT(ISNUMBER($G234)))),"Fecha no válida"&amp;" · ","")&amp;IF(AND(ISNUMBER($AM234),ISNUMBER($AN234),$AM234&gt;$AN234),"Inicio posterior a fecha límite"&amp;" · ","")&amp;IF(AND($V234="Macro",$H234&lt;&gt;"",OR(NOT(ISNUMBER($H234)),$H234&lt;0,$H234&gt;1)),"Peso fuera de rango"&amp;" · ","")&amp;IF(AND($V234="Sub",$H234&lt;&gt;""),"Las subactividades no llevan peso (valen igual dentro de su macroactividad)"&amp;" · ","")&amp;IF(AND(N($W234)&gt;0,COUNT($I234:$L234)&gt;0),"Con subactividades: deje vacías las semanas (se calculan solas)"&amp;" · ","")&amp;IF((COUNTIF($I234:$L234,"&gt;1")+COUNTIF($I234:$L234,"&lt;0")+COUNTA($I234:$L234)-COUNT($I234:$L234))&gt;0,"Avance fuera de rango 0-100%"&amp;" · ","")&amp;IF(OR(AND($J234&lt;&gt;"",$J234&lt;$I234),AND($K234&lt;&gt;"",$K234&lt;MAX($I234:$J234)),AND($L234&lt;&gt;"",$L234&lt;MAX($I234:$K234))),"Avance semanal decreciente"&amp;" · ","")&amp;IF(AND(ISNUMBER($AN234),$AN234&lt;FechaRef,IF($V234="Sub",N($X234),N($M234))&lt;1),"Vencida"&amp;" · ","")&amp;IF(AND(ObsObligatoria="Sí",ISNUMBER($AN234),$AN234&lt;FechaRef,IF($V234="Sub",N($X234),N($M234))&lt;1,$Q234=""),"Vencida sin observación"&amp;" · ",""))="","✔ OK","⚠ "&amp;LEFT(IF($C234="","Falta el nombre de la actividad"&amp;" · ","")&amp;IF(AND($V234="Sub",N($U234)=0),"Subactividad sin macroactividad arriba"&amp;" · ","")&amp;IF($AM234="","Sin fecha de inicio"&amp;" · ","")&amp;IF($AN234="","Sin fecha límite"&amp;" · ","")&amp;IF(AND(LEFT($C234,11)="[Jefatura] ",N($AL234)=0),"No se encuentra en la hoja de la jefatura (elíjala de nuevo en la lista)"&amp;" · ","")&amp;IF(OR(AND($E234&lt;&gt;"",NOT(ISNUMBER($E234))),AND($F234&lt;&gt;"",NOT(ISNUMBER($F234))),AND($G234&lt;&gt;"",NOT(ISNUMBER($G234)))),"Fecha no válida"&amp;" · ","")&amp;IF(AND(ISNUMBER($AM234),ISNUMBER($AN234),$AM234&gt;$AN234),"Inicio posterior a fecha límite"&amp;" · ","")&amp;IF(AND($V234="Macro",$H234&lt;&gt;"",OR(NOT(ISNUMBER($H234)),$H234&lt;0,$H234&gt;1)),"Peso fuera de rango"&amp;" · ","")&amp;IF(AND($V234="Sub",$H234&lt;&gt;""),"Las subactividades no llevan peso (valen igual dentro de su macroactividad)"&amp;" · ","")&amp;IF(AND(N($W234)&gt;0,COUNT($I234:$L234)&gt;0),"Con subactividades: deje vacías las semanas (se calculan solas)"&amp;" · ","")&amp;IF((COUNTIF($I234:$L234,"&gt;1")+COUNTIF($I234:$L234,"&lt;0")+COUNTA($I234:$L234)-COUNT($I234:$L234))&gt;0,"Avance fuera de rango 0-100%"&amp;" · ","")&amp;IF(OR(AND($J234&lt;&gt;"",$J234&lt;$I234),AND($K234&lt;&gt;"",$K234&lt;MAX($I234:$J234)),AND($L234&lt;&gt;"",$L234&lt;MAX($I234:$K234))),"Avance semanal decreciente"&amp;" · ","")&amp;IF(AND(ISNUMBER($AN234),$AN234&lt;FechaRef,IF($V234="Sub",N($X234),N($M234))&lt;1),"Vencida"&amp;" · ","")&amp;IF(AND(ObsObligatoria="Sí",ISNUMBER($AN234),$AN234&lt;FechaRef,IF($V234="Sub",N($X234),N($M234))&lt;1,$Q234=""),"Vencida sin observación"&amp;" · ",""),LEN(IF($C234="","Falta el nombre de la actividad"&amp;" · ","")&amp;IF(AND($V234="Sub",N($U234)=0),"Subactividad sin macroactividad arriba"&amp;" · ","")&amp;IF($AM234="","Sin fecha de inicio"&amp;" · ","")&amp;IF($AN234="","Sin fecha límite"&amp;" · ","")&amp;IF(AND(LEFT($C234,11)="[Jefatura] ",N($AL234)=0),"No se encuentra en la hoja de la jefatura (elíjala de nuevo en la lista)"&amp;" · ","")&amp;IF(OR(AND($E234&lt;&gt;"",NOT(ISNUMBER($E234))),AND($F234&lt;&gt;"",NOT(ISNUMBER($F234))),AND($G234&lt;&gt;"",NOT(ISNUMBER($G234)))),"Fecha no válida"&amp;" · ","")&amp;IF(AND(ISNUMBER($AM234),ISNUMBER($AN234),$AM234&gt;$AN234),"Inicio posterior a fecha límite"&amp;" · ","")&amp;IF(AND($V234="Macro",$H234&lt;&gt;"",OR(NOT(ISNUMBER($H234)),$H234&lt;0,$H234&gt;1)),"Peso fuera de rango"&amp;" · ","")&amp;IF(AND($V234="Sub",$H234&lt;&gt;""),"Las subactividades no llevan peso (valen igual dentro de su macroactividad)"&amp;" · ","")&amp;IF(AND(N($W234)&gt;0,COUNT($I234:$L234)&gt;0),"Con subactividades: deje vacías las semanas (se calculan solas)"&amp;" · ","")&amp;IF((COUNTIF($I234:$L234,"&gt;1")+COUNTIF($I234:$L234,"&lt;0")+COUNTA($I234:$L234)-COUNT($I234:$L234))&gt;0,"Avance fuera de rango 0-100%"&amp;" · ","")&amp;IF(OR(AND($J234&lt;&gt;"",$J234&lt;$I234),AND($K234&lt;&gt;"",$K234&lt;MAX($I234:$J234)),AND($L234&lt;&gt;"",$L234&lt;MAX($I234:$K234))),"Avance semanal decreciente"&amp;" · ","")&amp;IF(AND(ISNUMBER($AN234),$AN234&lt;FechaRef,IF($V234="Sub",N($X234),N($M234))&lt;1),"Vencida"&amp;" · ","")&amp;IF(AND(ObsObligatoria="Sí",ISNUMBER($AN234),$AN234&lt;FechaRef,IF($V234="Sub",N($X234),N($M234))&lt;1,$Q234=""),"Vencida sin observación"&amp;" · ",""))-3)))</f>
        <v/>
      </c>
      <c r="S234" s="64">
        <f>IF(NOT((COUNTA($B234:$D234)+COUNTA($G234:$L234)+COUNTA($Q234))&gt;0),"",IF(AND($V234="Sub",N($U234)&gt;0),IF(ISNUMBER(INDEX($AM$5:$AM$1000,$U234-4)),DATE(YEAR(INDEX($AM$5:$AM$1000,$U234-4)),MONTH(INDEX($AM$5:$AM$1000,$U234-4)),1),IF(ISNUMBER(INDEX($AN$5:$AN$1000,$U234-4)),DATE(YEAR(INDEX($AN$5:$AN$1000,$U234-4)),MONTH(INDEX($AN$5:$AN$1000,$U234-4)),1),MesCiclo)),IF(ISNUMBER($AM234),DATE(YEAR($AM234),MONTH($AM234),1),IF(ISNUMBER($AN234),DATE(YEAR($AN234),MONTH($AN234),1),MesCiclo))))</f>
        <v/>
      </c>
      <c r="T234" s="62">
        <f>IF(OR($S234="",$S234&lt;&gt;MesCiclo,$V234&lt;&gt;"Macro"),"",COUNTIFS($S$5:$S234,MesCiclo,$V$5:$V234,"Macro"))</f>
        <v/>
      </c>
      <c r="U234" s="62">
        <f>IF($V234="","",IF($V234="Macro",ROW(),IFERROR(LOOKUP(2,1/($V$5:$V234="Macro"),ROW($V$5:$V234)),0)))</f>
        <v/>
      </c>
      <c r="V234" s="62">
        <f>IF(NOT((COUNTA($B234:$D234)+COUNTA($G234:$L234)+COUNTA($Q234))&gt;0),"",IF($B234="Subactividad","Sub","Macro"))</f>
        <v/>
      </c>
      <c r="W234" s="62">
        <f>IF($V234="Macro",COUNTIFS($U$5:$U$1000,ROW(),$V$5:$V$1000,"Sub"),"")</f>
        <v/>
      </c>
      <c r="X234" s="62">
        <f>IF($V234="","",IF(ISNUMBER($G234),1,IFERROR(LOOKUP(2,1/($I234:$L234&lt;&gt;""),$I234:$L234),0)))</f>
        <v/>
      </c>
      <c r="Y234" s="62">
        <f>IF($V234="","",IF(AND(ISNUMBER($G234),$G234&lt;=IF($S234=MesCiclo,InicioCiclo,$S234+MOD(2-WEEKDAY($S234),7))+6),1,IF(ISNUMBER($I234),$I234,0)))</f>
        <v/>
      </c>
      <c r="Z234" s="62">
        <f>IF($V234="","",IF(AND(ISNUMBER($G234),$G234&lt;=IF($S234=MesCiclo,InicioCiclo,$S234+MOD(2-WEEKDAY($S234),7))+13),1,IF(ISNUMBER($J234),$J234,$Y234)))</f>
        <v/>
      </c>
      <c r="AA234" s="62">
        <f>IF($V234="","",IF(AND(ISNUMBER($G234),$G234&lt;=IF($S234=MesCiclo,InicioCiclo,$S234+MOD(2-WEEKDAY($S234),7))+20),1,IF(ISNUMBER($K234),$K234,$Z234)))</f>
        <v/>
      </c>
      <c r="AB234" s="62">
        <f>IF($V234="","",IF(AND(ISNUMBER($G234),$G234&lt;=IF($S234=MesCiclo,InicioCiclo,$S234+MOD(2-WEEKDAY($S234),7))+27),1,IF(ISNUMBER($L234),$L234,$AA234)))</f>
        <v/>
      </c>
      <c r="AC234" s="62">
        <f>IF($V234="","",IF(AND(ISNUMBER($G234),$G234&lt;=IF($S234=MesCiclo,InicioCiclo,$S234+MOD(2-WEEKDAY($S234),7))+6),1,IF(N($W234)&gt;0,AVERAGEIFS($Y$5:$Y$1000,$U$5:$U$1000,ROW(),$V$5:$V$1000,"Sub"),$Y234)))</f>
        <v/>
      </c>
      <c r="AD234" s="62">
        <f>IF($V234="","",IF(AND(ISNUMBER($G234),$G234&lt;=IF($S234=MesCiclo,InicioCiclo,$S234+MOD(2-WEEKDAY($S234),7))+13),1,IF(N($W234)&gt;0,AVERAGEIFS($Z$5:$Z$1000,$U$5:$U$1000,ROW(),$V$5:$V$1000,"Sub"),$Z234)))</f>
        <v/>
      </c>
      <c r="AE234" s="62">
        <f>IF($V234="","",IF(AND(ISNUMBER($G234),$G234&lt;=IF($S234=MesCiclo,InicioCiclo,$S234+MOD(2-WEEKDAY($S234),7))+20),1,IF(N($W234)&gt;0,AVERAGEIFS($AA$5:$AA$1000,$U$5:$U$1000,ROW(),$V$5:$V$1000,"Sub"),$AA234)))</f>
        <v/>
      </c>
      <c r="AF234" s="62">
        <f>IF($V234="","",IF(AND(ISNUMBER($G234),$G234&lt;=IF($S234=MesCiclo,InicioCiclo,$S234+MOD(2-WEEKDAY($S234),7))+27),1,IF(N($W234)&gt;0,AVERAGEIFS($AB$5:$AB$1000,$U$5:$U$1000,ROW(),$V$5:$V$1000,"Sub"),$AB234)))</f>
        <v/>
      </c>
      <c r="AG234" s="62">
        <f>IF($V234&lt;&gt;"Macro","",IF(COUNTIFS($S$5:$S$1000,$S234,$V$5:$V$1000,"Macro",$H$5:$H$1000,"&gt;0")=0,1/COUNTIFS($S$5:$S$1000,$S234,$V$5:$V$1000,"Macro"),IF(AND(ISNUMBER($H234),N($H234)&gt;0),$H234,SUMIFS($H$5:$H$1000,$S$5:$S$1000,$S234,$V$5:$V$1000,"Macro")/COUNTIFS($S$5:$S$1000,$S234,$V$5:$V$1000,"Macro",$H$5:$H$1000,"&gt;0"))/(COUNTIFS($S$5:$S$1000,$S234,$V$5:$V$1000,"Macro")*SUMIFS($H$5:$H$1000,$S$5:$S$1000,$S234,$V$5:$V$1000,"Macro")/COUNTIFS($S$5:$S$1000,$S234,$V$5:$V$1000,"Macro",$H$5:$H$1000,"&gt;0"))))</f>
        <v/>
      </c>
      <c r="AH234" s="62" t="n"/>
      <c r="AI234" s="62" t="n"/>
      <c r="AJ234" s="62" t="n"/>
      <c r="AK234" s="62" t="n"/>
      <c r="AL234" s="62">
        <f>IF(LEFT($C234,11)="[Jefatura] ",IFERROR(MATCH("Riesgo Normativo|"&amp;MID($C234,12,500),rDname_ADM,0),0),"")</f>
        <v/>
      </c>
      <c r="AM234" s="62">
        <f>IF(N($AL234)&gt;0,INDEX(rIni_ADM,$AL234),IF(ISNUMBER($E234),$E234,""))</f>
        <v/>
      </c>
      <c r="AN234" s="62">
        <f>IF(N($AL234)&gt;0,INDEX(rLim_ADM,$AL234),IF(ISNUMBER($F234),$F234,""))</f>
        <v/>
      </c>
    </row>
    <row r="235">
      <c r="A235" s="56">
        <f>IF(NOT((COUNTA($B235:$D235)+COUNTA($G235:$L235)+COUNTA($Q235))&gt;0),"",IF($V235="Macro",COUNTIFS($V$5:$V235,"Macro",$S$5:$S235,$S235),IF(N($U235)=0,"?",COUNTIFS(INDEX($V$5:$V$1000,1):INDEX($V$5:$V$1000,$U235-4),"Macro",INDEX($S$5:$S$1000,1):INDEX($S$5:$S$1000,$U235-4),INDEX($S$5:$S$1000,$U235-4))&amp;"."&amp;COUNTIFS($U$5:$U235,$U235,$V$5:$V235,"Sub"))))</f>
        <v/>
      </c>
      <c r="B235" s="57" t="n"/>
      <c r="C235" s="58" t="n"/>
      <c r="D235" s="58" t="n"/>
      <c r="E235" s="59">
        <f>IF(N($AL235)&gt;0,INDEX(rIni_ADM,$AL235),"")</f>
        <v/>
      </c>
      <c r="F235" s="59">
        <f>IF(N($AL235)&gt;0,INDEX(rLim_ADM,$AL235),"")</f>
        <v/>
      </c>
      <c r="G235" s="59" t="n"/>
      <c r="H235" s="60" t="n"/>
      <c r="I235" s="60" t="n"/>
      <c r="J235" s="60" t="n"/>
      <c r="K235" s="60" t="n"/>
      <c r="L235" s="60" t="n"/>
      <c r="M235" s="61">
        <f>IF(NOT((COUNTA($B235:$D235)+COUNTA($G235:$L235)+COUNTA($Q235))&gt;0),"",IF($V235="Sub",IFERROR($X235/INDEX($W$5:$W$1000,$U235-4),""),IF(ISNUMBER($G235),1,IF(N($W235)&gt;0,AVERAGEIFS($X$5:$X$1000,$U$5:$U$1000,ROW(),$V$5:$V$1000,"Sub"),$X235))))</f>
        <v/>
      </c>
      <c r="N235" s="56">
        <f>IF(OR($M235="",$V235="Sub"),"",IF($M235&gt;=1,"Completado",IF($M235&gt;0,"En curso","Pendiente")))</f>
        <v/>
      </c>
      <c r="O235" s="56">
        <f>IF(OR(NOT((COUNTA($B235:$D235)+COUNTA($G235:$L235)+COUNTA($Q235))&gt;0),$V235="Sub"),"",IF(ISNUMBER($G235),IF(AND(ISNUMBER($AN235),$G235&gt;$AN235),"Cumplida con "&amp;($G235-$AN235)&amp;IF($G235-$AN235=1," día"," días")&amp;" de retraso","Cumplida"),IF(N($M235)&gt;=1,"Cumplida",IF(NOT(ISNUMBER($AN235)),"Sin fecha límite",IF($AN235&lt;FechaRef,"Vencida hace "&amp;(FechaRef-$AN235)&amp;IF(FechaRef-$AN235=1," día"," días"),IF($AN235=FechaRef,"Vence hoy",IF($AN235-FechaRef&lt;=DiasAlerta,"Vence en "&amp;($AN235-FechaRef)&amp;IF($AN235-FechaRef=1," día"," días"),"En plazo")))))))</f>
        <v/>
      </c>
      <c r="P235" s="62" t="n"/>
      <c r="Q235" s="58" t="n"/>
      <c r="R235" s="63">
        <f>IF(NOT((COUNTA($B235:$D235)+COUNTA($G235:$L235)+COUNTA($Q235))&gt;0),"",IF((IF($C235="","Falta el nombre de la actividad"&amp;" · ","")&amp;IF(AND($V235="Sub",N($U235)=0),"Subactividad sin macroactividad arriba"&amp;" · ","")&amp;IF($AM235="","Sin fecha de inicio"&amp;" · ","")&amp;IF($AN235="","Sin fecha límite"&amp;" · ","")&amp;IF(AND(LEFT($C235,11)="[Jefatura] ",N($AL235)=0),"No se encuentra en la hoja de la jefatura (elíjala de nuevo en la lista)"&amp;" · ","")&amp;IF(OR(AND($E235&lt;&gt;"",NOT(ISNUMBER($E235))),AND($F235&lt;&gt;"",NOT(ISNUMBER($F235))),AND($G235&lt;&gt;"",NOT(ISNUMBER($G235)))),"Fecha no válida"&amp;" · ","")&amp;IF(AND(ISNUMBER($AM235),ISNUMBER($AN235),$AM235&gt;$AN235),"Inicio posterior a fecha límite"&amp;" · ","")&amp;IF(AND($V235="Macro",$H235&lt;&gt;"",OR(NOT(ISNUMBER($H235)),$H235&lt;0,$H235&gt;1)),"Peso fuera de rango"&amp;" · ","")&amp;IF(AND($V235="Sub",$H235&lt;&gt;""),"Las subactividades no llevan peso (valen igual dentro de su macroactividad)"&amp;" · ","")&amp;IF(AND(N($W235)&gt;0,COUNT($I235:$L235)&gt;0),"Con subactividades: deje vacías las semanas (se calculan solas)"&amp;" · ","")&amp;IF((COUNTIF($I235:$L235,"&gt;1")+COUNTIF($I235:$L235,"&lt;0")+COUNTA($I235:$L235)-COUNT($I235:$L235))&gt;0,"Avance fuera de rango 0-100%"&amp;" · ","")&amp;IF(OR(AND($J235&lt;&gt;"",$J235&lt;$I235),AND($K235&lt;&gt;"",$K235&lt;MAX($I235:$J235)),AND($L235&lt;&gt;"",$L235&lt;MAX($I235:$K235))),"Avance semanal decreciente"&amp;" · ","")&amp;IF(AND(ISNUMBER($AN235),$AN235&lt;FechaRef,IF($V235="Sub",N($X235),N($M235))&lt;1),"Vencida"&amp;" · ","")&amp;IF(AND(ObsObligatoria="Sí",ISNUMBER($AN235),$AN235&lt;FechaRef,IF($V235="Sub",N($X235),N($M235))&lt;1,$Q235=""),"Vencida sin observación"&amp;" · ",""))="","✔ OK","⚠ "&amp;LEFT(IF($C235="","Falta el nombre de la actividad"&amp;" · ","")&amp;IF(AND($V235="Sub",N($U235)=0),"Subactividad sin macroactividad arriba"&amp;" · ","")&amp;IF($AM235="","Sin fecha de inicio"&amp;" · ","")&amp;IF($AN235="","Sin fecha límite"&amp;" · ","")&amp;IF(AND(LEFT($C235,11)="[Jefatura] ",N($AL235)=0),"No se encuentra en la hoja de la jefatura (elíjala de nuevo en la lista)"&amp;" · ","")&amp;IF(OR(AND($E235&lt;&gt;"",NOT(ISNUMBER($E235))),AND($F235&lt;&gt;"",NOT(ISNUMBER($F235))),AND($G235&lt;&gt;"",NOT(ISNUMBER($G235)))),"Fecha no válida"&amp;" · ","")&amp;IF(AND(ISNUMBER($AM235),ISNUMBER($AN235),$AM235&gt;$AN235),"Inicio posterior a fecha límite"&amp;" · ","")&amp;IF(AND($V235="Macro",$H235&lt;&gt;"",OR(NOT(ISNUMBER($H235)),$H235&lt;0,$H235&gt;1)),"Peso fuera de rango"&amp;" · ","")&amp;IF(AND($V235="Sub",$H235&lt;&gt;""),"Las subactividades no llevan peso (valen igual dentro de su macroactividad)"&amp;" · ","")&amp;IF(AND(N($W235)&gt;0,COUNT($I235:$L235)&gt;0),"Con subactividades: deje vacías las semanas (se calculan solas)"&amp;" · ","")&amp;IF((COUNTIF($I235:$L235,"&gt;1")+COUNTIF($I235:$L235,"&lt;0")+COUNTA($I235:$L235)-COUNT($I235:$L235))&gt;0,"Avance fuera de rango 0-100%"&amp;" · ","")&amp;IF(OR(AND($J235&lt;&gt;"",$J235&lt;$I235),AND($K235&lt;&gt;"",$K235&lt;MAX($I235:$J235)),AND($L235&lt;&gt;"",$L235&lt;MAX($I235:$K235))),"Avance semanal decreciente"&amp;" · ","")&amp;IF(AND(ISNUMBER($AN235),$AN235&lt;FechaRef,IF($V235="Sub",N($X235),N($M235))&lt;1),"Vencida"&amp;" · ","")&amp;IF(AND(ObsObligatoria="Sí",ISNUMBER($AN235),$AN235&lt;FechaRef,IF($V235="Sub",N($X235),N($M235))&lt;1,$Q235=""),"Vencida sin observación"&amp;" · ",""),LEN(IF($C235="","Falta el nombre de la actividad"&amp;" · ","")&amp;IF(AND($V235="Sub",N($U235)=0),"Subactividad sin macroactividad arriba"&amp;" · ","")&amp;IF($AM235="","Sin fecha de inicio"&amp;" · ","")&amp;IF($AN235="","Sin fecha límite"&amp;" · ","")&amp;IF(AND(LEFT($C235,11)="[Jefatura] ",N($AL235)=0),"No se encuentra en la hoja de la jefatura (elíjala de nuevo en la lista)"&amp;" · ","")&amp;IF(OR(AND($E235&lt;&gt;"",NOT(ISNUMBER($E235))),AND($F235&lt;&gt;"",NOT(ISNUMBER($F235))),AND($G235&lt;&gt;"",NOT(ISNUMBER($G235)))),"Fecha no válida"&amp;" · ","")&amp;IF(AND(ISNUMBER($AM235),ISNUMBER($AN235),$AM235&gt;$AN235),"Inicio posterior a fecha límite"&amp;" · ","")&amp;IF(AND($V235="Macro",$H235&lt;&gt;"",OR(NOT(ISNUMBER($H235)),$H235&lt;0,$H235&gt;1)),"Peso fuera de rango"&amp;" · ","")&amp;IF(AND($V235="Sub",$H235&lt;&gt;""),"Las subactividades no llevan peso (valen igual dentro de su macroactividad)"&amp;" · ","")&amp;IF(AND(N($W235)&gt;0,COUNT($I235:$L235)&gt;0),"Con subactividades: deje vacías las semanas (se calculan solas)"&amp;" · ","")&amp;IF((COUNTIF($I235:$L235,"&gt;1")+COUNTIF($I235:$L235,"&lt;0")+COUNTA($I235:$L235)-COUNT($I235:$L235))&gt;0,"Avance fuera de rango 0-100%"&amp;" · ","")&amp;IF(OR(AND($J235&lt;&gt;"",$J235&lt;$I235),AND($K235&lt;&gt;"",$K235&lt;MAX($I235:$J235)),AND($L235&lt;&gt;"",$L235&lt;MAX($I235:$K235))),"Avance semanal decreciente"&amp;" · ","")&amp;IF(AND(ISNUMBER($AN235),$AN235&lt;FechaRef,IF($V235="Sub",N($X235),N($M235))&lt;1),"Vencida"&amp;" · ","")&amp;IF(AND(ObsObligatoria="Sí",ISNUMBER($AN235),$AN235&lt;FechaRef,IF($V235="Sub",N($X235),N($M235))&lt;1,$Q235=""),"Vencida sin observación"&amp;" · ",""))-3)))</f>
        <v/>
      </c>
      <c r="S235" s="64">
        <f>IF(NOT((COUNTA($B235:$D235)+COUNTA($G235:$L235)+COUNTA($Q235))&gt;0),"",IF(AND($V235="Sub",N($U235)&gt;0),IF(ISNUMBER(INDEX($AM$5:$AM$1000,$U235-4)),DATE(YEAR(INDEX($AM$5:$AM$1000,$U235-4)),MONTH(INDEX($AM$5:$AM$1000,$U235-4)),1),IF(ISNUMBER(INDEX($AN$5:$AN$1000,$U235-4)),DATE(YEAR(INDEX($AN$5:$AN$1000,$U235-4)),MONTH(INDEX($AN$5:$AN$1000,$U235-4)),1),MesCiclo)),IF(ISNUMBER($AM235),DATE(YEAR($AM235),MONTH($AM235),1),IF(ISNUMBER($AN235),DATE(YEAR($AN235),MONTH($AN235),1),MesCiclo))))</f>
        <v/>
      </c>
      <c r="T235" s="62">
        <f>IF(OR($S235="",$S235&lt;&gt;MesCiclo,$V235&lt;&gt;"Macro"),"",COUNTIFS($S$5:$S235,MesCiclo,$V$5:$V235,"Macro"))</f>
        <v/>
      </c>
      <c r="U235" s="62">
        <f>IF($V235="","",IF($V235="Macro",ROW(),IFERROR(LOOKUP(2,1/($V$5:$V235="Macro"),ROW($V$5:$V235)),0)))</f>
        <v/>
      </c>
      <c r="V235" s="62">
        <f>IF(NOT((COUNTA($B235:$D235)+COUNTA($G235:$L235)+COUNTA($Q235))&gt;0),"",IF($B235="Subactividad","Sub","Macro"))</f>
        <v/>
      </c>
      <c r="W235" s="62">
        <f>IF($V235="Macro",COUNTIFS($U$5:$U$1000,ROW(),$V$5:$V$1000,"Sub"),"")</f>
        <v/>
      </c>
      <c r="X235" s="62">
        <f>IF($V235="","",IF(ISNUMBER($G235),1,IFERROR(LOOKUP(2,1/($I235:$L235&lt;&gt;""),$I235:$L235),0)))</f>
        <v/>
      </c>
      <c r="Y235" s="62">
        <f>IF($V235="","",IF(AND(ISNUMBER($G235),$G235&lt;=IF($S235=MesCiclo,InicioCiclo,$S235+MOD(2-WEEKDAY($S235),7))+6),1,IF(ISNUMBER($I235),$I235,0)))</f>
        <v/>
      </c>
      <c r="Z235" s="62">
        <f>IF($V235="","",IF(AND(ISNUMBER($G235),$G235&lt;=IF($S235=MesCiclo,InicioCiclo,$S235+MOD(2-WEEKDAY($S235),7))+13),1,IF(ISNUMBER($J235),$J235,$Y235)))</f>
        <v/>
      </c>
      <c r="AA235" s="62">
        <f>IF($V235="","",IF(AND(ISNUMBER($G235),$G235&lt;=IF($S235=MesCiclo,InicioCiclo,$S235+MOD(2-WEEKDAY($S235),7))+20),1,IF(ISNUMBER($K235),$K235,$Z235)))</f>
        <v/>
      </c>
      <c r="AB235" s="62">
        <f>IF($V235="","",IF(AND(ISNUMBER($G235),$G235&lt;=IF($S235=MesCiclo,InicioCiclo,$S235+MOD(2-WEEKDAY($S235),7))+27),1,IF(ISNUMBER($L235),$L235,$AA235)))</f>
        <v/>
      </c>
      <c r="AC235" s="62">
        <f>IF($V235="","",IF(AND(ISNUMBER($G235),$G235&lt;=IF($S235=MesCiclo,InicioCiclo,$S235+MOD(2-WEEKDAY($S235),7))+6),1,IF(N($W235)&gt;0,AVERAGEIFS($Y$5:$Y$1000,$U$5:$U$1000,ROW(),$V$5:$V$1000,"Sub"),$Y235)))</f>
        <v/>
      </c>
      <c r="AD235" s="62">
        <f>IF($V235="","",IF(AND(ISNUMBER($G235),$G235&lt;=IF($S235=MesCiclo,InicioCiclo,$S235+MOD(2-WEEKDAY($S235),7))+13),1,IF(N($W235)&gt;0,AVERAGEIFS($Z$5:$Z$1000,$U$5:$U$1000,ROW(),$V$5:$V$1000,"Sub"),$Z235)))</f>
        <v/>
      </c>
      <c r="AE235" s="62">
        <f>IF($V235="","",IF(AND(ISNUMBER($G235),$G235&lt;=IF($S235=MesCiclo,InicioCiclo,$S235+MOD(2-WEEKDAY($S235),7))+20),1,IF(N($W235)&gt;0,AVERAGEIFS($AA$5:$AA$1000,$U$5:$U$1000,ROW(),$V$5:$V$1000,"Sub"),$AA235)))</f>
        <v/>
      </c>
      <c r="AF235" s="62">
        <f>IF($V235="","",IF(AND(ISNUMBER($G235),$G235&lt;=IF($S235=MesCiclo,InicioCiclo,$S235+MOD(2-WEEKDAY($S235),7))+27),1,IF(N($W235)&gt;0,AVERAGEIFS($AB$5:$AB$1000,$U$5:$U$1000,ROW(),$V$5:$V$1000,"Sub"),$AB235)))</f>
        <v/>
      </c>
      <c r="AG235" s="62">
        <f>IF($V235&lt;&gt;"Macro","",IF(COUNTIFS($S$5:$S$1000,$S235,$V$5:$V$1000,"Macro",$H$5:$H$1000,"&gt;0")=0,1/COUNTIFS($S$5:$S$1000,$S235,$V$5:$V$1000,"Macro"),IF(AND(ISNUMBER($H235),N($H235)&gt;0),$H235,SUMIFS($H$5:$H$1000,$S$5:$S$1000,$S235,$V$5:$V$1000,"Macro")/COUNTIFS($S$5:$S$1000,$S235,$V$5:$V$1000,"Macro",$H$5:$H$1000,"&gt;0"))/(COUNTIFS($S$5:$S$1000,$S235,$V$5:$V$1000,"Macro")*SUMIFS($H$5:$H$1000,$S$5:$S$1000,$S235,$V$5:$V$1000,"Macro")/COUNTIFS($S$5:$S$1000,$S235,$V$5:$V$1000,"Macro",$H$5:$H$1000,"&gt;0"))))</f>
        <v/>
      </c>
      <c r="AH235" s="62" t="n"/>
      <c r="AI235" s="62" t="n"/>
      <c r="AJ235" s="62" t="n"/>
      <c r="AK235" s="62" t="n"/>
      <c r="AL235" s="62">
        <f>IF(LEFT($C235,11)="[Jefatura] ",IFERROR(MATCH("Riesgo Normativo|"&amp;MID($C235,12,500),rDname_ADM,0),0),"")</f>
        <v/>
      </c>
      <c r="AM235" s="62">
        <f>IF(N($AL235)&gt;0,INDEX(rIni_ADM,$AL235),IF(ISNUMBER($E235),$E235,""))</f>
        <v/>
      </c>
      <c r="AN235" s="62">
        <f>IF(N($AL235)&gt;0,INDEX(rLim_ADM,$AL235),IF(ISNUMBER($F235),$F235,""))</f>
        <v/>
      </c>
    </row>
    <row r="236">
      <c r="A236" s="56">
        <f>IF(NOT((COUNTA($B236:$D236)+COUNTA($G236:$L236)+COUNTA($Q236))&gt;0),"",IF($V236="Macro",COUNTIFS($V$5:$V236,"Macro",$S$5:$S236,$S236),IF(N($U236)=0,"?",COUNTIFS(INDEX($V$5:$V$1000,1):INDEX($V$5:$V$1000,$U236-4),"Macro",INDEX($S$5:$S$1000,1):INDEX($S$5:$S$1000,$U236-4),INDEX($S$5:$S$1000,$U236-4))&amp;"."&amp;COUNTIFS($U$5:$U236,$U236,$V$5:$V236,"Sub"))))</f>
        <v/>
      </c>
      <c r="B236" s="57" t="n"/>
      <c r="C236" s="58" t="n"/>
      <c r="D236" s="58" t="n"/>
      <c r="E236" s="59">
        <f>IF(N($AL236)&gt;0,INDEX(rIni_ADM,$AL236),"")</f>
        <v/>
      </c>
      <c r="F236" s="59">
        <f>IF(N($AL236)&gt;0,INDEX(rLim_ADM,$AL236),"")</f>
        <v/>
      </c>
      <c r="G236" s="59" t="n"/>
      <c r="H236" s="60" t="n"/>
      <c r="I236" s="60" t="n"/>
      <c r="J236" s="60" t="n"/>
      <c r="K236" s="60" t="n"/>
      <c r="L236" s="60" t="n"/>
      <c r="M236" s="61">
        <f>IF(NOT((COUNTA($B236:$D236)+COUNTA($G236:$L236)+COUNTA($Q236))&gt;0),"",IF($V236="Sub",IFERROR($X236/INDEX($W$5:$W$1000,$U236-4),""),IF(ISNUMBER($G236),1,IF(N($W236)&gt;0,AVERAGEIFS($X$5:$X$1000,$U$5:$U$1000,ROW(),$V$5:$V$1000,"Sub"),$X236))))</f>
        <v/>
      </c>
      <c r="N236" s="56">
        <f>IF(OR($M236="",$V236="Sub"),"",IF($M236&gt;=1,"Completado",IF($M236&gt;0,"En curso","Pendiente")))</f>
        <v/>
      </c>
      <c r="O236" s="56">
        <f>IF(OR(NOT((COUNTA($B236:$D236)+COUNTA($G236:$L236)+COUNTA($Q236))&gt;0),$V236="Sub"),"",IF(ISNUMBER($G236),IF(AND(ISNUMBER($AN236),$G236&gt;$AN236),"Cumplida con "&amp;($G236-$AN236)&amp;IF($G236-$AN236=1," día"," días")&amp;" de retraso","Cumplida"),IF(N($M236)&gt;=1,"Cumplida",IF(NOT(ISNUMBER($AN236)),"Sin fecha límite",IF($AN236&lt;FechaRef,"Vencida hace "&amp;(FechaRef-$AN236)&amp;IF(FechaRef-$AN236=1," día"," días"),IF($AN236=FechaRef,"Vence hoy",IF($AN236-FechaRef&lt;=DiasAlerta,"Vence en "&amp;($AN236-FechaRef)&amp;IF($AN236-FechaRef=1," día"," días"),"En plazo")))))))</f>
        <v/>
      </c>
      <c r="P236" s="62" t="n"/>
      <c r="Q236" s="58" t="n"/>
      <c r="R236" s="63">
        <f>IF(NOT((COUNTA($B236:$D236)+COUNTA($G236:$L236)+COUNTA($Q236))&gt;0),"",IF((IF($C236="","Falta el nombre de la actividad"&amp;" · ","")&amp;IF(AND($V236="Sub",N($U236)=0),"Subactividad sin macroactividad arriba"&amp;" · ","")&amp;IF($AM236="","Sin fecha de inicio"&amp;" · ","")&amp;IF($AN236="","Sin fecha límite"&amp;" · ","")&amp;IF(AND(LEFT($C236,11)="[Jefatura] ",N($AL236)=0),"No se encuentra en la hoja de la jefatura (elíjala de nuevo en la lista)"&amp;" · ","")&amp;IF(OR(AND($E236&lt;&gt;"",NOT(ISNUMBER($E236))),AND($F236&lt;&gt;"",NOT(ISNUMBER($F236))),AND($G236&lt;&gt;"",NOT(ISNUMBER($G236)))),"Fecha no válida"&amp;" · ","")&amp;IF(AND(ISNUMBER($AM236),ISNUMBER($AN236),$AM236&gt;$AN236),"Inicio posterior a fecha límite"&amp;" · ","")&amp;IF(AND($V236="Macro",$H236&lt;&gt;"",OR(NOT(ISNUMBER($H236)),$H236&lt;0,$H236&gt;1)),"Peso fuera de rango"&amp;" · ","")&amp;IF(AND($V236="Sub",$H236&lt;&gt;""),"Las subactividades no llevan peso (valen igual dentro de su macroactividad)"&amp;" · ","")&amp;IF(AND(N($W236)&gt;0,COUNT($I236:$L236)&gt;0),"Con subactividades: deje vacías las semanas (se calculan solas)"&amp;" · ","")&amp;IF((COUNTIF($I236:$L236,"&gt;1")+COUNTIF($I236:$L236,"&lt;0")+COUNTA($I236:$L236)-COUNT($I236:$L236))&gt;0,"Avance fuera de rango 0-100%"&amp;" · ","")&amp;IF(OR(AND($J236&lt;&gt;"",$J236&lt;$I236),AND($K236&lt;&gt;"",$K236&lt;MAX($I236:$J236)),AND($L236&lt;&gt;"",$L236&lt;MAX($I236:$K236))),"Avance semanal decreciente"&amp;" · ","")&amp;IF(AND(ISNUMBER($AN236),$AN236&lt;FechaRef,IF($V236="Sub",N($X236),N($M236))&lt;1),"Vencida"&amp;" · ","")&amp;IF(AND(ObsObligatoria="Sí",ISNUMBER($AN236),$AN236&lt;FechaRef,IF($V236="Sub",N($X236),N($M236))&lt;1,$Q236=""),"Vencida sin observación"&amp;" · ",""))="","✔ OK","⚠ "&amp;LEFT(IF($C236="","Falta el nombre de la actividad"&amp;" · ","")&amp;IF(AND($V236="Sub",N($U236)=0),"Subactividad sin macroactividad arriba"&amp;" · ","")&amp;IF($AM236="","Sin fecha de inicio"&amp;" · ","")&amp;IF($AN236="","Sin fecha límite"&amp;" · ","")&amp;IF(AND(LEFT($C236,11)="[Jefatura] ",N($AL236)=0),"No se encuentra en la hoja de la jefatura (elíjala de nuevo en la lista)"&amp;" · ","")&amp;IF(OR(AND($E236&lt;&gt;"",NOT(ISNUMBER($E236))),AND($F236&lt;&gt;"",NOT(ISNUMBER($F236))),AND($G236&lt;&gt;"",NOT(ISNUMBER($G236)))),"Fecha no válida"&amp;" · ","")&amp;IF(AND(ISNUMBER($AM236),ISNUMBER($AN236),$AM236&gt;$AN236),"Inicio posterior a fecha límite"&amp;" · ","")&amp;IF(AND($V236="Macro",$H236&lt;&gt;"",OR(NOT(ISNUMBER($H236)),$H236&lt;0,$H236&gt;1)),"Peso fuera de rango"&amp;" · ","")&amp;IF(AND($V236="Sub",$H236&lt;&gt;""),"Las subactividades no llevan peso (valen igual dentro de su macroactividad)"&amp;" · ","")&amp;IF(AND(N($W236)&gt;0,COUNT($I236:$L236)&gt;0),"Con subactividades: deje vacías las semanas (se calculan solas)"&amp;" · ","")&amp;IF((COUNTIF($I236:$L236,"&gt;1")+COUNTIF($I236:$L236,"&lt;0")+COUNTA($I236:$L236)-COUNT($I236:$L236))&gt;0,"Avance fuera de rango 0-100%"&amp;" · ","")&amp;IF(OR(AND($J236&lt;&gt;"",$J236&lt;$I236),AND($K236&lt;&gt;"",$K236&lt;MAX($I236:$J236)),AND($L236&lt;&gt;"",$L236&lt;MAX($I236:$K236))),"Avance semanal decreciente"&amp;" · ","")&amp;IF(AND(ISNUMBER($AN236),$AN236&lt;FechaRef,IF($V236="Sub",N($X236),N($M236))&lt;1),"Vencida"&amp;" · ","")&amp;IF(AND(ObsObligatoria="Sí",ISNUMBER($AN236),$AN236&lt;FechaRef,IF($V236="Sub",N($X236),N($M236))&lt;1,$Q236=""),"Vencida sin observación"&amp;" · ",""),LEN(IF($C236="","Falta el nombre de la actividad"&amp;" · ","")&amp;IF(AND($V236="Sub",N($U236)=0),"Subactividad sin macroactividad arriba"&amp;" · ","")&amp;IF($AM236="","Sin fecha de inicio"&amp;" · ","")&amp;IF($AN236="","Sin fecha límite"&amp;" · ","")&amp;IF(AND(LEFT($C236,11)="[Jefatura] ",N($AL236)=0),"No se encuentra en la hoja de la jefatura (elíjala de nuevo en la lista)"&amp;" · ","")&amp;IF(OR(AND($E236&lt;&gt;"",NOT(ISNUMBER($E236))),AND($F236&lt;&gt;"",NOT(ISNUMBER($F236))),AND($G236&lt;&gt;"",NOT(ISNUMBER($G236)))),"Fecha no válida"&amp;" · ","")&amp;IF(AND(ISNUMBER($AM236),ISNUMBER($AN236),$AM236&gt;$AN236),"Inicio posterior a fecha límite"&amp;" · ","")&amp;IF(AND($V236="Macro",$H236&lt;&gt;"",OR(NOT(ISNUMBER($H236)),$H236&lt;0,$H236&gt;1)),"Peso fuera de rango"&amp;" · ","")&amp;IF(AND($V236="Sub",$H236&lt;&gt;""),"Las subactividades no llevan peso (valen igual dentro de su macroactividad)"&amp;" · ","")&amp;IF(AND(N($W236)&gt;0,COUNT($I236:$L236)&gt;0),"Con subactividades: deje vacías las semanas (se calculan solas)"&amp;" · ","")&amp;IF((COUNTIF($I236:$L236,"&gt;1")+COUNTIF($I236:$L236,"&lt;0")+COUNTA($I236:$L236)-COUNT($I236:$L236))&gt;0,"Avance fuera de rango 0-100%"&amp;" · ","")&amp;IF(OR(AND($J236&lt;&gt;"",$J236&lt;$I236),AND($K236&lt;&gt;"",$K236&lt;MAX($I236:$J236)),AND($L236&lt;&gt;"",$L236&lt;MAX($I236:$K236))),"Avance semanal decreciente"&amp;" · ","")&amp;IF(AND(ISNUMBER($AN236),$AN236&lt;FechaRef,IF($V236="Sub",N($X236),N($M236))&lt;1),"Vencida"&amp;" · ","")&amp;IF(AND(ObsObligatoria="Sí",ISNUMBER($AN236),$AN236&lt;FechaRef,IF($V236="Sub",N($X236),N($M236))&lt;1,$Q236=""),"Vencida sin observación"&amp;" · ",""))-3)))</f>
        <v/>
      </c>
      <c r="S236" s="64">
        <f>IF(NOT((COUNTA($B236:$D236)+COUNTA($G236:$L236)+COUNTA($Q236))&gt;0),"",IF(AND($V236="Sub",N($U236)&gt;0),IF(ISNUMBER(INDEX($AM$5:$AM$1000,$U236-4)),DATE(YEAR(INDEX($AM$5:$AM$1000,$U236-4)),MONTH(INDEX($AM$5:$AM$1000,$U236-4)),1),IF(ISNUMBER(INDEX($AN$5:$AN$1000,$U236-4)),DATE(YEAR(INDEX($AN$5:$AN$1000,$U236-4)),MONTH(INDEX($AN$5:$AN$1000,$U236-4)),1),MesCiclo)),IF(ISNUMBER($AM236),DATE(YEAR($AM236),MONTH($AM236),1),IF(ISNUMBER($AN236),DATE(YEAR($AN236),MONTH($AN236),1),MesCiclo))))</f>
        <v/>
      </c>
      <c r="T236" s="62">
        <f>IF(OR($S236="",$S236&lt;&gt;MesCiclo,$V236&lt;&gt;"Macro"),"",COUNTIFS($S$5:$S236,MesCiclo,$V$5:$V236,"Macro"))</f>
        <v/>
      </c>
      <c r="U236" s="62">
        <f>IF($V236="","",IF($V236="Macro",ROW(),IFERROR(LOOKUP(2,1/($V$5:$V236="Macro"),ROW($V$5:$V236)),0)))</f>
        <v/>
      </c>
      <c r="V236" s="62">
        <f>IF(NOT((COUNTA($B236:$D236)+COUNTA($G236:$L236)+COUNTA($Q236))&gt;0),"",IF($B236="Subactividad","Sub","Macro"))</f>
        <v/>
      </c>
      <c r="W236" s="62">
        <f>IF($V236="Macro",COUNTIFS($U$5:$U$1000,ROW(),$V$5:$V$1000,"Sub"),"")</f>
        <v/>
      </c>
      <c r="X236" s="62">
        <f>IF($V236="","",IF(ISNUMBER($G236),1,IFERROR(LOOKUP(2,1/($I236:$L236&lt;&gt;""),$I236:$L236),0)))</f>
        <v/>
      </c>
      <c r="Y236" s="62">
        <f>IF($V236="","",IF(AND(ISNUMBER($G236),$G236&lt;=IF($S236=MesCiclo,InicioCiclo,$S236+MOD(2-WEEKDAY($S236),7))+6),1,IF(ISNUMBER($I236),$I236,0)))</f>
        <v/>
      </c>
      <c r="Z236" s="62">
        <f>IF($V236="","",IF(AND(ISNUMBER($G236),$G236&lt;=IF($S236=MesCiclo,InicioCiclo,$S236+MOD(2-WEEKDAY($S236),7))+13),1,IF(ISNUMBER($J236),$J236,$Y236)))</f>
        <v/>
      </c>
      <c r="AA236" s="62">
        <f>IF($V236="","",IF(AND(ISNUMBER($G236),$G236&lt;=IF($S236=MesCiclo,InicioCiclo,$S236+MOD(2-WEEKDAY($S236),7))+20),1,IF(ISNUMBER($K236),$K236,$Z236)))</f>
        <v/>
      </c>
      <c r="AB236" s="62">
        <f>IF($V236="","",IF(AND(ISNUMBER($G236),$G236&lt;=IF($S236=MesCiclo,InicioCiclo,$S236+MOD(2-WEEKDAY($S236),7))+27),1,IF(ISNUMBER($L236),$L236,$AA236)))</f>
        <v/>
      </c>
      <c r="AC236" s="62">
        <f>IF($V236="","",IF(AND(ISNUMBER($G236),$G236&lt;=IF($S236=MesCiclo,InicioCiclo,$S236+MOD(2-WEEKDAY($S236),7))+6),1,IF(N($W236)&gt;0,AVERAGEIFS($Y$5:$Y$1000,$U$5:$U$1000,ROW(),$V$5:$V$1000,"Sub"),$Y236)))</f>
        <v/>
      </c>
      <c r="AD236" s="62">
        <f>IF($V236="","",IF(AND(ISNUMBER($G236),$G236&lt;=IF($S236=MesCiclo,InicioCiclo,$S236+MOD(2-WEEKDAY($S236),7))+13),1,IF(N($W236)&gt;0,AVERAGEIFS($Z$5:$Z$1000,$U$5:$U$1000,ROW(),$V$5:$V$1000,"Sub"),$Z236)))</f>
        <v/>
      </c>
      <c r="AE236" s="62">
        <f>IF($V236="","",IF(AND(ISNUMBER($G236),$G236&lt;=IF($S236=MesCiclo,InicioCiclo,$S236+MOD(2-WEEKDAY($S236),7))+20),1,IF(N($W236)&gt;0,AVERAGEIFS($AA$5:$AA$1000,$U$5:$U$1000,ROW(),$V$5:$V$1000,"Sub"),$AA236)))</f>
        <v/>
      </c>
      <c r="AF236" s="62">
        <f>IF($V236="","",IF(AND(ISNUMBER($G236),$G236&lt;=IF($S236=MesCiclo,InicioCiclo,$S236+MOD(2-WEEKDAY($S236),7))+27),1,IF(N($W236)&gt;0,AVERAGEIFS($AB$5:$AB$1000,$U$5:$U$1000,ROW(),$V$5:$V$1000,"Sub"),$AB236)))</f>
        <v/>
      </c>
      <c r="AG236" s="62">
        <f>IF($V236&lt;&gt;"Macro","",IF(COUNTIFS($S$5:$S$1000,$S236,$V$5:$V$1000,"Macro",$H$5:$H$1000,"&gt;0")=0,1/COUNTIFS($S$5:$S$1000,$S236,$V$5:$V$1000,"Macro"),IF(AND(ISNUMBER($H236),N($H236)&gt;0),$H236,SUMIFS($H$5:$H$1000,$S$5:$S$1000,$S236,$V$5:$V$1000,"Macro")/COUNTIFS($S$5:$S$1000,$S236,$V$5:$V$1000,"Macro",$H$5:$H$1000,"&gt;0"))/(COUNTIFS($S$5:$S$1000,$S236,$V$5:$V$1000,"Macro")*SUMIFS($H$5:$H$1000,$S$5:$S$1000,$S236,$V$5:$V$1000,"Macro")/COUNTIFS($S$5:$S$1000,$S236,$V$5:$V$1000,"Macro",$H$5:$H$1000,"&gt;0"))))</f>
        <v/>
      </c>
      <c r="AH236" s="62" t="n"/>
      <c r="AI236" s="62" t="n"/>
      <c r="AJ236" s="62" t="n"/>
      <c r="AK236" s="62" t="n"/>
      <c r="AL236" s="62">
        <f>IF(LEFT($C236,11)="[Jefatura] ",IFERROR(MATCH("Riesgo Normativo|"&amp;MID($C236,12,500),rDname_ADM,0),0),"")</f>
        <v/>
      </c>
      <c r="AM236" s="62">
        <f>IF(N($AL236)&gt;0,INDEX(rIni_ADM,$AL236),IF(ISNUMBER($E236),$E236,""))</f>
        <v/>
      </c>
      <c r="AN236" s="62">
        <f>IF(N($AL236)&gt;0,INDEX(rLim_ADM,$AL236),IF(ISNUMBER($F236),$F236,""))</f>
        <v/>
      </c>
    </row>
    <row r="237">
      <c r="A237" s="56">
        <f>IF(NOT((COUNTA($B237:$D237)+COUNTA($G237:$L237)+COUNTA($Q237))&gt;0),"",IF($V237="Macro",COUNTIFS($V$5:$V237,"Macro",$S$5:$S237,$S237),IF(N($U237)=0,"?",COUNTIFS(INDEX($V$5:$V$1000,1):INDEX($V$5:$V$1000,$U237-4),"Macro",INDEX($S$5:$S$1000,1):INDEX($S$5:$S$1000,$U237-4),INDEX($S$5:$S$1000,$U237-4))&amp;"."&amp;COUNTIFS($U$5:$U237,$U237,$V$5:$V237,"Sub"))))</f>
        <v/>
      </c>
      <c r="B237" s="57" t="n"/>
      <c r="C237" s="58" t="n"/>
      <c r="D237" s="58" t="n"/>
      <c r="E237" s="59">
        <f>IF(N($AL237)&gt;0,INDEX(rIni_ADM,$AL237),"")</f>
        <v/>
      </c>
      <c r="F237" s="59">
        <f>IF(N($AL237)&gt;0,INDEX(rLim_ADM,$AL237),"")</f>
        <v/>
      </c>
      <c r="G237" s="59" t="n"/>
      <c r="H237" s="60" t="n"/>
      <c r="I237" s="60" t="n"/>
      <c r="J237" s="60" t="n"/>
      <c r="K237" s="60" t="n"/>
      <c r="L237" s="60" t="n"/>
      <c r="M237" s="61">
        <f>IF(NOT((COUNTA($B237:$D237)+COUNTA($G237:$L237)+COUNTA($Q237))&gt;0),"",IF($V237="Sub",IFERROR($X237/INDEX($W$5:$W$1000,$U237-4),""),IF(ISNUMBER($G237),1,IF(N($W237)&gt;0,AVERAGEIFS($X$5:$X$1000,$U$5:$U$1000,ROW(),$V$5:$V$1000,"Sub"),$X237))))</f>
        <v/>
      </c>
      <c r="N237" s="56">
        <f>IF(OR($M237="",$V237="Sub"),"",IF($M237&gt;=1,"Completado",IF($M237&gt;0,"En curso","Pendiente")))</f>
        <v/>
      </c>
      <c r="O237" s="56">
        <f>IF(OR(NOT((COUNTA($B237:$D237)+COUNTA($G237:$L237)+COUNTA($Q237))&gt;0),$V237="Sub"),"",IF(ISNUMBER($G237),IF(AND(ISNUMBER($AN237),$G237&gt;$AN237),"Cumplida con "&amp;($G237-$AN237)&amp;IF($G237-$AN237=1," día"," días")&amp;" de retraso","Cumplida"),IF(N($M237)&gt;=1,"Cumplida",IF(NOT(ISNUMBER($AN237)),"Sin fecha límite",IF($AN237&lt;FechaRef,"Vencida hace "&amp;(FechaRef-$AN237)&amp;IF(FechaRef-$AN237=1," día"," días"),IF($AN237=FechaRef,"Vence hoy",IF($AN237-FechaRef&lt;=DiasAlerta,"Vence en "&amp;($AN237-FechaRef)&amp;IF($AN237-FechaRef=1," día"," días"),"En plazo")))))))</f>
        <v/>
      </c>
      <c r="P237" s="62" t="n"/>
      <c r="Q237" s="58" t="n"/>
      <c r="R237" s="63">
        <f>IF(NOT((COUNTA($B237:$D237)+COUNTA($G237:$L237)+COUNTA($Q237))&gt;0),"",IF((IF($C237="","Falta el nombre de la actividad"&amp;" · ","")&amp;IF(AND($V237="Sub",N($U237)=0),"Subactividad sin macroactividad arriba"&amp;" · ","")&amp;IF($AM237="","Sin fecha de inicio"&amp;" · ","")&amp;IF($AN237="","Sin fecha límite"&amp;" · ","")&amp;IF(AND(LEFT($C237,11)="[Jefatura] ",N($AL237)=0),"No se encuentra en la hoja de la jefatura (elíjala de nuevo en la lista)"&amp;" · ","")&amp;IF(OR(AND($E237&lt;&gt;"",NOT(ISNUMBER($E237))),AND($F237&lt;&gt;"",NOT(ISNUMBER($F237))),AND($G237&lt;&gt;"",NOT(ISNUMBER($G237)))),"Fecha no válida"&amp;" · ","")&amp;IF(AND(ISNUMBER($AM237),ISNUMBER($AN237),$AM237&gt;$AN237),"Inicio posterior a fecha límite"&amp;" · ","")&amp;IF(AND($V237="Macro",$H237&lt;&gt;"",OR(NOT(ISNUMBER($H237)),$H237&lt;0,$H237&gt;1)),"Peso fuera de rango"&amp;" · ","")&amp;IF(AND($V237="Sub",$H237&lt;&gt;""),"Las subactividades no llevan peso (valen igual dentro de su macroactividad)"&amp;" · ","")&amp;IF(AND(N($W237)&gt;0,COUNT($I237:$L237)&gt;0),"Con subactividades: deje vacías las semanas (se calculan solas)"&amp;" · ","")&amp;IF((COUNTIF($I237:$L237,"&gt;1")+COUNTIF($I237:$L237,"&lt;0")+COUNTA($I237:$L237)-COUNT($I237:$L237))&gt;0,"Avance fuera de rango 0-100%"&amp;" · ","")&amp;IF(OR(AND($J237&lt;&gt;"",$J237&lt;$I237),AND($K237&lt;&gt;"",$K237&lt;MAX($I237:$J237)),AND($L237&lt;&gt;"",$L237&lt;MAX($I237:$K237))),"Avance semanal decreciente"&amp;" · ","")&amp;IF(AND(ISNUMBER($AN237),$AN237&lt;FechaRef,IF($V237="Sub",N($X237),N($M237))&lt;1),"Vencida"&amp;" · ","")&amp;IF(AND(ObsObligatoria="Sí",ISNUMBER($AN237),$AN237&lt;FechaRef,IF($V237="Sub",N($X237),N($M237))&lt;1,$Q237=""),"Vencida sin observación"&amp;" · ",""))="","✔ OK","⚠ "&amp;LEFT(IF($C237="","Falta el nombre de la actividad"&amp;" · ","")&amp;IF(AND($V237="Sub",N($U237)=0),"Subactividad sin macroactividad arriba"&amp;" · ","")&amp;IF($AM237="","Sin fecha de inicio"&amp;" · ","")&amp;IF($AN237="","Sin fecha límite"&amp;" · ","")&amp;IF(AND(LEFT($C237,11)="[Jefatura] ",N($AL237)=0),"No se encuentra en la hoja de la jefatura (elíjala de nuevo en la lista)"&amp;" · ","")&amp;IF(OR(AND($E237&lt;&gt;"",NOT(ISNUMBER($E237))),AND($F237&lt;&gt;"",NOT(ISNUMBER($F237))),AND($G237&lt;&gt;"",NOT(ISNUMBER($G237)))),"Fecha no válida"&amp;" · ","")&amp;IF(AND(ISNUMBER($AM237),ISNUMBER($AN237),$AM237&gt;$AN237),"Inicio posterior a fecha límite"&amp;" · ","")&amp;IF(AND($V237="Macro",$H237&lt;&gt;"",OR(NOT(ISNUMBER($H237)),$H237&lt;0,$H237&gt;1)),"Peso fuera de rango"&amp;" · ","")&amp;IF(AND($V237="Sub",$H237&lt;&gt;""),"Las subactividades no llevan peso (valen igual dentro de su macroactividad)"&amp;" · ","")&amp;IF(AND(N($W237)&gt;0,COUNT($I237:$L237)&gt;0),"Con subactividades: deje vacías las semanas (se calculan solas)"&amp;" · ","")&amp;IF((COUNTIF($I237:$L237,"&gt;1")+COUNTIF($I237:$L237,"&lt;0")+COUNTA($I237:$L237)-COUNT($I237:$L237))&gt;0,"Avance fuera de rango 0-100%"&amp;" · ","")&amp;IF(OR(AND($J237&lt;&gt;"",$J237&lt;$I237),AND($K237&lt;&gt;"",$K237&lt;MAX($I237:$J237)),AND($L237&lt;&gt;"",$L237&lt;MAX($I237:$K237))),"Avance semanal decreciente"&amp;" · ","")&amp;IF(AND(ISNUMBER($AN237),$AN237&lt;FechaRef,IF($V237="Sub",N($X237),N($M237))&lt;1),"Vencida"&amp;" · ","")&amp;IF(AND(ObsObligatoria="Sí",ISNUMBER($AN237),$AN237&lt;FechaRef,IF($V237="Sub",N($X237),N($M237))&lt;1,$Q237=""),"Vencida sin observación"&amp;" · ",""),LEN(IF($C237="","Falta el nombre de la actividad"&amp;" · ","")&amp;IF(AND($V237="Sub",N($U237)=0),"Subactividad sin macroactividad arriba"&amp;" · ","")&amp;IF($AM237="","Sin fecha de inicio"&amp;" · ","")&amp;IF($AN237="","Sin fecha límite"&amp;" · ","")&amp;IF(AND(LEFT($C237,11)="[Jefatura] ",N($AL237)=0),"No se encuentra en la hoja de la jefatura (elíjala de nuevo en la lista)"&amp;" · ","")&amp;IF(OR(AND($E237&lt;&gt;"",NOT(ISNUMBER($E237))),AND($F237&lt;&gt;"",NOT(ISNUMBER($F237))),AND($G237&lt;&gt;"",NOT(ISNUMBER($G237)))),"Fecha no válida"&amp;" · ","")&amp;IF(AND(ISNUMBER($AM237),ISNUMBER($AN237),$AM237&gt;$AN237),"Inicio posterior a fecha límite"&amp;" · ","")&amp;IF(AND($V237="Macro",$H237&lt;&gt;"",OR(NOT(ISNUMBER($H237)),$H237&lt;0,$H237&gt;1)),"Peso fuera de rango"&amp;" · ","")&amp;IF(AND($V237="Sub",$H237&lt;&gt;""),"Las subactividades no llevan peso (valen igual dentro de su macroactividad)"&amp;" · ","")&amp;IF(AND(N($W237)&gt;0,COUNT($I237:$L237)&gt;0),"Con subactividades: deje vacías las semanas (se calculan solas)"&amp;" · ","")&amp;IF((COUNTIF($I237:$L237,"&gt;1")+COUNTIF($I237:$L237,"&lt;0")+COUNTA($I237:$L237)-COUNT($I237:$L237))&gt;0,"Avance fuera de rango 0-100%"&amp;" · ","")&amp;IF(OR(AND($J237&lt;&gt;"",$J237&lt;$I237),AND($K237&lt;&gt;"",$K237&lt;MAX($I237:$J237)),AND($L237&lt;&gt;"",$L237&lt;MAX($I237:$K237))),"Avance semanal decreciente"&amp;" · ","")&amp;IF(AND(ISNUMBER($AN237),$AN237&lt;FechaRef,IF($V237="Sub",N($X237),N($M237))&lt;1),"Vencida"&amp;" · ","")&amp;IF(AND(ObsObligatoria="Sí",ISNUMBER($AN237),$AN237&lt;FechaRef,IF($V237="Sub",N($X237),N($M237))&lt;1,$Q237=""),"Vencida sin observación"&amp;" · ",""))-3)))</f>
        <v/>
      </c>
      <c r="S237" s="64">
        <f>IF(NOT((COUNTA($B237:$D237)+COUNTA($G237:$L237)+COUNTA($Q237))&gt;0),"",IF(AND($V237="Sub",N($U237)&gt;0),IF(ISNUMBER(INDEX($AM$5:$AM$1000,$U237-4)),DATE(YEAR(INDEX($AM$5:$AM$1000,$U237-4)),MONTH(INDEX($AM$5:$AM$1000,$U237-4)),1),IF(ISNUMBER(INDEX($AN$5:$AN$1000,$U237-4)),DATE(YEAR(INDEX($AN$5:$AN$1000,$U237-4)),MONTH(INDEX($AN$5:$AN$1000,$U237-4)),1),MesCiclo)),IF(ISNUMBER($AM237),DATE(YEAR($AM237),MONTH($AM237),1),IF(ISNUMBER($AN237),DATE(YEAR($AN237),MONTH($AN237),1),MesCiclo))))</f>
        <v/>
      </c>
      <c r="T237" s="62">
        <f>IF(OR($S237="",$S237&lt;&gt;MesCiclo,$V237&lt;&gt;"Macro"),"",COUNTIFS($S$5:$S237,MesCiclo,$V$5:$V237,"Macro"))</f>
        <v/>
      </c>
      <c r="U237" s="62">
        <f>IF($V237="","",IF($V237="Macro",ROW(),IFERROR(LOOKUP(2,1/($V$5:$V237="Macro"),ROW($V$5:$V237)),0)))</f>
        <v/>
      </c>
      <c r="V237" s="62">
        <f>IF(NOT((COUNTA($B237:$D237)+COUNTA($G237:$L237)+COUNTA($Q237))&gt;0),"",IF($B237="Subactividad","Sub","Macro"))</f>
        <v/>
      </c>
      <c r="W237" s="62">
        <f>IF($V237="Macro",COUNTIFS($U$5:$U$1000,ROW(),$V$5:$V$1000,"Sub"),"")</f>
        <v/>
      </c>
      <c r="X237" s="62">
        <f>IF($V237="","",IF(ISNUMBER($G237),1,IFERROR(LOOKUP(2,1/($I237:$L237&lt;&gt;""),$I237:$L237),0)))</f>
        <v/>
      </c>
      <c r="Y237" s="62">
        <f>IF($V237="","",IF(AND(ISNUMBER($G237),$G237&lt;=IF($S237=MesCiclo,InicioCiclo,$S237+MOD(2-WEEKDAY($S237),7))+6),1,IF(ISNUMBER($I237),$I237,0)))</f>
        <v/>
      </c>
      <c r="Z237" s="62">
        <f>IF($V237="","",IF(AND(ISNUMBER($G237),$G237&lt;=IF($S237=MesCiclo,InicioCiclo,$S237+MOD(2-WEEKDAY($S237),7))+13),1,IF(ISNUMBER($J237),$J237,$Y237)))</f>
        <v/>
      </c>
      <c r="AA237" s="62">
        <f>IF($V237="","",IF(AND(ISNUMBER($G237),$G237&lt;=IF($S237=MesCiclo,InicioCiclo,$S237+MOD(2-WEEKDAY($S237),7))+20),1,IF(ISNUMBER($K237),$K237,$Z237)))</f>
        <v/>
      </c>
      <c r="AB237" s="62">
        <f>IF($V237="","",IF(AND(ISNUMBER($G237),$G237&lt;=IF($S237=MesCiclo,InicioCiclo,$S237+MOD(2-WEEKDAY($S237),7))+27),1,IF(ISNUMBER($L237),$L237,$AA237)))</f>
        <v/>
      </c>
      <c r="AC237" s="62">
        <f>IF($V237="","",IF(AND(ISNUMBER($G237),$G237&lt;=IF($S237=MesCiclo,InicioCiclo,$S237+MOD(2-WEEKDAY($S237),7))+6),1,IF(N($W237)&gt;0,AVERAGEIFS($Y$5:$Y$1000,$U$5:$U$1000,ROW(),$V$5:$V$1000,"Sub"),$Y237)))</f>
        <v/>
      </c>
      <c r="AD237" s="62">
        <f>IF($V237="","",IF(AND(ISNUMBER($G237),$G237&lt;=IF($S237=MesCiclo,InicioCiclo,$S237+MOD(2-WEEKDAY($S237),7))+13),1,IF(N($W237)&gt;0,AVERAGEIFS($Z$5:$Z$1000,$U$5:$U$1000,ROW(),$V$5:$V$1000,"Sub"),$Z237)))</f>
        <v/>
      </c>
      <c r="AE237" s="62">
        <f>IF($V237="","",IF(AND(ISNUMBER($G237),$G237&lt;=IF($S237=MesCiclo,InicioCiclo,$S237+MOD(2-WEEKDAY($S237),7))+20),1,IF(N($W237)&gt;0,AVERAGEIFS($AA$5:$AA$1000,$U$5:$U$1000,ROW(),$V$5:$V$1000,"Sub"),$AA237)))</f>
        <v/>
      </c>
      <c r="AF237" s="62">
        <f>IF($V237="","",IF(AND(ISNUMBER($G237),$G237&lt;=IF($S237=MesCiclo,InicioCiclo,$S237+MOD(2-WEEKDAY($S237),7))+27),1,IF(N($W237)&gt;0,AVERAGEIFS($AB$5:$AB$1000,$U$5:$U$1000,ROW(),$V$5:$V$1000,"Sub"),$AB237)))</f>
        <v/>
      </c>
      <c r="AG237" s="62">
        <f>IF($V237&lt;&gt;"Macro","",IF(COUNTIFS($S$5:$S$1000,$S237,$V$5:$V$1000,"Macro",$H$5:$H$1000,"&gt;0")=0,1/COUNTIFS($S$5:$S$1000,$S237,$V$5:$V$1000,"Macro"),IF(AND(ISNUMBER($H237),N($H237)&gt;0),$H237,SUMIFS($H$5:$H$1000,$S$5:$S$1000,$S237,$V$5:$V$1000,"Macro")/COUNTIFS($S$5:$S$1000,$S237,$V$5:$V$1000,"Macro",$H$5:$H$1000,"&gt;0"))/(COUNTIFS($S$5:$S$1000,$S237,$V$5:$V$1000,"Macro")*SUMIFS($H$5:$H$1000,$S$5:$S$1000,$S237,$V$5:$V$1000,"Macro")/COUNTIFS($S$5:$S$1000,$S237,$V$5:$V$1000,"Macro",$H$5:$H$1000,"&gt;0"))))</f>
        <v/>
      </c>
      <c r="AH237" s="62" t="n"/>
      <c r="AI237" s="62" t="n"/>
      <c r="AJ237" s="62" t="n"/>
      <c r="AK237" s="62" t="n"/>
      <c r="AL237" s="62">
        <f>IF(LEFT($C237,11)="[Jefatura] ",IFERROR(MATCH("Riesgo Normativo|"&amp;MID($C237,12,500),rDname_ADM,0),0),"")</f>
        <v/>
      </c>
      <c r="AM237" s="62">
        <f>IF(N($AL237)&gt;0,INDEX(rIni_ADM,$AL237),IF(ISNUMBER($E237),$E237,""))</f>
        <v/>
      </c>
      <c r="AN237" s="62">
        <f>IF(N($AL237)&gt;0,INDEX(rLim_ADM,$AL237),IF(ISNUMBER($F237),$F237,""))</f>
        <v/>
      </c>
    </row>
    <row r="238">
      <c r="A238" s="56">
        <f>IF(NOT((COUNTA($B238:$D238)+COUNTA($G238:$L238)+COUNTA($Q238))&gt;0),"",IF($V238="Macro",COUNTIFS($V$5:$V238,"Macro",$S$5:$S238,$S238),IF(N($U238)=0,"?",COUNTIFS(INDEX($V$5:$V$1000,1):INDEX($V$5:$V$1000,$U238-4),"Macro",INDEX($S$5:$S$1000,1):INDEX($S$5:$S$1000,$U238-4),INDEX($S$5:$S$1000,$U238-4))&amp;"."&amp;COUNTIFS($U$5:$U238,$U238,$V$5:$V238,"Sub"))))</f>
        <v/>
      </c>
      <c r="B238" s="57" t="n"/>
      <c r="C238" s="58" t="n"/>
      <c r="D238" s="58" t="n"/>
      <c r="E238" s="59">
        <f>IF(N($AL238)&gt;0,INDEX(rIni_ADM,$AL238),"")</f>
        <v/>
      </c>
      <c r="F238" s="59">
        <f>IF(N($AL238)&gt;0,INDEX(rLim_ADM,$AL238),"")</f>
        <v/>
      </c>
      <c r="G238" s="59" t="n"/>
      <c r="H238" s="60" t="n"/>
      <c r="I238" s="60" t="n"/>
      <c r="J238" s="60" t="n"/>
      <c r="K238" s="60" t="n"/>
      <c r="L238" s="60" t="n"/>
      <c r="M238" s="61">
        <f>IF(NOT((COUNTA($B238:$D238)+COUNTA($G238:$L238)+COUNTA($Q238))&gt;0),"",IF($V238="Sub",IFERROR($X238/INDEX($W$5:$W$1000,$U238-4),""),IF(ISNUMBER($G238),1,IF(N($W238)&gt;0,AVERAGEIFS($X$5:$X$1000,$U$5:$U$1000,ROW(),$V$5:$V$1000,"Sub"),$X238))))</f>
        <v/>
      </c>
      <c r="N238" s="56">
        <f>IF(OR($M238="",$V238="Sub"),"",IF($M238&gt;=1,"Completado",IF($M238&gt;0,"En curso","Pendiente")))</f>
        <v/>
      </c>
      <c r="O238" s="56">
        <f>IF(OR(NOT((COUNTA($B238:$D238)+COUNTA($G238:$L238)+COUNTA($Q238))&gt;0),$V238="Sub"),"",IF(ISNUMBER($G238),IF(AND(ISNUMBER($AN238),$G238&gt;$AN238),"Cumplida con "&amp;($G238-$AN238)&amp;IF($G238-$AN238=1," día"," días")&amp;" de retraso","Cumplida"),IF(N($M238)&gt;=1,"Cumplida",IF(NOT(ISNUMBER($AN238)),"Sin fecha límite",IF($AN238&lt;FechaRef,"Vencida hace "&amp;(FechaRef-$AN238)&amp;IF(FechaRef-$AN238=1," día"," días"),IF($AN238=FechaRef,"Vence hoy",IF($AN238-FechaRef&lt;=DiasAlerta,"Vence en "&amp;($AN238-FechaRef)&amp;IF($AN238-FechaRef=1," día"," días"),"En plazo")))))))</f>
        <v/>
      </c>
      <c r="P238" s="62" t="n"/>
      <c r="Q238" s="58" t="n"/>
      <c r="R238" s="63">
        <f>IF(NOT((COUNTA($B238:$D238)+COUNTA($G238:$L238)+COUNTA($Q238))&gt;0),"",IF((IF($C238="","Falta el nombre de la actividad"&amp;" · ","")&amp;IF(AND($V238="Sub",N($U238)=0),"Subactividad sin macroactividad arriba"&amp;" · ","")&amp;IF($AM238="","Sin fecha de inicio"&amp;" · ","")&amp;IF($AN238="","Sin fecha límite"&amp;" · ","")&amp;IF(AND(LEFT($C238,11)="[Jefatura] ",N($AL238)=0),"No se encuentra en la hoja de la jefatura (elíjala de nuevo en la lista)"&amp;" · ","")&amp;IF(OR(AND($E238&lt;&gt;"",NOT(ISNUMBER($E238))),AND($F238&lt;&gt;"",NOT(ISNUMBER($F238))),AND($G238&lt;&gt;"",NOT(ISNUMBER($G238)))),"Fecha no válida"&amp;" · ","")&amp;IF(AND(ISNUMBER($AM238),ISNUMBER($AN238),$AM238&gt;$AN238),"Inicio posterior a fecha límite"&amp;" · ","")&amp;IF(AND($V238="Macro",$H238&lt;&gt;"",OR(NOT(ISNUMBER($H238)),$H238&lt;0,$H238&gt;1)),"Peso fuera de rango"&amp;" · ","")&amp;IF(AND($V238="Sub",$H238&lt;&gt;""),"Las subactividades no llevan peso (valen igual dentro de su macroactividad)"&amp;" · ","")&amp;IF(AND(N($W238)&gt;0,COUNT($I238:$L238)&gt;0),"Con subactividades: deje vacías las semanas (se calculan solas)"&amp;" · ","")&amp;IF((COUNTIF($I238:$L238,"&gt;1")+COUNTIF($I238:$L238,"&lt;0")+COUNTA($I238:$L238)-COUNT($I238:$L238))&gt;0,"Avance fuera de rango 0-100%"&amp;" · ","")&amp;IF(OR(AND($J238&lt;&gt;"",$J238&lt;$I238),AND($K238&lt;&gt;"",$K238&lt;MAX($I238:$J238)),AND($L238&lt;&gt;"",$L238&lt;MAX($I238:$K238))),"Avance semanal decreciente"&amp;" · ","")&amp;IF(AND(ISNUMBER($AN238),$AN238&lt;FechaRef,IF($V238="Sub",N($X238),N($M238))&lt;1),"Vencida"&amp;" · ","")&amp;IF(AND(ObsObligatoria="Sí",ISNUMBER($AN238),$AN238&lt;FechaRef,IF($V238="Sub",N($X238),N($M238))&lt;1,$Q238=""),"Vencida sin observación"&amp;" · ",""))="","✔ OK","⚠ "&amp;LEFT(IF($C238="","Falta el nombre de la actividad"&amp;" · ","")&amp;IF(AND($V238="Sub",N($U238)=0),"Subactividad sin macroactividad arriba"&amp;" · ","")&amp;IF($AM238="","Sin fecha de inicio"&amp;" · ","")&amp;IF($AN238="","Sin fecha límite"&amp;" · ","")&amp;IF(AND(LEFT($C238,11)="[Jefatura] ",N($AL238)=0),"No se encuentra en la hoja de la jefatura (elíjala de nuevo en la lista)"&amp;" · ","")&amp;IF(OR(AND($E238&lt;&gt;"",NOT(ISNUMBER($E238))),AND($F238&lt;&gt;"",NOT(ISNUMBER($F238))),AND($G238&lt;&gt;"",NOT(ISNUMBER($G238)))),"Fecha no válida"&amp;" · ","")&amp;IF(AND(ISNUMBER($AM238),ISNUMBER($AN238),$AM238&gt;$AN238),"Inicio posterior a fecha límite"&amp;" · ","")&amp;IF(AND($V238="Macro",$H238&lt;&gt;"",OR(NOT(ISNUMBER($H238)),$H238&lt;0,$H238&gt;1)),"Peso fuera de rango"&amp;" · ","")&amp;IF(AND($V238="Sub",$H238&lt;&gt;""),"Las subactividades no llevan peso (valen igual dentro de su macroactividad)"&amp;" · ","")&amp;IF(AND(N($W238)&gt;0,COUNT($I238:$L238)&gt;0),"Con subactividades: deje vacías las semanas (se calculan solas)"&amp;" · ","")&amp;IF((COUNTIF($I238:$L238,"&gt;1")+COUNTIF($I238:$L238,"&lt;0")+COUNTA($I238:$L238)-COUNT($I238:$L238))&gt;0,"Avance fuera de rango 0-100%"&amp;" · ","")&amp;IF(OR(AND($J238&lt;&gt;"",$J238&lt;$I238),AND($K238&lt;&gt;"",$K238&lt;MAX($I238:$J238)),AND($L238&lt;&gt;"",$L238&lt;MAX($I238:$K238))),"Avance semanal decreciente"&amp;" · ","")&amp;IF(AND(ISNUMBER($AN238),$AN238&lt;FechaRef,IF($V238="Sub",N($X238),N($M238))&lt;1),"Vencida"&amp;" · ","")&amp;IF(AND(ObsObligatoria="Sí",ISNUMBER($AN238),$AN238&lt;FechaRef,IF($V238="Sub",N($X238),N($M238))&lt;1,$Q238=""),"Vencida sin observación"&amp;" · ",""),LEN(IF($C238="","Falta el nombre de la actividad"&amp;" · ","")&amp;IF(AND($V238="Sub",N($U238)=0),"Subactividad sin macroactividad arriba"&amp;" · ","")&amp;IF($AM238="","Sin fecha de inicio"&amp;" · ","")&amp;IF($AN238="","Sin fecha límite"&amp;" · ","")&amp;IF(AND(LEFT($C238,11)="[Jefatura] ",N($AL238)=0),"No se encuentra en la hoja de la jefatura (elíjala de nuevo en la lista)"&amp;" · ","")&amp;IF(OR(AND($E238&lt;&gt;"",NOT(ISNUMBER($E238))),AND($F238&lt;&gt;"",NOT(ISNUMBER($F238))),AND($G238&lt;&gt;"",NOT(ISNUMBER($G238)))),"Fecha no válida"&amp;" · ","")&amp;IF(AND(ISNUMBER($AM238),ISNUMBER($AN238),$AM238&gt;$AN238),"Inicio posterior a fecha límite"&amp;" · ","")&amp;IF(AND($V238="Macro",$H238&lt;&gt;"",OR(NOT(ISNUMBER($H238)),$H238&lt;0,$H238&gt;1)),"Peso fuera de rango"&amp;" · ","")&amp;IF(AND($V238="Sub",$H238&lt;&gt;""),"Las subactividades no llevan peso (valen igual dentro de su macroactividad)"&amp;" · ","")&amp;IF(AND(N($W238)&gt;0,COUNT($I238:$L238)&gt;0),"Con subactividades: deje vacías las semanas (se calculan solas)"&amp;" · ","")&amp;IF((COUNTIF($I238:$L238,"&gt;1")+COUNTIF($I238:$L238,"&lt;0")+COUNTA($I238:$L238)-COUNT($I238:$L238))&gt;0,"Avance fuera de rango 0-100%"&amp;" · ","")&amp;IF(OR(AND($J238&lt;&gt;"",$J238&lt;$I238),AND($K238&lt;&gt;"",$K238&lt;MAX($I238:$J238)),AND($L238&lt;&gt;"",$L238&lt;MAX($I238:$K238))),"Avance semanal decreciente"&amp;" · ","")&amp;IF(AND(ISNUMBER($AN238),$AN238&lt;FechaRef,IF($V238="Sub",N($X238),N($M238))&lt;1),"Vencida"&amp;" · ","")&amp;IF(AND(ObsObligatoria="Sí",ISNUMBER($AN238),$AN238&lt;FechaRef,IF($V238="Sub",N($X238),N($M238))&lt;1,$Q238=""),"Vencida sin observación"&amp;" · ",""))-3)))</f>
        <v/>
      </c>
      <c r="S238" s="64">
        <f>IF(NOT((COUNTA($B238:$D238)+COUNTA($G238:$L238)+COUNTA($Q238))&gt;0),"",IF(AND($V238="Sub",N($U238)&gt;0),IF(ISNUMBER(INDEX($AM$5:$AM$1000,$U238-4)),DATE(YEAR(INDEX($AM$5:$AM$1000,$U238-4)),MONTH(INDEX($AM$5:$AM$1000,$U238-4)),1),IF(ISNUMBER(INDEX($AN$5:$AN$1000,$U238-4)),DATE(YEAR(INDEX($AN$5:$AN$1000,$U238-4)),MONTH(INDEX($AN$5:$AN$1000,$U238-4)),1),MesCiclo)),IF(ISNUMBER($AM238),DATE(YEAR($AM238),MONTH($AM238),1),IF(ISNUMBER($AN238),DATE(YEAR($AN238),MONTH($AN238),1),MesCiclo))))</f>
        <v/>
      </c>
      <c r="T238" s="62">
        <f>IF(OR($S238="",$S238&lt;&gt;MesCiclo,$V238&lt;&gt;"Macro"),"",COUNTIFS($S$5:$S238,MesCiclo,$V$5:$V238,"Macro"))</f>
        <v/>
      </c>
      <c r="U238" s="62">
        <f>IF($V238="","",IF($V238="Macro",ROW(),IFERROR(LOOKUP(2,1/($V$5:$V238="Macro"),ROW($V$5:$V238)),0)))</f>
        <v/>
      </c>
      <c r="V238" s="62">
        <f>IF(NOT((COUNTA($B238:$D238)+COUNTA($G238:$L238)+COUNTA($Q238))&gt;0),"",IF($B238="Subactividad","Sub","Macro"))</f>
        <v/>
      </c>
      <c r="W238" s="62">
        <f>IF($V238="Macro",COUNTIFS($U$5:$U$1000,ROW(),$V$5:$V$1000,"Sub"),"")</f>
        <v/>
      </c>
      <c r="X238" s="62">
        <f>IF($V238="","",IF(ISNUMBER($G238),1,IFERROR(LOOKUP(2,1/($I238:$L238&lt;&gt;""),$I238:$L238),0)))</f>
        <v/>
      </c>
      <c r="Y238" s="62">
        <f>IF($V238="","",IF(AND(ISNUMBER($G238),$G238&lt;=IF($S238=MesCiclo,InicioCiclo,$S238+MOD(2-WEEKDAY($S238),7))+6),1,IF(ISNUMBER($I238),$I238,0)))</f>
        <v/>
      </c>
      <c r="Z238" s="62">
        <f>IF($V238="","",IF(AND(ISNUMBER($G238),$G238&lt;=IF($S238=MesCiclo,InicioCiclo,$S238+MOD(2-WEEKDAY($S238),7))+13),1,IF(ISNUMBER($J238),$J238,$Y238)))</f>
        <v/>
      </c>
      <c r="AA238" s="62">
        <f>IF($V238="","",IF(AND(ISNUMBER($G238),$G238&lt;=IF($S238=MesCiclo,InicioCiclo,$S238+MOD(2-WEEKDAY($S238),7))+20),1,IF(ISNUMBER($K238),$K238,$Z238)))</f>
        <v/>
      </c>
      <c r="AB238" s="62">
        <f>IF($V238="","",IF(AND(ISNUMBER($G238),$G238&lt;=IF($S238=MesCiclo,InicioCiclo,$S238+MOD(2-WEEKDAY($S238),7))+27),1,IF(ISNUMBER($L238),$L238,$AA238)))</f>
        <v/>
      </c>
      <c r="AC238" s="62">
        <f>IF($V238="","",IF(AND(ISNUMBER($G238),$G238&lt;=IF($S238=MesCiclo,InicioCiclo,$S238+MOD(2-WEEKDAY($S238),7))+6),1,IF(N($W238)&gt;0,AVERAGEIFS($Y$5:$Y$1000,$U$5:$U$1000,ROW(),$V$5:$V$1000,"Sub"),$Y238)))</f>
        <v/>
      </c>
      <c r="AD238" s="62">
        <f>IF($V238="","",IF(AND(ISNUMBER($G238),$G238&lt;=IF($S238=MesCiclo,InicioCiclo,$S238+MOD(2-WEEKDAY($S238),7))+13),1,IF(N($W238)&gt;0,AVERAGEIFS($Z$5:$Z$1000,$U$5:$U$1000,ROW(),$V$5:$V$1000,"Sub"),$Z238)))</f>
        <v/>
      </c>
      <c r="AE238" s="62">
        <f>IF($V238="","",IF(AND(ISNUMBER($G238),$G238&lt;=IF($S238=MesCiclo,InicioCiclo,$S238+MOD(2-WEEKDAY($S238),7))+20),1,IF(N($W238)&gt;0,AVERAGEIFS($AA$5:$AA$1000,$U$5:$U$1000,ROW(),$V$5:$V$1000,"Sub"),$AA238)))</f>
        <v/>
      </c>
      <c r="AF238" s="62">
        <f>IF($V238="","",IF(AND(ISNUMBER($G238),$G238&lt;=IF($S238=MesCiclo,InicioCiclo,$S238+MOD(2-WEEKDAY($S238),7))+27),1,IF(N($W238)&gt;0,AVERAGEIFS($AB$5:$AB$1000,$U$5:$U$1000,ROW(),$V$5:$V$1000,"Sub"),$AB238)))</f>
        <v/>
      </c>
      <c r="AG238" s="62">
        <f>IF($V238&lt;&gt;"Macro","",IF(COUNTIFS($S$5:$S$1000,$S238,$V$5:$V$1000,"Macro",$H$5:$H$1000,"&gt;0")=0,1/COUNTIFS($S$5:$S$1000,$S238,$V$5:$V$1000,"Macro"),IF(AND(ISNUMBER($H238),N($H238)&gt;0),$H238,SUMIFS($H$5:$H$1000,$S$5:$S$1000,$S238,$V$5:$V$1000,"Macro")/COUNTIFS($S$5:$S$1000,$S238,$V$5:$V$1000,"Macro",$H$5:$H$1000,"&gt;0"))/(COUNTIFS($S$5:$S$1000,$S238,$V$5:$V$1000,"Macro")*SUMIFS($H$5:$H$1000,$S$5:$S$1000,$S238,$V$5:$V$1000,"Macro")/COUNTIFS($S$5:$S$1000,$S238,$V$5:$V$1000,"Macro",$H$5:$H$1000,"&gt;0"))))</f>
        <v/>
      </c>
      <c r="AH238" s="62" t="n"/>
      <c r="AI238" s="62" t="n"/>
      <c r="AJ238" s="62" t="n"/>
      <c r="AK238" s="62" t="n"/>
      <c r="AL238" s="62">
        <f>IF(LEFT($C238,11)="[Jefatura] ",IFERROR(MATCH("Riesgo Normativo|"&amp;MID($C238,12,500),rDname_ADM,0),0),"")</f>
        <v/>
      </c>
      <c r="AM238" s="62">
        <f>IF(N($AL238)&gt;0,INDEX(rIni_ADM,$AL238),IF(ISNUMBER($E238),$E238,""))</f>
        <v/>
      </c>
      <c r="AN238" s="62">
        <f>IF(N($AL238)&gt;0,INDEX(rLim_ADM,$AL238),IF(ISNUMBER($F238),$F238,""))</f>
        <v/>
      </c>
    </row>
    <row r="239">
      <c r="A239" s="56">
        <f>IF(NOT((COUNTA($B239:$D239)+COUNTA($G239:$L239)+COUNTA($Q239))&gt;0),"",IF($V239="Macro",COUNTIFS($V$5:$V239,"Macro",$S$5:$S239,$S239),IF(N($U239)=0,"?",COUNTIFS(INDEX($V$5:$V$1000,1):INDEX($V$5:$V$1000,$U239-4),"Macro",INDEX($S$5:$S$1000,1):INDEX($S$5:$S$1000,$U239-4),INDEX($S$5:$S$1000,$U239-4))&amp;"."&amp;COUNTIFS($U$5:$U239,$U239,$V$5:$V239,"Sub"))))</f>
        <v/>
      </c>
      <c r="B239" s="57" t="n"/>
      <c r="C239" s="58" t="n"/>
      <c r="D239" s="58" t="n"/>
      <c r="E239" s="59">
        <f>IF(N($AL239)&gt;0,INDEX(rIni_ADM,$AL239),"")</f>
        <v/>
      </c>
      <c r="F239" s="59">
        <f>IF(N($AL239)&gt;0,INDEX(rLim_ADM,$AL239),"")</f>
        <v/>
      </c>
      <c r="G239" s="59" t="n"/>
      <c r="H239" s="60" t="n"/>
      <c r="I239" s="60" t="n"/>
      <c r="J239" s="60" t="n"/>
      <c r="K239" s="60" t="n"/>
      <c r="L239" s="60" t="n"/>
      <c r="M239" s="61">
        <f>IF(NOT((COUNTA($B239:$D239)+COUNTA($G239:$L239)+COUNTA($Q239))&gt;0),"",IF($V239="Sub",IFERROR($X239/INDEX($W$5:$W$1000,$U239-4),""),IF(ISNUMBER($G239),1,IF(N($W239)&gt;0,AVERAGEIFS($X$5:$X$1000,$U$5:$U$1000,ROW(),$V$5:$V$1000,"Sub"),$X239))))</f>
        <v/>
      </c>
      <c r="N239" s="56">
        <f>IF(OR($M239="",$V239="Sub"),"",IF($M239&gt;=1,"Completado",IF($M239&gt;0,"En curso","Pendiente")))</f>
        <v/>
      </c>
      <c r="O239" s="56">
        <f>IF(OR(NOT((COUNTA($B239:$D239)+COUNTA($G239:$L239)+COUNTA($Q239))&gt;0),$V239="Sub"),"",IF(ISNUMBER($G239),IF(AND(ISNUMBER($AN239),$G239&gt;$AN239),"Cumplida con "&amp;($G239-$AN239)&amp;IF($G239-$AN239=1," día"," días")&amp;" de retraso","Cumplida"),IF(N($M239)&gt;=1,"Cumplida",IF(NOT(ISNUMBER($AN239)),"Sin fecha límite",IF($AN239&lt;FechaRef,"Vencida hace "&amp;(FechaRef-$AN239)&amp;IF(FechaRef-$AN239=1," día"," días"),IF($AN239=FechaRef,"Vence hoy",IF($AN239-FechaRef&lt;=DiasAlerta,"Vence en "&amp;($AN239-FechaRef)&amp;IF($AN239-FechaRef=1," día"," días"),"En plazo")))))))</f>
        <v/>
      </c>
      <c r="P239" s="62" t="n"/>
      <c r="Q239" s="58" t="n"/>
      <c r="R239" s="63">
        <f>IF(NOT((COUNTA($B239:$D239)+COUNTA($G239:$L239)+COUNTA($Q239))&gt;0),"",IF((IF($C239="","Falta el nombre de la actividad"&amp;" · ","")&amp;IF(AND($V239="Sub",N($U239)=0),"Subactividad sin macroactividad arriba"&amp;" · ","")&amp;IF($AM239="","Sin fecha de inicio"&amp;" · ","")&amp;IF($AN239="","Sin fecha límite"&amp;" · ","")&amp;IF(AND(LEFT($C239,11)="[Jefatura] ",N($AL239)=0),"No se encuentra en la hoja de la jefatura (elíjala de nuevo en la lista)"&amp;" · ","")&amp;IF(OR(AND($E239&lt;&gt;"",NOT(ISNUMBER($E239))),AND($F239&lt;&gt;"",NOT(ISNUMBER($F239))),AND($G239&lt;&gt;"",NOT(ISNUMBER($G239)))),"Fecha no válida"&amp;" · ","")&amp;IF(AND(ISNUMBER($AM239),ISNUMBER($AN239),$AM239&gt;$AN239),"Inicio posterior a fecha límite"&amp;" · ","")&amp;IF(AND($V239="Macro",$H239&lt;&gt;"",OR(NOT(ISNUMBER($H239)),$H239&lt;0,$H239&gt;1)),"Peso fuera de rango"&amp;" · ","")&amp;IF(AND($V239="Sub",$H239&lt;&gt;""),"Las subactividades no llevan peso (valen igual dentro de su macroactividad)"&amp;" · ","")&amp;IF(AND(N($W239)&gt;0,COUNT($I239:$L239)&gt;0),"Con subactividades: deje vacías las semanas (se calculan solas)"&amp;" · ","")&amp;IF((COUNTIF($I239:$L239,"&gt;1")+COUNTIF($I239:$L239,"&lt;0")+COUNTA($I239:$L239)-COUNT($I239:$L239))&gt;0,"Avance fuera de rango 0-100%"&amp;" · ","")&amp;IF(OR(AND($J239&lt;&gt;"",$J239&lt;$I239),AND($K239&lt;&gt;"",$K239&lt;MAX($I239:$J239)),AND($L239&lt;&gt;"",$L239&lt;MAX($I239:$K239))),"Avance semanal decreciente"&amp;" · ","")&amp;IF(AND(ISNUMBER($AN239),$AN239&lt;FechaRef,IF($V239="Sub",N($X239),N($M239))&lt;1),"Vencida"&amp;" · ","")&amp;IF(AND(ObsObligatoria="Sí",ISNUMBER($AN239),$AN239&lt;FechaRef,IF($V239="Sub",N($X239),N($M239))&lt;1,$Q239=""),"Vencida sin observación"&amp;" · ",""))="","✔ OK","⚠ "&amp;LEFT(IF($C239="","Falta el nombre de la actividad"&amp;" · ","")&amp;IF(AND($V239="Sub",N($U239)=0),"Subactividad sin macroactividad arriba"&amp;" · ","")&amp;IF($AM239="","Sin fecha de inicio"&amp;" · ","")&amp;IF($AN239="","Sin fecha límite"&amp;" · ","")&amp;IF(AND(LEFT($C239,11)="[Jefatura] ",N($AL239)=0),"No se encuentra en la hoja de la jefatura (elíjala de nuevo en la lista)"&amp;" · ","")&amp;IF(OR(AND($E239&lt;&gt;"",NOT(ISNUMBER($E239))),AND($F239&lt;&gt;"",NOT(ISNUMBER($F239))),AND($G239&lt;&gt;"",NOT(ISNUMBER($G239)))),"Fecha no válida"&amp;" · ","")&amp;IF(AND(ISNUMBER($AM239),ISNUMBER($AN239),$AM239&gt;$AN239),"Inicio posterior a fecha límite"&amp;" · ","")&amp;IF(AND($V239="Macro",$H239&lt;&gt;"",OR(NOT(ISNUMBER($H239)),$H239&lt;0,$H239&gt;1)),"Peso fuera de rango"&amp;" · ","")&amp;IF(AND($V239="Sub",$H239&lt;&gt;""),"Las subactividades no llevan peso (valen igual dentro de su macroactividad)"&amp;" · ","")&amp;IF(AND(N($W239)&gt;0,COUNT($I239:$L239)&gt;0),"Con subactividades: deje vacías las semanas (se calculan solas)"&amp;" · ","")&amp;IF((COUNTIF($I239:$L239,"&gt;1")+COUNTIF($I239:$L239,"&lt;0")+COUNTA($I239:$L239)-COUNT($I239:$L239))&gt;0,"Avance fuera de rango 0-100%"&amp;" · ","")&amp;IF(OR(AND($J239&lt;&gt;"",$J239&lt;$I239),AND($K239&lt;&gt;"",$K239&lt;MAX($I239:$J239)),AND($L239&lt;&gt;"",$L239&lt;MAX($I239:$K239))),"Avance semanal decreciente"&amp;" · ","")&amp;IF(AND(ISNUMBER($AN239),$AN239&lt;FechaRef,IF($V239="Sub",N($X239),N($M239))&lt;1),"Vencida"&amp;" · ","")&amp;IF(AND(ObsObligatoria="Sí",ISNUMBER($AN239),$AN239&lt;FechaRef,IF($V239="Sub",N($X239),N($M239))&lt;1,$Q239=""),"Vencida sin observación"&amp;" · ",""),LEN(IF($C239="","Falta el nombre de la actividad"&amp;" · ","")&amp;IF(AND($V239="Sub",N($U239)=0),"Subactividad sin macroactividad arriba"&amp;" · ","")&amp;IF($AM239="","Sin fecha de inicio"&amp;" · ","")&amp;IF($AN239="","Sin fecha límite"&amp;" · ","")&amp;IF(AND(LEFT($C239,11)="[Jefatura] ",N($AL239)=0),"No se encuentra en la hoja de la jefatura (elíjala de nuevo en la lista)"&amp;" · ","")&amp;IF(OR(AND($E239&lt;&gt;"",NOT(ISNUMBER($E239))),AND($F239&lt;&gt;"",NOT(ISNUMBER($F239))),AND($G239&lt;&gt;"",NOT(ISNUMBER($G239)))),"Fecha no válida"&amp;" · ","")&amp;IF(AND(ISNUMBER($AM239),ISNUMBER($AN239),$AM239&gt;$AN239),"Inicio posterior a fecha límite"&amp;" · ","")&amp;IF(AND($V239="Macro",$H239&lt;&gt;"",OR(NOT(ISNUMBER($H239)),$H239&lt;0,$H239&gt;1)),"Peso fuera de rango"&amp;" · ","")&amp;IF(AND($V239="Sub",$H239&lt;&gt;""),"Las subactividades no llevan peso (valen igual dentro de su macroactividad)"&amp;" · ","")&amp;IF(AND(N($W239)&gt;0,COUNT($I239:$L239)&gt;0),"Con subactividades: deje vacías las semanas (se calculan solas)"&amp;" · ","")&amp;IF((COUNTIF($I239:$L239,"&gt;1")+COUNTIF($I239:$L239,"&lt;0")+COUNTA($I239:$L239)-COUNT($I239:$L239))&gt;0,"Avance fuera de rango 0-100%"&amp;" · ","")&amp;IF(OR(AND($J239&lt;&gt;"",$J239&lt;$I239),AND($K239&lt;&gt;"",$K239&lt;MAX($I239:$J239)),AND($L239&lt;&gt;"",$L239&lt;MAX($I239:$K239))),"Avance semanal decreciente"&amp;" · ","")&amp;IF(AND(ISNUMBER($AN239),$AN239&lt;FechaRef,IF($V239="Sub",N($X239),N($M239))&lt;1),"Vencida"&amp;" · ","")&amp;IF(AND(ObsObligatoria="Sí",ISNUMBER($AN239),$AN239&lt;FechaRef,IF($V239="Sub",N($X239),N($M239))&lt;1,$Q239=""),"Vencida sin observación"&amp;" · ",""))-3)))</f>
        <v/>
      </c>
      <c r="S239" s="64">
        <f>IF(NOT((COUNTA($B239:$D239)+COUNTA($G239:$L239)+COUNTA($Q239))&gt;0),"",IF(AND($V239="Sub",N($U239)&gt;0),IF(ISNUMBER(INDEX($AM$5:$AM$1000,$U239-4)),DATE(YEAR(INDEX($AM$5:$AM$1000,$U239-4)),MONTH(INDEX($AM$5:$AM$1000,$U239-4)),1),IF(ISNUMBER(INDEX($AN$5:$AN$1000,$U239-4)),DATE(YEAR(INDEX($AN$5:$AN$1000,$U239-4)),MONTH(INDEX($AN$5:$AN$1000,$U239-4)),1),MesCiclo)),IF(ISNUMBER($AM239),DATE(YEAR($AM239),MONTH($AM239),1),IF(ISNUMBER($AN239),DATE(YEAR($AN239),MONTH($AN239),1),MesCiclo))))</f>
        <v/>
      </c>
      <c r="T239" s="62">
        <f>IF(OR($S239="",$S239&lt;&gt;MesCiclo,$V239&lt;&gt;"Macro"),"",COUNTIFS($S$5:$S239,MesCiclo,$V$5:$V239,"Macro"))</f>
        <v/>
      </c>
      <c r="U239" s="62">
        <f>IF($V239="","",IF($V239="Macro",ROW(),IFERROR(LOOKUP(2,1/($V$5:$V239="Macro"),ROW($V$5:$V239)),0)))</f>
        <v/>
      </c>
      <c r="V239" s="62">
        <f>IF(NOT((COUNTA($B239:$D239)+COUNTA($G239:$L239)+COUNTA($Q239))&gt;0),"",IF($B239="Subactividad","Sub","Macro"))</f>
        <v/>
      </c>
      <c r="W239" s="62">
        <f>IF($V239="Macro",COUNTIFS($U$5:$U$1000,ROW(),$V$5:$V$1000,"Sub"),"")</f>
        <v/>
      </c>
      <c r="X239" s="62">
        <f>IF($V239="","",IF(ISNUMBER($G239),1,IFERROR(LOOKUP(2,1/($I239:$L239&lt;&gt;""),$I239:$L239),0)))</f>
        <v/>
      </c>
      <c r="Y239" s="62">
        <f>IF($V239="","",IF(AND(ISNUMBER($G239),$G239&lt;=IF($S239=MesCiclo,InicioCiclo,$S239+MOD(2-WEEKDAY($S239),7))+6),1,IF(ISNUMBER($I239),$I239,0)))</f>
        <v/>
      </c>
      <c r="Z239" s="62">
        <f>IF($V239="","",IF(AND(ISNUMBER($G239),$G239&lt;=IF($S239=MesCiclo,InicioCiclo,$S239+MOD(2-WEEKDAY($S239),7))+13),1,IF(ISNUMBER($J239),$J239,$Y239)))</f>
        <v/>
      </c>
      <c r="AA239" s="62">
        <f>IF($V239="","",IF(AND(ISNUMBER($G239),$G239&lt;=IF($S239=MesCiclo,InicioCiclo,$S239+MOD(2-WEEKDAY($S239),7))+20),1,IF(ISNUMBER($K239),$K239,$Z239)))</f>
        <v/>
      </c>
      <c r="AB239" s="62">
        <f>IF($V239="","",IF(AND(ISNUMBER($G239),$G239&lt;=IF($S239=MesCiclo,InicioCiclo,$S239+MOD(2-WEEKDAY($S239),7))+27),1,IF(ISNUMBER($L239),$L239,$AA239)))</f>
        <v/>
      </c>
      <c r="AC239" s="62">
        <f>IF($V239="","",IF(AND(ISNUMBER($G239),$G239&lt;=IF($S239=MesCiclo,InicioCiclo,$S239+MOD(2-WEEKDAY($S239),7))+6),1,IF(N($W239)&gt;0,AVERAGEIFS($Y$5:$Y$1000,$U$5:$U$1000,ROW(),$V$5:$V$1000,"Sub"),$Y239)))</f>
        <v/>
      </c>
      <c r="AD239" s="62">
        <f>IF($V239="","",IF(AND(ISNUMBER($G239),$G239&lt;=IF($S239=MesCiclo,InicioCiclo,$S239+MOD(2-WEEKDAY($S239),7))+13),1,IF(N($W239)&gt;0,AVERAGEIFS($Z$5:$Z$1000,$U$5:$U$1000,ROW(),$V$5:$V$1000,"Sub"),$Z239)))</f>
        <v/>
      </c>
      <c r="AE239" s="62">
        <f>IF($V239="","",IF(AND(ISNUMBER($G239),$G239&lt;=IF($S239=MesCiclo,InicioCiclo,$S239+MOD(2-WEEKDAY($S239),7))+20),1,IF(N($W239)&gt;0,AVERAGEIFS($AA$5:$AA$1000,$U$5:$U$1000,ROW(),$V$5:$V$1000,"Sub"),$AA239)))</f>
        <v/>
      </c>
      <c r="AF239" s="62">
        <f>IF($V239="","",IF(AND(ISNUMBER($G239),$G239&lt;=IF($S239=MesCiclo,InicioCiclo,$S239+MOD(2-WEEKDAY($S239),7))+27),1,IF(N($W239)&gt;0,AVERAGEIFS($AB$5:$AB$1000,$U$5:$U$1000,ROW(),$V$5:$V$1000,"Sub"),$AB239)))</f>
        <v/>
      </c>
      <c r="AG239" s="62">
        <f>IF($V239&lt;&gt;"Macro","",IF(COUNTIFS($S$5:$S$1000,$S239,$V$5:$V$1000,"Macro",$H$5:$H$1000,"&gt;0")=0,1/COUNTIFS($S$5:$S$1000,$S239,$V$5:$V$1000,"Macro"),IF(AND(ISNUMBER($H239),N($H239)&gt;0),$H239,SUMIFS($H$5:$H$1000,$S$5:$S$1000,$S239,$V$5:$V$1000,"Macro")/COUNTIFS($S$5:$S$1000,$S239,$V$5:$V$1000,"Macro",$H$5:$H$1000,"&gt;0"))/(COUNTIFS($S$5:$S$1000,$S239,$V$5:$V$1000,"Macro")*SUMIFS($H$5:$H$1000,$S$5:$S$1000,$S239,$V$5:$V$1000,"Macro")/COUNTIFS($S$5:$S$1000,$S239,$V$5:$V$1000,"Macro",$H$5:$H$1000,"&gt;0"))))</f>
        <v/>
      </c>
      <c r="AH239" s="62" t="n"/>
      <c r="AI239" s="62" t="n"/>
      <c r="AJ239" s="62" t="n"/>
      <c r="AK239" s="62" t="n"/>
      <c r="AL239" s="62">
        <f>IF(LEFT($C239,11)="[Jefatura] ",IFERROR(MATCH("Riesgo Normativo|"&amp;MID($C239,12,500),rDname_ADM,0),0),"")</f>
        <v/>
      </c>
      <c r="AM239" s="62">
        <f>IF(N($AL239)&gt;0,INDEX(rIni_ADM,$AL239),IF(ISNUMBER($E239),$E239,""))</f>
        <v/>
      </c>
      <c r="AN239" s="62">
        <f>IF(N($AL239)&gt;0,INDEX(rLim_ADM,$AL239),IF(ISNUMBER($F239),$F239,""))</f>
        <v/>
      </c>
    </row>
    <row r="240">
      <c r="A240" s="56">
        <f>IF(NOT((COUNTA($B240:$D240)+COUNTA($G240:$L240)+COUNTA($Q240))&gt;0),"",IF($V240="Macro",COUNTIFS($V$5:$V240,"Macro",$S$5:$S240,$S240),IF(N($U240)=0,"?",COUNTIFS(INDEX($V$5:$V$1000,1):INDEX($V$5:$V$1000,$U240-4),"Macro",INDEX($S$5:$S$1000,1):INDEX($S$5:$S$1000,$U240-4),INDEX($S$5:$S$1000,$U240-4))&amp;"."&amp;COUNTIFS($U$5:$U240,$U240,$V$5:$V240,"Sub"))))</f>
        <v/>
      </c>
      <c r="B240" s="57" t="n"/>
      <c r="C240" s="58" t="n"/>
      <c r="D240" s="58" t="n"/>
      <c r="E240" s="59">
        <f>IF(N($AL240)&gt;0,INDEX(rIni_ADM,$AL240),"")</f>
        <v/>
      </c>
      <c r="F240" s="59">
        <f>IF(N($AL240)&gt;0,INDEX(rLim_ADM,$AL240),"")</f>
        <v/>
      </c>
      <c r="G240" s="59" t="n"/>
      <c r="H240" s="60" t="n"/>
      <c r="I240" s="60" t="n"/>
      <c r="J240" s="60" t="n"/>
      <c r="K240" s="60" t="n"/>
      <c r="L240" s="60" t="n"/>
      <c r="M240" s="61">
        <f>IF(NOT((COUNTA($B240:$D240)+COUNTA($G240:$L240)+COUNTA($Q240))&gt;0),"",IF($V240="Sub",IFERROR($X240/INDEX($W$5:$W$1000,$U240-4),""),IF(ISNUMBER($G240),1,IF(N($W240)&gt;0,AVERAGEIFS($X$5:$X$1000,$U$5:$U$1000,ROW(),$V$5:$V$1000,"Sub"),$X240))))</f>
        <v/>
      </c>
      <c r="N240" s="56">
        <f>IF(OR($M240="",$V240="Sub"),"",IF($M240&gt;=1,"Completado",IF($M240&gt;0,"En curso","Pendiente")))</f>
        <v/>
      </c>
      <c r="O240" s="56">
        <f>IF(OR(NOT((COUNTA($B240:$D240)+COUNTA($G240:$L240)+COUNTA($Q240))&gt;0),$V240="Sub"),"",IF(ISNUMBER($G240),IF(AND(ISNUMBER($AN240),$G240&gt;$AN240),"Cumplida con "&amp;($G240-$AN240)&amp;IF($G240-$AN240=1," día"," días")&amp;" de retraso","Cumplida"),IF(N($M240)&gt;=1,"Cumplida",IF(NOT(ISNUMBER($AN240)),"Sin fecha límite",IF($AN240&lt;FechaRef,"Vencida hace "&amp;(FechaRef-$AN240)&amp;IF(FechaRef-$AN240=1," día"," días"),IF($AN240=FechaRef,"Vence hoy",IF($AN240-FechaRef&lt;=DiasAlerta,"Vence en "&amp;($AN240-FechaRef)&amp;IF($AN240-FechaRef=1," día"," días"),"En plazo")))))))</f>
        <v/>
      </c>
      <c r="P240" s="62" t="n"/>
      <c r="Q240" s="58" t="n"/>
      <c r="R240" s="63">
        <f>IF(NOT((COUNTA($B240:$D240)+COUNTA($G240:$L240)+COUNTA($Q240))&gt;0),"",IF((IF($C240="","Falta el nombre de la actividad"&amp;" · ","")&amp;IF(AND($V240="Sub",N($U240)=0),"Subactividad sin macroactividad arriba"&amp;" · ","")&amp;IF($AM240="","Sin fecha de inicio"&amp;" · ","")&amp;IF($AN240="","Sin fecha límite"&amp;" · ","")&amp;IF(AND(LEFT($C240,11)="[Jefatura] ",N($AL240)=0),"No se encuentra en la hoja de la jefatura (elíjala de nuevo en la lista)"&amp;" · ","")&amp;IF(OR(AND($E240&lt;&gt;"",NOT(ISNUMBER($E240))),AND($F240&lt;&gt;"",NOT(ISNUMBER($F240))),AND($G240&lt;&gt;"",NOT(ISNUMBER($G240)))),"Fecha no válida"&amp;" · ","")&amp;IF(AND(ISNUMBER($AM240),ISNUMBER($AN240),$AM240&gt;$AN240),"Inicio posterior a fecha límite"&amp;" · ","")&amp;IF(AND($V240="Macro",$H240&lt;&gt;"",OR(NOT(ISNUMBER($H240)),$H240&lt;0,$H240&gt;1)),"Peso fuera de rango"&amp;" · ","")&amp;IF(AND($V240="Sub",$H240&lt;&gt;""),"Las subactividades no llevan peso (valen igual dentro de su macroactividad)"&amp;" · ","")&amp;IF(AND(N($W240)&gt;0,COUNT($I240:$L240)&gt;0),"Con subactividades: deje vacías las semanas (se calculan solas)"&amp;" · ","")&amp;IF((COUNTIF($I240:$L240,"&gt;1")+COUNTIF($I240:$L240,"&lt;0")+COUNTA($I240:$L240)-COUNT($I240:$L240))&gt;0,"Avance fuera de rango 0-100%"&amp;" · ","")&amp;IF(OR(AND($J240&lt;&gt;"",$J240&lt;$I240),AND($K240&lt;&gt;"",$K240&lt;MAX($I240:$J240)),AND($L240&lt;&gt;"",$L240&lt;MAX($I240:$K240))),"Avance semanal decreciente"&amp;" · ","")&amp;IF(AND(ISNUMBER($AN240),$AN240&lt;FechaRef,IF($V240="Sub",N($X240),N($M240))&lt;1),"Vencida"&amp;" · ","")&amp;IF(AND(ObsObligatoria="Sí",ISNUMBER($AN240),$AN240&lt;FechaRef,IF($V240="Sub",N($X240),N($M240))&lt;1,$Q240=""),"Vencida sin observación"&amp;" · ",""))="","✔ OK","⚠ "&amp;LEFT(IF($C240="","Falta el nombre de la actividad"&amp;" · ","")&amp;IF(AND($V240="Sub",N($U240)=0),"Subactividad sin macroactividad arriba"&amp;" · ","")&amp;IF($AM240="","Sin fecha de inicio"&amp;" · ","")&amp;IF($AN240="","Sin fecha límite"&amp;" · ","")&amp;IF(AND(LEFT($C240,11)="[Jefatura] ",N($AL240)=0),"No se encuentra en la hoja de la jefatura (elíjala de nuevo en la lista)"&amp;" · ","")&amp;IF(OR(AND($E240&lt;&gt;"",NOT(ISNUMBER($E240))),AND($F240&lt;&gt;"",NOT(ISNUMBER($F240))),AND($G240&lt;&gt;"",NOT(ISNUMBER($G240)))),"Fecha no válida"&amp;" · ","")&amp;IF(AND(ISNUMBER($AM240),ISNUMBER($AN240),$AM240&gt;$AN240),"Inicio posterior a fecha límite"&amp;" · ","")&amp;IF(AND($V240="Macro",$H240&lt;&gt;"",OR(NOT(ISNUMBER($H240)),$H240&lt;0,$H240&gt;1)),"Peso fuera de rango"&amp;" · ","")&amp;IF(AND($V240="Sub",$H240&lt;&gt;""),"Las subactividades no llevan peso (valen igual dentro de su macroactividad)"&amp;" · ","")&amp;IF(AND(N($W240)&gt;0,COUNT($I240:$L240)&gt;0),"Con subactividades: deje vacías las semanas (se calculan solas)"&amp;" · ","")&amp;IF((COUNTIF($I240:$L240,"&gt;1")+COUNTIF($I240:$L240,"&lt;0")+COUNTA($I240:$L240)-COUNT($I240:$L240))&gt;0,"Avance fuera de rango 0-100%"&amp;" · ","")&amp;IF(OR(AND($J240&lt;&gt;"",$J240&lt;$I240),AND($K240&lt;&gt;"",$K240&lt;MAX($I240:$J240)),AND($L240&lt;&gt;"",$L240&lt;MAX($I240:$K240))),"Avance semanal decreciente"&amp;" · ","")&amp;IF(AND(ISNUMBER($AN240),$AN240&lt;FechaRef,IF($V240="Sub",N($X240),N($M240))&lt;1),"Vencida"&amp;" · ","")&amp;IF(AND(ObsObligatoria="Sí",ISNUMBER($AN240),$AN240&lt;FechaRef,IF($V240="Sub",N($X240),N($M240))&lt;1,$Q240=""),"Vencida sin observación"&amp;" · ",""),LEN(IF($C240="","Falta el nombre de la actividad"&amp;" · ","")&amp;IF(AND($V240="Sub",N($U240)=0),"Subactividad sin macroactividad arriba"&amp;" · ","")&amp;IF($AM240="","Sin fecha de inicio"&amp;" · ","")&amp;IF($AN240="","Sin fecha límite"&amp;" · ","")&amp;IF(AND(LEFT($C240,11)="[Jefatura] ",N($AL240)=0),"No se encuentra en la hoja de la jefatura (elíjala de nuevo en la lista)"&amp;" · ","")&amp;IF(OR(AND($E240&lt;&gt;"",NOT(ISNUMBER($E240))),AND($F240&lt;&gt;"",NOT(ISNUMBER($F240))),AND($G240&lt;&gt;"",NOT(ISNUMBER($G240)))),"Fecha no válida"&amp;" · ","")&amp;IF(AND(ISNUMBER($AM240),ISNUMBER($AN240),$AM240&gt;$AN240),"Inicio posterior a fecha límite"&amp;" · ","")&amp;IF(AND($V240="Macro",$H240&lt;&gt;"",OR(NOT(ISNUMBER($H240)),$H240&lt;0,$H240&gt;1)),"Peso fuera de rango"&amp;" · ","")&amp;IF(AND($V240="Sub",$H240&lt;&gt;""),"Las subactividades no llevan peso (valen igual dentro de su macroactividad)"&amp;" · ","")&amp;IF(AND(N($W240)&gt;0,COUNT($I240:$L240)&gt;0),"Con subactividades: deje vacías las semanas (se calculan solas)"&amp;" · ","")&amp;IF((COUNTIF($I240:$L240,"&gt;1")+COUNTIF($I240:$L240,"&lt;0")+COUNTA($I240:$L240)-COUNT($I240:$L240))&gt;0,"Avance fuera de rango 0-100%"&amp;" · ","")&amp;IF(OR(AND($J240&lt;&gt;"",$J240&lt;$I240),AND($K240&lt;&gt;"",$K240&lt;MAX($I240:$J240)),AND($L240&lt;&gt;"",$L240&lt;MAX($I240:$K240))),"Avance semanal decreciente"&amp;" · ","")&amp;IF(AND(ISNUMBER($AN240),$AN240&lt;FechaRef,IF($V240="Sub",N($X240),N($M240))&lt;1),"Vencida"&amp;" · ","")&amp;IF(AND(ObsObligatoria="Sí",ISNUMBER($AN240),$AN240&lt;FechaRef,IF($V240="Sub",N($X240),N($M240))&lt;1,$Q240=""),"Vencida sin observación"&amp;" · ",""))-3)))</f>
        <v/>
      </c>
      <c r="S240" s="64">
        <f>IF(NOT((COUNTA($B240:$D240)+COUNTA($G240:$L240)+COUNTA($Q240))&gt;0),"",IF(AND($V240="Sub",N($U240)&gt;0),IF(ISNUMBER(INDEX($AM$5:$AM$1000,$U240-4)),DATE(YEAR(INDEX($AM$5:$AM$1000,$U240-4)),MONTH(INDEX($AM$5:$AM$1000,$U240-4)),1),IF(ISNUMBER(INDEX($AN$5:$AN$1000,$U240-4)),DATE(YEAR(INDEX($AN$5:$AN$1000,$U240-4)),MONTH(INDEX($AN$5:$AN$1000,$U240-4)),1),MesCiclo)),IF(ISNUMBER($AM240),DATE(YEAR($AM240),MONTH($AM240),1),IF(ISNUMBER($AN240),DATE(YEAR($AN240),MONTH($AN240),1),MesCiclo))))</f>
        <v/>
      </c>
      <c r="T240" s="62">
        <f>IF(OR($S240="",$S240&lt;&gt;MesCiclo,$V240&lt;&gt;"Macro"),"",COUNTIFS($S$5:$S240,MesCiclo,$V$5:$V240,"Macro"))</f>
        <v/>
      </c>
      <c r="U240" s="62">
        <f>IF($V240="","",IF($V240="Macro",ROW(),IFERROR(LOOKUP(2,1/($V$5:$V240="Macro"),ROW($V$5:$V240)),0)))</f>
        <v/>
      </c>
      <c r="V240" s="62">
        <f>IF(NOT((COUNTA($B240:$D240)+COUNTA($G240:$L240)+COUNTA($Q240))&gt;0),"",IF($B240="Subactividad","Sub","Macro"))</f>
        <v/>
      </c>
      <c r="W240" s="62">
        <f>IF($V240="Macro",COUNTIFS($U$5:$U$1000,ROW(),$V$5:$V$1000,"Sub"),"")</f>
        <v/>
      </c>
      <c r="X240" s="62">
        <f>IF($V240="","",IF(ISNUMBER($G240),1,IFERROR(LOOKUP(2,1/($I240:$L240&lt;&gt;""),$I240:$L240),0)))</f>
        <v/>
      </c>
      <c r="Y240" s="62">
        <f>IF($V240="","",IF(AND(ISNUMBER($G240),$G240&lt;=IF($S240=MesCiclo,InicioCiclo,$S240+MOD(2-WEEKDAY($S240),7))+6),1,IF(ISNUMBER($I240),$I240,0)))</f>
        <v/>
      </c>
      <c r="Z240" s="62">
        <f>IF($V240="","",IF(AND(ISNUMBER($G240),$G240&lt;=IF($S240=MesCiclo,InicioCiclo,$S240+MOD(2-WEEKDAY($S240),7))+13),1,IF(ISNUMBER($J240),$J240,$Y240)))</f>
        <v/>
      </c>
      <c r="AA240" s="62">
        <f>IF($V240="","",IF(AND(ISNUMBER($G240),$G240&lt;=IF($S240=MesCiclo,InicioCiclo,$S240+MOD(2-WEEKDAY($S240),7))+20),1,IF(ISNUMBER($K240),$K240,$Z240)))</f>
        <v/>
      </c>
      <c r="AB240" s="62">
        <f>IF($V240="","",IF(AND(ISNUMBER($G240),$G240&lt;=IF($S240=MesCiclo,InicioCiclo,$S240+MOD(2-WEEKDAY($S240),7))+27),1,IF(ISNUMBER($L240),$L240,$AA240)))</f>
        <v/>
      </c>
      <c r="AC240" s="62">
        <f>IF($V240="","",IF(AND(ISNUMBER($G240),$G240&lt;=IF($S240=MesCiclo,InicioCiclo,$S240+MOD(2-WEEKDAY($S240),7))+6),1,IF(N($W240)&gt;0,AVERAGEIFS($Y$5:$Y$1000,$U$5:$U$1000,ROW(),$V$5:$V$1000,"Sub"),$Y240)))</f>
        <v/>
      </c>
      <c r="AD240" s="62">
        <f>IF($V240="","",IF(AND(ISNUMBER($G240),$G240&lt;=IF($S240=MesCiclo,InicioCiclo,$S240+MOD(2-WEEKDAY($S240),7))+13),1,IF(N($W240)&gt;0,AVERAGEIFS($Z$5:$Z$1000,$U$5:$U$1000,ROW(),$V$5:$V$1000,"Sub"),$Z240)))</f>
        <v/>
      </c>
      <c r="AE240" s="62">
        <f>IF($V240="","",IF(AND(ISNUMBER($G240),$G240&lt;=IF($S240=MesCiclo,InicioCiclo,$S240+MOD(2-WEEKDAY($S240),7))+20),1,IF(N($W240)&gt;0,AVERAGEIFS($AA$5:$AA$1000,$U$5:$U$1000,ROW(),$V$5:$V$1000,"Sub"),$AA240)))</f>
        <v/>
      </c>
      <c r="AF240" s="62">
        <f>IF($V240="","",IF(AND(ISNUMBER($G240),$G240&lt;=IF($S240=MesCiclo,InicioCiclo,$S240+MOD(2-WEEKDAY($S240),7))+27),1,IF(N($W240)&gt;0,AVERAGEIFS($AB$5:$AB$1000,$U$5:$U$1000,ROW(),$V$5:$V$1000,"Sub"),$AB240)))</f>
        <v/>
      </c>
      <c r="AG240" s="62">
        <f>IF($V240&lt;&gt;"Macro","",IF(COUNTIFS($S$5:$S$1000,$S240,$V$5:$V$1000,"Macro",$H$5:$H$1000,"&gt;0")=0,1/COUNTIFS($S$5:$S$1000,$S240,$V$5:$V$1000,"Macro"),IF(AND(ISNUMBER($H240),N($H240)&gt;0),$H240,SUMIFS($H$5:$H$1000,$S$5:$S$1000,$S240,$V$5:$V$1000,"Macro")/COUNTIFS($S$5:$S$1000,$S240,$V$5:$V$1000,"Macro",$H$5:$H$1000,"&gt;0"))/(COUNTIFS($S$5:$S$1000,$S240,$V$5:$V$1000,"Macro")*SUMIFS($H$5:$H$1000,$S$5:$S$1000,$S240,$V$5:$V$1000,"Macro")/COUNTIFS($S$5:$S$1000,$S240,$V$5:$V$1000,"Macro",$H$5:$H$1000,"&gt;0"))))</f>
        <v/>
      </c>
      <c r="AH240" s="62" t="n"/>
      <c r="AI240" s="62" t="n"/>
      <c r="AJ240" s="62" t="n"/>
      <c r="AK240" s="62" t="n"/>
      <c r="AL240" s="62">
        <f>IF(LEFT($C240,11)="[Jefatura] ",IFERROR(MATCH("Riesgo Normativo|"&amp;MID($C240,12,500),rDname_ADM,0),0),"")</f>
        <v/>
      </c>
      <c r="AM240" s="62">
        <f>IF(N($AL240)&gt;0,INDEX(rIni_ADM,$AL240),IF(ISNUMBER($E240),$E240,""))</f>
        <v/>
      </c>
      <c r="AN240" s="62">
        <f>IF(N($AL240)&gt;0,INDEX(rLim_ADM,$AL240),IF(ISNUMBER($F240),$F240,""))</f>
        <v/>
      </c>
    </row>
    <row r="241">
      <c r="A241" s="56">
        <f>IF(NOT((COUNTA($B241:$D241)+COUNTA($G241:$L241)+COUNTA($Q241))&gt;0),"",IF($V241="Macro",COUNTIFS($V$5:$V241,"Macro",$S$5:$S241,$S241),IF(N($U241)=0,"?",COUNTIFS(INDEX($V$5:$V$1000,1):INDEX($V$5:$V$1000,$U241-4),"Macro",INDEX($S$5:$S$1000,1):INDEX($S$5:$S$1000,$U241-4),INDEX($S$5:$S$1000,$U241-4))&amp;"."&amp;COUNTIFS($U$5:$U241,$U241,$V$5:$V241,"Sub"))))</f>
        <v/>
      </c>
      <c r="B241" s="57" t="n"/>
      <c r="C241" s="58" t="n"/>
      <c r="D241" s="58" t="n"/>
      <c r="E241" s="59">
        <f>IF(N($AL241)&gt;0,INDEX(rIni_ADM,$AL241),"")</f>
        <v/>
      </c>
      <c r="F241" s="59">
        <f>IF(N($AL241)&gt;0,INDEX(rLim_ADM,$AL241),"")</f>
        <v/>
      </c>
      <c r="G241" s="59" t="n"/>
      <c r="H241" s="60" t="n"/>
      <c r="I241" s="60" t="n"/>
      <c r="J241" s="60" t="n"/>
      <c r="K241" s="60" t="n"/>
      <c r="L241" s="60" t="n"/>
      <c r="M241" s="61">
        <f>IF(NOT((COUNTA($B241:$D241)+COUNTA($G241:$L241)+COUNTA($Q241))&gt;0),"",IF($V241="Sub",IFERROR($X241/INDEX($W$5:$W$1000,$U241-4),""),IF(ISNUMBER($G241),1,IF(N($W241)&gt;0,AVERAGEIFS($X$5:$X$1000,$U$5:$U$1000,ROW(),$V$5:$V$1000,"Sub"),$X241))))</f>
        <v/>
      </c>
      <c r="N241" s="56">
        <f>IF(OR($M241="",$V241="Sub"),"",IF($M241&gt;=1,"Completado",IF($M241&gt;0,"En curso","Pendiente")))</f>
        <v/>
      </c>
      <c r="O241" s="56">
        <f>IF(OR(NOT((COUNTA($B241:$D241)+COUNTA($G241:$L241)+COUNTA($Q241))&gt;0),$V241="Sub"),"",IF(ISNUMBER($G241),IF(AND(ISNUMBER($AN241),$G241&gt;$AN241),"Cumplida con "&amp;($G241-$AN241)&amp;IF($G241-$AN241=1," día"," días")&amp;" de retraso","Cumplida"),IF(N($M241)&gt;=1,"Cumplida",IF(NOT(ISNUMBER($AN241)),"Sin fecha límite",IF($AN241&lt;FechaRef,"Vencida hace "&amp;(FechaRef-$AN241)&amp;IF(FechaRef-$AN241=1," día"," días"),IF($AN241=FechaRef,"Vence hoy",IF($AN241-FechaRef&lt;=DiasAlerta,"Vence en "&amp;($AN241-FechaRef)&amp;IF($AN241-FechaRef=1," día"," días"),"En plazo")))))))</f>
        <v/>
      </c>
      <c r="P241" s="62" t="n"/>
      <c r="Q241" s="58" t="n"/>
      <c r="R241" s="63">
        <f>IF(NOT((COUNTA($B241:$D241)+COUNTA($G241:$L241)+COUNTA($Q241))&gt;0),"",IF((IF($C241="","Falta el nombre de la actividad"&amp;" · ","")&amp;IF(AND($V241="Sub",N($U241)=0),"Subactividad sin macroactividad arriba"&amp;" · ","")&amp;IF($AM241="","Sin fecha de inicio"&amp;" · ","")&amp;IF($AN241="","Sin fecha límite"&amp;" · ","")&amp;IF(AND(LEFT($C241,11)="[Jefatura] ",N($AL241)=0),"No se encuentra en la hoja de la jefatura (elíjala de nuevo en la lista)"&amp;" · ","")&amp;IF(OR(AND($E241&lt;&gt;"",NOT(ISNUMBER($E241))),AND($F241&lt;&gt;"",NOT(ISNUMBER($F241))),AND($G241&lt;&gt;"",NOT(ISNUMBER($G241)))),"Fecha no válida"&amp;" · ","")&amp;IF(AND(ISNUMBER($AM241),ISNUMBER($AN241),$AM241&gt;$AN241),"Inicio posterior a fecha límite"&amp;" · ","")&amp;IF(AND($V241="Macro",$H241&lt;&gt;"",OR(NOT(ISNUMBER($H241)),$H241&lt;0,$H241&gt;1)),"Peso fuera de rango"&amp;" · ","")&amp;IF(AND($V241="Sub",$H241&lt;&gt;""),"Las subactividades no llevan peso (valen igual dentro de su macroactividad)"&amp;" · ","")&amp;IF(AND(N($W241)&gt;0,COUNT($I241:$L241)&gt;0),"Con subactividades: deje vacías las semanas (se calculan solas)"&amp;" · ","")&amp;IF((COUNTIF($I241:$L241,"&gt;1")+COUNTIF($I241:$L241,"&lt;0")+COUNTA($I241:$L241)-COUNT($I241:$L241))&gt;0,"Avance fuera de rango 0-100%"&amp;" · ","")&amp;IF(OR(AND($J241&lt;&gt;"",$J241&lt;$I241),AND($K241&lt;&gt;"",$K241&lt;MAX($I241:$J241)),AND($L241&lt;&gt;"",$L241&lt;MAX($I241:$K241))),"Avance semanal decreciente"&amp;" · ","")&amp;IF(AND(ISNUMBER($AN241),$AN241&lt;FechaRef,IF($V241="Sub",N($X241),N($M241))&lt;1),"Vencida"&amp;" · ","")&amp;IF(AND(ObsObligatoria="Sí",ISNUMBER($AN241),$AN241&lt;FechaRef,IF($V241="Sub",N($X241),N($M241))&lt;1,$Q241=""),"Vencida sin observación"&amp;" · ",""))="","✔ OK","⚠ "&amp;LEFT(IF($C241="","Falta el nombre de la actividad"&amp;" · ","")&amp;IF(AND($V241="Sub",N($U241)=0),"Subactividad sin macroactividad arriba"&amp;" · ","")&amp;IF($AM241="","Sin fecha de inicio"&amp;" · ","")&amp;IF($AN241="","Sin fecha límite"&amp;" · ","")&amp;IF(AND(LEFT($C241,11)="[Jefatura] ",N($AL241)=0),"No se encuentra en la hoja de la jefatura (elíjala de nuevo en la lista)"&amp;" · ","")&amp;IF(OR(AND($E241&lt;&gt;"",NOT(ISNUMBER($E241))),AND($F241&lt;&gt;"",NOT(ISNUMBER($F241))),AND($G241&lt;&gt;"",NOT(ISNUMBER($G241)))),"Fecha no válida"&amp;" · ","")&amp;IF(AND(ISNUMBER($AM241),ISNUMBER($AN241),$AM241&gt;$AN241),"Inicio posterior a fecha límite"&amp;" · ","")&amp;IF(AND($V241="Macro",$H241&lt;&gt;"",OR(NOT(ISNUMBER($H241)),$H241&lt;0,$H241&gt;1)),"Peso fuera de rango"&amp;" · ","")&amp;IF(AND($V241="Sub",$H241&lt;&gt;""),"Las subactividades no llevan peso (valen igual dentro de su macroactividad)"&amp;" · ","")&amp;IF(AND(N($W241)&gt;0,COUNT($I241:$L241)&gt;0),"Con subactividades: deje vacías las semanas (se calculan solas)"&amp;" · ","")&amp;IF((COUNTIF($I241:$L241,"&gt;1")+COUNTIF($I241:$L241,"&lt;0")+COUNTA($I241:$L241)-COUNT($I241:$L241))&gt;0,"Avance fuera de rango 0-100%"&amp;" · ","")&amp;IF(OR(AND($J241&lt;&gt;"",$J241&lt;$I241),AND($K241&lt;&gt;"",$K241&lt;MAX($I241:$J241)),AND($L241&lt;&gt;"",$L241&lt;MAX($I241:$K241))),"Avance semanal decreciente"&amp;" · ","")&amp;IF(AND(ISNUMBER($AN241),$AN241&lt;FechaRef,IF($V241="Sub",N($X241),N($M241))&lt;1),"Vencida"&amp;" · ","")&amp;IF(AND(ObsObligatoria="Sí",ISNUMBER($AN241),$AN241&lt;FechaRef,IF($V241="Sub",N($X241),N($M241))&lt;1,$Q241=""),"Vencida sin observación"&amp;" · ",""),LEN(IF($C241="","Falta el nombre de la actividad"&amp;" · ","")&amp;IF(AND($V241="Sub",N($U241)=0),"Subactividad sin macroactividad arriba"&amp;" · ","")&amp;IF($AM241="","Sin fecha de inicio"&amp;" · ","")&amp;IF($AN241="","Sin fecha límite"&amp;" · ","")&amp;IF(AND(LEFT($C241,11)="[Jefatura] ",N($AL241)=0),"No se encuentra en la hoja de la jefatura (elíjala de nuevo en la lista)"&amp;" · ","")&amp;IF(OR(AND($E241&lt;&gt;"",NOT(ISNUMBER($E241))),AND($F241&lt;&gt;"",NOT(ISNUMBER($F241))),AND($G241&lt;&gt;"",NOT(ISNUMBER($G241)))),"Fecha no válida"&amp;" · ","")&amp;IF(AND(ISNUMBER($AM241),ISNUMBER($AN241),$AM241&gt;$AN241),"Inicio posterior a fecha límite"&amp;" · ","")&amp;IF(AND($V241="Macro",$H241&lt;&gt;"",OR(NOT(ISNUMBER($H241)),$H241&lt;0,$H241&gt;1)),"Peso fuera de rango"&amp;" · ","")&amp;IF(AND($V241="Sub",$H241&lt;&gt;""),"Las subactividades no llevan peso (valen igual dentro de su macroactividad)"&amp;" · ","")&amp;IF(AND(N($W241)&gt;0,COUNT($I241:$L241)&gt;0),"Con subactividades: deje vacías las semanas (se calculan solas)"&amp;" · ","")&amp;IF((COUNTIF($I241:$L241,"&gt;1")+COUNTIF($I241:$L241,"&lt;0")+COUNTA($I241:$L241)-COUNT($I241:$L241))&gt;0,"Avance fuera de rango 0-100%"&amp;" · ","")&amp;IF(OR(AND($J241&lt;&gt;"",$J241&lt;$I241),AND($K241&lt;&gt;"",$K241&lt;MAX($I241:$J241)),AND($L241&lt;&gt;"",$L241&lt;MAX($I241:$K241))),"Avance semanal decreciente"&amp;" · ","")&amp;IF(AND(ISNUMBER($AN241),$AN241&lt;FechaRef,IF($V241="Sub",N($X241),N($M241))&lt;1),"Vencida"&amp;" · ","")&amp;IF(AND(ObsObligatoria="Sí",ISNUMBER($AN241),$AN241&lt;FechaRef,IF($V241="Sub",N($X241),N($M241))&lt;1,$Q241=""),"Vencida sin observación"&amp;" · ",""))-3)))</f>
        <v/>
      </c>
      <c r="S241" s="64">
        <f>IF(NOT((COUNTA($B241:$D241)+COUNTA($G241:$L241)+COUNTA($Q241))&gt;0),"",IF(AND($V241="Sub",N($U241)&gt;0),IF(ISNUMBER(INDEX($AM$5:$AM$1000,$U241-4)),DATE(YEAR(INDEX($AM$5:$AM$1000,$U241-4)),MONTH(INDEX($AM$5:$AM$1000,$U241-4)),1),IF(ISNUMBER(INDEX($AN$5:$AN$1000,$U241-4)),DATE(YEAR(INDEX($AN$5:$AN$1000,$U241-4)),MONTH(INDEX($AN$5:$AN$1000,$U241-4)),1),MesCiclo)),IF(ISNUMBER($AM241),DATE(YEAR($AM241),MONTH($AM241),1),IF(ISNUMBER($AN241),DATE(YEAR($AN241),MONTH($AN241),1),MesCiclo))))</f>
        <v/>
      </c>
      <c r="T241" s="62">
        <f>IF(OR($S241="",$S241&lt;&gt;MesCiclo,$V241&lt;&gt;"Macro"),"",COUNTIFS($S$5:$S241,MesCiclo,$V$5:$V241,"Macro"))</f>
        <v/>
      </c>
      <c r="U241" s="62">
        <f>IF($V241="","",IF($V241="Macro",ROW(),IFERROR(LOOKUP(2,1/($V$5:$V241="Macro"),ROW($V$5:$V241)),0)))</f>
        <v/>
      </c>
      <c r="V241" s="62">
        <f>IF(NOT((COUNTA($B241:$D241)+COUNTA($G241:$L241)+COUNTA($Q241))&gt;0),"",IF($B241="Subactividad","Sub","Macro"))</f>
        <v/>
      </c>
      <c r="W241" s="62">
        <f>IF($V241="Macro",COUNTIFS($U$5:$U$1000,ROW(),$V$5:$V$1000,"Sub"),"")</f>
        <v/>
      </c>
      <c r="X241" s="62">
        <f>IF($V241="","",IF(ISNUMBER($G241),1,IFERROR(LOOKUP(2,1/($I241:$L241&lt;&gt;""),$I241:$L241),0)))</f>
        <v/>
      </c>
      <c r="Y241" s="62">
        <f>IF($V241="","",IF(AND(ISNUMBER($G241),$G241&lt;=IF($S241=MesCiclo,InicioCiclo,$S241+MOD(2-WEEKDAY($S241),7))+6),1,IF(ISNUMBER($I241),$I241,0)))</f>
        <v/>
      </c>
      <c r="Z241" s="62">
        <f>IF($V241="","",IF(AND(ISNUMBER($G241),$G241&lt;=IF($S241=MesCiclo,InicioCiclo,$S241+MOD(2-WEEKDAY($S241),7))+13),1,IF(ISNUMBER($J241),$J241,$Y241)))</f>
        <v/>
      </c>
      <c r="AA241" s="62">
        <f>IF($V241="","",IF(AND(ISNUMBER($G241),$G241&lt;=IF($S241=MesCiclo,InicioCiclo,$S241+MOD(2-WEEKDAY($S241),7))+20),1,IF(ISNUMBER($K241),$K241,$Z241)))</f>
        <v/>
      </c>
      <c r="AB241" s="62">
        <f>IF($V241="","",IF(AND(ISNUMBER($G241),$G241&lt;=IF($S241=MesCiclo,InicioCiclo,$S241+MOD(2-WEEKDAY($S241),7))+27),1,IF(ISNUMBER($L241),$L241,$AA241)))</f>
        <v/>
      </c>
      <c r="AC241" s="62">
        <f>IF($V241="","",IF(AND(ISNUMBER($G241),$G241&lt;=IF($S241=MesCiclo,InicioCiclo,$S241+MOD(2-WEEKDAY($S241),7))+6),1,IF(N($W241)&gt;0,AVERAGEIFS($Y$5:$Y$1000,$U$5:$U$1000,ROW(),$V$5:$V$1000,"Sub"),$Y241)))</f>
        <v/>
      </c>
      <c r="AD241" s="62">
        <f>IF($V241="","",IF(AND(ISNUMBER($G241),$G241&lt;=IF($S241=MesCiclo,InicioCiclo,$S241+MOD(2-WEEKDAY($S241),7))+13),1,IF(N($W241)&gt;0,AVERAGEIFS($Z$5:$Z$1000,$U$5:$U$1000,ROW(),$V$5:$V$1000,"Sub"),$Z241)))</f>
        <v/>
      </c>
      <c r="AE241" s="62">
        <f>IF($V241="","",IF(AND(ISNUMBER($G241),$G241&lt;=IF($S241=MesCiclo,InicioCiclo,$S241+MOD(2-WEEKDAY($S241),7))+20),1,IF(N($W241)&gt;0,AVERAGEIFS($AA$5:$AA$1000,$U$5:$U$1000,ROW(),$V$5:$V$1000,"Sub"),$AA241)))</f>
        <v/>
      </c>
      <c r="AF241" s="62">
        <f>IF($V241="","",IF(AND(ISNUMBER($G241),$G241&lt;=IF($S241=MesCiclo,InicioCiclo,$S241+MOD(2-WEEKDAY($S241),7))+27),1,IF(N($W241)&gt;0,AVERAGEIFS($AB$5:$AB$1000,$U$5:$U$1000,ROW(),$V$5:$V$1000,"Sub"),$AB241)))</f>
        <v/>
      </c>
      <c r="AG241" s="62">
        <f>IF($V241&lt;&gt;"Macro","",IF(COUNTIFS($S$5:$S$1000,$S241,$V$5:$V$1000,"Macro",$H$5:$H$1000,"&gt;0")=0,1/COUNTIFS($S$5:$S$1000,$S241,$V$5:$V$1000,"Macro"),IF(AND(ISNUMBER($H241),N($H241)&gt;0),$H241,SUMIFS($H$5:$H$1000,$S$5:$S$1000,$S241,$V$5:$V$1000,"Macro")/COUNTIFS($S$5:$S$1000,$S241,$V$5:$V$1000,"Macro",$H$5:$H$1000,"&gt;0"))/(COUNTIFS($S$5:$S$1000,$S241,$V$5:$V$1000,"Macro")*SUMIFS($H$5:$H$1000,$S$5:$S$1000,$S241,$V$5:$V$1000,"Macro")/COUNTIFS($S$5:$S$1000,$S241,$V$5:$V$1000,"Macro",$H$5:$H$1000,"&gt;0"))))</f>
        <v/>
      </c>
      <c r="AH241" s="62" t="n"/>
      <c r="AI241" s="62" t="n"/>
      <c r="AJ241" s="62" t="n"/>
      <c r="AK241" s="62" t="n"/>
      <c r="AL241" s="62">
        <f>IF(LEFT($C241,11)="[Jefatura] ",IFERROR(MATCH("Riesgo Normativo|"&amp;MID($C241,12,500),rDname_ADM,0),0),"")</f>
        <v/>
      </c>
      <c r="AM241" s="62">
        <f>IF(N($AL241)&gt;0,INDEX(rIni_ADM,$AL241),IF(ISNUMBER($E241),$E241,""))</f>
        <v/>
      </c>
      <c r="AN241" s="62">
        <f>IF(N($AL241)&gt;0,INDEX(rLim_ADM,$AL241),IF(ISNUMBER($F241),$F241,""))</f>
        <v/>
      </c>
    </row>
    <row r="242">
      <c r="A242" s="56">
        <f>IF(NOT((COUNTA($B242:$D242)+COUNTA($G242:$L242)+COUNTA($Q242))&gt;0),"",IF($V242="Macro",COUNTIFS($V$5:$V242,"Macro",$S$5:$S242,$S242),IF(N($U242)=0,"?",COUNTIFS(INDEX($V$5:$V$1000,1):INDEX($V$5:$V$1000,$U242-4),"Macro",INDEX($S$5:$S$1000,1):INDEX($S$5:$S$1000,$U242-4),INDEX($S$5:$S$1000,$U242-4))&amp;"."&amp;COUNTIFS($U$5:$U242,$U242,$V$5:$V242,"Sub"))))</f>
        <v/>
      </c>
      <c r="B242" s="57" t="n"/>
      <c r="C242" s="58" t="n"/>
      <c r="D242" s="58" t="n"/>
      <c r="E242" s="59">
        <f>IF(N($AL242)&gt;0,INDEX(rIni_ADM,$AL242),"")</f>
        <v/>
      </c>
      <c r="F242" s="59">
        <f>IF(N($AL242)&gt;0,INDEX(rLim_ADM,$AL242),"")</f>
        <v/>
      </c>
      <c r="G242" s="59" t="n"/>
      <c r="H242" s="60" t="n"/>
      <c r="I242" s="60" t="n"/>
      <c r="J242" s="60" t="n"/>
      <c r="K242" s="60" t="n"/>
      <c r="L242" s="60" t="n"/>
      <c r="M242" s="61">
        <f>IF(NOT((COUNTA($B242:$D242)+COUNTA($G242:$L242)+COUNTA($Q242))&gt;0),"",IF($V242="Sub",IFERROR($X242/INDEX($W$5:$W$1000,$U242-4),""),IF(ISNUMBER($G242),1,IF(N($W242)&gt;0,AVERAGEIFS($X$5:$X$1000,$U$5:$U$1000,ROW(),$V$5:$V$1000,"Sub"),$X242))))</f>
        <v/>
      </c>
      <c r="N242" s="56">
        <f>IF(OR($M242="",$V242="Sub"),"",IF($M242&gt;=1,"Completado",IF($M242&gt;0,"En curso","Pendiente")))</f>
        <v/>
      </c>
      <c r="O242" s="56">
        <f>IF(OR(NOT((COUNTA($B242:$D242)+COUNTA($G242:$L242)+COUNTA($Q242))&gt;0),$V242="Sub"),"",IF(ISNUMBER($G242),IF(AND(ISNUMBER($AN242),$G242&gt;$AN242),"Cumplida con "&amp;($G242-$AN242)&amp;IF($G242-$AN242=1," día"," días")&amp;" de retraso","Cumplida"),IF(N($M242)&gt;=1,"Cumplida",IF(NOT(ISNUMBER($AN242)),"Sin fecha límite",IF($AN242&lt;FechaRef,"Vencida hace "&amp;(FechaRef-$AN242)&amp;IF(FechaRef-$AN242=1," día"," días"),IF($AN242=FechaRef,"Vence hoy",IF($AN242-FechaRef&lt;=DiasAlerta,"Vence en "&amp;($AN242-FechaRef)&amp;IF($AN242-FechaRef=1," día"," días"),"En plazo")))))))</f>
        <v/>
      </c>
      <c r="P242" s="62" t="n"/>
      <c r="Q242" s="58" t="n"/>
      <c r="R242" s="63">
        <f>IF(NOT((COUNTA($B242:$D242)+COUNTA($G242:$L242)+COUNTA($Q242))&gt;0),"",IF((IF($C242="","Falta el nombre de la actividad"&amp;" · ","")&amp;IF(AND($V242="Sub",N($U242)=0),"Subactividad sin macroactividad arriba"&amp;" · ","")&amp;IF($AM242="","Sin fecha de inicio"&amp;" · ","")&amp;IF($AN242="","Sin fecha límite"&amp;" · ","")&amp;IF(AND(LEFT($C242,11)="[Jefatura] ",N($AL242)=0),"No se encuentra en la hoja de la jefatura (elíjala de nuevo en la lista)"&amp;" · ","")&amp;IF(OR(AND($E242&lt;&gt;"",NOT(ISNUMBER($E242))),AND($F242&lt;&gt;"",NOT(ISNUMBER($F242))),AND($G242&lt;&gt;"",NOT(ISNUMBER($G242)))),"Fecha no válida"&amp;" · ","")&amp;IF(AND(ISNUMBER($AM242),ISNUMBER($AN242),$AM242&gt;$AN242),"Inicio posterior a fecha límite"&amp;" · ","")&amp;IF(AND($V242="Macro",$H242&lt;&gt;"",OR(NOT(ISNUMBER($H242)),$H242&lt;0,$H242&gt;1)),"Peso fuera de rango"&amp;" · ","")&amp;IF(AND($V242="Sub",$H242&lt;&gt;""),"Las subactividades no llevan peso (valen igual dentro de su macroactividad)"&amp;" · ","")&amp;IF(AND(N($W242)&gt;0,COUNT($I242:$L242)&gt;0),"Con subactividades: deje vacías las semanas (se calculan solas)"&amp;" · ","")&amp;IF((COUNTIF($I242:$L242,"&gt;1")+COUNTIF($I242:$L242,"&lt;0")+COUNTA($I242:$L242)-COUNT($I242:$L242))&gt;0,"Avance fuera de rango 0-100%"&amp;" · ","")&amp;IF(OR(AND($J242&lt;&gt;"",$J242&lt;$I242),AND($K242&lt;&gt;"",$K242&lt;MAX($I242:$J242)),AND($L242&lt;&gt;"",$L242&lt;MAX($I242:$K242))),"Avance semanal decreciente"&amp;" · ","")&amp;IF(AND(ISNUMBER($AN242),$AN242&lt;FechaRef,IF($V242="Sub",N($X242),N($M242))&lt;1),"Vencida"&amp;" · ","")&amp;IF(AND(ObsObligatoria="Sí",ISNUMBER($AN242),$AN242&lt;FechaRef,IF($V242="Sub",N($X242),N($M242))&lt;1,$Q242=""),"Vencida sin observación"&amp;" · ",""))="","✔ OK","⚠ "&amp;LEFT(IF($C242="","Falta el nombre de la actividad"&amp;" · ","")&amp;IF(AND($V242="Sub",N($U242)=0),"Subactividad sin macroactividad arriba"&amp;" · ","")&amp;IF($AM242="","Sin fecha de inicio"&amp;" · ","")&amp;IF($AN242="","Sin fecha límite"&amp;" · ","")&amp;IF(AND(LEFT($C242,11)="[Jefatura] ",N($AL242)=0),"No se encuentra en la hoja de la jefatura (elíjala de nuevo en la lista)"&amp;" · ","")&amp;IF(OR(AND($E242&lt;&gt;"",NOT(ISNUMBER($E242))),AND($F242&lt;&gt;"",NOT(ISNUMBER($F242))),AND($G242&lt;&gt;"",NOT(ISNUMBER($G242)))),"Fecha no válida"&amp;" · ","")&amp;IF(AND(ISNUMBER($AM242),ISNUMBER($AN242),$AM242&gt;$AN242),"Inicio posterior a fecha límite"&amp;" · ","")&amp;IF(AND($V242="Macro",$H242&lt;&gt;"",OR(NOT(ISNUMBER($H242)),$H242&lt;0,$H242&gt;1)),"Peso fuera de rango"&amp;" · ","")&amp;IF(AND($V242="Sub",$H242&lt;&gt;""),"Las subactividades no llevan peso (valen igual dentro de su macroactividad)"&amp;" · ","")&amp;IF(AND(N($W242)&gt;0,COUNT($I242:$L242)&gt;0),"Con subactividades: deje vacías las semanas (se calculan solas)"&amp;" · ","")&amp;IF((COUNTIF($I242:$L242,"&gt;1")+COUNTIF($I242:$L242,"&lt;0")+COUNTA($I242:$L242)-COUNT($I242:$L242))&gt;0,"Avance fuera de rango 0-100%"&amp;" · ","")&amp;IF(OR(AND($J242&lt;&gt;"",$J242&lt;$I242),AND($K242&lt;&gt;"",$K242&lt;MAX($I242:$J242)),AND($L242&lt;&gt;"",$L242&lt;MAX($I242:$K242))),"Avance semanal decreciente"&amp;" · ","")&amp;IF(AND(ISNUMBER($AN242),$AN242&lt;FechaRef,IF($V242="Sub",N($X242),N($M242))&lt;1),"Vencida"&amp;" · ","")&amp;IF(AND(ObsObligatoria="Sí",ISNUMBER($AN242),$AN242&lt;FechaRef,IF($V242="Sub",N($X242),N($M242))&lt;1,$Q242=""),"Vencida sin observación"&amp;" · ",""),LEN(IF($C242="","Falta el nombre de la actividad"&amp;" · ","")&amp;IF(AND($V242="Sub",N($U242)=0),"Subactividad sin macroactividad arriba"&amp;" · ","")&amp;IF($AM242="","Sin fecha de inicio"&amp;" · ","")&amp;IF($AN242="","Sin fecha límite"&amp;" · ","")&amp;IF(AND(LEFT($C242,11)="[Jefatura] ",N($AL242)=0),"No se encuentra en la hoja de la jefatura (elíjala de nuevo en la lista)"&amp;" · ","")&amp;IF(OR(AND($E242&lt;&gt;"",NOT(ISNUMBER($E242))),AND($F242&lt;&gt;"",NOT(ISNUMBER($F242))),AND($G242&lt;&gt;"",NOT(ISNUMBER($G242)))),"Fecha no válida"&amp;" · ","")&amp;IF(AND(ISNUMBER($AM242),ISNUMBER($AN242),$AM242&gt;$AN242),"Inicio posterior a fecha límite"&amp;" · ","")&amp;IF(AND($V242="Macro",$H242&lt;&gt;"",OR(NOT(ISNUMBER($H242)),$H242&lt;0,$H242&gt;1)),"Peso fuera de rango"&amp;" · ","")&amp;IF(AND($V242="Sub",$H242&lt;&gt;""),"Las subactividades no llevan peso (valen igual dentro de su macroactividad)"&amp;" · ","")&amp;IF(AND(N($W242)&gt;0,COUNT($I242:$L242)&gt;0),"Con subactividades: deje vacías las semanas (se calculan solas)"&amp;" · ","")&amp;IF((COUNTIF($I242:$L242,"&gt;1")+COUNTIF($I242:$L242,"&lt;0")+COUNTA($I242:$L242)-COUNT($I242:$L242))&gt;0,"Avance fuera de rango 0-100%"&amp;" · ","")&amp;IF(OR(AND($J242&lt;&gt;"",$J242&lt;$I242),AND($K242&lt;&gt;"",$K242&lt;MAX($I242:$J242)),AND($L242&lt;&gt;"",$L242&lt;MAX($I242:$K242))),"Avance semanal decreciente"&amp;" · ","")&amp;IF(AND(ISNUMBER($AN242),$AN242&lt;FechaRef,IF($V242="Sub",N($X242),N($M242))&lt;1),"Vencida"&amp;" · ","")&amp;IF(AND(ObsObligatoria="Sí",ISNUMBER($AN242),$AN242&lt;FechaRef,IF($V242="Sub",N($X242),N($M242))&lt;1,$Q242=""),"Vencida sin observación"&amp;" · ",""))-3)))</f>
        <v/>
      </c>
      <c r="S242" s="64">
        <f>IF(NOT((COUNTA($B242:$D242)+COUNTA($G242:$L242)+COUNTA($Q242))&gt;0),"",IF(AND($V242="Sub",N($U242)&gt;0),IF(ISNUMBER(INDEX($AM$5:$AM$1000,$U242-4)),DATE(YEAR(INDEX($AM$5:$AM$1000,$U242-4)),MONTH(INDEX($AM$5:$AM$1000,$U242-4)),1),IF(ISNUMBER(INDEX($AN$5:$AN$1000,$U242-4)),DATE(YEAR(INDEX($AN$5:$AN$1000,$U242-4)),MONTH(INDEX($AN$5:$AN$1000,$U242-4)),1),MesCiclo)),IF(ISNUMBER($AM242),DATE(YEAR($AM242),MONTH($AM242),1),IF(ISNUMBER($AN242),DATE(YEAR($AN242),MONTH($AN242),1),MesCiclo))))</f>
        <v/>
      </c>
      <c r="T242" s="62">
        <f>IF(OR($S242="",$S242&lt;&gt;MesCiclo,$V242&lt;&gt;"Macro"),"",COUNTIFS($S$5:$S242,MesCiclo,$V$5:$V242,"Macro"))</f>
        <v/>
      </c>
      <c r="U242" s="62">
        <f>IF($V242="","",IF($V242="Macro",ROW(),IFERROR(LOOKUP(2,1/($V$5:$V242="Macro"),ROW($V$5:$V242)),0)))</f>
        <v/>
      </c>
      <c r="V242" s="62">
        <f>IF(NOT((COUNTA($B242:$D242)+COUNTA($G242:$L242)+COUNTA($Q242))&gt;0),"",IF($B242="Subactividad","Sub","Macro"))</f>
        <v/>
      </c>
      <c r="W242" s="62">
        <f>IF($V242="Macro",COUNTIFS($U$5:$U$1000,ROW(),$V$5:$V$1000,"Sub"),"")</f>
        <v/>
      </c>
      <c r="X242" s="62">
        <f>IF($V242="","",IF(ISNUMBER($G242),1,IFERROR(LOOKUP(2,1/($I242:$L242&lt;&gt;""),$I242:$L242),0)))</f>
        <v/>
      </c>
      <c r="Y242" s="62">
        <f>IF($V242="","",IF(AND(ISNUMBER($G242),$G242&lt;=IF($S242=MesCiclo,InicioCiclo,$S242+MOD(2-WEEKDAY($S242),7))+6),1,IF(ISNUMBER($I242),$I242,0)))</f>
        <v/>
      </c>
      <c r="Z242" s="62">
        <f>IF($V242="","",IF(AND(ISNUMBER($G242),$G242&lt;=IF($S242=MesCiclo,InicioCiclo,$S242+MOD(2-WEEKDAY($S242),7))+13),1,IF(ISNUMBER($J242),$J242,$Y242)))</f>
        <v/>
      </c>
      <c r="AA242" s="62">
        <f>IF($V242="","",IF(AND(ISNUMBER($G242),$G242&lt;=IF($S242=MesCiclo,InicioCiclo,$S242+MOD(2-WEEKDAY($S242),7))+20),1,IF(ISNUMBER($K242),$K242,$Z242)))</f>
        <v/>
      </c>
      <c r="AB242" s="62">
        <f>IF($V242="","",IF(AND(ISNUMBER($G242),$G242&lt;=IF($S242=MesCiclo,InicioCiclo,$S242+MOD(2-WEEKDAY($S242),7))+27),1,IF(ISNUMBER($L242),$L242,$AA242)))</f>
        <v/>
      </c>
      <c r="AC242" s="62">
        <f>IF($V242="","",IF(AND(ISNUMBER($G242),$G242&lt;=IF($S242=MesCiclo,InicioCiclo,$S242+MOD(2-WEEKDAY($S242),7))+6),1,IF(N($W242)&gt;0,AVERAGEIFS($Y$5:$Y$1000,$U$5:$U$1000,ROW(),$V$5:$V$1000,"Sub"),$Y242)))</f>
        <v/>
      </c>
      <c r="AD242" s="62">
        <f>IF($V242="","",IF(AND(ISNUMBER($G242),$G242&lt;=IF($S242=MesCiclo,InicioCiclo,$S242+MOD(2-WEEKDAY($S242),7))+13),1,IF(N($W242)&gt;0,AVERAGEIFS($Z$5:$Z$1000,$U$5:$U$1000,ROW(),$V$5:$V$1000,"Sub"),$Z242)))</f>
        <v/>
      </c>
      <c r="AE242" s="62">
        <f>IF($V242="","",IF(AND(ISNUMBER($G242),$G242&lt;=IF($S242=MesCiclo,InicioCiclo,$S242+MOD(2-WEEKDAY($S242),7))+20),1,IF(N($W242)&gt;0,AVERAGEIFS($AA$5:$AA$1000,$U$5:$U$1000,ROW(),$V$5:$V$1000,"Sub"),$AA242)))</f>
        <v/>
      </c>
      <c r="AF242" s="62">
        <f>IF($V242="","",IF(AND(ISNUMBER($G242),$G242&lt;=IF($S242=MesCiclo,InicioCiclo,$S242+MOD(2-WEEKDAY($S242),7))+27),1,IF(N($W242)&gt;0,AVERAGEIFS($AB$5:$AB$1000,$U$5:$U$1000,ROW(),$V$5:$V$1000,"Sub"),$AB242)))</f>
        <v/>
      </c>
      <c r="AG242" s="62">
        <f>IF($V242&lt;&gt;"Macro","",IF(COUNTIFS($S$5:$S$1000,$S242,$V$5:$V$1000,"Macro",$H$5:$H$1000,"&gt;0")=0,1/COUNTIFS($S$5:$S$1000,$S242,$V$5:$V$1000,"Macro"),IF(AND(ISNUMBER($H242),N($H242)&gt;0),$H242,SUMIFS($H$5:$H$1000,$S$5:$S$1000,$S242,$V$5:$V$1000,"Macro")/COUNTIFS($S$5:$S$1000,$S242,$V$5:$V$1000,"Macro",$H$5:$H$1000,"&gt;0"))/(COUNTIFS($S$5:$S$1000,$S242,$V$5:$V$1000,"Macro")*SUMIFS($H$5:$H$1000,$S$5:$S$1000,$S242,$V$5:$V$1000,"Macro")/COUNTIFS($S$5:$S$1000,$S242,$V$5:$V$1000,"Macro",$H$5:$H$1000,"&gt;0"))))</f>
        <v/>
      </c>
      <c r="AH242" s="62" t="n"/>
      <c r="AI242" s="62" t="n"/>
      <c r="AJ242" s="62" t="n"/>
      <c r="AK242" s="62" t="n"/>
      <c r="AL242" s="62">
        <f>IF(LEFT($C242,11)="[Jefatura] ",IFERROR(MATCH("Riesgo Normativo|"&amp;MID($C242,12,500),rDname_ADM,0),0),"")</f>
        <v/>
      </c>
      <c r="AM242" s="62">
        <f>IF(N($AL242)&gt;0,INDEX(rIni_ADM,$AL242),IF(ISNUMBER($E242),$E242,""))</f>
        <v/>
      </c>
      <c r="AN242" s="62">
        <f>IF(N($AL242)&gt;0,INDEX(rLim_ADM,$AL242),IF(ISNUMBER($F242),$F242,""))</f>
        <v/>
      </c>
    </row>
    <row r="243">
      <c r="A243" s="56">
        <f>IF(NOT((COUNTA($B243:$D243)+COUNTA($G243:$L243)+COUNTA($Q243))&gt;0),"",IF($V243="Macro",COUNTIFS($V$5:$V243,"Macro",$S$5:$S243,$S243),IF(N($U243)=0,"?",COUNTIFS(INDEX($V$5:$V$1000,1):INDEX($V$5:$V$1000,$U243-4),"Macro",INDEX($S$5:$S$1000,1):INDEX($S$5:$S$1000,$U243-4),INDEX($S$5:$S$1000,$U243-4))&amp;"."&amp;COUNTIFS($U$5:$U243,$U243,$V$5:$V243,"Sub"))))</f>
        <v/>
      </c>
      <c r="B243" s="57" t="n"/>
      <c r="C243" s="58" t="n"/>
      <c r="D243" s="58" t="n"/>
      <c r="E243" s="59">
        <f>IF(N($AL243)&gt;0,INDEX(rIni_ADM,$AL243),"")</f>
        <v/>
      </c>
      <c r="F243" s="59">
        <f>IF(N($AL243)&gt;0,INDEX(rLim_ADM,$AL243),"")</f>
        <v/>
      </c>
      <c r="G243" s="59" t="n"/>
      <c r="H243" s="60" t="n"/>
      <c r="I243" s="60" t="n"/>
      <c r="J243" s="60" t="n"/>
      <c r="K243" s="60" t="n"/>
      <c r="L243" s="60" t="n"/>
      <c r="M243" s="61">
        <f>IF(NOT((COUNTA($B243:$D243)+COUNTA($G243:$L243)+COUNTA($Q243))&gt;0),"",IF($V243="Sub",IFERROR($X243/INDEX($W$5:$W$1000,$U243-4),""),IF(ISNUMBER($G243),1,IF(N($W243)&gt;0,AVERAGEIFS($X$5:$X$1000,$U$5:$U$1000,ROW(),$V$5:$V$1000,"Sub"),$X243))))</f>
        <v/>
      </c>
      <c r="N243" s="56">
        <f>IF(OR($M243="",$V243="Sub"),"",IF($M243&gt;=1,"Completado",IF($M243&gt;0,"En curso","Pendiente")))</f>
        <v/>
      </c>
      <c r="O243" s="56">
        <f>IF(OR(NOT((COUNTA($B243:$D243)+COUNTA($G243:$L243)+COUNTA($Q243))&gt;0),$V243="Sub"),"",IF(ISNUMBER($G243),IF(AND(ISNUMBER($AN243),$G243&gt;$AN243),"Cumplida con "&amp;($G243-$AN243)&amp;IF($G243-$AN243=1," día"," días")&amp;" de retraso","Cumplida"),IF(N($M243)&gt;=1,"Cumplida",IF(NOT(ISNUMBER($AN243)),"Sin fecha límite",IF($AN243&lt;FechaRef,"Vencida hace "&amp;(FechaRef-$AN243)&amp;IF(FechaRef-$AN243=1," día"," días"),IF($AN243=FechaRef,"Vence hoy",IF($AN243-FechaRef&lt;=DiasAlerta,"Vence en "&amp;($AN243-FechaRef)&amp;IF($AN243-FechaRef=1," día"," días"),"En plazo")))))))</f>
        <v/>
      </c>
      <c r="P243" s="62" t="n"/>
      <c r="Q243" s="58" t="n"/>
      <c r="R243" s="63">
        <f>IF(NOT((COUNTA($B243:$D243)+COUNTA($G243:$L243)+COUNTA($Q243))&gt;0),"",IF((IF($C243="","Falta el nombre de la actividad"&amp;" · ","")&amp;IF(AND($V243="Sub",N($U243)=0),"Subactividad sin macroactividad arriba"&amp;" · ","")&amp;IF($AM243="","Sin fecha de inicio"&amp;" · ","")&amp;IF($AN243="","Sin fecha límite"&amp;" · ","")&amp;IF(AND(LEFT($C243,11)="[Jefatura] ",N($AL243)=0),"No se encuentra en la hoja de la jefatura (elíjala de nuevo en la lista)"&amp;" · ","")&amp;IF(OR(AND($E243&lt;&gt;"",NOT(ISNUMBER($E243))),AND($F243&lt;&gt;"",NOT(ISNUMBER($F243))),AND($G243&lt;&gt;"",NOT(ISNUMBER($G243)))),"Fecha no válida"&amp;" · ","")&amp;IF(AND(ISNUMBER($AM243),ISNUMBER($AN243),$AM243&gt;$AN243),"Inicio posterior a fecha límite"&amp;" · ","")&amp;IF(AND($V243="Macro",$H243&lt;&gt;"",OR(NOT(ISNUMBER($H243)),$H243&lt;0,$H243&gt;1)),"Peso fuera de rango"&amp;" · ","")&amp;IF(AND($V243="Sub",$H243&lt;&gt;""),"Las subactividades no llevan peso (valen igual dentro de su macroactividad)"&amp;" · ","")&amp;IF(AND(N($W243)&gt;0,COUNT($I243:$L243)&gt;0),"Con subactividades: deje vacías las semanas (se calculan solas)"&amp;" · ","")&amp;IF((COUNTIF($I243:$L243,"&gt;1")+COUNTIF($I243:$L243,"&lt;0")+COUNTA($I243:$L243)-COUNT($I243:$L243))&gt;0,"Avance fuera de rango 0-100%"&amp;" · ","")&amp;IF(OR(AND($J243&lt;&gt;"",$J243&lt;$I243),AND($K243&lt;&gt;"",$K243&lt;MAX($I243:$J243)),AND($L243&lt;&gt;"",$L243&lt;MAX($I243:$K243))),"Avance semanal decreciente"&amp;" · ","")&amp;IF(AND(ISNUMBER($AN243),$AN243&lt;FechaRef,IF($V243="Sub",N($X243),N($M243))&lt;1),"Vencida"&amp;" · ","")&amp;IF(AND(ObsObligatoria="Sí",ISNUMBER($AN243),$AN243&lt;FechaRef,IF($V243="Sub",N($X243),N($M243))&lt;1,$Q243=""),"Vencida sin observación"&amp;" · ",""))="","✔ OK","⚠ "&amp;LEFT(IF($C243="","Falta el nombre de la actividad"&amp;" · ","")&amp;IF(AND($V243="Sub",N($U243)=0),"Subactividad sin macroactividad arriba"&amp;" · ","")&amp;IF($AM243="","Sin fecha de inicio"&amp;" · ","")&amp;IF($AN243="","Sin fecha límite"&amp;" · ","")&amp;IF(AND(LEFT($C243,11)="[Jefatura] ",N($AL243)=0),"No se encuentra en la hoja de la jefatura (elíjala de nuevo en la lista)"&amp;" · ","")&amp;IF(OR(AND($E243&lt;&gt;"",NOT(ISNUMBER($E243))),AND($F243&lt;&gt;"",NOT(ISNUMBER($F243))),AND($G243&lt;&gt;"",NOT(ISNUMBER($G243)))),"Fecha no válida"&amp;" · ","")&amp;IF(AND(ISNUMBER($AM243),ISNUMBER($AN243),$AM243&gt;$AN243),"Inicio posterior a fecha límite"&amp;" · ","")&amp;IF(AND($V243="Macro",$H243&lt;&gt;"",OR(NOT(ISNUMBER($H243)),$H243&lt;0,$H243&gt;1)),"Peso fuera de rango"&amp;" · ","")&amp;IF(AND($V243="Sub",$H243&lt;&gt;""),"Las subactividades no llevan peso (valen igual dentro de su macroactividad)"&amp;" · ","")&amp;IF(AND(N($W243)&gt;0,COUNT($I243:$L243)&gt;0),"Con subactividades: deje vacías las semanas (se calculan solas)"&amp;" · ","")&amp;IF((COUNTIF($I243:$L243,"&gt;1")+COUNTIF($I243:$L243,"&lt;0")+COUNTA($I243:$L243)-COUNT($I243:$L243))&gt;0,"Avance fuera de rango 0-100%"&amp;" · ","")&amp;IF(OR(AND($J243&lt;&gt;"",$J243&lt;$I243),AND($K243&lt;&gt;"",$K243&lt;MAX($I243:$J243)),AND($L243&lt;&gt;"",$L243&lt;MAX($I243:$K243))),"Avance semanal decreciente"&amp;" · ","")&amp;IF(AND(ISNUMBER($AN243),$AN243&lt;FechaRef,IF($V243="Sub",N($X243),N($M243))&lt;1),"Vencida"&amp;" · ","")&amp;IF(AND(ObsObligatoria="Sí",ISNUMBER($AN243),$AN243&lt;FechaRef,IF($V243="Sub",N($X243),N($M243))&lt;1,$Q243=""),"Vencida sin observación"&amp;" · ",""),LEN(IF($C243="","Falta el nombre de la actividad"&amp;" · ","")&amp;IF(AND($V243="Sub",N($U243)=0),"Subactividad sin macroactividad arriba"&amp;" · ","")&amp;IF($AM243="","Sin fecha de inicio"&amp;" · ","")&amp;IF($AN243="","Sin fecha límite"&amp;" · ","")&amp;IF(AND(LEFT($C243,11)="[Jefatura] ",N($AL243)=0),"No se encuentra en la hoja de la jefatura (elíjala de nuevo en la lista)"&amp;" · ","")&amp;IF(OR(AND($E243&lt;&gt;"",NOT(ISNUMBER($E243))),AND($F243&lt;&gt;"",NOT(ISNUMBER($F243))),AND($G243&lt;&gt;"",NOT(ISNUMBER($G243)))),"Fecha no válida"&amp;" · ","")&amp;IF(AND(ISNUMBER($AM243),ISNUMBER($AN243),$AM243&gt;$AN243),"Inicio posterior a fecha límite"&amp;" · ","")&amp;IF(AND($V243="Macro",$H243&lt;&gt;"",OR(NOT(ISNUMBER($H243)),$H243&lt;0,$H243&gt;1)),"Peso fuera de rango"&amp;" · ","")&amp;IF(AND($V243="Sub",$H243&lt;&gt;""),"Las subactividades no llevan peso (valen igual dentro de su macroactividad)"&amp;" · ","")&amp;IF(AND(N($W243)&gt;0,COUNT($I243:$L243)&gt;0),"Con subactividades: deje vacías las semanas (se calculan solas)"&amp;" · ","")&amp;IF((COUNTIF($I243:$L243,"&gt;1")+COUNTIF($I243:$L243,"&lt;0")+COUNTA($I243:$L243)-COUNT($I243:$L243))&gt;0,"Avance fuera de rango 0-100%"&amp;" · ","")&amp;IF(OR(AND($J243&lt;&gt;"",$J243&lt;$I243),AND($K243&lt;&gt;"",$K243&lt;MAX($I243:$J243)),AND($L243&lt;&gt;"",$L243&lt;MAX($I243:$K243))),"Avance semanal decreciente"&amp;" · ","")&amp;IF(AND(ISNUMBER($AN243),$AN243&lt;FechaRef,IF($V243="Sub",N($X243),N($M243))&lt;1),"Vencida"&amp;" · ","")&amp;IF(AND(ObsObligatoria="Sí",ISNUMBER($AN243),$AN243&lt;FechaRef,IF($V243="Sub",N($X243),N($M243))&lt;1,$Q243=""),"Vencida sin observación"&amp;" · ",""))-3)))</f>
        <v/>
      </c>
      <c r="S243" s="64">
        <f>IF(NOT((COUNTA($B243:$D243)+COUNTA($G243:$L243)+COUNTA($Q243))&gt;0),"",IF(AND($V243="Sub",N($U243)&gt;0),IF(ISNUMBER(INDEX($AM$5:$AM$1000,$U243-4)),DATE(YEAR(INDEX($AM$5:$AM$1000,$U243-4)),MONTH(INDEX($AM$5:$AM$1000,$U243-4)),1),IF(ISNUMBER(INDEX($AN$5:$AN$1000,$U243-4)),DATE(YEAR(INDEX($AN$5:$AN$1000,$U243-4)),MONTH(INDEX($AN$5:$AN$1000,$U243-4)),1),MesCiclo)),IF(ISNUMBER($AM243),DATE(YEAR($AM243),MONTH($AM243),1),IF(ISNUMBER($AN243),DATE(YEAR($AN243),MONTH($AN243),1),MesCiclo))))</f>
        <v/>
      </c>
      <c r="T243" s="62">
        <f>IF(OR($S243="",$S243&lt;&gt;MesCiclo,$V243&lt;&gt;"Macro"),"",COUNTIFS($S$5:$S243,MesCiclo,$V$5:$V243,"Macro"))</f>
        <v/>
      </c>
      <c r="U243" s="62">
        <f>IF($V243="","",IF($V243="Macro",ROW(),IFERROR(LOOKUP(2,1/($V$5:$V243="Macro"),ROW($V$5:$V243)),0)))</f>
        <v/>
      </c>
      <c r="V243" s="62">
        <f>IF(NOT((COUNTA($B243:$D243)+COUNTA($G243:$L243)+COUNTA($Q243))&gt;0),"",IF($B243="Subactividad","Sub","Macro"))</f>
        <v/>
      </c>
      <c r="W243" s="62">
        <f>IF($V243="Macro",COUNTIFS($U$5:$U$1000,ROW(),$V$5:$V$1000,"Sub"),"")</f>
        <v/>
      </c>
      <c r="X243" s="62">
        <f>IF($V243="","",IF(ISNUMBER($G243),1,IFERROR(LOOKUP(2,1/($I243:$L243&lt;&gt;""),$I243:$L243),0)))</f>
        <v/>
      </c>
      <c r="Y243" s="62">
        <f>IF($V243="","",IF(AND(ISNUMBER($G243),$G243&lt;=IF($S243=MesCiclo,InicioCiclo,$S243+MOD(2-WEEKDAY($S243),7))+6),1,IF(ISNUMBER($I243),$I243,0)))</f>
        <v/>
      </c>
      <c r="Z243" s="62">
        <f>IF($V243="","",IF(AND(ISNUMBER($G243),$G243&lt;=IF($S243=MesCiclo,InicioCiclo,$S243+MOD(2-WEEKDAY($S243),7))+13),1,IF(ISNUMBER($J243),$J243,$Y243)))</f>
        <v/>
      </c>
      <c r="AA243" s="62">
        <f>IF($V243="","",IF(AND(ISNUMBER($G243),$G243&lt;=IF($S243=MesCiclo,InicioCiclo,$S243+MOD(2-WEEKDAY($S243),7))+20),1,IF(ISNUMBER($K243),$K243,$Z243)))</f>
        <v/>
      </c>
      <c r="AB243" s="62">
        <f>IF($V243="","",IF(AND(ISNUMBER($G243),$G243&lt;=IF($S243=MesCiclo,InicioCiclo,$S243+MOD(2-WEEKDAY($S243),7))+27),1,IF(ISNUMBER($L243),$L243,$AA243)))</f>
        <v/>
      </c>
      <c r="AC243" s="62">
        <f>IF($V243="","",IF(AND(ISNUMBER($G243),$G243&lt;=IF($S243=MesCiclo,InicioCiclo,$S243+MOD(2-WEEKDAY($S243),7))+6),1,IF(N($W243)&gt;0,AVERAGEIFS($Y$5:$Y$1000,$U$5:$U$1000,ROW(),$V$5:$V$1000,"Sub"),$Y243)))</f>
        <v/>
      </c>
      <c r="AD243" s="62">
        <f>IF($V243="","",IF(AND(ISNUMBER($G243),$G243&lt;=IF($S243=MesCiclo,InicioCiclo,$S243+MOD(2-WEEKDAY($S243),7))+13),1,IF(N($W243)&gt;0,AVERAGEIFS($Z$5:$Z$1000,$U$5:$U$1000,ROW(),$V$5:$V$1000,"Sub"),$Z243)))</f>
        <v/>
      </c>
      <c r="AE243" s="62">
        <f>IF($V243="","",IF(AND(ISNUMBER($G243),$G243&lt;=IF($S243=MesCiclo,InicioCiclo,$S243+MOD(2-WEEKDAY($S243),7))+20),1,IF(N($W243)&gt;0,AVERAGEIFS($AA$5:$AA$1000,$U$5:$U$1000,ROW(),$V$5:$V$1000,"Sub"),$AA243)))</f>
        <v/>
      </c>
      <c r="AF243" s="62">
        <f>IF($V243="","",IF(AND(ISNUMBER($G243),$G243&lt;=IF($S243=MesCiclo,InicioCiclo,$S243+MOD(2-WEEKDAY($S243),7))+27),1,IF(N($W243)&gt;0,AVERAGEIFS($AB$5:$AB$1000,$U$5:$U$1000,ROW(),$V$5:$V$1000,"Sub"),$AB243)))</f>
        <v/>
      </c>
      <c r="AG243" s="62">
        <f>IF($V243&lt;&gt;"Macro","",IF(COUNTIFS($S$5:$S$1000,$S243,$V$5:$V$1000,"Macro",$H$5:$H$1000,"&gt;0")=0,1/COUNTIFS($S$5:$S$1000,$S243,$V$5:$V$1000,"Macro"),IF(AND(ISNUMBER($H243),N($H243)&gt;0),$H243,SUMIFS($H$5:$H$1000,$S$5:$S$1000,$S243,$V$5:$V$1000,"Macro")/COUNTIFS($S$5:$S$1000,$S243,$V$5:$V$1000,"Macro",$H$5:$H$1000,"&gt;0"))/(COUNTIFS($S$5:$S$1000,$S243,$V$5:$V$1000,"Macro")*SUMIFS($H$5:$H$1000,$S$5:$S$1000,$S243,$V$5:$V$1000,"Macro")/COUNTIFS($S$5:$S$1000,$S243,$V$5:$V$1000,"Macro",$H$5:$H$1000,"&gt;0"))))</f>
        <v/>
      </c>
      <c r="AH243" s="62" t="n"/>
      <c r="AI243" s="62" t="n"/>
      <c r="AJ243" s="62" t="n"/>
      <c r="AK243" s="62" t="n"/>
      <c r="AL243" s="62">
        <f>IF(LEFT($C243,11)="[Jefatura] ",IFERROR(MATCH("Riesgo Normativo|"&amp;MID($C243,12,500),rDname_ADM,0),0),"")</f>
        <v/>
      </c>
      <c r="AM243" s="62">
        <f>IF(N($AL243)&gt;0,INDEX(rIni_ADM,$AL243),IF(ISNUMBER($E243),$E243,""))</f>
        <v/>
      </c>
      <c r="AN243" s="62">
        <f>IF(N($AL243)&gt;0,INDEX(rLim_ADM,$AL243),IF(ISNUMBER($F243),$F243,""))</f>
        <v/>
      </c>
    </row>
    <row r="244">
      <c r="A244" s="56">
        <f>IF(NOT((COUNTA($B244:$D244)+COUNTA($G244:$L244)+COUNTA($Q244))&gt;0),"",IF($V244="Macro",COUNTIFS($V$5:$V244,"Macro",$S$5:$S244,$S244),IF(N($U244)=0,"?",COUNTIFS(INDEX($V$5:$V$1000,1):INDEX($V$5:$V$1000,$U244-4),"Macro",INDEX($S$5:$S$1000,1):INDEX($S$5:$S$1000,$U244-4),INDEX($S$5:$S$1000,$U244-4))&amp;"."&amp;COUNTIFS($U$5:$U244,$U244,$V$5:$V244,"Sub"))))</f>
        <v/>
      </c>
      <c r="B244" s="57" t="n"/>
      <c r="C244" s="58" t="n"/>
      <c r="D244" s="58" t="n"/>
      <c r="E244" s="59">
        <f>IF(N($AL244)&gt;0,INDEX(rIni_ADM,$AL244),"")</f>
        <v/>
      </c>
      <c r="F244" s="59">
        <f>IF(N($AL244)&gt;0,INDEX(rLim_ADM,$AL244),"")</f>
        <v/>
      </c>
      <c r="G244" s="59" t="n"/>
      <c r="H244" s="60" t="n"/>
      <c r="I244" s="60" t="n"/>
      <c r="J244" s="60" t="n"/>
      <c r="K244" s="60" t="n"/>
      <c r="L244" s="60" t="n"/>
      <c r="M244" s="61">
        <f>IF(NOT((COUNTA($B244:$D244)+COUNTA($G244:$L244)+COUNTA($Q244))&gt;0),"",IF($V244="Sub",IFERROR($X244/INDEX($W$5:$W$1000,$U244-4),""),IF(ISNUMBER($G244),1,IF(N($W244)&gt;0,AVERAGEIFS($X$5:$X$1000,$U$5:$U$1000,ROW(),$V$5:$V$1000,"Sub"),$X244))))</f>
        <v/>
      </c>
      <c r="N244" s="56">
        <f>IF(OR($M244="",$V244="Sub"),"",IF($M244&gt;=1,"Completado",IF($M244&gt;0,"En curso","Pendiente")))</f>
        <v/>
      </c>
      <c r="O244" s="56">
        <f>IF(OR(NOT((COUNTA($B244:$D244)+COUNTA($G244:$L244)+COUNTA($Q244))&gt;0),$V244="Sub"),"",IF(ISNUMBER($G244),IF(AND(ISNUMBER($AN244),$G244&gt;$AN244),"Cumplida con "&amp;($G244-$AN244)&amp;IF($G244-$AN244=1," día"," días")&amp;" de retraso","Cumplida"),IF(N($M244)&gt;=1,"Cumplida",IF(NOT(ISNUMBER($AN244)),"Sin fecha límite",IF($AN244&lt;FechaRef,"Vencida hace "&amp;(FechaRef-$AN244)&amp;IF(FechaRef-$AN244=1," día"," días"),IF($AN244=FechaRef,"Vence hoy",IF($AN244-FechaRef&lt;=DiasAlerta,"Vence en "&amp;($AN244-FechaRef)&amp;IF($AN244-FechaRef=1," día"," días"),"En plazo")))))))</f>
        <v/>
      </c>
      <c r="P244" s="62" t="n"/>
      <c r="Q244" s="58" t="n"/>
      <c r="R244" s="63">
        <f>IF(NOT((COUNTA($B244:$D244)+COUNTA($G244:$L244)+COUNTA($Q244))&gt;0),"",IF((IF($C244="","Falta el nombre de la actividad"&amp;" · ","")&amp;IF(AND($V244="Sub",N($U244)=0),"Subactividad sin macroactividad arriba"&amp;" · ","")&amp;IF($AM244="","Sin fecha de inicio"&amp;" · ","")&amp;IF($AN244="","Sin fecha límite"&amp;" · ","")&amp;IF(AND(LEFT($C244,11)="[Jefatura] ",N($AL244)=0),"No se encuentra en la hoja de la jefatura (elíjala de nuevo en la lista)"&amp;" · ","")&amp;IF(OR(AND($E244&lt;&gt;"",NOT(ISNUMBER($E244))),AND($F244&lt;&gt;"",NOT(ISNUMBER($F244))),AND($G244&lt;&gt;"",NOT(ISNUMBER($G244)))),"Fecha no válida"&amp;" · ","")&amp;IF(AND(ISNUMBER($AM244),ISNUMBER($AN244),$AM244&gt;$AN244),"Inicio posterior a fecha límite"&amp;" · ","")&amp;IF(AND($V244="Macro",$H244&lt;&gt;"",OR(NOT(ISNUMBER($H244)),$H244&lt;0,$H244&gt;1)),"Peso fuera de rango"&amp;" · ","")&amp;IF(AND($V244="Sub",$H244&lt;&gt;""),"Las subactividades no llevan peso (valen igual dentro de su macroactividad)"&amp;" · ","")&amp;IF(AND(N($W244)&gt;0,COUNT($I244:$L244)&gt;0),"Con subactividades: deje vacías las semanas (se calculan solas)"&amp;" · ","")&amp;IF((COUNTIF($I244:$L244,"&gt;1")+COUNTIF($I244:$L244,"&lt;0")+COUNTA($I244:$L244)-COUNT($I244:$L244))&gt;0,"Avance fuera de rango 0-100%"&amp;" · ","")&amp;IF(OR(AND($J244&lt;&gt;"",$J244&lt;$I244),AND($K244&lt;&gt;"",$K244&lt;MAX($I244:$J244)),AND($L244&lt;&gt;"",$L244&lt;MAX($I244:$K244))),"Avance semanal decreciente"&amp;" · ","")&amp;IF(AND(ISNUMBER($AN244),$AN244&lt;FechaRef,IF($V244="Sub",N($X244),N($M244))&lt;1),"Vencida"&amp;" · ","")&amp;IF(AND(ObsObligatoria="Sí",ISNUMBER($AN244),$AN244&lt;FechaRef,IF($V244="Sub",N($X244),N($M244))&lt;1,$Q244=""),"Vencida sin observación"&amp;" · ",""))="","✔ OK","⚠ "&amp;LEFT(IF($C244="","Falta el nombre de la actividad"&amp;" · ","")&amp;IF(AND($V244="Sub",N($U244)=0),"Subactividad sin macroactividad arriba"&amp;" · ","")&amp;IF($AM244="","Sin fecha de inicio"&amp;" · ","")&amp;IF($AN244="","Sin fecha límite"&amp;" · ","")&amp;IF(AND(LEFT($C244,11)="[Jefatura] ",N($AL244)=0),"No se encuentra en la hoja de la jefatura (elíjala de nuevo en la lista)"&amp;" · ","")&amp;IF(OR(AND($E244&lt;&gt;"",NOT(ISNUMBER($E244))),AND($F244&lt;&gt;"",NOT(ISNUMBER($F244))),AND($G244&lt;&gt;"",NOT(ISNUMBER($G244)))),"Fecha no válida"&amp;" · ","")&amp;IF(AND(ISNUMBER($AM244),ISNUMBER($AN244),$AM244&gt;$AN244),"Inicio posterior a fecha límite"&amp;" · ","")&amp;IF(AND($V244="Macro",$H244&lt;&gt;"",OR(NOT(ISNUMBER($H244)),$H244&lt;0,$H244&gt;1)),"Peso fuera de rango"&amp;" · ","")&amp;IF(AND($V244="Sub",$H244&lt;&gt;""),"Las subactividades no llevan peso (valen igual dentro de su macroactividad)"&amp;" · ","")&amp;IF(AND(N($W244)&gt;0,COUNT($I244:$L244)&gt;0),"Con subactividades: deje vacías las semanas (se calculan solas)"&amp;" · ","")&amp;IF((COUNTIF($I244:$L244,"&gt;1")+COUNTIF($I244:$L244,"&lt;0")+COUNTA($I244:$L244)-COUNT($I244:$L244))&gt;0,"Avance fuera de rango 0-100%"&amp;" · ","")&amp;IF(OR(AND($J244&lt;&gt;"",$J244&lt;$I244),AND($K244&lt;&gt;"",$K244&lt;MAX($I244:$J244)),AND($L244&lt;&gt;"",$L244&lt;MAX($I244:$K244))),"Avance semanal decreciente"&amp;" · ","")&amp;IF(AND(ISNUMBER($AN244),$AN244&lt;FechaRef,IF($V244="Sub",N($X244),N($M244))&lt;1),"Vencida"&amp;" · ","")&amp;IF(AND(ObsObligatoria="Sí",ISNUMBER($AN244),$AN244&lt;FechaRef,IF($V244="Sub",N($X244),N($M244))&lt;1,$Q244=""),"Vencida sin observación"&amp;" · ",""),LEN(IF($C244="","Falta el nombre de la actividad"&amp;" · ","")&amp;IF(AND($V244="Sub",N($U244)=0),"Subactividad sin macroactividad arriba"&amp;" · ","")&amp;IF($AM244="","Sin fecha de inicio"&amp;" · ","")&amp;IF($AN244="","Sin fecha límite"&amp;" · ","")&amp;IF(AND(LEFT($C244,11)="[Jefatura] ",N($AL244)=0),"No se encuentra en la hoja de la jefatura (elíjala de nuevo en la lista)"&amp;" · ","")&amp;IF(OR(AND($E244&lt;&gt;"",NOT(ISNUMBER($E244))),AND($F244&lt;&gt;"",NOT(ISNUMBER($F244))),AND($G244&lt;&gt;"",NOT(ISNUMBER($G244)))),"Fecha no válida"&amp;" · ","")&amp;IF(AND(ISNUMBER($AM244),ISNUMBER($AN244),$AM244&gt;$AN244),"Inicio posterior a fecha límite"&amp;" · ","")&amp;IF(AND($V244="Macro",$H244&lt;&gt;"",OR(NOT(ISNUMBER($H244)),$H244&lt;0,$H244&gt;1)),"Peso fuera de rango"&amp;" · ","")&amp;IF(AND($V244="Sub",$H244&lt;&gt;""),"Las subactividades no llevan peso (valen igual dentro de su macroactividad)"&amp;" · ","")&amp;IF(AND(N($W244)&gt;0,COUNT($I244:$L244)&gt;0),"Con subactividades: deje vacías las semanas (se calculan solas)"&amp;" · ","")&amp;IF((COUNTIF($I244:$L244,"&gt;1")+COUNTIF($I244:$L244,"&lt;0")+COUNTA($I244:$L244)-COUNT($I244:$L244))&gt;0,"Avance fuera de rango 0-100%"&amp;" · ","")&amp;IF(OR(AND($J244&lt;&gt;"",$J244&lt;$I244),AND($K244&lt;&gt;"",$K244&lt;MAX($I244:$J244)),AND($L244&lt;&gt;"",$L244&lt;MAX($I244:$K244))),"Avance semanal decreciente"&amp;" · ","")&amp;IF(AND(ISNUMBER($AN244),$AN244&lt;FechaRef,IF($V244="Sub",N($X244),N($M244))&lt;1),"Vencida"&amp;" · ","")&amp;IF(AND(ObsObligatoria="Sí",ISNUMBER($AN244),$AN244&lt;FechaRef,IF($V244="Sub",N($X244),N($M244))&lt;1,$Q244=""),"Vencida sin observación"&amp;" · ",""))-3)))</f>
        <v/>
      </c>
      <c r="S244" s="64">
        <f>IF(NOT((COUNTA($B244:$D244)+COUNTA($G244:$L244)+COUNTA($Q244))&gt;0),"",IF(AND($V244="Sub",N($U244)&gt;0),IF(ISNUMBER(INDEX($AM$5:$AM$1000,$U244-4)),DATE(YEAR(INDEX($AM$5:$AM$1000,$U244-4)),MONTH(INDEX($AM$5:$AM$1000,$U244-4)),1),IF(ISNUMBER(INDEX($AN$5:$AN$1000,$U244-4)),DATE(YEAR(INDEX($AN$5:$AN$1000,$U244-4)),MONTH(INDEX($AN$5:$AN$1000,$U244-4)),1),MesCiclo)),IF(ISNUMBER($AM244),DATE(YEAR($AM244),MONTH($AM244),1),IF(ISNUMBER($AN244),DATE(YEAR($AN244),MONTH($AN244),1),MesCiclo))))</f>
        <v/>
      </c>
      <c r="T244" s="62">
        <f>IF(OR($S244="",$S244&lt;&gt;MesCiclo,$V244&lt;&gt;"Macro"),"",COUNTIFS($S$5:$S244,MesCiclo,$V$5:$V244,"Macro"))</f>
        <v/>
      </c>
      <c r="U244" s="62">
        <f>IF($V244="","",IF($V244="Macro",ROW(),IFERROR(LOOKUP(2,1/($V$5:$V244="Macro"),ROW($V$5:$V244)),0)))</f>
        <v/>
      </c>
      <c r="V244" s="62">
        <f>IF(NOT((COUNTA($B244:$D244)+COUNTA($G244:$L244)+COUNTA($Q244))&gt;0),"",IF($B244="Subactividad","Sub","Macro"))</f>
        <v/>
      </c>
      <c r="W244" s="62">
        <f>IF($V244="Macro",COUNTIFS($U$5:$U$1000,ROW(),$V$5:$V$1000,"Sub"),"")</f>
        <v/>
      </c>
      <c r="X244" s="62">
        <f>IF($V244="","",IF(ISNUMBER($G244),1,IFERROR(LOOKUP(2,1/($I244:$L244&lt;&gt;""),$I244:$L244),0)))</f>
        <v/>
      </c>
      <c r="Y244" s="62">
        <f>IF($V244="","",IF(AND(ISNUMBER($G244),$G244&lt;=IF($S244=MesCiclo,InicioCiclo,$S244+MOD(2-WEEKDAY($S244),7))+6),1,IF(ISNUMBER($I244),$I244,0)))</f>
        <v/>
      </c>
      <c r="Z244" s="62">
        <f>IF($V244="","",IF(AND(ISNUMBER($G244),$G244&lt;=IF($S244=MesCiclo,InicioCiclo,$S244+MOD(2-WEEKDAY($S244),7))+13),1,IF(ISNUMBER($J244),$J244,$Y244)))</f>
        <v/>
      </c>
      <c r="AA244" s="62">
        <f>IF($V244="","",IF(AND(ISNUMBER($G244),$G244&lt;=IF($S244=MesCiclo,InicioCiclo,$S244+MOD(2-WEEKDAY($S244),7))+20),1,IF(ISNUMBER($K244),$K244,$Z244)))</f>
        <v/>
      </c>
      <c r="AB244" s="62">
        <f>IF($V244="","",IF(AND(ISNUMBER($G244),$G244&lt;=IF($S244=MesCiclo,InicioCiclo,$S244+MOD(2-WEEKDAY($S244),7))+27),1,IF(ISNUMBER($L244),$L244,$AA244)))</f>
        <v/>
      </c>
      <c r="AC244" s="62">
        <f>IF($V244="","",IF(AND(ISNUMBER($G244),$G244&lt;=IF($S244=MesCiclo,InicioCiclo,$S244+MOD(2-WEEKDAY($S244),7))+6),1,IF(N($W244)&gt;0,AVERAGEIFS($Y$5:$Y$1000,$U$5:$U$1000,ROW(),$V$5:$V$1000,"Sub"),$Y244)))</f>
        <v/>
      </c>
      <c r="AD244" s="62">
        <f>IF($V244="","",IF(AND(ISNUMBER($G244),$G244&lt;=IF($S244=MesCiclo,InicioCiclo,$S244+MOD(2-WEEKDAY($S244),7))+13),1,IF(N($W244)&gt;0,AVERAGEIFS($Z$5:$Z$1000,$U$5:$U$1000,ROW(),$V$5:$V$1000,"Sub"),$Z244)))</f>
        <v/>
      </c>
      <c r="AE244" s="62">
        <f>IF($V244="","",IF(AND(ISNUMBER($G244),$G244&lt;=IF($S244=MesCiclo,InicioCiclo,$S244+MOD(2-WEEKDAY($S244),7))+20),1,IF(N($W244)&gt;0,AVERAGEIFS($AA$5:$AA$1000,$U$5:$U$1000,ROW(),$V$5:$V$1000,"Sub"),$AA244)))</f>
        <v/>
      </c>
      <c r="AF244" s="62">
        <f>IF($V244="","",IF(AND(ISNUMBER($G244),$G244&lt;=IF($S244=MesCiclo,InicioCiclo,$S244+MOD(2-WEEKDAY($S244),7))+27),1,IF(N($W244)&gt;0,AVERAGEIFS($AB$5:$AB$1000,$U$5:$U$1000,ROW(),$V$5:$V$1000,"Sub"),$AB244)))</f>
        <v/>
      </c>
      <c r="AG244" s="62">
        <f>IF($V244&lt;&gt;"Macro","",IF(COUNTIFS($S$5:$S$1000,$S244,$V$5:$V$1000,"Macro",$H$5:$H$1000,"&gt;0")=0,1/COUNTIFS($S$5:$S$1000,$S244,$V$5:$V$1000,"Macro"),IF(AND(ISNUMBER($H244),N($H244)&gt;0),$H244,SUMIFS($H$5:$H$1000,$S$5:$S$1000,$S244,$V$5:$V$1000,"Macro")/COUNTIFS($S$5:$S$1000,$S244,$V$5:$V$1000,"Macro",$H$5:$H$1000,"&gt;0"))/(COUNTIFS($S$5:$S$1000,$S244,$V$5:$V$1000,"Macro")*SUMIFS($H$5:$H$1000,$S$5:$S$1000,$S244,$V$5:$V$1000,"Macro")/COUNTIFS($S$5:$S$1000,$S244,$V$5:$V$1000,"Macro",$H$5:$H$1000,"&gt;0"))))</f>
        <v/>
      </c>
      <c r="AH244" s="62" t="n"/>
      <c r="AI244" s="62" t="n"/>
      <c r="AJ244" s="62" t="n"/>
      <c r="AK244" s="62" t="n"/>
      <c r="AL244" s="62">
        <f>IF(LEFT($C244,11)="[Jefatura] ",IFERROR(MATCH("Riesgo Normativo|"&amp;MID($C244,12,500),rDname_ADM,0),0),"")</f>
        <v/>
      </c>
      <c r="AM244" s="62">
        <f>IF(N($AL244)&gt;0,INDEX(rIni_ADM,$AL244),IF(ISNUMBER($E244),$E244,""))</f>
        <v/>
      </c>
      <c r="AN244" s="62">
        <f>IF(N($AL244)&gt;0,INDEX(rLim_ADM,$AL244),IF(ISNUMBER($F244),$F244,""))</f>
        <v/>
      </c>
    </row>
    <row r="245">
      <c r="A245" s="56">
        <f>IF(NOT((COUNTA($B245:$D245)+COUNTA($G245:$L245)+COUNTA($Q245))&gt;0),"",IF($V245="Macro",COUNTIFS($V$5:$V245,"Macro",$S$5:$S245,$S245),IF(N($U245)=0,"?",COUNTIFS(INDEX($V$5:$V$1000,1):INDEX($V$5:$V$1000,$U245-4),"Macro",INDEX($S$5:$S$1000,1):INDEX($S$5:$S$1000,$U245-4),INDEX($S$5:$S$1000,$U245-4))&amp;"."&amp;COUNTIFS($U$5:$U245,$U245,$V$5:$V245,"Sub"))))</f>
        <v/>
      </c>
      <c r="B245" s="57" t="n"/>
      <c r="C245" s="58" t="n"/>
      <c r="D245" s="58" t="n"/>
      <c r="E245" s="59">
        <f>IF(N($AL245)&gt;0,INDEX(rIni_ADM,$AL245),"")</f>
        <v/>
      </c>
      <c r="F245" s="59">
        <f>IF(N($AL245)&gt;0,INDEX(rLim_ADM,$AL245),"")</f>
        <v/>
      </c>
      <c r="G245" s="59" t="n"/>
      <c r="H245" s="60" t="n"/>
      <c r="I245" s="60" t="n"/>
      <c r="J245" s="60" t="n"/>
      <c r="K245" s="60" t="n"/>
      <c r="L245" s="60" t="n"/>
      <c r="M245" s="61">
        <f>IF(NOT((COUNTA($B245:$D245)+COUNTA($G245:$L245)+COUNTA($Q245))&gt;0),"",IF($V245="Sub",IFERROR($X245/INDEX($W$5:$W$1000,$U245-4),""),IF(ISNUMBER($G245),1,IF(N($W245)&gt;0,AVERAGEIFS($X$5:$X$1000,$U$5:$U$1000,ROW(),$V$5:$V$1000,"Sub"),$X245))))</f>
        <v/>
      </c>
      <c r="N245" s="56">
        <f>IF(OR($M245="",$V245="Sub"),"",IF($M245&gt;=1,"Completado",IF($M245&gt;0,"En curso","Pendiente")))</f>
        <v/>
      </c>
      <c r="O245" s="56">
        <f>IF(OR(NOT((COUNTA($B245:$D245)+COUNTA($G245:$L245)+COUNTA($Q245))&gt;0),$V245="Sub"),"",IF(ISNUMBER($G245),IF(AND(ISNUMBER($AN245),$G245&gt;$AN245),"Cumplida con "&amp;($G245-$AN245)&amp;IF($G245-$AN245=1," día"," días")&amp;" de retraso","Cumplida"),IF(N($M245)&gt;=1,"Cumplida",IF(NOT(ISNUMBER($AN245)),"Sin fecha límite",IF($AN245&lt;FechaRef,"Vencida hace "&amp;(FechaRef-$AN245)&amp;IF(FechaRef-$AN245=1," día"," días"),IF($AN245=FechaRef,"Vence hoy",IF($AN245-FechaRef&lt;=DiasAlerta,"Vence en "&amp;($AN245-FechaRef)&amp;IF($AN245-FechaRef=1," día"," días"),"En plazo")))))))</f>
        <v/>
      </c>
      <c r="P245" s="62" t="n"/>
      <c r="Q245" s="58" t="n"/>
      <c r="R245" s="63">
        <f>IF(NOT((COUNTA($B245:$D245)+COUNTA($G245:$L245)+COUNTA($Q245))&gt;0),"",IF((IF($C245="","Falta el nombre de la actividad"&amp;" · ","")&amp;IF(AND($V245="Sub",N($U245)=0),"Subactividad sin macroactividad arriba"&amp;" · ","")&amp;IF($AM245="","Sin fecha de inicio"&amp;" · ","")&amp;IF($AN245="","Sin fecha límite"&amp;" · ","")&amp;IF(AND(LEFT($C245,11)="[Jefatura] ",N($AL245)=0),"No se encuentra en la hoja de la jefatura (elíjala de nuevo en la lista)"&amp;" · ","")&amp;IF(OR(AND($E245&lt;&gt;"",NOT(ISNUMBER($E245))),AND($F245&lt;&gt;"",NOT(ISNUMBER($F245))),AND($G245&lt;&gt;"",NOT(ISNUMBER($G245)))),"Fecha no válida"&amp;" · ","")&amp;IF(AND(ISNUMBER($AM245),ISNUMBER($AN245),$AM245&gt;$AN245),"Inicio posterior a fecha límite"&amp;" · ","")&amp;IF(AND($V245="Macro",$H245&lt;&gt;"",OR(NOT(ISNUMBER($H245)),$H245&lt;0,$H245&gt;1)),"Peso fuera de rango"&amp;" · ","")&amp;IF(AND($V245="Sub",$H245&lt;&gt;""),"Las subactividades no llevan peso (valen igual dentro de su macroactividad)"&amp;" · ","")&amp;IF(AND(N($W245)&gt;0,COUNT($I245:$L245)&gt;0),"Con subactividades: deje vacías las semanas (se calculan solas)"&amp;" · ","")&amp;IF((COUNTIF($I245:$L245,"&gt;1")+COUNTIF($I245:$L245,"&lt;0")+COUNTA($I245:$L245)-COUNT($I245:$L245))&gt;0,"Avance fuera de rango 0-100%"&amp;" · ","")&amp;IF(OR(AND($J245&lt;&gt;"",$J245&lt;$I245),AND($K245&lt;&gt;"",$K245&lt;MAX($I245:$J245)),AND($L245&lt;&gt;"",$L245&lt;MAX($I245:$K245))),"Avance semanal decreciente"&amp;" · ","")&amp;IF(AND(ISNUMBER($AN245),$AN245&lt;FechaRef,IF($V245="Sub",N($X245),N($M245))&lt;1),"Vencida"&amp;" · ","")&amp;IF(AND(ObsObligatoria="Sí",ISNUMBER($AN245),$AN245&lt;FechaRef,IF($V245="Sub",N($X245),N($M245))&lt;1,$Q245=""),"Vencida sin observación"&amp;" · ",""))="","✔ OK","⚠ "&amp;LEFT(IF($C245="","Falta el nombre de la actividad"&amp;" · ","")&amp;IF(AND($V245="Sub",N($U245)=0),"Subactividad sin macroactividad arriba"&amp;" · ","")&amp;IF($AM245="","Sin fecha de inicio"&amp;" · ","")&amp;IF($AN245="","Sin fecha límite"&amp;" · ","")&amp;IF(AND(LEFT($C245,11)="[Jefatura] ",N($AL245)=0),"No se encuentra en la hoja de la jefatura (elíjala de nuevo en la lista)"&amp;" · ","")&amp;IF(OR(AND($E245&lt;&gt;"",NOT(ISNUMBER($E245))),AND($F245&lt;&gt;"",NOT(ISNUMBER($F245))),AND($G245&lt;&gt;"",NOT(ISNUMBER($G245)))),"Fecha no válida"&amp;" · ","")&amp;IF(AND(ISNUMBER($AM245),ISNUMBER($AN245),$AM245&gt;$AN245),"Inicio posterior a fecha límite"&amp;" · ","")&amp;IF(AND($V245="Macro",$H245&lt;&gt;"",OR(NOT(ISNUMBER($H245)),$H245&lt;0,$H245&gt;1)),"Peso fuera de rango"&amp;" · ","")&amp;IF(AND($V245="Sub",$H245&lt;&gt;""),"Las subactividades no llevan peso (valen igual dentro de su macroactividad)"&amp;" · ","")&amp;IF(AND(N($W245)&gt;0,COUNT($I245:$L245)&gt;0),"Con subactividades: deje vacías las semanas (se calculan solas)"&amp;" · ","")&amp;IF((COUNTIF($I245:$L245,"&gt;1")+COUNTIF($I245:$L245,"&lt;0")+COUNTA($I245:$L245)-COUNT($I245:$L245))&gt;0,"Avance fuera de rango 0-100%"&amp;" · ","")&amp;IF(OR(AND($J245&lt;&gt;"",$J245&lt;$I245),AND($K245&lt;&gt;"",$K245&lt;MAX($I245:$J245)),AND($L245&lt;&gt;"",$L245&lt;MAX($I245:$K245))),"Avance semanal decreciente"&amp;" · ","")&amp;IF(AND(ISNUMBER($AN245),$AN245&lt;FechaRef,IF($V245="Sub",N($X245),N($M245))&lt;1),"Vencida"&amp;" · ","")&amp;IF(AND(ObsObligatoria="Sí",ISNUMBER($AN245),$AN245&lt;FechaRef,IF($V245="Sub",N($X245),N($M245))&lt;1,$Q245=""),"Vencida sin observación"&amp;" · ",""),LEN(IF($C245="","Falta el nombre de la actividad"&amp;" · ","")&amp;IF(AND($V245="Sub",N($U245)=0),"Subactividad sin macroactividad arriba"&amp;" · ","")&amp;IF($AM245="","Sin fecha de inicio"&amp;" · ","")&amp;IF($AN245="","Sin fecha límite"&amp;" · ","")&amp;IF(AND(LEFT($C245,11)="[Jefatura] ",N($AL245)=0),"No se encuentra en la hoja de la jefatura (elíjala de nuevo en la lista)"&amp;" · ","")&amp;IF(OR(AND($E245&lt;&gt;"",NOT(ISNUMBER($E245))),AND($F245&lt;&gt;"",NOT(ISNUMBER($F245))),AND($G245&lt;&gt;"",NOT(ISNUMBER($G245)))),"Fecha no válida"&amp;" · ","")&amp;IF(AND(ISNUMBER($AM245),ISNUMBER($AN245),$AM245&gt;$AN245),"Inicio posterior a fecha límite"&amp;" · ","")&amp;IF(AND($V245="Macro",$H245&lt;&gt;"",OR(NOT(ISNUMBER($H245)),$H245&lt;0,$H245&gt;1)),"Peso fuera de rango"&amp;" · ","")&amp;IF(AND($V245="Sub",$H245&lt;&gt;""),"Las subactividades no llevan peso (valen igual dentro de su macroactividad)"&amp;" · ","")&amp;IF(AND(N($W245)&gt;0,COUNT($I245:$L245)&gt;0),"Con subactividades: deje vacías las semanas (se calculan solas)"&amp;" · ","")&amp;IF((COUNTIF($I245:$L245,"&gt;1")+COUNTIF($I245:$L245,"&lt;0")+COUNTA($I245:$L245)-COUNT($I245:$L245))&gt;0,"Avance fuera de rango 0-100%"&amp;" · ","")&amp;IF(OR(AND($J245&lt;&gt;"",$J245&lt;$I245),AND($K245&lt;&gt;"",$K245&lt;MAX($I245:$J245)),AND($L245&lt;&gt;"",$L245&lt;MAX($I245:$K245))),"Avance semanal decreciente"&amp;" · ","")&amp;IF(AND(ISNUMBER($AN245),$AN245&lt;FechaRef,IF($V245="Sub",N($X245),N($M245))&lt;1),"Vencida"&amp;" · ","")&amp;IF(AND(ObsObligatoria="Sí",ISNUMBER($AN245),$AN245&lt;FechaRef,IF($V245="Sub",N($X245),N($M245))&lt;1,$Q245=""),"Vencida sin observación"&amp;" · ",""))-3)))</f>
        <v/>
      </c>
      <c r="S245" s="64">
        <f>IF(NOT((COUNTA($B245:$D245)+COUNTA($G245:$L245)+COUNTA($Q245))&gt;0),"",IF(AND($V245="Sub",N($U245)&gt;0),IF(ISNUMBER(INDEX($AM$5:$AM$1000,$U245-4)),DATE(YEAR(INDEX($AM$5:$AM$1000,$U245-4)),MONTH(INDEX($AM$5:$AM$1000,$U245-4)),1),IF(ISNUMBER(INDEX($AN$5:$AN$1000,$U245-4)),DATE(YEAR(INDEX($AN$5:$AN$1000,$U245-4)),MONTH(INDEX($AN$5:$AN$1000,$U245-4)),1),MesCiclo)),IF(ISNUMBER($AM245),DATE(YEAR($AM245),MONTH($AM245),1),IF(ISNUMBER($AN245),DATE(YEAR($AN245),MONTH($AN245),1),MesCiclo))))</f>
        <v/>
      </c>
      <c r="T245" s="62">
        <f>IF(OR($S245="",$S245&lt;&gt;MesCiclo,$V245&lt;&gt;"Macro"),"",COUNTIFS($S$5:$S245,MesCiclo,$V$5:$V245,"Macro"))</f>
        <v/>
      </c>
      <c r="U245" s="62">
        <f>IF($V245="","",IF($V245="Macro",ROW(),IFERROR(LOOKUP(2,1/($V$5:$V245="Macro"),ROW($V$5:$V245)),0)))</f>
        <v/>
      </c>
      <c r="V245" s="62">
        <f>IF(NOT((COUNTA($B245:$D245)+COUNTA($G245:$L245)+COUNTA($Q245))&gt;0),"",IF($B245="Subactividad","Sub","Macro"))</f>
        <v/>
      </c>
      <c r="W245" s="62">
        <f>IF($V245="Macro",COUNTIFS($U$5:$U$1000,ROW(),$V$5:$V$1000,"Sub"),"")</f>
        <v/>
      </c>
      <c r="X245" s="62">
        <f>IF($V245="","",IF(ISNUMBER($G245),1,IFERROR(LOOKUP(2,1/($I245:$L245&lt;&gt;""),$I245:$L245),0)))</f>
        <v/>
      </c>
      <c r="Y245" s="62">
        <f>IF($V245="","",IF(AND(ISNUMBER($G245),$G245&lt;=IF($S245=MesCiclo,InicioCiclo,$S245+MOD(2-WEEKDAY($S245),7))+6),1,IF(ISNUMBER($I245),$I245,0)))</f>
        <v/>
      </c>
      <c r="Z245" s="62">
        <f>IF($V245="","",IF(AND(ISNUMBER($G245),$G245&lt;=IF($S245=MesCiclo,InicioCiclo,$S245+MOD(2-WEEKDAY($S245),7))+13),1,IF(ISNUMBER($J245),$J245,$Y245)))</f>
        <v/>
      </c>
      <c r="AA245" s="62">
        <f>IF($V245="","",IF(AND(ISNUMBER($G245),$G245&lt;=IF($S245=MesCiclo,InicioCiclo,$S245+MOD(2-WEEKDAY($S245),7))+20),1,IF(ISNUMBER($K245),$K245,$Z245)))</f>
        <v/>
      </c>
      <c r="AB245" s="62">
        <f>IF($V245="","",IF(AND(ISNUMBER($G245),$G245&lt;=IF($S245=MesCiclo,InicioCiclo,$S245+MOD(2-WEEKDAY($S245),7))+27),1,IF(ISNUMBER($L245),$L245,$AA245)))</f>
        <v/>
      </c>
      <c r="AC245" s="62">
        <f>IF($V245="","",IF(AND(ISNUMBER($G245),$G245&lt;=IF($S245=MesCiclo,InicioCiclo,$S245+MOD(2-WEEKDAY($S245),7))+6),1,IF(N($W245)&gt;0,AVERAGEIFS($Y$5:$Y$1000,$U$5:$U$1000,ROW(),$V$5:$V$1000,"Sub"),$Y245)))</f>
        <v/>
      </c>
      <c r="AD245" s="62">
        <f>IF($V245="","",IF(AND(ISNUMBER($G245),$G245&lt;=IF($S245=MesCiclo,InicioCiclo,$S245+MOD(2-WEEKDAY($S245),7))+13),1,IF(N($W245)&gt;0,AVERAGEIFS($Z$5:$Z$1000,$U$5:$U$1000,ROW(),$V$5:$V$1000,"Sub"),$Z245)))</f>
        <v/>
      </c>
      <c r="AE245" s="62">
        <f>IF($V245="","",IF(AND(ISNUMBER($G245),$G245&lt;=IF($S245=MesCiclo,InicioCiclo,$S245+MOD(2-WEEKDAY($S245),7))+20),1,IF(N($W245)&gt;0,AVERAGEIFS($AA$5:$AA$1000,$U$5:$U$1000,ROW(),$V$5:$V$1000,"Sub"),$AA245)))</f>
        <v/>
      </c>
      <c r="AF245" s="62">
        <f>IF($V245="","",IF(AND(ISNUMBER($G245),$G245&lt;=IF($S245=MesCiclo,InicioCiclo,$S245+MOD(2-WEEKDAY($S245),7))+27),1,IF(N($W245)&gt;0,AVERAGEIFS($AB$5:$AB$1000,$U$5:$U$1000,ROW(),$V$5:$V$1000,"Sub"),$AB245)))</f>
        <v/>
      </c>
      <c r="AG245" s="62">
        <f>IF($V245&lt;&gt;"Macro","",IF(COUNTIFS($S$5:$S$1000,$S245,$V$5:$V$1000,"Macro",$H$5:$H$1000,"&gt;0")=0,1/COUNTIFS($S$5:$S$1000,$S245,$V$5:$V$1000,"Macro"),IF(AND(ISNUMBER($H245),N($H245)&gt;0),$H245,SUMIFS($H$5:$H$1000,$S$5:$S$1000,$S245,$V$5:$V$1000,"Macro")/COUNTIFS($S$5:$S$1000,$S245,$V$5:$V$1000,"Macro",$H$5:$H$1000,"&gt;0"))/(COUNTIFS($S$5:$S$1000,$S245,$V$5:$V$1000,"Macro")*SUMIFS($H$5:$H$1000,$S$5:$S$1000,$S245,$V$5:$V$1000,"Macro")/COUNTIFS($S$5:$S$1000,$S245,$V$5:$V$1000,"Macro",$H$5:$H$1000,"&gt;0"))))</f>
        <v/>
      </c>
      <c r="AH245" s="62" t="n"/>
      <c r="AI245" s="62" t="n"/>
      <c r="AJ245" s="62" t="n"/>
      <c r="AK245" s="62" t="n"/>
      <c r="AL245" s="62">
        <f>IF(LEFT($C245,11)="[Jefatura] ",IFERROR(MATCH("Riesgo Normativo|"&amp;MID($C245,12,500),rDname_ADM,0),0),"")</f>
        <v/>
      </c>
      <c r="AM245" s="62">
        <f>IF(N($AL245)&gt;0,INDEX(rIni_ADM,$AL245),IF(ISNUMBER($E245),$E245,""))</f>
        <v/>
      </c>
      <c r="AN245" s="62">
        <f>IF(N($AL245)&gt;0,INDEX(rLim_ADM,$AL245),IF(ISNUMBER($F245),$F245,""))</f>
        <v/>
      </c>
    </row>
    <row r="246">
      <c r="A246" s="56">
        <f>IF(NOT((COUNTA($B246:$D246)+COUNTA($G246:$L246)+COUNTA($Q246))&gt;0),"",IF($V246="Macro",COUNTIFS($V$5:$V246,"Macro",$S$5:$S246,$S246),IF(N($U246)=0,"?",COUNTIFS(INDEX($V$5:$V$1000,1):INDEX($V$5:$V$1000,$U246-4),"Macro",INDEX($S$5:$S$1000,1):INDEX($S$5:$S$1000,$U246-4),INDEX($S$5:$S$1000,$U246-4))&amp;"."&amp;COUNTIFS($U$5:$U246,$U246,$V$5:$V246,"Sub"))))</f>
        <v/>
      </c>
      <c r="B246" s="57" t="n"/>
      <c r="C246" s="58" t="n"/>
      <c r="D246" s="58" t="n"/>
      <c r="E246" s="59">
        <f>IF(N($AL246)&gt;0,INDEX(rIni_ADM,$AL246),"")</f>
        <v/>
      </c>
      <c r="F246" s="59">
        <f>IF(N($AL246)&gt;0,INDEX(rLim_ADM,$AL246),"")</f>
        <v/>
      </c>
      <c r="G246" s="59" t="n"/>
      <c r="H246" s="60" t="n"/>
      <c r="I246" s="60" t="n"/>
      <c r="J246" s="60" t="n"/>
      <c r="K246" s="60" t="n"/>
      <c r="L246" s="60" t="n"/>
      <c r="M246" s="61">
        <f>IF(NOT((COUNTA($B246:$D246)+COUNTA($G246:$L246)+COUNTA($Q246))&gt;0),"",IF($V246="Sub",IFERROR($X246/INDEX($W$5:$W$1000,$U246-4),""),IF(ISNUMBER($G246),1,IF(N($W246)&gt;0,AVERAGEIFS($X$5:$X$1000,$U$5:$U$1000,ROW(),$V$5:$V$1000,"Sub"),$X246))))</f>
        <v/>
      </c>
      <c r="N246" s="56">
        <f>IF(OR($M246="",$V246="Sub"),"",IF($M246&gt;=1,"Completado",IF($M246&gt;0,"En curso","Pendiente")))</f>
        <v/>
      </c>
      <c r="O246" s="56">
        <f>IF(OR(NOT((COUNTA($B246:$D246)+COUNTA($G246:$L246)+COUNTA($Q246))&gt;0),$V246="Sub"),"",IF(ISNUMBER($G246),IF(AND(ISNUMBER($AN246),$G246&gt;$AN246),"Cumplida con "&amp;($G246-$AN246)&amp;IF($G246-$AN246=1," día"," días")&amp;" de retraso","Cumplida"),IF(N($M246)&gt;=1,"Cumplida",IF(NOT(ISNUMBER($AN246)),"Sin fecha límite",IF($AN246&lt;FechaRef,"Vencida hace "&amp;(FechaRef-$AN246)&amp;IF(FechaRef-$AN246=1," día"," días"),IF($AN246=FechaRef,"Vence hoy",IF($AN246-FechaRef&lt;=DiasAlerta,"Vence en "&amp;($AN246-FechaRef)&amp;IF($AN246-FechaRef=1," día"," días"),"En plazo")))))))</f>
        <v/>
      </c>
      <c r="P246" s="62" t="n"/>
      <c r="Q246" s="58" t="n"/>
      <c r="R246" s="63">
        <f>IF(NOT((COUNTA($B246:$D246)+COUNTA($G246:$L246)+COUNTA($Q246))&gt;0),"",IF((IF($C246="","Falta el nombre de la actividad"&amp;" · ","")&amp;IF(AND($V246="Sub",N($U246)=0),"Subactividad sin macroactividad arriba"&amp;" · ","")&amp;IF($AM246="","Sin fecha de inicio"&amp;" · ","")&amp;IF($AN246="","Sin fecha límite"&amp;" · ","")&amp;IF(AND(LEFT($C246,11)="[Jefatura] ",N($AL246)=0),"No se encuentra en la hoja de la jefatura (elíjala de nuevo en la lista)"&amp;" · ","")&amp;IF(OR(AND($E246&lt;&gt;"",NOT(ISNUMBER($E246))),AND($F246&lt;&gt;"",NOT(ISNUMBER($F246))),AND($G246&lt;&gt;"",NOT(ISNUMBER($G246)))),"Fecha no válida"&amp;" · ","")&amp;IF(AND(ISNUMBER($AM246),ISNUMBER($AN246),$AM246&gt;$AN246),"Inicio posterior a fecha límite"&amp;" · ","")&amp;IF(AND($V246="Macro",$H246&lt;&gt;"",OR(NOT(ISNUMBER($H246)),$H246&lt;0,$H246&gt;1)),"Peso fuera de rango"&amp;" · ","")&amp;IF(AND($V246="Sub",$H246&lt;&gt;""),"Las subactividades no llevan peso (valen igual dentro de su macroactividad)"&amp;" · ","")&amp;IF(AND(N($W246)&gt;0,COUNT($I246:$L246)&gt;0),"Con subactividades: deje vacías las semanas (se calculan solas)"&amp;" · ","")&amp;IF((COUNTIF($I246:$L246,"&gt;1")+COUNTIF($I246:$L246,"&lt;0")+COUNTA($I246:$L246)-COUNT($I246:$L246))&gt;0,"Avance fuera de rango 0-100%"&amp;" · ","")&amp;IF(OR(AND($J246&lt;&gt;"",$J246&lt;$I246),AND($K246&lt;&gt;"",$K246&lt;MAX($I246:$J246)),AND($L246&lt;&gt;"",$L246&lt;MAX($I246:$K246))),"Avance semanal decreciente"&amp;" · ","")&amp;IF(AND(ISNUMBER($AN246),$AN246&lt;FechaRef,IF($V246="Sub",N($X246),N($M246))&lt;1),"Vencida"&amp;" · ","")&amp;IF(AND(ObsObligatoria="Sí",ISNUMBER($AN246),$AN246&lt;FechaRef,IF($V246="Sub",N($X246),N($M246))&lt;1,$Q246=""),"Vencida sin observación"&amp;" · ",""))="","✔ OK","⚠ "&amp;LEFT(IF($C246="","Falta el nombre de la actividad"&amp;" · ","")&amp;IF(AND($V246="Sub",N($U246)=0),"Subactividad sin macroactividad arriba"&amp;" · ","")&amp;IF($AM246="","Sin fecha de inicio"&amp;" · ","")&amp;IF($AN246="","Sin fecha límite"&amp;" · ","")&amp;IF(AND(LEFT($C246,11)="[Jefatura] ",N($AL246)=0),"No se encuentra en la hoja de la jefatura (elíjala de nuevo en la lista)"&amp;" · ","")&amp;IF(OR(AND($E246&lt;&gt;"",NOT(ISNUMBER($E246))),AND($F246&lt;&gt;"",NOT(ISNUMBER($F246))),AND($G246&lt;&gt;"",NOT(ISNUMBER($G246)))),"Fecha no válida"&amp;" · ","")&amp;IF(AND(ISNUMBER($AM246),ISNUMBER($AN246),$AM246&gt;$AN246),"Inicio posterior a fecha límite"&amp;" · ","")&amp;IF(AND($V246="Macro",$H246&lt;&gt;"",OR(NOT(ISNUMBER($H246)),$H246&lt;0,$H246&gt;1)),"Peso fuera de rango"&amp;" · ","")&amp;IF(AND($V246="Sub",$H246&lt;&gt;""),"Las subactividades no llevan peso (valen igual dentro de su macroactividad)"&amp;" · ","")&amp;IF(AND(N($W246)&gt;0,COUNT($I246:$L246)&gt;0),"Con subactividades: deje vacías las semanas (se calculan solas)"&amp;" · ","")&amp;IF((COUNTIF($I246:$L246,"&gt;1")+COUNTIF($I246:$L246,"&lt;0")+COUNTA($I246:$L246)-COUNT($I246:$L246))&gt;0,"Avance fuera de rango 0-100%"&amp;" · ","")&amp;IF(OR(AND($J246&lt;&gt;"",$J246&lt;$I246),AND($K246&lt;&gt;"",$K246&lt;MAX($I246:$J246)),AND($L246&lt;&gt;"",$L246&lt;MAX($I246:$K246))),"Avance semanal decreciente"&amp;" · ","")&amp;IF(AND(ISNUMBER($AN246),$AN246&lt;FechaRef,IF($V246="Sub",N($X246),N($M246))&lt;1),"Vencida"&amp;" · ","")&amp;IF(AND(ObsObligatoria="Sí",ISNUMBER($AN246),$AN246&lt;FechaRef,IF($V246="Sub",N($X246),N($M246))&lt;1,$Q246=""),"Vencida sin observación"&amp;" · ",""),LEN(IF($C246="","Falta el nombre de la actividad"&amp;" · ","")&amp;IF(AND($V246="Sub",N($U246)=0),"Subactividad sin macroactividad arriba"&amp;" · ","")&amp;IF($AM246="","Sin fecha de inicio"&amp;" · ","")&amp;IF($AN246="","Sin fecha límite"&amp;" · ","")&amp;IF(AND(LEFT($C246,11)="[Jefatura] ",N($AL246)=0),"No se encuentra en la hoja de la jefatura (elíjala de nuevo en la lista)"&amp;" · ","")&amp;IF(OR(AND($E246&lt;&gt;"",NOT(ISNUMBER($E246))),AND($F246&lt;&gt;"",NOT(ISNUMBER($F246))),AND($G246&lt;&gt;"",NOT(ISNUMBER($G246)))),"Fecha no válida"&amp;" · ","")&amp;IF(AND(ISNUMBER($AM246),ISNUMBER($AN246),$AM246&gt;$AN246),"Inicio posterior a fecha límite"&amp;" · ","")&amp;IF(AND($V246="Macro",$H246&lt;&gt;"",OR(NOT(ISNUMBER($H246)),$H246&lt;0,$H246&gt;1)),"Peso fuera de rango"&amp;" · ","")&amp;IF(AND($V246="Sub",$H246&lt;&gt;""),"Las subactividades no llevan peso (valen igual dentro de su macroactividad)"&amp;" · ","")&amp;IF(AND(N($W246)&gt;0,COUNT($I246:$L246)&gt;0),"Con subactividades: deje vacías las semanas (se calculan solas)"&amp;" · ","")&amp;IF((COUNTIF($I246:$L246,"&gt;1")+COUNTIF($I246:$L246,"&lt;0")+COUNTA($I246:$L246)-COUNT($I246:$L246))&gt;0,"Avance fuera de rango 0-100%"&amp;" · ","")&amp;IF(OR(AND($J246&lt;&gt;"",$J246&lt;$I246),AND($K246&lt;&gt;"",$K246&lt;MAX($I246:$J246)),AND($L246&lt;&gt;"",$L246&lt;MAX($I246:$K246))),"Avance semanal decreciente"&amp;" · ","")&amp;IF(AND(ISNUMBER($AN246),$AN246&lt;FechaRef,IF($V246="Sub",N($X246),N($M246))&lt;1),"Vencida"&amp;" · ","")&amp;IF(AND(ObsObligatoria="Sí",ISNUMBER($AN246),$AN246&lt;FechaRef,IF($V246="Sub",N($X246),N($M246))&lt;1,$Q246=""),"Vencida sin observación"&amp;" · ",""))-3)))</f>
        <v/>
      </c>
      <c r="S246" s="64">
        <f>IF(NOT((COUNTA($B246:$D246)+COUNTA($G246:$L246)+COUNTA($Q246))&gt;0),"",IF(AND($V246="Sub",N($U246)&gt;0),IF(ISNUMBER(INDEX($AM$5:$AM$1000,$U246-4)),DATE(YEAR(INDEX($AM$5:$AM$1000,$U246-4)),MONTH(INDEX($AM$5:$AM$1000,$U246-4)),1),IF(ISNUMBER(INDEX($AN$5:$AN$1000,$U246-4)),DATE(YEAR(INDEX($AN$5:$AN$1000,$U246-4)),MONTH(INDEX($AN$5:$AN$1000,$U246-4)),1),MesCiclo)),IF(ISNUMBER($AM246),DATE(YEAR($AM246),MONTH($AM246),1),IF(ISNUMBER($AN246),DATE(YEAR($AN246),MONTH($AN246),1),MesCiclo))))</f>
        <v/>
      </c>
      <c r="T246" s="62">
        <f>IF(OR($S246="",$S246&lt;&gt;MesCiclo,$V246&lt;&gt;"Macro"),"",COUNTIFS($S$5:$S246,MesCiclo,$V$5:$V246,"Macro"))</f>
        <v/>
      </c>
      <c r="U246" s="62">
        <f>IF($V246="","",IF($V246="Macro",ROW(),IFERROR(LOOKUP(2,1/($V$5:$V246="Macro"),ROW($V$5:$V246)),0)))</f>
        <v/>
      </c>
      <c r="V246" s="62">
        <f>IF(NOT((COUNTA($B246:$D246)+COUNTA($G246:$L246)+COUNTA($Q246))&gt;0),"",IF($B246="Subactividad","Sub","Macro"))</f>
        <v/>
      </c>
      <c r="W246" s="62">
        <f>IF($V246="Macro",COUNTIFS($U$5:$U$1000,ROW(),$V$5:$V$1000,"Sub"),"")</f>
        <v/>
      </c>
      <c r="X246" s="62">
        <f>IF($V246="","",IF(ISNUMBER($G246),1,IFERROR(LOOKUP(2,1/($I246:$L246&lt;&gt;""),$I246:$L246),0)))</f>
        <v/>
      </c>
      <c r="Y246" s="62">
        <f>IF($V246="","",IF(AND(ISNUMBER($G246),$G246&lt;=IF($S246=MesCiclo,InicioCiclo,$S246+MOD(2-WEEKDAY($S246),7))+6),1,IF(ISNUMBER($I246),$I246,0)))</f>
        <v/>
      </c>
      <c r="Z246" s="62">
        <f>IF($V246="","",IF(AND(ISNUMBER($G246),$G246&lt;=IF($S246=MesCiclo,InicioCiclo,$S246+MOD(2-WEEKDAY($S246),7))+13),1,IF(ISNUMBER($J246),$J246,$Y246)))</f>
        <v/>
      </c>
      <c r="AA246" s="62">
        <f>IF($V246="","",IF(AND(ISNUMBER($G246),$G246&lt;=IF($S246=MesCiclo,InicioCiclo,$S246+MOD(2-WEEKDAY($S246),7))+20),1,IF(ISNUMBER($K246),$K246,$Z246)))</f>
        <v/>
      </c>
      <c r="AB246" s="62">
        <f>IF($V246="","",IF(AND(ISNUMBER($G246),$G246&lt;=IF($S246=MesCiclo,InicioCiclo,$S246+MOD(2-WEEKDAY($S246),7))+27),1,IF(ISNUMBER($L246),$L246,$AA246)))</f>
        <v/>
      </c>
      <c r="AC246" s="62">
        <f>IF($V246="","",IF(AND(ISNUMBER($G246),$G246&lt;=IF($S246=MesCiclo,InicioCiclo,$S246+MOD(2-WEEKDAY($S246),7))+6),1,IF(N($W246)&gt;0,AVERAGEIFS($Y$5:$Y$1000,$U$5:$U$1000,ROW(),$V$5:$V$1000,"Sub"),$Y246)))</f>
        <v/>
      </c>
      <c r="AD246" s="62">
        <f>IF($V246="","",IF(AND(ISNUMBER($G246),$G246&lt;=IF($S246=MesCiclo,InicioCiclo,$S246+MOD(2-WEEKDAY($S246),7))+13),1,IF(N($W246)&gt;0,AVERAGEIFS($Z$5:$Z$1000,$U$5:$U$1000,ROW(),$V$5:$V$1000,"Sub"),$Z246)))</f>
        <v/>
      </c>
      <c r="AE246" s="62">
        <f>IF($V246="","",IF(AND(ISNUMBER($G246),$G246&lt;=IF($S246=MesCiclo,InicioCiclo,$S246+MOD(2-WEEKDAY($S246),7))+20),1,IF(N($W246)&gt;0,AVERAGEIFS($AA$5:$AA$1000,$U$5:$U$1000,ROW(),$V$5:$V$1000,"Sub"),$AA246)))</f>
        <v/>
      </c>
      <c r="AF246" s="62">
        <f>IF($V246="","",IF(AND(ISNUMBER($G246),$G246&lt;=IF($S246=MesCiclo,InicioCiclo,$S246+MOD(2-WEEKDAY($S246),7))+27),1,IF(N($W246)&gt;0,AVERAGEIFS($AB$5:$AB$1000,$U$5:$U$1000,ROW(),$V$5:$V$1000,"Sub"),$AB246)))</f>
        <v/>
      </c>
      <c r="AG246" s="62">
        <f>IF($V246&lt;&gt;"Macro","",IF(COUNTIFS($S$5:$S$1000,$S246,$V$5:$V$1000,"Macro",$H$5:$H$1000,"&gt;0")=0,1/COUNTIFS($S$5:$S$1000,$S246,$V$5:$V$1000,"Macro"),IF(AND(ISNUMBER($H246),N($H246)&gt;0),$H246,SUMIFS($H$5:$H$1000,$S$5:$S$1000,$S246,$V$5:$V$1000,"Macro")/COUNTIFS($S$5:$S$1000,$S246,$V$5:$V$1000,"Macro",$H$5:$H$1000,"&gt;0"))/(COUNTIFS($S$5:$S$1000,$S246,$V$5:$V$1000,"Macro")*SUMIFS($H$5:$H$1000,$S$5:$S$1000,$S246,$V$5:$V$1000,"Macro")/COUNTIFS($S$5:$S$1000,$S246,$V$5:$V$1000,"Macro",$H$5:$H$1000,"&gt;0"))))</f>
        <v/>
      </c>
      <c r="AH246" s="62" t="n"/>
      <c r="AI246" s="62" t="n"/>
      <c r="AJ246" s="62" t="n"/>
      <c r="AK246" s="62" t="n"/>
      <c r="AL246" s="62">
        <f>IF(LEFT($C246,11)="[Jefatura] ",IFERROR(MATCH("Riesgo Normativo|"&amp;MID($C246,12,500),rDname_ADM,0),0),"")</f>
        <v/>
      </c>
      <c r="AM246" s="62">
        <f>IF(N($AL246)&gt;0,INDEX(rIni_ADM,$AL246),IF(ISNUMBER($E246),$E246,""))</f>
        <v/>
      </c>
      <c r="AN246" s="62">
        <f>IF(N($AL246)&gt;0,INDEX(rLim_ADM,$AL246),IF(ISNUMBER($F246),$F246,""))</f>
        <v/>
      </c>
    </row>
    <row r="247">
      <c r="A247" s="56">
        <f>IF(NOT((COUNTA($B247:$D247)+COUNTA($G247:$L247)+COUNTA($Q247))&gt;0),"",IF($V247="Macro",COUNTIFS($V$5:$V247,"Macro",$S$5:$S247,$S247),IF(N($U247)=0,"?",COUNTIFS(INDEX($V$5:$V$1000,1):INDEX($V$5:$V$1000,$U247-4),"Macro",INDEX($S$5:$S$1000,1):INDEX($S$5:$S$1000,$U247-4),INDEX($S$5:$S$1000,$U247-4))&amp;"."&amp;COUNTIFS($U$5:$U247,$U247,$V$5:$V247,"Sub"))))</f>
        <v/>
      </c>
      <c r="B247" s="57" t="n"/>
      <c r="C247" s="58" t="n"/>
      <c r="D247" s="58" t="n"/>
      <c r="E247" s="59">
        <f>IF(N($AL247)&gt;0,INDEX(rIni_ADM,$AL247),"")</f>
        <v/>
      </c>
      <c r="F247" s="59">
        <f>IF(N($AL247)&gt;0,INDEX(rLim_ADM,$AL247),"")</f>
        <v/>
      </c>
      <c r="G247" s="59" t="n"/>
      <c r="H247" s="60" t="n"/>
      <c r="I247" s="60" t="n"/>
      <c r="J247" s="60" t="n"/>
      <c r="K247" s="60" t="n"/>
      <c r="L247" s="60" t="n"/>
      <c r="M247" s="61">
        <f>IF(NOT((COUNTA($B247:$D247)+COUNTA($G247:$L247)+COUNTA($Q247))&gt;0),"",IF($V247="Sub",IFERROR($X247/INDEX($W$5:$W$1000,$U247-4),""),IF(ISNUMBER($G247),1,IF(N($W247)&gt;0,AVERAGEIFS($X$5:$X$1000,$U$5:$U$1000,ROW(),$V$5:$V$1000,"Sub"),$X247))))</f>
        <v/>
      </c>
      <c r="N247" s="56">
        <f>IF(OR($M247="",$V247="Sub"),"",IF($M247&gt;=1,"Completado",IF($M247&gt;0,"En curso","Pendiente")))</f>
        <v/>
      </c>
      <c r="O247" s="56">
        <f>IF(OR(NOT((COUNTA($B247:$D247)+COUNTA($G247:$L247)+COUNTA($Q247))&gt;0),$V247="Sub"),"",IF(ISNUMBER($G247),IF(AND(ISNUMBER($AN247),$G247&gt;$AN247),"Cumplida con "&amp;($G247-$AN247)&amp;IF($G247-$AN247=1," día"," días")&amp;" de retraso","Cumplida"),IF(N($M247)&gt;=1,"Cumplida",IF(NOT(ISNUMBER($AN247)),"Sin fecha límite",IF($AN247&lt;FechaRef,"Vencida hace "&amp;(FechaRef-$AN247)&amp;IF(FechaRef-$AN247=1," día"," días"),IF($AN247=FechaRef,"Vence hoy",IF($AN247-FechaRef&lt;=DiasAlerta,"Vence en "&amp;($AN247-FechaRef)&amp;IF($AN247-FechaRef=1," día"," días"),"En plazo")))))))</f>
        <v/>
      </c>
      <c r="P247" s="62" t="n"/>
      <c r="Q247" s="58" t="n"/>
      <c r="R247" s="63">
        <f>IF(NOT((COUNTA($B247:$D247)+COUNTA($G247:$L247)+COUNTA($Q247))&gt;0),"",IF((IF($C247="","Falta el nombre de la actividad"&amp;" · ","")&amp;IF(AND($V247="Sub",N($U247)=0),"Subactividad sin macroactividad arriba"&amp;" · ","")&amp;IF($AM247="","Sin fecha de inicio"&amp;" · ","")&amp;IF($AN247="","Sin fecha límite"&amp;" · ","")&amp;IF(AND(LEFT($C247,11)="[Jefatura] ",N($AL247)=0),"No se encuentra en la hoja de la jefatura (elíjala de nuevo en la lista)"&amp;" · ","")&amp;IF(OR(AND($E247&lt;&gt;"",NOT(ISNUMBER($E247))),AND($F247&lt;&gt;"",NOT(ISNUMBER($F247))),AND($G247&lt;&gt;"",NOT(ISNUMBER($G247)))),"Fecha no válida"&amp;" · ","")&amp;IF(AND(ISNUMBER($AM247),ISNUMBER($AN247),$AM247&gt;$AN247),"Inicio posterior a fecha límite"&amp;" · ","")&amp;IF(AND($V247="Macro",$H247&lt;&gt;"",OR(NOT(ISNUMBER($H247)),$H247&lt;0,$H247&gt;1)),"Peso fuera de rango"&amp;" · ","")&amp;IF(AND($V247="Sub",$H247&lt;&gt;""),"Las subactividades no llevan peso (valen igual dentro de su macroactividad)"&amp;" · ","")&amp;IF(AND(N($W247)&gt;0,COUNT($I247:$L247)&gt;0),"Con subactividades: deje vacías las semanas (se calculan solas)"&amp;" · ","")&amp;IF((COUNTIF($I247:$L247,"&gt;1")+COUNTIF($I247:$L247,"&lt;0")+COUNTA($I247:$L247)-COUNT($I247:$L247))&gt;0,"Avance fuera de rango 0-100%"&amp;" · ","")&amp;IF(OR(AND($J247&lt;&gt;"",$J247&lt;$I247),AND($K247&lt;&gt;"",$K247&lt;MAX($I247:$J247)),AND($L247&lt;&gt;"",$L247&lt;MAX($I247:$K247))),"Avance semanal decreciente"&amp;" · ","")&amp;IF(AND(ISNUMBER($AN247),$AN247&lt;FechaRef,IF($V247="Sub",N($X247),N($M247))&lt;1),"Vencida"&amp;" · ","")&amp;IF(AND(ObsObligatoria="Sí",ISNUMBER($AN247),$AN247&lt;FechaRef,IF($V247="Sub",N($X247),N($M247))&lt;1,$Q247=""),"Vencida sin observación"&amp;" · ",""))="","✔ OK","⚠ "&amp;LEFT(IF($C247="","Falta el nombre de la actividad"&amp;" · ","")&amp;IF(AND($V247="Sub",N($U247)=0),"Subactividad sin macroactividad arriba"&amp;" · ","")&amp;IF($AM247="","Sin fecha de inicio"&amp;" · ","")&amp;IF($AN247="","Sin fecha límite"&amp;" · ","")&amp;IF(AND(LEFT($C247,11)="[Jefatura] ",N($AL247)=0),"No se encuentra en la hoja de la jefatura (elíjala de nuevo en la lista)"&amp;" · ","")&amp;IF(OR(AND($E247&lt;&gt;"",NOT(ISNUMBER($E247))),AND($F247&lt;&gt;"",NOT(ISNUMBER($F247))),AND($G247&lt;&gt;"",NOT(ISNUMBER($G247)))),"Fecha no válida"&amp;" · ","")&amp;IF(AND(ISNUMBER($AM247),ISNUMBER($AN247),$AM247&gt;$AN247),"Inicio posterior a fecha límite"&amp;" · ","")&amp;IF(AND($V247="Macro",$H247&lt;&gt;"",OR(NOT(ISNUMBER($H247)),$H247&lt;0,$H247&gt;1)),"Peso fuera de rango"&amp;" · ","")&amp;IF(AND($V247="Sub",$H247&lt;&gt;""),"Las subactividades no llevan peso (valen igual dentro de su macroactividad)"&amp;" · ","")&amp;IF(AND(N($W247)&gt;0,COUNT($I247:$L247)&gt;0),"Con subactividades: deje vacías las semanas (se calculan solas)"&amp;" · ","")&amp;IF((COUNTIF($I247:$L247,"&gt;1")+COUNTIF($I247:$L247,"&lt;0")+COUNTA($I247:$L247)-COUNT($I247:$L247))&gt;0,"Avance fuera de rango 0-100%"&amp;" · ","")&amp;IF(OR(AND($J247&lt;&gt;"",$J247&lt;$I247),AND($K247&lt;&gt;"",$K247&lt;MAX($I247:$J247)),AND($L247&lt;&gt;"",$L247&lt;MAX($I247:$K247))),"Avance semanal decreciente"&amp;" · ","")&amp;IF(AND(ISNUMBER($AN247),$AN247&lt;FechaRef,IF($V247="Sub",N($X247),N($M247))&lt;1),"Vencida"&amp;" · ","")&amp;IF(AND(ObsObligatoria="Sí",ISNUMBER($AN247),$AN247&lt;FechaRef,IF($V247="Sub",N($X247),N($M247))&lt;1,$Q247=""),"Vencida sin observación"&amp;" · ",""),LEN(IF($C247="","Falta el nombre de la actividad"&amp;" · ","")&amp;IF(AND($V247="Sub",N($U247)=0),"Subactividad sin macroactividad arriba"&amp;" · ","")&amp;IF($AM247="","Sin fecha de inicio"&amp;" · ","")&amp;IF($AN247="","Sin fecha límite"&amp;" · ","")&amp;IF(AND(LEFT($C247,11)="[Jefatura] ",N($AL247)=0),"No se encuentra en la hoja de la jefatura (elíjala de nuevo en la lista)"&amp;" · ","")&amp;IF(OR(AND($E247&lt;&gt;"",NOT(ISNUMBER($E247))),AND($F247&lt;&gt;"",NOT(ISNUMBER($F247))),AND($G247&lt;&gt;"",NOT(ISNUMBER($G247)))),"Fecha no válida"&amp;" · ","")&amp;IF(AND(ISNUMBER($AM247),ISNUMBER($AN247),$AM247&gt;$AN247),"Inicio posterior a fecha límite"&amp;" · ","")&amp;IF(AND($V247="Macro",$H247&lt;&gt;"",OR(NOT(ISNUMBER($H247)),$H247&lt;0,$H247&gt;1)),"Peso fuera de rango"&amp;" · ","")&amp;IF(AND($V247="Sub",$H247&lt;&gt;""),"Las subactividades no llevan peso (valen igual dentro de su macroactividad)"&amp;" · ","")&amp;IF(AND(N($W247)&gt;0,COUNT($I247:$L247)&gt;0),"Con subactividades: deje vacías las semanas (se calculan solas)"&amp;" · ","")&amp;IF((COUNTIF($I247:$L247,"&gt;1")+COUNTIF($I247:$L247,"&lt;0")+COUNTA($I247:$L247)-COUNT($I247:$L247))&gt;0,"Avance fuera de rango 0-100%"&amp;" · ","")&amp;IF(OR(AND($J247&lt;&gt;"",$J247&lt;$I247),AND($K247&lt;&gt;"",$K247&lt;MAX($I247:$J247)),AND($L247&lt;&gt;"",$L247&lt;MAX($I247:$K247))),"Avance semanal decreciente"&amp;" · ","")&amp;IF(AND(ISNUMBER($AN247),$AN247&lt;FechaRef,IF($V247="Sub",N($X247),N($M247))&lt;1),"Vencida"&amp;" · ","")&amp;IF(AND(ObsObligatoria="Sí",ISNUMBER($AN247),$AN247&lt;FechaRef,IF($V247="Sub",N($X247),N($M247))&lt;1,$Q247=""),"Vencida sin observación"&amp;" · ",""))-3)))</f>
        <v/>
      </c>
      <c r="S247" s="64">
        <f>IF(NOT((COUNTA($B247:$D247)+COUNTA($G247:$L247)+COUNTA($Q247))&gt;0),"",IF(AND($V247="Sub",N($U247)&gt;0),IF(ISNUMBER(INDEX($AM$5:$AM$1000,$U247-4)),DATE(YEAR(INDEX($AM$5:$AM$1000,$U247-4)),MONTH(INDEX($AM$5:$AM$1000,$U247-4)),1),IF(ISNUMBER(INDEX($AN$5:$AN$1000,$U247-4)),DATE(YEAR(INDEX($AN$5:$AN$1000,$U247-4)),MONTH(INDEX($AN$5:$AN$1000,$U247-4)),1),MesCiclo)),IF(ISNUMBER($AM247),DATE(YEAR($AM247),MONTH($AM247),1),IF(ISNUMBER($AN247),DATE(YEAR($AN247),MONTH($AN247),1),MesCiclo))))</f>
        <v/>
      </c>
      <c r="T247" s="62">
        <f>IF(OR($S247="",$S247&lt;&gt;MesCiclo,$V247&lt;&gt;"Macro"),"",COUNTIFS($S$5:$S247,MesCiclo,$V$5:$V247,"Macro"))</f>
        <v/>
      </c>
      <c r="U247" s="62">
        <f>IF($V247="","",IF($V247="Macro",ROW(),IFERROR(LOOKUP(2,1/($V$5:$V247="Macro"),ROW($V$5:$V247)),0)))</f>
        <v/>
      </c>
      <c r="V247" s="62">
        <f>IF(NOT((COUNTA($B247:$D247)+COUNTA($G247:$L247)+COUNTA($Q247))&gt;0),"",IF($B247="Subactividad","Sub","Macro"))</f>
        <v/>
      </c>
      <c r="W247" s="62">
        <f>IF($V247="Macro",COUNTIFS($U$5:$U$1000,ROW(),$V$5:$V$1000,"Sub"),"")</f>
        <v/>
      </c>
      <c r="X247" s="62">
        <f>IF($V247="","",IF(ISNUMBER($G247),1,IFERROR(LOOKUP(2,1/($I247:$L247&lt;&gt;""),$I247:$L247),0)))</f>
        <v/>
      </c>
      <c r="Y247" s="62">
        <f>IF($V247="","",IF(AND(ISNUMBER($G247),$G247&lt;=IF($S247=MesCiclo,InicioCiclo,$S247+MOD(2-WEEKDAY($S247),7))+6),1,IF(ISNUMBER($I247),$I247,0)))</f>
        <v/>
      </c>
      <c r="Z247" s="62">
        <f>IF($V247="","",IF(AND(ISNUMBER($G247),$G247&lt;=IF($S247=MesCiclo,InicioCiclo,$S247+MOD(2-WEEKDAY($S247),7))+13),1,IF(ISNUMBER($J247),$J247,$Y247)))</f>
        <v/>
      </c>
      <c r="AA247" s="62">
        <f>IF($V247="","",IF(AND(ISNUMBER($G247),$G247&lt;=IF($S247=MesCiclo,InicioCiclo,$S247+MOD(2-WEEKDAY($S247),7))+20),1,IF(ISNUMBER($K247),$K247,$Z247)))</f>
        <v/>
      </c>
      <c r="AB247" s="62">
        <f>IF($V247="","",IF(AND(ISNUMBER($G247),$G247&lt;=IF($S247=MesCiclo,InicioCiclo,$S247+MOD(2-WEEKDAY($S247),7))+27),1,IF(ISNUMBER($L247),$L247,$AA247)))</f>
        <v/>
      </c>
      <c r="AC247" s="62">
        <f>IF($V247="","",IF(AND(ISNUMBER($G247),$G247&lt;=IF($S247=MesCiclo,InicioCiclo,$S247+MOD(2-WEEKDAY($S247),7))+6),1,IF(N($W247)&gt;0,AVERAGEIFS($Y$5:$Y$1000,$U$5:$U$1000,ROW(),$V$5:$V$1000,"Sub"),$Y247)))</f>
        <v/>
      </c>
      <c r="AD247" s="62">
        <f>IF($V247="","",IF(AND(ISNUMBER($G247),$G247&lt;=IF($S247=MesCiclo,InicioCiclo,$S247+MOD(2-WEEKDAY($S247),7))+13),1,IF(N($W247)&gt;0,AVERAGEIFS($Z$5:$Z$1000,$U$5:$U$1000,ROW(),$V$5:$V$1000,"Sub"),$Z247)))</f>
        <v/>
      </c>
      <c r="AE247" s="62">
        <f>IF($V247="","",IF(AND(ISNUMBER($G247),$G247&lt;=IF($S247=MesCiclo,InicioCiclo,$S247+MOD(2-WEEKDAY($S247),7))+20),1,IF(N($W247)&gt;0,AVERAGEIFS($AA$5:$AA$1000,$U$5:$U$1000,ROW(),$V$5:$V$1000,"Sub"),$AA247)))</f>
        <v/>
      </c>
      <c r="AF247" s="62">
        <f>IF($V247="","",IF(AND(ISNUMBER($G247),$G247&lt;=IF($S247=MesCiclo,InicioCiclo,$S247+MOD(2-WEEKDAY($S247),7))+27),1,IF(N($W247)&gt;0,AVERAGEIFS($AB$5:$AB$1000,$U$5:$U$1000,ROW(),$V$5:$V$1000,"Sub"),$AB247)))</f>
        <v/>
      </c>
      <c r="AG247" s="62">
        <f>IF($V247&lt;&gt;"Macro","",IF(COUNTIFS($S$5:$S$1000,$S247,$V$5:$V$1000,"Macro",$H$5:$H$1000,"&gt;0")=0,1/COUNTIFS($S$5:$S$1000,$S247,$V$5:$V$1000,"Macro"),IF(AND(ISNUMBER($H247),N($H247)&gt;0),$H247,SUMIFS($H$5:$H$1000,$S$5:$S$1000,$S247,$V$5:$V$1000,"Macro")/COUNTIFS($S$5:$S$1000,$S247,$V$5:$V$1000,"Macro",$H$5:$H$1000,"&gt;0"))/(COUNTIFS($S$5:$S$1000,$S247,$V$5:$V$1000,"Macro")*SUMIFS($H$5:$H$1000,$S$5:$S$1000,$S247,$V$5:$V$1000,"Macro")/COUNTIFS($S$5:$S$1000,$S247,$V$5:$V$1000,"Macro",$H$5:$H$1000,"&gt;0"))))</f>
        <v/>
      </c>
      <c r="AH247" s="62" t="n"/>
      <c r="AI247" s="62" t="n"/>
      <c r="AJ247" s="62" t="n"/>
      <c r="AK247" s="62" t="n"/>
      <c r="AL247" s="62">
        <f>IF(LEFT($C247,11)="[Jefatura] ",IFERROR(MATCH("Riesgo Normativo|"&amp;MID($C247,12,500),rDname_ADM,0),0),"")</f>
        <v/>
      </c>
      <c r="AM247" s="62">
        <f>IF(N($AL247)&gt;0,INDEX(rIni_ADM,$AL247),IF(ISNUMBER($E247),$E247,""))</f>
        <v/>
      </c>
      <c r="AN247" s="62">
        <f>IF(N($AL247)&gt;0,INDEX(rLim_ADM,$AL247),IF(ISNUMBER($F247),$F247,""))</f>
        <v/>
      </c>
    </row>
    <row r="248">
      <c r="A248" s="56">
        <f>IF(NOT((COUNTA($B248:$D248)+COUNTA($G248:$L248)+COUNTA($Q248))&gt;0),"",IF($V248="Macro",COUNTIFS($V$5:$V248,"Macro",$S$5:$S248,$S248),IF(N($U248)=0,"?",COUNTIFS(INDEX($V$5:$V$1000,1):INDEX($V$5:$V$1000,$U248-4),"Macro",INDEX($S$5:$S$1000,1):INDEX($S$5:$S$1000,$U248-4),INDEX($S$5:$S$1000,$U248-4))&amp;"."&amp;COUNTIFS($U$5:$U248,$U248,$V$5:$V248,"Sub"))))</f>
        <v/>
      </c>
      <c r="B248" s="57" t="n"/>
      <c r="C248" s="58" t="n"/>
      <c r="D248" s="58" t="n"/>
      <c r="E248" s="59">
        <f>IF(N($AL248)&gt;0,INDEX(rIni_ADM,$AL248),"")</f>
        <v/>
      </c>
      <c r="F248" s="59">
        <f>IF(N($AL248)&gt;0,INDEX(rLim_ADM,$AL248),"")</f>
        <v/>
      </c>
      <c r="G248" s="59" t="n"/>
      <c r="H248" s="60" t="n"/>
      <c r="I248" s="60" t="n"/>
      <c r="J248" s="60" t="n"/>
      <c r="K248" s="60" t="n"/>
      <c r="L248" s="60" t="n"/>
      <c r="M248" s="61">
        <f>IF(NOT((COUNTA($B248:$D248)+COUNTA($G248:$L248)+COUNTA($Q248))&gt;0),"",IF($V248="Sub",IFERROR($X248/INDEX($W$5:$W$1000,$U248-4),""),IF(ISNUMBER($G248),1,IF(N($W248)&gt;0,AVERAGEIFS($X$5:$X$1000,$U$5:$U$1000,ROW(),$V$5:$V$1000,"Sub"),$X248))))</f>
        <v/>
      </c>
      <c r="N248" s="56">
        <f>IF(OR($M248="",$V248="Sub"),"",IF($M248&gt;=1,"Completado",IF($M248&gt;0,"En curso","Pendiente")))</f>
        <v/>
      </c>
      <c r="O248" s="56">
        <f>IF(OR(NOT((COUNTA($B248:$D248)+COUNTA($G248:$L248)+COUNTA($Q248))&gt;0),$V248="Sub"),"",IF(ISNUMBER($G248),IF(AND(ISNUMBER($AN248),$G248&gt;$AN248),"Cumplida con "&amp;($G248-$AN248)&amp;IF($G248-$AN248=1," día"," días")&amp;" de retraso","Cumplida"),IF(N($M248)&gt;=1,"Cumplida",IF(NOT(ISNUMBER($AN248)),"Sin fecha límite",IF($AN248&lt;FechaRef,"Vencida hace "&amp;(FechaRef-$AN248)&amp;IF(FechaRef-$AN248=1," día"," días"),IF($AN248=FechaRef,"Vence hoy",IF($AN248-FechaRef&lt;=DiasAlerta,"Vence en "&amp;($AN248-FechaRef)&amp;IF($AN248-FechaRef=1," día"," días"),"En plazo")))))))</f>
        <v/>
      </c>
      <c r="P248" s="62" t="n"/>
      <c r="Q248" s="58" t="n"/>
      <c r="R248" s="63">
        <f>IF(NOT((COUNTA($B248:$D248)+COUNTA($G248:$L248)+COUNTA($Q248))&gt;0),"",IF((IF($C248="","Falta el nombre de la actividad"&amp;" · ","")&amp;IF(AND($V248="Sub",N($U248)=0),"Subactividad sin macroactividad arriba"&amp;" · ","")&amp;IF($AM248="","Sin fecha de inicio"&amp;" · ","")&amp;IF($AN248="","Sin fecha límite"&amp;" · ","")&amp;IF(AND(LEFT($C248,11)="[Jefatura] ",N($AL248)=0),"No se encuentra en la hoja de la jefatura (elíjala de nuevo en la lista)"&amp;" · ","")&amp;IF(OR(AND($E248&lt;&gt;"",NOT(ISNUMBER($E248))),AND($F248&lt;&gt;"",NOT(ISNUMBER($F248))),AND($G248&lt;&gt;"",NOT(ISNUMBER($G248)))),"Fecha no válida"&amp;" · ","")&amp;IF(AND(ISNUMBER($AM248),ISNUMBER($AN248),$AM248&gt;$AN248),"Inicio posterior a fecha límite"&amp;" · ","")&amp;IF(AND($V248="Macro",$H248&lt;&gt;"",OR(NOT(ISNUMBER($H248)),$H248&lt;0,$H248&gt;1)),"Peso fuera de rango"&amp;" · ","")&amp;IF(AND($V248="Sub",$H248&lt;&gt;""),"Las subactividades no llevan peso (valen igual dentro de su macroactividad)"&amp;" · ","")&amp;IF(AND(N($W248)&gt;0,COUNT($I248:$L248)&gt;0),"Con subactividades: deje vacías las semanas (se calculan solas)"&amp;" · ","")&amp;IF((COUNTIF($I248:$L248,"&gt;1")+COUNTIF($I248:$L248,"&lt;0")+COUNTA($I248:$L248)-COUNT($I248:$L248))&gt;0,"Avance fuera de rango 0-100%"&amp;" · ","")&amp;IF(OR(AND($J248&lt;&gt;"",$J248&lt;$I248),AND($K248&lt;&gt;"",$K248&lt;MAX($I248:$J248)),AND($L248&lt;&gt;"",$L248&lt;MAX($I248:$K248))),"Avance semanal decreciente"&amp;" · ","")&amp;IF(AND(ISNUMBER($AN248),$AN248&lt;FechaRef,IF($V248="Sub",N($X248),N($M248))&lt;1),"Vencida"&amp;" · ","")&amp;IF(AND(ObsObligatoria="Sí",ISNUMBER($AN248),$AN248&lt;FechaRef,IF($V248="Sub",N($X248),N($M248))&lt;1,$Q248=""),"Vencida sin observación"&amp;" · ",""))="","✔ OK","⚠ "&amp;LEFT(IF($C248="","Falta el nombre de la actividad"&amp;" · ","")&amp;IF(AND($V248="Sub",N($U248)=0),"Subactividad sin macroactividad arriba"&amp;" · ","")&amp;IF($AM248="","Sin fecha de inicio"&amp;" · ","")&amp;IF($AN248="","Sin fecha límite"&amp;" · ","")&amp;IF(AND(LEFT($C248,11)="[Jefatura] ",N($AL248)=0),"No se encuentra en la hoja de la jefatura (elíjala de nuevo en la lista)"&amp;" · ","")&amp;IF(OR(AND($E248&lt;&gt;"",NOT(ISNUMBER($E248))),AND($F248&lt;&gt;"",NOT(ISNUMBER($F248))),AND($G248&lt;&gt;"",NOT(ISNUMBER($G248)))),"Fecha no válida"&amp;" · ","")&amp;IF(AND(ISNUMBER($AM248),ISNUMBER($AN248),$AM248&gt;$AN248),"Inicio posterior a fecha límite"&amp;" · ","")&amp;IF(AND($V248="Macro",$H248&lt;&gt;"",OR(NOT(ISNUMBER($H248)),$H248&lt;0,$H248&gt;1)),"Peso fuera de rango"&amp;" · ","")&amp;IF(AND($V248="Sub",$H248&lt;&gt;""),"Las subactividades no llevan peso (valen igual dentro de su macroactividad)"&amp;" · ","")&amp;IF(AND(N($W248)&gt;0,COUNT($I248:$L248)&gt;0),"Con subactividades: deje vacías las semanas (se calculan solas)"&amp;" · ","")&amp;IF((COUNTIF($I248:$L248,"&gt;1")+COUNTIF($I248:$L248,"&lt;0")+COUNTA($I248:$L248)-COUNT($I248:$L248))&gt;0,"Avance fuera de rango 0-100%"&amp;" · ","")&amp;IF(OR(AND($J248&lt;&gt;"",$J248&lt;$I248),AND($K248&lt;&gt;"",$K248&lt;MAX($I248:$J248)),AND($L248&lt;&gt;"",$L248&lt;MAX($I248:$K248))),"Avance semanal decreciente"&amp;" · ","")&amp;IF(AND(ISNUMBER($AN248),$AN248&lt;FechaRef,IF($V248="Sub",N($X248),N($M248))&lt;1),"Vencida"&amp;" · ","")&amp;IF(AND(ObsObligatoria="Sí",ISNUMBER($AN248),$AN248&lt;FechaRef,IF($V248="Sub",N($X248),N($M248))&lt;1,$Q248=""),"Vencida sin observación"&amp;" · ",""),LEN(IF($C248="","Falta el nombre de la actividad"&amp;" · ","")&amp;IF(AND($V248="Sub",N($U248)=0),"Subactividad sin macroactividad arriba"&amp;" · ","")&amp;IF($AM248="","Sin fecha de inicio"&amp;" · ","")&amp;IF($AN248="","Sin fecha límite"&amp;" · ","")&amp;IF(AND(LEFT($C248,11)="[Jefatura] ",N($AL248)=0),"No se encuentra en la hoja de la jefatura (elíjala de nuevo en la lista)"&amp;" · ","")&amp;IF(OR(AND($E248&lt;&gt;"",NOT(ISNUMBER($E248))),AND($F248&lt;&gt;"",NOT(ISNUMBER($F248))),AND($G248&lt;&gt;"",NOT(ISNUMBER($G248)))),"Fecha no válida"&amp;" · ","")&amp;IF(AND(ISNUMBER($AM248),ISNUMBER($AN248),$AM248&gt;$AN248),"Inicio posterior a fecha límite"&amp;" · ","")&amp;IF(AND($V248="Macro",$H248&lt;&gt;"",OR(NOT(ISNUMBER($H248)),$H248&lt;0,$H248&gt;1)),"Peso fuera de rango"&amp;" · ","")&amp;IF(AND($V248="Sub",$H248&lt;&gt;""),"Las subactividades no llevan peso (valen igual dentro de su macroactividad)"&amp;" · ","")&amp;IF(AND(N($W248)&gt;0,COUNT($I248:$L248)&gt;0),"Con subactividades: deje vacías las semanas (se calculan solas)"&amp;" · ","")&amp;IF((COUNTIF($I248:$L248,"&gt;1")+COUNTIF($I248:$L248,"&lt;0")+COUNTA($I248:$L248)-COUNT($I248:$L248))&gt;0,"Avance fuera de rango 0-100%"&amp;" · ","")&amp;IF(OR(AND($J248&lt;&gt;"",$J248&lt;$I248),AND($K248&lt;&gt;"",$K248&lt;MAX($I248:$J248)),AND($L248&lt;&gt;"",$L248&lt;MAX($I248:$K248))),"Avance semanal decreciente"&amp;" · ","")&amp;IF(AND(ISNUMBER($AN248),$AN248&lt;FechaRef,IF($V248="Sub",N($X248),N($M248))&lt;1),"Vencida"&amp;" · ","")&amp;IF(AND(ObsObligatoria="Sí",ISNUMBER($AN248),$AN248&lt;FechaRef,IF($V248="Sub",N($X248),N($M248))&lt;1,$Q248=""),"Vencida sin observación"&amp;" · ",""))-3)))</f>
        <v/>
      </c>
      <c r="S248" s="64">
        <f>IF(NOT((COUNTA($B248:$D248)+COUNTA($G248:$L248)+COUNTA($Q248))&gt;0),"",IF(AND($V248="Sub",N($U248)&gt;0),IF(ISNUMBER(INDEX($AM$5:$AM$1000,$U248-4)),DATE(YEAR(INDEX($AM$5:$AM$1000,$U248-4)),MONTH(INDEX($AM$5:$AM$1000,$U248-4)),1),IF(ISNUMBER(INDEX($AN$5:$AN$1000,$U248-4)),DATE(YEAR(INDEX($AN$5:$AN$1000,$U248-4)),MONTH(INDEX($AN$5:$AN$1000,$U248-4)),1),MesCiclo)),IF(ISNUMBER($AM248),DATE(YEAR($AM248),MONTH($AM248),1),IF(ISNUMBER($AN248),DATE(YEAR($AN248),MONTH($AN248),1),MesCiclo))))</f>
        <v/>
      </c>
      <c r="T248" s="62">
        <f>IF(OR($S248="",$S248&lt;&gt;MesCiclo,$V248&lt;&gt;"Macro"),"",COUNTIFS($S$5:$S248,MesCiclo,$V$5:$V248,"Macro"))</f>
        <v/>
      </c>
      <c r="U248" s="62">
        <f>IF($V248="","",IF($V248="Macro",ROW(),IFERROR(LOOKUP(2,1/($V$5:$V248="Macro"),ROW($V$5:$V248)),0)))</f>
        <v/>
      </c>
      <c r="V248" s="62">
        <f>IF(NOT((COUNTA($B248:$D248)+COUNTA($G248:$L248)+COUNTA($Q248))&gt;0),"",IF($B248="Subactividad","Sub","Macro"))</f>
        <v/>
      </c>
      <c r="W248" s="62">
        <f>IF($V248="Macro",COUNTIFS($U$5:$U$1000,ROW(),$V$5:$V$1000,"Sub"),"")</f>
        <v/>
      </c>
      <c r="X248" s="62">
        <f>IF($V248="","",IF(ISNUMBER($G248),1,IFERROR(LOOKUP(2,1/($I248:$L248&lt;&gt;""),$I248:$L248),0)))</f>
        <v/>
      </c>
      <c r="Y248" s="62">
        <f>IF($V248="","",IF(AND(ISNUMBER($G248),$G248&lt;=IF($S248=MesCiclo,InicioCiclo,$S248+MOD(2-WEEKDAY($S248),7))+6),1,IF(ISNUMBER($I248),$I248,0)))</f>
        <v/>
      </c>
      <c r="Z248" s="62">
        <f>IF($V248="","",IF(AND(ISNUMBER($G248),$G248&lt;=IF($S248=MesCiclo,InicioCiclo,$S248+MOD(2-WEEKDAY($S248),7))+13),1,IF(ISNUMBER($J248),$J248,$Y248)))</f>
        <v/>
      </c>
      <c r="AA248" s="62">
        <f>IF($V248="","",IF(AND(ISNUMBER($G248),$G248&lt;=IF($S248=MesCiclo,InicioCiclo,$S248+MOD(2-WEEKDAY($S248),7))+20),1,IF(ISNUMBER($K248),$K248,$Z248)))</f>
        <v/>
      </c>
      <c r="AB248" s="62">
        <f>IF($V248="","",IF(AND(ISNUMBER($G248),$G248&lt;=IF($S248=MesCiclo,InicioCiclo,$S248+MOD(2-WEEKDAY($S248),7))+27),1,IF(ISNUMBER($L248),$L248,$AA248)))</f>
        <v/>
      </c>
      <c r="AC248" s="62">
        <f>IF($V248="","",IF(AND(ISNUMBER($G248),$G248&lt;=IF($S248=MesCiclo,InicioCiclo,$S248+MOD(2-WEEKDAY($S248),7))+6),1,IF(N($W248)&gt;0,AVERAGEIFS($Y$5:$Y$1000,$U$5:$U$1000,ROW(),$V$5:$V$1000,"Sub"),$Y248)))</f>
        <v/>
      </c>
      <c r="AD248" s="62">
        <f>IF($V248="","",IF(AND(ISNUMBER($G248),$G248&lt;=IF($S248=MesCiclo,InicioCiclo,$S248+MOD(2-WEEKDAY($S248),7))+13),1,IF(N($W248)&gt;0,AVERAGEIFS($Z$5:$Z$1000,$U$5:$U$1000,ROW(),$V$5:$V$1000,"Sub"),$Z248)))</f>
        <v/>
      </c>
      <c r="AE248" s="62">
        <f>IF($V248="","",IF(AND(ISNUMBER($G248),$G248&lt;=IF($S248=MesCiclo,InicioCiclo,$S248+MOD(2-WEEKDAY($S248),7))+20),1,IF(N($W248)&gt;0,AVERAGEIFS($AA$5:$AA$1000,$U$5:$U$1000,ROW(),$V$5:$V$1000,"Sub"),$AA248)))</f>
        <v/>
      </c>
      <c r="AF248" s="62">
        <f>IF($V248="","",IF(AND(ISNUMBER($G248),$G248&lt;=IF($S248=MesCiclo,InicioCiclo,$S248+MOD(2-WEEKDAY($S248),7))+27),1,IF(N($W248)&gt;0,AVERAGEIFS($AB$5:$AB$1000,$U$5:$U$1000,ROW(),$V$5:$V$1000,"Sub"),$AB248)))</f>
        <v/>
      </c>
      <c r="AG248" s="62">
        <f>IF($V248&lt;&gt;"Macro","",IF(COUNTIFS($S$5:$S$1000,$S248,$V$5:$V$1000,"Macro",$H$5:$H$1000,"&gt;0")=0,1/COUNTIFS($S$5:$S$1000,$S248,$V$5:$V$1000,"Macro"),IF(AND(ISNUMBER($H248),N($H248)&gt;0),$H248,SUMIFS($H$5:$H$1000,$S$5:$S$1000,$S248,$V$5:$V$1000,"Macro")/COUNTIFS($S$5:$S$1000,$S248,$V$5:$V$1000,"Macro",$H$5:$H$1000,"&gt;0"))/(COUNTIFS($S$5:$S$1000,$S248,$V$5:$V$1000,"Macro")*SUMIFS($H$5:$H$1000,$S$5:$S$1000,$S248,$V$5:$V$1000,"Macro")/COUNTIFS($S$5:$S$1000,$S248,$V$5:$V$1000,"Macro",$H$5:$H$1000,"&gt;0"))))</f>
        <v/>
      </c>
      <c r="AH248" s="62" t="n"/>
      <c r="AI248" s="62" t="n"/>
      <c r="AJ248" s="62" t="n"/>
      <c r="AK248" s="62" t="n"/>
      <c r="AL248" s="62">
        <f>IF(LEFT($C248,11)="[Jefatura] ",IFERROR(MATCH("Riesgo Normativo|"&amp;MID($C248,12,500),rDname_ADM,0),0),"")</f>
        <v/>
      </c>
      <c r="AM248" s="62">
        <f>IF(N($AL248)&gt;0,INDEX(rIni_ADM,$AL248),IF(ISNUMBER($E248),$E248,""))</f>
        <v/>
      </c>
      <c r="AN248" s="62">
        <f>IF(N($AL248)&gt;0,INDEX(rLim_ADM,$AL248),IF(ISNUMBER($F248),$F248,""))</f>
        <v/>
      </c>
    </row>
    <row r="249">
      <c r="A249" s="56">
        <f>IF(NOT((COUNTA($B249:$D249)+COUNTA($G249:$L249)+COUNTA($Q249))&gt;0),"",IF($V249="Macro",COUNTIFS($V$5:$V249,"Macro",$S$5:$S249,$S249),IF(N($U249)=0,"?",COUNTIFS(INDEX($V$5:$V$1000,1):INDEX($V$5:$V$1000,$U249-4),"Macro",INDEX($S$5:$S$1000,1):INDEX($S$5:$S$1000,$U249-4),INDEX($S$5:$S$1000,$U249-4))&amp;"."&amp;COUNTIFS($U$5:$U249,$U249,$V$5:$V249,"Sub"))))</f>
        <v/>
      </c>
      <c r="B249" s="57" t="n"/>
      <c r="C249" s="58" t="n"/>
      <c r="D249" s="58" t="n"/>
      <c r="E249" s="59">
        <f>IF(N($AL249)&gt;0,INDEX(rIni_ADM,$AL249),"")</f>
        <v/>
      </c>
      <c r="F249" s="59">
        <f>IF(N($AL249)&gt;0,INDEX(rLim_ADM,$AL249),"")</f>
        <v/>
      </c>
      <c r="G249" s="59" t="n"/>
      <c r="H249" s="60" t="n"/>
      <c r="I249" s="60" t="n"/>
      <c r="J249" s="60" t="n"/>
      <c r="K249" s="60" t="n"/>
      <c r="L249" s="60" t="n"/>
      <c r="M249" s="61">
        <f>IF(NOT((COUNTA($B249:$D249)+COUNTA($G249:$L249)+COUNTA($Q249))&gt;0),"",IF($V249="Sub",IFERROR($X249/INDEX($W$5:$W$1000,$U249-4),""),IF(ISNUMBER($G249),1,IF(N($W249)&gt;0,AVERAGEIFS($X$5:$X$1000,$U$5:$U$1000,ROW(),$V$5:$V$1000,"Sub"),$X249))))</f>
        <v/>
      </c>
      <c r="N249" s="56">
        <f>IF(OR($M249="",$V249="Sub"),"",IF($M249&gt;=1,"Completado",IF($M249&gt;0,"En curso","Pendiente")))</f>
        <v/>
      </c>
      <c r="O249" s="56">
        <f>IF(OR(NOT((COUNTA($B249:$D249)+COUNTA($G249:$L249)+COUNTA($Q249))&gt;0),$V249="Sub"),"",IF(ISNUMBER($G249),IF(AND(ISNUMBER($AN249),$G249&gt;$AN249),"Cumplida con "&amp;($G249-$AN249)&amp;IF($G249-$AN249=1," día"," días")&amp;" de retraso","Cumplida"),IF(N($M249)&gt;=1,"Cumplida",IF(NOT(ISNUMBER($AN249)),"Sin fecha límite",IF($AN249&lt;FechaRef,"Vencida hace "&amp;(FechaRef-$AN249)&amp;IF(FechaRef-$AN249=1," día"," días"),IF($AN249=FechaRef,"Vence hoy",IF($AN249-FechaRef&lt;=DiasAlerta,"Vence en "&amp;($AN249-FechaRef)&amp;IF($AN249-FechaRef=1," día"," días"),"En plazo")))))))</f>
        <v/>
      </c>
      <c r="P249" s="62" t="n"/>
      <c r="Q249" s="58" t="n"/>
      <c r="R249" s="63">
        <f>IF(NOT((COUNTA($B249:$D249)+COUNTA($G249:$L249)+COUNTA($Q249))&gt;0),"",IF((IF($C249="","Falta el nombre de la actividad"&amp;" · ","")&amp;IF(AND($V249="Sub",N($U249)=0),"Subactividad sin macroactividad arriba"&amp;" · ","")&amp;IF($AM249="","Sin fecha de inicio"&amp;" · ","")&amp;IF($AN249="","Sin fecha límite"&amp;" · ","")&amp;IF(AND(LEFT($C249,11)="[Jefatura] ",N($AL249)=0),"No se encuentra en la hoja de la jefatura (elíjala de nuevo en la lista)"&amp;" · ","")&amp;IF(OR(AND($E249&lt;&gt;"",NOT(ISNUMBER($E249))),AND($F249&lt;&gt;"",NOT(ISNUMBER($F249))),AND($G249&lt;&gt;"",NOT(ISNUMBER($G249)))),"Fecha no válida"&amp;" · ","")&amp;IF(AND(ISNUMBER($AM249),ISNUMBER($AN249),$AM249&gt;$AN249),"Inicio posterior a fecha límite"&amp;" · ","")&amp;IF(AND($V249="Macro",$H249&lt;&gt;"",OR(NOT(ISNUMBER($H249)),$H249&lt;0,$H249&gt;1)),"Peso fuera de rango"&amp;" · ","")&amp;IF(AND($V249="Sub",$H249&lt;&gt;""),"Las subactividades no llevan peso (valen igual dentro de su macroactividad)"&amp;" · ","")&amp;IF(AND(N($W249)&gt;0,COUNT($I249:$L249)&gt;0),"Con subactividades: deje vacías las semanas (se calculan solas)"&amp;" · ","")&amp;IF((COUNTIF($I249:$L249,"&gt;1")+COUNTIF($I249:$L249,"&lt;0")+COUNTA($I249:$L249)-COUNT($I249:$L249))&gt;0,"Avance fuera de rango 0-100%"&amp;" · ","")&amp;IF(OR(AND($J249&lt;&gt;"",$J249&lt;$I249),AND($K249&lt;&gt;"",$K249&lt;MAX($I249:$J249)),AND($L249&lt;&gt;"",$L249&lt;MAX($I249:$K249))),"Avance semanal decreciente"&amp;" · ","")&amp;IF(AND(ISNUMBER($AN249),$AN249&lt;FechaRef,IF($V249="Sub",N($X249),N($M249))&lt;1),"Vencida"&amp;" · ","")&amp;IF(AND(ObsObligatoria="Sí",ISNUMBER($AN249),$AN249&lt;FechaRef,IF($V249="Sub",N($X249),N($M249))&lt;1,$Q249=""),"Vencida sin observación"&amp;" · ",""))="","✔ OK","⚠ "&amp;LEFT(IF($C249="","Falta el nombre de la actividad"&amp;" · ","")&amp;IF(AND($V249="Sub",N($U249)=0),"Subactividad sin macroactividad arriba"&amp;" · ","")&amp;IF($AM249="","Sin fecha de inicio"&amp;" · ","")&amp;IF($AN249="","Sin fecha límite"&amp;" · ","")&amp;IF(AND(LEFT($C249,11)="[Jefatura] ",N($AL249)=0),"No se encuentra en la hoja de la jefatura (elíjala de nuevo en la lista)"&amp;" · ","")&amp;IF(OR(AND($E249&lt;&gt;"",NOT(ISNUMBER($E249))),AND($F249&lt;&gt;"",NOT(ISNUMBER($F249))),AND($G249&lt;&gt;"",NOT(ISNUMBER($G249)))),"Fecha no válida"&amp;" · ","")&amp;IF(AND(ISNUMBER($AM249),ISNUMBER($AN249),$AM249&gt;$AN249),"Inicio posterior a fecha límite"&amp;" · ","")&amp;IF(AND($V249="Macro",$H249&lt;&gt;"",OR(NOT(ISNUMBER($H249)),$H249&lt;0,$H249&gt;1)),"Peso fuera de rango"&amp;" · ","")&amp;IF(AND($V249="Sub",$H249&lt;&gt;""),"Las subactividades no llevan peso (valen igual dentro de su macroactividad)"&amp;" · ","")&amp;IF(AND(N($W249)&gt;0,COUNT($I249:$L249)&gt;0),"Con subactividades: deje vacías las semanas (se calculan solas)"&amp;" · ","")&amp;IF((COUNTIF($I249:$L249,"&gt;1")+COUNTIF($I249:$L249,"&lt;0")+COUNTA($I249:$L249)-COUNT($I249:$L249))&gt;0,"Avance fuera de rango 0-100%"&amp;" · ","")&amp;IF(OR(AND($J249&lt;&gt;"",$J249&lt;$I249),AND($K249&lt;&gt;"",$K249&lt;MAX($I249:$J249)),AND($L249&lt;&gt;"",$L249&lt;MAX($I249:$K249))),"Avance semanal decreciente"&amp;" · ","")&amp;IF(AND(ISNUMBER($AN249),$AN249&lt;FechaRef,IF($V249="Sub",N($X249),N($M249))&lt;1),"Vencida"&amp;" · ","")&amp;IF(AND(ObsObligatoria="Sí",ISNUMBER($AN249),$AN249&lt;FechaRef,IF($V249="Sub",N($X249),N($M249))&lt;1,$Q249=""),"Vencida sin observación"&amp;" · ",""),LEN(IF($C249="","Falta el nombre de la actividad"&amp;" · ","")&amp;IF(AND($V249="Sub",N($U249)=0),"Subactividad sin macroactividad arriba"&amp;" · ","")&amp;IF($AM249="","Sin fecha de inicio"&amp;" · ","")&amp;IF($AN249="","Sin fecha límite"&amp;" · ","")&amp;IF(AND(LEFT($C249,11)="[Jefatura] ",N($AL249)=0),"No se encuentra en la hoja de la jefatura (elíjala de nuevo en la lista)"&amp;" · ","")&amp;IF(OR(AND($E249&lt;&gt;"",NOT(ISNUMBER($E249))),AND($F249&lt;&gt;"",NOT(ISNUMBER($F249))),AND($G249&lt;&gt;"",NOT(ISNUMBER($G249)))),"Fecha no válida"&amp;" · ","")&amp;IF(AND(ISNUMBER($AM249),ISNUMBER($AN249),$AM249&gt;$AN249),"Inicio posterior a fecha límite"&amp;" · ","")&amp;IF(AND($V249="Macro",$H249&lt;&gt;"",OR(NOT(ISNUMBER($H249)),$H249&lt;0,$H249&gt;1)),"Peso fuera de rango"&amp;" · ","")&amp;IF(AND($V249="Sub",$H249&lt;&gt;""),"Las subactividades no llevan peso (valen igual dentro de su macroactividad)"&amp;" · ","")&amp;IF(AND(N($W249)&gt;0,COUNT($I249:$L249)&gt;0),"Con subactividades: deje vacías las semanas (se calculan solas)"&amp;" · ","")&amp;IF((COUNTIF($I249:$L249,"&gt;1")+COUNTIF($I249:$L249,"&lt;0")+COUNTA($I249:$L249)-COUNT($I249:$L249))&gt;0,"Avance fuera de rango 0-100%"&amp;" · ","")&amp;IF(OR(AND($J249&lt;&gt;"",$J249&lt;$I249),AND($K249&lt;&gt;"",$K249&lt;MAX($I249:$J249)),AND($L249&lt;&gt;"",$L249&lt;MAX($I249:$K249))),"Avance semanal decreciente"&amp;" · ","")&amp;IF(AND(ISNUMBER($AN249),$AN249&lt;FechaRef,IF($V249="Sub",N($X249),N($M249))&lt;1),"Vencida"&amp;" · ","")&amp;IF(AND(ObsObligatoria="Sí",ISNUMBER($AN249),$AN249&lt;FechaRef,IF($V249="Sub",N($X249),N($M249))&lt;1,$Q249=""),"Vencida sin observación"&amp;" · ",""))-3)))</f>
        <v/>
      </c>
      <c r="S249" s="64">
        <f>IF(NOT((COUNTA($B249:$D249)+COUNTA($G249:$L249)+COUNTA($Q249))&gt;0),"",IF(AND($V249="Sub",N($U249)&gt;0),IF(ISNUMBER(INDEX($AM$5:$AM$1000,$U249-4)),DATE(YEAR(INDEX($AM$5:$AM$1000,$U249-4)),MONTH(INDEX($AM$5:$AM$1000,$U249-4)),1),IF(ISNUMBER(INDEX($AN$5:$AN$1000,$U249-4)),DATE(YEAR(INDEX($AN$5:$AN$1000,$U249-4)),MONTH(INDEX($AN$5:$AN$1000,$U249-4)),1),MesCiclo)),IF(ISNUMBER($AM249),DATE(YEAR($AM249),MONTH($AM249),1),IF(ISNUMBER($AN249),DATE(YEAR($AN249),MONTH($AN249),1),MesCiclo))))</f>
        <v/>
      </c>
      <c r="T249" s="62">
        <f>IF(OR($S249="",$S249&lt;&gt;MesCiclo,$V249&lt;&gt;"Macro"),"",COUNTIFS($S$5:$S249,MesCiclo,$V$5:$V249,"Macro"))</f>
        <v/>
      </c>
      <c r="U249" s="62">
        <f>IF($V249="","",IF($V249="Macro",ROW(),IFERROR(LOOKUP(2,1/($V$5:$V249="Macro"),ROW($V$5:$V249)),0)))</f>
        <v/>
      </c>
      <c r="V249" s="62">
        <f>IF(NOT((COUNTA($B249:$D249)+COUNTA($G249:$L249)+COUNTA($Q249))&gt;0),"",IF($B249="Subactividad","Sub","Macro"))</f>
        <v/>
      </c>
      <c r="W249" s="62">
        <f>IF($V249="Macro",COUNTIFS($U$5:$U$1000,ROW(),$V$5:$V$1000,"Sub"),"")</f>
        <v/>
      </c>
      <c r="X249" s="62">
        <f>IF($V249="","",IF(ISNUMBER($G249),1,IFERROR(LOOKUP(2,1/($I249:$L249&lt;&gt;""),$I249:$L249),0)))</f>
        <v/>
      </c>
      <c r="Y249" s="62">
        <f>IF($V249="","",IF(AND(ISNUMBER($G249),$G249&lt;=IF($S249=MesCiclo,InicioCiclo,$S249+MOD(2-WEEKDAY($S249),7))+6),1,IF(ISNUMBER($I249),$I249,0)))</f>
        <v/>
      </c>
      <c r="Z249" s="62">
        <f>IF($V249="","",IF(AND(ISNUMBER($G249),$G249&lt;=IF($S249=MesCiclo,InicioCiclo,$S249+MOD(2-WEEKDAY($S249),7))+13),1,IF(ISNUMBER($J249),$J249,$Y249)))</f>
        <v/>
      </c>
      <c r="AA249" s="62">
        <f>IF($V249="","",IF(AND(ISNUMBER($G249),$G249&lt;=IF($S249=MesCiclo,InicioCiclo,$S249+MOD(2-WEEKDAY($S249),7))+20),1,IF(ISNUMBER($K249),$K249,$Z249)))</f>
        <v/>
      </c>
      <c r="AB249" s="62">
        <f>IF($V249="","",IF(AND(ISNUMBER($G249),$G249&lt;=IF($S249=MesCiclo,InicioCiclo,$S249+MOD(2-WEEKDAY($S249),7))+27),1,IF(ISNUMBER($L249),$L249,$AA249)))</f>
        <v/>
      </c>
      <c r="AC249" s="62">
        <f>IF($V249="","",IF(AND(ISNUMBER($G249),$G249&lt;=IF($S249=MesCiclo,InicioCiclo,$S249+MOD(2-WEEKDAY($S249),7))+6),1,IF(N($W249)&gt;0,AVERAGEIFS($Y$5:$Y$1000,$U$5:$U$1000,ROW(),$V$5:$V$1000,"Sub"),$Y249)))</f>
        <v/>
      </c>
      <c r="AD249" s="62">
        <f>IF($V249="","",IF(AND(ISNUMBER($G249),$G249&lt;=IF($S249=MesCiclo,InicioCiclo,$S249+MOD(2-WEEKDAY($S249),7))+13),1,IF(N($W249)&gt;0,AVERAGEIFS($Z$5:$Z$1000,$U$5:$U$1000,ROW(),$V$5:$V$1000,"Sub"),$Z249)))</f>
        <v/>
      </c>
      <c r="AE249" s="62">
        <f>IF($V249="","",IF(AND(ISNUMBER($G249),$G249&lt;=IF($S249=MesCiclo,InicioCiclo,$S249+MOD(2-WEEKDAY($S249),7))+20),1,IF(N($W249)&gt;0,AVERAGEIFS($AA$5:$AA$1000,$U$5:$U$1000,ROW(),$V$5:$V$1000,"Sub"),$AA249)))</f>
        <v/>
      </c>
      <c r="AF249" s="62">
        <f>IF($V249="","",IF(AND(ISNUMBER($G249),$G249&lt;=IF($S249=MesCiclo,InicioCiclo,$S249+MOD(2-WEEKDAY($S249),7))+27),1,IF(N($W249)&gt;0,AVERAGEIFS($AB$5:$AB$1000,$U$5:$U$1000,ROW(),$V$5:$V$1000,"Sub"),$AB249)))</f>
        <v/>
      </c>
      <c r="AG249" s="62">
        <f>IF($V249&lt;&gt;"Macro","",IF(COUNTIFS($S$5:$S$1000,$S249,$V$5:$V$1000,"Macro",$H$5:$H$1000,"&gt;0")=0,1/COUNTIFS($S$5:$S$1000,$S249,$V$5:$V$1000,"Macro"),IF(AND(ISNUMBER($H249),N($H249)&gt;0),$H249,SUMIFS($H$5:$H$1000,$S$5:$S$1000,$S249,$V$5:$V$1000,"Macro")/COUNTIFS($S$5:$S$1000,$S249,$V$5:$V$1000,"Macro",$H$5:$H$1000,"&gt;0"))/(COUNTIFS($S$5:$S$1000,$S249,$V$5:$V$1000,"Macro")*SUMIFS($H$5:$H$1000,$S$5:$S$1000,$S249,$V$5:$V$1000,"Macro")/COUNTIFS($S$5:$S$1000,$S249,$V$5:$V$1000,"Macro",$H$5:$H$1000,"&gt;0"))))</f>
        <v/>
      </c>
      <c r="AH249" s="62" t="n"/>
      <c r="AI249" s="62" t="n"/>
      <c r="AJ249" s="62" t="n"/>
      <c r="AK249" s="62" t="n"/>
      <c r="AL249" s="62">
        <f>IF(LEFT($C249,11)="[Jefatura] ",IFERROR(MATCH("Riesgo Normativo|"&amp;MID($C249,12,500),rDname_ADM,0),0),"")</f>
        <v/>
      </c>
      <c r="AM249" s="62">
        <f>IF(N($AL249)&gt;0,INDEX(rIni_ADM,$AL249),IF(ISNUMBER($E249),$E249,""))</f>
        <v/>
      </c>
      <c r="AN249" s="62">
        <f>IF(N($AL249)&gt;0,INDEX(rLim_ADM,$AL249),IF(ISNUMBER($F249),$F249,""))</f>
        <v/>
      </c>
    </row>
    <row r="250">
      <c r="A250" s="56">
        <f>IF(NOT((COUNTA($B250:$D250)+COUNTA($G250:$L250)+COUNTA($Q250))&gt;0),"",IF($V250="Macro",COUNTIFS($V$5:$V250,"Macro",$S$5:$S250,$S250),IF(N($U250)=0,"?",COUNTIFS(INDEX($V$5:$V$1000,1):INDEX($V$5:$V$1000,$U250-4),"Macro",INDEX($S$5:$S$1000,1):INDEX($S$5:$S$1000,$U250-4),INDEX($S$5:$S$1000,$U250-4))&amp;"."&amp;COUNTIFS($U$5:$U250,$U250,$V$5:$V250,"Sub"))))</f>
        <v/>
      </c>
      <c r="B250" s="57" t="n"/>
      <c r="C250" s="58" t="n"/>
      <c r="D250" s="58" t="n"/>
      <c r="E250" s="59">
        <f>IF(N($AL250)&gt;0,INDEX(rIni_ADM,$AL250),"")</f>
        <v/>
      </c>
      <c r="F250" s="59">
        <f>IF(N($AL250)&gt;0,INDEX(rLim_ADM,$AL250),"")</f>
        <v/>
      </c>
      <c r="G250" s="59" t="n"/>
      <c r="H250" s="60" t="n"/>
      <c r="I250" s="60" t="n"/>
      <c r="J250" s="60" t="n"/>
      <c r="K250" s="60" t="n"/>
      <c r="L250" s="60" t="n"/>
      <c r="M250" s="61">
        <f>IF(NOT((COUNTA($B250:$D250)+COUNTA($G250:$L250)+COUNTA($Q250))&gt;0),"",IF($V250="Sub",IFERROR($X250/INDEX($W$5:$W$1000,$U250-4),""),IF(ISNUMBER($G250),1,IF(N($W250)&gt;0,AVERAGEIFS($X$5:$X$1000,$U$5:$U$1000,ROW(),$V$5:$V$1000,"Sub"),$X250))))</f>
        <v/>
      </c>
      <c r="N250" s="56">
        <f>IF(OR($M250="",$V250="Sub"),"",IF($M250&gt;=1,"Completado",IF($M250&gt;0,"En curso","Pendiente")))</f>
        <v/>
      </c>
      <c r="O250" s="56">
        <f>IF(OR(NOT((COUNTA($B250:$D250)+COUNTA($G250:$L250)+COUNTA($Q250))&gt;0),$V250="Sub"),"",IF(ISNUMBER($G250),IF(AND(ISNUMBER($AN250),$G250&gt;$AN250),"Cumplida con "&amp;($G250-$AN250)&amp;IF($G250-$AN250=1," día"," días")&amp;" de retraso","Cumplida"),IF(N($M250)&gt;=1,"Cumplida",IF(NOT(ISNUMBER($AN250)),"Sin fecha límite",IF($AN250&lt;FechaRef,"Vencida hace "&amp;(FechaRef-$AN250)&amp;IF(FechaRef-$AN250=1," día"," días"),IF($AN250=FechaRef,"Vence hoy",IF($AN250-FechaRef&lt;=DiasAlerta,"Vence en "&amp;($AN250-FechaRef)&amp;IF($AN250-FechaRef=1," día"," días"),"En plazo")))))))</f>
        <v/>
      </c>
      <c r="P250" s="62" t="n"/>
      <c r="Q250" s="58" t="n"/>
      <c r="R250" s="63">
        <f>IF(NOT((COUNTA($B250:$D250)+COUNTA($G250:$L250)+COUNTA($Q250))&gt;0),"",IF((IF($C250="","Falta el nombre de la actividad"&amp;" · ","")&amp;IF(AND($V250="Sub",N($U250)=0),"Subactividad sin macroactividad arriba"&amp;" · ","")&amp;IF($AM250="","Sin fecha de inicio"&amp;" · ","")&amp;IF($AN250="","Sin fecha límite"&amp;" · ","")&amp;IF(AND(LEFT($C250,11)="[Jefatura] ",N($AL250)=0),"No se encuentra en la hoja de la jefatura (elíjala de nuevo en la lista)"&amp;" · ","")&amp;IF(OR(AND($E250&lt;&gt;"",NOT(ISNUMBER($E250))),AND($F250&lt;&gt;"",NOT(ISNUMBER($F250))),AND($G250&lt;&gt;"",NOT(ISNUMBER($G250)))),"Fecha no válida"&amp;" · ","")&amp;IF(AND(ISNUMBER($AM250),ISNUMBER($AN250),$AM250&gt;$AN250),"Inicio posterior a fecha límite"&amp;" · ","")&amp;IF(AND($V250="Macro",$H250&lt;&gt;"",OR(NOT(ISNUMBER($H250)),$H250&lt;0,$H250&gt;1)),"Peso fuera de rango"&amp;" · ","")&amp;IF(AND($V250="Sub",$H250&lt;&gt;""),"Las subactividades no llevan peso (valen igual dentro de su macroactividad)"&amp;" · ","")&amp;IF(AND(N($W250)&gt;0,COUNT($I250:$L250)&gt;0),"Con subactividades: deje vacías las semanas (se calculan solas)"&amp;" · ","")&amp;IF((COUNTIF($I250:$L250,"&gt;1")+COUNTIF($I250:$L250,"&lt;0")+COUNTA($I250:$L250)-COUNT($I250:$L250))&gt;0,"Avance fuera de rango 0-100%"&amp;" · ","")&amp;IF(OR(AND($J250&lt;&gt;"",$J250&lt;$I250),AND($K250&lt;&gt;"",$K250&lt;MAX($I250:$J250)),AND($L250&lt;&gt;"",$L250&lt;MAX($I250:$K250))),"Avance semanal decreciente"&amp;" · ","")&amp;IF(AND(ISNUMBER($AN250),$AN250&lt;FechaRef,IF($V250="Sub",N($X250),N($M250))&lt;1),"Vencida"&amp;" · ","")&amp;IF(AND(ObsObligatoria="Sí",ISNUMBER($AN250),$AN250&lt;FechaRef,IF($V250="Sub",N($X250),N($M250))&lt;1,$Q250=""),"Vencida sin observación"&amp;" · ",""))="","✔ OK","⚠ "&amp;LEFT(IF($C250="","Falta el nombre de la actividad"&amp;" · ","")&amp;IF(AND($V250="Sub",N($U250)=0),"Subactividad sin macroactividad arriba"&amp;" · ","")&amp;IF($AM250="","Sin fecha de inicio"&amp;" · ","")&amp;IF($AN250="","Sin fecha límite"&amp;" · ","")&amp;IF(AND(LEFT($C250,11)="[Jefatura] ",N($AL250)=0),"No se encuentra en la hoja de la jefatura (elíjala de nuevo en la lista)"&amp;" · ","")&amp;IF(OR(AND($E250&lt;&gt;"",NOT(ISNUMBER($E250))),AND($F250&lt;&gt;"",NOT(ISNUMBER($F250))),AND($G250&lt;&gt;"",NOT(ISNUMBER($G250)))),"Fecha no válida"&amp;" · ","")&amp;IF(AND(ISNUMBER($AM250),ISNUMBER($AN250),$AM250&gt;$AN250),"Inicio posterior a fecha límite"&amp;" · ","")&amp;IF(AND($V250="Macro",$H250&lt;&gt;"",OR(NOT(ISNUMBER($H250)),$H250&lt;0,$H250&gt;1)),"Peso fuera de rango"&amp;" · ","")&amp;IF(AND($V250="Sub",$H250&lt;&gt;""),"Las subactividades no llevan peso (valen igual dentro de su macroactividad)"&amp;" · ","")&amp;IF(AND(N($W250)&gt;0,COUNT($I250:$L250)&gt;0),"Con subactividades: deje vacías las semanas (se calculan solas)"&amp;" · ","")&amp;IF((COUNTIF($I250:$L250,"&gt;1")+COUNTIF($I250:$L250,"&lt;0")+COUNTA($I250:$L250)-COUNT($I250:$L250))&gt;0,"Avance fuera de rango 0-100%"&amp;" · ","")&amp;IF(OR(AND($J250&lt;&gt;"",$J250&lt;$I250),AND($K250&lt;&gt;"",$K250&lt;MAX($I250:$J250)),AND($L250&lt;&gt;"",$L250&lt;MAX($I250:$K250))),"Avance semanal decreciente"&amp;" · ","")&amp;IF(AND(ISNUMBER($AN250),$AN250&lt;FechaRef,IF($V250="Sub",N($X250),N($M250))&lt;1),"Vencida"&amp;" · ","")&amp;IF(AND(ObsObligatoria="Sí",ISNUMBER($AN250),$AN250&lt;FechaRef,IF($V250="Sub",N($X250),N($M250))&lt;1,$Q250=""),"Vencida sin observación"&amp;" · ",""),LEN(IF($C250="","Falta el nombre de la actividad"&amp;" · ","")&amp;IF(AND($V250="Sub",N($U250)=0),"Subactividad sin macroactividad arriba"&amp;" · ","")&amp;IF($AM250="","Sin fecha de inicio"&amp;" · ","")&amp;IF($AN250="","Sin fecha límite"&amp;" · ","")&amp;IF(AND(LEFT($C250,11)="[Jefatura] ",N($AL250)=0),"No se encuentra en la hoja de la jefatura (elíjala de nuevo en la lista)"&amp;" · ","")&amp;IF(OR(AND($E250&lt;&gt;"",NOT(ISNUMBER($E250))),AND($F250&lt;&gt;"",NOT(ISNUMBER($F250))),AND($G250&lt;&gt;"",NOT(ISNUMBER($G250)))),"Fecha no válida"&amp;" · ","")&amp;IF(AND(ISNUMBER($AM250),ISNUMBER($AN250),$AM250&gt;$AN250),"Inicio posterior a fecha límite"&amp;" · ","")&amp;IF(AND($V250="Macro",$H250&lt;&gt;"",OR(NOT(ISNUMBER($H250)),$H250&lt;0,$H250&gt;1)),"Peso fuera de rango"&amp;" · ","")&amp;IF(AND($V250="Sub",$H250&lt;&gt;""),"Las subactividades no llevan peso (valen igual dentro de su macroactividad)"&amp;" · ","")&amp;IF(AND(N($W250)&gt;0,COUNT($I250:$L250)&gt;0),"Con subactividades: deje vacías las semanas (se calculan solas)"&amp;" · ","")&amp;IF((COUNTIF($I250:$L250,"&gt;1")+COUNTIF($I250:$L250,"&lt;0")+COUNTA($I250:$L250)-COUNT($I250:$L250))&gt;0,"Avance fuera de rango 0-100%"&amp;" · ","")&amp;IF(OR(AND($J250&lt;&gt;"",$J250&lt;$I250),AND($K250&lt;&gt;"",$K250&lt;MAX($I250:$J250)),AND($L250&lt;&gt;"",$L250&lt;MAX($I250:$K250))),"Avance semanal decreciente"&amp;" · ","")&amp;IF(AND(ISNUMBER($AN250),$AN250&lt;FechaRef,IF($V250="Sub",N($X250),N($M250))&lt;1),"Vencida"&amp;" · ","")&amp;IF(AND(ObsObligatoria="Sí",ISNUMBER($AN250),$AN250&lt;FechaRef,IF($V250="Sub",N($X250),N($M250))&lt;1,$Q250=""),"Vencida sin observación"&amp;" · ",""))-3)))</f>
        <v/>
      </c>
      <c r="S250" s="64">
        <f>IF(NOT((COUNTA($B250:$D250)+COUNTA($G250:$L250)+COUNTA($Q250))&gt;0),"",IF(AND($V250="Sub",N($U250)&gt;0),IF(ISNUMBER(INDEX($AM$5:$AM$1000,$U250-4)),DATE(YEAR(INDEX($AM$5:$AM$1000,$U250-4)),MONTH(INDEX($AM$5:$AM$1000,$U250-4)),1),IF(ISNUMBER(INDEX($AN$5:$AN$1000,$U250-4)),DATE(YEAR(INDEX($AN$5:$AN$1000,$U250-4)),MONTH(INDEX($AN$5:$AN$1000,$U250-4)),1),MesCiclo)),IF(ISNUMBER($AM250),DATE(YEAR($AM250),MONTH($AM250),1),IF(ISNUMBER($AN250),DATE(YEAR($AN250),MONTH($AN250),1),MesCiclo))))</f>
        <v/>
      </c>
      <c r="T250" s="62">
        <f>IF(OR($S250="",$S250&lt;&gt;MesCiclo,$V250&lt;&gt;"Macro"),"",COUNTIFS($S$5:$S250,MesCiclo,$V$5:$V250,"Macro"))</f>
        <v/>
      </c>
      <c r="U250" s="62">
        <f>IF($V250="","",IF($V250="Macro",ROW(),IFERROR(LOOKUP(2,1/($V$5:$V250="Macro"),ROW($V$5:$V250)),0)))</f>
        <v/>
      </c>
      <c r="V250" s="62">
        <f>IF(NOT((COUNTA($B250:$D250)+COUNTA($G250:$L250)+COUNTA($Q250))&gt;0),"",IF($B250="Subactividad","Sub","Macro"))</f>
        <v/>
      </c>
      <c r="W250" s="62">
        <f>IF($V250="Macro",COUNTIFS($U$5:$U$1000,ROW(),$V$5:$V$1000,"Sub"),"")</f>
        <v/>
      </c>
      <c r="X250" s="62">
        <f>IF($V250="","",IF(ISNUMBER($G250),1,IFERROR(LOOKUP(2,1/($I250:$L250&lt;&gt;""),$I250:$L250),0)))</f>
        <v/>
      </c>
      <c r="Y250" s="62">
        <f>IF($V250="","",IF(AND(ISNUMBER($G250),$G250&lt;=IF($S250=MesCiclo,InicioCiclo,$S250+MOD(2-WEEKDAY($S250),7))+6),1,IF(ISNUMBER($I250),$I250,0)))</f>
        <v/>
      </c>
      <c r="Z250" s="62">
        <f>IF($V250="","",IF(AND(ISNUMBER($G250),$G250&lt;=IF($S250=MesCiclo,InicioCiclo,$S250+MOD(2-WEEKDAY($S250),7))+13),1,IF(ISNUMBER($J250),$J250,$Y250)))</f>
        <v/>
      </c>
      <c r="AA250" s="62">
        <f>IF($V250="","",IF(AND(ISNUMBER($G250),$G250&lt;=IF($S250=MesCiclo,InicioCiclo,$S250+MOD(2-WEEKDAY($S250),7))+20),1,IF(ISNUMBER($K250),$K250,$Z250)))</f>
        <v/>
      </c>
      <c r="AB250" s="62">
        <f>IF($V250="","",IF(AND(ISNUMBER($G250),$G250&lt;=IF($S250=MesCiclo,InicioCiclo,$S250+MOD(2-WEEKDAY($S250),7))+27),1,IF(ISNUMBER($L250),$L250,$AA250)))</f>
        <v/>
      </c>
      <c r="AC250" s="62">
        <f>IF($V250="","",IF(AND(ISNUMBER($G250),$G250&lt;=IF($S250=MesCiclo,InicioCiclo,$S250+MOD(2-WEEKDAY($S250),7))+6),1,IF(N($W250)&gt;0,AVERAGEIFS($Y$5:$Y$1000,$U$5:$U$1000,ROW(),$V$5:$V$1000,"Sub"),$Y250)))</f>
        <v/>
      </c>
      <c r="AD250" s="62">
        <f>IF($V250="","",IF(AND(ISNUMBER($G250),$G250&lt;=IF($S250=MesCiclo,InicioCiclo,$S250+MOD(2-WEEKDAY($S250),7))+13),1,IF(N($W250)&gt;0,AVERAGEIFS($Z$5:$Z$1000,$U$5:$U$1000,ROW(),$V$5:$V$1000,"Sub"),$Z250)))</f>
        <v/>
      </c>
      <c r="AE250" s="62">
        <f>IF($V250="","",IF(AND(ISNUMBER($G250),$G250&lt;=IF($S250=MesCiclo,InicioCiclo,$S250+MOD(2-WEEKDAY($S250),7))+20),1,IF(N($W250)&gt;0,AVERAGEIFS($AA$5:$AA$1000,$U$5:$U$1000,ROW(),$V$5:$V$1000,"Sub"),$AA250)))</f>
        <v/>
      </c>
      <c r="AF250" s="62">
        <f>IF($V250="","",IF(AND(ISNUMBER($G250),$G250&lt;=IF($S250=MesCiclo,InicioCiclo,$S250+MOD(2-WEEKDAY($S250),7))+27),1,IF(N($W250)&gt;0,AVERAGEIFS($AB$5:$AB$1000,$U$5:$U$1000,ROW(),$V$5:$V$1000,"Sub"),$AB250)))</f>
        <v/>
      </c>
      <c r="AG250" s="62">
        <f>IF($V250&lt;&gt;"Macro","",IF(COUNTIFS($S$5:$S$1000,$S250,$V$5:$V$1000,"Macro",$H$5:$H$1000,"&gt;0")=0,1/COUNTIFS($S$5:$S$1000,$S250,$V$5:$V$1000,"Macro"),IF(AND(ISNUMBER($H250),N($H250)&gt;0),$H250,SUMIFS($H$5:$H$1000,$S$5:$S$1000,$S250,$V$5:$V$1000,"Macro")/COUNTIFS($S$5:$S$1000,$S250,$V$5:$V$1000,"Macro",$H$5:$H$1000,"&gt;0"))/(COUNTIFS($S$5:$S$1000,$S250,$V$5:$V$1000,"Macro")*SUMIFS($H$5:$H$1000,$S$5:$S$1000,$S250,$V$5:$V$1000,"Macro")/COUNTIFS($S$5:$S$1000,$S250,$V$5:$V$1000,"Macro",$H$5:$H$1000,"&gt;0"))))</f>
        <v/>
      </c>
      <c r="AH250" s="62" t="n"/>
      <c r="AI250" s="62" t="n"/>
      <c r="AJ250" s="62" t="n"/>
      <c r="AK250" s="62" t="n"/>
      <c r="AL250" s="62">
        <f>IF(LEFT($C250,11)="[Jefatura] ",IFERROR(MATCH("Riesgo Normativo|"&amp;MID($C250,12,500),rDname_ADM,0),0),"")</f>
        <v/>
      </c>
      <c r="AM250" s="62">
        <f>IF(N($AL250)&gt;0,INDEX(rIni_ADM,$AL250),IF(ISNUMBER($E250),$E250,""))</f>
        <v/>
      </c>
      <c r="AN250" s="62">
        <f>IF(N($AL250)&gt;0,INDEX(rLim_ADM,$AL250),IF(ISNUMBER($F250),$F250,""))</f>
        <v/>
      </c>
    </row>
    <row r="251">
      <c r="A251" s="56">
        <f>IF(NOT((COUNTA($B251:$D251)+COUNTA($G251:$L251)+COUNTA($Q251))&gt;0),"",IF($V251="Macro",COUNTIFS($V$5:$V251,"Macro",$S$5:$S251,$S251),IF(N($U251)=0,"?",COUNTIFS(INDEX($V$5:$V$1000,1):INDEX($V$5:$V$1000,$U251-4),"Macro",INDEX($S$5:$S$1000,1):INDEX($S$5:$S$1000,$U251-4),INDEX($S$5:$S$1000,$U251-4))&amp;"."&amp;COUNTIFS($U$5:$U251,$U251,$V$5:$V251,"Sub"))))</f>
        <v/>
      </c>
      <c r="B251" s="57" t="n"/>
      <c r="C251" s="58" t="n"/>
      <c r="D251" s="58" t="n"/>
      <c r="E251" s="59">
        <f>IF(N($AL251)&gt;0,INDEX(rIni_ADM,$AL251),"")</f>
        <v/>
      </c>
      <c r="F251" s="59">
        <f>IF(N($AL251)&gt;0,INDEX(rLim_ADM,$AL251),"")</f>
        <v/>
      </c>
      <c r="G251" s="59" t="n"/>
      <c r="H251" s="60" t="n"/>
      <c r="I251" s="60" t="n"/>
      <c r="J251" s="60" t="n"/>
      <c r="K251" s="60" t="n"/>
      <c r="L251" s="60" t="n"/>
      <c r="M251" s="61">
        <f>IF(NOT((COUNTA($B251:$D251)+COUNTA($G251:$L251)+COUNTA($Q251))&gt;0),"",IF($V251="Sub",IFERROR($X251/INDEX($W$5:$W$1000,$U251-4),""),IF(ISNUMBER($G251),1,IF(N($W251)&gt;0,AVERAGEIFS($X$5:$X$1000,$U$5:$U$1000,ROW(),$V$5:$V$1000,"Sub"),$X251))))</f>
        <v/>
      </c>
      <c r="N251" s="56">
        <f>IF(OR($M251="",$V251="Sub"),"",IF($M251&gt;=1,"Completado",IF($M251&gt;0,"En curso","Pendiente")))</f>
        <v/>
      </c>
      <c r="O251" s="56">
        <f>IF(OR(NOT((COUNTA($B251:$D251)+COUNTA($G251:$L251)+COUNTA($Q251))&gt;0),$V251="Sub"),"",IF(ISNUMBER($G251),IF(AND(ISNUMBER($AN251),$G251&gt;$AN251),"Cumplida con "&amp;($G251-$AN251)&amp;IF($G251-$AN251=1," día"," días")&amp;" de retraso","Cumplida"),IF(N($M251)&gt;=1,"Cumplida",IF(NOT(ISNUMBER($AN251)),"Sin fecha límite",IF($AN251&lt;FechaRef,"Vencida hace "&amp;(FechaRef-$AN251)&amp;IF(FechaRef-$AN251=1," día"," días"),IF($AN251=FechaRef,"Vence hoy",IF($AN251-FechaRef&lt;=DiasAlerta,"Vence en "&amp;($AN251-FechaRef)&amp;IF($AN251-FechaRef=1," día"," días"),"En plazo")))))))</f>
        <v/>
      </c>
      <c r="P251" s="62" t="n"/>
      <c r="Q251" s="58" t="n"/>
      <c r="R251" s="63">
        <f>IF(NOT((COUNTA($B251:$D251)+COUNTA($G251:$L251)+COUNTA($Q251))&gt;0),"",IF((IF($C251="","Falta el nombre de la actividad"&amp;" · ","")&amp;IF(AND($V251="Sub",N($U251)=0),"Subactividad sin macroactividad arriba"&amp;" · ","")&amp;IF($AM251="","Sin fecha de inicio"&amp;" · ","")&amp;IF($AN251="","Sin fecha límite"&amp;" · ","")&amp;IF(AND(LEFT($C251,11)="[Jefatura] ",N($AL251)=0),"No se encuentra en la hoja de la jefatura (elíjala de nuevo en la lista)"&amp;" · ","")&amp;IF(OR(AND($E251&lt;&gt;"",NOT(ISNUMBER($E251))),AND($F251&lt;&gt;"",NOT(ISNUMBER($F251))),AND($G251&lt;&gt;"",NOT(ISNUMBER($G251)))),"Fecha no válida"&amp;" · ","")&amp;IF(AND(ISNUMBER($AM251),ISNUMBER($AN251),$AM251&gt;$AN251),"Inicio posterior a fecha límite"&amp;" · ","")&amp;IF(AND($V251="Macro",$H251&lt;&gt;"",OR(NOT(ISNUMBER($H251)),$H251&lt;0,$H251&gt;1)),"Peso fuera de rango"&amp;" · ","")&amp;IF(AND($V251="Sub",$H251&lt;&gt;""),"Las subactividades no llevan peso (valen igual dentro de su macroactividad)"&amp;" · ","")&amp;IF(AND(N($W251)&gt;0,COUNT($I251:$L251)&gt;0),"Con subactividades: deje vacías las semanas (se calculan solas)"&amp;" · ","")&amp;IF((COUNTIF($I251:$L251,"&gt;1")+COUNTIF($I251:$L251,"&lt;0")+COUNTA($I251:$L251)-COUNT($I251:$L251))&gt;0,"Avance fuera de rango 0-100%"&amp;" · ","")&amp;IF(OR(AND($J251&lt;&gt;"",$J251&lt;$I251),AND($K251&lt;&gt;"",$K251&lt;MAX($I251:$J251)),AND($L251&lt;&gt;"",$L251&lt;MAX($I251:$K251))),"Avance semanal decreciente"&amp;" · ","")&amp;IF(AND(ISNUMBER($AN251),$AN251&lt;FechaRef,IF($V251="Sub",N($X251),N($M251))&lt;1),"Vencida"&amp;" · ","")&amp;IF(AND(ObsObligatoria="Sí",ISNUMBER($AN251),$AN251&lt;FechaRef,IF($V251="Sub",N($X251),N($M251))&lt;1,$Q251=""),"Vencida sin observación"&amp;" · ",""))="","✔ OK","⚠ "&amp;LEFT(IF($C251="","Falta el nombre de la actividad"&amp;" · ","")&amp;IF(AND($V251="Sub",N($U251)=0),"Subactividad sin macroactividad arriba"&amp;" · ","")&amp;IF($AM251="","Sin fecha de inicio"&amp;" · ","")&amp;IF($AN251="","Sin fecha límite"&amp;" · ","")&amp;IF(AND(LEFT($C251,11)="[Jefatura] ",N($AL251)=0),"No se encuentra en la hoja de la jefatura (elíjala de nuevo en la lista)"&amp;" · ","")&amp;IF(OR(AND($E251&lt;&gt;"",NOT(ISNUMBER($E251))),AND($F251&lt;&gt;"",NOT(ISNUMBER($F251))),AND($G251&lt;&gt;"",NOT(ISNUMBER($G251)))),"Fecha no válida"&amp;" · ","")&amp;IF(AND(ISNUMBER($AM251),ISNUMBER($AN251),$AM251&gt;$AN251),"Inicio posterior a fecha límite"&amp;" · ","")&amp;IF(AND($V251="Macro",$H251&lt;&gt;"",OR(NOT(ISNUMBER($H251)),$H251&lt;0,$H251&gt;1)),"Peso fuera de rango"&amp;" · ","")&amp;IF(AND($V251="Sub",$H251&lt;&gt;""),"Las subactividades no llevan peso (valen igual dentro de su macroactividad)"&amp;" · ","")&amp;IF(AND(N($W251)&gt;0,COUNT($I251:$L251)&gt;0),"Con subactividades: deje vacías las semanas (se calculan solas)"&amp;" · ","")&amp;IF((COUNTIF($I251:$L251,"&gt;1")+COUNTIF($I251:$L251,"&lt;0")+COUNTA($I251:$L251)-COUNT($I251:$L251))&gt;0,"Avance fuera de rango 0-100%"&amp;" · ","")&amp;IF(OR(AND($J251&lt;&gt;"",$J251&lt;$I251),AND($K251&lt;&gt;"",$K251&lt;MAX($I251:$J251)),AND($L251&lt;&gt;"",$L251&lt;MAX($I251:$K251))),"Avance semanal decreciente"&amp;" · ","")&amp;IF(AND(ISNUMBER($AN251),$AN251&lt;FechaRef,IF($V251="Sub",N($X251),N($M251))&lt;1),"Vencida"&amp;" · ","")&amp;IF(AND(ObsObligatoria="Sí",ISNUMBER($AN251),$AN251&lt;FechaRef,IF($V251="Sub",N($X251),N($M251))&lt;1,$Q251=""),"Vencida sin observación"&amp;" · ",""),LEN(IF($C251="","Falta el nombre de la actividad"&amp;" · ","")&amp;IF(AND($V251="Sub",N($U251)=0),"Subactividad sin macroactividad arriba"&amp;" · ","")&amp;IF($AM251="","Sin fecha de inicio"&amp;" · ","")&amp;IF($AN251="","Sin fecha límite"&amp;" · ","")&amp;IF(AND(LEFT($C251,11)="[Jefatura] ",N($AL251)=0),"No se encuentra en la hoja de la jefatura (elíjala de nuevo en la lista)"&amp;" · ","")&amp;IF(OR(AND($E251&lt;&gt;"",NOT(ISNUMBER($E251))),AND($F251&lt;&gt;"",NOT(ISNUMBER($F251))),AND($G251&lt;&gt;"",NOT(ISNUMBER($G251)))),"Fecha no válida"&amp;" · ","")&amp;IF(AND(ISNUMBER($AM251),ISNUMBER($AN251),$AM251&gt;$AN251),"Inicio posterior a fecha límite"&amp;" · ","")&amp;IF(AND($V251="Macro",$H251&lt;&gt;"",OR(NOT(ISNUMBER($H251)),$H251&lt;0,$H251&gt;1)),"Peso fuera de rango"&amp;" · ","")&amp;IF(AND($V251="Sub",$H251&lt;&gt;""),"Las subactividades no llevan peso (valen igual dentro de su macroactividad)"&amp;" · ","")&amp;IF(AND(N($W251)&gt;0,COUNT($I251:$L251)&gt;0),"Con subactividades: deje vacías las semanas (se calculan solas)"&amp;" · ","")&amp;IF((COUNTIF($I251:$L251,"&gt;1")+COUNTIF($I251:$L251,"&lt;0")+COUNTA($I251:$L251)-COUNT($I251:$L251))&gt;0,"Avance fuera de rango 0-100%"&amp;" · ","")&amp;IF(OR(AND($J251&lt;&gt;"",$J251&lt;$I251),AND($K251&lt;&gt;"",$K251&lt;MAX($I251:$J251)),AND($L251&lt;&gt;"",$L251&lt;MAX($I251:$K251))),"Avance semanal decreciente"&amp;" · ","")&amp;IF(AND(ISNUMBER($AN251),$AN251&lt;FechaRef,IF($V251="Sub",N($X251),N($M251))&lt;1),"Vencida"&amp;" · ","")&amp;IF(AND(ObsObligatoria="Sí",ISNUMBER($AN251),$AN251&lt;FechaRef,IF($V251="Sub",N($X251),N($M251))&lt;1,$Q251=""),"Vencida sin observación"&amp;" · ",""))-3)))</f>
        <v/>
      </c>
      <c r="S251" s="64">
        <f>IF(NOT((COUNTA($B251:$D251)+COUNTA($G251:$L251)+COUNTA($Q251))&gt;0),"",IF(AND($V251="Sub",N($U251)&gt;0),IF(ISNUMBER(INDEX($AM$5:$AM$1000,$U251-4)),DATE(YEAR(INDEX($AM$5:$AM$1000,$U251-4)),MONTH(INDEX($AM$5:$AM$1000,$U251-4)),1),IF(ISNUMBER(INDEX($AN$5:$AN$1000,$U251-4)),DATE(YEAR(INDEX($AN$5:$AN$1000,$U251-4)),MONTH(INDEX($AN$5:$AN$1000,$U251-4)),1),MesCiclo)),IF(ISNUMBER($AM251),DATE(YEAR($AM251),MONTH($AM251),1),IF(ISNUMBER($AN251),DATE(YEAR($AN251),MONTH($AN251),1),MesCiclo))))</f>
        <v/>
      </c>
      <c r="T251" s="62">
        <f>IF(OR($S251="",$S251&lt;&gt;MesCiclo,$V251&lt;&gt;"Macro"),"",COUNTIFS($S$5:$S251,MesCiclo,$V$5:$V251,"Macro"))</f>
        <v/>
      </c>
      <c r="U251" s="62">
        <f>IF($V251="","",IF($V251="Macro",ROW(),IFERROR(LOOKUP(2,1/($V$5:$V251="Macro"),ROW($V$5:$V251)),0)))</f>
        <v/>
      </c>
      <c r="V251" s="62">
        <f>IF(NOT((COUNTA($B251:$D251)+COUNTA($G251:$L251)+COUNTA($Q251))&gt;0),"",IF($B251="Subactividad","Sub","Macro"))</f>
        <v/>
      </c>
      <c r="W251" s="62">
        <f>IF($V251="Macro",COUNTIFS($U$5:$U$1000,ROW(),$V$5:$V$1000,"Sub"),"")</f>
        <v/>
      </c>
      <c r="X251" s="62">
        <f>IF($V251="","",IF(ISNUMBER($G251),1,IFERROR(LOOKUP(2,1/($I251:$L251&lt;&gt;""),$I251:$L251),0)))</f>
        <v/>
      </c>
      <c r="Y251" s="62">
        <f>IF($V251="","",IF(AND(ISNUMBER($G251),$G251&lt;=IF($S251=MesCiclo,InicioCiclo,$S251+MOD(2-WEEKDAY($S251),7))+6),1,IF(ISNUMBER($I251),$I251,0)))</f>
        <v/>
      </c>
      <c r="Z251" s="62">
        <f>IF($V251="","",IF(AND(ISNUMBER($G251),$G251&lt;=IF($S251=MesCiclo,InicioCiclo,$S251+MOD(2-WEEKDAY($S251),7))+13),1,IF(ISNUMBER($J251),$J251,$Y251)))</f>
        <v/>
      </c>
      <c r="AA251" s="62">
        <f>IF($V251="","",IF(AND(ISNUMBER($G251),$G251&lt;=IF($S251=MesCiclo,InicioCiclo,$S251+MOD(2-WEEKDAY($S251),7))+20),1,IF(ISNUMBER($K251),$K251,$Z251)))</f>
        <v/>
      </c>
      <c r="AB251" s="62">
        <f>IF($V251="","",IF(AND(ISNUMBER($G251),$G251&lt;=IF($S251=MesCiclo,InicioCiclo,$S251+MOD(2-WEEKDAY($S251),7))+27),1,IF(ISNUMBER($L251),$L251,$AA251)))</f>
        <v/>
      </c>
      <c r="AC251" s="62">
        <f>IF($V251="","",IF(AND(ISNUMBER($G251),$G251&lt;=IF($S251=MesCiclo,InicioCiclo,$S251+MOD(2-WEEKDAY($S251),7))+6),1,IF(N($W251)&gt;0,AVERAGEIFS($Y$5:$Y$1000,$U$5:$U$1000,ROW(),$V$5:$V$1000,"Sub"),$Y251)))</f>
        <v/>
      </c>
      <c r="AD251" s="62">
        <f>IF($V251="","",IF(AND(ISNUMBER($G251),$G251&lt;=IF($S251=MesCiclo,InicioCiclo,$S251+MOD(2-WEEKDAY($S251),7))+13),1,IF(N($W251)&gt;0,AVERAGEIFS($Z$5:$Z$1000,$U$5:$U$1000,ROW(),$V$5:$V$1000,"Sub"),$Z251)))</f>
        <v/>
      </c>
      <c r="AE251" s="62">
        <f>IF($V251="","",IF(AND(ISNUMBER($G251),$G251&lt;=IF($S251=MesCiclo,InicioCiclo,$S251+MOD(2-WEEKDAY($S251),7))+20),1,IF(N($W251)&gt;0,AVERAGEIFS($AA$5:$AA$1000,$U$5:$U$1000,ROW(),$V$5:$V$1000,"Sub"),$AA251)))</f>
        <v/>
      </c>
      <c r="AF251" s="62">
        <f>IF($V251="","",IF(AND(ISNUMBER($G251),$G251&lt;=IF($S251=MesCiclo,InicioCiclo,$S251+MOD(2-WEEKDAY($S251),7))+27),1,IF(N($W251)&gt;0,AVERAGEIFS($AB$5:$AB$1000,$U$5:$U$1000,ROW(),$V$5:$V$1000,"Sub"),$AB251)))</f>
        <v/>
      </c>
      <c r="AG251" s="62">
        <f>IF($V251&lt;&gt;"Macro","",IF(COUNTIFS($S$5:$S$1000,$S251,$V$5:$V$1000,"Macro",$H$5:$H$1000,"&gt;0")=0,1/COUNTIFS($S$5:$S$1000,$S251,$V$5:$V$1000,"Macro"),IF(AND(ISNUMBER($H251),N($H251)&gt;0),$H251,SUMIFS($H$5:$H$1000,$S$5:$S$1000,$S251,$V$5:$V$1000,"Macro")/COUNTIFS($S$5:$S$1000,$S251,$V$5:$V$1000,"Macro",$H$5:$H$1000,"&gt;0"))/(COUNTIFS($S$5:$S$1000,$S251,$V$5:$V$1000,"Macro")*SUMIFS($H$5:$H$1000,$S$5:$S$1000,$S251,$V$5:$V$1000,"Macro")/COUNTIFS($S$5:$S$1000,$S251,$V$5:$V$1000,"Macro",$H$5:$H$1000,"&gt;0"))))</f>
        <v/>
      </c>
      <c r="AH251" s="62" t="n"/>
      <c r="AI251" s="62" t="n"/>
      <c r="AJ251" s="62" t="n"/>
      <c r="AK251" s="62" t="n"/>
      <c r="AL251" s="62">
        <f>IF(LEFT($C251,11)="[Jefatura] ",IFERROR(MATCH("Riesgo Normativo|"&amp;MID($C251,12,500),rDname_ADM,0),0),"")</f>
        <v/>
      </c>
      <c r="AM251" s="62">
        <f>IF(N($AL251)&gt;0,INDEX(rIni_ADM,$AL251),IF(ISNUMBER($E251),$E251,""))</f>
        <v/>
      </c>
      <c r="AN251" s="62">
        <f>IF(N($AL251)&gt;0,INDEX(rLim_ADM,$AL251),IF(ISNUMBER($F251),$F251,""))</f>
        <v/>
      </c>
    </row>
    <row r="252">
      <c r="A252" s="56">
        <f>IF(NOT((COUNTA($B252:$D252)+COUNTA($G252:$L252)+COUNTA($Q252))&gt;0),"",IF($V252="Macro",COUNTIFS($V$5:$V252,"Macro",$S$5:$S252,$S252),IF(N($U252)=0,"?",COUNTIFS(INDEX($V$5:$V$1000,1):INDEX($V$5:$V$1000,$U252-4),"Macro",INDEX($S$5:$S$1000,1):INDEX($S$5:$S$1000,$U252-4),INDEX($S$5:$S$1000,$U252-4))&amp;"."&amp;COUNTIFS($U$5:$U252,$U252,$V$5:$V252,"Sub"))))</f>
        <v/>
      </c>
      <c r="B252" s="57" t="n"/>
      <c r="C252" s="58" t="n"/>
      <c r="D252" s="58" t="n"/>
      <c r="E252" s="59">
        <f>IF(N($AL252)&gt;0,INDEX(rIni_ADM,$AL252),"")</f>
        <v/>
      </c>
      <c r="F252" s="59">
        <f>IF(N($AL252)&gt;0,INDEX(rLim_ADM,$AL252),"")</f>
        <v/>
      </c>
      <c r="G252" s="59" t="n"/>
      <c r="H252" s="60" t="n"/>
      <c r="I252" s="60" t="n"/>
      <c r="J252" s="60" t="n"/>
      <c r="K252" s="60" t="n"/>
      <c r="L252" s="60" t="n"/>
      <c r="M252" s="61">
        <f>IF(NOT((COUNTA($B252:$D252)+COUNTA($G252:$L252)+COUNTA($Q252))&gt;0),"",IF($V252="Sub",IFERROR($X252/INDEX($W$5:$W$1000,$U252-4),""),IF(ISNUMBER($G252),1,IF(N($W252)&gt;0,AVERAGEIFS($X$5:$X$1000,$U$5:$U$1000,ROW(),$V$5:$V$1000,"Sub"),$X252))))</f>
        <v/>
      </c>
      <c r="N252" s="56">
        <f>IF(OR($M252="",$V252="Sub"),"",IF($M252&gt;=1,"Completado",IF($M252&gt;0,"En curso","Pendiente")))</f>
        <v/>
      </c>
      <c r="O252" s="56">
        <f>IF(OR(NOT((COUNTA($B252:$D252)+COUNTA($G252:$L252)+COUNTA($Q252))&gt;0),$V252="Sub"),"",IF(ISNUMBER($G252),IF(AND(ISNUMBER($AN252),$G252&gt;$AN252),"Cumplida con "&amp;($G252-$AN252)&amp;IF($G252-$AN252=1," día"," días")&amp;" de retraso","Cumplida"),IF(N($M252)&gt;=1,"Cumplida",IF(NOT(ISNUMBER($AN252)),"Sin fecha límite",IF($AN252&lt;FechaRef,"Vencida hace "&amp;(FechaRef-$AN252)&amp;IF(FechaRef-$AN252=1," día"," días"),IF($AN252=FechaRef,"Vence hoy",IF($AN252-FechaRef&lt;=DiasAlerta,"Vence en "&amp;($AN252-FechaRef)&amp;IF($AN252-FechaRef=1," día"," días"),"En plazo")))))))</f>
        <v/>
      </c>
      <c r="P252" s="62" t="n"/>
      <c r="Q252" s="58" t="n"/>
      <c r="R252" s="63">
        <f>IF(NOT((COUNTA($B252:$D252)+COUNTA($G252:$L252)+COUNTA($Q252))&gt;0),"",IF((IF($C252="","Falta el nombre de la actividad"&amp;" · ","")&amp;IF(AND($V252="Sub",N($U252)=0),"Subactividad sin macroactividad arriba"&amp;" · ","")&amp;IF($AM252="","Sin fecha de inicio"&amp;" · ","")&amp;IF($AN252="","Sin fecha límite"&amp;" · ","")&amp;IF(AND(LEFT($C252,11)="[Jefatura] ",N($AL252)=0),"No se encuentra en la hoja de la jefatura (elíjala de nuevo en la lista)"&amp;" · ","")&amp;IF(OR(AND($E252&lt;&gt;"",NOT(ISNUMBER($E252))),AND($F252&lt;&gt;"",NOT(ISNUMBER($F252))),AND($G252&lt;&gt;"",NOT(ISNUMBER($G252)))),"Fecha no válida"&amp;" · ","")&amp;IF(AND(ISNUMBER($AM252),ISNUMBER($AN252),$AM252&gt;$AN252),"Inicio posterior a fecha límite"&amp;" · ","")&amp;IF(AND($V252="Macro",$H252&lt;&gt;"",OR(NOT(ISNUMBER($H252)),$H252&lt;0,$H252&gt;1)),"Peso fuera de rango"&amp;" · ","")&amp;IF(AND($V252="Sub",$H252&lt;&gt;""),"Las subactividades no llevan peso (valen igual dentro de su macroactividad)"&amp;" · ","")&amp;IF(AND(N($W252)&gt;0,COUNT($I252:$L252)&gt;0),"Con subactividades: deje vacías las semanas (se calculan solas)"&amp;" · ","")&amp;IF((COUNTIF($I252:$L252,"&gt;1")+COUNTIF($I252:$L252,"&lt;0")+COUNTA($I252:$L252)-COUNT($I252:$L252))&gt;0,"Avance fuera de rango 0-100%"&amp;" · ","")&amp;IF(OR(AND($J252&lt;&gt;"",$J252&lt;$I252),AND($K252&lt;&gt;"",$K252&lt;MAX($I252:$J252)),AND($L252&lt;&gt;"",$L252&lt;MAX($I252:$K252))),"Avance semanal decreciente"&amp;" · ","")&amp;IF(AND(ISNUMBER($AN252),$AN252&lt;FechaRef,IF($V252="Sub",N($X252),N($M252))&lt;1),"Vencida"&amp;" · ","")&amp;IF(AND(ObsObligatoria="Sí",ISNUMBER($AN252),$AN252&lt;FechaRef,IF($V252="Sub",N($X252),N($M252))&lt;1,$Q252=""),"Vencida sin observación"&amp;" · ",""))="","✔ OK","⚠ "&amp;LEFT(IF($C252="","Falta el nombre de la actividad"&amp;" · ","")&amp;IF(AND($V252="Sub",N($U252)=0),"Subactividad sin macroactividad arriba"&amp;" · ","")&amp;IF($AM252="","Sin fecha de inicio"&amp;" · ","")&amp;IF($AN252="","Sin fecha límite"&amp;" · ","")&amp;IF(AND(LEFT($C252,11)="[Jefatura] ",N($AL252)=0),"No se encuentra en la hoja de la jefatura (elíjala de nuevo en la lista)"&amp;" · ","")&amp;IF(OR(AND($E252&lt;&gt;"",NOT(ISNUMBER($E252))),AND($F252&lt;&gt;"",NOT(ISNUMBER($F252))),AND($G252&lt;&gt;"",NOT(ISNUMBER($G252)))),"Fecha no válida"&amp;" · ","")&amp;IF(AND(ISNUMBER($AM252),ISNUMBER($AN252),$AM252&gt;$AN252),"Inicio posterior a fecha límite"&amp;" · ","")&amp;IF(AND($V252="Macro",$H252&lt;&gt;"",OR(NOT(ISNUMBER($H252)),$H252&lt;0,$H252&gt;1)),"Peso fuera de rango"&amp;" · ","")&amp;IF(AND($V252="Sub",$H252&lt;&gt;""),"Las subactividades no llevan peso (valen igual dentro de su macroactividad)"&amp;" · ","")&amp;IF(AND(N($W252)&gt;0,COUNT($I252:$L252)&gt;0),"Con subactividades: deje vacías las semanas (se calculan solas)"&amp;" · ","")&amp;IF((COUNTIF($I252:$L252,"&gt;1")+COUNTIF($I252:$L252,"&lt;0")+COUNTA($I252:$L252)-COUNT($I252:$L252))&gt;0,"Avance fuera de rango 0-100%"&amp;" · ","")&amp;IF(OR(AND($J252&lt;&gt;"",$J252&lt;$I252),AND($K252&lt;&gt;"",$K252&lt;MAX($I252:$J252)),AND($L252&lt;&gt;"",$L252&lt;MAX($I252:$K252))),"Avance semanal decreciente"&amp;" · ","")&amp;IF(AND(ISNUMBER($AN252),$AN252&lt;FechaRef,IF($V252="Sub",N($X252),N($M252))&lt;1),"Vencida"&amp;" · ","")&amp;IF(AND(ObsObligatoria="Sí",ISNUMBER($AN252),$AN252&lt;FechaRef,IF($V252="Sub",N($X252),N($M252))&lt;1,$Q252=""),"Vencida sin observación"&amp;" · ",""),LEN(IF($C252="","Falta el nombre de la actividad"&amp;" · ","")&amp;IF(AND($V252="Sub",N($U252)=0),"Subactividad sin macroactividad arriba"&amp;" · ","")&amp;IF($AM252="","Sin fecha de inicio"&amp;" · ","")&amp;IF($AN252="","Sin fecha límite"&amp;" · ","")&amp;IF(AND(LEFT($C252,11)="[Jefatura] ",N($AL252)=0),"No se encuentra en la hoja de la jefatura (elíjala de nuevo en la lista)"&amp;" · ","")&amp;IF(OR(AND($E252&lt;&gt;"",NOT(ISNUMBER($E252))),AND($F252&lt;&gt;"",NOT(ISNUMBER($F252))),AND($G252&lt;&gt;"",NOT(ISNUMBER($G252)))),"Fecha no válida"&amp;" · ","")&amp;IF(AND(ISNUMBER($AM252),ISNUMBER($AN252),$AM252&gt;$AN252),"Inicio posterior a fecha límite"&amp;" · ","")&amp;IF(AND($V252="Macro",$H252&lt;&gt;"",OR(NOT(ISNUMBER($H252)),$H252&lt;0,$H252&gt;1)),"Peso fuera de rango"&amp;" · ","")&amp;IF(AND($V252="Sub",$H252&lt;&gt;""),"Las subactividades no llevan peso (valen igual dentro de su macroactividad)"&amp;" · ","")&amp;IF(AND(N($W252)&gt;0,COUNT($I252:$L252)&gt;0),"Con subactividades: deje vacías las semanas (se calculan solas)"&amp;" · ","")&amp;IF((COUNTIF($I252:$L252,"&gt;1")+COUNTIF($I252:$L252,"&lt;0")+COUNTA($I252:$L252)-COUNT($I252:$L252))&gt;0,"Avance fuera de rango 0-100%"&amp;" · ","")&amp;IF(OR(AND($J252&lt;&gt;"",$J252&lt;$I252),AND($K252&lt;&gt;"",$K252&lt;MAX($I252:$J252)),AND($L252&lt;&gt;"",$L252&lt;MAX($I252:$K252))),"Avance semanal decreciente"&amp;" · ","")&amp;IF(AND(ISNUMBER($AN252),$AN252&lt;FechaRef,IF($V252="Sub",N($X252),N($M252))&lt;1),"Vencida"&amp;" · ","")&amp;IF(AND(ObsObligatoria="Sí",ISNUMBER($AN252),$AN252&lt;FechaRef,IF($V252="Sub",N($X252),N($M252))&lt;1,$Q252=""),"Vencida sin observación"&amp;" · ",""))-3)))</f>
        <v/>
      </c>
      <c r="S252" s="64">
        <f>IF(NOT((COUNTA($B252:$D252)+COUNTA($G252:$L252)+COUNTA($Q252))&gt;0),"",IF(AND($V252="Sub",N($U252)&gt;0),IF(ISNUMBER(INDEX($AM$5:$AM$1000,$U252-4)),DATE(YEAR(INDEX($AM$5:$AM$1000,$U252-4)),MONTH(INDEX($AM$5:$AM$1000,$U252-4)),1),IF(ISNUMBER(INDEX($AN$5:$AN$1000,$U252-4)),DATE(YEAR(INDEX($AN$5:$AN$1000,$U252-4)),MONTH(INDEX($AN$5:$AN$1000,$U252-4)),1),MesCiclo)),IF(ISNUMBER($AM252),DATE(YEAR($AM252),MONTH($AM252),1),IF(ISNUMBER($AN252),DATE(YEAR($AN252),MONTH($AN252),1),MesCiclo))))</f>
        <v/>
      </c>
      <c r="T252" s="62">
        <f>IF(OR($S252="",$S252&lt;&gt;MesCiclo,$V252&lt;&gt;"Macro"),"",COUNTIFS($S$5:$S252,MesCiclo,$V$5:$V252,"Macro"))</f>
        <v/>
      </c>
      <c r="U252" s="62">
        <f>IF($V252="","",IF($V252="Macro",ROW(),IFERROR(LOOKUP(2,1/($V$5:$V252="Macro"),ROW($V$5:$V252)),0)))</f>
        <v/>
      </c>
      <c r="V252" s="62">
        <f>IF(NOT((COUNTA($B252:$D252)+COUNTA($G252:$L252)+COUNTA($Q252))&gt;0),"",IF($B252="Subactividad","Sub","Macro"))</f>
        <v/>
      </c>
      <c r="W252" s="62">
        <f>IF($V252="Macro",COUNTIFS($U$5:$U$1000,ROW(),$V$5:$V$1000,"Sub"),"")</f>
        <v/>
      </c>
      <c r="X252" s="62">
        <f>IF($V252="","",IF(ISNUMBER($G252),1,IFERROR(LOOKUP(2,1/($I252:$L252&lt;&gt;""),$I252:$L252),0)))</f>
        <v/>
      </c>
      <c r="Y252" s="62">
        <f>IF($V252="","",IF(AND(ISNUMBER($G252),$G252&lt;=IF($S252=MesCiclo,InicioCiclo,$S252+MOD(2-WEEKDAY($S252),7))+6),1,IF(ISNUMBER($I252),$I252,0)))</f>
        <v/>
      </c>
      <c r="Z252" s="62">
        <f>IF($V252="","",IF(AND(ISNUMBER($G252),$G252&lt;=IF($S252=MesCiclo,InicioCiclo,$S252+MOD(2-WEEKDAY($S252),7))+13),1,IF(ISNUMBER($J252),$J252,$Y252)))</f>
        <v/>
      </c>
      <c r="AA252" s="62">
        <f>IF($V252="","",IF(AND(ISNUMBER($G252),$G252&lt;=IF($S252=MesCiclo,InicioCiclo,$S252+MOD(2-WEEKDAY($S252),7))+20),1,IF(ISNUMBER($K252),$K252,$Z252)))</f>
        <v/>
      </c>
      <c r="AB252" s="62">
        <f>IF($V252="","",IF(AND(ISNUMBER($G252),$G252&lt;=IF($S252=MesCiclo,InicioCiclo,$S252+MOD(2-WEEKDAY($S252),7))+27),1,IF(ISNUMBER($L252),$L252,$AA252)))</f>
        <v/>
      </c>
      <c r="AC252" s="62">
        <f>IF($V252="","",IF(AND(ISNUMBER($G252),$G252&lt;=IF($S252=MesCiclo,InicioCiclo,$S252+MOD(2-WEEKDAY($S252),7))+6),1,IF(N($W252)&gt;0,AVERAGEIFS($Y$5:$Y$1000,$U$5:$U$1000,ROW(),$V$5:$V$1000,"Sub"),$Y252)))</f>
        <v/>
      </c>
      <c r="AD252" s="62">
        <f>IF($V252="","",IF(AND(ISNUMBER($G252),$G252&lt;=IF($S252=MesCiclo,InicioCiclo,$S252+MOD(2-WEEKDAY($S252),7))+13),1,IF(N($W252)&gt;0,AVERAGEIFS($Z$5:$Z$1000,$U$5:$U$1000,ROW(),$V$5:$V$1000,"Sub"),$Z252)))</f>
        <v/>
      </c>
      <c r="AE252" s="62">
        <f>IF($V252="","",IF(AND(ISNUMBER($G252),$G252&lt;=IF($S252=MesCiclo,InicioCiclo,$S252+MOD(2-WEEKDAY($S252),7))+20),1,IF(N($W252)&gt;0,AVERAGEIFS($AA$5:$AA$1000,$U$5:$U$1000,ROW(),$V$5:$V$1000,"Sub"),$AA252)))</f>
        <v/>
      </c>
      <c r="AF252" s="62">
        <f>IF($V252="","",IF(AND(ISNUMBER($G252),$G252&lt;=IF($S252=MesCiclo,InicioCiclo,$S252+MOD(2-WEEKDAY($S252),7))+27),1,IF(N($W252)&gt;0,AVERAGEIFS($AB$5:$AB$1000,$U$5:$U$1000,ROW(),$V$5:$V$1000,"Sub"),$AB252)))</f>
        <v/>
      </c>
      <c r="AG252" s="62">
        <f>IF($V252&lt;&gt;"Macro","",IF(COUNTIFS($S$5:$S$1000,$S252,$V$5:$V$1000,"Macro",$H$5:$H$1000,"&gt;0")=0,1/COUNTIFS($S$5:$S$1000,$S252,$V$5:$V$1000,"Macro"),IF(AND(ISNUMBER($H252),N($H252)&gt;0),$H252,SUMIFS($H$5:$H$1000,$S$5:$S$1000,$S252,$V$5:$V$1000,"Macro")/COUNTIFS($S$5:$S$1000,$S252,$V$5:$V$1000,"Macro",$H$5:$H$1000,"&gt;0"))/(COUNTIFS($S$5:$S$1000,$S252,$V$5:$V$1000,"Macro")*SUMIFS($H$5:$H$1000,$S$5:$S$1000,$S252,$V$5:$V$1000,"Macro")/COUNTIFS($S$5:$S$1000,$S252,$V$5:$V$1000,"Macro",$H$5:$H$1000,"&gt;0"))))</f>
        <v/>
      </c>
      <c r="AH252" s="62" t="n"/>
      <c r="AI252" s="62" t="n"/>
      <c r="AJ252" s="62" t="n"/>
      <c r="AK252" s="62" t="n"/>
      <c r="AL252" s="62">
        <f>IF(LEFT($C252,11)="[Jefatura] ",IFERROR(MATCH("Riesgo Normativo|"&amp;MID($C252,12,500),rDname_ADM,0),0),"")</f>
        <v/>
      </c>
      <c r="AM252" s="62">
        <f>IF(N($AL252)&gt;0,INDEX(rIni_ADM,$AL252),IF(ISNUMBER($E252),$E252,""))</f>
        <v/>
      </c>
      <c r="AN252" s="62">
        <f>IF(N($AL252)&gt;0,INDEX(rLim_ADM,$AL252),IF(ISNUMBER($F252),$F252,""))</f>
        <v/>
      </c>
    </row>
    <row r="253">
      <c r="A253" s="56">
        <f>IF(NOT((COUNTA($B253:$D253)+COUNTA($G253:$L253)+COUNTA($Q253))&gt;0),"",IF($V253="Macro",COUNTIFS($V$5:$V253,"Macro",$S$5:$S253,$S253),IF(N($U253)=0,"?",COUNTIFS(INDEX($V$5:$V$1000,1):INDEX($V$5:$V$1000,$U253-4),"Macro",INDEX($S$5:$S$1000,1):INDEX($S$5:$S$1000,$U253-4),INDEX($S$5:$S$1000,$U253-4))&amp;"."&amp;COUNTIFS($U$5:$U253,$U253,$V$5:$V253,"Sub"))))</f>
        <v/>
      </c>
      <c r="B253" s="57" t="n"/>
      <c r="C253" s="58" t="n"/>
      <c r="D253" s="58" t="n"/>
      <c r="E253" s="59">
        <f>IF(N($AL253)&gt;0,INDEX(rIni_ADM,$AL253),"")</f>
        <v/>
      </c>
      <c r="F253" s="59">
        <f>IF(N($AL253)&gt;0,INDEX(rLim_ADM,$AL253),"")</f>
        <v/>
      </c>
      <c r="G253" s="59" t="n"/>
      <c r="H253" s="60" t="n"/>
      <c r="I253" s="60" t="n"/>
      <c r="J253" s="60" t="n"/>
      <c r="K253" s="60" t="n"/>
      <c r="L253" s="60" t="n"/>
      <c r="M253" s="61">
        <f>IF(NOT((COUNTA($B253:$D253)+COUNTA($G253:$L253)+COUNTA($Q253))&gt;0),"",IF($V253="Sub",IFERROR($X253/INDEX($W$5:$W$1000,$U253-4),""),IF(ISNUMBER($G253),1,IF(N($W253)&gt;0,AVERAGEIFS($X$5:$X$1000,$U$5:$U$1000,ROW(),$V$5:$V$1000,"Sub"),$X253))))</f>
        <v/>
      </c>
      <c r="N253" s="56">
        <f>IF(OR($M253="",$V253="Sub"),"",IF($M253&gt;=1,"Completado",IF($M253&gt;0,"En curso","Pendiente")))</f>
        <v/>
      </c>
      <c r="O253" s="56">
        <f>IF(OR(NOT((COUNTA($B253:$D253)+COUNTA($G253:$L253)+COUNTA($Q253))&gt;0),$V253="Sub"),"",IF(ISNUMBER($G253),IF(AND(ISNUMBER($AN253),$G253&gt;$AN253),"Cumplida con "&amp;($G253-$AN253)&amp;IF($G253-$AN253=1," día"," días")&amp;" de retraso","Cumplida"),IF(N($M253)&gt;=1,"Cumplida",IF(NOT(ISNUMBER($AN253)),"Sin fecha límite",IF($AN253&lt;FechaRef,"Vencida hace "&amp;(FechaRef-$AN253)&amp;IF(FechaRef-$AN253=1," día"," días"),IF($AN253=FechaRef,"Vence hoy",IF($AN253-FechaRef&lt;=DiasAlerta,"Vence en "&amp;($AN253-FechaRef)&amp;IF($AN253-FechaRef=1," día"," días"),"En plazo")))))))</f>
        <v/>
      </c>
      <c r="P253" s="62" t="n"/>
      <c r="Q253" s="58" t="n"/>
      <c r="R253" s="63">
        <f>IF(NOT((COUNTA($B253:$D253)+COUNTA($G253:$L253)+COUNTA($Q253))&gt;0),"",IF((IF($C253="","Falta el nombre de la actividad"&amp;" · ","")&amp;IF(AND($V253="Sub",N($U253)=0),"Subactividad sin macroactividad arriba"&amp;" · ","")&amp;IF($AM253="","Sin fecha de inicio"&amp;" · ","")&amp;IF($AN253="","Sin fecha límite"&amp;" · ","")&amp;IF(AND(LEFT($C253,11)="[Jefatura] ",N($AL253)=0),"No se encuentra en la hoja de la jefatura (elíjala de nuevo en la lista)"&amp;" · ","")&amp;IF(OR(AND($E253&lt;&gt;"",NOT(ISNUMBER($E253))),AND($F253&lt;&gt;"",NOT(ISNUMBER($F253))),AND($G253&lt;&gt;"",NOT(ISNUMBER($G253)))),"Fecha no válida"&amp;" · ","")&amp;IF(AND(ISNUMBER($AM253),ISNUMBER($AN253),$AM253&gt;$AN253),"Inicio posterior a fecha límite"&amp;" · ","")&amp;IF(AND($V253="Macro",$H253&lt;&gt;"",OR(NOT(ISNUMBER($H253)),$H253&lt;0,$H253&gt;1)),"Peso fuera de rango"&amp;" · ","")&amp;IF(AND($V253="Sub",$H253&lt;&gt;""),"Las subactividades no llevan peso (valen igual dentro de su macroactividad)"&amp;" · ","")&amp;IF(AND(N($W253)&gt;0,COUNT($I253:$L253)&gt;0),"Con subactividades: deje vacías las semanas (se calculan solas)"&amp;" · ","")&amp;IF((COUNTIF($I253:$L253,"&gt;1")+COUNTIF($I253:$L253,"&lt;0")+COUNTA($I253:$L253)-COUNT($I253:$L253))&gt;0,"Avance fuera de rango 0-100%"&amp;" · ","")&amp;IF(OR(AND($J253&lt;&gt;"",$J253&lt;$I253),AND($K253&lt;&gt;"",$K253&lt;MAX($I253:$J253)),AND($L253&lt;&gt;"",$L253&lt;MAX($I253:$K253))),"Avance semanal decreciente"&amp;" · ","")&amp;IF(AND(ISNUMBER($AN253),$AN253&lt;FechaRef,IF($V253="Sub",N($X253),N($M253))&lt;1),"Vencida"&amp;" · ","")&amp;IF(AND(ObsObligatoria="Sí",ISNUMBER($AN253),$AN253&lt;FechaRef,IF($V253="Sub",N($X253),N($M253))&lt;1,$Q253=""),"Vencida sin observación"&amp;" · ",""))="","✔ OK","⚠ "&amp;LEFT(IF($C253="","Falta el nombre de la actividad"&amp;" · ","")&amp;IF(AND($V253="Sub",N($U253)=0),"Subactividad sin macroactividad arriba"&amp;" · ","")&amp;IF($AM253="","Sin fecha de inicio"&amp;" · ","")&amp;IF($AN253="","Sin fecha límite"&amp;" · ","")&amp;IF(AND(LEFT($C253,11)="[Jefatura] ",N($AL253)=0),"No se encuentra en la hoja de la jefatura (elíjala de nuevo en la lista)"&amp;" · ","")&amp;IF(OR(AND($E253&lt;&gt;"",NOT(ISNUMBER($E253))),AND($F253&lt;&gt;"",NOT(ISNUMBER($F253))),AND($G253&lt;&gt;"",NOT(ISNUMBER($G253)))),"Fecha no válida"&amp;" · ","")&amp;IF(AND(ISNUMBER($AM253),ISNUMBER($AN253),$AM253&gt;$AN253),"Inicio posterior a fecha límite"&amp;" · ","")&amp;IF(AND($V253="Macro",$H253&lt;&gt;"",OR(NOT(ISNUMBER($H253)),$H253&lt;0,$H253&gt;1)),"Peso fuera de rango"&amp;" · ","")&amp;IF(AND($V253="Sub",$H253&lt;&gt;""),"Las subactividades no llevan peso (valen igual dentro de su macroactividad)"&amp;" · ","")&amp;IF(AND(N($W253)&gt;0,COUNT($I253:$L253)&gt;0),"Con subactividades: deje vacías las semanas (se calculan solas)"&amp;" · ","")&amp;IF((COUNTIF($I253:$L253,"&gt;1")+COUNTIF($I253:$L253,"&lt;0")+COUNTA($I253:$L253)-COUNT($I253:$L253))&gt;0,"Avance fuera de rango 0-100%"&amp;" · ","")&amp;IF(OR(AND($J253&lt;&gt;"",$J253&lt;$I253),AND($K253&lt;&gt;"",$K253&lt;MAX($I253:$J253)),AND($L253&lt;&gt;"",$L253&lt;MAX($I253:$K253))),"Avance semanal decreciente"&amp;" · ","")&amp;IF(AND(ISNUMBER($AN253),$AN253&lt;FechaRef,IF($V253="Sub",N($X253),N($M253))&lt;1),"Vencida"&amp;" · ","")&amp;IF(AND(ObsObligatoria="Sí",ISNUMBER($AN253),$AN253&lt;FechaRef,IF($V253="Sub",N($X253),N($M253))&lt;1,$Q253=""),"Vencida sin observación"&amp;" · ",""),LEN(IF($C253="","Falta el nombre de la actividad"&amp;" · ","")&amp;IF(AND($V253="Sub",N($U253)=0),"Subactividad sin macroactividad arriba"&amp;" · ","")&amp;IF($AM253="","Sin fecha de inicio"&amp;" · ","")&amp;IF($AN253="","Sin fecha límite"&amp;" · ","")&amp;IF(AND(LEFT($C253,11)="[Jefatura] ",N($AL253)=0),"No se encuentra en la hoja de la jefatura (elíjala de nuevo en la lista)"&amp;" · ","")&amp;IF(OR(AND($E253&lt;&gt;"",NOT(ISNUMBER($E253))),AND($F253&lt;&gt;"",NOT(ISNUMBER($F253))),AND($G253&lt;&gt;"",NOT(ISNUMBER($G253)))),"Fecha no válida"&amp;" · ","")&amp;IF(AND(ISNUMBER($AM253),ISNUMBER($AN253),$AM253&gt;$AN253),"Inicio posterior a fecha límite"&amp;" · ","")&amp;IF(AND($V253="Macro",$H253&lt;&gt;"",OR(NOT(ISNUMBER($H253)),$H253&lt;0,$H253&gt;1)),"Peso fuera de rango"&amp;" · ","")&amp;IF(AND($V253="Sub",$H253&lt;&gt;""),"Las subactividades no llevan peso (valen igual dentro de su macroactividad)"&amp;" · ","")&amp;IF(AND(N($W253)&gt;0,COUNT($I253:$L253)&gt;0),"Con subactividades: deje vacías las semanas (se calculan solas)"&amp;" · ","")&amp;IF((COUNTIF($I253:$L253,"&gt;1")+COUNTIF($I253:$L253,"&lt;0")+COUNTA($I253:$L253)-COUNT($I253:$L253))&gt;0,"Avance fuera de rango 0-100%"&amp;" · ","")&amp;IF(OR(AND($J253&lt;&gt;"",$J253&lt;$I253),AND($K253&lt;&gt;"",$K253&lt;MAX($I253:$J253)),AND($L253&lt;&gt;"",$L253&lt;MAX($I253:$K253))),"Avance semanal decreciente"&amp;" · ","")&amp;IF(AND(ISNUMBER($AN253),$AN253&lt;FechaRef,IF($V253="Sub",N($X253),N($M253))&lt;1),"Vencida"&amp;" · ","")&amp;IF(AND(ObsObligatoria="Sí",ISNUMBER($AN253),$AN253&lt;FechaRef,IF($V253="Sub",N($X253),N($M253))&lt;1,$Q253=""),"Vencida sin observación"&amp;" · ",""))-3)))</f>
        <v/>
      </c>
      <c r="S253" s="64">
        <f>IF(NOT((COUNTA($B253:$D253)+COUNTA($G253:$L253)+COUNTA($Q253))&gt;0),"",IF(AND($V253="Sub",N($U253)&gt;0),IF(ISNUMBER(INDEX($AM$5:$AM$1000,$U253-4)),DATE(YEAR(INDEX($AM$5:$AM$1000,$U253-4)),MONTH(INDEX($AM$5:$AM$1000,$U253-4)),1),IF(ISNUMBER(INDEX($AN$5:$AN$1000,$U253-4)),DATE(YEAR(INDEX($AN$5:$AN$1000,$U253-4)),MONTH(INDEX($AN$5:$AN$1000,$U253-4)),1),MesCiclo)),IF(ISNUMBER($AM253),DATE(YEAR($AM253),MONTH($AM253),1),IF(ISNUMBER($AN253),DATE(YEAR($AN253),MONTH($AN253),1),MesCiclo))))</f>
        <v/>
      </c>
      <c r="T253" s="62">
        <f>IF(OR($S253="",$S253&lt;&gt;MesCiclo,$V253&lt;&gt;"Macro"),"",COUNTIFS($S$5:$S253,MesCiclo,$V$5:$V253,"Macro"))</f>
        <v/>
      </c>
      <c r="U253" s="62">
        <f>IF($V253="","",IF($V253="Macro",ROW(),IFERROR(LOOKUP(2,1/($V$5:$V253="Macro"),ROW($V$5:$V253)),0)))</f>
        <v/>
      </c>
      <c r="V253" s="62">
        <f>IF(NOT((COUNTA($B253:$D253)+COUNTA($G253:$L253)+COUNTA($Q253))&gt;0),"",IF($B253="Subactividad","Sub","Macro"))</f>
        <v/>
      </c>
      <c r="W253" s="62">
        <f>IF($V253="Macro",COUNTIFS($U$5:$U$1000,ROW(),$V$5:$V$1000,"Sub"),"")</f>
        <v/>
      </c>
      <c r="X253" s="62">
        <f>IF($V253="","",IF(ISNUMBER($G253),1,IFERROR(LOOKUP(2,1/($I253:$L253&lt;&gt;""),$I253:$L253),0)))</f>
        <v/>
      </c>
      <c r="Y253" s="62">
        <f>IF($V253="","",IF(AND(ISNUMBER($G253),$G253&lt;=IF($S253=MesCiclo,InicioCiclo,$S253+MOD(2-WEEKDAY($S253),7))+6),1,IF(ISNUMBER($I253),$I253,0)))</f>
        <v/>
      </c>
      <c r="Z253" s="62">
        <f>IF($V253="","",IF(AND(ISNUMBER($G253),$G253&lt;=IF($S253=MesCiclo,InicioCiclo,$S253+MOD(2-WEEKDAY($S253),7))+13),1,IF(ISNUMBER($J253),$J253,$Y253)))</f>
        <v/>
      </c>
      <c r="AA253" s="62">
        <f>IF($V253="","",IF(AND(ISNUMBER($G253),$G253&lt;=IF($S253=MesCiclo,InicioCiclo,$S253+MOD(2-WEEKDAY($S253),7))+20),1,IF(ISNUMBER($K253),$K253,$Z253)))</f>
        <v/>
      </c>
      <c r="AB253" s="62">
        <f>IF($V253="","",IF(AND(ISNUMBER($G253),$G253&lt;=IF($S253=MesCiclo,InicioCiclo,$S253+MOD(2-WEEKDAY($S253),7))+27),1,IF(ISNUMBER($L253),$L253,$AA253)))</f>
        <v/>
      </c>
      <c r="AC253" s="62">
        <f>IF($V253="","",IF(AND(ISNUMBER($G253),$G253&lt;=IF($S253=MesCiclo,InicioCiclo,$S253+MOD(2-WEEKDAY($S253),7))+6),1,IF(N($W253)&gt;0,AVERAGEIFS($Y$5:$Y$1000,$U$5:$U$1000,ROW(),$V$5:$V$1000,"Sub"),$Y253)))</f>
        <v/>
      </c>
      <c r="AD253" s="62">
        <f>IF($V253="","",IF(AND(ISNUMBER($G253),$G253&lt;=IF($S253=MesCiclo,InicioCiclo,$S253+MOD(2-WEEKDAY($S253),7))+13),1,IF(N($W253)&gt;0,AVERAGEIFS($Z$5:$Z$1000,$U$5:$U$1000,ROW(),$V$5:$V$1000,"Sub"),$Z253)))</f>
        <v/>
      </c>
      <c r="AE253" s="62">
        <f>IF($V253="","",IF(AND(ISNUMBER($G253),$G253&lt;=IF($S253=MesCiclo,InicioCiclo,$S253+MOD(2-WEEKDAY($S253),7))+20),1,IF(N($W253)&gt;0,AVERAGEIFS($AA$5:$AA$1000,$U$5:$U$1000,ROW(),$V$5:$V$1000,"Sub"),$AA253)))</f>
        <v/>
      </c>
      <c r="AF253" s="62">
        <f>IF($V253="","",IF(AND(ISNUMBER($G253),$G253&lt;=IF($S253=MesCiclo,InicioCiclo,$S253+MOD(2-WEEKDAY($S253),7))+27),1,IF(N($W253)&gt;0,AVERAGEIFS($AB$5:$AB$1000,$U$5:$U$1000,ROW(),$V$5:$V$1000,"Sub"),$AB253)))</f>
        <v/>
      </c>
      <c r="AG253" s="62">
        <f>IF($V253&lt;&gt;"Macro","",IF(COUNTIFS($S$5:$S$1000,$S253,$V$5:$V$1000,"Macro",$H$5:$H$1000,"&gt;0")=0,1/COUNTIFS($S$5:$S$1000,$S253,$V$5:$V$1000,"Macro"),IF(AND(ISNUMBER($H253),N($H253)&gt;0),$H253,SUMIFS($H$5:$H$1000,$S$5:$S$1000,$S253,$V$5:$V$1000,"Macro")/COUNTIFS($S$5:$S$1000,$S253,$V$5:$V$1000,"Macro",$H$5:$H$1000,"&gt;0"))/(COUNTIFS($S$5:$S$1000,$S253,$V$5:$V$1000,"Macro")*SUMIFS($H$5:$H$1000,$S$5:$S$1000,$S253,$V$5:$V$1000,"Macro")/COUNTIFS($S$5:$S$1000,$S253,$V$5:$V$1000,"Macro",$H$5:$H$1000,"&gt;0"))))</f>
        <v/>
      </c>
      <c r="AH253" s="62" t="n"/>
      <c r="AI253" s="62" t="n"/>
      <c r="AJ253" s="62" t="n"/>
      <c r="AK253" s="62" t="n"/>
      <c r="AL253" s="62">
        <f>IF(LEFT($C253,11)="[Jefatura] ",IFERROR(MATCH("Riesgo Normativo|"&amp;MID($C253,12,500),rDname_ADM,0),0),"")</f>
        <v/>
      </c>
      <c r="AM253" s="62">
        <f>IF(N($AL253)&gt;0,INDEX(rIni_ADM,$AL253),IF(ISNUMBER($E253),$E253,""))</f>
        <v/>
      </c>
      <c r="AN253" s="62">
        <f>IF(N($AL253)&gt;0,INDEX(rLim_ADM,$AL253),IF(ISNUMBER($F253),$F253,""))</f>
        <v/>
      </c>
    </row>
    <row r="254">
      <c r="A254" s="56">
        <f>IF(NOT((COUNTA($B254:$D254)+COUNTA($G254:$L254)+COUNTA($Q254))&gt;0),"",IF($V254="Macro",COUNTIFS($V$5:$V254,"Macro",$S$5:$S254,$S254),IF(N($U254)=0,"?",COUNTIFS(INDEX($V$5:$V$1000,1):INDEX($V$5:$V$1000,$U254-4),"Macro",INDEX($S$5:$S$1000,1):INDEX($S$5:$S$1000,$U254-4),INDEX($S$5:$S$1000,$U254-4))&amp;"."&amp;COUNTIFS($U$5:$U254,$U254,$V$5:$V254,"Sub"))))</f>
        <v/>
      </c>
      <c r="B254" s="57" t="n"/>
      <c r="C254" s="58" t="n"/>
      <c r="D254" s="58" t="n"/>
      <c r="E254" s="59">
        <f>IF(N($AL254)&gt;0,INDEX(rIni_ADM,$AL254),"")</f>
        <v/>
      </c>
      <c r="F254" s="59">
        <f>IF(N($AL254)&gt;0,INDEX(rLim_ADM,$AL254),"")</f>
        <v/>
      </c>
      <c r="G254" s="59" t="n"/>
      <c r="H254" s="60" t="n"/>
      <c r="I254" s="60" t="n"/>
      <c r="J254" s="60" t="n"/>
      <c r="K254" s="60" t="n"/>
      <c r="L254" s="60" t="n"/>
      <c r="M254" s="61">
        <f>IF(NOT((COUNTA($B254:$D254)+COUNTA($G254:$L254)+COUNTA($Q254))&gt;0),"",IF($V254="Sub",IFERROR($X254/INDEX($W$5:$W$1000,$U254-4),""),IF(ISNUMBER($G254),1,IF(N($W254)&gt;0,AVERAGEIFS($X$5:$X$1000,$U$5:$U$1000,ROW(),$V$5:$V$1000,"Sub"),$X254))))</f>
        <v/>
      </c>
      <c r="N254" s="56">
        <f>IF(OR($M254="",$V254="Sub"),"",IF($M254&gt;=1,"Completado",IF($M254&gt;0,"En curso","Pendiente")))</f>
        <v/>
      </c>
      <c r="O254" s="56">
        <f>IF(OR(NOT((COUNTA($B254:$D254)+COUNTA($G254:$L254)+COUNTA($Q254))&gt;0),$V254="Sub"),"",IF(ISNUMBER($G254),IF(AND(ISNUMBER($AN254),$G254&gt;$AN254),"Cumplida con "&amp;($G254-$AN254)&amp;IF($G254-$AN254=1," día"," días")&amp;" de retraso","Cumplida"),IF(N($M254)&gt;=1,"Cumplida",IF(NOT(ISNUMBER($AN254)),"Sin fecha límite",IF($AN254&lt;FechaRef,"Vencida hace "&amp;(FechaRef-$AN254)&amp;IF(FechaRef-$AN254=1," día"," días"),IF($AN254=FechaRef,"Vence hoy",IF($AN254-FechaRef&lt;=DiasAlerta,"Vence en "&amp;($AN254-FechaRef)&amp;IF($AN254-FechaRef=1," día"," días"),"En plazo")))))))</f>
        <v/>
      </c>
      <c r="P254" s="62" t="n"/>
      <c r="Q254" s="58" t="n"/>
      <c r="R254" s="63">
        <f>IF(NOT((COUNTA($B254:$D254)+COUNTA($G254:$L254)+COUNTA($Q254))&gt;0),"",IF((IF($C254="","Falta el nombre de la actividad"&amp;" · ","")&amp;IF(AND($V254="Sub",N($U254)=0),"Subactividad sin macroactividad arriba"&amp;" · ","")&amp;IF($AM254="","Sin fecha de inicio"&amp;" · ","")&amp;IF($AN254="","Sin fecha límite"&amp;" · ","")&amp;IF(AND(LEFT($C254,11)="[Jefatura] ",N($AL254)=0),"No se encuentra en la hoja de la jefatura (elíjala de nuevo en la lista)"&amp;" · ","")&amp;IF(OR(AND($E254&lt;&gt;"",NOT(ISNUMBER($E254))),AND($F254&lt;&gt;"",NOT(ISNUMBER($F254))),AND($G254&lt;&gt;"",NOT(ISNUMBER($G254)))),"Fecha no válida"&amp;" · ","")&amp;IF(AND(ISNUMBER($AM254),ISNUMBER($AN254),$AM254&gt;$AN254),"Inicio posterior a fecha límite"&amp;" · ","")&amp;IF(AND($V254="Macro",$H254&lt;&gt;"",OR(NOT(ISNUMBER($H254)),$H254&lt;0,$H254&gt;1)),"Peso fuera de rango"&amp;" · ","")&amp;IF(AND($V254="Sub",$H254&lt;&gt;""),"Las subactividades no llevan peso (valen igual dentro de su macroactividad)"&amp;" · ","")&amp;IF(AND(N($W254)&gt;0,COUNT($I254:$L254)&gt;0),"Con subactividades: deje vacías las semanas (se calculan solas)"&amp;" · ","")&amp;IF((COUNTIF($I254:$L254,"&gt;1")+COUNTIF($I254:$L254,"&lt;0")+COUNTA($I254:$L254)-COUNT($I254:$L254))&gt;0,"Avance fuera de rango 0-100%"&amp;" · ","")&amp;IF(OR(AND($J254&lt;&gt;"",$J254&lt;$I254),AND($K254&lt;&gt;"",$K254&lt;MAX($I254:$J254)),AND($L254&lt;&gt;"",$L254&lt;MAX($I254:$K254))),"Avance semanal decreciente"&amp;" · ","")&amp;IF(AND(ISNUMBER($AN254),$AN254&lt;FechaRef,IF($V254="Sub",N($X254),N($M254))&lt;1),"Vencida"&amp;" · ","")&amp;IF(AND(ObsObligatoria="Sí",ISNUMBER($AN254),$AN254&lt;FechaRef,IF($V254="Sub",N($X254),N($M254))&lt;1,$Q254=""),"Vencida sin observación"&amp;" · ",""))="","✔ OK","⚠ "&amp;LEFT(IF($C254="","Falta el nombre de la actividad"&amp;" · ","")&amp;IF(AND($V254="Sub",N($U254)=0),"Subactividad sin macroactividad arriba"&amp;" · ","")&amp;IF($AM254="","Sin fecha de inicio"&amp;" · ","")&amp;IF($AN254="","Sin fecha límite"&amp;" · ","")&amp;IF(AND(LEFT($C254,11)="[Jefatura] ",N($AL254)=0),"No se encuentra en la hoja de la jefatura (elíjala de nuevo en la lista)"&amp;" · ","")&amp;IF(OR(AND($E254&lt;&gt;"",NOT(ISNUMBER($E254))),AND($F254&lt;&gt;"",NOT(ISNUMBER($F254))),AND($G254&lt;&gt;"",NOT(ISNUMBER($G254)))),"Fecha no válida"&amp;" · ","")&amp;IF(AND(ISNUMBER($AM254),ISNUMBER($AN254),$AM254&gt;$AN254),"Inicio posterior a fecha límite"&amp;" · ","")&amp;IF(AND($V254="Macro",$H254&lt;&gt;"",OR(NOT(ISNUMBER($H254)),$H254&lt;0,$H254&gt;1)),"Peso fuera de rango"&amp;" · ","")&amp;IF(AND($V254="Sub",$H254&lt;&gt;""),"Las subactividades no llevan peso (valen igual dentro de su macroactividad)"&amp;" · ","")&amp;IF(AND(N($W254)&gt;0,COUNT($I254:$L254)&gt;0),"Con subactividades: deje vacías las semanas (se calculan solas)"&amp;" · ","")&amp;IF((COUNTIF($I254:$L254,"&gt;1")+COUNTIF($I254:$L254,"&lt;0")+COUNTA($I254:$L254)-COUNT($I254:$L254))&gt;0,"Avance fuera de rango 0-100%"&amp;" · ","")&amp;IF(OR(AND($J254&lt;&gt;"",$J254&lt;$I254),AND($K254&lt;&gt;"",$K254&lt;MAX($I254:$J254)),AND($L254&lt;&gt;"",$L254&lt;MAX($I254:$K254))),"Avance semanal decreciente"&amp;" · ","")&amp;IF(AND(ISNUMBER($AN254),$AN254&lt;FechaRef,IF($V254="Sub",N($X254),N($M254))&lt;1),"Vencida"&amp;" · ","")&amp;IF(AND(ObsObligatoria="Sí",ISNUMBER($AN254),$AN254&lt;FechaRef,IF($V254="Sub",N($X254),N($M254))&lt;1,$Q254=""),"Vencida sin observación"&amp;" · ",""),LEN(IF($C254="","Falta el nombre de la actividad"&amp;" · ","")&amp;IF(AND($V254="Sub",N($U254)=0),"Subactividad sin macroactividad arriba"&amp;" · ","")&amp;IF($AM254="","Sin fecha de inicio"&amp;" · ","")&amp;IF($AN254="","Sin fecha límite"&amp;" · ","")&amp;IF(AND(LEFT($C254,11)="[Jefatura] ",N($AL254)=0),"No se encuentra en la hoja de la jefatura (elíjala de nuevo en la lista)"&amp;" · ","")&amp;IF(OR(AND($E254&lt;&gt;"",NOT(ISNUMBER($E254))),AND($F254&lt;&gt;"",NOT(ISNUMBER($F254))),AND($G254&lt;&gt;"",NOT(ISNUMBER($G254)))),"Fecha no válida"&amp;" · ","")&amp;IF(AND(ISNUMBER($AM254),ISNUMBER($AN254),$AM254&gt;$AN254),"Inicio posterior a fecha límite"&amp;" · ","")&amp;IF(AND($V254="Macro",$H254&lt;&gt;"",OR(NOT(ISNUMBER($H254)),$H254&lt;0,$H254&gt;1)),"Peso fuera de rango"&amp;" · ","")&amp;IF(AND($V254="Sub",$H254&lt;&gt;""),"Las subactividades no llevan peso (valen igual dentro de su macroactividad)"&amp;" · ","")&amp;IF(AND(N($W254)&gt;0,COUNT($I254:$L254)&gt;0),"Con subactividades: deje vacías las semanas (se calculan solas)"&amp;" · ","")&amp;IF((COUNTIF($I254:$L254,"&gt;1")+COUNTIF($I254:$L254,"&lt;0")+COUNTA($I254:$L254)-COUNT($I254:$L254))&gt;0,"Avance fuera de rango 0-100%"&amp;" · ","")&amp;IF(OR(AND($J254&lt;&gt;"",$J254&lt;$I254),AND($K254&lt;&gt;"",$K254&lt;MAX($I254:$J254)),AND($L254&lt;&gt;"",$L254&lt;MAX($I254:$K254))),"Avance semanal decreciente"&amp;" · ","")&amp;IF(AND(ISNUMBER($AN254),$AN254&lt;FechaRef,IF($V254="Sub",N($X254),N($M254))&lt;1),"Vencida"&amp;" · ","")&amp;IF(AND(ObsObligatoria="Sí",ISNUMBER($AN254),$AN254&lt;FechaRef,IF($V254="Sub",N($X254),N($M254))&lt;1,$Q254=""),"Vencida sin observación"&amp;" · ",""))-3)))</f>
        <v/>
      </c>
      <c r="S254" s="64">
        <f>IF(NOT((COUNTA($B254:$D254)+COUNTA($G254:$L254)+COUNTA($Q254))&gt;0),"",IF(AND($V254="Sub",N($U254)&gt;0),IF(ISNUMBER(INDEX($AM$5:$AM$1000,$U254-4)),DATE(YEAR(INDEX($AM$5:$AM$1000,$U254-4)),MONTH(INDEX($AM$5:$AM$1000,$U254-4)),1),IF(ISNUMBER(INDEX($AN$5:$AN$1000,$U254-4)),DATE(YEAR(INDEX($AN$5:$AN$1000,$U254-4)),MONTH(INDEX($AN$5:$AN$1000,$U254-4)),1),MesCiclo)),IF(ISNUMBER($AM254),DATE(YEAR($AM254),MONTH($AM254),1),IF(ISNUMBER($AN254),DATE(YEAR($AN254),MONTH($AN254),1),MesCiclo))))</f>
        <v/>
      </c>
      <c r="T254" s="62">
        <f>IF(OR($S254="",$S254&lt;&gt;MesCiclo,$V254&lt;&gt;"Macro"),"",COUNTIFS($S$5:$S254,MesCiclo,$V$5:$V254,"Macro"))</f>
        <v/>
      </c>
      <c r="U254" s="62">
        <f>IF($V254="","",IF($V254="Macro",ROW(),IFERROR(LOOKUP(2,1/($V$5:$V254="Macro"),ROW($V$5:$V254)),0)))</f>
        <v/>
      </c>
      <c r="V254" s="62">
        <f>IF(NOT((COUNTA($B254:$D254)+COUNTA($G254:$L254)+COUNTA($Q254))&gt;0),"",IF($B254="Subactividad","Sub","Macro"))</f>
        <v/>
      </c>
      <c r="W254" s="62">
        <f>IF($V254="Macro",COUNTIFS($U$5:$U$1000,ROW(),$V$5:$V$1000,"Sub"),"")</f>
        <v/>
      </c>
      <c r="X254" s="62">
        <f>IF($V254="","",IF(ISNUMBER($G254),1,IFERROR(LOOKUP(2,1/($I254:$L254&lt;&gt;""),$I254:$L254),0)))</f>
        <v/>
      </c>
      <c r="Y254" s="62">
        <f>IF($V254="","",IF(AND(ISNUMBER($G254),$G254&lt;=IF($S254=MesCiclo,InicioCiclo,$S254+MOD(2-WEEKDAY($S254),7))+6),1,IF(ISNUMBER($I254),$I254,0)))</f>
        <v/>
      </c>
      <c r="Z254" s="62">
        <f>IF($V254="","",IF(AND(ISNUMBER($G254),$G254&lt;=IF($S254=MesCiclo,InicioCiclo,$S254+MOD(2-WEEKDAY($S254),7))+13),1,IF(ISNUMBER($J254),$J254,$Y254)))</f>
        <v/>
      </c>
      <c r="AA254" s="62">
        <f>IF($V254="","",IF(AND(ISNUMBER($G254),$G254&lt;=IF($S254=MesCiclo,InicioCiclo,$S254+MOD(2-WEEKDAY($S254),7))+20),1,IF(ISNUMBER($K254),$K254,$Z254)))</f>
        <v/>
      </c>
      <c r="AB254" s="62">
        <f>IF($V254="","",IF(AND(ISNUMBER($G254),$G254&lt;=IF($S254=MesCiclo,InicioCiclo,$S254+MOD(2-WEEKDAY($S254),7))+27),1,IF(ISNUMBER($L254),$L254,$AA254)))</f>
        <v/>
      </c>
      <c r="AC254" s="62">
        <f>IF($V254="","",IF(AND(ISNUMBER($G254),$G254&lt;=IF($S254=MesCiclo,InicioCiclo,$S254+MOD(2-WEEKDAY($S254),7))+6),1,IF(N($W254)&gt;0,AVERAGEIFS($Y$5:$Y$1000,$U$5:$U$1000,ROW(),$V$5:$V$1000,"Sub"),$Y254)))</f>
        <v/>
      </c>
      <c r="AD254" s="62">
        <f>IF($V254="","",IF(AND(ISNUMBER($G254),$G254&lt;=IF($S254=MesCiclo,InicioCiclo,$S254+MOD(2-WEEKDAY($S254),7))+13),1,IF(N($W254)&gt;0,AVERAGEIFS($Z$5:$Z$1000,$U$5:$U$1000,ROW(),$V$5:$V$1000,"Sub"),$Z254)))</f>
        <v/>
      </c>
      <c r="AE254" s="62">
        <f>IF($V254="","",IF(AND(ISNUMBER($G254),$G254&lt;=IF($S254=MesCiclo,InicioCiclo,$S254+MOD(2-WEEKDAY($S254),7))+20),1,IF(N($W254)&gt;0,AVERAGEIFS($AA$5:$AA$1000,$U$5:$U$1000,ROW(),$V$5:$V$1000,"Sub"),$AA254)))</f>
        <v/>
      </c>
      <c r="AF254" s="62">
        <f>IF($V254="","",IF(AND(ISNUMBER($G254),$G254&lt;=IF($S254=MesCiclo,InicioCiclo,$S254+MOD(2-WEEKDAY($S254),7))+27),1,IF(N($W254)&gt;0,AVERAGEIFS($AB$5:$AB$1000,$U$5:$U$1000,ROW(),$V$5:$V$1000,"Sub"),$AB254)))</f>
        <v/>
      </c>
      <c r="AG254" s="62">
        <f>IF($V254&lt;&gt;"Macro","",IF(COUNTIFS($S$5:$S$1000,$S254,$V$5:$V$1000,"Macro",$H$5:$H$1000,"&gt;0")=0,1/COUNTIFS($S$5:$S$1000,$S254,$V$5:$V$1000,"Macro"),IF(AND(ISNUMBER($H254),N($H254)&gt;0),$H254,SUMIFS($H$5:$H$1000,$S$5:$S$1000,$S254,$V$5:$V$1000,"Macro")/COUNTIFS($S$5:$S$1000,$S254,$V$5:$V$1000,"Macro",$H$5:$H$1000,"&gt;0"))/(COUNTIFS($S$5:$S$1000,$S254,$V$5:$V$1000,"Macro")*SUMIFS($H$5:$H$1000,$S$5:$S$1000,$S254,$V$5:$V$1000,"Macro")/COUNTIFS($S$5:$S$1000,$S254,$V$5:$V$1000,"Macro",$H$5:$H$1000,"&gt;0"))))</f>
        <v/>
      </c>
      <c r="AH254" s="62" t="n"/>
      <c r="AI254" s="62" t="n"/>
      <c r="AJ254" s="62" t="n"/>
      <c r="AK254" s="62" t="n"/>
      <c r="AL254" s="62">
        <f>IF(LEFT($C254,11)="[Jefatura] ",IFERROR(MATCH("Riesgo Normativo|"&amp;MID($C254,12,500),rDname_ADM,0),0),"")</f>
        <v/>
      </c>
      <c r="AM254" s="62">
        <f>IF(N($AL254)&gt;0,INDEX(rIni_ADM,$AL254),IF(ISNUMBER($E254),$E254,""))</f>
        <v/>
      </c>
      <c r="AN254" s="62">
        <f>IF(N($AL254)&gt;0,INDEX(rLim_ADM,$AL254),IF(ISNUMBER($F254),$F254,""))</f>
        <v/>
      </c>
    </row>
    <row r="255">
      <c r="A255" s="56">
        <f>IF(NOT((COUNTA($B255:$D255)+COUNTA($G255:$L255)+COUNTA($Q255))&gt;0),"",IF($V255="Macro",COUNTIFS($V$5:$V255,"Macro",$S$5:$S255,$S255),IF(N($U255)=0,"?",COUNTIFS(INDEX($V$5:$V$1000,1):INDEX($V$5:$V$1000,$U255-4),"Macro",INDEX($S$5:$S$1000,1):INDEX($S$5:$S$1000,$U255-4),INDEX($S$5:$S$1000,$U255-4))&amp;"."&amp;COUNTIFS($U$5:$U255,$U255,$V$5:$V255,"Sub"))))</f>
        <v/>
      </c>
      <c r="B255" s="57" t="n"/>
      <c r="C255" s="58" t="n"/>
      <c r="D255" s="58" t="n"/>
      <c r="E255" s="59">
        <f>IF(N($AL255)&gt;0,INDEX(rIni_ADM,$AL255),"")</f>
        <v/>
      </c>
      <c r="F255" s="59">
        <f>IF(N($AL255)&gt;0,INDEX(rLim_ADM,$AL255),"")</f>
        <v/>
      </c>
      <c r="G255" s="59" t="n"/>
      <c r="H255" s="60" t="n"/>
      <c r="I255" s="60" t="n"/>
      <c r="J255" s="60" t="n"/>
      <c r="K255" s="60" t="n"/>
      <c r="L255" s="60" t="n"/>
      <c r="M255" s="61">
        <f>IF(NOT((COUNTA($B255:$D255)+COUNTA($G255:$L255)+COUNTA($Q255))&gt;0),"",IF($V255="Sub",IFERROR($X255/INDEX($W$5:$W$1000,$U255-4),""),IF(ISNUMBER($G255),1,IF(N($W255)&gt;0,AVERAGEIFS($X$5:$X$1000,$U$5:$U$1000,ROW(),$V$5:$V$1000,"Sub"),$X255))))</f>
        <v/>
      </c>
      <c r="N255" s="56">
        <f>IF(OR($M255="",$V255="Sub"),"",IF($M255&gt;=1,"Completado",IF($M255&gt;0,"En curso","Pendiente")))</f>
        <v/>
      </c>
      <c r="O255" s="56">
        <f>IF(OR(NOT((COUNTA($B255:$D255)+COUNTA($G255:$L255)+COUNTA($Q255))&gt;0),$V255="Sub"),"",IF(ISNUMBER($G255),IF(AND(ISNUMBER($AN255),$G255&gt;$AN255),"Cumplida con "&amp;($G255-$AN255)&amp;IF($G255-$AN255=1," día"," días")&amp;" de retraso","Cumplida"),IF(N($M255)&gt;=1,"Cumplida",IF(NOT(ISNUMBER($AN255)),"Sin fecha límite",IF($AN255&lt;FechaRef,"Vencida hace "&amp;(FechaRef-$AN255)&amp;IF(FechaRef-$AN255=1," día"," días"),IF($AN255=FechaRef,"Vence hoy",IF($AN255-FechaRef&lt;=DiasAlerta,"Vence en "&amp;($AN255-FechaRef)&amp;IF($AN255-FechaRef=1," día"," días"),"En plazo")))))))</f>
        <v/>
      </c>
      <c r="P255" s="62" t="n"/>
      <c r="Q255" s="58" t="n"/>
      <c r="R255" s="63">
        <f>IF(NOT((COUNTA($B255:$D255)+COUNTA($G255:$L255)+COUNTA($Q255))&gt;0),"",IF((IF($C255="","Falta el nombre de la actividad"&amp;" · ","")&amp;IF(AND($V255="Sub",N($U255)=0),"Subactividad sin macroactividad arriba"&amp;" · ","")&amp;IF($AM255="","Sin fecha de inicio"&amp;" · ","")&amp;IF($AN255="","Sin fecha límite"&amp;" · ","")&amp;IF(AND(LEFT($C255,11)="[Jefatura] ",N($AL255)=0),"No se encuentra en la hoja de la jefatura (elíjala de nuevo en la lista)"&amp;" · ","")&amp;IF(OR(AND($E255&lt;&gt;"",NOT(ISNUMBER($E255))),AND($F255&lt;&gt;"",NOT(ISNUMBER($F255))),AND($G255&lt;&gt;"",NOT(ISNUMBER($G255)))),"Fecha no válida"&amp;" · ","")&amp;IF(AND(ISNUMBER($AM255),ISNUMBER($AN255),$AM255&gt;$AN255),"Inicio posterior a fecha límite"&amp;" · ","")&amp;IF(AND($V255="Macro",$H255&lt;&gt;"",OR(NOT(ISNUMBER($H255)),$H255&lt;0,$H255&gt;1)),"Peso fuera de rango"&amp;" · ","")&amp;IF(AND($V255="Sub",$H255&lt;&gt;""),"Las subactividades no llevan peso (valen igual dentro de su macroactividad)"&amp;" · ","")&amp;IF(AND(N($W255)&gt;0,COUNT($I255:$L255)&gt;0),"Con subactividades: deje vacías las semanas (se calculan solas)"&amp;" · ","")&amp;IF((COUNTIF($I255:$L255,"&gt;1")+COUNTIF($I255:$L255,"&lt;0")+COUNTA($I255:$L255)-COUNT($I255:$L255))&gt;0,"Avance fuera de rango 0-100%"&amp;" · ","")&amp;IF(OR(AND($J255&lt;&gt;"",$J255&lt;$I255),AND($K255&lt;&gt;"",$K255&lt;MAX($I255:$J255)),AND($L255&lt;&gt;"",$L255&lt;MAX($I255:$K255))),"Avance semanal decreciente"&amp;" · ","")&amp;IF(AND(ISNUMBER($AN255),$AN255&lt;FechaRef,IF($V255="Sub",N($X255),N($M255))&lt;1),"Vencida"&amp;" · ","")&amp;IF(AND(ObsObligatoria="Sí",ISNUMBER($AN255),$AN255&lt;FechaRef,IF($V255="Sub",N($X255),N($M255))&lt;1,$Q255=""),"Vencida sin observación"&amp;" · ",""))="","✔ OK","⚠ "&amp;LEFT(IF($C255="","Falta el nombre de la actividad"&amp;" · ","")&amp;IF(AND($V255="Sub",N($U255)=0),"Subactividad sin macroactividad arriba"&amp;" · ","")&amp;IF($AM255="","Sin fecha de inicio"&amp;" · ","")&amp;IF($AN255="","Sin fecha límite"&amp;" · ","")&amp;IF(AND(LEFT($C255,11)="[Jefatura] ",N($AL255)=0),"No se encuentra en la hoja de la jefatura (elíjala de nuevo en la lista)"&amp;" · ","")&amp;IF(OR(AND($E255&lt;&gt;"",NOT(ISNUMBER($E255))),AND($F255&lt;&gt;"",NOT(ISNUMBER($F255))),AND($G255&lt;&gt;"",NOT(ISNUMBER($G255)))),"Fecha no válida"&amp;" · ","")&amp;IF(AND(ISNUMBER($AM255),ISNUMBER($AN255),$AM255&gt;$AN255),"Inicio posterior a fecha límite"&amp;" · ","")&amp;IF(AND($V255="Macro",$H255&lt;&gt;"",OR(NOT(ISNUMBER($H255)),$H255&lt;0,$H255&gt;1)),"Peso fuera de rango"&amp;" · ","")&amp;IF(AND($V255="Sub",$H255&lt;&gt;""),"Las subactividades no llevan peso (valen igual dentro de su macroactividad)"&amp;" · ","")&amp;IF(AND(N($W255)&gt;0,COUNT($I255:$L255)&gt;0),"Con subactividades: deje vacías las semanas (se calculan solas)"&amp;" · ","")&amp;IF((COUNTIF($I255:$L255,"&gt;1")+COUNTIF($I255:$L255,"&lt;0")+COUNTA($I255:$L255)-COUNT($I255:$L255))&gt;0,"Avance fuera de rango 0-100%"&amp;" · ","")&amp;IF(OR(AND($J255&lt;&gt;"",$J255&lt;$I255),AND($K255&lt;&gt;"",$K255&lt;MAX($I255:$J255)),AND($L255&lt;&gt;"",$L255&lt;MAX($I255:$K255))),"Avance semanal decreciente"&amp;" · ","")&amp;IF(AND(ISNUMBER($AN255),$AN255&lt;FechaRef,IF($V255="Sub",N($X255),N($M255))&lt;1),"Vencida"&amp;" · ","")&amp;IF(AND(ObsObligatoria="Sí",ISNUMBER($AN255),$AN255&lt;FechaRef,IF($V255="Sub",N($X255),N($M255))&lt;1,$Q255=""),"Vencida sin observación"&amp;" · ",""),LEN(IF($C255="","Falta el nombre de la actividad"&amp;" · ","")&amp;IF(AND($V255="Sub",N($U255)=0),"Subactividad sin macroactividad arriba"&amp;" · ","")&amp;IF($AM255="","Sin fecha de inicio"&amp;" · ","")&amp;IF($AN255="","Sin fecha límite"&amp;" · ","")&amp;IF(AND(LEFT($C255,11)="[Jefatura] ",N($AL255)=0),"No se encuentra en la hoja de la jefatura (elíjala de nuevo en la lista)"&amp;" · ","")&amp;IF(OR(AND($E255&lt;&gt;"",NOT(ISNUMBER($E255))),AND($F255&lt;&gt;"",NOT(ISNUMBER($F255))),AND($G255&lt;&gt;"",NOT(ISNUMBER($G255)))),"Fecha no válida"&amp;" · ","")&amp;IF(AND(ISNUMBER($AM255),ISNUMBER($AN255),$AM255&gt;$AN255),"Inicio posterior a fecha límite"&amp;" · ","")&amp;IF(AND($V255="Macro",$H255&lt;&gt;"",OR(NOT(ISNUMBER($H255)),$H255&lt;0,$H255&gt;1)),"Peso fuera de rango"&amp;" · ","")&amp;IF(AND($V255="Sub",$H255&lt;&gt;""),"Las subactividades no llevan peso (valen igual dentro de su macroactividad)"&amp;" · ","")&amp;IF(AND(N($W255)&gt;0,COUNT($I255:$L255)&gt;0),"Con subactividades: deje vacías las semanas (se calculan solas)"&amp;" · ","")&amp;IF((COUNTIF($I255:$L255,"&gt;1")+COUNTIF($I255:$L255,"&lt;0")+COUNTA($I255:$L255)-COUNT($I255:$L255))&gt;0,"Avance fuera de rango 0-100%"&amp;" · ","")&amp;IF(OR(AND($J255&lt;&gt;"",$J255&lt;$I255),AND($K255&lt;&gt;"",$K255&lt;MAX($I255:$J255)),AND($L255&lt;&gt;"",$L255&lt;MAX($I255:$K255))),"Avance semanal decreciente"&amp;" · ","")&amp;IF(AND(ISNUMBER($AN255),$AN255&lt;FechaRef,IF($V255="Sub",N($X255),N($M255))&lt;1),"Vencida"&amp;" · ","")&amp;IF(AND(ObsObligatoria="Sí",ISNUMBER($AN255),$AN255&lt;FechaRef,IF($V255="Sub",N($X255),N($M255))&lt;1,$Q255=""),"Vencida sin observación"&amp;" · ",""))-3)))</f>
        <v/>
      </c>
      <c r="S255" s="64">
        <f>IF(NOT((COUNTA($B255:$D255)+COUNTA($G255:$L255)+COUNTA($Q255))&gt;0),"",IF(AND($V255="Sub",N($U255)&gt;0),IF(ISNUMBER(INDEX($AM$5:$AM$1000,$U255-4)),DATE(YEAR(INDEX($AM$5:$AM$1000,$U255-4)),MONTH(INDEX($AM$5:$AM$1000,$U255-4)),1),IF(ISNUMBER(INDEX($AN$5:$AN$1000,$U255-4)),DATE(YEAR(INDEX($AN$5:$AN$1000,$U255-4)),MONTH(INDEX($AN$5:$AN$1000,$U255-4)),1),MesCiclo)),IF(ISNUMBER($AM255),DATE(YEAR($AM255),MONTH($AM255),1),IF(ISNUMBER($AN255),DATE(YEAR($AN255),MONTH($AN255),1),MesCiclo))))</f>
        <v/>
      </c>
      <c r="T255" s="62">
        <f>IF(OR($S255="",$S255&lt;&gt;MesCiclo,$V255&lt;&gt;"Macro"),"",COUNTIFS($S$5:$S255,MesCiclo,$V$5:$V255,"Macro"))</f>
        <v/>
      </c>
      <c r="U255" s="62">
        <f>IF($V255="","",IF($V255="Macro",ROW(),IFERROR(LOOKUP(2,1/($V$5:$V255="Macro"),ROW($V$5:$V255)),0)))</f>
        <v/>
      </c>
      <c r="V255" s="62">
        <f>IF(NOT((COUNTA($B255:$D255)+COUNTA($G255:$L255)+COUNTA($Q255))&gt;0),"",IF($B255="Subactividad","Sub","Macro"))</f>
        <v/>
      </c>
      <c r="W255" s="62">
        <f>IF($V255="Macro",COUNTIFS($U$5:$U$1000,ROW(),$V$5:$V$1000,"Sub"),"")</f>
        <v/>
      </c>
      <c r="X255" s="62">
        <f>IF($V255="","",IF(ISNUMBER($G255),1,IFERROR(LOOKUP(2,1/($I255:$L255&lt;&gt;""),$I255:$L255),0)))</f>
        <v/>
      </c>
      <c r="Y255" s="62">
        <f>IF($V255="","",IF(AND(ISNUMBER($G255),$G255&lt;=IF($S255=MesCiclo,InicioCiclo,$S255+MOD(2-WEEKDAY($S255),7))+6),1,IF(ISNUMBER($I255),$I255,0)))</f>
        <v/>
      </c>
      <c r="Z255" s="62">
        <f>IF($V255="","",IF(AND(ISNUMBER($G255),$G255&lt;=IF($S255=MesCiclo,InicioCiclo,$S255+MOD(2-WEEKDAY($S255),7))+13),1,IF(ISNUMBER($J255),$J255,$Y255)))</f>
        <v/>
      </c>
      <c r="AA255" s="62">
        <f>IF($V255="","",IF(AND(ISNUMBER($G255),$G255&lt;=IF($S255=MesCiclo,InicioCiclo,$S255+MOD(2-WEEKDAY($S255),7))+20),1,IF(ISNUMBER($K255),$K255,$Z255)))</f>
        <v/>
      </c>
      <c r="AB255" s="62">
        <f>IF($V255="","",IF(AND(ISNUMBER($G255),$G255&lt;=IF($S255=MesCiclo,InicioCiclo,$S255+MOD(2-WEEKDAY($S255),7))+27),1,IF(ISNUMBER($L255),$L255,$AA255)))</f>
        <v/>
      </c>
      <c r="AC255" s="62">
        <f>IF($V255="","",IF(AND(ISNUMBER($G255),$G255&lt;=IF($S255=MesCiclo,InicioCiclo,$S255+MOD(2-WEEKDAY($S255),7))+6),1,IF(N($W255)&gt;0,AVERAGEIFS($Y$5:$Y$1000,$U$5:$U$1000,ROW(),$V$5:$V$1000,"Sub"),$Y255)))</f>
        <v/>
      </c>
      <c r="AD255" s="62">
        <f>IF($V255="","",IF(AND(ISNUMBER($G255),$G255&lt;=IF($S255=MesCiclo,InicioCiclo,$S255+MOD(2-WEEKDAY($S255),7))+13),1,IF(N($W255)&gt;0,AVERAGEIFS($Z$5:$Z$1000,$U$5:$U$1000,ROW(),$V$5:$V$1000,"Sub"),$Z255)))</f>
        <v/>
      </c>
      <c r="AE255" s="62">
        <f>IF($V255="","",IF(AND(ISNUMBER($G255),$G255&lt;=IF($S255=MesCiclo,InicioCiclo,$S255+MOD(2-WEEKDAY($S255),7))+20),1,IF(N($W255)&gt;0,AVERAGEIFS($AA$5:$AA$1000,$U$5:$U$1000,ROW(),$V$5:$V$1000,"Sub"),$AA255)))</f>
        <v/>
      </c>
      <c r="AF255" s="62">
        <f>IF($V255="","",IF(AND(ISNUMBER($G255),$G255&lt;=IF($S255=MesCiclo,InicioCiclo,$S255+MOD(2-WEEKDAY($S255),7))+27),1,IF(N($W255)&gt;0,AVERAGEIFS($AB$5:$AB$1000,$U$5:$U$1000,ROW(),$V$5:$V$1000,"Sub"),$AB255)))</f>
        <v/>
      </c>
      <c r="AG255" s="62">
        <f>IF($V255&lt;&gt;"Macro","",IF(COUNTIFS($S$5:$S$1000,$S255,$V$5:$V$1000,"Macro",$H$5:$H$1000,"&gt;0")=0,1/COUNTIFS($S$5:$S$1000,$S255,$V$5:$V$1000,"Macro"),IF(AND(ISNUMBER($H255),N($H255)&gt;0),$H255,SUMIFS($H$5:$H$1000,$S$5:$S$1000,$S255,$V$5:$V$1000,"Macro")/COUNTIFS($S$5:$S$1000,$S255,$V$5:$V$1000,"Macro",$H$5:$H$1000,"&gt;0"))/(COUNTIFS($S$5:$S$1000,$S255,$V$5:$V$1000,"Macro")*SUMIFS($H$5:$H$1000,$S$5:$S$1000,$S255,$V$5:$V$1000,"Macro")/COUNTIFS($S$5:$S$1000,$S255,$V$5:$V$1000,"Macro",$H$5:$H$1000,"&gt;0"))))</f>
        <v/>
      </c>
      <c r="AH255" s="62" t="n"/>
      <c r="AI255" s="62" t="n"/>
      <c r="AJ255" s="62" t="n"/>
      <c r="AK255" s="62" t="n"/>
      <c r="AL255" s="62">
        <f>IF(LEFT($C255,11)="[Jefatura] ",IFERROR(MATCH("Riesgo Normativo|"&amp;MID($C255,12,500),rDname_ADM,0),0),"")</f>
        <v/>
      </c>
      <c r="AM255" s="62">
        <f>IF(N($AL255)&gt;0,INDEX(rIni_ADM,$AL255),IF(ISNUMBER($E255),$E255,""))</f>
        <v/>
      </c>
      <c r="AN255" s="62">
        <f>IF(N($AL255)&gt;0,INDEX(rLim_ADM,$AL255),IF(ISNUMBER($F255),$F255,""))</f>
        <v/>
      </c>
    </row>
    <row r="256">
      <c r="A256" s="56">
        <f>IF(NOT((COUNTA($B256:$D256)+COUNTA($G256:$L256)+COUNTA($Q256))&gt;0),"",IF($V256="Macro",COUNTIFS($V$5:$V256,"Macro",$S$5:$S256,$S256),IF(N($U256)=0,"?",COUNTIFS(INDEX($V$5:$V$1000,1):INDEX($V$5:$V$1000,$U256-4),"Macro",INDEX($S$5:$S$1000,1):INDEX($S$5:$S$1000,$U256-4),INDEX($S$5:$S$1000,$U256-4))&amp;"."&amp;COUNTIFS($U$5:$U256,$U256,$V$5:$V256,"Sub"))))</f>
        <v/>
      </c>
      <c r="B256" s="57" t="n"/>
      <c r="C256" s="58" t="n"/>
      <c r="D256" s="58" t="n"/>
      <c r="E256" s="59">
        <f>IF(N($AL256)&gt;0,INDEX(rIni_ADM,$AL256),"")</f>
        <v/>
      </c>
      <c r="F256" s="59">
        <f>IF(N($AL256)&gt;0,INDEX(rLim_ADM,$AL256),"")</f>
        <v/>
      </c>
      <c r="G256" s="59" t="n"/>
      <c r="H256" s="60" t="n"/>
      <c r="I256" s="60" t="n"/>
      <c r="J256" s="60" t="n"/>
      <c r="K256" s="60" t="n"/>
      <c r="L256" s="60" t="n"/>
      <c r="M256" s="61">
        <f>IF(NOT((COUNTA($B256:$D256)+COUNTA($G256:$L256)+COUNTA($Q256))&gt;0),"",IF($V256="Sub",IFERROR($X256/INDEX($W$5:$W$1000,$U256-4),""),IF(ISNUMBER($G256),1,IF(N($W256)&gt;0,AVERAGEIFS($X$5:$X$1000,$U$5:$U$1000,ROW(),$V$5:$V$1000,"Sub"),$X256))))</f>
        <v/>
      </c>
      <c r="N256" s="56">
        <f>IF(OR($M256="",$V256="Sub"),"",IF($M256&gt;=1,"Completado",IF($M256&gt;0,"En curso","Pendiente")))</f>
        <v/>
      </c>
      <c r="O256" s="56">
        <f>IF(OR(NOT((COUNTA($B256:$D256)+COUNTA($G256:$L256)+COUNTA($Q256))&gt;0),$V256="Sub"),"",IF(ISNUMBER($G256),IF(AND(ISNUMBER($AN256),$G256&gt;$AN256),"Cumplida con "&amp;($G256-$AN256)&amp;IF($G256-$AN256=1," día"," días")&amp;" de retraso","Cumplida"),IF(N($M256)&gt;=1,"Cumplida",IF(NOT(ISNUMBER($AN256)),"Sin fecha límite",IF($AN256&lt;FechaRef,"Vencida hace "&amp;(FechaRef-$AN256)&amp;IF(FechaRef-$AN256=1," día"," días"),IF($AN256=FechaRef,"Vence hoy",IF($AN256-FechaRef&lt;=DiasAlerta,"Vence en "&amp;($AN256-FechaRef)&amp;IF($AN256-FechaRef=1," día"," días"),"En plazo")))))))</f>
        <v/>
      </c>
      <c r="P256" s="62" t="n"/>
      <c r="Q256" s="58" t="n"/>
      <c r="R256" s="63">
        <f>IF(NOT((COUNTA($B256:$D256)+COUNTA($G256:$L256)+COUNTA($Q256))&gt;0),"",IF((IF($C256="","Falta el nombre de la actividad"&amp;" · ","")&amp;IF(AND($V256="Sub",N($U256)=0),"Subactividad sin macroactividad arriba"&amp;" · ","")&amp;IF($AM256="","Sin fecha de inicio"&amp;" · ","")&amp;IF($AN256="","Sin fecha límite"&amp;" · ","")&amp;IF(AND(LEFT($C256,11)="[Jefatura] ",N($AL256)=0),"No se encuentra en la hoja de la jefatura (elíjala de nuevo en la lista)"&amp;" · ","")&amp;IF(OR(AND($E256&lt;&gt;"",NOT(ISNUMBER($E256))),AND($F256&lt;&gt;"",NOT(ISNUMBER($F256))),AND($G256&lt;&gt;"",NOT(ISNUMBER($G256)))),"Fecha no válida"&amp;" · ","")&amp;IF(AND(ISNUMBER($AM256),ISNUMBER($AN256),$AM256&gt;$AN256),"Inicio posterior a fecha límite"&amp;" · ","")&amp;IF(AND($V256="Macro",$H256&lt;&gt;"",OR(NOT(ISNUMBER($H256)),$H256&lt;0,$H256&gt;1)),"Peso fuera de rango"&amp;" · ","")&amp;IF(AND($V256="Sub",$H256&lt;&gt;""),"Las subactividades no llevan peso (valen igual dentro de su macroactividad)"&amp;" · ","")&amp;IF(AND(N($W256)&gt;0,COUNT($I256:$L256)&gt;0),"Con subactividades: deje vacías las semanas (se calculan solas)"&amp;" · ","")&amp;IF((COUNTIF($I256:$L256,"&gt;1")+COUNTIF($I256:$L256,"&lt;0")+COUNTA($I256:$L256)-COUNT($I256:$L256))&gt;0,"Avance fuera de rango 0-100%"&amp;" · ","")&amp;IF(OR(AND($J256&lt;&gt;"",$J256&lt;$I256),AND($K256&lt;&gt;"",$K256&lt;MAX($I256:$J256)),AND($L256&lt;&gt;"",$L256&lt;MAX($I256:$K256))),"Avance semanal decreciente"&amp;" · ","")&amp;IF(AND(ISNUMBER($AN256),$AN256&lt;FechaRef,IF($V256="Sub",N($X256),N($M256))&lt;1),"Vencida"&amp;" · ","")&amp;IF(AND(ObsObligatoria="Sí",ISNUMBER($AN256),$AN256&lt;FechaRef,IF($V256="Sub",N($X256),N($M256))&lt;1,$Q256=""),"Vencida sin observación"&amp;" · ",""))="","✔ OK","⚠ "&amp;LEFT(IF($C256="","Falta el nombre de la actividad"&amp;" · ","")&amp;IF(AND($V256="Sub",N($U256)=0),"Subactividad sin macroactividad arriba"&amp;" · ","")&amp;IF($AM256="","Sin fecha de inicio"&amp;" · ","")&amp;IF($AN256="","Sin fecha límite"&amp;" · ","")&amp;IF(AND(LEFT($C256,11)="[Jefatura] ",N($AL256)=0),"No se encuentra en la hoja de la jefatura (elíjala de nuevo en la lista)"&amp;" · ","")&amp;IF(OR(AND($E256&lt;&gt;"",NOT(ISNUMBER($E256))),AND($F256&lt;&gt;"",NOT(ISNUMBER($F256))),AND($G256&lt;&gt;"",NOT(ISNUMBER($G256)))),"Fecha no válida"&amp;" · ","")&amp;IF(AND(ISNUMBER($AM256),ISNUMBER($AN256),$AM256&gt;$AN256),"Inicio posterior a fecha límite"&amp;" · ","")&amp;IF(AND($V256="Macro",$H256&lt;&gt;"",OR(NOT(ISNUMBER($H256)),$H256&lt;0,$H256&gt;1)),"Peso fuera de rango"&amp;" · ","")&amp;IF(AND($V256="Sub",$H256&lt;&gt;""),"Las subactividades no llevan peso (valen igual dentro de su macroactividad)"&amp;" · ","")&amp;IF(AND(N($W256)&gt;0,COUNT($I256:$L256)&gt;0),"Con subactividades: deje vacías las semanas (se calculan solas)"&amp;" · ","")&amp;IF((COUNTIF($I256:$L256,"&gt;1")+COUNTIF($I256:$L256,"&lt;0")+COUNTA($I256:$L256)-COUNT($I256:$L256))&gt;0,"Avance fuera de rango 0-100%"&amp;" · ","")&amp;IF(OR(AND($J256&lt;&gt;"",$J256&lt;$I256),AND($K256&lt;&gt;"",$K256&lt;MAX($I256:$J256)),AND($L256&lt;&gt;"",$L256&lt;MAX($I256:$K256))),"Avance semanal decreciente"&amp;" · ","")&amp;IF(AND(ISNUMBER($AN256),$AN256&lt;FechaRef,IF($V256="Sub",N($X256),N($M256))&lt;1),"Vencida"&amp;" · ","")&amp;IF(AND(ObsObligatoria="Sí",ISNUMBER($AN256),$AN256&lt;FechaRef,IF($V256="Sub",N($X256),N($M256))&lt;1,$Q256=""),"Vencida sin observación"&amp;" · ",""),LEN(IF($C256="","Falta el nombre de la actividad"&amp;" · ","")&amp;IF(AND($V256="Sub",N($U256)=0),"Subactividad sin macroactividad arriba"&amp;" · ","")&amp;IF($AM256="","Sin fecha de inicio"&amp;" · ","")&amp;IF($AN256="","Sin fecha límite"&amp;" · ","")&amp;IF(AND(LEFT($C256,11)="[Jefatura] ",N($AL256)=0),"No se encuentra en la hoja de la jefatura (elíjala de nuevo en la lista)"&amp;" · ","")&amp;IF(OR(AND($E256&lt;&gt;"",NOT(ISNUMBER($E256))),AND($F256&lt;&gt;"",NOT(ISNUMBER($F256))),AND($G256&lt;&gt;"",NOT(ISNUMBER($G256)))),"Fecha no válida"&amp;" · ","")&amp;IF(AND(ISNUMBER($AM256),ISNUMBER($AN256),$AM256&gt;$AN256),"Inicio posterior a fecha límite"&amp;" · ","")&amp;IF(AND($V256="Macro",$H256&lt;&gt;"",OR(NOT(ISNUMBER($H256)),$H256&lt;0,$H256&gt;1)),"Peso fuera de rango"&amp;" · ","")&amp;IF(AND($V256="Sub",$H256&lt;&gt;""),"Las subactividades no llevan peso (valen igual dentro de su macroactividad)"&amp;" · ","")&amp;IF(AND(N($W256)&gt;0,COUNT($I256:$L256)&gt;0),"Con subactividades: deje vacías las semanas (se calculan solas)"&amp;" · ","")&amp;IF((COUNTIF($I256:$L256,"&gt;1")+COUNTIF($I256:$L256,"&lt;0")+COUNTA($I256:$L256)-COUNT($I256:$L256))&gt;0,"Avance fuera de rango 0-100%"&amp;" · ","")&amp;IF(OR(AND($J256&lt;&gt;"",$J256&lt;$I256),AND($K256&lt;&gt;"",$K256&lt;MAX($I256:$J256)),AND($L256&lt;&gt;"",$L256&lt;MAX($I256:$K256))),"Avance semanal decreciente"&amp;" · ","")&amp;IF(AND(ISNUMBER($AN256),$AN256&lt;FechaRef,IF($V256="Sub",N($X256),N($M256))&lt;1),"Vencida"&amp;" · ","")&amp;IF(AND(ObsObligatoria="Sí",ISNUMBER($AN256),$AN256&lt;FechaRef,IF($V256="Sub",N($X256),N($M256))&lt;1,$Q256=""),"Vencida sin observación"&amp;" · ",""))-3)))</f>
        <v/>
      </c>
      <c r="S256" s="64">
        <f>IF(NOT((COUNTA($B256:$D256)+COUNTA($G256:$L256)+COUNTA($Q256))&gt;0),"",IF(AND($V256="Sub",N($U256)&gt;0),IF(ISNUMBER(INDEX($AM$5:$AM$1000,$U256-4)),DATE(YEAR(INDEX($AM$5:$AM$1000,$U256-4)),MONTH(INDEX($AM$5:$AM$1000,$U256-4)),1),IF(ISNUMBER(INDEX($AN$5:$AN$1000,$U256-4)),DATE(YEAR(INDEX($AN$5:$AN$1000,$U256-4)),MONTH(INDEX($AN$5:$AN$1000,$U256-4)),1),MesCiclo)),IF(ISNUMBER($AM256),DATE(YEAR($AM256),MONTH($AM256),1),IF(ISNUMBER($AN256),DATE(YEAR($AN256),MONTH($AN256),1),MesCiclo))))</f>
        <v/>
      </c>
      <c r="T256" s="62">
        <f>IF(OR($S256="",$S256&lt;&gt;MesCiclo,$V256&lt;&gt;"Macro"),"",COUNTIFS($S$5:$S256,MesCiclo,$V$5:$V256,"Macro"))</f>
        <v/>
      </c>
      <c r="U256" s="62">
        <f>IF($V256="","",IF($V256="Macro",ROW(),IFERROR(LOOKUP(2,1/($V$5:$V256="Macro"),ROW($V$5:$V256)),0)))</f>
        <v/>
      </c>
      <c r="V256" s="62">
        <f>IF(NOT((COUNTA($B256:$D256)+COUNTA($G256:$L256)+COUNTA($Q256))&gt;0),"",IF($B256="Subactividad","Sub","Macro"))</f>
        <v/>
      </c>
      <c r="W256" s="62">
        <f>IF($V256="Macro",COUNTIFS($U$5:$U$1000,ROW(),$V$5:$V$1000,"Sub"),"")</f>
        <v/>
      </c>
      <c r="X256" s="62">
        <f>IF($V256="","",IF(ISNUMBER($G256),1,IFERROR(LOOKUP(2,1/($I256:$L256&lt;&gt;""),$I256:$L256),0)))</f>
        <v/>
      </c>
      <c r="Y256" s="62">
        <f>IF($V256="","",IF(AND(ISNUMBER($G256),$G256&lt;=IF($S256=MesCiclo,InicioCiclo,$S256+MOD(2-WEEKDAY($S256),7))+6),1,IF(ISNUMBER($I256),$I256,0)))</f>
        <v/>
      </c>
      <c r="Z256" s="62">
        <f>IF($V256="","",IF(AND(ISNUMBER($G256),$G256&lt;=IF($S256=MesCiclo,InicioCiclo,$S256+MOD(2-WEEKDAY($S256),7))+13),1,IF(ISNUMBER($J256),$J256,$Y256)))</f>
        <v/>
      </c>
      <c r="AA256" s="62">
        <f>IF($V256="","",IF(AND(ISNUMBER($G256),$G256&lt;=IF($S256=MesCiclo,InicioCiclo,$S256+MOD(2-WEEKDAY($S256),7))+20),1,IF(ISNUMBER($K256),$K256,$Z256)))</f>
        <v/>
      </c>
      <c r="AB256" s="62">
        <f>IF($V256="","",IF(AND(ISNUMBER($G256),$G256&lt;=IF($S256=MesCiclo,InicioCiclo,$S256+MOD(2-WEEKDAY($S256),7))+27),1,IF(ISNUMBER($L256),$L256,$AA256)))</f>
        <v/>
      </c>
      <c r="AC256" s="62">
        <f>IF($V256="","",IF(AND(ISNUMBER($G256),$G256&lt;=IF($S256=MesCiclo,InicioCiclo,$S256+MOD(2-WEEKDAY($S256),7))+6),1,IF(N($W256)&gt;0,AVERAGEIFS($Y$5:$Y$1000,$U$5:$U$1000,ROW(),$V$5:$V$1000,"Sub"),$Y256)))</f>
        <v/>
      </c>
      <c r="AD256" s="62">
        <f>IF($V256="","",IF(AND(ISNUMBER($G256),$G256&lt;=IF($S256=MesCiclo,InicioCiclo,$S256+MOD(2-WEEKDAY($S256),7))+13),1,IF(N($W256)&gt;0,AVERAGEIFS($Z$5:$Z$1000,$U$5:$U$1000,ROW(),$V$5:$V$1000,"Sub"),$Z256)))</f>
        <v/>
      </c>
      <c r="AE256" s="62">
        <f>IF($V256="","",IF(AND(ISNUMBER($G256),$G256&lt;=IF($S256=MesCiclo,InicioCiclo,$S256+MOD(2-WEEKDAY($S256),7))+20),1,IF(N($W256)&gt;0,AVERAGEIFS($AA$5:$AA$1000,$U$5:$U$1000,ROW(),$V$5:$V$1000,"Sub"),$AA256)))</f>
        <v/>
      </c>
      <c r="AF256" s="62">
        <f>IF($V256="","",IF(AND(ISNUMBER($G256),$G256&lt;=IF($S256=MesCiclo,InicioCiclo,$S256+MOD(2-WEEKDAY($S256),7))+27),1,IF(N($W256)&gt;0,AVERAGEIFS($AB$5:$AB$1000,$U$5:$U$1000,ROW(),$V$5:$V$1000,"Sub"),$AB256)))</f>
        <v/>
      </c>
      <c r="AG256" s="62">
        <f>IF($V256&lt;&gt;"Macro","",IF(COUNTIFS($S$5:$S$1000,$S256,$V$5:$V$1000,"Macro",$H$5:$H$1000,"&gt;0")=0,1/COUNTIFS($S$5:$S$1000,$S256,$V$5:$V$1000,"Macro"),IF(AND(ISNUMBER($H256),N($H256)&gt;0),$H256,SUMIFS($H$5:$H$1000,$S$5:$S$1000,$S256,$V$5:$V$1000,"Macro")/COUNTIFS($S$5:$S$1000,$S256,$V$5:$V$1000,"Macro",$H$5:$H$1000,"&gt;0"))/(COUNTIFS($S$5:$S$1000,$S256,$V$5:$V$1000,"Macro")*SUMIFS($H$5:$H$1000,$S$5:$S$1000,$S256,$V$5:$V$1000,"Macro")/COUNTIFS($S$5:$S$1000,$S256,$V$5:$V$1000,"Macro",$H$5:$H$1000,"&gt;0"))))</f>
        <v/>
      </c>
      <c r="AH256" s="62" t="n"/>
      <c r="AI256" s="62" t="n"/>
      <c r="AJ256" s="62" t="n"/>
      <c r="AK256" s="62" t="n"/>
      <c r="AL256" s="62">
        <f>IF(LEFT($C256,11)="[Jefatura] ",IFERROR(MATCH("Riesgo Normativo|"&amp;MID($C256,12,500),rDname_ADM,0),0),"")</f>
        <v/>
      </c>
      <c r="AM256" s="62">
        <f>IF(N($AL256)&gt;0,INDEX(rIni_ADM,$AL256),IF(ISNUMBER($E256),$E256,""))</f>
        <v/>
      </c>
      <c r="AN256" s="62">
        <f>IF(N($AL256)&gt;0,INDEX(rLim_ADM,$AL256),IF(ISNUMBER($F256),$F256,""))</f>
        <v/>
      </c>
    </row>
    <row r="257">
      <c r="A257" s="56">
        <f>IF(NOT((COUNTA($B257:$D257)+COUNTA($G257:$L257)+COUNTA($Q257))&gt;0),"",IF($V257="Macro",COUNTIFS($V$5:$V257,"Macro",$S$5:$S257,$S257),IF(N($U257)=0,"?",COUNTIFS(INDEX($V$5:$V$1000,1):INDEX($V$5:$V$1000,$U257-4),"Macro",INDEX($S$5:$S$1000,1):INDEX($S$5:$S$1000,$U257-4),INDEX($S$5:$S$1000,$U257-4))&amp;"."&amp;COUNTIFS($U$5:$U257,$U257,$V$5:$V257,"Sub"))))</f>
        <v/>
      </c>
      <c r="B257" s="57" t="n"/>
      <c r="C257" s="58" t="n"/>
      <c r="D257" s="58" t="n"/>
      <c r="E257" s="59">
        <f>IF(N($AL257)&gt;0,INDEX(rIni_ADM,$AL257),"")</f>
        <v/>
      </c>
      <c r="F257" s="59">
        <f>IF(N($AL257)&gt;0,INDEX(rLim_ADM,$AL257),"")</f>
        <v/>
      </c>
      <c r="G257" s="59" t="n"/>
      <c r="H257" s="60" t="n"/>
      <c r="I257" s="60" t="n"/>
      <c r="J257" s="60" t="n"/>
      <c r="K257" s="60" t="n"/>
      <c r="L257" s="60" t="n"/>
      <c r="M257" s="61">
        <f>IF(NOT((COUNTA($B257:$D257)+COUNTA($G257:$L257)+COUNTA($Q257))&gt;0),"",IF($V257="Sub",IFERROR($X257/INDEX($W$5:$W$1000,$U257-4),""),IF(ISNUMBER($G257),1,IF(N($W257)&gt;0,AVERAGEIFS($X$5:$X$1000,$U$5:$U$1000,ROW(),$V$5:$V$1000,"Sub"),$X257))))</f>
        <v/>
      </c>
      <c r="N257" s="56">
        <f>IF(OR($M257="",$V257="Sub"),"",IF($M257&gt;=1,"Completado",IF($M257&gt;0,"En curso","Pendiente")))</f>
        <v/>
      </c>
      <c r="O257" s="56">
        <f>IF(OR(NOT((COUNTA($B257:$D257)+COUNTA($G257:$L257)+COUNTA($Q257))&gt;0),$V257="Sub"),"",IF(ISNUMBER($G257),IF(AND(ISNUMBER($AN257),$G257&gt;$AN257),"Cumplida con "&amp;($G257-$AN257)&amp;IF($G257-$AN257=1," día"," días")&amp;" de retraso","Cumplida"),IF(N($M257)&gt;=1,"Cumplida",IF(NOT(ISNUMBER($AN257)),"Sin fecha límite",IF($AN257&lt;FechaRef,"Vencida hace "&amp;(FechaRef-$AN257)&amp;IF(FechaRef-$AN257=1," día"," días"),IF($AN257=FechaRef,"Vence hoy",IF($AN257-FechaRef&lt;=DiasAlerta,"Vence en "&amp;($AN257-FechaRef)&amp;IF($AN257-FechaRef=1," día"," días"),"En plazo")))))))</f>
        <v/>
      </c>
      <c r="P257" s="62" t="n"/>
      <c r="Q257" s="58" t="n"/>
      <c r="R257" s="63">
        <f>IF(NOT((COUNTA($B257:$D257)+COUNTA($G257:$L257)+COUNTA($Q257))&gt;0),"",IF((IF($C257="","Falta el nombre de la actividad"&amp;" · ","")&amp;IF(AND($V257="Sub",N($U257)=0),"Subactividad sin macroactividad arriba"&amp;" · ","")&amp;IF($AM257="","Sin fecha de inicio"&amp;" · ","")&amp;IF($AN257="","Sin fecha límite"&amp;" · ","")&amp;IF(AND(LEFT($C257,11)="[Jefatura] ",N($AL257)=0),"No se encuentra en la hoja de la jefatura (elíjala de nuevo en la lista)"&amp;" · ","")&amp;IF(OR(AND($E257&lt;&gt;"",NOT(ISNUMBER($E257))),AND($F257&lt;&gt;"",NOT(ISNUMBER($F257))),AND($G257&lt;&gt;"",NOT(ISNUMBER($G257)))),"Fecha no válida"&amp;" · ","")&amp;IF(AND(ISNUMBER($AM257),ISNUMBER($AN257),$AM257&gt;$AN257),"Inicio posterior a fecha límite"&amp;" · ","")&amp;IF(AND($V257="Macro",$H257&lt;&gt;"",OR(NOT(ISNUMBER($H257)),$H257&lt;0,$H257&gt;1)),"Peso fuera de rango"&amp;" · ","")&amp;IF(AND($V257="Sub",$H257&lt;&gt;""),"Las subactividades no llevan peso (valen igual dentro de su macroactividad)"&amp;" · ","")&amp;IF(AND(N($W257)&gt;0,COUNT($I257:$L257)&gt;0),"Con subactividades: deje vacías las semanas (se calculan solas)"&amp;" · ","")&amp;IF((COUNTIF($I257:$L257,"&gt;1")+COUNTIF($I257:$L257,"&lt;0")+COUNTA($I257:$L257)-COUNT($I257:$L257))&gt;0,"Avance fuera de rango 0-100%"&amp;" · ","")&amp;IF(OR(AND($J257&lt;&gt;"",$J257&lt;$I257),AND($K257&lt;&gt;"",$K257&lt;MAX($I257:$J257)),AND($L257&lt;&gt;"",$L257&lt;MAX($I257:$K257))),"Avance semanal decreciente"&amp;" · ","")&amp;IF(AND(ISNUMBER($AN257),$AN257&lt;FechaRef,IF($V257="Sub",N($X257),N($M257))&lt;1),"Vencida"&amp;" · ","")&amp;IF(AND(ObsObligatoria="Sí",ISNUMBER($AN257),$AN257&lt;FechaRef,IF($V257="Sub",N($X257),N($M257))&lt;1,$Q257=""),"Vencida sin observación"&amp;" · ",""))="","✔ OK","⚠ "&amp;LEFT(IF($C257="","Falta el nombre de la actividad"&amp;" · ","")&amp;IF(AND($V257="Sub",N($U257)=0),"Subactividad sin macroactividad arriba"&amp;" · ","")&amp;IF($AM257="","Sin fecha de inicio"&amp;" · ","")&amp;IF($AN257="","Sin fecha límite"&amp;" · ","")&amp;IF(AND(LEFT($C257,11)="[Jefatura] ",N($AL257)=0),"No se encuentra en la hoja de la jefatura (elíjala de nuevo en la lista)"&amp;" · ","")&amp;IF(OR(AND($E257&lt;&gt;"",NOT(ISNUMBER($E257))),AND($F257&lt;&gt;"",NOT(ISNUMBER($F257))),AND($G257&lt;&gt;"",NOT(ISNUMBER($G257)))),"Fecha no válida"&amp;" · ","")&amp;IF(AND(ISNUMBER($AM257),ISNUMBER($AN257),$AM257&gt;$AN257),"Inicio posterior a fecha límite"&amp;" · ","")&amp;IF(AND($V257="Macro",$H257&lt;&gt;"",OR(NOT(ISNUMBER($H257)),$H257&lt;0,$H257&gt;1)),"Peso fuera de rango"&amp;" · ","")&amp;IF(AND($V257="Sub",$H257&lt;&gt;""),"Las subactividades no llevan peso (valen igual dentro de su macroactividad)"&amp;" · ","")&amp;IF(AND(N($W257)&gt;0,COUNT($I257:$L257)&gt;0),"Con subactividades: deje vacías las semanas (se calculan solas)"&amp;" · ","")&amp;IF((COUNTIF($I257:$L257,"&gt;1")+COUNTIF($I257:$L257,"&lt;0")+COUNTA($I257:$L257)-COUNT($I257:$L257))&gt;0,"Avance fuera de rango 0-100%"&amp;" · ","")&amp;IF(OR(AND($J257&lt;&gt;"",$J257&lt;$I257),AND($K257&lt;&gt;"",$K257&lt;MAX($I257:$J257)),AND($L257&lt;&gt;"",$L257&lt;MAX($I257:$K257))),"Avance semanal decreciente"&amp;" · ","")&amp;IF(AND(ISNUMBER($AN257),$AN257&lt;FechaRef,IF($V257="Sub",N($X257),N($M257))&lt;1),"Vencida"&amp;" · ","")&amp;IF(AND(ObsObligatoria="Sí",ISNUMBER($AN257),$AN257&lt;FechaRef,IF($V257="Sub",N($X257),N($M257))&lt;1,$Q257=""),"Vencida sin observación"&amp;" · ",""),LEN(IF($C257="","Falta el nombre de la actividad"&amp;" · ","")&amp;IF(AND($V257="Sub",N($U257)=0),"Subactividad sin macroactividad arriba"&amp;" · ","")&amp;IF($AM257="","Sin fecha de inicio"&amp;" · ","")&amp;IF($AN257="","Sin fecha límite"&amp;" · ","")&amp;IF(AND(LEFT($C257,11)="[Jefatura] ",N($AL257)=0),"No se encuentra en la hoja de la jefatura (elíjala de nuevo en la lista)"&amp;" · ","")&amp;IF(OR(AND($E257&lt;&gt;"",NOT(ISNUMBER($E257))),AND($F257&lt;&gt;"",NOT(ISNUMBER($F257))),AND($G257&lt;&gt;"",NOT(ISNUMBER($G257)))),"Fecha no válida"&amp;" · ","")&amp;IF(AND(ISNUMBER($AM257),ISNUMBER($AN257),$AM257&gt;$AN257),"Inicio posterior a fecha límite"&amp;" · ","")&amp;IF(AND($V257="Macro",$H257&lt;&gt;"",OR(NOT(ISNUMBER($H257)),$H257&lt;0,$H257&gt;1)),"Peso fuera de rango"&amp;" · ","")&amp;IF(AND($V257="Sub",$H257&lt;&gt;""),"Las subactividades no llevan peso (valen igual dentro de su macroactividad)"&amp;" · ","")&amp;IF(AND(N($W257)&gt;0,COUNT($I257:$L257)&gt;0),"Con subactividades: deje vacías las semanas (se calculan solas)"&amp;" · ","")&amp;IF((COUNTIF($I257:$L257,"&gt;1")+COUNTIF($I257:$L257,"&lt;0")+COUNTA($I257:$L257)-COUNT($I257:$L257))&gt;0,"Avance fuera de rango 0-100%"&amp;" · ","")&amp;IF(OR(AND($J257&lt;&gt;"",$J257&lt;$I257),AND($K257&lt;&gt;"",$K257&lt;MAX($I257:$J257)),AND($L257&lt;&gt;"",$L257&lt;MAX($I257:$K257))),"Avance semanal decreciente"&amp;" · ","")&amp;IF(AND(ISNUMBER($AN257),$AN257&lt;FechaRef,IF($V257="Sub",N($X257),N($M257))&lt;1),"Vencida"&amp;" · ","")&amp;IF(AND(ObsObligatoria="Sí",ISNUMBER($AN257),$AN257&lt;FechaRef,IF($V257="Sub",N($X257),N($M257))&lt;1,$Q257=""),"Vencida sin observación"&amp;" · ",""))-3)))</f>
        <v/>
      </c>
      <c r="S257" s="64">
        <f>IF(NOT((COUNTA($B257:$D257)+COUNTA($G257:$L257)+COUNTA($Q257))&gt;0),"",IF(AND($V257="Sub",N($U257)&gt;0),IF(ISNUMBER(INDEX($AM$5:$AM$1000,$U257-4)),DATE(YEAR(INDEX($AM$5:$AM$1000,$U257-4)),MONTH(INDEX($AM$5:$AM$1000,$U257-4)),1),IF(ISNUMBER(INDEX($AN$5:$AN$1000,$U257-4)),DATE(YEAR(INDEX($AN$5:$AN$1000,$U257-4)),MONTH(INDEX($AN$5:$AN$1000,$U257-4)),1),MesCiclo)),IF(ISNUMBER($AM257),DATE(YEAR($AM257),MONTH($AM257),1),IF(ISNUMBER($AN257),DATE(YEAR($AN257),MONTH($AN257),1),MesCiclo))))</f>
        <v/>
      </c>
      <c r="T257" s="62">
        <f>IF(OR($S257="",$S257&lt;&gt;MesCiclo,$V257&lt;&gt;"Macro"),"",COUNTIFS($S$5:$S257,MesCiclo,$V$5:$V257,"Macro"))</f>
        <v/>
      </c>
      <c r="U257" s="62">
        <f>IF($V257="","",IF($V257="Macro",ROW(),IFERROR(LOOKUP(2,1/($V$5:$V257="Macro"),ROW($V$5:$V257)),0)))</f>
        <v/>
      </c>
      <c r="V257" s="62">
        <f>IF(NOT((COUNTA($B257:$D257)+COUNTA($G257:$L257)+COUNTA($Q257))&gt;0),"",IF($B257="Subactividad","Sub","Macro"))</f>
        <v/>
      </c>
      <c r="W257" s="62">
        <f>IF($V257="Macro",COUNTIFS($U$5:$U$1000,ROW(),$V$5:$V$1000,"Sub"),"")</f>
        <v/>
      </c>
      <c r="X257" s="62">
        <f>IF($V257="","",IF(ISNUMBER($G257),1,IFERROR(LOOKUP(2,1/($I257:$L257&lt;&gt;""),$I257:$L257),0)))</f>
        <v/>
      </c>
      <c r="Y257" s="62">
        <f>IF($V257="","",IF(AND(ISNUMBER($G257),$G257&lt;=IF($S257=MesCiclo,InicioCiclo,$S257+MOD(2-WEEKDAY($S257),7))+6),1,IF(ISNUMBER($I257),$I257,0)))</f>
        <v/>
      </c>
      <c r="Z257" s="62">
        <f>IF($V257="","",IF(AND(ISNUMBER($G257),$G257&lt;=IF($S257=MesCiclo,InicioCiclo,$S257+MOD(2-WEEKDAY($S257),7))+13),1,IF(ISNUMBER($J257),$J257,$Y257)))</f>
        <v/>
      </c>
      <c r="AA257" s="62">
        <f>IF($V257="","",IF(AND(ISNUMBER($G257),$G257&lt;=IF($S257=MesCiclo,InicioCiclo,$S257+MOD(2-WEEKDAY($S257),7))+20),1,IF(ISNUMBER($K257),$K257,$Z257)))</f>
        <v/>
      </c>
      <c r="AB257" s="62">
        <f>IF($V257="","",IF(AND(ISNUMBER($G257),$G257&lt;=IF($S257=MesCiclo,InicioCiclo,$S257+MOD(2-WEEKDAY($S257),7))+27),1,IF(ISNUMBER($L257),$L257,$AA257)))</f>
        <v/>
      </c>
      <c r="AC257" s="62">
        <f>IF($V257="","",IF(AND(ISNUMBER($G257),$G257&lt;=IF($S257=MesCiclo,InicioCiclo,$S257+MOD(2-WEEKDAY($S257),7))+6),1,IF(N($W257)&gt;0,AVERAGEIFS($Y$5:$Y$1000,$U$5:$U$1000,ROW(),$V$5:$V$1000,"Sub"),$Y257)))</f>
        <v/>
      </c>
      <c r="AD257" s="62">
        <f>IF($V257="","",IF(AND(ISNUMBER($G257),$G257&lt;=IF($S257=MesCiclo,InicioCiclo,$S257+MOD(2-WEEKDAY($S257),7))+13),1,IF(N($W257)&gt;0,AVERAGEIFS($Z$5:$Z$1000,$U$5:$U$1000,ROW(),$V$5:$V$1000,"Sub"),$Z257)))</f>
        <v/>
      </c>
      <c r="AE257" s="62">
        <f>IF($V257="","",IF(AND(ISNUMBER($G257),$G257&lt;=IF($S257=MesCiclo,InicioCiclo,$S257+MOD(2-WEEKDAY($S257),7))+20),1,IF(N($W257)&gt;0,AVERAGEIFS($AA$5:$AA$1000,$U$5:$U$1000,ROW(),$V$5:$V$1000,"Sub"),$AA257)))</f>
        <v/>
      </c>
      <c r="AF257" s="62">
        <f>IF($V257="","",IF(AND(ISNUMBER($G257),$G257&lt;=IF($S257=MesCiclo,InicioCiclo,$S257+MOD(2-WEEKDAY($S257),7))+27),1,IF(N($W257)&gt;0,AVERAGEIFS($AB$5:$AB$1000,$U$5:$U$1000,ROW(),$V$5:$V$1000,"Sub"),$AB257)))</f>
        <v/>
      </c>
      <c r="AG257" s="62">
        <f>IF($V257&lt;&gt;"Macro","",IF(COUNTIFS($S$5:$S$1000,$S257,$V$5:$V$1000,"Macro",$H$5:$H$1000,"&gt;0")=0,1/COUNTIFS($S$5:$S$1000,$S257,$V$5:$V$1000,"Macro"),IF(AND(ISNUMBER($H257),N($H257)&gt;0),$H257,SUMIFS($H$5:$H$1000,$S$5:$S$1000,$S257,$V$5:$V$1000,"Macro")/COUNTIFS($S$5:$S$1000,$S257,$V$5:$V$1000,"Macro",$H$5:$H$1000,"&gt;0"))/(COUNTIFS($S$5:$S$1000,$S257,$V$5:$V$1000,"Macro")*SUMIFS($H$5:$H$1000,$S$5:$S$1000,$S257,$V$5:$V$1000,"Macro")/COUNTIFS($S$5:$S$1000,$S257,$V$5:$V$1000,"Macro",$H$5:$H$1000,"&gt;0"))))</f>
        <v/>
      </c>
      <c r="AH257" s="62" t="n"/>
      <c r="AI257" s="62" t="n"/>
      <c r="AJ257" s="62" t="n"/>
      <c r="AK257" s="62" t="n"/>
      <c r="AL257" s="62">
        <f>IF(LEFT($C257,11)="[Jefatura] ",IFERROR(MATCH("Riesgo Normativo|"&amp;MID($C257,12,500),rDname_ADM,0),0),"")</f>
        <v/>
      </c>
      <c r="AM257" s="62">
        <f>IF(N($AL257)&gt;0,INDEX(rIni_ADM,$AL257),IF(ISNUMBER($E257),$E257,""))</f>
        <v/>
      </c>
      <c r="AN257" s="62">
        <f>IF(N($AL257)&gt;0,INDEX(rLim_ADM,$AL257),IF(ISNUMBER($F257),$F257,""))</f>
        <v/>
      </c>
    </row>
    <row r="258">
      <c r="A258" s="56">
        <f>IF(NOT((COUNTA($B258:$D258)+COUNTA($G258:$L258)+COUNTA($Q258))&gt;0),"",IF($V258="Macro",COUNTIFS($V$5:$V258,"Macro",$S$5:$S258,$S258),IF(N($U258)=0,"?",COUNTIFS(INDEX($V$5:$V$1000,1):INDEX($V$5:$V$1000,$U258-4),"Macro",INDEX($S$5:$S$1000,1):INDEX($S$5:$S$1000,$U258-4),INDEX($S$5:$S$1000,$U258-4))&amp;"."&amp;COUNTIFS($U$5:$U258,$U258,$V$5:$V258,"Sub"))))</f>
        <v/>
      </c>
      <c r="B258" s="57" t="n"/>
      <c r="C258" s="58" t="n"/>
      <c r="D258" s="58" t="n"/>
      <c r="E258" s="59">
        <f>IF(N($AL258)&gt;0,INDEX(rIni_ADM,$AL258),"")</f>
        <v/>
      </c>
      <c r="F258" s="59">
        <f>IF(N($AL258)&gt;0,INDEX(rLim_ADM,$AL258),"")</f>
        <v/>
      </c>
      <c r="G258" s="59" t="n"/>
      <c r="H258" s="60" t="n"/>
      <c r="I258" s="60" t="n"/>
      <c r="J258" s="60" t="n"/>
      <c r="K258" s="60" t="n"/>
      <c r="L258" s="60" t="n"/>
      <c r="M258" s="61">
        <f>IF(NOT((COUNTA($B258:$D258)+COUNTA($G258:$L258)+COUNTA($Q258))&gt;0),"",IF($V258="Sub",IFERROR($X258/INDEX($W$5:$W$1000,$U258-4),""),IF(ISNUMBER($G258),1,IF(N($W258)&gt;0,AVERAGEIFS($X$5:$X$1000,$U$5:$U$1000,ROW(),$V$5:$V$1000,"Sub"),$X258))))</f>
        <v/>
      </c>
      <c r="N258" s="56">
        <f>IF(OR($M258="",$V258="Sub"),"",IF($M258&gt;=1,"Completado",IF($M258&gt;0,"En curso","Pendiente")))</f>
        <v/>
      </c>
      <c r="O258" s="56">
        <f>IF(OR(NOT((COUNTA($B258:$D258)+COUNTA($G258:$L258)+COUNTA($Q258))&gt;0),$V258="Sub"),"",IF(ISNUMBER($G258),IF(AND(ISNUMBER($AN258),$G258&gt;$AN258),"Cumplida con "&amp;($G258-$AN258)&amp;IF($G258-$AN258=1," día"," días")&amp;" de retraso","Cumplida"),IF(N($M258)&gt;=1,"Cumplida",IF(NOT(ISNUMBER($AN258)),"Sin fecha límite",IF($AN258&lt;FechaRef,"Vencida hace "&amp;(FechaRef-$AN258)&amp;IF(FechaRef-$AN258=1," día"," días"),IF($AN258=FechaRef,"Vence hoy",IF($AN258-FechaRef&lt;=DiasAlerta,"Vence en "&amp;($AN258-FechaRef)&amp;IF($AN258-FechaRef=1," día"," días"),"En plazo")))))))</f>
        <v/>
      </c>
      <c r="P258" s="62" t="n"/>
      <c r="Q258" s="58" t="n"/>
      <c r="R258" s="63">
        <f>IF(NOT((COUNTA($B258:$D258)+COUNTA($G258:$L258)+COUNTA($Q258))&gt;0),"",IF((IF($C258="","Falta el nombre de la actividad"&amp;" · ","")&amp;IF(AND($V258="Sub",N($U258)=0),"Subactividad sin macroactividad arriba"&amp;" · ","")&amp;IF($AM258="","Sin fecha de inicio"&amp;" · ","")&amp;IF($AN258="","Sin fecha límite"&amp;" · ","")&amp;IF(AND(LEFT($C258,11)="[Jefatura] ",N($AL258)=0),"No se encuentra en la hoja de la jefatura (elíjala de nuevo en la lista)"&amp;" · ","")&amp;IF(OR(AND($E258&lt;&gt;"",NOT(ISNUMBER($E258))),AND($F258&lt;&gt;"",NOT(ISNUMBER($F258))),AND($G258&lt;&gt;"",NOT(ISNUMBER($G258)))),"Fecha no válida"&amp;" · ","")&amp;IF(AND(ISNUMBER($AM258),ISNUMBER($AN258),$AM258&gt;$AN258),"Inicio posterior a fecha límite"&amp;" · ","")&amp;IF(AND($V258="Macro",$H258&lt;&gt;"",OR(NOT(ISNUMBER($H258)),$H258&lt;0,$H258&gt;1)),"Peso fuera de rango"&amp;" · ","")&amp;IF(AND($V258="Sub",$H258&lt;&gt;""),"Las subactividades no llevan peso (valen igual dentro de su macroactividad)"&amp;" · ","")&amp;IF(AND(N($W258)&gt;0,COUNT($I258:$L258)&gt;0),"Con subactividades: deje vacías las semanas (se calculan solas)"&amp;" · ","")&amp;IF((COUNTIF($I258:$L258,"&gt;1")+COUNTIF($I258:$L258,"&lt;0")+COUNTA($I258:$L258)-COUNT($I258:$L258))&gt;0,"Avance fuera de rango 0-100%"&amp;" · ","")&amp;IF(OR(AND($J258&lt;&gt;"",$J258&lt;$I258),AND($K258&lt;&gt;"",$K258&lt;MAX($I258:$J258)),AND($L258&lt;&gt;"",$L258&lt;MAX($I258:$K258))),"Avance semanal decreciente"&amp;" · ","")&amp;IF(AND(ISNUMBER($AN258),$AN258&lt;FechaRef,IF($V258="Sub",N($X258),N($M258))&lt;1),"Vencida"&amp;" · ","")&amp;IF(AND(ObsObligatoria="Sí",ISNUMBER($AN258),$AN258&lt;FechaRef,IF($V258="Sub",N($X258),N($M258))&lt;1,$Q258=""),"Vencida sin observación"&amp;" · ",""))="","✔ OK","⚠ "&amp;LEFT(IF($C258="","Falta el nombre de la actividad"&amp;" · ","")&amp;IF(AND($V258="Sub",N($U258)=0),"Subactividad sin macroactividad arriba"&amp;" · ","")&amp;IF($AM258="","Sin fecha de inicio"&amp;" · ","")&amp;IF($AN258="","Sin fecha límite"&amp;" · ","")&amp;IF(AND(LEFT($C258,11)="[Jefatura] ",N($AL258)=0),"No se encuentra en la hoja de la jefatura (elíjala de nuevo en la lista)"&amp;" · ","")&amp;IF(OR(AND($E258&lt;&gt;"",NOT(ISNUMBER($E258))),AND($F258&lt;&gt;"",NOT(ISNUMBER($F258))),AND($G258&lt;&gt;"",NOT(ISNUMBER($G258)))),"Fecha no válida"&amp;" · ","")&amp;IF(AND(ISNUMBER($AM258),ISNUMBER($AN258),$AM258&gt;$AN258),"Inicio posterior a fecha límite"&amp;" · ","")&amp;IF(AND($V258="Macro",$H258&lt;&gt;"",OR(NOT(ISNUMBER($H258)),$H258&lt;0,$H258&gt;1)),"Peso fuera de rango"&amp;" · ","")&amp;IF(AND($V258="Sub",$H258&lt;&gt;""),"Las subactividades no llevan peso (valen igual dentro de su macroactividad)"&amp;" · ","")&amp;IF(AND(N($W258)&gt;0,COUNT($I258:$L258)&gt;0),"Con subactividades: deje vacías las semanas (se calculan solas)"&amp;" · ","")&amp;IF((COUNTIF($I258:$L258,"&gt;1")+COUNTIF($I258:$L258,"&lt;0")+COUNTA($I258:$L258)-COUNT($I258:$L258))&gt;0,"Avance fuera de rango 0-100%"&amp;" · ","")&amp;IF(OR(AND($J258&lt;&gt;"",$J258&lt;$I258),AND($K258&lt;&gt;"",$K258&lt;MAX($I258:$J258)),AND($L258&lt;&gt;"",$L258&lt;MAX($I258:$K258))),"Avance semanal decreciente"&amp;" · ","")&amp;IF(AND(ISNUMBER($AN258),$AN258&lt;FechaRef,IF($V258="Sub",N($X258),N($M258))&lt;1),"Vencida"&amp;" · ","")&amp;IF(AND(ObsObligatoria="Sí",ISNUMBER($AN258),$AN258&lt;FechaRef,IF($V258="Sub",N($X258),N($M258))&lt;1,$Q258=""),"Vencida sin observación"&amp;" · ",""),LEN(IF($C258="","Falta el nombre de la actividad"&amp;" · ","")&amp;IF(AND($V258="Sub",N($U258)=0),"Subactividad sin macroactividad arriba"&amp;" · ","")&amp;IF($AM258="","Sin fecha de inicio"&amp;" · ","")&amp;IF($AN258="","Sin fecha límite"&amp;" · ","")&amp;IF(AND(LEFT($C258,11)="[Jefatura] ",N($AL258)=0),"No se encuentra en la hoja de la jefatura (elíjala de nuevo en la lista)"&amp;" · ","")&amp;IF(OR(AND($E258&lt;&gt;"",NOT(ISNUMBER($E258))),AND($F258&lt;&gt;"",NOT(ISNUMBER($F258))),AND($G258&lt;&gt;"",NOT(ISNUMBER($G258)))),"Fecha no válida"&amp;" · ","")&amp;IF(AND(ISNUMBER($AM258),ISNUMBER($AN258),$AM258&gt;$AN258),"Inicio posterior a fecha límite"&amp;" · ","")&amp;IF(AND($V258="Macro",$H258&lt;&gt;"",OR(NOT(ISNUMBER($H258)),$H258&lt;0,$H258&gt;1)),"Peso fuera de rango"&amp;" · ","")&amp;IF(AND($V258="Sub",$H258&lt;&gt;""),"Las subactividades no llevan peso (valen igual dentro de su macroactividad)"&amp;" · ","")&amp;IF(AND(N($W258)&gt;0,COUNT($I258:$L258)&gt;0),"Con subactividades: deje vacías las semanas (se calculan solas)"&amp;" · ","")&amp;IF((COUNTIF($I258:$L258,"&gt;1")+COUNTIF($I258:$L258,"&lt;0")+COUNTA($I258:$L258)-COUNT($I258:$L258))&gt;0,"Avance fuera de rango 0-100%"&amp;" · ","")&amp;IF(OR(AND($J258&lt;&gt;"",$J258&lt;$I258),AND($K258&lt;&gt;"",$K258&lt;MAX($I258:$J258)),AND($L258&lt;&gt;"",$L258&lt;MAX($I258:$K258))),"Avance semanal decreciente"&amp;" · ","")&amp;IF(AND(ISNUMBER($AN258),$AN258&lt;FechaRef,IF($V258="Sub",N($X258),N($M258))&lt;1),"Vencida"&amp;" · ","")&amp;IF(AND(ObsObligatoria="Sí",ISNUMBER($AN258),$AN258&lt;FechaRef,IF($V258="Sub",N($X258),N($M258))&lt;1,$Q258=""),"Vencida sin observación"&amp;" · ",""))-3)))</f>
        <v/>
      </c>
      <c r="S258" s="64">
        <f>IF(NOT((COUNTA($B258:$D258)+COUNTA($G258:$L258)+COUNTA($Q258))&gt;0),"",IF(AND($V258="Sub",N($U258)&gt;0),IF(ISNUMBER(INDEX($AM$5:$AM$1000,$U258-4)),DATE(YEAR(INDEX($AM$5:$AM$1000,$U258-4)),MONTH(INDEX($AM$5:$AM$1000,$U258-4)),1),IF(ISNUMBER(INDEX($AN$5:$AN$1000,$U258-4)),DATE(YEAR(INDEX($AN$5:$AN$1000,$U258-4)),MONTH(INDEX($AN$5:$AN$1000,$U258-4)),1),MesCiclo)),IF(ISNUMBER($AM258),DATE(YEAR($AM258),MONTH($AM258),1),IF(ISNUMBER($AN258),DATE(YEAR($AN258),MONTH($AN258),1),MesCiclo))))</f>
        <v/>
      </c>
      <c r="T258" s="62">
        <f>IF(OR($S258="",$S258&lt;&gt;MesCiclo,$V258&lt;&gt;"Macro"),"",COUNTIFS($S$5:$S258,MesCiclo,$V$5:$V258,"Macro"))</f>
        <v/>
      </c>
      <c r="U258" s="62">
        <f>IF($V258="","",IF($V258="Macro",ROW(),IFERROR(LOOKUP(2,1/($V$5:$V258="Macro"),ROW($V$5:$V258)),0)))</f>
        <v/>
      </c>
      <c r="V258" s="62">
        <f>IF(NOT((COUNTA($B258:$D258)+COUNTA($G258:$L258)+COUNTA($Q258))&gt;0),"",IF($B258="Subactividad","Sub","Macro"))</f>
        <v/>
      </c>
      <c r="W258" s="62">
        <f>IF($V258="Macro",COUNTIFS($U$5:$U$1000,ROW(),$V$5:$V$1000,"Sub"),"")</f>
        <v/>
      </c>
      <c r="X258" s="62">
        <f>IF($V258="","",IF(ISNUMBER($G258),1,IFERROR(LOOKUP(2,1/($I258:$L258&lt;&gt;""),$I258:$L258),0)))</f>
        <v/>
      </c>
      <c r="Y258" s="62">
        <f>IF($V258="","",IF(AND(ISNUMBER($G258),$G258&lt;=IF($S258=MesCiclo,InicioCiclo,$S258+MOD(2-WEEKDAY($S258),7))+6),1,IF(ISNUMBER($I258),$I258,0)))</f>
        <v/>
      </c>
      <c r="Z258" s="62">
        <f>IF($V258="","",IF(AND(ISNUMBER($G258),$G258&lt;=IF($S258=MesCiclo,InicioCiclo,$S258+MOD(2-WEEKDAY($S258),7))+13),1,IF(ISNUMBER($J258),$J258,$Y258)))</f>
        <v/>
      </c>
      <c r="AA258" s="62">
        <f>IF($V258="","",IF(AND(ISNUMBER($G258),$G258&lt;=IF($S258=MesCiclo,InicioCiclo,$S258+MOD(2-WEEKDAY($S258),7))+20),1,IF(ISNUMBER($K258),$K258,$Z258)))</f>
        <v/>
      </c>
      <c r="AB258" s="62">
        <f>IF($V258="","",IF(AND(ISNUMBER($G258),$G258&lt;=IF($S258=MesCiclo,InicioCiclo,$S258+MOD(2-WEEKDAY($S258),7))+27),1,IF(ISNUMBER($L258),$L258,$AA258)))</f>
        <v/>
      </c>
      <c r="AC258" s="62">
        <f>IF($V258="","",IF(AND(ISNUMBER($G258),$G258&lt;=IF($S258=MesCiclo,InicioCiclo,$S258+MOD(2-WEEKDAY($S258),7))+6),1,IF(N($W258)&gt;0,AVERAGEIFS($Y$5:$Y$1000,$U$5:$U$1000,ROW(),$V$5:$V$1000,"Sub"),$Y258)))</f>
        <v/>
      </c>
      <c r="AD258" s="62">
        <f>IF($V258="","",IF(AND(ISNUMBER($G258),$G258&lt;=IF($S258=MesCiclo,InicioCiclo,$S258+MOD(2-WEEKDAY($S258),7))+13),1,IF(N($W258)&gt;0,AVERAGEIFS($Z$5:$Z$1000,$U$5:$U$1000,ROW(),$V$5:$V$1000,"Sub"),$Z258)))</f>
        <v/>
      </c>
      <c r="AE258" s="62">
        <f>IF($V258="","",IF(AND(ISNUMBER($G258),$G258&lt;=IF($S258=MesCiclo,InicioCiclo,$S258+MOD(2-WEEKDAY($S258),7))+20),1,IF(N($W258)&gt;0,AVERAGEIFS($AA$5:$AA$1000,$U$5:$U$1000,ROW(),$V$5:$V$1000,"Sub"),$AA258)))</f>
        <v/>
      </c>
      <c r="AF258" s="62">
        <f>IF($V258="","",IF(AND(ISNUMBER($G258),$G258&lt;=IF($S258=MesCiclo,InicioCiclo,$S258+MOD(2-WEEKDAY($S258),7))+27),1,IF(N($W258)&gt;0,AVERAGEIFS($AB$5:$AB$1000,$U$5:$U$1000,ROW(),$V$5:$V$1000,"Sub"),$AB258)))</f>
        <v/>
      </c>
      <c r="AG258" s="62">
        <f>IF($V258&lt;&gt;"Macro","",IF(COUNTIFS($S$5:$S$1000,$S258,$V$5:$V$1000,"Macro",$H$5:$H$1000,"&gt;0")=0,1/COUNTIFS($S$5:$S$1000,$S258,$V$5:$V$1000,"Macro"),IF(AND(ISNUMBER($H258),N($H258)&gt;0),$H258,SUMIFS($H$5:$H$1000,$S$5:$S$1000,$S258,$V$5:$V$1000,"Macro")/COUNTIFS($S$5:$S$1000,$S258,$V$5:$V$1000,"Macro",$H$5:$H$1000,"&gt;0"))/(COUNTIFS($S$5:$S$1000,$S258,$V$5:$V$1000,"Macro")*SUMIFS($H$5:$H$1000,$S$5:$S$1000,$S258,$V$5:$V$1000,"Macro")/COUNTIFS($S$5:$S$1000,$S258,$V$5:$V$1000,"Macro",$H$5:$H$1000,"&gt;0"))))</f>
        <v/>
      </c>
      <c r="AH258" s="62" t="n"/>
      <c r="AI258" s="62" t="n"/>
      <c r="AJ258" s="62" t="n"/>
      <c r="AK258" s="62" t="n"/>
      <c r="AL258" s="62">
        <f>IF(LEFT($C258,11)="[Jefatura] ",IFERROR(MATCH("Riesgo Normativo|"&amp;MID($C258,12,500),rDname_ADM,0),0),"")</f>
        <v/>
      </c>
      <c r="AM258" s="62">
        <f>IF(N($AL258)&gt;0,INDEX(rIni_ADM,$AL258),IF(ISNUMBER($E258),$E258,""))</f>
        <v/>
      </c>
      <c r="AN258" s="62">
        <f>IF(N($AL258)&gt;0,INDEX(rLim_ADM,$AL258),IF(ISNUMBER($F258),$F258,""))</f>
        <v/>
      </c>
    </row>
    <row r="259">
      <c r="A259" s="56">
        <f>IF(NOT((COUNTA($B259:$D259)+COUNTA($G259:$L259)+COUNTA($Q259))&gt;0),"",IF($V259="Macro",COUNTIFS($V$5:$V259,"Macro",$S$5:$S259,$S259),IF(N($U259)=0,"?",COUNTIFS(INDEX($V$5:$V$1000,1):INDEX($V$5:$V$1000,$U259-4),"Macro",INDEX($S$5:$S$1000,1):INDEX($S$5:$S$1000,$U259-4),INDEX($S$5:$S$1000,$U259-4))&amp;"."&amp;COUNTIFS($U$5:$U259,$U259,$V$5:$V259,"Sub"))))</f>
        <v/>
      </c>
      <c r="B259" s="57" t="n"/>
      <c r="C259" s="58" t="n"/>
      <c r="D259" s="58" t="n"/>
      <c r="E259" s="59">
        <f>IF(N($AL259)&gt;0,INDEX(rIni_ADM,$AL259),"")</f>
        <v/>
      </c>
      <c r="F259" s="59">
        <f>IF(N($AL259)&gt;0,INDEX(rLim_ADM,$AL259),"")</f>
        <v/>
      </c>
      <c r="G259" s="59" t="n"/>
      <c r="H259" s="60" t="n"/>
      <c r="I259" s="60" t="n"/>
      <c r="J259" s="60" t="n"/>
      <c r="K259" s="60" t="n"/>
      <c r="L259" s="60" t="n"/>
      <c r="M259" s="61">
        <f>IF(NOT((COUNTA($B259:$D259)+COUNTA($G259:$L259)+COUNTA($Q259))&gt;0),"",IF($V259="Sub",IFERROR($X259/INDEX($W$5:$W$1000,$U259-4),""),IF(ISNUMBER($G259),1,IF(N($W259)&gt;0,AVERAGEIFS($X$5:$X$1000,$U$5:$U$1000,ROW(),$V$5:$V$1000,"Sub"),$X259))))</f>
        <v/>
      </c>
      <c r="N259" s="56">
        <f>IF(OR($M259="",$V259="Sub"),"",IF($M259&gt;=1,"Completado",IF($M259&gt;0,"En curso","Pendiente")))</f>
        <v/>
      </c>
      <c r="O259" s="56">
        <f>IF(OR(NOT((COUNTA($B259:$D259)+COUNTA($G259:$L259)+COUNTA($Q259))&gt;0),$V259="Sub"),"",IF(ISNUMBER($G259),IF(AND(ISNUMBER($AN259),$G259&gt;$AN259),"Cumplida con "&amp;($G259-$AN259)&amp;IF($G259-$AN259=1," día"," días")&amp;" de retraso","Cumplida"),IF(N($M259)&gt;=1,"Cumplida",IF(NOT(ISNUMBER($AN259)),"Sin fecha límite",IF($AN259&lt;FechaRef,"Vencida hace "&amp;(FechaRef-$AN259)&amp;IF(FechaRef-$AN259=1," día"," días"),IF($AN259=FechaRef,"Vence hoy",IF($AN259-FechaRef&lt;=DiasAlerta,"Vence en "&amp;($AN259-FechaRef)&amp;IF($AN259-FechaRef=1," día"," días"),"En plazo")))))))</f>
        <v/>
      </c>
      <c r="P259" s="62" t="n"/>
      <c r="Q259" s="58" t="n"/>
      <c r="R259" s="63">
        <f>IF(NOT((COUNTA($B259:$D259)+COUNTA($G259:$L259)+COUNTA($Q259))&gt;0),"",IF((IF($C259="","Falta el nombre de la actividad"&amp;" · ","")&amp;IF(AND($V259="Sub",N($U259)=0),"Subactividad sin macroactividad arriba"&amp;" · ","")&amp;IF($AM259="","Sin fecha de inicio"&amp;" · ","")&amp;IF($AN259="","Sin fecha límite"&amp;" · ","")&amp;IF(AND(LEFT($C259,11)="[Jefatura] ",N($AL259)=0),"No se encuentra en la hoja de la jefatura (elíjala de nuevo en la lista)"&amp;" · ","")&amp;IF(OR(AND($E259&lt;&gt;"",NOT(ISNUMBER($E259))),AND($F259&lt;&gt;"",NOT(ISNUMBER($F259))),AND($G259&lt;&gt;"",NOT(ISNUMBER($G259)))),"Fecha no válida"&amp;" · ","")&amp;IF(AND(ISNUMBER($AM259),ISNUMBER($AN259),$AM259&gt;$AN259),"Inicio posterior a fecha límite"&amp;" · ","")&amp;IF(AND($V259="Macro",$H259&lt;&gt;"",OR(NOT(ISNUMBER($H259)),$H259&lt;0,$H259&gt;1)),"Peso fuera de rango"&amp;" · ","")&amp;IF(AND($V259="Sub",$H259&lt;&gt;""),"Las subactividades no llevan peso (valen igual dentro de su macroactividad)"&amp;" · ","")&amp;IF(AND(N($W259)&gt;0,COUNT($I259:$L259)&gt;0),"Con subactividades: deje vacías las semanas (se calculan solas)"&amp;" · ","")&amp;IF((COUNTIF($I259:$L259,"&gt;1")+COUNTIF($I259:$L259,"&lt;0")+COUNTA($I259:$L259)-COUNT($I259:$L259))&gt;0,"Avance fuera de rango 0-100%"&amp;" · ","")&amp;IF(OR(AND($J259&lt;&gt;"",$J259&lt;$I259),AND($K259&lt;&gt;"",$K259&lt;MAX($I259:$J259)),AND($L259&lt;&gt;"",$L259&lt;MAX($I259:$K259))),"Avance semanal decreciente"&amp;" · ","")&amp;IF(AND(ISNUMBER($AN259),$AN259&lt;FechaRef,IF($V259="Sub",N($X259),N($M259))&lt;1),"Vencida"&amp;" · ","")&amp;IF(AND(ObsObligatoria="Sí",ISNUMBER($AN259),$AN259&lt;FechaRef,IF($V259="Sub",N($X259),N($M259))&lt;1,$Q259=""),"Vencida sin observación"&amp;" · ",""))="","✔ OK","⚠ "&amp;LEFT(IF($C259="","Falta el nombre de la actividad"&amp;" · ","")&amp;IF(AND($V259="Sub",N($U259)=0),"Subactividad sin macroactividad arriba"&amp;" · ","")&amp;IF($AM259="","Sin fecha de inicio"&amp;" · ","")&amp;IF($AN259="","Sin fecha límite"&amp;" · ","")&amp;IF(AND(LEFT($C259,11)="[Jefatura] ",N($AL259)=0),"No se encuentra en la hoja de la jefatura (elíjala de nuevo en la lista)"&amp;" · ","")&amp;IF(OR(AND($E259&lt;&gt;"",NOT(ISNUMBER($E259))),AND($F259&lt;&gt;"",NOT(ISNUMBER($F259))),AND($G259&lt;&gt;"",NOT(ISNUMBER($G259)))),"Fecha no válida"&amp;" · ","")&amp;IF(AND(ISNUMBER($AM259),ISNUMBER($AN259),$AM259&gt;$AN259),"Inicio posterior a fecha límite"&amp;" · ","")&amp;IF(AND($V259="Macro",$H259&lt;&gt;"",OR(NOT(ISNUMBER($H259)),$H259&lt;0,$H259&gt;1)),"Peso fuera de rango"&amp;" · ","")&amp;IF(AND($V259="Sub",$H259&lt;&gt;""),"Las subactividades no llevan peso (valen igual dentro de su macroactividad)"&amp;" · ","")&amp;IF(AND(N($W259)&gt;0,COUNT($I259:$L259)&gt;0),"Con subactividades: deje vacías las semanas (se calculan solas)"&amp;" · ","")&amp;IF((COUNTIF($I259:$L259,"&gt;1")+COUNTIF($I259:$L259,"&lt;0")+COUNTA($I259:$L259)-COUNT($I259:$L259))&gt;0,"Avance fuera de rango 0-100%"&amp;" · ","")&amp;IF(OR(AND($J259&lt;&gt;"",$J259&lt;$I259),AND($K259&lt;&gt;"",$K259&lt;MAX($I259:$J259)),AND($L259&lt;&gt;"",$L259&lt;MAX($I259:$K259))),"Avance semanal decreciente"&amp;" · ","")&amp;IF(AND(ISNUMBER($AN259),$AN259&lt;FechaRef,IF($V259="Sub",N($X259),N($M259))&lt;1),"Vencida"&amp;" · ","")&amp;IF(AND(ObsObligatoria="Sí",ISNUMBER($AN259),$AN259&lt;FechaRef,IF($V259="Sub",N($X259),N($M259))&lt;1,$Q259=""),"Vencida sin observación"&amp;" · ",""),LEN(IF($C259="","Falta el nombre de la actividad"&amp;" · ","")&amp;IF(AND($V259="Sub",N($U259)=0),"Subactividad sin macroactividad arriba"&amp;" · ","")&amp;IF($AM259="","Sin fecha de inicio"&amp;" · ","")&amp;IF($AN259="","Sin fecha límite"&amp;" · ","")&amp;IF(AND(LEFT($C259,11)="[Jefatura] ",N($AL259)=0),"No se encuentra en la hoja de la jefatura (elíjala de nuevo en la lista)"&amp;" · ","")&amp;IF(OR(AND($E259&lt;&gt;"",NOT(ISNUMBER($E259))),AND($F259&lt;&gt;"",NOT(ISNUMBER($F259))),AND($G259&lt;&gt;"",NOT(ISNUMBER($G259)))),"Fecha no válida"&amp;" · ","")&amp;IF(AND(ISNUMBER($AM259),ISNUMBER($AN259),$AM259&gt;$AN259),"Inicio posterior a fecha límite"&amp;" · ","")&amp;IF(AND($V259="Macro",$H259&lt;&gt;"",OR(NOT(ISNUMBER($H259)),$H259&lt;0,$H259&gt;1)),"Peso fuera de rango"&amp;" · ","")&amp;IF(AND($V259="Sub",$H259&lt;&gt;""),"Las subactividades no llevan peso (valen igual dentro de su macroactividad)"&amp;" · ","")&amp;IF(AND(N($W259)&gt;0,COUNT($I259:$L259)&gt;0),"Con subactividades: deje vacías las semanas (se calculan solas)"&amp;" · ","")&amp;IF((COUNTIF($I259:$L259,"&gt;1")+COUNTIF($I259:$L259,"&lt;0")+COUNTA($I259:$L259)-COUNT($I259:$L259))&gt;0,"Avance fuera de rango 0-100%"&amp;" · ","")&amp;IF(OR(AND($J259&lt;&gt;"",$J259&lt;$I259),AND($K259&lt;&gt;"",$K259&lt;MAX($I259:$J259)),AND($L259&lt;&gt;"",$L259&lt;MAX($I259:$K259))),"Avance semanal decreciente"&amp;" · ","")&amp;IF(AND(ISNUMBER($AN259),$AN259&lt;FechaRef,IF($V259="Sub",N($X259),N($M259))&lt;1),"Vencida"&amp;" · ","")&amp;IF(AND(ObsObligatoria="Sí",ISNUMBER($AN259),$AN259&lt;FechaRef,IF($V259="Sub",N($X259),N($M259))&lt;1,$Q259=""),"Vencida sin observación"&amp;" · ",""))-3)))</f>
        <v/>
      </c>
      <c r="S259" s="64">
        <f>IF(NOT((COUNTA($B259:$D259)+COUNTA($G259:$L259)+COUNTA($Q259))&gt;0),"",IF(AND($V259="Sub",N($U259)&gt;0),IF(ISNUMBER(INDEX($AM$5:$AM$1000,$U259-4)),DATE(YEAR(INDEX($AM$5:$AM$1000,$U259-4)),MONTH(INDEX($AM$5:$AM$1000,$U259-4)),1),IF(ISNUMBER(INDEX($AN$5:$AN$1000,$U259-4)),DATE(YEAR(INDEX($AN$5:$AN$1000,$U259-4)),MONTH(INDEX($AN$5:$AN$1000,$U259-4)),1),MesCiclo)),IF(ISNUMBER($AM259),DATE(YEAR($AM259),MONTH($AM259),1),IF(ISNUMBER($AN259),DATE(YEAR($AN259),MONTH($AN259),1),MesCiclo))))</f>
        <v/>
      </c>
      <c r="T259" s="62">
        <f>IF(OR($S259="",$S259&lt;&gt;MesCiclo,$V259&lt;&gt;"Macro"),"",COUNTIFS($S$5:$S259,MesCiclo,$V$5:$V259,"Macro"))</f>
        <v/>
      </c>
      <c r="U259" s="62">
        <f>IF($V259="","",IF($V259="Macro",ROW(),IFERROR(LOOKUP(2,1/($V$5:$V259="Macro"),ROW($V$5:$V259)),0)))</f>
        <v/>
      </c>
      <c r="V259" s="62">
        <f>IF(NOT((COUNTA($B259:$D259)+COUNTA($G259:$L259)+COUNTA($Q259))&gt;0),"",IF($B259="Subactividad","Sub","Macro"))</f>
        <v/>
      </c>
      <c r="W259" s="62">
        <f>IF($V259="Macro",COUNTIFS($U$5:$U$1000,ROW(),$V$5:$V$1000,"Sub"),"")</f>
        <v/>
      </c>
      <c r="X259" s="62">
        <f>IF($V259="","",IF(ISNUMBER($G259),1,IFERROR(LOOKUP(2,1/($I259:$L259&lt;&gt;""),$I259:$L259),0)))</f>
        <v/>
      </c>
      <c r="Y259" s="62">
        <f>IF($V259="","",IF(AND(ISNUMBER($G259),$G259&lt;=IF($S259=MesCiclo,InicioCiclo,$S259+MOD(2-WEEKDAY($S259),7))+6),1,IF(ISNUMBER($I259),$I259,0)))</f>
        <v/>
      </c>
      <c r="Z259" s="62">
        <f>IF($V259="","",IF(AND(ISNUMBER($G259),$G259&lt;=IF($S259=MesCiclo,InicioCiclo,$S259+MOD(2-WEEKDAY($S259),7))+13),1,IF(ISNUMBER($J259),$J259,$Y259)))</f>
        <v/>
      </c>
      <c r="AA259" s="62">
        <f>IF($V259="","",IF(AND(ISNUMBER($G259),$G259&lt;=IF($S259=MesCiclo,InicioCiclo,$S259+MOD(2-WEEKDAY($S259),7))+20),1,IF(ISNUMBER($K259),$K259,$Z259)))</f>
        <v/>
      </c>
      <c r="AB259" s="62">
        <f>IF($V259="","",IF(AND(ISNUMBER($G259),$G259&lt;=IF($S259=MesCiclo,InicioCiclo,$S259+MOD(2-WEEKDAY($S259),7))+27),1,IF(ISNUMBER($L259),$L259,$AA259)))</f>
        <v/>
      </c>
      <c r="AC259" s="62">
        <f>IF($V259="","",IF(AND(ISNUMBER($G259),$G259&lt;=IF($S259=MesCiclo,InicioCiclo,$S259+MOD(2-WEEKDAY($S259),7))+6),1,IF(N($W259)&gt;0,AVERAGEIFS($Y$5:$Y$1000,$U$5:$U$1000,ROW(),$V$5:$V$1000,"Sub"),$Y259)))</f>
        <v/>
      </c>
      <c r="AD259" s="62">
        <f>IF($V259="","",IF(AND(ISNUMBER($G259),$G259&lt;=IF($S259=MesCiclo,InicioCiclo,$S259+MOD(2-WEEKDAY($S259),7))+13),1,IF(N($W259)&gt;0,AVERAGEIFS($Z$5:$Z$1000,$U$5:$U$1000,ROW(),$V$5:$V$1000,"Sub"),$Z259)))</f>
        <v/>
      </c>
      <c r="AE259" s="62">
        <f>IF($V259="","",IF(AND(ISNUMBER($G259),$G259&lt;=IF($S259=MesCiclo,InicioCiclo,$S259+MOD(2-WEEKDAY($S259),7))+20),1,IF(N($W259)&gt;0,AVERAGEIFS($AA$5:$AA$1000,$U$5:$U$1000,ROW(),$V$5:$V$1000,"Sub"),$AA259)))</f>
        <v/>
      </c>
      <c r="AF259" s="62">
        <f>IF($V259="","",IF(AND(ISNUMBER($G259),$G259&lt;=IF($S259=MesCiclo,InicioCiclo,$S259+MOD(2-WEEKDAY($S259),7))+27),1,IF(N($W259)&gt;0,AVERAGEIFS($AB$5:$AB$1000,$U$5:$U$1000,ROW(),$V$5:$V$1000,"Sub"),$AB259)))</f>
        <v/>
      </c>
      <c r="AG259" s="62">
        <f>IF($V259&lt;&gt;"Macro","",IF(COUNTIFS($S$5:$S$1000,$S259,$V$5:$V$1000,"Macro",$H$5:$H$1000,"&gt;0")=0,1/COUNTIFS($S$5:$S$1000,$S259,$V$5:$V$1000,"Macro"),IF(AND(ISNUMBER($H259),N($H259)&gt;0),$H259,SUMIFS($H$5:$H$1000,$S$5:$S$1000,$S259,$V$5:$V$1000,"Macro")/COUNTIFS($S$5:$S$1000,$S259,$V$5:$V$1000,"Macro",$H$5:$H$1000,"&gt;0"))/(COUNTIFS($S$5:$S$1000,$S259,$V$5:$V$1000,"Macro")*SUMIFS($H$5:$H$1000,$S$5:$S$1000,$S259,$V$5:$V$1000,"Macro")/COUNTIFS($S$5:$S$1000,$S259,$V$5:$V$1000,"Macro",$H$5:$H$1000,"&gt;0"))))</f>
        <v/>
      </c>
      <c r="AH259" s="62" t="n"/>
      <c r="AI259" s="62" t="n"/>
      <c r="AJ259" s="62" t="n"/>
      <c r="AK259" s="62" t="n"/>
      <c r="AL259" s="62">
        <f>IF(LEFT($C259,11)="[Jefatura] ",IFERROR(MATCH("Riesgo Normativo|"&amp;MID($C259,12,500),rDname_ADM,0),0),"")</f>
        <v/>
      </c>
      <c r="AM259" s="62">
        <f>IF(N($AL259)&gt;0,INDEX(rIni_ADM,$AL259),IF(ISNUMBER($E259),$E259,""))</f>
        <v/>
      </c>
      <c r="AN259" s="62">
        <f>IF(N($AL259)&gt;0,INDEX(rLim_ADM,$AL259),IF(ISNUMBER($F259),$F259,""))</f>
        <v/>
      </c>
    </row>
    <row r="260">
      <c r="A260" s="56">
        <f>IF(NOT((COUNTA($B260:$D260)+COUNTA($G260:$L260)+COUNTA($Q260))&gt;0),"",IF($V260="Macro",COUNTIFS($V$5:$V260,"Macro",$S$5:$S260,$S260),IF(N($U260)=0,"?",COUNTIFS(INDEX($V$5:$V$1000,1):INDEX($V$5:$V$1000,$U260-4),"Macro",INDEX($S$5:$S$1000,1):INDEX($S$5:$S$1000,$U260-4),INDEX($S$5:$S$1000,$U260-4))&amp;"."&amp;COUNTIFS($U$5:$U260,$U260,$V$5:$V260,"Sub"))))</f>
        <v/>
      </c>
      <c r="B260" s="57" t="n"/>
      <c r="C260" s="58" t="n"/>
      <c r="D260" s="58" t="n"/>
      <c r="E260" s="59">
        <f>IF(N($AL260)&gt;0,INDEX(rIni_ADM,$AL260),"")</f>
        <v/>
      </c>
      <c r="F260" s="59">
        <f>IF(N($AL260)&gt;0,INDEX(rLim_ADM,$AL260),"")</f>
        <v/>
      </c>
      <c r="G260" s="59" t="n"/>
      <c r="H260" s="60" t="n"/>
      <c r="I260" s="60" t="n"/>
      <c r="J260" s="60" t="n"/>
      <c r="K260" s="60" t="n"/>
      <c r="L260" s="60" t="n"/>
      <c r="M260" s="61">
        <f>IF(NOT((COUNTA($B260:$D260)+COUNTA($G260:$L260)+COUNTA($Q260))&gt;0),"",IF($V260="Sub",IFERROR($X260/INDEX($W$5:$W$1000,$U260-4),""),IF(ISNUMBER($G260),1,IF(N($W260)&gt;0,AVERAGEIFS($X$5:$X$1000,$U$5:$U$1000,ROW(),$V$5:$V$1000,"Sub"),$X260))))</f>
        <v/>
      </c>
      <c r="N260" s="56">
        <f>IF(OR($M260="",$V260="Sub"),"",IF($M260&gt;=1,"Completado",IF($M260&gt;0,"En curso","Pendiente")))</f>
        <v/>
      </c>
      <c r="O260" s="56">
        <f>IF(OR(NOT((COUNTA($B260:$D260)+COUNTA($G260:$L260)+COUNTA($Q260))&gt;0),$V260="Sub"),"",IF(ISNUMBER($G260),IF(AND(ISNUMBER($AN260),$G260&gt;$AN260),"Cumplida con "&amp;($G260-$AN260)&amp;IF($G260-$AN260=1," día"," días")&amp;" de retraso","Cumplida"),IF(N($M260)&gt;=1,"Cumplida",IF(NOT(ISNUMBER($AN260)),"Sin fecha límite",IF($AN260&lt;FechaRef,"Vencida hace "&amp;(FechaRef-$AN260)&amp;IF(FechaRef-$AN260=1," día"," días"),IF($AN260=FechaRef,"Vence hoy",IF($AN260-FechaRef&lt;=DiasAlerta,"Vence en "&amp;($AN260-FechaRef)&amp;IF($AN260-FechaRef=1," día"," días"),"En plazo")))))))</f>
        <v/>
      </c>
      <c r="P260" s="62" t="n"/>
      <c r="Q260" s="58" t="n"/>
      <c r="R260" s="63">
        <f>IF(NOT((COUNTA($B260:$D260)+COUNTA($G260:$L260)+COUNTA($Q260))&gt;0),"",IF((IF($C260="","Falta el nombre de la actividad"&amp;" · ","")&amp;IF(AND($V260="Sub",N($U260)=0),"Subactividad sin macroactividad arriba"&amp;" · ","")&amp;IF($AM260="","Sin fecha de inicio"&amp;" · ","")&amp;IF($AN260="","Sin fecha límite"&amp;" · ","")&amp;IF(AND(LEFT($C260,11)="[Jefatura] ",N($AL260)=0),"No se encuentra en la hoja de la jefatura (elíjala de nuevo en la lista)"&amp;" · ","")&amp;IF(OR(AND($E260&lt;&gt;"",NOT(ISNUMBER($E260))),AND($F260&lt;&gt;"",NOT(ISNUMBER($F260))),AND($G260&lt;&gt;"",NOT(ISNUMBER($G260)))),"Fecha no válida"&amp;" · ","")&amp;IF(AND(ISNUMBER($AM260),ISNUMBER($AN260),$AM260&gt;$AN260),"Inicio posterior a fecha límite"&amp;" · ","")&amp;IF(AND($V260="Macro",$H260&lt;&gt;"",OR(NOT(ISNUMBER($H260)),$H260&lt;0,$H260&gt;1)),"Peso fuera de rango"&amp;" · ","")&amp;IF(AND($V260="Sub",$H260&lt;&gt;""),"Las subactividades no llevan peso (valen igual dentro de su macroactividad)"&amp;" · ","")&amp;IF(AND(N($W260)&gt;0,COUNT($I260:$L260)&gt;0),"Con subactividades: deje vacías las semanas (se calculan solas)"&amp;" · ","")&amp;IF((COUNTIF($I260:$L260,"&gt;1")+COUNTIF($I260:$L260,"&lt;0")+COUNTA($I260:$L260)-COUNT($I260:$L260))&gt;0,"Avance fuera de rango 0-100%"&amp;" · ","")&amp;IF(OR(AND($J260&lt;&gt;"",$J260&lt;$I260),AND($K260&lt;&gt;"",$K260&lt;MAX($I260:$J260)),AND($L260&lt;&gt;"",$L260&lt;MAX($I260:$K260))),"Avance semanal decreciente"&amp;" · ","")&amp;IF(AND(ISNUMBER($AN260),$AN260&lt;FechaRef,IF($V260="Sub",N($X260),N($M260))&lt;1),"Vencida"&amp;" · ","")&amp;IF(AND(ObsObligatoria="Sí",ISNUMBER($AN260),$AN260&lt;FechaRef,IF($V260="Sub",N($X260),N($M260))&lt;1,$Q260=""),"Vencida sin observación"&amp;" · ",""))="","✔ OK","⚠ "&amp;LEFT(IF($C260="","Falta el nombre de la actividad"&amp;" · ","")&amp;IF(AND($V260="Sub",N($U260)=0),"Subactividad sin macroactividad arriba"&amp;" · ","")&amp;IF($AM260="","Sin fecha de inicio"&amp;" · ","")&amp;IF($AN260="","Sin fecha límite"&amp;" · ","")&amp;IF(AND(LEFT($C260,11)="[Jefatura] ",N($AL260)=0),"No se encuentra en la hoja de la jefatura (elíjala de nuevo en la lista)"&amp;" · ","")&amp;IF(OR(AND($E260&lt;&gt;"",NOT(ISNUMBER($E260))),AND($F260&lt;&gt;"",NOT(ISNUMBER($F260))),AND($G260&lt;&gt;"",NOT(ISNUMBER($G260)))),"Fecha no válida"&amp;" · ","")&amp;IF(AND(ISNUMBER($AM260),ISNUMBER($AN260),$AM260&gt;$AN260),"Inicio posterior a fecha límite"&amp;" · ","")&amp;IF(AND($V260="Macro",$H260&lt;&gt;"",OR(NOT(ISNUMBER($H260)),$H260&lt;0,$H260&gt;1)),"Peso fuera de rango"&amp;" · ","")&amp;IF(AND($V260="Sub",$H260&lt;&gt;""),"Las subactividades no llevan peso (valen igual dentro de su macroactividad)"&amp;" · ","")&amp;IF(AND(N($W260)&gt;0,COUNT($I260:$L260)&gt;0),"Con subactividades: deje vacías las semanas (se calculan solas)"&amp;" · ","")&amp;IF((COUNTIF($I260:$L260,"&gt;1")+COUNTIF($I260:$L260,"&lt;0")+COUNTA($I260:$L260)-COUNT($I260:$L260))&gt;0,"Avance fuera de rango 0-100%"&amp;" · ","")&amp;IF(OR(AND($J260&lt;&gt;"",$J260&lt;$I260),AND($K260&lt;&gt;"",$K260&lt;MAX($I260:$J260)),AND($L260&lt;&gt;"",$L260&lt;MAX($I260:$K260))),"Avance semanal decreciente"&amp;" · ","")&amp;IF(AND(ISNUMBER($AN260),$AN260&lt;FechaRef,IF($V260="Sub",N($X260),N($M260))&lt;1),"Vencida"&amp;" · ","")&amp;IF(AND(ObsObligatoria="Sí",ISNUMBER($AN260),$AN260&lt;FechaRef,IF($V260="Sub",N($X260),N($M260))&lt;1,$Q260=""),"Vencida sin observación"&amp;" · ",""),LEN(IF($C260="","Falta el nombre de la actividad"&amp;" · ","")&amp;IF(AND($V260="Sub",N($U260)=0),"Subactividad sin macroactividad arriba"&amp;" · ","")&amp;IF($AM260="","Sin fecha de inicio"&amp;" · ","")&amp;IF($AN260="","Sin fecha límite"&amp;" · ","")&amp;IF(AND(LEFT($C260,11)="[Jefatura] ",N($AL260)=0),"No se encuentra en la hoja de la jefatura (elíjala de nuevo en la lista)"&amp;" · ","")&amp;IF(OR(AND($E260&lt;&gt;"",NOT(ISNUMBER($E260))),AND($F260&lt;&gt;"",NOT(ISNUMBER($F260))),AND($G260&lt;&gt;"",NOT(ISNUMBER($G260)))),"Fecha no válida"&amp;" · ","")&amp;IF(AND(ISNUMBER($AM260),ISNUMBER($AN260),$AM260&gt;$AN260),"Inicio posterior a fecha límite"&amp;" · ","")&amp;IF(AND($V260="Macro",$H260&lt;&gt;"",OR(NOT(ISNUMBER($H260)),$H260&lt;0,$H260&gt;1)),"Peso fuera de rango"&amp;" · ","")&amp;IF(AND($V260="Sub",$H260&lt;&gt;""),"Las subactividades no llevan peso (valen igual dentro de su macroactividad)"&amp;" · ","")&amp;IF(AND(N($W260)&gt;0,COUNT($I260:$L260)&gt;0),"Con subactividades: deje vacías las semanas (se calculan solas)"&amp;" · ","")&amp;IF((COUNTIF($I260:$L260,"&gt;1")+COUNTIF($I260:$L260,"&lt;0")+COUNTA($I260:$L260)-COUNT($I260:$L260))&gt;0,"Avance fuera de rango 0-100%"&amp;" · ","")&amp;IF(OR(AND($J260&lt;&gt;"",$J260&lt;$I260),AND($K260&lt;&gt;"",$K260&lt;MAX($I260:$J260)),AND($L260&lt;&gt;"",$L260&lt;MAX($I260:$K260))),"Avance semanal decreciente"&amp;" · ","")&amp;IF(AND(ISNUMBER($AN260),$AN260&lt;FechaRef,IF($V260="Sub",N($X260),N($M260))&lt;1),"Vencida"&amp;" · ","")&amp;IF(AND(ObsObligatoria="Sí",ISNUMBER($AN260),$AN260&lt;FechaRef,IF($V260="Sub",N($X260),N($M260))&lt;1,$Q260=""),"Vencida sin observación"&amp;" · ",""))-3)))</f>
        <v/>
      </c>
      <c r="S260" s="64">
        <f>IF(NOT((COUNTA($B260:$D260)+COUNTA($G260:$L260)+COUNTA($Q260))&gt;0),"",IF(AND($V260="Sub",N($U260)&gt;0),IF(ISNUMBER(INDEX($AM$5:$AM$1000,$U260-4)),DATE(YEAR(INDEX($AM$5:$AM$1000,$U260-4)),MONTH(INDEX($AM$5:$AM$1000,$U260-4)),1),IF(ISNUMBER(INDEX($AN$5:$AN$1000,$U260-4)),DATE(YEAR(INDEX($AN$5:$AN$1000,$U260-4)),MONTH(INDEX($AN$5:$AN$1000,$U260-4)),1),MesCiclo)),IF(ISNUMBER($AM260),DATE(YEAR($AM260),MONTH($AM260),1),IF(ISNUMBER($AN260),DATE(YEAR($AN260),MONTH($AN260),1),MesCiclo))))</f>
        <v/>
      </c>
      <c r="T260" s="62">
        <f>IF(OR($S260="",$S260&lt;&gt;MesCiclo,$V260&lt;&gt;"Macro"),"",COUNTIFS($S$5:$S260,MesCiclo,$V$5:$V260,"Macro"))</f>
        <v/>
      </c>
      <c r="U260" s="62">
        <f>IF($V260="","",IF($V260="Macro",ROW(),IFERROR(LOOKUP(2,1/($V$5:$V260="Macro"),ROW($V$5:$V260)),0)))</f>
        <v/>
      </c>
      <c r="V260" s="62">
        <f>IF(NOT((COUNTA($B260:$D260)+COUNTA($G260:$L260)+COUNTA($Q260))&gt;0),"",IF($B260="Subactividad","Sub","Macro"))</f>
        <v/>
      </c>
      <c r="W260" s="62">
        <f>IF($V260="Macro",COUNTIFS($U$5:$U$1000,ROW(),$V$5:$V$1000,"Sub"),"")</f>
        <v/>
      </c>
      <c r="X260" s="62">
        <f>IF($V260="","",IF(ISNUMBER($G260),1,IFERROR(LOOKUP(2,1/($I260:$L260&lt;&gt;""),$I260:$L260),0)))</f>
        <v/>
      </c>
      <c r="Y260" s="62">
        <f>IF($V260="","",IF(AND(ISNUMBER($G260),$G260&lt;=IF($S260=MesCiclo,InicioCiclo,$S260+MOD(2-WEEKDAY($S260),7))+6),1,IF(ISNUMBER($I260),$I260,0)))</f>
        <v/>
      </c>
      <c r="Z260" s="62">
        <f>IF($V260="","",IF(AND(ISNUMBER($G260),$G260&lt;=IF($S260=MesCiclo,InicioCiclo,$S260+MOD(2-WEEKDAY($S260),7))+13),1,IF(ISNUMBER($J260),$J260,$Y260)))</f>
        <v/>
      </c>
      <c r="AA260" s="62">
        <f>IF($V260="","",IF(AND(ISNUMBER($G260),$G260&lt;=IF($S260=MesCiclo,InicioCiclo,$S260+MOD(2-WEEKDAY($S260),7))+20),1,IF(ISNUMBER($K260),$K260,$Z260)))</f>
        <v/>
      </c>
      <c r="AB260" s="62">
        <f>IF($V260="","",IF(AND(ISNUMBER($G260),$G260&lt;=IF($S260=MesCiclo,InicioCiclo,$S260+MOD(2-WEEKDAY($S260),7))+27),1,IF(ISNUMBER($L260),$L260,$AA260)))</f>
        <v/>
      </c>
      <c r="AC260" s="62">
        <f>IF($V260="","",IF(AND(ISNUMBER($G260),$G260&lt;=IF($S260=MesCiclo,InicioCiclo,$S260+MOD(2-WEEKDAY($S260),7))+6),1,IF(N($W260)&gt;0,AVERAGEIFS($Y$5:$Y$1000,$U$5:$U$1000,ROW(),$V$5:$V$1000,"Sub"),$Y260)))</f>
        <v/>
      </c>
      <c r="AD260" s="62">
        <f>IF($V260="","",IF(AND(ISNUMBER($G260),$G260&lt;=IF($S260=MesCiclo,InicioCiclo,$S260+MOD(2-WEEKDAY($S260),7))+13),1,IF(N($W260)&gt;0,AVERAGEIFS($Z$5:$Z$1000,$U$5:$U$1000,ROW(),$V$5:$V$1000,"Sub"),$Z260)))</f>
        <v/>
      </c>
      <c r="AE260" s="62">
        <f>IF($V260="","",IF(AND(ISNUMBER($G260),$G260&lt;=IF($S260=MesCiclo,InicioCiclo,$S260+MOD(2-WEEKDAY($S260),7))+20),1,IF(N($W260)&gt;0,AVERAGEIFS($AA$5:$AA$1000,$U$5:$U$1000,ROW(),$V$5:$V$1000,"Sub"),$AA260)))</f>
        <v/>
      </c>
      <c r="AF260" s="62">
        <f>IF($V260="","",IF(AND(ISNUMBER($G260),$G260&lt;=IF($S260=MesCiclo,InicioCiclo,$S260+MOD(2-WEEKDAY($S260),7))+27),1,IF(N($W260)&gt;0,AVERAGEIFS($AB$5:$AB$1000,$U$5:$U$1000,ROW(),$V$5:$V$1000,"Sub"),$AB260)))</f>
        <v/>
      </c>
      <c r="AG260" s="62">
        <f>IF($V260&lt;&gt;"Macro","",IF(COUNTIFS($S$5:$S$1000,$S260,$V$5:$V$1000,"Macro",$H$5:$H$1000,"&gt;0")=0,1/COUNTIFS($S$5:$S$1000,$S260,$V$5:$V$1000,"Macro"),IF(AND(ISNUMBER($H260),N($H260)&gt;0),$H260,SUMIFS($H$5:$H$1000,$S$5:$S$1000,$S260,$V$5:$V$1000,"Macro")/COUNTIFS($S$5:$S$1000,$S260,$V$5:$V$1000,"Macro",$H$5:$H$1000,"&gt;0"))/(COUNTIFS($S$5:$S$1000,$S260,$V$5:$V$1000,"Macro")*SUMIFS($H$5:$H$1000,$S$5:$S$1000,$S260,$V$5:$V$1000,"Macro")/COUNTIFS($S$5:$S$1000,$S260,$V$5:$V$1000,"Macro",$H$5:$H$1000,"&gt;0"))))</f>
        <v/>
      </c>
      <c r="AH260" s="62" t="n"/>
      <c r="AI260" s="62" t="n"/>
      <c r="AJ260" s="62" t="n"/>
      <c r="AK260" s="62" t="n"/>
      <c r="AL260" s="62">
        <f>IF(LEFT($C260,11)="[Jefatura] ",IFERROR(MATCH("Riesgo Normativo|"&amp;MID($C260,12,500),rDname_ADM,0),0),"")</f>
        <v/>
      </c>
      <c r="AM260" s="62">
        <f>IF(N($AL260)&gt;0,INDEX(rIni_ADM,$AL260),IF(ISNUMBER($E260),$E260,""))</f>
        <v/>
      </c>
      <c r="AN260" s="62">
        <f>IF(N($AL260)&gt;0,INDEX(rLim_ADM,$AL260),IF(ISNUMBER($F260),$F260,""))</f>
        <v/>
      </c>
    </row>
    <row r="261">
      <c r="A261" s="56">
        <f>IF(NOT((COUNTA($B261:$D261)+COUNTA($G261:$L261)+COUNTA($Q261))&gt;0),"",IF($V261="Macro",COUNTIFS($V$5:$V261,"Macro",$S$5:$S261,$S261),IF(N($U261)=0,"?",COUNTIFS(INDEX($V$5:$V$1000,1):INDEX($V$5:$V$1000,$U261-4),"Macro",INDEX($S$5:$S$1000,1):INDEX($S$5:$S$1000,$U261-4),INDEX($S$5:$S$1000,$U261-4))&amp;"."&amp;COUNTIFS($U$5:$U261,$U261,$V$5:$V261,"Sub"))))</f>
        <v/>
      </c>
      <c r="B261" s="57" t="n"/>
      <c r="C261" s="58" t="n"/>
      <c r="D261" s="58" t="n"/>
      <c r="E261" s="59">
        <f>IF(N($AL261)&gt;0,INDEX(rIni_ADM,$AL261),"")</f>
        <v/>
      </c>
      <c r="F261" s="59">
        <f>IF(N($AL261)&gt;0,INDEX(rLim_ADM,$AL261),"")</f>
        <v/>
      </c>
      <c r="G261" s="59" t="n"/>
      <c r="H261" s="60" t="n"/>
      <c r="I261" s="60" t="n"/>
      <c r="J261" s="60" t="n"/>
      <c r="K261" s="60" t="n"/>
      <c r="L261" s="60" t="n"/>
      <c r="M261" s="61">
        <f>IF(NOT((COUNTA($B261:$D261)+COUNTA($G261:$L261)+COUNTA($Q261))&gt;0),"",IF($V261="Sub",IFERROR($X261/INDEX($W$5:$W$1000,$U261-4),""),IF(ISNUMBER($G261),1,IF(N($W261)&gt;0,AVERAGEIFS($X$5:$X$1000,$U$5:$U$1000,ROW(),$V$5:$V$1000,"Sub"),$X261))))</f>
        <v/>
      </c>
      <c r="N261" s="56">
        <f>IF(OR($M261="",$V261="Sub"),"",IF($M261&gt;=1,"Completado",IF($M261&gt;0,"En curso","Pendiente")))</f>
        <v/>
      </c>
      <c r="O261" s="56">
        <f>IF(OR(NOT((COUNTA($B261:$D261)+COUNTA($G261:$L261)+COUNTA($Q261))&gt;0),$V261="Sub"),"",IF(ISNUMBER($G261),IF(AND(ISNUMBER($AN261),$G261&gt;$AN261),"Cumplida con "&amp;($G261-$AN261)&amp;IF($G261-$AN261=1," día"," días")&amp;" de retraso","Cumplida"),IF(N($M261)&gt;=1,"Cumplida",IF(NOT(ISNUMBER($AN261)),"Sin fecha límite",IF($AN261&lt;FechaRef,"Vencida hace "&amp;(FechaRef-$AN261)&amp;IF(FechaRef-$AN261=1," día"," días"),IF($AN261=FechaRef,"Vence hoy",IF($AN261-FechaRef&lt;=DiasAlerta,"Vence en "&amp;($AN261-FechaRef)&amp;IF($AN261-FechaRef=1," día"," días"),"En plazo")))))))</f>
        <v/>
      </c>
      <c r="P261" s="62" t="n"/>
      <c r="Q261" s="58" t="n"/>
      <c r="R261" s="63">
        <f>IF(NOT((COUNTA($B261:$D261)+COUNTA($G261:$L261)+COUNTA($Q261))&gt;0),"",IF((IF($C261="","Falta el nombre de la actividad"&amp;" · ","")&amp;IF(AND($V261="Sub",N($U261)=0),"Subactividad sin macroactividad arriba"&amp;" · ","")&amp;IF($AM261="","Sin fecha de inicio"&amp;" · ","")&amp;IF($AN261="","Sin fecha límite"&amp;" · ","")&amp;IF(AND(LEFT($C261,11)="[Jefatura] ",N($AL261)=0),"No se encuentra en la hoja de la jefatura (elíjala de nuevo en la lista)"&amp;" · ","")&amp;IF(OR(AND($E261&lt;&gt;"",NOT(ISNUMBER($E261))),AND($F261&lt;&gt;"",NOT(ISNUMBER($F261))),AND($G261&lt;&gt;"",NOT(ISNUMBER($G261)))),"Fecha no válida"&amp;" · ","")&amp;IF(AND(ISNUMBER($AM261),ISNUMBER($AN261),$AM261&gt;$AN261),"Inicio posterior a fecha límite"&amp;" · ","")&amp;IF(AND($V261="Macro",$H261&lt;&gt;"",OR(NOT(ISNUMBER($H261)),$H261&lt;0,$H261&gt;1)),"Peso fuera de rango"&amp;" · ","")&amp;IF(AND($V261="Sub",$H261&lt;&gt;""),"Las subactividades no llevan peso (valen igual dentro de su macroactividad)"&amp;" · ","")&amp;IF(AND(N($W261)&gt;0,COUNT($I261:$L261)&gt;0),"Con subactividades: deje vacías las semanas (se calculan solas)"&amp;" · ","")&amp;IF((COUNTIF($I261:$L261,"&gt;1")+COUNTIF($I261:$L261,"&lt;0")+COUNTA($I261:$L261)-COUNT($I261:$L261))&gt;0,"Avance fuera de rango 0-100%"&amp;" · ","")&amp;IF(OR(AND($J261&lt;&gt;"",$J261&lt;$I261),AND($K261&lt;&gt;"",$K261&lt;MAX($I261:$J261)),AND($L261&lt;&gt;"",$L261&lt;MAX($I261:$K261))),"Avance semanal decreciente"&amp;" · ","")&amp;IF(AND(ISNUMBER($AN261),$AN261&lt;FechaRef,IF($V261="Sub",N($X261),N($M261))&lt;1),"Vencida"&amp;" · ","")&amp;IF(AND(ObsObligatoria="Sí",ISNUMBER($AN261),$AN261&lt;FechaRef,IF($V261="Sub",N($X261),N($M261))&lt;1,$Q261=""),"Vencida sin observación"&amp;" · ",""))="","✔ OK","⚠ "&amp;LEFT(IF($C261="","Falta el nombre de la actividad"&amp;" · ","")&amp;IF(AND($V261="Sub",N($U261)=0),"Subactividad sin macroactividad arriba"&amp;" · ","")&amp;IF($AM261="","Sin fecha de inicio"&amp;" · ","")&amp;IF($AN261="","Sin fecha límite"&amp;" · ","")&amp;IF(AND(LEFT($C261,11)="[Jefatura] ",N($AL261)=0),"No se encuentra en la hoja de la jefatura (elíjala de nuevo en la lista)"&amp;" · ","")&amp;IF(OR(AND($E261&lt;&gt;"",NOT(ISNUMBER($E261))),AND($F261&lt;&gt;"",NOT(ISNUMBER($F261))),AND($G261&lt;&gt;"",NOT(ISNUMBER($G261)))),"Fecha no válida"&amp;" · ","")&amp;IF(AND(ISNUMBER($AM261),ISNUMBER($AN261),$AM261&gt;$AN261),"Inicio posterior a fecha límite"&amp;" · ","")&amp;IF(AND($V261="Macro",$H261&lt;&gt;"",OR(NOT(ISNUMBER($H261)),$H261&lt;0,$H261&gt;1)),"Peso fuera de rango"&amp;" · ","")&amp;IF(AND($V261="Sub",$H261&lt;&gt;""),"Las subactividades no llevan peso (valen igual dentro de su macroactividad)"&amp;" · ","")&amp;IF(AND(N($W261)&gt;0,COUNT($I261:$L261)&gt;0),"Con subactividades: deje vacías las semanas (se calculan solas)"&amp;" · ","")&amp;IF((COUNTIF($I261:$L261,"&gt;1")+COUNTIF($I261:$L261,"&lt;0")+COUNTA($I261:$L261)-COUNT($I261:$L261))&gt;0,"Avance fuera de rango 0-100%"&amp;" · ","")&amp;IF(OR(AND($J261&lt;&gt;"",$J261&lt;$I261),AND($K261&lt;&gt;"",$K261&lt;MAX($I261:$J261)),AND($L261&lt;&gt;"",$L261&lt;MAX($I261:$K261))),"Avance semanal decreciente"&amp;" · ","")&amp;IF(AND(ISNUMBER($AN261),$AN261&lt;FechaRef,IF($V261="Sub",N($X261),N($M261))&lt;1),"Vencida"&amp;" · ","")&amp;IF(AND(ObsObligatoria="Sí",ISNUMBER($AN261),$AN261&lt;FechaRef,IF($V261="Sub",N($X261),N($M261))&lt;1,$Q261=""),"Vencida sin observación"&amp;" · ",""),LEN(IF($C261="","Falta el nombre de la actividad"&amp;" · ","")&amp;IF(AND($V261="Sub",N($U261)=0),"Subactividad sin macroactividad arriba"&amp;" · ","")&amp;IF($AM261="","Sin fecha de inicio"&amp;" · ","")&amp;IF($AN261="","Sin fecha límite"&amp;" · ","")&amp;IF(AND(LEFT($C261,11)="[Jefatura] ",N($AL261)=0),"No se encuentra en la hoja de la jefatura (elíjala de nuevo en la lista)"&amp;" · ","")&amp;IF(OR(AND($E261&lt;&gt;"",NOT(ISNUMBER($E261))),AND($F261&lt;&gt;"",NOT(ISNUMBER($F261))),AND($G261&lt;&gt;"",NOT(ISNUMBER($G261)))),"Fecha no válida"&amp;" · ","")&amp;IF(AND(ISNUMBER($AM261),ISNUMBER($AN261),$AM261&gt;$AN261),"Inicio posterior a fecha límite"&amp;" · ","")&amp;IF(AND($V261="Macro",$H261&lt;&gt;"",OR(NOT(ISNUMBER($H261)),$H261&lt;0,$H261&gt;1)),"Peso fuera de rango"&amp;" · ","")&amp;IF(AND($V261="Sub",$H261&lt;&gt;""),"Las subactividades no llevan peso (valen igual dentro de su macroactividad)"&amp;" · ","")&amp;IF(AND(N($W261)&gt;0,COUNT($I261:$L261)&gt;0),"Con subactividades: deje vacías las semanas (se calculan solas)"&amp;" · ","")&amp;IF((COUNTIF($I261:$L261,"&gt;1")+COUNTIF($I261:$L261,"&lt;0")+COUNTA($I261:$L261)-COUNT($I261:$L261))&gt;0,"Avance fuera de rango 0-100%"&amp;" · ","")&amp;IF(OR(AND($J261&lt;&gt;"",$J261&lt;$I261),AND($K261&lt;&gt;"",$K261&lt;MAX($I261:$J261)),AND($L261&lt;&gt;"",$L261&lt;MAX($I261:$K261))),"Avance semanal decreciente"&amp;" · ","")&amp;IF(AND(ISNUMBER($AN261),$AN261&lt;FechaRef,IF($V261="Sub",N($X261),N($M261))&lt;1),"Vencida"&amp;" · ","")&amp;IF(AND(ObsObligatoria="Sí",ISNUMBER($AN261),$AN261&lt;FechaRef,IF($V261="Sub",N($X261),N($M261))&lt;1,$Q261=""),"Vencida sin observación"&amp;" · ",""))-3)))</f>
        <v/>
      </c>
      <c r="S261" s="64">
        <f>IF(NOT((COUNTA($B261:$D261)+COUNTA($G261:$L261)+COUNTA($Q261))&gt;0),"",IF(AND($V261="Sub",N($U261)&gt;0),IF(ISNUMBER(INDEX($AM$5:$AM$1000,$U261-4)),DATE(YEAR(INDEX($AM$5:$AM$1000,$U261-4)),MONTH(INDEX($AM$5:$AM$1000,$U261-4)),1),IF(ISNUMBER(INDEX($AN$5:$AN$1000,$U261-4)),DATE(YEAR(INDEX($AN$5:$AN$1000,$U261-4)),MONTH(INDEX($AN$5:$AN$1000,$U261-4)),1),MesCiclo)),IF(ISNUMBER($AM261),DATE(YEAR($AM261),MONTH($AM261),1),IF(ISNUMBER($AN261),DATE(YEAR($AN261),MONTH($AN261),1),MesCiclo))))</f>
        <v/>
      </c>
      <c r="T261" s="62">
        <f>IF(OR($S261="",$S261&lt;&gt;MesCiclo,$V261&lt;&gt;"Macro"),"",COUNTIFS($S$5:$S261,MesCiclo,$V$5:$V261,"Macro"))</f>
        <v/>
      </c>
      <c r="U261" s="62">
        <f>IF($V261="","",IF($V261="Macro",ROW(),IFERROR(LOOKUP(2,1/($V$5:$V261="Macro"),ROW($V$5:$V261)),0)))</f>
        <v/>
      </c>
      <c r="V261" s="62">
        <f>IF(NOT((COUNTA($B261:$D261)+COUNTA($G261:$L261)+COUNTA($Q261))&gt;0),"",IF($B261="Subactividad","Sub","Macro"))</f>
        <v/>
      </c>
      <c r="W261" s="62">
        <f>IF($V261="Macro",COUNTIFS($U$5:$U$1000,ROW(),$V$5:$V$1000,"Sub"),"")</f>
        <v/>
      </c>
      <c r="X261" s="62">
        <f>IF($V261="","",IF(ISNUMBER($G261),1,IFERROR(LOOKUP(2,1/($I261:$L261&lt;&gt;""),$I261:$L261),0)))</f>
        <v/>
      </c>
      <c r="Y261" s="62">
        <f>IF($V261="","",IF(AND(ISNUMBER($G261),$G261&lt;=IF($S261=MesCiclo,InicioCiclo,$S261+MOD(2-WEEKDAY($S261),7))+6),1,IF(ISNUMBER($I261),$I261,0)))</f>
        <v/>
      </c>
      <c r="Z261" s="62">
        <f>IF($V261="","",IF(AND(ISNUMBER($G261),$G261&lt;=IF($S261=MesCiclo,InicioCiclo,$S261+MOD(2-WEEKDAY($S261),7))+13),1,IF(ISNUMBER($J261),$J261,$Y261)))</f>
        <v/>
      </c>
      <c r="AA261" s="62">
        <f>IF($V261="","",IF(AND(ISNUMBER($G261),$G261&lt;=IF($S261=MesCiclo,InicioCiclo,$S261+MOD(2-WEEKDAY($S261),7))+20),1,IF(ISNUMBER($K261),$K261,$Z261)))</f>
        <v/>
      </c>
      <c r="AB261" s="62">
        <f>IF($V261="","",IF(AND(ISNUMBER($G261),$G261&lt;=IF($S261=MesCiclo,InicioCiclo,$S261+MOD(2-WEEKDAY($S261),7))+27),1,IF(ISNUMBER($L261),$L261,$AA261)))</f>
        <v/>
      </c>
      <c r="AC261" s="62">
        <f>IF($V261="","",IF(AND(ISNUMBER($G261),$G261&lt;=IF($S261=MesCiclo,InicioCiclo,$S261+MOD(2-WEEKDAY($S261),7))+6),1,IF(N($W261)&gt;0,AVERAGEIFS($Y$5:$Y$1000,$U$5:$U$1000,ROW(),$V$5:$V$1000,"Sub"),$Y261)))</f>
        <v/>
      </c>
      <c r="AD261" s="62">
        <f>IF($V261="","",IF(AND(ISNUMBER($G261),$G261&lt;=IF($S261=MesCiclo,InicioCiclo,$S261+MOD(2-WEEKDAY($S261),7))+13),1,IF(N($W261)&gt;0,AVERAGEIFS($Z$5:$Z$1000,$U$5:$U$1000,ROW(),$V$5:$V$1000,"Sub"),$Z261)))</f>
        <v/>
      </c>
      <c r="AE261" s="62">
        <f>IF($V261="","",IF(AND(ISNUMBER($G261),$G261&lt;=IF($S261=MesCiclo,InicioCiclo,$S261+MOD(2-WEEKDAY($S261),7))+20),1,IF(N($W261)&gt;0,AVERAGEIFS($AA$5:$AA$1000,$U$5:$U$1000,ROW(),$V$5:$V$1000,"Sub"),$AA261)))</f>
        <v/>
      </c>
      <c r="AF261" s="62">
        <f>IF($V261="","",IF(AND(ISNUMBER($G261),$G261&lt;=IF($S261=MesCiclo,InicioCiclo,$S261+MOD(2-WEEKDAY($S261),7))+27),1,IF(N($W261)&gt;0,AVERAGEIFS($AB$5:$AB$1000,$U$5:$U$1000,ROW(),$V$5:$V$1000,"Sub"),$AB261)))</f>
        <v/>
      </c>
      <c r="AG261" s="62">
        <f>IF($V261&lt;&gt;"Macro","",IF(COUNTIFS($S$5:$S$1000,$S261,$V$5:$V$1000,"Macro",$H$5:$H$1000,"&gt;0")=0,1/COUNTIFS($S$5:$S$1000,$S261,$V$5:$V$1000,"Macro"),IF(AND(ISNUMBER($H261),N($H261)&gt;0),$H261,SUMIFS($H$5:$H$1000,$S$5:$S$1000,$S261,$V$5:$V$1000,"Macro")/COUNTIFS($S$5:$S$1000,$S261,$V$5:$V$1000,"Macro",$H$5:$H$1000,"&gt;0"))/(COUNTIFS($S$5:$S$1000,$S261,$V$5:$V$1000,"Macro")*SUMIFS($H$5:$H$1000,$S$5:$S$1000,$S261,$V$5:$V$1000,"Macro")/COUNTIFS($S$5:$S$1000,$S261,$V$5:$V$1000,"Macro",$H$5:$H$1000,"&gt;0"))))</f>
        <v/>
      </c>
      <c r="AH261" s="62" t="n"/>
      <c r="AI261" s="62" t="n"/>
      <c r="AJ261" s="62" t="n"/>
      <c r="AK261" s="62" t="n"/>
      <c r="AL261" s="62">
        <f>IF(LEFT($C261,11)="[Jefatura] ",IFERROR(MATCH("Riesgo Normativo|"&amp;MID($C261,12,500),rDname_ADM,0),0),"")</f>
        <v/>
      </c>
      <c r="AM261" s="62">
        <f>IF(N($AL261)&gt;0,INDEX(rIni_ADM,$AL261),IF(ISNUMBER($E261),$E261,""))</f>
        <v/>
      </c>
      <c r="AN261" s="62">
        <f>IF(N($AL261)&gt;0,INDEX(rLim_ADM,$AL261),IF(ISNUMBER($F261),$F261,""))</f>
        <v/>
      </c>
    </row>
    <row r="262">
      <c r="A262" s="56">
        <f>IF(NOT((COUNTA($B262:$D262)+COUNTA($G262:$L262)+COUNTA($Q262))&gt;0),"",IF($V262="Macro",COUNTIFS($V$5:$V262,"Macro",$S$5:$S262,$S262),IF(N($U262)=0,"?",COUNTIFS(INDEX($V$5:$V$1000,1):INDEX($V$5:$V$1000,$U262-4),"Macro",INDEX($S$5:$S$1000,1):INDEX($S$5:$S$1000,$U262-4),INDEX($S$5:$S$1000,$U262-4))&amp;"."&amp;COUNTIFS($U$5:$U262,$U262,$V$5:$V262,"Sub"))))</f>
        <v/>
      </c>
      <c r="B262" s="57" t="n"/>
      <c r="C262" s="58" t="n"/>
      <c r="D262" s="58" t="n"/>
      <c r="E262" s="59">
        <f>IF(N($AL262)&gt;0,INDEX(rIni_ADM,$AL262),"")</f>
        <v/>
      </c>
      <c r="F262" s="59">
        <f>IF(N($AL262)&gt;0,INDEX(rLim_ADM,$AL262),"")</f>
        <v/>
      </c>
      <c r="G262" s="59" t="n"/>
      <c r="H262" s="60" t="n"/>
      <c r="I262" s="60" t="n"/>
      <c r="J262" s="60" t="n"/>
      <c r="K262" s="60" t="n"/>
      <c r="L262" s="60" t="n"/>
      <c r="M262" s="61">
        <f>IF(NOT((COUNTA($B262:$D262)+COUNTA($G262:$L262)+COUNTA($Q262))&gt;0),"",IF($V262="Sub",IFERROR($X262/INDEX($W$5:$W$1000,$U262-4),""),IF(ISNUMBER($G262),1,IF(N($W262)&gt;0,AVERAGEIFS($X$5:$X$1000,$U$5:$U$1000,ROW(),$V$5:$V$1000,"Sub"),$X262))))</f>
        <v/>
      </c>
      <c r="N262" s="56">
        <f>IF(OR($M262="",$V262="Sub"),"",IF($M262&gt;=1,"Completado",IF($M262&gt;0,"En curso","Pendiente")))</f>
        <v/>
      </c>
      <c r="O262" s="56">
        <f>IF(OR(NOT((COUNTA($B262:$D262)+COUNTA($G262:$L262)+COUNTA($Q262))&gt;0),$V262="Sub"),"",IF(ISNUMBER($G262),IF(AND(ISNUMBER($AN262),$G262&gt;$AN262),"Cumplida con "&amp;($G262-$AN262)&amp;IF($G262-$AN262=1," día"," días")&amp;" de retraso","Cumplida"),IF(N($M262)&gt;=1,"Cumplida",IF(NOT(ISNUMBER($AN262)),"Sin fecha límite",IF($AN262&lt;FechaRef,"Vencida hace "&amp;(FechaRef-$AN262)&amp;IF(FechaRef-$AN262=1," día"," días"),IF($AN262=FechaRef,"Vence hoy",IF($AN262-FechaRef&lt;=DiasAlerta,"Vence en "&amp;($AN262-FechaRef)&amp;IF($AN262-FechaRef=1," día"," días"),"En plazo")))))))</f>
        <v/>
      </c>
      <c r="P262" s="62" t="n"/>
      <c r="Q262" s="58" t="n"/>
      <c r="R262" s="63">
        <f>IF(NOT((COUNTA($B262:$D262)+COUNTA($G262:$L262)+COUNTA($Q262))&gt;0),"",IF((IF($C262="","Falta el nombre de la actividad"&amp;" · ","")&amp;IF(AND($V262="Sub",N($U262)=0),"Subactividad sin macroactividad arriba"&amp;" · ","")&amp;IF($AM262="","Sin fecha de inicio"&amp;" · ","")&amp;IF($AN262="","Sin fecha límite"&amp;" · ","")&amp;IF(AND(LEFT($C262,11)="[Jefatura] ",N($AL262)=0),"No se encuentra en la hoja de la jefatura (elíjala de nuevo en la lista)"&amp;" · ","")&amp;IF(OR(AND($E262&lt;&gt;"",NOT(ISNUMBER($E262))),AND($F262&lt;&gt;"",NOT(ISNUMBER($F262))),AND($G262&lt;&gt;"",NOT(ISNUMBER($G262)))),"Fecha no válida"&amp;" · ","")&amp;IF(AND(ISNUMBER($AM262),ISNUMBER($AN262),$AM262&gt;$AN262),"Inicio posterior a fecha límite"&amp;" · ","")&amp;IF(AND($V262="Macro",$H262&lt;&gt;"",OR(NOT(ISNUMBER($H262)),$H262&lt;0,$H262&gt;1)),"Peso fuera de rango"&amp;" · ","")&amp;IF(AND($V262="Sub",$H262&lt;&gt;""),"Las subactividades no llevan peso (valen igual dentro de su macroactividad)"&amp;" · ","")&amp;IF(AND(N($W262)&gt;0,COUNT($I262:$L262)&gt;0),"Con subactividades: deje vacías las semanas (se calculan solas)"&amp;" · ","")&amp;IF((COUNTIF($I262:$L262,"&gt;1")+COUNTIF($I262:$L262,"&lt;0")+COUNTA($I262:$L262)-COUNT($I262:$L262))&gt;0,"Avance fuera de rango 0-100%"&amp;" · ","")&amp;IF(OR(AND($J262&lt;&gt;"",$J262&lt;$I262),AND($K262&lt;&gt;"",$K262&lt;MAX($I262:$J262)),AND($L262&lt;&gt;"",$L262&lt;MAX($I262:$K262))),"Avance semanal decreciente"&amp;" · ","")&amp;IF(AND(ISNUMBER($AN262),$AN262&lt;FechaRef,IF($V262="Sub",N($X262),N($M262))&lt;1),"Vencida"&amp;" · ","")&amp;IF(AND(ObsObligatoria="Sí",ISNUMBER($AN262),$AN262&lt;FechaRef,IF($V262="Sub",N($X262),N($M262))&lt;1,$Q262=""),"Vencida sin observación"&amp;" · ",""))="","✔ OK","⚠ "&amp;LEFT(IF($C262="","Falta el nombre de la actividad"&amp;" · ","")&amp;IF(AND($V262="Sub",N($U262)=0),"Subactividad sin macroactividad arriba"&amp;" · ","")&amp;IF($AM262="","Sin fecha de inicio"&amp;" · ","")&amp;IF($AN262="","Sin fecha límite"&amp;" · ","")&amp;IF(AND(LEFT($C262,11)="[Jefatura] ",N($AL262)=0),"No se encuentra en la hoja de la jefatura (elíjala de nuevo en la lista)"&amp;" · ","")&amp;IF(OR(AND($E262&lt;&gt;"",NOT(ISNUMBER($E262))),AND($F262&lt;&gt;"",NOT(ISNUMBER($F262))),AND($G262&lt;&gt;"",NOT(ISNUMBER($G262)))),"Fecha no válida"&amp;" · ","")&amp;IF(AND(ISNUMBER($AM262),ISNUMBER($AN262),$AM262&gt;$AN262),"Inicio posterior a fecha límite"&amp;" · ","")&amp;IF(AND($V262="Macro",$H262&lt;&gt;"",OR(NOT(ISNUMBER($H262)),$H262&lt;0,$H262&gt;1)),"Peso fuera de rango"&amp;" · ","")&amp;IF(AND($V262="Sub",$H262&lt;&gt;""),"Las subactividades no llevan peso (valen igual dentro de su macroactividad)"&amp;" · ","")&amp;IF(AND(N($W262)&gt;0,COUNT($I262:$L262)&gt;0),"Con subactividades: deje vacías las semanas (se calculan solas)"&amp;" · ","")&amp;IF((COUNTIF($I262:$L262,"&gt;1")+COUNTIF($I262:$L262,"&lt;0")+COUNTA($I262:$L262)-COUNT($I262:$L262))&gt;0,"Avance fuera de rango 0-100%"&amp;" · ","")&amp;IF(OR(AND($J262&lt;&gt;"",$J262&lt;$I262),AND($K262&lt;&gt;"",$K262&lt;MAX($I262:$J262)),AND($L262&lt;&gt;"",$L262&lt;MAX($I262:$K262))),"Avance semanal decreciente"&amp;" · ","")&amp;IF(AND(ISNUMBER($AN262),$AN262&lt;FechaRef,IF($V262="Sub",N($X262),N($M262))&lt;1),"Vencida"&amp;" · ","")&amp;IF(AND(ObsObligatoria="Sí",ISNUMBER($AN262),$AN262&lt;FechaRef,IF($V262="Sub",N($X262),N($M262))&lt;1,$Q262=""),"Vencida sin observación"&amp;" · ",""),LEN(IF($C262="","Falta el nombre de la actividad"&amp;" · ","")&amp;IF(AND($V262="Sub",N($U262)=0),"Subactividad sin macroactividad arriba"&amp;" · ","")&amp;IF($AM262="","Sin fecha de inicio"&amp;" · ","")&amp;IF($AN262="","Sin fecha límite"&amp;" · ","")&amp;IF(AND(LEFT($C262,11)="[Jefatura] ",N($AL262)=0),"No se encuentra en la hoja de la jefatura (elíjala de nuevo en la lista)"&amp;" · ","")&amp;IF(OR(AND($E262&lt;&gt;"",NOT(ISNUMBER($E262))),AND($F262&lt;&gt;"",NOT(ISNUMBER($F262))),AND($G262&lt;&gt;"",NOT(ISNUMBER($G262)))),"Fecha no válida"&amp;" · ","")&amp;IF(AND(ISNUMBER($AM262),ISNUMBER($AN262),$AM262&gt;$AN262),"Inicio posterior a fecha límite"&amp;" · ","")&amp;IF(AND($V262="Macro",$H262&lt;&gt;"",OR(NOT(ISNUMBER($H262)),$H262&lt;0,$H262&gt;1)),"Peso fuera de rango"&amp;" · ","")&amp;IF(AND($V262="Sub",$H262&lt;&gt;""),"Las subactividades no llevan peso (valen igual dentro de su macroactividad)"&amp;" · ","")&amp;IF(AND(N($W262)&gt;0,COUNT($I262:$L262)&gt;0),"Con subactividades: deje vacías las semanas (se calculan solas)"&amp;" · ","")&amp;IF((COUNTIF($I262:$L262,"&gt;1")+COUNTIF($I262:$L262,"&lt;0")+COUNTA($I262:$L262)-COUNT($I262:$L262))&gt;0,"Avance fuera de rango 0-100%"&amp;" · ","")&amp;IF(OR(AND($J262&lt;&gt;"",$J262&lt;$I262),AND($K262&lt;&gt;"",$K262&lt;MAX($I262:$J262)),AND($L262&lt;&gt;"",$L262&lt;MAX($I262:$K262))),"Avance semanal decreciente"&amp;" · ","")&amp;IF(AND(ISNUMBER($AN262),$AN262&lt;FechaRef,IF($V262="Sub",N($X262),N($M262))&lt;1),"Vencida"&amp;" · ","")&amp;IF(AND(ObsObligatoria="Sí",ISNUMBER($AN262),$AN262&lt;FechaRef,IF($V262="Sub",N($X262),N($M262))&lt;1,$Q262=""),"Vencida sin observación"&amp;" · ",""))-3)))</f>
        <v/>
      </c>
      <c r="S262" s="64">
        <f>IF(NOT((COUNTA($B262:$D262)+COUNTA($G262:$L262)+COUNTA($Q262))&gt;0),"",IF(AND($V262="Sub",N($U262)&gt;0),IF(ISNUMBER(INDEX($AM$5:$AM$1000,$U262-4)),DATE(YEAR(INDEX($AM$5:$AM$1000,$U262-4)),MONTH(INDEX($AM$5:$AM$1000,$U262-4)),1),IF(ISNUMBER(INDEX($AN$5:$AN$1000,$U262-4)),DATE(YEAR(INDEX($AN$5:$AN$1000,$U262-4)),MONTH(INDEX($AN$5:$AN$1000,$U262-4)),1),MesCiclo)),IF(ISNUMBER($AM262),DATE(YEAR($AM262),MONTH($AM262),1),IF(ISNUMBER($AN262),DATE(YEAR($AN262),MONTH($AN262),1),MesCiclo))))</f>
        <v/>
      </c>
      <c r="T262" s="62">
        <f>IF(OR($S262="",$S262&lt;&gt;MesCiclo,$V262&lt;&gt;"Macro"),"",COUNTIFS($S$5:$S262,MesCiclo,$V$5:$V262,"Macro"))</f>
        <v/>
      </c>
      <c r="U262" s="62">
        <f>IF($V262="","",IF($V262="Macro",ROW(),IFERROR(LOOKUP(2,1/($V$5:$V262="Macro"),ROW($V$5:$V262)),0)))</f>
        <v/>
      </c>
      <c r="V262" s="62">
        <f>IF(NOT((COUNTA($B262:$D262)+COUNTA($G262:$L262)+COUNTA($Q262))&gt;0),"",IF($B262="Subactividad","Sub","Macro"))</f>
        <v/>
      </c>
      <c r="W262" s="62">
        <f>IF($V262="Macro",COUNTIFS($U$5:$U$1000,ROW(),$V$5:$V$1000,"Sub"),"")</f>
        <v/>
      </c>
      <c r="X262" s="62">
        <f>IF($V262="","",IF(ISNUMBER($G262),1,IFERROR(LOOKUP(2,1/($I262:$L262&lt;&gt;""),$I262:$L262),0)))</f>
        <v/>
      </c>
      <c r="Y262" s="62">
        <f>IF($V262="","",IF(AND(ISNUMBER($G262),$G262&lt;=IF($S262=MesCiclo,InicioCiclo,$S262+MOD(2-WEEKDAY($S262),7))+6),1,IF(ISNUMBER($I262),$I262,0)))</f>
        <v/>
      </c>
      <c r="Z262" s="62">
        <f>IF($V262="","",IF(AND(ISNUMBER($G262),$G262&lt;=IF($S262=MesCiclo,InicioCiclo,$S262+MOD(2-WEEKDAY($S262),7))+13),1,IF(ISNUMBER($J262),$J262,$Y262)))</f>
        <v/>
      </c>
      <c r="AA262" s="62">
        <f>IF($V262="","",IF(AND(ISNUMBER($G262),$G262&lt;=IF($S262=MesCiclo,InicioCiclo,$S262+MOD(2-WEEKDAY($S262),7))+20),1,IF(ISNUMBER($K262),$K262,$Z262)))</f>
        <v/>
      </c>
      <c r="AB262" s="62">
        <f>IF($V262="","",IF(AND(ISNUMBER($G262),$G262&lt;=IF($S262=MesCiclo,InicioCiclo,$S262+MOD(2-WEEKDAY($S262),7))+27),1,IF(ISNUMBER($L262),$L262,$AA262)))</f>
        <v/>
      </c>
      <c r="AC262" s="62">
        <f>IF($V262="","",IF(AND(ISNUMBER($G262),$G262&lt;=IF($S262=MesCiclo,InicioCiclo,$S262+MOD(2-WEEKDAY($S262),7))+6),1,IF(N($W262)&gt;0,AVERAGEIFS($Y$5:$Y$1000,$U$5:$U$1000,ROW(),$V$5:$V$1000,"Sub"),$Y262)))</f>
        <v/>
      </c>
      <c r="AD262" s="62">
        <f>IF($V262="","",IF(AND(ISNUMBER($G262),$G262&lt;=IF($S262=MesCiclo,InicioCiclo,$S262+MOD(2-WEEKDAY($S262),7))+13),1,IF(N($W262)&gt;0,AVERAGEIFS($Z$5:$Z$1000,$U$5:$U$1000,ROW(),$V$5:$V$1000,"Sub"),$Z262)))</f>
        <v/>
      </c>
      <c r="AE262" s="62">
        <f>IF($V262="","",IF(AND(ISNUMBER($G262),$G262&lt;=IF($S262=MesCiclo,InicioCiclo,$S262+MOD(2-WEEKDAY($S262),7))+20),1,IF(N($W262)&gt;0,AVERAGEIFS($AA$5:$AA$1000,$U$5:$U$1000,ROW(),$V$5:$V$1000,"Sub"),$AA262)))</f>
        <v/>
      </c>
      <c r="AF262" s="62">
        <f>IF($V262="","",IF(AND(ISNUMBER($G262),$G262&lt;=IF($S262=MesCiclo,InicioCiclo,$S262+MOD(2-WEEKDAY($S262),7))+27),1,IF(N($W262)&gt;0,AVERAGEIFS($AB$5:$AB$1000,$U$5:$U$1000,ROW(),$V$5:$V$1000,"Sub"),$AB262)))</f>
        <v/>
      </c>
      <c r="AG262" s="62">
        <f>IF($V262&lt;&gt;"Macro","",IF(COUNTIFS($S$5:$S$1000,$S262,$V$5:$V$1000,"Macro",$H$5:$H$1000,"&gt;0")=0,1/COUNTIFS($S$5:$S$1000,$S262,$V$5:$V$1000,"Macro"),IF(AND(ISNUMBER($H262),N($H262)&gt;0),$H262,SUMIFS($H$5:$H$1000,$S$5:$S$1000,$S262,$V$5:$V$1000,"Macro")/COUNTIFS($S$5:$S$1000,$S262,$V$5:$V$1000,"Macro",$H$5:$H$1000,"&gt;0"))/(COUNTIFS($S$5:$S$1000,$S262,$V$5:$V$1000,"Macro")*SUMIFS($H$5:$H$1000,$S$5:$S$1000,$S262,$V$5:$V$1000,"Macro")/COUNTIFS($S$5:$S$1000,$S262,$V$5:$V$1000,"Macro",$H$5:$H$1000,"&gt;0"))))</f>
        <v/>
      </c>
      <c r="AH262" s="62" t="n"/>
      <c r="AI262" s="62" t="n"/>
      <c r="AJ262" s="62" t="n"/>
      <c r="AK262" s="62" t="n"/>
      <c r="AL262" s="62">
        <f>IF(LEFT($C262,11)="[Jefatura] ",IFERROR(MATCH("Riesgo Normativo|"&amp;MID($C262,12,500),rDname_ADM,0),0),"")</f>
        <v/>
      </c>
      <c r="AM262" s="62">
        <f>IF(N($AL262)&gt;0,INDEX(rIni_ADM,$AL262),IF(ISNUMBER($E262),$E262,""))</f>
        <v/>
      </c>
      <c r="AN262" s="62">
        <f>IF(N($AL262)&gt;0,INDEX(rLim_ADM,$AL262),IF(ISNUMBER($F262),$F262,""))</f>
        <v/>
      </c>
    </row>
    <row r="263">
      <c r="A263" s="56">
        <f>IF(NOT((COUNTA($B263:$D263)+COUNTA($G263:$L263)+COUNTA($Q263))&gt;0),"",IF($V263="Macro",COUNTIFS($V$5:$V263,"Macro",$S$5:$S263,$S263),IF(N($U263)=0,"?",COUNTIFS(INDEX($V$5:$V$1000,1):INDEX($V$5:$V$1000,$U263-4),"Macro",INDEX($S$5:$S$1000,1):INDEX($S$5:$S$1000,$U263-4),INDEX($S$5:$S$1000,$U263-4))&amp;"."&amp;COUNTIFS($U$5:$U263,$U263,$V$5:$V263,"Sub"))))</f>
        <v/>
      </c>
      <c r="B263" s="57" t="n"/>
      <c r="C263" s="58" t="n"/>
      <c r="D263" s="58" t="n"/>
      <c r="E263" s="59">
        <f>IF(N($AL263)&gt;0,INDEX(rIni_ADM,$AL263),"")</f>
        <v/>
      </c>
      <c r="F263" s="59">
        <f>IF(N($AL263)&gt;0,INDEX(rLim_ADM,$AL263),"")</f>
        <v/>
      </c>
      <c r="G263" s="59" t="n"/>
      <c r="H263" s="60" t="n"/>
      <c r="I263" s="60" t="n"/>
      <c r="J263" s="60" t="n"/>
      <c r="K263" s="60" t="n"/>
      <c r="L263" s="60" t="n"/>
      <c r="M263" s="61">
        <f>IF(NOT((COUNTA($B263:$D263)+COUNTA($G263:$L263)+COUNTA($Q263))&gt;0),"",IF($V263="Sub",IFERROR($X263/INDEX($W$5:$W$1000,$U263-4),""),IF(ISNUMBER($G263),1,IF(N($W263)&gt;0,AVERAGEIFS($X$5:$X$1000,$U$5:$U$1000,ROW(),$V$5:$V$1000,"Sub"),$X263))))</f>
        <v/>
      </c>
      <c r="N263" s="56">
        <f>IF(OR($M263="",$V263="Sub"),"",IF($M263&gt;=1,"Completado",IF($M263&gt;0,"En curso","Pendiente")))</f>
        <v/>
      </c>
      <c r="O263" s="56">
        <f>IF(OR(NOT((COUNTA($B263:$D263)+COUNTA($G263:$L263)+COUNTA($Q263))&gt;0),$V263="Sub"),"",IF(ISNUMBER($G263),IF(AND(ISNUMBER($AN263),$G263&gt;$AN263),"Cumplida con "&amp;($G263-$AN263)&amp;IF($G263-$AN263=1," día"," días")&amp;" de retraso","Cumplida"),IF(N($M263)&gt;=1,"Cumplida",IF(NOT(ISNUMBER($AN263)),"Sin fecha límite",IF($AN263&lt;FechaRef,"Vencida hace "&amp;(FechaRef-$AN263)&amp;IF(FechaRef-$AN263=1," día"," días"),IF($AN263=FechaRef,"Vence hoy",IF($AN263-FechaRef&lt;=DiasAlerta,"Vence en "&amp;($AN263-FechaRef)&amp;IF($AN263-FechaRef=1," día"," días"),"En plazo")))))))</f>
        <v/>
      </c>
      <c r="P263" s="62" t="n"/>
      <c r="Q263" s="58" t="n"/>
      <c r="R263" s="63">
        <f>IF(NOT((COUNTA($B263:$D263)+COUNTA($G263:$L263)+COUNTA($Q263))&gt;0),"",IF((IF($C263="","Falta el nombre de la actividad"&amp;" · ","")&amp;IF(AND($V263="Sub",N($U263)=0),"Subactividad sin macroactividad arriba"&amp;" · ","")&amp;IF($AM263="","Sin fecha de inicio"&amp;" · ","")&amp;IF($AN263="","Sin fecha límite"&amp;" · ","")&amp;IF(AND(LEFT($C263,11)="[Jefatura] ",N($AL263)=0),"No se encuentra en la hoja de la jefatura (elíjala de nuevo en la lista)"&amp;" · ","")&amp;IF(OR(AND($E263&lt;&gt;"",NOT(ISNUMBER($E263))),AND($F263&lt;&gt;"",NOT(ISNUMBER($F263))),AND($G263&lt;&gt;"",NOT(ISNUMBER($G263)))),"Fecha no válida"&amp;" · ","")&amp;IF(AND(ISNUMBER($AM263),ISNUMBER($AN263),$AM263&gt;$AN263),"Inicio posterior a fecha límite"&amp;" · ","")&amp;IF(AND($V263="Macro",$H263&lt;&gt;"",OR(NOT(ISNUMBER($H263)),$H263&lt;0,$H263&gt;1)),"Peso fuera de rango"&amp;" · ","")&amp;IF(AND($V263="Sub",$H263&lt;&gt;""),"Las subactividades no llevan peso (valen igual dentro de su macroactividad)"&amp;" · ","")&amp;IF(AND(N($W263)&gt;0,COUNT($I263:$L263)&gt;0),"Con subactividades: deje vacías las semanas (se calculan solas)"&amp;" · ","")&amp;IF((COUNTIF($I263:$L263,"&gt;1")+COUNTIF($I263:$L263,"&lt;0")+COUNTA($I263:$L263)-COUNT($I263:$L263))&gt;0,"Avance fuera de rango 0-100%"&amp;" · ","")&amp;IF(OR(AND($J263&lt;&gt;"",$J263&lt;$I263),AND($K263&lt;&gt;"",$K263&lt;MAX($I263:$J263)),AND($L263&lt;&gt;"",$L263&lt;MAX($I263:$K263))),"Avance semanal decreciente"&amp;" · ","")&amp;IF(AND(ISNUMBER($AN263),$AN263&lt;FechaRef,IF($V263="Sub",N($X263),N($M263))&lt;1),"Vencida"&amp;" · ","")&amp;IF(AND(ObsObligatoria="Sí",ISNUMBER($AN263),$AN263&lt;FechaRef,IF($V263="Sub",N($X263),N($M263))&lt;1,$Q263=""),"Vencida sin observación"&amp;" · ",""))="","✔ OK","⚠ "&amp;LEFT(IF($C263="","Falta el nombre de la actividad"&amp;" · ","")&amp;IF(AND($V263="Sub",N($U263)=0),"Subactividad sin macroactividad arriba"&amp;" · ","")&amp;IF($AM263="","Sin fecha de inicio"&amp;" · ","")&amp;IF($AN263="","Sin fecha límite"&amp;" · ","")&amp;IF(AND(LEFT($C263,11)="[Jefatura] ",N($AL263)=0),"No se encuentra en la hoja de la jefatura (elíjala de nuevo en la lista)"&amp;" · ","")&amp;IF(OR(AND($E263&lt;&gt;"",NOT(ISNUMBER($E263))),AND($F263&lt;&gt;"",NOT(ISNUMBER($F263))),AND($G263&lt;&gt;"",NOT(ISNUMBER($G263)))),"Fecha no válida"&amp;" · ","")&amp;IF(AND(ISNUMBER($AM263),ISNUMBER($AN263),$AM263&gt;$AN263),"Inicio posterior a fecha límite"&amp;" · ","")&amp;IF(AND($V263="Macro",$H263&lt;&gt;"",OR(NOT(ISNUMBER($H263)),$H263&lt;0,$H263&gt;1)),"Peso fuera de rango"&amp;" · ","")&amp;IF(AND($V263="Sub",$H263&lt;&gt;""),"Las subactividades no llevan peso (valen igual dentro de su macroactividad)"&amp;" · ","")&amp;IF(AND(N($W263)&gt;0,COUNT($I263:$L263)&gt;0),"Con subactividades: deje vacías las semanas (se calculan solas)"&amp;" · ","")&amp;IF((COUNTIF($I263:$L263,"&gt;1")+COUNTIF($I263:$L263,"&lt;0")+COUNTA($I263:$L263)-COUNT($I263:$L263))&gt;0,"Avance fuera de rango 0-100%"&amp;" · ","")&amp;IF(OR(AND($J263&lt;&gt;"",$J263&lt;$I263),AND($K263&lt;&gt;"",$K263&lt;MAX($I263:$J263)),AND($L263&lt;&gt;"",$L263&lt;MAX($I263:$K263))),"Avance semanal decreciente"&amp;" · ","")&amp;IF(AND(ISNUMBER($AN263),$AN263&lt;FechaRef,IF($V263="Sub",N($X263),N($M263))&lt;1),"Vencida"&amp;" · ","")&amp;IF(AND(ObsObligatoria="Sí",ISNUMBER($AN263),$AN263&lt;FechaRef,IF($V263="Sub",N($X263),N($M263))&lt;1,$Q263=""),"Vencida sin observación"&amp;" · ",""),LEN(IF($C263="","Falta el nombre de la actividad"&amp;" · ","")&amp;IF(AND($V263="Sub",N($U263)=0),"Subactividad sin macroactividad arriba"&amp;" · ","")&amp;IF($AM263="","Sin fecha de inicio"&amp;" · ","")&amp;IF($AN263="","Sin fecha límite"&amp;" · ","")&amp;IF(AND(LEFT($C263,11)="[Jefatura] ",N($AL263)=0),"No se encuentra en la hoja de la jefatura (elíjala de nuevo en la lista)"&amp;" · ","")&amp;IF(OR(AND($E263&lt;&gt;"",NOT(ISNUMBER($E263))),AND($F263&lt;&gt;"",NOT(ISNUMBER($F263))),AND($G263&lt;&gt;"",NOT(ISNUMBER($G263)))),"Fecha no válida"&amp;" · ","")&amp;IF(AND(ISNUMBER($AM263),ISNUMBER($AN263),$AM263&gt;$AN263),"Inicio posterior a fecha límite"&amp;" · ","")&amp;IF(AND($V263="Macro",$H263&lt;&gt;"",OR(NOT(ISNUMBER($H263)),$H263&lt;0,$H263&gt;1)),"Peso fuera de rango"&amp;" · ","")&amp;IF(AND($V263="Sub",$H263&lt;&gt;""),"Las subactividades no llevan peso (valen igual dentro de su macroactividad)"&amp;" · ","")&amp;IF(AND(N($W263)&gt;0,COUNT($I263:$L263)&gt;0),"Con subactividades: deje vacías las semanas (se calculan solas)"&amp;" · ","")&amp;IF((COUNTIF($I263:$L263,"&gt;1")+COUNTIF($I263:$L263,"&lt;0")+COUNTA($I263:$L263)-COUNT($I263:$L263))&gt;0,"Avance fuera de rango 0-100%"&amp;" · ","")&amp;IF(OR(AND($J263&lt;&gt;"",$J263&lt;$I263),AND($K263&lt;&gt;"",$K263&lt;MAX($I263:$J263)),AND($L263&lt;&gt;"",$L263&lt;MAX($I263:$K263))),"Avance semanal decreciente"&amp;" · ","")&amp;IF(AND(ISNUMBER($AN263),$AN263&lt;FechaRef,IF($V263="Sub",N($X263),N($M263))&lt;1),"Vencida"&amp;" · ","")&amp;IF(AND(ObsObligatoria="Sí",ISNUMBER($AN263),$AN263&lt;FechaRef,IF($V263="Sub",N($X263),N($M263))&lt;1,$Q263=""),"Vencida sin observación"&amp;" · ",""))-3)))</f>
        <v/>
      </c>
      <c r="S263" s="64">
        <f>IF(NOT((COUNTA($B263:$D263)+COUNTA($G263:$L263)+COUNTA($Q263))&gt;0),"",IF(AND($V263="Sub",N($U263)&gt;0),IF(ISNUMBER(INDEX($AM$5:$AM$1000,$U263-4)),DATE(YEAR(INDEX($AM$5:$AM$1000,$U263-4)),MONTH(INDEX($AM$5:$AM$1000,$U263-4)),1),IF(ISNUMBER(INDEX($AN$5:$AN$1000,$U263-4)),DATE(YEAR(INDEX($AN$5:$AN$1000,$U263-4)),MONTH(INDEX($AN$5:$AN$1000,$U263-4)),1),MesCiclo)),IF(ISNUMBER($AM263),DATE(YEAR($AM263),MONTH($AM263),1),IF(ISNUMBER($AN263),DATE(YEAR($AN263),MONTH($AN263),1),MesCiclo))))</f>
        <v/>
      </c>
      <c r="T263" s="62">
        <f>IF(OR($S263="",$S263&lt;&gt;MesCiclo,$V263&lt;&gt;"Macro"),"",COUNTIFS($S$5:$S263,MesCiclo,$V$5:$V263,"Macro"))</f>
        <v/>
      </c>
      <c r="U263" s="62">
        <f>IF($V263="","",IF($V263="Macro",ROW(),IFERROR(LOOKUP(2,1/($V$5:$V263="Macro"),ROW($V$5:$V263)),0)))</f>
        <v/>
      </c>
      <c r="V263" s="62">
        <f>IF(NOT((COUNTA($B263:$D263)+COUNTA($G263:$L263)+COUNTA($Q263))&gt;0),"",IF($B263="Subactividad","Sub","Macro"))</f>
        <v/>
      </c>
      <c r="W263" s="62">
        <f>IF($V263="Macro",COUNTIFS($U$5:$U$1000,ROW(),$V$5:$V$1000,"Sub"),"")</f>
        <v/>
      </c>
      <c r="X263" s="62">
        <f>IF($V263="","",IF(ISNUMBER($G263),1,IFERROR(LOOKUP(2,1/($I263:$L263&lt;&gt;""),$I263:$L263),0)))</f>
        <v/>
      </c>
      <c r="Y263" s="62">
        <f>IF($V263="","",IF(AND(ISNUMBER($G263),$G263&lt;=IF($S263=MesCiclo,InicioCiclo,$S263+MOD(2-WEEKDAY($S263),7))+6),1,IF(ISNUMBER($I263),$I263,0)))</f>
        <v/>
      </c>
      <c r="Z263" s="62">
        <f>IF($V263="","",IF(AND(ISNUMBER($G263),$G263&lt;=IF($S263=MesCiclo,InicioCiclo,$S263+MOD(2-WEEKDAY($S263),7))+13),1,IF(ISNUMBER($J263),$J263,$Y263)))</f>
        <v/>
      </c>
      <c r="AA263" s="62">
        <f>IF($V263="","",IF(AND(ISNUMBER($G263),$G263&lt;=IF($S263=MesCiclo,InicioCiclo,$S263+MOD(2-WEEKDAY($S263),7))+20),1,IF(ISNUMBER($K263),$K263,$Z263)))</f>
        <v/>
      </c>
      <c r="AB263" s="62">
        <f>IF($V263="","",IF(AND(ISNUMBER($G263),$G263&lt;=IF($S263=MesCiclo,InicioCiclo,$S263+MOD(2-WEEKDAY($S263),7))+27),1,IF(ISNUMBER($L263),$L263,$AA263)))</f>
        <v/>
      </c>
      <c r="AC263" s="62">
        <f>IF($V263="","",IF(AND(ISNUMBER($G263),$G263&lt;=IF($S263=MesCiclo,InicioCiclo,$S263+MOD(2-WEEKDAY($S263),7))+6),1,IF(N($W263)&gt;0,AVERAGEIFS($Y$5:$Y$1000,$U$5:$U$1000,ROW(),$V$5:$V$1000,"Sub"),$Y263)))</f>
        <v/>
      </c>
      <c r="AD263" s="62">
        <f>IF($V263="","",IF(AND(ISNUMBER($G263),$G263&lt;=IF($S263=MesCiclo,InicioCiclo,$S263+MOD(2-WEEKDAY($S263),7))+13),1,IF(N($W263)&gt;0,AVERAGEIFS($Z$5:$Z$1000,$U$5:$U$1000,ROW(),$V$5:$V$1000,"Sub"),$Z263)))</f>
        <v/>
      </c>
      <c r="AE263" s="62">
        <f>IF($V263="","",IF(AND(ISNUMBER($G263),$G263&lt;=IF($S263=MesCiclo,InicioCiclo,$S263+MOD(2-WEEKDAY($S263),7))+20),1,IF(N($W263)&gt;0,AVERAGEIFS($AA$5:$AA$1000,$U$5:$U$1000,ROW(),$V$5:$V$1000,"Sub"),$AA263)))</f>
        <v/>
      </c>
      <c r="AF263" s="62">
        <f>IF($V263="","",IF(AND(ISNUMBER($G263),$G263&lt;=IF($S263=MesCiclo,InicioCiclo,$S263+MOD(2-WEEKDAY($S263),7))+27),1,IF(N($W263)&gt;0,AVERAGEIFS($AB$5:$AB$1000,$U$5:$U$1000,ROW(),$V$5:$V$1000,"Sub"),$AB263)))</f>
        <v/>
      </c>
      <c r="AG263" s="62">
        <f>IF($V263&lt;&gt;"Macro","",IF(COUNTIFS($S$5:$S$1000,$S263,$V$5:$V$1000,"Macro",$H$5:$H$1000,"&gt;0")=0,1/COUNTIFS($S$5:$S$1000,$S263,$V$5:$V$1000,"Macro"),IF(AND(ISNUMBER($H263),N($H263)&gt;0),$H263,SUMIFS($H$5:$H$1000,$S$5:$S$1000,$S263,$V$5:$V$1000,"Macro")/COUNTIFS($S$5:$S$1000,$S263,$V$5:$V$1000,"Macro",$H$5:$H$1000,"&gt;0"))/(COUNTIFS($S$5:$S$1000,$S263,$V$5:$V$1000,"Macro")*SUMIFS($H$5:$H$1000,$S$5:$S$1000,$S263,$V$5:$V$1000,"Macro")/COUNTIFS($S$5:$S$1000,$S263,$V$5:$V$1000,"Macro",$H$5:$H$1000,"&gt;0"))))</f>
        <v/>
      </c>
      <c r="AH263" s="62" t="n"/>
      <c r="AI263" s="62" t="n"/>
      <c r="AJ263" s="62" t="n"/>
      <c r="AK263" s="62" t="n"/>
      <c r="AL263" s="62">
        <f>IF(LEFT($C263,11)="[Jefatura] ",IFERROR(MATCH("Riesgo Normativo|"&amp;MID($C263,12,500),rDname_ADM,0),0),"")</f>
        <v/>
      </c>
      <c r="AM263" s="62">
        <f>IF(N($AL263)&gt;0,INDEX(rIni_ADM,$AL263),IF(ISNUMBER($E263),$E263,""))</f>
        <v/>
      </c>
      <c r="AN263" s="62">
        <f>IF(N($AL263)&gt;0,INDEX(rLim_ADM,$AL263),IF(ISNUMBER($F263),$F263,""))</f>
        <v/>
      </c>
    </row>
    <row r="264">
      <c r="A264" s="56">
        <f>IF(NOT((COUNTA($B264:$D264)+COUNTA($G264:$L264)+COUNTA($Q264))&gt;0),"",IF($V264="Macro",COUNTIFS($V$5:$V264,"Macro",$S$5:$S264,$S264),IF(N($U264)=0,"?",COUNTIFS(INDEX($V$5:$V$1000,1):INDEX($V$5:$V$1000,$U264-4),"Macro",INDEX($S$5:$S$1000,1):INDEX($S$5:$S$1000,$U264-4),INDEX($S$5:$S$1000,$U264-4))&amp;"."&amp;COUNTIFS($U$5:$U264,$U264,$V$5:$V264,"Sub"))))</f>
        <v/>
      </c>
      <c r="B264" s="57" t="n"/>
      <c r="C264" s="58" t="n"/>
      <c r="D264" s="58" t="n"/>
      <c r="E264" s="59">
        <f>IF(N($AL264)&gt;0,INDEX(rIni_ADM,$AL264),"")</f>
        <v/>
      </c>
      <c r="F264" s="59">
        <f>IF(N($AL264)&gt;0,INDEX(rLim_ADM,$AL264),"")</f>
        <v/>
      </c>
      <c r="G264" s="59" t="n"/>
      <c r="H264" s="60" t="n"/>
      <c r="I264" s="60" t="n"/>
      <c r="J264" s="60" t="n"/>
      <c r="K264" s="60" t="n"/>
      <c r="L264" s="60" t="n"/>
      <c r="M264" s="61">
        <f>IF(NOT((COUNTA($B264:$D264)+COUNTA($G264:$L264)+COUNTA($Q264))&gt;0),"",IF($V264="Sub",IFERROR($X264/INDEX($W$5:$W$1000,$U264-4),""),IF(ISNUMBER($G264),1,IF(N($W264)&gt;0,AVERAGEIFS($X$5:$X$1000,$U$5:$U$1000,ROW(),$V$5:$V$1000,"Sub"),$X264))))</f>
        <v/>
      </c>
      <c r="N264" s="56">
        <f>IF(OR($M264="",$V264="Sub"),"",IF($M264&gt;=1,"Completado",IF($M264&gt;0,"En curso","Pendiente")))</f>
        <v/>
      </c>
      <c r="O264" s="56">
        <f>IF(OR(NOT((COUNTA($B264:$D264)+COUNTA($G264:$L264)+COUNTA($Q264))&gt;0),$V264="Sub"),"",IF(ISNUMBER($G264),IF(AND(ISNUMBER($AN264),$G264&gt;$AN264),"Cumplida con "&amp;($G264-$AN264)&amp;IF($G264-$AN264=1," día"," días")&amp;" de retraso","Cumplida"),IF(N($M264)&gt;=1,"Cumplida",IF(NOT(ISNUMBER($AN264)),"Sin fecha límite",IF($AN264&lt;FechaRef,"Vencida hace "&amp;(FechaRef-$AN264)&amp;IF(FechaRef-$AN264=1," día"," días"),IF($AN264=FechaRef,"Vence hoy",IF($AN264-FechaRef&lt;=DiasAlerta,"Vence en "&amp;($AN264-FechaRef)&amp;IF($AN264-FechaRef=1," día"," días"),"En plazo")))))))</f>
        <v/>
      </c>
      <c r="P264" s="62" t="n"/>
      <c r="Q264" s="58" t="n"/>
      <c r="R264" s="63">
        <f>IF(NOT((COUNTA($B264:$D264)+COUNTA($G264:$L264)+COUNTA($Q264))&gt;0),"",IF((IF($C264="","Falta el nombre de la actividad"&amp;" · ","")&amp;IF(AND($V264="Sub",N($U264)=0),"Subactividad sin macroactividad arriba"&amp;" · ","")&amp;IF($AM264="","Sin fecha de inicio"&amp;" · ","")&amp;IF($AN264="","Sin fecha límite"&amp;" · ","")&amp;IF(AND(LEFT($C264,11)="[Jefatura] ",N($AL264)=0),"No se encuentra en la hoja de la jefatura (elíjala de nuevo en la lista)"&amp;" · ","")&amp;IF(OR(AND($E264&lt;&gt;"",NOT(ISNUMBER($E264))),AND($F264&lt;&gt;"",NOT(ISNUMBER($F264))),AND($G264&lt;&gt;"",NOT(ISNUMBER($G264)))),"Fecha no válida"&amp;" · ","")&amp;IF(AND(ISNUMBER($AM264),ISNUMBER($AN264),$AM264&gt;$AN264),"Inicio posterior a fecha límite"&amp;" · ","")&amp;IF(AND($V264="Macro",$H264&lt;&gt;"",OR(NOT(ISNUMBER($H264)),$H264&lt;0,$H264&gt;1)),"Peso fuera de rango"&amp;" · ","")&amp;IF(AND($V264="Sub",$H264&lt;&gt;""),"Las subactividades no llevan peso (valen igual dentro de su macroactividad)"&amp;" · ","")&amp;IF(AND(N($W264)&gt;0,COUNT($I264:$L264)&gt;0),"Con subactividades: deje vacías las semanas (se calculan solas)"&amp;" · ","")&amp;IF((COUNTIF($I264:$L264,"&gt;1")+COUNTIF($I264:$L264,"&lt;0")+COUNTA($I264:$L264)-COUNT($I264:$L264))&gt;0,"Avance fuera de rango 0-100%"&amp;" · ","")&amp;IF(OR(AND($J264&lt;&gt;"",$J264&lt;$I264),AND($K264&lt;&gt;"",$K264&lt;MAX($I264:$J264)),AND($L264&lt;&gt;"",$L264&lt;MAX($I264:$K264))),"Avance semanal decreciente"&amp;" · ","")&amp;IF(AND(ISNUMBER($AN264),$AN264&lt;FechaRef,IF($V264="Sub",N($X264),N($M264))&lt;1),"Vencida"&amp;" · ","")&amp;IF(AND(ObsObligatoria="Sí",ISNUMBER($AN264),$AN264&lt;FechaRef,IF($V264="Sub",N($X264),N($M264))&lt;1,$Q264=""),"Vencida sin observación"&amp;" · ",""))="","✔ OK","⚠ "&amp;LEFT(IF($C264="","Falta el nombre de la actividad"&amp;" · ","")&amp;IF(AND($V264="Sub",N($U264)=0),"Subactividad sin macroactividad arriba"&amp;" · ","")&amp;IF($AM264="","Sin fecha de inicio"&amp;" · ","")&amp;IF($AN264="","Sin fecha límite"&amp;" · ","")&amp;IF(AND(LEFT($C264,11)="[Jefatura] ",N($AL264)=0),"No se encuentra en la hoja de la jefatura (elíjala de nuevo en la lista)"&amp;" · ","")&amp;IF(OR(AND($E264&lt;&gt;"",NOT(ISNUMBER($E264))),AND($F264&lt;&gt;"",NOT(ISNUMBER($F264))),AND($G264&lt;&gt;"",NOT(ISNUMBER($G264)))),"Fecha no válida"&amp;" · ","")&amp;IF(AND(ISNUMBER($AM264),ISNUMBER($AN264),$AM264&gt;$AN264),"Inicio posterior a fecha límite"&amp;" · ","")&amp;IF(AND($V264="Macro",$H264&lt;&gt;"",OR(NOT(ISNUMBER($H264)),$H264&lt;0,$H264&gt;1)),"Peso fuera de rango"&amp;" · ","")&amp;IF(AND($V264="Sub",$H264&lt;&gt;""),"Las subactividades no llevan peso (valen igual dentro de su macroactividad)"&amp;" · ","")&amp;IF(AND(N($W264)&gt;0,COUNT($I264:$L264)&gt;0),"Con subactividades: deje vacías las semanas (se calculan solas)"&amp;" · ","")&amp;IF((COUNTIF($I264:$L264,"&gt;1")+COUNTIF($I264:$L264,"&lt;0")+COUNTA($I264:$L264)-COUNT($I264:$L264))&gt;0,"Avance fuera de rango 0-100%"&amp;" · ","")&amp;IF(OR(AND($J264&lt;&gt;"",$J264&lt;$I264),AND($K264&lt;&gt;"",$K264&lt;MAX($I264:$J264)),AND($L264&lt;&gt;"",$L264&lt;MAX($I264:$K264))),"Avance semanal decreciente"&amp;" · ","")&amp;IF(AND(ISNUMBER($AN264),$AN264&lt;FechaRef,IF($V264="Sub",N($X264),N($M264))&lt;1),"Vencida"&amp;" · ","")&amp;IF(AND(ObsObligatoria="Sí",ISNUMBER($AN264),$AN264&lt;FechaRef,IF($V264="Sub",N($X264),N($M264))&lt;1,$Q264=""),"Vencida sin observación"&amp;" · ",""),LEN(IF($C264="","Falta el nombre de la actividad"&amp;" · ","")&amp;IF(AND($V264="Sub",N($U264)=0),"Subactividad sin macroactividad arriba"&amp;" · ","")&amp;IF($AM264="","Sin fecha de inicio"&amp;" · ","")&amp;IF($AN264="","Sin fecha límite"&amp;" · ","")&amp;IF(AND(LEFT($C264,11)="[Jefatura] ",N($AL264)=0),"No se encuentra en la hoja de la jefatura (elíjala de nuevo en la lista)"&amp;" · ","")&amp;IF(OR(AND($E264&lt;&gt;"",NOT(ISNUMBER($E264))),AND($F264&lt;&gt;"",NOT(ISNUMBER($F264))),AND($G264&lt;&gt;"",NOT(ISNUMBER($G264)))),"Fecha no válida"&amp;" · ","")&amp;IF(AND(ISNUMBER($AM264),ISNUMBER($AN264),$AM264&gt;$AN264),"Inicio posterior a fecha límite"&amp;" · ","")&amp;IF(AND($V264="Macro",$H264&lt;&gt;"",OR(NOT(ISNUMBER($H264)),$H264&lt;0,$H264&gt;1)),"Peso fuera de rango"&amp;" · ","")&amp;IF(AND($V264="Sub",$H264&lt;&gt;""),"Las subactividades no llevan peso (valen igual dentro de su macroactividad)"&amp;" · ","")&amp;IF(AND(N($W264)&gt;0,COUNT($I264:$L264)&gt;0),"Con subactividades: deje vacías las semanas (se calculan solas)"&amp;" · ","")&amp;IF((COUNTIF($I264:$L264,"&gt;1")+COUNTIF($I264:$L264,"&lt;0")+COUNTA($I264:$L264)-COUNT($I264:$L264))&gt;0,"Avance fuera de rango 0-100%"&amp;" · ","")&amp;IF(OR(AND($J264&lt;&gt;"",$J264&lt;$I264),AND($K264&lt;&gt;"",$K264&lt;MAX($I264:$J264)),AND($L264&lt;&gt;"",$L264&lt;MAX($I264:$K264))),"Avance semanal decreciente"&amp;" · ","")&amp;IF(AND(ISNUMBER($AN264),$AN264&lt;FechaRef,IF($V264="Sub",N($X264),N($M264))&lt;1),"Vencida"&amp;" · ","")&amp;IF(AND(ObsObligatoria="Sí",ISNUMBER($AN264),$AN264&lt;FechaRef,IF($V264="Sub",N($X264),N($M264))&lt;1,$Q264=""),"Vencida sin observación"&amp;" · ",""))-3)))</f>
        <v/>
      </c>
      <c r="S264" s="64">
        <f>IF(NOT((COUNTA($B264:$D264)+COUNTA($G264:$L264)+COUNTA($Q264))&gt;0),"",IF(AND($V264="Sub",N($U264)&gt;0),IF(ISNUMBER(INDEX($AM$5:$AM$1000,$U264-4)),DATE(YEAR(INDEX($AM$5:$AM$1000,$U264-4)),MONTH(INDEX($AM$5:$AM$1000,$U264-4)),1),IF(ISNUMBER(INDEX($AN$5:$AN$1000,$U264-4)),DATE(YEAR(INDEX($AN$5:$AN$1000,$U264-4)),MONTH(INDEX($AN$5:$AN$1000,$U264-4)),1),MesCiclo)),IF(ISNUMBER($AM264),DATE(YEAR($AM264),MONTH($AM264),1),IF(ISNUMBER($AN264),DATE(YEAR($AN264),MONTH($AN264),1),MesCiclo))))</f>
        <v/>
      </c>
      <c r="T264" s="62">
        <f>IF(OR($S264="",$S264&lt;&gt;MesCiclo,$V264&lt;&gt;"Macro"),"",COUNTIFS($S$5:$S264,MesCiclo,$V$5:$V264,"Macro"))</f>
        <v/>
      </c>
      <c r="U264" s="62">
        <f>IF($V264="","",IF($V264="Macro",ROW(),IFERROR(LOOKUP(2,1/($V$5:$V264="Macro"),ROW($V$5:$V264)),0)))</f>
        <v/>
      </c>
      <c r="V264" s="62">
        <f>IF(NOT((COUNTA($B264:$D264)+COUNTA($G264:$L264)+COUNTA($Q264))&gt;0),"",IF($B264="Subactividad","Sub","Macro"))</f>
        <v/>
      </c>
      <c r="W264" s="62">
        <f>IF($V264="Macro",COUNTIFS($U$5:$U$1000,ROW(),$V$5:$V$1000,"Sub"),"")</f>
        <v/>
      </c>
      <c r="X264" s="62">
        <f>IF($V264="","",IF(ISNUMBER($G264),1,IFERROR(LOOKUP(2,1/($I264:$L264&lt;&gt;""),$I264:$L264),0)))</f>
        <v/>
      </c>
      <c r="Y264" s="62">
        <f>IF($V264="","",IF(AND(ISNUMBER($G264),$G264&lt;=IF($S264=MesCiclo,InicioCiclo,$S264+MOD(2-WEEKDAY($S264),7))+6),1,IF(ISNUMBER($I264),$I264,0)))</f>
        <v/>
      </c>
      <c r="Z264" s="62">
        <f>IF($V264="","",IF(AND(ISNUMBER($G264),$G264&lt;=IF($S264=MesCiclo,InicioCiclo,$S264+MOD(2-WEEKDAY($S264),7))+13),1,IF(ISNUMBER($J264),$J264,$Y264)))</f>
        <v/>
      </c>
      <c r="AA264" s="62">
        <f>IF($V264="","",IF(AND(ISNUMBER($G264),$G264&lt;=IF($S264=MesCiclo,InicioCiclo,$S264+MOD(2-WEEKDAY($S264),7))+20),1,IF(ISNUMBER($K264),$K264,$Z264)))</f>
        <v/>
      </c>
      <c r="AB264" s="62">
        <f>IF($V264="","",IF(AND(ISNUMBER($G264),$G264&lt;=IF($S264=MesCiclo,InicioCiclo,$S264+MOD(2-WEEKDAY($S264),7))+27),1,IF(ISNUMBER($L264),$L264,$AA264)))</f>
        <v/>
      </c>
      <c r="AC264" s="62">
        <f>IF($V264="","",IF(AND(ISNUMBER($G264),$G264&lt;=IF($S264=MesCiclo,InicioCiclo,$S264+MOD(2-WEEKDAY($S264),7))+6),1,IF(N($W264)&gt;0,AVERAGEIFS($Y$5:$Y$1000,$U$5:$U$1000,ROW(),$V$5:$V$1000,"Sub"),$Y264)))</f>
        <v/>
      </c>
      <c r="AD264" s="62">
        <f>IF($V264="","",IF(AND(ISNUMBER($G264),$G264&lt;=IF($S264=MesCiclo,InicioCiclo,$S264+MOD(2-WEEKDAY($S264),7))+13),1,IF(N($W264)&gt;0,AVERAGEIFS($Z$5:$Z$1000,$U$5:$U$1000,ROW(),$V$5:$V$1000,"Sub"),$Z264)))</f>
        <v/>
      </c>
      <c r="AE264" s="62">
        <f>IF($V264="","",IF(AND(ISNUMBER($G264),$G264&lt;=IF($S264=MesCiclo,InicioCiclo,$S264+MOD(2-WEEKDAY($S264),7))+20),1,IF(N($W264)&gt;0,AVERAGEIFS($AA$5:$AA$1000,$U$5:$U$1000,ROW(),$V$5:$V$1000,"Sub"),$AA264)))</f>
        <v/>
      </c>
      <c r="AF264" s="62">
        <f>IF($V264="","",IF(AND(ISNUMBER($G264),$G264&lt;=IF($S264=MesCiclo,InicioCiclo,$S264+MOD(2-WEEKDAY($S264),7))+27),1,IF(N($W264)&gt;0,AVERAGEIFS($AB$5:$AB$1000,$U$5:$U$1000,ROW(),$V$5:$V$1000,"Sub"),$AB264)))</f>
        <v/>
      </c>
      <c r="AG264" s="62">
        <f>IF($V264&lt;&gt;"Macro","",IF(COUNTIFS($S$5:$S$1000,$S264,$V$5:$V$1000,"Macro",$H$5:$H$1000,"&gt;0")=0,1/COUNTIFS($S$5:$S$1000,$S264,$V$5:$V$1000,"Macro"),IF(AND(ISNUMBER($H264),N($H264)&gt;0),$H264,SUMIFS($H$5:$H$1000,$S$5:$S$1000,$S264,$V$5:$V$1000,"Macro")/COUNTIFS($S$5:$S$1000,$S264,$V$5:$V$1000,"Macro",$H$5:$H$1000,"&gt;0"))/(COUNTIFS($S$5:$S$1000,$S264,$V$5:$V$1000,"Macro")*SUMIFS($H$5:$H$1000,$S$5:$S$1000,$S264,$V$5:$V$1000,"Macro")/COUNTIFS($S$5:$S$1000,$S264,$V$5:$V$1000,"Macro",$H$5:$H$1000,"&gt;0"))))</f>
        <v/>
      </c>
      <c r="AH264" s="62" t="n"/>
      <c r="AI264" s="62" t="n"/>
      <c r="AJ264" s="62" t="n"/>
      <c r="AK264" s="62" t="n"/>
      <c r="AL264" s="62">
        <f>IF(LEFT($C264,11)="[Jefatura] ",IFERROR(MATCH("Riesgo Normativo|"&amp;MID($C264,12,500),rDname_ADM,0),0),"")</f>
        <v/>
      </c>
      <c r="AM264" s="62">
        <f>IF(N($AL264)&gt;0,INDEX(rIni_ADM,$AL264),IF(ISNUMBER($E264),$E264,""))</f>
        <v/>
      </c>
      <c r="AN264" s="62">
        <f>IF(N($AL264)&gt;0,INDEX(rLim_ADM,$AL264),IF(ISNUMBER($F264),$F264,""))</f>
        <v/>
      </c>
    </row>
    <row r="265">
      <c r="A265" s="56">
        <f>IF(NOT((COUNTA($B265:$D265)+COUNTA($G265:$L265)+COUNTA($Q265))&gt;0),"",IF($V265="Macro",COUNTIFS($V$5:$V265,"Macro",$S$5:$S265,$S265),IF(N($U265)=0,"?",COUNTIFS(INDEX($V$5:$V$1000,1):INDEX($V$5:$V$1000,$U265-4),"Macro",INDEX($S$5:$S$1000,1):INDEX($S$5:$S$1000,$U265-4),INDEX($S$5:$S$1000,$U265-4))&amp;"."&amp;COUNTIFS($U$5:$U265,$U265,$V$5:$V265,"Sub"))))</f>
        <v/>
      </c>
      <c r="B265" s="57" t="n"/>
      <c r="C265" s="58" t="n"/>
      <c r="D265" s="58" t="n"/>
      <c r="E265" s="59">
        <f>IF(N($AL265)&gt;0,INDEX(rIni_ADM,$AL265),"")</f>
        <v/>
      </c>
      <c r="F265" s="59">
        <f>IF(N($AL265)&gt;0,INDEX(rLim_ADM,$AL265),"")</f>
        <v/>
      </c>
      <c r="G265" s="59" t="n"/>
      <c r="H265" s="60" t="n"/>
      <c r="I265" s="60" t="n"/>
      <c r="J265" s="60" t="n"/>
      <c r="K265" s="60" t="n"/>
      <c r="L265" s="60" t="n"/>
      <c r="M265" s="61">
        <f>IF(NOT((COUNTA($B265:$D265)+COUNTA($G265:$L265)+COUNTA($Q265))&gt;0),"",IF($V265="Sub",IFERROR($X265/INDEX($W$5:$W$1000,$U265-4),""),IF(ISNUMBER($G265),1,IF(N($W265)&gt;0,AVERAGEIFS($X$5:$X$1000,$U$5:$U$1000,ROW(),$V$5:$V$1000,"Sub"),$X265))))</f>
        <v/>
      </c>
      <c r="N265" s="56">
        <f>IF(OR($M265="",$V265="Sub"),"",IF($M265&gt;=1,"Completado",IF($M265&gt;0,"En curso","Pendiente")))</f>
        <v/>
      </c>
      <c r="O265" s="56">
        <f>IF(OR(NOT((COUNTA($B265:$D265)+COUNTA($G265:$L265)+COUNTA($Q265))&gt;0),$V265="Sub"),"",IF(ISNUMBER($G265),IF(AND(ISNUMBER($AN265),$G265&gt;$AN265),"Cumplida con "&amp;($G265-$AN265)&amp;IF($G265-$AN265=1," día"," días")&amp;" de retraso","Cumplida"),IF(N($M265)&gt;=1,"Cumplida",IF(NOT(ISNUMBER($AN265)),"Sin fecha límite",IF($AN265&lt;FechaRef,"Vencida hace "&amp;(FechaRef-$AN265)&amp;IF(FechaRef-$AN265=1," día"," días"),IF($AN265=FechaRef,"Vence hoy",IF($AN265-FechaRef&lt;=DiasAlerta,"Vence en "&amp;($AN265-FechaRef)&amp;IF($AN265-FechaRef=1," día"," días"),"En plazo")))))))</f>
        <v/>
      </c>
      <c r="P265" s="62" t="n"/>
      <c r="Q265" s="58" t="n"/>
      <c r="R265" s="63">
        <f>IF(NOT((COUNTA($B265:$D265)+COUNTA($G265:$L265)+COUNTA($Q265))&gt;0),"",IF((IF($C265="","Falta el nombre de la actividad"&amp;" · ","")&amp;IF(AND($V265="Sub",N($U265)=0),"Subactividad sin macroactividad arriba"&amp;" · ","")&amp;IF($AM265="","Sin fecha de inicio"&amp;" · ","")&amp;IF($AN265="","Sin fecha límite"&amp;" · ","")&amp;IF(AND(LEFT($C265,11)="[Jefatura] ",N($AL265)=0),"No se encuentra en la hoja de la jefatura (elíjala de nuevo en la lista)"&amp;" · ","")&amp;IF(OR(AND($E265&lt;&gt;"",NOT(ISNUMBER($E265))),AND($F265&lt;&gt;"",NOT(ISNUMBER($F265))),AND($G265&lt;&gt;"",NOT(ISNUMBER($G265)))),"Fecha no válida"&amp;" · ","")&amp;IF(AND(ISNUMBER($AM265),ISNUMBER($AN265),$AM265&gt;$AN265),"Inicio posterior a fecha límite"&amp;" · ","")&amp;IF(AND($V265="Macro",$H265&lt;&gt;"",OR(NOT(ISNUMBER($H265)),$H265&lt;0,$H265&gt;1)),"Peso fuera de rango"&amp;" · ","")&amp;IF(AND($V265="Sub",$H265&lt;&gt;""),"Las subactividades no llevan peso (valen igual dentro de su macroactividad)"&amp;" · ","")&amp;IF(AND(N($W265)&gt;0,COUNT($I265:$L265)&gt;0),"Con subactividades: deje vacías las semanas (se calculan solas)"&amp;" · ","")&amp;IF((COUNTIF($I265:$L265,"&gt;1")+COUNTIF($I265:$L265,"&lt;0")+COUNTA($I265:$L265)-COUNT($I265:$L265))&gt;0,"Avance fuera de rango 0-100%"&amp;" · ","")&amp;IF(OR(AND($J265&lt;&gt;"",$J265&lt;$I265),AND($K265&lt;&gt;"",$K265&lt;MAX($I265:$J265)),AND($L265&lt;&gt;"",$L265&lt;MAX($I265:$K265))),"Avance semanal decreciente"&amp;" · ","")&amp;IF(AND(ISNUMBER($AN265),$AN265&lt;FechaRef,IF($V265="Sub",N($X265),N($M265))&lt;1),"Vencida"&amp;" · ","")&amp;IF(AND(ObsObligatoria="Sí",ISNUMBER($AN265),$AN265&lt;FechaRef,IF($V265="Sub",N($X265),N($M265))&lt;1,$Q265=""),"Vencida sin observación"&amp;" · ",""))="","✔ OK","⚠ "&amp;LEFT(IF($C265="","Falta el nombre de la actividad"&amp;" · ","")&amp;IF(AND($V265="Sub",N($U265)=0),"Subactividad sin macroactividad arriba"&amp;" · ","")&amp;IF($AM265="","Sin fecha de inicio"&amp;" · ","")&amp;IF($AN265="","Sin fecha límite"&amp;" · ","")&amp;IF(AND(LEFT($C265,11)="[Jefatura] ",N($AL265)=0),"No se encuentra en la hoja de la jefatura (elíjala de nuevo en la lista)"&amp;" · ","")&amp;IF(OR(AND($E265&lt;&gt;"",NOT(ISNUMBER($E265))),AND($F265&lt;&gt;"",NOT(ISNUMBER($F265))),AND($G265&lt;&gt;"",NOT(ISNUMBER($G265)))),"Fecha no válida"&amp;" · ","")&amp;IF(AND(ISNUMBER($AM265),ISNUMBER($AN265),$AM265&gt;$AN265),"Inicio posterior a fecha límite"&amp;" · ","")&amp;IF(AND($V265="Macro",$H265&lt;&gt;"",OR(NOT(ISNUMBER($H265)),$H265&lt;0,$H265&gt;1)),"Peso fuera de rango"&amp;" · ","")&amp;IF(AND($V265="Sub",$H265&lt;&gt;""),"Las subactividades no llevan peso (valen igual dentro de su macroactividad)"&amp;" · ","")&amp;IF(AND(N($W265)&gt;0,COUNT($I265:$L265)&gt;0),"Con subactividades: deje vacías las semanas (se calculan solas)"&amp;" · ","")&amp;IF((COUNTIF($I265:$L265,"&gt;1")+COUNTIF($I265:$L265,"&lt;0")+COUNTA($I265:$L265)-COUNT($I265:$L265))&gt;0,"Avance fuera de rango 0-100%"&amp;" · ","")&amp;IF(OR(AND($J265&lt;&gt;"",$J265&lt;$I265),AND($K265&lt;&gt;"",$K265&lt;MAX($I265:$J265)),AND($L265&lt;&gt;"",$L265&lt;MAX($I265:$K265))),"Avance semanal decreciente"&amp;" · ","")&amp;IF(AND(ISNUMBER($AN265),$AN265&lt;FechaRef,IF($V265="Sub",N($X265),N($M265))&lt;1),"Vencida"&amp;" · ","")&amp;IF(AND(ObsObligatoria="Sí",ISNUMBER($AN265),$AN265&lt;FechaRef,IF($V265="Sub",N($X265),N($M265))&lt;1,$Q265=""),"Vencida sin observación"&amp;" · ",""),LEN(IF($C265="","Falta el nombre de la actividad"&amp;" · ","")&amp;IF(AND($V265="Sub",N($U265)=0),"Subactividad sin macroactividad arriba"&amp;" · ","")&amp;IF($AM265="","Sin fecha de inicio"&amp;" · ","")&amp;IF($AN265="","Sin fecha límite"&amp;" · ","")&amp;IF(AND(LEFT($C265,11)="[Jefatura] ",N($AL265)=0),"No se encuentra en la hoja de la jefatura (elíjala de nuevo en la lista)"&amp;" · ","")&amp;IF(OR(AND($E265&lt;&gt;"",NOT(ISNUMBER($E265))),AND($F265&lt;&gt;"",NOT(ISNUMBER($F265))),AND($G265&lt;&gt;"",NOT(ISNUMBER($G265)))),"Fecha no válida"&amp;" · ","")&amp;IF(AND(ISNUMBER($AM265),ISNUMBER($AN265),$AM265&gt;$AN265),"Inicio posterior a fecha límite"&amp;" · ","")&amp;IF(AND($V265="Macro",$H265&lt;&gt;"",OR(NOT(ISNUMBER($H265)),$H265&lt;0,$H265&gt;1)),"Peso fuera de rango"&amp;" · ","")&amp;IF(AND($V265="Sub",$H265&lt;&gt;""),"Las subactividades no llevan peso (valen igual dentro de su macroactividad)"&amp;" · ","")&amp;IF(AND(N($W265)&gt;0,COUNT($I265:$L265)&gt;0),"Con subactividades: deje vacías las semanas (se calculan solas)"&amp;" · ","")&amp;IF((COUNTIF($I265:$L265,"&gt;1")+COUNTIF($I265:$L265,"&lt;0")+COUNTA($I265:$L265)-COUNT($I265:$L265))&gt;0,"Avance fuera de rango 0-100%"&amp;" · ","")&amp;IF(OR(AND($J265&lt;&gt;"",$J265&lt;$I265),AND($K265&lt;&gt;"",$K265&lt;MAX($I265:$J265)),AND($L265&lt;&gt;"",$L265&lt;MAX($I265:$K265))),"Avance semanal decreciente"&amp;" · ","")&amp;IF(AND(ISNUMBER($AN265),$AN265&lt;FechaRef,IF($V265="Sub",N($X265),N($M265))&lt;1),"Vencida"&amp;" · ","")&amp;IF(AND(ObsObligatoria="Sí",ISNUMBER($AN265),$AN265&lt;FechaRef,IF($V265="Sub",N($X265),N($M265))&lt;1,$Q265=""),"Vencida sin observación"&amp;" · ",""))-3)))</f>
        <v/>
      </c>
      <c r="S265" s="64">
        <f>IF(NOT((COUNTA($B265:$D265)+COUNTA($G265:$L265)+COUNTA($Q265))&gt;0),"",IF(AND($V265="Sub",N($U265)&gt;0),IF(ISNUMBER(INDEX($AM$5:$AM$1000,$U265-4)),DATE(YEAR(INDEX($AM$5:$AM$1000,$U265-4)),MONTH(INDEX($AM$5:$AM$1000,$U265-4)),1),IF(ISNUMBER(INDEX($AN$5:$AN$1000,$U265-4)),DATE(YEAR(INDEX($AN$5:$AN$1000,$U265-4)),MONTH(INDEX($AN$5:$AN$1000,$U265-4)),1),MesCiclo)),IF(ISNUMBER($AM265),DATE(YEAR($AM265),MONTH($AM265),1),IF(ISNUMBER($AN265),DATE(YEAR($AN265),MONTH($AN265),1),MesCiclo))))</f>
        <v/>
      </c>
      <c r="T265" s="62">
        <f>IF(OR($S265="",$S265&lt;&gt;MesCiclo,$V265&lt;&gt;"Macro"),"",COUNTIFS($S$5:$S265,MesCiclo,$V$5:$V265,"Macro"))</f>
        <v/>
      </c>
      <c r="U265" s="62">
        <f>IF($V265="","",IF($V265="Macro",ROW(),IFERROR(LOOKUP(2,1/($V$5:$V265="Macro"),ROW($V$5:$V265)),0)))</f>
        <v/>
      </c>
      <c r="V265" s="62">
        <f>IF(NOT((COUNTA($B265:$D265)+COUNTA($G265:$L265)+COUNTA($Q265))&gt;0),"",IF($B265="Subactividad","Sub","Macro"))</f>
        <v/>
      </c>
      <c r="W265" s="62">
        <f>IF($V265="Macro",COUNTIFS($U$5:$U$1000,ROW(),$V$5:$V$1000,"Sub"),"")</f>
        <v/>
      </c>
      <c r="X265" s="62">
        <f>IF($V265="","",IF(ISNUMBER($G265),1,IFERROR(LOOKUP(2,1/($I265:$L265&lt;&gt;""),$I265:$L265),0)))</f>
        <v/>
      </c>
      <c r="Y265" s="62">
        <f>IF($V265="","",IF(AND(ISNUMBER($G265),$G265&lt;=IF($S265=MesCiclo,InicioCiclo,$S265+MOD(2-WEEKDAY($S265),7))+6),1,IF(ISNUMBER($I265),$I265,0)))</f>
        <v/>
      </c>
      <c r="Z265" s="62">
        <f>IF($V265="","",IF(AND(ISNUMBER($G265),$G265&lt;=IF($S265=MesCiclo,InicioCiclo,$S265+MOD(2-WEEKDAY($S265),7))+13),1,IF(ISNUMBER($J265),$J265,$Y265)))</f>
        <v/>
      </c>
      <c r="AA265" s="62">
        <f>IF($V265="","",IF(AND(ISNUMBER($G265),$G265&lt;=IF($S265=MesCiclo,InicioCiclo,$S265+MOD(2-WEEKDAY($S265),7))+20),1,IF(ISNUMBER($K265),$K265,$Z265)))</f>
        <v/>
      </c>
      <c r="AB265" s="62">
        <f>IF($V265="","",IF(AND(ISNUMBER($G265),$G265&lt;=IF($S265=MesCiclo,InicioCiclo,$S265+MOD(2-WEEKDAY($S265),7))+27),1,IF(ISNUMBER($L265),$L265,$AA265)))</f>
        <v/>
      </c>
      <c r="AC265" s="62">
        <f>IF($V265="","",IF(AND(ISNUMBER($G265),$G265&lt;=IF($S265=MesCiclo,InicioCiclo,$S265+MOD(2-WEEKDAY($S265),7))+6),1,IF(N($W265)&gt;0,AVERAGEIFS($Y$5:$Y$1000,$U$5:$U$1000,ROW(),$V$5:$V$1000,"Sub"),$Y265)))</f>
        <v/>
      </c>
      <c r="AD265" s="62">
        <f>IF($V265="","",IF(AND(ISNUMBER($G265),$G265&lt;=IF($S265=MesCiclo,InicioCiclo,$S265+MOD(2-WEEKDAY($S265),7))+13),1,IF(N($W265)&gt;0,AVERAGEIFS($Z$5:$Z$1000,$U$5:$U$1000,ROW(),$V$5:$V$1000,"Sub"),$Z265)))</f>
        <v/>
      </c>
      <c r="AE265" s="62">
        <f>IF($V265="","",IF(AND(ISNUMBER($G265),$G265&lt;=IF($S265=MesCiclo,InicioCiclo,$S265+MOD(2-WEEKDAY($S265),7))+20),1,IF(N($W265)&gt;0,AVERAGEIFS($AA$5:$AA$1000,$U$5:$U$1000,ROW(),$V$5:$V$1000,"Sub"),$AA265)))</f>
        <v/>
      </c>
      <c r="AF265" s="62">
        <f>IF($V265="","",IF(AND(ISNUMBER($G265),$G265&lt;=IF($S265=MesCiclo,InicioCiclo,$S265+MOD(2-WEEKDAY($S265),7))+27),1,IF(N($W265)&gt;0,AVERAGEIFS($AB$5:$AB$1000,$U$5:$U$1000,ROW(),$V$5:$V$1000,"Sub"),$AB265)))</f>
        <v/>
      </c>
      <c r="AG265" s="62">
        <f>IF($V265&lt;&gt;"Macro","",IF(COUNTIFS($S$5:$S$1000,$S265,$V$5:$V$1000,"Macro",$H$5:$H$1000,"&gt;0")=0,1/COUNTIFS($S$5:$S$1000,$S265,$V$5:$V$1000,"Macro"),IF(AND(ISNUMBER($H265),N($H265)&gt;0),$H265,SUMIFS($H$5:$H$1000,$S$5:$S$1000,$S265,$V$5:$V$1000,"Macro")/COUNTIFS($S$5:$S$1000,$S265,$V$5:$V$1000,"Macro",$H$5:$H$1000,"&gt;0"))/(COUNTIFS($S$5:$S$1000,$S265,$V$5:$V$1000,"Macro")*SUMIFS($H$5:$H$1000,$S$5:$S$1000,$S265,$V$5:$V$1000,"Macro")/COUNTIFS($S$5:$S$1000,$S265,$V$5:$V$1000,"Macro",$H$5:$H$1000,"&gt;0"))))</f>
        <v/>
      </c>
      <c r="AH265" s="62" t="n"/>
      <c r="AI265" s="62" t="n"/>
      <c r="AJ265" s="62" t="n"/>
      <c r="AK265" s="62" t="n"/>
      <c r="AL265" s="62">
        <f>IF(LEFT($C265,11)="[Jefatura] ",IFERROR(MATCH("Riesgo Normativo|"&amp;MID($C265,12,500),rDname_ADM,0),0),"")</f>
        <v/>
      </c>
      <c r="AM265" s="62">
        <f>IF(N($AL265)&gt;0,INDEX(rIni_ADM,$AL265),IF(ISNUMBER($E265),$E265,""))</f>
        <v/>
      </c>
      <c r="AN265" s="62">
        <f>IF(N($AL265)&gt;0,INDEX(rLim_ADM,$AL265),IF(ISNUMBER($F265),$F265,""))</f>
        <v/>
      </c>
    </row>
    <row r="266">
      <c r="A266" s="56">
        <f>IF(NOT((COUNTA($B266:$D266)+COUNTA($G266:$L266)+COUNTA($Q266))&gt;0),"",IF($V266="Macro",COUNTIFS($V$5:$V266,"Macro",$S$5:$S266,$S266),IF(N($U266)=0,"?",COUNTIFS(INDEX($V$5:$V$1000,1):INDEX($V$5:$V$1000,$U266-4),"Macro",INDEX($S$5:$S$1000,1):INDEX($S$5:$S$1000,$U266-4),INDEX($S$5:$S$1000,$U266-4))&amp;"."&amp;COUNTIFS($U$5:$U266,$U266,$V$5:$V266,"Sub"))))</f>
        <v/>
      </c>
      <c r="B266" s="57" t="n"/>
      <c r="C266" s="58" t="n"/>
      <c r="D266" s="58" t="n"/>
      <c r="E266" s="59">
        <f>IF(N($AL266)&gt;0,INDEX(rIni_ADM,$AL266),"")</f>
        <v/>
      </c>
      <c r="F266" s="59">
        <f>IF(N($AL266)&gt;0,INDEX(rLim_ADM,$AL266),"")</f>
        <v/>
      </c>
      <c r="G266" s="59" t="n"/>
      <c r="H266" s="60" t="n"/>
      <c r="I266" s="60" t="n"/>
      <c r="J266" s="60" t="n"/>
      <c r="K266" s="60" t="n"/>
      <c r="L266" s="60" t="n"/>
      <c r="M266" s="61">
        <f>IF(NOT((COUNTA($B266:$D266)+COUNTA($G266:$L266)+COUNTA($Q266))&gt;0),"",IF($V266="Sub",IFERROR($X266/INDEX($W$5:$W$1000,$U266-4),""),IF(ISNUMBER($G266),1,IF(N($W266)&gt;0,AVERAGEIFS($X$5:$X$1000,$U$5:$U$1000,ROW(),$V$5:$V$1000,"Sub"),$X266))))</f>
        <v/>
      </c>
      <c r="N266" s="56">
        <f>IF(OR($M266="",$V266="Sub"),"",IF($M266&gt;=1,"Completado",IF($M266&gt;0,"En curso","Pendiente")))</f>
        <v/>
      </c>
      <c r="O266" s="56">
        <f>IF(OR(NOT((COUNTA($B266:$D266)+COUNTA($G266:$L266)+COUNTA($Q266))&gt;0),$V266="Sub"),"",IF(ISNUMBER($G266),IF(AND(ISNUMBER($AN266),$G266&gt;$AN266),"Cumplida con "&amp;($G266-$AN266)&amp;IF($G266-$AN266=1," día"," días")&amp;" de retraso","Cumplida"),IF(N($M266)&gt;=1,"Cumplida",IF(NOT(ISNUMBER($AN266)),"Sin fecha límite",IF($AN266&lt;FechaRef,"Vencida hace "&amp;(FechaRef-$AN266)&amp;IF(FechaRef-$AN266=1," día"," días"),IF($AN266=FechaRef,"Vence hoy",IF($AN266-FechaRef&lt;=DiasAlerta,"Vence en "&amp;($AN266-FechaRef)&amp;IF($AN266-FechaRef=1," día"," días"),"En plazo")))))))</f>
        <v/>
      </c>
      <c r="P266" s="62" t="n"/>
      <c r="Q266" s="58" t="n"/>
      <c r="R266" s="63">
        <f>IF(NOT((COUNTA($B266:$D266)+COUNTA($G266:$L266)+COUNTA($Q266))&gt;0),"",IF((IF($C266="","Falta el nombre de la actividad"&amp;" · ","")&amp;IF(AND($V266="Sub",N($U266)=0),"Subactividad sin macroactividad arriba"&amp;" · ","")&amp;IF($AM266="","Sin fecha de inicio"&amp;" · ","")&amp;IF($AN266="","Sin fecha límite"&amp;" · ","")&amp;IF(AND(LEFT($C266,11)="[Jefatura] ",N($AL266)=0),"No se encuentra en la hoja de la jefatura (elíjala de nuevo en la lista)"&amp;" · ","")&amp;IF(OR(AND($E266&lt;&gt;"",NOT(ISNUMBER($E266))),AND($F266&lt;&gt;"",NOT(ISNUMBER($F266))),AND($G266&lt;&gt;"",NOT(ISNUMBER($G266)))),"Fecha no válida"&amp;" · ","")&amp;IF(AND(ISNUMBER($AM266),ISNUMBER($AN266),$AM266&gt;$AN266),"Inicio posterior a fecha límite"&amp;" · ","")&amp;IF(AND($V266="Macro",$H266&lt;&gt;"",OR(NOT(ISNUMBER($H266)),$H266&lt;0,$H266&gt;1)),"Peso fuera de rango"&amp;" · ","")&amp;IF(AND($V266="Sub",$H266&lt;&gt;""),"Las subactividades no llevan peso (valen igual dentro de su macroactividad)"&amp;" · ","")&amp;IF(AND(N($W266)&gt;0,COUNT($I266:$L266)&gt;0),"Con subactividades: deje vacías las semanas (se calculan solas)"&amp;" · ","")&amp;IF((COUNTIF($I266:$L266,"&gt;1")+COUNTIF($I266:$L266,"&lt;0")+COUNTA($I266:$L266)-COUNT($I266:$L266))&gt;0,"Avance fuera de rango 0-100%"&amp;" · ","")&amp;IF(OR(AND($J266&lt;&gt;"",$J266&lt;$I266),AND($K266&lt;&gt;"",$K266&lt;MAX($I266:$J266)),AND($L266&lt;&gt;"",$L266&lt;MAX($I266:$K266))),"Avance semanal decreciente"&amp;" · ","")&amp;IF(AND(ISNUMBER($AN266),$AN266&lt;FechaRef,IF($V266="Sub",N($X266),N($M266))&lt;1),"Vencida"&amp;" · ","")&amp;IF(AND(ObsObligatoria="Sí",ISNUMBER($AN266),$AN266&lt;FechaRef,IF($V266="Sub",N($X266),N($M266))&lt;1,$Q266=""),"Vencida sin observación"&amp;" · ",""))="","✔ OK","⚠ "&amp;LEFT(IF($C266="","Falta el nombre de la actividad"&amp;" · ","")&amp;IF(AND($V266="Sub",N($U266)=0),"Subactividad sin macroactividad arriba"&amp;" · ","")&amp;IF($AM266="","Sin fecha de inicio"&amp;" · ","")&amp;IF($AN266="","Sin fecha límite"&amp;" · ","")&amp;IF(AND(LEFT($C266,11)="[Jefatura] ",N($AL266)=0),"No se encuentra en la hoja de la jefatura (elíjala de nuevo en la lista)"&amp;" · ","")&amp;IF(OR(AND($E266&lt;&gt;"",NOT(ISNUMBER($E266))),AND($F266&lt;&gt;"",NOT(ISNUMBER($F266))),AND($G266&lt;&gt;"",NOT(ISNUMBER($G266)))),"Fecha no válida"&amp;" · ","")&amp;IF(AND(ISNUMBER($AM266),ISNUMBER($AN266),$AM266&gt;$AN266),"Inicio posterior a fecha límite"&amp;" · ","")&amp;IF(AND($V266="Macro",$H266&lt;&gt;"",OR(NOT(ISNUMBER($H266)),$H266&lt;0,$H266&gt;1)),"Peso fuera de rango"&amp;" · ","")&amp;IF(AND($V266="Sub",$H266&lt;&gt;""),"Las subactividades no llevan peso (valen igual dentro de su macroactividad)"&amp;" · ","")&amp;IF(AND(N($W266)&gt;0,COUNT($I266:$L266)&gt;0),"Con subactividades: deje vacías las semanas (se calculan solas)"&amp;" · ","")&amp;IF((COUNTIF($I266:$L266,"&gt;1")+COUNTIF($I266:$L266,"&lt;0")+COUNTA($I266:$L266)-COUNT($I266:$L266))&gt;0,"Avance fuera de rango 0-100%"&amp;" · ","")&amp;IF(OR(AND($J266&lt;&gt;"",$J266&lt;$I266),AND($K266&lt;&gt;"",$K266&lt;MAX($I266:$J266)),AND($L266&lt;&gt;"",$L266&lt;MAX($I266:$K266))),"Avance semanal decreciente"&amp;" · ","")&amp;IF(AND(ISNUMBER($AN266),$AN266&lt;FechaRef,IF($V266="Sub",N($X266),N($M266))&lt;1),"Vencida"&amp;" · ","")&amp;IF(AND(ObsObligatoria="Sí",ISNUMBER($AN266),$AN266&lt;FechaRef,IF($V266="Sub",N($X266),N($M266))&lt;1,$Q266=""),"Vencida sin observación"&amp;" · ",""),LEN(IF($C266="","Falta el nombre de la actividad"&amp;" · ","")&amp;IF(AND($V266="Sub",N($U266)=0),"Subactividad sin macroactividad arriba"&amp;" · ","")&amp;IF($AM266="","Sin fecha de inicio"&amp;" · ","")&amp;IF($AN266="","Sin fecha límite"&amp;" · ","")&amp;IF(AND(LEFT($C266,11)="[Jefatura] ",N($AL266)=0),"No se encuentra en la hoja de la jefatura (elíjala de nuevo en la lista)"&amp;" · ","")&amp;IF(OR(AND($E266&lt;&gt;"",NOT(ISNUMBER($E266))),AND($F266&lt;&gt;"",NOT(ISNUMBER($F266))),AND($G266&lt;&gt;"",NOT(ISNUMBER($G266)))),"Fecha no válida"&amp;" · ","")&amp;IF(AND(ISNUMBER($AM266),ISNUMBER($AN266),$AM266&gt;$AN266),"Inicio posterior a fecha límite"&amp;" · ","")&amp;IF(AND($V266="Macro",$H266&lt;&gt;"",OR(NOT(ISNUMBER($H266)),$H266&lt;0,$H266&gt;1)),"Peso fuera de rango"&amp;" · ","")&amp;IF(AND($V266="Sub",$H266&lt;&gt;""),"Las subactividades no llevan peso (valen igual dentro de su macroactividad)"&amp;" · ","")&amp;IF(AND(N($W266)&gt;0,COUNT($I266:$L266)&gt;0),"Con subactividades: deje vacías las semanas (se calculan solas)"&amp;" · ","")&amp;IF((COUNTIF($I266:$L266,"&gt;1")+COUNTIF($I266:$L266,"&lt;0")+COUNTA($I266:$L266)-COUNT($I266:$L266))&gt;0,"Avance fuera de rango 0-100%"&amp;" · ","")&amp;IF(OR(AND($J266&lt;&gt;"",$J266&lt;$I266),AND($K266&lt;&gt;"",$K266&lt;MAX($I266:$J266)),AND($L266&lt;&gt;"",$L266&lt;MAX($I266:$K266))),"Avance semanal decreciente"&amp;" · ","")&amp;IF(AND(ISNUMBER($AN266),$AN266&lt;FechaRef,IF($V266="Sub",N($X266),N($M266))&lt;1),"Vencida"&amp;" · ","")&amp;IF(AND(ObsObligatoria="Sí",ISNUMBER($AN266),$AN266&lt;FechaRef,IF($V266="Sub",N($X266),N($M266))&lt;1,$Q266=""),"Vencida sin observación"&amp;" · ",""))-3)))</f>
        <v/>
      </c>
      <c r="S266" s="64">
        <f>IF(NOT((COUNTA($B266:$D266)+COUNTA($G266:$L266)+COUNTA($Q266))&gt;0),"",IF(AND($V266="Sub",N($U266)&gt;0),IF(ISNUMBER(INDEX($AM$5:$AM$1000,$U266-4)),DATE(YEAR(INDEX($AM$5:$AM$1000,$U266-4)),MONTH(INDEX($AM$5:$AM$1000,$U266-4)),1),IF(ISNUMBER(INDEX($AN$5:$AN$1000,$U266-4)),DATE(YEAR(INDEX($AN$5:$AN$1000,$U266-4)),MONTH(INDEX($AN$5:$AN$1000,$U266-4)),1),MesCiclo)),IF(ISNUMBER($AM266),DATE(YEAR($AM266),MONTH($AM266),1),IF(ISNUMBER($AN266),DATE(YEAR($AN266),MONTH($AN266),1),MesCiclo))))</f>
        <v/>
      </c>
      <c r="T266" s="62">
        <f>IF(OR($S266="",$S266&lt;&gt;MesCiclo,$V266&lt;&gt;"Macro"),"",COUNTIFS($S$5:$S266,MesCiclo,$V$5:$V266,"Macro"))</f>
        <v/>
      </c>
      <c r="U266" s="62">
        <f>IF($V266="","",IF($V266="Macro",ROW(),IFERROR(LOOKUP(2,1/($V$5:$V266="Macro"),ROW($V$5:$V266)),0)))</f>
        <v/>
      </c>
      <c r="V266" s="62">
        <f>IF(NOT((COUNTA($B266:$D266)+COUNTA($G266:$L266)+COUNTA($Q266))&gt;0),"",IF($B266="Subactividad","Sub","Macro"))</f>
        <v/>
      </c>
      <c r="W266" s="62">
        <f>IF($V266="Macro",COUNTIFS($U$5:$U$1000,ROW(),$V$5:$V$1000,"Sub"),"")</f>
        <v/>
      </c>
      <c r="X266" s="62">
        <f>IF($V266="","",IF(ISNUMBER($G266),1,IFERROR(LOOKUP(2,1/($I266:$L266&lt;&gt;""),$I266:$L266),0)))</f>
        <v/>
      </c>
      <c r="Y266" s="62">
        <f>IF($V266="","",IF(AND(ISNUMBER($G266),$G266&lt;=IF($S266=MesCiclo,InicioCiclo,$S266+MOD(2-WEEKDAY($S266),7))+6),1,IF(ISNUMBER($I266),$I266,0)))</f>
        <v/>
      </c>
      <c r="Z266" s="62">
        <f>IF($V266="","",IF(AND(ISNUMBER($G266),$G266&lt;=IF($S266=MesCiclo,InicioCiclo,$S266+MOD(2-WEEKDAY($S266),7))+13),1,IF(ISNUMBER($J266),$J266,$Y266)))</f>
        <v/>
      </c>
      <c r="AA266" s="62">
        <f>IF($V266="","",IF(AND(ISNUMBER($G266),$G266&lt;=IF($S266=MesCiclo,InicioCiclo,$S266+MOD(2-WEEKDAY($S266),7))+20),1,IF(ISNUMBER($K266),$K266,$Z266)))</f>
        <v/>
      </c>
      <c r="AB266" s="62">
        <f>IF($V266="","",IF(AND(ISNUMBER($G266),$G266&lt;=IF($S266=MesCiclo,InicioCiclo,$S266+MOD(2-WEEKDAY($S266),7))+27),1,IF(ISNUMBER($L266),$L266,$AA266)))</f>
        <v/>
      </c>
      <c r="AC266" s="62">
        <f>IF($V266="","",IF(AND(ISNUMBER($G266),$G266&lt;=IF($S266=MesCiclo,InicioCiclo,$S266+MOD(2-WEEKDAY($S266),7))+6),1,IF(N($W266)&gt;0,AVERAGEIFS($Y$5:$Y$1000,$U$5:$U$1000,ROW(),$V$5:$V$1000,"Sub"),$Y266)))</f>
        <v/>
      </c>
      <c r="AD266" s="62">
        <f>IF($V266="","",IF(AND(ISNUMBER($G266),$G266&lt;=IF($S266=MesCiclo,InicioCiclo,$S266+MOD(2-WEEKDAY($S266),7))+13),1,IF(N($W266)&gt;0,AVERAGEIFS($Z$5:$Z$1000,$U$5:$U$1000,ROW(),$V$5:$V$1000,"Sub"),$Z266)))</f>
        <v/>
      </c>
      <c r="AE266" s="62">
        <f>IF($V266="","",IF(AND(ISNUMBER($G266),$G266&lt;=IF($S266=MesCiclo,InicioCiclo,$S266+MOD(2-WEEKDAY($S266),7))+20),1,IF(N($W266)&gt;0,AVERAGEIFS($AA$5:$AA$1000,$U$5:$U$1000,ROW(),$V$5:$V$1000,"Sub"),$AA266)))</f>
        <v/>
      </c>
      <c r="AF266" s="62">
        <f>IF($V266="","",IF(AND(ISNUMBER($G266),$G266&lt;=IF($S266=MesCiclo,InicioCiclo,$S266+MOD(2-WEEKDAY($S266),7))+27),1,IF(N($W266)&gt;0,AVERAGEIFS($AB$5:$AB$1000,$U$5:$U$1000,ROW(),$V$5:$V$1000,"Sub"),$AB266)))</f>
        <v/>
      </c>
      <c r="AG266" s="62">
        <f>IF($V266&lt;&gt;"Macro","",IF(COUNTIFS($S$5:$S$1000,$S266,$V$5:$V$1000,"Macro",$H$5:$H$1000,"&gt;0")=0,1/COUNTIFS($S$5:$S$1000,$S266,$V$5:$V$1000,"Macro"),IF(AND(ISNUMBER($H266),N($H266)&gt;0),$H266,SUMIFS($H$5:$H$1000,$S$5:$S$1000,$S266,$V$5:$V$1000,"Macro")/COUNTIFS($S$5:$S$1000,$S266,$V$5:$V$1000,"Macro",$H$5:$H$1000,"&gt;0"))/(COUNTIFS($S$5:$S$1000,$S266,$V$5:$V$1000,"Macro")*SUMIFS($H$5:$H$1000,$S$5:$S$1000,$S266,$V$5:$V$1000,"Macro")/COUNTIFS($S$5:$S$1000,$S266,$V$5:$V$1000,"Macro",$H$5:$H$1000,"&gt;0"))))</f>
        <v/>
      </c>
      <c r="AH266" s="62" t="n"/>
      <c r="AI266" s="62" t="n"/>
      <c r="AJ266" s="62" t="n"/>
      <c r="AK266" s="62" t="n"/>
      <c r="AL266" s="62">
        <f>IF(LEFT($C266,11)="[Jefatura] ",IFERROR(MATCH("Riesgo Normativo|"&amp;MID($C266,12,500),rDname_ADM,0),0),"")</f>
        <v/>
      </c>
      <c r="AM266" s="62">
        <f>IF(N($AL266)&gt;0,INDEX(rIni_ADM,$AL266),IF(ISNUMBER($E266),$E266,""))</f>
        <v/>
      </c>
      <c r="AN266" s="62">
        <f>IF(N($AL266)&gt;0,INDEX(rLim_ADM,$AL266),IF(ISNUMBER($F266),$F266,""))</f>
        <v/>
      </c>
    </row>
    <row r="267">
      <c r="A267" s="56">
        <f>IF(NOT((COUNTA($B267:$D267)+COUNTA($G267:$L267)+COUNTA($Q267))&gt;0),"",IF($V267="Macro",COUNTIFS($V$5:$V267,"Macro",$S$5:$S267,$S267),IF(N($U267)=0,"?",COUNTIFS(INDEX($V$5:$V$1000,1):INDEX($V$5:$V$1000,$U267-4),"Macro",INDEX($S$5:$S$1000,1):INDEX($S$5:$S$1000,$U267-4),INDEX($S$5:$S$1000,$U267-4))&amp;"."&amp;COUNTIFS($U$5:$U267,$U267,$V$5:$V267,"Sub"))))</f>
        <v/>
      </c>
      <c r="B267" s="57" t="n"/>
      <c r="C267" s="58" t="n"/>
      <c r="D267" s="58" t="n"/>
      <c r="E267" s="59">
        <f>IF(N($AL267)&gt;0,INDEX(rIni_ADM,$AL267),"")</f>
        <v/>
      </c>
      <c r="F267" s="59">
        <f>IF(N($AL267)&gt;0,INDEX(rLim_ADM,$AL267),"")</f>
        <v/>
      </c>
      <c r="G267" s="59" t="n"/>
      <c r="H267" s="60" t="n"/>
      <c r="I267" s="60" t="n"/>
      <c r="J267" s="60" t="n"/>
      <c r="K267" s="60" t="n"/>
      <c r="L267" s="60" t="n"/>
      <c r="M267" s="61">
        <f>IF(NOT((COUNTA($B267:$D267)+COUNTA($G267:$L267)+COUNTA($Q267))&gt;0),"",IF($V267="Sub",IFERROR($X267/INDEX($W$5:$W$1000,$U267-4),""),IF(ISNUMBER($G267),1,IF(N($W267)&gt;0,AVERAGEIFS($X$5:$X$1000,$U$5:$U$1000,ROW(),$V$5:$V$1000,"Sub"),$X267))))</f>
        <v/>
      </c>
      <c r="N267" s="56">
        <f>IF(OR($M267="",$V267="Sub"),"",IF($M267&gt;=1,"Completado",IF($M267&gt;0,"En curso","Pendiente")))</f>
        <v/>
      </c>
      <c r="O267" s="56">
        <f>IF(OR(NOT((COUNTA($B267:$D267)+COUNTA($G267:$L267)+COUNTA($Q267))&gt;0),$V267="Sub"),"",IF(ISNUMBER($G267),IF(AND(ISNUMBER($AN267),$G267&gt;$AN267),"Cumplida con "&amp;($G267-$AN267)&amp;IF($G267-$AN267=1," día"," días")&amp;" de retraso","Cumplida"),IF(N($M267)&gt;=1,"Cumplida",IF(NOT(ISNUMBER($AN267)),"Sin fecha límite",IF($AN267&lt;FechaRef,"Vencida hace "&amp;(FechaRef-$AN267)&amp;IF(FechaRef-$AN267=1," día"," días"),IF($AN267=FechaRef,"Vence hoy",IF($AN267-FechaRef&lt;=DiasAlerta,"Vence en "&amp;($AN267-FechaRef)&amp;IF($AN267-FechaRef=1," día"," días"),"En plazo")))))))</f>
        <v/>
      </c>
      <c r="P267" s="62" t="n"/>
      <c r="Q267" s="58" t="n"/>
      <c r="R267" s="63">
        <f>IF(NOT((COUNTA($B267:$D267)+COUNTA($G267:$L267)+COUNTA($Q267))&gt;0),"",IF((IF($C267="","Falta el nombre de la actividad"&amp;" · ","")&amp;IF(AND($V267="Sub",N($U267)=0),"Subactividad sin macroactividad arriba"&amp;" · ","")&amp;IF($AM267="","Sin fecha de inicio"&amp;" · ","")&amp;IF($AN267="","Sin fecha límite"&amp;" · ","")&amp;IF(AND(LEFT($C267,11)="[Jefatura] ",N($AL267)=0),"No se encuentra en la hoja de la jefatura (elíjala de nuevo en la lista)"&amp;" · ","")&amp;IF(OR(AND($E267&lt;&gt;"",NOT(ISNUMBER($E267))),AND($F267&lt;&gt;"",NOT(ISNUMBER($F267))),AND($G267&lt;&gt;"",NOT(ISNUMBER($G267)))),"Fecha no válida"&amp;" · ","")&amp;IF(AND(ISNUMBER($AM267),ISNUMBER($AN267),$AM267&gt;$AN267),"Inicio posterior a fecha límite"&amp;" · ","")&amp;IF(AND($V267="Macro",$H267&lt;&gt;"",OR(NOT(ISNUMBER($H267)),$H267&lt;0,$H267&gt;1)),"Peso fuera de rango"&amp;" · ","")&amp;IF(AND($V267="Sub",$H267&lt;&gt;""),"Las subactividades no llevan peso (valen igual dentro de su macroactividad)"&amp;" · ","")&amp;IF(AND(N($W267)&gt;0,COUNT($I267:$L267)&gt;0),"Con subactividades: deje vacías las semanas (se calculan solas)"&amp;" · ","")&amp;IF((COUNTIF($I267:$L267,"&gt;1")+COUNTIF($I267:$L267,"&lt;0")+COUNTA($I267:$L267)-COUNT($I267:$L267))&gt;0,"Avance fuera de rango 0-100%"&amp;" · ","")&amp;IF(OR(AND($J267&lt;&gt;"",$J267&lt;$I267),AND($K267&lt;&gt;"",$K267&lt;MAX($I267:$J267)),AND($L267&lt;&gt;"",$L267&lt;MAX($I267:$K267))),"Avance semanal decreciente"&amp;" · ","")&amp;IF(AND(ISNUMBER($AN267),$AN267&lt;FechaRef,IF($V267="Sub",N($X267),N($M267))&lt;1),"Vencida"&amp;" · ","")&amp;IF(AND(ObsObligatoria="Sí",ISNUMBER($AN267),$AN267&lt;FechaRef,IF($V267="Sub",N($X267),N($M267))&lt;1,$Q267=""),"Vencida sin observación"&amp;" · ",""))="","✔ OK","⚠ "&amp;LEFT(IF($C267="","Falta el nombre de la actividad"&amp;" · ","")&amp;IF(AND($V267="Sub",N($U267)=0),"Subactividad sin macroactividad arriba"&amp;" · ","")&amp;IF($AM267="","Sin fecha de inicio"&amp;" · ","")&amp;IF($AN267="","Sin fecha límite"&amp;" · ","")&amp;IF(AND(LEFT($C267,11)="[Jefatura] ",N($AL267)=0),"No se encuentra en la hoja de la jefatura (elíjala de nuevo en la lista)"&amp;" · ","")&amp;IF(OR(AND($E267&lt;&gt;"",NOT(ISNUMBER($E267))),AND($F267&lt;&gt;"",NOT(ISNUMBER($F267))),AND($G267&lt;&gt;"",NOT(ISNUMBER($G267)))),"Fecha no válida"&amp;" · ","")&amp;IF(AND(ISNUMBER($AM267),ISNUMBER($AN267),$AM267&gt;$AN267),"Inicio posterior a fecha límite"&amp;" · ","")&amp;IF(AND($V267="Macro",$H267&lt;&gt;"",OR(NOT(ISNUMBER($H267)),$H267&lt;0,$H267&gt;1)),"Peso fuera de rango"&amp;" · ","")&amp;IF(AND($V267="Sub",$H267&lt;&gt;""),"Las subactividades no llevan peso (valen igual dentro de su macroactividad)"&amp;" · ","")&amp;IF(AND(N($W267)&gt;0,COUNT($I267:$L267)&gt;0),"Con subactividades: deje vacías las semanas (se calculan solas)"&amp;" · ","")&amp;IF((COUNTIF($I267:$L267,"&gt;1")+COUNTIF($I267:$L267,"&lt;0")+COUNTA($I267:$L267)-COUNT($I267:$L267))&gt;0,"Avance fuera de rango 0-100%"&amp;" · ","")&amp;IF(OR(AND($J267&lt;&gt;"",$J267&lt;$I267),AND($K267&lt;&gt;"",$K267&lt;MAX($I267:$J267)),AND($L267&lt;&gt;"",$L267&lt;MAX($I267:$K267))),"Avance semanal decreciente"&amp;" · ","")&amp;IF(AND(ISNUMBER($AN267),$AN267&lt;FechaRef,IF($V267="Sub",N($X267),N($M267))&lt;1),"Vencida"&amp;" · ","")&amp;IF(AND(ObsObligatoria="Sí",ISNUMBER($AN267),$AN267&lt;FechaRef,IF($V267="Sub",N($X267),N($M267))&lt;1,$Q267=""),"Vencida sin observación"&amp;" · ",""),LEN(IF($C267="","Falta el nombre de la actividad"&amp;" · ","")&amp;IF(AND($V267="Sub",N($U267)=0),"Subactividad sin macroactividad arriba"&amp;" · ","")&amp;IF($AM267="","Sin fecha de inicio"&amp;" · ","")&amp;IF($AN267="","Sin fecha límite"&amp;" · ","")&amp;IF(AND(LEFT($C267,11)="[Jefatura] ",N($AL267)=0),"No se encuentra en la hoja de la jefatura (elíjala de nuevo en la lista)"&amp;" · ","")&amp;IF(OR(AND($E267&lt;&gt;"",NOT(ISNUMBER($E267))),AND($F267&lt;&gt;"",NOT(ISNUMBER($F267))),AND($G267&lt;&gt;"",NOT(ISNUMBER($G267)))),"Fecha no válida"&amp;" · ","")&amp;IF(AND(ISNUMBER($AM267),ISNUMBER($AN267),$AM267&gt;$AN267),"Inicio posterior a fecha límite"&amp;" · ","")&amp;IF(AND($V267="Macro",$H267&lt;&gt;"",OR(NOT(ISNUMBER($H267)),$H267&lt;0,$H267&gt;1)),"Peso fuera de rango"&amp;" · ","")&amp;IF(AND($V267="Sub",$H267&lt;&gt;""),"Las subactividades no llevan peso (valen igual dentro de su macroactividad)"&amp;" · ","")&amp;IF(AND(N($W267)&gt;0,COUNT($I267:$L267)&gt;0),"Con subactividades: deje vacías las semanas (se calculan solas)"&amp;" · ","")&amp;IF((COUNTIF($I267:$L267,"&gt;1")+COUNTIF($I267:$L267,"&lt;0")+COUNTA($I267:$L267)-COUNT($I267:$L267))&gt;0,"Avance fuera de rango 0-100%"&amp;" · ","")&amp;IF(OR(AND($J267&lt;&gt;"",$J267&lt;$I267),AND($K267&lt;&gt;"",$K267&lt;MAX($I267:$J267)),AND($L267&lt;&gt;"",$L267&lt;MAX($I267:$K267))),"Avance semanal decreciente"&amp;" · ","")&amp;IF(AND(ISNUMBER($AN267),$AN267&lt;FechaRef,IF($V267="Sub",N($X267),N($M267))&lt;1),"Vencida"&amp;" · ","")&amp;IF(AND(ObsObligatoria="Sí",ISNUMBER($AN267),$AN267&lt;FechaRef,IF($V267="Sub",N($X267),N($M267))&lt;1,$Q267=""),"Vencida sin observación"&amp;" · ",""))-3)))</f>
        <v/>
      </c>
      <c r="S267" s="64">
        <f>IF(NOT((COUNTA($B267:$D267)+COUNTA($G267:$L267)+COUNTA($Q267))&gt;0),"",IF(AND($V267="Sub",N($U267)&gt;0),IF(ISNUMBER(INDEX($AM$5:$AM$1000,$U267-4)),DATE(YEAR(INDEX($AM$5:$AM$1000,$U267-4)),MONTH(INDEX($AM$5:$AM$1000,$U267-4)),1),IF(ISNUMBER(INDEX($AN$5:$AN$1000,$U267-4)),DATE(YEAR(INDEX($AN$5:$AN$1000,$U267-4)),MONTH(INDEX($AN$5:$AN$1000,$U267-4)),1),MesCiclo)),IF(ISNUMBER($AM267),DATE(YEAR($AM267),MONTH($AM267),1),IF(ISNUMBER($AN267),DATE(YEAR($AN267),MONTH($AN267),1),MesCiclo))))</f>
        <v/>
      </c>
      <c r="T267" s="62">
        <f>IF(OR($S267="",$S267&lt;&gt;MesCiclo,$V267&lt;&gt;"Macro"),"",COUNTIFS($S$5:$S267,MesCiclo,$V$5:$V267,"Macro"))</f>
        <v/>
      </c>
      <c r="U267" s="62">
        <f>IF($V267="","",IF($V267="Macro",ROW(),IFERROR(LOOKUP(2,1/($V$5:$V267="Macro"),ROW($V$5:$V267)),0)))</f>
        <v/>
      </c>
      <c r="V267" s="62">
        <f>IF(NOT((COUNTA($B267:$D267)+COUNTA($G267:$L267)+COUNTA($Q267))&gt;0),"",IF($B267="Subactividad","Sub","Macro"))</f>
        <v/>
      </c>
      <c r="W267" s="62">
        <f>IF($V267="Macro",COUNTIFS($U$5:$U$1000,ROW(),$V$5:$V$1000,"Sub"),"")</f>
        <v/>
      </c>
      <c r="X267" s="62">
        <f>IF($V267="","",IF(ISNUMBER($G267),1,IFERROR(LOOKUP(2,1/($I267:$L267&lt;&gt;""),$I267:$L267),0)))</f>
        <v/>
      </c>
      <c r="Y267" s="62">
        <f>IF($V267="","",IF(AND(ISNUMBER($G267),$G267&lt;=IF($S267=MesCiclo,InicioCiclo,$S267+MOD(2-WEEKDAY($S267),7))+6),1,IF(ISNUMBER($I267),$I267,0)))</f>
        <v/>
      </c>
      <c r="Z267" s="62">
        <f>IF($V267="","",IF(AND(ISNUMBER($G267),$G267&lt;=IF($S267=MesCiclo,InicioCiclo,$S267+MOD(2-WEEKDAY($S267),7))+13),1,IF(ISNUMBER($J267),$J267,$Y267)))</f>
        <v/>
      </c>
      <c r="AA267" s="62">
        <f>IF($V267="","",IF(AND(ISNUMBER($G267),$G267&lt;=IF($S267=MesCiclo,InicioCiclo,$S267+MOD(2-WEEKDAY($S267),7))+20),1,IF(ISNUMBER($K267),$K267,$Z267)))</f>
        <v/>
      </c>
      <c r="AB267" s="62">
        <f>IF($V267="","",IF(AND(ISNUMBER($G267),$G267&lt;=IF($S267=MesCiclo,InicioCiclo,$S267+MOD(2-WEEKDAY($S267),7))+27),1,IF(ISNUMBER($L267),$L267,$AA267)))</f>
        <v/>
      </c>
      <c r="AC267" s="62">
        <f>IF($V267="","",IF(AND(ISNUMBER($G267),$G267&lt;=IF($S267=MesCiclo,InicioCiclo,$S267+MOD(2-WEEKDAY($S267),7))+6),1,IF(N($W267)&gt;0,AVERAGEIFS($Y$5:$Y$1000,$U$5:$U$1000,ROW(),$V$5:$V$1000,"Sub"),$Y267)))</f>
        <v/>
      </c>
      <c r="AD267" s="62">
        <f>IF($V267="","",IF(AND(ISNUMBER($G267),$G267&lt;=IF($S267=MesCiclo,InicioCiclo,$S267+MOD(2-WEEKDAY($S267),7))+13),1,IF(N($W267)&gt;0,AVERAGEIFS($Z$5:$Z$1000,$U$5:$U$1000,ROW(),$V$5:$V$1000,"Sub"),$Z267)))</f>
        <v/>
      </c>
      <c r="AE267" s="62">
        <f>IF($V267="","",IF(AND(ISNUMBER($G267),$G267&lt;=IF($S267=MesCiclo,InicioCiclo,$S267+MOD(2-WEEKDAY($S267),7))+20),1,IF(N($W267)&gt;0,AVERAGEIFS($AA$5:$AA$1000,$U$5:$U$1000,ROW(),$V$5:$V$1000,"Sub"),$AA267)))</f>
        <v/>
      </c>
      <c r="AF267" s="62">
        <f>IF($V267="","",IF(AND(ISNUMBER($G267),$G267&lt;=IF($S267=MesCiclo,InicioCiclo,$S267+MOD(2-WEEKDAY($S267),7))+27),1,IF(N($W267)&gt;0,AVERAGEIFS($AB$5:$AB$1000,$U$5:$U$1000,ROW(),$V$5:$V$1000,"Sub"),$AB267)))</f>
        <v/>
      </c>
      <c r="AG267" s="62">
        <f>IF($V267&lt;&gt;"Macro","",IF(COUNTIFS($S$5:$S$1000,$S267,$V$5:$V$1000,"Macro",$H$5:$H$1000,"&gt;0")=0,1/COUNTIFS($S$5:$S$1000,$S267,$V$5:$V$1000,"Macro"),IF(AND(ISNUMBER($H267),N($H267)&gt;0),$H267,SUMIFS($H$5:$H$1000,$S$5:$S$1000,$S267,$V$5:$V$1000,"Macro")/COUNTIFS($S$5:$S$1000,$S267,$V$5:$V$1000,"Macro",$H$5:$H$1000,"&gt;0"))/(COUNTIFS($S$5:$S$1000,$S267,$V$5:$V$1000,"Macro")*SUMIFS($H$5:$H$1000,$S$5:$S$1000,$S267,$V$5:$V$1000,"Macro")/COUNTIFS($S$5:$S$1000,$S267,$V$5:$V$1000,"Macro",$H$5:$H$1000,"&gt;0"))))</f>
        <v/>
      </c>
      <c r="AH267" s="62" t="n"/>
      <c r="AI267" s="62" t="n"/>
      <c r="AJ267" s="62" t="n"/>
      <c r="AK267" s="62" t="n"/>
      <c r="AL267" s="62">
        <f>IF(LEFT($C267,11)="[Jefatura] ",IFERROR(MATCH("Riesgo Normativo|"&amp;MID($C267,12,500),rDname_ADM,0),0),"")</f>
        <v/>
      </c>
      <c r="AM267" s="62">
        <f>IF(N($AL267)&gt;0,INDEX(rIni_ADM,$AL267),IF(ISNUMBER($E267),$E267,""))</f>
        <v/>
      </c>
      <c r="AN267" s="62">
        <f>IF(N($AL267)&gt;0,INDEX(rLim_ADM,$AL267),IF(ISNUMBER($F267),$F267,""))</f>
        <v/>
      </c>
    </row>
    <row r="268">
      <c r="A268" s="56">
        <f>IF(NOT((COUNTA($B268:$D268)+COUNTA($G268:$L268)+COUNTA($Q268))&gt;0),"",IF($V268="Macro",COUNTIFS($V$5:$V268,"Macro",$S$5:$S268,$S268),IF(N($U268)=0,"?",COUNTIFS(INDEX($V$5:$V$1000,1):INDEX($V$5:$V$1000,$U268-4),"Macro",INDEX($S$5:$S$1000,1):INDEX($S$5:$S$1000,$U268-4),INDEX($S$5:$S$1000,$U268-4))&amp;"."&amp;COUNTIFS($U$5:$U268,$U268,$V$5:$V268,"Sub"))))</f>
        <v/>
      </c>
      <c r="B268" s="57" t="n"/>
      <c r="C268" s="58" t="n"/>
      <c r="D268" s="58" t="n"/>
      <c r="E268" s="59">
        <f>IF(N($AL268)&gt;0,INDEX(rIni_ADM,$AL268),"")</f>
        <v/>
      </c>
      <c r="F268" s="59">
        <f>IF(N($AL268)&gt;0,INDEX(rLim_ADM,$AL268),"")</f>
        <v/>
      </c>
      <c r="G268" s="59" t="n"/>
      <c r="H268" s="60" t="n"/>
      <c r="I268" s="60" t="n"/>
      <c r="J268" s="60" t="n"/>
      <c r="K268" s="60" t="n"/>
      <c r="L268" s="60" t="n"/>
      <c r="M268" s="61">
        <f>IF(NOT((COUNTA($B268:$D268)+COUNTA($G268:$L268)+COUNTA($Q268))&gt;0),"",IF($V268="Sub",IFERROR($X268/INDEX($W$5:$W$1000,$U268-4),""),IF(ISNUMBER($G268),1,IF(N($W268)&gt;0,AVERAGEIFS($X$5:$X$1000,$U$5:$U$1000,ROW(),$V$5:$V$1000,"Sub"),$X268))))</f>
        <v/>
      </c>
      <c r="N268" s="56">
        <f>IF(OR($M268="",$V268="Sub"),"",IF($M268&gt;=1,"Completado",IF($M268&gt;0,"En curso","Pendiente")))</f>
        <v/>
      </c>
      <c r="O268" s="56">
        <f>IF(OR(NOT((COUNTA($B268:$D268)+COUNTA($G268:$L268)+COUNTA($Q268))&gt;0),$V268="Sub"),"",IF(ISNUMBER($G268),IF(AND(ISNUMBER($AN268),$G268&gt;$AN268),"Cumplida con "&amp;($G268-$AN268)&amp;IF($G268-$AN268=1," día"," días")&amp;" de retraso","Cumplida"),IF(N($M268)&gt;=1,"Cumplida",IF(NOT(ISNUMBER($AN268)),"Sin fecha límite",IF($AN268&lt;FechaRef,"Vencida hace "&amp;(FechaRef-$AN268)&amp;IF(FechaRef-$AN268=1," día"," días"),IF($AN268=FechaRef,"Vence hoy",IF($AN268-FechaRef&lt;=DiasAlerta,"Vence en "&amp;($AN268-FechaRef)&amp;IF($AN268-FechaRef=1," día"," días"),"En plazo")))))))</f>
        <v/>
      </c>
      <c r="P268" s="62" t="n"/>
      <c r="Q268" s="58" t="n"/>
      <c r="R268" s="63">
        <f>IF(NOT((COUNTA($B268:$D268)+COUNTA($G268:$L268)+COUNTA($Q268))&gt;0),"",IF((IF($C268="","Falta el nombre de la actividad"&amp;" · ","")&amp;IF(AND($V268="Sub",N($U268)=0),"Subactividad sin macroactividad arriba"&amp;" · ","")&amp;IF($AM268="","Sin fecha de inicio"&amp;" · ","")&amp;IF($AN268="","Sin fecha límite"&amp;" · ","")&amp;IF(AND(LEFT($C268,11)="[Jefatura] ",N($AL268)=0),"No se encuentra en la hoja de la jefatura (elíjala de nuevo en la lista)"&amp;" · ","")&amp;IF(OR(AND($E268&lt;&gt;"",NOT(ISNUMBER($E268))),AND($F268&lt;&gt;"",NOT(ISNUMBER($F268))),AND($G268&lt;&gt;"",NOT(ISNUMBER($G268)))),"Fecha no válida"&amp;" · ","")&amp;IF(AND(ISNUMBER($AM268),ISNUMBER($AN268),$AM268&gt;$AN268),"Inicio posterior a fecha límite"&amp;" · ","")&amp;IF(AND($V268="Macro",$H268&lt;&gt;"",OR(NOT(ISNUMBER($H268)),$H268&lt;0,$H268&gt;1)),"Peso fuera de rango"&amp;" · ","")&amp;IF(AND($V268="Sub",$H268&lt;&gt;""),"Las subactividades no llevan peso (valen igual dentro de su macroactividad)"&amp;" · ","")&amp;IF(AND(N($W268)&gt;0,COUNT($I268:$L268)&gt;0),"Con subactividades: deje vacías las semanas (se calculan solas)"&amp;" · ","")&amp;IF((COUNTIF($I268:$L268,"&gt;1")+COUNTIF($I268:$L268,"&lt;0")+COUNTA($I268:$L268)-COUNT($I268:$L268))&gt;0,"Avance fuera de rango 0-100%"&amp;" · ","")&amp;IF(OR(AND($J268&lt;&gt;"",$J268&lt;$I268),AND($K268&lt;&gt;"",$K268&lt;MAX($I268:$J268)),AND($L268&lt;&gt;"",$L268&lt;MAX($I268:$K268))),"Avance semanal decreciente"&amp;" · ","")&amp;IF(AND(ISNUMBER($AN268),$AN268&lt;FechaRef,IF($V268="Sub",N($X268),N($M268))&lt;1),"Vencida"&amp;" · ","")&amp;IF(AND(ObsObligatoria="Sí",ISNUMBER($AN268),$AN268&lt;FechaRef,IF($V268="Sub",N($X268),N($M268))&lt;1,$Q268=""),"Vencida sin observación"&amp;" · ",""))="","✔ OK","⚠ "&amp;LEFT(IF($C268="","Falta el nombre de la actividad"&amp;" · ","")&amp;IF(AND($V268="Sub",N($U268)=0),"Subactividad sin macroactividad arriba"&amp;" · ","")&amp;IF($AM268="","Sin fecha de inicio"&amp;" · ","")&amp;IF($AN268="","Sin fecha límite"&amp;" · ","")&amp;IF(AND(LEFT($C268,11)="[Jefatura] ",N($AL268)=0),"No se encuentra en la hoja de la jefatura (elíjala de nuevo en la lista)"&amp;" · ","")&amp;IF(OR(AND($E268&lt;&gt;"",NOT(ISNUMBER($E268))),AND($F268&lt;&gt;"",NOT(ISNUMBER($F268))),AND($G268&lt;&gt;"",NOT(ISNUMBER($G268)))),"Fecha no válida"&amp;" · ","")&amp;IF(AND(ISNUMBER($AM268),ISNUMBER($AN268),$AM268&gt;$AN268),"Inicio posterior a fecha límite"&amp;" · ","")&amp;IF(AND($V268="Macro",$H268&lt;&gt;"",OR(NOT(ISNUMBER($H268)),$H268&lt;0,$H268&gt;1)),"Peso fuera de rango"&amp;" · ","")&amp;IF(AND($V268="Sub",$H268&lt;&gt;""),"Las subactividades no llevan peso (valen igual dentro de su macroactividad)"&amp;" · ","")&amp;IF(AND(N($W268)&gt;0,COUNT($I268:$L268)&gt;0),"Con subactividades: deje vacías las semanas (se calculan solas)"&amp;" · ","")&amp;IF((COUNTIF($I268:$L268,"&gt;1")+COUNTIF($I268:$L268,"&lt;0")+COUNTA($I268:$L268)-COUNT($I268:$L268))&gt;0,"Avance fuera de rango 0-100%"&amp;" · ","")&amp;IF(OR(AND($J268&lt;&gt;"",$J268&lt;$I268),AND($K268&lt;&gt;"",$K268&lt;MAX($I268:$J268)),AND($L268&lt;&gt;"",$L268&lt;MAX($I268:$K268))),"Avance semanal decreciente"&amp;" · ","")&amp;IF(AND(ISNUMBER($AN268),$AN268&lt;FechaRef,IF($V268="Sub",N($X268),N($M268))&lt;1),"Vencida"&amp;" · ","")&amp;IF(AND(ObsObligatoria="Sí",ISNUMBER($AN268),$AN268&lt;FechaRef,IF($V268="Sub",N($X268),N($M268))&lt;1,$Q268=""),"Vencida sin observación"&amp;" · ",""),LEN(IF($C268="","Falta el nombre de la actividad"&amp;" · ","")&amp;IF(AND($V268="Sub",N($U268)=0),"Subactividad sin macroactividad arriba"&amp;" · ","")&amp;IF($AM268="","Sin fecha de inicio"&amp;" · ","")&amp;IF($AN268="","Sin fecha límite"&amp;" · ","")&amp;IF(AND(LEFT($C268,11)="[Jefatura] ",N($AL268)=0),"No se encuentra en la hoja de la jefatura (elíjala de nuevo en la lista)"&amp;" · ","")&amp;IF(OR(AND($E268&lt;&gt;"",NOT(ISNUMBER($E268))),AND($F268&lt;&gt;"",NOT(ISNUMBER($F268))),AND($G268&lt;&gt;"",NOT(ISNUMBER($G268)))),"Fecha no válida"&amp;" · ","")&amp;IF(AND(ISNUMBER($AM268),ISNUMBER($AN268),$AM268&gt;$AN268),"Inicio posterior a fecha límite"&amp;" · ","")&amp;IF(AND($V268="Macro",$H268&lt;&gt;"",OR(NOT(ISNUMBER($H268)),$H268&lt;0,$H268&gt;1)),"Peso fuera de rango"&amp;" · ","")&amp;IF(AND($V268="Sub",$H268&lt;&gt;""),"Las subactividades no llevan peso (valen igual dentro de su macroactividad)"&amp;" · ","")&amp;IF(AND(N($W268)&gt;0,COUNT($I268:$L268)&gt;0),"Con subactividades: deje vacías las semanas (se calculan solas)"&amp;" · ","")&amp;IF((COUNTIF($I268:$L268,"&gt;1")+COUNTIF($I268:$L268,"&lt;0")+COUNTA($I268:$L268)-COUNT($I268:$L268))&gt;0,"Avance fuera de rango 0-100%"&amp;" · ","")&amp;IF(OR(AND($J268&lt;&gt;"",$J268&lt;$I268),AND($K268&lt;&gt;"",$K268&lt;MAX($I268:$J268)),AND($L268&lt;&gt;"",$L268&lt;MAX($I268:$K268))),"Avance semanal decreciente"&amp;" · ","")&amp;IF(AND(ISNUMBER($AN268),$AN268&lt;FechaRef,IF($V268="Sub",N($X268),N($M268))&lt;1),"Vencida"&amp;" · ","")&amp;IF(AND(ObsObligatoria="Sí",ISNUMBER($AN268),$AN268&lt;FechaRef,IF($V268="Sub",N($X268),N($M268))&lt;1,$Q268=""),"Vencida sin observación"&amp;" · ",""))-3)))</f>
        <v/>
      </c>
      <c r="S268" s="64">
        <f>IF(NOT((COUNTA($B268:$D268)+COUNTA($G268:$L268)+COUNTA($Q268))&gt;0),"",IF(AND($V268="Sub",N($U268)&gt;0),IF(ISNUMBER(INDEX($AM$5:$AM$1000,$U268-4)),DATE(YEAR(INDEX($AM$5:$AM$1000,$U268-4)),MONTH(INDEX($AM$5:$AM$1000,$U268-4)),1),IF(ISNUMBER(INDEX($AN$5:$AN$1000,$U268-4)),DATE(YEAR(INDEX($AN$5:$AN$1000,$U268-4)),MONTH(INDEX($AN$5:$AN$1000,$U268-4)),1),MesCiclo)),IF(ISNUMBER($AM268),DATE(YEAR($AM268),MONTH($AM268),1),IF(ISNUMBER($AN268),DATE(YEAR($AN268),MONTH($AN268),1),MesCiclo))))</f>
        <v/>
      </c>
      <c r="T268" s="62">
        <f>IF(OR($S268="",$S268&lt;&gt;MesCiclo,$V268&lt;&gt;"Macro"),"",COUNTIFS($S$5:$S268,MesCiclo,$V$5:$V268,"Macro"))</f>
        <v/>
      </c>
      <c r="U268" s="62">
        <f>IF($V268="","",IF($V268="Macro",ROW(),IFERROR(LOOKUP(2,1/($V$5:$V268="Macro"),ROW($V$5:$V268)),0)))</f>
        <v/>
      </c>
      <c r="V268" s="62">
        <f>IF(NOT((COUNTA($B268:$D268)+COUNTA($G268:$L268)+COUNTA($Q268))&gt;0),"",IF($B268="Subactividad","Sub","Macro"))</f>
        <v/>
      </c>
      <c r="W268" s="62">
        <f>IF($V268="Macro",COUNTIFS($U$5:$U$1000,ROW(),$V$5:$V$1000,"Sub"),"")</f>
        <v/>
      </c>
      <c r="X268" s="62">
        <f>IF($V268="","",IF(ISNUMBER($G268),1,IFERROR(LOOKUP(2,1/($I268:$L268&lt;&gt;""),$I268:$L268),0)))</f>
        <v/>
      </c>
      <c r="Y268" s="62">
        <f>IF($V268="","",IF(AND(ISNUMBER($G268),$G268&lt;=IF($S268=MesCiclo,InicioCiclo,$S268+MOD(2-WEEKDAY($S268),7))+6),1,IF(ISNUMBER($I268),$I268,0)))</f>
        <v/>
      </c>
      <c r="Z268" s="62">
        <f>IF($V268="","",IF(AND(ISNUMBER($G268),$G268&lt;=IF($S268=MesCiclo,InicioCiclo,$S268+MOD(2-WEEKDAY($S268),7))+13),1,IF(ISNUMBER($J268),$J268,$Y268)))</f>
        <v/>
      </c>
      <c r="AA268" s="62">
        <f>IF($V268="","",IF(AND(ISNUMBER($G268),$G268&lt;=IF($S268=MesCiclo,InicioCiclo,$S268+MOD(2-WEEKDAY($S268),7))+20),1,IF(ISNUMBER($K268),$K268,$Z268)))</f>
        <v/>
      </c>
      <c r="AB268" s="62">
        <f>IF($V268="","",IF(AND(ISNUMBER($G268),$G268&lt;=IF($S268=MesCiclo,InicioCiclo,$S268+MOD(2-WEEKDAY($S268),7))+27),1,IF(ISNUMBER($L268),$L268,$AA268)))</f>
        <v/>
      </c>
      <c r="AC268" s="62">
        <f>IF($V268="","",IF(AND(ISNUMBER($G268),$G268&lt;=IF($S268=MesCiclo,InicioCiclo,$S268+MOD(2-WEEKDAY($S268),7))+6),1,IF(N($W268)&gt;0,AVERAGEIFS($Y$5:$Y$1000,$U$5:$U$1000,ROW(),$V$5:$V$1000,"Sub"),$Y268)))</f>
        <v/>
      </c>
      <c r="AD268" s="62">
        <f>IF($V268="","",IF(AND(ISNUMBER($G268),$G268&lt;=IF($S268=MesCiclo,InicioCiclo,$S268+MOD(2-WEEKDAY($S268),7))+13),1,IF(N($W268)&gt;0,AVERAGEIFS($Z$5:$Z$1000,$U$5:$U$1000,ROW(),$V$5:$V$1000,"Sub"),$Z268)))</f>
        <v/>
      </c>
      <c r="AE268" s="62">
        <f>IF($V268="","",IF(AND(ISNUMBER($G268),$G268&lt;=IF($S268=MesCiclo,InicioCiclo,$S268+MOD(2-WEEKDAY($S268),7))+20),1,IF(N($W268)&gt;0,AVERAGEIFS($AA$5:$AA$1000,$U$5:$U$1000,ROW(),$V$5:$V$1000,"Sub"),$AA268)))</f>
        <v/>
      </c>
      <c r="AF268" s="62">
        <f>IF($V268="","",IF(AND(ISNUMBER($G268),$G268&lt;=IF($S268=MesCiclo,InicioCiclo,$S268+MOD(2-WEEKDAY($S268),7))+27),1,IF(N($W268)&gt;0,AVERAGEIFS($AB$5:$AB$1000,$U$5:$U$1000,ROW(),$V$5:$V$1000,"Sub"),$AB268)))</f>
        <v/>
      </c>
      <c r="AG268" s="62">
        <f>IF($V268&lt;&gt;"Macro","",IF(COUNTIFS($S$5:$S$1000,$S268,$V$5:$V$1000,"Macro",$H$5:$H$1000,"&gt;0")=0,1/COUNTIFS($S$5:$S$1000,$S268,$V$5:$V$1000,"Macro"),IF(AND(ISNUMBER($H268),N($H268)&gt;0),$H268,SUMIFS($H$5:$H$1000,$S$5:$S$1000,$S268,$V$5:$V$1000,"Macro")/COUNTIFS($S$5:$S$1000,$S268,$V$5:$V$1000,"Macro",$H$5:$H$1000,"&gt;0"))/(COUNTIFS($S$5:$S$1000,$S268,$V$5:$V$1000,"Macro")*SUMIFS($H$5:$H$1000,$S$5:$S$1000,$S268,$V$5:$V$1000,"Macro")/COUNTIFS($S$5:$S$1000,$S268,$V$5:$V$1000,"Macro",$H$5:$H$1000,"&gt;0"))))</f>
        <v/>
      </c>
      <c r="AH268" s="62" t="n"/>
      <c r="AI268" s="62" t="n"/>
      <c r="AJ268" s="62" t="n"/>
      <c r="AK268" s="62" t="n"/>
      <c r="AL268" s="62">
        <f>IF(LEFT($C268,11)="[Jefatura] ",IFERROR(MATCH("Riesgo Normativo|"&amp;MID($C268,12,500),rDname_ADM,0),0),"")</f>
        <v/>
      </c>
      <c r="AM268" s="62">
        <f>IF(N($AL268)&gt;0,INDEX(rIni_ADM,$AL268),IF(ISNUMBER($E268),$E268,""))</f>
        <v/>
      </c>
      <c r="AN268" s="62">
        <f>IF(N($AL268)&gt;0,INDEX(rLim_ADM,$AL268),IF(ISNUMBER($F268),$F268,""))</f>
        <v/>
      </c>
    </row>
    <row r="269">
      <c r="A269" s="56">
        <f>IF(NOT((COUNTA($B269:$D269)+COUNTA($G269:$L269)+COUNTA($Q269))&gt;0),"",IF($V269="Macro",COUNTIFS($V$5:$V269,"Macro",$S$5:$S269,$S269),IF(N($U269)=0,"?",COUNTIFS(INDEX($V$5:$V$1000,1):INDEX($V$5:$V$1000,$U269-4),"Macro",INDEX($S$5:$S$1000,1):INDEX($S$5:$S$1000,$U269-4),INDEX($S$5:$S$1000,$U269-4))&amp;"."&amp;COUNTIFS($U$5:$U269,$U269,$V$5:$V269,"Sub"))))</f>
        <v/>
      </c>
      <c r="B269" s="57" t="n"/>
      <c r="C269" s="58" t="n"/>
      <c r="D269" s="58" t="n"/>
      <c r="E269" s="59">
        <f>IF(N($AL269)&gt;0,INDEX(rIni_ADM,$AL269),"")</f>
        <v/>
      </c>
      <c r="F269" s="59">
        <f>IF(N($AL269)&gt;0,INDEX(rLim_ADM,$AL269),"")</f>
        <v/>
      </c>
      <c r="G269" s="59" t="n"/>
      <c r="H269" s="60" t="n"/>
      <c r="I269" s="60" t="n"/>
      <c r="J269" s="60" t="n"/>
      <c r="K269" s="60" t="n"/>
      <c r="L269" s="60" t="n"/>
      <c r="M269" s="61">
        <f>IF(NOT((COUNTA($B269:$D269)+COUNTA($G269:$L269)+COUNTA($Q269))&gt;0),"",IF($V269="Sub",IFERROR($X269/INDEX($W$5:$W$1000,$U269-4),""),IF(ISNUMBER($G269),1,IF(N($W269)&gt;0,AVERAGEIFS($X$5:$X$1000,$U$5:$U$1000,ROW(),$V$5:$V$1000,"Sub"),$X269))))</f>
        <v/>
      </c>
      <c r="N269" s="56">
        <f>IF(OR($M269="",$V269="Sub"),"",IF($M269&gt;=1,"Completado",IF($M269&gt;0,"En curso","Pendiente")))</f>
        <v/>
      </c>
      <c r="O269" s="56">
        <f>IF(OR(NOT((COUNTA($B269:$D269)+COUNTA($G269:$L269)+COUNTA($Q269))&gt;0),$V269="Sub"),"",IF(ISNUMBER($G269),IF(AND(ISNUMBER($AN269),$G269&gt;$AN269),"Cumplida con "&amp;($G269-$AN269)&amp;IF($G269-$AN269=1," día"," días")&amp;" de retraso","Cumplida"),IF(N($M269)&gt;=1,"Cumplida",IF(NOT(ISNUMBER($AN269)),"Sin fecha límite",IF($AN269&lt;FechaRef,"Vencida hace "&amp;(FechaRef-$AN269)&amp;IF(FechaRef-$AN269=1," día"," días"),IF($AN269=FechaRef,"Vence hoy",IF($AN269-FechaRef&lt;=DiasAlerta,"Vence en "&amp;($AN269-FechaRef)&amp;IF($AN269-FechaRef=1," día"," días"),"En plazo")))))))</f>
        <v/>
      </c>
      <c r="P269" s="62" t="n"/>
      <c r="Q269" s="58" t="n"/>
      <c r="R269" s="63">
        <f>IF(NOT((COUNTA($B269:$D269)+COUNTA($G269:$L269)+COUNTA($Q269))&gt;0),"",IF((IF($C269="","Falta el nombre de la actividad"&amp;" · ","")&amp;IF(AND($V269="Sub",N($U269)=0),"Subactividad sin macroactividad arriba"&amp;" · ","")&amp;IF($AM269="","Sin fecha de inicio"&amp;" · ","")&amp;IF($AN269="","Sin fecha límite"&amp;" · ","")&amp;IF(AND(LEFT($C269,11)="[Jefatura] ",N($AL269)=0),"No se encuentra en la hoja de la jefatura (elíjala de nuevo en la lista)"&amp;" · ","")&amp;IF(OR(AND($E269&lt;&gt;"",NOT(ISNUMBER($E269))),AND($F269&lt;&gt;"",NOT(ISNUMBER($F269))),AND($G269&lt;&gt;"",NOT(ISNUMBER($G269)))),"Fecha no válida"&amp;" · ","")&amp;IF(AND(ISNUMBER($AM269),ISNUMBER($AN269),$AM269&gt;$AN269),"Inicio posterior a fecha límite"&amp;" · ","")&amp;IF(AND($V269="Macro",$H269&lt;&gt;"",OR(NOT(ISNUMBER($H269)),$H269&lt;0,$H269&gt;1)),"Peso fuera de rango"&amp;" · ","")&amp;IF(AND($V269="Sub",$H269&lt;&gt;""),"Las subactividades no llevan peso (valen igual dentro de su macroactividad)"&amp;" · ","")&amp;IF(AND(N($W269)&gt;0,COUNT($I269:$L269)&gt;0),"Con subactividades: deje vacías las semanas (se calculan solas)"&amp;" · ","")&amp;IF((COUNTIF($I269:$L269,"&gt;1")+COUNTIF($I269:$L269,"&lt;0")+COUNTA($I269:$L269)-COUNT($I269:$L269))&gt;0,"Avance fuera de rango 0-100%"&amp;" · ","")&amp;IF(OR(AND($J269&lt;&gt;"",$J269&lt;$I269),AND($K269&lt;&gt;"",$K269&lt;MAX($I269:$J269)),AND($L269&lt;&gt;"",$L269&lt;MAX($I269:$K269))),"Avance semanal decreciente"&amp;" · ","")&amp;IF(AND(ISNUMBER($AN269),$AN269&lt;FechaRef,IF($V269="Sub",N($X269),N($M269))&lt;1),"Vencida"&amp;" · ","")&amp;IF(AND(ObsObligatoria="Sí",ISNUMBER($AN269),$AN269&lt;FechaRef,IF($V269="Sub",N($X269),N($M269))&lt;1,$Q269=""),"Vencida sin observación"&amp;" · ",""))="","✔ OK","⚠ "&amp;LEFT(IF($C269="","Falta el nombre de la actividad"&amp;" · ","")&amp;IF(AND($V269="Sub",N($U269)=0),"Subactividad sin macroactividad arriba"&amp;" · ","")&amp;IF($AM269="","Sin fecha de inicio"&amp;" · ","")&amp;IF($AN269="","Sin fecha límite"&amp;" · ","")&amp;IF(AND(LEFT($C269,11)="[Jefatura] ",N($AL269)=0),"No se encuentra en la hoja de la jefatura (elíjala de nuevo en la lista)"&amp;" · ","")&amp;IF(OR(AND($E269&lt;&gt;"",NOT(ISNUMBER($E269))),AND($F269&lt;&gt;"",NOT(ISNUMBER($F269))),AND($G269&lt;&gt;"",NOT(ISNUMBER($G269)))),"Fecha no válida"&amp;" · ","")&amp;IF(AND(ISNUMBER($AM269),ISNUMBER($AN269),$AM269&gt;$AN269),"Inicio posterior a fecha límite"&amp;" · ","")&amp;IF(AND($V269="Macro",$H269&lt;&gt;"",OR(NOT(ISNUMBER($H269)),$H269&lt;0,$H269&gt;1)),"Peso fuera de rango"&amp;" · ","")&amp;IF(AND($V269="Sub",$H269&lt;&gt;""),"Las subactividades no llevan peso (valen igual dentro de su macroactividad)"&amp;" · ","")&amp;IF(AND(N($W269)&gt;0,COUNT($I269:$L269)&gt;0),"Con subactividades: deje vacías las semanas (se calculan solas)"&amp;" · ","")&amp;IF((COUNTIF($I269:$L269,"&gt;1")+COUNTIF($I269:$L269,"&lt;0")+COUNTA($I269:$L269)-COUNT($I269:$L269))&gt;0,"Avance fuera de rango 0-100%"&amp;" · ","")&amp;IF(OR(AND($J269&lt;&gt;"",$J269&lt;$I269),AND($K269&lt;&gt;"",$K269&lt;MAX($I269:$J269)),AND($L269&lt;&gt;"",$L269&lt;MAX($I269:$K269))),"Avance semanal decreciente"&amp;" · ","")&amp;IF(AND(ISNUMBER($AN269),$AN269&lt;FechaRef,IF($V269="Sub",N($X269),N($M269))&lt;1),"Vencida"&amp;" · ","")&amp;IF(AND(ObsObligatoria="Sí",ISNUMBER($AN269),$AN269&lt;FechaRef,IF($V269="Sub",N($X269),N($M269))&lt;1,$Q269=""),"Vencida sin observación"&amp;" · ",""),LEN(IF($C269="","Falta el nombre de la actividad"&amp;" · ","")&amp;IF(AND($V269="Sub",N($U269)=0),"Subactividad sin macroactividad arriba"&amp;" · ","")&amp;IF($AM269="","Sin fecha de inicio"&amp;" · ","")&amp;IF($AN269="","Sin fecha límite"&amp;" · ","")&amp;IF(AND(LEFT($C269,11)="[Jefatura] ",N($AL269)=0),"No se encuentra en la hoja de la jefatura (elíjala de nuevo en la lista)"&amp;" · ","")&amp;IF(OR(AND($E269&lt;&gt;"",NOT(ISNUMBER($E269))),AND($F269&lt;&gt;"",NOT(ISNUMBER($F269))),AND($G269&lt;&gt;"",NOT(ISNUMBER($G269)))),"Fecha no válida"&amp;" · ","")&amp;IF(AND(ISNUMBER($AM269),ISNUMBER($AN269),$AM269&gt;$AN269),"Inicio posterior a fecha límite"&amp;" · ","")&amp;IF(AND($V269="Macro",$H269&lt;&gt;"",OR(NOT(ISNUMBER($H269)),$H269&lt;0,$H269&gt;1)),"Peso fuera de rango"&amp;" · ","")&amp;IF(AND($V269="Sub",$H269&lt;&gt;""),"Las subactividades no llevan peso (valen igual dentro de su macroactividad)"&amp;" · ","")&amp;IF(AND(N($W269)&gt;0,COUNT($I269:$L269)&gt;0),"Con subactividades: deje vacías las semanas (se calculan solas)"&amp;" · ","")&amp;IF((COUNTIF($I269:$L269,"&gt;1")+COUNTIF($I269:$L269,"&lt;0")+COUNTA($I269:$L269)-COUNT($I269:$L269))&gt;0,"Avance fuera de rango 0-100%"&amp;" · ","")&amp;IF(OR(AND($J269&lt;&gt;"",$J269&lt;$I269),AND($K269&lt;&gt;"",$K269&lt;MAX($I269:$J269)),AND($L269&lt;&gt;"",$L269&lt;MAX($I269:$K269))),"Avance semanal decreciente"&amp;" · ","")&amp;IF(AND(ISNUMBER($AN269),$AN269&lt;FechaRef,IF($V269="Sub",N($X269),N($M269))&lt;1),"Vencida"&amp;" · ","")&amp;IF(AND(ObsObligatoria="Sí",ISNUMBER($AN269),$AN269&lt;FechaRef,IF($V269="Sub",N($X269),N($M269))&lt;1,$Q269=""),"Vencida sin observación"&amp;" · ",""))-3)))</f>
        <v/>
      </c>
      <c r="S269" s="64">
        <f>IF(NOT((COUNTA($B269:$D269)+COUNTA($G269:$L269)+COUNTA($Q269))&gt;0),"",IF(AND($V269="Sub",N($U269)&gt;0),IF(ISNUMBER(INDEX($AM$5:$AM$1000,$U269-4)),DATE(YEAR(INDEX($AM$5:$AM$1000,$U269-4)),MONTH(INDEX($AM$5:$AM$1000,$U269-4)),1),IF(ISNUMBER(INDEX($AN$5:$AN$1000,$U269-4)),DATE(YEAR(INDEX($AN$5:$AN$1000,$U269-4)),MONTH(INDEX($AN$5:$AN$1000,$U269-4)),1),MesCiclo)),IF(ISNUMBER($AM269),DATE(YEAR($AM269),MONTH($AM269),1),IF(ISNUMBER($AN269),DATE(YEAR($AN269),MONTH($AN269),1),MesCiclo))))</f>
        <v/>
      </c>
      <c r="T269" s="62">
        <f>IF(OR($S269="",$S269&lt;&gt;MesCiclo,$V269&lt;&gt;"Macro"),"",COUNTIFS($S$5:$S269,MesCiclo,$V$5:$V269,"Macro"))</f>
        <v/>
      </c>
      <c r="U269" s="62">
        <f>IF($V269="","",IF($V269="Macro",ROW(),IFERROR(LOOKUP(2,1/($V$5:$V269="Macro"),ROW($V$5:$V269)),0)))</f>
        <v/>
      </c>
      <c r="V269" s="62">
        <f>IF(NOT((COUNTA($B269:$D269)+COUNTA($G269:$L269)+COUNTA($Q269))&gt;0),"",IF($B269="Subactividad","Sub","Macro"))</f>
        <v/>
      </c>
      <c r="W269" s="62">
        <f>IF($V269="Macro",COUNTIFS($U$5:$U$1000,ROW(),$V$5:$V$1000,"Sub"),"")</f>
        <v/>
      </c>
      <c r="X269" s="62">
        <f>IF($V269="","",IF(ISNUMBER($G269),1,IFERROR(LOOKUP(2,1/($I269:$L269&lt;&gt;""),$I269:$L269),0)))</f>
        <v/>
      </c>
      <c r="Y269" s="62">
        <f>IF($V269="","",IF(AND(ISNUMBER($G269),$G269&lt;=IF($S269=MesCiclo,InicioCiclo,$S269+MOD(2-WEEKDAY($S269),7))+6),1,IF(ISNUMBER($I269),$I269,0)))</f>
        <v/>
      </c>
      <c r="Z269" s="62">
        <f>IF($V269="","",IF(AND(ISNUMBER($G269),$G269&lt;=IF($S269=MesCiclo,InicioCiclo,$S269+MOD(2-WEEKDAY($S269),7))+13),1,IF(ISNUMBER($J269),$J269,$Y269)))</f>
        <v/>
      </c>
      <c r="AA269" s="62">
        <f>IF($V269="","",IF(AND(ISNUMBER($G269),$G269&lt;=IF($S269=MesCiclo,InicioCiclo,$S269+MOD(2-WEEKDAY($S269),7))+20),1,IF(ISNUMBER($K269),$K269,$Z269)))</f>
        <v/>
      </c>
      <c r="AB269" s="62">
        <f>IF($V269="","",IF(AND(ISNUMBER($G269),$G269&lt;=IF($S269=MesCiclo,InicioCiclo,$S269+MOD(2-WEEKDAY($S269),7))+27),1,IF(ISNUMBER($L269),$L269,$AA269)))</f>
        <v/>
      </c>
      <c r="AC269" s="62">
        <f>IF($V269="","",IF(AND(ISNUMBER($G269),$G269&lt;=IF($S269=MesCiclo,InicioCiclo,$S269+MOD(2-WEEKDAY($S269),7))+6),1,IF(N($W269)&gt;0,AVERAGEIFS($Y$5:$Y$1000,$U$5:$U$1000,ROW(),$V$5:$V$1000,"Sub"),$Y269)))</f>
        <v/>
      </c>
      <c r="AD269" s="62">
        <f>IF($V269="","",IF(AND(ISNUMBER($G269),$G269&lt;=IF($S269=MesCiclo,InicioCiclo,$S269+MOD(2-WEEKDAY($S269),7))+13),1,IF(N($W269)&gt;0,AVERAGEIFS($Z$5:$Z$1000,$U$5:$U$1000,ROW(),$V$5:$V$1000,"Sub"),$Z269)))</f>
        <v/>
      </c>
      <c r="AE269" s="62">
        <f>IF($V269="","",IF(AND(ISNUMBER($G269),$G269&lt;=IF($S269=MesCiclo,InicioCiclo,$S269+MOD(2-WEEKDAY($S269),7))+20),1,IF(N($W269)&gt;0,AVERAGEIFS($AA$5:$AA$1000,$U$5:$U$1000,ROW(),$V$5:$V$1000,"Sub"),$AA269)))</f>
        <v/>
      </c>
      <c r="AF269" s="62">
        <f>IF($V269="","",IF(AND(ISNUMBER($G269),$G269&lt;=IF($S269=MesCiclo,InicioCiclo,$S269+MOD(2-WEEKDAY($S269),7))+27),1,IF(N($W269)&gt;0,AVERAGEIFS($AB$5:$AB$1000,$U$5:$U$1000,ROW(),$V$5:$V$1000,"Sub"),$AB269)))</f>
        <v/>
      </c>
      <c r="AG269" s="62">
        <f>IF($V269&lt;&gt;"Macro","",IF(COUNTIFS($S$5:$S$1000,$S269,$V$5:$V$1000,"Macro",$H$5:$H$1000,"&gt;0")=0,1/COUNTIFS($S$5:$S$1000,$S269,$V$5:$V$1000,"Macro"),IF(AND(ISNUMBER($H269),N($H269)&gt;0),$H269,SUMIFS($H$5:$H$1000,$S$5:$S$1000,$S269,$V$5:$V$1000,"Macro")/COUNTIFS($S$5:$S$1000,$S269,$V$5:$V$1000,"Macro",$H$5:$H$1000,"&gt;0"))/(COUNTIFS($S$5:$S$1000,$S269,$V$5:$V$1000,"Macro")*SUMIFS($H$5:$H$1000,$S$5:$S$1000,$S269,$V$5:$V$1000,"Macro")/COUNTIFS($S$5:$S$1000,$S269,$V$5:$V$1000,"Macro",$H$5:$H$1000,"&gt;0"))))</f>
        <v/>
      </c>
      <c r="AH269" s="62" t="n"/>
      <c r="AI269" s="62" t="n"/>
      <c r="AJ269" s="62" t="n"/>
      <c r="AK269" s="62" t="n"/>
      <c r="AL269" s="62">
        <f>IF(LEFT($C269,11)="[Jefatura] ",IFERROR(MATCH("Riesgo Normativo|"&amp;MID($C269,12,500),rDname_ADM,0),0),"")</f>
        <v/>
      </c>
      <c r="AM269" s="62">
        <f>IF(N($AL269)&gt;0,INDEX(rIni_ADM,$AL269),IF(ISNUMBER($E269),$E269,""))</f>
        <v/>
      </c>
      <c r="AN269" s="62">
        <f>IF(N($AL269)&gt;0,INDEX(rLim_ADM,$AL269),IF(ISNUMBER($F269),$F269,""))</f>
        <v/>
      </c>
    </row>
    <row r="270">
      <c r="A270" s="56">
        <f>IF(NOT((COUNTA($B270:$D270)+COUNTA($G270:$L270)+COUNTA($Q270))&gt;0),"",IF($V270="Macro",COUNTIFS($V$5:$V270,"Macro",$S$5:$S270,$S270),IF(N($U270)=0,"?",COUNTIFS(INDEX($V$5:$V$1000,1):INDEX($V$5:$V$1000,$U270-4),"Macro",INDEX($S$5:$S$1000,1):INDEX($S$5:$S$1000,$U270-4),INDEX($S$5:$S$1000,$U270-4))&amp;"."&amp;COUNTIFS($U$5:$U270,$U270,$V$5:$V270,"Sub"))))</f>
        <v/>
      </c>
      <c r="B270" s="57" t="n"/>
      <c r="C270" s="58" t="n"/>
      <c r="D270" s="58" t="n"/>
      <c r="E270" s="59">
        <f>IF(N($AL270)&gt;0,INDEX(rIni_ADM,$AL270),"")</f>
        <v/>
      </c>
      <c r="F270" s="59">
        <f>IF(N($AL270)&gt;0,INDEX(rLim_ADM,$AL270),"")</f>
        <v/>
      </c>
      <c r="G270" s="59" t="n"/>
      <c r="H270" s="60" t="n"/>
      <c r="I270" s="60" t="n"/>
      <c r="J270" s="60" t="n"/>
      <c r="K270" s="60" t="n"/>
      <c r="L270" s="60" t="n"/>
      <c r="M270" s="61">
        <f>IF(NOT((COUNTA($B270:$D270)+COUNTA($G270:$L270)+COUNTA($Q270))&gt;0),"",IF($V270="Sub",IFERROR($X270/INDEX($W$5:$W$1000,$U270-4),""),IF(ISNUMBER($G270),1,IF(N($W270)&gt;0,AVERAGEIFS($X$5:$X$1000,$U$5:$U$1000,ROW(),$V$5:$V$1000,"Sub"),$X270))))</f>
        <v/>
      </c>
      <c r="N270" s="56">
        <f>IF(OR($M270="",$V270="Sub"),"",IF($M270&gt;=1,"Completado",IF($M270&gt;0,"En curso","Pendiente")))</f>
        <v/>
      </c>
      <c r="O270" s="56">
        <f>IF(OR(NOT((COUNTA($B270:$D270)+COUNTA($G270:$L270)+COUNTA($Q270))&gt;0),$V270="Sub"),"",IF(ISNUMBER($G270),IF(AND(ISNUMBER($AN270),$G270&gt;$AN270),"Cumplida con "&amp;($G270-$AN270)&amp;IF($G270-$AN270=1," día"," días")&amp;" de retraso","Cumplida"),IF(N($M270)&gt;=1,"Cumplida",IF(NOT(ISNUMBER($AN270)),"Sin fecha límite",IF($AN270&lt;FechaRef,"Vencida hace "&amp;(FechaRef-$AN270)&amp;IF(FechaRef-$AN270=1," día"," días"),IF($AN270=FechaRef,"Vence hoy",IF($AN270-FechaRef&lt;=DiasAlerta,"Vence en "&amp;($AN270-FechaRef)&amp;IF($AN270-FechaRef=1," día"," días"),"En plazo")))))))</f>
        <v/>
      </c>
      <c r="P270" s="62" t="n"/>
      <c r="Q270" s="58" t="n"/>
      <c r="R270" s="63">
        <f>IF(NOT((COUNTA($B270:$D270)+COUNTA($G270:$L270)+COUNTA($Q270))&gt;0),"",IF((IF($C270="","Falta el nombre de la actividad"&amp;" · ","")&amp;IF(AND($V270="Sub",N($U270)=0),"Subactividad sin macroactividad arriba"&amp;" · ","")&amp;IF($AM270="","Sin fecha de inicio"&amp;" · ","")&amp;IF($AN270="","Sin fecha límite"&amp;" · ","")&amp;IF(AND(LEFT($C270,11)="[Jefatura] ",N($AL270)=0),"No se encuentra en la hoja de la jefatura (elíjala de nuevo en la lista)"&amp;" · ","")&amp;IF(OR(AND($E270&lt;&gt;"",NOT(ISNUMBER($E270))),AND($F270&lt;&gt;"",NOT(ISNUMBER($F270))),AND($G270&lt;&gt;"",NOT(ISNUMBER($G270)))),"Fecha no válida"&amp;" · ","")&amp;IF(AND(ISNUMBER($AM270),ISNUMBER($AN270),$AM270&gt;$AN270),"Inicio posterior a fecha límite"&amp;" · ","")&amp;IF(AND($V270="Macro",$H270&lt;&gt;"",OR(NOT(ISNUMBER($H270)),$H270&lt;0,$H270&gt;1)),"Peso fuera de rango"&amp;" · ","")&amp;IF(AND($V270="Sub",$H270&lt;&gt;""),"Las subactividades no llevan peso (valen igual dentro de su macroactividad)"&amp;" · ","")&amp;IF(AND(N($W270)&gt;0,COUNT($I270:$L270)&gt;0),"Con subactividades: deje vacías las semanas (se calculan solas)"&amp;" · ","")&amp;IF((COUNTIF($I270:$L270,"&gt;1")+COUNTIF($I270:$L270,"&lt;0")+COUNTA($I270:$L270)-COUNT($I270:$L270))&gt;0,"Avance fuera de rango 0-100%"&amp;" · ","")&amp;IF(OR(AND($J270&lt;&gt;"",$J270&lt;$I270),AND($K270&lt;&gt;"",$K270&lt;MAX($I270:$J270)),AND($L270&lt;&gt;"",$L270&lt;MAX($I270:$K270))),"Avance semanal decreciente"&amp;" · ","")&amp;IF(AND(ISNUMBER($AN270),$AN270&lt;FechaRef,IF($V270="Sub",N($X270),N($M270))&lt;1),"Vencida"&amp;" · ","")&amp;IF(AND(ObsObligatoria="Sí",ISNUMBER($AN270),$AN270&lt;FechaRef,IF($V270="Sub",N($X270),N($M270))&lt;1,$Q270=""),"Vencida sin observación"&amp;" · ",""))="","✔ OK","⚠ "&amp;LEFT(IF($C270="","Falta el nombre de la actividad"&amp;" · ","")&amp;IF(AND($V270="Sub",N($U270)=0),"Subactividad sin macroactividad arriba"&amp;" · ","")&amp;IF($AM270="","Sin fecha de inicio"&amp;" · ","")&amp;IF($AN270="","Sin fecha límite"&amp;" · ","")&amp;IF(AND(LEFT($C270,11)="[Jefatura] ",N($AL270)=0),"No se encuentra en la hoja de la jefatura (elíjala de nuevo en la lista)"&amp;" · ","")&amp;IF(OR(AND($E270&lt;&gt;"",NOT(ISNUMBER($E270))),AND($F270&lt;&gt;"",NOT(ISNUMBER($F270))),AND($G270&lt;&gt;"",NOT(ISNUMBER($G270)))),"Fecha no válida"&amp;" · ","")&amp;IF(AND(ISNUMBER($AM270),ISNUMBER($AN270),$AM270&gt;$AN270),"Inicio posterior a fecha límite"&amp;" · ","")&amp;IF(AND($V270="Macro",$H270&lt;&gt;"",OR(NOT(ISNUMBER($H270)),$H270&lt;0,$H270&gt;1)),"Peso fuera de rango"&amp;" · ","")&amp;IF(AND($V270="Sub",$H270&lt;&gt;""),"Las subactividades no llevan peso (valen igual dentro de su macroactividad)"&amp;" · ","")&amp;IF(AND(N($W270)&gt;0,COUNT($I270:$L270)&gt;0),"Con subactividades: deje vacías las semanas (se calculan solas)"&amp;" · ","")&amp;IF((COUNTIF($I270:$L270,"&gt;1")+COUNTIF($I270:$L270,"&lt;0")+COUNTA($I270:$L270)-COUNT($I270:$L270))&gt;0,"Avance fuera de rango 0-100%"&amp;" · ","")&amp;IF(OR(AND($J270&lt;&gt;"",$J270&lt;$I270),AND($K270&lt;&gt;"",$K270&lt;MAX($I270:$J270)),AND($L270&lt;&gt;"",$L270&lt;MAX($I270:$K270))),"Avance semanal decreciente"&amp;" · ","")&amp;IF(AND(ISNUMBER($AN270),$AN270&lt;FechaRef,IF($V270="Sub",N($X270),N($M270))&lt;1),"Vencida"&amp;" · ","")&amp;IF(AND(ObsObligatoria="Sí",ISNUMBER($AN270),$AN270&lt;FechaRef,IF($V270="Sub",N($X270),N($M270))&lt;1,$Q270=""),"Vencida sin observación"&amp;" · ",""),LEN(IF($C270="","Falta el nombre de la actividad"&amp;" · ","")&amp;IF(AND($V270="Sub",N($U270)=0),"Subactividad sin macroactividad arriba"&amp;" · ","")&amp;IF($AM270="","Sin fecha de inicio"&amp;" · ","")&amp;IF($AN270="","Sin fecha límite"&amp;" · ","")&amp;IF(AND(LEFT($C270,11)="[Jefatura] ",N($AL270)=0),"No se encuentra en la hoja de la jefatura (elíjala de nuevo en la lista)"&amp;" · ","")&amp;IF(OR(AND($E270&lt;&gt;"",NOT(ISNUMBER($E270))),AND($F270&lt;&gt;"",NOT(ISNUMBER($F270))),AND($G270&lt;&gt;"",NOT(ISNUMBER($G270)))),"Fecha no válida"&amp;" · ","")&amp;IF(AND(ISNUMBER($AM270),ISNUMBER($AN270),$AM270&gt;$AN270),"Inicio posterior a fecha límite"&amp;" · ","")&amp;IF(AND($V270="Macro",$H270&lt;&gt;"",OR(NOT(ISNUMBER($H270)),$H270&lt;0,$H270&gt;1)),"Peso fuera de rango"&amp;" · ","")&amp;IF(AND($V270="Sub",$H270&lt;&gt;""),"Las subactividades no llevan peso (valen igual dentro de su macroactividad)"&amp;" · ","")&amp;IF(AND(N($W270)&gt;0,COUNT($I270:$L270)&gt;0),"Con subactividades: deje vacías las semanas (se calculan solas)"&amp;" · ","")&amp;IF((COUNTIF($I270:$L270,"&gt;1")+COUNTIF($I270:$L270,"&lt;0")+COUNTA($I270:$L270)-COUNT($I270:$L270))&gt;0,"Avance fuera de rango 0-100%"&amp;" · ","")&amp;IF(OR(AND($J270&lt;&gt;"",$J270&lt;$I270),AND($K270&lt;&gt;"",$K270&lt;MAX($I270:$J270)),AND($L270&lt;&gt;"",$L270&lt;MAX($I270:$K270))),"Avance semanal decreciente"&amp;" · ","")&amp;IF(AND(ISNUMBER($AN270),$AN270&lt;FechaRef,IF($V270="Sub",N($X270),N($M270))&lt;1),"Vencida"&amp;" · ","")&amp;IF(AND(ObsObligatoria="Sí",ISNUMBER($AN270),$AN270&lt;FechaRef,IF($V270="Sub",N($X270),N($M270))&lt;1,$Q270=""),"Vencida sin observación"&amp;" · ",""))-3)))</f>
        <v/>
      </c>
      <c r="S270" s="64">
        <f>IF(NOT((COUNTA($B270:$D270)+COUNTA($G270:$L270)+COUNTA($Q270))&gt;0),"",IF(AND($V270="Sub",N($U270)&gt;0),IF(ISNUMBER(INDEX($AM$5:$AM$1000,$U270-4)),DATE(YEAR(INDEX($AM$5:$AM$1000,$U270-4)),MONTH(INDEX($AM$5:$AM$1000,$U270-4)),1),IF(ISNUMBER(INDEX($AN$5:$AN$1000,$U270-4)),DATE(YEAR(INDEX($AN$5:$AN$1000,$U270-4)),MONTH(INDEX($AN$5:$AN$1000,$U270-4)),1),MesCiclo)),IF(ISNUMBER($AM270),DATE(YEAR($AM270),MONTH($AM270),1),IF(ISNUMBER($AN270),DATE(YEAR($AN270),MONTH($AN270),1),MesCiclo))))</f>
        <v/>
      </c>
      <c r="T270" s="62">
        <f>IF(OR($S270="",$S270&lt;&gt;MesCiclo,$V270&lt;&gt;"Macro"),"",COUNTIFS($S$5:$S270,MesCiclo,$V$5:$V270,"Macro"))</f>
        <v/>
      </c>
      <c r="U270" s="62">
        <f>IF($V270="","",IF($V270="Macro",ROW(),IFERROR(LOOKUP(2,1/($V$5:$V270="Macro"),ROW($V$5:$V270)),0)))</f>
        <v/>
      </c>
      <c r="V270" s="62">
        <f>IF(NOT((COUNTA($B270:$D270)+COUNTA($G270:$L270)+COUNTA($Q270))&gt;0),"",IF($B270="Subactividad","Sub","Macro"))</f>
        <v/>
      </c>
      <c r="W270" s="62">
        <f>IF($V270="Macro",COUNTIFS($U$5:$U$1000,ROW(),$V$5:$V$1000,"Sub"),"")</f>
        <v/>
      </c>
      <c r="X270" s="62">
        <f>IF($V270="","",IF(ISNUMBER($G270),1,IFERROR(LOOKUP(2,1/($I270:$L270&lt;&gt;""),$I270:$L270),0)))</f>
        <v/>
      </c>
      <c r="Y270" s="62">
        <f>IF($V270="","",IF(AND(ISNUMBER($G270),$G270&lt;=IF($S270=MesCiclo,InicioCiclo,$S270+MOD(2-WEEKDAY($S270),7))+6),1,IF(ISNUMBER($I270),$I270,0)))</f>
        <v/>
      </c>
      <c r="Z270" s="62">
        <f>IF($V270="","",IF(AND(ISNUMBER($G270),$G270&lt;=IF($S270=MesCiclo,InicioCiclo,$S270+MOD(2-WEEKDAY($S270),7))+13),1,IF(ISNUMBER($J270),$J270,$Y270)))</f>
        <v/>
      </c>
      <c r="AA270" s="62">
        <f>IF($V270="","",IF(AND(ISNUMBER($G270),$G270&lt;=IF($S270=MesCiclo,InicioCiclo,$S270+MOD(2-WEEKDAY($S270),7))+20),1,IF(ISNUMBER($K270),$K270,$Z270)))</f>
        <v/>
      </c>
      <c r="AB270" s="62">
        <f>IF($V270="","",IF(AND(ISNUMBER($G270),$G270&lt;=IF($S270=MesCiclo,InicioCiclo,$S270+MOD(2-WEEKDAY($S270),7))+27),1,IF(ISNUMBER($L270),$L270,$AA270)))</f>
        <v/>
      </c>
      <c r="AC270" s="62">
        <f>IF($V270="","",IF(AND(ISNUMBER($G270),$G270&lt;=IF($S270=MesCiclo,InicioCiclo,$S270+MOD(2-WEEKDAY($S270),7))+6),1,IF(N($W270)&gt;0,AVERAGEIFS($Y$5:$Y$1000,$U$5:$U$1000,ROW(),$V$5:$V$1000,"Sub"),$Y270)))</f>
        <v/>
      </c>
      <c r="AD270" s="62">
        <f>IF($V270="","",IF(AND(ISNUMBER($G270),$G270&lt;=IF($S270=MesCiclo,InicioCiclo,$S270+MOD(2-WEEKDAY($S270),7))+13),1,IF(N($W270)&gt;0,AVERAGEIFS($Z$5:$Z$1000,$U$5:$U$1000,ROW(),$V$5:$V$1000,"Sub"),$Z270)))</f>
        <v/>
      </c>
      <c r="AE270" s="62">
        <f>IF($V270="","",IF(AND(ISNUMBER($G270),$G270&lt;=IF($S270=MesCiclo,InicioCiclo,$S270+MOD(2-WEEKDAY($S270),7))+20),1,IF(N($W270)&gt;0,AVERAGEIFS($AA$5:$AA$1000,$U$5:$U$1000,ROW(),$V$5:$V$1000,"Sub"),$AA270)))</f>
        <v/>
      </c>
      <c r="AF270" s="62">
        <f>IF($V270="","",IF(AND(ISNUMBER($G270),$G270&lt;=IF($S270=MesCiclo,InicioCiclo,$S270+MOD(2-WEEKDAY($S270),7))+27),1,IF(N($W270)&gt;0,AVERAGEIFS($AB$5:$AB$1000,$U$5:$U$1000,ROW(),$V$5:$V$1000,"Sub"),$AB270)))</f>
        <v/>
      </c>
      <c r="AG270" s="62">
        <f>IF($V270&lt;&gt;"Macro","",IF(COUNTIFS($S$5:$S$1000,$S270,$V$5:$V$1000,"Macro",$H$5:$H$1000,"&gt;0")=0,1/COUNTIFS($S$5:$S$1000,$S270,$V$5:$V$1000,"Macro"),IF(AND(ISNUMBER($H270),N($H270)&gt;0),$H270,SUMIFS($H$5:$H$1000,$S$5:$S$1000,$S270,$V$5:$V$1000,"Macro")/COUNTIFS($S$5:$S$1000,$S270,$V$5:$V$1000,"Macro",$H$5:$H$1000,"&gt;0"))/(COUNTIFS($S$5:$S$1000,$S270,$V$5:$V$1000,"Macro")*SUMIFS($H$5:$H$1000,$S$5:$S$1000,$S270,$V$5:$V$1000,"Macro")/COUNTIFS($S$5:$S$1000,$S270,$V$5:$V$1000,"Macro",$H$5:$H$1000,"&gt;0"))))</f>
        <v/>
      </c>
      <c r="AH270" s="62" t="n"/>
      <c r="AI270" s="62" t="n"/>
      <c r="AJ270" s="62" t="n"/>
      <c r="AK270" s="62" t="n"/>
      <c r="AL270" s="62">
        <f>IF(LEFT($C270,11)="[Jefatura] ",IFERROR(MATCH("Riesgo Normativo|"&amp;MID($C270,12,500),rDname_ADM,0),0),"")</f>
        <v/>
      </c>
      <c r="AM270" s="62">
        <f>IF(N($AL270)&gt;0,INDEX(rIni_ADM,$AL270),IF(ISNUMBER($E270),$E270,""))</f>
        <v/>
      </c>
      <c r="AN270" s="62">
        <f>IF(N($AL270)&gt;0,INDEX(rLim_ADM,$AL270),IF(ISNUMBER($F270),$F270,""))</f>
        <v/>
      </c>
    </row>
    <row r="271">
      <c r="A271" s="56">
        <f>IF(NOT((COUNTA($B271:$D271)+COUNTA($G271:$L271)+COUNTA($Q271))&gt;0),"",IF($V271="Macro",COUNTIFS($V$5:$V271,"Macro",$S$5:$S271,$S271),IF(N($U271)=0,"?",COUNTIFS(INDEX($V$5:$V$1000,1):INDEX($V$5:$V$1000,$U271-4),"Macro",INDEX($S$5:$S$1000,1):INDEX($S$5:$S$1000,$U271-4),INDEX($S$5:$S$1000,$U271-4))&amp;"."&amp;COUNTIFS($U$5:$U271,$U271,$V$5:$V271,"Sub"))))</f>
        <v/>
      </c>
      <c r="B271" s="57" t="n"/>
      <c r="C271" s="58" t="n"/>
      <c r="D271" s="58" t="n"/>
      <c r="E271" s="59">
        <f>IF(N($AL271)&gt;0,INDEX(rIni_ADM,$AL271),"")</f>
        <v/>
      </c>
      <c r="F271" s="59">
        <f>IF(N($AL271)&gt;0,INDEX(rLim_ADM,$AL271),"")</f>
        <v/>
      </c>
      <c r="G271" s="59" t="n"/>
      <c r="H271" s="60" t="n"/>
      <c r="I271" s="60" t="n"/>
      <c r="J271" s="60" t="n"/>
      <c r="K271" s="60" t="n"/>
      <c r="L271" s="60" t="n"/>
      <c r="M271" s="61">
        <f>IF(NOT((COUNTA($B271:$D271)+COUNTA($G271:$L271)+COUNTA($Q271))&gt;0),"",IF($V271="Sub",IFERROR($X271/INDEX($W$5:$W$1000,$U271-4),""),IF(ISNUMBER($G271),1,IF(N($W271)&gt;0,AVERAGEIFS($X$5:$X$1000,$U$5:$U$1000,ROW(),$V$5:$V$1000,"Sub"),$X271))))</f>
        <v/>
      </c>
      <c r="N271" s="56">
        <f>IF(OR($M271="",$V271="Sub"),"",IF($M271&gt;=1,"Completado",IF($M271&gt;0,"En curso","Pendiente")))</f>
        <v/>
      </c>
      <c r="O271" s="56">
        <f>IF(OR(NOT((COUNTA($B271:$D271)+COUNTA($G271:$L271)+COUNTA($Q271))&gt;0),$V271="Sub"),"",IF(ISNUMBER($G271),IF(AND(ISNUMBER($AN271),$G271&gt;$AN271),"Cumplida con "&amp;($G271-$AN271)&amp;IF($G271-$AN271=1," día"," días")&amp;" de retraso","Cumplida"),IF(N($M271)&gt;=1,"Cumplida",IF(NOT(ISNUMBER($AN271)),"Sin fecha límite",IF($AN271&lt;FechaRef,"Vencida hace "&amp;(FechaRef-$AN271)&amp;IF(FechaRef-$AN271=1," día"," días"),IF($AN271=FechaRef,"Vence hoy",IF($AN271-FechaRef&lt;=DiasAlerta,"Vence en "&amp;($AN271-FechaRef)&amp;IF($AN271-FechaRef=1," día"," días"),"En plazo")))))))</f>
        <v/>
      </c>
      <c r="P271" s="62" t="n"/>
      <c r="Q271" s="58" t="n"/>
      <c r="R271" s="63">
        <f>IF(NOT((COUNTA($B271:$D271)+COUNTA($G271:$L271)+COUNTA($Q271))&gt;0),"",IF((IF($C271="","Falta el nombre de la actividad"&amp;" · ","")&amp;IF(AND($V271="Sub",N($U271)=0),"Subactividad sin macroactividad arriba"&amp;" · ","")&amp;IF($AM271="","Sin fecha de inicio"&amp;" · ","")&amp;IF($AN271="","Sin fecha límite"&amp;" · ","")&amp;IF(AND(LEFT($C271,11)="[Jefatura] ",N($AL271)=0),"No se encuentra en la hoja de la jefatura (elíjala de nuevo en la lista)"&amp;" · ","")&amp;IF(OR(AND($E271&lt;&gt;"",NOT(ISNUMBER($E271))),AND($F271&lt;&gt;"",NOT(ISNUMBER($F271))),AND($G271&lt;&gt;"",NOT(ISNUMBER($G271)))),"Fecha no válida"&amp;" · ","")&amp;IF(AND(ISNUMBER($AM271),ISNUMBER($AN271),$AM271&gt;$AN271),"Inicio posterior a fecha límite"&amp;" · ","")&amp;IF(AND($V271="Macro",$H271&lt;&gt;"",OR(NOT(ISNUMBER($H271)),$H271&lt;0,$H271&gt;1)),"Peso fuera de rango"&amp;" · ","")&amp;IF(AND($V271="Sub",$H271&lt;&gt;""),"Las subactividades no llevan peso (valen igual dentro de su macroactividad)"&amp;" · ","")&amp;IF(AND(N($W271)&gt;0,COUNT($I271:$L271)&gt;0),"Con subactividades: deje vacías las semanas (se calculan solas)"&amp;" · ","")&amp;IF((COUNTIF($I271:$L271,"&gt;1")+COUNTIF($I271:$L271,"&lt;0")+COUNTA($I271:$L271)-COUNT($I271:$L271))&gt;0,"Avance fuera de rango 0-100%"&amp;" · ","")&amp;IF(OR(AND($J271&lt;&gt;"",$J271&lt;$I271),AND($K271&lt;&gt;"",$K271&lt;MAX($I271:$J271)),AND($L271&lt;&gt;"",$L271&lt;MAX($I271:$K271))),"Avance semanal decreciente"&amp;" · ","")&amp;IF(AND(ISNUMBER($AN271),$AN271&lt;FechaRef,IF($V271="Sub",N($X271),N($M271))&lt;1),"Vencida"&amp;" · ","")&amp;IF(AND(ObsObligatoria="Sí",ISNUMBER($AN271),$AN271&lt;FechaRef,IF($V271="Sub",N($X271),N($M271))&lt;1,$Q271=""),"Vencida sin observación"&amp;" · ",""))="","✔ OK","⚠ "&amp;LEFT(IF($C271="","Falta el nombre de la actividad"&amp;" · ","")&amp;IF(AND($V271="Sub",N($U271)=0),"Subactividad sin macroactividad arriba"&amp;" · ","")&amp;IF($AM271="","Sin fecha de inicio"&amp;" · ","")&amp;IF($AN271="","Sin fecha límite"&amp;" · ","")&amp;IF(AND(LEFT($C271,11)="[Jefatura] ",N($AL271)=0),"No se encuentra en la hoja de la jefatura (elíjala de nuevo en la lista)"&amp;" · ","")&amp;IF(OR(AND($E271&lt;&gt;"",NOT(ISNUMBER($E271))),AND($F271&lt;&gt;"",NOT(ISNUMBER($F271))),AND($G271&lt;&gt;"",NOT(ISNUMBER($G271)))),"Fecha no válida"&amp;" · ","")&amp;IF(AND(ISNUMBER($AM271),ISNUMBER($AN271),$AM271&gt;$AN271),"Inicio posterior a fecha límite"&amp;" · ","")&amp;IF(AND($V271="Macro",$H271&lt;&gt;"",OR(NOT(ISNUMBER($H271)),$H271&lt;0,$H271&gt;1)),"Peso fuera de rango"&amp;" · ","")&amp;IF(AND($V271="Sub",$H271&lt;&gt;""),"Las subactividades no llevan peso (valen igual dentro de su macroactividad)"&amp;" · ","")&amp;IF(AND(N($W271)&gt;0,COUNT($I271:$L271)&gt;0),"Con subactividades: deje vacías las semanas (se calculan solas)"&amp;" · ","")&amp;IF((COUNTIF($I271:$L271,"&gt;1")+COUNTIF($I271:$L271,"&lt;0")+COUNTA($I271:$L271)-COUNT($I271:$L271))&gt;0,"Avance fuera de rango 0-100%"&amp;" · ","")&amp;IF(OR(AND($J271&lt;&gt;"",$J271&lt;$I271),AND($K271&lt;&gt;"",$K271&lt;MAX($I271:$J271)),AND($L271&lt;&gt;"",$L271&lt;MAX($I271:$K271))),"Avance semanal decreciente"&amp;" · ","")&amp;IF(AND(ISNUMBER($AN271),$AN271&lt;FechaRef,IF($V271="Sub",N($X271),N($M271))&lt;1),"Vencida"&amp;" · ","")&amp;IF(AND(ObsObligatoria="Sí",ISNUMBER($AN271),$AN271&lt;FechaRef,IF($V271="Sub",N($X271),N($M271))&lt;1,$Q271=""),"Vencida sin observación"&amp;" · ",""),LEN(IF($C271="","Falta el nombre de la actividad"&amp;" · ","")&amp;IF(AND($V271="Sub",N($U271)=0),"Subactividad sin macroactividad arriba"&amp;" · ","")&amp;IF($AM271="","Sin fecha de inicio"&amp;" · ","")&amp;IF($AN271="","Sin fecha límite"&amp;" · ","")&amp;IF(AND(LEFT($C271,11)="[Jefatura] ",N($AL271)=0),"No se encuentra en la hoja de la jefatura (elíjala de nuevo en la lista)"&amp;" · ","")&amp;IF(OR(AND($E271&lt;&gt;"",NOT(ISNUMBER($E271))),AND($F271&lt;&gt;"",NOT(ISNUMBER($F271))),AND($G271&lt;&gt;"",NOT(ISNUMBER($G271)))),"Fecha no válida"&amp;" · ","")&amp;IF(AND(ISNUMBER($AM271),ISNUMBER($AN271),$AM271&gt;$AN271),"Inicio posterior a fecha límite"&amp;" · ","")&amp;IF(AND($V271="Macro",$H271&lt;&gt;"",OR(NOT(ISNUMBER($H271)),$H271&lt;0,$H271&gt;1)),"Peso fuera de rango"&amp;" · ","")&amp;IF(AND($V271="Sub",$H271&lt;&gt;""),"Las subactividades no llevan peso (valen igual dentro de su macroactividad)"&amp;" · ","")&amp;IF(AND(N($W271)&gt;0,COUNT($I271:$L271)&gt;0),"Con subactividades: deje vacías las semanas (se calculan solas)"&amp;" · ","")&amp;IF((COUNTIF($I271:$L271,"&gt;1")+COUNTIF($I271:$L271,"&lt;0")+COUNTA($I271:$L271)-COUNT($I271:$L271))&gt;0,"Avance fuera de rango 0-100%"&amp;" · ","")&amp;IF(OR(AND($J271&lt;&gt;"",$J271&lt;$I271),AND($K271&lt;&gt;"",$K271&lt;MAX($I271:$J271)),AND($L271&lt;&gt;"",$L271&lt;MAX($I271:$K271))),"Avance semanal decreciente"&amp;" · ","")&amp;IF(AND(ISNUMBER($AN271),$AN271&lt;FechaRef,IF($V271="Sub",N($X271),N($M271))&lt;1),"Vencida"&amp;" · ","")&amp;IF(AND(ObsObligatoria="Sí",ISNUMBER($AN271),$AN271&lt;FechaRef,IF($V271="Sub",N($X271),N($M271))&lt;1,$Q271=""),"Vencida sin observación"&amp;" · ",""))-3)))</f>
        <v/>
      </c>
      <c r="S271" s="64">
        <f>IF(NOT((COUNTA($B271:$D271)+COUNTA($G271:$L271)+COUNTA($Q271))&gt;0),"",IF(AND($V271="Sub",N($U271)&gt;0),IF(ISNUMBER(INDEX($AM$5:$AM$1000,$U271-4)),DATE(YEAR(INDEX($AM$5:$AM$1000,$U271-4)),MONTH(INDEX($AM$5:$AM$1000,$U271-4)),1),IF(ISNUMBER(INDEX($AN$5:$AN$1000,$U271-4)),DATE(YEAR(INDEX($AN$5:$AN$1000,$U271-4)),MONTH(INDEX($AN$5:$AN$1000,$U271-4)),1),MesCiclo)),IF(ISNUMBER($AM271),DATE(YEAR($AM271),MONTH($AM271),1),IF(ISNUMBER($AN271),DATE(YEAR($AN271),MONTH($AN271),1),MesCiclo))))</f>
        <v/>
      </c>
      <c r="T271" s="62">
        <f>IF(OR($S271="",$S271&lt;&gt;MesCiclo,$V271&lt;&gt;"Macro"),"",COUNTIFS($S$5:$S271,MesCiclo,$V$5:$V271,"Macro"))</f>
        <v/>
      </c>
      <c r="U271" s="62">
        <f>IF($V271="","",IF($V271="Macro",ROW(),IFERROR(LOOKUP(2,1/($V$5:$V271="Macro"),ROW($V$5:$V271)),0)))</f>
        <v/>
      </c>
      <c r="V271" s="62">
        <f>IF(NOT((COUNTA($B271:$D271)+COUNTA($G271:$L271)+COUNTA($Q271))&gt;0),"",IF($B271="Subactividad","Sub","Macro"))</f>
        <v/>
      </c>
      <c r="W271" s="62">
        <f>IF($V271="Macro",COUNTIFS($U$5:$U$1000,ROW(),$V$5:$V$1000,"Sub"),"")</f>
        <v/>
      </c>
      <c r="X271" s="62">
        <f>IF($V271="","",IF(ISNUMBER($G271),1,IFERROR(LOOKUP(2,1/($I271:$L271&lt;&gt;""),$I271:$L271),0)))</f>
        <v/>
      </c>
      <c r="Y271" s="62">
        <f>IF($V271="","",IF(AND(ISNUMBER($G271),$G271&lt;=IF($S271=MesCiclo,InicioCiclo,$S271+MOD(2-WEEKDAY($S271),7))+6),1,IF(ISNUMBER($I271),$I271,0)))</f>
        <v/>
      </c>
      <c r="Z271" s="62">
        <f>IF($V271="","",IF(AND(ISNUMBER($G271),$G271&lt;=IF($S271=MesCiclo,InicioCiclo,$S271+MOD(2-WEEKDAY($S271),7))+13),1,IF(ISNUMBER($J271),$J271,$Y271)))</f>
        <v/>
      </c>
      <c r="AA271" s="62">
        <f>IF($V271="","",IF(AND(ISNUMBER($G271),$G271&lt;=IF($S271=MesCiclo,InicioCiclo,$S271+MOD(2-WEEKDAY($S271),7))+20),1,IF(ISNUMBER($K271),$K271,$Z271)))</f>
        <v/>
      </c>
      <c r="AB271" s="62">
        <f>IF($V271="","",IF(AND(ISNUMBER($G271),$G271&lt;=IF($S271=MesCiclo,InicioCiclo,$S271+MOD(2-WEEKDAY($S271),7))+27),1,IF(ISNUMBER($L271),$L271,$AA271)))</f>
        <v/>
      </c>
      <c r="AC271" s="62">
        <f>IF($V271="","",IF(AND(ISNUMBER($G271),$G271&lt;=IF($S271=MesCiclo,InicioCiclo,$S271+MOD(2-WEEKDAY($S271),7))+6),1,IF(N($W271)&gt;0,AVERAGEIFS($Y$5:$Y$1000,$U$5:$U$1000,ROW(),$V$5:$V$1000,"Sub"),$Y271)))</f>
        <v/>
      </c>
      <c r="AD271" s="62">
        <f>IF($V271="","",IF(AND(ISNUMBER($G271),$G271&lt;=IF($S271=MesCiclo,InicioCiclo,$S271+MOD(2-WEEKDAY($S271),7))+13),1,IF(N($W271)&gt;0,AVERAGEIFS($Z$5:$Z$1000,$U$5:$U$1000,ROW(),$V$5:$V$1000,"Sub"),$Z271)))</f>
        <v/>
      </c>
      <c r="AE271" s="62">
        <f>IF($V271="","",IF(AND(ISNUMBER($G271),$G271&lt;=IF($S271=MesCiclo,InicioCiclo,$S271+MOD(2-WEEKDAY($S271),7))+20),1,IF(N($W271)&gt;0,AVERAGEIFS($AA$5:$AA$1000,$U$5:$U$1000,ROW(),$V$5:$V$1000,"Sub"),$AA271)))</f>
        <v/>
      </c>
      <c r="AF271" s="62">
        <f>IF($V271="","",IF(AND(ISNUMBER($G271),$G271&lt;=IF($S271=MesCiclo,InicioCiclo,$S271+MOD(2-WEEKDAY($S271),7))+27),1,IF(N($W271)&gt;0,AVERAGEIFS($AB$5:$AB$1000,$U$5:$U$1000,ROW(),$V$5:$V$1000,"Sub"),$AB271)))</f>
        <v/>
      </c>
      <c r="AG271" s="62">
        <f>IF($V271&lt;&gt;"Macro","",IF(COUNTIFS($S$5:$S$1000,$S271,$V$5:$V$1000,"Macro",$H$5:$H$1000,"&gt;0")=0,1/COUNTIFS($S$5:$S$1000,$S271,$V$5:$V$1000,"Macro"),IF(AND(ISNUMBER($H271),N($H271)&gt;0),$H271,SUMIFS($H$5:$H$1000,$S$5:$S$1000,$S271,$V$5:$V$1000,"Macro")/COUNTIFS($S$5:$S$1000,$S271,$V$5:$V$1000,"Macro",$H$5:$H$1000,"&gt;0"))/(COUNTIFS($S$5:$S$1000,$S271,$V$5:$V$1000,"Macro")*SUMIFS($H$5:$H$1000,$S$5:$S$1000,$S271,$V$5:$V$1000,"Macro")/COUNTIFS($S$5:$S$1000,$S271,$V$5:$V$1000,"Macro",$H$5:$H$1000,"&gt;0"))))</f>
        <v/>
      </c>
      <c r="AH271" s="62" t="n"/>
      <c r="AI271" s="62" t="n"/>
      <c r="AJ271" s="62" t="n"/>
      <c r="AK271" s="62" t="n"/>
      <c r="AL271" s="62">
        <f>IF(LEFT($C271,11)="[Jefatura] ",IFERROR(MATCH("Riesgo Normativo|"&amp;MID($C271,12,500),rDname_ADM,0),0),"")</f>
        <v/>
      </c>
      <c r="AM271" s="62">
        <f>IF(N($AL271)&gt;0,INDEX(rIni_ADM,$AL271),IF(ISNUMBER($E271),$E271,""))</f>
        <v/>
      </c>
      <c r="AN271" s="62">
        <f>IF(N($AL271)&gt;0,INDEX(rLim_ADM,$AL271),IF(ISNUMBER($F271),$F271,""))</f>
        <v/>
      </c>
    </row>
    <row r="272">
      <c r="A272" s="56">
        <f>IF(NOT((COUNTA($B272:$D272)+COUNTA($G272:$L272)+COUNTA($Q272))&gt;0),"",IF($V272="Macro",COUNTIFS($V$5:$V272,"Macro",$S$5:$S272,$S272),IF(N($U272)=0,"?",COUNTIFS(INDEX($V$5:$V$1000,1):INDEX($V$5:$V$1000,$U272-4),"Macro",INDEX($S$5:$S$1000,1):INDEX($S$5:$S$1000,$U272-4),INDEX($S$5:$S$1000,$U272-4))&amp;"."&amp;COUNTIFS($U$5:$U272,$U272,$V$5:$V272,"Sub"))))</f>
        <v/>
      </c>
      <c r="B272" s="57" t="n"/>
      <c r="C272" s="58" t="n"/>
      <c r="D272" s="58" t="n"/>
      <c r="E272" s="59">
        <f>IF(N($AL272)&gt;0,INDEX(rIni_ADM,$AL272),"")</f>
        <v/>
      </c>
      <c r="F272" s="59">
        <f>IF(N($AL272)&gt;0,INDEX(rLim_ADM,$AL272),"")</f>
        <v/>
      </c>
      <c r="G272" s="59" t="n"/>
      <c r="H272" s="60" t="n"/>
      <c r="I272" s="60" t="n"/>
      <c r="J272" s="60" t="n"/>
      <c r="K272" s="60" t="n"/>
      <c r="L272" s="60" t="n"/>
      <c r="M272" s="61">
        <f>IF(NOT((COUNTA($B272:$D272)+COUNTA($G272:$L272)+COUNTA($Q272))&gt;0),"",IF($V272="Sub",IFERROR($X272/INDEX($W$5:$W$1000,$U272-4),""),IF(ISNUMBER($G272),1,IF(N($W272)&gt;0,AVERAGEIFS($X$5:$X$1000,$U$5:$U$1000,ROW(),$V$5:$V$1000,"Sub"),$X272))))</f>
        <v/>
      </c>
      <c r="N272" s="56">
        <f>IF(OR($M272="",$V272="Sub"),"",IF($M272&gt;=1,"Completado",IF($M272&gt;0,"En curso","Pendiente")))</f>
        <v/>
      </c>
      <c r="O272" s="56">
        <f>IF(OR(NOT((COUNTA($B272:$D272)+COUNTA($G272:$L272)+COUNTA($Q272))&gt;0),$V272="Sub"),"",IF(ISNUMBER($G272),IF(AND(ISNUMBER($AN272),$G272&gt;$AN272),"Cumplida con "&amp;($G272-$AN272)&amp;IF($G272-$AN272=1," día"," días")&amp;" de retraso","Cumplida"),IF(N($M272)&gt;=1,"Cumplida",IF(NOT(ISNUMBER($AN272)),"Sin fecha límite",IF($AN272&lt;FechaRef,"Vencida hace "&amp;(FechaRef-$AN272)&amp;IF(FechaRef-$AN272=1," día"," días"),IF($AN272=FechaRef,"Vence hoy",IF($AN272-FechaRef&lt;=DiasAlerta,"Vence en "&amp;($AN272-FechaRef)&amp;IF($AN272-FechaRef=1," día"," días"),"En plazo")))))))</f>
        <v/>
      </c>
      <c r="P272" s="62" t="n"/>
      <c r="Q272" s="58" t="n"/>
      <c r="R272" s="63">
        <f>IF(NOT((COUNTA($B272:$D272)+COUNTA($G272:$L272)+COUNTA($Q272))&gt;0),"",IF((IF($C272="","Falta el nombre de la actividad"&amp;" · ","")&amp;IF(AND($V272="Sub",N($U272)=0),"Subactividad sin macroactividad arriba"&amp;" · ","")&amp;IF($AM272="","Sin fecha de inicio"&amp;" · ","")&amp;IF($AN272="","Sin fecha límite"&amp;" · ","")&amp;IF(AND(LEFT($C272,11)="[Jefatura] ",N($AL272)=0),"No se encuentra en la hoja de la jefatura (elíjala de nuevo en la lista)"&amp;" · ","")&amp;IF(OR(AND($E272&lt;&gt;"",NOT(ISNUMBER($E272))),AND($F272&lt;&gt;"",NOT(ISNUMBER($F272))),AND($G272&lt;&gt;"",NOT(ISNUMBER($G272)))),"Fecha no válida"&amp;" · ","")&amp;IF(AND(ISNUMBER($AM272),ISNUMBER($AN272),$AM272&gt;$AN272),"Inicio posterior a fecha límite"&amp;" · ","")&amp;IF(AND($V272="Macro",$H272&lt;&gt;"",OR(NOT(ISNUMBER($H272)),$H272&lt;0,$H272&gt;1)),"Peso fuera de rango"&amp;" · ","")&amp;IF(AND($V272="Sub",$H272&lt;&gt;""),"Las subactividades no llevan peso (valen igual dentro de su macroactividad)"&amp;" · ","")&amp;IF(AND(N($W272)&gt;0,COUNT($I272:$L272)&gt;0),"Con subactividades: deje vacías las semanas (se calculan solas)"&amp;" · ","")&amp;IF((COUNTIF($I272:$L272,"&gt;1")+COUNTIF($I272:$L272,"&lt;0")+COUNTA($I272:$L272)-COUNT($I272:$L272))&gt;0,"Avance fuera de rango 0-100%"&amp;" · ","")&amp;IF(OR(AND($J272&lt;&gt;"",$J272&lt;$I272),AND($K272&lt;&gt;"",$K272&lt;MAX($I272:$J272)),AND($L272&lt;&gt;"",$L272&lt;MAX($I272:$K272))),"Avance semanal decreciente"&amp;" · ","")&amp;IF(AND(ISNUMBER($AN272),$AN272&lt;FechaRef,IF($V272="Sub",N($X272),N($M272))&lt;1),"Vencida"&amp;" · ","")&amp;IF(AND(ObsObligatoria="Sí",ISNUMBER($AN272),$AN272&lt;FechaRef,IF($V272="Sub",N($X272),N($M272))&lt;1,$Q272=""),"Vencida sin observación"&amp;" · ",""))="","✔ OK","⚠ "&amp;LEFT(IF($C272="","Falta el nombre de la actividad"&amp;" · ","")&amp;IF(AND($V272="Sub",N($U272)=0),"Subactividad sin macroactividad arriba"&amp;" · ","")&amp;IF($AM272="","Sin fecha de inicio"&amp;" · ","")&amp;IF($AN272="","Sin fecha límite"&amp;" · ","")&amp;IF(AND(LEFT($C272,11)="[Jefatura] ",N($AL272)=0),"No se encuentra en la hoja de la jefatura (elíjala de nuevo en la lista)"&amp;" · ","")&amp;IF(OR(AND($E272&lt;&gt;"",NOT(ISNUMBER($E272))),AND($F272&lt;&gt;"",NOT(ISNUMBER($F272))),AND($G272&lt;&gt;"",NOT(ISNUMBER($G272)))),"Fecha no válida"&amp;" · ","")&amp;IF(AND(ISNUMBER($AM272),ISNUMBER($AN272),$AM272&gt;$AN272),"Inicio posterior a fecha límite"&amp;" · ","")&amp;IF(AND($V272="Macro",$H272&lt;&gt;"",OR(NOT(ISNUMBER($H272)),$H272&lt;0,$H272&gt;1)),"Peso fuera de rango"&amp;" · ","")&amp;IF(AND($V272="Sub",$H272&lt;&gt;""),"Las subactividades no llevan peso (valen igual dentro de su macroactividad)"&amp;" · ","")&amp;IF(AND(N($W272)&gt;0,COUNT($I272:$L272)&gt;0),"Con subactividades: deje vacías las semanas (se calculan solas)"&amp;" · ","")&amp;IF((COUNTIF($I272:$L272,"&gt;1")+COUNTIF($I272:$L272,"&lt;0")+COUNTA($I272:$L272)-COUNT($I272:$L272))&gt;0,"Avance fuera de rango 0-100%"&amp;" · ","")&amp;IF(OR(AND($J272&lt;&gt;"",$J272&lt;$I272),AND($K272&lt;&gt;"",$K272&lt;MAX($I272:$J272)),AND($L272&lt;&gt;"",$L272&lt;MAX($I272:$K272))),"Avance semanal decreciente"&amp;" · ","")&amp;IF(AND(ISNUMBER($AN272),$AN272&lt;FechaRef,IF($V272="Sub",N($X272),N($M272))&lt;1),"Vencida"&amp;" · ","")&amp;IF(AND(ObsObligatoria="Sí",ISNUMBER($AN272),$AN272&lt;FechaRef,IF($V272="Sub",N($X272),N($M272))&lt;1,$Q272=""),"Vencida sin observación"&amp;" · ",""),LEN(IF($C272="","Falta el nombre de la actividad"&amp;" · ","")&amp;IF(AND($V272="Sub",N($U272)=0),"Subactividad sin macroactividad arriba"&amp;" · ","")&amp;IF($AM272="","Sin fecha de inicio"&amp;" · ","")&amp;IF($AN272="","Sin fecha límite"&amp;" · ","")&amp;IF(AND(LEFT($C272,11)="[Jefatura] ",N($AL272)=0),"No se encuentra en la hoja de la jefatura (elíjala de nuevo en la lista)"&amp;" · ","")&amp;IF(OR(AND($E272&lt;&gt;"",NOT(ISNUMBER($E272))),AND($F272&lt;&gt;"",NOT(ISNUMBER($F272))),AND($G272&lt;&gt;"",NOT(ISNUMBER($G272)))),"Fecha no válida"&amp;" · ","")&amp;IF(AND(ISNUMBER($AM272),ISNUMBER($AN272),$AM272&gt;$AN272),"Inicio posterior a fecha límite"&amp;" · ","")&amp;IF(AND($V272="Macro",$H272&lt;&gt;"",OR(NOT(ISNUMBER($H272)),$H272&lt;0,$H272&gt;1)),"Peso fuera de rango"&amp;" · ","")&amp;IF(AND($V272="Sub",$H272&lt;&gt;""),"Las subactividades no llevan peso (valen igual dentro de su macroactividad)"&amp;" · ","")&amp;IF(AND(N($W272)&gt;0,COUNT($I272:$L272)&gt;0),"Con subactividades: deje vacías las semanas (se calculan solas)"&amp;" · ","")&amp;IF((COUNTIF($I272:$L272,"&gt;1")+COUNTIF($I272:$L272,"&lt;0")+COUNTA($I272:$L272)-COUNT($I272:$L272))&gt;0,"Avance fuera de rango 0-100%"&amp;" · ","")&amp;IF(OR(AND($J272&lt;&gt;"",$J272&lt;$I272),AND($K272&lt;&gt;"",$K272&lt;MAX($I272:$J272)),AND($L272&lt;&gt;"",$L272&lt;MAX($I272:$K272))),"Avance semanal decreciente"&amp;" · ","")&amp;IF(AND(ISNUMBER($AN272),$AN272&lt;FechaRef,IF($V272="Sub",N($X272),N($M272))&lt;1),"Vencida"&amp;" · ","")&amp;IF(AND(ObsObligatoria="Sí",ISNUMBER($AN272),$AN272&lt;FechaRef,IF($V272="Sub",N($X272),N($M272))&lt;1,$Q272=""),"Vencida sin observación"&amp;" · ",""))-3)))</f>
        <v/>
      </c>
      <c r="S272" s="64">
        <f>IF(NOT((COUNTA($B272:$D272)+COUNTA($G272:$L272)+COUNTA($Q272))&gt;0),"",IF(AND($V272="Sub",N($U272)&gt;0),IF(ISNUMBER(INDEX($AM$5:$AM$1000,$U272-4)),DATE(YEAR(INDEX($AM$5:$AM$1000,$U272-4)),MONTH(INDEX($AM$5:$AM$1000,$U272-4)),1),IF(ISNUMBER(INDEX($AN$5:$AN$1000,$U272-4)),DATE(YEAR(INDEX($AN$5:$AN$1000,$U272-4)),MONTH(INDEX($AN$5:$AN$1000,$U272-4)),1),MesCiclo)),IF(ISNUMBER($AM272),DATE(YEAR($AM272),MONTH($AM272),1),IF(ISNUMBER($AN272),DATE(YEAR($AN272),MONTH($AN272),1),MesCiclo))))</f>
        <v/>
      </c>
      <c r="T272" s="62">
        <f>IF(OR($S272="",$S272&lt;&gt;MesCiclo,$V272&lt;&gt;"Macro"),"",COUNTIFS($S$5:$S272,MesCiclo,$V$5:$V272,"Macro"))</f>
        <v/>
      </c>
      <c r="U272" s="62">
        <f>IF($V272="","",IF($V272="Macro",ROW(),IFERROR(LOOKUP(2,1/($V$5:$V272="Macro"),ROW($V$5:$V272)),0)))</f>
        <v/>
      </c>
      <c r="V272" s="62">
        <f>IF(NOT((COUNTA($B272:$D272)+COUNTA($G272:$L272)+COUNTA($Q272))&gt;0),"",IF($B272="Subactividad","Sub","Macro"))</f>
        <v/>
      </c>
      <c r="W272" s="62">
        <f>IF($V272="Macro",COUNTIFS($U$5:$U$1000,ROW(),$V$5:$V$1000,"Sub"),"")</f>
        <v/>
      </c>
      <c r="X272" s="62">
        <f>IF($V272="","",IF(ISNUMBER($G272),1,IFERROR(LOOKUP(2,1/($I272:$L272&lt;&gt;""),$I272:$L272),0)))</f>
        <v/>
      </c>
      <c r="Y272" s="62">
        <f>IF($V272="","",IF(AND(ISNUMBER($G272),$G272&lt;=IF($S272=MesCiclo,InicioCiclo,$S272+MOD(2-WEEKDAY($S272),7))+6),1,IF(ISNUMBER($I272),$I272,0)))</f>
        <v/>
      </c>
      <c r="Z272" s="62">
        <f>IF($V272="","",IF(AND(ISNUMBER($G272),$G272&lt;=IF($S272=MesCiclo,InicioCiclo,$S272+MOD(2-WEEKDAY($S272),7))+13),1,IF(ISNUMBER($J272),$J272,$Y272)))</f>
        <v/>
      </c>
      <c r="AA272" s="62">
        <f>IF($V272="","",IF(AND(ISNUMBER($G272),$G272&lt;=IF($S272=MesCiclo,InicioCiclo,$S272+MOD(2-WEEKDAY($S272),7))+20),1,IF(ISNUMBER($K272),$K272,$Z272)))</f>
        <v/>
      </c>
      <c r="AB272" s="62">
        <f>IF($V272="","",IF(AND(ISNUMBER($G272),$G272&lt;=IF($S272=MesCiclo,InicioCiclo,$S272+MOD(2-WEEKDAY($S272),7))+27),1,IF(ISNUMBER($L272),$L272,$AA272)))</f>
        <v/>
      </c>
      <c r="AC272" s="62">
        <f>IF($V272="","",IF(AND(ISNUMBER($G272),$G272&lt;=IF($S272=MesCiclo,InicioCiclo,$S272+MOD(2-WEEKDAY($S272),7))+6),1,IF(N($W272)&gt;0,AVERAGEIFS($Y$5:$Y$1000,$U$5:$U$1000,ROW(),$V$5:$V$1000,"Sub"),$Y272)))</f>
        <v/>
      </c>
      <c r="AD272" s="62">
        <f>IF($V272="","",IF(AND(ISNUMBER($G272),$G272&lt;=IF($S272=MesCiclo,InicioCiclo,$S272+MOD(2-WEEKDAY($S272),7))+13),1,IF(N($W272)&gt;0,AVERAGEIFS($Z$5:$Z$1000,$U$5:$U$1000,ROW(),$V$5:$V$1000,"Sub"),$Z272)))</f>
        <v/>
      </c>
      <c r="AE272" s="62">
        <f>IF($V272="","",IF(AND(ISNUMBER($G272),$G272&lt;=IF($S272=MesCiclo,InicioCiclo,$S272+MOD(2-WEEKDAY($S272),7))+20),1,IF(N($W272)&gt;0,AVERAGEIFS($AA$5:$AA$1000,$U$5:$U$1000,ROW(),$V$5:$V$1000,"Sub"),$AA272)))</f>
        <v/>
      </c>
      <c r="AF272" s="62">
        <f>IF($V272="","",IF(AND(ISNUMBER($G272),$G272&lt;=IF($S272=MesCiclo,InicioCiclo,$S272+MOD(2-WEEKDAY($S272),7))+27),1,IF(N($W272)&gt;0,AVERAGEIFS($AB$5:$AB$1000,$U$5:$U$1000,ROW(),$V$5:$V$1000,"Sub"),$AB272)))</f>
        <v/>
      </c>
      <c r="AG272" s="62">
        <f>IF($V272&lt;&gt;"Macro","",IF(COUNTIFS($S$5:$S$1000,$S272,$V$5:$V$1000,"Macro",$H$5:$H$1000,"&gt;0")=0,1/COUNTIFS($S$5:$S$1000,$S272,$V$5:$V$1000,"Macro"),IF(AND(ISNUMBER($H272),N($H272)&gt;0),$H272,SUMIFS($H$5:$H$1000,$S$5:$S$1000,$S272,$V$5:$V$1000,"Macro")/COUNTIFS($S$5:$S$1000,$S272,$V$5:$V$1000,"Macro",$H$5:$H$1000,"&gt;0"))/(COUNTIFS($S$5:$S$1000,$S272,$V$5:$V$1000,"Macro")*SUMIFS($H$5:$H$1000,$S$5:$S$1000,$S272,$V$5:$V$1000,"Macro")/COUNTIFS($S$5:$S$1000,$S272,$V$5:$V$1000,"Macro",$H$5:$H$1000,"&gt;0"))))</f>
        <v/>
      </c>
      <c r="AH272" s="62" t="n"/>
      <c r="AI272" s="62" t="n"/>
      <c r="AJ272" s="62" t="n"/>
      <c r="AK272" s="62" t="n"/>
      <c r="AL272" s="62">
        <f>IF(LEFT($C272,11)="[Jefatura] ",IFERROR(MATCH("Riesgo Normativo|"&amp;MID($C272,12,500),rDname_ADM,0),0),"")</f>
        <v/>
      </c>
      <c r="AM272" s="62">
        <f>IF(N($AL272)&gt;0,INDEX(rIni_ADM,$AL272),IF(ISNUMBER($E272),$E272,""))</f>
        <v/>
      </c>
      <c r="AN272" s="62">
        <f>IF(N($AL272)&gt;0,INDEX(rLim_ADM,$AL272),IF(ISNUMBER($F272),$F272,""))</f>
        <v/>
      </c>
    </row>
    <row r="273">
      <c r="A273" s="56">
        <f>IF(NOT((COUNTA($B273:$D273)+COUNTA($G273:$L273)+COUNTA($Q273))&gt;0),"",IF($V273="Macro",COUNTIFS($V$5:$V273,"Macro",$S$5:$S273,$S273),IF(N($U273)=0,"?",COUNTIFS(INDEX($V$5:$V$1000,1):INDEX($V$5:$V$1000,$U273-4),"Macro",INDEX($S$5:$S$1000,1):INDEX($S$5:$S$1000,$U273-4),INDEX($S$5:$S$1000,$U273-4))&amp;"."&amp;COUNTIFS($U$5:$U273,$U273,$V$5:$V273,"Sub"))))</f>
        <v/>
      </c>
      <c r="B273" s="57" t="n"/>
      <c r="C273" s="58" t="n"/>
      <c r="D273" s="58" t="n"/>
      <c r="E273" s="59">
        <f>IF(N($AL273)&gt;0,INDEX(rIni_ADM,$AL273),"")</f>
        <v/>
      </c>
      <c r="F273" s="59">
        <f>IF(N($AL273)&gt;0,INDEX(rLim_ADM,$AL273),"")</f>
        <v/>
      </c>
      <c r="G273" s="59" t="n"/>
      <c r="H273" s="60" t="n"/>
      <c r="I273" s="60" t="n"/>
      <c r="J273" s="60" t="n"/>
      <c r="K273" s="60" t="n"/>
      <c r="L273" s="60" t="n"/>
      <c r="M273" s="61">
        <f>IF(NOT((COUNTA($B273:$D273)+COUNTA($G273:$L273)+COUNTA($Q273))&gt;0),"",IF($V273="Sub",IFERROR($X273/INDEX($W$5:$W$1000,$U273-4),""),IF(ISNUMBER($G273),1,IF(N($W273)&gt;0,AVERAGEIFS($X$5:$X$1000,$U$5:$U$1000,ROW(),$V$5:$V$1000,"Sub"),$X273))))</f>
        <v/>
      </c>
      <c r="N273" s="56">
        <f>IF(OR($M273="",$V273="Sub"),"",IF($M273&gt;=1,"Completado",IF($M273&gt;0,"En curso","Pendiente")))</f>
        <v/>
      </c>
      <c r="O273" s="56">
        <f>IF(OR(NOT((COUNTA($B273:$D273)+COUNTA($G273:$L273)+COUNTA($Q273))&gt;0),$V273="Sub"),"",IF(ISNUMBER($G273),IF(AND(ISNUMBER($AN273),$G273&gt;$AN273),"Cumplida con "&amp;($G273-$AN273)&amp;IF($G273-$AN273=1," día"," días")&amp;" de retraso","Cumplida"),IF(N($M273)&gt;=1,"Cumplida",IF(NOT(ISNUMBER($AN273)),"Sin fecha límite",IF($AN273&lt;FechaRef,"Vencida hace "&amp;(FechaRef-$AN273)&amp;IF(FechaRef-$AN273=1," día"," días"),IF($AN273=FechaRef,"Vence hoy",IF($AN273-FechaRef&lt;=DiasAlerta,"Vence en "&amp;($AN273-FechaRef)&amp;IF($AN273-FechaRef=1," día"," días"),"En plazo")))))))</f>
        <v/>
      </c>
      <c r="P273" s="62" t="n"/>
      <c r="Q273" s="58" t="n"/>
      <c r="R273" s="63">
        <f>IF(NOT((COUNTA($B273:$D273)+COUNTA($G273:$L273)+COUNTA($Q273))&gt;0),"",IF((IF($C273="","Falta el nombre de la actividad"&amp;" · ","")&amp;IF(AND($V273="Sub",N($U273)=0),"Subactividad sin macroactividad arriba"&amp;" · ","")&amp;IF($AM273="","Sin fecha de inicio"&amp;" · ","")&amp;IF($AN273="","Sin fecha límite"&amp;" · ","")&amp;IF(AND(LEFT($C273,11)="[Jefatura] ",N($AL273)=0),"No se encuentra en la hoja de la jefatura (elíjala de nuevo en la lista)"&amp;" · ","")&amp;IF(OR(AND($E273&lt;&gt;"",NOT(ISNUMBER($E273))),AND($F273&lt;&gt;"",NOT(ISNUMBER($F273))),AND($G273&lt;&gt;"",NOT(ISNUMBER($G273)))),"Fecha no válida"&amp;" · ","")&amp;IF(AND(ISNUMBER($AM273),ISNUMBER($AN273),$AM273&gt;$AN273),"Inicio posterior a fecha límite"&amp;" · ","")&amp;IF(AND($V273="Macro",$H273&lt;&gt;"",OR(NOT(ISNUMBER($H273)),$H273&lt;0,$H273&gt;1)),"Peso fuera de rango"&amp;" · ","")&amp;IF(AND($V273="Sub",$H273&lt;&gt;""),"Las subactividades no llevan peso (valen igual dentro de su macroactividad)"&amp;" · ","")&amp;IF(AND(N($W273)&gt;0,COUNT($I273:$L273)&gt;0),"Con subactividades: deje vacías las semanas (se calculan solas)"&amp;" · ","")&amp;IF((COUNTIF($I273:$L273,"&gt;1")+COUNTIF($I273:$L273,"&lt;0")+COUNTA($I273:$L273)-COUNT($I273:$L273))&gt;0,"Avance fuera de rango 0-100%"&amp;" · ","")&amp;IF(OR(AND($J273&lt;&gt;"",$J273&lt;$I273),AND($K273&lt;&gt;"",$K273&lt;MAX($I273:$J273)),AND($L273&lt;&gt;"",$L273&lt;MAX($I273:$K273))),"Avance semanal decreciente"&amp;" · ","")&amp;IF(AND(ISNUMBER($AN273),$AN273&lt;FechaRef,IF($V273="Sub",N($X273),N($M273))&lt;1),"Vencida"&amp;" · ","")&amp;IF(AND(ObsObligatoria="Sí",ISNUMBER($AN273),$AN273&lt;FechaRef,IF($V273="Sub",N($X273),N($M273))&lt;1,$Q273=""),"Vencida sin observación"&amp;" · ",""))="","✔ OK","⚠ "&amp;LEFT(IF($C273="","Falta el nombre de la actividad"&amp;" · ","")&amp;IF(AND($V273="Sub",N($U273)=0),"Subactividad sin macroactividad arriba"&amp;" · ","")&amp;IF($AM273="","Sin fecha de inicio"&amp;" · ","")&amp;IF($AN273="","Sin fecha límite"&amp;" · ","")&amp;IF(AND(LEFT($C273,11)="[Jefatura] ",N($AL273)=0),"No se encuentra en la hoja de la jefatura (elíjala de nuevo en la lista)"&amp;" · ","")&amp;IF(OR(AND($E273&lt;&gt;"",NOT(ISNUMBER($E273))),AND($F273&lt;&gt;"",NOT(ISNUMBER($F273))),AND($G273&lt;&gt;"",NOT(ISNUMBER($G273)))),"Fecha no válida"&amp;" · ","")&amp;IF(AND(ISNUMBER($AM273),ISNUMBER($AN273),$AM273&gt;$AN273),"Inicio posterior a fecha límite"&amp;" · ","")&amp;IF(AND($V273="Macro",$H273&lt;&gt;"",OR(NOT(ISNUMBER($H273)),$H273&lt;0,$H273&gt;1)),"Peso fuera de rango"&amp;" · ","")&amp;IF(AND($V273="Sub",$H273&lt;&gt;""),"Las subactividades no llevan peso (valen igual dentro de su macroactividad)"&amp;" · ","")&amp;IF(AND(N($W273)&gt;0,COUNT($I273:$L273)&gt;0),"Con subactividades: deje vacías las semanas (se calculan solas)"&amp;" · ","")&amp;IF((COUNTIF($I273:$L273,"&gt;1")+COUNTIF($I273:$L273,"&lt;0")+COUNTA($I273:$L273)-COUNT($I273:$L273))&gt;0,"Avance fuera de rango 0-100%"&amp;" · ","")&amp;IF(OR(AND($J273&lt;&gt;"",$J273&lt;$I273),AND($K273&lt;&gt;"",$K273&lt;MAX($I273:$J273)),AND($L273&lt;&gt;"",$L273&lt;MAX($I273:$K273))),"Avance semanal decreciente"&amp;" · ","")&amp;IF(AND(ISNUMBER($AN273),$AN273&lt;FechaRef,IF($V273="Sub",N($X273),N($M273))&lt;1),"Vencida"&amp;" · ","")&amp;IF(AND(ObsObligatoria="Sí",ISNUMBER($AN273),$AN273&lt;FechaRef,IF($V273="Sub",N($X273),N($M273))&lt;1,$Q273=""),"Vencida sin observación"&amp;" · ",""),LEN(IF($C273="","Falta el nombre de la actividad"&amp;" · ","")&amp;IF(AND($V273="Sub",N($U273)=0),"Subactividad sin macroactividad arriba"&amp;" · ","")&amp;IF($AM273="","Sin fecha de inicio"&amp;" · ","")&amp;IF($AN273="","Sin fecha límite"&amp;" · ","")&amp;IF(AND(LEFT($C273,11)="[Jefatura] ",N($AL273)=0),"No se encuentra en la hoja de la jefatura (elíjala de nuevo en la lista)"&amp;" · ","")&amp;IF(OR(AND($E273&lt;&gt;"",NOT(ISNUMBER($E273))),AND($F273&lt;&gt;"",NOT(ISNUMBER($F273))),AND($G273&lt;&gt;"",NOT(ISNUMBER($G273)))),"Fecha no válida"&amp;" · ","")&amp;IF(AND(ISNUMBER($AM273),ISNUMBER($AN273),$AM273&gt;$AN273),"Inicio posterior a fecha límite"&amp;" · ","")&amp;IF(AND($V273="Macro",$H273&lt;&gt;"",OR(NOT(ISNUMBER($H273)),$H273&lt;0,$H273&gt;1)),"Peso fuera de rango"&amp;" · ","")&amp;IF(AND($V273="Sub",$H273&lt;&gt;""),"Las subactividades no llevan peso (valen igual dentro de su macroactividad)"&amp;" · ","")&amp;IF(AND(N($W273)&gt;0,COUNT($I273:$L273)&gt;0),"Con subactividades: deje vacías las semanas (se calculan solas)"&amp;" · ","")&amp;IF((COUNTIF($I273:$L273,"&gt;1")+COUNTIF($I273:$L273,"&lt;0")+COUNTA($I273:$L273)-COUNT($I273:$L273))&gt;0,"Avance fuera de rango 0-100%"&amp;" · ","")&amp;IF(OR(AND($J273&lt;&gt;"",$J273&lt;$I273),AND($K273&lt;&gt;"",$K273&lt;MAX($I273:$J273)),AND($L273&lt;&gt;"",$L273&lt;MAX($I273:$K273))),"Avance semanal decreciente"&amp;" · ","")&amp;IF(AND(ISNUMBER($AN273),$AN273&lt;FechaRef,IF($V273="Sub",N($X273),N($M273))&lt;1),"Vencida"&amp;" · ","")&amp;IF(AND(ObsObligatoria="Sí",ISNUMBER($AN273),$AN273&lt;FechaRef,IF($V273="Sub",N($X273),N($M273))&lt;1,$Q273=""),"Vencida sin observación"&amp;" · ",""))-3)))</f>
        <v/>
      </c>
      <c r="S273" s="64">
        <f>IF(NOT((COUNTA($B273:$D273)+COUNTA($G273:$L273)+COUNTA($Q273))&gt;0),"",IF(AND($V273="Sub",N($U273)&gt;0),IF(ISNUMBER(INDEX($AM$5:$AM$1000,$U273-4)),DATE(YEAR(INDEX($AM$5:$AM$1000,$U273-4)),MONTH(INDEX($AM$5:$AM$1000,$U273-4)),1),IF(ISNUMBER(INDEX($AN$5:$AN$1000,$U273-4)),DATE(YEAR(INDEX($AN$5:$AN$1000,$U273-4)),MONTH(INDEX($AN$5:$AN$1000,$U273-4)),1),MesCiclo)),IF(ISNUMBER($AM273),DATE(YEAR($AM273),MONTH($AM273),1),IF(ISNUMBER($AN273),DATE(YEAR($AN273),MONTH($AN273),1),MesCiclo))))</f>
        <v/>
      </c>
      <c r="T273" s="62">
        <f>IF(OR($S273="",$S273&lt;&gt;MesCiclo,$V273&lt;&gt;"Macro"),"",COUNTIFS($S$5:$S273,MesCiclo,$V$5:$V273,"Macro"))</f>
        <v/>
      </c>
      <c r="U273" s="62">
        <f>IF($V273="","",IF($V273="Macro",ROW(),IFERROR(LOOKUP(2,1/($V$5:$V273="Macro"),ROW($V$5:$V273)),0)))</f>
        <v/>
      </c>
      <c r="V273" s="62">
        <f>IF(NOT((COUNTA($B273:$D273)+COUNTA($G273:$L273)+COUNTA($Q273))&gt;0),"",IF($B273="Subactividad","Sub","Macro"))</f>
        <v/>
      </c>
      <c r="W273" s="62">
        <f>IF($V273="Macro",COUNTIFS($U$5:$U$1000,ROW(),$V$5:$V$1000,"Sub"),"")</f>
        <v/>
      </c>
      <c r="X273" s="62">
        <f>IF($V273="","",IF(ISNUMBER($G273),1,IFERROR(LOOKUP(2,1/($I273:$L273&lt;&gt;""),$I273:$L273),0)))</f>
        <v/>
      </c>
      <c r="Y273" s="62">
        <f>IF($V273="","",IF(AND(ISNUMBER($G273),$G273&lt;=IF($S273=MesCiclo,InicioCiclo,$S273+MOD(2-WEEKDAY($S273),7))+6),1,IF(ISNUMBER($I273),$I273,0)))</f>
        <v/>
      </c>
      <c r="Z273" s="62">
        <f>IF($V273="","",IF(AND(ISNUMBER($G273),$G273&lt;=IF($S273=MesCiclo,InicioCiclo,$S273+MOD(2-WEEKDAY($S273),7))+13),1,IF(ISNUMBER($J273),$J273,$Y273)))</f>
        <v/>
      </c>
      <c r="AA273" s="62">
        <f>IF($V273="","",IF(AND(ISNUMBER($G273),$G273&lt;=IF($S273=MesCiclo,InicioCiclo,$S273+MOD(2-WEEKDAY($S273),7))+20),1,IF(ISNUMBER($K273),$K273,$Z273)))</f>
        <v/>
      </c>
      <c r="AB273" s="62">
        <f>IF($V273="","",IF(AND(ISNUMBER($G273),$G273&lt;=IF($S273=MesCiclo,InicioCiclo,$S273+MOD(2-WEEKDAY($S273),7))+27),1,IF(ISNUMBER($L273),$L273,$AA273)))</f>
        <v/>
      </c>
      <c r="AC273" s="62">
        <f>IF($V273="","",IF(AND(ISNUMBER($G273),$G273&lt;=IF($S273=MesCiclo,InicioCiclo,$S273+MOD(2-WEEKDAY($S273),7))+6),1,IF(N($W273)&gt;0,AVERAGEIFS($Y$5:$Y$1000,$U$5:$U$1000,ROW(),$V$5:$V$1000,"Sub"),$Y273)))</f>
        <v/>
      </c>
      <c r="AD273" s="62">
        <f>IF($V273="","",IF(AND(ISNUMBER($G273),$G273&lt;=IF($S273=MesCiclo,InicioCiclo,$S273+MOD(2-WEEKDAY($S273),7))+13),1,IF(N($W273)&gt;0,AVERAGEIFS($Z$5:$Z$1000,$U$5:$U$1000,ROW(),$V$5:$V$1000,"Sub"),$Z273)))</f>
        <v/>
      </c>
      <c r="AE273" s="62">
        <f>IF($V273="","",IF(AND(ISNUMBER($G273),$G273&lt;=IF($S273=MesCiclo,InicioCiclo,$S273+MOD(2-WEEKDAY($S273),7))+20),1,IF(N($W273)&gt;0,AVERAGEIFS($AA$5:$AA$1000,$U$5:$U$1000,ROW(),$V$5:$V$1000,"Sub"),$AA273)))</f>
        <v/>
      </c>
      <c r="AF273" s="62">
        <f>IF($V273="","",IF(AND(ISNUMBER($G273),$G273&lt;=IF($S273=MesCiclo,InicioCiclo,$S273+MOD(2-WEEKDAY($S273),7))+27),1,IF(N($W273)&gt;0,AVERAGEIFS($AB$5:$AB$1000,$U$5:$U$1000,ROW(),$V$5:$V$1000,"Sub"),$AB273)))</f>
        <v/>
      </c>
      <c r="AG273" s="62">
        <f>IF($V273&lt;&gt;"Macro","",IF(COUNTIFS($S$5:$S$1000,$S273,$V$5:$V$1000,"Macro",$H$5:$H$1000,"&gt;0")=0,1/COUNTIFS($S$5:$S$1000,$S273,$V$5:$V$1000,"Macro"),IF(AND(ISNUMBER($H273),N($H273)&gt;0),$H273,SUMIFS($H$5:$H$1000,$S$5:$S$1000,$S273,$V$5:$V$1000,"Macro")/COUNTIFS($S$5:$S$1000,$S273,$V$5:$V$1000,"Macro",$H$5:$H$1000,"&gt;0"))/(COUNTIFS($S$5:$S$1000,$S273,$V$5:$V$1000,"Macro")*SUMIFS($H$5:$H$1000,$S$5:$S$1000,$S273,$V$5:$V$1000,"Macro")/COUNTIFS($S$5:$S$1000,$S273,$V$5:$V$1000,"Macro",$H$5:$H$1000,"&gt;0"))))</f>
        <v/>
      </c>
      <c r="AH273" s="62" t="n"/>
      <c r="AI273" s="62" t="n"/>
      <c r="AJ273" s="62" t="n"/>
      <c r="AK273" s="62" t="n"/>
      <c r="AL273" s="62">
        <f>IF(LEFT($C273,11)="[Jefatura] ",IFERROR(MATCH("Riesgo Normativo|"&amp;MID($C273,12,500),rDname_ADM,0),0),"")</f>
        <v/>
      </c>
      <c r="AM273" s="62">
        <f>IF(N($AL273)&gt;0,INDEX(rIni_ADM,$AL273),IF(ISNUMBER($E273),$E273,""))</f>
        <v/>
      </c>
      <c r="AN273" s="62">
        <f>IF(N($AL273)&gt;0,INDEX(rLim_ADM,$AL273),IF(ISNUMBER($F273),$F273,""))</f>
        <v/>
      </c>
    </row>
    <row r="274">
      <c r="A274" s="56">
        <f>IF(NOT((COUNTA($B274:$D274)+COUNTA($G274:$L274)+COUNTA($Q274))&gt;0),"",IF($V274="Macro",COUNTIFS($V$5:$V274,"Macro",$S$5:$S274,$S274),IF(N($U274)=0,"?",COUNTIFS(INDEX($V$5:$V$1000,1):INDEX($V$5:$V$1000,$U274-4),"Macro",INDEX($S$5:$S$1000,1):INDEX($S$5:$S$1000,$U274-4),INDEX($S$5:$S$1000,$U274-4))&amp;"."&amp;COUNTIFS($U$5:$U274,$U274,$V$5:$V274,"Sub"))))</f>
        <v/>
      </c>
      <c r="B274" s="57" t="n"/>
      <c r="C274" s="58" t="n"/>
      <c r="D274" s="58" t="n"/>
      <c r="E274" s="59">
        <f>IF(N($AL274)&gt;0,INDEX(rIni_ADM,$AL274),"")</f>
        <v/>
      </c>
      <c r="F274" s="59">
        <f>IF(N($AL274)&gt;0,INDEX(rLim_ADM,$AL274),"")</f>
        <v/>
      </c>
      <c r="G274" s="59" t="n"/>
      <c r="H274" s="60" t="n"/>
      <c r="I274" s="60" t="n"/>
      <c r="J274" s="60" t="n"/>
      <c r="K274" s="60" t="n"/>
      <c r="L274" s="60" t="n"/>
      <c r="M274" s="61">
        <f>IF(NOT((COUNTA($B274:$D274)+COUNTA($G274:$L274)+COUNTA($Q274))&gt;0),"",IF($V274="Sub",IFERROR($X274/INDEX($W$5:$W$1000,$U274-4),""),IF(ISNUMBER($G274),1,IF(N($W274)&gt;0,AVERAGEIFS($X$5:$X$1000,$U$5:$U$1000,ROW(),$V$5:$V$1000,"Sub"),$X274))))</f>
        <v/>
      </c>
      <c r="N274" s="56">
        <f>IF(OR($M274="",$V274="Sub"),"",IF($M274&gt;=1,"Completado",IF($M274&gt;0,"En curso","Pendiente")))</f>
        <v/>
      </c>
      <c r="O274" s="56">
        <f>IF(OR(NOT((COUNTA($B274:$D274)+COUNTA($G274:$L274)+COUNTA($Q274))&gt;0),$V274="Sub"),"",IF(ISNUMBER($G274),IF(AND(ISNUMBER($AN274),$G274&gt;$AN274),"Cumplida con "&amp;($G274-$AN274)&amp;IF($G274-$AN274=1," día"," días")&amp;" de retraso","Cumplida"),IF(N($M274)&gt;=1,"Cumplida",IF(NOT(ISNUMBER($AN274)),"Sin fecha límite",IF($AN274&lt;FechaRef,"Vencida hace "&amp;(FechaRef-$AN274)&amp;IF(FechaRef-$AN274=1," día"," días"),IF($AN274=FechaRef,"Vence hoy",IF($AN274-FechaRef&lt;=DiasAlerta,"Vence en "&amp;($AN274-FechaRef)&amp;IF($AN274-FechaRef=1," día"," días"),"En plazo")))))))</f>
        <v/>
      </c>
      <c r="P274" s="62" t="n"/>
      <c r="Q274" s="58" t="n"/>
      <c r="R274" s="63">
        <f>IF(NOT((COUNTA($B274:$D274)+COUNTA($G274:$L274)+COUNTA($Q274))&gt;0),"",IF((IF($C274="","Falta el nombre de la actividad"&amp;" · ","")&amp;IF(AND($V274="Sub",N($U274)=0),"Subactividad sin macroactividad arriba"&amp;" · ","")&amp;IF($AM274="","Sin fecha de inicio"&amp;" · ","")&amp;IF($AN274="","Sin fecha límite"&amp;" · ","")&amp;IF(AND(LEFT($C274,11)="[Jefatura] ",N($AL274)=0),"No se encuentra en la hoja de la jefatura (elíjala de nuevo en la lista)"&amp;" · ","")&amp;IF(OR(AND($E274&lt;&gt;"",NOT(ISNUMBER($E274))),AND($F274&lt;&gt;"",NOT(ISNUMBER($F274))),AND($G274&lt;&gt;"",NOT(ISNUMBER($G274)))),"Fecha no válida"&amp;" · ","")&amp;IF(AND(ISNUMBER($AM274),ISNUMBER($AN274),$AM274&gt;$AN274),"Inicio posterior a fecha límite"&amp;" · ","")&amp;IF(AND($V274="Macro",$H274&lt;&gt;"",OR(NOT(ISNUMBER($H274)),$H274&lt;0,$H274&gt;1)),"Peso fuera de rango"&amp;" · ","")&amp;IF(AND($V274="Sub",$H274&lt;&gt;""),"Las subactividades no llevan peso (valen igual dentro de su macroactividad)"&amp;" · ","")&amp;IF(AND(N($W274)&gt;0,COUNT($I274:$L274)&gt;0),"Con subactividades: deje vacías las semanas (se calculan solas)"&amp;" · ","")&amp;IF((COUNTIF($I274:$L274,"&gt;1")+COUNTIF($I274:$L274,"&lt;0")+COUNTA($I274:$L274)-COUNT($I274:$L274))&gt;0,"Avance fuera de rango 0-100%"&amp;" · ","")&amp;IF(OR(AND($J274&lt;&gt;"",$J274&lt;$I274),AND($K274&lt;&gt;"",$K274&lt;MAX($I274:$J274)),AND($L274&lt;&gt;"",$L274&lt;MAX($I274:$K274))),"Avance semanal decreciente"&amp;" · ","")&amp;IF(AND(ISNUMBER($AN274),$AN274&lt;FechaRef,IF($V274="Sub",N($X274),N($M274))&lt;1),"Vencida"&amp;" · ","")&amp;IF(AND(ObsObligatoria="Sí",ISNUMBER($AN274),$AN274&lt;FechaRef,IF($V274="Sub",N($X274),N($M274))&lt;1,$Q274=""),"Vencida sin observación"&amp;" · ",""))="","✔ OK","⚠ "&amp;LEFT(IF($C274="","Falta el nombre de la actividad"&amp;" · ","")&amp;IF(AND($V274="Sub",N($U274)=0),"Subactividad sin macroactividad arriba"&amp;" · ","")&amp;IF($AM274="","Sin fecha de inicio"&amp;" · ","")&amp;IF($AN274="","Sin fecha límite"&amp;" · ","")&amp;IF(AND(LEFT($C274,11)="[Jefatura] ",N($AL274)=0),"No se encuentra en la hoja de la jefatura (elíjala de nuevo en la lista)"&amp;" · ","")&amp;IF(OR(AND($E274&lt;&gt;"",NOT(ISNUMBER($E274))),AND($F274&lt;&gt;"",NOT(ISNUMBER($F274))),AND($G274&lt;&gt;"",NOT(ISNUMBER($G274)))),"Fecha no válida"&amp;" · ","")&amp;IF(AND(ISNUMBER($AM274),ISNUMBER($AN274),$AM274&gt;$AN274),"Inicio posterior a fecha límite"&amp;" · ","")&amp;IF(AND($V274="Macro",$H274&lt;&gt;"",OR(NOT(ISNUMBER($H274)),$H274&lt;0,$H274&gt;1)),"Peso fuera de rango"&amp;" · ","")&amp;IF(AND($V274="Sub",$H274&lt;&gt;""),"Las subactividades no llevan peso (valen igual dentro de su macroactividad)"&amp;" · ","")&amp;IF(AND(N($W274)&gt;0,COUNT($I274:$L274)&gt;0),"Con subactividades: deje vacías las semanas (se calculan solas)"&amp;" · ","")&amp;IF((COUNTIF($I274:$L274,"&gt;1")+COUNTIF($I274:$L274,"&lt;0")+COUNTA($I274:$L274)-COUNT($I274:$L274))&gt;0,"Avance fuera de rango 0-100%"&amp;" · ","")&amp;IF(OR(AND($J274&lt;&gt;"",$J274&lt;$I274),AND($K274&lt;&gt;"",$K274&lt;MAX($I274:$J274)),AND($L274&lt;&gt;"",$L274&lt;MAX($I274:$K274))),"Avance semanal decreciente"&amp;" · ","")&amp;IF(AND(ISNUMBER($AN274),$AN274&lt;FechaRef,IF($V274="Sub",N($X274),N($M274))&lt;1),"Vencida"&amp;" · ","")&amp;IF(AND(ObsObligatoria="Sí",ISNUMBER($AN274),$AN274&lt;FechaRef,IF($V274="Sub",N($X274),N($M274))&lt;1,$Q274=""),"Vencida sin observación"&amp;" · ",""),LEN(IF($C274="","Falta el nombre de la actividad"&amp;" · ","")&amp;IF(AND($V274="Sub",N($U274)=0),"Subactividad sin macroactividad arriba"&amp;" · ","")&amp;IF($AM274="","Sin fecha de inicio"&amp;" · ","")&amp;IF($AN274="","Sin fecha límite"&amp;" · ","")&amp;IF(AND(LEFT($C274,11)="[Jefatura] ",N($AL274)=0),"No se encuentra en la hoja de la jefatura (elíjala de nuevo en la lista)"&amp;" · ","")&amp;IF(OR(AND($E274&lt;&gt;"",NOT(ISNUMBER($E274))),AND($F274&lt;&gt;"",NOT(ISNUMBER($F274))),AND($G274&lt;&gt;"",NOT(ISNUMBER($G274)))),"Fecha no válida"&amp;" · ","")&amp;IF(AND(ISNUMBER($AM274),ISNUMBER($AN274),$AM274&gt;$AN274),"Inicio posterior a fecha límite"&amp;" · ","")&amp;IF(AND($V274="Macro",$H274&lt;&gt;"",OR(NOT(ISNUMBER($H274)),$H274&lt;0,$H274&gt;1)),"Peso fuera de rango"&amp;" · ","")&amp;IF(AND($V274="Sub",$H274&lt;&gt;""),"Las subactividades no llevan peso (valen igual dentro de su macroactividad)"&amp;" · ","")&amp;IF(AND(N($W274)&gt;0,COUNT($I274:$L274)&gt;0),"Con subactividades: deje vacías las semanas (se calculan solas)"&amp;" · ","")&amp;IF((COUNTIF($I274:$L274,"&gt;1")+COUNTIF($I274:$L274,"&lt;0")+COUNTA($I274:$L274)-COUNT($I274:$L274))&gt;0,"Avance fuera de rango 0-100%"&amp;" · ","")&amp;IF(OR(AND($J274&lt;&gt;"",$J274&lt;$I274),AND($K274&lt;&gt;"",$K274&lt;MAX($I274:$J274)),AND($L274&lt;&gt;"",$L274&lt;MAX($I274:$K274))),"Avance semanal decreciente"&amp;" · ","")&amp;IF(AND(ISNUMBER($AN274),$AN274&lt;FechaRef,IF($V274="Sub",N($X274),N($M274))&lt;1),"Vencida"&amp;" · ","")&amp;IF(AND(ObsObligatoria="Sí",ISNUMBER($AN274),$AN274&lt;FechaRef,IF($V274="Sub",N($X274),N($M274))&lt;1,$Q274=""),"Vencida sin observación"&amp;" · ",""))-3)))</f>
        <v/>
      </c>
      <c r="S274" s="64">
        <f>IF(NOT((COUNTA($B274:$D274)+COUNTA($G274:$L274)+COUNTA($Q274))&gt;0),"",IF(AND($V274="Sub",N($U274)&gt;0),IF(ISNUMBER(INDEX($AM$5:$AM$1000,$U274-4)),DATE(YEAR(INDEX($AM$5:$AM$1000,$U274-4)),MONTH(INDEX($AM$5:$AM$1000,$U274-4)),1),IF(ISNUMBER(INDEX($AN$5:$AN$1000,$U274-4)),DATE(YEAR(INDEX($AN$5:$AN$1000,$U274-4)),MONTH(INDEX($AN$5:$AN$1000,$U274-4)),1),MesCiclo)),IF(ISNUMBER($AM274),DATE(YEAR($AM274),MONTH($AM274),1),IF(ISNUMBER($AN274),DATE(YEAR($AN274),MONTH($AN274),1),MesCiclo))))</f>
        <v/>
      </c>
      <c r="T274" s="62">
        <f>IF(OR($S274="",$S274&lt;&gt;MesCiclo,$V274&lt;&gt;"Macro"),"",COUNTIFS($S$5:$S274,MesCiclo,$V$5:$V274,"Macro"))</f>
        <v/>
      </c>
      <c r="U274" s="62">
        <f>IF($V274="","",IF($V274="Macro",ROW(),IFERROR(LOOKUP(2,1/($V$5:$V274="Macro"),ROW($V$5:$V274)),0)))</f>
        <v/>
      </c>
      <c r="V274" s="62">
        <f>IF(NOT((COUNTA($B274:$D274)+COUNTA($G274:$L274)+COUNTA($Q274))&gt;0),"",IF($B274="Subactividad","Sub","Macro"))</f>
        <v/>
      </c>
      <c r="W274" s="62">
        <f>IF($V274="Macro",COUNTIFS($U$5:$U$1000,ROW(),$V$5:$V$1000,"Sub"),"")</f>
        <v/>
      </c>
      <c r="X274" s="62">
        <f>IF($V274="","",IF(ISNUMBER($G274),1,IFERROR(LOOKUP(2,1/($I274:$L274&lt;&gt;""),$I274:$L274),0)))</f>
        <v/>
      </c>
      <c r="Y274" s="62">
        <f>IF($V274="","",IF(AND(ISNUMBER($G274),$G274&lt;=IF($S274=MesCiclo,InicioCiclo,$S274+MOD(2-WEEKDAY($S274),7))+6),1,IF(ISNUMBER($I274),$I274,0)))</f>
        <v/>
      </c>
      <c r="Z274" s="62">
        <f>IF($V274="","",IF(AND(ISNUMBER($G274),$G274&lt;=IF($S274=MesCiclo,InicioCiclo,$S274+MOD(2-WEEKDAY($S274),7))+13),1,IF(ISNUMBER($J274),$J274,$Y274)))</f>
        <v/>
      </c>
      <c r="AA274" s="62">
        <f>IF($V274="","",IF(AND(ISNUMBER($G274),$G274&lt;=IF($S274=MesCiclo,InicioCiclo,$S274+MOD(2-WEEKDAY($S274),7))+20),1,IF(ISNUMBER($K274),$K274,$Z274)))</f>
        <v/>
      </c>
      <c r="AB274" s="62">
        <f>IF($V274="","",IF(AND(ISNUMBER($G274),$G274&lt;=IF($S274=MesCiclo,InicioCiclo,$S274+MOD(2-WEEKDAY($S274),7))+27),1,IF(ISNUMBER($L274),$L274,$AA274)))</f>
        <v/>
      </c>
      <c r="AC274" s="62">
        <f>IF($V274="","",IF(AND(ISNUMBER($G274),$G274&lt;=IF($S274=MesCiclo,InicioCiclo,$S274+MOD(2-WEEKDAY($S274),7))+6),1,IF(N($W274)&gt;0,AVERAGEIFS($Y$5:$Y$1000,$U$5:$U$1000,ROW(),$V$5:$V$1000,"Sub"),$Y274)))</f>
        <v/>
      </c>
      <c r="AD274" s="62">
        <f>IF($V274="","",IF(AND(ISNUMBER($G274),$G274&lt;=IF($S274=MesCiclo,InicioCiclo,$S274+MOD(2-WEEKDAY($S274),7))+13),1,IF(N($W274)&gt;0,AVERAGEIFS($Z$5:$Z$1000,$U$5:$U$1000,ROW(),$V$5:$V$1000,"Sub"),$Z274)))</f>
        <v/>
      </c>
      <c r="AE274" s="62">
        <f>IF($V274="","",IF(AND(ISNUMBER($G274),$G274&lt;=IF($S274=MesCiclo,InicioCiclo,$S274+MOD(2-WEEKDAY($S274),7))+20),1,IF(N($W274)&gt;0,AVERAGEIFS($AA$5:$AA$1000,$U$5:$U$1000,ROW(),$V$5:$V$1000,"Sub"),$AA274)))</f>
        <v/>
      </c>
      <c r="AF274" s="62">
        <f>IF($V274="","",IF(AND(ISNUMBER($G274),$G274&lt;=IF($S274=MesCiclo,InicioCiclo,$S274+MOD(2-WEEKDAY($S274),7))+27),1,IF(N($W274)&gt;0,AVERAGEIFS($AB$5:$AB$1000,$U$5:$U$1000,ROW(),$V$5:$V$1000,"Sub"),$AB274)))</f>
        <v/>
      </c>
      <c r="AG274" s="62">
        <f>IF($V274&lt;&gt;"Macro","",IF(COUNTIFS($S$5:$S$1000,$S274,$V$5:$V$1000,"Macro",$H$5:$H$1000,"&gt;0")=0,1/COUNTIFS($S$5:$S$1000,$S274,$V$5:$V$1000,"Macro"),IF(AND(ISNUMBER($H274),N($H274)&gt;0),$H274,SUMIFS($H$5:$H$1000,$S$5:$S$1000,$S274,$V$5:$V$1000,"Macro")/COUNTIFS($S$5:$S$1000,$S274,$V$5:$V$1000,"Macro",$H$5:$H$1000,"&gt;0"))/(COUNTIFS($S$5:$S$1000,$S274,$V$5:$V$1000,"Macro")*SUMIFS($H$5:$H$1000,$S$5:$S$1000,$S274,$V$5:$V$1000,"Macro")/COUNTIFS($S$5:$S$1000,$S274,$V$5:$V$1000,"Macro",$H$5:$H$1000,"&gt;0"))))</f>
        <v/>
      </c>
      <c r="AH274" s="62" t="n"/>
      <c r="AI274" s="62" t="n"/>
      <c r="AJ274" s="62" t="n"/>
      <c r="AK274" s="62" t="n"/>
      <c r="AL274" s="62">
        <f>IF(LEFT($C274,11)="[Jefatura] ",IFERROR(MATCH("Riesgo Normativo|"&amp;MID($C274,12,500),rDname_ADM,0),0),"")</f>
        <v/>
      </c>
      <c r="AM274" s="62">
        <f>IF(N($AL274)&gt;0,INDEX(rIni_ADM,$AL274),IF(ISNUMBER($E274),$E274,""))</f>
        <v/>
      </c>
      <c r="AN274" s="62">
        <f>IF(N($AL274)&gt;0,INDEX(rLim_ADM,$AL274),IF(ISNUMBER($F274),$F274,""))</f>
        <v/>
      </c>
    </row>
    <row r="275">
      <c r="A275" s="56">
        <f>IF(NOT((COUNTA($B275:$D275)+COUNTA($G275:$L275)+COUNTA($Q275))&gt;0),"",IF($V275="Macro",COUNTIFS($V$5:$V275,"Macro",$S$5:$S275,$S275),IF(N($U275)=0,"?",COUNTIFS(INDEX($V$5:$V$1000,1):INDEX($V$5:$V$1000,$U275-4),"Macro",INDEX($S$5:$S$1000,1):INDEX($S$5:$S$1000,$U275-4),INDEX($S$5:$S$1000,$U275-4))&amp;"."&amp;COUNTIFS($U$5:$U275,$U275,$V$5:$V275,"Sub"))))</f>
        <v/>
      </c>
      <c r="B275" s="57" t="n"/>
      <c r="C275" s="58" t="n"/>
      <c r="D275" s="58" t="n"/>
      <c r="E275" s="59">
        <f>IF(N($AL275)&gt;0,INDEX(rIni_ADM,$AL275),"")</f>
        <v/>
      </c>
      <c r="F275" s="59">
        <f>IF(N($AL275)&gt;0,INDEX(rLim_ADM,$AL275),"")</f>
        <v/>
      </c>
      <c r="G275" s="59" t="n"/>
      <c r="H275" s="60" t="n"/>
      <c r="I275" s="60" t="n"/>
      <c r="J275" s="60" t="n"/>
      <c r="K275" s="60" t="n"/>
      <c r="L275" s="60" t="n"/>
      <c r="M275" s="61">
        <f>IF(NOT((COUNTA($B275:$D275)+COUNTA($G275:$L275)+COUNTA($Q275))&gt;0),"",IF($V275="Sub",IFERROR($X275/INDEX($W$5:$W$1000,$U275-4),""),IF(ISNUMBER($G275),1,IF(N($W275)&gt;0,AVERAGEIFS($X$5:$X$1000,$U$5:$U$1000,ROW(),$V$5:$V$1000,"Sub"),$X275))))</f>
        <v/>
      </c>
      <c r="N275" s="56">
        <f>IF(OR($M275="",$V275="Sub"),"",IF($M275&gt;=1,"Completado",IF($M275&gt;0,"En curso","Pendiente")))</f>
        <v/>
      </c>
      <c r="O275" s="56">
        <f>IF(OR(NOT((COUNTA($B275:$D275)+COUNTA($G275:$L275)+COUNTA($Q275))&gt;0),$V275="Sub"),"",IF(ISNUMBER($G275),IF(AND(ISNUMBER($AN275),$G275&gt;$AN275),"Cumplida con "&amp;($G275-$AN275)&amp;IF($G275-$AN275=1," día"," días")&amp;" de retraso","Cumplida"),IF(N($M275)&gt;=1,"Cumplida",IF(NOT(ISNUMBER($AN275)),"Sin fecha límite",IF($AN275&lt;FechaRef,"Vencida hace "&amp;(FechaRef-$AN275)&amp;IF(FechaRef-$AN275=1," día"," días"),IF($AN275=FechaRef,"Vence hoy",IF($AN275-FechaRef&lt;=DiasAlerta,"Vence en "&amp;($AN275-FechaRef)&amp;IF($AN275-FechaRef=1," día"," días"),"En plazo")))))))</f>
        <v/>
      </c>
      <c r="P275" s="62" t="n"/>
      <c r="Q275" s="58" t="n"/>
      <c r="R275" s="63">
        <f>IF(NOT((COUNTA($B275:$D275)+COUNTA($G275:$L275)+COUNTA($Q275))&gt;0),"",IF((IF($C275="","Falta el nombre de la actividad"&amp;" · ","")&amp;IF(AND($V275="Sub",N($U275)=0),"Subactividad sin macroactividad arriba"&amp;" · ","")&amp;IF($AM275="","Sin fecha de inicio"&amp;" · ","")&amp;IF($AN275="","Sin fecha límite"&amp;" · ","")&amp;IF(AND(LEFT($C275,11)="[Jefatura] ",N($AL275)=0),"No se encuentra en la hoja de la jefatura (elíjala de nuevo en la lista)"&amp;" · ","")&amp;IF(OR(AND($E275&lt;&gt;"",NOT(ISNUMBER($E275))),AND($F275&lt;&gt;"",NOT(ISNUMBER($F275))),AND($G275&lt;&gt;"",NOT(ISNUMBER($G275)))),"Fecha no válida"&amp;" · ","")&amp;IF(AND(ISNUMBER($AM275),ISNUMBER($AN275),$AM275&gt;$AN275),"Inicio posterior a fecha límite"&amp;" · ","")&amp;IF(AND($V275="Macro",$H275&lt;&gt;"",OR(NOT(ISNUMBER($H275)),$H275&lt;0,$H275&gt;1)),"Peso fuera de rango"&amp;" · ","")&amp;IF(AND($V275="Sub",$H275&lt;&gt;""),"Las subactividades no llevan peso (valen igual dentro de su macroactividad)"&amp;" · ","")&amp;IF(AND(N($W275)&gt;0,COUNT($I275:$L275)&gt;0),"Con subactividades: deje vacías las semanas (se calculan solas)"&amp;" · ","")&amp;IF((COUNTIF($I275:$L275,"&gt;1")+COUNTIF($I275:$L275,"&lt;0")+COUNTA($I275:$L275)-COUNT($I275:$L275))&gt;0,"Avance fuera de rango 0-100%"&amp;" · ","")&amp;IF(OR(AND($J275&lt;&gt;"",$J275&lt;$I275),AND($K275&lt;&gt;"",$K275&lt;MAX($I275:$J275)),AND($L275&lt;&gt;"",$L275&lt;MAX($I275:$K275))),"Avance semanal decreciente"&amp;" · ","")&amp;IF(AND(ISNUMBER($AN275),$AN275&lt;FechaRef,IF($V275="Sub",N($X275),N($M275))&lt;1),"Vencida"&amp;" · ","")&amp;IF(AND(ObsObligatoria="Sí",ISNUMBER($AN275),$AN275&lt;FechaRef,IF($V275="Sub",N($X275),N($M275))&lt;1,$Q275=""),"Vencida sin observación"&amp;" · ",""))="","✔ OK","⚠ "&amp;LEFT(IF($C275="","Falta el nombre de la actividad"&amp;" · ","")&amp;IF(AND($V275="Sub",N($U275)=0),"Subactividad sin macroactividad arriba"&amp;" · ","")&amp;IF($AM275="","Sin fecha de inicio"&amp;" · ","")&amp;IF($AN275="","Sin fecha límite"&amp;" · ","")&amp;IF(AND(LEFT($C275,11)="[Jefatura] ",N($AL275)=0),"No se encuentra en la hoja de la jefatura (elíjala de nuevo en la lista)"&amp;" · ","")&amp;IF(OR(AND($E275&lt;&gt;"",NOT(ISNUMBER($E275))),AND($F275&lt;&gt;"",NOT(ISNUMBER($F275))),AND($G275&lt;&gt;"",NOT(ISNUMBER($G275)))),"Fecha no válida"&amp;" · ","")&amp;IF(AND(ISNUMBER($AM275),ISNUMBER($AN275),$AM275&gt;$AN275),"Inicio posterior a fecha límite"&amp;" · ","")&amp;IF(AND($V275="Macro",$H275&lt;&gt;"",OR(NOT(ISNUMBER($H275)),$H275&lt;0,$H275&gt;1)),"Peso fuera de rango"&amp;" · ","")&amp;IF(AND($V275="Sub",$H275&lt;&gt;""),"Las subactividades no llevan peso (valen igual dentro de su macroactividad)"&amp;" · ","")&amp;IF(AND(N($W275)&gt;0,COUNT($I275:$L275)&gt;0),"Con subactividades: deje vacías las semanas (se calculan solas)"&amp;" · ","")&amp;IF((COUNTIF($I275:$L275,"&gt;1")+COUNTIF($I275:$L275,"&lt;0")+COUNTA($I275:$L275)-COUNT($I275:$L275))&gt;0,"Avance fuera de rango 0-100%"&amp;" · ","")&amp;IF(OR(AND($J275&lt;&gt;"",$J275&lt;$I275),AND($K275&lt;&gt;"",$K275&lt;MAX($I275:$J275)),AND($L275&lt;&gt;"",$L275&lt;MAX($I275:$K275))),"Avance semanal decreciente"&amp;" · ","")&amp;IF(AND(ISNUMBER($AN275),$AN275&lt;FechaRef,IF($V275="Sub",N($X275),N($M275))&lt;1),"Vencida"&amp;" · ","")&amp;IF(AND(ObsObligatoria="Sí",ISNUMBER($AN275),$AN275&lt;FechaRef,IF($V275="Sub",N($X275),N($M275))&lt;1,$Q275=""),"Vencida sin observación"&amp;" · ",""),LEN(IF($C275="","Falta el nombre de la actividad"&amp;" · ","")&amp;IF(AND($V275="Sub",N($U275)=0),"Subactividad sin macroactividad arriba"&amp;" · ","")&amp;IF($AM275="","Sin fecha de inicio"&amp;" · ","")&amp;IF($AN275="","Sin fecha límite"&amp;" · ","")&amp;IF(AND(LEFT($C275,11)="[Jefatura] ",N($AL275)=0),"No se encuentra en la hoja de la jefatura (elíjala de nuevo en la lista)"&amp;" · ","")&amp;IF(OR(AND($E275&lt;&gt;"",NOT(ISNUMBER($E275))),AND($F275&lt;&gt;"",NOT(ISNUMBER($F275))),AND($G275&lt;&gt;"",NOT(ISNUMBER($G275)))),"Fecha no válida"&amp;" · ","")&amp;IF(AND(ISNUMBER($AM275),ISNUMBER($AN275),$AM275&gt;$AN275),"Inicio posterior a fecha límite"&amp;" · ","")&amp;IF(AND($V275="Macro",$H275&lt;&gt;"",OR(NOT(ISNUMBER($H275)),$H275&lt;0,$H275&gt;1)),"Peso fuera de rango"&amp;" · ","")&amp;IF(AND($V275="Sub",$H275&lt;&gt;""),"Las subactividades no llevan peso (valen igual dentro de su macroactividad)"&amp;" · ","")&amp;IF(AND(N($W275)&gt;0,COUNT($I275:$L275)&gt;0),"Con subactividades: deje vacías las semanas (se calculan solas)"&amp;" · ","")&amp;IF((COUNTIF($I275:$L275,"&gt;1")+COUNTIF($I275:$L275,"&lt;0")+COUNTA($I275:$L275)-COUNT($I275:$L275))&gt;0,"Avance fuera de rango 0-100%"&amp;" · ","")&amp;IF(OR(AND($J275&lt;&gt;"",$J275&lt;$I275),AND($K275&lt;&gt;"",$K275&lt;MAX($I275:$J275)),AND($L275&lt;&gt;"",$L275&lt;MAX($I275:$K275))),"Avance semanal decreciente"&amp;" · ","")&amp;IF(AND(ISNUMBER($AN275),$AN275&lt;FechaRef,IF($V275="Sub",N($X275),N($M275))&lt;1),"Vencida"&amp;" · ","")&amp;IF(AND(ObsObligatoria="Sí",ISNUMBER($AN275),$AN275&lt;FechaRef,IF($V275="Sub",N($X275),N($M275))&lt;1,$Q275=""),"Vencida sin observación"&amp;" · ",""))-3)))</f>
        <v/>
      </c>
      <c r="S275" s="64">
        <f>IF(NOT((COUNTA($B275:$D275)+COUNTA($G275:$L275)+COUNTA($Q275))&gt;0),"",IF(AND($V275="Sub",N($U275)&gt;0),IF(ISNUMBER(INDEX($AM$5:$AM$1000,$U275-4)),DATE(YEAR(INDEX($AM$5:$AM$1000,$U275-4)),MONTH(INDEX($AM$5:$AM$1000,$U275-4)),1),IF(ISNUMBER(INDEX($AN$5:$AN$1000,$U275-4)),DATE(YEAR(INDEX($AN$5:$AN$1000,$U275-4)),MONTH(INDEX($AN$5:$AN$1000,$U275-4)),1),MesCiclo)),IF(ISNUMBER($AM275),DATE(YEAR($AM275),MONTH($AM275),1),IF(ISNUMBER($AN275),DATE(YEAR($AN275),MONTH($AN275),1),MesCiclo))))</f>
        <v/>
      </c>
      <c r="T275" s="62">
        <f>IF(OR($S275="",$S275&lt;&gt;MesCiclo,$V275&lt;&gt;"Macro"),"",COUNTIFS($S$5:$S275,MesCiclo,$V$5:$V275,"Macro"))</f>
        <v/>
      </c>
      <c r="U275" s="62">
        <f>IF($V275="","",IF($V275="Macro",ROW(),IFERROR(LOOKUP(2,1/($V$5:$V275="Macro"),ROW($V$5:$V275)),0)))</f>
        <v/>
      </c>
      <c r="V275" s="62">
        <f>IF(NOT((COUNTA($B275:$D275)+COUNTA($G275:$L275)+COUNTA($Q275))&gt;0),"",IF($B275="Subactividad","Sub","Macro"))</f>
        <v/>
      </c>
      <c r="W275" s="62">
        <f>IF($V275="Macro",COUNTIFS($U$5:$U$1000,ROW(),$V$5:$V$1000,"Sub"),"")</f>
        <v/>
      </c>
      <c r="X275" s="62">
        <f>IF($V275="","",IF(ISNUMBER($G275),1,IFERROR(LOOKUP(2,1/($I275:$L275&lt;&gt;""),$I275:$L275),0)))</f>
        <v/>
      </c>
      <c r="Y275" s="62">
        <f>IF($V275="","",IF(AND(ISNUMBER($G275),$G275&lt;=IF($S275=MesCiclo,InicioCiclo,$S275+MOD(2-WEEKDAY($S275),7))+6),1,IF(ISNUMBER($I275),$I275,0)))</f>
        <v/>
      </c>
      <c r="Z275" s="62">
        <f>IF($V275="","",IF(AND(ISNUMBER($G275),$G275&lt;=IF($S275=MesCiclo,InicioCiclo,$S275+MOD(2-WEEKDAY($S275),7))+13),1,IF(ISNUMBER($J275),$J275,$Y275)))</f>
        <v/>
      </c>
      <c r="AA275" s="62">
        <f>IF($V275="","",IF(AND(ISNUMBER($G275),$G275&lt;=IF($S275=MesCiclo,InicioCiclo,$S275+MOD(2-WEEKDAY($S275),7))+20),1,IF(ISNUMBER($K275),$K275,$Z275)))</f>
        <v/>
      </c>
      <c r="AB275" s="62">
        <f>IF($V275="","",IF(AND(ISNUMBER($G275),$G275&lt;=IF($S275=MesCiclo,InicioCiclo,$S275+MOD(2-WEEKDAY($S275),7))+27),1,IF(ISNUMBER($L275),$L275,$AA275)))</f>
        <v/>
      </c>
      <c r="AC275" s="62">
        <f>IF($V275="","",IF(AND(ISNUMBER($G275),$G275&lt;=IF($S275=MesCiclo,InicioCiclo,$S275+MOD(2-WEEKDAY($S275),7))+6),1,IF(N($W275)&gt;0,AVERAGEIFS($Y$5:$Y$1000,$U$5:$U$1000,ROW(),$V$5:$V$1000,"Sub"),$Y275)))</f>
        <v/>
      </c>
      <c r="AD275" s="62">
        <f>IF($V275="","",IF(AND(ISNUMBER($G275),$G275&lt;=IF($S275=MesCiclo,InicioCiclo,$S275+MOD(2-WEEKDAY($S275),7))+13),1,IF(N($W275)&gt;0,AVERAGEIFS($Z$5:$Z$1000,$U$5:$U$1000,ROW(),$V$5:$V$1000,"Sub"),$Z275)))</f>
        <v/>
      </c>
      <c r="AE275" s="62">
        <f>IF($V275="","",IF(AND(ISNUMBER($G275),$G275&lt;=IF($S275=MesCiclo,InicioCiclo,$S275+MOD(2-WEEKDAY($S275),7))+20),1,IF(N($W275)&gt;0,AVERAGEIFS($AA$5:$AA$1000,$U$5:$U$1000,ROW(),$V$5:$V$1000,"Sub"),$AA275)))</f>
        <v/>
      </c>
      <c r="AF275" s="62">
        <f>IF($V275="","",IF(AND(ISNUMBER($G275),$G275&lt;=IF($S275=MesCiclo,InicioCiclo,$S275+MOD(2-WEEKDAY($S275),7))+27),1,IF(N($W275)&gt;0,AVERAGEIFS($AB$5:$AB$1000,$U$5:$U$1000,ROW(),$V$5:$V$1000,"Sub"),$AB275)))</f>
        <v/>
      </c>
      <c r="AG275" s="62">
        <f>IF($V275&lt;&gt;"Macro","",IF(COUNTIFS($S$5:$S$1000,$S275,$V$5:$V$1000,"Macro",$H$5:$H$1000,"&gt;0")=0,1/COUNTIFS($S$5:$S$1000,$S275,$V$5:$V$1000,"Macro"),IF(AND(ISNUMBER($H275),N($H275)&gt;0),$H275,SUMIFS($H$5:$H$1000,$S$5:$S$1000,$S275,$V$5:$V$1000,"Macro")/COUNTIFS($S$5:$S$1000,$S275,$V$5:$V$1000,"Macro",$H$5:$H$1000,"&gt;0"))/(COUNTIFS($S$5:$S$1000,$S275,$V$5:$V$1000,"Macro")*SUMIFS($H$5:$H$1000,$S$5:$S$1000,$S275,$V$5:$V$1000,"Macro")/COUNTIFS($S$5:$S$1000,$S275,$V$5:$V$1000,"Macro",$H$5:$H$1000,"&gt;0"))))</f>
        <v/>
      </c>
      <c r="AH275" s="62" t="n"/>
      <c r="AI275" s="62" t="n"/>
      <c r="AJ275" s="62" t="n"/>
      <c r="AK275" s="62" t="n"/>
      <c r="AL275" s="62">
        <f>IF(LEFT($C275,11)="[Jefatura] ",IFERROR(MATCH("Riesgo Normativo|"&amp;MID($C275,12,500),rDname_ADM,0),0),"")</f>
        <v/>
      </c>
      <c r="AM275" s="62">
        <f>IF(N($AL275)&gt;0,INDEX(rIni_ADM,$AL275),IF(ISNUMBER($E275),$E275,""))</f>
        <v/>
      </c>
      <c r="AN275" s="62">
        <f>IF(N($AL275)&gt;0,INDEX(rLim_ADM,$AL275),IF(ISNUMBER($F275),$F275,""))</f>
        <v/>
      </c>
    </row>
    <row r="276">
      <c r="A276" s="56">
        <f>IF(NOT((COUNTA($B276:$D276)+COUNTA($G276:$L276)+COUNTA($Q276))&gt;0),"",IF($V276="Macro",COUNTIFS($V$5:$V276,"Macro",$S$5:$S276,$S276),IF(N($U276)=0,"?",COUNTIFS(INDEX($V$5:$V$1000,1):INDEX($V$5:$V$1000,$U276-4),"Macro",INDEX($S$5:$S$1000,1):INDEX($S$5:$S$1000,$U276-4),INDEX($S$5:$S$1000,$U276-4))&amp;"."&amp;COUNTIFS($U$5:$U276,$U276,$V$5:$V276,"Sub"))))</f>
        <v/>
      </c>
      <c r="B276" s="57" t="n"/>
      <c r="C276" s="58" t="n"/>
      <c r="D276" s="58" t="n"/>
      <c r="E276" s="59">
        <f>IF(N($AL276)&gt;0,INDEX(rIni_ADM,$AL276),"")</f>
        <v/>
      </c>
      <c r="F276" s="59">
        <f>IF(N($AL276)&gt;0,INDEX(rLim_ADM,$AL276),"")</f>
        <v/>
      </c>
      <c r="G276" s="59" t="n"/>
      <c r="H276" s="60" t="n"/>
      <c r="I276" s="60" t="n"/>
      <c r="J276" s="60" t="n"/>
      <c r="K276" s="60" t="n"/>
      <c r="L276" s="60" t="n"/>
      <c r="M276" s="61">
        <f>IF(NOT((COUNTA($B276:$D276)+COUNTA($G276:$L276)+COUNTA($Q276))&gt;0),"",IF($V276="Sub",IFERROR($X276/INDEX($W$5:$W$1000,$U276-4),""),IF(ISNUMBER($G276),1,IF(N($W276)&gt;0,AVERAGEIFS($X$5:$X$1000,$U$5:$U$1000,ROW(),$V$5:$V$1000,"Sub"),$X276))))</f>
        <v/>
      </c>
      <c r="N276" s="56">
        <f>IF(OR($M276="",$V276="Sub"),"",IF($M276&gt;=1,"Completado",IF($M276&gt;0,"En curso","Pendiente")))</f>
        <v/>
      </c>
      <c r="O276" s="56">
        <f>IF(OR(NOT((COUNTA($B276:$D276)+COUNTA($G276:$L276)+COUNTA($Q276))&gt;0),$V276="Sub"),"",IF(ISNUMBER($G276),IF(AND(ISNUMBER($AN276),$G276&gt;$AN276),"Cumplida con "&amp;($G276-$AN276)&amp;IF($G276-$AN276=1," día"," días")&amp;" de retraso","Cumplida"),IF(N($M276)&gt;=1,"Cumplida",IF(NOT(ISNUMBER($AN276)),"Sin fecha límite",IF($AN276&lt;FechaRef,"Vencida hace "&amp;(FechaRef-$AN276)&amp;IF(FechaRef-$AN276=1," día"," días"),IF($AN276=FechaRef,"Vence hoy",IF($AN276-FechaRef&lt;=DiasAlerta,"Vence en "&amp;($AN276-FechaRef)&amp;IF($AN276-FechaRef=1," día"," días"),"En plazo")))))))</f>
        <v/>
      </c>
      <c r="P276" s="62" t="n"/>
      <c r="Q276" s="58" t="n"/>
      <c r="R276" s="63">
        <f>IF(NOT((COUNTA($B276:$D276)+COUNTA($G276:$L276)+COUNTA($Q276))&gt;0),"",IF((IF($C276="","Falta el nombre de la actividad"&amp;" · ","")&amp;IF(AND($V276="Sub",N($U276)=0),"Subactividad sin macroactividad arriba"&amp;" · ","")&amp;IF($AM276="","Sin fecha de inicio"&amp;" · ","")&amp;IF($AN276="","Sin fecha límite"&amp;" · ","")&amp;IF(AND(LEFT($C276,11)="[Jefatura] ",N($AL276)=0),"No se encuentra en la hoja de la jefatura (elíjala de nuevo en la lista)"&amp;" · ","")&amp;IF(OR(AND($E276&lt;&gt;"",NOT(ISNUMBER($E276))),AND($F276&lt;&gt;"",NOT(ISNUMBER($F276))),AND($G276&lt;&gt;"",NOT(ISNUMBER($G276)))),"Fecha no válida"&amp;" · ","")&amp;IF(AND(ISNUMBER($AM276),ISNUMBER($AN276),$AM276&gt;$AN276),"Inicio posterior a fecha límite"&amp;" · ","")&amp;IF(AND($V276="Macro",$H276&lt;&gt;"",OR(NOT(ISNUMBER($H276)),$H276&lt;0,$H276&gt;1)),"Peso fuera de rango"&amp;" · ","")&amp;IF(AND($V276="Sub",$H276&lt;&gt;""),"Las subactividades no llevan peso (valen igual dentro de su macroactividad)"&amp;" · ","")&amp;IF(AND(N($W276)&gt;0,COUNT($I276:$L276)&gt;0),"Con subactividades: deje vacías las semanas (se calculan solas)"&amp;" · ","")&amp;IF((COUNTIF($I276:$L276,"&gt;1")+COUNTIF($I276:$L276,"&lt;0")+COUNTA($I276:$L276)-COUNT($I276:$L276))&gt;0,"Avance fuera de rango 0-100%"&amp;" · ","")&amp;IF(OR(AND($J276&lt;&gt;"",$J276&lt;$I276),AND($K276&lt;&gt;"",$K276&lt;MAX($I276:$J276)),AND($L276&lt;&gt;"",$L276&lt;MAX($I276:$K276))),"Avance semanal decreciente"&amp;" · ","")&amp;IF(AND(ISNUMBER($AN276),$AN276&lt;FechaRef,IF($V276="Sub",N($X276),N($M276))&lt;1),"Vencida"&amp;" · ","")&amp;IF(AND(ObsObligatoria="Sí",ISNUMBER($AN276),$AN276&lt;FechaRef,IF($V276="Sub",N($X276),N($M276))&lt;1,$Q276=""),"Vencida sin observación"&amp;" · ",""))="","✔ OK","⚠ "&amp;LEFT(IF($C276="","Falta el nombre de la actividad"&amp;" · ","")&amp;IF(AND($V276="Sub",N($U276)=0),"Subactividad sin macroactividad arriba"&amp;" · ","")&amp;IF($AM276="","Sin fecha de inicio"&amp;" · ","")&amp;IF($AN276="","Sin fecha límite"&amp;" · ","")&amp;IF(AND(LEFT($C276,11)="[Jefatura] ",N($AL276)=0),"No se encuentra en la hoja de la jefatura (elíjala de nuevo en la lista)"&amp;" · ","")&amp;IF(OR(AND($E276&lt;&gt;"",NOT(ISNUMBER($E276))),AND($F276&lt;&gt;"",NOT(ISNUMBER($F276))),AND($G276&lt;&gt;"",NOT(ISNUMBER($G276)))),"Fecha no válida"&amp;" · ","")&amp;IF(AND(ISNUMBER($AM276),ISNUMBER($AN276),$AM276&gt;$AN276),"Inicio posterior a fecha límite"&amp;" · ","")&amp;IF(AND($V276="Macro",$H276&lt;&gt;"",OR(NOT(ISNUMBER($H276)),$H276&lt;0,$H276&gt;1)),"Peso fuera de rango"&amp;" · ","")&amp;IF(AND($V276="Sub",$H276&lt;&gt;""),"Las subactividades no llevan peso (valen igual dentro de su macroactividad)"&amp;" · ","")&amp;IF(AND(N($W276)&gt;0,COUNT($I276:$L276)&gt;0),"Con subactividades: deje vacías las semanas (se calculan solas)"&amp;" · ","")&amp;IF((COUNTIF($I276:$L276,"&gt;1")+COUNTIF($I276:$L276,"&lt;0")+COUNTA($I276:$L276)-COUNT($I276:$L276))&gt;0,"Avance fuera de rango 0-100%"&amp;" · ","")&amp;IF(OR(AND($J276&lt;&gt;"",$J276&lt;$I276),AND($K276&lt;&gt;"",$K276&lt;MAX($I276:$J276)),AND($L276&lt;&gt;"",$L276&lt;MAX($I276:$K276))),"Avance semanal decreciente"&amp;" · ","")&amp;IF(AND(ISNUMBER($AN276),$AN276&lt;FechaRef,IF($V276="Sub",N($X276),N($M276))&lt;1),"Vencida"&amp;" · ","")&amp;IF(AND(ObsObligatoria="Sí",ISNUMBER($AN276),$AN276&lt;FechaRef,IF($V276="Sub",N($X276),N($M276))&lt;1,$Q276=""),"Vencida sin observación"&amp;" · ",""),LEN(IF($C276="","Falta el nombre de la actividad"&amp;" · ","")&amp;IF(AND($V276="Sub",N($U276)=0),"Subactividad sin macroactividad arriba"&amp;" · ","")&amp;IF($AM276="","Sin fecha de inicio"&amp;" · ","")&amp;IF($AN276="","Sin fecha límite"&amp;" · ","")&amp;IF(AND(LEFT($C276,11)="[Jefatura] ",N($AL276)=0),"No se encuentra en la hoja de la jefatura (elíjala de nuevo en la lista)"&amp;" · ","")&amp;IF(OR(AND($E276&lt;&gt;"",NOT(ISNUMBER($E276))),AND($F276&lt;&gt;"",NOT(ISNUMBER($F276))),AND($G276&lt;&gt;"",NOT(ISNUMBER($G276)))),"Fecha no válida"&amp;" · ","")&amp;IF(AND(ISNUMBER($AM276),ISNUMBER($AN276),$AM276&gt;$AN276),"Inicio posterior a fecha límite"&amp;" · ","")&amp;IF(AND($V276="Macro",$H276&lt;&gt;"",OR(NOT(ISNUMBER($H276)),$H276&lt;0,$H276&gt;1)),"Peso fuera de rango"&amp;" · ","")&amp;IF(AND($V276="Sub",$H276&lt;&gt;""),"Las subactividades no llevan peso (valen igual dentro de su macroactividad)"&amp;" · ","")&amp;IF(AND(N($W276)&gt;0,COUNT($I276:$L276)&gt;0),"Con subactividades: deje vacías las semanas (se calculan solas)"&amp;" · ","")&amp;IF((COUNTIF($I276:$L276,"&gt;1")+COUNTIF($I276:$L276,"&lt;0")+COUNTA($I276:$L276)-COUNT($I276:$L276))&gt;0,"Avance fuera de rango 0-100%"&amp;" · ","")&amp;IF(OR(AND($J276&lt;&gt;"",$J276&lt;$I276),AND($K276&lt;&gt;"",$K276&lt;MAX($I276:$J276)),AND($L276&lt;&gt;"",$L276&lt;MAX($I276:$K276))),"Avance semanal decreciente"&amp;" · ","")&amp;IF(AND(ISNUMBER($AN276),$AN276&lt;FechaRef,IF($V276="Sub",N($X276),N($M276))&lt;1),"Vencida"&amp;" · ","")&amp;IF(AND(ObsObligatoria="Sí",ISNUMBER($AN276),$AN276&lt;FechaRef,IF($V276="Sub",N($X276),N($M276))&lt;1,$Q276=""),"Vencida sin observación"&amp;" · ",""))-3)))</f>
        <v/>
      </c>
      <c r="S276" s="64">
        <f>IF(NOT((COUNTA($B276:$D276)+COUNTA($G276:$L276)+COUNTA($Q276))&gt;0),"",IF(AND($V276="Sub",N($U276)&gt;0),IF(ISNUMBER(INDEX($AM$5:$AM$1000,$U276-4)),DATE(YEAR(INDEX($AM$5:$AM$1000,$U276-4)),MONTH(INDEX($AM$5:$AM$1000,$U276-4)),1),IF(ISNUMBER(INDEX($AN$5:$AN$1000,$U276-4)),DATE(YEAR(INDEX($AN$5:$AN$1000,$U276-4)),MONTH(INDEX($AN$5:$AN$1000,$U276-4)),1),MesCiclo)),IF(ISNUMBER($AM276),DATE(YEAR($AM276),MONTH($AM276),1),IF(ISNUMBER($AN276),DATE(YEAR($AN276),MONTH($AN276),1),MesCiclo))))</f>
        <v/>
      </c>
      <c r="T276" s="62">
        <f>IF(OR($S276="",$S276&lt;&gt;MesCiclo,$V276&lt;&gt;"Macro"),"",COUNTIFS($S$5:$S276,MesCiclo,$V$5:$V276,"Macro"))</f>
        <v/>
      </c>
      <c r="U276" s="62">
        <f>IF($V276="","",IF($V276="Macro",ROW(),IFERROR(LOOKUP(2,1/($V$5:$V276="Macro"),ROW($V$5:$V276)),0)))</f>
        <v/>
      </c>
      <c r="V276" s="62">
        <f>IF(NOT((COUNTA($B276:$D276)+COUNTA($G276:$L276)+COUNTA($Q276))&gt;0),"",IF($B276="Subactividad","Sub","Macro"))</f>
        <v/>
      </c>
      <c r="W276" s="62">
        <f>IF($V276="Macro",COUNTIFS($U$5:$U$1000,ROW(),$V$5:$V$1000,"Sub"),"")</f>
        <v/>
      </c>
      <c r="X276" s="62">
        <f>IF($V276="","",IF(ISNUMBER($G276),1,IFERROR(LOOKUP(2,1/($I276:$L276&lt;&gt;""),$I276:$L276),0)))</f>
        <v/>
      </c>
      <c r="Y276" s="62">
        <f>IF($V276="","",IF(AND(ISNUMBER($G276),$G276&lt;=IF($S276=MesCiclo,InicioCiclo,$S276+MOD(2-WEEKDAY($S276),7))+6),1,IF(ISNUMBER($I276),$I276,0)))</f>
        <v/>
      </c>
      <c r="Z276" s="62">
        <f>IF($V276="","",IF(AND(ISNUMBER($G276),$G276&lt;=IF($S276=MesCiclo,InicioCiclo,$S276+MOD(2-WEEKDAY($S276),7))+13),1,IF(ISNUMBER($J276),$J276,$Y276)))</f>
        <v/>
      </c>
      <c r="AA276" s="62">
        <f>IF($V276="","",IF(AND(ISNUMBER($G276),$G276&lt;=IF($S276=MesCiclo,InicioCiclo,$S276+MOD(2-WEEKDAY($S276),7))+20),1,IF(ISNUMBER($K276),$K276,$Z276)))</f>
        <v/>
      </c>
      <c r="AB276" s="62">
        <f>IF($V276="","",IF(AND(ISNUMBER($G276),$G276&lt;=IF($S276=MesCiclo,InicioCiclo,$S276+MOD(2-WEEKDAY($S276),7))+27),1,IF(ISNUMBER($L276),$L276,$AA276)))</f>
        <v/>
      </c>
      <c r="AC276" s="62">
        <f>IF($V276="","",IF(AND(ISNUMBER($G276),$G276&lt;=IF($S276=MesCiclo,InicioCiclo,$S276+MOD(2-WEEKDAY($S276),7))+6),1,IF(N($W276)&gt;0,AVERAGEIFS($Y$5:$Y$1000,$U$5:$U$1000,ROW(),$V$5:$V$1000,"Sub"),$Y276)))</f>
        <v/>
      </c>
      <c r="AD276" s="62">
        <f>IF($V276="","",IF(AND(ISNUMBER($G276),$G276&lt;=IF($S276=MesCiclo,InicioCiclo,$S276+MOD(2-WEEKDAY($S276),7))+13),1,IF(N($W276)&gt;0,AVERAGEIFS($Z$5:$Z$1000,$U$5:$U$1000,ROW(),$V$5:$V$1000,"Sub"),$Z276)))</f>
        <v/>
      </c>
      <c r="AE276" s="62">
        <f>IF($V276="","",IF(AND(ISNUMBER($G276),$G276&lt;=IF($S276=MesCiclo,InicioCiclo,$S276+MOD(2-WEEKDAY($S276),7))+20),1,IF(N($W276)&gt;0,AVERAGEIFS($AA$5:$AA$1000,$U$5:$U$1000,ROW(),$V$5:$V$1000,"Sub"),$AA276)))</f>
        <v/>
      </c>
      <c r="AF276" s="62">
        <f>IF($V276="","",IF(AND(ISNUMBER($G276),$G276&lt;=IF($S276=MesCiclo,InicioCiclo,$S276+MOD(2-WEEKDAY($S276),7))+27),1,IF(N($W276)&gt;0,AVERAGEIFS($AB$5:$AB$1000,$U$5:$U$1000,ROW(),$V$5:$V$1000,"Sub"),$AB276)))</f>
        <v/>
      </c>
      <c r="AG276" s="62">
        <f>IF($V276&lt;&gt;"Macro","",IF(COUNTIFS($S$5:$S$1000,$S276,$V$5:$V$1000,"Macro",$H$5:$H$1000,"&gt;0")=0,1/COUNTIFS($S$5:$S$1000,$S276,$V$5:$V$1000,"Macro"),IF(AND(ISNUMBER($H276),N($H276)&gt;0),$H276,SUMIFS($H$5:$H$1000,$S$5:$S$1000,$S276,$V$5:$V$1000,"Macro")/COUNTIFS($S$5:$S$1000,$S276,$V$5:$V$1000,"Macro",$H$5:$H$1000,"&gt;0"))/(COUNTIFS($S$5:$S$1000,$S276,$V$5:$V$1000,"Macro")*SUMIFS($H$5:$H$1000,$S$5:$S$1000,$S276,$V$5:$V$1000,"Macro")/COUNTIFS($S$5:$S$1000,$S276,$V$5:$V$1000,"Macro",$H$5:$H$1000,"&gt;0"))))</f>
        <v/>
      </c>
      <c r="AH276" s="62" t="n"/>
      <c r="AI276" s="62" t="n"/>
      <c r="AJ276" s="62" t="n"/>
      <c r="AK276" s="62" t="n"/>
      <c r="AL276" s="62">
        <f>IF(LEFT($C276,11)="[Jefatura] ",IFERROR(MATCH("Riesgo Normativo|"&amp;MID($C276,12,500),rDname_ADM,0),0),"")</f>
        <v/>
      </c>
      <c r="AM276" s="62">
        <f>IF(N($AL276)&gt;0,INDEX(rIni_ADM,$AL276),IF(ISNUMBER($E276),$E276,""))</f>
        <v/>
      </c>
      <c r="AN276" s="62">
        <f>IF(N($AL276)&gt;0,INDEX(rLim_ADM,$AL276),IF(ISNUMBER($F276),$F276,""))</f>
        <v/>
      </c>
    </row>
    <row r="277">
      <c r="A277" s="56">
        <f>IF(NOT((COUNTA($B277:$D277)+COUNTA($G277:$L277)+COUNTA($Q277))&gt;0),"",IF($V277="Macro",COUNTIFS($V$5:$V277,"Macro",$S$5:$S277,$S277),IF(N($U277)=0,"?",COUNTIFS(INDEX($V$5:$V$1000,1):INDEX($V$5:$V$1000,$U277-4),"Macro",INDEX($S$5:$S$1000,1):INDEX($S$5:$S$1000,$U277-4),INDEX($S$5:$S$1000,$U277-4))&amp;"."&amp;COUNTIFS($U$5:$U277,$U277,$V$5:$V277,"Sub"))))</f>
        <v/>
      </c>
      <c r="B277" s="57" t="n"/>
      <c r="C277" s="58" t="n"/>
      <c r="D277" s="58" t="n"/>
      <c r="E277" s="59">
        <f>IF(N($AL277)&gt;0,INDEX(rIni_ADM,$AL277),"")</f>
        <v/>
      </c>
      <c r="F277" s="59">
        <f>IF(N($AL277)&gt;0,INDEX(rLim_ADM,$AL277),"")</f>
        <v/>
      </c>
      <c r="G277" s="59" t="n"/>
      <c r="H277" s="60" t="n"/>
      <c r="I277" s="60" t="n"/>
      <c r="J277" s="60" t="n"/>
      <c r="K277" s="60" t="n"/>
      <c r="L277" s="60" t="n"/>
      <c r="M277" s="61">
        <f>IF(NOT((COUNTA($B277:$D277)+COUNTA($G277:$L277)+COUNTA($Q277))&gt;0),"",IF($V277="Sub",IFERROR($X277/INDEX($W$5:$W$1000,$U277-4),""),IF(ISNUMBER($G277),1,IF(N($W277)&gt;0,AVERAGEIFS($X$5:$X$1000,$U$5:$U$1000,ROW(),$V$5:$V$1000,"Sub"),$X277))))</f>
        <v/>
      </c>
      <c r="N277" s="56">
        <f>IF(OR($M277="",$V277="Sub"),"",IF($M277&gt;=1,"Completado",IF($M277&gt;0,"En curso","Pendiente")))</f>
        <v/>
      </c>
      <c r="O277" s="56">
        <f>IF(OR(NOT((COUNTA($B277:$D277)+COUNTA($G277:$L277)+COUNTA($Q277))&gt;0),$V277="Sub"),"",IF(ISNUMBER($G277),IF(AND(ISNUMBER($AN277),$G277&gt;$AN277),"Cumplida con "&amp;($G277-$AN277)&amp;IF($G277-$AN277=1," día"," días")&amp;" de retraso","Cumplida"),IF(N($M277)&gt;=1,"Cumplida",IF(NOT(ISNUMBER($AN277)),"Sin fecha límite",IF($AN277&lt;FechaRef,"Vencida hace "&amp;(FechaRef-$AN277)&amp;IF(FechaRef-$AN277=1," día"," días"),IF($AN277=FechaRef,"Vence hoy",IF($AN277-FechaRef&lt;=DiasAlerta,"Vence en "&amp;($AN277-FechaRef)&amp;IF($AN277-FechaRef=1," día"," días"),"En plazo")))))))</f>
        <v/>
      </c>
      <c r="P277" s="62" t="n"/>
      <c r="Q277" s="58" t="n"/>
      <c r="R277" s="63">
        <f>IF(NOT((COUNTA($B277:$D277)+COUNTA($G277:$L277)+COUNTA($Q277))&gt;0),"",IF((IF($C277="","Falta el nombre de la actividad"&amp;" · ","")&amp;IF(AND($V277="Sub",N($U277)=0),"Subactividad sin macroactividad arriba"&amp;" · ","")&amp;IF($AM277="","Sin fecha de inicio"&amp;" · ","")&amp;IF($AN277="","Sin fecha límite"&amp;" · ","")&amp;IF(AND(LEFT($C277,11)="[Jefatura] ",N($AL277)=0),"No se encuentra en la hoja de la jefatura (elíjala de nuevo en la lista)"&amp;" · ","")&amp;IF(OR(AND($E277&lt;&gt;"",NOT(ISNUMBER($E277))),AND($F277&lt;&gt;"",NOT(ISNUMBER($F277))),AND($G277&lt;&gt;"",NOT(ISNUMBER($G277)))),"Fecha no válida"&amp;" · ","")&amp;IF(AND(ISNUMBER($AM277),ISNUMBER($AN277),$AM277&gt;$AN277),"Inicio posterior a fecha límite"&amp;" · ","")&amp;IF(AND($V277="Macro",$H277&lt;&gt;"",OR(NOT(ISNUMBER($H277)),$H277&lt;0,$H277&gt;1)),"Peso fuera de rango"&amp;" · ","")&amp;IF(AND($V277="Sub",$H277&lt;&gt;""),"Las subactividades no llevan peso (valen igual dentro de su macroactividad)"&amp;" · ","")&amp;IF(AND(N($W277)&gt;0,COUNT($I277:$L277)&gt;0),"Con subactividades: deje vacías las semanas (se calculan solas)"&amp;" · ","")&amp;IF((COUNTIF($I277:$L277,"&gt;1")+COUNTIF($I277:$L277,"&lt;0")+COUNTA($I277:$L277)-COUNT($I277:$L277))&gt;0,"Avance fuera de rango 0-100%"&amp;" · ","")&amp;IF(OR(AND($J277&lt;&gt;"",$J277&lt;$I277),AND($K277&lt;&gt;"",$K277&lt;MAX($I277:$J277)),AND($L277&lt;&gt;"",$L277&lt;MAX($I277:$K277))),"Avance semanal decreciente"&amp;" · ","")&amp;IF(AND(ISNUMBER($AN277),$AN277&lt;FechaRef,IF($V277="Sub",N($X277),N($M277))&lt;1),"Vencida"&amp;" · ","")&amp;IF(AND(ObsObligatoria="Sí",ISNUMBER($AN277),$AN277&lt;FechaRef,IF($V277="Sub",N($X277),N($M277))&lt;1,$Q277=""),"Vencida sin observación"&amp;" · ",""))="","✔ OK","⚠ "&amp;LEFT(IF($C277="","Falta el nombre de la actividad"&amp;" · ","")&amp;IF(AND($V277="Sub",N($U277)=0),"Subactividad sin macroactividad arriba"&amp;" · ","")&amp;IF($AM277="","Sin fecha de inicio"&amp;" · ","")&amp;IF($AN277="","Sin fecha límite"&amp;" · ","")&amp;IF(AND(LEFT($C277,11)="[Jefatura] ",N($AL277)=0),"No se encuentra en la hoja de la jefatura (elíjala de nuevo en la lista)"&amp;" · ","")&amp;IF(OR(AND($E277&lt;&gt;"",NOT(ISNUMBER($E277))),AND($F277&lt;&gt;"",NOT(ISNUMBER($F277))),AND($G277&lt;&gt;"",NOT(ISNUMBER($G277)))),"Fecha no válida"&amp;" · ","")&amp;IF(AND(ISNUMBER($AM277),ISNUMBER($AN277),$AM277&gt;$AN277),"Inicio posterior a fecha límite"&amp;" · ","")&amp;IF(AND($V277="Macro",$H277&lt;&gt;"",OR(NOT(ISNUMBER($H277)),$H277&lt;0,$H277&gt;1)),"Peso fuera de rango"&amp;" · ","")&amp;IF(AND($V277="Sub",$H277&lt;&gt;""),"Las subactividades no llevan peso (valen igual dentro de su macroactividad)"&amp;" · ","")&amp;IF(AND(N($W277)&gt;0,COUNT($I277:$L277)&gt;0),"Con subactividades: deje vacías las semanas (se calculan solas)"&amp;" · ","")&amp;IF((COUNTIF($I277:$L277,"&gt;1")+COUNTIF($I277:$L277,"&lt;0")+COUNTA($I277:$L277)-COUNT($I277:$L277))&gt;0,"Avance fuera de rango 0-100%"&amp;" · ","")&amp;IF(OR(AND($J277&lt;&gt;"",$J277&lt;$I277),AND($K277&lt;&gt;"",$K277&lt;MAX($I277:$J277)),AND($L277&lt;&gt;"",$L277&lt;MAX($I277:$K277))),"Avance semanal decreciente"&amp;" · ","")&amp;IF(AND(ISNUMBER($AN277),$AN277&lt;FechaRef,IF($V277="Sub",N($X277),N($M277))&lt;1),"Vencida"&amp;" · ","")&amp;IF(AND(ObsObligatoria="Sí",ISNUMBER($AN277),$AN277&lt;FechaRef,IF($V277="Sub",N($X277),N($M277))&lt;1,$Q277=""),"Vencida sin observación"&amp;" · ",""),LEN(IF($C277="","Falta el nombre de la actividad"&amp;" · ","")&amp;IF(AND($V277="Sub",N($U277)=0),"Subactividad sin macroactividad arriba"&amp;" · ","")&amp;IF($AM277="","Sin fecha de inicio"&amp;" · ","")&amp;IF($AN277="","Sin fecha límite"&amp;" · ","")&amp;IF(AND(LEFT($C277,11)="[Jefatura] ",N($AL277)=0),"No se encuentra en la hoja de la jefatura (elíjala de nuevo en la lista)"&amp;" · ","")&amp;IF(OR(AND($E277&lt;&gt;"",NOT(ISNUMBER($E277))),AND($F277&lt;&gt;"",NOT(ISNUMBER($F277))),AND($G277&lt;&gt;"",NOT(ISNUMBER($G277)))),"Fecha no válida"&amp;" · ","")&amp;IF(AND(ISNUMBER($AM277),ISNUMBER($AN277),$AM277&gt;$AN277),"Inicio posterior a fecha límite"&amp;" · ","")&amp;IF(AND($V277="Macro",$H277&lt;&gt;"",OR(NOT(ISNUMBER($H277)),$H277&lt;0,$H277&gt;1)),"Peso fuera de rango"&amp;" · ","")&amp;IF(AND($V277="Sub",$H277&lt;&gt;""),"Las subactividades no llevan peso (valen igual dentro de su macroactividad)"&amp;" · ","")&amp;IF(AND(N($W277)&gt;0,COUNT($I277:$L277)&gt;0),"Con subactividades: deje vacías las semanas (se calculan solas)"&amp;" · ","")&amp;IF((COUNTIF($I277:$L277,"&gt;1")+COUNTIF($I277:$L277,"&lt;0")+COUNTA($I277:$L277)-COUNT($I277:$L277))&gt;0,"Avance fuera de rango 0-100%"&amp;" · ","")&amp;IF(OR(AND($J277&lt;&gt;"",$J277&lt;$I277),AND($K277&lt;&gt;"",$K277&lt;MAX($I277:$J277)),AND($L277&lt;&gt;"",$L277&lt;MAX($I277:$K277))),"Avance semanal decreciente"&amp;" · ","")&amp;IF(AND(ISNUMBER($AN277),$AN277&lt;FechaRef,IF($V277="Sub",N($X277),N($M277))&lt;1),"Vencida"&amp;" · ","")&amp;IF(AND(ObsObligatoria="Sí",ISNUMBER($AN277),$AN277&lt;FechaRef,IF($V277="Sub",N($X277),N($M277))&lt;1,$Q277=""),"Vencida sin observación"&amp;" · ",""))-3)))</f>
        <v/>
      </c>
      <c r="S277" s="64">
        <f>IF(NOT((COUNTA($B277:$D277)+COUNTA($G277:$L277)+COUNTA($Q277))&gt;0),"",IF(AND($V277="Sub",N($U277)&gt;0),IF(ISNUMBER(INDEX($AM$5:$AM$1000,$U277-4)),DATE(YEAR(INDEX($AM$5:$AM$1000,$U277-4)),MONTH(INDEX($AM$5:$AM$1000,$U277-4)),1),IF(ISNUMBER(INDEX($AN$5:$AN$1000,$U277-4)),DATE(YEAR(INDEX($AN$5:$AN$1000,$U277-4)),MONTH(INDEX($AN$5:$AN$1000,$U277-4)),1),MesCiclo)),IF(ISNUMBER($AM277),DATE(YEAR($AM277),MONTH($AM277),1),IF(ISNUMBER($AN277),DATE(YEAR($AN277),MONTH($AN277),1),MesCiclo))))</f>
        <v/>
      </c>
      <c r="T277" s="62">
        <f>IF(OR($S277="",$S277&lt;&gt;MesCiclo,$V277&lt;&gt;"Macro"),"",COUNTIFS($S$5:$S277,MesCiclo,$V$5:$V277,"Macro"))</f>
        <v/>
      </c>
      <c r="U277" s="62">
        <f>IF($V277="","",IF($V277="Macro",ROW(),IFERROR(LOOKUP(2,1/($V$5:$V277="Macro"),ROW($V$5:$V277)),0)))</f>
        <v/>
      </c>
      <c r="V277" s="62">
        <f>IF(NOT((COUNTA($B277:$D277)+COUNTA($G277:$L277)+COUNTA($Q277))&gt;0),"",IF($B277="Subactividad","Sub","Macro"))</f>
        <v/>
      </c>
      <c r="W277" s="62">
        <f>IF($V277="Macro",COUNTIFS($U$5:$U$1000,ROW(),$V$5:$V$1000,"Sub"),"")</f>
        <v/>
      </c>
      <c r="X277" s="62">
        <f>IF($V277="","",IF(ISNUMBER($G277),1,IFERROR(LOOKUP(2,1/($I277:$L277&lt;&gt;""),$I277:$L277),0)))</f>
        <v/>
      </c>
      <c r="Y277" s="62">
        <f>IF($V277="","",IF(AND(ISNUMBER($G277),$G277&lt;=IF($S277=MesCiclo,InicioCiclo,$S277+MOD(2-WEEKDAY($S277),7))+6),1,IF(ISNUMBER($I277),$I277,0)))</f>
        <v/>
      </c>
      <c r="Z277" s="62">
        <f>IF($V277="","",IF(AND(ISNUMBER($G277),$G277&lt;=IF($S277=MesCiclo,InicioCiclo,$S277+MOD(2-WEEKDAY($S277),7))+13),1,IF(ISNUMBER($J277),$J277,$Y277)))</f>
        <v/>
      </c>
      <c r="AA277" s="62">
        <f>IF($V277="","",IF(AND(ISNUMBER($G277),$G277&lt;=IF($S277=MesCiclo,InicioCiclo,$S277+MOD(2-WEEKDAY($S277),7))+20),1,IF(ISNUMBER($K277),$K277,$Z277)))</f>
        <v/>
      </c>
      <c r="AB277" s="62">
        <f>IF($V277="","",IF(AND(ISNUMBER($G277),$G277&lt;=IF($S277=MesCiclo,InicioCiclo,$S277+MOD(2-WEEKDAY($S277),7))+27),1,IF(ISNUMBER($L277),$L277,$AA277)))</f>
        <v/>
      </c>
      <c r="AC277" s="62">
        <f>IF($V277="","",IF(AND(ISNUMBER($G277),$G277&lt;=IF($S277=MesCiclo,InicioCiclo,$S277+MOD(2-WEEKDAY($S277),7))+6),1,IF(N($W277)&gt;0,AVERAGEIFS($Y$5:$Y$1000,$U$5:$U$1000,ROW(),$V$5:$V$1000,"Sub"),$Y277)))</f>
        <v/>
      </c>
      <c r="AD277" s="62">
        <f>IF($V277="","",IF(AND(ISNUMBER($G277),$G277&lt;=IF($S277=MesCiclo,InicioCiclo,$S277+MOD(2-WEEKDAY($S277),7))+13),1,IF(N($W277)&gt;0,AVERAGEIFS($Z$5:$Z$1000,$U$5:$U$1000,ROW(),$V$5:$V$1000,"Sub"),$Z277)))</f>
        <v/>
      </c>
      <c r="AE277" s="62">
        <f>IF($V277="","",IF(AND(ISNUMBER($G277),$G277&lt;=IF($S277=MesCiclo,InicioCiclo,$S277+MOD(2-WEEKDAY($S277),7))+20),1,IF(N($W277)&gt;0,AVERAGEIFS($AA$5:$AA$1000,$U$5:$U$1000,ROW(),$V$5:$V$1000,"Sub"),$AA277)))</f>
        <v/>
      </c>
      <c r="AF277" s="62">
        <f>IF($V277="","",IF(AND(ISNUMBER($G277),$G277&lt;=IF($S277=MesCiclo,InicioCiclo,$S277+MOD(2-WEEKDAY($S277),7))+27),1,IF(N($W277)&gt;0,AVERAGEIFS($AB$5:$AB$1000,$U$5:$U$1000,ROW(),$V$5:$V$1000,"Sub"),$AB277)))</f>
        <v/>
      </c>
      <c r="AG277" s="62">
        <f>IF($V277&lt;&gt;"Macro","",IF(COUNTIFS($S$5:$S$1000,$S277,$V$5:$V$1000,"Macro",$H$5:$H$1000,"&gt;0")=0,1/COUNTIFS($S$5:$S$1000,$S277,$V$5:$V$1000,"Macro"),IF(AND(ISNUMBER($H277),N($H277)&gt;0),$H277,SUMIFS($H$5:$H$1000,$S$5:$S$1000,$S277,$V$5:$V$1000,"Macro")/COUNTIFS($S$5:$S$1000,$S277,$V$5:$V$1000,"Macro",$H$5:$H$1000,"&gt;0"))/(COUNTIFS($S$5:$S$1000,$S277,$V$5:$V$1000,"Macro")*SUMIFS($H$5:$H$1000,$S$5:$S$1000,$S277,$V$5:$V$1000,"Macro")/COUNTIFS($S$5:$S$1000,$S277,$V$5:$V$1000,"Macro",$H$5:$H$1000,"&gt;0"))))</f>
        <v/>
      </c>
      <c r="AH277" s="62" t="n"/>
      <c r="AI277" s="62" t="n"/>
      <c r="AJ277" s="62" t="n"/>
      <c r="AK277" s="62" t="n"/>
      <c r="AL277" s="62">
        <f>IF(LEFT($C277,11)="[Jefatura] ",IFERROR(MATCH("Riesgo Normativo|"&amp;MID($C277,12,500),rDname_ADM,0),0),"")</f>
        <v/>
      </c>
      <c r="AM277" s="62">
        <f>IF(N($AL277)&gt;0,INDEX(rIni_ADM,$AL277),IF(ISNUMBER($E277),$E277,""))</f>
        <v/>
      </c>
      <c r="AN277" s="62">
        <f>IF(N($AL277)&gt;0,INDEX(rLim_ADM,$AL277),IF(ISNUMBER($F277),$F277,""))</f>
        <v/>
      </c>
    </row>
    <row r="278">
      <c r="A278" s="56">
        <f>IF(NOT((COUNTA($B278:$D278)+COUNTA($G278:$L278)+COUNTA($Q278))&gt;0),"",IF($V278="Macro",COUNTIFS($V$5:$V278,"Macro",$S$5:$S278,$S278),IF(N($U278)=0,"?",COUNTIFS(INDEX($V$5:$V$1000,1):INDEX($V$5:$V$1000,$U278-4),"Macro",INDEX($S$5:$S$1000,1):INDEX($S$5:$S$1000,$U278-4),INDEX($S$5:$S$1000,$U278-4))&amp;"."&amp;COUNTIFS($U$5:$U278,$U278,$V$5:$V278,"Sub"))))</f>
        <v/>
      </c>
      <c r="B278" s="57" t="n"/>
      <c r="C278" s="58" t="n"/>
      <c r="D278" s="58" t="n"/>
      <c r="E278" s="59">
        <f>IF(N($AL278)&gt;0,INDEX(rIni_ADM,$AL278),"")</f>
        <v/>
      </c>
      <c r="F278" s="59">
        <f>IF(N($AL278)&gt;0,INDEX(rLim_ADM,$AL278),"")</f>
        <v/>
      </c>
      <c r="G278" s="59" t="n"/>
      <c r="H278" s="60" t="n"/>
      <c r="I278" s="60" t="n"/>
      <c r="J278" s="60" t="n"/>
      <c r="K278" s="60" t="n"/>
      <c r="L278" s="60" t="n"/>
      <c r="M278" s="61">
        <f>IF(NOT((COUNTA($B278:$D278)+COUNTA($G278:$L278)+COUNTA($Q278))&gt;0),"",IF($V278="Sub",IFERROR($X278/INDEX($W$5:$W$1000,$U278-4),""),IF(ISNUMBER($G278),1,IF(N($W278)&gt;0,AVERAGEIFS($X$5:$X$1000,$U$5:$U$1000,ROW(),$V$5:$V$1000,"Sub"),$X278))))</f>
        <v/>
      </c>
      <c r="N278" s="56">
        <f>IF(OR($M278="",$V278="Sub"),"",IF($M278&gt;=1,"Completado",IF($M278&gt;0,"En curso","Pendiente")))</f>
        <v/>
      </c>
      <c r="O278" s="56">
        <f>IF(OR(NOT((COUNTA($B278:$D278)+COUNTA($G278:$L278)+COUNTA($Q278))&gt;0),$V278="Sub"),"",IF(ISNUMBER($G278),IF(AND(ISNUMBER($AN278),$G278&gt;$AN278),"Cumplida con "&amp;($G278-$AN278)&amp;IF($G278-$AN278=1," día"," días")&amp;" de retraso","Cumplida"),IF(N($M278)&gt;=1,"Cumplida",IF(NOT(ISNUMBER($AN278)),"Sin fecha límite",IF($AN278&lt;FechaRef,"Vencida hace "&amp;(FechaRef-$AN278)&amp;IF(FechaRef-$AN278=1," día"," días"),IF($AN278=FechaRef,"Vence hoy",IF($AN278-FechaRef&lt;=DiasAlerta,"Vence en "&amp;($AN278-FechaRef)&amp;IF($AN278-FechaRef=1," día"," días"),"En plazo")))))))</f>
        <v/>
      </c>
      <c r="P278" s="62" t="n"/>
      <c r="Q278" s="58" t="n"/>
      <c r="R278" s="63">
        <f>IF(NOT((COUNTA($B278:$D278)+COUNTA($G278:$L278)+COUNTA($Q278))&gt;0),"",IF((IF($C278="","Falta el nombre de la actividad"&amp;" · ","")&amp;IF(AND($V278="Sub",N($U278)=0),"Subactividad sin macroactividad arriba"&amp;" · ","")&amp;IF($AM278="","Sin fecha de inicio"&amp;" · ","")&amp;IF($AN278="","Sin fecha límite"&amp;" · ","")&amp;IF(AND(LEFT($C278,11)="[Jefatura] ",N($AL278)=0),"No se encuentra en la hoja de la jefatura (elíjala de nuevo en la lista)"&amp;" · ","")&amp;IF(OR(AND($E278&lt;&gt;"",NOT(ISNUMBER($E278))),AND($F278&lt;&gt;"",NOT(ISNUMBER($F278))),AND($G278&lt;&gt;"",NOT(ISNUMBER($G278)))),"Fecha no válida"&amp;" · ","")&amp;IF(AND(ISNUMBER($AM278),ISNUMBER($AN278),$AM278&gt;$AN278),"Inicio posterior a fecha límite"&amp;" · ","")&amp;IF(AND($V278="Macro",$H278&lt;&gt;"",OR(NOT(ISNUMBER($H278)),$H278&lt;0,$H278&gt;1)),"Peso fuera de rango"&amp;" · ","")&amp;IF(AND($V278="Sub",$H278&lt;&gt;""),"Las subactividades no llevan peso (valen igual dentro de su macroactividad)"&amp;" · ","")&amp;IF(AND(N($W278)&gt;0,COUNT($I278:$L278)&gt;0),"Con subactividades: deje vacías las semanas (se calculan solas)"&amp;" · ","")&amp;IF((COUNTIF($I278:$L278,"&gt;1")+COUNTIF($I278:$L278,"&lt;0")+COUNTA($I278:$L278)-COUNT($I278:$L278))&gt;0,"Avance fuera de rango 0-100%"&amp;" · ","")&amp;IF(OR(AND($J278&lt;&gt;"",$J278&lt;$I278),AND($K278&lt;&gt;"",$K278&lt;MAX($I278:$J278)),AND($L278&lt;&gt;"",$L278&lt;MAX($I278:$K278))),"Avance semanal decreciente"&amp;" · ","")&amp;IF(AND(ISNUMBER($AN278),$AN278&lt;FechaRef,IF($V278="Sub",N($X278),N($M278))&lt;1),"Vencida"&amp;" · ","")&amp;IF(AND(ObsObligatoria="Sí",ISNUMBER($AN278),$AN278&lt;FechaRef,IF($V278="Sub",N($X278),N($M278))&lt;1,$Q278=""),"Vencida sin observación"&amp;" · ",""))="","✔ OK","⚠ "&amp;LEFT(IF($C278="","Falta el nombre de la actividad"&amp;" · ","")&amp;IF(AND($V278="Sub",N($U278)=0),"Subactividad sin macroactividad arriba"&amp;" · ","")&amp;IF($AM278="","Sin fecha de inicio"&amp;" · ","")&amp;IF($AN278="","Sin fecha límite"&amp;" · ","")&amp;IF(AND(LEFT($C278,11)="[Jefatura] ",N($AL278)=0),"No se encuentra en la hoja de la jefatura (elíjala de nuevo en la lista)"&amp;" · ","")&amp;IF(OR(AND($E278&lt;&gt;"",NOT(ISNUMBER($E278))),AND($F278&lt;&gt;"",NOT(ISNUMBER($F278))),AND($G278&lt;&gt;"",NOT(ISNUMBER($G278)))),"Fecha no válida"&amp;" · ","")&amp;IF(AND(ISNUMBER($AM278),ISNUMBER($AN278),$AM278&gt;$AN278),"Inicio posterior a fecha límite"&amp;" · ","")&amp;IF(AND($V278="Macro",$H278&lt;&gt;"",OR(NOT(ISNUMBER($H278)),$H278&lt;0,$H278&gt;1)),"Peso fuera de rango"&amp;" · ","")&amp;IF(AND($V278="Sub",$H278&lt;&gt;""),"Las subactividades no llevan peso (valen igual dentro de su macroactividad)"&amp;" · ","")&amp;IF(AND(N($W278)&gt;0,COUNT($I278:$L278)&gt;0),"Con subactividades: deje vacías las semanas (se calculan solas)"&amp;" · ","")&amp;IF((COUNTIF($I278:$L278,"&gt;1")+COUNTIF($I278:$L278,"&lt;0")+COUNTA($I278:$L278)-COUNT($I278:$L278))&gt;0,"Avance fuera de rango 0-100%"&amp;" · ","")&amp;IF(OR(AND($J278&lt;&gt;"",$J278&lt;$I278),AND($K278&lt;&gt;"",$K278&lt;MAX($I278:$J278)),AND($L278&lt;&gt;"",$L278&lt;MAX($I278:$K278))),"Avance semanal decreciente"&amp;" · ","")&amp;IF(AND(ISNUMBER($AN278),$AN278&lt;FechaRef,IF($V278="Sub",N($X278),N($M278))&lt;1),"Vencida"&amp;" · ","")&amp;IF(AND(ObsObligatoria="Sí",ISNUMBER($AN278),$AN278&lt;FechaRef,IF($V278="Sub",N($X278),N($M278))&lt;1,$Q278=""),"Vencida sin observación"&amp;" · ",""),LEN(IF($C278="","Falta el nombre de la actividad"&amp;" · ","")&amp;IF(AND($V278="Sub",N($U278)=0),"Subactividad sin macroactividad arriba"&amp;" · ","")&amp;IF($AM278="","Sin fecha de inicio"&amp;" · ","")&amp;IF($AN278="","Sin fecha límite"&amp;" · ","")&amp;IF(AND(LEFT($C278,11)="[Jefatura] ",N($AL278)=0),"No se encuentra en la hoja de la jefatura (elíjala de nuevo en la lista)"&amp;" · ","")&amp;IF(OR(AND($E278&lt;&gt;"",NOT(ISNUMBER($E278))),AND($F278&lt;&gt;"",NOT(ISNUMBER($F278))),AND($G278&lt;&gt;"",NOT(ISNUMBER($G278)))),"Fecha no válida"&amp;" · ","")&amp;IF(AND(ISNUMBER($AM278),ISNUMBER($AN278),$AM278&gt;$AN278),"Inicio posterior a fecha límite"&amp;" · ","")&amp;IF(AND($V278="Macro",$H278&lt;&gt;"",OR(NOT(ISNUMBER($H278)),$H278&lt;0,$H278&gt;1)),"Peso fuera de rango"&amp;" · ","")&amp;IF(AND($V278="Sub",$H278&lt;&gt;""),"Las subactividades no llevan peso (valen igual dentro de su macroactividad)"&amp;" · ","")&amp;IF(AND(N($W278)&gt;0,COUNT($I278:$L278)&gt;0),"Con subactividades: deje vacías las semanas (se calculan solas)"&amp;" · ","")&amp;IF((COUNTIF($I278:$L278,"&gt;1")+COUNTIF($I278:$L278,"&lt;0")+COUNTA($I278:$L278)-COUNT($I278:$L278))&gt;0,"Avance fuera de rango 0-100%"&amp;" · ","")&amp;IF(OR(AND($J278&lt;&gt;"",$J278&lt;$I278),AND($K278&lt;&gt;"",$K278&lt;MAX($I278:$J278)),AND($L278&lt;&gt;"",$L278&lt;MAX($I278:$K278))),"Avance semanal decreciente"&amp;" · ","")&amp;IF(AND(ISNUMBER($AN278),$AN278&lt;FechaRef,IF($V278="Sub",N($X278),N($M278))&lt;1),"Vencida"&amp;" · ","")&amp;IF(AND(ObsObligatoria="Sí",ISNUMBER($AN278),$AN278&lt;FechaRef,IF($V278="Sub",N($X278),N($M278))&lt;1,$Q278=""),"Vencida sin observación"&amp;" · ",""))-3)))</f>
        <v/>
      </c>
      <c r="S278" s="64">
        <f>IF(NOT((COUNTA($B278:$D278)+COUNTA($G278:$L278)+COUNTA($Q278))&gt;0),"",IF(AND($V278="Sub",N($U278)&gt;0),IF(ISNUMBER(INDEX($AM$5:$AM$1000,$U278-4)),DATE(YEAR(INDEX($AM$5:$AM$1000,$U278-4)),MONTH(INDEX($AM$5:$AM$1000,$U278-4)),1),IF(ISNUMBER(INDEX($AN$5:$AN$1000,$U278-4)),DATE(YEAR(INDEX($AN$5:$AN$1000,$U278-4)),MONTH(INDEX($AN$5:$AN$1000,$U278-4)),1),MesCiclo)),IF(ISNUMBER($AM278),DATE(YEAR($AM278),MONTH($AM278),1),IF(ISNUMBER($AN278),DATE(YEAR($AN278),MONTH($AN278),1),MesCiclo))))</f>
        <v/>
      </c>
      <c r="T278" s="62">
        <f>IF(OR($S278="",$S278&lt;&gt;MesCiclo,$V278&lt;&gt;"Macro"),"",COUNTIFS($S$5:$S278,MesCiclo,$V$5:$V278,"Macro"))</f>
        <v/>
      </c>
      <c r="U278" s="62">
        <f>IF($V278="","",IF($V278="Macro",ROW(),IFERROR(LOOKUP(2,1/($V$5:$V278="Macro"),ROW($V$5:$V278)),0)))</f>
        <v/>
      </c>
      <c r="V278" s="62">
        <f>IF(NOT((COUNTA($B278:$D278)+COUNTA($G278:$L278)+COUNTA($Q278))&gt;0),"",IF($B278="Subactividad","Sub","Macro"))</f>
        <v/>
      </c>
      <c r="W278" s="62">
        <f>IF($V278="Macro",COUNTIFS($U$5:$U$1000,ROW(),$V$5:$V$1000,"Sub"),"")</f>
        <v/>
      </c>
      <c r="X278" s="62">
        <f>IF($V278="","",IF(ISNUMBER($G278),1,IFERROR(LOOKUP(2,1/($I278:$L278&lt;&gt;""),$I278:$L278),0)))</f>
        <v/>
      </c>
      <c r="Y278" s="62">
        <f>IF($V278="","",IF(AND(ISNUMBER($G278),$G278&lt;=IF($S278=MesCiclo,InicioCiclo,$S278+MOD(2-WEEKDAY($S278),7))+6),1,IF(ISNUMBER($I278),$I278,0)))</f>
        <v/>
      </c>
      <c r="Z278" s="62">
        <f>IF($V278="","",IF(AND(ISNUMBER($G278),$G278&lt;=IF($S278=MesCiclo,InicioCiclo,$S278+MOD(2-WEEKDAY($S278),7))+13),1,IF(ISNUMBER($J278),$J278,$Y278)))</f>
        <v/>
      </c>
      <c r="AA278" s="62">
        <f>IF($V278="","",IF(AND(ISNUMBER($G278),$G278&lt;=IF($S278=MesCiclo,InicioCiclo,$S278+MOD(2-WEEKDAY($S278),7))+20),1,IF(ISNUMBER($K278),$K278,$Z278)))</f>
        <v/>
      </c>
      <c r="AB278" s="62">
        <f>IF($V278="","",IF(AND(ISNUMBER($G278),$G278&lt;=IF($S278=MesCiclo,InicioCiclo,$S278+MOD(2-WEEKDAY($S278),7))+27),1,IF(ISNUMBER($L278),$L278,$AA278)))</f>
        <v/>
      </c>
      <c r="AC278" s="62">
        <f>IF($V278="","",IF(AND(ISNUMBER($G278),$G278&lt;=IF($S278=MesCiclo,InicioCiclo,$S278+MOD(2-WEEKDAY($S278),7))+6),1,IF(N($W278)&gt;0,AVERAGEIFS($Y$5:$Y$1000,$U$5:$U$1000,ROW(),$V$5:$V$1000,"Sub"),$Y278)))</f>
        <v/>
      </c>
      <c r="AD278" s="62">
        <f>IF($V278="","",IF(AND(ISNUMBER($G278),$G278&lt;=IF($S278=MesCiclo,InicioCiclo,$S278+MOD(2-WEEKDAY($S278),7))+13),1,IF(N($W278)&gt;0,AVERAGEIFS($Z$5:$Z$1000,$U$5:$U$1000,ROW(),$V$5:$V$1000,"Sub"),$Z278)))</f>
        <v/>
      </c>
      <c r="AE278" s="62">
        <f>IF($V278="","",IF(AND(ISNUMBER($G278),$G278&lt;=IF($S278=MesCiclo,InicioCiclo,$S278+MOD(2-WEEKDAY($S278),7))+20),1,IF(N($W278)&gt;0,AVERAGEIFS($AA$5:$AA$1000,$U$5:$U$1000,ROW(),$V$5:$V$1000,"Sub"),$AA278)))</f>
        <v/>
      </c>
      <c r="AF278" s="62">
        <f>IF($V278="","",IF(AND(ISNUMBER($G278),$G278&lt;=IF($S278=MesCiclo,InicioCiclo,$S278+MOD(2-WEEKDAY($S278),7))+27),1,IF(N($W278)&gt;0,AVERAGEIFS($AB$5:$AB$1000,$U$5:$U$1000,ROW(),$V$5:$V$1000,"Sub"),$AB278)))</f>
        <v/>
      </c>
      <c r="AG278" s="62">
        <f>IF($V278&lt;&gt;"Macro","",IF(COUNTIFS($S$5:$S$1000,$S278,$V$5:$V$1000,"Macro",$H$5:$H$1000,"&gt;0")=0,1/COUNTIFS($S$5:$S$1000,$S278,$V$5:$V$1000,"Macro"),IF(AND(ISNUMBER($H278),N($H278)&gt;0),$H278,SUMIFS($H$5:$H$1000,$S$5:$S$1000,$S278,$V$5:$V$1000,"Macro")/COUNTIFS($S$5:$S$1000,$S278,$V$5:$V$1000,"Macro",$H$5:$H$1000,"&gt;0"))/(COUNTIFS($S$5:$S$1000,$S278,$V$5:$V$1000,"Macro")*SUMIFS($H$5:$H$1000,$S$5:$S$1000,$S278,$V$5:$V$1000,"Macro")/COUNTIFS($S$5:$S$1000,$S278,$V$5:$V$1000,"Macro",$H$5:$H$1000,"&gt;0"))))</f>
        <v/>
      </c>
      <c r="AH278" s="62" t="n"/>
      <c r="AI278" s="62" t="n"/>
      <c r="AJ278" s="62" t="n"/>
      <c r="AK278" s="62" t="n"/>
      <c r="AL278" s="62">
        <f>IF(LEFT($C278,11)="[Jefatura] ",IFERROR(MATCH("Riesgo Normativo|"&amp;MID($C278,12,500),rDname_ADM,0),0),"")</f>
        <v/>
      </c>
      <c r="AM278" s="62">
        <f>IF(N($AL278)&gt;0,INDEX(rIni_ADM,$AL278),IF(ISNUMBER($E278),$E278,""))</f>
        <v/>
      </c>
      <c r="AN278" s="62">
        <f>IF(N($AL278)&gt;0,INDEX(rLim_ADM,$AL278),IF(ISNUMBER($F278),$F278,""))</f>
        <v/>
      </c>
    </row>
    <row r="279">
      <c r="A279" s="56">
        <f>IF(NOT((COUNTA($B279:$D279)+COUNTA($G279:$L279)+COUNTA($Q279))&gt;0),"",IF($V279="Macro",COUNTIFS($V$5:$V279,"Macro",$S$5:$S279,$S279),IF(N($U279)=0,"?",COUNTIFS(INDEX($V$5:$V$1000,1):INDEX($V$5:$V$1000,$U279-4),"Macro",INDEX($S$5:$S$1000,1):INDEX($S$5:$S$1000,$U279-4),INDEX($S$5:$S$1000,$U279-4))&amp;"."&amp;COUNTIFS($U$5:$U279,$U279,$V$5:$V279,"Sub"))))</f>
        <v/>
      </c>
      <c r="B279" s="57" t="n"/>
      <c r="C279" s="58" t="n"/>
      <c r="D279" s="58" t="n"/>
      <c r="E279" s="59">
        <f>IF(N($AL279)&gt;0,INDEX(rIni_ADM,$AL279),"")</f>
        <v/>
      </c>
      <c r="F279" s="59">
        <f>IF(N($AL279)&gt;0,INDEX(rLim_ADM,$AL279),"")</f>
        <v/>
      </c>
      <c r="G279" s="59" t="n"/>
      <c r="H279" s="60" t="n"/>
      <c r="I279" s="60" t="n"/>
      <c r="J279" s="60" t="n"/>
      <c r="K279" s="60" t="n"/>
      <c r="L279" s="60" t="n"/>
      <c r="M279" s="61">
        <f>IF(NOT((COUNTA($B279:$D279)+COUNTA($G279:$L279)+COUNTA($Q279))&gt;0),"",IF($V279="Sub",IFERROR($X279/INDEX($W$5:$W$1000,$U279-4),""),IF(ISNUMBER($G279),1,IF(N($W279)&gt;0,AVERAGEIFS($X$5:$X$1000,$U$5:$U$1000,ROW(),$V$5:$V$1000,"Sub"),$X279))))</f>
        <v/>
      </c>
      <c r="N279" s="56">
        <f>IF(OR($M279="",$V279="Sub"),"",IF($M279&gt;=1,"Completado",IF($M279&gt;0,"En curso","Pendiente")))</f>
        <v/>
      </c>
      <c r="O279" s="56">
        <f>IF(OR(NOT((COUNTA($B279:$D279)+COUNTA($G279:$L279)+COUNTA($Q279))&gt;0),$V279="Sub"),"",IF(ISNUMBER($G279),IF(AND(ISNUMBER($AN279),$G279&gt;$AN279),"Cumplida con "&amp;($G279-$AN279)&amp;IF($G279-$AN279=1," día"," días")&amp;" de retraso","Cumplida"),IF(N($M279)&gt;=1,"Cumplida",IF(NOT(ISNUMBER($AN279)),"Sin fecha límite",IF($AN279&lt;FechaRef,"Vencida hace "&amp;(FechaRef-$AN279)&amp;IF(FechaRef-$AN279=1," día"," días"),IF($AN279=FechaRef,"Vence hoy",IF($AN279-FechaRef&lt;=DiasAlerta,"Vence en "&amp;($AN279-FechaRef)&amp;IF($AN279-FechaRef=1," día"," días"),"En plazo")))))))</f>
        <v/>
      </c>
      <c r="P279" s="62" t="n"/>
      <c r="Q279" s="58" t="n"/>
      <c r="R279" s="63">
        <f>IF(NOT((COUNTA($B279:$D279)+COUNTA($G279:$L279)+COUNTA($Q279))&gt;0),"",IF((IF($C279="","Falta el nombre de la actividad"&amp;" · ","")&amp;IF(AND($V279="Sub",N($U279)=0),"Subactividad sin macroactividad arriba"&amp;" · ","")&amp;IF($AM279="","Sin fecha de inicio"&amp;" · ","")&amp;IF($AN279="","Sin fecha límite"&amp;" · ","")&amp;IF(AND(LEFT($C279,11)="[Jefatura] ",N($AL279)=0),"No se encuentra en la hoja de la jefatura (elíjala de nuevo en la lista)"&amp;" · ","")&amp;IF(OR(AND($E279&lt;&gt;"",NOT(ISNUMBER($E279))),AND($F279&lt;&gt;"",NOT(ISNUMBER($F279))),AND($G279&lt;&gt;"",NOT(ISNUMBER($G279)))),"Fecha no válida"&amp;" · ","")&amp;IF(AND(ISNUMBER($AM279),ISNUMBER($AN279),$AM279&gt;$AN279),"Inicio posterior a fecha límite"&amp;" · ","")&amp;IF(AND($V279="Macro",$H279&lt;&gt;"",OR(NOT(ISNUMBER($H279)),$H279&lt;0,$H279&gt;1)),"Peso fuera de rango"&amp;" · ","")&amp;IF(AND($V279="Sub",$H279&lt;&gt;""),"Las subactividades no llevan peso (valen igual dentro de su macroactividad)"&amp;" · ","")&amp;IF(AND(N($W279)&gt;0,COUNT($I279:$L279)&gt;0),"Con subactividades: deje vacías las semanas (se calculan solas)"&amp;" · ","")&amp;IF((COUNTIF($I279:$L279,"&gt;1")+COUNTIF($I279:$L279,"&lt;0")+COUNTA($I279:$L279)-COUNT($I279:$L279))&gt;0,"Avance fuera de rango 0-100%"&amp;" · ","")&amp;IF(OR(AND($J279&lt;&gt;"",$J279&lt;$I279),AND($K279&lt;&gt;"",$K279&lt;MAX($I279:$J279)),AND($L279&lt;&gt;"",$L279&lt;MAX($I279:$K279))),"Avance semanal decreciente"&amp;" · ","")&amp;IF(AND(ISNUMBER($AN279),$AN279&lt;FechaRef,IF($V279="Sub",N($X279),N($M279))&lt;1),"Vencida"&amp;" · ","")&amp;IF(AND(ObsObligatoria="Sí",ISNUMBER($AN279),$AN279&lt;FechaRef,IF($V279="Sub",N($X279),N($M279))&lt;1,$Q279=""),"Vencida sin observación"&amp;" · ",""))="","✔ OK","⚠ "&amp;LEFT(IF($C279="","Falta el nombre de la actividad"&amp;" · ","")&amp;IF(AND($V279="Sub",N($U279)=0),"Subactividad sin macroactividad arriba"&amp;" · ","")&amp;IF($AM279="","Sin fecha de inicio"&amp;" · ","")&amp;IF($AN279="","Sin fecha límite"&amp;" · ","")&amp;IF(AND(LEFT($C279,11)="[Jefatura] ",N($AL279)=0),"No se encuentra en la hoja de la jefatura (elíjala de nuevo en la lista)"&amp;" · ","")&amp;IF(OR(AND($E279&lt;&gt;"",NOT(ISNUMBER($E279))),AND($F279&lt;&gt;"",NOT(ISNUMBER($F279))),AND($G279&lt;&gt;"",NOT(ISNUMBER($G279)))),"Fecha no válida"&amp;" · ","")&amp;IF(AND(ISNUMBER($AM279),ISNUMBER($AN279),$AM279&gt;$AN279),"Inicio posterior a fecha límite"&amp;" · ","")&amp;IF(AND($V279="Macro",$H279&lt;&gt;"",OR(NOT(ISNUMBER($H279)),$H279&lt;0,$H279&gt;1)),"Peso fuera de rango"&amp;" · ","")&amp;IF(AND($V279="Sub",$H279&lt;&gt;""),"Las subactividades no llevan peso (valen igual dentro de su macroactividad)"&amp;" · ","")&amp;IF(AND(N($W279)&gt;0,COUNT($I279:$L279)&gt;0),"Con subactividades: deje vacías las semanas (se calculan solas)"&amp;" · ","")&amp;IF((COUNTIF($I279:$L279,"&gt;1")+COUNTIF($I279:$L279,"&lt;0")+COUNTA($I279:$L279)-COUNT($I279:$L279))&gt;0,"Avance fuera de rango 0-100%"&amp;" · ","")&amp;IF(OR(AND($J279&lt;&gt;"",$J279&lt;$I279),AND($K279&lt;&gt;"",$K279&lt;MAX($I279:$J279)),AND($L279&lt;&gt;"",$L279&lt;MAX($I279:$K279))),"Avance semanal decreciente"&amp;" · ","")&amp;IF(AND(ISNUMBER($AN279),$AN279&lt;FechaRef,IF($V279="Sub",N($X279),N($M279))&lt;1),"Vencida"&amp;" · ","")&amp;IF(AND(ObsObligatoria="Sí",ISNUMBER($AN279),$AN279&lt;FechaRef,IF($V279="Sub",N($X279),N($M279))&lt;1,$Q279=""),"Vencida sin observación"&amp;" · ",""),LEN(IF($C279="","Falta el nombre de la actividad"&amp;" · ","")&amp;IF(AND($V279="Sub",N($U279)=0),"Subactividad sin macroactividad arriba"&amp;" · ","")&amp;IF($AM279="","Sin fecha de inicio"&amp;" · ","")&amp;IF($AN279="","Sin fecha límite"&amp;" · ","")&amp;IF(AND(LEFT($C279,11)="[Jefatura] ",N($AL279)=0),"No se encuentra en la hoja de la jefatura (elíjala de nuevo en la lista)"&amp;" · ","")&amp;IF(OR(AND($E279&lt;&gt;"",NOT(ISNUMBER($E279))),AND($F279&lt;&gt;"",NOT(ISNUMBER($F279))),AND($G279&lt;&gt;"",NOT(ISNUMBER($G279)))),"Fecha no válida"&amp;" · ","")&amp;IF(AND(ISNUMBER($AM279),ISNUMBER($AN279),$AM279&gt;$AN279),"Inicio posterior a fecha límite"&amp;" · ","")&amp;IF(AND($V279="Macro",$H279&lt;&gt;"",OR(NOT(ISNUMBER($H279)),$H279&lt;0,$H279&gt;1)),"Peso fuera de rango"&amp;" · ","")&amp;IF(AND($V279="Sub",$H279&lt;&gt;""),"Las subactividades no llevan peso (valen igual dentro de su macroactividad)"&amp;" · ","")&amp;IF(AND(N($W279)&gt;0,COUNT($I279:$L279)&gt;0),"Con subactividades: deje vacías las semanas (se calculan solas)"&amp;" · ","")&amp;IF((COUNTIF($I279:$L279,"&gt;1")+COUNTIF($I279:$L279,"&lt;0")+COUNTA($I279:$L279)-COUNT($I279:$L279))&gt;0,"Avance fuera de rango 0-100%"&amp;" · ","")&amp;IF(OR(AND($J279&lt;&gt;"",$J279&lt;$I279),AND($K279&lt;&gt;"",$K279&lt;MAX($I279:$J279)),AND($L279&lt;&gt;"",$L279&lt;MAX($I279:$K279))),"Avance semanal decreciente"&amp;" · ","")&amp;IF(AND(ISNUMBER($AN279),$AN279&lt;FechaRef,IF($V279="Sub",N($X279),N($M279))&lt;1),"Vencida"&amp;" · ","")&amp;IF(AND(ObsObligatoria="Sí",ISNUMBER($AN279),$AN279&lt;FechaRef,IF($V279="Sub",N($X279),N($M279))&lt;1,$Q279=""),"Vencida sin observación"&amp;" · ",""))-3)))</f>
        <v/>
      </c>
      <c r="S279" s="64">
        <f>IF(NOT((COUNTA($B279:$D279)+COUNTA($G279:$L279)+COUNTA($Q279))&gt;0),"",IF(AND($V279="Sub",N($U279)&gt;0),IF(ISNUMBER(INDEX($AM$5:$AM$1000,$U279-4)),DATE(YEAR(INDEX($AM$5:$AM$1000,$U279-4)),MONTH(INDEX($AM$5:$AM$1000,$U279-4)),1),IF(ISNUMBER(INDEX($AN$5:$AN$1000,$U279-4)),DATE(YEAR(INDEX($AN$5:$AN$1000,$U279-4)),MONTH(INDEX($AN$5:$AN$1000,$U279-4)),1),MesCiclo)),IF(ISNUMBER($AM279),DATE(YEAR($AM279),MONTH($AM279),1),IF(ISNUMBER($AN279),DATE(YEAR($AN279),MONTH($AN279),1),MesCiclo))))</f>
        <v/>
      </c>
      <c r="T279" s="62">
        <f>IF(OR($S279="",$S279&lt;&gt;MesCiclo,$V279&lt;&gt;"Macro"),"",COUNTIFS($S$5:$S279,MesCiclo,$V$5:$V279,"Macro"))</f>
        <v/>
      </c>
      <c r="U279" s="62">
        <f>IF($V279="","",IF($V279="Macro",ROW(),IFERROR(LOOKUP(2,1/($V$5:$V279="Macro"),ROW($V$5:$V279)),0)))</f>
        <v/>
      </c>
      <c r="V279" s="62">
        <f>IF(NOT((COUNTA($B279:$D279)+COUNTA($G279:$L279)+COUNTA($Q279))&gt;0),"",IF($B279="Subactividad","Sub","Macro"))</f>
        <v/>
      </c>
      <c r="W279" s="62">
        <f>IF($V279="Macro",COUNTIFS($U$5:$U$1000,ROW(),$V$5:$V$1000,"Sub"),"")</f>
        <v/>
      </c>
      <c r="X279" s="62">
        <f>IF($V279="","",IF(ISNUMBER($G279),1,IFERROR(LOOKUP(2,1/($I279:$L279&lt;&gt;""),$I279:$L279),0)))</f>
        <v/>
      </c>
      <c r="Y279" s="62">
        <f>IF($V279="","",IF(AND(ISNUMBER($G279),$G279&lt;=IF($S279=MesCiclo,InicioCiclo,$S279+MOD(2-WEEKDAY($S279),7))+6),1,IF(ISNUMBER($I279),$I279,0)))</f>
        <v/>
      </c>
      <c r="Z279" s="62">
        <f>IF($V279="","",IF(AND(ISNUMBER($G279),$G279&lt;=IF($S279=MesCiclo,InicioCiclo,$S279+MOD(2-WEEKDAY($S279),7))+13),1,IF(ISNUMBER($J279),$J279,$Y279)))</f>
        <v/>
      </c>
      <c r="AA279" s="62">
        <f>IF($V279="","",IF(AND(ISNUMBER($G279),$G279&lt;=IF($S279=MesCiclo,InicioCiclo,$S279+MOD(2-WEEKDAY($S279),7))+20),1,IF(ISNUMBER($K279),$K279,$Z279)))</f>
        <v/>
      </c>
      <c r="AB279" s="62">
        <f>IF($V279="","",IF(AND(ISNUMBER($G279),$G279&lt;=IF($S279=MesCiclo,InicioCiclo,$S279+MOD(2-WEEKDAY($S279),7))+27),1,IF(ISNUMBER($L279),$L279,$AA279)))</f>
        <v/>
      </c>
      <c r="AC279" s="62">
        <f>IF($V279="","",IF(AND(ISNUMBER($G279),$G279&lt;=IF($S279=MesCiclo,InicioCiclo,$S279+MOD(2-WEEKDAY($S279),7))+6),1,IF(N($W279)&gt;0,AVERAGEIFS($Y$5:$Y$1000,$U$5:$U$1000,ROW(),$V$5:$V$1000,"Sub"),$Y279)))</f>
        <v/>
      </c>
      <c r="AD279" s="62">
        <f>IF($V279="","",IF(AND(ISNUMBER($G279),$G279&lt;=IF($S279=MesCiclo,InicioCiclo,$S279+MOD(2-WEEKDAY($S279),7))+13),1,IF(N($W279)&gt;0,AVERAGEIFS($Z$5:$Z$1000,$U$5:$U$1000,ROW(),$V$5:$V$1000,"Sub"),$Z279)))</f>
        <v/>
      </c>
      <c r="AE279" s="62">
        <f>IF($V279="","",IF(AND(ISNUMBER($G279),$G279&lt;=IF($S279=MesCiclo,InicioCiclo,$S279+MOD(2-WEEKDAY($S279),7))+20),1,IF(N($W279)&gt;0,AVERAGEIFS($AA$5:$AA$1000,$U$5:$U$1000,ROW(),$V$5:$V$1000,"Sub"),$AA279)))</f>
        <v/>
      </c>
      <c r="AF279" s="62">
        <f>IF($V279="","",IF(AND(ISNUMBER($G279),$G279&lt;=IF($S279=MesCiclo,InicioCiclo,$S279+MOD(2-WEEKDAY($S279),7))+27),1,IF(N($W279)&gt;0,AVERAGEIFS($AB$5:$AB$1000,$U$5:$U$1000,ROW(),$V$5:$V$1000,"Sub"),$AB279)))</f>
        <v/>
      </c>
      <c r="AG279" s="62">
        <f>IF($V279&lt;&gt;"Macro","",IF(COUNTIFS($S$5:$S$1000,$S279,$V$5:$V$1000,"Macro",$H$5:$H$1000,"&gt;0")=0,1/COUNTIFS($S$5:$S$1000,$S279,$V$5:$V$1000,"Macro"),IF(AND(ISNUMBER($H279),N($H279)&gt;0),$H279,SUMIFS($H$5:$H$1000,$S$5:$S$1000,$S279,$V$5:$V$1000,"Macro")/COUNTIFS($S$5:$S$1000,$S279,$V$5:$V$1000,"Macro",$H$5:$H$1000,"&gt;0"))/(COUNTIFS($S$5:$S$1000,$S279,$V$5:$V$1000,"Macro")*SUMIFS($H$5:$H$1000,$S$5:$S$1000,$S279,$V$5:$V$1000,"Macro")/COUNTIFS($S$5:$S$1000,$S279,$V$5:$V$1000,"Macro",$H$5:$H$1000,"&gt;0"))))</f>
        <v/>
      </c>
      <c r="AH279" s="62" t="n"/>
      <c r="AI279" s="62" t="n"/>
      <c r="AJ279" s="62" t="n"/>
      <c r="AK279" s="62" t="n"/>
      <c r="AL279" s="62">
        <f>IF(LEFT($C279,11)="[Jefatura] ",IFERROR(MATCH("Riesgo Normativo|"&amp;MID($C279,12,500),rDname_ADM,0),0),"")</f>
        <v/>
      </c>
      <c r="AM279" s="62">
        <f>IF(N($AL279)&gt;0,INDEX(rIni_ADM,$AL279),IF(ISNUMBER($E279),$E279,""))</f>
        <v/>
      </c>
      <c r="AN279" s="62">
        <f>IF(N($AL279)&gt;0,INDEX(rLim_ADM,$AL279),IF(ISNUMBER($F279),$F279,""))</f>
        <v/>
      </c>
    </row>
    <row r="280">
      <c r="A280" s="56">
        <f>IF(NOT((COUNTA($B280:$D280)+COUNTA($G280:$L280)+COUNTA($Q280))&gt;0),"",IF($V280="Macro",COUNTIFS($V$5:$V280,"Macro",$S$5:$S280,$S280),IF(N($U280)=0,"?",COUNTIFS(INDEX($V$5:$V$1000,1):INDEX($V$5:$V$1000,$U280-4),"Macro",INDEX($S$5:$S$1000,1):INDEX($S$5:$S$1000,$U280-4),INDEX($S$5:$S$1000,$U280-4))&amp;"."&amp;COUNTIFS($U$5:$U280,$U280,$V$5:$V280,"Sub"))))</f>
        <v/>
      </c>
      <c r="B280" s="57" t="n"/>
      <c r="C280" s="58" t="n"/>
      <c r="D280" s="58" t="n"/>
      <c r="E280" s="59">
        <f>IF(N($AL280)&gt;0,INDEX(rIni_ADM,$AL280),"")</f>
        <v/>
      </c>
      <c r="F280" s="59">
        <f>IF(N($AL280)&gt;0,INDEX(rLim_ADM,$AL280),"")</f>
        <v/>
      </c>
      <c r="G280" s="59" t="n"/>
      <c r="H280" s="60" t="n"/>
      <c r="I280" s="60" t="n"/>
      <c r="J280" s="60" t="n"/>
      <c r="K280" s="60" t="n"/>
      <c r="L280" s="60" t="n"/>
      <c r="M280" s="61">
        <f>IF(NOT((COUNTA($B280:$D280)+COUNTA($G280:$L280)+COUNTA($Q280))&gt;0),"",IF($V280="Sub",IFERROR($X280/INDEX($W$5:$W$1000,$U280-4),""),IF(ISNUMBER($G280),1,IF(N($W280)&gt;0,AVERAGEIFS($X$5:$X$1000,$U$5:$U$1000,ROW(),$V$5:$V$1000,"Sub"),$X280))))</f>
        <v/>
      </c>
      <c r="N280" s="56">
        <f>IF(OR($M280="",$V280="Sub"),"",IF($M280&gt;=1,"Completado",IF($M280&gt;0,"En curso","Pendiente")))</f>
        <v/>
      </c>
      <c r="O280" s="56">
        <f>IF(OR(NOT((COUNTA($B280:$D280)+COUNTA($G280:$L280)+COUNTA($Q280))&gt;0),$V280="Sub"),"",IF(ISNUMBER($G280),IF(AND(ISNUMBER($AN280),$G280&gt;$AN280),"Cumplida con "&amp;($G280-$AN280)&amp;IF($G280-$AN280=1," día"," días")&amp;" de retraso","Cumplida"),IF(N($M280)&gt;=1,"Cumplida",IF(NOT(ISNUMBER($AN280)),"Sin fecha límite",IF($AN280&lt;FechaRef,"Vencida hace "&amp;(FechaRef-$AN280)&amp;IF(FechaRef-$AN280=1," día"," días"),IF($AN280=FechaRef,"Vence hoy",IF($AN280-FechaRef&lt;=DiasAlerta,"Vence en "&amp;($AN280-FechaRef)&amp;IF($AN280-FechaRef=1," día"," días"),"En plazo")))))))</f>
        <v/>
      </c>
      <c r="P280" s="62" t="n"/>
      <c r="Q280" s="58" t="n"/>
      <c r="R280" s="63">
        <f>IF(NOT((COUNTA($B280:$D280)+COUNTA($G280:$L280)+COUNTA($Q280))&gt;0),"",IF((IF($C280="","Falta el nombre de la actividad"&amp;" · ","")&amp;IF(AND($V280="Sub",N($U280)=0),"Subactividad sin macroactividad arriba"&amp;" · ","")&amp;IF($AM280="","Sin fecha de inicio"&amp;" · ","")&amp;IF($AN280="","Sin fecha límite"&amp;" · ","")&amp;IF(AND(LEFT($C280,11)="[Jefatura] ",N($AL280)=0),"No se encuentra en la hoja de la jefatura (elíjala de nuevo en la lista)"&amp;" · ","")&amp;IF(OR(AND($E280&lt;&gt;"",NOT(ISNUMBER($E280))),AND($F280&lt;&gt;"",NOT(ISNUMBER($F280))),AND($G280&lt;&gt;"",NOT(ISNUMBER($G280)))),"Fecha no válida"&amp;" · ","")&amp;IF(AND(ISNUMBER($AM280),ISNUMBER($AN280),$AM280&gt;$AN280),"Inicio posterior a fecha límite"&amp;" · ","")&amp;IF(AND($V280="Macro",$H280&lt;&gt;"",OR(NOT(ISNUMBER($H280)),$H280&lt;0,$H280&gt;1)),"Peso fuera de rango"&amp;" · ","")&amp;IF(AND($V280="Sub",$H280&lt;&gt;""),"Las subactividades no llevan peso (valen igual dentro de su macroactividad)"&amp;" · ","")&amp;IF(AND(N($W280)&gt;0,COUNT($I280:$L280)&gt;0),"Con subactividades: deje vacías las semanas (se calculan solas)"&amp;" · ","")&amp;IF((COUNTIF($I280:$L280,"&gt;1")+COUNTIF($I280:$L280,"&lt;0")+COUNTA($I280:$L280)-COUNT($I280:$L280))&gt;0,"Avance fuera de rango 0-100%"&amp;" · ","")&amp;IF(OR(AND($J280&lt;&gt;"",$J280&lt;$I280),AND($K280&lt;&gt;"",$K280&lt;MAX($I280:$J280)),AND($L280&lt;&gt;"",$L280&lt;MAX($I280:$K280))),"Avance semanal decreciente"&amp;" · ","")&amp;IF(AND(ISNUMBER($AN280),$AN280&lt;FechaRef,IF($V280="Sub",N($X280),N($M280))&lt;1),"Vencida"&amp;" · ","")&amp;IF(AND(ObsObligatoria="Sí",ISNUMBER($AN280),$AN280&lt;FechaRef,IF($V280="Sub",N($X280),N($M280))&lt;1,$Q280=""),"Vencida sin observación"&amp;" · ",""))="","✔ OK","⚠ "&amp;LEFT(IF($C280="","Falta el nombre de la actividad"&amp;" · ","")&amp;IF(AND($V280="Sub",N($U280)=0),"Subactividad sin macroactividad arriba"&amp;" · ","")&amp;IF($AM280="","Sin fecha de inicio"&amp;" · ","")&amp;IF($AN280="","Sin fecha límite"&amp;" · ","")&amp;IF(AND(LEFT($C280,11)="[Jefatura] ",N($AL280)=0),"No se encuentra en la hoja de la jefatura (elíjala de nuevo en la lista)"&amp;" · ","")&amp;IF(OR(AND($E280&lt;&gt;"",NOT(ISNUMBER($E280))),AND($F280&lt;&gt;"",NOT(ISNUMBER($F280))),AND($G280&lt;&gt;"",NOT(ISNUMBER($G280)))),"Fecha no válida"&amp;" · ","")&amp;IF(AND(ISNUMBER($AM280),ISNUMBER($AN280),$AM280&gt;$AN280),"Inicio posterior a fecha límite"&amp;" · ","")&amp;IF(AND($V280="Macro",$H280&lt;&gt;"",OR(NOT(ISNUMBER($H280)),$H280&lt;0,$H280&gt;1)),"Peso fuera de rango"&amp;" · ","")&amp;IF(AND($V280="Sub",$H280&lt;&gt;""),"Las subactividades no llevan peso (valen igual dentro de su macroactividad)"&amp;" · ","")&amp;IF(AND(N($W280)&gt;0,COUNT($I280:$L280)&gt;0),"Con subactividades: deje vacías las semanas (se calculan solas)"&amp;" · ","")&amp;IF((COUNTIF($I280:$L280,"&gt;1")+COUNTIF($I280:$L280,"&lt;0")+COUNTA($I280:$L280)-COUNT($I280:$L280))&gt;0,"Avance fuera de rango 0-100%"&amp;" · ","")&amp;IF(OR(AND($J280&lt;&gt;"",$J280&lt;$I280),AND($K280&lt;&gt;"",$K280&lt;MAX($I280:$J280)),AND($L280&lt;&gt;"",$L280&lt;MAX($I280:$K280))),"Avance semanal decreciente"&amp;" · ","")&amp;IF(AND(ISNUMBER($AN280),$AN280&lt;FechaRef,IF($V280="Sub",N($X280),N($M280))&lt;1),"Vencida"&amp;" · ","")&amp;IF(AND(ObsObligatoria="Sí",ISNUMBER($AN280),$AN280&lt;FechaRef,IF($V280="Sub",N($X280),N($M280))&lt;1,$Q280=""),"Vencida sin observación"&amp;" · ",""),LEN(IF($C280="","Falta el nombre de la actividad"&amp;" · ","")&amp;IF(AND($V280="Sub",N($U280)=0),"Subactividad sin macroactividad arriba"&amp;" · ","")&amp;IF($AM280="","Sin fecha de inicio"&amp;" · ","")&amp;IF($AN280="","Sin fecha límite"&amp;" · ","")&amp;IF(AND(LEFT($C280,11)="[Jefatura] ",N($AL280)=0),"No se encuentra en la hoja de la jefatura (elíjala de nuevo en la lista)"&amp;" · ","")&amp;IF(OR(AND($E280&lt;&gt;"",NOT(ISNUMBER($E280))),AND($F280&lt;&gt;"",NOT(ISNUMBER($F280))),AND($G280&lt;&gt;"",NOT(ISNUMBER($G280)))),"Fecha no válida"&amp;" · ","")&amp;IF(AND(ISNUMBER($AM280),ISNUMBER($AN280),$AM280&gt;$AN280),"Inicio posterior a fecha límite"&amp;" · ","")&amp;IF(AND($V280="Macro",$H280&lt;&gt;"",OR(NOT(ISNUMBER($H280)),$H280&lt;0,$H280&gt;1)),"Peso fuera de rango"&amp;" · ","")&amp;IF(AND($V280="Sub",$H280&lt;&gt;""),"Las subactividades no llevan peso (valen igual dentro de su macroactividad)"&amp;" · ","")&amp;IF(AND(N($W280)&gt;0,COUNT($I280:$L280)&gt;0),"Con subactividades: deje vacías las semanas (se calculan solas)"&amp;" · ","")&amp;IF((COUNTIF($I280:$L280,"&gt;1")+COUNTIF($I280:$L280,"&lt;0")+COUNTA($I280:$L280)-COUNT($I280:$L280))&gt;0,"Avance fuera de rango 0-100%"&amp;" · ","")&amp;IF(OR(AND($J280&lt;&gt;"",$J280&lt;$I280),AND($K280&lt;&gt;"",$K280&lt;MAX($I280:$J280)),AND($L280&lt;&gt;"",$L280&lt;MAX($I280:$K280))),"Avance semanal decreciente"&amp;" · ","")&amp;IF(AND(ISNUMBER($AN280),$AN280&lt;FechaRef,IF($V280="Sub",N($X280),N($M280))&lt;1),"Vencida"&amp;" · ","")&amp;IF(AND(ObsObligatoria="Sí",ISNUMBER($AN280),$AN280&lt;FechaRef,IF($V280="Sub",N($X280),N($M280))&lt;1,$Q280=""),"Vencida sin observación"&amp;" · ",""))-3)))</f>
        <v/>
      </c>
      <c r="S280" s="64">
        <f>IF(NOT((COUNTA($B280:$D280)+COUNTA($G280:$L280)+COUNTA($Q280))&gt;0),"",IF(AND($V280="Sub",N($U280)&gt;0),IF(ISNUMBER(INDEX($AM$5:$AM$1000,$U280-4)),DATE(YEAR(INDEX($AM$5:$AM$1000,$U280-4)),MONTH(INDEX($AM$5:$AM$1000,$U280-4)),1),IF(ISNUMBER(INDEX($AN$5:$AN$1000,$U280-4)),DATE(YEAR(INDEX($AN$5:$AN$1000,$U280-4)),MONTH(INDEX($AN$5:$AN$1000,$U280-4)),1),MesCiclo)),IF(ISNUMBER($AM280),DATE(YEAR($AM280),MONTH($AM280),1),IF(ISNUMBER($AN280),DATE(YEAR($AN280),MONTH($AN280),1),MesCiclo))))</f>
        <v/>
      </c>
      <c r="T280" s="62">
        <f>IF(OR($S280="",$S280&lt;&gt;MesCiclo,$V280&lt;&gt;"Macro"),"",COUNTIFS($S$5:$S280,MesCiclo,$V$5:$V280,"Macro"))</f>
        <v/>
      </c>
      <c r="U280" s="62">
        <f>IF($V280="","",IF($V280="Macro",ROW(),IFERROR(LOOKUP(2,1/($V$5:$V280="Macro"),ROW($V$5:$V280)),0)))</f>
        <v/>
      </c>
      <c r="V280" s="62">
        <f>IF(NOT((COUNTA($B280:$D280)+COUNTA($G280:$L280)+COUNTA($Q280))&gt;0),"",IF($B280="Subactividad","Sub","Macro"))</f>
        <v/>
      </c>
      <c r="W280" s="62">
        <f>IF($V280="Macro",COUNTIFS($U$5:$U$1000,ROW(),$V$5:$V$1000,"Sub"),"")</f>
        <v/>
      </c>
      <c r="X280" s="62">
        <f>IF($V280="","",IF(ISNUMBER($G280),1,IFERROR(LOOKUP(2,1/($I280:$L280&lt;&gt;""),$I280:$L280),0)))</f>
        <v/>
      </c>
      <c r="Y280" s="62">
        <f>IF($V280="","",IF(AND(ISNUMBER($G280),$G280&lt;=IF($S280=MesCiclo,InicioCiclo,$S280+MOD(2-WEEKDAY($S280),7))+6),1,IF(ISNUMBER($I280),$I280,0)))</f>
        <v/>
      </c>
      <c r="Z280" s="62">
        <f>IF($V280="","",IF(AND(ISNUMBER($G280),$G280&lt;=IF($S280=MesCiclo,InicioCiclo,$S280+MOD(2-WEEKDAY($S280),7))+13),1,IF(ISNUMBER($J280),$J280,$Y280)))</f>
        <v/>
      </c>
      <c r="AA280" s="62">
        <f>IF($V280="","",IF(AND(ISNUMBER($G280),$G280&lt;=IF($S280=MesCiclo,InicioCiclo,$S280+MOD(2-WEEKDAY($S280),7))+20),1,IF(ISNUMBER($K280),$K280,$Z280)))</f>
        <v/>
      </c>
      <c r="AB280" s="62">
        <f>IF($V280="","",IF(AND(ISNUMBER($G280),$G280&lt;=IF($S280=MesCiclo,InicioCiclo,$S280+MOD(2-WEEKDAY($S280),7))+27),1,IF(ISNUMBER($L280),$L280,$AA280)))</f>
        <v/>
      </c>
      <c r="AC280" s="62">
        <f>IF($V280="","",IF(AND(ISNUMBER($G280),$G280&lt;=IF($S280=MesCiclo,InicioCiclo,$S280+MOD(2-WEEKDAY($S280),7))+6),1,IF(N($W280)&gt;0,AVERAGEIFS($Y$5:$Y$1000,$U$5:$U$1000,ROW(),$V$5:$V$1000,"Sub"),$Y280)))</f>
        <v/>
      </c>
      <c r="AD280" s="62">
        <f>IF($V280="","",IF(AND(ISNUMBER($G280),$G280&lt;=IF($S280=MesCiclo,InicioCiclo,$S280+MOD(2-WEEKDAY($S280),7))+13),1,IF(N($W280)&gt;0,AVERAGEIFS($Z$5:$Z$1000,$U$5:$U$1000,ROW(),$V$5:$V$1000,"Sub"),$Z280)))</f>
        <v/>
      </c>
      <c r="AE280" s="62">
        <f>IF($V280="","",IF(AND(ISNUMBER($G280),$G280&lt;=IF($S280=MesCiclo,InicioCiclo,$S280+MOD(2-WEEKDAY($S280),7))+20),1,IF(N($W280)&gt;0,AVERAGEIFS($AA$5:$AA$1000,$U$5:$U$1000,ROW(),$V$5:$V$1000,"Sub"),$AA280)))</f>
        <v/>
      </c>
      <c r="AF280" s="62">
        <f>IF($V280="","",IF(AND(ISNUMBER($G280),$G280&lt;=IF($S280=MesCiclo,InicioCiclo,$S280+MOD(2-WEEKDAY($S280),7))+27),1,IF(N($W280)&gt;0,AVERAGEIFS($AB$5:$AB$1000,$U$5:$U$1000,ROW(),$V$5:$V$1000,"Sub"),$AB280)))</f>
        <v/>
      </c>
      <c r="AG280" s="62">
        <f>IF($V280&lt;&gt;"Macro","",IF(COUNTIFS($S$5:$S$1000,$S280,$V$5:$V$1000,"Macro",$H$5:$H$1000,"&gt;0")=0,1/COUNTIFS($S$5:$S$1000,$S280,$V$5:$V$1000,"Macro"),IF(AND(ISNUMBER($H280),N($H280)&gt;0),$H280,SUMIFS($H$5:$H$1000,$S$5:$S$1000,$S280,$V$5:$V$1000,"Macro")/COUNTIFS($S$5:$S$1000,$S280,$V$5:$V$1000,"Macro",$H$5:$H$1000,"&gt;0"))/(COUNTIFS($S$5:$S$1000,$S280,$V$5:$V$1000,"Macro")*SUMIFS($H$5:$H$1000,$S$5:$S$1000,$S280,$V$5:$V$1000,"Macro")/COUNTIFS($S$5:$S$1000,$S280,$V$5:$V$1000,"Macro",$H$5:$H$1000,"&gt;0"))))</f>
        <v/>
      </c>
      <c r="AH280" s="62" t="n"/>
      <c r="AI280" s="62" t="n"/>
      <c r="AJ280" s="62" t="n"/>
      <c r="AK280" s="62" t="n"/>
      <c r="AL280" s="62">
        <f>IF(LEFT($C280,11)="[Jefatura] ",IFERROR(MATCH("Riesgo Normativo|"&amp;MID($C280,12,500),rDname_ADM,0),0),"")</f>
        <v/>
      </c>
      <c r="AM280" s="62">
        <f>IF(N($AL280)&gt;0,INDEX(rIni_ADM,$AL280),IF(ISNUMBER($E280),$E280,""))</f>
        <v/>
      </c>
      <c r="AN280" s="62">
        <f>IF(N($AL280)&gt;0,INDEX(rLim_ADM,$AL280),IF(ISNUMBER($F280),$F280,""))</f>
        <v/>
      </c>
    </row>
    <row r="281">
      <c r="A281" s="56">
        <f>IF(NOT((COUNTA($B281:$D281)+COUNTA($G281:$L281)+COUNTA($Q281))&gt;0),"",IF($V281="Macro",COUNTIFS($V$5:$V281,"Macro",$S$5:$S281,$S281),IF(N($U281)=0,"?",COUNTIFS(INDEX($V$5:$V$1000,1):INDEX($V$5:$V$1000,$U281-4),"Macro",INDEX($S$5:$S$1000,1):INDEX($S$5:$S$1000,$U281-4),INDEX($S$5:$S$1000,$U281-4))&amp;"."&amp;COUNTIFS($U$5:$U281,$U281,$V$5:$V281,"Sub"))))</f>
        <v/>
      </c>
      <c r="B281" s="57" t="n"/>
      <c r="C281" s="58" t="n"/>
      <c r="D281" s="58" t="n"/>
      <c r="E281" s="59">
        <f>IF(N($AL281)&gt;0,INDEX(rIni_ADM,$AL281),"")</f>
        <v/>
      </c>
      <c r="F281" s="59">
        <f>IF(N($AL281)&gt;0,INDEX(rLim_ADM,$AL281),"")</f>
        <v/>
      </c>
      <c r="G281" s="59" t="n"/>
      <c r="H281" s="60" t="n"/>
      <c r="I281" s="60" t="n"/>
      <c r="J281" s="60" t="n"/>
      <c r="K281" s="60" t="n"/>
      <c r="L281" s="60" t="n"/>
      <c r="M281" s="61">
        <f>IF(NOT((COUNTA($B281:$D281)+COUNTA($G281:$L281)+COUNTA($Q281))&gt;0),"",IF($V281="Sub",IFERROR($X281/INDEX($W$5:$W$1000,$U281-4),""),IF(ISNUMBER($G281),1,IF(N($W281)&gt;0,AVERAGEIFS($X$5:$X$1000,$U$5:$U$1000,ROW(),$V$5:$V$1000,"Sub"),$X281))))</f>
        <v/>
      </c>
      <c r="N281" s="56">
        <f>IF(OR($M281="",$V281="Sub"),"",IF($M281&gt;=1,"Completado",IF($M281&gt;0,"En curso","Pendiente")))</f>
        <v/>
      </c>
      <c r="O281" s="56">
        <f>IF(OR(NOT((COUNTA($B281:$D281)+COUNTA($G281:$L281)+COUNTA($Q281))&gt;0),$V281="Sub"),"",IF(ISNUMBER($G281),IF(AND(ISNUMBER($AN281),$G281&gt;$AN281),"Cumplida con "&amp;($G281-$AN281)&amp;IF($G281-$AN281=1," día"," días")&amp;" de retraso","Cumplida"),IF(N($M281)&gt;=1,"Cumplida",IF(NOT(ISNUMBER($AN281)),"Sin fecha límite",IF($AN281&lt;FechaRef,"Vencida hace "&amp;(FechaRef-$AN281)&amp;IF(FechaRef-$AN281=1," día"," días"),IF($AN281=FechaRef,"Vence hoy",IF($AN281-FechaRef&lt;=DiasAlerta,"Vence en "&amp;($AN281-FechaRef)&amp;IF($AN281-FechaRef=1," día"," días"),"En plazo")))))))</f>
        <v/>
      </c>
      <c r="P281" s="62" t="n"/>
      <c r="Q281" s="58" t="n"/>
      <c r="R281" s="63">
        <f>IF(NOT((COUNTA($B281:$D281)+COUNTA($G281:$L281)+COUNTA($Q281))&gt;0),"",IF((IF($C281="","Falta el nombre de la actividad"&amp;" · ","")&amp;IF(AND($V281="Sub",N($U281)=0),"Subactividad sin macroactividad arriba"&amp;" · ","")&amp;IF($AM281="","Sin fecha de inicio"&amp;" · ","")&amp;IF($AN281="","Sin fecha límite"&amp;" · ","")&amp;IF(AND(LEFT($C281,11)="[Jefatura] ",N($AL281)=0),"No se encuentra en la hoja de la jefatura (elíjala de nuevo en la lista)"&amp;" · ","")&amp;IF(OR(AND($E281&lt;&gt;"",NOT(ISNUMBER($E281))),AND($F281&lt;&gt;"",NOT(ISNUMBER($F281))),AND($G281&lt;&gt;"",NOT(ISNUMBER($G281)))),"Fecha no válida"&amp;" · ","")&amp;IF(AND(ISNUMBER($AM281),ISNUMBER($AN281),$AM281&gt;$AN281),"Inicio posterior a fecha límite"&amp;" · ","")&amp;IF(AND($V281="Macro",$H281&lt;&gt;"",OR(NOT(ISNUMBER($H281)),$H281&lt;0,$H281&gt;1)),"Peso fuera de rango"&amp;" · ","")&amp;IF(AND($V281="Sub",$H281&lt;&gt;""),"Las subactividades no llevan peso (valen igual dentro de su macroactividad)"&amp;" · ","")&amp;IF(AND(N($W281)&gt;0,COUNT($I281:$L281)&gt;0),"Con subactividades: deje vacías las semanas (se calculan solas)"&amp;" · ","")&amp;IF((COUNTIF($I281:$L281,"&gt;1")+COUNTIF($I281:$L281,"&lt;0")+COUNTA($I281:$L281)-COUNT($I281:$L281))&gt;0,"Avance fuera de rango 0-100%"&amp;" · ","")&amp;IF(OR(AND($J281&lt;&gt;"",$J281&lt;$I281),AND($K281&lt;&gt;"",$K281&lt;MAX($I281:$J281)),AND($L281&lt;&gt;"",$L281&lt;MAX($I281:$K281))),"Avance semanal decreciente"&amp;" · ","")&amp;IF(AND(ISNUMBER($AN281),$AN281&lt;FechaRef,IF($V281="Sub",N($X281),N($M281))&lt;1),"Vencida"&amp;" · ","")&amp;IF(AND(ObsObligatoria="Sí",ISNUMBER($AN281),$AN281&lt;FechaRef,IF($V281="Sub",N($X281),N($M281))&lt;1,$Q281=""),"Vencida sin observación"&amp;" · ",""))="","✔ OK","⚠ "&amp;LEFT(IF($C281="","Falta el nombre de la actividad"&amp;" · ","")&amp;IF(AND($V281="Sub",N($U281)=0),"Subactividad sin macroactividad arriba"&amp;" · ","")&amp;IF($AM281="","Sin fecha de inicio"&amp;" · ","")&amp;IF($AN281="","Sin fecha límite"&amp;" · ","")&amp;IF(AND(LEFT($C281,11)="[Jefatura] ",N($AL281)=0),"No se encuentra en la hoja de la jefatura (elíjala de nuevo en la lista)"&amp;" · ","")&amp;IF(OR(AND($E281&lt;&gt;"",NOT(ISNUMBER($E281))),AND($F281&lt;&gt;"",NOT(ISNUMBER($F281))),AND($G281&lt;&gt;"",NOT(ISNUMBER($G281)))),"Fecha no válida"&amp;" · ","")&amp;IF(AND(ISNUMBER($AM281),ISNUMBER($AN281),$AM281&gt;$AN281),"Inicio posterior a fecha límite"&amp;" · ","")&amp;IF(AND($V281="Macro",$H281&lt;&gt;"",OR(NOT(ISNUMBER($H281)),$H281&lt;0,$H281&gt;1)),"Peso fuera de rango"&amp;" · ","")&amp;IF(AND($V281="Sub",$H281&lt;&gt;""),"Las subactividades no llevan peso (valen igual dentro de su macroactividad)"&amp;" · ","")&amp;IF(AND(N($W281)&gt;0,COUNT($I281:$L281)&gt;0),"Con subactividades: deje vacías las semanas (se calculan solas)"&amp;" · ","")&amp;IF((COUNTIF($I281:$L281,"&gt;1")+COUNTIF($I281:$L281,"&lt;0")+COUNTA($I281:$L281)-COUNT($I281:$L281))&gt;0,"Avance fuera de rango 0-100%"&amp;" · ","")&amp;IF(OR(AND($J281&lt;&gt;"",$J281&lt;$I281),AND($K281&lt;&gt;"",$K281&lt;MAX($I281:$J281)),AND($L281&lt;&gt;"",$L281&lt;MAX($I281:$K281))),"Avance semanal decreciente"&amp;" · ","")&amp;IF(AND(ISNUMBER($AN281),$AN281&lt;FechaRef,IF($V281="Sub",N($X281),N($M281))&lt;1),"Vencida"&amp;" · ","")&amp;IF(AND(ObsObligatoria="Sí",ISNUMBER($AN281),$AN281&lt;FechaRef,IF($V281="Sub",N($X281),N($M281))&lt;1,$Q281=""),"Vencida sin observación"&amp;" · ",""),LEN(IF($C281="","Falta el nombre de la actividad"&amp;" · ","")&amp;IF(AND($V281="Sub",N($U281)=0),"Subactividad sin macroactividad arriba"&amp;" · ","")&amp;IF($AM281="","Sin fecha de inicio"&amp;" · ","")&amp;IF($AN281="","Sin fecha límite"&amp;" · ","")&amp;IF(AND(LEFT($C281,11)="[Jefatura] ",N($AL281)=0),"No se encuentra en la hoja de la jefatura (elíjala de nuevo en la lista)"&amp;" · ","")&amp;IF(OR(AND($E281&lt;&gt;"",NOT(ISNUMBER($E281))),AND($F281&lt;&gt;"",NOT(ISNUMBER($F281))),AND($G281&lt;&gt;"",NOT(ISNUMBER($G281)))),"Fecha no válida"&amp;" · ","")&amp;IF(AND(ISNUMBER($AM281),ISNUMBER($AN281),$AM281&gt;$AN281),"Inicio posterior a fecha límite"&amp;" · ","")&amp;IF(AND($V281="Macro",$H281&lt;&gt;"",OR(NOT(ISNUMBER($H281)),$H281&lt;0,$H281&gt;1)),"Peso fuera de rango"&amp;" · ","")&amp;IF(AND($V281="Sub",$H281&lt;&gt;""),"Las subactividades no llevan peso (valen igual dentro de su macroactividad)"&amp;" · ","")&amp;IF(AND(N($W281)&gt;0,COUNT($I281:$L281)&gt;0),"Con subactividades: deje vacías las semanas (se calculan solas)"&amp;" · ","")&amp;IF((COUNTIF($I281:$L281,"&gt;1")+COUNTIF($I281:$L281,"&lt;0")+COUNTA($I281:$L281)-COUNT($I281:$L281))&gt;0,"Avance fuera de rango 0-100%"&amp;" · ","")&amp;IF(OR(AND($J281&lt;&gt;"",$J281&lt;$I281),AND($K281&lt;&gt;"",$K281&lt;MAX($I281:$J281)),AND($L281&lt;&gt;"",$L281&lt;MAX($I281:$K281))),"Avance semanal decreciente"&amp;" · ","")&amp;IF(AND(ISNUMBER($AN281),$AN281&lt;FechaRef,IF($V281="Sub",N($X281),N($M281))&lt;1),"Vencida"&amp;" · ","")&amp;IF(AND(ObsObligatoria="Sí",ISNUMBER($AN281),$AN281&lt;FechaRef,IF($V281="Sub",N($X281),N($M281))&lt;1,$Q281=""),"Vencida sin observación"&amp;" · ",""))-3)))</f>
        <v/>
      </c>
      <c r="S281" s="64">
        <f>IF(NOT((COUNTA($B281:$D281)+COUNTA($G281:$L281)+COUNTA($Q281))&gt;0),"",IF(AND($V281="Sub",N($U281)&gt;0),IF(ISNUMBER(INDEX($AM$5:$AM$1000,$U281-4)),DATE(YEAR(INDEX($AM$5:$AM$1000,$U281-4)),MONTH(INDEX($AM$5:$AM$1000,$U281-4)),1),IF(ISNUMBER(INDEX($AN$5:$AN$1000,$U281-4)),DATE(YEAR(INDEX($AN$5:$AN$1000,$U281-4)),MONTH(INDEX($AN$5:$AN$1000,$U281-4)),1),MesCiclo)),IF(ISNUMBER($AM281),DATE(YEAR($AM281),MONTH($AM281),1),IF(ISNUMBER($AN281),DATE(YEAR($AN281),MONTH($AN281),1),MesCiclo))))</f>
        <v/>
      </c>
      <c r="T281" s="62">
        <f>IF(OR($S281="",$S281&lt;&gt;MesCiclo,$V281&lt;&gt;"Macro"),"",COUNTIFS($S$5:$S281,MesCiclo,$V$5:$V281,"Macro"))</f>
        <v/>
      </c>
      <c r="U281" s="62">
        <f>IF($V281="","",IF($V281="Macro",ROW(),IFERROR(LOOKUP(2,1/($V$5:$V281="Macro"),ROW($V$5:$V281)),0)))</f>
        <v/>
      </c>
      <c r="V281" s="62">
        <f>IF(NOT((COUNTA($B281:$D281)+COUNTA($G281:$L281)+COUNTA($Q281))&gt;0),"",IF($B281="Subactividad","Sub","Macro"))</f>
        <v/>
      </c>
      <c r="W281" s="62">
        <f>IF($V281="Macro",COUNTIFS($U$5:$U$1000,ROW(),$V$5:$V$1000,"Sub"),"")</f>
        <v/>
      </c>
      <c r="X281" s="62">
        <f>IF($V281="","",IF(ISNUMBER($G281),1,IFERROR(LOOKUP(2,1/($I281:$L281&lt;&gt;""),$I281:$L281),0)))</f>
        <v/>
      </c>
      <c r="Y281" s="62">
        <f>IF($V281="","",IF(AND(ISNUMBER($G281),$G281&lt;=IF($S281=MesCiclo,InicioCiclo,$S281+MOD(2-WEEKDAY($S281),7))+6),1,IF(ISNUMBER($I281),$I281,0)))</f>
        <v/>
      </c>
      <c r="Z281" s="62">
        <f>IF($V281="","",IF(AND(ISNUMBER($G281),$G281&lt;=IF($S281=MesCiclo,InicioCiclo,$S281+MOD(2-WEEKDAY($S281),7))+13),1,IF(ISNUMBER($J281),$J281,$Y281)))</f>
        <v/>
      </c>
      <c r="AA281" s="62">
        <f>IF($V281="","",IF(AND(ISNUMBER($G281),$G281&lt;=IF($S281=MesCiclo,InicioCiclo,$S281+MOD(2-WEEKDAY($S281),7))+20),1,IF(ISNUMBER($K281),$K281,$Z281)))</f>
        <v/>
      </c>
      <c r="AB281" s="62">
        <f>IF($V281="","",IF(AND(ISNUMBER($G281),$G281&lt;=IF($S281=MesCiclo,InicioCiclo,$S281+MOD(2-WEEKDAY($S281),7))+27),1,IF(ISNUMBER($L281),$L281,$AA281)))</f>
        <v/>
      </c>
      <c r="AC281" s="62">
        <f>IF($V281="","",IF(AND(ISNUMBER($G281),$G281&lt;=IF($S281=MesCiclo,InicioCiclo,$S281+MOD(2-WEEKDAY($S281),7))+6),1,IF(N($W281)&gt;0,AVERAGEIFS($Y$5:$Y$1000,$U$5:$U$1000,ROW(),$V$5:$V$1000,"Sub"),$Y281)))</f>
        <v/>
      </c>
      <c r="AD281" s="62">
        <f>IF($V281="","",IF(AND(ISNUMBER($G281),$G281&lt;=IF($S281=MesCiclo,InicioCiclo,$S281+MOD(2-WEEKDAY($S281),7))+13),1,IF(N($W281)&gt;0,AVERAGEIFS($Z$5:$Z$1000,$U$5:$U$1000,ROW(),$V$5:$V$1000,"Sub"),$Z281)))</f>
        <v/>
      </c>
      <c r="AE281" s="62">
        <f>IF($V281="","",IF(AND(ISNUMBER($G281),$G281&lt;=IF($S281=MesCiclo,InicioCiclo,$S281+MOD(2-WEEKDAY($S281),7))+20),1,IF(N($W281)&gt;0,AVERAGEIFS($AA$5:$AA$1000,$U$5:$U$1000,ROW(),$V$5:$V$1000,"Sub"),$AA281)))</f>
        <v/>
      </c>
      <c r="AF281" s="62">
        <f>IF($V281="","",IF(AND(ISNUMBER($G281),$G281&lt;=IF($S281=MesCiclo,InicioCiclo,$S281+MOD(2-WEEKDAY($S281),7))+27),1,IF(N($W281)&gt;0,AVERAGEIFS($AB$5:$AB$1000,$U$5:$U$1000,ROW(),$V$5:$V$1000,"Sub"),$AB281)))</f>
        <v/>
      </c>
      <c r="AG281" s="62">
        <f>IF($V281&lt;&gt;"Macro","",IF(COUNTIFS($S$5:$S$1000,$S281,$V$5:$V$1000,"Macro",$H$5:$H$1000,"&gt;0")=0,1/COUNTIFS($S$5:$S$1000,$S281,$V$5:$V$1000,"Macro"),IF(AND(ISNUMBER($H281),N($H281)&gt;0),$H281,SUMIFS($H$5:$H$1000,$S$5:$S$1000,$S281,$V$5:$V$1000,"Macro")/COUNTIFS($S$5:$S$1000,$S281,$V$5:$V$1000,"Macro",$H$5:$H$1000,"&gt;0"))/(COUNTIFS($S$5:$S$1000,$S281,$V$5:$V$1000,"Macro")*SUMIFS($H$5:$H$1000,$S$5:$S$1000,$S281,$V$5:$V$1000,"Macro")/COUNTIFS($S$5:$S$1000,$S281,$V$5:$V$1000,"Macro",$H$5:$H$1000,"&gt;0"))))</f>
        <v/>
      </c>
      <c r="AH281" s="62" t="n"/>
      <c r="AI281" s="62" t="n"/>
      <c r="AJ281" s="62" t="n"/>
      <c r="AK281" s="62" t="n"/>
      <c r="AL281" s="62">
        <f>IF(LEFT($C281,11)="[Jefatura] ",IFERROR(MATCH("Riesgo Normativo|"&amp;MID($C281,12,500),rDname_ADM,0),0),"")</f>
        <v/>
      </c>
      <c r="AM281" s="62">
        <f>IF(N($AL281)&gt;0,INDEX(rIni_ADM,$AL281),IF(ISNUMBER($E281),$E281,""))</f>
        <v/>
      </c>
      <c r="AN281" s="62">
        <f>IF(N($AL281)&gt;0,INDEX(rLim_ADM,$AL281),IF(ISNUMBER($F281),$F281,""))</f>
        <v/>
      </c>
    </row>
    <row r="282">
      <c r="A282" s="56">
        <f>IF(NOT((COUNTA($B282:$D282)+COUNTA($G282:$L282)+COUNTA($Q282))&gt;0),"",IF($V282="Macro",COUNTIFS($V$5:$V282,"Macro",$S$5:$S282,$S282),IF(N($U282)=0,"?",COUNTIFS(INDEX($V$5:$V$1000,1):INDEX($V$5:$V$1000,$U282-4),"Macro",INDEX($S$5:$S$1000,1):INDEX($S$5:$S$1000,$U282-4),INDEX($S$5:$S$1000,$U282-4))&amp;"."&amp;COUNTIFS($U$5:$U282,$U282,$V$5:$V282,"Sub"))))</f>
        <v/>
      </c>
      <c r="B282" s="57" t="n"/>
      <c r="C282" s="58" t="n"/>
      <c r="D282" s="58" t="n"/>
      <c r="E282" s="59">
        <f>IF(N($AL282)&gt;0,INDEX(rIni_ADM,$AL282),"")</f>
        <v/>
      </c>
      <c r="F282" s="59">
        <f>IF(N($AL282)&gt;0,INDEX(rLim_ADM,$AL282),"")</f>
        <v/>
      </c>
      <c r="G282" s="59" t="n"/>
      <c r="H282" s="60" t="n"/>
      <c r="I282" s="60" t="n"/>
      <c r="J282" s="60" t="n"/>
      <c r="K282" s="60" t="n"/>
      <c r="L282" s="60" t="n"/>
      <c r="M282" s="61">
        <f>IF(NOT((COUNTA($B282:$D282)+COUNTA($G282:$L282)+COUNTA($Q282))&gt;0),"",IF($V282="Sub",IFERROR($X282/INDEX($W$5:$W$1000,$U282-4),""),IF(ISNUMBER($G282),1,IF(N($W282)&gt;0,AVERAGEIFS($X$5:$X$1000,$U$5:$U$1000,ROW(),$V$5:$V$1000,"Sub"),$X282))))</f>
        <v/>
      </c>
      <c r="N282" s="56">
        <f>IF(OR($M282="",$V282="Sub"),"",IF($M282&gt;=1,"Completado",IF($M282&gt;0,"En curso","Pendiente")))</f>
        <v/>
      </c>
      <c r="O282" s="56">
        <f>IF(OR(NOT((COUNTA($B282:$D282)+COUNTA($G282:$L282)+COUNTA($Q282))&gt;0),$V282="Sub"),"",IF(ISNUMBER($G282),IF(AND(ISNUMBER($AN282),$G282&gt;$AN282),"Cumplida con "&amp;($G282-$AN282)&amp;IF($G282-$AN282=1," día"," días")&amp;" de retraso","Cumplida"),IF(N($M282)&gt;=1,"Cumplida",IF(NOT(ISNUMBER($AN282)),"Sin fecha límite",IF($AN282&lt;FechaRef,"Vencida hace "&amp;(FechaRef-$AN282)&amp;IF(FechaRef-$AN282=1," día"," días"),IF($AN282=FechaRef,"Vence hoy",IF($AN282-FechaRef&lt;=DiasAlerta,"Vence en "&amp;($AN282-FechaRef)&amp;IF($AN282-FechaRef=1," día"," días"),"En plazo")))))))</f>
        <v/>
      </c>
      <c r="P282" s="62" t="n"/>
      <c r="Q282" s="58" t="n"/>
      <c r="R282" s="63">
        <f>IF(NOT((COUNTA($B282:$D282)+COUNTA($G282:$L282)+COUNTA($Q282))&gt;0),"",IF((IF($C282="","Falta el nombre de la actividad"&amp;" · ","")&amp;IF(AND($V282="Sub",N($U282)=0),"Subactividad sin macroactividad arriba"&amp;" · ","")&amp;IF($AM282="","Sin fecha de inicio"&amp;" · ","")&amp;IF($AN282="","Sin fecha límite"&amp;" · ","")&amp;IF(AND(LEFT($C282,11)="[Jefatura] ",N($AL282)=0),"No se encuentra en la hoja de la jefatura (elíjala de nuevo en la lista)"&amp;" · ","")&amp;IF(OR(AND($E282&lt;&gt;"",NOT(ISNUMBER($E282))),AND($F282&lt;&gt;"",NOT(ISNUMBER($F282))),AND($G282&lt;&gt;"",NOT(ISNUMBER($G282)))),"Fecha no válida"&amp;" · ","")&amp;IF(AND(ISNUMBER($AM282),ISNUMBER($AN282),$AM282&gt;$AN282),"Inicio posterior a fecha límite"&amp;" · ","")&amp;IF(AND($V282="Macro",$H282&lt;&gt;"",OR(NOT(ISNUMBER($H282)),$H282&lt;0,$H282&gt;1)),"Peso fuera de rango"&amp;" · ","")&amp;IF(AND($V282="Sub",$H282&lt;&gt;""),"Las subactividades no llevan peso (valen igual dentro de su macroactividad)"&amp;" · ","")&amp;IF(AND(N($W282)&gt;0,COUNT($I282:$L282)&gt;0),"Con subactividades: deje vacías las semanas (se calculan solas)"&amp;" · ","")&amp;IF((COUNTIF($I282:$L282,"&gt;1")+COUNTIF($I282:$L282,"&lt;0")+COUNTA($I282:$L282)-COUNT($I282:$L282))&gt;0,"Avance fuera de rango 0-100%"&amp;" · ","")&amp;IF(OR(AND($J282&lt;&gt;"",$J282&lt;$I282),AND($K282&lt;&gt;"",$K282&lt;MAX($I282:$J282)),AND($L282&lt;&gt;"",$L282&lt;MAX($I282:$K282))),"Avance semanal decreciente"&amp;" · ","")&amp;IF(AND(ISNUMBER($AN282),$AN282&lt;FechaRef,IF($V282="Sub",N($X282),N($M282))&lt;1),"Vencida"&amp;" · ","")&amp;IF(AND(ObsObligatoria="Sí",ISNUMBER($AN282),$AN282&lt;FechaRef,IF($V282="Sub",N($X282),N($M282))&lt;1,$Q282=""),"Vencida sin observación"&amp;" · ",""))="","✔ OK","⚠ "&amp;LEFT(IF($C282="","Falta el nombre de la actividad"&amp;" · ","")&amp;IF(AND($V282="Sub",N($U282)=0),"Subactividad sin macroactividad arriba"&amp;" · ","")&amp;IF($AM282="","Sin fecha de inicio"&amp;" · ","")&amp;IF($AN282="","Sin fecha límite"&amp;" · ","")&amp;IF(AND(LEFT($C282,11)="[Jefatura] ",N($AL282)=0),"No se encuentra en la hoja de la jefatura (elíjala de nuevo en la lista)"&amp;" · ","")&amp;IF(OR(AND($E282&lt;&gt;"",NOT(ISNUMBER($E282))),AND($F282&lt;&gt;"",NOT(ISNUMBER($F282))),AND($G282&lt;&gt;"",NOT(ISNUMBER($G282)))),"Fecha no válida"&amp;" · ","")&amp;IF(AND(ISNUMBER($AM282),ISNUMBER($AN282),$AM282&gt;$AN282),"Inicio posterior a fecha límite"&amp;" · ","")&amp;IF(AND($V282="Macro",$H282&lt;&gt;"",OR(NOT(ISNUMBER($H282)),$H282&lt;0,$H282&gt;1)),"Peso fuera de rango"&amp;" · ","")&amp;IF(AND($V282="Sub",$H282&lt;&gt;""),"Las subactividades no llevan peso (valen igual dentro de su macroactividad)"&amp;" · ","")&amp;IF(AND(N($W282)&gt;0,COUNT($I282:$L282)&gt;0),"Con subactividades: deje vacías las semanas (se calculan solas)"&amp;" · ","")&amp;IF((COUNTIF($I282:$L282,"&gt;1")+COUNTIF($I282:$L282,"&lt;0")+COUNTA($I282:$L282)-COUNT($I282:$L282))&gt;0,"Avance fuera de rango 0-100%"&amp;" · ","")&amp;IF(OR(AND($J282&lt;&gt;"",$J282&lt;$I282),AND($K282&lt;&gt;"",$K282&lt;MAX($I282:$J282)),AND($L282&lt;&gt;"",$L282&lt;MAX($I282:$K282))),"Avance semanal decreciente"&amp;" · ","")&amp;IF(AND(ISNUMBER($AN282),$AN282&lt;FechaRef,IF($V282="Sub",N($X282),N($M282))&lt;1),"Vencida"&amp;" · ","")&amp;IF(AND(ObsObligatoria="Sí",ISNUMBER($AN282),$AN282&lt;FechaRef,IF($V282="Sub",N($X282),N($M282))&lt;1,$Q282=""),"Vencida sin observación"&amp;" · ",""),LEN(IF($C282="","Falta el nombre de la actividad"&amp;" · ","")&amp;IF(AND($V282="Sub",N($U282)=0),"Subactividad sin macroactividad arriba"&amp;" · ","")&amp;IF($AM282="","Sin fecha de inicio"&amp;" · ","")&amp;IF($AN282="","Sin fecha límite"&amp;" · ","")&amp;IF(AND(LEFT($C282,11)="[Jefatura] ",N($AL282)=0),"No se encuentra en la hoja de la jefatura (elíjala de nuevo en la lista)"&amp;" · ","")&amp;IF(OR(AND($E282&lt;&gt;"",NOT(ISNUMBER($E282))),AND($F282&lt;&gt;"",NOT(ISNUMBER($F282))),AND($G282&lt;&gt;"",NOT(ISNUMBER($G282)))),"Fecha no válida"&amp;" · ","")&amp;IF(AND(ISNUMBER($AM282),ISNUMBER($AN282),$AM282&gt;$AN282),"Inicio posterior a fecha límite"&amp;" · ","")&amp;IF(AND($V282="Macro",$H282&lt;&gt;"",OR(NOT(ISNUMBER($H282)),$H282&lt;0,$H282&gt;1)),"Peso fuera de rango"&amp;" · ","")&amp;IF(AND($V282="Sub",$H282&lt;&gt;""),"Las subactividades no llevan peso (valen igual dentro de su macroactividad)"&amp;" · ","")&amp;IF(AND(N($W282)&gt;0,COUNT($I282:$L282)&gt;0),"Con subactividades: deje vacías las semanas (se calculan solas)"&amp;" · ","")&amp;IF((COUNTIF($I282:$L282,"&gt;1")+COUNTIF($I282:$L282,"&lt;0")+COUNTA($I282:$L282)-COUNT($I282:$L282))&gt;0,"Avance fuera de rango 0-100%"&amp;" · ","")&amp;IF(OR(AND($J282&lt;&gt;"",$J282&lt;$I282),AND($K282&lt;&gt;"",$K282&lt;MAX($I282:$J282)),AND($L282&lt;&gt;"",$L282&lt;MAX($I282:$K282))),"Avance semanal decreciente"&amp;" · ","")&amp;IF(AND(ISNUMBER($AN282),$AN282&lt;FechaRef,IF($V282="Sub",N($X282),N($M282))&lt;1),"Vencida"&amp;" · ","")&amp;IF(AND(ObsObligatoria="Sí",ISNUMBER($AN282),$AN282&lt;FechaRef,IF($V282="Sub",N($X282),N($M282))&lt;1,$Q282=""),"Vencida sin observación"&amp;" · ",""))-3)))</f>
        <v/>
      </c>
      <c r="S282" s="64">
        <f>IF(NOT((COUNTA($B282:$D282)+COUNTA($G282:$L282)+COUNTA($Q282))&gt;0),"",IF(AND($V282="Sub",N($U282)&gt;0),IF(ISNUMBER(INDEX($AM$5:$AM$1000,$U282-4)),DATE(YEAR(INDEX($AM$5:$AM$1000,$U282-4)),MONTH(INDEX($AM$5:$AM$1000,$U282-4)),1),IF(ISNUMBER(INDEX($AN$5:$AN$1000,$U282-4)),DATE(YEAR(INDEX($AN$5:$AN$1000,$U282-4)),MONTH(INDEX($AN$5:$AN$1000,$U282-4)),1),MesCiclo)),IF(ISNUMBER($AM282),DATE(YEAR($AM282),MONTH($AM282),1),IF(ISNUMBER($AN282),DATE(YEAR($AN282),MONTH($AN282),1),MesCiclo))))</f>
        <v/>
      </c>
      <c r="T282" s="62">
        <f>IF(OR($S282="",$S282&lt;&gt;MesCiclo,$V282&lt;&gt;"Macro"),"",COUNTIFS($S$5:$S282,MesCiclo,$V$5:$V282,"Macro"))</f>
        <v/>
      </c>
      <c r="U282" s="62">
        <f>IF($V282="","",IF($V282="Macro",ROW(),IFERROR(LOOKUP(2,1/($V$5:$V282="Macro"),ROW($V$5:$V282)),0)))</f>
        <v/>
      </c>
      <c r="V282" s="62">
        <f>IF(NOT((COUNTA($B282:$D282)+COUNTA($G282:$L282)+COUNTA($Q282))&gt;0),"",IF($B282="Subactividad","Sub","Macro"))</f>
        <v/>
      </c>
      <c r="W282" s="62">
        <f>IF($V282="Macro",COUNTIFS($U$5:$U$1000,ROW(),$V$5:$V$1000,"Sub"),"")</f>
        <v/>
      </c>
      <c r="X282" s="62">
        <f>IF($V282="","",IF(ISNUMBER($G282),1,IFERROR(LOOKUP(2,1/($I282:$L282&lt;&gt;""),$I282:$L282),0)))</f>
        <v/>
      </c>
      <c r="Y282" s="62">
        <f>IF($V282="","",IF(AND(ISNUMBER($G282),$G282&lt;=IF($S282=MesCiclo,InicioCiclo,$S282+MOD(2-WEEKDAY($S282),7))+6),1,IF(ISNUMBER($I282),$I282,0)))</f>
        <v/>
      </c>
      <c r="Z282" s="62">
        <f>IF($V282="","",IF(AND(ISNUMBER($G282),$G282&lt;=IF($S282=MesCiclo,InicioCiclo,$S282+MOD(2-WEEKDAY($S282),7))+13),1,IF(ISNUMBER($J282),$J282,$Y282)))</f>
        <v/>
      </c>
      <c r="AA282" s="62">
        <f>IF($V282="","",IF(AND(ISNUMBER($G282),$G282&lt;=IF($S282=MesCiclo,InicioCiclo,$S282+MOD(2-WEEKDAY($S282),7))+20),1,IF(ISNUMBER($K282),$K282,$Z282)))</f>
        <v/>
      </c>
      <c r="AB282" s="62">
        <f>IF($V282="","",IF(AND(ISNUMBER($G282),$G282&lt;=IF($S282=MesCiclo,InicioCiclo,$S282+MOD(2-WEEKDAY($S282),7))+27),1,IF(ISNUMBER($L282),$L282,$AA282)))</f>
        <v/>
      </c>
      <c r="AC282" s="62">
        <f>IF($V282="","",IF(AND(ISNUMBER($G282),$G282&lt;=IF($S282=MesCiclo,InicioCiclo,$S282+MOD(2-WEEKDAY($S282),7))+6),1,IF(N($W282)&gt;0,AVERAGEIFS($Y$5:$Y$1000,$U$5:$U$1000,ROW(),$V$5:$V$1000,"Sub"),$Y282)))</f>
        <v/>
      </c>
      <c r="AD282" s="62">
        <f>IF($V282="","",IF(AND(ISNUMBER($G282),$G282&lt;=IF($S282=MesCiclo,InicioCiclo,$S282+MOD(2-WEEKDAY($S282),7))+13),1,IF(N($W282)&gt;0,AVERAGEIFS($Z$5:$Z$1000,$U$5:$U$1000,ROW(),$V$5:$V$1000,"Sub"),$Z282)))</f>
        <v/>
      </c>
      <c r="AE282" s="62">
        <f>IF($V282="","",IF(AND(ISNUMBER($G282),$G282&lt;=IF($S282=MesCiclo,InicioCiclo,$S282+MOD(2-WEEKDAY($S282),7))+20),1,IF(N($W282)&gt;0,AVERAGEIFS($AA$5:$AA$1000,$U$5:$U$1000,ROW(),$V$5:$V$1000,"Sub"),$AA282)))</f>
        <v/>
      </c>
      <c r="AF282" s="62">
        <f>IF($V282="","",IF(AND(ISNUMBER($G282),$G282&lt;=IF($S282=MesCiclo,InicioCiclo,$S282+MOD(2-WEEKDAY($S282),7))+27),1,IF(N($W282)&gt;0,AVERAGEIFS($AB$5:$AB$1000,$U$5:$U$1000,ROW(),$V$5:$V$1000,"Sub"),$AB282)))</f>
        <v/>
      </c>
      <c r="AG282" s="62">
        <f>IF($V282&lt;&gt;"Macro","",IF(COUNTIFS($S$5:$S$1000,$S282,$V$5:$V$1000,"Macro",$H$5:$H$1000,"&gt;0")=0,1/COUNTIFS($S$5:$S$1000,$S282,$V$5:$V$1000,"Macro"),IF(AND(ISNUMBER($H282),N($H282)&gt;0),$H282,SUMIFS($H$5:$H$1000,$S$5:$S$1000,$S282,$V$5:$V$1000,"Macro")/COUNTIFS($S$5:$S$1000,$S282,$V$5:$V$1000,"Macro",$H$5:$H$1000,"&gt;0"))/(COUNTIFS($S$5:$S$1000,$S282,$V$5:$V$1000,"Macro")*SUMIFS($H$5:$H$1000,$S$5:$S$1000,$S282,$V$5:$V$1000,"Macro")/COUNTIFS($S$5:$S$1000,$S282,$V$5:$V$1000,"Macro",$H$5:$H$1000,"&gt;0"))))</f>
        <v/>
      </c>
      <c r="AH282" s="62" t="n"/>
      <c r="AI282" s="62" t="n"/>
      <c r="AJ282" s="62" t="n"/>
      <c r="AK282" s="62" t="n"/>
      <c r="AL282" s="62">
        <f>IF(LEFT($C282,11)="[Jefatura] ",IFERROR(MATCH("Riesgo Normativo|"&amp;MID($C282,12,500),rDname_ADM,0),0),"")</f>
        <v/>
      </c>
      <c r="AM282" s="62">
        <f>IF(N($AL282)&gt;0,INDEX(rIni_ADM,$AL282),IF(ISNUMBER($E282),$E282,""))</f>
        <v/>
      </c>
      <c r="AN282" s="62">
        <f>IF(N($AL282)&gt;0,INDEX(rLim_ADM,$AL282),IF(ISNUMBER($F282),$F282,""))</f>
        <v/>
      </c>
    </row>
    <row r="283">
      <c r="A283" s="56">
        <f>IF(NOT((COUNTA($B283:$D283)+COUNTA($G283:$L283)+COUNTA($Q283))&gt;0),"",IF($V283="Macro",COUNTIFS($V$5:$V283,"Macro",$S$5:$S283,$S283),IF(N($U283)=0,"?",COUNTIFS(INDEX($V$5:$V$1000,1):INDEX($V$5:$V$1000,$U283-4),"Macro",INDEX($S$5:$S$1000,1):INDEX($S$5:$S$1000,$U283-4),INDEX($S$5:$S$1000,$U283-4))&amp;"."&amp;COUNTIFS($U$5:$U283,$U283,$V$5:$V283,"Sub"))))</f>
        <v/>
      </c>
      <c r="B283" s="57" t="n"/>
      <c r="C283" s="58" t="n"/>
      <c r="D283" s="58" t="n"/>
      <c r="E283" s="59">
        <f>IF(N($AL283)&gt;0,INDEX(rIni_ADM,$AL283),"")</f>
        <v/>
      </c>
      <c r="F283" s="59">
        <f>IF(N($AL283)&gt;0,INDEX(rLim_ADM,$AL283),"")</f>
        <v/>
      </c>
      <c r="G283" s="59" t="n"/>
      <c r="H283" s="60" t="n"/>
      <c r="I283" s="60" t="n"/>
      <c r="J283" s="60" t="n"/>
      <c r="K283" s="60" t="n"/>
      <c r="L283" s="60" t="n"/>
      <c r="M283" s="61">
        <f>IF(NOT((COUNTA($B283:$D283)+COUNTA($G283:$L283)+COUNTA($Q283))&gt;0),"",IF($V283="Sub",IFERROR($X283/INDEX($W$5:$W$1000,$U283-4),""),IF(ISNUMBER($G283),1,IF(N($W283)&gt;0,AVERAGEIFS($X$5:$X$1000,$U$5:$U$1000,ROW(),$V$5:$V$1000,"Sub"),$X283))))</f>
        <v/>
      </c>
      <c r="N283" s="56">
        <f>IF(OR($M283="",$V283="Sub"),"",IF($M283&gt;=1,"Completado",IF($M283&gt;0,"En curso","Pendiente")))</f>
        <v/>
      </c>
      <c r="O283" s="56">
        <f>IF(OR(NOT((COUNTA($B283:$D283)+COUNTA($G283:$L283)+COUNTA($Q283))&gt;0),$V283="Sub"),"",IF(ISNUMBER($G283),IF(AND(ISNUMBER($AN283),$G283&gt;$AN283),"Cumplida con "&amp;($G283-$AN283)&amp;IF($G283-$AN283=1," día"," días")&amp;" de retraso","Cumplida"),IF(N($M283)&gt;=1,"Cumplida",IF(NOT(ISNUMBER($AN283)),"Sin fecha límite",IF($AN283&lt;FechaRef,"Vencida hace "&amp;(FechaRef-$AN283)&amp;IF(FechaRef-$AN283=1," día"," días"),IF($AN283=FechaRef,"Vence hoy",IF($AN283-FechaRef&lt;=DiasAlerta,"Vence en "&amp;($AN283-FechaRef)&amp;IF($AN283-FechaRef=1," día"," días"),"En plazo")))))))</f>
        <v/>
      </c>
      <c r="P283" s="62" t="n"/>
      <c r="Q283" s="58" t="n"/>
      <c r="R283" s="63">
        <f>IF(NOT((COUNTA($B283:$D283)+COUNTA($G283:$L283)+COUNTA($Q283))&gt;0),"",IF((IF($C283="","Falta el nombre de la actividad"&amp;" · ","")&amp;IF(AND($V283="Sub",N($U283)=0),"Subactividad sin macroactividad arriba"&amp;" · ","")&amp;IF($AM283="","Sin fecha de inicio"&amp;" · ","")&amp;IF($AN283="","Sin fecha límite"&amp;" · ","")&amp;IF(AND(LEFT($C283,11)="[Jefatura] ",N($AL283)=0),"No se encuentra en la hoja de la jefatura (elíjala de nuevo en la lista)"&amp;" · ","")&amp;IF(OR(AND($E283&lt;&gt;"",NOT(ISNUMBER($E283))),AND($F283&lt;&gt;"",NOT(ISNUMBER($F283))),AND($G283&lt;&gt;"",NOT(ISNUMBER($G283)))),"Fecha no válida"&amp;" · ","")&amp;IF(AND(ISNUMBER($AM283),ISNUMBER($AN283),$AM283&gt;$AN283),"Inicio posterior a fecha límite"&amp;" · ","")&amp;IF(AND($V283="Macro",$H283&lt;&gt;"",OR(NOT(ISNUMBER($H283)),$H283&lt;0,$H283&gt;1)),"Peso fuera de rango"&amp;" · ","")&amp;IF(AND($V283="Sub",$H283&lt;&gt;""),"Las subactividades no llevan peso (valen igual dentro de su macroactividad)"&amp;" · ","")&amp;IF(AND(N($W283)&gt;0,COUNT($I283:$L283)&gt;0),"Con subactividades: deje vacías las semanas (se calculan solas)"&amp;" · ","")&amp;IF((COUNTIF($I283:$L283,"&gt;1")+COUNTIF($I283:$L283,"&lt;0")+COUNTA($I283:$L283)-COUNT($I283:$L283))&gt;0,"Avance fuera de rango 0-100%"&amp;" · ","")&amp;IF(OR(AND($J283&lt;&gt;"",$J283&lt;$I283),AND($K283&lt;&gt;"",$K283&lt;MAX($I283:$J283)),AND($L283&lt;&gt;"",$L283&lt;MAX($I283:$K283))),"Avance semanal decreciente"&amp;" · ","")&amp;IF(AND(ISNUMBER($AN283),$AN283&lt;FechaRef,IF($V283="Sub",N($X283),N($M283))&lt;1),"Vencida"&amp;" · ","")&amp;IF(AND(ObsObligatoria="Sí",ISNUMBER($AN283),$AN283&lt;FechaRef,IF($V283="Sub",N($X283),N($M283))&lt;1,$Q283=""),"Vencida sin observación"&amp;" · ",""))="","✔ OK","⚠ "&amp;LEFT(IF($C283="","Falta el nombre de la actividad"&amp;" · ","")&amp;IF(AND($V283="Sub",N($U283)=0),"Subactividad sin macroactividad arriba"&amp;" · ","")&amp;IF($AM283="","Sin fecha de inicio"&amp;" · ","")&amp;IF($AN283="","Sin fecha límite"&amp;" · ","")&amp;IF(AND(LEFT($C283,11)="[Jefatura] ",N($AL283)=0),"No se encuentra en la hoja de la jefatura (elíjala de nuevo en la lista)"&amp;" · ","")&amp;IF(OR(AND($E283&lt;&gt;"",NOT(ISNUMBER($E283))),AND($F283&lt;&gt;"",NOT(ISNUMBER($F283))),AND($G283&lt;&gt;"",NOT(ISNUMBER($G283)))),"Fecha no válida"&amp;" · ","")&amp;IF(AND(ISNUMBER($AM283),ISNUMBER($AN283),$AM283&gt;$AN283),"Inicio posterior a fecha límite"&amp;" · ","")&amp;IF(AND($V283="Macro",$H283&lt;&gt;"",OR(NOT(ISNUMBER($H283)),$H283&lt;0,$H283&gt;1)),"Peso fuera de rango"&amp;" · ","")&amp;IF(AND($V283="Sub",$H283&lt;&gt;""),"Las subactividades no llevan peso (valen igual dentro de su macroactividad)"&amp;" · ","")&amp;IF(AND(N($W283)&gt;0,COUNT($I283:$L283)&gt;0),"Con subactividades: deje vacías las semanas (se calculan solas)"&amp;" · ","")&amp;IF((COUNTIF($I283:$L283,"&gt;1")+COUNTIF($I283:$L283,"&lt;0")+COUNTA($I283:$L283)-COUNT($I283:$L283))&gt;0,"Avance fuera de rango 0-100%"&amp;" · ","")&amp;IF(OR(AND($J283&lt;&gt;"",$J283&lt;$I283),AND($K283&lt;&gt;"",$K283&lt;MAX($I283:$J283)),AND($L283&lt;&gt;"",$L283&lt;MAX($I283:$K283))),"Avance semanal decreciente"&amp;" · ","")&amp;IF(AND(ISNUMBER($AN283),$AN283&lt;FechaRef,IF($V283="Sub",N($X283),N($M283))&lt;1),"Vencida"&amp;" · ","")&amp;IF(AND(ObsObligatoria="Sí",ISNUMBER($AN283),$AN283&lt;FechaRef,IF($V283="Sub",N($X283),N($M283))&lt;1,$Q283=""),"Vencida sin observación"&amp;" · ",""),LEN(IF($C283="","Falta el nombre de la actividad"&amp;" · ","")&amp;IF(AND($V283="Sub",N($U283)=0),"Subactividad sin macroactividad arriba"&amp;" · ","")&amp;IF($AM283="","Sin fecha de inicio"&amp;" · ","")&amp;IF($AN283="","Sin fecha límite"&amp;" · ","")&amp;IF(AND(LEFT($C283,11)="[Jefatura] ",N($AL283)=0),"No se encuentra en la hoja de la jefatura (elíjala de nuevo en la lista)"&amp;" · ","")&amp;IF(OR(AND($E283&lt;&gt;"",NOT(ISNUMBER($E283))),AND($F283&lt;&gt;"",NOT(ISNUMBER($F283))),AND($G283&lt;&gt;"",NOT(ISNUMBER($G283)))),"Fecha no válida"&amp;" · ","")&amp;IF(AND(ISNUMBER($AM283),ISNUMBER($AN283),$AM283&gt;$AN283),"Inicio posterior a fecha límite"&amp;" · ","")&amp;IF(AND($V283="Macro",$H283&lt;&gt;"",OR(NOT(ISNUMBER($H283)),$H283&lt;0,$H283&gt;1)),"Peso fuera de rango"&amp;" · ","")&amp;IF(AND($V283="Sub",$H283&lt;&gt;""),"Las subactividades no llevan peso (valen igual dentro de su macroactividad)"&amp;" · ","")&amp;IF(AND(N($W283)&gt;0,COUNT($I283:$L283)&gt;0),"Con subactividades: deje vacías las semanas (se calculan solas)"&amp;" · ","")&amp;IF((COUNTIF($I283:$L283,"&gt;1")+COUNTIF($I283:$L283,"&lt;0")+COUNTA($I283:$L283)-COUNT($I283:$L283))&gt;0,"Avance fuera de rango 0-100%"&amp;" · ","")&amp;IF(OR(AND($J283&lt;&gt;"",$J283&lt;$I283),AND($K283&lt;&gt;"",$K283&lt;MAX($I283:$J283)),AND($L283&lt;&gt;"",$L283&lt;MAX($I283:$K283))),"Avance semanal decreciente"&amp;" · ","")&amp;IF(AND(ISNUMBER($AN283),$AN283&lt;FechaRef,IF($V283="Sub",N($X283),N($M283))&lt;1),"Vencida"&amp;" · ","")&amp;IF(AND(ObsObligatoria="Sí",ISNUMBER($AN283),$AN283&lt;FechaRef,IF($V283="Sub",N($X283),N($M283))&lt;1,$Q283=""),"Vencida sin observación"&amp;" · ",""))-3)))</f>
        <v/>
      </c>
      <c r="S283" s="64">
        <f>IF(NOT((COUNTA($B283:$D283)+COUNTA($G283:$L283)+COUNTA($Q283))&gt;0),"",IF(AND($V283="Sub",N($U283)&gt;0),IF(ISNUMBER(INDEX($AM$5:$AM$1000,$U283-4)),DATE(YEAR(INDEX($AM$5:$AM$1000,$U283-4)),MONTH(INDEX($AM$5:$AM$1000,$U283-4)),1),IF(ISNUMBER(INDEX($AN$5:$AN$1000,$U283-4)),DATE(YEAR(INDEX($AN$5:$AN$1000,$U283-4)),MONTH(INDEX($AN$5:$AN$1000,$U283-4)),1),MesCiclo)),IF(ISNUMBER($AM283),DATE(YEAR($AM283),MONTH($AM283),1),IF(ISNUMBER($AN283),DATE(YEAR($AN283),MONTH($AN283),1),MesCiclo))))</f>
        <v/>
      </c>
      <c r="T283" s="62">
        <f>IF(OR($S283="",$S283&lt;&gt;MesCiclo,$V283&lt;&gt;"Macro"),"",COUNTIFS($S$5:$S283,MesCiclo,$V$5:$V283,"Macro"))</f>
        <v/>
      </c>
      <c r="U283" s="62">
        <f>IF($V283="","",IF($V283="Macro",ROW(),IFERROR(LOOKUP(2,1/($V$5:$V283="Macro"),ROW($V$5:$V283)),0)))</f>
        <v/>
      </c>
      <c r="V283" s="62">
        <f>IF(NOT((COUNTA($B283:$D283)+COUNTA($G283:$L283)+COUNTA($Q283))&gt;0),"",IF($B283="Subactividad","Sub","Macro"))</f>
        <v/>
      </c>
      <c r="W283" s="62">
        <f>IF($V283="Macro",COUNTIFS($U$5:$U$1000,ROW(),$V$5:$V$1000,"Sub"),"")</f>
        <v/>
      </c>
      <c r="X283" s="62">
        <f>IF($V283="","",IF(ISNUMBER($G283),1,IFERROR(LOOKUP(2,1/($I283:$L283&lt;&gt;""),$I283:$L283),0)))</f>
        <v/>
      </c>
      <c r="Y283" s="62">
        <f>IF($V283="","",IF(AND(ISNUMBER($G283),$G283&lt;=IF($S283=MesCiclo,InicioCiclo,$S283+MOD(2-WEEKDAY($S283),7))+6),1,IF(ISNUMBER($I283),$I283,0)))</f>
        <v/>
      </c>
      <c r="Z283" s="62">
        <f>IF($V283="","",IF(AND(ISNUMBER($G283),$G283&lt;=IF($S283=MesCiclo,InicioCiclo,$S283+MOD(2-WEEKDAY($S283),7))+13),1,IF(ISNUMBER($J283),$J283,$Y283)))</f>
        <v/>
      </c>
      <c r="AA283" s="62">
        <f>IF($V283="","",IF(AND(ISNUMBER($G283),$G283&lt;=IF($S283=MesCiclo,InicioCiclo,$S283+MOD(2-WEEKDAY($S283),7))+20),1,IF(ISNUMBER($K283),$K283,$Z283)))</f>
        <v/>
      </c>
      <c r="AB283" s="62">
        <f>IF($V283="","",IF(AND(ISNUMBER($G283),$G283&lt;=IF($S283=MesCiclo,InicioCiclo,$S283+MOD(2-WEEKDAY($S283),7))+27),1,IF(ISNUMBER($L283),$L283,$AA283)))</f>
        <v/>
      </c>
      <c r="AC283" s="62">
        <f>IF($V283="","",IF(AND(ISNUMBER($G283),$G283&lt;=IF($S283=MesCiclo,InicioCiclo,$S283+MOD(2-WEEKDAY($S283),7))+6),1,IF(N($W283)&gt;0,AVERAGEIFS($Y$5:$Y$1000,$U$5:$U$1000,ROW(),$V$5:$V$1000,"Sub"),$Y283)))</f>
        <v/>
      </c>
      <c r="AD283" s="62">
        <f>IF($V283="","",IF(AND(ISNUMBER($G283),$G283&lt;=IF($S283=MesCiclo,InicioCiclo,$S283+MOD(2-WEEKDAY($S283),7))+13),1,IF(N($W283)&gt;0,AVERAGEIFS($Z$5:$Z$1000,$U$5:$U$1000,ROW(),$V$5:$V$1000,"Sub"),$Z283)))</f>
        <v/>
      </c>
      <c r="AE283" s="62">
        <f>IF($V283="","",IF(AND(ISNUMBER($G283),$G283&lt;=IF($S283=MesCiclo,InicioCiclo,$S283+MOD(2-WEEKDAY($S283),7))+20),1,IF(N($W283)&gt;0,AVERAGEIFS($AA$5:$AA$1000,$U$5:$U$1000,ROW(),$V$5:$V$1000,"Sub"),$AA283)))</f>
        <v/>
      </c>
      <c r="AF283" s="62">
        <f>IF($V283="","",IF(AND(ISNUMBER($G283),$G283&lt;=IF($S283=MesCiclo,InicioCiclo,$S283+MOD(2-WEEKDAY($S283),7))+27),1,IF(N($W283)&gt;0,AVERAGEIFS($AB$5:$AB$1000,$U$5:$U$1000,ROW(),$V$5:$V$1000,"Sub"),$AB283)))</f>
        <v/>
      </c>
      <c r="AG283" s="62">
        <f>IF($V283&lt;&gt;"Macro","",IF(COUNTIFS($S$5:$S$1000,$S283,$V$5:$V$1000,"Macro",$H$5:$H$1000,"&gt;0")=0,1/COUNTIFS($S$5:$S$1000,$S283,$V$5:$V$1000,"Macro"),IF(AND(ISNUMBER($H283),N($H283)&gt;0),$H283,SUMIFS($H$5:$H$1000,$S$5:$S$1000,$S283,$V$5:$V$1000,"Macro")/COUNTIFS($S$5:$S$1000,$S283,$V$5:$V$1000,"Macro",$H$5:$H$1000,"&gt;0"))/(COUNTIFS($S$5:$S$1000,$S283,$V$5:$V$1000,"Macro")*SUMIFS($H$5:$H$1000,$S$5:$S$1000,$S283,$V$5:$V$1000,"Macro")/COUNTIFS($S$5:$S$1000,$S283,$V$5:$V$1000,"Macro",$H$5:$H$1000,"&gt;0"))))</f>
        <v/>
      </c>
      <c r="AH283" s="62" t="n"/>
      <c r="AI283" s="62" t="n"/>
      <c r="AJ283" s="62" t="n"/>
      <c r="AK283" s="62" t="n"/>
      <c r="AL283" s="62">
        <f>IF(LEFT($C283,11)="[Jefatura] ",IFERROR(MATCH("Riesgo Normativo|"&amp;MID($C283,12,500),rDname_ADM,0),0),"")</f>
        <v/>
      </c>
      <c r="AM283" s="62">
        <f>IF(N($AL283)&gt;0,INDEX(rIni_ADM,$AL283),IF(ISNUMBER($E283),$E283,""))</f>
        <v/>
      </c>
      <c r="AN283" s="62">
        <f>IF(N($AL283)&gt;0,INDEX(rLim_ADM,$AL283),IF(ISNUMBER($F283),$F283,""))</f>
        <v/>
      </c>
    </row>
    <row r="284">
      <c r="A284" s="56">
        <f>IF(NOT((COUNTA($B284:$D284)+COUNTA($G284:$L284)+COUNTA($Q284))&gt;0),"",IF($V284="Macro",COUNTIFS($V$5:$V284,"Macro",$S$5:$S284,$S284),IF(N($U284)=0,"?",COUNTIFS(INDEX($V$5:$V$1000,1):INDEX($V$5:$V$1000,$U284-4),"Macro",INDEX($S$5:$S$1000,1):INDEX($S$5:$S$1000,$U284-4),INDEX($S$5:$S$1000,$U284-4))&amp;"."&amp;COUNTIFS($U$5:$U284,$U284,$V$5:$V284,"Sub"))))</f>
        <v/>
      </c>
      <c r="B284" s="57" t="n"/>
      <c r="C284" s="58" t="n"/>
      <c r="D284" s="58" t="n"/>
      <c r="E284" s="59">
        <f>IF(N($AL284)&gt;0,INDEX(rIni_ADM,$AL284),"")</f>
        <v/>
      </c>
      <c r="F284" s="59">
        <f>IF(N($AL284)&gt;0,INDEX(rLim_ADM,$AL284),"")</f>
        <v/>
      </c>
      <c r="G284" s="59" t="n"/>
      <c r="H284" s="60" t="n"/>
      <c r="I284" s="60" t="n"/>
      <c r="J284" s="60" t="n"/>
      <c r="K284" s="60" t="n"/>
      <c r="L284" s="60" t="n"/>
      <c r="M284" s="61">
        <f>IF(NOT((COUNTA($B284:$D284)+COUNTA($G284:$L284)+COUNTA($Q284))&gt;0),"",IF($V284="Sub",IFERROR($X284/INDEX($W$5:$W$1000,$U284-4),""),IF(ISNUMBER($G284),1,IF(N($W284)&gt;0,AVERAGEIFS($X$5:$X$1000,$U$5:$U$1000,ROW(),$V$5:$V$1000,"Sub"),$X284))))</f>
        <v/>
      </c>
      <c r="N284" s="56">
        <f>IF(OR($M284="",$V284="Sub"),"",IF($M284&gt;=1,"Completado",IF($M284&gt;0,"En curso","Pendiente")))</f>
        <v/>
      </c>
      <c r="O284" s="56">
        <f>IF(OR(NOT((COUNTA($B284:$D284)+COUNTA($G284:$L284)+COUNTA($Q284))&gt;0),$V284="Sub"),"",IF(ISNUMBER($G284),IF(AND(ISNUMBER($AN284),$G284&gt;$AN284),"Cumplida con "&amp;($G284-$AN284)&amp;IF($G284-$AN284=1," día"," días")&amp;" de retraso","Cumplida"),IF(N($M284)&gt;=1,"Cumplida",IF(NOT(ISNUMBER($AN284)),"Sin fecha límite",IF($AN284&lt;FechaRef,"Vencida hace "&amp;(FechaRef-$AN284)&amp;IF(FechaRef-$AN284=1," día"," días"),IF($AN284=FechaRef,"Vence hoy",IF($AN284-FechaRef&lt;=DiasAlerta,"Vence en "&amp;($AN284-FechaRef)&amp;IF($AN284-FechaRef=1," día"," días"),"En plazo")))))))</f>
        <v/>
      </c>
      <c r="P284" s="62" t="n"/>
      <c r="Q284" s="58" t="n"/>
      <c r="R284" s="63">
        <f>IF(NOT((COUNTA($B284:$D284)+COUNTA($G284:$L284)+COUNTA($Q284))&gt;0),"",IF((IF($C284="","Falta el nombre de la actividad"&amp;" · ","")&amp;IF(AND($V284="Sub",N($U284)=0),"Subactividad sin macroactividad arriba"&amp;" · ","")&amp;IF($AM284="","Sin fecha de inicio"&amp;" · ","")&amp;IF($AN284="","Sin fecha límite"&amp;" · ","")&amp;IF(AND(LEFT($C284,11)="[Jefatura] ",N($AL284)=0),"No se encuentra en la hoja de la jefatura (elíjala de nuevo en la lista)"&amp;" · ","")&amp;IF(OR(AND($E284&lt;&gt;"",NOT(ISNUMBER($E284))),AND($F284&lt;&gt;"",NOT(ISNUMBER($F284))),AND($G284&lt;&gt;"",NOT(ISNUMBER($G284)))),"Fecha no válida"&amp;" · ","")&amp;IF(AND(ISNUMBER($AM284),ISNUMBER($AN284),$AM284&gt;$AN284),"Inicio posterior a fecha límite"&amp;" · ","")&amp;IF(AND($V284="Macro",$H284&lt;&gt;"",OR(NOT(ISNUMBER($H284)),$H284&lt;0,$H284&gt;1)),"Peso fuera de rango"&amp;" · ","")&amp;IF(AND($V284="Sub",$H284&lt;&gt;""),"Las subactividades no llevan peso (valen igual dentro de su macroactividad)"&amp;" · ","")&amp;IF(AND(N($W284)&gt;0,COUNT($I284:$L284)&gt;0),"Con subactividades: deje vacías las semanas (se calculan solas)"&amp;" · ","")&amp;IF((COUNTIF($I284:$L284,"&gt;1")+COUNTIF($I284:$L284,"&lt;0")+COUNTA($I284:$L284)-COUNT($I284:$L284))&gt;0,"Avance fuera de rango 0-100%"&amp;" · ","")&amp;IF(OR(AND($J284&lt;&gt;"",$J284&lt;$I284),AND($K284&lt;&gt;"",$K284&lt;MAX($I284:$J284)),AND($L284&lt;&gt;"",$L284&lt;MAX($I284:$K284))),"Avance semanal decreciente"&amp;" · ","")&amp;IF(AND(ISNUMBER($AN284),$AN284&lt;FechaRef,IF($V284="Sub",N($X284),N($M284))&lt;1),"Vencida"&amp;" · ","")&amp;IF(AND(ObsObligatoria="Sí",ISNUMBER($AN284),$AN284&lt;FechaRef,IF($V284="Sub",N($X284),N($M284))&lt;1,$Q284=""),"Vencida sin observación"&amp;" · ",""))="","✔ OK","⚠ "&amp;LEFT(IF($C284="","Falta el nombre de la actividad"&amp;" · ","")&amp;IF(AND($V284="Sub",N($U284)=0),"Subactividad sin macroactividad arriba"&amp;" · ","")&amp;IF($AM284="","Sin fecha de inicio"&amp;" · ","")&amp;IF($AN284="","Sin fecha límite"&amp;" · ","")&amp;IF(AND(LEFT($C284,11)="[Jefatura] ",N($AL284)=0),"No se encuentra en la hoja de la jefatura (elíjala de nuevo en la lista)"&amp;" · ","")&amp;IF(OR(AND($E284&lt;&gt;"",NOT(ISNUMBER($E284))),AND($F284&lt;&gt;"",NOT(ISNUMBER($F284))),AND($G284&lt;&gt;"",NOT(ISNUMBER($G284)))),"Fecha no válida"&amp;" · ","")&amp;IF(AND(ISNUMBER($AM284),ISNUMBER($AN284),$AM284&gt;$AN284),"Inicio posterior a fecha límite"&amp;" · ","")&amp;IF(AND($V284="Macro",$H284&lt;&gt;"",OR(NOT(ISNUMBER($H284)),$H284&lt;0,$H284&gt;1)),"Peso fuera de rango"&amp;" · ","")&amp;IF(AND($V284="Sub",$H284&lt;&gt;""),"Las subactividades no llevan peso (valen igual dentro de su macroactividad)"&amp;" · ","")&amp;IF(AND(N($W284)&gt;0,COUNT($I284:$L284)&gt;0),"Con subactividades: deje vacías las semanas (se calculan solas)"&amp;" · ","")&amp;IF((COUNTIF($I284:$L284,"&gt;1")+COUNTIF($I284:$L284,"&lt;0")+COUNTA($I284:$L284)-COUNT($I284:$L284))&gt;0,"Avance fuera de rango 0-100%"&amp;" · ","")&amp;IF(OR(AND($J284&lt;&gt;"",$J284&lt;$I284),AND($K284&lt;&gt;"",$K284&lt;MAX($I284:$J284)),AND($L284&lt;&gt;"",$L284&lt;MAX($I284:$K284))),"Avance semanal decreciente"&amp;" · ","")&amp;IF(AND(ISNUMBER($AN284),$AN284&lt;FechaRef,IF($V284="Sub",N($X284),N($M284))&lt;1),"Vencida"&amp;" · ","")&amp;IF(AND(ObsObligatoria="Sí",ISNUMBER($AN284),$AN284&lt;FechaRef,IF($V284="Sub",N($X284),N($M284))&lt;1,$Q284=""),"Vencida sin observación"&amp;" · ",""),LEN(IF($C284="","Falta el nombre de la actividad"&amp;" · ","")&amp;IF(AND($V284="Sub",N($U284)=0),"Subactividad sin macroactividad arriba"&amp;" · ","")&amp;IF($AM284="","Sin fecha de inicio"&amp;" · ","")&amp;IF($AN284="","Sin fecha límite"&amp;" · ","")&amp;IF(AND(LEFT($C284,11)="[Jefatura] ",N($AL284)=0),"No se encuentra en la hoja de la jefatura (elíjala de nuevo en la lista)"&amp;" · ","")&amp;IF(OR(AND($E284&lt;&gt;"",NOT(ISNUMBER($E284))),AND($F284&lt;&gt;"",NOT(ISNUMBER($F284))),AND($G284&lt;&gt;"",NOT(ISNUMBER($G284)))),"Fecha no válida"&amp;" · ","")&amp;IF(AND(ISNUMBER($AM284),ISNUMBER($AN284),$AM284&gt;$AN284),"Inicio posterior a fecha límite"&amp;" · ","")&amp;IF(AND($V284="Macro",$H284&lt;&gt;"",OR(NOT(ISNUMBER($H284)),$H284&lt;0,$H284&gt;1)),"Peso fuera de rango"&amp;" · ","")&amp;IF(AND($V284="Sub",$H284&lt;&gt;""),"Las subactividades no llevan peso (valen igual dentro de su macroactividad)"&amp;" · ","")&amp;IF(AND(N($W284)&gt;0,COUNT($I284:$L284)&gt;0),"Con subactividades: deje vacías las semanas (se calculan solas)"&amp;" · ","")&amp;IF((COUNTIF($I284:$L284,"&gt;1")+COUNTIF($I284:$L284,"&lt;0")+COUNTA($I284:$L284)-COUNT($I284:$L284))&gt;0,"Avance fuera de rango 0-100%"&amp;" · ","")&amp;IF(OR(AND($J284&lt;&gt;"",$J284&lt;$I284),AND($K284&lt;&gt;"",$K284&lt;MAX($I284:$J284)),AND($L284&lt;&gt;"",$L284&lt;MAX($I284:$K284))),"Avance semanal decreciente"&amp;" · ","")&amp;IF(AND(ISNUMBER($AN284),$AN284&lt;FechaRef,IF($V284="Sub",N($X284),N($M284))&lt;1),"Vencida"&amp;" · ","")&amp;IF(AND(ObsObligatoria="Sí",ISNUMBER($AN284),$AN284&lt;FechaRef,IF($V284="Sub",N($X284),N($M284))&lt;1,$Q284=""),"Vencida sin observación"&amp;" · ",""))-3)))</f>
        <v/>
      </c>
      <c r="S284" s="64">
        <f>IF(NOT((COUNTA($B284:$D284)+COUNTA($G284:$L284)+COUNTA($Q284))&gt;0),"",IF(AND($V284="Sub",N($U284)&gt;0),IF(ISNUMBER(INDEX($AM$5:$AM$1000,$U284-4)),DATE(YEAR(INDEX($AM$5:$AM$1000,$U284-4)),MONTH(INDEX($AM$5:$AM$1000,$U284-4)),1),IF(ISNUMBER(INDEX($AN$5:$AN$1000,$U284-4)),DATE(YEAR(INDEX($AN$5:$AN$1000,$U284-4)),MONTH(INDEX($AN$5:$AN$1000,$U284-4)),1),MesCiclo)),IF(ISNUMBER($AM284),DATE(YEAR($AM284),MONTH($AM284),1),IF(ISNUMBER($AN284),DATE(YEAR($AN284),MONTH($AN284),1),MesCiclo))))</f>
        <v/>
      </c>
      <c r="T284" s="62">
        <f>IF(OR($S284="",$S284&lt;&gt;MesCiclo,$V284&lt;&gt;"Macro"),"",COUNTIFS($S$5:$S284,MesCiclo,$V$5:$V284,"Macro"))</f>
        <v/>
      </c>
      <c r="U284" s="62">
        <f>IF($V284="","",IF($V284="Macro",ROW(),IFERROR(LOOKUP(2,1/($V$5:$V284="Macro"),ROW($V$5:$V284)),0)))</f>
        <v/>
      </c>
      <c r="V284" s="62">
        <f>IF(NOT((COUNTA($B284:$D284)+COUNTA($G284:$L284)+COUNTA($Q284))&gt;0),"",IF($B284="Subactividad","Sub","Macro"))</f>
        <v/>
      </c>
      <c r="W284" s="62">
        <f>IF($V284="Macro",COUNTIFS($U$5:$U$1000,ROW(),$V$5:$V$1000,"Sub"),"")</f>
        <v/>
      </c>
      <c r="X284" s="62">
        <f>IF($V284="","",IF(ISNUMBER($G284),1,IFERROR(LOOKUP(2,1/($I284:$L284&lt;&gt;""),$I284:$L284),0)))</f>
        <v/>
      </c>
      <c r="Y284" s="62">
        <f>IF($V284="","",IF(AND(ISNUMBER($G284),$G284&lt;=IF($S284=MesCiclo,InicioCiclo,$S284+MOD(2-WEEKDAY($S284),7))+6),1,IF(ISNUMBER($I284),$I284,0)))</f>
        <v/>
      </c>
      <c r="Z284" s="62">
        <f>IF($V284="","",IF(AND(ISNUMBER($G284),$G284&lt;=IF($S284=MesCiclo,InicioCiclo,$S284+MOD(2-WEEKDAY($S284),7))+13),1,IF(ISNUMBER($J284),$J284,$Y284)))</f>
        <v/>
      </c>
      <c r="AA284" s="62">
        <f>IF($V284="","",IF(AND(ISNUMBER($G284),$G284&lt;=IF($S284=MesCiclo,InicioCiclo,$S284+MOD(2-WEEKDAY($S284),7))+20),1,IF(ISNUMBER($K284),$K284,$Z284)))</f>
        <v/>
      </c>
      <c r="AB284" s="62">
        <f>IF($V284="","",IF(AND(ISNUMBER($G284),$G284&lt;=IF($S284=MesCiclo,InicioCiclo,$S284+MOD(2-WEEKDAY($S284),7))+27),1,IF(ISNUMBER($L284),$L284,$AA284)))</f>
        <v/>
      </c>
      <c r="AC284" s="62">
        <f>IF($V284="","",IF(AND(ISNUMBER($G284),$G284&lt;=IF($S284=MesCiclo,InicioCiclo,$S284+MOD(2-WEEKDAY($S284),7))+6),1,IF(N($W284)&gt;0,AVERAGEIFS($Y$5:$Y$1000,$U$5:$U$1000,ROW(),$V$5:$V$1000,"Sub"),$Y284)))</f>
        <v/>
      </c>
      <c r="AD284" s="62">
        <f>IF($V284="","",IF(AND(ISNUMBER($G284),$G284&lt;=IF($S284=MesCiclo,InicioCiclo,$S284+MOD(2-WEEKDAY($S284),7))+13),1,IF(N($W284)&gt;0,AVERAGEIFS($Z$5:$Z$1000,$U$5:$U$1000,ROW(),$V$5:$V$1000,"Sub"),$Z284)))</f>
        <v/>
      </c>
      <c r="AE284" s="62">
        <f>IF($V284="","",IF(AND(ISNUMBER($G284),$G284&lt;=IF($S284=MesCiclo,InicioCiclo,$S284+MOD(2-WEEKDAY($S284),7))+20),1,IF(N($W284)&gt;0,AVERAGEIFS($AA$5:$AA$1000,$U$5:$U$1000,ROW(),$V$5:$V$1000,"Sub"),$AA284)))</f>
        <v/>
      </c>
      <c r="AF284" s="62">
        <f>IF($V284="","",IF(AND(ISNUMBER($G284),$G284&lt;=IF($S284=MesCiclo,InicioCiclo,$S284+MOD(2-WEEKDAY($S284),7))+27),1,IF(N($W284)&gt;0,AVERAGEIFS($AB$5:$AB$1000,$U$5:$U$1000,ROW(),$V$5:$V$1000,"Sub"),$AB284)))</f>
        <v/>
      </c>
      <c r="AG284" s="62">
        <f>IF($V284&lt;&gt;"Macro","",IF(COUNTIFS($S$5:$S$1000,$S284,$V$5:$V$1000,"Macro",$H$5:$H$1000,"&gt;0")=0,1/COUNTIFS($S$5:$S$1000,$S284,$V$5:$V$1000,"Macro"),IF(AND(ISNUMBER($H284),N($H284)&gt;0),$H284,SUMIFS($H$5:$H$1000,$S$5:$S$1000,$S284,$V$5:$V$1000,"Macro")/COUNTIFS($S$5:$S$1000,$S284,$V$5:$V$1000,"Macro",$H$5:$H$1000,"&gt;0"))/(COUNTIFS($S$5:$S$1000,$S284,$V$5:$V$1000,"Macro")*SUMIFS($H$5:$H$1000,$S$5:$S$1000,$S284,$V$5:$V$1000,"Macro")/COUNTIFS($S$5:$S$1000,$S284,$V$5:$V$1000,"Macro",$H$5:$H$1000,"&gt;0"))))</f>
        <v/>
      </c>
      <c r="AH284" s="62" t="n"/>
      <c r="AI284" s="62" t="n"/>
      <c r="AJ284" s="62" t="n"/>
      <c r="AK284" s="62" t="n"/>
      <c r="AL284" s="62">
        <f>IF(LEFT($C284,11)="[Jefatura] ",IFERROR(MATCH("Riesgo Normativo|"&amp;MID($C284,12,500),rDname_ADM,0),0),"")</f>
        <v/>
      </c>
      <c r="AM284" s="62">
        <f>IF(N($AL284)&gt;0,INDEX(rIni_ADM,$AL284),IF(ISNUMBER($E284),$E284,""))</f>
        <v/>
      </c>
      <c r="AN284" s="62">
        <f>IF(N($AL284)&gt;0,INDEX(rLim_ADM,$AL284),IF(ISNUMBER($F284),$F284,""))</f>
        <v/>
      </c>
    </row>
    <row r="285">
      <c r="A285" s="56">
        <f>IF(NOT((COUNTA($B285:$D285)+COUNTA($G285:$L285)+COUNTA($Q285))&gt;0),"",IF($V285="Macro",COUNTIFS($V$5:$V285,"Macro",$S$5:$S285,$S285),IF(N($U285)=0,"?",COUNTIFS(INDEX($V$5:$V$1000,1):INDEX($V$5:$V$1000,$U285-4),"Macro",INDEX($S$5:$S$1000,1):INDEX($S$5:$S$1000,$U285-4),INDEX($S$5:$S$1000,$U285-4))&amp;"."&amp;COUNTIFS($U$5:$U285,$U285,$V$5:$V285,"Sub"))))</f>
        <v/>
      </c>
      <c r="B285" s="57" t="n"/>
      <c r="C285" s="58" t="n"/>
      <c r="D285" s="58" t="n"/>
      <c r="E285" s="59">
        <f>IF(N($AL285)&gt;0,INDEX(rIni_ADM,$AL285),"")</f>
        <v/>
      </c>
      <c r="F285" s="59">
        <f>IF(N($AL285)&gt;0,INDEX(rLim_ADM,$AL285),"")</f>
        <v/>
      </c>
      <c r="G285" s="59" t="n"/>
      <c r="H285" s="60" t="n"/>
      <c r="I285" s="60" t="n"/>
      <c r="J285" s="60" t="n"/>
      <c r="K285" s="60" t="n"/>
      <c r="L285" s="60" t="n"/>
      <c r="M285" s="61">
        <f>IF(NOT((COUNTA($B285:$D285)+COUNTA($G285:$L285)+COUNTA($Q285))&gt;0),"",IF($V285="Sub",IFERROR($X285/INDEX($W$5:$W$1000,$U285-4),""),IF(ISNUMBER($G285),1,IF(N($W285)&gt;0,AVERAGEIFS($X$5:$X$1000,$U$5:$U$1000,ROW(),$V$5:$V$1000,"Sub"),$X285))))</f>
        <v/>
      </c>
      <c r="N285" s="56">
        <f>IF(OR($M285="",$V285="Sub"),"",IF($M285&gt;=1,"Completado",IF($M285&gt;0,"En curso","Pendiente")))</f>
        <v/>
      </c>
      <c r="O285" s="56">
        <f>IF(OR(NOT((COUNTA($B285:$D285)+COUNTA($G285:$L285)+COUNTA($Q285))&gt;0),$V285="Sub"),"",IF(ISNUMBER($G285),IF(AND(ISNUMBER($AN285),$G285&gt;$AN285),"Cumplida con "&amp;($G285-$AN285)&amp;IF($G285-$AN285=1," día"," días")&amp;" de retraso","Cumplida"),IF(N($M285)&gt;=1,"Cumplida",IF(NOT(ISNUMBER($AN285)),"Sin fecha límite",IF($AN285&lt;FechaRef,"Vencida hace "&amp;(FechaRef-$AN285)&amp;IF(FechaRef-$AN285=1," día"," días"),IF($AN285=FechaRef,"Vence hoy",IF($AN285-FechaRef&lt;=DiasAlerta,"Vence en "&amp;($AN285-FechaRef)&amp;IF($AN285-FechaRef=1," día"," días"),"En plazo")))))))</f>
        <v/>
      </c>
      <c r="P285" s="62" t="n"/>
      <c r="Q285" s="58" t="n"/>
      <c r="R285" s="63">
        <f>IF(NOT((COUNTA($B285:$D285)+COUNTA($G285:$L285)+COUNTA($Q285))&gt;0),"",IF((IF($C285="","Falta el nombre de la actividad"&amp;" · ","")&amp;IF(AND($V285="Sub",N($U285)=0),"Subactividad sin macroactividad arriba"&amp;" · ","")&amp;IF($AM285="","Sin fecha de inicio"&amp;" · ","")&amp;IF($AN285="","Sin fecha límite"&amp;" · ","")&amp;IF(AND(LEFT($C285,11)="[Jefatura] ",N($AL285)=0),"No se encuentra en la hoja de la jefatura (elíjala de nuevo en la lista)"&amp;" · ","")&amp;IF(OR(AND($E285&lt;&gt;"",NOT(ISNUMBER($E285))),AND($F285&lt;&gt;"",NOT(ISNUMBER($F285))),AND($G285&lt;&gt;"",NOT(ISNUMBER($G285)))),"Fecha no válida"&amp;" · ","")&amp;IF(AND(ISNUMBER($AM285),ISNUMBER($AN285),$AM285&gt;$AN285),"Inicio posterior a fecha límite"&amp;" · ","")&amp;IF(AND($V285="Macro",$H285&lt;&gt;"",OR(NOT(ISNUMBER($H285)),$H285&lt;0,$H285&gt;1)),"Peso fuera de rango"&amp;" · ","")&amp;IF(AND($V285="Sub",$H285&lt;&gt;""),"Las subactividades no llevan peso (valen igual dentro de su macroactividad)"&amp;" · ","")&amp;IF(AND(N($W285)&gt;0,COUNT($I285:$L285)&gt;0),"Con subactividades: deje vacías las semanas (se calculan solas)"&amp;" · ","")&amp;IF((COUNTIF($I285:$L285,"&gt;1")+COUNTIF($I285:$L285,"&lt;0")+COUNTA($I285:$L285)-COUNT($I285:$L285))&gt;0,"Avance fuera de rango 0-100%"&amp;" · ","")&amp;IF(OR(AND($J285&lt;&gt;"",$J285&lt;$I285),AND($K285&lt;&gt;"",$K285&lt;MAX($I285:$J285)),AND($L285&lt;&gt;"",$L285&lt;MAX($I285:$K285))),"Avance semanal decreciente"&amp;" · ","")&amp;IF(AND(ISNUMBER($AN285),$AN285&lt;FechaRef,IF($V285="Sub",N($X285),N($M285))&lt;1),"Vencida"&amp;" · ","")&amp;IF(AND(ObsObligatoria="Sí",ISNUMBER($AN285),$AN285&lt;FechaRef,IF($V285="Sub",N($X285),N($M285))&lt;1,$Q285=""),"Vencida sin observación"&amp;" · ",""))="","✔ OK","⚠ "&amp;LEFT(IF($C285="","Falta el nombre de la actividad"&amp;" · ","")&amp;IF(AND($V285="Sub",N($U285)=0),"Subactividad sin macroactividad arriba"&amp;" · ","")&amp;IF($AM285="","Sin fecha de inicio"&amp;" · ","")&amp;IF($AN285="","Sin fecha límite"&amp;" · ","")&amp;IF(AND(LEFT($C285,11)="[Jefatura] ",N($AL285)=0),"No se encuentra en la hoja de la jefatura (elíjala de nuevo en la lista)"&amp;" · ","")&amp;IF(OR(AND($E285&lt;&gt;"",NOT(ISNUMBER($E285))),AND($F285&lt;&gt;"",NOT(ISNUMBER($F285))),AND($G285&lt;&gt;"",NOT(ISNUMBER($G285)))),"Fecha no válida"&amp;" · ","")&amp;IF(AND(ISNUMBER($AM285),ISNUMBER($AN285),$AM285&gt;$AN285),"Inicio posterior a fecha límite"&amp;" · ","")&amp;IF(AND($V285="Macro",$H285&lt;&gt;"",OR(NOT(ISNUMBER($H285)),$H285&lt;0,$H285&gt;1)),"Peso fuera de rango"&amp;" · ","")&amp;IF(AND($V285="Sub",$H285&lt;&gt;""),"Las subactividades no llevan peso (valen igual dentro de su macroactividad)"&amp;" · ","")&amp;IF(AND(N($W285)&gt;0,COUNT($I285:$L285)&gt;0),"Con subactividades: deje vacías las semanas (se calculan solas)"&amp;" · ","")&amp;IF((COUNTIF($I285:$L285,"&gt;1")+COUNTIF($I285:$L285,"&lt;0")+COUNTA($I285:$L285)-COUNT($I285:$L285))&gt;0,"Avance fuera de rango 0-100%"&amp;" · ","")&amp;IF(OR(AND($J285&lt;&gt;"",$J285&lt;$I285),AND($K285&lt;&gt;"",$K285&lt;MAX($I285:$J285)),AND($L285&lt;&gt;"",$L285&lt;MAX($I285:$K285))),"Avance semanal decreciente"&amp;" · ","")&amp;IF(AND(ISNUMBER($AN285),$AN285&lt;FechaRef,IF($V285="Sub",N($X285),N($M285))&lt;1),"Vencida"&amp;" · ","")&amp;IF(AND(ObsObligatoria="Sí",ISNUMBER($AN285),$AN285&lt;FechaRef,IF($V285="Sub",N($X285),N($M285))&lt;1,$Q285=""),"Vencida sin observación"&amp;" · ",""),LEN(IF($C285="","Falta el nombre de la actividad"&amp;" · ","")&amp;IF(AND($V285="Sub",N($U285)=0),"Subactividad sin macroactividad arriba"&amp;" · ","")&amp;IF($AM285="","Sin fecha de inicio"&amp;" · ","")&amp;IF($AN285="","Sin fecha límite"&amp;" · ","")&amp;IF(AND(LEFT($C285,11)="[Jefatura] ",N($AL285)=0),"No se encuentra en la hoja de la jefatura (elíjala de nuevo en la lista)"&amp;" · ","")&amp;IF(OR(AND($E285&lt;&gt;"",NOT(ISNUMBER($E285))),AND($F285&lt;&gt;"",NOT(ISNUMBER($F285))),AND($G285&lt;&gt;"",NOT(ISNUMBER($G285)))),"Fecha no válida"&amp;" · ","")&amp;IF(AND(ISNUMBER($AM285),ISNUMBER($AN285),$AM285&gt;$AN285),"Inicio posterior a fecha límite"&amp;" · ","")&amp;IF(AND($V285="Macro",$H285&lt;&gt;"",OR(NOT(ISNUMBER($H285)),$H285&lt;0,$H285&gt;1)),"Peso fuera de rango"&amp;" · ","")&amp;IF(AND($V285="Sub",$H285&lt;&gt;""),"Las subactividades no llevan peso (valen igual dentro de su macroactividad)"&amp;" · ","")&amp;IF(AND(N($W285)&gt;0,COUNT($I285:$L285)&gt;0),"Con subactividades: deje vacías las semanas (se calculan solas)"&amp;" · ","")&amp;IF((COUNTIF($I285:$L285,"&gt;1")+COUNTIF($I285:$L285,"&lt;0")+COUNTA($I285:$L285)-COUNT($I285:$L285))&gt;0,"Avance fuera de rango 0-100%"&amp;" · ","")&amp;IF(OR(AND($J285&lt;&gt;"",$J285&lt;$I285),AND($K285&lt;&gt;"",$K285&lt;MAX($I285:$J285)),AND($L285&lt;&gt;"",$L285&lt;MAX($I285:$K285))),"Avance semanal decreciente"&amp;" · ","")&amp;IF(AND(ISNUMBER($AN285),$AN285&lt;FechaRef,IF($V285="Sub",N($X285),N($M285))&lt;1),"Vencida"&amp;" · ","")&amp;IF(AND(ObsObligatoria="Sí",ISNUMBER($AN285),$AN285&lt;FechaRef,IF($V285="Sub",N($X285),N($M285))&lt;1,$Q285=""),"Vencida sin observación"&amp;" · ",""))-3)))</f>
        <v/>
      </c>
      <c r="S285" s="64">
        <f>IF(NOT((COUNTA($B285:$D285)+COUNTA($G285:$L285)+COUNTA($Q285))&gt;0),"",IF(AND($V285="Sub",N($U285)&gt;0),IF(ISNUMBER(INDEX($AM$5:$AM$1000,$U285-4)),DATE(YEAR(INDEX($AM$5:$AM$1000,$U285-4)),MONTH(INDEX($AM$5:$AM$1000,$U285-4)),1),IF(ISNUMBER(INDEX($AN$5:$AN$1000,$U285-4)),DATE(YEAR(INDEX($AN$5:$AN$1000,$U285-4)),MONTH(INDEX($AN$5:$AN$1000,$U285-4)),1),MesCiclo)),IF(ISNUMBER($AM285),DATE(YEAR($AM285),MONTH($AM285),1),IF(ISNUMBER($AN285),DATE(YEAR($AN285),MONTH($AN285),1),MesCiclo))))</f>
        <v/>
      </c>
      <c r="T285" s="62">
        <f>IF(OR($S285="",$S285&lt;&gt;MesCiclo,$V285&lt;&gt;"Macro"),"",COUNTIFS($S$5:$S285,MesCiclo,$V$5:$V285,"Macro"))</f>
        <v/>
      </c>
      <c r="U285" s="62">
        <f>IF($V285="","",IF($V285="Macro",ROW(),IFERROR(LOOKUP(2,1/($V$5:$V285="Macro"),ROW($V$5:$V285)),0)))</f>
        <v/>
      </c>
      <c r="V285" s="62">
        <f>IF(NOT((COUNTA($B285:$D285)+COUNTA($G285:$L285)+COUNTA($Q285))&gt;0),"",IF($B285="Subactividad","Sub","Macro"))</f>
        <v/>
      </c>
      <c r="W285" s="62">
        <f>IF($V285="Macro",COUNTIFS($U$5:$U$1000,ROW(),$V$5:$V$1000,"Sub"),"")</f>
        <v/>
      </c>
      <c r="X285" s="62">
        <f>IF($V285="","",IF(ISNUMBER($G285),1,IFERROR(LOOKUP(2,1/($I285:$L285&lt;&gt;""),$I285:$L285),0)))</f>
        <v/>
      </c>
      <c r="Y285" s="62">
        <f>IF($V285="","",IF(AND(ISNUMBER($G285),$G285&lt;=IF($S285=MesCiclo,InicioCiclo,$S285+MOD(2-WEEKDAY($S285),7))+6),1,IF(ISNUMBER($I285),$I285,0)))</f>
        <v/>
      </c>
      <c r="Z285" s="62">
        <f>IF($V285="","",IF(AND(ISNUMBER($G285),$G285&lt;=IF($S285=MesCiclo,InicioCiclo,$S285+MOD(2-WEEKDAY($S285),7))+13),1,IF(ISNUMBER($J285),$J285,$Y285)))</f>
        <v/>
      </c>
      <c r="AA285" s="62">
        <f>IF($V285="","",IF(AND(ISNUMBER($G285),$G285&lt;=IF($S285=MesCiclo,InicioCiclo,$S285+MOD(2-WEEKDAY($S285),7))+20),1,IF(ISNUMBER($K285),$K285,$Z285)))</f>
        <v/>
      </c>
      <c r="AB285" s="62">
        <f>IF($V285="","",IF(AND(ISNUMBER($G285),$G285&lt;=IF($S285=MesCiclo,InicioCiclo,$S285+MOD(2-WEEKDAY($S285),7))+27),1,IF(ISNUMBER($L285),$L285,$AA285)))</f>
        <v/>
      </c>
      <c r="AC285" s="62">
        <f>IF($V285="","",IF(AND(ISNUMBER($G285),$G285&lt;=IF($S285=MesCiclo,InicioCiclo,$S285+MOD(2-WEEKDAY($S285),7))+6),1,IF(N($W285)&gt;0,AVERAGEIFS($Y$5:$Y$1000,$U$5:$U$1000,ROW(),$V$5:$V$1000,"Sub"),$Y285)))</f>
        <v/>
      </c>
      <c r="AD285" s="62">
        <f>IF($V285="","",IF(AND(ISNUMBER($G285),$G285&lt;=IF($S285=MesCiclo,InicioCiclo,$S285+MOD(2-WEEKDAY($S285),7))+13),1,IF(N($W285)&gt;0,AVERAGEIFS($Z$5:$Z$1000,$U$5:$U$1000,ROW(),$V$5:$V$1000,"Sub"),$Z285)))</f>
        <v/>
      </c>
      <c r="AE285" s="62">
        <f>IF($V285="","",IF(AND(ISNUMBER($G285),$G285&lt;=IF($S285=MesCiclo,InicioCiclo,$S285+MOD(2-WEEKDAY($S285),7))+20),1,IF(N($W285)&gt;0,AVERAGEIFS($AA$5:$AA$1000,$U$5:$U$1000,ROW(),$V$5:$V$1000,"Sub"),$AA285)))</f>
        <v/>
      </c>
      <c r="AF285" s="62">
        <f>IF($V285="","",IF(AND(ISNUMBER($G285),$G285&lt;=IF($S285=MesCiclo,InicioCiclo,$S285+MOD(2-WEEKDAY($S285),7))+27),1,IF(N($W285)&gt;0,AVERAGEIFS($AB$5:$AB$1000,$U$5:$U$1000,ROW(),$V$5:$V$1000,"Sub"),$AB285)))</f>
        <v/>
      </c>
      <c r="AG285" s="62">
        <f>IF($V285&lt;&gt;"Macro","",IF(COUNTIFS($S$5:$S$1000,$S285,$V$5:$V$1000,"Macro",$H$5:$H$1000,"&gt;0")=0,1/COUNTIFS($S$5:$S$1000,$S285,$V$5:$V$1000,"Macro"),IF(AND(ISNUMBER($H285),N($H285)&gt;0),$H285,SUMIFS($H$5:$H$1000,$S$5:$S$1000,$S285,$V$5:$V$1000,"Macro")/COUNTIFS($S$5:$S$1000,$S285,$V$5:$V$1000,"Macro",$H$5:$H$1000,"&gt;0"))/(COUNTIFS($S$5:$S$1000,$S285,$V$5:$V$1000,"Macro")*SUMIFS($H$5:$H$1000,$S$5:$S$1000,$S285,$V$5:$V$1000,"Macro")/COUNTIFS($S$5:$S$1000,$S285,$V$5:$V$1000,"Macro",$H$5:$H$1000,"&gt;0"))))</f>
        <v/>
      </c>
      <c r="AH285" s="62" t="n"/>
      <c r="AI285" s="62" t="n"/>
      <c r="AJ285" s="62" t="n"/>
      <c r="AK285" s="62" t="n"/>
      <c r="AL285" s="62">
        <f>IF(LEFT($C285,11)="[Jefatura] ",IFERROR(MATCH("Riesgo Normativo|"&amp;MID($C285,12,500),rDname_ADM,0),0),"")</f>
        <v/>
      </c>
      <c r="AM285" s="62">
        <f>IF(N($AL285)&gt;0,INDEX(rIni_ADM,$AL285),IF(ISNUMBER($E285),$E285,""))</f>
        <v/>
      </c>
      <c r="AN285" s="62">
        <f>IF(N($AL285)&gt;0,INDEX(rLim_ADM,$AL285),IF(ISNUMBER($F285),$F285,""))</f>
        <v/>
      </c>
    </row>
    <row r="286">
      <c r="A286" s="56">
        <f>IF(NOT((COUNTA($B286:$D286)+COUNTA($G286:$L286)+COUNTA($Q286))&gt;0),"",IF($V286="Macro",COUNTIFS($V$5:$V286,"Macro",$S$5:$S286,$S286),IF(N($U286)=0,"?",COUNTIFS(INDEX($V$5:$V$1000,1):INDEX($V$5:$V$1000,$U286-4),"Macro",INDEX($S$5:$S$1000,1):INDEX($S$5:$S$1000,$U286-4),INDEX($S$5:$S$1000,$U286-4))&amp;"."&amp;COUNTIFS($U$5:$U286,$U286,$V$5:$V286,"Sub"))))</f>
        <v/>
      </c>
      <c r="B286" s="57" t="n"/>
      <c r="C286" s="58" t="n"/>
      <c r="D286" s="58" t="n"/>
      <c r="E286" s="59">
        <f>IF(N($AL286)&gt;0,INDEX(rIni_ADM,$AL286),"")</f>
        <v/>
      </c>
      <c r="F286" s="59">
        <f>IF(N($AL286)&gt;0,INDEX(rLim_ADM,$AL286),"")</f>
        <v/>
      </c>
      <c r="G286" s="59" t="n"/>
      <c r="H286" s="60" t="n"/>
      <c r="I286" s="60" t="n"/>
      <c r="J286" s="60" t="n"/>
      <c r="K286" s="60" t="n"/>
      <c r="L286" s="60" t="n"/>
      <c r="M286" s="61">
        <f>IF(NOT((COUNTA($B286:$D286)+COUNTA($G286:$L286)+COUNTA($Q286))&gt;0),"",IF($V286="Sub",IFERROR($X286/INDEX($W$5:$W$1000,$U286-4),""),IF(ISNUMBER($G286),1,IF(N($W286)&gt;0,AVERAGEIFS($X$5:$X$1000,$U$5:$U$1000,ROW(),$V$5:$V$1000,"Sub"),$X286))))</f>
        <v/>
      </c>
      <c r="N286" s="56">
        <f>IF(OR($M286="",$V286="Sub"),"",IF($M286&gt;=1,"Completado",IF($M286&gt;0,"En curso","Pendiente")))</f>
        <v/>
      </c>
      <c r="O286" s="56">
        <f>IF(OR(NOT((COUNTA($B286:$D286)+COUNTA($G286:$L286)+COUNTA($Q286))&gt;0),$V286="Sub"),"",IF(ISNUMBER($G286),IF(AND(ISNUMBER($AN286),$G286&gt;$AN286),"Cumplida con "&amp;($G286-$AN286)&amp;IF($G286-$AN286=1," día"," días")&amp;" de retraso","Cumplida"),IF(N($M286)&gt;=1,"Cumplida",IF(NOT(ISNUMBER($AN286)),"Sin fecha límite",IF($AN286&lt;FechaRef,"Vencida hace "&amp;(FechaRef-$AN286)&amp;IF(FechaRef-$AN286=1," día"," días"),IF($AN286=FechaRef,"Vence hoy",IF($AN286-FechaRef&lt;=DiasAlerta,"Vence en "&amp;($AN286-FechaRef)&amp;IF($AN286-FechaRef=1," día"," días"),"En plazo")))))))</f>
        <v/>
      </c>
      <c r="P286" s="62" t="n"/>
      <c r="Q286" s="58" t="n"/>
      <c r="R286" s="63">
        <f>IF(NOT((COUNTA($B286:$D286)+COUNTA($G286:$L286)+COUNTA($Q286))&gt;0),"",IF((IF($C286="","Falta el nombre de la actividad"&amp;" · ","")&amp;IF(AND($V286="Sub",N($U286)=0),"Subactividad sin macroactividad arriba"&amp;" · ","")&amp;IF($AM286="","Sin fecha de inicio"&amp;" · ","")&amp;IF($AN286="","Sin fecha límite"&amp;" · ","")&amp;IF(AND(LEFT($C286,11)="[Jefatura] ",N($AL286)=0),"No se encuentra en la hoja de la jefatura (elíjala de nuevo en la lista)"&amp;" · ","")&amp;IF(OR(AND($E286&lt;&gt;"",NOT(ISNUMBER($E286))),AND($F286&lt;&gt;"",NOT(ISNUMBER($F286))),AND($G286&lt;&gt;"",NOT(ISNUMBER($G286)))),"Fecha no válida"&amp;" · ","")&amp;IF(AND(ISNUMBER($AM286),ISNUMBER($AN286),$AM286&gt;$AN286),"Inicio posterior a fecha límite"&amp;" · ","")&amp;IF(AND($V286="Macro",$H286&lt;&gt;"",OR(NOT(ISNUMBER($H286)),$H286&lt;0,$H286&gt;1)),"Peso fuera de rango"&amp;" · ","")&amp;IF(AND($V286="Sub",$H286&lt;&gt;""),"Las subactividades no llevan peso (valen igual dentro de su macroactividad)"&amp;" · ","")&amp;IF(AND(N($W286)&gt;0,COUNT($I286:$L286)&gt;0),"Con subactividades: deje vacías las semanas (se calculan solas)"&amp;" · ","")&amp;IF((COUNTIF($I286:$L286,"&gt;1")+COUNTIF($I286:$L286,"&lt;0")+COUNTA($I286:$L286)-COUNT($I286:$L286))&gt;0,"Avance fuera de rango 0-100%"&amp;" · ","")&amp;IF(OR(AND($J286&lt;&gt;"",$J286&lt;$I286),AND($K286&lt;&gt;"",$K286&lt;MAX($I286:$J286)),AND($L286&lt;&gt;"",$L286&lt;MAX($I286:$K286))),"Avance semanal decreciente"&amp;" · ","")&amp;IF(AND(ISNUMBER($AN286),$AN286&lt;FechaRef,IF($V286="Sub",N($X286),N($M286))&lt;1),"Vencida"&amp;" · ","")&amp;IF(AND(ObsObligatoria="Sí",ISNUMBER($AN286),$AN286&lt;FechaRef,IF($V286="Sub",N($X286),N($M286))&lt;1,$Q286=""),"Vencida sin observación"&amp;" · ",""))="","✔ OK","⚠ "&amp;LEFT(IF($C286="","Falta el nombre de la actividad"&amp;" · ","")&amp;IF(AND($V286="Sub",N($U286)=0),"Subactividad sin macroactividad arriba"&amp;" · ","")&amp;IF($AM286="","Sin fecha de inicio"&amp;" · ","")&amp;IF($AN286="","Sin fecha límite"&amp;" · ","")&amp;IF(AND(LEFT($C286,11)="[Jefatura] ",N($AL286)=0),"No se encuentra en la hoja de la jefatura (elíjala de nuevo en la lista)"&amp;" · ","")&amp;IF(OR(AND($E286&lt;&gt;"",NOT(ISNUMBER($E286))),AND($F286&lt;&gt;"",NOT(ISNUMBER($F286))),AND($G286&lt;&gt;"",NOT(ISNUMBER($G286)))),"Fecha no válida"&amp;" · ","")&amp;IF(AND(ISNUMBER($AM286),ISNUMBER($AN286),$AM286&gt;$AN286),"Inicio posterior a fecha límite"&amp;" · ","")&amp;IF(AND($V286="Macro",$H286&lt;&gt;"",OR(NOT(ISNUMBER($H286)),$H286&lt;0,$H286&gt;1)),"Peso fuera de rango"&amp;" · ","")&amp;IF(AND($V286="Sub",$H286&lt;&gt;""),"Las subactividades no llevan peso (valen igual dentro de su macroactividad)"&amp;" · ","")&amp;IF(AND(N($W286)&gt;0,COUNT($I286:$L286)&gt;0),"Con subactividades: deje vacías las semanas (se calculan solas)"&amp;" · ","")&amp;IF((COUNTIF($I286:$L286,"&gt;1")+COUNTIF($I286:$L286,"&lt;0")+COUNTA($I286:$L286)-COUNT($I286:$L286))&gt;0,"Avance fuera de rango 0-100%"&amp;" · ","")&amp;IF(OR(AND($J286&lt;&gt;"",$J286&lt;$I286),AND($K286&lt;&gt;"",$K286&lt;MAX($I286:$J286)),AND($L286&lt;&gt;"",$L286&lt;MAX($I286:$K286))),"Avance semanal decreciente"&amp;" · ","")&amp;IF(AND(ISNUMBER($AN286),$AN286&lt;FechaRef,IF($V286="Sub",N($X286),N($M286))&lt;1),"Vencida"&amp;" · ","")&amp;IF(AND(ObsObligatoria="Sí",ISNUMBER($AN286),$AN286&lt;FechaRef,IF($V286="Sub",N($X286),N($M286))&lt;1,$Q286=""),"Vencida sin observación"&amp;" · ",""),LEN(IF($C286="","Falta el nombre de la actividad"&amp;" · ","")&amp;IF(AND($V286="Sub",N($U286)=0),"Subactividad sin macroactividad arriba"&amp;" · ","")&amp;IF($AM286="","Sin fecha de inicio"&amp;" · ","")&amp;IF($AN286="","Sin fecha límite"&amp;" · ","")&amp;IF(AND(LEFT($C286,11)="[Jefatura] ",N($AL286)=0),"No se encuentra en la hoja de la jefatura (elíjala de nuevo en la lista)"&amp;" · ","")&amp;IF(OR(AND($E286&lt;&gt;"",NOT(ISNUMBER($E286))),AND($F286&lt;&gt;"",NOT(ISNUMBER($F286))),AND($G286&lt;&gt;"",NOT(ISNUMBER($G286)))),"Fecha no válida"&amp;" · ","")&amp;IF(AND(ISNUMBER($AM286),ISNUMBER($AN286),$AM286&gt;$AN286),"Inicio posterior a fecha límite"&amp;" · ","")&amp;IF(AND($V286="Macro",$H286&lt;&gt;"",OR(NOT(ISNUMBER($H286)),$H286&lt;0,$H286&gt;1)),"Peso fuera de rango"&amp;" · ","")&amp;IF(AND($V286="Sub",$H286&lt;&gt;""),"Las subactividades no llevan peso (valen igual dentro de su macroactividad)"&amp;" · ","")&amp;IF(AND(N($W286)&gt;0,COUNT($I286:$L286)&gt;0),"Con subactividades: deje vacías las semanas (se calculan solas)"&amp;" · ","")&amp;IF((COUNTIF($I286:$L286,"&gt;1")+COUNTIF($I286:$L286,"&lt;0")+COUNTA($I286:$L286)-COUNT($I286:$L286))&gt;0,"Avance fuera de rango 0-100%"&amp;" · ","")&amp;IF(OR(AND($J286&lt;&gt;"",$J286&lt;$I286),AND($K286&lt;&gt;"",$K286&lt;MAX($I286:$J286)),AND($L286&lt;&gt;"",$L286&lt;MAX($I286:$K286))),"Avance semanal decreciente"&amp;" · ","")&amp;IF(AND(ISNUMBER($AN286),$AN286&lt;FechaRef,IF($V286="Sub",N($X286),N($M286))&lt;1),"Vencida"&amp;" · ","")&amp;IF(AND(ObsObligatoria="Sí",ISNUMBER($AN286),$AN286&lt;FechaRef,IF($V286="Sub",N($X286),N($M286))&lt;1,$Q286=""),"Vencida sin observación"&amp;" · ",""))-3)))</f>
        <v/>
      </c>
      <c r="S286" s="64">
        <f>IF(NOT((COUNTA($B286:$D286)+COUNTA($G286:$L286)+COUNTA($Q286))&gt;0),"",IF(AND($V286="Sub",N($U286)&gt;0),IF(ISNUMBER(INDEX($AM$5:$AM$1000,$U286-4)),DATE(YEAR(INDEX($AM$5:$AM$1000,$U286-4)),MONTH(INDEX($AM$5:$AM$1000,$U286-4)),1),IF(ISNUMBER(INDEX($AN$5:$AN$1000,$U286-4)),DATE(YEAR(INDEX($AN$5:$AN$1000,$U286-4)),MONTH(INDEX($AN$5:$AN$1000,$U286-4)),1),MesCiclo)),IF(ISNUMBER($AM286),DATE(YEAR($AM286),MONTH($AM286),1),IF(ISNUMBER($AN286),DATE(YEAR($AN286),MONTH($AN286),1),MesCiclo))))</f>
        <v/>
      </c>
      <c r="T286" s="62">
        <f>IF(OR($S286="",$S286&lt;&gt;MesCiclo,$V286&lt;&gt;"Macro"),"",COUNTIFS($S$5:$S286,MesCiclo,$V$5:$V286,"Macro"))</f>
        <v/>
      </c>
      <c r="U286" s="62">
        <f>IF($V286="","",IF($V286="Macro",ROW(),IFERROR(LOOKUP(2,1/($V$5:$V286="Macro"),ROW($V$5:$V286)),0)))</f>
        <v/>
      </c>
      <c r="V286" s="62">
        <f>IF(NOT((COUNTA($B286:$D286)+COUNTA($G286:$L286)+COUNTA($Q286))&gt;0),"",IF($B286="Subactividad","Sub","Macro"))</f>
        <v/>
      </c>
      <c r="W286" s="62">
        <f>IF($V286="Macro",COUNTIFS($U$5:$U$1000,ROW(),$V$5:$V$1000,"Sub"),"")</f>
        <v/>
      </c>
      <c r="X286" s="62">
        <f>IF($V286="","",IF(ISNUMBER($G286),1,IFERROR(LOOKUP(2,1/($I286:$L286&lt;&gt;""),$I286:$L286),0)))</f>
        <v/>
      </c>
      <c r="Y286" s="62">
        <f>IF($V286="","",IF(AND(ISNUMBER($G286),$G286&lt;=IF($S286=MesCiclo,InicioCiclo,$S286+MOD(2-WEEKDAY($S286),7))+6),1,IF(ISNUMBER($I286),$I286,0)))</f>
        <v/>
      </c>
      <c r="Z286" s="62">
        <f>IF($V286="","",IF(AND(ISNUMBER($G286),$G286&lt;=IF($S286=MesCiclo,InicioCiclo,$S286+MOD(2-WEEKDAY($S286),7))+13),1,IF(ISNUMBER($J286),$J286,$Y286)))</f>
        <v/>
      </c>
      <c r="AA286" s="62">
        <f>IF($V286="","",IF(AND(ISNUMBER($G286),$G286&lt;=IF($S286=MesCiclo,InicioCiclo,$S286+MOD(2-WEEKDAY($S286),7))+20),1,IF(ISNUMBER($K286),$K286,$Z286)))</f>
        <v/>
      </c>
      <c r="AB286" s="62">
        <f>IF($V286="","",IF(AND(ISNUMBER($G286),$G286&lt;=IF($S286=MesCiclo,InicioCiclo,$S286+MOD(2-WEEKDAY($S286),7))+27),1,IF(ISNUMBER($L286),$L286,$AA286)))</f>
        <v/>
      </c>
      <c r="AC286" s="62">
        <f>IF($V286="","",IF(AND(ISNUMBER($G286),$G286&lt;=IF($S286=MesCiclo,InicioCiclo,$S286+MOD(2-WEEKDAY($S286),7))+6),1,IF(N($W286)&gt;0,AVERAGEIFS($Y$5:$Y$1000,$U$5:$U$1000,ROW(),$V$5:$V$1000,"Sub"),$Y286)))</f>
        <v/>
      </c>
      <c r="AD286" s="62">
        <f>IF($V286="","",IF(AND(ISNUMBER($G286),$G286&lt;=IF($S286=MesCiclo,InicioCiclo,$S286+MOD(2-WEEKDAY($S286),7))+13),1,IF(N($W286)&gt;0,AVERAGEIFS($Z$5:$Z$1000,$U$5:$U$1000,ROW(),$V$5:$V$1000,"Sub"),$Z286)))</f>
        <v/>
      </c>
      <c r="AE286" s="62">
        <f>IF($V286="","",IF(AND(ISNUMBER($G286),$G286&lt;=IF($S286=MesCiclo,InicioCiclo,$S286+MOD(2-WEEKDAY($S286),7))+20),1,IF(N($W286)&gt;0,AVERAGEIFS($AA$5:$AA$1000,$U$5:$U$1000,ROW(),$V$5:$V$1000,"Sub"),$AA286)))</f>
        <v/>
      </c>
      <c r="AF286" s="62">
        <f>IF($V286="","",IF(AND(ISNUMBER($G286),$G286&lt;=IF($S286=MesCiclo,InicioCiclo,$S286+MOD(2-WEEKDAY($S286),7))+27),1,IF(N($W286)&gt;0,AVERAGEIFS($AB$5:$AB$1000,$U$5:$U$1000,ROW(),$V$5:$V$1000,"Sub"),$AB286)))</f>
        <v/>
      </c>
      <c r="AG286" s="62">
        <f>IF($V286&lt;&gt;"Macro","",IF(COUNTIFS($S$5:$S$1000,$S286,$V$5:$V$1000,"Macro",$H$5:$H$1000,"&gt;0")=0,1/COUNTIFS($S$5:$S$1000,$S286,$V$5:$V$1000,"Macro"),IF(AND(ISNUMBER($H286),N($H286)&gt;0),$H286,SUMIFS($H$5:$H$1000,$S$5:$S$1000,$S286,$V$5:$V$1000,"Macro")/COUNTIFS($S$5:$S$1000,$S286,$V$5:$V$1000,"Macro",$H$5:$H$1000,"&gt;0"))/(COUNTIFS($S$5:$S$1000,$S286,$V$5:$V$1000,"Macro")*SUMIFS($H$5:$H$1000,$S$5:$S$1000,$S286,$V$5:$V$1000,"Macro")/COUNTIFS($S$5:$S$1000,$S286,$V$5:$V$1000,"Macro",$H$5:$H$1000,"&gt;0"))))</f>
        <v/>
      </c>
      <c r="AH286" s="62" t="n"/>
      <c r="AI286" s="62" t="n"/>
      <c r="AJ286" s="62" t="n"/>
      <c r="AK286" s="62" t="n"/>
      <c r="AL286" s="62">
        <f>IF(LEFT($C286,11)="[Jefatura] ",IFERROR(MATCH("Riesgo Normativo|"&amp;MID($C286,12,500),rDname_ADM,0),0),"")</f>
        <v/>
      </c>
      <c r="AM286" s="62">
        <f>IF(N($AL286)&gt;0,INDEX(rIni_ADM,$AL286),IF(ISNUMBER($E286),$E286,""))</f>
        <v/>
      </c>
      <c r="AN286" s="62">
        <f>IF(N($AL286)&gt;0,INDEX(rLim_ADM,$AL286),IF(ISNUMBER($F286),$F286,""))</f>
        <v/>
      </c>
    </row>
    <row r="287">
      <c r="A287" s="56">
        <f>IF(NOT((COUNTA($B287:$D287)+COUNTA($G287:$L287)+COUNTA($Q287))&gt;0),"",IF($V287="Macro",COUNTIFS($V$5:$V287,"Macro",$S$5:$S287,$S287),IF(N($U287)=0,"?",COUNTIFS(INDEX($V$5:$V$1000,1):INDEX($V$5:$V$1000,$U287-4),"Macro",INDEX($S$5:$S$1000,1):INDEX($S$5:$S$1000,$U287-4),INDEX($S$5:$S$1000,$U287-4))&amp;"."&amp;COUNTIFS($U$5:$U287,$U287,$V$5:$V287,"Sub"))))</f>
        <v/>
      </c>
      <c r="B287" s="57" t="n"/>
      <c r="C287" s="58" t="n"/>
      <c r="D287" s="58" t="n"/>
      <c r="E287" s="59">
        <f>IF(N($AL287)&gt;0,INDEX(rIni_ADM,$AL287),"")</f>
        <v/>
      </c>
      <c r="F287" s="59">
        <f>IF(N($AL287)&gt;0,INDEX(rLim_ADM,$AL287),"")</f>
        <v/>
      </c>
      <c r="G287" s="59" t="n"/>
      <c r="H287" s="60" t="n"/>
      <c r="I287" s="60" t="n"/>
      <c r="J287" s="60" t="n"/>
      <c r="K287" s="60" t="n"/>
      <c r="L287" s="60" t="n"/>
      <c r="M287" s="61">
        <f>IF(NOT((COUNTA($B287:$D287)+COUNTA($G287:$L287)+COUNTA($Q287))&gt;0),"",IF($V287="Sub",IFERROR($X287/INDEX($W$5:$W$1000,$U287-4),""),IF(ISNUMBER($G287),1,IF(N($W287)&gt;0,AVERAGEIFS($X$5:$X$1000,$U$5:$U$1000,ROW(),$V$5:$V$1000,"Sub"),$X287))))</f>
        <v/>
      </c>
      <c r="N287" s="56">
        <f>IF(OR($M287="",$V287="Sub"),"",IF($M287&gt;=1,"Completado",IF($M287&gt;0,"En curso","Pendiente")))</f>
        <v/>
      </c>
      <c r="O287" s="56">
        <f>IF(OR(NOT((COUNTA($B287:$D287)+COUNTA($G287:$L287)+COUNTA($Q287))&gt;0),$V287="Sub"),"",IF(ISNUMBER($G287),IF(AND(ISNUMBER($AN287),$G287&gt;$AN287),"Cumplida con "&amp;($G287-$AN287)&amp;IF($G287-$AN287=1," día"," días")&amp;" de retraso","Cumplida"),IF(N($M287)&gt;=1,"Cumplida",IF(NOT(ISNUMBER($AN287)),"Sin fecha límite",IF($AN287&lt;FechaRef,"Vencida hace "&amp;(FechaRef-$AN287)&amp;IF(FechaRef-$AN287=1," día"," días"),IF($AN287=FechaRef,"Vence hoy",IF($AN287-FechaRef&lt;=DiasAlerta,"Vence en "&amp;($AN287-FechaRef)&amp;IF($AN287-FechaRef=1," día"," días"),"En plazo")))))))</f>
        <v/>
      </c>
      <c r="P287" s="62" t="n"/>
      <c r="Q287" s="58" t="n"/>
      <c r="R287" s="63">
        <f>IF(NOT((COUNTA($B287:$D287)+COUNTA($G287:$L287)+COUNTA($Q287))&gt;0),"",IF((IF($C287="","Falta el nombre de la actividad"&amp;" · ","")&amp;IF(AND($V287="Sub",N($U287)=0),"Subactividad sin macroactividad arriba"&amp;" · ","")&amp;IF($AM287="","Sin fecha de inicio"&amp;" · ","")&amp;IF($AN287="","Sin fecha límite"&amp;" · ","")&amp;IF(AND(LEFT($C287,11)="[Jefatura] ",N($AL287)=0),"No se encuentra en la hoja de la jefatura (elíjala de nuevo en la lista)"&amp;" · ","")&amp;IF(OR(AND($E287&lt;&gt;"",NOT(ISNUMBER($E287))),AND($F287&lt;&gt;"",NOT(ISNUMBER($F287))),AND($G287&lt;&gt;"",NOT(ISNUMBER($G287)))),"Fecha no válida"&amp;" · ","")&amp;IF(AND(ISNUMBER($AM287),ISNUMBER($AN287),$AM287&gt;$AN287),"Inicio posterior a fecha límite"&amp;" · ","")&amp;IF(AND($V287="Macro",$H287&lt;&gt;"",OR(NOT(ISNUMBER($H287)),$H287&lt;0,$H287&gt;1)),"Peso fuera de rango"&amp;" · ","")&amp;IF(AND($V287="Sub",$H287&lt;&gt;""),"Las subactividades no llevan peso (valen igual dentro de su macroactividad)"&amp;" · ","")&amp;IF(AND(N($W287)&gt;0,COUNT($I287:$L287)&gt;0),"Con subactividades: deje vacías las semanas (se calculan solas)"&amp;" · ","")&amp;IF((COUNTIF($I287:$L287,"&gt;1")+COUNTIF($I287:$L287,"&lt;0")+COUNTA($I287:$L287)-COUNT($I287:$L287))&gt;0,"Avance fuera de rango 0-100%"&amp;" · ","")&amp;IF(OR(AND($J287&lt;&gt;"",$J287&lt;$I287),AND($K287&lt;&gt;"",$K287&lt;MAX($I287:$J287)),AND($L287&lt;&gt;"",$L287&lt;MAX($I287:$K287))),"Avance semanal decreciente"&amp;" · ","")&amp;IF(AND(ISNUMBER($AN287),$AN287&lt;FechaRef,IF($V287="Sub",N($X287),N($M287))&lt;1),"Vencida"&amp;" · ","")&amp;IF(AND(ObsObligatoria="Sí",ISNUMBER($AN287),$AN287&lt;FechaRef,IF($V287="Sub",N($X287),N($M287))&lt;1,$Q287=""),"Vencida sin observación"&amp;" · ",""))="","✔ OK","⚠ "&amp;LEFT(IF($C287="","Falta el nombre de la actividad"&amp;" · ","")&amp;IF(AND($V287="Sub",N($U287)=0),"Subactividad sin macroactividad arriba"&amp;" · ","")&amp;IF($AM287="","Sin fecha de inicio"&amp;" · ","")&amp;IF($AN287="","Sin fecha límite"&amp;" · ","")&amp;IF(AND(LEFT($C287,11)="[Jefatura] ",N($AL287)=0),"No se encuentra en la hoja de la jefatura (elíjala de nuevo en la lista)"&amp;" · ","")&amp;IF(OR(AND($E287&lt;&gt;"",NOT(ISNUMBER($E287))),AND($F287&lt;&gt;"",NOT(ISNUMBER($F287))),AND($G287&lt;&gt;"",NOT(ISNUMBER($G287)))),"Fecha no válida"&amp;" · ","")&amp;IF(AND(ISNUMBER($AM287),ISNUMBER($AN287),$AM287&gt;$AN287),"Inicio posterior a fecha límite"&amp;" · ","")&amp;IF(AND($V287="Macro",$H287&lt;&gt;"",OR(NOT(ISNUMBER($H287)),$H287&lt;0,$H287&gt;1)),"Peso fuera de rango"&amp;" · ","")&amp;IF(AND($V287="Sub",$H287&lt;&gt;""),"Las subactividades no llevan peso (valen igual dentro de su macroactividad)"&amp;" · ","")&amp;IF(AND(N($W287)&gt;0,COUNT($I287:$L287)&gt;0),"Con subactividades: deje vacías las semanas (se calculan solas)"&amp;" · ","")&amp;IF((COUNTIF($I287:$L287,"&gt;1")+COUNTIF($I287:$L287,"&lt;0")+COUNTA($I287:$L287)-COUNT($I287:$L287))&gt;0,"Avance fuera de rango 0-100%"&amp;" · ","")&amp;IF(OR(AND($J287&lt;&gt;"",$J287&lt;$I287),AND($K287&lt;&gt;"",$K287&lt;MAX($I287:$J287)),AND($L287&lt;&gt;"",$L287&lt;MAX($I287:$K287))),"Avance semanal decreciente"&amp;" · ","")&amp;IF(AND(ISNUMBER($AN287),$AN287&lt;FechaRef,IF($V287="Sub",N($X287),N($M287))&lt;1),"Vencida"&amp;" · ","")&amp;IF(AND(ObsObligatoria="Sí",ISNUMBER($AN287),$AN287&lt;FechaRef,IF($V287="Sub",N($X287),N($M287))&lt;1,$Q287=""),"Vencida sin observación"&amp;" · ",""),LEN(IF($C287="","Falta el nombre de la actividad"&amp;" · ","")&amp;IF(AND($V287="Sub",N($U287)=0),"Subactividad sin macroactividad arriba"&amp;" · ","")&amp;IF($AM287="","Sin fecha de inicio"&amp;" · ","")&amp;IF($AN287="","Sin fecha límite"&amp;" · ","")&amp;IF(AND(LEFT($C287,11)="[Jefatura] ",N($AL287)=0),"No se encuentra en la hoja de la jefatura (elíjala de nuevo en la lista)"&amp;" · ","")&amp;IF(OR(AND($E287&lt;&gt;"",NOT(ISNUMBER($E287))),AND($F287&lt;&gt;"",NOT(ISNUMBER($F287))),AND($G287&lt;&gt;"",NOT(ISNUMBER($G287)))),"Fecha no válida"&amp;" · ","")&amp;IF(AND(ISNUMBER($AM287),ISNUMBER($AN287),$AM287&gt;$AN287),"Inicio posterior a fecha límite"&amp;" · ","")&amp;IF(AND($V287="Macro",$H287&lt;&gt;"",OR(NOT(ISNUMBER($H287)),$H287&lt;0,$H287&gt;1)),"Peso fuera de rango"&amp;" · ","")&amp;IF(AND($V287="Sub",$H287&lt;&gt;""),"Las subactividades no llevan peso (valen igual dentro de su macroactividad)"&amp;" · ","")&amp;IF(AND(N($W287)&gt;0,COUNT($I287:$L287)&gt;0),"Con subactividades: deje vacías las semanas (se calculan solas)"&amp;" · ","")&amp;IF((COUNTIF($I287:$L287,"&gt;1")+COUNTIF($I287:$L287,"&lt;0")+COUNTA($I287:$L287)-COUNT($I287:$L287))&gt;0,"Avance fuera de rango 0-100%"&amp;" · ","")&amp;IF(OR(AND($J287&lt;&gt;"",$J287&lt;$I287),AND($K287&lt;&gt;"",$K287&lt;MAX($I287:$J287)),AND($L287&lt;&gt;"",$L287&lt;MAX($I287:$K287))),"Avance semanal decreciente"&amp;" · ","")&amp;IF(AND(ISNUMBER($AN287),$AN287&lt;FechaRef,IF($V287="Sub",N($X287),N($M287))&lt;1),"Vencida"&amp;" · ","")&amp;IF(AND(ObsObligatoria="Sí",ISNUMBER($AN287),$AN287&lt;FechaRef,IF($V287="Sub",N($X287),N($M287))&lt;1,$Q287=""),"Vencida sin observación"&amp;" · ",""))-3)))</f>
        <v/>
      </c>
      <c r="S287" s="64">
        <f>IF(NOT((COUNTA($B287:$D287)+COUNTA($G287:$L287)+COUNTA($Q287))&gt;0),"",IF(AND($V287="Sub",N($U287)&gt;0),IF(ISNUMBER(INDEX($AM$5:$AM$1000,$U287-4)),DATE(YEAR(INDEX($AM$5:$AM$1000,$U287-4)),MONTH(INDEX($AM$5:$AM$1000,$U287-4)),1),IF(ISNUMBER(INDEX($AN$5:$AN$1000,$U287-4)),DATE(YEAR(INDEX($AN$5:$AN$1000,$U287-4)),MONTH(INDEX($AN$5:$AN$1000,$U287-4)),1),MesCiclo)),IF(ISNUMBER($AM287),DATE(YEAR($AM287),MONTH($AM287),1),IF(ISNUMBER($AN287),DATE(YEAR($AN287),MONTH($AN287),1),MesCiclo))))</f>
        <v/>
      </c>
      <c r="T287" s="62">
        <f>IF(OR($S287="",$S287&lt;&gt;MesCiclo,$V287&lt;&gt;"Macro"),"",COUNTIFS($S$5:$S287,MesCiclo,$V$5:$V287,"Macro"))</f>
        <v/>
      </c>
      <c r="U287" s="62">
        <f>IF($V287="","",IF($V287="Macro",ROW(),IFERROR(LOOKUP(2,1/($V$5:$V287="Macro"),ROW($V$5:$V287)),0)))</f>
        <v/>
      </c>
      <c r="V287" s="62">
        <f>IF(NOT((COUNTA($B287:$D287)+COUNTA($G287:$L287)+COUNTA($Q287))&gt;0),"",IF($B287="Subactividad","Sub","Macro"))</f>
        <v/>
      </c>
      <c r="W287" s="62">
        <f>IF($V287="Macro",COUNTIFS($U$5:$U$1000,ROW(),$V$5:$V$1000,"Sub"),"")</f>
        <v/>
      </c>
      <c r="X287" s="62">
        <f>IF($V287="","",IF(ISNUMBER($G287),1,IFERROR(LOOKUP(2,1/($I287:$L287&lt;&gt;""),$I287:$L287),0)))</f>
        <v/>
      </c>
      <c r="Y287" s="62">
        <f>IF($V287="","",IF(AND(ISNUMBER($G287),$G287&lt;=IF($S287=MesCiclo,InicioCiclo,$S287+MOD(2-WEEKDAY($S287),7))+6),1,IF(ISNUMBER($I287),$I287,0)))</f>
        <v/>
      </c>
      <c r="Z287" s="62">
        <f>IF($V287="","",IF(AND(ISNUMBER($G287),$G287&lt;=IF($S287=MesCiclo,InicioCiclo,$S287+MOD(2-WEEKDAY($S287),7))+13),1,IF(ISNUMBER($J287),$J287,$Y287)))</f>
        <v/>
      </c>
      <c r="AA287" s="62">
        <f>IF($V287="","",IF(AND(ISNUMBER($G287),$G287&lt;=IF($S287=MesCiclo,InicioCiclo,$S287+MOD(2-WEEKDAY($S287),7))+20),1,IF(ISNUMBER($K287),$K287,$Z287)))</f>
        <v/>
      </c>
      <c r="AB287" s="62">
        <f>IF($V287="","",IF(AND(ISNUMBER($G287),$G287&lt;=IF($S287=MesCiclo,InicioCiclo,$S287+MOD(2-WEEKDAY($S287),7))+27),1,IF(ISNUMBER($L287),$L287,$AA287)))</f>
        <v/>
      </c>
      <c r="AC287" s="62">
        <f>IF($V287="","",IF(AND(ISNUMBER($G287),$G287&lt;=IF($S287=MesCiclo,InicioCiclo,$S287+MOD(2-WEEKDAY($S287),7))+6),1,IF(N($W287)&gt;0,AVERAGEIFS($Y$5:$Y$1000,$U$5:$U$1000,ROW(),$V$5:$V$1000,"Sub"),$Y287)))</f>
        <v/>
      </c>
      <c r="AD287" s="62">
        <f>IF($V287="","",IF(AND(ISNUMBER($G287),$G287&lt;=IF($S287=MesCiclo,InicioCiclo,$S287+MOD(2-WEEKDAY($S287),7))+13),1,IF(N($W287)&gt;0,AVERAGEIFS($Z$5:$Z$1000,$U$5:$U$1000,ROW(),$V$5:$V$1000,"Sub"),$Z287)))</f>
        <v/>
      </c>
      <c r="AE287" s="62">
        <f>IF($V287="","",IF(AND(ISNUMBER($G287),$G287&lt;=IF($S287=MesCiclo,InicioCiclo,$S287+MOD(2-WEEKDAY($S287),7))+20),1,IF(N($W287)&gt;0,AVERAGEIFS($AA$5:$AA$1000,$U$5:$U$1000,ROW(),$V$5:$V$1000,"Sub"),$AA287)))</f>
        <v/>
      </c>
      <c r="AF287" s="62">
        <f>IF($V287="","",IF(AND(ISNUMBER($G287),$G287&lt;=IF($S287=MesCiclo,InicioCiclo,$S287+MOD(2-WEEKDAY($S287),7))+27),1,IF(N($W287)&gt;0,AVERAGEIFS($AB$5:$AB$1000,$U$5:$U$1000,ROW(),$V$5:$V$1000,"Sub"),$AB287)))</f>
        <v/>
      </c>
      <c r="AG287" s="62">
        <f>IF($V287&lt;&gt;"Macro","",IF(COUNTIFS($S$5:$S$1000,$S287,$V$5:$V$1000,"Macro",$H$5:$H$1000,"&gt;0")=0,1/COUNTIFS($S$5:$S$1000,$S287,$V$5:$V$1000,"Macro"),IF(AND(ISNUMBER($H287),N($H287)&gt;0),$H287,SUMIFS($H$5:$H$1000,$S$5:$S$1000,$S287,$V$5:$V$1000,"Macro")/COUNTIFS($S$5:$S$1000,$S287,$V$5:$V$1000,"Macro",$H$5:$H$1000,"&gt;0"))/(COUNTIFS($S$5:$S$1000,$S287,$V$5:$V$1000,"Macro")*SUMIFS($H$5:$H$1000,$S$5:$S$1000,$S287,$V$5:$V$1000,"Macro")/COUNTIFS($S$5:$S$1000,$S287,$V$5:$V$1000,"Macro",$H$5:$H$1000,"&gt;0"))))</f>
        <v/>
      </c>
      <c r="AH287" s="62" t="n"/>
      <c r="AI287" s="62" t="n"/>
      <c r="AJ287" s="62" t="n"/>
      <c r="AK287" s="62" t="n"/>
      <c r="AL287" s="62">
        <f>IF(LEFT($C287,11)="[Jefatura] ",IFERROR(MATCH("Riesgo Normativo|"&amp;MID($C287,12,500),rDname_ADM,0),0),"")</f>
        <v/>
      </c>
      <c r="AM287" s="62">
        <f>IF(N($AL287)&gt;0,INDEX(rIni_ADM,$AL287),IF(ISNUMBER($E287),$E287,""))</f>
        <v/>
      </c>
      <c r="AN287" s="62">
        <f>IF(N($AL287)&gt;0,INDEX(rLim_ADM,$AL287),IF(ISNUMBER($F287),$F287,""))</f>
        <v/>
      </c>
    </row>
    <row r="288">
      <c r="A288" s="56">
        <f>IF(NOT((COUNTA($B288:$D288)+COUNTA($G288:$L288)+COUNTA($Q288))&gt;0),"",IF($V288="Macro",COUNTIFS($V$5:$V288,"Macro",$S$5:$S288,$S288),IF(N($U288)=0,"?",COUNTIFS(INDEX($V$5:$V$1000,1):INDEX($V$5:$V$1000,$U288-4),"Macro",INDEX($S$5:$S$1000,1):INDEX($S$5:$S$1000,$U288-4),INDEX($S$5:$S$1000,$U288-4))&amp;"."&amp;COUNTIFS($U$5:$U288,$U288,$V$5:$V288,"Sub"))))</f>
        <v/>
      </c>
      <c r="B288" s="57" t="n"/>
      <c r="C288" s="58" t="n"/>
      <c r="D288" s="58" t="n"/>
      <c r="E288" s="59">
        <f>IF(N($AL288)&gt;0,INDEX(rIni_ADM,$AL288),"")</f>
        <v/>
      </c>
      <c r="F288" s="59">
        <f>IF(N($AL288)&gt;0,INDEX(rLim_ADM,$AL288),"")</f>
        <v/>
      </c>
      <c r="G288" s="59" t="n"/>
      <c r="H288" s="60" t="n"/>
      <c r="I288" s="60" t="n"/>
      <c r="J288" s="60" t="n"/>
      <c r="K288" s="60" t="n"/>
      <c r="L288" s="60" t="n"/>
      <c r="M288" s="61">
        <f>IF(NOT((COUNTA($B288:$D288)+COUNTA($G288:$L288)+COUNTA($Q288))&gt;0),"",IF($V288="Sub",IFERROR($X288/INDEX($W$5:$W$1000,$U288-4),""),IF(ISNUMBER($G288),1,IF(N($W288)&gt;0,AVERAGEIFS($X$5:$X$1000,$U$5:$U$1000,ROW(),$V$5:$V$1000,"Sub"),$X288))))</f>
        <v/>
      </c>
      <c r="N288" s="56">
        <f>IF(OR($M288="",$V288="Sub"),"",IF($M288&gt;=1,"Completado",IF($M288&gt;0,"En curso","Pendiente")))</f>
        <v/>
      </c>
      <c r="O288" s="56">
        <f>IF(OR(NOT((COUNTA($B288:$D288)+COUNTA($G288:$L288)+COUNTA($Q288))&gt;0),$V288="Sub"),"",IF(ISNUMBER($G288),IF(AND(ISNUMBER($AN288),$G288&gt;$AN288),"Cumplida con "&amp;($G288-$AN288)&amp;IF($G288-$AN288=1," día"," días")&amp;" de retraso","Cumplida"),IF(N($M288)&gt;=1,"Cumplida",IF(NOT(ISNUMBER($AN288)),"Sin fecha límite",IF($AN288&lt;FechaRef,"Vencida hace "&amp;(FechaRef-$AN288)&amp;IF(FechaRef-$AN288=1," día"," días"),IF($AN288=FechaRef,"Vence hoy",IF($AN288-FechaRef&lt;=DiasAlerta,"Vence en "&amp;($AN288-FechaRef)&amp;IF($AN288-FechaRef=1," día"," días"),"En plazo")))))))</f>
        <v/>
      </c>
      <c r="P288" s="62" t="n"/>
      <c r="Q288" s="58" t="n"/>
      <c r="R288" s="63">
        <f>IF(NOT((COUNTA($B288:$D288)+COUNTA($G288:$L288)+COUNTA($Q288))&gt;0),"",IF((IF($C288="","Falta el nombre de la actividad"&amp;" · ","")&amp;IF(AND($V288="Sub",N($U288)=0),"Subactividad sin macroactividad arriba"&amp;" · ","")&amp;IF($AM288="","Sin fecha de inicio"&amp;" · ","")&amp;IF($AN288="","Sin fecha límite"&amp;" · ","")&amp;IF(AND(LEFT($C288,11)="[Jefatura] ",N($AL288)=0),"No se encuentra en la hoja de la jefatura (elíjala de nuevo en la lista)"&amp;" · ","")&amp;IF(OR(AND($E288&lt;&gt;"",NOT(ISNUMBER($E288))),AND($F288&lt;&gt;"",NOT(ISNUMBER($F288))),AND($G288&lt;&gt;"",NOT(ISNUMBER($G288)))),"Fecha no válida"&amp;" · ","")&amp;IF(AND(ISNUMBER($AM288),ISNUMBER($AN288),$AM288&gt;$AN288),"Inicio posterior a fecha límite"&amp;" · ","")&amp;IF(AND($V288="Macro",$H288&lt;&gt;"",OR(NOT(ISNUMBER($H288)),$H288&lt;0,$H288&gt;1)),"Peso fuera de rango"&amp;" · ","")&amp;IF(AND($V288="Sub",$H288&lt;&gt;""),"Las subactividades no llevan peso (valen igual dentro de su macroactividad)"&amp;" · ","")&amp;IF(AND(N($W288)&gt;0,COUNT($I288:$L288)&gt;0),"Con subactividades: deje vacías las semanas (se calculan solas)"&amp;" · ","")&amp;IF((COUNTIF($I288:$L288,"&gt;1")+COUNTIF($I288:$L288,"&lt;0")+COUNTA($I288:$L288)-COUNT($I288:$L288))&gt;0,"Avance fuera de rango 0-100%"&amp;" · ","")&amp;IF(OR(AND($J288&lt;&gt;"",$J288&lt;$I288),AND($K288&lt;&gt;"",$K288&lt;MAX($I288:$J288)),AND($L288&lt;&gt;"",$L288&lt;MAX($I288:$K288))),"Avance semanal decreciente"&amp;" · ","")&amp;IF(AND(ISNUMBER($AN288),$AN288&lt;FechaRef,IF($V288="Sub",N($X288),N($M288))&lt;1),"Vencida"&amp;" · ","")&amp;IF(AND(ObsObligatoria="Sí",ISNUMBER($AN288),$AN288&lt;FechaRef,IF($V288="Sub",N($X288),N($M288))&lt;1,$Q288=""),"Vencida sin observación"&amp;" · ",""))="","✔ OK","⚠ "&amp;LEFT(IF($C288="","Falta el nombre de la actividad"&amp;" · ","")&amp;IF(AND($V288="Sub",N($U288)=0),"Subactividad sin macroactividad arriba"&amp;" · ","")&amp;IF($AM288="","Sin fecha de inicio"&amp;" · ","")&amp;IF($AN288="","Sin fecha límite"&amp;" · ","")&amp;IF(AND(LEFT($C288,11)="[Jefatura] ",N($AL288)=0),"No se encuentra en la hoja de la jefatura (elíjala de nuevo en la lista)"&amp;" · ","")&amp;IF(OR(AND($E288&lt;&gt;"",NOT(ISNUMBER($E288))),AND($F288&lt;&gt;"",NOT(ISNUMBER($F288))),AND($G288&lt;&gt;"",NOT(ISNUMBER($G288)))),"Fecha no válida"&amp;" · ","")&amp;IF(AND(ISNUMBER($AM288),ISNUMBER($AN288),$AM288&gt;$AN288),"Inicio posterior a fecha límite"&amp;" · ","")&amp;IF(AND($V288="Macro",$H288&lt;&gt;"",OR(NOT(ISNUMBER($H288)),$H288&lt;0,$H288&gt;1)),"Peso fuera de rango"&amp;" · ","")&amp;IF(AND($V288="Sub",$H288&lt;&gt;""),"Las subactividades no llevan peso (valen igual dentro de su macroactividad)"&amp;" · ","")&amp;IF(AND(N($W288)&gt;0,COUNT($I288:$L288)&gt;0),"Con subactividades: deje vacías las semanas (se calculan solas)"&amp;" · ","")&amp;IF((COUNTIF($I288:$L288,"&gt;1")+COUNTIF($I288:$L288,"&lt;0")+COUNTA($I288:$L288)-COUNT($I288:$L288))&gt;0,"Avance fuera de rango 0-100%"&amp;" · ","")&amp;IF(OR(AND($J288&lt;&gt;"",$J288&lt;$I288),AND($K288&lt;&gt;"",$K288&lt;MAX($I288:$J288)),AND($L288&lt;&gt;"",$L288&lt;MAX($I288:$K288))),"Avance semanal decreciente"&amp;" · ","")&amp;IF(AND(ISNUMBER($AN288),$AN288&lt;FechaRef,IF($V288="Sub",N($X288),N($M288))&lt;1),"Vencida"&amp;" · ","")&amp;IF(AND(ObsObligatoria="Sí",ISNUMBER($AN288),$AN288&lt;FechaRef,IF($V288="Sub",N($X288),N($M288))&lt;1,$Q288=""),"Vencida sin observación"&amp;" · ",""),LEN(IF($C288="","Falta el nombre de la actividad"&amp;" · ","")&amp;IF(AND($V288="Sub",N($U288)=0),"Subactividad sin macroactividad arriba"&amp;" · ","")&amp;IF($AM288="","Sin fecha de inicio"&amp;" · ","")&amp;IF($AN288="","Sin fecha límite"&amp;" · ","")&amp;IF(AND(LEFT($C288,11)="[Jefatura] ",N($AL288)=0),"No se encuentra en la hoja de la jefatura (elíjala de nuevo en la lista)"&amp;" · ","")&amp;IF(OR(AND($E288&lt;&gt;"",NOT(ISNUMBER($E288))),AND($F288&lt;&gt;"",NOT(ISNUMBER($F288))),AND($G288&lt;&gt;"",NOT(ISNUMBER($G288)))),"Fecha no válida"&amp;" · ","")&amp;IF(AND(ISNUMBER($AM288),ISNUMBER($AN288),$AM288&gt;$AN288),"Inicio posterior a fecha límite"&amp;" · ","")&amp;IF(AND($V288="Macro",$H288&lt;&gt;"",OR(NOT(ISNUMBER($H288)),$H288&lt;0,$H288&gt;1)),"Peso fuera de rango"&amp;" · ","")&amp;IF(AND($V288="Sub",$H288&lt;&gt;""),"Las subactividades no llevan peso (valen igual dentro de su macroactividad)"&amp;" · ","")&amp;IF(AND(N($W288)&gt;0,COUNT($I288:$L288)&gt;0),"Con subactividades: deje vacías las semanas (se calculan solas)"&amp;" · ","")&amp;IF((COUNTIF($I288:$L288,"&gt;1")+COUNTIF($I288:$L288,"&lt;0")+COUNTA($I288:$L288)-COUNT($I288:$L288))&gt;0,"Avance fuera de rango 0-100%"&amp;" · ","")&amp;IF(OR(AND($J288&lt;&gt;"",$J288&lt;$I288),AND($K288&lt;&gt;"",$K288&lt;MAX($I288:$J288)),AND($L288&lt;&gt;"",$L288&lt;MAX($I288:$K288))),"Avance semanal decreciente"&amp;" · ","")&amp;IF(AND(ISNUMBER($AN288),$AN288&lt;FechaRef,IF($V288="Sub",N($X288),N($M288))&lt;1),"Vencida"&amp;" · ","")&amp;IF(AND(ObsObligatoria="Sí",ISNUMBER($AN288),$AN288&lt;FechaRef,IF($V288="Sub",N($X288),N($M288))&lt;1,$Q288=""),"Vencida sin observación"&amp;" · ",""))-3)))</f>
        <v/>
      </c>
      <c r="S288" s="64">
        <f>IF(NOT((COUNTA($B288:$D288)+COUNTA($G288:$L288)+COUNTA($Q288))&gt;0),"",IF(AND($V288="Sub",N($U288)&gt;0),IF(ISNUMBER(INDEX($AM$5:$AM$1000,$U288-4)),DATE(YEAR(INDEX($AM$5:$AM$1000,$U288-4)),MONTH(INDEX($AM$5:$AM$1000,$U288-4)),1),IF(ISNUMBER(INDEX($AN$5:$AN$1000,$U288-4)),DATE(YEAR(INDEX($AN$5:$AN$1000,$U288-4)),MONTH(INDEX($AN$5:$AN$1000,$U288-4)),1),MesCiclo)),IF(ISNUMBER($AM288),DATE(YEAR($AM288),MONTH($AM288),1),IF(ISNUMBER($AN288),DATE(YEAR($AN288),MONTH($AN288),1),MesCiclo))))</f>
        <v/>
      </c>
      <c r="T288" s="62">
        <f>IF(OR($S288="",$S288&lt;&gt;MesCiclo,$V288&lt;&gt;"Macro"),"",COUNTIFS($S$5:$S288,MesCiclo,$V$5:$V288,"Macro"))</f>
        <v/>
      </c>
      <c r="U288" s="62">
        <f>IF($V288="","",IF($V288="Macro",ROW(),IFERROR(LOOKUP(2,1/($V$5:$V288="Macro"),ROW($V$5:$V288)),0)))</f>
        <v/>
      </c>
      <c r="V288" s="62">
        <f>IF(NOT((COUNTA($B288:$D288)+COUNTA($G288:$L288)+COUNTA($Q288))&gt;0),"",IF($B288="Subactividad","Sub","Macro"))</f>
        <v/>
      </c>
      <c r="W288" s="62">
        <f>IF($V288="Macro",COUNTIFS($U$5:$U$1000,ROW(),$V$5:$V$1000,"Sub"),"")</f>
        <v/>
      </c>
      <c r="X288" s="62">
        <f>IF($V288="","",IF(ISNUMBER($G288),1,IFERROR(LOOKUP(2,1/($I288:$L288&lt;&gt;""),$I288:$L288),0)))</f>
        <v/>
      </c>
      <c r="Y288" s="62">
        <f>IF($V288="","",IF(AND(ISNUMBER($G288),$G288&lt;=IF($S288=MesCiclo,InicioCiclo,$S288+MOD(2-WEEKDAY($S288),7))+6),1,IF(ISNUMBER($I288),$I288,0)))</f>
        <v/>
      </c>
      <c r="Z288" s="62">
        <f>IF($V288="","",IF(AND(ISNUMBER($G288),$G288&lt;=IF($S288=MesCiclo,InicioCiclo,$S288+MOD(2-WEEKDAY($S288),7))+13),1,IF(ISNUMBER($J288),$J288,$Y288)))</f>
        <v/>
      </c>
      <c r="AA288" s="62">
        <f>IF($V288="","",IF(AND(ISNUMBER($G288),$G288&lt;=IF($S288=MesCiclo,InicioCiclo,$S288+MOD(2-WEEKDAY($S288),7))+20),1,IF(ISNUMBER($K288),$K288,$Z288)))</f>
        <v/>
      </c>
      <c r="AB288" s="62">
        <f>IF($V288="","",IF(AND(ISNUMBER($G288),$G288&lt;=IF($S288=MesCiclo,InicioCiclo,$S288+MOD(2-WEEKDAY($S288),7))+27),1,IF(ISNUMBER($L288),$L288,$AA288)))</f>
        <v/>
      </c>
      <c r="AC288" s="62">
        <f>IF($V288="","",IF(AND(ISNUMBER($G288),$G288&lt;=IF($S288=MesCiclo,InicioCiclo,$S288+MOD(2-WEEKDAY($S288),7))+6),1,IF(N($W288)&gt;0,AVERAGEIFS($Y$5:$Y$1000,$U$5:$U$1000,ROW(),$V$5:$V$1000,"Sub"),$Y288)))</f>
        <v/>
      </c>
      <c r="AD288" s="62">
        <f>IF($V288="","",IF(AND(ISNUMBER($G288),$G288&lt;=IF($S288=MesCiclo,InicioCiclo,$S288+MOD(2-WEEKDAY($S288),7))+13),1,IF(N($W288)&gt;0,AVERAGEIFS($Z$5:$Z$1000,$U$5:$U$1000,ROW(),$V$5:$V$1000,"Sub"),$Z288)))</f>
        <v/>
      </c>
      <c r="AE288" s="62">
        <f>IF($V288="","",IF(AND(ISNUMBER($G288),$G288&lt;=IF($S288=MesCiclo,InicioCiclo,$S288+MOD(2-WEEKDAY($S288),7))+20),1,IF(N($W288)&gt;0,AVERAGEIFS($AA$5:$AA$1000,$U$5:$U$1000,ROW(),$V$5:$V$1000,"Sub"),$AA288)))</f>
        <v/>
      </c>
      <c r="AF288" s="62">
        <f>IF($V288="","",IF(AND(ISNUMBER($G288),$G288&lt;=IF($S288=MesCiclo,InicioCiclo,$S288+MOD(2-WEEKDAY($S288),7))+27),1,IF(N($W288)&gt;0,AVERAGEIFS($AB$5:$AB$1000,$U$5:$U$1000,ROW(),$V$5:$V$1000,"Sub"),$AB288)))</f>
        <v/>
      </c>
      <c r="AG288" s="62">
        <f>IF($V288&lt;&gt;"Macro","",IF(COUNTIFS($S$5:$S$1000,$S288,$V$5:$V$1000,"Macro",$H$5:$H$1000,"&gt;0")=0,1/COUNTIFS($S$5:$S$1000,$S288,$V$5:$V$1000,"Macro"),IF(AND(ISNUMBER($H288),N($H288)&gt;0),$H288,SUMIFS($H$5:$H$1000,$S$5:$S$1000,$S288,$V$5:$V$1000,"Macro")/COUNTIFS($S$5:$S$1000,$S288,$V$5:$V$1000,"Macro",$H$5:$H$1000,"&gt;0"))/(COUNTIFS($S$5:$S$1000,$S288,$V$5:$V$1000,"Macro")*SUMIFS($H$5:$H$1000,$S$5:$S$1000,$S288,$V$5:$V$1000,"Macro")/COUNTIFS($S$5:$S$1000,$S288,$V$5:$V$1000,"Macro",$H$5:$H$1000,"&gt;0"))))</f>
        <v/>
      </c>
      <c r="AH288" s="62" t="n"/>
      <c r="AI288" s="62" t="n"/>
      <c r="AJ288" s="62" t="n"/>
      <c r="AK288" s="62" t="n"/>
      <c r="AL288" s="62">
        <f>IF(LEFT($C288,11)="[Jefatura] ",IFERROR(MATCH("Riesgo Normativo|"&amp;MID($C288,12,500),rDname_ADM,0),0),"")</f>
        <v/>
      </c>
      <c r="AM288" s="62">
        <f>IF(N($AL288)&gt;0,INDEX(rIni_ADM,$AL288),IF(ISNUMBER($E288),$E288,""))</f>
        <v/>
      </c>
      <c r="AN288" s="62">
        <f>IF(N($AL288)&gt;0,INDEX(rLim_ADM,$AL288),IF(ISNUMBER($F288),$F288,""))</f>
        <v/>
      </c>
    </row>
    <row r="289">
      <c r="A289" s="56">
        <f>IF(NOT((COUNTA($B289:$D289)+COUNTA($G289:$L289)+COUNTA($Q289))&gt;0),"",IF($V289="Macro",COUNTIFS($V$5:$V289,"Macro",$S$5:$S289,$S289),IF(N($U289)=0,"?",COUNTIFS(INDEX($V$5:$V$1000,1):INDEX($V$5:$V$1000,$U289-4),"Macro",INDEX($S$5:$S$1000,1):INDEX($S$5:$S$1000,$U289-4),INDEX($S$5:$S$1000,$U289-4))&amp;"."&amp;COUNTIFS($U$5:$U289,$U289,$V$5:$V289,"Sub"))))</f>
        <v/>
      </c>
      <c r="B289" s="57" t="n"/>
      <c r="C289" s="58" t="n"/>
      <c r="D289" s="58" t="n"/>
      <c r="E289" s="59">
        <f>IF(N($AL289)&gt;0,INDEX(rIni_ADM,$AL289),"")</f>
        <v/>
      </c>
      <c r="F289" s="59">
        <f>IF(N($AL289)&gt;0,INDEX(rLim_ADM,$AL289),"")</f>
        <v/>
      </c>
      <c r="G289" s="59" t="n"/>
      <c r="H289" s="60" t="n"/>
      <c r="I289" s="60" t="n"/>
      <c r="J289" s="60" t="n"/>
      <c r="K289" s="60" t="n"/>
      <c r="L289" s="60" t="n"/>
      <c r="M289" s="61">
        <f>IF(NOT((COUNTA($B289:$D289)+COUNTA($G289:$L289)+COUNTA($Q289))&gt;0),"",IF($V289="Sub",IFERROR($X289/INDEX($W$5:$W$1000,$U289-4),""),IF(ISNUMBER($G289),1,IF(N($W289)&gt;0,AVERAGEIFS($X$5:$X$1000,$U$5:$U$1000,ROW(),$V$5:$V$1000,"Sub"),$X289))))</f>
        <v/>
      </c>
      <c r="N289" s="56">
        <f>IF(OR($M289="",$V289="Sub"),"",IF($M289&gt;=1,"Completado",IF($M289&gt;0,"En curso","Pendiente")))</f>
        <v/>
      </c>
      <c r="O289" s="56">
        <f>IF(OR(NOT((COUNTA($B289:$D289)+COUNTA($G289:$L289)+COUNTA($Q289))&gt;0),$V289="Sub"),"",IF(ISNUMBER($G289),IF(AND(ISNUMBER($AN289),$G289&gt;$AN289),"Cumplida con "&amp;($G289-$AN289)&amp;IF($G289-$AN289=1," día"," días")&amp;" de retraso","Cumplida"),IF(N($M289)&gt;=1,"Cumplida",IF(NOT(ISNUMBER($AN289)),"Sin fecha límite",IF($AN289&lt;FechaRef,"Vencida hace "&amp;(FechaRef-$AN289)&amp;IF(FechaRef-$AN289=1," día"," días"),IF($AN289=FechaRef,"Vence hoy",IF($AN289-FechaRef&lt;=DiasAlerta,"Vence en "&amp;($AN289-FechaRef)&amp;IF($AN289-FechaRef=1," día"," días"),"En plazo")))))))</f>
        <v/>
      </c>
      <c r="P289" s="62" t="n"/>
      <c r="Q289" s="58" t="n"/>
      <c r="R289" s="63">
        <f>IF(NOT((COUNTA($B289:$D289)+COUNTA($G289:$L289)+COUNTA($Q289))&gt;0),"",IF((IF($C289="","Falta el nombre de la actividad"&amp;" · ","")&amp;IF(AND($V289="Sub",N($U289)=0),"Subactividad sin macroactividad arriba"&amp;" · ","")&amp;IF($AM289="","Sin fecha de inicio"&amp;" · ","")&amp;IF($AN289="","Sin fecha límite"&amp;" · ","")&amp;IF(AND(LEFT($C289,11)="[Jefatura] ",N($AL289)=0),"No se encuentra en la hoja de la jefatura (elíjala de nuevo en la lista)"&amp;" · ","")&amp;IF(OR(AND($E289&lt;&gt;"",NOT(ISNUMBER($E289))),AND($F289&lt;&gt;"",NOT(ISNUMBER($F289))),AND($G289&lt;&gt;"",NOT(ISNUMBER($G289)))),"Fecha no válida"&amp;" · ","")&amp;IF(AND(ISNUMBER($AM289),ISNUMBER($AN289),$AM289&gt;$AN289),"Inicio posterior a fecha límite"&amp;" · ","")&amp;IF(AND($V289="Macro",$H289&lt;&gt;"",OR(NOT(ISNUMBER($H289)),$H289&lt;0,$H289&gt;1)),"Peso fuera de rango"&amp;" · ","")&amp;IF(AND($V289="Sub",$H289&lt;&gt;""),"Las subactividades no llevan peso (valen igual dentro de su macroactividad)"&amp;" · ","")&amp;IF(AND(N($W289)&gt;0,COUNT($I289:$L289)&gt;0),"Con subactividades: deje vacías las semanas (se calculan solas)"&amp;" · ","")&amp;IF((COUNTIF($I289:$L289,"&gt;1")+COUNTIF($I289:$L289,"&lt;0")+COUNTA($I289:$L289)-COUNT($I289:$L289))&gt;0,"Avance fuera de rango 0-100%"&amp;" · ","")&amp;IF(OR(AND($J289&lt;&gt;"",$J289&lt;$I289),AND($K289&lt;&gt;"",$K289&lt;MAX($I289:$J289)),AND($L289&lt;&gt;"",$L289&lt;MAX($I289:$K289))),"Avance semanal decreciente"&amp;" · ","")&amp;IF(AND(ISNUMBER($AN289),$AN289&lt;FechaRef,IF($V289="Sub",N($X289),N($M289))&lt;1),"Vencida"&amp;" · ","")&amp;IF(AND(ObsObligatoria="Sí",ISNUMBER($AN289),$AN289&lt;FechaRef,IF($V289="Sub",N($X289),N($M289))&lt;1,$Q289=""),"Vencida sin observación"&amp;" · ",""))="","✔ OK","⚠ "&amp;LEFT(IF($C289="","Falta el nombre de la actividad"&amp;" · ","")&amp;IF(AND($V289="Sub",N($U289)=0),"Subactividad sin macroactividad arriba"&amp;" · ","")&amp;IF($AM289="","Sin fecha de inicio"&amp;" · ","")&amp;IF($AN289="","Sin fecha límite"&amp;" · ","")&amp;IF(AND(LEFT($C289,11)="[Jefatura] ",N($AL289)=0),"No se encuentra en la hoja de la jefatura (elíjala de nuevo en la lista)"&amp;" · ","")&amp;IF(OR(AND($E289&lt;&gt;"",NOT(ISNUMBER($E289))),AND($F289&lt;&gt;"",NOT(ISNUMBER($F289))),AND($G289&lt;&gt;"",NOT(ISNUMBER($G289)))),"Fecha no válida"&amp;" · ","")&amp;IF(AND(ISNUMBER($AM289),ISNUMBER($AN289),$AM289&gt;$AN289),"Inicio posterior a fecha límite"&amp;" · ","")&amp;IF(AND($V289="Macro",$H289&lt;&gt;"",OR(NOT(ISNUMBER($H289)),$H289&lt;0,$H289&gt;1)),"Peso fuera de rango"&amp;" · ","")&amp;IF(AND($V289="Sub",$H289&lt;&gt;""),"Las subactividades no llevan peso (valen igual dentro de su macroactividad)"&amp;" · ","")&amp;IF(AND(N($W289)&gt;0,COUNT($I289:$L289)&gt;0),"Con subactividades: deje vacías las semanas (se calculan solas)"&amp;" · ","")&amp;IF((COUNTIF($I289:$L289,"&gt;1")+COUNTIF($I289:$L289,"&lt;0")+COUNTA($I289:$L289)-COUNT($I289:$L289))&gt;0,"Avance fuera de rango 0-100%"&amp;" · ","")&amp;IF(OR(AND($J289&lt;&gt;"",$J289&lt;$I289),AND($K289&lt;&gt;"",$K289&lt;MAX($I289:$J289)),AND($L289&lt;&gt;"",$L289&lt;MAX($I289:$K289))),"Avance semanal decreciente"&amp;" · ","")&amp;IF(AND(ISNUMBER($AN289),$AN289&lt;FechaRef,IF($V289="Sub",N($X289),N($M289))&lt;1),"Vencida"&amp;" · ","")&amp;IF(AND(ObsObligatoria="Sí",ISNUMBER($AN289),$AN289&lt;FechaRef,IF($V289="Sub",N($X289),N($M289))&lt;1,$Q289=""),"Vencida sin observación"&amp;" · ",""),LEN(IF($C289="","Falta el nombre de la actividad"&amp;" · ","")&amp;IF(AND($V289="Sub",N($U289)=0),"Subactividad sin macroactividad arriba"&amp;" · ","")&amp;IF($AM289="","Sin fecha de inicio"&amp;" · ","")&amp;IF($AN289="","Sin fecha límite"&amp;" · ","")&amp;IF(AND(LEFT($C289,11)="[Jefatura] ",N($AL289)=0),"No se encuentra en la hoja de la jefatura (elíjala de nuevo en la lista)"&amp;" · ","")&amp;IF(OR(AND($E289&lt;&gt;"",NOT(ISNUMBER($E289))),AND($F289&lt;&gt;"",NOT(ISNUMBER($F289))),AND($G289&lt;&gt;"",NOT(ISNUMBER($G289)))),"Fecha no válida"&amp;" · ","")&amp;IF(AND(ISNUMBER($AM289),ISNUMBER($AN289),$AM289&gt;$AN289),"Inicio posterior a fecha límite"&amp;" · ","")&amp;IF(AND($V289="Macro",$H289&lt;&gt;"",OR(NOT(ISNUMBER($H289)),$H289&lt;0,$H289&gt;1)),"Peso fuera de rango"&amp;" · ","")&amp;IF(AND($V289="Sub",$H289&lt;&gt;""),"Las subactividades no llevan peso (valen igual dentro de su macroactividad)"&amp;" · ","")&amp;IF(AND(N($W289)&gt;0,COUNT($I289:$L289)&gt;0),"Con subactividades: deje vacías las semanas (se calculan solas)"&amp;" · ","")&amp;IF((COUNTIF($I289:$L289,"&gt;1")+COUNTIF($I289:$L289,"&lt;0")+COUNTA($I289:$L289)-COUNT($I289:$L289))&gt;0,"Avance fuera de rango 0-100%"&amp;" · ","")&amp;IF(OR(AND($J289&lt;&gt;"",$J289&lt;$I289),AND($K289&lt;&gt;"",$K289&lt;MAX($I289:$J289)),AND($L289&lt;&gt;"",$L289&lt;MAX($I289:$K289))),"Avance semanal decreciente"&amp;" · ","")&amp;IF(AND(ISNUMBER($AN289),$AN289&lt;FechaRef,IF($V289="Sub",N($X289),N($M289))&lt;1),"Vencida"&amp;" · ","")&amp;IF(AND(ObsObligatoria="Sí",ISNUMBER($AN289),$AN289&lt;FechaRef,IF($V289="Sub",N($X289),N($M289))&lt;1,$Q289=""),"Vencida sin observación"&amp;" · ",""))-3)))</f>
        <v/>
      </c>
      <c r="S289" s="64">
        <f>IF(NOT((COUNTA($B289:$D289)+COUNTA($G289:$L289)+COUNTA($Q289))&gt;0),"",IF(AND($V289="Sub",N($U289)&gt;0),IF(ISNUMBER(INDEX($AM$5:$AM$1000,$U289-4)),DATE(YEAR(INDEX($AM$5:$AM$1000,$U289-4)),MONTH(INDEX($AM$5:$AM$1000,$U289-4)),1),IF(ISNUMBER(INDEX($AN$5:$AN$1000,$U289-4)),DATE(YEAR(INDEX($AN$5:$AN$1000,$U289-4)),MONTH(INDEX($AN$5:$AN$1000,$U289-4)),1),MesCiclo)),IF(ISNUMBER($AM289),DATE(YEAR($AM289),MONTH($AM289),1),IF(ISNUMBER($AN289),DATE(YEAR($AN289),MONTH($AN289),1),MesCiclo))))</f>
        <v/>
      </c>
      <c r="T289" s="62">
        <f>IF(OR($S289="",$S289&lt;&gt;MesCiclo,$V289&lt;&gt;"Macro"),"",COUNTIFS($S$5:$S289,MesCiclo,$V$5:$V289,"Macro"))</f>
        <v/>
      </c>
      <c r="U289" s="62">
        <f>IF($V289="","",IF($V289="Macro",ROW(),IFERROR(LOOKUP(2,1/($V$5:$V289="Macro"),ROW($V$5:$V289)),0)))</f>
        <v/>
      </c>
      <c r="V289" s="62">
        <f>IF(NOT((COUNTA($B289:$D289)+COUNTA($G289:$L289)+COUNTA($Q289))&gt;0),"",IF($B289="Subactividad","Sub","Macro"))</f>
        <v/>
      </c>
      <c r="W289" s="62">
        <f>IF($V289="Macro",COUNTIFS($U$5:$U$1000,ROW(),$V$5:$V$1000,"Sub"),"")</f>
        <v/>
      </c>
      <c r="X289" s="62">
        <f>IF($V289="","",IF(ISNUMBER($G289),1,IFERROR(LOOKUP(2,1/($I289:$L289&lt;&gt;""),$I289:$L289),0)))</f>
        <v/>
      </c>
      <c r="Y289" s="62">
        <f>IF($V289="","",IF(AND(ISNUMBER($G289),$G289&lt;=IF($S289=MesCiclo,InicioCiclo,$S289+MOD(2-WEEKDAY($S289),7))+6),1,IF(ISNUMBER($I289),$I289,0)))</f>
        <v/>
      </c>
      <c r="Z289" s="62">
        <f>IF($V289="","",IF(AND(ISNUMBER($G289),$G289&lt;=IF($S289=MesCiclo,InicioCiclo,$S289+MOD(2-WEEKDAY($S289),7))+13),1,IF(ISNUMBER($J289),$J289,$Y289)))</f>
        <v/>
      </c>
      <c r="AA289" s="62">
        <f>IF($V289="","",IF(AND(ISNUMBER($G289),$G289&lt;=IF($S289=MesCiclo,InicioCiclo,$S289+MOD(2-WEEKDAY($S289),7))+20),1,IF(ISNUMBER($K289),$K289,$Z289)))</f>
        <v/>
      </c>
      <c r="AB289" s="62">
        <f>IF($V289="","",IF(AND(ISNUMBER($G289),$G289&lt;=IF($S289=MesCiclo,InicioCiclo,$S289+MOD(2-WEEKDAY($S289),7))+27),1,IF(ISNUMBER($L289),$L289,$AA289)))</f>
        <v/>
      </c>
      <c r="AC289" s="62">
        <f>IF($V289="","",IF(AND(ISNUMBER($G289),$G289&lt;=IF($S289=MesCiclo,InicioCiclo,$S289+MOD(2-WEEKDAY($S289),7))+6),1,IF(N($W289)&gt;0,AVERAGEIFS($Y$5:$Y$1000,$U$5:$U$1000,ROW(),$V$5:$V$1000,"Sub"),$Y289)))</f>
        <v/>
      </c>
      <c r="AD289" s="62">
        <f>IF($V289="","",IF(AND(ISNUMBER($G289),$G289&lt;=IF($S289=MesCiclo,InicioCiclo,$S289+MOD(2-WEEKDAY($S289),7))+13),1,IF(N($W289)&gt;0,AVERAGEIFS($Z$5:$Z$1000,$U$5:$U$1000,ROW(),$V$5:$V$1000,"Sub"),$Z289)))</f>
        <v/>
      </c>
      <c r="AE289" s="62">
        <f>IF($V289="","",IF(AND(ISNUMBER($G289),$G289&lt;=IF($S289=MesCiclo,InicioCiclo,$S289+MOD(2-WEEKDAY($S289),7))+20),1,IF(N($W289)&gt;0,AVERAGEIFS($AA$5:$AA$1000,$U$5:$U$1000,ROW(),$V$5:$V$1000,"Sub"),$AA289)))</f>
        <v/>
      </c>
      <c r="AF289" s="62">
        <f>IF($V289="","",IF(AND(ISNUMBER($G289),$G289&lt;=IF($S289=MesCiclo,InicioCiclo,$S289+MOD(2-WEEKDAY($S289),7))+27),1,IF(N($W289)&gt;0,AVERAGEIFS($AB$5:$AB$1000,$U$5:$U$1000,ROW(),$V$5:$V$1000,"Sub"),$AB289)))</f>
        <v/>
      </c>
      <c r="AG289" s="62">
        <f>IF($V289&lt;&gt;"Macro","",IF(COUNTIFS($S$5:$S$1000,$S289,$V$5:$V$1000,"Macro",$H$5:$H$1000,"&gt;0")=0,1/COUNTIFS($S$5:$S$1000,$S289,$V$5:$V$1000,"Macro"),IF(AND(ISNUMBER($H289),N($H289)&gt;0),$H289,SUMIFS($H$5:$H$1000,$S$5:$S$1000,$S289,$V$5:$V$1000,"Macro")/COUNTIFS($S$5:$S$1000,$S289,$V$5:$V$1000,"Macro",$H$5:$H$1000,"&gt;0"))/(COUNTIFS($S$5:$S$1000,$S289,$V$5:$V$1000,"Macro")*SUMIFS($H$5:$H$1000,$S$5:$S$1000,$S289,$V$5:$V$1000,"Macro")/COUNTIFS($S$5:$S$1000,$S289,$V$5:$V$1000,"Macro",$H$5:$H$1000,"&gt;0"))))</f>
        <v/>
      </c>
      <c r="AH289" s="62" t="n"/>
      <c r="AI289" s="62" t="n"/>
      <c r="AJ289" s="62" t="n"/>
      <c r="AK289" s="62" t="n"/>
      <c r="AL289" s="62">
        <f>IF(LEFT($C289,11)="[Jefatura] ",IFERROR(MATCH("Riesgo Normativo|"&amp;MID($C289,12,500),rDname_ADM,0),0),"")</f>
        <v/>
      </c>
      <c r="AM289" s="62">
        <f>IF(N($AL289)&gt;0,INDEX(rIni_ADM,$AL289),IF(ISNUMBER($E289),$E289,""))</f>
        <v/>
      </c>
      <c r="AN289" s="62">
        <f>IF(N($AL289)&gt;0,INDEX(rLim_ADM,$AL289),IF(ISNUMBER($F289),$F289,""))</f>
        <v/>
      </c>
    </row>
    <row r="290">
      <c r="A290" s="56">
        <f>IF(NOT((COUNTA($B290:$D290)+COUNTA($G290:$L290)+COUNTA($Q290))&gt;0),"",IF($V290="Macro",COUNTIFS($V$5:$V290,"Macro",$S$5:$S290,$S290),IF(N($U290)=0,"?",COUNTIFS(INDEX($V$5:$V$1000,1):INDEX($V$5:$V$1000,$U290-4),"Macro",INDEX($S$5:$S$1000,1):INDEX($S$5:$S$1000,$U290-4),INDEX($S$5:$S$1000,$U290-4))&amp;"."&amp;COUNTIFS($U$5:$U290,$U290,$V$5:$V290,"Sub"))))</f>
        <v/>
      </c>
      <c r="B290" s="57" t="n"/>
      <c r="C290" s="58" t="n"/>
      <c r="D290" s="58" t="n"/>
      <c r="E290" s="59">
        <f>IF(N($AL290)&gt;0,INDEX(rIni_ADM,$AL290),"")</f>
        <v/>
      </c>
      <c r="F290" s="59">
        <f>IF(N($AL290)&gt;0,INDEX(rLim_ADM,$AL290),"")</f>
        <v/>
      </c>
      <c r="G290" s="59" t="n"/>
      <c r="H290" s="60" t="n"/>
      <c r="I290" s="60" t="n"/>
      <c r="J290" s="60" t="n"/>
      <c r="K290" s="60" t="n"/>
      <c r="L290" s="60" t="n"/>
      <c r="M290" s="61">
        <f>IF(NOT((COUNTA($B290:$D290)+COUNTA($G290:$L290)+COUNTA($Q290))&gt;0),"",IF($V290="Sub",IFERROR($X290/INDEX($W$5:$W$1000,$U290-4),""),IF(ISNUMBER($G290),1,IF(N($W290)&gt;0,AVERAGEIFS($X$5:$X$1000,$U$5:$U$1000,ROW(),$V$5:$V$1000,"Sub"),$X290))))</f>
        <v/>
      </c>
      <c r="N290" s="56">
        <f>IF(OR($M290="",$V290="Sub"),"",IF($M290&gt;=1,"Completado",IF($M290&gt;0,"En curso","Pendiente")))</f>
        <v/>
      </c>
      <c r="O290" s="56">
        <f>IF(OR(NOT((COUNTA($B290:$D290)+COUNTA($G290:$L290)+COUNTA($Q290))&gt;0),$V290="Sub"),"",IF(ISNUMBER($G290),IF(AND(ISNUMBER($AN290),$G290&gt;$AN290),"Cumplida con "&amp;($G290-$AN290)&amp;IF($G290-$AN290=1," día"," días")&amp;" de retraso","Cumplida"),IF(N($M290)&gt;=1,"Cumplida",IF(NOT(ISNUMBER($AN290)),"Sin fecha límite",IF($AN290&lt;FechaRef,"Vencida hace "&amp;(FechaRef-$AN290)&amp;IF(FechaRef-$AN290=1," día"," días"),IF($AN290=FechaRef,"Vence hoy",IF($AN290-FechaRef&lt;=DiasAlerta,"Vence en "&amp;($AN290-FechaRef)&amp;IF($AN290-FechaRef=1," día"," días"),"En plazo")))))))</f>
        <v/>
      </c>
      <c r="P290" s="62" t="n"/>
      <c r="Q290" s="58" t="n"/>
      <c r="R290" s="63">
        <f>IF(NOT((COUNTA($B290:$D290)+COUNTA($G290:$L290)+COUNTA($Q290))&gt;0),"",IF((IF($C290="","Falta el nombre de la actividad"&amp;" · ","")&amp;IF(AND($V290="Sub",N($U290)=0),"Subactividad sin macroactividad arriba"&amp;" · ","")&amp;IF($AM290="","Sin fecha de inicio"&amp;" · ","")&amp;IF($AN290="","Sin fecha límite"&amp;" · ","")&amp;IF(AND(LEFT($C290,11)="[Jefatura] ",N($AL290)=0),"No se encuentra en la hoja de la jefatura (elíjala de nuevo en la lista)"&amp;" · ","")&amp;IF(OR(AND($E290&lt;&gt;"",NOT(ISNUMBER($E290))),AND($F290&lt;&gt;"",NOT(ISNUMBER($F290))),AND($G290&lt;&gt;"",NOT(ISNUMBER($G290)))),"Fecha no válida"&amp;" · ","")&amp;IF(AND(ISNUMBER($AM290),ISNUMBER($AN290),$AM290&gt;$AN290),"Inicio posterior a fecha límite"&amp;" · ","")&amp;IF(AND($V290="Macro",$H290&lt;&gt;"",OR(NOT(ISNUMBER($H290)),$H290&lt;0,$H290&gt;1)),"Peso fuera de rango"&amp;" · ","")&amp;IF(AND($V290="Sub",$H290&lt;&gt;""),"Las subactividades no llevan peso (valen igual dentro de su macroactividad)"&amp;" · ","")&amp;IF(AND(N($W290)&gt;0,COUNT($I290:$L290)&gt;0),"Con subactividades: deje vacías las semanas (se calculan solas)"&amp;" · ","")&amp;IF((COUNTIF($I290:$L290,"&gt;1")+COUNTIF($I290:$L290,"&lt;0")+COUNTA($I290:$L290)-COUNT($I290:$L290))&gt;0,"Avance fuera de rango 0-100%"&amp;" · ","")&amp;IF(OR(AND($J290&lt;&gt;"",$J290&lt;$I290),AND($K290&lt;&gt;"",$K290&lt;MAX($I290:$J290)),AND($L290&lt;&gt;"",$L290&lt;MAX($I290:$K290))),"Avance semanal decreciente"&amp;" · ","")&amp;IF(AND(ISNUMBER($AN290),$AN290&lt;FechaRef,IF($V290="Sub",N($X290),N($M290))&lt;1),"Vencida"&amp;" · ","")&amp;IF(AND(ObsObligatoria="Sí",ISNUMBER($AN290),$AN290&lt;FechaRef,IF($V290="Sub",N($X290),N($M290))&lt;1,$Q290=""),"Vencida sin observación"&amp;" · ",""))="","✔ OK","⚠ "&amp;LEFT(IF($C290="","Falta el nombre de la actividad"&amp;" · ","")&amp;IF(AND($V290="Sub",N($U290)=0),"Subactividad sin macroactividad arriba"&amp;" · ","")&amp;IF($AM290="","Sin fecha de inicio"&amp;" · ","")&amp;IF($AN290="","Sin fecha límite"&amp;" · ","")&amp;IF(AND(LEFT($C290,11)="[Jefatura] ",N($AL290)=0),"No se encuentra en la hoja de la jefatura (elíjala de nuevo en la lista)"&amp;" · ","")&amp;IF(OR(AND($E290&lt;&gt;"",NOT(ISNUMBER($E290))),AND($F290&lt;&gt;"",NOT(ISNUMBER($F290))),AND($G290&lt;&gt;"",NOT(ISNUMBER($G290)))),"Fecha no válida"&amp;" · ","")&amp;IF(AND(ISNUMBER($AM290),ISNUMBER($AN290),$AM290&gt;$AN290),"Inicio posterior a fecha límite"&amp;" · ","")&amp;IF(AND($V290="Macro",$H290&lt;&gt;"",OR(NOT(ISNUMBER($H290)),$H290&lt;0,$H290&gt;1)),"Peso fuera de rango"&amp;" · ","")&amp;IF(AND($V290="Sub",$H290&lt;&gt;""),"Las subactividades no llevan peso (valen igual dentro de su macroactividad)"&amp;" · ","")&amp;IF(AND(N($W290)&gt;0,COUNT($I290:$L290)&gt;0),"Con subactividades: deje vacías las semanas (se calculan solas)"&amp;" · ","")&amp;IF((COUNTIF($I290:$L290,"&gt;1")+COUNTIF($I290:$L290,"&lt;0")+COUNTA($I290:$L290)-COUNT($I290:$L290))&gt;0,"Avance fuera de rango 0-100%"&amp;" · ","")&amp;IF(OR(AND($J290&lt;&gt;"",$J290&lt;$I290),AND($K290&lt;&gt;"",$K290&lt;MAX($I290:$J290)),AND($L290&lt;&gt;"",$L290&lt;MAX($I290:$K290))),"Avance semanal decreciente"&amp;" · ","")&amp;IF(AND(ISNUMBER($AN290),$AN290&lt;FechaRef,IF($V290="Sub",N($X290),N($M290))&lt;1),"Vencida"&amp;" · ","")&amp;IF(AND(ObsObligatoria="Sí",ISNUMBER($AN290),$AN290&lt;FechaRef,IF($V290="Sub",N($X290),N($M290))&lt;1,$Q290=""),"Vencida sin observación"&amp;" · ",""),LEN(IF($C290="","Falta el nombre de la actividad"&amp;" · ","")&amp;IF(AND($V290="Sub",N($U290)=0),"Subactividad sin macroactividad arriba"&amp;" · ","")&amp;IF($AM290="","Sin fecha de inicio"&amp;" · ","")&amp;IF($AN290="","Sin fecha límite"&amp;" · ","")&amp;IF(AND(LEFT($C290,11)="[Jefatura] ",N($AL290)=0),"No se encuentra en la hoja de la jefatura (elíjala de nuevo en la lista)"&amp;" · ","")&amp;IF(OR(AND($E290&lt;&gt;"",NOT(ISNUMBER($E290))),AND($F290&lt;&gt;"",NOT(ISNUMBER($F290))),AND($G290&lt;&gt;"",NOT(ISNUMBER($G290)))),"Fecha no válida"&amp;" · ","")&amp;IF(AND(ISNUMBER($AM290),ISNUMBER($AN290),$AM290&gt;$AN290),"Inicio posterior a fecha límite"&amp;" · ","")&amp;IF(AND($V290="Macro",$H290&lt;&gt;"",OR(NOT(ISNUMBER($H290)),$H290&lt;0,$H290&gt;1)),"Peso fuera de rango"&amp;" · ","")&amp;IF(AND($V290="Sub",$H290&lt;&gt;""),"Las subactividades no llevan peso (valen igual dentro de su macroactividad)"&amp;" · ","")&amp;IF(AND(N($W290)&gt;0,COUNT($I290:$L290)&gt;0),"Con subactividades: deje vacías las semanas (se calculan solas)"&amp;" · ","")&amp;IF((COUNTIF($I290:$L290,"&gt;1")+COUNTIF($I290:$L290,"&lt;0")+COUNTA($I290:$L290)-COUNT($I290:$L290))&gt;0,"Avance fuera de rango 0-100%"&amp;" · ","")&amp;IF(OR(AND($J290&lt;&gt;"",$J290&lt;$I290),AND($K290&lt;&gt;"",$K290&lt;MAX($I290:$J290)),AND($L290&lt;&gt;"",$L290&lt;MAX($I290:$K290))),"Avance semanal decreciente"&amp;" · ","")&amp;IF(AND(ISNUMBER($AN290),$AN290&lt;FechaRef,IF($V290="Sub",N($X290),N($M290))&lt;1),"Vencida"&amp;" · ","")&amp;IF(AND(ObsObligatoria="Sí",ISNUMBER($AN290),$AN290&lt;FechaRef,IF($V290="Sub",N($X290),N($M290))&lt;1,$Q290=""),"Vencida sin observación"&amp;" · ",""))-3)))</f>
        <v/>
      </c>
      <c r="S290" s="64">
        <f>IF(NOT((COUNTA($B290:$D290)+COUNTA($G290:$L290)+COUNTA($Q290))&gt;0),"",IF(AND($V290="Sub",N($U290)&gt;0),IF(ISNUMBER(INDEX($AM$5:$AM$1000,$U290-4)),DATE(YEAR(INDEX($AM$5:$AM$1000,$U290-4)),MONTH(INDEX($AM$5:$AM$1000,$U290-4)),1),IF(ISNUMBER(INDEX($AN$5:$AN$1000,$U290-4)),DATE(YEAR(INDEX($AN$5:$AN$1000,$U290-4)),MONTH(INDEX($AN$5:$AN$1000,$U290-4)),1),MesCiclo)),IF(ISNUMBER($AM290),DATE(YEAR($AM290),MONTH($AM290),1),IF(ISNUMBER($AN290),DATE(YEAR($AN290),MONTH($AN290),1),MesCiclo))))</f>
        <v/>
      </c>
      <c r="T290" s="62">
        <f>IF(OR($S290="",$S290&lt;&gt;MesCiclo,$V290&lt;&gt;"Macro"),"",COUNTIFS($S$5:$S290,MesCiclo,$V$5:$V290,"Macro"))</f>
        <v/>
      </c>
      <c r="U290" s="62">
        <f>IF($V290="","",IF($V290="Macro",ROW(),IFERROR(LOOKUP(2,1/($V$5:$V290="Macro"),ROW($V$5:$V290)),0)))</f>
        <v/>
      </c>
      <c r="V290" s="62">
        <f>IF(NOT((COUNTA($B290:$D290)+COUNTA($G290:$L290)+COUNTA($Q290))&gt;0),"",IF($B290="Subactividad","Sub","Macro"))</f>
        <v/>
      </c>
      <c r="W290" s="62">
        <f>IF($V290="Macro",COUNTIFS($U$5:$U$1000,ROW(),$V$5:$V$1000,"Sub"),"")</f>
        <v/>
      </c>
      <c r="X290" s="62">
        <f>IF($V290="","",IF(ISNUMBER($G290),1,IFERROR(LOOKUP(2,1/($I290:$L290&lt;&gt;""),$I290:$L290),0)))</f>
        <v/>
      </c>
      <c r="Y290" s="62">
        <f>IF($V290="","",IF(AND(ISNUMBER($G290),$G290&lt;=IF($S290=MesCiclo,InicioCiclo,$S290+MOD(2-WEEKDAY($S290),7))+6),1,IF(ISNUMBER($I290),$I290,0)))</f>
        <v/>
      </c>
      <c r="Z290" s="62">
        <f>IF($V290="","",IF(AND(ISNUMBER($G290),$G290&lt;=IF($S290=MesCiclo,InicioCiclo,$S290+MOD(2-WEEKDAY($S290),7))+13),1,IF(ISNUMBER($J290),$J290,$Y290)))</f>
        <v/>
      </c>
      <c r="AA290" s="62">
        <f>IF($V290="","",IF(AND(ISNUMBER($G290),$G290&lt;=IF($S290=MesCiclo,InicioCiclo,$S290+MOD(2-WEEKDAY($S290),7))+20),1,IF(ISNUMBER($K290),$K290,$Z290)))</f>
        <v/>
      </c>
      <c r="AB290" s="62">
        <f>IF($V290="","",IF(AND(ISNUMBER($G290),$G290&lt;=IF($S290=MesCiclo,InicioCiclo,$S290+MOD(2-WEEKDAY($S290),7))+27),1,IF(ISNUMBER($L290),$L290,$AA290)))</f>
        <v/>
      </c>
      <c r="AC290" s="62">
        <f>IF($V290="","",IF(AND(ISNUMBER($G290),$G290&lt;=IF($S290=MesCiclo,InicioCiclo,$S290+MOD(2-WEEKDAY($S290),7))+6),1,IF(N($W290)&gt;0,AVERAGEIFS($Y$5:$Y$1000,$U$5:$U$1000,ROW(),$V$5:$V$1000,"Sub"),$Y290)))</f>
        <v/>
      </c>
      <c r="AD290" s="62">
        <f>IF($V290="","",IF(AND(ISNUMBER($G290),$G290&lt;=IF($S290=MesCiclo,InicioCiclo,$S290+MOD(2-WEEKDAY($S290),7))+13),1,IF(N($W290)&gt;0,AVERAGEIFS($Z$5:$Z$1000,$U$5:$U$1000,ROW(),$V$5:$V$1000,"Sub"),$Z290)))</f>
        <v/>
      </c>
      <c r="AE290" s="62">
        <f>IF($V290="","",IF(AND(ISNUMBER($G290),$G290&lt;=IF($S290=MesCiclo,InicioCiclo,$S290+MOD(2-WEEKDAY($S290),7))+20),1,IF(N($W290)&gt;0,AVERAGEIFS($AA$5:$AA$1000,$U$5:$U$1000,ROW(),$V$5:$V$1000,"Sub"),$AA290)))</f>
        <v/>
      </c>
      <c r="AF290" s="62">
        <f>IF($V290="","",IF(AND(ISNUMBER($G290),$G290&lt;=IF($S290=MesCiclo,InicioCiclo,$S290+MOD(2-WEEKDAY($S290),7))+27),1,IF(N($W290)&gt;0,AVERAGEIFS($AB$5:$AB$1000,$U$5:$U$1000,ROW(),$V$5:$V$1000,"Sub"),$AB290)))</f>
        <v/>
      </c>
      <c r="AG290" s="62">
        <f>IF($V290&lt;&gt;"Macro","",IF(COUNTIFS($S$5:$S$1000,$S290,$V$5:$V$1000,"Macro",$H$5:$H$1000,"&gt;0")=0,1/COUNTIFS($S$5:$S$1000,$S290,$V$5:$V$1000,"Macro"),IF(AND(ISNUMBER($H290),N($H290)&gt;0),$H290,SUMIFS($H$5:$H$1000,$S$5:$S$1000,$S290,$V$5:$V$1000,"Macro")/COUNTIFS($S$5:$S$1000,$S290,$V$5:$V$1000,"Macro",$H$5:$H$1000,"&gt;0"))/(COUNTIFS($S$5:$S$1000,$S290,$V$5:$V$1000,"Macro")*SUMIFS($H$5:$H$1000,$S$5:$S$1000,$S290,$V$5:$V$1000,"Macro")/COUNTIFS($S$5:$S$1000,$S290,$V$5:$V$1000,"Macro",$H$5:$H$1000,"&gt;0"))))</f>
        <v/>
      </c>
      <c r="AH290" s="62" t="n"/>
      <c r="AI290" s="62" t="n"/>
      <c r="AJ290" s="62" t="n"/>
      <c r="AK290" s="62" t="n"/>
      <c r="AL290" s="62">
        <f>IF(LEFT($C290,11)="[Jefatura] ",IFERROR(MATCH("Riesgo Normativo|"&amp;MID($C290,12,500),rDname_ADM,0),0),"")</f>
        <v/>
      </c>
      <c r="AM290" s="62">
        <f>IF(N($AL290)&gt;0,INDEX(rIni_ADM,$AL290),IF(ISNUMBER($E290),$E290,""))</f>
        <v/>
      </c>
      <c r="AN290" s="62">
        <f>IF(N($AL290)&gt;0,INDEX(rLim_ADM,$AL290),IF(ISNUMBER($F290),$F290,""))</f>
        <v/>
      </c>
    </row>
    <row r="291">
      <c r="A291" s="56">
        <f>IF(NOT((COUNTA($B291:$D291)+COUNTA($G291:$L291)+COUNTA($Q291))&gt;0),"",IF($V291="Macro",COUNTIFS($V$5:$V291,"Macro",$S$5:$S291,$S291),IF(N($U291)=0,"?",COUNTIFS(INDEX($V$5:$V$1000,1):INDEX($V$5:$V$1000,$U291-4),"Macro",INDEX($S$5:$S$1000,1):INDEX($S$5:$S$1000,$U291-4),INDEX($S$5:$S$1000,$U291-4))&amp;"."&amp;COUNTIFS($U$5:$U291,$U291,$V$5:$V291,"Sub"))))</f>
        <v/>
      </c>
      <c r="B291" s="57" t="n"/>
      <c r="C291" s="58" t="n"/>
      <c r="D291" s="58" t="n"/>
      <c r="E291" s="59">
        <f>IF(N($AL291)&gt;0,INDEX(rIni_ADM,$AL291),"")</f>
        <v/>
      </c>
      <c r="F291" s="59">
        <f>IF(N($AL291)&gt;0,INDEX(rLim_ADM,$AL291),"")</f>
        <v/>
      </c>
      <c r="G291" s="59" t="n"/>
      <c r="H291" s="60" t="n"/>
      <c r="I291" s="60" t="n"/>
      <c r="J291" s="60" t="n"/>
      <c r="K291" s="60" t="n"/>
      <c r="L291" s="60" t="n"/>
      <c r="M291" s="61">
        <f>IF(NOT((COUNTA($B291:$D291)+COUNTA($G291:$L291)+COUNTA($Q291))&gt;0),"",IF($V291="Sub",IFERROR($X291/INDEX($W$5:$W$1000,$U291-4),""),IF(ISNUMBER($G291),1,IF(N($W291)&gt;0,AVERAGEIFS($X$5:$X$1000,$U$5:$U$1000,ROW(),$V$5:$V$1000,"Sub"),$X291))))</f>
        <v/>
      </c>
      <c r="N291" s="56">
        <f>IF(OR($M291="",$V291="Sub"),"",IF($M291&gt;=1,"Completado",IF($M291&gt;0,"En curso","Pendiente")))</f>
        <v/>
      </c>
      <c r="O291" s="56">
        <f>IF(OR(NOT((COUNTA($B291:$D291)+COUNTA($G291:$L291)+COUNTA($Q291))&gt;0),$V291="Sub"),"",IF(ISNUMBER($G291),IF(AND(ISNUMBER($AN291),$G291&gt;$AN291),"Cumplida con "&amp;($G291-$AN291)&amp;IF($G291-$AN291=1," día"," días")&amp;" de retraso","Cumplida"),IF(N($M291)&gt;=1,"Cumplida",IF(NOT(ISNUMBER($AN291)),"Sin fecha límite",IF($AN291&lt;FechaRef,"Vencida hace "&amp;(FechaRef-$AN291)&amp;IF(FechaRef-$AN291=1," día"," días"),IF($AN291=FechaRef,"Vence hoy",IF($AN291-FechaRef&lt;=DiasAlerta,"Vence en "&amp;($AN291-FechaRef)&amp;IF($AN291-FechaRef=1," día"," días"),"En plazo")))))))</f>
        <v/>
      </c>
      <c r="P291" s="62" t="n"/>
      <c r="Q291" s="58" t="n"/>
      <c r="R291" s="63">
        <f>IF(NOT((COUNTA($B291:$D291)+COUNTA($G291:$L291)+COUNTA($Q291))&gt;0),"",IF((IF($C291="","Falta el nombre de la actividad"&amp;" · ","")&amp;IF(AND($V291="Sub",N($U291)=0),"Subactividad sin macroactividad arriba"&amp;" · ","")&amp;IF($AM291="","Sin fecha de inicio"&amp;" · ","")&amp;IF($AN291="","Sin fecha límite"&amp;" · ","")&amp;IF(AND(LEFT($C291,11)="[Jefatura] ",N($AL291)=0),"No se encuentra en la hoja de la jefatura (elíjala de nuevo en la lista)"&amp;" · ","")&amp;IF(OR(AND($E291&lt;&gt;"",NOT(ISNUMBER($E291))),AND($F291&lt;&gt;"",NOT(ISNUMBER($F291))),AND($G291&lt;&gt;"",NOT(ISNUMBER($G291)))),"Fecha no válida"&amp;" · ","")&amp;IF(AND(ISNUMBER($AM291),ISNUMBER($AN291),$AM291&gt;$AN291),"Inicio posterior a fecha límite"&amp;" · ","")&amp;IF(AND($V291="Macro",$H291&lt;&gt;"",OR(NOT(ISNUMBER($H291)),$H291&lt;0,$H291&gt;1)),"Peso fuera de rango"&amp;" · ","")&amp;IF(AND($V291="Sub",$H291&lt;&gt;""),"Las subactividades no llevan peso (valen igual dentro de su macroactividad)"&amp;" · ","")&amp;IF(AND(N($W291)&gt;0,COUNT($I291:$L291)&gt;0),"Con subactividades: deje vacías las semanas (se calculan solas)"&amp;" · ","")&amp;IF((COUNTIF($I291:$L291,"&gt;1")+COUNTIF($I291:$L291,"&lt;0")+COUNTA($I291:$L291)-COUNT($I291:$L291))&gt;0,"Avance fuera de rango 0-100%"&amp;" · ","")&amp;IF(OR(AND($J291&lt;&gt;"",$J291&lt;$I291),AND($K291&lt;&gt;"",$K291&lt;MAX($I291:$J291)),AND($L291&lt;&gt;"",$L291&lt;MAX($I291:$K291))),"Avance semanal decreciente"&amp;" · ","")&amp;IF(AND(ISNUMBER($AN291),$AN291&lt;FechaRef,IF($V291="Sub",N($X291),N($M291))&lt;1),"Vencida"&amp;" · ","")&amp;IF(AND(ObsObligatoria="Sí",ISNUMBER($AN291),$AN291&lt;FechaRef,IF($V291="Sub",N($X291),N($M291))&lt;1,$Q291=""),"Vencida sin observación"&amp;" · ",""))="","✔ OK","⚠ "&amp;LEFT(IF($C291="","Falta el nombre de la actividad"&amp;" · ","")&amp;IF(AND($V291="Sub",N($U291)=0),"Subactividad sin macroactividad arriba"&amp;" · ","")&amp;IF($AM291="","Sin fecha de inicio"&amp;" · ","")&amp;IF($AN291="","Sin fecha límite"&amp;" · ","")&amp;IF(AND(LEFT($C291,11)="[Jefatura] ",N($AL291)=0),"No se encuentra en la hoja de la jefatura (elíjala de nuevo en la lista)"&amp;" · ","")&amp;IF(OR(AND($E291&lt;&gt;"",NOT(ISNUMBER($E291))),AND($F291&lt;&gt;"",NOT(ISNUMBER($F291))),AND($G291&lt;&gt;"",NOT(ISNUMBER($G291)))),"Fecha no válida"&amp;" · ","")&amp;IF(AND(ISNUMBER($AM291),ISNUMBER($AN291),$AM291&gt;$AN291),"Inicio posterior a fecha límite"&amp;" · ","")&amp;IF(AND($V291="Macro",$H291&lt;&gt;"",OR(NOT(ISNUMBER($H291)),$H291&lt;0,$H291&gt;1)),"Peso fuera de rango"&amp;" · ","")&amp;IF(AND($V291="Sub",$H291&lt;&gt;""),"Las subactividades no llevan peso (valen igual dentro de su macroactividad)"&amp;" · ","")&amp;IF(AND(N($W291)&gt;0,COUNT($I291:$L291)&gt;0),"Con subactividades: deje vacías las semanas (se calculan solas)"&amp;" · ","")&amp;IF((COUNTIF($I291:$L291,"&gt;1")+COUNTIF($I291:$L291,"&lt;0")+COUNTA($I291:$L291)-COUNT($I291:$L291))&gt;0,"Avance fuera de rango 0-100%"&amp;" · ","")&amp;IF(OR(AND($J291&lt;&gt;"",$J291&lt;$I291),AND($K291&lt;&gt;"",$K291&lt;MAX($I291:$J291)),AND($L291&lt;&gt;"",$L291&lt;MAX($I291:$K291))),"Avance semanal decreciente"&amp;" · ","")&amp;IF(AND(ISNUMBER($AN291),$AN291&lt;FechaRef,IF($V291="Sub",N($X291),N($M291))&lt;1),"Vencida"&amp;" · ","")&amp;IF(AND(ObsObligatoria="Sí",ISNUMBER($AN291),$AN291&lt;FechaRef,IF($V291="Sub",N($X291),N($M291))&lt;1,$Q291=""),"Vencida sin observación"&amp;" · ",""),LEN(IF($C291="","Falta el nombre de la actividad"&amp;" · ","")&amp;IF(AND($V291="Sub",N($U291)=0),"Subactividad sin macroactividad arriba"&amp;" · ","")&amp;IF($AM291="","Sin fecha de inicio"&amp;" · ","")&amp;IF($AN291="","Sin fecha límite"&amp;" · ","")&amp;IF(AND(LEFT($C291,11)="[Jefatura] ",N($AL291)=0),"No se encuentra en la hoja de la jefatura (elíjala de nuevo en la lista)"&amp;" · ","")&amp;IF(OR(AND($E291&lt;&gt;"",NOT(ISNUMBER($E291))),AND($F291&lt;&gt;"",NOT(ISNUMBER($F291))),AND($G291&lt;&gt;"",NOT(ISNUMBER($G291)))),"Fecha no válida"&amp;" · ","")&amp;IF(AND(ISNUMBER($AM291),ISNUMBER($AN291),$AM291&gt;$AN291),"Inicio posterior a fecha límite"&amp;" · ","")&amp;IF(AND($V291="Macro",$H291&lt;&gt;"",OR(NOT(ISNUMBER($H291)),$H291&lt;0,$H291&gt;1)),"Peso fuera de rango"&amp;" · ","")&amp;IF(AND($V291="Sub",$H291&lt;&gt;""),"Las subactividades no llevan peso (valen igual dentro de su macroactividad)"&amp;" · ","")&amp;IF(AND(N($W291)&gt;0,COUNT($I291:$L291)&gt;0),"Con subactividades: deje vacías las semanas (se calculan solas)"&amp;" · ","")&amp;IF((COUNTIF($I291:$L291,"&gt;1")+COUNTIF($I291:$L291,"&lt;0")+COUNTA($I291:$L291)-COUNT($I291:$L291))&gt;0,"Avance fuera de rango 0-100%"&amp;" · ","")&amp;IF(OR(AND($J291&lt;&gt;"",$J291&lt;$I291),AND($K291&lt;&gt;"",$K291&lt;MAX($I291:$J291)),AND($L291&lt;&gt;"",$L291&lt;MAX($I291:$K291))),"Avance semanal decreciente"&amp;" · ","")&amp;IF(AND(ISNUMBER($AN291),$AN291&lt;FechaRef,IF($V291="Sub",N($X291),N($M291))&lt;1),"Vencida"&amp;" · ","")&amp;IF(AND(ObsObligatoria="Sí",ISNUMBER($AN291),$AN291&lt;FechaRef,IF($V291="Sub",N($X291),N($M291))&lt;1,$Q291=""),"Vencida sin observación"&amp;" · ",""))-3)))</f>
        <v/>
      </c>
      <c r="S291" s="64">
        <f>IF(NOT((COUNTA($B291:$D291)+COUNTA($G291:$L291)+COUNTA($Q291))&gt;0),"",IF(AND($V291="Sub",N($U291)&gt;0),IF(ISNUMBER(INDEX($AM$5:$AM$1000,$U291-4)),DATE(YEAR(INDEX($AM$5:$AM$1000,$U291-4)),MONTH(INDEX($AM$5:$AM$1000,$U291-4)),1),IF(ISNUMBER(INDEX($AN$5:$AN$1000,$U291-4)),DATE(YEAR(INDEX($AN$5:$AN$1000,$U291-4)),MONTH(INDEX($AN$5:$AN$1000,$U291-4)),1),MesCiclo)),IF(ISNUMBER($AM291),DATE(YEAR($AM291),MONTH($AM291),1),IF(ISNUMBER($AN291),DATE(YEAR($AN291),MONTH($AN291),1),MesCiclo))))</f>
        <v/>
      </c>
      <c r="T291" s="62">
        <f>IF(OR($S291="",$S291&lt;&gt;MesCiclo,$V291&lt;&gt;"Macro"),"",COUNTIFS($S$5:$S291,MesCiclo,$V$5:$V291,"Macro"))</f>
        <v/>
      </c>
      <c r="U291" s="62">
        <f>IF($V291="","",IF($V291="Macro",ROW(),IFERROR(LOOKUP(2,1/($V$5:$V291="Macro"),ROW($V$5:$V291)),0)))</f>
        <v/>
      </c>
      <c r="V291" s="62">
        <f>IF(NOT((COUNTA($B291:$D291)+COUNTA($G291:$L291)+COUNTA($Q291))&gt;0),"",IF($B291="Subactividad","Sub","Macro"))</f>
        <v/>
      </c>
      <c r="W291" s="62">
        <f>IF($V291="Macro",COUNTIFS($U$5:$U$1000,ROW(),$V$5:$V$1000,"Sub"),"")</f>
        <v/>
      </c>
      <c r="X291" s="62">
        <f>IF($V291="","",IF(ISNUMBER($G291),1,IFERROR(LOOKUP(2,1/($I291:$L291&lt;&gt;""),$I291:$L291),0)))</f>
        <v/>
      </c>
      <c r="Y291" s="62">
        <f>IF($V291="","",IF(AND(ISNUMBER($G291),$G291&lt;=IF($S291=MesCiclo,InicioCiclo,$S291+MOD(2-WEEKDAY($S291),7))+6),1,IF(ISNUMBER($I291),$I291,0)))</f>
        <v/>
      </c>
      <c r="Z291" s="62">
        <f>IF($V291="","",IF(AND(ISNUMBER($G291),$G291&lt;=IF($S291=MesCiclo,InicioCiclo,$S291+MOD(2-WEEKDAY($S291),7))+13),1,IF(ISNUMBER($J291),$J291,$Y291)))</f>
        <v/>
      </c>
      <c r="AA291" s="62">
        <f>IF($V291="","",IF(AND(ISNUMBER($G291),$G291&lt;=IF($S291=MesCiclo,InicioCiclo,$S291+MOD(2-WEEKDAY($S291),7))+20),1,IF(ISNUMBER($K291),$K291,$Z291)))</f>
        <v/>
      </c>
      <c r="AB291" s="62">
        <f>IF($V291="","",IF(AND(ISNUMBER($G291),$G291&lt;=IF($S291=MesCiclo,InicioCiclo,$S291+MOD(2-WEEKDAY($S291),7))+27),1,IF(ISNUMBER($L291),$L291,$AA291)))</f>
        <v/>
      </c>
      <c r="AC291" s="62">
        <f>IF($V291="","",IF(AND(ISNUMBER($G291),$G291&lt;=IF($S291=MesCiclo,InicioCiclo,$S291+MOD(2-WEEKDAY($S291),7))+6),1,IF(N($W291)&gt;0,AVERAGEIFS($Y$5:$Y$1000,$U$5:$U$1000,ROW(),$V$5:$V$1000,"Sub"),$Y291)))</f>
        <v/>
      </c>
      <c r="AD291" s="62">
        <f>IF($V291="","",IF(AND(ISNUMBER($G291),$G291&lt;=IF($S291=MesCiclo,InicioCiclo,$S291+MOD(2-WEEKDAY($S291),7))+13),1,IF(N($W291)&gt;0,AVERAGEIFS($Z$5:$Z$1000,$U$5:$U$1000,ROW(),$V$5:$V$1000,"Sub"),$Z291)))</f>
        <v/>
      </c>
      <c r="AE291" s="62">
        <f>IF($V291="","",IF(AND(ISNUMBER($G291),$G291&lt;=IF($S291=MesCiclo,InicioCiclo,$S291+MOD(2-WEEKDAY($S291),7))+20),1,IF(N($W291)&gt;0,AVERAGEIFS($AA$5:$AA$1000,$U$5:$U$1000,ROW(),$V$5:$V$1000,"Sub"),$AA291)))</f>
        <v/>
      </c>
      <c r="AF291" s="62">
        <f>IF($V291="","",IF(AND(ISNUMBER($G291),$G291&lt;=IF($S291=MesCiclo,InicioCiclo,$S291+MOD(2-WEEKDAY($S291),7))+27),1,IF(N($W291)&gt;0,AVERAGEIFS($AB$5:$AB$1000,$U$5:$U$1000,ROW(),$V$5:$V$1000,"Sub"),$AB291)))</f>
        <v/>
      </c>
      <c r="AG291" s="62">
        <f>IF($V291&lt;&gt;"Macro","",IF(COUNTIFS($S$5:$S$1000,$S291,$V$5:$V$1000,"Macro",$H$5:$H$1000,"&gt;0")=0,1/COUNTIFS($S$5:$S$1000,$S291,$V$5:$V$1000,"Macro"),IF(AND(ISNUMBER($H291),N($H291)&gt;0),$H291,SUMIFS($H$5:$H$1000,$S$5:$S$1000,$S291,$V$5:$V$1000,"Macro")/COUNTIFS($S$5:$S$1000,$S291,$V$5:$V$1000,"Macro",$H$5:$H$1000,"&gt;0"))/(COUNTIFS($S$5:$S$1000,$S291,$V$5:$V$1000,"Macro")*SUMIFS($H$5:$H$1000,$S$5:$S$1000,$S291,$V$5:$V$1000,"Macro")/COUNTIFS($S$5:$S$1000,$S291,$V$5:$V$1000,"Macro",$H$5:$H$1000,"&gt;0"))))</f>
        <v/>
      </c>
      <c r="AH291" s="62" t="n"/>
      <c r="AI291" s="62" t="n"/>
      <c r="AJ291" s="62" t="n"/>
      <c r="AK291" s="62" t="n"/>
      <c r="AL291" s="62">
        <f>IF(LEFT($C291,11)="[Jefatura] ",IFERROR(MATCH("Riesgo Normativo|"&amp;MID($C291,12,500),rDname_ADM,0),0),"")</f>
        <v/>
      </c>
      <c r="AM291" s="62">
        <f>IF(N($AL291)&gt;0,INDEX(rIni_ADM,$AL291),IF(ISNUMBER($E291),$E291,""))</f>
        <v/>
      </c>
      <c r="AN291" s="62">
        <f>IF(N($AL291)&gt;0,INDEX(rLim_ADM,$AL291),IF(ISNUMBER($F291),$F291,""))</f>
        <v/>
      </c>
    </row>
    <row r="292">
      <c r="A292" s="56">
        <f>IF(NOT((COUNTA($B292:$D292)+COUNTA($G292:$L292)+COUNTA($Q292))&gt;0),"",IF($V292="Macro",COUNTIFS($V$5:$V292,"Macro",$S$5:$S292,$S292),IF(N($U292)=0,"?",COUNTIFS(INDEX($V$5:$V$1000,1):INDEX($V$5:$V$1000,$U292-4),"Macro",INDEX($S$5:$S$1000,1):INDEX($S$5:$S$1000,$U292-4),INDEX($S$5:$S$1000,$U292-4))&amp;"."&amp;COUNTIFS($U$5:$U292,$U292,$V$5:$V292,"Sub"))))</f>
        <v/>
      </c>
      <c r="B292" s="57" t="n"/>
      <c r="C292" s="58" t="n"/>
      <c r="D292" s="58" t="n"/>
      <c r="E292" s="59">
        <f>IF(N($AL292)&gt;0,INDEX(rIni_ADM,$AL292),"")</f>
        <v/>
      </c>
      <c r="F292" s="59">
        <f>IF(N($AL292)&gt;0,INDEX(rLim_ADM,$AL292),"")</f>
        <v/>
      </c>
      <c r="G292" s="59" t="n"/>
      <c r="H292" s="60" t="n"/>
      <c r="I292" s="60" t="n"/>
      <c r="J292" s="60" t="n"/>
      <c r="K292" s="60" t="n"/>
      <c r="L292" s="60" t="n"/>
      <c r="M292" s="61">
        <f>IF(NOT((COUNTA($B292:$D292)+COUNTA($G292:$L292)+COUNTA($Q292))&gt;0),"",IF($V292="Sub",IFERROR($X292/INDEX($W$5:$W$1000,$U292-4),""),IF(ISNUMBER($G292),1,IF(N($W292)&gt;0,AVERAGEIFS($X$5:$X$1000,$U$5:$U$1000,ROW(),$V$5:$V$1000,"Sub"),$X292))))</f>
        <v/>
      </c>
      <c r="N292" s="56">
        <f>IF(OR($M292="",$V292="Sub"),"",IF($M292&gt;=1,"Completado",IF($M292&gt;0,"En curso","Pendiente")))</f>
        <v/>
      </c>
      <c r="O292" s="56">
        <f>IF(OR(NOT((COUNTA($B292:$D292)+COUNTA($G292:$L292)+COUNTA($Q292))&gt;0),$V292="Sub"),"",IF(ISNUMBER($G292),IF(AND(ISNUMBER($AN292),$G292&gt;$AN292),"Cumplida con "&amp;($G292-$AN292)&amp;IF($G292-$AN292=1," día"," días")&amp;" de retraso","Cumplida"),IF(N($M292)&gt;=1,"Cumplida",IF(NOT(ISNUMBER($AN292)),"Sin fecha límite",IF($AN292&lt;FechaRef,"Vencida hace "&amp;(FechaRef-$AN292)&amp;IF(FechaRef-$AN292=1," día"," días"),IF($AN292=FechaRef,"Vence hoy",IF($AN292-FechaRef&lt;=DiasAlerta,"Vence en "&amp;($AN292-FechaRef)&amp;IF($AN292-FechaRef=1," día"," días"),"En plazo")))))))</f>
        <v/>
      </c>
      <c r="P292" s="62" t="n"/>
      <c r="Q292" s="58" t="n"/>
      <c r="R292" s="63">
        <f>IF(NOT((COUNTA($B292:$D292)+COUNTA($G292:$L292)+COUNTA($Q292))&gt;0),"",IF((IF($C292="","Falta el nombre de la actividad"&amp;" · ","")&amp;IF(AND($V292="Sub",N($U292)=0),"Subactividad sin macroactividad arriba"&amp;" · ","")&amp;IF($AM292="","Sin fecha de inicio"&amp;" · ","")&amp;IF($AN292="","Sin fecha límite"&amp;" · ","")&amp;IF(AND(LEFT($C292,11)="[Jefatura] ",N($AL292)=0),"No se encuentra en la hoja de la jefatura (elíjala de nuevo en la lista)"&amp;" · ","")&amp;IF(OR(AND($E292&lt;&gt;"",NOT(ISNUMBER($E292))),AND($F292&lt;&gt;"",NOT(ISNUMBER($F292))),AND($G292&lt;&gt;"",NOT(ISNUMBER($G292)))),"Fecha no válida"&amp;" · ","")&amp;IF(AND(ISNUMBER($AM292),ISNUMBER($AN292),$AM292&gt;$AN292),"Inicio posterior a fecha límite"&amp;" · ","")&amp;IF(AND($V292="Macro",$H292&lt;&gt;"",OR(NOT(ISNUMBER($H292)),$H292&lt;0,$H292&gt;1)),"Peso fuera de rango"&amp;" · ","")&amp;IF(AND($V292="Sub",$H292&lt;&gt;""),"Las subactividades no llevan peso (valen igual dentro de su macroactividad)"&amp;" · ","")&amp;IF(AND(N($W292)&gt;0,COUNT($I292:$L292)&gt;0),"Con subactividades: deje vacías las semanas (se calculan solas)"&amp;" · ","")&amp;IF((COUNTIF($I292:$L292,"&gt;1")+COUNTIF($I292:$L292,"&lt;0")+COUNTA($I292:$L292)-COUNT($I292:$L292))&gt;0,"Avance fuera de rango 0-100%"&amp;" · ","")&amp;IF(OR(AND($J292&lt;&gt;"",$J292&lt;$I292),AND($K292&lt;&gt;"",$K292&lt;MAX($I292:$J292)),AND($L292&lt;&gt;"",$L292&lt;MAX($I292:$K292))),"Avance semanal decreciente"&amp;" · ","")&amp;IF(AND(ISNUMBER($AN292),$AN292&lt;FechaRef,IF($V292="Sub",N($X292),N($M292))&lt;1),"Vencida"&amp;" · ","")&amp;IF(AND(ObsObligatoria="Sí",ISNUMBER($AN292),$AN292&lt;FechaRef,IF($V292="Sub",N($X292),N($M292))&lt;1,$Q292=""),"Vencida sin observación"&amp;" · ",""))="","✔ OK","⚠ "&amp;LEFT(IF($C292="","Falta el nombre de la actividad"&amp;" · ","")&amp;IF(AND($V292="Sub",N($U292)=0),"Subactividad sin macroactividad arriba"&amp;" · ","")&amp;IF($AM292="","Sin fecha de inicio"&amp;" · ","")&amp;IF($AN292="","Sin fecha límite"&amp;" · ","")&amp;IF(AND(LEFT($C292,11)="[Jefatura] ",N($AL292)=0),"No se encuentra en la hoja de la jefatura (elíjala de nuevo en la lista)"&amp;" · ","")&amp;IF(OR(AND($E292&lt;&gt;"",NOT(ISNUMBER($E292))),AND($F292&lt;&gt;"",NOT(ISNUMBER($F292))),AND($G292&lt;&gt;"",NOT(ISNUMBER($G292)))),"Fecha no válida"&amp;" · ","")&amp;IF(AND(ISNUMBER($AM292),ISNUMBER($AN292),$AM292&gt;$AN292),"Inicio posterior a fecha límite"&amp;" · ","")&amp;IF(AND($V292="Macro",$H292&lt;&gt;"",OR(NOT(ISNUMBER($H292)),$H292&lt;0,$H292&gt;1)),"Peso fuera de rango"&amp;" · ","")&amp;IF(AND($V292="Sub",$H292&lt;&gt;""),"Las subactividades no llevan peso (valen igual dentro de su macroactividad)"&amp;" · ","")&amp;IF(AND(N($W292)&gt;0,COUNT($I292:$L292)&gt;0),"Con subactividades: deje vacías las semanas (se calculan solas)"&amp;" · ","")&amp;IF((COUNTIF($I292:$L292,"&gt;1")+COUNTIF($I292:$L292,"&lt;0")+COUNTA($I292:$L292)-COUNT($I292:$L292))&gt;0,"Avance fuera de rango 0-100%"&amp;" · ","")&amp;IF(OR(AND($J292&lt;&gt;"",$J292&lt;$I292),AND($K292&lt;&gt;"",$K292&lt;MAX($I292:$J292)),AND($L292&lt;&gt;"",$L292&lt;MAX($I292:$K292))),"Avance semanal decreciente"&amp;" · ","")&amp;IF(AND(ISNUMBER($AN292),$AN292&lt;FechaRef,IF($V292="Sub",N($X292),N($M292))&lt;1),"Vencida"&amp;" · ","")&amp;IF(AND(ObsObligatoria="Sí",ISNUMBER($AN292),$AN292&lt;FechaRef,IF($V292="Sub",N($X292),N($M292))&lt;1,$Q292=""),"Vencida sin observación"&amp;" · ",""),LEN(IF($C292="","Falta el nombre de la actividad"&amp;" · ","")&amp;IF(AND($V292="Sub",N($U292)=0),"Subactividad sin macroactividad arriba"&amp;" · ","")&amp;IF($AM292="","Sin fecha de inicio"&amp;" · ","")&amp;IF($AN292="","Sin fecha límite"&amp;" · ","")&amp;IF(AND(LEFT($C292,11)="[Jefatura] ",N($AL292)=0),"No se encuentra en la hoja de la jefatura (elíjala de nuevo en la lista)"&amp;" · ","")&amp;IF(OR(AND($E292&lt;&gt;"",NOT(ISNUMBER($E292))),AND($F292&lt;&gt;"",NOT(ISNUMBER($F292))),AND($G292&lt;&gt;"",NOT(ISNUMBER($G292)))),"Fecha no válida"&amp;" · ","")&amp;IF(AND(ISNUMBER($AM292),ISNUMBER($AN292),$AM292&gt;$AN292),"Inicio posterior a fecha límite"&amp;" · ","")&amp;IF(AND($V292="Macro",$H292&lt;&gt;"",OR(NOT(ISNUMBER($H292)),$H292&lt;0,$H292&gt;1)),"Peso fuera de rango"&amp;" · ","")&amp;IF(AND($V292="Sub",$H292&lt;&gt;""),"Las subactividades no llevan peso (valen igual dentro de su macroactividad)"&amp;" · ","")&amp;IF(AND(N($W292)&gt;0,COUNT($I292:$L292)&gt;0),"Con subactividades: deje vacías las semanas (se calculan solas)"&amp;" · ","")&amp;IF((COUNTIF($I292:$L292,"&gt;1")+COUNTIF($I292:$L292,"&lt;0")+COUNTA($I292:$L292)-COUNT($I292:$L292))&gt;0,"Avance fuera de rango 0-100%"&amp;" · ","")&amp;IF(OR(AND($J292&lt;&gt;"",$J292&lt;$I292),AND($K292&lt;&gt;"",$K292&lt;MAX($I292:$J292)),AND($L292&lt;&gt;"",$L292&lt;MAX($I292:$K292))),"Avance semanal decreciente"&amp;" · ","")&amp;IF(AND(ISNUMBER($AN292),$AN292&lt;FechaRef,IF($V292="Sub",N($X292),N($M292))&lt;1),"Vencida"&amp;" · ","")&amp;IF(AND(ObsObligatoria="Sí",ISNUMBER($AN292),$AN292&lt;FechaRef,IF($V292="Sub",N($X292),N($M292))&lt;1,$Q292=""),"Vencida sin observación"&amp;" · ",""))-3)))</f>
        <v/>
      </c>
      <c r="S292" s="64">
        <f>IF(NOT((COUNTA($B292:$D292)+COUNTA($G292:$L292)+COUNTA($Q292))&gt;0),"",IF(AND($V292="Sub",N($U292)&gt;0),IF(ISNUMBER(INDEX($AM$5:$AM$1000,$U292-4)),DATE(YEAR(INDEX($AM$5:$AM$1000,$U292-4)),MONTH(INDEX($AM$5:$AM$1000,$U292-4)),1),IF(ISNUMBER(INDEX($AN$5:$AN$1000,$U292-4)),DATE(YEAR(INDEX($AN$5:$AN$1000,$U292-4)),MONTH(INDEX($AN$5:$AN$1000,$U292-4)),1),MesCiclo)),IF(ISNUMBER($AM292),DATE(YEAR($AM292),MONTH($AM292),1),IF(ISNUMBER($AN292),DATE(YEAR($AN292),MONTH($AN292),1),MesCiclo))))</f>
        <v/>
      </c>
      <c r="T292" s="62">
        <f>IF(OR($S292="",$S292&lt;&gt;MesCiclo,$V292&lt;&gt;"Macro"),"",COUNTIFS($S$5:$S292,MesCiclo,$V$5:$V292,"Macro"))</f>
        <v/>
      </c>
      <c r="U292" s="62">
        <f>IF($V292="","",IF($V292="Macro",ROW(),IFERROR(LOOKUP(2,1/($V$5:$V292="Macro"),ROW($V$5:$V292)),0)))</f>
        <v/>
      </c>
      <c r="V292" s="62">
        <f>IF(NOT((COUNTA($B292:$D292)+COUNTA($G292:$L292)+COUNTA($Q292))&gt;0),"",IF($B292="Subactividad","Sub","Macro"))</f>
        <v/>
      </c>
      <c r="W292" s="62">
        <f>IF($V292="Macro",COUNTIFS($U$5:$U$1000,ROW(),$V$5:$V$1000,"Sub"),"")</f>
        <v/>
      </c>
      <c r="X292" s="62">
        <f>IF($V292="","",IF(ISNUMBER($G292),1,IFERROR(LOOKUP(2,1/($I292:$L292&lt;&gt;""),$I292:$L292),0)))</f>
        <v/>
      </c>
      <c r="Y292" s="62">
        <f>IF($V292="","",IF(AND(ISNUMBER($G292),$G292&lt;=IF($S292=MesCiclo,InicioCiclo,$S292+MOD(2-WEEKDAY($S292),7))+6),1,IF(ISNUMBER($I292),$I292,0)))</f>
        <v/>
      </c>
      <c r="Z292" s="62">
        <f>IF($V292="","",IF(AND(ISNUMBER($G292),$G292&lt;=IF($S292=MesCiclo,InicioCiclo,$S292+MOD(2-WEEKDAY($S292),7))+13),1,IF(ISNUMBER($J292),$J292,$Y292)))</f>
        <v/>
      </c>
      <c r="AA292" s="62">
        <f>IF($V292="","",IF(AND(ISNUMBER($G292),$G292&lt;=IF($S292=MesCiclo,InicioCiclo,$S292+MOD(2-WEEKDAY($S292),7))+20),1,IF(ISNUMBER($K292),$K292,$Z292)))</f>
        <v/>
      </c>
      <c r="AB292" s="62">
        <f>IF($V292="","",IF(AND(ISNUMBER($G292),$G292&lt;=IF($S292=MesCiclo,InicioCiclo,$S292+MOD(2-WEEKDAY($S292),7))+27),1,IF(ISNUMBER($L292),$L292,$AA292)))</f>
        <v/>
      </c>
      <c r="AC292" s="62">
        <f>IF($V292="","",IF(AND(ISNUMBER($G292),$G292&lt;=IF($S292=MesCiclo,InicioCiclo,$S292+MOD(2-WEEKDAY($S292),7))+6),1,IF(N($W292)&gt;0,AVERAGEIFS($Y$5:$Y$1000,$U$5:$U$1000,ROW(),$V$5:$V$1000,"Sub"),$Y292)))</f>
        <v/>
      </c>
      <c r="AD292" s="62">
        <f>IF($V292="","",IF(AND(ISNUMBER($G292),$G292&lt;=IF($S292=MesCiclo,InicioCiclo,$S292+MOD(2-WEEKDAY($S292),7))+13),1,IF(N($W292)&gt;0,AVERAGEIFS($Z$5:$Z$1000,$U$5:$U$1000,ROW(),$V$5:$V$1000,"Sub"),$Z292)))</f>
        <v/>
      </c>
      <c r="AE292" s="62">
        <f>IF($V292="","",IF(AND(ISNUMBER($G292),$G292&lt;=IF($S292=MesCiclo,InicioCiclo,$S292+MOD(2-WEEKDAY($S292),7))+20),1,IF(N($W292)&gt;0,AVERAGEIFS($AA$5:$AA$1000,$U$5:$U$1000,ROW(),$V$5:$V$1000,"Sub"),$AA292)))</f>
        <v/>
      </c>
      <c r="AF292" s="62">
        <f>IF($V292="","",IF(AND(ISNUMBER($G292),$G292&lt;=IF($S292=MesCiclo,InicioCiclo,$S292+MOD(2-WEEKDAY($S292),7))+27),1,IF(N($W292)&gt;0,AVERAGEIFS($AB$5:$AB$1000,$U$5:$U$1000,ROW(),$V$5:$V$1000,"Sub"),$AB292)))</f>
        <v/>
      </c>
      <c r="AG292" s="62">
        <f>IF($V292&lt;&gt;"Macro","",IF(COUNTIFS($S$5:$S$1000,$S292,$V$5:$V$1000,"Macro",$H$5:$H$1000,"&gt;0")=0,1/COUNTIFS($S$5:$S$1000,$S292,$V$5:$V$1000,"Macro"),IF(AND(ISNUMBER($H292),N($H292)&gt;0),$H292,SUMIFS($H$5:$H$1000,$S$5:$S$1000,$S292,$V$5:$V$1000,"Macro")/COUNTIFS($S$5:$S$1000,$S292,$V$5:$V$1000,"Macro",$H$5:$H$1000,"&gt;0"))/(COUNTIFS($S$5:$S$1000,$S292,$V$5:$V$1000,"Macro")*SUMIFS($H$5:$H$1000,$S$5:$S$1000,$S292,$V$5:$V$1000,"Macro")/COUNTIFS($S$5:$S$1000,$S292,$V$5:$V$1000,"Macro",$H$5:$H$1000,"&gt;0"))))</f>
        <v/>
      </c>
      <c r="AH292" s="62" t="n"/>
      <c r="AI292" s="62" t="n"/>
      <c r="AJ292" s="62" t="n"/>
      <c r="AK292" s="62" t="n"/>
      <c r="AL292" s="62">
        <f>IF(LEFT($C292,11)="[Jefatura] ",IFERROR(MATCH("Riesgo Normativo|"&amp;MID($C292,12,500),rDname_ADM,0),0),"")</f>
        <v/>
      </c>
      <c r="AM292" s="62">
        <f>IF(N($AL292)&gt;0,INDEX(rIni_ADM,$AL292),IF(ISNUMBER($E292),$E292,""))</f>
        <v/>
      </c>
      <c r="AN292" s="62">
        <f>IF(N($AL292)&gt;0,INDEX(rLim_ADM,$AL292),IF(ISNUMBER($F292),$F292,""))</f>
        <v/>
      </c>
    </row>
    <row r="293">
      <c r="A293" s="56">
        <f>IF(NOT((COUNTA($B293:$D293)+COUNTA($G293:$L293)+COUNTA($Q293))&gt;0),"",IF($V293="Macro",COUNTIFS($V$5:$V293,"Macro",$S$5:$S293,$S293),IF(N($U293)=0,"?",COUNTIFS(INDEX($V$5:$V$1000,1):INDEX($V$5:$V$1000,$U293-4),"Macro",INDEX($S$5:$S$1000,1):INDEX($S$5:$S$1000,$U293-4),INDEX($S$5:$S$1000,$U293-4))&amp;"."&amp;COUNTIFS($U$5:$U293,$U293,$V$5:$V293,"Sub"))))</f>
        <v/>
      </c>
      <c r="B293" s="57" t="n"/>
      <c r="C293" s="58" t="n"/>
      <c r="D293" s="58" t="n"/>
      <c r="E293" s="59">
        <f>IF(N($AL293)&gt;0,INDEX(rIni_ADM,$AL293),"")</f>
        <v/>
      </c>
      <c r="F293" s="59">
        <f>IF(N($AL293)&gt;0,INDEX(rLim_ADM,$AL293),"")</f>
        <v/>
      </c>
      <c r="G293" s="59" t="n"/>
      <c r="H293" s="60" t="n"/>
      <c r="I293" s="60" t="n"/>
      <c r="J293" s="60" t="n"/>
      <c r="K293" s="60" t="n"/>
      <c r="L293" s="60" t="n"/>
      <c r="M293" s="61">
        <f>IF(NOT((COUNTA($B293:$D293)+COUNTA($G293:$L293)+COUNTA($Q293))&gt;0),"",IF($V293="Sub",IFERROR($X293/INDEX($W$5:$W$1000,$U293-4),""),IF(ISNUMBER($G293),1,IF(N($W293)&gt;0,AVERAGEIFS($X$5:$X$1000,$U$5:$U$1000,ROW(),$V$5:$V$1000,"Sub"),$X293))))</f>
        <v/>
      </c>
      <c r="N293" s="56">
        <f>IF(OR($M293="",$V293="Sub"),"",IF($M293&gt;=1,"Completado",IF($M293&gt;0,"En curso","Pendiente")))</f>
        <v/>
      </c>
      <c r="O293" s="56">
        <f>IF(OR(NOT((COUNTA($B293:$D293)+COUNTA($G293:$L293)+COUNTA($Q293))&gt;0),$V293="Sub"),"",IF(ISNUMBER($G293),IF(AND(ISNUMBER($AN293),$G293&gt;$AN293),"Cumplida con "&amp;($G293-$AN293)&amp;IF($G293-$AN293=1," día"," días")&amp;" de retraso","Cumplida"),IF(N($M293)&gt;=1,"Cumplida",IF(NOT(ISNUMBER($AN293)),"Sin fecha límite",IF($AN293&lt;FechaRef,"Vencida hace "&amp;(FechaRef-$AN293)&amp;IF(FechaRef-$AN293=1," día"," días"),IF($AN293=FechaRef,"Vence hoy",IF($AN293-FechaRef&lt;=DiasAlerta,"Vence en "&amp;($AN293-FechaRef)&amp;IF($AN293-FechaRef=1," día"," días"),"En plazo")))))))</f>
        <v/>
      </c>
      <c r="P293" s="62" t="n"/>
      <c r="Q293" s="58" t="n"/>
      <c r="R293" s="63">
        <f>IF(NOT((COUNTA($B293:$D293)+COUNTA($G293:$L293)+COUNTA($Q293))&gt;0),"",IF((IF($C293="","Falta el nombre de la actividad"&amp;" · ","")&amp;IF(AND($V293="Sub",N($U293)=0),"Subactividad sin macroactividad arriba"&amp;" · ","")&amp;IF($AM293="","Sin fecha de inicio"&amp;" · ","")&amp;IF($AN293="","Sin fecha límite"&amp;" · ","")&amp;IF(AND(LEFT($C293,11)="[Jefatura] ",N($AL293)=0),"No se encuentra en la hoja de la jefatura (elíjala de nuevo en la lista)"&amp;" · ","")&amp;IF(OR(AND($E293&lt;&gt;"",NOT(ISNUMBER($E293))),AND($F293&lt;&gt;"",NOT(ISNUMBER($F293))),AND($G293&lt;&gt;"",NOT(ISNUMBER($G293)))),"Fecha no válida"&amp;" · ","")&amp;IF(AND(ISNUMBER($AM293),ISNUMBER($AN293),$AM293&gt;$AN293),"Inicio posterior a fecha límite"&amp;" · ","")&amp;IF(AND($V293="Macro",$H293&lt;&gt;"",OR(NOT(ISNUMBER($H293)),$H293&lt;0,$H293&gt;1)),"Peso fuera de rango"&amp;" · ","")&amp;IF(AND($V293="Sub",$H293&lt;&gt;""),"Las subactividades no llevan peso (valen igual dentro de su macroactividad)"&amp;" · ","")&amp;IF(AND(N($W293)&gt;0,COUNT($I293:$L293)&gt;0),"Con subactividades: deje vacías las semanas (se calculan solas)"&amp;" · ","")&amp;IF((COUNTIF($I293:$L293,"&gt;1")+COUNTIF($I293:$L293,"&lt;0")+COUNTA($I293:$L293)-COUNT($I293:$L293))&gt;0,"Avance fuera de rango 0-100%"&amp;" · ","")&amp;IF(OR(AND($J293&lt;&gt;"",$J293&lt;$I293),AND($K293&lt;&gt;"",$K293&lt;MAX($I293:$J293)),AND($L293&lt;&gt;"",$L293&lt;MAX($I293:$K293))),"Avance semanal decreciente"&amp;" · ","")&amp;IF(AND(ISNUMBER($AN293),$AN293&lt;FechaRef,IF($V293="Sub",N($X293),N($M293))&lt;1),"Vencida"&amp;" · ","")&amp;IF(AND(ObsObligatoria="Sí",ISNUMBER($AN293),$AN293&lt;FechaRef,IF($V293="Sub",N($X293),N($M293))&lt;1,$Q293=""),"Vencida sin observación"&amp;" · ",""))="","✔ OK","⚠ "&amp;LEFT(IF($C293="","Falta el nombre de la actividad"&amp;" · ","")&amp;IF(AND($V293="Sub",N($U293)=0),"Subactividad sin macroactividad arriba"&amp;" · ","")&amp;IF($AM293="","Sin fecha de inicio"&amp;" · ","")&amp;IF($AN293="","Sin fecha límite"&amp;" · ","")&amp;IF(AND(LEFT($C293,11)="[Jefatura] ",N($AL293)=0),"No se encuentra en la hoja de la jefatura (elíjala de nuevo en la lista)"&amp;" · ","")&amp;IF(OR(AND($E293&lt;&gt;"",NOT(ISNUMBER($E293))),AND($F293&lt;&gt;"",NOT(ISNUMBER($F293))),AND($G293&lt;&gt;"",NOT(ISNUMBER($G293)))),"Fecha no válida"&amp;" · ","")&amp;IF(AND(ISNUMBER($AM293),ISNUMBER($AN293),$AM293&gt;$AN293),"Inicio posterior a fecha límite"&amp;" · ","")&amp;IF(AND($V293="Macro",$H293&lt;&gt;"",OR(NOT(ISNUMBER($H293)),$H293&lt;0,$H293&gt;1)),"Peso fuera de rango"&amp;" · ","")&amp;IF(AND($V293="Sub",$H293&lt;&gt;""),"Las subactividades no llevan peso (valen igual dentro de su macroactividad)"&amp;" · ","")&amp;IF(AND(N($W293)&gt;0,COUNT($I293:$L293)&gt;0),"Con subactividades: deje vacías las semanas (se calculan solas)"&amp;" · ","")&amp;IF((COUNTIF($I293:$L293,"&gt;1")+COUNTIF($I293:$L293,"&lt;0")+COUNTA($I293:$L293)-COUNT($I293:$L293))&gt;0,"Avance fuera de rango 0-100%"&amp;" · ","")&amp;IF(OR(AND($J293&lt;&gt;"",$J293&lt;$I293),AND($K293&lt;&gt;"",$K293&lt;MAX($I293:$J293)),AND($L293&lt;&gt;"",$L293&lt;MAX($I293:$K293))),"Avance semanal decreciente"&amp;" · ","")&amp;IF(AND(ISNUMBER($AN293),$AN293&lt;FechaRef,IF($V293="Sub",N($X293),N($M293))&lt;1),"Vencida"&amp;" · ","")&amp;IF(AND(ObsObligatoria="Sí",ISNUMBER($AN293),$AN293&lt;FechaRef,IF($V293="Sub",N($X293),N($M293))&lt;1,$Q293=""),"Vencida sin observación"&amp;" · ",""),LEN(IF($C293="","Falta el nombre de la actividad"&amp;" · ","")&amp;IF(AND($V293="Sub",N($U293)=0),"Subactividad sin macroactividad arriba"&amp;" · ","")&amp;IF($AM293="","Sin fecha de inicio"&amp;" · ","")&amp;IF($AN293="","Sin fecha límite"&amp;" · ","")&amp;IF(AND(LEFT($C293,11)="[Jefatura] ",N($AL293)=0),"No se encuentra en la hoja de la jefatura (elíjala de nuevo en la lista)"&amp;" · ","")&amp;IF(OR(AND($E293&lt;&gt;"",NOT(ISNUMBER($E293))),AND($F293&lt;&gt;"",NOT(ISNUMBER($F293))),AND($G293&lt;&gt;"",NOT(ISNUMBER($G293)))),"Fecha no válida"&amp;" · ","")&amp;IF(AND(ISNUMBER($AM293),ISNUMBER($AN293),$AM293&gt;$AN293),"Inicio posterior a fecha límite"&amp;" · ","")&amp;IF(AND($V293="Macro",$H293&lt;&gt;"",OR(NOT(ISNUMBER($H293)),$H293&lt;0,$H293&gt;1)),"Peso fuera de rango"&amp;" · ","")&amp;IF(AND($V293="Sub",$H293&lt;&gt;""),"Las subactividades no llevan peso (valen igual dentro de su macroactividad)"&amp;" · ","")&amp;IF(AND(N($W293)&gt;0,COUNT($I293:$L293)&gt;0),"Con subactividades: deje vacías las semanas (se calculan solas)"&amp;" · ","")&amp;IF((COUNTIF($I293:$L293,"&gt;1")+COUNTIF($I293:$L293,"&lt;0")+COUNTA($I293:$L293)-COUNT($I293:$L293))&gt;0,"Avance fuera de rango 0-100%"&amp;" · ","")&amp;IF(OR(AND($J293&lt;&gt;"",$J293&lt;$I293),AND($K293&lt;&gt;"",$K293&lt;MAX($I293:$J293)),AND($L293&lt;&gt;"",$L293&lt;MAX($I293:$K293))),"Avance semanal decreciente"&amp;" · ","")&amp;IF(AND(ISNUMBER($AN293),$AN293&lt;FechaRef,IF($V293="Sub",N($X293),N($M293))&lt;1),"Vencida"&amp;" · ","")&amp;IF(AND(ObsObligatoria="Sí",ISNUMBER($AN293),$AN293&lt;FechaRef,IF($V293="Sub",N($X293),N($M293))&lt;1,$Q293=""),"Vencida sin observación"&amp;" · ",""))-3)))</f>
        <v/>
      </c>
      <c r="S293" s="64">
        <f>IF(NOT((COUNTA($B293:$D293)+COUNTA($G293:$L293)+COUNTA($Q293))&gt;0),"",IF(AND($V293="Sub",N($U293)&gt;0),IF(ISNUMBER(INDEX($AM$5:$AM$1000,$U293-4)),DATE(YEAR(INDEX($AM$5:$AM$1000,$U293-4)),MONTH(INDEX($AM$5:$AM$1000,$U293-4)),1),IF(ISNUMBER(INDEX($AN$5:$AN$1000,$U293-4)),DATE(YEAR(INDEX($AN$5:$AN$1000,$U293-4)),MONTH(INDEX($AN$5:$AN$1000,$U293-4)),1),MesCiclo)),IF(ISNUMBER($AM293),DATE(YEAR($AM293),MONTH($AM293),1),IF(ISNUMBER($AN293),DATE(YEAR($AN293),MONTH($AN293),1),MesCiclo))))</f>
        <v/>
      </c>
      <c r="T293" s="62">
        <f>IF(OR($S293="",$S293&lt;&gt;MesCiclo,$V293&lt;&gt;"Macro"),"",COUNTIFS($S$5:$S293,MesCiclo,$V$5:$V293,"Macro"))</f>
        <v/>
      </c>
      <c r="U293" s="62">
        <f>IF($V293="","",IF($V293="Macro",ROW(),IFERROR(LOOKUP(2,1/($V$5:$V293="Macro"),ROW($V$5:$V293)),0)))</f>
        <v/>
      </c>
      <c r="V293" s="62">
        <f>IF(NOT((COUNTA($B293:$D293)+COUNTA($G293:$L293)+COUNTA($Q293))&gt;0),"",IF($B293="Subactividad","Sub","Macro"))</f>
        <v/>
      </c>
      <c r="W293" s="62">
        <f>IF($V293="Macro",COUNTIFS($U$5:$U$1000,ROW(),$V$5:$V$1000,"Sub"),"")</f>
        <v/>
      </c>
      <c r="X293" s="62">
        <f>IF($V293="","",IF(ISNUMBER($G293),1,IFERROR(LOOKUP(2,1/($I293:$L293&lt;&gt;""),$I293:$L293),0)))</f>
        <v/>
      </c>
      <c r="Y293" s="62">
        <f>IF($V293="","",IF(AND(ISNUMBER($G293),$G293&lt;=IF($S293=MesCiclo,InicioCiclo,$S293+MOD(2-WEEKDAY($S293),7))+6),1,IF(ISNUMBER($I293),$I293,0)))</f>
        <v/>
      </c>
      <c r="Z293" s="62">
        <f>IF($V293="","",IF(AND(ISNUMBER($G293),$G293&lt;=IF($S293=MesCiclo,InicioCiclo,$S293+MOD(2-WEEKDAY($S293),7))+13),1,IF(ISNUMBER($J293),$J293,$Y293)))</f>
        <v/>
      </c>
      <c r="AA293" s="62">
        <f>IF($V293="","",IF(AND(ISNUMBER($G293),$G293&lt;=IF($S293=MesCiclo,InicioCiclo,$S293+MOD(2-WEEKDAY($S293),7))+20),1,IF(ISNUMBER($K293),$K293,$Z293)))</f>
        <v/>
      </c>
      <c r="AB293" s="62">
        <f>IF($V293="","",IF(AND(ISNUMBER($G293),$G293&lt;=IF($S293=MesCiclo,InicioCiclo,$S293+MOD(2-WEEKDAY($S293),7))+27),1,IF(ISNUMBER($L293),$L293,$AA293)))</f>
        <v/>
      </c>
      <c r="AC293" s="62">
        <f>IF($V293="","",IF(AND(ISNUMBER($G293),$G293&lt;=IF($S293=MesCiclo,InicioCiclo,$S293+MOD(2-WEEKDAY($S293),7))+6),1,IF(N($W293)&gt;0,AVERAGEIFS($Y$5:$Y$1000,$U$5:$U$1000,ROW(),$V$5:$V$1000,"Sub"),$Y293)))</f>
        <v/>
      </c>
      <c r="AD293" s="62">
        <f>IF($V293="","",IF(AND(ISNUMBER($G293),$G293&lt;=IF($S293=MesCiclo,InicioCiclo,$S293+MOD(2-WEEKDAY($S293),7))+13),1,IF(N($W293)&gt;0,AVERAGEIFS($Z$5:$Z$1000,$U$5:$U$1000,ROW(),$V$5:$V$1000,"Sub"),$Z293)))</f>
        <v/>
      </c>
      <c r="AE293" s="62">
        <f>IF($V293="","",IF(AND(ISNUMBER($G293),$G293&lt;=IF($S293=MesCiclo,InicioCiclo,$S293+MOD(2-WEEKDAY($S293),7))+20),1,IF(N($W293)&gt;0,AVERAGEIFS($AA$5:$AA$1000,$U$5:$U$1000,ROW(),$V$5:$V$1000,"Sub"),$AA293)))</f>
        <v/>
      </c>
      <c r="AF293" s="62">
        <f>IF($V293="","",IF(AND(ISNUMBER($G293),$G293&lt;=IF($S293=MesCiclo,InicioCiclo,$S293+MOD(2-WEEKDAY($S293),7))+27),1,IF(N($W293)&gt;0,AVERAGEIFS($AB$5:$AB$1000,$U$5:$U$1000,ROW(),$V$5:$V$1000,"Sub"),$AB293)))</f>
        <v/>
      </c>
      <c r="AG293" s="62">
        <f>IF($V293&lt;&gt;"Macro","",IF(COUNTIFS($S$5:$S$1000,$S293,$V$5:$V$1000,"Macro",$H$5:$H$1000,"&gt;0")=0,1/COUNTIFS($S$5:$S$1000,$S293,$V$5:$V$1000,"Macro"),IF(AND(ISNUMBER($H293),N($H293)&gt;0),$H293,SUMIFS($H$5:$H$1000,$S$5:$S$1000,$S293,$V$5:$V$1000,"Macro")/COUNTIFS($S$5:$S$1000,$S293,$V$5:$V$1000,"Macro",$H$5:$H$1000,"&gt;0"))/(COUNTIFS($S$5:$S$1000,$S293,$V$5:$V$1000,"Macro")*SUMIFS($H$5:$H$1000,$S$5:$S$1000,$S293,$V$5:$V$1000,"Macro")/COUNTIFS($S$5:$S$1000,$S293,$V$5:$V$1000,"Macro",$H$5:$H$1000,"&gt;0"))))</f>
        <v/>
      </c>
      <c r="AH293" s="62" t="n"/>
      <c r="AI293" s="62" t="n"/>
      <c r="AJ293" s="62" t="n"/>
      <c r="AK293" s="62" t="n"/>
      <c r="AL293" s="62">
        <f>IF(LEFT($C293,11)="[Jefatura] ",IFERROR(MATCH("Riesgo Normativo|"&amp;MID($C293,12,500),rDname_ADM,0),0),"")</f>
        <v/>
      </c>
      <c r="AM293" s="62">
        <f>IF(N($AL293)&gt;0,INDEX(rIni_ADM,$AL293),IF(ISNUMBER($E293),$E293,""))</f>
        <v/>
      </c>
      <c r="AN293" s="62">
        <f>IF(N($AL293)&gt;0,INDEX(rLim_ADM,$AL293),IF(ISNUMBER($F293),$F293,""))</f>
        <v/>
      </c>
    </row>
    <row r="294">
      <c r="A294" s="56">
        <f>IF(NOT((COUNTA($B294:$D294)+COUNTA($G294:$L294)+COUNTA($Q294))&gt;0),"",IF($V294="Macro",COUNTIFS($V$5:$V294,"Macro",$S$5:$S294,$S294),IF(N($U294)=0,"?",COUNTIFS(INDEX($V$5:$V$1000,1):INDEX($V$5:$V$1000,$U294-4),"Macro",INDEX($S$5:$S$1000,1):INDEX($S$5:$S$1000,$U294-4),INDEX($S$5:$S$1000,$U294-4))&amp;"."&amp;COUNTIFS($U$5:$U294,$U294,$V$5:$V294,"Sub"))))</f>
        <v/>
      </c>
      <c r="B294" s="57" t="n"/>
      <c r="C294" s="58" t="n"/>
      <c r="D294" s="58" t="n"/>
      <c r="E294" s="59">
        <f>IF(N($AL294)&gt;0,INDEX(rIni_ADM,$AL294),"")</f>
        <v/>
      </c>
      <c r="F294" s="59">
        <f>IF(N($AL294)&gt;0,INDEX(rLim_ADM,$AL294),"")</f>
        <v/>
      </c>
      <c r="G294" s="59" t="n"/>
      <c r="H294" s="60" t="n"/>
      <c r="I294" s="60" t="n"/>
      <c r="J294" s="60" t="n"/>
      <c r="K294" s="60" t="n"/>
      <c r="L294" s="60" t="n"/>
      <c r="M294" s="61">
        <f>IF(NOT((COUNTA($B294:$D294)+COUNTA($G294:$L294)+COUNTA($Q294))&gt;0),"",IF($V294="Sub",IFERROR($X294/INDEX($W$5:$W$1000,$U294-4),""),IF(ISNUMBER($G294),1,IF(N($W294)&gt;0,AVERAGEIFS($X$5:$X$1000,$U$5:$U$1000,ROW(),$V$5:$V$1000,"Sub"),$X294))))</f>
        <v/>
      </c>
      <c r="N294" s="56">
        <f>IF(OR($M294="",$V294="Sub"),"",IF($M294&gt;=1,"Completado",IF($M294&gt;0,"En curso","Pendiente")))</f>
        <v/>
      </c>
      <c r="O294" s="56">
        <f>IF(OR(NOT((COUNTA($B294:$D294)+COUNTA($G294:$L294)+COUNTA($Q294))&gt;0),$V294="Sub"),"",IF(ISNUMBER($G294),IF(AND(ISNUMBER($AN294),$G294&gt;$AN294),"Cumplida con "&amp;($G294-$AN294)&amp;IF($G294-$AN294=1," día"," días")&amp;" de retraso","Cumplida"),IF(N($M294)&gt;=1,"Cumplida",IF(NOT(ISNUMBER($AN294)),"Sin fecha límite",IF($AN294&lt;FechaRef,"Vencida hace "&amp;(FechaRef-$AN294)&amp;IF(FechaRef-$AN294=1," día"," días"),IF($AN294=FechaRef,"Vence hoy",IF($AN294-FechaRef&lt;=DiasAlerta,"Vence en "&amp;($AN294-FechaRef)&amp;IF($AN294-FechaRef=1," día"," días"),"En plazo")))))))</f>
        <v/>
      </c>
      <c r="P294" s="62" t="n"/>
      <c r="Q294" s="58" t="n"/>
      <c r="R294" s="63">
        <f>IF(NOT((COUNTA($B294:$D294)+COUNTA($G294:$L294)+COUNTA($Q294))&gt;0),"",IF((IF($C294="","Falta el nombre de la actividad"&amp;" · ","")&amp;IF(AND($V294="Sub",N($U294)=0),"Subactividad sin macroactividad arriba"&amp;" · ","")&amp;IF($AM294="","Sin fecha de inicio"&amp;" · ","")&amp;IF($AN294="","Sin fecha límite"&amp;" · ","")&amp;IF(AND(LEFT($C294,11)="[Jefatura] ",N($AL294)=0),"No se encuentra en la hoja de la jefatura (elíjala de nuevo en la lista)"&amp;" · ","")&amp;IF(OR(AND($E294&lt;&gt;"",NOT(ISNUMBER($E294))),AND($F294&lt;&gt;"",NOT(ISNUMBER($F294))),AND($G294&lt;&gt;"",NOT(ISNUMBER($G294)))),"Fecha no válida"&amp;" · ","")&amp;IF(AND(ISNUMBER($AM294),ISNUMBER($AN294),$AM294&gt;$AN294),"Inicio posterior a fecha límite"&amp;" · ","")&amp;IF(AND($V294="Macro",$H294&lt;&gt;"",OR(NOT(ISNUMBER($H294)),$H294&lt;0,$H294&gt;1)),"Peso fuera de rango"&amp;" · ","")&amp;IF(AND($V294="Sub",$H294&lt;&gt;""),"Las subactividades no llevan peso (valen igual dentro de su macroactividad)"&amp;" · ","")&amp;IF(AND(N($W294)&gt;0,COUNT($I294:$L294)&gt;0),"Con subactividades: deje vacías las semanas (se calculan solas)"&amp;" · ","")&amp;IF((COUNTIF($I294:$L294,"&gt;1")+COUNTIF($I294:$L294,"&lt;0")+COUNTA($I294:$L294)-COUNT($I294:$L294))&gt;0,"Avance fuera de rango 0-100%"&amp;" · ","")&amp;IF(OR(AND($J294&lt;&gt;"",$J294&lt;$I294),AND($K294&lt;&gt;"",$K294&lt;MAX($I294:$J294)),AND($L294&lt;&gt;"",$L294&lt;MAX($I294:$K294))),"Avance semanal decreciente"&amp;" · ","")&amp;IF(AND(ISNUMBER($AN294),$AN294&lt;FechaRef,IF($V294="Sub",N($X294),N($M294))&lt;1),"Vencida"&amp;" · ","")&amp;IF(AND(ObsObligatoria="Sí",ISNUMBER($AN294),$AN294&lt;FechaRef,IF($V294="Sub",N($X294),N($M294))&lt;1,$Q294=""),"Vencida sin observación"&amp;" · ",""))="","✔ OK","⚠ "&amp;LEFT(IF($C294="","Falta el nombre de la actividad"&amp;" · ","")&amp;IF(AND($V294="Sub",N($U294)=0),"Subactividad sin macroactividad arriba"&amp;" · ","")&amp;IF($AM294="","Sin fecha de inicio"&amp;" · ","")&amp;IF($AN294="","Sin fecha límite"&amp;" · ","")&amp;IF(AND(LEFT($C294,11)="[Jefatura] ",N($AL294)=0),"No se encuentra en la hoja de la jefatura (elíjala de nuevo en la lista)"&amp;" · ","")&amp;IF(OR(AND($E294&lt;&gt;"",NOT(ISNUMBER($E294))),AND($F294&lt;&gt;"",NOT(ISNUMBER($F294))),AND($G294&lt;&gt;"",NOT(ISNUMBER($G294)))),"Fecha no válida"&amp;" · ","")&amp;IF(AND(ISNUMBER($AM294),ISNUMBER($AN294),$AM294&gt;$AN294),"Inicio posterior a fecha límite"&amp;" · ","")&amp;IF(AND($V294="Macro",$H294&lt;&gt;"",OR(NOT(ISNUMBER($H294)),$H294&lt;0,$H294&gt;1)),"Peso fuera de rango"&amp;" · ","")&amp;IF(AND($V294="Sub",$H294&lt;&gt;""),"Las subactividades no llevan peso (valen igual dentro de su macroactividad)"&amp;" · ","")&amp;IF(AND(N($W294)&gt;0,COUNT($I294:$L294)&gt;0),"Con subactividades: deje vacías las semanas (se calculan solas)"&amp;" · ","")&amp;IF((COUNTIF($I294:$L294,"&gt;1")+COUNTIF($I294:$L294,"&lt;0")+COUNTA($I294:$L294)-COUNT($I294:$L294))&gt;0,"Avance fuera de rango 0-100%"&amp;" · ","")&amp;IF(OR(AND($J294&lt;&gt;"",$J294&lt;$I294),AND($K294&lt;&gt;"",$K294&lt;MAX($I294:$J294)),AND($L294&lt;&gt;"",$L294&lt;MAX($I294:$K294))),"Avance semanal decreciente"&amp;" · ","")&amp;IF(AND(ISNUMBER($AN294),$AN294&lt;FechaRef,IF($V294="Sub",N($X294),N($M294))&lt;1),"Vencida"&amp;" · ","")&amp;IF(AND(ObsObligatoria="Sí",ISNUMBER($AN294),$AN294&lt;FechaRef,IF($V294="Sub",N($X294),N($M294))&lt;1,$Q294=""),"Vencida sin observación"&amp;" · ",""),LEN(IF($C294="","Falta el nombre de la actividad"&amp;" · ","")&amp;IF(AND($V294="Sub",N($U294)=0),"Subactividad sin macroactividad arriba"&amp;" · ","")&amp;IF($AM294="","Sin fecha de inicio"&amp;" · ","")&amp;IF($AN294="","Sin fecha límite"&amp;" · ","")&amp;IF(AND(LEFT($C294,11)="[Jefatura] ",N($AL294)=0),"No se encuentra en la hoja de la jefatura (elíjala de nuevo en la lista)"&amp;" · ","")&amp;IF(OR(AND($E294&lt;&gt;"",NOT(ISNUMBER($E294))),AND($F294&lt;&gt;"",NOT(ISNUMBER($F294))),AND($G294&lt;&gt;"",NOT(ISNUMBER($G294)))),"Fecha no válida"&amp;" · ","")&amp;IF(AND(ISNUMBER($AM294),ISNUMBER($AN294),$AM294&gt;$AN294),"Inicio posterior a fecha límite"&amp;" · ","")&amp;IF(AND($V294="Macro",$H294&lt;&gt;"",OR(NOT(ISNUMBER($H294)),$H294&lt;0,$H294&gt;1)),"Peso fuera de rango"&amp;" · ","")&amp;IF(AND($V294="Sub",$H294&lt;&gt;""),"Las subactividades no llevan peso (valen igual dentro de su macroactividad)"&amp;" · ","")&amp;IF(AND(N($W294)&gt;0,COUNT($I294:$L294)&gt;0),"Con subactividades: deje vacías las semanas (se calculan solas)"&amp;" · ","")&amp;IF((COUNTIF($I294:$L294,"&gt;1")+COUNTIF($I294:$L294,"&lt;0")+COUNTA($I294:$L294)-COUNT($I294:$L294))&gt;0,"Avance fuera de rango 0-100%"&amp;" · ","")&amp;IF(OR(AND($J294&lt;&gt;"",$J294&lt;$I294),AND($K294&lt;&gt;"",$K294&lt;MAX($I294:$J294)),AND($L294&lt;&gt;"",$L294&lt;MAX($I294:$K294))),"Avance semanal decreciente"&amp;" · ","")&amp;IF(AND(ISNUMBER($AN294),$AN294&lt;FechaRef,IF($V294="Sub",N($X294),N($M294))&lt;1),"Vencida"&amp;" · ","")&amp;IF(AND(ObsObligatoria="Sí",ISNUMBER($AN294),$AN294&lt;FechaRef,IF($V294="Sub",N($X294),N($M294))&lt;1,$Q294=""),"Vencida sin observación"&amp;" · ",""))-3)))</f>
        <v/>
      </c>
      <c r="S294" s="64">
        <f>IF(NOT((COUNTA($B294:$D294)+COUNTA($G294:$L294)+COUNTA($Q294))&gt;0),"",IF(AND($V294="Sub",N($U294)&gt;0),IF(ISNUMBER(INDEX($AM$5:$AM$1000,$U294-4)),DATE(YEAR(INDEX($AM$5:$AM$1000,$U294-4)),MONTH(INDEX($AM$5:$AM$1000,$U294-4)),1),IF(ISNUMBER(INDEX($AN$5:$AN$1000,$U294-4)),DATE(YEAR(INDEX($AN$5:$AN$1000,$U294-4)),MONTH(INDEX($AN$5:$AN$1000,$U294-4)),1),MesCiclo)),IF(ISNUMBER($AM294),DATE(YEAR($AM294),MONTH($AM294),1),IF(ISNUMBER($AN294),DATE(YEAR($AN294),MONTH($AN294),1),MesCiclo))))</f>
        <v/>
      </c>
      <c r="T294" s="62">
        <f>IF(OR($S294="",$S294&lt;&gt;MesCiclo,$V294&lt;&gt;"Macro"),"",COUNTIFS($S$5:$S294,MesCiclo,$V$5:$V294,"Macro"))</f>
        <v/>
      </c>
      <c r="U294" s="62">
        <f>IF($V294="","",IF($V294="Macro",ROW(),IFERROR(LOOKUP(2,1/($V$5:$V294="Macro"),ROW($V$5:$V294)),0)))</f>
        <v/>
      </c>
      <c r="V294" s="62">
        <f>IF(NOT((COUNTA($B294:$D294)+COUNTA($G294:$L294)+COUNTA($Q294))&gt;0),"",IF($B294="Subactividad","Sub","Macro"))</f>
        <v/>
      </c>
      <c r="W294" s="62">
        <f>IF($V294="Macro",COUNTIFS($U$5:$U$1000,ROW(),$V$5:$V$1000,"Sub"),"")</f>
        <v/>
      </c>
      <c r="X294" s="62">
        <f>IF($V294="","",IF(ISNUMBER($G294),1,IFERROR(LOOKUP(2,1/($I294:$L294&lt;&gt;""),$I294:$L294),0)))</f>
        <v/>
      </c>
      <c r="Y294" s="62">
        <f>IF($V294="","",IF(AND(ISNUMBER($G294),$G294&lt;=IF($S294=MesCiclo,InicioCiclo,$S294+MOD(2-WEEKDAY($S294),7))+6),1,IF(ISNUMBER($I294),$I294,0)))</f>
        <v/>
      </c>
      <c r="Z294" s="62">
        <f>IF($V294="","",IF(AND(ISNUMBER($G294),$G294&lt;=IF($S294=MesCiclo,InicioCiclo,$S294+MOD(2-WEEKDAY($S294),7))+13),1,IF(ISNUMBER($J294),$J294,$Y294)))</f>
        <v/>
      </c>
      <c r="AA294" s="62">
        <f>IF($V294="","",IF(AND(ISNUMBER($G294),$G294&lt;=IF($S294=MesCiclo,InicioCiclo,$S294+MOD(2-WEEKDAY($S294),7))+20),1,IF(ISNUMBER($K294),$K294,$Z294)))</f>
        <v/>
      </c>
      <c r="AB294" s="62">
        <f>IF($V294="","",IF(AND(ISNUMBER($G294),$G294&lt;=IF($S294=MesCiclo,InicioCiclo,$S294+MOD(2-WEEKDAY($S294),7))+27),1,IF(ISNUMBER($L294),$L294,$AA294)))</f>
        <v/>
      </c>
      <c r="AC294" s="62">
        <f>IF($V294="","",IF(AND(ISNUMBER($G294),$G294&lt;=IF($S294=MesCiclo,InicioCiclo,$S294+MOD(2-WEEKDAY($S294),7))+6),1,IF(N($W294)&gt;0,AVERAGEIFS($Y$5:$Y$1000,$U$5:$U$1000,ROW(),$V$5:$V$1000,"Sub"),$Y294)))</f>
        <v/>
      </c>
      <c r="AD294" s="62">
        <f>IF($V294="","",IF(AND(ISNUMBER($G294),$G294&lt;=IF($S294=MesCiclo,InicioCiclo,$S294+MOD(2-WEEKDAY($S294),7))+13),1,IF(N($W294)&gt;0,AVERAGEIFS($Z$5:$Z$1000,$U$5:$U$1000,ROW(),$V$5:$V$1000,"Sub"),$Z294)))</f>
        <v/>
      </c>
      <c r="AE294" s="62">
        <f>IF($V294="","",IF(AND(ISNUMBER($G294),$G294&lt;=IF($S294=MesCiclo,InicioCiclo,$S294+MOD(2-WEEKDAY($S294),7))+20),1,IF(N($W294)&gt;0,AVERAGEIFS($AA$5:$AA$1000,$U$5:$U$1000,ROW(),$V$5:$V$1000,"Sub"),$AA294)))</f>
        <v/>
      </c>
      <c r="AF294" s="62">
        <f>IF($V294="","",IF(AND(ISNUMBER($G294),$G294&lt;=IF($S294=MesCiclo,InicioCiclo,$S294+MOD(2-WEEKDAY($S294),7))+27),1,IF(N($W294)&gt;0,AVERAGEIFS($AB$5:$AB$1000,$U$5:$U$1000,ROW(),$V$5:$V$1000,"Sub"),$AB294)))</f>
        <v/>
      </c>
      <c r="AG294" s="62">
        <f>IF($V294&lt;&gt;"Macro","",IF(COUNTIFS($S$5:$S$1000,$S294,$V$5:$V$1000,"Macro",$H$5:$H$1000,"&gt;0")=0,1/COUNTIFS($S$5:$S$1000,$S294,$V$5:$V$1000,"Macro"),IF(AND(ISNUMBER($H294),N($H294)&gt;0),$H294,SUMIFS($H$5:$H$1000,$S$5:$S$1000,$S294,$V$5:$V$1000,"Macro")/COUNTIFS($S$5:$S$1000,$S294,$V$5:$V$1000,"Macro",$H$5:$H$1000,"&gt;0"))/(COUNTIFS($S$5:$S$1000,$S294,$V$5:$V$1000,"Macro")*SUMIFS($H$5:$H$1000,$S$5:$S$1000,$S294,$V$5:$V$1000,"Macro")/COUNTIFS($S$5:$S$1000,$S294,$V$5:$V$1000,"Macro",$H$5:$H$1000,"&gt;0"))))</f>
        <v/>
      </c>
      <c r="AH294" s="62" t="n"/>
      <c r="AI294" s="62" t="n"/>
      <c r="AJ294" s="62" t="n"/>
      <c r="AK294" s="62" t="n"/>
      <c r="AL294" s="62">
        <f>IF(LEFT($C294,11)="[Jefatura] ",IFERROR(MATCH("Riesgo Normativo|"&amp;MID($C294,12,500),rDname_ADM,0),0),"")</f>
        <v/>
      </c>
      <c r="AM294" s="62">
        <f>IF(N($AL294)&gt;0,INDEX(rIni_ADM,$AL294),IF(ISNUMBER($E294),$E294,""))</f>
        <v/>
      </c>
      <c r="AN294" s="62">
        <f>IF(N($AL294)&gt;0,INDEX(rLim_ADM,$AL294),IF(ISNUMBER($F294),$F294,""))</f>
        <v/>
      </c>
    </row>
    <row r="295">
      <c r="A295" s="56">
        <f>IF(NOT((COUNTA($B295:$D295)+COUNTA($G295:$L295)+COUNTA($Q295))&gt;0),"",IF($V295="Macro",COUNTIFS($V$5:$V295,"Macro",$S$5:$S295,$S295),IF(N($U295)=0,"?",COUNTIFS(INDEX($V$5:$V$1000,1):INDEX($V$5:$V$1000,$U295-4),"Macro",INDEX($S$5:$S$1000,1):INDEX($S$5:$S$1000,$U295-4),INDEX($S$5:$S$1000,$U295-4))&amp;"."&amp;COUNTIFS($U$5:$U295,$U295,$V$5:$V295,"Sub"))))</f>
        <v/>
      </c>
      <c r="B295" s="57" t="n"/>
      <c r="C295" s="58" t="n"/>
      <c r="D295" s="58" t="n"/>
      <c r="E295" s="59">
        <f>IF(N($AL295)&gt;0,INDEX(rIni_ADM,$AL295),"")</f>
        <v/>
      </c>
      <c r="F295" s="59">
        <f>IF(N($AL295)&gt;0,INDEX(rLim_ADM,$AL295),"")</f>
        <v/>
      </c>
      <c r="G295" s="59" t="n"/>
      <c r="H295" s="60" t="n"/>
      <c r="I295" s="60" t="n"/>
      <c r="J295" s="60" t="n"/>
      <c r="K295" s="60" t="n"/>
      <c r="L295" s="60" t="n"/>
      <c r="M295" s="61">
        <f>IF(NOT((COUNTA($B295:$D295)+COUNTA($G295:$L295)+COUNTA($Q295))&gt;0),"",IF($V295="Sub",IFERROR($X295/INDEX($W$5:$W$1000,$U295-4),""),IF(ISNUMBER($G295),1,IF(N($W295)&gt;0,AVERAGEIFS($X$5:$X$1000,$U$5:$U$1000,ROW(),$V$5:$V$1000,"Sub"),$X295))))</f>
        <v/>
      </c>
      <c r="N295" s="56">
        <f>IF(OR($M295="",$V295="Sub"),"",IF($M295&gt;=1,"Completado",IF($M295&gt;0,"En curso","Pendiente")))</f>
        <v/>
      </c>
      <c r="O295" s="56">
        <f>IF(OR(NOT((COUNTA($B295:$D295)+COUNTA($G295:$L295)+COUNTA($Q295))&gt;0),$V295="Sub"),"",IF(ISNUMBER($G295),IF(AND(ISNUMBER($AN295),$G295&gt;$AN295),"Cumplida con "&amp;($G295-$AN295)&amp;IF($G295-$AN295=1," día"," días")&amp;" de retraso","Cumplida"),IF(N($M295)&gt;=1,"Cumplida",IF(NOT(ISNUMBER($AN295)),"Sin fecha límite",IF($AN295&lt;FechaRef,"Vencida hace "&amp;(FechaRef-$AN295)&amp;IF(FechaRef-$AN295=1," día"," días"),IF($AN295=FechaRef,"Vence hoy",IF($AN295-FechaRef&lt;=DiasAlerta,"Vence en "&amp;($AN295-FechaRef)&amp;IF($AN295-FechaRef=1," día"," días"),"En plazo")))))))</f>
        <v/>
      </c>
      <c r="P295" s="62" t="n"/>
      <c r="Q295" s="58" t="n"/>
      <c r="R295" s="63">
        <f>IF(NOT((COUNTA($B295:$D295)+COUNTA($G295:$L295)+COUNTA($Q295))&gt;0),"",IF((IF($C295="","Falta el nombre de la actividad"&amp;" · ","")&amp;IF(AND($V295="Sub",N($U295)=0),"Subactividad sin macroactividad arriba"&amp;" · ","")&amp;IF($AM295="","Sin fecha de inicio"&amp;" · ","")&amp;IF($AN295="","Sin fecha límite"&amp;" · ","")&amp;IF(AND(LEFT($C295,11)="[Jefatura] ",N($AL295)=0),"No se encuentra en la hoja de la jefatura (elíjala de nuevo en la lista)"&amp;" · ","")&amp;IF(OR(AND($E295&lt;&gt;"",NOT(ISNUMBER($E295))),AND($F295&lt;&gt;"",NOT(ISNUMBER($F295))),AND($G295&lt;&gt;"",NOT(ISNUMBER($G295)))),"Fecha no válida"&amp;" · ","")&amp;IF(AND(ISNUMBER($AM295),ISNUMBER($AN295),$AM295&gt;$AN295),"Inicio posterior a fecha límite"&amp;" · ","")&amp;IF(AND($V295="Macro",$H295&lt;&gt;"",OR(NOT(ISNUMBER($H295)),$H295&lt;0,$H295&gt;1)),"Peso fuera de rango"&amp;" · ","")&amp;IF(AND($V295="Sub",$H295&lt;&gt;""),"Las subactividades no llevan peso (valen igual dentro de su macroactividad)"&amp;" · ","")&amp;IF(AND(N($W295)&gt;0,COUNT($I295:$L295)&gt;0),"Con subactividades: deje vacías las semanas (se calculan solas)"&amp;" · ","")&amp;IF((COUNTIF($I295:$L295,"&gt;1")+COUNTIF($I295:$L295,"&lt;0")+COUNTA($I295:$L295)-COUNT($I295:$L295))&gt;0,"Avance fuera de rango 0-100%"&amp;" · ","")&amp;IF(OR(AND($J295&lt;&gt;"",$J295&lt;$I295),AND($K295&lt;&gt;"",$K295&lt;MAX($I295:$J295)),AND($L295&lt;&gt;"",$L295&lt;MAX($I295:$K295))),"Avance semanal decreciente"&amp;" · ","")&amp;IF(AND(ISNUMBER($AN295),$AN295&lt;FechaRef,IF($V295="Sub",N($X295),N($M295))&lt;1),"Vencida"&amp;" · ","")&amp;IF(AND(ObsObligatoria="Sí",ISNUMBER($AN295),$AN295&lt;FechaRef,IF($V295="Sub",N($X295),N($M295))&lt;1,$Q295=""),"Vencida sin observación"&amp;" · ",""))="","✔ OK","⚠ "&amp;LEFT(IF($C295="","Falta el nombre de la actividad"&amp;" · ","")&amp;IF(AND($V295="Sub",N($U295)=0),"Subactividad sin macroactividad arriba"&amp;" · ","")&amp;IF($AM295="","Sin fecha de inicio"&amp;" · ","")&amp;IF($AN295="","Sin fecha límite"&amp;" · ","")&amp;IF(AND(LEFT($C295,11)="[Jefatura] ",N($AL295)=0),"No se encuentra en la hoja de la jefatura (elíjala de nuevo en la lista)"&amp;" · ","")&amp;IF(OR(AND($E295&lt;&gt;"",NOT(ISNUMBER($E295))),AND($F295&lt;&gt;"",NOT(ISNUMBER($F295))),AND($G295&lt;&gt;"",NOT(ISNUMBER($G295)))),"Fecha no válida"&amp;" · ","")&amp;IF(AND(ISNUMBER($AM295),ISNUMBER($AN295),$AM295&gt;$AN295),"Inicio posterior a fecha límite"&amp;" · ","")&amp;IF(AND($V295="Macro",$H295&lt;&gt;"",OR(NOT(ISNUMBER($H295)),$H295&lt;0,$H295&gt;1)),"Peso fuera de rango"&amp;" · ","")&amp;IF(AND($V295="Sub",$H295&lt;&gt;""),"Las subactividades no llevan peso (valen igual dentro de su macroactividad)"&amp;" · ","")&amp;IF(AND(N($W295)&gt;0,COUNT($I295:$L295)&gt;0),"Con subactividades: deje vacías las semanas (se calculan solas)"&amp;" · ","")&amp;IF((COUNTIF($I295:$L295,"&gt;1")+COUNTIF($I295:$L295,"&lt;0")+COUNTA($I295:$L295)-COUNT($I295:$L295))&gt;0,"Avance fuera de rango 0-100%"&amp;" · ","")&amp;IF(OR(AND($J295&lt;&gt;"",$J295&lt;$I295),AND($K295&lt;&gt;"",$K295&lt;MAX($I295:$J295)),AND($L295&lt;&gt;"",$L295&lt;MAX($I295:$K295))),"Avance semanal decreciente"&amp;" · ","")&amp;IF(AND(ISNUMBER($AN295),$AN295&lt;FechaRef,IF($V295="Sub",N($X295),N($M295))&lt;1),"Vencida"&amp;" · ","")&amp;IF(AND(ObsObligatoria="Sí",ISNUMBER($AN295),$AN295&lt;FechaRef,IF($V295="Sub",N($X295),N($M295))&lt;1,$Q295=""),"Vencida sin observación"&amp;" · ",""),LEN(IF($C295="","Falta el nombre de la actividad"&amp;" · ","")&amp;IF(AND($V295="Sub",N($U295)=0),"Subactividad sin macroactividad arriba"&amp;" · ","")&amp;IF($AM295="","Sin fecha de inicio"&amp;" · ","")&amp;IF($AN295="","Sin fecha límite"&amp;" · ","")&amp;IF(AND(LEFT($C295,11)="[Jefatura] ",N($AL295)=0),"No se encuentra en la hoja de la jefatura (elíjala de nuevo en la lista)"&amp;" · ","")&amp;IF(OR(AND($E295&lt;&gt;"",NOT(ISNUMBER($E295))),AND($F295&lt;&gt;"",NOT(ISNUMBER($F295))),AND($G295&lt;&gt;"",NOT(ISNUMBER($G295)))),"Fecha no válida"&amp;" · ","")&amp;IF(AND(ISNUMBER($AM295),ISNUMBER($AN295),$AM295&gt;$AN295),"Inicio posterior a fecha límite"&amp;" · ","")&amp;IF(AND($V295="Macro",$H295&lt;&gt;"",OR(NOT(ISNUMBER($H295)),$H295&lt;0,$H295&gt;1)),"Peso fuera de rango"&amp;" · ","")&amp;IF(AND($V295="Sub",$H295&lt;&gt;""),"Las subactividades no llevan peso (valen igual dentro de su macroactividad)"&amp;" · ","")&amp;IF(AND(N($W295)&gt;0,COUNT($I295:$L295)&gt;0),"Con subactividades: deje vacías las semanas (se calculan solas)"&amp;" · ","")&amp;IF((COUNTIF($I295:$L295,"&gt;1")+COUNTIF($I295:$L295,"&lt;0")+COUNTA($I295:$L295)-COUNT($I295:$L295))&gt;0,"Avance fuera de rango 0-100%"&amp;" · ","")&amp;IF(OR(AND($J295&lt;&gt;"",$J295&lt;$I295),AND($K295&lt;&gt;"",$K295&lt;MAX($I295:$J295)),AND($L295&lt;&gt;"",$L295&lt;MAX($I295:$K295))),"Avance semanal decreciente"&amp;" · ","")&amp;IF(AND(ISNUMBER($AN295),$AN295&lt;FechaRef,IF($V295="Sub",N($X295),N($M295))&lt;1),"Vencida"&amp;" · ","")&amp;IF(AND(ObsObligatoria="Sí",ISNUMBER($AN295),$AN295&lt;FechaRef,IF($V295="Sub",N($X295),N($M295))&lt;1,$Q295=""),"Vencida sin observación"&amp;" · ",""))-3)))</f>
        <v/>
      </c>
      <c r="S295" s="64">
        <f>IF(NOT((COUNTA($B295:$D295)+COUNTA($G295:$L295)+COUNTA($Q295))&gt;0),"",IF(AND($V295="Sub",N($U295)&gt;0),IF(ISNUMBER(INDEX($AM$5:$AM$1000,$U295-4)),DATE(YEAR(INDEX($AM$5:$AM$1000,$U295-4)),MONTH(INDEX($AM$5:$AM$1000,$U295-4)),1),IF(ISNUMBER(INDEX($AN$5:$AN$1000,$U295-4)),DATE(YEAR(INDEX($AN$5:$AN$1000,$U295-4)),MONTH(INDEX($AN$5:$AN$1000,$U295-4)),1),MesCiclo)),IF(ISNUMBER($AM295),DATE(YEAR($AM295),MONTH($AM295),1),IF(ISNUMBER($AN295),DATE(YEAR($AN295),MONTH($AN295),1),MesCiclo))))</f>
        <v/>
      </c>
      <c r="T295" s="62">
        <f>IF(OR($S295="",$S295&lt;&gt;MesCiclo,$V295&lt;&gt;"Macro"),"",COUNTIFS($S$5:$S295,MesCiclo,$V$5:$V295,"Macro"))</f>
        <v/>
      </c>
      <c r="U295" s="62">
        <f>IF($V295="","",IF($V295="Macro",ROW(),IFERROR(LOOKUP(2,1/($V$5:$V295="Macro"),ROW($V$5:$V295)),0)))</f>
        <v/>
      </c>
      <c r="V295" s="62">
        <f>IF(NOT((COUNTA($B295:$D295)+COUNTA($G295:$L295)+COUNTA($Q295))&gt;0),"",IF($B295="Subactividad","Sub","Macro"))</f>
        <v/>
      </c>
      <c r="W295" s="62">
        <f>IF($V295="Macro",COUNTIFS($U$5:$U$1000,ROW(),$V$5:$V$1000,"Sub"),"")</f>
        <v/>
      </c>
      <c r="X295" s="62">
        <f>IF($V295="","",IF(ISNUMBER($G295),1,IFERROR(LOOKUP(2,1/($I295:$L295&lt;&gt;""),$I295:$L295),0)))</f>
        <v/>
      </c>
      <c r="Y295" s="62">
        <f>IF($V295="","",IF(AND(ISNUMBER($G295),$G295&lt;=IF($S295=MesCiclo,InicioCiclo,$S295+MOD(2-WEEKDAY($S295),7))+6),1,IF(ISNUMBER($I295),$I295,0)))</f>
        <v/>
      </c>
      <c r="Z295" s="62">
        <f>IF($V295="","",IF(AND(ISNUMBER($G295),$G295&lt;=IF($S295=MesCiclo,InicioCiclo,$S295+MOD(2-WEEKDAY($S295),7))+13),1,IF(ISNUMBER($J295),$J295,$Y295)))</f>
        <v/>
      </c>
      <c r="AA295" s="62">
        <f>IF($V295="","",IF(AND(ISNUMBER($G295),$G295&lt;=IF($S295=MesCiclo,InicioCiclo,$S295+MOD(2-WEEKDAY($S295),7))+20),1,IF(ISNUMBER($K295),$K295,$Z295)))</f>
        <v/>
      </c>
      <c r="AB295" s="62">
        <f>IF($V295="","",IF(AND(ISNUMBER($G295),$G295&lt;=IF($S295=MesCiclo,InicioCiclo,$S295+MOD(2-WEEKDAY($S295),7))+27),1,IF(ISNUMBER($L295),$L295,$AA295)))</f>
        <v/>
      </c>
      <c r="AC295" s="62">
        <f>IF($V295="","",IF(AND(ISNUMBER($G295),$G295&lt;=IF($S295=MesCiclo,InicioCiclo,$S295+MOD(2-WEEKDAY($S295),7))+6),1,IF(N($W295)&gt;0,AVERAGEIFS($Y$5:$Y$1000,$U$5:$U$1000,ROW(),$V$5:$V$1000,"Sub"),$Y295)))</f>
        <v/>
      </c>
      <c r="AD295" s="62">
        <f>IF($V295="","",IF(AND(ISNUMBER($G295),$G295&lt;=IF($S295=MesCiclo,InicioCiclo,$S295+MOD(2-WEEKDAY($S295),7))+13),1,IF(N($W295)&gt;0,AVERAGEIFS($Z$5:$Z$1000,$U$5:$U$1000,ROW(),$V$5:$V$1000,"Sub"),$Z295)))</f>
        <v/>
      </c>
      <c r="AE295" s="62">
        <f>IF($V295="","",IF(AND(ISNUMBER($G295),$G295&lt;=IF($S295=MesCiclo,InicioCiclo,$S295+MOD(2-WEEKDAY($S295),7))+20),1,IF(N($W295)&gt;0,AVERAGEIFS($AA$5:$AA$1000,$U$5:$U$1000,ROW(),$V$5:$V$1000,"Sub"),$AA295)))</f>
        <v/>
      </c>
      <c r="AF295" s="62">
        <f>IF($V295="","",IF(AND(ISNUMBER($G295),$G295&lt;=IF($S295=MesCiclo,InicioCiclo,$S295+MOD(2-WEEKDAY($S295),7))+27),1,IF(N($W295)&gt;0,AVERAGEIFS($AB$5:$AB$1000,$U$5:$U$1000,ROW(),$V$5:$V$1000,"Sub"),$AB295)))</f>
        <v/>
      </c>
      <c r="AG295" s="62">
        <f>IF($V295&lt;&gt;"Macro","",IF(COUNTIFS($S$5:$S$1000,$S295,$V$5:$V$1000,"Macro",$H$5:$H$1000,"&gt;0")=0,1/COUNTIFS($S$5:$S$1000,$S295,$V$5:$V$1000,"Macro"),IF(AND(ISNUMBER($H295),N($H295)&gt;0),$H295,SUMIFS($H$5:$H$1000,$S$5:$S$1000,$S295,$V$5:$V$1000,"Macro")/COUNTIFS($S$5:$S$1000,$S295,$V$5:$V$1000,"Macro",$H$5:$H$1000,"&gt;0"))/(COUNTIFS($S$5:$S$1000,$S295,$V$5:$V$1000,"Macro")*SUMIFS($H$5:$H$1000,$S$5:$S$1000,$S295,$V$5:$V$1000,"Macro")/COUNTIFS($S$5:$S$1000,$S295,$V$5:$V$1000,"Macro",$H$5:$H$1000,"&gt;0"))))</f>
        <v/>
      </c>
      <c r="AH295" s="62" t="n"/>
      <c r="AI295" s="62" t="n"/>
      <c r="AJ295" s="62" t="n"/>
      <c r="AK295" s="62" t="n"/>
      <c r="AL295" s="62">
        <f>IF(LEFT($C295,11)="[Jefatura] ",IFERROR(MATCH("Riesgo Normativo|"&amp;MID($C295,12,500),rDname_ADM,0),0),"")</f>
        <v/>
      </c>
      <c r="AM295" s="62">
        <f>IF(N($AL295)&gt;0,INDEX(rIni_ADM,$AL295),IF(ISNUMBER($E295),$E295,""))</f>
        <v/>
      </c>
      <c r="AN295" s="62">
        <f>IF(N($AL295)&gt;0,INDEX(rLim_ADM,$AL295),IF(ISNUMBER($F295),$F295,""))</f>
        <v/>
      </c>
    </row>
    <row r="296">
      <c r="A296" s="56">
        <f>IF(NOT((COUNTA($B296:$D296)+COUNTA($G296:$L296)+COUNTA($Q296))&gt;0),"",IF($V296="Macro",COUNTIFS($V$5:$V296,"Macro",$S$5:$S296,$S296),IF(N($U296)=0,"?",COUNTIFS(INDEX($V$5:$V$1000,1):INDEX($V$5:$V$1000,$U296-4),"Macro",INDEX($S$5:$S$1000,1):INDEX($S$5:$S$1000,$U296-4),INDEX($S$5:$S$1000,$U296-4))&amp;"."&amp;COUNTIFS($U$5:$U296,$U296,$V$5:$V296,"Sub"))))</f>
        <v/>
      </c>
      <c r="B296" s="57" t="n"/>
      <c r="C296" s="58" t="n"/>
      <c r="D296" s="58" t="n"/>
      <c r="E296" s="59">
        <f>IF(N($AL296)&gt;0,INDEX(rIni_ADM,$AL296),"")</f>
        <v/>
      </c>
      <c r="F296" s="59">
        <f>IF(N($AL296)&gt;0,INDEX(rLim_ADM,$AL296),"")</f>
        <v/>
      </c>
      <c r="G296" s="59" t="n"/>
      <c r="H296" s="60" t="n"/>
      <c r="I296" s="60" t="n"/>
      <c r="J296" s="60" t="n"/>
      <c r="K296" s="60" t="n"/>
      <c r="L296" s="60" t="n"/>
      <c r="M296" s="61">
        <f>IF(NOT((COUNTA($B296:$D296)+COUNTA($G296:$L296)+COUNTA($Q296))&gt;0),"",IF($V296="Sub",IFERROR($X296/INDEX($W$5:$W$1000,$U296-4),""),IF(ISNUMBER($G296),1,IF(N($W296)&gt;0,AVERAGEIFS($X$5:$X$1000,$U$5:$U$1000,ROW(),$V$5:$V$1000,"Sub"),$X296))))</f>
        <v/>
      </c>
      <c r="N296" s="56">
        <f>IF(OR($M296="",$V296="Sub"),"",IF($M296&gt;=1,"Completado",IF($M296&gt;0,"En curso","Pendiente")))</f>
        <v/>
      </c>
      <c r="O296" s="56">
        <f>IF(OR(NOT((COUNTA($B296:$D296)+COUNTA($G296:$L296)+COUNTA($Q296))&gt;0),$V296="Sub"),"",IF(ISNUMBER($G296),IF(AND(ISNUMBER($AN296),$G296&gt;$AN296),"Cumplida con "&amp;($G296-$AN296)&amp;IF($G296-$AN296=1," día"," días")&amp;" de retraso","Cumplida"),IF(N($M296)&gt;=1,"Cumplida",IF(NOT(ISNUMBER($AN296)),"Sin fecha límite",IF($AN296&lt;FechaRef,"Vencida hace "&amp;(FechaRef-$AN296)&amp;IF(FechaRef-$AN296=1," día"," días"),IF($AN296=FechaRef,"Vence hoy",IF($AN296-FechaRef&lt;=DiasAlerta,"Vence en "&amp;($AN296-FechaRef)&amp;IF($AN296-FechaRef=1," día"," días"),"En plazo")))))))</f>
        <v/>
      </c>
      <c r="P296" s="62" t="n"/>
      <c r="Q296" s="58" t="n"/>
      <c r="R296" s="63">
        <f>IF(NOT((COUNTA($B296:$D296)+COUNTA($G296:$L296)+COUNTA($Q296))&gt;0),"",IF((IF($C296="","Falta el nombre de la actividad"&amp;" · ","")&amp;IF(AND($V296="Sub",N($U296)=0),"Subactividad sin macroactividad arriba"&amp;" · ","")&amp;IF($AM296="","Sin fecha de inicio"&amp;" · ","")&amp;IF($AN296="","Sin fecha límite"&amp;" · ","")&amp;IF(AND(LEFT($C296,11)="[Jefatura] ",N($AL296)=0),"No se encuentra en la hoja de la jefatura (elíjala de nuevo en la lista)"&amp;" · ","")&amp;IF(OR(AND($E296&lt;&gt;"",NOT(ISNUMBER($E296))),AND($F296&lt;&gt;"",NOT(ISNUMBER($F296))),AND($G296&lt;&gt;"",NOT(ISNUMBER($G296)))),"Fecha no válida"&amp;" · ","")&amp;IF(AND(ISNUMBER($AM296),ISNUMBER($AN296),$AM296&gt;$AN296),"Inicio posterior a fecha límite"&amp;" · ","")&amp;IF(AND($V296="Macro",$H296&lt;&gt;"",OR(NOT(ISNUMBER($H296)),$H296&lt;0,$H296&gt;1)),"Peso fuera de rango"&amp;" · ","")&amp;IF(AND($V296="Sub",$H296&lt;&gt;""),"Las subactividades no llevan peso (valen igual dentro de su macroactividad)"&amp;" · ","")&amp;IF(AND(N($W296)&gt;0,COUNT($I296:$L296)&gt;0),"Con subactividades: deje vacías las semanas (se calculan solas)"&amp;" · ","")&amp;IF((COUNTIF($I296:$L296,"&gt;1")+COUNTIF($I296:$L296,"&lt;0")+COUNTA($I296:$L296)-COUNT($I296:$L296))&gt;0,"Avance fuera de rango 0-100%"&amp;" · ","")&amp;IF(OR(AND($J296&lt;&gt;"",$J296&lt;$I296),AND($K296&lt;&gt;"",$K296&lt;MAX($I296:$J296)),AND($L296&lt;&gt;"",$L296&lt;MAX($I296:$K296))),"Avance semanal decreciente"&amp;" · ","")&amp;IF(AND(ISNUMBER($AN296),$AN296&lt;FechaRef,IF($V296="Sub",N($X296),N($M296))&lt;1),"Vencida"&amp;" · ","")&amp;IF(AND(ObsObligatoria="Sí",ISNUMBER($AN296),$AN296&lt;FechaRef,IF($V296="Sub",N($X296),N($M296))&lt;1,$Q296=""),"Vencida sin observación"&amp;" · ",""))="","✔ OK","⚠ "&amp;LEFT(IF($C296="","Falta el nombre de la actividad"&amp;" · ","")&amp;IF(AND($V296="Sub",N($U296)=0),"Subactividad sin macroactividad arriba"&amp;" · ","")&amp;IF($AM296="","Sin fecha de inicio"&amp;" · ","")&amp;IF($AN296="","Sin fecha límite"&amp;" · ","")&amp;IF(AND(LEFT($C296,11)="[Jefatura] ",N($AL296)=0),"No se encuentra en la hoja de la jefatura (elíjala de nuevo en la lista)"&amp;" · ","")&amp;IF(OR(AND($E296&lt;&gt;"",NOT(ISNUMBER($E296))),AND($F296&lt;&gt;"",NOT(ISNUMBER($F296))),AND($G296&lt;&gt;"",NOT(ISNUMBER($G296)))),"Fecha no válida"&amp;" · ","")&amp;IF(AND(ISNUMBER($AM296),ISNUMBER($AN296),$AM296&gt;$AN296),"Inicio posterior a fecha límite"&amp;" · ","")&amp;IF(AND($V296="Macro",$H296&lt;&gt;"",OR(NOT(ISNUMBER($H296)),$H296&lt;0,$H296&gt;1)),"Peso fuera de rango"&amp;" · ","")&amp;IF(AND($V296="Sub",$H296&lt;&gt;""),"Las subactividades no llevan peso (valen igual dentro de su macroactividad)"&amp;" · ","")&amp;IF(AND(N($W296)&gt;0,COUNT($I296:$L296)&gt;0),"Con subactividades: deje vacías las semanas (se calculan solas)"&amp;" · ","")&amp;IF((COUNTIF($I296:$L296,"&gt;1")+COUNTIF($I296:$L296,"&lt;0")+COUNTA($I296:$L296)-COUNT($I296:$L296))&gt;0,"Avance fuera de rango 0-100%"&amp;" · ","")&amp;IF(OR(AND($J296&lt;&gt;"",$J296&lt;$I296),AND($K296&lt;&gt;"",$K296&lt;MAX($I296:$J296)),AND($L296&lt;&gt;"",$L296&lt;MAX($I296:$K296))),"Avance semanal decreciente"&amp;" · ","")&amp;IF(AND(ISNUMBER($AN296),$AN296&lt;FechaRef,IF($V296="Sub",N($X296),N($M296))&lt;1),"Vencida"&amp;" · ","")&amp;IF(AND(ObsObligatoria="Sí",ISNUMBER($AN296),$AN296&lt;FechaRef,IF($V296="Sub",N($X296),N($M296))&lt;1,$Q296=""),"Vencida sin observación"&amp;" · ",""),LEN(IF($C296="","Falta el nombre de la actividad"&amp;" · ","")&amp;IF(AND($V296="Sub",N($U296)=0),"Subactividad sin macroactividad arriba"&amp;" · ","")&amp;IF($AM296="","Sin fecha de inicio"&amp;" · ","")&amp;IF($AN296="","Sin fecha límite"&amp;" · ","")&amp;IF(AND(LEFT($C296,11)="[Jefatura] ",N($AL296)=0),"No se encuentra en la hoja de la jefatura (elíjala de nuevo en la lista)"&amp;" · ","")&amp;IF(OR(AND($E296&lt;&gt;"",NOT(ISNUMBER($E296))),AND($F296&lt;&gt;"",NOT(ISNUMBER($F296))),AND($G296&lt;&gt;"",NOT(ISNUMBER($G296)))),"Fecha no válida"&amp;" · ","")&amp;IF(AND(ISNUMBER($AM296),ISNUMBER($AN296),$AM296&gt;$AN296),"Inicio posterior a fecha límite"&amp;" · ","")&amp;IF(AND($V296="Macro",$H296&lt;&gt;"",OR(NOT(ISNUMBER($H296)),$H296&lt;0,$H296&gt;1)),"Peso fuera de rango"&amp;" · ","")&amp;IF(AND($V296="Sub",$H296&lt;&gt;""),"Las subactividades no llevan peso (valen igual dentro de su macroactividad)"&amp;" · ","")&amp;IF(AND(N($W296)&gt;0,COUNT($I296:$L296)&gt;0),"Con subactividades: deje vacías las semanas (se calculan solas)"&amp;" · ","")&amp;IF((COUNTIF($I296:$L296,"&gt;1")+COUNTIF($I296:$L296,"&lt;0")+COUNTA($I296:$L296)-COUNT($I296:$L296))&gt;0,"Avance fuera de rango 0-100%"&amp;" · ","")&amp;IF(OR(AND($J296&lt;&gt;"",$J296&lt;$I296),AND($K296&lt;&gt;"",$K296&lt;MAX($I296:$J296)),AND($L296&lt;&gt;"",$L296&lt;MAX($I296:$K296))),"Avance semanal decreciente"&amp;" · ","")&amp;IF(AND(ISNUMBER($AN296),$AN296&lt;FechaRef,IF($V296="Sub",N($X296),N($M296))&lt;1),"Vencida"&amp;" · ","")&amp;IF(AND(ObsObligatoria="Sí",ISNUMBER($AN296),$AN296&lt;FechaRef,IF($V296="Sub",N($X296),N($M296))&lt;1,$Q296=""),"Vencida sin observación"&amp;" · ",""))-3)))</f>
        <v/>
      </c>
      <c r="S296" s="64">
        <f>IF(NOT((COUNTA($B296:$D296)+COUNTA($G296:$L296)+COUNTA($Q296))&gt;0),"",IF(AND($V296="Sub",N($U296)&gt;0),IF(ISNUMBER(INDEX($AM$5:$AM$1000,$U296-4)),DATE(YEAR(INDEX($AM$5:$AM$1000,$U296-4)),MONTH(INDEX($AM$5:$AM$1000,$U296-4)),1),IF(ISNUMBER(INDEX($AN$5:$AN$1000,$U296-4)),DATE(YEAR(INDEX($AN$5:$AN$1000,$U296-4)),MONTH(INDEX($AN$5:$AN$1000,$U296-4)),1),MesCiclo)),IF(ISNUMBER($AM296),DATE(YEAR($AM296),MONTH($AM296),1),IF(ISNUMBER($AN296),DATE(YEAR($AN296),MONTH($AN296),1),MesCiclo))))</f>
        <v/>
      </c>
      <c r="T296" s="62">
        <f>IF(OR($S296="",$S296&lt;&gt;MesCiclo,$V296&lt;&gt;"Macro"),"",COUNTIFS($S$5:$S296,MesCiclo,$V$5:$V296,"Macro"))</f>
        <v/>
      </c>
      <c r="U296" s="62">
        <f>IF($V296="","",IF($V296="Macro",ROW(),IFERROR(LOOKUP(2,1/($V$5:$V296="Macro"),ROW($V$5:$V296)),0)))</f>
        <v/>
      </c>
      <c r="V296" s="62">
        <f>IF(NOT((COUNTA($B296:$D296)+COUNTA($G296:$L296)+COUNTA($Q296))&gt;0),"",IF($B296="Subactividad","Sub","Macro"))</f>
        <v/>
      </c>
      <c r="W296" s="62">
        <f>IF($V296="Macro",COUNTIFS($U$5:$U$1000,ROW(),$V$5:$V$1000,"Sub"),"")</f>
        <v/>
      </c>
      <c r="X296" s="62">
        <f>IF($V296="","",IF(ISNUMBER($G296),1,IFERROR(LOOKUP(2,1/($I296:$L296&lt;&gt;""),$I296:$L296),0)))</f>
        <v/>
      </c>
      <c r="Y296" s="62">
        <f>IF($V296="","",IF(AND(ISNUMBER($G296),$G296&lt;=IF($S296=MesCiclo,InicioCiclo,$S296+MOD(2-WEEKDAY($S296),7))+6),1,IF(ISNUMBER($I296),$I296,0)))</f>
        <v/>
      </c>
      <c r="Z296" s="62">
        <f>IF($V296="","",IF(AND(ISNUMBER($G296),$G296&lt;=IF($S296=MesCiclo,InicioCiclo,$S296+MOD(2-WEEKDAY($S296),7))+13),1,IF(ISNUMBER($J296),$J296,$Y296)))</f>
        <v/>
      </c>
      <c r="AA296" s="62">
        <f>IF($V296="","",IF(AND(ISNUMBER($G296),$G296&lt;=IF($S296=MesCiclo,InicioCiclo,$S296+MOD(2-WEEKDAY($S296),7))+20),1,IF(ISNUMBER($K296),$K296,$Z296)))</f>
        <v/>
      </c>
      <c r="AB296" s="62">
        <f>IF($V296="","",IF(AND(ISNUMBER($G296),$G296&lt;=IF($S296=MesCiclo,InicioCiclo,$S296+MOD(2-WEEKDAY($S296),7))+27),1,IF(ISNUMBER($L296),$L296,$AA296)))</f>
        <v/>
      </c>
      <c r="AC296" s="62">
        <f>IF($V296="","",IF(AND(ISNUMBER($G296),$G296&lt;=IF($S296=MesCiclo,InicioCiclo,$S296+MOD(2-WEEKDAY($S296),7))+6),1,IF(N($W296)&gt;0,AVERAGEIFS($Y$5:$Y$1000,$U$5:$U$1000,ROW(),$V$5:$V$1000,"Sub"),$Y296)))</f>
        <v/>
      </c>
      <c r="AD296" s="62">
        <f>IF($V296="","",IF(AND(ISNUMBER($G296),$G296&lt;=IF($S296=MesCiclo,InicioCiclo,$S296+MOD(2-WEEKDAY($S296),7))+13),1,IF(N($W296)&gt;0,AVERAGEIFS($Z$5:$Z$1000,$U$5:$U$1000,ROW(),$V$5:$V$1000,"Sub"),$Z296)))</f>
        <v/>
      </c>
      <c r="AE296" s="62">
        <f>IF($V296="","",IF(AND(ISNUMBER($G296),$G296&lt;=IF($S296=MesCiclo,InicioCiclo,$S296+MOD(2-WEEKDAY($S296),7))+20),1,IF(N($W296)&gt;0,AVERAGEIFS($AA$5:$AA$1000,$U$5:$U$1000,ROW(),$V$5:$V$1000,"Sub"),$AA296)))</f>
        <v/>
      </c>
      <c r="AF296" s="62">
        <f>IF($V296="","",IF(AND(ISNUMBER($G296),$G296&lt;=IF($S296=MesCiclo,InicioCiclo,$S296+MOD(2-WEEKDAY($S296),7))+27),1,IF(N($W296)&gt;0,AVERAGEIFS($AB$5:$AB$1000,$U$5:$U$1000,ROW(),$V$5:$V$1000,"Sub"),$AB296)))</f>
        <v/>
      </c>
      <c r="AG296" s="62">
        <f>IF($V296&lt;&gt;"Macro","",IF(COUNTIFS($S$5:$S$1000,$S296,$V$5:$V$1000,"Macro",$H$5:$H$1000,"&gt;0")=0,1/COUNTIFS($S$5:$S$1000,$S296,$V$5:$V$1000,"Macro"),IF(AND(ISNUMBER($H296),N($H296)&gt;0),$H296,SUMIFS($H$5:$H$1000,$S$5:$S$1000,$S296,$V$5:$V$1000,"Macro")/COUNTIFS($S$5:$S$1000,$S296,$V$5:$V$1000,"Macro",$H$5:$H$1000,"&gt;0"))/(COUNTIFS($S$5:$S$1000,$S296,$V$5:$V$1000,"Macro")*SUMIFS($H$5:$H$1000,$S$5:$S$1000,$S296,$V$5:$V$1000,"Macro")/COUNTIFS($S$5:$S$1000,$S296,$V$5:$V$1000,"Macro",$H$5:$H$1000,"&gt;0"))))</f>
        <v/>
      </c>
      <c r="AH296" s="62" t="n"/>
      <c r="AI296" s="62" t="n"/>
      <c r="AJ296" s="62" t="n"/>
      <c r="AK296" s="62" t="n"/>
      <c r="AL296" s="62">
        <f>IF(LEFT($C296,11)="[Jefatura] ",IFERROR(MATCH("Riesgo Normativo|"&amp;MID($C296,12,500),rDname_ADM,0),0),"")</f>
        <v/>
      </c>
      <c r="AM296" s="62">
        <f>IF(N($AL296)&gt;0,INDEX(rIni_ADM,$AL296),IF(ISNUMBER($E296),$E296,""))</f>
        <v/>
      </c>
      <c r="AN296" s="62">
        <f>IF(N($AL296)&gt;0,INDEX(rLim_ADM,$AL296),IF(ISNUMBER($F296),$F296,""))</f>
        <v/>
      </c>
    </row>
    <row r="297">
      <c r="A297" s="56">
        <f>IF(NOT((COUNTA($B297:$D297)+COUNTA($G297:$L297)+COUNTA($Q297))&gt;0),"",IF($V297="Macro",COUNTIFS($V$5:$V297,"Macro",$S$5:$S297,$S297),IF(N($U297)=0,"?",COUNTIFS(INDEX($V$5:$V$1000,1):INDEX($V$5:$V$1000,$U297-4),"Macro",INDEX($S$5:$S$1000,1):INDEX($S$5:$S$1000,$U297-4),INDEX($S$5:$S$1000,$U297-4))&amp;"."&amp;COUNTIFS($U$5:$U297,$U297,$V$5:$V297,"Sub"))))</f>
        <v/>
      </c>
      <c r="B297" s="57" t="n"/>
      <c r="C297" s="58" t="n"/>
      <c r="D297" s="58" t="n"/>
      <c r="E297" s="59">
        <f>IF(N($AL297)&gt;0,INDEX(rIni_ADM,$AL297),"")</f>
        <v/>
      </c>
      <c r="F297" s="59">
        <f>IF(N($AL297)&gt;0,INDEX(rLim_ADM,$AL297),"")</f>
        <v/>
      </c>
      <c r="G297" s="59" t="n"/>
      <c r="H297" s="60" t="n"/>
      <c r="I297" s="60" t="n"/>
      <c r="J297" s="60" t="n"/>
      <c r="K297" s="60" t="n"/>
      <c r="L297" s="60" t="n"/>
      <c r="M297" s="61">
        <f>IF(NOT((COUNTA($B297:$D297)+COUNTA($G297:$L297)+COUNTA($Q297))&gt;0),"",IF($V297="Sub",IFERROR($X297/INDEX($W$5:$W$1000,$U297-4),""),IF(ISNUMBER($G297),1,IF(N($W297)&gt;0,AVERAGEIFS($X$5:$X$1000,$U$5:$U$1000,ROW(),$V$5:$V$1000,"Sub"),$X297))))</f>
        <v/>
      </c>
      <c r="N297" s="56">
        <f>IF(OR($M297="",$V297="Sub"),"",IF($M297&gt;=1,"Completado",IF($M297&gt;0,"En curso","Pendiente")))</f>
        <v/>
      </c>
      <c r="O297" s="56">
        <f>IF(OR(NOT((COUNTA($B297:$D297)+COUNTA($G297:$L297)+COUNTA($Q297))&gt;0),$V297="Sub"),"",IF(ISNUMBER($G297),IF(AND(ISNUMBER($AN297),$G297&gt;$AN297),"Cumplida con "&amp;($G297-$AN297)&amp;IF($G297-$AN297=1," día"," días")&amp;" de retraso","Cumplida"),IF(N($M297)&gt;=1,"Cumplida",IF(NOT(ISNUMBER($AN297)),"Sin fecha límite",IF($AN297&lt;FechaRef,"Vencida hace "&amp;(FechaRef-$AN297)&amp;IF(FechaRef-$AN297=1," día"," días"),IF($AN297=FechaRef,"Vence hoy",IF($AN297-FechaRef&lt;=DiasAlerta,"Vence en "&amp;($AN297-FechaRef)&amp;IF($AN297-FechaRef=1," día"," días"),"En plazo")))))))</f>
        <v/>
      </c>
      <c r="P297" s="62" t="n"/>
      <c r="Q297" s="58" t="n"/>
      <c r="R297" s="63">
        <f>IF(NOT((COUNTA($B297:$D297)+COUNTA($G297:$L297)+COUNTA($Q297))&gt;0),"",IF((IF($C297="","Falta el nombre de la actividad"&amp;" · ","")&amp;IF(AND($V297="Sub",N($U297)=0),"Subactividad sin macroactividad arriba"&amp;" · ","")&amp;IF($AM297="","Sin fecha de inicio"&amp;" · ","")&amp;IF($AN297="","Sin fecha límite"&amp;" · ","")&amp;IF(AND(LEFT($C297,11)="[Jefatura] ",N($AL297)=0),"No se encuentra en la hoja de la jefatura (elíjala de nuevo en la lista)"&amp;" · ","")&amp;IF(OR(AND($E297&lt;&gt;"",NOT(ISNUMBER($E297))),AND($F297&lt;&gt;"",NOT(ISNUMBER($F297))),AND($G297&lt;&gt;"",NOT(ISNUMBER($G297)))),"Fecha no válida"&amp;" · ","")&amp;IF(AND(ISNUMBER($AM297),ISNUMBER($AN297),$AM297&gt;$AN297),"Inicio posterior a fecha límite"&amp;" · ","")&amp;IF(AND($V297="Macro",$H297&lt;&gt;"",OR(NOT(ISNUMBER($H297)),$H297&lt;0,$H297&gt;1)),"Peso fuera de rango"&amp;" · ","")&amp;IF(AND($V297="Sub",$H297&lt;&gt;""),"Las subactividades no llevan peso (valen igual dentro de su macroactividad)"&amp;" · ","")&amp;IF(AND(N($W297)&gt;0,COUNT($I297:$L297)&gt;0),"Con subactividades: deje vacías las semanas (se calculan solas)"&amp;" · ","")&amp;IF((COUNTIF($I297:$L297,"&gt;1")+COUNTIF($I297:$L297,"&lt;0")+COUNTA($I297:$L297)-COUNT($I297:$L297))&gt;0,"Avance fuera de rango 0-100%"&amp;" · ","")&amp;IF(OR(AND($J297&lt;&gt;"",$J297&lt;$I297),AND($K297&lt;&gt;"",$K297&lt;MAX($I297:$J297)),AND($L297&lt;&gt;"",$L297&lt;MAX($I297:$K297))),"Avance semanal decreciente"&amp;" · ","")&amp;IF(AND(ISNUMBER($AN297),$AN297&lt;FechaRef,IF($V297="Sub",N($X297),N($M297))&lt;1),"Vencida"&amp;" · ","")&amp;IF(AND(ObsObligatoria="Sí",ISNUMBER($AN297),$AN297&lt;FechaRef,IF($V297="Sub",N($X297),N($M297))&lt;1,$Q297=""),"Vencida sin observación"&amp;" · ",""))="","✔ OK","⚠ "&amp;LEFT(IF($C297="","Falta el nombre de la actividad"&amp;" · ","")&amp;IF(AND($V297="Sub",N($U297)=0),"Subactividad sin macroactividad arriba"&amp;" · ","")&amp;IF($AM297="","Sin fecha de inicio"&amp;" · ","")&amp;IF($AN297="","Sin fecha límite"&amp;" · ","")&amp;IF(AND(LEFT($C297,11)="[Jefatura] ",N($AL297)=0),"No se encuentra en la hoja de la jefatura (elíjala de nuevo en la lista)"&amp;" · ","")&amp;IF(OR(AND($E297&lt;&gt;"",NOT(ISNUMBER($E297))),AND($F297&lt;&gt;"",NOT(ISNUMBER($F297))),AND($G297&lt;&gt;"",NOT(ISNUMBER($G297)))),"Fecha no válida"&amp;" · ","")&amp;IF(AND(ISNUMBER($AM297),ISNUMBER($AN297),$AM297&gt;$AN297),"Inicio posterior a fecha límite"&amp;" · ","")&amp;IF(AND($V297="Macro",$H297&lt;&gt;"",OR(NOT(ISNUMBER($H297)),$H297&lt;0,$H297&gt;1)),"Peso fuera de rango"&amp;" · ","")&amp;IF(AND($V297="Sub",$H297&lt;&gt;""),"Las subactividades no llevan peso (valen igual dentro de su macroactividad)"&amp;" · ","")&amp;IF(AND(N($W297)&gt;0,COUNT($I297:$L297)&gt;0),"Con subactividades: deje vacías las semanas (se calculan solas)"&amp;" · ","")&amp;IF((COUNTIF($I297:$L297,"&gt;1")+COUNTIF($I297:$L297,"&lt;0")+COUNTA($I297:$L297)-COUNT($I297:$L297))&gt;0,"Avance fuera de rango 0-100%"&amp;" · ","")&amp;IF(OR(AND($J297&lt;&gt;"",$J297&lt;$I297),AND($K297&lt;&gt;"",$K297&lt;MAX($I297:$J297)),AND($L297&lt;&gt;"",$L297&lt;MAX($I297:$K297))),"Avance semanal decreciente"&amp;" · ","")&amp;IF(AND(ISNUMBER($AN297),$AN297&lt;FechaRef,IF($V297="Sub",N($X297),N($M297))&lt;1),"Vencida"&amp;" · ","")&amp;IF(AND(ObsObligatoria="Sí",ISNUMBER($AN297),$AN297&lt;FechaRef,IF($V297="Sub",N($X297),N($M297))&lt;1,$Q297=""),"Vencida sin observación"&amp;" · ",""),LEN(IF($C297="","Falta el nombre de la actividad"&amp;" · ","")&amp;IF(AND($V297="Sub",N($U297)=0),"Subactividad sin macroactividad arriba"&amp;" · ","")&amp;IF($AM297="","Sin fecha de inicio"&amp;" · ","")&amp;IF($AN297="","Sin fecha límite"&amp;" · ","")&amp;IF(AND(LEFT($C297,11)="[Jefatura] ",N($AL297)=0),"No se encuentra en la hoja de la jefatura (elíjala de nuevo en la lista)"&amp;" · ","")&amp;IF(OR(AND($E297&lt;&gt;"",NOT(ISNUMBER($E297))),AND($F297&lt;&gt;"",NOT(ISNUMBER($F297))),AND($G297&lt;&gt;"",NOT(ISNUMBER($G297)))),"Fecha no válida"&amp;" · ","")&amp;IF(AND(ISNUMBER($AM297),ISNUMBER($AN297),$AM297&gt;$AN297),"Inicio posterior a fecha límite"&amp;" · ","")&amp;IF(AND($V297="Macro",$H297&lt;&gt;"",OR(NOT(ISNUMBER($H297)),$H297&lt;0,$H297&gt;1)),"Peso fuera de rango"&amp;" · ","")&amp;IF(AND($V297="Sub",$H297&lt;&gt;""),"Las subactividades no llevan peso (valen igual dentro de su macroactividad)"&amp;" · ","")&amp;IF(AND(N($W297)&gt;0,COUNT($I297:$L297)&gt;0),"Con subactividades: deje vacías las semanas (se calculan solas)"&amp;" · ","")&amp;IF((COUNTIF($I297:$L297,"&gt;1")+COUNTIF($I297:$L297,"&lt;0")+COUNTA($I297:$L297)-COUNT($I297:$L297))&gt;0,"Avance fuera de rango 0-100%"&amp;" · ","")&amp;IF(OR(AND($J297&lt;&gt;"",$J297&lt;$I297),AND($K297&lt;&gt;"",$K297&lt;MAX($I297:$J297)),AND($L297&lt;&gt;"",$L297&lt;MAX($I297:$K297))),"Avance semanal decreciente"&amp;" · ","")&amp;IF(AND(ISNUMBER($AN297),$AN297&lt;FechaRef,IF($V297="Sub",N($X297),N($M297))&lt;1),"Vencida"&amp;" · ","")&amp;IF(AND(ObsObligatoria="Sí",ISNUMBER($AN297),$AN297&lt;FechaRef,IF($V297="Sub",N($X297),N($M297))&lt;1,$Q297=""),"Vencida sin observación"&amp;" · ",""))-3)))</f>
        <v/>
      </c>
      <c r="S297" s="64">
        <f>IF(NOT((COUNTA($B297:$D297)+COUNTA($G297:$L297)+COUNTA($Q297))&gt;0),"",IF(AND($V297="Sub",N($U297)&gt;0),IF(ISNUMBER(INDEX($AM$5:$AM$1000,$U297-4)),DATE(YEAR(INDEX($AM$5:$AM$1000,$U297-4)),MONTH(INDEX($AM$5:$AM$1000,$U297-4)),1),IF(ISNUMBER(INDEX($AN$5:$AN$1000,$U297-4)),DATE(YEAR(INDEX($AN$5:$AN$1000,$U297-4)),MONTH(INDEX($AN$5:$AN$1000,$U297-4)),1),MesCiclo)),IF(ISNUMBER($AM297),DATE(YEAR($AM297),MONTH($AM297),1),IF(ISNUMBER($AN297),DATE(YEAR($AN297),MONTH($AN297),1),MesCiclo))))</f>
        <v/>
      </c>
      <c r="T297" s="62">
        <f>IF(OR($S297="",$S297&lt;&gt;MesCiclo,$V297&lt;&gt;"Macro"),"",COUNTIFS($S$5:$S297,MesCiclo,$V$5:$V297,"Macro"))</f>
        <v/>
      </c>
      <c r="U297" s="62">
        <f>IF($V297="","",IF($V297="Macro",ROW(),IFERROR(LOOKUP(2,1/($V$5:$V297="Macro"),ROW($V$5:$V297)),0)))</f>
        <v/>
      </c>
      <c r="V297" s="62">
        <f>IF(NOT((COUNTA($B297:$D297)+COUNTA($G297:$L297)+COUNTA($Q297))&gt;0),"",IF($B297="Subactividad","Sub","Macro"))</f>
        <v/>
      </c>
      <c r="W297" s="62">
        <f>IF($V297="Macro",COUNTIFS($U$5:$U$1000,ROW(),$V$5:$V$1000,"Sub"),"")</f>
        <v/>
      </c>
      <c r="X297" s="62">
        <f>IF($V297="","",IF(ISNUMBER($G297),1,IFERROR(LOOKUP(2,1/($I297:$L297&lt;&gt;""),$I297:$L297),0)))</f>
        <v/>
      </c>
      <c r="Y297" s="62">
        <f>IF($V297="","",IF(AND(ISNUMBER($G297),$G297&lt;=IF($S297=MesCiclo,InicioCiclo,$S297+MOD(2-WEEKDAY($S297),7))+6),1,IF(ISNUMBER($I297),$I297,0)))</f>
        <v/>
      </c>
      <c r="Z297" s="62">
        <f>IF($V297="","",IF(AND(ISNUMBER($G297),$G297&lt;=IF($S297=MesCiclo,InicioCiclo,$S297+MOD(2-WEEKDAY($S297),7))+13),1,IF(ISNUMBER($J297),$J297,$Y297)))</f>
        <v/>
      </c>
      <c r="AA297" s="62">
        <f>IF($V297="","",IF(AND(ISNUMBER($G297),$G297&lt;=IF($S297=MesCiclo,InicioCiclo,$S297+MOD(2-WEEKDAY($S297),7))+20),1,IF(ISNUMBER($K297),$K297,$Z297)))</f>
        <v/>
      </c>
      <c r="AB297" s="62">
        <f>IF($V297="","",IF(AND(ISNUMBER($G297),$G297&lt;=IF($S297=MesCiclo,InicioCiclo,$S297+MOD(2-WEEKDAY($S297),7))+27),1,IF(ISNUMBER($L297),$L297,$AA297)))</f>
        <v/>
      </c>
      <c r="AC297" s="62">
        <f>IF($V297="","",IF(AND(ISNUMBER($G297),$G297&lt;=IF($S297=MesCiclo,InicioCiclo,$S297+MOD(2-WEEKDAY($S297),7))+6),1,IF(N($W297)&gt;0,AVERAGEIFS($Y$5:$Y$1000,$U$5:$U$1000,ROW(),$V$5:$V$1000,"Sub"),$Y297)))</f>
        <v/>
      </c>
      <c r="AD297" s="62">
        <f>IF($V297="","",IF(AND(ISNUMBER($G297),$G297&lt;=IF($S297=MesCiclo,InicioCiclo,$S297+MOD(2-WEEKDAY($S297),7))+13),1,IF(N($W297)&gt;0,AVERAGEIFS($Z$5:$Z$1000,$U$5:$U$1000,ROW(),$V$5:$V$1000,"Sub"),$Z297)))</f>
        <v/>
      </c>
      <c r="AE297" s="62">
        <f>IF($V297="","",IF(AND(ISNUMBER($G297),$G297&lt;=IF($S297=MesCiclo,InicioCiclo,$S297+MOD(2-WEEKDAY($S297),7))+20),1,IF(N($W297)&gt;0,AVERAGEIFS($AA$5:$AA$1000,$U$5:$U$1000,ROW(),$V$5:$V$1000,"Sub"),$AA297)))</f>
        <v/>
      </c>
      <c r="AF297" s="62">
        <f>IF($V297="","",IF(AND(ISNUMBER($G297),$G297&lt;=IF($S297=MesCiclo,InicioCiclo,$S297+MOD(2-WEEKDAY($S297),7))+27),1,IF(N($W297)&gt;0,AVERAGEIFS($AB$5:$AB$1000,$U$5:$U$1000,ROW(),$V$5:$V$1000,"Sub"),$AB297)))</f>
        <v/>
      </c>
      <c r="AG297" s="62">
        <f>IF($V297&lt;&gt;"Macro","",IF(COUNTIFS($S$5:$S$1000,$S297,$V$5:$V$1000,"Macro",$H$5:$H$1000,"&gt;0")=0,1/COUNTIFS($S$5:$S$1000,$S297,$V$5:$V$1000,"Macro"),IF(AND(ISNUMBER($H297),N($H297)&gt;0),$H297,SUMIFS($H$5:$H$1000,$S$5:$S$1000,$S297,$V$5:$V$1000,"Macro")/COUNTIFS($S$5:$S$1000,$S297,$V$5:$V$1000,"Macro",$H$5:$H$1000,"&gt;0"))/(COUNTIFS($S$5:$S$1000,$S297,$V$5:$V$1000,"Macro")*SUMIFS($H$5:$H$1000,$S$5:$S$1000,$S297,$V$5:$V$1000,"Macro")/COUNTIFS($S$5:$S$1000,$S297,$V$5:$V$1000,"Macro",$H$5:$H$1000,"&gt;0"))))</f>
        <v/>
      </c>
      <c r="AH297" s="62" t="n"/>
      <c r="AI297" s="62" t="n"/>
      <c r="AJ297" s="62" t="n"/>
      <c r="AK297" s="62" t="n"/>
      <c r="AL297" s="62">
        <f>IF(LEFT($C297,11)="[Jefatura] ",IFERROR(MATCH("Riesgo Normativo|"&amp;MID($C297,12,500),rDname_ADM,0),0),"")</f>
        <v/>
      </c>
      <c r="AM297" s="62">
        <f>IF(N($AL297)&gt;0,INDEX(rIni_ADM,$AL297),IF(ISNUMBER($E297),$E297,""))</f>
        <v/>
      </c>
      <c r="AN297" s="62">
        <f>IF(N($AL297)&gt;0,INDEX(rLim_ADM,$AL297),IF(ISNUMBER($F297),$F297,""))</f>
        <v/>
      </c>
    </row>
    <row r="298">
      <c r="A298" s="56">
        <f>IF(NOT((COUNTA($B298:$D298)+COUNTA($G298:$L298)+COUNTA($Q298))&gt;0),"",IF($V298="Macro",COUNTIFS($V$5:$V298,"Macro",$S$5:$S298,$S298),IF(N($U298)=0,"?",COUNTIFS(INDEX($V$5:$V$1000,1):INDEX($V$5:$V$1000,$U298-4),"Macro",INDEX($S$5:$S$1000,1):INDEX($S$5:$S$1000,$U298-4),INDEX($S$5:$S$1000,$U298-4))&amp;"."&amp;COUNTIFS($U$5:$U298,$U298,$V$5:$V298,"Sub"))))</f>
        <v/>
      </c>
      <c r="B298" s="57" t="n"/>
      <c r="C298" s="58" t="n"/>
      <c r="D298" s="58" t="n"/>
      <c r="E298" s="59">
        <f>IF(N($AL298)&gt;0,INDEX(rIni_ADM,$AL298),"")</f>
        <v/>
      </c>
      <c r="F298" s="59">
        <f>IF(N($AL298)&gt;0,INDEX(rLim_ADM,$AL298),"")</f>
        <v/>
      </c>
      <c r="G298" s="59" t="n"/>
      <c r="H298" s="60" t="n"/>
      <c r="I298" s="60" t="n"/>
      <c r="J298" s="60" t="n"/>
      <c r="K298" s="60" t="n"/>
      <c r="L298" s="60" t="n"/>
      <c r="M298" s="61">
        <f>IF(NOT((COUNTA($B298:$D298)+COUNTA($G298:$L298)+COUNTA($Q298))&gt;0),"",IF($V298="Sub",IFERROR($X298/INDEX($W$5:$W$1000,$U298-4),""),IF(ISNUMBER($G298),1,IF(N($W298)&gt;0,AVERAGEIFS($X$5:$X$1000,$U$5:$U$1000,ROW(),$V$5:$V$1000,"Sub"),$X298))))</f>
        <v/>
      </c>
      <c r="N298" s="56">
        <f>IF(OR($M298="",$V298="Sub"),"",IF($M298&gt;=1,"Completado",IF($M298&gt;0,"En curso","Pendiente")))</f>
        <v/>
      </c>
      <c r="O298" s="56">
        <f>IF(OR(NOT((COUNTA($B298:$D298)+COUNTA($G298:$L298)+COUNTA($Q298))&gt;0),$V298="Sub"),"",IF(ISNUMBER($G298),IF(AND(ISNUMBER($AN298),$G298&gt;$AN298),"Cumplida con "&amp;($G298-$AN298)&amp;IF($G298-$AN298=1," día"," días")&amp;" de retraso","Cumplida"),IF(N($M298)&gt;=1,"Cumplida",IF(NOT(ISNUMBER($AN298)),"Sin fecha límite",IF($AN298&lt;FechaRef,"Vencida hace "&amp;(FechaRef-$AN298)&amp;IF(FechaRef-$AN298=1," día"," días"),IF($AN298=FechaRef,"Vence hoy",IF($AN298-FechaRef&lt;=DiasAlerta,"Vence en "&amp;($AN298-FechaRef)&amp;IF($AN298-FechaRef=1," día"," días"),"En plazo")))))))</f>
        <v/>
      </c>
      <c r="P298" s="62" t="n"/>
      <c r="Q298" s="58" t="n"/>
      <c r="R298" s="63">
        <f>IF(NOT((COUNTA($B298:$D298)+COUNTA($G298:$L298)+COUNTA($Q298))&gt;0),"",IF((IF($C298="","Falta el nombre de la actividad"&amp;" · ","")&amp;IF(AND($V298="Sub",N($U298)=0),"Subactividad sin macroactividad arriba"&amp;" · ","")&amp;IF($AM298="","Sin fecha de inicio"&amp;" · ","")&amp;IF($AN298="","Sin fecha límite"&amp;" · ","")&amp;IF(AND(LEFT($C298,11)="[Jefatura] ",N($AL298)=0),"No se encuentra en la hoja de la jefatura (elíjala de nuevo en la lista)"&amp;" · ","")&amp;IF(OR(AND($E298&lt;&gt;"",NOT(ISNUMBER($E298))),AND($F298&lt;&gt;"",NOT(ISNUMBER($F298))),AND($G298&lt;&gt;"",NOT(ISNUMBER($G298)))),"Fecha no válida"&amp;" · ","")&amp;IF(AND(ISNUMBER($AM298),ISNUMBER($AN298),$AM298&gt;$AN298),"Inicio posterior a fecha límite"&amp;" · ","")&amp;IF(AND($V298="Macro",$H298&lt;&gt;"",OR(NOT(ISNUMBER($H298)),$H298&lt;0,$H298&gt;1)),"Peso fuera de rango"&amp;" · ","")&amp;IF(AND($V298="Sub",$H298&lt;&gt;""),"Las subactividades no llevan peso (valen igual dentro de su macroactividad)"&amp;" · ","")&amp;IF(AND(N($W298)&gt;0,COUNT($I298:$L298)&gt;0),"Con subactividades: deje vacías las semanas (se calculan solas)"&amp;" · ","")&amp;IF((COUNTIF($I298:$L298,"&gt;1")+COUNTIF($I298:$L298,"&lt;0")+COUNTA($I298:$L298)-COUNT($I298:$L298))&gt;0,"Avance fuera de rango 0-100%"&amp;" · ","")&amp;IF(OR(AND($J298&lt;&gt;"",$J298&lt;$I298),AND($K298&lt;&gt;"",$K298&lt;MAX($I298:$J298)),AND($L298&lt;&gt;"",$L298&lt;MAX($I298:$K298))),"Avance semanal decreciente"&amp;" · ","")&amp;IF(AND(ISNUMBER($AN298),$AN298&lt;FechaRef,IF($V298="Sub",N($X298),N($M298))&lt;1),"Vencida"&amp;" · ","")&amp;IF(AND(ObsObligatoria="Sí",ISNUMBER($AN298),$AN298&lt;FechaRef,IF($V298="Sub",N($X298),N($M298))&lt;1,$Q298=""),"Vencida sin observación"&amp;" · ",""))="","✔ OK","⚠ "&amp;LEFT(IF($C298="","Falta el nombre de la actividad"&amp;" · ","")&amp;IF(AND($V298="Sub",N($U298)=0),"Subactividad sin macroactividad arriba"&amp;" · ","")&amp;IF($AM298="","Sin fecha de inicio"&amp;" · ","")&amp;IF($AN298="","Sin fecha límite"&amp;" · ","")&amp;IF(AND(LEFT($C298,11)="[Jefatura] ",N($AL298)=0),"No se encuentra en la hoja de la jefatura (elíjala de nuevo en la lista)"&amp;" · ","")&amp;IF(OR(AND($E298&lt;&gt;"",NOT(ISNUMBER($E298))),AND($F298&lt;&gt;"",NOT(ISNUMBER($F298))),AND($G298&lt;&gt;"",NOT(ISNUMBER($G298)))),"Fecha no válida"&amp;" · ","")&amp;IF(AND(ISNUMBER($AM298),ISNUMBER($AN298),$AM298&gt;$AN298),"Inicio posterior a fecha límite"&amp;" · ","")&amp;IF(AND($V298="Macro",$H298&lt;&gt;"",OR(NOT(ISNUMBER($H298)),$H298&lt;0,$H298&gt;1)),"Peso fuera de rango"&amp;" · ","")&amp;IF(AND($V298="Sub",$H298&lt;&gt;""),"Las subactividades no llevan peso (valen igual dentro de su macroactividad)"&amp;" · ","")&amp;IF(AND(N($W298)&gt;0,COUNT($I298:$L298)&gt;0),"Con subactividades: deje vacías las semanas (se calculan solas)"&amp;" · ","")&amp;IF((COUNTIF($I298:$L298,"&gt;1")+COUNTIF($I298:$L298,"&lt;0")+COUNTA($I298:$L298)-COUNT($I298:$L298))&gt;0,"Avance fuera de rango 0-100%"&amp;" · ","")&amp;IF(OR(AND($J298&lt;&gt;"",$J298&lt;$I298),AND($K298&lt;&gt;"",$K298&lt;MAX($I298:$J298)),AND($L298&lt;&gt;"",$L298&lt;MAX($I298:$K298))),"Avance semanal decreciente"&amp;" · ","")&amp;IF(AND(ISNUMBER($AN298),$AN298&lt;FechaRef,IF($V298="Sub",N($X298),N($M298))&lt;1),"Vencida"&amp;" · ","")&amp;IF(AND(ObsObligatoria="Sí",ISNUMBER($AN298),$AN298&lt;FechaRef,IF($V298="Sub",N($X298),N($M298))&lt;1,$Q298=""),"Vencida sin observación"&amp;" · ",""),LEN(IF($C298="","Falta el nombre de la actividad"&amp;" · ","")&amp;IF(AND($V298="Sub",N($U298)=0),"Subactividad sin macroactividad arriba"&amp;" · ","")&amp;IF($AM298="","Sin fecha de inicio"&amp;" · ","")&amp;IF($AN298="","Sin fecha límite"&amp;" · ","")&amp;IF(AND(LEFT($C298,11)="[Jefatura] ",N($AL298)=0),"No se encuentra en la hoja de la jefatura (elíjala de nuevo en la lista)"&amp;" · ","")&amp;IF(OR(AND($E298&lt;&gt;"",NOT(ISNUMBER($E298))),AND($F298&lt;&gt;"",NOT(ISNUMBER($F298))),AND($G298&lt;&gt;"",NOT(ISNUMBER($G298)))),"Fecha no válida"&amp;" · ","")&amp;IF(AND(ISNUMBER($AM298),ISNUMBER($AN298),$AM298&gt;$AN298),"Inicio posterior a fecha límite"&amp;" · ","")&amp;IF(AND($V298="Macro",$H298&lt;&gt;"",OR(NOT(ISNUMBER($H298)),$H298&lt;0,$H298&gt;1)),"Peso fuera de rango"&amp;" · ","")&amp;IF(AND($V298="Sub",$H298&lt;&gt;""),"Las subactividades no llevan peso (valen igual dentro de su macroactividad)"&amp;" · ","")&amp;IF(AND(N($W298)&gt;0,COUNT($I298:$L298)&gt;0),"Con subactividades: deje vacías las semanas (se calculan solas)"&amp;" · ","")&amp;IF((COUNTIF($I298:$L298,"&gt;1")+COUNTIF($I298:$L298,"&lt;0")+COUNTA($I298:$L298)-COUNT($I298:$L298))&gt;0,"Avance fuera de rango 0-100%"&amp;" · ","")&amp;IF(OR(AND($J298&lt;&gt;"",$J298&lt;$I298),AND($K298&lt;&gt;"",$K298&lt;MAX($I298:$J298)),AND($L298&lt;&gt;"",$L298&lt;MAX($I298:$K298))),"Avance semanal decreciente"&amp;" · ","")&amp;IF(AND(ISNUMBER($AN298),$AN298&lt;FechaRef,IF($V298="Sub",N($X298),N($M298))&lt;1),"Vencida"&amp;" · ","")&amp;IF(AND(ObsObligatoria="Sí",ISNUMBER($AN298),$AN298&lt;FechaRef,IF($V298="Sub",N($X298),N($M298))&lt;1,$Q298=""),"Vencida sin observación"&amp;" · ",""))-3)))</f>
        <v/>
      </c>
      <c r="S298" s="64">
        <f>IF(NOT((COUNTA($B298:$D298)+COUNTA($G298:$L298)+COUNTA($Q298))&gt;0),"",IF(AND($V298="Sub",N($U298)&gt;0),IF(ISNUMBER(INDEX($AM$5:$AM$1000,$U298-4)),DATE(YEAR(INDEX($AM$5:$AM$1000,$U298-4)),MONTH(INDEX($AM$5:$AM$1000,$U298-4)),1),IF(ISNUMBER(INDEX($AN$5:$AN$1000,$U298-4)),DATE(YEAR(INDEX($AN$5:$AN$1000,$U298-4)),MONTH(INDEX($AN$5:$AN$1000,$U298-4)),1),MesCiclo)),IF(ISNUMBER($AM298),DATE(YEAR($AM298),MONTH($AM298),1),IF(ISNUMBER($AN298),DATE(YEAR($AN298),MONTH($AN298),1),MesCiclo))))</f>
        <v/>
      </c>
      <c r="T298" s="62">
        <f>IF(OR($S298="",$S298&lt;&gt;MesCiclo,$V298&lt;&gt;"Macro"),"",COUNTIFS($S$5:$S298,MesCiclo,$V$5:$V298,"Macro"))</f>
        <v/>
      </c>
      <c r="U298" s="62">
        <f>IF($V298="","",IF($V298="Macro",ROW(),IFERROR(LOOKUP(2,1/($V$5:$V298="Macro"),ROW($V$5:$V298)),0)))</f>
        <v/>
      </c>
      <c r="V298" s="62">
        <f>IF(NOT((COUNTA($B298:$D298)+COUNTA($G298:$L298)+COUNTA($Q298))&gt;0),"",IF($B298="Subactividad","Sub","Macro"))</f>
        <v/>
      </c>
      <c r="W298" s="62">
        <f>IF($V298="Macro",COUNTIFS($U$5:$U$1000,ROW(),$V$5:$V$1000,"Sub"),"")</f>
        <v/>
      </c>
      <c r="X298" s="62">
        <f>IF($V298="","",IF(ISNUMBER($G298),1,IFERROR(LOOKUP(2,1/($I298:$L298&lt;&gt;""),$I298:$L298),0)))</f>
        <v/>
      </c>
      <c r="Y298" s="62">
        <f>IF($V298="","",IF(AND(ISNUMBER($G298),$G298&lt;=IF($S298=MesCiclo,InicioCiclo,$S298+MOD(2-WEEKDAY($S298),7))+6),1,IF(ISNUMBER($I298),$I298,0)))</f>
        <v/>
      </c>
      <c r="Z298" s="62">
        <f>IF($V298="","",IF(AND(ISNUMBER($G298),$G298&lt;=IF($S298=MesCiclo,InicioCiclo,$S298+MOD(2-WEEKDAY($S298),7))+13),1,IF(ISNUMBER($J298),$J298,$Y298)))</f>
        <v/>
      </c>
      <c r="AA298" s="62">
        <f>IF($V298="","",IF(AND(ISNUMBER($G298),$G298&lt;=IF($S298=MesCiclo,InicioCiclo,$S298+MOD(2-WEEKDAY($S298),7))+20),1,IF(ISNUMBER($K298),$K298,$Z298)))</f>
        <v/>
      </c>
      <c r="AB298" s="62">
        <f>IF($V298="","",IF(AND(ISNUMBER($G298),$G298&lt;=IF($S298=MesCiclo,InicioCiclo,$S298+MOD(2-WEEKDAY($S298),7))+27),1,IF(ISNUMBER($L298),$L298,$AA298)))</f>
        <v/>
      </c>
      <c r="AC298" s="62">
        <f>IF($V298="","",IF(AND(ISNUMBER($G298),$G298&lt;=IF($S298=MesCiclo,InicioCiclo,$S298+MOD(2-WEEKDAY($S298),7))+6),1,IF(N($W298)&gt;0,AVERAGEIFS($Y$5:$Y$1000,$U$5:$U$1000,ROW(),$V$5:$V$1000,"Sub"),$Y298)))</f>
        <v/>
      </c>
      <c r="AD298" s="62">
        <f>IF($V298="","",IF(AND(ISNUMBER($G298),$G298&lt;=IF($S298=MesCiclo,InicioCiclo,$S298+MOD(2-WEEKDAY($S298),7))+13),1,IF(N($W298)&gt;0,AVERAGEIFS($Z$5:$Z$1000,$U$5:$U$1000,ROW(),$V$5:$V$1000,"Sub"),$Z298)))</f>
        <v/>
      </c>
      <c r="AE298" s="62">
        <f>IF($V298="","",IF(AND(ISNUMBER($G298),$G298&lt;=IF($S298=MesCiclo,InicioCiclo,$S298+MOD(2-WEEKDAY($S298),7))+20),1,IF(N($W298)&gt;0,AVERAGEIFS($AA$5:$AA$1000,$U$5:$U$1000,ROW(),$V$5:$V$1000,"Sub"),$AA298)))</f>
        <v/>
      </c>
      <c r="AF298" s="62">
        <f>IF($V298="","",IF(AND(ISNUMBER($G298),$G298&lt;=IF($S298=MesCiclo,InicioCiclo,$S298+MOD(2-WEEKDAY($S298),7))+27),1,IF(N($W298)&gt;0,AVERAGEIFS($AB$5:$AB$1000,$U$5:$U$1000,ROW(),$V$5:$V$1000,"Sub"),$AB298)))</f>
        <v/>
      </c>
      <c r="AG298" s="62">
        <f>IF($V298&lt;&gt;"Macro","",IF(COUNTIFS($S$5:$S$1000,$S298,$V$5:$V$1000,"Macro",$H$5:$H$1000,"&gt;0")=0,1/COUNTIFS($S$5:$S$1000,$S298,$V$5:$V$1000,"Macro"),IF(AND(ISNUMBER($H298),N($H298)&gt;0),$H298,SUMIFS($H$5:$H$1000,$S$5:$S$1000,$S298,$V$5:$V$1000,"Macro")/COUNTIFS($S$5:$S$1000,$S298,$V$5:$V$1000,"Macro",$H$5:$H$1000,"&gt;0"))/(COUNTIFS($S$5:$S$1000,$S298,$V$5:$V$1000,"Macro")*SUMIFS($H$5:$H$1000,$S$5:$S$1000,$S298,$V$5:$V$1000,"Macro")/COUNTIFS($S$5:$S$1000,$S298,$V$5:$V$1000,"Macro",$H$5:$H$1000,"&gt;0"))))</f>
        <v/>
      </c>
      <c r="AH298" s="62" t="n"/>
      <c r="AI298" s="62" t="n"/>
      <c r="AJ298" s="62" t="n"/>
      <c r="AK298" s="62" t="n"/>
      <c r="AL298" s="62">
        <f>IF(LEFT($C298,11)="[Jefatura] ",IFERROR(MATCH("Riesgo Normativo|"&amp;MID($C298,12,500),rDname_ADM,0),0),"")</f>
        <v/>
      </c>
      <c r="AM298" s="62">
        <f>IF(N($AL298)&gt;0,INDEX(rIni_ADM,$AL298),IF(ISNUMBER($E298),$E298,""))</f>
        <v/>
      </c>
      <c r="AN298" s="62">
        <f>IF(N($AL298)&gt;0,INDEX(rLim_ADM,$AL298),IF(ISNUMBER($F298),$F298,""))</f>
        <v/>
      </c>
    </row>
    <row r="299">
      <c r="A299" s="56">
        <f>IF(NOT((COUNTA($B299:$D299)+COUNTA($G299:$L299)+COUNTA($Q299))&gt;0),"",IF($V299="Macro",COUNTIFS($V$5:$V299,"Macro",$S$5:$S299,$S299),IF(N($U299)=0,"?",COUNTIFS(INDEX($V$5:$V$1000,1):INDEX($V$5:$V$1000,$U299-4),"Macro",INDEX($S$5:$S$1000,1):INDEX($S$5:$S$1000,$U299-4),INDEX($S$5:$S$1000,$U299-4))&amp;"."&amp;COUNTIFS($U$5:$U299,$U299,$V$5:$V299,"Sub"))))</f>
        <v/>
      </c>
      <c r="B299" s="57" t="n"/>
      <c r="C299" s="58" t="n"/>
      <c r="D299" s="58" t="n"/>
      <c r="E299" s="59">
        <f>IF(N($AL299)&gt;0,INDEX(rIni_ADM,$AL299),"")</f>
        <v/>
      </c>
      <c r="F299" s="59">
        <f>IF(N($AL299)&gt;0,INDEX(rLim_ADM,$AL299),"")</f>
        <v/>
      </c>
      <c r="G299" s="59" t="n"/>
      <c r="H299" s="60" t="n"/>
      <c r="I299" s="60" t="n"/>
      <c r="J299" s="60" t="n"/>
      <c r="K299" s="60" t="n"/>
      <c r="L299" s="60" t="n"/>
      <c r="M299" s="61">
        <f>IF(NOT((COUNTA($B299:$D299)+COUNTA($G299:$L299)+COUNTA($Q299))&gt;0),"",IF($V299="Sub",IFERROR($X299/INDEX($W$5:$W$1000,$U299-4),""),IF(ISNUMBER($G299),1,IF(N($W299)&gt;0,AVERAGEIFS($X$5:$X$1000,$U$5:$U$1000,ROW(),$V$5:$V$1000,"Sub"),$X299))))</f>
        <v/>
      </c>
      <c r="N299" s="56">
        <f>IF(OR($M299="",$V299="Sub"),"",IF($M299&gt;=1,"Completado",IF($M299&gt;0,"En curso","Pendiente")))</f>
        <v/>
      </c>
      <c r="O299" s="56">
        <f>IF(OR(NOT((COUNTA($B299:$D299)+COUNTA($G299:$L299)+COUNTA($Q299))&gt;0),$V299="Sub"),"",IF(ISNUMBER($G299),IF(AND(ISNUMBER($AN299),$G299&gt;$AN299),"Cumplida con "&amp;($G299-$AN299)&amp;IF($G299-$AN299=1," día"," días")&amp;" de retraso","Cumplida"),IF(N($M299)&gt;=1,"Cumplida",IF(NOT(ISNUMBER($AN299)),"Sin fecha límite",IF($AN299&lt;FechaRef,"Vencida hace "&amp;(FechaRef-$AN299)&amp;IF(FechaRef-$AN299=1," día"," días"),IF($AN299=FechaRef,"Vence hoy",IF($AN299-FechaRef&lt;=DiasAlerta,"Vence en "&amp;($AN299-FechaRef)&amp;IF($AN299-FechaRef=1," día"," días"),"En plazo")))))))</f>
        <v/>
      </c>
      <c r="P299" s="62" t="n"/>
      <c r="Q299" s="58" t="n"/>
      <c r="R299" s="63">
        <f>IF(NOT((COUNTA($B299:$D299)+COUNTA($G299:$L299)+COUNTA($Q299))&gt;0),"",IF((IF($C299="","Falta el nombre de la actividad"&amp;" · ","")&amp;IF(AND($V299="Sub",N($U299)=0),"Subactividad sin macroactividad arriba"&amp;" · ","")&amp;IF($AM299="","Sin fecha de inicio"&amp;" · ","")&amp;IF($AN299="","Sin fecha límite"&amp;" · ","")&amp;IF(AND(LEFT($C299,11)="[Jefatura] ",N($AL299)=0),"No se encuentra en la hoja de la jefatura (elíjala de nuevo en la lista)"&amp;" · ","")&amp;IF(OR(AND($E299&lt;&gt;"",NOT(ISNUMBER($E299))),AND($F299&lt;&gt;"",NOT(ISNUMBER($F299))),AND($G299&lt;&gt;"",NOT(ISNUMBER($G299)))),"Fecha no válida"&amp;" · ","")&amp;IF(AND(ISNUMBER($AM299),ISNUMBER($AN299),$AM299&gt;$AN299),"Inicio posterior a fecha límite"&amp;" · ","")&amp;IF(AND($V299="Macro",$H299&lt;&gt;"",OR(NOT(ISNUMBER($H299)),$H299&lt;0,$H299&gt;1)),"Peso fuera de rango"&amp;" · ","")&amp;IF(AND($V299="Sub",$H299&lt;&gt;""),"Las subactividades no llevan peso (valen igual dentro de su macroactividad)"&amp;" · ","")&amp;IF(AND(N($W299)&gt;0,COUNT($I299:$L299)&gt;0),"Con subactividades: deje vacías las semanas (se calculan solas)"&amp;" · ","")&amp;IF((COUNTIF($I299:$L299,"&gt;1")+COUNTIF($I299:$L299,"&lt;0")+COUNTA($I299:$L299)-COUNT($I299:$L299))&gt;0,"Avance fuera de rango 0-100%"&amp;" · ","")&amp;IF(OR(AND($J299&lt;&gt;"",$J299&lt;$I299),AND($K299&lt;&gt;"",$K299&lt;MAX($I299:$J299)),AND($L299&lt;&gt;"",$L299&lt;MAX($I299:$K299))),"Avance semanal decreciente"&amp;" · ","")&amp;IF(AND(ISNUMBER($AN299),$AN299&lt;FechaRef,IF($V299="Sub",N($X299),N($M299))&lt;1),"Vencida"&amp;" · ","")&amp;IF(AND(ObsObligatoria="Sí",ISNUMBER($AN299),$AN299&lt;FechaRef,IF($V299="Sub",N($X299),N($M299))&lt;1,$Q299=""),"Vencida sin observación"&amp;" · ",""))="","✔ OK","⚠ "&amp;LEFT(IF($C299="","Falta el nombre de la actividad"&amp;" · ","")&amp;IF(AND($V299="Sub",N($U299)=0),"Subactividad sin macroactividad arriba"&amp;" · ","")&amp;IF($AM299="","Sin fecha de inicio"&amp;" · ","")&amp;IF($AN299="","Sin fecha límite"&amp;" · ","")&amp;IF(AND(LEFT($C299,11)="[Jefatura] ",N($AL299)=0),"No se encuentra en la hoja de la jefatura (elíjala de nuevo en la lista)"&amp;" · ","")&amp;IF(OR(AND($E299&lt;&gt;"",NOT(ISNUMBER($E299))),AND($F299&lt;&gt;"",NOT(ISNUMBER($F299))),AND($G299&lt;&gt;"",NOT(ISNUMBER($G299)))),"Fecha no válida"&amp;" · ","")&amp;IF(AND(ISNUMBER($AM299),ISNUMBER($AN299),$AM299&gt;$AN299),"Inicio posterior a fecha límite"&amp;" · ","")&amp;IF(AND($V299="Macro",$H299&lt;&gt;"",OR(NOT(ISNUMBER($H299)),$H299&lt;0,$H299&gt;1)),"Peso fuera de rango"&amp;" · ","")&amp;IF(AND($V299="Sub",$H299&lt;&gt;""),"Las subactividades no llevan peso (valen igual dentro de su macroactividad)"&amp;" · ","")&amp;IF(AND(N($W299)&gt;0,COUNT($I299:$L299)&gt;0),"Con subactividades: deje vacías las semanas (se calculan solas)"&amp;" · ","")&amp;IF((COUNTIF($I299:$L299,"&gt;1")+COUNTIF($I299:$L299,"&lt;0")+COUNTA($I299:$L299)-COUNT($I299:$L299))&gt;0,"Avance fuera de rango 0-100%"&amp;" · ","")&amp;IF(OR(AND($J299&lt;&gt;"",$J299&lt;$I299),AND($K299&lt;&gt;"",$K299&lt;MAX($I299:$J299)),AND($L299&lt;&gt;"",$L299&lt;MAX($I299:$K299))),"Avance semanal decreciente"&amp;" · ","")&amp;IF(AND(ISNUMBER($AN299),$AN299&lt;FechaRef,IF($V299="Sub",N($X299),N($M299))&lt;1),"Vencida"&amp;" · ","")&amp;IF(AND(ObsObligatoria="Sí",ISNUMBER($AN299),$AN299&lt;FechaRef,IF($V299="Sub",N($X299),N($M299))&lt;1,$Q299=""),"Vencida sin observación"&amp;" · ",""),LEN(IF($C299="","Falta el nombre de la actividad"&amp;" · ","")&amp;IF(AND($V299="Sub",N($U299)=0),"Subactividad sin macroactividad arriba"&amp;" · ","")&amp;IF($AM299="","Sin fecha de inicio"&amp;" · ","")&amp;IF($AN299="","Sin fecha límite"&amp;" · ","")&amp;IF(AND(LEFT($C299,11)="[Jefatura] ",N($AL299)=0),"No se encuentra en la hoja de la jefatura (elíjala de nuevo en la lista)"&amp;" · ","")&amp;IF(OR(AND($E299&lt;&gt;"",NOT(ISNUMBER($E299))),AND($F299&lt;&gt;"",NOT(ISNUMBER($F299))),AND($G299&lt;&gt;"",NOT(ISNUMBER($G299)))),"Fecha no válida"&amp;" · ","")&amp;IF(AND(ISNUMBER($AM299),ISNUMBER($AN299),$AM299&gt;$AN299),"Inicio posterior a fecha límite"&amp;" · ","")&amp;IF(AND($V299="Macro",$H299&lt;&gt;"",OR(NOT(ISNUMBER($H299)),$H299&lt;0,$H299&gt;1)),"Peso fuera de rango"&amp;" · ","")&amp;IF(AND($V299="Sub",$H299&lt;&gt;""),"Las subactividades no llevan peso (valen igual dentro de su macroactividad)"&amp;" · ","")&amp;IF(AND(N($W299)&gt;0,COUNT($I299:$L299)&gt;0),"Con subactividades: deje vacías las semanas (se calculan solas)"&amp;" · ","")&amp;IF((COUNTIF($I299:$L299,"&gt;1")+COUNTIF($I299:$L299,"&lt;0")+COUNTA($I299:$L299)-COUNT($I299:$L299))&gt;0,"Avance fuera de rango 0-100%"&amp;" · ","")&amp;IF(OR(AND($J299&lt;&gt;"",$J299&lt;$I299),AND($K299&lt;&gt;"",$K299&lt;MAX($I299:$J299)),AND($L299&lt;&gt;"",$L299&lt;MAX($I299:$K299))),"Avance semanal decreciente"&amp;" · ","")&amp;IF(AND(ISNUMBER($AN299),$AN299&lt;FechaRef,IF($V299="Sub",N($X299),N($M299))&lt;1),"Vencida"&amp;" · ","")&amp;IF(AND(ObsObligatoria="Sí",ISNUMBER($AN299),$AN299&lt;FechaRef,IF($V299="Sub",N($X299),N($M299))&lt;1,$Q299=""),"Vencida sin observación"&amp;" · ",""))-3)))</f>
        <v/>
      </c>
      <c r="S299" s="64">
        <f>IF(NOT((COUNTA($B299:$D299)+COUNTA($G299:$L299)+COUNTA($Q299))&gt;0),"",IF(AND($V299="Sub",N($U299)&gt;0),IF(ISNUMBER(INDEX($AM$5:$AM$1000,$U299-4)),DATE(YEAR(INDEX($AM$5:$AM$1000,$U299-4)),MONTH(INDEX($AM$5:$AM$1000,$U299-4)),1),IF(ISNUMBER(INDEX($AN$5:$AN$1000,$U299-4)),DATE(YEAR(INDEX($AN$5:$AN$1000,$U299-4)),MONTH(INDEX($AN$5:$AN$1000,$U299-4)),1),MesCiclo)),IF(ISNUMBER($AM299),DATE(YEAR($AM299),MONTH($AM299),1),IF(ISNUMBER($AN299),DATE(YEAR($AN299),MONTH($AN299),1),MesCiclo))))</f>
        <v/>
      </c>
      <c r="T299" s="62">
        <f>IF(OR($S299="",$S299&lt;&gt;MesCiclo,$V299&lt;&gt;"Macro"),"",COUNTIFS($S$5:$S299,MesCiclo,$V$5:$V299,"Macro"))</f>
        <v/>
      </c>
      <c r="U299" s="62">
        <f>IF($V299="","",IF($V299="Macro",ROW(),IFERROR(LOOKUP(2,1/($V$5:$V299="Macro"),ROW($V$5:$V299)),0)))</f>
        <v/>
      </c>
      <c r="V299" s="62">
        <f>IF(NOT((COUNTA($B299:$D299)+COUNTA($G299:$L299)+COUNTA($Q299))&gt;0),"",IF($B299="Subactividad","Sub","Macro"))</f>
        <v/>
      </c>
      <c r="W299" s="62">
        <f>IF($V299="Macro",COUNTIFS($U$5:$U$1000,ROW(),$V$5:$V$1000,"Sub"),"")</f>
        <v/>
      </c>
      <c r="X299" s="62">
        <f>IF($V299="","",IF(ISNUMBER($G299),1,IFERROR(LOOKUP(2,1/($I299:$L299&lt;&gt;""),$I299:$L299),0)))</f>
        <v/>
      </c>
      <c r="Y299" s="62">
        <f>IF($V299="","",IF(AND(ISNUMBER($G299),$G299&lt;=IF($S299=MesCiclo,InicioCiclo,$S299+MOD(2-WEEKDAY($S299),7))+6),1,IF(ISNUMBER($I299),$I299,0)))</f>
        <v/>
      </c>
      <c r="Z299" s="62">
        <f>IF($V299="","",IF(AND(ISNUMBER($G299),$G299&lt;=IF($S299=MesCiclo,InicioCiclo,$S299+MOD(2-WEEKDAY($S299),7))+13),1,IF(ISNUMBER($J299),$J299,$Y299)))</f>
        <v/>
      </c>
      <c r="AA299" s="62">
        <f>IF($V299="","",IF(AND(ISNUMBER($G299),$G299&lt;=IF($S299=MesCiclo,InicioCiclo,$S299+MOD(2-WEEKDAY($S299),7))+20),1,IF(ISNUMBER($K299),$K299,$Z299)))</f>
        <v/>
      </c>
      <c r="AB299" s="62">
        <f>IF($V299="","",IF(AND(ISNUMBER($G299),$G299&lt;=IF($S299=MesCiclo,InicioCiclo,$S299+MOD(2-WEEKDAY($S299),7))+27),1,IF(ISNUMBER($L299),$L299,$AA299)))</f>
        <v/>
      </c>
      <c r="AC299" s="62">
        <f>IF($V299="","",IF(AND(ISNUMBER($G299),$G299&lt;=IF($S299=MesCiclo,InicioCiclo,$S299+MOD(2-WEEKDAY($S299),7))+6),1,IF(N($W299)&gt;0,AVERAGEIFS($Y$5:$Y$1000,$U$5:$U$1000,ROW(),$V$5:$V$1000,"Sub"),$Y299)))</f>
        <v/>
      </c>
      <c r="AD299" s="62">
        <f>IF($V299="","",IF(AND(ISNUMBER($G299),$G299&lt;=IF($S299=MesCiclo,InicioCiclo,$S299+MOD(2-WEEKDAY($S299),7))+13),1,IF(N($W299)&gt;0,AVERAGEIFS($Z$5:$Z$1000,$U$5:$U$1000,ROW(),$V$5:$V$1000,"Sub"),$Z299)))</f>
        <v/>
      </c>
      <c r="AE299" s="62">
        <f>IF($V299="","",IF(AND(ISNUMBER($G299),$G299&lt;=IF($S299=MesCiclo,InicioCiclo,$S299+MOD(2-WEEKDAY($S299),7))+20),1,IF(N($W299)&gt;0,AVERAGEIFS($AA$5:$AA$1000,$U$5:$U$1000,ROW(),$V$5:$V$1000,"Sub"),$AA299)))</f>
        <v/>
      </c>
      <c r="AF299" s="62">
        <f>IF($V299="","",IF(AND(ISNUMBER($G299),$G299&lt;=IF($S299=MesCiclo,InicioCiclo,$S299+MOD(2-WEEKDAY($S299),7))+27),1,IF(N($W299)&gt;0,AVERAGEIFS($AB$5:$AB$1000,$U$5:$U$1000,ROW(),$V$5:$V$1000,"Sub"),$AB299)))</f>
        <v/>
      </c>
      <c r="AG299" s="62">
        <f>IF($V299&lt;&gt;"Macro","",IF(COUNTIFS($S$5:$S$1000,$S299,$V$5:$V$1000,"Macro",$H$5:$H$1000,"&gt;0")=0,1/COUNTIFS($S$5:$S$1000,$S299,$V$5:$V$1000,"Macro"),IF(AND(ISNUMBER($H299),N($H299)&gt;0),$H299,SUMIFS($H$5:$H$1000,$S$5:$S$1000,$S299,$V$5:$V$1000,"Macro")/COUNTIFS($S$5:$S$1000,$S299,$V$5:$V$1000,"Macro",$H$5:$H$1000,"&gt;0"))/(COUNTIFS($S$5:$S$1000,$S299,$V$5:$V$1000,"Macro")*SUMIFS($H$5:$H$1000,$S$5:$S$1000,$S299,$V$5:$V$1000,"Macro")/COUNTIFS($S$5:$S$1000,$S299,$V$5:$V$1000,"Macro",$H$5:$H$1000,"&gt;0"))))</f>
        <v/>
      </c>
      <c r="AH299" s="62" t="n"/>
      <c r="AI299" s="62" t="n"/>
      <c r="AJ299" s="62" t="n"/>
      <c r="AK299" s="62" t="n"/>
      <c r="AL299" s="62">
        <f>IF(LEFT($C299,11)="[Jefatura] ",IFERROR(MATCH("Riesgo Normativo|"&amp;MID($C299,12,500),rDname_ADM,0),0),"")</f>
        <v/>
      </c>
      <c r="AM299" s="62">
        <f>IF(N($AL299)&gt;0,INDEX(rIni_ADM,$AL299),IF(ISNUMBER($E299),$E299,""))</f>
        <v/>
      </c>
      <c r="AN299" s="62">
        <f>IF(N($AL299)&gt;0,INDEX(rLim_ADM,$AL299),IF(ISNUMBER($F299),$F299,""))</f>
        <v/>
      </c>
    </row>
    <row r="300">
      <c r="A300" s="56">
        <f>IF(NOT((COUNTA($B300:$D300)+COUNTA($G300:$L300)+COUNTA($Q300))&gt;0),"",IF($V300="Macro",COUNTIFS($V$5:$V300,"Macro",$S$5:$S300,$S300),IF(N($U300)=0,"?",COUNTIFS(INDEX($V$5:$V$1000,1):INDEX($V$5:$V$1000,$U300-4),"Macro",INDEX($S$5:$S$1000,1):INDEX($S$5:$S$1000,$U300-4),INDEX($S$5:$S$1000,$U300-4))&amp;"."&amp;COUNTIFS($U$5:$U300,$U300,$V$5:$V300,"Sub"))))</f>
        <v/>
      </c>
      <c r="B300" s="57" t="n"/>
      <c r="C300" s="58" t="n"/>
      <c r="D300" s="58" t="n"/>
      <c r="E300" s="59">
        <f>IF(N($AL300)&gt;0,INDEX(rIni_ADM,$AL300),"")</f>
        <v/>
      </c>
      <c r="F300" s="59">
        <f>IF(N($AL300)&gt;0,INDEX(rLim_ADM,$AL300),"")</f>
        <v/>
      </c>
      <c r="G300" s="59" t="n"/>
      <c r="H300" s="60" t="n"/>
      <c r="I300" s="60" t="n"/>
      <c r="J300" s="60" t="n"/>
      <c r="K300" s="60" t="n"/>
      <c r="L300" s="60" t="n"/>
      <c r="M300" s="61">
        <f>IF(NOT((COUNTA($B300:$D300)+COUNTA($G300:$L300)+COUNTA($Q300))&gt;0),"",IF($V300="Sub",IFERROR($X300/INDEX($W$5:$W$1000,$U300-4),""),IF(ISNUMBER($G300),1,IF(N($W300)&gt;0,AVERAGEIFS($X$5:$X$1000,$U$5:$U$1000,ROW(),$V$5:$V$1000,"Sub"),$X300))))</f>
        <v/>
      </c>
      <c r="N300" s="56">
        <f>IF(OR($M300="",$V300="Sub"),"",IF($M300&gt;=1,"Completado",IF($M300&gt;0,"En curso","Pendiente")))</f>
        <v/>
      </c>
      <c r="O300" s="56">
        <f>IF(OR(NOT((COUNTA($B300:$D300)+COUNTA($G300:$L300)+COUNTA($Q300))&gt;0),$V300="Sub"),"",IF(ISNUMBER($G300),IF(AND(ISNUMBER($AN300),$G300&gt;$AN300),"Cumplida con "&amp;($G300-$AN300)&amp;IF($G300-$AN300=1," día"," días")&amp;" de retraso","Cumplida"),IF(N($M300)&gt;=1,"Cumplida",IF(NOT(ISNUMBER($AN300)),"Sin fecha límite",IF($AN300&lt;FechaRef,"Vencida hace "&amp;(FechaRef-$AN300)&amp;IF(FechaRef-$AN300=1," día"," días"),IF($AN300=FechaRef,"Vence hoy",IF($AN300-FechaRef&lt;=DiasAlerta,"Vence en "&amp;($AN300-FechaRef)&amp;IF($AN300-FechaRef=1," día"," días"),"En plazo")))))))</f>
        <v/>
      </c>
      <c r="P300" s="62" t="n"/>
      <c r="Q300" s="58" t="n"/>
      <c r="R300" s="63">
        <f>IF(NOT((COUNTA($B300:$D300)+COUNTA($G300:$L300)+COUNTA($Q300))&gt;0),"",IF((IF($C300="","Falta el nombre de la actividad"&amp;" · ","")&amp;IF(AND($V300="Sub",N($U300)=0),"Subactividad sin macroactividad arriba"&amp;" · ","")&amp;IF($AM300="","Sin fecha de inicio"&amp;" · ","")&amp;IF($AN300="","Sin fecha límite"&amp;" · ","")&amp;IF(AND(LEFT($C300,11)="[Jefatura] ",N($AL300)=0),"No se encuentra en la hoja de la jefatura (elíjala de nuevo en la lista)"&amp;" · ","")&amp;IF(OR(AND($E300&lt;&gt;"",NOT(ISNUMBER($E300))),AND($F300&lt;&gt;"",NOT(ISNUMBER($F300))),AND($G300&lt;&gt;"",NOT(ISNUMBER($G300)))),"Fecha no válida"&amp;" · ","")&amp;IF(AND(ISNUMBER($AM300),ISNUMBER($AN300),$AM300&gt;$AN300),"Inicio posterior a fecha límite"&amp;" · ","")&amp;IF(AND($V300="Macro",$H300&lt;&gt;"",OR(NOT(ISNUMBER($H300)),$H300&lt;0,$H300&gt;1)),"Peso fuera de rango"&amp;" · ","")&amp;IF(AND($V300="Sub",$H300&lt;&gt;""),"Las subactividades no llevan peso (valen igual dentro de su macroactividad)"&amp;" · ","")&amp;IF(AND(N($W300)&gt;0,COUNT($I300:$L300)&gt;0),"Con subactividades: deje vacías las semanas (se calculan solas)"&amp;" · ","")&amp;IF((COUNTIF($I300:$L300,"&gt;1")+COUNTIF($I300:$L300,"&lt;0")+COUNTA($I300:$L300)-COUNT($I300:$L300))&gt;0,"Avance fuera de rango 0-100%"&amp;" · ","")&amp;IF(OR(AND($J300&lt;&gt;"",$J300&lt;$I300),AND($K300&lt;&gt;"",$K300&lt;MAX($I300:$J300)),AND($L300&lt;&gt;"",$L300&lt;MAX($I300:$K300))),"Avance semanal decreciente"&amp;" · ","")&amp;IF(AND(ISNUMBER($AN300),$AN300&lt;FechaRef,IF($V300="Sub",N($X300),N($M300))&lt;1),"Vencida"&amp;" · ","")&amp;IF(AND(ObsObligatoria="Sí",ISNUMBER($AN300),$AN300&lt;FechaRef,IF($V300="Sub",N($X300),N($M300))&lt;1,$Q300=""),"Vencida sin observación"&amp;" · ",""))="","✔ OK","⚠ "&amp;LEFT(IF($C300="","Falta el nombre de la actividad"&amp;" · ","")&amp;IF(AND($V300="Sub",N($U300)=0),"Subactividad sin macroactividad arriba"&amp;" · ","")&amp;IF($AM300="","Sin fecha de inicio"&amp;" · ","")&amp;IF($AN300="","Sin fecha límite"&amp;" · ","")&amp;IF(AND(LEFT($C300,11)="[Jefatura] ",N($AL300)=0),"No se encuentra en la hoja de la jefatura (elíjala de nuevo en la lista)"&amp;" · ","")&amp;IF(OR(AND($E300&lt;&gt;"",NOT(ISNUMBER($E300))),AND($F300&lt;&gt;"",NOT(ISNUMBER($F300))),AND($G300&lt;&gt;"",NOT(ISNUMBER($G300)))),"Fecha no válida"&amp;" · ","")&amp;IF(AND(ISNUMBER($AM300),ISNUMBER($AN300),$AM300&gt;$AN300),"Inicio posterior a fecha límite"&amp;" · ","")&amp;IF(AND($V300="Macro",$H300&lt;&gt;"",OR(NOT(ISNUMBER($H300)),$H300&lt;0,$H300&gt;1)),"Peso fuera de rango"&amp;" · ","")&amp;IF(AND($V300="Sub",$H300&lt;&gt;""),"Las subactividades no llevan peso (valen igual dentro de su macroactividad)"&amp;" · ","")&amp;IF(AND(N($W300)&gt;0,COUNT($I300:$L300)&gt;0),"Con subactividades: deje vacías las semanas (se calculan solas)"&amp;" · ","")&amp;IF((COUNTIF($I300:$L300,"&gt;1")+COUNTIF($I300:$L300,"&lt;0")+COUNTA($I300:$L300)-COUNT($I300:$L300))&gt;0,"Avance fuera de rango 0-100%"&amp;" · ","")&amp;IF(OR(AND($J300&lt;&gt;"",$J300&lt;$I300),AND($K300&lt;&gt;"",$K300&lt;MAX($I300:$J300)),AND($L300&lt;&gt;"",$L300&lt;MAX($I300:$K300))),"Avance semanal decreciente"&amp;" · ","")&amp;IF(AND(ISNUMBER($AN300),$AN300&lt;FechaRef,IF($V300="Sub",N($X300),N($M300))&lt;1),"Vencida"&amp;" · ","")&amp;IF(AND(ObsObligatoria="Sí",ISNUMBER($AN300),$AN300&lt;FechaRef,IF($V300="Sub",N($X300),N($M300))&lt;1,$Q300=""),"Vencida sin observación"&amp;" · ",""),LEN(IF($C300="","Falta el nombre de la actividad"&amp;" · ","")&amp;IF(AND($V300="Sub",N($U300)=0),"Subactividad sin macroactividad arriba"&amp;" · ","")&amp;IF($AM300="","Sin fecha de inicio"&amp;" · ","")&amp;IF($AN300="","Sin fecha límite"&amp;" · ","")&amp;IF(AND(LEFT($C300,11)="[Jefatura] ",N($AL300)=0),"No se encuentra en la hoja de la jefatura (elíjala de nuevo en la lista)"&amp;" · ","")&amp;IF(OR(AND($E300&lt;&gt;"",NOT(ISNUMBER($E300))),AND($F300&lt;&gt;"",NOT(ISNUMBER($F300))),AND($G300&lt;&gt;"",NOT(ISNUMBER($G300)))),"Fecha no válida"&amp;" · ","")&amp;IF(AND(ISNUMBER($AM300),ISNUMBER($AN300),$AM300&gt;$AN300),"Inicio posterior a fecha límite"&amp;" · ","")&amp;IF(AND($V300="Macro",$H300&lt;&gt;"",OR(NOT(ISNUMBER($H300)),$H300&lt;0,$H300&gt;1)),"Peso fuera de rango"&amp;" · ","")&amp;IF(AND($V300="Sub",$H300&lt;&gt;""),"Las subactividades no llevan peso (valen igual dentro de su macroactividad)"&amp;" · ","")&amp;IF(AND(N($W300)&gt;0,COUNT($I300:$L300)&gt;0),"Con subactividades: deje vacías las semanas (se calculan solas)"&amp;" · ","")&amp;IF((COUNTIF($I300:$L300,"&gt;1")+COUNTIF($I300:$L300,"&lt;0")+COUNTA($I300:$L300)-COUNT($I300:$L300))&gt;0,"Avance fuera de rango 0-100%"&amp;" · ","")&amp;IF(OR(AND($J300&lt;&gt;"",$J300&lt;$I300),AND($K300&lt;&gt;"",$K300&lt;MAX($I300:$J300)),AND($L300&lt;&gt;"",$L300&lt;MAX($I300:$K300))),"Avance semanal decreciente"&amp;" · ","")&amp;IF(AND(ISNUMBER($AN300),$AN300&lt;FechaRef,IF($V300="Sub",N($X300),N($M300))&lt;1),"Vencida"&amp;" · ","")&amp;IF(AND(ObsObligatoria="Sí",ISNUMBER($AN300),$AN300&lt;FechaRef,IF($V300="Sub",N($X300),N($M300))&lt;1,$Q300=""),"Vencida sin observación"&amp;" · ",""))-3)))</f>
        <v/>
      </c>
      <c r="S300" s="64">
        <f>IF(NOT((COUNTA($B300:$D300)+COUNTA($G300:$L300)+COUNTA($Q300))&gt;0),"",IF(AND($V300="Sub",N($U300)&gt;0),IF(ISNUMBER(INDEX($AM$5:$AM$1000,$U300-4)),DATE(YEAR(INDEX($AM$5:$AM$1000,$U300-4)),MONTH(INDEX($AM$5:$AM$1000,$U300-4)),1),IF(ISNUMBER(INDEX($AN$5:$AN$1000,$U300-4)),DATE(YEAR(INDEX($AN$5:$AN$1000,$U300-4)),MONTH(INDEX($AN$5:$AN$1000,$U300-4)),1),MesCiclo)),IF(ISNUMBER($AM300),DATE(YEAR($AM300),MONTH($AM300),1),IF(ISNUMBER($AN300),DATE(YEAR($AN300),MONTH($AN300),1),MesCiclo))))</f>
        <v/>
      </c>
      <c r="T300" s="62">
        <f>IF(OR($S300="",$S300&lt;&gt;MesCiclo,$V300&lt;&gt;"Macro"),"",COUNTIFS($S$5:$S300,MesCiclo,$V$5:$V300,"Macro"))</f>
        <v/>
      </c>
      <c r="U300" s="62">
        <f>IF($V300="","",IF($V300="Macro",ROW(),IFERROR(LOOKUP(2,1/($V$5:$V300="Macro"),ROW($V$5:$V300)),0)))</f>
        <v/>
      </c>
      <c r="V300" s="62">
        <f>IF(NOT((COUNTA($B300:$D300)+COUNTA($G300:$L300)+COUNTA($Q300))&gt;0),"",IF($B300="Subactividad","Sub","Macro"))</f>
        <v/>
      </c>
      <c r="W300" s="62">
        <f>IF($V300="Macro",COUNTIFS($U$5:$U$1000,ROW(),$V$5:$V$1000,"Sub"),"")</f>
        <v/>
      </c>
      <c r="X300" s="62">
        <f>IF($V300="","",IF(ISNUMBER($G300),1,IFERROR(LOOKUP(2,1/($I300:$L300&lt;&gt;""),$I300:$L300),0)))</f>
        <v/>
      </c>
      <c r="Y300" s="62">
        <f>IF($V300="","",IF(AND(ISNUMBER($G300),$G300&lt;=IF($S300=MesCiclo,InicioCiclo,$S300+MOD(2-WEEKDAY($S300),7))+6),1,IF(ISNUMBER($I300),$I300,0)))</f>
        <v/>
      </c>
      <c r="Z300" s="62">
        <f>IF($V300="","",IF(AND(ISNUMBER($G300),$G300&lt;=IF($S300=MesCiclo,InicioCiclo,$S300+MOD(2-WEEKDAY($S300),7))+13),1,IF(ISNUMBER($J300),$J300,$Y300)))</f>
        <v/>
      </c>
      <c r="AA300" s="62">
        <f>IF($V300="","",IF(AND(ISNUMBER($G300),$G300&lt;=IF($S300=MesCiclo,InicioCiclo,$S300+MOD(2-WEEKDAY($S300),7))+20),1,IF(ISNUMBER($K300),$K300,$Z300)))</f>
        <v/>
      </c>
      <c r="AB300" s="62">
        <f>IF($V300="","",IF(AND(ISNUMBER($G300),$G300&lt;=IF($S300=MesCiclo,InicioCiclo,$S300+MOD(2-WEEKDAY($S300),7))+27),1,IF(ISNUMBER($L300),$L300,$AA300)))</f>
        <v/>
      </c>
      <c r="AC300" s="62">
        <f>IF($V300="","",IF(AND(ISNUMBER($G300),$G300&lt;=IF($S300=MesCiclo,InicioCiclo,$S300+MOD(2-WEEKDAY($S300),7))+6),1,IF(N($W300)&gt;0,AVERAGEIFS($Y$5:$Y$1000,$U$5:$U$1000,ROW(),$V$5:$V$1000,"Sub"),$Y300)))</f>
        <v/>
      </c>
      <c r="AD300" s="62">
        <f>IF($V300="","",IF(AND(ISNUMBER($G300),$G300&lt;=IF($S300=MesCiclo,InicioCiclo,$S300+MOD(2-WEEKDAY($S300),7))+13),1,IF(N($W300)&gt;0,AVERAGEIFS($Z$5:$Z$1000,$U$5:$U$1000,ROW(),$V$5:$V$1000,"Sub"),$Z300)))</f>
        <v/>
      </c>
      <c r="AE300" s="62">
        <f>IF($V300="","",IF(AND(ISNUMBER($G300),$G300&lt;=IF($S300=MesCiclo,InicioCiclo,$S300+MOD(2-WEEKDAY($S300),7))+20),1,IF(N($W300)&gt;0,AVERAGEIFS($AA$5:$AA$1000,$U$5:$U$1000,ROW(),$V$5:$V$1000,"Sub"),$AA300)))</f>
        <v/>
      </c>
      <c r="AF300" s="62">
        <f>IF($V300="","",IF(AND(ISNUMBER($G300),$G300&lt;=IF($S300=MesCiclo,InicioCiclo,$S300+MOD(2-WEEKDAY($S300),7))+27),1,IF(N($W300)&gt;0,AVERAGEIFS($AB$5:$AB$1000,$U$5:$U$1000,ROW(),$V$5:$V$1000,"Sub"),$AB300)))</f>
        <v/>
      </c>
      <c r="AG300" s="62">
        <f>IF($V300&lt;&gt;"Macro","",IF(COUNTIFS($S$5:$S$1000,$S300,$V$5:$V$1000,"Macro",$H$5:$H$1000,"&gt;0")=0,1/COUNTIFS($S$5:$S$1000,$S300,$V$5:$V$1000,"Macro"),IF(AND(ISNUMBER($H300),N($H300)&gt;0),$H300,SUMIFS($H$5:$H$1000,$S$5:$S$1000,$S300,$V$5:$V$1000,"Macro")/COUNTIFS($S$5:$S$1000,$S300,$V$5:$V$1000,"Macro",$H$5:$H$1000,"&gt;0"))/(COUNTIFS($S$5:$S$1000,$S300,$V$5:$V$1000,"Macro")*SUMIFS($H$5:$H$1000,$S$5:$S$1000,$S300,$V$5:$V$1000,"Macro")/COUNTIFS($S$5:$S$1000,$S300,$V$5:$V$1000,"Macro",$H$5:$H$1000,"&gt;0"))))</f>
        <v/>
      </c>
      <c r="AH300" s="62" t="n"/>
      <c r="AI300" s="62" t="n"/>
      <c r="AJ300" s="62" t="n"/>
      <c r="AK300" s="62" t="n"/>
      <c r="AL300" s="62">
        <f>IF(LEFT($C300,11)="[Jefatura] ",IFERROR(MATCH("Riesgo Normativo|"&amp;MID($C300,12,500),rDname_ADM,0),0),"")</f>
        <v/>
      </c>
      <c r="AM300" s="62">
        <f>IF(N($AL300)&gt;0,INDEX(rIni_ADM,$AL300),IF(ISNUMBER($E300),$E300,""))</f>
        <v/>
      </c>
      <c r="AN300" s="62">
        <f>IF(N($AL300)&gt;0,INDEX(rLim_ADM,$AL300),IF(ISNUMBER($F300),$F300,""))</f>
        <v/>
      </c>
    </row>
    <row r="301">
      <c r="A301" s="56">
        <f>IF(NOT((COUNTA($B301:$D301)+COUNTA($G301:$L301)+COUNTA($Q301))&gt;0),"",IF($V301="Macro",COUNTIFS($V$5:$V301,"Macro",$S$5:$S301,$S301),IF(N($U301)=0,"?",COUNTIFS(INDEX($V$5:$V$1000,1):INDEX($V$5:$V$1000,$U301-4),"Macro",INDEX($S$5:$S$1000,1):INDEX($S$5:$S$1000,$U301-4),INDEX($S$5:$S$1000,$U301-4))&amp;"."&amp;COUNTIFS($U$5:$U301,$U301,$V$5:$V301,"Sub"))))</f>
        <v/>
      </c>
      <c r="B301" s="57" t="n"/>
      <c r="C301" s="58" t="n"/>
      <c r="D301" s="58" t="n"/>
      <c r="E301" s="59">
        <f>IF(N($AL301)&gt;0,INDEX(rIni_ADM,$AL301),"")</f>
        <v/>
      </c>
      <c r="F301" s="59">
        <f>IF(N($AL301)&gt;0,INDEX(rLim_ADM,$AL301),"")</f>
        <v/>
      </c>
      <c r="G301" s="59" t="n"/>
      <c r="H301" s="60" t="n"/>
      <c r="I301" s="60" t="n"/>
      <c r="J301" s="60" t="n"/>
      <c r="K301" s="60" t="n"/>
      <c r="L301" s="60" t="n"/>
      <c r="M301" s="61">
        <f>IF(NOT((COUNTA($B301:$D301)+COUNTA($G301:$L301)+COUNTA($Q301))&gt;0),"",IF($V301="Sub",IFERROR($X301/INDEX($W$5:$W$1000,$U301-4),""),IF(ISNUMBER($G301),1,IF(N($W301)&gt;0,AVERAGEIFS($X$5:$X$1000,$U$5:$U$1000,ROW(),$V$5:$V$1000,"Sub"),$X301))))</f>
        <v/>
      </c>
      <c r="N301" s="56">
        <f>IF(OR($M301="",$V301="Sub"),"",IF($M301&gt;=1,"Completado",IF($M301&gt;0,"En curso","Pendiente")))</f>
        <v/>
      </c>
      <c r="O301" s="56">
        <f>IF(OR(NOT((COUNTA($B301:$D301)+COUNTA($G301:$L301)+COUNTA($Q301))&gt;0),$V301="Sub"),"",IF(ISNUMBER($G301),IF(AND(ISNUMBER($AN301),$G301&gt;$AN301),"Cumplida con "&amp;($G301-$AN301)&amp;IF($G301-$AN301=1," día"," días")&amp;" de retraso","Cumplida"),IF(N($M301)&gt;=1,"Cumplida",IF(NOT(ISNUMBER($AN301)),"Sin fecha límite",IF($AN301&lt;FechaRef,"Vencida hace "&amp;(FechaRef-$AN301)&amp;IF(FechaRef-$AN301=1," día"," días"),IF($AN301=FechaRef,"Vence hoy",IF($AN301-FechaRef&lt;=DiasAlerta,"Vence en "&amp;($AN301-FechaRef)&amp;IF($AN301-FechaRef=1," día"," días"),"En plazo")))))))</f>
        <v/>
      </c>
      <c r="P301" s="62" t="n"/>
      <c r="Q301" s="58" t="n"/>
      <c r="R301" s="63">
        <f>IF(NOT((COUNTA($B301:$D301)+COUNTA($G301:$L301)+COUNTA($Q301))&gt;0),"",IF((IF($C301="","Falta el nombre de la actividad"&amp;" · ","")&amp;IF(AND($V301="Sub",N($U301)=0),"Subactividad sin macroactividad arriba"&amp;" · ","")&amp;IF($AM301="","Sin fecha de inicio"&amp;" · ","")&amp;IF($AN301="","Sin fecha límite"&amp;" · ","")&amp;IF(AND(LEFT($C301,11)="[Jefatura] ",N($AL301)=0),"No se encuentra en la hoja de la jefatura (elíjala de nuevo en la lista)"&amp;" · ","")&amp;IF(OR(AND($E301&lt;&gt;"",NOT(ISNUMBER($E301))),AND($F301&lt;&gt;"",NOT(ISNUMBER($F301))),AND($G301&lt;&gt;"",NOT(ISNUMBER($G301)))),"Fecha no válida"&amp;" · ","")&amp;IF(AND(ISNUMBER($AM301),ISNUMBER($AN301),$AM301&gt;$AN301),"Inicio posterior a fecha límite"&amp;" · ","")&amp;IF(AND($V301="Macro",$H301&lt;&gt;"",OR(NOT(ISNUMBER($H301)),$H301&lt;0,$H301&gt;1)),"Peso fuera de rango"&amp;" · ","")&amp;IF(AND($V301="Sub",$H301&lt;&gt;""),"Las subactividades no llevan peso (valen igual dentro de su macroactividad)"&amp;" · ","")&amp;IF(AND(N($W301)&gt;0,COUNT($I301:$L301)&gt;0),"Con subactividades: deje vacías las semanas (se calculan solas)"&amp;" · ","")&amp;IF((COUNTIF($I301:$L301,"&gt;1")+COUNTIF($I301:$L301,"&lt;0")+COUNTA($I301:$L301)-COUNT($I301:$L301))&gt;0,"Avance fuera de rango 0-100%"&amp;" · ","")&amp;IF(OR(AND($J301&lt;&gt;"",$J301&lt;$I301),AND($K301&lt;&gt;"",$K301&lt;MAX($I301:$J301)),AND($L301&lt;&gt;"",$L301&lt;MAX($I301:$K301))),"Avance semanal decreciente"&amp;" · ","")&amp;IF(AND(ISNUMBER($AN301),$AN301&lt;FechaRef,IF($V301="Sub",N($X301),N($M301))&lt;1),"Vencida"&amp;" · ","")&amp;IF(AND(ObsObligatoria="Sí",ISNUMBER($AN301),$AN301&lt;FechaRef,IF($V301="Sub",N($X301),N($M301))&lt;1,$Q301=""),"Vencida sin observación"&amp;" · ",""))="","✔ OK","⚠ "&amp;LEFT(IF($C301="","Falta el nombre de la actividad"&amp;" · ","")&amp;IF(AND($V301="Sub",N($U301)=0),"Subactividad sin macroactividad arriba"&amp;" · ","")&amp;IF($AM301="","Sin fecha de inicio"&amp;" · ","")&amp;IF($AN301="","Sin fecha límite"&amp;" · ","")&amp;IF(AND(LEFT($C301,11)="[Jefatura] ",N($AL301)=0),"No se encuentra en la hoja de la jefatura (elíjala de nuevo en la lista)"&amp;" · ","")&amp;IF(OR(AND($E301&lt;&gt;"",NOT(ISNUMBER($E301))),AND($F301&lt;&gt;"",NOT(ISNUMBER($F301))),AND($G301&lt;&gt;"",NOT(ISNUMBER($G301)))),"Fecha no válida"&amp;" · ","")&amp;IF(AND(ISNUMBER($AM301),ISNUMBER($AN301),$AM301&gt;$AN301),"Inicio posterior a fecha límite"&amp;" · ","")&amp;IF(AND($V301="Macro",$H301&lt;&gt;"",OR(NOT(ISNUMBER($H301)),$H301&lt;0,$H301&gt;1)),"Peso fuera de rango"&amp;" · ","")&amp;IF(AND($V301="Sub",$H301&lt;&gt;""),"Las subactividades no llevan peso (valen igual dentro de su macroactividad)"&amp;" · ","")&amp;IF(AND(N($W301)&gt;0,COUNT($I301:$L301)&gt;0),"Con subactividades: deje vacías las semanas (se calculan solas)"&amp;" · ","")&amp;IF((COUNTIF($I301:$L301,"&gt;1")+COUNTIF($I301:$L301,"&lt;0")+COUNTA($I301:$L301)-COUNT($I301:$L301))&gt;0,"Avance fuera de rango 0-100%"&amp;" · ","")&amp;IF(OR(AND($J301&lt;&gt;"",$J301&lt;$I301),AND($K301&lt;&gt;"",$K301&lt;MAX($I301:$J301)),AND($L301&lt;&gt;"",$L301&lt;MAX($I301:$K301))),"Avance semanal decreciente"&amp;" · ","")&amp;IF(AND(ISNUMBER($AN301),$AN301&lt;FechaRef,IF($V301="Sub",N($X301),N($M301))&lt;1),"Vencida"&amp;" · ","")&amp;IF(AND(ObsObligatoria="Sí",ISNUMBER($AN301),$AN301&lt;FechaRef,IF($V301="Sub",N($X301),N($M301))&lt;1,$Q301=""),"Vencida sin observación"&amp;" · ",""),LEN(IF($C301="","Falta el nombre de la actividad"&amp;" · ","")&amp;IF(AND($V301="Sub",N($U301)=0),"Subactividad sin macroactividad arriba"&amp;" · ","")&amp;IF($AM301="","Sin fecha de inicio"&amp;" · ","")&amp;IF($AN301="","Sin fecha límite"&amp;" · ","")&amp;IF(AND(LEFT($C301,11)="[Jefatura] ",N($AL301)=0),"No se encuentra en la hoja de la jefatura (elíjala de nuevo en la lista)"&amp;" · ","")&amp;IF(OR(AND($E301&lt;&gt;"",NOT(ISNUMBER($E301))),AND($F301&lt;&gt;"",NOT(ISNUMBER($F301))),AND($G301&lt;&gt;"",NOT(ISNUMBER($G301)))),"Fecha no válida"&amp;" · ","")&amp;IF(AND(ISNUMBER($AM301),ISNUMBER($AN301),$AM301&gt;$AN301),"Inicio posterior a fecha límite"&amp;" · ","")&amp;IF(AND($V301="Macro",$H301&lt;&gt;"",OR(NOT(ISNUMBER($H301)),$H301&lt;0,$H301&gt;1)),"Peso fuera de rango"&amp;" · ","")&amp;IF(AND($V301="Sub",$H301&lt;&gt;""),"Las subactividades no llevan peso (valen igual dentro de su macroactividad)"&amp;" · ","")&amp;IF(AND(N($W301)&gt;0,COUNT($I301:$L301)&gt;0),"Con subactividades: deje vacías las semanas (se calculan solas)"&amp;" · ","")&amp;IF((COUNTIF($I301:$L301,"&gt;1")+COUNTIF($I301:$L301,"&lt;0")+COUNTA($I301:$L301)-COUNT($I301:$L301))&gt;0,"Avance fuera de rango 0-100%"&amp;" · ","")&amp;IF(OR(AND($J301&lt;&gt;"",$J301&lt;$I301),AND($K301&lt;&gt;"",$K301&lt;MAX($I301:$J301)),AND($L301&lt;&gt;"",$L301&lt;MAX($I301:$K301))),"Avance semanal decreciente"&amp;" · ","")&amp;IF(AND(ISNUMBER($AN301),$AN301&lt;FechaRef,IF($V301="Sub",N($X301),N($M301))&lt;1),"Vencida"&amp;" · ","")&amp;IF(AND(ObsObligatoria="Sí",ISNUMBER($AN301),$AN301&lt;FechaRef,IF($V301="Sub",N($X301),N($M301))&lt;1,$Q301=""),"Vencida sin observación"&amp;" · ",""))-3)))</f>
        <v/>
      </c>
      <c r="S301" s="64">
        <f>IF(NOT((COUNTA($B301:$D301)+COUNTA($G301:$L301)+COUNTA($Q301))&gt;0),"",IF(AND($V301="Sub",N($U301)&gt;0),IF(ISNUMBER(INDEX($AM$5:$AM$1000,$U301-4)),DATE(YEAR(INDEX($AM$5:$AM$1000,$U301-4)),MONTH(INDEX($AM$5:$AM$1000,$U301-4)),1),IF(ISNUMBER(INDEX($AN$5:$AN$1000,$U301-4)),DATE(YEAR(INDEX($AN$5:$AN$1000,$U301-4)),MONTH(INDEX($AN$5:$AN$1000,$U301-4)),1),MesCiclo)),IF(ISNUMBER($AM301),DATE(YEAR($AM301),MONTH($AM301),1),IF(ISNUMBER($AN301),DATE(YEAR($AN301),MONTH($AN301),1),MesCiclo))))</f>
        <v/>
      </c>
      <c r="T301" s="62">
        <f>IF(OR($S301="",$S301&lt;&gt;MesCiclo,$V301&lt;&gt;"Macro"),"",COUNTIFS($S$5:$S301,MesCiclo,$V$5:$V301,"Macro"))</f>
        <v/>
      </c>
      <c r="U301" s="62">
        <f>IF($V301="","",IF($V301="Macro",ROW(),IFERROR(LOOKUP(2,1/($V$5:$V301="Macro"),ROW($V$5:$V301)),0)))</f>
        <v/>
      </c>
      <c r="V301" s="62">
        <f>IF(NOT((COUNTA($B301:$D301)+COUNTA($G301:$L301)+COUNTA($Q301))&gt;0),"",IF($B301="Subactividad","Sub","Macro"))</f>
        <v/>
      </c>
      <c r="W301" s="62">
        <f>IF($V301="Macro",COUNTIFS($U$5:$U$1000,ROW(),$V$5:$V$1000,"Sub"),"")</f>
        <v/>
      </c>
      <c r="X301" s="62">
        <f>IF($V301="","",IF(ISNUMBER($G301),1,IFERROR(LOOKUP(2,1/($I301:$L301&lt;&gt;""),$I301:$L301),0)))</f>
        <v/>
      </c>
      <c r="Y301" s="62">
        <f>IF($V301="","",IF(AND(ISNUMBER($G301),$G301&lt;=IF($S301=MesCiclo,InicioCiclo,$S301+MOD(2-WEEKDAY($S301),7))+6),1,IF(ISNUMBER($I301),$I301,0)))</f>
        <v/>
      </c>
      <c r="Z301" s="62">
        <f>IF($V301="","",IF(AND(ISNUMBER($G301),$G301&lt;=IF($S301=MesCiclo,InicioCiclo,$S301+MOD(2-WEEKDAY($S301),7))+13),1,IF(ISNUMBER($J301),$J301,$Y301)))</f>
        <v/>
      </c>
      <c r="AA301" s="62">
        <f>IF($V301="","",IF(AND(ISNUMBER($G301),$G301&lt;=IF($S301=MesCiclo,InicioCiclo,$S301+MOD(2-WEEKDAY($S301),7))+20),1,IF(ISNUMBER($K301),$K301,$Z301)))</f>
        <v/>
      </c>
      <c r="AB301" s="62">
        <f>IF($V301="","",IF(AND(ISNUMBER($G301),$G301&lt;=IF($S301=MesCiclo,InicioCiclo,$S301+MOD(2-WEEKDAY($S301),7))+27),1,IF(ISNUMBER($L301),$L301,$AA301)))</f>
        <v/>
      </c>
      <c r="AC301" s="62">
        <f>IF($V301="","",IF(AND(ISNUMBER($G301),$G301&lt;=IF($S301=MesCiclo,InicioCiclo,$S301+MOD(2-WEEKDAY($S301),7))+6),1,IF(N($W301)&gt;0,AVERAGEIFS($Y$5:$Y$1000,$U$5:$U$1000,ROW(),$V$5:$V$1000,"Sub"),$Y301)))</f>
        <v/>
      </c>
      <c r="AD301" s="62">
        <f>IF($V301="","",IF(AND(ISNUMBER($G301),$G301&lt;=IF($S301=MesCiclo,InicioCiclo,$S301+MOD(2-WEEKDAY($S301),7))+13),1,IF(N($W301)&gt;0,AVERAGEIFS($Z$5:$Z$1000,$U$5:$U$1000,ROW(),$V$5:$V$1000,"Sub"),$Z301)))</f>
        <v/>
      </c>
      <c r="AE301" s="62">
        <f>IF($V301="","",IF(AND(ISNUMBER($G301),$G301&lt;=IF($S301=MesCiclo,InicioCiclo,$S301+MOD(2-WEEKDAY($S301),7))+20),1,IF(N($W301)&gt;0,AVERAGEIFS($AA$5:$AA$1000,$U$5:$U$1000,ROW(),$V$5:$V$1000,"Sub"),$AA301)))</f>
        <v/>
      </c>
      <c r="AF301" s="62">
        <f>IF($V301="","",IF(AND(ISNUMBER($G301),$G301&lt;=IF($S301=MesCiclo,InicioCiclo,$S301+MOD(2-WEEKDAY($S301),7))+27),1,IF(N($W301)&gt;0,AVERAGEIFS($AB$5:$AB$1000,$U$5:$U$1000,ROW(),$V$5:$V$1000,"Sub"),$AB301)))</f>
        <v/>
      </c>
      <c r="AG301" s="62">
        <f>IF($V301&lt;&gt;"Macro","",IF(COUNTIFS($S$5:$S$1000,$S301,$V$5:$V$1000,"Macro",$H$5:$H$1000,"&gt;0")=0,1/COUNTIFS($S$5:$S$1000,$S301,$V$5:$V$1000,"Macro"),IF(AND(ISNUMBER($H301),N($H301)&gt;0),$H301,SUMIFS($H$5:$H$1000,$S$5:$S$1000,$S301,$V$5:$V$1000,"Macro")/COUNTIFS($S$5:$S$1000,$S301,$V$5:$V$1000,"Macro",$H$5:$H$1000,"&gt;0"))/(COUNTIFS($S$5:$S$1000,$S301,$V$5:$V$1000,"Macro")*SUMIFS($H$5:$H$1000,$S$5:$S$1000,$S301,$V$5:$V$1000,"Macro")/COUNTIFS($S$5:$S$1000,$S301,$V$5:$V$1000,"Macro",$H$5:$H$1000,"&gt;0"))))</f>
        <v/>
      </c>
      <c r="AH301" s="62" t="n"/>
      <c r="AI301" s="62" t="n"/>
      <c r="AJ301" s="62" t="n"/>
      <c r="AK301" s="62" t="n"/>
      <c r="AL301" s="62">
        <f>IF(LEFT($C301,11)="[Jefatura] ",IFERROR(MATCH("Riesgo Normativo|"&amp;MID($C301,12,500),rDname_ADM,0),0),"")</f>
        <v/>
      </c>
      <c r="AM301" s="62">
        <f>IF(N($AL301)&gt;0,INDEX(rIni_ADM,$AL301),IF(ISNUMBER($E301),$E301,""))</f>
        <v/>
      </c>
      <c r="AN301" s="62">
        <f>IF(N($AL301)&gt;0,INDEX(rLim_ADM,$AL301),IF(ISNUMBER($F301),$F301,""))</f>
        <v/>
      </c>
    </row>
    <row r="302">
      <c r="A302" s="56">
        <f>IF(NOT((COUNTA($B302:$D302)+COUNTA($G302:$L302)+COUNTA($Q302))&gt;0),"",IF($V302="Macro",COUNTIFS($V$5:$V302,"Macro",$S$5:$S302,$S302),IF(N($U302)=0,"?",COUNTIFS(INDEX($V$5:$V$1000,1):INDEX($V$5:$V$1000,$U302-4),"Macro",INDEX($S$5:$S$1000,1):INDEX($S$5:$S$1000,$U302-4),INDEX($S$5:$S$1000,$U302-4))&amp;"."&amp;COUNTIFS($U$5:$U302,$U302,$V$5:$V302,"Sub"))))</f>
        <v/>
      </c>
      <c r="B302" s="57" t="n"/>
      <c r="C302" s="58" t="n"/>
      <c r="D302" s="58" t="n"/>
      <c r="E302" s="59">
        <f>IF(N($AL302)&gt;0,INDEX(rIni_ADM,$AL302),"")</f>
        <v/>
      </c>
      <c r="F302" s="59">
        <f>IF(N($AL302)&gt;0,INDEX(rLim_ADM,$AL302),"")</f>
        <v/>
      </c>
      <c r="G302" s="59" t="n"/>
      <c r="H302" s="60" t="n"/>
      <c r="I302" s="60" t="n"/>
      <c r="J302" s="60" t="n"/>
      <c r="K302" s="60" t="n"/>
      <c r="L302" s="60" t="n"/>
      <c r="M302" s="61">
        <f>IF(NOT((COUNTA($B302:$D302)+COUNTA($G302:$L302)+COUNTA($Q302))&gt;0),"",IF($V302="Sub",IFERROR($X302/INDEX($W$5:$W$1000,$U302-4),""),IF(ISNUMBER($G302),1,IF(N($W302)&gt;0,AVERAGEIFS($X$5:$X$1000,$U$5:$U$1000,ROW(),$V$5:$V$1000,"Sub"),$X302))))</f>
        <v/>
      </c>
      <c r="N302" s="56">
        <f>IF(OR($M302="",$V302="Sub"),"",IF($M302&gt;=1,"Completado",IF($M302&gt;0,"En curso","Pendiente")))</f>
        <v/>
      </c>
      <c r="O302" s="56">
        <f>IF(OR(NOT((COUNTA($B302:$D302)+COUNTA($G302:$L302)+COUNTA($Q302))&gt;0),$V302="Sub"),"",IF(ISNUMBER($G302),IF(AND(ISNUMBER($AN302),$G302&gt;$AN302),"Cumplida con "&amp;($G302-$AN302)&amp;IF($G302-$AN302=1," día"," días")&amp;" de retraso","Cumplida"),IF(N($M302)&gt;=1,"Cumplida",IF(NOT(ISNUMBER($AN302)),"Sin fecha límite",IF($AN302&lt;FechaRef,"Vencida hace "&amp;(FechaRef-$AN302)&amp;IF(FechaRef-$AN302=1," día"," días"),IF($AN302=FechaRef,"Vence hoy",IF($AN302-FechaRef&lt;=DiasAlerta,"Vence en "&amp;($AN302-FechaRef)&amp;IF($AN302-FechaRef=1," día"," días"),"En plazo")))))))</f>
        <v/>
      </c>
      <c r="P302" s="62" t="n"/>
      <c r="Q302" s="58" t="n"/>
      <c r="R302" s="63">
        <f>IF(NOT((COUNTA($B302:$D302)+COUNTA($G302:$L302)+COUNTA($Q302))&gt;0),"",IF((IF($C302="","Falta el nombre de la actividad"&amp;" · ","")&amp;IF(AND($V302="Sub",N($U302)=0),"Subactividad sin macroactividad arriba"&amp;" · ","")&amp;IF($AM302="","Sin fecha de inicio"&amp;" · ","")&amp;IF($AN302="","Sin fecha límite"&amp;" · ","")&amp;IF(AND(LEFT($C302,11)="[Jefatura] ",N($AL302)=0),"No se encuentra en la hoja de la jefatura (elíjala de nuevo en la lista)"&amp;" · ","")&amp;IF(OR(AND($E302&lt;&gt;"",NOT(ISNUMBER($E302))),AND($F302&lt;&gt;"",NOT(ISNUMBER($F302))),AND($G302&lt;&gt;"",NOT(ISNUMBER($G302)))),"Fecha no válida"&amp;" · ","")&amp;IF(AND(ISNUMBER($AM302),ISNUMBER($AN302),$AM302&gt;$AN302),"Inicio posterior a fecha límite"&amp;" · ","")&amp;IF(AND($V302="Macro",$H302&lt;&gt;"",OR(NOT(ISNUMBER($H302)),$H302&lt;0,$H302&gt;1)),"Peso fuera de rango"&amp;" · ","")&amp;IF(AND($V302="Sub",$H302&lt;&gt;""),"Las subactividades no llevan peso (valen igual dentro de su macroactividad)"&amp;" · ","")&amp;IF(AND(N($W302)&gt;0,COUNT($I302:$L302)&gt;0),"Con subactividades: deje vacías las semanas (se calculan solas)"&amp;" · ","")&amp;IF((COUNTIF($I302:$L302,"&gt;1")+COUNTIF($I302:$L302,"&lt;0")+COUNTA($I302:$L302)-COUNT($I302:$L302))&gt;0,"Avance fuera de rango 0-100%"&amp;" · ","")&amp;IF(OR(AND($J302&lt;&gt;"",$J302&lt;$I302),AND($K302&lt;&gt;"",$K302&lt;MAX($I302:$J302)),AND($L302&lt;&gt;"",$L302&lt;MAX($I302:$K302))),"Avance semanal decreciente"&amp;" · ","")&amp;IF(AND(ISNUMBER($AN302),$AN302&lt;FechaRef,IF($V302="Sub",N($X302),N($M302))&lt;1),"Vencida"&amp;" · ","")&amp;IF(AND(ObsObligatoria="Sí",ISNUMBER($AN302),$AN302&lt;FechaRef,IF($V302="Sub",N($X302),N($M302))&lt;1,$Q302=""),"Vencida sin observación"&amp;" · ",""))="","✔ OK","⚠ "&amp;LEFT(IF($C302="","Falta el nombre de la actividad"&amp;" · ","")&amp;IF(AND($V302="Sub",N($U302)=0),"Subactividad sin macroactividad arriba"&amp;" · ","")&amp;IF($AM302="","Sin fecha de inicio"&amp;" · ","")&amp;IF($AN302="","Sin fecha límite"&amp;" · ","")&amp;IF(AND(LEFT($C302,11)="[Jefatura] ",N($AL302)=0),"No se encuentra en la hoja de la jefatura (elíjala de nuevo en la lista)"&amp;" · ","")&amp;IF(OR(AND($E302&lt;&gt;"",NOT(ISNUMBER($E302))),AND($F302&lt;&gt;"",NOT(ISNUMBER($F302))),AND($G302&lt;&gt;"",NOT(ISNUMBER($G302)))),"Fecha no válida"&amp;" · ","")&amp;IF(AND(ISNUMBER($AM302),ISNUMBER($AN302),$AM302&gt;$AN302),"Inicio posterior a fecha límite"&amp;" · ","")&amp;IF(AND($V302="Macro",$H302&lt;&gt;"",OR(NOT(ISNUMBER($H302)),$H302&lt;0,$H302&gt;1)),"Peso fuera de rango"&amp;" · ","")&amp;IF(AND($V302="Sub",$H302&lt;&gt;""),"Las subactividades no llevan peso (valen igual dentro de su macroactividad)"&amp;" · ","")&amp;IF(AND(N($W302)&gt;0,COUNT($I302:$L302)&gt;0),"Con subactividades: deje vacías las semanas (se calculan solas)"&amp;" · ","")&amp;IF((COUNTIF($I302:$L302,"&gt;1")+COUNTIF($I302:$L302,"&lt;0")+COUNTA($I302:$L302)-COUNT($I302:$L302))&gt;0,"Avance fuera de rango 0-100%"&amp;" · ","")&amp;IF(OR(AND($J302&lt;&gt;"",$J302&lt;$I302),AND($K302&lt;&gt;"",$K302&lt;MAX($I302:$J302)),AND($L302&lt;&gt;"",$L302&lt;MAX($I302:$K302))),"Avance semanal decreciente"&amp;" · ","")&amp;IF(AND(ISNUMBER($AN302),$AN302&lt;FechaRef,IF($V302="Sub",N($X302),N($M302))&lt;1),"Vencida"&amp;" · ","")&amp;IF(AND(ObsObligatoria="Sí",ISNUMBER($AN302),$AN302&lt;FechaRef,IF($V302="Sub",N($X302),N($M302))&lt;1,$Q302=""),"Vencida sin observación"&amp;" · ",""),LEN(IF($C302="","Falta el nombre de la actividad"&amp;" · ","")&amp;IF(AND($V302="Sub",N($U302)=0),"Subactividad sin macroactividad arriba"&amp;" · ","")&amp;IF($AM302="","Sin fecha de inicio"&amp;" · ","")&amp;IF($AN302="","Sin fecha límite"&amp;" · ","")&amp;IF(AND(LEFT($C302,11)="[Jefatura] ",N($AL302)=0),"No se encuentra en la hoja de la jefatura (elíjala de nuevo en la lista)"&amp;" · ","")&amp;IF(OR(AND($E302&lt;&gt;"",NOT(ISNUMBER($E302))),AND($F302&lt;&gt;"",NOT(ISNUMBER($F302))),AND($G302&lt;&gt;"",NOT(ISNUMBER($G302)))),"Fecha no válida"&amp;" · ","")&amp;IF(AND(ISNUMBER($AM302),ISNUMBER($AN302),$AM302&gt;$AN302),"Inicio posterior a fecha límite"&amp;" · ","")&amp;IF(AND($V302="Macro",$H302&lt;&gt;"",OR(NOT(ISNUMBER($H302)),$H302&lt;0,$H302&gt;1)),"Peso fuera de rango"&amp;" · ","")&amp;IF(AND($V302="Sub",$H302&lt;&gt;""),"Las subactividades no llevan peso (valen igual dentro de su macroactividad)"&amp;" · ","")&amp;IF(AND(N($W302)&gt;0,COUNT($I302:$L302)&gt;0),"Con subactividades: deje vacías las semanas (se calculan solas)"&amp;" · ","")&amp;IF((COUNTIF($I302:$L302,"&gt;1")+COUNTIF($I302:$L302,"&lt;0")+COUNTA($I302:$L302)-COUNT($I302:$L302))&gt;0,"Avance fuera de rango 0-100%"&amp;" · ","")&amp;IF(OR(AND($J302&lt;&gt;"",$J302&lt;$I302),AND($K302&lt;&gt;"",$K302&lt;MAX($I302:$J302)),AND($L302&lt;&gt;"",$L302&lt;MAX($I302:$K302))),"Avance semanal decreciente"&amp;" · ","")&amp;IF(AND(ISNUMBER($AN302),$AN302&lt;FechaRef,IF($V302="Sub",N($X302),N($M302))&lt;1),"Vencida"&amp;" · ","")&amp;IF(AND(ObsObligatoria="Sí",ISNUMBER($AN302),$AN302&lt;FechaRef,IF($V302="Sub",N($X302),N($M302))&lt;1,$Q302=""),"Vencida sin observación"&amp;" · ",""))-3)))</f>
        <v/>
      </c>
      <c r="S302" s="64">
        <f>IF(NOT((COUNTA($B302:$D302)+COUNTA($G302:$L302)+COUNTA($Q302))&gt;0),"",IF(AND($V302="Sub",N($U302)&gt;0),IF(ISNUMBER(INDEX($AM$5:$AM$1000,$U302-4)),DATE(YEAR(INDEX($AM$5:$AM$1000,$U302-4)),MONTH(INDEX($AM$5:$AM$1000,$U302-4)),1),IF(ISNUMBER(INDEX($AN$5:$AN$1000,$U302-4)),DATE(YEAR(INDEX($AN$5:$AN$1000,$U302-4)),MONTH(INDEX($AN$5:$AN$1000,$U302-4)),1),MesCiclo)),IF(ISNUMBER($AM302),DATE(YEAR($AM302),MONTH($AM302),1),IF(ISNUMBER($AN302),DATE(YEAR($AN302),MONTH($AN302),1),MesCiclo))))</f>
        <v/>
      </c>
      <c r="T302" s="62">
        <f>IF(OR($S302="",$S302&lt;&gt;MesCiclo,$V302&lt;&gt;"Macro"),"",COUNTIFS($S$5:$S302,MesCiclo,$V$5:$V302,"Macro"))</f>
        <v/>
      </c>
      <c r="U302" s="62">
        <f>IF($V302="","",IF($V302="Macro",ROW(),IFERROR(LOOKUP(2,1/($V$5:$V302="Macro"),ROW($V$5:$V302)),0)))</f>
        <v/>
      </c>
      <c r="V302" s="62">
        <f>IF(NOT((COUNTA($B302:$D302)+COUNTA($G302:$L302)+COUNTA($Q302))&gt;0),"",IF($B302="Subactividad","Sub","Macro"))</f>
        <v/>
      </c>
      <c r="W302" s="62">
        <f>IF($V302="Macro",COUNTIFS($U$5:$U$1000,ROW(),$V$5:$V$1000,"Sub"),"")</f>
        <v/>
      </c>
      <c r="X302" s="62">
        <f>IF($V302="","",IF(ISNUMBER($G302),1,IFERROR(LOOKUP(2,1/($I302:$L302&lt;&gt;""),$I302:$L302),0)))</f>
        <v/>
      </c>
      <c r="Y302" s="62">
        <f>IF($V302="","",IF(AND(ISNUMBER($G302),$G302&lt;=IF($S302=MesCiclo,InicioCiclo,$S302+MOD(2-WEEKDAY($S302),7))+6),1,IF(ISNUMBER($I302),$I302,0)))</f>
        <v/>
      </c>
      <c r="Z302" s="62">
        <f>IF($V302="","",IF(AND(ISNUMBER($G302),$G302&lt;=IF($S302=MesCiclo,InicioCiclo,$S302+MOD(2-WEEKDAY($S302),7))+13),1,IF(ISNUMBER($J302),$J302,$Y302)))</f>
        <v/>
      </c>
      <c r="AA302" s="62">
        <f>IF($V302="","",IF(AND(ISNUMBER($G302),$G302&lt;=IF($S302=MesCiclo,InicioCiclo,$S302+MOD(2-WEEKDAY($S302),7))+20),1,IF(ISNUMBER($K302),$K302,$Z302)))</f>
        <v/>
      </c>
      <c r="AB302" s="62">
        <f>IF($V302="","",IF(AND(ISNUMBER($G302),$G302&lt;=IF($S302=MesCiclo,InicioCiclo,$S302+MOD(2-WEEKDAY($S302),7))+27),1,IF(ISNUMBER($L302),$L302,$AA302)))</f>
        <v/>
      </c>
      <c r="AC302" s="62">
        <f>IF($V302="","",IF(AND(ISNUMBER($G302),$G302&lt;=IF($S302=MesCiclo,InicioCiclo,$S302+MOD(2-WEEKDAY($S302),7))+6),1,IF(N($W302)&gt;0,AVERAGEIFS($Y$5:$Y$1000,$U$5:$U$1000,ROW(),$V$5:$V$1000,"Sub"),$Y302)))</f>
        <v/>
      </c>
      <c r="AD302" s="62">
        <f>IF($V302="","",IF(AND(ISNUMBER($G302),$G302&lt;=IF($S302=MesCiclo,InicioCiclo,$S302+MOD(2-WEEKDAY($S302),7))+13),1,IF(N($W302)&gt;0,AVERAGEIFS($Z$5:$Z$1000,$U$5:$U$1000,ROW(),$V$5:$V$1000,"Sub"),$Z302)))</f>
        <v/>
      </c>
      <c r="AE302" s="62">
        <f>IF($V302="","",IF(AND(ISNUMBER($G302),$G302&lt;=IF($S302=MesCiclo,InicioCiclo,$S302+MOD(2-WEEKDAY($S302),7))+20),1,IF(N($W302)&gt;0,AVERAGEIFS($AA$5:$AA$1000,$U$5:$U$1000,ROW(),$V$5:$V$1000,"Sub"),$AA302)))</f>
        <v/>
      </c>
      <c r="AF302" s="62">
        <f>IF($V302="","",IF(AND(ISNUMBER($G302),$G302&lt;=IF($S302=MesCiclo,InicioCiclo,$S302+MOD(2-WEEKDAY($S302),7))+27),1,IF(N($W302)&gt;0,AVERAGEIFS($AB$5:$AB$1000,$U$5:$U$1000,ROW(),$V$5:$V$1000,"Sub"),$AB302)))</f>
        <v/>
      </c>
      <c r="AG302" s="62">
        <f>IF($V302&lt;&gt;"Macro","",IF(COUNTIFS($S$5:$S$1000,$S302,$V$5:$V$1000,"Macro",$H$5:$H$1000,"&gt;0")=0,1/COUNTIFS($S$5:$S$1000,$S302,$V$5:$V$1000,"Macro"),IF(AND(ISNUMBER($H302),N($H302)&gt;0),$H302,SUMIFS($H$5:$H$1000,$S$5:$S$1000,$S302,$V$5:$V$1000,"Macro")/COUNTIFS($S$5:$S$1000,$S302,$V$5:$V$1000,"Macro",$H$5:$H$1000,"&gt;0"))/(COUNTIFS($S$5:$S$1000,$S302,$V$5:$V$1000,"Macro")*SUMIFS($H$5:$H$1000,$S$5:$S$1000,$S302,$V$5:$V$1000,"Macro")/COUNTIFS($S$5:$S$1000,$S302,$V$5:$V$1000,"Macro",$H$5:$H$1000,"&gt;0"))))</f>
        <v/>
      </c>
      <c r="AH302" s="62" t="n"/>
      <c r="AI302" s="62" t="n"/>
      <c r="AJ302" s="62" t="n"/>
      <c r="AK302" s="62" t="n"/>
      <c r="AL302" s="62">
        <f>IF(LEFT($C302,11)="[Jefatura] ",IFERROR(MATCH("Riesgo Normativo|"&amp;MID($C302,12,500),rDname_ADM,0),0),"")</f>
        <v/>
      </c>
      <c r="AM302" s="62">
        <f>IF(N($AL302)&gt;0,INDEX(rIni_ADM,$AL302),IF(ISNUMBER($E302),$E302,""))</f>
        <v/>
      </c>
      <c r="AN302" s="62">
        <f>IF(N($AL302)&gt;0,INDEX(rLim_ADM,$AL302),IF(ISNUMBER($F302),$F302,""))</f>
        <v/>
      </c>
    </row>
    <row r="303">
      <c r="A303" s="56">
        <f>IF(NOT((COUNTA($B303:$D303)+COUNTA($G303:$L303)+COUNTA($Q303))&gt;0),"",IF($V303="Macro",COUNTIFS($V$5:$V303,"Macro",$S$5:$S303,$S303),IF(N($U303)=0,"?",COUNTIFS(INDEX($V$5:$V$1000,1):INDEX($V$5:$V$1000,$U303-4),"Macro",INDEX($S$5:$S$1000,1):INDEX($S$5:$S$1000,$U303-4),INDEX($S$5:$S$1000,$U303-4))&amp;"."&amp;COUNTIFS($U$5:$U303,$U303,$V$5:$V303,"Sub"))))</f>
        <v/>
      </c>
      <c r="B303" s="57" t="n"/>
      <c r="C303" s="58" t="n"/>
      <c r="D303" s="58" t="n"/>
      <c r="E303" s="59">
        <f>IF(N($AL303)&gt;0,INDEX(rIni_ADM,$AL303),"")</f>
        <v/>
      </c>
      <c r="F303" s="59">
        <f>IF(N($AL303)&gt;0,INDEX(rLim_ADM,$AL303),"")</f>
        <v/>
      </c>
      <c r="G303" s="59" t="n"/>
      <c r="H303" s="60" t="n"/>
      <c r="I303" s="60" t="n"/>
      <c r="J303" s="60" t="n"/>
      <c r="K303" s="60" t="n"/>
      <c r="L303" s="60" t="n"/>
      <c r="M303" s="61">
        <f>IF(NOT((COUNTA($B303:$D303)+COUNTA($G303:$L303)+COUNTA($Q303))&gt;0),"",IF($V303="Sub",IFERROR($X303/INDEX($W$5:$W$1000,$U303-4),""),IF(ISNUMBER($G303),1,IF(N($W303)&gt;0,AVERAGEIFS($X$5:$X$1000,$U$5:$U$1000,ROW(),$V$5:$V$1000,"Sub"),$X303))))</f>
        <v/>
      </c>
      <c r="N303" s="56">
        <f>IF(OR($M303="",$V303="Sub"),"",IF($M303&gt;=1,"Completado",IF($M303&gt;0,"En curso","Pendiente")))</f>
        <v/>
      </c>
      <c r="O303" s="56">
        <f>IF(OR(NOT((COUNTA($B303:$D303)+COUNTA($G303:$L303)+COUNTA($Q303))&gt;0),$V303="Sub"),"",IF(ISNUMBER($G303),IF(AND(ISNUMBER($AN303),$G303&gt;$AN303),"Cumplida con "&amp;($G303-$AN303)&amp;IF($G303-$AN303=1," día"," días")&amp;" de retraso","Cumplida"),IF(N($M303)&gt;=1,"Cumplida",IF(NOT(ISNUMBER($AN303)),"Sin fecha límite",IF($AN303&lt;FechaRef,"Vencida hace "&amp;(FechaRef-$AN303)&amp;IF(FechaRef-$AN303=1," día"," días"),IF($AN303=FechaRef,"Vence hoy",IF($AN303-FechaRef&lt;=DiasAlerta,"Vence en "&amp;($AN303-FechaRef)&amp;IF($AN303-FechaRef=1," día"," días"),"En plazo")))))))</f>
        <v/>
      </c>
      <c r="P303" s="62" t="n"/>
      <c r="Q303" s="58" t="n"/>
      <c r="R303" s="63">
        <f>IF(NOT((COUNTA($B303:$D303)+COUNTA($G303:$L303)+COUNTA($Q303))&gt;0),"",IF((IF($C303="","Falta el nombre de la actividad"&amp;" · ","")&amp;IF(AND($V303="Sub",N($U303)=0),"Subactividad sin macroactividad arriba"&amp;" · ","")&amp;IF($AM303="","Sin fecha de inicio"&amp;" · ","")&amp;IF($AN303="","Sin fecha límite"&amp;" · ","")&amp;IF(AND(LEFT($C303,11)="[Jefatura] ",N($AL303)=0),"No se encuentra en la hoja de la jefatura (elíjala de nuevo en la lista)"&amp;" · ","")&amp;IF(OR(AND($E303&lt;&gt;"",NOT(ISNUMBER($E303))),AND($F303&lt;&gt;"",NOT(ISNUMBER($F303))),AND($G303&lt;&gt;"",NOT(ISNUMBER($G303)))),"Fecha no válida"&amp;" · ","")&amp;IF(AND(ISNUMBER($AM303),ISNUMBER($AN303),$AM303&gt;$AN303),"Inicio posterior a fecha límite"&amp;" · ","")&amp;IF(AND($V303="Macro",$H303&lt;&gt;"",OR(NOT(ISNUMBER($H303)),$H303&lt;0,$H303&gt;1)),"Peso fuera de rango"&amp;" · ","")&amp;IF(AND($V303="Sub",$H303&lt;&gt;""),"Las subactividades no llevan peso (valen igual dentro de su macroactividad)"&amp;" · ","")&amp;IF(AND(N($W303)&gt;0,COUNT($I303:$L303)&gt;0),"Con subactividades: deje vacías las semanas (se calculan solas)"&amp;" · ","")&amp;IF((COUNTIF($I303:$L303,"&gt;1")+COUNTIF($I303:$L303,"&lt;0")+COUNTA($I303:$L303)-COUNT($I303:$L303))&gt;0,"Avance fuera de rango 0-100%"&amp;" · ","")&amp;IF(OR(AND($J303&lt;&gt;"",$J303&lt;$I303),AND($K303&lt;&gt;"",$K303&lt;MAX($I303:$J303)),AND($L303&lt;&gt;"",$L303&lt;MAX($I303:$K303))),"Avance semanal decreciente"&amp;" · ","")&amp;IF(AND(ISNUMBER($AN303),$AN303&lt;FechaRef,IF($V303="Sub",N($X303),N($M303))&lt;1),"Vencida"&amp;" · ","")&amp;IF(AND(ObsObligatoria="Sí",ISNUMBER($AN303),$AN303&lt;FechaRef,IF($V303="Sub",N($X303),N($M303))&lt;1,$Q303=""),"Vencida sin observación"&amp;" · ",""))="","✔ OK","⚠ "&amp;LEFT(IF($C303="","Falta el nombre de la actividad"&amp;" · ","")&amp;IF(AND($V303="Sub",N($U303)=0),"Subactividad sin macroactividad arriba"&amp;" · ","")&amp;IF($AM303="","Sin fecha de inicio"&amp;" · ","")&amp;IF($AN303="","Sin fecha límite"&amp;" · ","")&amp;IF(AND(LEFT($C303,11)="[Jefatura] ",N($AL303)=0),"No se encuentra en la hoja de la jefatura (elíjala de nuevo en la lista)"&amp;" · ","")&amp;IF(OR(AND($E303&lt;&gt;"",NOT(ISNUMBER($E303))),AND($F303&lt;&gt;"",NOT(ISNUMBER($F303))),AND($G303&lt;&gt;"",NOT(ISNUMBER($G303)))),"Fecha no válida"&amp;" · ","")&amp;IF(AND(ISNUMBER($AM303),ISNUMBER($AN303),$AM303&gt;$AN303),"Inicio posterior a fecha límite"&amp;" · ","")&amp;IF(AND($V303="Macro",$H303&lt;&gt;"",OR(NOT(ISNUMBER($H303)),$H303&lt;0,$H303&gt;1)),"Peso fuera de rango"&amp;" · ","")&amp;IF(AND($V303="Sub",$H303&lt;&gt;""),"Las subactividades no llevan peso (valen igual dentro de su macroactividad)"&amp;" · ","")&amp;IF(AND(N($W303)&gt;0,COUNT($I303:$L303)&gt;0),"Con subactividades: deje vacías las semanas (se calculan solas)"&amp;" · ","")&amp;IF((COUNTIF($I303:$L303,"&gt;1")+COUNTIF($I303:$L303,"&lt;0")+COUNTA($I303:$L303)-COUNT($I303:$L303))&gt;0,"Avance fuera de rango 0-100%"&amp;" · ","")&amp;IF(OR(AND($J303&lt;&gt;"",$J303&lt;$I303),AND($K303&lt;&gt;"",$K303&lt;MAX($I303:$J303)),AND($L303&lt;&gt;"",$L303&lt;MAX($I303:$K303))),"Avance semanal decreciente"&amp;" · ","")&amp;IF(AND(ISNUMBER($AN303),$AN303&lt;FechaRef,IF($V303="Sub",N($X303),N($M303))&lt;1),"Vencida"&amp;" · ","")&amp;IF(AND(ObsObligatoria="Sí",ISNUMBER($AN303),$AN303&lt;FechaRef,IF($V303="Sub",N($X303),N($M303))&lt;1,$Q303=""),"Vencida sin observación"&amp;" · ",""),LEN(IF($C303="","Falta el nombre de la actividad"&amp;" · ","")&amp;IF(AND($V303="Sub",N($U303)=0),"Subactividad sin macroactividad arriba"&amp;" · ","")&amp;IF($AM303="","Sin fecha de inicio"&amp;" · ","")&amp;IF($AN303="","Sin fecha límite"&amp;" · ","")&amp;IF(AND(LEFT($C303,11)="[Jefatura] ",N($AL303)=0),"No se encuentra en la hoja de la jefatura (elíjala de nuevo en la lista)"&amp;" · ","")&amp;IF(OR(AND($E303&lt;&gt;"",NOT(ISNUMBER($E303))),AND($F303&lt;&gt;"",NOT(ISNUMBER($F303))),AND($G303&lt;&gt;"",NOT(ISNUMBER($G303)))),"Fecha no válida"&amp;" · ","")&amp;IF(AND(ISNUMBER($AM303),ISNUMBER($AN303),$AM303&gt;$AN303),"Inicio posterior a fecha límite"&amp;" · ","")&amp;IF(AND($V303="Macro",$H303&lt;&gt;"",OR(NOT(ISNUMBER($H303)),$H303&lt;0,$H303&gt;1)),"Peso fuera de rango"&amp;" · ","")&amp;IF(AND($V303="Sub",$H303&lt;&gt;""),"Las subactividades no llevan peso (valen igual dentro de su macroactividad)"&amp;" · ","")&amp;IF(AND(N($W303)&gt;0,COUNT($I303:$L303)&gt;0),"Con subactividades: deje vacías las semanas (se calculan solas)"&amp;" · ","")&amp;IF((COUNTIF($I303:$L303,"&gt;1")+COUNTIF($I303:$L303,"&lt;0")+COUNTA($I303:$L303)-COUNT($I303:$L303))&gt;0,"Avance fuera de rango 0-100%"&amp;" · ","")&amp;IF(OR(AND($J303&lt;&gt;"",$J303&lt;$I303),AND($K303&lt;&gt;"",$K303&lt;MAX($I303:$J303)),AND($L303&lt;&gt;"",$L303&lt;MAX($I303:$K303))),"Avance semanal decreciente"&amp;" · ","")&amp;IF(AND(ISNUMBER($AN303),$AN303&lt;FechaRef,IF($V303="Sub",N($X303),N($M303))&lt;1),"Vencida"&amp;" · ","")&amp;IF(AND(ObsObligatoria="Sí",ISNUMBER($AN303),$AN303&lt;FechaRef,IF($V303="Sub",N($X303),N($M303))&lt;1,$Q303=""),"Vencida sin observación"&amp;" · ",""))-3)))</f>
        <v/>
      </c>
      <c r="S303" s="64">
        <f>IF(NOT((COUNTA($B303:$D303)+COUNTA($G303:$L303)+COUNTA($Q303))&gt;0),"",IF(AND($V303="Sub",N($U303)&gt;0),IF(ISNUMBER(INDEX($AM$5:$AM$1000,$U303-4)),DATE(YEAR(INDEX($AM$5:$AM$1000,$U303-4)),MONTH(INDEX($AM$5:$AM$1000,$U303-4)),1),IF(ISNUMBER(INDEX($AN$5:$AN$1000,$U303-4)),DATE(YEAR(INDEX($AN$5:$AN$1000,$U303-4)),MONTH(INDEX($AN$5:$AN$1000,$U303-4)),1),MesCiclo)),IF(ISNUMBER($AM303),DATE(YEAR($AM303),MONTH($AM303),1),IF(ISNUMBER($AN303),DATE(YEAR($AN303),MONTH($AN303),1),MesCiclo))))</f>
        <v/>
      </c>
      <c r="T303" s="62">
        <f>IF(OR($S303="",$S303&lt;&gt;MesCiclo,$V303&lt;&gt;"Macro"),"",COUNTIFS($S$5:$S303,MesCiclo,$V$5:$V303,"Macro"))</f>
        <v/>
      </c>
      <c r="U303" s="62">
        <f>IF($V303="","",IF($V303="Macro",ROW(),IFERROR(LOOKUP(2,1/($V$5:$V303="Macro"),ROW($V$5:$V303)),0)))</f>
        <v/>
      </c>
      <c r="V303" s="62">
        <f>IF(NOT((COUNTA($B303:$D303)+COUNTA($G303:$L303)+COUNTA($Q303))&gt;0),"",IF($B303="Subactividad","Sub","Macro"))</f>
        <v/>
      </c>
      <c r="W303" s="62">
        <f>IF($V303="Macro",COUNTIFS($U$5:$U$1000,ROW(),$V$5:$V$1000,"Sub"),"")</f>
        <v/>
      </c>
      <c r="X303" s="62">
        <f>IF($V303="","",IF(ISNUMBER($G303),1,IFERROR(LOOKUP(2,1/($I303:$L303&lt;&gt;""),$I303:$L303),0)))</f>
        <v/>
      </c>
      <c r="Y303" s="62">
        <f>IF($V303="","",IF(AND(ISNUMBER($G303),$G303&lt;=IF($S303=MesCiclo,InicioCiclo,$S303+MOD(2-WEEKDAY($S303),7))+6),1,IF(ISNUMBER($I303),$I303,0)))</f>
        <v/>
      </c>
      <c r="Z303" s="62">
        <f>IF($V303="","",IF(AND(ISNUMBER($G303),$G303&lt;=IF($S303=MesCiclo,InicioCiclo,$S303+MOD(2-WEEKDAY($S303),7))+13),1,IF(ISNUMBER($J303),$J303,$Y303)))</f>
        <v/>
      </c>
      <c r="AA303" s="62">
        <f>IF($V303="","",IF(AND(ISNUMBER($G303),$G303&lt;=IF($S303=MesCiclo,InicioCiclo,$S303+MOD(2-WEEKDAY($S303),7))+20),1,IF(ISNUMBER($K303),$K303,$Z303)))</f>
        <v/>
      </c>
      <c r="AB303" s="62">
        <f>IF($V303="","",IF(AND(ISNUMBER($G303),$G303&lt;=IF($S303=MesCiclo,InicioCiclo,$S303+MOD(2-WEEKDAY($S303),7))+27),1,IF(ISNUMBER($L303),$L303,$AA303)))</f>
        <v/>
      </c>
      <c r="AC303" s="62">
        <f>IF($V303="","",IF(AND(ISNUMBER($G303),$G303&lt;=IF($S303=MesCiclo,InicioCiclo,$S303+MOD(2-WEEKDAY($S303),7))+6),1,IF(N($W303)&gt;0,AVERAGEIFS($Y$5:$Y$1000,$U$5:$U$1000,ROW(),$V$5:$V$1000,"Sub"),$Y303)))</f>
        <v/>
      </c>
      <c r="AD303" s="62">
        <f>IF($V303="","",IF(AND(ISNUMBER($G303),$G303&lt;=IF($S303=MesCiclo,InicioCiclo,$S303+MOD(2-WEEKDAY($S303),7))+13),1,IF(N($W303)&gt;0,AVERAGEIFS($Z$5:$Z$1000,$U$5:$U$1000,ROW(),$V$5:$V$1000,"Sub"),$Z303)))</f>
        <v/>
      </c>
      <c r="AE303" s="62">
        <f>IF($V303="","",IF(AND(ISNUMBER($G303),$G303&lt;=IF($S303=MesCiclo,InicioCiclo,$S303+MOD(2-WEEKDAY($S303),7))+20),1,IF(N($W303)&gt;0,AVERAGEIFS($AA$5:$AA$1000,$U$5:$U$1000,ROW(),$V$5:$V$1000,"Sub"),$AA303)))</f>
        <v/>
      </c>
      <c r="AF303" s="62">
        <f>IF($V303="","",IF(AND(ISNUMBER($G303),$G303&lt;=IF($S303=MesCiclo,InicioCiclo,$S303+MOD(2-WEEKDAY($S303),7))+27),1,IF(N($W303)&gt;0,AVERAGEIFS($AB$5:$AB$1000,$U$5:$U$1000,ROW(),$V$5:$V$1000,"Sub"),$AB303)))</f>
        <v/>
      </c>
      <c r="AG303" s="62">
        <f>IF($V303&lt;&gt;"Macro","",IF(COUNTIFS($S$5:$S$1000,$S303,$V$5:$V$1000,"Macro",$H$5:$H$1000,"&gt;0")=0,1/COUNTIFS($S$5:$S$1000,$S303,$V$5:$V$1000,"Macro"),IF(AND(ISNUMBER($H303),N($H303)&gt;0),$H303,SUMIFS($H$5:$H$1000,$S$5:$S$1000,$S303,$V$5:$V$1000,"Macro")/COUNTIFS($S$5:$S$1000,$S303,$V$5:$V$1000,"Macro",$H$5:$H$1000,"&gt;0"))/(COUNTIFS($S$5:$S$1000,$S303,$V$5:$V$1000,"Macro")*SUMIFS($H$5:$H$1000,$S$5:$S$1000,$S303,$V$5:$V$1000,"Macro")/COUNTIFS($S$5:$S$1000,$S303,$V$5:$V$1000,"Macro",$H$5:$H$1000,"&gt;0"))))</f>
        <v/>
      </c>
      <c r="AH303" s="62" t="n"/>
      <c r="AI303" s="62" t="n"/>
      <c r="AJ303" s="62" t="n"/>
      <c r="AK303" s="62" t="n"/>
      <c r="AL303" s="62">
        <f>IF(LEFT($C303,11)="[Jefatura] ",IFERROR(MATCH("Riesgo Normativo|"&amp;MID($C303,12,500),rDname_ADM,0),0),"")</f>
        <v/>
      </c>
      <c r="AM303" s="62">
        <f>IF(N($AL303)&gt;0,INDEX(rIni_ADM,$AL303),IF(ISNUMBER($E303),$E303,""))</f>
        <v/>
      </c>
      <c r="AN303" s="62">
        <f>IF(N($AL303)&gt;0,INDEX(rLim_ADM,$AL303),IF(ISNUMBER($F303),$F303,""))</f>
        <v/>
      </c>
    </row>
    <row r="304">
      <c r="A304" s="56">
        <f>IF(NOT((COUNTA($B304:$D304)+COUNTA($G304:$L304)+COUNTA($Q304))&gt;0),"",IF($V304="Macro",COUNTIFS($V$5:$V304,"Macro",$S$5:$S304,$S304),IF(N($U304)=0,"?",COUNTIFS(INDEX($V$5:$V$1000,1):INDEX($V$5:$V$1000,$U304-4),"Macro",INDEX($S$5:$S$1000,1):INDEX($S$5:$S$1000,$U304-4),INDEX($S$5:$S$1000,$U304-4))&amp;"."&amp;COUNTIFS($U$5:$U304,$U304,$V$5:$V304,"Sub"))))</f>
        <v/>
      </c>
      <c r="B304" s="57" t="n"/>
      <c r="C304" s="58" t="n"/>
      <c r="D304" s="58" t="n"/>
      <c r="E304" s="59">
        <f>IF(N($AL304)&gt;0,INDEX(rIni_ADM,$AL304),"")</f>
        <v/>
      </c>
      <c r="F304" s="59">
        <f>IF(N($AL304)&gt;0,INDEX(rLim_ADM,$AL304),"")</f>
        <v/>
      </c>
      <c r="G304" s="59" t="n"/>
      <c r="H304" s="60" t="n"/>
      <c r="I304" s="60" t="n"/>
      <c r="J304" s="60" t="n"/>
      <c r="K304" s="60" t="n"/>
      <c r="L304" s="60" t="n"/>
      <c r="M304" s="61">
        <f>IF(NOT((COUNTA($B304:$D304)+COUNTA($G304:$L304)+COUNTA($Q304))&gt;0),"",IF($V304="Sub",IFERROR($X304/INDEX($W$5:$W$1000,$U304-4),""),IF(ISNUMBER($G304),1,IF(N($W304)&gt;0,AVERAGEIFS($X$5:$X$1000,$U$5:$U$1000,ROW(),$V$5:$V$1000,"Sub"),$X304))))</f>
        <v/>
      </c>
      <c r="N304" s="56">
        <f>IF(OR($M304="",$V304="Sub"),"",IF($M304&gt;=1,"Completado",IF($M304&gt;0,"En curso","Pendiente")))</f>
        <v/>
      </c>
      <c r="O304" s="56">
        <f>IF(OR(NOT((COUNTA($B304:$D304)+COUNTA($G304:$L304)+COUNTA($Q304))&gt;0),$V304="Sub"),"",IF(ISNUMBER($G304),IF(AND(ISNUMBER($AN304),$G304&gt;$AN304),"Cumplida con "&amp;($G304-$AN304)&amp;IF($G304-$AN304=1," día"," días")&amp;" de retraso","Cumplida"),IF(N($M304)&gt;=1,"Cumplida",IF(NOT(ISNUMBER($AN304)),"Sin fecha límite",IF($AN304&lt;FechaRef,"Vencida hace "&amp;(FechaRef-$AN304)&amp;IF(FechaRef-$AN304=1," día"," días"),IF($AN304=FechaRef,"Vence hoy",IF($AN304-FechaRef&lt;=DiasAlerta,"Vence en "&amp;($AN304-FechaRef)&amp;IF($AN304-FechaRef=1," día"," días"),"En plazo")))))))</f>
        <v/>
      </c>
      <c r="P304" s="62" t="n"/>
      <c r="Q304" s="58" t="n"/>
      <c r="R304" s="63">
        <f>IF(NOT((COUNTA($B304:$D304)+COUNTA($G304:$L304)+COUNTA($Q304))&gt;0),"",IF((IF($C304="","Falta el nombre de la actividad"&amp;" · ","")&amp;IF(AND($V304="Sub",N($U304)=0),"Subactividad sin macroactividad arriba"&amp;" · ","")&amp;IF($AM304="","Sin fecha de inicio"&amp;" · ","")&amp;IF($AN304="","Sin fecha límite"&amp;" · ","")&amp;IF(AND(LEFT($C304,11)="[Jefatura] ",N($AL304)=0),"No se encuentra en la hoja de la jefatura (elíjala de nuevo en la lista)"&amp;" · ","")&amp;IF(OR(AND($E304&lt;&gt;"",NOT(ISNUMBER($E304))),AND($F304&lt;&gt;"",NOT(ISNUMBER($F304))),AND($G304&lt;&gt;"",NOT(ISNUMBER($G304)))),"Fecha no válida"&amp;" · ","")&amp;IF(AND(ISNUMBER($AM304),ISNUMBER($AN304),$AM304&gt;$AN304),"Inicio posterior a fecha límite"&amp;" · ","")&amp;IF(AND($V304="Macro",$H304&lt;&gt;"",OR(NOT(ISNUMBER($H304)),$H304&lt;0,$H304&gt;1)),"Peso fuera de rango"&amp;" · ","")&amp;IF(AND($V304="Sub",$H304&lt;&gt;""),"Las subactividades no llevan peso (valen igual dentro de su macroactividad)"&amp;" · ","")&amp;IF(AND(N($W304)&gt;0,COUNT($I304:$L304)&gt;0),"Con subactividades: deje vacías las semanas (se calculan solas)"&amp;" · ","")&amp;IF((COUNTIF($I304:$L304,"&gt;1")+COUNTIF($I304:$L304,"&lt;0")+COUNTA($I304:$L304)-COUNT($I304:$L304))&gt;0,"Avance fuera de rango 0-100%"&amp;" · ","")&amp;IF(OR(AND($J304&lt;&gt;"",$J304&lt;$I304),AND($K304&lt;&gt;"",$K304&lt;MAX($I304:$J304)),AND($L304&lt;&gt;"",$L304&lt;MAX($I304:$K304))),"Avance semanal decreciente"&amp;" · ","")&amp;IF(AND(ISNUMBER($AN304),$AN304&lt;FechaRef,IF($V304="Sub",N($X304),N($M304))&lt;1),"Vencida"&amp;" · ","")&amp;IF(AND(ObsObligatoria="Sí",ISNUMBER($AN304),$AN304&lt;FechaRef,IF($V304="Sub",N($X304),N($M304))&lt;1,$Q304=""),"Vencida sin observación"&amp;" · ",""))="","✔ OK","⚠ "&amp;LEFT(IF($C304="","Falta el nombre de la actividad"&amp;" · ","")&amp;IF(AND($V304="Sub",N($U304)=0),"Subactividad sin macroactividad arriba"&amp;" · ","")&amp;IF($AM304="","Sin fecha de inicio"&amp;" · ","")&amp;IF($AN304="","Sin fecha límite"&amp;" · ","")&amp;IF(AND(LEFT($C304,11)="[Jefatura] ",N($AL304)=0),"No se encuentra en la hoja de la jefatura (elíjala de nuevo en la lista)"&amp;" · ","")&amp;IF(OR(AND($E304&lt;&gt;"",NOT(ISNUMBER($E304))),AND($F304&lt;&gt;"",NOT(ISNUMBER($F304))),AND($G304&lt;&gt;"",NOT(ISNUMBER($G304)))),"Fecha no válida"&amp;" · ","")&amp;IF(AND(ISNUMBER($AM304),ISNUMBER($AN304),$AM304&gt;$AN304),"Inicio posterior a fecha límite"&amp;" · ","")&amp;IF(AND($V304="Macro",$H304&lt;&gt;"",OR(NOT(ISNUMBER($H304)),$H304&lt;0,$H304&gt;1)),"Peso fuera de rango"&amp;" · ","")&amp;IF(AND($V304="Sub",$H304&lt;&gt;""),"Las subactividades no llevan peso (valen igual dentro de su macroactividad)"&amp;" · ","")&amp;IF(AND(N($W304)&gt;0,COUNT($I304:$L304)&gt;0),"Con subactividades: deje vacías las semanas (se calculan solas)"&amp;" · ","")&amp;IF((COUNTIF($I304:$L304,"&gt;1")+COUNTIF($I304:$L304,"&lt;0")+COUNTA($I304:$L304)-COUNT($I304:$L304))&gt;0,"Avance fuera de rango 0-100%"&amp;" · ","")&amp;IF(OR(AND($J304&lt;&gt;"",$J304&lt;$I304),AND($K304&lt;&gt;"",$K304&lt;MAX($I304:$J304)),AND($L304&lt;&gt;"",$L304&lt;MAX($I304:$K304))),"Avance semanal decreciente"&amp;" · ","")&amp;IF(AND(ISNUMBER($AN304),$AN304&lt;FechaRef,IF($V304="Sub",N($X304),N($M304))&lt;1),"Vencida"&amp;" · ","")&amp;IF(AND(ObsObligatoria="Sí",ISNUMBER($AN304),$AN304&lt;FechaRef,IF($V304="Sub",N($X304),N($M304))&lt;1,$Q304=""),"Vencida sin observación"&amp;" · ",""),LEN(IF($C304="","Falta el nombre de la actividad"&amp;" · ","")&amp;IF(AND($V304="Sub",N($U304)=0),"Subactividad sin macroactividad arriba"&amp;" · ","")&amp;IF($AM304="","Sin fecha de inicio"&amp;" · ","")&amp;IF($AN304="","Sin fecha límite"&amp;" · ","")&amp;IF(AND(LEFT($C304,11)="[Jefatura] ",N($AL304)=0),"No se encuentra en la hoja de la jefatura (elíjala de nuevo en la lista)"&amp;" · ","")&amp;IF(OR(AND($E304&lt;&gt;"",NOT(ISNUMBER($E304))),AND($F304&lt;&gt;"",NOT(ISNUMBER($F304))),AND($G304&lt;&gt;"",NOT(ISNUMBER($G304)))),"Fecha no válida"&amp;" · ","")&amp;IF(AND(ISNUMBER($AM304),ISNUMBER($AN304),$AM304&gt;$AN304),"Inicio posterior a fecha límite"&amp;" · ","")&amp;IF(AND($V304="Macro",$H304&lt;&gt;"",OR(NOT(ISNUMBER($H304)),$H304&lt;0,$H304&gt;1)),"Peso fuera de rango"&amp;" · ","")&amp;IF(AND($V304="Sub",$H304&lt;&gt;""),"Las subactividades no llevan peso (valen igual dentro de su macroactividad)"&amp;" · ","")&amp;IF(AND(N($W304)&gt;0,COUNT($I304:$L304)&gt;0),"Con subactividades: deje vacías las semanas (se calculan solas)"&amp;" · ","")&amp;IF((COUNTIF($I304:$L304,"&gt;1")+COUNTIF($I304:$L304,"&lt;0")+COUNTA($I304:$L304)-COUNT($I304:$L304))&gt;0,"Avance fuera de rango 0-100%"&amp;" · ","")&amp;IF(OR(AND($J304&lt;&gt;"",$J304&lt;$I304),AND($K304&lt;&gt;"",$K304&lt;MAX($I304:$J304)),AND($L304&lt;&gt;"",$L304&lt;MAX($I304:$K304))),"Avance semanal decreciente"&amp;" · ","")&amp;IF(AND(ISNUMBER($AN304),$AN304&lt;FechaRef,IF($V304="Sub",N($X304),N($M304))&lt;1),"Vencida"&amp;" · ","")&amp;IF(AND(ObsObligatoria="Sí",ISNUMBER($AN304),$AN304&lt;FechaRef,IF($V304="Sub",N($X304),N($M304))&lt;1,$Q304=""),"Vencida sin observación"&amp;" · ",""))-3)))</f>
        <v/>
      </c>
      <c r="S304" s="64">
        <f>IF(NOT((COUNTA($B304:$D304)+COUNTA($G304:$L304)+COUNTA($Q304))&gt;0),"",IF(AND($V304="Sub",N($U304)&gt;0),IF(ISNUMBER(INDEX($AM$5:$AM$1000,$U304-4)),DATE(YEAR(INDEX($AM$5:$AM$1000,$U304-4)),MONTH(INDEX($AM$5:$AM$1000,$U304-4)),1),IF(ISNUMBER(INDEX($AN$5:$AN$1000,$U304-4)),DATE(YEAR(INDEX($AN$5:$AN$1000,$U304-4)),MONTH(INDEX($AN$5:$AN$1000,$U304-4)),1),MesCiclo)),IF(ISNUMBER($AM304),DATE(YEAR($AM304),MONTH($AM304),1),IF(ISNUMBER($AN304),DATE(YEAR($AN304),MONTH($AN304),1),MesCiclo))))</f>
        <v/>
      </c>
      <c r="T304" s="62">
        <f>IF(OR($S304="",$S304&lt;&gt;MesCiclo,$V304&lt;&gt;"Macro"),"",COUNTIFS($S$5:$S304,MesCiclo,$V$5:$V304,"Macro"))</f>
        <v/>
      </c>
      <c r="U304" s="62">
        <f>IF($V304="","",IF($V304="Macro",ROW(),IFERROR(LOOKUP(2,1/($V$5:$V304="Macro"),ROW($V$5:$V304)),0)))</f>
        <v/>
      </c>
      <c r="V304" s="62">
        <f>IF(NOT((COUNTA($B304:$D304)+COUNTA($G304:$L304)+COUNTA($Q304))&gt;0),"",IF($B304="Subactividad","Sub","Macro"))</f>
        <v/>
      </c>
      <c r="W304" s="62">
        <f>IF($V304="Macro",COUNTIFS($U$5:$U$1000,ROW(),$V$5:$V$1000,"Sub"),"")</f>
        <v/>
      </c>
      <c r="X304" s="62">
        <f>IF($V304="","",IF(ISNUMBER($G304),1,IFERROR(LOOKUP(2,1/($I304:$L304&lt;&gt;""),$I304:$L304),0)))</f>
        <v/>
      </c>
      <c r="Y304" s="62">
        <f>IF($V304="","",IF(AND(ISNUMBER($G304),$G304&lt;=IF($S304=MesCiclo,InicioCiclo,$S304+MOD(2-WEEKDAY($S304),7))+6),1,IF(ISNUMBER($I304),$I304,0)))</f>
        <v/>
      </c>
      <c r="Z304" s="62">
        <f>IF($V304="","",IF(AND(ISNUMBER($G304),$G304&lt;=IF($S304=MesCiclo,InicioCiclo,$S304+MOD(2-WEEKDAY($S304),7))+13),1,IF(ISNUMBER($J304),$J304,$Y304)))</f>
        <v/>
      </c>
      <c r="AA304" s="62">
        <f>IF($V304="","",IF(AND(ISNUMBER($G304),$G304&lt;=IF($S304=MesCiclo,InicioCiclo,$S304+MOD(2-WEEKDAY($S304),7))+20),1,IF(ISNUMBER($K304),$K304,$Z304)))</f>
        <v/>
      </c>
      <c r="AB304" s="62">
        <f>IF($V304="","",IF(AND(ISNUMBER($G304),$G304&lt;=IF($S304=MesCiclo,InicioCiclo,$S304+MOD(2-WEEKDAY($S304),7))+27),1,IF(ISNUMBER($L304),$L304,$AA304)))</f>
        <v/>
      </c>
      <c r="AC304" s="62">
        <f>IF($V304="","",IF(AND(ISNUMBER($G304),$G304&lt;=IF($S304=MesCiclo,InicioCiclo,$S304+MOD(2-WEEKDAY($S304),7))+6),1,IF(N($W304)&gt;0,AVERAGEIFS($Y$5:$Y$1000,$U$5:$U$1000,ROW(),$V$5:$V$1000,"Sub"),$Y304)))</f>
        <v/>
      </c>
      <c r="AD304" s="62">
        <f>IF($V304="","",IF(AND(ISNUMBER($G304),$G304&lt;=IF($S304=MesCiclo,InicioCiclo,$S304+MOD(2-WEEKDAY($S304),7))+13),1,IF(N($W304)&gt;0,AVERAGEIFS($Z$5:$Z$1000,$U$5:$U$1000,ROW(),$V$5:$V$1000,"Sub"),$Z304)))</f>
        <v/>
      </c>
      <c r="AE304" s="62">
        <f>IF($V304="","",IF(AND(ISNUMBER($G304),$G304&lt;=IF($S304=MesCiclo,InicioCiclo,$S304+MOD(2-WEEKDAY($S304),7))+20),1,IF(N($W304)&gt;0,AVERAGEIFS($AA$5:$AA$1000,$U$5:$U$1000,ROW(),$V$5:$V$1000,"Sub"),$AA304)))</f>
        <v/>
      </c>
      <c r="AF304" s="62">
        <f>IF($V304="","",IF(AND(ISNUMBER($G304),$G304&lt;=IF($S304=MesCiclo,InicioCiclo,$S304+MOD(2-WEEKDAY($S304),7))+27),1,IF(N($W304)&gt;0,AVERAGEIFS($AB$5:$AB$1000,$U$5:$U$1000,ROW(),$V$5:$V$1000,"Sub"),$AB304)))</f>
        <v/>
      </c>
      <c r="AG304" s="62">
        <f>IF($V304&lt;&gt;"Macro","",IF(COUNTIFS($S$5:$S$1000,$S304,$V$5:$V$1000,"Macro",$H$5:$H$1000,"&gt;0")=0,1/COUNTIFS($S$5:$S$1000,$S304,$V$5:$V$1000,"Macro"),IF(AND(ISNUMBER($H304),N($H304)&gt;0),$H304,SUMIFS($H$5:$H$1000,$S$5:$S$1000,$S304,$V$5:$V$1000,"Macro")/COUNTIFS($S$5:$S$1000,$S304,$V$5:$V$1000,"Macro",$H$5:$H$1000,"&gt;0"))/(COUNTIFS($S$5:$S$1000,$S304,$V$5:$V$1000,"Macro")*SUMIFS($H$5:$H$1000,$S$5:$S$1000,$S304,$V$5:$V$1000,"Macro")/COUNTIFS($S$5:$S$1000,$S304,$V$5:$V$1000,"Macro",$H$5:$H$1000,"&gt;0"))))</f>
        <v/>
      </c>
      <c r="AH304" s="62" t="n"/>
      <c r="AI304" s="62" t="n"/>
      <c r="AJ304" s="62" t="n"/>
      <c r="AK304" s="62" t="n"/>
      <c r="AL304" s="62">
        <f>IF(LEFT($C304,11)="[Jefatura] ",IFERROR(MATCH("Riesgo Normativo|"&amp;MID($C304,12,500),rDname_ADM,0),0),"")</f>
        <v/>
      </c>
      <c r="AM304" s="62">
        <f>IF(N($AL304)&gt;0,INDEX(rIni_ADM,$AL304),IF(ISNUMBER($E304),$E304,""))</f>
        <v/>
      </c>
      <c r="AN304" s="62">
        <f>IF(N($AL304)&gt;0,INDEX(rLim_ADM,$AL304),IF(ISNUMBER($F304),$F304,""))</f>
        <v/>
      </c>
    </row>
  </sheetData>
  <sheetProtection selectLockedCells="0" selectUnlockedCells="0" sheet="1" objects="0" insertRows="1" insertHyperlinks="1" autoFilter="0" scenarios="0" formatColumns="0" deleteColumns="1" insertColumns="1" pivotTables="1" deleteRows="1" formatCells="1" formatRows="0" sort="0"/>
  <mergeCells count="6">
    <mergeCell ref="A1:S1"/>
    <mergeCell ref="M3:O3"/>
    <mergeCell ref="E3:J3"/>
    <mergeCell ref="A2:S2"/>
    <mergeCell ref="K3:L3"/>
    <mergeCell ref="Q3:S3"/>
  </mergeCells>
  <conditionalFormatting sqref="M3:O3">
    <cfRule type="expression" priority="1" dxfId="8" stopIfTrue="1">
      <formula>COUNTIFS($S$5:$S$1000,MesCiclo,$O$5:$O$1000,"Vencida*")&gt;0</formula>
    </cfRule>
    <cfRule type="expression" priority="2" dxfId="9" stopIfTrue="1">
      <formula>COUNTIFS($S$5:$S$1000,MesCiclo,$O$5:$O$1000,"Vence*")&gt;0</formula>
    </cfRule>
    <cfRule type="expression" priority="3" dxfId="0">
      <formula>TRUE</formula>
    </cfRule>
  </conditionalFormatting>
  <conditionalFormatting sqref="Q3:S3">
    <cfRule type="expression" priority="4" dxfId="9" stopIfTrue="1">
      <formula>(COUNTIFS('Administración'!$D$5:$D$1000,"Riesgo Normativo",'Administración'!$S$5:$S$1000,MesCiclo,'Administración'!$V$5:$V$1000,"Macro")-COUNTIFS('Administración'!$D$5:$D$1000,"Riesgo Normativo",'Administración'!$S$5:$S$1000,MesCiclo,'Administración'!$V$5:$V$1000,"Macro",'Administración'!$AH$5:$AH$1000,"&gt;0"))&gt;0</formula>
    </cfRule>
    <cfRule type="expression" priority="5" dxfId="0">
      <formula>COUNTIFS('Administración'!$D$5:$D$1000,"Riesgo Normativo",'Administración'!$S$5:$S$1000,MesCiclo,'Administración'!$V$5:$V$1000,"Macro")&gt;0</formula>
    </cfRule>
  </conditionalFormatting>
  <conditionalFormatting sqref="C5:C1000">
    <cfRule type="expression" priority="6" dxfId="10" stopIfTrue="1">
      <formula>LEFT($C5,11)="[Jefatura] "</formula>
    </cfRule>
    <cfRule type="expression" priority="9" dxfId="11">
      <formula>$V5="Sub"</formula>
    </cfRule>
  </conditionalFormatting>
  <conditionalFormatting sqref="A5:C1000">
    <cfRule type="expression" priority="7" dxfId="5" stopIfTrue="1">
      <formula>AND($V5="Macro",$C5="")</formula>
    </cfRule>
    <cfRule type="expression" priority="8" dxfId="21">
      <formula>$V5="Macro"</formula>
    </cfRule>
  </conditionalFormatting>
  <conditionalFormatting sqref="N5:N1000">
    <cfRule type="expression" priority="10" dxfId="0">
      <formula>$N5="Completado"</formula>
    </cfRule>
    <cfRule type="expression" priority="11" dxfId="4">
      <formula>$N5="En curso"</formula>
    </cfRule>
    <cfRule type="expression" priority="12" dxfId="5">
      <formula>$N5="Pendiente"</formula>
    </cfRule>
  </conditionalFormatting>
  <conditionalFormatting sqref="O5:O1000">
    <cfRule type="expression" priority="13" dxfId="8" stopIfTrue="1">
      <formula>LEFT($O5,7)="Vencida"</formula>
    </cfRule>
    <cfRule type="expression" priority="14" dxfId="9" stopIfTrue="1">
      <formula>LEFT($O5,5)="Vence"</formula>
    </cfRule>
    <cfRule type="expression" priority="15" dxfId="0" stopIfTrue="1">
      <formula>LEFT($O5,8)="Cumplida"</formula>
    </cfRule>
    <cfRule type="expression" priority="16" dxfId="13" stopIfTrue="1">
      <formula>$O5="En plazo"</formula>
    </cfRule>
    <cfRule type="expression" priority="17" dxfId="5">
      <formula>$O5="Sin fecha límite"</formula>
    </cfRule>
  </conditionalFormatting>
  <conditionalFormatting sqref="M5:M1000">
    <cfRule type="expression" priority="18" dxfId="14" stopIfTrue="1">
      <formula>$V5="Sub"</formula>
    </cfRule>
    <cfRule type="expression" priority="19" dxfId="0">
      <formula>AND(ISNUMBER($M5),$M5&gt;=1)</formula>
    </cfRule>
    <cfRule type="dataBar" priority="20">
      <dataBar showValue="1">
        <cfvo type="num" val="0"/>
        <cfvo type="num" val="1"/>
        <color rgb="005B9BD5"/>
      </dataBar>
    </cfRule>
  </conditionalFormatting>
  <conditionalFormatting sqref="G5:G1000">
    <cfRule type="expression" priority="21" dxfId="0">
      <formula>ISNUMBER($G5)</formula>
    </cfRule>
  </conditionalFormatting>
  <conditionalFormatting sqref="F5:F1000">
    <cfRule type="expression" priority="22" dxfId="6" stopIfTrue="1">
      <formula>AND(ISNUMBER($AN5),$AN5&lt;FechaRef,IF($V5="Sub",N($X5),N($M5))&lt;1)</formula>
    </cfRule>
    <cfRule type="expression" priority="23" dxfId="7">
      <formula>AND(ISNUMBER($AN5),$AN5&gt;=FechaRef,$AN5-FechaRef&lt;=DiasAlerta,IF($V5="Sub",N($X5),N($M5))&lt;1)</formula>
    </cfRule>
  </conditionalFormatting>
  <conditionalFormatting sqref="E5:F1000">
    <cfRule type="expression" priority="24" dxfId="10" stopIfTrue="1">
      <formula>AND(N($AL5)&gt;0)</formula>
    </cfRule>
    <cfRule type="expression" priority="25" dxfId="5" stopIfTrue="1">
      <formula>AND((COUNTA($B5:$D5)+COUNTA($G5:$L5)+COUNTA($Q5))&gt;0,$AM5="")</formula>
    </cfRule>
    <cfRule type="expression" priority="26" dxfId="6">
      <formula>AND(ISNUMBER($E5),ISNUMBER($F5),$E5&gt;$F5)</formula>
    </cfRule>
  </conditionalFormatting>
  <conditionalFormatting sqref="H5:H1000">
    <cfRule type="expression" priority="27" dxfId="5" stopIfTrue="1">
      <formula>AND($V5="Sub",$H5&lt;&gt;"")</formula>
    </cfRule>
    <cfRule type="expression" priority="28" dxfId="15" stopIfTrue="1">
      <formula>$V5="Sub"</formula>
    </cfRule>
  </conditionalFormatting>
  <conditionalFormatting sqref="I5:L1000">
    <cfRule type="expression" priority="29" dxfId="5" stopIfTrue="1">
      <formula>AND(N($W5)&gt;0,I5&lt;&gt;"")</formula>
    </cfRule>
    <cfRule type="expression" priority="30" dxfId="15" stopIfTrue="1">
      <formula>OR(N($W5)&gt;0,ISNUMBER($G5))</formula>
    </cfRule>
    <cfRule type="expression" priority="31" dxfId="5" stopIfTrue="1">
      <formula>AND(I5&lt;&gt;"",OR(NOT(ISNUMBER(I5)),I5&gt;1,I5&lt;0))</formula>
    </cfRule>
  </conditionalFormatting>
  <conditionalFormatting sqref="J5:L1000">
    <cfRule type="expression" priority="32" dxfId="6">
      <formula>AND(J5&lt;&gt;"",J5&lt;MAX($I5:I5))</formula>
    </cfRule>
  </conditionalFormatting>
  <conditionalFormatting sqref="Q5:Q1000">
    <cfRule type="expression" priority="33" dxfId="5">
      <formula>AND(ObsObligatoria="Sí",ISNUMBER($F5),$F5&lt;FechaRef,IF($V5="Sub",N($X5),N($M5))&lt;1,$Q5="")</formula>
    </cfRule>
  </conditionalFormatting>
  <conditionalFormatting sqref="R5:R1000">
    <cfRule type="expression" priority="34" dxfId="5">
      <formula>LEFT($R5,1)="⚠"</formula>
    </cfRule>
    <cfRule type="expression" priority="35" dxfId="16">
      <formula>LEFT($R5,1)="✔"</formula>
    </cfRule>
  </conditionalFormatting>
  <conditionalFormatting sqref="S5:S1000">
    <cfRule type="expression" priority="36" dxfId="1">
      <formula>AND($S5&lt;&gt;"",$S5=MesCiclo)</formula>
    </cfRule>
  </conditionalFormatting>
  <dataValidations count="6">
    <dataValidation sqref="E5:F1000" showDropDown="0" showInputMessage="1" showErrorMessage="1" allowBlank="1" errorTitle="Fecha no permitida" error="Si la actividad es de la jefatura ([Jefatura]), las fechas las pone la jefatura y no se pueden cambiar. En sus actividades propias escriba una fecha válida (dd/mm/aaaa)." promptTitle="Fechas" prompt="En actividades [Jefatura] las fechas aparecen solas (las pone la jefatura). En las propias, escriba la fecha." type="custom">
      <formula1>AND(LEFT($C5,11)&lt;&gt;"[Jefatura] ",ISNUMBER(E5),E5&gt;36526)</formula1>
    </dataValidation>
    <dataValidation sqref="B5:B1000" showDropDown="0" showInputMessage="1" showErrorMessage="1" allowBlank="1" errorTitle="Tipo no válido" error="Elija Macroactividad o Subactividad." promptTitle="Tipo" prompt="Macroactividad (lleva peso) o Subactividad (va debajo de su macroactividad). Vacío = Macroactividad." type="list">
      <formula1>"Macroactividad,Subactividad"</formula1>
    </dataValidation>
    <dataValidation sqref="G5:G1000" showDropDown="0" showInputMessage="1" showErrorMessage="1" allowBlank="1" errorTitle="Fecha no válida" error="Ingrese una fecha válida (dd/mm/aaaa)." promptTitle="Fecha de cumplimiento" prompt="Escriba la fecha en que se cumplió. La actividad queda al 100% y ya no aparece vencida." type="date" operator="greaterThan">
      <formula1>36526</formula1>
    </dataValidation>
    <dataValidation sqref="H5:H1000" showDropDown="0" showInputMessage="1" showErrorMessage="1" allowBlank="1" errorTitle="Peso no permitido" error="Las subactividades NO llevan peso (su avance se promedia en la macroactividad). En una macroactividad ingrese un porcentaje entre 0% y 100% (por ejemplo 40%)." promptTitle="Peso (solo macroactividades)" prompt="Opcional. Vacío = todas las macroactividades del mes valen igual. Si escribe pesos, se ajustan solos a 100%. Las subactividades no llevan peso." type="custom">
      <formula1>AND(LEFT($B5,3)&lt;&gt;"Sub",ISNUMBER(H5),H5&gt;=0,H5&lt;=1)</formula1>
    </dataValidation>
    <dataValidation sqref="I5:L1000" showDropDown="0" showInputMessage="1" showErrorMessage="1" allowBlank="1" errorTitle="Avance no válido" error="Ingrese un porcentaje entre 0% y 100%. Deje la celda vacía si la semana no ha llegado." promptTitle="Avance parcial (opcional)" prompt="% TOTAL logrado hasta esta semana. Cuando termine, escriba la Fecha de cumplimiento. Si la macroactividad tiene subactividades, déjelo vacío." type="decimal" operator="between">
      <formula1>0</formula1>
      <formula2>1</formula2>
    </dataValidation>
    <dataValidation sqref="C5:C1000" showDropDown="0" showInputMessage="1" showErrorMessage="0" allowBlank="1" promptTitle="Actividad" prompt="Escriba el nombre, o elija en la lista una actividad delegada por la jefatura." type="list">
      <formula1>ListaDeleg_RN</formula1>
    </dataValidation>
  </dataValidations>
  <pageMargins left="0.4" right="0.4" top="0.5" bottom="0.5" header="0.5" footer="0.5"/>
  <pageSetup orientation="landscape" paperSize="1" fitToHeight="0" fitToWidth="1"/>
  <headerFooter>
    <oddHeader/>
    <oddFooter>&amp;C&amp;A – Página &amp;P de &amp;N</oddFooter>
    <evenHeader/>
    <evenFooter/>
    <firstHeader/>
    <firstFooter/>
  </headerFooter>
  <tableParts count="1">
    <tablePart xmlns:r="http://schemas.openxmlformats.org/officeDocument/2006/relationships" r:id="rId1"/>
  </tableParts>
</worksheet>
</file>

<file path=xl/worksheets/sheet7.xml><?xml version="1.0" encoding="utf-8"?>
<worksheet xmlns="http://schemas.openxmlformats.org/spreadsheetml/2006/main">
  <sheetPr>
    <tabColor rgb="007030A0"/>
    <outlinePr summaryBelow="1" summaryRight="1"/>
    <pageSetUpPr fitToPage="1"/>
  </sheetPr>
  <dimension ref="A1:Q104"/>
  <sheetViews>
    <sheetView showGridLines="0" zoomScale="90" workbookViewId="0">
      <pane xSplit="2" ySplit="4" topLeftCell="C5" activePane="bottomRight" state="frozen"/>
      <selection pane="topRight"/>
      <selection pane="bottomLeft"/>
      <selection pane="bottomRight" activeCell="A1" sqref="A1"/>
    </sheetView>
  </sheetViews>
  <sheetFormatPr baseColWidth="8" defaultRowHeight="15"/>
  <cols>
    <col width="7" customWidth="1" min="1" max="1"/>
    <col width="50" customWidth="1" min="2" max="2"/>
    <col width="12" customWidth="1" min="3" max="3"/>
    <col width="12" customWidth="1" min="4" max="4"/>
    <col width="16" customWidth="1" min="5" max="5"/>
    <col width="11" customWidth="1" min="6" max="6"/>
    <col width="11" customWidth="1" min="7" max="7"/>
    <col width="11" customWidth="1" min="8" max="8"/>
    <col width="11" customWidth="1" min="9" max="9"/>
    <col width="12" customWidth="1" min="10" max="10"/>
    <col width="13" customWidth="1" min="11" max="11"/>
    <col width="20" customWidth="1" min="12" max="12"/>
    <col width="46" customWidth="1" min="13" max="13"/>
    <col hidden="1" width="13" customWidth="1" min="14" max="14"/>
    <col hidden="1" width="13" customWidth="1" min="15" max="15"/>
    <col hidden="1" width="13" customWidth="1" min="16" max="16"/>
    <col hidden="1" width="13" customWidth="1" min="17" max="17"/>
  </cols>
  <sheetData>
    <row r="1" ht="28" customHeight="1">
      <c r="A1" s="80" t="inlineStr">
        <is>
          <t>Actividades del mes por semana – Riesgo Normativo</t>
        </is>
      </c>
      <c r="B1" s="80" t="n"/>
      <c r="C1" s="80" t="n"/>
      <c r="D1" s="80" t="n"/>
      <c r="E1" s="80" t="n"/>
      <c r="F1" s="80" t="n"/>
      <c r="G1" s="80" t="n"/>
      <c r="H1" s="80" t="n"/>
      <c r="I1" s="80" t="n"/>
      <c r="J1" s="80" t="n"/>
      <c r="K1" s="80" t="n"/>
      <c r="L1" s="80" t="n"/>
      <c r="M1" s="80" t="n"/>
    </row>
    <row r="2" ht="34" customHeight="1">
      <c r="A2" s="74" t="inlineStr">
        <is>
          <t>HOJA AUTOMÁTICA Y BLOQUEADA: muestra solo las actividades del mes indicado abajo, tomadas de «Cronograma R. Normativo». No hay que escribir nada aquí. Muestra SOLO las macroactividades (sus subactividades se ven en el Cronograma; su avance ya está incluido). La barra de color marca las semanas en que cada actividad está programada y dentro aparece el avance de esa semana. La columna «Alerta de plazo» indica lo vencido y lo que está por vencer.</t>
        </is>
      </c>
      <c r="B2" s="74" t="n"/>
      <c r="C2" s="74" t="n"/>
      <c r="D2" s="74" t="n"/>
      <c r="E2" s="74" t="n"/>
      <c r="F2" s="74" t="n"/>
      <c r="G2" s="74" t="n"/>
      <c r="H2" s="74" t="n"/>
      <c r="I2" s="74" t="n"/>
      <c r="J2" s="74" t="n"/>
      <c r="K2" s="74" t="n"/>
      <c r="L2" s="74" t="n"/>
      <c r="M2" s="74" t="n"/>
    </row>
    <row r="3">
      <c r="A3" s="75" t="inlineStr">
        <is>
          <t>Mes:</t>
        </is>
      </c>
      <c r="B3" s="76">
        <f>MesCiclo</f>
        <v/>
      </c>
      <c r="E3" s="77" t="inlineStr">
        <is>
          <t>Semana del:</t>
        </is>
      </c>
      <c r="F3" s="78">
        <f>(InicioCiclo+0)</f>
        <v/>
      </c>
      <c r="G3" s="78">
        <f>(InicioCiclo+7)</f>
        <v/>
      </c>
      <c r="H3" s="78">
        <f>(InicioCiclo+14)</f>
        <v/>
      </c>
      <c r="I3" s="78">
        <f>(InicioCiclo+21)</f>
        <v/>
      </c>
    </row>
    <row r="4" ht="34" customHeight="1">
      <c r="A4" s="54" t="inlineStr">
        <is>
          <t>N°</t>
        </is>
      </c>
      <c r="B4" s="54" t="inlineStr">
        <is>
          <t>Actividad</t>
        </is>
      </c>
      <c r="C4" s="54" t="inlineStr">
        <is>
          <t>Fecha de inicio</t>
        </is>
      </c>
      <c r="D4" s="54" t="inlineStr">
        <is>
          <t>Fecha límite</t>
        </is>
      </c>
      <c r="E4" s="54" t="inlineStr">
        <is>
          <t>Semana de entrega</t>
        </is>
      </c>
      <c r="F4" s="68" t="inlineStr">
        <is>
          <t>Semana 1</t>
        </is>
      </c>
      <c r="G4" s="68" t="inlineStr">
        <is>
          <t>Semana 2</t>
        </is>
      </c>
      <c r="H4" s="68" t="inlineStr">
        <is>
          <t>Semana 3</t>
        </is>
      </c>
      <c r="I4" s="68" t="inlineStr">
        <is>
          <t>Semana 4</t>
        </is>
      </c>
      <c r="J4" s="54" t="inlineStr">
        <is>
          <t>% Avance actual</t>
        </is>
      </c>
      <c r="K4" s="54" t="inlineStr">
        <is>
          <t>Estado</t>
        </is>
      </c>
      <c r="L4" s="54" t="inlineStr">
        <is>
          <t>Alerta de plazo</t>
        </is>
      </c>
      <c r="M4" s="54" t="inlineStr">
        <is>
          <t>Observaciones</t>
        </is>
      </c>
      <c r="N4" t="inlineStr">
        <is>
          <t>Fila origen (aux)</t>
        </is>
      </c>
      <c r="O4" t="inlineStr">
        <is>
          <t>Tipo (aux)</t>
        </is>
      </c>
      <c r="P4" t="inlineStr">
        <is>
          <t>N subactividades (aux)</t>
        </is>
      </c>
      <c r="Q4" t="inlineStr">
        <is>
          <t>N° alerta de plazo (aux)</t>
        </is>
      </c>
    </row>
    <row r="5">
      <c r="A5" s="56">
        <f>IF($N5="","",INDEX('Cronograma R. Normativo'!$A$5:$A$1000,$N5))</f>
        <v/>
      </c>
      <c r="B5" s="62">
        <f>IF($N5="","",IF($O5="Sub","      ↳  "&amp;INDEX('Cronograma R. Normativo'!$C$5:$C$1000,$N5),INDEX('Cronograma R. Normativo'!$C$5:$C$1000,$N5)&amp;""))</f>
        <v/>
      </c>
      <c r="C5" s="79">
        <f>IF($N5="","",IF(INDEX('Cronograma R. Normativo'!$AM$5:$AM$1000,$N5)="","",INDEX('Cronograma R. Normativo'!$AM$5:$AM$1000,$N5)))</f>
        <v/>
      </c>
      <c r="D5" s="79">
        <f>IF($N5="","",IF(INDEX('Cronograma R. Normativo'!$AN$5:$AN$1000,$N5)="","",INDEX('Cronograma R. Normativo'!$AN$5:$AN$1000,$N5)))</f>
        <v/>
      </c>
      <c r="E5" s="56">
        <f>IF($N5="","",IF(NOT(ISNUMBER($D5)),"",IF($D5&lt;InicioCiclo,"Antes del ciclo",IF($D5&gt;=InicioCiclo+28,"Después del ciclo","Semana "&amp;(INT(($D5-InicioCiclo)/7)+1)))))</f>
        <v/>
      </c>
      <c r="F5" s="61">
        <f>IF($N5="","",IF($P5&gt;0,IF(1&lt;=SemanaActual,INDEX('Cronograma R. Normativo'!$AC$5:$AC$1000,$N5),""),IF(INDEX('Cronograma R. Normativo'!$I$5:$I$1000,$N5)="","",INDEX('Cronograma R. Normativo'!$I$5:$I$1000,$N5))))</f>
        <v/>
      </c>
      <c r="G5" s="61">
        <f>IF($N5="","",IF($P5&gt;0,IF(2&lt;=SemanaActual,INDEX('Cronograma R. Normativo'!$AD$5:$AD$1000,$N5),""),IF(INDEX('Cronograma R. Normativo'!$J$5:$J$1000,$N5)="","",INDEX('Cronograma R. Normativo'!$J$5:$J$1000,$N5))))</f>
        <v/>
      </c>
      <c r="H5" s="61">
        <f>IF($N5="","",IF($P5&gt;0,IF(3&lt;=SemanaActual,INDEX('Cronograma R. Normativo'!$AE$5:$AE$1000,$N5),""),IF(INDEX('Cronograma R. Normativo'!$K$5:$K$1000,$N5)="","",INDEX('Cronograma R. Normativo'!$K$5:$K$1000,$N5))))</f>
        <v/>
      </c>
      <c r="I5" s="61">
        <f>IF($N5="","",IF($P5&gt;0,IF(4&lt;=SemanaActual,INDEX('Cronograma R. Normativo'!$AF$5:$AF$1000,$N5),""),IF(INDEX('Cronograma R. Normativo'!$L$5:$L$1000,$N5)="","",INDEX('Cronograma R. Normativo'!$L$5:$L$1000,$N5))))</f>
        <v/>
      </c>
      <c r="J5" s="61">
        <f>IF($N5="","",INDEX('Cronograma R. Normativo'!$M$5:$M$1000,$N5))</f>
        <v/>
      </c>
      <c r="K5" s="56">
        <f>IF($N5="","",IF(N($J5)&gt;=1,"Completado",IF(AND(ISNUMBER($D5),$D5&lt;FechaRef),"Vencida",IF(N($J5)&gt;0,"En curso","Pendiente"))))</f>
        <v/>
      </c>
      <c r="L5" s="56">
        <f>IF($N5="","",INDEX('Cronograma R. Normativo'!$O$5:$O$1000,$N5)&amp;"")</f>
        <v/>
      </c>
      <c r="M5" s="62">
        <f>IF($N5="","",INDEX('Cronograma R. Normativo'!$Q$5:$Q$1000,$N5)&amp;"")</f>
        <v/>
      </c>
      <c r="N5">
        <f>IFERROR(MATCH(ROW()-4,rOrden_RN,0),"")</f>
        <v/>
      </c>
      <c r="O5">
        <f>IF($N5="","",INDEX('Cronograma R. Normativo'!$V$5:$V$1000,$N5))</f>
        <v/>
      </c>
      <c r="P5">
        <f>IF($N5="","",N(INDEX('Cronograma R. Normativo'!$W$5:$W$1000,$N5)))</f>
        <v/>
      </c>
      <c r="Q5">
        <f>IF(OR(LEFT($L5,7)="Vencida",LEFT($L5,5)="Vence"),SUMPRODUCT(--(LEFT($L$5:$L5,7)="Vencida"))+SUMPRODUCT(--(LEFT($L$5:$L5,5)="Vence")),"")</f>
        <v/>
      </c>
    </row>
    <row r="6">
      <c r="A6" s="56">
        <f>IF($N6="","",INDEX('Cronograma R. Normativo'!$A$5:$A$1000,$N6))</f>
        <v/>
      </c>
      <c r="B6" s="62">
        <f>IF($N6="","",IF($O6="Sub","      ↳  "&amp;INDEX('Cronograma R. Normativo'!$C$5:$C$1000,$N6),INDEX('Cronograma R. Normativo'!$C$5:$C$1000,$N6)&amp;""))</f>
        <v/>
      </c>
      <c r="C6" s="79">
        <f>IF($N6="","",IF(INDEX('Cronograma R. Normativo'!$AM$5:$AM$1000,$N6)="","",INDEX('Cronograma R. Normativo'!$AM$5:$AM$1000,$N6)))</f>
        <v/>
      </c>
      <c r="D6" s="79">
        <f>IF($N6="","",IF(INDEX('Cronograma R. Normativo'!$AN$5:$AN$1000,$N6)="","",INDEX('Cronograma R. Normativo'!$AN$5:$AN$1000,$N6)))</f>
        <v/>
      </c>
      <c r="E6" s="56">
        <f>IF($N6="","",IF(NOT(ISNUMBER($D6)),"",IF($D6&lt;InicioCiclo,"Antes del ciclo",IF($D6&gt;=InicioCiclo+28,"Después del ciclo","Semana "&amp;(INT(($D6-InicioCiclo)/7)+1)))))</f>
        <v/>
      </c>
      <c r="F6" s="61">
        <f>IF($N6="","",IF($P6&gt;0,IF(1&lt;=SemanaActual,INDEX('Cronograma R. Normativo'!$AC$5:$AC$1000,$N6),""),IF(INDEX('Cronograma R. Normativo'!$I$5:$I$1000,$N6)="","",INDEX('Cronograma R. Normativo'!$I$5:$I$1000,$N6))))</f>
        <v/>
      </c>
      <c r="G6" s="61">
        <f>IF($N6="","",IF($P6&gt;0,IF(2&lt;=SemanaActual,INDEX('Cronograma R. Normativo'!$AD$5:$AD$1000,$N6),""),IF(INDEX('Cronograma R. Normativo'!$J$5:$J$1000,$N6)="","",INDEX('Cronograma R. Normativo'!$J$5:$J$1000,$N6))))</f>
        <v/>
      </c>
      <c r="H6" s="61">
        <f>IF($N6="","",IF($P6&gt;0,IF(3&lt;=SemanaActual,INDEX('Cronograma R. Normativo'!$AE$5:$AE$1000,$N6),""),IF(INDEX('Cronograma R. Normativo'!$K$5:$K$1000,$N6)="","",INDEX('Cronograma R. Normativo'!$K$5:$K$1000,$N6))))</f>
        <v/>
      </c>
      <c r="I6" s="61">
        <f>IF($N6="","",IF($P6&gt;0,IF(4&lt;=SemanaActual,INDEX('Cronograma R. Normativo'!$AF$5:$AF$1000,$N6),""),IF(INDEX('Cronograma R. Normativo'!$L$5:$L$1000,$N6)="","",INDEX('Cronograma R. Normativo'!$L$5:$L$1000,$N6))))</f>
        <v/>
      </c>
      <c r="J6" s="61">
        <f>IF($N6="","",INDEX('Cronograma R. Normativo'!$M$5:$M$1000,$N6))</f>
        <v/>
      </c>
      <c r="K6" s="56">
        <f>IF($N6="","",IF(N($J6)&gt;=1,"Completado",IF(AND(ISNUMBER($D6),$D6&lt;FechaRef),"Vencida",IF(N($J6)&gt;0,"En curso","Pendiente"))))</f>
        <v/>
      </c>
      <c r="L6" s="56">
        <f>IF($N6="","",INDEX('Cronograma R. Normativo'!$O$5:$O$1000,$N6)&amp;"")</f>
        <v/>
      </c>
      <c r="M6" s="62">
        <f>IF($N6="","",INDEX('Cronograma R. Normativo'!$Q$5:$Q$1000,$N6)&amp;"")</f>
        <v/>
      </c>
      <c r="N6">
        <f>IFERROR(MATCH(ROW()-4,rOrden_RN,0),"")</f>
        <v/>
      </c>
      <c r="O6">
        <f>IF($N6="","",INDEX('Cronograma R. Normativo'!$V$5:$V$1000,$N6))</f>
        <v/>
      </c>
      <c r="P6">
        <f>IF($N6="","",N(INDEX('Cronograma R. Normativo'!$W$5:$W$1000,$N6)))</f>
        <v/>
      </c>
      <c r="Q6">
        <f>IF(OR(LEFT($L6,7)="Vencida",LEFT($L6,5)="Vence"),SUMPRODUCT(--(LEFT($L$5:$L6,7)="Vencida"))+SUMPRODUCT(--(LEFT($L$5:$L6,5)="Vence")),"")</f>
        <v/>
      </c>
    </row>
    <row r="7">
      <c r="A7" s="56">
        <f>IF($N7="","",INDEX('Cronograma R. Normativo'!$A$5:$A$1000,$N7))</f>
        <v/>
      </c>
      <c r="B7" s="62">
        <f>IF($N7="","",IF($O7="Sub","      ↳  "&amp;INDEX('Cronograma R. Normativo'!$C$5:$C$1000,$N7),INDEX('Cronograma R. Normativo'!$C$5:$C$1000,$N7)&amp;""))</f>
        <v/>
      </c>
      <c r="C7" s="79">
        <f>IF($N7="","",IF(INDEX('Cronograma R. Normativo'!$AM$5:$AM$1000,$N7)="","",INDEX('Cronograma R. Normativo'!$AM$5:$AM$1000,$N7)))</f>
        <v/>
      </c>
      <c r="D7" s="79">
        <f>IF($N7="","",IF(INDEX('Cronograma R. Normativo'!$AN$5:$AN$1000,$N7)="","",INDEX('Cronograma R. Normativo'!$AN$5:$AN$1000,$N7)))</f>
        <v/>
      </c>
      <c r="E7" s="56">
        <f>IF($N7="","",IF(NOT(ISNUMBER($D7)),"",IF($D7&lt;InicioCiclo,"Antes del ciclo",IF($D7&gt;=InicioCiclo+28,"Después del ciclo","Semana "&amp;(INT(($D7-InicioCiclo)/7)+1)))))</f>
        <v/>
      </c>
      <c r="F7" s="61">
        <f>IF($N7="","",IF($P7&gt;0,IF(1&lt;=SemanaActual,INDEX('Cronograma R. Normativo'!$AC$5:$AC$1000,$N7),""),IF(INDEX('Cronograma R. Normativo'!$I$5:$I$1000,$N7)="","",INDEX('Cronograma R. Normativo'!$I$5:$I$1000,$N7))))</f>
        <v/>
      </c>
      <c r="G7" s="61">
        <f>IF($N7="","",IF($P7&gt;0,IF(2&lt;=SemanaActual,INDEX('Cronograma R. Normativo'!$AD$5:$AD$1000,$N7),""),IF(INDEX('Cronograma R. Normativo'!$J$5:$J$1000,$N7)="","",INDEX('Cronograma R. Normativo'!$J$5:$J$1000,$N7))))</f>
        <v/>
      </c>
      <c r="H7" s="61">
        <f>IF($N7="","",IF($P7&gt;0,IF(3&lt;=SemanaActual,INDEX('Cronograma R. Normativo'!$AE$5:$AE$1000,$N7),""),IF(INDEX('Cronograma R. Normativo'!$K$5:$K$1000,$N7)="","",INDEX('Cronograma R. Normativo'!$K$5:$K$1000,$N7))))</f>
        <v/>
      </c>
      <c r="I7" s="61">
        <f>IF($N7="","",IF($P7&gt;0,IF(4&lt;=SemanaActual,INDEX('Cronograma R. Normativo'!$AF$5:$AF$1000,$N7),""),IF(INDEX('Cronograma R. Normativo'!$L$5:$L$1000,$N7)="","",INDEX('Cronograma R. Normativo'!$L$5:$L$1000,$N7))))</f>
        <v/>
      </c>
      <c r="J7" s="61">
        <f>IF($N7="","",INDEX('Cronograma R. Normativo'!$M$5:$M$1000,$N7))</f>
        <v/>
      </c>
      <c r="K7" s="56">
        <f>IF($N7="","",IF(N($J7)&gt;=1,"Completado",IF(AND(ISNUMBER($D7),$D7&lt;FechaRef),"Vencida",IF(N($J7)&gt;0,"En curso","Pendiente"))))</f>
        <v/>
      </c>
      <c r="L7" s="56">
        <f>IF($N7="","",INDEX('Cronograma R. Normativo'!$O$5:$O$1000,$N7)&amp;"")</f>
        <v/>
      </c>
      <c r="M7" s="62">
        <f>IF($N7="","",INDEX('Cronograma R. Normativo'!$Q$5:$Q$1000,$N7)&amp;"")</f>
        <v/>
      </c>
      <c r="N7">
        <f>IFERROR(MATCH(ROW()-4,rOrden_RN,0),"")</f>
        <v/>
      </c>
      <c r="O7">
        <f>IF($N7="","",INDEX('Cronograma R. Normativo'!$V$5:$V$1000,$N7))</f>
        <v/>
      </c>
      <c r="P7">
        <f>IF($N7="","",N(INDEX('Cronograma R. Normativo'!$W$5:$W$1000,$N7)))</f>
        <v/>
      </c>
      <c r="Q7">
        <f>IF(OR(LEFT($L7,7)="Vencida",LEFT($L7,5)="Vence"),SUMPRODUCT(--(LEFT($L$5:$L7,7)="Vencida"))+SUMPRODUCT(--(LEFT($L$5:$L7,5)="Vence")),"")</f>
        <v/>
      </c>
    </row>
    <row r="8">
      <c r="A8" s="56">
        <f>IF($N8="","",INDEX('Cronograma R. Normativo'!$A$5:$A$1000,$N8))</f>
        <v/>
      </c>
      <c r="B8" s="62">
        <f>IF($N8="","",IF($O8="Sub","      ↳  "&amp;INDEX('Cronograma R. Normativo'!$C$5:$C$1000,$N8),INDEX('Cronograma R. Normativo'!$C$5:$C$1000,$N8)&amp;""))</f>
        <v/>
      </c>
      <c r="C8" s="79">
        <f>IF($N8="","",IF(INDEX('Cronograma R. Normativo'!$AM$5:$AM$1000,$N8)="","",INDEX('Cronograma R. Normativo'!$AM$5:$AM$1000,$N8)))</f>
        <v/>
      </c>
      <c r="D8" s="79">
        <f>IF($N8="","",IF(INDEX('Cronograma R. Normativo'!$AN$5:$AN$1000,$N8)="","",INDEX('Cronograma R. Normativo'!$AN$5:$AN$1000,$N8)))</f>
        <v/>
      </c>
      <c r="E8" s="56">
        <f>IF($N8="","",IF(NOT(ISNUMBER($D8)),"",IF($D8&lt;InicioCiclo,"Antes del ciclo",IF($D8&gt;=InicioCiclo+28,"Después del ciclo","Semana "&amp;(INT(($D8-InicioCiclo)/7)+1)))))</f>
        <v/>
      </c>
      <c r="F8" s="61">
        <f>IF($N8="","",IF($P8&gt;0,IF(1&lt;=SemanaActual,INDEX('Cronograma R. Normativo'!$AC$5:$AC$1000,$N8),""),IF(INDEX('Cronograma R. Normativo'!$I$5:$I$1000,$N8)="","",INDEX('Cronograma R. Normativo'!$I$5:$I$1000,$N8))))</f>
        <v/>
      </c>
      <c r="G8" s="61">
        <f>IF($N8="","",IF($P8&gt;0,IF(2&lt;=SemanaActual,INDEX('Cronograma R. Normativo'!$AD$5:$AD$1000,$N8),""),IF(INDEX('Cronograma R. Normativo'!$J$5:$J$1000,$N8)="","",INDEX('Cronograma R. Normativo'!$J$5:$J$1000,$N8))))</f>
        <v/>
      </c>
      <c r="H8" s="61">
        <f>IF($N8="","",IF($P8&gt;0,IF(3&lt;=SemanaActual,INDEX('Cronograma R. Normativo'!$AE$5:$AE$1000,$N8),""),IF(INDEX('Cronograma R. Normativo'!$K$5:$K$1000,$N8)="","",INDEX('Cronograma R. Normativo'!$K$5:$K$1000,$N8))))</f>
        <v/>
      </c>
      <c r="I8" s="61">
        <f>IF($N8="","",IF($P8&gt;0,IF(4&lt;=SemanaActual,INDEX('Cronograma R. Normativo'!$AF$5:$AF$1000,$N8),""),IF(INDEX('Cronograma R. Normativo'!$L$5:$L$1000,$N8)="","",INDEX('Cronograma R. Normativo'!$L$5:$L$1000,$N8))))</f>
        <v/>
      </c>
      <c r="J8" s="61">
        <f>IF($N8="","",INDEX('Cronograma R. Normativo'!$M$5:$M$1000,$N8))</f>
        <v/>
      </c>
      <c r="K8" s="56">
        <f>IF($N8="","",IF(N($J8)&gt;=1,"Completado",IF(AND(ISNUMBER($D8),$D8&lt;FechaRef),"Vencida",IF(N($J8)&gt;0,"En curso","Pendiente"))))</f>
        <v/>
      </c>
      <c r="L8" s="56">
        <f>IF($N8="","",INDEX('Cronograma R. Normativo'!$O$5:$O$1000,$N8)&amp;"")</f>
        <v/>
      </c>
      <c r="M8" s="62">
        <f>IF($N8="","",INDEX('Cronograma R. Normativo'!$Q$5:$Q$1000,$N8)&amp;"")</f>
        <v/>
      </c>
      <c r="N8">
        <f>IFERROR(MATCH(ROW()-4,rOrden_RN,0),"")</f>
        <v/>
      </c>
      <c r="O8">
        <f>IF($N8="","",INDEX('Cronograma R. Normativo'!$V$5:$V$1000,$N8))</f>
        <v/>
      </c>
      <c r="P8">
        <f>IF($N8="","",N(INDEX('Cronograma R. Normativo'!$W$5:$W$1000,$N8)))</f>
        <v/>
      </c>
      <c r="Q8">
        <f>IF(OR(LEFT($L8,7)="Vencida",LEFT($L8,5)="Vence"),SUMPRODUCT(--(LEFT($L$5:$L8,7)="Vencida"))+SUMPRODUCT(--(LEFT($L$5:$L8,5)="Vence")),"")</f>
        <v/>
      </c>
    </row>
    <row r="9">
      <c r="A9" s="56">
        <f>IF($N9="","",INDEX('Cronograma R. Normativo'!$A$5:$A$1000,$N9))</f>
        <v/>
      </c>
      <c r="B9" s="62">
        <f>IF($N9="","",IF($O9="Sub","      ↳  "&amp;INDEX('Cronograma R. Normativo'!$C$5:$C$1000,$N9),INDEX('Cronograma R. Normativo'!$C$5:$C$1000,$N9)&amp;""))</f>
        <v/>
      </c>
      <c r="C9" s="79">
        <f>IF($N9="","",IF(INDEX('Cronograma R. Normativo'!$AM$5:$AM$1000,$N9)="","",INDEX('Cronograma R. Normativo'!$AM$5:$AM$1000,$N9)))</f>
        <v/>
      </c>
      <c r="D9" s="79">
        <f>IF($N9="","",IF(INDEX('Cronograma R. Normativo'!$AN$5:$AN$1000,$N9)="","",INDEX('Cronograma R. Normativo'!$AN$5:$AN$1000,$N9)))</f>
        <v/>
      </c>
      <c r="E9" s="56">
        <f>IF($N9="","",IF(NOT(ISNUMBER($D9)),"",IF($D9&lt;InicioCiclo,"Antes del ciclo",IF($D9&gt;=InicioCiclo+28,"Después del ciclo","Semana "&amp;(INT(($D9-InicioCiclo)/7)+1)))))</f>
        <v/>
      </c>
      <c r="F9" s="61">
        <f>IF($N9="","",IF($P9&gt;0,IF(1&lt;=SemanaActual,INDEX('Cronograma R. Normativo'!$AC$5:$AC$1000,$N9),""),IF(INDEX('Cronograma R. Normativo'!$I$5:$I$1000,$N9)="","",INDEX('Cronograma R. Normativo'!$I$5:$I$1000,$N9))))</f>
        <v/>
      </c>
      <c r="G9" s="61">
        <f>IF($N9="","",IF($P9&gt;0,IF(2&lt;=SemanaActual,INDEX('Cronograma R. Normativo'!$AD$5:$AD$1000,$N9),""),IF(INDEX('Cronograma R. Normativo'!$J$5:$J$1000,$N9)="","",INDEX('Cronograma R. Normativo'!$J$5:$J$1000,$N9))))</f>
        <v/>
      </c>
      <c r="H9" s="61">
        <f>IF($N9="","",IF($P9&gt;0,IF(3&lt;=SemanaActual,INDEX('Cronograma R. Normativo'!$AE$5:$AE$1000,$N9),""),IF(INDEX('Cronograma R. Normativo'!$K$5:$K$1000,$N9)="","",INDEX('Cronograma R. Normativo'!$K$5:$K$1000,$N9))))</f>
        <v/>
      </c>
      <c r="I9" s="61">
        <f>IF($N9="","",IF($P9&gt;0,IF(4&lt;=SemanaActual,INDEX('Cronograma R. Normativo'!$AF$5:$AF$1000,$N9),""),IF(INDEX('Cronograma R. Normativo'!$L$5:$L$1000,$N9)="","",INDEX('Cronograma R. Normativo'!$L$5:$L$1000,$N9))))</f>
        <v/>
      </c>
      <c r="J9" s="61">
        <f>IF($N9="","",INDEX('Cronograma R. Normativo'!$M$5:$M$1000,$N9))</f>
        <v/>
      </c>
      <c r="K9" s="56">
        <f>IF($N9="","",IF(N($J9)&gt;=1,"Completado",IF(AND(ISNUMBER($D9),$D9&lt;FechaRef),"Vencida",IF(N($J9)&gt;0,"En curso","Pendiente"))))</f>
        <v/>
      </c>
      <c r="L9" s="56">
        <f>IF($N9="","",INDEX('Cronograma R. Normativo'!$O$5:$O$1000,$N9)&amp;"")</f>
        <v/>
      </c>
      <c r="M9" s="62">
        <f>IF($N9="","",INDEX('Cronograma R. Normativo'!$Q$5:$Q$1000,$N9)&amp;"")</f>
        <v/>
      </c>
      <c r="N9">
        <f>IFERROR(MATCH(ROW()-4,rOrden_RN,0),"")</f>
        <v/>
      </c>
      <c r="O9">
        <f>IF($N9="","",INDEX('Cronograma R. Normativo'!$V$5:$V$1000,$N9))</f>
        <v/>
      </c>
      <c r="P9">
        <f>IF($N9="","",N(INDEX('Cronograma R. Normativo'!$W$5:$W$1000,$N9)))</f>
        <v/>
      </c>
      <c r="Q9">
        <f>IF(OR(LEFT($L9,7)="Vencida",LEFT($L9,5)="Vence"),SUMPRODUCT(--(LEFT($L$5:$L9,7)="Vencida"))+SUMPRODUCT(--(LEFT($L$5:$L9,5)="Vence")),"")</f>
        <v/>
      </c>
    </row>
    <row r="10">
      <c r="A10" s="56">
        <f>IF($N10="","",INDEX('Cronograma R. Normativo'!$A$5:$A$1000,$N10))</f>
        <v/>
      </c>
      <c r="B10" s="62">
        <f>IF($N10="","",IF($O10="Sub","      ↳  "&amp;INDEX('Cronograma R. Normativo'!$C$5:$C$1000,$N10),INDEX('Cronograma R. Normativo'!$C$5:$C$1000,$N10)&amp;""))</f>
        <v/>
      </c>
      <c r="C10" s="79">
        <f>IF($N10="","",IF(INDEX('Cronograma R. Normativo'!$AM$5:$AM$1000,$N10)="","",INDEX('Cronograma R. Normativo'!$AM$5:$AM$1000,$N10)))</f>
        <v/>
      </c>
      <c r="D10" s="79">
        <f>IF($N10="","",IF(INDEX('Cronograma R. Normativo'!$AN$5:$AN$1000,$N10)="","",INDEX('Cronograma R. Normativo'!$AN$5:$AN$1000,$N10)))</f>
        <v/>
      </c>
      <c r="E10" s="56">
        <f>IF($N10="","",IF(NOT(ISNUMBER($D10)),"",IF($D10&lt;InicioCiclo,"Antes del ciclo",IF($D10&gt;=InicioCiclo+28,"Después del ciclo","Semana "&amp;(INT(($D10-InicioCiclo)/7)+1)))))</f>
        <v/>
      </c>
      <c r="F10" s="61">
        <f>IF($N10="","",IF($P10&gt;0,IF(1&lt;=SemanaActual,INDEX('Cronograma R. Normativo'!$AC$5:$AC$1000,$N10),""),IF(INDEX('Cronograma R. Normativo'!$I$5:$I$1000,$N10)="","",INDEX('Cronograma R. Normativo'!$I$5:$I$1000,$N10))))</f>
        <v/>
      </c>
      <c r="G10" s="61">
        <f>IF($N10="","",IF($P10&gt;0,IF(2&lt;=SemanaActual,INDEX('Cronograma R. Normativo'!$AD$5:$AD$1000,$N10),""),IF(INDEX('Cronograma R. Normativo'!$J$5:$J$1000,$N10)="","",INDEX('Cronograma R. Normativo'!$J$5:$J$1000,$N10))))</f>
        <v/>
      </c>
      <c r="H10" s="61">
        <f>IF($N10="","",IF($P10&gt;0,IF(3&lt;=SemanaActual,INDEX('Cronograma R. Normativo'!$AE$5:$AE$1000,$N10),""),IF(INDEX('Cronograma R. Normativo'!$K$5:$K$1000,$N10)="","",INDEX('Cronograma R. Normativo'!$K$5:$K$1000,$N10))))</f>
        <v/>
      </c>
      <c r="I10" s="61">
        <f>IF($N10="","",IF($P10&gt;0,IF(4&lt;=SemanaActual,INDEX('Cronograma R. Normativo'!$AF$5:$AF$1000,$N10),""),IF(INDEX('Cronograma R. Normativo'!$L$5:$L$1000,$N10)="","",INDEX('Cronograma R. Normativo'!$L$5:$L$1000,$N10))))</f>
        <v/>
      </c>
      <c r="J10" s="61">
        <f>IF($N10="","",INDEX('Cronograma R. Normativo'!$M$5:$M$1000,$N10))</f>
        <v/>
      </c>
      <c r="K10" s="56">
        <f>IF($N10="","",IF(N($J10)&gt;=1,"Completado",IF(AND(ISNUMBER($D10),$D10&lt;FechaRef),"Vencida",IF(N($J10)&gt;0,"En curso","Pendiente"))))</f>
        <v/>
      </c>
      <c r="L10" s="56">
        <f>IF($N10="","",INDEX('Cronograma R. Normativo'!$O$5:$O$1000,$N10)&amp;"")</f>
        <v/>
      </c>
      <c r="M10" s="62">
        <f>IF($N10="","",INDEX('Cronograma R. Normativo'!$Q$5:$Q$1000,$N10)&amp;"")</f>
        <v/>
      </c>
      <c r="N10">
        <f>IFERROR(MATCH(ROW()-4,rOrden_RN,0),"")</f>
        <v/>
      </c>
      <c r="O10">
        <f>IF($N10="","",INDEX('Cronograma R. Normativo'!$V$5:$V$1000,$N10))</f>
        <v/>
      </c>
      <c r="P10">
        <f>IF($N10="","",N(INDEX('Cronograma R. Normativo'!$W$5:$W$1000,$N10)))</f>
        <v/>
      </c>
      <c r="Q10">
        <f>IF(OR(LEFT($L10,7)="Vencida",LEFT($L10,5)="Vence"),SUMPRODUCT(--(LEFT($L$5:$L10,7)="Vencida"))+SUMPRODUCT(--(LEFT($L$5:$L10,5)="Vence")),"")</f>
        <v/>
      </c>
    </row>
    <row r="11">
      <c r="A11" s="56">
        <f>IF($N11="","",INDEX('Cronograma R. Normativo'!$A$5:$A$1000,$N11))</f>
        <v/>
      </c>
      <c r="B11" s="62">
        <f>IF($N11="","",IF($O11="Sub","      ↳  "&amp;INDEX('Cronograma R. Normativo'!$C$5:$C$1000,$N11),INDEX('Cronograma R. Normativo'!$C$5:$C$1000,$N11)&amp;""))</f>
        <v/>
      </c>
      <c r="C11" s="79">
        <f>IF($N11="","",IF(INDEX('Cronograma R. Normativo'!$AM$5:$AM$1000,$N11)="","",INDEX('Cronograma R. Normativo'!$AM$5:$AM$1000,$N11)))</f>
        <v/>
      </c>
      <c r="D11" s="79">
        <f>IF($N11="","",IF(INDEX('Cronograma R. Normativo'!$AN$5:$AN$1000,$N11)="","",INDEX('Cronograma R. Normativo'!$AN$5:$AN$1000,$N11)))</f>
        <v/>
      </c>
      <c r="E11" s="56">
        <f>IF($N11="","",IF(NOT(ISNUMBER($D11)),"",IF($D11&lt;InicioCiclo,"Antes del ciclo",IF($D11&gt;=InicioCiclo+28,"Después del ciclo","Semana "&amp;(INT(($D11-InicioCiclo)/7)+1)))))</f>
        <v/>
      </c>
      <c r="F11" s="61">
        <f>IF($N11="","",IF($P11&gt;0,IF(1&lt;=SemanaActual,INDEX('Cronograma R. Normativo'!$AC$5:$AC$1000,$N11),""),IF(INDEX('Cronograma R. Normativo'!$I$5:$I$1000,$N11)="","",INDEX('Cronograma R. Normativo'!$I$5:$I$1000,$N11))))</f>
        <v/>
      </c>
      <c r="G11" s="61">
        <f>IF($N11="","",IF($P11&gt;0,IF(2&lt;=SemanaActual,INDEX('Cronograma R. Normativo'!$AD$5:$AD$1000,$N11),""),IF(INDEX('Cronograma R. Normativo'!$J$5:$J$1000,$N11)="","",INDEX('Cronograma R. Normativo'!$J$5:$J$1000,$N11))))</f>
        <v/>
      </c>
      <c r="H11" s="61">
        <f>IF($N11="","",IF($P11&gt;0,IF(3&lt;=SemanaActual,INDEX('Cronograma R. Normativo'!$AE$5:$AE$1000,$N11),""),IF(INDEX('Cronograma R. Normativo'!$K$5:$K$1000,$N11)="","",INDEX('Cronograma R. Normativo'!$K$5:$K$1000,$N11))))</f>
        <v/>
      </c>
      <c r="I11" s="61">
        <f>IF($N11="","",IF($P11&gt;0,IF(4&lt;=SemanaActual,INDEX('Cronograma R. Normativo'!$AF$5:$AF$1000,$N11),""),IF(INDEX('Cronograma R. Normativo'!$L$5:$L$1000,$N11)="","",INDEX('Cronograma R. Normativo'!$L$5:$L$1000,$N11))))</f>
        <v/>
      </c>
      <c r="J11" s="61">
        <f>IF($N11="","",INDEX('Cronograma R. Normativo'!$M$5:$M$1000,$N11))</f>
        <v/>
      </c>
      <c r="K11" s="56">
        <f>IF($N11="","",IF(N($J11)&gt;=1,"Completado",IF(AND(ISNUMBER($D11),$D11&lt;FechaRef),"Vencida",IF(N($J11)&gt;0,"En curso","Pendiente"))))</f>
        <v/>
      </c>
      <c r="L11" s="56">
        <f>IF($N11="","",INDEX('Cronograma R. Normativo'!$O$5:$O$1000,$N11)&amp;"")</f>
        <v/>
      </c>
      <c r="M11" s="62">
        <f>IF($N11="","",INDEX('Cronograma R. Normativo'!$Q$5:$Q$1000,$N11)&amp;"")</f>
        <v/>
      </c>
      <c r="N11">
        <f>IFERROR(MATCH(ROW()-4,rOrden_RN,0),"")</f>
        <v/>
      </c>
      <c r="O11">
        <f>IF($N11="","",INDEX('Cronograma R. Normativo'!$V$5:$V$1000,$N11))</f>
        <v/>
      </c>
      <c r="P11">
        <f>IF($N11="","",N(INDEX('Cronograma R. Normativo'!$W$5:$W$1000,$N11)))</f>
        <v/>
      </c>
      <c r="Q11">
        <f>IF(OR(LEFT($L11,7)="Vencida",LEFT($L11,5)="Vence"),SUMPRODUCT(--(LEFT($L$5:$L11,7)="Vencida"))+SUMPRODUCT(--(LEFT($L$5:$L11,5)="Vence")),"")</f>
        <v/>
      </c>
    </row>
    <row r="12">
      <c r="A12" s="56">
        <f>IF($N12="","",INDEX('Cronograma R. Normativo'!$A$5:$A$1000,$N12))</f>
        <v/>
      </c>
      <c r="B12" s="62">
        <f>IF($N12="","",IF($O12="Sub","      ↳  "&amp;INDEX('Cronograma R. Normativo'!$C$5:$C$1000,$N12),INDEX('Cronograma R. Normativo'!$C$5:$C$1000,$N12)&amp;""))</f>
        <v/>
      </c>
      <c r="C12" s="79">
        <f>IF($N12="","",IF(INDEX('Cronograma R. Normativo'!$AM$5:$AM$1000,$N12)="","",INDEX('Cronograma R. Normativo'!$AM$5:$AM$1000,$N12)))</f>
        <v/>
      </c>
      <c r="D12" s="79">
        <f>IF($N12="","",IF(INDEX('Cronograma R. Normativo'!$AN$5:$AN$1000,$N12)="","",INDEX('Cronograma R. Normativo'!$AN$5:$AN$1000,$N12)))</f>
        <v/>
      </c>
      <c r="E12" s="56">
        <f>IF($N12="","",IF(NOT(ISNUMBER($D12)),"",IF($D12&lt;InicioCiclo,"Antes del ciclo",IF($D12&gt;=InicioCiclo+28,"Después del ciclo","Semana "&amp;(INT(($D12-InicioCiclo)/7)+1)))))</f>
        <v/>
      </c>
      <c r="F12" s="61">
        <f>IF($N12="","",IF($P12&gt;0,IF(1&lt;=SemanaActual,INDEX('Cronograma R. Normativo'!$AC$5:$AC$1000,$N12),""),IF(INDEX('Cronograma R. Normativo'!$I$5:$I$1000,$N12)="","",INDEX('Cronograma R. Normativo'!$I$5:$I$1000,$N12))))</f>
        <v/>
      </c>
      <c r="G12" s="61">
        <f>IF($N12="","",IF($P12&gt;0,IF(2&lt;=SemanaActual,INDEX('Cronograma R. Normativo'!$AD$5:$AD$1000,$N12),""),IF(INDEX('Cronograma R. Normativo'!$J$5:$J$1000,$N12)="","",INDEX('Cronograma R. Normativo'!$J$5:$J$1000,$N12))))</f>
        <v/>
      </c>
      <c r="H12" s="61">
        <f>IF($N12="","",IF($P12&gt;0,IF(3&lt;=SemanaActual,INDEX('Cronograma R. Normativo'!$AE$5:$AE$1000,$N12),""),IF(INDEX('Cronograma R. Normativo'!$K$5:$K$1000,$N12)="","",INDEX('Cronograma R. Normativo'!$K$5:$K$1000,$N12))))</f>
        <v/>
      </c>
      <c r="I12" s="61">
        <f>IF($N12="","",IF($P12&gt;0,IF(4&lt;=SemanaActual,INDEX('Cronograma R. Normativo'!$AF$5:$AF$1000,$N12),""),IF(INDEX('Cronograma R. Normativo'!$L$5:$L$1000,$N12)="","",INDEX('Cronograma R. Normativo'!$L$5:$L$1000,$N12))))</f>
        <v/>
      </c>
      <c r="J12" s="61">
        <f>IF($N12="","",INDEX('Cronograma R. Normativo'!$M$5:$M$1000,$N12))</f>
        <v/>
      </c>
      <c r="K12" s="56">
        <f>IF($N12="","",IF(N($J12)&gt;=1,"Completado",IF(AND(ISNUMBER($D12),$D12&lt;FechaRef),"Vencida",IF(N($J12)&gt;0,"En curso","Pendiente"))))</f>
        <v/>
      </c>
      <c r="L12" s="56">
        <f>IF($N12="","",INDEX('Cronograma R. Normativo'!$O$5:$O$1000,$N12)&amp;"")</f>
        <v/>
      </c>
      <c r="M12" s="62">
        <f>IF($N12="","",INDEX('Cronograma R. Normativo'!$Q$5:$Q$1000,$N12)&amp;"")</f>
        <v/>
      </c>
      <c r="N12">
        <f>IFERROR(MATCH(ROW()-4,rOrden_RN,0),"")</f>
        <v/>
      </c>
      <c r="O12">
        <f>IF($N12="","",INDEX('Cronograma R. Normativo'!$V$5:$V$1000,$N12))</f>
        <v/>
      </c>
      <c r="P12">
        <f>IF($N12="","",N(INDEX('Cronograma R. Normativo'!$W$5:$W$1000,$N12)))</f>
        <v/>
      </c>
      <c r="Q12">
        <f>IF(OR(LEFT($L12,7)="Vencida",LEFT($L12,5)="Vence"),SUMPRODUCT(--(LEFT($L$5:$L12,7)="Vencida"))+SUMPRODUCT(--(LEFT($L$5:$L12,5)="Vence")),"")</f>
        <v/>
      </c>
    </row>
    <row r="13">
      <c r="A13" s="56">
        <f>IF($N13="","",INDEX('Cronograma R. Normativo'!$A$5:$A$1000,$N13))</f>
        <v/>
      </c>
      <c r="B13" s="62">
        <f>IF($N13="","",IF($O13="Sub","      ↳  "&amp;INDEX('Cronograma R. Normativo'!$C$5:$C$1000,$N13),INDEX('Cronograma R. Normativo'!$C$5:$C$1000,$N13)&amp;""))</f>
        <v/>
      </c>
      <c r="C13" s="79">
        <f>IF($N13="","",IF(INDEX('Cronograma R. Normativo'!$AM$5:$AM$1000,$N13)="","",INDEX('Cronograma R. Normativo'!$AM$5:$AM$1000,$N13)))</f>
        <v/>
      </c>
      <c r="D13" s="79">
        <f>IF($N13="","",IF(INDEX('Cronograma R. Normativo'!$AN$5:$AN$1000,$N13)="","",INDEX('Cronograma R. Normativo'!$AN$5:$AN$1000,$N13)))</f>
        <v/>
      </c>
      <c r="E13" s="56">
        <f>IF($N13="","",IF(NOT(ISNUMBER($D13)),"",IF($D13&lt;InicioCiclo,"Antes del ciclo",IF($D13&gt;=InicioCiclo+28,"Después del ciclo","Semana "&amp;(INT(($D13-InicioCiclo)/7)+1)))))</f>
        <v/>
      </c>
      <c r="F13" s="61">
        <f>IF($N13="","",IF($P13&gt;0,IF(1&lt;=SemanaActual,INDEX('Cronograma R. Normativo'!$AC$5:$AC$1000,$N13),""),IF(INDEX('Cronograma R. Normativo'!$I$5:$I$1000,$N13)="","",INDEX('Cronograma R. Normativo'!$I$5:$I$1000,$N13))))</f>
        <v/>
      </c>
      <c r="G13" s="61">
        <f>IF($N13="","",IF($P13&gt;0,IF(2&lt;=SemanaActual,INDEX('Cronograma R. Normativo'!$AD$5:$AD$1000,$N13),""),IF(INDEX('Cronograma R. Normativo'!$J$5:$J$1000,$N13)="","",INDEX('Cronograma R. Normativo'!$J$5:$J$1000,$N13))))</f>
        <v/>
      </c>
      <c r="H13" s="61">
        <f>IF($N13="","",IF($P13&gt;0,IF(3&lt;=SemanaActual,INDEX('Cronograma R. Normativo'!$AE$5:$AE$1000,$N13),""),IF(INDEX('Cronograma R. Normativo'!$K$5:$K$1000,$N13)="","",INDEX('Cronograma R. Normativo'!$K$5:$K$1000,$N13))))</f>
        <v/>
      </c>
      <c r="I13" s="61">
        <f>IF($N13="","",IF($P13&gt;0,IF(4&lt;=SemanaActual,INDEX('Cronograma R. Normativo'!$AF$5:$AF$1000,$N13),""),IF(INDEX('Cronograma R. Normativo'!$L$5:$L$1000,$N13)="","",INDEX('Cronograma R. Normativo'!$L$5:$L$1000,$N13))))</f>
        <v/>
      </c>
      <c r="J13" s="61">
        <f>IF($N13="","",INDEX('Cronograma R. Normativo'!$M$5:$M$1000,$N13))</f>
        <v/>
      </c>
      <c r="K13" s="56">
        <f>IF($N13="","",IF(N($J13)&gt;=1,"Completado",IF(AND(ISNUMBER($D13),$D13&lt;FechaRef),"Vencida",IF(N($J13)&gt;0,"En curso","Pendiente"))))</f>
        <v/>
      </c>
      <c r="L13" s="56">
        <f>IF($N13="","",INDEX('Cronograma R. Normativo'!$O$5:$O$1000,$N13)&amp;"")</f>
        <v/>
      </c>
      <c r="M13" s="62">
        <f>IF($N13="","",INDEX('Cronograma R. Normativo'!$Q$5:$Q$1000,$N13)&amp;"")</f>
        <v/>
      </c>
      <c r="N13">
        <f>IFERROR(MATCH(ROW()-4,rOrden_RN,0),"")</f>
        <v/>
      </c>
      <c r="O13">
        <f>IF($N13="","",INDEX('Cronograma R. Normativo'!$V$5:$V$1000,$N13))</f>
        <v/>
      </c>
      <c r="P13">
        <f>IF($N13="","",N(INDEX('Cronograma R. Normativo'!$W$5:$W$1000,$N13)))</f>
        <v/>
      </c>
      <c r="Q13">
        <f>IF(OR(LEFT($L13,7)="Vencida",LEFT($L13,5)="Vence"),SUMPRODUCT(--(LEFT($L$5:$L13,7)="Vencida"))+SUMPRODUCT(--(LEFT($L$5:$L13,5)="Vence")),"")</f>
        <v/>
      </c>
    </row>
    <row r="14">
      <c r="A14" s="56">
        <f>IF($N14="","",INDEX('Cronograma R. Normativo'!$A$5:$A$1000,$N14))</f>
        <v/>
      </c>
      <c r="B14" s="62">
        <f>IF($N14="","",IF($O14="Sub","      ↳  "&amp;INDEX('Cronograma R. Normativo'!$C$5:$C$1000,$N14),INDEX('Cronograma R. Normativo'!$C$5:$C$1000,$N14)&amp;""))</f>
        <v/>
      </c>
      <c r="C14" s="79">
        <f>IF($N14="","",IF(INDEX('Cronograma R. Normativo'!$AM$5:$AM$1000,$N14)="","",INDEX('Cronograma R. Normativo'!$AM$5:$AM$1000,$N14)))</f>
        <v/>
      </c>
      <c r="D14" s="79">
        <f>IF($N14="","",IF(INDEX('Cronograma R. Normativo'!$AN$5:$AN$1000,$N14)="","",INDEX('Cronograma R. Normativo'!$AN$5:$AN$1000,$N14)))</f>
        <v/>
      </c>
      <c r="E14" s="56">
        <f>IF($N14="","",IF(NOT(ISNUMBER($D14)),"",IF($D14&lt;InicioCiclo,"Antes del ciclo",IF($D14&gt;=InicioCiclo+28,"Después del ciclo","Semana "&amp;(INT(($D14-InicioCiclo)/7)+1)))))</f>
        <v/>
      </c>
      <c r="F14" s="61">
        <f>IF($N14="","",IF($P14&gt;0,IF(1&lt;=SemanaActual,INDEX('Cronograma R. Normativo'!$AC$5:$AC$1000,$N14),""),IF(INDEX('Cronograma R. Normativo'!$I$5:$I$1000,$N14)="","",INDEX('Cronograma R. Normativo'!$I$5:$I$1000,$N14))))</f>
        <v/>
      </c>
      <c r="G14" s="61">
        <f>IF($N14="","",IF($P14&gt;0,IF(2&lt;=SemanaActual,INDEX('Cronograma R. Normativo'!$AD$5:$AD$1000,$N14),""),IF(INDEX('Cronograma R. Normativo'!$J$5:$J$1000,$N14)="","",INDEX('Cronograma R. Normativo'!$J$5:$J$1000,$N14))))</f>
        <v/>
      </c>
      <c r="H14" s="61">
        <f>IF($N14="","",IF($P14&gt;0,IF(3&lt;=SemanaActual,INDEX('Cronograma R. Normativo'!$AE$5:$AE$1000,$N14),""),IF(INDEX('Cronograma R. Normativo'!$K$5:$K$1000,$N14)="","",INDEX('Cronograma R. Normativo'!$K$5:$K$1000,$N14))))</f>
        <v/>
      </c>
      <c r="I14" s="61">
        <f>IF($N14="","",IF($P14&gt;0,IF(4&lt;=SemanaActual,INDEX('Cronograma R. Normativo'!$AF$5:$AF$1000,$N14),""),IF(INDEX('Cronograma R. Normativo'!$L$5:$L$1000,$N14)="","",INDEX('Cronograma R. Normativo'!$L$5:$L$1000,$N14))))</f>
        <v/>
      </c>
      <c r="J14" s="61">
        <f>IF($N14="","",INDEX('Cronograma R. Normativo'!$M$5:$M$1000,$N14))</f>
        <v/>
      </c>
      <c r="K14" s="56">
        <f>IF($N14="","",IF(N($J14)&gt;=1,"Completado",IF(AND(ISNUMBER($D14),$D14&lt;FechaRef),"Vencida",IF(N($J14)&gt;0,"En curso","Pendiente"))))</f>
        <v/>
      </c>
      <c r="L14" s="56">
        <f>IF($N14="","",INDEX('Cronograma R. Normativo'!$O$5:$O$1000,$N14)&amp;"")</f>
        <v/>
      </c>
      <c r="M14" s="62">
        <f>IF($N14="","",INDEX('Cronograma R. Normativo'!$Q$5:$Q$1000,$N14)&amp;"")</f>
        <v/>
      </c>
      <c r="N14">
        <f>IFERROR(MATCH(ROW()-4,rOrden_RN,0),"")</f>
        <v/>
      </c>
      <c r="O14">
        <f>IF($N14="","",INDEX('Cronograma R. Normativo'!$V$5:$V$1000,$N14))</f>
        <v/>
      </c>
      <c r="P14">
        <f>IF($N14="","",N(INDEX('Cronograma R. Normativo'!$W$5:$W$1000,$N14)))</f>
        <v/>
      </c>
      <c r="Q14">
        <f>IF(OR(LEFT($L14,7)="Vencida",LEFT($L14,5)="Vence"),SUMPRODUCT(--(LEFT($L$5:$L14,7)="Vencida"))+SUMPRODUCT(--(LEFT($L$5:$L14,5)="Vence")),"")</f>
        <v/>
      </c>
    </row>
    <row r="15">
      <c r="A15" s="56">
        <f>IF($N15="","",INDEX('Cronograma R. Normativo'!$A$5:$A$1000,$N15))</f>
        <v/>
      </c>
      <c r="B15" s="62">
        <f>IF($N15="","",IF($O15="Sub","      ↳  "&amp;INDEX('Cronograma R. Normativo'!$C$5:$C$1000,$N15),INDEX('Cronograma R. Normativo'!$C$5:$C$1000,$N15)&amp;""))</f>
        <v/>
      </c>
      <c r="C15" s="79">
        <f>IF($N15="","",IF(INDEX('Cronograma R. Normativo'!$AM$5:$AM$1000,$N15)="","",INDEX('Cronograma R. Normativo'!$AM$5:$AM$1000,$N15)))</f>
        <v/>
      </c>
      <c r="D15" s="79">
        <f>IF($N15="","",IF(INDEX('Cronograma R. Normativo'!$AN$5:$AN$1000,$N15)="","",INDEX('Cronograma R. Normativo'!$AN$5:$AN$1000,$N15)))</f>
        <v/>
      </c>
      <c r="E15" s="56">
        <f>IF($N15="","",IF(NOT(ISNUMBER($D15)),"",IF($D15&lt;InicioCiclo,"Antes del ciclo",IF($D15&gt;=InicioCiclo+28,"Después del ciclo","Semana "&amp;(INT(($D15-InicioCiclo)/7)+1)))))</f>
        <v/>
      </c>
      <c r="F15" s="61">
        <f>IF($N15="","",IF($P15&gt;0,IF(1&lt;=SemanaActual,INDEX('Cronograma R. Normativo'!$AC$5:$AC$1000,$N15),""),IF(INDEX('Cronograma R. Normativo'!$I$5:$I$1000,$N15)="","",INDEX('Cronograma R. Normativo'!$I$5:$I$1000,$N15))))</f>
        <v/>
      </c>
      <c r="G15" s="61">
        <f>IF($N15="","",IF($P15&gt;0,IF(2&lt;=SemanaActual,INDEX('Cronograma R. Normativo'!$AD$5:$AD$1000,$N15),""),IF(INDEX('Cronograma R. Normativo'!$J$5:$J$1000,$N15)="","",INDEX('Cronograma R. Normativo'!$J$5:$J$1000,$N15))))</f>
        <v/>
      </c>
      <c r="H15" s="61">
        <f>IF($N15="","",IF($P15&gt;0,IF(3&lt;=SemanaActual,INDEX('Cronograma R. Normativo'!$AE$5:$AE$1000,$N15),""),IF(INDEX('Cronograma R. Normativo'!$K$5:$K$1000,$N15)="","",INDEX('Cronograma R. Normativo'!$K$5:$K$1000,$N15))))</f>
        <v/>
      </c>
      <c r="I15" s="61">
        <f>IF($N15="","",IF($P15&gt;0,IF(4&lt;=SemanaActual,INDEX('Cronograma R. Normativo'!$AF$5:$AF$1000,$N15),""),IF(INDEX('Cronograma R. Normativo'!$L$5:$L$1000,$N15)="","",INDEX('Cronograma R. Normativo'!$L$5:$L$1000,$N15))))</f>
        <v/>
      </c>
      <c r="J15" s="61">
        <f>IF($N15="","",INDEX('Cronograma R. Normativo'!$M$5:$M$1000,$N15))</f>
        <v/>
      </c>
      <c r="K15" s="56">
        <f>IF($N15="","",IF(N($J15)&gt;=1,"Completado",IF(AND(ISNUMBER($D15),$D15&lt;FechaRef),"Vencida",IF(N($J15)&gt;0,"En curso","Pendiente"))))</f>
        <v/>
      </c>
      <c r="L15" s="56">
        <f>IF($N15="","",INDEX('Cronograma R. Normativo'!$O$5:$O$1000,$N15)&amp;"")</f>
        <v/>
      </c>
      <c r="M15" s="62">
        <f>IF($N15="","",INDEX('Cronograma R. Normativo'!$Q$5:$Q$1000,$N15)&amp;"")</f>
        <v/>
      </c>
      <c r="N15">
        <f>IFERROR(MATCH(ROW()-4,rOrden_RN,0),"")</f>
        <v/>
      </c>
      <c r="O15">
        <f>IF($N15="","",INDEX('Cronograma R. Normativo'!$V$5:$V$1000,$N15))</f>
        <v/>
      </c>
      <c r="P15">
        <f>IF($N15="","",N(INDEX('Cronograma R. Normativo'!$W$5:$W$1000,$N15)))</f>
        <v/>
      </c>
      <c r="Q15">
        <f>IF(OR(LEFT($L15,7)="Vencida",LEFT($L15,5)="Vence"),SUMPRODUCT(--(LEFT($L$5:$L15,7)="Vencida"))+SUMPRODUCT(--(LEFT($L$5:$L15,5)="Vence")),"")</f>
        <v/>
      </c>
    </row>
    <row r="16">
      <c r="A16" s="56">
        <f>IF($N16="","",INDEX('Cronograma R. Normativo'!$A$5:$A$1000,$N16))</f>
        <v/>
      </c>
      <c r="B16" s="62">
        <f>IF($N16="","",IF($O16="Sub","      ↳  "&amp;INDEX('Cronograma R. Normativo'!$C$5:$C$1000,$N16),INDEX('Cronograma R. Normativo'!$C$5:$C$1000,$N16)&amp;""))</f>
        <v/>
      </c>
      <c r="C16" s="79">
        <f>IF($N16="","",IF(INDEX('Cronograma R. Normativo'!$AM$5:$AM$1000,$N16)="","",INDEX('Cronograma R. Normativo'!$AM$5:$AM$1000,$N16)))</f>
        <v/>
      </c>
      <c r="D16" s="79">
        <f>IF($N16="","",IF(INDEX('Cronograma R. Normativo'!$AN$5:$AN$1000,$N16)="","",INDEX('Cronograma R. Normativo'!$AN$5:$AN$1000,$N16)))</f>
        <v/>
      </c>
      <c r="E16" s="56">
        <f>IF($N16="","",IF(NOT(ISNUMBER($D16)),"",IF($D16&lt;InicioCiclo,"Antes del ciclo",IF($D16&gt;=InicioCiclo+28,"Después del ciclo","Semana "&amp;(INT(($D16-InicioCiclo)/7)+1)))))</f>
        <v/>
      </c>
      <c r="F16" s="61">
        <f>IF($N16="","",IF($P16&gt;0,IF(1&lt;=SemanaActual,INDEX('Cronograma R. Normativo'!$AC$5:$AC$1000,$N16),""),IF(INDEX('Cronograma R. Normativo'!$I$5:$I$1000,$N16)="","",INDEX('Cronograma R. Normativo'!$I$5:$I$1000,$N16))))</f>
        <v/>
      </c>
      <c r="G16" s="61">
        <f>IF($N16="","",IF($P16&gt;0,IF(2&lt;=SemanaActual,INDEX('Cronograma R. Normativo'!$AD$5:$AD$1000,$N16),""),IF(INDEX('Cronograma R. Normativo'!$J$5:$J$1000,$N16)="","",INDEX('Cronograma R. Normativo'!$J$5:$J$1000,$N16))))</f>
        <v/>
      </c>
      <c r="H16" s="61">
        <f>IF($N16="","",IF($P16&gt;0,IF(3&lt;=SemanaActual,INDEX('Cronograma R. Normativo'!$AE$5:$AE$1000,$N16),""),IF(INDEX('Cronograma R. Normativo'!$K$5:$K$1000,$N16)="","",INDEX('Cronograma R. Normativo'!$K$5:$K$1000,$N16))))</f>
        <v/>
      </c>
      <c r="I16" s="61">
        <f>IF($N16="","",IF($P16&gt;0,IF(4&lt;=SemanaActual,INDEX('Cronograma R. Normativo'!$AF$5:$AF$1000,$N16),""),IF(INDEX('Cronograma R. Normativo'!$L$5:$L$1000,$N16)="","",INDEX('Cronograma R. Normativo'!$L$5:$L$1000,$N16))))</f>
        <v/>
      </c>
      <c r="J16" s="61">
        <f>IF($N16="","",INDEX('Cronograma R. Normativo'!$M$5:$M$1000,$N16))</f>
        <v/>
      </c>
      <c r="K16" s="56">
        <f>IF($N16="","",IF(N($J16)&gt;=1,"Completado",IF(AND(ISNUMBER($D16),$D16&lt;FechaRef),"Vencida",IF(N($J16)&gt;0,"En curso","Pendiente"))))</f>
        <v/>
      </c>
      <c r="L16" s="56">
        <f>IF($N16="","",INDEX('Cronograma R. Normativo'!$O$5:$O$1000,$N16)&amp;"")</f>
        <v/>
      </c>
      <c r="M16" s="62">
        <f>IF($N16="","",INDEX('Cronograma R. Normativo'!$Q$5:$Q$1000,$N16)&amp;"")</f>
        <v/>
      </c>
      <c r="N16">
        <f>IFERROR(MATCH(ROW()-4,rOrden_RN,0),"")</f>
        <v/>
      </c>
      <c r="O16">
        <f>IF($N16="","",INDEX('Cronograma R. Normativo'!$V$5:$V$1000,$N16))</f>
        <v/>
      </c>
      <c r="P16">
        <f>IF($N16="","",N(INDEX('Cronograma R. Normativo'!$W$5:$W$1000,$N16)))</f>
        <v/>
      </c>
      <c r="Q16">
        <f>IF(OR(LEFT($L16,7)="Vencida",LEFT($L16,5)="Vence"),SUMPRODUCT(--(LEFT($L$5:$L16,7)="Vencida"))+SUMPRODUCT(--(LEFT($L$5:$L16,5)="Vence")),"")</f>
        <v/>
      </c>
    </row>
    <row r="17">
      <c r="A17" s="56">
        <f>IF($N17="","",INDEX('Cronograma R. Normativo'!$A$5:$A$1000,$N17))</f>
        <v/>
      </c>
      <c r="B17" s="62">
        <f>IF($N17="","",IF($O17="Sub","      ↳  "&amp;INDEX('Cronograma R. Normativo'!$C$5:$C$1000,$N17),INDEX('Cronograma R. Normativo'!$C$5:$C$1000,$N17)&amp;""))</f>
        <v/>
      </c>
      <c r="C17" s="79">
        <f>IF($N17="","",IF(INDEX('Cronograma R. Normativo'!$AM$5:$AM$1000,$N17)="","",INDEX('Cronograma R. Normativo'!$AM$5:$AM$1000,$N17)))</f>
        <v/>
      </c>
      <c r="D17" s="79">
        <f>IF($N17="","",IF(INDEX('Cronograma R. Normativo'!$AN$5:$AN$1000,$N17)="","",INDEX('Cronograma R. Normativo'!$AN$5:$AN$1000,$N17)))</f>
        <v/>
      </c>
      <c r="E17" s="56">
        <f>IF($N17="","",IF(NOT(ISNUMBER($D17)),"",IF($D17&lt;InicioCiclo,"Antes del ciclo",IF($D17&gt;=InicioCiclo+28,"Después del ciclo","Semana "&amp;(INT(($D17-InicioCiclo)/7)+1)))))</f>
        <v/>
      </c>
      <c r="F17" s="61">
        <f>IF($N17="","",IF($P17&gt;0,IF(1&lt;=SemanaActual,INDEX('Cronograma R. Normativo'!$AC$5:$AC$1000,$N17),""),IF(INDEX('Cronograma R. Normativo'!$I$5:$I$1000,$N17)="","",INDEX('Cronograma R. Normativo'!$I$5:$I$1000,$N17))))</f>
        <v/>
      </c>
      <c r="G17" s="61">
        <f>IF($N17="","",IF($P17&gt;0,IF(2&lt;=SemanaActual,INDEX('Cronograma R. Normativo'!$AD$5:$AD$1000,$N17),""),IF(INDEX('Cronograma R. Normativo'!$J$5:$J$1000,$N17)="","",INDEX('Cronograma R. Normativo'!$J$5:$J$1000,$N17))))</f>
        <v/>
      </c>
      <c r="H17" s="61">
        <f>IF($N17="","",IF($P17&gt;0,IF(3&lt;=SemanaActual,INDEX('Cronograma R. Normativo'!$AE$5:$AE$1000,$N17),""),IF(INDEX('Cronograma R. Normativo'!$K$5:$K$1000,$N17)="","",INDEX('Cronograma R. Normativo'!$K$5:$K$1000,$N17))))</f>
        <v/>
      </c>
      <c r="I17" s="61">
        <f>IF($N17="","",IF($P17&gt;0,IF(4&lt;=SemanaActual,INDEX('Cronograma R. Normativo'!$AF$5:$AF$1000,$N17),""),IF(INDEX('Cronograma R. Normativo'!$L$5:$L$1000,$N17)="","",INDEX('Cronograma R. Normativo'!$L$5:$L$1000,$N17))))</f>
        <v/>
      </c>
      <c r="J17" s="61">
        <f>IF($N17="","",INDEX('Cronograma R. Normativo'!$M$5:$M$1000,$N17))</f>
        <v/>
      </c>
      <c r="K17" s="56">
        <f>IF($N17="","",IF(N($J17)&gt;=1,"Completado",IF(AND(ISNUMBER($D17),$D17&lt;FechaRef),"Vencida",IF(N($J17)&gt;0,"En curso","Pendiente"))))</f>
        <v/>
      </c>
      <c r="L17" s="56">
        <f>IF($N17="","",INDEX('Cronograma R. Normativo'!$O$5:$O$1000,$N17)&amp;"")</f>
        <v/>
      </c>
      <c r="M17" s="62">
        <f>IF($N17="","",INDEX('Cronograma R. Normativo'!$Q$5:$Q$1000,$N17)&amp;"")</f>
        <v/>
      </c>
      <c r="N17">
        <f>IFERROR(MATCH(ROW()-4,rOrden_RN,0),"")</f>
        <v/>
      </c>
      <c r="O17">
        <f>IF($N17="","",INDEX('Cronograma R. Normativo'!$V$5:$V$1000,$N17))</f>
        <v/>
      </c>
      <c r="P17">
        <f>IF($N17="","",N(INDEX('Cronograma R. Normativo'!$W$5:$W$1000,$N17)))</f>
        <v/>
      </c>
      <c r="Q17">
        <f>IF(OR(LEFT($L17,7)="Vencida",LEFT($L17,5)="Vence"),SUMPRODUCT(--(LEFT($L$5:$L17,7)="Vencida"))+SUMPRODUCT(--(LEFT($L$5:$L17,5)="Vence")),"")</f>
        <v/>
      </c>
    </row>
    <row r="18">
      <c r="A18" s="56">
        <f>IF($N18="","",INDEX('Cronograma R. Normativo'!$A$5:$A$1000,$N18))</f>
        <v/>
      </c>
      <c r="B18" s="62">
        <f>IF($N18="","",IF($O18="Sub","      ↳  "&amp;INDEX('Cronograma R. Normativo'!$C$5:$C$1000,$N18),INDEX('Cronograma R. Normativo'!$C$5:$C$1000,$N18)&amp;""))</f>
        <v/>
      </c>
      <c r="C18" s="79">
        <f>IF($N18="","",IF(INDEX('Cronograma R. Normativo'!$AM$5:$AM$1000,$N18)="","",INDEX('Cronograma R. Normativo'!$AM$5:$AM$1000,$N18)))</f>
        <v/>
      </c>
      <c r="D18" s="79">
        <f>IF($N18="","",IF(INDEX('Cronograma R. Normativo'!$AN$5:$AN$1000,$N18)="","",INDEX('Cronograma R. Normativo'!$AN$5:$AN$1000,$N18)))</f>
        <v/>
      </c>
      <c r="E18" s="56">
        <f>IF($N18="","",IF(NOT(ISNUMBER($D18)),"",IF($D18&lt;InicioCiclo,"Antes del ciclo",IF($D18&gt;=InicioCiclo+28,"Después del ciclo","Semana "&amp;(INT(($D18-InicioCiclo)/7)+1)))))</f>
        <v/>
      </c>
      <c r="F18" s="61">
        <f>IF($N18="","",IF($P18&gt;0,IF(1&lt;=SemanaActual,INDEX('Cronograma R. Normativo'!$AC$5:$AC$1000,$N18),""),IF(INDEX('Cronograma R. Normativo'!$I$5:$I$1000,$N18)="","",INDEX('Cronograma R. Normativo'!$I$5:$I$1000,$N18))))</f>
        <v/>
      </c>
      <c r="G18" s="61">
        <f>IF($N18="","",IF($P18&gt;0,IF(2&lt;=SemanaActual,INDEX('Cronograma R. Normativo'!$AD$5:$AD$1000,$N18),""),IF(INDEX('Cronograma R. Normativo'!$J$5:$J$1000,$N18)="","",INDEX('Cronograma R. Normativo'!$J$5:$J$1000,$N18))))</f>
        <v/>
      </c>
      <c r="H18" s="61">
        <f>IF($N18="","",IF($P18&gt;0,IF(3&lt;=SemanaActual,INDEX('Cronograma R. Normativo'!$AE$5:$AE$1000,$N18),""),IF(INDEX('Cronograma R. Normativo'!$K$5:$K$1000,$N18)="","",INDEX('Cronograma R. Normativo'!$K$5:$K$1000,$N18))))</f>
        <v/>
      </c>
      <c r="I18" s="61">
        <f>IF($N18="","",IF($P18&gt;0,IF(4&lt;=SemanaActual,INDEX('Cronograma R. Normativo'!$AF$5:$AF$1000,$N18),""),IF(INDEX('Cronograma R. Normativo'!$L$5:$L$1000,$N18)="","",INDEX('Cronograma R. Normativo'!$L$5:$L$1000,$N18))))</f>
        <v/>
      </c>
      <c r="J18" s="61">
        <f>IF($N18="","",INDEX('Cronograma R. Normativo'!$M$5:$M$1000,$N18))</f>
        <v/>
      </c>
      <c r="K18" s="56">
        <f>IF($N18="","",IF(N($J18)&gt;=1,"Completado",IF(AND(ISNUMBER($D18),$D18&lt;FechaRef),"Vencida",IF(N($J18)&gt;0,"En curso","Pendiente"))))</f>
        <v/>
      </c>
      <c r="L18" s="56">
        <f>IF($N18="","",INDEX('Cronograma R. Normativo'!$O$5:$O$1000,$N18)&amp;"")</f>
        <v/>
      </c>
      <c r="M18" s="62">
        <f>IF($N18="","",INDEX('Cronograma R. Normativo'!$Q$5:$Q$1000,$N18)&amp;"")</f>
        <v/>
      </c>
      <c r="N18">
        <f>IFERROR(MATCH(ROW()-4,rOrden_RN,0),"")</f>
        <v/>
      </c>
      <c r="O18">
        <f>IF($N18="","",INDEX('Cronograma R. Normativo'!$V$5:$V$1000,$N18))</f>
        <v/>
      </c>
      <c r="P18">
        <f>IF($N18="","",N(INDEX('Cronograma R. Normativo'!$W$5:$W$1000,$N18)))</f>
        <v/>
      </c>
      <c r="Q18">
        <f>IF(OR(LEFT($L18,7)="Vencida",LEFT($L18,5)="Vence"),SUMPRODUCT(--(LEFT($L$5:$L18,7)="Vencida"))+SUMPRODUCT(--(LEFT($L$5:$L18,5)="Vence")),"")</f>
        <v/>
      </c>
    </row>
    <row r="19">
      <c r="A19" s="56">
        <f>IF($N19="","",INDEX('Cronograma R. Normativo'!$A$5:$A$1000,$N19))</f>
        <v/>
      </c>
      <c r="B19" s="62">
        <f>IF($N19="","",IF($O19="Sub","      ↳  "&amp;INDEX('Cronograma R. Normativo'!$C$5:$C$1000,$N19),INDEX('Cronograma R. Normativo'!$C$5:$C$1000,$N19)&amp;""))</f>
        <v/>
      </c>
      <c r="C19" s="79">
        <f>IF($N19="","",IF(INDEX('Cronograma R. Normativo'!$AM$5:$AM$1000,$N19)="","",INDEX('Cronograma R. Normativo'!$AM$5:$AM$1000,$N19)))</f>
        <v/>
      </c>
      <c r="D19" s="79">
        <f>IF($N19="","",IF(INDEX('Cronograma R. Normativo'!$AN$5:$AN$1000,$N19)="","",INDEX('Cronograma R. Normativo'!$AN$5:$AN$1000,$N19)))</f>
        <v/>
      </c>
      <c r="E19" s="56">
        <f>IF($N19="","",IF(NOT(ISNUMBER($D19)),"",IF($D19&lt;InicioCiclo,"Antes del ciclo",IF($D19&gt;=InicioCiclo+28,"Después del ciclo","Semana "&amp;(INT(($D19-InicioCiclo)/7)+1)))))</f>
        <v/>
      </c>
      <c r="F19" s="61">
        <f>IF($N19="","",IF($P19&gt;0,IF(1&lt;=SemanaActual,INDEX('Cronograma R. Normativo'!$AC$5:$AC$1000,$N19),""),IF(INDEX('Cronograma R. Normativo'!$I$5:$I$1000,$N19)="","",INDEX('Cronograma R. Normativo'!$I$5:$I$1000,$N19))))</f>
        <v/>
      </c>
      <c r="G19" s="61">
        <f>IF($N19="","",IF($P19&gt;0,IF(2&lt;=SemanaActual,INDEX('Cronograma R. Normativo'!$AD$5:$AD$1000,$N19),""),IF(INDEX('Cronograma R. Normativo'!$J$5:$J$1000,$N19)="","",INDEX('Cronograma R. Normativo'!$J$5:$J$1000,$N19))))</f>
        <v/>
      </c>
      <c r="H19" s="61">
        <f>IF($N19="","",IF($P19&gt;0,IF(3&lt;=SemanaActual,INDEX('Cronograma R. Normativo'!$AE$5:$AE$1000,$N19),""),IF(INDEX('Cronograma R. Normativo'!$K$5:$K$1000,$N19)="","",INDEX('Cronograma R. Normativo'!$K$5:$K$1000,$N19))))</f>
        <v/>
      </c>
      <c r="I19" s="61">
        <f>IF($N19="","",IF($P19&gt;0,IF(4&lt;=SemanaActual,INDEX('Cronograma R. Normativo'!$AF$5:$AF$1000,$N19),""),IF(INDEX('Cronograma R. Normativo'!$L$5:$L$1000,$N19)="","",INDEX('Cronograma R. Normativo'!$L$5:$L$1000,$N19))))</f>
        <v/>
      </c>
      <c r="J19" s="61">
        <f>IF($N19="","",INDEX('Cronograma R. Normativo'!$M$5:$M$1000,$N19))</f>
        <v/>
      </c>
      <c r="K19" s="56">
        <f>IF($N19="","",IF(N($J19)&gt;=1,"Completado",IF(AND(ISNUMBER($D19),$D19&lt;FechaRef),"Vencida",IF(N($J19)&gt;0,"En curso","Pendiente"))))</f>
        <v/>
      </c>
      <c r="L19" s="56">
        <f>IF($N19="","",INDEX('Cronograma R. Normativo'!$O$5:$O$1000,$N19)&amp;"")</f>
        <v/>
      </c>
      <c r="M19" s="62">
        <f>IF($N19="","",INDEX('Cronograma R. Normativo'!$Q$5:$Q$1000,$N19)&amp;"")</f>
        <v/>
      </c>
      <c r="N19">
        <f>IFERROR(MATCH(ROW()-4,rOrden_RN,0),"")</f>
        <v/>
      </c>
      <c r="O19">
        <f>IF($N19="","",INDEX('Cronograma R. Normativo'!$V$5:$V$1000,$N19))</f>
        <v/>
      </c>
      <c r="P19">
        <f>IF($N19="","",N(INDEX('Cronograma R. Normativo'!$W$5:$W$1000,$N19)))</f>
        <v/>
      </c>
      <c r="Q19">
        <f>IF(OR(LEFT($L19,7)="Vencida",LEFT($L19,5)="Vence"),SUMPRODUCT(--(LEFT($L$5:$L19,7)="Vencida"))+SUMPRODUCT(--(LEFT($L$5:$L19,5)="Vence")),"")</f>
        <v/>
      </c>
    </row>
    <row r="20">
      <c r="A20" s="56">
        <f>IF($N20="","",INDEX('Cronograma R. Normativo'!$A$5:$A$1000,$N20))</f>
        <v/>
      </c>
      <c r="B20" s="62">
        <f>IF($N20="","",IF($O20="Sub","      ↳  "&amp;INDEX('Cronograma R. Normativo'!$C$5:$C$1000,$N20),INDEX('Cronograma R. Normativo'!$C$5:$C$1000,$N20)&amp;""))</f>
        <v/>
      </c>
      <c r="C20" s="79">
        <f>IF($N20="","",IF(INDEX('Cronograma R. Normativo'!$AM$5:$AM$1000,$N20)="","",INDEX('Cronograma R. Normativo'!$AM$5:$AM$1000,$N20)))</f>
        <v/>
      </c>
      <c r="D20" s="79">
        <f>IF($N20="","",IF(INDEX('Cronograma R. Normativo'!$AN$5:$AN$1000,$N20)="","",INDEX('Cronograma R. Normativo'!$AN$5:$AN$1000,$N20)))</f>
        <v/>
      </c>
      <c r="E20" s="56">
        <f>IF($N20="","",IF(NOT(ISNUMBER($D20)),"",IF($D20&lt;InicioCiclo,"Antes del ciclo",IF($D20&gt;=InicioCiclo+28,"Después del ciclo","Semana "&amp;(INT(($D20-InicioCiclo)/7)+1)))))</f>
        <v/>
      </c>
      <c r="F20" s="61">
        <f>IF($N20="","",IF($P20&gt;0,IF(1&lt;=SemanaActual,INDEX('Cronograma R. Normativo'!$AC$5:$AC$1000,$N20),""),IF(INDEX('Cronograma R. Normativo'!$I$5:$I$1000,$N20)="","",INDEX('Cronograma R. Normativo'!$I$5:$I$1000,$N20))))</f>
        <v/>
      </c>
      <c r="G20" s="61">
        <f>IF($N20="","",IF($P20&gt;0,IF(2&lt;=SemanaActual,INDEX('Cronograma R. Normativo'!$AD$5:$AD$1000,$N20),""),IF(INDEX('Cronograma R. Normativo'!$J$5:$J$1000,$N20)="","",INDEX('Cronograma R. Normativo'!$J$5:$J$1000,$N20))))</f>
        <v/>
      </c>
      <c r="H20" s="61">
        <f>IF($N20="","",IF($P20&gt;0,IF(3&lt;=SemanaActual,INDEX('Cronograma R. Normativo'!$AE$5:$AE$1000,$N20),""),IF(INDEX('Cronograma R. Normativo'!$K$5:$K$1000,$N20)="","",INDEX('Cronograma R. Normativo'!$K$5:$K$1000,$N20))))</f>
        <v/>
      </c>
      <c r="I20" s="61">
        <f>IF($N20="","",IF($P20&gt;0,IF(4&lt;=SemanaActual,INDEX('Cronograma R. Normativo'!$AF$5:$AF$1000,$N20),""),IF(INDEX('Cronograma R. Normativo'!$L$5:$L$1000,$N20)="","",INDEX('Cronograma R. Normativo'!$L$5:$L$1000,$N20))))</f>
        <v/>
      </c>
      <c r="J20" s="61">
        <f>IF($N20="","",INDEX('Cronograma R. Normativo'!$M$5:$M$1000,$N20))</f>
        <v/>
      </c>
      <c r="K20" s="56">
        <f>IF($N20="","",IF(N($J20)&gt;=1,"Completado",IF(AND(ISNUMBER($D20),$D20&lt;FechaRef),"Vencida",IF(N($J20)&gt;0,"En curso","Pendiente"))))</f>
        <v/>
      </c>
      <c r="L20" s="56">
        <f>IF($N20="","",INDEX('Cronograma R. Normativo'!$O$5:$O$1000,$N20)&amp;"")</f>
        <v/>
      </c>
      <c r="M20" s="62">
        <f>IF($N20="","",INDEX('Cronograma R. Normativo'!$Q$5:$Q$1000,$N20)&amp;"")</f>
        <v/>
      </c>
      <c r="N20">
        <f>IFERROR(MATCH(ROW()-4,rOrden_RN,0),"")</f>
        <v/>
      </c>
      <c r="O20">
        <f>IF($N20="","",INDEX('Cronograma R. Normativo'!$V$5:$V$1000,$N20))</f>
        <v/>
      </c>
      <c r="P20">
        <f>IF($N20="","",N(INDEX('Cronograma R. Normativo'!$W$5:$W$1000,$N20)))</f>
        <v/>
      </c>
      <c r="Q20">
        <f>IF(OR(LEFT($L20,7)="Vencida",LEFT($L20,5)="Vence"),SUMPRODUCT(--(LEFT($L$5:$L20,7)="Vencida"))+SUMPRODUCT(--(LEFT($L$5:$L20,5)="Vence")),"")</f>
        <v/>
      </c>
    </row>
    <row r="21">
      <c r="A21" s="56">
        <f>IF($N21="","",INDEX('Cronograma R. Normativo'!$A$5:$A$1000,$N21))</f>
        <v/>
      </c>
      <c r="B21" s="62">
        <f>IF($N21="","",IF($O21="Sub","      ↳  "&amp;INDEX('Cronograma R. Normativo'!$C$5:$C$1000,$N21),INDEX('Cronograma R. Normativo'!$C$5:$C$1000,$N21)&amp;""))</f>
        <v/>
      </c>
      <c r="C21" s="79">
        <f>IF($N21="","",IF(INDEX('Cronograma R. Normativo'!$AM$5:$AM$1000,$N21)="","",INDEX('Cronograma R. Normativo'!$AM$5:$AM$1000,$N21)))</f>
        <v/>
      </c>
      <c r="D21" s="79">
        <f>IF($N21="","",IF(INDEX('Cronograma R. Normativo'!$AN$5:$AN$1000,$N21)="","",INDEX('Cronograma R. Normativo'!$AN$5:$AN$1000,$N21)))</f>
        <v/>
      </c>
      <c r="E21" s="56">
        <f>IF($N21="","",IF(NOT(ISNUMBER($D21)),"",IF($D21&lt;InicioCiclo,"Antes del ciclo",IF($D21&gt;=InicioCiclo+28,"Después del ciclo","Semana "&amp;(INT(($D21-InicioCiclo)/7)+1)))))</f>
        <v/>
      </c>
      <c r="F21" s="61">
        <f>IF($N21="","",IF($P21&gt;0,IF(1&lt;=SemanaActual,INDEX('Cronograma R. Normativo'!$AC$5:$AC$1000,$N21),""),IF(INDEX('Cronograma R. Normativo'!$I$5:$I$1000,$N21)="","",INDEX('Cronograma R. Normativo'!$I$5:$I$1000,$N21))))</f>
        <v/>
      </c>
      <c r="G21" s="61">
        <f>IF($N21="","",IF($P21&gt;0,IF(2&lt;=SemanaActual,INDEX('Cronograma R. Normativo'!$AD$5:$AD$1000,$N21),""),IF(INDEX('Cronograma R. Normativo'!$J$5:$J$1000,$N21)="","",INDEX('Cronograma R. Normativo'!$J$5:$J$1000,$N21))))</f>
        <v/>
      </c>
      <c r="H21" s="61">
        <f>IF($N21="","",IF($P21&gt;0,IF(3&lt;=SemanaActual,INDEX('Cronograma R. Normativo'!$AE$5:$AE$1000,$N21),""),IF(INDEX('Cronograma R. Normativo'!$K$5:$K$1000,$N21)="","",INDEX('Cronograma R. Normativo'!$K$5:$K$1000,$N21))))</f>
        <v/>
      </c>
      <c r="I21" s="61">
        <f>IF($N21="","",IF($P21&gt;0,IF(4&lt;=SemanaActual,INDEX('Cronograma R. Normativo'!$AF$5:$AF$1000,$N21),""),IF(INDEX('Cronograma R. Normativo'!$L$5:$L$1000,$N21)="","",INDEX('Cronograma R. Normativo'!$L$5:$L$1000,$N21))))</f>
        <v/>
      </c>
      <c r="J21" s="61">
        <f>IF($N21="","",INDEX('Cronograma R. Normativo'!$M$5:$M$1000,$N21))</f>
        <v/>
      </c>
      <c r="K21" s="56">
        <f>IF($N21="","",IF(N($J21)&gt;=1,"Completado",IF(AND(ISNUMBER($D21),$D21&lt;FechaRef),"Vencida",IF(N($J21)&gt;0,"En curso","Pendiente"))))</f>
        <v/>
      </c>
      <c r="L21" s="56">
        <f>IF($N21="","",INDEX('Cronograma R. Normativo'!$O$5:$O$1000,$N21)&amp;"")</f>
        <v/>
      </c>
      <c r="M21" s="62">
        <f>IF($N21="","",INDEX('Cronograma R. Normativo'!$Q$5:$Q$1000,$N21)&amp;"")</f>
        <v/>
      </c>
      <c r="N21">
        <f>IFERROR(MATCH(ROW()-4,rOrden_RN,0),"")</f>
        <v/>
      </c>
      <c r="O21">
        <f>IF($N21="","",INDEX('Cronograma R. Normativo'!$V$5:$V$1000,$N21))</f>
        <v/>
      </c>
      <c r="P21">
        <f>IF($N21="","",N(INDEX('Cronograma R. Normativo'!$W$5:$W$1000,$N21)))</f>
        <v/>
      </c>
      <c r="Q21">
        <f>IF(OR(LEFT($L21,7)="Vencida",LEFT($L21,5)="Vence"),SUMPRODUCT(--(LEFT($L$5:$L21,7)="Vencida"))+SUMPRODUCT(--(LEFT($L$5:$L21,5)="Vence")),"")</f>
        <v/>
      </c>
    </row>
    <row r="22">
      <c r="A22" s="56">
        <f>IF($N22="","",INDEX('Cronograma R. Normativo'!$A$5:$A$1000,$N22))</f>
        <v/>
      </c>
      <c r="B22" s="62">
        <f>IF($N22="","",IF($O22="Sub","      ↳  "&amp;INDEX('Cronograma R. Normativo'!$C$5:$C$1000,$N22),INDEX('Cronograma R. Normativo'!$C$5:$C$1000,$N22)&amp;""))</f>
        <v/>
      </c>
      <c r="C22" s="79">
        <f>IF($N22="","",IF(INDEX('Cronograma R. Normativo'!$AM$5:$AM$1000,$N22)="","",INDEX('Cronograma R. Normativo'!$AM$5:$AM$1000,$N22)))</f>
        <v/>
      </c>
      <c r="D22" s="79">
        <f>IF($N22="","",IF(INDEX('Cronograma R. Normativo'!$AN$5:$AN$1000,$N22)="","",INDEX('Cronograma R. Normativo'!$AN$5:$AN$1000,$N22)))</f>
        <v/>
      </c>
      <c r="E22" s="56">
        <f>IF($N22="","",IF(NOT(ISNUMBER($D22)),"",IF($D22&lt;InicioCiclo,"Antes del ciclo",IF($D22&gt;=InicioCiclo+28,"Después del ciclo","Semana "&amp;(INT(($D22-InicioCiclo)/7)+1)))))</f>
        <v/>
      </c>
      <c r="F22" s="61">
        <f>IF($N22="","",IF($P22&gt;0,IF(1&lt;=SemanaActual,INDEX('Cronograma R. Normativo'!$AC$5:$AC$1000,$N22),""),IF(INDEX('Cronograma R. Normativo'!$I$5:$I$1000,$N22)="","",INDEX('Cronograma R. Normativo'!$I$5:$I$1000,$N22))))</f>
        <v/>
      </c>
      <c r="G22" s="61">
        <f>IF($N22="","",IF($P22&gt;0,IF(2&lt;=SemanaActual,INDEX('Cronograma R. Normativo'!$AD$5:$AD$1000,$N22),""),IF(INDEX('Cronograma R. Normativo'!$J$5:$J$1000,$N22)="","",INDEX('Cronograma R. Normativo'!$J$5:$J$1000,$N22))))</f>
        <v/>
      </c>
      <c r="H22" s="61">
        <f>IF($N22="","",IF($P22&gt;0,IF(3&lt;=SemanaActual,INDEX('Cronograma R. Normativo'!$AE$5:$AE$1000,$N22),""),IF(INDEX('Cronograma R. Normativo'!$K$5:$K$1000,$N22)="","",INDEX('Cronograma R. Normativo'!$K$5:$K$1000,$N22))))</f>
        <v/>
      </c>
      <c r="I22" s="61">
        <f>IF($N22="","",IF($P22&gt;0,IF(4&lt;=SemanaActual,INDEX('Cronograma R. Normativo'!$AF$5:$AF$1000,$N22),""),IF(INDEX('Cronograma R. Normativo'!$L$5:$L$1000,$N22)="","",INDEX('Cronograma R. Normativo'!$L$5:$L$1000,$N22))))</f>
        <v/>
      </c>
      <c r="J22" s="61">
        <f>IF($N22="","",INDEX('Cronograma R. Normativo'!$M$5:$M$1000,$N22))</f>
        <v/>
      </c>
      <c r="K22" s="56">
        <f>IF($N22="","",IF(N($J22)&gt;=1,"Completado",IF(AND(ISNUMBER($D22),$D22&lt;FechaRef),"Vencida",IF(N($J22)&gt;0,"En curso","Pendiente"))))</f>
        <v/>
      </c>
      <c r="L22" s="56">
        <f>IF($N22="","",INDEX('Cronograma R. Normativo'!$O$5:$O$1000,$N22)&amp;"")</f>
        <v/>
      </c>
      <c r="M22" s="62">
        <f>IF($N22="","",INDEX('Cronograma R. Normativo'!$Q$5:$Q$1000,$N22)&amp;"")</f>
        <v/>
      </c>
      <c r="N22">
        <f>IFERROR(MATCH(ROW()-4,rOrden_RN,0),"")</f>
        <v/>
      </c>
      <c r="O22">
        <f>IF($N22="","",INDEX('Cronograma R. Normativo'!$V$5:$V$1000,$N22))</f>
        <v/>
      </c>
      <c r="P22">
        <f>IF($N22="","",N(INDEX('Cronograma R. Normativo'!$W$5:$W$1000,$N22)))</f>
        <v/>
      </c>
      <c r="Q22">
        <f>IF(OR(LEFT($L22,7)="Vencida",LEFT($L22,5)="Vence"),SUMPRODUCT(--(LEFT($L$5:$L22,7)="Vencida"))+SUMPRODUCT(--(LEFT($L$5:$L22,5)="Vence")),"")</f>
        <v/>
      </c>
    </row>
    <row r="23">
      <c r="A23" s="56">
        <f>IF($N23="","",INDEX('Cronograma R. Normativo'!$A$5:$A$1000,$N23))</f>
        <v/>
      </c>
      <c r="B23" s="62">
        <f>IF($N23="","",IF($O23="Sub","      ↳  "&amp;INDEX('Cronograma R. Normativo'!$C$5:$C$1000,$N23),INDEX('Cronograma R. Normativo'!$C$5:$C$1000,$N23)&amp;""))</f>
        <v/>
      </c>
      <c r="C23" s="79">
        <f>IF($N23="","",IF(INDEX('Cronograma R. Normativo'!$AM$5:$AM$1000,$N23)="","",INDEX('Cronograma R. Normativo'!$AM$5:$AM$1000,$N23)))</f>
        <v/>
      </c>
      <c r="D23" s="79">
        <f>IF($N23="","",IF(INDEX('Cronograma R. Normativo'!$AN$5:$AN$1000,$N23)="","",INDEX('Cronograma R. Normativo'!$AN$5:$AN$1000,$N23)))</f>
        <v/>
      </c>
      <c r="E23" s="56">
        <f>IF($N23="","",IF(NOT(ISNUMBER($D23)),"",IF($D23&lt;InicioCiclo,"Antes del ciclo",IF($D23&gt;=InicioCiclo+28,"Después del ciclo","Semana "&amp;(INT(($D23-InicioCiclo)/7)+1)))))</f>
        <v/>
      </c>
      <c r="F23" s="61">
        <f>IF($N23="","",IF($P23&gt;0,IF(1&lt;=SemanaActual,INDEX('Cronograma R. Normativo'!$AC$5:$AC$1000,$N23),""),IF(INDEX('Cronograma R. Normativo'!$I$5:$I$1000,$N23)="","",INDEX('Cronograma R. Normativo'!$I$5:$I$1000,$N23))))</f>
        <v/>
      </c>
      <c r="G23" s="61">
        <f>IF($N23="","",IF($P23&gt;0,IF(2&lt;=SemanaActual,INDEX('Cronograma R. Normativo'!$AD$5:$AD$1000,$N23),""),IF(INDEX('Cronograma R. Normativo'!$J$5:$J$1000,$N23)="","",INDEX('Cronograma R. Normativo'!$J$5:$J$1000,$N23))))</f>
        <v/>
      </c>
      <c r="H23" s="61">
        <f>IF($N23="","",IF($P23&gt;0,IF(3&lt;=SemanaActual,INDEX('Cronograma R. Normativo'!$AE$5:$AE$1000,$N23),""),IF(INDEX('Cronograma R. Normativo'!$K$5:$K$1000,$N23)="","",INDEX('Cronograma R. Normativo'!$K$5:$K$1000,$N23))))</f>
        <v/>
      </c>
      <c r="I23" s="61">
        <f>IF($N23="","",IF($P23&gt;0,IF(4&lt;=SemanaActual,INDEX('Cronograma R. Normativo'!$AF$5:$AF$1000,$N23),""),IF(INDEX('Cronograma R. Normativo'!$L$5:$L$1000,$N23)="","",INDEX('Cronograma R. Normativo'!$L$5:$L$1000,$N23))))</f>
        <v/>
      </c>
      <c r="J23" s="61">
        <f>IF($N23="","",INDEX('Cronograma R. Normativo'!$M$5:$M$1000,$N23))</f>
        <v/>
      </c>
      <c r="K23" s="56">
        <f>IF($N23="","",IF(N($J23)&gt;=1,"Completado",IF(AND(ISNUMBER($D23),$D23&lt;FechaRef),"Vencida",IF(N($J23)&gt;0,"En curso","Pendiente"))))</f>
        <v/>
      </c>
      <c r="L23" s="56">
        <f>IF($N23="","",INDEX('Cronograma R. Normativo'!$O$5:$O$1000,$N23)&amp;"")</f>
        <v/>
      </c>
      <c r="M23" s="62">
        <f>IF($N23="","",INDEX('Cronograma R. Normativo'!$Q$5:$Q$1000,$N23)&amp;"")</f>
        <v/>
      </c>
      <c r="N23">
        <f>IFERROR(MATCH(ROW()-4,rOrden_RN,0),"")</f>
        <v/>
      </c>
      <c r="O23">
        <f>IF($N23="","",INDEX('Cronograma R. Normativo'!$V$5:$V$1000,$N23))</f>
        <v/>
      </c>
      <c r="P23">
        <f>IF($N23="","",N(INDEX('Cronograma R. Normativo'!$W$5:$W$1000,$N23)))</f>
        <v/>
      </c>
      <c r="Q23">
        <f>IF(OR(LEFT($L23,7)="Vencida",LEFT($L23,5)="Vence"),SUMPRODUCT(--(LEFT($L$5:$L23,7)="Vencida"))+SUMPRODUCT(--(LEFT($L$5:$L23,5)="Vence")),"")</f>
        <v/>
      </c>
    </row>
    <row r="24">
      <c r="A24" s="56">
        <f>IF($N24="","",INDEX('Cronograma R. Normativo'!$A$5:$A$1000,$N24))</f>
        <v/>
      </c>
      <c r="B24" s="62">
        <f>IF($N24="","",IF($O24="Sub","      ↳  "&amp;INDEX('Cronograma R. Normativo'!$C$5:$C$1000,$N24),INDEX('Cronograma R. Normativo'!$C$5:$C$1000,$N24)&amp;""))</f>
        <v/>
      </c>
      <c r="C24" s="79">
        <f>IF($N24="","",IF(INDEX('Cronograma R. Normativo'!$AM$5:$AM$1000,$N24)="","",INDEX('Cronograma R. Normativo'!$AM$5:$AM$1000,$N24)))</f>
        <v/>
      </c>
      <c r="D24" s="79">
        <f>IF($N24="","",IF(INDEX('Cronograma R. Normativo'!$AN$5:$AN$1000,$N24)="","",INDEX('Cronograma R. Normativo'!$AN$5:$AN$1000,$N24)))</f>
        <v/>
      </c>
      <c r="E24" s="56">
        <f>IF($N24="","",IF(NOT(ISNUMBER($D24)),"",IF($D24&lt;InicioCiclo,"Antes del ciclo",IF($D24&gt;=InicioCiclo+28,"Después del ciclo","Semana "&amp;(INT(($D24-InicioCiclo)/7)+1)))))</f>
        <v/>
      </c>
      <c r="F24" s="61">
        <f>IF($N24="","",IF($P24&gt;0,IF(1&lt;=SemanaActual,INDEX('Cronograma R. Normativo'!$AC$5:$AC$1000,$N24),""),IF(INDEX('Cronograma R. Normativo'!$I$5:$I$1000,$N24)="","",INDEX('Cronograma R. Normativo'!$I$5:$I$1000,$N24))))</f>
        <v/>
      </c>
      <c r="G24" s="61">
        <f>IF($N24="","",IF($P24&gt;0,IF(2&lt;=SemanaActual,INDEX('Cronograma R. Normativo'!$AD$5:$AD$1000,$N24),""),IF(INDEX('Cronograma R. Normativo'!$J$5:$J$1000,$N24)="","",INDEX('Cronograma R. Normativo'!$J$5:$J$1000,$N24))))</f>
        <v/>
      </c>
      <c r="H24" s="61">
        <f>IF($N24="","",IF($P24&gt;0,IF(3&lt;=SemanaActual,INDEX('Cronograma R. Normativo'!$AE$5:$AE$1000,$N24),""),IF(INDEX('Cronograma R. Normativo'!$K$5:$K$1000,$N24)="","",INDEX('Cronograma R. Normativo'!$K$5:$K$1000,$N24))))</f>
        <v/>
      </c>
      <c r="I24" s="61">
        <f>IF($N24="","",IF($P24&gt;0,IF(4&lt;=SemanaActual,INDEX('Cronograma R. Normativo'!$AF$5:$AF$1000,$N24),""),IF(INDEX('Cronograma R. Normativo'!$L$5:$L$1000,$N24)="","",INDEX('Cronograma R. Normativo'!$L$5:$L$1000,$N24))))</f>
        <v/>
      </c>
      <c r="J24" s="61">
        <f>IF($N24="","",INDEX('Cronograma R. Normativo'!$M$5:$M$1000,$N24))</f>
        <v/>
      </c>
      <c r="K24" s="56">
        <f>IF($N24="","",IF(N($J24)&gt;=1,"Completado",IF(AND(ISNUMBER($D24),$D24&lt;FechaRef),"Vencida",IF(N($J24)&gt;0,"En curso","Pendiente"))))</f>
        <v/>
      </c>
      <c r="L24" s="56">
        <f>IF($N24="","",INDEX('Cronograma R. Normativo'!$O$5:$O$1000,$N24)&amp;"")</f>
        <v/>
      </c>
      <c r="M24" s="62">
        <f>IF($N24="","",INDEX('Cronograma R. Normativo'!$Q$5:$Q$1000,$N24)&amp;"")</f>
        <v/>
      </c>
      <c r="N24">
        <f>IFERROR(MATCH(ROW()-4,rOrden_RN,0),"")</f>
        <v/>
      </c>
      <c r="O24">
        <f>IF($N24="","",INDEX('Cronograma R. Normativo'!$V$5:$V$1000,$N24))</f>
        <v/>
      </c>
      <c r="P24">
        <f>IF($N24="","",N(INDEX('Cronograma R. Normativo'!$W$5:$W$1000,$N24)))</f>
        <v/>
      </c>
      <c r="Q24">
        <f>IF(OR(LEFT($L24,7)="Vencida",LEFT($L24,5)="Vence"),SUMPRODUCT(--(LEFT($L$5:$L24,7)="Vencida"))+SUMPRODUCT(--(LEFT($L$5:$L24,5)="Vence")),"")</f>
        <v/>
      </c>
    </row>
    <row r="25">
      <c r="A25" s="56">
        <f>IF($N25="","",INDEX('Cronograma R. Normativo'!$A$5:$A$1000,$N25))</f>
        <v/>
      </c>
      <c r="B25" s="62">
        <f>IF($N25="","",IF($O25="Sub","      ↳  "&amp;INDEX('Cronograma R. Normativo'!$C$5:$C$1000,$N25),INDEX('Cronograma R. Normativo'!$C$5:$C$1000,$N25)&amp;""))</f>
        <v/>
      </c>
      <c r="C25" s="79">
        <f>IF($N25="","",IF(INDEX('Cronograma R. Normativo'!$AM$5:$AM$1000,$N25)="","",INDEX('Cronograma R. Normativo'!$AM$5:$AM$1000,$N25)))</f>
        <v/>
      </c>
      <c r="D25" s="79">
        <f>IF($N25="","",IF(INDEX('Cronograma R. Normativo'!$AN$5:$AN$1000,$N25)="","",INDEX('Cronograma R. Normativo'!$AN$5:$AN$1000,$N25)))</f>
        <v/>
      </c>
      <c r="E25" s="56">
        <f>IF($N25="","",IF(NOT(ISNUMBER($D25)),"",IF($D25&lt;InicioCiclo,"Antes del ciclo",IF($D25&gt;=InicioCiclo+28,"Después del ciclo","Semana "&amp;(INT(($D25-InicioCiclo)/7)+1)))))</f>
        <v/>
      </c>
      <c r="F25" s="61">
        <f>IF($N25="","",IF($P25&gt;0,IF(1&lt;=SemanaActual,INDEX('Cronograma R. Normativo'!$AC$5:$AC$1000,$N25),""),IF(INDEX('Cronograma R. Normativo'!$I$5:$I$1000,$N25)="","",INDEX('Cronograma R. Normativo'!$I$5:$I$1000,$N25))))</f>
        <v/>
      </c>
      <c r="G25" s="61">
        <f>IF($N25="","",IF($P25&gt;0,IF(2&lt;=SemanaActual,INDEX('Cronograma R. Normativo'!$AD$5:$AD$1000,$N25),""),IF(INDEX('Cronograma R. Normativo'!$J$5:$J$1000,$N25)="","",INDEX('Cronograma R. Normativo'!$J$5:$J$1000,$N25))))</f>
        <v/>
      </c>
      <c r="H25" s="61">
        <f>IF($N25="","",IF($P25&gt;0,IF(3&lt;=SemanaActual,INDEX('Cronograma R. Normativo'!$AE$5:$AE$1000,$N25),""),IF(INDEX('Cronograma R. Normativo'!$K$5:$K$1000,$N25)="","",INDEX('Cronograma R. Normativo'!$K$5:$K$1000,$N25))))</f>
        <v/>
      </c>
      <c r="I25" s="61">
        <f>IF($N25="","",IF($P25&gt;0,IF(4&lt;=SemanaActual,INDEX('Cronograma R. Normativo'!$AF$5:$AF$1000,$N25),""),IF(INDEX('Cronograma R. Normativo'!$L$5:$L$1000,$N25)="","",INDEX('Cronograma R. Normativo'!$L$5:$L$1000,$N25))))</f>
        <v/>
      </c>
      <c r="J25" s="61">
        <f>IF($N25="","",INDEX('Cronograma R. Normativo'!$M$5:$M$1000,$N25))</f>
        <v/>
      </c>
      <c r="K25" s="56">
        <f>IF($N25="","",IF(N($J25)&gt;=1,"Completado",IF(AND(ISNUMBER($D25),$D25&lt;FechaRef),"Vencida",IF(N($J25)&gt;0,"En curso","Pendiente"))))</f>
        <v/>
      </c>
      <c r="L25" s="56">
        <f>IF($N25="","",INDEX('Cronograma R. Normativo'!$O$5:$O$1000,$N25)&amp;"")</f>
        <v/>
      </c>
      <c r="M25" s="62">
        <f>IF($N25="","",INDEX('Cronograma R. Normativo'!$Q$5:$Q$1000,$N25)&amp;"")</f>
        <v/>
      </c>
      <c r="N25">
        <f>IFERROR(MATCH(ROW()-4,rOrden_RN,0),"")</f>
        <v/>
      </c>
      <c r="O25">
        <f>IF($N25="","",INDEX('Cronograma R. Normativo'!$V$5:$V$1000,$N25))</f>
        <v/>
      </c>
      <c r="P25">
        <f>IF($N25="","",N(INDEX('Cronograma R. Normativo'!$W$5:$W$1000,$N25)))</f>
        <v/>
      </c>
      <c r="Q25">
        <f>IF(OR(LEFT($L25,7)="Vencida",LEFT($L25,5)="Vence"),SUMPRODUCT(--(LEFT($L$5:$L25,7)="Vencida"))+SUMPRODUCT(--(LEFT($L$5:$L25,5)="Vence")),"")</f>
        <v/>
      </c>
    </row>
    <row r="26">
      <c r="A26" s="56">
        <f>IF($N26="","",INDEX('Cronograma R. Normativo'!$A$5:$A$1000,$N26))</f>
        <v/>
      </c>
      <c r="B26" s="62">
        <f>IF($N26="","",IF($O26="Sub","      ↳  "&amp;INDEX('Cronograma R. Normativo'!$C$5:$C$1000,$N26),INDEX('Cronograma R. Normativo'!$C$5:$C$1000,$N26)&amp;""))</f>
        <v/>
      </c>
      <c r="C26" s="79">
        <f>IF($N26="","",IF(INDEX('Cronograma R. Normativo'!$AM$5:$AM$1000,$N26)="","",INDEX('Cronograma R. Normativo'!$AM$5:$AM$1000,$N26)))</f>
        <v/>
      </c>
      <c r="D26" s="79">
        <f>IF($N26="","",IF(INDEX('Cronograma R. Normativo'!$AN$5:$AN$1000,$N26)="","",INDEX('Cronograma R. Normativo'!$AN$5:$AN$1000,$N26)))</f>
        <v/>
      </c>
      <c r="E26" s="56">
        <f>IF($N26="","",IF(NOT(ISNUMBER($D26)),"",IF($D26&lt;InicioCiclo,"Antes del ciclo",IF($D26&gt;=InicioCiclo+28,"Después del ciclo","Semana "&amp;(INT(($D26-InicioCiclo)/7)+1)))))</f>
        <v/>
      </c>
      <c r="F26" s="61">
        <f>IF($N26="","",IF($P26&gt;0,IF(1&lt;=SemanaActual,INDEX('Cronograma R. Normativo'!$AC$5:$AC$1000,$N26),""),IF(INDEX('Cronograma R. Normativo'!$I$5:$I$1000,$N26)="","",INDEX('Cronograma R. Normativo'!$I$5:$I$1000,$N26))))</f>
        <v/>
      </c>
      <c r="G26" s="61">
        <f>IF($N26="","",IF($P26&gt;0,IF(2&lt;=SemanaActual,INDEX('Cronograma R. Normativo'!$AD$5:$AD$1000,$N26),""),IF(INDEX('Cronograma R. Normativo'!$J$5:$J$1000,$N26)="","",INDEX('Cronograma R. Normativo'!$J$5:$J$1000,$N26))))</f>
        <v/>
      </c>
      <c r="H26" s="61">
        <f>IF($N26="","",IF($P26&gt;0,IF(3&lt;=SemanaActual,INDEX('Cronograma R. Normativo'!$AE$5:$AE$1000,$N26),""),IF(INDEX('Cronograma R. Normativo'!$K$5:$K$1000,$N26)="","",INDEX('Cronograma R. Normativo'!$K$5:$K$1000,$N26))))</f>
        <v/>
      </c>
      <c r="I26" s="61">
        <f>IF($N26="","",IF($P26&gt;0,IF(4&lt;=SemanaActual,INDEX('Cronograma R. Normativo'!$AF$5:$AF$1000,$N26),""),IF(INDEX('Cronograma R. Normativo'!$L$5:$L$1000,$N26)="","",INDEX('Cronograma R. Normativo'!$L$5:$L$1000,$N26))))</f>
        <v/>
      </c>
      <c r="J26" s="61">
        <f>IF($N26="","",INDEX('Cronograma R. Normativo'!$M$5:$M$1000,$N26))</f>
        <v/>
      </c>
      <c r="K26" s="56">
        <f>IF($N26="","",IF(N($J26)&gt;=1,"Completado",IF(AND(ISNUMBER($D26),$D26&lt;FechaRef),"Vencida",IF(N($J26)&gt;0,"En curso","Pendiente"))))</f>
        <v/>
      </c>
      <c r="L26" s="56">
        <f>IF($N26="","",INDEX('Cronograma R. Normativo'!$O$5:$O$1000,$N26)&amp;"")</f>
        <v/>
      </c>
      <c r="M26" s="62">
        <f>IF($N26="","",INDEX('Cronograma R. Normativo'!$Q$5:$Q$1000,$N26)&amp;"")</f>
        <v/>
      </c>
      <c r="N26">
        <f>IFERROR(MATCH(ROW()-4,rOrden_RN,0),"")</f>
        <v/>
      </c>
      <c r="O26">
        <f>IF($N26="","",INDEX('Cronograma R. Normativo'!$V$5:$V$1000,$N26))</f>
        <v/>
      </c>
      <c r="P26">
        <f>IF($N26="","",N(INDEX('Cronograma R. Normativo'!$W$5:$W$1000,$N26)))</f>
        <v/>
      </c>
      <c r="Q26">
        <f>IF(OR(LEFT($L26,7)="Vencida",LEFT($L26,5)="Vence"),SUMPRODUCT(--(LEFT($L$5:$L26,7)="Vencida"))+SUMPRODUCT(--(LEFT($L$5:$L26,5)="Vence")),"")</f>
        <v/>
      </c>
    </row>
    <row r="27">
      <c r="A27" s="56">
        <f>IF($N27="","",INDEX('Cronograma R. Normativo'!$A$5:$A$1000,$N27))</f>
        <v/>
      </c>
      <c r="B27" s="62">
        <f>IF($N27="","",IF($O27="Sub","      ↳  "&amp;INDEX('Cronograma R. Normativo'!$C$5:$C$1000,$N27),INDEX('Cronograma R. Normativo'!$C$5:$C$1000,$N27)&amp;""))</f>
        <v/>
      </c>
      <c r="C27" s="79">
        <f>IF($N27="","",IF(INDEX('Cronograma R. Normativo'!$AM$5:$AM$1000,$N27)="","",INDEX('Cronograma R. Normativo'!$AM$5:$AM$1000,$N27)))</f>
        <v/>
      </c>
      <c r="D27" s="79">
        <f>IF($N27="","",IF(INDEX('Cronograma R. Normativo'!$AN$5:$AN$1000,$N27)="","",INDEX('Cronograma R. Normativo'!$AN$5:$AN$1000,$N27)))</f>
        <v/>
      </c>
      <c r="E27" s="56">
        <f>IF($N27="","",IF(NOT(ISNUMBER($D27)),"",IF($D27&lt;InicioCiclo,"Antes del ciclo",IF($D27&gt;=InicioCiclo+28,"Después del ciclo","Semana "&amp;(INT(($D27-InicioCiclo)/7)+1)))))</f>
        <v/>
      </c>
      <c r="F27" s="61">
        <f>IF($N27="","",IF($P27&gt;0,IF(1&lt;=SemanaActual,INDEX('Cronograma R. Normativo'!$AC$5:$AC$1000,$N27),""),IF(INDEX('Cronograma R. Normativo'!$I$5:$I$1000,$N27)="","",INDEX('Cronograma R. Normativo'!$I$5:$I$1000,$N27))))</f>
        <v/>
      </c>
      <c r="G27" s="61">
        <f>IF($N27="","",IF($P27&gt;0,IF(2&lt;=SemanaActual,INDEX('Cronograma R. Normativo'!$AD$5:$AD$1000,$N27),""),IF(INDEX('Cronograma R. Normativo'!$J$5:$J$1000,$N27)="","",INDEX('Cronograma R. Normativo'!$J$5:$J$1000,$N27))))</f>
        <v/>
      </c>
      <c r="H27" s="61">
        <f>IF($N27="","",IF($P27&gt;0,IF(3&lt;=SemanaActual,INDEX('Cronograma R. Normativo'!$AE$5:$AE$1000,$N27),""),IF(INDEX('Cronograma R. Normativo'!$K$5:$K$1000,$N27)="","",INDEX('Cronograma R. Normativo'!$K$5:$K$1000,$N27))))</f>
        <v/>
      </c>
      <c r="I27" s="61">
        <f>IF($N27="","",IF($P27&gt;0,IF(4&lt;=SemanaActual,INDEX('Cronograma R. Normativo'!$AF$5:$AF$1000,$N27),""),IF(INDEX('Cronograma R. Normativo'!$L$5:$L$1000,$N27)="","",INDEX('Cronograma R. Normativo'!$L$5:$L$1000,$N27))))</f>
        <v/>
      </c>
      <c r="J27" s="61">
        <f>IF($N27="","",INDEX('Cronograma R. Normativo'!$M$5:$M$1000,$N27))</f>
        <v/>
      </c>
      <c r="K27" s="56">
        <f>IF($N27="","",IF(N($J27)&gt;=1,"Completado",IF(AND(ISNUMBER($D27),$D27&lt;FechaRef),"Vencida",IF(N($J27)&gt;0,"En curso","Pendiente"))))</f>
        <v/>
      </c>
      <c r="L27" s="56">
        <f>IF($N27="","",INDEX('Cronograma R. Normativo'!$O$5:$O$1000,$N27)&amp;"")</f>
        <v/>
      </c>
      <c r="M27" s="62">
        <f>IF($N27="","",INDEX('Cronograma R. Normativo'!$Q$5:$Q$1000,$N27)&amp;"")</f>
        <v/>
      </c>
      <c r="N27">
        <f>IFERROR(MATCH(ROW()-4,rOrden_RN,0),"")</f>
        <v/>
      </c>
      <c r="O27">
        <f>IF($N27="","",INDEX('Cronograma R. Normativo'!$V$5:$V$1000,$N27))</f>
        <v/>
      </c>
      <c r="P27">
        <f>IF($N27="","",N(INDEX('Cronograma R. Normativo'!$W$5:$W$1000,$N27)))</f>
        <v/>
      </c>
      <c r="Q27">
        <f>IF(OR(LEFT($L27,7)="Vencida",LEFT($L27,5)="Vence"),SUMPRODUCT(--(LEFT($L$5:$L27,7)="Vencida"))+SUMPRODUCT(--(LEFT($L$5:$L27,5)="Vence")),"")</f>
        <v/>
      </c>
    </row>
    <row r="28">
      <c r="A28" s="56">
        <f>IF($N28="","",INDEX('Cronograma R. Normativo'!$A$5:$A$1000,$N28))</f>
        <v/>
      </c>
      <c r="B28" s="62">
        <f>IF($N28="","",IF($O28="Sub","      ↳  "&amp;INDEX('Cronograma R. Normativo'!$C$5:$C$1000,$N28),INDEX('Cronograma R. Normativo'!$C$5:$C$1000,$N28)&amp;""))</f>
        <v/>
      </c>
      <c r="C28" s="79">
        <f>IF($N28="","",IF(INDEX('Cronograma R. Normativo'!$AM$5:$AM$1000,$N28)="","",INDEX('Cronograma R. Normativo'!$AM$5:$AM$1000,$N28)))</f>
        <v/>
      </c>
      <c r="D28" s="79">
        <f>IF($N28="","",IF(INDEX('Cronograma R. Normativo'!$AN$5:$AN$1000,$N28)="","",INDEX('Cronograma R. Normativo'!$AN$5:$AN$1000,$N28)))</f>
        <v/>
      </c>
      <c r="E28" s="56">
        <f>IF($N28="","",IF(NOT(ISNUMBER($D28)),"",IF($D28&lt;InicioCiclo,"Antes del ciclo",IF($D28&gt;=InicioCiclo+28,"Después del ciclo","Semana "&amp;(INT(($D28-InicioCiclo)/7)+1)))))</f>
        <v/>
      </c>
      <c r="F28" s="61">
        <f>IF($N28="","",IF($P28&gt;0,IF(1&lt;=SemanaActual,INDEX('Cronograma R. Normativo'!$AC$5:$AC$1000,$N28),""),IF(INDEX('Cronograma R. Normativo'!$I$5:$I$1000,$N28)="","",INDEX('Cronograma R. Normativo'!$I$5:$I$1000,$N28))))</f>
        <v/>
      </c>
      <c r="G28" s="61">
        <f>IF($N28="","",IF($P28&gt;0,IF(2&lt;=SemanaActual,INDEX('Cronograma R. Normativo'!$AD$5:$AD$1000,$N28),""),IF(INDEX('Cronograma R. Normativo'!$J$5:$J$1000,$N28)="","",INDEX('Cronograma R. Normativo'!$J$5:$J$1000,$N28))))</f>
        <v/>
      </c>
      <c r="H28" s="61">
        <f>IF($N28="","",IF($P28&gt;0,IF(3&lt;=SemanaActual,INDEX('Cronograma R. Normativo'!$AE$5:$AE$1000,$N28),""),IF(INDEX('Cronograma R. Normativo'!$K$5:$K$1000,$N28)="","",INDEX('Cronograma R. Normativo'!$K$5:$K$1000,$N28))))</f>
        <v/>
      </c>
      <c r="I28" s="61">
        <f>IF($N28="","",IF($P28&gt;0,IF(4&lt;=SemanaActual,INDEX('Cronograma R. Normativo'!$AF$5:$AF$1000,$N28),""),IF(INDEX('Cronograma R. Normativo'!$L$5:$L$1000,$N28)="","",INDEX('Cronograma R. Normativo'!$L$5:$L$1000,$N28))))</f>
        <v/>
      </c>
      <c r="J28" s="61">
        <f>IF($N28="","",INDEX('Cronograma R. Normativo'!$M$5:$M$1000,$N28))</f>
        <v/>
      </c>
      <c r="K28" s="56">
        <f>IF($N28="","",IF(N($J28)&gt;=1,"Completado",IF(AND(ISNUMBER($D28),$D28&lt;FechaRef),"Vencida",IF(N($J28)&gt;0,"En curso","Pendiente"))))</f>
        <v/>
      </c>
      <c r="L28" s="56">
        <f>IF($N28="","",INDEX('Cronograma R. Normativo'!$O$5:$O$1000,$N28)&amp;"")</f>
        <v/>
      </c>
      <c r="M28" s="62">
        <f>IF($N28="","",INDEX('Cronograma R. Normativo'!$Q$5:$Q$1000,$N28)&amp;"")</f>
        <v/>
      </c>
      <c r="N28">
        <f>IFERROR(MATCH(ROW()-4,rOrden_RN,0),"")</f>
        <v/>
      </c>
      <c r="O28">
        <f>IF($N28="","",INDEX('Cronograma R. Normativo'!$V$5:$V$1000,$N28))</f>
        <v/>
      </c>
      <c r="P28">
        <f>IF($N28="","",N(INDEX('Cronograma R. Normativo'!$W$5:$W$1000,$N28)))</f>
        <v/>
      </c>
      <c r="Q28">
        <f>IF(OR(LEFT($L28,7)="Vencida",LEFT($L28,5)="Vence"),SUMPRODUCT(--(LEFT($L$5:$L28,7)="Vencida"))+SUMPRODUCT(--(LEFT($L$5:$L28,5)="Vence")),"")</f>
        <v/>
      </c>
    </row>
    <row r="29">
      <c r="A29" s="56">
        <f>IF($N29="","",INDEX('Cronograma R. Normativo'!$A$5:$A$1000,$N29))</f>
        <v/>
      </c>
      <c r="B29" s="62">
        <f>IF($N29="","",IF($O29="Sub","      ↳  "&amp;INDEX('Cronograma R. Normativo'!$C$5:$C$1000,$N29),INDEX('Cronograma R. Normativo'!$C$5:$C$1000,$N29)&amp;""))</f>
        <v/>
      </c>
      <c r="C29" s="79">
        <f>IF($N29="","",IF(INDEX('Cronograma R. Normativo'!$AM$5:$AM$1000,$N29)="","",INDEX('Cronograma R. Normativo'!$AM$5:$AM$1000,$N29)))</f>
        <v/>
      </c>
      <c r="D29" s="79">
        <f>IF($N29="","",IF(INDEX('Cronograma R. Normativo'!$AN$5:$AN$1000,$N29)="","",INDEX('Cronograma R. Normativo'!$AN$5:$AN$1000,$N29)))</f>
        <v/>
      </c>
      <c r="E29" s="56">
        <f>IF($N29="","",IF(NOT(ISNUMBER($D29)),"",IF($D29&lt;InicioCiclo,"Antes del ciclo",IF($D29&gt;=InicioCiclo+28,"Después del ciclo","Semana "&amp;(INT(($D29-InicioCiclo)/7)+1)))))</f>
        <v/>
      </c>
      <c r="F29" s="61">
        <f>IF($N29="","",IF($P29&gt;0,IF(1&lt;=SemanaActual,INDEX('Cronograma R. Normativo'!$AC$5:$AC$1000,$N29),""),IF(INDEX('Cronograma R. Normativo'!$I$5:$I$1000,$N29)="","",INDEX('Cronograma R. Normativo'!$I$5:$I$1000,$N29))))</f>
        <v/>
      </c>
      <c r="G29" s="61">
        <f>IF($N29="","",IF($P29&gt;0,IF(2&lt;=SemanaActual,INDEX('Cronograma R. Normativo'!$AD$5:$AD$1000,$N29),""),IF(INDEX('Cronograma R. Normativo'!$J$5:$J$1000,$N29)="","",INDEX('Cronograma R. Normativo'!$J$5:$J$1000,$N29))))</f>
        <v/>
      </c>
      <c r="H29" s="61">
        <f>IF($N29="","",IF($P29&gt;0,IF(3&lt;=SemanaActual,INDEX('Cronograma R. Normativo'!$AE$5:$AE$1000,$N29),""),IF(INDEX('Cronograma R. Normativo'!$K$5:$K$1000,$N29)="","",INDEX('Cronograma R. Normativo'!$K$5:$K$1000,$N29))))</f>
        <v/>
      </c>
      <c r="I29" s="61">
        <f>IF($N29="","",IF($P29&gt;0,IF(4&lt;=SemanaActual,INDEX('Cronograma R. Normativo'!$AF$5:$AF$1000,$N29),""),IF(INDEX('Cronograma R. Normativo'!$L$5:$L$1000,$N29)="","",INDEX('Cronograma R. Normativo'!$L$5:$L$1000,$N29))))</f>
        <v/>
      </c>
      <c r="J29" s="61">
        <f>IF($N29="","",INDEX('Cronograma R. Normativo'!$M$5:$M$1000,$N29))</f>
        <v/>
      </c>
      <c r="K29" s="56">
        <f>IF($N29="","",IF(N($J29)&gt;=1,"Completado",IF(AND(ISNUMBER($D29),$D29&lt;FechaRef),"Vencida",IF(N($J29)&gt;0,"En curso","Pendiente"))))</f>
        <v/>
      </c>
      <c r="L29" s="56">
        <f>IF($N29="","",INDEX('Cronograma R. Normativo'!$O$5:$O$1000,$N29)&amp;"")</f>
        <v/>
      </c>
      <c r="M29" s="62">
        <f>IF($N29="","",INDEX('Cronograma R. Normativo'!$Q$5:$Q$1000,$N29)&amp;"")</f>
        <v/>
      </c>
      <c r="N29">
        <f>IFERROR(MATCH(ROW()-4,rOrden_RN,0),"")</f>
        <v/>
      </c>
      <c r="O29">
        <f>IF($N29="","",INDEX('Cronograma R. Normativo'!$V$5:$V$1000,$N29))</f>
        <v/>
      </c>
      <c r="P29">
        <f>IF($N29="","",N(INDEX('Cronograma R. Normativo'!$W$5:$W$1000,$N29)))</f>
        <v/>
      </c>
      <c r="Q29">
        <f>IF(OR(LEFT($L29,7)="Vencida",LEFT($L29,5)="Vence"),SUMPRODUCT(--(LEFT($L$5:$L29,7)="Vencida"))+SUMPRODUCT(--(LEFT($L$5:$L29,5)="Vence")),"")</f>
        <v/>
      </c>
    </row>
    <row r="30">
      <c r="A30" s="56">
        <f>IF($N30="","",INDEX('Cronograma R. Normativo'!$A$5:$A$1000,$N30))</f>
        <v/>
      </c>
      <c r="B30" s="62">
        <f>IF($N30="","",IF($O30="Sub","      ↳  "&amp;INDEX('Cronograma R. Normativo'!$C$5:$C$1000,$N30),INDEX('Cronograma R. Normativo'!$C$5:$C$1000,$N30)&amp;""))</f>
        <v/>
      </c>
      <c r="C30" s="79">
        <f>IF($N30="","",IF(INDEX('Cronograma R. Normativo'!$AM$5:$AM$1000,$N30)="","",INDEX('Cronograma R. Normativo'!$AM$5:$AM$1000,$N30)))</f>
        <v/>
      </c>
      <c r="D30" s="79">
        <f>IF($N30="","",IF(INDEX('Cronograma R. Normativo'!$AN$5:$AN$1000,$N30)="","",INDEX('Cronograma R. Normativo'!$AN$5:$AN$1000,$N30)))</f>
        <v/>
      </c>
      <c r="E30" s="56">
        <f>IF($N30="","",IF(NOT(ISNUMBER($D30)),"",IF($D30&lt;InicioCiclo,"Antes del ciclo",IF($D30&gt;=InicioCiclo+28,"Después del ciclo","Semana "&amp;(INT(($D30-InicioCiclo)/7)+1)))))</f>
        <v/>
      </c>
      <c r="F30" s="61">
        <f>IF($N30="","",IF($P30&gt;0,IF(1&lt;=SemanaActual,INDEX('Cronograma R. Normativo'!$AC$5:$AC$1000,$N30),""),IF(INDEX('Cronograma R. Normativo'!$I$5:$I$1000,$N30)="","",INDEX('Cronograma R. Normativo'!$I$5:$I$1000,$N30))))</f>
        <v/>
      </c>
      <c r="G30" s="61">
        <f>IF($N30="","",IF($P30&gt;0,IF(2&lt;=SemanaActual,INDEX('Cronograma R. Normativo'!$AD$5:$AD$1000,$N30),""),IF(INDEX('Cronograma R. Normativo'!$J$5:$J$1000,$N30)="","",INDEX('Cronograma R. Normativo'!$J$5:$J$1000,$N30))))</f>
        <v/>
      </c>
      <c r="H30" s="61">
        <f>IF($N30="","",IF($P30&gt;0,IF(3&lt;=SemanaActual,INDEX('Cronograma R. Normativo'!$AE$5:$AE$1000,$N30),""),IF(INDEX('Cronograma R. Normativo'!$K$5:$K$1000,$N30)="","",INDEX('Cronograma R. Normativo'!$K$5:$K$1000,$N30))))</f>
        <v/>
      </c>
      <c r="I30" s="61">
        <f>IF($N30="","",IF($P30&gt;0,IF(4&lt;=SemanaActual,INDEX('Cronograma R. Normativo'!$AF$5:$AF$1000,$N30),""),IF(INDEX('Cronograma R. Normativo'!$L$5:$L$1000,$N30)="","",INDEX('Cronograma R. Normativo'!$L$5:$L$1000,$N30))))</f>
        <v/>
      </c>
      <c r="J30" s="61">
        <f>IF($N30="","",INDEX('Cronograma R. Normativo'!$M$5:$M$1000,$N30))</f>
        <v/>
      </c>
      <c r="K30" s="56">
        <f>IF($N30="","",IF(N($J30)&gt;=1,"Completado",IF(AND(ISNUMBER($D30),$D30&lt;FechaRef),"Vencida",IF(N($J30)&gt;0,"En curso","Pendiente"))))</f>
        <v/>
      </c>
      <c r="L30" s="56">
        <f>IF($N30="","",INDEX('Cronograma R. Normativo'!$O$5:$O$1000,$N30)&amp;"")</f>
        <v/>
      </c>
      <c r="M30" s="62">
        <f>IF($N30="","",INDEX('Cronograma R. Normativo'!$Q$5:$Q$1000,$N30)&amp;"")</f>
        <v/>
      </c>
      <c r="N30">
        <f>IFERROR(MATCH(ROW()-4,rOrden_RN,0),"")</f>
        <v/>
      </c>
      <c r="O30">
        <f>IF($N30="","",INDEX('Cronograma R. Normativo'!$V$5:$V$1000,$N30))</f>
        <v/>
      </c>
      <c r="P30">
        <f>IF($N30="","",N(INDEX('Cronograma R. Normativo'!$W$5:$W$1000,$N30)))</f>
        <v/>
      </c>
      <c r="Q30">
        <f>IF(OR(LEFT($L30,7)="Vencida",LEFT($L30,5)="Vence"),SUMPRODUCT(--(LEFT($L$5:$L30,7)="Vencida"))+SUMPRODUCT(--(LEFT($L$5:$L30,5)="Vence")),"")</f>
        <v/>
      </c>
    </row>
    <row r="31">
      <c r="A31" s="56">
        <f>IF($N31="","",INDEX('Cronograma R. Normativo'!$A$5:$A$1000,$N31))</f>
        <v/>
      </c>
      <c r="B31" s="62">
        <f>IF($N31="","",IF($O31="Sub","      ↳  "&amp;INDEX('Cronograma R. Normativo'!$C$5:$C$1000,$N31),INDEX('Cronograma R. Normativo'!$C$5:$C$1000,$N31)&amp;""))</f>
        <v/>
      </c>
      <c r="C31" s="79">
        <f>IF($N31="","",IF(INDEX('Cronograma R. Normativo'!$AM$5:$AM$1000,$N31)="","",INDEX('Cronograma R. Normativo'!$AM$5:$AM$1000,$N31)))</f>
        <v/>
      </c>
      <c r="D31" s="79">
        <f>IF($N31="","",IF(INDEX('Cronograma R. Normativo'!$AN$5:$AN$1000,$N31)="","",INDEX('Cronograma R. Normativo'!$AN$5:$AN$1000,$N31)))</f>
        <v/>
      </c>
      <c r="E31" s="56">
        <f>IF($N31="","",IF(NOT(ISNUMBER($D31)),"",IF($D31&lt;InicioCiclo,"Antes del ciclo",IF($D31&gt;=InicioCiclo+28,"Después del ciclo","Semana "&amp;(INT(($D31-InicioCiclo)/7)+1)))))</f>
        <v/>
      </c>
      <c r="F31" s="61">
        <f>IF($N31="","",IF($P31&gt;0,IF(1&lt;=SemanaActual,INDEX('Cronograma R. Normativo'!$AC$5:$AC$1000,$N31),""),IF(INDEX('Cronograma R. Normativo'!$I$5:$I$1000,$N31)="","",INDEX('Cronograma R. Normativo'!$I$5:$I$1000,$N31))))</f>
        <v/>
      </c>
      <c r="G31" s="61">
        <f>IF($N31="","",IF($P31&gt;0,IF(2&lt;=SemanaActual,INDEX('Cronograma R. Normativo'!$AD$5:$AD$1000,$N31),""),IF(INDEX('Cronograma R. Normativo'!$J$5:$J$1000,$N31)="","",INDEX('Cronograma R. Normativo'!$J$5:$J$1000,$N31))))</f>
        <v/>
      </c>
      <c r="H31" s="61">
        <f>IF($N31="","",IF($P31&gt;0,IF(3&lt;=SemanaActual,INDEX('Cronograma R. Normativo'!$AE$5:$AE$1000,$N31),""),IF(INDEX('Cronograma R. Normativo'!$K$5:$K$1000,$N31)="","",INDEX('Cronograma R. Normativo'!$K$5:$K$1000,$N31))))</f>
        <v/>
      </c>
      <c r="I31" s="61">
        <f>IF($N31="","",IF($P31&gt;0,IF(4&lt;=SemanaActual,INDEX('Cronograma R. Normativo'!$AF$5:$AF$1000,$N31),""),IF(INDEX('Cronograma R. Normativo'!$L$5:$L$1000,$N31)="","",INDEX('Cronograma R. Normativo'!$L$5:$L$1000,$N31))))</f>
        <v/>
      </c>
      <c r="J31" s="61">
        <f>IF($N31="","",INDEX('Cronograma R. Normativo'!$M$5:$M$1000,$N31))</f>
        <v/>
      </c>
      <c r="K31" s="56">
        <f>IF($N31="","",IF(N($J31)&gt;=1,"Completado",IF(AND(ISNUMBER($D31),$D31&lt;FechaRef),"Vencida",IF(N($J31)&gt;0,"En curso","Pendiente"))))</f>
        <v/>
      </c>
      <c r="L31" s="56">
        <f>IF($N31="","",INDEX('Cronograma R. Normativo'!$O$5:$O$1000,$N31)&amp;"")</f>
        <v/>
      </c>
      <c r="M31" s="62">
        <f>IF($N31="","",INDEX('Cronograma R. Normativo'!$Q$5:$Q$1000,$N31)&amp;"")</f>
        <v/>
      </c>
      <c r="N31">
        <f>IFERROR(MATCH(ROW()-4,rOrden_RN,0),"")</f>
        <v/>
      </c>
      <c r="O31">
        <f>IF($N31="","",INDEX('Cronograma R. Normativo'!$V$5:$V$1000,$N31))</f>
        <v/>
      </c>
      <c r="P31">
        <f>IF($N31="","",N(INDEX('Cronograma R. Normativo'!$W$5:$W$1000,$N31)))</f>
        <v/>
      </c>
      <c r="Q31">
        <f>IF(OR(LEFT($L31,7)="Vencida",LEFT($L31,5)="Vence"),SUMPRODUCT(--(LEFT($L$5:$L31,7)="Vencida"))+SUMPRODUCT(--(LEFT($L$5:$L31,5)="Vence")),"")</f>
        <v/>
      </c>
    </row>
    <row r="32">
      <c r="A32" s="56">
        <f>IF($N32="","",INDEX('Cronograma R. Normativo'!$A$5:$A$1000,$N32))</f>
        <v/>
      </c>
      <c r="B32" s="62">
        <f>IF($N32="","",IF($O32="Sub","      ↳  "&amp;INDEX('Cronograma R. Normativo'!$C$5:$C$1000,$N32),INDEX('Cronograma R. Normativo'!$C$5:$C$1000,$N32)&amp;""))</f>
        <v/>
      </c>
      <c r="C32" s="79">
        <f>IF($N32="","",IF(INDEX('Cronograma R. Normativo'!$AM$5:$AM$1000,$N32)="","",INDEX('Cronograma R. Normativo'!$AM$5:$AM$1000,$N32)))</f>
        <v/>
      </c>
      <c r="D32" s="79">
        <f>IF($N32="","",IF(INDEX('Cronograma R. Normativo'!$AN$5:$AN$1000,$N32)="","",INDEX('Cronograma R. Normativo'!$AN$5:$AN$1000,$N32)))</f>
        <v/>
      </c>
      <c r="E32" s="56">
        <f>IF($N32="","",IF(NOT(ISNUMBER($D32)),"",IF($D32&lt;InicioCiclo,"Antes del ciclo",IF($D32&gt;=InicioCiclo+28,"Después del ciclo","Semana "&amp;(INT(($D32-InicioCiclo)/7)+1)))))</f>
        <v/>
      </c>
      <c r="F32" s="61">
        <f>IF($N32="","",IF($P32&gt;0,IF(1&lt;=SemanaActual,INDEX('Cronograma R. Normativo'!$AC$5:$AC$1000,$N32),""),IF(INDEX('Cronograma R. Normativo'!$I$5:$I$1000,$N32)="","",INDEX('Cronograma R. Normativo'!$I$5:$I$1000,$N32))))</f>
        <v/>
      </c>
      <c r="G32" s="61">
        <f>IF($N32="","",IF($P32&gt;0,IF(2&lt;=SemanaActual,INDEX('Cronograma R. Normativo'!$AD$5:$AD$1000,$N32),""),IF(INDEX('Cronograma R. Normativo'!$J$5:$J$1000,$N32)="","",INDEX('Cronograma R. Normativo'!$J$5:$J$1000,$N32))))</f>
        <v/>
      </c>
      <c r="H32" s="61">
        <f>IF($N32="","",IF($P32&gt;0,IF(3&lt;=SemanaActual,INDEX('Cronograma R. Normativo'!$AE$5:$AE$1000,$N32),""),IF(INDEX('Cronograma R. Normativo'!$K$5:$K$1000,$N32)="","",INDEX('Cronograma R. Normativo'!$K$5:$K$1000,$N32))))</f>
        <v/>
      </c>
      <c r="I32" s="61">
        <f>IF($N32="","",IF($P32&gt;0,IF(4&lt;=SemanaActual,INDEX('Cronograma R. Normativo'!$AF$5:$AF$1000,$N32),""),IF(INDEX('Cronograma R. Normativo'!$L$5:$L$1000,$N32)="","",INDEX('Cronograma R. Normativo'!$L$5:$L$1000,$N32))))</f>
        <v/>
      </c>
      <c r="J32" s="61">
        <f>IF($N32="","",INDEX('Cronograma R. Normativo'!$M$5:$M$1000,$N32))</f>
        <v/>
      </c>
      <c r="K32" s="56">
        <f>IF($N32="","",IF(N($J32)&gt;=1,"Completado",IF(AND(ISNUMBER($D32),$D32&lt;FechaRef),"Vencida",IF(N($J32)&gt;0,"En curso","Pendiente"))))</f>
        <v/>
      </c>
      <c r="L32" s="56">
        <f>IF($N32="","",INDEX('Cronograma R. Normativo'!$O$5:$O$1000,$N32)&amp;"")</f>
        <v/>
      </c>
      <c r="M32" s="62">
        <f>IF($N32="","",INDEX('Cronograma R. Normativo'!$Q$5:$Q$1000,$N32)&amp;"")</f>
        <v/>
      </c>
      <c r="N32">
        <f>IFERROR(MATCH(ROW()-4,rOrden_RN,0),"")</f>
        <v/>
      </c>
      <c r="O32">
        <f>IF($N32="","",INDEX('Cronograma R. Normativo'!$V$5:$V$1000,$N32))</f>
        <v/>
      </c>
      <c r="P32">
        <f>IF($N32="","",N(INDEX('Cronograma R. Normativo'!$W$5:$W$1000,$N32)))</f>
        <v/>
      </c>
      <c r="Q32">
        <f>IF(OR(LEFT($L32,7)="Vencida",LEFT($L32,5)="Vence"),SUMPRODUCT(--(LEFT($L$5:$L32,7)="Vencida"))+SUMPRODUCT(--(LEFT($L$5:$L32,5)="Vence")),"")</f>
        <v/>
      </c>
    </row>
    <row r="33">
      <c r="A33" s="56">
        <f>IF($N33="","",INDEX('Cronograma R. Normativo'!$A$5:$A$1000,$N33))</f>
        <v/>
      </c>
      <c r="B33" s="62">
        <f>IF($N33="","",IF($O33="Sub","      ↳  "&amp;INDEX('Cronograma R. Normativo'!$C$5:$C$1000,$N33),INDEX('Cronograma R. Normativo'!$C$5:$C$1000,$N33)&amp;""))</f>
        <v/>
      </c>
      <c r="C33" s="79">
        <f>IF($N33="","",IF(INDEX('Cronograma R. Normativo'!$AM$5:$AM$1000,$N33)="","",INDEX('Cronograma R. Normativo'!$AM$5:$AM$1000,$N33)))</f>
        <v/>
      </c>
      <c r="D33" s="79">
        <f>IF($N33="","",IF(INDEX('Cronograma R. Normativo'!$AN$5:$AN$1000,$N33)="","",INDEX('Cronograma R. Normativo'!$AN$5:$AN$1000,$N33)))</f>
        <v/>
      </c>
      <c r="E33" s="56">
        <f>IF($N33="","",IF(NOT(ISNUMBER($D33)),"",IF($D33&lt;InicioCiclo,"Antes del ciclo",IF($D33&gt;=InicioCiclo+28,"Después del ciclo","Semana "&amp;(INT(($D33-InicioCiclo)/7)+1)))))</f>
        <v/>
      </c>
      <c r="F33" s="61">
        <f>IF($N33="","",IF($P33&gt;0,IF(1&lt;=SemanaActual,INDEX('Cronograma R. Normativo'!$AC$5:$AC$1000,$N33),""),IF(INDEX('Cronograma R. Normativo'!$I$5:$I$1000,$N33)="","",INDEX('Cronograma R. Normativo'!$I$5:$I$1000,$N33))))</f>
        <v/>
      </c>
      <c r="G33" s="61">
        <f>IF($N33="","",IF($P33&gt;0,IF(2&lt;=SemanaActual,INDEX('Cronograma R. Normativo'!$AD$5:$AD$1000,$N33),""),IF(INDEX('Cronograma R. Normativo'!$J$5:$J$1000,$N33)="","",INDEX('Cronograma R. Normativo'!$J$5:$J$1000,$N33))))</f>
        <v/>
      </c>
      <c r="H33" s="61">
        <f>IF($N33="","",IF($P33&gt;0,IF(3&lt;=SemanaActual,INDEX('Cronograma R. Normativo'!$AE$5:$AE$1000,$N33),""),IF(INDEX('Cronograma R. Normativo'!$K$5:$K$1000,$N33)="","",INDEX('Cronograma R. Normativo'!$K$5:$K$1000,$N33))))</f>
        <v/>
      </c>
      <c r="I33" s="61">
        <f>IF($N33="","",IF($P33&gt;0,IF(4&lt;=SemanaActual,INDEX('Cronograma R. Normativo'!$AF$5:$AF$1000,$N33),""),IF(INDEX('Cronograma R. Normativo'!$L$5:$L$1000,$N33)="","",INDEX('Cronograma R. Normativo'!$L$5:$L$1000,$N33))))</f>
        <v/>
      </c>
      <c r="J33" s="61">
        <f>IF($N33="","",INDEX('Cronograma R. Normativo'!$M$5:$M$1000,$N33))</f>
        <v/>
      </c>
      <c r="K33" s="56">
        <f>IF($N33="","",IF(N($J33)&gt;=1,"Completado",IF(AND(ISNUMBER($D33),$D33&lt;FechaRef),"Vencida",IF(N($J33)&gt;0,"En curso","Pendiente"))))</f>
        <v/>
      </c>
      <c r="L33" s="56">
        <f>IF($N33="","",INDEX('Cronograma R. Normativo'!$O$5:$O$1000,$N33)&amp;"")</f>
        <v/>
      </c>
      <c r="M33" s="62">
        <f>IF($N33="","",INDEX('Cronograma R. Normativo'!$Q$5:$Q$1000,$N33)&amp;"")</f>
        <v/>
      </c>
      <c r="N33">
        <f>IFERROR(MATCH(ROW()-4,rOrden_RN,0),"")</f>
        <v/>
      </c>
      <c r="O33">
        <f>IF($N33="","",INDEX('Cronograma R. Normativo'!$V$5:$V$1000,$N33))</f>
        <v/>
      </c>
      <c r="P33">
        <f>IF($N33="","",N(INDEX('Cronograma R. Normativo'!$W$5:$W$1000,$N33)))</f>
        <v/>
      </c>
      <c r="Q33">
        <f>IF(OR(LEFT($L33,7)="Vencida",LEFT($L33,5)="Vence"),SUMPRODUCT(--(LEFT($L$5:$L33,7)="Vencida"))+SUMPRODUCT(--(LEFT($L$5:$L33,5)="Vence")),"")</f>
        <v/>
      </c>
    </row>
    <row r="34">
      <c r="A34" s="56">
        <f>IF($N34="","",INDEX('Cronograma R. Normativo'!$A$5:$A$1000,$N34))</f>
        <v/>
      </c>
      <c r="B34" s="62">
        <f>IF($N34="","",IF($O34="Sub","      ↳  "&amp;INDEX('Cronograma R. Normativo'!$C$5:$C$1000,$N34),INDEX('Cronograma R. Normativo'!$C$5:$C$1000,$N34)&amp;""))</f>
        <v/>
      </c>
      <c r="C34" s="79">
        <f>IF($N34="","",IF(INDEX('Cronograma R. Normativo'!$AM$5:$AM$1000,$N34)="","",INDEX('Cronograma R. Normativo'!$AM$5:$AM$1000,$N34)))</f>
        <v/>
      </c>
      <c r="D34" s="79">
        <f>IF($N34="","",IF(INDEX('Cronograma R. Normativo'!$AN$5:$AN$1000,$N34)="","",INDEX('Cronograma R. Normativo'!$AN$5:$AN$1000,$N34)))</f>
        <v/>
      </c>
      <c r="E34" s="56">
        <f>IF($N34="","",IF(NOT(ISNUMBER($D34)),"",IF($D34&lt;InicioCiclo,"Antes del ciclo",IF($D34&gt;=InicioCiclo+28,"Después del ciclo","Semana "&amp;(INT(($D34-InicioCiclo)/7)+1)))))</f>
        <v/>
      </c>
      <c r="F34" s="61">
        <f>IF($N34="","",IF($P34&gt;0,IF(1&lt;=SemanaActual,INDEX('Cronograma R. Normativo'!$AC$5:$AC$1000,$N34),""),IF(INDEX('Cronograma R. Normativo'!$I$5:$I$1000,$N34)="","",INDEX('Cronograma R. Normativo'!$I$5:$I$1000,$N34))))</f>
        <v/>
      </c>
      <c r="G34" s="61">
        <f>IF($N34="","",IF($P34&gt;0,IF(2&lt;=SemanaActual,INDEX('Cronograma R. Normativo'!$AD$5:$AD$1000,$N34),""),IF(INDEX('Cronograma R. Normativo'!$J$5:$J$1000,$N34)="","",INDEX('Cronograma R. Normativo'!$J$5:$J$1000,$N34))))</f>
        <v/>
      </c>
      <c r="H34" s="61">
        <f>IF($N34="","",IF($P34&gt;0,IF(3&lt;=SemanaActual,INDEX('Cronograma R. Normativo'!$AE$5:$AE$1000,$N34),""),IF(INDEX('Cronograma R. Normativo'!$K$5:$K$1000,$N34)="","",INDEX('Cronograma R. Normativo'!$K$5:$K$1000,$N34))))</f>
        <v/>
      </c>
      <c r="I34" s="61">
        <f>IF($N34="","",IF($P34&gt;0,IF(4&lt;=SemanaActual,INDEX('Cronograma R. Normativo'!$AF$5:$AF$1000,$N34),""),IF(INDEX('Cronograma R. Normativo'!$L$5:$L$1000,$N34)="","",INDEX('Cronograma R. Normativo'!$L$5:$L$1000,$N34))))</f>
        <v/>
      </c>
      <c r="J34" s="61">
        <f>IF($N34="","",INDEX('Cronograma R. Normativo'!$M$5:$M$1000,$N34))</f>
        <v/>
      </c>
      <c r="K34" s="56">
        <f>IF($N34="","",IF(N($J34)&gt;=1,"Completado",IF(AND(ISNUMBER($D34),$D34&lt;FechaRef),"Vencida",IF(N($J34)&gt;0,"En curso","Pendiente"))))</f>
        <v/>
      </c>
      <c r="L34" s="56">
        <f>IF($N34="","",INDEX('Cronograma R. Normativo'!$O$5:$O$1000,$N34)&amp;"")</f>
        <v/>
      </c>
      <c r="M34" s="62">
        <f>IF($N34="","",INDEX('Cronograma R. Normativo'!$Q$5:$Q$1000,$N34)&amp;"")</f>
        <v/>
      </c>
      <c r="N34">
        <f>IFERROR(MATCH(ROW()-4,rOrden_RN,0),"")</f>
        <v/>
      </c>
      <c r="O34">
        <f>IF($N34="","",INDEX('Cronograma R. Normativo'!$V$5:$V$1000,$N34))</f>
        <v/>
      </c>
      <c r="P34">
        <f>IF($N34="","",N(INDEX('Cronograma R. Normativo'!$W$5:$W$1000,$N34)))</f>
        <v/>
      </c>
      <c r="Q34">
        <f>IF(OR(LEFT($L34,7)="Vencida",LEFT($L34,5)="Vence"),SUMPRODUCT(--(LEFT($L$5:$L34,7)="Vencida"))+SUMPRODUCT(--(LEFT($L$5:$L34,5)="Vence")),"")</f>
        <v/>
      </c>
    </row>
    <row r="35">
      <c r="A35" s="56">
        <f>IF($N35="","",INDEX('Cronograma R. Normativo'!$A$5:$A$1000,$N35))</f>
        <v/>
      </c>
      <c r="B35" s="62">
        <f>IF($N35="","",IF($O35="Sub","      ↳  "&amp;INDEX('Cronograma R. Normativo'!$C$5:$C$1000,$N35),INDEX('Cronograma R. Normativo'!$C$5:$C$1000,$N35)&amp;""))</f>
        <v/>
      </c>
      <c r="C35" s="79">
        <f>IF($N35="","",IF(INDEX('Cronograma R. Normativo'!$AM$5:$AM$1000,$N35)="","",INDEX('Cronograma R. Normativo'!$AM$5:$AM$1000,$N35)))</f>
        <v/>
      </c>
      <c r="D35" s="79">
        <f>IF($N35="","",IF(INDEX('Cronograma R. Normativo'!$AN$5:$AN$1000,$N35)="","",INDEX('Cronograma R. Normativo'!$AN$5:$AN$1000,$N35)))</f>
        <v/>
      </c>
      <c r="E35" s="56">
        <f>IF($N35="","",IF(NOT(ISNUMBER($D35)),"",IF($D35&lt;InicioCiclo,"Antes del ciclo",IF($D35&gt;=InicioCiclo+28,"Después del ciclo","Semana "&amp;(INT(($D35-InicioCiclo)/7)+1)))))</f>
        <v/>
      </c>
      <c r="F35" s="61">
        <f>IF($N35="","",IF($P35&gt;0,IF(1&lt;=SemanaActual,INDEX('Cronograma R. Normativo'!$AC$5:$AC$1000,$N35),""),IF(INDEX('Cronograma R. Normativo'!$I$5:$I$1000,$N35)="","",INDEX('Cronograma R. Normativo'!$I$5:$I$1000,$N35))))</f>
        <v/>
      </c>
      <c r="G35" s="61">
        <f>IF($N35="","",IF($P35&gt;0,IF(2&lt;=SemanaActual,INDEX('Cronograma R. Normativo'!$AD$5:$AD$1000,$N35),""),IF(INDEX('Cronograma R. Normativo'!$J$5:$J$1000,$N35)="","",INDEX('Cronograma R. Normativo'!$J$5:$J$1000,$N35))))</f>
        <v/>
      </c>
      <c r="H35" s="61">
        <f>IF($N35="","",IF($P35&gt;0,IF(3&lt;=SemanaActual,INDEX('Cronograma R. Normativo'!$AE$5:$AE$1000,$N35),""),IF(INDEX('Cronograma R. Normativo'!$K$5:$K$1000,$N35)="","",INDEX('Cronograma R. Normativo'!$K$5:$K$1000,$N35))))</f>
        <v/>
      </c>
      <c r="I35" s="61">
        <f>IF($N35="","",IF($P35&gt;0,IF(4&lt;=SemanaActual,INDEX('Cronograma R. Normativo'!$AF$5:$AF$1000,$N35),""),IF(INDEX('Cronograma R. Normativo'!$L$5:$L$1000,$N35)="","",INDEX('Cronograma R. Normativo'!$L$5:$L$1000,$N35))))</f>
        <v/>
      </c>
      <c r="J35" s="61">
        <f>IF($N35="","",INDEX('Cronograma R. Normativo'!$M$5:$M$1000,$N35))</f>
        <v/>
      </c>
      <c r="K35" s="56">
        <f>IF($N35="","",IF(N($J35)&gt;=1,"Completado",IF(AND(ISNUMBER($D35),$D35&lt;FechaRef),"Vencida",IF(N($J35)&gt;0,"En curso","Pendiente"))))</f>
        <v/>
      </c>
      <c r="L35" s="56">
        <f>IF($N35="","",INDEX('Cronograma R. Normativo'!$O$5:$O$1000,$N35)&amp;"")</f>
        <v/>
      </c>
      <c r="M35" s="62">
        <f>IF($N35="","",INDEX('Cronograma R. Normativo'!$Q$5:$Q$1000,$N35)&amp;"")</f>
        <v/>
      </c>
      <c r="N35">
        <f>IFERROR(MATCH(ROW()-4,rOrden_RN,0),"")</f>
        <v/>
      </c>
      <c r="O35">
        <f>IF($N35="","",INDEX('Cronograma R. Normativo'!$V$5:$V$1000,$N35))</f>
        <v/>
      </c>
      <c r="P35">
        <f>IF($N35="","",N(INDEX('Cronograma R. Normativo'!$W$5:$W$1000,$N35)))</f>
        <v/>
      </c>
      <c r="Q35">
        <f>IF(OR(LEFT($L35,7)="Vencida",LEFT($L35,5)="Vence"),SUMPRODUCT(--(LEFT($L$5:$L35,7)="Vencida"))+SUMPRODUCT(--(LEFT($L$5:$L35,5)="Vence")),"")</f>
        <v/>
      </c>
    </row>
    <row r="36">
      <c r="A36" s="56">
        <f>IF($N36="","",INDEX('Cronograma R. Normativo'!$A$5:$A$1000,$N36))</f>
        <v/>
      </c>
      <c r="B36" s="62">
        <f>IF($N36="","",IF($O36="Sub","      ↳  "&amp;INDEX('Cronograma R. Normativo'!$C$5:$C$1000,$N36),INDEX('Cronograma R. Normativo'!$C$5:$C$1000,$N36)&amp;""))</f>
        <v/>
      </c>
      <c r="C36" s="79">
        <f>IF($N36="","",IF(INDEX('Cronograma R. Normativo'!$AM$5:$AM$1000,$N36)="","",INDEX('Cronograma R. Normativo'!$AM$5:$AM$1000,$N36)))</f>
        <v/>
      </c>
      <c r="D36" s="79">
        <f>IF($N36="","",IF(INDEX('Cronograma R. Normativo'!$AN$5:$AN$1000,$N36)="","",INDEX('Cronograma R. Normativo'!$AN$5:$AN$1000,$N36)))</f>
        <v/>
      </c>
      <c r="E36" s="56">
        <f>IF($N36="","",IF(NOT(ISNUMBER($D36)),"",IF($D36&lt;InicioCiclo,"Antes del ciclo",IF($D36&gt;=InicioCiclo+28,"Después del ciclo","Semana "&amp;(INT(($D36-InicioCiclo)/7)+1)))))</f>
        <v/>
      </c>
      <c r="F36" s="61">
        <f>IF($N36="","",IF($P36&gt;0,IF(1&lt;=SemanaActual,INDEX('Cronograma R. Normativo'!$AC$5:$AC$1000,$N36),""),IF(INDEX('Cronograma R. Normativo'!$I$5:$I$1000,$N36)="","",INDEX('Cronograma R. Normativo'!$I$5:$I$1000,$N36))))</f>
        <v/>
      </c>
      <c r="G36" s="61">
        <f>IF($N36="","",IF($P36&gt;0,IF(2&lt;=SemanaActual,INDEX('Cronograma R. Normativo'!$AD$5:$AD$1000,$N36),""),IF(INDEX('Cronograma R. Normativo'!$J$5:$J$1000,$N36)="","",INDEX('Cronograma R. Normativo'!$J$5:$J$1000,$N36))))</f>
        <v/>
      </c>
      <c r="H36" s="61">
        <f>IF($N36="","",IF($P36&gt;0,IF(3&lt;=SemanaActual,INDEX('Cronograma R. Normativo'!$AE$5:$AE$1000,$N36),""),IF(INDEX('Cronograma R. Normativo'!$K$5:$K$1000,$N36)="","",INDEX('Cronograma R. Normativo'!$K$5:$K$1000,$N36))))</f>
        <v/>
      </c>
      <c r="I36" s="61">
        <f>IF($N36="","",IF($P36&gt;0,IF(4&lt;=SemanaActual,INDEX('Cronograma R. Normativo'!$AF$5:$AF$1000,$N36),""),IF(INDEX('Cronograma R. Normativo'!$L$5:$L$1000,$N36)="","",INDEX('Cronograma R. Normativo'!$L$5:$L$1000,$N36))))</f>
        <v/>
      </c>
      <c r="J36" s="61">
        <f>IF($N36="","",INDEX('Cronograma R. Normativo'!$M$5:$M$1000,$N36))</f>
        <v/>
      </c>
      <c r="K36" s="56">
        <f>IF($N36="","",IF(N($J36)&gt;=1,"Completado",IF(AND(ISNUMBER($D36),$D36&lt;FechaRef),"Vencida",IF(N($J36)&gt;0,"En curso","Pendiente"))))</f>
        <v/>
      </c>
      <c r="L36" s="56">
        <f>IF($N36="","",INDEX('Cronograma R. Normativo'!$O$5:$O$1000,$N36)&amp;"")</f>
        <v/>
      </c>
      <c r="M36" s="62">
        <f>IF($N36="","",INDEX('Cronograma R. Normativo'!$Q$5:$Q$1000,$N36)&amp;"")</f>
        <v/>
      </c>
      <c r="N36">
        <f>IFERROR(MATCH(ROW()-4,rOrden_RN,0),"")</f>
        <v/>
      </c>
      <c r="O36">
        <f>IF($N36="","",INDEX('Cronograma R. Normativo'!$V$5:$V$1000,$N36))</f>
        <v/>
      </c>
      <c r="P36">
        <f>IF($N36="","",N(INDEX('Cronograma R. Normativo'!$W$5:$W$1000,$N36)))</f>
        <v/>
      </c>
      <c r="Q36">
        <f>IF(OR(LEFT($L36,7)="Vencida",LEFT($L36,5)="Vence"),SUMPRODUCT(--(LEFT($L$5:$L36,7)="Vencida"))+SUMPRODUCT(--(LEFT($L$5:$L36,5)="Vence")),"")</f>
        <v/>
      </c>
    </row>
    <row r="37">
      <c r="A37" s="56">
        <f>IF($N37="","",INDEX('Cronograma R. Normativo'!$A$5:$A$1000,$N37))</f>
        <v/>
      </c>
      <c r="B37" s="62">
        <f>IF($N37="","",IF($O37="Sub","      ↳  "&amp;INDEX('Cronograma R. Normativo'!$C$5:$C$1000,$N37),INDEX('Cronograma R. Normativo'!$C$5:$C$1000,$N37)&amp;""))</f>
        <v/>
      </c>
      <c r="C37" s="79">
        <f>IF($N37="","",IF(INDEX('Cronograma R. Normativo'!$AM$5:$AM$1000,$N37)="","",INDEX('Cronograma R. Normativo'!$AM$5:$AM$1000,$N37)))</f>
        <v/>
      </c>
      <c r="D37" s="79">
        <f>IF($N37="","",IF(INDEX('Cronograma R. Normativo'!$AN$5:$AN$1000,$N37)="","",INDEX('Cronograma R. Normativo'!$AN$5:$AN$1000,$N37)))</f>
        <v/>
      </c>
      <c r="E37" s="56">
        <f>IF($N37="","",IF(NOT(ISNUMBER($D37)),"",IF($D37&lt;InicioCiclo,"Antes del ciclo",IF($D37&gt;=InicioCiclo+28,"Después del ciclo","Semana "&amp;(INT(($D37-InicioCiclo)/7)+1)))))</f>
        <v/>
      </c>
      <c r="F37" s="61">
        <f>IF($N37="","",IF($P37&gt;0,IF(1&lt;=SemanaActual,INDEX('Cronograma R. Normativo'!$AC$5:$AC$1000,$N37),""),IF(INDEX('Cronograma R. Normativo'!$I$5:$I$1000,$N37)="","",INDEX('Cronograma R. Normativo'!$I$5:$I$1000,$N37))))</f>
        <v/>
      </c>
      <c r="G37" s="61">
        <f>IF($N37="","",IF($P37&gt;0,IF(2&lt;=SemanaActual,INDEX('Cronograma R. Normativo'!$AD$5:$AD$1000,$N37),""),IF(INDEX('Cronograma R. Normativo'!$J$5:$J$1000,$N37)="","",INDEX('Cronograma R. Normativo'!$J$5:$J$1000,$N37))))</f>
        <v/>
      </c>
      <c r="H37" s="61">
        <f>IF($N37="","",IF($P37&gt;0,IF(3&lt;=SemanaActual,INDEX('Cronograma R. Normativo'!$AE$5:$AE$1000,$N37),""),IF(INDEX('Cronograma R. Normativo'!$K$5:$K$1000,$N37)="","",INDEX('Cronograma R. Normativo'!$K$5:$K$1000,$N37))))</f>
        <v/>
      </c>
      <c r="I37" s="61">
        <f>IF($N37="","",IF($P37&gt;0,IF(4&lt;=SemanaActual,INDEX('Cronograma R. Normativo'!$AF$5:$AF$1000,$N37),""),IF(INDEX('Cronograma R. Normativo'!$L$5:$L$1000,$N37)="","",INDEX('Cronograma R. Normativo'!$L$5:$L$1000,$N37))))</f>
        <v/>
      </c>
      <c r="J37" s="61">
        <f>IF($N37="","",INDEX('Cronograma R. Normativo'!$M$5:$M$1000,$N37))</f>
        <v/>
      </c>
      <c r="K37" s="56">
        <f>IF($N37="","",IF(N($J37)&gt;=1,"Completado",IF(AND(ISNUMBER($D37),$D37&lt;FechaRef),"Vencida",IF(N($J37)&gt;0,"En curso","Pendiente"))))</f>
        <v/>
      </c>
      <c r="L37" s="56">
        <f>IF($N37="","",INDEX('Cronograma R. Normativo'!$O$5:$O$1000,$N37)&amp;"")</f>
        <v/>
      </c>
      <c r="M37" s="62">
        <f>IF($N37="","",INDEX('Cronograma R. Normativo'!$Q$5:$Q$1000,$N37)&amp;"")</f>
        <v/>
      </c>
      <c r="N37">
        <f>IFERROR(MATCH(ROW()-4,rOrden_RN,0),"")</f>
        <v/>
      </c>
      <c r="O37">
        <f>IF($N37="","",INDEX('Cronograma R. Normativo'!$V$5:$V$1000,$N37))</f>
        <v/>
      </c>
      <c r="P37">
        <f>IF($N37="","",N(INDEX('Cronograma R. Normativo'!$W$5:$W$1000,$N37)))</f>
        <v/>
      </c>
      <c r="Q37">
        <f>IF(OR(LEFT($L37,7)="Vencida",LEFT($L37,5)="Vence"),SUMPRODUCT(--(LEFT($L$5:$L37,7)="Vencida"))+SUMPRODUCT(--(LEFT($L$5:$L37,5)="Vence")),"")</f>
        <v/>
      </c>
    </row>
    <row r="38">
      <c r="A38" s="56">
        <f>IF($N38="","",INDEX('Cronograma R. Normativo'!$A$5:$A$1000,$N38))</f>
        <v/>
      </c>
      <c r="B38" s="62">
        <f>IF($N38="","",IF($O38="Sub","      ↳  "&amp;INDEX('Cronograma R. Normativo'!$C$5:$C$1000,$N38),INDEX('Cronograma R. Normativo'!$C$5:$C$1000,$N38)&amp;""))</f>
        <v/>
      </c>
      <c r="C38" s="79">
        <f>IF($N38="","",IF(INDEX('Cronograma R. Normativo'!$AM$5:$AM$1000,$N38)="","",INDEX('Cronograma R. Normativo'!$AM$5:$AM$1000,$N38)))</f>
        <v/>
      </c>
      <c r="D38" s="79">
        <f>IF($N38="","",IF(INDEX('Cronograma R. Normativo'!$AN$5:$AN$1000,$N38)="","",INDEX('Cronograma R. Normativo'!$AN$5:$AN$1000,$N38)))</f>
        <v/>
      </c>
      <c r="E38" s="56">
        <f>IF($N38="","",IF(NOT(ISNUMBER($D38)),"",IF($D38&lt;InicioCiclo,"Antes del ciclo",IF($D38&gt;=InicioCiclo+28,"Después del ciclo","Semana "&amp;(INT(($D38-InicioCiclo)/7)+1)))))</f>
        <v/>
      </c>
      <c r="F38" s="61">
        <f>IF($N38="","",IF($P38&gt;0,IF(1&lt;=SemanaActual,INDEX('Cronograma R. Normativo'!$AC$5:$AC$1000,$N38),""),IF(INDEX('Cronograma R. Normativo'!$I$5:$I$1000,$N38)="","",INDEX('Cronograma R. Normativo'!$I$5:$I$1000,$N38))))</f>
        <v/>
      </c>
      <c r="G38" s="61">
        <f>IF($N38="","",IF($P38&gt;0,IF(2&lt;=SemanaActual,INDEX('Cronograma R. Normativo'!$AD$5:$AD$1000,$N38),""),IF(INDEX('Cronograma R. Normativo'!$J$5:$J$1000,$N38)="","",INDEX('Cronograma R. Normativo'!$J$5:$J$1000,$N38))))</f>
        <v/>
      </c>
      <c r="H38" s="61">
        <f>IF($N38="","",IF($P38&gt;0,IF(3&lt;=SemanaActual,INDEX('Cronograma R. Normativo'!$AE$5:$AE$1000,$N38),""),IF(INDEX('Cronograma R. Normativo'!$K$5:$K$1000,$N38)="","",INDEX('Cronograma R. Normativo'!$K$5:$K$1000,$N38))))</f>
        <v/>
      </c>
      <c r="I38" s="61">
        <f>IF($N38="","",IF($P38&gt;0,IF(4&lt;=SemanaActual,INDEX('Cronograma R. Normativo'!$AF$5:$AF$1000,$N38),""),IF(INDEX('Cronograma R. Normativo'!$L$5:$L$1000,$N38)="","",INDEX('Cronograma R. Normativo'!$L$5:$L$1000,$N38))))</f>
        <v/>
      </c>
      <c r="J38" s="61">
        <f>IF($N38="","",INDEX('Cronograma R. Normativo'!$M$5:$M$1000,$N38))</f>
        <v/>
      </c>
      <c r="K38" s="56">
        <f>IF($N38="","",IF(N($J38)&gt;=1,"Completado",IF(AND(ISNUMBER($D38),$D38&lt;FechaRef),"Vencida",IF(N($J38)&gt;0,"En curso","Pendiente"))))</f>
        <v/>
      </c>
      <c r="L38" s="56">
        <f>IF($N38="","",INDEX('Cronograma R. Normativo'!$O$5:$O$1000,$N38)&amp;"")</f>
        <v/>
      </c>
      <c r="M38" s="62">
        <f>IF($N38="","",INDEX('Cronograma R. Normativo'!$Q$5:$Q$1000,$N38)&amp;"")</f>
        <v/>
      </c>
      <c r="N38">
        <f>IFERROR(MATCH(ROW()-4,rOrden_RN,0),"")</f>
        <v/>
      </c>
      <c r="O38">
        <f>IF($N38="","",INDEX('Cronograma R. Normativo'!$V$5:$V$1000,$N38))</f>
        <v/>
      </c>
      <c r="P38">
        <f>IF($N38="","",N(INDEX('Cronograma R. Normativo'!$W$5:$W$1000,$N38)))</f>
        <v/>
      </c>
      <c r="Q38">
        <f>IF(OR(LEFT($L38,7)="Vencida",LEFT($L38,5)="Vence"),SUMPRODUCT(--(LEFT($L$5:$L38,7)="Vencida"))+SUMPRODUCT(--(LEFT($L$5:$L38,5)="Vence")),"")</f>
        <v/>
      </c>
    </row>
    <row r="39">
      <c r="A39" s="56">
        <f>IF($N39="","",INDEX('Cronograma R. Normativo'!$A$5:$A$1000,$N39))</f>
        <v/>
      </c>
      <c r="B39" s="62">
        <f>IF($N39="","",IF($O39="Sub","      ↳  "&amp;INDEX('Cronograma R. Normativo'!$C$5:$C$1000,$N39),INDEX('Cronograma R. Normativo'!$C$5:$C$1000,$N39)&amp;""))</f>
        <v/>
      </c>
      <c r="C39" s="79">
        <f>IF($N39="","",IF(INDEX('Cronograma R. Normativo'!$AM$5:$AM$1000,$N39)="","",INDEX('Cronograma R. Normativo'!$AM$5:$AM$1000,$N39)))</f>
        <v/>
      </c>
      <c r="D39" s="79">
        <f>IF($N39="","",IF(INDEX('Cronograma R. Normativo'!$AN$5:$AN$1000,$N39)="","",INDEX('Cronograma R. Normativo'!$AN$5:$AN$1000,$N39)))</f>
        <v/>
      </c>
      <c r="E39" s="56">
        <f>IF($N39="","",IF(NOT(ISNUMBER($D39)),"",IF($D39&lt;InicioCiclo,"Antes del ciclo",IF($D39&gt;=InicioCiclo+28,"Después del ciclo","Semana "&amp;(INT(($D39-InicioCiclo)/7)+1)))))</f>
        <v/>
      </c>
      <c r="F39" s="61">
        <f>IF($N39="","",IF($P39&gt;0,IF(1&lt;=SemanaActual,INDEX('Cronograma R. Normativo'!$AC$5:$AC$1000,$N39),""),IF(INDEX('Cronograma R. Normativo'!$I$5:$I$1000,$N39)="","",INDEX('Cronograma R. Normativo'!$I$5:$I$1000,$N39))))</f>
        <v/>
      </c>
      <c r="G39" s="61">
        <f>IF($N39="","",IF($P39&gt;0,IF(2&lt;=SemanaActual,INDEX('Cronograma R. Normativo'!$AD$5:$AD$1000,$N39),""),IF(INDEX('Cronograma R. Normativo'!$J$5:$J$1000,$N39)="","",INDEX('Cronograma R. Normativo'!$J$5:$J$1000,$N39))))</f>
        <v/>
      </c>
      <c r="H39" s="61">
        <f>IF($N39="","",IF($P39&gt;0,IF(3&lt;=SemanaActual,INDEX('Cronograma R. Normativo'!$AE$5:$AE$1000,$N39),""),IF(INDEX('Cronograma R. Normativo'!$K$5:$K$1000,$N39)="","",INDEX('Cronograma R. Normativo'!$K$5:$K$1000,$N39))))</f>
        <v/>
      </c>
      <c r="I39" s="61">
        <f>IF($N39="","",IF($P39&gt;0,IF(4&lt;=SemanaActual,INDEX('Cronograma R. Normativo'!$AF$5:$AF$1000,$N39),""),IF(INDEX('Cronograma R. Normativo'!$L$5:$L$1000,$N39)="","",INDEX('Cronograma R. Normativo'!$L$5:$L$1000,$N39))))</f>
        <v/>
      </c>
      <c r="J39" s="61">
        <f>IF($N39="","",INDEX('Cronograma R. Normativo'!$M$5:$M$1000,$N39))</f>
        <v/>
      </c>
      <c r="K39" s="56">
        <f>IF($N39="","",IF(N($J39)&gt;=1,"Completado",IF(AND(ISNUMBER($D39),$D39&lt;FechaRef),"Vencida",IF(N($J39)&gt;0,"En curso","Pendiente"))))</f>
        <v/>
      </c>
      <c r="L39" s="56">
        <f>IF($N39="","",INDEX('Cronograma R. Normativo'!$O$5:$O$1000,$N39)&amp;"")</f>
        <v/>
      </c>
      <c r="M39" s="62">
        <f>IF($N39="","",INDEX('Cronograma R. Normativo'!$Q$5:$Q$1000,$N39)&amp;"")</f>
        <v/>
      </c>
      <c r="N39">
        <f>IFERROR(MATCH(ROW()-4,rOrden_RN,0),"")</f>
        <v/>
      </c>
      <c r="O39">
        <f>IF($N39="","",INDEX('Cronograma R. Normativo'!$V$5:$V$1000,$N39))</f>
        <v/>
      </c>
      <c r="P39">
        <f>IF($N39="","",N(INDEX('Cronograma R. Normativo'!$W$5:$W$1000,$N39)))</f>
        <v/>
      </c>
      <c r="Q39">
        <f>IF(OR(LEFT($L39,7)="Vencida",LEFT($L39,5)="Vence"),SUMPRODUCT(--(LEFT($L$5:$L39,7)="Vencida"))+SUMPRODUCT(--(LEFT($L$5:$L39,5)="Vence")),"")</f>
        <v/>
      </c>
    </row>
    <row r="40">
      <c r="A40" s="56">
        <f>IF($N40="","",INDEX('Cronograma R. Normativo'!$A$5:$A$1000,$N40))</f>
        <v/>
      </c>
      <c r="B40" s="62">
        <f>IF($N40="","",IF($O40="Sub","      ↳  "&amp;INDEX('Cronograma R. Normativo'!$C$5:$C$1000,$N40),INDEX('Cronograma R. Normativo'!$C$5:$C$1000,$N40)&amp;""))</f>
        <v/>
      </c>
      <c r="C40" s="79">
        <f>IF($N40="","",IF(INDEX('Cronograma R. Normativo'!$AM$5:$AM$1000,$N40)="","",INDEX('Cronograma R. Normativo'!$AM$5:$AM$1000,$N40)))</f>
        <v/>
      </c>
      <c r="D40" s="79">
        <f>IF($N40="","",IF(INDEX('Cronograma R. Normativo'!$AN$5:$AN$1000,$N40)="","",INDEX('Cronograma R. Normativo'!$AN$5:$AN$1000,$N40)))</f>
        <v/>
      </c>
      <c r="E40" s="56">
        <f>IF($N40="","",IF(NOT(ISNUMBER($D40)),"",IF($D40&lt;InicioCiclo,"Antes del ciclo",IF($D40&gt;=InicioCiclo+28,"Después del ciclo","Semana "&amp;(INT(($D40-InicioCiclo)/7)+1)))))</f>
        <v/>
      </c>
      <c r="F40" s="61">
        <f>IF($N40="","",IF($P40&gt;0,IF(1&lt;=SemanaActual,INDEX('Cronograma R. Normativo'!$AC$5:$AC$1000,$N40),""),IF(INDEX('Cronograma R. Normativo'!$I$5:$I$1000,$N40)="","",INDEX('Cronograma R. Normativo'!$I$5:$I$1000,$N40))))</f>
        <v/>
      </c>
      <c r="G40" s="61">
        <f>IF($N40="","",IF($P40&gt;0,IF(2&lt;=SemanaActual,INDEX('Cronograma R. Normativo'!$AD$5:$AD$1000,$N40),""),IF(INDEX('Cronograma R. Normativo'!$J$5:$J$1000,$N40)="","",INDEX('Cronograma R. Normativo'!$J$5:$J$1000,$N40))))</f>
        <v/>
      </c>
      <c r="H40" s="61">
        <f>IF($N40="","",IF($P40&gt;0,IF(3&lt;=SemanaActual,INDEX('Cronograma R. Normativo'!$AE$5:$AE$1000,$N40),""),IF(INDEX('Cronograma R. Normativo'!$K$5:$K$1000,$N40)="","",INDEX('Cronograma R. Normativo'!$K$5:$K$1000,$N40))))</f>
        <v/>
      </c>
      <c r="I40" s="61">
        <f>IF($N40="","",IF($P40&gt;0,IF(4&lt;=SemanaActual,INDEX('Cronograma R. Normativo'!$AF$5:$AF$1000,$N40),""),IF(INDEX('Cronograma R. Normativo'!$L$5:$L$1000,$N40)="","",INDEX('Cronograma R. Normativo'!$L$5:$L$1000,$N40))))</f>
        <v/>
      </c>
      <c r="J40" s="61">
        <f>IF($N40="","",INDEX('Cronograma R. Normativo'!$M$5:$M$1000,$N40))</f>
        <v/>
      </c>
      <c r="K40" s="56">
        <f>IF($N40="","",IF(N($J40)&gt;=1,"Completado",IF(AND(ISNUMBER($D40),$D40&lt;FechaRef),"Vencida",IF(N($J40)&gt;0,"En curso","Pendiente"))))</f>
        <v/>
      </c>
      <c r="L40" s="56">
        <f>IF($N40="","",INDEX('Cronograma R. Normativo'!$O$5:$O$1000,$N40)&amp;"")</f>
        <v/>
      </c>
      <c r="M40" s="62">
        <f>IF($N40="","",INDEX('Cronograma R. Normativo'!$Q$5:$Q$1000,$N40)&amp;"")</f>
        <v/>
      </c>
      <c r="N40">
        <f>IFERROR(MATCH(ROW()-4,rOrden_RN,0),"")</f>
        <v/>
      </c>
      <c r="O40">
        <f>IF($N40="","",INDEX('Cronograma R. Normativo'!$V$5:$V$1000,$N40))</f>
        <v/>
      </c>
      <c r="P40">
        <f>IF($N40="","",N(INDEX('Cronograma R. Normativo'!$W$5:$W$1000,$N40)))</f>
        <v/>
      </c>
      <c r="Q40">
        <f>IF(OR(LEFT($L40,7)="Vencida",LEFT($L40,5)="Vence"),SUMPRODUCT(--(LEFT($L$5:$L40,7)="Vencida"))+SUMPRODUCT(--(LEFT($L$5:$L40,5)="Vence")),"")</f>
        <v/>
      </c>
    </row>
    <row r="41">
      <c r="A41" s="56">
        <f>IF($N41="","",INDEX('Cronograma R. Normativo'!$A$5:$A$1000,$N41))</f>
        <v/>
      </c>
      <c r="B41" s="62">
        <f>IF($N41="","",IF($O41="Sub","      ↳  "&amp;INDEX('Cronograma R. Normativo'!$C$5:$C$1000,$N41),INDEX('Cronograma R. Normativo'!$C$5:$C$1000,$N41)&amp;""))</f>
        <v/>
      </c>
      <c r="C41" s="79">
        <f>IF($N41="","",IF(INDEX('Cronograma R. Normativo'!$AM$5:$AM$1000,$N41)="","",INDEX('Cronograma R. Normativo'!$AM$5:$AM$1000,$N41)))</f>
        <v/>
      </c>
      <c r="D41" s="79">
        <f>IF($N41="","",IF(INDEX('Cronograma R. Normativo'!$AN$5:$AN$1000,$N41)="","",INDEX('Cronograma R. Normativo'!$AN$5:$AN$1000,$N41)))</f>
        <v/>
      </c>
      <c r="E41" s="56">
        <f>IF($N41="","",IF(NOT(ISNUMBER($D41)),"",IF($D41&lt;InicioCiclo,"Antes del ciclo",IF($D41&gt;=InicioCiclo+28,"Después del ciclo","Semana "&amp;(INT(($D41-InicioCiclo)/7)+1)))))</f>
        <v/>
      </c>
      <c r="F41" s="61">
        <f>IF($N41="","",IF($P41&gt;0,IF(1&lt;=SemanaActual,INDEX('Cronograma R. Normativo'!$AC$5:$AC$1000,$N41),""),IF(INDEX('Cronograma R. Normativo'!$I$5:$I$1000,$N41)="","",INDEX('Cronograma R. Normativo'!$I$5:$I$1000,$N41))))</f>
        <v/>
      </c>
      <c r="G41" s="61">
        <f>IF($N41="","",IF($P41&gt;0,IF(2&lt;=SemanaActual,INDEX('Cronograma R. Normativo'!$AD$5:$AD$1000,$N41),""),IF(INDEX('Cronograma R. Normativo'!$J$5:$J$1000,$N41)="","",INDEX('Cronograma R. Normativo'!$J$5:$J$1000,$N41))))</f>
        <v/>
      </c>
      <c r="H41" s="61">
        <f>IF($N41="","",IF($P41&gt;0,IF(3&lt;=SemanaActual,INDEX('Cronograma R. Normativo'!$AE$5:$AE$1000,$N41),""),IF(INDEX('Cronograma R. Normativo'!$K$5:$K$1000,$N41)="","",INDEX('Cronograma R. Normativo'!$K$5:$K$1000,$N41))))</f>
        <v/>
      </c>
      <c r="I41" s="61">
        <f>IF($N41="","",IF($P41&gt;0,IF(4&lt;=SemanaActual,INDEX('Cronograma R. Normativo'!$AF$5:$AF$1000,$N41),""),IF(INDEX('Cronograma R. Normativo'!$L$5:$L$1000,$N41)="","",INDEX('Cronograma R. Normativo'!$L$5:$L$1000,$N41))))</f>
        <v/>
      </c>
      <c r="J41" s="61">
        <f>IF($N41="","",INDEX('Cronograma R. Normativo'!$M$5:$M$1000,$N41))</f>
        <v/>
      </c>
      <c r="K41" s="56">
        <f>IF($N41="","",IF(N($J41)&gt;=1,"Completado",IF(AND(ISNUMBER($D41),$D41&lt;FechaRef),"Vencida",IF(N($J41)&gt;0,"En curso","Pendiente"))))</f>
        <v/>
      </c>
      <c r="L41" s="56">
        <f>IF($N41="","",INDEX('Cronograma R. Normativo'!$O$5:$O$1000,$N41)&amp;"")</f>
        <v/>
      </c>
      <c r="M41" s="62">
        <f>IF($N41="","",INDEX('Cronograma R. Normativo'!$Q$5:$Q$1000,$N41)&amp;"")</f>
        <v/>
      </c>
      <c r="N41">
        <f>IFERROR(MATCH(ROW()-4,rOrden_RN,0),"")</f>
        <v/>
      </c>
      <c r="O41">
        <f>IF($N41="","",INDEX('Cronograma R. Normativo'!$V$5:$V$1000,$N41))</f>
        <v/>
      </c>
      <c r="P41">
        <f>IF($N41="","",N(INDEX('Cronograma R. Normativo'!$W$5:$W$1000,$N41)))</f>
        <v/>
      </c>
      <c r="Q41">
        <f>IF(OR(LEFT($L41,7)="Vencida",LEFT($L41,5)="Vence"),SUMPRODUCT(--(LEFT($L$5:$L41,7)="Vencida"))+SUMPRODUCT(--(LEFT($L$5:$L41,5)="Vence")),"")</f>
        <v/>
      </c>
    </row>
    <row r="42">
      <c r="A42" s="56">
        <f>IF($N42="","",INDEX('Cronograma R. Normativo'!$A$5:$A$1000,$N42))</f>
        <v/>
      </c>
      <c r="B42" s="62">
        <f>IF($N42="","",IF($O42="Sub","      ↳  "&amp;INDEX('Cronograma R. Normativo'!$C$5:$C$1000,$N42),INDEX('Cronograma R. Normativo'!$C$5:$C$1000,$N42)&amp;""))</f>
        <v/>
      </c>
      <c r="C42" s="79">
        <f>IF($N42="","",IF(INDEX('Cronograma R. Normativo'!$AM$5:$AM$1000,$N42)="","",INDEX('Cronograma R. Normativo'!$AM$5:$AM$1000,$N42)))</f>
        <v/>
      </c>
      <c r="D42" s="79">
        <f>IF($N42="","",IF(INDEX('Cronograma R. Normativo'!$AN$5:$AN$1000,$N42)="","",INDEX('Cronograma R. Normativo'!$AN$5:$AN$1000,$N42)))</f>
        <v/>
      </c>
      <c r="E42" s="56">
        <f>IF($N42="","",IF(NOT(ISNUMBER($D42)),"",IF($D42&lt;InicioCiclo,"Antes del ciclo",IF($D42&gt;=InicioCiclo+28,"Después del ciclo","Semana "&amp;(INT(($D42-InicioCiclo)/7)+1)))))</f>
        <v/>
      </c>
      <c r="F42" s="61">
        <f>IF($N42="","",IF($P42&gt;0,IF(1&lt;=SemanaActual,INDEX('Cronograma R. Normativo'!$AC$5:$AC$1000,$N42),""),IF(INDEX('Cronograma R. Normativo'!$I$5:$I$1000,$N42)="","",INDEX('Cronograma R. Normativo'!$I$5:$I$1000,$N42))))</f>
        <v/>
      </c>
      <c r="G42" s="61">
        <f>IF($N42="","",IF($P42&gt;0,IF(2&lt;=SemanaActual,INDEX('Cronograma R. Normativo'!$AD$5:$AD$1000,$N42),""),IF(INDEX('Cronograma R. Normativo'!$J$5:$J$1000,$N42)="","",INDEX('Cronograma R. Normativo'!$J$5:$J$1000,$N42))))</f>
        <v/>
      </c>
      <c r="H42" s="61">
        <f>IF($N42="","",IF($P42&gt;0,IF(3&lt;=SemanaActual,INDEX('Cronograma R. Normativo'!$AE$5:$AE$1000,$N42),""),IF(INDEX('Cronograma R. Normativo'!$K$5:$K$1000,$N42)="","",INDEX('Cronograma R. Normativo'!$K$5:$K$1000,$N42))))</f>
        <v/>
      </c>
      <c r="I42" s="61">
        <f>IF($N42="","",IF($P42&gt;0,IF(4&lt;=SemanaActual,INDEX('Cronograma R. Normativo'!$AF$5:$AF$1000,$N42),""),IF(INDEX('Cronograma R. Normativo'!$L$5:$L$1000,$N42)="","",INDEX('Cronograma R. Normativo'!$L$5:$L$1000,$N42))))</f>
        <v/>
      </c>
      <c r="J42" s="61">
        <f>IF($N42="","",INDEX('Cronograma R. Normativo'!$M$5:$M$1000,$N42))</f>
        <v/>
      </c>
      <c r="K42" s="56">
        <f>IF($N42="","",IF(N($J42)&gt;=1,"Completado",IF(AND(ISNUMBER($D42),$D42&lt;FechaRef),"Vencida",IF(N($J42)&gt;0,"En curso","Pendiente"))))</f>
        <v/>
      </c>
      <c r="L42" s="56">
        <f>IF($N42="","",INDEX('Cronograma R. Normativo'!$O$5:$O$1000,$N42)&amp;"")</f>
        <v/>
      </c>
      <c r="M42" s="62">
        <f>IF($N42="","",INDEX('Cronograma R. Normativo'!$Q$5:$Q$1000,$N42)&amp;"")</f>
        <v/>
      </c>
      <c r="N42">
        <f>IFERROR(MATCH(ROW()-4,rOrden_RN,0),"")</f>
        <v/>
      </c>
      <c r="O42">
        <f>IF($N42="","",INDEX('Cronograma R. Normativo'!$V$5:$V$1000,$N42))</f>
        <v/>
      </c>
      <c r="P42">
        <f>IF($N42="","",N(INDEX('Cronograma R. Normativo'!$W$5:$W$1000,$N42)))</f>
        <v/>
      </c>
      <c r="Q42">
        <f>IF(OR(LEFT($L42,7)="Vencida",LEFT($L42,5)="Vence"),SUMPRODUCT(--(LEFT($L$5:$L42,7)="Vencida"))+SUMPRODUCT(--(LEFT($L$5:$L42,5)="Vence")),"")</f>
        <v/>
      </c>
    </row>
    <row r="43">
      <c r="A43" s="56">
        <f>IF($N43="","",INDEX('Cronograma R. Normativo'!$A$5:$A$1000,$N43))</f>
        <v/>
      </c>
      <c r="B43" s="62">
        <f>IF($N43="","",IF($O43="Sub","      ↳  "&amp;INDEX('Cronograma R. Normativo'!$C$5:$C$1000,$N43),INDEX('Cronograma R. Normativo'!$C$5:$C$1000,$N43)&amp;""))</f>
        <v/>
      </c>
      <c r="C43" s="79">
        <f>IF($N43="","",IF(INDEX('Cronograma R. Normativo'!$AM$5:$AM$1000,$N43)="","",INDEX('Cronograma R. Normativo'!$AM$5:$AM$1000,$N43)))</f>
        <v/>
      </c>
      <c r="D43" s="79">
        <f>IF($N43="","",IF(INDEX('Cronograma R. Normativo'!$AN$5:$AN$1000,$N43)="","",INDEX('Cronograma R. Normativo'!$AN$5:$AN$1000,$N43)))</f>
        <v/>
      </c>
      <c r="E43" s="56">
        <f>IF($N43="","",IF(NOT(ISNUMBER($D43)),"",IF($D43&lt;InicioCiclo,"Antes del ciclo",IF($D43&gt;=InicioCiclo+28,"Después del ciclo","Semana "&amp;(INT(($D43-InicioCiclo)/7)+1)))))</f>
        <v/>
      </c>
      <c r="F43" s="61">
        <f>IF($N43="","",IF($P43&gt;0,IF(1&lt;=SemanaActual,INDEX('Cronograma R. Normativo'!$AC$5:$AC$1000,$N43),""),IF(INDEX('Cronograma R. Normativo'!$I$5:$I$1000,$N43)="","",INDEX('Cronograma R. Normativo'!$I$5:$I$1000,$N43))))</f>
        <v/>
      </c>
      <c r="G43" s="61">
        <f>IF($N43="","",IF($P43&gt;0,IF(2&lt;=SemanaActual,INDEX('Cronograma R. Normativo'!$AD$5:$AD$1000,$N43),""),IF(INDEX('Cronograma R. Normativo'!$J$5:$J$1000,$N43)="","",INDEX('Cronograma R. Normativo'!$J$5:$J$1000,$N43))))</f>
        <v/>
      </c>
      <c r="H43" s="61">
        <f>IF($N43="","",IF($P43&gt;0,IF(3&lt;=SemanaActual,INDEX('Cronograma R. Normativo'!$AE$5:$AE$1000,$N43),""),IF(INDEX('Cronograma R. Normativo'!$K$5:$K$1000,$N43)="","",INDEX('Cronograma R. Normativo'!$K$5:$K$1000,$N43))))</f>
        <v/>
      </c>
      <c r="I43" s="61">
        <f>IF($N43="","",IF($P43&gt;0,IF(4&lt;=SemanaActual,INDEX('Cronograma R. Normativo'!$AF$5:$AF$1000,$N43),""),IF(INDEX('Cronograma R. Normativo'!$L$5:$L$1000,$N43)="","",INDEX('Cronograma R. Normativo'!$L$5:$L$1000,$N43))))</f>
        <v/>
      </c>
      <c r="J43" s="61">
        <f>IF($N43="","",INDEX('Cronograma R. Normativo'!$M$5:$M$1000,$N43))</f>
        <v/>
      </c>
      <c r="K43" s="56">
        <f>IF($N43="","",IF(N($J43)&gt;=1,"Completado",IF(AND(ISNUMBER($D43),$D43&lt;FechaRef),"Vencida",IF(N($J43)&gt;0,"En curso","Pendiente"))))</f>
        <v/>
      </c>
      <c r="L43" s="56">
        <f>IF($N43="","",INDEX('Cronograma R. Normativo'!$O$5:$O$1000,$N43)&amp;"")</f>
        <v/>
      </c>
      <c r="M43" s="62">
        <f>IF($N43="","",INDEX('Cronograma R. Normativo'!$Q$5:$Q$1000,$N43)&amp;"")</f>
        <v/>
      </c>
      <c r="N43">
        <f>IFERROR(MATCH(ROW()-4,rOrden_RN,0),"")</f>
        <v/>
      </c>
      <c r="O43">
        <f>IF($N43="","",INDEX('Cronograma R. Normativo'!$V$5:$V$1000,$N43))</f>
        <v/>
      </c>
      <c r="P43">
        <f>IF($N43="","",N(INDEX('Cronograma R. Normativo'!$W$5:$W$1000,$N43)))</f>
        <v/>
      </c>
      <c r="Q43">
        <f>IF(OR(LEFT($L43,7)="Vencida",LEFT($L43,5)="Vence"),SUMPRODUCT(--(LEFT($L$5:$L43,7)="Vencida"))+SUMPRODUCT(--(LEFT($L$5:$L43,5)="Vence")),"")</f>
        <v/>
      </c>
    </row>
    <row r="44">
      <c r="A44" s="56">
        <f>IF($N44="","",INDEX('Cronograma R. Normativo'!$A$5:$A$1000,$N44))</f>
        <v/>
      </c>
      <c r="B44" s="62">
        <f>IF($N44="","",IF($O44="Sub","      ↳  "&amp;INDEX('Cronograma R. Normativo'!$C$5:$C$1000,$N44),INDEX('Cronograma R. Normativo'!$C$5:$C$1000,$N44)&amp;""))</f>
        <v/>
      </c>
      <c r="C44" s="79">
        <f>IF($N44="","",IF(INDEX('Cronograma R. Normativo'!$AM$5:$AM$1000,$N44)="","",INDEX('Cronograma R. Normativo'!$AM$5:$AM$1000,$N44)))</f>
        <v/>
      </c>
      <c r="D44" s="79">
        <f>IF($N44="","",IF(INDEX('Cronograma R. Normativo'!$AN$5:$AN$1000,$N44)="","",INDEX('Cronograma R. Normativo'!$AN$5:$AN$1000,$N44)))</f>
        <v/>
      </c>
      <c r="E44" s="56">
        <f>IF($N44="","",IF(NOT(ISNUMBER($D44)),"",IF($D44&lt;InicioCiclo,"Antes del ciclo",IF($D44&gt;=InicioCiclo+28,"Después del ciclo","Semana "&amp;(INT(($D44-InicioCiclo)/7)+1)))))</f>
        <v/>
      </c>
      <c r="F44" s="61">
        <f>IF($N44="","",IF($P44&gt;0,IF(1&lt;=SemanaActual,INDEX('Cronograma R. Normativo'!$AC$5:$AC$1000,$N44),""),IF(INDEX('Cronograma R. Normativo'!$I$5:$I$1000,$N44)="","",INDEX('Cronograma R. Normativo'!$I$5:$I$1000,$N44))))</f>
        <v/>
      </c>
      <c r="G44" s="61">
        <f>IF($N44="","",IF($P44&gt;0,IF(2&lt;=SemanaActual,INDEX('Cronograma R. Normativo'!$AD$5:$AD$1000,$N44),""),IF(INDEX('Cronograma R. Normativo'!$J$5:$J$1000,$N44)="","",INDEX('Cronograma R. Normativo'!$J$5:$J$1000,$N44))))</f>
        <v/>
      </c>
      <c r="H44" s="61">
        <f>IF($N44="","",IF($P44&gt;0,IF(3&lt;=SemanaActual,INDEX('Cronograma R. Normativo'!$AE$5:$AE$1000,$N44),""),IF(INDEX('Cronograma R. Normativo'!$K$5:$K$1000,$N44)="","",INDEX('Cronograma R. Normativo'!$K$5:$K$1000,$N44))))</f>
        <v/>
      </c>
      <c r="I44" s="61">
        <f>IF($N44="","",IF($P44&gt;0,IF(4&lt;=SemanaActual,INDEX('Cronograma R. Normativo'!$AF$5:$AF$1000,$N44),""),IF(INDEX('Cronograma R. Normativo'!$L$5:$L$1000,$N44)="","",INDEX('Cronograma R. Normativo'!$L$5:$L$1000,$N44))))</f>
        <v/>
      </c>
      <c r="J44" s="61">
        <f>IF($N44="","",INDEX('Cronograma R. Normativo'!$M$5:$M$1000,$N44))</f>
        <v/>
      </c>
      <c r="K44" s="56">
        <f>IF($N44="","",IF(N($J44)&gt;=1,"Completado",IF(AND(ISNUMBER($D44),$D44&lt;FechaRef),"Vencida",IF(N($J44)&gt;0,"En curso","Pendiente"))))</f>
        <v/>
      </c>
      <c r="L44" s="56">
        <f>IF($N44="","",INDEX('Cronograma R. Normativo'!$O$5:$O$1000,$N44)&amp;"")</f>
        <v/>
      </c>
      <c r="M44" s="62">
        <f>IF($N44="","",INDEX('Cronograma R. Normativo'!$Q$5:$Q$1000,$N44)&amp;"")</f>
        <v/>
      </c>
      <c r="N44">
        <f>IFERROR(MATCH(ROW()-4,rOrden_RN,0),"")</f>
        <v/>
      </c>
      <c r="O44">
        <f>IF($N44="","",INDEX('Cronograma R. Normativo'!$V$5:$V$1000,$N44))</f>
        <v/>
      </c>
      <c r="P44">
        <f>IF($N44="","",N(INDEX('Cronograma R. Normativo'!$W$5:$W$1000,$N44)))</f>
        <v/>
      </c>
      <c r="Q44">
        <f>IF(OR(LEFT($L44,7)="Vencida",LEFT($L44,5)="Vence"),SUMPRODUCT(--(LEFT($L$5:$L44,7)="Vencida"))+SUMPRODUCT(--(LEFT($L$5:$L44,5)="Vence")),"")</f>
        <v/>
      </c>
    </row>
    <row r="45">
      <c r="A45" s="56">
        <f>IF($N45="","",INDEX('Cronograma R. Normativo'!$A$5:$A$1000,$N45))</f>
        <v/>
      </c>
      <c r="B45" s="62">
        <f>IF($N45="","",IF($O45="Sub","      ↳  "&amp;INDEX('Cronograma R. Normativo'!$C$5:$C$1000,$N45),INDEX('Cronograma R. Normativo'!$C$5:$C$1000,$N45)&amp;""))</f>
        <v/>
      </c>
      <c r="C45" s="79">
        <f>IF($N45="","",IF(INDEX('Cronograma R. Normativo'!$AM$5:$AM$1000,$N45)="","",INDEX('Cronograma R. Normativo'!$AM$5:$AM$1000,$N45)))</f>
        <v/>
      </c>
      <c r="D45" s="79">
        <f>IF($N45="","",IF(INDEX('Cronograma R. Normativo'!$AN$5:$AN$1000,$N45)="","",INDEX('Cronograma R. Normativo'!$AN$5:$AN$1000,$N45)))</f>
        <v/>
      </c>
      <c r="E45" s="56">
        <f>IF($N45="","",IF(NOT(ISNUMBER($D45)),"",IF($D45&lt;InicioCiclo,"Antes del ciclo",IF($D45&gt;=InicioCiclo+28,"Después del ciclo","Semana "&amp;(INT(($D45-InicioCiclo)/7)+1)))))</f>
        <v/>
      </c>
      <c r="F45" s="61">
        <f>IF($N45="","",IF($P45&gt;0,IF(1&lt;=SemanaActual,INDEX('Cronograma R. Normativo'!$AC$5:$AC$1000,$N45),""),IF(INDEX('Cronograma R. Normativo'!$I$5:$I$1000,$N45)="","",INDEX('Cronograma R. Normativo'!$I$5:$I$1000,$N45))))</f>
        <v/>
      </c>
      <c r="G45" s="61">
        <f>IF($N45="","",IF($P45&gt;0,IF(2&lt;=SemanaActual,INDEX('Cronograma R. Normativo'!$AD$5:$AD$1000,$N45),""),IF(INDEX('Cronograma R. Normativo'!$J$5:$J$1000,$N45)="","",INDEX('Cronograma R. Normativo'!$J$5:$J$1000,$N45))))</f>
        <v/>
      </c>
      <c r="H45" s="61">
        <f>IF($N45="","",IF($P45&gt;0,IF(3&lt;=SemanaActual,INDEX('Cronograma R. Normativo'!$AE$5:$AE$1000,$N45),""),IF(INDEX('Cronograma R. Normativo'!$K$5:$K$1000,$N45)="","",INDEX('Cronograma R. Normativo'!$K$5:$K$1000,$N45))))</f>
        <v/>
      </c>
      <c r="I45" s="61">
        <f>IF($N45="","",IF($P45&gt;0,IF(4&lt;=SemanaActual,INDEX('Cronograma R. Normativo'!$AF$5:$AF$1000,$N45),""),IF(INDEX('Cronograma R. Normativo'!$L$5:$L$1000,$N45)="","",INDEX('Cronograma R. Normativo'!$L$5:$L$1000,$N45))))</f>
        <v/>
      </c>
      <c r="J45" s="61">
        <f>IF($N45="","",INDEX('Cronograma R. Normativo'!$M$5:$M$1000,$N45))</f>
        <v/>
      </c>
      <c r="K45" s="56">
        <f>IF($N45="","",IF(N($J45)&gt;=1,"Completado",IF(AND(ISNUMBER($D45),$D45&lt;FechaRef),"Vencida",IF(N($J45)&gt;0,"En curso","Pendiente"))))</f>
        <v/>
      </c>
      <c r="L45" s="56">
        <f>IF($N45="","",INDEX('Cronograma R. Normativo'!$O$5:$O$1000,$N45)&amp;"")</f>
        <v/>
      </c>
      <c r="M45" s="62">
        <f>IF($N45="","",INDEX('Cronograma R. Normativo'!$Q$5:$Q$1000,$N45)&amp;"")</f>
        <v/>
      </c>
      <c r="N45">
        <f>IFERROR(MATCH(ROW()-4,rOrden_RN,0),"")</f>
        <v/>
      </c>
      <c r="O45">
        <f>IF($N45="","",INDEX('Cronograma R. Normativo'!$V$5:$V$1000,$N45))</f>
        <v/>
      </c>
      <c r="P45">
        <f>IF($N45="","",N(INDEX('Cronograma R. Normativo'!$W$5:$W$1000,$N45)))</f>
        <v/>
      </c>
      <c r="Q45">
        <f>IF(OR(LEFT($L45,7)="Vencida",LEFT($L45,5)="Vence"),SUMPRODUCT(--(LEFT($L$5:$L45,7)="Vencida"))+SUMPRODUCT(--(LEFT($L$5:$L45,5)="Vence")),"")</f>
        <v/>
      </c>
    </row>
    <row r="46">
      <c r="A46" s="56">
        <f>IF($N46="","",INDEX('Cronograma R. Normativo'!$A$5:$A$1000,$N46))</f>
        <v/>
      </c>
      <c r="B46" s="62">
        <f>IF($N46="","",IF($O46="Sub","      ↳  "&amp;INDEX('Cronograma R. Normativo'!$C$5:$C$1000,$N46),INDEX('Cronograma R. Normativo'!$C$5:$C$1000,$N46)&amp;""))</f>
        <v/>
      </c>
      <c r="C46" s="79">
        <f>IF($N46="","",IF(INDEX('Cronograma R. Normativo'!$AM$5:$AM$1000,$N46)="","",INDEX('Cronograma R. Normativo'!$AM$5:$AM$1000,$N46)))</f>
        <v/>
      </c>
      <c r="D46" s="79">
        <f>IF($N46="","",IF(INDEX('Cronograma R. Normativo'!$AN$5:$AN$1000,$N46)="","",INDEX('Cronograma R. Normativo'!$AN$5:$AN$1000,$N46)))</f>
        <v/>
      </c>
      <c r="E46" s="56">
        <f>IF($N46="","",IF(NOT(ISNUMBER($D46)),"",IF($D46&lt;InicioCiclo,"Antes del ciclo",IF($D46&gt;=InicioCiclo+28,"Después del ciclo","Semana "&amp;(INT(($D46-InicioCiclo)/7)+1)))))</f>
        <v/>
      </c>
      <c r="F46" s="61">
        <f>IF($N46="","",IF($P46&gt;0,IF(1&lt;=SemanaActual,INDEX('Cronograma R. Normativo'!$AC$5:$AC$1000,$N46),""),IF(INDEX('Cronograma R. Normativo'!$I$5:$I$1000,$N46)="","",INDEX('Cronograma R. Normativo'!$I$5:$I$1000,$N46))))</f>
        <v/>
      </c>
      <c r="G46" s="61">
        <f>IF($N46="","",IF($P46&gt;0,IF(2&lt;=SemanaActual,INDEX('Cronograma R. Normativo'!$AD$5:$AD$1000,$N46),""),IF(INDEX('Cronograma R. Normativo'!$J$5:$J$1000,$N46)="","",INDEX('Cronograma R. Normativo'!$J$5:$J$1000,$N46))))</f>
        <v/>
      </c>
      <c r="H46" s="61">
        <f>IF($N46="","",IF($P46&gt;0,IF(3&lt;=SemanaActual,INDEX('Cronograma R. Normativo'!$AE$5:$AE$1000,$N46),""),IF(INDEX('Cronograma R. Normativo'!$K$5:$K$1000,$N46)="","",INDEX('Cronograma R. Normativo'!$K$5:$K$1000,$N46))))</f>
        <v/>
      </c>
      <c r="I46" s="61">
        <f>IF($N46="","",IF($P46&gt;0,IF(4&lt;=SemanaActual,INDEX('Cronograma R. Normativo'!$AF$5:$AF$1000,$N46),""),IF(INDEX('Cronograma R. Normativo'!$L$5:$L$1000,$N46)="","",INDEX('Cronograma R. Normativo'!$L$5:$L$1000,$N46))))</f>
        <v/>
      </c>
      <c r="J46" s="61">
        <f>IF($N46="","",INDEX('Cronograma R. Normativo'!$M$5:$M$1000,$N46))</f>
        <v/>
      </c>
      <c r="K46" s="56">
        <f>IF($N46="","",IF(N($J46)&gt;=1,"Completado",IF(AND(ISNUMBER($D46),$D46&lt;FechaRef),"Vencida",IF(N($J46)&gt;0,"En curso","Pendiente"))))</f>
        <v/>
      </c>
      <c r="L46" s="56">
        <f>IF($N46="","",INDEX('Cronograma R. Normativo'!$O$5:$O$1000,$N46)&amp;"")</f>
        <v/>
      </c>
      <c r="M46" s="62">
        <f>IF($N46="","",INDEX('Cronograma R. Normativo'!$Q$5:$Q$1000,$N46)&amp;"")</f>
        <v/>
      </c>
      <c r="N46">
        <f>IFERROR(MATCH(ROW()-4,rOrden_RN,0),"")</f>
        <v/>
      </c>
      <c r="O46">
        <f>IF($N46="","",INDEX('Cronograma R. Normativo'!$V$5:$V$1000,$N46))</f>
        <v/>
      </c>
      <c r="P46">
        <f>IF($N46="","",N(INDEX('Cronograma R. Normativo'!$W$5:$W$1000,$N46)))</f>
        <v/>
      </c>
      <c r="Q46">
        <f>IF(OR(LEFT($L46,7)="Vencida",LEFT($L46,5)="Vence"),SUMPRODUCT(--(LEFT($L$5:$L46,7)="Vencida"))+SUMPRODUCT(--(LEFT($L$5:$L46,5)="Vence")),"")</f>
        <v/>
      </c>
    </row>
    <row r="47">
      <c r="A47" s="56">
        <f>IF($N47="","",INDEX('Cronograma R. Normativo'!$A$5:$A$1000,$N47))</f>
        <v/>
      </c>
      <c r="B47" s="62">
        <f>IF($N47="","",IF($O47="Sub","      ↳  "&amp;INDEX('Cronograma R. Normativo'!$C$5:$C$1000,$N47),INDEX('Cronograma R. Normativo'!$C$5:$C$1000,$N47)&amp;""))</f>
        <v/>
      </c>
      <c r="C47" s="79">
        <f>IF($N47="","",IF(INDEX('Cronograma R. Normativo'!$AM$5:$AM$1000,$N47)="","",INDEX('Cronograma R. Normativo'!$AM$5:$AM$1000,$N47)))</f>
        <v/>
      </c>
      <c r="D47" s="79">
        <f>IF($N47="","",IF(INDEX('Cronograma R. Normativo'!$AN$5:$AN$1000,$N47)="","",INDEX('Cronograma R. Normativo'!$AN$5:$AN$1000,$N47)))</f>
        <v/>
      </c>
      <c r="E47" s="56">
        <f>IF($N47="","",IF(NOT(ISNUMBER($D47)),"",IF($D47&lt;InicioCiclo,"Antes del ciclo",IF($D47&gt;=InicioCiclo+28,"Después del ciclo","Semana "&amp;(INT(($D47-InicioCiclo)/7)+1)))))</f>
        <v/>
      </c>
      <c r="F47" s="61">
        <f>IF($N47="","",IF($P47&gt;0,IF(1&lt;=SemanaActual,INDEX('Cronograma R. Normativo'!$AC$5:$AC$1000,$N47),""),IF(INDEX('Cronograma R. Normativo'!$I$5:$I$1000,$N47)="","",INDEX('Cronograma R. Normativo'!$I$5:$I$1000,$N47))))</f>
        <v/>
      </c>
      <c r="G47" s="61">
        <f>IF($N47="","",IF($P47&gt;0,IF(2&lt;=SemanaActual,INDEX('Cronograma R. Normativo'!$AD$5:$AD$1000,$N47),""),IF(INDEX('Cronograma R. Normativo'!$J$5:$J$1000,$N47)="","",INDEX('Cronograma R. Normativo'!$J$5:$J$1000,$N47))))</f>
        <v/>
      </c>
      <c r="H47" s="61">
        <f>IF($N47="","",IF($P47&gt;0,IF(3&lt;=SemanaActual,INDEX('Cronograma R. Normativo'!$AE$5:$AE$1000,$N47),""),IF(INDEX('Cronograma R. Normativo'!$K$5:$K$1000,$N47)="","",INDEX('Cronograma R. Normativo'!$K$5:$K$1000,$N47))))</f>
        <v/>
      </c>
      <c r="I47" s="61">
        <f>IF($N47="","",IF($P47&gt;0,IF(4&lt;=SemanaActual,INDEX('Cronograma R. Normativo'!$AF$5:$AF$1000,$N47),""),IF(INDEX('Cronograma R. Normativo'!$L$5:$L$1000,$N47)="","",INDEX('Cronograma R. Normativo'!$L$5:$L$1000,$N47))))</f>
        <v/>
      </c>
      <c r="J47" s="61">
        <f>IF($N47="","",INDEX('Cronograma R. Normativo'!$M$5:$M$1000,$N47))</f>
        <v/>
      </c>
      <c r="K47" s="56">
        <f>IF($N47="","",IF(N($J47)&gt;=1,"Completado",IF(AND(ISNUMBER($D47),$D47&lt;FechaRef),"Vencida",IF(N($J47)&gt;0,"En curso","Pendiente"))))</f>
        <v/>
      </c>
      <c r="L47" s="56">
        <f>IF($N47="","",INDEX('Cronograma R. Normativo'!$O$5:$O$1000,$N47)&amp;"")</f>
        <v/>
      </c>
      <c r="M47" s="62">
        <f>IF($N47="","",INDEX('Cronograma R. Normativo'!$Q$5:$Q$1000,$N47)&amp;"")</f>
        <v/>
      </c>
      <c r="N47">
        <f>IFERROR(MATCH(ROW()-4,rOrden_RN,0),"")</f>
        <v/>
      </c>
      <c r="O47">
        <f>IF($N47="","",INDEX('Cronograma R. Normativo'!$V$5:$V$1000,$N47))</f>
        <v/>
      </c>
      <c r="P47">
        <f>IF($N47="","",N(INDEX('Cronograma R. Normativo'!$W$5:$W$1000,$N47)))</f>
        <v/>
      </c>
      <c r="Q47">
        <f>IF(OR(LEFT($L47,7)="Vencida",LEFT($L47,5)="Vence"),SUMPRODUCT(--(LEFT($L$5:$L47,7)="Vencida"))+SUMPRODUCT(--(LEFT($L$5:$L47,5)="Vence")),"")</f>
        <v/>
      </c>
    </row>
    <row r="48">
      <c r="A48" s="56">
        <f>IF($N48="","",INDEX('Cronograma R. Normativo'!$A$5:$A$1000,$N48))</f>
        <v/>
      </c>
      <c r="B48" s="62">
        <f>IF($N48="","",IF($O48="Sub","      ↳  "&amp;INDEX('Cronograma R. Normativo'!$C$5:$C$1000,$N48),INDEX('Cronograma R. Normativo'!$C$5:$C$1000,$N48)&amp;""))</f>
        <v/>
      </c>
      <c r="C48" s="79">
        <f>IF($N48="","",IF(INDEX('Cronograma R. Normativo'!$AM$5:$AM$1000,$N48)="","",INDEX('Cronograma R. Normativo'!$AM$5:$AM$1000,$N48)))</f>
        <v/>
      </c>
      <c r="D48" s="79">
        <f>IF($N48="","",IF(INDEX('Cronograma R. Normativo'!$AN$5:$AN$1000,$N48)="","",INDEX('Cronograma R. Normativo'!$AN$5:$AN$1000,$N48)))</f>
        <v/>
      </c>
      <c r="E48" s="56">
        <f>IF($N48="","",IF(NOT(ISNUMBER($D48)),"",IF($D48&lt;InicioCiclo,"Antes del ciclo",IF($D48&gt;=InicioCiclo+28,"Después del ciclo","Semana "&amp;(INT(($D48-InicioCiclo)/7)+1)))))</f>
        <v/>
      </c>
      <c r="F48" s="61">
        <f>IF($N48="","",IF($P48&gt;0,IF(1&lt;=SemanaActual,INDEX('Cronograma R. Normativo'!$AC$5:$AC$1000,$N48),""),IF(INDEX('Cronograma R. Normativo'!$I$5:$I$1000,$N48)="","",INDEX('Cronograma R. Normativo'!$I$5:$I$1000,$N48))))</f>
        <v/>
      </c>
      <c r="G48" s="61">
        <f>IF($N48="","",IF($P48&gt;0,IF(2&lt;=SemanaActual,INDEX('Cronograma R. Normativo'!$AD$5:$AD$1000,$N48),""),IF(INDEX('Cronograma R. Normativo'!$J$5:$J$1000,$N48)="","",INDEX('Cronograma R. Normativo'!$J$5:$J$1000,$N48))))</f>
        <v/>
      </c>
      <c r="H48" s="61">
        <f>IF($N48="","",IF($P48&gt;0,IF(3&lt;=SemanaActual,INDEX('Cronograma R. Normativo'!$AE$5:$AE$1000,$N48),""),IF(INDEX('Cronograma R. Normativo'!$K$5:$K$1000,$N48)="","",INDEX('Cronograma R. Normativo'!$K$5:$K$1000,$N48))))</f>
        <v/>
      </c>
      <c r="I48" s="61">
        <f>IF($N48="","",IF($P48&gt;0,IF(4&lt;=SemanaActual,INDEX('Cronograma R. Normativo'!$AF$5:$AF$1000,$N48),""),IF(INDEX('Cronograma R. Normativo'!$L$5:$L$1000,$N48)="","",INDEX('Cronograma R. Normativo'!$L$5:$L$1000,$N48))))</f>
        <v/>
      </c>
      <c r="J48" s="61">
        <f>IF($N48="","",INDEX('Cronograma R. Normativo'!$M$5:$M$1000,$N48))</f>
        <v/>
      </c>
      <c r="K48" s="56">
        <f>IF($N48="","",IF(N($J48)&gt;=1,"Completado",IF(AND(ISNUMBER($D48),$D48&lt;FechaRef),"Vencida",IF(N($J48)&gt;0,"En curso","Pendiente"))))</f>
        <v/>
      </c>
      <c r="L48" s="56">
        <f>IF($N48="","",INDEX('Cronograma R. Normativo'!$O$5:$O$1000,$N48)&amp;"")</f>
        <v/>
      </c>
      <c r="M48" s="62">
        <f>IF($N48="","",INDEX('Cronograma R. Normativo'!$Q$5:$Q$1000,$N48)&amp;"")</f>
        <v/>
      </c>
      <c r="N48">
        <f>IFERROR(MATCH(ROW()-4,rOrden_RN,0),"")</f>
        <v/>
      </c>
      <c r="O48">
        <f>IF($N48="","",INDEX('Cronograma R. Normativo'!$V$5:$V$1000,$N48))</f>
        <v/>
      </c>
      <c r="P48">
        <f>IF($N48="","",N(INDEX('Cronograma R. Normativo'!$W$5:$W$1000,$N48)))</f>
        <v/>
      </c>
      <c r="Q48">
        <f>IF(OR(LEFT($L48,7)="Vencida",LEFT($L48,5)="Vence"),SUMPRODUCT(--(LEFT($L$5:$L48,7)="Vencida"))+SUMPRODUCT(--(LEFT($L$5:$L48,5)="Vence")),"")</f>
        <v/>
      </c>
    </row>
    <row r="49">
      <c r="A49" s="56">
        <f>IF($N49="","",INDEX('Cronograma R. Normativo'!$A$5:$A$1000,$N49))</f>
        <v/>
      </c>
      <c r="B49" s="62">
        <f>IF($N49="","",IF($O49="Sub","      ↳  "&amp;INDEX('Cronograma R. Normativo'!$C$5:$C$1000,$N49),INDEX('Cronograma R. Normativo'!$C$5:$C$1000,$N49)&amp;""))</f>
        <v/>
      </c>
      <c r="C49" s="79">
        <f>IF($N49="","",IF(INDEX('Cronograma R. Normativo'!$AM$5:$AM$1000,$N49)="","",INDEX('Cronograma R. Normativo'!$AM$5:$AM$1000,$N49)))</f>
        <v/>
      </c>
      <c r="D49" s="79">
        <f>IF($N49="","",IF(INDEX('Cronograma R. Normativo'!$AN$5:$AN$1000,$N49)="","",INDEX('Cronograma R. Normativo'!$AN$5:$AN$1000,$N49)))</f>
        <v/>
      </c>
      <c r="E49" s="56">
        <f>IF($N49="","",IF(NOT(ISNUMBER($D49)),"",IF($D49&lt;InicioCiclo,"Antes del ciclo",IF($D49&gt;=InicioCiclo+28,"Después del ciclo","Semana "&amp;(INT(($D49-InicioCiclo)/7)+1)))))</f>
        <v/>
      </c>
      <c r="F49" s="61">
        <f>IF($N49="","",IF($P49&gt;0,IF(1&lt;=SemanaActual,INDEX('Cronograma R. Normativo'!$AC$5:$AC$1000,$N49),""),IF(INDEX('Cronograma R. Normativo'!$I$5:$I$1000,$N49)="","",INDEX('Cronograma R. Normativo'!$I$5:$I$1000,$N49))))</f>
        <v/>
      </c>
      <c r="G49" s="61">
        <f>IF($N49="","",IF($P49&gt;0,IF(2&lt;=SemanaActual,INDEX('Cronograma R. Normativo'!$AD$5:$AD$1000,$N49),""),IF(INDEX('Cronograma R. Normativo'!$J$5:$J$1000,$N49)="","",INDEX('Cronograma R. Normativo'!$J$5:$J$1000,$N49))))</f>
        <v/>
      </c>
      <c r="H49" s="61">
        <f>IF($N49="","",IF($P49&gt;0,IF(3&lt;=SemanaActual,INDEX('Cronograma R. Normativo'!$AE$5:$AE$1000,$N49),""),IF(INDEX('Cronograma R. Normativo'!$K$5:$K$1000,$N49)="","",INDEX('Cronograma R. Normativo'!$K$5:$K$1000,$N49))))</f>
        <v/>
      </c>
      <c r="I49" s="61">
        <f>IF($N49="","",IF($P49&gt;0,IF(4&lt;=SemanaActual,INDEX('Cronograma R. Normativo'!$AF$5:$AF$1000,$N49),""),IF(INDEX('Cronograma R. Normativo'!$L$5:$L$1000,$N49)="","",INDEX('Cronograma R. Normativo'!$L$5:$L$1000,$N49))))</f>
        <v/>
      </c>
      <c r="J49" s="61">
        <f>IF($N49="","",INDEX('Cronograma R. Normativo'!$M$5:$M$1000,$N49))</f>
        <v/>
      </c>
      <c r="K49" s="56">
        <f>IF($N49="","",IF(N($J49)&gt;=1,"Completado",IF(AND(ISNUMBER($D49),$D49&lt;FechaRef),"Vencida",IF(N($J49)&gt;0,"En curso","Pendiente"))))</f>
        <v/>
      </c>
      <c r="L49" s="56">
        <f>IF($N49="","",INDEX('Cronograma R. Normativo'!$O$5:$O$1000,$N49)&amp;"")</f>
        <v/>
      </c>
      <c r="M49" s="62">
        <f>IF($N49="","",INDEX('Cronograma R. Normativo'!$Q$5:$Q$1000,$N49)&amp;"")</f>
        <v/>
      </c>
      <c r="N49">
        <f>IFERROR(MATCH(ROW()-4,rOrden_RN,0),"")</f>
        <v/>
      </c>
      <c r="O49">
        <f>IF($N49="","",INDEX('Cronograma R. Normativo'!$V$5:$V$1000,$N49))</f>
        <v/>
      </c>
      <c r="P49">
        <f>IF($N49="","",N(INDEX('Cronograma R. Normativo'!$W$5:$W$1000,$N49)))</f>
        <v/>
      </c>
      <c r="Q49">
        <f>IF(OR(LEFT($L49,7)="Vencida",LEFT($L49,5)="Vence"),SUMPRODUCT(--(LEFT($L$5:$L49,7)="Vencida"))+SUMPRODUCT(--(LEFT($L$5:$L49,5)="Vence")),"")</f>
        <v/>
      </c>
    </row>
    <row r="50">
      <c r="A50" s="56">
        <f>IF($N50="","",INDEX('Cronograma R. Normativo'!$A$5:$A$1000,$N50))</f>
        <v/>
      </c>
      <c r="B50" s="62">
        <f>IF($N50="","",IF($O50="Sub","      ↳  "&amp;INDEX('Cronograma R. Normativo'!$C$5:$C$1000,$N50),INDEX('Cronograma R. Normativo'!$C$5:$C$1000,$N50)&amp;""))</f>
        <v/>
      </c>
      <c r="C50" s="79">
        <f>IF($N50="","",IF(INDEX('Cronograma R. Normativo'!$AM$5:$AM$1000,$N50)="","",INDEX('Cronograma R. Normativo'!$AM$5:$AM$1000,$N50)))</f>
        <v/>
      </c>
      <c r="D50" s="79">
        <f>IF($N50="","",IF(INDEX('Cronograma R. Normativo'!$AN$5:$AN$1000,$N50)="","",INDEX('Cronograma R. Normativo'!$AN$5:$AN$1000,$N50)))</f>
        <v/>
      </c>
      <c r="E50" s="56">
        <f>IF($N50="","",IF(NOT(ISNUMBER($D50)),"",IF($D50&lt;InicioCiclo,"Antes del ciclo",IF($D50&gt;=InicioCiclo+28,"Después del ciclo","Semana "&amp;(INT(($D50-InicioCiclo)/7)+1)))))</f>
        <v/>
      </c>
      <c r="F50" s="61">
        <f>IF($N50="","",IF($P50&gt;0,IF(1&lt;=SemanaActual,INDEX('Cronograma R. Normativo'!$AC$5:$AC$1000,$N50),""),IF(INDEX('Cronograma R. Normativo'!$I$5:$I$1000,$N50)="","",INDEX('Cronograma R. Normativo'!$I$5:$I$1000,$N50))))</f>
        <v/>
      </c>
      <c r="G50" s="61">
        <f>IF($N50="","",IF($P50&gt;0,IF(2&lt;=SemanaActual,INDEX('Cronograma R. Normativo'!$AD$5:$AD$1000,$N50),""),IF(INDEX('Cronograma R. Normativo'!$J$5:$J$1000,$N50)="","",INDEX('Cronograma R. Normativo'!$J$5:$J$1000,$N50))))</f>
        <v/>
      </c>
      <c r="H50" s="61">
        <f>IF($N50="","",IF($P50&gt;0,IF(3&lt;=SemanaActual,INDEX('Cronograma R. Normativo'!$AE$5:$AE$1000,$N50),""),IF(INDEX('Cronograma R. Normativo'!$K$5:$K$1000,$N50)="","",INDEX('Cronograma R. Normativo'!$K$5:$K$1000,$N50))))</f>
        <v/>
      </c>
      <c r="I50" s="61">
        <f>IF($N50="","",IF($P50&gt;0,IF(4&lt;=SemanaActual,INDEX('Cronograma R. Normativo'!$AF$5:$AF$1000,$N50),""),IF(INDEX('Cronograma R. Normativo'!$L$5:$L$1000,$N50)="","",INDEX('Cronograma R. Normativo'!$L$5:$L$1000,$N50))))</f>
        <v/>
      </c>
      <c r="J50" s="61">
        <f>IF($N50="","",INDEX('Cronograma R. Normativo'!$M$5:$M$1000,$N50))</f>
        <v/>
      </c>
      <c r="K50" s="56">
        <f>IF($N50="","",IF(N($J50)&gt;=1,"Completado",IF(AND(ISNUMBER($D50),$D50&lt;FechaRef),"Vencida",IF(N($J50)&gt;0,"En curso","Pendiente"))))</f>
        <v/>
      </c>
      <c r="L50" s="56">
        <f>IF($N50="","",INDEX('Cronograma R. Normativo'!$O$5:$O$1000,$N50)&amp;"")</f>
        <v/>
      </c>
      <c r="M50" s="62">
        <f>IF($N50="","",INDEX('Cronograma R. Normativo'!$Q$5:$Q$1000,$N50)&amp;"")</f>
        <v/>
      </c>
      <c r="N50">
        <f>IFERROR(MATCH(ROW()-4,rOrden_RN,0),"")</f>
        <v/>
      </c>
      <c r="O50">
        <f>IF($N50="","",INDEX('Cronograma R. Normativo'!$V$5:$V$1000,$N50))</f>
        <v/>
      </c>
      <c r="P50">
        <f>IF($N50="","",N(INDEX('Cronograma R. Normativo'!$W$5:$W$1000,$N50)))</f>
        <v/>
      </c>
      <c r="Q50">
        <f>IF(OR(LEFT($L50,7)="Vencida",LEFT($L50,5)="Vence"),SUMPRODUCT(--(LEFT($L$5:$L50,7)="Vencida"))+SUMPRODUCT(--(LEFT($L$5:$L50,5)="Vence")),"")</f>
        <v/>
      </c>
    </row>
    <row r="51">
      <c r="A51" s="56">
        <f>IF($N51="","",INDEX('Cronograma R. Normativo'!$A$5:$A$1000,$N51))</f>
        <v/>
      </c>
      <c r="B51" s="62">
        <f>IF($N51="","",IF($O51="Sub","      ↳  "&amp;INDEX('Cronograma R. Normativo'!$C$5:$C$1000,$N51),INDEX('Cronograma R. Normativo'!$C$5:$C$1000,$N51)&amp;""))</f>
        <v/>
      </c>
      <c r="C51" s="79">
        <f>IF($N51="","",IF(INDEX('Cronograma R. Normativo'!$AM$5:$AM$1000,$N51)="","",INDEX('Cronograma R. Normativo'!$AM$5:$AM$1000,$N51)))</f>
        <v/>
      </c>
      <c r="D51" s="79">
        <f>IF($N51="","",IF(INDEX('Cronograma R. Normativo'!$AN$5:$AN$1000,$N51)="","",INDEX('Cronograma R. Normativo'!$AN$5:$AN$1000,$N51)))</f>
        <v/>
      </c>
      <c r="E51" s="56">
        <f>IF($N51="","",IF(NOT(ISNUMBER($D51)),"",IF($D51&lt;InicioCiclo,"Antes del ciclo",IF($D51&gt;=InicioCiclo+28,"Después del ciclo","Semana "&amp;(INT(($D51-InicioCiclo)/7)+1)))))</f>
        <v/>
      </c>
      <c r="F51" s="61">
        <f>IF($N51="","",IF($P51&gt;0,IF(1&lt;=SemanaActual,INDEX('Cronograma R. Normativo'!$AC$5:$AC$1000,$N51),""),IF(INDEX('Cronograma R. Normativo'!$I$5:$I$1000,$N51)="","",INDEX('Cronograma R. Normativo'!$I$5:$I$1000,$N51))))</f>
        <v/>
      </c>
      <c r="G51" s="61">
        <f>IF($N51="","",IF($P51&gt;0,IF(2&lt;=SemanaActual,INDEX('Cronograma R. Normativo'!$AD$5:$AD$1000,$N51),""),IF(INDEX('Cronograma R. Normativo'!$J$5:$J$1000,$N51)="","",INDEX('Cronograma R. Normativo'!$J$5:$J$1000,$N51))))</f>
        <v/>
      </c>
      <c r="H51" s="61">
        <f>IF($N51="","",IF($P51&gt;0,IF(3&lt;=SemanaActual,INDEX('Cronograma R. Normativo'!$AE$5:$AE$1000,$N51),""),IF(INDEX('Cronograma R. Normativo'!$K$5:$K$1000,$N51)="","",INDEX('Cronograma R. Normativo'!$K$5:$K$1000,$N51))))</f>
        <v/>
      </c>
      <c r="I51" s="61">
        <f>IF($N51="","",IF($P51&gt;0,IF(4&lt;=SemanaActual,INDEX('Cronograma R. Normativo'!$AF$5:$AF$1000,$N51),""),IF(INDEX('Cronograma R. Normativo'!$L$5:$L$1000,$N51)="","",INDEX('Cronograma R. Normativo'!$L$5:$L$1000,$N51))))</f>
        <v/>
      </c>
      <c r="J51" s="61">
        <f>IF($N51="","",INDEX('Cronograma R. Normativo'!$M$5:$M$1000,$N51))</f>
        <v/>
      </c>
      <c r="K51" s="56">
        <f>IF($N51="","",IF(N($J51)&gt;=1,"Completado",IF(AND(ISNUMBER($D51),$D51&lt;FechaRef),"Vencida",IF(N($J51)&gt;0,"En curso","Pendiente"))))</f>
        <v/>
      </c>
      <c r="L51" s="56">
        <f>IF($N51="","",INDEX('Cronograma R. Normativo'!$O$5:$O$1000,$N51)&amp;"")</f>
        <v/>
      </c>
      <c r="M51" s="62">
        <f>IF($N51="","",INDEX('Cronograma R. Normativo'!$Q$5:$Q$1000,$N51)&amp;"")</f>
        <v/>
      </c>
      <c r="N51">
        <f>IFERROR(MATCH(ROW()-4,rOrden_RN,0),"")</f>
        <v/>
      </c>
      <c r="O51">
        <f>IF($N51="","",INDEX('Cronograma R. Normativo'!$V$5:$V$1000,$N51))</f>
        <v/>
      </c>
      <c r="P51">
        <f>IF($N51="","",N(INDEX('Cronograma R. Normativo'!$W$5:$W$1000,$N51)))</f>
        <v/>
      </c>
      <c r="Q51">
        <f>IF(OR(LEFT($L51,7)="Vencida",LEFT($L51,5)="Vence"),SUMPRODUCT(--(LEFT($L$5:$L51,7)="Vencida"))+SUMPRODUCT(--(LEFT($L$5:$L51,5)="Vence")),"")</f>
        <v/>
      </c>
    </row>
    <row r="52">
      <c r="A52" s="56">
        <f>IF($N52="","",INDEX('Cronograma R. Normativo'!$A$5:$A$1000,$N52))</f>
        <v/>
      </c>
      <c r="B52" s="62">
        <f>IF($N52="","",IF($O52="Sub","      ↳  "&amp;INDEX('Cronograma R. Normativo'!$C$5:$C$1000,$N52),INDEX('Cronograma R. Normativo'!$C$5:$C$1000,$N52)&amp;""))</f>
        <v/>
      </c>
      <c r="C52" s="79">
        <f>IF($N52="","",IF(INDEX('Cronograma R. Normativo'!$AM$5:$AM$1000,$N52)="","",INDEX('Cronograma R. Normativo'!$AM$5:$AM$1000,$N52)))</f>
        <v/>
      </c>
      <c r="D52" s="79">
        <f>IF($N52="","",IF(INDEX('Cronograma R. Normativo'!$AN$5:$AN$1000,$N52)="","",INDEX('Cronograma R. Normativo'!$AN$5:$AN$1000,$N52)))</f>
        <v/>
      </c>
      <c r="E52" s="56">
        <f>IF($N52="","",IF(NOT(ISNUMBER($D52)),"",IF($D52&lt;InicioCiclo,"Antes del ciclo",IF($D52&gt;=InicioCiclo+28,"Después del ciclo","Semana "&amp;(INT(($D52-InicioCiclo)/7)+1)))))</f>
        <v/>
      </c>
      <c r="F52" s="61">
        <f>IF($N52="","",IF($P52&gt;0,IF(1&lt;=SemanaActual,INDEX('Cronograma R. Normativo'!$AC$5:$AC$1000,$N52),""),IF(INDEX('Cronograma R. Normativo'!$I$5:$I$1000,$N52)="","",INDEX('Cronograma R. Normativo'!$I$5:$I$1000,$N52))))</f>
        <v/>
      </c>
      <c r="G52" s="61">
        <f>IF($N52="","",IF($P52&gt;0,IF(2&lt;=SemanaActual,INDEX('Cronograma R. Normativo'!$AD$5:$AD$1000,$N52),""),IF(INDEX('Cronograma R. Normativo'!$J$5:$J$1000,$N52)="","",INDEX('Cronograma R. Normativo'!$J$5:$J$1000,$N52))))</f>
        <v/>
      </c>
      <c r="H52" s="61">
        <f>IF($N52="","",IF($P52&gt;0,IF(3&lt;=SemanaActual,INDEX('Cronograma R. Normativo'!$AE$5:$AE$1000,$N52),""),IF(INDEX('Cronograma R. Normativo'!$K$5:$K$1000,$N52)="","",INDEX('Cronograma R. Normativo'!$K$5:$K$1000,$N52))))</f>
        <v/>
      </c>
      <c r="I52" s="61">
        <f>IF($N52="","",IF($P52&gt;0,IF(4&lt;=SemanaActual,INDEX('Cronograma R. Normativo'!$AF$5:$AF$1000,$N52),""),IF(INDEX('Cronograma R. Normativo'!$L$5:$L$1000,$N52)="","",INDEX('Cronograma R. Normativo'!$L$5:$L$1000,$N52))))</f>
        <v/>
      </c>
      <c r="J52" s="61">
        <f>IF($N52="","",INDEX('Cronograma R. Normativo'!$M$5:$M$1000,$N52))</f>
        <v/>
      </c>
      <c r="K52" s="56">
        <f>IF($N52="","",IF(N($J52)&gt;=1,"Completado",IF(AND(ISNUMBER($D52),$D52&lt;FechaRef),"Vencida",IF(N($J52)&gt;0,"En curso","Pendiente"))))</f>
        <v/>
      </c>
      <c r="L52" s="56">
        <f>IF($N52="","",INDEX('Cronograma R. Normativo'!$O$5:$O$1000,$N52)&amp;"")</f>
        <v/>
      </c>
      <c r="M52" s="62">
        <f>IF($N52="","",INDEX('Cronograma R. Normativo'!$Q$5:$Q$1000,$N52)&amp;"")</f>
        <v/>
      </c>
      <c r="N52">
        <f>IFERROR(MATCH(ROW()-4,rOrden_RN,0),"")</f>
        <v/>
      </c>
      <c r="O52">
        <f>IF($N52="","",INDEX('Cronograma R. Normativo'!$V$5:$V$1000,$N52))</f>
        <v/>
      </c>
      <c r="P52">
        <f>IF($N52="","",N(INDEX('Cronograma R. Normativo'!$W$5:$W$1000,$N52)))</f>
        <v/>
      </c>
      <c r="Q52">
        <f>IF(OR(LEFT($L52,7)="Vencida",LEFT($L52,5)="Vence"),SUMPRODUCT(--(LEFT($L$5:$L52,7)="Vencida"))+SUMPRODUCT(--(LEFT($L$5:$L52,5)="Vence")),"")</f>
        <v/>
      </c>
    </row>
    <row r="53">
      <c r="A53" s="56">
        <f>IF($N53="","",INDEX('Cronograma R. Normativo'!$A$5:$A$1000,$N53))</f>
        <v/>
      </c>
      <c r="B53" s="62">
        <f>IF($N53="","",IF($O53="Sub","      ↳  "&amp;INDEX('Cronograma R. Normativo'!$C$5:$C$1000,$N53),INDEX('Cronograma R. Normativo'!$C$5:$C$1000,$N53)&amp;""))</f>
        <v/>
      </c>
      <c r="C53" s="79">
        <f>IF($N53="","",IF(INDEX('Cronograma R. Normativo'!$AM$5:$AM$1000,$N53)="","",INDEX('Cronograma R. Normativo'!$AM$5:$AM$1000,$N53)))</f>
        <v/>
      </c>
      <c r="D53" s="79">
        <f>IF($N53="","",IF(INDEX('Cronograma R. Normativo'!$AN$5:$AN$1000,$N53)="","",INDEX('Cronograma R. Normativo'!$AN$5:$AN$1000,$N53)))</f>
        <v/>
      </c>
      <c r="E53" s="56">
        <f>IF($N53="","",IF(NOT(ISNUMBER($D53)),"",IF($D53&lt;InicioCiclo,"Antes del ciclo",IF($D53&gt;=InicioCiclo+28,"Después del ciclo","Semana "&amp;(INT(($D53-InicioCiclo)/7)+1)))))</f>
        <v/>
      </c>
      <c r="F53" s="61">
        <f>IF($N53="","",IF($P53&gt;0,IF(1&lt;=SemanaActual,INDEX('Cronograma R. Normativo'!$AC$5:$AC$1000,$N53),""),IF(INDEX('Cronograma R. Normativo'!$I$5:$I$1000,$N53)="","",INDEX('Cronograma R. Normativo'!$I$5:$I$1000,$N53))))</f>
        <v/>
      </c>
      <c r="G53" s="61">
        <f>IF($N53="","",IF($P53&gt;0,IF(2&lt;=SemanaActual,INDEX('Cronograma R. Normativo'!$AD$5:$AD$1000,$N53),""),IF(INDEX('Cronograma R. Normativo'!$J$5:$J$1000,$N53)="","",INDEX('Cronograma R. Normativo'!$J$5:$J$1000,$N53))))</f>
        <v/>
      </c>
      <c r="H53" s="61">
        <f>IF($N53="","",IF($P53&gt;0,IF(3&lt;=SemanaActual,INDEX('Cronograma R. Normativo'!$AE$5:$AE$1000,$N53),""),IF(INDEX('Cronograma R. Normativo'!$K$5:$K$1000,$N53)="","",INDEX('Cronograma R. Normativo'!$K$5:$K$1000,$N53))))</f>
        <v/>
      </c>
      <c r="I53" s="61">
        <f>IF($N53="","",IF($P53&gt;0,IF(4&lt;=SemanaActual,INDEX('Cronograma R. Normativo'!$AF$5:$AF$1000,$N53),""),IF(INDEX('Cronograma R. Normativo'!$L$5:$L$1000,$N53)="","",INDEX('Cronograma R. Normativo'!$L$5:$L$1000,$N53))))</f>
        <v/>
      </c>
      <c r="J53" s="61">
        <f>IF($N53="","",INDEX('Cronograma R. Normativo'!$M$5:$M$1000,$N53))</f>
        <v/>
      </c>
      <c r="K53" s="56">
        <f>IF($N53="","",IF(N($J53)&gt;=1,"Completado",IF(AND(ISNUMBER($D53),$D53&lt;FechaRef),"Vencida",IF(N($J53)&gt;0,"En curso","Pendiente"))))</f>
        <v/>
      </c>
      <c r="L53" s="56">
        <f>IF($N53="","",INDEX('Cronograma R. Normativo'!$O$5:$O$1000,$N53)&amp;"")</f>
        <v/>
      </c>
      <c r="M53" s="62">
        <f>IF($N53="","",INDEX('Cronograma R. Normativo'!$Q$5:$Q$1000,$N53)&amp;"")</f>
        <v/>
      </c>
      <c r="N53">
        <f>IFERROR(MATCH(ROW()-4,rOrden_RN,0),"")</f>
        <v/>
      </c>
      <c r="O53">
        <f>IF($N53="","",INDEX('Cronograma R. Normativo'!$V$5:$V$1000,$N53))</f>
        <v/>
      </c>
      <c r="P53">
        <f>IF($N53="","",N(INDEX('Cronograma R. Normativo'!$W$5:$W$1000,$N53)))</f>
        <v/>
      </c>
      <c r="Q53">
        <f>IF(OR(LEFT($L53,7)="Vencida",LEFT($L53,5)="Vence"),SUMPRODUCT(--(LEFT($L$5:$L53,7)="Vencida"))+SUMPRODUCT(--(LEFT($L$5:$L53,5)="Vence")),"")</f>
        <v/>
      </c>
    </row>
    <row r="54">
      <c r="A54" s="56">
        <f>IF($N54="","",INDEX('Cronograma R. Normativo'!$A$5:$A$1000,$N54))</f>
        <v/>
      </c>
      <c r="B54" s="62">
        <f>IF($N54="","",IF($O54="Sub","      ↳  "&amp;INDEX('Cronograma R. Normativo'!$C$5:$C$1000,$N54),INDEX('Cronograma R. Normativo'!$C$5:$C$1000,$N54)&amp;""))</f>
        <v/>
      </c>
      <c r="C54" s="79">
        <f>IF($N54="","",IF(INDEX('Cronograma R. Normativo'!$AM$5:$AM$1000,$N54)="","",INDEX('Cronograma R. Normativo'!$AM$5:$AM$1000,$N54)))</f>
        <v/>
      </c>
      <c r="D54" s="79">
        <f>IF($N54="","",IF(INDEX('Cronograma R. Normativo'!$AN$5:$AN$1000,$N54)="","",INDEX('Cronograma R. Normativo'!$AN$5:$AN$1000,$N54)))</f>
        <v/>
      </c>
      <c r="E54" s="56">
        <f>IF($N54="","",IF(NOT(ISNUMBER($D54)),"",IF($D54&lt;InicioCiclo,"Antes del ciclo",IF($D54&gt;=InicioCiclo+28,"Después del ciclo","Semana "&amp;(INT(($D54-InicioCiclo)/7)+1)))))</f>
        <v/>
      </c>
      <c r="F54" s="61">
        <f>IF($N54="","",IF($P54&gt;0,IF(1&lt;=SemanaActual,INDEX('Cronograma R. Normativo'!$AC$5:$AC$1000,$N54),""),IF(INDEX('Cronograma R. Normativo'!$I$5:$I$1000,$N54)="","",INDEX('Cronograma R. Normativo'!$I$5:$I$1000,$N54))))</f>
        <v/>
      </c>
      <c r="G54" s="61">
        <f>IF($N54="","",IF($P54&gt;0,IF(2&lt;=SemanaActual,INDEX('Cronograma R. Normativo'!$AD$5:$AD$1000,$N54),""),IF(INDEX('Cronograma R. Normativo'!$J$5:$J$1000,$N54)="","",INDEX('Cronograma R. Normativo'!$J$5:$J$1000,$N54))))</f>
        <v/>
      </c>
      <c r="H54" s="61">
        <f>IF($N54="","",IF($P54&gt;0,IF(3&lt;=SemanaActual,INDEX('Cronograma R. Normativo'!$AE$5:$AE$1000,$N54),""),IF(INDEX('Cronograma R. Normativo'!$K$5:$K$1000,$N54)="","",INDEX('Cronograma R. Normativo'!$K$5:$K$1000,$N54))))</f>
        <v/>
      </c>
      <c r="I54" s="61">
        <f>IF($N54="","",IF($P54&gt;0,IF(4&lt;=SemanaActual,INDEX('Cronograma R. Normativo'!$AF$5:$AF$1000,$N54),""),IF(INDEX('Cronograma R. Normativo'!$L$5:$L$1000,$N54)="","",INDEX('Cronograma R. Normativo'!$L$5:$L$1000,$N54))))</f>
        <v/>
      </c>
      <c r="J54" s="61">
        <f>IF($N54="","",INDEX('Cronograma R. Normativo'!$M$5:$M$1000,$N54))</f>
        <v/>
      </c>
      <c r="K54" s="56">
        <f>IF($N54="","",IF(N($J54)&gt;=1,"Completado",IF(AND(ISNUMBER($D54),$D54&lt;FechaRef),"Vencida",IF(N($J54)&gt;0,"En curso","Pendiente"))))</f>
        <v/>
      </c>
      <c r="L54" s="56">
        <f>IF($N54="","",INDEX('Cronograma R. Normativo'!$O$5:$O$1000,$N54)&amp;"")</f>
        <v/>
      </c>
      <c r="M54" s="62">
        <f>IF($N54="","",INDEX('Cronograma R. Normativo'!$Q$5:$Q$1000,$N54)&amp;"")</f>
        <v/>
      </c>
      <c r="N54">
        <f>IFERROR(MATCH(ROW()-4,rOrden_RN,0),"")</f>
        <v/>
      </c>
      <c r="O54">
        <f>IF($N54="","",INDEX('Cronograma R. Normativo'!$V$5:$V$1000,$N54))</f>
        <v/>
      </c>
      <c r="P54">
        <f>IF($N54="","",N(INDEX('Cronograma R. Normativo'!$W$5:$W$1000,$N54)))</f>
        <v/>
      </c>
      <c r="Q54">
        <f>IF(OR(LEFT($L54,7)="Vencida",LEFT($L54,5)="Vence"),SUMPRODUCT(--(LEFT($L$5:$L54,7)="Vencida"))+SUMPRODUCT(--(LEFT($L$5:$L54,5)="Vence")),"")</f>
        <v/>
      </c>
    </row>
    <row r="55">
      <c r="A55" s="56">
        <f>IF($N55="","",INDEX('Cronograma R. Normativo'!$A$5:$A$1000,$N55))</f>
        <v/>
      </c>
      <c r="B55" s="62">
        <f>IF($N55="","",IF($O55="Sub","      ↳  "&amp;INDEX('Cronograma R. Normativo'!$C$5:$C$1000,$N55),INDEX('Cronograma R. Normativo'!$C$5:$C$1000,$N55)&amp;""))</f>
        <v/>
      </c>
      <c r="C55" s="79">
        <f>IF($N55="","",IF(INDEX('Cronograma R. Normativo'!$AM$5:$AM$1000,$N55)="","",INDEX('Cronograma R. Normativo'!$AM$5:$AM$1000,$N55)))</f>
        <v/>
      </c>
      <c r="D55" s="79">
        <f>IF($N55="","",IF(INDEX('Cronograma R. Normativo'!$AN$5:$AN$1000,$N55)="","",INDEX('Cronograma R. Normativo'!$AN$5:$AN$1000,$N55)))</f>
        <v/>
      </c>
      <c r="E55" s="56">
        <f>IF($N55="","",IF(NOT(ISNUMBER($D55)),"",IF($D55&lt;InicioCiclo,"Antes del ciclo",IF($D55&gt;=InicioCiclo+28,"Después del ciclo","Semana "&amp;(INT(($D55-InicioCiclo)/7)+1)))))</f>
        <v/>
      </c>
      <c r="F55" s="61">
        <f>IF($N55="","",IF($P55&gt;0,IF(1&lt;=SemanaActual,INDEX('Cronograma R. Normativo'!$AC$5:$AC$1000,$N55),""),IF(INDEX('Cronograma R. Normativo'!$I$5:$I$1000,$N55)="","",INDEX('Cronograma R. Normativo'!$I$5:$I$1000,$N55))))</f>
        <v/>
      </c>
      <c r="G55" s="61">
        <f>IF($N55="","",IF($P55&gt;0,IF(2&lt;=SemanaActual,INDEX('Cronograma R. Normativo'!$AD$5:$AD$1000,$N55),""),IF(INDEX('Cronograma R. Normativo'!$J$5:$J$1000,$N55)="","",INDEX('Cronograma R. Normativo'!$J$5:$J$1000,$N55))))</f>
        <v/>
      </c>
      <c r="H55" s="61">
        <f>IF($N55="","",IF($P55&gt;0,IF(3&lt;=SemanaActual,INDEX('Cronograma R. Normativo'!$AE$5:$AE$1000,$N55),""),IF(INDEX('Cronograma R. Normativo'!$K$5:$K$1000,$N55)="","",INDEX('Cronograma R. Normativo'!$K$5:$K$1000,$N55))))</f>
        <v/>
      </c>
      <c r="I55" s="61">
        <f>IF($N55="","",IF($P55&gt;0,IF(4&lt;=SemanaActual,INDEX('Cronograma R. Normativo'!$AF$5:$AF$1000,$N55),""),IF(INDEX('Cronograma R. Normativo'!$L$5:$L$1000,$N55)="","",INDEX('Cronograma R. Normativo'!$L$5:$L$1000,$N55))))</f>
        <v/>
      </c>
      <c r="J55" s="61">
        <f>IF($N55="","",INDEX('Cronograma R. Normativo'!$M$5:$M$1000,$N55))</f>
        <v/>
      </c>
      <c r="K55" s="56">
        <f>IF($N55="","",IF(N($J55)&gt;=1,"Completado",IF(AND(ISNUMBER($D55),$D55&lt;FechaRef),"Vencida",IF(N($J55)&gt;0,"En curso","Pendiente"))))</f>
        <v/>
      </c>
      <c r="L55" s="56">
        <f>IF($N55="","",INDEX('Cronograma R. Normativo'!$O$5:$O$1000,$N55)&amp;"")</f>
        <v/>
      </c>
      <c r="M55" s="62">
        <f>IF($N55="","",INDEX('Cronograma R. Normativo'!$Q$5:$Q$1000,$N55)&amp;"")</f>
        <v/>
      </c>
      <c r="N55">
        <f>IFERROR(MATCH(ROW()-4,rOrden_RN,0),"")</f>
        <v/>
      </c>
      <c r="O55">
        <f>IF($N55="","",INDEX('Cronograma R. Normativo'!$V$5:$V$1000,$N55))</f>
        <v/>
      </c>
      <c r="P55">
        <f>IF($N55="","",N(INDEX('Cronograma R. Normativo'!$W$5:$W$1000,$N55)))</f>
        <v/>
      </c>
      <c r="Q55">
        <f>IF(OR(LEFT($L55,7)="Vencida",LEFT($L55,5)="Vence"),SUMPRODUCT(--(LEFT($L$5:$L55,7)="Vencida"))+SUMPRODUCT(--(LEFT($L$5:$L55,5)="Vence")),"")</f>
        <v/>
      </c>
    </row>
    <row r="56">
      <c r="A56" s="56">
        <f>IF($N56="","",INDEX('Cronograma R. Normativo'!$A$5:$A$1000,$N56))</f>
        <v/>
      </c>
      <c r="B56" s="62">
        <f>IF($N56="","",IF($O56="Sub","      ↳  "&amp;INDEX('Cronograma R. Normativo'!$C$5:$C$1000,$N56),INDEX('Cronograma R. Normativo'!$C$5:$C$1000,$N56)&amp;""))</f>
        <v/>
      </c>
      <c r="C56" s="79">
        <f>IF($N56="","",IF(INDEX('Cronograma R. Normativo'!$AM$5:$AM$1000,$N56)="","",INDEX('Cronograma R. Normativo'!$AM$5:$AM$1000,$N56)))</f>
        <v/>
      </c>
      <c r="D56" s="79">
        <f>IF($N56="","",IF(INDEX('Cronograma R. Normativo'!$AN$5:$AN$1000,$N56)="","",INDEX('Cronograma R. Normativo'!$AN$5:$AN$1000,$N56)))</f>
        <v/>
      </c>
      <c r="E56" s="56">
        <f>IF($N56="","",IF(NOT(ISNUMBER($D56)),"",IF($D56&lt;InicioCiclo,"Antes del ciclo",IF($D56&gt;=InicioCiclo+28,"Después del ciclo","Semana "&amp;(INT(($D56-InicioCiclo)/7)+1)))))</f>
        <v/>
      </c>
      <c r="F56" s="61">
        <f>IF($N56="","",IF($P56&gt;0,IF(1&lt;=SemanaActual,INDEX('Cronograma R. Normativo'!$AC$5:$AC$1000,$N56),""),IF(INDEX('Cronograma R. Normativo'!$I$5:$I$1000,$N56)="","",INDEX('Cronograma R. Normativo'!$I$5:$I$1000,$N56))))</f>
        <v/>
      </c>
      <c r="G56" s="61">
        <f>IF($N56="","",IF($P56&gt;0,IF(2&lt;=SemanaActual,INDEX('Cronograma R. Normativo'!$AD$5:$AD$1000,$N56),""),IF(INDEX('Cronograma R. Normativo'!$J$5:$J$1000,$N56)="","",INDEX('Cronograma R. Normativo'!$J$5:$J$1000,$N56))))</f>
        <v/>
      </c>
      <c r="H56" s="61">
        <f>IF($N56="","",IF($P56&gt;0,IF(3&lt;=SemanaActual,INDEX('Cronograma R. Normativo'!$AE$5:$AE$1000,$N56),""),IF(INDEX('Cronograma R. Normativo'!$K$5:$K$1000,$N56)="","",INDEX('Cronograma R. Normativo'!$K$5:$K$1000,$N56))))</f>
        <v/>
      </c>
      <c r="I56" s="61">
        <f>IF($N56="","",IF($P56&gt;0,IF(4&lt;=SemanaActual,INDEX('Cronograma R. Normativo'!$AF$5:$AF$1000,$N56),""),IF(INDEX('Cronograma R. Normativo'!$L$5:$L$1000,$N56)="","",INDEX('Cronograma R. Normativo'!$L$5:$L$1000,$N56))))</f>
        <v/>
      </c>
      <c r="J56" s="61">
        <f>IF($N56="","",INDEX('Cronograma R. Normativo'!$M$5:$M$1000,$N56))</f>
        <v/>
      </c>
      <c r="K56" s="56">
        <f>IF($N56="","",IF(N($J56)&gt;=1,"Completado",IF(AND(ISNUMBER($D56),$D56&lt;FechaRef),"Vencida",IF(N($J56)&gt;0,"En curso","Pendiente"))))</f>
        <v/>
      </c>
      <c r="L56" s="56">
        <f>IF($N56="","",INDEX('Cronograma R. Normativo'!$O$5:$O$1000,$N56)&amp;"")</f>
        <v/>
      </c>
      <c r="M56" s="62">
        <f>IF($N56="","",INDEX('Cronograma R. Normativo'!$Q$5:$Q$1000,$N56)&amp;"")</f>
        <v/>
      </c>
      <c r="N56">
        <f>IFERROR(MATCH(ROW()-4,rOrden_RN,0),"")</f>
        <v/>
      </c>
      <c r="O56">
        <f>IF($N56="","",INDEX('Cronograma R. Normativo'!$V$5:$V$1000,$N56))</f>
        <v/>
      </c>
      <c r="P56">
        <f>IF($N56="","",N(INDEX('Cronograma R. Normativo'!$W$5:$W$1000,$N56)))</f>
        <v/>
      </c>
      <c r="Q56">
        <f>IF(OR(LEFT($L56,7)="Vencida",LEFT($L56,5)="Vence"),SUMPRODUCT(--(LEFT($L$5:$L56,7)="Vencida"))+SUMPRODUCT(--(LEFT($L$5:$L56,5)="Vence")),"")</f>
        <v/>
      </c>
    </row>
    <row r="57">
      <c r="A57" s="56">
        <f>IF($N57="","",INDEX('Cronograma R. Normativo'!$A$5:$A$1000,$N57))</f>
        <v/>
      </c>
      <c r="B57" s="62">
        <f>IF($N57="","",IF($O57="Sub","      ↳  "&amp;INDEX('Cronograma R. Normativo'!$C$5:$C$1000,$N57),INDEX('Cronograma R. Normativo'!$C$5:$C$1000,$N57)&amp;""))</f>
        <v/>
      </c>
      <c r="C57" s="79">
        <f>IF($N57="","",IF(INDEX('Cronograma R. Normativo'!$AM$5:$AM$1000,$N57)="","",INDEX('Cronograma R. Normativo'!$AM$5:$AM$1000,$N57)))</f>
        <v/>
      </c>
      <c r="D57" s="79">
        <f>IF($N57="","",IF(INDEX('Cronograma R. Normativo'!$AN$5:$AN$1000,$N57)="","",INDEX('Cronograma R. Normativo'!$AN$5:$AN$1000,$N57)))</f>
        <v/>
      </c>
      <c r="E57" s="56">
        <f>IF($N57="","",IF(NOT(ISNUMBER($D57)),"",IF($D57&lt;InicioCiclo,"Antes del ciclo",IF($D57&gt;=InicioCiclo+28,"Después del ciclo","Semana "&amp;(INT(($D57-InicioCiclo)/7)+1)))))</f>
        <v/>
      </c>
      <c r="F57" s="61">
        <f>IF($N57="","",IF($P57&gt;0,IF(1&lt;=SemanaActual,INDEX('Cronograma R. Normativo'!$AC$5:$AC$1000,$N57),""),IF(INDEX('Cronograma R. Normativo'!$I$5:$I$1000,$N57)="","",INDEX('Cronograma R. Normativo'!$I$5:$I$1000,$N57))))</f>
        <v/>
      </c>
      <c r="G57" s="61">
        <f>IF($N57="","",IF($P57&gt;0,IF(2&lt;=SemanaActual,INDEX('Cronograma R. Normativo'!$AD$5:$AD$1000,$N57),""),IF(INDEX('Cronograma R. Normativo'!$J$5:$J$1000,$N57)="","",INDEX('Cronograma R. Normativo'!$J$5:$J$1000,$N57))))</f>
        <v/>
      </c>
      <c r="H57" s="61">
        <f>IF($N57="","",IF($P57&gt;0,IF(3&lt;=SemanaActual,INDEX('Cronograma R. Normativo'!$AE$5:$AE$1000,$N57),""),IF(INDEX('Cronograma R. Normativo'!$K$5:$K$1000,$N57)="","",INDEX('Cronograma R. Normativo'!$K$5:$K$1000,$N57))))</f>
        <v/>
      </c>
      <c r="I57" s="61">
        <f>IF($N57="","",IF($P57&gt;0,IF(4&lt;=SemanaActual,INDEX('Cronograma R. Normativo'!$AF$5:$AF$1000,$N57),""),IF(INDEX('Cronograma R. Normativo'!$L$5:$L$1000,$N57)="","",INDEX('Cronograma R. Normativo'!$L$5:$L$1000,$N57))))</f>
        <v/>
      </c>
      <c r="J57" s="61">
        <f>IF($N57="","",INDEX('Cronograma R. Normativo'!$M$5:$M$1000,$N57))</f>
        <v/>
      </c>
      <c r="K57" s="56">
        <f>IF($N57="","",IF(N($J57)&gt;=1,"Completado",IF(AND(ISNUMBER($D57),$D57&lt;FechaRef),"Vencida",IF(N($J57)&gt;0,"En curso","Pendiente"))))</f>
        <v/>
      </c>
      <c r="L57" s="56">
        <f>IF($N57="","",INDEX('Cronograma R. Normativo'!$O$5:$O$1000,$N57)&amp;"")</f>
        <v/>
      </c>
      <c r="M57" s="62">
        <f>IF($N57="","",INDEX('Cronograma R. Normativo'!$Q$5:$Q$1000,$N57)&amp;"")</f>
        <v/>
      </c>
      <c r="N57">
        <f>IFERROR(MATCH(ROW()-4,rOrden_RN,0),"")</f>
        <v/>
      </c>
      <c r="O57">
        <f>IF($N57="","",INDEX('Cronograma R. Normativo'!$V$5:$V$1000,$N57))</f>
        <v/>
      </c>
      <c r="P57">
        <f>IF($N57="","",N(INDEX('Cronograma R. Normativo'!$W$5:$W$1000,$N57)))</f>
        <v/>
      </c>
      <c r="Q57">
        <f>IF(OR(LEFT($L57,7)="Vencida",LEFT($L57,5)="Vence"),SUMPRODUCT(--(LEFT($L$5:$L57,7)="Vencida"))+SUMPRODUCT(--(LEFT($L$5:$L57,5)="Vence")),"")</f>
        <v/>
      </c>
    </row>
    <row r="58">
      <c r="A58" s="56">
        <f>IF($N58="","",INDEX('Cronograma R. Normativo'!$A$5:$A$1000,$N58))</f>
        <v/>
      </c>
      <c r="B58" s="62">
        <f>IF($N58="","",IF($O58="Sub","      ↳  "&amp;INDEX('Cronograma R. Normativo'!$C$5:$C$1000,$N58),INDEX('Cronograma R. Normativo'!$C$5:$C$1000,$N58)&amp;""))</f>
        <v/>
      </c>
      <c r="C58" s="79">
        <f>IF($N58="","",IF(INDEX('Cronograma R. Normativo'!$AM$5:$AM$1000,$N58)="","",INDEX('Cronograma R. Normativo'!$AM$5:$AM$1000,$N58)))</f>
        <v/>
      </c>
      <c r="D58" s="79">
        <f>IF($N58="","",IF(INDEX('Cronograma R. Normativo'!$AN$5:$AN$1000,$N58)="","",INDEX('Cronograma R. Normativo'!$AN$5:$AN$1000,$N58)))</f>
        <v/>
      </c>
      <c r="E58" s="56">
        <f>IF($N58="","",IF(NOT(ISNUMBER($D58)),"",IF($D58&lt;InicioCiclo,"Antes del ciclo",IF($D58&gt;=InicioCiclo+28,"Después del ciclo","Semana "&amp;(INT(($D58-InicioCiclo)/7)+1)))))</f>
        <v/>
      </c>
      <c r="F58" s="61">
        <f>IF($N58="","",IF($P58&gt;0,IF(1&lt;=SemanaActual,INDEX('Cronograma R. Normativo'!$AC$5:$AC$1000,$N58),""),IF(INDEX('Cronograma R. Normativo'!$I$5:$I$1000,$N58)="","",INDEX('Cronograma R. Normativo'!$I$5:$I$1000,$N58))))</f>
        <v/>
      </c>
      <c r="G58" s="61">
        <f>IF($N58="","",IF($P58&gt;0,IF(2&lt;=SemanaActual,INDEX('Cronograma R. Normativo'!$AD$5:$AD$1000,$N58),""),IF(INDEX('Cronograma R. Normativo'!$J$5:$J$1000,$N58)="","",INDEX('Cronograma R. Normativo'!$J$5:$J$1000,$N58))))</f>
        <v/>
      </c>
      <c r="H58" s="61">
        <f>IF($N58="","",IF($P58&gt;0,IF(3&lt;=SemanaActual,INDEX('Cronograma R. Normativo'!$AE$5:$AE$1000,$N58),""),IF(INDEX('Cronograma R. Normativo'!$K$5:$K$1000,$N58)="","",INDEX('Cronograma R. Normativo'!$K$5:$K$1000,$N58))))</f>
        <v/>
      </c>
      <c r="I58" s="61">
        <f>IF($N58="","",IF($P58&gt;0,IF(4&lt;=SemanaActual,INDEX('Cronograma R. Normativo'!$AF$5:$AF$1000,$N58),""),IF(INDEX('Cronograma R. Normativo'!$L$5:$L$1000,$N58)="","",INDEX('Cronograma R. Normativo'!$L$5:$L$1000,$N58))))</f>
        <v/>
      </c>
      <c r="J58" s="61">
        <f>IF($N58="","",INDEX('Cronograma R. Normativo'!$M$5:$M$1000,$N58))</f>
        <v/>
      </c>
      <c r="K58" s="56">
        <f>IF($N58="","",IF(N($J58)&gt;=1,"Completado",IF(AND(ISNUMBER($D58),$D58&lt;FechaRef),"Vencida",IF(N($J58)&gt;0,"En curso","Pendiente"))))</f>
        <v/>
      </c>
      <c r="L58" s="56">
        <f>IF($N58="","",INDEX('Cronograma R. Normativo'!$O$5:$O$1000,$N58)&amp;"")</f>
        <v/>
      </c>
      <c r="M58" s="62">
        <f>IF($N58="","",INDEX('Cronograma R. Normativo'!$Q$5:$Q$1000,$N58)&amp;"")</f>
        <v/>
      </c>
      <c r="N58">
        <f>IFERROR(MATCH(ROW()-4,rOrden_RN,0),"")</f>
        <v/>
      </c>
      <c r="O58">
        <f>IF($N58="","",INDEX('Cronograma R. Normativo'!$V$5:$V$1000,$N58))</f>
        <v/>
      </c>
      <c r="P58">
        <f>IF($N58="","",N(INDEX('Cronograma R. Normativo'!$W$5:$W$1000,$N58)))</f>
        <v/>
      </c>
      <c r="Q58">
        <f>IF(OR(LEFT($L58,7)="Vencida",LEFT($L58,5)="Vence"),SUMPRODUCT(--(LEFT($L$5:$L58,7)="Vencida"))+SUMPRODUCT(--(LEFT($L$5:$L58,5)="Vence")),"")</f>
        <v/>
      </c>
    </row>
    <row r="59">
      <c r="A59" s="56">
        <f>IF($N59="","",INDEX('Cronograma R. Normativo'!$A$5:$A$1000,$N59))</f>
        <v/>
      </c>
      <c r="B59" s="62">
        <f>IF($N59="","",IF($O59="Sub","      ↳  "&amp;INDEX('Cronograma R. Normativo'!$C$5:$C$1000,$N59),INDEX('Cronograma R. Normativo'!$C$5:$C$1000,$N59)&amp;""))</f>
        <v/>
      </c>
      <c r="C59" s="79">
        <f>IF($N59="","",IF(INDEX('Cronograma R. Normativo'!$AM$5:$AM$1000,$N59)="","",INDEX('Cronograma R. Normativo'!$AM$5:$AM$1000,$N59)))</f>
        <v/>
      </c>
      <c r="D59" s="79">
        <f>IF($N59="","",IF(INDEX('Cronograma R. Normativo'!$AN$5:$AN$1000,$N59)="","",INDEX('Cronograma R. Normativo'!$AN$5:$AN$1000,$N59)))</f>
        <v/>
      </c>
      <c r="E59" s="56">
        <f>IF($N59="","",IF(NOT(ISNUMBER($D59)),"",IF($D59&lt;InicioCiclo,"Antes del ciclo",IF($D59&gt;=InicioCiclo+28,"Después del ciclo","Semana "&amp;(INT(($D59-InicioCiclo)/7)+1)))))</f>
        <v/>
      </c>
      <c r="F59" s="61">
        <f>IF($N59="","",IF($P59&gt;0,IF(1&lt;=SemanaActual,INDEX('Cronograma R. Normativo'!$AC$5:$AC$1000,$N59),""),IF(INDEX('Cronograma R. Normativo'!$I$5:$I$1000,$N59)="","",INDEX('Cronograma R. Normativo'!$I$5:$I$1000,$N59))))</f>
        <v/>
      </c>
      <c r="G59" s="61">
        <f>IF($N59="","",IF($P59&gt;0,IF(2&lt;=SemanaActual,INDEX('Cronograma R. Normativo'!$AD$5:$AD$1000,$N59),""),IF(INDEX('Cronograma R. Normativo'!$J$5:$J$1000,$N59)="","",INDEX('Cronograma R. Normativo'!$J$5:$J$1000,$N59))))</f>
        <v/>
      </c>
      <c r="H59" s="61">
        <f>IF($N59="","",IF($P59&gt;0,IF(3&lt;=SemanaActual,INDEX('Cronograma R. Normativo'!$AE$5:$AE$1000,$N59),""),IF(INDEX('Cronograma R. Normativo'!$K$5:$K$1000,$N59)="","",INDEX('Cronograma R. Normativo'!$K$5:$K$1000,$N59))))</f>
        <v/>
      </c>
      <c r="I59" s="61">
        <f>IF($N59="","",IF($P59&gt;0,IF(4&lt;=SemanaActual,INDEX('Cronograma R. Normativo'!$AF$5:$AF$1000,$N59),""),IF(INDEX('Cronograma R. Normativo'!$L$5:$L$1000,$N59)="","",INDEX('Cronograma R. Normativo'!$L$5:$L$1000,$N59))))</f>
        <v/>
      </c>
      <c r="J59" s="61">
        <f>IF($N59="","",INDEX('Cronograma R. Normativo'!$M$5:$M$1000,$N59))</f>
        <v/>
      </c>
      <c r="K59" s="56">
        <f>IF($N59="","",IF(N($J59)&gt;=1,"Completado",IF(AND(ISNUMBER($D59),$D59&lt;FechaRef),"Vencida",IF(N($J59)&gt;0,"En curso","Pendiente"))))</f>
        <v/>
      </c>
      <c r="L59" s="56">
        <f>IF($N59="","",INDEX('Cronograma R. Normativo'!$O$5:$O$1000,$N59)&amp;"")</f>
        <v/>
      </c>
      <c r="M59" s="62">
        <f>IF($N59="","",INDEX('Cronograma R. Normativo'!$Q$5:$Q$1000,$N59)&amp;"")</f>
        <v/>
      </c>
      <c r="N59">
        <f>IFERROR(MATCH(ROW()-4,rOrden_RN,0),"")</f>
        <v/>
      </c>
      <c r="O59">
        <f>IF($N59="","",INDEX('Cronograma R. Normativo'!$V$5:$V$1000,$N59))</f>
        <v/>
      </c>
      <c r="P59">
        <f>IF($N59="","",N(INDEX('Cronograma R. Normativo'!$W$5:$W$1000,$N59)))</f>
        <v/>
      </c>
      <c r="Q59">
        <f>IF(OR(LEFT($L59,7)="Vencida",LEFT($L59,5)="Vence"),SUMPRODUCT(--(LEFT($L$5:$L59,7)="Vencida"))+SUMPRODUCT(--(LEFT($L$5:$L59,5)="Vence")),"")</f>
        <v/>
      </c>
    </row>
    <row r="60">
      <c r="A60" s="56">
        <f>IF($N60="","",INDEX('Cronograma R. Normativo'!$A$5:$A$1000,$N60))</f>
        <v/>
      </c>
      <c r="B60" s="62">
        <f>IF($N60="","",IF($O60="Sub","      ↳  "&amp;INDEX('Cronograma R. Normativo'!$C$5:$C$1000,$N60),INDEX('Cronograma R. Normativo'!$C$5:$C$1000,$N60)&amp;""))</f>
        <v/>
      </c>
      <c r="C60" s="79">
        <f>IF($N60="","",IF(INDEX('Cronograma R. Normativo'!$AM$5:$AM$1000,$N60)="","",INDEX('Cronograma R. Normativo'!$AM$5:$AM$1000,$N60)))</f>
        <v/>
      </c>
      <c r="D60" s="79">
        <f>IF($N60="","",IF(INDEX('Cronograma R. Normativo'!$AN$5:$AN$1000,$N60)="","",INDEX('Cronograma R. Normativo'!$AN$5:$AN$1000,$N60)))</f>
        <v/>
      </c>
      <c r="E60" s="56">
        <f>IF($N60="","",IF(NOT(ISNUMBER($D60)),"",IF($D60&lt;InicioCiclo,"Antes del ciclo",IF($D60&gt;=InicioCiclo+28,"Después del ciclo","Semana "&amp;(INT(($D60-InicioCiclo)/7)+1)))))</f>
        <v/>
      </c>
      <c r="F60" s="61">
        <f>IF($N60="","",IF($P60&gt;0,IF(1&lt;=SemanaActual,INDEX('Cronograma R. Normativo'!$AC$5:$AC$1000,$N60),""),IF(INDEX('Cronograma R. Normativo'!$I$5:$I$1000,$N60)="","",INDEX('Cronograma R. Normativo'!$I$5:$I$1000,$N60))))</f>
        <v/>
      </c>
      <c r="G60" s="61">
        <f>IF($N60="","",IF($P60&gt;0,IF(2&lt;=SemanaActual,INDEX('Cronograma R. Normativo'!$AD$5:$AD$1000,$N60),""),IF(INDEX('Cronograma R. Normativo'!$J$5:$J$1000,$N60)="","",INDEX('Cronograma R. Normativo'!$J$5:$J$1000,$N60))))</f>
        <v/>
      </c>
      <c r="H60" s="61">
        <f>IF($N60="","",IF($P60&gt;0,IF(3&lt;=SemanaActual,INDEX('Cronograma R. Normativo'!$AE$5:$AE$1000,$N60),""),IF(INDEX('Cronograma R. Normativo'!$K$5:$K$1000,$N60)="","",INDEX('Cronograma R. Normativo'!$K$5:$K$1000,$N60))))</f>
        <v/>
      </c>
      <c r="I60" s="61">
        <f>IF($N60="","",IF($P60&gt;0,IF(4&lt;=SemanaActual,INDEX('Cronograma R. Normativo'!$AF$5:$AF$1000,$N60),""),IF(INDEX('Cronograma R. Normativo'!$L$5:$L$1000,$N60)="","",INDEX('Cronograma R. Normativo'!$L$5:$L$1000,$N60))))</f>
        <v/>
      </c>
      <c r="J60" s="61">
        <f>IF($N60="","",INDEX('Cronograma R. Normativo'!$M$5:$M$1000,$N60))</f>
        <v/>
      </c>
      <c r="K60" s="56">
        <f>IF($N60="","",IF(N($J60)&gt;=1,"Completado",IF(AND(ISNUMBER($D60),$D60&lt;FechaRef),"Vencida",IF(N($J60)&gt;0,"En curso","Pendiente"))))</f>
        <v/>
      </c>
      <c r="L60" s="56">
        <f>IF($N60="","",INDEX('Cronograma R. Normativo'!$O$5:$O$1000,$N60)&amp;"")</f>
        <v/>
      </c>
      <c r="M60" s="62">
        <f>IF($N60="","",INDEX('Cronograma R. Normativo'!$Q$5:$Q$1000,$N60)&amp;"")</f>
        <v/>
      </c>
      <c r="N60">
        <f>IFERROR(MATCH(ROW()-4,rOrden_RN,0),"")</f>
        <v/>
      </c>
      <c r="O60">
        <f>IF($N60="","",INDEX('Cronograma R. Normativo'!$V$5:$V$1000,$N60))</f>
        <v/>
      </c>
      <c r="P60">
        <f>IF($N60="","",N(INDEX('Cronograma R. Normativo'!$W$5:$W$1000,$N60)))</f>
        <v/>
      </c>
      <c r="Q60">
        <f>IF(OR(LEFT($L60,7)="Vencida",LEFT($L60,5)="Vence"),SUMPRODUCT(--(LEFT($L$5:$L60,7)="Vencida"))+SUMPRODUCT(--(LEFT($L$5:$L60,5)="Vence")),"")</f>
        <v/>
      </c>
    </row>
    <row r="61">
      <c r="A61" s="56">
        <f>IF($N61="","",INDEX('Cronograma R. Normativo'!$A$5:$A$1000,$N61))</f>
        <v/>
      </c>
      <c r="B61" s="62">
        <f>IF($N61="","",IF($O61="Sub","      ↳  "&amp;INDEX('Cronograma R. Normativo'!$C$5:$C$1000,$N61),INDEX('Cronograma R. Normativo'!$C$5:$C$1000,$N61)&amp;""))</f>
        <v/>
      </c>
      <c r="C61" s="79">
        <f>IF($N61="","",IF(INDEX('Cronograma R. Normativo'!$AM$5:$AM$1000,$N61)="","",INDEX('Cronograma R. Normativo'!$AM$5:$AM$1000,$N61)))</f>
        <v/>
      </c>
      <c r="D61" s="79">
        <f>IF($N61="","",IF(INDEX('Cronograma R. Normativo'!$AN$5:$AN$1000,$N61)="","",INDEX('Cronograma R. Normativo'!$AN$5:$AN$1000,$N61)))</f>
        <v/>
      </c>
      <c r="E61" s="56">
        <f>IF($N61="","",IF(NOT(ISNUMBER($D61)),"",IF($D61&lt;InicioCiclo,"Antes del ciclo",IF($D61&gt;=InicioCiclo+28,"Después del ciclo","Semana "&amp;(INT(($D61-InicioCiclo)/7)+1)))))</f>
        <v/>
      </c>
      <c r="F61" s="61">
        <f>IF($N61="","",IF($P61&gt;0,IF(1&lt;=SemanaActual,INDEX('Cronograma R. Normativo'!$AC$5:$AC$1000,$N61),""),IF(INDEX('Cronograma R. Normativo'!$I$5:$I$1000,$N61)="","",INDEX('Cronograma R. Normativo'!$I$5:$I$1000,$N61))))</f>
        <v/>
      </c>
      <c r="G61" s="61">
        <f>IF($N61="","",IF($P61&gt;0,IF(2&lt;=SemanaActual,INDEX('Cronograma R. Normativo'!$AD$5:$AD$1000,$N61),""),IF(INDEX('Cronograma R. Normativo'!$J$5:$J$1000,$N61)="","",INDEX('Cronograma R. Normativo'!$J$5:$J$1000,$N61))))</f>
        <v/>
      </c>
      <c r="H61" s="61">
        <f>IF($N61="","",IF($P61&gt;0,IF(3&lt;=SemanaActual,INDEX('Cronograma R. Normativo'!$AE$5:$AE$1000,$N61),""),IF(INDEX('Cronograma R. Normativo'!$K$5:$K$1000,$N61)="","",INDEX('Cronograma R. Normativo'!$K$5:$K$1000,$N61))))</f>
        <v/>
      </c>
      <c r="I61" s="61">
        <f>IF($N61="","",IF($P61&gt;0,IF(4&lt;=SemanaActual,INDEX('Cronograma R. Normativo'!$AF$5:$AF$1000,$N61),""),IF(INDEX('Cronograma R. Normativo'!$L$5:$L$1000,$N61)="","",INDEX('Cronograma R. Normativo'!$L$5:$L$1000,$N61))))</f>
        <v/>
      </c>
      <c r="J61" s="61">
        <f>IF($N61="","",INDEX('Cronograma R. Normativo'!$M$5:$M$1000,$N61))</f>
        <v/>
      </c>
      <c r="K61" s="56">
        <f>IF($N61="","",IF(N($J61)&gt;=1,"Completado",IF(AND(ISNUMBER($D61),$D61&lt;FechaRef),"Vencida",IF(N($J61)&gt;0,"En curso","Pendiente"))))</f>
        <v/>
      </c>
      <c r="L61" s="56">
        <f>IF($N61="","",INDEX('Cronograma R. Normativo'!$O$5:$O$1000,$N61)&amp;"")</f>
        <v/>
      </c>
      <c r="M61" s="62">
        <f>IF($N61="","",INDEX('Cronograma R. Normativo'!$Q$5:$Q$1000,$N61)&amp;"")</f>
        <v/>
      </c>
      <c r="N61">
        <f>IFERROR(MATCH(ROW()-4,rOrden_RN,0),"")</f>
        <v/>
      </c>
      <c r="O61">
        <f>IF($N61="","",INDEX('Cronograma R. Normativo'!$V$5:$V$1000,$N61))</f>
        <v/>
      </c>
      <c r="P61">
        <f>IF($N61="","",N(INDEX('Cronograma R. Normativo'!$W$5:$W$1000,$N61)))</f>
        <v/>
      </c>
      <c r="Q61">
        <f>IF(OR(LEFT($L61,7)="Vencida",LEFT($L61,5)="Vence"),SUMPRODUCT(--(LEFT($L$5:$L61,7)="Vencida"))+SUMPRODUCT(--(LEFT($L$5:$L61,5)="Vence")),"")</f>
        <v/>
      </c>
    </row>
    <row r="62">
      <c r="A62" s="56">
        <f>IF($N62="","",INDEX('Cronograma R. Normativo'!$A$5:$A$1000,$N62))</f>
        <v/>
      </c>
      <c r="B62" s="62">
        <f>IF($N62="","",IF($O62="Sub","      ↳  "&amp;INDEX('Cronograma R. Normativo'!$C$5:$C$1000,$N62),INDEX('Cronograma R. Normativo'!$C$5:$C$1000,$N62)&amp;""))</f>
        <v/>
      </c>
      <c r="C62" s="79">
        <f>IF($N62="","",IF(INDEX('Cronograma R. Normativo'!$AM$5:$AM$1000,$N62)="","",INDEX('Cronograma R. Normativo'!$AM$5:$AM$1000,$N62)))</f>
        <v/>
      </c>
      <c r="D62" s="79">
        <f>IF($N62="","",IF(INDEX('Cronograma R. Normativo'!$AN$5:$AN$1000,$N62)="","",INDEX('Cronograma R. Normativo'!$AN$5:$AN$1000,$N62)))</f>
        <v/>
      </c>
      <c r="E62" s="56">
        <f>IF($N62="","",IF(NOT(ISNUMBER($D62)),"",IF($D62&lt;InicioCiclo,"Antes del ciclo",IF($D62&gt;=InicioCiclo+28,"Después del ciclo","Semana "&amp;(INT(($D62-InicioCiclo)/7)+1)))))</f>
        <v/>
      </c>
      <c r="F62" s="61">
        <f>IF($N62="","",IF($P62&gt;0,IF(1&lt;=SemanaActual,INDEX('Cronograma R. Normativo'!$AC$5:$AC$1000,$N62),""),IF(INDEX('Cronograma R. Normativo'!$I$5:$I$1000,$N62)="","",INDEX('Cronograma R. Normativo'!$I$5:$I$1000,$N62))))</f>
        <v/>
      </c>
      <c r="G62" s="61">
        <f>IF($N62="","",IF($P62&gt;0,IF(2&lt;=SemanaActual,INDEX('Cronograma R. Normativo'!$AD$5:$AD$1000,$N62),""),IF(INDEX('Cronograma R. Normativo'!$J$5:$J$1000,$N62)="","",INDEX('Cronograma R. Normativo'!$J$5:$J$1000,$N62))))</f>
        <v/>
      </c>
      <c r="H62" s="61">
        <f>IF($N62="","",IF($P62&gt;0,IF(3&lt;=SemanaActual,INDEX('Cronograma R. Normativo'!$AE$5:$AE$1000,$N62),""),IF(INDEX('Cronograma R. Normativo'!$K$5:$K$1000,$N62)="","",INDEX('Cronograma R. Normativo'!$K$5:$K$1000,$N62))))</f>
        <v/>
      </c>
      <c r="I62" s="61">
        <f>IF($N62="","",IF($P62&gt;0,IF(4&lt;=SemanaActual,INDEX('Cronograma R. Normativo'!$AF$5:$AF$1000,$N62),""),IF(INDEX('Cronograma R. Normativo'!$L$5:$L$1000,$N62)="","",INDEX('Cronograma R. Normativo'!$L$5:$L$1000,$N62))))</f>
        <v/>
      </c>
      <c r="J62" s="61">
        <f>IF($N62="","",INDEX('Cronograma R. Normativo'!$M$5:$M$1000,$N62))</f>
        <v/>
      </c>
      <c r="K62" s="56">
        <f>IF($N62="","",IF(N($J62)&gt;=1,"Completado",IF(AND(ISNUMBER($D62),$D62&lt;FechaRef),"Vencida",IF(N($J62)&gt;0,"En curso","Pendiente"))))</f>
        <v/>
      </c>
      <c r="L62" s="56">
        <f>IF($N62="","",INDEX('Cronograma R. Normativo'!$O$5:$O$1000,$N62)&amp;"")</f>
        <v/>
      </c>
      <c r="M62" s="62">
        <f>IF($N62="","",INDEX('Cronograma R. Normativo'!$Q$5:$Q$1000,$N62)&amp;"")</f>
        <v/>
      </c>
      <c r="N62">
        <f>IFERROR(MATCH(ROW()-4,rOrden_RN,0),"")</f>
        <v/>
      </c>
      <c r="O62">
        <f>IF($N62="","",INDEX('Cronograma R. Normativo'!$V$5:$V$1000,$N62))</f>
        <v/>
      </c>
      <c r="P62">
        <f>IF($N62="","",N(INDEX('Cronograma R. Normativo'!$W$5:$W$1000,$N62)))</f>
        <v/>
      </c>
      <c r="Q62">
        <f>IF(OR(LEFT($L62,7)="Vencida",LEFT($L62,5)="Vence"),SUMPRODUCT(--(LEFT($L$5:$L62,7)="Vencida"))+SUMPRODUCT(--(LEFT($L$5:$L62,5)="Vence")),"")</f>
        <v/>
      </c>
    </row>
    <row r="63">
      <c r="A63" s="56">
        <f>IF($N63="","",INDEX('Cronograma R. Normativo'!$A$5:$A$1000,$N63))</f>
        <v/>
      </c>
      <c r="B63" s="62">
        <f>IF($N63="","",IF($O63="Sub","      ↳  "&amp;INDEX('Cronograma R. Normativo'!$C$5:$C$1000,$N63),INDEX('Cronograma R. Normativo'!$C$5:$C$1000,$N63)&amp;""))</f>
        <v/>
      </c>
      <c r="C63" s="79">
        <f>IF($N63="","",IF(INDEX('Cronograma R. Normativo'!$AM$5:$AM$1000,$N63)="","",INDEX('Cronograma R. Normativo'!$AM$5:$AM$1000,$N63)))</f>
        <v/>
      </c>
      <c r="D63" s="79">
        <f>IF($N63="","",IF(INDEX('Cronograma R. Normativo'!$AN$5:$AN$1000,$N63)="","",INDEX('Cronograma R. Normativo'!$AN$5:$AN$1000,$N63)))</f>
        <v/>
      </c>
      <c r="E63" s="56">
        <f>IF($N63="","",IF(NOT(ISNUMBER($D63)),"",IF($D63&lt;InicioCiclo,"Antes del ciclo",IF($D63&gt;=InicioCiclo+28,"Después del ciclo","Semana "&amp;(INT(($D63-InicioCiclo)/7)+1)))))</f>
        <v/>
      </c>
      <c r="F63" s="61">
        <f>IF($N63="","",IF($P63&gt;0,IF(1&lt;=SemanaActual,INDEX('Cronograma R. Normativo'!$AC$5:$AC$1000,$N63),""),IF(INDEX('Cronograma R. Normativo'!$I$5:$I$1000,$N63)="","",INDEX('Cronograma R. Normativo'!$I$5:$I$1000,$N63))))</f>
        <v/>
      </c>
      <c r="G63" s="61">
        <f>IF($N63="","",IF($P63&gt;0,IF(2&lt;=SemanaActual,INDEX('Cronograma R. Normativo'!$AD$5:$AD$1000,$N63),""),IF(INDEX('Cronograma R. Normativo'!$J$5:$J$1000,$N63)="","",INDEX('Cronograma R. Normativo'!$J$5:$J$1000,$N63))))</f>
        <v/>
      </c>
      <c r="H63" s="61">
        <f>IF($N63="","",IF($P63&gt;0,IF(3&lt;=SemanaActual,INDEX('Cronograma R. Normativo'!$AE$5:$AE$1000,$N63),""),IF(INDEX('Cronograma R. Normativo'!$K$5:$K$1000,$N63)="","",INDEX('Cronograma R. Normativo'!$K$5:$K$1000,$N63))))</f>
        <v/>
      </c>
      <c r="I63" s="61">
        <f>IF($N63="","",IF($P63&gt;0,IF(4&lt;=SemanaActual,INDEX('Cronograma R. Normativo'!$AF$5:$AF$1000,$N63),""),IF(INDEX('Cronograma R. Normativo'!$L$5:$L$1000,$N63)="","",INDEX('Cronograma R. Normativo'!$L$5:$L$1000,$N63))))</f>
        <v/>
      </c>
      <c r="J63" s="61">
        <f>IF($N63="","",INDEX('Cronograma R. Normativo'!$M$5:$M$1000,$N63))</f>
        <v/>
      </c>
      <c r="K63" s="56">
        <f>IF($N63="","",IF(N($J63)&gt;=1,"Completado",IF(AND(ISNUMBER($D63),$D63&lt;FechaRef),"Vencida",IF(N($J63)&gt;0,"En curso","Pendiente"))))</f>
        <v/>
      </c>
      <c r="L63" s="56">
        <f>IF($N63="","",INDEX('Cronograma R. Normativo'!$O$5:$O$1000,$N63)&amp;"")</f>
        <v/>
      </c>
      <c r="M63" s="62">
        <f>IF($N63="","",INDEX('Cronograma R. Normativo'!$Q$5:$Q$1000,$N63)&amp;"")</f>
        <v/>
      </c>
      <c r="N63">
        <f>IFERROR(MATCH(ROW()-4,rOrden_RN,0),"")</f>
        <v/>
      </c>
      <c r="O63">
        <f>IF($N63="","",INDEX('Cronograma R. Normativo'!$V$5:$V$1000,$N63))</f>
        <v/>
      </c>
      <c r="P63">
        <f>IF($N63="","",N(INDEX('Cronograma R. Normativo'!$W$5:$W$1000,$N63)))</f>
        <v/>
      </c>
      <c r="Q63">
        <f>IF(OR(LEFT($L63,7)="Vencida",LEFT($L63,5)="Vence"),SUMPRODUCT(--(LEFT($L$5:$L63,7)="Vencida"))+SUMPRODUCT(--(LEFT($L$5:$L63,5)="Vence")),"")</f>
        <v/>
      </c>
    </row>
    <row r="64">
      <c r="A64" s="56">
        <f>IF($N64="","",INDEX('Cronograma R. Normativo'!$A$5:$A$1000,$N64))</f>
        <v/>
      </c>
      <c r="B64" s="62">
        <f>IF($N64="","",IF($O64="Sub","      ↳  "&amp;INDEX('Cronograma R. Normativo'!$C$5:$C$1000,$N64),INDEX('Cronograma R. Normativo'!$C$5:$C$1000,$N64)&amp;""))</f>
        <v/>
      </c>
      <c r="C64" s="79">
        <f>IF($N64="","",IF(INDEX('Cronograma R. Normativo'!$AM$5:$AM$1000,$N64)="","",INDEX('Cronograma R. Normativo'!$AM$5:$AM$1000,$N64)))</f>
        <v/>
      </c>
      <c r="D64" s="79">
        <f>IF($N64="","",IF(INDEX('Cronograma R. Normativo'!$AN$5:$AN$1000,$N64)="","",INDEX('Cronograma R. Normativo'!$AN$5:$AN$1000,$N64)))</f>
        <v/>
      </c>
      <c r="E64" s="56">
        <f>IF($N64="","",IF(NOT(ISNUMBER($D64)),"",IF($D64&lt;InicioCiclo,"Antes del ciclo",IF($D64&gt;=InicioCiclo+28,"Después del ciclo","Semana "&amp;(INT(($D64-InicioCiclo)/7)+1)))))</f>
        <v/>
      </c>
      <c r="F64" s="61">
        <f>IF($N64="","",IF($P64&gt;0,IF(1&lt;=SemanaActual,INDEX('Cronograma R. Normativo'!$AC$5:$AC$1000,$N64),""),IF(INDEX('Cronograma R. Normativo'!$I$5:$I$1000,$N64)="","",INDEX('Cronograma R. Normativo'!$I$5:$I$1000,$N64))))</f>
        <v/>
      </c>
      <c r="G64" s="61">
        <f>IF($N64="","",IF($P64&gt;0,IF(2&lt;=SemanaActual,INDEX('Cronograma R. Normativo'!$AD$5:$AD$1000,$N64),""),IF(INDEX('Cronograma R. Normativo'!$J$5:$J$1000,$N64)="","",INDEX('Cronograma R. Normativo'!$J$5:$J$1000,$N64))))</f>
        <v/>
      </c>
      <c r="H64" s="61">
        <f>IF($N64="","",IF($P64&gt;0,IF(3&lt;=SemanaActual,INDEX('Cronograma R. Normativo'!$AE$5:$AE$1000,$N64),""),IF(INDEX('Cronograma R. Normativo'!$K$5:$K$1000,$N64)="","",INDEX('Cronograma R. Normativo'!$K$5:$K$1000,$N64))))</f>
        <v/>
      </c>
      <c r="I64" s="61">
        <f>IF($N64="","",IF($P64&gt;0,IF(4&lt;=SemanaActual,INDEX('Cronograma R. Normativo'!$AF$5:$AF$1000,$N64),""),IF(INDEX('Cronograma R. Normativo'!$L$5:$L$1000,$N64)="","",INDEX('Cronograma R. Normativo'!$L$5:$L$1000,$N64))))</f>
        <v/>
      </c>
      <c r="J64" s="61">
        <f>IF($N64="","",INDEX('Cronograma R. Normativo'!$M$5:$M$1000,$N64))</f>
        <v/>
      </c>
      <c r="K64" s="56">
        <f>IF($N64="","",IF(N($J64)&gt;=1,"Completado",IF(AND(ISNUMBER($D64),$D64&lt;FechaRef),"Vencida",IF(N($J64)&gt;0,"En curso","Pendiente"))))</f>
        <v/>
      </c>
      <c r="L64" s="56">
        <f>IF($N64="","",INDEX('Cronograma R. Normativo'!$O$5:$O$1000,$N64)&amp;"")</f>
        <v/>
      </c>
      <c r="M64" s="62">
        <f>IF($N64="","",INDEX('Cronograma R. Normativo'!$Q$5:$Q$1000,$N64)&amp;"")</f>
        <v/>
      </c>
      <c r="N64">
        <f>IFERROR(MATCH(ROW()-4,rOrden_RN,0),"")</f>
        <v/>
      </c>
      <c r="O64">
        <f>IF($N64="","",INDEX('Cronograma R. Normativo'!$V$5:$V$1000,$N64))</f>
        <v/>
      </c>
      <c r="P64">
        <f>IF($N64="","",N(INDEX('Cronograma R. Normativo'!$W$5:$W$1000,$N64)))</f>
        <v/>
      </c>
      <c r="Q64">
        <f>IF(OR(LEFT($L64,7)="Vencida",LEFT($L64,5)="Vence"),SUMPRODUCT(--(LEFT($L$5:$L64,7)="Vencida"))+SUMPRODUCT(--(LEFT($L$5:$L64,5)="Vence")),"")</f>
        <v/>
      </c>
    </row>
    <row r="65">
      <c r="A65" s="56">
        <f>IF($N65="","",INDEX('Cronograma R. Normativo'!$A$5:$A$1000,$N65))</f>
        <v/>
      </c>
      <c r="B65" s="62">
        <f>IF($N65="","",IF($O65="Sub","      ↳  "&amp;INDEX('Cronograma R. Normativo'!$C$5:$C$1000,$N65),INDEX('Cronograma R. Normativo'!$C$5:$C$1000,$N65)&amp;""))</f>
        <v/>
      </c>
      <c r="C65" s="79">
        <f>IF($N65="","",IF(INDEX('Cronograma R. Normativo'!$AM$5:$AM$1000,$N65)="","",INDEX('Cronograma R. Normativo'!$AM$5:$AM$1000,$N65)))</f>
        <v/>
      </c>
      <c r="D65" s="79">
        <f>IF($N65="","",IF(INDEX('Cronograma R. Normativo'!$AN$5:$AN$1000,$N65)="","",INDEX('Cronograma R. Normativo'!$AN$5:$AN$1000,$N65)))</f>
        <v/>
      </c>
      <c r="E65" s="56">
        <f>IF($N65="","",IF(NOT(ISNUMBER($D65)),"",IF($D65&lt;InicioCiclo,"Antes del ciclo",IF($D65&gt;=InicioCiclo+28,"Después del ciclo","Semana "&amp;(INT(($D65-InicioCiclo)/7)+1)))))</f>
        <v/>
      </c>
      <c r="F65" s="61">
        <f>IF($N65="","",IF($P65&gt;0,IF(1&lt;=SemanaActual,INDEX('Cronograma R. Normativo'!$AC$5:$AC$1000,$N65),""),IF(INDEX('Cronograma R. Normativo'!$I$5:$I$1000,$N65)="","",INDEX('Cronograma R. Normativo'!$I$5:$I$1000,$N65))))</f>
        <v/>
      </c>
      <c r="G65" s="61">
        <f>IF($N65="","",IF($P65&gt;0,IF(2&lt;=SemanaActual,INDEX('Cronograma R. Normativo'!$AD$5:$AD$1000,$N65),""),IF(INDEX('Cronograma R. Normativo'!$J$5:$J$1000,$N65)="","",INDEX('Cronograma R. Normativo'!$J$5:$J$1000,$N65))))</f>
        <v/>
      </c>
      <c r="H65" s="61">
        <f>IF($N65="","",IF($P65&gt;0,IF(3&lt;=SemanaActual,INDEX('Cronograma R. Normativo'!$AE$5:$AE$1000,$N65),""),IF(INDEX('Cronograma R. Normativo'!$K$5:$K$1000,$N65)="","",INDEX('Cronograma R. Normativo'!$K$5:$K$1000,$N65))))</f>
        <v/>
      </c>
      <c r="I65" s="61">
        <f>IF($N65="","",IF($P65&gt;0,IF(4&lt;=SemanaActual,INDEX('Cronograma R. Normativo'!$AF$5:$AF$1000,$N65),""),IF(INDEX('Cronograma R. Normativo'!$L$5:$L$1000,$N65)="","",INDEX('Cronograma R. Normativo'!$L$5:$L$1000,$N65))))</f>
        <v/>
      </c>
      <c r="J65" s="61">
        <f>IF($N65="","",INDEX('Cronograma R. Normativo'!$M$5:$M$1000,$N65))</f>
        <v/>
      </c>
      <c r="K65" s="56">
        <f>IF($N65="","",IF(N($J65)&gt;=1,"Completado",IF(AND(ISNUMBER($D65),$D65&lt;FechaRef),"Vencida",IF(N($J65)&gt;0,"En curso","Pendiente"))))</f>
        <v/>
      </c>
      <c r="L65" s="56">
        <f>IF($N65="","",INDEX('Cronograma R. Normativo'!$O$5:$O$1000,$N65)&amp;"")</f>
        <v/>
      </c>
      <c r="M65" s="62">
        <f>IF($N65="","",INDEX('Cronograma R. Normativo'!$Q$5:$Q$1000,$N65)&amp;"")</f>
        <v/>
      </c>
      <c r="N65">
        <f>IFERROR(MATCH(ROW()-4,rOrden_RN,0),"")</f>
        <v/>
      </c>
      <c r="O65">
        <f>IF($N65="","",INDEX('Cronograma R. Normativo'!$V$5:$V$1000,$N65))</f>
        <v/>
      </c>
      <c r="P65">
        <f>IF($N65="","",N(INDEX('Cronograma R. Normativo'!$W$5:$W$1000,$N65)))</f>
        <v/>
      </c>
      <c r="Q65">
        <f>IF(OR(LEFT($L65,7)="Vencida",LEFT($L65,5)="Vence"),SUMPRODUCT(--(LEFT($L$5:$L65,7)="Vencida"))+SUMPRODUCT(--(LEFT($L$5:$L65,5)="Vence")),"")</f>
        <v/>
      </c>
    </row>
    <row r="66">
      <c r="A66" s="56">
        <f>IF($N66="","",INDEX('Cronograma R. Normativo'!$A$5:$A$1000,$N66))</f>
        <v/>
      </c>
      <c r="B66" s="62">
        <f>IF($N66="","",IF($O66="Sub","      ↳  "&amp;INDEX('Cronograma R. Normativo'!$C$5:$C$1000,$N66),INDEX('Cronograma R. Normativo'!$C$5:$C$1000,$N66)&amp;""))</f>
        <v/>
      </c>
      <c r="C66" s="79">
        <f>IF($N66="","",IF(INDEX('Cronograma R. Normativo'!$AM$5:$AM$1000,$N66)="","",INDEX('Cronograma R. Normativo'!$AM$5:$AM$1000,$N66)))</f>
        <v/>
      </c>
      <c r="D66" s="79">
        <f>IF($N66="","",IF(INDEX('Cronograma R. Normativo'!$AN$5:$AN$1000,$N66)="","",INDEX('Cronograma R. Normativo'!$AN$5:$AN$1000,$N66)))</f>
        <v/>
      </c>
      <c r="E66" s="56">
        <f>IF($N66="","",IF(NOT(ISNUMBER($D66)),"",IF($D66&lt;InicioCiclo,"Antes del ciclo",IF($D66&gt;=InicioCiclo+28,"Después del ciclo","Semana "&amp;(INT(($D66-InicioCiclo)/7)+1)))))</f>
        <v/>
      </c>
      <c r="F66" s="61">
        <f>IF($N66="","",IF($P66&gt;0,IF(1&lt;=SemanaActual,INDEX('Cronograma R. Normativo'!$AC$5:$AC$1000,$N66),""),IF(INDEX('Cronograma R. Normativo'!$I$5:$I$1000,$N66)="","",INDEX('Cronograma R. Normativo'!$I$5:$I$1000,$N66))))</f>
        <v/>
      </c>
      <c r="G66" s="61">
        <f>IF($N66="","",IF($P66&gt;0,IF(2&lt;=SemanaActual,INDEX('Cronograma R. Normativo'!$AD$5:$AD$1000,$N66),""),IF(INDEX('Cronograma R. Normativo'!$J$5:$J$1000,$N66)="","",INDEX('Cronograma R. Normativo'!$J$5:$J$1000,$N66))))</f>
        <v/>
      </c>
      <c r="H66" s="61">
        <f>IF($N66="","",IF($P66&gt;0,IF(3&lt;=SemanaActual,INDEX('Cronograma R. Normativo'!$AE$5:$AE$1000,$N66),""),IF(INDEX('Cronograma R. Normativo'!$K$5:$K$1000,$N66)="","",INDEX('Cronograma R. Normativo'!$K$5:$K$1000,$N66))))</f>
        <v/>
      </c>
      <c r="I66" s="61">
        <f>IF($N66="","",IF($P66&gt;0,IF(4&lt;=SemanaActual,INDEX('Cronograma R. Normativo'!$AF$5:$AF$1000,$N66),""),IF(INDEX('Cronograma R. Normativo'!$L$5:$L$1000,$N66)="","",INDEX('Cronograma R. Normativo'!$L$5:$L$1000,$N66))))</f>
        <v/>
      </c>
      <c r="J66" s="61">
        <f>IF($N66="","",INDEX('Cronograma R. Normativo'!$M$5:$M$1000,$N66))</f>
        <v/>
      </c>
      <c r="K66" s="56">
        <f>IF($N66="","",IF(N($J66)&gt;=1,"Completado",IF(AND(ISNUMBER($D66),$D66&lt;FechaRef),"Vencida",IF(N($J66)&gt;0,"En curso","Pendiente"))))</f>
        <v/>
      </c>
      <c r="L66" s="56">
        <f>IF($N66="","",INDEX('Cronograma R. Normativo'!$O$5:$O$1000,$N66)&amp;"")</f>
        <v/>
      </c>
      <c r="M66" s="62">
        <f>IF($N66="","",INDEX('Cronograma R. Normativo'!$Q$5:$Q$1000,$N66)&amp;"")</f>
        <v/>
      </c>
      <c r="N66">
        <f>IFERROR(MATCH(ROW()-4,rOrden_RN,0),"")</f>
        <v/>
      </c>
      <c r="O66">
        <f>IF($N66="","",INDEX('Cronograma R. Normativo'!$V$5:$V$1000,$N66))</f>
        <v/>
      </c>
      <c r="P66">
        <f>IF($N66="","",N(INDEX('Cronograma R. Normativo'!$W$5:$W$1000,$N66)))</f>
        <v/>
      </c>
      <c r="Q66">
        <f>IF(OR(LEFT($L66,7)="Vencida",LEFT($L66,5)="Vence"),SUMPRODUCT(--(LEFT($L$5:$L66,7)="Vencida"))+SUMPRODUCT(--(LEFT($L$5:$L66,5)="Vence")),"")</f>
        <v/>
      </c>
    </row>
    <row r="67">
      <c r="A67" s="56">
        <f>IF($N67="","",INDEX('Cronograma R. Normativo'!$A$5:$A$1000,$N67))</f>
        <v/>
      </c>
      <c r="B67" s="62">
        <f>IF($N67="","",IF($O67="Sub","      ↳  "&amp;INDEX('Cronograma R. Normativo'!$C$5:$C$1000,$N67),INDEX('Cronograma R. Normativo'!$C$5:$C$1000,$N67)&amp;""))</f>
        <v/>
      </c>
      <c r="C67" s="79">
        <f>IF($N67="","",IF(INDEX('Cronograma R. Normativo'!$AM$5:$AM$1000,$N67)="","",INDEX('Cronograma R. Normativo'!$AM$5:$AM$1000,$N67)))</f>
        <v/>
      </c>
      <c r="D67" s="79">
        <f>IF($N67="","",IF(INDEX('Cronograma R. Normativo'!$AN$5:$AN$1000,$N67)="","",INDEX('Cronograma R. Normativo'!$AN$5:$AN$1000,$N67)))</f>
        <v/>
      </c>
      <c r="E67" s="56">
        <f>IF($N67="","",IF(NOT(ISNUMBER($D67)),"",IF($D67&lt;InicioCiclo,"Antes del ciclo",IF($D67&gt;=InicioCiclo+28,"Después del ciclo","Semana "&amp;(INT(($D67-InicioCiclo)/7)+1)))))</f>
        <v/>
      </c>
      <c r="F67" s="61">
        <f>IF($N67="","",IF($P67&gt;0,IF(1&lt;=SemanaActual,INDEX('Cronograma R. Normativo'!$AC$5:$AC$1000,$N67),""),IF(INDEX('Cronograma R. Normativo'!$I$5:$I$1000,$N67)="","",INDEX('Cronograma R. Normativo'!$I$5:$I$1000,$N67))))</f>
        <v/>
      </c>
      <c r="G67" s="61">
        <f>IF($N67="","",IF($P67&gt;0,IF(2&lt;=SemanaActual,INDEX('Cronograma R. Normativo'!$AD$5:$AD$1000,$N67),""),IF(INDEX('Cronograma R. Normativo'!$J$5:$J$1000,$N67)="","",INDEX('Cronograma R. Normativo'!$J$5:$J$1000,$N67))))</f>
        <v/>
      </c>
      <c r="H67" s="61">
        <f>IF($N67="","",IF($P67&gt;0,IF(3&lt;=SemanaActual,INDEX('Cronograma R. Normativo'!$AE$5:$AE$1000,$N67),""),IF(INDEX('Cronograma R. Normativo'!$K$5:$K$1000,$N67)="","",INDEX('Cronograma R. Normativo'!$K$5:$K$1000,$N67))))</f>
        <v/>
      </c>
      <c r="I67" s="61">
        <f>IF($N67="","",IF($P67&gt;0,IF(4&lt;=SemanaActual,INDEX('Cronograma R. Normativo'!$AF$5:$AF$1000,$N67),""),IF(INDEX('Cronograma R. Normativo'!$L$5:$L$1000,$N67)="","",INDEX('Cronograma R. Normativo'!$L$5:$L$1000,$N67))))</f>
        <v/>
      </c>
      <c r="J67" s="61">
        <f>IF($N67="","",INDEX('Cronograma R. Normativo'!$M$5:$M$1000,$N67))</f>
        <v/>
      </c>
      <c r="K67" s="56">
        <f>IF($N67="","",IF(N($J67)&gt;=1,"Completado",IF(AND(ISNUMBER($D67),$D67&lt;FechaRef),"Vencida",IF(N($J67)&gt;0,"En curso","Pendiente"))))</f>
        <v/>
      </c>
      <c r="L67" s="56">
        <f>IF($N67="","",INDEX('Cronograma R. Normativo'!$O$5:$O$1000,$N67)&amp;"")</f>
        <v/>
      </c>
      <c r="M67" s="62">
        <f>IF($N67="","",INDEX('Cronograma R. Normativo'!$Q$5:$Q$1000,$N67)&amp;"")</f>
        <v/>
      </c>
      <c r="N67">
        <f>IFERROR(MATCH(ROW()-4,rOrden_RN,0),"")</f>
        <v/>
      </c>
      <c r="O67">
        <f>IF($N67="","",INDEX('Cronograma R. Normativo'!$V$5:$V$1000,$N67))</f>
        <v/>
      </c>
      <c r="P67">
        <f>IF($N67="","",N(INDEX('Cronograma R. Normativo'!$W$5:$W$1000,$N67)))</f>
        <v/>
      </c>
      <c r="Q67">
        <f>IF(OR(LEFT($L67,7)="Vencida",LEFT($L67,5)="Vence"),SUMPRODUCT(--(LEFT($L$5:$L67,7)="Vencida"))+SUMPRODUCT(--(LEFT($L$5:$L67,5)="Vence")),"")</f>
        <v/>
      </c>
    </row>
    <row r="68">
      <c r="A68" s="56">
        <f>IF($N68="","",INDEX('Cronograma R. Normativo'!$A$5:$A$1000,$N68))</f>
        <v/>
      </c>
      <c r="B68" s="62">
        <f>IF($N68="","",IF($O68="Sub","      ↳  "&amp;INDEX('Cronograma R. Normativo'!$C$5:$C$1000,$N68),INDEX('Cronograma R. Normativo'!$C$5:$C$1000,$N68)&amp;""))</f>
        <v/>
      </c>
      <c r="C68" s="79">
        <f>IF($N68="","",IF(INDEX('Cronograma R. Normativo'!$AM$5:$AM$1000,$N68)="","",INDEX('Cronograma R. Normativo'!$AM$5:$AM$1000,$N68)))</f>
        <v/>
      </c>
      <c r="D68" s="79">
        <f>IF($N68="","",IF(INDEX('Cronograma R. Normativo'!$AN$5:$AN$1000,$N68)="","",INDEX('Cronograma R. Normativo'!$AN$5:$AN$1000,$N68)))</f>
        <v/>
      </c>
      <c r="E68" s="56">
        <f>IF($N68="","",IF(NOT(ISNUMBER($D68)),"",IF($D68&lt;InicioCiclo,"Antes del ciclo",IF($D68&gt;=InicioCiclo+28,"Después del ciclo","Semana "&amp;(INT(($D68-InicioCiclo)/7)+1)))))</f>
        <v/>
      </c>
      <c r="F68" s="61">
        <f>IF($N68="","",IF($P68&gt;0,IF(1&lt;=SemanaActual,INDEX('Cronograma R. Normativo'!$AC$5:$AC$1000,$N68),""),IF(INDEX('Cronograma R. Normativo'!$I$5:$I$1000,$N68)="","",INDEX('Cronograma R. Normativo'!$I$5:$I$1000,$N68))))</f>
        <v/>
      </c>
      <c r="G68" s="61">
        <f>IF($N68="","",IF($P68&gt;0,IF(2&lt;=SemanaActual,INDEX('Cronograma R. Normativo'!$AD$5:$AD$1000,$N68),""),IF(INDEX('Cronograma R. Normativo'!$J$5:$J$1000,$N68)="","",INDEX('Cronograma R. Normativo'!$J$5:$J$1000,$N68))))</f>
        <v/>
      </c>
      <c r="H68" s="61">
        <f>IF($N68="","",IF($P68&gt;0,IF(3&lt;=SemanaActual,INDEX('Cronograma R. Normativo'!$AE$5:$AE$1000,$N68),""),IF(INDEX('Cronograma R. Normativo'!$K$5:$K$1000,$N68)="","",INDEX('Cronograma R. Normativo'!$K$5:$K$1000,$N68))))</f>
        <v/>
      </c>
      <c r="I68" s="61">
        <f>IF($N68="","",IF($P68&gt;0,IF(4&lt;=SemanaActual,INDEX('Cronograma R. Normativo'!$AF$5:$AF$1000,$N68),""),IF(INDEX('Cronograma R. Normativo'!$L$5:$L$1000,$N68)="","",INDEX('Cronograma R. Normativo'!$L$5:$L$1000,$N68))))</f>
        <v/>
      </c>
      <c r="J68" s="61">
        <f>IF($N68="","",INDEX('Cronograma R. Normativo'!$M$5:$M$1000,$N68))</f>
        <v/>
      </c>
      <c r="K68" s="56">
        <f>IF($N68="","",IF(N($J68)&gt;=1,"Completado",IF(AND(ISNUMBER($D68),$D68&lt;FechaRef),"Vencida",IF(N($J68)&gt;0,"En curso","Pendiente"))))</f>
        <v/>
      </c>
      <c r="L68" s="56">
        <f>IF($N68="","",INDEX('Cronograma R. Normativo'!$O$5:$O$1000,$N68)&amp;"")</f>
        <v/>
      </c>
      <c r="M68" s="62">
        <f>IF($N68="","",INDEX('Cronograma R. Normativo'!$Q$5:$Q$1000,$N68)&amp;"")</f>
        <v/>
      </c>
      <c r="N68">
        <f>IFERROR(MATCH(ROW()-4,rOrden_RN,0),"")</f>
        <v/>
      </c>
      <c r="O68">
        <f>IF($N68="","",INDEX('Cronograma R. Normativo'!$V$5:$V$1000,$N68))</f>
        <v/>
      </c>
      <c r="P68">
        <f>IF($N68="","",N(INDEX('Cronograma R. Normativo'!$W$5:$W$1000,$N68)))</f>
        <v/>
      </c>
      <c r="Q68">
        <f>IF(OR(LEFT($L68,7)="Vencida",LEFT($L68,5)="Vence"),SUMPRODUCT(--(LEFT($L$5:$L68,7)="Vencida"))+SUMPRODUCT(--(LEFT($L$5:$L68,5)="Vence")),"")</f>
        <v/>
      </c>
    </row>
    <row r="69">
      <c r="A69" s="56">
        <f>IF($N69="","",INDEX('Cronograma R. Normativo'!$A$5:$A$1000,$N69))</f>
        <v/>
      </c>
      <c r="B69" s="62">
        <f>IF($N69="","",IF($O69="Sub","      ↳  "&amp;INDEX('Cronograma R. Normativo'!$C$5:$C$1000,$N69),INDEX('Cronograma R. Normativo'!$C$5:$C$1000,$N69)&amp;""))</f>
        <v/>
      </c>
      <c r="C69" s="79">
        <f>IF($N69="","",IF(INDEX('Cronograma R. Normativo'!$AM$5:$AM$1000,$N69)="","",INDEX('Cronograma R. Normativo'!$AM$5:$AM$1000,$N69)))</f>
        <v/>
      </c>
      <c r="D69" s="79">
        <f>IF($N69="","",IF(INDEX('Cronograma R. Normativo'!$AN$5:$AN$1000,$N69)="","",INDEX('Cronograma R. Normativo'!$AN$5:$AN$1000,$N69)))</f>
        <v/>
      </c>
      <c r="E69" s="56">
        <f>IF($N69="","",IF(NOT(ISNUMBER($D69)),"",IF($D69&lt;InicioCiclo,"Antes del ciclo",IF($D69&gt;=InicioCiclo+28,"Después del ciclo","Semana "&amp;(INT(($D69-InicioCiclo)/7)+1)))))</f>
        <v/>
      </c>
      <c r="F69" s="61">
        <f>IF($N69="","",IF($P69&gt;0,IF(1&lt;=SemanaActual,INDEX('Cronograma R. Normativo'!$AC$5:$AC$1000,$N69),""),IF(INDEX('Cronograma R. Normativo'!$I$5:$I$1000,$N69)="","",INDEX('Cronograma R. Normativo'!$I$5:$I$1000,$N69))))</f>
        <v/>
      </c>
      <c r="G69" s="61">
        <f>IF($N69="","",IF($P69&gt;0,IF(2&lt;=SemanaActual,INDEX('Cronograma R. Normativo'!$AD$5:$AD$1000,$N69),""),IF(INDEX('Cronograma R. Normativo'!$J$5:$J$1000,$N69)="","",INDEX('Cronograma R. Normativo'!$J$5:$J$1000,$N69))))</f>
        <v/>
      </c>
      <c r="H69" s="61">
        <f>IF($N69="","",IF($P69&gt;0,IF(3&lt;=SemanaActual,INDEX('Cronograma R. Normativo'!$AE$5:$AE$1000,$N69),""),IF(INDEX('Cronograma R. Normativo'!$K$5:$K$1000,$N69)="","",INDEX('Cronograma R. Normativo'!$K$5:$K$1000,$N69))))</f>
        <v/>
      </c>
      <c r="I69" s="61">
        <f>IF($N69="","",IF($P69&gt;0,IF(4&lt;=SemanaActual,INDEX('Cronograma R. Normativo'!$AF$5:$AF$1000,$N69),""),IF(INDEX('Cronograma R. Normativo'!$L$5:$L$1000,$N69)="","",INDEX('Cronograma R. Normativo'!$L$5:$L$1000,$N69))))</f>
        <v/>
      </c>
      <c r="J69" s="61">
        <f>IF($N69="","",INDEX('Cronograma R. Normativo'!$M$5:$M$1000,$N69))</f>
        <v/>
      </c>
      <c r="K69" s="56">
        <f>IF($N69="","",IF(N($J69)&gt;=1,"Completado",IF(AND(ISNUMBER($D69),$D69&lt;FechaRef),"Vencida",IF(N($J69)&gt;0,"En curso","Pendiente"))))</f>
        <v/>
      </c>
      <c r="L69" s="56">
        <f>IF($N69="","",INDEX('Cronograma R. Normativo'!$O$5:$O$1000,$N69)&amp;"")</f>
        <v/>
      </c>
      <c r="M69" s="62">
        <f>IF($N69="","",INDEX('Cronograma R. Normativo'!$Q$5:$Q$1000,$N69)&amp;"")</f>
        <v/>
      </c>
      <c r="N69">
        <f>IFERROR(MATCH(ROW()-4,rOrden_RN,0),"")</f>
        <v/>
      </c>
      <c r="O69">
        <f>IF($N69="","",INDEX('Cronograma R. Normativo'!$V$5:$V$1000,$N69))</f>
        <v/>
      </c>
      <c r="P69">
        <f>IF($N69="","",N(INDEX('Cronograma R. Normativo'!$W$5:$W$1000,$N69)))</f>
        <v/>
      </c>
      <c r="Q69">
        <f>IF(OR(LEFT($L69,7)="Vencida",LEFT($L69,5)="Vence"),SUMPRODUCT(--(LEFT($L$5:$L69,7)="Vencida"))+SUMPRODUCT(--(LEFT($L$5:$L69,5)="Vence")),"")</f>
        <v/>
      </c>
    </row>
    <row r="70">
      <c r="A70" s="56">
        <f>IF($N70="","",INDEX('Cronograma R. Normativo'!$A$5:$A$1000,$N70))</f>
        <v/>
      </c>
      <c r="B70" s="62">
        <f>IF($N70="","",IF($O70="Sub","      ↳  "&amp;INDEX('Cronograma R. Normativo'!$C$5:$C$1000,$N70),INDEX('Cronograma R. Normativo'!$C$5:$C$1000,$N70)&amp;""))</f>
        <v/>
      </c>
      <c r="C70" s="79">
        <f>IF($N70="","",IF(INDEX('Cronograma R. Normativo'!$AM$5:$AM$1000,$N70)="","",INDEX('Cronograma R. Normativo'!$AM$5:$AM$1000,$N70)))</f>
        <v/>
      </c>
      <c r="D70" s="79">
        <f>IF($N70="","",IF(INDEX('Cronograma R. Normativo'!$AN$5:$AN$1000,$N70)="","",INDEX('Cronograma R. Normativo'!$AN$5:$AN$1000,$N70)))</f>
        <v/>
      </c>
      <c r="E70" s="56">
        <f>IF($N70="","",IF(NOT(ISNUMBER($D70)),"",IF($D70&lt;InicioCiclo,"Antes del ciclo",IF($D70&gt;=InicioCiclo+28,"Después del ciclo","Semana "&amp;(INT(($D70-InicioCiclo)/7)+1)))))</f>
        <v/>
      </c>
      <c r="F70" s="61">
        <f>IF($N70="","",IF($P70&gt;0,IF(1&lt;=SemanaActual,INDEX('Cronograma R. Normativo'!$AC$5:$AC$1000,$N70),""),IF(INDEX('Cronograma R. Normativo'!$I$5:$I$1000,$N70)="","",INDEX('Cronograma R. Normativo'!$I$5:$I$1000,$N70))))</f>
        <v/>
      </c>
      <c r="G70" s="61">
        <f>IF($N70="","",IF($P70&gt;0,IF(2&lt;=SemanaActual,INDEX('Cronograma R. Normativo'!$AD$5:$AD$1000,$N70),""),IF(INDEX('Cronograma R. Normativo'!$J$5:$J$1000,$N70)="","",INDEX('Cronograma R. Normativo'!$J$5:$J$1000,$N70))))</f>
        <v/>
      </c>
      <c r="H70" s="61">
        <f>IF($N70="","",IF($P70&gt;0,IF(3&lt;=SemanaActual,INDEX('Cronograma R. Normativo'!$AE$5:$AE$1000,$N70),""),IF(INDEX('Cronograma R. Normativo'!$K$5:$K$1000,$N70)="","",INDEX('Cronograma R. Normativo'!$K$5:$K$1000,$N70))))</f>
        <v/>
      </c>
      <c r="I70" s="61">
        <f>IF($N70="","",IF($P70&gt;0,IF(4&lt;=SemanaActual,INDEX('Cronograma R. Normativo'!$AF$5:$AF$1000,$N70),""),IF(INDEX('Cronograma R. Normativo'!$L$5:$L$1000,$N70)="","",INDEX('Cronograma R. Normativo'!$L$5:$L$1000,$N70))))</f>
        <v/>
      </c>
      <c r="J70" s="61">
        <f>IF($N70="","",INDEX('Cronograma R. Normativo'!$M$5:$M$1000,$N70))</f>
        <v/>
      </c>
      <c r="K70" s="56">
        <f>IF($N70="","",IF(N($J70)&gt;=1,"Completado",IF(AND(ISNUMBER($D70),$D70&lt;FechaRef),"Vencida",IF(N($J70)&gt;0,"En curso","Pendiente"))))</f>
        <v/>
      </c>
      <c r="L70" s="56">
        <f>IF($N70="","",INDEX('Cronograma R. Normativo'!$O$5:$O$1000,$N70)&amp;"")</f>
        <v/>
      </c>
      <c r="M70" s="62">
        <f>IF($N70="","",INDEX('Cronograma R. Normativo'!$Q$5:$Q$1000,$N70)&amp;"")</f>
        <v/>
      </c>
      <c r="N70">
        <f>IFERROR(MATCH(ROW()-4,rOrden_RN,0),"")</f>
        <v/>
      </c>
      <c r="O70">
        <f>IF($N70="","",INDEX('Cronograma R. Normativo'!$V$5:$V$1000,$N70))</f>
        <v/>
      </c>
      <c r="P70">
        <f>IF($N70="","",N(INDEX('Cronograma R. Normativo'!$W$5:$W$1000,$N70)))</f>
        <v/>
      </c>
      <c r="Q70">
        <f>IF(OR(LEFT($L70,7)="Vencida",LEFT($L70,5)="Vence"),SUMPRODUCT(--(LEFT($L$5:$L70,7)="Vencida"))+SUMPRODUCT(--(LEFT($L$5:$L70,5)="Vence")),"")</f>
        <v/>
      </c>
    </row>
    <row r="71">
      <c r="A71" s="56">
        <f>IF($N71="","",INDEX('Cronograma R. Normativo'!$A$5:$A$1000,$N71))</f>
        <v/>
      </c>
      <c r="B71" s="62">
        <f>IF($N71="","",IF($O71="Sub","      ↳  "&amp;INDEX('Cronograma R. Normativo'!$C$5:$C$1000,$N71),INDEX('Cronograma R. Normativo'!$C$5:$C$1000,$N71)&amp;""))</f>
        <v/>
      </c>
      <c r="C71" s="79">
        <f>IF($N71="","",IF(INDEX('Cronograma R. Normativo'!$AM$5:$AM$1000,$N71)="","",INDEX('Cronograma R. Normativo'!$AM$5:$AM$1000,$N71)))</f>
        <v/>
      </c>
      <c r="D71" s="79">
        <f>IF($N71="","",IF(INDEX('Cronograma R. Normativo'!$AN$5:$AN$1000,$N71)="","",INDEX('Cronograma R. Normativo'!$AN$5:$AN$1000,$N71)))</f>
        <v/>
      </c>
      <c r="E71" s="56">
        <f>IF($N71="","",IF(NOT(ISNUMBER($D71)),"",IF($D71&lt;InicioCiclo,"Antes del ciclo",IF($D71&gt;=InicioCiclo+28,"Después del ciclo","Semana "&amp;(INT(($D71-InicioCiclo)/7)+1)))))</f>
        <v/>
      </c>
      <c r="F71" s="61">
        <f>IF($N71="","",IF($P71&gt;0,IF(1&lt;=SemanaActual,INDEX('Cronograma R. Normativo'!$AC$5:$AC$1000,$N71),""),IF(INDEX('Cronograma R. Normativo'!$I$5:$I$1000,$N71)="","",INDEX('Cronograma R. Normativo'!$I$5:$I$1000,$N71))))</f>
        <v/>
      </c>
      <c r="G71" s="61">
        <f>IF($N71="","",IF($P71&gt;0,IF(2&lt;=SemanaActual,INDEX('Cronograma R. Normativo'!$AD$5:$AD$1000,$N71),""),IF(INDEX('Cronograma R. Normativo'!$J$5:$J$1000,$N71)="","",INDEX('Cronograma R. Normativo'!$J$5:$J$1000,$N71))))</f>
        <v/>
      </c>
      <c r="H71" s="61">
        <f>IF($N71="","",IF($P71&gt;0,IF(3&lt;=SemanaActual,INDEX('Cronograma R. Normativo'!$AE$5:$AE$1000,$N71),""),IF(INDEX('Cronograma R. Normativo'!$K$5:$K$1000,$N71)="","",INDEX('Cronograma R. Normativo'!$K$5:$K$1000,$N71))))</f>
        <v/>
      </c>
      <c r="I71" s="61">
        <f>IF($N71="","",IF($P71&gt;0,IF(4&lt;=SemanaActual,INDEX('Cronograma R. Normativo'!$AF$5:$AF$1000,$N71),""),IF(INDEX('Cronograma R. Normativo'!$L$5:$L$1000,$N71)="","",INDEX('Cronograma R. Normativo'!$L$5:$L$1000,$N71))))</f>
        <v/>
      </c>
      <c r="J71" s="61">
        <f>IF($N71="","",INDEX('Cronograma R. Normativo'!$M$5:$M$1000,$N71))</f>
        <v/>
      </c>
      <c r="K71" s="56">
        <f>IF($N71="","",IF(N($J71)&gt;=1,"Completado",IF(AND(ISNUMBER($D71),$D71&lt;FechaRef),"Vencida",IF(N($J71)&gt;0,"En curso","Pendiente"))))</f>
        <v/>
      </c>
      <c r="L71" s="56">
        <f>IF($N71="","",INDEX('Cronograma R. Normativo'!$O$5:$O$1000,$N71)&amp;"")</f>
        <v/>
      </c>
      <c r="M71" s="62">
        <f>IF($N71="","",INDEX('Cronograma R. Normativo'!$Q$5:$Q$1000,$N71)&amp;"")</f>
        <v/>
      </c>
      <c r="N71">
        <f>IFERROR(MATCH(ROW()-4,rOrden_RN,0),"")</f>
        <v/>
      </c>
      <c r="O71">
        <f>IF($N71="","",INDEX('Cronograma R. Normativo'!$V$5:$V$1000,$N71))</f>
        <v/>
      </c>
      <c r="P71">
        <f>IF($N71="","",N(INDEX('Cronograma R. Normativo'!$W$5:$W$1000,$N71)))</f>
        <v/>
      </c>
      <c r="Q71">
        <f>IF(OR(LEFT($L71,7)="Vencida",LEFT($L71,5)="Vence"),SUMPRODUCT(--(LEFT($L$5:$L71,7)="Vencida"))+SUMPRODUCT(--(LEFT($L$5:$L71,5)="Vence")),"")</f>
        <v/>
      </c>
    </row>
    <row r="72">
      <c r="A72" s="56">
        <f>IF($N72="","",INDEX('Cronograma R. Normativo'!$A$5:$A$1000,$N72))</f>
        <v/>
      </c>
      <c r="B72" s="62">
        <f>IF($N72="","",IF($O72="Sub","      ↳  "&amp;INDEX('Cronograma R. Normativo'!$C$5:$C$1000,$N72),INDEX('Cronograma R. Normativo'!$C$5:$C$1000,$N72)&amp;""))</f>
        <v/>
      </c>
      <c r="C72" s="79">
        <f>IF($N72="","",IF(INDEX('Cronograma R. Normativo'!$AM$5:$AM$1000,$N72)="","",INDEX('Cronograma R. Normativo'!$AM$5:$AM$1000,$N72)))</f>
        <v/>
      </c>
      <c r="D72" s="79">
        <f>IF($N72="","",IF(INDEX('Cronograma R. Normativo'!$AN$5:$AN$1000,$N72)="","",INDEX('Cronograma R. Normativo'!$AN$5:$AN$1000,$N72)))</f>
        <v/>
      </c>
      <c r="E72" s="56">
        <f>IF($N72="","",IF(NOT(ISNUMBER($D72)),"",IF($D72&lt;InicioCiclo,"Antes del ciclo",IF($D72&gt;=InicioCiclo+28,"Después del ciclo","Semana "&amp;(INT(($D72-InicioCiclo)/7)+1)))))</f>
        <v/>
      </c>
      <c r="F72" s="61">
        <f>IF($N72="","",IF($P72&gt;0,IF(1&lt;=SemanaActual,INDEX('Cronograma R. Normativo'!$AC$5:$AC$1000,$N72),""),IF(INDEX('Cronograma R. Normativo'!$I$5:$I$1000,$N72)="","",INDEX('Cronograma R. Normativo'!$I$5:$I$1000,$N72))))</f>
        <v/>
      </c>
      <c r="G72" s="61">
        <f>IF($N72="","",IF($P72&gt;0,IF(2&lt;=SemanaActual,INDEX('Cronograma R. Normativo'!$AD$5:$AD$1000,$N72),""),IF(INDEX('Cronograma R. Normativo'!$J$5:$J$1000,$N72)="","",INDEX('Cronograma R. Normativo'!$J$5:$J$1000,$N72))))</f>
        <v/>
      </c>
      <c r="H72" s="61">
        <f>IF($N72="","",IF($P72&gt;0,IF(3&lt;=SemanaActual,INDEX('Cronograma R. Normativo'!$AE$5:$AE$1000,$N72),""),IF(INDEX('Cronograma R. Normativo'!$K$5:$K$1000,$N72)="","",INDEX('Cronograma R. Normativo'!$K$5:$K$1000,$N72))))</f>
        <v/>
      </c>
      <c r="I72" s="61">
        <f>IF($N72="","",IF($P72&gt;0,IF(4&lt;=SemanaActual,INDEX('Cronograma R. Normativo'!$AF$5:$AF$1000,$N72),""),IF(INDEX('Cronograma R. Normativo'!$L$5:$L$1000,$N72)="","",INDEX('Cronograma R. Normativo'!$L$5:$L$1000,$N72))))</f>
        <v/>
      </c>
      <c r="J72" s="61">
        <f>IF($N72="","",INDEX('Cronograma R. Normativo'!$M$5:$M$1000,$N72))</f>
        <v/>
      </c>
      <c r="K72" s="56">
        <f>IF($N72="","",IF(N($J72)&gt;=1,"Completado",IF(AND(ISNUMBER($D72),$D72&lt;FechaRef),"Vencida",IF(N($J72)&gt;0,"En curso","Pendiente"))))</f>
        <v/>
      </c>
      <c r="L72" s="56">
        <f>IF($N72="","",INDEX('Cronograma R. Normativo'!$O$5:$O$1000,$N72)&amp;"")</f>
        <v/>
      </c>
      <c r="M72" s="62">
        <f>IF($N72="","",INDEX('Cronograma R. Normativo'!$Q$5:$Q$1000,$N72)&amp;"")</f>
        <v/>
      </c>
      <c r="N72">
        <f>IFERROR(MATCH(ROW()-4,rOrden_RN,0),"")</f>
        <v/>
      </c>
      <c r="O72">
        <f>IF($N72="","",INDEX('Cronograma R. Normativo'!$V$5:$V$1000,$N72))</f>
        <v/>
      </c>
      <c r="P72">
        <f>IF($N72="","",N(INDEX('Cronograma R. Normativo'!$W$5:$W$1000,$N72)))</f>
        <v/>
      </c>
      <c r="Q72">
        <f>IF(OR(LEFT($L72,7)="Vencida",LEFT($L72,5)="Vence"),SUMPRODUCT(--(LEFT($L$5:$L72,7)="Vencida"))+SUMPRODUCT(--(LEFT($L$5:$L72,5)="Vence")),"")</f>
        <v/>
      </c>
    </row>
    <row r="73">
      <c r="A73" s="56">
        <f>IF($N73="","",INDEX('Cronograma R. Normativo'!$A$5:$A$1000,$N73))</f>
        <v/>
      </c>
      <c r="B73" s="62">
        <f>IF($N73="","",IF($O73="Sub","      ↳  "&amp;INDEX('Cronograma R. Normativo'!$C$5:$C$1000,$N73),INDEX('Cronograma R. Normativo'!$C$5:$C$1000,$N73)&amp;""))</f>
        <v/>
      </c>
      <c r="C73" s="79">
        <f>IF($N73="","",IF(INDEX('Cronograma R. Normativo'!$AM$5:$AM$1000,$N73)="","",INDEX('Cronograma R. Normativo'!$AM$5:$AM$1000,$N73)))</f>
        <v/>
      </c>
      <c r="D73" s="79">
        <f>IF($N73="","",IF(INDEX('Cronograma R. Normativo'!$AN$5:$AN$1000,$N73)="","",INDEX('Cronograma R. Normativo'!$AN$5:$AN$1000,$N73)))</f>
        <v/>
      </c>
      <c r="E73" s="56">
        <f>IF($N73="","",IF(NOT(ISNUMBER($D73)),"",IF($D73&lt;InicioCiclo,"Antes del ciclo",IF($D73&gt;=InicioCiclo+28,"Después del ciclo","Semana "&amp;(INT(($D73-InicioCiclo)/7)+1)))))</f>
        <v/>
      </c>
      <c r="F73" s="61">
        <f>IF($N73="","",IF($P73&gt;0,IF(1&lt;=SemanaActual,INDEX('Cronograma R. Normativo'!$AC$5:$AC$1000,$N73),""),IF(INDEX('Cronograma R. Normativo'!$I$5:$I$1000,$N73)="","",INDEX('Cronograma R. Normativo'!$I$5:$I$1000,$N73))))</f>
        <v/>
      </c>
      <c r="G73" s="61">
        <f>IF($N73="","",IF($P73&gt;0,IF(2&lt;=SemanaActual,INDEX('Cronograma R. Normativo'!$AD$5:$AD$1000,$N73),""),IF(INDEX('Cronograma R. Normativo'!$J$5:$J$1000,$N73)="","",INDEX('Cronograma R. Normativo'!$J$5:$J$1000,$N73))))</f>
        <v/>
      </c>
      <c r="H73" s="61">
        <f>IF($N73="","",IF($P73&gt;0,IF(3&lt;=SemanaActual,INDEX('Cronograma R. Normativo'!$AE$5:$AE$1000,$N73),""),IF(INDEX('Cronograma R. Normativo'!$K$5:$K$1000,$N73)="","",INDEX('Cronograma R. Normativo'!$K$5:$K$1000,$N73))))</f>
        <v/>
      </c>
      <c r="I73" s="61">
        <f>IF($N73="","",IF($P73&gt;0,IF(4&lt;=SemanaActual,INDEX('Cronograma R. Normativo'!$AF$5:$AF$1000,$N73),""),IF(INDEX('Cronograma R. Normativo'!$L$5:$L$1000,$N73)="","",INDEX('Cronograma R. Normativo'!$L$5:$L$1000,$N73))))</f>
        <v/>
      </c>
      <c r="J73" s="61">
        <f>IF($N73="","",INDEX('Cronograma R. Normativo'!$M$5:$M$1000,$N73))</f>
        <v/>
      </c>
      <c r="K73" s="56">
        <f>IF($N73="","",IF(N($J73)&gt;=1,"Completado",IF(AND(ISNUMBER($D73),$D73&lt;FechaRef),"Vencida",IF(N($J73)&gt;0,"En curso","Pendiente"))))</f>
        <v/>
      </c>
      <c r="L73" s="56">
        <f>IF($N73="","",INDEX('Cronograma R. Normativo'!$O$5:$O$1000,$N73)&amp;"")</f>
        <v/>
      </c>
      <c r="M73" s="62">
        <f>IF($N73="","",INDEX('Cronograma R. Normativo'!$Q$5:$Q$1000,$N73)&amp;"")</f>
        <v/>
      </c>
      <c r="N73">
        <f>IFERROR(MATCH(ROW()-4,rOrden_RN,0),"")</f>
        <v/>
      </c>
      <c r="O73">
        <f>IF($N73="","",INDEX('Cronograma R. Normativo'!$V$5:$V$1000,$N73))</f>
        <v/>
      </c>
      <c r="P73">
        <f>IF($N73="","",N(INDEX('Cronograma R. Normativo'!$W$5:$W$1000,$N73)))</f>
        <v/>
      </c>
      <c r="Q73">
        <f>IF(OR(LEFT($L73,7)="Vencida",LEFT($L73,5)="Vence"),SUMPRODUCT(--(LEFT($L$5:$L73,7)="Vencida"))+SUMPRODUCT(--(LEFT($L$5:$L73,5)="Vence")),"")</f>
        <v/>
      </c>
    </row>
    <row r="74">
      <c r="A74" s="56">
        <f>IF($N74="","",INDEX('Cronograma R. Normativo'!$A$5:$A$1000,$N74))</f>
        <v/>
      </c>
      <c r="B74" s="62">
        <f>IF($N74="","",IF($O74="Sub","      ↳  "&amp;INDEX('Cronograma R. Normativo'!$C$5:$C$1000,$N74),INDEX('Cronograma R. Normativo'!$C$5:$C$1000,$N74)&amp;""))</f>
        <v/>
      </c>
      <c r="C74" s="79">
        <f>IF($N74="","",IF(INDEX('Cronograma R. Normativo'!$AM$5:$AM$1000,$N74)="","",INDEX('Cronograma R. Normativo'!$AM$5:$AM$1000,$N74)))</f>
        <v/>
      </c>
      <c r="D74" s="79">
        <f>IF($N74="","",IF(INDEX('Cronograma R. Normativo'!$AN$5:$AN$1000,$N74)="","",INDEX('Cronograma R. Normativo'!$AN$5:$AN$1000,$N74)))</f>
        <v/>
      </c>
      <c r="E74" s="56">
        <f>IF($N74="","",IF(NOT(ISNUMBER($D74)),"",IF($D74&lt;InicioCiclo,"Antes del ciclo",IF($D74&gt;=InicioCiclo+28,"Después del ciclo","Semana "&amp;(INT(($D74-InicioCiclo)/7)+1)))))</f>
        <v/>
      </c>
      <c r="F74" s="61">
        <f>IF($N74="","",IF($P74&gt;0,IF(1&lt;=SemanaActual,INDEX('Cronograma R. Normativo'!$AC$5:$AC$1000,$N74),""),IF(INDEX('Cronograma R. Normativo'!$I$5:$I$1000,$N74)="","",INDEX('Cronograma R. Normativo'!$I$5:$I$1000,$N74))))</f>
        <v/>
      </c>
      <c r="G74" s="61">
        <f>IF($N74="","",IF($P74&gt;0,IF(2&lt;=SemanaActual,INDEX('Cronograma R. Normativo'!$AD$5:$AD$1000,$N74),""),IF(INDEX('Cronograma R. Normativo'!$J$5:$J$1000,$N74)="","",INDEX('Cronograma R. Normativo'!$J$5:$J$1000,$N74))))</f>
        <v/>
      </c>
      <c r="H74" s="61">
        <f>IF($N74="","",IF($P74&gt;0,IF(3&lt;=SemanaActual,INDEX('Cronograma R. Normativo'!$AE$5:$AE$1000,$N74),""),IF(INDEX('Cronograma R. Normativo'!$K$5:$K$1000,$N74)="","",INDEX('Cronograma R. Normativo'!$K$5:$K$1000,$N74))))</f>
        <v/>
      </c>
      <c r="I74" s="61">
        <f>IF($N74="","",IF($P74&gt;0,IF(4&lt;=SemanaActual,INDEX('Cronograma R. Normativo'!$AF$5:$AF$1000,$N74),""),IF(INDEX('Cronograma R. Normativo'!$L$5:$L$1000,$N74)="","",INDEX('Cronograma R. Normativo'!$L$5:$L$1000,$N74))))</f>
        <v/>
      </c>
      <c r="J74" s="61">
        <f>IF($N74="","",INDEX('Cronograma R. Normativo'!$M$5:$M$1000,$N74))</f>
        <v/>
      </c>
      <c r="K74" s="56">
        <f>IF($N74="","",IF(N($J74)&gt;=1,"Completado",IF(AND(ISNUMBER($D74),$D74&lt;FechaRef),"Vencida",IF(N($J74)&gt;0,"En curso","Pendiente"))))</f>
        <v/>
      </c>
      <c r="L74" s="56">
        <f>IF($N74="","",INDEX('Cronograma R. Normativo'!$O$5:$O$1000,$N74)&amp;"")</f>
        <v/>
      </c>
      <c r="M74" s="62">
        <f>IF($N74="","",INDEX('Cronograma R. Normativo'!$Q$5:$Q$1000,$N74)&amp;"")</f>
        <v/>
      </c>
      <c r="N74">
        <f>IFERROR(MATCH(ROW()-4,rOrden_RN,0),"")</f>
        <v/>
      </c>
      <c r="O74">
        <f>IF($N74="","",INDEX('Cronograma R. Normativo'!$V$5:$V$1000,$N74))</f>
        <v/>
      </c>
      <c r="P74">
        <f>IF($N74="","",N(INDEX('Cronograma R. Normativo'!$W$5:$W$1000,$N74)))</f>
        <v/>
      </c>
      <c r="Q74">
        <f>IF(OR(LEFT($L74,7)="Vencida",LEFT($L74,5)="Vence"),SUMPRODUCT(--(LEFT($L$5:$L74,7)="Vencida"))+SUMPRODUCT(--(LEFT($L$5:$L74,5)="Vence")),"")</f>
        <v/>
      </c>
    </row>
    <row r="75">
      <c r="A75" s="56">
        <f>IF($N75="","",INDEX('Cronograma R. Normativo'!$A$5:$A$1000,$N75))</f>
        <v/>
      </c>
      <c r="B75" s="62">
        <f>IF($N75="","",IF($O75="Sub","      ↳  "&amp;INDEX('Cronograma R. Normativo'!$C$5:$C$1000,$N75),INDEX('Cronograma R. Normativo'!$C$5:$C$1000,$N75)&amp;""))</f>
        <v/>
      </c>
      <c r="C75" s="79">
        <f>IF($N75="","",IF(INDEX('Cronograma R. Normativo'!$AM$5:$AM$1000,$N75)="","",INDEX('Cronograma R. Normativo'!$AM$5:$AM$1000,$N75)))</f>
        <v/>
      </c>
      <c r="D75" s="79">
        <f>IF($N75="","",IF(INDEX('Cronograma R. Normativo'!$AN$5:$AN$1000,$N75)="","",INDEX('Cronograma R. Normativo'!$AN$5:$AN$1000,$N75)))</f>
        <v/>
      </c>
      <c r="E75" s="56">
        <f>IF($N75="","",IF(NOT(ISNUMBER($D75)),"",IF($D75&lt;InicioCiclo,"Antes del ciclo",IF($D75&gt;=InicioCiclo+28,"Después del ciclo","Semana "&amp;(INT(($D75-InicioCiclo)/7)+1)))))</f>
        <v/>
      </c>
      <c r="F75" s="61">
        <f>IF($N75="","",IF($P75&gt;0,IF(1&lt;=SemanaActual,INDEX('Cronograma R. Normativo'!$AC$5:$AC$1000,$N75),""),IF(INDEX('Cronograma R. Normativo'!$I$5:$I$1000,$N75)="","",INDEX('Cronograma R. Normativo'!$I$5:$I$1000,$N75))))</f>
        <v/>
      </c>
      <c r="G75" s="61">
        <f>IF($N75="","",IF($P75&gt;0,IF(2&lt;=SemanaActual,INDEX('Cronograma R. Normativo'!$AD$5:$AD$1000,$N75),""),IF(INDEX('Cronograma R. Normativo'!$J$5:$J$1000,$N75)="","",INDEX('Cronograma R. Normativo'!$J$5:$J$1000,$N75))))</f>
        <v/>
      </c>
      <c r="H75" s="61">
        <f>IF($N75="","",IF($P75&gt;0,IF(3&lt;=SemanaActual,INDEX('Cronograma R. Normativo'!$AE$5:$AE$1000,$N75),""),IF(INDEX('Cronograma R. Normativo'!$K$5:$K$1000,$N75)="","",INDEX('Cronograma R. Normativo'!$K$5:$K$1000,$N75))))</f>
        <v/>
      </c>
      <c r="I75" s="61">
        <f>IF($N75="","",IF($P75&gt;0,IF(4&lt;=SemanaActual,INDEX('Cronograma R. Normativo'!$AF$5:$AF$1000,$N75),""),IF(INDEX('Cronograma R. Normativo'!$L$5:$L$1000,$N75)="","",INDEX('Cronograma R. Normativo'!$L$5:$L$1000,$N75))))</f>
        <v/>
      </c>
      <c r="J75" s="61">
        <f>IF($N75="","",INDEX('Cronograma R. Normativo'!$M$5:$M$1000,$N75))</f>
        <v/>
      </c>
      <c r="K75" s="56">
        <f>IF($N75="","",IF(N($J75)&gt;=1,"Completado",IF(AND(ISNUMBER($D75),$D75&lt;FechaRef),"Vencida",IF(N($J75)&gt;0,"En curso","Pendiente"))))</f>
        <v/>
      </c>
      <c r="L75" s="56">
        <f>IF($N75="","",INDEX('Cronograma R. Normativo'!$O$5:$O$1000,$N75)&amp;"")</f>
        <v/>
      </c>
      <c r="M75" s="62">
        <f>IF($N75="","",INDEX('Cronograma R. Normativo'!$Q$5:$Q$1000,$N75)&amp;"")</f>
        <v/>
      </c>
      <c r="N75">
        <f>IFERROR(MATCH(ROW()-4,rOrden_RN,0),"")</f>
        <v/>
      </c>
      <c r="O75">
        <f>IF($N75="","",INDEX('Cronograma R. Normativo'!$V$5:$V$1000,$N75))</f>
        <v/>
      </c>
      <c r="P75">
        <f>IF($N75="","",N(INDEX('Cronograma R. Normativo'!$W$5:$W$1000,$N75)))</f>
        <v/>
      </c>
      <c r="Q75">
        <f>IF(OR(LEFT($L75,7)="Vencida",LEFT($L75,5)="Vence"),SUMPRODUCT(--(LEFT($L$5:$L75,7)="Vencida"))+SUMPRODUCT(--(LEFT($L$5:$L75,5)="Vence")),"")</f>
        <v/>
      </c>
    </row>
    <row r="76">
      <c r="A76" s="56">
        <f>IF($N76="","",INDEX('Cronograma R. Normativo'!$A$5:$A$1000,$N76))</f>
        <v/>
      </c>
      <c r="B76" s="62">
        <f>IF($N76="","",IF($O76="Sub","      ↳  "&amp;INDEX('Cronograma R. Normativo'!$C$5:$C$1000,$N76),INDEX('Cronograma R. Normativo'!$C$5:$C$1000,$N76)&amp;""))</f>
        <v/>
      </c>
      <c r="C76" s="79">
        <f>IF($N76="","",IF(INDEX('Cronograma R. Normativo'!$AM$5:$AM$1000,$N76)="","",INDEX('Cronograma R. Normativo'!$AM$5:$AM$1000,$N76)))</f>
        <v/>
      </c>
      <c r="D76" s="79">
        <f>IF($N76="","",IF(INDEX('Cronograma R. Normativo'!$AN$5:$AN$1000,$N76)="","",INDEX('Cronograma R. Normativo'!$AN$5:$AN$1000,$N76)))</f>
        <v/>
      </c>
      <c r="E76" s="56">
        <f>IF($N76="","",IF(NOT(ISNUMBER($D76)),"",IF($D76&lt;InicioCiclo,"Antes del ciclo",IF($D76&gt;=InicioCiclo+28,"Después del ciclo","Semana "&amp;(INT(($D76-InicioCiclo)/7)+1)))))</f>
        <v/>
      </c>
      <c r="F76" s="61">
        <f>IF($N76="","",IF($P76&gt;0,IF(1&lt;=SemanaActual,INDEX('Cronograma R. Normativo'!$AC$5:$AC$1000,$N76),""),IF(INDEX('Cronograma R. Normativo'!$I$5:$I$1000,$N76)="","",INDEX('Cronograma R. Normativo'!$I$5:$I$1000,$N76))))</f>
        <v/>
      </c>
      <c r="G76" s="61">
        <f>IF($N76="","",IF($P76&gt;0,IF(2&lt;=SemanaActual,INDEX('Cronograma R. Normativo'!$AD$5:$AD$1000,$N76),""),IF(INDEX('Cronograma R. Normativo'!$J$5:$J$1000,$N76)="","",INDEX('Cronograma R. Normativo'!$J$5:$J$1000,$N76))))</f>
        <v/>
      </c>
      <c r="H76" s="61">
        <f>IF($N76="","",IF($P76&gt;0,IF(3&lt;=SemanaActual,INDEX('Cronograma R. Normativo'!$AE$5:$AE$1000,$N76),""),IF(INDEX('Cronograma R. Normativo'!$K$5:$K$1000,$N76)="","",INDEX('Cronograma R. Normativo'!$K$5:$K$1000,$N76))))</f>
        <v/>
      </c>
      <c r="I76" s="61">
        <f>IF($N76="","",IF($P76&gt;0,IF(4&lt;=SemanaActual,INDEX('Cronograma R. Normativo'!$AF$5:$AF$1000,$N76),""),IF(INDEX('Cronograma R. Normativo'!$L$5:$L$1000,$N76)="","",INDEX('Cronograma R. Normativo'!$L$5:$L$1000,$N76))))</f>
        <v/>
      </c>
      <c r="J76" s="61">
        <f>IF($N76="","",INDEX('Cronograma R. Normativo'!$M$5:$M$1000,$N76))</f>
        <v/>
      </c>
      <c r="K76" s="56">
        <f>IF($N76="","",IF(N($J76)&gt;=1,"Completado",IF(AND(ISNUMBER($D76),$D76&lt;FechaRef),"Vencida",IF(N($J76)&gt;0,"En curso","Pendiente"))))</f>
        <v/>
      </c>
      <c r="L76" s="56">
        <f>IF($N76="","",INDEX('Cronograma R. Normativo'!$O$5:$O$1000,$N76)&amp;"")</f>
        <v/>
      </c>
      <c r="M76" s="62">
        <f>IF($N76="","",INDEX('Cronograma R. Normativo'!$Q$5:$Q$1000,$N76)&amp;"")</f>
        <v/>
      </c>
      <c r="N76">
        <f>IFERROR(MATCH(ROW()-4,rOrden_RN,0),"")</f>
        <v/>
      </c>
      <c r="O76">
        <f>IF($N76="","",INDEX('Cronograma R. Normativo'!$V$5:$V$1000,$N76))</f>
        <v/>
      </c>
      <c r="P76">
        <f>IF($N76="","",N(INDEX('Cronograma R. Normativo'!$W$5:$W$1000,$N76)))</f>
        <v/>
      </c>
      <c r="Q76">
        <f>IF(OR(LEFT($L76,7)="Vencida",LEFT($L76,5)="Vence"),SUMPRODUCT(--(LEFT($L$5:$L76,7)="Vencida"))+SUMPRODUCT(--(LEFT($L$5:$L76,5)="Vence")),"")</f>
        <v/>
      </c>
    </row>
    <row r="77">
      <c r="A77" s="56">
        <f>IF($N77="","",INDEX('Cronograma R. Normativo'!$A$5:$A$1000,$N77))</f>
        <v/>
      </c>
      <c r="B77" s="62">
        <f>IF($N77="","",IF($O77="Sub","      ↳  "&amp;INDEX('Cronograma R. Normativo'!$C$5:$C$1000,$N77),INDEX('Cronograma R. Normativo'!$C$5:$C$1000,$N77)&amp;""))</f>
        <v/>
      </c>
      <c r="C77" s="79">
        <f>IF($N77="","",IF(INDEX('Cronograma R. Normativo'!$AM$5:$AM$1000,$N77)="","",INDEX('Cronograma R. Normativo'!$AM$5:$AM$1000,$N77)))</f>
        <v/>
      </c>
      <c r="D77" s="79">
        <f>IF($N77="","",IF(INDEX('Cronograma R. Normativo'!$AN$5:$AN$1000,$N77)="","",INDEX('Cronograma R. Normativo'!$AN$5:$AN$1000,$N77)))</f>
        <v/>
      </c>
      <c r="E77" s="56">
        <f>IF($N77="","",IF(NOT(ISNUMBER($D77)),"",IF($D77&lt;InicioCiclo,"Antes del ciclo",IF($D77&gt;=InicioCiclo+28,"Después del ciclo","Semana "&amp;(INT(($D77-InicioCiclo)/7)+1)))))</f>
        <v/>
      </c>
      <c r="F77" s="61">
        <f>IF($N77="","",IF($P77&gt;0,IF(1&lt;=SemanaActual,INDEX('Cronograma R. Normativo'!$AC$5:$AC$1000,$N77),""),IF(INDEX('Cronograma R. Normativo'!$I$5:$I$1000,$N77)="","",INDEX('Cronograma R. Normativo'!$I$5:$I$1000,$N77))))</f>
        <v/>
      </c>
      <c r="G77" s="61">
        <f>IF($N77="","",IF($P77&gt;0,IF(2&lt;=SemanaActual,INDEX('Cronograma R. Normativo'!$AD$5:$AD$1000,$N77),""),IF(INDEX('Cronograma R. Normativo'!$J$5:$J$1000,$N77)="","",INDEX('Cronograma R. Normativo'!$J$5:$J$1000,$N77))))</f>
        <v/>
      </c>
      <c r="H77" s="61">
        <f>IF($N77="","",IF($P77&gt;0,IF(3&lt;=SemanaActual,INDEX('Cronograma R. Normativo'!$AE$5:$AE$1000,$N77),""),IF(INDEX('Cronograma R. Normativo'!$K$5:$K$1000,$N77)="","",INDEX('Cronograma R. Normativo'!$K$5:$K$1000,$N77))))</f>
        <v/>
      </c>
      <c r="I77" s="61">
        <f>IF($N77="","",IF($P77&gt;0,IF(4&lt;=SemanaActual,INDEX('Cronograma R. Normativo'!$AF$5:$AF$1000,$N77),""),IF(INDEX('Cronograma R. Normativo'!$L$5:$L$1000,$N77)="","",INDEX('Cronograma R. Normativo'!$L$5:$L$1000,$N77))))</f>
        <v/>
      </c>
      <c r="J77" s="61">
        <f>IF($N77="","",INDEX('Cronograma R. Normativo'!$M$5:$M$1000,$N77))</f>
        <v/>
      </c>
      <c r="K77" s="56">
        <f>IF($N77="","",IF(N($J77)&gt;=1,"Completado",IF(AND(ISNUMBER($D77),$D77&lt;FechaRef),"Vencida",IF(N($J77)&gt;0,"En curso","Pendiente"))))</f>
        <v/>
      </c>
      <c r="L77" s="56">
        <f>IF($N77="","",INDEX('Cronograma R. Normativo'!$O$5:$O$1000,$N77)&amp;"")</f>
        <v/>
      </c>
      <c r="M77" s="62">
        <f>IF($N77="","",INDEX('Cronograma R. Normativo'!$Q$5:$Q$1000,$N77)&amp;"")</f>
        <v/>
      </c>
      <c r="N77">
        <f>IFERROR(MATCH(ROW()-4,rOrden_RN,0),"")</f>
        <v/>
      </c>
      <c r="O77">
        <f>IF($N77="","",INDEX('Cronograma R. Normativo'!$V$5:$V$1000,$N77))</f>
        <v/>
      </c>
      <c r="P77">
        <f>IF($N77="","",N(INDEX('Cronograma R. Normativo'!$W$5:$W$1000,$N77)))</f>
        <v/>
      </c>
      <c r="Q77">
        <f>IF(OR(LEFT($L77,7)="Vencida",LEFT($L77,5)="Vence"),SUMPRODUCT(--(LEFT($L$5:$L77,7)="Vencida"))+SUMPRODUCT(--(LEFT($L$5:$L77,5)="Vence")),"")</f>
        <v/>
      </c>
    </row>
    <row r="78">
      <c r="A78" s="56">
        <f>IF($N78="","",INDEX('Cronograma R. Normativo'!$A$5:$A$1000,$N78))</f>
        <v/>
      </c>
      <c r="B78" s="62">
        <f>IF($N78="","",IF($O78="Sub","      ↳  "&amp;INDEX('Cronograma R. Normativo'!$C$5:$C$1000,$N78),INDEX('Cronograma R. Normativo'!$C$5:$C$1000,$N78)&amp;""))</f>
        <v/>
      </c>
      <c r="C78" s="79">
        <f>IF($N78="","",IF(INDEX('Cronograma R. Normativo'!$AM$5:$AM$1000,$N78)="","",INDEX('Cronograma R. Normativo'!$AM$5:$AM$1000,$N78)))</f>
        <v/>
      </c>
      <c r="D78" s="79">
        <f>IF($N78="","",IF(INDEX('Cronograma R. Normativo'!$AN$5:$AN$1000,$N78)="","",INDEX('Cronograma R. Normativo'!$AN$5:$AN$1000,$N78)))</f>
        <v/>
      </c>
      <c r="E78" s="56">
        <f>IF($N78="","",IF(NOT(ISNUMBER($D78)),"",IF($D78&lt;InicioCiclo,"Antes del ciclo",IF($D78&gt;=InicioCiclo+28,"Después del ciclo","Semana "&amp;(INT(($D78-InicioCiclo)/7)+1)))))</f>
        <v/>
      </c>
      <c r="F78" s="61">
        <f>IF($N78="","",IF($P78&gt;0,IF(1&lt;=SemanaActual,INDEX('Cronograma R. Normativo'!$AC$5:$AC$1000,$N78),""),IF(INDEX('Cronograma R. Normativo'!$I$5:$I$1000,$N78)="","",INDEX('Cronograma R. Normativo'!$I$5:$I$1000,$N78))))</f>
        <v/>
      </c>
      <c r="G78" s="61">
        <f>IF($N78="","",IF($P78&gt;0,IF(2&lt;=SemanaActual,INDEX('Cronograma R. Normativo'!$AD$5:$AD$1000,$N78),""),IF(INDEX('Cronograma R. Normativo'!$J$5:$J$1000,$N78)="","",INDEX('Cronograma R. Normativo'!$J$5:$J$1000,$N78))))</f>
        <v/>
      </c>
      <c r="H78" s="61">
        <f>IF($N78="","",IF($P78&gt;0,IF(3&lt;=SemanaActual,INDEX('Cronograma R. Normativo'!$AE$5:$AE$1000,$N78),""),IF(INDEX('Cronograma R. Normativo'!$K$5:$K$1000,$N78)="","",INDEX('Cronograma R. Normativo'!$K$5:$K$1000,$N78))))</f>
        <v/>
      </c>
      <c r="I78" s="61">
        <f>IF($N78="","",IF($P78&gt;0,IF(4&lt;=SemanaActual,INDEX('Cronograma R. Normativo'!$AF$5:$AF$1000,$N78),""),IF(INDEX('Cronograma R. Normativo'!$L$5:$L$1000,$N78)="","",INDEX('Cronograma R. Normativo'!$L$5:$L$1000,$N78))))</f>
        <v/>
      </c>
      <c r="J78" s="61">
        <f>IF($N78="","",INDEX('Cronograma R. Normativo'!$M$5:$M$1000,$N78))</f>
        <v/>
      </c>
      <c r="K78" s="56">
        <f>IF($N78="","",IF(N($J78)&gt;=1,"Completado",IF(AND(ISNUMBER($D78),$D78&lt;FechaRef),"Vencida",IF(N($J78)&gt;0,"En curso","Pendiente"))))</f>
        <v/>
      </c>
      <c r="L78" s="56">
        <f>IF($N78="","",INDEX('Cronograma R. Normativo'!$O$5:$O$1000,$N78)&amp;"")</f>
        <v/>
      </c>
      <c r="M78" s="62">
        <f>IF($N78="","",INDEX('Cronograma R. Normativo'!$Q$5:$Q$1000,$N78)&amp;"")</f>
        <v/>
      </c>
      <c r="N78">
        <f>IFERROR(MATCH(ROW()-4,rOrden_RN,0),"")</f>
        <v/>
      </c>
      <c r="O78">
        <f>IF($N78="","",INDEX('Cronograma R. Normativo'!$V$5:$V$1000,$N78))</f>
        <v/>
      </c>
      <c r="P78">
        <f>IF($N78="","",N(INDEX('Cronograma R. Normativo'!$W$5:$W$1000,$N78)))</f>
        <v/>
      </c>
      <c r="Q78">
        <f>IF(OR(LEFT($L78,7)="Vencida",LEFT($L78,5)="Vence"),SUMPRODUCT(--(LEFT($L$5:$L78,7)="Vencida"))+SUMPRODUCT(--(LEFT($L$5:$L78,5)="Vence")),"")</f>
        <v/>
      </c>
    </row>
    <row r="79">
      <c r="A79" s="56">
        <f>IF($N79="","",INDEX('Cronograma R. Normativo'!$A$5:$A$1000,$N79))</f>
        <v/>
      </c>
      <c r="B79" s="62">
        <f>IF($N79="","",IF($O79="Sub","      ↳  "&amp;INDEX('Cronograma R. Normativo'!$C$5:$C$1000,$N79),INDEX('Cronograma R. Normativo'!$C$5:$C$1000,$N79)&amp;""))</f>
        <v/>
      </c>
      <c r="C79" s="79">
        <f>IF($N79="","",IF(INDEX('Cronograma R. Normativo'!$AM$5:$AM$1000,$N79)="","",INDEX('Cronograma R. Normativo'!$AM$5:$AM$1000,$N79)))</f>
        <v/>
      </c>
      <c r="D79" s="79">
        <f>IF($N79="","",IF(INDEX('Cronograma R. Normativo'!$AN$5:$AN$1000,$N79)="","",INDEX('Cronograma R. Normativo'!$AN$5:$AN$1000,$N79)))</f>
        <v/>
      </c>
      <c r="E79" s="56">
        <f>IF($N79="","",IF(NOT(ISNUMBER($D79)),"",IF($D79&lt;InicioCiclo,"Antes del ciclo",IF($D79&gt;=InicioCiclo+28,"Después del ciclo","Semana "&amp;(INT(($D79-InicioCiclo)/7)+1)))))</f>
        <v/>
      </c>
      <c r="F79" s="61">
        <f>IF($N79="","",IF($P79&gt;0,IF(1&lt;=SemanaActual,INDEX('Cronograma R. Normativo'!$AC$5:$AC$1000,$N79),""),IF(INDEX('Cronograma R. Normativo'!$I$5:$I$1000,$N79)="","",INDEX('Cronograma R. Normativo'!$I$5:$I$1000,$N79))))</f>
        <v/>
      </c>
      <c r="G79" s="61">
        <f>IF($N79="","",IF($P79&gt;0,IF(2&lt;=SemanaActual,INDEX('Cronograma R. Normativo'!$AD$5:$AD$1000,$N79),""),IF(INDEX('Cronograma R. Normativo'!$J$5:$J$1000,$N79)="","",INDEX('Cronograma R. Normativo'!$J$5:$J$1000,$N79))))</f>
        <v/>
      </c>
      <c r="H79" s="61">
        <f>IF($N79="","",IF($P79&gt;0,IF(3&lt;=SemanaActual,INDEX('Cronograma R. Normativo'!$AE$5:$AE$1000,$N79),""),IF(INDEX('Cronograma R. Normativo'!$K$5:$K$1000,$N79)="","",INDEX('Cronograma R. Normativo'!$K$5:$K$1000,$N79))))</f>
        <v/>
      </c>
      <c r="I79" s="61">
        <f>IF($N79="","",IF($P79&gt;0,IF(4&lt;=SemanaActual,INDEX('Cronograma R. Normativo'!$AF$5:$AF$1000,$N79),""),IF(INDEX('Cronograma R. Normativo'!$L$5:$L$1000,$N79)="","",INDEX('Cronograma R. Normativo'!$L$5:$L$1000,$N79))))</f>
        <v/>
      </c>
      <c r="J79" s="61">
        <f>IF($N79="","",INDEX('Cronograma R. Normativo'!$M$5:$M$1000,$N79))</f>
        <v/>
      </c>
      <c r="K79" s="56">
        <f>IF($N79="","",IF(N($J79)&gt;=1,"Completado",IF(AND(ISNUMBER($D79),$D79&lt;FechaRef),"Vencida",IF(N($J79)&gt;0,"En curso","Pendiente"))))</f>
        <v/>
      </c>
      <c r="L79" s="56">
        <f>IF($N79="","",INDEX('Cronograma R. Normativo'!$O$5:$O$1000,$N79)&amp;"")</f>
        <v/>
      </c>
      <c r="M79" s="62">
        <f>IF($N79="","",INDEX('Cronograma R. Normativo'!$Q$5:$Q$1000,$N79)&amp;"")</f>
        <v/>
      </c>
      <c r="N79">
        <f>IFERROR(MATCH(ROW()-4,rOrden_RN,0),"")</f>
        <v/>
      </c>
      <c r="O79">
        <f>IF($N79="","",INDEX('Cronograma R. Normativo'!$V$5:$V$1000,$N79))</f>
        <v/>
      </c>
      <c r="P79">
        <f>IF($N79="","",N(INDEX('Cronograma R. Normativo'!$W$5:$W$1000,$N79)))</f>
        <v/>
      </c>
      <c r="Q79">
        <f>IF(OR(LEFT($L79,7)="Vencida",LEFT($L79,5)="Vence"),SUMPRODUCT(--(LEFT($L$5:$L79,7)="Vencida"))+SUMPRODUCT(--(LEFT($L$5:$L79,5)="Vence")),"")</f>
        <v/>
      </c>
    </row>
    <row r="80">
      <c r="A80" s="56">
        <f>IF($N80="","",INDEX('Cronograma R. Normativo'!$A$5:$A$1000,$N80))</f>
        <v/>
      </c>
      <c r="B80" s="62">
        <f>IF($N80="","",IF($O80="Sub","      ↳  "&amp;INDEX('Cronograma R. Normativo'!$C$5:$C$1000,$N80),INDEX('Cronograma R. Normativo'!$C$5:$C$1000,$N80)&amp;""))</f>
        <v/>
      </c>
      <c r="C80" s="79">
        <f>IF($N80="","",IF(INDEX('Cronograma R. Normativo'!$AM$5:$AM$1000,$N80)="","",INDEX('Cronograma R. Normativo'!$AM$5:$AM$1000,$N80)))</f>
        <v/>
      </c>
      <c r="D80" s="79">
        <f>IF($N80="","",IF(INDEX('Cronograma R. Normativo'!$AN$5:$AN$1000,$N80)="","",INDEX('Cronograma R. Normativo'!$AN$5:$AN$1000,$N80)))</f>
        <v/>
      </c>
      <c r="E80" s="56">
        <f>IF($N80="","",IF(NOT(ISNUMBER($D80)),"",IF($D80&lt;InicioCiclo,"Antes del ciclo",IF($D80&gt;=InicioCiclo+28,"Después del ciclo","Semana "&amp;(INT(($D80-InicioCiclo)/7)+1)))))</f>
        <v/>
      </c>
      <c r="F80" s="61">
        <f>IF($N80="","",IF($P80&gt;0,IF(1&lt;=SemanaActual,INDEX('Cronograma R. Normativo'!$AC$5:$AC$1000,$N80),""),IF(INDEX('Cronograma R. Normativo'!$I$5:$I$1000,$N80)="","",INDEX('Cronograma R. Normativo'!$I$5:$I$1000,$N80))))</f>
        <v/>
      </c>
      <c r="G80" s="61">
        <f>IF($N80="","",IF($P80&gt;0,IF(2&lt;=SemanaActual,INDEX('Cronograma R. Normativo'!$AD$5:$AD$1000,$N80),""),IF(INDEX('Cronograma R. Normativo'!$J$5:$J$1000,$N80)="","",INDEX('Cronograma R. Normativo'!$J$5:$J$1000,$N80))))</f>
        <v/>
      </c>
      <c r="H80" s="61">
        <f>IF($N80="","",IF($P80&gt;0,IF(3&lt;=SemanaActual,INDEX('Cronograma R. Normativo'!$AE$5:$AE$1000,$N80),""),IF(INDEX('Cronograma R. Normativo'!$K$5:$K$1000,$N80)="","",INDEX('Cronograma R. Normativo'!$K$5:$K$1000,$N80))))</f>
        <v/>
      </c>
      <c r="I80" s="61">
        <f>IF($N80="","",IF($P80&gt;0,IF(4&lt;=SemanaActual,INDEX('Cronograma R. Normativo'!$AF$5:$AF$1000,$N80),""),IF(INDEX('Cronograma R. Normativo'!$L$5:$L$1000,$N80)="","",INDEX('Cronograma R. Normativo'!$L$5:$L$1000,$N80))))</f>
        <v/>
      </c>
      <c r="J80" s="61">
        <f>IF($N80="","",INDEX('Cronograma R. Normativo'!$M$5:$M$1000,$N80))</f>
        <v/>
      </c>
      <c r="K80" s="56">
        <f>IF($N80="","",IF(N($J80)&gt;=1,"Completado",IF(AND(ISNUMBER($D80),$D80&lt;FechaRef),"Vencida",IF(N($J80)&gt;0,"En curso","Pendiente"))))</f>
        <v/>
      </c>
      <c r="L80" s="56">
        <f>IF($N80="","",INDEX('Cronograma R. Normativo'!$O$5:$O$1000,$N80)&amp;"")</f>
        <v/>
      </c>
      <c r="M80" s="62">
        <f>IF($N80="","",INDEX('Cronograma R. Normativo'!$Q$5:$Q$1000,$N80)&amp;"")</f>
        <v/>
      </c>
      <c r="N80">
        <f>IFERROR(MATCH(ROW()-4,rOrden_RN,0),"")</f>
        <v/>
      </c>
      <c r="O80">
        <f>IF($N80="","",INDEX('Cronograma R. Normativo'!$V$5:$V$1000,$N80))</f>
        <v/>
      </c>
      <c r="P80">
        <f>IF($N80="","",N(INDEX('Cronograma R. Normativo'!$W$5:$W$1000,$N80)))</f>
        <v/>
      </c>
      <c r="Q80">
        <f>IF(OR(LEFT($L80,7)="Vencida",LEFT($L80,5)="Vence"),SUMPRODUCT(--(LEFT($L$5:$L80,7)="Vencida"))+SUMPRODUCT(--(LEFT($L$5:$L80,5)="Vence")),"")</f>
        <v/>
      </c>
    </row>
    <row r="81">
      <c r="A81" s="56">
        <f>IF($N81="","",INDEX('Cronograma R. Normativo'!$A$5:$A$1000,$N81))</f>
        <v/>
      </c>
      <c r="B81" s="62">
        <f>IF($N81="","",IF($O81="Sub","      ↳  "&amp;INDEX('Cronograma R. Normativo'!$C$5:$C$1000,$N81),INDEX('Cronograma R. Normativo'!$C$5:$C$1000,$N81)&amp;""))</f>
        <v/>
      </c>
      <c r="C81" s="79">
        <f>IF($N81="","",IF(INDEX('Cronograma R. Normativo'!$AM$5:$AM$1000,$N81)="","",INDEX('Cronograma R. Normativo'!$AM$5:$AM$1000,$N81)))</f>
        <v/>
      </c>
      <c r="D81" s="79">
        <f>IF($N81="","",IF(INDEX('Cronograma R. Normativo'!$AN$5:$AN$1000,$N81)="","",INDEX('Cronograma R. Normativo'!$AN$5:$AN$1000,$N81)))</f>
        <v/>
      </c>
      <c r="E81" s="56">
        <f>IF($N81="","",IF(NOT(ISNUMBER($D81)),"",IF($D81&lt;InicioCiclo,"Antes del ciclo",IF($D81&gt;=InicioCiclo+28,"Después del ciclo","Semana "&amp;(INT(($D81-InicioCiclo)/7)+1)))))</f>
        <v/>
      </c>
      <c r="F81" s="61">
        <f>IF($N81="","",IF($P81&gt;0,IF(1&lt;=SemanaActual,INDEX('Cronograma R. Normativo'!$AC$5:$AC$1000,$N81),""),IF(INDEX('Cronograma R. Normativo'!$I$5:$I$1000,$N81)="","",INDEX('Cronograma R. Normativo'!$I$5:$I$1000,$N81))))</f>
        <v/>
      </c>
      <c r="G81" s="61">
        <f>IF($N81="","",IF($P81&gt;0,IF(2&lt;=SemanaActual,INDEX('Cronograma R. Normativo'!$AD$5:$AD$1000,$N81),""),IF(INDEX('Cronograma R. Normativo'!$J$5:$J$1000,$N81)="","",INDEX('Cronograma R. Normativo'!$J$5:$J$1000,$N81))))</f>
        <v/>
      </c>
      <c r="H81" s="61">
        <f>IF($N81="","",IF($P81&gt;0,IF(3&lt;=SemanaActual,INDEX('Cronograma R. Normativo'!$AE$5:$AE$1000,$N81),""),IF(INDEX('Cronograma R. Normativo'!$K$5:$K$1000,$N81)="","",INDEX('Cronograma R. Normativo'!$K$5:$K$1000,$N81))))</f>
        <v/>
      </c>
      <c r="I81" s="61">
        <f>IF($N81="","",IF($P81&gt;0,IF(4&lt;=SemanaActual,INDEX('Cronograma R. Normativo'!$AF$5:$AF$1000,$N81),""),IF(INDEX('Cronograma R. Normativo'!$L$5:$L$1000,$N81)="","",INDEX('Cronograma R. Normativo'!$L$5:$L$1000,$N81))))</f>
        <v/>
      </c>
      <c r="J81" s="61">
        <f>IF($N81="","",INDEX('Cronograma R. Normativo'!$M$5:$M$1000,$N81))</f>
        <v/>
      </c>
      <c r="K81" s="56">
        <f>IF($N81="","",IF(N($J81)&gt;=1,"Completado",IF(AND(ISNUMBER($D81),$D81&lt;FechaRef),"Vencida",IF(N($J81)&gt;0,"En curso","Pendiente"))))</f>
        <v/>
      </c>
      <c r="L81" s="56">
        <f>IF($N81="","",INDEX('Cronograma R. Normativo'!$O$5:$O$1000,$N81)&amp;"")</f>
        <v/>
      </c>
      <c r="M81" s="62">
        <f>IF($N81="","",INDEX('Cronograma R. Normativo'!$Q$5:$Q$1000,$N81)&amp;"")</f>
        <v/>
      </c>
      <c r="N81">
        <f>IFERROR(MATCH(ROW()-4,rOrden_RN,0),"")</f>
        <v/>
      </c>
      <c r="O81">
        <f>IF($N81="","",INDEX('Cronograma R. Normativo'!$V$5:$V$1000,$N81))</f>
        <v/>
      </c>
      <c r="P81">
        <f>IF($N81="","",N(INDEX('Cronograma R. Normativo'!$W$5:$W$1000,$N81)))</f>
        <v/>
      </c>
      <c r="Q81">
        <f>IF(OR(LEFT($L81,7)="Vencida",LEFT($L81,5)="Vence"),SUMPRODUCT(--(LEFT($L$5:$L81,7)="Vencida"))+SUMPRODUCT(--(LEFT($L$5:$L81,5)="Vence")),"")</f>
        <v/>
      </c>
    </row>
    <row r="82">
      <c r="A82" s="56">
        <f>IF($N82="","",INDEX('Cronograma R. Normativo'!$A$5:$A$1000,$N82))</f>
        <v/>
      </c>
      <c r="B82" s="62">
        <f>IF($N82="","",IF($O82="Sub","      ↳  "&amp;INDEX('Cronograma R. Normativo'!$C$5:$C$1000,$N82),INDEX('Cronograma R. Normativo'!$C$5:$C$1000,$N82)&amp;""))</f>
        <v/>
      </c>
      <c r="C82" s="79">
        <f>IF($N82="","",IF(INDEX('Cronograma R. Normativo'!$AM$5:$AM$1000,$N82)="","",INDEX('Cronograma R. Normativo'!$AM$5:$AM$1000,$N82)))</f>
        <v/>
      </c>
      <c r="D82" s="79">
        <f>IF($N82="","",IF(INDEX('Cronograma R. Normativo'!$AN$5:$AN$1000,$N82)="","",INDEX('Cronograma R. Normativo'!$AN$5:$AN$1000,$N82)))</f>
        <v/>
      </c>
      <c r="E82" s="56">
        <f>IF($N82="","",IF(NOT(ISNUMBER($D82)),"",IF($D82&lt;InicioCiclo,"Antes del ciclo",IF($D82&gt;=InicioCiclo+28,"Después del ciclo","Semana "&amp;(INT(($D82-InicioCiclo)/7)+1)))))</f>
        <v/>
      </c>
      <c r="F82" s="61">
        <f>IF($N82="","",IF($P82&gt;0,IF(1&lt;=SemanaActual,INDEX('Cronograma R. Normativo'!$AC$5:$AC$1000,$N82),""),IF(INDEX('Cronograma R. Normativo'!$I$5:$I$1000,$N82)="","",INDEX('Cronograma R. Normativo'!$I$5:$I$1000,$N82))))</f>
        <v/>
      </c>
      <c r="G82" s="61">
        <f>IF($N82="","",IF($P82&gt;0,IF(2&lt;=SemanaActual,INDEX('Cronograma R. Normativo'!$AD$5:$AD$1000,$N82),""),IF(INDEX('Cronograma R. Normativo'!$J$5:$J$1000,$N82)="","",INDEX('Cronograma R. Normativo'!$J$5:$J$1000,$N82))))</f>
        <v/>
      </c>
      <c r="H82" s="61">
        <f>IF($N82="","",IF($P82&gt;0,IF(3&lt;=SemanaActual,INDEX('Cronograma R. Normativo'!$AE$5:$AE$1000,$N82),""),IF(INDEX('Cronograma R. Normativo'!$K$5:$K$1000,$N82)="","",INDEX('Cronograma R. Normativo'!$K$5:$K$1000,$N82))))</f>
        <v/>
      </c>
      <c r="I82" s="61">
        <f>IF($N82="","",IF($P82&gt;0,IF(4&lt;=SemanaActual,INDEX('Cronograma R. Normativo'!$AF$5:$AF$1000,$N82),""),IF(INDEX('Cronograma R. Normativo'!$L$5:$L$1000,$N82)="","",INDEX('Cronograma R. Normativo'!$L$5:$L$1000,$N82))))</f>
        <v/>
      </c>
      <c r="J82" s="61">
        <f>IF($N82="","",INDEX('Cronograma R. Normativo'!$M$5:$M$1000,$N82))</f>
        <v/>
      </c>
      <c r="K82" s="56">
        <f>IF($N82="","",IF(N($J82)&gt;=1,"Completado",IF(AND(ISNUMBER($D82),$D82&lt;FechaRef),"Vencida",IF(N($J82)&gt;0,"En curso","Pendiente"))))</f>
        <v/>
      </c>
      <c r="L82" s="56">
        <f>IF($N82="","",INDEX('Cronograma R. Normativo'!$O$5:$O$1000,$N82)&amp;"")</f>
        <v/>
      </c>
      <c r="M82" s="62">
        <f>IF($N82="","",INDEX('Cronograma R. Normativo'!$Q$5:$Q$1000,$N82)&amp;"")</f>
        <v/>
      </c>
      <c r="N82">
        <f>IFERROR(MATCH(ROW()-4,rOrden_RN,0),"")</f>
        <v/>
      </c>
      <c r="O82">
        <f>IF($N82="","",INDEX('Cronograma R. Normativo'!$V$5:$V$1000,$N82))</f>
        <v/>
      </c>
      <c r="P82">
        <f>IF($N82="","",N(INDEX('Cronograma R. Normativo'!$W$5:$W$1000,$N82)))</f>
        <v/>
      </c>
      <c r="Q82">
        <f>IF(OR(LEFT($L82,7)="Vencida",LEFT($L82,5)="Vence"),SUMPRODUCT(--(LEFT($L$5:$L82,7)="Vencida"))+SUMPRODUCT(--(LEFT($L$5:$L82,5)="Vence")),"")</f>
        <v/>
      </c>
    </row>
    <row r="83">
      <c r="A83" s="56">
        <f>IF($N83="","",INDEX('Cronograma R. Normativo'!$A$5:$A$1000,$N83))</f>
        <v/>
      </c>
      <c r="B83" s="62">
        <f>IF($N83="","",IF($O83="Sub","      ↳  "&amp;INDEX('Cronograma R. Normativo'!$C$5:$C$1000,$N83),INDEX('Cronograma R. Normativo'!$C$5:$C$1000,$N83)&amp;""))</f>
        <v/>
      </c>
      <c r="C83" s="79">
        <f>IF($N83="","",IF(INDEX('Cronograma R. Normativo'!$AM$5:$AM$1000,$N83)="","",INDEX('Cronograma R. Normativo'!$AM$5:$AM$1000,$N83)))</f>
        <v/>
      </c>
      <c r="D83" s="79">
        <f>IF($N83="","",IF(INDEX('Cronograma R. Normativo'!$AN$5:$AN$1000,$N83)="","",INDEX('Cronograma R. Normativo'!$AN$5:$AN$1000,$N83)))</f>
        <v/>
      </c>
      <c r="E83" s="56">
        <f>IF($N83="","",IF(NOT(ISNUMBER($D83)),"",IF($D83&lt;InicioCiclo,"Antes del ciclo",IF($D83&gt;=InicioCiclo+28,"Después del ciclo","Semana "&amp;(INT(($D83-InicioCiclo)/7)+1)))))</f>
        <v/>
      </c>
      <c r="F83" s="61">
        <f>IF($N83="","",IF($P83&gt;0,IF(1&lt;=SemanaActual,INDEX('Cronograma R. Normativo'!$AC$5:$AC$1000,$N83),""),IF(INDEX('Cronograma R. Normativo'!$I$5:$I$1000,$N83)="","",INDEX('Cronograma R. Normativo'!$I$5:$I$1000,$N83))))</f>
        <v/>
      </c>
      <c r="G83" s="61">
        <f>IF($N83="","",IF($P83&gt;0,IF(2&lt;=SemanaActual,INDEX('Cronograma R. Normativo'!$AD$5:$AD$1000,$N83),""),IF(INDEX('Cronograma R. Normativo'!$J$5:$J$1000,$N83)="","",INDEX('Cronograma R. Normativo'!$J$5:$J$1000,$N83))))</f>
        <v/>
      </c>
      <c r="H83" s="61">
        <f>IF($N83="","",IF($P83&gt;0,IF(3&lt;=SemanaActual,INDEX('Cronograma R. Normativo'!$AE$5:$AE$1000,$N83),""),IF(INDEX('Cronograma R. Normativo'!$K$5:$K$1000,$N83)="","",INDEX('Cronograma R. Normativo'!$K$5:$K$1000,$N83))))</f>
        <v/>
      </c>
      <c r="I83" s="61">
        <f>IF($N83="","",IF($P83&gt;0,IF(4&lt;=SemanaActual,INDEX('Cronograma R. Normativo'!$AF$5:$AF$1000,$N83),""),IF(INDEX('Cronograma R. Normativo'!$L$5:$L$1000,$N83)="","",INDEX('Cronograma R. Normativo'!$L$5:$L$1000,$N83))))</f>
        <v/>
      </c>
      <c r="J83" s="61">
        <f>IF($N83="","",INDEX('Cronograma R. Normativo'!$M$5:$M$1000,$N83))</f>
        <v/>
      </c>
      <c r="K83" s="56">
        <f>IF($N83="","",IF(N($J83)&gt;=1,"Completado",IF(AND(ISNUMBER($D83),$D83&lt;FechaRef),"Vencida",IF(N($J83)&gt;0,"En curso","Pendiente"))))</f>
        <v/>
      </c>
      <c r="L83" s="56">
        <f>IF($N83="","",INDEX('Cronograma R. Normativo'!$O$5:$O$1000,$N83)&amp;"")</f>
        <v/>
      </c>
      <c r="M83" s="62">
        <f>IF($N83="","",INDEX('Cronograma R. Normativo'!$Q$5:$Q$1000,$N83)&amp;"")</f>
        <v/>
      </c>
      <c r="N83">
        <f>IFERROR(MATCH(ROW()-4,rOrden_RN,0),"")</f>
        <v/>
      </c>
      <c r="O83">
        <f>IF($N83="","",INDEX('Cronograma R. Normativo'!$V$5:$V$1000,$N83))</f>
        <v/>
      </c>
      <c r="P83">
        <f>IF($N83="","",N(INDEX('Cronograma R. Normativo'!$W$5:$W$1000,$N83)))</f>
        <v/>
      </c>
      <c r="Q83">
        <f>IF(OR(LEFT($L83,7)="Vencida",LEFT($L83,5)="Vence"),SUMPRODUCT(--(LEFT($L$5:$L83,7)="Vencida"))+SUMPRODUCT(--(LEFT($L$5:$L83,5)="Vence")),"")</f>
        <v/>
      </c>
    </row>
    <row r="84">
      <c r="A84" s="56">
        <f>IF($N84="","",INDEX('Cronograma R. Normativo'!$A$5:$A$1000,$N84))</f>
        <v/>
      </c>
      <c r="B84" s="62">
        <f>IF($N84="","",IF($O84="Sub","      ↳  "&amp;INDEX('Cronograma R. Normativo'!$C$5:$C$1000,$N84),INDEX('Cronograma R. Normativo'!$C$5:$C$1000,$N84)&amp;""))</f>
        <v/>
      </c>
      <c r="C84" s="79">
        <f>IF($N84="","",IF(INDEX('Cronograma R. Normativo'!$AM$5:$AM$1000,$N84)="","",INDEX('Cronograma R. Normativo'!$AM$5:$AM$1000,$N84)))</f>
        <v/>
      </c>
      <c r="D84" s="79">
        <f>IF($N84="","",IF(INDEX('Cronograma R. Normativo'!$AN$5:$AN$1000,$N84)="","",INDEX('Cronograma R. Normativo'!$AN$5:$AN$1000,$N84)))</f>
        <v/>
      </c>
      <c r="E84" s="56">
        <f>IF($N84="","",IF(NOT(ISNUMBER($D84)),"",IF($D84&lt;InicioCiclo,"Antes del ciclo",IF($D84&gt;=InicioCiclo+28,"Después del ciclo","Semana "&amp;(INT(($D84-InicioCiclo)/7)+1)))))</f>
        <v/>
      </c>
      <c r="F84" s="61">
        <f>IF($N84="","",IF($P84&gt;0,IF(1&lt;=SemanaActual,INDEX('Cronograma R. Normativo'!$AC$5:$AC$1000,$N84),""),IF(INDEX('Cronograma R. Normativo'!$I$5:$I$1000,$N84)="","",INDEX('Cronograma R. Normativo'!$I$5:$I$1000,$N84))))</f>
        <v/>
      </c>
      <c r="G84" s="61">
        <f>IF($N84="","",IF($P84&gt;0,IF(2&lt;=SemanaActual,INDEX('Cronograma R. Normativo'!$AD$5:$AD$1000,$N84),""),IF(INDEX('Cronograma R. Normativo'!$J$5:$J$1000,$N84)="","",INDEX('Cronograma R. Normativo'!$J$5:$J$1000,$N84))))</f>
        <v/>
      </c>
      <c r="H84" s="61">
        <f>IF($N84="","",IF($P84&gt;0,IF(3&lt;=SemanaActual,INDEX('Cronograma R. Normativo'!$AE$5:$AE$1000,$N84),""),IF(INDEX('Cronograma R. Normativo'!$K$5:$K$1000,$N84)="","",INDEX('Cronograma R. Normativo'!$K$5:$K$1000,$N84))))</f>
        <v/>
      </c>
      <c r="I84" s="61">
        <f>IF($N84="","",IF($P84&gt;0,IF(4&lt;=SemanaActual,INDEX('Cronograma R. Normativo'!$AF$5:$AF$1000,$N84),""),IF(INDEX('Cronograma R. Normativo'!$L$5:$L$1000,$N84)="","",INDEX('Cronograma R. Normativo'!$L$5:$L$1000,$N84))))</f>
        <v/>
      </c>
      <c r="J84" s="61">
        <f>IF($N84="","",INDEX('Cronograma R. Normativo'!$M$5:$M$1000,$N84))</f>
        <v/>
      </c>
      <c r="K84" s="56">
        <f>IF($N84="","",IF(N($J84)&gt;=1,"Completado",IF(AND(ISNUMBER($D84),$D84&lt;FechaRef),"Vencida",IF(N($J84)&gt;0,"En curso","Pendiente"))))</f>
        <v/>
      </c>
      <c r="L84" s="56">
        <f>IF($N84="","",INDEX('Cronograma R. Normativo'!$O$5:$O$1000,$N84)&amp;"")</f>
        <v/>
      </c>
      <c r="M84" s="62">
        <f>IF($N84="","",INDEX('Cronograma R. Normativo'!$Q$5:$Q$1000,$N84)&amp;"")</f>
        <v/>
      </c>
      <c r="N84">
        <f>IFERROR(MATCH(ROW()-4,rOrden_RN,0),"")</f>
        <v/>
      </c>
      <c r="O84">
        <f>IF($N84="","",INDEX('Cronograma R. Normativo'!$V$5:$V$1000,$N84))</f>
        <v/>
      </c>
      <c r="P84">
        <f>IF($N84="","",N(INDEX('Cronograma R. Normativo'!$W$5:$W$1000,$N84)))</f>
        <v/>
      </c>
      <c r="Q84">
        <f>IF(OR(LEFT($L84,7)="Vencida",LEFT($L84,5)="Vence"),SUMPRODUCT(--(LEFT($L$5:$L84,7)="Vencida"))+SUMPRODUCT(--(LEFT($L$5:$L84,5)="Vence")),"")</f>
        <v/>
      </c>
    </row>
    <row r="85">
      <c r="A85" s="56">
        <f>IF($N85="","",INDEX('Cronograma R. Normativo'!$A$5:$A$1000,$N85))</f>
        <v/>
      </c>
      <c r="B85" s="62">
        <f>IF($N85="","",IF($O85="Sub","      ↳  "&amp;INDEX('Cronograma R. Normativo'!$C$5:$C$1000,$N85),INDEX('Cronograma R. Normativo'!$C$5:$C$1000,$N85)&amp;""))</f>
        <v/>
      </c>
      <c r="C85" s="79">
        <f>IF($N85="","",IF(INDEX('Cronograma R. Normativo'!$AM$5:$AM$1000,$N85)="","",INDEX('Cronograma R. Normativo'!$AM$5:$AM$1000,$N85)))</f>
        <v/>
      </c>
      <c r="D85" s="79">
        <f>IF($N85="","",IF(INDEX('Cronograma R. Normativo'!$AN$5:$AN$1000,$N85)="","",INDEX('Cronograma R. Normativo'!$AN$5:$AN$1000,$N85)))</f>
        <v/>
      </c>
      <c r="E85" s="56">
        <f>IF($N85="","",IF(NOT(ISNUMBER($D85)),"",IF($D85&lt;InicioCiclo,"Antes del ciclo",IF($D85&gt;=InicioCiclo+28,"Después del ciclo","Semana "&amp;(INT(($D85-InicioCiclo)/7)+1)))))</f>
        <v/>
      </c>
      <c r="F85" s="61">
        <f>IF($N85="","",IF($P85&gt;0,IF(1&lt;=SemanaActual,INDEX('Cronograma R. Normativo'!$AC$5:$AC$1000,$N85),""),IF(INDEX('Cronograma R. Normativo'!$I$5:$I$1000,$N85)="","",INDEX('Cronograma R. Normativo'!$I$5:$I$1000,$N85))))</f>
        <v/>
      </c>
      <c r="G85" s="61">
        <f>IF($N85="","",IF($P85&gt;0,IF(2&lt;=SemanaActual,INDEX('Cronograma R. Normativo'!$AD$5:$AD$1000,$N85),""),IF(INDEX('Cronograma R. Normativo'!$J$5:$J$1000,$N85)="","",INDEX('Cronograma R. Normativo'!$J$5:$J$1000,$N85))))</f>
        <v/>
      </c>
      <c r="H85" s="61">
        <f>IF($N85="","",IF($P85&gt;0,IF(3&lt;=SemanaActual,INDEX('Cronograma R. Normativo'!$AE$5:$AE$1000,$N85),""),IF(INDEX('Cronograma R. Normativo'!$K$5:$K$1000,$N85)="","",INDEX('Cronograma R. Normativo'!$K$5:$K$1000,$N85))))</f>
        <v/>
      </c>
      <c r="I85" s="61">
        <f>IF($N85="","",IF($P85&gt;0,IF(4&lt;=SemanaActual,INDEX('Cronograma R. Normativo'!$AF$5:$AF$1000,$N85),""),IF(INDEX('Cronograma R. Normativo'!$L$5:$L$1000,$N85)="","",INDEX('Cronograma R. Normativo'!$L$5:$L$1000,$N85))))</f>
        <v/>
      </c>
      <c r="J85" s="61">
        <f>IF($N85="","",INDEX('Cronograma R. Normativo'!$M$5:$M$1000,$N85))</f>
        <v/>
      </c>
      <c r="K85" s="56">
        <f>IF($N85="","",IF(N($J85)&gt;=1,"Completado",IF(AND(ISNUMBER($D85),$D85&lt;FechaRef),"Vencida",IF(N($J85)&gt;0,"En curso","Pendiente"))))</f>
        <v/>
      </c>
      <c r="L85" s="56">
        <f>IF($N85="","",INDEX('Cronograma R. Normativo'!$O$5:$O$1000,$N85)&amp;"")</f>
        <v/>
      </c>
      <c r="M85" s="62">
        <f>IF($N85="","",INDEX('Cronograma R. Normativo'!$Q$5:$Q$1000,$N85)&amp;"")</f>
        <v/>
      </c>
      <c r="N85">
        <f>IFERROR(MATCH(ROW()-4,rOrden_RN,0),"")</f>
        <v/>
      </c>
      <c r="O85">
        <f>IF($N85="","",INDEX('Cronograma R. Normativo'!$V$5:$V$1000,$N85))</f>
        <v/>
      </c>
      <c r="P85">
        <f>IF($N85="","",N(INDEX('Cronograma R. Normativo'!$W$5:$W$1000,$N85)))</f>
        <v/>
      </c>
      <c r="Q85">
        <f>IF(OR(LEFT($L85,7)="Vencida",LEFT($L85,5)="Vence"),SUMPRODUCT(--(LEFT($L$5:$L85,7)="Vencida"))+SUMPRODUCT(--(LEFT($L$5:$L85,5)="Vence")),"")</f>
        <v/>
      </c>
    </row>
    <row r="86">
      <c r="A86" s="56">
        <f>IF($N86="","",INDEX('Cronograma R. Normativo'!$A$5:$A$1000,$N86))</f>
        <v/>
      </c>
      <c r="B86" s="62">
        <f>IF($N86="","",IF($O86="Sub","      ↳  "&amp;INDEX('Cronograma R. Normativo'!$C$5:$C$1000,$N86),INDEX('Cronograma R. Normativo'!$C$5:$C$1000,$N86)&amp;""))</f>
        <v/>
      </c>
      <c r="C86" s="79">
        <f>IF($N86="","",IF(INDEX('Cronograma R. Normativo'!$AM$5:$AM$1000,$N86)="","",INDEX('Cronograma R. Normativo'!$AM$5:$AM$1000,$N86)))</f>
        <v/>
      </c>
      <c r="D86" s="79">
        <f>IF($N86="","",IF(INDEX('Cronograma R. Normativo'!$AN$5:$AN$1000,$N86)="","",INDEX('Cronograma R. Normativo'!$AN$5:$AN$1000,$N86)))</f>
        <v/>
      </c>
      <c r="E86" s="56">
        <f>IF($N86="","",IF(NOT(ISNUMBER($D86)),"",IF($D86&lt;InicioCiclo,"Antes del ciclo",IF($D86&gt;=InicioCiclo+28,"Después del ciclo","Semana "&amp;(INT(($D86-InicioCiclo)/7)+1)))))</f>
        <v/>
      </c>
      <c r="F86" s="61">
        <f>IF($N86="","",IF($P86&gt;0,IF(1&lt;=SemanaActual,INDEX('Cronograma R. Normativo'!$AC$5:$AC$1000,$N86),""),IF(INDEX('Cronograma R. Normativo'!$I$5:$I$1000,$N86)="","",INDEX('Cronograma R. Normativo'!$I$5:$I$1000,$N86))))</f>
        <v/>
      </c>
      <c r="G86" s="61">
        <f>IF($N86="","",IF($P86&gt;0,IF(2&lt;=SemanaActual,INDEX('Cronograma R. Normativo'!$AD$5:$AD$1000,$N86),""),IF(INDEX('Cronograma R. Normativo'!$J$5:$J$1000,$N86)="","",INDEX('Cronograma R. Normativo'!$J$5:$J$1000,$N86))))</f>
        <v/>
      </c>
      <c r="H86" s="61">
        <f>IF($N86="","",IF($P86&gt;0,IF(3&lt;=SemanaActual,INDEX('Cronograma R. Normativo'!$AE$5:$AE$1000,$N86),""),IF(INDEX('Cronograma R. Normativo'!$K$5:$K$1000,$N86)="","",INDEX('Cronograma R. Normativo'!$K$5:$K$1000,$N86))))</f>
        <v/>
      </c>
      <c r="I86" s="61">
        <f>IF($N86="","",IF($P86&gt;0,IF(4&lt;=SemanaActual,INDEX('Cronograma R. Normativo'!$AF$5:$AF$1000,$N86),""),IF(INDEX('Cronograma R. Normativo'!$L$5:$L$1000,$N86)="","",INDEX('Cronograma R. Normativo'!$L$5:$L$1000,$N86))))</f>
        <v/>
      </c>
      <c r="J86" s="61">
        <f>IF($N86="","",INDEX('Cronograma R. Normativo'!$M$5:$M$1000,$N86))</f>
        <v/>
      </c>
      <c r="K86" s="56">
        <f>IF($N86="","",IF(N($J86)&gt;=1,"Completado",IF(AND(ISNUMBER($D86),$D86&lt;FechaRef),"Vencida",IF(N($J86)&gt;0,"En curso","Pendiente"))))</f>
        <v/>
      </c>
      <c r="L86" s="56">
        <f>IF($N86="","",INDEX('Cronograma R. Normativo'!$O$5:$O$1000,$N86)&amp;"")</f>
        <v/>
      </c>
      <c r="M86" s="62">
        <f>IF($N86="","",INDEX('Cronograma R. Normativo'!$Q$5:$Q$1000,$N86)&amp;"")</f>
        <v/>
      </c>
      <c r="N86">
        <f>IFERROR(MATCH(ROW()-4,rOrden_RN,0),"")</f>
        <v/>
      </c>
      <c r="O86">
        <f>IF($N86="","",INDEX('Cronograma R. Normativo'!$V$5:$V$1000,$N86))</f>
        <v/>
      </c>
      <c r="P86">
        <f>IF($N86="","",N(INDEX('Cronograma R. Normativo'!$W$5:$W$1000,$N86)))</f>
        <v/>
      </c>
      <c r="Q86">
        <f>IF(OR(LEFT($L86,7)="Vencida",LEFT($L86,5)="Vence"),SUMPRODUCT(--(LEFT($L$5:$L86,7)="Vencida"))+SUMPRODUCT(--(LEFT($L$5:$L86,5)="Vence")),"")</f>
        <v/>
      </c>
    </row>
    <row r="87">
      <c r="A87" s="56">
        <f>IF($N87="","",INDEX('Cronograma R. Normativo'!$A$5:$A$1000,$N87))</f>
        <v/>
      </c>
      <c r="B87" s="62">
        <f>IF($N87="","",IF($O87="Sub","      ↳  "&amp;INDEX('Cronograma R. Normativo'!$C$5:$C$1000,$N87),INDEX('Cronograma R. Normativo'!$C$5:$C$1000,$N87)&amp;""))</f>
        <v/>
      </c>
      <c r="C87" s="79">
        <f>IF($N87="","",IF(INDEX('Cronograma R. Normativo'!$AM$5:$AM$1000,$N87)="","",INDEX('Cronograma R. Normativo'!$AM$5:$AM$1000,$N87)))</f>
        <v/>
      </c>
      <c r="D87" s="79">
        <f>IF($N87="","",IF(INDEX('Cronograma R. Normativo'!$AN$5:$AN$1000,$N87)="","",INDEX('Cronograma R. Normativo'!$AN$5:$AN$1000,$N87)))</f>
        <v/>
      </c>
      <c r="E87" s="56">
        <f>IF($N87="","",IF(NOT(ISNUMBER($D87)),"",IF($D87&lt;InicioCiclo,"Antes del ciclo",IF($D87&gt;=InicioCiclo+28,"Después del ciclo","Semana "&amp;(INT(($D87-InicioCiclo)/7)+1)))))</f>
        <v/>
      </c>
      <c r="F87" s="61">
        <f>IF($N87="","",IF($P87&gt;0,IF(1&lt;=SemanaActual,INDEX('Cronograma R. Normativo'!$AC$5:$AC$1000,$N87),""),IF(INDEX('Cronograma R. Normativo'!$I$5:$I$1000,$N87)="","",INDEX('Cronograma R. Normativo'!$I$5:$I$1000,$N87))))</f>
        <v/>
      </c>
      <c r="G87" s="61">
        <f>IF($N87="","",IF($P87&gt;0,IF(2&lt;=SemanaActual,INDEX('Cronograma R. Normativo'!$AD$5:$AD$1000,$N87),""),IF(INDEX('Cronograma R. Normativo'!$J$5:$J$1000,$N87)="","",INDEX('Cronograma R. Normativo'!$J$5:$J$1000,$N87))))</f>
        <v/>
      </c>
      <c r="H87" s="61">
        <f>IF($N87="","",IF($P87&gt;0,IF(3&lt;=SemanaActual,INDEX('Cronograma R. Normativo'!$AE$5:$AE$1000,$N87),""),IF(INDEX('Cronograma R. Normativo'!$K$5:$K$1000,$N87)="","",INDEX('Cronograma R. Normativo'!$K$5:$K$1000,$N87))))</f>
        <v/>
      </c>
      <c r="I87" s="61">
        <f>IF($N87="","",IF($P87&gt;0,IF(4&lt;=SemanaActual,INDEX('Cronograma R. Normativo'!$AF$5:$AF$1000,$N87),""),IF(INDEX('Cronograma R. Normativo'!$L$5:$L$1000,$N87)="","",INDEX('Cronograma R. Normativo'!$L$5:$L$1000,$N87))))</f>
        <v/>
      </c>
      <c r="J87" s="61">
        <f>IF($N87="","",INDEX('Cronograma R. Normativo'!$M$5:$M$1000,$N87))</f>
        <v/>
      </c>
      <c r="K87" s="56">
        <f>IF($N87="","",IF(N($J87)&gt;=1,"Completado",IF(AND(ISNUMBER($D87),$D87&lt;FechaRef),"Vencida",IF(N($J87)&gt;0,"En curso","Pendiente"))))</f>
        <v/>
      </c>
      <c r="L87" s="56">
        <f>IF($N87="","",INDEX('Cronograma R. Normativo'!$O$5:$O$1000,$N87)&amp;"")</f>
        <v/>
      </c>
      <c r="M87" s="62">
        <f>IF($N87="","",INDEX('Cronograma R. Normativo'!$Q$5:$Q$1000,$N87)&amp;"")</f>
        <v/>
      </c>
      <c r="N87">
        <f>IFERROR(MATCH(ROW()-4,rOrden_RN,0),"")</f>
        <v/>
      </c>
      <c r="O87">
        <f>IF($N87="","",INDEX('Cronograma R. Normativo'!$V$5:$V$1000,$N87))</f>
        <v/>
      </c>
      <c r="P87">
        <f>IF($N87="","",N(INDEX('Cronograma R. Normativo'!$W$5:$W$1000,$N87)))</f>
        <v/>
      </c>
      <c r="Q87">
        <f>IF(OR(LEFT($L87,7)="Vencida",LEFT($L87,5)="Vence"),SUMPRODUCT(--(LEFT($L$5:$L87,7)="Vencida"))+SUMPRODUCT(--(LEFT($L$5:$L87,5)="Vence")),"")</f>
        <v/>
      </c>
    </row>
    <row r="88">
      <c r="A88" s="56">
        <f>IF($N88="","",INDEX('Cronograma R. Normativo'!$A$5:$A$1000,$N88))</f>
        <v/>
      </c>
      <c r="B88" s="62">
        <f>IF($N88="","",IF($O88="Sub","      ↳  "&amp;INDEX('Cronograma R. Normativo'!$C$5:$C$1000,$N88),INDEX('Cronograma R. Normativo'!$C$5:$C$1000,$N88)&amp;""))</f>
        <v/>
      </c>
      <c r="C88" s="79">
        <f>IF($N88="","",IF(INDEX('Cronograma R. Normativo'!$AM$5:$AM$1000,$N88)="","",INDEX('Cronograma R. Normativo'!$AM$5:$AM$1000,$N88)))</f>
        <v/>
      </c>
      <c r="D88" s="79">
        <f>IF($N88="","",IF(INDEX('Cronograma R. Normativo'!$AN$5:$AN$1000,$N88)="","",INDEX('Cronograma R. Normativo'!$AN$5:$AN$1000,$N88)))</f>
        <v/>
      </c>
      <c r="E88" s="56">
        <f>IF($N88="","",IF(NOT(ISNUMBER($D88)),"",IF($D88&lt;InicioCiclo,"Antes del ciclo",IF($D88&gt;=InicioCiclo+28,"Después del ciclo","Semana "&amp;(INT(($D88-InicioCiclo)/7)+1)))))</f>
        <v/>
      </c>
      <c r="F88" s="61">
        <f>IF($N88="","",IF($P88&gt;0,IF(1&lt;=SemanaActual,INDEX('Cronograma R. Normativo'!$AC$5:$AC$1000,$N88),""),IF(INDEX('Cronograma R. Normativo'!$I$5:$I$1000,$N88)="","",INDEX('Cronograma R. Normativo'!$I$5:$I$1000,$N88))))</f>
        <v/>
      </c>
      <c r="G88" s="61">
        <f>IF($N88="","",IF($P88&gt;0,IF(2&lt;=SemanaActual,INDEX('Cronograma R. Normativo'!$AD$5:$AD$1000,$N88),""),IF(INDEX('Cronograma R. Normativo'!$J$5:$J$1000,$N88)="","",INDEX('Cronograma R. Normativo'!$J$5:$J$1000,$N88))))</f>
        <v/>
      </c>
      <c r="H88" s="61">
        <f>IF($N88="","",IF($P88&gt;0,IF(3&lt;=SemanaActual,INDEX('Cronograma R. Normativo'!$AE$5:$AE$1000,$N88),""),IF(INDEX('Cronograma R. Normativo'!$K$5:$K$1000,$N88)="","",INDEX('Cronograma R. Normativo'!$K$5:$K$1000,$N88))))</f>
        <v/>
      </c>
      <c r="I88" s="61">
        <f>IF($N88="","",IF($P88&gt;0,IF(4&lt;=SemanaActual,INDEX('Cronograma R. Normativo'!$AF$5:$AF$1000,$N88),""),IF(INDEX('Cronograma R. Normativo'!$L$5:$L$1000,$N88)="","",INDEX('Cronograma R. Normativo'!$L$5:$L$1000,$N88))))</f>
        <v/>
      </c>
      <c r="J88" s="61">
        <f>IF($N88="","",INDEX('Cronograma R. Normativo'!$M$5:$M$1000,$N88))</f>
        <v/>
      </c>
      <c r="K88" s="56">
        <f>IF($N88="","",IF(N($J88)&gt;=1,"Completado",IF(AND(ISNUMBER($D88),$D88&lt;FechaRef),"Vencida",IF(N($J88)&gt;0,"En curso","Pendiente"))))</f>
        <v/>
      </c>
      <c r="L88" s="56">
        <f>IF($N88="","",INDEX('Cronograma R. Normativo'!$O$5:$O$1000,$N88)&amp;"")</f>
        <v/>
      </c>
      <c r="M88" s="62">
        <f>IF($N88="","",INDEX('Cronograma R. Normativo'!$Q$5:$Q$1000,$N88)&amp;"")</f>
        <v/>
      </c>
      <c r="N88">
        <f>IFERROR(MATCH(ROW()-4,rOrden_RN,0),"")</f>
        <v/>
      </c>
      <c r="O88">
        <f>IF($N88="","",INDEX('Cronograma R. Normativo'!$V$5:$V$1000,$N88))</f>
        <v/>
      </c>
      <c r="P88">
        <f>IF($N88="","",N(INDEX('Cronograma R. Normativo'!$W$5:$W$1000,$N88)))</f>
        <v/>
      </c>
      <c r="Q88">
        <f>IF(OR(LEFT($L88,7)="Vencida",LEFT($L88,5)="Vence"),SUMPRODUCT(--(LEFT($L$5:$L88,7)="Vencida"))+SUMPRODUCT(--(LEFT($L$5:$L88,5)="Vence")),"")</f>
        <v/>
      </c>
    </row>
    <row r="89">
      <c r="A89" s="56">
        <f>IF($N89="","",INDEX('Cronograma R. Normativo'!$A$5:$A$1000,$N89))</f>
        <v/>
      </c>
      <c r="B89" s="62">
        <f>IF($N89="","",IF($O89="Sub","      ↳  "&amp;INDEX('Cronograma R. Normativo'!$C$5:$C$1000,$N89),INDEX('Cronograma R. Normativo'!$C$5:$C$1000,$N89)&amp;""))</f>
        <v/>
      </c>
      <c r="C89" s="79">
        <f>IF($N89="","",IF(INDEX('Cronograma R. Normativo'!$AM$5:$AM$1000,$N89)="","",INDEX('Cronograma R. Normativo'!$AM$5:$AM$1000,$N89)))</f>
        <v/>
      </c>
      <c r="D89" s="79">
        <f>IF($N89="","",IF(INDEX('Cronograma R. Normativo'!$AN$5:$AN$1000,$N89)="","",INDEX('Cronograma R. Normativo'!$AN$5:$AN$1000,$N89)))</f>
        <v/>
      </c>
      <c r="E89" s="56">
        <f>IF($N89="","",IF(NOT(ISNUMBER($D89)),"",IF($D89&lt;InicioCiclo,"Antes del ciclo",IF($D89&gt;=InicioCiclo+28,"Después del ciclo","Semana "&amp;(INT(($D89-InicioCiclo)/7)+1)))))</f>
        <v/>
      </c>
      <c r="F89" s="61">
        <f>IF($N89="","",IF($P89&gt;0,IF(1&lt;=SemanaActual,INDEX('Cronograma R. Normativo'!$AC$5:$AC$1000,$N89),""),IF(INDEX('Cronograma R. Normativo'!$I$5:$I$1000,$N89)="","",INDEX('Cronograma R. Normativo'!$I$5:$I$1000,$N89))))</f>
        <v/>
      </c>
      <c r="G89" s="61">
        <f>IF($N89="","",IF($P89&gt;0,IF(2&lt;=SemanaActual,INDEX('Cronograma R. Normativo'!$AD$5:$AD$1000,$N89),""),IF(INDEX('Cronograma R. Normativo'!$J$5:$J$1000,$N89)="","",INDEX('Cronograma R. Normativo'!$J$5:$J$1000,$N89))))</f>
        <v/>
      </c>
      <c r="H89" s="61">
        <f>IF($N89="","",IF($P89&gt;0,IF(3&lt;=SemanaActual,INDEX('Cronograma R. Normativo'!$AE$5:$AE$1000,$N89),""),IF(INDEX('Cronograma R. Normativo'!$K$5:$K$1000,$N89)="","",INDEX('Cronograma R. Normativo'!$K$5:$K$1000,$N89))))</f>
        <v/>
      </c>
      <c r="I89" s="61">
        <f>IF($N89="","",IF($P89&gt;0,IF(4&lt;=SemanaActual,INDEX('Cronograma R. Normativo'!$AF$5:$AF$1000,$N89),""),IF(INDEX('Cronograma R. Normativo'!$L$5:$L$1000,$N89)="","",INDEX('Cronograma R. Normativo'!$L$5:$L$1000,$N89))))</f>
        <v/>
      </c>
      <c r="J89" s="61">
        <f>IF($N89="","",INDEX('Cronograma R. Normativo'!$M$5:$M$1000,$N89))</f>
        <v/>
      </c>
      <c r="K89" s="56">
        <f>IF($N89="","",IF(N($J89)&gt;=1,"Completado",IF(AND(ISNUMBER($D89),$D89&lt;FechaRef),"Vencida",IF(N($J89)&gt;0,"En curso","Pendiente"))))</f>
        <v/>
      </c>
      <c r="L89" s="56">
        <f>IF($N89="","",INDEX('Cronograma R. Normativo'!$O$5:$O$1000,$N89)&amp;"")</f>
        <v/>
      </c>
      <c r="M89" s="62">
        <f>IF($N89="","",INDEX('Cronograma R. Normativo'!$Q$5:$Q$1000,$N89)&amp;"")</f>
        <v/>
      </c>
      <c r="N89">
        <f>IFERROR(MATCH(ROW()-4,rOrden_RN,0),"")</f>
        <v/>
      </c>
      <c r="O89">
        <f>IF($N89="","",INDEX('Cronograma R. Normativo'!$V$5:$V$1000,$N89))</f>
        <v/>
      </c>
      <c r="P89">
        <f>IF($N89="","",N(INDEX('Cronograma R. Normativo'!$W$5:$W$1000,$N89)))</f>
        <v/>
      </c>
      <c r="Q89">
        <f>IF(OR(LEFT($L89,7)="Vencida",LEFT($L89,5)="Vence"),SUMPRODUCT(--(LEFT($L$5:$L89,7)="Vencida"))+SUMPRODUCT(--(LEFT($L$5:$L89,5)="Vence")),"")</f>
        <v/>
      </c>
    </row>
    <row r="90">
      <c r="A90" s="56">
        <f>IF($N90="","",INDEX('Cronograma R. Normativo'!$A$5:$A$1000,$N90))</f>
        <v/>
      </c>
      <c r="B90" s="62">
        <f>IF($N90="","",IF($O90="Sub","      ↳  "&amp;INDEX('Cronograma R. Normativo'!$C$5:$C$1000,$N90),INDEX('Cronograma R. Normativo'!$C$5:$C$1000,$N90)&amp;""))</f>
        <v/>
      </c>
      <c r="C90" s="79">
        <f>IF($N90="","",IF(INDEX('Cronograma R. Normativo'!$AM$5:$AM$1000,$N90)="","",INDEX('Cronograma R. Normativo'!$AM$5:$AM$1000,$N90)))</f>
        <v/>
      </c>
      <c r="D90" s="79">
        <f>IF($N90="","",IF(INDEX('Cronograma R. Normativo'!$AN$5:$AN$1000,$N90)="","",INDEX('Cronograma R. Normativo'!$AN$5:$AN$1000,$N90)))</f>
        <v/>
      </c>
      <c r="E90" s="56">
        <f>IF($N90="","",IF(NOT(ISNUMBER($D90)),"",IF($D90&lt;InicioCiclo,"Antes del ciclo",IF($D90&gt;=InicioCiclo+28,"Después del ciclo","Semana "&amp;(INT(($D90-InicioCiclo)/7)+1)))))</f>
        <v/>
      </c>
      <c r="F90" s="61">
        <f>IF($N90="","",IF($P90&gt;0,IF(1&lt;=SemanaActual,INDEX('Cronograma R. Normativo'!$AC$5:$AC$1000,$N90),""),IF(INDEX('Cronograma R. Normativo'!$I$5:$I$1000,$N90)="","",INDEX('Cronograma R. Normativo'!$I$5:$I$1000,$N90))))</f>
        <v/>
      </c>
      <c r="G90" s="61">
        <f>IF($N90="","",IF($P90&gt;0,IF(2&lt;=SemanaActual,INDEX('Cronograma R. Normativo'!$AD$5:$AD$1000,$N90),""),IF(INDEX('Cronograma R. Normativo'!$J$5:$J$1000,$N90)="","",INDEX('Cronograma R. Normativo'!$J$5:$J$1000,$N90))))</f>
        <v/>
      </c>
      <c r="H90" s="61">
        <f>IF($N90="","",IF($P90&gt;0,IF(3&lt;=SemanaActual,INDEX('Cronograma R. Normativo'!$AE$5:$AE$1000,$N90),""),IF(INDEX('Cronograma R. Normativo'!$K$5:$K$1000,$N90)="","",INDEX('Cronograma R. Normativo'!$K$5:$K$1000,$N90))))</f>
        <v/>
      </c>
      <c r="I90" s="61">
        <f>IF($N90="","",IF($P90&gt;0,IF(4&lt;=SemanaActual,INDEX('Cronograma R. Normativo'!$AF$5:$AF$1000,$N90),""),IF(INDEX('Cronograma R. Normativo'!$L$5:$L$1000,$N90)="","",INDEX('Cronograma R. Normativo'!$L$5:$L$1000,$N90))))</f>
        <v/>
      </c>
      <c r="J90" s="61">
        <f>IF($N90="","",INDEX('Cronograma R. Normativo'!$M$5:$M$1000,$N90))</f>
        <v/>
      </c>
      <c r="K90" s="56">
        <f>IF($N90="","",IF(N($J90)&gt;=1,"Completado",IF(AND(ISNUMBER($D90),$D90&lt;FechaRef),"Vencida",IF(N($J90)&gt;0,"En curso","Pendiente"))))</f>
        <v/>
      </c>
      <c r="L90" s="56">
        <f>IF($N90="","",INDEX('Cronograma R. Normativo'!$O$5:$O$1000,$N90)&amp;"")</f>
        <v/>
      </c>
      <c r="M90" s="62">
        <f>IF($N90="","",INDEX('Cronograma R. Normativo'!$Q$5:$Q$1000,$N90)&amp;"")</f>
        <v/>
      </c>
      <c r="N90">
        <f>IFERROR(MATCH(ROW()-4,rOrden_RN,0),"")</f>
        <v/>
      </c>
      <c r="O90">
        <f>IF($N90="","",INDEX('Cronograma R. Normativo'!$V$5:$V$1000,$N90))</f>
        <v/>
      </c>
      <c r="P90">
        <f>IF($N90="","",N(INDEX('Cronograma R. Normativo'!$W$5:$W$1000,$N90)))</f>
        <v/>
      </c>
      <c r="Q90">
        <f>IF(OR(LEFT($L90,7)="Vencida",LEFT($L90,5)="Vence"),SUMPRODUCT(--(LEFT($L$5:$L90,7)="Vencida"))+SUMPRODUCT(--(LEFT($L$5:$L90,5)="Vence")),"")</f>
        <v/>
      </c>
    </row>
    <row r="91">
      <c r="A91" s="56">
        <f>IF($N91="","",INDEX('Cronograma R. Normativo'!$A$5:$A$1000,$N91))</f>
        <v/>
      </c>
      <c r="B91" s="62">
        <f>IF($N91="","",IF($O91="Sub","      ↳  "&amp;INDEX('Cronograma R. Normativo'!$C$5:$C$1000,$N91),INDEX('Cronograma R. Normativo'!$C$5:$C$1000,$N91)&amp;""))</f>
        <v/>
      </c>
      <c r="C91" s="79">
        <f>IF($N91="","",IF(INDEX('Cronograma R. Normativo'!$AM$5:$AM$1000,$N91)="","",INDEX('Cronograma R. Normativo'!$AM$5:$AM$1000,$N91)))</f>
        <v/>
      </c>
      <c r="D91" s="79">
        <f>IF($N91="","",IF(INDEX('Cronograma R. Normativo'!$AN$5:$AN$1000,$N91)="","",INDEX('Cronograma R. Normativo'!$AN$5:$AN$1000,$N91)))</f>
        <v/>
      </c>
      <c r="E91" s="56">
        <f>IF($N91="","",IF(NOT(ISNUMBER($D91)),"",IF($D91&lt;InicioCiclo,"Antes del ciclo",IF($D91&gt;=InicioCiclo+28,"Después del ciclo","Semana "&amp;(INT(($D91-InicioCiclo)/7)+1)))))</f>
        <v/>
      </c>
      <c r="F91" s="61">
        <f>IF($N91="","",IF($P91&gt;0,IF(1&lt;=SemanaActual,INDEX('Cronograma R. Normativo'!$AC$5:$AC$1000,$N91),""),IF(INDEX('Cronograma R. Normativo'!$I$5:$I$1000,$N91)="","",INDEX('Cronograma R. Normativo'!$I$5:$I$1000,$N91))))</f>
        <v/>
      </c>
      <c r="G91" s="61">
        <f>IF($N91="","",IF($P91&gt;0,IF(2&lt;=SemanaActual,INDEX('Cronograma R. Normativo'!$AD$5:$AD$1000,$N91),""),IF(INDEX('Cronograma R. Normativo'!$J$5:$J$1000,$N91)="","",INDEX('Cronograma R. Normativo'!$J$5:$J$1000,$N91))))</f>
        <v/>
      </c>
      <c r="H91" s="61">
        <f>IF($N91="","",IF($P91&gt;0,IF(3&lt;=SemanaActual,INDEX('Cronograma R. Normativo'!$AE$5:$AE$1000,$N91),""),IF(INDEX('Cronograma R. Normativo'!$K$5:$K$1000,$N91)="","",INDEX('Cronograma R. Normativo'!$K$5:$K$1000,$N91))))</f>
        <v/>
      </c>
      <c r="I91" s="61">
        <f>IF($N91="","",IF($P91&gt;0,IF(4&lt;=SemanaActual,INDEX('Cronograma R. Normativo'!$AF$5:$AF$1000,$N91),""),IF(INDEX('Cronograma R. Normativo'!$L$5:$L$1000,$N91)="","",INDEX('Cronograma R. Normativo'!$L$5:$L$1000,$N91))))</f>
        <v/>
      </c>
      <c r="J91" s="61">
        <f>IF($N91="","",INDEX('Cronograma R. Normativo'!$M$5:$M$1000,$N91))</f>
        <v/>
      </c>
      <c r="K91" s="56">
        <f>IF($N91="","",IF(N($J91)&gt;=1,"Completado",IF(AND(ISNUMBER($D91),$D91&lt;FechaRef),"Vencida",IF(N($J91)&gt;0,"En curso","Pendiente"))))</f>
        <v/>
      </c>
      <c r="L91" s="56">
        <f>IF($N91="","",INDEX('Cronograma R. Normativo'!$O$5:$O$1000,$N91)&amp;"")</f>
        <v/>
      </c>
      <c r="M91" s="62">
        <f>IF($N91="","",INDEX('Cronograma R. Normativo'!$Q$5:$Q$1000,$N91)&amp;"")</f>
        <v/>
      </c>
      <c r="N91">
        <f>IFERROR(MATCH(ROW()-4,rOrden_RN,0),"")</f>
        <v/>
      </c>
      <c r="O91">
        <f>IF($N91="","",INDEX('Cronograma R. Normativo'!$V$5:$V$1000,$N91))</f>
        <v/>
      </c>
      <c r="P91">
        <f>IF($N91="","",N(INDEX('Cronograma R. Normativo'!$W$5:$W$1000,$N91)))</f>
        <v/>
      </c>
      <c r="Q91">
        <f>IF(OR(LEFT($L91,7)="Vencida",LEFT($L91,5)="Vence"),SUMPRODUCT(--(LEFT($L$5:$L91,7)="Vencida"))+SUMPRODUCT(--(LEFT($L$5:$L91,5)="Vence")),"")</f>
        <v/>
      </c>
    </row>
    <row r="92">
      <c r="A92" s="56">
        <f>IF($N92="","",INDEX('Cronograma R. Normativo'!$A$5:$A$1000,$N92))</f>
        <v/>
      </c>
      <c r="B92" s="62">
        <f>IF($N92="","",IF($O92="Sub","      ↳  "&amp;INDEX('Cronograma R. Normativo'!$C$5:$C$1000,$N92),INDEX('Cronograma R. Normativo'!$C$5:$C$1000,$N92)&amp;""))</f>
        <v/>
      </c>
      <c r="C92" s="79">
        <f>IF($N92="","",IF(INDEX('Cronograma R. Normativo'!$AM$5:$AM$1000,$N92)="","",INDEX('Cronograma R. Normativo'!$AM$5:$AM$1000,$N92)))</f>
        <v/>
      </c>
      <c r="D92" s="79">
        <f>IF($N92="","",IF(INDEX('Cronograma R. Normativo'!$AN$5:$AN$1000,$N92)="","",INDEX('Cronograma R. Normativo'!$AN$5:$AN$1000,$N92)))</f>
        <v/>
      </c>
      <c r="E92" s="56">
        <f>IF($N92="","",IF(NOT(ISNUMBER($D92)),"",IF($D92&lt;InicioCiclo,"Antes del ciclo",IF($D92&gt;=InicioCiclo+28,"Después del ciclo","Semana "&amp;(INT(($D92-InicioCiclo)/7)+1)))))</f>
        <v/>
      </c>
      <c r="F92" s="61">
        <f>IF($N92="","",IF($P92&gt;0,IF(1&lt;=SemanaActual,INDEX('Cronograma R. Normativo'!$AC$5:$AC$1000,$N92),""),IF(INDEX('Cronograma R. Normativo'!$I$5:$I$1000,$N92)="","",INDEX('Cronograma R. Normativo'!$I$5:$I$1000,$N92))))</f>
        <v/>
      </c>
      <c r="G92" s="61">
        <f>IF($N92="","",IF($P92&gt;0,IF(2&lt;=SemanaActual,INDEX('Cronograma R. Normativo'!$AD$5:$AD$1000,$N92),""),IF(INDEX('Cronograma R. Normativo'!$J$5:$J$1000,$N92)="","",INDEX('Cronograma R. Normativo'!$J$5:$J$1000,$N92))))</f>
        <v/>
      </c>
      <c r="H92" s="61">
        <f>IF($N92="","",IF($P92&gt;0,IF(3&lt;=SemanaActual,INDEX('Cronograma R. Normativo'!$AE$5:$AE$1000,$N92),""),IF(INDEX('Cronograma R. Normativo'!$K$5:$K$1000,$N92)="","",INDEX('Cronograma R. Normativo'!$K$5:$K$1000,$N92))))</f>
        <v/>
      </c>
      <c r="I92" s="61">
        <f>IF($N92="","",IF($P92&gt;0,IF(4&lt;=SemanaActual,INDEX('Cronograma R. Normativo'!$AF$5:$AF$1000,$N92),""),IF(INDEX('Cronograma R. Normativo'!$L$5:$L$1000,$N92)="","",INDEX('Cronograma R. Normativo'!$L$5:$L$1000,$N92))))</f>
        <v/>
      </c>
      <c r="J92" s="61">
        <f>IF($N92="","",INDEX('Cronograma R. Normativo'!$M$5:$M$1000,$N92))</f>
        <v/>
      </c>
      <c r="K92" s="56">
        <f>IF($N92="","",IF(N($J92)&gt;=1,"Completado",IF(AND(ISNUMBER($D92),$D92&lt;FechaRef),"Vencida",IF(N($J92)&gt;0,"En curso","Pendiente"))))</f>
        <v/>
      </c>
      <c r="L92" s="56">
        <f>IF($N92="","",INDEX('Cronograma R. Normativo'!$O$5:$O$1000,$N92)&amp;"")</f>
        <v/>
      </c>
      <c r="M92" s="62">
        <f>IF($N92="","",INDEX('Cronograma R. Normativo'!$Q$5:$Q$1000,$N92)&amp;"")</f>
        <v/>
      </c>
      <c r="N92">
        <f>IFERROR(MATCH(ROW()-4,rOrden_RN,0),"")</f>
        <v/>
      </c>
      <c r="O92">
        <f>IF($N92="","",INDEX('Cronograma R. Normativo'!$V$5:$V$1000,$N92))</f>
        <v/>
      </c>
      <c r="P92">
        <f>IF($N92="","",N(INDEX('Cronograma R. Normativo'!$W$5:$W$1000,$N92)))</f>
        <v/>
      </c>
      <c r="Q92">
        <f>IF(OR(LEFT($L92,7)="Vencida",LEFT($L92,5)="Vence"),SUMPRODUCT(--(LEFT($L$5:$L92,7)="Vencida"))+SUMPRODUCT(--(LEFT($L$5:$L92,5)="Vence")),"")</f>
        <v/>
      </c>
    </row>
    <row r="93">
      <c r="A93" s="56">
        <f>IF($N93="","",INDEX('Cronograma R. Normativo'!$A$5:$A$1000,$N93))</f>
        <v/>
      </c>
      <c r="B93" s="62">
        <f>IF($N93="","",IF($O93="Sub","      ↳  "&amp;INDEX('Cronograma R. Normativo'!$C$5:$C$1000,$N93),INDEX('Cronograma R. Normativo'!$C$5:$C$1000,$N93)&amp;""))</f>
        <v/>
      </c>
      <c r="C93" s="79">
        <f>IF($N93="","",IF(INDEX('Cronograma R. Normativo'!$AM$5:$AM$1000,$N93)="","",INDEX('Cronograma R. Normativo'!$AM$5:$AM$1000,$N93)))</f>
        <v/>
      </c>
      <c r="D93" s="79">
        <f>IF($N93="","",IF(INDEX('Cronograma R. Normativo'!$AN$5:$AN$1000,$N93)="","",INDEX('Cronograma R. Normativo'!$AN$5:$AN$1000,$N93)))</f>
        <v/>
      </c>
      <c r="E93" s="56">
        <f>IF($N93="","",IF(NOT(ISNUMBER($D93)),"",IF($D93&lt;InicioCiclo,"Antes del ciclo",IF($D93&gt;=InicioCiclo+28,"Después del ciclo","Semana "&amp;(INT(($D93-InicioCiclo)/7)+1)))))</f>
        <v/>
      </c>
      <c r="F93" s="61">
        <f>IF($N93="","",IF($P93&gt;0,IF(1&lt;=SemanaActual,INDEX('Cronograma R. Normativo'!$AC$5:$AC$1000,$N93),""),IF(INDEX('Cronograma R. Normativo'!$I$5:$I$1000,$N93)="","",INDEX('Cronograma R. Normativo'!$I$5:$I$1000,$N93))))</f>
        <v/>
      </c>
      <c r="G93" s="61">
        <f>IF($N93="","",IF($P93&gt;0,IF(2&lt;=SemanaActual,INDEX('Cronograma R. Normativo'!$AD$5:$AD$1000,$N93),""),IF(INDEX('Cronograma R. Normativo'!$J$5:$J$1000,$N93)="","",INDEX('Cronograma R. Normativo'!$J$5:$J$1000,$N93))))</f>
        <v/>
      </c>
      <c r="H93" s="61">
        <f>IF($N93="","",IF($P93&gt;0,IF(3&lt;=SemanaActual,INDEX('Cronograma R. Normativo'!$AE$5:$AE$1000,$N93),""),IF(INDEX('Cronograma R. Normativo'!$K$5:$K$1000,$N93)="","",INDEX('Cronograma R. Normativo'!$K$5:$K$1000,$N93))))</f>
        <v/>
      </c>
      <c r="I93" s="61">
        <f>IF($N93="","",IF($P93&gt;0,IF(4&lt;=SemanaActual,INDEX('Cronograma R. Normativo'!$AF$5:$AF$1000,$N93),""),IF(INDEX('Cronograma R. Normativo'!$L$5:$L$1000,$N93)="","",INDEX('Cronograma R. Normativo'!$L$5:$L$1000,$N93))))</f>
        <v/>
      </c>
      <c r="J93" s="61">
        <f>IF($N93="","",INDEX('Cronograma R. Normativo'!$M$5:$M$1000,$N93))</f>
        <v/>
      </c>
      <c r="K93" s="56">
        <f>IF($N93="","",IF(N($J93)&gt;=1,"Completado",IF(AND(ISNUMBER($D93),$D93&lt;FechaRef),"Vencida",IF(N($J93)&gt;0,"En curso","Pendiente"))))</f>
        <v/>
      </c>
      <c r="L93" s="56">
        <f>IF($N93="","",INDEX('Cronograma R. Normativo'!$O$5:$O$1000,$N93)&amp;"")</f>
        <v/>
      </c>
      <c r="M93" s="62">
        <f>IF($N93="","",INDEX('Cronograma R. Normativo'!$Q$5:$Q$1000,$N93)&amp;"")</f>
        <v/>
      </c>
      <c r="N93">
        <f>IFERROR(MATCH(ROW()-4,rOrden_RN,0),"")</f>
        <v/>
      </c>
      <c r="O93">
        <f>IF($N93="","",INDEX('Cronograma R. Normativo'!$V$5:$V$1000,$N93))</f>
        <v/>
      </c>
      <c r="P93">
        <f>IF($N93="","",N(INDEX('Cronograma R. Normativo'!$W$5:$W$1000,$N93)))</f>
        <v/>
      </c>
      <c r="Q93">
        <f>IF(OR(LEFT($L93,7)="Vencida",LEFT($L93,5)="Vence"),SUMPRODUCT(--(LEFT($L$5:$L93,7)="Vencida"))+SUMPRODUCT(--(LEFT($L$5:$L93,5)="Vence")),"")</f>
        <v/>
      </c>
    </row>
    <row r="94">
      <c r="A94" s="56">
        <f>IF($N94="","",INDEX('Cronograma R. Normativo'!$A$5:$A$1000,$N94))</f>
        <v/>
      </c>
      <c r="B94" s="62">
        <f>IF($N94="","",IF($O94="Sub","      ↳  "&amp;INDEX('Cronograma R. Normativo'!$C$5:$C$1000,$N94),INDEX('Cronograma R. Normativo'!$C$5:$C$1000,$N94)&amp;""))</f>
        <v/>
      </c>
      <c r="C94" s="79">
        <f>IF($N94="","",IF(INDEX('Cronograma R. Normativo'!$AM$5:$AM$1000,$N94)="","",INDEX('Cronograma R. Normativo'!$AM$5:$AM$1000,$N94)))</f>
        <v/>
      </c>
      <c r="D94" s="79">
        <f>IF($N94="","",IF(INDEX('Cronograma R. Normativo'!$AN$5:$AN$1000,$N94)="","",INDEX('Cronograma R. Normativo'!$AN$5:$AN$1000,$N94)))</f>
        <v/>
      </c>
      <c r="E94" s="56">
        <f>IF($N94="","",IF(NOT(ISNUMBER($D94)),"",IF($D94&lt;InicioCiclo,"Antes del ciclo",IF($D94&gt;=InicioCiclo+28,"Después del ciclo","Semana "&amp;(INT(($D94-InicioCiclo)/7)+1)))))</f>
        <v/>
      </c>
      <c r="F94" s="61">
        <f>IF($N94="","",IF($P94&gt;0,IF(1&lt;=SemanaActual,INDEX('Cronograma R. Normativo'!$AC$5:$AC$1000,$N94),""),IF(INDEX('Cronograma R. Normativo'!$I$5:$I$1000,$N94)="","",INDEX('Cronograma R. Normativo'!$I$5:$I$1000,$N94))))</f>
        <v/>
      </c>
      <c r="G94" s="61">
        <f>IF($N94="","",IF($P94&gt;0,IF(2&lt;=SemanaActual,INDEX('Cronograma R. Normativo'!$AD$5:$AD$1000,$N94),""),IF(INDEX('Cronograma R. Normativo'!$J$5:$J$1000,$N94)="","",INDEX('Cronograma R. Normativo'!$J$5:$J$1000,$N94))))</f>
        <v/>
      </c>
      <c r="H94" s="61">
        <f>IF($N94="","",IF($P94&gt;0,IF(3&lt;=SemanaActual,INDEX('Cronograma R. Normativo'!$AE$5:$AE$1000,$N94),""),IF(INDEX('Cronograma R. Normativo'!$K$5:$K$1000,$N94)="","",INDEX('Cronograma R. Normativo'!$K$5:$K$1000,$N94))))</f>
        <v/>
      </c>
      <c r="I94" s="61">
        <f>IF($N94="","",IF($P94&gt;0,IF(4&lt;=SemanaActual,INDEX('Cronograma R. Normativo'!$AF$5:$AF$1000,$N94),""),IF(INDEX('Cronograma R. Normativo'!$L$5:$L$1000,$N94)="","",INDEX('Cronograma R. Normativo'!$L$5:$L$1000,$N94))))</f>
        <v/>
      </c>
      <c r="J94" s="61">
        <f>IF($N94="","",INDEX('Cronograma R. Normativo'!$M$5:$M$1000,$N94))</f>
        <v/>
      </c>
      <c r="K94" s="56">
        <f>IF($N94="","",IF(N($J94)&gt;=1,"Completado",IF(AND(ISNUMBER($D94),$D94&lt;FechaRef),"Vencida",IF(N($J94)&gt;0,"En curso","Pendiente"))))</f>
        <v/>
      </c>
      <c r="L94" s="56">
        <f>IF($N94="","",INDEX('Cronograma R. Normativo'!$O$5:$O$1000,$N94)&amp;"")</f>
        <v/>
      </c>
      <c r="M94" s="62">
        <f>IF($N94="","",INDEX('Cronograma R. Normativo'!$Q$5:$Q$1000,$N94)&amp;"")</f>
        <v/>
      </c>
      <c r="N94">
        <f>IFERROR(MATCH(ROW()-4,rOrden_RN,0),"")</f>
        <v/>
      </c>
      <c r="O94">
        <f>IF($N94="","",INDEX('Cronograma R. Normativo'!$V$5:$V$1000,$N94))</f>
        <v/>
      </c>
      <c r="P94">
        <f>IF($N94="","",N(INDEX('Cronograma R. Normativo'!$W$5:$W$1000,$N94)))</f>
        <v/>
      </c>
      <c r="Q94">
        <f>IF(OR(LEFT($L94,7)="Vencida",LEFT($L94,5)="Vence"),SUMPRODUCT(--(LEFT($L$5:$L94,7)="Vencida"))+SUMPRODUCT(--(LEFT($L$5:$L94,5)="Vence")),"")</f>
        <v/>
      </c>
    </row>
    <row r="95">
      <c r="A95" s="56">
        <f>IF($N95="","",INDEX('Cronograma R. Normativo'!$A$5:$A$1000,$N95))</f>
        <v/>
      </c>
      <c r="B95" s="62">
        <f>IF($N95="","",IF($O95="Sub","      ↳  "&amp;INDEX('Cronograma R. Normativo'!$C$5:$C$1000,$N95),INDEX('Cronograma R. Normativo'!$C$5:$C$1000,$N95)&amp;""))</f>
        <v/>
      </c>
      <c r="C95" s="79">
        <f>IF($N95="","",IF(INDEX('Cronograma R. Normativo'!$AM$5:$AM$1000,$N95)="","",INDEX('Cronograma R. Normativo'!$AM$5:$AM$1000,$N95)))</f>
        <v/>
      </c>
      <c r="D95" s="79">
        <f>IF($N95="","",IF(INDEX('Cronograma R. Normativo'!$AN$5:$AN$1000,$N95)="","",INDEX('Cronograma R. Normativo'!$AN$5:$AN$1000,$N95)))</f>
        <v/>
      </c>
      <c r="E95" s="56">
        <f>IF($N95="","",IF(NOT(ISNUMBER($D95)),"",IF($D95&lt;InicioCiclo,"Antes del ciclo",IF($D95&gt;=InicioCiclo+28,"Después del ciclo","Semana "&amp;(INT(($D95-InicioCiclo)/7)+1)))))</f>
        <v/>
      </c>
      <c r="F95" s="61">
        <f>IF($N95="","",IF($P95&gt;0,IF(1&lt;=SemanaActual,INDEX('Cronograma R. Normativo'!$AC$5:$AC$1000,$N95),""),IF(INDEX('Cronograma R. Normativo'!$I$5:$I$1000,$N95)="","",INDEX('Cronograma R. Normativo'!$I$5:$I$1000,$N95))))</f>
        <v/>
      </c>
      <c r="G95" s="61">
        <f>IF($N95="","",IF($P95&gt;0,IF(2&lt;=SemanaActual,INDEX('Cronograma R. Normativo'!$AD$5:$AD$1000,$N95),""),IF(INDEX('Cronograma R. Normativo'!$J$5:$J$1000,$N95)="","",INDEX('Cronograma R. Normativo'!$J$5:$J$1000,$N95))))</f>
        <v/>
      </c>
      <c r="H95" s="61">
        <f>IF($N95="","",IF($P95&gt;0,IF(3&lt;=SemanaActual,INDEX('Cronograma R. Normativo'!$AE$5:$AE$1000,$N95),""),IF(INDEX('Cronograma R. Normativo'!$K$5:$K$1000,$N95)="","",INDEX('Cronograma R. Normativo'!$K$5:$K$1000,$N95))))</f>
        <v/>
      </c>
      <c r="I95" s="61">
        <f>IF($N95="","",IF($P95&gt;0,IF(4&lt;=SemanaActual,INDEX('Cronograma R. Normativo'!$AF$5:$AF$1000,$N95),""),IF(INDEX('Cronograma R. Normativo'!$L$5:$L$1000,$N95)="","",INDEX('Cronograma R. Normativo'!$L$5:$L$1000,$N95))))</f>
        <v/>
      </c>
      <c r="J95" s="61">
        <f>IF($N95="","",INDEX('Cronograma R. Normativo'!$M$5:$M$1000,$N95))</f>
        <v/>
      </c>
      <c r="K95" s="56">
        <f>IF($N95="","",IF(N($J95)&gt;=1,"Completado",IF(AND(ISNUMBER($D95),$D95&lt;FechaRef),"Vencida",IF(N($J95)&gt;0,"En curso","Pendiente"))))</f>
        <v/>
      </c>
      <c r="L95" s="56">
        <f>IF($N95="","",INDEX('Cronograma R. Normativo'!$O$5:$O$1000,$N95)&amp;"")</f>
        <v/>
      </c>
      <c r="M95" s="62">
        <f>IF($N95="","",INDEX('Cronograma R. Normativo'!$Q$5:$Q$1000,$N95)&amp;"")</f>
        <v/>
      </c>
      <c r="N95">
        <f>IFERROR(MATCH(ROW()-4,rOrden_RN,0),"")</f>
        <v/>
      </c>
      <c r="O95">
        <f>IF($N95="","",INDEX('Cronograma R. Normativo'!$V$5:$V$1000,$N95))</f>
        <v/>
      </c>
      <c r="P95">
        <f>IF($N95="","",N(INDEX('Cronograma R. Normativo'!$W$5:$W$1000,$N95)))</f>
        <v/>
      </c>
      <c r="Q95">
        <f>IF(OR(LEFT($L95,7)="Vencida",LEFT($L95,5)="Vence"),SUMPRODUCT(--(LEFT($L$5:$L95,7)="Vencida"))+SUMPRODUCT(--(LEFT($L$5:$L95,5)="Vence")),"")</f>
        <v/>
      </c>
    </row>
    <row r="96">
      <c r="A96" s="56">
        <f>IF($N96="","",INDEX('Cronograma R. Normativo'!$A$5:$A$1000,$N96))</f>
        <v/>
      </c>
      <c r="B96" s="62">
        <f>IF($N96="","",IF($O96="Sub","      ↳  "&amp;INDEX('Cronograma R. Normativo'!$C$5:$C$1000,$N96),INDEX('Cronograma R. Normativo'!$C$5:$C$1000,$N96)&amp;""))</f>
        <v/>
      </c>
      <c r="C96" s="79">
        <f>IF($N96="","",IF(INDEX('Cronograma R. Normativo'!$AM$5:$AM$1000,$N96)="","",INDEX('Cronograma R. Normativo'!$AM$5:$AM$1000,$N96)))</f>
        <v/>
      </c>
      <c r="D96" s="79">
        <f>IF($N96="","",IF(INDEX('Cronograma R. Normativo'!$AN$5:$AN$1000,$N96)="","",INDEX('Cronograma R. Normativo'!$AN$5:$AN$1000,$N96)))</f>
        <v/>
      </c>
      <c r="E96" s="56">
        <f>IF($N96="","",IF(NOT(ISNUMBER($D96)),"",IF($D96&lt;InicioCiclo,"Antes del ciclo",IF($D96&gt;=InicioCiclo+28,"Después del ciclo","Semana "&amp;(INT(($D96-InicioCiclo)/7)+1)))))</f>
        <v/>
      </c>
      <c r="F96" s="61">
        <f>IF($N96="","",IF($P96&gt;0,IF(1&lt;=SemanaActual,INDEX('Cronograma R. Normativo'!$AC$5:$AC$1000,$N96),""),IF(INDEX('Cronograma R. Normativo'!$I$5:$I$1000,$N96)="","",INDEX('Cronograma R. Normativo'!$I$5:$I$1000,$N96))))</f>
        <v/>
      </c>
      <c r="G96" s="61">
        <f>IF($N96="","",IF($P96&gt;0,IF(2&lt;=SemanaActual,INDEX('Cronograma R. Normativo'!$AD$5:$AD$1000,$N96),""),IF(INDEX('Cronograma R. Normativo'!$J$5:$J$1000,$N96)="","",INDEX('Cronograma R. Normativo'!$J$5:$J$1000,$N96))))</f>
        <v/>
      </c>
      <c r="H96" s="61">
        <f>IF($N96="","",IF($P96&gt;0,IF(3&lt;=SemanaActual,INDEX('Cronograma R. Normativo'!$AE$5:$AE$1000,$N96),""),IF(INDEX('Cronograma R. Normativo'!$K$5:$K$1000,$N96)="","",INDEX('Cronograma R. Normativo'!$K$5:$K$1000,$N96))))</f>
        <v/>
      </c>
      <c r="I96" s="61">
        <f>IF($N96="","",IF($P96&gt;0,IF(4&lt;=SemanaActual,INDEX('Cronograma R. Normativo'!$AF$5:$AF$1000,$N96),""),IF(INDEX('Cronograma R. Normativo'!$L$5:$L$1000,$N96)="","",INDEX('Cronograma R. Normativo'!$L$5:$L$1000,$N96))))</f>
        <v/>
      </c>
      <c r="J96" s="61">
        <f>IF($N96="","",INDEX('Cronograma R. Normativo'!$M$5:$M$1000,$N96))</f>
        <v/>
      </c>
      <c r="K96" s="56">
        <f>IF($N96="","",IF(N($J96)&gt;=1,"Completado",IF(AND(ISNUMBER($D96),$D96&lt;FechaRef),"Vencida",IF(N($J96)&gt;0,"En curso","Pendiente"))))</f>
        <v/>
      </c>
      <c r="L96" s="56">
        <f>IF($N96="","",INDEX('Cronograma R. Normativo'!$O$5:$O$1000,$N96)&amp;"")</f>
        <v/>
      </c>
      <c r="M96" s="62">
        <f>IF($N96="","",INDEX('Cronograma R. Normativo'!$Q$5:$Q$1000,$N96)&amp;"")</f>
        <v/>
      </c>
      <c r="N96">
        <f>IFERROR(MATCH(ROW()-4,rOrden_RN,0),"")</f>
        <v/>
      </c>
      <c r="O96">
        <f>IF($N96="","",INDEX('Cronograma R. Normativo'!$V$5:$V$1000,$N96))</f>
        <v/>
      </c>
      <c r="P96">
        <f>IF($N96="","",N(INDEX('Cronograma R. Normativo'!$W$5:$W$1000,$N96)))</f>
        <v/>
      </c>
      <c r="Q96">
        <f>IF(OR(LEFT($L96,7)="Vencida",LEFT($L96,5)="Vence"),SUMPRODUCT(--(LEFT($L$5:$L96,7)="Vencida"))+SUMPRODUCT(--(LEFT($L$5:$L96,5)="Vence")),"")</f>
        <v/>
      </c>
    </row>
    <row r="97">
      <c r="A97" s="56">
        <f>IF($N97="","",INDEX('Cronograma R. Normativo'!$A$5:$A$1000,$N97))</f>
        <v/>
      </c>
      <c r="B97" s="62">
        <f>IF($N97="","",IF($O97="Sub","      ↳  "&amp;INDEX('Cronograma R. Normativo'!$C$5:$C$1000,$N97),INDEX('Cronograma R. Normativo'!$C$5:$C$1000,$N97)&amp;""))</f>
        <v/>
      </c>
      <c r="C97" s="79">
        <f>IF($N97="","",IF(INDEX('Cronograma R. Normativo'!$AM$5:$AM$1000,$N97)="","",INDEX('Cronograma R. Normativo'!$AM$5:$AM$1000,$N97)))</f>
        <v/>
      </c>
      <c r="D97" s="79">
        <f>IF($N97="","",IF(INDEX('Cronograma R. Normativo'!$AN$5:$AN$1000,$N97)="","",INDEX('Cronograma R. Normativo'!$AN$5:$AN$1000,$N97)))</f>
        <v/>
      </c>
      <c r="E97" s="56">
        <f>IF($N97="","",IF(NOT(ISNUMBER($D97)),"",IF($D97&lt;InicioCiclo,"Antes del ciclo",IF($D97&gt;=InicioCiclo+28,"Después del ciclo","Semana "&amp;(INT(($D97-InicioCiclo)/7)+1)))))</f>
        <v/>
      </c>
      <c r="F97" s="61">
        <f>IF($N97="","",IF($P97&gt;0,IF(1&lt;=SemanaActual,INDEX('Cronograma R. Normativo'!$AC$5:$AC$1000,$N97),""),IF(INDEX('Cronograma R. Normativo'!$I$5:$I$1000,$N97)="","",INDEX('Cronograma R. Normativo'!$I$5:$I$1000,$N97))))</f>
        <v/>
      </c>
      <c r="G97" s="61">
        <f>IF($N97="","",IF($P97&gt;0,IF(2&lt;=SemanaActual,INDEX('Cronograma R. Normativo'!$AD$5:$AD$1000,$N97),""),IF(INDEX('Cronograma R. Normativo'!$J$5:$J$1000,$N97)="","",INDEX('Cronograma R. Normativo'!$J$5:$J$1000,$N97))))</f>
        <v/>
      </c>
      <c r="H97" s="61">
        <f>IF($N97="","",IF($P97&gt;0,IF(3&lt;=SemanaActual,INDEX('Cronograma R. Normativo'!$AE$5:$AE$1000,$N97),""),IF(INDEX('Cronograma R. Normativo'!$K$5:$K$1000,$N97)="","",INDEX('Cronograma R. Normativo'!$K$5:$K$1000,$N97))))</f>
        <v/>
      </c>
      <c r="I97" s="61">
        <f>IF($N97="","",IF($P97&gt;0,IF(4&lt;=SemanaActual,INDEX('Cronograma R. Normativo'!$AF$5:$AF$1000,$N97),""),IF(INDEX('Cronograma R. Normativo'!$L$5:$L$1000,$N97)="","",INDEX('Cronograma R. Normativo'!$L$5:$L$1000,$N97))))</f>
        <v/>
      </c>
      <c r="J97" s="61">
        <f>IF($N97="","",INDEX('Cronograma R. Normativo'!$M$5:$M$1000,$N97))</f>
        <v/>
      </c>
      <c r="K97" s="56">
        <f>IF($N97="","",IF(N($J97)&gt;=1,"Completado",IF(AND(ISNUMBER($D97),$D97&lt;FechaRef),"Vencida",IF(N($J97)&gt;0,"En curso","Pendiente"))))</f>
        <v/>
      </c>
      <c r="L97" s="56">
        <f>IF($N97="","",INDEX('Cronograma R. Normativo'!$O$5:$O$1000,$N97)&amp;"")</f>
        <v/>
      </c>
      <c r="M97" s="62">
        <f>IF($N97="","",INDEX('Cronograma R. Normativo'!$Q$5:$Q$1000,$N97)&amp;"")</f>
        <v/>
      </c>
      <c r="N97">
        <f>IFERROR(MATCH(ROW()-4,rOrden_RN,0),"")</f>
        <v/>
      </c>
      <c r="O97">
        <f>IF($N97="","",INDEX('Cronograma R. Normativo'!$V$5:$V$1000,$N97))</f>
        <v/>
      </c>
      <c r="P97">
        <f>IF($N97="","",N(INDEX('Cronograma R. Normativo'!$W$5:$W$1000,$N97)))</f>
        <v/>
      </c>
      <c r="Q97">
        <f>IF(OR(LEFT($L97,7)="Vencida",LEFT($L97,5)="Vence"),SUMPRODUCT(--(LEFT($L$5:$L97,7)="Vencida"))+SUMPRODUCT(--(LEFT($L$5:$L97,5)="Vence")),"")</f>
        <v/>
      </c>
    </row>
    <row r="98">
      <c r="A98" s="56">
        <f>IF($N98="","",INDEX('Cronograma R. Normativo'!$A$5:$A$1000,$N98))</f>
        <v/>
      </c>
      <c r="B98" s="62">
        <f>IF($N98="","",IF($O98="Sub","      ↳  "&amp;INDEX('Cronograma R. Normativo'!$C$5:$C$1000,$N98),INDEX('Cronograma R. Normativo'!$C$5:$C$1000,$N98)&amp;""))</f>
        <v/>
      </c>
      <c r="C98" s="79">
        <f>IF($N98="","",IF(INDEX('Cronograma R. Normativo'!$AM$5:$AM$1000,$N98)="","",INDEX('Cronograma R. Normativo'!$AM$5:$AM$1000,$N98)))</f>
        <v/>
      </c>
      <c r="D98" s="79">
        <f>IF($N98="","",IF(INDEX('Cronograma R. Normativo'!$AN$5:$AN$1000,$N98)="","",INDEX('Cronograma R. Normativo'!$AN$5:$AN$1000,$N98)))</f>
        <v/>
      </c>
      <c r="E98" s="56">
        <f>IF($N98="","",IF(NOT(ISNUMBER($D98)),"",IF($D98&lt;InicioCiclo,"Antes del ciclo",IF($D98&gt;=InicioCiclo+28,"Después del ciclo","Semana "&amp;(INT(($D98-InicioCiclo)/7)+1)))))</f>
        <v/>
      </c>
      <c r="F98" s="61">
        <f>IF($N98="","",IF($P98&gt;0,IF(1&lt;=SemanaActual,INDEX('Cronograma R. Normativo'!$AC$5:$AC$1000,$N98),""),IF(INDEX('Cronograma R. Normativo'!$I$5:$I$1000,$N98)="","",INDEX('Cronograma R. Normativo'!$I$5:$I$1000,$N98))))</f>
        <v/>
      </c>
      <c r="G98" s="61">
        <f>IF($N98="","",IF($P98&gt;0,IF(2&lt;=SemanaActual,INDEX('Cronograma R. Normativo'!$AD$5:$AD$1000,$N98),""),IF(INDEX('Cronograma R. Normativo'!$J$5:$J$1000,$N98)="","",INDEX('Cronograma R. Normativo'!$J$5:$J$1000,$N98))))</f>
        <v/>
      </c>
      <c r="H98" s="61">
        <f>IF($N98="","",IF($P98&gt;0,IF(3&lt;=SemanaActual,INDEX('Cronograma R. Normativo'!$AE$5:$AE$1000,$N98),""),IF(INDEX('Cronograma R. Normativo'!$K$5:$K$1000,$N98)="","",INDEX('Cronograma R. Normativo'!$K$5:$K$1000,$N98))))</f>
        <v/>
      </c>
      <c r="I98" s="61">
        <f>IF($N98="","",IF($P98&gt;0,IF(4&lt;=SemanaActual,INDEX('Cronograma R. Normativo'!$AF$5:$AF$1000,$N98),""),IF(INDEX('Cronograma R. Normativo'!$L$5:$L$1000,$N98)="","",INDEX('Cronograma R. Normativo'!$L$5:$L$1000,$N98))))</f>
        <v/>
      </c>
      <c r="J98" s="61">
        <f>IF($N98="","",INDEX('Cronograma R. Normativo'!$M$5:$M$1000,$N98))</f>
        <v/>
      </c>
      <c r="K98" s="56">
        <f>IF($N98="","",IF(N($J98)&gt;=1,"Completado",IF(AND(ISNUMBER($D98),$D98&lt;FechaRef),"Vencida",IF(N($J98)&gt;0,"En curso","Pendiente"))))</f>
        <v/>
      </c>
      <c r="L98" s="56">
        <f>IF($N98="","",INDEX('Cronograma R. Normativo'!$O$5:$O$1000,$N98)&amp;"")</f>
        <v/>
      </c>
      <c r="M98" s="62">
        <f>IF($N98="","",INDEX('Cronograma R. Normativo'!$Q$5:$Q$1000,$N98)&amp;"")</f>
        <v/>
      </c>
      <c r="N98">
        <f>IFERROR(MATCH(ROW()-4,rOrden_RN,0),"")</f>
        <v/>
      </c>
      <c r="O98">
        <f>IF($N98="","",INDEX('Cronograma R. Normativo'!$V$5:$V$1000,$N98))</f>
        <v/>
      </c>
      <c r="P98">
        <f>IF($N98="","",N(INDEX('Cronograma R. Normativo'!$W$5:$W$1000,$N98)))</f>
        <v/>
      </c>
      <c r="Q98">
        <f>IF(OR(LEFT($L98,7)="Vencida",LEFT($L98,5)="Vence"),SUMPRODUCT(--(LEFT($L$5:$L98,7)="Vencida"))+SUMPRODUCT(--(LEFT($L$5:$L98,5)="Vence")),"")</f>
        <v/>
      </c>
    </row>
    <row r="99">
      <c r="A99" s="56">
        <f>IF($N99="","",INDEX('Cronograma R. Normativo'!$A$5:$A$1000,$N99))</f>
        <v/>
      </c>
      <c r="B99" s="62">
        <f>IF($N99="","",IF($O99="Sub","      ↳  "&amp;INDEX('Cronograma R. Normativo'!$C$5:$C$1000,$N99),INDEX('Cronograma R. Normativo'!$C$5:$C$1000,$N99)&amp;""))</f>
        <v/>
      </c>
      <c r="C99" s="79">
        <f>IF($N99="","",IF(INDEX('Cronograma R. Normativo'!$AM$5:$AM$1000,$N99)="","",INDEX('Cronograma R. Normativo'!$AM$5:$AM$1000,$N99)))</f>
        <v/>
      </c>
      <c r="D99" s="79">
        <f>IF($N99="","",IF(INDEX('Cronograma R. Normativo'!$AN$5:$AN$1000,$N99)="","",INDEX('Cronograma R. Normativo'!$AN$5:$AN$1000,$N99)))</f>
        <v/>
      </c>
      <c r="E99" s="56">
        <f>IF($N99="","",IF(NOT(ISNUMBER($D99)),"",IF($D99&lt;InicioCiclo,"Antes del ciclo",IF($D99&gt;=InicioCiclo+28,"Después del ciclo","Semana "&amp;(INT(($D99-InicioCiclo)/7)+1)))))</f>
        <v/>
      </c>
      <c r="F99" s="61">
        <f>IF($N99="","",IF($P99&gt;0,IF(1&lt;=SemanaActual,INDEX('Cronograma R. Normativo'!$AC$5:$AC$1000,$N99),""),IF(INDEX('Cronograma R. Normativo'!$I$5:$I$1000,$N99)="","",INDEX('Cronograma R. Normativo'!$I$5:$I$1000,$N99))))</f>
        <v/>
      </c>
      <c r="G99" s="61">
        <f>IF($N99="","",IF($P99&gt;0,IF(2&lt;=SemanaActual,INDEX('Cronograma R. Normativo'!$AD$5:$AD$1000,$N99),""),IF(INDEX('Cronograma R. Normativo'!$J$5:$J$1000,$N99)="","",INDEX('Cronograma R. Normativo'!$J$5:$J$1000,$N99))))</f>
        <v/>
      </c>
      <c r="H99" s="61">
        <f>IF($N99="","",IF($P99&gt;0,IF(3&lt;=SemanaActual,INDEX('Cronograma R. Normativo'!$AE$5:$AE$1000,$N99),""),IF(INDEX('Cronograma R. Normativo'!$K$5:$K$1000,$N99)="","",INDEX('Cronograma R. Normativo'!$K$5:$K$1000,$N99))))</f>
        <v/>
      </c>
      <c r="I99" s="61">
        <f>IF($N99="","",IF($P99&gt;0,IF(4&lt;=SemanaActual,INDEX('Cronograma R. Normativo'!$AF$5:$AF$1000,$N99),""),IF(INDEX('Cronograma R. Normativo'!$L$5:$L$1000,$N99)="","",INDEX('Cronograma R. Normativo'!$L$5:$L$1000,$N99))))</f>
        <v/>
      </c>
      <c r="J99" s="61">
        <f>IF($N99="","",INDEX('Cronograma R. Normativo'!$M$5:$M$1000,$N99))</f>
        <v/>
      </c>
      <c r="K99" s="56">
        <f>IF($N99="","",IF(N($J99)&gt;=1,"Completado",IF(AND(ISNUMBER($D99),$D99&lt;FechaRef),"Vencida",IF(N($J99)&gt;0,"En curso","Pendiente"))))</f>
        <v/>
      </c>
      <c r="L99" s="56">
        <f>IF($N99="","",INDEX('Cronograma R. Normativo'!$O$5:$O$1000,$N99)&amp;"")</f>
        <v/>
      </c>
      <c r="M99" s="62">
        <f>IF($N99="","",INDEX('Cronograma R. Normativo'!$Q$5:$Q$1000,$N99)&amp;"")</f>
        <v/>
      </c>
      <c r="N99">
        <f>IFERROR(MATCH(ROW()-4,rOrden_RN,0),"")</f>
        <v/>
      </c>
      <c r="O99">
        <f>IF($N99="","",INDEX('Cronograma R. Normativo'!$V$5:$V$1000,$N99))</f>
        <v/>
      </c>
      <c r="P99">
        <f>IF($N99="","",N(INDEX('Cronograma R. Normativo'!$W$5:$W$1000,$N99)))</f>
        <v/>
      </c>
      <c r="Q99">
        <f>IF(OR(LEFT($L99,7)="Vencida",LEFT($L99,5)="Vence"),SUMPRODUCT(--(LEFT($L$5:$L99,7)="Vencida"))+SUMPRODUCT(--(LEFT($L$5:$L99,5)="Vence")),"")</f>
        <v/>
      </c>
    </row>
    <row r="100">
      <c r="A100" s="56">
        <f>IF($N100="","",INDEX('Cronograma R. Normativo'!$A$5:$A$1000,$N100))</f>
        <v/>
      </c>
      <c r="B100" s="62">
        <f>IF($N100="","",IF($O100="Sub","      ↳  "&amp;INDEX('Cronograma R. Normativo'!$C$5:$C$1000,$N100),INDEX('Cronograma R. Normativo'!$C$5:$C$1000,$N100)&amp;""))</f>
        <v/>
      </c>
      <c r="C100" s="79">
        <f>IF($N100="","",IF(INDEX('Cronograma R. Normativo'!$AM$5:$AM$1000,$N100)="","",INDEX('Cronograma R. Normativo'!$AM$5:$AM$1000,$N100)))</f>
        <v/>
      </c>
      <c r="D100" s="79">
        <f>IF($N100="","",IF(INDEX('Cronograma R. Normativo'!$AN$5:$AN$1000,$N100)="","",INDEX('Cronograma R. Normativo'!$AN$5:$AN$1000,$N100)))</f>
        <v/>
      </c>
      <c r="E100" s="56">
        <f>IF($N100="","",IF(NOT(ISNUMBER($D100)),"",IF($D100&lt;InicioCiclo,"Antes del ciclo",IF($D100&gt;=InicioCiclo+28,"Después del ciclo","Semana "&amp;(INT(($D100-InicioCiclo)/7)+1)))))</f>
        <v/>
      </c>
      <c r="F100" s="61">
        <f>IF($N100="","",IF($P100&gt;0,IF(1&lt;=SemanaActual,INDEX('Cronograma R. Normativo'!$AC$5:$AC$1000,$N100),""),IF(INDEX('Cronograma R. Normativo'!$I$5:$I$1000,$N100)="","",INDEX('Cronograma R. Normativo'!$I$5:$I$1000,$N100))))</f>
        <v/>
      </c>
      <c r="G100" s="61">
        <f>IF($N100="","",IF($P100&gt;0,IF(2&lt;=SemanaActual,INDEX('Cronograma R. Normativo'!$AD$5:$AD$1000,$N100),""),IF(INDEX('Cronograma R. Normativo'!$J$5:$J$1000,$N100)="","",INDEX('Cronograma R. Normativo'!$J$5:$J$1000,$N100))))</f>
        <v/>
      </c>
      <c r="H100" s="61">
        <f>IF($N100="","",IF($P100&gt;0,IF(3&lt;=SemanaActual,INDEX('Cronograma R. Normativo'!$AE$5:$AE$1000,$N100),""),IF(INDEX('Cronograma R. Normativo'!$K$5:$K$1000,$N100)="","",INDEX('Cronograma R. Normativo'!$K$5:$K$1000,$N100))))</f>
        <v/>
      </c>
      <c r="I100" s="61">
        <f>IF($N100="","",IF($P100&gt;0,IF(4&lt;=SemanaActual,INDEX('Cronograma R. Normativo'!$AF$5:$AF$1000,$N100),""),IF(INDEX('Cronograma R. Normativo'!$L$5:$L$1000,$N100)="","",INDEX('Cronograma R. Normativo'!$L$5:$L$1000,$N100))))</f>
        <v/>
      </c>
      <c r="J100" s="61">
        <f>IF($N100="","",INDEX('Cronograma R. Normativo'!$M$5:$M$1000,$N100))</f>
        <v/>
      </c>
      <c r="K100" s="56">
        <f>IF($N100="","",IF(N($J100)&gt;=1,"Completado",IF(AND(ISNUMBER($D100),$D100&lt;FechaRef),"Vencida",IF(N($J100)&gt;0,"En curso","Pendiente"))))</f>
        <v/>
      </c>
      <c r="L100" s="56">
        <f>IF($N100="","",INDEX('Cronograma R. Normativo'!$O$5:$O$1000,$N100)&amp;"")</f>
        <v/>
      </c>
      <c r="M100" s="62">
        <f>IF($N100="","",INDEX('Cronograma R. Normativo'!$Q$5:$Q$1000,$N100)&amp;"")</f>
        <v/>
      </c>
      <c r="N100">
        <f>IFERROR(MATCH(ROW()-4,rOrden_RN,0),"")</f>
        <v/>
      </c>
      <c r="O100">
        <f>IF($N100="","",INDEX('Cronograma R. Normativo'!$V$5:$V$1000,$N100))</f>
        <v/>
      </c>
      <c r="P100">
        <f>IF($N100="","",N(INDEX('Cronograma R. Normativo'!$W$5:$W$1000,$N100)))</f>
        <v/>
      </c>
      <c r="Q100">
        <f>IF(OR(LEFT($L100,7)="Vencida",LEFT($L100,5)="Vence"),SUMPRODUCT(--(LEFT($L$5:$L100,7)="Vencida"))+SUMPRODUCT(--(LEFT($L$5:$L100,5)="Vence")),"")</f>
        <v/>
      </c>
    </row>
    <row r="101">
      <c r="A101" s="56">
        <f>IF($N101="","",INDEX('Cronograma R. Normativo'!$A$5:$A$1000,$N101))</f>
        <v/>
      </c>
      <c r="B101" s="62">
        <f>IF($N101="","",IF($O101="Sub","      ↳  "&amp;INDEX('Cronograma R. Normativo'!$C$5:$C$1000,$N101),INDEX('Cronograma R. Normativo'!$C$5:$C$1000,$N101)&amp;""))</f>
        <v/>
      </c>
      <c r="C101" s="79">
        <f>IF($N101="","",IF(INDEX('Cronograma R. Normativo'!$AM$5:$AM$1000,$N101)="","",INDEX('Cronograma R. Normativo'!$AM$5:$AM$1000,$N101)))</f>
        <v/>
      </c>
      <c r="D101" s="79">
        <f>IF($N101="","",IF(INDEX('Cronograma R. Normativo'!$AN$5:$AN$1000,$N101)="","",INDEX('Cronograma R. Normativo'!$AN$5:$AN$1000,$N101)))</f>
        <v/>
      </c>
      <c r="E101" s="56">
        <f>IF($N101="","",IF(NOT(ISNUMBER($D101)),"",IF($D101&lt;InicioCiclo,"Antes del ciclo",IF($D101&gt;=InicioCiclo+28,"Después del ciclo","Semana "&amp;(INT(($D101-InicioCiclo)/7)+1)))))</f>
        <v/>
      </c>
      <c r="F101" s="61">
        <f>IF($N101="","",IF($P101&gt;0,IF(1&lt;=SemanaActual,INDEX('Cronograma R. Normativo'!$AC$5:$AC$1000,$N101),""),IF(INDEX('Cronograma R. Normativo'!$I$5:$I$1000,$N101)="","",INDEX('Cronograma R. Normativo'!$I$5:$I$1000,$N101))))</f>
        <v/>
      </c>
      <c r="G101" s="61">
        <f>IF($N101="","",IF($P101&gt;0,IF(2&lt;=SemanaActual,INDEX('Cronograma R. Normativo'!$AD$5:$AD$1000,$N101),""),IF(INDEX('Cronograma R. Normativo'!$J$5:$J$1000,$N101)="","",INDEX('Cronograma R. Normativo'!$J$5:$J$1000,$N101))))</f>
        <v/>
      </c>
      <c r="H101" s="61">
        <f>IF($N101="","",IF($P101&gt;0,IF(3&lt;=SemanaActual,INDEX('Cronograma R. Normativo'!$AE$5:$AE$1000,$N101),""),IF(INDEX('Cronograma R. Normativo'!$K$5:$K$1000,$N101)="","",INDEX('Cronograma R. Normativo'!$K$5:$K$1000,$N101))))</f>
        <v/>
      </c>
      <c r="I101" s="61">
        <f>IF($N101="","",IF($P101&gt;0,IF(4&lt;=SemanaActual,INDEX('Cronograma R. Normativo'!$AF$5:$AF$1000,$N101),""),IF(INDEX('Cronograma R. Normativo'!$L$5:$L$1000,$N101)="","",INDEX('Cronograma R. Normativo'!$L$5:$L$1000,$N101))))</f>
        <v/>
      </c>
      <c r="J101" s="61">
        <f>IF($N101="","",INDEX('Cronograma R. Normativo'!$M$5:$M$1000,$N101))</f>
        <v/>
      </c>
      <c r="K101" s="56">
        <f>IF($N101="","",IF(N($J101)&gt;=1,"Completado",IF(AND(ISNUMBER($D101),$D101&lt;FechaRef),"Vencida",IF(N($J101)&gt;0,"En curso","Pendiente"))))</f>
        <v/>
      </c>
      <c r="L101" s="56">
        <f>IF($N101="","",INDEX('Cronograma R. Normativo'!$O$5:$O$1000,$N101)&amp;"")</f>
        <v/>
      </c>
      <c r="M101" s="62">
        <f>IF($N101="","",INDEX('Cronograma R. Normativo'!$Q$5:$Q$1000,$N101)&amp;"")</f>
        <v/>
      </c>
      <c r="N101">
        <f>IFERROR(MATCH(ROW()-4,rOrden_RN,0),"")</f>
        <v/>
      </c>
      <c r="O101">
        <f>IF($N101="","",INDEX('Cronograma R. Normativo'!$V$5:$V$1000,$N101))</f>
        <v/>
      </c>
      <c r="P101">
        <f>IF($N101="","",N(INDEX('Cronograma R. Normativo'!$W$5:$W$1000,$N101)))</f>
        <v/>
      </c>
      <c r="Q101">
        <f>IF(OR(LEFT($L101,7)="Vencida",LEFT($L101,5)="Vence"),SUMPRODUCT(--(LEFT($L$5:$L101,7)="Vencida"))+SUMPRODUCT(--(LEFT($L$5:$L101,5)="Vence")),"")</f>
        <v/>
      </c>
    </row>
    <row r="102">
      <c r="A102" s="56">
        <f>IF($N102="","",INDEX('Cronograma R. Normativo'!$A$5:$A$1000,$N102))</f>
        <v/>
      </c>
      <c r="B102" s="62">
        <f>IF($N102="","",IF($O102="Sub","      ↳  "&amp;INDEX('Cronograma R. Normativo'!$C$5:$C$1000,$N102),INDEX('Cronograma R. Normativo'!$C$5:$C$1000,$N102)&amp;""))</f>
        <v/>
      </c>
      <c r="C102" s="79">
        <f>IF($N102="","",IF(INDEX('Cronograma R. Normativo'!$AM$5:$AM$1000,$N102)="","",INDEX('Cronograma R. Normativo'!$AM$5:$AM$1000,$N102)))</f>
        <v/>
      </c>
      <c r="D102" s="79">
        <f>IF($N102="","",IF(INDEX('Cronograma R. Normativo'!$AN$5:$AN$1000,$N102)="","",INDEX('Cronograma R. Normativo'!$AN$5:$AN$1000,$N102)))</f>
        <v/>
      </c>
      <c r="E102" s="56">
        <f>IF($N102="","",IF(NOT(ISNUMBER($D102)),"",IF($D102&lt;InicioCiclo,"Antes del ciclo",IF($D102&gt;=InicioCiclo+28,"Después del ciclo","Semana "&amp;(INT(($D102-InicioCiclo)/7)+1)))))</f>
        <v/>
      </c>
      <c r="F102" s="61">
        <f>IF($N102="","",IF($P102&gt;0,IF(1&lt;=SemanaActual,INDEX('Cronograma R. Normativo'!$AC$5:$AC$1000,$N102),""),IF(INDEX('Cronograma R. Normativo'!$I$5:$I$1000,$N102)="","",INDEX('Cronograma R. Normativo'!$I$5:$I$1000,$N102))))</f>
        <v/>
      </c>
      <c r="G102" s="61">
        <f>IF($N102="","",IF($P102&gt;0,IF(2&lt;=SemanaActual,INDEX('Cronograma R. Normativo'!$AD$5:$AD$1000,$N102),""),IF(INDEX('Cronograma R. Normativo'!$J$5:$J$1000,$N102)="","",INDEX('Cronograma R. Normativo'!$J$5:$J$1000,$N102))))</f>
        <v/>
      </c>
      <c r="H102" s="61">
        <f>IF($N102="","",IF($P102&gt;0,IF(3&lt;=SemanaActual,INDEX('Cronograma R. Normativo'!$AE$5:$AE$1000,$N102),""),IF(INDEX('Cronograma R. Normativo'!$K$5:$K$1000,$N102)="","",INDEX('Cronograma R. Normativo'!$K$5:$K$1000,$N102))))</f>
        <v/>
      </c>
      <c r="I102" s="61">
        <f>IF($N102="","",IF($P102&gt;0,IF(4&lt;=SemanaActual,INDEX('Cronograma R. Normativo'!$AF$5:$AF$1000,$N102),""),IF(INDEX('Cronograma R. Normativo'!$L$5:$L$1000,$N102)="","",INDEX('Cronograma R. Normativo'!$L$5:$L$1000,$N102))))</f>
        <v/>
      </c>
      <c r="J102" s="61">
        <f>IF($N102="","",INDEX('Cronograma R. Normativo'!$M$5:$M$1000,$N102))</f>
        <v/>
      </c>
      <c r="K102" s="56">
        <f>IF($N102="","",IF(N($J102)&gt;=1,"Completado",IF(AND(ISNUMBER($D102),$D102&lt;FechaRef),"Vencida",IF(N($J102)&gt;0,"En curso","Pendiente"))))</f>
        <v/>
      </c>
      <c r="L102" s="56">
        <f>IF($N102="","",INDEX('Cronograma R. Normativo'!$O$5:$O$1000,$N102)&amp;"")</f>
        <v/>
      </c>
      <c r="M102" s="62">
        <f>IF($N102="","",INDEX('Cronograma R. Normativo'!$Q$5:$Q$1000,$N102)&amp;"")</f>
        <v/>
      </c>
      <c r="N102">
        <f>IFERROR(MATCH(ROW()-4,rOrden_RN,0),"")</f>
        <v/>
      </c>
      <c r="O102">
        <f>IF($N102="","",INDEX('Cronograma R. Normativo'!$V$5:$V$1000,$N102))</f>
        <v/>
      </c>
      <c r="P102">
        <f>IF($N102="","",N(INDEX('Cronograma R. Normativo'!$W$5:$W$1000,$N102)))</f>
        <v/>
      </c>
      <c r="Q102">
        <f>IF(OR(LEFT($L102,7)="Vencida",LEFT($L102,5)="Vence"),SUMPRODUCT(--(LEFT($L$5:$L102,7)="Vencida"))+SUMPRODUCT(--(LEFT($L$5:$L102,5)="Vence")),"")</f>
        <v/>
      </c>
    </row>
    <row r="103">
      <c r="A103" s="56">
        <f>IF($N103="","",INDEX('Cronograma R. Normativo'!$A$5:$A$1000,$N103))</f>
        <v/>
      </c>
      <c r="B103" s="62">
        <f>IF($N103="","",IF($O103="Sub","      ↳  "&amp;INDEX('Cronograma R. Normativo'!$C$5:$C$1000,$N103),INDEX('Cronograma R. Normativo'!$C$5:$C$1000,$N103)&amp;""))</f>
        <v/>
      </c>
      <c r="C103" s="79">
        <f>IF($N103="","",IF(INDEX('Cronograma R. Normativo'!$AM$5:$AM$1000,$N103)="","",INDEX('Cronograma R. Normativo'!$AM$5:$AM$1000,$N103)))</f>
        <v/>
      </c>
      <c r="D103" s="79">
        <f>IF($N103="","",IF(INDEX('Cronograma R. Normativo'!$AN$5:$AN$1000,$N103)="","",INDEX('Cronograma R. Normativo'!$AN$5:$AN$1000,$N103)))</f>
        <v/>
      </c>
      <c r="E103" s="56">
        <f>IF($N103="","",IF(NOT(ISNUMBER($D103)),"",IF($D103&lt;InicioCiclo,"Antes del ciclo",IF($D103&gt;=InicioCiclo+28,"Después del ciclo","Semana "&amp;(INT(($D103-InicioCiclo)/7)+1)))))</f>
        <v/>
      </c>
      <c r="F103" s="61">
        <f>IF($N103="","",IF($P103&gt;0,IF(1&lt;=SemanaActual,INDEX('Cronograma R. Normativo'!$AC$5:$AC$1000,$N103),""),IF(INDEX('Cronograma R. Normativo'!$I$5:$I$1000,$N103)="","",INDEX('Cronograma R. Normativo'!$I$5:$I$1000,$N103))))</f>
        <v/>
      </c>
      <c r="G103" s="61">
        <f>IF($N103="","",IF($P103&gt;0,IF(2&lt;=SemanaActual,INDEX('Cronograma R. Normativo'!$AD$5:$AD$1000,$N103),""),IF(INDEX('Cronograma R. Normativo'!$J$5:$J$1000,$N103)="","",INDEX('Cronograma R. Normativo'!$J$5:$J$1000,$N103))))</f>
        <v/>
      </c>
      <c r="H103" s="61">
        <f>IF($N103="","",IF($P103&gt;0,IF(3&lt;=SemanaActual,INDEX('Cronograma R. Normativo'!$AE$5:$AE$1000,$N103),""),IF(INDEX('Cronograma R. Normativo'!$K$5:$K$1000,$N103)="","",INDEX('Cronograma R. Normativo'!$K$5:$K$1000,$N103))))</f>
        <v/>
      </c>
      <c r="I103" s="61">
        <f>IF($N103="","",IF($P103&gt;0,IF(4&lt;=SemanaActual,INDEX('Cronograma R. Normativo'!$AF$5:$AF$1000,$N103),""),IF(INDEX('Cronograma R. Normativo'!$L$5:$L$1000,$N103)="","",INDEX('Cronograma R. Normativo'!$L$5:$L$1000,$N103))))</f>
        <v/>
      </c>
      <c r="J103" s="61">
        <f>IF($N103="","",INDEX('Cronograma R. Normativo'!$M$5:$M$1000,$N103))</f>
        <v/>
      </c>
      <c r="K103" s="56">
        <f>IF($N103="","",IF(N($J103)&gt;=1,"Completado",IF(AND(ISNUMBER($D103),$D103&lt;FechaRef),"Vencida",IF(N($J103)&gt;0,"En curso","Pendiente"))))</f>
        <v/>
      </c>
      <c r="L103" s="56">
        <f>IF($N103="","",INDEX('Cronograma R. Normativo'!$O$5:$O$1000,$N103)&amp;"")</f>
        <v/>
      </c>
      <c r="M103" s="62">
        <f>IF($N103="","",INDEX('Cronograma R. Normativo'!$Q$5:$Q$1000,$N103)&amp;"")</f>
        <v/>
      </c>
      <c r="N103">
        <f>IFERROR(MATCH(ROW()-4,rOrden_RN,0),"")</f>
        <v/>
      </c>
      <c r="O103">
        <f>IF($N103="","",INDEX('Cronograma R. Normativo'!$V$5:$V$1000,$N103))</f>
        <v/>
      </c>
      <c r="P103">
        <f>IF($N103="","",N(INDEX('Cronograma R. Normativo'!$W$5:$W$1000,$N103)))</f>
        <v/>
      </c>
      <c r="Q103">
        <f>IF(OR(LEFT($L103,7)="Vencida",LEFT($L103,5)="Vence"),SUMPRODUCT(--(LEFT($L$5:$L103,7)="Vencida"))+SUMPRODUCT(--(LEFT($L$5:$L103,5)="Vence")),"")</f>
        <v/>
      </c>
    </row>
    <row r="104">
      <c r="A104" s="56">
        <f>IF($N104="","",INDEX('Cronograma R. Normativo'!$A$5:$A$1000,$N104))</f>
        <v/>
      </c>
      <c r="B104" s="62">
        <f>IF($N104="","",IF($O104="Sub","      ↳  "&amp;INDEX('Cronograma R. Normativo'!$C$5:$C$1000,$N104),INDEX('Cronograma R. Normativo'!$C$5:$C$1000,$N104)&amp;""))</f>
        <v/>
      </c>
      <c r="C104" s="79">
        <f>IF($N104="","",IF(INDEX('Cronograma R. Normativo'!$AM$5:$AM$1000,$N104)="","",INDEX('Cronograma R. Normativo'!$AM$5:$AM$1000,$N104)))</f>
        <v/>
      </c>
      <c r="D104" s="79">
        <f>IF($N104="","",IF(INDEX('Cronograma R. Normativo'!$AN$5:$AN$1000,$N104)="","",INDEX('Cronograma R. Normativo'!$AN$5:$AN$1000,$N104)))</f>
        <v/>
      </c>
      <c r="E104" s="56">
        <f>IF($N104="","",IF(NOT(ISNUMBER($D104)),"",IF($D104&lt;InicioCiclo,"Antes del ciclo",IF($D104&gt;=InicioCiclo+28,"Después del ciclo","Semana "&amp;(INT(($D104-InicioCiclo)/7)+1)))))</f>
        <v/>
      </c>
      <c r="F104" s="61">
        <f>IF($N104="","",IF($P104&gt;0,IF(1&lt;=SemanaActual,INDEX('Cronograma R. Normativo'!$AC$5:$AC$1000,$N104),""),IF(INDEX('Cronograma R. Normativo'!$I$5:$I$1000,$N104)="","",INDEX('Cronograma R. Normativo'!$I$5:$I$1000,$N104))))</f>
        <v/>
      </c>
      <c r="G104" s="61">
        <f>IF($N104="","",IF($P104&gt;0,IF(2&lt;=SemanaActual,INDEX('Cronograma R. Normativo'!$AD$5:$AD$1000,$N104),""),IF(INDEX('Cronograma R. Normativo'!$J$5:$J$1000,$N104)="","",INDEX('Cronograma R. Normativo'!$J$5:$J$1000,$N104))))</f>
        <v/>
      </c>
      <c r="H104" s="61">
        <f>IF($N104="","",IF($P104&gt;0,IF(3&lt;=SemanaActual,INDEX('Cronograma R. Normativo'!$AE$5:$AE$1000,$N104),""),IF(INDEX('Cronograma R. Normativo'!$K$5:$K$1000,$N104)="","",INDEX('Cronograma R. Normativo'!$K$5:$K$1000,$N104))))</f>
        <v/>
      </c>
      <c r="I104" s="61">
        <f>IF($N104="","",IF($P104&gt;0,IF(4&lt;=SemanaActual,INDEX('Cronograma R. Normativo'!$AF$5:$AF$1000,$N104),""),IF(INDEX('Cronograma R. Normativo'!$L$5:$L$1000,$N104)="","",INDEX('Cronograma R. Normativo'!$L$5:$L$1000,$N104))))</f>
        <v/>
      </c>
      <c r="J104" s="61">
        <f>IF($N104="","",INDEX('Cronograma R. Normativo'!$M$5:$M$1000,$N104))</f>
        <v/>
      </c>
      <c r="K104" s="56">
        <f>IF($N104="","",IF(N($J104)&gt;=1,"Completado",IF(AND(ISNUMBER($D104),$D104&lt;FechaRef),"Vencida",IF(N($J104)&gt;0,"En curso","Pendiente"))))</f>
        <v/>
      </c>
      <c r="L104" s="56">
        <f>IF($N104="","",INDEX('Cronograma R. Normativo'!$O$5:$O$1000,$N104)&amp;"")</f>
        <v/>
      </c>
      <c r="M104" s="62">
        <f>IF($N104="","",INDEX('Cronograma R. Normativo'!$Q$5:$Q$1000,$N104)&amp;"")</f>
        <v/>
      </c>
      <c r="N104">
        <f>IFERROR(MATCH(ROW()-4,rOrden_RN,0),"")</f>
        <v/>
      </c>
      <c r="O104">
        <f>IF($N104="","",INDEX('Cronograma R. Normativo'!$V$5:$V$1000,$N104))</f>
        <v/>
      </c>
      <c r="P104">
        <f>IF($N104="","",N(INDEX('Cronograma R. Normativo'!$W$5:$W$1000,$N104)))</f>
        <v/>
      </c>
      <c r="Q104">
        <f>IF(OR(LEFT($L104,7)="Vencida",LEFT($L104,5)="Vence"),SUMPRODUCT(--(LEFT($L$5:$L104,7)="Vencida"))+SUMPRODUCT(--(LEFT($L$5:$L104,5)="Vence")),"")</f>
        <v/>
      </c>
    </row>
  </sheetData>
  <sheetProtection selectLockedCells="0" selectUnlockedCells="0" sheet="1" objects="0" insertRows="1" insertHyperlinks="1" autoFilter="0" scenarios="0" formatColumns="0" deleteColumns="1" insertColumns="1" pivotTables="1" deleteRows="1" formatCells="1" formatRows="0" sort="0"/>
  <mergeCells count="2">
    <mergeCell ref="A2:M2"/>
    <mergeCell ref="A1:M1"/>
  </mergeCells>
  <conditionalFormatting sqref="F5:I104">
    <cfRule type="expression" priority="1" dxfId="6" stopIfTrue="1">
      <formula>AND(AND(ISNUMBER($C5),ISNUMBER($D5),$C5&lt;=InicioCiclo+7*(COLUMN(F5)-6)+6,$D5&gt;=InicioCiclo+7*(COLUMN(F5)-6)),$K5="Vencida")</formula>
    </cfRule>
    <cfRule type="expression" priority="2" dxfId="22">
      <formula>AND(ISNUMBER($C5),ISNUMBER($D5),$C5&lt;=InicioCiclo+7*(COLUMN(F5)-6)+6,$D5&gt;=InicioCiclo+7*(COLUMN(F5)-6))</formula>
    </cfRule>
  </conditionalFormatting>
  <conditionalFormatting sqref="K5:K104">
    <cfRule type="expression" priority="3" dxfId="0">
      <formula>$K5="Completado"</formula>
    </cfRule>
    <cfRule type="expression" priority="4" dxfId="6">
      <formula>$K5="Vencida"</formula>
    </cfRule>
    <cfRule type="expression" priority="5" dxfId="4">
      <formula>$K5="En curso"</formula>
    </cfRule>
    <cfRule type="expression" priority="6" dxfId="5">
      <formula>$K5="Pendiente"</formula>
    </cfRule>
  </conditionalFormatting>
  <conditionalFormatting sqref="L5:L104">
    <cfRule type="expression" priority="7" dxfId="8" stopIfTrue="1">
      <formula>LEFT($L5,7)="Vencida"</formula>
    </cfRule>
    <cfRule type="expression" priority="8" dxfId="9" stopIfTrue="1">
      <formula>LEFT($L5,5)="Vence"</formula>
    </cfRule>
    <cfRule type="expression" priority="9" dxfId="0" stopIfTrue="1">
      <formula>LEFT($L5,8)="Cumplida"</formula>
    </cfRule>
    <cfRule type="expression" priority="10" dxfId="13" stopIfTrue="1">
      <formula>$L5="En plazo"</formula>
    </cfRule>
    <cfRule type="expression" priority="11" dxfId="5">
      <formula>$L5="Sin fecha límite"</formula>
    </cfRule>
  </conditionalFormatting>
  <conditionalFormatting sqref="E5:E104">
    <cfRule type="expression" priority="12" dxfId="1">
      <formula>$E5="Semana "&amp;SemanaActual</formula>
    </cfRule>
  </conditionalFormatting>
  <conditionalFormatting sqref="J5:J104">
    <cfRule type="dataBar" priority="13">
      <dataBar showValue="1">
        <cfvo type="num" val="0"/>
        <cfvo type="num" val="1"/>
        <color rgb="005B9BD5"/>
      </dataBar>
    </cfRule>
  </conditionalFormatting>
  <conditionalFormatting sqref="F4:I4">
    <cfRule type="expression" priority="14" dxfId="1">
      <formula>COLUMN(F4)-5=SemanaActual</formula>
    </cfRule>
  </conditionalFormatting>
  <conditionalFormatting sqref="F3:I3">
    <cfRule type="expression" priority="15" dxfId="1">
      <formula>COLUMN(F3)-5=SemanaActual</formula>
    </cfRule>
  </conditionalFormatting>
  <pageMargins left="0.4" right="0.4" top="0.5" bottom="0.5" header="0.5" footer="0.5"/>
  <pageSetup orientation="landscape" paperSize="1" fitToHeight="0" fitToWidth="1"/>
  <headerFooter>
    <oddHeader/>
    <oddFooter>&amp;C&amp;A – Página &amp;P de &amp;N</oddFooter>
    <evenHeader/>
    <evenFooter/>
    <firstHeader/>
    <firstFooter/>
  </headerFooter>
  <tableParts count="1">
    <tablePart xmlns:r="http://schemas.openxmlformats.org/officeDocument/2006/relationships" r:id="rId1"/>
  </tableParts>
</worksheet>
</file>

<file path=xl/worksheets/sheet8.xml><?xml version="1.0" encoding="utf-8"?>
<worksheet xmlns="http://schemas.openxmlformats.org/spreadsheetml/2006/main">
  <sheetPr>
    <tabColor rgb="00548235"/>
    <outlinePr summaryBelow="1" summaryRight="1"/>
    <pageSetUpPr fitToPage="1"/>
  </sheetPr>
  <dimension ref="A1:AN304"/>
  <sheetViews>
    <sheetView showGridLines="0" zoomScale="90" workbookViewId="0">
      <pane xSplit="3" ySplit="4" topLeftCell="D5" activePane="bottomRight" state="frozen"/>
      <selection pane="topRight"/>
      <selection pane="bottomLeft"/>
      <selection pane="bottomRight" activeCell="A1" sqref="A1"/>
    </sheetView>
  </sheetViews>
  <sheetFormatPr baseColWidth="8" defaultRowHeight="15"/>
  <cols>
    <col width="7" customWidth="1" min="1" max="1"/>
    <col width="15" customWidth="1" min="2" max="2"/>
    <col width="48" customWidth="1" min="3" max="3"/>
    <col hidden="1" width="22" customWidth="1" min="4" max="4"/>
    <col width="12" customWidth="1" min="5" max="5"/>
    <col width="12" customWidth="1" min="6" max="6"/>
    <col width="14" customWidth="1" min="7" max="7"/>
    <col width="12" customWidth="1" min="8" max="8"/>
    <col width="10" customWidth="1" min="9" max="9"/>
    <col width="10" customWidth="1" min="10" max="10"/>
    <col width="10" customWidth="1" min="11" max="11"/>
    <col width="10" customWidth="1" min="12" max="12"/>
    <col width="12" customWidth="1" min="13" max="13"/>
    <col width="12" customWidth="1" min="14" max="14"/>
    <col width="24" customWidth="1" min="15" max="15"/>
    <col hidden="1" width="30" customWidth="1" min="16" max="16"/>
    <col width="36" customWidth="1" min="17" max="17"/>
    <col width="44" customWidth="1" min="18" max="18"/>
    <col width="14"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s>
  <sheetData>
    <row r="1" ht="28" customHeight="1">
      <c r="A1" s="82" t="inlineStr">
        <is>
          <t>Cronograma – Riesgo Financiero</t>
        </is>
      </c>
      <c r="B1" s="82" t="n"/>
      <c r="C1" s="82" t="n"/>
      <c r="D1" s="82" t="n"/>
      <c r="E1" s="82" t="n"/>
      <c r="F1" s="82" t="n"/>
      <c r="G1" s="82" t="n"/>
      <c r="H1" s="82" t="n"/>
      <c r="I1" s="82" t="n"/>
      <c r="J1" s="82" t="n"/>
      <c r="K1" s="82" t="n"/>
      <c r="L1" s="82" t="n"/>
      <c r="M1" s="82" t="n"/>
      <c r="N1" s="82" t="n"/>
      <c r="O1" s="82" t="n"/>
      <c r="P1" s="82" t="n"/>
      <c r="Q1" s="82" t="n"/>
      <c r="R1" s="82" t="n"/>
      <c r="S1" s="82" t="n"/>
    </row>
    <row r="2" ht="44" customHeight="1">
      <c r="A2" s="48" t="inlineStr">
        <is>
          <t>Llene solo las celdas GRIS SUAVE; las AZUL CLARO son automáticas. En «Tipo» elija Macroactividad o Subactividad: las subactividades van en las filas de ABAJO de su macroactividad (se ven con ↳) y su promedio da el % de la macroactividad. Cuando termine algo, escriba la FECHA DE CUMPLIMIENTO: queda al 100% y ya no aparece vencido. Si quiere registrar avances parciales, escriba en cada semana el % total logrado hasta esa semana. Cada mes agregue sus actividades debajo de las anteriores (no borre los meses pasados: quedan como historial).</t>
        </is>
      </c>
      <c r="B2" s="48" t="n"/>
      <c r="C2" s="48" t="n"/>
      <c r="D2" s="48" t="n"/>
      <c r="E2" s="48" t="n"/>
      <c r="F2" s="48" t="n"/>
      <c r="G2" s="48" t="n"/>
      <c r="H2" s="48" t="n"/>
      <c r="I2" s="48" t="n"/>
      <c r="J2" s="48" t="n"/>
      <c r="K2" s="48" t="n"/>
      <c r="L2" s="48" t="n"/>
      <c r="M2" s="48" t="n"/>
      <c r="N2" s="48" t="n"/>
      <c r="O2" s="48" t="n"/>
      <c r="P2" s="48" t="n"/>
      <c r="Q2" s="48" t="n"/>
      <c r="R2" s="48" t="n"/>
      <c r="S2" s="48" t="n"/>
    </row>
    <row r="3" ht="22" customHeight="1">
      <c r="A3" s="49" t="inlineStr">
        <is>
          <t>Llenar</t>
        </is>
      </c>
      <c r="B3" s="50" t="inlineStr">
        <is>
          <t>Automático</t>
        </is>
      </c>
      <c r="C3" s="83" t="inlineStr">
        <is>
          <t>Macroactividad (fila resaltada)</t>
        </is>
      </c>
      <c r="E3" s="6" t="inlineStr">
        <is>
          <t>Peso: solo macroactividades. Si lo deja vacío valen igual; si lo escribe, se ajusta solo a 100%.</t>
        </is>
      </c>
      <c r="F3" s="6" t="n"/>
      <c r="G3" s="6" t="n"/>
      <c r="H3" s="6" t="n"/>
      <c r="I3" s="6" t="n"/>
      <c r="J3" s="6" t="n"/>
      <c r="K3" s="52" t="inlineStr">
        <is>
          <t>Plazos del mes:</t>
        </is>
      </c>
      <c r="M3" s="43">
        <f>COUNTIFS($S$5:$S$1000,MesCiclo,$O$5:$O$1000,"Vencida*")&amp;" vencida(s)  ·  "&amp;COUNTIFS($S$5:$S$1000,MesCiclo,$O$5:$O$1000,"Vence*")&amp;" por vencer"</f>
        <v/>
      </c>
      <c r="N3" s="43" t="n"/>
      <c r="O3" s="43" t="n"/>
      <c r="Q3" s="45">
        <f>IF(COUNTIFS('Administración'!$D$5:$D$1000,"Riesgo Financiero",'Administración'!$S$5:$S$1000,MesCiclo,'Administración'!$V$5:$V$1000,"Macro")=0,"Sin actividades delegadas por la jefatura este mes","★ La jefatura le delegó "&amp;COUNTIFS('Administración'!$D$5:$D$1000,"Riesgo Financiero",'Administración'!$S$5:$S$1000,MesCiclo,'Administración'!$V$5:$V$1000,"Macro")&amp;" actividad(es) este mes · "&amp;(COUNTIFS('Administración'!$D$5:$D$1000,"Riesgo Financiero",'Administración'!$S$5:$S$1000,MesCiclo,'Administración'!$V$5:$V$1000,"Macro")-COUNTIFS('Administración'!$D$5:$D$1000,"Riesgo Financiero",'Administración'!$S$5:$S$1000,MesCiclo,'Administración'!$V$5:$V$1000,"Macro",'Administración'!$AH$5:$AH$1000,"&gt;0"))&amp;" pendiente(s) de agregar (elíjalas en la lista de «Actividad»). Cuentan en su avance del mes.")</f>
        <v/>
      </c>
      <c r="R3" s="45" t="n"/>
      <c r="S3" s="45" t="n"/>
    </row>
    <row r="4" ht="42" customHeight="1">
      <c r="A4" s="54" t="inlineStr">
        <is>
          <t>N°</t>
        </is>
      </c>
      <c r="B4" s="69" t="inlineStr">
        <is>
          <t>Tipo</t>
        </is>
      </c>
      <c r="C4" s="69" t="inlineStr">
        <is>
          <t>Actividad</t>
        </is>
      </c>
      <c r="D4" s="69" t="inlineStr">
        <is>
          <t>Delegar a</t>
        </is>
      </c>
      <c r="E4" s="69" t="inlineStr">
        <is>
          <t>Fecha de inicio</t>
        </is>
      </c>
      <c r="F4" s="69" t="inlineStr">
        <is>
          <t>Fecha límite</t>
        </is>
      </c>
      <c r="G4" s="69" t="inlineStr">
        <is>
          <t>Fecha de cumplimiento</t>
        </is>
      </c>
      <c r="H4" s="69" t="inlineStr">
        <is>
          <t>Peso (%)</t>
        </is>
      </c>
      <c r="I4" s="69" t="inlineStr">
        <is>
          <t>Avance Semana 1 (%)</t>
        </is>
      </c>
      <c r="J4" s="69" t="inlineStr">
        <is>
          <t>Avance Semana 2 (%)</t>
        </is>
      </c>
      <c r="K4" s="69" t="inlineStr">
        <is>
          <t>Avance Semana 3 (%)</t>
        </is>
      </c>
      <c r="L4" s="69" t="inlineStr">
        <is>
          <t>Avance Semana 4 (%)</t>
        </is>
      </c>
      <c r="M4" s="54" t="inlineStr">
        <is>
          <t>% de Avance Total Actual</t>
        </is>
      </c>
      <c r="N4" s="54" t="inlineStr">
        <is>
          <t>Estado</t>
        </is>
      </c>
      <c r="O4" s="54" t="inlineStr">
        <is>
          <t>Alerta de plazo</t>
        </is>
      </c>
      <c r="P4" s="54" t="inlineStr">
        <is>
          <t>Seguimiento de la delegación</t>
        </is>
      </c>
      <c r="Q4" s="69" t="inlineStr">
        <is>
          <t>Observaciones</t>
        </is>
      </c>
      <c r="R4" s="54" t="inlineStr">
        <is>
          <t>Revisión automática (alertas)</t>
        </is>
      </c>
      <c r="S4" s="54" t="inlineStr">
        <is>
          <t>Mes</t>
        </is>
      </c>
      <c r="T4" s="54" t="inlineStr">
        <is>
          <t>Orden en el mes (aux)</t>
        </is>
      </c>
      <c r="U4" s="54" t="inlineStr">
        <is>
          <t>Grupo (aux)</t>
        </is>
      </c>
      <c r="V4" s="54" t="inlineStr">
        <is>
          <t>Tipo (aux)</t>
        </is>
      </c>
      <c r="W4" s="54" t="inlineStr">
        <is>
          <t>N subactividades (aux)</t>
        </is>
      </c>
      <c r="X4" s="54" t="inlineStr">
        <is>
          <t>Avance propio (aux)</t>
        </is>
      </c>
      <c r="Y4" s="54" t="inlineStr">
        <is>
          <t>Propio S1 (aux)</t>
        </is>
      </c>
      <c r="Z4" s="54" t="inlineStr">
        <is>
          <t>Propio S2 (aux)</t>
        </is>
      </c>
      <c r="AA4" s="54" t="inlineStr">
        <is>
          <t>Propio S3 (aux)</t>
        </is>
      </c>
      <c r="AB4" s="54" t="inlineStr">
        <is>
          <t>Propio S4 (aux)</t>
        </is>
      </c>
      <c r="AC4" s="54" t="inlineStr">
        <is>
          <t>Efectivo S1 (aux)</t>
        </is>
      </c>
      <c r="AD4" s="54" t="inlineStr">
        <is>
          <t>Efectivo S2 (aux)</t>
        </is>
      </c>
      <c r="AE4" s="54" t="inlineStr">
        <is>
          <t>Efectivo S3 (aux)</t>
        </is>
      </c>
      <c r="AF4" s="54" t="inlineStr">
        <is>
          <t>Efectivo S4 (aux)</t>
        </is>
      </c>
      <c r="AG4" s="54" t="inlineStr">
        <is>
          <t>Peso efectivo (aux)</t>
        </is>
      </c>
      <c r="AH4" s="54" t="inlineStr">
        <is>
          <t>Fila en el puesto (aux)</t>
        </is>
      </c>
      <c r="AI4" s="54" t="inlineStr">
        <is>
          <t>N° delegada en el mes (aux)</t>
        </is>
      </c>
      <c r="AJ4" s="54" t="inlineStr">
        <is>
          <t>Clave delegada (aux)</t>
        </is>
      </c>
      <c r="AK4" s="54" t="inlineStr">
        <is>
          <t>Clave puesto-actividad (aux)</t>
        </is>
      </c>
      <c r="AL4" s="54" t="inlineStr">
        <is>
          <t>Fila en Administración (aux)</t>
        </is>
      </c>
      <c r="AM4" s="54" t="inlineStr">
        <is>
          <t>Inicio efectivo (aux)</t>
        </is>
      </c>
      <c r="AN4" s="54" t="inlineStr">
        <is>
          <t>Límite efectivo (aux)</t>
        </is>
      </c>
    </row>
    <row r="5">
      <c r="A5" s="56">
        <f>IF(NOT((COUNTA($B5:$D5)+COUNTA($G5:$L5)+COUNTA($Q5))&gt;0),"",IF($V5="Macro",COUNTIFS($V$5:$V5,"Macro",$S$5:$S5,$S5),IF(N($U5)=0,"?",COUNTIFS(INDEX($V$5:$V$1000,1):INDEX($V$5:$V$1000,$U5-4),"Macro",INDEX($S$5:$S$1000,1):INDEX($S$5:$S$1000,$U5-4),INDEX($S$5:$S$1000,$U5-4))&amp;"."&amp;COUNTIFS($U$5:$U5,$U5,$V$5:$V5,"Sub"))))</f>
        <v/>
      </c>
      <c r="B5" s="57" t="n"/>
      <c r="C5" s="58" t="n"/>
      <c r="D5" s="58" t="n"/>
      <c r="E5" s="59">
        <f>IF(N($AL5)&gt;0,INDEX(rIni_ADM,$AL5),"")</f>
        <v/>
      </c>
      <c r="F5" s="59">
        <f>IF(N($AL5)&gt;0,INDEX(rLim_ADM,$AL5),"")</f>
        <v/>
      </c>
      <c r="G5" s="59" t="n"/>
      <c r="H5" s="60" t="n"/>
      <c r="I5" s="60" t="n"/>
      <c r="J5" s="60" t="n"/>
      <c r="K5" s="60" t="n"/>
      <c r="L5" s="60" t="n"/>
      <c r="M5" s="61">
        <f>IF(NOT((COUNTA($B5:$D5)+COUNTA($G5:$L5)+COUNTA($Q5))&gt;0),"",IF($V5="Sub",IFERROR($X5/INDEX($W$5:$W$1000,$U5-4),""),IF(ISNUMBER($G5),1,IF(N($W5)&gt;0,AVERAGEIFS($X$5:$X$1000,$U$5:$U$1000,ROW(),$V$5:$V$1000,"Sub"),$X5))))</f>
        <v/>
      </c>
      <c r="N5" s="56">
        <f>IF(OR($M5="",$V5="Sub"),"",IF($M5&gt;=1,"Completado",IF($M5&gt;0,"En curso","Pendiente")))</f>
        <v/>
      </c>
      <c r="O5" s="56">
        <f>IF(OR(NOT((COUNTA($B5:$D5)+COUNTA($G5:$L5)+COUNTA($Q5))&gt;0),$V5="Sub"),"",IF(ISNUMBER($G5),IF(AND(ISNUMBER($AN5),$G5&gt;$AN5),"Cumplida con "&amp;($G5-$AN5)&amp;IF($G5-$AN5=1," día"," días")&amp;" de retraso","Cumplida"),IF(N($M5)&gt;=1,"Cumplida",IF(NOT(ISNUMBER($AN5)),"Sin fecha límite",IF($AN5&lt;FechaRef,"Vencida hace "&amp;(FechaRef-$AN5)&amp;IF(FechaRef-$AN5=1," día"," días"),IF($AN5=FechaRef,"Vence hoy",IF($AN5-FechaRef&lt;=DiasAlerta,"Vence en "&amp;($AN5-FechaRef)&amp;IF($AN5-FechaRef=1," día"," días"),"En plazo")))))))</f>
        <v/>
      </c>
      <c r="P5" s="62" t="n"/>
      <c r="Q5" s="58" t="n"/>
      <c r="R5" s="63">
        <f>IF(NOT((COUNTA($B5:$D5)+COUNTA($G5:$L5)+COUNTA($Q5))&gt;0),"",IF((IF($C5="","Falta el nombre de la actividad"&amp;" · ","")&amp;IF(AND($V5="Sub",N($U5)=0),"Subactividad sin macroactividad arriba"&amp;" · ","")&amp;IF($AM5="","Sin fecha de inicio"&amp;" · ","")&amp;IF($AN5="","Sin fecha límite"&amp;" · ","")&amp;IF(AND(LEFT($C5,11)="[Jefatura] ",N($AL5)=0),"No se encuentra en la hoja de la jefatura (elíjala de nuevo en la lista)"&amp;" · ","")&amp;IF(OR(AND($E5&lt;&gt;"",NOT(ISNUMBER($E5))),AND($F5&lt;&gt;"",NOT(ISNUMBER($F5))),AND($G5&lt;&gt;"",NOT(ISNUMBER($G5)))),"Fecha no válida"&amp;" · ","")&amp;IF(AND(ISNUMBER($AM5),ISNUMBER($AN5),$AM5&gt;$AN5),"Inicio posterior a fecha límite"&amp;" · ","")&amp;IF(AND($V5="Macro",$H5&lt;&gt;"",OR(NOT(ISNUMBER($H5)),$H5&lt;0,$H5&gt;1)),"Peso fuera de rango"&amp;" · ","")&amp;IF(AND($V5="Sub",$H5&lt;&gt;""),"Las subactividades no llevan peso (valen igual dentro de su macroactividad)"&amp;" · ","")&amp;IF(AND(N($W5)&gt;0,COUNT($I5:$L5)&gt;0),"Con subactividades: deje vacías las semanas (se calculan solas)"&amp;" · ","")&amp;IF((COUNTIF($I5:$L5,"&gt;1")+COUNTIF($I5:$L5,"&lt;0")+COUNTA($I5:$L5)-COUNT($I5:$L5))&gt;0,"Avance fuera de rango 0-100%"&amp;" · ","")&amp;IF(OR(AND($J5&lt;&gt;"",$J5&lt;$I5),AND($K5&lt;&gt;"",$K5&lt;MAX($I5:$J5)),AND($L5&lt;&gt;"",$L5&lt;MAX($I5:$K5))),"Avance semanal decreciente"&amp;" · ","")&amp;IF(AND(ISNUMBER($AN5),$AN5&lt;FechaRef,IF($V5="Sub",N($X5),N($M5))&lt;1),"Vencida"&amp;" · ","")&amp;IF(AND(ObsObligatoria="Sí",ISNUMBER($AN5),$AN5&lt;FechaRef,IF($V5="Sub",N($X5),N($M5))&lt;1,$Q5=""),"Vencida sin observación"&amp;" · ",""))="","✔ OK","⚠ "&amp;LEFT(IF($C5="","Falta el nombre de la actividad"&amp;" · ","")&amp;IF(AND($V5="Sub",N($U5)=0),"Subactividad sin macroactividad arriba"&amp;" · ","")&amp;IF($AM5="","Sin fecha de inicio"&amp;" · ","")&amp;IF($AN5="","Sin fecha límite"&amp;" · ","")&amp;IF(AND(LEFT($C5,11)="[Jefatura] ",N($AL5)=0),"No se encuentra en la hoja de la jefatura (elíjala de nuevo en la lista)"&amp;" · ","")&amp;IF(OR(AND($E5&lt;&gt;"",NOT(ISNUMBER($E5))),AND($F5&lt;&gt;"",NOT(ISNUMBER($F5))),AND($G5&lt;&gt;"",NOT(ISNUMBER($G5)))),"Fecha no válida"&amp;" · ","")&amp;IF(AND(ISNUMBER($AM5),ISNUMBER($AN5),$AM5&gt;$AN5),"Inicio posterior a fecha límite"&amp;" · ","")&amp;IF(AND($V5="Macro",$H5&lt;&gt;"",OR(NOT(ISNUMBER($H5)),$H5&lt;0,$H5&gt;1)),"Peso fuera de rango"&amp;" · ","")&amp;IF(AND($V5="Sub",$H5&lt;&gt;""),"Las subactividades no llevan peso (valen igual dentro de su macroactividad)"&amp;" · ","")&amp;IF(AND(N($W5)&gt;0,COUNT($I5:$L5)&gt;0),"Con subactividades: deje vacías las semanas (se calculan solas)"&amp;" · ","")&amp;IF((COUNTIF($I5:$L5,"&gt;1")+COUNTIF($I5:$L5,"&lt;0")+COUNTA($I5:$L5)-COUNT($I5:$L5))&gt;0,"Avance fuera de rango 0-100%"&amp;" · ","")&amp;IF(OR(AND($J5&lt;&gt;"",$J5&lt;$I5),AND($K5&lt;&gt;"",$K5&lt;MAX($I5:$J5)),AND($L5&lt;&gt;"",$L5&lt;MAX($I5:$K5))),"Avance semanal decreciente"&amp;" · ","")&amp;IF(AND(ISNUMBER($AN5),$AN5&lt;FechaRef,IF($V5="Sub",N($X5),N($M5))&lt;1),"Vencida"&amp;" · ","")&amp;IF(AND(ObsObligatoria="Sí",ISNUMBER($AN5),$AN5&lt;FechaRef,IF($V5="Sub",N($X5),N($M5))&lt;1,$Q5=""),"Vencida sin observación"&amp;" · ",""),LEN(IF($C5="","Falta el nombre de la actividad"&amp;" · ","")&amp;IF(AND($V5="Sub",N($U5)=0),"Subactividad sin macroactividad arriba"&amp;" · ","")&amp;IF($AM5="","Sin fecha de inicio"&amp;" · ","")&amp;IF($AN5="","Sin fecha límite"&amp;" · ","")&amp;IF(AND(LEFT($C5,11)="[Jefatura] ",N($AL5)=0),"No se encuentra en la hoja de la jefatura (elíjala de nuevo en la lista)"&amp;" · ","")&amp;IF(OR(AND($E5&lt;&gt;"",NOT(ISNUMBER($E5))),AND($F5&lt;&gt;"",NOT(ISNUMBER($F5))),AND($G5&lt;&gt;"",NOT(ISNUMBER($G5)))),"Fecha no válida"&amp;" · ","")&amp;IF(AND(ISNUMBER($AM5),ISNUMBER($AN5),$AM5&gt;$AN5),"Inicio posterior a fecha límite"&amp;" · ","")&amp;IF(AND($V5="Macro",$H5&lt;&gt;"",OR(NOT(ISNUMBER($H5)),$H5&lt;0,$H5&gt;1)),"Peso fuera de rango"&amp;" · ","")&amp;IF(AND($V5="Sub",$H5&lt;&gt;""),"Las subactividades no llevan peso (valen igual dentro de su macroactividad)"&amp;" · ","")&amp;IF(AND(N($W5)&gt;0,COUNT($I5:$L5)&gt;0),"Con subactividades: deje vacías las semanas (se calculan solas)"&amp;" · ","")&amp;IF((COUNTIF($I5:$L5,"&gt;1")+COUNTIF($I5:$L5,"&lt;0")+COUNTA($I5:$L5)-COUNT($I5:$L5))&gt;0,"Avance fuera de rango 0-100%"&amp;" · ","")&amp;IF(OR(AND($J5&lt;&gt;"",$J5&lt;$I5),AND($K5&lt;&gt;"",$K5&lt;MAX($I5:$J5)),AND($L5&lt;&gt;"",$L5&lt;MAX($I5:$K5))),"Avance semanal decreciente"&amp;" · ","")&amp;IF(AND(ISNUMBER($AN5),$AN5&lt;FechaRef,IF($V5="Sub",N($X5),N($M5))&lt;1),"Vencida"&amp;" · ","")&amp;IF(AND(ObsObligatoria="Sí",ISNUMBER($AN5),$AN5&lt;FechaRef,IF($V5="Sub",N($X5),N($M5))&lt;1,$Q5=""),"Vencida sin observación"&amp;" · ",""))-3)))</f>
        <v/>
      </c>
      <c r="S5" s="64">
        <f>IF(NOT((COUNTA($B5:$D5)+COUNTA($G5:$L5)+COUNTA($Q5))&gt;0),"",IF(AND($V5="Sub",N($U5)&gt;0),IF(ISNUMBER(INDEX($AM$5:$AM$1000,$U5-4)),DATE(YEAR(INDEX($AM$5:$AM$1000,$U5-4)),MONTH(INDEX($AM$5:$AM$1000,$U5-4)),1),IF(ISNUMBER(INDEX($AN$5:$AN$1000,$U5-4)),DATE(YEAR(INDEX($AN$5:$AN$1000,$U5-4)),MONTH(INDEX($AN$5:$AN$1000,$U5-4)),1),MesCiclo)),IF(ISNUMBER($AM5),DATE(YEAR($AM5),MONTH($AM5),1),IF(ISNUMBER($AN5),DATE(YEAR($AN5),MONTH($AN5),1),MesCiclo))))</f>
        <v/>
      </c>
      <c r="T5" s="62">
        <f>IF(OR($S5="",$S5&lt;&gt;MesCiclo,$V5&lt;&gt;"Macro"),"",COUNTIFS($S$5:$S5,MesCiclo,$V$5:$V5,"Macro"))</f>
        <v/>
      </c>
      <c r="U5" s="62">
        <f>IF($V5="","",IF($V5="Macro",ROW(),IFERROR(LOOKUP(2,1/($V$5:$V5="Macro"),ROW($V$5:$V5)),0)))</f>
        <v/>
      </c>
      <c r="V5" s="62">
        <f>IF(NOT((COUNTA($B5:$D5)+COUNTA($G5:$L5)+COUNTA($Q5))&gt;0),"",IF($B5="Subactividad","Sub","Macro"))</f>
        <v/>
      </c>
      <c r="W5" s="62">
        <f>IF($V5="Macro",COUNTIFS($U$5:$U$1000,ROW(),$V$5:$V$1000,"Sub"),"")</f>
        <v/>
      </c>
      <c r="X5" s="62">
        <f>IF($V5="","",IF(ISNUMBER($G5),1,IFERROR(LOOKUP(2,1/($I5:$L5&lt;&gt;""),$I5:$L5),0)))</f>
        <v/>
      </c>
      <c r="Y5" s="62">
        <f>IF($V5="","",IF(AND(ISNUMBER($G5),$G5&lt;=IF($S5=MesCiclo,InicioCiclo,$S5+MOD(2-WEEKDAY($S5),7))+6),1,IF(ISNUMBER($I5),$I5,0)))</f>
        <v/>
      </c>
      <c r="Z5" s="62">
        <f>IF($V5="","",IF(AND(ISNUMBER($G5),$G5&lt;=IF($S5=MesCiclo,InicioCiclo,$S5+MOD(2-WEEKDAY($S5),7))+13),1,IF(ISNUMBER($J5),$J5,$Y5)))</f>
        <v/>
      </c>
      <c r="AA5" s="62">
        <f>IF($V5="","",IF(AND(ISNUMBER($G5),$G5&lt;=IF($S5=MesCiclo,InicioCiclo,$S5+MOD(2-WEEKDAY($S5),7))+20),1,IF(ISNUMBER($K5),$K5,$Z5)))</f>
        <v/>
      </c>
      <c r="AB5" s="62">
        <f>IF($V5="","",IF(AND(ISNUMBER($G5),$G5&lt;=IF($S5=MesCiclo,InicioCiclo,$S5+MOD(2-WEEKDAY($S5),7))+27),1,IF(ISNUMBER($L5),$L5,$AA5)))</f>
        <v/>
      </c>
      <c r="AC5" s="62">
        <f>IF($V5="","",IF(AND(ISNUMBER($G5),$G5&lt;=IF($S5=MesCiclo,InicioCiclo,$S5+MOD(2-WEEKDAY($S5),7))+6),1,IF(N($W5)&gt;0,AVERAGEIFS($Y$5:$Y$1000,$U$5:$U$1000,ROW(),$V$5:$V$1000,"Sub"),$Y5)))</f>
        <v/>
      </c>
      <c r="AD5" s="62">
        <f>IF($V5="","",IF(AND(ISNUMBER($G5),$G5&lt;=IF($S5=MesCiclo,InicioCiclo,$S5+MOD(2-WEEKDAY($S5),7))+13),1,IF(N($W5)&gt;0,AVERAGEIFS($Z$5:$Z$1000,$U$5:$U$1000,ROW(),$V$5:$V$1000,"Sub"),$Z5)))</f>
        <v/>
      </c>
      <c r="AE5" s="62">
        <f>IF($V5="","",IF(AND(ISNUMBER($G5),$G5&lt;=IF($S5=MesCiclo,InicioCiclo,$S5+MOD(2-WEEKDAY($S5),7))+20),1,IF(N($W5)&gt;0,AVERAGEIFS($AA$5:$AA$1000,$U$5:$U$1000,ROW(),$V$5:$V$1000,"Sub"),$AA5)))</f>
        <v/>
      </c>
      <c r="AF5" s="62">
        <f>IF($V5="","",IF(AND(ISNUMBER($G5),$G5&lt;=IF($S5=MesCiclo,InicioCiclo,$S5+MOD(2-WEEKDAY($S5),7))+27),1,IF(N($W5)&gt;0,AVERAGEIFS($AB$5:$AB$1000,$U$5:$U$1000,ROW(),$V$5:$V$1000,"Sub"),$AB5)))</f>
        <v/>
      </c>
      <c r="AG5" s="62">
        <f>IF($V5&lt;&gt;"Macro","",IF(COUNTIFS($S$5:$S$1000,$S5,$V$5:$V$1000,"Macro",$H$5:$H$1000,"&gt;0")=0,1/COUNTIFS($S$5:$S$1000,$S5,$V$5:$V$1000,"Macro"),IF(AND(ISNUMBER($H5),N($H5)&gt;0),$H5,SUMIFS($H$5:$H$1000,$S$5:$S$1000,$S5,$V$5:$V$1000,"Macro")/COUNTIFS($S$5:$S$1000,$S5,$V$5:$V$1000,"Macro",$H$5:$H$1000,"&gt;0"))/(COUNTIFS($S$5:$S$1000,$S5,$V$5:$V$1000,"Macro")*SUMIFS($H$5:$H$1000,$S$5:$S$1000,$S5,$V$5:$V$1000,"Macro")/COUNTIFS($S$5:$S$1000,$S5,$V$5:$V$1000,"Macro",$H$5:$H$1000,"&gt;0"))))</f>
        <v/>
      </c>
      <c r="AH5" s="62" t="n"/>
      <c r="AI5" s="62" t="n"/>
      <c r="AJ5" s="62" t="n"/>
      <c r="AK5" s="62" t="n"/>
      <c r="AL5" s="62">
        <f>IF(LEFT($C5,11)="[Jefatura] ",IFERROR(MATCH("Riesgo Financiero|"&amp;MID($C5,12,500),rDname_ADM,0),0),"")</f>
        <v/>
      </c>
      <c r="AM5" s="62">
        <f>IF(N($AL5)&gt;0,INDEX(rIni_ADM,$AL5),IF(ISNUMBER($E5),$E5,""))</f>
        <v/>
      </c>
      <c r="AN5" s="62">
        <f>IF(N($AL5)&gt;0,INDEX(rLim_ADM,$AL5),IF(ISNUMBER($F5),$F5,""))</f>
        <v/>
      </c>
    </row>
    <row r="6">
      <c r="A6" s="56">
        <f>IF(NOT((COUNTA($B6:$D6)+COUNTA($G6:$L6)+COUNTA($Q6))&gt;0),"",IF($V6="Macro",COUNTIFS($V$5:$V6,"Macro",$S$5:$S6,$S6),IF(N($U6)=0,"?",COUNTIFS(INDEX($V$5:$V$1000,1):INDEX($V$5:$V$1000,$U6-4),"Macro",INDEX($S$5:$S$1000,1):INDEX($S$5:$S$1000,$U6-4),INDEX($S$5:$S$1000,$U6-4))&amp;"."&amp;COUNTIFS($U$5:$U6,$U6,$V$5:$V6,"Sub"))))</f>
        <v/>
      </c>
      <c r="B6" s="57" t="n"/>
      <c r="C6" s="58" t="n"/>
      <c r="D6" s="58" t="n"/>
      <c r="E6" s="59">
        <f>IF(N($AL6)&gt;0,INDEX(rIni_ADM,$AL6),"")</f>
        <v/>
      </c>
      <c r="F6" s="59">
        <f>IF(N($AL6)&gt;0,INDEX(rLim_ADM,$AL6),"")</f>
        <v/>
      </c>
      <c r="G6" s="59" t="n"/>
      <c r="H6" s="60" t="n"/>
      <c r="I6" s="60" t="n"/>
      <c r="J6" s="60" t="n"/>
      <c r="K6" s="60" t="n"/>
      <c r="L6" s="60" t="n"/>
      <c r="M6" s="61">
        <f>IF(NOT((COUNTA($B6:$D6)+COUNTA($G6:$L6)+COUNTA($Q6))&gt;0),"",IF($V6="Sub",IFERROR($X6/INDEX($W$5:$W$1000,$U6-4),""),IF(ISNUMBER($G6),1,IF(N($W6)&gt;0,AVERAGEIFS($X$5:$X$1000,$U$5:$U$1000,ROW(),$V$5:$V$1000,"Sub"),$X6))))</f>
        <v/>
      </c>
      <c r="N6" s="56">
        <f>IF(OR($M6="",$V6="Sub"),"",IF($M6&gt;=1,"Completado",IF($M6&gt;0,"En curso","Pendiente")))</f>
        <v/>
      </c>
      <c r="O6" s="56">
        <f>IF(OR(NOT((COUNTA($B6:$D6)+COUNTA($G6:$L6)+COUNTA($Q6))&gt;0),$V6="Sub"),"",IF(ISNUMBER($G6),IF(AND(ISNUMBER($AN6),$G6&gt;$AN6),"Cumplida con "&amp;($G6-$AN6)&amp;IF($G6-$AN6=1," día"," días")&amp;" de retraso","Cumplida"),IF(N($M6)&gt;=1,"Cumplida",IF(NOT(ISNUMBER($AN6)),"Sin fecha límite",IF($AN6&lt;FechaRef,"Vencida hace "&amp;(FechaRef-$AN6)&amp;IF(FechaRef-$AN6=1," día"," días"),IF($AN6=FechaRef,"Vence hoy",IF($AN6-FechaRef&lt;=DiasAlerta,"Vence en "&amp;($AN6-FechaRef)&amp;IF($AN6-FechaRef=1," día"," días"),"En plazo")))))))</f>
        <v/>
      </c>
      <c r="P6" s="62" t="n"/>
      <c r="Q6" s="58" t="n"/>
      <c r="R6" s="63">
        <f>IF(NOT((COUNTA($B6:$D6)+COUNTA($G6:$L6)+COUNTA($Q6))&gt;0),"",IF((IF($C6="","Falta el nombre de la actividad"&amp;" · ","")&amp;IF(AND($V6="Sub",N($U6)=0),"Subactividad sin macroactividad arriba"&amp;" · ","")&amp;IF($AM6="","Sin fecha de inicio"&amp;" · ","")&amp;IF($AN6="","Sin fecha límite"&amp;" · ","")&amp;IF(AND(LEFT($C6,11)="[Jefatura] ",N($AL6)=0),"No se encuentra en la hoja de la jefatura (elíjala de nuevo en la lista)"&amp;" · ","")&amp;IF(OR(AND($E6&lt;&gt;"",NOT(ISNUMBER($E6))),AND($F6&lt;&gt;"",NOT(ISNUMBER($F6))),AND($G6&lt;&gt;"",NOT(ISNUMBER($G6)))),"Fecha no válida"&amp;" · ","")&amp;IF(AND(ISNUMBER($AM6),ISNUMBER($AN6),$AM6&gt;$AN6),"Inicio posterior a fecha límite"&amp;" · ","")&amp;IF(AND($V6="Macro",$H6&lt;&gt;"",OR(NOT(ISNUMBER($H6)),$H6&lt;0,$H6&gt;1)),"Peso fuera de rango"&amp;" · ","")&amp;IF(AND($V6="Sub",$H6&lt;&gt;""),"Las subactividades no llevan peso (valen igual dentro de su macroactividad)"&amp;" · ","")&amp;IF(AND(N($W6)&gt;0,COUNT($I6:$L6)&gt;0),"Con subactividades: deje vacías las semanas (se calculan solas)"&amp;" · ","")&amp;IF((COUNTIF($I6:$L6,"&gt;1")+COUNTIF($I6:$L6,"&lt;0")+COUNTA($I6:$L6)-COUNT($I6:$L6))&gt;0,"Avance fuera de rango 0-100%"&amp;" · ","")&amp;IF(OR(AND($J6&lt;&gt;"",$J6&lt;$I6),AND($K6&lt;&gt;"",$K6&lt;MAX($I6:$J6)),AND($L6&lt;&gt;"",$L6&lt;MAX($I6:$K6))),"Avance semanal decreciente"&amp;" · ","")&amp;IF(AND(ISNUMBER($AN6),$AN6&lt;FechaRef,IF($V6="Sub",N($X6),N($M6))&lt;1),"Vencida"&amp;" · ","")&amp;IF(AND(ObsObligatoria="Sí",ISNUMBER($AN6),$AN6&lt;FechaRef,IF($V6="Sub",N($X6),N($M6))&lt;1,$Q6=""),"Vencida sin observación"&amp;" · ",""))="","✔ OK","⚠ "&amp;LEFT(IF($C6="","Falta el nombre de la actividad"&amp;" · ","")&amp;IF(AND($V6="Sub",N($U6)=0),"Subactividad sin macroactividad arriba"&amp;" · ","")&amp;IF($AM6="","Sin fecha de inicio"&amp;" · ","")&amp;IF($AN6="","Sin fecha límite"&amp;" · ","")&amp;IF(AND(LEFT($C6,11)="[Jefatura] ",N($AL6)=0),"No se encuentra en la hoja de la jefatura (elíjala de nuevo en la lista)"&amp;" · ","")&amp;IF(OR(AND($E6&lt;&gt;"",NOT(ISNUMBER($E6))),AND($F6&lt;&gt;"",NOT(ISNUMBER($F6))),AND($G6&lt;&gt;"",NOT(ISNUMBER($G6)))),"Fecha no válida"&amp;" · ","")&amp;IF(AND(ISNUMBER($AM6),ISNUMBER($AN6),$AM6&gt;$AN6),"Inicio posterior a fecha límite"&amp;" · ","")&amp;IF(AND($V6="Macro",$H6&lt;&gt;"",OR(NOT(ISNUMBER($H6)),$H6&lt;0,$H6&gt;1)),"Peso fuera de rango"&amp;" · ","")&amp;IF(AND($V6="Sub",$H6&lt;&gt;""),"Las subactividades no llevan peso (valen igual dentro de su macroactividad)"&amp;" · ","")&amp;IF(AND(N($W6)&gt;0,COUNT($I6:$L6)&gt;0),"Con subactividades: deje vacías las semanas (se calculan solas)"&amp;" · ","")&amp;IF((COUNTIF($I6:$L6,"&gt;1")+COUNTIF($I6:$L6,"&lt;0")+COUNTA($I6:$L6)-COUNT($I6:$L6))&gt;0,"Avance fuera de rango 0-100%"&amp;" · ","")&amp;IF(OR(AND($J6&lt;&gt;"",$J6&lt;$I6),AND($K6&lt;&gt;"",$K6&lt;MAX($I6:$J6)),AND($L6&lt;&gt;"",$L6&lt;MAX($I6:$K6))),"Avance semanal decreciente"&amp;" · ","")&amp;IF(AND(ISNUMBER($AN6),$AN6&lt;FechaRef,IF($V6="Sub",N($X6),N($M6))&lt;1),"Vencida"&amp;" · ","")&amp;IF(AND(ObsObligatoria="Sí",ISNUMBER($AN6),$AN6&lt;FechaRef,IF($V6="Sub",N($X6),N($M6))&lt;1,$Q6=""),"Vencida sin observación"&amp;" · ",""),LEN(IF($C6="","Falta el nombre de la actividad"&amp;" · ","")&amp;IF(AND($V6="Sub",N($U6)=0),"Subactividad sin macroactividad arriba"&amp;" · ","")&amp;IF($AM6="","Sin fecha de inicio"&amp;" · ","")&amp;IF($AN6="","Sin fecha límite"&amp;" · ","")&amp;IF(AND(LEFT($C6,11)="[Jefatura] ",N($AL6)=0),"No se encuentra en la hoja de la jefatura (elíjala de nuevo en la lista)"&amp;" · ","")&amp;IF(OR(AND($E6&lt;&gt;"",NOT(ISNUMBER($E6))),AND($F6&lt;&gt;"",NOT(ISNUMBER($F6))),AND($G6&lt;&gt;"",NOT(ISNUMBER($G6)))),"Fecha no válida"&amp;" · ","")&amp;IF(AND(ISNUMBER($AM6),ISNUMBER($AN6),$AM6&gt;$AN6),"Inicio posterior a fecha límite"&amp;" · ","")&amp;IF(AND($V6="Macro",$H6&lt;&gt;"",OR(NOT(ISNUMBER($H6)),$H6&lt;0,$H6&gt;1)),"Peso fuera de rango"&amp;" · ","")&amp;IF(AND($V6="Sub",$H6&lt;&gt;""),"Las subactividades no llevan peso (valen igual dentro de su macroactividad)"&amp;" · ","")&amp;IF(AND(N($W6)&gt;0,COUNT($I6:$L6)&gt;0),"Con subactividades: deje vacías las semanas (se calculan solas)"&amp;" · ","")&amp;IF((COUNTIF($I6:$L6,"&gt;1")+COUNTIF($I6:$L6,"&lt;0")+COUNTA($I6:$L6)-COUNT($I6:$L6))&gt;0,"Avance fuera de rango 0-100%"&amp;" · ","")&amp;IF(OR(AND($J6&lt;&gt;"",$J6&lt;$I6),AND($K6&lt;&gt;"",$K6&lt;MAX($I6:$J6)),AND($L6&lt;&gt;"",$L6&lt;MAX($I6:$K6))),"Avance semanal decreciente"&amp;" · ","")&amp;IF(AND(ISNUMBER($AN6),$AN6&lt;FechaRef,IF($V6="Sub",N($X6),N($M6))&lt;1),"Vencida"&amp;" · ","")&amp;IF(AND(ObsObligatoria="Sí",ISNUMBER($AN6),$AN6&lt;FechaRef,IF($V6="Sub",N($X6),N($M6))&lt;1,$Q6=""),"Vencida sin observación"&amp;" · ",""))-3)))</f>
        <v/>
      </c>
      <c r="S6" s="64">
        <f>IF(NOT((COUNTA($B6:$D6)+COUNTA($G6:$L6)+COUNTA($Q6))&gt;0),"",IF(AND($V6="Sub",N($U6)&gt;0),IF(ISNUMBER(INDEX($AM$5:$AM$1000,$U6-4)),DATE(YEAR(INDEX($AM$5:$AM$1000,$U6-4)),MONTH(INDEX($AM$5:$AM$1000,$U6-4)),1),IF(ISNUMBER(INDEX($AN$5:$AN$1000,$U6-4)),DATE(YEAR(INDEX($AN$5:$AN$1000,$U6-4)),MONTH(INDEX($AN$5:$AN$1000,$U6-4)),1),MesCiclo)),IF(ISNUMBER($AM6),DATE(YEAR($AM6),MONTH($AM6),1),IF(ISNUMBER($AN6),DATE(YEAR($AN6),MONTH($AN6),1),MesCiclo))))</f>
        <v/>
      </c>
      <c r="T6" s="62">
        <f>IF(OR($S6="",$S6&lt;&gt;MesCiclo,$V6&lt;&gt;"Macro"),"",COUNTIFS($S$5:$S6,MesCiclo,$V$5:$V6,"Macro"))</f>
        <v/>
      </c>
      <c r="U6" s="62">
        <f>IF($V6="","",IF($V6="Macro",ROW(),IFERROR(LOOKUP(2,1/($V$5:$V6="Macro"),ROW($V$5:$V6)),0)))</f>
        <v/>
      </c>
      <c r="V6" s="62">
        <f>IF(NOT((COUNTA($B6:$D6)+COUNTA($G6:$L6)+COUNTA($Q6))&gt;0),"",IF($B6="Subactividad","Sub","Macro"))</f>
        <v/>
      </c>
      <c r="W6" s="62">
        <f>IF($V6="Macro",COUNTIFS($U$5:$U$1000,ROW(),$V$5:$V$1000,"Sub"),"")</f>
        <v/>
      </c>
      <c r="X6" s="62">
        <f>IF($V6="","",IF(ISNUMBER($G6),1,IFERROR(LOOKUP(2,1/($I6:$L6&lt;&gt;""),$I6:$L6),0)))</f>
        <v/>
      </c>
      <c r="Y6" s="62">
        <f>IF($V6="","",IF(AND(ISNUMBER($G6),$G6&lt;=IF($S6=MesCiclo,InicioCiclo,$S6+MOD(2-WEEKDAY($S6),7))+6),1,IF(ISNUMBER($I6),$I6,0)))</f>
        <v/>
      </c>
      <c r="Z6" s="62">
        <f>IF($V6="","",IF(AND(ISNUMBER($G6),$G6&lt;=IF($S6=MesCiclo,InicioCiclo,$S6+MOD(2-WEEKDAY($S6),7))+13),1,IF(ISNUMBER($J6),$J6,$Y6)))</f>
        <v/>
      </c>
      <c r="AA6" s="62">
        <f>IF($V6="","",IF(AND(ISNUMBER($G6),$G6&lt;=IF($S6=MesCiclo,InicioCiclo,$S6+MOD(2-WEEKDAY($S6),7))+20),1,IF(ISNUMBER($K6),$K6,$Z6)))</f>
        <v/>
      </c>
      <c r="AB6" s="62">
        <f>IF($V6="","",IF(AND(ISNUMBER($G6),$G6&lt;=IF($S6=MesCiclo,InicioCiclo,$S6+MOD(2-WEEKDAY($S6),7))+27),1,IF(ISNUMBER($L6),$L6,$AA6)))</f>
        <v/>
      </c>
      <c r="AC6" s="62">
        <f>IF($V6="","",IF(AND(ISNUMBER($G6),$G6&lt;=IF($S6=MesCiclo,InicioCiclo,$S6+MOD(2-WEEKDAY($S6),7))+6),1,IF(N($W6)&gt;0,AVERAGEIFS($Y$5:$Y$1000,$U$5:$U$1000,ROW(),$V$5:$V$1000,"Sub"),$Y6)))</f>
        <v/>
      </c>
      <c r="AD6" s="62">
        <f>IF($V6="","",IF(AND(ISNUMBER($G6),$G6&lt;=IF($S6=MesCiclo,InicioCiclo,$S6+MOD(2-WEEKDAY($S6),7))+13),1,IF(N($W6)&gt;0,AVERAGEIFS($Z$5:$Z$1000,$U$5:$U$1000,ROW(),$V$5:$V$1000,"Sub"),$Z6)))</f>
        <v/>
      </c>
      <c r="AE6" s="62">
        <f>IF($V6="","",IF(AND(ISNUMBER($G6),$G6&lt;=IF($S6=MesCiclo,InicioCiclo,$S6+MOD(2-WEEKDAY($S6),7))+20),1,IF(N($W6)&gt;0,AVERAGEIFS($AA$5:$AA$1000,$U$5:$U$1000,ROW(),$V$5:$V$1000,"Sub"),$AA6)))</f>
        <v/>
      </c>
      <c r="AF6" s="62">
        <f>IF($V6="","",IF(AND(ISNUMBER($G6),$G6&lt;=IF($S6=MesCiclo,InicioCiclo,$S6+MOD(2-WEEKDAY($S6),7))+27),1,IF(N($W6)&gt;0,AVERAGEIFS($AB$5:$AB$1000,$U$5:$U$1000,ROW(),$V$5:$V$1000,"Sub"),$AB6)))</f>
        <v/>
      </c>
      <c r="AG6" s="62">
        <f>IF($V6&lt;&gt;"Macro","",IF(COUNTIFS($S$5:$S$1000,$S6,$V$5:$V$1000,"Macro",$H$5:$H$1000,"&gt;0")=0,1/COUNTIFS($S$5:$S$1000,$S6,$V$5:$V$1000,"Macro"),IF(AND(ISNUMBER($H6),N($H6)&gt;0),$H6,SUMIFS($H$5:$H$1000,$S$5:$S$1000,$S6,$V$5:$V$1000,"Macro")/COUNTIFS($S$5:$S$1000,$S6,$V$5:$V$1000,"Macro",$H$5:$H$1000,"&gt;0"))/(COUNTIFS($S$5:$S$1000,$S6,$V$5:$V$1000,"Macro")*SUMIFS($H$5:$H$1000,$S$5:$S$1000,$S6,$V$5:$V$1000,"Macro")/COUNTIFS($S$5:$S$1000,$S6,$V$5:$V$1000,"Macro",$H$5:$H$1000,"&gt;0"))))</f>
        <v/>
      </c>
      <c r="AH6" s="62" t="n"/>
      <c r="AI6" s="62" t="n"/>
      <c r="AJ6" s="62" t="n"/>
      <c r="AK6" s="62" t="n"/>
      <c r="AL6" s="62">
        <f>IF(LEFT($C6,11)="[Jefatura] ",IFERROR(MATCH("Riesgo Financiero|"&amp;MID($C6,12,500),rDname_ADM,0),0),"")</f>
        <v/>
      </c>
      <c r="AM6" s="62">
        <f>IF(N($AL6)&gt;0,INDEX(rIni_ADM,$AL6),IF(ISNUMBER($E6),$E6,""))</f>
        <v/>
      </c>
      <c r="AN6" s="62">
        <f>IF(N($AL6)&gt;0,INDEX(rLim_ADM,$AL6),IF(ISNUMBER($F6),$F6,""))</f>
        <v/>
      </c>
    </row>
    <row r="7">
      <c r="A7" s="56">
        <f>IF(NOT((COUNTA($B7:$D7)+COUNTA($G7:$L7)+COUNTA($Q7))&gt;0),"",IF($V7="Macro",COUNTIFS($V$5:$V7,"Macro",$S$5:$S7,$S7),IF(N($U7)=0,"?",COUNTIFS(INDEX($V$5:$V$1000,1):INDEX($V$5:$V$1000,$U7-4),"Macro",INDEX($S$5:$S$1000,1):INDEX($S$5:$S$1000,$U7-4),INDEX($S$5:$S$1000,$U7-4))&amp;"."&amp;COUNTIFS($U$5:$U7,$U7,$V$5:$V7,"Sub"))))</f>
        <v/>
      </c>
      <c r="B7" s="57" t="n"/>
      <c r="C7" s="58" t="n"/>
      <c r="D7" s="58" t="n"/>
      <c r="E7" s="59">
        <f>IF(N($AL7)&gt;0,INDEX(rIni_ADM,$AL7),"")</f>
        <v/>
      </c>
      <c r="F7" s="59">
        <f>IF(N($AL7)&gt;0,INDEX(rLim_ADM,$AL7),"")</f>
        <v/>
      </c>
      <c r="G7" s="59" t="n"/>
      <c r="H7" s="60" t="n"/>
      <c r="I7" s="60" t="n"/>
      <c r="J7" s="60" t="n"/>
      <c r="K7" s="60" t="n"/>
      <c r="L7" s="60" t="n"/>
      <c r="M7" s="61">
        <f>IF(NOT((COUNTA($B7:$D7)+COUNTA($G7:$L7)+COUNTA($Q7))&gt;0),"",IF($V7="Sub",IFERROR($X7/INDEX($W$5:$W$1000,$U7-4),""),IF(ISNUMBER($G7),1,IF(N($W7)&gt;0,AVERAGEIFS($X$5:$X$1000,$U$5:$U$1000,ROW(),$V$5:$V$1000,"Sub"),$X7))))</f>
        <v/>
      </c>
      <c r="N7" s="56">
        <f>IF(OR($M7="",$V7="Sub"),"",IF($M7&gt;=1,"Completado",IF($M7&gt;0,"En curso","Pendiente")))</f>
        <v/>
      </c>
      <c r="O7" s="56">
        <f>IF(OR(NOT((COUNTA($B7:$D7)+COUNTA($G7:$L7)+COUNTA($Q7))&gt;0),$V7="Sub"),"",IF(ISNUMBER($G7),IF(AND(ISNUMBER($AN7),$G7&gt;$AN7),"Cumplida con "&amp;($G7-$AN7)&amp;IF($G7-$AN7=1," día"," días")&amp;" de retraso","Cumplida"),IF(N($M7)&gt;=1,"Cumplida",IF(NOT(ISNUMBER($AN7)),"Sin fecha límite",IF($AN7&lt;FechaRef,"Vencida hace "&amp;(FechaRef-$AN7)&amp;IF(FechaRef-$AN7=1," día"," días"),IF($AN7=FechaRef,"Vence hoy",IF($AN7-FechaRef&lt;=DiasAlerta,"Vence en "&amp;($AN7-FechaRef)&amp;IF($AN7-FechaRef=1," día"," días"),"En plazo")))))))</f>
        <v/>
      </c>
      <c r="P7" s="62" t="n"/>
      <c r="Q7" s="58" t="n"/>
      <c r="R7" s="63">
        <f>IF(NOT((COUNTA($B7:$D7)+COUNTA($G7:$L7)+COUNTA($Q7))&gt;0),"",IF((IF($C7="","Falta el nombre de la actividad"&amp;" · ","")&amp;IF(AND($V7="Sub",N($U7)=0),"Subactividad sin macroactividad arriba"&amp;" · ","")&amp;IF($AM7="","Sin fecha de inicio"&amp;" · ","")&amp;IF($AN7="","Sin fecha límite"&amp;" · ","")&amp;IF(AND(LEFT($C7,11)="[Jefatura] ",N($AL7)=0),"No se encuentra en la hoja de la jefatura (elíjala de nuevo en la lista)"&amp;" · ","")&amp;IF(OR(AND($E7&lt;&gt;"",NOT(ISNUMBER($E7))),AND($F7&lt;&gt;"",NOT(ISNUMBER($F7))),AND($G7&lt;&gt;"",NOT(ISNUMBER($G7)))),"Fecha no válida"&amp;" · ","")&amp;IF(AND(ISNUMBER($AM7),ISNUMBER($AN7),$AM7&gt;$AN7),"Inicio posterior a fecha límite"&amp;" · ","")&amp;IF(AND($V7="Macro",$H7&lt;&gt;"",OR(NOT(ISNUMBER($H7)),$H7&lt;0,$H7&gt;1)),"Peso fuera de rango"&amp;" · ","")&amp;IF(AND($V7="Sub",$H7&lt;&gt;""),"Las subactividades no llevan peso (valen igual dentro de su macroactividad)"&amp;" · ","")&amp;IF(AND(N($W7)&gt;0,COUNT($I7:$L7)&gt;0),"Con subactividades: deje vacías las semanas (se calculan solas)"&amp;" · ","")&amp;IF((COUNTIF($I7:$L7,"&gt;1")+COUNTIF($I7:$L7,"&lt;0")+COUNTA($I7:$L7)-COUNT($I7:$L7))&gt;0,"Avance fuera de rango 0-100%"&amp;" · ","")&amp;IF(OR(AND($J7&lt;&gt;"",$J7&lt;$I7),AND($K7&lt;&gt;"",$K7&lt;MAX($I7:$J7)),AND($L7&lt;&gt;"",$L7&lt;MAX($I7:$K7))),"Avance semanal decreciente"&amp;" · ","")&amp;IF(AND(ISNUMBER($AN7),$AN7&lt;FechaRef,IF($V7="Sub",N($X7),N($M7))&lt;1),"Vencida"&amp;" · ","")&amp;IF(AND(ObsObligatoria="Sí",ISNUMBER($AN7),$AN7&lt;FechaRef,IF($V7="Sub",N($X7),N($M7))&lt;1,$Q7=""),"Vencida sin observación"&amp;" · ",""))="","✔ OK","⚠ "&amp;LEFT(IF($C7="","Falta el nombre de la actividad"&amp;" · ","")&amp;IF(AND($V7="Sub",N($U7)=0),"Subactividad sin macroactividad arriba"&amp;" · ","")&amp;IF($AM7="","Sin fecha de inicio"&amp;" · ","")&amp;IF($AN7="","Sin fecha límite"&amp;" · ","")&amp;IF(AND(LEFT($C7,11)="[Jefatura] ",N($AL7)=0),"No se encuentra en la hoja de la jefatura (elíjala de nuevo en la lista)"&amp;" · ","")&amp;IF(OR(AND($E7&lt;&gt;"",NOT(ISNUMBER($E7))),AND($F7&lt;&gt;"",NOT(ISNUMBER($F7))),AND($G7&lt;&gt;"",NOT(ISNUMBER($G7)))),"Fecha no válida"&amp;" · ","")&amp;IF(AND(ISNUMBER($AM7),ISNUMBER($AN7),$AM7&gt;$AN7),"Inicio posterior a fecha límite"&amp;" · ","")&amp;IF(AND($V7="Macro",$H7&lt;&gt;"",OR(NOT(ISNUMBER($H7)),$H7&lt;0,$H7&gt;1)),"Peso fuera de rango"&amp;" · ","")&amp;IF(AND($V7="Sub",$H7&lt;&gt;""),"Las subactividades no llevan peso (valen igual dentro de su macroactividad)"&amp;" · ","")&amp;IF(AND(N($W7)&gt;0,COUNT($I7:$L7)&gt;0),"Con subactividades: deje vacías las semanas (se calculan solas)"&amp;" · ","")&amp;IF((COUNTIF($I7:$L7,"&gt;1")+COUNTIF($I7:$L7,"&lt;0")+COUNTA($I7:$L7)-COUNT($I7:$L7))&gt;0,"Avance fuera de rango 0-100%"&amp;" · ","")&amp;IF(OR(AND($J7&lt;&gt;"",$J7&lt;$I7),AND($K7&lt;&gt;"",$K7&lt;MAX($I7:$J7)),AND($L7&lt;&gt;"",$L7&lt;MAX($I7:$K7))),"Avance semanal decreciente"&amp;" · ","")&amp;IF(AND(ISNUMBER($AN7),$AN7&lt;FechaRef,IF($V7="Sub",N($X7),N($M7))&lt;1),"Vencida"&amp;" · ","")&amp;IF(AND(ObsObligatoria="Sí",ISNUMBER($AN7),$AN7&lt;FechaRef,IF($V7="Sub",N($X7),N($M7))&lt;1,$Q7=""),"Vencida sin observación"&amp;" · ",""),LEN(IF($C7="","Falta el nombre de la actividad"&amp;" · ","")&amp;IF(AND($V7="Sub",N($U7)=0),"Subactividad sin macroactividad arriba"&amp;" · ","")&amp;IF($AM7="","Sin fecha de inicio"&amp;" · ","")&amp;IF($AN7="","Sin fecha límite"&amp;" · ","")&amp;IF(AND(LEFT($C7,11)="[Jefatura] ",N($AL7)=0),"No se encuentra en la hoja de la jefatura (elíjala de nuevo en la lista)"&amp;" · ","")&amp;IF(OR(AND($E7&lt;&gt;"",NOT(ISNUMBER($E7))),AND($F7&lt;&gt;"",NOT(ISNUMBER($F7))),AND($G7&lt;&gt;"",NOT(ISNUMBER($G7)))),"Fecha no válida"&amp;" · ","")&amp;IF(AND(ISNUMBER($AM7),ISNUMBER($AN7),$AM7&gt;$AN7),"Inicio posterior a fecha límite"&amp;" · ","")&amp;IF(AND($V7="Macro",$H7&lt;&gt;"",OR(NOT(ISNUMBER($H7)),$H7&lt;0,$H7&gt;1)),"Peso fuera de rango"&amp;" · ","")&amp;IF(AND($V7="Sub",$H7&lt;&gt;""),"Las subactividades no llevan peso (valen igual dentro de su macroactividad)"&amp;" · ","")&amp;IF(AND(N($W7)&gt;0,COUNT($I7:$L7)&gt;0),"Con subactividades: deje vacías las semanas (se calculan solas)"&amp;" · ","")&amp;IF((COUNTIF($I7:$L7,"&gt;1")+COUNTIF($I7:$L7,"&lt;0")+COUNTA($I7:$L7)-COUNT($I7:$L7))&gt;0,"Avance fuera de rango 0-100%"&amp;" · ","")&amp;IF(OR(AND($J7&lt;&gt;"",$J7&lt;$I7),AND($K7&lt;&gt;"",$K7&lt;MAX($I7:$J7)),AND($L7&lt;&gt;"",$L7&lt;MAX($I7:$K7))),"Avance semanal decreciente"&amp;" · ","")&amp;IF(AND(ISNUMBER($AN7),$AN7&lt;FechaRef,IF($V7="Sub",N($X7),N($M7))&lt;1),"Vencida"&amp;" · ","")&amp;IF(AND(ObsObligatoria="Sí",ISNUMBER($AN7),$AN7&lt;FechaRef,IF($V7="Sub",N($X7),N($M7))&lt;1,$Q7=""),"Vencida sin observación"&amp;" · ",""))-3)))</f>
        <v/>
      </c>
      <c r="S7" s="64">
        <f>IF(NOT((COUNTA($B7:$D7)+COUNTA($G7:$L7)+COUNTA($Q7))&gt;0),"",IF(AND($V7="Sub",N($U7)&gt;0),IF(ISNUMBER(INDEX($AM$5:$AM$1000,$U7-4)),DATE(YEAR(INDEX($AM$5:$AM$1000,$U7-4)),MONTH(INDEX($AM$5:$AM$1000,$U7-4)),1),IF(ISNUMBER(INDEX($AN$5:$AN$1000,$U7-4)),DATE(YEAR(INDEX($AN$5:$AN$1000,$U7-4)),MONTH(INDEX($AN$5:$AN$1000,$U7-4)),1),MesCiclo)),IF(ISNUMBER($AM7),DATE(YEAR($AM7),MONTH($AM7),1),IF(ISNUMBER($AN7),DATE(YEAR($AN7),MONTH($AN7),1),MesCiclo))))</f>
        <v/>
      </c>
      <c r="T7" s="62">
        <f>IF(OR($S7="",$S7&lt;&gt;MesCiclo,$V7&lt;&gt;"Macro"),"",COUNTIFS($S$5:$S7,MesCiclo,$V$5:$V7,"Macro"))</f>
        <v/>
      </c>
      <c r="U7" s="62">
        <f>IF($V7="","",IF($V7="Macro",ROW(),IFERROR(LOOKUP(2,1/($V$5:$V7="Macro"),ROW($V$5:$V7)),0)))</f>
        <v/>
      </c>
      <c r="V7" s="62">
        <f>IF(NOT((COUNTA($B7:$D7)+COUNTA($G7:$L7)+COUNTA($Q7))&gt;0),"",IF($B7="Subactividad","Sub","Macro"))</f>
        <v/>
      </c>
      <c r="W7" s="62">
        <f>IF($V7="Macro",COUNTIFS($U$5:$U$1000,ROW(),$V$5:$V$1000,"Sub"),"")</f>
        <v/>
      </c>
      <c r="X7" s="62">
        <f>IF($V7="","",IF(ISNUMBER($G7),1,IFERROR(LOOKUP(2,1/($I7:$L7&lt;&gt;""),$I7:$L7),0)))</f>
        <v/>
      </c>
      <c r="Y7" s="62">
        <f>IF($V7="","",IF(AND(ISNUMBER($G7),$G7&lt;=IF($S7=MesCiclo,InicioCiclo,$S7+MOD(2-WEEKDAY($S7),7))+6),1,IF(ISNUMBER($I7),$I7,0)))</f>
        <v/>
      </c>
      <c r="Z7" s="62">
        <f>IF($V7="","",IF(AND(ISNUMBER($G7),$G7&lt;=IF($S7=MesCiclo,InicioCiclo,$S7+MOD(2-WEEKDAY($S7),7))+13),1,IF(ISNUMBER($J7),$J7,$Y7)))</f>
        <v/>
      </c>
      <c r="AA7" s="62">
        <f>IF($V7="","",IF(AND(ISNUMBER($G7),$G7&lt;=IF($S7=MesCiclo,InicioCiclo,$S7+MOD(2-WEEKDAY($S7),7))+20),1,IF(ISNUMBER($K7),$K7,$Z7)))</f>
        <v/>
      </c>
      <c r="AB7" s="62">
        <f>IF($V7="","",IF(AND(ISNUMBER($G7),$G7&lt;=IF($S7=MesCiclo,InicioCiclo,$S7+MOD(2-WEEKDAY($S7),7))+27),1,IF(ISNUMBER($L7),$L7,$AA7)))</f>
        <v/>
      </c>
      <c r="AC7" s="62">
        <f>IF($V7="","",IF(AND(ISNUMBER($G7),$G7&lt;=IF($S7=MesCiclo,InicioCiclo,$S7+MOD(2-WEEKDAY($S7),7))+6),1,IF(N($W7)&gt;0,AVERAGEIFS($Y$5:$Y$1000,$U$5:$U$1000,ROW(),$V$5:$V$1000,"Sub"),$Y7)))</f>
        <v/>
      </c>
      <c r="AD7" s="62">
        <f>IF($V7="","",IF(AND(ISNUMBER($G7),$G7&lt;=IF($S7=MesCiclo,InicioCiclo,$S7+MOD(2-WEEKDAY($S7),7))+13),1,IF(N($W7)&gt;0,AVERAGEIFS($Z$5:$Z$1000,$U$5:$U$1000,ROW(),$V$5:$V$1000,"Sub"),$Z7)))</f>
        <v/>
      </c>
      <c r="AE7" s="62">
        <f>IF($V7="","",IF(AND(ISNUMBER($G7),$G7&lt;=IF($S7=MesCiclo,InicioCiclo,$S7+MOD(2-WEEKDAY($S7),7))+20),1,IF(N($W7)&gt;0,AVERAGEIFS($AA$5:$AA$1000,$U$5:$U$1000,ROW(),$V$5:$V$1000,"Sub"),$AA7)))</f>
        <v/>
      </c>
      <c r="AF7" s="62">
        <f>IF($V7="","",IF(AND(ISNUMBER($G7),$G7&lt;=IF($S7=MesCiclo,InicioCiclo,$S7+MOD(2-WEEKDAY($S7),7))+27),1,IF(N($W7)&gt;0,AVERAGEIFS($AB$5:$AB$1000,$U$5:$U$1000,ROW(),$V$5:$V$1000,"Sub"),$AB7)))</f>
        <v/>
      </c>
      <c r="AG7" s="62">
        <f>IF($V7&lt;&gt;"Macro","",IF(COUNTIFS($S$5:$S$1000,$S7,$V$5:$V$1000,"Macro",$H$5:$H$1000,"&gt;0")=0,1/COUNTIFS($S$5:$S$1000,$S7,$V$5:$V$1000,"Macro"),IF(AND(ISNUMBER($H7),N($H7)&gt;0),$H7,SUMIFS($H$5:$H$1000,$S$5:$S$1000,$S7,$V$5:$V$1000,"Macro")/COUNTIFS($S$5:$S$1000,$S7,$V$5:$V$1000,"Macro",$H$5:$H$1000,"&gt;0"))/(COUNTIFS($S$5:$S$1000,$S7,$V$5:$V$1000,"Macro")*SUMIFS($H$5:$H$1000,$S$5:$S$1000,$S7,$V$5:$V$1000,"Macro")/COUNTIFS($S$5:$S$1000,$S7,$V$5:$V$1000,"Macro",$H$5:$H$1000,"&gt;0"))))</f>
        <v/>
      </c>
      <c r="AH7" s="62" t="n"/>
      <c r="AI7" s="62" t="n"/>
      <c r="AJ7" s="62" t="n"/>
      <c r="AK7" s="62" t="n"/>
      <c r="AL7" s="62">
        <f>IF(LEFT($C7,11)="[Jefatura] ",IFERROR(MATCH("Riesgo Financiero|"&amp;MID($C7,12,500),rDname_ADM,0),0),"")</f>
        <v/>
      </c>
      <c r="AM7" s="62">
        <f>IF(N($AL7)&gt;0,INDEX(rIni_ADM,$AL7),IF(ISNUMBER($E7),$E7,""))</f>
        <v/>
      </c>
      <c r="AN7" s="62">
        <f>IF(N($AL7)&gt;0,INDEX(rLim_ADM,$AL7),IF(ISNUMBER($F7),$F7,""))</f>
        <v/>
      </c>
    </row>
    <row r="8">
      <c r="A8" s="56">
        <f>IF(NOT((COUNTA($B8:$D8)+COUNTA($G8:$L8)+COUNTA($Q8))&gt;0),"",IF($V8="Macro",COUNTIFS($V$5:$V8,"Macro",$S$5:$S8,$S8),IF(N($U8)=0,"?",COUNTIFS(INDEX($V$5:$V$1000,1):INDEX($V$5:$V$1000,$U8-4),"Macro",INDEX($S$5:$S$1000,1):INDEX($S$5:$S$1000,$U8-4),INDEX($S$5:$S$1000,$U8-4))&amp;"."&amp;COUNTIFS($U$5:$U8,$U8,$V$5:$V8,"Sub"))))</f>
        <v/>
      </c>
      <c r="B8" s="57" t="n"/>
      <c r="C8" s="58" t="n"/>
      <c r="D8" s="58" t="n"/>
      <c r="E8" s="59">
        <f>IF(N($AL8)&gt;0,INDEX(rIni_ADM,$AL8),"")</f>
        <v/>
      </c>
      <c r="F8" s="59">
        <f>IF(N($AL8)&gt;0,INDEX(rLim_ADM,$AL8),"")</f>
        <v/>
      </c>
      <c r="G8" s="59" t="n"/>
      <c r="H8" s="60" t="n"/>
      <c r="I8" s="60" t="n"/>
      <c r="J8" s="60" t="n"/>
      <c r="K8" s="60" t="n"/>
      <c r="L8" s="60" t="n"/>
      <c r="M8" s="61">
        <f>IF(NOT((COUNTA($B8:$D8)+COUNTA($G8:$L8)+COUNTA($Q8))&gt;0),"",IF($V8="Sub",IFERROR($X8/INDEX($W$5:$W$1000,$U8-4),""),IF(ISNUMBER($G8),1,IF(N($W8)&gt;0,AVERAGEIFS($X$5:$X$1000,$U$5:$U$1000,ROW(),$V$5:$V$1000,"Sub"),$X8))))</f>
        <v/>
      </c>
      <c r="N8" s="56">
        <f>IF(OR($M8="",$V8="Sub"),"",IF($M8&gt;=1,"Completado",IF($M8&gt;0,"En curso","Pendiente")))</f>
        <v/>
      </c>
      <c r="O8" s="56">
        <f>IF(OR(NOT((COUNTA($B8:$D8)+COUNTA($G8:$L8)+COUNTA($Q8))&gt;0),$V8="Sub"),"",IF(ISNUMBER($G8),IF(AND(ISNUMBER($AN8),$G8&gt;$AN8),"Cumplida con "&amp;($G8-$AN8)&amp;IF($G8-$AN8=1," día"," días")&amp;" de retraso","Cumplida"),IF(N($M8)&gt;=1,"Cumplida",IF(NOT(ISNUMBER($AN8)),"Sin fecha límite",IF($AN8&lt;FechaRef,"Vencida hace "&amp;(FechaRef-$AN8)&amp;IF(FechaRef-$AN8=1," día"," días"),IF($AN8=FechaRef,"Vence hoy",IF($AN8-FechaRef&lt;=DiasAlerta,"Vence en "&amp;($AN8-FechaRef)&amp;IF($AN8-FechaRef=1," día"," días"),"En plazo")))))))</f>
        <v/>
      </c>
      <c r="P8" s="62" t="n"/>
      <c r="Q8" s="58" t="n"/>
      <c r="R8" s="63">
        <f>IF(NOT((COUNTA($B8:$D8)+COUNTA($G8:$L8)+COUNTA($Q8))&gt;0),"",IF((IF($C8="","Falta el nombre de la actividad"&amp;" · ","")&amp;IF(AND($V8="Sub",N($U8)=0),"Subactividad sin macroactividad arriba"&amp;" · ","")&amp;IF($AM8="","Sin fecha de inicio"&amp;" · ","")&amp;IF($AN8="","Sin fecha límite"&amp;" · ","")&amp;IF(AND(LEFT($C8,11)="[Jefatura] ",N($AL8)=0),"No se encuentra en la hoja de la jefatura (elíjala de nuevo en la lista)"&amp;" · ","")&amp;IF(OR(AND($E8&lt;&gt;"",NOT(ISNUMBER($E8))),AND($F8&lt;&gt;"",NOT(ISNUMBER($F8))),AND($G8&lt;&gt;"",NOT(ISNUMBER($G8)))),"Fecha no válida"&amp;" · ","")&amp;IF(AND(ISNUMBER($AM8),ISNUMBER($AN8),$AM8&gt;$AN8),"Inicio posterior a fecha límite"&amp;" · ","")&amp;IF(AND($V8="Macro",$H8&lt;&gt;"",OR(NOT(ISNUMBER($H8)),$H8&lt;0,$H8&gt;1)),"Peso fuera de rango"&amp;" · ","")&amp;IF(AND($V8="Sub",$H8&lt;&gt;""),"Las subactividades no llevan peso (valen igual dentro de su macroactividad)"&amp;" · ","")&amp;IF(AND(N($W8)&gt;0,COUNT($I8:$L8)&gt;0),"Con subactividades: deje vacías las semanas (se calculan solas)"&amp;" · ","")&amp;IF((COUNTIF($I8:$L8,"&gt;1")+COUNTIF($I8:$L8,"&lt;0")+COUNTA($I8:$L8)-COUNT($I8:$L8))&gt;0,"Avance fuera de rango 0-100%"&amp;" · ","")&amp;IF(OR(AND($J8&lt;&gt;"",$J8&lt;$I8),AND($K8&lt;&gt;"",$K8&lt;MAX($I8:$J8)),AND($L8&lt;&gt;"",$L8&lt;MAX($I8:$K8))),"Avance semanal decreciente"&amp;" · ","")&amp;IF(AND(ISNUMBER($AN8),$AN8&lt;FechaRef,IF($V8="Sub",N($X8),N($M8))&lt;1),"Vencida"&amp;" · ","")&amp;IF(AND(ObsObligatoria="Sí",ISNUMBER($AN8),$AN8&lt;FechaRef,IF($V8="Sub",N($X8),N($M8))&lt;1,$Q8=""),"Vencida sin observación"&amp;" · ",""))="","✔ OK","⚠ "&amp;LEFT(IF($C8="","Falta el nombre de la actividad"&amp;" · ","")&amp;IF(AND($V8="Sub",N($U8)=0),"Subactividad sin macroactividad arriba"&amp;" · ","")&amp;IF($AM8="","Sin fecha de inicio"&amp;" · ","")&amp;IF($AN8="","Sin fecha límite"&amp;" · ","")&amp;IF(AND(LEFT($C8,11)="[Jefatura] ",N($AL8)=0),"No se encuentra en la hoja de la jefatura (elíjala de nuevo en la lista)"&amp;" · ","")&amp;IF(OR(AND($E8&lt;&gt;"",NOT(ISNUMBER($E8))),AND($F8&lt;&gt;"",NOT(ISNUMBER($F8))),AND($G8&lt;&gt;"",NOT(ISNUMBER($G8)))),"Fecha no válida"&amp;" · ","")&amp;IF(AND(ISNUMBER($AM8),ISNUMBER($AN8),$AM8&gt;$AN8),"Inicio posterior a fecha límite"&amp;" · ","")&amp;IF(AND($V8="Macro",$H8&lt;&gt;"",OR(NOT(ISNUMBER($H8)),$H8&lt;0,$H8&gt;1)),"Peso fuera de rango"&amp;" · ","")&amp;IF(AND($V8="Sub",$H8&lt;&gt;""),"Las subactividades no llevan peso (valen igual dentro de su macroactividad)"&amp;" · ","")&amp;IF(AND(N($W8)&gt;0,COUNT($I8:$L8)&gt;0),"Con subactividades: deje vacías las semanas (se calculan solas)"&amp;" · ","")&amp;IF((COUNTIF($I8:$L8,"&gt;1")+COUNTIF($I8:$L8,"&lt;0")+COUNTA($I8:$L8)-COUNT($I8:$L8))&gt;0,"Avance fuera de rango 0-100%"&amp;" · ","")&amp;IF(OR(AND($J8&lt;&gt;"",$J8&lt;$I8),AND($K8&lt;&gt;"",$K8&lt;MAX($I8:$J8)),AND($L8&lt;&gt;"",$L8&lt;MAX($I8:$K8))),"Avance semanal decreciente"&amp;" · ","")&amp;IF(AND(ISNUMBER($AN8),$AN8&lt;FechaRef,IF($V8="Sub",N($X8),N($M8))&lt;1),"Vencida"&amp;" · ","")&amp;IF(AND(ObsObligatoria="Sí",ISNUMBER($AN8),$AN8&lt;FechaRef,IF($V8="Sub",N($X8),N($M8))&lt;1,$Q8=""),"Vencida sin observación"&amp;" · ",""),LEN(IF($C8="","Falta el nombre de la actividad"&amp;" · ","")&amp;IF(AND($V8="Sub",N($U8)=0),"Subactividad sin macroactividad arriba"&amp;" · ","")&amp;IF($AM8="","Sin fecha de inicio"&amp;" · ","")&amp;IF($AN8="","Sin fecha límite"&amp;" · ","")&amp;IF(AND(LEFT($C8,11)="[Jefatura] ",N($AL8)=0),"No se encuentra en la hoja de la jefatura (elíjala de nuevo en la lista)"&amp;" · ","")&amp;IF(OR(AND($E8&lt;&gt;"",NOT(ISNUMBER($E8))),AND($F8&lt;&gt;"",NOT(ISNUMBER($F8))),AND($G8&lt;&gt;"",NOT(ISNUMBER($G8)))),"Fecha no válida"&amp;" · ","")&amp;IF(AND(ISNUMBER($AM8),ISNUMBER($AN8),$AM8&gt;$AN8),"Inicio posterior a fecha límite"&amp;" · ","")&amp;IF(AND($V8="Macro",$H8&lt;&gt;"",OR(NOT(ISNUMBER($H8)),$H8&lt;0,$H8&gt;1)),"Peso fuera de rango"&amp;" · ","")&amp;IF(AND($V8="Sub",$H8&lt;&gt;""),"Las subactividades no llevan peso (valen igual dentro de su macroactividad)"&amp;" · ","")&amp;IF(AND(N($W8)&gt;0,COUNT($I8:$L8)&gt;0),"Con subactividades: deje vacías las semanas (se calculan solas)"&amp;" · ","")&amp;IF((COUNTIF($I8:$L8,"&gt;1")+COUNTIF($I8:$L8,"&lt;0")+COUNTA($I8:$L8)-COUNT($I8:$L8))&gt;0,"Avance fuera de rango 0-100%"&amp;" · ","")&amp;IF(OR(AND($J8&lt;&gt;"",$J8&lt;$I8),AND($K8&lt;&gt;"",$K8&lt;MAX($I8:$J8)),AND($L8&lt;&gt;"",$L8&lt;MAX($I8:$K8))),"Avance semanal decreciente"&amp;" · ","")&amp;IF(AND(ISNUMBER($AN8),$AN8&lt;FechaRef,IF($V8="Sub",N($X8),N($M8))&lt;1),"Vencida"&amp;" · ","")&amp;IF(AND(ObsObligatoria="Sí",ISNUMBER($AN8),$AN8&lt;FechaRef,IF($V8="Sub",N($X8),N($M8))&lt;1,$Q8=""),"Vencida sin observación"&amp;" · ",""))-3)))</f>
        <v/>
      </c>
      <c r="S8" s="64">
        <f>IF(NOT((COUNTA($B8:$D8)+COUNTA($G8:$L8)+COUNTA($Q8))&gt;0),"",IF(AND($V8="Sub",N($U8)&gt;0),IF(ISNUMBER(INDEX($AM$5:$AM$1000,$U8-4)),DATE(YEAR(INDEX($AM$5:$AM$1000,$U8-4)),MONTH(INDEX($AM$5:$AM$1000,$U8-4)),1),IF(ISNUMBER(INDEX($AN$5:$AN$1000,$U8-4)),DATE(YEAR(INDEX($AN$5:$AN$1000,$U8-4)),MONTH(INDEX($AN$5:$AN$1000,$U8-4)),1),MesCiclo)),IF(ISNUMBER($AM8),DATE(YEAR($AM8),MONTH($AM8),1),IF(ISNUMBER($AN8),DATE(YEAR($AN8),MONTH($AN8),1),MesCiclo))))</f>
        <v/>
      </c>
      <c r="T8" s="62">
        <f>IF(OR($S8="",$S8&lt;&gt;MesCiclo,$V8&lt;&gt;"Macro"),"",COUNTIFS($S$5:$S8,MesCiclo,$V$5:$V8,"Macro"))</f>
        <v/>
      </c>
      <c r="U8" s="62">
        <f>IF($V8="","",IF($V8="Macro",ROW(),IFERROR(LOOKUP(2,1/($V$5:$V8="Macro"),ROW($V$5:$V8)),0)))</f>
        <v/>
      </c>
      <c r="V8" s="62">
        <f>IF(NOT((COUNTA($B8:$D8)+COUNTA($G8:$L8)+COUNTA($Q8))&gt;0),"",IF($B8="Subactividad","Sub","Macro"))</f>
        <v/>
      </c>
      <c r="W8" s="62">
        <f>IF($V8="Macro",COUNTIFS($U$5:$U$1000,ROW(),$V$5:$V$1000,"Sub"),"")</f>
        <v/>
      </c>
      <c r="X8" s="62">
        <f>IF($V8="","",IF(ISNUMBER($G8),1,IFERROR(LOOKUP(2,1/($I8:$L8&lt;&gt;""),$I8:$L8),0)))</f>
        <v/>
      </c>
      <c r="Y8" s="62">
        <f>IF($V8="","",IF(AND(ISNUMBER($G8),$G8&lt;=IF($S8=MesCiclo,InicioCiclo,$S8+MOD(2-WEEKDAY($S8),7))+6),1,IF(ISNUMBER($I8),$I8,0)))</f>
        <v/>
      </c>
      <c r="Z8" s="62">
        <f>IF($V8="","",IF(AND(ISNUMBER($G8),$G8&lt;=IF($S8=MesCiclo,InicioCiclo,$S8+MOD(2-WEEKDAY($S8),7))+13),1,IF(ISNUMBER($J8),$J8,$Y8)))</f>
        <v/>
      </c>
      <c r="AA8" s="62">
        <f>IF($V8="","",IF(AND(ISNUMBER($G8),$G8&lt;=IF($S8=MesCiclo,InicioCiclo,$S8+MOD(2-WEEKDAY($S8),7))+20),1,IF(ISNUMBER($K8),$K8,$Z8)))</f>
        <v/>
      </c>
      <c r="AB8" s="62">
        <f>IF($V8="","",IF(AND(ISNUMBER($G8),$G8&lt;=IF($S8=MesCiclo,InicioCiclo,$S8+MOD(2-WEEKDAY($S8),7))+27),1,IF(ISNUMBER($L8),$L8,$AA8)))</f>
        <v/>
      </c>
      <c r="AC8" s="62">
        <f>IF($V8="","",IF(AND(ISNUMBER($G8),$G8&lt;=IF($S8=MesCiclo,InicioCiclo,$S8+MOD(2-WEEKDAY($S8),7))+6),1,IF(N($W8)&gt;0,AVERAGEIFS($Y$5:$Y$1000,$U$5:$U$1000,ROW(),$V$5:$V$1000,"Sub"),$Y8)))</f>
        <v/>
      </c>
      <c r="AD8" s="62">
        <f>IF($V8="","",IF(AND(ISNUMBER($G8),$G8&lt;=IF($S8=MesCiclo,InicioCiclo,$S8+MOD(2-WEEKDAY($S8),7))+13),1,IF(N($W8)&gt;0,AVERAGEIFS($Z$5:$Z$1000,$U$5:$U$1000,ROW(),$V$5:$V$1000,"Sub"),$Z8)))</f>
        <v/>
      </c>
      <c r="AE8" s="62">
        <f>IF($V8="","",IF(AND(ISNUMBER($G8),$G8&lt;=IF($S8=MesCiclo,InicioCiclo,$S8+MOD(2-WEEKDAY($S8),7))+20),1,IF(N($W8)&gt;0,AVERAGEIFS($AA$5:$AA$1000,$U$5:$U$1000,ROW(),$V$5:$V$1000,"Sub"),$AA8)))</f>
        <v/>
      </c>
      <c r="AF8" s="62">
        <f>IF($V8="","",IF(AND(ISNUMBER($G8),$G8&lt;=IF($S8=MesCiclo,InicioCiclo,$S8+MOD(2-WEEKDAY($S8),7))+27),1,IF(N($W8)&gt;0,AVERAGEIFS($AB$5:$AB$1000,$U$5:$U$1000,ROW(),$V$5:$V$1000,"Sub"),$AB8)))</f>
        <v/>
      </c>
      <c r="AG8" s="62">
        <f>IF($V8&lt;&gt;"Macro","",IF(COUNTIFS($S$5:$S$1000,$S8,$V$5:$V$1000,"Macro",$H$5:$H$1000,"&gt;0")=0,1/COUNTIFS($S$5:$S$1000,$S8,$V$5:$V$1000,"Macro"),IF(AND(ISNUMBER($H8),N($H8)&gt;0),$H8,SUMIFS($H$5:$H$1000,$S$5:$S$1000,$S8,$V$5:$V$1000,"Macro")/COUNTIFS($S$5:$S$1000,$S8,$V$5:$V$1000,"Macro",$H$5:$H$1000,"&gt;0"))/(COUNTIFS($S$5:$S$1000,$S8,$V$5:$V$1000,"Macro")*SUMIFS($H$5:$H$1000,$S$5:$S$1000,$S8,$V$5:$V$1000,"Macro")/COUNTIFS($S$5:$S$1000,$S8,$V$5:$V$1000,"Macro",$H$5:$H$1000,"&gt;0"))))</f>
        <v/>
      </c>
      <c r="AH8" s="62" t="n"/>
      <c r="AI8" s="62" t="n"/>
      <c r="AJ8" s="62" t="n"/>
      <c r="AK8" s="62" t="n"/>
      <c r="AL8" s="62">
        <f>IF(LEFT($C8,11)="[Jefatura] ",IFERROR(MATCH("Riesgo Financiero|"&amp;MID($C8,12,500),rDname_ADM,0),0),"")</f>
        <v/>
      </c>
      <c r="AM8" s="62">
        <f>IF(N($AL8)&gt;0,INDEX(rIni_ADM,$AL8),IF(ISNUMBER($E8),$E8,""))</f>
        <v/>
      </c>
      <c r="AN8" s="62">
        <f>IF(N($AL8)&gt;0,INDEX(rLim_ADM,$AL8),IF(ISNUMBER($F8),$F8,""))</f>
        <v/>
      </c>
    </row>
    <row r="9">
      <c r="A9" s="56">
        <f>IF(NOT((COUNTA($B9:$D9)+COUNTA($G9:$L9)+COUNTA($Q9))&gt;0),"",IF($V9="Macro",COUNTIFS($V$5:$V9,"Macro",$S$5:$S9,$S9),IF(N($U9)=0,"?",COUNTIFS(INDEX($V$5:$V$1000,1):INDEX($V$5:$V$1000,$U9-4),"Macro",INDEX($S$5:$S$1000,1):INDEX($S$5:$S$1000,$U9-4),INDEX($S$5:$S$1000,$U9-4))&amp;"."&amp;COUNTIFS($U$5:$U9,$U9,$V$5:$V9,"Sub"))))</f>
        <v/>
      </c>
      <c r="B9" s="57" t="n"/>
      <c r="C9" s="58" t="n"/>
      <c r="D9" s="58" t="n"/>
      <c r="E9" s="59">
        <f>IF(N($AL9)&gt;0,INDEX(rIni_ADM,$AL9),"")</f>
        <v/>
      </c>
      <c r="F9" s="59">
        <f>IF(N($AL9)&gt;0,INDEX(rLim_ADM,$AL9),"")</f>
        <v/>
      </c>
      <c r="G9" s="59" t="n"/>
      <c r="H9" s="60" t="n"/>
      <c r="I9" s="60" t="n"/>
      <c r="J9" s="60" t="n"/>
      <c r="K9" s="60" t="n"/>
      <c r="L9" s="60" t="n"/>
      <c r="M9" s="61">
        <f>IF(NOT((COUNTA($B9:$D9)+COUNTA($G9:$L9)+COUNTA($Q9))&gt;0),"",IF($V9="Sub",IFERROR($X9/INDEX($W$5:$W$1000,$U9-4),""),IF(ISNUMBER($G9),1,IF(N($W9)&gt;0,AVERAGEIFS($X$5:$X$1000,$U$5:$U$1000,ROW(),$V$5:$V$1000,"Sub"),$X9))))</f>
        <v/>
      </c>
      <c r="N9" s="56">
        <f>IF(OR($M9="",$V9="Sub"),"",IF($M9&gt;=1,"Completado",IF($M9&gt;0,"En curso","Pendiente")))</f>
        <v/>
      </c>
      <c r="O9" s="56">
        <f>IF(OR(NOT((COUNTA($B9:$D9)+COUNTA($G9:$L9)+COUNTA($Q9))&gt;0),$V9="Sub"),"",IF(ISNUMBER($G9),IF(AND(ISNUMBER($AN9),$G9&gt;$AN9),"Cumplida con "&amp;($G9-$AN9)&amp;IF($G9-$AN9=1," día"," días")&amp;" de retraso","Cumplida"),IF(N($M9)&gt;=1,"Cumplida",IF(NOT(ISNUMBER($AN9)),"Sin fecha límite",IF($AN9&lt;FechaRef,"Vencida hace "&amp;(FechaRef-$AN9)&amp;IF(FechaRef-$AN9=1," día"," días"),IF($AN9=FechaRef,"Vence hoy",IF($AN9-FechaRef&lt;=DiasAlerta,"Vence en "&amp;($AN9-FechaRef)&amp;IF($AN9-FechaRef=1," día"," días"),"En plazo")))))))</f>
        <v/>
      </c>
      <c r="P9" s="62" t="n"/>
      <c r="Q9" s="58" t="n"/>
      <c r="R9" s="63">
        <f>IF(NOT((COUNTA($B9:$D9)+COUNTA($G9:$L9)+COUNTA($Q9))&gt;0),"",IF((IF($C9="","Falta el nombre de la actividad"&amp;" · ","")&amp;IF(AND($V9="Sub",N($U9)=0),"Subactividad sin macroactividad arriba"&amp;" · ","")&amp;IF($AM9="","Sin fecha de inicio"&amp;" · ","")&amp;IF($AN9="","Sin fecha límite"&amp;" · ","")&amp;IF(AND(LEFT($C9,11)="[Jefatura] ",N($AL9)=0),"No se encuentra en la hoja de la jefatura (elíjala de nuevo en la lista)"&amp;" · ","")&amp;IF(OR(AND($E9&lt;&gt;"",NOT(ISNUMBER($E9))),AND($F9&lt;&gt;"",NOT(ISNUMBER($F9))),AND($G9&lt;&gt;"",NOT(ISNUMBER($G9)))),"Fecha no válida"&amp;" · ","")&amp;IF(AND(ISNUMBER($AM9),ISNUMBER($AN9),$AM9&gt;$AN9),"Inicio posterior a fecha límite"&amp;" · ","")&amp;IF(AND($V9="Macro",$H9&lt;&gt;"",OR(NOT(ISNUMBER($H9)),$H9&lt;0,$H9&gt;1)),"Peso fuera de rango"&amp;" · ","")&amp;IF(AND($V9="Sub",$H9&lt;&gt;""),"Las subactividades no llevan peso (valen igual dentro de su macroactividad)"&amp;" · ","")&amp;IF(AND(N($W9)&gt;0,COUNT($I9:$L9)&gt;0),"Con subactividades: deje vacías las semanas (se calculan solas)"&amp;" · ","")&amp;IF((COUNTIF($I9:$L9,"&gt;1")+COUNTIF($I9:$L9,"&lt;0")+COUNTA($I9:$L9)-COUNT($I9:$L9))&gt;0,"Avance fuera de rango 0-100%"&amp;" · ","")&amp;IF(OR(AND($J9&lt;&gt;"",$J9&lt;$I9),AND($K9&lt;&gt;"",$K9&lt;MAX($I9:$J9)),AND($L9&lt;&gt;"",$L9&lt;MAX($I9:$K9))),"Avance semanal decreciente"&amp;" · ","")&amp;IF(AND(ISNUMBER($AN9),$AN9&lt;FechaRef,IF($V9="Sub",N($X9),N($M9))&lt;1),"Vencida"&amp;" · ","")&amp;IF(AND(ObsObligatoria="Sí",ISNUMBER($AN9),$AN9&lt;FechaRef,IF($V9="Sub",N($X9),N($M9))&lt;1,$Q9=""),"Vencida sin observación"&amp;" · ",""))="","✔ OK","⚠ "&amp;LEFT(IF($C9="","Falta el nombre de la actividad"&amp;" · ","")&amp;IF(AND($V9="Sub",N($U9)=0),"Subactividad sin macroactividad arriba"&amp;" · ","")&amp;IF($AM9="","Sin fecha de inicio"&amp;" · ","")&amp;IF($AN9="","Sin fecha límite"&amp;" · ","")&amp;IF(AND(LEFT($C9,11)="[Jefatura] ",N($AL9)=0),"No se encuentra en la hoja de la jefatura (elíjala de nuevo en la lista)"&amp;" · ","")&amp;IF(OR(AND($E9&lt;&gt;"",NOT(ISNUMBER($E9))),AND($F9&lt;&gt;"",NOT(ISNUMBER($F9))),AND($G9&lt;&gt;"",NOT(ISNUMBER($G9)))),"Fecha no válida"&amp;" · ","")&amp;IF(AND(ISNUMBER($AM9),ISNUMBER($AN9),$AM9&gt;$AN9),"Inicio posterior a fecha límite"&amp;" · ","")&amp;IF(AND($V9="Macro",$H9&lt;&gt;"",OR(NOT(ISNUMBER($H9)),$H9&lt;0,$H9&gt;1)),"Peso fuera de rango"&amp;" · ","")&amp;IF(AND($V9="Sub",$H9&lt;&gt;""),"Las subactividades no llevan peso (valen igual dentro de su macroactividad)"&amp;" · ","")&amp;IF(AND(N($W9)&gt;0,COUNT($I9:$L9)&gt;0),"Con subactividades: deje vacías las semanas (se calculan solas)"&amp;" · ","")&amp;IF((COUNTIF($I9:$L9,"&gt;1")+COUNTIF($I9:$L9,"&lt;0")+COUNTA($I9:$L9)-COUNT($I9:$L9))&gt;0,"Avance fuera de rango 0-100%"&amp;" · ","")&amp;IF(OR(AND($J9&lt;&gt;"",$J9&lt;$I9),AND($K9&lt;&gt;"",$K9&lt;MAX($I9:$J9)),AND($L9&lt;&gt;"",$L9&lt;MAX($I9:$K9))),"Avance semanal decreciente"&amp;" · ","")&amp;IF(AND(ISNUMBER($AN9),$AN9&lt;FechaRef,IF($V9="Sub",N($X9),N($M9))&lt;1),"Vencida"&amp;" · ","")&amp;IF(AND(ObsObligatoria="Sí",ISNUMBER($AN9),$AN9&lt;FechaRef,IF($V9="Sub",N($X9),N($M9))&lt;1,$Q9=""),"Vencida sin observación"&amp;" · ",""),LEN(IF($C9="","Falta el nombre de la actividad"&amp;" · ","")&amp;IF(AND($V9="Sub",N($U9)=0),"Subactividad sin macroactividad arriba"&amp;" · ","")&amp;IF($AM9="","Sin fecha de inicio"&amp;" · ","")&amp;IF($AN9="","Sin fecha límite"&amp;" · ","")&amp;IF(AND(LEFT($C9,11)="[Jefatura] ",N($AL9)=0),"No se encuentra en la hoja de la jefatura (elíjala de nuevo en la lista)"&amp;" · ","")&amp;IF(OR(AND($E9&lt;&gt;"",NOT(ISNUMBER($E9))),AND($F9&lt;&gt;"",NOT(ISNUMBER($F9))),AND($G9&lt;&gt;"",NOT(ISNUMBER($G9)))),"Fecha no válida"&amp;" · ","")&amp;IF(AND(ISNUMBER($AM9),ISNUMBER($AN9),$AM9&gt;$AN9),"Inicio posterior a fecha límite"&amp;" · ","")&amp;IF(AND($V9="Macro",$H9&lt;&gt;"",OR(NOT(ISNUMBER($H9)),$H9&lt;0,$H9&gt;1)),"Peso fuera de rango"&amp;" · ","")&amp;IF(AND($V9="Sub",$H9&lt;&gt;""),"Las subactividades no llevan peso (valen igual dentro de su macroactividad)"&amp;" · ","")&amp;IF(AND(N($W9)&gt;0,COUNT($I9:$L9)&gt;0),"Con subactividades: deje vacías las semanas (se calculan solas)"&amp;" · ","")&amp;IF((COUNTIF($I9:$L9,"&gt;1")+COUNTIF($I9:$L9,"&lt;0")+COUNTA($I9:$L9)-COUNT($I9:$L9))&gt;0,"Avance fuera de rango 0-100%"&amp;" · ","")&amp;IF(OR(AND($J9&lt;&gt;"",$J9&lt;$I9),AND($K9&lt;&gt;"",$K9&lt;MAX($I9:$J9)),AND($L9&lt;&gt;"",$L9&lt;MAX($I9:$K9))),"Avance semanal decreciente"&amp;" · ","")&amp;IF(AND(ISNUMBER($AN9),$AN9&lt;FechaRef,IF($V9="Sub",N($X9),N($M9))&lt;1),"Vencida"&amp;" · ","")&amp;IF(AND(ObsObligatoria="Sí",ISNUMBER($AN9),$AN9&lt;FechaRef,IF($V9="Sub",N($X9),N($M9))&lt;1,$Q9=""),"Vencida sin observación"&amp;" · ",""))-3)))</f>
        <v/>
      </c>
      <c r="S9" s="64">
        <f>IF(NOT((COUNTA($B9:$D9)+COUNTA($G9:$L9)+COUNTA($Q9))&gt;0),"",IF(AND($V9="Sub",N($U9)&gt;0),IF(ISNUMBER(INDEX($AM$5:$AM$1000,$U9-4)),DATE(YEAR(INDEX($AM$5:$AM$1000,$U9-4)),MONTH(INDEX($AM$5:$AM$1000,$U9-4)),1),IF(ISNUMBER(INDEX($AN$5:$AN$1000,$U9-4)),DATE(YEAR(INDEX($AN$5:$AN$1000,$U9-4)),MONTH(INDEX($AN$5:$AN$1000,$U9-4)),1),MesCiclo)),IF(ISNUMBER($AM9),DATE(YEAR($AM9),MONTH($AM9),1),IF(ISNUMBER($AN9),DATE(YEAR($AN9),MONTH($AN9),1),MesCiclo))))</f>
        <v/>
      </c>
      <c r="T9" s="62">
        <f>IF(OR($S9="",$S9&lt;&gt;MesCiclo,$V9&lt;&gt;"Macro"),"",COUNTIFS($S$5:$S9,MesCiclo,$V$5:$V9,"Macro"))</f>
        <v/>
      </c>
      <c r="U9" s="62">
        <f>IF($V9="","",IF($V9="Macro",ROW(),IFERROR(LOOKUP(2,1/($V$5:$V9="Macro"),ROW($V$5:$V9)),0)))</f>
        <v/>
      </c>
      <c r="V9" s="62">
        <f>IF(NOT((COUNTA($B9:$D9)+COUNTA($G9:$L9)+COUNTA($Q9))&gt;0),"",IF($B9="Subactividad","Sub","Macro"))</f>
        <v/>
      </c>
      <c r="W9" s="62">
        <f>IF($V9="Macro",COUNTIFS($U$5:$U$1000,ROW(),$V$5:$V$1000,"Sub"),"")</f>
        <v/>
      </c>
      <c r="X9" s="62">
        <f>IF($V9="","",IF(ISNUMBER($G9),1,IFERROR(LOOKUP(2,1/($I9:$L9&lt;&gt;""),$I9:$L9),0)))</f>
        <v/>
      </c>
      <c r="Y9" s="62">
        <f>IF($V9="","",IF(AND(ISNUMBER($G9),$G9&lt;=IF($S9=MesCiclo,InicioCiclo,$S9+MOD(2-WEEKDAY($S9),7))+6),1,IF(ISNUMBER($I9),$I9,0)))</f>
        <v/>
      </c>
      <c r="Z9" s="62">
        <f>IF($V9="","",IF(AND(ISNUMBER($G9),$G9&lt;=IF($S9=MesCiclo,InicioCiclo,$S9+MOD(2-WEEKDAY($S9),7))+13),1,IF(ISNUMBER($J9),$J9,$Y9)))</f>
        <v/>
      </c>
      <c r="AA9" s="62">
        <f>IF($V9="","",IF(AND(ISNUMBER($G9),$G9&lt;=IF($S9=MesCiclo,InicioCiclo,$S9+MOD(2-WEEKDAY($S9),7))+20),1,IF(ISNUMBER($K9),$K9,$Z9)))</f>
        <v/>
      </c>
      <c r="AB9" s="62">
        <f>IF($V9="","",IF(AND(ISNUMBER($G9),$G9&lt;=IF($S9=MesCiclo,InicioCiclo,$S9+MOD(2-WEEKDAY($S9),7))+27),1,IF(ISNUMBER($L9),$L9,$AA9)))</f>
        <v/>
      </c>
      <c r="AC9" s="62">
        <f>IF($V9="","",IF(AND(ISNUMBER($G9),$G9&lt;=IF($S9=MesCiclo,InicioCiclo,$S9+MOD(2-WEEKDAY($S9),7))+6),1,IF(N($W9)&gt;0,AVERAGEIFS($Y$5:$Y$1000,$U$5:$U$1000,ROW(),$V$5:$V$1000,"Sub"),$Y9)))</f>
        <v/>
      </c>
      <c r="AD9" s="62">
        <f>IF($V9="","",IF(AND(ISNUMBER($G9),$G9&lt;=IF($S9=MesCiclo,InicioCiclo,$S9+MOD(2-WEEKDAY($S9),7))+13),1,IF(N($W9)&gt;0,AVERAGEIFS($Z$5:$Z$1000,$U$5:$U$1000,ROW(),$V$5:$V$1000,"Sub"),$Z9)))</f>
        <v/>
      </c>
      <c r="AE9" s="62">
        <f>IF($V9="","",IF(AND(ISNUMBER($G9),$G9&lt;=IF($S9=MesCiclo,InicioCiclo,$S9+MOD(2-WEEKDAY($S9),7))+20),1,IF(N($W9)&gt;0,AVERAGEIFS($AA$5:$AA$1000,$U$5:$U$1000,ROW(),$V$5:$V$1000,"Sub"),$AA9)))</f>
        <v/>
      </c>
      <c r="AF9" s="62">
        <f>IF($V9="","",IF(AND(ISNUMBER($G9),$G9&lt;=IF($S9=MesCiclo,InicioCiclo,$S9+MOD(2-WEEKDAY($S9),7))+27),1,IF(N($W9)&gt;0,AVERAGEIFS($AB$5:$AB$1000,$U$5:$U$1000,ROW(),$V$5:$V$1000,"Sub"),$AB9)))</f>
        <v/>
      </c>
      <c r="AG9" s="62">
        <f>IF($V9&lt;&gt;"Macro","",IF(COUNTIFS($S$5:$S$1000,$S9,$V$5:$V$1000,"Macro",$H$5:$H$1000,"&gt;0")=0,1/COUNTIFS($S$5:$S$1000,$S9,$V$5:$V$1000,"Macro"),IF(AND(ISNUMBER($H9),N($H9)&gt;0),$H9,SUMIFS($H$5:$H$1000,$S$5:$S$1000,$S9,$V$5:$V$1000,"Macro")/COUNTIFS($S$5:$S$1000,$S9,$V$5:$V$1000,"Macro",$H$5:$H$1000,"&gt;0"))/(COUNTIFS($S$5:$S$1000,$S9,$V$5:$V$1000,"Macro")*SUMIFS($H$5:$H$1000,$S$5:$S$1000,$S9,$V$5:$V$1000,"Macro")/COUNTIFS($S$5:$S$1000,$S9,$V$5:$V$1000,"Macro",$H$5:$H$1000,"&gt;0"))))</f>
        <v/>
      </c>
      <c r="AH9" s="62" t="n"/>
      <c r="AI9" s="62" t="n"/>
      <c r="AJ9" s="62" t="n"/>
      <c r="AK9" s="62" t="n"/>
      <c r="AL9" s="62">
        <f>IF(LEFT($C9,11)="[Jefatura] ",IFERROR(MATCH("Riesgo Financiero|"&amp;MID($C9,12,500),rDname_ADM,0),0),"")</f>
        <v/>
      </c>
      <c r="AM9" s="62">
        <f>IF(N($AL9)&gt;0,INDEX(rIni_ADM,$AL9),IF(ISNUMBER($E9),$E9,""))</f>
        <v/>
      </c>
      <c r="AN9" s="62">
        <f>IF(N($AL9)&gt;0,INDEX(rLim_ADM,$AL9),IF(ISNUMBER($F9),$F9,""))</f>
        <v/>
      </c>
    </row>
    <row r="10">
      <c r="A10" s="56">
        <f>IF(NOT((COUNTA($B10:$D10)+COUNTA($G10:$L10)+COUNTA($Q10))&gt;0),"",IF($V10="Macro",COUNTIFS($V$5:$V10,"Macro",$S$5:$S10,$S10),IF(N($U10)=0,"?",COUNTIFS(INDEX($V$5:$V$1000,1):INDEX($V$5:$V$1000,$U10-4),"Macro",INDEX($S$5:$S$1000,1):INDEX($S$5:$S$1000,$U10-4),INDEX($S$5:$S$1000,$U10-4))&amp;"."&amp;COUNTIFS($U$5:$U10,$U10,$V$5:$V10,"Sub"))))</f>
        <v/>
      </c>
      <c r="B10" s="57" t="n"/>
      <c r="C10" s="58" t="n"/>
      <c r="D10" s="58" t="n"/>
      <c r="E10" s="59">
        <f>IF(N($AL10)&gt;0,INDEX(rIni_ADM,$AL10),"")</f>
        <v/>
      </c>
      <c r="F10" s="59">
        <f>IF(N($AL10)&gt;0,INDEX(rLim_ADM,$AL10),"")</f>
        <v/>
      </c>
      <c r="G10" s="59" t="n"/>
      <c r="H10" s="60" t="n"/>
      <c r="I10" s="60" t="n"/>
      <c r="J10" s="60" t="n"/>
      <c r="K10" s="60" t="n"/>
      <c r="L10" s="60" t="n"/>
      <c r="M10" s="61">
        <f>IF(NOT((COUNTA($B10:$D10)+COUNTA($G10:$L10)+COUNTA($Q10))&gt;0),"",IF($V10="Sub",IFERROR($X10/INDEX($W$5:$W$1000,$U10-4),""),IF(ISNUMBER($G10),1,IF(N($W10)&gt;0,AVERAGEIFS($X$5:$X$1000,$U$5:$U$1000,ROW(),$V$5:$V$1000,"Sub"),$X10))))</f>
        <v/>
      </c>
      <c r="N10" s="56">
        <f>IF(OR($M10="",$V10="Sub"),"",IF($M10&gt;=1,"Completado",IF($M10&gt;0,"En curso","Pendiente")))</f>
        <v/>
      </c>
      <c r="O10" s="56">
        <f>IF(OR(NOT((COUNTA($B10:$D10)+COUNTA($G10:$L10)+COUNTA($Q10))&gt;0),$V10="Sub"),"",IF(ISNUMBER($G10),IF(AND(ISNUMBER($AN10),$G10&gt;$AN10),"Cumplida con "&amp;($G10-$AN10)&amp;IF($G10-$AN10=1," día"," días")&amp;" de retraso","Cumplida"),IF(N($M10)&gt;=1,"Cumplida",IF(NOT(ISNUMBER($AN10)),"Sin fecha límite",IF($AN10&lt;FechaRef,"Vencida hace "&amp;(FechaRef-$AN10)&amp;IF(FechaRef-$AN10=1," día"," días"),IF($AN10=FechaRef,"Vence hoy",IF($AN10-FechaRef&lt;=DiasAlerta,"Vence en "&amp;($AN10-FechaRef)&amp;IF($AN10-FechaRef=1," día"," días"),"En plazo")))))))</f>
        <v/>
      </c>
      <c r="P10" s="62" t="n"/>
      <c r="Q10" s="58" t="n"/>
      <c r="R10" s="63">
        <f>IF(NOT((COUNTA($B10:$D10)+COUNTA($G10:$L10)+COUNTA($Q10))&gt;0),"",IF((IF($C10="","Falta el nombre de la actividad"&amp;" · ","")&amp;IF(AND($V10="Sub",N($U10)=0),"Subactividad sin macroactividad arriba"&amp;" · ","")&amp;IF($AM10="","Sin fecha de inicio"&amp;" · ","")&amp;IF($AN10="","Sin fecha límite"&amp;" · ","")&amp;IF(AND(LEFT($C10,11)="[Jefatura] ",N($AL10)=0),"No se encuentra en la hoja de la jefatura (elíjala de nuevo en la lista)"&amp;" · ","")&amp;IF(OR(AND($E10&lt;&gt;"",NOT(ISNUMBER($E10))),AND($F10&lt;&gt;"",NOT(ISNUMBER($F10))),AND($G10&lt;&gt;"",NOT(ISNUMBER($G10)))),"Fecha no válida"&amp;" · ","")&amp;IF(AND(ISNUMBER($AM10),ISNUMBER($AN10),$AM10&gt;$AN10),"Inicio posterior a fecha límite"&amp;" · ","")&amp;IF(AND($V10="Macro",$H10&lt;&gt;"",OR(NOT(ISNUMBER($H10)),$H10&lt;0,$H10&gt;1)),"Peso fuera de rango"&amp;" · ","")&amp;IF(AND($V10="Sub",$H10&lt;&gt;""),"Las subactividades no llevan peso (valen igual dentro de su macroactividad)"&amp;" · ","")&amp;IF(AND(N($W10)&gt;0,COUNT($I10:$L10)&gt;0),"Con subactividades: deje vacías las semanas (se calculan solas)"&amp;" · ","")&amp;IF((COUNTIF($I10:$L10,"&gt;1")+COUNTIF($I10:$L10,"&lt;0")+COUNTA($I10:$L10)-COUNT($I10:$L10))&gt;0,"Avance fuera de rango 0-100%"&amp;" · ","")&amp;IF(OR(AND($J10&lt;&gt;"",$J10&lt;$I10),AND($K10&lt;&gt;"",$K10&lt;MAX($I10:$J10)),AND($L10&lt;&gt;"",$L10&lt;MAX($I10:$K10))),"Avance semanal decreciente"&amp;" · ","")&amp;IF(AND(ISNUMBER($AN10),$AN10&lt;FechaRef,IF($V10="Sub",N($X10),N($M10))&lt;1),"Vencida"&amp;" · ","")&amp;IF(AND(ObsObligatoria="Sí",ISNUMBER($AN10),$AN10&lt;FechaRef,IF($V10="Sub",N($X10),N($M10))&lt;1,$Q10=""),"Vencida sin observación"&amp;" · ",""))="","✔ OK","⚠ "&amp;LEFT(IF($C10="","Falta el nombre de la actividad"&amp;" · ","")&amp;IF(AND($V10="Sub",N($U10)=0),"Subactividad sin macroactividad arriba"&amp;" · ","")&amp;IF($AM10="","Sin fecha de inicio"&amp;" · ","")&amp;IF($AN10="","Sin fecha límite"&amp;" · ","")&amp;IF(AND(LEFT($C10,11)="[Jefatura] ",N($AL10)=0),"No se encuentra en la hoja de la jefatura (elíjala de nuevo en la lista)"&amp;" · ","")&amp;IF(OR(AND($E10&lt;&gt;"",NOT(ISNUMBER($E10))),AND($F10&lt;&gt;"",NOT(ISNUMBER($F10))),AND($G10&lt;&gt;"",NOT(ISNUMBER($G10)))),"Fecha no válida"&amp;" · ","")&amp;IF(AND(ISNUMBER($AM10),ISNUMBER($AN10),$AM10&gt;$AN10),"Inicio posterior a fecha límite"&amp;" · ","")&amp;IF(AND($V10="Macro",$H10&lt;&gt;"",OR(NOT(ISNUMBER($H10)),$H10&lt;0,$H10&gt;1)),"Peso fuera de rango"&amp;" · ","")&amp;IF(AND($V10="Sub",$H10&lt;&gt;""),"Las subactividades no llevan peso (valen igual dentro de su macroactividad)"&amp;" · ","")&amp;IF(AND(N($W10)&gt;0,COUNT($I10:$L10)&gt;0),"Con subactividades: deje vacías las semanas (se calculan solas)"&amp;" · ","")&amp;IF((COUNTIF($I10:$L10,"&gt;1")+COUNTIF($I10:$L10,"&lt;0")+COUNTA($I10:$L10)-COUNT($I10:$L10))&gt;0,"Avance fuera de rango 0-100%"&amp;" · ","")&amp;IF(OR(AND($J10&lt;&gt;"",$J10&lt;$I10),AND($K10&lt;&gt;"",$K10&lt;MAX($I10:$J10)),AND($L10&lt;&gt;"",$L10&lt;MAX($I10:$K10))),"Avance semanal decreciente"&amp;" · ","")&amp;IF(AND(ISNUMBER($AN10),$AN10&lt;FechaRef,IF($V10="Sub",N($X10),N($M10))&lt;1),"Vencida"&amp;" · ","")&amp;IF(AND(ObsObligatoria="Sí",ISNUMBER($AN10),$AN10&lt;FechaRef,IF($V10="Sub",N($X10),N($M10))&lt;1,$Q10=""),"Vencida sin observación"&amp;" · ",""),LEN(IF($C10="","Falta el nombre de la actividad"&amp;" · ","")&amp;IF(AND($V10="Sub",N($U10)=0),"Subactividad sin macroactividad arriba"&amp;" · ","")&amp;IF($AM10="","Sin fecha de inicio"&amp;" · ","")&amp;IF($AN10="","Sin fecha límite"&amp;" · ","")&amp;IF(AND(LEFT($C10,11)="[Jefatura] ",N($AL10)=0),"No se encuentra en la hoja de la jefatura (elíjala de nuevo en la lista)"&amp;" · ","")&amp;IF(OR(AND($E10&lt;&gt;"",NOT(ISNUMBER($E10))),AND($F10&lt;&gt;"",NOT(ISNUMBER($F10))),AND($G10&lt;&gt;"",NOT(ISNUMBER($G10)))),"Fecha no válida"&amp;" · ","")&amp;IF(AND(ISNUMBER($AM10),ISNUMBER($AN10),$AM10&gt;$AN10),"Inicio posterior a fecha límite"&amp;" · ","")&amp;IF(AND($V10="Macro",$H10&lt;&gt;"",OR(NOT(ISNUMBER($H10)),$H10&lt;0,$H10&gt;1)),"Peso fuera de rango"&amp;" · ","")&amp;IF(AND($V10="Sub",$H10&lt;&gt;""),"Las subactividades no llevan peso (valen igual dentro de su macroactividad)"&amp;" · ","")&amp;IF(AND(N($W10)&gt;0,COUNT($I10:$L10)&gt;0),"Con subactividades: deje vacías las semanas (se calculan solas)"&amp;" · ","")&amp;IF((COUNTIF($I10:$L10,"&gt;1")+COUNTIF($I10:$L10,"&lt;0")+COUNTA($I10:$L10)-COUNT($I10:$L10))&gt;0,"Avance fuera de rango 0-100%"&amp;" · ","")&amp;IF(OR(AND($J10&lt;&gt;"",$J10&lt;$I10),AND($K10&lt;&gt;"",$K10&lt;MAX($I10:$J10)),AND($L10&lt;&gt;"",$L10&lt;MAX($I10:$K10))),"Avance semanal decreciente"&amp;" · ","")&amp;IF(AND(ISNUMBER($AN10),$AN10&lt;FechaRef,IF($V10="Sub",N($X10),N($M10))&lt;1),"Vencida"&amp;" · ","")&amp;IF(AND(ObsObligatoria="Sí",ISNUMBER($AN10),$AN10&lt;FechaRef,IF($V10="Sub",N($X10),N($M10))&lt;1,$Q10=""),"Vencida sin observación"&amp;" · ",""))-3)))</f>
        <v/>
      </c>
      <c r="S10" s="64">
        <f>IF(NOT((COUNTA($B10:$D10)+COUNTA($G10:$L10)+COUNTA($Q10))&gt;0),"",IF(AND($V10="Sub",N($U10)&gt;0),IF(ISNUMBER(INDEX($AM$5:$AM$1000,$U10-4)),DATE(YEAR(INDEX($AM$5:$AM$1000,$U10-4)),MONTH(INDEX($AM$5:$AM$1000,$U10-4)),1),IF(ISNUMBER(INDEX($AN$5:$AN$1000,$U10-4)),DATE(YEAR(INDEX($AN$5:$AN$1000,$U10-4)),MONTH(INDEX($AN$5:$AN$1000,$U10-4)),1),MesCiclo)),IF(ISNUMBER($AM10),DATE(YEAR($AM10),MONTH($AM10),1),IF(ISNUMBER($AN10),DATE(YEAR($AN10),MONTH($AN10),1),MesCiclo))))</f>
        <v/>
      </c>
      <c r="T10" s="62">
        <f>IF(OR($S10="",$S10&lt;&gt;MesCiclo,$V10&lt;&gt;"Macro"),"",COUNTIFS($S$5:$S10,MesCiclo,$V$5:$V10,"Macro"))</f>
        <v/>
      </c>
      <c r="U10" s="62">
        <f>IF($V10="","",IF($V10="Macro",ROW(),IFERROR(LOOKUP(2,1/($V$5:$V10="Macro"),ROW($V$5:$V10)),0)))</f>
        <v/>
      </c>
      <c r="V10" s="62">
        <f>IF(NOT((COUNTA($B10:$D10)+COUNTA($G10:$L10)+COUNTA($Q10))&gt;0),"",IF($B10="Subactividad","Sub","Macro"))</f>
        <v/>
      </c>
      <c r="W10" s="62">
        <f>IF($V10="Macro",COUNTIFS($U$5:$U$1000,ROW(),$V$5:$V$1000,"Sub"),"")</f>
        <v/>
      </c>
      <c r="X10" s="62">
        <f>IF($V10="","",IF(ISNUMBER($G10),1,IFERROR(LOOKUP(2,1/($I10:$L10&lt;&gt;""),$I10:$L10),0)))</f>
        <v/>
      </c>
      <c r="Y10" s="62">
        <f>IF($V10="","",IF(AND(ISNUMBER($G10),$G10&lt;=IF($S10=MesCiclo,InicioCiclo,$S10+MOD(2-WEEKDAY($S10),7))+6),1,IF(ISNUMBER($I10),$I10,0)))</f>
        <v/>
      </c>
      <c r="Z10" s="62">
        <f>IF($V10="","",IF(AND(ISNUMBER($G10),$G10&lt;=IF($S10=MesCiclo,InicioCiclo,$S10+MOD(2-WEEKDAY($S10),7))+13),1,IF(ISNUMBER($J10),$J10,$Y10)))</f>
        <v/>
      </c>
      <c r="AA10" s="62">
        <f>IF($V10="","",IF(AND(ISNUMBER($G10),$G10&lt;=IF($S10=MesCiclo,InicioCiclo,$S10+MOD(2-WEEKDAY($S10),7))+20),1,IF(ISNUMBER($K10),$K10,$Z10)))</f>
        <v/>
      </c>
      <c r="AB10" s="62">
        <f>IF($V10="","",IF(AND(ISNUMBER($G10),$G10&lt;=IF($S10=MesCiclo,InicioCiclo,$S10+MOD(2-WEEKDAY($S10),7))+27),1,IF(ISNUMBER($L10),$L10,$AA10)))</f>
        <v/>
      </c>
      <c r="AC10" s="62">
        <f>IF($V10="","",IF(AND(ISNUMBER($G10),$G10&lt;=IF($S10=MesCiclo,InicioCiclo,$S10+MOD(2-WEEKDAY($S10),7))+6),1,IF(N($W10)&gt;0,AVERAGEIFS($Y$5:$Y$1000,$U$5:$U$1000,ROW(),$V$5:$V$1000,"Sub"),$Y10)))</f>
        <v/>
      </c>
      <c r="AD10" s="62">
        <f>IF($V10="","",IF(AND(ISNUMBER($G10),$G10&lt;=IF($S10=MesCiclo,InicioCiclo,$S10+MOD(2-WEEKDAY($S10),7))+13),1,IF(N($W10)&gt;0,AVERAGEIFS($Z$5:$Z$1000,$U$5:$U$1000,ROW(),$V$5:$V$1000,"Sub"),$Z10)))</f>
        <v/>
      </c>
      <c r="AE10" s="62">
        <f>IF($V10="","",IF(AND(ISNUMBER($G10),$G10&lt;=IF($S10=MesCiclo,InicioCiclo,$S10+MOD(2-WEEKDAY($S10),7))+20),1,IF(N($W10)&gt;0,AVERAGEIFS($AA$5:$AA$1000,$U$5:$U$1000,ROW(),$V$5:$V$1000,"Sub"),$AA10)))</f>
        <v/>
      </c>
      <c r="AF10" s="62">
        <f>IF($V10="","",IF(AND(ISNUMBER($G10),$G10&lt;=IF($S10=MesCiclo,InicioCiclo,$S10+MOD(2-WEEKDAY($S10),7))+27),1,IF(N($W10)&gt;0,AVERAGEIFS($AB$5:$AB$1000,$U$5:$U$1000,ROW(),$V$5:$V$1000,"Sub"),$AB10)))</f>
        <v/>
      </c>
      <c r="AG10" s="62">
        <f>IF($V10&lt;&gt;"Macro","",IF(COUNTIFS($S$5:$S$1000,$S10,$V$5:$V$1000,"Macro",$H$5:$H$1000,"&gt;0")=0,1/COUNTIFS($S$5:$S$1000,$S10,$V$5:$V$1000,"Macro"),IF(AND(ISNUMBER($H10),N($H10)&gt;0),$H10,SUMIFS($H$5:$H$1000,$S$5:$S$1000,$S10,$V$5:$V$1000,"Macro")/COUNTIFS($S$5:$S$1000,$S10,$V$5:$V$1000,"Macro",$H$5:$H$1000,"&gt;0"))/(COUNTIFS($S$5:$S$1000,$S10,$V$5:$V$1000,"Macro")*SUMIFS($H$5:$H$1000,$S$5:$S$1000,$S10,$V$5:$V$1000,"Macro")/COUNTIFS($S$5:$S$1000,$S10,$V$5:$V$1000,"Macro",$H$5:$H$1000,"&gt;0"))))</f>
        <v/>
      </c>
      <c r="AH10" s="62" t="n"/>
      <c r="AI10" s="62" t="n"/>
      <c r="AJ10" s="62" t="n"/>
      <c r="AK10" s="62" t="n"/>
      <c r="AL10" s="62">
        <f>IF(LEFT($C10,11)="[Jefatura] ",IFERROR(MATCH("Riesgo Financiero|"&amp;MID($C10,12,500),rDname_ADM,0),0),"")</f>
        <v/>
      </c>
      <c r="AM10" s="62">
        <f>IF(N($AL10)&gt;0,INDEX(rIni_ADM,$AL10),IF(ISNUMBER($E10),$E10,""))</f>
        <v/>
      </c>
      <c r="AN10" s="62">
        <f>IF(N($AL10)&gt;0,INDEX(rLim_ADM,$AL10),IF(ISNUMBER($F10),$F10,""))</f>
        <v/>
      </c>
    </row>
    <row r="11">
      <c r="A11" s="56">
        <f>IF(NOT((COUNTA($B11:$D11)+COUNTA($G11:$L11)+COUNTA($Q11))&gt;0),"",IF($V11="Macro",COUNTIFS($V$5:$V11,"Macro",$S$5:$S11,$S11),IF(N($U11)=0,"?",COUNTIFS(INDEX($V$5:$V$1000,1):INDEX($V$5:$V$1000,$U11-4),"Macro",INDEX($S$5:$S$1000,1):INDEX($S$5:$S$1000,$U11-4),INDEX($S$5:$S$1000,$U11-4))&amp;"."&amp;COUNTIFS($U$5:$U11,$U11,$V$5:$V11,"Sub"))))</f>
        <v/>
      </c>
      <c r="B11" s="57" t="n"/>
      <c r="C11" s="58" t="n"/>
      <c r="D11" s="58" t="n"/>
      <c r="E11" s="59">
        <f>IF(N($AL11)&gt;0,INDEX(rIni_ADM,$AL11),"")</f>
        <v/>
      </c>
      <c r="F11" s="59">
        <f>IF(N($AL11)&gt;0,INDEX(rLim_ADM,$AL11),"")</f>
        <v/>
      </c>
      <c r="G11" s="59" t="n"/>
      <c r="H11" s="60" t="n"/>
      <c r="I11" s="60" t="n"/>
      <c r="J11" s="60" t="n"/>
      <c r="K11" s="60" t="n"/>
      <c r="L11" s="60" t="n"/>
      <c r="M11" s="61">
        <f>IF(NOT((COUNTA($B11:$D11)+COUNTA($G11:$L11)+COUNTA($Q11))&gt;0),"",IF($V11="Sub",IFERROR($X11/INDEX($W$5:$W$1000,$U11-4),""),IF(ISNUMBER($G11),1,IF(N($W11)&gt;0,AVERAGEIFS($X$5:$X$1000,$U$5:$U$1000,ROW(),$V$5:$V$1000,"Sub"),$X11))))</f>
        <v/>
      </c>
      <c r="N11" s="56">
        <f>IF(OR($M11="",$V11="Sub"),"",IF($M11&gt;=1,"Completado",IF($M11&gt;0,"En curso","Pendiente")))</f>
        <v/>
      </c>
      <c r="O11" s="56">
        <f>IF(OR(NOT((COUNTA($B11:$D11)+COUNTA($G11:$L11)+COUNTA($Q11))&gt;0),$V11="Sub"),"",IF(ISNUMBER($G11),IF(AND(ISNUMBER($AN11),$G11&gt;$AN11),"Cumplida con "&amp;($G11-$AN11)&amp;IF($G11-$AN11=1," día"," días")&amp;" de retraso","Cumplida"),IF(N($M11)&gt;=1,"Cumplida",IF(NOT(ISNUMBER($AN11)),"Sin fecha límite",IF($AN11&lt;FechaRef,"Vencida hace "&amp;(FechaRef-$AN11)&amp;IF(FechaRef-$AN11=1," día"," días"),IF($AN11=FechaRef,"Vence hoy",IF($AN11-FechaRef&lt;=DiasAlerta,"Vence en "&amp;($AN11-FechaRef)&amp;IF($AN11-FechaRef=1," día"," días"),"En plazo")))))))</f>
        <v/>
      </c>
      <c r="P11" s="62" t="n"/>
      <c r="Q11" s="58" t="n"/>
      <c r="R11" s="63">
        <f>IF(NOT((COUNTA($B11:$D11)+COUNTA($G11:$L11)+COUNTA($Q11))&gt;0),"",IF((IF($C11="","Falta el nombre de la actividad"&amp;" · ","")&amp;IF(AND($V11="Sub",N($U11)=0),"Subactividad sin macroactividad arriba"&amp;" · ","")&amp;IF($AM11="","Sin fecha de inicio"&amp;" · ","")&amp;IF($AN11="","Sin fecha límite"&amp;" · ","")&amp;IF(AND(LEFT($C11,11)="[Jefatura] ",N($AL11)=0),"No se encuentra en la hoja de la jefatura (elíjala de nuevo en la lista)"&amp;" · ","")&amp;IF(OR(AND($E11&lt;&gt;"",NOT(ISNUMBER($E11))),AND($F11&lt;&gt;"",NOT(ISNUMBER($F11))),AND($G11&lt;&gt;"",NOT(ISNUMBER($G11)))),"Fecha no válida"&amp;" · ","")&amp;IF(AND(ISNUMBER($AM11),ISNUMBER($AN11),$AM11&gt;$AN11),"Inicio posterior a fecha límite"&amp;" · ","")&amp;IF(AND($V11="Macro",$H11&lt;&gt;"",OR(NOT(ISNUMBER($H11)),$H11&lt;0,$H11&gt;1)),"Peso fuera de rango"&amp;" · ","")&amp;IF(AND($V11="Sub",$H11&lt;&gt;""),"Las subactividades no llevan peso (valen igual dentro de su macroactividad)"&amp;" · ","")&amp;IF(AND(N($W11)&gt;0,COUNT($I11:$L11)&gt;0),"Con subactividades: deje vacías las semanas (se calculan solas)"&amp;" · ","")&amp;IF((COUNTIF($I11:$L11,"&gt;1")+COUNTIF($I11:$L11,"&lt;0")+COUNTA($I11:$L11)-COUNT($I11:$L11))&gt;0,"Avance fuera de rango 0-100%"&amp;" · ","")&amp;IF(OR(AND($J11&lt;&gt;"",$J11&lt;$I11),AND($K11&lt;&gt;"",$K11&lt;MAX($I11:$J11)),AND($L11&lt;&gt;"",$L11&lt;MAX($I11:$K11))),"Avance semanal decreciente"&amp;" · ","")&amp;IF(AND(ISNUMBER($AN11),$AN11&lt;FechaRef,IF($V11="Sub",N($X11),N($M11))&lt;1),"Vencida"&amp;" · ","")&amp;IF(AND(ObsObligatoria="Sí",ISNUMBER($AN11),$AN11&lt;FechaRef,IF($V11="Sub",N($X11),N($M11))&lt;1,$Q11=""),"Vencida sin observación"&amp;" · ",""))="","✔ OK","⚠ "&amp;LEFT(IF($C11="","Falta el nombre de la actividad"&amp;" · ","")&amp;IF(AND($V11="Sub",N($U11)=0),"Subactividad sin macroactividad arriba"&amp;" · ","")&amp;IF($AM11="","Sin fecha de inicio"&amp;" · ","")&amp;IF($AN11="","Sin fecha límite"&amp;" · ","")&amp;IF(AND(LEFT($C11,11)="[Jefatura] ",N($AL11)=0),"No se encuentra en la hoja de la jefatura (elíjala de nuevo en la lista)"&amp;" · ","")&amp;IF(OR(AND($E11&lt;&gt;"",NOT(ISNUMBER($E11))),AND($F11&lt;&gt;"",NOT(ISNUMBER($F11))),AND($G11&lt;&gt;"",NOT(ISNUMBER($G11)))),"Fecha no válida"&amp;" · ","")&amp;IF(AND(ISNUMBER($AM11),ISNUMBER($AN11),$AM11&gt;$AN11),"Inicio posterior a fecha límite"&amp;" · ","")&amp;IF(AND($V11="Macro",$H11&lt;&gt;"",OR(NOT(ISNUMBER($H11)),$H11&lt;0,$H11&gt;1)),"Peso fuera de rango"&amp;" · ","")&amp;IF(AND($V11="Sub",$H11&lt;&gt;""),"Las subactividades no llevan peso (valen igual dentro de su macroactividad)"&amp;" · ","")&amp;IF(AND(N($W11)&gt;0,COUNT($I11:$L11)&gt;0),"Con subactividades: deje vacías las semanas (se calculan solas)"&amp;" · ","")&amp;IF((COUNTIF($I11:$L11,"&gt;1")+COUNTIF($I11:$L11,"&lt;0")+COUNTA($I11:$L11)-COUNT($I11:$L11))&gt;0,"Avance fuera de rango 0-100%"&amp;" · ","")&amp;IF(OR(AND($J11&lt;&gt;"",$J11&lt;$I11),AND($K11&lt;&gt;"",$K11&lt;MAX($I11:$J11)),AND($L11&lt;&gt;"",$L11&lt;MAX($I11:$K11))),"Avance semanal decreciente"&amp;" · ","")&amp;IF(AND(ISNUMBER($AN11),$AN11&lt;FechaRef,IF($V11="Sub",N($X11),N($M11))&lt;1),"Vencida"&amp;" · ","")&amp;IF(AND(ObsObligatoria="Sí",ISNUMBER($AN11),$AN11&lt;FechaRef,IF($V11="Sub",N($X11),N($M11))&lt;1,$Q11=""),"Vencida sin observación"&amp;" · ",""),LEN(IF($C11="","Falta el nombre de la actividad"&amp;" · ","")&amp;IF(AND($V11="Sub",N($U11)=0),"Subactividad sin macroactividad arriba"&amp;" · ","")&amp;IF($AM11="","Sin fecha de inicio"&amp;" · ","")&amp;IF($AN11="","Sin fecha límite"&amp;" · ","")&amp;IF(AND(LEFT($C11,11)="[Jefatura] ",N($AL11)=0),"No se encuentra en la hoja de la jefatura (elíjala de nuevo en la lista)"&amp;" · ","")&amp;IF(OR(AND($E11&lt;&gt;"",NOT(ISNUMBER($E11))),AND($F11&lt;&gt;"",NOT(ISNUMBER($F11))),AND($G11&lt;&gt;"",NOT(ISNUMBER($G11)))),"Fecha no válida"&amp;" · ","")&amp;IF(AND(ISNUMBER($AM11),ISNUMBER($AN11),$AM11&gt;$AN11),"Inicio posterior a fecha límite"&amp;" · ","")&amp;IF(AND($V11="Macro",$H11&lt;&gt;"",OR(NOT(ISNUMBER($H11)),$H11&lt;0,$H11&gt;1)),"Peso fuera de rango"&amp;" · ","")&amp;IF(AND($V11="Sub",$H11&lt;&gt;""),"Las subactividades no llevan peso (valen igual dentro de su macroactividad)"&amp;" · ","")&amp;IF(AND(N($W11)&gt;0,COUNT($I11:$L11)&gt;0),"Con subactividades: deje vacías las semanas (se calculan solas)"&amp;" · ","")&amp;IF((COUNTIF($I11:$L11,"&gt;1")+COUNTIF($I11:$L11,"&lt;0")+COUNTA($I11:$L11)-COUNT($I11:$L11))&gt;0,"Avance fuera de rango 0-100%"&amp;" · ","")&amp;IF(OR(AND($J11&lt;&gt;"",$J11&lt;$I11),AND($K11&lt;&gt;"",$K11&lt;MAX($I11:$J11)),AND($L11&lt;&gt;"",$L11&lt;MAX($I11:$K11))),"Avance semanal decreciente"&amp;" · ","")&amp;IF(AND(ISNUMBER($AN11),$AN11&lt;FechaRef,IF($V11="Sub",N($X11),N($M11))&lt;1),"Vencida"&amp;" · ","")&amp;IF(AND(ObsObligatoria="Sí",ISNUMBER($AN11),$AN11&lt;FechaRef,IF($V11="Sub",N($X11),N($M11))&lt;1,$Q11=""),"Vencida sin observación"&amp;" · ",""))-3)))</f>
        <v/>
      </c>
      <c r="S11" s="64">
        <f>IF(NOT((COUNTA($B11:$D11)+COUNTA($G11:$L11)+COUNTA($Q11))&gt;0),"",IF(AND($V11="Sub",N($U11)&gt;0),IF(ISNUMBER(INDEX($AM$5:$AM$1000,$U11-4)),DATE(YEAR(INDEX($AM$5:$AM$1000,$U11-4)),MONTH(INDEX($AM$5:$AM$1000,$U11-4)),1),IF(ISNUMBER(INDEX($AN$5:$AN$1000,$U11-4)),DATE(YEAR(INDEX($AN$5:$AN$1000,$U11-4)),MONTH(INDEX($AN$5:$AN$1000,$U11-4)),1),MesCiclo)),IF(ISNUMBER($AM11),DATE(YEAR($AM11),MONTH($AM11),1),IF(ISNUMBER($AN11),DATE(YEAR($AN11),MONTH($AN11),1),MesCiclo))))</f>
        <v/>
      </c>
      <c r="T11" s="62">
        <f>IF(OR($S11="",$S11&lt;&gt;MesCiclo,$V11&lt;&gt;"Macro"),"",COUNTIFS($S$5:$S11,MesCiclo,$V$5:$V11,"Macro"))</f>
        <v/>
      </c>
      <c r="U11" s="62">
        <f>IF($V11="","",IF($V11="Macro",ROW(),IFERROR(LOOKUP(2,1/($V$5:$V11="Macro"),ROW($V$5:$V11)),0)))</f>
        <v/>
      </c>
      <c r="V11" s="62">
        <f>IF(NOT((COUNTA($B11:$D11)+COUNTA($G11:$L11)+COUNTA($Q11))&gt;0),"",IF($B11="Subactividad","Sub","Macro"))</f>
        <v/>
      </c>
      <c r="W11" s="62">
        <f>IF($V11="Macro",COUNTIFS($U$5:$U$1000,ROW(),$V$5:$V$1000,"Sub"),"")</f>
        <v/>
      </c>
      <c r="X11" s="62">
        <f>IF($V11="","",IF(ISNUMBER($G11),1,IFERROR(LOOKUP(2,1/($I11:$L11&lt;&gt;""),$I11:$L11),0)))</f>
        <v/>
      </c>
      <c r="Y11" s="62">
        <f>IF($V11="","",IF(AND(ISNUMBER($G11),$G11&lt;=IF($S11=MesCiclo,InicioCiclo,$S11+MOD(2-WEEKDAY($S11),7))+6),1,IF(ISNUMBER($I11),$I11,0)))</f>
        <v/>
      </c>
      <c r="Z11" s="62">
        <f>IF($V11="","",IF(AND(ISNUMBER($G11),$G11&lt;=IF($S11=MesCiclo,InicioCiclo,$S11+MOD(2-WEEKDAY($S11),7))+13),1,IF(ISNUMBER($J11),$J11,$Y11)))</f>
        <v/>
      </c>
      <c r="AA11" s="62">
        <f>IF($V11="","",IF(AND(ISNUMBER($G11),$G11&lt;=IF($S11=MesCiclo,InicioCiclo,$S11+MOD(2-WEEKDAY($S11),7))+20),1,IF(ISNUMBER($K11),$K11,$Z11)))</f>
        <v/>
      </c>
      <c r="AB11" s="62">
        <f>IF($V11="","",IF(AND(ISNUMBER($G11),$G11&lt;=IF($S11=MesCiclo,InicioCiclo,$S11+MOD(2-WEEKDAY($S11),7))+27),1,IF(ISNUMBER($L11),$L11,$AA11)))</f>
        <v/>
      </c>
      <c r="AC11" s="62">
        <f>IF($V11="","",IF(AND(ISNUMBER($G11),$G11&lt;=IF($S11=MesCiclo,InicioCiclo,$S11+MOD(2-WEEKDAY($S11),7))+6),1,IF(N($W11)&gt;0,AVERAGEIFS($Y$5:$Y$1000,$U$5:$U$1000,ROW(),$V$5:$V$1000,"Sub"),$Y11)))</f>
        <v/>
      </c>
      <c r="AD11" s="62">
        <f>IF($V11="","",IF(AND(ISNUMBER($G11),$G11&lt;=IF($S11=MesCiclo,InicioCiclo,$S11+MOD(2-WEEKDAY($S11),7))+13),1,IF(N($W11)&gt;0,AVERAGEIFS($Z$5:$Z$1000,$U$5:$U$1000,ROW(),$V$5:$V$1000,"Sub"),$Z11)))</f>
        <v/>
      </c>
      <c r="AE11" s="62">
        <f>IF($V11="","",IF(AND(ISNUMBER($G11),$G11&lt;=IF($S11=MesCiclo,InicioCiclo,$S11+MOD(2-WEEKDAY($S11),7))+20),1,IF(N($W11)&gt;0,AVERAGEIFS($AA$5:$AA$1000,$U$5:$U$1000,ROW(),$V$5:$V$1000,"Sub"),$AA11)))</f>
        <v/>
      </c>
      <c r="AF11" s="62">
        <f>IF($V11="","",IF(AND(ISNUMBER($G11),$G11&lt;=IF($S11=MesCiclo,InicioCiclo,$S11+MOD(2-WEEKDAY($S11),7))+27),1,IF(N($W11)&gt;0,AVERAGEIFS($AB$5:$AB$1000,$U$5:$U$1000,ROW(),$V$5:$V$1000,"Sub"),$AB11)))</f>
        <v/>
      </c>
      <c r="AG11" s="62">
        <f>IF($V11&lt;&gt;"Macro","",IF(COUNTIFS($S$5:$S$1000,$S11,$V$5:$V$1000,"Macro",$H$5:$H$1000,"&gt;0")=0,1/COUNTIFS($S$5:$S$1000,$S11,$V$5:$V$1000,"Macro"),IF(AND(ISNUMBER($H11),N($H11)&gt;0),$H11,SUMIFS($H$5:$H$1000,$S$5:$S$1000,$S11,$V$5:$V$1000,"Macro")/COUNTIFS($S$5:$S$1000,$S11,$V$5:$V$1000,"Macro",$H$5:$H$1000,"&gt;0"))/(COUNTIFS($S$5:$S$1000,$S11,$V$5:$V$1000,"Macro")*SUMIFS($H$5:$H$1000,$S$5:$S$1000,$S11,$V$5:$V$1000,"Macro")/COUNTIFS($S$5:$S$1000,$S11,$V$5:$V$1000,"Macro",$H$5:$H$1000,"&gt;0"))))</f>
        <v/>
      </c>
      <c r="AH11" s="62" t="n"/>
      <c r="AI11" s="62" t="n"/>
      <c r="AJ11" s="62" t="n"/>
      <c r="AK11" s="62" t="n"/>
      <c r="AL11" s="62">
        <f>IF(LEFT($C11,11)="[Jefatura] ",IFERROR(MATCH("Riesgo Financiero|"&amp;MID($C11,12,500),rDname_ADM,0),0),"")</f>
        <v/>
      </c>
      <c r="AM11" s="62">
        <f>IF(N($AL11)&gt;0,INDEX(rIni_ADM,$AL11),IF(ISNUMBER($E11),$E11,""))</f>
        <v/>
      </c>
      <c r="AN11" s="62">
        <f>IF(N($AL11)&gt;0,INDEX(rLim_ADM,$AL11),IF(ISNUMBER($F11),$F11,""))</f>
        <v/>
      </c>
    </row>
    <row r="12">
      <c r="A12" s="56">
        <f>IF(NOT((COUNTA($B12:$D12)+COUNTA($G12:$L12)+COUNTA($Q12))&gt;0),"",IF($V12="Macro",COUNTIFS($V$5:$V12,"Macro",$S$5:$S12,$S12),IF(N($U12)=0,"?",COUNTIFS(INDEX($V$5:$V$1000,1):INDEX($V$5:$V$1000,$U12-4),"Macro",INDEX($S$5:$S$1000,1):INDEX($S$5:$S$1000,$U12-4),INDEX($S$5:$S$1000,$U12-4))&amp;"."&amp;COUNTIFS($U$5:$U12,$U12,$V$5:$V12,"Sub"))))</f>
        <v/>
      </c>
      <c r="B12" s="57" t="n"/>
      <c r="C12" s="58" t="n"/>
      <c r="D12" s="58" t="n"/>
      <c r="E12" s="59">
        <f>IF(N($AL12)&gt;0,INDEX(rIni_ADM,$AL12),"")</f>
        <v/>
      </c>
      <c r="F12" s="59">
        <f>IF(N($AL12)&gt;0,INDEX(rLim_ADM,$AL12),"")</f>
        <v/>
      </c>
      <c r="G12" s="59" t="n"/>
      <c r="H12" s="60" t="n"/>
      <c r="I12" s="60" t="n"/>
      <c r="J12" s="60" t="n"/>
      <c r="K12" s="60" t="n"/>
      <c r="L12" s="60" t="n"/>
      <c r="M12" s="61">
        <f>IF(NOT((COUNTA($B12:$D12)+COUNTA($G12:$L12)+COUNTA($Q12))&gt;0),"",IF($V12="Sub",IFERROR($X12/INDEX($W$5:$W$1000,$U12-4),""),IF(ISNUMBER($G12),1,IF(N($W12)&gt;0,AVERAGEIFS($X$5:$X$1000,$U$5:$U$1000,ROW(),$V$5:$V$1000,"Sub"),$X12))))</f>
        <v/>
      </c>
      <c r="N12" s="56">
        <f>IF(OR($M12="",$V12="Sub"),"",IF($M12&gt;=1,"Completado",IF($M12&gt;0,"En curso","Pendiente")))</f>
        <v/>
      </c>
      <c r="O12" s="56">
        <f>IF(OR(NOT((COUNTA($B12:$D12)+COUNTA($G12:$L12)+COUNTA($Q12))&gt;0),$V12="Sub"),"",IF(ISNUMBER($G12),IF(AND(ISNUMBER($AN12),$G12&gt;$AN12),"Cumplida con "&amp;($G12-$AN12)&amp;IF($G12-$AN12=1," día"," días")&amp;" de retraso","Cumplida"),IF(N($M12)&gt;=1,"Cumplida",IF(NOT(ISNUMBER($AN12)),"Sin fecha límite",IF($AN12&lt;FechaRef,"Vencida hace "&amp;(FechaRef-$AN12)&amp;IF(FechaRef-$AN12=1," día"," días"),IF($AN12=FechaRef,"Vence hoy",IF($AN12-FechaRef&lt;=DiasAlerta,"Vence en "&amp;($AN12-FechaRef)&amp;IF($AN12-FechaRef=1," día"," días"),"En plazo")))))))</f>
        <v/>
      </c>
      <c r="P12" s="62" t="n"/>
      <c r="Q12" s="58" t="n"/>
      <c r="R12" s="63">
        <f>IF(NOT((COUNTA($B12:$D12)+COUNTA($G12:$L12)+COUNTA($Q12))&gt;0),"",IF((IF($C12="","Falta el nombre de la actividad"&amp;" · ","")&amp;IF(AND($V12="Sub",N($U12)=0),"Subactividad sin macroactividad arriba"&amp;" · ","")&amp;IF($AM12="","Sin fecha de inicio"&amp;" · ","")&amp;IF($AN12="","Sin fecha límite"&amp;" · ","")&amp;IF(AND(LEFT($C12,11)="[Jefatura] ",N($AL12)=0),"No se encuentra en la hoja de la jefatura (elíjala de nuevo en la lista)"&amp;" · ","")&amp;IF(OR(AND($E12&lt;&gt;"",NOT(ISNUMBER($E12))),AND($F12&lt;&gt;"",NOT(ISNUMBER($F12))),AND($G12&lt;&gt;"",NOT(ISNUMBER($G12)))),"Fecha no válida"&amp;" · ","")&amp;IF(AND(ISNUMBER($AM12),ISNUMBER($AN12),$AM12&gt;$AN12),"Inicio posterior a fecha límite"&amp;" · ","")&amp;IF(AND($V12="Macro",$H12&lt;&gt;"",OR(NOT(ISNUMBER($H12)),$H12&lt;0,$H12&gt;1)),"Peso fuera de rango"&amp;" · ","")&amp;IF(AND($V12="Sub",$H12&lt;&gt;""),"Las subactividades no llevan peso (valen igual dentro de su macroactividad)"&amp;" · ","")&amp;IF(AND(N($W12)&gt;0,COUNT($I12:$L12)&gt;0),"Con subactividades: deje vacías las semanas (se calculan solas)"&amp;" · ","")&amp;IF((COUNTIF($I12:$L12,"&gt;1")+COUNTIF($I12:$L12,"&lt;0")+COUNTA($I12:$L12)-COUNT($I12:$L12))&gt;0,"Avance fuera de rango 0-100%"&amp;" · ","")&amp;IF(OR(AND($J12&lt;&gt;"",$J12&lt;$I12),AND($K12&lt;&gt;"",$K12&lt;MAX($I12:$J12)),AND($L12&lt;&gt;"",$L12&lt;MAX($I12:$K12))),"Avance semanal decreciente"&amp;" · ","")&amp;IF(AND(ISNUMBER($AN12),$AN12&lt;FechaRef,IF($V12="Sub",N($X12),N($M12))&lt;1),"Vencida"&amp;" · ","")&amp;IF(AND(ObsObligatoria="Sí",ISNUMBER($AN12),$AN12&lt;FechaRef,IF($V12="Sub",N($X12),N($M12))&lt;1,$Q12=""),"Vencida sin observación"&amp;" · ",""))="","✔ OK","⚠ "&amp;LEFT(IF($C12="","Falta el nombre de la actividad"&amp;" · ","")&amp;IF(AND($V12="Sub",N($U12)=0),"Subactividad sin macroactividad arriba"&amp;" · ","")&amp;IF($AM12="","Sin fecha de inicio"&amp;" · ","")&amp;IF($AN12="","Sin fecha límite"&amp;" · ","")&amp;IF(AND(LEFT($C12,11)="[Jefatura] ",N($AL12)=0),"No se encuentra en la hoja de la jefatura (elíjala de nuevo en la lista)"&amp;" · ","")&amp;IF(OR(AND($E12&lt;&gt;"",NOT(ISNUMBER($E12))),AND($F12&lt;&gt;"",NOT(ISNUMBER($F12))),AND($G12&lt;&gt;"",NOT(ISNUMBER($G12)))),"Fecha no válida"&amp;" · ","")&amp;IF(AND(ISNUMBER($AM12),ISNUMBER($AN12),$AM12&gt;$AN12),"Inicio posterior a fecha límite"&amp;" · ","")&amp;IF(AND($V12="Macro",$H12&lt;&gt;"",OR(NOT(ISNUMBER($H12)),$H12&lt;0,$H12&gt;1)),"Peso fuera de rango"&amp;" · ","")&amp;IF(AND($V12="Sub",$H12&lt;&gt;""),"Las subactividades no llevan peso (valen igual dentro de su macroactividad)"&amp;" · ","")&amp;IF(AND(N($W12)&gt;0,COUNT($I12:$L12)&gt;0),"Con subactividades: deje vacías las semanas (se calculan solas)"&amp;" · ","")&amp;IF((COUNTIF($I12:$L12,"&gt;1")+COUNTIF($I12:$L12,"&lt;0")+COUNTA($I12:$L12)-COUNT($I12:$L12))&gt;0,"Avance fuera de rango 0-100%"&amp;" · ","")&amp;IF(OR(AND($J12&lt;&gt;"",$J12&lt;$I12),AND($K12&lt;&gt;"",$K12&lt;MAX($I12:$J12)),AND($L12&lt;&gt;"",$L12&lt;MAX($I12:$K12))),"Avance semanal decreciente"&amp;" · ","")&amp;IF(AND(ISNUMBER($AN12),$AN12&lt;FechaRef,IF($V12="Sub",N($X12),N($M12))&lt;1),"Vencida"&amp;" · ","")&amp;IF(AND(ObsObligatoria="Sí",ISNUMBER($AN12),$AN12&lt;FechaRef,IF($V12="Sub",N($X12),N($M12))&lt;1,$Q12=""),"Vencida sin observación"&amp;" · ",""),LEN(IF($C12="","Falta el nombre de la actividad"&amp;" · ","")&amp;IF(AND($V12="Sub",N($U12)=0),"Subactividad sin macroactividad arriba"&amp;" · ","")&amp;IF($AM12="","Sin fecha de inicio"&amp;" · ","")&amp;IF($AN12="","Sin fecha límite"&amp;" · ","")&amp;IF(AND(LEFT($C12,11)="[Jefatura] ",N($AL12)=0),"No se encuentra en la hoja de la jefatura (elíjala de nuevo en la lista)"&amp;" · ","")&amp;IF(OR(AND($E12&lt;&gt;"",NOT(ISNUMBER($E12))),AND($F12&lt;&gt;"",NOT(ISNUMBER($F12))),AND($G12&lt;&gt;"",NOT(ISNUMBER($G12)))),"Fecha no válida"&amp;" · ","")&amp;IF(AND(ISNUMBER($AM12),ISNUMBER($AN12),$AM12&gt;$AN12),"Inicio posterior a fecha límite"&amp;" · ","")&amp;IF(AND($V12="Macro",$H12&lt;&gt;"",OR(NOT(ISNUMBER($H12)),$H12&lt;0,$H12&gt;1)),"Peso fuera de rango"&amp;" · ","")&amp;IF(AND($V12="Sub",$H12&lt;&gt;""),"Las subactividades no llevan peso (valen igual dentro de su macroactividad)"&amp;" · ","")&amp;IF(AND(N($W12)&gt;0,COUNT($I12:$L12)&gt;0),"Con subactividades: deje vacías las semanas (se calculan solas)"&amp;" · ","")&amp;IF((COUNTIF($I12:$L12,"&gt;1")+COUNTIF($I12:$L12,"&lt;0")+COUNTA($I12:$L12)-COUNT($I12:$L12))&gt;0,"Avance fuera de rango 0-100%"&amp;" · ","")&amp;IF(OR(AND($J12&lt;&gt;"",$J12&lt;$I12),AND($K12&lt;&gt;"",$K12&lt;MAX($I12:$J12)),AND($L12&lt;&gt;"",$L12&lt;MAX($I12:$K12))),"Avance semanal decreciente"&amp;" · ","")&amp;IF(AND(ISNUMBER($AN12),$AN12&lt;FechaRef,IF($V12="Sub",N($X12),N($M12))&lt;1),"Vencida"&amp;" · ","")&amp;IF(AND(ObsObligatoria="Sí",ISNUMBER($AN12),$AN12&lt;FechaRef,IF($V12="Sub",N($X12),N($M12))&lt;1,$Q12=""),"Vencida sin observación"&amp;" · ",""))-3)))</f>
        <v/>
      </c>
      <c r="S12" s="64">
        <f>IF(NOT((COUNTA($B12:$D12)+COUNTA($G12:$L12)+COUNTA($Q12))&gt;0),"",IF(AND($V12="Sub",N($U12)&gt;0),IF(ISNUMBER(INDEX($AM$5:$AM$1000,$U12-4)),DATE(YEAR(INDEX($AM$5:$AM$1000,$U12-4)),MONTH(INDEX($AM$5:$AM$1000,$U12-4)),1),IF(ISNUMBER(INDEX($AN$5:$AN$1000,$U12-4)),DATE(YEAR(INDEX($AN$5:$AN$1000,$U12-4)),MONTH(INDEX($AN$5:$AN$1000,$U12-4)),1),MesCiclo)),IF(ISNUMBER($AM12),DATE(YEAR($AM12),MONTH($AM12),1),IF(ISNUMBER($AN12),DATE(YEAR($AN12),MONTH($AN12),1),MesCiclo))))</f>
        <v/>
      </c>
      <c r="T12" s="62">
        <f>IF(OR($S12="",$S12&lt;&gt;MesCiclo,$V12&lt;&gt;"Macro"),"",COUNTIFS($S$5:$S12,MesCiclo,$V$5:$V12,"Macro"))</f>
        <v/>
      </c>
      <c r="U12" s="62">
        <f>IF($V12="","",IF($V12="Macro",ROW(),IFERROR(LOOKUP(2,1/($V$5:$V12="Macro"),ROW($V$5:$V12)),0)))</f>
        <v/>
      </c>
      <c r="V12" s="62">
        <f>IF(NOT((COUNTA($B12:$D12)+COUNTA($G12:$L12)+COUNTA($Q12))&gt;0),"",IF($B12="Subactividad","Sub","Macro"))</f>
        <v/>
      </c>
      <c r="W12" s="62">
        <f>IF($V12="Macro",COUNTIFS($U$5:$U$1000,ROW(),$V$5:$V$1000,"Sub"),"")</f>
        <v/>
      </c>
      <c r="X12" s="62">
        <f>IF($V12="","",IF(ISNUMBER($G12),1,IFERROR(LOOKUP(2,1/($I12:$L12&lt;&gt;""),$I12:$L12),0)))</f>
        <v/>
      </c>
      <c r="Y12" s="62">
        <f>IF($V12="","",IF(AND(ISNUMBER($G12),$G12&lt;=IF($S12=MesCiclo,InicioCiclo,$S12+MOD(2-WEEKDAY($S12),7))+6),1,IF(ISNUMBER($I12),$I12,0)))</f>
        <v/>
      </c>
      <c r="Z12" s="62">
        <f>IF($V12="","",IF(AND(ISNUMBER($G12),$G12&lt;=IF($S12=MesCiclo,InicioCiclo,$S12+MOD(2-WEEKDAY($S12),7))+13),1,IF(ISNUMBER($J12),$J12,$Y12)))</f>
        <v/>
      </c>
      <c r="AA12" s="62">
        <f>IF($V12="","",IF(AND(ISNUMBER($G12),$G12&lt;=IF($S12=MesCiclo,InicioCiclo,$S12+MOD(2-WEEKDAY($S12),7))+20),1,IF(ISNUMBER($K12),$K12,$Z12)))</f>
        <v/>
      </c>
      <c r="AB12" s="62">
        <f>IF($V12="","",IF(AND(ISNUMBER($G12),$G12&lt;=IF($S12=MesCiclo,InicioCiclo,$S12+MOD(2-WEEKDAY($S12),7))+27),1,IF(ISNUMBER($L12),$L12,$AA12)))</f>
        <v/>
      </c>
      <c r="AC12" s="62">
        <f>IF($V12="","",IF(AND(ISNUMBER($G12),$G12&lt;=IF($S12=MesCiclo,InicioCiclo,$S12+MOD(2-WEEKDAY($S12),7))+6),1,IF(N($W12)&gt;0,AVERAGEIFS($Y$5:$Y$1000,$U$5:$U$1000,ROW(),$V$5:$V$1000,"Sub"),$Y12)))</f>
        <v/>
      </c>
      <c r="AD12" s="62">
        <f>IF($V12="","",IF(AND(ISNUMBER($G12),$G12&lt;=IF($S12=MesCiclo,InicioCiclo,$S12+MOD(2-WEEKDAY($S12),7))+13),1,IF(N($W12)&gt;0,AVERAGEIFS($Z$5:$Z$1000,$U$5:$U$1000,ROW(),$V$5:$V$1000,"Sub"),$Z12)))</f>
        <v/>
      </c>
      <c r="AE12" s="62">
        <f>IF($V12="","",IF(AND(ISNUMBER($G12),$G12&lt;=IF($S12=MesCiclo,InicioCiclo,$S12+MOD(2-WEEKDAY($S12),7))+20),1,IF(N($W12)&gt;0,AVERAGEIFS($AA$5:$AA$1000,$U$5:$U$1000,ROW(),$V$5:$V$1000,"Sub"),$AA12)))</f>
        <v/>
      </c>
      <c r="AF12" s="62">
        <f>IF($V12="","",IF(AND(ISNUMBER($G12),$G12&lt;=IF($S12=MesCiclo,InicioCiclo,$S12+MOD(2-WEEKDAY($S12),7))+27),1,IF(N($W12)&gt;0,AVERAGEIFS($AB$5:$AB$1000,$U$5:$U$1000,ROW(),$V$5:$V$1000,"Sub"),$AB12)))</f>
        <v/>
      </c>
      <c r="AG12" s="62">
        <f>IF($V12&lt;&gt;"Macro","",IF(COUNTIFS($S$5:$S$1000,$S12,$V$5:$V$1000,"Macro",$H$5:$H$1000,"&gt;0")=0,1/COUNTIFS($S$5:$S$1000,$S12,$V$5:$V$1000,"Macro"),IF(AND(ISNUMBER($H12),N($H12)&gt;0),$H12,SUMIFS($H$5:$H$1000,$S$5:$S$1000,$S12,$V$5:$V$1000,"Macro")/COUNTIFS($S$5:$S$1000,$S12,$V$5:$V$1000,"Macro",$H$5:$H$1000,"&gt;0"))/(COUNTIFS($S$5:$S$1000,$S12,$V$5:$V$1000,"Macro")*SUMIFS($H$5:$H$1000,$S$5:$S$1000,$S12,$V$5:$V$1000,"Macro")/COUNTIFS($S$5:$S$1000,$S12,$V$5:$V$1000,"Macro",$H$5:$H$1000,"&gt;0"))))</f>
        <v/>
      </c>
      <c r="AH12" s="62" t="n"/>
      <c r="AI12" s="62" t="n"/>
      <c r="AJ12" s="62" t="n"/>
      <c r="AK12" s="62" t="n"/>
      <c r="AL12" s="62">
        <f>IF(LEFT($C12,11)="[Jefatura] ",IFERROR(MATCH("Riesgo Financiero|"&amp;MID($C12,12,500),rDname_ADM,0),0),"")</f>
        <v/>
      </c>
      <c r="AM12" s="62">
        <f>IF(N($AL12)&gt;0,INDEX(rIni_ADM,$AL12),IF(ISNUMBER($E12),$E12,""))</f>
        <v/>
      </c>
      <c r="AN12" s="62">
        <f>IF(N($AL12)&gt;0,INDEX(rLim_ADM,$AL12),IF(ISNUMBER($F12),$F12,""))</f>
        <v/>
      </c>
    </row>
    <row r="13">
      <c r="A13" s="56">
        <f>IF(NOT((COUNTA($B13:$D13)+COUNTA($G13:$L13)+COUNTA($Q13))&gt;0),"",IF($V13="Macro",COUNTIFS($V$5:$V13,"Macro",$S$5:$S13,$S13),IF(N($U13)=0,"?",COUNTIFS(INDEX($V$5:$V$1000,1):INDEX($V$5:$V$1000,$U13-4),"Macro",INDEX($S$5:$S$1000,1):INDEX($S$5:$S$1000,$U13-4),INDEX($S$5:$S$1000,$U13-4))&amp;"."&amp;COUNTIFS($U$5:$U13,$U13,$V$5:$V13,"Sub"))))</f>
        <v/>
      </c>
      <c r="B13" s="57" t="n"/>
      <c r="C13" s="58" t="n"/>
      <c r="D13" s="58" t="n"/>
      <c r="E13" s="59">
        <f>IF(N($AL13)&gt;0,INDEX(rIni_ADM,$AL13),"")</f>
        <v/>
      </c>
      <c r="F13" s="59">
        <f>IF(N($AL13)&gt;0,INDEX(rLim_ADM,$AL13),"")</f>
        <v/>
      </c>
      <c r="G13" s="59" t="n"/>
      <c r="H13" s="60" t="n"/>
      <c r="I13" s="60" t="n"/>
      <c r="J13" s="60" t="n"/>
      <c r="K13" s="60" t="n"/>
      <c r="L13" s="60" t="n"/>
      <c r="M13" s="61">
        <f>IF(NOT((COUNTA($B13:$D13)+COUNTA($G13:$L13)+COUNTA($Q13))&gt;0),"",IF($V13="Sub",IFERROR($X13/INDEX($W$5:$W$1000,$U13-4),""),IF(ISNUMBER($G13),1,IF(N($W13)&gt;0,AVERAGEIFS($X$5:$X$1000,$U$5:$U$1000,ROW(),$V$5:$V$1000,"Sub"),$X13))))</f>
        <v/>
      </c>
      <c r="N13" s="56">
        <f>IF(OR($M13="",$V13="Sub"),"",IF($M13&gt;=1,"Completado",IF($M13&gt;0,"En curso","Pendiente")))</f>
        <v/>
      </c>
      <c r="O13" s="56">
        <f>IF(OR(NOT((COUNTA($B13:$D13)+COUNTA($G13:$L13)+COUNTA($Q13))&gt;0),$V13="Sub"),"",IF(ISNUMBER($G13),IF(AND(ISNUMBER($AN13),$G13&gt;$AN13),"Cumplida con "&amp;($G13-$AN13)&amp;IF($G13-$AN13=1," día"," días")&amp;" de retraso","Cumplida"),IF(N($M13)&gt;=1,"Cumplida",IF(NOT(ISNUMBER($AN13)),"Sin fecha límite",IF($AN13&lt;FechaRef,"Vencida hace "&amp;(FechaRef-$AN13)&amp;IF(FechaRef-$AN13=1," día"," días"),IF($AN13=FechaRef,"Vence hoy",IF($AN13-FechaRef&lt;=DiasAlerta,"Vence en "&amp;($AN13-FechaRef)&amp;IF($AN13-FechaRef=1," día"," días"),"En plazo")))))))</f>
        <v/>
      </c>
      <c r="P13" s="62" t="n"/>
      <c r="Q13" s="58" t="n"/>
      <c r="R13" s="63">
        <f>IF(NOT((COUNTA($B13:$D13)+COUNTA($G13:$L13)+COUNTA($Q13))&gt;0),"",IF((IF($C13="","Falta el nombre de la actividad"&amp;" · ","")&amp;IF(AND($V13="Sub",N($U13)=0),"Subactividad sin macroactividad arriba"&amp;" · ","")&amp;IF($AM13="","Sin fecha de inicio"&amp;" · ","")&amp;IF($AN13="","Sin fecha límite"&amp;" · ","")&amp;IF(AND(LEFT($C13,11)="[Jefatura] ",N($AL13)=0),"No se encuentra en la hoja de la jefatura (elíjala de nuevo en la lista)"&amp;" · ","")&amp;IF(OR(AND($E13&lt;&gt;"",NOT(ISNUMBER($E13))),AND($F13&lt;&gt;"",NOT(ISNUMBER($F13))),AND($G13&lt;&gt;"",NOT(ISNUMBER($G13)))),"Fecha no válida"&amp;" · ","")&amp;IF(AND(ISNUMBER($AM13),ISNUMBER($AN13),$AM13&gt;$AN13),"Inicio posterior a fecha límite"&amp;" · ","")&amp;IF(AND($V13="Macro",$H13&lt;&gt;"",OR(NOT(ISNUMBER($H13)),$H13&lt;0,$H13&gt;1)),"Peso fuera de rango"&amp;" · ","")&amp;IF(AND($V13="Sub",$H13&lt;&gt;""),"Las subactividades no llevan peso (valen igual dentro de su macroactividad)"&amp;" · ","")&amp;IF(AND(N($W13)&gt;0,COUNT($I13:$L13)&gt;0),"Con subactividades: deje vacías las semanas (se calculan solas)"&amp;" · ","")&amp;IF((COUNTIF($I13:$L13,"&gt;1")+COUNTIF($I13:$L13,"&lt;0")+COUNTA($I13:$L13)-COUNT($I13:$L13))&gt;0,"Avance fuera de rango 0-100%"&amp;" · ","")&amp;IF(OR(AND($J13&lt;&gt;"",$J13&lt;$I13),AND($K13&lt;&gt;"",$K13&lt;MAX($I13:$J13)),AND($L13&lt;&gt;"",$L13&lt;MAX($I13:$K13))),"Avance semanal decreciente"&amp;" · ","")&amp;IF(AND(ISNUMBER($AN13),$AN13&lt;FechaRef,IF($V13="Sub",N($X13),N($M13))&lt;1),"Vencida"&amp;" · ","")&amp;IF(AND(ObsObligatoria="Sí",ISNUMBER($AN13),$AN13&lt;FechaRef,IF($V13="Sub",N($X13),N($M13))&lt;1,$Q13=""),"Vencida sin observación"&amp;" · ",""))="","✔ OK","⚠ "&amp;LEFT(IF($C13="","Falta el nombre de la actividad"&amp;" · ","")&amp;IF(AND($V13="Sub",N($U13)=0),"Subactividad sin macroactividad arriba"&amp;" · ","")&amp;IF($AM13="","Sin fecha de inicio"&amp;" · ","")&amp;IF($AN13="","Sin fecha límite"&amp;" · ","")&amp;IF(AND(LEFT($C13,11)="[Jefatura] ",N($AL13)=0),"No se encuentra en la hoja de la jefatura (elíjala de nuevo en la lista)"&amp;" · ","")&amp;IF(OR(AND($E13&lt;&gt;"",NOT(ISNUMBER($E13))),AND($F13&lt;&gt;"",NOT(ISNUMBER($F13))),AND($G13&lt;&gt;"",NOT(ISNUMBER($G13)))),"Fecha no válida"&amp;" · ","")&amp;IF(AND(ISNUMBER($AM13),ISNUMBER($AN13),$AM13&gt;$AN13),"Inicio posterior a fecha límite"&amp;" · ","")&amp;IF(AND($V13="Macro",$H13&lt;&gt;"",OR(NOT(ISNUMBER($H13)),$H13&lt;0,$H13&gt;1)),"Peso fuera de rango"&amp;" · ","")&amp;IF(AND($V13="Sub",$H13&lt;&gt;""),"Las subactividades no llevan peso (valen igual dentro de su macroactividad)"&amp;" · ","")&amp;IF(AND(N($W13)&gt;0,COUNT($I13:$L13)&gt;0),"Con subactividades: deje vacías las semanas (se calculan solas)"&amp;" · ","")&amp;IF((COUNTIF($I13:$L13,"&gt;1")+COUNTIF($I13:$L13,"&lt;0")+COUNTA($I13:$L13)-COUNT($I13:$L13))&gt;0,"Avance fuera de rango 0-100%"&amp;" · ","")&amp;IF(OR(AND($J13&lt;&gt;"",$J13&lt;$I13),AND($K13&lt;&gt;"",$K13&lt;MAX($I13:$J13)),AND($L13&lt;&gt;"",$L13&lt;MAX($I13:$K13))),"Avance semanal decreciente"&amp;" · ","")&amp;IF(AND(ISNUMBER($AN13),$AN13&lt;FechaRef,IF($V13="Sub",N($X13),N($M13))&lt;1),"Vencida"&amp;" · ","")&amp;IF(AND(ObsObligatoria="Sí",ISNUMBER($AN13),$AN13&lt;FechaRef,IF($V13="Sub",N($X13),N($M13))&lt;1,$Q13=""),"Vencida sin observación"&amp;" · ",""),LEN(IF($C13="","Falta el nombre de la actividad"&amp;" · ","")&amp;IF(AND($V13="Sub",N($U13)=0),"Subactividad sin macroactividad arriba"&amp;" · ","")&amp;IF($AM13="","Sin fecha de inicio"&amp;" · ","")&amp;IF($AN13="","Sin fecha límite"&amp;" · ","")&amp;IF(AND(LEFT($C13,11)="[Jefatura] ",N($AL13)=0),"No se encuentra en la hoja de la jefatura (elíjala de nuevo en la lista)"&amp;" · ","")&amp;IF(OR(AND($E13&lt;&gt;"",NOT(ISNUMBER($E13))),AND($F13&lt;&gt;"",NOT(ISNUMBER($F13))),AND($G13&lt;&gt;"",NOT(ISNUMBER($G13)))),"Fecha no válida"&amp;" · ","")&amp;IF(AND(ISNUMBER($AM13),ISNUMBER($AN13),$AM13&gt;$AN13),"Inicio posterior a fecha límite"&amp;" · ","")&amp;IF(AND($V13="Macro",$H13&lt;&gt;"",OR(NOT(ISNUMBER($H13)),$H13&lt;0,$H13&gt;1)),"Peso fuera de rango"&amp;" · ","")&amp;IF(AND($V13="Sub",$H13&lt;&gt;""),"Las subactividades no llevan peso (valen igual dentro de su macroactividad)"&amp;" · ","")&amp;IF(AND(N($W13)&gt;0,COUNT($I13:$L13)&gt;0),"Con subactividades: deje vacías las semanas (se calculan solas)"&amp;" · ","")&amp;IF((COUNTIF($I13:$L13,"&gt;1")+COUNTIF($I13:$L13,"&lt;0")+COUNTA($I13:$L13)-COUNT($I13:$L13))&gt;0,"Avance fuera de rango 0-100%"&amp;" · ","")&amp;IF(OR(AND($J13&lt;&gt;"",$J13&lt;$I13),AND($K13&lt;&gt;"",$K13&lt;MAX($I13:$J13)),AND($L13&lt;&gt;"",$L13&lt;MAX($I13:$K13))),"Avance semanal decreciente"&amp;" · ","")&amp;IF(AND(ISNUMBER($AN13),$AN13&lt;FechaRef,IF($V13="Sub",N($X13),N($M13))&lt;1),"Vencida"&amp;" · ","")&amp;IF(AND(ObsObligatoria="Sí",ISNUMBER($AN13),$AN13&lt;FechaRef,IF($V13="Sub",N($X13),N($M13))&lt;1,$Q13=""),"Vencida sin observación"&amp;" · ",""))-3)))</f>
        <v/>
      </c>
      <c r="S13" s="64">
        <f>IF(NOT((COUNTA($B13:$D13)+COUNTA($G13:$L13)+COUNTA($Q13))&gt;0),"",IF(AND($V13="Sub",N($U13)&gt;0),IF(ISNUMBER(INDEX($AM$5:$AM$1000,$U13-4)),DATE(YEAR(INDEX($AM$5:$AM$1000,$U13-4)),MONTH(INDEX($AM$5:$AM$1000,$U13-4)),1),IF(ISNUMBER(INDEX($AN$5:$AN$1000,$U13-4)),DATE(YEAR(INDEX($AN$5:$AN$1000,$U13-4)),MONTH(INDEX($AN$5:$AN$1000,$U13-4)),1),MesCiclo)),IF(ISNUMBER($AM13),DATE(YEAR($AM13),MONTH($AM13),1),IF(ISNUMBER($AN13),DATE(YEAR($AN13),MONTH($AN13),1),MesCiclo))))</f>
        <v/>
      </c>
      <c r="T13" s="62">
        <f>IF(OR($S13="",$S13&lt;&gt;MesCiclo,$V13&lt;&gt;"Macro"),"",COUNTIFS($S$5:$S13,MesCiclo,$V$5:$V13,"Macro"))</f>
        <v/>
      </c>
      <c r="U13" s="62">
        <f>IF($V13="","",IF($V13="Macro",ROW(),IFERROR(LOOKUP(2,1/($V$5:$V13="Macro"),ROW($V$5:$V13)),0)))</f>
        <v/>
      </c>
      <c r="V13" s="62">
        <f>IF(NOT((COUNTA($B13:$D13)+COUNTA($G13:$L13)+COUNTA($Q13))&gt;0),"",IF($B13="Subactividad","Sub","Macro"))</f>
        <v/>
      </c>
      <c r="W13" s="62">
        <f>IF($V13="Macro",COUNTIFS($U$5:$U$1000,ROW(),$V$5:$V$1000,"Sub"),"")</f>
        <v/>
      </c>
      <c r="X13" s="62">
        <f>IF($V13="","",IF(ISNUMBER($G13),1,IFERROR(LOOKUP(2,1/($I13:$L13&lt;&gt;""),$I13:$L13),0)))</f>
        <v/>
      </c>
      <c r="Y13" s="62">
        <f>IF($V13="","",IF(AND(ISNUMBER($G13),$G13&lt;=IF($S13=MesCiclo,InicioCiclo,$S13+MOD(2-WEEKDAY($S13),7))+6),1,IF(ISNUMBER($I13),$I13,0)))</f>
        <v/>
      </c>
      <c r="Z13" s="62">
        <f>IF($V13="","",IF(AND(ISNUMBER($G13),$G13&lt;=IF($S13=MesCiclo,InicioCiclo,$S13+MOD(2-WEEKDAY($S13),7))+13),1,IF(ISNUMBER($J13),$J13,$Y13)))</f>
        <v/>
      </c>
      <c r="AA13" s="62">
        <f>IF($V13="","",IF(AND(ISNUMBER($G13),$G13&lt;=IF($S13=MesCiclo,InicioCiclo,$S13+MOD(2-WEEKDAY($S13),7))+20),1,IF(ISNUMBER($K13),$K13,$Z13)))</f>
        <v/>
      </c>
      <c r="AB13" s="62">
        <f>IF($V13="","",IF(AND(ISNUMBER($G13),$G13&lt;=IF($S13=MesCiclo,InicioCiclo,$S13+MOD(2-WEEKDAY($S13),7))+27),1,IF(ISNUMBER($L13),$L13,$AA13)))</f>
        <v/>
      </c>
      <c r="AC13" s="62">
        <f>IF($V13="","",IF(AND(ISNUMBER($G13),$G13&lt;=IF($S13=MesCiclo,InicioCiclo,$S13+MOD(2-WEEKDAY($S13),7))+6),1,IF(N($W13)&gt;0,AVERAGEIFS($Y$5:$Y$1000,$U$5:$U$1000,ROW(),$V$5:$V$1000,"Sub"),$Y13)))</f>
        <v/>
      </c>
      <c r="AD13" s="62">
        <f>IF($V13="","",IF(AND(ISNUMBER($G13),$G13&lt;=IF($S13=MesCiclo,InicioCiclo,$S13+MOD(2-WEEKDAY($S13),7))+13),1,IF(N($W13)&gt;0,AVERAGEIFS($Z$5:$Z$1000,$U$5:$U$1000,ROW(),$V$5:$V$1000,"Sub"),$Z13)))</f>
        <v/>
      </c>
      <c r="AE13" s="62">
        <f>IF($V13="","",IF(AND(ISNUMBER($G13),$G13&lt;=IF($S13=MesCiclo,InicioCiclo,$S13+MOD(2-WEEKDAY($S13),7))+20),1,IF(N($W13)&gt;0,AVERAGEIFS($AA$5:$AA$1000,$U$5:$U$1000,ROW(),$V$5:$V$1000,"Sub"),$AA13)))</f>
        <v/>
      </c>
      <c r="AF13" s="62">
        <f>IF($V13="","",IF(AND(ISNUMBER($G13),$G13&lt;=IF($S13=MesCiclo,InicioCiclo,$S13+MOD(2-WEEKDAY($S13),7))+27),1,IF(N($W13)&gt;0,AVERAGEIFS($AB$5:$AB$1000,$U$5:$U$1000,ROW(),$V$5:$V$1000,"Sub"),$AB13)))</f>
        <v/>
      </c>
      <c r="AG13" s="62">
        <f>IF($V13&lt;&gt;"Macro","",IF(COUNTIFS($S$5:$S$1000,$S13,$V$5:$V$1000,"Macro",$H$5:$H$1000,"&gt;0")=0,1/COUNTIFS($S$5:$S$1000,$S13,$V$5:$V$1000,"Macro"),IF(AND(ISNUMBER($H13),N($H13)&gt;0),$H13,SUMIFS($H$5:$H$1000,$S$5:$S$1000,$S13,$V$5:$V$1000,"Macro")/COUNTIFS($S$5:$S$1000,$S13,$V$5:$V$1000,"Macro",$H$5:$H$1000,"&gt;0"))/(COUNTIFS($S$5:$S$1000,$S13,$V$5:$V$1000,"Macro")*SUMIFS($H$5:$H$1000,$S$5:$S$1000,$S13,$V$5:$V$1000,"Macro")/COUNTIFS($S$5:$S$1000,$S13,$V$5:$V$1000,"Macro",$H$5:$H$1000,"&gt;0"))))</f>
        <v/>
      </c>
      <c r="AH13" s="62" t="n"/>
      <c r="AI13" s="62" t="n"/>
      <c r="AJ13" s="62" t="n"/>
      <c r="AK13" s="62" t="n"/>
      <c r="AL13" s="62">
        <f>IF(LEFT($C13,11)="[Jefatura] ",IFERROR(MATCH("Riesgo Financiero|"&amp;MID($C13,12,500),rDname_ADM,0),0),"")</f>
        <v/>
      </c>
      <c r="AM13" s="62">
        <f>IF(N($AL13)&gt;0,INDEX(rIni_ADM,$AL13),IF(ISNUMBER($E13),$E13,""))</f>
        <v/>
      </c>
      <c r="AN13" s="62">
        <f>IF(N($AL13)&gt;0,INDEX(rLim_ADM,$AL13),IF(ISNUMBER($F13),$F13,""))</f>
        <v/>
      </c>
    </row>
    <row r="14">
      <c r="A14" s="56">
        <f>IF(NOT((COUNTA($B14:$D14)+COUNTA($G14:$L14)+COUNTA($Q14))&gt;0),"",IF($V14="Macro",COUNTIFS($V$5:$V14,"Macro",$S$5:$S14,$S14),IF(N($U14)=0,"?",COUNTIFS(INDEX($V$5:$V$1000,1):INDEX($V$5:$V$1000,$U14-4),"Macro",INDEX($S$5:$S$1000,1):INDEX($S$5:$S$1000,$U14-4),INDEX($S$5:$S$1000,$U14-4))&amp;"."&amp;COUNTIFS($U$5:$U14,$U14,$V$5:$V14,"Sub"))))</f>
        <v/>
      </c>
      <c r="B14" s="57" t="n"/>
      <c r="C14" s="58" t="n"/>
      <c r="D14" s="58" t="n"/>
      <c r="E14" s="59">
        <f>IF(N($AL14)&gt;0,INDEX(rIni_ADM,$AL14),"")</f>
        <v/>
      </c>
      <c r="F14" s="59">
        <f>IF(N($AL14)&gt;0,INDEX(rLim_ADM,$AL14),"")</f>
        <v/>
      </c>
      <c r="G14" s="59" t="n"/>
      <c r="H14" s="60" t="n"/>
      <c r="I14" s="60" t="n"/>
      <c r="J14" s="60" t="n"/>
      <c r="K14" s="60" t="n"/>
      <c r="L14" s="60" t="n"/>
      <c r="M14" s="61">
        <f>IF(NOT((COUNTA($B14:$D14)+COUNTA($G14:$L14)+COUNTA($Q14))&gt;0),"",IF($V14="Sub",IFERROR($X14/INDEX($W$5:$W$1000,$U14-4),""),IF(ISNUMBER($G14),1,IF(N($W14)&gt;0,AVERAGEIFS($X$5:$X$1000,$U$5:$U$1000,ROW(),$V$5:$V$1000,"Sub"),$X14))))</f>
        <v/>
      </c>
      <c r="N14" s="56">
        <f>IF(OR($M14="",$V14="Sub"),"",IF($M14&gt;=1,"Completado",IF($M14&gt;0,"En curso","Pendiente")))</f>
        <v/>
      </c>
      <c r="O14" s="56">
        <f>IF(OR(NOT((COUNTA($B14:$D14)+COUNTA($G14:$L14)+COUNTA($Q14))&gt;0),$V14="Sub"),"",IF(ISNUMBER($G14),IF(AND(ISNUMBER($AN14),$G14&gt;$AN14),"Cumplida con "&amp;($G14-$AN14)&amp;IF($G14-$AN14=1," día"," días")&amp;" de retraso","Cumplida"),IF(N($M14)&gt;=1,"Cumplida",IF(NOT(ISNUMBER($AN14)),"Sin fecha límite",IF($AN14&lt;FechaRef,"Vencida hace "&amp;(FechaRef-$AN14)&amp;IF(FechaRef-$AN14=1," día"," días"),IF($AN14=FechaRef,"Vence hoy",IF($AN14-FechaRef&lt;=DiasAlerta,"Vence en "&amp;($AN14-FechaRef)&amp;IF($AN14-FechaRef=1," día"," días"),"En plazo")))))))</f>
        <v/>
      </c>
      <c r="P14" s="62" t="n"/>
      <c r="Q14" s="58" t="n"/>
      <c r="R14" s="63">
        <f>IF(NOT((COUNTA($B14:$D14)+COUNTA($G14:$L14)+COUNTA($Q14))&gt;0),"",IF((IF($C14="","Falta el nombre de la actividad"&amp;" · ","")&amp;IF(AND($V14="Sub",N($U14)=0),"Subactividad sin macroactividad arriba"&amp;" · ","")&amp;IF($AM14="","Sin fecha de inicio"&amp;" · ","")&amp;IF($AN14="","Sin fecha límite"&amp;" · ","")&amp;IF(AND(LEFT($C14,11)="[Jefatura] ",N($AL14)=0),"No se encuentra en la hoja de la jefatura (elíjala de nuevo en la lista)"&amp;" · ","")&amp;IF(OR(AND($E14&lt;&gt;"",NOT(ISNUMBER($E14))),AND($F14&lt;&gt;"",NOT(ISNUMBER($F14))),AND($G14&lt;&gt;"",NOT(ISNUMBER($G14)))),"Fecha no válida"&amp;" · ","")&amp;IF(AND(ISNUMBER($AM14),ISNUMBER($AN14),$AM14&gt;$AN14),"Inicio posterior a fecha límite"&amp;" · ","")&amp;IF(AND($V14="Macro",$H14&lt;&gt;"",OR(NOT(ISNUMBER($H14)),$H14&lt;0,$H14&gt;1)),"Peso fuera de rango"&amp;" · ","")&amp;IF(AND($V14="Sub",$H14&lt;&gt;""),"Las subactividades no llevan peso (valen igual dentro de su macroactividad)"&amp;" · ","")&amp;IF(AND(N($W14)&gt;0,COUNT($I14:$L14)&gt;0),"Con subactividades: deje vacías las semanas (se calculan solas)"&amp;" · ","")&amp;IF((COUNTIF($I14:$L14,"&gt;1")+COUNTIF($I14:$L14,"&lt;0")+COUNTA($I14:$L14)-COUNT($I14:$L14))&gt;0,"Avance fuera de rango 0-100%"&amp;" · ","")&amp;IF(OR(AND($J14&lt;&gt;"",$J14&lt;$I14),AND($K14&lt;&gt;"",$K14&lt;MAX($I14:$J14)),AND($L14&lt;&gt;"",$L14&lt;MAX($I14:$K14))),"Avance semanal decreciente"&amp;" · ","")&amp;IF(AND(ISNUMBER($AN14),$AN14&lt;FechaRef,IF($V14="Sub",N($X14),N($M14))&lt;1),"Vencida"&amp;" · ","")&amp;IF(AND(ObsObligatoria="Sí",ISNUMBER($AN14),$AN14&lt;FechaRef,IF($V14="Sub",N($X14),N($M14))&lt;1,$Q14=""),"Vencida sin observación"&amp;" · ",""))="","✔ OK","⚠ "&amp;LEFT(IF($C14="","Falta el nombre de la actividad"&amp;" · ","")&amp;IF(AND($V14="Sub",N($U14)=0),"Subactividad sin macroactividad arriba"&amp;" · ","")&amp;IF($AM14="","Sin fecha de inicio"&amp;" · ","")&amp;IF($AN14="","Sin fecha límite"&amp;" · ","")&amp;IF(AND(LEFT($C14,11)="[Jefatura] ",N($AL14)=0),"No se encuentra en la hoja de la jefatura (elíjala de nuevo en la lista)"&amp;" · ","")&amp;IF(OR(AND($E14&lt;&gt;"",NOT(ISNUMBER($E14))),AND($F14&lt;&gt;"",NOT(ISNUMBER($F14))),AND($G14&lt;&gt;"",NOT(ISNUMBER($G14)))),"Fecha no válida"&amp;" · ","")&amp;IF(AND(ISNUMBER($AM14),ISNUMBER($AN14),$AM14&gt;$AN14),"Inicio posterior a fecha límite"&amp;" · ","")&amp;IF(AND($V14="Macro",$H14&lt;&gt;"",OR(NOT(ISNUMBER($H14)),$H14&lt;0,$H14&gt;1)),"Peso fuera de rango"&amp;" · ","")&amp;IF(AND($V14="Sub",$H14&lt;&gt;""),"Las subactividades no llevan peso (valen igual dentro de su macroactividad)"&amp;" · ","")&amp;IF(AND(N($W14)&gt;0,COUNT($I14:$L14)&gt;0),"Con subactividades: deje vacías las semanas (se calculan solas)"&amp;" · ","")&amp;IF((COUNTIF($I14:$L14,"&gt;1")+COUNTIF($I14:$L14,"&lt;0")+COUNTA($I14:$L14)-COUNT($I14:$L14))&gt;0,"Avance fuera de rango 0-100%"&amp;" · ","")&amp;IF(OR(AND($J14&lt;&gt;"",$J14&lt;$I14),AND($K14&lt;&gt;"",$K14&lt;MAX($I14:$J14)),AND($L14&lt;&gt;"",$L14&lt;MAX($I14:$K14))),"Avance semanal decreciente"&amp;" · ","")&amp;IF(AND(ISNUMBER($AN14),$AN14&lt;FechaRef,IF($V14="Sub",N($X14),N($M14))&lt;1),"Vencida"&amp;" · ","")&amp;IF(AND(ObsObligatoria="Sí",ISNUMBER($AN14),$AN14&lt;FechaRef,IF($V14="Sub",N($X14),N($M14))&lt;1,$Q14=""),"Vencida sin observación"&amp;" · ",""),LEN(IF($C14="","Falta el nombre de la actividad"&amp;" · ","")&amp;IF(AND($V14="Sub",N($U14)=0),"Subactividad sin macroactividad arriba"&amp;" · ","")&amp;IF($AM14="","Sin fecha de inicio"&amp;" · ","")&amp;IF($AN14="","Sin fecha límite"&amp;" · ","")&amp;IF(AND(LEFT($C14,11)="[Jefatura] ",N($AL14)=0),"No se encuentra en la hoja de la jefatura (elíjala de nuevo en la lista)"&amp;" · ","")&amp;IF(OR(AND($E14&lt;&gt;"",NOT(ISNUMBER($E14))),AND($F14&lt;&gt;"",NOT(ISNUMBER($F14))),AND($G14&lt;&gt;"",NOT(ISNUMBER($G14)))),"Fecha no válida"&amp;" · ","")&amp;IF(AND(ISNUMBER($AM14),ISNUMBER($AN14),$AM14&gt;$AN14),"Inicio posterior a fecha límite"&amp;" · ","")&amp;IF(AND($V14="Macro",$H14&lt;&gt;"",OR(NOT(ISNUMBER($H14)),$H14&lt;0,$H14&gt;1)),"Peso fuera de rango"&amp;" · ","")&amp;IF(AND($V14="Sub",$H14&lt;&gt;""),"Las subactividades no llevan peso (valen igual dentro de su macroactividad)"&amp;" · ","")&amp;IF(AND(N($W14)&gt;0,COUNT($I14:$L14)&gt;0),"Con subactividades: deje vacías las semanas (se calculan solas)"&amp;" · ","")&amp;IF((COUNTIF($I14:$L14,"&gt;1")+COUNTIF($I14:$L14,"&lt;0")+COUNTA($I14:$L14)-COUNT($I14:$L14))&gt;0,"Avance fuera de rango 0-100%"&amp;" · ","")&amp;IF(OR(AND($J14&lt;&gt;"",$J14&lt;$I14),AND($K14&lt;&gt;"",$K14&lt;MAX($I14:$J14)),AND($L14&lt;&gt;"",$L14&lt;MAX($I14:$K14))),"Avance semanal decreciente"&amp;" · ","")&amp;IF(AND(ISNUMBER($AN14),$AN14&lt;FechaRef,IF($V14="Sub",N($X14),N($M14))&lt;1),"Vencida"&amp;" · ","")&amp;IF(AND(ObsObligatoria="Sí",ISNUMBER($AN14),$AN14&lt;FechaRef,IF($V14="Sub",N($X14),N($M14))&lt;1,$Q14=""),"Vencida sin observación"&amp;" · ",""))-3)))</f>
        <v/>
      </c>
      <c r="S14" s="64">
        <f>IF(NOT((COUNTA($B14:$D14)+COUNTA($G14:$L14)+COUNTA($Q14))&gt;0),"",IF(AND($V14="Sub",N($U14)&gt;0),IF(ISNUMBER(INDEX($AM$5:$AM$1000,$U14-4)),DATE(YEAR(INDEX($AM$5:$AM$1000,$U14-4)),MONTH(INDEX($AM$5:$AM$1000,$U14-4)),1),IF(ISNUMBER(INDEX($AN$5:$AN$1000,$U14-4)),DATE(YEAR(INDEX($AN$5:$AN$1000,$U14-4)),MONTH(INDEX($AN$5:$AN$1000,$U14-4)),1),MesCiclo)),IF(ISNUMBER($AM14),DATE(YEAR($AM14),MONTH($AM14),1),IF(ISNUMBER($AN14),DATE(YEAR($AN14),MONTH($AN14),1),MesCiclo))))</f>
        <v/>
      </c>
      <c r="T14" s="62">
        <f>IF(OR($S14="",$S14&lt;&gt;MesCiclo,$V14&lt;&gt;"Macro"),"",COUNTIFS($S$5:$S14,MesCiclo,$V$5:$V14,"Macro"))</f>
        <v/>
      </c>
      <c r="U14" s="62">
        <f>IF($V14="","",IF($V14="Macro",ROW(),IFERROR(LOOKUP(2,1/($V$5:$V14="Macro"),ROW($V$5:$V14)),0)))</f>
        <v/>
      </c>
      <c r="V14" s="62">
        <f>IF(NOT((COUNTA($B14:$D14)+COUNTA($G14:$L14)+COUNTA($Q14))&gt;0),"",IF($B14="Subactividad","Sub","Macro"))</f>
        <v/>
      </c>
      <c r="W14" s="62">
        <f>IF($V14="Macro",COUNTIFS($U$5:$U$1000,ROW(),$V$5:$V$1000,"Sub"),"")</f>
        <v/>
      </c>
      <c r="X14" s="62">
        <f>IF($V14="","",IF(ISNUMBER($G14),1,IFERROR(LOOKUP(2,1/($I14:$L14&lt;&gt;""),$I14:$L14),0)))</f>
        <v/>
      </c>
      <c r="Y14" s="62">
        <f>IF($V14="","",IF(AND(ISNUMBER($G14),$G14&lt;=IF($S14=MesCiclo,InicioCiclo,$S14+MOD(2-WEEKDAY($S14),7))+6),1,IF(ISNUMBER($I14),$I14,0)))</f>
        <v/>
      </c>
      <c r="Z14" s="62">
        <f>IF($V14="","",IF(AND(ISNUMBER($G14),$G14&lt;=IF($S14=MesCiclo,InicioCiclo,$S14+MOD(2-WEEKDAY($S14),7))+13),1,IF(ISNUMBER($J14),$J14,$Y14)))</f>
        <v/>
      </c>
      <c r="AA14" s="62">
        <f>IF($V14="","",IF(AND(ISNUMBER($G14),$G14&lt;=IF($S14=MesCiclo,InicioCiclo,$S14+MOD(2-WEEKDAY($S14),7))+20),1,IF(ISNUMBER($K14),$K14,$Z14)))</f>
        <v/>
      </c>
      <c r="AB14" s="62">
        <f>IF($V14="","",IF(AND(ISNUMBER($G14),$G14&lt;=IF($S14=MesCiclo,InicioCiclo,$S14+MOD(2-WEEKDAY($S14),7))+27),1,IF(ISNUMBER($L14),$L14,$AA14)))</f>
        <v/>
      </c>
      <c r="AC14" s="62">
        <f>IF($V14="","",IF(AND(ISNUMBER($G14),$G14&lt;=IF($S14=MesCiclo,InicioCiclo,$S14+MOD(2-WEEKDAY($S14),7))+6),1,IF(N($W14)&gt;0,AVERAGEIFS($Y$5:$Y$1000,$U$5:$U$1000,ROW(),$V$5:$V$1000,"Sub"),$Y14)))</f>
        <v/>
      </c>
      <c r="AD14" s="62">
        <f>IF($V14="","",IF(AND(ISNUMBER($G14),$G14&lt;=IF($S14=MesCiclo,InicioCiclo,$S14+MOD(2-WEEKDAY($S14),7))+13),1,IF(N($W14)&gt;0,AVERAGEIFS($Z$5:$Z$1000,$U$5:$U$1000,ROW(),$V$5:$V$1000,"Sub"),$Z14)))</f>
        <v/>
      </c>
      <c r="AE14" s="62">
        <f>IF($V14="","",IF(AND(ISNUMBER($G14),$G14&lt;=IF($S14=MesCiclo,InicioCiclo,$S14+MOD(2-WEEKDAY($S14),7))+20),1,IF(N($W14)&gt;0,AVERAGEIFS($AA$5:$AA$1000,$U$5:$U$1000,ROW(),$V$5:$V$1000,"Sub"),$AA14)))</f>
        <v/>
      </c>
      <c r="AF14" s="62">
        <f>IF($V14="","",IF(AND(ISNUMBER($G14),$G14&lt;=IF($S14=MesCiclo,InicioCiclo,$S14+MOD(2-WEEKDAY($S14),7))+27),1,IF(N($W14)&gt;0,AVERAGEIFS($AB$5:$AB$1000,$U$5:$U$1000,ROW(),$V$5:$V$1000,"Sub"),$AB14)))</f>
        <v/>
      </c>
      <c r="AG14" s="62">
        <f>IF($V14&lt;&gt;"Macro","",IF(COUNTIFS($S$5:$S$1000,$S14,$V$5:$V$1000,"Macro",$H$5:$H$1000,"&gt;0")=0,1/COUNTIFS($S$5:$S$1000,$S14,$V$5:$V$1000,"Macro"),IF(AND(ISNUMBER($H14),N($H14)&gt;0),$H14,SUMIFS($H$5:$H$1000,$S$5:$S$1000,$S14,$V$5:$V$1000,"Macro")/COUNTIFS($S$5:$S$1000,$S14,$V$5:$V$1000,"Macro",$H$5:$H$1000,"&gt;0"))/(COUNTIFS($S$5:$S$1000,$S14,$V$5:$V$1000,"Macro")*SUMIFS($H$5:$H$1000,$S$5:$S$1000,$S14,$V$5:$V$1000,"Macro")/COUNTIFS($S$5:$S$1000,$S14,$V$5:$V$1000,"Macro",$H$5:$H$1000,"&gt;0"))))</f>
        <v/>
      </c>
      <c r="AH14" s="62" t="n"/>
      <c r="AI14" s="62" t="n"/>
      <c r="AJ14" s="62" t="n"/>
      <c r="AK14" s="62" t="n"/>
      <c r="AL14" s="62">
        <f>IF(LEFT($C14,11)="[Jefatura] ",IFERROR(MATCH("Riesgo Financiero|"&amp;MID($C14,12,500),rDname_ADM,0),0),"")</f>
        <v/>
      </c>
      <c r="AM14" s="62">
        <f>IF(N($AL14)&gt;0,INDEX(rIni_ADM,$AL14),IF(ISNUMBER($E14),$E14,""))</f>
        <v/>
      </c>
      <c r="AN14" s="62">
        <f>IF(N($AL14)&gt;0,INDEX(rLim_ADM,$AL14),IF(ISNUMBER($F14),$F14,""))</f>
        <v/>
      </c>
    </row>
    <row r="15">
      <c r="A15" s="56">
        <f>IF(NOT((COUNTA($B15:$D15)+COUNTA($G15:$L15)+COUNTA($Q15))&gt;0),"",IF($V15="Macro",COUNTIFS($V$5:$V15,"Macro",$S$5:$S15,$S15),IF(N($U15)=0,"?",COUNTIFS(INDEX($V$5:$V$1000,1):INDEX($V$5:$V$1000,$U15-4),"Macro",INDEX($S$5:$S$1000,1):INDEX($S$5:$S$1000,$U15-4),INDEX($S$5:$S$1000,$U15-4))&amp;"."&amp;COUNTIFS($U$5:$U15,$U15,$V$5:$V15,"Sub"))))</f>
        <v/>
      </c>
      <c r="B15" s="57" t="n"/>
      <c r="C15" s="58" t="n"/>
      <c r="D15" s="58" t="n"/>
      <c r="E15" s="59">
        <f>IF(N($AL15)&gt;0,INDEX(rIni_ADM,$AL15),"")</f>
        <v/>
      </c>
      <c r="F15" s="59">
        <f>IF(N($AL15)&gt;0,INDEX(rLim_ADM,$AL15),"")</f>
        <v/>
      </c>
      <c r="G15" s="59" t="n"/>
      <c r="H15" s="60" t="n"/>
      <c r="I15" s="60" t="n"/>
      <c r="J15" s="60" t="n"/>
      <c r="K15" s="60" t="n"/>
      <c r="L15" s="60" t="n"/>
      <c r="M15" s="61">
        <f>IF(NOT((COUNTA($B15:$D15)+COUNTA($G15:$L15)+COUNTA($Q15))&gt;0),"",IF($V15="Sub",IFERROR($X15/INDEX($W$5:$W$1000,$U15-4),""),IF(ISNUMBER($G15),1,IF(N($W15)&gt;0,AVERAGEIFS($X$5:$X$1000,$U$5:$U$1000,ROW(),$V$5:$V$1000,"Sub"),$X15))))</f>
        <v/>
      </c>
      <c r="N15" s="56">
        <f>IF(OR($M15="",$V15="Sub"),"",IF($M15&gt;=1,"Completado",IF($M15&gt;0,"En curso","Pendiente")))</f>
        <v/>
      </c>
      <c r="O15" s="56">
        <f>IF(OR(NOT((COUNTA($B15:$D15)+COUNTA($G15:$L15)+COUNTA($Q15))&gt;0),$V15="Sub"),"",IF(ISNUMBER($G15),IF(AND(ISNUMBER($AN15),$G15&gt;$AN15),"Cumplida con "&amp;($G15-$AN15)&amp;IF($G15-$AN15=1," día"," días")&amp;" de retraso","Cumplida"),IF(N($M15)&gt;=1,"Cumplida",IF(NOT(ISNUMBER($AN15)),"Sin fecha límite",IF($AN15&lt;FechaRef,"Vencida hace "&amp;(FechaRef-$AN15)&amp;IF(FechaRef-$AN15=1," día"," días"),IF($AN15=FechaRef,"Vence hoy",IF($AN15-FechaRef&lt;=DiasAlerta,"Vence en "&amp;($AN15-FechaRef)&amp;IF($AN15-FechaRef=1," día"," días"),"En plazo")))))))</f>
        <v/>
      </c>
      <c r="P15" s="62" t="n"/>
      <c r="Q15" s="58" t="n"/>
      <c r="R15" s="63">
        <f>IF(NOT((COUNTA($B15:$D15)+COUNTA($G15:$L15)+COUNTA($Q15))&gt;0),"",IF((IF($C15="","Falta el nombre de la actividad"&amp;" · ","")&amp;IF(AND($V15="Sub",N($U15)=0),"Subactividad sin macroactividad arriba"&amp;" · ","")&amp;IF($AM15="","Sin fecha de inicio"&amp;" · ","")&amp;IF($AN15="","Sin fecha límite"&amp;" · ","")&amp;IF(AND(LEFT($C15,11)="[Jefatura] ",N($AL15)=0),"No se encuentra en la hoja de la jefatura (elíjala de nuevo en la lista)"&amp;" · ","")&amp;IF(OR(AND($E15&lt;&gt;"",NOT(ISNUMBER($E15))),AND($F15&lt;&gt;"",NOT(ISNUMBER($F15))),AND($G15&lt;&gt;"",NOT(ISNUMBER($G15)))),"Fecha no válida"&amp;" · ","")&amp;IF(AND(ISNUMBER($AM15),ISNUMBER($AN15),$AM15&gt;$AN15),"Inicio posterior a fecha límite"&amp;" · ","")&amp;IF(AND($V15="Macro",$H15&lt;&gt;"",OR(NOT(ISNUMBER($H15)),$H15&lt;0,$H15&gt;1)),"Peso fuera de rango"&amp;" · ","")&amp;IF(AND($V15="Sub",$H15&lt;&gt;""),"Las subactividades no llevan peso (valen igual dentro de su macroactividad)"&amp;" · ","")&amp;IF(AND(N($W15)&gt;0,COUNT($I15:$L15)&gt;0),"Con subactividades: deje vacías las semanas (se calculan solas)"&amp;" · ","")&amp;IF((COUNTIF($I15:$L15,"&gt;1")+COUNTIF($I15:$L15,"&lt;0")+COUNTA($I15:$L15)-COUNT($I15:$L15))&gt;0,"Avance fuera de rango 0-100%"&amp;" · ","")&amp;IF(OR(AND($J15&lt;&gt;"",$J15&lt;$I15),AND($K15&lt;&gt;"",$K15&lt;MAX($I15:$J15)),AND($L15&lt;&gt;"",$L15&lt;MAX($I15:$K15))),"Avance semanal decreciente"&amp;" · ","")&amp;IF(AND(ISNUMBER($AN15),$AN15&lt;FechaRef,IF($V15="Sub",N($X15),N($M15))&lt;1),"Vencida"&amp;" · ","")&amp;IF(AND(ObsObligatoria="Sí",ISNUMBER($AN15),$AN15&lt;FechaRef,IF($V15="Sub",N($X15),N($M15))&lt;1,$Q15=""),"Vencida sin observación"&amp;" · ",""))="","✔ OK","⚠ "&amp;LEFT(IF($C15="","Falta el nombre de la actividad"&amp;" · ","")&amp;IF(AND($V15="Sub",N($U15)=0),"Subactividad sin macroactividad arriba"&amp;" · ","")&amp;IF($AM15="","Sin fecha de inicio"&amp;" · ","")&amp;IF($AN15="","Sin fecha límite"&amp;" · ","")&amp;IF(AND(LEFT($C15,11)="[Jefatura] ",N($AL15)=0),"No se encuentra en la hoja de la jefatura (elíjala de nuevo en la lista)"&amp;" · ","")&amp;IF(OR(AND($E15&lt;&gt;"",NOT(ISNUMBER($E15))),AND($F15&lt;&gt;"",NOT(ISNUMBER($F15))),AND($G15&lt;&gt;"",NOT(ISNUMBER($G15)))),"Fecha no válida"&amp;" · ","")&amp;IF(AND(ISNUMBER($AM15),ISNUMBER($AN15),$AM15&gt;$AN15),"Inicio posterior a fecha límite"&amp;" · ","")&amp;IF(AND($V15="Macro",$H15&lt;&gt;"",OR(NOT(ISNUMBER($H15)),$H15&lt;0,$H15&gt;1)),"Peso fuera de rango"&amp;" · ","")&amp;IF(AND($V15="Sub",$H15&lt;&gt;""),"Las subactividades no llevan peso (valen igual dentro de su macroactividad)"&amp;" · ","")&amp;IF(AND(N($W15)&gt;0,COUNT($I15:$L15)&gt;0),"Con subactividades: deje vacías las semanas (se calculan solas)"&amp;" · ","")&amp;IF((COUNTIF($I15:$L15,"&gt;1")+COUNTIF($I15:$L15,"&lt;0")+COUNTA($I15:$L15)-COUNT($I15:$L15))&gt;0,"Avance fuera de rango 0-100%"&amp;" · ","")&amp;IF(OR(AND($J15&lt;&gt;"",$J15&lt;$I15),AND($K15&lt;&gt;"",$K15&lt;MAX($I15:$J15)),AND($L15&lt;&gt;"",$L15&lt;MAX($I15:$K15))),"Avance semanal decreciente"&amp;" · ","")&amp;IF(AND(ISNUMBER($AN15),$AN15&lt;FechaRef,IF($V15="Sub",N($X15),N($M15))&lt;1),"Vencida"&amp;" · ","")&amp;IF(AND(ObsObligatoria="Sí",ISNUMBER($AN15),$AN15&lt;FechaRef,IF($V15="Sub",N($X15),N($M15))&lt;1,$Q15=""),"Vencida sin observación"&amp;" · ",""),LEN(IF($C15="","Falta el nombre de la actividad"&amp;" · ","")&amp;IF(AND($V15="Sub",N($U15)=0),"Subactividad sin macroactividad arriba"&amp;" · ","")&amp;IF($AM15="","Sin fecha de inicio"&amp;" · ","")&amp;IF($AN15="","Sin fecha límite"&amp;" · ","")&amp;IF(AND(LEFT($C15,11)="[Jefatura] ",N($AL15)=0),"No se encuentra en la hoja de la jefatura (elíjala de nuevo en la lista)"&amp;" · ","")&amp;IF(OR(AND($E15&lt;&gt;"",NOT(ISNUMBER($E15))),AND($F15&lt;&gt;"",NOT(ISNUMBER($F15))),AND($G15&lt;&gt;"",NOT(ISNUMBER($G15)))),"Fecha no válida"&amp;" · ","")&amp;IF(AND(ISNUMBER($AM15),ISNUMBER($AN15),$AM15&gt;$AN15),"Inicio posterior a fecha límite"&amp;" · ","")&amp;IF(AND($V15="Macro",$H15&lt;&gt;"",OR(NOT(ISNUMBER($H15)),$H15&lt;0,$H15&gt;1)),"Peso fuera de rango"&amp;" · ","")&amp;IF(AND($V15="Sub",$H15&lt;&gt;""),"Las subactividades no llevan peso (valen igual dentro de su macroactividad)"&amp;" · ","")&amp;IF(AND(N($W15)&gt;0,COUNT($I15:$L15)&gt;0),"Con subactividades: deje vacías las semanas (se calculan solas)"&amp;" · ","")&amp;IF((COUNTIF($I15:$L15,"&gt;1")+COUNTIF($I15:$L15,"&lt;0")+COUNTA($I15:$L15)-COUNT($I15:$L15))&gt;0,"Avance fuera de rango 0-100%"&amp;" · ","")&amp;IF(OR(AND($J15&lt;&gt;"",$J15&lt;$I15),AND($K15&lt;&gt;"",$K15&lt;MAX($I15:$J15)),AND($L15&lt;&gt;"",$L15&lt;MAX($I15:$K15))),"Avance semanal decreciente"&amp;" · ","")&amp;IF(AND(ISNUMBER($AN15),$AN15&lt;FechaRef,IF($V15="Sub",N($X15),N($M15))&lt;1),"Vencida"&amp;" · ","")&amp;IF(AND(ObsObligatoria="Sí",ISNUMBER($AN15),$AN15&lt;FechaRef,IF($V15="Sub",N($X15),N($M15))&lt;1,$Q15=""),"Vencida sin observación"&amp;" · ",""))-3)))</f>
        <v/>
      </c>
      <c r="S15" s="64">
        <f>IF(NOT((COUNTA($B15:$D15)+COUNTA($G15:$L15)+COUNTA($Q15))&gt;0),"",IF(AND($V15="Sub",N($U15)&gt;0),IF(ISNUMBER(INDEX($AM$5:$AM$1000,$U15-4)),DATE(YEAR(INDEX($AM$5:$AM$1000,$U15-4)),MONTH(INDEX($AM$5:$AM$1000,$U15-4)),1),IF(ISNUMBER(INDEX($AN$5:$AN$1000,$U15-4)),DATE(YEAR(INDEX($AN$5:$AN$1000,$U15-4)),MONTH(INDEX($AN$5:$AN$1000,$U15-4)),1),MesCiclo)),IF(ISNUMBER($AM15),DATE(YEAR($AM15),MONTH($AM15),1),IF(ISNUMBER($AN15),DATE(YEAR($AN15),MONTH($AN15),1),MesCiclo))))</f>
        <v/>
      </c>
      <c r="T15" s="62">
        <f>IF(OR($S15="",$S15&lt;&gt;MesCiclo,$V15&lt;&gt;"Macro"),"",COUNTIFS($S$5:$S15,MesCiclo,$V$5:$V15,"Macro"))</f>
        <v/>
      </c>
      <c r="U15" s="62">
        <f>IF($V15="","",IF($V15="Macro",ROW(),IFERROR(LOOKUP(2,1/($V$5:$V15="Macro"),ROW($V$5:$V15)),0)))</f>
        <v/>
      </c>
      <c r="V15" s="62">
        <f>IF(NOT((COUNTA($B15:$D15)+COUNTA($G15:$L15)+COUNTA($Q15))&gt;0),"",IF($B15="Subactividad","Sub","Macro"))</f>
        <v/>
      </c>
      <c r="W15" s="62">
        <f>IF($V15="Macro",COUNTIFS($U$5:$U$1000,ROW(),$V$5:$V$1000,"Sub"),"")</f>
        <v/>
      </c>
      <c r="X15" s="62">
        <f>IF($V15="","",IF(ISNUMBER($G15),1,IFERROR(LOOKUP(2,1/($I15:$L15&lt;&gt;""),$I15:$L15),0)))</f>
        <v/>
      </c>
      <c r="Y15" s="62">
        <f>IF($V15="","",IF(AND(ISNUMBER($G15),$G15&lt;=IF($S15=MesCiclo,InicioCiclo,$S15+MOD(2-WEEKDAY($S15),7))+6),1,IF(ISNUMBER($I15),$I15,0)))</f>
        <v/>
      </c>
      <c r="Z15" s="62">
        <f>IF($V15="","",IF(AND(ISNUMBER($G15),$G15&lt;=IF($S15=MesCiclo,InicioCiclo,$S15+MOD(2-WEEKDAY($S15),7))+13),1,IF(ISNUMBER($J15),$J15,$Y15)))</f>
        <v/>
      </c>
      <c r="AA15" s="62">
        <f>IF($V15="","",IF(AND(ISNUMBER($G15),$G15&lt;=IF($S15=MesCiclo,InicioCiclo,$S15+MOD(2-WEEKDAY($S15),7))+20),1,IF(ISNUMBER($K15),$K15,$Z15)))</f>
        <v/>
      </c>
      <c r="AB15" s="62">
        <f>IF($V15="","",IF(AND(ISNUMBER($G15),$G15&lt;=IF($S15=MesCiclo,InicioCiclo,$S15+MOD(2-WEEKDAY($S15),7))+27),1,IF(ISNUMBER($L15),$L15,$AA15)))</f>
        <v/>
      </c>
      <c r="AC15" s="62">
        <f>IF($V15="","",IF(AND(ISNUMBER($G15),$G15&lt;=IF($S15=MesCiclo,InicioCiclo,$S15+MOD(2-WEEKDAY($S15),7))+6),1,IF(N($W15)&gt;0,AVERAGEIFS($Y$5:$Y$1000,$U$5:$U$1000,ROW(),$V$5:$V$1000,"Sub"),$Y15)))</f>
        <v/>
      </c>
      <c r="AD15" s="62">
        <f>IF($V15="","",IF(AND(ISNUMBER($G15),$G15&lt;=IF($S15=MesCiclo,InicioCiclo,$S15+MOD(2-WEEKDAY($S15),7))+13),1,IF(N($W15)&gt;0,AVERAGEIFS($Z$5:$Z$1000,$U$5:$U$1000,ROW(),$V$5:$V$1000,"Sub"),$Z15)))</f>
        <v/>
      </c>
      <c r="AE15" s="62">
        <f>IF($V15="","",IF(AND(ISNUMBER($G15),$G15&lt;=IF($S15=MesCiclo,InicioCiclo,$S15+MOD(2-WEEKDAY($S15),7))+20),1,IF(N($W15)&gt;0,AVERAGEIFS($AA$5:$AA$1000,$U$5:$U$1000,ROW(),$V$5:$V$1000,"Sub"),$AA15)))</f>
        <v/>
      </c>
      <c r="AF15" s="62">
        <f>IF($V15="","",IF(AND(ISNUMBER($G15),$G15&lt;=IF($S15=MesCiclo,InicioCiclo,$S15+MOD(2-WEEKDAY($S15),7))+27),1,IF(N($W15)&gt;0,AVERAGEIFS($AB$5:$AB$1000,$U$5:$U$1000,ROW(),$V$5:$V$1000,"Sub"),$AB15)))</f>
        <v/>
      </c>
      <c r="AG15" s="62">
        <f>IF($V15&lt;&gt;"Macro","",IF(COUNTIFS($S$5:$S$1000,$S15,$V$5:$V$1000,"Macro",$H$5:$H$1000,"&gt;0")=0,1/COUNTIFS($S$5:$S$1000,$S15,$V$5:$V$1000,"Macro"),IF(AND(ISNUMBER($H15),N($H15)&gt;0),$H15,SUMIFS($H$5:$H$1000,$S$5:$S$1000,$S15,$V$5:$V$1000,"Macro")/COUNTIFS($S$5:$S$1000,$S15,$V$5:$V$1000,"Macro",$H$5:$H$1000,"&gt;0"))/(COUNTIFS($S$5:$S$1000,$S15,$V$5:$V$1000,"Macro")*SUMIFS($H$5:$H$1000,$S$5:$S$1000,$S15,$V$5:$V$1000,"Macro")/COUNTIFS($S$5:$S$1000,$S15,$V$5:$V$1000,"Macro",$H$5:$H$1000,"&gt;0"))))</f>
        <v/>
      </c>
      <c r="AH15" s="62" t="n"/>
      <c r="AI15" s="62" t="n"/>
      <c r="AJ15" s="62" t="n"/>
      <c r="AK15" s="62" t="n"/>
      <c r="AL15" s="62">
        <f>IF(LEFT($C15,11)="[Jefatura] ",IFERROR(MATCH("Riesgo Financiero|"&amp;MID($C15,12,500),rDname_ADM,0),0),"")</f>
        <v/>
      </c>
      <c r="AM15" s="62">
        <f>IF(N($AL15)&gt;0,INDEX(rIni_ADM,$AL15),IF(ISNUMBER($E15),$E15,""))</f>
        <v/>
      </c>
      <c r="AN15" s="62">
        <f>IF(N($AL15)&gt;0,INDEX(rLim_ADM,$AL15),IF(ISNUMBER($F15),$F15,""))</f>
        <v/>
      </c>
    </row>
    <row r="16">
      <c r="A16" s="56">
        <f>IF(NOT((COUNTA($B16:$D16)+COUNTA($G16:$L16)+COUNTA($Q16))&gt;0),"",IF($V16="Macro",COUNTIFS($V$5:$V16,"Macro",$S$5:$S16,$S16),IF(N($U16)=0,"?",COUNTIFS(INDEX($V$5:$V$1000,1):INDEX($V$5:$V$1000,$U16-4),"Macro",INDEX($S$5:$S$1000,1):INDEX($S$5:$S$1000,$U16-4),INDEX($S$5:$S$1000,$U16-4))&amp;"."&amp;COUNTIFS($U$5:$U16,$U16,$V$5:$V16,"Sub"))))</f>
        <v/>
      </c>
      <c r="B16" s="57" t="n"/>
      <c r="C16" s="58" t="n"/>
      <c r="D16" s="58" t="n"/>
      <c r="E16" s="59">
        <f>IF(N($AL16)&gt;0,INDEX(rIni_ADM,$AL16),"")</f>
        <v/>
      </c>
      <c r="F16" s="59">
        <f>IF(N($AL16)&gt;0,INDEX(rLim_ADM,$AL16),"")</f>
        <v/>
      </c>
      <c r="G16" s="59" t="n"/>
      <c r="H16" s="60" t="n"/>
      <c r="I16" s="60" t="n"/>
      <c r="J16" s="60" t="n"/>
      <c r="K16" s="60" t="n"/>
      <c r="L16" s="60" t="n"/>
      <c r="M16" s="61">
        <f>IF(NOT((COUNTA($B16:$D16)+COUNTA($G16:$L16)+COUNTA($Q16))&gt;0),"",IF($V16="Sub",IFERROR($X16/INDEX($W$5:$W$1000,$U16-4),""),IF(ISNUMBER($G16),1,IF(N($W16)&gt;0,AVERAGEIFS($X$5:$X$1000,$U$5:$U$1000,ROW(),$V$5:$V$1000,"Sub"),$X16))))</f>
        <v/>
      </c>
      <c r="N16" s="56">
        <f>IF(OR($M16="",$V16="Sub"),"",IF($M16&gt;=1,"Completado",IF($M16&gt;0,"En curso","Pendiente")))</f>
        <v/>
      </c>
      <c r="O16" s="56">
        <f>IF(OR(NOT((COUNTA($B16:$D16)+COUNTA($G16:$L16)+COUNTA($Q16))&gt;0),$V16="Sub"),"",IF(ISNUMBER($G16),IF(AND(ISNUMBER($AN16),$G16&gt;$AN16),"Cumplida con "&amp;($G16-$AN16)&amp;IF($G16-$AN16=1," día"," días")&amp;" de retraso","Cumplida"),IF(N($M16)&gt;=1,"Cumplida",IF(NOT(ISNUMBER($AN16)),"Sin fecha límite",IF($AN16&lt;FechaRef,"Vencida hace "&amp;(FechaRef-$AN16)&amp;IF(FechaRef-$AN16=1," día"," días"),IF($AN16=FechaRef,"Vence hoy",IF($AN16-FechaRef&lt;=DiasAlerta,"Vence en "&amp;($AN16-FechaRef)&amp;IF($AN16-FechaRef=1," día"," días"),"En plazo")))))))</f>
        <v/>
      </c>
      <c r="P16" s="62" t="n"/>
      <c r="Q16" s="58" t="n"/>
      <c r="R16" s="63">
        <f>IF(NOT((COUNTA($B16:$D16)+COUNTA($G16:$L16)+COUNTA($Q16))&gt;0),"",IF((IF($C16="","Falta el nombre de la actividad"&amp;" · ","")&amp;IF(AND($V16="Sub",N($U16)=0),"Subactividad sin macroactividad arriba"&amp;" · ","")&amp;IF($AM16="","Sin fecha de inicio"&amp;" · ","")&amp;IF($AN16="","Sin fecha límite"&amp;" · ","")&amp;IF(AND(LEFT($C16,11)="[Jefatura] ",N($AL16)=0),"No se encuentra en la hoja de la jefatura (elíjala de nuevo en la lista)"&amp;" · ","")&amp;IF(OR(AND($E16&lt;&gt;"",NOT(ISNUMBER($E16))),AND($F16&lt;&gt;"",NOT(ISNUMBER($F16))),AND($G16&lt;&gt;"",NOT(ISNUMBER($G16)))),"Fecha no válida"&amp;" · ","")&amp;IF(AND(ISNUMBER($AM16),ISNUMBER($AN16),$AM16&gt;$AN16),"Inicio posterior a fecha límite"&amp;" · ","")&amp;IF(AND($V16="Macro",$H16&lt;&gt;"",OR(NOT(ISNUMBER($H16)),$H16&lt;0,$H16&gt;1)),"Peso fuera de rango"&amp;" · ","")&amp;IF(AND($V16="Sub",$H16&lt;&gt;""),"Las subactividades no llevan peso (valen igual dentro de su macroactividad)"&amp;" · ","")&amp;IF(AND(N($W16)&gt;0,COUNT($I16:$L16)&gt;0),"Con subactividades: deje vacías las semanas (se calculan solas)"&amp;" · ","")&amp;IF((COUNTIF($I16:$L16,"&gt;1")+COUNTIF($I16:$L16,"&lt;0")+COUNTA($I16:$L16)-COUNT($I16:$L16))&gt;0,"Avance fuera de rango 0-100%"&amp;" · ","")&amp;IF(OR(AND($J16&lt;&gt;"",$J16&lt;$I16),AND($K16&lt;&gt;"",$K16&lt;MAX($I16:$J16)),AND($L16&lt;&gt;"",$L16&lt;MAX($I16:$K16))),"Avance semanal decreciente"&amp;" · ","")&amp;IF(AND(ISNUMBER($AN16),$AN16&lt;FechaRef,IF($V16="Sub",N($X16),N($M16))&lt;1),"Vencida"&amp;" · ","")&amp;IF(AND(ObsObligatoria="Sí",ISNUMBER($AN16),$AN16&lt;FechaRef,IF($V16="Sub",N($X16),N($M16))&lt;1,$Q16=""),"Vencida sin observación"&amp;" · ",""))="","✔ OK","⚠ "&amp;LEFT(IF($C16="","Falta el nombre de la actividad"&amp;" · ","")&amp;IF(AND($V16="Sub",N($U16)=0),"Subactividad sin macroactividad arriba"&amp;" · ","")&amp;IF($AM16="","Sin fecha de inicio"&amp;" · ","")&amp;IF($AN16="","Sin fecha límite"&amp;" · ","")&amp;IF(AND(LEFT($C16,11)="[Jefatura] ",N($AL16)=0),"No se encuentra en la hoja de la jefatura (elíjala de nuevo en la lista)"&amp;" · ","")&amp;IF(OR(AND($E16&lt;&gt;"",NOT(ISNUMBER($E16))),AND($F16&lt;&gt;"",NOT(ISNUMBER($F16))),AND($G16&lt;&gt;"",NOT(ISNUMBER($G16)))),"Fecha no válida"&amp;" · ","")&amp;IF(AND(ISNUMBER($AM16),ISNUMBER($AN16),$AM16&gt;$AN16),"Inicio posterior a fecha límite"&amp;" · ","")&amp;IF(AND($V16="Macro",$H16&lt;&gt;"",OR(NOT(ISNUMBER($H16)),$H16&lt;0,$H16&gt;1)),"Peso fuera de rango"&amp;" · ","")&amp;IF(AND($V16="Sub",$H16&lt;&gt;""),"Las subactividades no llevan peso (valen igual dentro de su macroactividad)"&amp;" · ","")&amp;IF(AND(N($W16)&gt;0,COUNT($I16:$L16)&gt;0),"Con subactividades: deje vacías las semanas (se calculan solas)"&amp;" · ","")&amp;IF((COUNTIF($I16:$L16,"&gt;1")+COUNTIF($I16:$L16,"&lt;0")+COUNTA($I16:$L16)-COUNT($I16:$L16))&gt;0,"Avance fuera de rango 0-100%"&amp;" · ","")&amp;IF(OR(AND($J16&lt;&gt;"",$J16&lt;$I16),AND($K16&lt;&gt;"",$K16&lt;MAX($I16:$J16)),AND($L16&lt;&gt;"",$L16&lt;MAX($I16:$K16))),"Avance semanal decreciente"&amp;" · ","")&amp;IF(AND(ISNUMBER($AN16),$AN16&lt;FechaRef,IF($V16="Sub",N($X16),N($M16))&lt;1),"Vencida"&amp;" · ","")&amp;IF(AND(ObsObligatoria="Sí",ISNUMBER($AN16),$AN16&lt;FechaRef,IF($V16="Sub",N($X16),N($M16))&lt;1,$Q16=""),"Vencida sin observación"&amp;" · ",""),LEN(IF($C16="","Falta el nombre de la actividad"&amp;" · ","")&amp;IF(AND($V16="Sub",N($U16)=0),"Subactividad sin macroactividad arriba"&amp;" · ","")&amp;IF($AM16="","Sin fecha de inicio"&amp;" · ","")&amp;IF($AN16="","Sin fecha límite"&amp;" · ","")&amp;IF(AND(LEFT($C16,11)="[Jefatura] ",N($AL16)=0),"No se encuentra en la hoja de la jefatura (elíjala de nuevo en la lista)"&amp;" · ","")&amp;IF(OR(AND($E16&lt;&gt;"",NOT(ISNUMBER($E16))),AND($F16&lt;&gt;"",NOT(ISNUMBER($F16))),AND($G16&lt;&gt;"",NOT(ISNUMBER($G16)))),"Fecha no válida"&amp;" · ","")&amp;IF(AND(ISNUMBER($AM16),ISNUMBER($AN16),$AM16&gt;$AN16),"Inicio posterior a fecha límite"&amp;" · ","")&amp;IF(AND($V16="Macro",$H16&lt;&gt;"",OR(NOT(ISNUMBER($H16)),$H16&lt;0,$H16&gt;1)),"Peso fuera de rango"&amp;" · ","")&amp;IF(AND($V16="Sub",$H16&lt;&gt;""),"Las subactividades no llevan peso (valen igual dentro de su macroactividad)"&amp;" · ","")&amp;IF(AND(N($W16)&gt;0,COUNT($I16:$L16)&gt;0),"Con subactividades: deje vacías las semanas (se calculan solas)"&amp;" · ","")&amp;IF((COUNTIF($I16:$L16,"&gt;1")+COUNTIF($I16:$L16,"&lt;0")+COUNTA($I16:$L16)-COUNT($I16:$L16))&gt;0,"Avance fuera de rango 0-100%"&amp;" · ","")&amp;IF(OR(AND($J16&lt;&gt;"",$J16&lt;$I16),AND($K16&lt;&gt;"",$K16&lt;MAX($I16:$J16)),AND($L16&lt;&gt;"",$L16&lt;MAX($I16:$K16))),"Avance semanal decreciente"&amp;" · ","")&amp;IF(AND(ISNUMBER($AN16),$AN16&lt;FechaRef,IF($V16="Sub",N($X16),N($M16))&lt;1),"Vencida"&amp;" · ","")&amp;IF(AND(ObsObligatoria="Sí",ISNUMBER($AN16),$AN16&lt;FechaRef,IF($V16="Sub",N($X16),N($M16))&lt;1,$Q16=""),"Vencida sin observación"&amp;" · ",""))-3)))</f>
        <v/>
      </c>
      <c r="S16" s="64">
        <f>IF(NOT((COUNTA($B16:$D16)+COUNTA($G16:$L16)+COUNTA($Q16))&gt;0),"",IF(AND($V16="Sub",N($U16)&gt;0),IF(ISNUMBER(INDEX($AM$5:$AM$1000,$U16-4)),DATE(YEAR(INDEX($AM$5:$AM$1000,$U16-4)),MONTH(INDEX($AM$5:$AM$1000,$U16-4)),1),IF(ISNUMBER(INDEX($AN$5:$AN$1000,$U16-4)),DATE(YEAR(INDEX($AN$5:$AN$1000,$U16-4)),MONTH(INDEX($AN$5:$AN$1000,$U16-4)),1),MesCiclo)),IF(ISNUMBER($AM16),DATE(YEAR($AM16),MONTH($AM16),1),IF(ISNUMBER($AN16),DATE(YEAR($AN16),MONTH($AN16),1),MesCiclo))))</f>
        <v/>
      </c>
      <c r="T16" s="62">
        <f>IF(OR($S16="",$S16&lt;&gt;MesCiclo,$V16&lt;&gt;"Macro"),"",COUNTIFS($S$5:$S16,MesCiclo,$V$5:$V16,"Macro"))</f>
        <v/>
      </c>
      <c r="U16" s="62">
        <f>IF($V16="","",IF($V16="Macro",ROW(),IFERROR(LOOKUP(2,1/($V$5:$V16="Macro"),ROW($V$5:$V16)),0)))</f>
        <v/>
      </c>
      <c r="V16" s="62">
        <f>IF(NOT((COUNTA($B16:$D16)+COUNTA($G16:$L16)+COUNTA($Q16))&gt;0),"",IF($B16="Subactividad","Sub","Macro"))</f>
        <v/>
      </c>
      <c r="W16" s="62">
        <f>IF($V16="Macro",COUNTIFS($U$5:$U$1000,ROW(),$V$5:$V$1000,"Sub"),"")</f>
        <v/>
      </c>
      <c r="X16" s="62">
        <f>IF($V16="","",IF(ISNUMBER($G16),1,IFERROR(LOOKUP(2,1/($I16:$L16&lt;&gt;""),$I16:$L16),0)))</f>
        <v/>
      </c>
      <c r="Y16" s="62">
        <f>IF($V16="","",IF(AND(ISNUMBER($G16),$G16&lt;=IF($S16=MesCiclo,InicioCiclo,$S16+MOD(2-WEEKDAY($S16),7))+6),1,IF(ISNUMBER($I16),$I16,0)))</f>
        <v/>
      </c>
      <c r="Z16" s="62">
        <f>IF($V16="","",IF(AND(ISNUMBER($G16),$G16&lt;=IF($S16=MesCiclo,InicioCiclo,$S16+MOD(2-WEEKDAY($S16),7))+13),1,IF(ISNUMBER($J16),$J16,$Y16)))</f>
        <v/>
      </c>
      <c r="AA16" s="62">
        <f>IF($V16="","",IF(AND(ISNUMBER($G16),$G16&lt;=IF($S16=MesCiclo,InicioCiclo,$S16+MOD(2-WEEKDAY($S16),7))+20),1,IF(ISNUMBER($K16),$K16,$Z16)))</f>
        <v/>
      </c>
      <c r="AB16" s="62">
        <f>IF($V16="","",IF(AND(ISNUMBER($G16),$G16&lt;=IF($S16=MesCiclo,InicioCiclo,$S16+MOD(2-WEEKDAY($S16),7))+27),1,IF(ISNUMBER($L16),$L16,$AA16)))</f>
        <v/>
      </c>
      <c r="AC16" s="62">
        <f>IF($V16="","",IF(AND(ISNUMBER($G16),$G16&lt;=IF($S16=MesCiclo,InicioCiclo,$S16+MOD(2-WEEKDAY($S16),7))+6),1,IF(N($W16)&gt;0,AVERAGEIFS($Y$5:$Y$1000,$U$5:$U$1000,ROW(),$V$5:$V$1000,"Sub"),$Y16)))</f>
        <v/>
      </c>
      <c r="AD16" s="62">
        <f>IF($V16="","",IF(AND(ISNUMBER($G16),$G16&lt;=IF($S16=MesCiclo,InicioCiclo,$S16+MOD(2-WEEKDAY($S16),7))+13),1,IF(N($W16)&gt;0,AVERAGEIFS($Z$5:$Z$1000,$U$5:$U$1000,ROW(),$V$5:$V$1000,"Sub"),$Z16)))</f>
        <v/>
      </c>
      <c r="AE16" s="62">
        <f>IF($V16="","",IF(AND(ISNUMBER($G16),$G16&lt;=IF($S16=MesCiclo,InicioCiclo,$S16+MOD(2-WEEKDAY($S16),7))+20),1,IF(N($W16)&gt;0,AVERAGEIFS($AA$5:$AA$1000,$U$5:$U$1000,ROW(),$V$5:$V$1000,"Sub"),$AA16)))</f>
        <v/>
      </c>
      <c r="AF16" s="62">
        <f>IF($V16="","",IF(AND(ISNUMBER($G16),$G16&lt;=IF($S16=MesCiclo,InicioCiclo,$S16+MOD(2-WEEKDAY($S16),7))+27),1,IF(N($W16)&gt;0,AVERAGEIFS($AB$5:$AB$1000,$U$5:$U$1000,ROW(),$V$5:$V$1000,"Sub"),$AB16)))</f>
        <v/>
      </c>
      <c r="AG16" s="62">
        <f>IF($V16&lt;&gt;"Macro","",IF(COUNTIFS($S$5:$S$1000,$S16,$V$5:$V$1000,"Macro",$H$5:$H$1000,"&gt;0")=0,1/COUNTIFS($S$5:$S$1000,$S16,$V$5:$V$1000,"Macro"),IF(AND(ISNUMBER($H16),N($H16)&gt;0),$H16,SUMIFS($H$5:$H$1000,$S$5:$S$1000,$S16,$V$5:$V$1000,"Macro")/COUNTIFS($S$5:$S$1000,$S16,$V$5:$V$1000,"Macro",$H$5:$H$1000,"&gt;0"))/(COUNTIFS($S$5:$S$1000,$S16,$V$5:$V$1000,"Macro")*SUMIFS($H$5:$H$1000,$S$5:$S$1000,$S16,$V$5:$V$1000,"Macro")/COUNTIFS($S$5:$S$1000,$S16,$V$5:$V$1000,"Macro",$H$5:$H$1000,"&gt;0"))))</f>
        <v/>
      </c>
      <c r="AH16" s="62" t="n"/>
      <c r="AI16" s="62" t="n"/>
      <c r="AJ16" s="62" t="n"/>
      <c r="AK16" s="62" t="n"/>
      <c r="AL16" s="62">
        <f>IF(LEFT($C16,11)="[Jefatura] ",IFERROR(MATCH("Riesgo Financiero|"&amp;MID($C16,12,500),rDname_ADM,0),0),"")</f>
        <v/>
      </c>
      <c r="AM16" s="62">
        <f>IF(N($AL16)&gt;0,INDEX(rIni_ADM,$AL16),IF(ISNUMBER($E16),$E16,""))</f>
        <v/>
      </c>
      <c r="AN16" s="62">
        <f>IF(N($AL16)&gt;0,INDEX(rLim_ADM,$AL16),IF(ISNUMBER($F16),$F16,""))</f>
        <v/>
      </c>
    </row>
    <row r="17">
      <c r="A17" s="56">
        <f>IF(NOT((COUNTA($B17:$D17)+COUNTA($G17:$L17)+COUNTA($Q17))&gt;0),"",IF($V17="Macro",COUNTIFS($V$5:$V17,"Macro",$S$5:$S17,$S17),IF(N($U17)=0,"?",COUNTIFS(INDEX($V$5:$V$1000,1):INDEX($V$5:$V$1000,$U17-4),"Macro",INDEX($S$5:$S$1000,1):INDEX($S$5:$S$1000,$U17-4),INDEX($S$5:$S$1000,$U17-4))&amp;"."&amp;COUNTIFS($U$5:$U17,$U17,$V$5:$V17,"Sub"))))</f>
        <v/>
      </c>
      <c r="B17" s="57" t="n"/>
      <c r="C17" s="58" t="n"/>
      <c r="D17" s="58" t="n"/>
      <c r="E17" s="59">
        <f>IF(N($AL17)&gt;0,INDEX(rIni_ADM,$AL17),"")</f>
        <v/>
      </c>
      <c r="F17" s="59">
        <f>IF(N($AL17)&gt;0,INDEX(rLim_ADM,$AL17),"")</f>
        <v/>
      </c>
      <c r="G17" s="59" t="n"/>
      <c r="H17" s="60" t="n"/>
      <c r="I17" s="60" t="n"/>
      <c r="J17" s="60" t="n"/>
      <c r="K17" s="60" t="n"/>
      <c r="L17" s="60" t="n"/>
      <c r="M17" s="61">
        <f>IF(NOT((COUNTA($B17:$D17)+COUNTA($G17:$L17)+COUNTA($Q17))&gt;0),"",IF($V17="Sub",IFERROR($X17/INDEX($W$5:$W$1000,$U17-4),""),IF(ISNUMBER($G17),1,IF(N($W17)&gt;0,AVERAGEIFS($X$5:$X$1000,$U$5:$U$1000,ROW(),$V$5:$V$1000,"Sub"),$X17))))</f>
        <v/>
      </c>
      <c r="N17" s="56">
        <f>IF(OR($M17="",$V17="Sub"),"",IF($M17&gt;=1,"Completado",IF($M17&gt;0,"En curso","Pendiente")))</f>
        <v/>
      </c>
      <c r="O17" s="56">
        <f>IF(OR(NOT((COUNTA($B17:$D17)+COUNTA($G17:$L17)+COUNTA($Q17))&gt;0),$V17="Sub"),"",IF(ISNUMBER($G17),IF(AND(ISNUMBER($AN17),$G17&gt;$AN17),"Cumplida con "&amp;($G17-$AN17)&amp;IF($G17-$AN17=1," día"," días")&amp;" de retraso","Cumplida"),IF(N($M17)&gt;=1,"Cumplida",IF(NOT(ISNUMBER($AN17)),"Sin fecha límite",IF($AN17&lt;FechaRef,"Vencida hace "&amp;(FechaRef-$AN17)&amp;IF(FechaRef-$AN17=1," día"," días"),IF($AN17=FechaRef,"Vence hoy",IF($AN17-FechaRef&lt;=DiasAlerta,"Vence en "&amp;($AN17-FechaRef)&amp;IF($AN17-FechaRef=1," día"," días"),"En plazo")))))))</f>
        <v/>
      </c>
      <c r="P17" s="62" t="n"/>
      <c r="Q17" s="58" t="n"/>
      <c r="R17" s="63">
        <f>IF(NOT((COUNTA($B17:$D17)+COUNTA($G17:$L17)+COUNTA($Q17))&gt;0),"",IF((IF($C17="","Falta el nombre de la actividad"&amp;" · ","")&amp;IF(AND($V17="Sub",N($U17)=0),"Subactividad sin macroactividad arriba"&amp;" · ","")&amp;IF($AM17="","Sin fecha de inicio"&amp;" · ","")&amp;IF($AN17="","Sin fecha límite"&amp;" · ","")&amp;IF(AND(LEFT($C17,11)="[Jefatura] ",N($AL17)=0),"No se encuentra en la hoja de la jefatura (elíjala de nuevo en la lista)"&amp;" · ","")&amp;IF(OR(AND($E17&lt;&gt;"",NOT(ISNUMBER($E17))),AND($F17&lt;&gt;"",NOT(ISNUMBER($F17))),AND($G17&lt;&gt;"",NOT(ISNUMBER($G17)))),"Fecha no válida"&amp;" · ","")&amp;IF(AND(ISNUMBER($AM17),ISNUMBER($AN17),$AM17&gt;$AN17),"Inicio posterior a fecha límite"&amp;" · ","")&amp;IF(AND($V17="Macro",$H17&lt;&gt;"",OR(NOT(ISNUMBER($H17)),$H17&lt;0,$H17&gt;1)),"Peso fuera de rango"&amp;" · ","")&amp;IF(AND($V17="Sub",$H17&lt;&gt;""),"Las subactividades no llevan peso (valen igual dentro de su macroactividad)"&amp;" · ","")&amp;IF(AND(N($W17)&gt;0,COUNT($I17:$L17)&gt;0),"Con subactividades: deje vacías las semanas (se calculan solas)"&amp;" · ","")&amp;IF((COUNTIF($I17:$L17,"&gt;1")+COUNTIF($I17:$L17,"&lt;0")+COUNTA($I17:$L17)-COUNT($I17:$L17))&gt;0,"Avance fuera de rango 0-100%"&amp;" · ","")&amp;IF(OR(AND($J17&lt;&gt;"",$J17&lt;$I17),AND($K17&lt;&gt;"",$K17&lt;MAX($I17:$J17)),AND($L17&lt;&gt;"",$L17&lt;MAX($I17:$K17))),"Avance semanal decreciente"&amp;" · ","")&amp;IF(AND(ISNUMBER($AN17),$AN17&lt;FechaRef,IF($V17="Sub",N($X17),N($M17))&lt;1),"Vencida"&amp;" · ","")&amp;IF(AND(ObsObligatoria="Sí",ISNUMBER($AN17),$AN17&lt;FechaRef,IF($V17="Sub",N($X17),N($M17))&lt;1,$Q17=""),"Vencida sin observación"&amp;" · ",""))="","✔ OK","⚠ "&amp;LEFT(IF($C17="","Falta el nombre de la actividad"&amp;" · ","")&amp;IF(AND($V17="Sub",N($U17)=0),"Subactividad sin macroactividad arriba"&amp;" · ","")&amp;IF($AM17="","Sin fecha de inicio"&amp;" · ","")&amp;IF($AN17="","Sin fecha límite"&amp;" · ","")&amp;IF(AND(LEFT($C17,11)="[Jefatura] ",N($AL17)=0),"No se encuentra en la hoja de la jefatura (elíjala de nuevo en la lista)"&amp;" · ","")&amp;IF(OR(AND($E17&lt;&gt;"",NOT(ISNUMBER($E17))),AND($F17&lt;&gt;"",NOT(ISNUMBER($F17))),AND($G17&lt;&gt;"",NOT(ISNUMBER($G17)))),"Fecha no válida"&amp;" · ","")&amp;IF(AND(ISNUMBER($AM17),ISNUMBER($AN17),$AM17&gt;$AN17),"Inicio posterior a fecha límite"&amp;" · ","")&amp;IF(AND($V17="Macro",$H17&lt;&gt;"",OR(NOT(ISNUMBER($H17)),$H17&lt;0,$H17&gt;1)),"Peso fuera de rango"&amp;" · ","")&amp;IF(AND($V17="Sub",$H17&lt;&gt;""),"Las subactividades no llevan peso (valen igual dentro de su macroactividad)"&amp;" · ","")&amp;IF(AND(N($W17)&gt;0,COUNT($I17:$L17)&gt;0),"Con subactividades: deje vacías las semanas (se calculan solas)"&amp;" · ","")&amp;IF((COUNTIF($I17:$L17,"&gt;1")+COUNTIF($I17:$L17,"&lt;0")+COUNTA($I17:$L17)-COUNT($I17:$L17))&gt;0,"Avance fuera de rango 0-100%"&amp;" · ","")&amp;IF(OR(AND($J17&lt;&gt;"",$J17&lt;$I17),AND($K17&lt;&gt;"",$K17&lt;MAX($I17:$J17)),AND($L17&lt;&gt;"",$L17&lt;MAX($I17:$K17))),"Avance semanal decreciente"&amp;" · ","")&amp;IF(AND(ISNUMBER($AN17),$AN17&lt;FechaRef,IF($V17="Sub",N($X17),N($M17))&lt;1),"Vencida"&amp;" · ","")&amp;IF(AND(ObsObligatoria="Sí",ISNUMBER($AN17),$AN17&lt;FechaRef,IF($V17="Sub",N($X17),N($M17))&lt;1,$Q17=""),"Vencida sin observación"&amp;" · ",""),LEN(IF($C17="","Falta el nombre de la actividad"&amp;" · ","")&amp;IF(AND($V17="Sub",N($U17)=0),"Subactividad sin macroactividad arriba"&amp;" · ","")&amp;IF($AM17="","Sin fecha de inicio"&amp;" · ","")&amp;IF($AN17="","Sin fecha límite"&amp;" · ","")&amp;IF(AND(LEFT($C17,11)="[Jefatura] ",N($AL17)=0),"No se encuentra en la hoja de la jefatura (elíjala de nuevo en la lista)"&amp;" · ","")&amp;IF(OR(AND($E17&lt;&gt;"",NOT(ISNUMBER($E17))),AND($F17&lt;&gt;"",NOT(ISNUMBER($F17))),AND($G17&lt;&gt;"",NOT(ISNUMBER($G17)))),"Fecha no válida"&amp;" · ","")&amp;IF(AND(ISNUMBER($AM17),ISNUMBER($AN17),$AM17&gt;$AN17),"Inicio posterior a fecha límite"&amp;" · ","")&amp;IF(AND($V17="Macro",$H17&lt;&gt;"",OR(NOT(ISNUMBER($H17)),$H17&lt;0,$H17&gt;1)),"Peso fuera de rango"&amp;" · ","")&amp;IF(AND($V17="Sub",$H17&lt;&gt;""),"Las subactividades no llevan peso (valen igual dentro de su macroactividad)"&amp;" · ","")&amp;IF(AND(N($W17)&gt;0,COUNT($I17:$L17)&gt;0),"Con subactividades: deje vacías las semanas (se calculan solas)"&amp;" · ","")&amp;IF((COUNTIF($I17:$L17,"&gt;1")+COUNTIF($I17:$L17,"&lt;0")+COUNTA($I17:$L17)-COUNT($I17:$L17))&gt;0,"Avance fuera de rango 0-100%"&amp;" · ","")&amp;IF(OR(AND($J17&lt;&gt;"",$J17&lt;$I17),AND($K17&lt;&gt;"",$K17&lt;MAX($I17:$J17)),AND($L17&lt;&gt;"",$L17&lt;MAX($I17:$K17))),"Avance semanal decreciente"&amp;" · ","")&amp;IF(AND(ISNUMBER($AN17),$AN17&lt;FechaRef,IF($V17="Sub",N($X17),N($M17))&lt;1),"Vencida"&amp;" · ","")&amp;IF(AND(ObsObligatoria="Sí",ISNUMBER($AN17),$AN17&lt;FechaRef,IF($V17="Sub",N($X17),N($M17))&lt;1,$Q17=""),"Vencida sin observación"&amp;" · ",""))-3)))</f>
        <v/>
      </c>
      <c r="S17" s="64">
        <f>IF(NOT((COUNTA($B17:$D17)+COUNTA($G17:$L17)+COUNTA($Q17))&gt;0),"",IF(AND($V17="Sub",N($U17)&gt;0),IF(ISNUMBER(INDEX($AM$5:$AM$1000,$U17-4)),DATE(YEAR(INDEX($AM$5:$AM$1000,$U17-4)),MONTH(INDEX($AM$5:$AM$1000,$U17-4)),1),IF(ISNUMBER(INDEX($AN$5:$AN$1000,$U17-4)),DATE(YEAR(INDEX($AN$5:$AN$1000,$U17-4)),MONTH(INDEX($AN$5:$AN$1000,$U17-4)),1),MesCiclo)),IF(ISNUMBER($AM17),DATE(YEAR($AM17),MONTH($AM17),1),IF(ISNUMBER($AN17),DATE(YEAR($AN17),MONTH($AN17),1),MesCiclo))))</f>
        <v/>
      </c>
      <c r="T17" s="62">
        <f>IF(OR($S17="",$S17&lt;&gt;MesCiclo,$V17&lt;&gt;"Macro"),"",COUNTIFS($S$5:$S17,MesCiclo,$V$5:$V17,"Macro"))</f>
        <v/>
      </c>
      <c r="U17" s="62">
        <f>IF($V17="","",IF($V17="Macro",ROW(),IFERROR(LOOKUP(2,1/($V$5:$V17="Macro"),ROW($V$5:$V17)),0)))</f>
        <v/>
      </c>
      <c r="V17" s="62">
        <f>IF(NOT((COUNTA($B17:$D17)+COUNTA($G17:$L17)+COUNTA($Q17))&gt;0),"",IF($B17="Subactividad","Sub","Macro"))</f>
        <v/>
      </c>
      <c r="W17" s="62">
        <f>IF($V17="Macro",COUNTIFS($U$5:$U$1000,ROW(),$V$5:$V$1000,"Sub"),"")</f>
        <v/>
      </c>
      <c r="X17" s="62">
        <f>IF($V17="","",IF(ISNUMBER($G17),1,IFERROR(LOOKUP(2,1/($I17:$L17&lt;&gt;""),$I17:$L17),0)))</f>
        <v/>
      </c>
      <c r="Y17" s="62">
        <f>IF($V17="","",IF(AND(ISNUMBER($G17),$G17&lt;=IF($S17=MesCiclo,InicioCiclo,$S17+MOD(2-WEEKDAY($S17),7))+6),1,IF(ISNUMBER($I17),$I17,0)))</f>
        <v/>
      </c>
      <c r="Z17" s="62">
        <f>IF($V17="","",IF(AND(ISNUMBER($G17),$G17&lt;=IF($S17=MesCiclo,InicioCiclo,$S17+MOD(2-WEEKDAY($S17),7))+13),1,IF(ISNUMBER($J17),$J17,$Y17)))</f>
        <v/>
      </c>
      <c r="AA17" s="62">
        <f>IF($V17="","",IF(AND(ISNUMBER($G17),$G17&lt;=IF($S17=MesCiclo,InicioCiclo,$S17+MOD(2-WEEKDAY($S17),7))+20),1,IF(ISNUMBER($K17),$K17,$Z17)))</f>
        <v/>
      </c>
      <c r="AB17" s="62">
        <f>IF($V17="","",IF(AND(ISNUMBER($G17),$G17&lt;=IF($S17=MesCiclo,InicioCiclo,$S17+MOD(2-WEEKDAY($S17),7))+27),1,IF(ISNUMBER($L17),$L17,$AA17)))</f>
        <v/>
      </c>
      <c r="AC17" s="62">
        <f>IF($V17="","",IF(AND(ISNUMBER($G17),$G17&lt;=IF($S17=MesCiclo,InicioCiclo,$S17+MOD(2-WEEKDAY($S17),7))+6),1,IF(N($W17)&gt;0,AVERAGEIFS($Y$5:$Y$1000,$U$5:$U$1000,ROW(),$V$5:$V$1000,"Sub"),$Y17)))</f>
        <v/>
      </c>
      <c r="AD17" s="62">
        <f>IF($V17="","",IF(AND(ISNUMBER($G17),$G17&lt;=IF($S17=MesCiclo,InicioCiclo,$S17+MOD(2-WEEKDAY($S17),7))+13),1,IF(N($W17)&gt;0,AVERAGEIFS($Z$5:$Z$1000,$U$5:$U$1000,ROW(),$V$5:$V$1000,"Sub"),$Z17)))</f>
        <v/>
      </c>
      <c r="AE17" s="62">
        <f>IF($V17="","",IF(AND(ISNUMBER($G17),$G17&lt;=IF($S17=MesCiclo,InicioCiclo,$S17+MOD(2-WEEKDAY($S17),7))+20),1,IF(N($W17)&gt;0,AVERAGEIFS($AA$5:$AA$1000,$U$5:$U$1000,ROW(),$V$5:$V$1000,"Sub"),$AA17)))</f>
        <v/>
      </c>
      <c r="AF17" s="62">
        <f>IF($V17="","",IF(AND(ISNUMBER($G17),$G17&lt;=IF($S17=MesCiclo,InicioCiclo,$S17+MOD(2-WEEKDAY($S17),7))+27),1,IF(N($W17)&gt;0,AVERAGEIFS($AB$5:$AB$1000,$U$5:$U$1000,ROW(),$V$5:$V$1000,"Sub"),$AB17)))</f>
        <v/>
      </c>
      <c r="AG17" s="62">
        <f>IF($V17&lt;&gt;"Macro","",IF(COUNTIFS($S$5:$S$1000,$S17,$V$5:$V$1000,"Macro",$H$5:$H$1000,"&gt;0")=0,1/COUNTIFS($S$5:$S$1000,$S17,$V$5:$V$1000,"Macro"),IF(AND(ISNUMBER($H17),N($H17)&gt;0),$H17,SUMIFS($H$5:$H$1000,$S$5:$S$1000,$S17,$V$5:$V$1000,"Macro")/COUNTIFS($S$5:$S$1000,$S17,$V$5:$V$1000,"Macro",$H$5:$H$1000,"&gt;0"))/(COUNTIFS($S$5:$S$1000,$S17,$V$5:$V$1000,"Macro")*SUMIFS($H$5:$H$1000,$S$5:$S$1000,$S17,$V$5:$V$1000,"Macro")/COUNTIFS($S$5:$S$1000,$S17,$V$5:$V$1000,"Macro",$H$5:$H$1000,"&gt;0"))))</f>
        <v/>
      </c>
      <c r="AH17" s="62" t="n"/>
      <c r="AI17" s="62" t="n"/>
      <c r="AJ17" s="62" t="n"/>
      <c r="AK17" s="62" t="n"/>
      <c r="AL17" s="62">
        <f>IF(LEFT($C17,11)="[Jefatura] ",IFERROR(MATCH("Riesgo Financiero|"&amp;MID($C17,12,500),rDname_ADM,0),0),"")</f>
        <v/>
      </c>
      <c r="AM17" s="62">
        <f>IF(N($AL17)&gt;0,INDEX(rIni_ADM,$AL17),IF(ISNUMBER($E17),$E17,""))</f>
        <v/>
      </c>
      <c r="AN17" s="62">
        <f>IF(N($AL17)&gt;0,INDEX(rLim_ADM,$AL17),IF(ISNUMBER($F17),$F17,""))</f>
        <v/>
      </c>
    </row>
    <row r="18">
      <c r="A18" s="56">
        <f>IF(NOT((COUNTA($B18:$D18)+COUNTA($G18:$L18)+COUNTA($Q18))&gt;0),"",IF($V18="Macro",COUNTIFS($V$5:$V18,"Macro",$S$5:$S18,$S18),IF(N($U18)=0,"?",COUNTIFS(INDEX($V$5:$V$1000,1):INDEX($V$5:$V$1000,$U18-4),"Macro",INDEX($S$5:$S$1000,1):INDEX($S$5:$S$1000,$U18-4),INDEX($S$5:$S$1000,$U18-4))&amp;"."&amp;COUNTIFS($U$5:$U18,$U18,$V$5:$V18,"Sub"))))</f>
        <v/>
      </c>
      <c r="B18" s="57" t="n"/>
      <c r="C18" s="58" t="n"/>
      <c r="D18" s="58" t="n"/>
      <c r="E18" s="59">
        <f>IF(N($AL18)&gt;0,INDEX(rIni_ADM,$AL18),"")</f>
        <v/>
      </c>
      <c r="F18" s="59">
        <f>IF(N($AL18)&gt;0,INDEX(rLim_ADM,$AL18),"")</f>
        <v/>
      </c>
      <c r="G18" s="59" t="n"/>
      <c r="H18" s="60" t="n"/>
      <c r="I18" s="60" t="n"/>
      <c r="J18" s="60" t="n"/>
      <c r="K18" s="60" t="n"/>
      <c r="L18" s="60" t="n"/>
      <c r="M18" s="61">
        <f>IF(NOT((COUNTA($B18:$D18)+COUNTA($G18:$L18)+COUNTA($Q18))&gt;0),"",IF($V18="Sub",IFERROR($X18/INDEX($W$5:$W$1000,$U18-4),""),IF(ISNUMBER($G18),1,IF(N($W18)&gt;0,AVERAGEIFS($X$5:$X$1000,$U$5:$U$1000,ROW(),$V$5:$V$1000,"Sub"),$X18))))</f>
        <v/>
      </c>
      <c r="N18" s="56">
        <f>IF(OR($M18="",$V18="Sub"),"",IF($M18&gt;=1,"Completado",IF($M18&gt;0,"En curso","Pendiente")))</f>
        <v/>
      </c>
      <c r="O18" s="56">
        <f>IF(OR(NOT((COUNTA($B18:$D18)+COUNTA($G18:$L18)+COUNTA($Q18))&gt;0),$V18="Sub"),"",IF(ISNUMBER($G18),IF(AND(ISNUMBER($AN18),$G18&gt;$AN18),"Cumplida con "&amp;($G18-$AN18)&amp;IF($G18-$AN18=1," día"," días")&amp;" de retraso","Cumplida"),IF(N($M18)&gt;=1,"Cumplida",IF(NOT(ISNUMBER($AN18)),"Sin fecha límite",IF($AN18&lt;FechaRef,"Vencida hace "&amp;(FechaRef-$AN18)&amp;IF(FechaRef-$AN18=1," día"," días"),IF($AN18=FechaRef,"Vence hoy",IF($AN18-FechaRef&lt;=DiasAlerta,"Vence en "&amp;($AN18-FechaRef)&amp;IF($AN18-FechaRef=1," día"," días"),"En plazo")))))))</f>
        <v/>
      </c>
      <c r="P18" s="62" t="n"/>
      <c r="Q18" s="58" t="n"/>
      <c r="R18" s="63">
        <f>IF(NOT((COUNTA($B18:$D18)+COUNTA($G18:$L18)+COUNTA($Q18))&gt;0),"",IF((IF($C18="","Falta el nombre de la actividad"&amp;" · ","")&amp;IF(AND($V18="Sub",N($U18)=0),"Subactividad sin macroactividad arriba"&amp;" · ","")&amp;IF($AM18="","Sin fecha de inicio"&amp;" · ","")&amp;IF($AN18="","Sin fecha límite"&amp;" · ","")&amp;IF(AND(LEFT($C18,11)="[Jefatura] ",N($AL18)=0),"No se encuentra en la hoja de la jefatura (elíjala de nuevo en la lista)"&amp;" · ","")&amp;IF(OR(AND($E18&lt;&gt;"",NOT(ISNUMBER($E18))),AND($F18&lt;&gt;"",NOT(ISNUMBER($F18))),AND($G18&lt;&gt;"",NOT(ISNUMBER($G18)))),"Fecha no válida"&amp;" · ","")&amp;IF(AND(ISNUMBER($AM18),ISNUMBER($AN18),$AM18&gt;$AN18),"Inicio posterior a fecha límite"&amp;" · ","")&amp;IF(AND($V18="Macro",$H18&lt;&gt;"",OR(NOT(ISNUMBER($H18)),$H18&lt;0,$H18&gt;1)),"Peso fuera de rango"&amp;" · ","")&amp;IF(AND($V18="Sub",$H18&lt;&gt;""),"Las subactividades no llevan peso (valen igual dentro de su macroactividad)"&amp;" · ","")&amp;IF(AND(N($W18)&gt;0,COUNT($I18:$L18)&gt;0),"Con subactividades: deje vacías las semanas (se calculan solas)"&amp;" · ","")&amp;IF((COUNTIF($I18:$L18,"&gt;1")+COUNTIF($I18:$L18,"&lt;0")+COUNTA($I18:$L18)-COUNT($I18:$L18))&gt;0,"Avance fuera de rango 0-100%"&amp;" · ","")&amp;IF(OR(AND($J18&lt;&gt;"",$J18&lt;$I18),AND($K18&lt;&gt;"",$K18&lt;MAX($I18:$J18)),AND($L18&lt;&gt;"",$L18&lt;MAX($I18:$K18))),"Avance semanal decreciente"&amp;" · ","")&amp;IF(AND(ISNUMBER($AN18),$AN18&lt;FechaRef,IF($V18="Sub",N($X18),N($M18))&lt;1),"Vencida"&amp;" · ","")&amp;IF(AND(ObsObligatoria="Sí",ISNUMBER($AN18),$AN18&lt;FechaRef,IF($V18="Sub",N($X18),N($M18))&lt;1,$Q18=""),"Vencida sin observación"&amp;" · ",""))="","✔ OK","⚠ "&amp;LEFT(IF($C18="","Falta el nombre de la actividad"&amp;" · ","")&amp;IF(AND($V18="Sub",N($U18)=0),"Subactividad sin macroactividad arriba"&amp;" · ","")&amp;IF($AM18="","Sin fecha de inicio"&amp;" · ","")&amp;IF($AN18="","Sin fecha límite"&amp;" · ","")&amp;IF(AND(LEFT($C18,11)="[Jefatura] ",N($AL18)=0),"No se encuentra en la hoja de la jefatura (elíjala de nuevo en la lista)"&amp;" · ","")&amp;IF(OR(AND($E18&lt;&gt;"",NOT(ISNUMBER($E18))),AND($F18&lt;&gt;"",NOT(ISNUMBER($F18))),AND($G18&lt;&gt;"",NOT(ISNUMBER($G18)))),"Fecha no válida"&amp;" · ","")&amp;IF(AND(ISNUMBER($AM18),ISNUMBER($AN18),$AM18&gt;$AN18),"Inicio posterior a fecha límite"&amp;" · ","")&amp;IF(AND($V18="Macro",$H18&lt;&gt;"",OR(NOT(ISNUMBER($H18)),$H18&lt;0,$H18&gt;1)),"Peso fuera de rango"&amp;" · ","")&amp;IF(AND($V18="Sub",$H18&lt;&gt;""),"Las subactividades no llevan peso (valen igual dentro de su macroactividad)"&amp;" · ","")&amp;IF(AND(N($W18)&gt;0,COUNT($I18:$L18)&gt;0),"Con subactividades: deje vacías las semanas (se calculan solas)"&amp;" · ","")&amp;IF((COUNTIF($I18:$L18,"&gt;1")+COUNTIF($I18:$L18,"&lt;0")+COUNTA($I18:$L18)-COUNT($I18:$L18))&gt;0,"Avance fuera de rango 0-100%"&amp;" · ","")&amp;IF(OR(AND($J18&lt;&gt;"",$J18&lt;$I18),AND($K18&lt;&gt;"",$K18&lt;MAX($I18:$J18)),AND($L18&lt;&gt;"",$L18&lt;MAX($I18:$K18))),"Avance semanal decreciente"&amp;" · ","")&amp;IF(AND(ISNUMBER($AN18),$AN18&lt;FechaRef,IF($V18="Sub",N($X18),N($M18))&lt;1),"Vencida"&amp;" · ","")&amp;IF(AND(ObsObligatoria="Sí",ISNUMBER($AN18),$AN18&lt;FechaRef,IF($V18="Sub",N($X18),N($M18))&lt;1,$Q18=""),"Vencida sin observación"&amp;" · ",""),LEN(IF($C18="","Falta el nombre de la actividad"&amp;" · ","")&amp;IF(AND($V18="Sub",N($U18)=0),"Subactividad sin macroactividad arriba"&amp;" · ","")&amp;IF($AM18="","Sin fecha de inicio"&amp;" · ","")&amp;IF($AN18="","Sin fecha límite"&amp;" · ","")&amp;IF(AND(LEFT($C18,11)="[Jefatura] ",N($AL18)=0),"No se encuentra en la hoja de la jefatura (elíjala de nuevo en la lista)"&amp;" · ","")&amp;IF(OR(AND($E18&lt;&gt;"",NOT(ISNUMBER($E18))),AND($F18&lt;&gt;"",NOT(ISNUMBER($F18))),AND($G18&lt;&gt;"",NOT(ISNUMBER($G18)))),"Fecha no válida"&amp;" · ","")&amp;IF(AND(ISNUMBER($AM18),ISNUMBER($AN18),$AM18&gt;$AN18),"Inicio posterior a fecha límite"&amp;" · ","")&amp;IF(AND($V18="Macro",$H18&lt;&gt;"",OR(NOT(ISNUMBER($H18)),$H18&lt;0,$H18&gt;1)),"Peso fuera de rango"&amp;" · ","")&amp;IF(AND($V18="Sub",$H18&lt;&gt;""),"Las subactividades no llevan peso (valen igual dentro de su macroactividad)"&amp;" · ","")&amp;IF(AND(N($W18)&gt;0,COUNT($I18:$L18)&gt;0),"Con subactividades: deje vacías las semanas (se calculan solas)"&amp;" · ","")&amp;IF((COUNTIF($I18:$L18,"&gt;1")+COUNTIF($I18:$L18,"&lt;0")+COUNTA($I18:$L18)-COUNT($I18:$L18))&gt;0,"Avance fuera de rango 0-100%"&amp;" · ","")&amp;IF(OR(AND($J18&lt;&gt;"",$J18&lt;$I18),AND($K18&lt;&gt;"",$K18&lt;MAX($I18:$J18)),AND($L18&lt;&gt;"",$L18&lt;MAX($I18:$K18))),"Avance semanal decreciente"&amp;" · ","")&amp;IF(AND(ISNUMBER($AN18),$AN18&lt;FechaRef,IF($V18="Sub",N($X18),N($M18))&lt;1),"Vencida"&amp;" · ","")&amp;IF(AND(ObsObligatoria="Sí",ISNUMBER($AN18),$AN18&lt;FechaRef,IF($V18="Sub",N($X18),N($M18))&lt;1,$Q18=""),"Vencida sin observación"&amp;" · ",""))-3)))</f>
        <v/>
      </c>
      <c r="S18" s="64">
        <f>IF(NOT((COUNTA($B18:$D18)+COUNTA($G18:$L18)+COUNTA($Q18))&gt;0),"",IF(AND($V18="Sub",N($U18)&gt;0),IF(ISNUMBER(INDEX($AM$5:$AM$1000,$U18-4)),DATE(YEAR(INDEX($AM$5:$AM$1000,$U18-4)),MONTH(INDEX($AM$5:$AM$1000,$U18-4)),1),IF(ISNUMBER(INDEX($AN$5:$AN$1000,$U18-4)),DATE(YEAR(INDEX($AN$5:$AN$1000,$U18-4)),MONTH(INDEX($AN$5:$AN$1000,$U18-4)),1),MesCiclo)),IF(ISNUMBER($AM18),DATE(YEAR($AM18),MONTH($AM18),1),IF(ISNUMBER($AN18),DATE(YEAR($AN18),MONTH($AN18),1),MesCiclo))))</f>
        <v/>
      </c>
      <c r="T18" s="62">
        <f>IF(OR($S18="",$S18&lt;&gt;MesCiclo,$V18&lt;&gt;"Macro"),"",COUNTIFS($S$5:$S18,MesCiclo,$V$5:$V18,"Macro"))</f>
        <v/>
      </c>
      <c r="U18" s="62">
        <f>IF($V18="","",IF($V18="Macro",ROW(),IFERROR(LOOKUP(2,1/($V$5:$V18="Macro"),ROW($V$5:$V18)),0)))</f>
        <v/>
      </c>
      <c r="V18" s="62">
        <f>IF(NOT((COUNTA($B18:$D18)+COUNTA($G18:$L18)+COUNTA($Q18))&gt;0),"",IF($B18="Subactividad","Sub","Macro"))</f>
        <v/>
      </c>
      <c r="W18" s="62">
        <f>IF($V18="Macro",COUNTIFS($U$5:$U$1000,ROW(),$V$5:$V$1000,"Sub"),"")</f>
        <v/>
      </c>
      <c r="X18" s="62">
        <f>IF($V18="","",IF(ISNUMBER($G18),1,IFERROR(LOOKUP(2,1/($I18:$L18&lt;&gt;""),$I18:$L18),0)))</f>
        <v/>
      </c>
      <c r="Y18" s="62">
        <f>IF($V18="","",IF(AND(ISNUMBER($G18),$G18&lt;=IF($S18=MesCiclo,InicioCiclo,$S18+MOD(2-WEEKDAY($S18),7))+6),1,IF(ISNUMBER($I18),$I18,0)))</f>
        <v/>
      </c>
      <c r="Z18" s="62">
        <f>IF($V18="","",IF(AND(ISNUMBER($G18),$G18&lt;=IF($S18=MesCiclo,InicioCiclo,$S18+MOD(2-WEEKDAY($S18),7))+13),1,IF(ISNUMBER($J18),$J18,$Y18)))</f>
        <v/>
      </c>
      <c r="AA18" s="62">
        <f>IF($V18="","",IF(AND(ISNUMBER($G18),$G18&lt;=IF($S18=MesCiclo,InicioCiclo,$S18+MOD(2-WEEKDAY($S18),7))+20),1,IF(ISNUMBER($K18),$K18,$Z18)))</f>
        <v/>
      </c>
      <c r="AB18" s="62">
        <f>IF($V18="","",IF(AND(ISNUMBER($G18),$G18&lt;=IF($S18=MesCiclo,InicioCiclo,$S18+MOD(2-WEEKDAY($S18),7))+27),1,IF(ISNUMBER($L18),$L18,$AA18)))</f>
        <v/>
      </c>
      <c r="AC18" s="62">
        <f>IF($V18="","",IF(AND(ISNUMBER($G18),$G18&lt;=IF($S18=MesCiclo,InicioCiclo,$S18+MOD(2-WEEKDAY($S18),7))+6),1,IF(N($W18)&gt;0,AVERAGEIFS($Y$5:$Y$1000,$U$5:$U$1000,ROW(),$V$5:$V$1000,"Sub"),$Y18)))</f>
        <v/>
      </c>
      <c r="AD18" s="62">
        <f>IF($V18="","",IF(AND(ISNUMBER($G18),$G18&lt;=IF($S18=MesCiclo,InicioCiclo,$S18+MOD(2-WEEKDAY($S18),7))+13),1,IF(N($W18)&gt;0,AVERAGEIFS($Z$5:$Z$1000,$U$5:$U$1000,ROW(),$V$5:$V$1000,"Sub"),$Z18)))</f>
        <v/>
      </c>
      <c r="AE18" s="62">
        <f>IF($V18="","",IF(AND(ISNUMBER($G18),$G18&lt;=IF($S18=MesCiclo,InicioCiclo,$S18+MOD(2-WEEKDAY($S18),7))+20),1,IF(N($W18)&gt;0,AVERAGEIFS($AA$5:$AA$1000,$U$5:$U$1000,ROW(),$V$5:$V$1000,"Sub"),$AA18)))</f>
        <v/>
      </c>
      <c r="AF18" s="62">
        <f>IF($V18="","",IF(AND(ISNUMBER($G18),$G18&lt;=IF($S18=MesCiclo,InicioCiclo,$S18+MOD(2-WEEKDAY($S18),7))+27),1,IF(N($W18)&gt;0,AVERAGEIFS($AB$5:$AB$1000,$U$5:$U$1000,ROW(),$V$5:$V$1000,"Sub"),$AB18)))</f>
        <v/>
      </c>
      <c r="AG18" s="62">
        <f>IF($V18&lt;&gt;"Macro","",IF(COUNTIFS($S$5:$S$1000,$S18,$V$5:$V$1000,"Macro",$H$5:$H$1000,"&gt;0")=0,1/COUNTIFS($S$5:$S$1000,$S18,$V$5:$V$1000,"Macro"),IF(AND(ISNUMBER($H18),N($H18)&gt;0),$H18,SUMIFS($H$5:$H$1000,$S$5:$S$1000,$S18,$V$5:$V$1000,"Macro")/COUNTIFS($S$5:$S$1000,$S18,$V$5:$V$1000,"Macro",$H$5:$H$1000,"&gt;0"))/(COUNTIFS($S$5:$S$1000,$S18,$V$5:$V$1000,"Macro")*SUMIFS($H$5:$H$1000,$S$5:$S$1000,$S18,$V$5:$V$1000,"Macro")/COUNTIFS($S$5:$S$1000,$S18,$V$5:$V$1000,"Macro",$H$5:$H$1000,"&gt;0"))))</f>
        <v/>
      </c>
      <c r="AH18" s="62" t="n"/>
      <c r="AI18" s="62" t="n"/>
      <c r="AJ18" s="62" t="n"/>
      <c r="AK18" s="62" t="n"/>
      <c r="AL18" s="62">
        <f>IF(LEFT($C18,11)="[Jefatura] ",IFERROR(MATCH("Riesgo Financiero|"&amp;MID($C18,12,500),rDname_ADM,0),0),"")</f>
        <v/>
      </c>
      <c r="AM18" s="62">
        <f>IF(N($AL18)&gt;0,INDEX(rIni_ADM,$AL18),IF(ISNUMBER($E18),$E18,""))</f>
        <v/>
      </c>
      <c r="AN18" s="62">
        <f>IF(N($AL18)&gt;0,INDEX(rLim_ADM,$AL18),IF(ISNUMBER($F18),$F18,""))</f>
        <v/>
      </c>
    </row>
    <row r="19">
      <c r="A19" s="56">
        <f>IF(NOT((COUNTA($B19:$D19)+COUNTA($G19:$L19)+COUNTA($Q19))&gt;0),"",IF($V19="Macro",COUNTIFS($V$5:$V19,"Macro",$S$5:$S19,$S19),IF(N($U19)=0,"?",COUNTIFS(INDEX($V$5:$V$1000,1):INDEX($V$5:$V$1000,$U19-4),"Macro",INDEX($S$5:$S$1000,1):INDEX($S$5:$S$1000,$U19-4),INDEX($S$5:$S$1000,$U19-4))&amp;"."&amp;COUNTIFS($U$5:$U19,$U19,$V$5:$V19,"Sub"))))</f>
        <v/>
      </c>
      <c r="B19" s="57" t="n"/>
      <c r="C19" s="58" t="n"/>
      <c r="D19" s="58" t="n"/>
      <c r="E19" s="59">
        <f>IF(N($AL19)&gt;0,INDEX(rIni_ADM,$AL19),"")</f>
        <v/>
      </c>
      <c r="F19" s="59">
        <f>IF(N($AL19)&gt;0,INDEX(rLim_ADM,$AL19),"")</f>
        <v/>
      </c>
      <c r="G19" s="59" t="n"/>
      <c r="H19" s="60" t="n"/>
      <c r="I19" s="60" t="n"/>
      <c r="J19" s="60" t="n"/>
      <c r="K19" s="60" t="n"/>
      <c r="L19" s="60" t="n"/>
      <c r="M19" s="61">
        <f>IF(NOT((COUNTA($B19:$D19)+COUNTA($G19:$L19)+COUNTA($Q19))&gt;0),"",IF($V19="Sub",IFERROR($X19/INDEX($W$5:$W$1000,$U19-4),""),IF(ISNUMBER($G19),1,IF(N($W19)&gt;0,AVERAGEIFS($X$5:$X$1000,$U$5:$U$1000,ROW(),$V$5:$V$1000,"Sub"),$X19))))</f>
        <v/>
      </c>
      <c r="N19" s="56">
        <f>IF(OR($M19="",$V19="Sub"),"",IF($M19&gt;=1,"Completado",IF($M19&gt;0,"En curso","Pendiente")))</f>
        <v/>
      </c>
      <c r="O19" s="56">
        <f>IF(OR(NOT((COUNTA($B19:$D19)+COUNTA($G19:$L19)+COUNTA($Q19))&gt;0),$V19="Sub"),"",IF(ISNUMBER($G19),IF(AND(ISNUMBER($AN19),$G19&gt;$AN19),"Cumplida con "&amp;($G19-$AN19)&amp;IF($G19-$AN19=1," día"," días")&amp;" de retraso","Cumplida"),IF(N($M19)&gt;=1,"Cumplida",IF(NOT(ISNUMBER($AN19)),"Sin fecha límite",IF($AN19&lt;FechaRef,"Vencida hace "&amp;(FechaRef-$AN19)&amp;IF(FechaRef-$AN19=1," día"," días"),IF($AN19=FechaRef,"Vence hoy",IF($AN19-FechaRef&lt;=DiasAlerta,"Vence en "&amp;($AN19-FechaRef)&amp;IF($AN19-FechaRef=1," día"," días"),"En plazo")))))))</f>
        <v/>
      </c>
      <c r="P19" s="62" t="n"/>
      <c r="Q19" s="58" t="n"/>
      <c r="R19" s="63">
        <f>IF(NOT((COUNTA($B19:$D19)+COUNTA($G19:$L19)+COUNTA($Q19))&gt;0),"",IF((IF($C19="","Falta el nombre de la actividad"&amp;" · ","")&amp;IF(AND($V19="Sub",N($U19)=0),"Subactividad sin macroactividad arriba"&amp;" · ","")&amp;IF($AM19="","Sin fecha de inicio"&amp;" · ","")&amp;IF($AN19="","Sin fecha límite"&amp;" · ","")&amp;IF(AND(LEFT($C19,11)="[Jefatura] ",N($AL19)=0),"No se encuentra en la hoja de la jefatura (elíjala de nuevo en la lista)"&amp;" · ","")&amp;IF(OR(AND($E19&lt;&gt;"",NOT(ISNUMBER($E19))),AND($F19&lt;&gt;"",NOT(ISNUMBER($F19))),AND($G19&lt;&gt;"",NOT(ISNUMBER($G19)))),"Fecha no válida"&amp;" · ","")&amp;IF(AND(ISNUMBER($AM19),ISNUMBER($AN19),$AM19&gt;$AN19),"Inicio posterior a fecha límite"&amp;" · ","")&amp;IF(AND($V19="Macro",$H19&lt;&gt;"",OR(NOT(ISNUMBER($H19)),$H19&lt;0,$H19&gt;1)),"Peso fuera de rango"&amp;" · ","")&amp;IF(AND($V19="Sub",$H19&lt;&gt;""),"Las subactividades no llevan peso (valen igual dentro de su macroactividad)"&amp;" · ","")&amp;IF(AND(N($W19)&gt;0,COUNT($I19:$L19)&gt;0),"Con subactividades: deje vacías las semanas (se calculan solas)"&amp;" · ","")&amp;IF((COUNTIF($I19:$L19,"&gt;1")+COUNTIF($I19:$L19,"&lt;0")+COUNTA($I19:$L19)-COUNT($I19:$L19))&gt;0,"Avance fuera de rango 0-100%"&amp;" · ","")&amp;IF(OR(AND($J19&lt;&gt;"",$J19&lt;$I19),AND($K19&lt;&gt;"",$K19&lt;MAX($I19:$J19)),AND($L19&lt;&gt;"",$L19&lt;MAX($I19:$K19))),"Avance semanal decreciente"&amp;" · ","")&amp;IF(AND(ISNUMBER($AN19),$AN19&lt;FechaRef,IF($V19="Sub",N($X19),N($M19))&lt;1),"Vencida"&amp;" · ","")&amp;IF(AND(ObsObligatoria="Sí",ISNUMBER($AN19),$AN19&lt;FechaRef,IF($V19="Sub",N($X19),N($M19))&lt;1,$Q19=""),"Vencida sin observación"&amp;" · ",""))="","✔ OK","⚠ "&amp;LEFT(IF($C19="","Falta el nombre de la actividad"&amp;" · ","")&amp;IF(AND($V19="Sub",N($U19)=0),"Subactividad sin macroactividad arriba"&amp;" · ","")&amp;IF($AM19="","Sin fecha de inicio"&amp;" · ","")&amp;IF($AN19="","Sin fecha límite"&amp;" · ","")&amp;IF(AND(LEFT($C19,11)="[Jefatura] ",N($AL19)=0),"No se encuentra en la hoja de la jefatura (elíjala de nuevo en la lista)"&amp;" · ","")&amp;IF(OR(AND($E19&lt;&gt;"",NOT(ISNUMBER($E19))),AND($F19&lt;&gt;"",NOT(ISNUMBER($F19))),AND($G19&lt;&gt;"",NOT(ISNUMBER($G19)))),"Fecha no válida"&amp;" · ","")&amp;IF(AND(ISNUMBER($AM19),ISNUMBER($AN19),$AM19&gt;$AN19),"Inicio posterior a fecha límite"&amp;" · ","")&amp;IF(AND($V19="Macro",$H19&lt;&gt;"",OR(NOT(ISNUMBER($H19)),$H19&lt;0,$H19&gt;1)),"Peso fuera de rango"&amp;" · ","")&amp;IF(AND($V19="Sub",$H19&lt;&gt;""),"Las subactividades no llevan peso (valen igual dentro de su macroactividad)"&amp;" · ","")&amp;IF(AND(N($W19)&gt;0,COUNT($I19:$L19)&gt;0),"Con subactividades: deje vacías las semanas (se calculan solas)"&amp;" · ","")&amp;IF((COUNTIF($I19:$L19,"&gt;1")+COUNTIF($I19:$L19,"&lt;0")+COUNTA($I19:$L19)-COUNT($I19:$L19))&gt;0,"Avance fuera de rango 0-100%"&amp;" · ","")&amp;IF(OR(AND($J19&lt;&gt;"",$J19&lt;$I19),AND($K19&lt;&gt;"",$K19&lt;MAX($I19:$J19)),AND($L19&lt;&gt;"",$L19&lt;MAX($I19:$K19))),"Avance semanal decreciente"&amp;" · ","")&amp;IF(AND(ISNUMBER($AN19),$AN19&lt;FechaRef,IF($V19="Sub",N($X19),N($M19))&lt;1),"Vencida"&amp;" · ","")&amp;IF(AND(ObsObligatoria="Sí",ISNUMBER($AN19),$AN19&lt;FechaRef,IF($V19="Sub",N($X19),N($M19))&lt;1,$Q19=""),"Vencida sin observación"&amp;" · ",""),LEN(IF($C19="","Falta el nombre de la actividad"&amp;" · ","")&amp;IF(AND($V19="Sub",N($U19)=0),"Subactividad sin macroactividad arriba"&amp;" · ","")&amp;IF($AM19="","Sin fecha de inicio"&amp;" · ","")&amp;IF($AN19="","Sin fecha límite"&amp;" · ","")&amp;IF(AND(LEFT($C19,11)="[Jefatura] ",N($AL19)=0),"No se encuentra en la hoja de la jefatura (elíjala de nuevo en la lista)"&amp;" · ","")&amp;IF(OR(AND($E19&lt;&gt;"",NOT(ISNUMBER($E19))),AND($F19&lt;&gt;"",NOT(ISNUMBER($F19))),AND($G19&lt;&gt;"",NOT(ISNUMBER($G19)))),"Fecha no válida"&amp;" · ","")&amp;IF(AND(ISNUMBER($AM19),ISNUMBER($AN19),$AM19&gt;$AN19),"Inicio posterior a fecha límite"&amp;" · ","")&amp;IF(AND($V19="Macro",$H19&lt;&gt;"",OR(NOT(ISNUMBER($H19)),$H19&lt;0,$H19&gt;1)),"Peso fuera de rango"&amp;" · ","")&amp;IF(AND($V19="Sub",$H19&lt;&gt;""),"Las subactividades no llevan peso (valen igual dentro de su macroactividad)"&amp;" · ","")&amp;IF(AND(N($W19)&gt;0,COUNT($I19:$L19)&gt;0),"Con subactividades: deje vacías las semanas (se calculan solas)"&amp;" · ","")&amp;IF((COUNTIF($I19:$L19,"&gt;1")+COUNTIF($I19:$L19,"&lt;0")+COUNTA($I19:$L19)-COUNT($I19:$L19))&gt;0,"Avance fuera de rango 0-100%"&amp;" · ","")&amp;IF(OR(AND($J19&lt;&gt;"",$J19&lt;$I19),AND($K19&lt;&gt;"",$K19&lt;MAX($I19:$J19)),AND($L19&lt;&gt;"",$L19&lt;MAX($I19:$K19))),"Avance semanal decreciente"&amp;" · ","")&amp;IF(AND(ISNUMBER($AN19),$AN19&lt;FechaRef,IF($V19="Sub",N($X19),N($M19))&lt;1),"Vencida"&amp;" · ","")&amp;IF(AND(ObsObligatoria="Sí",ISNUMBER($AN19),$AN19&lt;FechaRef,IF($V19="Sub",N($X19),N($M19))&lt;1,$Q19=""),"Vencida sin observación"&amp;" · ",""))-3)))</f>
        <v/>
      </c>
      <c r="S19" s="64">
        <f>IF(NOT((COUNTA($B19:$D19)+COUNTA($G19:$L19)+COUNTA($Q19))&gt;0),"",IF(AND($V19="Sub",N($U19)&gt;0),IF(ISNUMBER(INDEX($AM$5:$AM$1000,$U19-4)),DATE(YEAR(INDEX($AM$5:$AM$1000,$U19-4)),MONTH(INDEX($AM$5:$AM$1000,$U19-4)),1),IF(ISNUMBER(INDEX($AN$5:$AN$1000,$U19-4)),DATE(YEAR(INDEX($AN$5:$AN$1000,$U19-4)),MONTH(INDEX($AN$5:$AN$1000,$U19-4)),1),MesCiclo)),IF(ISNUMBER($AM19),DATE(YEAR($AM19),MONTH($AM19),1),IF(ISNUMBER($AN19),DATE(YEAR($AN19),MONTH($AN19),1),MesCiclo))))</f>
        <v/>
      </c>
      <c r="T19" s="62">
        <f>IF(OR($S19="",$S19&lt;&gt;MesCiclo,$V19&lt;&gt;"Macro"),"",COUNTIFS($S$5:$S19,MesCiclo,$V$5:$V19,"Macro"))</f>
        <v/>
      </c>
      <c r="U19" s="62">
        <f>IF($V19="","",IF($V19="Macro",ROW(),IFERROR(LOOKUP(2,1/($V$5:$V19="Macro"),ROW($V$5:$V19)),0)))</f>
        <v/>
      </c>
      <c r="V19" s="62">
        <f>IF(NOT((COUNTA($B19:$D19)+COUNTA($G19:$L19)+COUNTA($Q19))&gt;0),"",IF($B19="Subactividad","Sub","Macro"))</f>
        <v/>
      </c>
      <c r="W19" s="62">
        <f>IF($V19="Macro",COUNTIFS($U$5:$U$1000,ROW(),$V$5:$V$1000,"Sub"),"")</f>
        <v/>
      </c>
      <c r="X19" s="62">
        <f>IF($V19="","",IF(ISNUMBER($G19),1,IFERROR(LOOKUP(2,1/($I19:$L19&lt;&gt;""),$I19:$L19),0)))</f>
        <v/>
      </c>
      <c r="Y19" s="62">
        <f>IF($V19="","",IF(AND(ISNUMBER($G19),$G19&lt;=IF($S19=MesCiclo,InicioCiclo,$S19+MOD(2-WEEKDAY($S19),7))+6),1,IF(ISNUMBER($I19),$I19,0)))</f>
        <v/>
      </c>
      <c r="Z19" s="62">
        <f>IF($V19="","",IF(AND(ISNUMBER($G19),$G19&lt;=IF($S19=MesCiclo,InicioCiclo,$S19+MOD(2-WEEKDAY($S19),7))+13),1,IF(ISNUMBER($J19),$J19,$Y19)))</f>
        <v/>
      </c>
      <c r="AA19" s="62">
        <f>IF($V19="","",IF(AND(ISNUMBER($G19),$G19&lt;=IF($S19=MesCiclo,InicioCiclo,$S19+MOD(2-WEEKDAY($S19),7))+20),1,IF(ISNUMBER($K19),$K19,$Z19)))</f>
        <v/>
      </c>
      <c r="AB19" s="62">
        <f>IF($V19="","",IF(AND(ISNUMBER($G19),$G19&lt;=IF($S19=MesCiclo,InicioCiclo,$S19+MOD(2-WEEKDAY($S19),7))+27),1,IF(ISNUMBER($L19),$L19,$AA19)))</f>
        <v/>
      </c>
      <c r="AC19" s="62">
        <f>IF($V19="","",IF(AND(ISNUMBER($G19),$G19&lt;=IF($S19=MesCiclo,InicioCiclo,$S19+MOD(2-WEEKDAY($S19),7))+6),1,IF(N($W19)&gt;0,AVERAGEIFS($Y$5:$Y$1000,$U$5:$U$1000,ROW(),$V$5:$V$1000,"Sub"),$Y19)))</f>
        <v/>
      </c>
      <c r="AD19" s="62">
        <f>IF($V19="","",IF(AND(ISNUMBER($G19),$G19&lt;=IF($S19=MesCiclo,InicioCiclo,$S19+MOD(2-WEEKDAY($S19),7))+13),1,IF(N($W19)&gt;0,AVERAGEIFS($Z$5:$Z$1000,$U$5:$U$1000,ROW(),$V$5:$V$1000,"Sub"),$Z19)))</f>
        <v/>
      </c>
      <c r="AE19" s="62">
        <f>IF($V19="","",IF(AND(ISNUMBER($G19),$G19&lt;=IF($S19=MesCiclo,InicioCiclo,$S19+MOD(2-WEEKDAY($S19),7))+20),1,IF(N($W19)&gt;0,AVERAGEIFS($AA$5:$AA$1000,$U$5:$U$1000,ROW(),$V$5:$V$1000,"Sub"),$AA19)))</f>
        <v/>
      </c>
      <c r="AF19" s="62">
        <f>IF($V19="","",IF(AND(ISNUMBER($G19),$G19&lt;=IF($S19=MesCiclo,InicioCiclo,$S19+MOD(2-WEEKDAY($S19),7))+27),1,IF(N($W19)&gt;0,AVERAGEIFS($AB$5:$AB$1000,$U$5:$U$1000,ROW(),$V$5:$V$1000,"Sub"),$AB19)))</f>
        <v/>
      </c>
      <c r="AG19" s="62">
        <f>IF($V19&lt;&gt;"Macro","",IF(COUNTIFS($S$5:$S$1000,$S19,$V$5:$V$1000,"Macro",$H$5:$H$1000,"&gt;0")=0,1/COUNTIFS($S$5:$S$1000,$S19,$V$5:$V$1000,"Macro"),IF(AND(ISNUMBER($H19),N($H19)&gt;0),$H19,SUMIFS($H$5:$H$1000,$S$5:$S$1000,$S19,$V$5:$V$1000,"Macro")/COUNTIFS($S$5:$S$1000,$S19,$V$5:$V$1000,"Macro",$H$5:$H$1000,"&gt;0"))/(COUNTIFS($S$5:$S$1000,$S19,$V$5:$V$1000,"Macro")*SUMIFS($H$5:$H$1000,$S$5:$S$1000,$S19,$V$5:$V$1000,"Macro")/COUNTIFS($S$5:$S$1000,$S19,$V$5:$V$1000,"Macro",$H$5:$H$1000,"&gt;0"))))</f>
        <v/>
      </c>
      <c r="AH19" s="62" t="n"/>
      <c r="AI19" s="62" t="n"/>
      <c r="AJ19" s="62" t="n"/>
      <c r="AK19" s="62" t="n"/>
      <c r="AL19" s="62">
        <f>IF(LEFT($C19,11)="[Jefatura] ",IFERROR(MATCH("Riesgo Financiero|"&amp;MID($C19,12,500),rDname_ADM,0),0),"")</f>
        <v/>
      </c>
      <c r="AM19" s="62">
        <f>IF(N($AL19)&gt;0,INDEX(rIni_ADM,$AL19),IF(ISNUMBER($E19),$E19,""))</f>
        <v/>
      </c>
      <c r="AN19" s="62">
        <f>IF(N($AL19)&gt;0,INDEX(rLim_ADM,$AL19),IF(ISNUMBER($F19),$F19,""))</f>
        <v/>
      </c>
    </row>
    <row r="20">
      <c r="A20" s="56">
        <f>IF(NOT((COUNTA($B20:$D20)+COUNTA($G20:$L20)+COUNTA($Q20))&gt;0),"",IF($V20="Macro",COUNTIFS($V$5:$V20,"Macro",$S$5:$S20,$S20),IF(N($U20)=0,"?",COUNTIFS(INDEX($V$5:$V$1000,1):INDEX($V$5:$V$1000,$U20-4),"Macro",INDEX($S$5:$S$1000,1):INDEX($S$5:$S$1000,$U20-4),INDEX($S$5:$S$1000,$U20-4))&amp;"."&amp;COUNTIFS($U$5:$U20,$U20,$V$5:$V20,"Sub"))))</f>
        <v/>
      </c>
      <c r="B20" s="57" t="n"/>
      <c r="C20" s="58" t="n"/>
      <c r="D20" s="58" t="n"/>
      <c r="E20" s="59">
        <f>IF(N($AL20)&gt;0,INDEX(rIni_ADM,$AL20),"")</f>
        <v/>
      </c>
      <c r="F20" s="59">
        <f>IF(N($AL20)&gt;0,INDEX(rLim_ADM,$AL20),"")</f>
        <v/>
      </c>
      <c r="G20" s="59" t="n"/>
      <c r="H20" s="60" t="n"/>
      <c r="I20" s="60" t="n"/>
      <c r="J20" s="60" t="n"/>
      <c r="K20" s="60" t="n"/>
      <c r="L20" s="60" t="n"/>
      <c r="M20" s="61">
        <f>IF(NOT((COUNTA($B20:$D20)+COUNTA($G20:$L20)+COUNTA($Q20))&gt;0),"",IF($V20="Sub",IFERROR($X20/INDEX($W$5:$W$1000,$U20-4),""),IF(ISNUMBER($G20),1,IF(N($W20)&gt;0,AVERAGEIFS($X$5:$X$1000,$U$5:$U$1000,ROW(),$V$5:$V$1000,"Sub"),$X20))))</f>
        <v/>
      </c>
      <c r="N20" s="56">
        <f>IF(OR($M20="",$V20="Sub"),"",IF($M20&gt;=1,"Completado",IF($M20&gt;0,"En curso","Pendiente")))</f>
        <v/>
      </c>
      <c r="O20" s="56">
        <f>IF(OR(NOT((COUNTA($B20:$D20)+COUNTA($G20:$L20)+COUNTA($Q20))&gt;0),$V20="Sub"),"",IF(ISNUMBER($G20),IF(AND(ISNUMBER($AN20),$G20&gt;$AN20),"Cumplida con "&amp;($G20-$AN20)&amp;IF($G20-$AN20=1," día"," días")&amp;" de retraso","Cumplida"),IF(N($M20)&gt;=1,"Cumplida",IF(NOT(ISNUMBER($AN20)),"Sin fecha límite",IF($AN20&lt;FechaRef,"Vencida hace "&amp;(FechaRef-$AN20)&amp;IF(FechaRef-$AN20=1," día"," días"),IF($AN20=FechaRef,"Vence hoy",IF($AN20-FechaRef&lt;=DiasAlerta,"Vence en "&amp;($AN20-FechaRef)&amp;IF($AN20-FechaRef=1," día"," días"),"En plazo")))))))</f>
        <v/>
      </c>
      <c r="P20" s="62" t="n"/>
      <c r="Q20" s="58" t="n"/>
      <c r="R20" s="63">
        <f>IF(NOT((COUNTA($B20:$D20)+COUNTA($G20:$L20)+COUNTA($Q20))&gt;0),"",IF((IF($C20="","Falta el nombre de la actividad"&amp;" · ","")&amp;IF(AND($V20="Sub",N($U20)=0),"Subactividad sin macroactividad arriba"&amp;" · ","")&amp;IF($AM20="","Sin fecha de inicio"&amp;" · ","")&amp;IF($AN20="","Sin fecha límite"&amp;" · ","")&amp;IF(AND(LEFT($C20,11)="[Jefatura] ",N($AL20)=0),"No se encuentra en la hoja de la jefatura (elíjala de nuevo en la lista)"&amp;" · ","")&amp;IF(OR(AND($E20&lt;&gt;"",NOT(ISNUMBER($E20))),AND($F20&lt;&gt;"",NOT(ISNUMBER($F20))),AND($G20&lt;&gt;"",NOT(ISNUMBER($G20)))),"Fecha no válida"&amp;" · ","")&amp;IF(AND(ISNUMBER($AM20),ISNUMBER($AN20),$AM20&gt;$AN20),"Inicio posterior a fecha límite"&amp;" · ","")&amp;IF(AND($V20="Macro",$H20&lt;&gt;"",OR(NOT(ISNUMBER($H20)),$H20&lt;0,$H20&gt;1)),"Peso fuera de rango"&amp;" · ","")&amp;IF(AND($V20="Sub",$H20&lt;&gt;""),"Las subactividades no llevan peso (valen igual dentro de su macroactividad)"&amp;" · ","")&amp;IF(AND(N($W20)&gt;0,COUNT($I20:$L20)&gt;0),"Con subactividades: deje vacías las semanas (se calculan solas)"&amp;" · ","")&amp;IF((COUNTIF($I20:$L20,"&gt;1")+COUNTIF($I20:$L20,"&lt;0")+COUNTA($I20:$L20)-COUNT($I20:$L20))&gt;0,"Avance fuera de rango 0-100%"&amp;" · ","")&amp;IF(OR(AND($J20&lt;&gt;"",$J20&lt;$I20),AND($K20&lt;&gt;"",$K20&lt;MAX($I20:$J20)),AND($L20&lt;&gt;"",$L20&lt;MAX($I20:$K20))),"Avance semanal decreciente"&amp;" · ","")&amp;IF(AND(ISNUMBER($AN20),$AN20&lt;FechaRef,IF($V20="Sub",N($X20),N($M20))&lt;1),"Vencida"&amp;" · ","")&amp;IF(AND(ObsObligatoria="Sí",ISNUMBER($AN20),$AN20&lt;FechaRef,IF($V20="Sub",N($X20),N($M20))&lt;1,$Q20=""),"Vencida sin observación"&amp;" · ",""))="","✔ OK","⚠ "&amp;LEFT(IF($C20="","Falta el nombre de la actividad"&amp;" · ","")&amp;IF(AND($V20="Sub",N($U20)=0),"Subactividad sin macroactividad arriba"&amp;" · ","")&amp;IF($AM20="","Sin fecha de inicio"&amp;" · ","")&amp;IF($AN20="","Sin fecha límite"&amp;" · ","")&amp;IF(AND(LEFT($C20,11)="[Jefatura] ",N($AL20)=0),"No se encuentra en la hoja de la jefatura (elíjala de nuevo en la lista)"&amp;" · ","")&amp;IF(OR(AND($E20&lt;&gt;"",NOT(ISNUMBER($E20))),AND($F20&lt;&gt;"",NOT(ISNUMBER($F20))),AND($G20&lt;&gt;"",NOT(ISNUMBER($G20)))),"Fecha no válida"&amp;" · ","")&amp;IF(AND(ISNUMBER($AM20),ISNUMBER($AN20),$AM20&gt;$AN20),"Inicio posterior a fecha límite"&amp;" · ","")&amp;IF(AND($V20="Macro",$H20&lt;&gt;"",OR(NOT(ISNUMBER($H20)),$H20&lt;0,$H20&gt;1)),"Peso fuera de rango"&amp;" · ","")&amp;IF(AND($V20="Sub",$H20&lt;&gt;""),"Las subactividades no llevan peso (valen igual dentro de su macroactividad)"&amp;" · ","")&amp;IF(AND(N($W20)&gt;0,COUNT($I20:$L20)&gt;0),"Con subactividades: deje vacías las semanas (se calculan solas)"&amp;" · ","")&amp;IF((COUNTIF($I20:$L20,"&gt;1")+COUNTIF($I20:$L20,"&lt;0")+COUNTA($I20:$L20)-COUNT($I20:$L20))&gt;0,"Avance fuera de rango 0-100%"&amp;" · ","")&amp;IF(OR(AND($J20&lt;&gt;"",$J20&lt;$I20),AND($K20&lt;&gt;"",$K20&lt;MAX($I20:$J20)),AND($L20&lt;&gt;"",$L20&lt;MAX($I20:$K20))),"Avance semanal decreciente"&amp;" · ","")&amp;IF(AND(ISNUMBER($AN20),$AN20&lt;FechaRef,IF($V20="Sub",N($X20),N($M20))&lt;1),"Vencida"&amp;" · ","")&amp;IF(AND(ObsObligatoria="Sí",ISNUMBER($AN20),$AN20&lt;FechaRef,IF($V20="Sub",N($X20),N($M20))&lt;1,$Q20=""),"Vencida sin observación"&amp;" · ",""),LEN(IF($C20="","Falta el nombre de la actividad"&amp;" · ","")&amp;IF(AND($V20="Sub",N($U20)=0),"Subactividad sin macroactividad arriba"&amp;" · ","")&amp;IF($AM20="","Sin fecha de inicio"&amp;" · ","")&amp;IF($AN20="","Sin fecha límite"&amp;" · ","")&amp;IF(AND(LEFT($C20,11)="[Jefatura] ",N($AL20)=0),"No se encuentra en la hoja de la jefatura (elíjala de nuevo en la lista)"&amp;" · ","")&amp;IF(OR(AND($E20&lt;&gt;"",NOT(ISNUMBER($E20))),AND($F20&lt;&gt;"",NOT(ISNUMBER($F20))),AND($G20&lt;&gt;"",NOT(ISNUMBER($G20)))),"Fecha no válida"&amp;" · ","")&amp;IF(AND(ISNUMBER($AM20),ISNUMBER($AN20),$AM20&gt;$AN20),"Inicio posterior a fecha límite"&amp;" · ","")&amp;IF(AND($V20="Macro",$H20&lt;&gt;"",OR(NOT(ISNUMBER($H20)),$H20&lt;0,$H20&gt;1)),"Peso fuera de rango"&amp;" · ","")&amp;IF(AND($V20="Sub",$H20&lt;&gt;""),"Las subactividades no llevan peso (valen igual dentro de su macroactividad)"&amp;" · ","")&amp;IF(AND(N($W20)&gt;0,COUNT($I20:$L20)&gt;0),"Con subactividades: deje vacías las semanas (se calculan solas)"&amp;" · ","")&amp;IF((COUNTIF($I20:$L20,"&gt;1")+COUNTIF($I20:$L20,"&lt;0")+COUNTA($I20:$L20)-COUNT($I20:$L20))&gt;0,"Avance fuera de rango 0-100%"&amp;" · ","")&amp;IF(OR(AND($J20&lt;&gt;"",$J20&lt;$I20),AND($K20&lt;&gt;"",$K20&lt;MAX($I20:$J20)),AND($L20&lt;&gt;"",$L20&lt;MAX($I20:$K20))),"Avance semanal decreciente"&amp;" · ","")&amp;IF(AND(ISNUMBER($AN20),$AN20&lt;FechaRef,IF($V20="Sub",N($X20),N($M20))&lt;1),"Vencida"&amp;" · ","")&amp;IF(AND(ObsObligatoria="Sí",ISNUMBER($AN20),$AN20&lt;FechaRef,IF($V20="Sub",N($X20),N($M20))&lt;1,$Q20=""),"Vencida sin observación"&amp;" · ",""))-3)))</f>
        <v/>
      </c>
      <c r="S20" s="64">
        <f>IF(NOT((COUNTA($B20:$D20)+COUNTA($G20:$L20)+COUNTA($Q20))&gt;0),"",IF(AND($V20="Sub",N($U20)&gt;0),IF(ISNUMBER(INDEX($AM$5:$AM$1000,$U20-4)),DATE(YEAR(INDEX($AM$5:$AM$1000,$U20-4)),MONTH(INDEX($AM$5:$AM$1000,$U20-4)),1),IF(ISNUMBER(INDEX($AN$5:$AN$1000,$U20-4)),DATE(YEAR(INDEX($AN$5:$AN$1000,$U20-4)),MONTH(INDEX($AN$5:$AN$1000,$U20-4)),1),MesCiclo)),IF(ISNUMBER($AM20),DATE(YEAR($AM20),MONTH($AM20),1),IF(ISNUMBER($AN20),DATE(YEAR($AN20),MONTH($AN20),1),MesCiclo))))</f>
        <v/>
      </c>
      <c r="T20" s="62">
        <f>IF(OR($S20="",$S20&lt;&gt;MesCiclo,$V20&lt;&gt;"Macro"),"",COUNTIFS($S$5:$S20,MesCiclo,$V$5:$V20,"Macro"))</f>
        <v/>
      </c>
      <c r="U20" s="62">
        <f>IF($V20="","",IF($V20="Macro",ROW(),IFERROR(LOOKUP(2,1/($V$5:$V20="Macro"),ROW($V$5:$V20)),0)))</f>
        <v/>
      </c>
      <c r="V20" s="62">
        <f>IF(NOT((COUNTA($B20:$D20)+COUNTA($G20:$L20)+COUNTA($Q20))&gt;0),"",IF($B20="Subactividad","Sub","Macro"))</f>
        <v/>
      </c>
      <c r="W20" s="62">
        <f>IF($V20="Macro",COUNTIFS($U$5:$U$1000,ROW(),$V$5:$V$1000,"Sub"),"")</f>
        <v/>
      </c>
      <c r="X20" s="62">
        <f>IF($V20="","",IF(ISNUMBER($G20),1,IFERROR(LOOKUP(2,1/($I20:$L20&lt;&gt;""),$I20:$L20),0)))</f>
        <v/>
      </c>
      <c r="Y20" s="62">
        <f>IF($V20="","",IF(AND(ISNUMBER($G20),$G20&lt;=IF($S20=MesCiclo,InicioCiclo,$S20+MOD(2-WEEKDAY($S20),7))+6),1,IF(ISNUMBER($I20),$I20,0)))</f>
        <v/>
      </c>
      <c r="Z20" s="62">
        <f>IF($V20="","",IF(AND(ISNUMBER($G20),$G20&lt;=IF($S20=MesCiclo,InicioCiclo,$S20+MOD(2-WEEKDAY($S20),7))+13),1,IF(ISNUMBER($J20),$J20,$Y20)))</f>
        <v/>
      </c>
      <c r="AA20" s="62">
        <f>IF($V20="","",IF(AND(ISNUMBER($G20),$G20&lt;=IF($S20=MesCiclo,InicioCiclo,$S20+MOD(2-WEEKDAY($S20),7))+20),1,IF(ISNUMBER($K20),$K20,$Z20)))</f>
        <v/>
      </c>
      <c r="AB20" s="62">
        <f>IF($V20="","",IF(AND(ISNUMBER($G20),$G20&lt;=IF($S20=MesCiclo,InicioCiclo,$S20+MOD(2-WEEKDAY($S20),7))+27),1,IF(ISNUMBER($L20),$L20,$AA20)))</f>
        <v/>
      </c>
      <c r="AC20" s="62">
        <f>IF($V20="","",IF(AND(ISNUMBER($G20),$G20&lt;=IF($S20=MesCiclo,InicioCiclo,$S20+MOD(2-WEEKDAY($S20),7))+6),1,IF(N($W20)&gt;0,AVERAGEIFS($Y$5:$Y$1000,$U$5:$U$1000,ROW(),$V$5:$V$1000,"Sub"),$Y20)))</f>
        <v/>
      </c>
      <c r="AD20" s="62">
        <f>IF($V20="","",IF(AND(ISNUMBER($G20),$G20&lt;=IF($S20=MesCiclo,InicioCiclo,$S20+MOD(2-WEEKDAY($S20),7))+13),1,IF(N($W20)&gt;0,AVERAGEIFS($Z$5:$Z$1000,$U$5:$U$1000,ROW(),$V$5:$V$1000,"Sub"),$Z20)))</f>
        <v/>
      </c>
      <c r="AE20" s="62">
        <f>IF($V20="","",IF(AND(ISNUMBER($G20),$G20&lt;=IF($S20=MesCiclo,InicioCiclo,$S20+MOD(2-WEEKDAY($S20),7))+20),1,IF(N($W20)&gt;0,AVERAGEIFS($AA$5:$AA$1000,$U$5:$U$1000,ROW(),$V$5:$V$1000,"Sub"),$AA20)))</f>
        <v/>
      </c>
      <c r="AF20" s="62">
        <f>IF($V20="","",IF(AND(ISNUMBER($G20),$G20&lt;=IF($S20=MesCiclo,InicioCiclo,$S20+MOD(2-WEEKDAY($S20),7))+27),1,IF(N($W20)&gt;0,AVERAGEIFS($AB$5:$AB$1000,$U$5:$U$1000,ROW(),$V$5:$V$1000,"Sub"),$AB20)))</f>
        <v/>
      </c>
      <c r="AG20" s="62">
        <f>IF($V20&lt;&gt;"Macro","",IF(COUNTIFS($S$5:$S$1000,$S20,$V$5:$V$1000,"Macro",$H$5:$H$1000,"&gt;0")=0,1/COUNTIFS($S$5:$S$1000,$S20,$V$5:$V$1000,"Macro"),IF(AND(ISNUMBER($H20),N($H20)&gt;0),$H20,SUMIFS($H$5:$H$1000,$S$5:$S$1000,$S20,$V$5:$V$1000,"Macro")/COUNTIFS($S$5:$S$1000,$S20,$V$5:$V$1000,"Macro",$H$5:$H$1000,"&gt;0"))/(COUNTIFS($S$5:$S$1000,$S20,$V$5:$V$1000,"Macro")*SUMIFS($H$5:$H$1000,$S$5:$S$1000,$S20,$V$5:$V$1000,"Macro")/COUNTIFS($S$5:$S$1000,$S20,$V$5:$V$1000,"Macro",$H$5:$H$1000,"&gt;0"))))</f>
        <v/>
      </c>
      <c r="AH20" s="62" t="n"/>
      <c r="AI20" s="62" t="n"/>
      <c r="AJ20" s="62" t="n"/>
      <c r="AK20" s="62" t="n"/>
      <c r="AL20" s="62">
        <f>IF(LEFT($C20,11)="[Jefatura] ",IFERROR(MATCH("Riesgo Financiero|"&amp;MID($C20,12,500),rDname_ADM,0),0),"")</f>
        <v/>
      </c>
      <c r="AM20" s="62">
        <f>IF(N($AL20)&gt;0,INDEX(rIni_ADM,$AL20),IF(ISNUMBER($E20),$E20,""))</f>
        <v/>
      </c>
      <c r="AN20" s="62">
        <f>IF(N($AL20)&gt;0,INDEX(rLim_ADM,$AL20),IF(ISNUMBER($F20),$F20,""))</f>
        <v/>
      </c>
    </row>
    <row r="21">
      <c r="A21" s="56">
        <f>IF(NOT((COUNTA($B21:$D21)+COUNTA($G21:$L21)+COUNTA($Q21))&gt;0),"",IF($V21="Macro",COUNTIFS($V$5:$V21,"Macro",$S$5:$S21,$S21),IF(N($U21)=0,"?",COUNTIFS(INDEX($V$5:$V$1000,1):INDEX($V$5:$V$1000,$U21-4),"Macro",INDEX($S$5:$S$1000,1):INDEX($S$5:$S$1000,$U21-4),INDEX($S$5:$S$1000,$U21-4))&amp;"."&amp;COUNTIFS($U$5:$U21,$U21,$V$5:$V21,"Sub"))))</f>
        <v/>
      </c>
      <c r="B21" s="57" t="n"/>
      <c r="C21" s="58" t="n"/>
      <c r="D21" s="58" t="n"/>
      <c r="E21" s="59">
        <f>IF(N($AL21)&gt;0,INDEX(rIni_ADM,$AL21),"")</f>
        <v/>
      </c>
      <c r="F21" s="59">
        <f>IF(N($AL21)&gt;0,INDEX(rLim_ADM,$AL21),"")</f>
        <v/>
      </c>
      <c r="G21" s="59" t="n"/>
      <c r="H21" s="60" t="n"/>
      <c r="I21" s="60" t="n"/>
      <c r="J21" s="60" t="n"/>
      <c r="K21" s="60" t="n"/>
      <c r="L21" s="60" t="n"/>
      <c r="M21" s="61">
        <f>IF(NOT((COUNTA($B21:$D21)+COUNTA($G21:$L21)+COUNTA($Q21))&gt;0),"",IF($V21="Sub",IFERROR($X21/INDEX($W$5:$W$1000,$U21-4),""),IF(ISNUMBER($G21),1,IF(N($W21)&gt;0,AVERAGEIFS($X$5:$X$1000,$U$5:$U$1000,ROW(),$V$5:$V$1000,"Sub"),$X21))))</f>
        <v/>
      </c>
      <c r="N21" s="56">
        <f>IF(OR($M21="",$V21="Sub"),"",IF($M21&gt;=1,"Completado",IF($M21&gt;0,"En curso","Pendiente")))</f>
        <v/>
      </c>
      <c r="O21" s="56">
        <f>IF(OR(NOT((COUNTA($B21:$D21)+COUNTA($G21:$L21)+COUNTA($Q21))&gt;0),$V21="Sub"),"",IF(ISNUMBER($G21),IF(AND(ISNUMBER($AN21),$G21&gt;$AN21),"Cumplida con "&amp;($G21-$AN21)&amp;IF($G21-$AN21=1," día"," días")&amp;" de retraso","Cumplida"),IF(N($M21)&gt;=1,"Cumplida",IF(NOT(ISNUMBER($AN21)),"Sin fecha límite",IF($AN21&lt;FechaRef,"Vencida hace "&amp;(FechaRef-$AN21)&amp;IF(FechaRef-$AN21=1," día"," días"),IF($AN21=FechaRef,"Vence hoy",IF($AN21-FechaRef&lt;=DiasAlerta,"Vence en "&amp;($AN21-FechaRef)&amp;IF($AN21-FechaRef=1," día"," días"),"En plazo")))))))</f>
        <v/>
      </c>
      <c r="P21" s="62" t="n"/>
      <c r="Q21" s="58" t="n"/>
      <c r="R21" s="63">
        <f>IF(NOT((COUNTA($B21:$D21)+COUNTA($G21:$L21)+COUNTA($Q21))&gt;0),"",IF((IF($C21="","Falta el nombre de la actividad"&amp;" · ","")&amp;IF(AND($V21="Sub",N($U21)=0),"Subactividad sin macroactividad arriba"&amp;" · ","")&amp;IF($AM21="","Sin fecha de inicio"&amp;" · ","")&amp;IF($AN21="","Sin fecha límite"&amp;" · ","")&amp;IF(AND(LEFT($C21,11)="[Jefatura] ",N($AL21)=0),"No se encuentra en la hoja de la jefatura (elíjala de nuevo en la lista)"&amp;" · ","")&amp;IF(OR(AND($E21&lt;&gt;"",NOT(ISNUMBER($E21))),AND($F21&lt;&gt;"",NOT(ISNUMBER($F21))),AND($G21&lt;&gt;"",NOT(ISNUMBER($G21)))),"Fecha no válida"&amp;" · ","")&amp;IF(AND(ISNUMBER($AM21),ISNUMBER($AN21),$AM21&gt;$AN21),"Inicio posterior a fecha límite"&amp;" · ","")&amp;IF(AND($V21="Macro",$H21&lt;&gt;"",OR(NOT(ISNUMBER($H21)),$H21&lt;0,$H21&gt;1)),"Peso fuera de rango"&amp;" · ","")&amp;IF(AND($V21="Sub",$H21&lt;&gt;""),"Las subactividades no llevan peso (valen igual dentro de su macroactividad)"&amp;" · ","")&amp;IF(AND(N($W21)&gt;0,COUNT($I21:$L21)&gt;0),"Con subactividades: deje vacías las semanas (se calculan solas)"&amp;" · ","")&amp;IF((COUNTIF($I21:$L21,"&gt;1")+COUNTIF($I21:$L21,"&lt;0")+COUNTA($I21:$L21)-COUNT($I21:$L21))&gt;0,"Avance fuera de rango 0-100%"&amp;" · ","")&amp;IF(OR(AND($J21&lt;&gt;"",$J21&lt;$I21),AND($K21&lt;&gt;"",$K21&lt;MAX($I21:$J21)),AND($L21&lt;&gt;"",$L21&lt;MAX($I21:$K21))),"Avance semanal decreciente"&amp;" · ","")&amp;IF(AND(ISNUMBER($AN21),$AN21&lt;FechaRef,IF($V21="Sub",N($X21),N($M21))&lt;1),"Vencida"&amp;" · ","")&amp;IF(AND(ObsObligatoria="Sí",ISNUMBER($AN21),$AN21&lt;FechaRef,IF($V21="Sub",N($X21),N($M21))&lt;1,$Q21=""),"Vencida sin observación"&amp;" · ",""))="","✔ OK","⚠ "&amp;LEFT(IF($C21="","Falta el nombre de la actividad"&amp;" · ","")&amp;IF(AND($V21="Sub",N($U21)=0),"Subactividad sin macroactividad arriba"&amp;" · ","")&amp;IF($AM21="","Sin fecha de inicio"&amp;" · ","")&amp;IF($AN21="","Sin fecha límite"&amp;" · ","")&amp;IF(AND(LEFT($C21,11)="[Jefatura] ",N($AL21)=0),"No se encuentra en la hoja de la jefatura (elíjala de nuevo en la lista)"&amp;" · ","")&amp;IF(OR(AND($E21&lt;&gt;"",NOT(ISNUMBER($E21))),AND($F21&lt;&gt;"",NOT(ISNUMBER($F21))),AND($G21&lt;&gt;"",NOT(ISNUMBER($G21)))),"Fecha no válida"&amp;" · ","")&amp;IF(AND(ISNUMBER($AM21),ISNUMBER($AN21),$AM21&gt;$AN21),"Inicio posterior a fecha límite"&amp;" · ","")&amp;IF(AND($V21="Macro",$H21&lt;&gt;"",OR(NOT(ISNUMBER($H21)),$H21&lt;0,$H21&gt;1)),"Peso fuera de rango"&amp;" · ","")&amp;IF(AND($V21="Sub",$H21&lt;&gt;""),"Las subactividades no llevan peso (valen igual dentro de su macroactividad)"&amp;" · ","")&amp;IF(AND(N($W21)&gt;0,COUNT($I21:$L21)&gt;0),"Con subactividades: deje vacías las semanas (se calculan solas)"&amp;" · ","")&amp;IF((COUNTIF($I21:$L21,"&gt;1")+COUNTIF($I21:$L21,"&lt;0")+COUNTA($I21:$L21)-COUNT($I21:$L21))&gt;0,"Avance fuera de rango 0-100%"&amp;" · ","")&amp;IF(OR(AND($J21&lt;&gt;"",$J21&lt;$I21),AND($K21&lt;&gt;"",$K21&lt;MAX($I21:$J21)),AND($L21&lt;&gt;"",$L21&lt;MAX($I21:$K21))),"Avance semanal decreciente"&amp;" · ","")&amp;IF(AND(ISNUMBER($AN21),$AN21&lt;FechaRef,IF($V21="Sub",N($X21),N($M21))&lt;1),"Vencida"&amp;" · ","")&amp;IF(AND(ObsObligatoria="Sí",ISNUMBER($AN21),$AN21&lt;FechaRef,IF($V21="Sub",N($X21),N($M21))&lt;1,$Q21=""),"Vencida sin observación"&amp;" · ",""),LEN(IF($C21="","Falta el nombre de la actividad"&amp;" · ","")&amp;IF(AND($V21="Sub",N($U21)=0),"Subactividad sin macroactividad arriba"&amp;" · ","")&amp;IF($AM21="","Sin fecha de inicio"&amp;" · ","")&amp;IF($AN21="","Sin fecha límite"&amp;" · ","")&amp;IF(AND(LEFT($C21,11)="[Jefatura] ",N($AL21)=0),"No se encuentra en la hoja de la jefatura (elíjala de nuevo en la lista)"&amp;" · ","")&amp;IF(OR(AND($E21&lt;&gt;"",NOT(ISNUMBER($E21))),AND($F21&lt;&gt;"",NOT(ISNUMBER($F21))),AND($G21&lt;&gt;"",NOT(ISNUMBER($G21)))),"Fecha no válida"&amp;" · ","")&amp;IF(AND(ISNUMBER($AM21),ISNUMBER($AN21),$AM21&gt;$AN21),"Inicio posterior a fecha límite"&amp;" · ","")&amp;IF(AND($V21="Macro",$H21&lt;&gt;"",OR(NOT(ISNUMBER($H21)),$H21&lt;0,$H21&gt;1)),"Peso fuera de rango"&amp;" · ","")&amp;IF(AND($V21="Sub",$H21&lt;&gt;""),"Las subactividades no llevan peso (valen igual dentro de su macroactividad)"&amp;" · ","")&amp;IF(AND(N($W21)&gt;0,COUNT($I21:$L21)&gt;0),"Con subactividades: deje vacías las semanas (se calculan solas)"&amp;" · ","")&amp;IF((COUNTIF($I21:$L21,"&gt;1")+COUNTIF($I21:$L21,"&lt;0")+COUNTA($I21:$L21)-COUNT($I21:$L21))&gt;0,"Avance fuera de rango 0-100%"&amp;" · ","")&amp;IF(OR(AND($J21&lt;&gt;"",$J21&lt;$I21),AND($K21&lt;&gt;"",$K21&lt;MAX($I21:$J21)),AND($L21&lt;&gt;"",$L21&lt;MAX($I21:$K21))),"Avance semanal decreciente"&amp;" · ","")&amp;IF(AND(ISNUMBER($AN21),$AN21&lt;FechaRef,IF($V21="Sub",N($X21),N($M21))&lt;1),"Vencida"&amp;" · ","")&amp;IF(AND(ObsObligatoria="Sí",ISNUMBER($AN21),$AN21&lt;FechaRef,IF($V21="Sub",N($X21),N($M21))&lt;1,$Q21=""),"Vencida sin observación"&amp;" · ",""))-3)))</f>
        <v/>
      </c>
      <c r="S21" s="64">
        <f>IF(NOT((COUNTA($B21:$D21)+COUNTA($G21:$L21)+COUNTA($Q21))&gt;0),"",IF(AND($V21="Sub",N($U21)&gt;0),IF(ISNUMBER(INDEX($AM$5:$AM$1000,$U21-4)),DATE(YEAR(INDEX($AM$5:$AM$1000,$U21-4)),MONTH(INDEX($AM$5:$AM$1000,$U21-4)),1),IF(ISNUMBER(INDEX($AN$5:$AN$1000,$U21-4)),DATE(YEAR(INDEX($AN$5:$AN$1000,$U21-4)),MONTH(INDEX($AN$5:$AN$1000,$U21-4)),1),MesCiclo)),IF(ISNUMBER($AM21),DATE(YEAR($AM21),MONTH($AM21),1),IF(ISNUMBER($AN21),DATE(YEAR($AN21),MONTH($AN21),1),MesCiclo))))</f>
        <v/>
      </c>
      <c r="T21" s="62">
        <f>IF(OR($S21="",$S21&lt;&gt;MesCiclo,$V21&lt;&gt;"Macro"),"",COUNTIFS($S$5:$S21,MesCiclo,$V$5:$V21,"Macro"))</f>
        <v/>
      </c>
      <c r="U21" s="62">
        <f>IF($V21="","",IF($V21="Macro",ROW(),IFERROR(LOOKUP(2,1/($V$5:$V21="Macro"),ROW($V$5:$V21)),0)))</f>
        <v/>
      </c>
      <c r="V21" s="62">
        <f>IF(NOT((COUNTA($B21:$D21)+COUNTA($G21:$L21)+COUNTA($Q21))&gt;0),"",IF($B21="Subactividad","Sub","Macro"))</f>
        <v/>
      </c>
      <c r="W21" s="62">
        <f>IF($V21="Macro",COUNTIFS($U$5:$U$1000,ROW(),$V$5:$V$1000,"Sub"),"")</f>
        <v/>
      </c>
      <c r="X21" s="62">
        <f>IF($V21="","",IF(ISNUMBER($G21),1,IFERROR(LOOKUP(2,1/($I21:$L21&lt;&gt;""),$I21:$L21),0)))</f>
        <v/>
      </c>
      <c r="Y21" s="62">
        <f>IF($V21="","",IF(AND(ISNUMBER($G21),$G21&lt;=IF($S21=MesCiclo,InicioCiclo,$S21+MOD(2-WEEKDAY($S21),7))+6),1,IF(ISNUMBER($I21),$I21,0)))</f>
        <v/>
      </c>
      <c r="Z21" s="62">
        <f>IF($V21="","",IF(AND(ISNUMBER($G21),$G21&lt;=IF($S21=MesCiclo,InicioCiclo,$S21+MOD(2-WEEKDAY($S21),7))+13),1,IF(ISNUMBER($J21),$J21,$Y21)))</f>
        <v/>
      </c>
      <c r="AA21" s="62">
        <f>IF($V21="","",IF(AND(ISNUMBER($G21),$G21&lt;=IF($S21=MesCiclo,InicioCiclo,$S21+MOD(2-WEEKDAY($S21),7))+20),1,IF(ISNUMBER($K21),$K21,$Z21)))</f>
        <v/>
      </c>
      <c r="AB21" s="62">
        <f>IF($V21="","",IF(AND(ISNUMBER($G21),$G21&lt;=IF($S21=MesCiclo,InicioCiclo,$S21+MOD(2-WEEKDAY($S21),7))+27),1,IF(ISNUMBER($L21),$L21,$AA21)))</f>
        <v/>
      </c>
      <c r="AC21" s="62">
        <f>IF($V21="","",IF(AND(ISNUMBER($G21),$G21&lt;=IF($S21=MesCiclo,InicioCiclo,$S21+MOD(2-WEEKDAY($S21),7))+6),1,IF(N($W21)&gt;0,AVERAGEIFS($Y$5:$Y$1000,$U$5:$U$1000,ROW(),$V$5:$V$1000,"Sub"),$Y21)))</f>
        <v/>
      </c>
      <c r="AD21" s="62">
        <f>IF($V21="","",IF(AND(ISNUMBER($G21),$G21&lt;=IF($S21=MesCiclo,InicioCiclo,$S21+MOD(2-WEEKDAY($S21),7))+13),1,IF(N($W21)&gt;0,AVERAGEIFS($Z$5:$Z$1000,$U$5:$U$1000,ROW(),$V$5:$V$1000,"Sub"),$Z21)))</f>
        <v/>
      </c>
      <c r="AE21" s="62">
        <f>IF($V21="","",IF(AND(ISNUMBER($G21),$G21&lt;=IF($S21=MesCiclo,InicioCiclo,$S21+MOD(2-WEEKDAY($S21),7))+20),1,IF(N($W21)&gt;0,AVERAGEIFS($AA$5:$AA$1000,$U$5:$U$1000,ROW(),$V$5:$V$1000,"Sub"),$AA21)))</f>
        <v/>
      </c>
      <c r="AF21" s="62">
        <f>IF($V21="","",IF(AND(ISNUMBER($G21),$G21&lt;=IF($S21=MesCiclo,InicioCiclo,$S21+MOD(2-WEEKDAY($S21),7))+27),1,IF(N($W21)&gt;0,AVERAGEIFS($AB$5:$AB$1000,$U$5:$U$1000,ROW(),$V$5:$V$1000,"Sub"),$AB21)))</f>
        <v/>
      </c>
      <c r="AG21" s="62">
        <f>IF($V21&lt;&gt;"Macro","",IF(COUNTIFS($S$5:$S$1000,$S21,$V$5:$V$1000,"Macro",$H$5:$H$1000,"&gt;0")=0,1/COUNTIFS($S$5:$S$1000,$S21,$V$5:$V$1000,"Macro"),IF(AND(ISNUMBER($H21),N($H21)&gt;0),$H21,SUMIFS($H$5:$H$1000,$S$5:$S$1000,$S21,$V$5:$V$1000,"Macro")/COUNTIFS($S$5:$S$1000,$S21,$V$5:$V$1000,"Macro",$H$5:$H$1000,"&gt;0"))/(COUNTIFS($S$5:$S$1000,$S21,$V$5:$V$1000,"Macro")*SUMIFS($H$5:$H$1000,$S$5:$S$1000,$S21,$V$5:$V$1000,"Macro")/COUNTIFS($S$5:$S$1000,$S21,$V$5:$V$1000,"Macro",$H$5:$H$1000,"&gt;0"))))</f>
        <v/>
      </c>
      <c r="AH21" s="62" t="n"/>
      <c r="AI21" s="62" t="n"/>
      <c r="AJ21" s="62" t="n"/>
      <c r="AK21" s="62" t="n"/>
      <c r="AL21" s="62">
        <f>IF(LEFT($C21,11)="[Jefatura] ",IFERROR(MATCH("Riesgo Financiero|"&amp;MID($C21,12,500),rDname_ADM,0),0),"")</f>
        <v/>
      </c>
      <c r="AM21" s="62">
        <f>IF(N($AL21)&gt;0,INDEX(rIni_ADM,$AL21),IF(ISNUMBER($E21),$E21,""))</f>
        <v/>
      </c>
      <c r="AN21" s="62">
        <f>IF(N($AL21)&gt;0,INDEX(rLim_ADM,$AL21),IF(ISNUMBER($F21),$F21,""))</f>
        <v/>
      </c>
    </row>
    <row r="22">
      <c r="A22" s="56">
        <f>IF(NOT((COUNTA($B22:$D22)+COUNTA($G22:$L22)+COUNTA($Q22))&gt;0),"",IF($V22="Macro",COUNTIFS($V$5:$V22,"Macro",$S$5:$S22,$S22),IF(N($U22)=0,"?",COUNTIFS(INDEX($V$5:$V$1000,1):INDEX($V$5:$V$1000,$U22-4),"Macro",INDEX($S$5:$S$1000,1):INDEX($S$5:$S$1000,$U22-4),INDEX($S$5:$S$1000,$U22-4))&amp;"."&amp;COUNTIFS($U$5:$U22,$U22,$V$5:$V22,"Sub"))))</f>
        <v/>
      </c>
      <c r="B22" s="57" t="n"/>
      <c r="C22" s="58" t="n"/>
      <c r="D22" s="58" t="n"/>
      <c r="E22" s="59">
        <f>IF(N($AL22)&gt;0,INDEX(rIni_ADM,$AL22),"")</f>
        <v/>
      </c>
      <c r="F22" s="59">
        <f>IF(N($AL22)&gt;0,INDEX(rLim_ADM,$AL22),"")</f>
        <v/>
      </c>
      <c r="G22" s="59" t="n"/>
      <c r="H22" s="60" t="n"/>
      <c r="I22" s="60" t="n"/>
      <c r="J22" s="60" t="n"/>
      <c r="K22" s="60" t="n"/>
      <c r="L22" s="60" t="n"/>
      <c r="M22" s="61">
        <f>IF(NOT((COUNTA($B22:$D22)+COUNTA($G22:$L22)+COUNTA($Q22))&gt;0),"",IF($V22="Sub",IFERROR($X22/INDEX($W$5:$W$1000,$U22-4),""),IF(ISNUMBER($G22),1,IF(N($W22)&gt;0,AVERAGEIFS($X$5:$X$1000,$U$5:$U$1000,ROW(),$V$5:$V$1000,"Sub"),$X22))))</f>
        <v/>
      </c>
      <c r="N22" s="56">
        <f>IF(OR($M22="",$V22="Sub"),"",IF($M22&gt;=1,"Completado",IF($M22&gt;0,"En curso","Pendiente")))</f>
        <v/>
      </c>
      <c r="O22" s="56">
        <f>IF(OR(NOT((COUNTA($B22:$D22)+COUNTA($G22:$L22)+COUNTA($Q22))&gt;0),$V22="Sub"),"",IF(ISNUMBER($G22),IF(AND(ISNUMBER($AN22),$G22&gt;$AN22),"Cumplida con "&amp;($G22-$AN22)&amp;IF($G22-$AN22=1," día"," días")&amp;" de retraso","Cumplida"),IF(N($M22)&gt;=1,"Cumplida",IF(NOT(ISNUMBER($AN22)),"Sin fecha límite",IF($AN22&lt;FechaRef,"Vencida hace "&amp;(FechaRef-$AN22)&amp;IF(FechaRef-$AN22=1," día"," días"),IF($AN22=FechaRef,"Vence hoy",IF($AN22-FechaRef&lt;=DiasAlerta,"Vence en "&amp;($AN22-FechaRef)&amp;IF($AN22-FechaRef=1," día"," días"),"En plazo")))))))</f>
        <v/>
      </c>
      <c r="P22" s="62" t="n"/>
      <c r="Q22" s="58" t="n"/>
      <c r="R22" s="63">
        <f>IF(NOT((COUNTA($B22:$D22)+COUNTA($G22:$L22)+COUNTA($Q22))&gt;0),"",IF((IF($C22="","Falta el nombre de la actividad"&amp;" · ","")&amp;IF(AND($V22="Sub",N($U22)=0),"Subactividad sin macroactividad arriba"&amp;" · ","")&amp;IF($AM22="","Sin fecha de inicio"&amp;" · ","")&amp;IF($AN22="","Sin fecha límite"&amp;" · ","")&amp;IF(AND(LEFT($C22,11)="[Jefatura] ",N($AL22)=0),"No se encuentra en la hoja de la jefatura (elíjala de nuevo en la lista)"&amp;" · ","")&amp;IF(OR(AND($E22&lt;&gt;"",NOT(ISNUMBER($E22))),AND($F22&lt;&gt;"",NOT(ISNUMBER($F22))),AND($G22&lt;&gt;"",NOT(ISNUMBER($G22)))),"Fecha no válida"&amp;" · ","")&amp;IF(AND(ISNUMBER($AM22),ISNUMBER($AN22),$AM22&gt;$AN22),"Inicio posterior a fecha límite"&amp;" · ","")&amp;IF(AND($V22="Macro",$H22&lt;&gt;"",OR(NOT(ISNUMBER($H22)),$H22&lt;0,$H22&gt;1)),"Peso fuera de rango"&amp;" · ","")&amp;IF(AND($V22="Sub",$H22&lt;&gt;""),"Las subactividades no llevan peso (valen igual dentro de su macroactividad)"&amp;" · ","")&amp;IF(AND(N($W22)&gt;0,COUNT($I22:$L22)&gt;0),"Con subactividades: deje vacías las semanas (se calculan solas)"&amp;" · ","")&amp;IF((COUNTIF($I22:$L22,"&gt;1")+COUNTIF($I22:$L22,"&lt;0")+COUNTA($I22:$L22)-COUNT($I22:$L22))&gt;0,"Avance fuera de rango 0-100%"&amp;" · ","")&amp;IF(OR(AND($J22&lt;&gt;"",$J22&lt;$I22),AND($K22&lt;&gt;"",$K22&lt;MAX($I22:$J22)),AND($L22&lt;&gt;"",$L22&lt;MAX($I22:$K22))),"Avance semanal decreciente"&amp;" · ","")&amp;IF(AND(ISNUMBER($AN22),$AN22&lt;FechaRef,IF($V22="Sub",N($X22),N($M22))&lt;1),"Vencida"&amp;" · ","")&amp;IF(AND(ObsObligatoria="Sí",ISNUMBER($AN22),$AN22&lt;FechaRef,IF($V22="Sub",N($X22),N($M22))&lt;1,$Q22=""),"Vencida sin observación"&amp;" · ",""))="","✔ OK","⚠ "&amp;LEFT(IF($C22="","Falta el nombre de la actividad"&amp;" · ","")&amp;IF(AND($V22="Sub",N($U22)=0),"Subactividad sin macroactividad arriba"&amp;" · ","")&amp;IF($AM22="","Sin fecha de inicio"&amp;" · ","")&amp;IF($AN22="","Sin fecha límite"&amp;" · ","")&amp;IF(AND(LEFT($C22,11)="[Jefatura] ",N($AL22)=0),"No se encuentra en la hoja de la jefatura (elíjala de nuevo en la lista)"&amp;" · ","")&amp;IF(OR(AND($E22&lt;&gt;"",NOT(ISNUMBER($E22))),AND($F22&lt;&gt;"",NOT(ISNUMBER($F22))),AND($G22&lt;&gt;"",NOT(ISNUMBER($G22)))),"Fecha no válida"&amp;" · ","")&amp;IF(AND(ISNUMBER($AM22),ISNUMBER($AN22),$AM22&gt;$AN22),"Inicio posterior a fecha límite"&amp;" · ","")&amp;IF(AND($V22="Macro",$H22&lt;&gt;"",OR(NOT(ISNUMBER($H22)),$H22&lt;0,$H22&gt;1)),"Peso fuera de rango"&amp;" · ","")&amp;IF(AND($V22="Sub",$H22&lt;&gt;""),"Las subactividades no llevan peso (valen igual dentro de su macroactividad)"&amp;" · ","")&amp;IF(AND(N($W22)&gt;0,COUNT($I22:$L22)&gt;0),"Con subactividades: deje vacías las semanas (se calculan solas)"&amp;" · ","")&amp;IF((COUNTIF($I22:$L22,"&gt;1")+COUNTIF($I22:$L22,"&lt;0")+COUNTA($I22:$L22)-COUNT($I22:$L22))&gt;0,"Avance fuera de rango 0-100%"&amp;" · ","")&amp;IF(OR(AND($J22&lt;&gt;"",$J22&lt;$I22),AND($K22&lt;&gt;"",$K22&lt;MAX($I22:$J22)),AND($L22&lt;&gt;"",$L22&lt;MAX($I22:$K22))),"Avance semanal decreciente"&amp;" · ","")&amp;IF(AND(ISNUMBER($AN22),$AN22&lt;FechaRef,IF($V22="Sub",N($X22),N($M22))&lt;1),"Vencida"&amp;" · ","")&amp;IF(AND(ObsObligatoria="Sí",ISNUMBER($AN22),$AN22&lt;FechaRef,IF($V22="Sub",N($X22),N($M22))&lt;1,$Q22=""),"Vencida sin observación"&amp;" · ",""),LEN(IF($C22="","Falta el nombre de la actividad"&amp;" · ","")&amp;IF(AND($V22="Sub",N($U22)=0),"Subactividad sin macroactividad arriba"&amp;" · ","")&amp;IF($AM22="","Sin fecha de inicio"&amp;" · ","")&amp;IF($AN22="","Sin fecha límite"&amp;" · ","")&amp;IF(AND(LEFT($C22,11)="[Jefatura] ",N($AL22)=0),"No se encuentra en la hoja de la jefatura (elíjala de nuevo en la lista)"&amp;" · ","")&amp;IF(OR(AND($E22&lt;&gt;"",NOT(ISNUMBER($E22))),AND($F22&lt;&gt;"",NOT(ISNUMBER($F22))),AND($G22&lt;&gt;"",NOT(ISNUMBER($G22)))),"Fecha no válida"&amp;" · ","")&amp;IF(AND(ISNUMBER($AM22),ISNUMBER($AN22),$AM22&gt;$AN22),"Inicio posterior a fecha límite"&amp;" · ","")&amp;IF(AND($V22="Macro",$H22&lt;&gt;"",OR(NOT(ISNUMBER($H22)),$H22&lt;0,$H22&gt;1)),"Peso fuera de rango"&amp;" · ","")&amp;IF(AND($V22="Sub",$H22&lt;&gt;""),"Las subactividades no llevan peso (valen igual dentro de su macroactividad)"&amp;" · ","")&amp;IF(AND(N($W22)&gt;0,COUNT($I22:$L22)&gt;0),"Con subactividades: deje vacías las semanas (se calculan solas)"&amp;" · ","")&amp;IF((COUNTIF($I22:$L22,"&gt;1")+COUNTIF($I22:$L22,"&lt;0")+COUNTA($I22:$L22)-COUNT($I22:$L22))&gt;0,"Avance fuera de rango 0-100%"&amp;" · ","")&amp;IF(OR(AND($J22&lt;&gt;"",$J22&lt;$I22),AND($K22&lt;&gt;"",$K22&lt;MAX($I22:$J22)),AND($L22&lt;&gt;"",$L22&lt;MAX($I22:$K22))),"Avance semanal decreciente"&amp;" · ","")&amp;IF(AND(ISNUMBER($AN22),$AN22&lt;FechaRef,IF($V22="Sub",N($X22),N($M22))&lt;1),"Vencida"&amp;" · ","")&amp;IF(AND(ObsObligatoria="Sí",ISNUMBER($AN22),$AN22&lt;FechaRef,IF($V22="Sub",N($X22),N($M22))&lt;1,$Q22=""),"Vencida sin observación"&amp;" · ",""))-3)))</f>
        <v/>
      </c>
      <c r="S22" s="64">
        <f>IF(NOT((COUNTA($B22:$D22)+COUNTA($G22:$L22)+COUNTA($Q22))&gt;0),"",IF(AND($V22="Sub",N($U22)&gt;0),IF(ISNUMBER(INDEX($AM$5:$AM$1000,$U22-4)),DATE(YEAR(INDEX($AM$5:$AM$1000,$U22-4)),MONTH(INDEX($AM$5:$AM$1000,$U22-4)),1),IF(ISNUMBER(INDEX($AN$5:$AN$1000,$U22-4)),DATE(YEAR(INDEX($AN$5:$AN$1000,$U22-4)),MONTH(INDEX($AN$5:$AN$1000,$U22-4)),1),MesCiclo)),IF(ISNUMBER($AM22),DATE(YEAR($AM22),MONTH($AM22),1),IF(ISNUMBER($AN22),DATE(YEAR($AN22),MONTH($AN22),1),MesCiclo))))</f>
        <v/>
      </c>
      <c r="T22" s="62">
        <f>IF(OR($S22="",$S22&lt;&gt;MesCiclo,$V22&lt;&gt;"Macro"),"",COUNTIFS($S$5:$S22,MesCiclo,$V$5:$V22,"Macro"))</f>
        <v/>
      </c>
      <c r="U22" s="62">
        <f>IF($V22="","",IF($V22="Macro",ROW(),IFERROR(LOOKUP(2,1/($V$5:$V22="Macro"),ROW($V$5:$V22)),0)))</f>
        <v/>
      </c>
      <c r="V22" s="62">
        <f>IF(NOT((COUNTA($B22:$D22)+COUNTA($G22:$L22)+COUNTA($Q22))&gt;0),"",IF($B22="Subactividad","Sub","Macro"))</f>
        <v/>
      </c>
      <c r="W22" s="62">
        <f>IF($V22="Macro",COUNTIFS($U$5:$U$1000,ROW(),$V$5:$V$1000,"Sub"),"")</f>
        <v/>
      </c>
      <c r="X22" s="62">
        <f>IF($V22="","",IF(ISNUMBER($G22),1,IFERROR(LOOKUP(2,1/($I22:$L22&lt;&gt;""),$I22:$L22),0)))</f>
        <v/>
      </c>
      <c r="Y22" s="62">
        <f>IF($V22="","",IF(AND(ISNUMBER($G22),$G22&lt;=IF($S22=MesCiclo,InicioCiclo,$S22+MOD(2-WEEKDAY($S22),7))+6),1,IF(ISNUMBER($I22),$I22,0)))</f>
        <v/>
      </c>
      <c r="Z22" s="62">
        <f>IF($V22="","",IF(AND(ISNUMBER($G22),$G22&lt;=IF($S22=MesCiclo,InicioCiclo,$S22+MOD(2-WEEKDAY($S22),7))+13),1,IF(ISNUMBER($J22),$J22,$Y22)))</f>
        <v/>
      </c>
      <c r="AA22" s="62">
        <f>IF($V22="","",IF(AND(ISNUMBER($G22),$G22&lt;=IF($S22=MesCiclo,InicioCiclo,$S22+MOD(2-WEEKDAY($S22),7))+20),1,IF(ISNUMBER($K22),$K22,$Z22)))</f>
        <v/>
      </c>
      <c r="AB22" s="62">
        <f>IF($V22="","",IF(AND(ISNUMBER($G22),$G22&lt;=IF($S22=MesCiclo,InicioCiclo,$S22+MOD(2-WEEKDAY($S22),7))+27),1,IF(ISNUMBER($L22),$L22,$AA22)))</f>
        <v/>
      </c>
      <c r="AC22" s="62">
        <f>IF($V22="","",IF(AND(ISNUMBER($G22),$G22&lt;=IF($S22=MesCiclo,InicioCiclo,$S22+MOD(2-WEEKDAY($S22),7))+6),1,IF(N($W22)&gt;0,AVERAGEIFS($Y$5:$Y$1000,$U$5:$U$1000,ROW(),$V$5:$V$1000,"Sub"),$Y22)))</f>
        <v/>
      </c>
      <c r="AD22" s="62">
        <f>IF($V22="","",IF(AND(ISNUMBER($G22),$G22&lt;=IF($S22=MesCiclo,InicioCiclo,$S22+MOD(2-WEEKDAY($S22),7))+13),1,IF(N($W22)&gt;0,AVERAGEIFS($Z$5:$Z$1000,$U$5:$U$1000,ROW(),$V$5:$V$1000,"Sub"),$Z22)))</f>
        <v/>
      </c>
      <c r="AE22" s="62">
        <f>IF($V22="","",IF(AND(ISNUMBER($G22),$G22&lt;=IF($S22=MesCiclo,InicioCiclo,$S22+MOD(2-WEEKDAY($S22),7))+20),1,IF(N($W22)&gt;0,AVERAGEIFS($AA$5:$AA$1000,$U$5:$U$1000,ROW(),$V$5:$V$1000,"Sub"),$AA22)))</f>
        <v/>
      </c>
      <c r="AF22" s="62">
        <f>IF($V22="","",IF(AND(ISNUMBER($G22),$G22&lt;=IF($S22=MesCiclo,InicioCiclo,$S22+MOD(2-WEEKDAY($S22),7))+27),1,IF(N($W22)&gt;0,AVERAGEIFS($AB$5:$AB$1000,$U$5:$U$1000,ROW(),$V$5:$V$1000,"Sub"),$AB22)))</f>
        <v/>
      </c>
      <c r="AG22" s="62">
        <f>IF($V22&lt;&gt;"Macro","",IF(COUNTIFS($S$5:$S$1000,$S22,$V$5:$V$1000,"Macro",$H$5:$H$1000,"&gt;0")=0,1/COUNTIFS($S$5:$S$1000,$S22,$V$5:$V$1000,"Macro"),IF(AND(ISNUMBER($H22),N($H22)&gt;0),$H22,SUMIFS($H$5:$H$1000,$S$5:$S$1000,$S22,$V$5:$V$1000,"Macro")/COUNTIFS($S$5:$S$1000,$S22,$V$5:$V$1000,"Macro",$H$5:$H$1000,"&gt;0"))/(COUNTIFS($S$5:$S$1000,$S22,$V$5:$V$1000,"Macro")*SUMIFS($H$5:$H$1000,$S$5:$S$1000,$S22,$V$5:$V$1000,"Macro")/COUNTIFS($S$5:$S$1000,$S22,$V$5:$V$1000,"Macro",$H$5:$H$1000,"&gt;0"))))</f>
        <v/>
      </c>
      <c r="AH22" s="62" t="n"/>
      <c r="AI22" s="62" t="n"/>
      <c r="AJ22" s="62" t="n"/>
      <c r="AK22" s="62" t="n"/>
      <c r="AL22" s="62">
        <f>IF(LEFT($C22,11)="[Jefatura] ",IFERROR(MATCH("Riesgo Financiero|"&amp;MID($C22,12,500),rDname_ADM,0),0),"")</f>
        <v/>
      </c>
      <c r="AM22" s="62">
        <f>IF(N($AL22)&gt;0,INDEX(rIni_ADM,$AL22),IF(ISNUMBER($E22),$E22,""))</f>
        <v/>
      </c>
      <c r="AN22" s="62">
        <f>IF(N($AL22)&gt;0,INDEX(rLim_ADM,$AL22),IF(ISNUMBER($F22),$F22,""))</f>
        <v/>
      </c>
    </row>
    <row r="23">
      <c r="A23" s="56">
        <f>IF(NOT((COUNTA($B23:$D23)+COUNTA($G23:$L23)+COUNTA($Q23))&gt;0),"",IF($V23="Macro",COUNTIFS($V$5:$V23,"Macro",$S$5:$S23,$S23),IF(N($U23)=0,"?",COUNTIFS(INDEX($V$5:$V$1000,1):INDEX($V$5:$V$1000,$U23-4),"Macro",INDEX($S$5:$S$1000,1):INDEX($S$5:$S$1000,$U23-4),INDEX($S$5:$S$1000,$U23-4))&amp;"."&amp;COUNTIFS($U$5:$U23,$U23,$V$5:$V23,"Sub"))))</f>
        <v/>
      </c>
      <c r="B23" s="57" t="n"/>
      <c r="C23" s="58" t="n"/>
      <c r="D23" s="58" t="n"/>
      <c r="E23" s="59">
        <f>IF(N($AL23)&gt;0,INDEX(rIni_ADM,$AL23),"")</f>
        <v/>
      </c>
      <c r="F23" s="59">
        <f>IF(N($AL23)&gt;0,INDEX(rLim_ADM,$AL23),"")</f>
        <v/>
      </c>
      <c r="G23" s="59" t="n"/>
      <c r="H23" s="60" t="n"/>
      <c r="I23" s="60" t="n"/>
      <c r="J23" s="60" t="n"/>
      <c r="K23" s="60" t="n"/>
      <c r="L23" s="60" t="n"/>
      <c r="M23" s="61">
        <f>IF(NOT((COUNTA($B23:$D23)+COUNTA($G23:$L23)+COUNTA($Q23))&gt;0),"",IF($V23="Sub",IFERROR($X23/INDEX($W$5:$W$1000,$U23-4),""),IF(ISNUMBER($G23),1,IF(N($W23)&gt;0,AVERAGEIFS($X$5:$X$1000,$U$5:$U$1000,ROW(),$V$5:$V$1000,"Sub"),$X23))))</f>
        <v/>
      </c>
      <c r="N23" s="56">
        <f>IF(OR($M23="",$V23="Sub"),"",IF($M23&gt;=1,"Completado",IF($M23&gt;0,"En curso","Pendiente")))</f>
        <v/>
      </c>
      <c r="O23" s="56">
        <f>IF(OR(NOT((COUNTA($B23:$D23)+COUNTA($G23:$L23)+COUNTA($Q23))&gt;0),$V23="Sub"),"",IF(ISNUMBER($G23),IF(AND(ISNUMBER($AN23),$G23&gt;$AN23),"Cumplida con "&amp;($G23-$AN23)&amp;IF($G23-$AN23=1," día"," días")&amp;" de retraso","Cumplida"),IF(N($M23)&gt;=1,"Cumplida",IF(NOT(ISNUMBER($AN23)),"Sin fecha límite",IF($AN23&lt;FechaRef,"Vencida hace "&amp;(FechaRef-$AN23)&amp;IF(FechaRef-$AN23=1," día"," días"),IF($AN23=FechaRef,"Vence hoy",IF($AN23-FechaRef&lt;=DiasAlerta,"Vence en "&amp;($AN23-FechaRef)&amp;IF($AN23-FechaRef=1," día"," días"),"En plazo")))))))</f>
        <v/>
      </c>
      <c r="P23" s="62" t="n"/>
      <c r="Q23" s="58" t="n"/>
      <c r="R23" s="63">
        <f>IF(NOT((COUNTA($B23:$D23)+COUNTA($G23:$L23)+COUNTA($Q23))&gt;0),"",IF((IF($C23="","Falta el nombre de la actividad"&amp;" · ","")&amp;IF(AND($V23="Sub",N($U23)=0),"Subactividad sin macroactividad arriba"&amp;" · ","")&amp;IF($AM23="","Sin fecha de inicio"&amp;" · ","")&amp;IF($AN23="","Sin fecha límite"&amp;" · ","")&amp;IF(AND(LEFT($C23,11)="[Jefatura] ",N($AL23)=0),"No se encuentra en la hoja de la jefatura (elíjala de nuevo en la lista)"&amp;" · ","")&amp;IF(OR(AND($E23&lt;&gt;"",NOT(ISNUMBER($E23))),AND($F23&lt;&gt;"",NOT(ISNUMBER($F23))),AND($G23&lt;&gt;"",NOT(ISNUMBER($G23)))),"Fecha no válida"&amp;" · ","")&amp;IF(AND(ISNUMBER($AM23),ISNUMBER($AN23),$AM23&gt;$AN23),"Inicio posterior a fecha límite"&amp;" · ","")&amp;IF(AND($V23="Macro",$H23&lt;&gt;"",OR(NOT(ISNUMBER($H23)),$H23&lt;0,$H23&gt;1)),"Peso fuera de rango"&amp;" · ","")&amp;IF(AND($V23="Sub",$H23&lt;&gt;""),"Las subactividades no llevan peso (valen igual dentro de su macroactividad)"&amp;" · ","")&amp;IF(AND(N($W23)&gt;0,COUNT($I23:$L23)&gt;0),"Con subactividades: deje vacías las semanas (se calculan solas)"&amp;" · ","")&amp;IF((COUNTIF($I23:$L23,"&gt;1")+COUNTIF($I23:$L23,"&lt;0")+COUNTA($I23:$L23)-COUNT($I23:$L23))&gt;0,"Avance fuera de rango 0-100%"&amp;" · ","")&amp;IF(OR(AND($J23&lt;&gt;"",$J23&lt;$I23),AND($K23&lt;&gt;"",$K23&lt;MAX($I23:$J23)),AND($L23&lt;&gt;"",$L23&lt;MAX($I23:$K23))),"Avance semanal decreciente"&amp;" · ","")&amp;IF(AND(ISNUMBER($AN23),$AN23&lt;FechaRef,IF($V23="Sub",N($X23),N($M23))&lt;1),"Vencida"&amp;" · ","")&amp;IF(AND(ObsObligatoria="Sí",ISNUMBER($AN23),$AN23&lt;FechaRef,IF($V23="Sub",N($X23),N($M23))&lt;1,$Q23=""),"Vencida sin observación"&amp;" · ",""))="","✔ OK","⚠ "&amp;LEFT(IF($C23="","Falta el nombre de la actividad"&amp;" · ","")&amp;IF(AND($V23="Sub",N($U23)=0),"Subactividad sin macroactividad arriba"&amp;" · ","")&amp;IF($AM23="","Sin fecha de inicio"&amp;" · ","")&amp;IF($AN23="","Sin fecha límite"&amp;" · ","")&amp;IF(AND(LEFT($C23,11)="[Jefatura] ",N($AL23)=0),"No se encuentra en la hoja de la jefatura (elíjala de nuevo en la lista)"&amp;" · ","")&amp;IF(OR(AND($E23&lt;&gt;"",NOT(ISNUMBER($E23))),AND($F23&lt;&gt;"",NOT(ISNUMBER($F23))),AND($G23&lt;&gt;"",NOT(ISNUMBER($G23)))),"Fecha no válida"&amp;" · ","")&amp;IF(AND(ISNUMBER($AM23),ISNUMBER($AN23),$AM23&gt;$AN23),"Inicio posterior a fecha límite"&amp;" · ","")&amp;IF(AND($V23="Macro",$H23&lt;&gt;"",OR(NOT(ISNUMBER($H23)),$H23&lt;0,$H23&gt;1)),"Peso fuera de rango"&amp;" · ","")&amp;IF(AND($V23="Sub",$H23&lt;&gt;""),"Las subactividades no llevan peso (valen igual dentro de su macroactividad)"&amp;" · ","")&amp;IF(AND(N($W23)&gt;0,COUNT($I23:$L23)&gt;0),"Con subactividades: deje vacías las semanas (se calculan solas)"&amp;" · ","")&amp;IF((COUNTIF($I23:$L23,"&gt;1")+COUNTIF($I23:$L23,"&lt;0")+COUNTA($I23:$L23)-COUNT($I23:$L23))&gt;0,"Avance fuera de rango 0-100%"&amp;" · ","")&amp;IF(OR(AND($J23&lt;&gt;"",$J23&lt;$I23),AND($K23&lt;&gt;"",$K23&lt;MAX($I23:$J23)),AND($L23&lt;&gt;"",$L23&lt;MAX($I23:$K23))),"Avance semanal decreciente"&amp;" · ","")&amp;IF(AND(ISNUMBER($AN23),$AN23&lt;FechaRef,IF($V23="Sub",N($X23),N($M23))&lt;1),"Vencida"&amp;" · ","")&amp;IF(AND(ObsObligatoria="Sí",ISNUMBER($AN23),$AN23&lt;FechaRef,IF($V23="Sub",N($X23),N($M23))&lt;1,$Q23=""),"Vencida sin observación"&amp;" · ",""),LEN(IF($C23="","Falta el nombre de la actividad"&amp;" · ","")&amp;IF(AND($V23="Sub",N($U23)=0),"Subactividad sin macroactividad arriba"&amp;" · ","")&amp;IF($AM23="","Sin fecha de inicio"&amp;" · ","")&amp;IF($AN23="","Sin fecha límite"&amp;" · ","")&amp;IF(AND(LEFT($C23,11)="[Jefatura] ",N($AL23)=0),"No se encuentra en la hoja de la jefatura (elíjala de nuevo en la lista)"&amp;" · ","")&amp;IF(OR(AND($E23&lt;&gt;"",NOT(ISNUMBER($E23))),AND($F23&lt;&gt;"",NOT(ISNUMBER($F23))),AND($G23&lt;&gt;"",NOT(ISNUMBER($G23)))),"Fecha no válida"&amp;" · ","")&amp;IF(AND(ISNUMBER($AM23),ISNUMBER($AN23),$AM23&gt;$AN23),"Inicio posterior a fecha límite"&amp;" · ","")&amp;IF(AND($V23="Macro",$H23&lt;&gt;"",OR(NOT(ISNUMBER($H23)),$H23&lt;0,$H23&gt;1)),"Peso fuera de rango"&amp;" · ","")&amp;IF(AND($V23="Sub",$H23&lt;&gt;""),"Las subactividades no llevan peso (valen igual dentro de su macroactividad)"&amp;" · ","")&amp;IF(AND(N($W23)&gt;0,COUNT($I23:$L23)&gt;0),"Con subactividades: deje vacías las semanas (se calculan solas)"&amp;" · ","")&amp;IF((COUNTIF($I23:$L23,"&gt;1")+COUNTIF($I23:$L23,"&lt;0")+COUNTA($I23:$L23)-COUNT($I23:$L23))&gt;0,"Avance fuera de rango 0-100%"&amp;" · ","")&amp;IF(OR(AND($J23&lt;&gt;"",$J23&lt;$I23),AND($K23&lt;&gt;"",$K23&lt;MAX($I23:$J23)),AND($L23&lt;&gt;"",$L23&lt;MAX($I23:$K23))),"Avance semanal decreciente"&amp;" · ","")&amp;IF(AND(ISNUMBER($AN23),$AN23&lt;FechaRef,IF($V23="Sub",N($X23),N($M23))&lt;1),"Vencida"&amp;" · ","")&amp;IF(AND(ObsObligatoria="Sí",ISNUMBER($AN23),$AN23&lt;FechaRef,IF($V23="Sub",N($X23),N($M23))&lt;1,$Q23=""),"Vencida sin observación"&amp;" · ",""))-3)))</f>
        <v/>
      </c>
      <c r="S23" s="64">
        <f>IF(NOT((COUNTA($B23:$D23)+COUNTA($G23:$L23)+COUNTA($Q23))&gt;0),"",IF(AND($V23="Sub",N($U23)&gt;0),IF(ISNUMBER(INDEX($AM$5:$AM$1000,$U23-4)),DATE(YEAR(INDEX($AM$5:$AM$1000,$U23-4)),MONTH(INDEX($AM$5:$AM$1000,$U23-4)),1),IF(ISNUMBER(INDEX($AN$5:$AN$1000,$U23-4)),DATE(YEAR(INDEX($AN$5:$AN$1000,$U23-4)),MONTH(INDEX($AN$5:$AN$1000,$U23-4)),1),MesCiclo)),IF(ISNUMBER($AM23),DATE(YEAR($AM23),MONTH($AM23),1),IF(ISNUMBER($AN23),DATE(YEAR($AN23),MONTH($AN23),1),MesCiclo))))</f>
        <v/>
      </c>
      <c r="T23" s="62">
        <f>IF(OR($S23="",$S23&lt;&gt;MesCiclo,$V23&lt;&gt;"Macro"),"",COUNTIFS($S$5:$S23,MesCiclo,$V$5:$V23,"Macro"))</f>
        <v/>
      </c>
      <c r="U23" s="62">
        <f>IF($V23="","",IF($V23="Macro",ROW(),IFERROR(LOOKUP(2,1/($V$5:$V23="Macro"),ROW($V$5:$V23)),0)))</f>
        <v/>
      </c>
      <c r="V23" s="62">
        <f>IF(NOT((COUNTA($B23:$D23)+COUNTA($G23:$L23)+COUNTA($Q23))&gt;0),"",IF($B23="Subactividad","Sub","Macro"))</f>
        <v/>
      </c>
      <c r="W23" s="62">
        <f>IF($V23="Macro",COUNTIFS($U$5:$U$1000,ROW(),$V$5:$V$1000,"Sub"),"")</f>
        <v/>
      </c>
      <c r="X23" s="62">
        <f>IF($V23="","",IF(ISNUMBER($G23),1,IFERROR(LOOKUP(2,1/($I23:$L23&lt;&gt;""),$I23:$L23),0)))</f>
        <v/>
      </c>
      <c r="Y23" s="62">
        <f>IF($V23="","",IF(AND(ISNUMBER($G23),$G23&lt;=IF($S23=MesCiclo,InicioCiclo,$S23+MOD(2-WEEKDAY($S23),7))+6),1,IF(ISNUMBER($I23),$I23,0)))</f>
        <v/>
      </c>
      <c r="Z23" s="62">
        <f>IF($V23="","",IF(AND(ISNUMBER($G23),$G23&lt;=IF($S23=MesCiclo,InicioCiclo,$S23+MOD(2-WEEKDAY($S23),7))+13),1,IF(ISNUMBER($J23),$J23,$Y23)))</f>
        <v/>
      </c>
      <c r="AA23" s="62">
        <f>IF($V23="","",IF(AND(ISNUMBER($G23),$G23&lt;=IF($S23=MesCiclo,InicioCiclo,$S23+MOD(2-WEEKDAY($S23),7))+20),1,IF(ISNUMBER($K23),$K23,$Z23)))</f>
        <v/>
      </c>
      <c r="AB23" s="62">
        <f>IF($V23="","",IF(AND(ISNUMBER($G23),$G23&lt;=IF($S23=MesCiclo,InicioCiclo,$S23+MOD(2-WEEKDAY($S23),7))+27),1,IF(ISNUMBER($L23),$L23,$AA23)))</f>
        <v/>
      </c>
      <c r="AC23" s="62">
        <f>IF($V23="","",IF(AND(ISNUMBER($G23),$G23&lt;=IF($S23=MesCiclo,InicioCiclo,$S23+MOD(2-WEEKDAY($S23),7))+6),1,IF(N($W23)&gt;0,AVERAGEIFS($Y$5:$Y$1000,$U$5:$U$1000,ROW(),$V$5:$V$1000,"Sub"),$Y23)))</f>
        <v/>
      </c>
      <c r="AD23" s="62">
        <f>IF($V23="","",IF(AND(ISNUMBER($G23),$G23&lt;=IF($S23=MesCiclo,InicioCiclo,$S23+MOD(2-WEEKDAY($S23),7))+13),1,IF(N($W23)&gt;0,AVERAGEIFS($Z$5:$Z$1000,$U$5:$U$1000,ROW(),$V$5:$V$1000,"Sub"),$Z23)))</f>
        <v/>
      </c>
      <c r="AE23" s="62">
        <f>IF($V23="","",IF(AND(ISNUMBER($G23),$G23&lt;=IF($S23=MesCiclo,InicioCiclo,$S23+MOD(2-WEEKDAY($S23),7))+20),1,IF(N($W23)&gt;0,AVERAGEIFS($AA$5:$AA$1000,$U$5:$U$1000,ROW(),$V$5:$V$1000,"Sub"),$AA23)))</f>
        <v/>
      </c>
      <c r="AF23" s="62">
        <f>IF($V23="","",IF(AND(ISNUMBER($G23),$G23&lt;=IF($S23=MesCiclo,InicioCiclo,$S23+MOD(2-WEEKDAY($S23),7))+27),1,IF(N($W23)&gt;0,AVERAGEIFS($AB$5:$AB$1000,$U$5:$U$1000,ROW(),$V$5:$V$1000,"Sub"),$AB23)))</f>
        <v/>
      </c>
      <c r="AG23" s="62">
        <f>IF($V23&lt;&gt;"Macro","",IF(COUNTIFS($S$5:$S$1000,$S23,$V$5:$V$1000,"Macro",$H$5:$H$1000,"&gt;0")=0,1/COUNTIFS($S$5:$S$1000,$S23,$V$5:$V$1000,"Macro"),IF(AND(ISNUMBER($H23),N($H23)&gt;0),$H23,SUMIFS($H$5:$H$1000,$S$5:$S$1000,$S23,$V$5:$V$1000,"Macro")/COUNTIFS($S$5:$S$1000,$S23,$V$5:$V$1000,"Macro",$H$5:$H$1000,"&gt;0"))/(COUNTIFS($S$5:$S$1000,$S23,$V$5:$V$1000,"Macro")*SUMIFS($H$5:$H$1000,$S$5:$S$1000,$S23,$V$5:$V$1000,"Macro")/COUNTIFS($S$5:$S$1000,$S23,$V$5:$V$1000,"Macro",$H$5:$H$1000,"&gt;0"))))</f>
        <v/>
      </c>
      <c r="AH23" s="62" t="n"/>
      <c r="AI23" s="62" t="n"/>
      <c r="AJ23" s="62" t="n"/>
      <c r="AK23" s="62" t="n"/>
      <c r="AL23" s="62">
        <f>IF(LEFT($C23,11)="[Jefatura] ",IFERROR(MATCH("Riesgo Financiero|"&amp;MID($C23,12,500),rDname_ADM,0),0),"")</f>
        <v/>
      </c>
      <c r="AM23" s="62">
        <f>IF(N($AL23)&gt;0,INDEX(rIni_ADM,$AL23),IF(ISNUMBER($E23),$E23,""))</f>
        <v/>
      </c>
      <c r="AN23" s="62">
        <f>IF(N($AL23)&gt;0,INDEX(rLim_ADM,$AL23),IF(ISNUMBER($F23),$F23,""))</f>
        <v/>
      </c>
    </row>
    <row r="24">
      <c r="A24" s="56">
        <f>IF(NOT((COUNTA($B24:$D24)+COUNTA($G24:$L24)+COUNTA($Q24))&gt;0),"",IF($V24="Macro",COUNTIFS($V$5:$V24,"Macro",$S$5:$S24,$S24),IF(N($U24)=0,"?",COUNTIFS(INDEX($V$5:$V$1000,1):INDEX($V$5:$V$1000,$U24-4),"Macro",INDEX($S$5:$S$1000,1):INDEX($S$5:$S$1000,$U24-4),INDEX($S$5:$S$1000,$U24-4))&amp;"."&amp;COUNTIFS($U$5:$U24,$U24,$V$5:$V24,"Sub"))))</f>
        <v/>
      </c>
      <c r="B24" s="57" t="n"/>
      <c r="C24" s="58" t="n"/>
      <c r="D24" s="58" t="n"/>
      <c r="E24" s="59">
        <f>IF(N($AL24)&gt;0,INDEX(rIni_ADM,$AL24),"")</f>
        <v/>
      </c>
      <c r="F24" s="59">
        <f>IF(N($AL24)&gt;0,INDEX(rLim_ADM,$AL24),"")</f>
        <v/>
      </c>
      <c r="G24" s="59" t="n"/>
      <c r="H24" s="60" t="n"/>
      <c r="I24" s="60" t="n"/>
      <c r="J24" s="60" t="n"/>
      <c r="K24" s="60" t="n"/>
      <c r="L24" s="60" t="n"/>
      <c r="M24" s="61">
        <f>IF(NOT((COUNTA($B24:$D24)+COUNTA($G24:$L24)+COUNTA($Q24))&gt;0),"",IF($V24="Sub",IFERROR($X24/INDEX($W$5:$W$1000,$U24-4),""),IF(ISNUMBER($G24),1,IF(N($W24)&gt;0,AVERAGEIFS($X$5:$X$1000,$U$5:$U$1000,ROW(),$V$5:$V$1000,"Sub"),$X24))))</f>
        <v/>
      </c>
      <c r="N24" s="56">
        <f>IF(OR($M24="",$V24="Sub"),"",IF($M24&gt;=1,"Completado",IF($M24&gt;0,"En curso","Pendiente")))</f>
        <v/>
      </c>
      <c r="O24" s="56">
        <f>IF(OR(NOT((COUNTA($B24:$D24)+COUNTA($G24:$L24)+COUNTA($Q24))&gt;0),$V24="Sub"),"",IF(ISNUMBER($G24),IF(AND(ISNUMBER($AN24),$G24&gt;$AN24),"Cumplida con "&amp;($G24-$AN24)&amp;IF($G24-$AN24=1," día"," días")&amp;" de retraso","Cumplida"),IF(N($M24)&gt;=1,"Cumplida",IF(NOT(ISNUMBER($AN24)),"Sin fecha límite",IF($AN24&lt;FechaRef,"Vencida hace "&amp;(FechaRef-$AN24)&amp;IF(FechaRef-$AN24=1," día"," días"),IF($AN24=FechaRef,"Vence hoy",IF($AN24-FechaRef&lt;=DiasAlerta,"Vence en "&amp;($AN24-FechaRef)&amp;IF($AN24-FechaRef=1," día"," días"),"En plazo")))))))</f>
        <v/>
      </c>
      <c r="P24" s="62" t="n"/>
      <c r="Q24" s="58" t="n"/>
      <c r="R24" s="63">
        <f>IF(NOT((COUNTA($B24:$D24)+COUNTA($G24:$L24)+COUNTA($Q24))&gt;0),"",IF((IF($C24="","Falta el nombre de la actividad"&amp;" · ","")&amp;IF(AND($V24="Sub",N($U24)=0),"Subactividad sin macroactividad arriba"&amp;" · ","")&amp;IF($AM24="","Sin fecha de inicio"&amp;" · ","")&amp;IF($AN24="","Sin fecha límite"&amp;" · ","")&amp;IF(AND(LEFT($C24,11)="[Jefatura] ",N($AL24)=0),"No se encuentra en la hoja de la jefatura (elíjala de nuevo en la lista)"&amp;" · ","")&amp;IF(OR(AND($E24&lt;&gt;"",NOT(ISNUMBER($E24))),AND($F24&lt;&gt;"",NOT(ISNUMBER($F24))),AND($G24&lt;&gt;"",NOT(ISNUMBER($G24)))),"Fecha no válida"&amp;" · ","")&amp;IF(AND(ISNUMBER($AM24),ISNUMBER($AN24),$AM24&gt;$AN24),"Inicio posterior a fecha límite"&amp;" · ","")&amp;IF(AND($V24="Macro",$H24&lt;&gt;"",OR(NOT(ISNUMBER($H24)),$H24&lt;0,$H24&gt;1)),"Peso fuera de rango"&amp;" · ","")&amp;IF(AND($V24="Sub",$H24&lt;&gt;""),"Las subactividades no llevan peso (valen igual dentro de su macroactividad)"&amp;" · ","")&amp;IF(AND(N($W24)&gt;0,COUNT($I24:$L24)&gt;0),"Con subactividades: deje vacías las semanas (se calculan solas)"&amp;" · ","")&amp;IF((COUNTIF($I24:$L24,"&gt;1")+COUNTIF($I24:$L24,"&lt;0")+COUNTA($I24:$L24)-COUNT($I24:$L24))&gt;0,"Avance fuera de rango 0-100%"&amp;" · ","")&amp;IF(OR(AND($J24&lt;&gt;"",$J24&lt;$I24),AND($K24&lt;&gt;"",$K24&lt;MAX($I24:$J24)),AND($L24&lt;&gt;"",$L24&lt;MAX($I24:$K24))),"Avance semanal decreciente"&amp;" · ","")&amp;IF(AND(ISNUMBER($AN24),$AN24&lt;FechaRef,IF($V24="Sub",N($X24),N($M24))&lt;1),"Vencida"&amp;" · ","")&amp;IF(AND(ObsObligatoria="Sí",ISNUMBER($AN24),$AN24&lt;FechaRef,IF($V24="Sub",N($X24),N($M24))&lt;1,$Q24=""),"Vencida sin observación"&amp;" · ",""))="","✔ OK","⚠ "&amp;LEFT(IF($C24="","Falta el nombre de la actividad"&amp;" · ","")&amp;IF(AND($V24="Sub",N($U24)=0),"Subactividad sin macroactividad arriba"&amp;" · ","")&amp;IF($AM24="","Sin fecha de inicio"&amp;" · ","")&amp;IF($AN24="","Sin fecha límite"&amp;" · ","")&amp;IF(AND(LEFT($C24,11)="[Jefatura] ",N($AL24)=0),"No se encuentra en la hoja de la jefatura (elíjala de nuevo en la lista)"&amp;" · ","")&amp;IF(OR(AND($E24&lt;&gt;"",NOT(ISNUMBER($E24))),AND($F24&lt;&gt;"",NOT(ISNUMBER($F24))),AND($G24&lt;&gt;"",NOT(ISNUMBER($G24)))),"Fecha no válida"&amp;" · ","")&amp;IF(AND(ISNUMBER($AM24),ISNUMBER($AN24),$AM24&gt;$AN24),"Inicio posterior a fecha límite"&amp;" · ","")&amp;IF(AND($V24="Macro",$H24&lt;&gt;"",OR(NOT(ISNUMBER($H24)),$H24&lt;0,$H24&gt;1)),"Peso fuera de rango"&amp;" · ","")&amp;IF(AND($V24="Sub",$H24&lt;&gt;""),"Las subactividades no llevan peso (valen igual dentro de su macroactividad)"&amp;" · ","")&amp;IF(AND(N($W24)&gt;0,COUNT($I24:$L24)&gt;0),"Con subactividades: deje vacías las semanas (se calculan solas)"&amp;" · ","")&amp;IF((COUNTIF($I24:$L24,"&gt;1")+COUNTIF($I24:$L24,"&lt;0")+COUNTA($I24:$L24)-COUNT($I24:$L24))&gt;0,"Avance fuera de rango 0-100%"&amp;" · ","")&amp;IF(OR(AND($J24&lt;&gt;"",$J24&lt;$I24),AND($K24&lt;&gt;"",$K24&lt;MAX($I24:$J24)),AND($L24&lt;&gt;"",$L24&lt;MAX($I24:$K24))),"Avance semanal decreciente"&amp;" · ","")&amp;IF(AND(ISNUMBER($AN24),$AN24&lt;FechaRef,IF($V24="Sub",N($X24),N($M24))&lt;1),"Vencida"&amp;" · ","")&amp;IF(AND(ObsObligatoria="Sí",ISNUMBER($AN24),$AN24&lt;FechaRef,IF($V24="Sub",N($X24),N($M24))&lt;1,$Q24=""),"Vencida sin observación"&amp;" · ",""),LEN(IF($C24="","Falta el nombre de la actividad"&amp;" · ","")&amp;IF(AND($V24="Sub",N($U24)=0),"Subactividad sin macroactividad arriba"&amp;" · ","")&amp;IF($AM24="","Sin fecha de inicio"&amp;" · ","")&amp;IF($AN24="","Sin fecha límite"&amp;" · ","")&amp;IF(AND(LEFT($C24,11)="[Jefatura] ",N($AL24)=0),"No se encuentra en la hoja de la jefatura (elíjala de nuevo en la lista)"&amp;" · ","")&amp;IF(OR(AND($E24&lt;&gt;"",NOT(ISNUMBER($E24))),AND($F24&lt;&gt;"",NOT(ISNUMBER($F24))),AND($G24&lt;&gt;"",NOT(ISNUMBER($G24)))),"Fecha no válida"&amp;" · ","")&amp;IF(AND(ISNUMBER($AM24),ISNUMBER($AN24),$AM24&gt;$AN24),"Inicio posterior a fecha límite"&amp;" · ","")&amp;IF(AND($V24="Macro",$H24&lt;&gt;"",OR(NOT(ISNUMBER($H24)),$H24&lt;0,$H24&gt;1)),"Peso fuera de rango"&amp;" · ","")&amp;IF(AND($V24="Sub",$H24&lt;&gt;""),"Las subactividades no llevan peso (valen igual dentro de su macroactividad)"&amp;" · ","")&amp;IF(AND(N($W24)&gt;0,COUNT($I24:$L24)&gt;0),"Con subactividades: deje vacías las semanas (se calculan solas)"&amp;" · ","")&amp;IF((COUNTIF($I24:$L24,"&gt;1")+COUNTIF($I24:$L24,"&lt;0")+COUNTA($I24:$L24)-COUNT($I24:$L24))&gt;0,"Avance fuera de rango 0-100%"&amp;" · ","")&amp;IF(OR(AND($J24&lt;&gt;"",$J24&lt;$I24),AND($K24&lt;&gt;"",$K24&lt;MAX($I24:$J24)),AND($L24&lt;&gt;"",$L24&lt;MAX($I24:$K24))),"Avance semanal decreciente"&amp;" · ","")&amp;IF(AND(ISNUMBER($AN24),$AN24&lt;FechaRef,IF($V24="Sub",N($X24),N($M24))&lt;1),"Vencida"&amp;" · ","")&amp;IF(AND(ObsObligatoria="Sí",ISNUMBER($AN24),$AN24&lt;FechaRef,IF($V24="Sub",N($X24),N($M24))&lt;1,$Q24=""),"Vencida sin observación"&amp;" · ",""))-3)))</f>
        <v/>
      </c>
      <c r="S24" s="64">
        <f>IF(NOT((COUNTA($B24:$D24)+COUNTA($G24:$L24)+COUNTA($Q24))&gt;0),"",IF(AND($V24="Sub",N($U24)&gt;0),IF(ISNUMBER(INDEX($AM$5:$AM$1000,$U24-4)),DATE(YEAR(INDEX($AM$5:$AM$1000,$U24-4)),MONTH(INDEX($AM$5:$AM$1000,$U24-4)),1),IF(ISNUMBER(INDEX($AN$5:$AN$1000,$U24-4)),DATE(YEAR(INDEX($AN$5:$AN$1000,$U24-4)),MONTH(INDEX($AN$5:$AN$1000,$U24-4)),1),MesCiclo)),IF(ISNUMBER($AM24),DATE(YEAR($AM24),MONTH($AM24),1),IF(ISNUMBER($AN24),DATE(YEAR($AN24),MONTH($AN24),1),MesCiclo))))</f>
        <v/>
      </c>
      <c r="T24" s="62">
        <f>IF(OR($S24="",$S24&lt;&gt;MesCiclo,$V24&lt;&gt;"Macro"),"",COUNTIFS($S$5:$S24,MesCiclo,$V$5:$V24,"Macro"))</f>
        <v/>
      </c>
      <c r="U24" s="62">
        <f>IF($V24="","",IF($V24="Macro",ROW(),IFERROR(LOOKUP(2,1/($V$5:$V24="Macro"),ROW($V$5:$V24)),0)))</f>
        <v/>
      </c>
      <c r="V24" s="62">
        <f>IF(NOT((COUNTA($B24:$D24)+COUNTA($G24:$L24)+COUNTA($Q24))&gt;0),"",IF($B24="Subactividad","Sub","Macro"))</f>
        <v/>
      </c>
      <c r="W24" s="62">
        <f>IF($V24="Macro",COUNTIFS($U$5:$U$1000,ROW(),$V$5:$V$1000,"Sub"),"")</f>
        <v/>
      </c>
      <c r="X24" s="62">
        <f>IF($V24="","",IF(ISNUMBER($G24),1,IFERROR(LOOKUP(2,1/($I24:$L24&lt;&gt;""),$I24:$L24),0)))</f>
        <v/>
      </c>
      <c r="Y24" s="62">
        <f>IF($V24="","",IF(AND(ISNUMBER($G24),$G24&lt;=IF($S24=MesCiclo,InicioCiclo,$S24+MOD(2-WEEKDAY($S24),7))+6),1,IF(ISNUMBER($I24),$I24,0)))</f>
        <v/>
      </c>
      <c r="Z24" s="62">
        <f>IF($V24="","",IF(AND(ISNUMBER($G24),$G24&lt;=IF($S24=MesCiclo,InicioCiclo,$S24+MOD(2-WEEKDAY($S24),7))+13),1,IF(ISNUMBER($J24),$J24,$Y24)))</f>
        <v/>
      </c>
      <c r="AA24" s="62">
        <f>IF($V24="","",IF(AND(ISNUMBER($G24),$G24&lt;=IF($S24=MesCiclo,InicioCiclo,$S24+MOD(2-WEEKDAY($S24),7))+20),1,IF(ISNUMBER($K24),$K24,$Z24)))</f>
        <v/>
      </c>
      <c r="AB24" s="62">
        <f>IF($V24="","",IF(AND(ISNUMBER($G24),$G24&lt;=IF($S24=MesCiclo,InicioCiclo,$S24+MOD(2-WEEKDAY($S24),7))+27),1,IF(ISNUMBER($L24),$L24,$AA24)))</f>
        <v/>
      </c>
      <c r="AC24" s="62">
        <f>IF($V24="","",IF(AND(ISNUMBER($G24),$G24&lt;=IF($S24=MesCiclo,InicioCiclo,$S24+MOD(2-WEEKDAY($S24),7))+6),1,IF(N($W24)&gt;0,AVERAGEIFS($Y$5:$Y$1000,$U$5:$U$1000,ROW(),$V$5:$V$1000,"Sub"),$Y24)))</f>
        <v/>
      </c>
      <c r="AD24" s="62">
        <f>IF($V24="","",IF(AND(ISNUMBER($G24),$G24&lt;=IF($S24=MesCiclo,InicioCiclo,$S24+MOD(2-WEEKDAY($S24),7))+13),1,IF(N($W24)&gt;0,AVERAGEIFS($Z$5:$Z$1000,$U$5:$U$1000,ROW(),$V$5:$V$1000,"Sub"),$Z24)))</f>
        <v/>
      </c>
      <c r="AE24" s="62">
        <f>IF($V24="","",IF(AND(ISNUMBER($G24),$G24&lt;=IF($S24=MesCiclo,InicioCiclo,$S24+MOD(2-WEEKDAY($S24),7))+20),1,IF(N($W24)&gt;0,AVERAGEIFS($AA$5:$AA$1000,$U$5:$U$1000,ROW(),$V$5:$V$1000,"Sub"),$AA24)))</f>
        <v/>
      </c>
      <c r="AF24" s="62">
        <f>IF($V24="","",IF(AND(ISNUMBER($G24),$G24&lt;=IF($S24=MesCiclo,InicioCiclo,$S24+MOD(2-WEEKDAY($S24),7))+27),1,IF(N($W24)&gt;0,AVERAGEIFS($AB$5:$AB$1000,$U$5:$U$1000,ROW(),$V$5:$V$1000,"Sub"),$AB24)))</f>
        <v/>
      </c>
      <c r="AG24" s="62">
        <f>IF($V24&lt;&gt;"Macro","",IF(COUNTIFS($S$5:$S$1000,$S24,$V$5:$V$1000,"Macro",$H$5:$H$1000,"&gt;0")=0,1/COUNTIFS($S$5:$S$1000,$S24,$V$5:$V$1000,"Macro"),IF(AND(ISNUMBER($H24),N($H24)&gt;0),$H24,SUMIFS($H$5:$H$1000,$S$5:$S$1000,$S24,$V$5:$V$1000,"Macro")/COUNTIFS($S$5:$S$1000,$S24,$V$5:$V$1000,"Macro",$H$5:$H$1000,"&gt;0"))/(COUNTIFS($S$5:$S$1000,$S24,$V$5:$V$1000,"Macro")*SUMIFS($H$5:$H$1000,$S$5:$S$1000,$S24,$V$5:$V$1000,"Macro")/COUNTIFS($S$5:$S$1000,$S24,$V$5:$V$1000,"Macro",$H$5:$H$1000,"&gt;0"))))</f>
        <v/>
      </c>
      <c r="AH24" s="62" t="n"/>
      <c r="AI24" s="62" t="n"/>
      <c r="AJ24" s="62" t="n"/>
      <c r="AK24" s="62" t="n"/>
      <c r="AL24" s="62">
        <f>IF(LEFT($C24,11)="[Jefatura] ",IFERROR(MATCH("Riesgo Financiero|"&amp;MID($C24,12,500),rDname_ADM,0),0),"")</f>
        <v/>
      </c>
      <c r="AM24" s="62">
        <f>IF(N($AL24)&gt;0,INDEX(rIni_ADM,$AL24),IF(ISNUMBER($E24),$E24,""))</f>
        <v/>
      </c>
      <c r="AN24" s="62">
        <f>IF(N($AL24)&gt;0,INDEX(rLim_ADM,$AL24),IF(ISNUMBER($F24),$F24,""))</f>
        <v/>
      </c>
    </row>
    <row r="25">
      <c r="A25" s="56">
        <f>IF(NOT((COUNTA($B25:$D25)+COUNTA($G25:$L25)+COUNTA($Q25))&gt;0),"",IF($V25="Macro",COUNTIFS($V$5:$V25,"Macro",$S$5:$S25,$S25),IF(N($U25)=0,"?",COUNTIFS(INDEX($V$5:$V$1000,1):INDEX($V$5:$V$1000,$U25-4),"Macro",INDEX($S$5:$S$1000,1):INDEX($S$5:$S$1000,$U25-4),INDEX($S$5:$S$1000,$U25-4))&amp;"."&amp;COUNTIFS($U$5:$U25,$U25,$V$5:$V25,"Sub"))))</f>
        <v/>
      </c>
      <c r="B25" s="57" t="n"/>
      <c r="C25" s="58" t="n"/>
      <c r="D25" s="58" t="n"/>
      <c r="E25" s="59">
        <f>IF(N($AL25)&gt;0,INDEX(rIni_ADM,$AL25),"")</f>
        <v/>
      </c>
      <c r="F25" s="59">
        <f>IF(N($AL25)&gt;0,INDEX(rLim_ADM,$AL25),"")</f>
        <v/>
      </c>
      <c r="G25" s="59" t="n"/>
      <c r="H25" s="60" t="n"/>
      <c r="I25" s="60" t="n"/>
      <c r="J25" s="60" t="n"/>
      <c r="K25" s="60" t="n"/>
      <c r="L25" s="60" t="n"/>
      <c r="M25" s="61">
        <f>IF(NOT((COUNTA($B25:$D25)+COUNTA($G25:$L25)+COUNTA($Q25))&gt;0),"",IF($V25="Sub",IFERROR($X25/INDEX($W$5:$W$1000,$U25-4),""),IF(ISNUMBER($G25),1,IF(N($W25)&gt;0,AVERAGEIFS($X$5:$X$1000,$U$5:$U$1000,ROW(),$V$5:$V$1000,"Sub"),$X25))))</f>
        <v/>
      </c>
      <c r="N25" s="56">
        <f>IF(OR($M25="",$V25="Sub"),"",IF($M25&gt;=1,"Completado",IF($M25&gt;0,"En curso","Pendiente")))</f>
        <v/>
      </c>
      <c r="O25" s="56">
        <f>IF(OR(NOT((COUNTA($B25:$D25)+COUNTA($G25:$L25)+COUNTA($Q25))&gt;0),$V25="Sub"),"",IF(ISNUMBER($G25),IF(AND(ISNUMBER($AN25),$G25&gt;$AN25),"Cumplida con "&amp;($G25-$AN25)&amp;IF($G25-$AN25=1," día"," días")&amp;" de retraso","Cumplida"),IF(N($M25)&gt;=1,"Cumplida",IF(NOT(ISNUMBER($AN25)),"Sin fecha límite",IF($AN25&lt;FechaRef,"Vencida hace "&amp;(FechaRef-$AN25)&amp;IF(FechaRef-$AN25=1," día"," días"),IF($AN25=FechaRef,"Vence hoy",IF($AN25-FechaRef&lt;=DiasAlerta,"Vence en "&amp;($AN25-FechaRef)&amp;IF($AN25-FechaRef=1," día"," días"),"En plazo")))))))</f>
        <v/>
      </c>
      <c r="P25" s="62" t="n"/>
      <c r="Q25" s="58" t="n"/>
      <c r="R25" s="63">
        <f>IF(NOT((COUNTA($B25:$D25)+COUNTA($G25:$L25)+COUNTA($Q25))&gt;0),"",IF((IF($C25="","Falta el nombre de la actividad"&amp;" · ","")&amp;IF(AND($V25="Sub",N($U25)=0),"Subactividad sin macroactividad arriba"&amp;" · ","")&amp;IF($AM25="","Sin fecha de inicio"&amp;" · ","")&amp;IF($AN25="","Sin fecha límite"&amp;" · ","")&amp;IF(AND(LEFT($C25,11)="[Jefatura] ",N($AL25)=0),"No se encuentra en la hoja de la jefatura (elíjala de nuevo en la lista)"&amp;" · ","")&amp;IF(OR(AND($E25&lt;&gt;"",NOT(ISNUMBER($E25))),AND($F25&lt;&gt;"",NOT(ISNUMBER($F25))),AND($G25&lt;&gt;"",NOT(ISNUMBER($G25)))),"Fecha no válida"&amp;" · ","")&amp;IF(AND(ISNUMBER($AM25),ISNUMBER($AN25),$AM25&gt;$AN25),"Inicio posterior a fecha límite"&amp;" · ","")&amp;IF(AND($V25="Macro",$H25&lt;&gt;"",OR(NOT(ISNUMBER($H25)),$H25&lt;0,$H25&gt;1)),"Peso fuera de rango"&amp;" · ","")&amp;IF(AND($V25="Sub",$H25&lt;&gt;""),"Las subactividades no llevan peso (valen igual dentro de su macroactividad)"&amp;" · ","")&amp;IF(AND(N($W25)&gt;0,COUNT($I25:$L25)&gt;0),"Con subactividades: deje vacías las semanas (se calculan solas)"&amp;" · ","")&amp;IF((COUNTIF($I25:$L25,"&gt;1")+COUNTIF($I25:$L25,"&lt;0")+COUNTA($I25:$L25)-COUNT($I25:$L25))&gt;0,"Avance fuera de rango 0-100%"&amp;" · ","")&amp;IF(OR(AND($J25&lt;&gt;"",$J25&lt;$I25),AND($K25&lt;&gt;"",$K25&lt;MAX($I25:$J25)),AND($L25&lt;&gt;"",$L25&lt;MAX($I25:$K25))),"Avance semanal decreciente"&amp;" · ","")&amp;IF(AND(ISNUMBER($AN25),$AN25&lt;FechaRef,IF($V25="Sub",N($X25),N($M25))&lt;1),"Vencida"&amp;" · ","")&amp;IF(AND(ObsObligatoria="Sí",ISNUMBER($AN25),$AN25&lt;FechaRef,IF($V25="Sub",N($X25),N($M25))&lt;1,$Q25=""),"Vencida sin observación"&amp;" · ",""))="","✔ OK","⚠ "&amp;LEFT(IF($C25="","Falta el nombre de la actividad"&amp;" · ","")&amp;IF(AND($V25="Sub",N($U25)=0),"Subactividad sin macroactividad arriba"&amp;" · ","")&amp;IF($AM25="","Sin fecha de inicio"&amp;" · ","")&amp;IF($AN25="","Sin fecha límite"&amp;" · ","")&amp;IF(AND(LEFT($C25,11)="[Jefatura] ",N($AL25)=0),"No se encuentra en la hoja de la jefatura (elíjala de nuevo en la lista)"&amp;" · ","")&amp;IF(OR(AND($E25&lt;&gt;"",NOT(ISNUMBER($E25))),AND($F25&lt;&gt;"",NOT(ISNUMBER($F25))),AND($G25&lt;&gt;"",NOT(ISNUMBER($G25)))),"Fecha no válida"&amp;" · ","")&amp;IF(AND(ISNUMBER($AM25),ISNUMBER($AN25),$AM25&gt;$AN25),"Inicio posterior a fecha límite"&amp;" · ","")&amp;IF(AND($V25="Macro",$H25&lt;&gt;"",OR(NOT(ISNUMBER($H25)),$H25&lt;0,$H25&gt;1)),"Peso fuera de rango"&amp;" · ","")&amp;IF(AND($V25="Sub",$H25&lt;&gt;""),"Las subactividades no llevan peso (valen igual dentro de su macroactividad)"&amp;" · ","")&amp;IF(AND(N($W25)&gt;0,COUNT($I25:$L25)&gt;0),"Con subactividades: deje vacías las semanas (se calculan solas)"&amp;" · ","")&amp;IF((COUNTIF($I25:$L25,"&gt;1")+COUNTIF($I25:$L25,"&lt;0")+COUNTA($I25:$L25)-COUNT($I25:$L25))&gt;0,"Avance fuera de rango 0-100%"&amp;" · ","")&amp;IF(OR(AND($J25&lt;&gt;"",$J25&lt;$I25),AND($K25&lt;&gt;"",$K25&lt;MAX($I25:$J25)),AND($L25&lt;&gt;"",$L25&lt;MAX($I25:$K25))),"Avance semanal decreciente"&amp;" · ","")&amp;IF(AND(ISNUMBER($AN25),$AN25&lt;FechaRef,IF($V25="Sub",N($X25),N($M25))&lt;1),"Vencida"&amp;" · ","")&amp;IF(AND(ObsObligatoria="Sí",ISNUMBER($AN25),$AN25&lt;FechaRef,IF($V25="Sub",N($X25),N($M25))&lt;1,$Q25=""),"Vencida sin observación"&amp;" · ",""),LEN(IF($C25="","Falta el nombre de la actividad"&amp;" · ","")&amp;IF(AND($V25="Sub",N($U25)=0),"Subactividad sin macroactividad arriba"&amp;" · ","")&amp;IF($AM25="","Sin fecha de inicio"&amp;" · ","")&amp;IF($AN25="","Sin fecha límite"&amp;" · ","")&amp;IF(AND(LEFT($C25,11)="[Jefatura] ",N($AL25)=0),"No se encuentra en la hoja de la jefatura (elíjala de nuevo en la lista)"&amp;" · ","")&amp;IF(OR(AND($E25&lt;&gt;"",NOT(ISNUMBER($E25))),AND($F25&lt;&gt;"",NOT(ISNUMBER($F25))),AND($G25&lt;&gt;"",NOT(ISNUMBER($G25)))),"Fecha no válida"&amp;" · ","")&amp;IF(AND(ISNUMBER($AM25),ISNUMBER($AN25),$AM25&gt;$AN25),"Inicio posterior a fecha límite"&amp;" · ","")&amp;IF(AND($V25="Macro",$H25&lt;&gt;"",OR(NOT(ISNUMBER($H25)),$H25&lt;0,$H25&gt;1)),"Peso fuera de rango"&amp;" · ","")&amp;IF(AND($V25="Sub",$H25&lt;&gt;""),"Las subactividades no llevan peso (valen igual dentro de su macroactividad)"&amp;" · ","")&amp;IF(AND(N($W25)&gt;0,COUNT($I25:$L25)&gt;0),"Con subactividades: deje vacías las semanas (se calculan solas)"&amp;" · ","")&amp;IF((COUNTIF($I25:$L25,"&gt;1")+COUNTIF($I25:$L25,"&lt;0")+COUNTA($I25:$L25)-COUNT($I25:$L25))&gt;0,"Avance fuera de rango 0-100%"&amp;" · ","")&amp;IF(OR(AND($J25&lt;&gt;"",$J25&lt;$I25),AND($K25&lt;&gt;"",$K25&lt;MAX($I25:$J25)),AND($L25&lt;&gt;"",$L25&lt;MAX($I25:$K25))),"Avance semanal decreciente"&amp;" · ","")&amp;IF(AND(ISNUMBER($AN25),$AN25&lt;FechaRef,IF($V25="Sub",N($X25),N($M25))&lt;1),"Vencida"&amp;" · ","")&amp;IF(AND(ObsObligatoria="Sí",ISNUMBER($AN25),$AN25&lt;FechaRef,IF($V25="Sub",N($X25),N($M25))&lt;1,$Q25=""),"Vencida sin observación"&amp;" · ",""))-3)))</f>
        <v/>
      </c>
      <c r="S25" s="64">
        <f>IF(NOT((COUNTA($B25:$D25)+COUNTA($G25:$L25)+COUNTA($Q25))&gt;0),"",IF(AND($V25="Sub",N($U25)&gt;0),IF(ISNUMBER(INDEX($AM$5:$AM$1000,$U25-4)),DATE(YEAR(INDEX($AM$5:$AM$1000,$U25-4)),MONTH(INDEX($AM$5:$AM$1000,$U25-4)),1),IF(ISNUMBER(INDEX($AN$5:$AN$1000,$U25-4)),DATE(YEAR(INDEX($AN$5:$AN$1000,$U25-4)),MONTH(INDEX($AN$5:$AN$1000,$U25-4)),1),MesCiclo)),IF(ISNUMBER($AM25),DATE(YEAR($AM25),MONTH($AM25),1),IF(ISNUMBER($AN25),DATE(YEAR($AN25),MONTH($AN25),1),MesCiclo))))</f>
        <v/>
      </c>
      <c r="T25" s="62">
        <f>IF(OR($S25="",$S25&lt;&gt;MesCiclo,$V25&lt;&gt;"Macro"),"",COUNTIFS($S$5:$S25,MesCiclo,$V$5:$V25,"Macro"))</f>
        <v/>
      </c>
      <c r="U25" s="62">
        <f>IF($V25="","",IF($V25="Macro",ROW(),IFERROR(LOOKUP(2,1/($V$5:$V25="Macro"),ROW($V$5:$V25)),0)))</f>
        <v/>
      </c>
      <c r="V25" s="62">
        <f>IF(NOT((COUNTA($B25:$D25)+COUNTA($G25:$L25)+COUNTA($Q25))&gt;0),"",IF($B25="Subactividad","Sub","Macro"))</f>
        <v/>
      </c>
      <c r="W25" s="62">
        <f>IF($V25="Macro",COUNTIFS($U$5:$U$1000,ROW(),$V$5:$V$1000,"Sub"),"")</f>
        <v/>
      </c>
      <c r="X25" s="62">
        <f>IF($V25="","",IF(ISNUMBER($G25),1,IFERROR(LOOKUP(2,1/($I25:$L25&lt;&gt;""),$I25:$L25),0)))</f>
        <v/>
      </c>
      <c r="Y25" s="62">
        <f>IF($V25="","",IF(AND(ISNUMBER($G25),$G25&lt;=IF($S25=MesCiclo,InicioCiclo,$S25+MOD(2-WEEKDAY($S25),7))+6),1,IF(ISNUMBER($I25),$I25,0)))</f>
        <v/>
      </c>
      <c r="Z25" s="62">
        <f>IF($V25="","",IF(AND(ISNUMBER($G25),$G25&lt;=IF($S25=MesCiclo,InicioCiclo,$S25+MOD(2-WEEKDAY($S25),7))+13),1,IF(ISNUMBER($J25),$J25,$Y25)))</f>
        <v/>
      </c>
      <c r="AA25" s="62">
        <f>IF($V25="","",IF(AND(ISNUMBER($G25),$G25&lt;=IF($S25=MesCiclo,InicioCiclo,$S25+MOD(2-WEEKDAY($S25),7))+20),1,IF(ISNUMBER($K25),$K25,$Z25)))</f>
        <v/>
      </c>
      <c r="AB25" s="62">
        <f>IF($V25="","",IF(AND(ISNUMBER($G25),$G25&lt;=IF($S25=MesCiclo,InicioCiclo,$S25+MOD(2-WEEKDAY($S25),7))+27),1,IF(ISNUMBER($L25),$L25,$AA25)))</f>
        <v/>
      </c>
      <c r="AC25" s="62">
        <f>IF($V25="","",IF(AND(ISNUMBER($G25),$G25&lt;=IF($S25=MesCiclo,InicioCiclo,$S25+MOD(2-WEEKDAY($S25),7))+6),1,IF(N($W25)&gt;0,AVERAGEIFS($Y$5:$Y$1000,$U$5:$U$1000,ROW(),$V$5:$V$1000,"Sub"),$Y25)))</f>
        <v/>
      </c>
      <c r="AD25" s="62">
        <f>IF($V25="","",IF(AND(ISNUMBER($G25),$G25&lt;=IF($S25=MesCiclo,InicioCiclo,$S25+MOD(2-WEEKDAY($S25),7))+13),1,IF(N($W25)&gt;0,AVERAGEIFS($Z$5:$Z$1000,$U$5:$U$1000,ROW(),$V$5:$V$1000,"Sub"),$Z25)))</f>
        <v/>
      </c>
      <c r="AE25" s="62">
        <f>IF($V25="","",IF(AND(ISNUMBER($G25),$G25&lt;=IF($S25=MesCiclo,InicioCiclo,$S25+MOD(2-WEEKDAY($S25),7))+20),1,IF(N($W25)&gt;0,AVERAGEIFS($AA$5:$AA$1000,$U$5:$U$1000,ROW(),$V$5:$V$1000,"Sub"),$AA25)))</f>
        <v/>
      </c>
      <c r="AF25" s="62">
        <f>IF($V25="","",IF(AND(ISNUMBER($G25),$G25&lt;=IF($S25=MesCiclo,InicioCiclo,$S25+MOD(2-WEEKDAY($S25),7))+27),1,IF(N($W25)&gt;0,AVERAGEIFS($AB$5:$AB$1000,$U$5:$U$1000,ROW(),$V$5:$V$1000,"Sub"),$AB25)))</f>
        <v/>
      </c>
      <c r="AG25" s="62">
        <f>IF($V25&lt;&gt;"Macro","",IF(COUNTIFS($S$5:$S$1000,$S25,$V$5:$V$1000,"Macro",$H$5:$H$1000,"&gt;0")=0,1/COUNTIFS($S$5:$S$1000,$S25,$V$5:$V$1000,"Macro"),IF(AND(ISNUMBER($H25),N($H25)&gt;0),$H25,SUMIFS($H$5:$H$1000,$S$5:$S$1000,$S25,$V$5:$V$1000,"Macro")/COUNTIFS($S$5:$S$1000,$S25,$V$5:$V$1000,"Macro",$H$5:$H$1000,"&gt;0"))/(COUNTIFS($S$5:$S$1000,$S25,$V$5:$V$1000,"Macro")*SUMIFS($H$5:$H$1000,$S$5:$S$1000,$S25,$V$5:$V$1000,"Macro")/COUNTIFS($S$5:$S$1000,$S25,$V$5:$V$1000,"Macro",$H$5:$H$1000,"&gt;0"))))</f>
        <v/>
      </c>
      <c r="AH25" s="62" t="n"/>
      <c r="AI25" s="62" t="n"/>
      <c r="AJ25" s="62" t="n"/>
      <c r="AK25" s="62" t="n"/>
      <c r="AL25" s="62">
        <f>IF(LEFT($C25,11)="[Jefatura] ",IFERROR(MATCH("Riesgo Financiero|"&amp;MID($C25,12,500),rDname_ADM,0),0),"")</f>
        <v/>
      </c>
      <c r="AM25" s="62">
        <f>IF(N($AL25)&gt;0,INDEX(rIni_ADM,$AL25),IF(ISNUMBER($E25),$E25,""))</f>
        <v/>
      </c>
      <c r="AN25" s="62">
        <f>IF(N($AL25)&gt;0,INDEX(rLim_ADM,$AL25),IF(ISNUMBER($F25),$F25,""))</f>
        <v/>
      </c>
    </row>
    <row r="26">
      <c r="A26" s="56">
        <f>IF(NOT((COUNTA($B26:$D26)+COUNTA($G26:$L26)+COUNTA($Q26))&gt;0),"",IF($V26="Macro",COUNTIFS($V$5:$V26,"Macro",$S$5:$S26,$S26),IF(N($U26)=0,"?",COUNTIFS(INDEX($V$5:$V$1000,1):INDEX($V$5:$V$1000,$U26-4),"Macro",INDEX($S$5:$S$1000,1):INDEX($S$5:$S$1000,$U26-4),INDEX($S$5:$S$1000,$U26-4))&amp;"."&amp;COUNTIFS($U$5:$U26,$U26,$V$5:$V26,"Sub"))))</f>
        <v/>
      </c>
      <c r="B26" s="57" t="n"/>
      <c r="C26" s="58" t="n"/>
      <c r="D26" s="58" t="n"/>
      <c r="E26" s="59">
        <f>IF(N($AL26)&gt;0,INDEX(rIni_ADM,$AL26),"")</f>
        <v/>
      </c>
      <c r="F26" s="59">
        <f>IF(N($AL26)&gt;0,INDEX(rLim_ADM,$AL26),"")</f>
        <v/>
      </c>
      <c r="G26" s="59" t="n"/>
      <c r="H26" s="60" t="n"/>
      <c r="I26" s="60" t="n"/>
      <c r="J26" s="60" t="n"/>
      <c r="K26" s="60" t="n"/>
      <c r="L26" s="60" t="n"/>
      <c r="M26" s="61">
        <f>IF(NOT((COUNTA($B26:$D26)+COUNTA($G26:$L26)+COUNTA($Q26))&gt;0),"",IF($V26="Sub",IFERROR($X26/INDEX($W$5:$W$1000,$U26-4),""),IF(ISNUMBER($G26),1,IF(N($W26)&gt;0,AVERAGEIFS($X$5:$X$1000,$U$5:$U$1000,ROW(),$V$5:$V$1000,"Sub"),$X26))))</f>
        <v/>
      </c>
      <c r="N26" s="56">
        <f>IF(OR($M26="",$V26="Sub"),"",IF($M26&gt;=1,"Completado",IF($M26&gt;0,"En curso","Pendiente")))</f>
        <v/>
      </c>
      <c r="O26" s="56">
        <f>IF(OR(NOT((COUNTA($B26:$D26)+COUNTA($G26:$L26)+COUNTA($Q26))&gt;0),$V26="Sub"),"",IF(ISNUMBER($G26),IF(AND(ISNUMBER($AN26),$G26&gt;$AN26),"Cumplida con "&amp;($G26-$AN26)&amp;IF($G26-$AN26=1," día"," días")&amp;" de retraso","Cumplida"),IF(N($M26)&gt;=1,"Cumplida",IF(NOT(ISNUMBER($AN26)),"Sin fecha límite",IF($AN26&lt;FechaRef,"Vencida hace "&amp;(FechaRef-$AN26)&amp;IF(FechaRef-$AN26=1," día"," días"),IF($AN26=FechaRef,"Vence hoy",IF($AN26-FechaRef&lt;=DiasAlerta,"Vence en "&amp;($AN26-FechaRef)&amp;IF($AN26-FechaRef=1," día"," días"),"En plazo")))))))</f>
        <v/>
      </c>
      <c r="P26" s="62" t="n"/>
      <c r="Q26" s="58" t="n"/>
      <c r="R26" s="63">
        <f>IF(NOT((COUNTA($B26:$D26)+COUNTA($G26:$L26)+COUNTA($Q26))&gt;0),"",IF((IF($C26="","Falta el nombre de la actividad"&amp;" · ","")&amp;IF(AND($V26="Sub",N($U26)=0),"Subactividad sin macroactividad arriba"&amp;" · ","")&amp;IF($AM26="","Sin fecha de inicio"&amp;" · ","")&amp;IF($AN26="","Sin fecha límite"&amp;" · ","")&amp;IF(AND(LEFT($C26,11)="[Jefatura] ",N($AL26)=0),"No se encuentra en la hoja de la jefatura (elíjala de nuevo en la lista)"&amp;" · ","")&amp;IF(OR(AND($E26&lt;&gt;"",NOT(ISNUMBER($E26))),AND($F26&lt;&gt;"",NOT(ISNUMBER($F26))),AND($G26&lt;&gt;"",NOT(ISNUMBER($G26)))),"Fecha no válida"&amp;" · ","")&amp;IF(AND(ISNUMBER($AM26),ISNUMBER($AN26),$AM26&gt;$AN26),"Inicio posterior a fecha límite"&amp;" · ","")&amp;IF(AND($V26="Macro",$H26&lt;&gt;"",OR(NOT(ISNUMBER($H26)),$H26&lt;0,$H26&gt;1)),"Peso fuera de rango"&amp;" · ","")&amp;IF(AND($V26="Sub",$H26&lt;&gt;""),"Las subactividades no llevan peso (valen igual dentro de su macroactividad)"&amp;" · ","")&amp;IF(AND(N($W26)&gt;0,COUNT($I26:$L26)&gt;0),"Con subactividades: deje vacías las semanas (se calculan solas)"&amp;" · ","")&amp;IF((COUNTIF($I26:$L26,"&gt;1")+COUNTIF($I26:$L26,"&lt;0")+COUNTA($I26:$L26)-COUNT($I26:$L26))&gt;0,"Avance fuera de rango 0-100%"&amp;" · ","")&amp;IF(OR(AND($J26&lt;&gt;"",$J26&lt;$I26),AND($K26&lt;&gt;"",$K26&lt;MAX($I26:$J26)),AND($L26&lt;&gt;"",$L26&lt;MAX($I26:$K26))),"Avance semanal decreciente"&amp;" · ","")&amp;IF(AND(ISNUMBER($AN26),$AN26&lt;FechaRef,IF($V26="Sub",N($X26),N($M26))&lt;1),"Vencida"&amp;" · ","")&amp;IF(AND(ObsObligatoria="Sí",ISNUMBER($AN26),$AN26&lt;FechaRef,IF($V26="Sub",N($X26),N($M26))&lt;1,$Q26=""),"Vencida sin observación"&amp;" · ",""))="","✔ OK","⚠ "&amp;LEFT(IF($C26="","Falta el nombre de la actividad"&amp;" · ","")&amp;IF(AND($V26="Sub",N($U26)=0),"Subactividad sin macroactividad arriba"&amp;" · ","")&amp;IF($AM26="","Sin fecha de inicio"&amp;" · ","")&amp;IF($AN26="","Sin fecha límite"&amp;" · ","")&amp;IF(AND(LEFT($C26,11)="[Jefatura] ",N($AL26)=0),"No se encuentra en la hoja de la jefatura (elíjala de nuevo en la lista)"&amp;" · ","")&amp;IF(OR(AND($E26&lt;&gt;"",NOT(ISNUMBER($E26))),AND($F26&lt;&gt;"",NOT(ISNUMBER($F26))),AND($G26&lt;&gt;"",NOT(ISNUMBER($G26)))),"Fecha no válida"&amp;" · ","")&amp;IF(AND(ISNUMBER($AM26),ISNUMBER($AN26),$AM26&gt;$AN26),"Inicio posterior a fecha límite"&amp;" · ","")&amp;IF(AND($V26="Macro",$H26&lt;&gt;"",OR(NOT(ISNUMBER($H26)),$H26&lt;0,$H26&gt;1)),"Peso fuera de rango"&amp;" · ","")&amp;IF(AND($V26="Sub",$H26&lt;&gt;""),"Las subactividades no llevan peso (valen igual dentro de su macroactividad)"&amp;" · ","")&amp;IF(AND(N($W26)&gt;0,COUNT($I26:$L26)&gt;0),"Con subactividades: deje vacías las semanas (se calculan solas)"&amp;" · ","")&amp;IF((COUNTIF($I26:$L26,"&gt;1")+COUNTIF($I26:$L26,"&lt;0")+COUNTA($I26:$L26)-COUNT($I26:$L26))&gt;0,"Avance fuera de rango 0-100%"&amp;" · ","")&amp;IF(OR(AND($J26&lt;&gt;"",$J26&lt;$I26),AND($K26&lt;&gt;"",$K26&lt;MAX($I26:$J26)),AND($L26&lt;&gt;"",$L26&lt;MAX($I26:$K26))),"Avance semanal decreciente"&amp;" · ","")&amp;IF(AND(ISNUMBER($AN26),$AN26&lt;FechaRef,IF($V26="Sub",N($X26),N($M26))&lt;1),"Vencida"&amp;" · ","")&amp;IF(AND(ObsObligatoria="Sí",ISNUMBER($AN26),$AN26&lt;FechaRef,IF($V26="Sub",N($X26),N($M26))&lt;1,$Q26=""),"Vencida sin observación"&amp;" · ",""),LEN(IF($C26="","Falta el nombre de la actividad"&amp;" · ","")&amp;IF(AND($V26="Sub",N($U26)=0),"Subactividad sin macroactividad arriba"&amp;" · ","")&amp;IF($AM26="","Sin fecha de inicio"&amp;" · ","")&amp;IF($AN26="","Sin fecha límite"&amp;" · ","")&amp;IF(AND(LEFT($C26,11)="[Jefatura] ",N($AL26)=0),"No se encuentra en la hoja de la jefatura (elíjala de nuevo en la lista)"&amp;" · ","")&amp;IF(OR(AND($E26&lt;&gt;"",NOT(ISNUMBER($E26))),AND($F26&lt;&gt;"",NOT(ISNUMBER($F26))),AND($G26&lt;&gt;"",NOT(ISNUMBER($G26)))),"Fecha no válida"&amp;" · ","")&amp;IF(AND(ISNUMBER($AM26),ISNUMBER($AN26),$AM26&gt;$AN26),"Inicio posterior a fecha límite"&amp;" · ","")&amp;IF(AND($V26="Macro",$H26&lt;&gt;"",OR(NOT(ISNUMBER($H26)),$H26&lt;0,$H26&gt;1)),"Peso fuera de rango"&amp;" · ","")&amp;IF(AND($V26="Sub",$H26&lt;&gt;""),"Las subactividades no llevan peso (valen igual dentro de su macroactividad)"&amp;" · ","")&amp;IF(AND(N($W26)&gt;0,COUNT($I26:$L26)&gt;0),"Con subactividades: deje vacías las semanas (se calculan solas)"&amp;" · ","")&amp;IF((COUNTIF($I26:$L26,"&gt;1")+COUNTIF($I26:$L26,"&lt;0")+COUNTA($I26:$L26)-COUNT($I26:$L26))&gt;0,"Avance fuera de rango 0-100%"&amp;" · ","")&amp;IF(OR(AND($J26&lt;&gt;"",$J26&lt;$I26),AND($K26&lt;&gt;"",$K26&lt;MAX($I26:$J26)),AND($L26&lt;&gt;"",$L26&lt;MAX($I26:$K26))),"Avance semanal decreciente"&amp;" · ","")&amp;IF(AND(ISNUMBER($AN26),$AN26&lt;FechaRef,IF($V26="Sub",N($X26),N($M26))&lt;1),"Vencida"&amp;" · ","")&amp;IF(AND(ObsObligatoria="Sí",ISNUMBER($AN26),$AN26&lt;FechaRef,IF($V26="Sub",N($X26),N($M26))&lt;1,$Q26=""),"Vencida sin observación"&amp;" · ",""))-3)))</f>
        <v/>
      </c>
      <c r="S26" s="64">
        <f>IF(NOT((COUNTA($B26:$D26)+COUNTA($G26:$L26)+COUNTA($Q26))&gt;0),"",IF(AND($V26="Sub",N($U26)&gt;0),IF(ISNUMBER(INDEX($AM$5:$AM$1000,$U26-4)),DATE(YEAR(INDEX($AM$5:$AM$1000,$U26-4)),MONTH(INDEX($AM$5:$AM$1000,$U26-4)),1),IF(ISNUMBER(INDEX($AN$5:$AN$1000,$U26-4)),DATE(YEAR(INDEX($AN$5:$AN$1000,$U26-4)),MONTH(INDEX($AN$5:$AN$1000,$U26-4)),1),MesCiclo)),IF(ISNUMBER($AM26),DATE(YEAR($AM26),MONTH($AM26),1),IF(ISNUMBER($AN26),DATE(YEAR($AN26),MONTH($AN26),1),MesCiclo))))</f>
        <v/>
      </c>
      <c r="T26" s="62">
        <f>IF(OR($S26="",$S26&lt;&gt;MesCiclo,$V26&lt;&gt;"Macro"),"",COUNTIFS($S$5:$S26,MesCiclo,$V$5:$V26,"Macro"))</f>
        <v/>
      </c>
      <c r="U26" s="62">
        <f>IF($V26="","",IF($V26="Macro",ROW(),IFERROR(LOOKUP(2,1/($V$5:$V26="Macro"),ROW($V$5:$V26)),0)))</f>
        <v/>
      </c>
      <c r="V26" s="62">
        <f>IF(NOT((COUNTA($B26:$D26)+COUNTA($G26:$L26)+COUNTA($Q26))&gt;0),"",IF($B26="Subactividad","Sub","Macro"))</f>
        <v/>
      </c>
      <c r="W26" s="62">
        <f>IF($V26="Macro",COUNTIFS($U$5:$U$1000,ROW(),$V$5:$V$1000,"Sub"),"")</f>
        <v/>
      </c>
      <c r="X26" s="62">
        <f>IF($V26="","",IF(ISNUMBER($G26),1,IFERROR(LOOKUP(2,1/($I26:$L26&lt;&gt;""),$I26:$L26),0)))</f>
        <v/>
      </c>
      <c r="Y26" s="62">
        <f>IF($V26="","",IF(AND(ISNUMBER($G26),$G26&lt;=IF($S26=MesCiclo,InicioCiclo,$S26+MOD(2-WEEKDAY($S26),7))+6),1,IF(ISNUMBER($I26),$I26,0)))</f>
        <v/>
      </c>
      <c r="Z26" s="62">
        <f>IF($V26="","",IF(AND(ISNUMBER($G26),$G26&lt;=IF($S26=MesCiclo,InicioCiclo,$S26+MOD(2-WEEKDAY($S26),7))+13),1,IF(ISNUMBER($J26),$J26,$Y26)))</f>
        <v/>
      </c>
      <c r="AA26" s="62">
        <f>IF($V26="","",IF(AND(ISNUMBER($G26),$G26&lt;=IF($S26=MesCiclo,InicioCiclo,$S26+MOD(2-WEEKDAY($S26),7))+20),1,IF(ISNUMBER($K26),$K26,$Z26)))</f>
        <v/>
      </c>
      <c r="AB26" s="62">
        <f>IF($V26="","",IF(AND(ISNUMBER($G26),$G26&lt;=IF($S26=MesCiclo,InicioCiclo,$S26+MOD(2-WEEKDAY($S26),7))+27),1,IF(ISNUMBER($L26),$L26,$AA26)))</f>
        <v/>
      </c>
      <c r="AC26" s="62">
        <f>IF($V26="","",IF(AND(ISNUMBER($G26),$G26&lt;=IF($S26=MesCiclo,InicioCiclo,$S26+MOD(2-WEEKDAY($S26),7))+6),1,IF(N($W26)&gt;0,AVERAGEIFS($Y$5:$Y$1000,$U$5:$U$1000,ROW(),$V$5:$V$1000,"Sub"),$Y26)))</f>
        <v/>
      </c>
      <c r="AD26" s="62">
        <f>IF($V26="","",IF(AND(ISNUMBER($G26),$G26&lt;=IF($S26=MesCiclo,InicioCiclo,$S26+MOD(2-WEEKDAY($S26),7))+13),1,IF(N($W26)&gt;0,AVERAGEIFS($Z$5:$Z$1000,$U$5:$U$1000,ROW(),$V$5:$V$1000,"Sub"),$Z26)))</f>
        <v/>
      </c>
      <c r="AE26" s="62">
        <f>IF($V26="","",IF(AND(ISNUMBER($G26),$G26&lt;=IF($S26=MesCiclo,InicioCiclo,$S26+MOD(2-WEEKDAY($S26),7))+20),1,IF(N($W26)&gt;0,AVERAGEIFS($AA$5:$AA$1000,$U$5:$U$1000,ROW(),$V$5:$V$1000,"Sub"),$AA26)))</f>
        <v/>
      </c>
      <c r="AF26" s="62">
        <f>IF($V26="","",IF(AND(ISNUMBER($G26),$G26&lt;=IF($S26=MesCiclo,InicioCiclo,$S26+MOD(2-WEEKDAY($S26),7))+27),1,IF(N($W26)&gt;0,AVERAGEIFS($AB$5:$AB$1000,$U$5:$U$1000,ROW(),$V$5:$V$1000,"Sub"),$AB26)))</f>
        <v/>
      </c>
      <c r="AG26" s="62">
        <f>IF($V26&lt;&gt;"Macro","",IF(COUNTIFS($S$5:$S$1000,$S26,$V$5:$V$1000,"Macro",$H$5:$H$1000,"&gt;0")=0,1/COUNTIFS($S$5:$S$1000,$S26,$V$5:$V$1000,"Macro"),IF(AND(ISNUMBER($H26),N($H26)&gt;0),$H26,SUMIFS($H$5:$H$1000,$S$5:$S$1000,$S26,$V$5:$V$1000,"Macro")/COUNTIFS($S$5:$S$1000,$S26,$V$5:$V$1000,"Macro",$H$5:$H$1000,"&gt;0"))/(COUNTIFS($S$5:$S$1000,$S26,$V$5:$V$1000,"Macro")*SUMIFS($H$5:$H$1000,$S$5:$S$1000,$S26,$V$5:$V$1000,"Macro")/COUNTIFS($S$5:$S$1000,$S26,$V$5:$V$1000,"Macro",$H$5:$H$1000,"&gt;0"))))</f>
        <v/>
      </c>
      <c r="AH26" s="62" t="n"/>
      <c r="AI26" s="62" t="n"/>
      <c r="AJ26" s="62" t="n"/>
      <c r="AK26" s="62" t="n"/>
      <c r="AL26" s="62">
        <f>IF(LEFT($C26,11)="[Jefatura] ",IFERROR(MATCH("Riesgo Financiero|"&amp;MID($C26,12,500),rDname_ADM,0),0),"")</f>
        <v/>
      </c>
      <c r="AM26" s="62">
        <f>IF(N($AL26)&gt;0,INDEX(rIni_ADM,$AL26),IF(ISNUMBER($E26),$E26,""))</f>
        <v/>
      </c>
      <c r="AN26" s="62">
        <f>IF(N($AL26)&gt;0,INDEX(rLim_ADM,$AL26),IF(ISNUMBER($F26),$F26,""))</f>
        <v/>
      </c>
    </row>
    <row r="27">
      <c r="A27" s="56">
        <f>IF(NOT((COUNTA($B27:$D27)+COUNTA($G27:$L27)+COUNTA($Q27))&gt;0),"",IF($V27="Macro",COUNTIFS($V$5:$V27,"Macro",$S$5:$S27,$S27),IF(N($U27)=0,"?",COUNTIFS(INDEX($V$5:$V$1000,1):INDEX($V$5:$V$1000,$U27-4),"Macro",INDEX($S$5:$S$1000,1):INDEX($S$5:$S$1000,$U27-4),INDEX($S$5:$S$1000,$U27-4))&amp;"."&amp;COUNTIFS($U$5:$U27,$U27,$V$5:$V27,"Sub"))))</f>
        <v/>
      </c>
      <c r="B27" s="57" t="n"/>
      <c r="C27" s="58" t="n"/>
      <c r="D27" s="58" t="n"/>
      <c r="E27" s="59">
        <f>IF(N($AL27)&gt;0,INDEX(rIni_ADM,$AL27),"")</f>
        <v/>
      </c>
      <c r="F27" s="59">
        <f>IF(N($AL27)&gt;0,INDEX(rLim_ADM,$AL27),"")</f>
        <v/>
      </c>
      <c r="G27" s="59" t="n"/>
      <c r="H27" s="60" t="n"/>
      <c r="I27" s="60" t="n"/>
      <c r="J27" s="60" t="n"/>
      <c r="K27" s="60" t="n"/>
      <c r="L27" s="60" t="n"/>
      <c r="M27" s="61">
        <f>IF(NOT((COUNTA($B27:$D27)+COUNTA($G27:$L27)+COUNTA($Q27))&gt;0),"",IF($V27="Sub",IFERROR($X27/INDEX($W$5:$W$1000,$U27-4),""),IF(ISNUMBER($G27),1,IF(N($W27)&gt;0,AVERAGEIFS($X$5:$X$1000,$U$5:$U$1000,ROW(),$V$5:$V$1000,"Sub"),$X27))))</f>
        <v/>
      </c>
      <c r="N27" s="56">
        <f>IF(OR($M27="",$V27="Sub"),"",IF($M27&gt;=1,"Completado",IF($M27&gt;0,"En curso","Pendiente")))</f>
        <v/>
      </c>
      <c r="O27" s="56">
        <f>IF(OR(NOT((COUNTA($B27:$D27)+COUNTA($G27:$L27)+COUNTA($Q27))&gt;0),$V27="Sub"),"",IF(ISNUMBER($G27),IF(AND(ISNUMBER($AN27),$G27&gt;$AN27),"Cumplida con "&amp;($G27-$AN27)&amp;IF($G27-$AN27=1," día"," días")&amp;" de retraso","Cumplida"),IF(N($M27)&gt;=1,"Cumplida",IF(NOT(ISNUMBER($AN27)),"Sin fecha límite",IF($AN27&lt;FechaRef,"Vencida hace "&amp;(FechaRef-$AN27)&amp;IF(FechaRef-$AN27=1," día"," días"),IF($AN27=FechaRef,"Vence hoy",IF($AN27-FechaRef&lt;=DiasAlerta,"Vence en "&amp;($AN27-FechaRef)&amp;IF($AN27-FechaRef=1," día"," días"),"En plazo")))))))</f>
        <v/>
      </c>
      <c r="P27" s="62" t="n"/>
      <c r="Q27" s="58" t="n"/>
      <c r="R27" s="63">
        <f>IF(NOT((COUNTA($B27:$D27)+COUNTA($G27:$L27)+COUNTA($Q27))&gt;0),"",IF((IF($C27="","Falta el nombre de la actividad"&amp;" · ","")&amp;IF(AND($V27="Sub",N($U27)=0),"Subactividad sin macroactividad arriba"&amp;" · ","")&amp;IF($AM27="","Sin fecha de inicio"&amp;" · ","")&amp;IF($AN27="","Sin fecha límite"&amp;" · ","")&amp;IF(AND(LEFT($C27,11)="[Jefatura] ",N($AL27)=0),"No se encuentra en la hoja de la jefatura (elíjala de nuevo en la lista)"&amp;" · ","")&amp;IF(OR(AND($E27&lt;&gt;"",NOT(ISNUMBER($E27))),AND($F27&lt;&gt;"",NOT(ISNUMBER($F27))),AND($G27&lt;&gt;"",NOT(ISNUMBER($G27)))),"Fecha no válida"&amp;" · ","")&amp;IF(AND(ISNUMBER($AM27),ISNUMBER($AN27),$AM27&gt;$AN27),"Inicio posterior a fecha límite"&amp;" · ","")&amp;IF(AND($V27="Macro",$H27&lt;&gt;"",OR(NOT(ISNUMBER($H27)),$H27&lt;0,$H27&gt;1)),"Peso fuera de rango"&amp;" · ","")&amp;IF(AND($V27="Sub",$H27&lt;&gt;""),"Las subactividades no llevan peso (valen igual dentro de su macroactividad)"&amp;" · ","")&amp;IF(AND(N($W27)&gt;0,COUNT($I27:$L27)&gt;0),"Con subactividades: deje vacías las semanas (se calculan solas)"&amp;" · ","")&amp;IF((COUNTIF($I27:$L27,"&gt;1")+COUNTIF($I27:$L27,"&lt;0")+COUNTA($I27:$L27)-COUNT($I27:$L27))&gt;0,"Avance fuera de rango 0-100%"&amp;" · ","")&amp;IF(OR(AND($J27&lt;&gt;"",$J27&lt;$I27),AND($K27&lt;&gt;"",$K27&lt;MAX($I27:$J27)),AND($L27&lt;&gt;"",$L27&lt;MAX($I27:$K27))),"Avance semanal decreciente"&amp;" · ","")&amp;IF(AND(ISNUMBER($AN27),$AN27&lt;FechaRef,IF($V27="Sub",N($X27),N($M27))&lt;1),"Vencida"&amp;" · ","")&amp;IF(AND(ObsObligatoria="Sí",ISNUMBER($AN27),$AN27&lt;FechaRef,IF($V27="Sub",N($X27),N($M27))&lt;1,$Q27=""),"Vencida sin observación"&amp;" · ",""))="","✔ OK","⚠ "&amp;LEFT(IF($C27="","Falta el nombre de la actividad"&amp;" · ","")&amp;IF(AND($V27="Sub",N($U27)=0),"Subactividad sin macroactividad arriba"&amp;" · ","")&amp;IF($AM27="","Sin fecha de inicio"&amp;" · ","")&amp;IF($AN27="","Sin fecha límite"&amp;" · ","")&amp;IF(AND(LEFT($C27,11)="[Jefatura] ",N($AL27)=0),"No se encuentra en la hoja de la jefatura (elíjala de nuevo en la lista)"&amp;" · ","")&amp;IF(OR(AND($E27&lt;&gt;"",NOT(ISNUMBER($E27))),AND($F27&lt;&gt;"",NOT(ISNUMBER($F27))),AND($G27&lt;&gt;"",NOT(ISNUMBER($G27)))),"Fecha no válida"&amp;" · ","")&amp;IF(AND(ISNUMBER($AM27),ISNUMBER($AN27),$AM27&gt;$AN27),"Inicio posterior a fecha límite"&amp;" · ","")&amp;IF(AND($V27="Macro",$H27&lt;&gt;"",OR(NOT(ISNUMBER($H27)),$H27&lt;0,$H27&gt;1)),"Peso fuera de rango"&amp;" · ","")&amp;IF(AND($V27="Sub",$H27&lt;&gt;""),"Las subactividades no llevan peso (valen igual dentro de su macroactividad)"&amp;" · ","")&amp;IF(AND(N($W27)&gt;0,COUNT($I27:$L27)&gt;0),"Con subactividades: deje vacías las semanas (se calculan solas)"&amp;" · ","")&amp;IF((COUNTIF($I27:$L27,"&gt;1")+COUNTIF($I27:$L27,"&lt;0")+COUNTA($I27:$L27)-COUNT($I27:$L27))&gt;0,"Avance fuera de rango 0-100%"&amp;" · ","")&amp;IF(OR(AND($J27&lt;&gt;"",$J27&lt;$I27),AND($K27&lt;&gt;"",$K27&lt;MAX($I27:$J27)),AND($L27&lt;&gt;"",$L27&lt;MAX($I27:$K27))),"Avance semanal decreciente"&amp;" · ","")&amp;IF(AND(ISNUMBER($AN27),$AN27&lt;FechaRef,IF($V27="Sub",N($X27),N($M27))&lt;1),"Vencida"&amp;" · ","")&amp;IF(AND(ObsObligatoria="Sí",ISNUMBER($AN27),$AN27&lt;FechaRef,IF($V27="Sub",N($X27),N($M27))&lt;1,$Q27=""),"Vencida sin observación"&amp;" · ",""),LEN(IF($C27="","Falta el nombre de la actividad"&amp;" · ","")&amp;IF(AND($V27="Sub",N($U27)=0),"Subactividad sin macroactividad arriba"&amp;" · ","")&amp;IF($AM27="","Sin fecha de inicio"&amp;" · ","")&amp;IF($AN27="","Sin fecha límite"&amp;" · ","")&amp;IF(AND(LEFT($C27,11)="[Jefatura] ",N($AL27)=0),"No se encuentra en la hoja de la jefatura (elíjala de nuevo en la lista)"&amp;" · ","")&amp;IF(OR(AND($E27&lt;&gt;"",NOT(ISNUMBER($E27))),AND($F27&lt;&gt;"",NOT(ISNUMBER($F27))),AND($G27&lt;&gt;"",NOT(ISNUMBER($G27)))),"Fecha no válida"&amp;" · ","")&amp;IF(AND(ISNUMBER($AM27),ISNUMBER($AN27),$AM27&gt;$AN27),"Inicio posterior a fecha límite"&amp;" · ","")&amp;IF(AND($V27="Macro",$H27&lt;&gt;"",OR(NOT(ISNUMBER($H27)),$H27&lt;0,$H27&gt;1)),"Peso fuera de rango"&amp;" · ","")&amp;IF(AND($V27="Sub",$H27&lt;&gt;""),"Las subactividades no llevan peso (valen igual dentro de su macroactividad)"&amp;" · ","")&amp;IF(AND(N($W27)&gt;0,COUNT($I27:$L27)&gt;0),"Con subactividades: deje vacías las semanas (se calculan solas)"&amp;" · ","")&amp;IF((COUNTIF($I27:$L27,"&gt;1")+COUNTIF($I27:$L27,"&lt;0")+COUNTA($I27:$L27)-COUNT($I27:$L27))&gt;0,"Avance fuera de rango 0-100%"&amp;" · ","")&amp;IF(OR(AND($J27&lt;&gt;"",$J27&lt;$I27),AND($K27&lt;&gt;"",$K27&lt;MAX($I27:$J27)),AND($L27&lt;&gt;"",$L27&lt;MAX($I27:$K27))),"Avance semanal decreciente"&amp;" · ","")&amp;IF(AND(ISNUMBER($AN27),$AN27&lt;FechaRef,IF($V27="Sub",N($X27),N($M27))&lt;1),"Vencida"&amp;" · ","")&amp;IF(AND(ObsObligatoria="Sí",ISNUMBER($AN27),$AN27&lt;FechaRef,IF($V27="Sub",N($X27),N($M27))&lt;1,$Q27=""),"Vencida sin observación"&amp;" · ",""))-3)))</f>
        <v/>
      </c>
      <c r="S27" s="64">
        <f>IF(NOT((COUNTA($B27:$D27)+COUNTA($G27:$L27)+COUNTA($Q27))&gt;0),"",IF(AND($V27="Sub",N($U27)&gt;0),IF(ISNUMBER(INDEX($AM$5:$AM$1000,$U27-4)),DATE(YEAR(INDEX($AM$5:$AM$1000,$U27-4)),MONTH(INDEX($AM$5:$AM$1000,$U27-4)),1),IF(ISNUMBER(INDEX($AN$5:$AN$1000,$U27-4)),DATE(YEAR(INDEX($AN$5:$AN$1000,$U27-4)),MONTH(INDEX($AN$5:$AN$1000,$U27-4)),1),MesCiclo)),IF(ISNUMBER($AM27),DATE(YEAR($AM27),MONTH($AM27),1),IF(ISNUMBER($AN27),DATE(YEAR($AN27),MONTH($AN27),1),MesCiclo))))</f>
        <v/>
      </c>
      <c r="T27" s="62">
        <f>IF(OR($S27="",$S27&lt;&gt;MesCiclo,$V27&lt;&gt;"Macro"),"",COUNTIFS($S$5:$S27,MesCiclo,$V$5:$V27,"Macro"))</f>
        <v/>
      </c>
      <c r="U27" s="62">
        <f>IF($V27="","",IF($V27="Macro",ROW(),IFERROR(LOOKUP(2,1/($V$5:$V27="Macro"),ROW($V$5:$V27)),0)))</f>
        <v/>
      </c>
      <c r="V27" s="62">
        <f>IF(NOT((COUNTA($B27:$D27)+COUNTA($G27:$L27)+COUNTA($Q27))&gt;0),"",IF($B27="Subactividad","Sub","Macro"))</f>
        <v/>
      </c>
      <c r="W27" s="62">
        <f>IF($V27="Macro",COUNTIFS($U$5:$U$1000,ROW(),$V$5:$V$1000,"Sub"),"")</f>
        <v/>
      </c>
      <c r="X27" s="62">
        <f>IF($V27="","",IF(ISNUMBER($G27),1,IFERROR(LOOKUP(2,1/($I27:$L27&lt;&gt;""),$I27:$L27),0)))</f>
        <v/>
      </c>
      <c r="Y27" s="62">
        <f>IF($V27="","",IF(AND(ISNUMBER($G27),$G27&lt;=IF($S27=MesCiclo,InicioCiclo,$S27+MOD(2-WEEKDAY($S27),7))+6),1,IF(ISNUMBER($I27),$I27,0)))</f>
        <v/>
      </c>
      <c r="Z27" s="62">
        <f>IF($V27="","",IF(AND(ISNUMBER($G27),$G27&lt;=IF($S27=MesCiclo,InicioCiclo,$S27+MOD(2-WEEKDAY($S27),7))+13),1,IF(ISNUMBER($J27),$J27,$Y27)))</f>
        <v/>
      </c>
      <c r="AA27" s="62">
        <f>IF($V27="","",IF(AND(ISNUMBER($G27),$G27&lt;=IF($S27=MesCiclo,InicioCiclo,$S27+MOD(2-WEEKDAY($S27),7))+20),1,IF(ISNUMBER($K27),$K27,$Z27)))</f>
        <v/>
      </c>
      <c r="AB27" s="62">
        <f>IF($V27="","",IF(AND(ISNUMBER($G27),$G27&lt;=IF($S27=MesCiclo,InicioCiclo,$S27+MOD(2-WEEKDAY($S27),7))+27),1,IF(ISNUMBER($L27),$L27,$AA27)))</f>
        <v/>
      </c>
      <c r="AC27" s="62">
        <f>IF($V27="","",IF(AND(ISNUMBER($G27),$G27&lt;=IF($S27=MesCiclo,InicioCiclo,$S27+MOD(2-WEEKDAY($S27),7))+6),1,IF(N($W27)&gt;0,AVERAGEIFS($Y$5:$Y$1000,$U$5:$U$1000,ROW(),$V$5:$V$1000,"Sub"),$Y27)))</f>
        <v/>
      </c>
      <c r="AD27" s="62">
        <f>IF($V27="","",IF(AND(ISNUMBER($G27),$G27&lt;=IF($S27=MesCiclo,InicioCiclo,$S27+MOD(2-WEEKDAY($S27),7))+13),1,IF(N($W27)&gt;0,AVERAGEIFS($Z$5:$Z$1000,$U$5:$U$1000,ROW(),$V$5:$V$1000,"Sub"),$Z27)))</f>
        <v/>
      </c>
      <c r="AE27" s="62">
        <f>IF($V27="","",IF(AND(ISNUMBER($G27),$G27&lt;=IF($S27=MesCiclo,InicioCiclo,$S27+MOD(2-WEEKDAY($S27),7))+20),1,IF(N($W27)&gt;0,AVERAGEIFS($AA$5:$AA$1000,$U$5:$U$1000,ROW(),$V$5:$V$1000,"Sub"),$AA27)))</f>
        <v/>
      </c>
      <c r="AF27" s="62">
        <f>IF($V27="","",IF(AND(ISNUMBER($G27),$G27&lt;=IF($S27=MesCiclo,InicioCiclo,$S27+MOD(2-WEEKDAY($S27),7))+27),1,IF(N($W27)&gt;0,AVERAGEIFS($AB$5:$AB$1000,$U$5:$U$1000,ROW(),$V$5:$V$1000,"Sub"),$AB27)))</f>
        <v/>
      </c>
      <c r="AG27" s="62">
        <f>IF($V27&lt;&gt;"Macro","",IF(COUNTIFS($S$5:$S$1000,$S27,$V$5:$V$1000,"Macro",$H$5:$H$1000,"&gt;0")=0,1/COUNTIFS($S$5:$S$1000,$S27,$V$5:$V$1000,"Macro"),IF(AND(ISNUMBER($H27),N($H27)&gt;0),$H27,SUMIFS($H$5:$H$1000,$S$5:$S$1000,$S27,$V$5:$V$1000,"Macro")/COUNTIFS($S$5:$S$1000,$S27,$V$5:$V$1000,"Macro",$H$5:$H$1000,"&gt;0"))/(COUNTIFS($S$5:$S$1000,$S27,$V$5:$V$1000,"Macro")*SUMIFS($H$5:$H$1000,$S$5:$S$1000,$S27,$V$5:$V$1000,"Macro")/COUNTIFS($S$5:$S$1000,$S27,$V$5:$V$1000,"Macro",$H$5:$H$1000,"&gt;0"))))</f>
        <v/>
      </c>
      <c r="AH27" s="62" t="n"/>
      <c r="AI27" s="62" t="n"/>
      <c r="AJ27" s="62" t="n"/>
      <c r="AK27" s="62" t="n"/>
      <c r="AL27" s="62">
        <f>IF(LEFT($C27,11)="[Jefatura] ",IFERROR(MATCH("Riesgo Financiero|"&amp;MID($C27,12,500),rDname_ADM,0),0),"")</f>
        <v/>
      </c>
      <c r="AM27" s="62">
        <f>IF(N($AL27)&gt;0,INDEX(rIni_ADM,$AL27),IF(ISNUMBER($E27),$E27,""))</f>
        <v/>
      </c>
      <c r="AN27" s="62">
        <f>IF(N($AL27)&gt;0,INDEX(rLim_ADM,$AL27),IF(ISNUMBER($F27),$F27,""))</f>
        <v/>
      </c>
    </row>
    <row r="28">
      <c r="A28" s="56">
        <f>IF(NOT((COUNTA($B28:$D28)+COUNTA($G28:$L28)+COUNTA($Q28))&gt;0),"",IF($V28="Macro",COUNTIFS($V$5:$V28,"Macro",$S$5:$S28,$S28),IF(N($U28)=0,"?",COUNTIFS(INDEX($V$5:$V$1000,1):INDEX($V$5:$V$1000,$U28-4),"Macro",INDEX($S$5:$S$1000,1):INDEX($S$5:$S$1000,$U28-4),INDEX($S$5:$S$1000,$U28-4))&amp;"."&amp;COUNTIFS($U$5:$U28,$U28,$V$5:$V28,"Sub"))))</f>
        <v/>
      </c>
      <c r="B28" s="57" t="n"/>
      <c r="C28" s="58" t="n"/>
      <c r="D28" s="58" t="n"/>
      <c r="E28" s="59">
        <f>IF(N($AL28)&gt;0,INDEX(rIni_ADM,$AL28),"")</f>
        <v/>
      </c>
      <c r="F28" s="59">
        <f>IF(N($AL28)&gt;0,INDEX(rLim_ADM,$AL28),"")</f>
        <v/>
      </c>
      <c r="G28" s="59" t="n"/>
      <c r="H28" s="60" t="n"/>
      <c r="I28" s="60" t="n"/>
      <c r="J28" s="60" t="n"/>
      <c r="K28" s="60" t="n"/>
      <c r="L28" s="60" t="n"/>
      <c r="M28" s="61">
        <f>IF(NOT((COUNTA($B28:$D28)+COUNTA($G28:$L28)+COUNTA($Q28))&gt;0),"",IF($V28="Sub",IFERROR($X28/INDEX($W$5:$W$1000,$U28-4),""),IF(ISNUMBER($G28),1,IF(N($W28)&gt;0,AVERAGEIFS($X$5:$X$1000,$U$5:$U$1000,ROW(),$V$5:$V$1000,"Sub"),$X28))))</f>
        <v/>
      </c>
      <c r="N28" s="56">
        <f>IF(OR($M28="",$V28="Sub"),"",IF($M28&gt;=1,"Completado",IF($M28&gt;0,"En curso","Pendiente")))</f>
        <v/>
      </c>
      <c r="O28" s="56">
        <f>IF(OR(NOT((COUNTA($B28:$D28)+COUNTA($G28:$L28)+COUNTA($Q28))&gt;0),$V28="Sub"),"",IF(ISNUMBER($G28),IF(AND(ISNUMBER($AN28),$G28&gt;$AN28),"Cumplida con "&amp;($G28-$AN28)&amp;IF($G28-$AN28=1," día"," días")&amp;" de retraso","Cumplida"),IF(N($M28)&gt;=1,"Cumplida",IF(NOT(ISNUMBER($AN28)),"Sin fecha límite",IF($AN28&lt;FechaRef,"Vencida hace "&amp;(FechaRef-$AN28)&amp;IF(FechaRef-$AN28=1," día"," días"),IF($AN28=FechaRef,"Vence hoy",IF($AN28-FechaRef&lt;=DiasAlerta,"Vence en "&amp;($AN28-FechaRef)&amp;IF($AN28-FechaRef=1," día"," días"),"En plazo")))))))</f>
        <v/>
      </c>
      <c r="P28" s="62" t="n"/>
      <c r="Q28" s="58" t="n"/>
      <c r="R28" s="63">
        <f>IF(NOT((COUNTA($B28:$D28)+COUNTA($G28:$L28)+COUNTA($Q28))&gt;0),"",IF((IF($C28="","Falta el nombre de la actividad"&amp;" · ","")&amp;IF(AND($V28="Sub",N($U28)=0),"Subactividad sin macroactividad arriba"&amp;" · ","")&amp;IF($AM28="","Sin fecha de inicio"&amp;" · ","")&amp;IF($AN28="","Sin fecha límite"&amp;" · ","")&amp;IF(AND(LEFT($C28,11)="[Jefatura] ",N($AL28)=0),"No se encuentra en la hoja de la jefatura (elíjala de nuevo en la lista)"&amp;" · ","")&amp;IF(OR(AND($E28&lt;&gt;"",NOT(ISNUMBER($E28))),AND($F28&lt;&gt;"",NOT(ISNUMBER($F28))),AND($G28&lt;&gt;"",NOT(ISNUMBER($G28)))),"Fecha no válida"&amp;" · ","")&amp;IF(AND(ISNUMBER($AM28),ISNUMBER($AN28),$AM28&gt;$AN28),"Inicio posterior a fecha límite"&amp;" · ","")&amp;IF(AND($V28="Macro",$H28&lt;&gt;"",OR(NOT(ISNUMBER($H28)),$H28&lt;0,$H28&gt;1)),"Peso fuera de rango"&amp;" · ","")&amp;IF(AND($V28="Sub",$H28&lt;&gt;""),"Las subactividades no llevan peso (valen igual dentro de su macroactividad)"&amp;" · ","")&amp;IF(AND(N($W28)&gt;0,COUNT($I28:$L28)&gt;0),"Con subactividades: deje vacías las semanas (se calculan solas)"&amp;" · ","")&amp;IF((COUNTIF($I28:$L28,"&gt;1")+COUNTIF($I28:$L28,"&lt;0")+COUNTA($I28:$L28)-COUNT($I28:$L28))&gt;0,"Avance fuera de rango 0-100%"&amp;" · ","")&amp;IF(OR(AND($J28&lt;&gt;"",$J28&lt;$I28),AND($K28&lt;&gt;"",$K28&lt;MAX($I28:$J28)),AND($L28&lt;&gt;"",$L28&lt;MAX($I28:$K28))),"Avance semanal decreciente"&amp;" · ","")&amp;IF(AND(ISNUMBER($AN28),$AN28&lt;FechaRef,IF($V28="Sub",N($X28),N($M28))&lt;1),"Vencida"&amp;" · ","")&amp;IF(AND(ObsObligatoria="Sí",ISNUMBER($AN28),$AN28&lt;FechaRef,IF($V28="Sub",N($X28),N($M28))&lt;1,$Q28=""),"Vencida sin observación"&amp;" · ",""))="","✔ OK","⚠ "&amp;LEFT(IF($C28="","Falta el nombre de la actividad"&amp;" · ","")&amp;IF(AND($V28="Sub",N($U28)=0),"Subactividad sin macroactividad arriba"&amp;" · ","")&amp;IF($AM28="","Sin fecha de inicio"&amp;" · ","")&amp;IF($AN28="","Sin fecha límite"&amp;" · ","")&amp;IF(AND(LEFT($C28,11)="[Jefatura] ",N($AL28)=0),"No se encuentra en la hoja de la jefatura (elíjala de nuevo en la lista)"&amp;" · ","")&amp;IF(OR(AND($E28&lt;&gt;"",NOT(ISNUMBER($E28))),AND($F28&lt;&gt;"",NOT(ISNUMBER($F28))),AND($G28&lt;&gt;"",NOT(ISNUMBER($G28)))),"Fecha no válida"&amp;" · ","")&amp;IF(AND(ISNUMBER($AM28),ISNUMBER($AN28),$AM28&gt;$AN28),"Inicio posterior a fecha límite"&amp;" · ","")&amp;IF(AND($V28="Macro",$H28&lt;&gt;"",OR(NOT(ISNUMBER($H28)),$H28&lt;0,$H28&gt;1)),"Peso fuera de rango"&amp;" · ","")&amp;IF(AND($V28="Sub",$H28&lt;&gt;""),"Las subactividades no llevan peso (valen igual dentro de su macroactividad)"&amp;" · ","")&amp;IF(AND(N($W28)&gt;0,COUNT($I28:$L28)&gt;0),"Con subactividades: deje vacías las semanas (se calculan solas)"&amp;" · ","")&amp;IF((COUNTIF($I28:$L28,"&gt;1")+COUNTIF($I28:$L28,"&lt;0")+COUNTA($I28:$L28)-COUNT($I28:$L28))&gt;0,"Avance fuera de rango 0-100%"&amp;" · ","")&amp;IF(OR(AND($J28&lt;&gt;"",$J28&lt;$I28),AND($K28&lt;&gt;"",$K28&lt;MAX($I28:$J28)),AND($L28&lt;&gt;"",$L28&lt;MAX($I28:$K28))),"Avance semanal decreciente"&amp;" · ","")&amp;IF(AND(ISNUMBER($AN28),$AN28&lt;FechaRef,IF($V28="Sub",N($X28),N($M28))&lt;1),"Vencida"&amp;" · ","")&amp;IF(AND(ObsObligatoria="Sí",ISNUMBER($AN28),$AN28&lt;FechaRef,IF($V28="Sub",N($X28),N($M28))&lt;1,$Q28=""),"Vencida sin observación"&amp;" · ",""),LEN(IF($C28="","Falta el nombre de la actividad"&amp;" · ","")&amp;IF(AND($V28="Sub",N($U28)=0),"Subactividad sin macroactividad arriba"&amp;" · ","")&amp;IF($AM28="","Sin fecha de inicio"&amp;" · ","")&amp;IF($AN28="","Sin fecha límite"&amp;" · ","")&amp;IF(AND(LEFT($C28,11)="[Jefatura] ",N($AL28)=0),"No se encuentra en la hoja de la jefatura (elíjala de nuevo en la lista)"&amp;" · ","")&amp;IF(OR(AND($E28&lt;&gt;"",NOT(ISNUMBER($E28))),AND($F28&lt;&gt;"",NOT(ISNUMBER($F28))),AND($G28&lt;&gt;"",NOT(ISNUMBER($G28)))),"Fecha no válida"&amp;" · ","")&amp;IF(AND(ISNUMBER($AM28),ISNUMBER($AN28),$AM28&gt;$AN28),"Inicio posterior a fecha límite"&amp;" · ","")&amp;IF(AND($V28="Macro",$H28&lt;&gt;"",OR(NOT(ISNUMBER($H28)),$H28&lt;0,$H28&gt;1)),"Peso fuera de rango"&amp;" · ","")&amp;IF(AND($V28="Sub",$H28&lt;&gt;""),"Las subactividades no llevan peso (valen igual dentro de su macroactividad)"&amp;" · ","")&amp;IF(AND(N($W28)&gt;0,COUNT($I28:$L28)&gt;0),"Con subactividades: deje vacías las semanas (se calculan solas)"&amp;" · ","")&amp;IF((COUNTIF($I28:$L28,"&gt;1")+COUNTIF($I28:$L28,"&lt;0")+COUNTA($I28:$L28)-COUNT($I28:$L28))&gt;0,"Avance fuera de rango 0-100%"&amp;" · ","")&amp;IF(OR(AND($J28&lt;&gt;"",$J28&lt;$I28),AND($K28&lt;&gt;"",$K28&lt;MAX($I28:$J28)),AND($L28&lt;&gt;"",$L28&lt;MAX($I28:$K28))),"Avance semanal decreciente"&amp;" · ","")&amp;IF(AND(ISNUMBER($AN28),$AN28&lt;FechaRef,IF($V28="Sub",N($X28),N($M28))&lt;1),"Vencida"&amp;" · ","")&amp;IF(AND(ObsObligatoria="Sí",ISNUMBER($AN28),$AN28&lt;FechaRef,IF($V28="Sub",N($X28),N($M28))&lt;1,$Q28=""),"Vencida sin observación"&amp;" · ",""))-3)))</f>
        <v/>
      </c>
      <c r="S28" s="64">
        <f>IF(NOT((COUNTA($B28:$D28)+COUNTA($G28:$L28)+COUNTA($Q28))&gt;0),"",IF(AND($V28="Sub",N($U28)&gt;0),IF(ISNUMBER(INDEX($AM$5:$AM$1000,$U28-4)),DATE(YEAR(INDEX($AM$5:$AM$1000,$U28-4)),MONTH(INDEX($AM$5:$AM$1000,$U28-4)),1),IF(ISNUMBER(INDEX($AN$5:$AN$1000,$U28-4)),DATE(YEAR(INDEX($AN$5:$AN$1000,$U28-4)),MONTH(INDEX($AN$5:$AN$1000,$U28-4)),1),MesCiclo)),IF(ISNUMBER($AM28),DATE(YEAR($AM28),MONTH($AM28),1),IF(ISNUMBER($AN28),DATE(YEAR($AN28),MONTH($AN28),1),MesCiclo))))</f>
        <v/>
      </c>
      <c r="T28" s="62">
        <f>IF(OR($S28="",$S28&lt;&gt;MesCiclo,$V28&lt;&gt;"Macro"),"",COUNTIFS($S$5:$S28,MesCiclo,$V$5:$V28,"Macro"))</f>
        <v/>
      </c>
      <c r="U28" s="62">
        <f>IF($V28="","",IF($V28="Macro",ROW(),IFERROR(LOOKUP(2,1/($V$5:$V28="Macro"),ROW($V$5:$V28)),0)))</f>
        <v/>
      </c>
      <c r="V28" s="62">
        <f>IF(NOT((COUNTA($B28:$D28)+COUNTA($G28:$L28)+COUNTA($Q28))&gt;0),"",IF($B28="Subactividad","Sub","Macro"))</f>
        <v/>
      </c>
      <c r="W28" s="62">
        <f>IF($V28="Macro",COUNTIFS($U$5:$U$1000,ROW(),$V$5:$V$1000,"Sub"),"")</f>
        <v/>
      </c>
      <c r="X28" s="62">
        <f>IF($V28="","",IF(ISNUMBER($G28),1,IFERROR(LOOKUP(2,1/($I28:$L28&lt;&gt;""),$I28:$L28),0)))</f>
        <v/>
      </c>
      <c r="Y28" s="62">
        <f>IF($V28="","",IF(AND(ISNUMBER($G28),$G28&lt;=IF($S28=MesCiclo,InicioCiclo,$S28+MOD(2-WEEKDAY($S28),7))+6),1,IF(ISNUMBER($I28),$I28,0)))</f>
        <v/>
      </c>
      <c r="Z28" s="62">
        <f>IF($V28="","",IF(AND(ISNUMBER($G28),$G28&lt;=IF($S28=MesCiclo,InicioCiclo,$S28+MOD(2-WEEKDAY($S28),7))+13),1,IF(ISNUMBER($J28),$J28,$Y28)))</f>
        <v/>
      </c>
      <c r="AA28" s="62">
        <f>IF($V28="","",IF(AND(ISNUMBER($G28),$G28&lt;=IF($S28=MesCiclo,InicioCiclo,$S28+MOD(2-WEEKDAY($S28),7))+20),1,IF(ISNUMBER($K28),$K28,$Z28)))</f>
        <v/>
      </c>
      <c r="AB28" s="62">
        <f>IF($V28="","",IF(AND(ISNUMBER($G28),$G28&lt;=IF($S28=MesCiclo,InicioCiclo,$S28+MOD(2-WEEKDAY($S28),7))+27),1,IF(ISNUMBER($L28),$L28,$AA28)))</f>
        <v/>
      </c>
      <c r="AC28" s="62">
        <f>IF($V28="","",IF(AND(ISNUMBER($G28),$G28&lt;=IF($S28=MesCiclo,InicioCiclo,$S28+MOD(2-WEEKDAY($S28),7))+6),1,IF(N($W28)&gt;0,AVERAGEIFS($Y$5:$Y$1000,$U$5:$U$1000,ROW(),$V$5:$V$1000,"Sub"),$Y28)))</f>
        <v/>
      </c>
      <c r="AD28" s="62">
        <f>IF($V28="","",IF(AND(ISNUMBER($G28),$G28&lt;=IF($S28=MesCiclo,InicioCiclo,$S28+MOD(2-WEEKDAY($S28),7))+13),1,IF(N($W28)&gt;0,AVERAGEIFS($Z$5:$Z$1000,$U$5:$U$1000,ROW(),$V$5:$V$1000,"Sub"),$Z28)))</f>
        <v/>
      </c>
      <c r="AE28" s="62">
        <f>IF($V28="","",IF(AND(ISNUMBER($G28),$G28&lt;=IF($S28=MesCiclo,InicioCiclo,$S28+MOD(2-WEEKDAY($S28),7))+20),1,IF(N($W28)&gt;0,AVERAGEIFS($AA$5:$AA$1000,$U$5:$U$1000,ROW(),$V$5:$V$1000,"Sub"),$AA28)))</f>
        <v/>
      </c>
      <c r="AF28" s="62">
        <f>IF($V28="","",IF(AND(ISNUMBER($G28),$G28&lt;=IF($S28=MesCiclo,InicioCiclo,$S28+MOD(2-WEEKDAY($S28),7))+27),1,IF(N($W28)&gt;0,AVERAGEIFS($AB$5:$AB$1000,$U$5:$U$1000,ROW(),$V$5:$V$1000,"Sub"),$AB28)))</f>
        <v/>
      </c>
      <c r="AG28" s="62">
        <f>IF($V28&lt;&gt;"Macro","",IF(COUNTIFS($S$5:$S$1000,$S28,$V$5:$V$1000,"Macro",$H$5:$H$1000,"&gt;0")=0,1/COUNTIFS($S$5:$S$1000,$S28,$V$5:$V$1000,"Macro"),IF(AND(ISNUMBER($H28),N($H28)&gt;0),$H28,SUMIFS($H$5:$H$1000,$S$5:$S$1000,$S28,$V$5:$V$1000,"Macro")/COUNTIFS($S$5:$S$1000,$S28,$V$5:$V$1000,"Macro",$H$5:$H$1000,"&gt;0"))/(COUNTIFS($S$5:$S$1000,$S28,$V$5:$V$1000,"Macro")*SUMIFS($H$5:$H$1000,$S$5:$S$1000,$S28,$V$5:$V$1000,"Macro")/COUNTIFS($S$5:$S$1000,$S28,$V$5:$V$1000,"Macro",$H$5:$H$1000,"&gt;0"))))</f>
        <v/>
      </c>
      <c r="AH28" s="62" t="n"/>
      <c r="AI28" s="62" t="n"/>
      <c r="AJ28" s="62" t="n"/>
      <c r="AK28" s="62" t="n"/>
      <c r="AL28" s="62">
        <f>IF(LEFT($C28,11)="[Jefatura] ",IFERROR(MATCH("Riesgo Financiero|"&amp;MID($C28,12,500),rDname_ADM,0),0),"")</f>
        <v/>
      </c>
      <c r="AM28" s="62">
        <f>IF(N($AL28)&gt;0,INDEX(rIni_ADM,$AL28),IF(ISNUMBER($E28),$E28,""))</f>
        <v/>
      </c>
      <c r="AN28" s="62">
        <f>IF(N($AL28)&gt;0,INDEX(rLim_ADM,$AL28),IF(ISNUMBER($F28),$F28,""))</f>
        <v/>
      </c>
    </row>
    <row r="29">
      <c r="A29" s="56">
        <f>IF(NOT((COUNTA($B29:$D29)+COUNTA($G29:$L29)+COUNTA($Q29))&gt;0),"",IF($V29="Macro",COUNTIFS($V$5:$V29,"Macro",$S$5:$S29,$S29),IF(N($U29)=0,"?",COUNTIFS(INDEX($V$5:$V$1000,1):INDEX($V$5:$V$1000,$U29-4),"Macro",INDEX($S$5:$S$1000,1):INDEX($S$5:$S$1000,$U29-4),INDEX($S$5:$S$1000,$U29-4))&amp;"."&amp;COUNTIFS($U$5:$U29,$U29,$V$5:$V29,"Sub"))))</f>
        <v/>
      </c>
      <c r="B29" s="57" t="n"/>
      <c r="C29" s="58" t="n"/>
      <c r="D29" s="58" t="n"/>
      <c r="E29" s="59">
        <f>IF(N($AL29)&gt;0,INDEX(rIni_ADM,$AL29),"")</f>
        <v/>
      </c>
      <c r="F29" s="59">
        <f>IF(N($AL29)&gt;0,INDEX(rLim_ADM,$AL29),"")</f>
        <v/>
      </c>
      <c r="G29" s="59" t="n"/>
      <c r="H29" s="60" t="n"/>
      <c r="I29" s="60" t="n"/>
      <c r="J29" s="60" t="n"/>
      <c r="K29" s="60" t="n"/>
      <c r="L29" s="60" t="n"/>
      <c r="M29" s="61">
        <f>IF(NOT((COUNTA($B29:$D29)+COUNTA($G29:$L29)+COUNTA($Q29))&gt;0),"",IF($V29="Sub",IFERROR($X29/INDEX($W$5:$W$1000,$U29-4),""),IF(ISNUMBER($G29),1,IF(N($W29)&gt;0,AVERAGEIFS($X$5:$X$1000,$U$5:$U$1000,ROW(),$V$5:$V$1000,"Sub"),$X29))))</f>
        <v/>
      </c>
      <c r="N29" s="56">
        <f>IF(OR($M29="",$V29="Sub"),"",IF($M29&gt;=1,"Completado",IF($M29&gt;0,"En curso","Pendiente")))</f>
        <v/>
      </c>
      <c r="O29" s="56">
        <f>IF(OR(NOT((COUNTA($B29:$D29)+COUNTA($G29:$L29)+COUNTA($Q29))&gt;0),$V29="Sub"),"",IF(ISNUMBER($G29),IF(AND(ISNUMBER($AN29),$G29&gt;$AN29),"Cumplida con "&amp;($G29-$AN29)&amp;IF($G29-$AN29=1," día"," días")&amp;" de retraso","Cumplida"),IF(N($M29)&gt;=1,"Cumplida",IF(NOT(ISNUMBER($AN29)),"Sin fecha límite",IF($AN29&lt;FechaRef,"Vencida hace "&amp;(FechaRef-$AN29)&amp;IF(FechaRef-$AN29=1," día"," días"),IF($AN29=FechaRef,"Vence hoy",IF($AN29-FechaRef&lt;=DiasAlerta,"Vence en "&amp;($AN29-FechaRef)&amp;IF($AN29-FechaRef=1," día"," días"),"En plazo")))))))</f>
        <v/>
      </c>
      <c r="P29" s="62" t="n"/>
      <c r="Q29" s="58" t="n"/>
      <c r="R29" s="63">
        <f>IF(NOT((COUNTA($B29:$D29)+COUNTA($G29:$L29)+COUNTA($Q29))&gt;0),"",IF((IF($C29="","Falta el nombre de la actividad"&amp;" · ","")&amp;IF(AND($V29="Sub",N($U29)=0),"Subactividad sin macroactividad arriba"&amp;" · ","")&amp;IF($AM29="","Sin fecha de inicio"&amp;" · ","")&amp;IF($AN29="","Sin fecha límite"&amp;" · ","")&amp;IF(AND(LEFT($C29,11)="[Jefatura] ",N($AL29)=0),"No se encuentra en la hoja de la jefatura (elíjala de nuevo en la lista)"&amp;" · ","")&amp;IF(OR(AND($E29&lt;&gt;"",NOT(ISNUMBER($E29))),AND($F29&lt;&gt;"",NOT(ISNUMBER($F29))),AND($G29&lt;&gt;"",NOT(ISNUMBER($G29)))),"Fecha no válida"&amp;" · ","")&amp;IF(AND(ISNUMBER($AM29),ISNUMBER($AN29),$AM29&gt;$AN29),"Inicio posterior a fecha límite"&amp;" · ","")&amp;IF(AND($V29="Macro",$H29&lt;&gt;"",OR(NOT(ISNUMBER($H29)),$H29&lt;0,$H29&gt;1)),"Peso fuera de rango"&amp;" · ","")&amp;IF(AND($V29="Sub",$H29&lt;&gt;""),"Las subactividades no llevan peso (valen igual dentro de su macroactividad)"&amp;" · ","")&amp;IF(AND(N($W29)&gt;0,COUNT($I29:$L29)&gt;0),"Con subactividades: deje vacías las semanas (se calculan solas)"&amp;" · ","")&amp;IF((COUNTIF($I29:$L29,"&gt;1")+COUNTIF($I29:$L29,"&lt;0")+COUNTA($I29:$L29)-COUNT($I29:$L29))&gt;0,"Avance fuera de rango 0-100%"&amp;" · ","")&amp;IF(OR(AND($J29&lt;&gt;"",$J29&lt;$I29),AND($K29&lt;&gt;"",$K29&lt;MAX($I29:$J29)),AND($L29&lt;&gt;"",$L29&lt;MAX($I29:$K29))),"Avance semanal decreciente"&amp;" · ","")&amp;IF(AND(ISNUMBER($AN29),$AN29&lt;FechaRef,IF($V29="Sub",N($X29),N($M29))&lt;1),"Vencida"&amp;" · ","")&amp;IF(AND(ObsObligatoria="Sí",ISNUMBER($AN29),$AN29&lt;FechaRef,IF($V29="Sub",N($X29),N($M29))&lt;1,$Q29=""),"Vencida sin observación"&amp;" · ",""))="","✔ OK","⚠ "&amp;LEFT(IF($C29="","Falta el nombre de la actividad"&amp;" · ","")&amp;IF(AND($V29="Sub",N($U29)=0),"Subactividad sin macroactividad arriba"&amp;" · ","")&amp;IF($AM29="","Sin fecha de inicio"&amp;" · ","")&amp;IF($AN29="","Sin fecha límite"&amp;" · ","")&amp;IF(AND(LEFT($C29,11)="[Jefatura] ",N($AL29)=0),"No se encuentra en la hoja de la jefatura (elíjala de nuevo en la lista)"&amp;" · ","")&amp;IF(OR(AND($E29&lt;&gt;"",NOT(ISNUMBER($E29))),AND($F29&lt;&gt;"",NOT(ISNUMBER($F29))),AND($G29&lt;&gt;"",NOT(ISNUMBER($G29)))),"Fecha no válida"&amp;" · ","")&amp;IF(AND(ISNUMBER($AM29),ISNUMBER($AN29),$AM29&gt;$AN29),"Inicio posterior a fecha límite"&amp;" · ","")&amp;IF(AND($V29="Macro",$H29&lt;&gt;"",OR(NOT(ISNUMBER($H29)),$H29&lt;0,$H29&gt;1)),"Peso fuera de rango"&amp;" · ","")&amp;IF(AND($V29="Sub",$H29&lt;&gt;""),"Las subactividades no llevan peso (valen igual dentro de su macroactividad)"&amp;" · ","")&amp;IF(AND(N($W29)&gt;0,COUNT($I29:$L29)&gt;0),"Con subactividades: deje vacías las semanas (se calculan solas)"&amp;" · ","")&amp;IF((COUNTIF($I29:$L29,"&gt;1")+COUNTIF($I29:$L29,"&lt;0")+COUNTA($I29:$L29)-COUNT($I29:$L29))&gt;0,"Avance fuera de rango 0-100%"&amp;" · ","")&amp;IF(OR(AND($J29&lt;&gt;"",$J29&lt;$I29),AND($K29&lt;&gt;"",$K29&lt;MAX($I29:$J29)),AND($L29&lt;&gt;"",$L29&lt;MAX($I29:$K29))),"Avance semanal decreciente"&amp;" · ","")&amp;IF(AND(ISNUMBER($AN29),$AN29&lt;FechaRef,IF($V29="Sub",N($X29),N($M29))&lt;1),"Vencida"&amp;" · ","")&amp;IF(AND(ObsObligatoria="Sí",ISNUMBER($AN29),$AN29&lt;FechaRef,IF($V29="Sub",N($X29),N($M29))&lt;1,$Q29=""),"Vencida sin observación"&amp;" · ",""),LEN(IF($C29="","Falta el nombre de la actividad"&amp;" · ","")&amp;IF(AND($V29="Sub",N($U29)=0),"Subactividad sin macroactividad arriba"&amp;" · ","")&amp;IF($AM29="","Sin fecha de inicio"&amp;" · ","")&amp;IF($AN29="","Sin fecha límite"&amp;" · ","")&amp;IF(AND(LEFT($C29,11)="[Jefatura] ",N($AL29)=0),"No se encuentra en la hoja de la jefatura (elíjala de nuevo en la lista)"&amp;" · ","")&amp;IF(OR(AND($E29&lt;&gt;"",NOT(ISNUMBER($E29))),AND($F29&lt;&gt;"",NOT(ISNUMBER($F29))),AND($G29&lt;&gt;"",NOT(ISNUMBER($G29)))),"Fecha no válida"&amp;" · ","")&amp;IF(AND(ISNUMBER($AM29),ISNUMBER($AN29),$AM29&gt;$AN29),"Inicio posterior a fecha límite"&amp;" · ","")&amp;IF(AND($V29="Macro",$H29&lt;&gt;"",OR(NOT(ISNUMBER($H29)),$H29&lt;0,$H29&gt;1)),"Peso fuera de rango"&amp;" · ","")&amp;IF(AND($V29="Sub",$H29&lt;&gt;""),"Las subactividades no llevan peso (valen igual dentro de su macroactividad)"&amp;" · ","")&amp;IF(AND(N($W29)&gt;0,COUNT($I29:$L29)&gt;0),"Con subactividades: deje vacías las semanas (se calculan solas)"&amp;" · ","")&amp;IF((COUNTIF($I29:$L29,"&gt;1")+COUNTIF($I29:$L29,"&lt;0")+COUNTA($I29:$L29)-COUNT($I29:$L29))&gt;0,"Avance fuera de rango 0-100%"&amp;" · ","")&amp;IF(OR(AND($J29&lt;&gt;"",$J29&lt;$I29),AND($K29&lt;&gt;"",$K29&lt;MAX($I29:$J29)),AND($L29&lt;&gt;"",$L29&lt;MAX($I29:$K29))),"Avance semanal decreciente"&amp;" · ","")&amp;IF(AND(ISNUMBER($AN29),$AN29&lt;FechaRef,IF($V29="Sub",N($X29),N($M29))&lt;1),"Vencida"&amp;" · ","")&amp;IF(AND(ObsObligatoria="Sí",ISNUMBER($AN29),$AN29&lt;FechaRef,IF($V29="Sub",N($X29),N($M29))&lt;1,$Q29=""),"Vencida sin observación"&amp;" · ",""))-3)))</f>
        <v/>
      </c>
      <c r="S29" s="64">
        <f>IF(NOT((COUNTA($B29:$D29)+COUNTA($G29:$L29)+COUNTA($Q29))&gt;0),"",IF(AND($V29="Sub",N($U29)&gt;0),IF(ISNUMBER(INDEX($AM$5:$AM$1000,$U29-4)),DATE(YEAR(INDEX($AM$5:$AM$1000,$U29-4)),MONTH(INDEX($AM$5:$AM$1000,$U29-4)),1),IF(ISNUMBER(INDEX($AN$5:$AN$1000,$U29-4)),DATE(YEAR(INDEX($AN$5:$AN$1000,$U29-4)),MONTH(INDEX($AN$5:$AN$1000,$U29-4)),1),MesCiclo)),IF(ISNUMBER($AM29),DATE(YEAR($AM29),MONTH($AM29),1),IF(ISNUMBER($AN29),DATE(YEAR($AN29),MONTH($AN29),1),MesCiclo))))</f>
        <v/>
      </c>
      <c r="T29" s="62">
        <f>IF(OR($S29="",$S29&lt;&gt;MesCiclo,$V29&lt;&gt;"Macro"),"",COUNTIFS($S$5:$S29,MesCiclo,$V$5:$V29,"Macro"))</f>
        <v/>
      </c>
      <c r="U29" s="62">
        <f>IF($V29="","",IF($V29="Macro",ROW(),IFERROR(LOOKUP(2,1/($V$5:$V29="Macro"),ROW($V$5:$V29)),0)))</f>
        <v/>
      </c>
      <c r="V29" s="62">
        <f>IF(NOT((COUNTA($B29:$D29)+COUNTA($G29:$L29)+COUNTA($Q29))&gt;0),"",IF($B29="Subactividad","Sub","Macro"))</f>
        <v/>
      </c>
      <c r="W29" s="62">
        <f>IF($V29="Macro",COUNTIFS($U$5:$U$1000,ROW(),$V$5:$V$1000,"Sub"),"")</f>
        <v/>
      </c>
      <c r="X29" s="62">
        <f>IF($V29="","",IF(ISNUMBER($G29),1,IFERROR(LOOKUP(2,1/($I29:$L29&lt;&gt;""),$I29:$L29),0)))</f>
        <v/>
      </c>
      <c r="Y29" s="62">
        <f>IF($V29="","",IF(AND(ISNUMBER($G29),$G29&lt;=IF($S29=MesCiclo,InicioCiclo,$S29+MOD(2-WEEKDAY($S29),7))+6),1,IF(ISNUMBER($I29),$I29,0)))</f>
        <v/>
      </c>
      <c r="Z29" s="62">
        <f>IF($V29="","",IF(AND(ISNUMBER($G29),$G29&lt;=IF($S29=MesCiclo,InicioCiclo,$S29+MOD(2-WEEKDAY($S29),7))+13),1,IF(ISNUMBER($J29),$J29,$Y29)))</f>
        <v/>
      </c>
      <c r="AA29" s="62">
        <f>IF($V29="","",IF(AND(ISNUMBER($G29),$G29&lt;=IF($S29=MesCiclo,InicioCiclo,$S29+MOD(2-WEEKDAY($S29),7))+20),1,IF(ISNUMBER($K29),$K29,$Z29)))</f>
        <v/>
      </c>
      <c r="AB29" s="62">
        <f>IF($V29="","",IF(AND(ISNUMBER($G29),$G29&lt;=IF($S29=MesCiclo,InicioCiclo,$S29+MOD(2-WEEKDAY($S29),7))+27),1,IF(ISNUMBER($L29),$L29,$AA29)))</f>
        <v/>
      </c>
      <c r="AC29" s="62">
        <f>IF($V29="","",IF(AND(ISNUMBER($G29),$G29&lt;=IF($S29=MesCiclo,InicioCiclo,$S29+MOD(2-WEEKDAY($S29),7))+6),1,IF(N($W29)&gt;0,AVERAGEIFS($Y$5:$Y$1000,$U$5:$U$1000,ROW(),$V$5:$V$1000,"Sub"),$Y29)))</f>
        <v/>
      </c>
      <c r="AD29" s="62">
        <f>IF($V29="","",IF(AND(ISNUMBER($G29),$G29&lt;=IF($S29=MesCiclo,InicioCiclo,$S29+MOD(2-WEEKDAY($S29),7))+13),1,IF(N($W29)&gt;0,AVERAGEIFS($Z$5:$Z$1000,$U$5:$U$1000,ROW(),$V$5:$V$1000,"Sub"),$Z29)))</f>
        <v/>
      </c>
      <c r="AE29" s="62">
        <f>IF($V29="","",IF(AND(ISNUMBER($G29),$G29&lt;=IF($S29=MesCiclo,InicioCiclo,$S29+MOD(2-WEEKDAY($S29),7))+20),1,IF(N($W29)&gt;0,AVERAGEIFS($AA$5:$AA$1000,$U$5:$U$1000,ROW(),$V$5:$V$1000,"Sub"),$AA29)))</f>
        <v/>
      </c>
      <c r="AF29" s="62">
        <f>IF($V29="","",IF(AND(ISNUMBER($G29),$G29&lt;=IF($S29=MesCiclo,InicioCiclo,$S29+MOD(2-WEEKDAY($S29),7))+27),1,IF(N($W29)&gt;0,AVERAGEIFS($AB$5:$AB$1000,$U$5:$U$1000,ROW(),$V$5:$V$1000,"Sub"),$AB29)))</f>
        <v/>
      </c>
      <c r="AG29" s="62">
        <f>IF($V29&lt;&gt;"Macro","",IF(COUNTIFS($S$5:$S$1000,$S29,$V$5:$V$1000,"Macro",$H$5:$H$1000,"&gt;0")=0,1/COUNTIFS($S$5:$S$1000,$S29,$V$5:$V$1000,"Macro"),IF(AND(ISNUMBER($H29),N($H29)&gt;0),$H29,SUMIFS($H$5:$H$1000,$S$5:$S$1000,$S29,$V$5:$V$1000,"Macro")/COUNTIFS($S$5:$S$1000,$S29,$V$5:$V$1000,"Macro",$H$5:$H$1000,"&gt;0"))/(COUNTIFS($S$5:$S$1000,$S29,$V$5:$V$1000,"Macro")*SUMIFS($H$5:$H$1000,$S$5:$S$1000,$S29,$V$5:$V$1000,"Macro")/COUNTIFS($S$5:$S$1000,$S29,$V$5:$V$1000,"Macro",$H$5:$H$1000,"&gt;0"))))</f>
        <v/>
      </c>
      <c r="AH29" s="62" t="n"/>
      <c r="AI29" s="62" t="n"/>
      <c r="AJ29" s="62" t="n"/>
      <c r="AK29" s="62" t="n"/>
      <c r="AL29" s="62">
        <f>IF(LEFT($C29,11)="[Jefatura] ",IFERROR(MATCH("Riesgo Financiero|"&amp;MID($C29,12,500),rDname_ADM,0),0),"")</f>
        <v/>
      </c>
      <c r="AM29" s="62">
        <f>IF(N($AL29)&gt;0,INDEX(rIni_ADM,$AL29),IF(ISNUMBER($E29),$E29,""))</f>
        <v/>
      </c>
      <c r="AN29" s="62">
        <f>IF(N($AL29)&gt;0,INDEX(rLim_ADM,$AL29),IF(ISNUMBER($F29),$F29,""))</f>
        <v/>
      </c>
    </row>
    <row r="30">
      <c r="A30" s="56">
        <f>IF(NOT((COUNTA($B30:$D30)+COUNTA($G30:$L30)+COUNTA($Q30))&gt;0),"",IF($V30="Macro",COUNTIFS($V$5:$V30,"Macro",$S$5:$S30,$S30),IF(N($U30)=0,"?",COUNTIFS(INDEX($V$5:$V$1000,1):INDEX($V$5:$V$1000,$U30-4),"Macro",INDEX($S$5:$S$1000,1):INDEX($S$5:$S$1000,$U30-4),INDEX($S$5:$S$1000,$U30-4))&amp;"."&amp;COUNTIFS($U$5:$U30,$U30,$V$5:$V30,"Sub"))))</f>
        <v/>
      </c>
      <c r="B30" s="57" t="n"/>
      <c r="C30" s="58" t="n"/>
      <c r="D30" s="58" t="n"/>
      <c r="E30" s="59">
        <f>IF(N($AL30)&gt;0,INDEX(rIni_ADM,$AL30),"")</f>
        <v/>
      </c>
      <c r="F30" s="59">
        <f>IF(N($AL30)&gt;0,INDEX(rLim_ADM,$AL30),"")</f>
        <v/>
      </c>
      <c r="G30" s="59" t="n"/>
      <c r="H30" s="60" t="n"/>
      <c r="I30" s="60" t="n"/>
      <c r="J30" s="60" t="n"/>
      <c r="K30" s="60" t="n"/>
      <c r="L30" s="60" t="n"/>
      <c r="M30" s="61">
        <f>IF(NOT((COUNTA($B30:$D30)+COUNTA($G30:$L30)+COUNTA($Q30))&gt;0),"",IF($V30="Sub",IFERROR($X30/INDEX($W$5:$W$1000,$U30-4),""),IF(ISNUMBER($G30),1,IF(N($W30)&gt;0,AVERAGEIFS($X$5:$X$1000,$U$5:$U$1000,ROW(),$V$5:$V$1000,"Sub"),$X30))))</f>
        <v/>
      </c>
      <c r="N30" s="56">
        <f>IF(OR($M30="",$V30="Sub"),"",IF($M30&gt;=1,"Completado",IF($M30&gt;0,"En curso","Pendiente")))</f>
        <v/>
      </c>
      <c r="O30" s="56">
        <f>IF(OR(NOT((COUNTA($B30:$D30)+COUNTA($G30:$L30)+COUNTA($Q30))&gt;0),$V30="Sub"),"",IF(ISNUMBER($G30),IF(AND(ISNUMBER($AN30),$G30&gt;$AN30),"Cumplida con "&amp;($G30-$AN30)&amp;IF($G30-$AN30=1," día"," días")&amp;" de retraso","Cumplida"),IF(N($M30)&gt;=1,"Cumplida",IF(NOT(ISNUMBER($AN30)),"Sin fecha límite",IF($AN30&lt;FechaRef,"Vencida hace "&amp;(FechaRef-$AN30)&amp;IF(FechaRef-$AN30=1," día"," días"),IF($AN30=FechaRef,"Vence hoy",IF($AN30-FechaRef&lt;=DiasAlerta,"Vence en "&amp;($AN30-FechaRef)&amp;IF($AN30-FechaRef=1," día"," días"),"En plazo")))))))</f>
        <v/>
      </c>
      <c r="P30" s="62" t="n"/>
      <c r="Q30" s="58" t="n"/>
      <c r="R30" s="63">
        <f>IF(NOT((COUNTA($B30:$D30)+COUNTA($G30:$L30)+COUNTA($Q30))&gt;0),"",IF((IF($C30="","Falta el nombre de la actividad"&amp;" · ","")&amp;IF(AND($V30="Sub",N($U30)=0),"Subactividad sin macroactividad arriba"&amp;" · ","")&amp;IF($AM30="","Sin fecha de inicio"&amp;" · ","")&amp;IF($AN30="","Sin fecha límite"&amp;" · ","")&amp;IF(AND(LEFT($C30,11)="[Jefatura] ",N($AL30)=0),"No se encuentra en la hoja de la jefatura (elíjala de nuevo en la lista)"&amp;" · ","")&amp;IF(OR(AND($E30&lt;&gt;"",NOT(ISNUMBER($E30))),AND($F30&lt;&gt;"",NOT(ISNUMBER($F30))),AND($G30&lt;&gt;"",NOT(ISNUMBER($G30)))),"Fecha no válida"&amp;" · ","")&amp;IF(AND(ISNUMBER($AM30),ISNUMBER($AN30),$AM30&gt;$AN30),"Inicio posterior a fecha límite"&amp;" · ","")&amp;IF(AND($V30="Macro",$H30&lt;&gt;"",OR(NOT(ISNUMBER($H30)),$H30&lt;0,$H30&gt;1)),"Peso fuera de rango"&amp;" · ","")&amp;IF(AND($V30="Sub",$H30&lt;&gt;""),"Las subactividades no llevan peso (valen igual dentro de su macroactividad)"&amp;" · ","")&amp;IF(AND(N($W30)&gt;0,COUNT($I30:$L30)&gt;0),"Con subactividades: deje vacías las semanas (se calculan solas)"&amp;" · ","")&amp;IF((COUNTIF($I30:$L30,"&gt;1")+COUNTIF($I30:$L30,"&lt;0")+COUNTA($I30:$L30)-COUNT($I30:$L30))&gt;0,"Avance fuera de rango 0-100%"&amp;" · ","")&amp;IF(OR(AND($J30&lt;&gt;"",$J30&lt;$I30),AND($K30&lt;&gt;"",$K30&lt;MAX($I30:$J30)),AND($L30&lt;&gt;"",$L30&lt;MAX($I30:$K30))),"Avance semanal decreciente"&amp;" · ","")&amp;IF(AND(ISNUMBER($AN30),$AN30&lt;FechaRef,IF($V30="Sub",N($X30),N($M30))&lt;1),"Vencida"&amp;" · ","")&amp;IF(AND(ObsObligatoria="Sí",ISNUMBER($AN30),$AN30&lt;FechaRef,IF($V30="Sub",N($X30),N($M30))&lt;1,$Q30=""),"Vencida sin observación"&amp;" · ",""))="","✔ OK","⚠ "&amp;LEFT(IF($C30="","Falta el nombre de la actividad"&amp;" · ","")&amp;IF(AND($V30="Sub",N($U30)=0),"Subactividad sin macroactividad arriba"&amp;" · ","")&amp;IF($AM30="","Sin fecha de inicio"&amp;" · ","")&amp;IF($AN30="","Sin fecha límite"&amp;" · ","")&amp;IF(AND(LEFT($C30,11)="[Jefatura] ",N($AL30)=0),"No se encuentra en la hoja de la jefatura (elíjala de nuevo en la lista)"&amp;" · ","")&amp;IF(OR(AND($E30&lt;&gt;"",NOT(ISNUMBER($E30))),AND($F30&lt;&gt;"",NOT(ISNUMBER($F30))),AND($G30&lt;&gt;"",NOT(ISNUMBER($G30)))),"Fecha no válida"&amp;" · ","")&amp;IF(AND(ISNUMBER($AM30),ISNUMBER($AN30),$AM30&gt;$AN30),"Inicio posterior a fecha límite"&amp;" · ","")&amp;IF(AND($V30="Macro",$H30&lt;&gt;"",OR(NOT(ISNUMBER($H30)),$H30&lt;0,$H30&gt;1)),"Peso fuera de rango"&amp;" · ","")&amp;IF(AND($V30="Sub",$H30&lt;&gt;""),"Las subactividades no llevan peso (valen igual dentro de su macroactividad)"&amp;" · ","")&amp;IF(AND(N($W30)&gt;0,COUNT($I30:$L30)&gt;0),"Con subactividades: deje vacías las semanas (se calculan solas)"&amp;" · ","")&amp;IF((COUNTIF($I30:$L30,"&gt;1")+COUNTIF($I30:$L30,"&lt;0")+COUNTA($I30:$L30)-COUNT($I30:$L30))&gt;0,"Avance fuera de rango 0-100%"&amp;" · ","")&amp;IF(OR(AND($J30&lt;&gt;"",$J30&lt;$I30),AND($K30&lt;&gt;"",$K30&lt;MAX($I30:$J30)),AND($L30&lt;&gt;"",$L30&lt;MAX($I30:$K30))),"Avance semanal decreciente"&amp;" · ","")&amp;IF(AND(ISNUMBER($AN30),$AN30&lt;FechaRef,IF($V30="Sub",N($X30),N($M30))&lt;1),"Vencida"&amp;" · ","")&amp;IF(AND(ObsObligatoria="Sí",ISNUMBER($AN30),$AN30&lt;FechaRef,IF($V30="Sub",N($X30),N($M30))&lt;1,$Q30=""),"Vencida sin observación"&amp;" · ",""),LEN(IF($C30="","Falta el nombre de la actividad"&amp;" · ","")&amp;IF(AND($V30="Sub",N($U30)=0),"Subactividad sin macroactividad arriba"&amp;" · ","")&amp;IF($AM30="","Sin fecha de inicio"&amp;" · ","")&amp;IF($AN30="","Sin fecha límite"&amp;" · ","")&amp;IF(AND(LEFT($C30,11)="[Jefatura] ",N($AL30)=0),"No se encuentra en la hoja de la jefatura (elíjala de nuevo en la lista)"&amp;" · ","")&amp;IF(OR(AND($E30&lt;&gt;"",NOT(ISNUMBER($E30))),AND($F30&lt;&gt;"",NOT(ISNUMBER($F30))),AND($G30&lt;&gt;"",NOT(ISNUMBER($G30)))),"Fecha no válida"&amp;" · ","")&amp;IF(AND(ISNUMBER($AM30),ISNUMBER($AN30),$AM30&gt;$AN30),"Inicio posterior a fecha límite"&amp;" · ","")&amp;IF(AND($V30="Macro",$H30&lt;&gt;"",OR(NOT(ISNUMBER($H30)),$H30&lt;0,$H30&gt;1)),"Peso fuera de rango"&amp;" · ","")&amp;IF(AND($V30="Sub",$H30&lt;&gt;""),"Las subactividades no llevan peso (valen igual dentro de su macroactividad)"&amp;" · ","")&amp;IF(AND(N($W30)&gt;0,COUNT($I30:$L30)&gt;0),"Con subactividades: deje vacías las semanas (se calculan solas)"&amp;" · ","")&amp;IF((COUNTIF($I30:$L30,"&gt;1")+COUNTIF($I30:$L30,"&lt;0")+COUNTA($I30:$L30)-COUNT($I30:$L30))&gt;0,"Avance fuera de rango 0-100%"&amp;" · ","")&amp;IF(OR(AND($J30&lt;&gt;"",$J30&lt;$I30),AND($K30&lt;&gt;"",$K30&lt;MAX($I30:$J30)),AND($L30&lt;&gt;"",$L30&lt;MAX($I30:$K30))),"Avance semanal decreciente"&amp;" · ","")&amp;IF(AND(ISNUMBER($AN30),$AN30&lt;FechaRef,IF($V30="Sub",N($X30),N($M30))&lt;1),"Vencida"&amp;" · ","")&amp;IF(AND(ObsObligatoria="Sí",ISNUMBER($AN30),$AN30&lt;FechaRef,IF($V30="Sub",N($X30),N($M30))&lt;1,$Q30=""),"Vencida sin observación"&amp;" · ",""))-3)))</f>
        <v/>
      </c>
      <c r="S30" s="64">
        <f>IF(NOT((COUNTA($B30:$D30)+COUNTA($G30:$L30)+COUNTA($Q30))&gt;0),"",IF(AND($V30="Sub",N($U30)&gt;0),IF(ISNUMBER(INDEX($AM$5:$AM$1000,$U30-4)),DATE(YEAR(INDEX($AM$5:$AM$1000,$U30-4)),MONTH(INDEX($AM$5:$AM$1000,$U30-4)),1),IF(ISNUMBER(INDEX($AN$5:$AN$1000,$U30-4)),DATE(YEAR(INDEX($AN$5:$AN$1000,$U30-4)),MONTH(INDEX($AN$5:$AN$1000,$U30-4)),1),MesCiclo)),IF(ISNUMBER($AM30),DATE(YEAR($AM30),MONTH($AM30),1),IF(ISNUMBER($AN30),DATE(YEAR($AN30),MONTH($AN30),1),MesCiclo))))</f>
        <v/>
      </c>
      <c r="T30" s="62">
        <f>IF(OR($S30="",$S30&lt;&gt;MesCiclo,$V30&lt;&gt;"Macro"),"",COUNTIFS($S$5:$S30,MesCiclo,$V$5:$V30,"Macro"))</f>
        <v/>
      </c>
      <c r="U30" s="62">
        <f>IF($V30="","",IF($V30="Macro",ROW(),IFERROR(LOOKUP(2,1/($V$5:$V30="Macro"),ROW($V$5:$V30)),0)))</f>
        <v/>
      </c>
      <c r="V30" s="62">
        <f>IF(NOT((COUNTA($B30:$D30)+COUNTA($G30:$L30)+COUNTA($Q30))&gt;0),"",IF($B30="Subactividad","Sub","Macro"))</f>
        <v/>
      </c>
      <c r="W30" s="62">
        <f>IF($V30="Macro",COUNTIFS($U$5:$U$1000,ROW(),$V$5:$V$1000,"Sub"),"")</f>
        <v/>
      </c>
      <c r="X30" s="62">
        <f>IF($V30="","",IF(ISNUMBER($G30),1,IFERROR(LOOKUP(2,1/($I30:$L30&lt;&gt;""),$I30:$L30),0)))</f>
        <v/>
      </c>
      <c r="Y30" s="62">
        <f>IF($V30="","",IF(AND(ISNUMBER($G30),$G30&lt;=IF($S30=MesCiclo,InicioCiclo,$S30+MOD(2-WEEKDAY($S30),7))+6),1,IF(ISNUMBER($I30),$I30,0)))</f>
        <v/>
      </c>
      <c r="Z30" s="62">
        <f>IF($V30="","",IF(AND(ISNUMBER($G30),$G30&lt;=IF($S30=MesCiclo,InicioCiclo,$S30+MOD(2-WEEKDAY($S30),7))+13),1,IF(ISNUMBER($J30),$J30,$Y30)))</f>
        <v/>
      </c>
      <c r="AA30" s="62">
        <f>IF($V30="","",IF(AND(ISNUMBER($G30),$G30&lt;=IF($S30=MesCiclo,InicioCiclo,$S30+MOD(2-WEEKDAY($S30),7))+20),1,IF(ISNUMBER($K30),$K30,$Z30)))</f>
        <v/>
      </c>
      <c r="AB30" s="62">
        <f>IF($V30="","",IF(AND(ISNUMBER($G30),$G30&lt;=IF($S30=MesCiclo,InicioCiclo,$S30+MOD(2-WEEKDAY($S30),7))+27),1,IF(ISNUMBER($L30),$L30,$AA30)))</f>
        <v/>
      </c>
      <c r="AC30" s="62">
        <f>IF($V30="","",IF(AND(ISNUMBER($G30),$G30&lt;=IF($S30=MesCiclo,InicioCiclo,$S30+MOD(2-WEEKDAY($S30),7))+6),1,IF(N($W30)&gt;0,AVERAGEIFS($Y$5:$Y$1000,$U$5:$U$1000,ROW(),$V$5:$V$1000,"Sub"),$Y30)))</f>
        <v/>
      </c>
      <c r="AD30" s="62">
        <f>IF($V30="","",IF(AND(ISNUMBER($G30),$G30&lt;=IF($S30=MesCiclo,InicioCiclo,$S30+MOD(2-WEEKDAY($S30),7))+13),1,IF(N($W30)&gt;0,AVERAGEIFS($Z$5:$Z$1000,$U$5:$U$1000,ROW(),$V$5:$V$1000,"Sub"),$Z30)))</f>
        <v/>
      </c>
      <c r="AE30" s="62">
        <f>IF($V30="","",IF(AND(ISNUMBER($G30),$G30&lt;=IF($S30=MesCiclo,InicioCiclo,$S30+MOD(2-WEEKDAY($S30),7))+20),1,IF(N($W30)&gt;0,AVERAGEIFS($AA$5:$AA$1000,$U$5:$U$1000,ROW(),$V$5:$V$1000,"Sub"),$AA30)))</f>
        <v/>
      </c>
      <c r="AF30" s="62">
        <f>IF($V30="","",IF(AND(ISNUMBER($G30),$G30&lt;=IF($S30=MesCiclo,InicioCiclo,$S30+MOD(2-WEEKDAY($S30),7))+27),1,IF(N($W30)&gt;0,AVERAGEIFS($AB$5:$AB$1000,$U$5:$U$1000,ROW(),$V$5:$V$1000,"Sub"),$AB30)))</f>
        <v/>
      </c>
      <c r="AG30" s="62">
        <f>IF($V30&lt;&gt;"Macro","",IF(COUNTIFS($S$5:$S$1000,$S30,$V$5:$V$1000,"Macro",$H$5:$H$1000,"&gt;0")=0,1/COUNTIFS($S$5:$S$1000,$S30,$V$5:$V$1000,"Macro"),IF(AND(ISNUMBER($H30),N($H30)&gt;0),$H30,SUMIFS($H$5:$H$1000,$S$5:$S$1000,$S30,$V$5:$V$1000,"Macro")/COUNTIFS($S$5:$S$1000,$S30,$V$5:$V$1000,"Macro",$H$5:$H$1000,"&gt;0"))/(COUNTIFS($S$5:$S$1000,$S30,$V$5:$V$1000,"Macro")*SUMIFS($H$5:$H$1000,$S$5:$S$1000,$S30,$V$5:$V$1000,"Macro")/COUNTIFS($S$5:$S$1000,$S30,$V$5:$V$1000,"Macro",$H$5:$H$1000,"&gt;0"))))</f>
        <v/>
      </c>
      <c r="AH30" s="62" t="n"/>
      <c r="AI30" s="62" t="n"/>
      <c r="AJ30" s="62" t="n"/>
      <c r="AK30" s="62" t="n"/>
      <c r="AL30" s="62">
        <f>IF(LEFT($C30,11)="[Jefatura] ",IFERROR(MATCH("Riesgo Financiero|"&amp;MID($C30,12,500),rDname_ADM,0),0),"")</f>
        <v/>
      </c>
      <c r="AM30" s="62">
        <f>IF(N($AL30)&gt;0,INDEX(rIni_ADM,$AL30),IF(ISNUMBER($E30),$E30,""))</f>
        <v/>
      </c>
      <c r="AN30" s="62">
        <f>IF(N($AL30)&gt;0,INDEX(rLim_ADM,$AL30),IF(ISNUMBER($F30),$F30,""))</f>
        <v/>
      </c>
    </row>
    <row r="31">
      <c r="A31" s="56">
        <f>IF(NOT((COUNTA($B31:$D31)+COUNTA($G31:$L31)+COUNTA($Q31))&gt;0),"",IF($V31="Macro",COUNTIFS($V$5:$V31,"Macro",$S$5:$S31,$S31),IF(N($U31)=0,"?",COUNTIFS(INDEX($V$5:$V$1000,1):INDEX($V$5:$V$1000,$U31-4),"Macro",INDEX($S$5:$S$1000,1):INDEX($S$5:$S$1000,$U31-4),INDEX($S$5:$S$1000,$U31-4))&amp;"."&amp;COUNTIFS($U$5:$U31,$U31,$V$5:$V31,"Sub"))))</f>
        <v/>
      </c>
      <c r="B31" s="57" t="n"/>
      <c r="C31" s="58" t="n"/>
      <c r="D31" s="58" t="n"/>
      <c r="E31" s="59">
        <f>IF(N($AL31)&gt;0,INDEX(rIni_ADM,$AL31),"")</f>
        <v/>
      </c>
      <c r="F31" s="59">
        <f>IF(N($AL31)&gt;0,INDEX(rLim_ADM,$AL31),"")</f>
        <v/>
      </c>
      <c r="G31" s="59" t="n"/>
      <c r="H31" s="60" t="n"/>
      <c r="I31" s="60" t="n"/>
      <c r="J31" s="60" t="n"/>
      <c r="K31" s="60" t="n"/>
      <c r="L31" s="60" t="n"/>
      <c r="M31" s="61">
        <f>IF(NOT((COUNTA($B31:$D31)+COUNTA($G31:$L31)+COUNTA($Q31))&gt;0),"",IF($V31="Sub",IFERROR($X31/INDEX($W$5:$W$1000,$U31-4),""),IF(ISNUMBER($G31),1,IF(N($W31)&gt;0,AVERAGEIFS($X$5:$X$1000,$U$5:$U$1000,ROW(),$V$5:$V$1000,"Sub"),$X31))))</f>
        <v/>
      </c>
      <c r="N31" s="56">
        <f>IF(OR($M31="",$V31="Sub"),"",IF($M31&gt;=1,"Completado",IF($M31&gt;0,"En curso","Pendiente")))</f>
        <v/>
      </c>
      <c r="O31" s="56">
        <f>IF(OR(NOT((COUNTA($B31:$D31)+COUNTA($G31:$L31)+COUNTA($Q31))&gt;0),$V31="Sub"),"",IF(ISNUMBER($G31),IF(AND(ISNUMBER($AN31),$G31&gt;$AN31),"Cumplida con "&amp;($G31-$AN31)&amp;IF($G31-$AN31=1," día"," días")&amp;" de retraso","Cumplida"),IF(N($M31)&gt;=1,"Cumplida",IF(NOT(ISNUMBER($AN31)),"Sin fecha límite",IF($AN31&lt;FechaRef,"Vencida hace "&amp;(FechaRef-$AN31)&amp;IF(FechaRef-$AN31=1," día"," días"),IF($AN31=FechaRef,"Vence hoy",IF($AN31-FechaRef&lt;=DiasAlerta,"Vence en "&amp;($AN31-FechaRef)&amp;IF($AN31-FechaRef=1," día"," días"),"En plazo")))))))</f>
        <v/>
      </c>
      <c r="P31" s="62" t="n"/>
      <c r="Q31" s="58" t="n"/>
      <c r="R31" s="63">
        <f>IF(NOT((COUNTA($B31:$D31)+COUNTA($G31:$L31)+COUNTA($Q31))&gt;0),"",IF((IF($C31="","Falta el nombre de la actividad"&amp;" · ","")&amp;IF(AND($V31="Sub",N($U31)=0),"Subactividad sin macroactividad arriba"&amp;" · ","")&amp;IF($AM31="","Sin fecha de inicio"&amp;" · ","")&amp;IF($AN31="","Sin fecha límite"&amp;" · ","")&amp;IF(AND(LEFT($C31,11)="[Jefatura] ",N($AL31)=0),"No se encuentra en la hoja de la jefatura (elíjala de nuevo en la lista)"&amp;" · ","")&amp;IF(OR(AND($E31&lt;&gt;"",NOT(ISNUMBER($E31))),AND($F31&lt;&gt;"",NOT(ISNUMBER($F31))),AND($G31&lt;&gt;"",NOT(ISNUMBER($G31)))),"Fecha no válida"&amp;" · ","")&amp;IF(AND(ISNUMBER($AM31),ISNUMBER($AN31),$AM31&gt;$AN31),"Inicio posterior a fecha límite"&amp;" · ","")&amp;IF(AND($V31="Macro",$H31&lt;&gt;"",OR(NOT(ISNUMBER($H31)),$H31&lt;0,$H31&gt;1)),"Peso fuera de rango"&amp;" · ","")&amp;IF(AND($V31="Sub",$H31&lt;&gt;""),"Las subactividades no llevan peso (valen igual dentro de su macroactividad)"&amp;" · ","")&amp;IF(AND(N($W31)&gt;0,COUNT($I31:$L31)&gt;0),"Con subactividades: deje vacías las semanas (se calculan solas)"&amp;" · ","")&amp;IF((COUNTIF($I31:$L31,"&gt;1")+COUNTIF($I31:$L31,"&lt;0")+COUNTA($I31:$L31)-COUNT($I31:$L31))&gt;0,"Avance fuera de rango 0-100%"&amp;" · ","")&amp;IF(OR(AND($J31&lt;&gt;"",$J31&lt;$I31),AND($K31&lt;&gt;"",$K31&lt;MAX($I31:$J31)),AND($L31&lt;&gt;"",$L31&lt;MAX($I31:$K31))),"Avance semanal decreciente"&amp;" · ","")&amp;IF(AND(ISNUMBER($AN31),$AN31&lt;FechaRef,IF($V31="Sub",N($X31),N($M31))&lt;1),"Vencida"&amp;" · ","")&amp;IF(AND(ObsObligatoria="Sí",ISNUMBER($AN31),$AN31&lt;FechaRef,IF($V31="Sub",N($X31),N($M31))&lt;1,$Q31=""),"Vencida sin observación"&amp;" · ",""))="","✔ OK","⚠ "&amp;LEFT(IF($C31="","Falta el nombre de la actividad"&amp;" · ","")&amp;IF(AND($V31="Sub",N($U31)=0),"Subactividad sin macroactividad arriba"&amp;" · ","")&amp;IF($AM31="","Sin fecha de inicio"&amp;" · ","")&amp;IF($AN31="","Sin fecha límite"&amp;" · ","")&amp;IF(AND(LEFT($C31,11)="[Jefatura] ",N($AL31)=0),"No se encuentra en la hoja de la jefatura (elíjala de nuevo en la lista)"&amp;" · ","")&amp;IF(OR(AND($E31&lt;&gt;"",NOT(ISNUMBER($E31))),AND($F31&lt;&gt;"",NOT(ISNUMBER($F31))),AND($G31&lt;&gt;"",NOT(ISNUMBER($G31)))),"Fecha no válida"&amp;" · ","")&amp;IF(AND(ISNUMBER($AM31),ISNUMBER($AN31),$AM31&gt;$AN31),"Inicio posterior a fecha límite"&amp;" · ","")&amp;IF(AND($V31="Macro",$H31&lt;&gt;"",OR(NOT(ISNUMBER($H31)),$H31&lt;0,$H31&gt;1)),"Peso fuera de rango"&amp;" · ","")&amp;IF(AND($V31="Sub",$H31&lt;&gt;""),"Las subactividades no llevan peso (valen igual dentro de su macroactividad)"&amp;" · ","")&amp;IF(AND(N($W31)&gt;0,COUNT($I31:$L31)&gt;0),"Con subactividades: deje vacías las semanas (se calculan solas)"&amp;" · ","")&amp;IF((COUNTIF($I31:$L31,"&gt;1")+COUNTIF($I31:$L31,"&lt;0")+COUNTA($I31:$L31)-COUNT($I31:$L31))&gt;0,"Avance fuera de rango 0-100%"&amp;" · ","")&amp;IF(OR(AND($J31&lt;&gt;"",$J31&lt;$I31),AND($K31&lt;&gt;"",$K31&lt;MAX($I31:$J31)),AND($L31&lt;&gt;"",$L31&lt;MAX($I31:$K31))),"Avance semanal decreciente"&amp;" · ","")&amp;IF(AND(ISNUMBER($AN31),$AN31&lt;FechaRef,IF($V31="Sub",N($X31),N($M31))&lt;1),"Vencida"&amp;" · ","")&amp;IF(AND(ObsObligatoria="Sí",ISNUMBER($AN31),$AN31&lt;FechaRef,IF($V31="Sub",N($X31),N($M31))&lt;1,$Q31=""),"Vencida sin observación"&amp;" · ",""),LEN(IF($C31="","Falta el nombre de la actividad"&amp;" · ","")&amp;IF(AND($V31="Sub",N($U31)=0),"Subactividad sin macroactividad arriba"&amp;" · ","")&amp;IF($AM31="","Sin fecha de inicio"&amp;" · ","")&amp;IF($AN31="","Sin fecha límite"&amp;" · ","")&amp;IF(AND(LEFT($C31,11)="[Jefatura] ",N($AL31)=0),"No se encuentra en la hoja de la jefatura (elíjala de nuevo en la lista)"&amp;" · ","")&amp;IF(OR(AND($E31&lt;&gt;"",NOT(ISNUMBER($E31))),AND($F31&lt;&gt;"",NOT(ISNUMBER($F31))),AND($G31&lt;&gt;"",NOT(ISNUMBER($G31)))),"Fecha no válida"&amp;" · ","")&amp;IF(AND(ISNUMBER($AM31),ISNUMBER($AN31),$AM31&gt;$AN31),"Inicio posterior a fecha límite"&amp;" · ","")&amp;IF(AND($V31="Macro",$H31&lt;&gt;"",OR(NOT(ISNUMBER($H31)),$H31&lt;0,$H31&gt;1)),"Peso fuera de rango"&amp;" · ","")&amp;IF(AND($V31="Sub",$H31&lt;&gt;""),"Las subactividades no llevan peso (valen igual dentro de su macroactividad)"&amp;" · ","")&amp;IF(AND(N($W31)&gt;0,COUNT($I31:$L31)&gt;0),"Con subactividades: deje vacías las semanas (se calculan solas)"&amp;" · ","")&amp;IF((COUNTIF($I31:$L31,"&gt;1")+COUNTIF($I31:$L31,"&lt;0")+COUNTA($I31:$L31)-COUNT($I31:$L31))&gt;0,"Avance fuera de rango 0-100%"&amp;" · ","")&amp;IF(OR(AND($J31&lt;&gt;"",$J31&lt;$I31),AND($K31&lt;&gt;"",$K31&lt;MAX($I31:$J31)),AND($L31&lt;&gt;"",$L31&lt;MAX($I31:$K31))),"Avance semanal decreciente"&amp;" · ","")&amp;IF(AND(ISNUMBER($AN31),$AN31&lt;FechaRef,IF($V31="Sub",N($X31),N($M31))&lt;1),"Vencida"&amp;" · ","")&amp;IF(AND(ObsObligatoria="Sí",ISNUMBER($AN31),$AN31&lt;FechaRef,IF($V31="Sub",N($X31),N($M31))&lt;1,$Q31=""),"Vencida sin observación"&amp;" · ",""))-3)))</f>
        <v/>
      </c>
      <c r="S31" s="64">
        <f>IF(NOT((COUNTA($B31:$D31)+COUNTA($G31:$L31)+COUNTA($Q31))&gt;0),"",IF(AND($V31="Sub",N($U31)&gt;0),IF(ISNUMBER(INDEX($AM$5:$AM$1000,$U31-4)),DATE(YEAR(INDEX($AM$5:$AM$1000,$U31-4)),MONTH(INDEX($AM$5:$AM$1000,$U31-4)),1),IF(ISNUMBER(INDEX($AN$5:$AN$1000,$U31-4)),DATE(YEAR(INDEX($AN$5:$AN$1000,$U31-4)),MONTH(INDEX($AN$5:$AN$1000,$U31-4)),1),MesCiclo)),IF(ISNUMBER($AM31),DATE(YEAR($AM31),MONTH($AM31),1),IF(ISNUMBER($AN31),DATE(YEAR($AN31),MONTH($AN31),1),MesCiclo))))</f>
        <v/>
      </c>
      <c r="T31" s="62">
        <f>IF(OR($S31="",$S31&lt;&gt;MesCiclo,$V31&lt;&gt;"Macro"),"",COUNTIFS($S$5:$S31,MesCiclo,$V$5:$V31,"Macro"))</f>
        <v/>
      </c>
      <c r="U31" s="62">
        <f>IF($V31="","",IF($V31="Macro",ROW(),IFERROR(LOOKUP(2,1/($V$5:$V31="Macro"),ROW($V$5:$V31)),0)))</f>
        <v/>
      </c>
      <c r="V31" s="62">
        <f>IF(NOT((COUNTA($B31:$D31)+COUNTA($G31:$L31)+COUNTA($Q31))&gt;0),"",IF($B31="Subactividad","Sub","Macro"))</f>
        <v/>
      </c>
      <c r="W31" s="62">
        <f>IF($V31="Macro",COUNTIFS($U$5:$U$1000,ROW(),$V$5:$V$1000,"Sub"),"")</f>
        <v/>
      </c>
      <c r="X31" s="62">
        <f>IF($V31="","",IF(ISNUMBER($G31),1,IFERROR(LOOKUP(2,1/($I31:$L31&lt;&gt;""),$I31:$L31),0)))</f>
        <v/>
      </c>
      <c r="Y31" s="62">
        <f>IF($V31="","",IF(AND(ISNUMBER($G31),$G31&lt;=IF($S31=MesCiclo,InicioCiclo,$S31+MOD(2-WEEKDAY($S31),7))+6),1,IF(ISNUMBER($I31),$I31,0)))</f>
        <v/>
      </c>
      <c r="Z31" s="62">
        <f>IF($V31="","",IF(AND(ISNUMBER($G31),$G31&lt;=IF($S31=MesCiclo,InicioCiclo,$S31+MOD(2-WEEKDAY($S31),7))+13),1,IF(ISNUMBER($J31),$J31,$Y31)))</f>
        <v/>
      </c>
      <c r="AA31" s="62">
        <f>IF($V31="","",IF(AND(ISNUMBER($G31),$G31&lt;=IF($S31=MesCiclo,InicioCiclo,$S31+MOD(2-WEEKDAY($S31),7))+20),1,IF(ISNUMBER($K31),$K31,$Z31)))</f>
        <v/>
      </c>
      <c r="AB31" s="62">
        <f>IF($V31="","",IF(AND(ISNUMBER($G31),$G31&lt;=IF($S31=MesCiclo,InicioCiclo,$S31+MOD(2-WEEKDAY($S31),7))+27),1,IF(ISNUMBER($L31),$L31,$AA31)))</f>
        <v/>
      </c>
      <c r="AC31" s="62">
        <f>IF($V31="","",IF(AND(ISNUMBER($G31),$G31&lt;=IF($S31=MesCiclo,InicioCiclo,$S31+MOD(2-WEEKDAY($S31),7))+6),1,IF(N($W31)&gt;0,AVERAGEIFS($Y$5:$Y$1000,$U$5:$U$1000,ROW(),$V$5:$V$1000,"Sub"),$Y31)))</f>
        <v/>
      </c>
      <c r="AD31" s="62">
        <f>IF($V31="","",IF(AND(ISNUMBER($G31),$G31&lt;=IF($S31=MesCiclo,InicioCiclo,$S31+MOD(2-WEEKDAY($S31),7))+13),1,IF(N($W31)&gt;0,AVERAGEIFS($Z$5:$Z$1000,$U$5:$U$1000,ROW(),$V$5:$V$1000,"Sub"),$Z31)))</f>
        <v/>
      </c>
      <c r="AE31" s="62">
        <f>IF($V31="","",IF(AND(ISNUMBER($G31),$G31&lt;=IF($S31=MesCiclo,InicioCiclo,$S31+MOD(2-WEEKDAY($S31),7))+20),1,IF(N($W31)&gt;0,AVERAGEIFS($AA$5:$AA$1000,$U$5:$U$1000,ROW(),$V$5:$V$1000,"Sub"),$AA31)))</f>
        <v/>
      </c>
      <c r="AF31" s="62">
        <f>IF($V31="","",IF(AND(ISNUMBER($G31),$G31&lt;=IF($S31=MesCiclo,InicioCiclo,$S31+MOD(2-WEEKDAY($S31),7))+27),1,IF(N($W31)&gt;0,AVERAGEIFS($AB$5:$AB$1000,$U$5:$U$1000,ROW(),$V$5:$V$1000,"Sub"),$AB31)))</f>
        <v/>
      </c>
      <c r="AG31" s="62">
        <f>IF($V31&lt;&gt;"Macro","",IF(COUNTIFS($S$5:$S$1000,$S31,$V$5:$V$1000,"Macro",$H$5:$H$1000,"&gt;0")=0,1/COUNTIFS($S$5:$S$1000,$S31,$V$5:$V$1000,"Macro"),IF(AND(ISNUMBER($H31),N($H31)&gt;0),$H31,SUMIFS($H$5:$H$1000,$S$5:$S$1000,$S31,$V$5:$V$1000,"Macro")/COUNTIFS($S$5:$S$1000,$S31,$V$5:$V$1000,"Macro",$H$5:$H$1000,"&gt;0"))/(COUNTIFS($S$5:$S$1000,$S31,$V$5:$V$1000,"Macro")*SUMIFS($H$5:$H$1000,$S$5:$S$1000,$S31,$V$5:$V$1000,"Macro")/COUNTIFS($S$5:$S$1000,$S31,$V$5:$V$1000,"Macro",$H$5:$H$1000,"&gt;0"))))</f>
        <v/>
      </c>
      <c r="AH31" s="62" t="n"/>
      <c r="AI31" s="62" t="n"/>
      <c r="AJ31" s="62" t="n"/>
      <c r="AK31" s="62" t="n"/>
      <c r="AL31" s="62">
        <f>IF(LEFT($C31,11)="[Jefatura] ",IFERROR(MATCH("Riesgo Financiero|"&amp;MID($C31,12,500),rDname_ADM,0),0),"")</f>
        <v/>
      </c>
      <c r="AM31" s="62">
        <f>IF(N($AL31)&gt;0,INDEX(rIni_ADM,$AL31),IF(ISNUMBER($E31),$E31,""))</f>
        <v/>
      </c>
      <c r="AN31" s="62">
        <f>IF(N($AL31)&gt;0,INDEX(rLim_ADM,$AL31),IF(ISNUMBER($F31),$F31,""))</f>
        <v/>
      </c>
    </row>
    <row r="32">
      <c r="A32" s="56">
        <f>IF(NOT((COUNTA($B32:$D32)+COUNTA($G32:$L32)+COUNTA($Q32))&gt;0),"",IF($V32="Macro",COUNTIFS($V$5:$V32,"Macro",$S$5:$S32,$S32),IF(N($U32)=0,"?",COUNTIFS(INDEX($V$5:$V$1000,1):INDEX($V$5:$V$1000,$U32-4),"Macro",INDEX($S$5:$S$1000,1):INDEX($S$5:$S$1000,$U32-4),INDEX($S$5:$S$1000,$U32-4))&amp;"."&amp;COUNTIFS($U$5:$U32,$U32,$V$5:$V32,"Sub"))))</f>
        <v/>
      </c>
      <c r="B32" s="57" t="n"/>
      <c r="C32" s="58" t="n"/>
      <c r="D32" s="58" t="n"/>
      <c r="E32" s="59">
        <f>IF(N($AL32)&gt;0,INDEX(rIni_ADM,$AL32),"")</f>
        <v/>
      </c>
      <c r="F32" s="59">
        <f>IF(N($AL32)&gt;0,INDEX(rLim_ADM,$AL32),"")</f>
        <v/>
      </c>
      <c r="G32" s="59" t="n"/>
      <c r="H32" s="60" t="n"/>
      <c r="I32" s="60" t="n"/>
      <c r="J32" s="60" t="n"/>
      <c r="K32" s="60" t="n"/>
      <c r="L32" s="60" t="n"/>
      <c r="M32" s="61">
        <f>IF(NOT((COUNTA($B32:$D32)+COUNTA($G32:$L32)+COUNTA($Q32))&gt;0),"",IF($V32="Sub",IFERROR($X32/INDEX($W$5:$W$1000,$U32-4),""),IF(ISNUMBER($G32),1,IF(N($W32)&gt;0,AVERAGEIFS($X$5:$X$1000,$U$5:$U$1000,ROW(),$V$5:$V$1000,"Sub"),$X32))))</f>
        <v/>
      </c>
      <c r="N32" s="56">
        <f>IF(OR($M32="",$V32="Sub"),"",IF($M32&gt;=1,"Completado",IF($M32&gt;0,"En curso","Pendiente")))</f>
        <v/>
      </c>
      <c r="O32" s="56">
        <f>IF(OR(NOT((COUNTA($B32:$D32)+COUNTA($G32:$L32)+COUNTA($Q32))&gt;0),$V32="Sub"),"",IF(ISNUMBER($G32),IF(AND(ISNUMBER($AN32),$G32&gt;$AN32),"Cumplida con "&amp;($G32-$AN32)&amp;IF($G32-$AN32=1," día"," días")&amp;" de retraso","Cumplida"),IF(N($M32)&gt;=1,"Cumplida",IF(NOT(ISNUMBER($AN32)),"Sin fecha límite",IF($AN32&lt;FechaRef,"Vencida hace "&amp;(FechaRef-$AN32)&amp;IF(FechaRef-$AN32=1," día"," días"),IF($AN32=FechaRef,"Vence hoy",IF($AN32-FechaRef&lt;=DiasAlerta,"Vence en "&amp;($AN32-FechaRef)&amp;IF($AN32-FechaRef=1," día"," días"),"En plazo")))))))</f>
        <v/>
      </c>
      <c r="P32" s="62" t="n"/>
      <c r="Q32" s="58" t="n"/>
      <c r="R32" s="63">
        <f>IF(NOT((COUNTA($B32:$D32)+COUNTA($G32:$L32)+COUNTA($Q32))&gt;0),"",IF((IF($C32="","Falta el nombre de la actividad"&amp;" · ","")&amp;IF(AND($V32="Sub",N($U32)=0),"Subactividad sin macroactividad arriba"&amp;" · ","")&amp;IF($AM32="","Sin fecha de inicio"&amp;" · ","")&amp;IF($AN32="","Sin fecha límite"&amp;" · ","")&amp;IF(AND(LEFT($C32,11)="[Jefatura] ",N($AL32)=0),"No se encuentra en la hoja de la jefatura (elíjala de nuevo en la lista)"&amp;" · ","")&amp;IF(OR(AND($E32&lt;&gt;"",NOT(ISNUMBER($E32))),AND($F32&lt;&gt;"",NOT(ISNUMBER($F32))),AND($G32&lt;&gt;"",NOT(ISNUMBER($G32)))),"Fecha no válida"&amp;" · ","")&amp;IF(AND(ISNUMBER($AM32),ISNUMBER($AN32),$AM32&gt;$AN32),"Inicio posterior a fecha límite"&amp;" · ","")&amp;IF(AND($V32="Macro",$H32&lt;&gt;"",OR(NOT(ISNUMBER($H32)),$H32&lt;0,$H32&gt;1)),"Peso fuera de rango"&amp;" · ","")&amp;IF(AND($V32="Sub",$H32&lt;&gt;""),"Las subactividades no llevan peso (valen igual dentro de su macroactividad)"&amp;" · ","")&amp;IF(AND(N($W32)&gt;0,COUNT($I32:$L32)&gt;0),"Con subactividades: deje vacías las semanas (se calculan solas)"&amp;" · ","")&amp;IF((COUNTIF($I32:$L32,"&gt;1")+COUNTIF($I32:$L32,"&lt;0")+COUNTA($I32:$L32)-COUNT($I32:$L32))&gt;0,"Avance fuera de rango 0-100%"&amp;" · ","")&amp;IF(OR(AND($J32&lt;&gt;"",$J32&lt;$I32),AND($K32&lt;&gt;"",$K32&lt;MAX($I32:$J32)),AND($L32&lt;&gt;"",$L32&lt;MAX($I32:$K32))),"Avance semanal decreciente"&amp;" · ","")&amp;IF(AND(ISNUMBER($AN32),$AN32&lt;FechaRef,IF($V32="Sub",N($X32),N($M32))&lt;1),"Vencida"&amp;" · ","")&amp;IF(AND(ObsObligatoria="Sí",ISNUMBER($AN32),$AN32&lt;FechaRef,IF($V32="Sub",N($X32),N($M32))&lt;1,$Q32=""),"Vencida sin observación"&amp;" · ",""))="","✔ OK","⚠ "&amp;LEFT(IF($C32="","Falta el nombre de la actividad"&amp;" · ","")&amp;IF(AND($V32="Sub",N($U32)=0),"Subactividad sin macroactividad arriba"&amp;" · ","")&amp;IF($AM32="","Sin fecha de inicio"&amp;" · ","")&amp;IF($AN32="","Sin fecha límite"&amp;" · ","")&amp;IF(AND(LEFT($C32,11)="[Jefatura] ",N($AL32)=0),"No se encuentra en la hoja de la jefatura (elíjala de nuevo en la lista)"&amp;" · ","")&amp;IF(OR(AND($E32&lt;&gt;"",NOT(ISNUMBER($E32))),AND($F32&lt;&gt;"",NOT(ISNUMBER($F32))),AND($G32&lt;&gt;"",NOT(ISNUMBER($G32)))),"Fecha no válida"&amp;" · ","")&amp;IF(AND(ISNUMBER($AM32),ISNUMBER($AN32),$AM32&gt;$AN32),"Inicio posterior a fecha límite"&amp;" · ","")&amp;IF(AND($V32="Macro",$H32&lt;&gt;"",OR(NOT(ISNUMBER($H32)),$H32&lt;0,$H32&gt;1)),"Peso fuera de rango"&amp;" · ","")&amp;IF(AND($V32="Sub",$H32&lt;&gt;""),"Las subactividades no llevan peso (valen igual dentro de su macroactividad)"&amp;" · ","")&amp;IF(AND(N($W32)&gt;0,COUNT($I32:$L32)&gt;0),"Con subactividades: deje vacías las semanas (se calculan solas)"&amp;" · ","")&amp;IF((COUNTIF($I32:$L32,"&gt;1")+COUNTIF($I32:$L32,"&lt;0")+COUNTA($I32:$L32)-COUNT($I32:$L32))&gt;0,"Avance fuera de rango 0-100%"&amp;" · ","")&amp;IF(OR(AND($J32&lt;&gt;"",$J32&lt;$I32),AND($K32&lt;&gt;"",$K32&lt;MAX($I32:$J32)),AND($L32&lt;&gt;"",$L32&lt;MAX($I32:$K32))),"Avance semanal decreciente"&amp;" · ","")&amp;IF(AND(ISNUMBER($AN32),$AN32&lt;FechaRef,IF($V32="Sub",N($X32),N($M32))&lt;1),"Vencida"&amp;" · ","")&amp;IF(AND(ObsObligatoria="Sí",ISNUMBER($AN32),$AN32&lt;FechaRef,IF($V32="Sub",N($X32),N($M32))&lt;1,$Q32=""),"Vencida sin observación"&amp;" · ",""),LEN(IF($C32="","Falta el nombre de la actividad"&amp;" · ","")&amp;IF(AND($V32="Sub",N($U32)=0),"Subactividad sin macroactividad arriba"&amp;" · ","")&amp;IF($AM32="","Sin fecha de inicio"&amp;" · ","")&amp;IF($AN32="","Sin fecha límite"&amp;" · ","")&amp;IF(AND(LEFT($C32,11)="[Jefatura] ",N($AL32)=0),"No se encuentra en la hoja de la jefatura (elíjala de nuevo en la lista)"&amp;" · ","")&amp;IF(OR(AND($E32&lt;&gt;"",NOT(ISNUMBER($E32))),AND($F32&lt;&gt;"",NOT(ISNUMBER($F32))),AND($G32&lt;&gt;"",NOT(ISNUMBER($G32)))),"Fecha no válida"&amp;" · ","")&amp;IF(AND(ISNUMBER($AM32),ISNUMBER($AN32),$AM32&gt;$AN32),"Inicio posterior a fecha límite"&amp;" · ","")&amp;IF(AND($V32="Macro",$H32&lt;&gt;"",OR(NOT(ISNUMBER($H32)),$H32&lt;0,$H32&gt;1)),"Peso fuera de rango"&amp;" · ","")&amp;IF(AND($V32="Sub",$H32&lt;&gt;""),"Las subactividades no llevan peso (valen igual dentro de su macroactividad)"&amp;" · ","")&amp;IF(AND(N($W32)&gt;0,COUNT($I32:$L32)&gt;0),"Con subactividades: deje vacías las semanas (se calculan solas)"&amp;" · ","")&amp;IF((COUNTIF($I32:$L32,"&gt;1")+COUNTIF($I32:$L32,"&lt;0")+COUNTA($I32:$L32)-COUNT($I32:$L32))&gt;0,"Avance fuera de rango 0-100%"&amp;" · ","")&amp;IF(OR(AND($J32&lt;&gt;"",$J32&lt;$I32),AND($K32&lt;&gt;"",$K32&lt;MAX($I32:$J32)),AND($L32&lt;&gt;"",$L32&lt;MAX($I32:$K32))),"Avance semanal decreciente"&amp;" · ","")&amp;IF(AND(ISNUMBER($AN32),$AN32&lt;FechaRef,IF($V32="Sub",N($X32),N($M32))&lt;1),"Vencida"&amp;" · ","")&amp;IF(AND(ObsObligatoria="Sí",ISNUMBER($AN32),$AN32&lt;FechaRef,IF($V32="Sub",N($X32),N($M32))&lt;1,$Q32=""),"Vencida sin observación"&amp;" · ",""))-3)))</f>
        <v/>
      </c>
      <c r="S32" s="64">
        <f>IF(NOT((COUNTA($B32:$D32)+COUNTA($G32:$L32)+COUNTA($Q32))&gt;0),"",IF(AND($V32="Sub",N($U32)&gt;0),IF(ISNUMBER(INDEX($AM$5:$AM$1000,$U32-4)),DATE(YEAR(INDEX($AM$5:$AM$1000,$U32-4)),MONTH(INDEX($AM$5:$AM$1000,$U32-4)),1),IF(ISNUMBER(INDEX($AN$5:$AN$1000,$U32-4)),DATE(YEAR(INDEX($AN$5:$AN$1000,$U32-4)),MONTH(INDEX($AN$5:$AN$1000,$U32-4)),1),MesCiclo)),IF(ISNUMBER($AM32),DATE(YEAR($AM32),MONTH($AM32),1),IF(ISNUMBER($AN32),DATE(YEAR($AN32),MONTH($AN32),1),MesCiclo))))</f>
        <v/>
      </c>
      <c r="T32" s="62">
        <f>IF(OR($S32="",$S32&lt;&gt;MesCiclo,$V32&lt;&gt;"Macro"),"",COUNTIFS($S$5:$S32,MesCiclo,$V$5:$V32,"Macro"))</f>
        <v/>
      </c>
      <c r="U32" s="62">
        <f>IF($V32="","",IF($V32="Macro",ROW(),IFERROR(LOOKUP(2,1/($V$5:$V32="Macro"),ROW($V$5:$V32)),0)))</f>
        <v/>
      </c>
      <c r="V32" s="62">
        <f>IF(NOT((COUNTA($B32:$D32)+COUNTA($G32:$L32)+COUNTA($Q32))&gt;0),"",IF($B32="Subactividad","Sub","Macro"))</f>
        <v/>
      </c>
      <c r="W32" s="62">
        <f>IF($V32="Macro",COUNTIFS($U$5:$U$1000,ROW(),$V$5:$V$1000,"Sub"),"")</f>
        <v/>
      </c>
      <c r="X32" s="62">
        <f>IF($V32="","",IF(ISNUMBER($G32),1,IFERROR(LOOKUP(2,1/($I32:$L32&lt;&gt;""),$I32:$L32),0)))</f>
        <v/>
      </c>
      <c r="Y32" s="62">
        <f>IF($V32="","",IF(AND(ISNUMBER($G32),$G32&lt;=IF($S32=MesCiclo,InicioCiclo,$S32+MOD(2-WEEKDAY($S32),7))+6),1,IF(ISNUMBER($I32),$I32,0)))</f>
        <v/>
      </c>
      <c r="Z32" s="62">
        <f>IF($V32="","",IF(AND(ISNUMBER($G32),$G32&lt;=IF($S32=MesCiclo,InicioCiclo,$S32+MOD(2-WEEKDAY($S32),7))+13),1,IF(ISNUMBER($J32),$J32,$Y32)))</f>
        <v/>
      </c>
      <c r="AA32" s="62">
        <f>IF($V32="","",IF(AND(ISNUMBER($G32),$G32&lt;=IF($S32=MesCiclo,InicioCiclo,$S32+MOD(2-WEEKDAY($S32),7))+20),1,IF(ISNUMBER($K32),$K32,$Z32)))</f>
        <v/>
      </c>
      <c r="AB32" s="62">
        <f>IF($V32="","",IF(AND(ISNUMBER($G32),$G32&lt;=IF($S32=MesCiclo,InicioCiclo,$S32+MOD(2-WEEKDAY($S32),7))+27),1,IF(ISNUMBER($L32),$L32,$AA32)))</f>
        <v/>
      </c>
      <c r="AC32" s="62">
        <f>IF($V32="","",IF(AND(ISNUMBER($G32),$G32&lt;=IF($S32=MesCiclo,InicioCiclo,$S32+MOD(2-WEEKDAY($S32),7))+6),1,IF(N($W32)&gt;0,AVERAGEIFS($Y$5:$Y$1000,$U$5:$U$1000,ROW(),$V$5:$V$1000,"Sub"),$Y32)))</f>
        <v/>
      </c>
      <c r="AD32" s="62">
        <f>IF($V32="","",IF(AND(ISNUMBER($G32),$G32&lt;=IF($S32=MesCiclo,InicioCiclo,$S32+MOD(2-WEEKDAY($S32),7))+13),1,IF(N($W32)&gt;0,AVERAGEIFS($Z$5:$Z$1000,$U$5:$U$1000,ROW(),$V$5:$V$1000,"Sub"),$Z32)))</f>
        <v/>
      </c>
      <c r="AE32" s="62">
        <f>IF($V32="","",IF(AND(ISNUMBER($G32),$G32&lt;=IF($S32=MesCiclo,InicioCiclo,$S32+MOD(2-WEEKDAY($S32),7))+20),1,IF(N($W32)&gt;0,AVERAGEIFS($AA$5:$AA$1000,$U$5:$U$1000,ROW(),$V$5:$V$1000,"Sub"),$AA32)))</f>
        <v/>
      </c>
      <c r="AF32" s="62">
        <f>IF($V32="","",IF(AND(ISNUMBER($G32),$G32&lt;=IF($S32=MesCiclo,InicioCiclo,$S32+MOD(2-WEEKDAY($S32),7))+27),1,IF(N($W32)&gt;0,AVERAGEIFS($AB$5:$AB$1000,$U$5:$U$1000,ROW(),$V$5:$V$1000,"Sub"),$AB32)))</f>
        <v/>
      </c>
      <c r="AG32" s="62">
        <f>IF($V32&lt;&gt;"Macro","",IF(COUNTIFS($S$5:$S$1000,$S32,$V$5:$V$1000,"Macro",$H$5:$H$1000,"&gt;0")=0,1/COUNTIFS($S$5:$S$1000,$S32,$V$5:$V$1000,"Macro"),IF(AND(ISNUMBER($H32),N($H32)&gt;0),$H32,SUMIFS($H$5:$H$1000,$S$5:$S$1000,$S32,$V$5:$V$1000,"Macro")/COUNTIFS($S$5:$S$1000,$S32,$V$5:$V$1000,"Macro",$H$5:$H$1000,"&gt;0"))/(COUNTIFS($S$5:$S$1000,$S32,$V$5:$V$1000,"Macro")*SUMIFS($H$5:$H$1000,$S$5:$S$1000,$S32,$V$5:$V$1000,"Macro")/COUNTIFS($S$5:$S$1000,$S32,$V$5:$V$1000,"Macro",$H$5:$H$1000,"&gt;0"))))</f>
        <v/>
      </c>
      <c r="AH32" s="62" t="n"/>
      <c r="AI32" s="62" t="n"/>
      <c r="AJ32" s="62" t="n"/>
      <c r="AK32" s="62" t="n"/>
      <c r="AL32" s="62">
        <f>IF(LEFT($C32,11)="[Jefatura] ",IFERROR(MATCH("Riesgo Financiero|"&amp;MID($C32,12,500),rDname_ADM,0),0),"")</f>
        <v/>
      </c>
      <c r="AM32" s="62">
        <f>IF(N($AL32)&gt;0,INDEX(rIni_ADM,$AL32),IF(ISNUMBER($E32),$E32,""))</f>
        <v/>
      </c>
      <c r="AN32" s="62">
        <f>IF(N($AL32)&gt;0,INDEX(rLim_ADM,$AL32),IF(ISNUMBER($F32),$F32,""))</f>
        <v/>
      </c>
    </row>
    <row r="33">
      <c r="A33" s="56">
        <f>IF(NOT((COUNTA($B33:$D33)+COUNTA($G33:$L33)+COUNTA($Q33))&gt;0),"",IF($V33="Macro",COUNTIFS($V$5:$V33,"Macro",$S$5:$S33,$S33),IF(N($U33)=0,"?",COUNTIFS(INDEX($V$5:$V$1000,1):INDEX($V$5:$V$1000,$U33-4),"Macro",INDEX($S$5:$S$1000,1):INDEX($S$5:$S$1000,$U33-4),INDEX($S$5:$S$1000,$U33-4))&amp;"."&amp;COUNTIFS($U$5:$U33,$U33,$V$5:$V33,"Sub"))))</f>
        <v/>
      </c>
      <c r="B33" s="57" t="n"/>
      <c r="C33" s="58" t="n"/>
      <c r="D33" s="58" t="n"/>
      <c r="E33" s="59">
        <f>IF(N($AL33)&gt;0,INDEX(rIni_ADM,$AL33),"")</f>
        <v/>
      </c>
      <c r="F33" s="59">
        <f>IF(N($AL33)&gt;0,INDEX(rLim_ADM,$AL33),"")</f>
        <v/>
      </c>
      <c r="G33" s="59" t="n"/>
      <c r="H33" s="60" t="n"/>
      <c r="I33" s="60" t="n"/>
      <c r="J33" s="60" t="n"/>
      <c r="K33" s="60" t="n"/>
      <c r="L33" s="60" t="n"/>
      <c r="M33" s="61">
        <f>IF(NOT((COUNTA($B33:$D33)+COUNTA($G33:$L33)+COUNTA($Q33))&gt;0),"",IF($V33="Sub",IFERROR($X33/INDEX($W$5:$W$1000,$U33-4),""),IF(ISNUMBER($G33),1,IF(N($W33)&gt;0,AVERAGEIFS($X$5:$X$1000,$U$5:$U$1000,ROW(),$V$5:$V$1000,"Sub"),$X33))))</f>
        <v/>
      </c>
      <c r="N33" s="56">
        <f>IF(OR($M33="",$V33="Sub"),"",IF($M33&gt;=1,"Completado",IF($M33&gt;0,"En curso","Pendiente")))</f>
        <v/>
      </c>
      <c r="O33" s="56">
        <f>IF(OR(NOT((COUNTA($B33:$D33)+COUNTA($G33:$L33)+COUNTA($Q33))&gt;0),$V33="Sub"),"",IF(ISNUMBER($G33),IF(AND(ISNUMBER($AN33),$G33&gt;$AN33),"Cumplida con "&amp;($G33-$AN33)&amp;IF($G33-$AN33=1," día"," días")&amp;" de retraso","Cumplida"),IF(N($M33)&gt;=1,"Cumplida",IF(NOT(ISNUMBER($AN33)),"Sin fecha límite",IF($AN33&lt;FechaRef,"Vencida hace "&amp;(FechaRef-$AN33)&amp;IF(FechaRef-$AN33=1," día"," días"),IF($AN33=FechaRef,"Vence hoy",IF($AN33-FechaRef&lt;=DiasAlerta,"Vence en "&amp;($AN33-FechaRef)&amp;IF($AN33-FechaRef=1," día"," días"),"En plazo")))))))</f>
        <v/>
      </c>
      <c r="P33" s="62" t="n"/>
      <c r="Q33" s="58" t="n"/>
      <c r="R33" s="63">
        <f>IF(NOT((COUNTA($B33:$D33)+COUNTA($G33:$L33)+COUNTA($Q33))&gt;0),"",IF((IF($C33="","Falta el nombre de la actividad"&amp;" · ","")&amp;IF(AND($V33="Sub",N($U33)=0),"Subactividad sin macroactividad arriba"&amp;" · ","")&amp;IF($AM33="","Sin fecha de inicio"&amp;" · ","")&amp;IF($AN33="","Sin fecha límite"&amp;" · ","")&amp;IF(AND(LEFT($C33,11)="[Jefatura] ",N($AL33)=0),"No se encuentra en la hoja de la jefatura (elíjala de nuevo en la lista)"&amp;" · ","")&amp;IF(OR(AND($E33&lt;&gt;"",NOT(ISNUMBER($E33))),AND($F33&lt;&gt;"",NOT(ISNUMBER($F33))),AND($G33&lt;&gt;"",NOT(ISNUMBER($G33)))),"Fecha no válida"&amp;" · ","")&amp;IF(AND(ISNUMBER($AM33),ISNUMBER($AN33),$AM33&gt;$AN33),"Inicio posterior a fecha límite"&amp;" · ","")&amp;IF(AND($V33="Macro",$H33&lt;&gt;"",OR(NOT(ISNUMBER($H33)),$H33&lt;0,$H33&gt;1)),"Peso fuera de rango"&amp;" · ","")&amp;IF(AND($V33="Sub",$H33&lt;&gt;""),"Las subactividades no llevan peso (valen igual dentro de su macroactividad)"&amp;" · ","")&amp;IF(AND(N($W33)&gt;0,COUNT($I33:$L33)&gt;0),"Con subactividades: deje vacías las semanas (se calculan solas)"&amp;" · ","")&amp;IF((COUNTIF($I33:$L33,"&gt;1")+COUNTIF($I33:$L33,"&lt;0")+COUNTA($I33:$L33)-COUNT($I33:$L33))&gt;0,"Avance fuera de rango 0-100%"&amp;" · ","")&amp;IF(OR(AND($J33&lt;&gt;"",$J33&lt;$I33),AND($K33&lt;&gt;"",$K33&lt;MAX($I33:$J33)),AND($L33&lt;&gt;"",$L33&lt;MAX($I33:$K33))),"Avance semanal decreciente"&amp;" · ","")&amp;IF(AND(ISNUMBER($AN33),$AN33&lt;FechaRef,IF($V33="Sub",N($X33),N($M33))&lt;1),"Vencida"&amp;" · ","")&amp;IF(AND(ObsObligatoria="Sí",ISNUMBER($AN33),$AN33&lt;FechaRef,IF($V33="Sub",N($X33),N($M33))&lt;1,$Q33=""),"Vencida sin observación"&amp;" · ",""))="","✔ OK","⚠ "&amp;LEFT(IF($C33="","Falta el nombre de la actividad"&amp;" · ","")&amp;IF(AND($V33="Sub",N($U33)=0),"Subactividad sin macroactividad arriba"&amp;" · ","")&amp;IF($AM33="","Sin fecha de inicio"&amp;" · ","")&amp;IF($AN33="","Sin fecha límite"&amp;" · ","")&amp;IF(AND(LEFT($C33,11)="[Jefatura] ",N($AL33)=0),"No se encuentra en la hoja de la jefatura (elíjala de nuevo en la lista)"&amp;" · ","")&amp;IF(OR(AND($E33&lt;&gt;"",NOT(ISNUMBER($E33))),AND($F33&lt;&gt;"",NOT(ISNUMBER($F33))),AND($G33&lt;&gt;"",NOT(ISNUMBER($G33)))),"Fecha no válida"&amp;" · ","")&amp;IF(AND(ISNUMBER($AM33),ISNUMBER($AN33),$AM33&gt;$AN33),"Inicio posterior a fecha límite"&amp;" · ","")&amp;IF(AND($V33="Macro",$H33&lt;&gt;"",OR(NOT(ISNUMBER($H33)),$H33&lt;0,$H33&gt;1)),"Peso fuera de rango"&amp;" · ","")&amp;IF(AND($V33="Sub",$H33&lt;&gt;""),"Las subactividades no llevan peso (valen igual dentro de su macroactividad)"&amp;" · ","")&amp;IF(AND(N($W33)&gt;0,COUNT($I33:$L33)&gt;0),"Con subactividades: deje vacías las semanas (se calculan solas)"&amp;" · ","")&amp;IF((COUNTIF($I33:$L33,"&gt;1")+COUNTIF($I33:$L33,"&lt;0")+COUNTA($I33:$L33)-COUNT($I33:$L33))&gt;0,"Avance fuera de rango 0-100%"&amp;" · ","")&amp;IF(OR(AND($J33&lt;&gt;"",$J33&lt;$I33),AND($K33&lt;&gt;"",$K33&lt;MAX($I33:$J33)),AND($L33&lt;&gt;"",$L33&lt;MAX($I33:$K33))),"Avance semanal decreciente"&amp;" · ","")&amp;IF(AND(ISNUMBER($AN33),$AN33&lt;FechaRef,IF($V33="Sub",N($X33),N($M33))&lt;1),"Vencida"&amp;" · ","")&amp;IF(AND(ObsObligatoria="Sí",ISNUMBER($AN33),$AN33&lt;FechaRef,IF($V33="Sub",N($X33),N($M33))&lt;1,$Q33=""),"Vencida sin observación"&amp;" · ",""),LEN(IF($C33="","Falta el nombre de la actividad"&amp;" · ","")&amp;IF(AND($V33="Sub",N($U33)=0),"Subactividad sin macroactividad arriba"&amp;" · ","")&amp;IF($AM33="","Sin fecha de inicio"&amp;" · ","")&amp;IF($AN33="","Sin fecha límite"&amp;" · ","")&amp;IF(AND(LEFT($C33,11)="[Jefatura] ",N($AL33)=0),"No se encuentra en la hoja de la jefatura (elíjala de nuevo en la lista)"&amp;" · ","")&amp;IF(OR(AND($E33&lt;&gt;"",NOT(ISNUMBER($E33))),AND($F33&lt;&gt;"",NOT(ISNUMBER($F33))),AND($G33&lt;&gt;"",NOT(ISNUMBER($G33)))),"Fecha no válida"&amp;" · ","")&amp;IF(AND(ISNUMBER($AM33),ISNUMBER($AN33),$AM33&gt;$AN33),"Inicio posterior a fecha límite"&amp;" · ","")&amp;IF(AND($V33="Macro",$H33&lt;&gt;"",OR(NOT(ISNUMBER($H33)),$H33&lt;0,$H33&gt;1)),"Peso fuera de rango"&amp;" · ","")&amp;IF(AND($V33="Sub",$H33&lt;&gt;""),"Las subactividades no llevan peso (valen igual dentro de su macroactividad)"&amp;" · ","")&amp;IF(AND(N($W33)&gt;0,COUNT($I33:$L33)&gt;0),"Con subactividades: deje vacías las semanas (se calculan solas)"&amp;" · ","")&amp;IF((COUNTIF($I33:$L33,"&gt;1")+COUNTIF($I33:$L33,"&lt;0")+COUNTA($I33:$L33)-COUNT($I33:$L33))&gt;0,"Avance fuera de rango 0-100%"&amp;" · ","")&amp;IF(OR(AND($J33&lt;&gt;"",$J33&lt;$I33),AND($K33&lt;&gt;"",$K33&lt;MAX($I33:$J33)),AND($L33&lt;&gt;"",$L33&lt;MAX($I33:$K33))),"Avance semanal decreciente"&amp;" · ","")&amp;IF(AND(ISNUMBER($AN33),$AN33&lt;FechaRef,IF($V33="Sub",N($X33),N($M33))&lt;1),"Vencida"&amp;" · ","")&amp;IF(AND(ObsObligatoria="Sí",ISNUMBER($AN33),$AN33&lt;FechaRef,IF($V33="Sub",N($X33),N($M33))&lt;1,$Q33=""),"Vencida sin observación"&amp;" · ",""))-3)))</f>
        <v/>
      </c>
      <c r="S33" s="64">
        <f>IF(NOT((COUNTA($B33:$D33)+COUNTA($G33:$L33)+COUNTA($Q33))&gt;0),"",IF(AND($V33="Sub",N($U33)&gt;0),IF(ISNUMBER(INDEX($AM$5:$AM$1000,$U33-4)),DATE(YEAR(INDEX($AM$5:$AM$1000,$U33-4)),MONTH(INDEX($AM$5:$AM$1000,$U33-4)),1),IF(ISNUMBER(INDEX($AN$5:$AN$1000,$U33-4)),DATE(YEAR(INDEX($AN$5:$AN$1000,$U33-4)),MONTH(INDEX($AN$5:$AN$1000,$U33-4)),1),MesCiclo)),IF(ISNUMBER($AM33),DATE(YEAR($AM33),MONTH($AM33),1),IF(ISNUMBER($AN33),DATE(YEAR($AN33),MONTH($AN33),1),MesCiclo))))</f>
        <v/>
      </c>
      <c r="T33" s="62">
        <f>IF(OR($S33="",$S33&lt;&gt;MesCiclo,$V33&lt;&gt;"Macro"),"",COUNTIFS($S$5:$S33,MesCiclo,$V$5:$V33,"Macro"))</f>
        <v/>
      </c>
      <c r="U33" s="62">
        <f>IF($V33="","",IF($V33="Macro",ROW(),IFERROR(LOOKUP(2,1/($V$5:$V33="Macro"),ROW($V$5:$V33)),0)))</f>
        <v/>
      </c>
      <c r="V33" s="62">
        <f>IF(NOT((COUNTA($B33:$D33)+COUNTA($G33:$L33)+COUNTA($Q33))&gt;0),"",IF($B33="Subactividad","Sub","Macro"))</f>
        <v/>
      </c>
      <c r="W33" s="62">
        <f>IF($V33="Macro",COUNTIFS($U$5:$U$1000,ROW(),$V$5:$V$1000,"Sub"),"")</f>
        <v/>
      </c>
      <c r="X33" s="62">
        <f>IF($V33="","",IF(ISNUMBER($G33),1,IFERROR(LOOKUP(2,1/($I33:$L33&lt;&gt;""),$I33:$L33),0)))</f>
        <v/>
      </c>
      <c r="Y33" s="62">
        <f>IF($V33="","",IF(AND(ISNUMBER($G33),$G33&lt;=IF($S33=MesCiclo,InicioCiclo,$S33+MOD(2-WEEKDAY($S33),7))+6),1,IF(ISNUMBER($I33),$I33,0)))</f>
        <v/>
      </c>
      <c r="Z33" s="62">
        <f>IF($V33="","",IF(AND(ISNUMBER($G33),$G33&lt;=IF($S33=MesCiclo,InicioCiclo,$S33+MOD(2-WEEKDAY($S33),7))+13),1,IF(ISNUMBER($J33),$J33,$Y33)))</f>
        <v/>
      </c>
      <c r="AA33" s="62">
        <f>IF($V33="","",IF(AND(ISNUMBER($G33),$G33&lt;=IF($S33=MesCiclo,InicioCiclo,$S33+MOD(2-WEEKDAY($S33),7))+20),1,IF(ISNUMBER($K33),$K33,$Z33)))</f>
        <v/>
      </c>
      <c r="AB33" s="62">
        <f>IF($V33="","",IF(AND(ISNUMBER($G33),$G33&lt;=IF($S33=MesCiclo,InicioCiclo,$S33+MOD(2-WEEKDAY($S33),7))+27),1,IF(ISNUMBER($L33),$L33,$AA33)))</f>
        <v/>
      </c>
      <c r="AC33" s="62">
        <f>IF($V33="","",IF(AND(ISNUMBER($G33),$G33&lt;=IF($S33=MesCiclo,InicioCiclo,$S33+MOD(2-WEEKDAY($S33),7))+6),1,IF(N($W33)&gt;0,AVERAGEIFS($Y$5:$Y$1000,$U$5:$U$1000,ROW(),$V$5:$V$1000,"Sub"),$Y33)))</f>
        <v/>
      </c>
      <c r="AD33" s="62">
        <f>IF($V33="","",IF(AND(ISNUMBER($G33),$G33&lt;=IF($S33=MesCiclo,InicioCiclo,$S33+MOD(2-WEEKDAY($S33),7))+13),1,IF(N($W33)&gt;0,AVERAGEIFS($Z$5:$Z$1000,$U$5:$U$1000,ROW(),$V$5:$V$1000,"Sub"),$Z33)))</f>
        <v/>
      </c>
      <c r="AE33" s="62">
        <f>IF($V33="","",IF(AND(ISNUMBER($G33),$G33&lt;=IF($S33=MesCiclo,InicioCiclo,$S33+MOD(2-WEEKDAY($S33),7))+20),1,IF(N($W33)&gt;0,AVERAGEIFS($AA$5:$AA$1000,$U$5:$U$1000,ROW(),$V$5:$V$1000,"Sub"),$AA33)))</f>
        <v/>
      </c>
      <c r="AF33" s="62">
        <f>IF($V33="","",IF(AND(ISNUMBER($G33),$G33&lt;=IF($S33=MesCiclo,InicioCiclo,$S33+MOD(2-WEEKDAY($S33),7))+27),1,IF(N($W33)&gt;0,AVERAGEIFS($AB$5:$AB$1000,$U$5:$U$1000,ROW(),$V$5:$V$1000,"Sub"),$AB33)))</f>
        <v/>
      </c>
      <c r="AG33" s="62">
        <f>IF($V33&lt;&gt;"Macro","",IF(COUNTIFS($S$5:$S$1000,$S33,$V$5:$V$1000,"Macro",$H$5:$H$1000,"&gt;0")=0,1/COUNTIFS($S$5:$S$1000,$S33,$V$5:$V$1000,"Macro"),IF(AND(ISNUMBER($H33),N($H33)&gt;0),$H33,SUMIFS($H$5:$H$1000,$S$5:$S$1000,$S33,$V$5:$V$1000,"Macro")/COUNTIFS($S$5:$S$1000,$S33,$V$5:$V$1000,"Macro",$H$5:$H$1000,"&gt;0"))/(COUNTIFS($S$5:$S$1000,$S33,$V$5:$V$1000,"Macro")*SUMIFS($H$5:$H$1000,$S$5:$S$1000,$S33,$V$5:$V$1000,"Macro")/COUNTIFS($S$5:$S$1000,$S33,$V$5:$V$1000,"Macro",$H$5:$H$1000,"&gt;0"))))</f>
        <v/>
      </c>
      <c r="AH33" s="62" t="n"/>
      <c r="AI33" s="62" t="n"/>
      <c r="AJ33" s="62" t="n"/>
      <c r="AK33" s="62" t="n"/>
      <c r="AL33" s="62">
        <f>IF(LEFT($C33,11)="[Jefatura] ",IFERROR(MATCH("Riesgo Financiero|"&amp;MID($C33,12,500),rDname_ADM,0),0),"")</f>
        <v/>
      </c>
      <c r="AM33" s="62">
        <f>IF(N($AL33)&gt;0,INDEX(rIni_ADM,$AL33),IF(ISNUMBER($E33),$E33,""))</f>
        <v/>
      </c>
      <c r="AN33" s="62">
        <f>IF(N($AL33)&gt;0,INDEX(rLim_ADM,$AL33),IF(ISNUMBER($F33),$F33,""))</f>
        <v/>
      </c>
    </row>
    <row r="34">
      <c r="A34" s="56">
        <f>IF(NOT((COUNTA($B34:$D34)+COUNTA($G34:$L34)+COUNTA($Q34))&gt;0),"",IF($V34="Macro",COUNTIFS($V$5:$V34,"Macro",$S$5:$S34,$S34),IF(N($U34)=0,"?",COUNTIFS(INDEX($V$5:$V$1000,1):INDEX($V$5:$V$1000,$U34-4),"Macro",INDEX($S$5:$S$1000,1):INDEX($S$5:$S$1000,$U34-4),INDEX($S$5:$S$1000,$U34-4))&amp;"."&amp;COUNTIFS($U$5:$U34,$U34,$V$5:$V34,"Sub"))))</f>
        <v/>
      </c>
      <c r="B34" s="57" t="n"/>
      <c r="C34" s="58" t="n"/>
      <c r="D34" s="58" t="n"/>
      <c r="E34" s="59">
        <f>IF(N($AL34)&gt;0,INDEX(rIni_ADM,$AL34),"")</f>
        <v/>
      </c>
      <c r="F34" s="59">
        <f>IF(N($AL34)&gt;0,INDEX(rLim_ADM,$AL34),"")</f>
        <v/>
      </c>
      <c r="G34" s="59" t="n"/>
      <c r="H34" s="60" t="n"/>
      <c r="I34" s="60" t="n"/>
      <c r="J34" s="60" t="n"/>
      <c r="K34" s="60" t="n"/>
      <c r="L34" s="60" t="n"/>
      <c r="M34" s="61">
        <f>IF(NOT((COUNTA($B34:$D34)+COUNTA($G34:$L34)+COUNTA($Q34))&gt;0),"",IF($V34="Sub",IFERROR($X34/INDEX($W$5:$W$1000,$U34-4),""),IF(ISNUMBER($G34),1,IF(N($W34)&gt;0,AVERAGEIFS($X$5:$X$1000,$U$5:$U$1000,ROW(),$V$5:$V$1000,"Sub"),$X34))))</f>
        <v/>
      </c>
      <c r="N34" s="56">
        <f>IF(OR($M34="",$V34="Sub"),"",IF($M34&gt;=1,"Completado",IF($M34&gt;0,"En curso","Pendiente")))</f>
        <v/>
      </c>
      <c r="O34" s="56">
        <f>IF(OR(NOT((COUNTA($B34:$D34)+COUNTA($G34:$L34)+COUNTA($Q34))&gt;0),$V34="Sub"),"",IF(ISNUMBER($G34),IF(AND(ISNUMBER($AN34),$G34&gt;$AN34),"Cumplida con "&amp;($G34-$AN34)&amp;IF($G34-$AN34=1," día"," días")&amp;" de retraso","Cumplida"),IF(N($M34)&gt;=1,"Cumplida",IF(NOT(ISNUMBER($AN34)),"Sin fecha límite",IF($AN34&lt;FechaRef,"Vencida hace "&amp;(FechaRef-$AN34)&amp;IF(FechaRef-$AN34=1," día"," días"),IF($AN34=FechaRef,"Vence hoy",IF($AN34-FechaRef&lt;=DiasAlerta,"Vence en "&amp;($AN34-FechaRef)&amp;IF($AN34-FechaRef=1," día"," días"),"En plazo")))))))</f>
        <v/>
      </c>
      <c r="P34" s="62" t="n"/>
      <c r="Q34" s="58" t="n"/>
      <c r="R34" s="63">
        <f>IF(NOT((COUNTA($B34:$D34)+COUNTA($G34:$L34)+COUNTA($Q34))&gt;0),"",IF((IF($C34="","Falta el nombre de la actividad"&amp;" · ","")&amp;IF(AND($V34="Sub",N($U34)=0),"Subactividad sin macroactividad arriba"&amp;" · ","")&amp;IF($AM34="","Sin fecha de inicio"&amp;" · ","")&amp;IF($AN34="","Sin fecha límite"&amp;" · ","")&amp;IF(AND(LEFT($C34,11)="[Jefatura] ",N($AL34)=0),"No se encuentra en la hoja de la jefatura (elíjala de nuevo en la lista)"&amp;" · ","")&amp;IF(OR(AND($E34&lt;&gt;"",NOT(ISNUMBER($E34))),AND($F34&lt;&gt;"",NOT(ISNUMBER($F34))),AND($G34&lt;&gt;"",NOT(ISNUMBER($G34)))),"Fecha no válida"&amp;" · ","")&amp;IF(AND(ISNUMBER($AM34),ISNUMBER($AN34),$AM34&gt;$AN34),"Inicio posterior a fecha límite"&amp;" · ","")&amp;IF(AND($V34="Macro",$H34&lt;&gt;"",OR(NOT(ISNUMBER($H34)),$H34&lt;0,$H34&gt;1)),"Peso fuera de rango"&amp;" · ","")&amp;IF(AND($V34="Sub",$H34&lt;&gt;""),"Las subactividades no llevan peso (valen igual dentro de su macroactividad)"&amp;" · ","")&amp;IF(AND(N($W34)&gt;0,COUNT($I34:$L34)&gt;0),"Con subactividades: deje vacías las semanas (se calculan solas)"&amp;" · ","")&amp;IF((COUNTIF($I34:$L34,"&gt;1")+COUNTIF($I34:$L34,"&lt;0")+COUNTA($I34:$L34)-COUNT($I34:$L34))&gt;0,"Avance fuera de rango 0-100%"&amp;" · ","")&amp;IF(OR(AND($J34&lt;&gt;"",$J34&lt;$I34),AND($K34&lt;&gt;"",$K34&lt;MAX($I34:$J34)),AND($L34&lt;&gt;"",$L34&lt;MAX($I34:$K34))),"Avance semanal decreciente"&amp;" · ","")&amp;IF(AND(ISNUMBER($AN34),$AN34&lt;FechaRef,IF($V34="Sub",N($X34),N($M34))&lt;1),"Vencida"&amp;" · ","")&amp;IF(AND(ObsObligatoria="Sí",ISNUMBER($AN34),$AN34&lt;FechaRef,IF($V34="Sub",N($X34),N($M34))&lt;1,$Q34=""),"Vencida sin observación"&amp;" · ",""))="","✔ OK","⚠ "&amp;LEFT(IF($C34="","Falta el nombre de la actividad"&amp;" · ","")&amp;IF(AND($V34="Sub",N($U34)=0),"Subactividad sin macroactividad arriba"&amp;" · ","")&amp;IF($AM34="","Sin fecha de inicio"&amp;" · ","")&amp;IF($AN34="","Sin fecha límite"&amp;" · ","")&amp;IF(AND(LEFT($C34,11)="[Jefatura] ",N($AL34)=0),"No se encuentra en la hoja de la jefatura (elíjala de nuevo en la lista)"&amp;" · ","")&amp;IF(OR(AND($E34&lt;&gt;"",NOT(ISNUMBER($E34))),AND($F34&lt;&gt;"",NOT(ISNUMBER($F34))),AND($G34&lt;&gt;"",NOT(ISNUMBER($G34)))),"Fecha no válida"&amp;" · ","")&amp;IF(AND(ISNUMBER($AM34),ISNUMBER($AN34),$AM34&gt;$AN34),"Inicio posterior a fecha límite"&amp;" · ","")&amp;IF(AND($V34="Macro",$H34&lt;&gt;"",OR(NOT(ISNUMBER($H34)),$H34&lt;0,$H34&gt;1)),"Peso fuera de rango"&amp;" · ","")&amp;IF(AND($V34="Sub",$H34&lt;&gt;""),"Las subactividades no llevan peso (valen igual dentro de su macroactividad)"&amp;" · ","")&amp;IF(AND(N($W34)&gt;0,COUNT($I34:$L34)&gt;0),"Con subactividades: deje vacías las semanas (se calculan solas)"&amp;" · ","")&amp;IF((COUNTIF($I34:$L34,"&gt;1")+COUNTIF($I34:$L34,"&lt;0")+COUNTA($I34:$L34)-COUNT($I34:$L34))&gt;0,"Avance fuera de rango 0-100%"&amp;" · ","")&amp;IF(OR(AND($J34&lt;&gt;"",$J34&lt;$I34),AND($K34&lt;&gt;"",$K34&lt;MAX($I34:$J34)),AND($L34&lt;&gt;"",$L34&lt;MAX($I34:$K34))),"Avance semanal decreciente"&amp;" · ","")&amp;IF(AND(ISNUMBER($AN34),$AN34&lt;FechaRef,IF($V34="Sub",N($X34),N($M34))&lt;1),"Vencida"&amp;" · ","")&amp;IF(AND(ObsObligatoria="Sí",ISNUMBER($AN34),$AN34&lt;FechaRef,IF($V34="Sub",N($X34),N($M34))&lt;1,$Q34=""),"Vencida sin observación"&amp;" · ",""),LEN(IF($C34="","Falta el nombre de la actividad"&amp;" · ","")&amp;IF(AND($V34="Sub",N($U34)=0),"Subactividad sin macroactividad arriba"&amp;" · ","")&amp;IF($AM34="","Sin fecha de inicio"&amp;" · ","")&amp;IF($AN34="","Sin fecha límite"&amp;" · ","")&amp;IF(AND(LEFT($C34,11)="[Jefatura] ",N($AL34)=0),"No se encuentra en la hoja de la jefatura (elíjala de nuevo en la lista)"&amp;" · ","")&amp;IF(OR(AND($E34&lt;&gt;"",NOT(ISNUMBER($E34))),AND($F34&lt;&gt;"",NOT(ISNUMBER($F34))),AND($G34&lt;&gt;"",NOT(ISNUMBER($G34)))),"Fecha no válida"&amp;" · ","")&amp;IF(AND(ISNUMBER($AM34),ISNUMBER($AN34),$AM34&gt;$AN34),"Inicio posterior a fecha límite"&amp;" · ","")&amp;IF(AND($V34="Macro",$H34&lt;&gt;"",OR(NOT(ISNUMBER($H34)),$H34&lt;0,$H34&gt;1)),"Peso fuera de rango"&amp;" · ","")&amp;IF(AND($V34="Sub",$H34&lt;&gt;""),"Las subactividades no llevan peso (valen igual dentro de su macroactividad)"&amp;" · ","")&amp;IF(AND(N($W34)&gt;0,COUNT($I34:$L34)&gt;0),"Con subactividades: deje vacías las semanas (se calculan solas)"&amp;" · ","")&amp;IF((COUNTIF($I34:$L34,"&gt;1")+COUNTIF($I34:$L34,"&lt;0")+COUNTA($I34:$L34)-COUNT($I34:$L34))&gt;0,"Avance fuera de rango 0-100%"&amp;" · ","")&amp;IF(OR(AND($J34&lt;&gt;"",$J34&lt;$I34),AND($K34&lt;&gt;"",$K34&lt;MAX($I34:$J34)),AND($L34&lt;&gt;"",$L34&lt;MAX($I34:$K34))),"Avance semanal decreciente"&amp;" · ","")&amp;IF(AND(ISNUMBER($AN34),$AN34&lt;FechaRef,IF($V34="Sub",N($X34),N($M34))&lt;1),"Vencida"&amp;" · ","")&amp;IF(AND(ObsObligatoria="Sí",ISNUMBER($AN34),$AN34&lt;FechaRef,IF($V34="Sub",N($X34),N($M34))&lt;1,$Q34=""),"Vencida sin observación"&amp;" · ",""))-3)))</f>
        <v/>
      </c>
      <c r="S34" s="64">
        <f>IF(NOT((COUNTA($B34:$D34)+COUNTA($G34:$L34)+COUNTA($Q34))&gt;0),"",IF(AND($V34="Sub",N($U34)&gt;0),IF(ISNUMBER(INDEX($AM$5:$AM$1000,$U34-4)),DATE(YEAR(INDEX($AM$5:$AM$1000,$U34-4)),MONTH(INDEX($AM$5:$AM$1000,$U34-4)),1),IF(ISNUMBER(INDEX($AN$5:$AN$1000,$U34-4)),DATE(YEAR(INDEX($AN$5:$AN$1000,$U34-4)),MONTH(INDEX($AN$5:$AN$1000,$U34-4)),1),MesCiclo)),IF(ISNUMBER($AM34),DATE(YEAR($AM34),MONTH($AM34),1),IF(ISNUMBER($AN34),DATE(YEAR($AN34),MONTH($AN34),1),MesCiclo))))</f>
        <v/>
      </c>
      <c r="T34" s="62">
        <f>IF(OR($S34="",$S34&lt;&gt;MesCiclo,$V34&lt;&gt;"Macro"),"",COUNTIFS($S$5:$S34,MesCiclo,$V$5:$V34,"Macro"))</f>
        <v/>
      </c>
      <c r="U34" s="62">
        <f>IF($V34="","",IF($V34="Macro",ROW(),IFERROR(LOOKUP(2,1/($V$5:$V34="Macro"),ROW($V$5:$V34)),0)))</f>
        <v/>
      </c>
      <c r="V34" s="62">
        <f>IF(NOT((COUNTA($B34:$D34)+COUNTA($G34:$L34)+COUNTA($Q34))&gt;0),"",IF($B34="Subactividad","Sub","Macro"))</f>
        <v/>
      </c>
      <c r="W34" s="62">
        <f>IF($V34="Macro",COUNTIFS($U$5:$U$1000,ROW(),$V$5:$V$1000,"Sub"),"")</f>
        <v/>
      </c>
      <c r="X34" s="62">
        <f>IF($V34="","",IF(ISNUMBER($G34),1,IFERROR(LOOKUP(2,1/($I34:$L34&lt;&gt;""),$I34:$L34),0)))</f>
        <v/>
      </c>
      <c r="Y34" s="62">
        <f>IF($V34="","",IF(AND(ISNUMBER($G34),$G34&lt;=IF($S34=MesCiclo,InicioCiclo,$S34+MOD(2-WEEKDAY($S34),7))+6),1,IF(ISNUMBER($I34),$I34,0)))</f>
        <v/>
      </c>
      <c r="Z34" s="62">
        <f>IF($V34="","",IF(AND(ISNUMBER($G34),$G34&lt;=IF($S34=MesCiclo,InicioCiclo,$S34+MOD(2-WEEKDAY($S34),7))+13),1,IF(ISNUMBER($J34),$J34,$Y34)))</f>
        <v/>
      </c>
      <c r="AA34" s="62">
        <f>IF($V34="","",IF(AND(ISNUMBER($G34),$G34&lt;=IF($S34=MesCiclo,InicioCiclo,$S34+MOD(2-WEEKDAY($S34),7))+20),1,IF(ISNUMBER($K34),$K34,$Z34)))</f>
        <v/>
      </c>
      <c r="AB34" s="62">
        <f>IF($V34="","",IF(AND(ISNUMBER($G34),$G34&lt;=IF($S34=MesCiclo,InicioCiclo,$S34+MOD(2-WEEKDAY($S34),7))+27),1,IF(ISNUMBER($L34),$L34,$AA34)))</f>
        <v/>
      </c>
      <c r="AC34" s="62">
        <f>IF($V34="","",IF(AND(ISNUMBER($G34),$G34&lt;=IF($S34=MesCiclo,InicioCiclo,$S34+MOD(2-WEEKDAY($S34),7))+6),1,IF(N($W34)&gt;0,AVERAGEIFS($Y$5:$Y$1000,$U$5:$U$1000,ROW(),$V$5:$V$1000,"Sub"),$Y34)))</f>
        <v/>
      </c>
      <c r="AD34" s="62">
        <f>IF($V34="","",IF(AND(ISNUMBER($G34),$G34&lt;=IF($S34=MesCiclo,InicioCiclo,$S34+MOD(2-WEEKDAY($S34),7))+13),1,IF(N($W34)&gt;0,AVERAGEIFS($Z$5:$Z$1000,$U$5:$U$1000,ROW(),$V$5:$V$1000,"Sub"),$Z34)))</f>
        <v/>
      </c>
      <c r="AE34" s="62">
        <f>IF($V34="","",IF(AND(ISNUMBER($G34),$G34&lt;=IF($S34=MesCiclo,InicioCiclo,$S34+MOD(2-WEEKDAY($S34),7))+20),1,IF(N($W34)&gt;0,AVERAGEIFS($AA$5:$AA$1000,$U$5:$U$1000,ROW(),$V$5:$V$1000,"Sub"),$AA34)))</f>
        <v/>
      </c>
      <c r="AF34" s="62">
        <f>IF($V34="","",IF(AND(ISNUMBER($G34),$G34&lt;=IF($S34=MesCiclo,InicioCiclo,$S34+MOD(2-WEEKDAY($S34),7))+27),1,IF(N($W34)&gt;0,AVERAGEIFS($AB$5:$AB$1000,$U$5:$U$1000,ROW(),$V$5:$V$1000,"Sub"),$AB34)))</f>
        <v/>
      </c>
      <c r="AG34" s="62">
        <f>IF($V34&lt;&gt;"Macro","",IF(COUNTIFS($S$5:$S$1000,$S34,$V$5:$V$1000,"Macro",$H$5:$H$1000,"&gt;0")=0,1/COUNTIFS($S$5:$S$1000,$S34,$V$5:$V$1000,"Macro"),IF(AND(ISNUMBER($H34),N($H34)&gt;0),$H34,SUMIFS($H$5:$H$1000,$S$5:$S$1000,$S34,$V$5:$V$1000,"Macro")/COUNTIFS($S$5:$S$1000,$S34,$V$5:$V$1000,"Macro",$H$5:$H$1000,"&gt;0"))/(COUNTIFS($S$5:$S$1000,$S34,$V$5:$V$1000,"Macro")*SUMIFS($H$5:$H$1000,$S$5:$S$1000,$S34,$V$5:$V$1000,"Macro")/COUNTIFS($S$5:$S$1000,$S34,$V$5:$V$1000,"Macro",$H$5:$H$1000,"&gt;0"))))</f>
        <v/>
      </c>
      <c r="AH34" s="62" t="n"/>
      <c r="AI34" s="62" t="n"/>
      <c r="AJ34" s="62" t="n"/>
      <c r="AK34" s="62" t="n"/>
      <c r="AL34" s="62">
        <f>IF(LEFT($C34,11)="[Jefatura] ",IFERROR(MATCH("Riesgo Financiero|"&amp;MID($C34,12,500),rDname_ADM,0),0),"")</f>
        <v/>
      </c>
      <c r="AM34" s="62">
        <f>IF(N($AL34)&gt;0,INDEX(rIni_ADM,$AL34),IF(ISNUMBER($E34),$E34,""))</f>
        <v/>
      </c>
      <c r="AN34" s="62">
        <f>IF(N($AL34)&gt;0,INDEX(rLim_ADM,$AL34),IF(ISNUMBER($F34),$F34,""))</f>
        <v/>
      </c>
    </row>
    <row r="35">
      <c r="A35" s="56">
        <f>IF(NOT((COUNTA($B35:$D35)+COUNTA($G35:$L35)+COUNTA($Q35))&gt;0),"",IF($V35="Macro",COUNTIFS($V$5:$V35,"Macro",$S$5:$S35,$S35),IF(N($U35)=0,"?",COUNTIFS(INDEX($V$5:$V$1000,1):INDEX($V$5:$V$1000,$U35-4),"Macro",INDEX($S$5:$S$1000,1):INDEX($S$5:$S$1000,$U35-4),INDEX($S$5:$S$1000,$U35-4))&amp;"."&amp;COUNTIFS($U$5:$U35,$U35,$V$5:$V35,"Sub"))))</f>
        <v/>
      </c>
      <c r="B35" s="57" t="n"/>
      <c r="C35" s="58" t="n"/>
      <c r="D35" s="58" t="n"/>
      <c r="E35" s="59">
        <f>IF(N($AL35)&gt;0,INDEX(rIni_ADM,$AL35),"")</f>
        <v/>
      </c>
      <c r="F35" s="59">
        <f>IF(N($AL35)&gt;0,INDEX(rLim_ADM,$AL35),"")</f>
        <v/>
      </c>
      <c r="G35" s="59" t="n"/>
      <c r="H35" s="60" t="n"/>
      <c r="I35" s="60" t="n"/>
      <c r="J35" s="60" t="n"/>
      <c r="K35" s="60" t="n"/>
      <c r="L35" s="60" t="n"/>
      <c r="M35" s="61">
        <f>IF(NOT((COUNTA($B35:$D35)+COUNTA($G35:$L35)+COUNTA($Q35))&gt;0),"",IF($V35="Sub",IFERROR($X35/INDEX($W$5:$W$1000,$U35-4),""),IF(ISNUMBER($G35),1,IF(N($W35)&gt;0,AVERAGEIFS($X$5:$X$1000,$U$5:$U$1000,ROW(),$V$5:$V$1000,"Sub"),$X35))))</f>
        <v/>
      </c>
      <c r="N35" s="56">
        <f>IF(OR($M35="",$V35="Sub"),"",IF($M35&gt;=1,"Completado",IF($M35&gt;0,"En curso","Pendiente")))</f>
        <v/>
      </c>
      <c r="O35" s="56">
        <f>IF(OR(NOT((COUNTA($B35:$D35)+COUNTA($G35:$L35)+COUNTA($Q35))&gt;0),$V35="Sub"),"",IF(ISNUMBER($G35),IF(AND(ISNUMBER($AN35),$G35&gt;$AN35),"Cumplida con "&amp;($G35-$AN35)&amp;IF($G35-$AN35=1," día"," días")&amp;" de retraso","Cumplida"),IF(N($M35)&gt;=1,"Cumplida",IF(NOT(ISNUMBER($AN35)),"Sin fecha límite",IF($AN35&lt;FechaRef,"Vencida hace "&amp;(FechaRef-$AN35)&amp;IF(FechaRef-$AN35=1," día"," días"),IF($AN35=FechaRef,"Vence hoy",IF($AN35-FechaRef&lt;=DiasAlerta,"Vence en "&amp;($AN35-FechaRef)&amp;IF($AN35-FechaRef=1," día"," días"),"En plazo")))))))</f>
        <v/>
      </c>
      <c r="P35" s="62" t="n"/>
      <c r="Q35" s="58" t="n"/>
      <c r="R35" s="63">
        <f>IF(NOT((COUNTA($B35:$D35)+COUNTA($G35:$L35)+COUNTA($Q35))&gt;0),"",IF((IF($C35="","Falta el nombre de la actividad"&amp;" · ","")&amp;IF(AND($V35="Sub",N($U35)=0),"Subactividad sin macroactividad arriba"&amp;" · ","")&amp;IF($AM35="","Sin fecha de inicio"&amp;" · ","")&amp;IF($AN35="","Sin fecha límite"&amp;" · ","")&amp;IF(AND(LEFT($C35,11)="[Jefatura] ",N($AL35)=0),"No se encuentra en la hoja de la jefatura (elíjala de nuevo en la lista)"&amp;" · ","")&amp;IF(OR(AND($E35&lt;&gt;"",NOT(ISNUMBER($E35))),AND($F35&lt;&gt;"",NOT(ISNUMBER($F35))),AND($G35&lt;&gt;"",NOT(ISNUMBER($G35)))),"Fecha no válida"&amp;" · ","")&amp;IF(AND(ISNUMBER($AM35),ISNUMBER($AN35),$AM35&gt;$AN35),"Inicio posterior a fecha límite"&amp;" · ","")&amp;IF(AND($V35="Macro",$H35&lt;&gt;"",OR(NOT(ISNUMBER($H35)),$H35&lt;0,$H35&gt;1)),"Peso fuera de rango"&amp;" · ","")&amp;IF(AND($V35="Sub",$H35&lt;&gt;""),"Las subactividades no llevan peso (valen igual dentro de su macroactividad)"&amp;" · ","")&amp;IF(AND(N($W35)&gt;0,COUNT($I35:$L35)&gt;0),"Con subactividades: deje vacías las semanas (se calculan solas)"&amp;" · ","")&amp;IF((COUNTIF($I35:$L35,"&gt;1")+COUNTIF($I35:$L35,"&lt;0")+COUNTA($I35:$L35)-COUNT($I35:$L35))&gt;0,"Avance fuera de rango 0-100%"&amp;" · ","")&amp;IF(OR(AND($J35&lt;&gt;"",$J35&lt;$I35),AND($K35&lt;&gt;"",$K35&lt;MAX($I35:$J35)),AND($L35&lt;&gt;"",$L35&lt;MAX($I35:$K35))),"Avance semanal decreciente"&amp;" · ","")&amp;IF(AND(ISNUMBER($AN35),$AN35&lt;FechaRef,IF($V35="Sub",N($X35),N($M35))&lt;1),"Vencida"&amp;" · ","")&amp;IF(AND(ObsObligatoria="Sí",ISNUMBER($AN35),$AN35&lt;FechaRef,IF($V35="Sub",N($X35),N($M35))&lt;1,$Q35=""),"Vencida sin observación"&amp;" · ",""))="","✔ OK","⚠ "&amp;LEFT(IF($C35="","Falta el nombre de la actividad"&amp;" · ","")&amp;IF(AND($V35="Sub",N($U35)=0),"Subactividad sin macroactividad arriba"&amp;" · ","")&amp;IF($AM35="","Sin fecha de inicio"&amp;" · ","")&amp;IF($AN35="","Sin fecha límite"&amp;" · ","")&amp;IF(AND(LEFT($C35,11)="[Jefatura] ",N($AL35)=0),"No se encuentra en la hoja de la jefatura (elíjala de nuevo en la lista)"&amp;" · ","")&amp;IF(OR(AND($E35&lt;&gt;"",NOT(ISNUMBER($E35))),AND($F35&lt;&gt;"",NOT(ISNUMBER($F35))),AND($G35&lt;&gt;"",NOT(ISNUMBER($G35)))),"Fecha no válida"&amp;" · ","")&amp;IF(AND(ISNUMBER($AM35),ISNUMBER($AN35),$AM35&gt;$AN35),"Inicio posterior a fecha límite"&amp;" · ","")&amp;IF(AND($V35="Macro",$H35&lt;&gt;"",OR(NOT(ISNUMBER($H35)),$H35&lt;0,$H35&gt;1)),"Peso fuera de rango"&amp;" · ","")&amp;IF(AND($V35="Sub",$H35&lt;&gt;""),"Las subactividades no llevan peso (valen igual dentro de su macroactividad)"&amp;" · ","")&amp;IF(AND(N($W35)&gt;0,COUNT($I35:$L35)&gt;0),"Con subactividades: deje vacías las semanas (se calculan solas)"&amp;" · ","")&amp;IF((COUNTIF($I35:$L35,"&gt;1")+COUNTIF($I35:$L35,"&lt;0")+COUNTA($I35:$L35)-COUNT($I35:$L35))&gt;0,"Avance fuera de rango 0-100%"&amp;" · ","")&amp;IF(OR(AND($J35&lt;&gt;"",$J35&lt;$I35),AND($K35&lt;&gt;"",$K35&lt;MAX($I35:$J35)),AND($L35&lt;&gt;"",$L35&lt;MAX($I35:$K35))),"Avance semanal decreciente"&amp;" · ","")&amp;IF(AND(ISNUMBER($AN35),$AN35&lt;FechaRef,IF($V35="Sub",N($X35),N($M35))&lt;1),"Vencida"&amp;" · ","")&amp;IF(AND(ObsObligatoria="Sí",ISNUMBER($AN35),$AN35&lt;FechaRef,IF($V35="Sub",N($X35),N($M35))&lt;1,$Q35=""),"Vencida sin observación"&amp;" · ",""),LEN(IF($C35="","Falta el nombre de la actividad"&amp;" · ","")&amp;IF(AND($V35="Sub",N($U35)=0),"Subactividad sin macroactividad arriba"&amp;" · ","")&amp;IF($AM35="","Sin fecha de inicio"&amp;" · ","")&amp;IF($AN35="","Sin fecha límite"&amp;" · ","")&amp;IF(AND(LEFT($C35,11)="[Jefatura] ",N($AL35)=0),"No se encuentra en la hoja de la jefatura (elíjala de nuevo en la lista)"&amp;" · ","")&amp;IF(OR(AND($E35&lt;&gt;"",NOT(ISNUMBER($E35))),AND($F35&lt;&gt;"",NOT(ISNUMBER($F35))),AND($G35&lt;&gt;"",NOT(ISNUMBER($G35)))),"Fecha no válida"&amp;" · ","")&amp;IF(AND(ISNUMBER($AM35),ISNUMBER($AN35),$AM35&gt;$AN35),"Inicio posterior a fecha límite"&amp;" · ","")&amp;IF(AND($V35="Macro",$H35&lt;&gt;"",OR(NOT(ISNUMBER($H35)),$H35&lt;0,$H35&gt;1)),"Peso fuera de rango"&amp;" · ","")&amp;IF(AND($V35="Sub",$H35&lt;&gt;""),"Las subactividades no llevan peso (valen igual dentro de su macroactividad)"&amp;" · ","")&amp;IF(AND(N($W35)&gt;0,COUNT($I35:$L35)&gt;0),"Con subactividades: deje vacías las semanas (se calculan solas)"&amp;" · ","")&amp;IF((COUNTIF($I35:$L35,"&gt;1")+COUNTIF($I35:$L35,"&lt;0")+COUNTA($I35:$L35)-COUNT($I35:$L35))&gt;0,"Avance fuera de rango 0-100%"&amp;" · ","")&amp;IF(OR(AND($J35&lt;&gt;"",$J35&lt;$I35),AND($K35&lt;&gt;"",$K35&lt;MAX($I35:$J35)),AND($L35&lt;&gt;"",$L35&lt;MAX($I35:$K35))),"Avance semanal decreciente"&amp;" · ","")&amp;IF(AND(ISNUMBER($AN35),$AN35&lt;FechaRef,IF($V35="Sub",N($X35),N($M35))&lt;1),"Vencida"&amp;" · ","")&amp;IF(AND(ObsObligatoria="Sí",ISNUMBER($AN35),$AN35&lt;FechaRef,IF($V35="Sub",N($X35),N($M35))&lt;1,$Q35=""),"Vencida sin observación"&amp;" · ",""))-3)))</f>
        <v/>
      </c>
      <c r="S35" s="64">
        <f>IF(NOT((COUNTA($B35:$D35)+COUNTA($G35:$L35)+COUNTA($Q35))&gt;0),"",IF(AND($V35="Sub",N($U35)&gt;0),IF(ISNUMBER(INDEX($AM$5:$AM$1000,$U35-4)),DATE(YEAR(INDEX($AM$5:$AM$1000,$U35-4)),MONTH(INDEX($AM$5:$AM$1000,$U35-4)),1),IF(ISNUMBER(INDEX($AN$5:$AN$1000,$U35-4)),DATE(YEAR(INDEX($AN$5:$AN$1000,$U35-4)),MONTH(INDEX($AN$5:$AN$1000,$U35-4)),1),MesCiclo)),IF(ISNUMBER($AM35),DATE(YEAR($AM35),MONTH($AM35),1),IF(ISNUMBER($AN35),DATE(YEAR($AN35),MONTH($AN35),1),MesCiclo))))</f>
        <v/>
      </c>
      <c r="T35" s="62">
        <f>IF(OR($S35="",$S35&lt;&gt;MesCiclo,$V35&lt;&gt;"Macro"),"",COUNTIFS($S$5:$S35,MesCiclo,$V$5:$V35,"Macro"))</f>
        <v/>
      </c>
      <c r="U35" s="62">
        <f>IF($V35="","",IF($V35="Macro",ROW(),IFERROR(LOOKUP(2,1/($V$5:$V35="Macro"),ROW($V$5:$V35)),0)))</f>
        <v/>
      </c>
      <c r="V35" s="62">
        <f>IF(NOT((COUNTA($B35:$D35)+COUNTA($G35:$L35)+COUNTA($Q35))&gt;0),"",IF($B35="Subactividad","Sub","Macro"))</f>
        <v/>
      </c>
      <c r="W35" s="62">
        <f>IF($V35="Macro",COUNTIFS($U$5:$U$1000,ROW(),$V$5:$V$1000,"Sub"),"")</f>
        <v/>
      </c>
      <c r="X35" s="62">
        <f>IF($V35="","",IF(ISNUMBER($G35),1,IFERROR(LOOKUP(2,1/($I35:$L35&lt;&gt;""),$I35:$L35),0)))</f>
        <v/>
      </c>
      <c r="Y35" s="62">
        <f>IF($V35="","",IF(AND(ISNUMBER($G35),$G35&lt;=IF($S35=MesCiclo,InicioCiclo,$S35+MOD(2-WEEKDAY($S35),7))+6),1,IF(ISNUMBER($I35),$I35,0)))</f>
        <v/>
      </c>
      <c r="Z35" s="62">
        <f>IF($V35="","",IF(AND(ISNUMBER($G35),$G35&lt;=IF($S35=MesCiclo,InicioCiclo,$S35+MOD(2-WEEKDAY($S35),7))+13),1,IF(ISNUMBER($J35),$J35,$Y35)))</f>
        <v/>
      </c>
      <c r="AA35" s="62">
        <f>IF($V35="","",IF(AND(ISNUMBER($G35),$G35&lt;=IF($S35=MesCiclo,InicioCiclo,$S35+MOD(2-WEEKDAY($S35),7))+20),1,IF(ISNUMBER($K35),$K35,$Z35)))</f>
        <v/>
      </c>
      <c r="AB35" s="62">
        <f>IF($V35="","",IF(AND(ISNUMBER($G35),$G35&lt;=IF($S35=MesCiclo,InicioCiclo,$S35+MOD(2-WEEKDAY($S35),7))+27),1,IF(ISNUMBER($L35),$L35,$AA35)))</f>
        <v/>
      </c>
      <c r="AC35" s="62">
        <f>IF($V35="","",IF(AND(ISNUMBER($G35),$G35&lt;=IF($S35=MesCiclo,InicioCiclo,$S35+MOD(2-WEEKDAY($S35),7))+6),1,IF(N($W35)&gt;0,AVERAGEIFS($Y$5:$Y$1000,$U$5:$U$1000,ROW(),$V$5:$V$1000,"Sub"),$Y35)))</f>
        <v/>
      </c>
      <c r="AD35" s="62">
        <f>IF($V35="","",IF(AND(ISNUMBER($G35),$G35&lt;=IF($S35=MesCiclo,InicioCiclo,$S35+MOD(2-WEEKDAY($S35),7))+13),1,IF(N($W35)&gt;0,AVERAGEIFS($Z$5:$Z$1000,$U$5:$U$1000,ROW(),$V$5:$V$1000,"Sub"),$Z35)))</f>
        <v/>
      </c>
      <c r="AE35" s="62">
        <f>IF($V35="","",IF(AND(ISNUMBER($G35),$G35&lt;=IF($S35=MesCiclo,InicioCiclo,$S35+MOD(2-WEEKDAY($S35),7))+20),1,IF(N($W35)&gt;0,AVERAGEIFS($AA$5:$AA$1000,$U$5:$U$1000,ROW(),$V$5:$V$1000,"Sub"),$AA35)))</f>
        <v/>
      </c>
      <c r="AF35" s="62">
        <f>IF($V35="","",IF(AND(ISNUMBER($G35),$G35&lt;=IF($S35=MesCiclo,InicioCiclo,$S35+MOD(2-WEEKDAY($S35),7))+27),1,IF(N($W35)&gt;0,AVERAGEIFS($AB$5:$AB$1000,$U$5:$U$1000,ROW(),$V$5:$V$1000,"Sub"),$AB35)))</f>
        <v/>
      </c>
      <c r="AG35" s="62">
        <f>IF($V35&lt;&gt;"Macro","",IF(COUNTIFS($S$5:$S$1000,$S35,$V$5:$V$1000,"Macro",$H$5:$H$1000,"&gt;0")=0,1/COUNTIFS($S$5:$S$1000,$S35,$V$5:$V$1000,"Macro"),IF(AND(ISNUMBER($H35),N($H35)&gt;0),$H35,SUMIFS($H$5:$H$1000,$S$5:$S$1000,$S35,$V$5:$V$1000,"Macro")/COUNTIFS($S$5:$S$1000,$S35,$V$5:$V$1000,"Macro",$H$5:$H$1000,"&gt;0"))/(COUNTIFS($S$5:$S$1000,$S35,$V$5:$V$1000,"Macro")*SUMIFS($H$5:$H$1000,$S$5:$S$1000,$S35,$V$5:$V$1000,"Macro")/COUNTIFS($S$5:$S$1000,$S35,$V$5:$V$1000,"Macro",$H$5:$H$1000,"&gt;0"))))</f>
        <v/>
      </c>
      <c r="AH35" s="62" t="n"/>
      <c r="AI35" s="62" t="n"/>
      <c r="AJ35" s="62" t="n"/>
      <c r="AK35" s="62" t="n"/>
      <c r="AL35" s="62">
        <f>IF(LEFT($C35,11)="[Jefatura] ",IFERROR(MATCH("Riesgo Financiero|"&amp;MID($C35,12,500),rDname_ADM,0),0),"")</f>
        <v/>
      </c>
      <c r="AM35" s="62">
        <f>IF(N($AL35)&gt;0,INDEX(rIni_ADM,$AL35),IF(ISNUMBER($E35),$E35,""))</f>
        <v/>
      </c>
      <c r="AN35" s="62">
        <f>IF(N($AL35)&gt;0,INDEX(rLim_ADM,$AL35),IF(ISNUMBER($F35),$F35,""))</f>
        <v/>
      </c>
    </row>
    <row r="36">
      <c r="A36" s="56">
        <f>IF(NOT((COUNTA($B36:$D36)+COUNTA($G36:$L36)+COUNTA($Q36))&gt;0),"",IF($V36="Macro",COUNTIFS($V$5:$V36,"Macro",$S$5:$S36,$S36),IF(N($U36)=0,"?",COUNTIFS(INDEX($V$5:$V$1000,1):INDEX($V$5:$V$1000,$U36-4),"Macro",INDEX($S$5:$S$1000,1):INDEX($S$5:$S$1000,$U36-4),INDEX($S$5:$S$1000,$U36-4))&amp;"."&amp;COUNTIFS($U$5:$U36,$U36,$V$5:$V36,"Sub"))))</f>
        <v/>
      </c>
      <c r="B36" s="57" t="n"/>
      <c r="C36" s="58" t="n"/>
      <c r="D36" s="58" t="n"/>
      <c r="E36" s="59">
        <f>IF(N($AL36)&gt;0,INDEX(rIni_ADM,$AL36),"")</f>
        <v/>
      </c>
      <c r="F36" s="59">
        <f>IF(N($AL36)&gt;0,INDEX(rLim_ADM,$AL36),"")</f>
        <v/>
      </c>
      <c r="G36" s="59" t="n"/>
      <c r="H36" s="60" t="n"/>
      <c r="I36" s="60" t="n"/>
      <c r="J36" s="60" t="n"/>
      <c r="K36" s="60" t="n"/>
      <c r="L36" s="60" t="n"/>
      <c r="M36" s="61">
        <f>IF(NOT((COUNTA($B36:$D36)+COUNTA($G36:$L36)+COUNTA($Q36))&gt;0),"",IF($V36="Sub",IFERROR($X36/INDEX($W$5:$W$1000,$U36-4),""),IF(ISNUMBER($G36),1,IF(N($W36)&gt;0,AVERAGEIFS($X$5:$X$1000,$U$5:$U$1000,ROW(),$V$5:$V$1000,"Sub"),$X36))))</f>
        <v/>
      </c>
      <c r="N36" s="56">
        <f>IF(OR($M36="",$V36="Sub"),"",IF($M36&gt;=1,"Completado",IF($M36&gt;0,"En curso","Pendiente")))</f>
        <v/>
      </c>
      <c r="O36" s="56">
        <f>IF(OR(NOT((COUNTA($B36:$D36)+COUNTA($G36:$L36)+COUNTA($Q36))&gt;0),$V36="Sub"),"",IF(ISNUMBER($G36),IF(AND(ISNUMBER($AN36),$G36&gt;$AN36),"Cumplida con "&amp;($G36-$AN36)&amp;IF($G36-$AN36=1," día"," días")&amp;" de retraso","Cumplida"),IF(N($M36)&gt;=1,"Cumplida",IF(NOT(ISNUMBER($AN36)),"Sin fecha límite",IF($AN36&lt;FechaRef,"Vencida hace "&amp;(FechaRef-$AN36)&amp;IF(FechaRef-$AN36=1," día"," días"),IF($AN36=FechaRef,"Vence hoy",IF($AN36-FechaRef&lt;=DiasAlerta,"Vence en "&amp;($AN36-FechaRef)&amp;IF($AN36-FechaRef=1," día"," días"),"En plazo")))))))</f>
        <v/>
      </c>
      <c r="P36" s="62" t="n"/>
      <c r="Q36" s="58" t="n"/>
      <c r="R36" s="63">
        <f>IF(NOT((COUNTA($B36:$D36)+COUNTA($G36:$L36)+COUNTA($Q36))&gt;0),"",IF((IF($C36="","Falta el nombre de la actividad"&amp;" · ","")&amp;IF(AND($V36="Sub",N($U36)=0),"Subactividad sin macroactividad arriba"&amp;" · ","")&amp;IF($AM36="","Sin fecha de inicio"&amp;" · ","")&amp;IF($AN36="","Sin fecha límite"&amp;" · ","")&amp;IF(AND(LEFT($C36,11)="[Jefatura] ",N($AL36)=0),"No se encuentra en la hoja de la jefatura (elíjala de nuevo en la lista)"&amp;" · ","")&amp;IF(OR(AND($E36&lt;&gt;"",NOT(ISNUMBER($E36))),AND($F36&lt;&gt;"",NOT(ISNUMBER($F36))),AND($G36&lt;&gt;"",NOT(ISNUMBER($G36)))),"Fecha no válida"&amp;" · ","")&amp;IF(AND(ISNUMBER($AM36),ISNUMBER($AN36),$AM36&gt;$AN36),"Inicio posterior a fecha límite"&amp;" · ","")&amp;IF(AND($V36="Macro",$H36&lt;&gt;"",OR(NOT(ISNUMBER($H36)),$H36&lt;0,$H36&gt;1)),"Peso fuera de rango"&amp;" · ","")&amp;IF(AND($V36="Sub",$H36&lt;&gt;""),"Las subactividades no llevan peso (valen igual dentro de su macroactividad)"&amp;" · ","")&amp;IF(AND(N($W36)&gt;0,COUNT($I36:$L36)&gt;0),"Con subactividades: deje vacías las semanas (se calculan solas)"&amp;" · ","")&amp;IF((COUNTIF($I36:$L36,"&gt;1")+COUNTIF($I36:$L36,"&lt;0")+COUNTA($I36:$L36)-COUNT($I36:$L36))&gt;0,"Avance fuera de rango 0-100%"&amp;" · ","")&amp;IF(OR(AND($J36&lt;&gt;"",$J36&lt;$I36),AND($K36&lt;&gt;"",$K36&lt;MAX($I36:$J36)),AND($L36&lt;&gt;"",$L36&lt;MAX($I36:$K36))),"Avance semanal decreciente"&amp;" · ","")&amp;IF(AND(ISNUMBER($AN36),$AN36&lt;FechaRef,IF($V36="Sub",N($X36),N($M36))&lt;1),"Vencida"&amp;" · ","")&amp;IF(AND(ObsObligatoria="Sí",ISNUMBER($AN36),$AN36&lt;FechaRef,IF($V36="Sub",N($X36),N($M36))&lt;1,$Q36=""),"Vencida sin observación"&amp;" · ",""))="","✔ OK","⚠ "&amp;LEFT(IF($C36="","Falta el nombre de la actividad"&amp;" · ","")&amp;IF(AND($V36="Sub",N($U36)=0),"Subactividad sin macroactividad arriba"&amp;" · ","")&amp;IF($AM36="","Sin fecha de inicio"&amp;" · ","")&amp;IF($AN36="","Sin fecha límite"&amp;" · ","")&amp;IF(AND(LEFT($C36,11)="[Jefatura] ",N($AL36)=0),"No se encuentra en la hoja de la jefatura (elíjala de nuevo en la lista)"&amp;" · ","")&amp;IF(OR(AND($E36&lt;&gt;"",NOT(ISNUMBER($E36))),AND($F36&lt;&gt;"",NOT(ISNUMBER($F36))),AND($G36&lt;&gt;"",NOT(ISNUMBER($G36)))),"Fecha no válida"&amp;" · ","")&amp;IF(AND(ISNUMBER($AM36),ISNUMBER($AN36),$AM36&gt;$AN36),"Inicio posterior a fecha límite"&amp;" · ","")&amp;IF(AND($V36="Macro",$H36&lt;&gt;"",OR(NOT(ISNUMBER($H36)),$H36&lt;0,$H36&gt;1)),"Peso fuera de rango"&amp;" · ","")&amp;IF(AND($V36="Sub",$H36&lt;&gt;""),"Las subactividades no llevan peso (valen igual dentro de su macroactividad)"&amp;" · ","")&amp;IF(AND(N($W36)&gt;0,COUNT($I36:$L36)&gt;0),"Con subactividades: deje vacías las semanas (se calculan solas)"&amp;" · ","")&amp;IF((COUNTIF($I36:$L36,"&gt;1")+COUNTIF($I36:$L36,"&lt;0")+COUNTA($I36:$L36)-COUNT($I36:$L36))&gt;0,"Avance fuera de rango 0-100%"&amp;" · ","")&amp;IF(OR(AND($J36&lt;&gt;"",$J36&lt;$I36),AND($K36&lt;&gt;"",$K36&lt;MAX($I36:$J36)),AND($L36&lt;&gt;"",$L36&lt;MAX($I36:$K36))),"Avance semanal decreciente"&amp;" · ","")&amp;IF(AND(ISNUMBER($AN36),$AN36&lt;FechaRef,IF($V36="Sub",N($X36),N($M36))&lt;1),"Vencida"&amp;" · ","")&amp;IF(AND(ObsObligatoria="Sí",ISNUMBER($AN36),$AN36&lt;FechaRef,IF($V36="Sub",N($X36),N($M36))&lt;1,$Q36=""),"Vencida sin observación"&amp;" · ",""),LEN(IF($C36="","Falta el nombre de la actividad"&amp;" · ","")&amp;IF(AND($V36="Sub",N($U36)=0),"Subactividad sin macroactividad arriba"&amp;" · ","")&amp;IF($AM36="","Sin fecha de inicio"&amp;" · ","")&amp;IF($AN36="","Sin fecha límite"&amp;" · ","")&amp;IF(AND(LEFT($C36,11)="[Jefatura] ",N($AL36)=0),"No se encuentra en la hoja de la jefatura (elíjala de nuevo en la lista)"&amp;" · ","")&amp;IF(OR(AND($E36&lt;&gt;"",NOT(ISNUMBER($E36))),AND($F36&lt;&gt;"",NOT(ISNUMBER($F36))),AND($G36&lt;&gt;"",NOT(ISNUMBER($G36)))),"Fecha no válida"&amp;" · ","")&amp;IF(AND(ISNUMBER($AM36),ISNUMBER($AN36),$AM36&gt;$AN36),"Inicio posterior a fecha límite"&amp;" · ","")&amp;IF(AND($V36="Macro",$H36&lt;&gt;"",OR(NOT(ISNUMBER($H36)),$H36&lt;0,$H36&gt;1)),"Peso fuera de rango"&amp;" · ","")&amp;IF(AND($V36="Sub",$H36&lt;&gt;""),"Las subactividades no llevan peso (valen igual dentro de su macroactividad)"&amp;" · ","")&amp;IF(AND(N($W36)&gt;0,COUNT($I36:$L36)&gt;0),"Con subactividades: deje vacías las semanas (se calculan solas)"&amp;" · ","")&amp;IF((COUNTIF($I36:$L36,"&gt;1")+COUNTIF($I36:$L36,"&lt;0")+COUNTA($I36:$L36)-COUNT($I36:$L36))&gt;0,"Avance fuera de rango 0-100%"&amp;" · ","")&amp;IF(OR(AND($J36&lt;&gt;"",$J36&lt;$I36),AND($K36&lt;&gt;"",$K36&lt;MAX($I36:$J36)),AND($L36&lt;&gt;"",$L36&lt;MAX($I36:$K36))),"Avance semanal decreciente"&amp;" · ","")&amp;IF(AND(ISNUMBER($AN36),$AN36&lt;FechaRef,IF($V36="Sub",N($X36),N($M36))&lt;1),"Vencida"&amp;" · ","")&amp;IF(AND(ObsObligatoria="Sí",ISNUMBER($AN36),$AN36&lt;FechaRef,IF($V36="Sub",N($X36),N($M36))&lt;1,$Q36=""),"Vencida sin observación"&amp;" · ",""))-3)))</f>
        <v/>
      </c>
      <c r="S36" s="64">
        <f>IF(NOT((COUNTA($B36:$D36)+COUNTA($G36:$L36)+COUNTA($Q36))&gt;0),"",IF(AND($V36="Sub",N($U36)&gt;0),IF(ISNUMBER(INDEX($AM$5:$AM$1000,$U36-4)),DATE(YEAR(INDEX($AM$5:$AM$1000,$U36-4)),MONTH(INDEX($AM$5:$AM$1000,$U36-4)),1),IF(ISNUMBER(INDEX($AN$5:$AN$1000,$U36-4)),DATE(YEAR(INDEX($AN$5:$AN$1000,$U36-4)),MONTH(INDEX($AN$5:$AN$1000,$U36-4)),1),MesCiclo)),IF(ISNUMBER($AM36),DATE(YEAR($AM36),MONTH($AM36),1),IF(ISNUMBER($AN36),DATE(YEAR($AN36),MONTH($AN36),1),MesCiclo))))</f>
        <v/>
      </c>
      <c r="T36" s="62">
        <f>IF(OR($S36="",$S36&lt;&gt;MesCiclo,$V36&lt;&gt;"Macro"),"",COUNTIFS($S$5:$S36,MesCiclo,$V$5:$V36,"Macro"))</f>
        <v/>
      </c>
      <c r="U36" s="62">
        <f>IF($V36="","",IF($V36="Macro",ROW(),IFERROR(LOOKUP(2,1/($V$5:$V36="Macro"),ROW($V$5:$V36)),0)))</f>
        <v/>
      </c>
      <c r="V36" s="62">
        <f>IF(NOT((COUNTA($B36:$D36)+COUNTA($G36:$L36)+COUNTA($Q36))&gt;0),"",IF($B36="Subactividad","Sub","Macro"))</f>
        <v/>
      </c>
      <c r="W36" s="62">
        <f>IF($V36="Macro",COUNTIFS($U$5:$U$1000,ROW(),$V$5:$V$1000,"Sub"),"")</f>
        <v/>
      </c>
      <c r="X36" s="62">
        <f>IF($V36="","",IF(ISNUMBER($G36),1,IFERROR(LOOKUP(2,1/($I36:$L36&lt;&gt;""),$I36:$L36),0)))</f>
        <v/>
      </c>
      <c r="Y36" s="62">
        <f>IF($V36="","",IF(AND(ISNUMBER($G36),$G36&lt;=IF($S36=MesCiclo,InicioCiclo,$S36+MOD(2-WEEKDAY($S36),7))+6),1,IF(ISNUMBER($I36),$I36,0)))</f>
        <v/>
      </c>
      <c r="Z36" s="62">
        <f>IF($V36="","",IF(AND(ISNUMBER($G36),$G36&lt;=IF($S36=MesCiclo,InicioCiclo,$S36+MOD(2-WEEKDAY($S36),7))+13),1,IF(ISNUMBER($J36),$J36,$Y36)))</f>
        <v/>
      </c>
      <c r="AA36" s="62">
        <f>IF($V36="","",IF(AND(ISNUMBER($G36),$G36&lt;=IF($S36=MesCiclo,InicioCiclo,$S36+MOD(2-WEEKDAY($S36),7))+20),1,IF(ISNUMBER($K36),$K36,$Z36)))</f>
        <v/>
      </c>
      <c r="AB36" s="62">
        <f>IF($V36="","",IF(AND(ISNUMBER($G36),$G36&lt;=IF($S36=MesCiclo,InicioCiclo,$S36+MOD(2-WEEKDAY($S36),7))+27),1,IF(ISNUMBER($L36),$L36,$AA36)))</f>
        <v/>
      </c>
      <c r="AC36" s="62">
        <f>IF($V36="","",IF(AND(ISNUMBER($G36),$G36&lt;=IF($S36=MesCiclo,InicioCiclo,$S36+MOD(2-WEEKDAY($S36),7))+6),1,IF(N($W36)&gt;0,AVERAGEIFS($Y$5:$Y$1000,$U$5:$U$1000,ROW(),$V$5:$V$1000,"Sub"),$Y36)))</f>
        <v/>
      </c>
      <c r="AD36" s="62">
        <f>IF($V36="","",IF(AND(ISNUMBER($G36),$G36&lt;=IF($S36=MesCiclo,InicioCiclo,$S36+MOD(2-WEEKDAY($S36),7))+13),1,IF(N($W36)&gt;0,AVERAGEIFS($Z$5:$Z$1000,$U$5:$U$1000,ROW(),$V$5:$V$1000,"Sub"),$Z36)))</f>
        <v/>
      </c>
      <c r="AE36" s="62">
        <f>IF($V36="","",IF(AND(ISNUMBER($G36),$G36&lt;=IF($S36=MesCiclo,InicioCiclo,$S36+MOD(2-WEEKDAY($S36),7))+20),1,IF(N($W36)&gt;0,AVERAGEIFS($AA$5:$AA$1000,$U$5:$U$1000,ROW(),$V$5:$V$1000,"Sub"),$AA36)))</f>
        <v/>
      </c>
      <c r="AF36" s="62">
        <f>IF($V36="","",IF(AND(ISNUMBER($G36),$G36&lt;=IF($S36=MesCiclo,InicioCiclo,$S36+MOD(2-WEEKDAY($S36),7))+27),1,IF(N($W36)&gt;0,AVERAGEIFS($AB$5:$AB$1000,$U$5:$U$1000,ROW(),$V$5:$V$1000,"Sub"),$AB36)))</f>
        <v/>
      </c>
      <c r="AG36" s="62">
        <f>IF($V36&lt;&gt;"Macro","",IF(COUNTIFS($S$5:$S$1000,$S36,$V$5:$V$1000,"Macro",$H$5:$H$1000,"&gt;0")=0,1/COUNTIFS($S$5:$S$1000,$S36,$V$5:$V$1000,"Macro"),IF(AND(ISNUMBER($H36),N($H36)&gt;0),$H36,SUMIFS($H$5:$H$1000,$S$5:$S$1000,$S36,$V$5:$V$1000,"Macro")/COUNTIFS($S$5:$S$1000,$S36,$V$5:$V$1000,"Macro",$H$5:$H$1000,"&gt;0"))/(COUNTIFS($S$5:$S$1000,$S36,$V$5:$V$1000,"Macro")*SUMIFS($H$5:$H$1000,$S$5:$S$1000,$S36,$V$5:$V$1000,"Macro")/COUNTIFS($S$5:$S$1000,$S36,$V$5:$V$1000,"Macro",$H$5:$H$1000,"&gt;0"))))</f>
        <v/>
      </c>
      <c r="AH36" s="62" t="n"/>
      <c r="AI36" s="62" t="n"/>
      <c r="AJ36" s="62" t="n"/>
      <c r="AK36" s="62" t="n"/>
      <c r="AL36" s="62">
        <f>IF(LEFT($C36,11)="[Jefatura] ",IFERROR(MATCH("Riesgo Financiero|"&amp;MID($C36,12,500),rDname_ADM,0),0),"")</f>
        <v/>
      </c>
      <c r="AM36" s="62">
        <f>IF(N($AL36)&gt;0,INDEX(rIni_ADM,$AL36),IF(ISNUMBER($E36),$E36,""))</f>
        <v/>
      </c>
      <c r="AN36" s="62">
        <f>IF(N($AL36)&gt;0,INDEX(rLim_ADM,$AL36),IF(ISNUMBER($F36),$F36,""))</f>
        <v/>
      </c>
    </row>
    <row r="37">
      <c r="A37" s="56">
        <f>IF(NOT((COUNTA($B37:$D37)+COUNTA($G37:$L37)+COUNTA($Q37))&gt;0),"",IF($V37="Macro",COUNTIFS($V$5:$V37,"Macro",$S$5:$S37,$S37),IF(N($U37)=0,"?",COUNTIFS(INDEX($V$5:$V$1000,1):INDEX($V$5:$V$1000,$U37-4),"Macro",INDEX($S$5:$S$1000,1):INDEX($S$5:$S$1000,$U37-4),INDEX($S$5:$S$1000,$U37-4))&amp;"."&amp;COUNTIFS($U$5:$U37,$U37,$V$5:$V37,"Sub"))))</f>
        <v/>
      </c>
      <c r="B37" s="57" t="n"/>
      <c r="C37" s="58" t="n"/>
      <c r="D37" s="58" t="n"/>
      <c r="E37" s="59">
        <f>IF(N($AL37)&gt;0,INDEX(rIni_ADM,$AL37),"")</f>
        <v/>
      </c>
      <c r="F37" s="59">
        <f>IF(N($AL37)&gt;0,INDEX(rLim_ADM,$AL37),"")</f>
        <v/>
      </c>
      <c r="G37" s="59" t="n"/>
      <c r="H37" s="60" t="n"/>
      <c r="I37" s="60" t="n"/>
      <c r="J37" s="60" t="n"/>
      <c r="K37" s="60" t="n"/>
      <c r="L37" s="60" t="n"/>
      <c r="M37" s="61">
        <f>IF(NOT((COUNTA($B37:$D37)+COUNTA($G37:$L37)+COUNTA($Q37))&gt;0),"",IF($V37="Sub",IFERROR($X37/INDEX($W$5:$W$1000,$U37-4),""),IF(ISNUMBER($G37),1,IF(N($W37)&gt;0,AVERAGEIFS($X$5:$X$1000,$U$5:$U$1000,ROW(),$V$5:$V$1000,"Sub"),$X37))))</f>
        <v/>
      </c>
      <c r="N37" s="56">
        <f>IF(OR($M37="",$V37="Sub"),"",IF($M37&gt;=1,"Completado",IF($M37&gt;0,"En curso","Pendiente")))</f>
        <v/>
      </c>
      <c r="O37" s="56">
        <f>IF(OR(NOT((COUNTA($B37:$D37)+COUNTA($G37:$L37)+COUNTA($Q37))&gt;0),$V37="Sub"),"",IF(ISNUMBER($G37),IF(AND(ISNUMBER($AN37),$G37&gt;$AN37),"Cumplida con "&amp;($G37-$AN37)&amp;IF($G37-$AN37=1," día"," días")&amp;" de retraso","Cumplida"),IF(N($M37)&gt;=1,"Cumplida",IF(NOT(ISNUMBER($AN37)),"Sin fecha límite",IF($AN37&lt;FechaRef,"Vencida hace "&amp;(FechaRef-$AN37)&amp;IF(FechaRef-$AN37=1," día"," días"),IF($AN37=FechaRef,"Vence hoy",IF($AN37-FechaRef&lt;=DiasAlerta,"Vence en "&amp;($AN37-FechaRef)&amp;IF($AN37-FechaRef=1," día"," días"),"En plazo")))))))</f>
        <v/>
      </c>
      <c r="P37" s="62" t="n"/>
      <c r="Q37" s="58" t="n"/>
      <c r="R37" s="63">
        <f>IF(NOT((COUNTA($B37:$D37)+COUNTA($G37:$L37)+COUNTA($Q37))&gt;0),"",IF((IF($C37="","Falta el nombre de la actividad"&amp;" · ","")&amp;IF(AND($V37="Sub",N($U37)=0),"Subactividad sin macroactividad arriba"&amp;" · ","")&amp;IF($AM37="","Sin fecha de inicio"&amp;" · ","")&amp;IF($AN37="","Sin fecha límite"&amp;" · ","")&amp;IF(AND(LEFT($C37,11)="[Jefatura] ",N($AL37)=0),"No se encuentra en la hoja de la jefatura (elíjala de nuevo en la lista)"&amp;" · ","")&amp;IF(OR(AND($E37&lt;&gt;"",NOT(ISNUMBER($E37))),AND($F37&lt;&gt;"",NOT(ISNUMBER($F37))),AND($G37&lt;&gt;"",NOT(ISNUMBER($G37)))),"Fecha no válida"&amp;" · ","")&amp;IF(AND(ISNUMBER($AM37),ISNUMBER($AN37),$AM37&gt;$AN37),"Inicio posterior a fecha límite"&amp;" · ","")&amp;IF(AND($V37="Macro",$H37&lt;&gt;"",OR(NOT(ISNUMBER($H37)),$H37&lt;0,$H37&gt;1)),"Peso fuera de rango"&amp;" · ","")&amp;IF(AND($V37="Sub",$H37&lt;&gt;""),"Las subactividades no llevan peso (valen igual dentro de su macroactividad)"&amp;" · ","")&amp;IF(AND(N($W37)&gt;0,COUNT($I37:$L37)&gt;0),"Con subactividades: deje vacías las semanas (se calculan solas)"&amp;" · ","")&amp;IF((COUNTIF($I37:$L37,"&gt;1")+COUNTIF($I37:$L37,"&lt;0")+COUNTA($I37:$L37)-COUNT($I37:$L37))&gt;0,"Avance fuera de rango 0-100%"&amp;" · ","")&amp;IF(OR(AND($J37&lt;&gt;"",$J37&lt;$I37),AND($K37&lt;&gt;"",$K37&lt;MAX($I37:$J37)),AND($L37&lt;&gt;"",$L37&lt;MAX($I37:$K37))),"Avance semanal decreciente"&amp;" · ","")&amp;IF(AND(ISNUMBER($AN37),$AN37&lt;FechaRef,IF($V37="Sub",N($X37),N($M37))&lt;1),"Vencida"&amp;" · ","")&amp;IF(AND(ObsObligatoria="Sí",ISNUMBER($AN37),$AN37&lt;FechaRef,IF($V37="Sub",N($X37),N($M37))&lt;1,$Q37=""),"Vencida sin observación"&amp;" · ",""))="","✔ OK","⚠ "&amp;LEFT(IF($C37="","Falta el nombre de la actividad"&amp;" · ","")&amp;IF(AND($V37="Sub",N($U37)=0),"Subactividad sin macroactividad arriba"&amp;" · ","")&amp;IF($AM37="","Sin fecha de inicio"&amp;" · ","")&amp;IF($AN37="","Sin fecha límite"&amp;" · ","")&amp;IF(AND(LEFT($C37,11)="[Jefatura] ",N($AL37)=0),"No se encuentra en la hoja de la jefatura (elíjala de nuevo en la lista)"&amp;" · ","")&amp;IF(OR(AND($E37&lt;&gt;"",NOT(ISNUMBER($E37))),AND($F37&lt;&gt;"",NOT(ISNUMBER($F37))),AND($G37&lt;&gt;"",NOT(ISNUMBER($G37)))),"Fecha no válida"&amp;" · ","")&amp;IF(AND(ISNUMBER($AM37),ISNUMBER($AN37),$AM37&gt;$AN37),"Inicio posterior a fecha límite"&amp;" · ","")&amp;IF(AND($V37="Macro",$H37&lt;&gt;"",OR(NOT(ISNUMBER($H37)),$H37&lt;0,$H37&gt;1)),"Peso fuera de rango"&amp;" · ","")&amp;IF(AND($V37="Sub",$H37&lt;&gt;""),"Las subactividades no llevan peso (valen igual dentro de su macroactividad)"&amp;" · ","")&amp;IF(AND(N($W37)&gt;0,COUNT($I37:$L37)&gt;0),"Con subactividades: deje vacías las semanas (se calculan solas)"&amp;" · ","")&amp;IF((COUNTIF($I37:$L37,"&gt;1")+COUNTIF($I37:$L37,"&lt;0")+COUNTA($I37:$L37)-COUNT($I37:$L37))&gt;0,"Avance fuera de rango 0-100%"&amp;" · ","")&amp;IF(OR(AND($J37&lt;&gt;"",$J37&lt;$I37),AND($K37&lt;&gt;"",$K37&lt;MAX($I37:$J37)),AND($L37&lt;&gt;"",$L37&lt;MAX($I37:$K37))),"Avance semanal decreciente"&amp;" · ","")&amp;IF(AND(ISNUMBER($AN37),$AN37&lt;FechaRef,IF($V37="Sub",N($X37),N($M37))&lt;1),"Vencida"&amp;" · ","")&amp;IF(AND(ObsObligatoria="Sí",ISNUMBER($AN37),$AN37&lt;FechaRef,IF($V37="Sub",N($X37),N($M37))&lt;1,$Q37=""),"Vencida sin observación"&amp;" · ",""),LEN(IF($C37="","Falta el nombre de la actividad"&amp;" · ","")&amp;IF(AND($V37="Sub",N($U37)=0),"Subactividad sin macroactividad arriba"&amp;" · ","")&amp;IF($AM37="","Sin fecha de inicio"&amp;" · ","")&amp;IF($AN37="","Sin fecha límite"&amp;" · ","")&amp;IF(AND(LEFT($C37,11)="[Jefatura] ",N($AL37)=0),"No se encuentra en la hoja de la jefatura (elíjala de nuevo en la lista)"&amp;" · ","")&amp;IF(OR(AND($E37&lt;&gt;"",NOT(ISNUMBER($E37))),AND($F37&lt;&gt;"",NOT(ISNUMBER($F37))),AND($G37&lt;&gt;"",NOT(ISNUMBER($G37)))),"Fecha no válida"&amp;" · ","")&amp;IF(AND(ISNUMBER($AM37),ISNUMBER($AN37),$AM37&gt;$AN37),"Inicio posterior a fecha límite"&amp;" · ","")&amp;IF(AND($V37="Macro",$H37&lt;&gt;"",OR(NOT(ISNUMBER($H37)),$H37&lt;0,$H37&gt;1)),"Peso fuera de rango"&amp;" · ","")&amp;IF(AND($V37="Sub",$H37&lt;&gt;""),"Las subactividades no llevan peso (valen igual dentro de su macroactividad)"&amp;" · ","")&amp;IF(AND(N($W37)&gt;0,COUNT($I37:$L37)&gt;0),"Con subactividades: deje vacías las semanas (se calculan solas)"&amp;" · ","")&amp;IF((COUNTIF($I37:$L37,"&gt;1")+COUNTIF($I37:$L37,"&lt;0")+COUNTA($I37:$L37)-COUNT($I37:$L37))&gt;0,"Avance fuera de rango 0-100%"&amp;" · ","")&amp;IF(OR(AND($J37&lt;&gt;"",$J37&lt;$I37),AND($K37&lt;&gt;"",$K37&lt;MAX($I37:$J37)),AND($L37&lt;&gt;"",$L37&lt;MAX($I37:$K37))),"Avance semanal decreciente"&amp;" · ","")&amp;IF(AND(ISNUMBER($AN37),$AN37&lt;FechaRef,IF($V37="Sub",N($X37),N($M37))&lt;1),"Vencida"&amp;" · ","")&amp;IF(AND(ObsObligatoria="Sí",ISNUMBER($AN37),$AN37&lt;FechaRef,IF($V37="Sub",N($X37),N($M37))&lt;1,$Q37=""),"Vencida sin observación"&amp;" · ",""))-3)))</f>
        <v/>
      </c>
      <c r="S37" s="64">
        <f>IF(NOT((COUNTA($B37:$D37)+COUNTA($G37:$L37)+COUNTA($Q37))&gt;0),"",IF(AND($V37="Sub",N($U37)&gt;0),IF(ISNUMBER(INDEX($AM$5:$AM$1000,$U37-4)),DATE(YEAR(INDEX($AM$5:$AM$1000,$U37-4)),MONTH(INDEX($AM$5:$AM$1000,$U37-4)),1),IF(ISNUMBER(INDEX($AN$5:$AN$1000,$U37-4)),DATE(YEAR(INDEX($AN$5:$AN$1000,$U37-4)),MONTH(INDEX($AN$5:$AN$1000,$U37-4)),1),MesCiclo)),IF(ISNUMBER($AM37),DATE(YEAR($AM37),MONTH($AM37),1),IF(ISNUMBER($AN37),DATE(YEAR($AN37),MONTH($AN37),1),MesCiclo))))</f>
        <v/>
      </c>
      <c r="T37" s="62">
        <f>IF(OR($S37="",$S37&lt;&gt;MesCiclo,$V37&lt;&gt;"Macro"),"",COUNTIFS($S$5:$S37,MesCiclo,$V$5:$V37,"Macro"))</f>
        <v/>
      </c>
      <c r="U37" s="62">
        <f>IF($V37="","",IF($V37="Macro",ROW(),IFERROR(LOOKUP(2,1/($V$5:$V37="Macro"),ROW($V$5:$V37)),0)))</f>
        <v/>
      </c>
      <c r="V37" s="62">
        <f>IF(NOT((COUNTA($B37:$D37)+COUNTA($G37:$L37)+COUNTA($Q37))&gt;0),"",IF($B37="Subactividad","Sub","Macro"))</f>
        <v/>
      </c>
      <c r="W37" s="62">
        <f>IF($V37="Macro",COUNTIFS($U$5:$U$1000,ROW(),$V$5:$V$1000,"Sub"),"")</f>
        <v/>
      </c>
      <c r="X37" s="62">
        <f>IF($V37="","",IF(ISNUMBER($G37),1,IFERROR(LOOKUP(2,1/($I37:$L37&lt;&gt;""),$I37:$L37),0)))</f>
        <v/>
      </c>
      <c r="Y37" s="62">
        <f>IF($V37="","",IF(AND(ISNUMBER($G37),$G37&lt;=IF($S37=MesCiclo,InicioCiclo,$S37+MOD(2-WEEKDAY($S37),7))+6),1,IF(ISNUMBER($I37),$I37,0)))</f>
        <v/>
      </c>
      <c r="Z37" s="62">
        <f>IF($V37="","",IF(AND(ISNUMBER($G37),$G37&lt;=IF($S37=MesCiclo,InicioCiclo,$S37+MOD(2-WEEKDAY($S37),7))+13),1,IF(ISNUMBER($J37),$J37,$Y37)))</f>
        <v/>
      </c>
      <c r="AA37" s="62">
        <f>IF($V37="","",IF(AND(ISNUMBER($G37),$G37&lt;=IF($S37=MesCiclo,InicioCiclo,$S37+MOD(2-WEEKDAY($S37),7))+20),1,IF(ISNUMBER($K37),$K37,$Z37)))</f>
        <v/>
      </c>
      <c r="AB37" s="62">
        <f>IF($V37="","",IF(AND(ISNUMBER($G37),$G37&lt;=IF($S37=MesCiclo,InicioCiclo,$S37+MOD(2-WEEKDAY($S37),7))+27),1,IF(ISNUMBER($L37),$L37,$AA37)))</f>
        <v/>
      </c>
      <c r="AC37" s="62">
        <f>IF($V37="","",IF(AND(ISNUMBER($G37),$G37&lt;=IF($S37=MesCiclo,InicioCiclo,$S37+MOD(2-WEEKDAY($S37),7))+6),1,IF(N($W37)&gt;0,AVERAGEIFS($Y$5:$Y$1000,$U$5:$U$1000,ROW(),$V$5:$V$1000,"Sub"),$Y37)))</f>
        <v/>
      </c>
      <c r="AD37" s="62">
        <f>IF($V37="","",IF(AND(ISNUMBER($G37),$G37&lt;=IF($S37=MesCiclo,InicioCiclo,$S37+MOD(2-WEEKDAY($S37),7))+13),1,IF(N($W37)&gt;0,AVERAGEIFS($Z$5:$Z$1000,$U$5:$U$1000,ROW(),$V$5:$V$1000,"Sub"),$Z37)))</f>
        <v/>
      </c>
      <c r="AE37" s="62">
        <f>IF($V37="","",IF(AND(ISNUMBER($G37),$G37&lt;=IF($S37=MesCiclo,InicioCiclo,$S37+MOD(2-WEEKDAY($S37),7))+20),1,IF(N($W37)&gt;0,AVERAGEIFS($AA$5:$AA$1000,$U$5:$U$1000,ROW(),$V$5:$V$1000,"Sub"),$AA37)))</f>
        <v/>
      </c>
      <c r="AF37" s="62">
        <f>IF($V37="","",IF(AND(ISNUMBER($G37),$G37&lt;=IF($S37=MesCiclo,InicioCiclo,$S37+MOD(2-WEEKDAY($S37),7))+27),1,IF(N($W37)&gt;0,AVERAGEIFS($AB$5:$AB$1000,$U$5:$U$1000,ROW(),$V$5:$V$1000,"Sub"),$AB37)))</f>
        <v/>
      </c>
      <c r="AG37" s="62">
        <f>IF($V37&lt;&gt;"Macro","",IF(COUNTIFS($S$5:$S$1000,$S37,$V$5:$V$1000,"Macro",$H$5:$H$1000,"&gt;0")=0,1/COUNTIFS($S$5:$S$1000,$S37,$V$5:$V$1000,"Macro"),IF(AND(ISNUMBER($H37),N($H37)&gt;0),$H37,SUMIFS($H$5:$H$1000,$S$5:$S$1000,$S37,$V$5:$V$1000,"Macro")/COUNTIFS($S$5:$S$1000,$S37,$V$5:$V$1000,"Macro",$H$5:$H$1000,"&gt;0"))/(COUNTIFS($S$5:$S$1000,$S37,$V$5:$V$1000,"Macro")*SUMIFS($H$5:$H$1000,$S$5:$S$1000,$S37,$V$5:$V$1000,"Macro")/COUNTIFS($S$5:$S$1000,$S37,$V$5:$V$1000,"Macro",$H$5:$H$1000,"&gt;0"))))</f>
        <v/>
      </c>
      <c r="AH37" s="62" t="n"/>
      <c r="AI37" s="62" t="n"/>
      <c r="AJ37" s="62" t="n"/>
      <c r="AK37" s="62" t="n"/>
      <c r="AL37" s="62">
        <f>IF(LEFT($C37,11)="[Jefatura] ",IFERROR(MATCH("Riesgo Financiero|"&amp;MID($C37,12,500),rDname_ADM,0),0),"")</f>
        <v/>
      </c>
      <c r="AM37" s="62">
        <f>IF(N($AL37)&gt;0,INDEX(rIni_ADM,$AL37),IF(ISNUMBER($E37),$E37,""))</f>
        <v/>
      </c>
      <c r="AN37" s="62">
        <f>IF(N($AL37)&gt;0,INDEX(rLim_ADM,$AL37),IF(ISNUMBER($F37),$F37,""))</f>
        <v/>
      </c>
    </row>
    <row r="38">
      <c r="A38" s="56">
        <f>IF(NOT((COUNTA($B38:$D38)+COUNTA($G38:$L38)+COUNTA($Q38))&gt;0),"",IF($V38="Macro",COUNTIFS($V$5:$V38,"Macro",$S$5:$S38,$S38),IF(N($U38)=0,"?",COUNTIFS(INDEX($V$5:$V$1000,1):INDEX($V$5:$V$1000,$U38-4),"Macro",INDEX($S$5:$S$1000,1):INDEX($S$5:$S$1000,$U38-4),INDEX($S$5:$S$1000,$U38-4))&amp;"."&amp;COUNTIFS($U$5:$U38,$U38,$V$5:$V38,"Sub"))))</f>
        <v/>
      </c>
      <c r="B38" s="57" t="n"/>
      <c r="C38" s="58" t="n"/>
      <c r="D38" s="58" t="n"/>
      <c r="E38" s="59">
        <f>IF(N($AL38)&gt;0,INDEX(rIni_ADM,$AL38),"")</f>
        <v/>
      </c>
      <c r="F38" s="59">
        <f>IF(N($AL38)&gt;0,INDEX(rLim_ADM,$AL38),"")</f>
        <v/>
      </c>
      <c r="G38" s="59" t="n"/>
      <c r="H38" s="60" t="n"/>
      <c r="I38" s="60" t="n"/>
      <c r="J38" s="60" t="n"/>
      <c r="K38" s="60" t="n"/>
      <c r="L38" s="60" t="n"/>
      <c r="M38" s="61">
        <f>IF(NOT((COUNTA($B38:$D38)+COUNTA($G38:$L38)+COUNTA($Q38))&gt;0),"",IF($V38="Sub",IFERROR($X38/INDEX($W$5:$W$1000,$U38-4),""),IF(ISNUMBER($G38),1,IF(N($W38)&gt;0,AVERAGEIFS($X$5:$X$1000,$U$5:$U$1000,ROW(),$V$5:$V$1000,"Sub"),$X38))))</f>
        <v/>
      </c>
      <c r="N38" s="56">
        <f>IF(OR($M38="",$V38="Sub"),"",IF($M38&gt;=1,"Completado",IF($M38&gt;0,"En curso","Pendiente")))</f>
        <v/>
      </c>
      <c r="O38" s="56">
        <f>IF(OR(NOT((COUNTA($B38:$D38)+COUNTA($G38:$L38)+COUNTA($Q38))&gt;0),$V38="Sub"),"",IF(ISNUMBER($G38),IF(AND(ISNUMBER($AN38),$G38&gt;$AN38),"Cumplida con "&amp;($G38-$AN38)&amp;IF($G38-$AN38=1," día"," días")&amp;" de retraso","Cumplida"),IF(N($M38)&gt;=1,"Cumplida",IF(NOT(ISNUMBER($AN38)),"Sin fecha límite",IF($AN38&lt;FechaRef,"Vencida hace "&amp;(FechaRef-$AN38)&amp;IF(FechaRef-$AN38=1," día"," días"),IF($AN38=FechaRef,"Vence hoy",IF($AN38-FechaRef&lt;=DiasAlerta,"Vence en "&amp;($AN38-FechaRef)&amp;IF($AN38-FechaRef=1," día"," días"),"En plazo")))))))</f>
        <v/>
      </c>
      <c r="P38" s="62" t="n"/>
      <c r="Q38" s="58" t="n"/>
      <c r="R38" s="63">
        <f>IF(NOT((COUNTA($B38:$D38)+COUNTA($G38:$L38)+COUNTA($Q38))&gt;0),"",IF((IF($C38="","Falta el nombre de la actividad"&amp;" · ","")&amp;IF(AND($V38="Sub",N($U38)=0),"Subactividad sin macroactividad arriba"&amp;" · ","")&amp;IF($AM38="","Sin fecha de inicio"&amp;" · ","")&amp;IF($AN38="","Sin fecha límite"&amp;" · ","")&amp;IF(AND(LEFT($C38,11)="[Jefatura] ",N($AL38)=0),"No se encuentra en la hoja de la jefatura (elíjala de nuevo en la lista)"&amp;" · ","")&amp;IF(OR(AND($E38&lt;&gt;"",NOT(ISNUMBER($E38))),AND($F38&lt;&gt;"",NOT(ISNUMBER($F38))),AND($G38&lt;&gt;"",NOT(ISNUMBER($G38)))),"Fecha no válida"&amp;" · ","")&amp;IF(AND(ISNUMBER($AM38),ISNUMBER($AN38),$AM38&gt;$AN38),"Inicio posterior a fecha límite"&amp;" · ","")&amp;IF(AND($V38="Macro",$H38&lt;&gt;"",OR(NOT(ISNUMBER($H38)),$H38&lt;0,$H38&gt;1)),"Peso fuera de rango"&amp;" · ","")&amp;IF(AND($V38="Sub",$H38&lt;&gt;""),"Las subactividades no llevan peso (valen igual dentro de su macroactividad)"&amp;" · ","")&amp;IF(AND(N($W38)&gt;0,COUNT($I38:$L38)&gt;0),"Con subactividades: deje vacías las semanas (se calculan solas)"&amp;" · ","")&amp;IF((COUNTIF($I38:$L38,"&gt;1")+COUNTIF($I38:$L38,"&lt;0")+COUNTA($I38:$L38)-COUNT($I38:$L38))&gt;0,"Avance fuera de rango 0-100%"&amp;" · ","")&amp;IF(OR(AND($J38&lt;&gt;"",$J38&lt;$I38),AND($K38&lt;&gt;"",$K38&lt;MAX($I38:$J38)),AND($L38&lt;&gt;"",$L38&lt;MAX($I38:$K38))),"Avance semanal decreciente"&amp;" · ","")&amp;IF(AND(ISNUMBER($AN38),$AN38&lt;FechaRef,IF($V38="Sub",N($X38),N($M38))&lt;1),"Vencida"&amp;" · ","")&amp;IF(AND(ObsObligatoria="Sí",ISNUMBER($AN38),$AN38&lt;FechaRef,IF($V38="Sub",N($X38),N($M38))&lt;1,$Q38=""),"Vencida sin observación"&amp;" · ",""))="","✔ OK","⚠ "&amp;LEFT(IF($C38="","Falta el nombre de la actividad"&amp;" · ","")&amp;IF(AND($V38="Sub",N($U38)=0),"Subactividad sin macroactividad arriba"&amp;" · ","")&amp;IF($AM38="","Sin fecha de inicio"&amp;" · ","")&amp;IF($AN38="","Sin fecha límite"&amp;" · ","")&amp;IF(AND(LEFT($C38,11)="[Jefatura] ",N($AL38)=0),"No se encuentra en la hoja de la jefatura (elíjala de nuevo en la lista)"&amp;" · ","")&amp;IF(OR(AND($E38&lt;&gt;"",NOT(ISNUMBER($E38))),AND($F38&lt;&gt;"",NOT(ISNUMBER($F38))),AND($G38&lt;&gt;"",NOT(ISNUMBER($G38)))),"Fecha no válida"&amp;" · ","")&amp;IF(AND(ISNUMBER($AM38),ISNUMBER($AN38),$AM38&gt;$AN38),"Inicio posterior a fecha límite"&amp;" · ","")&amp;IF(AND($V38="Macro",$H38&lt;&gt;"",OR(NOT(ISNUMBER($H38)),$H38&lt;0,$H38&gt;1)),"Peso fuera de rango"&amp;" · ","")&amp;IF(AND($V38="Sub",$H38&lt;&gt;""),"Las subactividades no llevan peso (valen igual dentro de su macroactividad)"&amp;" · ","")&amp;IF(AND(N($W38)&gt;0,COUNT($I38:$L38)&gt;0),"Con subactividades: deje vacías las semanas (se calculan solas)"&amp;" · ","")&amp;IF((COUNTIF($I38:$L38,"&gt;1")+COUNTIF($I38:$L38,"&lt;0")+COUNTA($I38:$L38)-COUNT($I38:$L38))&gt;0,"Avance fuera de rango 0-100%"&amp;" · ","")&amp;IF(OR(AND($J38&lt;&gt;"",$J38&lt;$I38),AND($K38&lt;&gt;"",$K38&lt;MAX($I38:$J38)),AND($L38&lt;&gt;"",$L38&lt;MAX($I38:$K38))),"Avance semanal decreciente"&amp;" · ","")&amp;IF(AND(ISNUMBER($AN38),$AN38&lt;FechaRef,IF($V38="Sub",N($X38),N($M38))&lt;1),"Vencida"&amp;" · ","")&amp;IF(AND(ObsObligatoria="Sí",ISNUMBER($AN38),$AN38&lt;FechaRef,IF($V38="Sub",N($X38),N($M38))&lt;1,$Q38=""),"Vencida sin observación"&amp;" · ",""),LEN(IF($C38="","Falta el nombre de la actividad"&amp;" · ","")&amp;IF(AND($V38="Sub",N($U38)=0),"Subactividad sin macroactividad arriba"&amp;" · ","")&amp;IF($AM38="","Sin fecha de inicio"&amp;" · ","")&amp;IF($AN38="","Sin fecha límite"&amp;" · ","")&amp;IF(AND(LEFT($C38,11)="[Jefatura] ",N($AL38)=0),"No se encuentra en la hoja de la jefatura (elíjala de nuevo en la lista)"&amp;" · ","")&amp;IF(OR(AND($E38&lt;&gt;"",NOT(ISNUMBER($E38))),AND($F38&lt;&gt;"",NOT(ISNUMBER($F38))),AND($G38&lt;&gt;"",NOT(ISNUMBER($G38)))),"Fecha no válida"&amp;" · ","")&amp;IF(AND(ISNUMBER($AM38),ISNUMBER($AN38),$AM38&gt;$AN38),"Inicio posterior a fecha límite"&amp;" · ","")&amp;IF(AND($V38="Macro",$H38&lt;&gt;"",OR(NOT(ISNUMBER($H38)),$H38&lt;0,$H38&gt;1)),"Peso fuera de rango"&amp;" · ","")&amp;IF(AND($V38="Sub",$H38&lt;&gt;""),"Las subactividades no llevan peso (valen igual dentro de su macroactividad)"&amp;" · ","")&amp;IF(AND(N($W38)&gt;0,COUNT($I38:$L38)&gt;0),"Con subactividades: deje vacías las semanas (se calculan solas)"&amp;" · ","")&amp;IF((COUNTIF($I38:$L38,"&gt;1")+COUNTIF($I38:$L38,"&lt;0")+COUNTA($I38:$L38)-COUNT($I38:$L38))&gt;0,"Avance fuera de rango 0-100%"&amp;" · ","")&amp;IF(OR(AND($J38&lt;&gt;"",$J38&lt;$I38),AND($K38&lt;&gt;"",$K38&lt;MAX($I38:$J38)),AND($L38&lt;&gt;"",$L38&lt;MAX($I38:$K38))),"Avance semanal decreciente"&amp;" · ","")&amp;IF(AND(ISNUMBER($AN38),$AN38&lt;FechaRef,IF($V38="Sub",N($X38),N($M38))&lt;1),"Vencida"&amp;" · ","")&amp;IF(AND(ObsObligatoria="Sí",ISNUMBER($AN38),$AN38&lt;FechaRef,IF($V38="Sub",N($X38),N($M38))&lt;1,$Q38=""),"Vencida sin observación"&amp;" · ",""))-3)))</f>
        <v/>
      </c>
      <c r="S38" s="64">
        <f>IF(NOT((COUNTA($B38:$D38)+COUNTA($G38:$L38)+COUNTA($Q38))&gt;0),"",IF(AND($V38="Sub",N($U38)&gt;0),IF(ISNUMBER(INDEX($AM$5:$AM$1000,$U38-4)),DATE(YEAR(INDEX($AM$5:$AM$1000,$U38-4)),MONTH(INDEX($AM$5:$AM$1000,$U38-4)),1),IF(ISNUMBER(INDEX($AN$5:$AN$1000,$U38-4)),DATE(YEAR(INDEX($AN$5:$AN$1000,$U38-4)),MONTH(INDEX($AN$5:$AN$1000,$U38-4)),1),MesCiclo)),IF(ISNUMBER($AM38),DATE(YEAR($AM38),MONTH($AM38),1),IF(ISNUMBER($AN38),DATE(YEAR($AN38),MONTH($AN38),1),MesCiclo))))</f>
        <v/>
      </c>
      <c r="T38" s="62">
        <f>IF(OR($S38="",$S38&lt;&gt;MesCiclo,$V38&lt;&gt;"Macro"),"",COUNTIFS($S$5:$S38,MesCiclo,$V$5:$V38,"Macro"))</f>
        <v/>
      </c>
      <c r="U38" s="62">
        <f>IF($V38="","",IF($V38="Macro",ROW(),IFERROR(LOOKUP(2,1/($V$5:$V38="Macro"),ROW($V$5:$V38)),0)))</f>
        <v/>
      </c>
      <c r="V38" s="62">
        <f>IF(NOT((COUNTA($B38:$D38)+COUNTA($G38:$L38)+COUNTA($Q38))&gt;0),"",IF($B38="Subactividad","Sub","Macro"))</f>
        <v/>
      </c>
      <c r="W38" s="62">
        <f>IF($V38="Macro",COUNTIFS($U$5:$U$1000,ROW(),$V$5:$V$1000,"Sub"),"")</f>
        <v/>
      </c>
      <c r="X38" s="62">
        <f>IF($V38="","",IF(ISNUMBER($G38),1,IFERROR(LOOKUP(2,1/($I38:$L38&lt;&gt;""),$I38:$L38),0)))</f>
        <v/>
      </c>
      <c r="Y38" s="62">
        <f>IF($V38="","",IF(AND(ISNUMBER($G38),$G38&lt;=IF($S38=MesCiclo,InicioCiclo,$S38+MOD(2-WEEKDAY($S38),7))+6),1,IF(ISNUMBER($I38),$I38,0)))</f>
        <v/>
      </c>
      <c r="Z38" s="62">
        <f>IF($V38="","",IF(AND(ISNUMBER($G38),$G38&lt;=IF($S38=MesCiclo,InicioCiclo,$S38+MOD(2-WEEKDAY($S38),7))+13),1,IF(ISNUMBER($J38),$J38,$Y38)))</f>
        <v/>
      </c>
      <c r="AA38" s="62">
        <f>IF($V38="","",IF(AND(ISNUMBER($G38),$G38&lt;=IF($S38=MesCiclo,InicioCiclo,$S38+MOD(2-WEEKDAY($S38),7))+20),1,IF(ISNUMBER($K38),$K38,$Z38)))</f>
        <v/>
      </c>
      <c r="AB38" s="62">
        <f>IF($V38="","",IF(AND(ISNUMBER($G38),$G38&lt;=IF($S38=MesCiclo,InicioCiclo,$S38+MOD(2-WEEKDAY($S38),7))+27),1,IF(ISNUMBER($L38),$L38,$AA38)))</f>
        <v/>
      </c>
      <c r="AC38" s="62">
        <f>IF($V38="","",IF(AND(ISNUMBER($G38),$G38&lt;=IF($S38=MesCiclo,InicioCiclo,$S38+MOD(2-WEEKDAY($S38),7))+6),1,IF(N($W38)&gt;0,AVERAGEIFS($Y$5:$Y$1000,$U$5:$U$1000,ROW(),$V$5:$V$1000,"Sub"),$Y38)))</f>
        <v/>
      </c>
      <c r="AD38" s="62">
        <f>IF($V38="","",IF(AND(ISNUMBER($G38),$G38&lt;=IF($S38=MesCiclo,InicioCiclo,$S38+MOD(2-WEEKDAY($S38),7))+13),1,IF(N($W38)&gt;0,AVERAGEIFS($Z$5:$Z$1000,$U$5:$U$1000,ROW(),$V$5:$V$1000,"Sub"),$Z38)))</f>
        <v/>
      </c>
      <c r="AE38" s="62">
        <f>IF($V38="","",IF(AND(ISNUMBER($G38),$G38&lt;=IF($S38=MesCiclo,InicioCiclo,$S38+MOD(2-WEEKDAY($S38),7))+20),1,IF(N($W38)&gt;0,AVERAGEIFS($AA$5:$AA$1000,$U$5:$U$1000,ROW(),$V$5:$V$1000,"Sub"),$AA38)))</f>
        <v/>
      </c>
      <c r="AF38" s="62">
        <f>IF($V38="","",IF(AND(ISNUMBER($G38),$G38&lt;=IF($S38=MesCiclo,InicioCiclo,$S38+MOD(2-WEEKDAY($S38),7))+27),1,IF(N($W38)&gt;0,AVERAGEIFS($AB$5:$AB$1000,$U$5:$U$1000,ROW(),$V$5:$V$1000,"Sub"),$AB38)))</f>
        <v/>
      </c>
      <c r="AG38" s="62">
        <f>IF($V38&lt;&gt;"Macro","",IF(COUNTIFS($S$5:$S$1000,$S38,$V$5:$V$1000,"Macro",$H$5:$H$1000,"&gt;0")=0,1/COUNTIFS($S$5:$S$1000,$S38,$V$5:$V$1000,"Macro"),IF(AND(ISNUMBER($H38),N($H38)&gt;0),$H38,SUMIFS($H$5:$H$1000,$S$5:$S$1000,$S38,$V$5:$V$1000,"Macro")/COUNTIFS($S$5:$S$1000,$S38,$V$5:$V$1000,"Macro",$H$5:$H$1000,"&gt;0"))/(COUNTIFS($S$5:$S$1000,$S38,$V$5:$V$1000,"Macro")*SUMIFS($H$5:$H$1000,$S$5:$S$1000,$S38,$V$5:$V$1000,"Macro")/COUNTIFS($S$5:$S$1000,$S38,$V$5:$V$1000,"Macro",$H$5:$H$1000,"&gt;0"))))</f>
        <v/>
      </c>
      <c r="AH38" s="62" t="n"/>
      <c r="AI38" s="62" t="n"/>
      <c r="AJ38" s="62" t="n"/>
      <c r="AK38" s="62" t="n"/>
      <c r="AL38" s="62">
        <f>IF(LEFT($C38,11)="[Jefatura] ",IFERROR(MATCH("Riesgo Financiero|"&amp;MID($C38,12,500),rDname_ADM,0),0),"")</f>
        <v/>
      </c>
      <c r="AM38" s="62">
        <f>IF(N($AL38)&gt;0,INDEX(rIni_ADM,$AL38),IF(ISNUMBER($E38),$E38,""))</f>
        <v/>
      </c>
      <c r="AN38" s="62">
        <f>IF(N($AL38)&gt;0,INDEX(rLim_ADM,$AL38),IF(ISNUMBER($F38),$F38,""))</f>
        <v/>
      </c>
    </row>
    <row r="39">
      <c r="A39" s="56">
        <f>IF(NOT((COUNTA($B39:$D39)+COUNTA($G39:$L39)+COUNTA($Q39))&gt;0),"",IF($V39="Macro",COUNTIFS($V$5:$V39,"Macro",$S$5:$S39,$S39),IF(N($U39)=0,"?",COUNTIFS(INDEX($V$5:$V$1000,1):INDEX($V$5:$V$1000,$U39-4),"Macro",INDEX($S$5:$S$1000,1):INDEX($S$5:$S$1000,$U39-4),INDEX($S$5:$S$1000,$U39-4))&amp;"."&amp;COUNTIFS($U$5:$U39,$U39,$V$5:$V39,"Sub"))))</f>
        <v/>
      </c>
      <c r="B39" s="57" t="n"/>
      <c r="C39" s="58" t="n"/>
      <c r="D39" s="58" t="n"/>
      <c r="E39" s="59">
        <f>IF(N($AL39)&gt;0,INDEX(rIni_ADM,$AL39),"")</f>
        <v/>
      </c>
      <c r="F39" s="59">
        <f>IF(N($AL39)&gt;0,INDEX(rLim_ADM,$AL39),"")</f>
        <v/>
      </c>
      <c r="G39" s="59" t="n"/>
      <c r="H39" s="60" t="n"/>
      <c r="I39" s="60" t="n"/>
      <c r="J39" s="60" t="n"/>
      <c r="K39" s="60" t="n"/>
      <c r="L39" s="60" t="n"/>
      <c r="M39" s="61">
        <f>IF(NOT((COUNTA($B39:$D39)+COUNTA($G39:$L39)+COUNTA($Q39))&gt;0),"",IF($V39="Sub",IFERROR($X39/INDEX($W$5:$W$1000,$U39-4),""),IF(ISNUMBER($G39),1,IF(N($W39)&gt;0,AVERAGEIFS($X$5:$X$1000,$U$5:$U$1000,ROW(),$V$5:$V$1000,"Sub"),$X39))))</f>
        <v/>
      </c>
      <c r="N39" s="56">
        <f>IF(OR($M39="",$V39="Sub"),"",IF($M39&gt;=1,"Completado",IF($M39&gt;0,"En curso","Pendiente")))</f>
        <v/>
      </c>
      <c r="O39" s="56">
        <f>IF(OR(NOT((COUNTA($B39:$D39)+COUNTA($G39:$L39)+COUNTA($Q39))&gt;0),$V39="Sub"),"",IF(ISNUMBER($G39),IF(AND(ISNUMBER($AN39),$G39&gt;$AN39),"Cumplida con "&amp;($G39-$AN39)&amp;IF($G39-$AN39=1," día"," días")&amp;" de retraso","Cumplida"),IF(N($M39)&gt;=1,"Cumplida",IF(NOT(ISNUMBER($AN39)),"Sin fecha límite",IF($AN39&lt;FechaRef,"Vencida hace "&amp;(FechaRef-$AN39)&amp;IF(FechaRef-$AN39=1," día"," días"),IF($AN39=FechaRef,"Vence hoy",IF($AN39-FechaRef&lt;=DiasAlerta,"Vence en "&amp;($AN39-FechaRef)&amp;IF($AN39-FechaRef=1," día"," días"),"En plazo")))))))</f>
        <v/>
      </c>
      <c r="P39" s="62" t="n"/>
      <c r="Q39" s="58" t="n"/>
      <c r="R39" s="63">
        <f>IF(NOT((COUNTA($B39:$D39)+COUNTA($G39:$L39)+COUNTA($Q39))&gt;0),"",IF((IF($C39="","Falta el nombre de la actividad"&amp;" · ","")&amp;IF(AND($V39="Sub",N($U39)=0),"Subactividad sin macroactividad arriba"&amp;" · ","")&amp;IF($AM39="","Sin fecha de inicio"&amp;" · ","")&amp;IF($AN39="","Sin fecha límite"&amp;" · ","")&amp;IF(AND(LEFT($C39,11)="[Jefatura] ",N($AL39)=0),"No se encuentra en la hoja de la jefatura (elíjala de nuevo en la lista)"&amp;" · ","")&amp;IF(OR(AND($E39&lt;&gt;"",NOT(ISNUMBER($E39))),AND($F39&lt;&gt;"",NOT(ISNUMBER($F39))),AND($G39&lt;&gt;"",NOT(ISNUMBER($G39)))),"Fecha no válida"&amp;" · ","")&amp;IF(AND(ISNUMBER($AM39),ISNUMBER($AN39),$AM39&gt;$AN39),"Inicio posterior a fecha límite"&amp;" · ","")&amp;IF(AND($V39="Macro",$H39&lt;&gt;"",OR(NOT(ISNUMBER($H39)),$H39&lt;0,$H39&gt;1)),"Peso fuera de rango"&amp;" · ","")&amp;IF(AND($V39="Sub",$H39&lt;&gt;""),"Las subactividades no llevan peso (valen igual dentro de su macroactividad)"&amp;" · ","")&amp;IF(AND(N($W39)&gt;0,COUNT($I39:$L39)&gt;0),"Con subactividades: deje vacías las semanas (se calculan solas)"&amp;" · ","")&amp;IF((COUNTIF($I39:$L39,"&gt;1")+COUNTIF($I39:$L39,"&lt;0")+COUNTA($I39:$L39)-COUNT($I39:$L39))&gt;0,"Avance fuera de rango 0-100%"&amp;" · ","")&amp;IF(OR(AND($J39&lt;&gt;"",$J39&lt;$I39),AND($K39&lt;&gt;"",$K39&lt;MAX($I39:$J39)),AND($L39&lt;&gt;"",$L39&lt;MAX($I39:$K39))),"Avance semanal decreciente"&amp;" · ","")&amp;IF(AND(ISNUMBER($AN39),$AN39&lt;FechaRef,IF($V39="Sub",N($X39),N($M39))&lt;1),"Vencida"&amp;" · ","")&amp;IF(AND(ObsObligatoria="Sí",ISNUMBER($AN39),$AN39&lt;FechaRef,IF($V39="Sub",N($X39),N($M39))&lt;1,$Q39=""),"Vencida sin observación"&amp;" · ",""))="","✔ OK","⚠ "&amp;LEFT(IF($C39="","Falta el nombre de la actividad"&amp;" · ","")&amp;IF(AND($V39="Sub",N($U39)=0),"Subactividad sin macroactividad arriba"&amp;" · ","")&amp;IF($AM39="","Sin fecha de inicio"&amp;" · ","")&amp;IF($AN39="","Sin fecha límite"&amp;" · ","")&amp;IF(AND(LEFT($C39,11)="[Jefatura] ",N($AL39)=0),"No se encuentra en la hoja de la jefatura (elíjala de nuevo en la lista)"&amp;" · ","")&amp;IF(OR(AND($E39&lt;&gt;"",NOT(ISNUMBER($E39))),AND($F39&lt;&gt;"",NOT(ISNUMBER($F39))),AND($G39&lt;&gt;"",NOT(ISNUMBER($G39)))),"Fecha no válida"&amp;" · ","")&amp;IF(AND(ISNUMBER($AM39),ISNUMBER($AN39),$AM39&gt;$AN39),"Inicio posterior a fecha límite"&amp;" · ","")&amp;IF(AND($V39="Macro",$H39&lt;&gt;"",OR(NOT(ISNUMBER($H39)),$H39&lt;0,$H39&gt;1)),"Peso fuera de rango"&amp;" · ","")&amp;IF(AND($V39="Sub",$H39&lt;&gt;""),"Las subactividades no llevan peso (valen igual dentro de su macroactividad)"&amp;" · ","")&amp;IF(AND(N($W39)&gt;0,COUNT($I39:$L39)&gt;0),"Con subactividades: deje vacías las semanas (se calculan solas)"&amp;" · ","")&amp;IF((COUNTIF($I39:$L39,"&gt;1")+COUNTIF($I39:$L39,"&lt;0")+COUNTA($I39:$L39)-COUNT($I39:$L39))&gt;0,"Avance fuera de rango 0-100%"&amp;" · ","")&amp;IF(OR(AND($J39&lt;&gt;"",$J39&lt;$I39),AND($K39&lt;&gt;"",$K39&lt;MAX($I39:$J39)),AND($L39&lt;&gt;"",$L39&lt;MAX($I39:$K39))),"Avance semanal decreciente"&amp;" · ","")&amp;IF(AND(ISNUMBER($AN39),$AN39&lt;FechaRef,IF($V39="Sub",N($X39),N($M39))&lt;1),"Vencida"&amp;" · ","")&amp;IF(AND(ObsObligatoria="Sí",ISNUMBER($AN39),$AN39&lt;FechaRef,IF($V39="Sub",N($X39),N($M39))&lt;1,$Q39=""),"Vencida sin observación"&amp;" · ",""),LEN(IF($C39="","Falta el nombre de la actividad"&amp;" · ","")&amp;IF(AND($V39="Sub",N($U39)=0),"Subactividad sin macroactividad arriba"&amp;" · ","")&amp;IF($AM39="","Sin fecha de inicio"&amp;" · ","")&amp;IF($AN39="","Sin fecha límite"&amp;" · ","")&amp;IF(AND(LEFT($C39,11)="[Jefatura] ",N($AL39)=0),"No se encuentra en la hoja de la jefatura (elíjala de nuevo en la lista)"&amp;" · ","")&amp;IF(OR(AND($E39&lt;&gt;"",NOT(ISNUMBER($E39))),AND($F39&lt;&gt;"",NOT(ISNUMBER($F39))),AND($G39&lt;&gt;"",NOT(ISNUMBER($G39)))),"Fecha no válida"&amp;" · ","")&amp;IF(AND(ISNUMBER($AM39),ISNUMBER($AN39),$AM39&gt;$AN39),"Inicio posterior a fecha límite"&amp;" · ","")&amp;IF(AND($V39="Macro",$H39&lt;&gt;"",OR(NOT(ISNUMBER($H39)),$H39&lt;0,$H39&gt;1)),"Peso fuera de rango"&amp;" · ","")&amp;IF(AND($V39="Sub",$H39&lt;&gt;""),"Las subactividades no llevan peso (valen igual dentro de su macroactividad)"&amp;" · ","")&amp;IF(AND(N($W39)&gt;0,COUNT($I39:$L39)&gt;0),"Con subactividades: deje vacías las semanas (se calculan solas)"&amp;" · ","")&amp;IF((COUNTIF($I39:$L39,"&gt;1")+COUNTIF($I39:$L39,"&lt;0")+COUNTA($I39:$L39)-COUNT($I39:$L39))&gt;0,"Avance fuera de rango 0-100%"&amp;" · ","")&amp;IF(OR(AND($J39&lt;&gt;"",$J39&lt;$I39),AND($K39&lt;&gt;"",$K39&lt;MAX($I39:$J39)),AND($L39&lt;&gt;"",$L39&lt;MAX($I39:$K39))),"Avance semanal decreciente"&amp;" · ","")&amp;IF(AND(ISNUMBER($AN39),$AN39&lt;FechaRef,IF($V39="Sub",N($X39),N($M39))&lt;1),"Vencida"&amp;" · ","")&amp;IF(AND(ObsObligatoria="Sí",ISNUMBER($AN39),$AN39&lt;FechaRef,IF($V39="Sub",N($X39),N($M39))&lt;1,$Q39=""),"Vencida sin observación"&amp;" · ",""))-3)))</f>
        <v/>
      </c>
      <c r="S39" s="64">
        <f>IF(NOT((COUNTA($B39:$D39)+COUNTA($G39:$L39)+COUNTA($Q39))&gt;0),"",IF(AND($V39="Sub",N($U39)&gt;0),IF(ISNUMBER(INDEX($AM$5:$AM$1000,$U39-4)),DATE(YEAR(INDEX($AM$5:$AM$1000,$U39-4)),MONTH(INDEX($AM$5:$AM$1000,$U39-4)),1),IF(ISNUMBER(INDEX($AN$5:$AN$1000,$U39-4)),DATE(YEAR(INDEX($AN$5:$AN$1000,$U39-4)),MONTH(INDEX($AN$5:$AN$1000,$U39-4)),1),MesCiclo)),IF(ISNUMBER($AM39),DATE(YEAR($AM39),MONTH($AM39),1),IF(ISNUMBER($AN39),DATE(YEAR($AN39),MONTH($AN39),1),MesCiclo))))</f>
        <v/>
      </c>
      <c r="T39" s="62">
        <f>IF(OR($S39="",$S39&lt;&gt;MesCiclo,$V39&lt;&gt;"Macro"),"",COUNTIFS($S$5:$S39,MesCiclo,$V$5:$V39,"Macro"))</f>
        <v/>
      </c>
      <c r="U39" s="62">
        <f>IF($V39="","",IF($V39="Macro",ROW(),IFERROR(LOOKUP(2,1/($V$5:$V39="Macro"),ROW($V$5:$V39)),0)))</f>
        <v/>
      </c>
      <c r="V39" s="62">
        <f>IF(NOT((COUNTA($B39:$D39)+COUNTA($G39:$L39)+COUNTA($Q39))&gt;0),"",IF($B39="Subactividad","Sub","Macro"))</f>
        <v/>
      </c>
      <c r="W39" s="62">
        <f>IF($V39="Macro",COUNTIFS($U$5:$U$1000,ROW(),$V$5:$V$1000,"Sub"),"")</f>
        <v/>
      </c>
      <c r="X39" s="62">
        <f>IF($V39="","",IF(ISNUMBER($G39),1,IFERROR(LOOKUP(2,1/($I39:$L39&lt;&gt;""),$I39:$L39),0)))</f>
        <v/>
      </c>
      <c r="Y39" s="62">
        <f>IF($V39="","",IF(AND(ISNUMBER($G39),$G39&lt;=IF($S39=MesCiclo,InicioCiclo,$S39+MOD(2-WEEKDAY($S39),7))+6),1,IF(ISNUMBER($I39),$I39,0)))</f>
        <v/>
      </c>
      <c r="Z39" s="62">
        <f>IF($V39="","",IF(AND(ISNUMBER($G39),$G39&lt;=IF($S39=MesCiclo,InicioCiclo,$S39+MOD(2-WEEKDAY($S39),7))+13),1,IF(ISNUMBER($J39),$J39,$Y39)))</f>
        <v/>
      </c>
      <c r="AA39" s="62">
        <f>IF($V39="","",IF(AND(ISNUMBER($G39),$G39&lt;=IF($S39=MesCiclo,InicioCiclo,$S39+MOD(2-WEEKDAY($S39),7))+20),1,IF(ISNUMBER($K39),$K39,$Z39)))</f>
        <v/>
      </c>
      <c r="AB39" s="62">
        <f>IF($V39="","",IF(AND(ISNUMBER($G39),$G39&lt;=IF($S39=MesCiclo,InicioCiclo,$S39+MOD(2-WEEKDAY($S39),7))+27),1,IF(ISNUMBER($L39),$L39,$AA39)))</f>
        <v/>
      </c>
      <c r="AC39" s="62">
        <f>IF($V39="","",IF(AND(ISNUMBER($G39),$G39&lt;=IF($S39=MesCiclo,InicioCiclo,$S39+MOD(2-WEEKDAY($S39),7))+6),1,IF(N($W39)&gt;0,AVERAGEIFS($Y$5:$Y$1000,$U$5:$U$1000,ROW(),$V$5:$V$1000,"Sub"),$Y39)))</f>
        <v/>
      </c>
      <c r="AD39" s="62">
        <f>IF($V39="","",IF(AND(ISNUMBER($G39),$G39&lt;=IF($S39=MesCiclo,InicioCiclo,$S39+MOD(2-WEEKDAY($S39),7))+13),1,IF(N($W39)&gt;0,AVERAGEIFS($Z$5:$Z$1000,$U$5:$U$1000,ROW(),$V$5:$V$1000,"Sub"),$Z39)))</f>
        <v/>
      </c>
      <c r="AE39" s="62">
        <f>IF($V39="","",IF(AND(ISNUMBER($G39),$G39&lt;=IF($S39=MesCiclo,InicioCiclo,$S39+MOD(2-WEEKDAY($S39),7))+20),1,IF(N($W39)&gt;0,AVERAGEIFS($AA$5:$AA$1000,$U$5:$U$1000,ROW(),$V$5:$V$1000,"Sub"),$AA39)))</f>
        <v/>
      </c>
      <c r="AF39" s="62">
        <f>IF($V39="","",IF(AND(ISNUMBER($G39),$G39&lt;=IF($S39=MesCiclo,InicioCiclo,$S39+MOD(2-WEEKDAY($S39),7))+27),1,IF(N($W39)&gt;0,AVERAGEIFS($AB$5:$AB$1000,$U$5:$U$1000,ROW(),$V$5:$V$1000,"Sub"),$AB39)))</f>
        <v/>
      </c>
      <c r="AG39" s="62">
        <f>IF($V39&lt;&gt;"Macro","",IF(COUNTIFS($S$5:$S$1000,$S39,$V$5:$V$1000,"Macro",$H$5:$H$1000,"&gt;0")=0,1/COUNTIFS($S$5:$S$1000,$S39,$V$5:$V$1000,"Macro"),IF(AND(ISNUMBER($H39),N($H39)&gt;0),$H39,SUMIFS($H$5:$H$1000,$S$5:$S$1000,$S39,$V$5:$V$1000,"Macro")/COUNTIFS($S$5:$S$1000,$S39,$V$5:$V$1000,"Macro",$H$5:$H$1000,"&gt;0"))/(COUNTIFS($S$5:$S$1000,$S39,$V$5:$V$1000,"Macro")*SUMIFS($H$5:$H$1000,$S$5:$S$1000,$S39,$V$5:$V$1000,"Macro")/COUNTIFS($S$5:$S$1000,$S39,$V$5:$V$1000,"Macro",$H$5:$H$1000,"&gt;0"))))</f>
        <v/>
      </c>
      <c r="AH39" s="62" t="n"/>
      <c r="AI39" s="62" t="n"/>
      <c r="AJ39" s="62" t="n"/>
      <c r="AK39" s="62" t="n"/>
      <c r="AL39" s="62">
        <f>IF(LEFT($C39,11)="[Jefatura] ",IFERROR(MATCH("Riesgo Financiero|"&amp;MID($C39,12,500),rDname_ADM,0),0),"")</f>
        <v/>
      </c>
      <c r="AM39" s="62">
        <f>IF(N($AL39)&gt;0,INDEX(rIni_ADM,$AL39),IF(ISNUMBER($E39),$E39,""))</f>
        <v/>
      </c>
      <c r="AN39" s="62">
        <f>IF(N($AL39)&gt;0,INDEX(rLim_ADM,$AL39),IF(ISNUMBER($F39),$F39,""))</f>
        <v/>
      </c>
    </row>
    <row r="40">
      <c r="A40" s="56">
        <f>IF(NOT((COUNTA($B40:$D40)+COUNTA($G40:$L40)+COUNTA($Q40))&gt;0),"",IF($V40="Macro",COUNTIFS($V$5:$V40,"Macro",$S$5:$S40,$S40),IF(N($U40)=0,"?",COUNTIFS(INDEX($V$5:$V$1000,1):INDEX($V$5:$V$1000,$U40-4),"Macro",INDEX($S$5:$S$1000,1):INDEX($S$5:$S$1000,$U40-4),INDEX($S$5:$S$1000,$U40-4))&amp;"."&amp;COUNTIFS($U$5:$U40,$U40,$V$5:$V40,"Sub"))))</f>
        <v/>
      </c>
      <c r="B40" s="57" t="n"/>
      <c r="C40" s="58" t="n"/>
      <c r="D40" s="58" t="n"/>
      <c r="E40" s="59">
        <f>IF(N($AL40)&gt;0,INDEX(rIni_ADM,$AL40),"")</f>
        <v/>
      </c>
      <c r="F40" s="59">
        <f>IF(N($AL40)&gt;0,INDEX(rLim_ADM,$AL40),"")</f>
        <v/>
      </c>
      <c r="G40" s="59" t="n"/>
      <c r="H40" s="60" t="n"/>
      <c r="I40" s="60" t="n"/>
      <c r="J40" s="60" t="n"/>
      <c r="K40" s="60" t="n"/>
      <c r="L40" s="60" t="n"/>
      <c r="M40" s="61">
        <f>IF(NOT((COUNTA($B40:$D40)+COUNTA($G40:$L40)+COUNTA($Q40))&gt;0),"",IF($V40="Sub",IFERROR($X40/INDEX($W$5:$W$1000,$U40-4),""),IF(ISNUMBER($G40),1,IF(N($W40)&gt;0,AVERAGEIFS($X$5:$X$1000,$U$5:$U$1000,ROW(),$V$5:$V$1000,"Sub"),$X40))))</f>
        <v/>
      </c>
      <c r="N40" s="56">
        <f>IF(OR($M40="",$V40="Sub"),"",IF($M40&gt;=1,"Completado",IF($M40&gt;0,"En curso","Pendiente")))</f>
        <v/>
      </c>
      <c r="O40" s="56">
        <f>IF(OR(NOT((COUNTA($B40:$D40)+COUNTA($G40:$L40)+COUNTA($Q40))&gt;0),$V40="Sub"),"",IF(ISNUMBER($G40),IF(AND(ISNUMBER($AN40),$G40&gt;$AN40),"Cumplida con "&amp;($G40-$AN40)&amp;IF($G40-$AN40=1," día"," días")&amp;" de retraso","Cumplida"),IF(N($M40)&gt;=1,"Cumplida",IF(NOT(ISNUMBER($AN40)),"Sin fecha límite",IF($AN40&lt;FechaRef,"Vencida hace "&amp;(FechaRef-$AN40)&amp;IF(FechaRef-$AN40=1," día"," días"),IF($AN40=FechaRef,"Vence hoy",IF($AN40-FechaRef&lt;=DiasAlerta,"Vence en "&amp;($AN40-FechaRef)&amp;IF($AN40-FechaRef=1," día"," días"),"En plazo")))))))</f>
        <v/>
      </c>
      <c r="P40" s="62" t="n"/>
      <c r="Q40" s="58" t="n"/>
      <c r="R40" s="63">
        <f>IF(NOT((COUNTA($B40:$D40)+COUNTA($G40:$L40)+COUNTA($Q40))&gt;0),"",IF((IF($C40="","Falta el nombre de la actividad"&amp;" · ","")&amp;IF(AND($V40="Sub",N($U40)=0),"Subactividad sin macroactividad arriba"&amp;" · ","")&amp;IF($AM40="","Sin fecha de inicio"&amp;" · ","")&amp;IF($AN40="","Sin fecha límite"&amp;" · ","")&amp;IF(AND(LEFT($C40,11)="[Jefatura] ",N($AL40)=0),"No se encuentra en la hoja de la jefatura (elíjala de nuevo en la lista)"&amp;" · ","")&amp;IF(OR(AND($E40&lt;&gt;"",NOT(ISNUMBER($E40))),AND($F40&lt;&gt;"",NOT(ISNUMBER($F40))),AND($G40&lt;&gt;"",NOT(ISNUMBER($G40)))),"Fecha no válida"&amp;" · ","")&amp;IF(AND(ISNUMBER($AM40),ISNUMBER($AN40),$AM40&gt;$AN40),"Inicio posterior a fecha límite"&amp;" · ","")&amp;IF(AND($V40="Macro",$H40&lt;&gt;"",OR(NOT(ISNUMBER($H40)),$H40&lt;0,$H40&gt;1)),"Peso fuera de rango"&amp;" · ","")&amp;IF(AND($V40="Sub",$H40&lt;&gt;""),"Las subactividades no llevan peso (valen igual dentro de su macroactividad)"&amp;" · ","")&amp;IF(AND(N($W40)&gt;0,COUNT($I40:$L40)&gt;0),"Con subactividades: deje vacías las semanas (se calculan solas)"&amp;" · ","")&amp;IF((COUNTIF($I40:$L40,"&gt;1")+COUNTIF($I40:$L40,"&lt;0")+COUNTA($I40:$L40)-COUNT($I40:$L40))&gt;0,"Avance fuera de rango 0-100%"&amp;" · ","")&amp;IF(OR(AND($J40&lt;&gt;"",$J40&lt;$I40),AND($K40&lt;&gt;"",$K40&lt;MAX($I40:$J40)),AND($L40&lt;&gt;"",$L40&lt;MAX($I40:$K40))),"Avance semanal decreciente"&amp;" · ","")&amp;IF(AND(ISNUMBER($AN40),$AN40&lt;FechaRef,IF($V40="Sub",N($X40),N($M40))&lt;1),"Vencida"&amp;" · ","")&amp;IF(AND(ObsObligatoria="Sí",ISNUMBER($AN40),$AN40&lt;FechaRef,IF($V40="Sub",N($X40),N($M40))&lt;1,$Q40=""),"Vencida sin observación"&amp;" · ",""))="","✔ OK","⚠ "&amp;LEFT(IF($C40="","Falta el nombre de la actividad"&amp;" · ","")&amp;IF(AND($V40="Sub",N($U40)=0),"Subactividad sin macroactividad arriba"&amp;" · ","")&amp;IF($AM40="","Sin fecha de inicio"&amp;" · ","")&amp;IF($AN40="","Sin fecha límite"&amp;" · ","")&amp;IF(AND(LEFT($C40,11)="[Jefatura] ",N($AL40)=0),"No se encuentra en la hoja de la jefatura (elíjala de nuevo en la lista)"&amp;" · ","")&amp;IF(OR(AND($E40&lt;&gt;"",NOT(ISNUMBER($E40))),AND($F40&lt;&gt;"",NOT(ISNUMBER($F40))),AND($G40&lt;&gt;"",NOT(ISNUMBER($G40)))),"Fecha no válida"&amp;" · ","")&amp;IF(AND(ISNUMBER($AM40),ISNUMBER($AN40),$AM40&gt;$AN40),"Inicio posterior a fecha límite"&amp;" · ","")&amp;IF(AND($V40="Macro",$H40&lt;&gt;"",OR(NOT(ISNUMBER($H40)),$H40&lt;0,$H40&gt;1)),"Peso fuera de rango"&amp;" · ","")&amp;IF(AND($V40="Sub",$H40&lt;&gt;""),"Las subactividades no llevan peso (valen igual dentro de su macroactividad)"&amp;" · ","")&amp;IF(AND(N($W40)&gt;0,COUNT($I40:$L40)&gt;0),"Con subactividades: deje vacías las semanas (se calculan solas)"&amp;" · ","")&amp;IF((COUNTIF($I40:$L40,"&gt;1")+COUNTIF($I40:$L40,"&lt;0")+COUNTA($I40:$L40)-COUNT($I40:$L40))&gt;0,"Avance fuera de rango 0-100%"&amp;" · ","")&amp;IF(OR(AND($J40&lt;&gt;"",$J40&lt;$I40),AND($K40&lt;&gt;"",$K40&lt;MAX($I40:$J40)),AND($L40&lt;&gt;"",$L40&lt;MAX($I40:$K40))),"Avance semanal decreciente"&amp;" · ","")&amp;IF(AND(ISNUMBER($AN40),$AN40&lt;FechaRef,IF($V40="Sub",N($X40),N($M40))&lt;1),"Vencida"&amp;" · ","")&amp;IF(AND(ObsObligatoria="Sí",ISNUMBER($AN40),$AN40&lt;FechaRef,IF($V40="Sub",N($X40),N($M40))&lt;1,$Q40=""),"Vencida sin observación"&amp;" · ",""),LEN(IF($C40="","Falta el nombre de la actividad"&amp;" · ","")&amp;IF(AND($V40="Sub",N($U40)=0),"Subactividad sin macroactividad arriba"&amp;" · ","")&amp;IF($AM40="","Sin fecha de inicio"&amp;" · ","")&amp;IF($AN40="","Sin fecha límite"&amp;" · ","")&amp;IF(AND(LEFT($C40,11)="[Jefatura] ",N($AL40)=0),"No se encuentra en la hoja de la jefatura (elíjala de nuevo en la lista)"&amp;" · ","")&amp;IF(OR(AND($E40&lt;&gt;"",NOT(ISNUMBER($E40))),AND($F40&lt;&gt;"",NOT(ISNUMBER($F40))),AND($G40&lt;&gt;"",NOT(ISNUMBER($G40)))),"Fecha no válida"&amp;" · ","")&amp;IF(AND(ISNUMBER($AM40),ISNUMBER($AN40),$AM40&gt;$AN40),"Inicio posterior a fecha límite"&amp;" · ","")&amp;IF(AND($V40="Macro",$H40&lt;&gt;"",OR(NOT(ISNUMBER($H40)),$H40&lt;0,$H40&gt;1)),"Peso fuera de rango"&amp;" · ","")&amp;IF(AND($V40="Sub",$H40&lt;&gt;""),"Las subactividades no llevan peso (valen igual dentro de su macroactividad)"&amp;" · ","")&amp;IF(AND(N($W40)&gt;0,COUNT($I40:$L40)&gt;0),"Con subactividades: deje vacías las semanas (se calculan solas)"&amp;" · ","")&amp;IF((COUNTIF($I40:$L40,"&gt;1")+COUNTIF($I40:$L40,"&lt;0")+COUNTA($I40:$L40)-COUNT($I40:$L40))&gt;0,"Avance fuera de rango 0-100%"&amp;" · ","")&amp;IF(OR(AND($J40&lt;&gt;"",$J40&lt;$I40),AND($K40&lt;&gt;"",$K40&lt;MAX($I40:$J40)),AND($L40&lt;&gt;"",$L40&lt;MAX($I40:$K40))),"Avance semanal decreciente"&amp;" · ","")&amp;IF(AND(ISNUMBER($AN40),$AN40&lt;FechaRef,IF($V40="Sub",N($X40),N($M40))&lt;1),"Vencida"&amp;" · ","")&amp;IF(AND(ObsObligatoria="Sí",ISNUMBER($AN40),$AN40&lt;FechaRef,IF($V40="Sub",N($X40),N($M40))&lt;1,$Q40=""),"Vencida sin observación"&amp;" · ",""))-3)))</f>
        <v/>
      </c>
      <c r="S40" s="64">
        <f>IF(NOT((COUNTA($B40:$D40)+COUNTA($G40:$L40)+COUNTA($Q40))&gt;0),"",IF(AND($V40="Sub",N($U40)&gt;0),IF(ISNUMBER(INDEX($AM$5:$AM$1000,$U40-4)),DATE(YEAR(INDEX($AM$5:$AM$1000,$U40-4)),MONTH(INDEX($AM$5:$AM$1000,$U40-4)),1),IF(ISNUMBER(INDEX($AN$5:$AN$1000,$U40-4)),DATE(YEAR(INDEX($AN$5:$AN$1000,$U40-4)),MONTH(INDEX($AN$5:$AN$1000,$U40-4)),1),MesCiclo)),IF(ISNUMBER($AM40),DATE(YEAR($AM40),MONTH($AM40),1),IF(ISNUMBER($AN40),DATE(YEAR($AN40),MONTH($AN40),1),MesCiclo))))</f>
        <v/>
      </c>
      <c r="T40" s="62">
        <f>IF(OR($S40="",$S40&lt;&gt;MesCiclo,$V40&lt;&gt;"Macro"),"",COUNTIFS($S$5:$S40,MesCiclo,$V$5:$V40,"Macro"))</f>
        <v/>
      </c>
      <c r="U40" s="62">
        <f>IF($V40="","",IF($V40="Macro",ROW(),IFERROR(LOOKUP(2,1/($V$5:$V40="Macro"),ROW($V$5:$V40)),0)))</f>
        <v/>
      </c>
      <c r="V40" s="62">
        <f>IF(NOT((COUNTA($B40:$D40)+COUNTA($G40:$L40)+COUNTA($Q40))&gt;0),"",IF($B40="Subactividad","Sub","Macro"))</f>
        <v/>
      </c>
      <c r="W40" s="62">
        <f>IF($V40="Macro",COUNTIFS($U$5:$U$1000,ROW(),$V$5:$V$1000,"Sub"),"")</f>
        <v/>
      </c>
      <c r="X40" s="62">
        <f>IF($V40="","",IF(ISNUMBER($G40),1,IFERROR(LOOKUP(2,1/($I40:$L40&lt;&gt;""),$I40:$L40),0)))</f>
        <v/>
      </c>
      <c r="Y40" s="62">
        <f>IF($V40="","",IF(AND(ISNUMBER($G40),$G40&lt;=IF($S40=MesCiclo,InicioCiclo,$S40+MOD(2-WEEKDAY($S40),7))+6),1,IF(ISNUMBER($I40),$I40,0)))</f>
        <v/>
      </c>
      <c r="Z40" s="62">
        <f>IF($V40="","",IF(AND(ISNUMBER($G40),$G40&lt;=IF($S40=MesCiclo,InicioCiclo,$S40+MOD(2-WEEKDAY($S40),7))+13),1,IF(ISNUMBER($J40),$J40,$Y40)))</f>
        <v/>
      </c>
      <c r="AA40" s="62">
        <f>IF($V40="","",IF(AND(ISNUMBER($G40),$G40&lt;=IF($S40=MesCiclo,InicioCiclo,$S40+MOD(2-WEEKDAY($S40),7))+20),1,IF(ISNUMBER($K40),$K40,$Z40)))</f>
        <v/>
      </c>
      <c r="AB40" s="62">
        <f>IF($V40="","",IF(AND(ISNUMBER($G40),$G40&lt;=IF($S40=MesCiclo,InicioCiclo,$S40+MOD(2-WEEKDAY($S40),7))+27),1,IF(ISNUMBER($L40),$L40,$AA40)))</f>
        <v/>
      </c>
      <c r="AC40" s="62">
        <f>IF($V40="","",IF(AND(ISNUMBER($G40),$G40&lt;=IF($S40=MesCiclo,InicioCiclo,$S40+MOD(2-WEEKDAY($S40),7))+6),1,IF(N($W40)&gt;0,AVERAGEIFS($Y$5:$Y$1000,$U$5:$U$1000,ROW(),$V$5:$V$1000,"Sub"),$Y40)))</f>
        <v/>
      </c>
      <c r="AD40" s="62">
        <f>IF($V40="","",IF(AND(ISNUMBER($G40),$G40&lt;=IF($S40=MesCiclo,InicioCiclo,$S40+MOD(2-WEEKDAY($S40),7))+13),1,IF(N($W40)&gt;0,AVERAGEIFS($Z$5:$Z$1000,$U$5:$U$1000,ROW(),$V$5:$V$1000,"Sub"),$Z40)))</f>
        <v/>
      </c>
      <c r="AE40" s="62">
        <f>IF($V40="","",IF(AND(ISNUMBER($G40),$G40&lt;=IF($S40=MesCiclo,InicioCiclo,$S40+MOD(2-WEEKDAY($S40),7))+20),1,IF(N($W40)&gt;0,AVERAGEIFS($AA$5:$AA$1000,$U$5:$U$1000,ROW(),$V$5:$V$1000,"Sub"),$AA40)))</f>
        <v/>
      </c>
      <c r="AF40" s="62">
        <f>IF($V40="","",IF(AND(ISNUMBER($G40),$G40&lt;=IF($S40=MesCiclo,InicioCiclo,$S40+MOD(2-WEEKDAY($S40),7))+27),1,IF(N($W40)&gt;0,AVERAGEIFS($AB$5:$AB$1000,$U$5:$U$1000,ROW(),$V$5:$V$1000,"Sub"),$AB40)))</f>
        <v/>
      </c>
      <c r="AG40" s="62">
        <f>IF($V40&lt;&gt;"Macro","",IF(COUNTIFS($S$5:$S$1000,$S40,$V$5:$V$1000,"Macro",$H$5:$H$1000,"&gt;0")=0,1/COUNTIFS($S$5:$S$1000,$S40,$V$5:$V$1000,"Macro"),IF(AND(ISNUMBER($H40),N($H40)&gt;0),$H40,SUMIFS($H$5:$H$1000,$S$5:$S$1000,$S40,$V$5:$V$1000,"Macro")/COUNTIFS($S$5:$S$1000,$S40,$V$5:$V$1000,"Macro",$H$5:$H$1000,"&gt;0"))/(COUNTIFS($S$5:$S$1000,$S40,$V$5:$V$1000,"Macro")*SUMIFS($H$5:$H$1000,$S$5:$S$1000,$S40,$V$5:$V$1000,"Macro")/COUNTIFS($S$5:$S$1000,$S40,$V$5:$V$1000,"Macro",$H$5:$H$1000,"&gt;0"))))</f>
        <v/>
      </c>
      <c r="AH40" s="62" t="n"/>
      <c r="AI40" s="62" t="n"/>
      <c r="AJ40" s="62" t="n"/>
      <c r="AK40" s="62" t="n"/>
      <c r="AL40" s="62">
        <f>IF(LEFT($C40,11)="[Jefatura] ",IFERROR(MATCH("Riesgo Financiero|"&amp;MID($C40,12,500),rDname_ADM,0),0),"")</f>
        <v/>
      </c>
      <c r="AM40" s="62">
        <f>IF(N($AL40)&gt;0,INDEX(rIni_ADM,$AL40),IF(ISNUMBER($E40),$E40,""))</f>
        <v/>
      </c>
      <c r="AN40" s="62">
        <f>IF(N($AL40)&gt;0,INDEX(rLim_ADM,$AL40),IF(ISNUMBER($F40),$F40,""))</f>
        <v/>
      </c>
    </row>
    <row r="41">
      <c r="A41" s="56">
        <f>IF(NOT((COUNTA($B41:$D41)+COUNTA($G41:$L41)+COUNTA($Q41))&gt;0),"",IF($V41="Macro",COUNTIFS($V$5:$V41,"Macro",$S$5:$S41,$S41),IF(N($U41)=0,"?",COUNTIFS(INDEX($V$5:$V$1000,1):INDEX($V$5:$V$1000,$U41-4),"Macro",INDEX($S$5:$S$1000,1):INDEX($S$5:$S$1000,$U41-4),INDEX($S$5:$S$1000,$U41-4))&amp;"."&amp;COUNTIFS($U$5:$U41,$U41,$V$5:$V41,"Sub"))))</f>
        <v/>
      </c>
      <c r="B41" s="57" t="n"/>
      <c r="C41" s="58" t="n"/>
      <c r="D41" s="58" t="n"/>
      <c r="E41" s="59">
        <f>IF(N($AL41)&gt;0,INDEX(rIni_ADM,$AL41),"")</f>
        <v/>
      </c>
      <c r="F41" s="59">
        <f>IF(N($AL41)&gt;0,INDEX(rLim_ADM,$AL41),"")</f>
        <v/>
      </c>
      <c r="G41" s="59" t="n"/>
      <c r="H41" s="60" t="n"/>
      <c r="I41" s="60" t="n"/>
      <c r="J41" s="60" t="n"/>
      <c r="K41" s="60" t="n"/>
      <c r="L41" s="60" t="n"/>
      <c r="M41" s="61">
        <f>IF(NOT((COUNTA($B41:$D41)+COUNTA($G41:$L41)+COUNTA($Q41))&gt;0),"",IF($V41="Sub",IFERROR($X41/INDEX($W$5:$W$1000,$U41-4),""),IF(ISNUMBER($G41),1,IF(N($W41)&gt;0,AVERAGEIFS($X$5:$X$1000,$U$5:$U$1000,ROW(),$V$5:$V$1000,"Sub"),$X41))))</f>
        <v/>
      </c>
      <c r="N41" s="56">
        <f>IF(OR($M41="",$V41="Sub"),"",IF($M41&gt;=1,"Completado",IF($M41&gt;0,"En curso","Pendiente")))</f>
        <v/>
      </c>
      <c r="O41" s="56">
        <f>IF(OR(NOT((COUNTA($B41:$D41)+COUNTA($G41:$L41)+COUNTA($Q41))&gt;0),$V41="Sub"),"",IF(ISNUMBER($G41),IF(AND(ISNUMBER($AN41),$G41&gt;$AN41),"Cumplida con "&amp;($G41-$AN41)&amp;IF($G41-$AN41=1," día"," días")&amp;" de retraso","Cumplida"),IF(N($M41)&gt;=1,"Cumplida",IF(NOT(ISNUMBER($AN41)),"Sin fecha límite",IF($AN41&lt;FechaRef,"Vencida hace "&amp;(FechaRef-$AN41)&amp;IF(FechaRef-$AN41=1," día"," días"),IF($AN41=FechaRef,"Vence hoy",IF($AN41-FechaRef&lt;=DiasAlerta,"Vence en "&amp;($AN41-FechaRef)&amp;IF($AN41-FechaRef=1," día"," días"),"En plazo")))))))</f>
        <v/>
      </c>
      <c r="P41" s="62" t="n"/>
      <c r="Q41" s="58" t="n"/>
      <c r="R41" s="63">
        <f>IF(NOT((COUNTA($B41:$D41)+COUNTA($G41:$L41)+COUNTA($Q41))&gt;0),"",IF((IF($C41="","Falta el nombre de la actividad"&amp;" · ","")&amp;IF(AND($V41="Sub",N($U41)=0),"Subactividad sin macroactividad arriba"&amp;" · ","")&amp;IF($AM41="","Sin fecha de inicio"&amp;" · ","")&amp;IF($AN41="","Sin fecha límite"&amp;" · ","")&amp;IF(AND(LEFT($C41,11)="[Jefatura] ",N($AL41)=0),"No se encuentra en la hoja de la jefatura (elíjala de nuevo en la lista)"&amp;" · ","")&amp;IF(OR(AND($E41&lt;&gt;"",NOT(ISNUMBER($E41))),AND($F41&lt;&gt;"",NOT(ISNUMBER($F41))),AND($G41&lt;&gt;"",NOT(ISNUMBER($G41)))),"Fecha no válida"&amp;" · ","")&amp;IF(AND(ISNUMBER($AM41),ISNUMBER($AN41),$AM41&gt;$AN41),"Inicio posterior a fecha límite"&amp;" · ","")&amp;IF(AND($V41="Macro",$H41&lt;&gt;"",OR(NOT(ISNUMBER($H41)),$H41&lt;0,$H41&gt;1)),"Peso fuera de rango"&amp;" · ","")&amp;IF(AND($V41="Sub",$H41&lt;&gt;""),"Las subactividades no llevan peso (valen igual dentro de su macroactividad)"&amp;" · ","")&amp;IF(AND(N($W41)&gt;0,COUNT($I41:$L41)&gt;0),"Con subactividades: deje vacías las semanas (se calculan solas)"&amp;" · ","")&amp;IF((COUNTIF($I41:$L41,"&gt;1")+COUNTIF($I41:$L41,"&lt;0")+COUNTA($I41:$L41)-COUNT($I41:$L41))&gt;0,"Avance fuera de rango 0-100%"&amp;" · ","")&amp;IF(OR(AND($J41&lt;&gt;"",$J41&lt;$I41),AND($K41&lt;&gt;"",$K41&lt;MAX($I41:$J41)),AND($L41&lt;&gt;"",$L41&lt;MAX($I41:$K41))),"Avance semanal decreciente"&amp;" · ","")&amp;IF(AND(ISNUMBER($AN41),$AN41&lt;FechaRef,IF($V41="Sub",N($X41),N($M41))&lt;1),"Vencida"&amp;" · ","")&amp;IF(AND(ObsObligatoria="Sí",ISNUMBER($AN41),$AN41&lt;FechaRef,IF($V41="Sub",N($X41),N($M41))&lt;1,$Q41=""),"Vencida sin observación"&amp;" · ",""))="","✔ OK","⚠ "&amp;LEFT(IF($C41="","Falta el nombre de la actividad"&amp;" · ","")&amp;IF(AND($V41="Sub",N($U41)=0),"Subactividad sin macroactividad arriba"&amp;" · ","")&amp;IF($AM41="","Sin fecha de inicio"&amp;" · ","")&amp;IF($AN41="","Sin fecha límite"&amp;" · ","")&amp;IF(AND(LEFT($C41,11)="[Jefatura] ",N($AL41)=0),"No se encuentra en la hoja de la jefatura (elíjala de nuevo en la lista)"&amp;" · ","")&amp;IF(OR(AND($E41&lt;&gt;"",NOT(ISNUMBER($E41))),AND($F41&lt;&gt;"",NOT(ISNUMBER($F41))),AND($G41&lt;&gt;"",NOT(ISNUMBER($G41)))),"Fecha no válida"&amp;" · ","")&amp;IF(AND(ISNUMBER($AM41),ISNUMBER($AN41),$AM41&gt;$AN41),"Inicio posterior a fecha límite"&amp;" · ","")&amp;IF(AND($V41="Macro",$H41&lt;&gt;"",OR(NOT(ISNUMBER($H41)),$H41&lt;0,$H41&gt;1)),"Peso fuera de rango"&amp;" · ","")&amp;IF(AND($V41="Sub",$H41&lt;&gt;""),"Las subactividades no llevan peso (valen igual dentro de su macroactividad)"&amp;" · ","")&amp;IF(AND(N($W41)&gt;0,COUNT($I41:$L41)&gt;0),"Con subactividades: deje vacías las semanas (se calculan solas)"&amp;" · ","")&amp;IF((COUNTIF($I41:$L41,"&gt;1")+COUNTIF($I41:$L41,"&lt;0")+COUNTA($I41:$L41)-COUNT($I41:$L41))&gt;0,"Avance fuera de rango 0-100%"&amp;" · ","")&amp;IF(OR(AND($J41&lt;&gt;"",$J41&lt;$I41),AND($K41&lt;&gt;"",$K41&lt;MAX($I41:$J41)),AND($L41&lt;&gt;"",$L41&lt;MAX($I41:$K41))),"Avance semanal decreciente"&amp;" · ","")&amp;IF(AND(ISNUMBER($AN41),$AN41&lt;FechaRef,IF($V41="Sub",N($X41),N($M41))&lt;1),"Vencida"&amp;" · ","")&amp;IF(AND(ObsObligatoria="Sí",ISNUMBER($AN41),$AN41&lt;FechaRef,IF($V41="Sub",N($X41),N($M41))&lt;1,$Q41=""),"Vencida sin observación"&amp;" · ",""),LEN(IF($C41="","Falta el nombre de la actividad"&amp;" · ","")&amp;IF(AND($V41="Sub",N($U41)=0),"Subactividad sin macroactividad arriba"&amp;" · ","")&amp;IF($AM41="","Sin fecha de inicio"&amp;" · ","")&amp;IF($AN41="","Sin fecha límite"&amp;" · ","")&amp;IF(AND(LEFT($C41,11)="[Jefatura] ",N($AL41)=0),"No se encuentra en la hoja de la jefatura (elíjala de nuevo en la lista)"&amp;" · ","")&amp;IF(OR(AND($E41&lt;&gt;"",NOT(ISNUMBER($E41))),AND($F41&lt;&gt;"",NOT(ISNUMBER($F41))),AND($G41&lt;&gt;"",NOT(ISNUMBER($G41)))),"Fecha no válida"&amp;" · ","")&amp;IF(AND(ISNUMBER($AM41),ISNUMBER($AN41),$AM41&gt;$AN41),"Inicio posterior a fecha límite"&amp;" · ","")&amp;IF(AND($V41="Macro",$H41&lt;&gt;"",OR(NOT(ISNUMBER($H41)),$H41&lt;0,$H41&gt;1)),"Peso fuera de rango"&amp;" · ","")&amp;IF(AND($V41="Sub",$H41&lt;&gt;""),"Las subactividades no llevan peso (valen igual dentro de su macroactividad)"&amp;" · ","")&amp;IF(AND(N($W41)&gt;0,COUNT($I41:$L41)&gt;0),"Con subactividades: deje vacías las semanas (se calculan solas)"&amp;" · ","")&amp;IF((COUNTIF($I41:$L41,"&gt;1")+COUNTIF($I41:$L41,"&lt;0")+COUNTA($I41:$L41)-COUNT($I41:$L41))&gt;0,"Avance fuera de rango 0-100%"&amp;" · ","")&amp;IF(OR(AND($J41&lt;&gt;"",$J41&lt;$I41),AND($K41&lt;&gt;"",$K41&lt;MAX($I41:$J41)),AND($L41&lt;&gt;"",$L41&lt;MAX($I41:$K41))),"Avance semanal decreciente"&amp;" · ","")&amp;IF(AND(ISNUMBER($AN41),$AN41&lt;FechaRef,IF($V41="Sub",N($X41),N($M41))&lt;1),"Vencida"&amp;" · ","")&amp;IF(AND(ObsObligatoria="Sí",ISNUMBER($AN41),$AN41&lt;FechaRef,IF($V41="Sub",N($X41),N($M41))&lt;1,$Q41=""),"Vencida sin observación"&amp;" · ",""))-3)))</f>
        <v/>
      </c>
      <c r="S41" s="64">
        <f>IF(NOT((COUNTA($B41:$D41)+COUNTA($G41:$L41)+COUNTA($Q41))&gt;0),"",IF(AND($V41="Sub",N($U41)&gt;0),IF(ISNUMBER(INDEX($AM$5:$AM$1000,$U41-4)),DATE(YEAR(INDEX($AM$5:$AM$1000,$U41-4)),MONTH(INDEX($AM$5:$AM$1000,$U41-4)),1),IF(ISNUMBER(INDEX($AN$5:$AN$1000,$U41-4)),DATE(YEAR(INDEX($AN$5:$AN$1000,$U41-4)),MONTH(INDEX($AN$5:$AN$1000,$U41-4)),1),MesCiclo)),IF(ISNUMBER($AM41),DATE(YEAR($AM41),MONTH($AM41),1),IF(ISNUMBER($AN41),DATE(YEAR($AN41),MONTH($AN41),1),MesCiclo))))</f>
        <v/>
      </c>
      <c r="T41" s="62">
        <f>IF(OR($S41="",$S41&lt;&gt;MesCiclo,$V41&lt;&gt;"Macro"),"",COUNTIFS($S$5:$S41,MesCiclo,$V$5:$V41,"Macro"))</f>
        <v/>
      </c>
      <c r="U41" s="62">
        <f>IF($V41="","",IF($V41="Macro",ROW(),IFERROR(LOOKUP(2,1/($V$5:$V41="Macro"),ROW($V$5:$V41)),0)))</f>
        <v/>
      </c>
      <c r="V41" s="62">
        <f>IF(NOT((COUNTA($B41:$D41)+COUNTA($G41:$L41)+COUNTA($Q41))&gt;0),"",IF($B41="Subactividad","Sub","Macro"))</f>
        <v/>
      </c>
      <c r="W41" s="62">
        <f>IF($V41="Macro",COUNTIFS($U$5:$U$1000,ROW(),$V$5:$V$1000,"Sub"),"")</f>
        <v/>
      </c>
      <c r="X41" s="62">
        <f>IF($V41="","",IF(ISNUMBER($G41),1,IFERROR(LOOKUP(2,1/($I41:$L41&lt;&gt;""),$I41:$L41),0)))</f>
        <v/>
      </c>
      <c r="Y41" s="62">
        <f>IF($V41="","",IF(AND(ISNUMBER($G41),$G41&lt;=IF($S41=MesCiclo,InicioCiclo,$S41+MOD(2-WEEKDAY($S41),7))+6),1,IF(ISNUMBER($I41),$I41,0)))</f>
        <v/>
      </c>
      <c r="Z41" s="62">
        <f>IF($V41="","",IF(AND(ISNUMBER($G41),$G41&lt;=IF($S41=MesCiclo,InicioCiclo,$S41+MOD(2-WEEKDAY($S41),7))+13),1,IF(ISNUMBER($J41),$J41,$Y41)))</f>
        <v/>
      </c>
      <c r="AA41" s="62">
        <f>IF($V41="","",IF(AND(ISNUMBER($G41),$G41&lt;=IF($S41=MesCiclo,InicioCiclo,$S41+MOD(2-WEEKDAY($S41),7))+20),1,IF(ISNUMBER($K41),$K41,$Z41)))</f>
        <v/>
      </c>
      <c r="AB41" s="62">
        <f>IF($V41="","",IF(AND(ISNUMBER($G41),$G41&lt;=IF($S41=MesCiclo,InicioCiclo,$S41+MOD(2-WEEKDAY($S41),7))+27),1,IF(ISNUMBER($L41),$L41,$AA41)))</f>
        <v/>
      </c>
      <c r="AC41" s="62">
        <f>IF($V41="","",IF(AND(ISNUMBER($G41),$G41&lt;=IF($S41=MesCiclo,InicioCiclo,$S41+MOD(2-WEEKDAY($S41),7))+6),1,IF(N($W41)&gt;0,AVERAGEIFS($Y$5:$Y$1000,$U$5:$U$1000,ROW(),$V$5:$V$1000,"Sub"),$Y41)))</f>
        <v/>
      </c>
      <c r="AD41" s="62">
        <f>IF($V41="","",IF(AND(ISNUMBER($G41),$G41&lt;=IF($S41=MesCiclo,InicioCiclo,$S41+MOD(2-WEEKDAY($S41),7))+13),1,IF(N($W41)&gt;0,AVERAGEIFS($Z$5:$Z$1000,$U$5:$U$1000,ROW(),$V$5:$V$1000,"Sub"),$Z41)))</f>
        <v/>
      </c>
      <c r="AE41" s="62">
        <f>IF($V41="","",IF(AND(ISNUMBER($G41),$G41&lt;=IF($S41=MesCiclo,InicioCiclo,$S41+MOD(2-WEEKDAY($S41),7))+20),1,IF(N($W41)&gt;0,AVERAGEIFS($AA$5:$AA$1000,$U$5:$U$1000,ROW(),$V$5:$V$1000,"Sub"),$AA41)))</f>
        <v/>
      </c>
      <c r="AF41" s="62">
        <f>IF($V41="","",IF(AND(ISNUMBER($G41),$G41&lt;=IF($S41=MesCiclo,InicioCiclo,$S41+MOD(2-WEEKDAY($S41),7))+27),1,IF(N($W41)&gt;0,AVERAGEIFS($AB$5:$AB$1000,$U$5:$U$1000,ROW(),$V$5:$V$1000,"Sub"),$AB41)))</f>
        <v/>
      </c>
      <c r="AG41" s="62">
        <f>IF($V41&lt;&gt;"Macro","",IF(COUNTIFS($S$5:$S$1000,$S41,$V$5:$V$1000,"Macro",$H$5:$H$1000,"&gt;0")=0,1/COUNTIFS($S$5:$S$1000,$S41,$V$5:$V$1000,"Macro"),IF(AND(ISNUMBER($H41),N($H41)&gt;0),$H41,SUMIFS($H$5:$H$1000,$S$5:$S$1000,$S41,$V$5:$V$1000,"Macro")/COUNTIFS($S$5:$S$1000,$S41,$V$5:$V$1000,"Macro",$H$5:$H$1000,"&gt;0"))/(COUNTIFS($S$5:$S$1000,$S41,$V$5:$V$1000,"Macro")*SUMIFS($H$5:$H$1000,$S$5:$S$1000,$S41,$V$5:$V$1000,"Macro")/COUNTIFS($S$5:$S$1000,$S41,$V$5:$V$1000,"Macro",$H$5:$H$1000,"&gt;0"))))</f>
        <v/>
      </c>
      <c r="AH41" s="62" t="n"/>
      <c r="AI41" s="62" t="n"/>
      <c r="AJ41" s="62" t="n"/>
      <c r="AK41" s="62" t="n"/>
      <c r="AL41" s="62">
        <f>IF(LEFT($C41,11)="[Jefatura] ",IFERROR(MATCH("Riesgo Financiero|"&amp;MID($C41,12,500),rDname_ADM,0),0),"")</f>
        <v/>
      </c>
      <c r="AM41" s="62">
        <f>IF(N($AL41)&gt;0,INDEX(rIni_ADM,$AL41),IF(ISNUMBER($E41),$E41,""))</f>
        <v/>
      </c>
      <c r="AN41" s="62">
        <f>IF(N($AL41)&gt;0,INDEX(rLim_ADM,$AL41),IF(ISNUMBER($F41),$F41,""))</f>
        <v/>
      </c>
    </row>
    <row r="42">
      <c r="A42" s="56">
        <f>IF(NOT((COUNTA($B42:$D42)+COUNTA($G42:$L42)+COUNTA($Q42))&gt;0),"",IF($V42="Macro",COUNTIFS($V$5:$V42,"Macro",$S$5:$S42,$S42),IF(N($U42)=0,"?",COUNTIFS(INDEX($V$5:$V$1000,1):INDEX($V$5:$V$1000,$U42-4),"Macro",INDEX($S$5:$S$1000,1):INDEX($S$5:$S$1000,$U42-4),INDEX($S$5:$S$1000,$U42-4))&amp;"."&amp;COUNTIFS($U$5:$U42,$U42,$V$5:$V42,"Sub"))))</f>
        <v/>
      </c>
      <c r="B42" s="57" t="n"/>
      <c r="C42" s="58" t="n"/>
      <c r="D42" s="58" t="n"/>
      <c r="E42" s="59">
        <f>IF(N($AL42)&gt;0,INDEX(rIni_ADM,$AL42),"")</f>
        <v/>
      </c>
      <c r="F42" s="59">
        <f>IF(N($AL42)&gt;0,INDEX(rLim_ADM,$AL42),"")</f>
        <v/>
      </c>
      <c r="G42" s="59" t="n"/>
      <c r="H42" s="60" t="n"/>
      <c r="I42" s="60" t="n"/>
      <c r="J42" s="60" t="n"/>
      <c r="K42" s="60" t="n"/>
      <c r="L42" s="60" t="n"/>
      <c r="M42" s="61">
        <f>IF(NOT((COUNTA($B42:$D42)+COUNTA($G42:$L42)+COUNTA($Q42))&gt;0),"",IF($V42="Sub",IFERROR($X42/INDEX($W$5:$W$1000,$U42-4),""),IF(ISNUMBER($G42),1,IF(N($W42)&gt;0,AVERAGEIFS($X$5:$X$1000,$U$5:$U$1000,ROW(),$V$5:$V$1000,"Sub"),$X42))))</f>
        <v/>
      </c>
      <c r="N42" s="56">
        <f>IF(OR($M42="",$V42="Sub"),"",IF($M42&gt;=1,"Completado",IF($M42&gt;0,"En curso","Pendiente")))</f>
        <v/>
      </c>
      <c r="O42" s="56">
        <f>IF(OR(NOT((COUNTA($B42:$D42)+COUNTA($G42:$L42)+COUNTA($Q42))&gt;0),$V42="Sub"),"",IF(ISNUMBER($G42),IF(AND(ISNUMBER($AN42),$G42&gt;$AN42),"Cumplida con "&amp;($G42-$AN42)&amp;IF($G42-$AN42=1," día"," días")&amp;" de retraso","Cumplida"),IF(N($M42)&gt;=1,"Cumplida",IF(NOT(ISNUMBER($AN42)),"Sin fecha límite",IF($AN42&lt;FechaRef,"Vencida hace "&amp;(FechaRef-$AN42)&amp;IF(FechaRef-$AN42=1," día"," días"),IF($AN42=FechaRef,"Vence hoy",IF($AN42-FechaRef&lt;=DiasAlerta,"Vence en "&amp;($AN42-FechaRef)&amp;IF($AN42-FechaRef=1," día"," días"),"En plazo")))))))</f>
        <v/>
      </c>
      <c r="P42" s="62" t="n"/>
      <c r="Q42" s="58" t="n"/>
      <c r="R42" s="63">
        <f>IF(NOT((COUNTA($B42:$D42)+COUNTA($G42:$L42)+COUNTA($Q42))&gt;0),"",IF((IF($C42="","Falta el nombre de la actividad"&amp;" · ","")&amp;IF(AND($V42="Sub",N($U42)=0),"Subactividad sin macroactividad arriba"&amp;" · ","")&amp;IF($AM42="","Sin fecha de inicio"&amp;" · ","")&amp;IF($AN42="","Sin fecha límite"&amp;" · ","")&amp;IF(AND(LEFT($C42,11)="[Jefatura] ",N($AL42)=0),"No se encuentra en la hoja de la jefatura (elíjala de nuevo en la lista)"&amp;" · ","")&amp;IF(OR(AND($E42&lt;&gt;"",NOT(ISNUMBER($E42))),AND($F42&lt;&gt;"",NOT(ISNUMBER($F42))),AND($G42&lt;&gt;"",NOT(ISNUMBER($G42)))),"Fecha no válida"&amp;" · ","")&amp;IF(AND(ISNUMBER($AM42),ISNUMBER($AN42),$AM42&gt;$AN42),"Inicio posterior a fecha límite"&amp;" · ","")&amp;IF(AND($V42="Macro",$H42&lt;&gt;"",OR(NOT(ISNUMBER($H42)),$H42&lt;0,$H42&gt;1)),"Peso fuera de rango"&amp;" · ","")&amp;IF(AND($V42="Sub",$H42&lt;&gt;""),"Las subactividades no llevan peso (valen igual dentro de su macroactividad)"&amp;" · ","")&amp;IF(AND(N($W42)&gt;0,COUNT($I42:$L42)&gt;0),"Con subactividades: deje vacías las semanas (se calculan solas)"&amp;" · ","")&amp;IF((COUNTIF($I42:$L42,"&gt;1")+COUNTIF($I42:$L42,"&lt;0")+COUNTA($I42:$L42)-COUNT($I42:$L42))&gt;0,"Avance fuera de rango 0-100%"&amp;" · ","")&amp;IF(OR(AND($J42&lt;&gt;"",$J42&lt;$I42),AND($K42&lt;&gt;"",$K42&lt;MAX($I42:$J42)),AND($L42&lt;&gt;"",$L42&lt;MAX($I42:$K42))),"Avance semanal decreciente"&amp;" · ","")&amp;IF(AND(ISNUMBER($AN42),$AN42&lt;FechaRef,IF($V42="Sub",N($X42),N($M42))&lt;1),"Vencida"&amp;" · ","")&amp;IF(AND(ObsObligatoria="Sí",ISNUMBER($AN42),$AN42&lt;FechaRef,IF($V42="Sub",N($X42),N($M42))&lt;1,$Q42=""),"Vencida sin observación"&amp;" · ",""))="","✔ OK","⚠ "&amp;LEFT(IF($C42="","Falta el nombre de la actividad"&amp;" · ","")&amp;IF(AND($V42="Sub",N($U42)=0),"Subactividad sin macroactividad arriba"&amp;" · ","")&amp;IF($AM42="","Sin fecha de inicio"&amp;" · ","")&amp;IF($AN42="","Sin fecha límite"&amp;" · ","")&amp;IF(AND(LEFT($C42,11)="[Jefatura] ",N($AL42)=0),"No se encuentra en la hoja de la jefatura (elíjala de nuevo en la lista)"&amp;" · ","")&amp;IF(OR(AND($E42&lt;&gt;"",NOT(ISNUMBER($E42))),AND($F42&lt;&gt;"",NOT(ISNUMBER($F42))),AND($G42&lt;&gt;"",NOT(ISNUMBER($G42)))),"Fecha no válida"&amp;" · ","")&amp;IF(AND(ISNUMBER($AM42),ISNUMBER($AN42),$AM42&gt;$AN42),"Inicio posterior a fecha límite"&amp;" · ","")&amp;IF(AND($V42="Macro",$H42&lt;&gt;"",OR(NOT(ISNUMBER($H42)),$H42&lt;0,$H42&gt;1)),"Peso fuera de rango"&amp;" · ","")&amp;IF(AND($V42="Sub",$H42&lt;&gt;""),"Las subactividades no llevan peso (valen igual dentro de su macroactividad)"&amp;" · ","")&amp;IF(AND(N($W42)&gt;0,COUNT($I42:$L42)&gt;0),"Con subactividades: deje vacías las semanas (se calculan solas)"&amp;" · ","")&amp;IF((COUNTIF($I42:$L42,"&gt;1")+COUNTIF($I42:$L42,"&lt;0")+COUNTA($I42:$L42)-COUNT($I42:$L42))&gt;0,"Avance fuera de rango 0-100%"&amp;" · ","")&amp;IF(OR(AND($J42&lt;&gt;"",$J42&lt;$I42),AND($K42&lt;&gt;"",$K42&lt;MAX($I42:$J42)),AND($L42&lt;&gt;"",$L42&lt;MAX($I42:$K42))),"Avance semanal decreciente"&amp;" · ","")&amp;IF(AND(ISNUMBER($AN42),$AN42&lt;FechaRef,IF($V42="Sub",N($X42),N($M42))&lt;1),"Vencida"&amp;" · ","")&amp;IF(AND(ObsObligatoria="Sí",ISNUMBER($AN42),$AN42&lt;FechaRef,IF($V42="Sub",N($X42),N($M42))&lt;1,$Q42=""),"Vencida sin observación"&amp;" · ",""),LEN(IF($C42="","Falta el nombre de la actividad"&amp;" · ","")&amp;IF(AND($V42="Sub",N($U42)=0),"Subactividad sin macroactividad arriba"&amp;" · ","")&amp;IF($AM42="","Sin fecha de inicio"&amp;" · ","")&amp;IF($AN42="","Sin fecha límite"&amp;" · ","")&amp;IF(AND(LEFT($C42,11)="[Jefatura] ",N($AL42)=0),"No se encuentra en la hoja de la jefatura (elíjala de nuevo en la lista)"&amp;" · ","")&amp;IF(OR(AND($E42&lt;&gt;"",NOT(ISNUMBER($E42))),AND($F42&lt;&gt;"",NOT(ISNUMBER($F42))),AND($G42&lt;&gt;"",NOT(ISNUMBER($G42)))),"Fecha no válida"&amp;" · ","")&amp;IF(AND(ISNUMBER($AM42),ISNUMBER($AN42),$AM42&gt;$AN42),"Inicio posterior a fecha límite"&amp;" · ","")&amp;IF(AND($V42="Macro",$H42&lt;&gt;"",OR(NOT(ISNUMBER($H42)),$H42&lt;0,$H42&gt;1)),"Peso fuera de rango"&amp;" · ","")&amp;IF(AND($V42="Sub",$H42&lt;&gt;""),"Las subactividades no llevan peso (valen igual dentro de su macroactividad)"&amp;" · ","")&amp;IF(AND(N($W42)&gt;0,COUNT($I42:$L42)&gt;0),"Con subactividades: deje vacías las semanas (se calculan solas)"&amp;" · ","")&amp;IF((COUNTIF($I42:$L42,"&gt;1")+COUNTIF($I42:$L42,"&lt;0")+COUNTA($I42:$L42)-COUNT($I42:$L42))&gt;0,"Avance fuera de rango 0-100%"&amp;" · ","")&amp;IF(OR(AND($J42&lt;&gt;"",$J42&lt;$I42),AND($K42&lt;&gt;"",$K42&lt;MAX($I42:$J42)),AND($L42&lt;&gt;"",$L42&lt;MAX($I42:$K42))),"Avance semanal decreciente"&amp;" · ","")&amp;IF(AND(ISNUMBER($AN42),$AN42&lt;FechaRef,IF($V42="Sub",N($X42),N($M42))&lt;1),"Vencida"&amp;" · ","")&amp;IF(AND(ObsObligatoria="Sí",ISNUMBER($AN42),$AN42&lt;FechaRef,IF($V42="Sub",N($X42),N($M42))&lt;1,$Q42=""),"Vencida sin observación"&amp;" · ",""))-3)))</f>
        <v/>
      </c>
      <c r="S42" s="64">
        <f>IF(NOT((COUNTA($B42:$D42)+COUNTA($G42:$L42)+COUNTA($Q42))&gt;0),"",IF(AND($V42="Sub",N($U42)&gt;0),IF(ISNUMBER(INDEX($AM$5:$AM$1000,$U42-4)),DATE(YEAR(INDEX($AM$5:$AM$1000,$U42-4)),MONTH(INDEX($AM$5:$AM$1000,$U42-4)),1),IF(ISNUMBER(INDEX($AN$5:$AN$1000,$U42-4)),DATE(YEAR(INDEX($AN$5:$AN$1000,$U42-4)),MONTH(INDEX($AN$5:$AN$1000,$U42-4)),1),MesCiclo)),IF(ISNUMBER($AM42),DATE(YEAR($AM42),MONTH($AM42),1),IF(ISNUMBER($AN42),DATE(YEAR($AN42),MONTH($AN42),1),MesCiclo))))</f>
        <v/>
      </c>
      <c r="T42" s="62">
        <f>IF(OR($S42="",$S42&lt;&gt;MesCiclo,$V42&lt;&gt;"Macro"),"",COUNTIFS($S$5:$S42,MesCiclo,$V$5:$V42,"Macro"))</f>
        <v/>
      </c>
      <c r="U42" s="62">
        <f>IF($V42="","",IF($V42="Macro",ROW(),IFERROR(LOOKUP(2,1/($V$5:$V42="Macro"),ROW($V$5:$V42)),0)))</f>
        <v/>
      </c>
      <c r="V42" s="62">
        <f>IF(NOT((COUNTA($B42:$D42)+COUNTA($G42:$L42)+COUNTA($Q42))&gt;0),"",IF($B42="Subactividad","Sub","Macro"))</f>
        <v/>
      </c>
      <c r="W42" s="62">
        <f>IF($V42="Macro",COUNTIFS($U$5:$U$1000,ROW(),$V$5:$V$1000,"Sub"),"")</f>
        <v/>
      </c>
      <c r="X42" s="62">
        <f>IF($V42="","",IF(ISNUMBER($G42),1,IFERROR(LOOKUP(2,1/($I42:$L42&lt;&gt;""),$I42:$L42),0)))</f>
        <v/>
      </c>
      <c r="Y42" s="62">
        <f>IF($V42="","",IF(AND(ISNUMBER($G42),$G42&lt;=IF($S42=MesCiclo,InicioCiclo,$S42+MOD(2-WEEKDAY($S42),7))+6),1,IF(ISNUMBER($I42),$I42,0)))</f>
        <v/>
      </c>
      <c r="Z42" s="62">
        <f>IF($V42="","",IF(AND(ISNUMBER($G42),$G42&lt;=IF($S42=MesCiclo,InicioCiclo,$S42+MOD(2-WEEKDAY($S42),7))+13),1,IF(ISNUMBER($J42),$J42,$Y42)))</f>
        <v/>
      </c>
      <c r="AA42" s="62">
        <f>IF($V42="","",IF(AND(ISNUMBER($G42),$G42&lt;=IF($S42=MesCiclo,InicioCiclo,$S42+MOD(2-WEEKDAY($S42),7))+20),1,IF(ISNUMBER($K42),$K42,$Z42)))</f>
        <v/>
      </c>
      <c r="AB42" s="62">
        <f>IF($V42="","",IF(AND(ISNUMBER($G42),$G42&lt;=IF($S42=MesCiclo,InicioCiclo,$S42+MOD(2-WEEKDAY($S42),7))+27),1,IF(ISNUMBER($L42),$L42,$AA42)))</f>
        <v/>
      </c>
      <c r="AC42" s="62">
        <f>IF($V42="","",IF(AND(ISNUMBER($G42),$G42&lt;=IF($S42=MesCiclo,InicioCiclo,$S42+MOD(2-WEEKDAY($S42),7))+6),1,IF(N($W42)&gt;0,AVERAGEIFS($Y$5:$Y$1000,$U$5:$U$1000,ROW(),$V$5:$V$1000,"Sub"),$Y42)))</f>
        <v/>
      </c>
      <c r="AD42" s="62">
        <f>IF($V42="","",IF(AND(ISNUMBER($G42),$G42&lt;=IF($S42=MesCiclo,InicioCiclo,$S42+MOD(2-WEEKDAY($S42),7))+13),1,IF(N($W42)&gt;0,AVERAGEIFS($Z$5:$Z$1000,$U$5:$U$1000,ROW(),$V$5:$V$1000,"Sub"),$Z42)))</f>
        <v/>
      </c>
      <c r="AE42" s="62">
        <f>IF($V42="","",IF(AND(ISNUMBER($G42),$G42&lt;=IF($S42=MesCiclo,InicioCiclo,$S42+MOD(2-WEEKDAY($S42),7))+20),1,IF(N($W42)&gt;0,AVERAGEIFS($AA$5:$AA$1000,$U$5:$U$1000,ROW(),$V$5:$V$1000,"Sub"),$AA42)))</f>
        <v/>
      </c>
      <c r="AF42" s="62">
        <f>IF($V42="","",IF(AND(ISNUMBER($G42),$G42&lt;=IF($S42=MesCiclo,InicioCiclo,$S42+MOD(2-WEEKDAY($S42),7))+27),1,IF(N($W42)&gt;0,AVERAGEIFS($AB$5:$AB$1000,$U$5:$U$1000,ROW(),$V$5:$V$1000,"Sub"),$AB42)))</f>
        <v/>
      </c>
      <c r="AG42" s="62">
        <f>IF($V42&lt;&gt;"Macro","",IF(COUNTIFS($S$5:$S$1000,$S42,$V$5:$V$1000,"Macro",$H$5:$H$1000,"&gt;0")=0,1/COUNTIFS($S$5:$S$1000,$S42,$V$5:$V$1000,"Macro"),IF(AND(ISNUMBER($H42),N($H42)&gt;0),$H42,SUMIFS($H$5:$H$1000,$S$5:$S$1000,$S42,$V$5:$V$1000,"Macro")/COUNTIFS($S$5:$S$1000,$S42,$V$5:$V$1000,"Macro",$H$5:$H$1000,"&gt;0"))/(COUNTIFS($S$5:$S$1000,$S42,$V$5:$V$1000,"Macro")*SUMIFS($H$5:$H$1000,$S$5:$S$1000,$S42,$V$5:$V$1000,"Macro")/COUNTIFS($S$5:$S$1000,$S42,$V$5:$V$1000,"Macro",$H$5:$H$1000,"&gt;0"))))</f>
        <v/>
      </c>
      <c r="AH42" s="62" t="n"/>
      <c r="AI42" s="62" t="n"/>
      <c r="AJ42" s="62" t="n"/>
      <c r="AK42" s="62" t="n"/>
      <c r="AL42" s="62">
        <f>IF(LEFT($C42,11)="[Jefatura] ",IFERROR(MATCH("Riesgo Financiero|"&amp;MID($C42,12,500),rDname_ADM,0),0),"")</f>
        <v/>
      </c>
      <c r="AM42" s="62">
        <f>IF(N($AL42)&gt;0,INDEX(rIni_ADM,$AL42),IF(ISNUMBER($E42),$E42,""))</f>
        <v/>
      </c>
      <c r="AN42" s="62">
        <f>IF(N($AL42)&gt;0,INDEX(rLim_ADM,$AL42),IF(ISNUMBER($F42),$F42,""))</f>
        <v/>
      </c>
    </row>
    <row r="43">
      <c r="A43" s="56">
        <f>IF(NOT((COUNTA($B43:$D43)+COUNTA($G43:$L43)+COUNTA($Q43))&gt;0),"",IF($V43="Macro",COUNTIFS($V$5:$V43,"Macro",$S$5:$S43,$S43),IF(N($U43)=0,"?",COUNTIFS(INDEX($V$5:$V$1000,1):INDEX($V$5:$V$1000,$U43-4),"Macro",INDEX($S$5:$S$1000,1):INDEX($S$5:$S$1000,$U43-4),INDEX($S$5:$S$1000,$U43-4))&amp;"."&amp;COUNTIFS($U$5:$U43,$U43,$V$5:$V43,"Sub"))))</f>
        <v/>
      </c>
      <c r="B43" s="57" t="n"/>
      <c r="C43" s="58" t="n"/>
      <c r="D43" s="58" t="n"/>
      <c r="E43" s="59">
        <f>IF(N($AL43)&gt;0,INDEX(rIni_ADM,$AL43),"")</f>
        <v/>
      </c>
      <c r="F43" s="59">
        <f>IF(N($AL43)&gt;0,INDEX(rLim_ADM,$AL43),"")</f>
        <v/>
      </c>
      <c r="G43" s="59" t="n"/>
      <c r="H43" s="60" t="n"/>
      <c r="I43" s="60" t="n"/>
      <c r="J43" s="60" t="n"/>
      <c r="K43" s="60" t="n"/>
      <c r="L43" s="60" t="n"/>
      <c r="M43" s="61">
        <f>IF(NOT((COUNTA($B43:$D43)+COUNTA($G43:$L43)+COUNTA($Q43))&gt;0),"",IF($V43="Sub",IFERROR($X43/INDEX($W$5:$W$1000,$U43-4),""),IF(ISNUMBER($G43),1,IF(N($W43)&gt;0,AVERAGEIFS($X$5:$X$1000,$U$5:$U$1000,ROW(),$V$5:$V$1000,"Sub"),$X43))))</f>
        <v/>
      </c>
      <c r="N43" s="56">
        <f>IF(OR($M43="",$V43="Sub"),"",IF($M43&gt;=1,"Completado",IF($M43&gt;0,"En curso","Pendiente")))</f>
        <v/>
      </c>
      <c r="O43" s="56">
        <f>IF(OR(NOT((COUNTA($B43:$D43)+COUNTA($G43:$L43)+COUNTA($Q43))&gt;0),$V43="Sub"),"",IF(ISNUMBER($G43),IF(AND(ISNUMBER($AN43),$G43&gt;$AN43),"Cumplida con "&amp;($G43-$AN43)&amp;IF($G43-$AN43=1," día"," días")&amp;" de retraso","Cumplida"),IF(N($M43)&gt;=1,"Cumplida",IF(NOT(ISNUMBER($AN43)),"Sin fecha límite",IF($AN43&lt;FechaRef,"Vencida hace "&amp;(FechaRef-$AN43)&amp;IF(FechaRef-$AN43=1," día"," días"),IF($AN43=FechaRef,"Vence hoy",IF($AN43-FechaRef&lt;=DiasAlerta,"Vence en "&amp;($AN43-FechaRef)&amp;IF($AN43-FechaRef=1," día"," días"),"En plazo")))))))</f>
        <v/>
      </c>
      <c r="P43" s="62" t="n"/>
      <c r="Q43" s="58" t="n"/>
      <c r="R43" s="63">
        <f>IF(NOT((COUNTA($B43:$D43)+COUNTA($G43:$L43)+COUNTA($Q43))&gt;0),"",IF((IF($C43="","Falta el nombre de la actividad"&amp;" · ","")&amp;IF(AND($V43="Sub",N($U43)=0),"Subactividad sin macroactividad arriba"&amp;" · ","")&amp;IF($AM43="","Sin fecha de inicio"&amp;" · ","")&amp;IF($AN43="","Sin fecha límite"&amp;" · ","")&amp;IF(AND(LEFT($C43,11)="[Jefatura] ",N($AL43)=0),"No se encuentra en la hoja de la jefatura (elíjala de nuevo en la lista)"&amp;" · ","")&amp;IF(OR(AND($E43&lt;&gt;"",NOT(ISNUMBER($E43))),AND($F43&lt;&gt;"",NOT(ISNUMBER($F43))),AND($G43&lt;&gt;"",NOT(ISNUMBER($G43)))),"Fecha no válida"&amp;" · ","")&amp;IF(AND(ISNUMBER($AM43),ISNUMBER($AN43),$AM43&gt;$AN43),"Inicio posterior a fecha límite"&amp;" · ","")&amp;IF(AND($V43="Macro",$H43&lt;&gt;"",OR(NOT(ISNUMBER($H43)),$H43&lt;0,$H43&gt;1)),"Peso fuera de rango"&amp;" · ","")&amp;IF(AND($V43="Sub",$H43&lt;&gt;""),"Las subactividades no llevan peso (valen igual dentro de su macroactividad)"&amp;" · ","")&amp;IF(AND(N($W43)&gt;0,COUNT($I43:$L43)&gt;0),"Con subactividades: deje vacías las semanas (se calculan solas)"&amp;" · ","")&amp;IF((COUNTIF($I43:$L43,"&gt;1")+COUNTIF($I43:$L43,"&lt;0")+COUNTA($I43:$L43)-COUNT($I43:$L43))&gt;0,"Avance fuera de rango 0-100%"&amp;" · ","")&amp;IF(OR(AND($J43&lt;&gt;"",$J43&lt;$I43),AND($K43&lt;&gt;"",$K43&lt;MAX($I43:$J43)),AND($L43&lt;&gt;"",$L43&lt;MAX($I43:$K43))),"Avance semanal decreciente"&amp;" · ","")&amp;IF(AND(ISNUMBER($AN43),$AN43&lt;FechaRef,IF($V43="Sub",N($X43),N($M43))&lt;1),"Vencida"&amp;" · ","")&amp;IF(AND(ObsObligatoria="Sí",ISNUMBER($AN43),$AN43&lt;FechaRef,IF($V43="Sub",N($X43),N($M43))&lt;1,$Q43=""),"Vencida sin observación"&amp;" · ",""))="","✔ OK","⚠ "&amp;LEFT(IF($C43="","Falta el nombre de la actividad"&amp;" · ","")&amp;IF(AND($V43="Sub",N($U43)=0),"Subactividad sin macroactividad arriba"&amp;" · ","")&amp;IF($AM43="","Sin fecha de inicio"&amp;" · ","")&amp;IF($AN43="","Sin fecha límite"&amp;" · ","")&amp;IF(AND(LEFT($C43,11)="[Jefatura] ",N($AL43)=0),"No se encuentra en la hoja de la jefatura (elíjala de nuevo en la lista)"&amp;" · ","")&amp;IF(OR(AND($E43&lt;&gt;"",NOT(ISNUMBER($E43))),AND($F43&lt;&gt;"",NOT(ISNUMBER($F43))),AND($G43&lt;&gt;"",NOT(ISNUMBER($G43)))),"Fecha no válida"&amp;" · ","")&amp;IF(AND(ISNUMBER($AM43),ISNUMBER($AN43),$AM43&gt;$AN43),"Inicio posterior a fecha límite"&amp;" · ","")&amp;IF(AND($V43="Macro",$H43&lt;&gt;"",OR(NOT(ISNUMBER($H43)),$H43&lt;0,$H43&gt;1)),"Peso fuera de rango"&amp;" · ","")&amp;IF(AND($V43="Sub",$H43&lt;&gt;""),"Las subactividades no llevan peso (valen igual dentro de su macroactividad)"&amp;" · ","")&amp;IF(AND(N($W43)&gt;0,COUNT($I43:$L43)&gt;0),"Con subactividades: deje vacías las semanas (se calculan solas)"&amp;" · ","")&amp;IF((COUNTIF($I43:$L43,"&gt;1")+COUNTIF($I43:$L43,"&lt;0")+COUNTA($I43:$L43)-COUNT($I43:$L43))&gt;0,"Avance fuera de rango 0-100%"&amp;" · ","")&amp;IF(OR(AND($J43&lt;&gt;"",$J43&lt;$I43),AND($K43&lt;&gt;"",$K43&lt;MAX($I43:$J43)),AND($L43&lt;&gt;"",$L43&lt;MAX($I43:$K43))),"Avance semanal decreciente"&amp;" · ","")&amp;IF(AND(ISNUMBER($AN43),$AN43&lt;FechaRef,IF($V43="Sub",N($X43),N($M43))&lt;1),"Vencida"&amp;" · ","")&amp;IF(AND(ObsObligatoria="Sí",ISNUMBER($AN43),$AN43&lt;FechaRef,IF($V43="Sub",N($X43),N($M43))&lt;1,$Q43=""),"Vencida sin observación"&amp;" · ",""),LEN(IF($C43="","Falta el nombre de la actividad"&amp;" · ","")&amp;IF(AND($V43="Sub",N($U43)=0),"Subactividad sin macroactividad arriba"&amp;" · ","")&amp;IF($AM43="","Sin fecha de inicio"&amp;" · ","")&amp;IF($AN43="","Sin fecha límite"&amp;" · ","")&amp;IF(AND(LEFT($C43,11)="[Jefatura] ",N($AL43)=0),"No se encuentra en la hoja de la jefatura (elíjala de nuevo en la lista)"&amp;" · ","")&amp;IF(OR(AND($E43&lt;&gt;"",NOT(ISNUMBER($E43))),AND($F43&lt;&gt;"",NOT(ISNUMBER($F43))),AND($G43&lt;&gt;"",NOT(ISNUMBER($G43)))),"Fecha no válida"&amp;" · ","")&amp;IF(AND(ISNUMBER($AM43),ISNUMBER($AN43),$AM43&gt;$AN43),"Inicio posterior a fecha límite"&amp;" · ","")&amp;IF(AND($V43="Macro",$H43&lt;&gt;"",OR(NOT(ISNUMBER($H43)),$H43&lt;0,$H43&gt;1)),"Peso fuera de rango"&amp;" · ","")&amp;IF(AND($V43="Sub",$H43&lt;&gt;""),"Las subactividades no llevan peso (valen igual dentro de su macroactividad)"&amp;" · ","")&amp;IF(AND(N($W43)&gt;0,COUNT($I43:$L43)&gt;0),"Con subactividades: deje vacías las semanas (se calculan solas)"&amp;" · ","")&amp;IF((COUNTIF($I43:$L43,"&gt;1")+COUNTIF($I43:$L43,"&lt;0")+COUNTA($I43:$L43)-COUNT($I43:$L43))&gt;0,"Avance fuera de rango 0-100%"&amp;" · ","")&amp;IF(OR(AND($J43&lt;&gt;"",$J43&lt;$I43),AND($K43&lt;&gt;"",$K43&lt;MAX($I43:$J43)),AND($L43&lt;&gt;"",$L43&lt;MAX($I43:$K43))),"Avance semanal decreciente"&amp;" · ","")&amp;IF(AND(ISNUMBER($AN43),$AN43&lt;FechaRef,IF($V43="Sub",N($X43),N($M43))&lt;1),"Vencida"&amp;" · ","")&amp;IF(AND(ObsObligatoria="Sí",ISNUMBER($AN43),$AN43&lt;FechaRef,IF($V43="Sub",N($X43),N($M43))&lt;1,$Q43=""),"Vencida sin observación"&amp;" · ",""))-3)))</f>
        <v/>
      </c>
      <c r="S43" s="64">
        <f>IF(NOT((COUNTA($B43:$D43)+COUNTA($G43:$L43)+COUNTA($Q43))&gt;0),"",IF(AND($V43="Sub",N($U43)&gt;0),IF(ISNUMBER(INDEX($AM$5:$AM$1000,$U43-4)),DATE(YEAR(INDEX($AM$5:$AM$1000,$U43-4)),MONTH(INDEX($AM$5:$AM$1000,$U43-4)),1),IF(ISNUMBER(INDEX($AN$5:$AN$1000,$U43-4)),DATE(YEAR(INDEX($AN$5:$AN$1000,$U43-4)),MONTH(INDEX($AN$5:$AN$1000,$U43-4)),1),MesCiclo)),IF(ISNUMBER($AM43),DATE(YEAR($AM43),MONTH($AM43),1),IF(ISNUMBER($AN43),DATE(YEAR($AN43),MONTH($AN43),1),MesCiclo))))</f>
        <v/>
      </c>
      <c r="T43" s="62">
        <f>IF(OR($S43="",$S43&lt;&gt;MesCiclo,$V43&lt;&gt;"Macro"),"",COUNTIFS($S$5:$S43,MesCiclo,$V$5:$V43,"Macro"))</f>
        <v/>
      </c>
      <c r="U43" s="62">
        <f>IF($V43="","",IF($V43="Macro",ROW(),IFERROR(LOOKUP(2,1/($V$5:$V43="Macro"),ROW($V$5:$V43)),0)))</f>
        <v/>
      </c>
      <c r="V43" s="62">
        <f>IF(NOT((COUNTA($B43:$D43)+COUNTA($G43:$L43)+COUNTA($Q43))&gt;0),"",IF($B43="Subactividad","Sub","Macro"))</f>
        <v/>
      </c>
      <c r="W43" s="62">
        <f>IF($V43="Macro",COUNTIFS($U$5:$U$1000,ROW(),$V$5:$V$1000,"Sub"),"")</f>
        <v/>
      </c>
      <c r="X43" s="62">
        <f>IF($V43="","",IF(ISNUMBER($G43),1,IFERROR(LOOKUP(2,1/($I43:$L43&lt;&gt;""),$I43:$L43),0)))</f>
        <v/>
      </c>
      <c r="Y43" s="62">
        <f>IF($V43="","",IF(AND(ISNUMBER($G43),$G43&lt;=IF($S43=MesCiclo,InicioCiclo,$S43+MOD(2-WEEKDAY($S43),7))+6),1,IF(ISNUMBER($I43),$I43,0)))</f>
        <v/>
      </c>
      <c r="Z43" s="62">
        <f>IF($V43="","",IF(AND(ISNUMBER($G43),$G43&lt;=IF($S43=MesCiclo,InicioCiclo,$S43+MOD(2-WEEKDAY($S43),7))+13),1,IF(ISNUMBER($J43),$J43,$Y43)))</f>
        <v/>
      </c>
      <c r="AA43" s="62">
        <f>IF($V43="","",IF(AND(ISNUMBER($G43),$G43&lt;=IF($S43=MesCiclo,InicioCiclo,$S43+MOD(2-WEEKDAY($S43),7))+20),1,IF(ISNUMBER($K43),$K43,$Z43)))</f>
        <v/>
      </c>
      <c r="AB43" s="62">
        <f>IF($V43="","",IF(AND(ISNUMBER($G43),$G43&lt;=IF($S43=MesCiclo,InicioCiclo,$S43+MOD(2-WEEKDAY($S43),7))+27),1,IF(ISNUMBER($L43),$L43,$AA43)))</f>
        <v/>
      </c>
      <c r="AC43" s="62">
        <f>IF($V43="","",IF(AND(ISNUMBER($G43),$G43&lt;=IF($S43=MesCiclo,InicioCiclo,$S43+MOD(2-WEEKDAY($S43),7))+6),1,IF(N($W43)&gt;0,AVERAGEIFS($Y$5:$Y$1000,$U$5:$U$1000,ROW(),$V$5:$V$1000,"Sub"),$Y43)))</f>
        <v/>
      </c>
      <c r="AD43" s="62">
        <f>IF($V43="","",IF(AND(ISNUMBER($G43),$G43&lt;=IF($S43=MesCiclo,InicioCiclo,$S43+MOD(2-WEEKDAY($S43),7))+13),1,IF(N($W43)&gt;0,AVERAGEIFS($Z$5:$Z$1000,$U$5:$U$1000,ROW(),$V$5:$V$1000,"Sub"),$Z43)))</f>
        <v/>
      </c>
      <c r="AE43" s="62">
        <f>IF($V43="","",IF(AND(ISNUMBER($G43),$G43&lt;=IF($S43=MesCiclo,InicioCiclo,$S43+MOD(2-WEEKDAY($S43),7))+20),1,IF(N($W43)&gt;0,AVERAGEIFS($AA$5:$AA$1000,$U$5:$U$1000,ROW(),$V$5:$V$1000,"Sub"),$AA43)))</f>
        <v/>
      </c>
      <c r="AF43" s="62">
        <f>IF($V43="","",IF(AND(ISNUMBER($G43),$G43&lt;=IF($S43=MesCiclo,InicioCiclo,$S43+MOD(2-WEEKDAY($S43),7))+27),1,IF(N($W43)&gt;0,AVERAGEIFS($AB$5:$AB$1000,$U$5:$U$1000,ROW(),$V$5:$V$1000,"Sub"),$AB43)))</f>
        <v/>
      </c>
      <c r="AG43" s="62">
        <f>IF($V43&lt;&gt;"Macro","",IF(COUNTIFS($S$5:$S$1000,$S43,$V$5:$V$1000,"Macro",$H$5:$H$1000,"&gt;0")=0,1/COUNTIFS($S$5:$S$1000,$S43,$V$5:$V$1000,"Macro"),IF(AND(ISNUMBER($H43),N($H43)&gt;0),$H43,SUMIFS($H$5:$H$1000,$S$5:$S$1000,$S43,$V$5:$V$1000,"Macro")/COUNTIFS($S$5:$S$1000,$S43,$V$5:$V$1000,"Macro",$H$5:$H$1000,"&gt;0"))/(COUNTIFS($S$5:$S$1000,$S43,$V$5:$V$1000,"Macro")*SUMIFS($H$5:$H$1000,$S$5:$S$1000,$S43,$V$5:$V$1000,"Macro")/COUNTIFS($S$5:$S$1000,$S43,$V$5:$V$1000,"Macro",$H$5:$H$1000,"&gt;0"))))</f>
        <v/>
      </c>
      <c r="AH43" s="62" t="n"/>
      <c r="AI43" s="62" t="n"/>
      <c r="AJ43" s="62" t="n"/>
      <c r="AK43" s="62" t="n"/>
      <c r="AL43" s="62">
        <f>IF(LEFT($C43,11)="[Jefatura] ",IFERROR(MATCH("Riesgo Financiero|"&amp;MID($C43,12,500),rDname_ADM,0),0),"")</f>
        <v/>
      </c>
      <c r="AM43" s="62">
        <f>IF(N($AL43)&gt;0,INDEX(rIni_ADM,$AL43),IF(ISNUMBER($E43),$E43,""))</f>
        <v/>
      </c>
      <c r="AN43" s="62">
        <f>IF(N($AL43)&gt;0,INDEX(rLim_ADM,$AL43),IF(ISNUMBER($F43),$F43,""))</f>
        <v/>
      </c>
    </row>
    <row r="44">
      <c r="A44" s="56">
        <f>IF(NOT((COUNTA($B44:$D44)+COUNTA($G44:$L44)+COUNTA($Q44))&gt;0),"",IF($V44="Macro",COUNTIFS($V$5:$V44,"Macro",$S$5:$S44,$S44),IF(N($U44)=0,"?",COUNTIFS(INDEX($V$5:$V$1000,1):INDEX($V$5:$V$1000,$U44-4),"Macro",INDEX($S$5:$S$1000,1):INDEX($S$5:$S$1000,$U44-4),INDEX($S$5:$S$1000,$U44-4))&amp;"."&amp;COUNTIFS($U$5:$U44,$U44,$V$5:$V44,"Sub"))))</f>
        <v/>
      </c>
      <c r="B44" s="57" t="n"/>
      <c r="C44" s="58" t="n"/>
      <c r="D44" s="58" t="n"/>
      <c r="E44" s="59">
        <f>IF(N($AL44)&gt;0,INDEX(rIni_ADM,$AL44),"")</f>
        <v/>
      </c>
      <c r="F44" s="59">
        <f>IF(N($AL44)&gt;0,INDEX(rLim_ADM,$AL44),"")</f>
        <v/>
      </c>
      <c r="G44" s="59" t="n"/>
      <c r="H44" s="60" t="n"/>
      <c r="I44" s="60" t="n"/>
      <c r="J44" s="60" t="n"/>
      <c r="K44" s="60" t="n"/>
      <c r="L44" s="60" t="n"/>
      <c r="M44" s="61">
        <f>IF(NOT((COUNTA($B44:$D44)+COUNTA($G44:$L44)+COUNTA($Q44))&gt;0),"",IF($V44="Sub",IFERROR($X44/INDEX($W$5:$W$1000,$U44-4),""),IF(ISNUMBER($G44),1,IF(N($W44)&gt;0,AVERAGEIFS($X$5:$X$1000,$U$5:$U$1000,ROW(),$V$5:$V$1000,"Sub"),$X44))))</f>
        <v/>
      </c>
      <c r="N44" s="56">
        <f>IF(OR($M44="",$V44="Sub"),"",IF($M44&gt;=1,"Completado",IF($M44&gt;0,"En curso","Pendiente")))</f>
        <v/>
      </c>
      <c r="O44" s="56">
        <f>IF(OR(NOT((COUNTA($B44:$D44)+COUNTA($G44:$L44)+COUNTA($Q44))&gt;0),$V44="Sub"),"",IF(ISNUMBER($G44),IF(AND(ISNUMBER($AN44),$G44&gt;$AN44),"Cumplida con "&amp;($G44-$AN44)&amp;IF($G44-$AN44=1," día"," días")&amp;" de retraso","Cumplida"),IF(N($M44)&gt;=1,"Cumplida",IF(NOT(ISNUMBER($AN44)),"Sin fecha límite",IF($AN44&lt;FechaRef,"Vencida hace "&amp;(FechaRef-$AN44)&amp;IF(FechaRef-$AN44=1," día"," días"),IF($AN44=FechaRef,"Vence hoy",IF($AN44-FechaRef&lt;=DiasAlerta,"Vence en "&amp;($AN44-FechaRef)&amp;IF($AN44-FechaRef=1," día"," días"),"En plazo")))))))</f>
        <v/>
      </c>
      <c r="P44" s="62" t="n"/>
      <c r="Q44" s="58" t="n"/>
      <c r="R44" s="63">
        <f>IF(NOT((COUNTA($B44:$D44)+COUNTA($G44:$L44)+COUNTA($Q44))&gt;0),"",IF((IF($C44="","Falta el nombre de la actividad"&amp;" · ","")&amp;IF(AND($V44="Sub",N($U44)=0),"Subactividad sin macroactividad arriba"&amp;" · ","")&amp;IF($AM44="","Sin fecha de inicio"&amp;" · ","")&amp;IF($AN44="","Sin fecha límite"&amp;" · ","")&amp;IF(AND(LEFT($C44,11)="[Jefatura] ",N($AL44)=0),"No se encuentra en la hoja de la jefatura (elíjala de nuevo en la lista)"&amp;" · ","")&amp;IF(OR(AND($E44&lt;&gt;"",NOT(ISNUMBER($E44))),AND($F44&lt;&gt;"",NOT(ISNUMBER($F44))),AND($G44&lt;&gt;"",NOT(ISNUMBER($G44)))),"Fecha no válida"&amp;" · ","")&amp;IF(AND(ISNUMBER($AM44),ISNUMBER($AN44),$AM44&gt;$AN44),"Inicio posterior a fecha límite"&amp;" · ","")&amp;IF(AND($V44="Macro",$H44&lt;&gt;"",OR(NOT(ISNUMBER($H44)),$H44&lt;0,$H44&gt;1)),"Peso fuera de rango"&amp;" · ","")&amp;IF(AND($V44="Sub",$H44&lt;&gt;""),"Las subactividades no llevan peso (valen igual dentro de su macroactividad)"&amp;" · ","")&amp;IF(AND(N($W44)&gt;0,COUNT($I44:$L44)&gt;0),"Con subactividades: deje vacías las semanas (se calculan solas)"&amp;" · ","")&amp;IF((COUNTIF($I44:$L44,"&gt;1")+COUNTIF($I44:$L44,"&lt;0")+COUNTA($I44:$L44)-COUNT($I44:$L44))&gt;0,"Avance fuera de rango 0-100%"&amp;" · ","")&amp;IF(OR(AND($J44&lt;&gt;"",$J44&lt;$I44),AND($K44&lt;&gt;"",$K44&lt;MAX($I44:$J44)),AND($L44&lt;&gt;"",$L44&lt;MAX($I44:$K44))),"Avance semanal decreciente"&amp;" · ","")&amp;IF(AND(ISNUMBER($AN44),$AN44&lt;FechaRef,IF($V44="Sub",N($X44),N($M44))&lt;1),"Vencida"&amp;" · ","")&amp;IF(AND(ObsObligatoria="Sí",ISNUMBER($AN44),$AN44&lt;FechaRef,IF($V44="Sub",N($X44),N($M44))&lt;1,$Q44=""),"Vencida sin observación"&amp;" · ",""))="","✔ OK","⚠ "&amp;LEFT(IF($C44="","Falta el nombre de la actividad"&amp;" · ","")&amp;IF(AND($V44="Sub",N($U44)=0),"Subactividad sin macroactividad arriba"&amp;" · ","")&amp;IF($AM44="","Sin fecha de inicio"&amp;" · ","")&amp;IF($AN44="","Sin fecha límite"&amp;" · ","")&amp;IF(AND(LEFT($C44,11)="[Jefatura] ",N($AL44)=0),"No se encuentra en la hoja de la jefatura (elíjala de nuevo en la lista)"&amp;" · ","")&amp;IF(OR(AND($E44&lt;&gt;"",NOT(ISNUMBER($E44))),AND($F44&lt;&gt;"",NOT(ISNUMBER($F44))),AND($G44&lt;&gt;"",NOT(ISNUMBER($G44)))),"Fecha no válida"&amp;" · ","")&amp;IF(AND(ISNUMBER($AM44),ISNUMBER($AN44),$AM44&gt;$AN44),"Inicio posterior a fecha límite"&amp;" · ","")&amp;IF(AND($V44="Macro",$H44&lt;&gt;"",OR(NOT(ISNUMBER($H44)),$H44&lt;0,$H44&gt;1)),"Peso fuera de rango"&amp;" · ","")&amp;IF(AND($V44="Sub",$H44&lt;&gt;""),"Las subactividades no llevan peso (valen igual dentro de su macroactividad)"&amp;" · ","")&amp;IF(AND(N($W44)&gt;0,COUNT($I44:$L44)&gt;0),"Con subactividades: deje vacías las semanas (se calculan solas)"&amp;" · ","")&amp;IF((COUNTIF($I44:$L44,"&gt;1")+COUNTIF($I44:$L44,"&lt;0")+COUNTA($I44:$L44)-COUNT($I44:$L44))&gt;0,"Avance fuera de rango 0-100%"&amp;" · ","")&amp;IF(OR(AND($J44&lt;&gt;"",$J44&lt;$I44),AND($K44&lt;&gt;"",$K44&lt;MAX($I44:$J44)),AND($L44&lt;&gt;"",$L44&lt;MAX($I44:$K44))),"Avance semanal decreciente"&amp;" · ","")&amp;IF(AND(ISNUMBER($AN44),$AN44&lt;FechaRef,IF($V44="Sub",N($X44),N($M44))&lt;1),"Vencida"&amp;" · ","")&amp;IF(AND(ObsObligatoria="Sí",ISNUMBER($AN44),$AN44&lt;FechaRef,IF($V44="Sub",N($X44),N($M44))&lt;1,$Q44=""),"Vencida sin observación"&amp;" · ",""),LEN(IF($C44="","Falta el nombre de la actividad"&amp;" · ","")&amp;IF(AND($V44="Sub",N($U44)=0),"Subactividad sin macroactividad arriba"&amp;" · ","")&amp;IF($AM44="","Sin fecha de inicio"&amp;" · ","")&amp;IF($AN44="","Sin fecha límite"&amp;" · ","")&amp;IF(AND(LEFT($C44,11)="[Jefatura] ",N($AL44)=0),"No se encuentra en la hoja de la jefatura (elíjala de nuevo en la lista)"&amp;" · ","")&amp;IF(OR(AND($E44&lt;&gt;"",NOT(ISNUMBER($E44))),AND($F44&lt;&gt;"",NOT(ISNUMBER($F44))),AND($G44&lt;&gt;"",NOT(ISNUMBER($G44)))),"Fecha no válida"&amp;" · ","")&amp;IF(AND(ISNUMBER($AM44),ISNUMBER($AN44),$AM44&gt;$AN44),"Inicio posterior a fecha límite"&amp;" · ","")&amp;IF(AND($V44="Macro",$H44&lt;&gt;"",OR(NOT(ISNUMBER($H44)),$H44&lt;0,$H44&gt;1)),"Peso fuera de rango"&amp;" · ","")&amp;IF(AND($V44="Sub",$H44&lt;&gt;""),"Las subactividades no llevan peso (valen igual dentro de su macroactividad)"&amp;" · ","")&amp;IF(AND(N($W44)&gt;0,COUNT($I44:$L44)&gt;0),"Con subactividades: deje vacías las semanas (se calculan solas)"&amp;" · ","")&amp;IF((COUNTIF($I44:$L44,"&gt;1")+COUNTIF($I44:$L44,"&lt;0")+COUNTA($I44:$L44)-COUNT($I44:$L44))&gt;0,"Avance fuera de rango 0-100%"&amp;" · ","")&amp;IF(OR(AND($J44&lt;&gt;"",$J44&lt;$I44),AND($K44&lt;&gt;"",$K44&lt;MAX($I44:$J44)),AND($L44&lt;&gt;"",$L44&lt;MAX($I44:$K44))),"Avance semanal decreciente"&amp;" · ","")&amp;IF(AND(ISNUMBER($AN44),$AN44&lt;FechaRef,IF($V44="Sub",N($X44),N($M44))&lt;1),"Vencida"&amp;" · ","")&amp;IF(AND(ObsObligatoria="Sí",ISNUMBER($AN44),$AN44&lt;FechaRef,IF($V44="Sub",N($X44),N($M44))&lt;1,$Q44=""),"Vencida sin observación"&amp;" · ",""))-3)))</f>
        <v/>
      </c>
      <c r="S44" s="64">
        <f>IF(NOT((COUNTA($B44:$D44)+COUNTA($G44:$L44)+COUNTA($Q44))&gt;0),"",IF(AND($V44="Sub",N($U44)&gt;0),IF(ISNUMBER(INDEX($AM$5:$AM$1000,$U44-4)),DATE(YEAR(INDEX($AM$5:$AM$1000,$U44-4)),MONTH(INDEX($AM$5:$AM$1000,$U44-4)),1),IF(ISNUMBER(INDEX($AN$5:$AN$1000,$U44-4)),DATE(YEAR(INDEX($AN$5:$AN$1000,$U44-4)),MONTH(INDEX($AN$5:$AN$1000,$U44-4)),1),MesCiclo)),IF(ISNUMBER($AM44),DATE(YEAR($AM44),MONTH($AM44),1),IF(ISNUMBER($AN44),DATE(YEAR($AN44),MONTH($AN44),1),MesCiclo))))</f>
        <v/>
      </c>
      <c r="T44" s="62">
        <f>IF(OR($S44="",$S44&lt;&gt;MesCiclo,$V44&lt;&gt;"Macro"),"",COUNTIFS($S$5:$S44,MesCiclo,$V$5:$V44,"Macro"))</f>
        <v/>
      </c>
      <c r="U44" s="62">
        <f>IF($V44="","",IF($V44="Macro",ROW(),IFERROR(LOOKUP(2,1/($V$5:$V44="Macro"),ROW($V$5:$V44)),0)))</f>
        <v/>
      </c>
      <c r="V44" s="62">
        <f>IF(NOT((COUNTA($B44:$D44)+COUNTA($G44:$L44)+COUNTA($Q44))&gt;0),"",IF($B44="Subactividad","Sub","Macro"))</f>
        <v/>
      </c>
      <c r="W44" s="62">
        <f>IF($V44="Macro",COUNTIFS($U$5:$U$1000,ROW(),$V$5:$V$1000,"Sub"),"")</f>
        <v/>
      </c>
      <c r="X44" s="62">
        <f>IF($V44="","",IF(ISNUMBER($G44),1,IFERROR(LOOKUP(2,1/($I44:$L44&lt;&gt;""),$I44:$L44),0)))</f>
        <v/>
      </c>
      <c r="Y44" s="62">
        <f>IF($V44="","",IF(AND(ISNUMBER($G44),$G44&lt;=IF($S44=MesCiclo,InicioCiclo,$S44+MOD(2-WEEKDAY($S44),7))+6),1,IF(ISNUMBER($I44),$I44,0)))</f>
        <v/>
      </c>
      <c r="Z44" s="62">
        <f>IF($V44="","",IF(AND(ISNUMBER($G44),$G44&lt;=IF($S44=MesCiclo,InicioCiclo,$S44+MOD(2-WEEKDAY($S44),7))+13),1,IF(ISNUMBER($J44),$J44,$Y44)))</f>
        <v/>
      </c>
      <c r="AA44" s="62">
        <f>IF($V44="","",IF(AND(ISNUMBER($G44),$G44&lt;=IF($S44=MesCiclo,InicioCiclo,$S44+MOD(2-WEEKDAY($S44),7))+20),1,IF(ISNUMBER($K44),$K44,$Z44)))</f>
        <v/>
      </c>
      <c r="AB44" s="62">
        <f>IF($V44="","",IF(AND(ISNUMBER($G44),$G44&lt;=IF($S44=MesCiclo,InicioCiclo,$S44+MOD(2-WEEKDAY($S44),7))+27),1,IF(ISNUMBER($L44),$L44,$AA44)))</f>
        <v/>
      </c>
      <c r="AC44" s="62">
        <f>IF($V44="","",IF(AND(ISNUMBER($G44),$G44&lt;=IF($S44=MesCiclo,InicioCiclo,$S44+MOD(2-WEEKDAY($S44),7))+6),1,IF(N($W44)&gt;0,AVERAGEIFS($Y$5:$Y$1000,$U$5:$U$1000,ROW(),$V$5:$V$1000,"Sub"),$Y44)))</f>
        <v/>
      </c>
      <c r="AD44" s="62">
        <f>IF($V44="","",IF(AND(ISNUMBER($G44),$G44&lt;=IF($S44=MesCiclo,InicioCiclo,$S44+MOD(2-WEEKDAY($S44),7))+13),1,IF(N($W44)&gt;0,AVERAGEIFS($Z$5:$Z$1000,$U$5:$U$1000,ROW(),$V$5:$V$1000,"Sub"),$Z44)))</f>
        <v/>
      </c>
      <c r="AE44" s="62">
        <f>IF($V44="","",IF(AND(ISNUMBER($G44),$G44&lt;=IF($S44=MesCiclo,InicioCiclo,$S44+MOD(2-WEEKDAY($S44),7))+20),1,IF(N($W44)&gt;0,AVERAGEIFS($AA$5:$AA$1000,$U$5:$U$1000,ROW(),$V$5:$V$1000,"Sub"),$AA44)))</f>
        <v/>
      </c>
      <c r="AF44" s="62">
        <f>IF($V44="","",IF(AND(ISNUMBER($G44),$G44&lt;=IF($S44=MesCiclo,InicioCiclo,$S44+MOD(2-WEEKDAY($S44),7))+27),1,IF(N($W44)&gt;0,AVERAGEIFS($AB$5:$AB$1000,$U$5:$U$1000,ROW(),$V$5:$V$1000,"Sub"),$AB44)))</f>
        <v/>
      </c>
      <c r="AG44" s="62">
        <f>IF($V44&lt;&gt;"Macro","",IF(COUNTIFS($S$5:$S$1000,$S44,$V$5:$V$1000,"Macro",$H$5:$H$1000,"&gt;0")=0,1/COUNTIFS($S$5:$S$1000,$S44,$V$5:$V$1000,"Macro"),IF(AND(ISNUMBER($H44),N($H44)&gt;0),$H44,SUMIFS($H$5:$H$1000,$S$5:$S$1000,$S44,$V$5:$V$1000,"Macro")/COUNTIFS($S$5:$S$1000,$S44,$V$5:$V$1000,"Macro",$H$5:$H$1000,"&gt;0"))/(COUNTIFS($S$5:$S$1000,$S44,$V$5:$V$1000,"Macro")*SUMIFS($H$5:$H$1000,$S$5:$S$1000,$S44,$V$5:$V$1000,"Macro")/COUNTIFS($S$5:$S$1000,$S44,$V$5:$V$1000,"Macro",$H$5:$H$1000,"&gt;0"))))</f>
        <v/>
      </c>
      <c r="AH44" s="62" t="n"/>
      <c r="AI44" s="62" t="n"/>
      <c r="AJ44" s="62" t="n"/>
      <c r="AK44" s="62" t="n"/>
      <c r="AL44" s="62">
        <f>IF(LEFT($C44,11)="[Jefatura] ",IFERROR(MATCH("Riesgo Financiero|"&amp;MID($C44,12,500),rDname_ADM,0),0),"")</f>
        <v/>
      </c>
      <c r="AM44" s="62">
        <f>IF(N($AL44)&gt;0,INDEX(rIni_ADM,$AL44),IF(ISNUMBER($E44),$E44,""))</f>
        <v/>
      </c>
      <c r="AN44" s="62">
        <f>IF(N($AL44)&gt;0,INDEX(rLim_ADM,$AL44),IF(ISNUMBER($F44),$F44,""))</f>
        <v/>
      </c>
    </row>
    <row r="45">
      <c r="A45" s="56">
        <f>IF(NOT((COUNTA($B45:$D45)+COUNTA($G45:$L45)+COUNTA($Q45))&gt;0),"",IF($V45="Macro",COUNTIFS($V$5:$V45,"Macro",$S$5:$S45,$S45),IF(N($U45)=0,"?",COUNTIFS(INDEX($V$5:$V$1000,1):INDEX($V$5:$V$1000,$U45-4),"Macro",INDEX($S$5:$S$1000,1):INDEX($S$5:$S$1000,$U45-4),INDEX($S$5:$S$1000,$U45-4))&amp;"."&amp;COUNTIFS($U$5:$U45,$U45,$V$5:$V45,"Sub"))))</f>
        <v/>
      </c>
      <c r="B45" s="57" t="n"/>
      <c r="C45" s="58" t="n"/>
      <c r="D45" s="58" t="n"/>
      <c r="E45" s="59">
        <f>IF(N($AL45)&gt;0,INDEX(rIni_ADM,$AL45),"")</f>
        <v/>
      </c>
      <c r="F45" s="59">
        <f>IF(N($AL45)&gt;0,INDEX(rLim_ADM,$AL45),"")</f>
        <v/>
      </c>
      <c r="G45" s="59" t="n"/>
      <c r="H45" s="60" t="n"/>
      <c r="I45" s="60" t="n"/>
      <c r="J45" s="60" t="n"/>
      <c r="K45" s="60" t="n"/>
      <c r="L45" s="60" t="n"/>
      <c r="M45" s="61">
        <f>IF(NOT((COUNTA($B45:$D45)+COUNTA($G45:$L45)+COUNTA($Q45))&gt;0),"",IF($V45="Sub",IFERROR($X45/INDEX($W$5:$W$1000,$U45-4),""),IF(ISNUMBER($G45),1,IF(N($W45)&gt;0,AVERAGEIFS($X$5:$X$1000,$U$5:$U$1000,ROW(),$V$5:$V$1000,"Sub"),$X45))))</f>
        <v/>
      </c>
      <c r="N45" s="56">
        <f>IF(OR($M45="",$V45="Sub"),"",IF($M45&gt;=1,"Completado",IF($M45&gt;0,"En curso","Pendiente")))</f>
        <v/>
      </c>
      <c r="O45" s="56">
        <f>IF(OR(NOT((COUNTA($B45:$D45)+COUNTA($G45:$L45)+COUNTA($Q45))&gt;0),$V45="Sub"),"",IF(ISNUMBER($G45),IF(AND(ISNUMBER($AN45),$G45&gt;$AN45),"Cumplida con "&amp;($G45-$AN45)&amp;IF($G45-$AN45=1," día"," días")&amp;" de retraso","Cumplida"),IF(N($M45)&gt;=1,"Cumplida",IF(NOT(ISNUMBER($AN45)),"Sin fecha límite",IF($AN45&lt;FechaRef,"Vencida hace "&amp;(FechaRef-$AN45)&amp;IF(FechaRef-$AN45=1," día"," días"),IF($AN45=FechaRef,"Vence hoy",IF($AN45-FechaRef&lt;=DiasAlerta,"Vence en "&amp;($AN45-FechaRef)&amp;IF($AN45-FechaRef=1," día"," días"),"En plazo")))))))</f>
        <v/>
      </c>
      <c r="P45" s="62" t="n"/>
      <c r="Q45" s="58" t="n"/>
      <c r="R45" s="63">
        <f>IF(NOT((COUNTA($B45:$D45)+COUNTA($G45:$L45)+COUNTA($Q45))&gt;0),"",IF((IF($C45="","Falta el nombre de la actividad"&amp;" · ","")&amp;IF(AND($V45="Sub",N($U45)=0),"Subactividad sin macroactividad arriba"&amp;" · ","")&amp;IF($AM45="","Sin fecha de inicio"&amp;" · ","")&amp;IF($AN45="","Sin fecha límite"&amp;" · ","")&amp;IF(AND(LEFT($C45,11)="[Jefatura] ",N($AL45)=0),"No se encuentra en la hoja de la jefatura (elíjala de nuevo en la lista)"&amp;" · ","")&amp;IF(OR(AND($E45&lt;&gt;"",NOT(ISNUMBER($E45))),AND($F45&lt;&gt;"",NOT(ISNUMBER($F45))),AND($G45&lt;&gt;"",NOT(ISNUMBER($G45)))),"Fecha no válida"&amp;" · ","")&amp;IF(AND(ISNUMBER($AM45),ISNUMBER($AN45),$AM45&gt;$AN45),"Inicio posterior a fecha límite"&amp;" · ","")&amp;IF(AND($V45="Macro",$H45&lt;&gt;"",OR(NOT(ISNUMBER($H45)),$H45&lt;0,$H45&gt;1)),"Peso fuera de rango"&amp;" · ","")&amp;IF(AND($V45="Sub",$H45&lt;&gt;""),"Las subactividades no llevan peso (valen igual dentro de su macroactividad)"&amp;" · ","")&amp;IF(AND(N($W45)&gt;0,COUNT($I45:$L45)&gt;0),"Con subactividades: deje vacías las semanas (se calculan solas)"&amp;" · ","")&amp;IF((COUNTIF($I45:$L45,"&gt;1")+COUNTIF($I45:$L45,"&lt;0")+COUNTA($I45:$L45)-COUNT($I45:$L45))&gt;0,"Avance fuera de rango 0-100%"&amp;" · ","")&amp;IF(OR(AND($J45&lt;&gt;"",$J45&lt;$I45),AND($K45&lt;&gt;"",$K45&lt;MAX($I45:$J45)),AND($L45&lt;&gt;"",$L45&lt;MAX($I45:$K45))),"Avance semanal decreciente"&amp;" · ","")&amp;IF(AND(ISNUMBER($AN45),$AN45&lt;FechaRef,IF($V45="Sub",N($X45),N($M45))&lt;1),"Vencida"&amp;" · ","")&amp;IF(AND(ObsObligatoria="Sí",ISNUMBER($AN45),$AN45&lt;FechaRef,IF($V45="Sub",N($X45),N($M45))&lt;1,$Q45=""),"Vencida sin observación"&amp;" · ",""))="","✔ OK","⚠ "&amp;LEFT(IF($C45="","Falta el nombre de la actividad"&amp;" · ","")&amp;IF(AND($V45="Sub",N($U45)=0),"Subactividad sin macroactividad arriba"&amp;" · ","")&amp;IF($AM45="","Sin fecha de inicio"&amp;" · ","")&amp;IF($AN45="","Sin fecha límite"&amp;" · ","")&amp;IF(AND(LEFT($C45,11)="[Jefatura] ",N($AL45)=0),"No se encuentra en la hoja de la jefatura (elíjala de nuevo en la lista)"&amp;" · ","")&amp;IF(OR(AND($E45&lt;&gt;"",NOT(ISNUMBER($E45))),AND($F45&lt;&gt;"",NOT(ISNUMBER($F45))),AND($G45&lt;&gt;"",NOT(ISNUMBER($G45)))),"Fecha no válida"&amp;" · ","")&amp;IF(AND(ISNUMBER($AM45),ISNUMBER($AN45),$AM45&gt;$AN45),"Inicio posterior a fecha límite"&amp;" · ","")&amp;IF(AND($V45="Macro",$H45&lt;&gt;"",OR(NOT(ISNUMBER($H45)),$H45&lt;0,$H45&gt;1)),"Peso fuera de rango"&amp;" · ","")&amp;IF(AND($V45="Sub",$H45&lt;&gt;""),"Las subactividades no llevan peso (valen igual dentro de su macroactividad)"&amp;" · ","")&amp;IF(AND(N($W45)&gt;0,COUNT($I45:$L45)&gt;0),"Con subactividades: deje vacías las semanas (se calculan solas)"&amp;" · ","")&amp;IF((COUNTIF($I45:$L45,"&gt;1")+COUNTIF($I45:$L45,"&lt;0")+COUNTA($I45:$L45)-COUNT($I45:$L45))&gt;0,"Avance fuera de rango 0-100%"&amp;" · ","")&amp;IF(OR(AND($J45&lt;&gt;"",$J45&lt;$I45),AND($K45&lt;&gt;"",$K45&lt;MAX($I45:$J45)),AND($L45&lt;&gt;"",$L45&lt;MAX($I45:$K45))),"Avance semanal decreciente"&amp;" · ","")&amp;IF(AND(ISNUMBER($AN45),$AN45&lt;FechaRef,IF($V45="Sub",N($X45),N($M45))&lt;1),"Vencida"&amp;" · ","")&amp;IF(AND(ObsObligatoria="Sí",ISNUMBER($AN45),$AN45&lt;FechaRef,IF($V45="Sub",N($X45),N($M45))&lt;1,$Q45=""),"Vencida sin observación"&amp;" · ",""),LEN(IF($C45="","Falta el nombre de la actividad"&amp;" · ","")&amp;IF(AND($V45="Sub",N($U45)=0),"Subactividad sin macroactividad arriba"&amp;" · ","")&amp;IF($AM45="","Sin fecha de inicio"&amp;" · ","")&amp;IF($AN45="","Sin fecha límite"&amp;" · ","")&amp;IF(AND(LEFT($C45,11)="[Jefatura] ",N($AL45)=0),"No se encuentra en la hoja de la jefatura (elíjala de nuevo en la lista)"&amp;" · ","")&amp;IF(OR(AND($E45&lt;&gt;"",NOT(ISNUMBER($E45))),AND($F45&lt;&gt;"",NOT(ISNUMBER($F45))),AND($G45&lt;&gt;"",NOT(ISNUMBER($G45)))),"Fecha no válida"&amp;" · ","")&amp;IF(AND(ISNUMBER($AM45),ISNUMBER($AN45),$AM45&gt;$AN45),"Inicio posterior a fecha límite"&amp;" · ","")&amp;IF(AND($V45="Macro",$H45&lt;&gt;"",OR(NOT(ISNUMBER($H45)),$H45&lt;0,$H45&gt;1)),"Peso fuera de rango"&amp;" · ","")&amp;IF(AND($V45="Sub",$H45&lt;&gt;""),"Las subactividades no llevan peso (valen igual dentro de su macroactividad)"&amp;" · ","")&amp;IF(AND(N($W45)&gt;0,COUNT($I45:$L45)&gt;0),"Con subactividades: deje vacías las semanas (se calculan solas)"&amp;" · ","")&amp;IF((COUNTIF($I45:$L45,"&gt;1")+COUNTIF($I45:$L45,"&lt;0")+COUNTA($I45:$L45)-COUNT($I45:$L45))&gt;0,"Avance fuera de rango 0-100%"&amp;" · ","")&amp;IF(OR(AND($J45&lt;&gt;"",$J45&lt;$I45),AND($K45&lt;&gt;"",$K45&lt;MAX($I45:$J45)),AND($L45&lt;&gt;"",$L45&lt;MAX($I45:$K45))),"Avance semanal decreciente"&amp;" · ","")&amp;IF(AND(ISNUMBER($AN45),$AN45&lt;FechaRef,IF($V45="Sub",N($X45),N($M45))&lt;1),"Vencida"&amp;" · ","")&amp;IF(AND(ObsObligatoria="Sí",ISNUMBER($AN45),$AN45&lt;FechaRef,IF($V45="Sub",N($X45),N($M45))&lt;1,$Q45=""),"Vencida sin observación"&amp;" · ",""))-3)))</f>
        <v/>
      </c>
      <c r="S45" s="64">
        <f>IF(NOT((COUNTA($B45:$D45)+COUNTA($G45:$L45)+COUNTA($Q45))&gt;0),"",IF(AND($V45="Sub",N($U45)&gt;0),IF(ISNUMBER(INDEX($AM$5:$AM$1000,$U45-4)),DATE(YEAR(INDEX($AM$5:$AM$1000,$U45-4)),MONTH(INDEX($AM$5:$AM$1000,$U45-4)),1),IF(ISNUMBER(INDEX($AN$5:$AN$1000,$U45-4)),DATE(YEAR(INDEX($AN$5:$AN$1000,$U45-4)),MONTH(INDEX($AN$5:$AN$1000,$U45-4)),1),MesCiclo)),IF(ISNUMBER($AM45),DATE(YEAR($AM45),MONTH($AM45),1),IF(ISNUMBER($AN45),DATE(YEAR($AN45),MONTH($AN45),1),MesCiclo))))</f>
        <v/>
      </c>
      <c r="T45" s="62">
        <f>IF(OR($S45="",$S45&lt;&gt;MesCiclo,$V45&lt;&gt;"Macro"),"",COUNTIFS($S$5:$S45,MesCiclo,$V$5:$V45,"Macro"))</f>
        <v/>
      </c>
      <c r="U45" s="62">
        <f>IF($V45="","",IF($V45="Macro",ROW(),IFERROR(LOOKUP(2,1/($V$5:$V45="Macro"),ROW($V$5:$V45)),0)))</f>
        <v/>
      </c>
      <c r="V45" s="62">
        <f>IF(NOT((COUNTA($B45:$D45)+COUNTA($G45:$L45)+COUNTA($Q45))&gt;0),"",IF($B45="Subactividad","Sub","Macro"))</f>
        <v/>
      </c>
      <c r="W45" s="62">
        <f>IF($V45="Macro",COUNTIFS($U$5:$U$1000,ROW(),$V$5:$V$1000,"Sub"),"")</f>
        <v/>
      </c>
      <c r="X45" s="62">
        <f>IF($V45="","",IF(ISNUMBER($G45),1,IFERROR(LOOKUP(2,1/($I45:$L45&lt;&gt;""),$I45:$L45),0)))</f>
        <v/>
      </c>
      <c r="Y45" s="62">
        <f>IF($V45="","",IF(AND(ISNUMBER($G45),$G45&lt;=IF($S45=MesCiclo,InicioCiclo,$S45+MOD(2-WEEKDAY($S45),7))+6),1,IF(ISNUMBER($I45),$I45,0)))</f>
        <v/>
      </c>
      <c r="Z45" s="62">
        <f>IF($V45="","",IF(AND(ISNUMBER($G45),$G45&lt;=IF($S45=MesCiclo,InicioCiclo,$S45+MOD(2-WEEKDAY($S45),7))+13),1,IF(ISNUMBER($J45),$J45,$Y45)))</f>
        <v/>
      </c>
      <c r="AA45" s="62">
        <f>IF($V45="","",IF(AND(ISNUMBER($G45),$G45&lt;=IF($S45=MesCiclo,InicioCiclo,$S45+MOD(2-WEEKDAY($S45),7))+20),1,IF(ISNUMBER($K45),$K45,$Z45)))</f>
        <v/>
      </c>
      <c r="AB45" s="62">
        <f>IF($V45="","",IF(AND(ISNUMBER($G45),$G45&lt;=IF($S45=MesCiclo,InicioCiclo,$S45+MOD(2-WEEKDAY($S45),7))+27),1,IF(ISNUMBER($L45),$L45,$AA45)))</f>
        <v/>
      </c>
      <c r="AC45" s="62">
        <f>IF($V45="","",IF(AND(ISNUMBER($G45),$G45&lt;=IF($S45=MesCiclo,InicioCiclo,$S45+MOD(2-WEEKDAY($S45),7))+6),1,IF(N($W45)&gt;0,AVERAGEIFS($Y$5:$Y$1000,$U$5:$U$1000,ROW(),$V$5:$V$1000,"Sub"),$Y45)))</f>
        <v/>
      </c>
      <c r="AD45" s="62">
        <f>IF($V45="","",IF(AND(ISNUMBER($G45),$G45&lt;=IF($S45=MesCiclo,InicioCiclo,$S45+MOD(2-WEEKDAY($S45),7))+13),1,IF(N($W45)&gt;0,AVERAGEIFS($Z$5:$Z$1000,$U$5:$U$1000,ROW(),$V$5:$V$1000,"Sub"),$Z45)))</f>
        <v/>
      </c>
      <c r="AE45" s="62">
        <f>IF($V45="","",IF(AND(ISNUMBER($G45),$G45&lt;=IF($S45=MesCiclo,InicioCiclo,$S45+MOD(2-WEEKDAY($S45),7))+20),1,IF(N($W45)&gt;0,AVERAGEIFS($AA$5:$AA$1000,$U$5:$U$1000,ROW(),$V$5:$V$1000,"Sub"),$AA45)))</f>
        <v/>
      </c>
      <c r="AF45" s="62">
        <f>IF($V45="","",IF(AND(ISNUMBER($G45),$G45&lt;=IF($S45=MesCiclo,InicioCiclo,$S45+MOD(2-WEEKDAY($S45),7))+27),1,IF(N($W45)&gt;0,AVERAGEIFS($AB$5:$AB$1000,$U$5:$U$1000,ROW(),$V$5:$V$1000,"Sub"),$AB45)))</f>
        <v/>
      </c>
      <c r="AG45" s="62">
        <f>IF($V45&lt;&gt;"Macro","",IF(COUNTIFS($S$5:$S$1000,$S45,$V$5:$V$1000,"Macro",$H$5:$H$1000,"&gt;0")=0,1/COUNTIFS($S$5:$S$1000,$S45,$V$5:$V$1000,"Macro"),IF(AND(ISNUMBER($H45),N($H45)&gt;0),$H45,SUMIFS($H$5:$H$1000,$S$5:$S$1000,$S45,$V$5:$V$1000,"Macro")/COUNTIFS($S$5:$S$1000,$S45,$V$5:$V$1000,"Macro",$H$5:$H$1000,"&gt;0"))/(COUNTIFS($S$5:$S$1000,$S45,$V$5:$V$1000,"Macro")*SUMIFS($H$5:$H$1000,$S$5:$S$1000,$S45,$V$5:$V$1000,"Macro")/COUNTIFS($S$5:$S$1000,$S45,$V$5:$V$1000,"Macro",$H$5:$H$1000,"&gt;0"))))</f>
        <v/>
      </c>
      <c r="AH45" s="62" t="n"/>
      <c r="AI45" s="62" t="n"/>
      <c r="AJ45" s="62" t="n"/>
      <c r="AK45" s="62" t="n"/>
      <c r="AL45" s="62">
        <f>IF(LEFT($C45,11)="[Jefatura] ",IFERROR(MATCH("Riesgo Financiero|"&amp;MID($C45,12,500),rDname_ADM,0),0),"")</f>
        <v/>
      </c>
      <c r="AM45" s="62">
        <f>IF(N($AL45)&gt;0,INDEX(rIni_ADM,$AL45),IF(ISNUMBER($E45),$E45,""))</f>
        <v/>
      </c>
      <c r="AN45" s="62">
        <f>IF(N($AL45)&gt;0,INDEX(rLim_ADM,$AL45),IF(ISNUMBER($F45),$F45,""))</f>
        <v/>
      </c>
    </row>
    <row r="46">
      <c r="A46" s="56">
        <f>IF(NOT((COUNTA($B46:$D46)+COUNTA($G46:$L46)+COUNTA($Q46))&gt;0),"",IF($V46="Macro",COUNTIFS($V$5:$V46,"Macro",$S$5:$S46,$S46),IF(N($U46)=0,"?",COUNTIFS(INDEX($V$5:$V$1000,1):INDEX($V$5:$V$1000,$U46-4),"Macro",INDEX($S$5:$S$1000,1):INDEX($S$5:$S$1000,$U46-4),INDEX($S$5:$S$1000,$U46-4))&amp;"."&amp;COUNTIFS($U$5:$U46,$U46,$V$5:$V46,"Sub"))))</f>
        <v/>
      </c>
      <c r="B46" s="57" t="n"/>
      <c r="C46" s="58" t="n"/>
      <c r="D46" s="58" t="n"/>
      <c r="E46" s="59">
        <f>IF(N($AL46)&gt;0,INDEX(rIni_ADM,$AL46),"")</f>
        <v/>
      </c>
      <c r="F46" s="59">
        <f>IF(N($AL46)&gt;0,INDEX(rLim_ADM,$AL46),"")</f>
        <v/>
      </c>
      <c r="G46" s="59" t="n"/>
      <c r="H46" s="60" t="n"/>
      <c r="I46" s="60" t="n"/>
      <c r="J46" s="60" t="n"/>
      <c r="K46" s="60" t="n"/>
      <c r="L46" s="60" t="n"/>
      <c r="M46" s="61">
        <f>IF(NOT((COUNTA($B46:$D46)+COUNTA($G46:$L46)+COUNTA($Q46))&gt;0),"",IF($V46="Sub",IFERROR($X46/INDEX($W$5:$W$1000,$U46-4),""),IF(ISNUMBER($G46),1,IF(N($W46)&gt;0,AVERAGEIFS($X$5:$X$1000,$U$5:$U$1000,ROW(),$V$5:$V$1000,"Sub"),$X46))))</f>
        <v/>
      </c>
      <c r="N46" s="56">
        <f>IF(OR($M46="",$V46="Sub"),"",IF($M46&gt;=1,"Completado",IF($M46&gt;0,"En curso","Pendiente")))</f>
        <v/>
      </c>
      <c r="O46" s="56">
        <f>IF(OR(NOT((COUNTA($B46:$D46)+COUNTA($G46:$L46)+COUNTA($Q46))&gt;0),$V46="Sub"),"",IF(ISNUMBER($G46),IF(AND(ISNUMBER($AN46),$G46&gt;$AN46),"Cumplida con "&amp;($G46-$AN46)&amp;IF($G46-$AN46=1," día"," días")&amp;" de retraso","Cumplida"),IF(N($M46)&gt;=1,"Cumplida",IF(NOT(ISNUMBER($AN46)),"Sin fecha límite",IF($AN46&lt;FechaRef,"Vencida hace "&amp;(FechaRef-$AN46)&amp;IF(FechaRef-$AN46=1," día"," días"),IF($AN46=FechaRef,"Vence hoy",IF($AN46-FechaRef&lt;=DiasAlerta,"Vence en "&amp;($AN46-FechaRef)&amp;IF($AN46-FechaRef=1," día"," días"),"En plazo")))))))</f>
        <v/>
      </c>
      <c r="P46" s="62" t="n"/>
      <c r="Q46" s="58" t="n"/>
      <c r="R46" s="63">
        <f>IF(NOT((COUNTA($B46:$D46)+COUNTA($G46:$L46)+COUNTA($Q46))&gt;0),"",IF((IF($C46="","Falta el nombre de la actividad"&amp;" · ","")&amp;IF(AND($V46="Sub",N($U46)=0),"Subactividad sin macroactividad arriba"&amp;" · ","")&amp;IF($AM46="","Sin fecha de inicio"&amp;" · ","")&amp;IF($AN46="","Sin fecha límite"&amp;" · ","")&amp;IF(AND(LEFT($C46,11)="[Jefatura] ",N($AL46)=0),"No se encuentra en la hoja de la jefatura (elíjala de nuevo en la lista)"&amp;" · ","")&amp;IF(OR(AND($E46&lt;&gt;"",NOT(ISNUMBER($E46))),AND($F46&lt;&gt;"",NOT(ISNUMBER($F46))),AND($G46&lt;&gt;"",NOT(ISNUMBER($G46)))),"Fecha no válida"&amp;" · ","")&amp;IF(AND(ISNUMBER($AM46),ISNUMBER($AN46),$AM46&gt;$AN46),"Inicio posterior a fecha límite"&amp;" · ","")&amp;IF(AND($V46="Macro",$H46&lt;&gt;"",OR(NOT(ISNUMBER($H46)),$H46&lt;0,$H46&gt;1)),"Peso fuera de rango"&amp;" · ","")&amp;IF(AND($V46="Sub",$H46&lt;&gt;""),"Las subactividades no llevan peso (valen igual dentro de su macroactividad)"&amp;" · ","")&amp;IF(AND(N($W46)&gt;0,COUNT($I46:$L46)&gt;0),"Con subactividades: deje vacías las semanas (se calculan solas)"&amp;" · ","")&amp;IF((COUNTIF($I46:$L46,"&gt;1")+COUNTIF($I46:$L46,"&lt;0")+COUNTA($I46:$L46)-COUNT($I46:$L46))&gt;0,"Avance fuera de rango 0-100%"&amp;" · ","")&amp;IF(OR(AND($J46&lt;&gt;"",$J46&lt;$I46),AND($K46&lt;&gt;"",$K46&lt;MAX($I46:$J46)),AND($L46&lt;&gt;"",$L46&lt;MAX($I46:$K46))),"Avance semanal decreciente"&amp;" · ","")&amp;IF(AND(ISNUMBER($AN46),$AN46&lt;FechaRef,IF($V46="Sub",N($X46),N($M46))&lt;1),"Vencida"&amp;" · ","")&amp;IF(AND(ObsObligatoria="Sí",ISNUMBER($AN46),$AN46&lt;FechaRef,IF($V46="Sub",N($X46),N($M46))&lt;1,$Q46=""),"Vencida sin observación"&amp;" · ",""))="","✔ OK","⚠ "&amp;LEFT(IF($C46="","Falta el nombre de la actividad"&amp;" · ","")&amp;IF(AND($V46="Sub",N($U46)=0),"Subactividad sin macroactividad arriba"&amp;" · ","")&amp;IF($AM46="","Sin fecha de inicio"&amp;" · ","")&amp;IF($AN46="","Sin fecha límite"&amp;" · ","")&amp;IF(AND(LEFT($C46,11)="[Jefatura] ",N($AL46)=0),"No se encuentra en la hoja de la jefatura (elíjala de nuevo en la lista)"&amp;" · ","")&amp;IF(OR(AND($E46&lt;&gt;"",NOT(ISNUMBER($E46))),AND($F46&lt;&gt;"",NOT(ISNUMBER($F46))),AND($G46&lt;&gt;"",NOT(ISNUMBER($G46)))),"Fecha no válida"&amp;" · ","")&amp;IF(AND(ISNUMBER($AM46),ISNUMBER($AN46),$AM46&gt;$AN46),"Inicio posterior a fecha límite"&amp;" · ","")&amp;IF(AND($V46="Macro",$H46&lt;&gt;"",OR(NOT(ISNUMBER($H46)),$H46&lt;0,$H46&gt;1)),"Peso fuera de rango"&amp;" · ","")&amp;IF(AND($V46="Sub",$H46&lt;&gt;""),"Las subactividades no llevan peso (valen igual dentro de su macroactividad)"&amp;" · ","")&amp;IF(AND(N($W46)&gt;0,COUNT($I46:$L46)&gt;0),"Con subactividades: deje vacías las semanas (se calculan solas)"&amp;" · ","")&amp;IF((COUNTIF($I46:$L46,"&gt;1")+COUNTIF($I46:$L46,"&lt;0")+COUNTA($I46:$L46)-COUNT($I46:$L46))&gt;0,"Avance fuera de rango 0-100%"&amp;" · ","")&amp;IF(OR(AND($J46&lt;&gt;"",$J46&lt;$I46),AND($K46&lt;&gt;"",$K46&lt;MAX($I46:$J46)),AND($L46&lt;&gt;"",$L46&lt;MAX($I46:$K46))),"Avance semanal decreciente"&amp;" · ","")&amp;IF(AND(ISNUMBER($AN46),$AN46&lt;FechaRef,IF($V46="Sub",N($X46),N($M46))&lt;1),"Vencida"&amp;" · ","")&amp;IF(AND(ObsObligatoria="Sí",ISNUMBER($AN46),$AN46&lt;FechaRef,IF($V46="Sub",N($X46),N($M46))&lt;1,$Q46=""),"Vencida sin observación"&amp;" · ",""),LEN(IF($C46="","Falta el nombre de la actividad"&amp;" · ","")&amp;IF(AND($V46="Sub",N($U46)=0),"Subactividad sin macroactividad arriba"&amp;" · ","")&amp;IF($AM46="","Sin fecha de inicio"&amp;" · ","")&amp;IF($AN46="","Sin fecha límite"&amp;" · ","")&amp;IF(AND(LEFT($C46,11)="[Jefatura] ",N($AL46)=0),"No se encuentra en la hoja de la jefatura (elíjala de nuevo en la lista)"&amp;" · ","")&amp;IF(OR(AND($E46&lt;&gt;"",NOT(ISNUMBER($E46))),AND($F46&lt;&gt;"",NOT(ISNUMBER($F46))),AND($G46&lt;&gt;"",NOT(ISNUMBER($G46)))),"Fecha no válida"&amp;" · ","")&amp;IF(AND(ISNUMBER($AM46),ISNUMBER($AN46),$AM46&gt;$AN46),"Inicio posterior a fecha límite"&amp;" · ","")&amp;IF(AND($V46="Macro",$H46&lt;&gt;"",OR(NOT(ISNUMBER($H46)),$H46&lt;0,$H46&gt;1)),"Peso fuera de rango"&amp;" · ","")&amp;IF(AND($V46="Sub",$H46&lt;&gt;""),"Las subactividades no llevan peso (valen igual dentro de su macroactividad)"&amp;" · ","")&amp;IF(AND(N($W46)&gt;0,COUNT($I46:$L46)&gt;0),"Con subactividades: deje vacías las semanas (se calculan solas)"&amp;" · ","")&amp;IF((COUNTIF($I46:$L46,"&gt;1")+COUNTIF($I46:$L46,"&lt;0")+COUNTA($I46:$L46)-COUNT($I46:$L46))&gt;0,"Avance fuera de rango 0-100%"&amp;" · ","")&amp;IF(OR(AND($J46&lt;&gt;"",$J46&lt;$I46),AND($K46&lt;&gt;"",$K46&lt;MAX($I46:$J46)),AND($L46&lt;&gt;"",$L46&lt;MAX($I46:$K46))),"Avance semanal decreciente"&amp;" · ","")&amp;IF(AND(ISNUMBER($AN46),$AN46&lt;FechaRef,IF($V46="Sub",N($X46),N($M46))&lt;1),"Vencida"&amp;" · ","")&amp;IF(AND(ObsObligatoria="Sí",ISNUMBER($AN46),$AN46&lt;FechaRef,IF($V46="Sub",N($X46),N($M46))&lt;1,$Q46=""),"Vencida sin observación"&amp;" · ",""))-3)))</f>
        <v/>
      </c>
      <c r="S46" s="64">
        <f>IF(NOT((COUNTA($B46:$D46)+COUNTA($G46:$L46)+COUNTA($Q46))&gt;0),"",IF(AND($V46="Sub",N($U46)&gt;0),IF(ISNUMBER(INDEX($AM$5:$AM$1000,$U46-4)),DATE(YEAR(INDEX($AM$5:$AM$1000,$U46-4)),MONTH(INDEX($AM$5:$AM$1000,$U46-4)),1),IF(ISNUMBER(INDEX($AN$5:$AN$1000,$U46-4)),DATE(YEAR(INDEX($AN$5:$AN$1000,$U46-4)),MONTH(INDEX($AN$5:$AN$1000,$U46-4)),1),MesCiclo)),IF(ISNUMBER($AM46),DATE(YEAR($AM46),MONTH($AM46),1),IF(ISNUMBER($AN46),DATE(YEAR($AN46),MONTH($AN46),1),MesCiclo))))</f>
        <v/>
      </c>
      <c r="T46" s="62">
        <f>IF(OR($S46="",$S46&lt;&gt;MesCiclo,$V46&lt;&gt;"Macro"),"",COUNTIFS($S$5:$S46,MesCiclo,$V$5:$V46,"Macro"))</f>
        <v/>
      </c>
      <c r="U46" s="62">
        <f>IF($V46="","",IF($V46="Macro",ROW(),IFERROR(LOOKUP(2,1/($V$5:$V46="Macro"),ROW($V$5:$V46)),0)))</f>
        <v/>
      </c>
      <c r="V46" s="62">
        <f>IF(NOT((COUNTA($B46:$D46)+COUNTA($G46:$L46)+COUNTA($Q46))&gt;0),"",IF($B46="Subactividad","Sub","Macro"))</f>
        <v/>
      </c>
      <c r="W46" s="62">
        <f>IF($V46="Macro",COUNTIFS($U$5:$U$1000,ROW(),$V$5:$V$1000,"Sub"),"")</f>
        <v/>
      </c>
      <c r="X46" s="62">
        <f>IF($V46="","",IF(ISNUMBER($G46),1,IFERROR(LOOKUP(2,1/($I46:$L46&lt;&gt;""),$I46:$L46),0)))</f>
        <v/>
      </c>
      <c r="Y46" s="62">
        <f>IF($V46="","",IF(AND(ISNUMBER($G46),$G46&lt;=IF($S46=MesCiclo,InicioCiclo,$S46+MOD(2-WEEKDAY($S46),7))+6),1,IF(ISNUMBER($I46),$I46,0)))</f>
        <v/>
      </c>
      <c r="Z46" s="62">
        <f>IF($V46="","",IF(AND(ISNUMBER($G46),$G46&lt;=IF($S46=MesCiclo,InicioCiclo,$S46+MOD(2-WEEKDAY($S46),7))+13),1,IF(ISNUMBER($J46),$J46,$Y46)))</f>
        <v/>
      </c>
      <c r="AA46" s="62">
        <f>IF($V46="","",IF(AND(ISNUMBER($G46),$G46&lt;=IF($S46=MesCiclo,InicioCiclo,$S46+MOD(2-WEEKDAY($S46),7))+20),1,IF(ISNUMBER($K46),$K46,$Z46)))</f>
        <v/>
      </c>
      <c r="AB46" s="62">
        <f>IF($V46="","",IF(AND(ISNUMBER($G46),$G46&lt;=IF($S46=MesCiclo,InicioCiclo,$S46+MOD(2-WEEKDAY($S46),7))+27),1,IF(ISNUMBER($L46),$L46,$AA46)))</f>
        <v/>
      </c>
      <c r="AC46" s="62">
        <f>IF($V46="","",IF(AND(ISNUMBER($G46),$G46&lt;=IF($S46=MesCiclo,InicioCiclo,$S46+MOD(2-WEEKDAY($S46),7))+6),1,IF(N($W46)&gt;0,AVERAGEIFS($Y$5:$Y$1000,$U$5:$U$1000,ROW(),$V$5:$V$1000,"Sub"),$Y46)))</f>
        <v/>
      </c>
      <c r="AD46" s="62">
        <f>IF($V46="","",IF(AND(ISNUMBER($G46),$G46&lt;=IF($S46=MesCiclo,InicioCiclo,$S46+MOD(2-WEEKDAY($S46),7))+13),1,IF(N($W46)&gt;0,AVERAGEIFS($Z$5:$Z$1000,$U$5:$U$1000,ROW(),$V$5:$V$1000,"Sub"),$Z46)))</f>
        <v/>
      </c>
      <c r="AE46" s="62">
        <f>IF($V46="","",IF(AND(ISNUMBER($G46),$G46&lt;=IF($S46=MesCiclo,InicioCiclo,$S46+MOD(2-WEEKDAY($S46),7))+20),1,IF(N($W46)&gt;0,AVERAGEIFS($AA$5:$AA$1000,$U$5:$U$1000,ROW(),$V$5:$V$1000,"Sub"),$AA46)))</f>
        <v/>
      </c>
      <c r="AF46" s="62">
        <f>IF($V46="","",IF(AND(ISNUMBER($G46),$G46&lt;=IF($S46=MesCiclo,InicioCiclo,$S46+MOD(2-WEEKDAY($S46),7))+27),1,IF(N($W46)&gt;0,AVERAGEIFS($AB$5:$AB$1000,$U$5:$U$1000,ROW(),$V$5:$V$1000,"Sub"),$AB46)))</f>
        <v/>
      </c>
      <c r="AG46" s="62">
        <f>IF($V46&lt;&gt;"Macro","",IF(COUNTIFS($S$5:$S$1000,$S46,$V$5:$V$1000,"Macro",$H$5:$H$1000,"&gt;0")=0,1/COUNTIFS($S$5:$S$1000,$S46,$V$5:$V$1000,"Macro"),IF(AND(ISNUMBER($H46),N($H46)&gt;0),$H46,SUMIFS($H$5:$H$1000,$S$5:$S$1000,$S46,$V$5:$V$1000,"Macro")/COUNTIFS($S$5:$S$1000,$S46,$V$5:$V$1000,"Macro",$H$5:$H$1000,"&gt;0"))/(COUNTIFS($S$5:$S$1000,$S46,$V$5:$V$1000,"Macro")*SUMIFS($H$5:$H$1000,$S$5:$S$1000,$S46,$V$5:$V$1000,"Macro")/COUNTIFS($S$5:$S$1000,$S46,$V$5:$V$1000,"Macro",$H$5:$H$1000,"&gt;0"))))</f>
        <v/>
      </c>
      <c r="AH46" s="62" t="n"/>
      <c r="AI46" s="62" t="n"/>
      <c r="AJ46" s="62" t="n"/>
      <c r="AK46" s="62" t="n"/>
      <c r="AL46" s="62">
        <f>IF(LEFT($C46,11)="[Jefatura] ",IFERROR(MATCH("Riesgo Financiero|"&amp;MID($C46,12,500),rDname_ADM,0),0),"")</f>
        <v/>
      </c>
      <c r="AM46" s="62">
        <f>IF(N($AL46)&gt;0,INDEX(rIni_ADM,$AL46),IF(ISNUMBER($E46),$E46,""))</f>
        <v/>
      </c>
      <c r="AN46" s="62">
        <f>IF(N($AL46)&gt;0,INDEX(rLim_ADM,$AL46),IF(ISNUMBER($F46),$F46,""))</f>
        <v/>
      </c>
    </row>
    <row r="47">
      <c r="A47" s="56">
        <f>IF(NOT((COUNTA($B47:$D47)+COUNTA($G47:$L47)+COUNTA($Q47))&gt;0),"",IF($V47="Macro",COUNTIFS($V$5:$V47,"Macro",$S$5:$S47,$S47),IF(N($U47)=0,"?",COUNTIFS(INDEX($V$5:$V$1000,1):INDEX($V$5:$V$1000,$U47-4),"Macro",INDEX($S$5:$S$1000,1):INDEX($S$5:$S$1000,$U47-4),INDEX($S$5:$S$1000,$U47-4))&amp;"."&amp;COUNTIFS($U$5:$U47,$U47,$V$5:$V47,"Sub"))))</f>
        <v/>
      </c>
      <c r="B47" s="57" t="n"/>
      <c r="C47" s="58" t="n"/>
      <c r="D47" s="58" t="n"/>
      <c r="E47" s="59">
        <f>IF(N($AL47)&gt;0,INDEX(rIni_ADM,$AL47),"")</f>
        <v/>
      </c>
      <c r="F47" s="59">
        <f>IF(N($AL47)&gt;0,INDEX(rLim_ADM,$AL47),"")</f>
        <v/>
      </c>
      <c r="G47" s="59" t="n"/>
      <c r="H47" s="60" t="n"/>
      <c r="I47" s="60" t="n"/>
      <c r="J47" s="60" t="n"/>
      <c r="K47" s="60" t="n"/>
      <c r="L47" s="60" t="n"/>
      <c r="M47" s="61">
        <f>IF(NOT((COUNTA($B47:$D47)+COUNTA($G47:$L47)+COUNTA($Q47))&gt;0),"",IF($V47="Sub",IFERROR($X47/INDEX($W$5:$W$1000,$U47-4),""),IF(ISNUMBER($G47),1,IF(N($W47)&gt;0,AVERAGEIFS($X$5:$X$1000,$U$5:$U$1000,ROW(),$V$5:$V$1000,"Sub"),$X47))))</f>
        <v/>
      </c>
      <c r="N47" s="56">
        <f>IF(OR($M47="",$V47="Sub"),"",IF($M47&gt;=1,"Completado",IF($M47&gt;0,"En curso","Pendiente")))</f>
        <v/>
      </c>
      <c r="O47" s="56">
        <f>IF(OR(NOT((COUNTA($B47:$D47)+COUNTA($G47:$L47)+COUNTA($Q47))&gt;0),$V47="Sub"),"",IF(ISNUMBER($G47),IF(AND(ISNUMBER($AN47),$G47&gt;$AN47),"Cumplida con "&amp;($G47-$AN47)&amp;IF($G47-$AN47=1," día"," días")&amp;" de retraso","Cumplida"),IF(N($M47)&gt;=1,"Cumplida",IF(NOT(ISNUMBER($AN47)),"Sin fecha límite",IF($AN47&lt;FechaRef,"Vencida hace "&amp;(FechaRef-$AN47)&amp;IF(FechaRef-$AN47=1," día"," días"),IF($AN47=FechaRef,"Vence hoy",IF($AN47-FechaRef&lt;=DiasAlerta,"Vence en "&amp;($AN47-FechaRef)&amp;IF($AN47-FechaRef=1," día"," días"),"En plazo")))))))</f>
        <v/>
      </c>
      <c r="P47" s="62" t="n"/>
      <c r="Q47" s="58" t="n"/>
      <c r="R47" s="63">
        <f>IF(NOT((COUNTA($B47:$D47)+COUNTA($G47:$L47)+COUNTA($Q47))&gt;0),"",IF((IF($C47="","Falta el nombre de la actividad"&amp;" · ","")&amp;IF(AND($V47="Sub",N($U47)=0),"Subactividad sin macroactividad arriba"&amp;" · ","")&amp;IF($AM47="","Sin fecha de inicio"&amp;" · ","")&amp;IF($AN47="","Sin fecha límite"&amp;" · ","")&amp;IF(AND(LEFT($C47,11)="[Jefatura] ",N($AL47)=0),"No se encuentra en la hoja de la jefatura (elíjala de nuevo en la lista)"&amp;" · ","")&amp;IF(OR(AND($E47&lt;&gt;"",NOT(ISNUMBER($E47))),AND($F47&lt;&gt;"",NOT(ISNUMBER($F47))),AND($G47&lt;&gt;"",NOT(ISNUMBER($G47)))),"Fecha no válida"&amp;" · ","")&amp;IF(AND(ISNUMBER($AM47),ISNUMBER($AN47),$AM47&gt;$AN47),"Inicio posterior a fecha límite"&amp;" · ","")&amp;IF(AND($V47="Macro",$H47&lt;&gt;"",OR(NOT(ISNUMBER($H47)),$H47&lt;0,$H47&gt;1)),"Peso fuera de rango"&amp;" · ","")&amp;IF(AND($V47="Sub",$H47&lt;&gt;""),"Las subactividades no llevan peso (valen igual dentro de su macroactividad)"&amp;" · ","")&amp;IF(AND(N($W47)&gt;0,COUNT($I47:$L47)&gt;0),"Con subactividades: deje vacías las semanas (se calculan solas)"&amp;" · ","")&amp;IF((COUNTIF($I47:$L47,"&gt;1")+COUNTIF($I47:$L47,"&lt;0")+COUNTA($I47:$L47)-COUNT($I47:$L47))&gt;0,"Avance fuera de rango 0-100%"&amp;" · ","")&amp;IF(OR(AND($J47&lt;&gt;"",$J47&lt;$I47),AND($K47&lt;&gt;"",$K47&lt;MAX($I47:$J47)),AND($L47&lt;&gt;"",$L47&lt;MAX($I47:$K47))),"Avance semanal decreciente"&amp;" · ","")&amp;IF(AND(ISNUMBER($AN47),$AN47&lt;FechaRef,IF($V47="Sub",N($X47),N($M47))&lt;1),"Vencida"&amp;" · ","")&amp;IF(AND(ObsObligatoria="Sí",ISNUMBER($AN47),$AN47&lt;FechaRef,IF($V47="Sub",N($X47),N($M47))&lt;1,$Q47=""),"Vencida sin observación"&amp;" · ",""))="","✔ OK","⚠ "&amp;LEFT(IF($C47="","Falta el nombre de la actividad"&amp;" · ","")&amp;IF(AND($V47="Sub",N($U47)=0),"Subactividad sin macroactividad arriba"&amp;" · ","")&amp;IF($AM47="","Sin fecha de inicio"&amp;" · ","")&amp;IF($AN47="","Sin fecha límite"&amp;" · ","")&amp;IF(AND(LEFT($C47,11)="[Jefatura] ",N($AL47)=0),"No se encuentra en la hoja de la jefatura (elíjala de nuevo en la lista)"&amp;" · ","")&amp;IF(OR(AND($E47&lt;&gt;"",NOT(ISNUMBER($E47))),AND($F47&lt;&gt;"",NOT(ISNUMBER($F47))),AND($G47&lt;&gt;"",NOT(ISNUMBER($G47)))),"Fecha no válida"&amp;" · ","")&amp;IF(AND(ISNUMBER($AM47),ISNUMBER($AN47),$AM47&gt;$AN47),"Inicio posterior a fecha límite"&amp;" · ","")&amp;IF(AND($V47="Macro",$H47&lt;&gt;"",OR(NOT(ISNUMBER($H47)),$H47&lt;0,$H47&gt;1)),"Peso fuera de rango"&amp;" · ","")&amp;IF(AND($V47="Sub",$H47&lt;&gt;""),"Las subactividades no llevan peso (valen igual dentro de su macroactividad)"&amp;" · ","")&amp;IF(AND(N($W47)&gt;0,COUNT($I47:$L47)&gt;0),"Con subactividades: deje vacías las semanas (se calculan solas)"&amp;" · ","")&amp;IF((COUNTIF($I47:$L47,"&gt;1")+COUNTIF($I47:$L47,"&lt;0")+COUNTA($I47:$L47)-COUNT($I47:$L47))&gt;0,"Avance fuera de rango 0-100%"&amp;" · ","")&amp;IF(OR(AND($J47&lt;&gt;"",$J47&lt;$I47),AND($K47&lt;&gt;"",$K47&lt;MAX($I47:$J47)),AND($L47&lt;&gt;"",$L47&lt;MAX($I47:$K47))),"Avance semanal decreciente"&amp;" · ","")&amp;IF(AND(ISNUMBER($AN47),$AN47&lt;FechaRef,IF($V47="Sub",N($X47),N($M47))&lt;1),"Vencida"&amp;" · ","")&amp;IF(AND(ObsObligatoria="Sí",ISNUMBER($AN47),$AN47&lt;FechaRef,IF($V47="Sub",N($X47),N($M47))&lt;1,$Q47=""),"Vencida sin observación"&amp;" · ",""),LEN(IF($C47="","Falta el nombre de la actividad"&amp;" · ","")&amp;IF(AND($V47="Sub",N($U47)=0),"Subactividad sin macroactividad arriba"&amp;" · ","")&amp;IF($AM47="","Sin fecha de inicio"&amp;" · ","")&amp;IF($AN47="","Sin fecha límite"&amp;" · ","")&amp;IF(AND(LEFT($C47,11)="[Jefatura] ",N($AL47)=0),"No se encuentra en la hoja de la jefatura (elíjala de nuevo en la lista)"&amp;" · ","")&amp;IF(OR(AND($E47&lt;&gt;"",NOT(ISNUMBER($E47))),AND($F47&lt;&gt;"",NOT(ISNUMBER($F47))),AND($G47&lt;&gt;"",NOT(ISNUMBER($G47)))),"Fecha no válida"&amp;" · ","")&amp;IF(AND(ISNUMBER($AM47),ISNUMBER($AN47),$AM47&gt;$AN47),"Inicio posterior a fecha límite"&amp;" · ","")&amp;IF(AND($V47="Macro",$H47&lt;&gt;"",OR(NOT(ISNUMBER($H47)),$H47&lt;0,$H47&gt;1)),"Peso fuera de rango"&amp;" · ","")&amp;IF(AND($V47="Sub",$H47&lt;&gt;""),"Las subactividades no llevan peso (valen igual dentro de su macroactividad)"&amp;" · ","")&amp;IF(AND(N($W47)&gt;0,COUNT($I47:$L47)&gt;0),"Con subactividades: deje vacías las semanas (se calculan solas)"&amp;" · ","")&amp;IF((COUNTIF($I47:$L47,"&gt;1")+COUNTIF($I47:$L47,"&lt;0")+COUNTA($I47:$L47)-COUNT($I47:$L47))&gt;0,"Avance fuera de rango 0-100%"&amp;" · ","")&amp;IF(OR(AND($J47&lt;&gt;"",$J47&lt;$I47),AND($K47&lt;&gt;"",$K47&lt;MAX($I47:$J47)),AND($L47&lt;&gt;"",$L47&lt;MAX($I47:$K47))),"Avance semanal decreciente"&amp;" · ","")&amp;IF(AND(ISNUMBER($AN47),$AN47&lt;FechaRef,IF($V47="Sub",N($X47),N($M47))&lt;1),"Vencida"&amp;" · ","")&amp;IF(AND(ObsObligatoria="Sí",ISNUMBER($AN47),$AN47&lt;FechaRef,IF($V47="Sub",N($X47),N($M47))&lt;1,$Q47=""),"Vencida sin observación"&amp;" · ",""))-3)))</f>
        <v/>
      </c>
      <c r="S47" s="64">
        <f>IF(NOT((COUNTA($B47:$D47)+COUNTA($G47:$L47)+COUNTA($Q47))&gt;0),"",IF(AND($V47="Sub",N($U47)&gt;0),IF(ISNUMBER(INDEX($AM$5:$AM$1000,$U47-4)),DATE(YEAR(INDEX($AM$5:$AM$1000,$U47-4)),MONTH(INDEX($AM$5:$AM$1000,$U47-4)),1),IF(ISNUMBER(INDEX($AN$5:$AN$1000,$U47-4)),DATE(YEAR(INDEX($AN$5:$AN$1000,$U47-4)),MONTH(INDEX($AN$5:$AN$1000,$U47-4)),1),MesCiclo)),IF(ISNUMBER($AM47),DATE(YEAR($AM47),MONTH($AM47),1),IF(ISNUMBER($AN47),DATE(YEAR($AN47),MONTH($AN47),1),MesCiclo))))</f>
        <v/>
      </c>
      <c r="T47" s="62">
        <f>IF(OR($S47="",$S47&lt;&gt;MesCiclo,$V47&lt;&gt;"Macro"),"",COUNTIFS($S$5:$S47,MesCiclo,$V$5:$V47,"Macro"))</f>
        <v/>
      </c>
      <c r="U47" s="62">
        <f>IF($V47="","",IF($V47="Macro",ROW(),IFERROR(LOOKUP(2,1/($V$5:$V47="Macro"),ROW($V$5:$V47)),0)))</f>
        <v/>
      </c>
      <c r="V47" s="62">
        <f>IF(NOT((COUNTA($B47:$D47)+COUNTA($G47:$L47)+COUNTA($Q47))&gt;0),"",IF($B47="Subactividad","Sub","Macro"))</f>
        <v/>
      </c>
      <c r="W47" s="62">
        <f>IF($V47="Macro",COUNTIFS($U$5:$U$1000,ROW(),$V$5:$V$1000,"Sub"),"")</f>
        <v/>
      </c>
      <c r="X47" s="62">
        <f>IF($V47="","",IF(ISNUMBER($G47),1,IFERROR(LOOKUP(2,1/($I47:$L47&lt;&gt;""),$I47:$L47),0)))</f>
        <v/>
      </c>
      <c r="Y47" s="62">
        <f>IF($V47="","",IF(AND(ISNUMBER($G47),$G47&lt;=IF($S47=MesCiclo,InicioCiclo,$S47+MOD(2-WEEKDAY($S47),7))+6),1,IF(ISNUMBER($I47),$I47,0)))</f>
        <v/>
      </c>
      <c r="Z47" s="62">
        <f>IF($V47="","",IF(AND(ISNUMBER($G47),$G47&lt;=IF($S47=MesCiclo,InicioCiclo,$S47+MOD(2-WEEKDAY($S47),7))+13),1,IF(ISNUMBER($J47),$J47,$Y47)))</f>
        <v/>
      </c>
      <c r="AA47" s="62">
        <f>IF($V47="","",IF(AND(ISNUMBER($G47),$G47&lt;=IF($S47=MesCiclo,InicioCiclo,$S47+MOD(2-WEEKDAY($S47),7))+20),1,IF(ISNUMBER($K47),$K47,$Z47)))</f>
        <v/>
      </c>
      <c r="AB47" s="62">
        <f>IF($V47="","",IF(AND(ISNUMBER($G47),$G47&lt;=IF($S47=MesCiclo,InicioCiclo,$S47+MOD(2-WEEKDAY($S47),7))+27),1,IF(ISNUMBER($L47),$L47,$AA47)))</f>
        <v/>
      </c>
      <c r="AC47" s="62">
        <f>IF($V47="","",IF(AND(ISNUMBER($G47),$G47&lt;=IF($S47=MesCiclo,InicioCiclo,$S47+MOD(2-WEEKDAY($S47),7))+6),1,IF(N($W47)&gt;0,AVERAGEIFS($Y$5:$Y$1000,$U$5:$U$1000,ROW(),$V$5:$V$1000,"Sub"),$Y47)))</f>
        <v/>
      </c>
      <c r="AD47" s="62">
        <f>IF($V47="","",IF(AND(ISNUMBER($G47),$G47&lt;=IF($S47=MesCiclo,InicioCiclo,$S47+MOD(2-WEEKDAY($S47),7))+13),1,IF(N($W47)&gt;0,AVERAGEIFS($Z$5:$Z$1000,$U$5:$U$1000,ROW(),$V$5:$V$1000,"Sub"),$Z47)))</f>
        <v/>
      </c>
      <c r="AE47" s="62">
        <f>IF($V47="","",IF(AND(ISNUMBER($G47),$G47&lt;=IF($S47=MesCiclo,InicioCiclo,$S47+MOD(2-WEEKDAY($S47),7))+20),1,IF(N($W47)&gt;0,AVERAGEIFS($AA$5:$AA$1000,$U$5:$U$1000,ROW(),$V$5:$V$1000,"Sub"),$AA47)))</f>
        <v/>
      </c>
      <c r="AF47" s="62">
        <f>IF($V47="","",IF(AND(ISNUMBER($G47),$G47&lt;=IF($S47=MesCiclo,InicioCiclo,$S47+MOD(2-WEEKDAY($S47),7))+27),1,IF(N($W47)&gt;0,AVERAGEIFS($AB$5:$AB$1000,$U$5:$U$1000,ROW(),$V$5:$V$1000,"Sub"),$AB47)))</f>
        <v/>
      </c>
      <c r="AG47" s="62">
        <f>IF($V47&lt;&gt;"Macro","",IF(COUNTIFS($S$5:$S$1000,$S47,$V$5:$V$1000,"Macro",$H$5:$H$1000,"&gt;0")=0,1/COUNTIFS($S$5:$S$1000,$S47,$V$5:$V$1000,"Macro"),IF(AND(ISNUMBER($H47),N($H47)&gt;0),$H47,SUMIFS($H$5:$H$1000,$S$5:$S$1000,$S47,$V$5:$V$1000,"Macro")/COUNTIFS($S$5:$S$1000,$S47,$V$5:$V$1000,"Macro",$H$5:$H$1000,"&gt;0"))/(COUNTIFS($S$5:$S$1000,$S47,$V$5:$V$1000,"Macro")*SUMIFS($H$5:$H$1000,$S$5:$S$1000,$S47,$V$5:$V$1000,"Macro")/COUNTIFS($S$5:$S$1000,$S47,$V$5:$V$1000,"Macro",$H$5:$H$1000,"&gt;0"))))</f>
        <v/>
      </c>
      <c r="AH47" s="62" t="n"/>
      <c r="AI47" s="62" t="n"/>
      <c r="AJ47" s="62" t="n"/>
      <c r="AK47" s="62" t="n"/>
      <c r="AL47" s="62">
        <f>IF(LEFT($C47,11)="[Jefatura] ",IFERROR(MATCH("Riesgo Financiero|"&amp;MID($C47,12,500),rDname_ADM,0),0),"")</f>
        <v/>
      </c>
      <c r="AM47" s="62">
        <f>IF(N($AL47)&gt;0,INDEX(rIni_ADM,$AL47),IF(ISNUMBER($E47),$E47,""))</f>
        <v/>
      </c>
      <c r="AN47" s="62">
        <f>IF(N($AL47)&gt;0,INDEX(rLim_ADM,$AL47),IF(ISNUMBER($F47),$F47,""))</f>
        <v/>
      </c>
    </row>
    <row r="48">
      <c r="A48" s="56">
        <f>IF(NOT((COUNTA($B48:$D48)+COUNTA($G48:$L48)+COUNTA($Q48))&gt;0),"",IF($V48="Macro",COUNTIFS($V$5:$V48,"Macro",$S$5:$S48,$S48),IF(N($U48)=0,"?",COUNTIFS(INDEX($V$5:$V$1000,1):INDEX($V$5:$V$1000,$U48-4),"Macro",INDEX($S$5:$S$1000,1):INDEX($S$5:$S$1000,$U48-4),INDEX($S$5:$S$1000,$U48-4))&amp;"."&amp;COUNTIFS($U$5:$U48,$U48,$V$5:$V48,"Sub"))))</f>
        <v/>
      </c>
      <c r="B48" s="57" t="n"/>
      <c r="C48" s="58" t="n"/>
      <c r="D48" s="58" t="n"/>
      <c r="E48" s="59">
        <f>IF(N($AL48)&gt;0,INDEX(rIni_ADM,$AL48),"")</f>
        <v/>
      </c>
      <c r="F48" s="59">
        <f>IF(N($AL48)&gt;0,INDEX(rLim_ADM,$AL48),"")</f>
        <v/>
      </c>
      <c r="G48" s="59" t="n"/>
      <c r="H48" s="60" t="n"/>
      <c r="I48" s="60" t="n"/>
      <c r="J48" s="60" t="n"/>
      <c r="K48" s="60" t="n"/>
      <c r="L48" s="60" t="n"/>
      <c r="M48" s="61">
        <f>IF(NOT((COUNTA($B48:$D48)+COUNTA($G48:$L48)+COUNTA($Q48))&gt;0),"",IF($V48="Sub",IFERROR($X48/INDEX($W$5:$W$1000,$U48-4),""),IF(ISNUMBER($G48),1,IF(N($W48)&gt;0,AVERAGEIFS($X$5:$X$1000,$U$5:$U$1000,ROW(),$V$5:$V$1000,"Sub"),$X48))))</f>
        <v/>
      </c>
      <c r="N48" s="56">
        <f>IF(OR($M48="",$V48="Sub"),"",IF($M48&gt;=1,"Completado",IF($M48&gt;0,"En curso","Pendiente")))</f>
        <v/>
      </c>
      <c r="O48" s="56">
        <f>IF(OR(NOT((COUNTA($B48:$D48)+COUNTA($G48:$L48)+COUNTA($Q48))&gt;0),$V48="Sub"),"",IF(ISNUMBER($G48),IF(AND(ISNUMBER($AN48),$G48&gt;$AN48),"Cumplida con "&amp;($G48-$AN48)&amp;IF($G48-$AN48=1," día"," días")&amp;" de retraso","Cumplida"),IF(N($M48)&gt;=1,"Cumplida",IF(NOT(ISNUMBER($AN48)),"Sin fecha límite",IF($AN48&lt;FechaRef,"Vencida hace "&amp;(FechaRef-$AN48)&amp;IF(FechaRef-$AN48=1," día"," días"),IF($AN48=FechaRef,"Vence hoy",IF($AN48-FechaRef&lt;=DiasAlerta,"Vence en "&amp;($AN48-FechaRef)&amp;IF($AN48-FechaRef=1," día"," días"),"En plazo")))))))</f>
        <v/>
      </c>
      <c r="P48" s="62" t="n"/>
      <c r="Q48" s="58" t="n"/>
      <c r="R48" s="63">
        <f>IF(NOT((COUNTA($B48:$D48)+COUNTA($G48:$L48)+COUNTA($Q48))&gt;0),"",IF((IF($C48="","Falta el nombre de la actividad"&amp;" · ","")&amp;IF(AND($V48="Sub",N($U48)=0),"Subactividad sin macroactividad arriba"&amp;" · ","")&amp;IF($AM48="","Sin fecha de inicio"&amp;" · ","")&amp;IF($AN48="","Sin fecha límite"&amp;" · ","")&amp;IF(AND(LEFT($C48,11)="[Jefatura] ",N($AL48)=0),"No se encuentra en la hoja de la jefatura (elíjala de nuevo en la lista)"&amp;" · ","")&amp;IF(OR(AND($E48&lt;&gt;"",NOT(ISNUMBER($E48))),AND($F48&lt;&gt;"",NOT(ISNUMBER($F48))),AND($G48&lt;&gt;"",NOT(ISNUMBER($G48)))),"Fecha no válida"&amp;" · ","")&amp;IF(AND(ISNUMBER($AM48),ISNUMBER($AN48),$AM48&gt;$AN48),"Inicio posterior a fecha límite"&amp;" · ","")&amp;IF(AND($V48="Macro",$H48&lt;&gt;"",OR(NOT(ISNUMBER($H48)),$H48&lt;0,$H48&gt;1)),"Peso fuera de rango"&amp;" · ","")&amp;IF(AND($V48="Sub",$H48&lt;&gt;""),"Las subactividades no llevan peso (valen igual dentro de su macroactividad)"&amp;" · ","")&amp;IF(AND(N($W48)&gt;0,COUNT($I48:$L48)&gt;0),"Con subactividades: deje vacías las semanas (se calculan solas)"&amp;" · ","")&amp;IF((COUNTIF($I48:$L48,"&gt;1")+COUNTIF($I48:$L48,"&lt;0")+COUNTA($I48:$L48)-COUNT($I48:$L48))&gt;0,"Avance fuera de rango 0-100%"&amp;" · ","")&amp;IF(OR(AND($J48&lt;&gt;"",$J48&lt;$I48),AND($K48&lt;&gt;"",$K48&lt;MAX($I48:$J48)),AND($L48&lt;&gt;"",$L48&lt;MAX($I48:$K48))),"Avance semanal decreciente"&amp;" · ","")&amp;IF(AND(ISNUMBER($AN48),$AN48&lt;FechaRef,IF($V48="Sub",N($X48),N($M48))&lt;1),"Vencida"&amp;" · ","")&amp;IF(AND(ObsObligatoria="Sí",ISNUMBER($AN48),$AN48&lt;FechaRef,IF($V48="Sub",N($X48),N($M48))&lt;1,$Q48=""),"Vencida sin observación"&amp;" · ",""))="","✔ OK","⚠ "&amp;LEFT(IF($C48="","Falta el nombre de la actividad"&amp;" · ","")&amp;IF(AND($V48="Sub",N($U48)=0),"Subactividad sin macroactividad arriba"&amp;" · ","")&amp;IF($AM48="","Sin fecha de inicio"&amp;" · ","")&amp;IF($AN48="","Sin fecha límite"&amp;" · ","")&amp;IF(AND(LEFT($C48,11)="[Jefatura] ",N($AL48)=0),"No se encuentra en la hoja de la jefatura (elíjala de nuevo en la lista)"&amp;" · ","")&amp;IF(OR(AND($E48&lt;&gt;"",NOT(ISNUMBER($E48))),AND($F48&lt;&gt;"",NOT(ISNUMBER($F48))),AND($G48&lt;&gt;"",NOT(ISNUMBER($G48)))),"Fecha no válida"&amp;" · ","")&amp;IF(AND(ISNUMBER($AM48),ISNUMBER($AN48),$AM48&gt;$AN48),"Inicio posterior a fecha límite"&amp;" · ","")&amp;IF(AND($V48="Macro",$H48&lt;&gt;"",OR(NOT(ISNUMBER($H48)),$H48&lt;0,$H48&gt;1)),"Peso fuera de rango"&amp;" · ","")&amp;IF(AND($V48="Sub",$H48&lt;&gt;""),"Las subactividades no llevan peso (valen igual dentro de su macroactividad)"&amp;" · ","")&amp;IF(AND(N($W48)&gt;0,COUNT($I48:$L48)&gt;0),"Con subactividades: deje vacías las semanas (se calculan solas)"&amp;" · ","")&amp;IF((COUNTIF($I48:$L48,"&gt;1")+COUNTIF($I48:$L48,"&lt;0")+COUNTA($I48:$L48)-COUNT($I48:$L48))&gt;0,"Avance fuera de rango 0-100%"&amp;" · ","")&amp;IF(OR(AND($J48&lt;&gt;"",$J48&lt;$I48),AND($K48&lt;&gt;"",$K48&lt;MAX($I48:$J48)),AND($L48&lt;&gt;"",$L48&lt;MAX($I48:$K48))),"Avance semanal decreciente"&amp;" · ","")&amp;IF(AND(ISNUMBER($AN48),$AN48&lt;FechaRef,IF($V48="Sub",N($X48),N($M48))&lt;1),"Vencida"&amp;" · ","")&amp;IF(AND(ObsObligatoria="Sí",ISNUMBER($AN48),$AN48&lt;FechaRef,IF($V48="Sub",N($X48),N($M48))&lt;1,$Q48=""),"Vencida sin observación"&amp;" · ",""),LEN(IF($C48="","Falta el nombre de la actividad"&amp;" · ","")&amp;IF(AND($V48="Sub",N($U48)=0),"Subactividad sin macroactividad arriba"&amp;" · ","")&amp;IF($AM48="","Sin fecha de inicio"&amp;" · ","")&amp;IF($AN48="","Sin fecha límite"&amp;" · ","")&amp;IF(AND(LEFT($C48,11)="[Jefatura] ",N($AL48)=0),"No se encuentra en la hoja de la jefatura (elíjala de nuevo en la lista)"&amp;" · ","")&amp;IF(OR(AND($E48&lt;&gt;"",NOT(ISNUMBER($E48))),AND($F48&lt;&gt;"",NOT(ISNUMBER($F48))),AND($G48&lt;&gt;"",NOT(ISNUMBER($G48)))),"Fecha no válida"&amp;" · ","")&amp;IF(AND(ISNUMBER($AM48),ISNUMBER($AN48),$AM48&gt;$AN48),"Inicio posterior a fecha límite"&amp;" · ","")&amp;IF(AND($V48="Macro",$H48&lt;&gt;"",OR(NOT(ISNUMBER($H48)),$H48&lt;0,$H48&gt;1)),"Peso fuera de rango"&amp;" · ","")&amp;IF(AND($V48="Sub",$H48&lt;&gt;""),"Las subactividades no llevan peso (valen igual dentro de su macroactividad)"&amp;" · ","")&amp;IF(AND(N($W48)&gt;0,COUNT($I48:$L48)&gt;0),"Con subactividades: deje vacías las semanas (se calculan solas)"&amp;" · ","")&amp;IF((COUNTIF($I48:$L48,"&gt;1")+COUNTIF($I48:$L48,"&lt;0")+COUNTA($I48:$L48)-COUNT($I48:$L48))&gt;0,"Avance fuera de rango 0-100%"&amp;" · ","")&amp;IF(OR(AND($J48&lt;&gt;"",$J48&lt;$I48),AND($K48&lt;&gt;"",$K48&lt;MAX($I48:$J48)),AND($L48&lt;&gt;"",$L48&lt;MAX($I48:$K48))),"Avance semanal decreciente"&amp;" · ","")&amp;IF(AND(ISNUMBER($AN48),$AN48&lt;FechaRef,IF($V48="Sub",N($X48),N($M48))&lt;1),"Vencida"&amp;" · ","")&amp;IF(AND(ObsObligatoria="Sí",ISNUMBER($AN48),$AN48&lt;FechaRef,IF($V48="Sub",N($X48),N($M48))&lt;1,$Q48=""),"Vencida sin observación"&amp;" · ",""))-3)))</f>
        <v/>
      </c>
      <c r="S48" s="64">
        <f>IF(NOT((COUNTA($B48:$D48)+COUNTA($G48:$L48)+COUNTA($Q48))&gt;0),"",IF(AND($V48="Sub",N($U48)&gt;0),IF(ISNUMBER(INDEX($AM$5:$AM$1000,$U48-4)),DATE(YEAR(INDEX($AM$5:$AM$1000,$U48-4)),MONTH(INDEX($AM$5:$AM$1000,$U48-4)),1),IF(ISNUMBER(INDEX($AN$5:$AN$1000,$U48-4)),DATE(YEAR(INDEX($AN$5:$AN$1000,$U48-4)),MONTH(INDEX($AN$5:$AN$1000,$U48-4)),1),MesCiclo)),IF(ISNUMBER($AM48),DATE(YEAR($AM48),MONTH($AM48),1),IF(ISNUMBER($AN48),DATE(YEAR($AN48),MONTH($AN48),1),MesCiclo))))</f>
        <v/>
      </c>
      <c r="T48" s="62">
        <f>IF(OR($S48="",$S48&lt;&gt;MesCiclo,$V48&lt;&gt;"Macro"),"",COUNTIFS($S$5:$S48,MesCiclo,$V$5:$V48,"Macro"))</f>
        <v/>
      </c>
      <c r="U48" s="62">
        <f>IF($V48="","",IF($V48="Macro",ROW(),IFERROR(LOOKUP(2,1/($V$5:$V48="Macro"),ROW($V$5:$V48)),0)))</f>
        <v/>
      </c>
      <c r="V48" s="62">
        <f>IF(NOT((COUNTA($B48:$D48)+COUNTA($G48:$L48)+COUNTA($Q48))&gt;0),"",IF($B48="Subactividad","Sub","Macro"))</f>
        <v/>
      </c>
      <c r="W48" s="62">
        <f>IF($V48="Macro",COUNTIFS($U$5:$U$1000,ROW(),$V$5:$V$1000,"Sub"),"")</f>
        <v/>
      </c>
      <c r="X48" s="62">
        <f>IF($V48="","",IF(ISNUMBER($G48),1,IFERROR(LOOKUP(2,1/($I48:$L48&lt;&gt;""),$I48:$L48),0)))</f>
        <v/>
      </c>
      <c r="Y48" s="62">
        <f>IF($V48="","",IF(AND(ISNUMBER($G48),$G48&lt;=IF($S48=MesCiclo,InicioCiclo,$S48+MOD(2-WEEKDAY($S48),7))+6),1,IF(ISNUMBER($I48),$I48,0)))</f>
        <v/>
      </c>
      <c r="Z48" s="62">
        <f>IF($V48="","",IF(AND(ISNUMBER($G48),$G48&lt;=IF($S48=MesCiclo,InicioCiclo,$S48+MOD(2-WEEKDAY($S48),7))+13),1,IF(ISNUMBER($J48),$J48,$Y48)))</f>
        <v/>
      </c>
      <c r="AA48" s="62">
        <f>IF($V48="","",IF(AND(ISNUMBER($G48),$G48&lt;=IF($S48=MesCiclo,InicioCiclo,$S48+MOD(2-WEEKDAY($S48),7))+20),1,IF(ISNUMBER($K48),$K48,$Z48)))</f>
        <v/>
      </c>
      <c r="AB48" s="62">
        <f>IF($V48="","",IF(AND(ISNUMBER($G48),$G48&lt;=IF($S48=MesCiclo,InicioCiclo,$S48+MOD(2-WEEKDAY($S48),7))+27),1,IF(ISNUMBER($L48),$L48,$AA48)))</f>
        <v/>
      </c>
      <c r="AC48" s="62">
        <f>IF($V48="","",IF(AND(ISNUMBER($G48),$G48&lt;=IF($S48=MesCiclo,InicioCiclo,$S48+MOD(2-WEEKDAY($S48),7))+6),1,IF(N($W48)&gt;0,AVERAGEIFS($Y$5:$Y$1000,$U$5:$U$1000,ROW(),$V$5:$V$1000,"Sub"),$Y48)))</f>
        <v/>
      </c>
      <c r="AD48" s="62">
        <f>IF($V48="","",IF(AND(ISNUMBER($G48),$G48&lt;=IF($S48=MesCiclo,InicioCiclo,$S48+MOD(2-WEEKDAY($S48),7))+13),1,IF(N($W48)&gt;0,AVERAGEIFS($Z$5:$Z$1000,$U$5:$U$1000,ROW(),$V$5:$V$1000,"Sub"),$Z48)))</f>
        <v/>
      </c>
      <c r="AE48" s="62">
        <f>IF($V48="","",IF(AND(ISNUMBER($G48),$G48&lt;=IF($S48=MesCiclo,InicioCiclo,$S48+MOD(2-WEEKDAY($S48),7))+20),1,IF(N($W48)&gt;0,AVERAGEIFS($AA$5:$AA$1000,$U$5:$U$1000,ROW(),$V$5:$V$1000,"Sub"),$AA48)))</f>
        <v/>
      </c>
      <c r="AF48" s="62">
        <f>IF($V48="","",IF(AND(ISNUMBER($G48),$G48&lt;=IF($S48=MesCiclo,InicioCiclo,$S48+MOD(2-WEEKDAY($S48),7))+27),1,IF(N($W48)&gt;0,AVERAGEIFS($AB$5:$AB$1000,$U$5:$U$1000,ROW(),$V$5:$V$1000,"Sub"),$AB48)))</f>
        <v/>
      </c>
      <c r="AG48" s="62">
        <f>IF($V48&lt;&gt;"Macro","",IF(COUNTIFS($S$5:$S$1000,$S48,$V$5:$V$1000,"Macro",$H$5:$H$1000,"&gt;0")=0,1/COUNTIFS($S$5:$S$1000,$S48,$V$5:$V$1000,"Macro"),IF(AND(ISNUMBER($H48),N($H48)&gt;0),$H48,SUMIFS($H$5:$H$1000,$S$5:$S$1000,$S48,$V$5:$V$1000,"Macro")/COUNTIFS($S$5:$S$1000,$S48,$V$5:$V$1000,"Macro",$H$5:$H$1000,"&gt;0"))/(COUNTIFS($S$5:$S$1000,$S48,$V$5:$V$1000,"Macro")*SUMIFS($H$5:$H$1000,$S$5:$S$1000,$S48,$V$5:$V$1000,"Macro")/COUNTIFS($S$5:$S$1000,$S48,$V$5:$V$1000,"Macro",$H$5:$H$1000,"&gt;0"))))</f>
        <v/>
      </c>
      <c r="AH48" s="62" t="n"/>
      <c r="AI48" s="62" t="n"/>
      <c r="AJ48" s="62" t="n"/>
      <c r="AK48" s="62" t="n"/>
      <c r="AL48" s="62">
        <f>IF(LEFT($C48,11)="[Jefatura] ",IFERROR(MATCH("Riesgo Financiero|"&amp;MID($C48,12,500),rDname_ADM,0),0),"")</f>
        <v/>
      </c>
      <c r="AM48" s="62">
        <f>IF(N($AL48)&gt;0,INDEX(rIni_ADM,$AL48),IF(ISNUMBER($E48),$E48,""))</f>
        <v/>
      </c>
      <c r="AN48" s="62">
        <f>IF(N($AL48)&gt;0,INDEX(rLim_ADM,$AL48),IF(ISNUMBER($F48),$F48,""))</f>
        <v/>
      </c>
    </row>
    <row r="49">
      <c r="A49" s="56">
        <f>IF(NOT((COUNTA($B49:$D49)+COUNTA($G49:$L49)+COUNTA($Q49))&gt;0),"",IF($V49="Macro",COUNTIFS($V$5:$V49,"Macro",$S$5:$S49,$S49),IF(N($U49)=0,"?",COUNTIFS(INDEX($V$5:$V$1000,1):INDEX($V$5:$V$1000,$U49-4),"Macro",INDEX($S$5:$S$1000,1):INDEX($S$5:$S$1000,$U49-4),INDEX($S$5:$S$1000,$U49-4))&amp;"."&amp;COUNTIFS($U$5:$U49,$U49,$V$5:$V49,"Sub"))))</f>
        <v/>
      </c>
      <c r="B49" s="57" t="n"/>
      <c r="C49" s="58" t="n"/>
      <c r="D49" s="58" t="n"/>
      <c r="E49" s="59">
        <f>IF(N($AL49)&gt;0,INDEX(rIni_ADM,$AL49),"")</f>
        <v/>
      </c>
      <c r="F49" s="59">
        <f>IF(N($AL49)&gt;0,INDEX(rLim_ADM,$AL49),"")</f>
        <v/>
      </c>
      <c r="G49" s="59" t="n"/>
      <c r="H49" s="60" t="n"/>
      <c r="I49" s="60" t="n"/>
      <c r="J49" s="60" t="n"/>
      <c r="K49" s="60" t="n"/>
      <c r="L49" s="60" t="n"/>
      <c r="M49" s="61">
        <f>IF(NOT((COUNTA($B49:$D49)+COUNTA($G49:$L49)+COUNTA($Q49))&gt;0),"",IF($V49="Sub",IFERROR($X49/INDEX($W$5:$W$1000,$U49-4),""),IF(ISNUMBER($G49),1,IF(N($W49)&gt;0,AVERAGEIFS($X$5:$X$1000,$U$5:$U$1000,ROW(),$V$5:$V$1000,"Sub"),$X49))))</f>
        <v/>
      </c>
      <c r="N49" s="56">
        <f>IF(OR($M49="",$V49="Sub"),"",IF($M49&gt;=1,"Completado",IF($M49&gt;0,"En curso","Pendiente")))</f>
        <v/>
      </c>
      <c r="O49" s="56">
        <f>IF(OR(NOT((COUNTA($B49:$D49)+COUNTA($G49:$L49)+COUNTA($Q49))&gt;0),$V49="Sub"),"",IF(ISNUMBER($G49),IF(AND(ISNUMBER($AN49),$G49&gt;$AN49),"Cumplida con "&amp;($G49-$AN49)&amp;IF($G49-$AN49=1," día"," días")&amp;" de retraso","Cumplida"),IF(N($M49)&gt;=1,"Cumplida",IF(NOT(ISNUMBER($AN49)),"Sin fecha límite",IF($AN49&lt;FechaRef,"Vencida hace "&amp;(FechaRef-$AN49)&amp;IF(FechaRef-$AN49=1," día"," días"),IF($AN49=FechaRef,"Vence hoy",IF($AN49-FechaRef&lt;=DiasAlerta,"Vence en "&amp;($AN49-FechaRef)&amp;IF($AN49-FechaRef=1," día"," días"),"En plazo")))))))</f>
        <v/>
      </c>
      <c r="P49" s="62" t="n"/>
      <c r="Q49" s="58" t="n"/>
      <c r="R49" s="63">
        <f>IF(NOT((COUNTA($B49:$D49)+COUNTA($G49:$L49)+COUNTA($Q49))&gt;0),"",IF((IF($C49="","Falta el nombre de la actividad"&amp;" · ","")&amp;IF(AND($V49="Sub",N($U49)=0),"Subactividad sin macroactividad arriba"&amp;" · ","")&amp;IF($AM49="","Sin fecha de inicio"&amp;" · ","")&amp;IF($AN49="","Sin fecha límite"&amp;" · ","")&amp;IF(AND(LEFT($C49,11)="[Jefatura] ",N($AL49)=0),"No se encuentra en la hoja de la jefatura (elíjala de nuevo en la lista)"&amp;" · ","")&amp;IF(OR(AND($E49&lt;&gt;"",NOT(ISNUMBER($E49))),AND($F49&lt;&gt;"",NOT(ISNUMBER($F49))),AND($G49&lt;&gt;"",NOT(ISNUMBER($G49)))),"Fecha no válida"&amp;" · ","")&amp;IF(AND(ISNUMBER($AM49),ISNUMBER($AN49),$AM49&gt;$AN49),"Inicio posterior a fecha límite"&amp;" · ","")&amp;IF(AND($V49="Macro",$H49&lt;&gt;"",OR(NOT(ISNUMBER($H49)),$H49&lt;0,$H49&gt;1)),"Peso fuera de rango"&amp;" · ","")&amp;IF(AND($V49="Sub",$H49&lt;&gt;""),"Las subactividades no llevan peso (valen igual dentro de su macroactividad)"&amp;" · ","")&amp;IF(AND(N($W49)&gt;0,COUNT($I49:$L49)&gt;0),"Con subactividades: deje vacías las semanas (se calculan solas)"&amp;" · ","")&amp;IF((COUNTIF($I49:$L49,"&gt;1")+COUNTIF($I49:$L49,"&lt;0")+COUNTA($I49:$L49)-COUNT($I49:$L49))&gt;0,"Avance fuera de rango 0-100%"&amp;" · ","")&amp;IF(OR(AND($J49&lt;&gt;"",$J49&lt;$I49),AND($K49&lt;&gt;"",$K49&lt;MAX($I49:$J49)),AND($L49&lt;&gt;"",$L49&lt;MAX($I49:$K49))),"Avance semanal decreciente"&amp;" · ","")&amp;IF(AND(ISNUMBER($AN49),$AN49&lt;FechaRef,IF($V49="Sub",N($X49),N($M49))&lt;1),"Vencida"&amp;" · ","")&amp;IF(AND(ObsObligatoria="Sí",ISNUMBER($AN49),$AN49&lt;FechaRef,IF($V49="Sub",N($X49),N($M49))&lt;1,$Q49=""),"Vencida sin observación"&amp;" · ",""))="","✔ OK","⚠ "&amp;LEFT(IF($C49="","Falta el nombre de la actividad"&amp;" · ","")&amp;IF(AND($V49="Sub",N($U49)=0),"Subactividad sin macroactividad arriba"&amp;" · ","")&amp;IF($AM49="","Sin fecha de inicio"&amp;" · ","")&amp;IF($AN49="","Sin fecha límite"&amp;" · ","")&amp;IF(AND(LEFT($C49,11)="[Jefatura] ",N($AL49)=0),"No se encuentra en la hoja de la jefatura (elíjala de nuevo en la lista)"&amp;" · ","")&amp;IF(OR(AND($E49&lt;&gt;"",NOT(ISNUMBER($E49))),AND($F49&lt;&gt;"",NOT(ISNUMBER($F49))),AND($G49&lt;&gt;"",NOT(ISNUMBER($G49)))),"Fecha no válida"&amp;" · ","")&amp;IF(AND(ISNUMBER($AM49),ISNUMBER($AN49),$AM49&gt;$AN49),"Inicio posterior a fecha límite"&amp;" · ","")&amp;IF(AND($V49="Macro",$H49&lt;&gt;"",OR(NOT(ISNUMBER($H49)),$H49&lt;0,$H49&gt;1)),"Peso fuera de rango"&amp;" · ","")&amp;IF(AND($V49="Sub",$H49&lt;&gt;""),"Las subactividades no llevan peso (valen igual dentro de su macroactividad)"&amp;" · ","")&amp;IF(AND(N($W49)&gt;0,COUNT($I49:$L49)&gt;0),"Con subactividades: deje vacías las semanas (se calculan solas)"&amp;" · ","")&amp;IF((COUNTIF($I49:$L49,"&gt;1")+COUNTIF($I49:$L49,"&lt;0")+COUNTA($I49:$L49)-COUNT($I49:$L49))&gt;0,"Avance fuera de rango 0-100%"&amp;" · ","")&amp;IF(OR(AND($J49&lt;&gt;"",$J49&lt;$I49),AND($K49&lt;&gt;"",$K49&lt;MAX($I49:$J49)),AND($L49&lt;&gt;"",$L49&lt;MAX($I49:$K49))),"Avance semanal decreciente"&amp;" · ","")&amp;IF(AND(ISNUMBER($AN49),$AN49&lt;FechaRef,IF($V49="Sub",N($X49),N($M49))&lt;1),"Vencida"&amp;" · ","")&amp;IF(AND(ObsObligatoria="Sí",ISNUMBER($AN49),$AN49&lt;FechaRef,IF($V49="Sub",N($X49),N($M49))&lt;1,$Q49=""),"Vencida sin observación"&amp;" · ",""),LEN(IF($C49="","Falta el nombre de la actividad"&amp;" · ","")&amp;IF(AND($V49="Sub",N($U49)=0),"Subactividad sin macroactividad arriba"&amp;" · ","")&amp;IF($AM49="","Sin fecha de inicio"&amp;" · ","")&amp;IF($AN49="","Sin fecha límite"&amp;" · ","")&amp;IF(AND(LEFT($C49,11)="[Jefatura] ",N($AL49)=0),"No se encuentra en la hoja de la jefatura (elíjala de nuevo en la lista)"&amp;" · ","")&amp;IF(OR(AND($E49&lt;&gt;"",NOT(ISNUMBER($E49))),AND($F49&lt;&gt;"",NOT(ISNUMBER($F49))),AND($G49&lt;&gt;"",NOT(ISNUMBER($G49)))),"Fecha no válida"&amp;" · ","")&amp;IF(AND(ISNUMBER($AM49),ISNUMBER($AN49),$AM49&gt;$AN49),"Inicio posterior a fecha límite"&amp;" · ","")&amp;IF(AND($V49="Macro",$H49&lt;&gt;"",OR(NOT(ISNUMBER($H49)),$H49&lt;0,$H49&gt;1)),"Peso fuera de rango"&amp;" · ","")&amp;IF(AND($V49="Sub",$H49&lt;&gt;""),"Las subactividades no llevan peso (valen igual dentro de su macroactividad)"&amp;" · ","")&amp;IF(AND(N($W49)&gt;0,COUNT($I49:$L49)&gt;0),"Con subactividades: deje vacías las semanas (se calculan solas)"&amp;" · ","")&amp;IF((COUNTIF($I49:$L49,"&gt;1")+COUNTIF($I49:$L49,"&lt;0")+COUNTA($I49:$L49)-COUNT($I49:$L49))&gt;0,"Avance fuera de rango 0-100%"&amp;" · ","")&amp;IF(OR(AND($J49&lt;&gt;"",$J49&lt;$I49),AND($K49&lt;&gt;"",$K49&lt;MAX($I49:$J49)),AND($L49&lt;&gt;"",$L49&lt;MAX($I49:$K49))),"Avance semanal decreciente"&amp;" · ","")&amp;IF(AND(ISNUMBER($AN49),$AN49&lt;FechaRef,IF($V49="Sub",N($X49),N($M49))&lt;1),"Vencida"&amp;" · ","")&amp;IF(AND(ObsObligatoria="Sí",ISNUMBER($AN49),$AN49&lt;FechaRef,IF($V49="Sub",N($X49),N($M49))&lt;1,$Q49=""),"Vencida sin observación"&amp;" · ",""))-3)))</f>
        <v/>
      </c>
      <c r="S49" s="64">
        <f>IF(NOT((COUNTA($B49:$D49)+COUNTA($G49:$L49)+COUNTA($Q49))&gt;0),"",IF(AND($V49="Sub",N($U49)&gt;0),IF(ISNUMBER(INDEX($AM$5:$AM$1000,$U49-4)),DATE(YEAR(INDEX($AM$5:$AM$1000,$U49-4)),MONTH(INDEX($AM$5:$AM$1000,$U49-4)),1),IF(ISNUMBER(INDEX($AN$5:$AN$1000,$U49-4)),DATE(YEAR(INDEX($AN$5:$AN$1000,$U49-4)),MONTH(INDEX($AN$5:$AN$1000,$U49-4)),1),MesCiclo)),IF(ISNUMBER($AM49),DATE(YEAR($AM49),MONTH($AM49),1),IF(ISNUMBER($AN49),DATE(YEAR($AN49),MONTH($AN49),1),MesCiclo))))</f>
        <v/>
      </c>
      <c r="T49" s="62">
        <f>IF(OR($S49="",$S49&lt;&gt;MesCiclo,$V49&lt;&gt;"Macro"),"",COUNTIFS($S$5:$S49,MesCiclo,$V$5:$V49,"Macro"))</f>
        <v/>
      </c>
      <c r="U49" s="62">
        <f>IF($V49="","",IF($V49="Macro",ROW(),IFERROR(LOOKUP(2,1/($V$5:$V49="Macro"),ROW($V$5:$V49)),0)))</f>
        <v/>
      </c>
      <c r="V49" s="62">
        <f>IF(NOT((COUNTA($B49:$D49)+COUNTA($G49:$L49)+COUNTA($Q49))&gt;0),"",IF($B49="Subactividad","Sub","Macro"))</f>
        <v/>
      </c>
      <c r="W49" s="62">
        <f>IF($V49="Macro",COUNTIFS($U$5:$U$1000,ROW(),$V$5:$V$1000,"Sub"),"")</f>
        <v/>
      </c>
      <c r="X49" s="62">
        <f>IF($V49="","",IF(ISNUMBER($G49),1,IFERROR(LOOKUP(2,1/($I49:$L49&lt;&gt;""),$I49:$L49),0)))</f>
        <v/>
      </c>
      <c r="Y49" s="62">
        <f>IF($V49="","",IF(AND(ISNUMBER($G49),$G49&lt;=IF($S49=MesCiclo,InicioCiclo,$S49+MOD(2-WEEKDAY($S49),7))+6),1,IF(ISNUMBER($I49),$I49,0)))</f>
        <v/>
      </c>
      <c r="Z49" s="62">
        <f>IF($V49="","",IF(AND(ISNUMBER($G49),$G49&lt;=IF($S49=MesCiclo,InicioCiclo,$S49+MOD(2-WEEKDAY($S49),7))+13),1,IF(ISNUMBER($J49),$J49,$Y49)))</f>
        <v/>
      </c>
      <c r="AA49" s="62">
        <f>IF($V49="","",IF(AND(ISNUMBER($G49),$G49&lt;=IF($S49=MesCiclo,InicioCiclo,$S49+MOD(2-WEEKDAY($S49),7))+20),1,IF(ISNUMBER($K49),$K49,$Z49)))</f>
        <v/>
      </c>
      <c r="AB49" s="62">
        <f>IF($V49="","",IF(AND(ISNUMBER($G49),$G49&lt;=IF($S49=MesCiclo,InicioCiclo,$S49+MOD(2-WEEKDAY($S49),7))+27),1,IF(ISNUMBER($L49),$L49,$AA49)))</f>
        <v/>
      </c>
      <c r="AC49" s="62">
        <f>IF($V49="","",IF(AND(ISNUMBER($G49),$G49&lt;=IF($S49=MesCiclo,InicioCiclo,$S49+MOD(2-WEEKDAY($S49),7))+6),1,IF(N($W49)&gt;0,AVERAGEIFS($Y$5:$Y$1000,$U$5:$U$1000,ROW(),$V$5:$V$1000,"Sub"),$Y49)))</f>
        <v/>
      </c>
      <c r="AD49" s="62">
        <f>IF($V49="","",IF(AND(ISNUMBER($G49),$G49&lt;=IF($S49=MesCiclo,InicioCiclo,$S49+MOD(2-WEEKDAY($S49),7))+13),1,IF(N($W49)&gt;0,AVERAGEIFS($Z$5:$Z$1000,$U$5:$U$1000,ROW(),$V$5:$V$1000,"Sub"),$Z49)))</f>
        <v/>
      </c>
      <c r="AE49" s="62">
        <f>IF($V49="","",IF(AND(ISNUMBER($G49),$G49&lt;=IF($S49=MesCiclo,InicioCiclo,$S49+MOD(2-WEEKDAY($S49),7))+20),1,IF(N($W49)&gt;0,AVERAGEIFS($AA$5:$AA$1000,$U$5:$U$1000,ROW(),$V$5:$V$1000,"Sub"),$AA49)))</f>
        <v/>
      </c>
      <c r="AF49" s="62">
        <f>IF($V49="","",IF(AND(ISNUMBER($G49),$G49&lt;=IF($S49=MesCiclo,InicioCiclo,$S49+MOD(2-WEEKDAY($S49),7))+27),1,IF(N($W49)&gt;0,AVERAGEIFS($AB$5:$AB$1000,$U$5:$U$1000,ROW(),$V$5:$V$1000,"Sub"),$AB49)))</f>
        <v/>
      </c>
      <c r="AG49" s="62">
        <f>IF($V49&lt;&gt;"Macro","",IF(COUNTIFS($S$5:$S$1000,$S49,$V$5:$V$1000,"Macro",$H$5:$H$1000,"&gt;0")=0,1/COUNTIFS($S$5:$S$1000,$S49,$V$5:$V$1000,"Macro"),IF(AND(ISNUMBER($H49),N($H49)&gt;0),$H49,SUMIFS($H$5:$H$1000,$S$5:$S$1000,$S49,$V$5:$V$1000,"Macro")/COUNTIFS($S$5:$S$1000,$S49,$V$5:$V$1000,"Macro",$H$5:$H$1000,"&gt;0"))/(COUNTIFS($S$5:$S$1000,$S49,$V$5:$V$1000,"Macro")*SUMIFS($H$5:$H$1000,$S$5:$S$1000,$S49,$V$5:$V$1000,"Macro")/COUNTIFS($S$5:$S$1000,$S49,$V$5:$V$1000,"Macro",$H$5:$H$1000,"&gt;0"))))</f>
        <v/>
      </c>
      <c r="AH49" s="62" t="n"/>
      <c r="AI49" s="62" t="n"/>
      <c r="AJ49" s="62" t="n"/>
      <c r="AK49" s="62" t="n"/>
      <c r="AL49" s="62">
        <f>IF(LEFT($C49,11)="[Jefatura] ",IFERROR(MATCH("Riesgo Financiero|"&amp;MID($C49,12,500),rDname_ADM,0),0),"")</f>
        <v/>
      </c>
      <c r="AM49" s="62">
        <f>IF(N($AL49)&gt;0,INDEX(rIni_ADM,$AL49),IF(ISNUMBER($E49),$E49,""))</f>
        <v/>
      </c>
      <c r="AN49" s="62">
        <f>IF(N($AL49)&gt;0,INDEX(rLim_ADM,$AL49),IF(ISNUMBER($F49),$F49,""))</f>
        <v/>
      </c>
    </row>
    <row r="50">
      <c r="A50" s="56">
        <f>IF(NOT((COUNTA($B50:$D50)+COUNTA($G50:$L50)+COUNTA($Q50))&gt;0),"",IF($V50="Macro",COUNTIFS($V$5:$V50,"Macro",$S$5:$S50,$S50),IF(N($U50)=0,"?",COUNTIFS(INDEX($V$5:$V$1000,1):INDEX($V$5:$V$1000,$U50-4),"Macro",INDEX($S$5:$S$1000,1):INDEX($S$5:$S$1000,$U50-4),INDEX($S$5:$S$1000,$U50-4))&amp;"."&amp;COUNTIFS($U$5:$U50,$U50,$V$5:$V50,"Sub"))))</f>
        <v/>
      </c>
      <c r="B50" s="57" t="n"/>
      <c r="C50" s="58" t="n"/>
      <c r="D50" s="58" t="n"/>
      <c r="E50" s="59">
        <f>IF(N($AL50)&gt;0,INDEX(rIni_ADM,$AL50),"")</f>
        <v/>
      </c>
      <c r="F50" s="59">
        <f>IF(N($AL50)&gt;0,INDEX(rLim_ADM,$AL50),"")</f>
        <v/>
      </c>
      <c r="G50" s="59" t="n"/>
      <c r="H50" s="60" t="n"/>
      <c r="I50" s="60" t="n"/>
      <c r="J50" s="60" t="n"/>
      <c r="K50" s="60" t="n"/>
      <c r="L50" s="60" t="n"/>
      <c r="M50" s="61">
        <f>IF(NOT((COUNTA($B50:$D50)+COUNTA($G50:$L50)+COUNTA($Q50))&gt;0),"",IF($V50="Sub",IFERROR($X50/INDEX($W$5:$W$1000,$U50-4),""),IF(ISNUMBER($G50),1,IF(N($W50)&gt;0,AVERAGEIFS($X$5:$X$1000,$U$5:$U$1000,ROW(),$V$5:$V$1000,"Sub"),$X50))))</f>
        <v/>
      </c>
      <c r="N50" s="56">
        <f>IF(OR($M50="",$V50="Sub"),"",IF($M50&gt;=1,"Completado",IF($M50&gt;0,"En curso","Pendiente")))</f>
        <v/>
      </c>
      <c r="O50" s="56">
        <f>IF(OR(NOT((COUNTA($B50:$D50)+COUNTA($G50:$L50)+COUNTA($Q50))&gt;0),$V50="Sub"),"",IF(ISNUMBER($G50),IF(AND(ISNUMBER($AN50),$G50&gt;$AN50),"Cumplida con "&amp;($G50-$AN50)&amp;IF($G50-$AN50=1," día"," días")&amp;" de retraso","Cumplida"),IF(N($M50)&gt;=1,"Cumplida",IF(NOT(ISNUMBER($AN50)),"Sin fecha límite",IF($AN50&lt;FechaRef,"Vencida hace "&amp;(FechaRef-$AN50)&amp;IF(FechaRef-$AN50=1," día"," días"),IF($AN50=FechaRef,"Vence hoy",IF($AN50-FechaRef&lt;=DiasAlerta,"Vence en "&amp;($AN50-FechaRef)&amp;IF($AN50-FechaRef=1," día"," días"),"En plazo")))))))</f>
        <v/>
      </c>
      <c r="P50" s="62" t="n"/>
      <c r="Q50" s="58" t="n"/>
      <c r="R50" s="63">
        <f>IF(NOT((COUNTA($B50:$D50)+COUNTA($G50:$L50)+COUNTA($Q50))&gt;0),"",IF((IF($C50="","Falta el nombre de la actividad"&amp;" · ","")&amp;IF(AND($V50="Sub",N($U50)=0),"Subactividad sin macroactividad arriba"&amp;" · ","")&amp;IF($AM50="","Sin fecha de inicio"&amp;" · ","")&amp;IF($AN50="","Sin fecha límite"&amp;" · ","")&amp;IF(AND(LEFT($C50,11)="[Jefatura] ",N($AL50)=0),"No se encuentra en la hoja de la jefatura (elíjala de nuevo en la lista)"&amp;" · ","")&amp;IF(OR(AND($E50&lt;&gt;"",NOT(ISNUMBER($E50))),AND($F50&lt;&gt;"",NOT(ISNUMBER($F50))),AND($G50&lt;&gt;"",NOT(ISNUMBER($G50)))),"Fecha no válida"&amp;" · ","")&amp;IF(AND(ISNUMBER($AM50),ISNUMBER($AN50),$AM50&gt;$AN50),"Inicio posterior a fecha límite"&amp;" · ","")&amp;IF(AND($V50="Macro",$H50&lt;&gt;"",OR(NOT(ISNUMBER($H50)),$H50&lt;0,$H50&gt;1)),"Peso fuera de rango"&amp;" · ","")&amp;IF(AND($V50="Sub",$H50&lt;&gt;""),"Las subactividades no llevan peso (valen igual dentro de su macroactividad)"&amp;" · ","")&amp;IF(AND(N($W50)&gt;0,COUNT($I50:$L50)&gt;0),"Con subactividades: deje vacías las semanas (se calculan solas)"&amp;" · ","")&amp;IF((COUNTIF($I50:$L50,"&gt;1")+COUNTIF($I50:$L50,"&lt;0")+COUNTA($I50:$L50)-COUNT($I50:$L50))&gt;0,"Avance fuera de rango 0-100%"&amp;" · ","")&amp;IF(OR(AND($J50&lt;&gt;"",$J50&lt;$I50),AND($K50&lt;&gt;"",$K50&lt;MAX($I50:$J50)),AND($L50&lt;&gt;"",$L50&lt;MAX($I50:$K50))),"Avance semanal decreciente"&amp;" · ","")&amp;IF(AND(ISNUMBER($AN50),$AN50&lt;FechaRef,IF($V50="Sub",N($X50),N($M50))&lt;1),"Vencida"&amp;" · ","")&amp;IF(AND(ObsObligatoria="Sí",ISNUMBER($AN50),$AN50&lt;FechaRef,IF($V50="Sub",N($X50),N($M50))&lt;1,$Q50=""),"Vencida sin observación"&amp;" · ",""))="","✔ OK","⚠ "&amp;LEFT(IF($C50="","Falta el nombre de la actividad"&amp;" · ","")&amp;IF(AND($V50="Sub",N($U50)=0),"Subactividad sin macroactividad arriba"&amp;" · ","")&amp;IF($AM50="","Sin fecha de inicio"&amp;" · ","")&amp;IF($AN50="","Sin fecha límite"&amp;" · ","")&amp;IF(AND(LEFT($C50,11)="[Jefatura] ",N($AL50)=0),"No se encuentra en la hoja de la jefatura (elíjala de nuevo en la lista)"&amp;" · ","")&amp;IF(OR(AND($E50&lt;&gt;"",NOT(ISNUMBER($E50))),AND($F50&lt;&gt;"",NOT(ISNUMBER($F50))),AND($G50&lt;&gt;"",NOT(ISNUMBER($G50)))),"Fecha no válida"&amp;" · ","")&amp;IF(AND(ISNUMBER($AM50),ISNUMBER($AN50),$AM50&gt;$AN50),"Inicio posterior a fecha límite"&amp;" · ","")&amp;IF(AND($V50="Macro",$H50&lt;&gt;"",OR(NOT(ISNUMBER($H50)),$H50&lt;0,$H50&gt;1)),"Peso fuera de rango"&amp;" · ","")&amp;IF(AND($V50="Sub",$H50&lt;&gt;""),"Las subactividades no llevan peso (valen igual dentro de su macroactividad)"&amp;" · ","")&amp;IF(AND(N($W50)&gt;0,COUNT($I50:$L50)&gt;0),"Con subactividades: deje vacías las semanas (se calculan solas)"&amp;" · ","")&amp;IF((COUNTIF($I50:$L50,"&gt;1")+COUNTIF($I50:$L50,"&lt;0")+COUNTA($I50:$L50)-COUNT($I50:$L50))&gt;0,"Avance fuera de rango 0-100%"&amp;" · ","")&amp;IF(OR(AND($J50&lt;&gt;"",$J50&lt;$I50),AND($K50&lt;&gt;"",$K50&lt;MAX($I50:$J50)),AND($L50&lt;&gt;"",$L50&lt;MAX($I50:$K50))),"Avance semanal decreciente"&amp;" · ","")&amp;IF(AND(ISNUMBER($AN50),$AN50&lt;FechaRef,IF($V50="Sub",N($X50),N($M50))&lt;1),"Vencida"&amp;" · ","")&amp;IF(AND(ObsObligatoria="Sí",ISNUMBER($AN50),$AN50&lt;FechaRef,IF($V50="Sub",N($X50),N($M50))&lt;1,$Q50=""),"Vencida sin observación"&amp;" · ",""),LEN(IF($C50="","Falta el nombre de la actividad"&amp;" · ","")&amp;IF(AND($V50="Sub",N($U50)=0),"Subactividad sin macroactividad arriba"&amp;" · ","")&amp;IF($AM50="","Sin fecha de inicio"&amp;" · ","")&amp;IF($AN50="","Sin fecha límite"&amp;" · ","")&amp;IF(AND(LEFT($C50,11)="[Jefatura] ",N($AL50)=0),"No se encuentra en la hoja de la jefatura (elíjala de nuevo en la lista)"&amp;" · ","")&amp;IF(OR(AND($E50&lt;&gt;"",NOT(ISNUMBER($E50))),AND($F50&lt;&gt;"",NOT(ISNUMBER($F50))),AND($G50&lt;&gt;"",NOT(ISNUMBER($G50)))),"Fecha no válida"&amp;" · ","")&amp;IF(AND(ISNUMBER($AM50),ISNUMBER($AN50),$AM50&gt;$AN50),"Inicio posterior a fecha límite"&amp;" · ","")&amp;IF(AND($V50="Macro",$H50&lt;&gt;"",OR(NOT(ISNUMBER($H50)),$H50&lt;0,$H50&gt;1)),"Peso fuera de rango"&amp;" · ","")&amp;IF(AND($V50="Sub",$H50&lt;&gt;""),"Las subactividades no llevan peso (valen igual dentro de su macroactividad)"&amp;" · ","")&amp;IF(AND(N($W50)&gt;0,COUNT($I50:$L50)&gt;0),"Con subactividades: deje vacías las semanas (se calculan solas)"&amp;" · ","")&amp;IF((COUNTIF($I50:$L50,"&gt;1")+COUNTIF($I50:$L50,"&lt;0")+COUNTA($I50:$L50)-COUNT($I50:$L50))&gt;0,"Avance fuera de rango 0-100%"&amp;" · ","")&amp;IF(OR(AND($J50&lt;&gt;"",$J50&lt;$I50),AND($K50&lt;&gt;"",$K50&lt;MAX($I50:$J50)),AND($L50&lt;&gt;"",$L50&lt;MAX($I50:$K50))),"Avance semanal decreciente"&amp;" · ","")&amp;IF(AND(ISNUMBER($AN50),$AN50&lt;FechaRef,IF($V50="Sub",N($X50),N($M50))&lt;1),"Vencida"&amp;" · ","")&amp;IF(AND(ObsObligatoria="Sí",ISNUMBER($AN50),$AN50&lt;FechaRef,IF($V50="Sub",N($X50),N($M50))&lt;1,$Q50=""),"Vencida sin observación"&amp;" · ",""))-3)))</f>
        <v/>
      </c>
      <c r="S50" s="64">
        <f>IF(NOT((COUNTA($B50:$D50)+COUNTA($G50:$L50)+COUNTA($Q50))&gt;0),"",IF(AND($V50="Sub",N($U50)&gt;0),IF(ISNUMBER(INDEX($AM$5:$AM$1000,$U50-4)),DATE(YEAR(INDEX($AM$5:$AM$1000,$U50-4)),MONTH(INDEX($AM$5:$AM$1000,$U50-4)),1),IF(ISNUMBER(INDEX($AN$5:$AN$1000,$U50-4)),DATE(YEAR(INDEX($AN$5:$AN$1000,$U50-4)),MONTH(INDEX($AN$5:$AN$1000,$U50-4)),1),MesCiclo)),IF(ISNUMBER($AM50),DATE(YEAR($AM50),MONTH($AM50),1),IF(ISNUMBER($AN50),DATE(YEAR($AN50),MONTH($AN50),1),MesCiclo))))</f>
        <v/>
      </c>
      <c r="T50" s="62">
        <f>IF(OR($S50="",$S50&lt;&gt;MesCiclo,$V50&lt;&gt;"Macro"),"",COUNTIFS($S$5:$S50,MesCiclo,$V$5:$V50,"Macro"))</f>
        <v/>
      </c>
      <c r="U50" s="62">
        <f>IF($V50="","",IF($V50="Macro",ROW(),IFERROR(LOOKUP(2,1/($V$5:$V50="Macro"),ROW($V$5:$V50)),0)))</f>
        <v/>
      </c>
      <c r="V50" s="62">
        <f>IF(NOT((COUNTA($B50:$D50)+COUNTA($G50:$L50)+COUNTA($Q50))&gt;0),"",IF($B50="Subactividad","Sub","Macro"))</f>
        <v/>
      </c>
      <c r="W50" s="62">
        <f>IF($V50="Macro",COUNTIFS($U$5:$U$1000,ROW(),$V$5:$V$1000,"Sub"),"")</f>
        <v/>
      </c>
      <c r="X50" s="62">
        <f>IF($V50="","",IF(ISNUMBER($G50),1,IFERROR(LOOKUP(2,1/($I50:$L50&lt;&gt;""),$I50:$L50),0)))</f>
        <v/>
      </c>
      <c r="Y50" s="62">
        <f>IF($V50="","",IF(AND(ISNUMBER($G50),$G50&lt;=IF($S50=MesCiclo,InicioCiclo,$S50+MOD(2-WEEKDAY($S50),7))+6),1,IF(ISNUMBER($I50),$I50,0)))</f>
        <v/>
      </c>
      <c r="Z50" s="62">
        <f>IF($V50="","",IF(AND(ISNUMBER($G50),$G50&lt;=IF($S50=MesCiclo,InicioCiclo,$S50+MOD(2-WEEKDAY($S50),7))+13),1,IF(ISNUMBER($J50),$J50,$Y50)))</f>
        <v/>
      </c>
      <c r="AA50" s="62">
        <f>IF($V50="","",IF(AND(ISNUMBER($G50),$G50&lt;=IF($S50=MesCiclo,InicioCiclo,$S50+MOD(2-WEEKDAY($S50),7))+20),1,IF(ISNUMBER($K50),$K50,$Z50)))</f>
        <v/>
      </c>
      <c r="AB50" s="62">
        <f>IF($V50="","",IF(AND(ISNUMBER($G50),$G50&lt;=IF($S50=MesCiclo,InicioCiclo,$S50+MOD(2-WEEKDAY($S50),7))+27),1,IF(ISNUMBER($L50),$L50,$AA50)))</f>
        <v/>
      </c>
      <c r="AC50" s="62">
        <f>IF($V50="","",IF(AND(ISNUMBER($G50),$G50&lt;=IF($S50=MesCiclo,InicioCiclo,$S50+MOD(2-WEEKDAY($S50),7))+6),1,IF(N($W50)&gt;0,AVERAGEIFS($Y$5:$Y$1000,$U$5:$U$1000,ROW(),$V$5:$V$1000,"Sub"),$Y50)))</f>
        <v/>
      </c>
      <c r="AD50" s="62">
        <f>IF($V50="","",IF(AND(ISNUMBER($G50),$G50&lt;=IF($S50=MesCiclo,InicioCiclo,$S50+MOD(2-WEEKDAY($S50),7))+13),1,IF(N($W50)&gt;0,AVERAGEIFS($Z$5:$Z$1000,$U$5:$U$1000,ROW(),$V$5:$V$1000,"Sub"),$Z50)))</f>
        <v/>
      </c>
      <c r="AE50" s="62">
        <f>IF($V50="","",IF(AND(ISNUMBER($G50),$G50&lt;=IF($S50=MesCiclo,InicioCiclo,$S50+MOD(2-WEEKDAY($S50),7))+20),1,IF(N($W50)&gt;0,AVERAGEIFS($AA$5:$AA$1000,$U$5:$U$1000,ROW(),$V$5:$V$1000,"Sub"),$AA50)))</f>
        <v/>
      </c>
      <c r="AF50" s="62">
        <f>IF($V50="","",IF(AND(ISNUMBER($G50),$G50&lt;=IF($S50=MesCiclo,InicioCiclo,$S50+MOD(2-WEEKDAY($S50),7))+27),1,IF(N($W50)&gt;0,AVERAGEIFS($AB$5:$AB$1000,$U$5:$U$1000,ROW(),$V$5:$V$1000,"Sub"),$AB50)))</f>
        <v/>
      </c>
      <c r="AG50" s="62">
        <f>IF($V50&lt;&gt;"Macro","",IF(COUNTIFS($S$5:$S$1000,$S50,$V$5:$V$1000,"Macro",$H$5:$H$1000,"&gt;0")=0,1/COUNTIFS($S$5:$S$1000,$S50,$V$5:$V$1000,"Macro"),IF(AND(ISNUMBER($H50),N($H50)&gt;0),$H50,SUMIFS($H$5:$H$1000,$S$5:$S$1000,$S50,$V$5:$V$1000,"Macro")/COUNTIFS($S$5:$S$1000,$S50,$V$5:$V$1000,"Macro",$H$5:$H$1000,"&gt;0"))/(COUNTIFS($S$5:$S$1000,$S50,$V$5:$V$1000,"Macro")*SUMIFS($H$5:$H$1000,$S$5:$S$1000,$S50,$V$5:$V$1000,"Macro")/COUNTIFS($S$5:$S$1000,$S50,$V$5:$V$1000,"Macro",$H$5:$H$1000,"&gt;0"))))</f>
        <v/>
      </c>
      <c r="AH50" s="62" t="n"/>
      <c r="AI50" s="62" t="n"/>
      <c r="AJ50" s="62" t="n"/>
      <c r="AK50" s="62" t="n"/>
      <c r="AL50" s="62">
        <f>IF(LEFT($C50,11)="[Jefatura] ",IFERROR(MATCH("Riesgo Financiero|"&amp;MID($C50,12,500),rDname_ADM,0),0),"")</f>
        <v/>
      </c>
      <c r="AM50" s="62">
        <f>IF(N($AL50)&gt;0,INDEX(rIni_ADM,$AL50),IF(ISNUMBER($E50),$E50,""))</f>
        <v/>
      </c>
      <c r="AN50" s="62">
        <f>IF(N($AL50)&gt;0,INDEX(rLim_ADM,$AL50),IF(ISNUMBER($F50),$F50,""))</f>
        <v/>
      </c>
    </row>
    <row r="51">
      <c r="A51" s="56">
        <f>IF(NOT((COUNTA($B51:$D51)+COUNTA($G51:$L51)+COUNTA($Q51))&gt;0),"",IF($V51="Macro",COUNTIFS($V$5:$V51,"Macro",$S$5:$S51,$S51),IF(N($U51)=0,"?",COUNTIFS(INDEX($V$5:$V$1000,1):INDEX($V$5:$V$1000,$U51-4),"Macro",INDEX($S$5:$S$1000,1):INDEX($S$5:$S$1000,$U51-4),INDEX($S$5:$S$1000,$U51-4))&amp;"."&amp;COUNTIFS($U$5:$U51,$U51,$V$5:$V51,"Sub"))))</f>
        <v/>
      </c>
      <c r="B51" s="57" t="n"/>
      <c r="C51" s="58" t="n"/>
      <c r="D51" s="58" t="n"/>
      <c r="E51" s="59">
        <f>IF(N($AL51)&gt;0,INDEX(rIni_ADM,$AL51),"")</f>
        <v/>
      </c>
      <c r="F51" s="59">
        <f>IF(N($AL51)&gt;0,INDEX(rLim_ADM,$AL51),"")</f>
        <v/>
      </c>
      <c r="G51" s="59" t="n"/>
      <c r="H51" s="60" t="n"/>
      <c r="I51" s="60" t="n"/>
      <c r="J51" s="60" t="n"/>
      <c r="K51" s="60" t="n"/>
      <c r="L51" s="60" t="n"/>
      <c r="M51" s="61">
        <f>IF(NOT((COUNTA($B51:$D51)+COUNTA($G51:$L51)+COUNTA($Q51))&gt;0),"",IF($V51="Sub",IFERROR($X51/INDEX($W$5:$W$1000,$U51-4),""),IF(ISNUMBER($G51),1,IF(N($W51)&gt;0,AVERAGEIFS($X$5:$X$1000,$U$5:$U$1000,ROW(),$V$5:$V$1000,"Sub"),$X51))))</f>
        <v/>
      </c>
      <c r="N51" s="56">
        <f>IF(OR($M51="",$V51="Sub"),"",IF($M51&gt;=1,"Completado",IF($M51&gt;0,"En curso","Pendiente")))</f>
        <v/>
      </c>
      <c r="O51" s="56">
        <f>IF(OR(NOT((COUNTA($B51:$D51)+COUNTA($G51:$L51)+COUNTA($Q51))&gt;0),$V51="Sub"),"",IF(ISNUMBER($G51),IF(AND(ISNUMBER($AN51),$G51&gt;$AN51),"Cumplida con "&amp;($G51-$AN51)&amp;IF($G51-$AN51=1," día"," días")&amp;" de retraso","Cumplida"),IF(N($M51)&gt;=1,"Cumplida",IF(NOT(ISNUMBER($AN51)),"Sin fecha límite",IF($AN51&lt;FechaRef,"Vencida hace "&amp;(FechaRef-$AN51)&amp;IF(FechaRef-$AN51=1," día"," días"),IF($AN51=FechaRef,"Vence hoy",IF($AN51-FechaRef&lt;=DiasAlerta,"Vence en "&amp;($AN51-FechaRef)&amp;IF($AN51-FechaRef=1," día"," días"),"En plazo")))))))</f>
        <v/>
      </c>
      <c r="P51" s="62" t="n"/>
      <c r="Q51" s="58" t="n"/>
      <c r="R51" s="63">
        <f>IF(NOT((COUNTA($B51:$D51)+COUNTA($G51:$L51)+COUNTA($Q51))&gt;0),"",IF((IF($C51="","Falta el nombre de la actividad"&amp;" · ","")&amp;IF(AND($V51="Sub",N($U51)=0),"Subactividad sin macroactividad arriba"&amp;" · ","")&amp;IF($AM51="","Sin fecha de inicio"&amp;" · ","")&amp;IF($AN51="","Sin fecha límite"&amp;" · ","")&amp;IF(AND(LEFT($C51,11)="[Jefatura] ",N($AL51)=0),"No se encuentra en la hoja de la jefatura (elíjala de nuevo en la lista)"&amp;" · ","")&amp;IF(OR(AND($E51&lt;&gt;"",NOT(ISNUMBER($E51))),AND($F51&lt;&gt;"",NOT(ISNUMBER($F51))),AND($G51&lt;&gt;"",NOT(ISNUMBER($G51)))),"Fecha no válida"&amp;" · ","")&amp;IF(AND(ISNUMBER($AM51),ISNUMBER($AN51),$AM51&gt;$AN51),"Inicio posterior a fecha límite"&amp;" · ","")&amp;IF(AND($V51="Macro",$H51&lt;&gt;"",OR(NOT(ISNUMBER($H51)),$H51&lt;0,$H51&gt;1)),"Peso fuera de rango"&amp;" · ","")&amp;IF(AND($V51="Sub",$H51&lt;&gt;""),"Las subactividades no llevan peso (valen igual dentro de su macroactividad)"&amp;" · ","")&amp;IF(AND(N($W51)&gt;0,COUNT($I51:$L51)&gt;0),"Con subactividades: deje vacías las semanas (se calculan solas)"&amp;" · ","")&amp;IF((COUNTIF($I51:$L51,"&gt;1")+COUNTIF($I51:$L51,"&lt;0")+COUNTA($I51:$L51)-COUNT($I51:$L51))&gt;0,"Avance fuera de rango 0-100%"&amp;" · ","")&amp;IF(OR(AND($J51&lt;&gt;"",$J51&lt;$I51),AND($K51&lt;&gt;"",$K51&lt;MAX($I51:$J51)),AND($L51&lt;&gt;"",$L51&lt;MAX($I51:$K51))),"Avance semanal decreciente"&amp;" · ","")&amp;IF(AND(ISNUMBER($AN51),$AN51&lt;FechaRef,IF($V51="Sub",N($X51),N($M51))&lt;1),"Vencida"&amp;" · ","")&amp;IF(AND(ObsObligatoria="Sí",ISNUMBER($AN51),$AN51&lt;FechaRef,IF($V51="Sub",N($X51),N($M51))&lt;1,$Q51=""),"Vencida sin observación"&amp;" · ",""))="","✔ OK","⚠ "&amp;LEFT(IF($C51="","Falta el nombre de la actividad"&amp;" · ","")&amp;IF(AND($V51="Sub",N($U51)=0),"Subactividad sin macroactividad arriba"&amp;" · ","")&amp;IF($AM51="","Sin fecha de inicio"&amp;" · ","")&amp;IF($AN51="","Sin fecha límite"&amp;" · ","")&amp;IF(AND(LEFT($C51,11)="[Jefatura] ",N($AL51)=0),"No se encuentra en la hoja de la jefatura (elíjala de nuevo en la lista)"&amp;" · ","")&amp;IF(OR(AND($E51&lt;&gt;"",NOT(ISNUMBER($E51))),AND($F51&lt;&gt;"",NOT(ISNUMBER($F51))),AND($G51&lt;&gt;"",NOT(ISNUMBER($G51)))),"Fecha no válida"&amp;" · ","")&amp;IF(AND(ISNUMBER($AM51),ISNUMBER($AN51),$AM51&gt;$AN51),"Inicio posterior a fecha límite"&amp;" · ","")&amp;IF(AND($V51="Macro",$H51&lt;&gt;"",OR(NOT(ISNUMBER($H51)),$H51&lt;0,$H51&gt;1)),"Peso fuera de rango"&amp;" · ","")&amp;IF(AND($V51="Sub",$H51&lt;&gt;""),"Las subactividades no llevan peso (valen igual dentro de su macroactividad)"&amp;" · ","")&amp;IF(AND(N($W51)&gt;0,COUNT($I51:$L51)&gt;0),"Con subactividades: deje vacías las semanas (se calculan solas)"&amp;" · ","")&amp;IF((COUNTIF($I51:$L51,"&gt;1")+COUNTIF($I51:$L51,"&lt;0")+COUNTA($I51:$L51)-COUNT($I51:$L51))&gt;0,"Avance fuera de rango 0-100%"&amp;" · ","")&amp;IF(OR(AND($J51&lt;&gt;"",$J51&lt;$I51),AND($K51&lt;&gt;"",$K51&lt;MAX($I51:$J51)),AND($L51&lt;&gt;"",$L51&lt;MAX($I51:$K51))),"Avance semanal decreciente"&amp;" · ","")&amp;IF(AND(ISNUMBER($AN51),$AN51&lt;FechaRef,IF($V51="Sub",N($X51),N($M51))&lt;1),"Vencida"&amp;" · ","")&amp;IF(AND(ObsObligatoria="Sí",ISNUMBER($AN51),$AN51&lt;FechaRef,IF($V51="Sub",N($X51),N($M51))&lt;1,$Q51=""),"Vencida sin observación"&amp;" · ",""),LEN(IF($C51="","Falta el nombre de la actividad"&amp;" · ","")&amp;IF(AND($V51="Sub",N($U51)=0),"Subactividad sin macroactividad arriba"&amp;" · ","")&amp;IF($AM51="","Sin fecha de inicio"&amp;" · ","")&amp;IF($AN51="","Sin fecha límite"&amp;" · ","")&amp;IF(AND(LEFT($C51,11)="[Jefatura] ",N($AL51)=0),"No se encuentra en la hoja de la jefatura (elíjala de nuevo en la lista)"&amp;" · ","")&amp;IF(OR(AND($E51&lt;&gt;"",NOT(ISNUMBER($E51))),AND($F51&lt;&gt;"",NOT(ISNUMBER($F51))),AND($G51&lt;&gt;"",NOT(ISNUMBER($G51)))),"Fecha no válida"&amp;" · ","")&amp;IF(AND(ISNUMBER($AM51),ISNUMBER($AN51),$AM51&gt;$AN51),"Inicio posterior a fecha límite"&amp;" · ","")&amp;IF(AND($V51="Macro",$H51&lt;&gt;"",OR(NOT(ISNUMBER($H51)),$H51&lt;0,$H51&gt;1)),"Peso fuera de rango"&amp;" · ","")&amp;IF(AND($V51="Sub",$H51&lt;&gt;""),"Las subactividades no llevan peso (valen igual dentro de su macroactividad)"&amp;" · ","")&amp;IF(AND(N($W51)&gt;0,COUNT($I51:$L51)&gt;0),"Con subactividades: deje vacías las semanas (se calculan solas)"&amp;" · ","")&amp;IF((COUNTIF($I51:$L51,"&gt;1")+COUNTIF($I51:$L51,"&lt;0")+COUNTA($I51:$L51)-COUNT($I51:$L51))&gt;0,"Avance fuera de rango 0-100%"&amp;" · ","")&amp;IF(OR(AND($J51&lt;&gt;"",$J51&lt;$I51),AND($K51&lt;&gt;"",$K51&lt;MAX($I51:$J51)),AND($L51&lt;&gt;"",$L51&lt;MAX($I51:$K51))),"Avance semanal decreciente"&amp;" · ","")&amp;IF(AND(ISNUMBER($AN51),$AN51&lt;FechaRef,IF($V51="Sub",N($X51),N($M51))&lt;1),"Vencida"&amp;" · ","")&amp;IF(AND(ObsObligatoria="Sí",ISNUMBER($AN51),$AN51&lt;FechaRef,IF($V51="Sub",N($X51),N($M51))&lt;1,$Q51=""),"Vencida sin observación"&amp;" · ",""))-3)))</f>
        <v/>
      </c>
      <c r="S51" s="64">
        <f>IF(NOT((COUNTA($B51:$D51)+COUNTA($G51:$L51)+COUNTA($Q51))&gt;0),"",IF(AND($V51="Sub",N($U51)&gt;0),IF(ISNUMBER(INDEX($AM$5:$AM$1000,$U51-4)),DATE(YEAR(INDEX($AM$5:$AM$1000,$U51-4)),MONTH(INDEX($AM$5:$AM$1000,$U51-4)),1),IF(ISNUMBER(INDEX($AN$5:$AN$1000,$U51-4)),DATE(YEAR(INDEX($AN$5:$AN$1000,$U51-4)),MONTH(INDEX($AN$5:$AN$1000,$U51-4)),1),MesCiclo)),IF(ISNUMBER($AM51),DATE(YEAR($AM51),MONTH($AM51),1),IF(ISNUMBER($AN51),DATE(YEAR($AN51),MONTH($AN51),1),MesCiclo))))</f>
        <v/>
      </c>
      <c r="T51" s="62">
        <f>IF(OR($S51="",$S51&lt;&gt;MesCiclo,$V51&lt;&gt;"Macro"),"",COUNTIFS($S$5:$S51,MesCiclo,$V$5:$V51,"Macro"))</f>
        <v/>
      </c>
      <c r="U51" s="62">
        <f>IF($V51="","",IF($V51="Macro",ROW(),IFERROR(LOOKUP(2,1/($V$5:$V51="Macro"),ROW($V$5:$V51)),0)))</f>
        <v/>
      </c>
      <c r="V51" s="62">
        <f>IF(NOT((COUNTA($B51:$D51)+COUNTA($G51:$L51)+COUNTA($Q51))&gt;0),"",IF($B51="Subactividad","Sub","Macro"))</f>
        <v/>
      </c>
      <c r="W51" s="62">
        <f>IF($V51="Macro",COUNTIFS($U$5:$U$1000,ROW(),$V$5:$V$1000,"Sub"),"")</f>
        <v/>
      </c>
      <c r="X51" s="62">
        <f>IF($V51="","",IF(ISNUMBER($G51),1,IFERROR(LOOKUP(2,1/($I51:$L51&lt;&gt;""),$I51:$L51),0)))</f>
        <v/>
      </c>
      <c r="Y51" s="62">
        <f>IF($V51="","",IF(AND(ISNUMBER($G51),$G51&lt;=IF($S51=MesCiclo,InicioCiclo,$S51+MOD(2-WEEKDAY($S51),7))+6),1,IF(ISNUMBER($I51),$I51,0)))</f>
        <v/>
      </c>
      <c r="Z51" s="62">
        <f>IF($V51="","",IF(AND(ISNUMBER($G51),$G51&lt;=IF($S51=MesCiclo,InicioCiclo,$S51+MOD(2-WEEKDAY($S51),7))+13),1,IF(ISNUMBER($J51),$J51,$Y51)))</f>
        <v/>
      </c>
      <c r="AA51" s="62">
        <f>IF($V51="","",IF(AND(ISNUMBER($G51),$G51&lt;=IF($S51=MesCiclo,InicioCiclo,$S51+MOD(2-WEEKDAY($S51),7))+20),1,IF(ISNUMBER($K51),$K51,$Z51)))</f>
        <v/>
      </c>
      <c r="AB51" s="62">
        <f>IF($V51="","",IF(AND(ISNUMBER($G51),$G51&lt;=IF($S51=MesCiclo,InicioCiclo,$S51+MOD(2-WEEKDAY($S51),7))+27),1,IF(ISNUMBER($L51),$L51,$AA51)))</f>
        <v/>
      </c>
      <c r="AC51" s="62">
        <f>IF($V51="","",IF(AND(ISNUMBER($G51),$G51&lt;=IF($S51=MesCiclo,InicioCiclo,$S51+MOD(2-WEEKDAY($S51),7))+6),1,IF(N($W51)&gt;0,AVERAGEIFS($Y$5:$Y$1000,$U$5:$U$1000,ROW(),$V$5:$V$1000,"Sub"),$Y51)))</f>
        <v/>
      </c>
      <c r="AD51" s="62">
        <f>IF($V51="","",IF(AND(ISNUMBER($G51),$G51&lt;=IF($S51=MesCiclo,InicioCiclo,$S51+MOD(2-WEEKDAY($S51),7))+13),1,IF(N($W51)&gt;0,AVERAGEIFS($Z$5:$Z$1000,$U$5:$U$1000,ROW(),$V$5:$V$1000,"Sub"),$Z51)))</f>
        <v/>
      </c>
      <c r="AE51" s="62">
        <f>IF($V51="","",IF(AND(ISNUMBER($G51),$G51&lt;=IF($S51=MesCiclo,InicioCiclo,$S51+MOD(2-WEEKDAY($S51),7))+20),1,IF(N($W51)&gt;0,AVERAGEIFS($AA$5:$AA$1000,$U$5:$U$1000,ROW(),$V$5:$V$1000,"Sub"),$AA51)))</f>
        <v/>
      </c>
      <c r="AF51" s="62">
        <f>IF($V51="","",IF(AND(ISNUMBER($G51),$G51&lt;=IF($S51=MesCiclo,InicioCiclo,$S51+MOD(2-WEEKDAY($S51),7))+27),1,IF(N($W51)&gt;0,AVERAGEIFS($AB$5:$AB$1000,$U$5:$U$1000,ROW(),$V$5:$V$1000,"Sub"),$AB51)))</f>
        <v/>
      </c>
      <c r="AG51" s="62">
        <f>IF($V51&lt;&gt;"Macro","",IF(COUNTIFS($S$5:$S$1000,$S51,$V$5:$V$1000,"Macro",$H$5:$H$1000,"&gt;0")=0,1/COUNTIFS($S$5:$S$1000,$S51,$V$5:$V$1000,"Macro"),IF(AND(ISNUMBER($H51),N($H51)&gt;0),$H51,SUMIFS($H$5:$H$1000,$S$5:$S$1000,$S51,$V$5:$V$1000,"Macro")/COUNTIFS($S$5:$S$1000,$S51,$V$5:$V$1000,"Macro",$H$5:$H$1000,"&gt;0"))/(COUNTIFS($S$5:$S$1000,$S51,$V$5:$V$1000,"Macro")*SUMIFS($H$5:$H$1000,$S$5:$S$1000,$S51,$V$5:$V$1000,"Macro")/COUNTIFS($S$5:$S$1000,$S51,$V$5:$V$1000,"Macro",$H$5:$H$1000,"&gt;0"))))</f>
        <v/>
      </c>
      <c r="AH51" s="62" t="n"/>
      <c r="AI51" s="62" t="n"/>
      <c r="AJ51" s="62" t="n"/>
      <c r="AK51" s="62" t="n"/>
      <c r="AL51" s="62">
        <f>IF(LEFT($C51,11)="[Jefatura] ",IFERROR(MATCH("Riesgo Financiero|"&amp;MID($C51,12,500),rDname_ADM,0),0),"")</f>
        <v/>
      </c>
      <c r="AM51" s="62">
        <f>IF(N($AL51)&gt;0,INDEX(rIni_ADM,$AL51),IF(ISNUMBER($E51),$E51,""))</f>
        <v/>
      </c>
      <c r="AN51" s="62">
        <f>IF(N($AL51)&gt;0,INDEX(rLim_ADM,$AL51),IF(ISNUMBER($F51),$F51,""))</f>
        <v/>
      </c>
    </row>
    <row r="52">
      <c r="A52" s="56">
        <f>IF(NOT((COUNTA($B52:$D52)+COUNTA($G52:$L52)+COUNTA($Q52))&gt;0),"",IF($V52="Macro",COUNTIFS($V$5:$V52,"Macro",$S$5:$S52,$S52),IF(N($U52)=0,"?",COUNTIFS(INDEX($V$5:$V$1000,1):INDEX($V$5:$V$1000,$U52-4),"Macro",INDEX($S$5:$S$1000,1):INDEX($S$5:$S$1000,$U52-4),INDEX($S$5:$S$1000,$U52-4))&amp;"."&amp;COUNTIFS($U$5:$U52,$U52,$V$5:$V52,"Sub"))))</f>
        <v/>
      </c>
      <c r="B52" s="57" t="n"/>
      <c r="C52" s="58" t="n"/>
      <c r="D52" s="58" t="n"/>
      <c r="E52" s="59">
        <f>IF(N($AL52)&gt;0,INDEX(rIni_ADM,$AL52),"")</f>
        <v/>
      </c>
      <c r="F52" s="59">
        <f>IF(N($AL52)&gt;0,INDEX(rLim_ADM,$AL52),"")</f>
        <v/>
      </c>
      <c r="G52" s="59" t="n"/>
      <c r="H52" s="60" t="n"/>
      <c r="I52" s="60" t="n"/>
      <c r="J52" s="60" t="n"/>
      <c r="K52" s="60" t="n"/>
      <c r="L52" s="60" t="n"/>
      <c r="M52" s="61">
        <f>IF(NOT((COUNTA($B52:$D52)+COUNTA($G52:$L52)+COUNTA($Q52))&gt;0),"",IF($V52="Sub",IFERROR($X52/INDEX($W$5:$W$1000,$U52-4),""),IF(ISNUMBER($G52),1,IF(N($W52)&gt;0,AVERAGEIFS($X$5:$X$1000,$U$5:$U$1000,ROW(),$V$5:$V$1000,"Sub"),$X52))))</f>
        <v/>
      </c>
      <c r="N52" s="56">
        <f>IF(OR($M52="",$V52="Sub"),"",IF($M52&gt;=1,"Completado",IF($M52&gt;0,"En curso","Pendiente")))</f>
        <v/>
      </c>
      <c r="O52" s="56">
        <f>IF(OR(NOT((COUNTA($B52:$D52)+COUNTA($G52:$L52)+COUNTA($Q52))&gt;0),$V52="Sub"),"",IF(ISNUMBER($G52),IF(AND(ISNUMBER($AN52),$G52&gt;$AN52),"Cumplida con "&amp;($G52-$AN52)&amp;IF($G52-$AN52=1," día"," días")&amp;" de retraso","Cumplida"),IF(N($M52)&gt;=1,"Cumplida",IF(NOT(ISNUMBER($AN52)),"Sin fecha límite",IF($AN52&lt;FechaRef,"Vencida hace "&amp;(FechaRef-$AN52)&amp;IF(FechaRef-$AN52=1," día"," días"),IF($AN52=FechaRef,"Vence hoy",IF($AN52-FechaRef&lt;=DiasAlerta,"Vence en "&amp;($AN52-FechaRef)&amp;IF($AN52-FechaRef=1," día"," días"),"En plazo")))))))</f>
        <v/>
      </c>
      <c r="P52" s="62" t="n"/>
      <c r="Q52" s="58" t="n"/>
      <c r="R52" s="63">
        <f>IF(NOT((COUNTA($B52:$D52)+COUNTA($G52:$L52)+COUNTA($Q52))&gt;0),"",IF((IF($C52="","Falta el nombre de la actividad"&amp;" · ","")&amp;IF(AND($V52="Sub",N($U52)=0),"Subactividad sin macroactividad arriba"&amp;" · ","")&amp;IF($AM52="","Sin fecha de inicio"&amp;" · ","")&amp;IF($AN52="","Sin fecha límite"&amp;" · ","")&amp;IF(AND(LEFT($C52,11)="[Jefatura] ",N($AL52)=0),"No se encuentra en la hoja de la jefatura (elíjala de nuevo en la lista)"&amp;" · ","")&amp;IF(OR(AND($E52&lt;&gt;"",NOT(ISNUMBER($E52))),AND($F52&lt;&gt;"",NOT(ISNUMBER($F52))),AND($G52&lt;&gt;"",NOT(ISNUMBER($G52)))),"Fecha no válida"&amp;" · ","")&amp;IF(AND(ISNUMBER($AM52),ISNUMBER($AN52),$AM52&gt;$AN52),"Inicio posterior a fecha límite"&amp;" · ","")&amp;IF(AND($V52="Macro",$H52&lt;&gt;"",OR(NOT(ISNUMBER($H52)),$H52&lt;0,$H52&gt;1)),"Peso fuera de rango"&amp;" · ","")&amp;IF(AND($V52="Sub",$H52&lt;&gt;""),"Las subactividades no llevan peso (valen igual dentro de su macroactividad)"&amp;" · ","")&amp;IF(AND(N($W52)&gt;0,COUNT($I52:$L52)&gt;0),"Con subactividades: deje vacías las semanas (se calculan solas)"&amp;" · ","")&amp;IF((COUNTIF($I52:$L52,"&gt;1")+COUNTIF($I52:$L52,"&lt;0")+COUNTA($I52:$L52)-COUNT($I52:$L52))&gt;0,"Avance fuera de rango 0-100%"&amp;" · ","")&amp;IF(OR(AND($J52&lt;&gt;"",$J52&lt;$I52),AND($K52&lt;&gt;"",$K52&lt;MAX($I52:$J52)),AND($L52&lt;&gt;"",$L52&lt;MAX($I52:$K52))),"Avance semanal decreciente"&amp;" · ","")&amp;IF(AND(ISNUMBER($AN52),$AN52&lt;FechaRef,IF($V52="Sub",N($X52),N($M52))&lt;1),"Vencida"&amp;" · ","")&amp;IF(AND(ObsObligatoria="Sí",ISNUMBER($AN52),$AN52&lt;FechaRef,IF($V52="Sub",N($X52),N($M52))&lt;1,$Q52=""),"Vencida sin observación"&amp;" · ",""))="","✔ OK","⚠ "&amp;LEFT(IF($C52="","Falta el nombre de la actividad"&amp;" · ","")&amp;IF(AND($V52="Sub",N($U52)=0),"Subactividad sin macroactividad arriba"&amp;" · ","")&amp;IF($AM52="","Sin fecha de inicio"&amp;" · ","")&amp;IF($AN52="","Sin fecha límite"&amp;" · ","")&amp;IF(AND(LEFT($C52,11)="[Jefatura] ",N($AL52)=0),"No se encuentra en la hoja de la jefatura (elíjala de nuevo en la lista)"&amp;" · ","")&amp;IF(OR(AND($E52&lt;&gt;"",NOT(ISNUMBER($E52))),AND($F52&lt;&gt;"",NOT(ISNUMBER($F52))),AND($G52&lt;&gt;"",NOT(ISNUMBER($G52)))),"Fecha no válida"&amp;" · ","")&amp;IF(AND(ISNUMBER($AM52),ISNUMBER($AN52),$AM52&gt;$AN52),"Inicio posterior a fecha límite"&amp;" · ","")&amp;IF(AND($V52="Macro",$H52&lt;&gt;"",OR(NOT(ISNUMBER($H52)),$H52&lt;0,$H52&gt;1)),"Peso fuera de rango"&amp;" · ","")&amp;IF(AND($V52="Sub",$H52&lt;&gt;""),"Las subactividades no llevan peso (valen igual dentro de su macroactividad)"&amp;" · ","")&amp;IF(AND(N($W52)&gt;0,COUNT($I52:$L52)&gt;0),"Con subactividades: deje vacías las semanas (se calculan solas)"&amp;" · ","")&amp;IF((COUNTIF($I52:$L52,"&gt;1")+COUNTIF($I52:$L52,"&lt;0")+COUNTA($I52:$L52)-COUNT($I52:$L52))&gt;0,"Avance fuera de rango 0-100%"&amp;" · ","")&amp;IF(OR(AND($J52&lt;&gt;"",$J52&lt;$I52),AND($K52&lt;&gt;"",$K52&lt;MAX($I52:$J52)),AND($L52&lt;&gt;"",$L52&lt;MAX($I52:$K52))),"Avance semanal decreciente"&amp;" · ","")&amp;IF(AND(ISNUMBER($AN52),$AN52&lt;FechaRef,IF($V52="Sub",N($X52),N($M52))&lt;1),"Vencida"&amp;" · ","")&amp;IF(AND(ObsObligatoria="Sí",ISNUMBER($AN52),$AN52&lt;FechaRef,IF($V52="Sub",N($X52),N($M52))&lt;1,$Q52=""),"Vencida sin observación"&amp;" · ",""),LEN(IF($C52="","Falta el nombre de la actividad"&amp;" · ","")&amp;IF(AND($V52="Sub",N($U52)=0),"Subactividad sin macroactividad arriba"&amp;" · ","")&amp;IF($AM52="","Sin fecha de inicio"&amp;" · ","")&amp;IF($AN52="","Sin fecha límite"&amp;" · ","")&amp;IF(AND(LEFT($C52,11)="[Jefatura] ",N($AL52)=0),"No se encuentra en la hoja de la jefatura (elíjala de nuevo en la lista)"&amp;" · ","")&amp;IF(OR(AND($E52&lt;&gt;"",NOT(ISNUMBER($E52))),AND($F52&lt;&gt;"",NOT(ISNUMBER($F52))),AND($G52&lt;&gt;"",NOT(ISNUMBER($G52)))),"Fecha no válida"&amp;" · ","")&amp;IF(AND(ISNUMBER($AM52),ISNUMBER($AN52),$AM52&gt;$AN52),"Inicio posterior a fecha límite"&amp;" · ","")&amp;IF(AND($V52="Macro",$H52&lt;&gt;"",OR(NOT(ISNUMBER($H52)),$H52&lt;0,$H52&gt;1)),"Peso fuera de rango"&amp;" · ","")&amp;IF(AND($V52="Sub",$H52&lt;&gt;""),"Las subactividades no llevan peso (valen igual dentro de su macroactividad)"&amp;" · ","")&amp;IF(AND(N($W52)&gt;0,COUNT($I52:$L52)&gt;0),"Con subactividades: deje vacías las semanas (se calculan solas)"&amp;" · ","")&amp;IF((COUNTIF($I52:$L52,"&gt;1")+COUNTIF($I52:$L52,"&lt;0")+COUNTA($I52:$L52)-COUNT($I52:$L52))&gt;0,"Avance fuera de rango 0-100%"&amp;" · ","")&amp;IF(OR(AND($J52&lt;&gt;"",$J52&lt;$I52),AND($K52&lt;&gt;"",$K52&lt;MAX($I52:$J52)),AND($L52&lt;&gt;"",$L52&lt;MAX($I52:$K52))),"Avance semanal decreciente"&amp;" · ","")&amp;IF(AND(ISNUMBER($AN52),$AN52&lt;FechaRef,IF($V52="Sub",N($X52),N($M52))&lt;1),"Vencida"&amp;" · ","")&amp;IF(AND(ObsObligatoria="Sí",ISNUMBER($AN52),$AN52&lt;FechaRef,IF($V52="Sub",N($X52),N($M52))&lt;1,$Q52=""),"Vencida sin observación"&amp;" · ",""))-3)))</f>
        <v/>
      </c>
      <c r="S52" s="64">
        <f>IF(NOT((COUNTA($B52:$D52)+COUNTA($G52:$L52)+COUNTA($Q52))&gt;0),"",IF(AND($V52="Sub",N($U52)&gt;0),IF(ISNUMBER(INDEX($AM$5:$AM$1000,$U52-4)),DATE(YEAR(INDEX($AM$5:$AM$1000,$U52-4)),MONTH(INDEX($AM$5:$AM$1000,$U52-4)),1),IF(ISNUMBER(INDEX($AN$5:$AN$1000,$U52-4)),DATE(YEAR(INDEX($AN$5:$AN$1000,$U52-4)),MONTH(INDEX($AN$5:$AN$1000,$U52-4)),1),MesCiclo)),IF(ISNUMBER($AM52),DATE(YEAR($AM52),MONTH($AM52),1),IF(ISNUMBER($AN52),DATE(YEAR($AN52),MONTH($AN52),1),MesCiclo))))</f>
        <v/>
      </c>
      <c r="T52" s="62">
        <f>IF(OR($S52="",$S52&lt;&gt;MesCiclo,$V52&lt;&gt;"Macro"),"",COUNTIFS($S$5:$S52,MesCiclo,$V$5:$V52,"Macro"))</f>
        <v/>
      </c>
      <c r="U52" s="62">
        <f>IF($V52="","",IF($V52="Macro",ROW(),IFERROR(LOOKUP(2,1/($V$5:$V52="Macro"),ROW($V$5:$V52)),0)))</f>
        <v/>
      </c>
      <c r="V52" s="62">
        <f>IF(NOT((COUNTA($B52:$D52)+COUNTA($G52:$L52)+COUNTA($Q52))&gt;0),"",IF($B52="Subactividad","Sub","Macro"))</f>
        <v/>
      </c>
      <c r="W52" s="62">
        <f>IF($V52="Macro",COUNTIFS($U$5:$U$1000,ROW(),$V$5:$V$1000,"Sub"),"")</f>
        <v/>
      </c>
      <c r="X52" s="62">
        <f>IF($V52="","",IF(ISNUMBER($G52),1,IFERROR(LOOKUP(2,1/($I52:$L52&lt;&gt;""),$I52:$L52),0)))</f>
        <v/>
      </c>
      <c r="Y52" s="62">
        <f>IF($V52="","",IF(AND(ISNUMBER($G52),$G52&lt;=IF($S52=MesCiclo,InicioCiclo,$S52+MOD(2-WEEKDAY($S52),7))+6),1,IF(ISNUMBER($I52),$I52,0)))</f>
        <v/>
      </c>
      <c r="Z52" s="62">
        <f>IF($V52="","",IF(AND(ISNUMBER($G52),$G52&lt;=IF($S52=MesCiclo,InicioCiclo,$S52+MOD(2-WEEKDAY($S52),7))+13),1,IF(ISNUMBER($J52),$J52,$Y52)))</f>
        <v/>
      </c>
      <c r="AA52" s="62">
        <f>IF($V52="","",IF(AND(ISNUMBER($G52),$G52&lt;=IF($S52=MesCiclo,InicioCiclo,$S52+MOD(2-WEEKDAY($S52),7))+20),1,IF(ISNUMBER($K52),$K52,$Z52)))</f>
        <v/>
      </c>
      <c r="AB52" s="62">
        <f>IF($V52="","",IF(AND(ISNUMBER($G52),$G52&lt;=IF($S52=MesCiclo,InicioCiclo,$S52+MOD(2-WEEKDAY($S52),7))+27),1,IF(ISNUMBER($L52),$L52,$AA52)))</f>
        <v/>
      </c>
      <c r="AC52" s="62">
        <f>IF($V52="","",IF(AND(ISNUMBER($G52),$G52&lt;=IF($S52=MesCiclo,InicioCiclo,$S52+MOD(2-WEEKDAY($S52),7))+6),1,IF(N($W52)&gt;0,AVERAGEIFS($Y$5:$Y$1000,$U$5:$U$1000,ROW(),$V$5:$V$1000,"Sub"),$Y52)))</f>
        <v/>
      </c>
      <c r="AD52" s="62">
        <f>IF($V52="","",IF(AND(ISNUMBER($G52),$G52&lt;=IF($S52=MesCiclo,InicioCiclo,$S52+MOD(2-WEEKDAY($S52),7))+13),1,IF(N($W52)&gt;0,AVERAGEIFS($Z$5:$Z$1000,$U$5:$U$1000,ROW(),$V$5:$V$1000,"Sub"),$Z52)))</f>
        <v/>
      </c>
      <c r="AE52" s="62">
        <f>IF($V52="","",IF(AND(ISNUMBER($G52),$G52&lt;=IF($S52=MesCiclo,InicioCiclo,$S52+MOD(2-WEEKDAY($S52),7))+20),1,IF(N($W52)&gt;0,AVERAGEIFS($AA$5:$AA$1000,$U$5:$U$1000,ROW(),$V$5:$V$1000,"Sub"),$AA52)))</f>
        <v/>
      </c>
      <c r="AF52" s="62">
        <f>IF($V52="","",IF(AND(ISNUMBER($G52),$G52&lt;=IF($S52=MesCiclo,InicioCiclo,$S52+MOD(2-WEEKDAY($S52),7))+27),1,IF(N($W52)&gt;0,AVERAGEIFS($AB$5:$AB$1000,$U$5:$U$1000,ROW(),$V$5:$V$1000,"Sub"),$AB52)))</f>
        <v/>
      </c>
      <c r="AG52" s="62">
        <f>IF($V52&lt;&gt;"Macro","",IF(COUNTIFS($S$5:$S$1000,$S52,$V$5:$V$1000,"Macro",$H$5:$H$1000,"&gt;0")=0,1/COUNTIFS($S$5:$S$1000,$S52,$V$5:$V$1000,"Macro"),IF(AND(ISNUMBER($H52),N($H52)&gt;0),$H52,SUMIFS($H$5:$H$1000,$S$5:$S$1000,$S52,$V$5:$V$1000,"Macro")/COUNTIFS($S$5:$S$1000,$S52,$V$5:$V$1000,"Macro",$H$5:$H$1000,"&gt;0"))/(COUNTIFS($S$5:$S$1000,$S52,$V$5:$V$1000,"Macro")*SUMIFS($H$5:$H$1000,$S$5:$S$1000,$S52,$V$5:$V$1000,"Macro")/COUNTIFS($S$5:$S$1000,$S52,$V$5:$V$1000,"Macro",$H$5:$H$1000,"&gt;0"))))</f>
        <v/>
      </c>
      <c r="AH52" s="62" t="n"/>
      <c r="AI52" s="62" t="n"/>
      <c r="AJ52" s="62" t="n"/>
      <c r="AK52" s="62" t="n"/>
      <c r="AL52" s="62">
        <f>IF(LEFT($C52,11)="[Jefatura] ",IFERROR(MATCH("Riesgo Financiero|"&amp;MID($C52,12,500),rDname_ADM,0),0),"")</f>
        <v/>
      </c>
      <c r="AM52" s="62">
        <f>IF(N($AL52)&gt;0,INDEX(rIni_ADM,$AL52),IF(ISNUMBER($E52),$E52,""))</f>
        <v/>
      </c>
      <c r="AN52" s="62">
        <f>IF(N($AL52)&gt;0,INDEX(rLim_ADM,$AL52),IF(ISNUMBER($F52),$F52,""))</f>
        <v/>
      </c>
    </row>
    <row r="53">
      <c r="A53" s="56">
        <f>IF(NOT((COUNTA($B53:$D53)+COUNTA($G53:$L53)+COUNTA($Q53))&gt;0),"",IF($V53="Macro",COUNTIFS($V$5:$V53,"Macro",$S$5:$S53,$S53),IF(N($U53)=0,"?",COUNTIFS(INDEX($V$5:$V$1000,1):INDEX($V$5:$V$1000,$U53-4),"Macro",INDEX($S$5:$S$1000,1):INDEX($S$5:$S$1000,$U53-4),INDEX($S$5:$S$1000,$U53-4))&amp;"."&amp;COUNTIFS($U$5:$U53,$U53,$V$5:$V53,"Sub"))))</f>
        <v/>
      </c>
      <c r="B53" s="57" t="n"/>
      <c r="C53" s="58" t="n"/>
      <c r="D53" s="58" t="n"/>
      <c r="E53" s="59">
        <f>IF(N($AL53)&gt;0,INDEX(rIni_ADM,$AL53),"")</f>
        <v/>
      </c>
      <c r="F53" s="59">
        <f>IF(N($AL53)&gt;0,INDEX(rLim_ADM,$AL53),"")</f>
        <v/>
      </c>
      <c r="G53" s="59" t="n"/>
      <c r="H53" s="60" t="n"/>
      <c r="I53" s="60" t="n"/>
      <c r="J53" s="60" t="n"/>
      <c r="K53" s="60" t="n"/>
      <c r="L53" s="60" t="n"/>
      <c r="M53" s="61">
        <f>IF(NOT((COUNTA($B53:$D53)+COUNTA($G53:$L53)+COUNTA($Q53))&gt;0),"",IF($V53="Sub",IFERROR($X53/INDEX($W$5:$W$1000,$U53-4),""),IF(ISNUMBER($G53),1,IF(N($W53)&gt;0,AVERAGEIFS($X$5:$X$1000,$U$5:$U$1000,ROW(),$V$5:$V$1000,"Sub"),$X53))))</f>
        <v/>
      </c>
      <c r="N53" s="56">
        <f>IF(OR($M53="",$V53="Sub"),"",IF($M53&gt;=1,"Completado",IF($M53&gt;0,"En curso","Pendiente")))</f>
        <v/>
      </c>
      <c r="O53" s="56">
        <f>IF(OR(NOT((COUNTA($B53:$D53)+COUNTA($G53:$L53)+COUNTA($Q53))&gt;0),$V53="Sub"),"",IF(ISNUMBER($G53),IF(AND(ISNUMBER($AN53),$G53&gt;$AN53),"Cumplida con "&amp;($G53-$AN53)&amp;IF($G53-$AN53=1," día"," días")&amp;" de retraso","Cumplida"),IF(N($M53)&gt;=1,"Cumplida",IF(NOT(ISNUMBER($AN53)),"Sin fecha límite",IF($AN53&lt;FechaRef,"Vencida hace "&amp;(FechaRef-$AN53)&amp;IF(FechaRef-$AN53=1," día"," días"),IF($AN53=FechaRef,"Vence hoy",IF($AN53-FechaRef&lt;=DiasAlerta,"Vence en "&amp;($AN53-FechaRef)&amp;IF($AN53-FechaRef=1," día"," días"),"En plazo")))))))</f>
        <v/>
      </c>
      <c r="P53" s="62" t="n"/>
      <c r="Q53" s="58" t="n"/>
      <c r="R53" s="63">
        <f>IF(NOT((COUNTA($B53:$D53)+COUNTA($G53:$L53)+COUNTA($Q53))&gt;0),"",IF((IF($C53="","Falta el nombre de la actividad"&amp;" · ","")&amp;IF(AND($V53="Sub",N($U53)=0),"Subactividad sin macroactividad arriba"&amp;" · ","")&amp;IF($AM53="","Sin fecha de inicio"&amp;" · ","")&amp;IF($AN53="","Sin fecha límite"&amp;" · ","")&amp;IF(AND(LEFT($C53,11)="[Jefatura] ",N($AL53)=0),"No se encuentra en la hoja de la jefatura (elíjala de nuevo en la lista)"&amp;" · ","")&amp;IF(OR(AND($E53&lt;&gt;"",NOT(ISNUMBER($E53))),AND($F53&lt;&gt;"",NOT(ISNUMBER($F53))),AND($G53&lt;&gt;"",NOT(ISNUMBER($G53)))),"Fecha no válida"&amp;" · ","")&amp;IF(AND(ISNUMBER($AM53),ISNUMBER($AN53),$AM53&gt;$AN53),"Inicio posterior a fecha límite"&amp;" · ","")&amp;IF(AND($V53="Macro",$H53&lt;&gt;"",OR(NOT(ISNUMBER($H53)),$H53&lt;0,$H53&gt;1)),"Peso fuera de rango"&amp;" · ","")&amp;IF(AND($V53="Sub",$H53&lt;&gt;""),"Las subactividades no llevan peso (valen igual dentro de su macroactividad)"&amp;" · ","")&amp;IF(AND(N($W53)&gt;0,COUNT($I53:$L53)&gt;0),"Con subactividades: deje vacías las semanas (se calculan solas)"&amp;" · ","")&amp;IF((COUNTIF($I53:$L53,"&gt;1")+COUNTIF($I53:$L53,"&lt;0")+COUNTA($I53:$L53)-COUNT($I53:$L53))&gt;0,"Avance fuera de rango 0-100%"&amp;" · ","")&amp;IF(OR(AND($J53&lt;&gt;"",$J53&lt;$I53),AND($K53&lt;&gt;"",$K53&lt;MAX($I53:$J53)),AND($L53&lt;&gt;"",$L53&lt;MAX($I53:$K53))),"Avance semanal decreciente"&amp;" · ","")&amp;IF(AND(ISNUMBER($AN53),$AN53&lt;FechaRef,IF($V53="Sub",N($X53),N($M53))&lt;1),"Vencida"&amp;" · ","")&amp;IF(AND(ObsObligatoria="Sí",ISNUMBER($AN53),$AN53&lt;FechaRef,IF($V53="Sub",N($X53),N($M53))&lt;1,$Q53=""),"Vencida sin observación"&amp;" · ",""))="","✔ OK","⚠ "&amp;LEFT(IF($C53="","Falta el nombre de la actividad"&amp;" · ","")&amp;IF(AND($V53="Sub",N($U53)=0),"Subactividad sin macroactividad arriba"&amp;" · ","")&amp;IF($AM53="","Sin fecha de inicio"&amp;" · ","")&amp;IF($AN53="","Sin fecha límite"&amp;" · ","")&amp;IF(AND(LEFT($C53,11)="[Jefatura] ",N($AL53)=0),"No se encuentra en la hoja de la jefatura (elíjala de nuevo en la lista)"&amp;" · ","")&amp;IF(OR(AND($E53&lt;&gt;"",NOT(ISNUMBER($E53))),AND($F53&lt;&gt;"",NOT(ISNUMBER($F53))),AND($G53&lt;&gt;"",NOT(ISNUMBER($G53)))),"Fecha no válida"&amp;" · ","")&amp;IF(AND(ISNUMBER($AM53),ISNUMBER($AN53),$AM53&gt;$AN53),"Inicio posterior a fecha límite"&amp;" · ","")&amp;IF(AND($V53="Macro",$H53&lt;&gt;"",OR(NOT(ISNUMBER($H53)),$H53&lt;0,$H53&gt;1)),"Peso fuera de rango"&amp;" · ","")&amp;IF(AND($V53="Sub",$H53&lt;&gt;""),"Las subactividades no llevan peso (valen igual dentro de su macroactividad)"&amp;" · ","")&amp;IF(AND(N($W53)&gt;0,COUNT($I53:$L53)&gt;0),"Con subactividades: deje vacías las semanas (se calculan solas)"&amp;" · ","")&amp;IF((COUNTIF($I53:$L53,"&gt;1")+COUNTIF($I53:$L53,"&lt;0")+COUNTA($I53:$L53)-COUNT($I53:$L53))&gt;0,"Avance fuera de rango 0-100%"&amp;" · ","")&amp;IF(OR(AND($J53&lt;&gt;"",$J53&lt;$I53),AND($K53&lt;&gt;"",$K53&lt;MAX($I53:$J53)),AND($L53&lt;&gt;"",$L53&lt;MAX($I53:$K53))),"Avance semanal decreciente"&amp;" · ","")&amp;IF(AND(ISNUMBER($AN53),$AN53&lt;FechaRef,IF($V53="Sub",N($X53),N($M53))&lt;1),"Vencida"&amp;" · ","")&amp;IF(AND(ObsObligatoria="Sí",ISNUMBER($AN53),$AN53&lt;FechaRef,IF($V53="Sub",N($X53),N($M53))&lt;1,$Q53=""),"Vencida sin observación"&amp;" · ",""),LEN(IF($C53="","Falta el nombre de la actividad"&amp;" · ","")&amp;IF(AND($V53="Sub",N($U53)=0),"Subactividad sin macroactividad arriba"&amp;" · ","")&amp;IF($AM53="","Sin fecha de inicio"&amp;" · ","")&amp;IF($AN53="","Sin fecha límite"&amp;" · ","")&amp;IF(AND(LEFT($C53,11)="[Jefatura] ",N($AL53)=0),"No se encuentra en la hoja de la jefatura (elíjala de nuevo en la lista)"&amp;" · ","")&amp;IF(OR(AND($E53&lt;&gt;"",NOT(ISNUMBER($E53))),AND($F53&lt;&gt;"",NOT(ISNUMBER($F53))),AND($G53&lt;&gt;"",NOT(ISNUMBER($G53)))),"Fecha no válida"&amp;" · ","")&amp;IF(AND(ISNUMBER($AM53),ISNUMBER($AN53),$AM53&gt;$AN53),"Inicio posterior a fecha límite"&amp;" · ","")&amp;IF(AND($V53="Macro",$H53&lt;&gt;"",OR(NOT(ISNUMBER($H53)),$H53&lt;0,$H53&gt;1)),"Peso fuera de rango"&amp;" · ","")&amp;IF(AND($V53="Sub",$H53&lt;&gt;""),"Las subactividades no llevan peso (valen igual dentro de su macroactividad)"&amp;" · ","")&amp;IF(AND(N($W53)&gt;0,COUNT($I53:$L53)&gt;0),"Con subactividades: deje vacías las semanas (se calculan solas)"&amp;" · ","")&amp;IF((COUNTIF($I53:$L53,"&gt;1")+COUNTIF($I53:$L53,"&lt;0")+COUNTA($I53:$L53)-COUNT($I53:$L53))&gt;0,"Avance fuera de rango 0-100%"&amp;" · ","")&amp;IF(OR(AND($J53&lt;&gt;"",$J53&lt;$I53),AND($K53&lt;&gt;"",$K53&lt;MAX($I53:$J53)),AND($L53&lt;&gt;"",$L53&lt;MAX($I53:$K53))),"Avance semanal decreciente"&amp;" · ","")&amp;IF(AND(ISNUMBER($AN53),$AN53&lt;FechaRef,IF($V53="Sub",N($X53),N($M53))&lt;1),"Vencida"&amp;" · ","")&amp;IF(AND(ObsObligatoria="Sí",ISNUMBER($AN53),$AN53&lt;FechaRef,IF($V53="Sub",N($X53),N($M53))&lt;1,$Q53=""),"Vencida sin observación"&amp;" · ",""))-3)))</f>
        <v/>
      </c>
      <c r="S53" s="64">
        <f>IF(NOT((COUNTA($B53:$D53)+COUNTA($G53:$L53)+COUNTA($Q53))&gt;0),"",IF(AND($V53="Sub",N($U53)&gt;0),IF(ISNUMBER(INDEX($AM$5:$AM$1000,$U53-4)),DATE(YEAR(INDEX($AM$5:$AM$1000,$U53-4)),MONTH(INDEX($AM$5:$AM$1000,$U53-4)),1),IF(ISNUMBER(INDEX($AN$5:$AN$1000,$U53-4)),DATE(YEAR(INDEX($AN$5:$AN$1000,$U53-4)),MONTH(INDEX($AN$5:$AN$1000,$U53-4)),1),MesCiclo)),IF(ISNUMBER($AM53),DATE(YEAR($AM53),MONTH($AM53),1),IF(ISNUMBER($AN53),DATE(YEAR($AN53),MONTH($AN53),1),MesCiclo))))</f>
        <v/>
      </c>
      <c r="T53" s="62">
        <f>IF(OR($S53="",$S53&lt;&gt;MesCiclo,$V53&lt;&gt;"Macro"),"",COUNTIFS($S$5:$S53,MesCiclo,$V$5:$V53,"Macro"))</f>
        <v/>
      </c>
      <c r="U53" s="62">
        <f>IF($V53="","",IF($V53="Macro",ROW(),IFERROR(LOOKUP(2,1/($V$5:$V53="Macro"),ROW($V$5:$V53)),0)))</f>
        <v/>
      </c>
      <c r="V53" s="62">
        <f>IF(NOT((COUNTA($B53:$D53)+COUNTA($G53:$L53)+COUNTA($Q53))&gt;0),"",IF($B53="Subactividad","Sub","Macro"))</f>
        <v/>
      </c>
      <c r="W53" s="62">
        <f>IF($V53="Macro",COUNTIFS($U$5:$U$1000,ROW(),$V$5:$V$1000,"Sub"),"")</f>
        <v/>
      </c>
      <c r="X53" s="62">
        <f>IF($V53="","",IF(ISNUMBER($G53),1,IFERROR(LOOKUP(2,1/($I53:$L53&lt;&gt;""),$I53:$L53),0)))</f>
        <v/>
      </c>
      <c r="Y53" s="62">
        <f>IF($V53="","",IF(AND(ISNUMBER($G53),$G53&lt;=IF($S53=MesCiclo,InicioCiclo,$S53+MOD(2-WEEKDAY($S53),7))+6),1,IF(ISNUMBER($I53),$I53,0)))</f>
        <v/>
      </c>
      <c r="Z53" s="62">
        <f>IF($V53="","",IF(AND(ISNUMBER($G53),$G53&lt;=IF($S53=MesCiclo,InicioCiclo,$S53+MOD(2-WEEKDAY($S53),7))+13),1,IF(ISNUMBER($J53),$J53,$Y53)))</f>
        <v/>
      </c>
      <c r="AA53" s="62">
        <f>IF($V53="","",IF(AND(ISNUMBER($G53),$G53&lt;=IF($S53=MesCiclo,InicioCiclo,$S53+MOD(2-WEEKDAY($S53),7))+20),1,IF(ISNUMBER($K53),$K53,$Z53)))</f>
        <v/>
      </c>
      <c r="AB53" s="62">
        <f>IF($V53="","",IF(AND(ISNUMBER($G53),$G53&lt;=IF($S53=MesCiclo,InicioCiclo,$S53+MOD(2-WEEKDAY($S53),7))+27),1,IF(ISNUMBER($L53),$L53,$AA53)))</f>
        <v/>
      </c>
      <c r="AC53" s="62">
        <f>IF($V53="","",IF(AND(ISNUMBER($G53),$G53&lt;=IF($S53=MesCiclo,InicioCiclo,$S53+MOD(2-WEEKDAY($S53),7))+6),1,IF(N($W53)&gt;0,AVERAGEIFS($Y$5:$Y$1000,$U$5:$U$1000,ROW(),$V$5:$V$1000,"Sub"),$Y53)))</f>
        <v/>
      </c>
      <c r="AD53" s="62">
        <f>IF($V53="","",IF(AND(ISNUMBER($G53),$G53&lt;=IF($S53=MesCiclo,InicioCiclo,$S53+MOD(2-WEEKDAY($S53),7))+13),1,IF(N($W53)&gt;0,AVERAGEIFS($Z$5:$Z$1000,$U$5:$U$1000,ROW(),$V$5:$V$1000,"Sub"),$Z53)))</f>
        <v/>
      </c>
      <c r="AE53" s="62">
        <f>IF($V53="","",IF(AND(ISNUMBER($G53),$G53&lt;=IF($S53=MesCiclo,InicioCiclo,$S53+MOD(2-WEEKDAY($S53),7))+20),1,IF(N($W53)&gt;0,AVERAGEIFS($AA$5:$AA$1000,$U$5:$U$1000,ROW(),$V$5:$V$1000,"Sub"),$AA53)))</f>
        <v/>
      </c>
      <c r="AF53" s="62">
        <f>IF($V53="","",IF(AND(ISNUMBER($G53),$G53&lt;=IF($S53=MesCiclo,InicioCiclo,$S53+MOD(2-WEEKDAY($S53),7))+27),1,IF(N($W53)&gt;0,AVERAGEIFS($AB$5:$AB$1000,$U$5:$U$1000,ROW(),$V$5:$V$1000,"Sub"),$AB53)))</f>
        <v/>
      </c>
      <c r="AG53" s="62">
        <f>IF($V53&lt;&gt;"Macro","",IF(COUNTIFS($S$5:$S$1000,$S53,$V$5:$V$1000,"Macro",$H$5:$H$1000,"&gt;0")=0,1/COUNTIFS($S$5:$S$1000,$S53,$V$5:$V$1000,"Macro"),IF(AND(ISNUMBER($H53),N($H53)&gt;0),$H53,SUMIFS($H$5:$H$1000,$S$5:$S$1000,$S53,$V$5:$V$1000,"Macro")/COUNTIFS($S$5:$S$1000,$S53,$V$5:$V$1000,"Macro",$H$5:$H$1000,"&gt;0"))/(COUNTIFS($S$5:$S$1000,$S53,$V$5:$V$1000,"Macro")*SUMIFS($H$5:$H$1000,$S$5:$S$1000,$S53,$V$5:$V$1000,"Macro")/COUNTIFS($S$5:$S$1000,$S53,$V$5:$V$1000,"Macro",$H$5:$H$1000,"&gt;0"))))</f>
        <v/>
      </c>
      <c r="AH53" s="62" t="n"/>
      <c r="AI53" s="62" t="n"/>
      <c r="AJ53" s="62" t="n"/>
      <c r="AK53" s="62" t="n"/>
      <c r="AL53" s="62">
        <f>IF(LEFT($C53,11)="[Jefatura] ",IFERROR(MATCH("Riesgo Financiero|"&amp;MID($C53,12,500),rDname_ADM,0),0),"")</f>
        <v/>
      </c>
      <c r="AM53" s="62">
        <f>IF(N($AL53)&gt;0,INDEX(rIni_ADM,$AL53),IF(ISNUMBER($E53),$E53,""))</f>
        <v/>
      </c>
      <c r="AN53" s="62">
        <f>IF(N($AL53)&gt;0,INDEX(rLim_ADM,$AL53),IF(ISNUMBER($F53),$F53,""))</f>
        <v/>
      </c>
    </row>
    <row r="54">
      <c r="A54" s="56">
        <f>IF(NOT((COUNTA($B54:$D54)+COUNTA($G54:$L54)+COUNTA($Q54))&gt;0),"",IF($V54="Macro",COUNTIFS($V$5:$V54,"Macro",$S$5:$S54,$S54),IF(N($U54)=0,"?",COUNTIFS(INDEX($V$5:$V$1000,1):INDEX($V$5:$V$1000,$U54-4),"Macro",INDEX($S$5:$S$1000,1):INDEX($S$5:$S$1000,$U54-4),INDEX($S$5:$S$1000,$U54-4))&amp;"."&amp;COUNTIFS($U$5:$U54,$U54,$V$5:$V54,"Sub"))))</f>
        <v/>
      </c>
      <c r="B54" s="57" t="n"/>
      <c r="C54" s="58" t="n"/>
      <c r="D54" s="58" t="n"/>
      <c r="E54" s="59">
        <f>IF(N($AL54)&gt;0,INDEX(rIni_ADM,$AL54),"")</f>
        <v/>
      </c>
      <c r="F54" s="59">
        <f>IF(N($AL54)&gt;0,INDEX(rLim_ADM,$AL54),"")</f>
        <v/>
      </c>
      <c r="G54" s="59" t="n"/>
      <c r="H54" s="60" t="n"/>
      <c r="I54" s="60" t="n"/>
      <c r="J54" s="60" t="n"/>
      <c r="K54" s="60" t="n"/>
      <c r="L54" s="60" t="n"/>
      <c r="M54" s="61">
        <f>IF(NOT((COUNTA($B54:$D54)+COUNTA($G54:$L54)+COUNTA($Q54))&gt;0),"",IF($V54="Sub",IFERROR($X54/INDEX($W$5:$W$1000,$U54-4),""),IF(ISNUMBER($G54),1,IF(N($W54)&gt;0,AVERAGEIFS($X$5:$X$1000,$U$5:$U$1000,ROW(),$V$5:$V$1000,"Sub"),$X54))))</f>
        <v/>
      </c>
      <c r="N54" s="56">
        <f>IF(OR($M54="",$V54="Sub"),"",IF($M54&gt;=1,"Completado",IF($M54&gt;0,"En curso","Pendiente")))</f>
        <v/>
      </c>
      <c r="O54" s="56">
        <f>IF(OR(NOT((COUNTA($B54:$D54)+COUNTA($G54:$L54)+COUNTA($Q54))&gt;0),$V54="Sub"),"",IF(ISNUMBER($G54),IF(AND(ISNUMBER($AN54),$G54&gt;$AN54),"Cumplida con "&amp;($G54-$AN54)&amp;IF($G54-$AN54=1," día"," días")&amp;" de retraso","Cumplida"),IF(N($M54)&gt;=1,"Cumplida",IF(NOT(ISNUMBER($AN54)),"Sin fecha límite",IF($AN54&lt;FechaRef,"Vencida hace "&amp;(FechaRef-$AN54)&amp;IF(FechaRef-$AN54=1," día"," días"),IF($AN54=FechaRef,"Vence hoy",IF($AN54-FechaRef&lt;=DiasAlerta,"Vence en "&amp;($AN54-FechaRef)&amp;IF($AN54-FechaRef=1," día"," días"),"En plazo")))))))</f>
        <v/>
      </c>
      <c r="P54" s="62" t="n"/>
      <c r="Q54" s="58" t="n"/>
      <c r="R54" s="63">
        <f>IF(NOT((COUNTA($B54:$D54)+COUNTA($G54:$L54)+COUNTA($Q54))&gt;0),"",IF((IF($C54="","Falta el nombre de la actividad"&amp;" · ","")&amp;IF(AND($V54="Sub",N($U54)=0),"Subactividad sin macroactividad arriba"&amp;" · ","")&amp;IF($AM54="","Sin fecha de inicio"&amp;" · ","")&amp;IF($AN54="","Sin fecha límite"&amp;" · ","")&amp;IF(AND(LEFT($C54,11)="[Jefatura] ",N($AL54)=0),"No se encuentra en la hoja de la jefatura (elíjala de nuevo en la lista)"&amp;" · ","")&amp;IF(OR(AND($E54&lt;&gt;"",NOT(ISNUMBER($E54))),AND($F54&lt;&gt;"",NOT(ISNUMBER($F54))),AND($G54&lt;&gt;"",NOT(ISNUMBER($G54)))),"Fecha no válida"&amp;" · ","")&amp;IF(AND(ISNUMBER($AM54),ISNUMBER($AN54),$AM54&gt;$AN54),"Inicio posterior a fecha límite"&amp;" · ","")&amp;IF(AND($V54="Macro",$H54&lt;&gt;"",OR(NOT(ISNUMBER($H54)),$H54&lt;0,$H54&gt;1)),"Peso fuera de rango"&amp;" · ","")&amp;IF(AND($V54="Sub",$H54&lt;&gt;""),"Las subactividades no llevan peso (valen igual dentro de su macroactividad)"&amp;" · ","")&amp;IF(AND(N($W54)&gt;0,COUNT($I54:$L54)&gt;0),"Con subactividades: deje vacías las semanas (se calculan solas)"&amp;" · ","")&amp;IF((COUNTIF($I54:$L54,"&gt;1")+COUNTIF($I54:$L54,"&lt;0")+COUNTA($I54:$L54)-COUNT($I54:$L54))&gt;0,"Avance fuera de rango 0-100%"&amp;" · ","")&amp;IF(OR(AND($J54&lt;&gt;"",$J54&lt;$I54),AND($K54&lt;&gt;"",$K54&lt;MAX($I54:$J54)),AND($L54&lt;&gt;"",$L54&lt;MAX($I54:$K54))),"Avance semanal decreciente"&amp;" · ","")&amp;IF(AND(ISNUMBER($AN54),$AN54&lt;FechaRef,IF($V54="Sub",N($X54),N($M54))&lt;1),"Vencida"&amp;" · ","")&amp;IF(AND(ObsObligatoria="Sí",ISNUMBER($AN54),$AN54&lt;FechaRef,IF($V54="Sub",N($X54),N($M54))&lt;1,$Q54=""),"Vencida sin observación"&amp;" · ",""))="","✔ OK","⚠ "&amp;LEFT(IF($C54="","Falta el nombre de la actividad"&amp;" · ","")&amp;IF(AND($V54="Sub",N($U54)=0),"Subactividad sin macroactividad arriba"&amp;" · ","")&amp;IF($AM54="","Sin fecha de inicio"&amp;" · ","")&amp;IF($AN54="","Sin fecha límite"&amp;" · ","")&amp;IF(AND(LEFT($C54,11)="[Jefatura] ",N($AL54)=0),"No se encuentra en la hoja de la jefatura (elíjala de nuevo en la lista)"&amp;" · ","")&amp;IF(OR(AND($E54&lt;&gt;"",NOT(ISNUMBER($E54))),AND($F54&lt;&gt;"",NOT(ISNUMBER($F54))),AND($G54&lt;&gt;"",NOT(ISNUMBER($G54)))),"Fecha no válida"&amp;" · ","")&amp;IF(AND(ISNUMBER($AM54),ISNUMBER($AN54),$AM54&gt;$AN54),"Inicio posterior a fecha límite"&amp;" · ","")&amp;IF(AND($V54="Macro",$H54&lt;&gt;"",OR(NOT(ISNUMBER($H54)),$H54&lt;0,$H54&gt;1)),"Peso fuera de rango"&amp;" · ","")&amp;IF(AND($V54="Sub",$H54&lt;&gt;""),"Las subactividades no llevan peso (valen igual dentro de su macroactividad)"&amp;" · ","")&amp;IF(AND(N($W54)&gt;0,COUNT($I54:$L54)&gt;0),"Con subactividades: deje vacías las semanas (se calculan solas)"&amp;" · ","")&amp;IF((COUNTIF($I54:$L54,"&gt;1")+COUNTIF($I54:$L54,"&lt;0")+COUNTA($I54:$L54)-COUNT($I54:$L54))&gt;0,"Avance fuera de rango 0-100%"&amp;" · ","")&amp;IF(OR(AND($J54&lt;&gt;"",$J54&lt;$I54),AND($K54&lt;&gt;"",$K54&lt;MAX($I54:$J54)),AND($L54&lt;&gt;"",$L54&lt;MAX($I54:$K54))),"Avance semanal decreciente"&amp;" · ","")&amp;IF(AND(ISNUMBER($AN54),$AN54&lt;FechaRef,IF($V54="Sub",N($X54),N($M54))&lt;1),"Vencida"&amp;" · ","")&amp;IF(AND(ObsObligatoria="Sí",ISNUMBER($AN54),$AN54&lt;FechaRef,IF($V54="Sub",N($X54),N($M54))&lt;1,$Q54=""),"Vencida sin observación"&amp;" · ",""),LEN(IF($C54="","Falta el nombre de la actividad"&amp;" · ","")&amp;IF(AND($V54="Sub",N($U54)=0),"Subactividad sin macroactividad arriba"&amp;" · ","")&amp;IF($AM54="","Sin fecha de inicio"&amp;" · ","")&amp;IF($AN54="","Sin fecha límite"&amp;" · ","")&amp;IF(AND(LEFT($C54,11)="[Jefatura] ",N($AL54)=0),"No se encuentra en la hoja de la jefatura (elíjala de nuevo en la lista)"&amp;" · ","")&amp;IF(OR(AND($E54&lt;&gt;"",NOT(ISNUMBER($E54))),AND($F54&lt;&gt;"",NOT(ISNUMBER($F54))),AND($G54&lt;&gt;"",NOT(ISNUMBER($G54)))),"Fecha no válida"&amp;" · ","")&amp;IF(AND(ISNUMBER($AM54),ISNUMBER($AN54),$AM54&gt;$AN54),"Inicio posterior a fecha límite"&amp;" · ","")&amp;IF(AND($V54="Macro",$H54&lt;&gt;"",OR(NOT(ISNUMBER($H54)),$H54&lt;0,$H54&gt;1)),"Peso fuera de rango"&amp;" · ","")&amp;IF(AND($V54="Sub",$H54&lt;&gt;""),"Las subactividades no llevan peso (valen igual dentro de su macroactividad)"&amp;" · ","")&amp;IF(AND(N($W54)&gt;0,COUNT($I54:$L54)&gt;0),"Con subactividades: deje vacías las semanas (se calculan solas)"&amp;" · ","")&amp;IF((COUNTIF($I54:$L54,"&gt;1")+COUNTIF($I54:$L54,"&lt;0")+COUNTA($I54:$L54)-COUNT($I54:$L54))&gt;0,"Avance fuera de rango 0-100%"&amp;" · ","")&amp;IF(OR(AND($J54&lt;&gt;"",$J54&lt;$I54),AND($K54&lt;&gt;"",$K54&lt;MAX($I54:$J54)),AND($L54&lt;&gt;"",$L54&lt;MAX($I54:$K54))),"Avance semanal decreciente"&amp;" · ","")&amp;IF(AND(ISNUMBER($AN54),$AN54&lt;FechaRef,IF($V54="Sub",N($X54),N($M54))&lt;1),"Vencida"&amp;" · ","")&amp;IF(AND(ObsObligatoria="Sí",ISNUMBER($AN54),$AN54&lt;FechaRef,IF($V54="Sub",N($X54),N($M54))&lt;1,$Q54=""),"Vencida sin observación"&amp;" · ",""))-3)))</f>
        <v/>
      </c>
      <c r="S54" s="64">
        <f>IF(NOT((COUNTA($B54:$D54)+COUNTA($G54:$L54)+COUNTA($Q54))&gt;0),"",IF(AND($V54="Sub",N($U54)&gt;0),IF(ISNUMBER(INDEX($AM$5:$AM$1000,$U54-4)),DATE(YEAR(INDEX($AM$5:$AM$1000,$U54-4)),MONTH(INDEX($AM$5:$AM$1000,$U54-4)),1),IF(ISNUMBER(INDEX($AN$5:$AN$1000,$U54-4)),DATE(YEAR(INDEX($AN$5:$AN$1000,$U54-4)),MONTH(INDEX($AN$5:$AN$1000,$U54-4)),1),MesCiclo)),IF(ISNUMBER($AM54),DATE(YEAR($AM54),MONTH($AM54),1),IF(ISNUMBER($AN54),DATE(YEAR($AN54),MONTH($AN54),1),MesCiclo))))</f>
        <v/>
      </c>
      <c r="T54" s="62">
        <f>IF(OR($S54="",$S54&lt;&gt;MesCiclo,$V54&lt;&gt;"Macro"),"",COUNTIFS($S$5:$S54,MesCiclo,$V$5:$V54,"Macro"))</f>
        <v/>
      </c>
      <c r="U54" s="62">
        <f>IF($V54="","",IF($V54="Macro",ROW(),IFERROR(LOOKUP(2,1/($V$5:$V54="Macro"),ROW($V$5:$V54)),0)))</f>
        <v/>
      </c>
      <c r="V54" s="62">
        <f>IF(NOT((COUNTA($B54:$D54)+COUNTA($G54:$L54)+COUNTA($Q54))&gt;0),"",IF($B54="Subactividad","Sub","Macro"))</f>
        <v/>
      </c>
      <c r="W54" s="62">
        <f>IF($V54="Macro",COUNTIFS($U$5:$U$1000,ROW(),$V$5:$V$1000,"Sub"),"")</f>
        <v/>
      </c>
      <c r="X54" s="62">
        <f>IF($V54="","",IF(ISNUMBER($G54),1,IFERROR(LOOKUP(2,1/($I54:$L54&lt;&gt;""),$I54:$L54),0)))</f>
        <v/>
      </c>
      <c r="Y54" s="62">
        <f>IF($V54="","",IF(AND(ISNUMBER($G54),$G54&lt;=IF($S54=MesCiclo,InicioCiclo,$S54+MOD(2-WEEKDAY($S54),7))+6),1,IF(ISNUMBER($I54),$I54,0)))</f>
        <v/>
      </c>
      <c r="Z54" s="62">
        <f>IF($V54="","",IF(AND(ISNUMBER($G54),$G54&lt;=IF($S54=MesCiclo,InicioCiclo,$S54+MOD(2-WEEKDAY($S54),7))+13),1,IF(ISNUMBER($J54),$J54,$Y54)))</f>
        <v/>
      </c>
      <c r="AA54" s="62">
        <f>IF($V54="","",IF(AND(ISNUMBER($G54),$G54&lt;=IF($S54=MesCiclo,InicioCiclo,$S54+MOD(2-WEEKDAY($S54),7))+20),1,IF(ISNUMBER($K54),$K54,$Z54)))</f>
        <v/>
      </c>
      <c r="AB54" s="62">
        <f>IF($V54="","",IF(AND(ISNUMBER($G54),$G54&lt;=IF($S54=MesCiclo,InicioCiclo,$S54+MOD(2-WEEKDAY($S54),7))+27),1,IF(ISNUMBER($L54),$L54,$AA54)))</f>
        <v/>
      </c>
      <c r="AC54" s="62">
        <f>IF($V54="","",IF(AND(ISNUMBER($G54),$G54&lt;=IF($S54=MesCiclo,InicioCiclo,$S54+MOD(2-WEEKDAY($S54),7))+6),1,IF(N($W54)&gt;0,AVERAGEIFS($Y$5:$Y$1000,$U$5:$U$1000,ROW(),$V$5:$V$1000,"Sub"),$Y54)))</f>
        <v/>
      </c>
      <c r="AD54" s="62">
        <f>IF($V54="","",IF(AND(ISNUMBER($G54),$G54&lt;=IF($S54=MesCiclo,InicioCiclo,$S54+MOD(2-WEEKDAY($S54),7))+13),1,IF(N($W54)&gt;0,AVERAGEIFS($Z$5:$Z$1000,$U$5:$U$1000,ROW(),$V$5:$V$1000,"Sub"),$Z54)))</f>
        <v/>
      </c>
      <c r="AE54" s="62">
        <f>IF($V54="","",IF(AND(ISNUMBER($G54),$G54&lt;=IF($S54=MesCiclo,InicioCiclo,$S54+MOD(2-WEEKDAY($S54),7))+20),1,IF(N($W54)&gt;0,AVERAGEIFS($AA$5:$AA$1000,$U$5:$U$1000,ROW(),$V$5:$V$1000,"Sub"),$AA54)))</f>
        <v/>
      </c>
      <c r="AF54" s="62">
        <f>IF($V54="","",IF(AND(ISNUMBER($G54),$G54&lt;=IF($S54=MesCiclo,InicioCiclo,$S54+MOD(2-WEEKDAY($S54),7))+27),1,IF(N($W54)&gt;0,AVERAGEIFS($AB$5:$AB$1000,$U$5:$U$1000,ROW(),$V$5:$V$1000,"Sub"),$AB54)))</f>
        <v/>
      </c>
      <c r="AG54" s="62">
        <f>IF($V54&lt;&gt;"Macro","",IF(COUNTIFS($S$5:$S$1000,$S54,$V$5:$V$1000,"Macro",$H$5:$H$1000,"&gt;0")=0,1/COUNTIFS($S$5:$S$1000,$S54,$V$5:$V$1000,"Macro"),IF(AND(ISNUMBER($H54),N($H54)&gt;0),$H54,SUMIFS($H$5:$H$1000,$S$5:$S$1000,$S54,$V$5:$V$1000,"Macro")/COUNTIFS($S$5:$S$1000,$S54,$V$5:$V$1000,"Macro",$H$5:$H$1000,"&gt;0"))/(COUNTIFS($S$5:$S$1000,$S54,$V$5:$V$1000,"Macro")*SUMIFS($H$5:$H$1000,$S$5:$S$1000,$S54,$V$5:$V$1000,"Macro")/COUNTIFS($S$5:$S$1000,$S54,$V$5:$V$1000,"Macro",$H$5:$H$1000,"&gt;0"))))</f>
        <v/>
      </c>
      <c r="AH54" s="62" t="n"/>
      <c r="AI54" s="62" t="n"/>
      <c r="AJ54" s="62" t="n"/>
      <c r="AK54" s="62" t="n"/>
      <c r="AL54" s="62">
        <f>IF(LEFT($C54,11)="[Jefatura] ",IFERROR(MATCH("Riesgo Financiero|"&amp;MID($C54,12,500),rDname_ADM,0),0),"")</f>
        <v/>
      </c>
      <c r="AM54" s="62">
        <f>IF(N($AL54)&gt;0,INDEX(rIni_ADM,$AL54),IF(ISNUMBER($E54),$E54,""))</f>
        <v/>
      </c>
      <c r="AN54" s="62">
        <f>IF(N($AL54)&gt;0,INDEX(rLim_ADM,$AL54),IF(ISNUMBER($F54),$F54,""))</f>
        <v/>
      </c>
    </row>
    <row r="55">
      <c r="A55" s="56">
        <f>IF(NOT((COUNTA($B55:$D55)+COUNTA($G55:$L55)+COUNTA($Q55))&gt;0),"",IF($V55="Macro",COUNTIFS($V$5:$V55,"Macro",$S$5:$S55,$S55),IF(N($U55)=0,"?",COUNTIFS(INDEX($V$5:$V$1000,1):INDEX($V$5:$V$1000,$U55-4),"Macro",INDEX($S$5:$S$1000,1):INDEX($S$5:$S$1000,$U55-4),INDEX($S$5:$S$1000,$U55-4))&amp;"."&amp;COUNTIFS($U$5:$U55,$U55,$V$5:$V55,"Sub"))))</f>
        <v/>
      </c>
      <c r="B55" s="57" t="n"/>
      <c r="C55" s="58" t="n"/>
      <c r="D55" s="58" t="n"/>
      <c r="E55" s="59">
        <f>IF(N($AL55)&gt;0,INDEX(rIni_ADM,$AL55),"")</f>
        <v/>
      </c>
      <c r="F55" s="59">
        <f>IF(N($AL55)&gt;0,INDEX(rLim_ADM,$AL55),"")</f>
        <v/>
      </c>
      <c r="G55" s="59" t="n"/>
      <c r="H55" s="60" t="n"/>
      <c r="I55" s="60" t="n"/>
      <c r="J55" s="60" t="n"/>
      <c r="K55" s="60" t="n"/>
      <c r="L55" s="60" t="n"/>
      <c r="M55" s="61">
        <f>IF(NOT((COUNTA($B55:$D55)+COUNTA($G55:$L55)+COUNTA($Q55))&gt;0),"",IF($V55="Sub",IFERROR($X55/INDEX($W$5:$W$1000,$U55-4),""),IF(ISNUMBER($G55),1,IF(N($W55)&gt;0,AVERAGEIFS($X$5:$X$1000,$U$5:$U$1000,ROW(),$V$5:$V$1000,"Sub"),$X55))))</f>
        <v/>
      </c>
      <c r="N55" s="56">
        <f>IF(OR($M55="",$V55="Sub"),"",IF($M55&gt;=1,"Completado",IF($M55&gt;0,"En curso","Pendiente")))</f>
        <v/>
      </c>
      <c r="O55" s="56">
        <f>IF(OR(NOT((COUNTA($B55:$D55)+COUNTA($G55:$L55)+COUNTA($Q55))&gt;0),$V55="Sub"),"",IF(ISNUMBER($G55),IF(AND(ISNUMBER($AN55),$G55&gt;$AN55),"Cumplida con "&amp;($G55-$AN55)&amp;IF($G55-$AN55=1," día"," días")&amp;" de retraso","Cumplida"),IF(N($M55)&gt;=1,"Cumplida",IF(NOT(ISNUMBER($AN55)),"Sin fecha límite",IF($AN55&lt;FechaRef,"Vencida hace "&amp;(FechaRef-$AN55)&amp;IF(FechaRef-$AN55=1," día"," días"),IF($AN55=FechaRef,"Vence hoy",IF($AN55-FechaRef&lt;=DiasAlerta,"Vence en "&amp;($AN55-FechaRef)&amp;IF($AN55-FechaRef=1," día"," días"),"En plazo")))))))</f>
        <v/>
      </c>
      <c r="P55" s="62" t="n"/>
      <c r="Q55" s="58" t="n"/>
      <c r="R55" s="63">
        <f>IF(NOT((COUNTA($B55:$D55)+COUNTA($G55:$L55)+COUNTA($Q55))&gt;0),"",IF((IF($C55="","Falta el nombre de la actividad"&amp;" · ","")&amp;IF(AND($V55="Sub",N($U55)=0),"Subactividad sin macroactividad arriba"&amp;" · ","")&amp;IF($AM55="","Sin fecha de inicio"&amp;" · ","")&amp;IF($AN55="","Sin fecha límite"&amp;" · ","")&amp;IF(AND(LEFT($C55,11)="[Jefatura] ",N($AL55)=0),"No se encuentra en la hoja de la jefatura (elíjala de nuevo en la lista)"&amp;" · ","")&amp;IF(OR(AND($E55&lt;&gt;"",NOT(ISNUMBER($E55))),AND($F55&lt;&gt;"",NOT(ISNUMBER($F55))),AND($G55&lt;&gt;"",NOT(ISNUMBER($G55)))),"Fecha no válida"&amp;" · ","")&amp;IF(AND(ISNUMBER($AM55),ISNUMBER($AN55),$AM55&gt;$AN55),"Inicio posterior a fecha límite"&amp;" · ","")&amp;IF(AND($V55="Macro",$H55&lt;&gt;"",OR(NOT(ISNUMBER($H55)),$H55&lt;0,$H55&gt;1)),"Peso fuera de rango"&amp;" · ","")&amp;IF(AND($V55="Sub",$H55&lt;&gt;""),"Las subactividades no llevan peso (valen igual dentro de su macroactividad)"&amp;" · ","")&amp;IF(AND(N($W55)&gt;0,COUNT($I55:$L55)&gt;0),"Con subactividades: deje vacías las semanas (se calculan solas)"&amp;" · ","")&amp;IF((COUNTIF($I55:$L55,"&gt;1")+COUNTIF($I55:$L55,"&lt;0")+COUNTA($I55:$L55)-COUNT($I55:$L55))&gt;0,"Avance fuera de rango 0-100%"&amp;" · ","")&amp;IF(OR(AND($J55&lt;&gt;"",$J55&lt;$I55),AND($K55&lt;&gt;"",$K55&lt;MAX($I55:$J55)),AND($L55&lt;&gt;"",$L55&lt;MAX($I55:$K55))),"Avance semanal decreciente"&amp;" · ","")&amp;IF(AND(ISNUMBER($AN55),$AN55&lt;FechaRef,IF($V55="Sub",N($X55),N($M55))&lt;1),"Vencida"&amp;" · ","")&amp;IF(AND(ObsObligatoria="Sí",ISNUMBER($AN55),$AN55&lt;FechaRef,IF($V55="Sub",N($X55),N($M55))&lt;1,$Q55=""),"Vencida sin observación"&amp;" · ",""))="","✔ OK","⚠ "&amp;LEFT(IF($C55="","Falta el nombre de la actividad"&amp;" · ","")&amp;IF(AND($V55="Sub",N($U55)=0),"Subactividad sin macroactividad arriba"&amp;" · ","")&amp;IF($AM55="","Sin fecha de inicio"&amp;" · ","")&amp;IF($AN55="","Sin fecha límite"&amp;" · ","")&amp;IF(AND(LEFT($C55,11)="[Jefatura] ",N($AL55)=0),"No se encuentra en la hoja de la jefatura (elíjala de nuevo en la lista)"&amp;" · ","")&amp;IF(OR(AND($E55&lt;&gt;"",NOT(ISNUMBER($E55))),AND($F55&lt;&gt;"",NOT(ISNUMBER($F55))),AND($G55&lt;&gt;"",NOT(ISNUMBER($G55)))),"Fecha no válida"&amp;" · ","")&amp;IF(AND(ISNUMBER($AM55),ISNUMBER($AN55),$AM55&gt;$AN55),"Inicio posterior a fecha límite"&amp;" · ","")&amp;IF(AND($V55="Macro",$H55&lt;&gt;"",OR(NOT(ISNUMBER($H55)),$H55&lt;0,$H55&gt;1)),"Peso fuera de rango"&amp;" · ","")&amp;IF(AND($V55="Sub",$H55&lt;&gt;""),"Las subactividades no llevan peso (valen igual dentro de su macroactividad)"&amp;" · ","")&amp;IF(AND(N($W55)&gt;0,COUNT($I55:$L55)&gt;0),"Con subactividades: deje vacías las semanas (se calculan solas)"&amp;" · ","")&amp;IF((COUNTIF($I55:$L55,"&gt;1")+COUNTIF($I55:$L55,"&lt;0")+COUNTA($I55:$L55)-COUNT($I55:$L55))&gt;0,"Avance fuera de rango 0-100%"&amp;" · ","")&amp;IF(OR(AND($J55&lt;&gt;"",$J55&lt;$I55),AND($K55&lt;&gt;"",$K55&lt;MAX($I55:$J55)),AND($L55&lt;&gt;"",$L55&lt;MAX($I55:$K55))),"Avance semanal decreciente"&amp;" · ","")&amp;IF(AND(ISNUMBER($AN55),$AN55&lt;FechaRef,IF($V55="Sub",N($X55),N($M55))&lt;1),"Vencida"&amp;" · ","")&amp;IF(AND(ObsObligatoria="Sí",ISNUMBER($AN55),$AN55&lt;FechaRef,IF($V55="Sub",N($X55),N($M55))&lt;1,$Q55=""),"Vencida sin observación"&amp;" · ",""),LEN(IF($C55="","Falta el nombre de la actividad"&amp;" · ","")&amp;IF(AND($V55="Sub",N($U55)=0),"Subactividad sin macroactividad arriba"&amp;" · ","")&amp;IF($AM55="","Sin fecha de inicio"&amp;" · ","")&amp;IF($AN55="","Sin fecha límite"&amp;" · ","")&amp;IF(AND(LEFT($C55,11)="[Jefatura] ",N($AL55)=0),"No se encuentra en la hoja de la jefatura (elíjala de nuevo en la lista)"&amp;" · ","")&amp;IF(OR(AND($E55&lt;&gt;"",NOT(ISNUMBER($E55))),AND($F55&lt;&gt;"",NOT(ISNUMBER($F55))),AND($G55&lt;&gt;"",NOT(ISNUMBER($G55)))),"Fecha no válida"&amp;" · ","")&amp;IF(AND(ISNUMBER($AM55),ISNUMBER($AN55),$AM55&gt;$AN55),"Inicio posterior a fecha límite"&amp;" · ","")&amp;IF(AND($V55="Macro",$H55&lt;&gt;"",OR(NOT(ISNUMBER($H55)),$H55&lt;0,$H55&gt;1)),"Peso fuera de rango"&amp;" · ","")&amp;IF(AND($V55="Sub",$H55&lt;&gt;""),"Las subactividades no llevan peso (valen igual dentro de su macroactividad)"&amp;" · ","")&amp;IF(AND(N($W55)&gt;0,COUNT($I55:$L55)&gt;0),"Con subactividades: deje vacías las semanas (se calculan solas)"&amp;" · ","")&amp;IF((COUNTIF($I55:$L55,"&gt;1")+COUNTIF($I55:$L55,"&lt;0")+COUNTA($I55:$L55)-COUNT($I55:$L55))&gt;0,"Avance fuera de rango 0-100%"&amp;" · ","")&amp;IF(OR(AND($J55&lt;&gt;"",$J55&lt;$I55),AND($K55&lt;&gt;"",$K55&lt;MAX($I55:$J55)),AND($L55&lt;&gt;"",$L55&lt;MAX($I55:$K55))),"Avance semanal decreciente"&amp;" · ","")&amp;IF(AND(ISNUMBER($AN55),$AN55&lt;FechaRef,IF($V55="Sub",N($X55),N($M55))&lt;1),"Vencida"&amp;" · ","")&amp;IF(AND(ObsObligatoria="Sí",ISNUMBER($AN55),$AN55&lt;FechaRef,IF($V55="Sub",N($X55),N($M55))&lt;1,$Q55=""),"Vencida sin observación"&amp;" · ",""))-3)))</f>
        <v/>
      </c>
      <c r="S55" s="64">
        <f>IF(NOT((COUNTA($B55:$D55)+COUNTA($G55:$L55)+COUNTA($Q55))&gt;0),"",IF(AND($V55="Sub",N($U55)&gt;0),IF(ISNUMBER(INDEX($AM$5:$AM$1000,$U55-4)),DATE(YEAR(INDEX($AM$5:$AM$1000,$U55-4)),MONTH(INDEX($AM$5:$AM$1000,$U55-4)),1),IF(ISNUMBER(INDEX($AN$5:$AN$1000,$U55-4)),DATE(YEAR(INDEX($AN$5:$AN$1000,$U55-4)),MONTH(INDEX($AN$5:$AN$1000,$U55-4)),1),MesCiclo)),IF(ISNUMBER($AM55),DATE(YEAR($AM55),MONTH($AM55),1),IF(ISNUMBER($AN55),DATE(YEAR($AN55),MONTH($AN55),1),MesCiclo))))</f>
        <v/>
      </c>
      <c r="T55" s="62">
        <f>IF(OR($S55="",$S55&lt;&gt;MesCiclo,$V55&lt;&gt;"Macro"),"",COUNTIFS($S$5:$S55,MesCiclo,$V$5:$V55,"Macro"))</f>
        <v/>
      </c>
      <c r="U55" s="62">
        <f>IF($V55="","",IF($V55="Macro",ROW(),IFERROR(LOOKUP(2,1/($V$5:$V55="Macro"),ROW($V$5:$V55)),0)))</f>
        <v/>
      </c>
      <c r="V55" s="62">
        <f>IF(NOT((COUNTA($B55:$D55)+COUNTA($G55:$L55)+COUNTA($Q55))&gt;0),"",IF($B55="Subactividad","Sub","Macro"))</f>
        <v/>
      </c>
      <c r="W55" s="62">
        <f>IF($V55="Macro",COUNTIFS($U$5:$U$1000,ROW(),$V$5:$V$1000,"Sub"),"")</f>
        <v/>
      </c>
      <c r="X55" s="62">
        <f>IF($V55="","",IF(ISNUMBER($G55),1,IFERROR(LOOKUP(2,1/($I55:$L55&lt;&gt;""),$I55:$L55),0)))</f>
        <v/>
      </c>
      <c r="Y55" s="62">
        <f>IF($V55="","",IF(AND(ISNUMBER($G55),$G55&lt;=IF($S55=MesCiclo,InicioCiclo,$S55+MOD(2-WEEKDAY($S55),7))+6),1,IF(ISNUMBER($I55),$I55,0)))</f>
        <v/>
      </c>
      <c r="Z55" s="62">
        <f>IF($V55="","",IF(AND(ISNUMBER($G55),$G55&lt;=IF($S55=MesCiclo,InicioCiclo,$S55+MOD(2-WEEKDAY($S55),7))+13),1,IF(ISNUMBER($J55),$J55,$Y55)))</f>
        <v/>
      </c>
      <c r="AA55" s="62">
        <f>IF($V55="","",IF(AND(ISNUMBER($G55),$G55&lt;=IF($S55=MesCiclo,InicioCiclo,$S55+MOD(2-WEEKDAY($S55),7))+20),1,IF(ISNUMBER($K55),$K55,$Z55)))</f>
        <v/>
      </c>
      <c r="AB55" s="62">
        <f>IF($V55="","",IF(AND(ISNUMBER($G55),$G55&lt;=IF($S55=MesCiclo,InicioCiclo,$S55+MOD(2-WEEKDAY($S55),7))+27),1,IF(ISNUMBER($L55),$L55,$AA55)))</f>
        <v/>
      </c>
      <c r="AC55" s="62">
        <f>IF($V55="","",IF(AND(ISNUMBER($G55),$G55&lt;=IF($S55=MesCiclo,InicioCiclo,$S55+MOD(2-WEEKDAY($S55),7))+6),1,IF(N($W55)&gt;0,AVERAGEIFS($Y$5:$Y$1000,$U$5:$U$1000,ROW(),$V$5:$V$1000,"Sub"),$Y55)))</f>
        <v/>
      </c>
      <c r="AD55" s="62">
        <f>IF($V55="","",IF(AND(ISNUMBER($G55),$G55&lt;=IF($S55=MesCiclo,InicioCiclo,$S55+MOD(2-WEEKDAY($S55),7))+13),1,IF(N($W55)&gt;0,AVERAGEIFS($Z$5:$Z$1000,$U$5:$U$1000,ROW(),$V$5:$V$1000,"Sub"),$Z55)))</f>
        <v/>
      </c>
      <c r="AE55" s="62">
        <f>IF($V55="","",IF(AND(ISNUMBER($G55),$G55&lt;=IF($S55=MesCiclo,InicioCiclo,$S55+MOD(2-WEEKDAY($S55),7))+20),1,IF(N($W55)&gt;0,AVERAGEIFS($AA$5:$AA$1000,$U$5:$U$1000,ROW(),$V$5:$V$1000,"Sub"),$AA55)))</f>
        <v/>
      </c>
      <c r="AF55" s="62">
        <f>IF($V55="","",IF(AND(ISNUMBER($G55),$G55&lt;=IF($S55=MesCiclo,InicioCiclo,$S55+MOD(2-WEEKDAY($S55),7))+27),1,IF(N($W55)&gt;0,AVERAGEIFS($AB$5:$AB$1000,$U$5:$U$1000,ROW(),$V$5:$V$1000,"Sub"),$AB55)))</f>
        <v/>
      </c>
      <c r="AG55" s="62">
        <f>IF($V55&lt;&gt;"Macro","",IF(COUNTIFS($S$5:$S$1000,$S55,$V$5:$V$1000,"Macro",$H$5:$H$1000,"&gt;0")=0,1/COUNTIFS($S$5:$S$1000,$S55,$V$5:$V$1000,"Macro"),IF(AND(ISNUMBER($H55),N($H55)&gt;0),$H55,SUMIFS($H$5:$H$1000,$S$5:$S$1000,$S55,$V$5:$V$1000,"Macro")/COUNTIFS($S$5:$S$1000,$S55,$V$5:$V$1000,"Macro",$H$5:$H$1000,"&gt;0"))/(COUNTIFS($S$5:$S$1000,$S55,$V$5:$V$1000,"Macro")*SUMIFS($H$5:$H$1000,$S$5:$S$1000,$S55,$V$5:$V$1000,"Macro")/COUNTIFS($S$5:$S$1000,$S55,$V$5:$V$1000,"Macro",$H$5:$H$1000,"&gt;0"))))</f>
        <v/>
      </c>
      <c r="AH55" s="62" t="n"/>
      <c r="AI55" s="62" t="n"/>
      <c r="AJ55" s="62" t="n"/>
      <c r="AK55" s="62" t="n"/>
      <c r="AL55" s="62">
        <f>IF(LEFT($C55,11)="[Jefatura] ",IFERROR(MATCH("Riesgo Financiero|"&amp;MID($C55,12,500),rDname_ADM,0),0),"")</f>
        <v/>
      </c>
      <c r="AM55" s="62">
        <f>IF(N($AL55)&gt;0,INDEX(rIni_ADM,$AL55),IF(ISNUMBER($E55),$E55,""))</f>
        <v/>
      </c>
      <c r="AN55" s="62">
        <f>IF(N($AL55)&gt;0,INDEX(rLim_ADM,$AL55),IF(ISNUMBER($F55),$F55,""))</f>
        <v/>
      </c>
    </row>
    <row r="56">
      <c r="A56" s="56">
        <f>IF(NOT((COUNTA($B56:$D56)+COUNTA($G56:$L56)+COUNTA($Q56))&gt;0),"",IF($V56="Macro",COUNTIFS($V$5:$V56,"Macro",$S$5:$S56,$S56),IF(N($U56)=0,"?",COUNTIFS(INDEX($V$5:$V$1000,1):INDEX($V$5:$V$1000,$U56-4),"Macro",INDEX($S$5:$S$1000,1):INDEX($S$5:$S$1000,$U56-4),INDEX($S$5:$S$1000,$U56-4))&amp;"."&amp;COUNTIFS($U$5:$U56,$U56,$V$5:$V56,"Sub"))))</f>
        <v/>
      </c>
      <c r="B56" s="57" t="n"/>
      <c r="C56" s="58" t="n"/>
      <c r="D56" s="58" t="n"/>
      <c r="E56" s="59">
        <f>IF(N($AL56)&gt;0,INDEX(rIni_ADM,$AL56),"")</f>
        <v/>
      </c>
      <c r="F56" s="59">
        <f>IF(N($AL56)&gt;0,INDEX(rLim_ADM,$AL56),"")</f>
        <v/>
      </c>
      <c r="G56" s="59" t="n"/>
      <c r="H56" s="60" t="n"/>
      <c r="I56" s="60" t="n"/>
      <c r="J56" s="60" t="n"/>
      <c r="K56" s="60" t="n"/>
      <c r="L56" s="60" t="n"/>
      <c r="M56" s="61">
        <f>IF(NOT((COUNTA($B56:$D56)+COUNTA($G56:$L56)+COUNTA($Q56))&gt;0),"",IF($V56="Sub",IFERROR($X56/INDEX($W$5:$W$1000,$U56-4),""),IF(ISNUMBER($G56),1,IF(N($W56)&gt;0,AVERAGEIFS($X$5:$X$1000,$U$5:$U$1000,ROW(),$V$5:$V$1000,"Sub"),$X56))))</f>
        <v/>
      </c>
      <c r="N56" s="56">
        <f>IF(OR($M56="",$V56="Sub"),"",IF($M56&gt;=1,"Completado",IF($M56&gt;0,"En curso","Pendiente")))</f>
        <v/>
      </c>
      <c r="O56" s="56">
        <f>IF(OR(NOT((COUNTA($B56:$D56)+COUNTA($G56:$L56)+COUNTA($Q56))&gt;0),$V56="Sub"),"",IF(ISNUMBER($G56),IF(AND(ISNUMBER($AN56),$G56&gt;$AN56),"Cumplida con "&amp;($G56-$AN56)&amp;IF($G56-$AN56=1," día"," días")&amp;" de retraso","Cumplida"),IF(N($M56)&gt;=1,"Cumplida",IF(NOT(ISNUMBER($AN56)),"Sin fecha límite",IF($AN56&lt;FechaRef,"Vencida hace "&amp;(FechaRef-$AN56)&amp;IF(FechaRef-$AN56=1," día"," días"),IF($AN56=FechaRef,"Vence hoy",IF($AN56-FechaRef&lt;=DiasAlerta,"Vence en "&amp;($AN56-FechaRef)&amp;IF($AN56-FechaRef=1," día"," días"),"En plazo")))))))</f>
        <v/>
      </c>
      <c r="P56" s="62" t="n"/>
      <c r="Q56" s="58" t="n"/>
      <c r="R56" s="63">
        <f>IF(NOT((COUNTA($B56:$D56)+COUNTA($G56:$L56)+COUNTA($Q56))&gt;0),"",IF((IF($C56="","Falta el nombre de la actividad"&amp;" · ","")&amp;IF(AND($V56="Sub",N($U56)=0),"Subactividad sin macroactividad arriba"&amp;" · ","")&amp;IF($AM56="","Sin fecha de inicio"&amp;" · ","")&amp;IF($AN56="","Sin fecha límite"&amp;" · ","")&amp;IF(AND(LEFT($C56,11)="[Jefatura] ",N($AL56)=0),"No se encuentra en la hoja de la jefatura (elíjala de nuevo en la lista)"&amp;" · ","")&amp;IF(OR(AND($E56&lt;&gt;"",NOT(ISNUMBER($E56))),AND($F56&lt;&gt;"",NOT(ISNUMBER($F56))),AND($G56&lt;&gt;"",NOT(ISNUMBER($G56)))),"Fecha no válida"&amp;" · ","")&amp;IF(AND(ISNUMBER($AM56),ISNUMBER($AN56),$AM56&gt;$AN56),"Inicio posterior a fecha límite"&amp;" · ","")&amp;IF(AND($V56="Macro",$H56&lt;&gt;"",OR(NOT(ISNUMBER($H56)),$H56&lt;0,$H56&gt;1)),"Peso fuera de rango"&amp;" · ","")&amp;IF(AND($V56="Sub",$H56&lt;&gt;""),"Las subactividades no llevan peso (valen igual dentro de su macroactividad)"&amp;" · ","")&amp;IF(AND(N($W56)&gt;0,COUNT($I56:$L56)&gt;0),"Con subactividades: deje vacías las semanas (se calculan solas)"&amp;" · ","")&amp;IF((COUNTIF($I56:$L56,"&gt;1")+COUNTIF($I56:$L56,"&lt;0")+COUNTA($I56:$L56)-COUNT($I56:$L56))&gt;0,"Avance fuera de rango 0-100%"&amp;" · ","")&amp;IF(OR(AND($J56&lt;&gt;"",$J56&lt;$I56),AND($K56&lt;&gt;"",$K56&lt;MAX($I56:$J56)),AND($L56&lt;&gt;"",$L56&lt;MAX($I56:$K56))),"Avance semanal decreciente"&amp;" · ","")&amp;IF(AND(ISNUMBER($AN56),$AN56&lt;FechaRef,IF($V56="Sub",N($X56),N($M56))&lt;1),"Vencida"&amp;" · ","")&amp;IF(AND(ObsObligatoria="Sí",ISNUMBER($AN56),$AN56&lt;FechaRef,IF($V56="Sub",N($X56),N($M56))&lt;1,$Q56=""),"Vencida sin observación"&amp;" · ",""))="","✔ OK","⚠ "&amp;LEFT(IF($C56="","Falta el nombre de la actividad"&amp;" · ","")&amp;IF(AND($V56="Sub",N($U56)=0),"Subactividad sin macroactividad arriba"&amp;" · ","")&amp;IF($AM56="","Sin fecha de inicio"&amp;" · ","")&amp;IF($AN56="","Sin fecha límite"&amp;" · ","")&amp;IF(AND(LEFT($C56,11)="[Jefatura] ",N($AL56)=0),"No se encuentra en la hoja de la jefatura (elíjala de nuevo en la lista)"&amp;" · ","")&amp;IF(OR(AND($E56&lt;&gt;"",NOT(ISNUMBER($E56))),AND($F56&lt;&gt;"",NOT(ISNUMBER($F56))),AND($G56&lt;&gt;"",NOT(ISNUMBER($G56)))),"Fecha no válida"&amp;" · ","")&amp;IF(AND(ISNUMBER($AM56),ISNUMBER($AN56),$AM56&gt;$AN56),"Inicio posterior a fecha límite"&amp;" · ","")&amp;IF(AND($V56="Macro",$H56&lt;&gt;"",OR(NOT(ISNUMBER($H56)),$H56&lt;0,$H56&gt;1)),"Peso fuera de rango"&amp;" · ","")&amp;IF(AND($V56="Sub",$H56&lt;&gt;""),"Las subactividades no llevan peso (valen igual dentro de su macroactividad)"&amp;" · ","")&amp;IF(AND(N($W56)&gt;0,COUNT($I56:$L56)&gt;0),"Con subactividades: deje vacías las semanas (se calculan solas)"&amp;" · ","")&amp;IF((COUNTIF($I56:$L56,"&gt;1")+COUNTIF($I56:$L56,"&lt;0")+COUNTA($I56:$L56)-COUNT($I56:$L56))&gt;0,"Avance fuera de rango 0-100%"&amp;" · ","")&amp;IF(OR(AND($J56&lt;&gt;"",$J56&lt;$I56),AND($K56&lt;&gt;"",$K56&lt;MAX($I56:$J56)),AND($L56&lt;&gt;"",$L56&lt;MAX($I56:$K56))),"Avance semanal decreciente"&amp;" · ","")&amp;IF(AND(ISNUMBER($AN56),$AN56&lt;FechaRef,IF($V56="Sub",N($X56),N($M56))&lt;1),"Vencida"&amp;" · ","")&amp;IF(AND(ObsObligatoria="Sí",ISNUMBER($AN56),$AN56&lt;FechaRef,IF($V56="Sub",N($X56),N($M56))&lt;1,$Q56=""),"Vencida sin observación"&amp;" · ",""),LEN(IF($C56="","Falta el nombre de la actividad"&amp;" · ","")&amp;IF(AND($V56="Sub",N($U56)=0),"Subactividad sin macroactividad arriba"&amp;" · ","")&amp;IF($AM56="","Sin fecha de inicio"&amp;" · ","")&amp;IF($AN56="","Sin fecha límite"&amp;" · ","")&amp;IF(AND(LEFT($C56,11)="[Jefatura] ",N($AL56)=0),"No se encuentra en la hoja de la jefatura (elíjala de nuevo en la lista)"&amp;" · ","")&amp;IF(OR(AND($E56&lt;&gt;"",NOT(ISNUMBER($E56))),AND($F56&lt;&gt;"",NOT(ISNUMBER($F56))),AND($G56&lt;&gt;"",NOT(ISNUMBER($G56)))),"Fecha no válida"&amp;" · ","")&amp;IF(AND(ISNUMBER($AM56),ISNUMBER($AN56),$AM56&gt;$AN56),"Inicio posterior a fecha límite"&amp;" · ","")&amp;IF(AND($V56="Macro",$H56&lt;&gt;"",OR(NOT(ISNUMBER($H56)),$H56&lt;0,$H56&gt;1)),"Peso fuera de rango"&amp;" · ","")&amp;IF(AND($V56="Sub",$H56&lt;&gt;""),"Las subactividades no llevan peso (valen igual dentro de su macroactividad)"&amp;" · ","")&amp;IF(AND(N($W56)&gt;0,COUNT($I56:$L56)&gt;0),"Con subactividades: deje vacías las semanas (se calculan solas)"&amp;" · ","")&amp;IF((COUNTIF($I56:$L56,"&gt;1")+COUNTIF($I56:$L56,"&lt;0")+COUNTA($I56:$L56)-COUNT($I56:$L56))&gt;0,"Avance fuera de rango 0-100%"&amp;" · ","")&amp;IF(OR(AND($J56&lt;&gt;"",$J56&lt;$I56),AND($K56&lt;&gt;"",$K56&lt;MAX($I56:$J56)),AND($L56&lt;&gt;"",$L56&lt;MAX($I56:$K56))),"Avance semanal decreciente"&amp;" · ","")&amp;IF(AND(ISNUMBER($AN56),$AN56&lt;FechaRef,IF($V56="Sub",N($X56),N($M56))&lt;1),"Vencida"&amp;" · ","")&amp;IF(AND(ObsObligatoria="Sí",ISNUMBER($AN56),$AN56&lt;FechaRef,IF($V56="Sub",N($X56),N($M56))&lt;1,$Q56=""),"Vencida sin observación"&amp;" · ",""))-3)))</f>
        <v/>
      </c>
      <c r="S56" s="64">
        <f>IF(NOT((COUNTA($B56:$D56)+COUNTA($G56:$L56)+COUNTA($Q56))&gt;0),"",IF(AND($V56="Sub",N($U56)&gt;0),IF(ISNUMBER(INDEX($AM$5:$AM$1000,$U56-4)),DATE(YEAR(INDEX($AM$5:$AM$1000,$U56-4)),MONTH(INDEX($AM$5:$AM$1000,$U56-4)),1),IF(ISNUMBER(INDEX($AN$5:$AN$1000,$U56-4)),DATE(YEAR(INDEX($AN$5:$AN$1000,$U56-4)),MONTH(INDEX($AN$5:$AN$1000,$U56-4)),1),MesCiclo)),IF(ISNUMBER($AM56),DATE(YEAR($AM56),MONTH($AM56),1),IF(ISNUMBER($AN56),DATE(YEAR($AN56),MONTH($AN56),1),MesCiclo))))</f>
        <v/>
      </c>
      <c r="T56" s="62">
        <f>IF(OR($S56="",$S56&lt;&gt;MesCiclo,$V56&lt;&gt;"Macro"),"",COUNTIFS($S$5:$S56,MesCiclo,$V$5:$V56,"Macro"))</f>
        <v/>
      </c>
      <c r="U56" s="62">
        <f>IF($V56="","",IF($V56="Macro",ROW(),IFERROR(LOOKUP(2,1/($V$5:$V56="Macro"),ROW($V$5:$V56)),0)))</f>
        <v/>
      </c>
      <c r="V56" s="62">
        <f>IF(NOT((COUNTA($B56:$D56)+COUNTA($G56:$L56)+COUNTA($Q56))&gt;0),"",IF($B56="Subactividad","Sub","Macro"))</f>
        <v/>
      </c>
      <c r="W56" s="62">
        <f>IF($V56="Macro",COUNTIFS($U$5:$U$1000,ROW(),$V$5:$V$1000,"Sub"),"")</f>
        <v/>
      </c>
      <c r="X56" s="62">
        <f>IF($V56="","",IF(ISNUMBER($G56),1,IFERROR(LOOKUP(2,1/($I56:$L56&lt;&gt;""),$I56:$L56),0)))</f>
        <v/>
      </c>
      <c r="Y56" s="62">
        <f>IF($V56="","",IF(AND(ISNUMBER($G56),$G56&lt;=IF($S56=MesCiclo,InicioCiclo,$S56+MOD(2-WEEKDAY($S56),7))+6),1,IF(ISNUMBER($I56),$I56,0)))</f>
        <v/>
      </c>
      <c r="Z56" s="62">
        <f>IF($V56="","",IF(AND(ISNUMBER($G56),$G56&lt;=IF($S56=MesCiclo,InicioCiclo,$S56+MOD(2-WEEKDAY($S56),7))+13),1,IF(ISNUMBER($J56),$J56,$Y56)))</f>
        <v/>
      </c>
      <c r="AA56" s="62">
        <f>IF($V56="","",IF(AND(ISNUMBER($G56),$G56&lt;=IF($S56=MesCiclo,InicioCiclo,$S56+MOD(2-WEEKDAY($S56),7))+20),1,IF(ISNUMBER($K56),$K56,$Z56)))</f>
        <v/>
      </c>
      <c r="AB56" s="62">
        <f>IF($V56="","",IF(AND(ISNUMBER($G56),$G56&lt;=IF($S56=MesCiclo,InicioCiclo,$S56+MOD(2-WEEKDAY($S56),7))+27),1,IF(ISNUMBER($L56),$L56,$AA56)))</f>
        <v/>
      </c>
      <c r="AC56" s="62">
        <f>IF($V56="","",IF(AND(ISNUMBER($G56),$G56&lt;=IF($S56=MesCiclo,InicioCiclo,$S56+MOD(2-WEEKDAY($S56),7))+6),1,IF(N($W56)&gt;0,AVERAGEIFS($Y$5:$Y$1000,$U$5:$U$1000,ROW(),$V$5:$V$1000,"Sub"),$Y56)))</f>
        <v/>
      </c>
      <c r="AD56" s="62">
        <f>IF($V56="","",IF(AND(ISNUMBER($G56),$G56&lt;=IF($S56=MesCiclo,InicioCiclo,$S56+MOD(2-WEEKDAY($S56),7))+13),1,IF(N($W56)&gt;0,AVERAGEIFS($Z$5:$Z$1000,$U$5:$U$1000,ROW(),$V$5:$V$1000,"Sub"),$Z56)))</f>
        <v/>
      </c>
      <c r="AE56" s="62">
        <f>IF($V56="","",IF(AND(ISNUMBER($G56),$G56&lt;=IF($S56=MesCiclo,InicioCiclo,$S56+MOD(2-WEEKDAY($S56),7))+20),1,IF(N($W56)&gt;0,AVERAGEIFS($AA$5:$AA$1000,$U$5:$U$1000,ROW(),$V$5:$V$1000,"Sub"),$AA56)))</f>
        <v/>
      </c>
      <c r="AF56" s="62">
        <f>IF($V56="","",IF(AND(ISNUMBER($G56),$G56&lt;=IF($S56=MesCiclo,InicioCiclo,$S56+MOD(2-WEEKDAY($S56),7))+27),1,IF(N($W56)&gt;0,AVERAGEIFS($AB$5:$AB$1000,$U$5:$U$1000,ROW(),$V$5:$V$1000,"Sub"),$AB56)))</f>
        <v/>
      </c>
      <c r="AG56" s="62">
        <f>IF($V56&lt;&gt;"Macro","",IF(COUNTIFS($S$5:$S$1000,$S56,$V$5:$V$1000,"Macro",$H$5:$H$1000,"&gt;0")=0,1/COUNTIFS($S$5:$S$1000,$S56,$V$5:$V$1000,"Macro"),IF(AND(ISNUMBER($H56),N($H56)&gt;0),$H56,SUMIFS($H$5:$H$1000,$S$5:$S$1000,$S56,$V$5:$V$1000,"Macro")/COUNTIFS($S$5:$S$1000,$S56,$V$5:$V$1000,"Macro",$H$5:$H$1000,"&gt;0"))/(COUNTIFS($S$5:$S$1000,$S56,$V$5:$V$1000,"Macro")*SUMIFS($H$5:$H$1000,$S$5:$S$1000,$S56,$V$5:$V$1000,"Macro")/COUNTIFS($S$5:$S$1000,$S56,$V$5:$V$1000,"Macro",$H$5:$H$1000,"&gt;0"))))</f>
        <v/>
      </c>
      <c r="AH56" s="62" t="n"/>
      <c r="AI56" s="62" t="n"/>
      <c r="AJ56" s="62" t="n"/>
      <c r="AK56" s="62" t="n"/>
      <c r="AL56" s="62">
        <f>IF(LEFT($C56,11)="[Jefatura] ",IFERROR(MATCH("Riesgo Financiero|"&amp;MID($C56,12,500),rDname_ADM,0),0),"")</f>
        <v/>
      </c>
      <c r="AM56" s="62">
        <f>IF(N($AL56)&gt;0,INDEX(rIni_ADM,$AL56),IF(ISNUMBER($E56),$E56,""))</f>
        <v/>
      </c>
      <c r="AN56" s="62">
        <f>IF(N($AL56)&gt;0,INDEX(rLim_ADM,$AL56),IF(ISNUMBER($F56),$F56,""))</f>
        <v/>
      </c>
    </row>
    <row r="57">
      <c r="A57" s="56">
        <f>IF(NOT((COUNTA($B57:$D57)+COUNTA($G57:$L57)+COUNTA($Q57))&gt;0),"",IF($V57="Macro",COUNTIFS($V$5:$V57,"Macro",$S$5:$S57,$S57),IF(N($U57)=0,"?",COUNTIFS(INDEX($V$5:$V$1000,1):INDEX($V$5:$V$1000,$U57-4),"Macro",INDEX($S$5:$S$1000,1):INDEX($S$5:$S$1000,$U57-4),INDEX($S$5:$S$1000,$U57-4))&amp;"."&amp;COUNTIFS($U$5:$U57,$U57,$V$5:$V57,"Sub"))))</f>
        <v/>
      </c>
      <c r="B57" s="57" t="n"/>
      <c r="C57" s="58" t="n"/>
      <c r="D57" s="58" t="n"/>
      <c r="E57" s="59">
        <f>IF(N($AL57)&gt;0,INDEX(rIni_ADM,$AL57),"")</f>
        <v/>
      </c>
      <c r="F57" s="59">
        <f>IF(N($AL57)&gt;0,INDEX(rLim_ADM,$AL57),"")</f>
        <v/>
      </c>
      <c r="G57" s="59" t="n"/>
      <c r="H57" s="60" t="n"/>
      <c r="I57" s="60" t="n"/>
      <c r="J57" s="60" t="n"/>
      <c r="K57" s="60" t="n"/>
      <c r="L57" s="60" t="n"/>
      <c r="M57" s="61">
        <f>IF(NOT((COUNTA($B57:$D57)+COUNTA($G57:$L57)+COUNTA($Q57))&gt;0),"",IF($V57="Sub",IFERROR($X57/INDEX($W$5:$W$1000,$U57-4),""),IF(ISNUMBER($G57),1,IF(N($W57)&gt;0,AVERAGEIFS($X$5:$X$1000,$U$5:$U$1000,ROW(),$V$5:$V$1000,"Sub"),$X57))))</f>
        <v/>
      </c>
      <c r="N57" s="56">
        <f>IF(OR($M57="",$V57="Sub"),"",IF($M57&gt;=1,"Completado",IF($M57&gt;0,"En curso","Pendiente")))</f>
        <v/>
      </c>
      <c r="O57" s="56">
        <f>IF(OR(NOT((COUNTA($B57:$D57)+COUNTA($G57:$L57)+COUNTA($Q57))&gt;0),$V57="Sub"),"",IF(ISNUMBER($G57),IF(AND(ISNUMBER($AN57),$G57&gt;$AN57),"Cumplida con "&amp;($G57-$AN57)&amp;IF($G57-$AN57=1," día"," días")&amp;" de retraso","Cumplida"),IF(N($M57)&gt;=1,"Cumplida",IF(NOT(ISNUMBER($AN57)),"Sin fecha límite",IF($AN57&lt;FechaRef,"Vencida hace "&amp;(FechaRef-$AN57)&amp;IF(FechaRef-$AN57=1," día"," días"),IF($AN57=FechaRef,"Vence hoy",IF($AN57-FechaRef&lt;=DiasAlerta,"Vence en "&amp;($AN57-FechaRef)&amp;IF($AN57-FechaRef=1," día"," días"),"En plazo")))))))</f>
        <v/>
      </c>
      <c r="P57" s="62" t="n"/>
      <c r="Q57" s="58" t="n"/>
      <c r="R57" s="63">
        <f>IF(NOT((COUNTA($B57:$D57)+COUNTA($G57:$L57)+COUNTA($Q57))&gt;0),"",IF((IF($C57="","Falta el nombre de la actividad"&amp;" · ","")&amp;IF(AND($V57="Sub",N($U57)=0),"Subactividad sin macroactividad arriba"&amp;" · ","")&amp;IF($AM57="","Sin fecha de inicio"&amp;" · ","")&amp;IF($AN57="","Sin fecha límite"&amp;" · ","")&amp;IF(AND(LEFT($C57,11)="[Jefatura] ",N($AL57)=0),"No se encuentra en la hoja de la jefatura (elíjala de nuevo en la lista)"&amp;" · ","")&amp;IF(OR(AND($E57&lt;&gt;"",NOT(ISNUMBER($E57))),AND($F57&lt;&gt;"",NOT(ISNUMBER($F57))),AND($G57&lt;&gt;"",NOT(ISNUMBER($G57)))),"Fecha no válida"&amp;" · ","")&amp;IF(AND(ISNUMBER($AM57),ISNUMBER($AN57),$AM57&gt;$AN57),"Inicio posterior a fecha límite"&amp;" · ","")&amp;IF(AND($V57="Macro",$H57&lt;&gt;"",OR(NOT(ISNUMBER($H57)),$H57&lt;0,$H57&gt;1)),"Peso fuera de rango"&amp;" · ","")&amp;IF(AND($V57="Sub",$H57&lt;&gt;""),"Las subactividades no llevan peso (valen igual dentro de su macroactividad)"&amp;" · ","")&amp;IF(AND(N($W57)&gt;0,COUNT($I57:$L57)&gt;0),"Con subactividades: deje vacías las semanas (se calculan solas)"&amp;" · ","")&amp;IF((COUNTIF($I57:$L57,"&gt;1")+COUNTIF($I57:$L57,"&lt;0")+COUNTA($I57:$L57)-COUNT($I57:$L57))&gt;0,"Avance fuera de rango 0-100%"&amp;" · ","")&amp;IF(OR(AND($J57&lt;&gt;"",$J57&lt;$I57),AND($K57&lt;&gt;"",$K57&lt;MAX($I57:$J57)),AND($L57&lt;&gt;"",$L57&lt;MAX($I57:$K57))),"Avance semanal decreciente"&amp;" · ","")&amp;IF(AND(ISNUMBER($AN57),$AN57&lt;FechaRef,IF($V57="Sub",N($X57),N($M57))&lt;1),"Vencida"&amp;" · ","")&amp;IF(AND(ObsObligatoria="Sí",ISNUMBER($AN57),$AN57&lt;FechaRef,IF($V57="Sub",N($X57),N($M57))&lt;1,$Q57=""),"Vencida sin observación"&amp;" · ",""))="","✔ OK","⚠ "&amp;LEFT(IF($C57="","Falta el nombre de la actividad"&amp;" · ","")&amp;IF(AND($V57="Sub",N($U57)=0),"Subactividad sin macroactividad arriba"&amp;" · ","")&amp;IF($AM57="","Sin fecha de inicio"&amp;" · ","")&amp;IF($AN57="","Sin fecha límite"&amp;" · ","")&amp;IF(AND(LEFT($C57,11)="[Jefatura] ",N($AL57)=0),"No se encuentra en la hoja de la jefatura (elíjala de nuevo en la lista)"&amp;" · ","")&amp;IF(OR(AND($E57&lt;&gt;"",NOT(ISNUMBER($E57))),AND($F57&lt;&gt;"",NOT(ISNUMBER($F57))),AND($G57&lt;&gt;"",NOT(ISNUMBER($G57)))),"Fecha no válida"&amp;" · ","")&amp;IF(AND(ISNUMBER($AM57),ISNUMBER($AN57),$AM57&gt;$AN57),"Inicio posterior a fecha límite"&amp;" · ","")&amp;IF(AND($V57="Macro",$H57&lt;&gt;"",OR(NOT(ISNUMBER($H57)),$H57&lt;0,$H57&gt;1)),"Peso fuera de rango"&amp;" · ","")&amp;IF(AND($V57="Sub",$H57&lt;&gt;""),"Las subactividades no llevan peso (valen igual dentro de su macroactividad)"&amp;" · ","")&amp;IF(AND(N($W57)&gt;0,COUNT($I57:$L57)&gt;0),"Con subactividades: deje vacías las semanas (se calculan solas)"&amp;" · ","")&amp;IF((COUNTIF($I57:$L57,"&gt;1")+COUNTIF($I57:$L57,"&lt;0")+COUNTA($I57:$L57)-COUNT($I57:$L57))&gt;0,"Avance fuera de rango 0-100%"&amp;" · ","")&amp;IF(OR(AND($J57&lt;&gt;"",$J57&lt;$I57),AND($K57&lt;&gt;"",$K57&lt;MAX($I57:$J57)),AND($L57&lt;&gt;"",$L57&lt;MAX($I57:$K57))),"Avance semanal decreciente"&amp;" · ","")&amp;IF(AND(ISNUMBER($AN57),$AN57&lt;FechaRef,IF($V57="Sub",N($X57),N($M57))&lt;1),"Vencida"&amp;" · ","")&amp;IF(AND(ObsObligatoria="Sí",ISNUMBER($AN57),$AN57&lt;FechaRef,IF($V57="Sub",N($X57),N($M57))&lt;1,$Q57=""),"Vencida sin observación"&amp;" · ",""),LEN(IF($C57="","Falta el nombre de la actividad"&amp;" · ","")&amp;IF(AND($V57="Sub",N($U57)=0),"Subactividad sin macroactividad arriba"&amp;" · ","")&amp;IF($AM57="","Sin fecha de inicio"&amp;" · ","")&amp;IF($AN57="","Sin fecha límite"&amp;" · ","")&amp;IF(AND(LEFT($C57,11)="[Jefatura] ",N($AL57)=0),"No se encuentra en la hoja de la jefatura (elíjala de nuevo en la lista)"&amp;" · ","")&amp;IF(OR(AND($E57&lt;&gt;"",NOT(ISNUMBER($E57))),AND($F57&lt;&gt;"",NOT(ISNUMBER($F57))),AND($G57&lt;&gt;"",NOT(ISNUMBER($G57)))),"Fecha no válida"&amp;" · ","")&amp;IF(AND(ISNUMBER($AM57),ISNUMBER($AN57),$AM57&gt;$AN57),"Inicio posterior a fecha límite"&amp;" · ","")&amp;IF(AND($V57="Macro",$H57&lt;&gt;"",OR(NOT(ISNUMBER($H57)),$H57&lt;0,$H57&gt;1)),"Peso fuera de rango"&amp;" · ","")&amp;IF(AND($V57="Sub",$H57&lt;&gt;""),"Las subactividades no llevan peso (valen igual dentro de su macroactividad)"&amp;" · ","")&amp;IF(AND(N($W57)&gt;0,COUNT($I57:$L57)&gt;0),"Con subactividades: deje vacías las semanas (se calculan solas)"&amp;" · ","")&amp;IF((COUNTIF($I57:$L57,"&gt;1")+COUNTIF($I57:$L57,"&lt;0")+COUNTA($I57:$L57)-COUNT($I57:$L57))&gt;0,"Avance fuera de rango 0-100%"&amp;" · ","")&amp;IF(OR(AND($J57&lt;&gt;"",$J57&lt;$I57),AND($K57&lt;&gt;"",$K57&lt;MAX($I57:$J57)),AND($L57&lt;&gt;"",$L57&lt;MAX($I57:$K57))),"Avance semanal decreciente"&amp;" · ","")&amp;IF(AND(ISNUMBER($AN57),$AN57&lt;FechaRef,IF($V57="Sub",N($X57),N($M57))&lt;1),"Vencida"&amp;" · ","")&amp;IF(AND(ObsObligatoria="Sí",ISNUMBER($AN57),$AN57&lt;FechaRef,IF($V57="Sub",N($X57),N($M57))&lt;1,$Q57=""),"Vencida sin observación"&amp;" · ",""))-3)))</f>
        <v/>
      </c>
      <c r="S57" s="64">
        <f>IF(NOT((COUNTA($B57:$D57)+COUNTA($G57:$L57)+COUNTA($Q57))&gt;0),"",IF(AND($V57="Sub",N($U57)&gt;0),IF(ISNUMBER(INDEX($AM$5:$AM$1000,$U57-4)),DATE(YEAR(INDEX($AM$5:$AM$1000,$U57-4)),MONTH(INDEX($AM$5:$AM$1000,$U57-4)),1),IF(ISNUMBER(INDEX($AN$5:$AN$1000,$U57-4)),DATE(YEAR(INDEX($AN$5:$AN$1000,$U57-4)),MONTH(INDEX($AN$5:$AN$1000,$U57-4)),1),MesCiclo)),IF(ISNUMBER($AM57),DATE(YEAR($AM57),MONTH($AM57),1),IF(ISNUMBER($AN57),DATE(YEAR($AN57),MONTH($AN57),1),MesCiclo))))</f>
        <v/>
      </c>
      <c r="T57" s="62">
        <f>IF(OR($S57="",$S57&lt;&gt;MesCiclo,$V57&lt;&gt;"Macro"),"",COUNTIFS($S$5:$S57,MesCiclo,$V$5:$V57,"Macro"))</f>
        <v/>
      </c>
      <c r="U57" s="62">
        <f>IF($V57="","",IF($V57="Macro",ROW(),IFERROR(LOOKUP(2,1/($V$5:$V57="Macro"),ROW($V$5:$V57)),0)))</f>
        <v/>
      </c>
      <c r="V57" s="62">
        <f>IF(NOT((COUNTA($B57:$D57)+COUNTA($G57:$L57)+COUNTA($Q57))&gt;0),"",IF($B57="Subactividad","Sub","Macro"))</f>
        <v/>
      </c>
      <c r="W57" s="62">
        <f>IF($V57="Macro",COUNTIFS($U$5:$U$1000,ROW(),$V$5:$V$1000,"Sub"),"")</f>
        <v/>
      </c>
      <c r="X57" s="62">
        <f>IF($V57="","",IF(ISNUMBER($G57),1,IFERROR(LOOKUP(2,1/($I57:$L57&lt;&gt;""),$I57:$L57),0)))</f>
        <v/>
      </c>
      <c r="Y57" s="62">
        <f>IF($V57="","",IF(AND(ISNUMBER($G57),$G57&lt;=IF($S57=MesCiclo,InicioCiclo,$S57+MOD(2-WEEKDAY($S57),7))+6),1,IF(ISNUMBER($I57),$I57,0)))</f>
        <v/>
      </c>
      <c r="Z57" s="62">
        <f>IF($V57="","",IF(AND(ISNUMBER($G57),$G57&lt;=IF($S57=MesCiclo,InicioCiclo,$S57+MOD(2-WEEKDAY($S57),7))+13),1,IF(ISNUMBER($J57),$J57,$Y57)))</f>
        <v/>
      </c>
      <c r="AA57" s="62">
        <f>IF($V57="","",IF(AND(ISNUMBER($G57),$G57&lt;=IF($S57=MesCiclo,InicioCiclo,$S57+MOD(2-WEEKDAY($S57),7))+20),1,IF(ISNUMBER($K57),$K57,$Z57)))</f>
        <v/>
      </c>
      <c r="AB57" s="62">
        <f>IF($V57="","",IF(AND(ISNUMBER($G57),$G57&lt;=IF($S57=MesCiclo,InicioCiclo,$S57+MOD(2-WEEKDAY($S57),7))+27),1,IF(ISNUMBER($L57),$L57,$AA57)))</f>
        <v/>
      </c>
      <c r="AC57" s="62">
        <f>IF($V57="","",IF(AND(ISNUMBER($G57),$G57&lt;=IF($S57=MesCiclo,InicioCiclo,$S57+MOD(2-WEEKDAY($S57),7))+6),1,IF(N($W57)&gt;0,AVERAGEIFS($Y$5:$Y$1000,$U$5:$U$1000,ROW(),$V$5:$V$1000,"Sub"),$Y57)))</f>
        <v/>
      </c>
      <c r="AD57" s="62">
        <f>IF($V57="","",IF(AND(ISNUMBER($G57),$G57&lt;=IF($S57=MesCiclo,InicioCiclo,$S57+MOD(2-WEEKDAY($S57),7))+13),1,IF(N($W57)&gt;0,AVERAGEIFS($Z$5:$Z$1000,$U$5:$U$1000,ROW(),$V$5:$V$1000,"Sub"),$Z57)))</f>
        <v/>
      </c>
      <c r="AE57" s="62">
        <f>IF($V57="","",IF(AND(ISNUMBER($G57),$G57&lt;=IF($S57=MesCiclo,InicioCiclo,$S57+MOD(2-WEEKDAY($S57),7))+20),1,IF(N($W57)&gt;0,AVERAGEIFS($AA$5:$AA$1000,$U$5:$U$1000,ROW(),$V$5:$V$1000,"Sub"),$AA57)))</f>
        <v/>
      </c>
      <c r="AF57" s="62">
        <f>IF($V57="","",IF(AND(ISNUMBER($G57),$G57&lt;=IF($S57=MesCiclo,InicioCiclo,$S57+MOD(2-WEEKDAY($S57),7))+27),1,IF(N($W57)&gt;0,AVERAGEIFS($AB$5:$AB$1000,$U$5:$U$1000,ROW(),$V$5:$V$1000,"Sub"),$AB57)))</f>
        <v/>
      </c>
      <c r="AG57" s="62">
        <f>IF($V57&lt;&gt;"Macro","",IF(COUNTIFS($S$5:$S$1000,$S57,$V$5:$V$1000,"Macro",$H$5:$H$1000,"&gt;0")=0,1/COUNTIFS($S$5:$S$1000,$S57,$V$5:$V$1000,"Macro"),IF(AND(ISNUMBER($H57),N($H57)&gt;0),$H57,SUMIFS($H$5:$H$1000,$S$5:$S$1000,$S57,$V$5:$V$1000,"Macro")/COUNTIFS($S$5:$S$1000,$S57,$V$5:$V$1000,"Macro",$H$5:$H$1000,"&gt;0"))/(COUNTIFS($S$5:$S$1000,$S57,$V$5:$V$1000,"Macro")*SUMIFS($H$5:$H$1000,$S$5:$S$1000,$S57,$V$5:$V$1000,"Macro")/COUNTIFS($S$5:$S$1000,$S57,$V$5:$V$1000,"Macro",$H$5:$H$1000,"&gt;0"))))</f>
        <v/>
      </c>
      <c r="AH57" s="62" t="n"/>
      <c r="AI57" s="62" t="n"/>
      <c r="AJ57" s="62" t="n"/>
      <c r="AK57" s="62" t="n"/>
      <c r="AL57" s="62">
        <f>IF(LEFT($C57,11)="[Jefatura] ",IFERROR(MATCH("Riesgo Financiero|"&amp;MID($C57,12,500),rDname_ADM,0),0),"")</f>
        <v/>
      </c>
      <c r="AM57" s="62">
        <f>IF(N($AL57)&gt;0,INDEX(rIni_ADM,$AL57),IF(ISNUMBER($E57),$E57,""))</f>
        <v/>
      </c>
      <c r="AN57" s="62">
        <f>IF(N($AL57)&gt;0,INDEX(rLim_ADM,$AL57),IF(ISNUMBER($F57),$F57,""))</f>
        <v/>
      </c>
    </row>
    <row r="58">
      <c r="A58" s="56">
        <f>IF(NOT((COUNTA($B58:$D58)+COUNTA($G58:$L58)+COUNTA($Q58))&gt;0),"",IF($V58="Macro",COUNTIFS($V$5:$V58,"Macro",$S$5:$S58,$S58),IF(N($U58)=0,"?",COUNTIFS(INDEX($V$5:$V$1000,1):INDEX($V$5:$V$1000,$U58-4),"Macro",INDEX($S$5:$S$1000,1):INDEX($S$5:$S$1000,$U58-4),INDEX($S$5:$S$1000,$U58-4))&amp;"."&amp;COUNTIFS($U$5:$U58,$U58,$V$5:$V58,"Sub"))))</f>
        <v/>
      </c>
      <c r="B58" s="57" t="n"/>
      <c r="C58" s="58" t="n"/>
      <c r="D58" s="58" t="n"/>
      <c r="E58" s="59">
        <f>IF(N($AL58)&gt;0,INDEX(rIni_ADM,$AL58),"")</f>
        <v/>
      </c>
      <c r="F58" s="59">
        <f>IF(N($AL58)&gt;0,INDEX(rLim_ADM,$AL58),"")</f>
        <v/>
      </c>
      <c r="G58" s="59" t="n"/>
      <c r="H58" s="60" t="n"/>
      <c r="I58" s="60" t="n"/>
      <c r="J58" s="60" t="n"/>
      <c r="K58" s="60" t="n"/>
      <c r="L58" s="60" t="n"/>
      <c r="M58" s="61">
        <f>IF(NOT((COUNTA($B58:$D58)+COUNTA($G58:$L58)+COUNTA($Q58))&gt;0),"",IF($V58="Sub",IFERROR($X58/INDEX($W$5:$W$1000,$U58-4),""),IF(ISNUMBER($G58),1,IF(N($W58)&gt;0,AVERAGEIFS($X$5:$X$1000,$U$5:$U$1000,ROW(),$V$5:$V$1000,"Sub"),$X58))))</f>
        <v/>
      </c>
      <c r="N58" s="56">
        <f>IF(OR($M58="",$V58="Sub"),"",IF($M58&gt;=1,"Completado",IF($M58&gt;0,"En curso","Pendiente")))</f>
        <v/>
      </c>
      <c r="O58" s="56">
        <f>IF(OR(NOT((COUNTA($B58:$D58)+COUNTA($G58:$L58)+COUNTA($Q58))&gt;0),$V58="Sub"),"",IF(ISNUMBER($G58),IF(AND(ISNUMBER($AN58),$G58&gt;$AN58),"Cumplida con "&amp;($G58-$AN58)&amp;IF($G58-$AN58=1," día"," días")&amp;" de retraso","Cumplida"),IF(N($M58)&gt;=1,"Cumplida",IF(NOT(ISNUMBER($AN58)),"Sin fecha límite",IF($AN58&lt;FechaRef,"Vencida hace "&amp;(FechaRef-$AN58)&amp;IF(FechaRef-$AN58=1," día"," días"),IF($AN58=FechaRef,"Vence hoy",IF($AN58-FechaRef&lt;=DiasAlerta,"Vence en "&amp;($AN58-FechaRef)&amp;IF($AN58-FechaRef=1," día"," días"),"En plazo")))))))</f>
        <v/>
      </c>
      <c r="P58" s="62" t="n"/>
      <c r="Q58" s="58" t="n"/>
      <c r="R58" s="63">
        <f>IF(NOT((COUNTA($B58:$D58)+COUNTA($G58:$L58)+COUNTA($Q58))&gt;0),"",IF((IF($C58="","Falta el nombre de la actividad"&amp;" · ","")&amp;IF(AND($V58="Sub",N($U58)=0),"Subactividad sin macroactividad arriba"&amp;" · ","")&amp;IF($AM58="","Sin fecha de inicio"&amp;" · ","")&amp;IF($AN58="","Sin fecha límite"&amp;" · ","")&amp;IF(AND(LEFT($C58,11)="[Jefatura] ",N($AL58)=0),"No se encuentra en la hoja de la jefatura (elíjala de nuevo en la lista)"&amp;" · ","")&amp;IF(OR(AND($E58&lt;&gt;"",NOT(ISNUMBER($E58))),AND($F58&lt;&gt;"",NOT(ISNUMBER($F58))),AND($G58&lt;&gt;"",NOT(ISNUMBER($G58)))),"Fecha no válida"&amp;" · ","")&amp;IF(AND(ISNUMBER($AM58),ISNUMBER($AN58),$AM58&gt;$AN58),"Inicio posterior a fecha límite"&amp;" · ","")&amp;IF(AND($V58="Macro",$H58&lt;&gt;"",OR(NOT(ISNUMBER($H58)),$H58&lt;0,$H58&gt;1)),"Peso fuera de rango"&amp;" · ","")&amp;IF(AND($V58="Sub",$H58&lt;&gt;""),"Las subactividades no llevan peso (valen igual dentro de su macroactividad)"&amp;" · ","")&amp;IF(AND(N($W58)&gt;0,COUNT($I58:$L58)&gt;0),"Con subactividades: deje vacías las semanas (se calculan solas)"&amp;" · ","")&amp;IF((COUNTIF($I58:$L58,"&gt;1")+COUNTIF($I58:$L58,"&lt;0")+COUNTA($I58:$L58)-COUNT($I58:$L58))&gt;0,"Avance fuera de rango 0-100%"&amp;" · ","")&amp;IF(OR(AND($J58&lt;&gt;"",$J58&lt;$I58),AND($K58&lt;&gt;"",$K58&lt;MAX($I58:$J58)),AND($L58&lt;&gt;"",$L58&lt;MAX($I58:$K58))),"Avance semanal decreciente"&amp;" · ","")&amp;IF(AND(ISNUMBER($AN58),$AN58&lt;FechaRef,IF($V58="Sub",N($X58),N($M58))&lt;1),"Vencida"&amp;" · ","")&amp;IF(AND(ObsObligatoria="Sí",ISNUMBER($AN58),$AN58&lt;FechaRef,IF($V58="Sub",N($X58),N($M58))&lt;1,$Q58=""),"Vencida sin observación"&amp;" · ",""))="","✔ OK","⚠ "&amp;LEFT(IF($C58="","Falta el nombre de la actividad"&amp;" · ","")&amp;IF(AND($V58="Sub",N($U58)=0),"Subactividad sin macroactividad arriba"&amp;" · ","")&amp;IF($AM58="","Sin fecha de inicio"&amp;" · ","")&amp;IF($AN58="","Sin fecha límite"&amp;" · ","")&amp;IF(AND(LEFT($C58,11)="[Jefatura] ",N($AL58)=0),"No se encuentra en la hoja de la jefatura (elíjala de nuevo en la lista)"&amp;" · ","")&amp;IF(OR(AND($E58&lt;&gt;"",NOT(ISNUMBER($E58))),AND($F58&lt;&gt;"",NOT(ISNUMBER($F58))),AND($G58&lt;&gt;"",NOT(ISNUMBER($G58)))),"Fecha no válida"&amp;" · ","")&amp;IF(AND(ISNUMBER($AM58),ISNUMBER($AN58),$AM58&gt;$AN58),"Inicio posterior a fecha límite"&amp;" · ","")&amp;IF(AND($V58="Macro",$H58&lt;&gt;"",OR(NOT(ISNUMBER($H58)),$H58&lt;0,$H58&gt;1)),"Peso fuera de rango"&amp;" · ","")&amp;IF(AND($V58="Sub",$H58&lt;&gt;""),"Las subactividades no llevan peso (valen igual dentro de su macroactividad)"&amp;" · ","")&amp;IF(AND(N($W58)&gt;0,COUNT($I58:$L58)&gt;0),"Con subactividades: deje vacías las semanas (se calculan solas)"&amp;" · ","")&amp;IF((COUNTIF($I58:$L58,"&gt;1")+COUNTIF($I58:$L58,"&lt;0")+COUNTA($I58:$L58)-COUNT($I58:$L58))&gt;0,"Avance fuera de rango 0-100%"&amp;" · ","")&amp;IF(OR(AND($J58&lt;&gt;"",$J58&lt;$I58),AND($K58&lt;&gt;"",$K58&lt;MAX($I58:$J58)),AND($L58&lt;&gt;"",$L58&lt;MAX($I58:$K58))),"Avance semanal decreciente"&amp;" · ","")&amp;IF(AND(ISNUMBER($AN58),$AN58&lt;FechaRef,IF($V58="Sub",N($X58),N($M58))&lt;1),"Vencida"&amp;" · ","")&amp;IF(AND(ObsObligatoria="Sí",ISNUMBER($AN58),$AN58&lt;FechaRef,IF($V58="Sub",N($X58),N($M58))&lt;1,$Q58=""),"Vencida sin observación"&amp;" · ",""),LEN(IF($C58="","Falta el nombre de la actividad"&amp;" · ","")&amp;IF(AND($V58="Sub",N($U58)=0),"Subactividad sin macroactividad arriba"&amp;" · ","")&amp;IF($AM58="","Sin fecha de inicio"&amp;" · ","")&amp;IF($AN58="","Sin fecha límite"&amp;" · ","")&amp;IF(AND(LEFT($C58,11)="[Jefatura] ",N($AL58)=0),"No se encuentra en la hoja de la jefatura (elíjala de nuevo en la lista)"&amp;" · ","")&amp;IF(OR(AND($E58&lt;&gt;"",NOT(ISNUMBER($E58))),AND($F58&lt;&gt;"",NOT(ISNUMBER($F58))),AND($G58&lt;&gt;"",NOT(ISNUMBER($G58)))),"Fecha no válida"&amp;" · ","")&amp;IF(AND(ISNUMBER($AM58),ISNUMBER($AN58),$AM58&gt;$AN58),"Inicio posterior a fecha límite"&amp;" · ","")&amp;IF(AND($V58="Macro",$H58&lt;&gt;"",OR(NOT(ISNUMBER($H58)),$H58&lt;0,$H58&gt;1)),"Peso fuera de rango"&amp;" · ","")&amp;IF(AND($V58="Sub",$H58&lt;&gt;""),"Las subactividades no llevan peso (valen igual dentro de su macroactividad)"&amp;" · ","")&amp;IF(AND(N($W58)&gt;0,COUNT($I58:$L58)&gt;0),"Con subactividades: deje vacías las semanas (se calculan solas)"&amp;" · ","")&amp;IF((COUNTIF($I58:$L58,"&gt;1")+COUNTIF($I58:$L58,"&lt;0")+COUNTA($I58:$L58)-COUNT($I58:$L58))&gt;0,"Avance fuera de rango 0-100%"&amp;" · ","")&amp;IF(OR(AND($J58&lt;&gt;"",$J58&lt;$I58),AND($K58&lt;&gt;"",$K58&lt;MAX($I58:$J58)),AND($L58&lt;&gt;"",$L58&lt;MAX($I58:$K58))),"Avance semanal decreciente"&amp;" · ","")&amp;IF(AND(ISNUMBER($AN58),$AN58&lt;FechaRef,IF($V58="Sub",N($X58),N($M58))&lt;1),"Vencida"&amp;" · ","")&amp;IF(AND(ObsObligatoria="Sí",ISNUMBER($AN58),$AN58&lt;FechaRef,IF($V58="Sub",N($X58),N($M58))&lt;1,$Q58=""),"Vencida sin observación"&amp;" · ",""))-3)))</f>
        <v/>
      </c>
      <c r="S58" s="64">
        <f>IF(NOT((COUNTA($B58:$D58)+COUNTA($G58:$L58)+COUNTA($Q58))&gt;0),"",IF(AND($V58="Sub",N($U58)&gt;0),IF(ISNUMBER(INDEX($AM$5:$AM$1000,$U58-4)),DATE(YEAR(INDEX($AM$5:$AM$1000,$U58-4)),MONTH(INDEX($AM$5:$AM$1000,$U58-4)),1),IF(ISNUMBER(INDEX($AN$5:$AN$1000,$U58-4)),DATE(YEAR(INDEX($AN$5:$AN$1000,$U58-4)),MONTH(INDEX($AN$5:$AN$1000,$U58-4)),1),MesCiclo)),IF(ISNUMBER($AM58),DATE(YEAR($AM58),MONTH($AM58),1),IF(ISNUMBER($AN58),DATE(YEAR($AN58),MONTH($AN58),1),MesCiclo))))</f>
        <v/>
      </c>
      <c r="T58" s="62">
        <f>IF(OR($S58="",$S58&lt;&gt;MesCiclo,$V58&lt;&gt;"Macro"),"",COUNTIFS($S$5:$S58,MesCiclo,$V$5:$V58,"Macro"))</f>
        <v/>
      </c>
      <c r="U58" s="62">
        <f>IF($V58="","",IF($V58="Macro",ROW(),IFERROR(LOOKUP(2,1/($V$5:$V58="Macro"),ROW($V$5:$V58)),0)))</f>
        <v/>
      </c>
      <c r="V58" s="62">
        <f>IF(NOT((COUNTA($B58:$D58)+COUNTA($G58:$L58)+COUNTA($Q58))&gt;0),"",IF($B58="Subactividad","Sub","Macro"))</f>
        <v/>
      </c>
      <c r="W58" s="62">
        <f>IF($V58="Macro",COUNTIFS($U$5:$U$1000,ROW(),$V$5:$V$1000,"Sub"),"")</f>
        <v/>
      </c>
      <c r="X58" s="62">
        <f>IF($V58="","",IF(ISNUMBER($G58),1,IFERROR(LOOKUP(2,1/($I58:$L58&lt;&gt;""),$I58:$L58),0)))</f>
        <v/>
      </c>
      <c r="Y58" s="62">
        <f>IF($V58="","",IF(AND(ISNUMBER($G58),$G58&lt;=IF($S58=MesCiclo,InicioCiclo,$S58+MOD(2-WEEKDAY($S58),7))+6),1,IF(ISNUMBER($I58),$I58,0)))</f>
        <v/>
      </c>
      <c r="Z58" s="62">
        <f>IF($V58="","",IF(AND(ISNUMBER($G58),$G58&lt;=IF($S58=MesCiclo,InicioCiclo,$S58+MOD(2-WEEKDAY($S58),7))+13),1,IF(ISNUMBER($J58),$J58,$Y58)))</f>
        <v/>
      </c>
      <c r="AA58" s="62">
        <f>IF($V58="","",IF(AND(ISNUMBER($G58),$G58&lt;=IF($S58=MesCiclo,InicioCiclo,$S58+MOD(2-WEEKDAY($S58),7))+20),1,IF(ISNUMBER($K58),$K58,$Z58)))</f>
        <v/>
      </c>
      <c r="AB58" s="62">
        <f>IF($V58="","",IF(AND(ISNUMBER($G58),$G58&lt;=IF($S58=MesCiclo,InicioCiclo,$S58+MOD(2-WEEKDAY($S58),7))+27),1,IF(ISNUMBER($L58),$L58,$AA58)))</f>
        <v/>
      </c>
      <c r="AC58" s="62">
        <f>IF($V58="","",IF(AND(ISNUMBER($G58),$G58&lt;=IF($S58=MesCiclo,InicioCiclo,$S58+MOD(2-WEEKDAY($S58),7))+6),1,IF(N($W58)&gt;0,AVERAGEIFS($Y$5:$Y$1000,$U$5:$U$1000,ROW(),$V$5:$V$1000,"Sub"),$Y58)))</f>
        <v/>
      </c>
      <c r="AD58" s="62">
        <f>IF($V58="","",IF(AND(ISNUMBER($G58),$G58&lt;=IF($S58=MesCiclo,InicioCiclo,$S58+MOD(2-WEEKDAY($S58),7))+13),1,IF(N($W58)&gt;0,AVERAGEIFS($Z$5:$Z$1000,$U$5:$U$1000,ROW(),$V$5:$V$1000,"Sub"),$Z58)))</f>
        <v/>
      </c>
      <c r="AE58" s="62">
        <f>IF($V58="","",IF(AND(ISNUMBER($G58),$G58&lt;=IF($S58=MesCiclo,InicioCiclo,$S58+MOD(2-WEEKDAY($S58),7))+20),1,IF(N($W58)&gt;0,AVERAGEIFS($AA$5:$AA$1000,$U$5:$U$1000,ROW(),$V$5:$V$1000,"Sub"),$AA58)))</f>
        <v/>
      </c>
      <c r="AF58" s="62">
        <f>IF($V58="","",IF(AND(ISNUMBER($G58),$G58&lt;=IF($S58=MesCiclo,InicioCiclo,$S58+MOD(2-WEEKDAY($S58),7))+27),1,IF(N($W58)&gt;0,AVERAGEIFS($AB$5:$AB$1000,$U$5:$U$1000,ROW(),$V$5:$V$1000,"Sub"),$AB58)))</f>
        <v/>
      </c>
      <c r="AG58" s="62">
        <f>IF($V58&lt;&gt;"Macro","",IF(COUNTIFS($S$5:$S$1000,$S58,$V$5:$V$1000,"Macro",$H$5:$H$1000,"&gt;0")=0,1/COUNTIFS($S$5:$S$1000,$S58,$V$5:$V$1000,"Macro"),IF(AND(ISNUMBER($H58),N($H58)&gt;0),$H58,SUMIFS($H$5:$H$1000,$S$5:$S$1000,$S58,$V$5:$V$1000,"Macro")/COUNTIFS($S$5:$S$1000,$S58,$V$5:$V$1000,"Macro",$H$5:$H$1000,"&gt;0"))/(COUNTIFS($S$5:$S$1000,$S58,$V$5:$V$1000,"Macro")*SUMIFS($H$5:$H$1000,$S$5:$S$1000,$S58,$V$5:$V$1000,"Macro")/COUNTIFS($S$5:$S$1000,$S58,$V$5:$V$1000,"Macro",$H$5:$H$1000,"&gt;0"))))</f>
        <v/>
      </c>
      <c r="AH58" s="62" t="n"/>
      <c r="AI58" s="62" t="n"/>
      <c r="AJ58" s="62" t="n"/>
      <c r="AK58" s="62" t="n"/>
      <c r="AL58" s="62">
        <f>IF(LEFT($C58,11)="[Jefatura] ",IFERROR(MATCH("Riesgo Financiero|"&amp;MID($C58,12,500),rDname_ADM,0),0),"")</f>
        <v/>
      </c>
      <c r="AM58" s="62">
        <f>IF(N($AL58)&gt;0,INDEX(rIni_ADM,$AL58),IF(ISNUMBER($E58),$E58,""))</f>
        <v/>
      </c>
      <c r="AN58" s="62">
        <f>IF(N($AL58)&gt;0,INDEX(rLim_ADM,$AL58),IF(ISNUMBER($F58),$F58,""))</f>
        <v/>
      </c>
    </row>
    <row r="59">
      <c r="A59" s="56">
        <f>IF(NOT((COUNTA($B59:$D59)+COUNTA($G59:$L59)+COUNTA($Q59))&gt;0),"",IF($V59="Macro",COUNTIFS($V$5:$V59,"Macro",$S$5:$S59,$S59),IF(N($U59)=0,"?",COUNTIFS(INDEX($V$5:$V$1000,1):INDEX($V$5:$V$1000,$U59-4),"Macro",INDEX($S$5:$S$1000,1):INDEX($S$5:$S$1000,$U59-4),INDEX($S$5:$S$1000,$U59-4))&amp;"."&amp;COUNTIFS($U$5:$U59,$U59,$V$5:$V59,"Sub"))))</f>
        <v/>
      </c>
      <c r="B59" s="57" t="n"/>
      <c r="C59" s="58" t="n"/>
      <c r="D59" s="58" t="n"/>
      <c r="E59" s="59">
        <f>IF(N($AL59)&gt;0,INDEX(rIni_ADM,$AL59),"")</f>
        <v/>
      </c>
      <c r="F59" s="59">
        <f>IF(N($AL59)&gt;0,INDEX(rLim_ADM,$AL59),"")</f>
        <v/>
      </c>
      <c r="G59" s="59" t="n"/>
      <c r="H59" s="60" t="n"/>
      <c r="I59" s="60" t="n"/>
      <c r="J59" s="60" t="n"/>
      <c r="K59" s="60" t="n"/>
      <c r="L59" s="60" t="n"/>
      <c r="M59" s="61">
        <f>IF(NOT((COUNTA($B59:$D59)+COUNTA($G59:$L59)+COUNTA($Q59))&gt;0),"",IF($V59="Sub",IFERROR($X59/INDEX($W$5:$W$1000,$U59-4),""),IF(ISNUMBER($G59),1,IF(N($W59)&gt;0,AVERAGEIFS($X$5:$X$1000,$U$5:$U$1000,ROW(),$V$5:$V$1000,"Sub"),$X59))))</f>
        <v/>
      </c>
      <c r="N59" s="56">
        <f>IF(OR($M59="",$V59="Sub"),"",IF($M59&gt;=1,"Completado",IF($M59&gt;0,"En curso","Pendiente")))</f>
        <v/>
      </c>
      <c r="O59" s="56">
        <f>IF(OR(NOT((COUNTA($B59:$D59)+COUNTA($G59:$L59)+COUNTA($Q59))&gt;0),$V59="Sub"),"",IF(ISNUMBER($G59),IF(AND(ISNUMBER($AN59),$G59&gt;$AN59),"Cumplida con "&amp;($G59-$AN59)&amp;IF($G59-$AN59=1," día"," días")&amp;" de retraso","Cumplida"),IF(N($M59)&gt;=1,"Cumplida",IF(NOT(ISNUMBER($AN59)),"Sin fecha límite",IF($AN59&lt;FechaRef,"Vencida hace "&amp;(FechaRef-$AN59)&amp;IF(FechaRef-$AN59=1," día"," días"),IF($AN59=FechaRef,"Vence hoy",IF($AN59-FechaRef&lt;=DiasAlerta,"Vence en "&amp;($AN59-FechaRef)&amp;IF($AN59-FechaRef=1," día"," días"),"En plazo")))))))</f>
        <v/>
      </c>
      <c r="P59" s="62" t="n"/>
      <c r="Q59" s="58" t="n"/>
      <c r="R59" s="63">
        <f>IF(NOT((COUNTA($B59:$D59)+COUNTA($G59:$L59)+COUNTA($Q59))&gt;0),"",IF((IF($C59="","Falta el nombre de la actividad"&amp;" · ","")&amp;IF(AND($V59="Sub",N($U59)=0),"Subactividad sin macroactividad arriba"&amp;" · ","")&amp;IF($AM59="","Sin fecha de inicio"&amp;" · ","")&amp;IF($AN59="","Sin fecha límite"&amp;" · ","")&amp;IF(AND(LEFT($C59,11)="[Jefatura] ",N($AL59)=0),"No se encuentra en la hoja de la jefatura (elíjala de nuevo en la lista)"&amp;" · ","")&amp;IF(OR(AND($E59&lt;&gt;"",NOT(ISNUMBER($E59))),AND($F59&lt;&gt;"",NOT(ISNUMBER($F59))),AND($G59&lt;&gt;"",NOT(ISNUMBER($G59)))),"Fecha no válida"&amp;" · ","")&amp;IF(AND(ISNUMBER($AM59),ISNUMBER($AN59),$AM59&gt;$AN59),"Inicio posterior a fecha límite"&amp;" · ","")&amp;IF(AND($V59="Macro",$H59&lt;&gt;"",OR(NOT(ISNUMBER($H59)),$H59&lt;0,$H59&gt;1)),"Peso fuera de rango"&amp;" · ","")&amp;IF(AND($V59="Sub",$H59&lt;&gt;""),"Las subactividades no llevan peso (valen igual dentro de su macroactividad)"&amp;" · ","")&amp;IF(AND(N($W59)&gt;0,COUNT($I59:$L59)&gt;0),"Con subactividades: deje vacías las semanas (se calculan solas)"&amp;" · ","")&amp;IF((COUNTIF($I59:$L59,"&gt;1")+COUNTIF($I59:$L59,"&lt;0")+COUNTA($I59:$L59)-COUNT($I59:$L59))&gt;0,"Avance fuera de rango 0-100%"&amp;" · ","")&amp;IF(OR(AND($J59&lt;&gt;"",$J59&lt;$I59),AND($K59&lt;&gt;"",$K59&lt;MAX($I59:$J59)),AND($L59&lt;&gt;"",$L59&lt;MAX($I59:$K59))),"Avance semanal decreciente"&amp;" · ","")&amp;IF(AND(ISNUMBER($AN59),$AN59&lt;FechaRef,IF($V59="Sub",N($X59),N($M59))&lt;1),"Vencida"&amp;" · ","")&amp;IF(AND(ObsObligatoria="Sí",ISNUMBER($AN59),$AN59&lt;FechaRef,IF($V59="Sub",N($X59),N($M59))&lt;1,$Q59=""),"Vencida sin observación"&amp;" · ",""))="","✔ OK","⚠ "&amp;LEFT(IF($C59="","Falta el nombre de la actividad"&amp;" · ","")&amp;IF(AND($V59="Sub",N($U59)=0),"Subactividad sin macroactividad arriba"&amp;" · ","")&amp;IF($AM59="","Sin fecha de inicio"&amp;" · ","")&amp;IF($AN59="","Sin fecha límite"&amp;" · ","")&amp;IF(AND(LEFT($C59,11)="[Jefatura] ",N($AL59)=0),"No se encuentra en la hoja de la jefatura (elíjala de nuevo en la lista)"&amp;" · ","")&amp;IF(OR(AND($E59&lt;&gt;"",NOT(ISNUMBER($E59))),AND($F59&lt;&gt;"",NOT(ISNUMBER($F59))),AND($G59&lt;&gt;"",NOT(ISNUMBER($G59)))),"Fecha no válida"&amp;" · ","")&amp;IF(AND(ISNUMBER($AM59),ISNUMBER($AN59),$AM59&gt;$AN59),"Inicio posterior a fecha límite"&amp;" · ","")&amp;IF(AND($V59="Macro",$H59&lt;&gt;"",OR(NOT(ISNUMBER($H59)),$H59&lt;0,$H59&gt;1)),"Peso fuera de rango"&amp;" · ","")&amp;IF(AND($V59="Sub",$H59&lt;&gt;""),"Las subactividades no llevan peso (valen igual dentro de su macroactividad)"&amp;" · ","")&amp;IF(AND(N($W59)&gt;0,COUNT($I59:$L59)&gt;0),"Con subactividades: deje vacías las semanas (se calculan solas)"&amp;" · ","")&amp;IF((COUNTIF($I59:$L59,"&gt;1")+COUNTIF($I59:$L59,"&lt;0")+COUNTA($I59:$L59)-COUNT($I59:$L59))&gt;0,"Avance fuera de rango 0-100%"&amp;" · ","")&amp;IF(OR(AND($J59&lt;&gt;"",$J59&lt;$I59),AND($K59&lt;&gt;"",$K59&lt;MAX($I59:$J59)),AND($L59&lt;&gt;"",$L59&lt;MAX($I59:$K59))),"Avance semanal decreciente"&amp;" · ","")&amp;IF(AND(ISNUMBER($AN59),$AN59&lt;FechaRef,IF($V59="Sub",N($X59),N($M59))&lt;1),"Vencida"&amp;" · ","")&amp;IF(AND(ObsObligatoria="Sí",ISNUMBER($AN59),$AN59&lt;FechaRef,IF($V59="Sub",N($X59),N($M59))&lt;1,$Q59=""),"Vencida sin observación"&amp;" · ",""),LEN(IF($C59="","Falta el nombre de la actividad"&amp;" · ","")&amp;IF(AND($V59="Sub",N($U59)=0),"Subactividad sin macroactividad arriba"&amp;" · ","")&amp;IF($AM59="","Sin fecha de inicio"&amp;" · ","")&amp;IF($AN59="","Sin fecha límite"&amp;" · ","")&amp;IF(AND(LEFT($C59,11)="[Jefatura] ",N($AL59)=0),"No se encuentra en la hoja de la jefatura (elíjala de nuevo en la lista)"&amp;" · ","")&amp;IF(OR(AND($E59&lt;&gt;"",NOT(ISNUMBER($E59))),AND($F59&lt;&gt;"",NOT(ISNUMBER($F59))),AND($G59&lt;&gt;"",NOT(ISNUMBER($G59)))),"Fecha no válida"&amp;" · ","")&amp;IF(AND(ISNUMBER($AM59),ISNUMBER($AN59),$AM59&gt;$AN59),"Inicio posterior a fecha límite"&amp;" · ","")&amp;IF(AND($V59="Macro",$H59&lt;&gt;"",OR(NOT(ISNUMBER($H59)),$H59&lt;0,$H59&gt;1)),"Peso fuera de rango"&amp;" · ","")&amp;IF(AND($V59="Sub",$H59&lt;&gt;""),"Las subactividades no llevan peso (valen igual dentro de su macroactividad)"&amp;" · ","")&amp;IF(AND(N($W59)&gt;0,COUNT($I59:$L59)&gt;0),"Con subactividades: deje vacías las semanas (se calculan solas)"&amp;" · ","")&amp;IF((COUNTIF($I59:$L59,"&gt;1")+COUNTIF($I59:$L59,"&lt;0")+COUNTA($I59:$L59)-COUNT($I59:$L59))&gt;0,"Avance fuera de rango 0-100%"&amp;" · ","")&amp;IF(OR(AND($J59&lt;&gt;"",$J59&lt;$I59),AND($K59&lt;&gt;"",$K59&lt;MAX($I59:$J59)),AND($L59&lt;&gt;"",$L59&lt;MAX($I59:$K59))),"Avance semanal decreciente"&amp;" · ","")&amp;IF(AND(ISNUMBER($AN59),$AN59&lt;FechaRef,IF($V59="Sub",N($X59),N($M59))&lt;1),"Vencida"&amp;" · ","")&amp;IF(AND(ObsObligatoria="Sí",ISNUMBER($AN59),$AN59&lt;FechaRef,IF($V59="Sub",N($X59),N($M59))&lt;1,$Q59=""),"Vencida sin observación"&amp;" · ",""))-3)))</f>
        <v/>
      </c>
      <c r="S59" s="64">
        <f>IF(NOT((COUNTA($B59:$D59)+COUNTA($G59:$L59)+COUNTA($Q59))&gt;0),"",IF(AND($V59="Sub",N($U59)&gt;0),IF(ISNUMBER(INDEX($AM$5:$AM$1000,$U59-4)),DATE(YEAR(INDEX($AM$5:$AM$1000,$U59-4)),MONTH(INDEX($AM$5:$AM$1000,$U59-4)),1),IF(ISNUMBER(INDEX($AN$5:$AN$1000,$U59-4)),DATE(YEAR(INDEX($AN$5:$AN$1000,$U59-4)),MONTH(INDEX($AN$5:$AN$1000,$U59-4)),1),MesCiclo)),IF(ISNUMBER($AM59),DATE(YEAR($AM59),MONTH($AM59),1),IF(ISNUMBER($AN59),DATE(YEAR($AN59),MONTH($AN59),1),MesCiclo))))</f>
        <v/>
      </c>
      <c r="T59" s="62">
        <f>IF(OR($S59="",$S59&lt;&gt;MesCiclo,$V59&lt;&gt;"Macro"),"",COUNTIFS($S$5:$S59,MesCiclo,$V$5:$V59,"Macro"))</f>
        <v/>
      </c>
      <c r="U59" s="62">
        <f>IF($V59="","",IF($V59="Macro",ROW(),IFERROR(LOOKUP(2,1/($V$5:$V59="Macro"),ROW($V$5:$V59)),0)))</f>
        <v/>
      </c>
      <c r="V59" s="62">
        <f>IF(NOT((COUNTA($B59:$D59)+COUNTA($G59:$L59)+COUNTA($Q59))&gt;0),"",IF($B59="Subactividad","Sub","Macro"))</f>
        <v/>
      </c>
      <c r="W59" s="62">
        <f>IF($V59="Macro",COUNTIFS($U$5:$U$1000,ROW(),$V$5:$V$1000,"Sub"),"")</f>
        <v/>
      </c>
      <c r="X59" s="62">
        <f>IF($V59="","",IF(ISNUMBER($G59),1,IFERROR(LOOKUP(2,1/($I59:$L59&lt;&gt;""),$I59:$L59),0)))</f>
        <v/>
      </c>
      <c r="Y59" s="62">
        <f>IF($V59="","",IF(AND(ISNUMBER($G59),$G59&lt;=IF($S59=MesCiclo,InicioCiclo,$S59+MOD(2-WEEKDAY($S59),7))+6),1,IF(ISNUMBER($I59),$I59,0)))</f>
        <v/>
      </c>
      <c r="Z59" s="62">
        <f>IF($V59="","",IF(AND(ISNUMBER($G59),$G59&lt;=IF($S59=MesCiclo,InicioCiclo,$S59+MOD(2-WEEKDAY($S59),7))+13),1,IF(ISNUMBER($J59),$J59,$Y59)))</f>
        <v/>
      </c>
      <c r="AA59" s="62">
        <f>IF($V59="","",IF(AND(ISNUMBER($G59),$G59&lt;=IF($S59=MesCiclo,InicioCiclo,$S59+MOD(2-WEEKDAY($S59),7))+20),1,IF(ISNUMBER($K59),$K59,$Z59)))</f>
        <v/>
      </c>
      <c r="AB59" s="62">
        <f>IF($V59="","",IF(AND(ISNUMBER($G59),$G59&lt;=IF($S59=MesCiclo,InicioCiclo,$S59+MOD(2-WEEKDAY($S59),7))+27),1,IF(ISNUMBER($L59),$L59,$AA59)))</f>
        <v/>
      </c>
      <c r="AC59" s="62">
        <f>IF($V59="","",IF(AND(ISNUMBER($G59),$G59&lt;=IF($S59=MesCiclo,InicioCiclo,$S59+MOD(2-WEEKDAY($S59),7))+6),1,IF(N($W59)&gt;0,AVERAGEIFS($Y$5:$Y$1000,$U$5:$U$1000,ROW(),$V$5:$V$1000,"Sub"),$Y59)))</f>
        <v/>
      </c>
      <c r="AD59" s="62">
        <f>IF($V59="","",IF(AND(ISNUMBER($G59),$G59&lt;=IF($S59=MesCiclo,InicioCiclo,$S59+MOD(2-WEEKDAY($S59),7))+13),1,IF(N($W59)&gt;0,AVERAGEIFS($Z$5:$Z$1000,$U$5:$U$1000,ROW(),$V$5:$V$1000,"Sub"),$Z59)))</f>
        <v/>
      </c>
      <c r="AE59" s="62">
        <f>IF($V59="","",IF(AND(ISNUMBER($G59),$G59&lt;=IF($S59=MesCiclo,InicioCiclo,$S59+MOD(2-WEEKDAY($S59),7))+20),1,IF(N($W59)&gt;0,AVERAGEIFS($AA$5:$AA$1000,$U$5:$U$1000,ROW(),$V$5:$V$1000,"Sub"),$AA59)))</f>
        <v/>
      </c>
      <c r="AF59" s="62">
        <f>IF($V59="","",IF(AND(ISNUMBER($G59),$G59&lt;=IF($S59=MesCiclo,InicioCiclo,$S59+MOD(2-WEEKDAY($S59),7))+27),1,IF(N($W59)&gt;0,AVERAGEIFS($AB$5:$AB$1000,$U$5:$U$1000,ROW(),$V$5:$V$1000,"Sub"),$AB59)))</f>
        <v/>
      </c>
      <c r="AG59" s="62">
        <f>IF($V59&lt;&gt;"Macro","",IF(COUNTIFS($S$5:$S$1000,$S59,$V$5:$V$1000,"Macro",$H$5:$H$1000,"&gt;0")=0,1/COUNTIFS($S$5:$S$1000,$S59,$V$5:$V$1000,"Macro"),IF(AND(ISNUMBER($H59),N($H59)&gt;0),$H59,SUMIFS($H$5:$H$1000,$S$5:$S$1000,$S59,$V$5:$V$1000,"Macro")/COUNTIFS($S$5:$S$1000,$S59,$V$5:$V$1000,"Macro",$H$5:$H$1000,"&gt;0"))/(COUNTIFS($S$5:$S$1000,$S59,$V$5:$V$1000,"Macro")*SUMIFS($H$5:$H$1000,$S$5:$S$1000,$S59,$V$5:$V$1000,"Macro")/COUNTIFS($S$5:$S$1000,$S59,$V$5:$V$1000,"Macro",$H$5:$H$1000,"&gt;0"))))</f>
        <v/>
      </c>
      <c r="AH59" s="62" t="n"/>
      <c r="AI59" s="62" t="n"/>
      <c r="AJ59" s="62" t="n"/>
      <c r="AK59" s="62" t="n"/>
      <c r="AL59" s="62">
        <f>IF(LEFT($C59,11)="[Jefatura] ",IFERROR(MATCH("Riesgo Financiero|"&amp;MID($C59,12,500),rDname_ADM,0),0),"")</f>
        <v/>
      </c>
      <c r="AM59" s="62">
        <f>IF(N($AL59)&gt;0,INDEX(rIni_ADM,$AL59),IF(ISNUMBER($E59),$E59,""))</f>
        <v/>
      </c>
      <c r="AN59" s="62">
        <f>IF(N($AL59)&gt;0,INDEX(rLim_ADM,$AL59),IF(ISNUMBER($F59),$F59,""))</f>
        <v/>
      </c>
    </row>
    <row r="60">
      <c r="A60" s="56">
        <f>IF(NOT((COUNTA($B60:$D60)+COUNTA($G60:$L60)+COUNTA($Q60))&gt;0),"",IF($V60="Macro",COUNTIFS($V$5:$V60,"Macro",$S$5:$S60,$S60),IF(N($U60)=0,"?",COUNTIFS(INDEX($V$5:$V$1000,1):INDEX($V$5:$V$1000,$U60-4),"Macro",INDEX($S$5:$S$1000,1):INDEX($S$5:$S$1000,$U60-4),INDEX($S$5:$S$1000,$U60-4))&amp;"."&amp;COUNTIFS($U$5:$U60,$U60,$V$5:$V60,"Sub"))))</f>
        <v/>
      </c>
      <c r="B60" s="57" t="n"/>
      <c r="C60" s="58" t="n"/>
      <c r="D60" s="58" t="n"/>
      <c r="E60" s="59">
        <f>IF(N($AL60)&gt;0,INDEX(rIni_ADM,$AL60),"")</f>
        <v/>
      </c>
      <c r="F60" s="59">
        <f>IF(N($AL60)&gt;0,INDEX(rLim_ADM,$AL60),"")</f>
        <v/>
      </c>
      <c r="G60" s="59" t="n"/>
      <c r="H60" s="60" t="n"/>
      <c r="I60" s="60" t="n"/>
      <c r="J60" s="60" t="n"/>
      <c r="K60" s="60" t="n"/>
      <c r="L60" s="60" t="n"/>
      <c r="M60" s="61">
        <f>IF(NOT((COUNTA($B60:$D60)+COUNTA($G60:$L60)+COUNTA($Q60))&gt;0),"",IF($V60="Sub",IFERROR($X60/INDEX($W$5:$W$1000,$U60-4),""),IF(ISNUMBER($G60),1,IF(N($W60)&gt;0,AVERAGEIFS($X$5:$X$1000,$U$5:$U$1000,ROW(),$V$5:$V$1000,"Sub"),$X60))))</f>
        <v/>
      </c>
      <c r="N60" s="56">
        <f>IF(OR($M60="",$V60="Sub"),"",IF($M60&gt;=1,"Completado",IF($M60&gt;0,"En curso","Pendiente")))</f>
        <v/>
      </c>
      <c r="O60" s="56">
        <f>IF(OR(NOT((COUNTA($B60:$D60)+COUNTA($G60:$L60)+COUNTA($Q60))&gt;0),$V60="Sub"),"",IF(ISNUMBER($G60),IF(AND(ISNUMBER($AN60),$G60&gt;$AN60),"Cumplida con "&amp;($G60-$AN60)&amp;IF($G60-$AN60=1," día"," días")&amp;" de retraso","Cumplida"),IF(N($M60)&gt;=1,"Cumplida",IF(NOT(ISNUMBER($AN60)),"Sin fecha límite",IF($AN60&lt;FechaRef,"Vencida hace "&amp;(FechaRef-$AN60)&amp;IF(FechaRef-$AN60=1," día"," días"),IF($AN60=FechaRef,"Vence hoy",IF($AN60-FechaRef&lt;=DiasAlerta,"Vence en "&amp;($AN60-FechaRef)&amp;IF($AN60-FechaRef=1," día"," días"),"En plazo")))))))</f>
        <v/>
      </c>
      <c r="P60" s="62" t="n"/>
      <c r="Q60" s="58" t="n"/>
      <c r="R60" s="63">
        <f>IF(NOT((COUNTA($B60:$D60)+COUNTA($G60:$L60)+COUNTA($Q60))&gt;0),"",IF((IF($C60="","Falta el nombre de la actividad"&amp;" · ","")&amp;IF(AND($V60="Sub",N($U60)=0),"Subactividad sin macroactividad arriba"&amp;" · ","")&amp;IF($AM60="","Sin fecha de inicio"&amp;" · ","")&amp;IF($AN60="","Sin fecha límite"&amp;" · ","")&amp;IF(AND(LEFT($C60,11)="[Jefatura] ",N($AL60)=0),"No se encuentra en la hoja de la jefatura (elíjala de nuevo en la lista)"&amp;" · ","")&amp;IF(OR(AND($E60&lt;&gt;"",NOT(ISNUMBER($E60))),AND($F60&lt;&gt;"",NOT(ISNUMBER($F60))),AND($G60&lt;&gt;"",NOT(ISNUMBER($G60)))),"Fecha no válida"&amp;" · ","")&amp;IF(AND(ISNUMBER($AM60),ISNUMBER($AN60),$AM60&gt;$AN60),"Inicio posterior a fecha límite"&amp;" · ","")&amp;IF(AND($V60="Macro",$H60&lt;&gt;"",OR(NOT(ISNUMBER($H60)),$H60&lt;0,$H60&gt;1)),"Peso fuera de rango"&amp;" · ","")&amp;IF(AND($V60="Sub",$H60&lt;&gt;""),"Las subactividades no llevan peso (valen igual dentro de su macroactividad)"&amp;" · ","")&amp;IF(AND(N($W60)&gt;0,COUNT($I60:$L60)&gt;0),"Con subactividades: deje vacías las semanas (se calculan solas)"&amp;" · ","")&amp;IF((COUNTIF($I60:$L60,"&gt;1")+COUNTIF($I60:$L60,"&lt;0")+COUNTA($I60:$L60)-COUNT($I60:$L60))&gt;0,"Avance fuera de rango 0-100%"&amp;" · ","")&amp;IF(OR(AND($J60&lt;&gt;"",$J60&lt;$I60),AND($K60&lt;&gt;"",$K60&lt;MAX($I60:$J60)),AND($L60&lt;&gt;"",$L60&lt;MAX($I60:$K60))),"Avance semanal decreciente"&amp;" · ","")&amp;IF(AND(ISNUMBER($AN60),$AN60&lt;FechaRef,IF($V60="Sub",N($X60),N($M60))&lt;1),"Vencida"&amp;" · ","")&amp;IF(AND(ObsObligatoria="Sí",ISNUMBER($AN60),$AN60&lt;FechaRef,IF($V60="Sub",N($X60),N($M60))&lt;1,$Q60=""),"Vencida sin observación"&amp;" · ",""))="","✔ OK","⚠ "&amp;LEFT(IF($C60="","Falta el nombre de la actividad"&amp;" · ","")&amp;IF(AND($V60="Sub",N($U60)=0),"Subactividad sin macroactividad arriba"&amp;" · ","")&amp;IF($AM60="","Sin fecha de inicio"&amp;" · ","")&amp;IF($AN60="","Sin fecha límite"&amp;" · ","")&amp;IF(AND(LEFT($C60,11)="[Jefatura] ",N($AL60)=0),"No se encuentra en la hoja de la jefatura (elíjala de nuevo en la lista)"&amp;" · ","")&amp;IF(OR(AND($E60&lt;&gt;"",NOT(ISNUMBER($E60))),AND($F60&lt;&gt;"",NOT(ISNUMBER($F60))),AND($G60&lt;&gt;"",NOT(ISNUMBER($G60)))),"Fecha no válida"&amp;" · ","")&amp;IF(AND(ISNUMBER($AM60),ISNUMBER($AN60),$AM60&gt;$AN60),"Inicio posterior a fecha límite"&amp;" · ","")&amp;IF(AND($V60="Macro",$H60&lt;&gt;"",OR(NOT(ISNUMBER($H60)),$H60&lt;0,$H60&gt;1)),"Peso fuera de rango"&amp;" · ","")&amp;IF(AND($V60="Sub",$H60&lt;&gt;""),"Las subactividades no llevan peso (valen igual dentro de su macroactividad)"&amp;" · ","")&amp;IF(AND(N($W60)&gt;0,COUNT($I60:$L60)&gt;0),"Con subactividades: deje vacías las semanas (se calculan solas)"&amp;" · ","")&amp;IF((COUNTIF($I60:$L60,"&gt;1")+COUNTIF($I60:$L60,"&lt;0")+COUNTA($I60:$L60)-COUNT($I60:$L60))&gt;0,"Avance fuera de rango 0-100%"&amp;" · ","")&amp;IF(OR(AND($J60&lt;&gt;"",$J60&lt;$I60),AND($K60&lt;&gt;"",$K60&lt;MAX($I60:$J60)),AND($L60&lt;&gt;"",$L60&lt;MAX($I60:$K60))),"Avance semanal decreciente"&amp;" · ","")&amp;IF(AND(ISNUMBER($AN60),$AN60&lt;FechaRef,IF($V60="Sub",N($X60),N($M60))&lt;1),"Vencida"&amp;" · ","")&amp;IF(AND(ObsObligatoria="Sí",ISNUMBER($AN60),$AN60&lt;FechaRef,IF($V60="Sub",N($X60),N($M60))&lt;1,$Q60=""),"Vencida sin observación"&amp;" · ",""),LEN(IF($C60="","Falta el nombre de la actividad"&amp;" · ","")&amp;IF(AND($V60="Sub",N($U60)=0),"Subactividad sin macroactividad arriba"&amp;" · ","")&amp;IF($AM60="","Sin fecha de inicio"&amp;" · ","")&amp;IF($AN60="","Sin fecha límite"&amp;" · ","")&amp;IF(AND(LEFT($C60,11)="[Jefatura] ",N($AL60)=0),"No se encuentra en la hoja de la jefatura (elíjala de nuevo en la lista)"&amp;" · ","")&amp;IF(OR(AND($E60&lt;&gt;"",NOT(ISNUMBER($E60))),AND($F60&lt;&gt;"",NOT(ISNUMBER($F60))),AND($G60&lt;&gt;"",NOT(ISNUMBER($G60)))),"Fecha no válida"&amp;" · ","")&amp;IF(AND(ISNUMBER($AM60),ISNUMBER($AN60),$AM60&gt;$AN60),"Inicio posterior a fecha límite"&amp;" · ","")&amp;IF(AND($V60="Macro",$H60&lt;&gt;"",OR(NOT(ISNUMBER($H60)),$H60&lt;0,$H60&gt;1)),"Peso fuera de rango"&amp;" · ","")&amp;IF(AND($V60="Sub",$H60&lt;&gt;""),"Las subactividades no llevan peso (valen igual dentro de su macroactividad)"&amp;" · ","")&amp;IF(AND(N($W60)&gt;0,COUNT($I60:$L60)&gt;0),"Con subactividades: deje vacías las semanas (se calculan solas)"&amp;" · ","")&amp;IF((COUNTIF($I60:$L60,"&gt;1")+COUNTIF($I60:$L60,"&lt;0")+COUNTA($I60:$L60)-COUNT($I60:$L60))&gt;0,"Avance fuera de rango 0-100%"&amp;" · ","")&amp;IF(OR(AND($J60&lt;&gt;"",$J60&lt;$I60),AND($K60&lt;&gt;"",$K60&lt;MAX($I60:$J60)),AND($L60&lt;&gt;"",$L60&lt;MAX($I60:$K60))),"Avance semanal decreciente"&amp;" · ","")&amp;IF(AND(ISNUMBER($AN60),$AN60&lt;FechaRef,IF($V60="Sub",N($X60),N($M60))&lt;1),"Vencida"&amp;" · ","")&amp;IF(AND(ObsObligatoria="Sí",ISNUMBER($AN60),$AN60&lt;FechaRef,IF($V60="Sub",N($X60),N($M60))&lt;1,$Q60=""),"Vencida sin observación"&amp;" · ",""))-3)))</f>
        <v/>
      </c>
      <c r="S60" s="64">
        <f>IF(NOT((COUNTA($B60:$D60)+COUNTA($G60:$L60)+COUNTA($Q60))&gt;0),"",IF(AND($V60="Sub",N($U60)&gt;0),IF(ISNUMBER(INDEX($AM$5:$AM$1000,$U60-4)),DATE(YEAR(INDEX($AM$5:$AM$1000,$U60-4)),MONTH(INDEX($AM$5:$AM$1000,$U60-4)),1),IF(ISNUMBER(INDEX($AN$5:$AN$1000,$U60-4)),DATE(YEAR(INDEX($AN$5:$AN$1000,$U60-4)),MONTH(INDEX($AN$5:$AN$1000,$U60-4)),1),MesCiclo)),IF(ISNUMBER($AM60),DATE(YEAR($AM60),MONTH($AM60),1),IF(ISNUMBER($AN60),DATE(YEAR($AN60),MONTH($AN60),1),MesCiclo))))</f>
        <v/>
      </c>
      <c r="T60" s="62">
        <f>IF(OR($S60="",$S60&lt;&gt;MesCiclo,$V60&lt;&gt;"Macro"),"",COUNTIFS($S$5:$S60,MesCiclo,$V$5:$V60,"Macro"))</f>
        <v/>
      </c>
      <c r="U60" s="62">
        <f>IF($V60="","",IF($V60="Macro",ROW(),IFERROR(LOOKUP(2,1/($V$5:$V60="Macro"),ROW($V$5:$V60)),0)))</f>
        <v/>
      </c>
      <c r="V60" s="62">
        <f>IF(NOT((COUNTA($B60:$D60)+COUNTA($G60:$L60)+COUNTA($Q60))&gt;0),"",IF($B60="Subactividad","Sub","Macro"))</f>
        <v/>
      </c>
      <c r="W60" s="62">
        <f>IF($V60="Macro",COUNTIFS($U$5:$U$1000,ROW(),$V$5:$V$1000,"Sub"),"")</f>
        <v/>
      </c>
      <c r="X60" s="62">
        <f>IF($V60="","",IF(ISNUMBER($G60),1,IFERROR(LOOKUP(2,1/($I60:$L60&lt;&gt;""),$I60:$L60),0)))</f>
        <v/>
      </c>
      <c r="Y60" s="62">
        <f>IF($V60="","",IF(AND(ISNUMBER($G60),$G60&lt;=IF($S60=MesCiclo,InicioCiclo,$S60+MOD(2-WEEKDAY($S60),7))+6),1,IF(ISNUMBER($I60),$I60,0)))</f>
        <v/>
      </c>
      <c r="Z60" s="62">
        <f>IF($V60="","",IF(AND(ISNUMBER($G60),$G60&lt;=IF($S60=MesCiclo,InicioCiclo,$S60+MOD(2-WEEKDAY($S60),7))+13),1,IF(ISNUMBER($J60),$J60,$Y60)))</f>
        <v/>
      </c>
      <c r="AA60" s="62">
        <f>IF($V60="","",IF(AND(ISNUMBER($G60),$G60&lt;=IF($S60=MesCiclo,InicioCiclo,$S60+MOD(2-WEEKDAY($S60),7))+20),1,IF(ISNUMBER($K60),$K60,$Z60)))</f>
        <v/>
      </c>
      <c r="AB60" s="62">
        <f>IF($V60="","",IF(AND(ISNUMBER($G60),$G60&lt;=IF($S60=MesCiclo,InicioCiclo,$S60+MOD(2-WEEKDAY($S60),7))+27),1,IF(ISNUMBER($L60),$L60,$AA60)))</f>
        <v/>
      </c>
      <c r="AC60" s="62">
        <f>IF($V60="","",IF(AND(ISNUMBER($G60),$G60&lt;=IF($S60=MesCiclo,InicioCiclo,$S60+MOD(2-WEEKDAY($S60),7))+6),1,IF(N($W60)&gt;0,AVERAGEIFS($Y$5:$Y$1000,$U$5:$U$1000,ROW(),$V$5:$V$1000,"Sub"),$Y60)))</f>
        <v/>
      </c>
      <c r="AD60" s="62">
        <f>IF($V60="","",IF(AND(ISNUMBER($G60),$G60&lt;=IF($S60=MesCiclo,InicioCiclo,$S60+MOD(2-WEEKDAY($S60),7))+13),1,IF(N($W60)&gt;0,AVERAGEIFS($Z$5:$Z$1000,$U$5:$U$1000,ROW(),$V$5:$V$1000,"Sub"),$Z60)))</f>
        <v/>
      </c>
      <c r="AE60" s="62">
        <f>IF($V60="","",IF(AND(ISNUMBER($G60),$G60&lt;=IF($S60=MesCiclo,InicioCiclo,$S60+MOD(2-WEEKDAY($S60),7))+20),1,IF(N($W60)&gt;0,AVERAGEIFS($AA$5:$AA$1000,$U$5:$U$1000,ROW(),$V$5:$V$1000,"Sub"),$AA60)))</f>
        <v/>
      </c>
      <c r="AF60" s="62">
        <f>IF($V60="","",IF(AND(ISNUMBER($G60),$G60&lt;=IF($S60=MesCiclo,InicioCiclo,$S60+MOD(2-WEEKDAY($S60),7))+27),1,IF(N($W60)&gt;0,AVERAGEIFS($AB$5:$AB$1000,$U$5:$U$1000,ROW(),$V$5:$V$1000,"Sub"),$AB60)))</f>
        <v/>
      </c>
      <c r="AG60" s="62">
        <f>IF($V60&lt;&gt;"Macro","",IF(COUNTIFS($S$5:$S$1000,$S60,$V$5:$V$1000,"Macro",$H$5:$H$1000,"&gt;0")=0,1/COUNTIFS($S$5:$S$1000,$S60,$V$5:$V$1000,"Macro"),IF(AND(ISNUMBER($H60),N($H60)&gt;0),$H60,SUMIFS($H$5:$H$1000,$S$5:$S$1000,$S60,$V$5:$V$1000,"Macro")/COUNTIFS($S$5:$S$1000,$S60,$V$5:$V$1000,"Macro",$H$5:$H$1000,"&gt;0"))/(COUNTIFS($S$5:$S$1000,$S60,$V$5:$V$1000,"Macro")*SUMIFS($H$5:$H$1000,$S$5:$S$1000,$S60,$V$5:$V$1000,"Macro")/COUNTIFS($S$5:$S$1000,$S60,$V$5:$V$1000,"Macro",$H$5:$H$1000,"&gt;0"))))</f>
        <v/>
      </c>
      <c r="AH60" s="62" t="n"/>
      <c r="AI60" s="62" t="n"/>
      <c r="AJ60" s="62" t="n"/>
      <c r="AK60" s="62" t="n"/>
      <c r="AL60" s="62">
        <f>IF(LEFT($C60,11)="[Jefatura] ",IFERROR(MATCH("Riesgo Financiero|"&amp;MID($C60,12,500),rDname_ADM,0),0),"")</f>
        <v/>
      </c>
      <c r="AM60" s="62">
        <f>IF(N($AL60)&gt;0,INDEX(rIni_ADM,$AL60),IF(ISNUMBER($E60),$E60,""))</f>
        <v/>
      </c>
      <c r="AN60" s="62">
        <f>IF(N($AL60)&gt;0,INDEX(rLim_ADM,$AL60),IF(ISNUMBER($F60),$F60,""))</f>
        <v/>
      </c>
    </row>
    <row r="61">
      <c r="A61" s="56">
        <f>IF(NOT((COUNTA($B61:$D61)+COUNTA($G61:$L61)+COUNTA($Q61))&gt;0),"",IF($V61="Macro",COUNTIFS($V$5:$V61,"Macro",$S$5:$S61,$S61),IF(N($U61)=0,"?",COUNTIFS(INDEX($V$5:$V$1000,1):INDEX($V$5:$V$1000,$U61-4),"Macro",INDEX($S$5:$S$1000,1):INDEX($S$5:$S$1000,$U61-4),INDEX($S$5:$S$1000,$U61-4))&amp;"."&amp;COUNTIFS($U$5:$U61,$U61,$V$5:$V61,"Sub"))))</f>
        <v/>
      </c>
      <c r="B61" s="57" t="n"/>
      <c r="C61" s="58" t="n"/>
      <c r="D61" s="58" t="n"/>
      <c r="E61" s="59">
        <f>IF(N($AL61)&gt;0,INDEX(rIni_ADM,$AL61),"")</f>
        <v/>
      </c>
      <c r="F61" s="59">
        <f>IF(N($AL61)&gt;0,INDEX(rLim_ADM,$AL61),"")</f>
        <v/>
      </c>
      <c r="G61" s="59" t="n"/>
      <c r="H61" s="60" t="n"/>
      <c r="I61" s="60" t="n"/>
      <c r="J61" s="60" t="n"/>
      <c r="K61" s="60" t="n"/>
      <c r="L61" s="60" t="n"/>
      <c r="M61" s="61">
        <f>IF(NOT((COUNTA($B61:$D61)+COUNTA($G61:$L61)+COUNTA($Q61))&gt;0),"",IF($V61="Sub",IFERROR($X61/INDEX($W$5:$W$1000,$U61-4),""),IF(ISNUMBER($G61),1,IF(N($W61)&gt;0,AVERAGEIFS($X$5:$X$1000,$U$5:$U$1000,ROW(),$V$5:$V$1000,"Sub"),$X61))))</f>
        <v/>
      </c>
      <c r="N61" s="56">
        <f>IF(OR($M61="",$V61="Sub"),"",IF($M61&gt;=1,"Completado",IF($M61&gt;0,"En curso","Pendiente")))</f>
        <v/>
      </c>
      <c r="O61" s="56">
        <f>IF(OR(NOT((COUNTA($B61:$D61)+COUNTA($G61:$L61)+COUNTA($Q61))&gt;0),$V61="Sub"),"",IF(ISNUMBER($G61),IF(AND(ISNUMBER($AN61),$G61&gt;$AN61),"Cumplida con "&amp;($G61-$AN61)&amp;IF($G61-$AN61=1," día"," días")&amp;" de retraso","Cumplida"),IF(N($M61)&gt;=1,"Cumplida",IF(NOT(ISNUMBER($AN61)),"Sin fecha límite",IF($AN61&lt;FechaRef,"Vencida hace "&amp;(FechaRef-$AN61)&amp;IF(FechaRef-$AN61=1," día"," días"),IF($AN61=FechaRef,"Vence hoy",IF($AN61-FechaRef&lt;=DiasAlerta,"Vence en "&amp;($AN61-FechaRef)&amp;IF($AN61-FechaRef=1," día"," días"),"En plazo")))))))</f>
        <v/>
      </c>
      <c r="P61" s="62" t="n"/>
      <c r="Q61" s="58" t="n"/>
      <c r="R61" s="63">
        <f>IF(NOT((COUNTA($B61:$D61)+COUNTA($G61:$L61)+COUNTA($Q61))&gt;0),"",IF((IF($C61="","Falta el nombre de la actividad"&amp;" · ","")&amp;IF(AND($V61="Sub",N($U61)=0),"Subactividad sin macroactividad arriba"&amp;" · ","")&amp;IF($AM61="","Sin fecha de inicio"&amp;" · ","")&amp;IF($AN61="","Sin fecha límite"&amp;" · ","")&amp;IF(AND(LEFT($C61,11)="[Jefatura] ",N($AL61)=0),"No se encuentra en la hoja de la jefatura (elíjala de nuevo en la lista)"&amp;" · ","")&amp;IF(OR(AND($E61&lt;&gt;"",NOT(ISNUMBER($E61))),AND($F61&lt;&gt;"",NOT(ISNUMBER($F61))),AND($G61&lt;&gt;"",NOT(ISNUMBER($G61)))),"Fecha no válida"&amp;" · ","")&amp;IF(AND(ISNUMBER($AM61),ISNUMBER($AN61),$AM61&gt;$AN61),"Inicio posterior a fecha límite"&amp;" · ","")&amp;IF(AND($V61="Macro",$H61&lt;&gt;"",OR(NOT(ISNUMBER($H61)),$H61&lt;0,$H61&gt;1)),"Peso fuera de rango"&amp;" · ","")&amp;IF(AND($V61="Sub",$H61&lt;&gt;""),"Las subactividades no llevan peso (valen igual dentro de su macroactividad)"&amp;" · ","")&amp;IF(AND(N($W61)&gt;0,COUNT($I61:$L61)&gt;0),"Con subactividades: deje vacías las semanas (se calculan solas)"&amp;" · ","")&amp;IF((COUNTIF($I61:$L61,"&gt;1")+COUNTIF($I61:$L61,"&lt;0")+COUNTA($I61:$L61)-COUNT($I61:$L61))&gt;0,"Avance fuera de rango 0-100%"&amp;" · ","")&amp;IF(OR(AND($J61&lt;&gt;"",$J61&lt;$I61),AND($K61&lt;&gt;"",$K61&lt;MAX($I61:$J61)),AND($L61&lt;&gt;"",$L61&lt;MAX($I61:$K61))),"Avance semanal decreciente"&amp;" · ","")&amp;IF(AND(ISNUMBER($AN61),$AN61&lt;FechaRef,IF($V61="Sub",N($X61),N($M61))&lt;1),"Vencida"&amp;" · ","")&amp;IF(AND(ObsObligatoria="Sí",ISNUMBER($AN61),$AN61&lt;FechaRef,IF($V61="Sub",N($X61),N($M61))&lt;1,$Q61=""),"Vencida sin observación"&amp;" · ",""))="","✔ OK","⚠ "&amp;LEFT(IF($C61="","Falta el nombre de la actividad"&amp;" · ","")&amp;IF(AND($V61="Sub",N($U61)=0),"Subactividad sin macroactividad arriba"&amp;" · ","")&amp;IF($AM61="","Sin fecha de inicio"&amp;" · ","")&amp;IF($AN61="","Sin fecha límite"&amp;" · ","")&amp;IF(AND(LEFT($C61,11)="[Jefatura] ",N($AL61)=0),"No se encuentra en la hoja de la jefatura (elíjala de nuevo en la lista)"&amp;" · ","")&amp;IF(OR(AND($E61&lt;&gt;"",NOT(ISNUMBER($E61))),AND($F61&lt;&gt;"",NOT(ISNUMBER($F61))),AND($G61&lt;&gt;"",NOT(ISNUMBER($G61)))),"Fecha no válida"&amp;" · ","")&amp;IF(AND(ISNUMBER($AM61),ISNUMBER($AN61),$AM61&gt;$AN61),"Inicio posterior a fecha límite"&amp;" · ","")&amp;IF(AND($V61="Macro",$H61&lt;&gt;"",OR(NOT(ISNUMBER($H61)),$H61&lt;0,$H61&gt;1)),"Peso fuera de rango"&amp;" · ","")&amp;IF(AND($V61="Sub",$H61&lt;&gt;""),"Las subactividades no llevan peso (valen igual dentro de su macroactividad)"&amp;" · ","")&amp;IF(AND(N($W61)&gt;0,COUNT($I61:$L61)&gt;0),"Con subactividades: deje vacías las semanas (se calculan solas)"&amp;" · ","")&amp;IF((COUNTIF($I61:$L61,"&gt;1")+COUNTIF($I61:$L61,"&lt;0")+COUNTA($I61:$L61)-COUNT($I61:$L61))&gt;0,"Avance fuera de rango 0-100%"&amp;" · ","")&amp;IF(OR(AND($J61&lt;&gt;"",$J61&lt;$I61),AND($K61&lt;&gt;"",$K61&lt;MAX($I61:$J61)),AND($L61&lt;&gt;"",$L61&lt;MAX($I61:$K61))),"Avance semanal decreciente"&amp;" · ","")&amp;IF(AND(ISNUMBER($AN61),$AN61&lt;FechaRef,IF($V61="Sub",N($X61),N($M61))&lt;1),"Vencida"&amp;" · ","")&amp;IF(AND(ObsObligatoria="Sí",ISNUMBER($AN61),$AN61&lt;FechaRef,IF($V61="Sub",N($X61),N($M61))&lt;1,$Q61=""),"Vencida sin observación"&amp;" · ",""),LEN(IF($C61="","Falta el nombre de la actividad"&amp;" · ","")&amp;IF(AND($V61="Sub",N($U61)=0),"Subactividad sin macroactividad arriba"&amp;" · ","")&amp;IF($AM61="","Sin fecha de inicio"&amp;" · ","")&amp;IF($AN61="","Sin fecha límite"&amp;" · ","")&amp;IF(AND(LEFT($C61,11)="[Jefatura] ",N($AL61)=0),"No se encuentra en la hoja de la jefatura (elíjala de nuevo en la lista)"&amp;" · ","")&amp;IF(OR(AND($E61&lt;&gt;"",NOT(ISNUMBER($E61))),AND($F61&lt;&gt;"",NOT(ISNUMBER($F61))),AND($G61&lt;&gt;"",NOT(ISNUMBER($G61)))),"Fecha no válida"&amp;" · ","")&amp;IF(AND(ISNUMBER($AM61),ISNUMBER($AN61),$AM61&gt;$AN61),"Inicio posterior a fecha límite"&amp;" · ","")&amp;IF(AND($V61="Macro",$H61&lt;&gt;"",OR(NOT(ISNUMBER($H61)),$H61&lt;0,$H61&gt;1)),"Peso fuera de rango"&amp;" · ","")&amp;IF(AND($V61="Sub",$H61&lt;&gt;""),"Las subactividades no llevan peso (valen igual dentro de su macroactividad)"&amp;" · ","")&amp;IF(AND(N($W61)&gt;0,COUNT($I61:$L61)&gt;0),"Con subactividades: deje vacías las semanas (se calculan solas)"&amp;" · ","")&amp;IF((COUNTIF($I61:$L61,"&gt;1")+COUNTIF($I61:$L61,"&lt;0")+COUNTA($I61:$L61)-COUNT($I61:$L61))&gt;0,"Avance fuera de rango 0-100%"&amp;" · ","")&amp;IF(OR(AND($J61&lt;&gt;"",$J61&lt;$I61),AND($K61&lt;&gt;"",$K61&lt;MAX($I61:$J61)),AND($L61&lt;&gt;"",$L61&lt;MAX($I61:$K61))),"Avance semanal decreciente"&amp;" · ","")&amp;IF(AND(ISNUMBER($AN61),$AN61&lt;FechaRef,IF($V61="Sub",N($X61),N($M61))&lt;1),"Vencida"&amp;" · ","")&amp;IF(AND(ObsObligatoria="Sí",ISNUMBER($AN61),$AN61&lt;FechaRef,IF($V61="Sub",N($X61),N($M61))&lt;1,$Q61=""),"Vencida sin observación"&amp;" · ",""))-3)))</f>
        <v/>
      </c>
      <c r="S61" s="64">
        <f>IF(NOT((COUNTA($B61:$D61)+COUNTA($G61:$L61)+COUNTA($Q61))&gt;0),"",IF(AND($V61="Sub",N($U61)&gt;0),IF(ISNUMBER(INDEX($AM$5:$AM$1000,$U61-4)),DATE(YEAR(INDEX($AM$5:$AM$1000,$U61-4)),MONTH(INDEX($AM$5:$AM$1000,$U61-4)),1),IF(ISNUMBER(INDEX($AN$5:$AN$1000,$U61-4)),DATE(YEAR(INDEX($AN$5:$AN$1000,$U61-4)),MONTH(INDEX($AN$5:$AN$1000,$U61-4)),1),MesCiclo)),IF(ISNUMBER($AM61),DATE(YEAR($AM61),MONTH($AM61),1),IF(ISNUMBER($AN61),DATE(YEAR($AN61),MONTH($AN61),1),MesCiclo))))</f>
        <v/>
      </c>
      <c r="T61" s="62">
        <f>IF(OR($S61="",$S61&lt;&gt;MesCiclo,$V61&lt;&gt;"Macro"),"",COUNTIFS($S$5:$S61,MesCiclo,$V$5:$V61,"Macro"))</f>
        <v/>
      </c>
      <c r="U61" s="62">
        <f>IF($V61="","",IF($V61="Macro",ROW(),IFERROR(LOOKUP(2,1/($V$5:$V61="Macro"),ROW($V$5:$V61)),0)))</f>
        <v/>
      </c>
      <c r="V61" s="62">
        <f>IF(NOT((COUNTA($B61:$D61)+COUNTA($G61:$L61)+COUNTA($Q61))&gt;0),"",IF($B61="Subactividad","Sub","Macro"))</f>
        <v/>
      </c>
      <c r="W61" s="62">
        <f>IF($V61="Macro",COUNTIFS($U$5:$U$1000,ROW(),$V$5:$V$1000,"Sub"),"")</f>
        <v/>
      </c>
      <c r="X61" s="62">
        <f>IF($V61="","",IF(ISNUMBER($G61),1,IFERROR(LOOKUP(2,1/($I61:$L61&lt;&gt;""),$I61:$L61),0)))</f>
        <v/>
      </c>
      <c r="Y61" s="62">
        <f>IF($V61="","",IF(AND(ISNUMBER($G61),$G61&lt;=IF($S61=MesCiclo,InicioCiclo,$S61+MOD(2-WEEKDAY($S61),7))+6),1,IF(ISNUMBER($I61),$I61,0)))</f>
        <v/>
      </c>
      <c r="Z61" s="62">
        <f>IF($V61="","",IF(AND(ISNUMBER($G61),$G61&lt;=IF($S61=MesCiclo,InicioCiclo,$S61+MOD(2-WEEKDAY($S61),7))+13),1,IF(ISNUMBER($J61),$J61,$Y61)))</f>
        <v/>
      </c>
      <c r="AA61" s="62">
        <f>IF($V61="","",IF(AND(ISNUMBER($G61),$G61&lt;=IF($S61=MesCiclo,InicioCiclo,$S61+MOD(2-WEEKDAY($S61),7))+20),1,IF(ISNUMBER($K61),$K61,$Z61)))</f>
        <v/>
      </c>
      <c r="AB61" s="62">
        <f>IF($V61="","",IF(AND(ISNUMBER($G61),$G61&lt;=IF($S61=MesCiclo,InicioCiclo,$S61+MOD(2-WEEKDAY($S61),7))+27),1,IF(ISNUMBER($L61),$L61,$AA61)))</f>
        <v/>
      </c>
      <c r="AC61" s="62">
        <f>IF($V61="","",IF(AND(ISNUMBER($G61),$G61&lt;=IF($S61=MesCiclo,InicioCiclo,$S61+MOD(2-WEEKDAY($S61),7))+6),1,IF(N($W61)&gt;0,AVERAGEIFS($Y$5:$Y$1000,$U$5:$U$1000,ROW(),$V$5:$V$1000,"Sub"),$Y61)))</f>
        <v/>
      </c>
      <c r="AD61" s="62">
        <f>IF($V61="","",IF(AND(ISNUMBER($G61),$G61&lt;=IF($S61=MesCiclo,InicioCiclo,$S61+MOD(2-WEEKDAY($S61),7))+13),1,IF(N($W61)&gt;0,AVERAGEIFS($Z$5:$Z$1000,$U$5:$U$1000,ROW(),$V$5:$V$1000,"Sub"),$Z61)))</f>
        <v/>
      </c>
      <c r="AE61" s="62">
        <f>IF($V61="","",IF(AND(ISNUMBER($G61),$G61&lt;=IF($S61=MesCiclo,InicioCiclo,$S61+MOD(2-WEEKDAY($S61),7))+20),1,IF(N($W61)&gt;0,AVERAGEIFS($AA$5:$AA$1000,$U$5:$U$1000,ROW(),$V$5:$V$1000,"Sub"),$AA61)))</f>
        <v/>
      </c>
      <c r="AF61" s="62">
        <f>IF($V61="","",IF(AND(ISNUMBER($G61),$G61&lt;=IF($S61=MesCiclo,InicioCiclo,$S61+MOD(2-WEEKDAY($S61),7))+27),1,IF(N($W61)&gt;0,AVERAGEIFS($AB$5:$AB$1000,$U$5:$U$1000,ROW(),$V$5:$V$1000,"Sub"),$AB61)))</f>
        <v/>
      </c>
      <c r="AG61" s="62">
        <f>IF($V61&lt;&gt;"Macro","",IF(COUNTIFS($S$5:$S$1000,$S61,$V$5:$V$1000,"Macro",$H$5:$H$1000,"&gt;0")=0,1/COUNTIFS($S$5:$S$1000,$S61,$V$5:$V$1000,"Macro"),IF(AND(ISNUMBER($H61),N($H61)&gt;0),$H61,SUMIFS($H$5:$H$1000,$S$5:$S$1000,$S61,$V$5:$V$1000,"Macro")/COUNTIFS($S$5:$S$1000,$S61,$V$5:$V$1000,"Macro",$H$5:$H$1000,"&gt;0"))/(COUNTIFS($S$5:$S$1000,$S61,$V$5:$V$1000,"Macro")*SUMIFS($H$5:$H$1000,$S$5:$S$1000,$S61,$V$5:$V$1000,"Macro")/COUNTIFS($S$5:$S$1000,$S61,$V$5:$V$1000,"Macro",$H$5:$H$1000,"&gt;0"))))</f>
        <v/>
      </c>
      <c r="AH61" s="62" t="n"/>
      <c r="AI61" s="62" t="n"/>
      <c r="AJ61" s="62" t="n"/>
      <c r="AK61" s="62" t="n"/>
      <c r="AL61" s="62">
        <f>IF(LEFT($C61,11)="[Jefatura] ",IFERROR(MATCH("Riesgo Financiero|"&amp;MID($C61,12,500),rDname_ADM,0),0),"")</f>
        <v/>
      </c>
      <c r="AM61" s="62">
        <f>IF(N($AL61)&gt;0,INDEX(rIni_ADM,$AL61),IF(ISNUMBER($E61),$E61,""))</f>
        <v/>
      </c>
      <c r="AN61" s="62">
        <f>IF(N($AL61)&gt;0,INDEX(rLim_ADM,$AL61),IF(ISNUMBER($F61),$F61,""))</f>
        <v/>
      </c>
    </row>
    <row r="62">
      <c r="A62" s="56">
        <f>IF(NOT((COUNTA($B62:$D62)+COUNTA($G62:$L62)+COUNTA($Q62))&gt;0),"",IF($V62="Macro",COUNTIFS($V$5:$V62,"Macro",$S$5:$S62,$S62),IF(N($U62)=0,"?",COUNTIFS(INDEX($V$5:$V$1000,1):INDEX($V$5:$V$1000,$U62-4),"Macro",INDEX($S$5:$S$1000,1):INDEX($S$5:$S$1000,$U62-4),INDEX($S$5:$S$1000,$U62-4))&amp;"."&amp;COUNTIFS($U$5:$U62,$U62,$V$5:$V62,"Sub"))))</f>
        <v/>
      </c>
      <c r="B62" s="57" t="n"/>
      <c r="C62" s="58" t="n"/>
      <c r="D62" s="58" t="n"/>
      <c r="E62" s="59">
        <f>IF(N($AL62)&gt;0,INDEX(rIni_ADM,$AL62),"")</f>
        <v/>
      </c>
      <c r="F62" s="59">
        <f>IF(N($AL62)&gt;0,INDEX(rLim_ADM,$AL62),"")</f>
        <v/>
      </c>
      <c r="G62" s="59" t="n"/>
      <c r="H62" s="60" t="n"/>
      <c r="I62" s="60" t="n"/>
      <c r="J62" s="60" t="n"/>
      <c r="K62" s="60" t="n"/>
      <c r="L62" s="60" t="n"/>
      <c r="M62" s="61">
        <f>IF(NOT((COUNTA($B62:$D62)+COUNTA($G62:$L62)+COUNTA($Q62))&gt;0),"",IF($V62="Sub",IFERROR($X62/INDEX($W$5:$W$1000,$U62-4),""),IF(ISNUMBER($G62),1,IF(N($W62)&gt;0,AVERAGEIFS($X$5:$X$1000,$U$5:$U$1000,ROW(),$V$5:$V$1000,"Sub"),$X62))))</f>
        <v/>
      </c>
      <c r="N62" s="56">
        <f>IF(OR($M62="",$V62="Sub"),"",IF($M62&gt;=1,"Completado",IF($M62&gt;0,"En curso","Pendiente")))</f>
        <v/>
      </c>
      <c r="O62" s="56">
        <f>IF(OR(NOT((COUNTA($B62:$D62)+COUNTA($G62:$L62)+COUNTA($Q62))&gt;0),$V62="Sub"),"",IF(ISNUMBER($G62),IF(AND(ISNUMBER($AN62),$G62&gt;$AN62),"Cumplida con "&amp;($G62-$AN62)&amp;IF($G62-$AN62=1," día"," días")&amp;" de retraso","Cumplida"),IF(N($M62)&gt;=1,"Cumplida",IF(NOT(ISNUMBER($AN62)),"Sin fecha límite",IF($AN62&lt;FechaRef,"Vencida hace "&amp;(FechaRef-$AN62)&amp;IF(FechaRef-$AN62=1," día"," días"),IF($AN62=FechaRef,"Vence hoy",IF($AN62-FechaRef&lt;=DiasAlerta,"Vence en "&amp;($AN62-FechaRef)&amp;IF($AN62-FechaRef=1," día"," días"),"En plazo")))))))</f>
        <v/>
      </c>
      <c r="P62" s="62" t="n"/>
      <c r="Q62" s="58" t="n"/>
      <c r="R62" s="63">
        <f>IF(NOT((COUNTA($B62:$D62)+COUNTA($G62:$L62)+COUNTA($Q62))&gt;0),"",IF((IF($C62="","Falta el nombre de la actividad"&amp;" · ","")&amp;IF(AND($V62="Sub",N($U62)=0),"Subactividad sin macroactividad arriba"&amp;" · ","")&amp;IF($AM62="","Sin fecha de inicio"&amp;" · ","")&amp;IF($AN62="","Sin fecha límite"&amp;" · ","")&amp;IF(AND(LEFT($C62,11)="[Jefatura] ",N($AL62)=0),"No se encuentra en la hoja de la jefatura (elíjala de nuevo en la lista)"&amp;" · ","")&amp;IF(OR(AND($E62&lt;&gt;"",NOT(ISNUMBER($E62))),AND($F62&lt;&gt;"",NOT(ISNUMBER($F62))),AND($G62&lt;&gt;"",NOT(ISNUMBER($G62)))),"Fecha no válida"&amp;" · ","")&amp;IF(AND(ISNUMBER($AM62),ISNUMBER($AN62),$AM62&gt;$AN62),"Inicio posterior a fecha límite"&amp;" · ","")&amp;IF(AND($V62="Macro",$H62&lt;&gt;"",OR(NOT(ISNUMBER($H62)),$H62&lt;0,$H62&gt;1)),"Peso fuera de rango"&amp;" · ","")&amp;IF(AND($V62="Sub",$H62&lt;&gt;""),"Las subactividades no llevan peso (valen igual dentro de su macroactividad)"&amp;" · ","")&amp;IF(AND(N($W62)&gt;0,COUNT($I62:$L62)&gt;0),"Con subactividades: deje vacías las semanas (se calculan solas)"&amp;" · ","")&amp;IF((COUNTIF($I62:$L62,"&gt;1")+COUNTIF($I62:$L62,"&lt;0")+COUNTA($I62:$L62)-COUNT($I62:$L62))&gt;0,"Avance fuera de rango 0-100%"&amp;" · ","")&amp;IF(OR(AND($J62&lt;&gt;"",$J62&lt;$I62),AND($K62&lt;&gt;"",$K62&lt;MAX($I62:$J62)),AND($L62&lt;&gt;"",$L62&lt;MAX($I62:$K62))),"Avance semanal decreciente"&amp;" · ","")&amp;IF(AND(ISNUMBER($AN62),$AN62&lt;FechaRef,IF($V62="Sub",N($X62),N($M62))&lt;1),"Vencida"&amp;" · ","")&amp;IF(AND(ObsObligatoria="Sí",ISNUMBER($AN62),$AN62&lt;FechaRef,IF($V62="Sub",N($X62),N($M62))&lt;1,$Q62=""),"Vencida sin observación"&amp;" · ",""))="","✔ OK","⚠ "&amp;LEFT(IF($C62="","Falta el nombre de la actividad"&amp;" · ","")&amp;IF(AND($V62="Sub",N($U62)=0),"Subactividad sin macroactividad arriba"&amp;" · ","")&amp;IF($AM62="","Sin fecha de inicio"&amp;" · ","")&amp;IF($AN62="","Sin fecha límite"&amp;" · ","")&amp;IF(AND(LEFT($C62,11)="[Jefatura] ",N($AL62)=0),"No se encuentra en la hoja de la jefatura (elíjala de nuevo en la lista)"&amp;" · ","")&amp;IF(OR(AND($E62&lt;&gt;"",NOT(ISNUMBER($E62))),AND($F62&lt;&gt;"",NOT(ISNUMBER($F62))),AND($G62&lt;&gt;"",NOT(ISNUMBER($G62)))),"Fecha no válida"&amp;" · ","")&amp;IF(AND(ISNUMBER($AM62),ISNUMBER($AN62),$AM62&gt;$AN62),"Inicio posterior a fecha límite"&amp;" · ","")&amp;IF(AND($V62="Macro",$H62&lt;&gt;"",OR(NOT(ISNUMBER($H62)),$H62&lt;0,$H62&gt;1)),"Peso fuera de rango"&amp;" · ","")&amp;IF(AND($V62="Sub",$H62&lt;&gt;""),"Las subactividades no llevan peso (valen igual dentro de su macroactividad)"&amp;" · ","")&amp;IF(AND(N($W62)&gt;0,COUNT($I62:$L62)&gt;0),"Con subactividades: deje vacías las semanas (se calculan solas)"&amp;" · ","")&amp;IF((COUNTIF($I62:$L62,"&gt;1")+COUNTIF($I62:$L62,"&lt;0")+COUNTA($I62:$L62)-COUNT($I62:$L62))&gt;0,"Avance fuera de rango 0-100%"&amp;" · ","")&amp;IF(OR(AND($J62&lt;&gt;"",$J62&lt;$I62),AND($K62&lt;&gt;"",$K62&lt;MAX($I62:$J62)),AND($L62&lt;&gt;"",$L62&lt;MAX($I62:$K62))),"Avance semanal decreciente"&amp;" · ","")&amp;IF(AND(ISNUMBER($AN62),$AN62&lt;FechaRef,IF($V62="Sub",N($X62),N($M62))&lt;1),"Vencida"&amp;" · ","")&amp;IF(AND(ObsObligatoria="Sí",ISNUMBER($AN62),$AN62&lt;FechaRef,IF($V62="Sub",N($X62),N($M62))&lt;1,$Q62=""),"Vencida sin observación"&amp;" · ",""),LEN(IF($C62="","Falta el nombre de la actividad"&amp;" · ","")&amp;IF(AND($V62="Sub",N($U62)=0),"Subactividad sin macroactividad arriba"&amp;" · ","")&amp;IF($AM62="","Sin fecha de inicio"&amp;" · ","")&amp;IF($AN62="","Sin fecha límite"&amp;" · ","")&amp;IF(AND(LEFT($C62,11)="[Jefatura] ",N($AL62)=0),"No se encuentra en la hoja de la jefatura (elíjala de nuevo en la lista)"&amp;" · ","")&amp;IF(OR(AND($E62&lt;&gt;"",NOT(ISNUMBER($E62))),AND($F62&lt;&gt;"",NOT(ISNUMBER($F62))),AND($G62&lt;&gt;"",NOT(ISNUMBER($G62)))),"Fecha no válida"&amp;" · ","")&amp;IF(AND(ISNUMBER($AM62),ISNUMBER($AN62),$AM62&gt;$AN62),"Inicio posterior a fecha límite"&amp;" · ","")&amp;IF(AND($V62="Macro",$H62&lt;&gt;"",OR(NOT(ISNUMBER($H62)),$H62&lt;0,$H62&gt;1)),"Peso fuera de rango"&amp;" · ","")&amp;IF(AND($V62="Sub",$H62&lt;&gt;""),"Las subactividades no llevan peso (valen igual dentro de su macroactividad)"&amp;" · ","")&amp;IF(AND(N($W62)&gt;0,COUNT($I62:$L62)&gt;0),"Con subactividades: deje vacías las semanas (se calculan solas)"&amp;" · ","")&amp;IF((COUNTIF($I62:$L62,"&gt;1")+COUNTIF($I62:$L62,"&lt;0")+COUNTA($I62:$L62)-COUNT($I62:$L62))&gt;0,"Avance fuera de rango 0-100%"&amp;" · ","")&amp;IF(OR(AND($J62&lt;&gt;"",$J62&lt;$I62),AND($K62&lt;&gt;"",$K62&lt;MAX($I62:$J62)),AND($L62&lt;&gt;"",$L62&lt;MAX($I62:$K62))),"Avance semanal decreciente"&amp;" · ","")&amp;IF(AND(ISNUMBER($AN62),$AN62&lt;FechaRef,IF($V62="Sub",N($X62),N($M62))&lt;1),"Vencida"&amp;" · ","")&amp;IF(AND(ObsObligatoria="Sí",ISNUMBER($AN62),$AN62&lt;FechaRef,IF($V62="Sub",N($X62),N($M62))&lt;1,$Q62=""),"Vencida sin observación"&amp;" · ",""))-3)))</f>
        <v/>
      </c>
      <c r="S62" s="64">
        <f>IF(NOT((COUNTA($B62:$D62)+COUNTA($G62:$L62)+COUNTA($Q62))&gt;0),"",IF(AND($V62="Sub",N($U62)&gt;0),IF(ISNUMBER(INDEX($AM$5:$AM$1000,$U62-4)),DATE(YEAR(INDEX($AM$5:$AM$1000,$U62-4)),MONTH(INDEX($AM$5:$AM$1000,$U62-4)),1),IF(ISNUMBER(INDEX($AN$5:$AN$1000,$U62-4)),DATE(YEAR(INDEX($AN$5:$AN$1000,$U62-4)),MONTH(INDEX($AN$5:$AN$1000,$U62-4)),1),MesCiclo)),IF(ISNUMBER($AM62),DATE(YEAR($AM62),MONTH($AM62),1),IF(ISNUMBER($AN62),DATE(YEAR($AN62),MONTH($AN62),1),MesCiclo))))</f>
        <v/>
      </c>
      <c r="T62" s="62">
        <f>IF(OR($S62="",$S62&lt;&gt;MesCiclo,$V62&lt;&gt;"Macro"),"",COUNTIFS($S$5:$S62,MesCiclo,$V$5:$V62,"Macro"))</f>
        <v/>
      </c>
      <c r="U62" s="62">
        <f>IF($V62="","",IF($V62="Macro",ROW(),IFERROR(LOOKUP(2,1/($V$5:$V62="Macro"),ROW($V$5:$V62)),0)))</f>
        <v/>
      </c>
      <c r="V62" s="62">
        <f>IF(NOT((COUNTA($B62:$D62)+COUNTA($G62:$L62)+COUNTA($Q62))&gt;0),"",IF($B62="Subactividad","Sub","Macro"))</f>
        <v/>
      </c>
      <c r="W62" s="62">
        <f>IF($V62="Macro",COUNTIFS($U$5:$U$1000,ROW(),$V$5:$V$1000,"Sub"),"")</f>
        <v/>
      </c>
      <c r="X62" s="62">
        <f>IF($V62="","",IF(ISNUMBER($G62),1,IFERROR(LOOKUP(2,1/($I62:$L62&lt;&gt;""),$I62:$L62),0)))</f>
        <v/>
      </c>
      <c r="Y62" s="62">
        <f>IF($V62="","",IF(AND(ISNUMBER($G62),$G62&lt;=IF($S62=MesCiclo,InicioCiclo,$S62+MOD(2-WEEKDAY($S62),7))+6),1,IF(ISNUMBER($I62),$I62,0)))</f>
        <v/>
      </c>
      <c r="Z62" s="62">
        <f>IF($V62="","",IF(AND(ISNUMBER($G62),$G62&lt;=IF($S62=MesCiclo,InicioCiclo,$S62+MOD(2-WEEKDAY($S62),7))+13),1,IF(ISNUMBER($J62),$J62,$Y62)))</f>
        <v/>
      </c>
      <c r="AA62" s="62">
        <f>IF($V62="","",IF(AND(ISNUMBER($G62),$G62&lt;=IF($S62=MesCiclo,InicioCiclo,$S62+MOD(2-WEEKDAY($S62),7))+20),1,IF(ISNUMBER($K62),$K62,$Z62)))</f>
        <v/>
      </c>
      <c r="AB62" s="62">
        <f>IF($V62="","",IF(AND(ISNUMBER($G62),$G62&lt;=IF($S62=MesCiclo,InicioCiclo,$S62+MOD(2-WEEKDAY($S62),7))+27),1,IF(ISNUMBER($L62),$L62,$AA62)))</f>
        <v/>
      </c>
      <c r="AC62" s="62">
        <f>IF($V62="","",IF(AND(ISNUMBER($G62),$G62&lt;=IF($S62=MesCiclo,InicioCiclo,$S62+MOD(2-WEEKDAY($S62),7))+6),1,IF(N($W62)&gt;0,AVERAGEIFS($Y$5:$Y$1000,$U$5:$U$1000,ROW(),$V$5:$V$1000,"Sub"),$Y62)))</f>
        <v/>
      </c>
      <c r="AD62" s="62">
        <f>IF($V62="","",IF(AND(ISNUMBER($G62),$G62&lt;=IF($S62=MesCiclo,InicioCiclo,$S62+MOD(2-WEEKDAY($S62),7))+13),1,IF(N($W62)&gt;0,AVERAGEIFS($Z$5:$Z$1000,$U$5:$U$1000,ROW(),$V$5:$V$1000,"Sub"),$Z62)))</f>
        <v/>
      </c>
      <c r="AE62" s="62">
        <f>IF($V62="","",IF(AND(ISNUMBER($G62),$G62&lt;=IF($S62=MesCiclo,InicioCiclo,$S62+MOD(2-WEEKDAY($S62),7))+20),1,IF(N($W62)&gt;0,AVERAGEIFS($AA$5:$AA$1000,$U$5:$U$1000,ROW(),$V$5:$V$1000,"Sub"),$AA62)))</f>
        <v/>
      </c>
      <c r="AF62" s="62">
        <f>IF($V62="","",IF(AND(ISNUMBER($G62),$G62&lt;=IF($S62=MesCiclo,InicioCiclo,$S62+MOD(2-WEEKDAY($S62),7))+27),1,IF(N($W62)&gt;0,AVERAGEIFS($AB$5:$AB$1000,$U$5:$U$1000,ROW(),$V$5:$V$1000,"Sub"),$AB62)))</f>
        <v/>
      </c>
      <c r="AG62" s="62">
        <f>IF($V62&lt;&gt;"Macro","",IF(COUNTIFS($S$5:$S$1000,$S62,$V$5:$V$1000,"Macro",$H$5:$H$1000,"&gt;0")=0,1/COUNTIFS($S$5:$S$1000,$S62,$V$5:$V$1000,"Macro"),IF(AND(ISNUMBER($H62),N($H62)&gt;0),$H62,SUMIFS($H$5:$H$1000,$S$5:$S$1000,$S62,$V$5:$V$1000,"Macro")/COUNTIFS($S$5:$S$1000,$S62,$V$5:$V$1000,"Macro",$H$5:$H$1000,"&gt;0"))/(COUNTIFS($S$5:$S$1000,$S62,$V$5:$V$1000,"Macro")*SUMIFS($H$5:$H$1000,$S$5:$S$1000,$S62,$V$5:$V$1000,"Macro")/COUNTIFS($S$5:$S$1000,$S62,$V$5:$V$1000,"Macro",$H$5:$H$1000,"&gt;0"))))</f>
        <v/>
      </c>
      <c r="AH62" s="62" t="n"/>
      <c r="AI62" s="62" t="n"/>
      <c r="AJ62" s="62" t="n"/>
      <c r="AK62" s="62" t="n"/>
      <c r="AL62" s="62">
        <f>IF(LEFT($C62,11)="[Jefatura] ",IFERROR(MATCH("Riesgo Financiero|"&amp;MID($C62,12,500),rDname_ADM,0),0),"")</f>
        <v/>
      </c>
      <c r="AM62" s="62">
        <f>IF(N($AL62)&gt;0,INDEX(rIni_ADM,$AL62),IF(ISNUMBER($E62),$E62,""))</f>
        <v/>
      </c>
      <c r="AN62" s="62">
        <f>IF(N($AL62)&gt;0,INDEX(rLim_ADM,$AL62),IF(ISNUMBER($F62),$F62,""))</f>
        <v/>
      </c>
    </row>
    <row r="63">
      <c r="A63" s="56">
        <f>IF(NOT((COUNTA($B63:$D63)+COUNTA($G63:$L63)+COUNTA($Q63))&gt;0),"",IF($V63="Macro",COUNTIFS($V$5:$V63,"Macro",$S$5:$S63,$S63),IF(N($U63)=0,"?",COUNTIFS(INDEX($V$5:$V$1000,1):INDEX($V$5:$V$1000,$U63-4),"Macro",INDEX($S$5:$S$1000,1):INDEX($S$5:$S$1000,$U63-4),INDEX($S$5:$S$1000,$U63-4))&amp;"."&amp;COUNTIFS($U$5:$U63,$U63,$V$5:$V63,"Sub"))))</f>
        <v/>
      </c>
      <c r="B63" s="57" t="n"/>
      <c r="C63" s="58" t="n"/>
      <c r="D63" s="58" t="n"/>
      <c r="E63" s="59">
        <f>IF(N($AL63)&gt;0,INDEX(rIni_ADM,$AL63),"")</f>
        <v/>
      </c>
      <c r="F63" s="59">
        <f>IF(N($AL63)&gt;0,INDEX(rLim_ADM,$AL63),"")</f>
        <v/>
      </c>
      <c r="G63" s="59" t="n"/>
      <c r="H63" s="60" t="n"/>
      <c r="I63" s="60" t="n"/>
      <c r="J63" s="60" t="n"/>
      <c r="K63" s="60" t="n"/>
      <c r="L63" s="60" t="n"/>
      <c r="M63" s="61">
        <f>IF(NOT((COUNTA($B63:$D63)+COUNTA($G63:$L63)+COUNTA($Q63))&gt;0),"",IF($V63="Sub",IFERROR($X63/INDEX($W$5:$W$1000,$U63-4),""),IF(ISNUMBER($G63),1,IF(N($W63)&gt;0,AVERAGEIFS($X$5:$X$1000,$U$5:$U$1000,ROW(),$V$5:$V$1000,"Sub"),$X63))))</f>
        <v/>
      </c>
      <c r="N63" s="56">
        <f>IF(OR($M63="",$V63="Sub"),"",IF($M63&gt;=1,"Completado",IF($M63&gt;0,"En curso","Pendiente")))</f>
        <v/>
      </c>
      <c r="O63" s="56">
        <f>IF(OR(NOT((COUNTA($B63:$D63)+COUNTA($G63:$L63)+COUNTA($Q63))&gt;0),$V63="Sub"),"",IF(ISNUMBER($G63),IF(AND(ISNUMBER($AN63),$G63&gt;$AN63),"Cumplida con "&amp;($G63-$AN63)&amp;IF($G63-$AN63=1," día"," días")&amp;" de retraso","Cumplida"),IF(N($M63)&gt;=1,"Cumplida",IF(NOT(ISNUMBER($AN63)),"Sin fecha límite",IF($AN63&lt;FechaRef,"Vencida hace "&amp;(FechaRef-$AN63)&amp;IF(FechaRef-$AN63=1," día"," días"),IF($AN63=FechaRef,"Vence hoy",IF($AN63-FechaRef&lt;=DiasAlerta,"Vence en "&amp;($AN63-FechaRef)&amp;IF($AN63-FechaRef=1," día"," días"),"En plazo")))))))</f>
        <v/>
      </c>
      <c r="P63" s="62" t="n"/>
      <c r="Q63" s="58" t="n"/>
      <c r="R63" s="63">
        <f>IF(NOT((COUNTA($B63:$D63)+COUNTA($G63:$L63)+COUNTA($Q63))&gt;0),"",IF((IF($C63="","Falta el nombre de la actividad"&amp;" · ","")&amp;IF(AND($V63="Sub",N($U63)=0),"Subactividad sin macroactividad arriba"&amp;" · ","")&amp;IF($AM63="","Sin fecha de inicio"&amp;" · ","")&amp;IF($AN63="","Sin fecha límite"&amp;" · ","")&amp;IF(AND(LEFT($C63,11)="[Jefatura] ",N($AL63)=0),"No se encuentra en la hoja de la jefatura (elíjala de nuevo en la lista)"&amp;" · ","")&amp;IF(OR(AND($E63&lt;&gt;"",NOT(ISNUMBER($E63))),AND($F63&lt;&gt;"",NOT(ISNUMBER($F63))),AND($G63&lt;&gt;"",NOT(ISNUMBER($G63)))),"Fecha no válida"&amp;" · ","")&amp;IF(AND(ISNUMBER($AM63),ISNUMBER($AN63),$AM63&gt;$AN63),"Inicio posterior a fecha límite"&amp;" · ","")&amp;IF(AND($V63="Macro",$H63&lt;&gt;"",OR(NOT(ISNUMBER($H63)),$H63&lt;0,$H63&gt;1)),"Peso fuera de rango"&amp;" · ","")&amp;IF(AND($V63="Sub",$H63&lt;&gt;""),"Las subactividades no llevan peso (valen igual dentro de su macroactividad)"&amp;" · ","")&amp;IF(AND(N($W63)&gt;0,COUNT($I63:$L63)&gt;0),"Con subactividades: deje vacías las semanas (se calculan solas)"&amp;" · ","")&amp;IF((COUNTIF($I63:$L63,"&gt;1")+COUNTIF($I63:$L63,"&lt;0")+COUNTA($I63:$L63)-COUNT($I63:$L63))&gt;0,"Avance fuera de rango 0-100%"&amp;" · ","")&amp;IF(OR(AND($J63&lt;&gt;"",$J63&lt;$I63),AND($K63&lt;&gt;"",$K63&lt;MAX($I63:$J63)),AND($L63&lt;&gt;"",$L63&lt;MAX($I63:$K63))),"Avance semanal decreciente"&amp;" · ","")&amp;IF(AND(ISNUMBER($AN63),$AN63&lt;FechaRef,IF($V63="Sub",N($X63),N($M63))&lt;1),"Vencida"&amp;" · ","")&amp;IF(AND(ObsObligatoria="Sí",ISNUMBER($AN63),$AN63&lt;FechaRef,IF($V63="Sub",N($X63),N($M63))&lt;1,$Q63=""),"Vencida sin observación"&amp;" · ",""))="","✔ OK","⚠ "&amp;LEFT(IF($C63="","Falta el nombre de la actividad"&amp;" · ","")&amp;IF(AND($V63="Sub",N($U63)=0),"Subactividad sin macroactividad arriba"&amp;" · ","")&amp;IF($AM63="","Sin fecha de inicio"&amp;" · ","")&amp;IF($AN63="","Sin fecha límite"&amp;" · ","")&amp;IF(AND(LEFT($C63,11)="[Jefatura] ",N($AL63)=0),"No se encuentra en la hoja de la jefatura (elíjala de nuevo en la lista)"&amp;" · ","")&amp;IF(OR(AND($E63&lt;&gt;"",NOT(ISNUMBER($E63))),AND($F63&lt;&gt;"",NOT(ISNUMBER($F63))),AND($G63&lt;&gt;"",NOT(ISNUMBER($G63)))),"Fecha no válida"&amp;" · ","")&amp;IF(AND(ISNUMBER($AM63),ISNUMBER($AN63),$AM63&gt;$AN63),"Inicio posterior a fecha límite"&amp;" · ","")&amp;IF(AND($V63="Macro",$H63&lt;&gt;"",OR(NOT(ISNUMBER($H63)),$H63&lt;0,$H63&gt;1)),"Peso fuera de rango"&amp;" · ","")&amp;IF(AND($V63="Sub",$H63&lt;&gt;""),"Las subactividades no llevan peso (valen igual dentro de su macroactividad)"&amp;" · ","")&amp;IF(AND(N($W63)&gt;0,COUNT($I63:$L63)&gt;0),"Con subactividades: deje vacías las semanas (se calculan solas)"&amp;" · ","")&amp;IF((COUNTIF($I63:$L63,"&gt;1")+COUNTIF($I63:$L63,"&lt;0")+COUNTA($I63:$L63)-COUNT($I63:$L63))&gt;0,"Avance fuera de rango 0-100%"&amp;" · ","")&amp;IF(OR(AND($J63&lt;&gt;"",$J63&lt;$I63),AND($K63&lt;&gt;"",$K63&lt;MAX($I63:$J63)),AND($L63&lt;&gt;"",$L63&lt;MAX($I63:$K63))),"Avance semanal decreciente"&amp;" · ","")&amp;IF(AND(ISNUMBER($AN63),$AN63&lt;FechaRef,IF($V63="Sub",N($X63),N($M63))&lt;1),"Vencida"&amp;" · ","")&amp;IF(AND(ObsObligatoria="Sí",ISNUMBER($AN63),$AN63&lt;FechaRef,IF($V63="Sub",N($X63),N($M63))&lt;1,$Q63=""),"Vencida sin observación"&amp;" · ",""),LEN(IF($C63="","Falta el nombre de la actividad"&amp;" · ","")&amp;IF(AND($V63="Sub",N($U63)=0),"Subactividad sin macroactividad arriba"&amp;" · ","")&amp;IF($AM63="","Sin fecha de inicio"&amp;" · ","")&amp;IF($AN63="","Sin fecha límite"&amp;" · ","")&amp;IF(AND(LEFT($C63,11)="[Jefatura] ",N($AL63)=0),"No se encuentra en la hoja de la jefatura (elíjala de nuevo en la lista)"&amp;" · ","")&amp;IF(OR(AND($E63&lt;&gt;"",NOT(ISNUMBER($E63))),AND($F63&lt;&gt;"",NOT(ISNUMBER($F63))),AND($G63&lt;&gt;"",NOT(ISNUMBER($G63)))),"Fecha no válida"&amp;" · ","")&amp;IF(AND(ISNUMBER($AM63),ISNUMBER($AN63),$AM63&gt;$AN63),"Inicio posterior a fecha límite"&amp;" · ","")&amp;IF(AND($V63="Macro",$H63&lt;&gt;"",OR(NOT(ISNUMBER($H63)),$H63&lt;0,$H63&gt;1)),"Peso fuera de rango"&amp;" · ","")&amp;IF(AND($V63="Sub",$H63&lt;&gt;""),"Las subactividades no llevan peso (valen igual dentro de su macroactividad)"&amp;" · ","")&amp;IF(AND(N($W63)&gt;0,COUNT($I63:$L63)&gt;0),"Con subactividades: deje vacías las semanas (se calculan solas)"&amp;" · ","")&amp;IF((COUNTIF($I63:$L63,"&gt;1")+COUNTIF($I63:$L63,"&lt;0")+COUNTA($I63:$L63)-COUNT($I63:$L63))&gt;0,"Avance fuera de rango 0-100%"&amp;" · ","")&amp;IF(OR(AND($J63&lt;&gt;"",$J63&lt;$I63),AND($K63&lt;&gt;"",$K63&lt;MAX($I63:$J63)),AND($L63&lt;&gt;"",$L63&lt;MAX($I63:$K63))),"Avance semanal decreciente"&amp;" · ","")&amp;IF(AND(ISNUMBER($AN63),$AN63&lt;FechaRef,IF($V63="Sub",N($X63),N($M63))&lt;1),"Vencida"&amp;" · ","")&amp;IF(AND(ObsObligatoria="Sí",ISNUMBER($AN63),$AN63&lt;FechaRef,IF($V63="Sub",N($X63),N($M63))&lt;1,$Q63=""),"Vencida sin observación"&amp;" · ",""))-3)))</f>
        <v/>
      </c>
      <c r="S63" s="64">
        <f>IF(NOT((COUNTA($B63:$D63)+COUNTA($G63:$L63)+COUNTA($Q63))&gt;0),"",IF(AND($V63="Sub",N($U63)&gt;0),IF(ISNUMBER(INDEX($AM$5:$AM$1000,$U63-4)),DATE(YEAR(INDEX($AM$5:$AM$1000,$U63-4)),MONTH(INDEX($AM$5:$AM$1000,$U63-4)),1),IF(ISNUMBER(INDEX($AN$5:$AN$1000,$U63-4)),DATE(YEAR(INDEX($AN$5:$AN$1000,$U63-4)),MONTH(INDEX($AN$5:$AN$1000,$U63-4)),1),MesCiclo)),IF(ISNUMBER($AM63),DATE(YEAR($AM63),MONTH($AM63),1),IF(ISNUMBER($AN63),DATE(YEAR($AN63),MONTH($AN63),1),MesCiclo))))</f>
        <v/>
      </c>
      <c r="T63" s="62">
        <f>IF(OR($S63="",$S63&lt;&gt;MesCiclo,$V63&lt;&gt;"Macro"),"",COUNTIFS($S$5:$S63,MesCiclo,$V$5:$V63,"Macro"))</f>
        <v/>
      </c>
      <c r="U63" s="62">
        <f>IF($V63="","",IF($V63="Macro",ROW(),IFERROR(LOOKUP(2,1/($V$5:$V63="Macro"),ROW($V$5:$V63)),0)))</f>
        <v/>
      </c>
      <c r="V63" s="62">
        <f>IF(NOT((COUNTA($B63:$D63)+COUNTA($G63:$L63)+COUNTA($Q63))&gt;0),"",IF($B63="Subactividad","Sub","Macro"))</f>
        <v/>
      </c>
      <c r="W63" s="62">
        <f>IF($V63="Macro",COUNTIFS($U$5:$U$1000,ROW(),$V$5:$V$1000,"Sub"),"")</f>
        <v/>
      </c>
      <c r="X63" s="62">
        <f>IF($V63="","",IF(ISNUMBER($G63),1,IFERROR(LOOKUP(2,1/($I63:$L63&lt;&gt;""),$I63:$L63),0)))</f>
        <v/>
      </c>
      <c r="Y63" s="62">
        <f>IF($V63="","",IF(AND(ISNUMBER($G63),$G63&lt;=IF($S63=MesCiclo,InicioCiclo,$S63+MOD(2-WEEKDAY($S63),7))+6),1,IF(ISNUMBER($I63),$I63,0)))</f>
        <v/>
      </c>
      <c r="Z63" s="62">
        <f>IF($V63="","",IF(AND(ISNUMBER($G63),$G63&lt;=IF($S63=MesCiclo,InicioCiclo,$S63+MOD(2-WEEKDAY($S63),7))+13),1,IF(ISNUMBER($J63),$J63,$Y63)))</f>
        <v/>
      </c>
      <c r="AA63" s="62">
        <f>IF($V63="","",IF(AND(ISNUMBER($G63),$G63&lt;=IF($S63=MesCiclo,InicioCiclo,$S63+MOD(2-WEEKDAY($S63),7))+20),1,IF(ISNUMBER($K63),$K63,$Z63)))</f>
        <v/>
      </c>
      <c r="AB63" s="62">
        <f>IF($V63="","",IF(AND(ISNUMBER($G63),$G63&lt;=IF($S63=MesCiclo,InicioCiclo,$S63+MOD(2-WEEKDAY($S63),7))+27),1,IF(ISNUMBER($L63),$L63,$AA63)))</f>
        <v/>
      </c>
      <c r="AC63" s="62">
        <f>IF($V63="","",IF(AND(ISNUMBER($G63),$G63&lt;=IF($S63=MesCiclo,InicioCiclo,$S63+MOD(2-WEEKDAY($S63),7))+6),1,IF(N($W63)&gt;0,AVERAGEIFS($Y$5:$Y$1000,$U$5:$U$1000,ROW(),$V$5:$V$1000,"Sub"),$Y63)))</f>
        <v/>
      </c>
      <c r="AD63" s="62">
        <f>IF($V63="","",IF(AND(ISNUMBER($G63),$G63&lt;=IF($S63=MesCiclo,InicioCiclo,$S63+MOD(2-WEEKDAY($S63),7))+13),1,IF(N($W63)&gt;0,AVERAGEIFS($Z$5:$Z$1000,$U$5:$U$1000,ROW(),$V$5:$V$1000,"Sub"),$Z63)))</f>
        <v/>
      </c>
      <c r="AE63" s="62">
        <f>IF($V63="","",IF(AND(ISNUMBER($G63),$G63&lt;=IF($S63=MesCiclo,InicioCiclo,$S63+MOD(2-WEEKDAY($S63),7))+20),1,IF(N($W63)&gt;0,AVERAGEIFS($AA$5:$AA$1000,$U$5:$U$1000,ROW(),$V$5:$V$1000,"Sub"),$AA63)))</f>
        <v/>
      </c>
      <c r="AF63" s="62">
        <f>IF($V63="","",IF(AND(ISNUMBER($G63),$G63&lt;=IF($S63=MesCiclo,InicioCiclo,$S63+MOD(2-WEEKDAY($S63),7))+27),1,IF(N($W63)&gt;0,AVERAGEIFS($AB$5:$AB$1000,$U$5:$U$1000,ROW(),$V$5:$V$1000,"Sub"),$AB63)))</f>
        <v/>
      </c>
      <c r="AG63" s="62">
        <f>IF($V63&lt;&gt;"Macro","",IF(COUNTIFS($S$5:$S$1000,$S63,$V$5:$V$1000,"Macro",$H$5:$H$1000,"&gt;0")=0,1/COUNTIFS($S$5:$S$1000,$S63,$V$5:$V$1000,"Macro"),IF(AND(ISNUMBER($H63),N($H63)&gt;0),$H63,SUMIFS($H$5:$H$1000,$S$5:$S$1000,$S63,$V$5:$V$1000,"Macro")/COUNTIFS($S$5:$S$1000,$S63,$V$5:$V$1000,"Macro",$H$5:$H$1000,"&gt;0"))/(COUNTIFS($S$5:$S$1000,$S63,$V$5:$V$1000,"Macro")*SUMIFS($H$5:$H$1000,$S$5:$S$1000,$S63,$V$5:$V$1000,"Macro")/COUNTIFS($S$5:$S$1000,$S63,$V$5:$V$1000,"Macro",$H$5:$H$1000,"&gt;0"))))</f>
        <v/>
      </c>
      <c r="AH63" s="62" t="n"/>
      <c r="AI63" s="62" t="n"/>
      <c r="AJ63" s="62" t="n"/>
      <c r="AK63" s="62" t="n"/>
      <c r="AL63" s="62">
        <f>IF(LEFT($C63,11)="[Jefatura] ",IFERROR(MATCH("Riesgo Financiero|"&amp;MID($C63,12,500),rDname_ADM,0),0),"")</f>
        <v/>
      </c>
      <c r="AM63" s="62">
        <f>IF(N($AL63)&gt;0,INDEX(rIni_ADM,$AL63),IF(ISNUMBER($E63),$E63,""))</f>
        <v/>
      </c>
      <c r="AN63" s="62">
        <f>IF(N($AL63)&gt;0,INDEX(rLim_ADM,$AL63),IF(ISNUMBER($F63),$F63,""))</f>
        <v/>
      </c>
    </row>
    <row r="64">
      <c r="A64" s="56">
        <f>IF(NOT((COUNTA($B64:$D64)+COUNTA($G64:$L64)+COUNTA($Q64))&gt;0),"",IF($V64="Macro",COUNTIFS($V$5:$V64,"Macro",$S$5:$S64,$S64),IF(N($U64)=0,"?",COUNTIFS(INDEX($V$5:$V$1000,1):INDEX($V$5:$V$1000,$U64-4),"Macro",INDEX($S$5:$S$1000,1):INDEX($S$5:$S$1000,$U64-4),INDEX($S$5:$S$1000,$U64-4))&amp;"."&amp;COUNTIFS($U$5:$U64,$U64,$V$5:$V64,"Sub"))))</f>
        <v/>
      </c>
      <c r="B64" s="57" t="n"/>
      <c r="C64" s="58" t="n"/>
      <c r="D64" s="58" t="n"/>
      <c r="E64" s="59">
        <f>IF(N($AL64)&gt;0,INDEX(rIni_ADM,$AL64),"")</f>
        <v/>
      </c>
      <c r="F64" s="59">
        <f>IF(N($AL64)&gt;0,INDEX(rLim_ADM,$AL64),"")</f>
        <v/>
      </c>
      <c r="G64" s="59" t="n"/>
      <c r="H64" s="60" t="n"/>
      <c r="I64" s="60" t="n"/>
      <c r="J64" s="60" t="n"/>
      <c r="K64" s="60" t="n"/>
      <c r="L64" s="60" t="n"/>
      <c r="M64" s="61">
        <f>IF(NOT((COUNTA($B64:$D64)+COUNTA($G64:$L64)+COUNTA($Q64))&gt;0),"",IF($V64="Sub",IFERROR($X64/INDEX($W$5:$W$1000,$U64-4),""),IF(ISNUMBER($G64),1,IF(N($W64)&gt;0,AVERAGEIFS($X$5:$X$1000,$U$5:$U$1000,ROW(),$V$5:$V$1000,"Sub"),$X64))))</f>
        <v/>
      </c>
      <c r="N64" s="56">
        <f>IF(OR($M64="",$V64="Sub"),"",IF($M64&gt;=1,"Completado",IF($M64&gt;0,"En curso","Pendiente")))</f>
        <v/>
      </c>
      <c r="O64" s="56">
        <f>IF(OR(NOT((COUNTA($B64:$D64)+COUNTA($G64:$L64)+COUNTA($Q64))&gt;0),$V64="Sub"),"",IF(ISNUMBER($G64),IF(AND(ISNUMBER($AN64),$G64&gt;$AN64),"Cumplida con "&amp;($G64-$AN64)&amp;IF($G64-$AN64=1," día"," días")&amp;" de retraso","Cumplida"),IF(N($M64)&gt;=1,"Cumplida",IF(NOT(ISNUMBER($AN64)),"Sin fecha límite",IF($AN64&lt;FechaRef,"Vencida hace "&amp;(FechaRef-$AN64)&amp;IF(FechaRef-$AN64=1," día"," días"),IF($AN64=FechaRef,"Vence hoy",IF($AN64-FechaRef&lt;=DiasAlerta,"Vence en "&amp;($AN64-FechaRef)&amp;IF($AN64-FechaRef=1," día"," días"),"En plazo")))))))</f>
        <v/>
      </c>
      <c r="P64" s="62" t="n"/>
      <c r="Q64" s="58" t="n"/>
      <c r="R64" s="63">
        <f>IF(NOT((COUNTA($B64:$D64)+COUNTA($G64:$L64)+COUNTA($Q64))&gt;0),"",IF((IF($C64="","Falta el nombre de la actividad"&amp;" · ","")&amp;IF(AND($V64="Sub",N($U64)=0),"Subactividad sin macroactividad arriba"&amp;" · ","")&amp;IF($AM64="","Sin fecha de inicio"&amp;" · ","")&amp;IF($AN64="","Sin fecha límite"&amp;" · ","")&amp;IF(AND(LEFT($C64,11)="[Jefatura] ",N($AL64)=0),"No se encuentra en la hoja de la jefatura (elíjala de nuevo en la lista)"&amp;" · ","")&amp;IF(OR(AND($E64&lt;&gt;"",NOT(ISNUMBER($E64))),AND($F64&lt;&gt;"",NOT(ISNUMBER($F64))),AND($G64&lt;&gt;"",NOT(ISNUMBER($G64)))),"Fecha no válida"&amp;" · ","")&amp;IF(AND(ISNUMBER($AM64),ISNUMBER($AN64),$AM64&gt;$AN64),"Inicio posterior a fecha límite"&amp;" · ","")&amp;IF(AND($V64="Macro",$H64&lt;&gt;"",OR(NOT(ISNUMBER($H64)),$H64&lt;0,$H64&gt;1)),"Peso fuera de rango"&amp;" · ","")&amp;IF(AND($V64="Sub",$H64&lt;&gt;""),"Las subactividades no llevan peso (valen igual dentro de su macroactividad)"&amp;" · ","")&amp;IF(AND(N($W64)&gt;0,COUNT($I64:$L64)&gt;0),"Con subactividades: deje vacías las semanas (se calculan solas)"&amp;" · ","")&amp;IF((COUNTIF($I64:$L64,"&gt;1")+COUNTIF($I64:$L64,"&lt;0")+COUNTA($I64:$L64)-COUNT($I64:$L64))&gt;0,"Avance fuera de rango 0-100%"&amp;" · ","")&amp;IF(OR(AND($J64&lt;&gt;"",$J64&lt;$I64),AND($K64&lt;&gt;"",$K64&lt;MAX($I64:$J64)),AND($L64&lt;&gt;"",$L64&lt;MAX($I64:$K64))),"Avance semanal decreciente"&amp;" · ","")&amp;IF(AND(ISNUMBER($AN64),$AN64&lt;FechaRef,IF($V64="Sub",N($X64),N($M64))&lt;1),"Vencida"&amp;" · ","")&amp;IF(AND(ObsObligatoria="Sí",ISNUMBER($AN64),$AN64&lt;FechaRef,IF($V64="Sub",N($X64),N($M64))&lt;1,$Q64=""),"Vencida sin observación"&amp;" · ",""))="","✔ OK","⚠ "&amp;LEFT(IF($C64="","Falta el nombre de la actividad"&amp;" · ","")&amp;IF(AND($V64="Sub",N($U64)=0),"Subactividad sin macroactividad arriba"&amp;" · ","")&amp;IF($AM64="","Sin fecha de inicio"&amp;" · ","")&amp;IF($AN64="","Sin fecha límite"&amp;" · ","")&amp;IF(AND(LEFT($C64,11)="[Jefatura] ",N($AL64)=0),"No se encuentra en la hoja de la jefatura (elíjala de nuevo en la lista)"&amp;" · ","")&amp;IF(OR(AND($E64&lt;&gt;"",NOT(ISNUMBER($E64))),AND($F64&lt;&gt;"",NOT(ISNUMBER($F64))),AND($G64&lt;&gt;"",NOT(ISNUMBER($G64)))),"Fecha no válida"&amp;" · ","")&amp;IF(AND(ISNUMBER($AM64),ISNUMBER($AN64),$AM64&gt;$AN64),"Inicio posterior a fecha límite"&amp;" · ","")&amp;IF(AND($V64="Macro",$H64&lt;&gt;"",OR(NOT(ISNUMBER($H64)),$H64&lt;0,$H64&gt;1)),"Peso fuera de rango"&amp;" · ","")&amp;IF(AND($V64="Sub",$H64&lt;&gt;""),"Las subactividades no llevan peso (valen igual dentro de su macroactividad)"&amp;" · ","")&amp;IF(AND(N($W64)&gt;0,COUNT($I64:$L64)&gt;0),"Con subactividades: deje vacías las semanas (se calculan solas)"&amp;" · ","")&amp;IF((COUNTIF($I64:$L64,"&gt;1")+COUNTIF($I64:$L64,"&lt;0")+COUNTA($I64:$L64)-COUNT($I64:$L64))&gt;0,"Avance fuera de rango 0-100%"&amp;" · ","")&amp;IF(OR(AND($J64&lt;&gt;"",$J64&lt;$I64),AND($K64&lt;&gt;"",$K64&lt;MAX($I64:$J64)),AND($L64&lt;&gt;"",$L64&lt;MAX($I64:$K64))),"Avance semanal decreciente"&amp;" · ","")&amp;IF(AND(ISNUMBER($AN64),$AN64&lt;FechaRef,IF($V64="Sub",N($X64),N($M64))&lt;1),"Vencida"&amp;" · ","")&amp;IF(AND(ObsObligatoria="Sí",ISNUMBER($AN64),$AN64&lt;FechaRef,IF($V64="Sub",N($X64),N($M64))&lt;1,$Q64=""),"Vencida sin observación"&amp;" · ",""),LEN(IF($C64="","Falta el nombre de la actividad"&amp;" · ","")&amp;IF(AND($V64="Sub",N($U64)=0),"Subactividad sin macroactividad arriba"&amp;" · ","")&amp;IF($AM64="","Sin fecha de inicio"&amp;" · ","")&amp;IF($AN64="","Sin fecha límite"&amp;" · ","")&amp;IF(AND(LEFT($C64,11)="[Jefatura] ",N($AL64)=0),"No se encuentra en la hoja de la jefatura (elíjala de nuevo en la lista)"&amp;" · ","")&amp;IF(OR(AND($E64&lt;&gt;"",NOT(ISNUMBER($E64))),AND($F64&lt;&gt;"",NOT(ISNUMBER($F64))),AND($G64&lt;&gt;"",NOT(ISNUMBER($G64)))),"Fecha no válida"&amp;" · ","")&amp;IF(AND(ISNUMBER($AM64),ISNUMBER($AN64),$AM64&gt;$AN64),"Inicio posterior a fecha límite"&amp;" · ","")&amp;IF(AND($V64="Macro",$H64&lt;&gt;"",OR(NOT(ISNUMBER($H64)),$H64&lt;0,$H64&gt;1)),"Peso fuera de rango"&amp;" · ","")&amp;IF(AND($V64="Sub",$H64&lt;&gt;""),"Las subactividades no llevan peso (valen igual dentro de su macroactividad)"&amp;" · ","")&amp;IF(AND(N($W64)&gt;0,COUNT($I64:$L64)&gt;0),"Con subactividades: deje vacías las semanas (se calculan solas)"&amp;" · ","")&amp;IF((COUNTIF($I64:$L64,"&gt;1")+COUNTIF($I64:$L64,"&lt;0")+COUNTA($I64:$L64)-COUNT($I64:$L64))&gt;0,"Avance fuera de rango 0-100%"&amp;" · ","")&amp;IF(OR(AND($J64&lt;&gt;"",$J64&lt;$I64),AND($K64&lt;&gt;"",$K64&lt;MAX($I64:$J64)),AND($L64&lt;&gt;"",$L64&lt;MAX($I64:$K64))),"Avance semanal decreciente"&amp;" · ","")&amp;IF(AND(ISNUMBER($AN64),$AN64&lt;FechaRef,IF($V64="Sub",N($X64),N($M64))&lt;1),"Vencida"&amp;" · ","")&amp;IF(AND(ObsObligatoria="Sí",ISNUMBER($AN64),$AN64&lt;FechaRef,IF($V64="Sub",N($X64),N($M64))&lt;1,$Q64=""),"Vencida sin observación"&amp;" · ",""))-3)))</f>
        <v/>
      </c>
      <c r="S64" s="64">
        <f>IF(NOT((COUNTA($B64:$D64)+COUNTA($G64:$L64)+COUNTA($Q64))&gt;0),"",IF(AND($V64="Sub",N($U64)&gt;0),IF(ISNUMBER(INDEX($AM$5:$AM$1000,$U64-4)),DATE(YEAR(INDEX($AM$5:$AM$1000,$U64-4)),MONTH(INDEX($AM$5:$AM$1000,$U64-4)),1),IF(ISNUMBER(INDEX($AN$5:$AN$1000,$U64-4)),DATE(YEAR(INDEX($AN$5:$AN$1000,$U64-4)),MONTH(INDEX($AN$5:$AN$1000,$U64-4)),1),MesCiclo)),IF(ISNUMBER($AM64),DATE(YEAR($AM64),MONTH($AM64),1),IF(ISNUMBER($AN64),DATE(YEAR($AN64),MONTH($AN64),1),MesCiclo))))</f>
        <v/>
      </c>
      <c r="T64" s="62">
        <f>IF(OR($S64="",$S64&lt;&gt;MesCiclo,$V64&lt;&gt;"Macro"),"",COUNTIFS($S$5:$S64,MesCiclo,$V$5:$V64,"Macro"))</f>
        <v/>
      </c>
      <c r="U64" s="62">
        <f>IF($V64="","",IF($V64="Macro",ROW(),IFERROR(LOOKUP(2,1/($V$5:$V64="Macro"),ROW($V$5:$V64)),0)))</f>
        <v/>
      </c>
      <c r="V64" s="62">
        <f>IF(NOT((COUNTA($B64:$D64)+COUNTA($G64:$L64)+COUNTA($Q64))&gt;0),"",IF($B64="Subactividad","Sub","Macro"))</f>
        <v/>
      </c>
      <c r="W64" s="62">
        <f>IF($V64="Macro",COUNTIFS($U$5:$U$1000,ROW(),$V$5:$V$1000,"Sub"),"")</f>
        <v/>
      </c>
      <c r="X64" s="62">
        <f>IF($V64="","",IF(ISNUMBER($G64),1,IFERROR(LOOKUP(2,1/($I64:$L64&lt;&gt;""),$I64:$L64),0)))</f>
        <v/>
      </c>
      <c r="Y64" s="62">
        <f>IF($V64="","",IF(AND(ISNUMBER($G64),$G64&lt;=IF($S64=MesCiclo,InicioCiclo,$S64+MOD(2-WEEKDAY($S64),7))+6),1,IF(ISNUMBER($I64),$I64,0)))</f>
        <v/>
      </c>
      <c r="Z64" s="62">
        <f>IF($V64="","",IF(AND(ISNUMBER($G64),$G64&lt;=IF($S64=MesCiclo,InicioCiclo,$S64+MOD(2-WEEKDAY($S64),7))+13),1,IF(ISNUMBER($J64),$J64,$Y64)))</f>
        <v/>
      </c>
      <c r="AA64" s="62">
        <f>IF($V64="","",IF(AND(ISNUMBER($G64),$G64&lt;=IF($S64=MesCiclo,InicioCiclo,$S64+MOD(2-WEEKDAY($S64),7))+20),1,IF(ISNUMBER($K64),$K64,$Z64)))</f>
        <v/>
      </c>
      <c r="AB64" s="62">
        <f>IF($V64="","",IF(AND(ISNUMBER($G64),$G64&lt;=IF($S64=MesCiclo,InicioCiclo,$S64+MOD(2-WEEKDAY($S64),7))+27),1,IF(ISNUMBER($L64),$L64,$AA64)))</f>
        <v/>
      </c>
      <c r="AC64" s="62">
        <f>IF($V64="","",IF(AND(ISNUMBER($G64),$G64&lt;=IF($S64=MesCiclo,InicioCiclo,$S64+MOD(2-WEEKDAY($S64),7))+6),1,IF(N($W64)&gt;0,AVERAGEIFS($Y$5:$Y$1000,$U$5:$U$1000,ROW(),$V$5:$V$1000,"Sub"),$Y64)))</f>
        <v/>
      </c>
      <c r="AD64" s="62">
        <f>IF($V64="","",IF(AND(ISNUMBER($G64),$G64&lt;=IF($S64=MesCiclo,InicioCiclo,$S64+MOD(2-WEEKDAY($S64),7))+13),1,IF(N($W64)&gt;0,AVERAGEIFS($Z$5:$Z$1000,$U$5:$U$1000,ROW(),$V$5:$V$1000,"Sub"),$Z64)))</f>
        <v/>
      </c>
      <c r="AE64" s="62">
        <f>IF($V64="","",IF(AND(ISNUMBER($G64),$G64&lt;=IF($S64=MesCiclo,InicioCiclo,$S64+MOD(2-WEEKDAY($S64),7))+20),1,IF(N($W64)&gt;0,AVERAGEIFS($AA$5:$AA$1000,$U$5:$U$1000,ROW(),$V$5:$V$1000,"Sub"),$AA64)))</f>
        <v/>
      </c>
      <c r="AF64" s="62">
        <f>IF($V64="","",IF(AND(ISNUMBER($G64),$G64&lt;=IF($S64=MesCiclo,InicioCiclo,$S64+MOD(2-WEEKDAY($S64),7))+27),1,IF(N($W64)&gt;0,AVERAGEIFS($AB$5:$AB$1000,$U$5:$U$1000,ROW(),$V$5:$V$1000,"Sub"),$AB64)))</f>
        <v/>
      </c>
      <c r="AG64" s="62">
        <f>IF($V64&lt;&gt;"Macro","",IF(COUNTIFS($S$5:$S$1000,$S64,$V$5:$V$1000,"Macro",$H$5:$H$1000,"&gt;0")=0,1/COUNTIFS($S$5:$S$1000,$S64,$V$5:$V$1000,"Macro"),IF(AND(ISNUMBER($H64),N($H64)&gt;0),$H64,SUMIFS($H$5:$H$1000,$S$5:$S$1000,$S64,$V$5:$V$1000,"Macro")/COUNTIFS($S$5:$S$1000,$S64,$V$5:$V$1000,"Macro",$H$5:$H$1000,"&gt;0"))/(COUNTIFS($S$5:$S$1000,$S64,$V$5:$V$1000,"Macro")*SUMIFS($H$5:$H$1000,$S$5:$S$1000,$S64,$V$5:$V$1000,"Macro")/COUNTIFS($S$5:$S$1000,$S64,$V$5:$V$1000,"Macro",$H$5:$H$1000,"&gt;0"))))</f>
        <v/>
      </c>
      <c r="AH64" s="62" t="n"/>
      <c r="AI64" s="62" t="n"/>
      <c r="AJ64" s="62" t="n"/>
      <c r="AK64" s="62" t="n"/>
      <c r="AL64" s="62">
        <f>IF(LEFT($C64,11)="[Jefatura] ",IFERROR(MATCH("Riesgo Financiero|"&amp;MID($C64,12,500),rDname_ADM,0),0),"")</f>
        <v/>
      </c>
      <c r="AM64" s="62">
        <f>IF(N($AL64)&gt;0,INDEX(rIni_ADM,$AL64),IF(ISNUMBER($E64),$E64,""))</f>
        <v/>
      </c>
      <c r="AN64" s="62">
        <f>IF(N($AL64)&gt;0,INDEX(rLim_ADM,$AL64),IF(ISNUMBER($F64),$F64,""))</f>
        <v/>
      </c>
    </row>
    <row r="65">
      <c r="A65" s="56">
        <f>IF(NOT((COUNTA($B65:$D65)+COUNTA($G65:$L65)+COUNTA($Q65))&gt;0),"",IF($V65="Macro",COUNTIFS($V$5:$V65,"Macro",$S$5:$S65,$S65),IF(N($U65)=0,"?",COUNTIFS(INDEX($V$5:$V$1000,1):INDEX($V$5:$V$1000,$U65-4),"Macro",INDEX($S$5:$S$1000,1):INDEX($S$5:$S$1000,$U65-4),INDEX($S$5:$S$1000,$U65-4))&amp;"."&amp;COUNTIFS($U$5:$U65,$U65,$V$5:$V65,"Sub"))))</f>
        <v/>
      </c>
      <c r="B65" s="57" t="n"/>
      <c r="C65" s="58" t="n"/>
      <c r="D65" s="58" t="n"/>
      <c r="E65" s="59">
        <f>IF(N($AL65)&gt;0,INDEX(rIni_ADM,$AL65),"")</f>
        <v/>
      </c>
      <c r="F65" s="59">
        <f>IF(N($AL65)&gt;0,INDEX(rLim_ADM,$AL65),"")</f>
        <v/>
      </c>
      <c r="G65" s="59" t="n"/>
      <c r="H65" s="60" t="n"/>
      <c r="I65" s="60" t="n"/>
      <c r="J65" s="60" t="n"/>
      <c r="K65" s="60" t="n"/>
      <c r="L65" s="60" t="n"/>
      <c r="M65" s="61">
        <f>IF(NOT((COUNTA($B65:$D65)+COUNTA($G65:$L65)+COUNTA($Q65))&gt;0),"",IF($V65="Sub",IFERROR($X65/INDEX($W$5:$W$1000,$U65-4),""),IF(ISNUMBER($G65),1,IF(N($W65)&gt;0,AVERAGEIFS($X$5:$X$1000,$U$5:$U$1000,ROW(),$V$5:$V$1000,"Sub"),$X65))))</f>
        <v/>
      </c>
      <c r="N65" s="56">
        <f>IF(OR($M65="",$V65="Sub"),"",IF($M65&gt;=1,"Completado",IF($M65&gt;0,"En curso","Pendiente")))</f>
        <v/>
      </c>
      <c r="O65" s="56">
        <f>IF(OR(NOT((COUNTA($B65:$D65)+COUNTA($G65:$L65)+COUNTA($Q65))&gt;0),$V65="Sub"),"",IF(ISNUMBER($G65),IF(AND(ISNUMBER($AN65),$G65&gt;$AN65),"Cumplida con "&amp;($G65-$AN65)&amp;IF($G65-$AN65=1," día"," días")&amp;" de retraso","Cumplida"),IF(N($M65)&gt;=1,"Cumplida",IF(NOT(ISNUMBER($AN65)),"Sin fecha límite",IF($AN65&lt;FechaRef,"Vencida hace "&amp;(FechaRef-$AN65)&amp;IF(FechaRef-$AN65=1," día"," días"),IF($AN65=FechaRef,"Vence hoy",IF($AN65-FechaRef&lt;=DiasAlerta,"Vence en "&amp;($AN65-FechaRef)&amp;IF($AN65-FechaRef=1," día"," días"),"En plazo")))))))</f>
        <v/>
      </c>
      <c r="P65" s="62" t="n"/>
      <c r="Q65" s="58" t="n"/>
      <c r="R65" s="63">
        <f>IF(NOT((COUNTA($B65:$D65)+COUNTA($G65:$L65)+COUNTA($Q65))&gt;0),"",IF((IF($C65="","Falta el nombre de la actividad"&amp;" · ","")&amp;IF(AND($V65="Sub",N($U65)=0),"Subactividad sin macroactividad arriba"&amp;" · ","")&amp;IF($AM65="","Sin fecha de inicio"&amp;" · ","")&amp;IF($AN65="","Sin fecha límite"&amp;" · ","")&amp;IF(AND(LEFT($C65,11)="[Jefatura] ",N($AL65)=0),"No se encuentra en la hoja de la jefatura (elíjala de nuevo en la lista)"&amp;" · ","")&amp;IF(OR(AND($E65&lt;&gt;"",NOT(ISNUMBER($E65))),AND($F65&lt;&gt;"",NOT(ISNUMBER($F65))),AND($G65&lt;&gt;"",NOT(ISNUMBER($G65)))),"Fecha no válida"&amp;" · ","")&amp;IF(AND(ISNUMBER($AM65),ISNUMBER($AN65),$AM65&gt;$AN65),"Inicio posterior a fecha límite"&amp;" · ","")&amp;IF(AND($V65="Macro",$H65&lt;&gt;"",OR(NOT(ISNUMBER($H65)),$H65&lt;0,$H65&gt;1)),"Peso fuera de rango"&amp;" · ","")&amp;IF(AND($V65="Sub",$H65&lt;&gt;""),"Las subactividades no llevan peso (valen igual dentro de su macroactividad)"&amp;" · ","")&amp;IF(AND(N($W65)&gt;0,COUNT($I65:$L65)&gt;0),"Con subactividades: deje vacías las semanas (se calculan solas)"&amp;" · ","")&amp;IF((COUNTIF($I65:$L65,"&gt;1")+COUNTIF($I65:$L65,"&lt;0")+COUNTA($I65:$L65)-COUNT($I65:$L65))&gt;0,"Avance fuera de rango 0-100%"&amp;" · ","")&amp;IF(OR(AND($J65&lt;&gt;"",$J65&lt;$I65),AND($K65&lt;&gt;"",$K65&lt;MAX($I65:$J65)),AND($L65&lt;&gt;"",$L65&lt;MAX($I65:$K65))),"Avance semanal decreciente"&amp;" · ","")&amp;IF(AND(ISNUMBER($AN65),$AN65&lt;FechaRef,IF($V65="Sub",N($X65),N($M65))&lt;1),"Vencida"&amp;" · ","")&amp;IF(AND(ObsObligatoria="Sí",ISNUMBER($AN65),$AN65&lt;FechaRef,IF($V65="Sub",N($X65),N($M65))&lt;1,$Q65=""),"Vencida sin observación"&amp;" · ",""))="","✔ OK","⚠ "&amp;LEFT(IF($C65="","Falta el nombre de la actividad"&amp;" · ","")&amp;IF(AND($V65="Sub",N($U65)=0),"Subactividad sin macroactividad arriba"&amp;" · ","")&amp;IF($AM65="","Sin fecha de inicio"&amp;" · ","")&amp;IF($AN65="","Sin fecha límite"&amp;" · ","")&amp;IF(AND(LEFT($C65,11)="[Jefatura] ",N($AL65)=0),"No se encuentra en la hoja de la jefatura (elíjala de nuevo en la lista)"&amp;" · ","")&amp;IF(OR(AND($E65&lt;&gt;"",NOT(ISNUMBER($E65))),AND($F65&lt;&gt;"",NOT(ISNUMBER($F65))),AND($G65&lt;&gt;"",NOT(ISNUMBER($G65)))),"Fecha no válida"&amp;" · ","")&amp;IF(AND(ISNUMBER($AM65),ISNUMBER($AN65),$AM65&gt;$AN65),"Inicio posterior a fecha límite"&amp;" · ","")&amp;IF(AND($V65="Macro",$H65&lt;&gt;"",OR(NOT(ISNUMBER($H65)),$H65&lt;0,$H65&gt;1)),"Peso fuera de rango"&amp;" · ","")&amp;IF(AND($V65="Sub",$H65&lt;&gt;""),"Las subactividades no llevan peso (valen igual dentro de su macroactividad)"&amp;" · ","")&amp;IF(AND(N($W65)&gt;0,COUNT($I65:$L65)&gt;0),"Con subactividades: deje vacías las semanas (se calculan solas)"&amp;" · ","")&amp;IF((COUNTIF($I65:$L65,"&gt;1")+COUNTIF($I65:$L65,"&lt;0")+COUNTA($I65:$L65)-COUNT($I65:$L65))&gt;0,"Avance fuera de rango 0-100%"&amp;" · ","")&amp;IF(OR(AND($J65&lt;&gt;"",$J65&lt;$I65),AND($K65&lt;&gt;"",$K65&lt;MAX($I65:$J65)),AND($L65&lt;&gt;"",$L65&lt;MAX($I65:$K65))),"Avance semanal decreciente"&amp;" · ","")&amp;IF(AND(ISNUMBER($AN65),$AN65&lt;FechaRef,IF($V65="Sub",N($X65),N($M65))&lt;1),"Vencida"&amp;" · ","")&amp;IF(AND(ObsObligatoria="Sí",ISNUMBER($AN65),$AN65&lt;FechaRef,IF($V65="Sub",N($X65),N($M65))&lt;1,$Q65=""),"Vencida sin observación"&amp;" · ",""),LEN(IF($C65="","Falta el nombre de la actividad"&amp;" · ","")&amp;IF(AND($V65="Sub",N($U65)=0),"Subactividad sin macroactividad arriba"&amp;" · ","")&amp;IF($AM65="","Sin fecha de inicio"&amp;" · ","")&amp;IF($AN65="","Sin fecha límite"&amp;" · ","")&amp;IF(AND(LEFT($C65,11)="[Jefatura] ",N($AL65)=0),"No se encuentra en la hoja de la jefatura (elíjala de nuevo en la lista)"&amp;" · ","")&amp;IF(OR(AND($E65&lt;&gt;"",NOT(ISNUMBER($E65))),AND($F65&lt;&gt;"",NOT(ISNUMBER($F65))),AND($G65&lt;&gt;"",NOT(ISNUMBER($G65)))),"Fecha no válida"&amp;" · ","")&amp;IF(AND(ISNUMBER($AM65),ISNUMBER($AN65),$AM65&gt;$AN65),"Inicio posterior a fecha límite"&amp;" · ","")&amp;IF(AND($V65="Macro",$H65&lt;&gt;"",OR(NOT(ISNUMBER($H65)),$H65&lt;0,$H65&gt;1)),"Peso fuera de rango"&amp;" · ","")&amp;IF(AND($V65="Sub",$H65&lt;&gt;""),"Las subactividades no llevan peso (valen igual dentro de su macroactividad)"&amp;" · ","")&amp;IF(AND(N($W65)&gt;0,COUNT($I65:$L65)&gt;0),"Con subactividades: deje vacías las semanas (se calculan solas)"&amp;" · ","")&amp;IF((COUNTIF($I65:$L65,"&gt;1")+COUNTIF($I65:$L65,"&lt;0")+COUNTA($I65:$L65)-COUNT($I65:$L65))&gt;0,"Avance fuera de rango 0-100%"&amp;" · ","")&amp;IF(OR(AND($J65&lt;&gt;"",$J65&lt;$I65),AND($K65&lt;&gt;"",$K65&lt;MAX($I65:$J65)),AND($L65&lt;&gt;"",$L65&lt;MAX($I65:$K65))),"Avance semanal decreciente"&amp;" · ","")&amp;IF(AND(ISNUMBER($AN65),$AN65&lt;FechaRef,IF($V65="Sub",N($X65),N($M65))&lt;1),"Vencida"&amp;" · ","")&amp;IF(AND(ObsObligatoria="Sí",ISNUMBER($AN65),$AN65&lt;FechaRef,IF($V65="Sub",N($X65),N($M65))&lt;1,$Q65=""),"Vencida sin observación"&amp;" · ",""))-3)))</f>
        <v/>
      </c>
      <c r="S65" s="64">
        <f>IF(NOT((COUNTA($B65:$D65)+COUNTA($G65:$L65)+COUNTA($Q65))&gt;0),"",IF(AND($V65="Sub",N($U65)&gt;0),IF(ISNUMBER(INDEX($AM$5:$AM$1000,$U65-4)),DATE(YEAR(INDEX($AM$5:$AM$1000,$U65-4)),MONTH(INDEX($AM$5:$AM$1000,$U65-4)),1),IF(ISNUMBER(INDEX($AN$5:$AN$1000,$U65-4)),DATE(YEAR(INDEX($AN$5:$AN$1000,$U65-4)),MONTH(INDEX($AN$5:$AN$1000,$U65-4)),1),MesCiclo)),IF(ISNUMBER($AM65),DATE(YEAR($AM65),MONTH($AM65),1),IF(ISNUMBER($AN65),DATE(YEAR($AN65),MONTH($AN65),1),MesCiclo))))</f>
        <v/>
      </c>
      <c r="T65" s="62">
        <f>IF(OR($S65="",$S65&lt;&gt;MesCiclo,$V65&lt;&gt;"Macro"),"",COUNTIFS($S$5:$S65,MesCiclo,$V$5:$V65,"Macro"))</f>
        <v/>
      </c>
      <c r="U65" s="62">
        <f>IF($V65="","",IF($V65="Macro",ROW(),IFERROR(LOOKUP(2,1/($V$5:$V65="Macro"),ROW($V$5:$V65)),0)))</f>
        <v/>
      </c>
      <c r="V65" s="62">
        <f>IF(NOT((COUNTA($B65:$D65)+COUNTA($G65:$L65)+COUNTA($Q65))&gt;0),"",IF($B65="Subactividad","Sub","Macro"))</f>
        <v/>
      </c>
      <c r="W65" s="62">
        <f>IF($V65="Macro",COUNTIFS($U$5:$U$1000,ROW(),$V$5:$V$1000,"Sub"),"")</f>
        <v/>
      </c>
      <c r="X65" s="62">
        <f>IF($V65="","",IF(ISNUMBER($G65),1,IFERROR(LOOKUP(2,1/($I65:$L65&lt;&gt;""),$I65:$L65),0)))</f>
        <v/>
      </c>
      <c r="Y65" s="62">
        <f>IF($V65="","",IF(AND(ISNUMBER($G65),$G65&lt;=IF($S65=MesCiclo,InicioCiclo,$S65+MOD(2-WEEKDAY($S65),7))+6),1,IF(ISNUMBER($I65),$I65,0)))</f>
        <v/>
      </c>
      <c r="Z65" s="62">
        <f>IF($V65="","",IF(AND(ISNUMBER($G65),$G65&lt;=IF($S65=MesCiclo,InicioCiclo,$S65+MOD(2-WEEKDAY($S65),7))+13),1,IF(ISNUMBER($J65),$J65,$Y65)))</f>
        <v/>
      </c>
      <c r="AA65" s="62">
        <f>IF($V65="","",IF(AND(ISNUMBER($G65),$G65&lt;=IF($S65=MesCiclo,InicioCiclo,$S65+MOD(2-WEEKDAY($S65),7))+20),1,IF(ISNUMBER($K65),$K65,$Z65)))</f>
        <v/>
      </c>
      <c r="AB65" s="62">
        <f>IF($V65="","",IF(AND(ISNUMBER($G65),$G65&lt;=IF($S65=MesCiclo,InicioCiclo,$S65+MOD(2-WEEKDAY($S65),7))+27),1,IF(ISNUMBER($L65),$L65,$AA65)))</f>
        <v/>
      </c>
      <c r="AC65" s="62">
        <f>IF($V65="","",IF(AND(ISNUMBER($G65),$G65&lt;=IF($S65=MesCiclo,InicioCiclo,$S65+MOD(2-WEEKDAY($S65),7))+6),1,IF(N($W65)&gt;0,AVERAGEIFS($Y$5:$Y$1000,$U$5:$U$1000,ROW(),$V$5:$V$1000,"Sub"),$Y65)))</f>
        <v/>
      </c>
      <c r="AD65" s="62">
        <f>IF($V65="","",IF(AND(ISNUMBER($G65),$G65&lt;=IF($S65=MesCiclo,InicioCiclo,$S65+MOD(2-WEEKDAY($S65),7))+13),1,IF(N($W65)&gt;0,AVERAGEIFS($Z$5:$Z$1000,$U$5:$U$1000,ROW(),$V$5:$V$1000,"Sub"),$Z65)))</f>
        <v/>
      </c>
      <c r="AE65" s="62">
        <f>IF($V65="","",IF(AND(ISNUMBER($G65),$G65&lt;=IF($S65=MesCiclo,InicioCiclo,$S65+MOD(2-WEEKDAY($S65),7))+20),1,IF(N($W65)&gt;0,AVERAGEIFS($AA$5:$AA$1000,$U$5:$U$1000,ROW(),$V$5:$V$1000,"Sub"),$AA65)))</f>
        <v/>
      </c>
      <c r="AF65" s="62">
        <f>IF($V65="","",IF(AND(ISNUMBER($G65),$G65&lt;=IF($S65=MesCiclo,InicioCiclo,$S65+MOD(2-WEEKDAY($S65),7))+27),1,IF(N($W65)&gt;0,AVERAGEIFS($AB$5:$AB$1000,$U$5:$U$1000,ROW(),$V$5:$V$1000,"Sub"),$AB65)))</f>
        <v/>
      </c>
      <c r="AG65" s="62">
        <f>IF($V65&lt;&gt;"Macro","",IF(COUNTIFS($S$5:$S$1000,$S65,$V$5:$V$1000,"Macro",$H$5:$H$1000,"&gt;0")=0,1/COUNTIFS($S$5:$S$1000,$S65,$V$5:$V$1000,"Macro"),IF(AND(ISNUMBER($H65),N($H65)&gt;0),$H65,SUMIFS($H$5:$H$1000,$S$5:$S$1000,$S65,$V$5:$V$1000,"Macro")/COUNTIFS($S$5:$S$1000,$S65,$V$5:$V$1000,"Macro",$H$5:$H$1000,"&gt;0"))/(COUNTIFS($S$5:$S$1000,$S65,$V$5:$V$1000,"Macro")*SUMIFS($H$5:$H$1000,$S$5:$S$1000,$S65,$V$5:$V$1000,"Macro")/COUNTIFS($S$5:$S$1000,$S65,$V$5:$V$1000,"Macro",$H$5:$H$1000,"&gt;0"))))</f>
        <v/>
      </c>
      <c r="AH65" s="62" t="n"/>
      <c r="AI65" s="62" t="n"/>
      <c r="AJ65" s="62" t="n"/>
      <c r="AK65" s="62" t="n"/>
      <c r="AL65" s="62">
        <f>IF(LEFT($C65,11)="[Jefatura] ",IFERROR(MATCH("Riesgo Financiero|"&amp;MID($C65,12,500),rDname_ADM,0),0),"")</f>
        <v/>
      </c>
      <c r="AM65" s="62">
        <f>IF(N($AL65)&gt;0,INDEX(rIni_ADM,$AL65),IF(ISNUMBER($E65),$E65,""))</f>
        <v/>
      </c>
      <c r="AN65" s="62">
        <f>IF(N($AL65)&gt;0,INDEX(rLim_ADM,$AL65),IF(ISNUMBER($F65),$F65,""))</f>
        <v/>
      </c>
    </row>
    <row r="66">
      <c r="A66" s="56">
        <f>IF(NOT((COUNTA($B66:$D66)+COUNTA($G66:$L66)+COUNTA($Q66))&gt;0),"",IF($V66="Macro",COUNTIFS($V$5:$V66,"Macro",$S$5:$S66,$S66),IF(N($U66)=0,"?",COUNTIFS(INDEX($V$5:$V$1000,1):INDEX($V$5:$V$1000,$U66-4),"Macro",INDEX($S$5:$S$1000,1):INDEX($S$5:$S$1000,$U66-4),INDEX($S$5:$S$1000,$U66-4))&amp;"."&amp;COUNTIFS($U$5:$U66,$U66,$V$5:$V66,"Sub"))))</f>
        <v/>
      </c>
      <c r="B66" s="57" t="n"/>
      <c r="C66" s="58" t="n"/>
      <c r="D66" s="58" t="n"/>
      <c r="E66" s="59">
        <f>IF(N($AL66)&gt;0,INDEX(rIni_ADM,$AL66),"")</f>
        <v/>
      </c>
      <c r="F66" s="59">
        <f>IF(N($AL66)&gt;0,INDEX(rLim_ADM,$AL66),"")</f>
        <v/>
      </c>
      <c r="G66" s="59" t="n"/>
      <c r="H66" s="60" t="n"/>
      <c r="I66" s="60" t="n"/>
      <c r="J66" s="60" t="n"/>
      <c r="K66" s="60" t="n"/>
      <c r="L66" s="60" t="n"/>
      <c r="M66" s="61">
        <f>IF(NOT((COUNTA($B66:$D66)+COUNTA($G66:$L66)+COUNTA($Q66))&gt;0),"",IF($V66="Sub",IFERROR($X66/INDEX($W$5:$W$1000,$U66-4),""),IF(ISNUMBER($G66),1,IF(N($W66)&gt;0,AVERAGEIFS($X$5:$X$1000,$U$5:$U$1000,ROW(),$V$5:$V$1000,"Sub"),$X66))))</f>
        <v/>
      </c>
      <c r="N66" s="56">
        <f>IF(OR($M66="",$V66="Sub"),"",IF($M66&gt;=1,"Completado",IF($M66&gt;0,"En curso","Pendiente")))</f>
        <v/>
      </c>
      <c r="O66" s="56">
        <f>IF(OR(NOT((COUNTA($B66:$D66)+COUNTA($G66:$L66)+COUNTA($Q66))&gt;0),$V66="Sub"),"",IF(ISNUMBER($G66),IF(AND(ISNUMBER($AN66),$G66&gt;$AN66),"Cumplida con "&amp;($G66-$AN66)&amp;IF($G66-$AN66=1," día"," días")&amp;" de retraso","Cumplida"),IF(N($M66)&gt;=1,"Cumplida",IF(NOT(ISNUMBER($AN66)),"Sin fecha límite",IF($AN66&lt;FechaRef,"Vencida hace "&amp;(FechaRef-$AN66)&amp;IF(FechaRef-$AN66=1," día"," días"),IF($AN66=FechaRef,"Vence hoy",IF($AN66-FechaRef&lt;=DiasAlerta,"Vence en "&amp;($AN66-FechaRef)&amp;IF($AN66-FechaRef=1," día"," días"),"En plazo")))))))</f>
        <v/>
      </c>
      <c r="P66" s="62" t="n"/>
      <c r="Q66" s="58" t="n"/>
      <c r="R66" s="63">
        <f>IF(NOT((COUNTA($B66:$D66)+COUNTA($G66:$L66)+COUNTA($Q66))&gt;0),"",IF((IF($C66="","Falta el nombre de la actividad"&amp;" · ","")&amp;IF(AND($V66="Sub",N($U66)=0),"Subactividad sin macroactividad arriba"&amp;" · ","")&amp;IF($AM66="","Sin fecha de inicio"&amp;" · ","")&amp;IF($AN66="","Sin fecha límite"&amp;" · ","")&amp;IF(AND(LEFT($C66,11)="[Jefatura] ",N($AL66)=0),"No se encuentra en la hoja de la jefatura (elíjala de nuevo en la lista)"&amp;" · ","")&amp;IF(OR(AND($E66&lt;&gt;"",NOT(ISNUMBER($E66))),AND($F66&lt;&gt;"",NOT(ISNUMBER($F66))),AND($G66&lt;&gt;"",NOT(ISNUMBER($G66)))),"Fecha no válida"&amp;" · ","")&amp;IF(AND(ISNUMBER($AM66),ISNUMBER($AN66),$AM66&gt;$AN66),"Inicio posterior a fecha límite"&amp;" · ","")&amp;IF(AND($V66="Macro",$H66&lt;&gt;"",OR(NOT(ISNUMBER($H66)),$H66&lt;0,$H66&gt;1)),"Peso fuera de rango"&amp;" · ","")&amp;IF(AND($V66="Sub",$H66&lt;&gt;""),"Las subactividades no llevan peso (valen igual dentro de su macroactividad)"&amp;" · ","")&amp;IF(AND(N($W66)&gt;0,COUNT($I66:$L66)&gt;0),"Con subactividades: deje vacías las semanas (se calculan solas)"&amp;" · ","")&amp;IF((COUNTIF($I66:$L66,"&gt;1")+COUNTIF($I66:$L66,"&lt;0")+COUNTA($I66:$L66)-COUNT($I66:$L66))&gt;0,"Avance fuera de rango 0-100%"&amp;" · ","")&amp;IF(OR(AND($J66&lt;&gt;"",$J66&lt;$I66),AND($K66&lt;&gt;"",$K66&lt;MAX($I66:$J66)),AND($L66&lt;&gt;"",$L66&lt;MAX($I66:$K66))),"Avance semanal decreciente"&amp;" · ","")&amp;IF(AND(ISNUMBER($AN66),$AN66&lt;FechaRef,IF($V66="Sub",N($X66),N($M66))&lt;1),"Vencida"&amp;" · ","")&amp;IF(AND(ObsObligatoria="Sí",ISNUMBER($AN66),$AN66&lt;FechaRef,IF($V66="Sub",N($X66),N($M66))&lt;1,$Q66=""),"Vencida sin observación"&amp;" · ",""))="","✔ OK","⚠ "&amp;LEFT(IF($C66="","Falta el nombre de la actividad"&amp;" · ","")&amp;IF(AND($V66="Sub",N($U66)=0),"Subactividad sin macroactividad arriba"&amp;" · ","")&amp;IF($AM66="","Sin fecha de inicio"&amp;" · ","")&amp;IF($AN66="","Sin fecha límite"&amp;" · ","")&amp;IF(AND(LEFT($C66,11)="[Jefatura] ",N($AL66)=0),"No se encuentra en la hoja de la jefatura (elíjala de nuevo en la lista)"&amp;" · ","")&amp;IF(OR(AND($E66&lt;&gt;"",NOT(ISNUMBER($E66))),AND($F66&lt;&gt;"",NOT(ISNUMBER($F66))),AND($G66&lt;&gt;"",NOT(ISNUMBER($G66)))),"Fecha no válida"&amp;" · ","")&amp;IF(AND(ISNUMBER($AM66),ISNUMBER($AN66),$AM66&gt;$AN66),"Inicio posterior a fecha límite"&amp;" · ","")&amp;IF(AND($V66="Macro",$H66&lt;&gt;"",OR(NOT(ISNUMBER($H66)),$H66&lt;0,$H66&gt;1)),"Peso fuera de rango"&amp;" · ","")&amp;IF(AND($V66="Sub",$H66&lt;&gt;""),"Las subactividades no llevan peso (valen igual dentro de su macroactividad)"&amp;" · ","")&amp;IF(AND(N($W66)&gt;0,COUNT($I66:$L66)&gt;0),"Con subactividades: deje vacías las semanas (se calculan solas)"&amp;" · ","")&amp;IF((COUNTIF($I66:$L66,"&gt;1")+COUNTIF($I66:$L66,"&lt;0")+COUNTA($I66:$L66)-COUNT($I66:$L66))&gt;0,"Avance fuera de rango 0-100%"&amp;" · ","")&amp;IF(OR(AND($J66&lt;&gt;"",$J66&lt;$I66),AND($K66&lt;&gt;"",$K66&lt;MAX($I66:$J66)),AND($L66&lt;&gt;"",$L66&lt;MAX($I66:$K66))),"Avance semanal decreciente"&amp;" · ","")&amp;IF(AND(ISNUMBER($AN66),$AN66&lt;FechaRef,IF($V66="Sub",N($X66),N($M66))&lt;1),"Vencida"&amp;" · ","")&amp;IF(AND(ObsObligatoria="Sí",ISNUMBER($AN66),$AN66&lt;FechaRef,IF($V66="Sub",N($X66),N($M66))&lt;1,$Q66=""),"Vencida sin observación"&amp;" · ",""),LEN(IF($C66="","Falta el nombre de la actividad"&amp;" · ","")&amp;IF(AND($V66="Sub",N($U66)=0),"Subactividad sin macroactividad arriba"&amp;" · ","")&amp;IF($AM66="","Sin fecha de inicio"&amp;" · ","")&amp;IF($AN66="","Sin fecha límite"&amp;" · ","")&amp;IF(AND(LEFT($C66,11)="[Jefatura] ",N($AL66)=0),"No se encuentra en la hoja de la jefatura (elíjala de nuevo en la lista)"&amp;" · ","")&amp;IF(OR(AND($E66&lt;&gt;"",NOT(ISNUMBER($E66))),AND($F66&lt;&gt;"",NOT(ISNUMBER($F66))),AND($G66&lt;&gt;"",NOT(ISNUMBER($G66)))),"Fecha no válida"&amp;" · ","")&amp;IF(AND(ISNUMBER($AM66),ISNUMBER($AN66),$AM66&gt;$AN66),"Inicio posterior a fecha límite"&amp;" · ","")&amp;IF(AND($V66="Macro",$H66&lt;&gt;"",OR(NOT(ISNUMBER($H66)),$H66&lt;0,$H66&gt;1)),"Peso fuera de rango"&amp;" · ","")&amp;IF(AND($V66="Sub",$H66&lt;&gt;""),"Las subactividades no llevan peso (valen igual dentro de su macroactividad)"&amp;" · ","")&amp;IF(AND(N($W66)&gt;0,COUNT($I66:$L66)&gt;0),"Con subactividades: deje vacías las semanas (se calculan solas)"&amp;" · ","")&amp;IF((COUNTIF($I66:$L66,"&gt;1")+COUNTIF($I66:$L66,"&lt;0")+COUNTA($I66:$L66)-COUNT($I66:$L66))&gt;0,"Avance fuera de rango 0-100%"&amp;" · ","")&amp;IF(OR(AND($J66&lt;&gt;"",$J66&lt;$I66),AND($K66&lt;&gt;"",$K66&lt;MAX($I66:$J66)),AND($L66&lt;&gt;"",$L66&lt;MAX($I66:$K66))),"Avance semanal decreciente"&amp;" · ","")&amp;IF(AND(ISNUMBER($AN66),$AN66&lt;FechaRef,IF($V66="Sub",N($X66),N($M66))&lt;1),"Vencida"&amp;" · ","")&amp;IF(AND(ObsObligatoria="Sí",ISNUMBER($AN66),$AN66&lt;FechaRef,IF($V66="Sub",N($X66),N($M66))&lt;1,$Q66=""),"Vencida sin observación"&amp;" · ",""))-3)))</f>
        <v/>
      </c>
      <c r="S66" s="64">
        <f>IF(NOT((COUNTA($B66:$D66)+COUNTA($G66:$L66)+COUNTA($Q66))&gt;0),"",IF(AND($V66="Sub",N($U66)&gt;0),IF(ISNUMBER(INDEX($AM$5:$AM$1000,$U66-4)),DATE(YEAR(INDEX($AM$5:$AM$1000,$U66-4)),MONTH(INDEX($AM$5:$AM$1000,$U66-4)),1),IF(ISNUMBER(INDEX($AN$5:$AN$1000,$U66-4)),DATE(YEAR(INDEX($AN$5:$AN$1000,$U66-4)),MONTH(INDEX($AN$5:$AN$1000,$U66-4)),1),MesCiclo)),IF(ISNUMBER($AM66),DATE(YEAR($AM66),MONTH($AM66),1),IF(ISNUMBER($AN66),DATE(YEAR($AN66),MONTH($AN66),1),MesCiclo))))</f>
        <v/>
      </c>
      <c r="T66" s="62">
        <f>IF(OR($S66="",$S66&lt;&gt;MesCiclo,$V66&lt;&gt;"Macro"),"",COUNTIFS($S$5:$S66,MesCiclo,$V$5:$V66,"Macro"))</f>
        <v/>
      </c>
      <c r="U66" s="62">
        <f>IF($V66="","",IF($V66="Macro",ROW(),IFERROR(LOOKUP(2,1/($V$5:$V66="Macro"),ROW($V$5:$V66)),0)))</f>
        <v/>
      </c>
      <c r="V66" s="62">
        <f>IF(NOT((COUNTA($B66:$D66)+COUNTA($G66:$L66)+COUNTA($Q66))&gt;0),"",IF($B66="Subactividad","Sub","Macro"))</f>
        <v/>
      </c>
      <c r="W66" s="62">
        <f>IF($V66="Macro",COUNTIFS($U$5:$U$1000,ROW(),$V$5:$V$1000,"Sub"),"")</f>
        <v/>
      </c>
      <c r="X66" s="62">
        <f>IF($V66="","",IF(ISNUMBER($G66),1,IFERROR(LOOKUP(2,1/($I66:$L66&lt;&gt;""),$I66:$L66),0)))</f>
        <v/>
      </c>
      <c r="Y66" s="62">
        <f>IF($V66="","",IF(AND(ISNUMBER($G66),$G66&lt;=IF($S66=MesCiclo,InicioCiclo,$S66+MOD(2-WEEKDAY($S66),7))+6),1,IF(ISNUMBER($I66),$I66,0)))</f>
        <v/>
      </c>
      <c r="Z66" s="62">
        <f>IF($V66="","",IF(AND(ISNUMBER($G66),$G66&lt;=IF($S66=MesCiclo,InicioCiclo,$S66+MOD(2-WEEKDAY($S66),7))+13),1,IF(ISNUMBER($J66),$J66,$Y66)))</f>
        <v/>
      </c>
      <c r="AA66" s="62">
        <f>IF($V66="","",IF(AND(ISNUMBER($G66),$G66&lt;=IF($S66=MesCiclo,InicioCiclo,$S66+MOD(2-WEEKDAY($S66),7))+20),1,IF(ISNUMBER($K66),$K66,$Z66)))</f>
        <v/>
      </c>
      <c r="AB66" s="62">
        <f>IF($V66="","",IF(AND(ISNUMBER($G66),$G66&lt;=IF($S66=MesCiclo,InicioCiclo,$S66+MOD(2-WEEKDAY($S66),7))+27),1,IF(ISNUMBER($L66),$L66,$AA66)))</f>
        <v/>
      </c>
      <c r="AC66" s="62">
        <f>IF($V66="","",IF(AND(ISNUMBER($G66),$G66&lt;=IF($S66=MesCiclo,InicioCiclo,$S66+MOD(2-WEEKDAY($S66),7))+6),1,IF(N($W66)&gt;0,AVERAGEIFS($Y$5:$Y$1000,$U$5:$U$1000,ROW(),$V$5:$V$1000,"Sub"),$Y66)))</f>
        <v/>
      </c>
      <c r="AD66" s="62">
        <f>IF($V66="","",IF(AND(ISNUMBER($G66),$G66&lt;=IF($S66=MesCiclo,InicioCiclo,$S66+MOD(2-WEEKDAY($S66),7))+13),1,IF(N($W66)&gt;0,AVERAGEIFS($Z$5:$Z$1000,$U$5:$U$1000,ROW(),$V$5:$V$1000,"Sub"),$Z66)))</f>
        <v/>
      </c>
      <c r="AE66" s="62">
        <f>IF($V66="","",IF(AND(ISNUMBER($G66),$G66&lt;=IF($S66=MesCiclo,InicioCiclo,$S66+MOD(2-WEEKDAY($S66),7))+20),1,IF(N($W66)&gt;0,AVERAGEIFS($AA$5:$AA$1000,$U$5:$U$1000,ROW(),$V$5:$V$1000,"Sub"),$AA66)))</f>
        <v/>
      </c>
      <c r="AF66" s="62">
        <f>IF($V66="","",IF(AND(ISNUMBER($G66),$G66&lt;=IF($S66=MesCiclo,InicioCiclo,$S66+MOD(2-WEEKDAY($S66),7))+27),1,IF(N($W66)&gt;0,AVERAGEIFS($AB$5:$AB$1000,$U$5:$U$1000,ROW(),$V$5:$V$1000,"Sub"),$AB66)))</f>
        <v/>
      </c>
      <c r="AG66" s="62">
        <f>IF($V66&lt;&gt;"Macro","",IF(COUNTIFS($S$5:$S$1000,$S66,$V$5:$V$1000,"Macro",$H$5:$H$1000,"&gt;0")=0,1/COUNTIFS($S$5:$S$1000,$S66,$V$5:$V$1000,"Macro"),IF(AND(ISNUMBER($H66),N($H66)&gt;0),$H66,SUMIFS($H$5:$H$1000,$S$5:$S$1000,$S66,$V$5:$V$1000,"Macro")/COUNTIFS($S$5:$S$1000,$S66,$V$5:$V$1000,"Macro",$H$5:$H$1000,"&gt;0"))/(COUNTIFS($S$5:$S$1000,$S66,$V$5:$V$1000,"Macro")*SUMIFS($H$5:$H$1000,$S$5:$S$1000,$S66,$V$5:$V$1000,"Macro")/COUNTIFS($S$5:$S$1000,$S66,$V$5:$V$1000,"Macro",$H$5:$H$1000,"&gt;0"))))</f>
        <v/>
      </c>
      <c r="AH66" s="62" t="n"/>
      <c r="AI66" s="62" t="n"/>
      <c r="AJ66" s="62" t="n"/>
      <c r="AK66" s="62" t="n"/>
      <c r="AL66" s="62">
        <f>IF(LEFT($C66,11)="[Jefatura] ",IFERROR(MATCH("Riesgo Financiero|"&amp;MID($C66,12,500),rDname_ADM,0),0),"")</f>
        <v/>
      </c>
      <c r="AM66" s="62">
        <f>IF(N($AL66)&gt;0,INDEX(rIni_ADM,$AL66),IF(ISNUMBER($E66),$E66,""))</f>
        <v/>
      </c>
      <c r="AN66" s="62">
        <f>IF(N($AL66)&gt;0,INDEX(rLim_ADM,$AL66),IF(ISNUMBER($F66),$F66,""))</f>
        <v/>
      </c>
    </row>
    <row r="67">
      <c r="A67" s="56">
        <f>IF(NOT((COUNTA($B67:$D67)+COUNTA($G67:$L67)+COUNTA($Q67))&gt;0),"",IF($V67="Macro",COUNTIFS($V$5:$V67,"Macro",$S$5:$S67,$S67),IF(N($U67)=0,"?",COUNTIFS(INDEX($V$5:$V$1000,1):INDEX($V$5:$V$1000,$U67-4),"Macro",INDEX($S$5:$S$1000,1):INDEX($S$5:$S$1000,$U67-4),INDEX($S$5:$S$1000,$U67-4))&amp;"."&amp;COUNTIFS($U$5:$U67,$U67,$V$5:$V67,"Sub"))))</f>
        <v/>
      </c>
      <c r="B67" s="57" t="n"/>
      <c r="C67" s="58" t="n"/>
      <c r="D67" s="58" t="n"/>
      <c r="E67" s="59">
        <f>IF(N($AL67)&gt;0,INDEX(rIni_ADM,$AL67),"")</f>
        <v/>
      </c>
      <c r="F67" s="59">
        <f>IF(N($AL67)&gt;0,INDEX(rLim_ADM,$AL67),"")</f>
        <v/>
      </c>
      <c r="G67" s="59" t="n"/>
      <c r="H67" s="60" t="n"/>
      <c r="I67" s="60" t="n"/>
      <c r="J67" s="60" t="n"/>
      <c r="K67" s="60" t="n"/>
      <c r="L67" s="60" t="n"/>
      <c r="M67" s="61">
        <f>IF(NOT((COUNTA($B67:$D67)+COUNTA($G67:$L67)+COUNTA($Q67))&gt;0),"",IF($V67="Sub",IFERROR($X67/INDEX($W$5:$W$1000,$U67-4),""),IF(ISNUMBER($G67),1,IF(N($W67)&gt;0,AVERAGEIFS($X$5:$X$1000,$U$5:$U$1000,ROW(),$V$5:$V$1000,"Sub"),$X67))))</f>
        <v/>
      </c>
      <c r="N67" s="56">
        <f>IF(OR($M67="",$V67="Sub"),"",IF($M67&gt;=1,"Completado",IF($M67&gt;0,"En curso","Pendiente")))</f>
        <v/>
      </c>
      <c r="O67" s="56">
        <f>IF(OR(NOT((COUNTA($B67:$D67)+COUNTA($G67:$L67)+COUNTA($Q67))&gt;0),$V67="Sub"),"",IF(ISNUMBER($G67),IF(AND(ISNUMBER($AN67),$G67&gt;$AN67),"Cumplida con "&amp;($G67-$AN67)&amp;IF($G67-$AN67=1," día"," días")&amp;" de retraso","Cumplida"),IF(N($M67)&gt;=1,"Cumplida",IF(NOT(ISNUMBER($AN67)),"Sin fecha límite",IF($AN67&lt;FechaRef,"Vencida hace "&amp;(FechaRef-$AN67)&amp;IF(FechaRef-$AN67=1," día"," días"),IF($AN67=FechaRef,"Vence hoy",IF($AN67-FechaRef&lt;=DiasAlerta,"Vence en "&amp;($AN67-FechaRef)&amp;IF($AN67-FechaRef=1," día"," días"),"En plazo")))))))</f>
        <v/>
      </c>
      <c r="P67" s="62" t="n"/>
      <c r="Q67" s="58" t="n"/>
      <c r="R67" s="63">
        <f>IF(NOT((COUNTA($B67:$D67)+COUNTA($G67:$L67)+COUNTA($Q67))&gt;0),"",IF((IF($C67="","Falta el nombre de la actividad"&amp;" · ","")&amp;IF(AND($V67="Sub",N($U67)=0),"Subactividad sin macroactividad arriba"&amp;" · ","")&amp;IF($AM67="","Sin fecha de inicio"&amp;" · ","")&amp;IF($AN67="","Sin fecha límite"&amp;" · ","")&amp;IF(AND(LEFT($C67,11)="[Jefatura] ",N($AL67)=0),"No se encuentra en la hoja de la jefatura (elíjala de nuevo en la lista)"&amp;" · ","")&amp;IF(OR(AND($E67&lt;&gt;"",NOT(ISNUMBER($E67))),AND($F67&lt;&gt;"",NOT(ISNUMBER($F67))),AND($G67&lt;&gt;"",NOT(ISNUMBER($G67)))),"Fecha no válida"&amp;" · ","")&amp;IF(AND(ISNUMBER($AM67),ISNUMBER($AN67),$AM67&gt;$AN67),"Inicio posterior a fecha límite"&amp;" · ","")&amp;IF(AND($V67="Macro",$H67&lt;&gt;"",OR(NOT(ISNUMBER($H67)),$H67&lt;0,$H67&gt;1)),"Peso fuera de rango"&amp;" · ","")&amp;IF(AND($V67="Sub",$H67&lt;&gt;""),"Las subactividades no llevan peso (valen igual dentro de su macroactividad)"&amp;" · ","")&amp;IF(AND(N($W67)&gt;0,COUNT($I67:$L67)&gt;0),"Con subactividades: deje vacías las semanas (se calculan solas)"&amp;" · ","")&amp;IF((COUNTIF($I67:$L67,"&gt;1")+COUNTIF($I67:$L67,"&lt;0")+COUNTA($I67:$L67)-COUNT($I67:$L67))&gt;0,"Avance fuera de rango 0-100%"&amp;" · ","")&amp;IF(OR(AND($J67&lt;&gt;"",$J67&lt;$I67),AND($K67&lt;&gt;"",$K67&lt;MAX($I67:$J67)),AND($L67&lt;&gt;"",$L67&lt;MAX($I67:$K67))),"Avance semanal decreciente"&amp;" · ","")&amp;IF(AND(ISNUMBER($AN67),$AN67&lt;FechaRef,IF($V67="Sub",N($X67),N($M67))&lt;1),"Vencida"&amp;" · ","")&amp;IF(AND(ObsObligatoria="Sí",ISNUMBER($AN67),$AN67&lt;FechaRef,IF($V67="Sub",N($X67),N($M67))&lt;1,$Q67=""),"Vencida sin observación"&amp;" · ",""))="","✔ OK","⚠ "&amp;LEFT(IF($C67="","Falta el nombre de la actividad"&amp;" · ","")&amp;IF(AND($V67="Sub",N($U67)=0),"Subactividad sin macroactividad arriba"&amp;" · ","")&amp;IF($AM67="","Sin fecha de inicio"&amp;" · ","")&amp;IF($AN67="","Sin fecha límite"&amp;" · ","")&amp;IF(AND(LEFT($C67,11)="[Jefatura] ",N($AL67)=0),"No se encuentra en la hoja de la jefatura (elíjala de nuevo en la lista)"&amp;" · ","")&amp;IF(OR(AND($E67&lt;&gt;"",NOT(ISNUMBER($E67))),AND($F67&lt;&gt;"",NOT(ISNUMBER($F67))),AND($G67&lt;&gt;"",NOT(ISNUMBER($G67)))),"Fecha no válida"&amp;" · ","")&amp;IF(AND(ISNUMBER($AM67),ISNUMBER($AN67),$AM67&gt;$AN67),"Inicio posterior a fecha límite"&amp;" · ","")&amp;IF(AND($V67="Macro",$H67&lt;&gt;"",OR(NOT(ISNUMBER($H67)),$H67&lt;0,$H67&gt;1)),"Peso fuera de rango"&amp;" · ","")&amp;IF(AND($V67="Sub",$H67&lt;&gt;""),"Las subactividades no llevan peso (valen igual dentro de su macroactividad)"&amp;" · ","")&amp;IF(AND(N($W67)&gt;0,COUNT($I67:$L67)&gt;0),"Con subactividades: deje vacías las semanas (se calculan solas)"&amp;" · ","")&amp;IF((COUNTIF($I67:$L67,"&gt;1")+COUNTIF($I67:$L67,"&lt;0")+COUNTA($I67:$L67)-COUNT($I67:$L67))&gt;0,"Avance fuera de rango 0-100%"&amp;" · ","")&amp;IF(OR(AND($J67&lt;&gt;"",$J67&lt;$I67),AND($K67&lt;&gt;"",$K67&lt;MAX($I67:$J67)),AND($L67&lt;&gt;"",$L67&lt;MAX($I67:$K67))),"Avance semanal decreciente"&amp;" · ","")&amp;IF(AND(ISNUMBER($AN67),$AN67&lt;FechaRef,IF($V67="Sub",N($X67),N($M67))&lt;1),"Vencida"&amp;" · ","")&amp;IF(AND(ObsObligatoria="Sí",ISNUMBER($AN67),$AN67&lt;FechaRef,IF($V67="Sub",N($X67),N($M67))&lt;1,$Q67=""),"Vencida sin observación"&amp;" · ",""),LEN(IF($C67="","Falta el nombre de la actividad"&amp;" · ","")&amp;IF(AND($V67="Sub",N($U67)=0),"Subactividad sin macroactividad arriba"&amp;" · ","")&amp;IF($AM67="","Sin fecha de inicio"&amp;" · ","")&amp;IF($AN67="","Sin fecha límite"&amp;" · ","")&amp;IF(AND(LEFT($C67,11)="[Jefatura] ",N($AL67)=0),"No se encuentra en la hoja de la jefatura (elíjala de nuevo en la lista)"&amp;" · ","")&amp;IF(OR(AND($E67&lt;&gt;"",NOT(ISNUMBER($E67))),AND($F67&lt;&gt;"",NOT(ISNUMBER($F67))),AND($G67&lt;&gt;"",NOT(ISNUMBER($G67)))),"Fecha no válida"&amp;" · ","")&amp;IF(AND(ISNUMBER($AM67),ISNUMBER($AN67),$AM67&gt;$AN67),"Inicio posterior a fecha límite"&amp;" · ","")&amp;IF(AND($V67="Macro",$H67&lt;&gt;"",OR(NOT(ISNUMBER($H67)),$H67&lt;0,$H67&gt;1)),"Peso fuera de rango"&amp;" · ","")&amp;IF(AND($V67="Sub",$H67&lt;&gt;""),"Las subactividades no llevan peso (valen igual dentro de su macroactividad)"&amp;" · ","")&amp;IF(AND(N($W67)&gt;0,COUNT($I67:$L67)&gt;0),"Con subactividades: deje vacías las semanas (se calculan solas)"&amp;" · ","")&amp;IF((COUNTIF($I67:$L67,"&gt;1")+COUNTIF($I67:$L67,"&lt;0")+COUNTA($I67:$L67)-COUNT($I67:$L67))&gt;0,"Avance fuera de rango 0-100%"&amp;" · ","")&amp;IF(OR(AND($J67&lt;&gt;"",$J67&lt;$I67),AND($K67&lt;&gt;"",$K67&lt;MAX($I67:$J67)),AND($L67&lt;&gt;"",$L67&lt;MAX($I67:$K67))),"Avance semanal decreciente"&amp;" · ","")&amp;IF(AND(ISNUMBER($AN67),$AN67&lt;FechaRef,IF($V67="Sub",N($X67),N($M67))&lt;1),"Vencida"&amp;" · ","")&amp;IF(AND(ObsObligatoria="Sí",ISNUMBER($AN67),$AN67&lt;FechaRef,IF($V67="Sub",N($X67),N($M67))&lt;1,$Q67=""),"Vencida sin observación"&amp;" · ",""))-3)))</f>
        <v/>
      </c>
      <c r="S67" s="64">
        <f>IF(NOT((COUNTA($B67:$D67)+COUNTA($G67:$L67)+COUNTA($Q67))&gt;0),"",IF(AND($V67="Sub",N($U67)&gt;0),IF(ISNUMBER(INDEX($AM$5:$AM$1000,$U67-4)),DATE(YEAR(INDEX($AM$5:$AM$1000,$U67-4)),MONTH(INDEX($AM$5:$AM$1000,$U67-4)),1),IF(ISNUMBER(INDEX($AN$5:$AN$1000,$U67-4)),DATE(YEAR(INDEX($AN$5:$AN$1000,$U67-4)),MONTH(INDEX($AN$5:$AN$1000,$U67-4)),1),MesCiclo)),IF(ISNUMBER($AM67),DATE(YEAR($AM67),MONTH($AM67),1),IF(ISNUMBER($AN67),DATE(YEAR($AN67),MONTH($AN67),1),MesCiclo))))</f>
        <v/>
      </c>
      <c r="T67" s="62">
        <f>IF(OR($S67="",$S67&lt;&gt;MesCiclo,$V67&lt;&gt;"Macro"),"",COUNTIFS($S$5:$S67,MesCiclo,$V$5:$V67,"Macro"))</f>
        <v/>
      </c>
      <c r="U67" s="62">
        <f>IF($V67="","",IF($V67="Macro",ROW(),IFERROR(LOOKUP(2,1/($V$5:$V67="Macro"),ROW($V$5:$V67)),0)))</f>
        <v/>
      </c>
      <c r="V67" s="62">
        <f>IF(NOT((COUNTA($B67:$D67)+COUNTA($G67:$L67)+COUNTA($Q67))&gt;0),"",IF($B67="Subactividad","Sub","Macro"))</f>
        <v/>
      </c>
      <c r="W67" s="62">
        <f>IF($V67="Macro",COUNTIFS($U$5:$U$1000,ROW(),$V$5:$V$1000,"Sub"),"")</f>
        <v/>
      </c>
      <c r="X67" s="62">
        <f>IF($V67="","",IF(ISNUMBER($G67),1,IFERROR(LOOKUP(2,1/($I67:$L67&lt;&gt;""),$I67:$L67),0)))</f>
        <v/>
      </c>
      <c r="Y67" s="62">
        <f>IF($V67="","",IF(AND(ISNUMBER($G67),$G67&lt;=IF($S67=MesCiclo,InicioCiclo,$S67+MOD(2-WEEKDAY($S67),7))+6),1,IF(ISNUMBER($I67),$I67,0)))</f>
        <v/>
      </c>
      <c r="Z67" s="62">
        <f>IF($V67="","",IF(AND(ISNUMBER($G67),$G67&lt;=IF($S67=MesCiclo,InicioCiclo,$S67+MOD(2-WEEKDAY($S67),7))+13),1,IF(ISNUMBER($J67),$J67,$Y67)))</f>
        <v/>
      </c>
      <c r="AA67" s="62">
        <f>IF($V67="","",IF(AND(ISNUMBER($G67),$G67&lt;=IF($S67=MesCiclo,InicioCiclo,$S67+MOD(2-WEEKDAY($S67),7))+20),1,IF(ISNUMBER($K67),$K67,$Z67)))</f>
        <v/>
      </c>
      <c r="AB67" s="62">
        <f>IF($V67="","",IF(AND(ISNUMBER($G67),$G67&lt;=IF($S67=MesCiclo,InicioCiclo,$S67+MOD(2-WEEKDAY($S67),7))+27),1,IF(ISNUMBER($L67),$L67,$AA67)))</f>
        <v/>
      </c>
      <c r="AC67" s="62">
        <f>IF($V67="","",IF(AND(ISNUMBER($G67),$G67&lt;=IF($S67=MesCiclo,InicioCiclo,$S67+MOD(2-WEEKDAY($S67),7))+6),1,IF(N($W67)&gt;0,AVERAGEIFS($Y$5:$Y$1000,$U$5:$U$1000,ROW(),$V$5:$V$1000,"Sub"),$Y67)))</f>
        <v/>
      </c>
      <c r="AD67" s="62">
        <f>IF($V67="","",IF(AND(ISNUMBER($G67),$G67&lt;=IF($S67=MesCiclo,InicioCiclo,$S67+MOD(2-WEEKDAY($S67),7))+13),1,IF(N($W67)&gt;0,AVERAGEIFS($Z$5:$Z$1000,$U$5:$U$1000,ROW(),$V$5:$V$1000,"Sub"),$Z67)))</f>
        <v/>
      </c>
      <c r="AE67" s="62">
        <f>IF($V67="","",IF(AND(ISNUMBER($G67),$G67&lt;=IF($S67=MesCiclo,InicioCiclo,$S67+MOD(2-WEEKDAY($S67),7))+20),1,IF(N($W67)&gt;0,AVERAGEIFS($AA$5:$AA$1000,$U$5:$U$1000,ROW(),$V$5:$V$1000,"Sub"),$AA67)))</f>
        <v/>
      </c>
      <c r="AF67" s="62">
        <f>IF($V67="","",IF(AND(ISNUMBER($G67),$G67&lt;=IF($S67=MesCiclo,InicioCiclo,$S67+MOD(2-WEEKDAY($S67),7))+27),1,IF(N($W67)&gt;0,AVERAGEIFS($AB$5:$AB$1000,$U$5:$U$1000,ROW(),$V$5:$V$1000,"Sub"),$AB67)))</f>
        <v/>
      </c>
      <c r="AG67" s="62">
        <f>IF($V67&lt;&gt;"Macro","",IF(COUNTIFS($S$5:$S$1000,$S67,$V$5:$V$1000,"Macro",$H$5:$H$1000,"&gt;0")=0,1/COUNTIFS($S$5:$S$1000,$S67,$V$5:$V$1000,"Macro"),IF(AND(ISNUMBER($H67),N($H67)&gt;0),$H67,SUMIFS($H$5:$H$1000,$S$5:$S$1000,$S67,$V$5:$V$1000,"Macro")/COUNTIFS($S$5:$S$1000,$S67,$V$5:$V$1000,"Macro",$H$5:$H$1000,"&gt;0"))/(COUNTIFS($S$5:$S$1000,$S67,$V$5:$V$1000,"Macro")*SUMIFS($H$5:$H$1000,$S$5:$S$1000,$S67,$V$5:$V$1000,"Macro")/COUNTIFS($S$5:$S$1000,$S67,$V$5:$V$1000,"Macro",$H$5:$H$1000,"&gt;0"))))</f>
        <v/>
      </c>
      <c r="AH67" s="62" t="n"/>
      <c r="AI67" s="62" t="n"/>
      <c r="AJ67" s="62" t="n"/>
      <c r="AK67" s="62" t="n"/>
      <c r="AL67" s="62">
        <f>IF(LEFT($C67,11)="[Jefatura] ",IFERROR(MATCH("Riesgo Financiero|"&amp;MID($C67,12,500),rDname_ADM,0),0),"")</f>
        <v/>
      </c>
      <c r="AM67" s="62">
        <f>IF(N($AL67)&gt;0,INDEX(rIni_ADM,$AL67),IF(ISNUMBER($E67),$E67,""))</f>
        <v/>
      </c>
      <c r="AN67" s="62">
        <f>IF(N($AL67)&gt;0,INDEX(rLim_ADM,$AL67),IF(ISNUMBER($F67),$F67,""))</f>
        <v/>
      </c>
    </row>
    <row r="68">
      <c r="A68" s="56">
        <f>IF(NOT((COUNTA($B68:$D68)+COUNTA($G68:$L68)+COUNTA($Q68))&gt;0),"",IF($V68="Macro",COUNTIFS($V$5:$V68,"Macro",$S$5:$S68,$S68),IF(N($U68)=0,"?",COUNTIFS(INDEX($V$5:$V$1000,1):INDEX($V$5:$V$1000,$U68-4),"Macro",INDEX($S$5:$S$1000,1):INDEX($S$5:$S$1000,$U68-4),INDEX($S$5:$S$1000,$U68-4))&amp;"."&amp;COUNTIFS($U$5:$U68,$U68,$V$5:$V68,"Sub"))))</f>
        <v/>
      </c>
      <c r="B68" s="57" t="n"/>
      <c r="C68" s="58" t="n"/>
      <c r="D68" s="58" t="n"/>
      <c r="E68" s="59">
        <f>IF(N($AL68)&gt;0,INDEX(rIni_ADM,$AL68),"")</f>
        <v/>
      </c>
      <c r="F68" s="59">
        <f>IF(N($AL68)&gt;0,INDEX(rLim_ADM,$AL68),"")</f>
        <v/>
      </c>
      <c r="G68" s="59" t="n"/>
      <c r="H68" s="60" t="n"/>
      <c r="I68" s="60" t="n"/>
      <c r="J68" s="60" t="n"/>
      <c r="K68" s="60" t="n"/>
      <c r="L68" s="60" t="n"/>
      <c r="M68" s="61">
        <f>IF(NOT((COUNTA($B68:$D68)+COUNTA($G68:$L68)+COUNTA($Q68))&gt;0),"",IF($V68="Sub",IFERROR($X68/INDEX($W$5:$W$1000,$U68-4),""),IF(ISNUMBER($G68),1,IF(N($W68)&gt;0,AVERAGEIFS($X$5:$X$1000,$U$5:$U$1000,ROW(),$V$5:$V$1000,"Sub"),$X68))))</f>
        <v/>
      </c>
      <c r="N68" s="56">
        <f>IF(OR($M68="",$V68="Sub"),"",IF($M68&gt;=1,"Completado",IF($M68&gt;0,"En curso","Pendiente")))</f>
        <v/>
      </c>
      <c r="O68" s="56">
        <f>IF(OR(NOT((COUNTA($B68:$D68)+COUNTA($G68:$L68)+COUNTA($Q68))&gt;0),$V68="Sub"),"",IF(ISNUMBER($G68),IF(AND(ISNUMBER($AN68),$G68&gt;$AN68),"Cumplida con "&amp;($G68-$AN68)&amp;IF($G68-$AN68=1," día"," días")&amp;" de retraso","Cumplida"),IF(N($M68)&gt;=1,"Cumplida",IF(NOT(ISNUMBER($AN68)),"Sin fecha límite",IF($AN68&lt;FechaRef,"Vencida hace "&amp;(FechaRef-$AN68)&amp;IF(FechaRef-$AN68=1," día"," días"),IF($AN68=FechaRef,"Vence hoy",IF($AN68-FechaRef&lt;=DiasAlerta,"Vence en "&amp;($AN68-FechaRef)&amp;IF($AN68-FechaRef=1," día"," días"),"En plazo")))))))</f>
        <v/>
      </c>
      <c r="P68" s="62" t="n"/>
      <c r="Q68" s="58" t="n"/>
      <c r="R68" s="63">
        <f>IF(NOT((COUNTA($B68:$D68)+COUNTA($G68:$L68)+COUNTA($Q68))&gt;0),"",IF((IF($C68="","Falta el nombre de la actividad"&amp;" · ","")&amp;IF(AND($V68="Sub",N($U68)=0),"Subactividad sin macroactividad arriba"&amp;" · ","")&amp;IF($AM68="","Sin fecha de inicio"&amp;" · ","")&amp;IF($AN68="","Sin fecha límite"&amp;" · ","")&amp;IF(AND(LEFT($C68,11)="[Jefatura] ",N($AL68)=0),"No se encuentra en la hoja de la jefatura (elíjala de nuevo en la lista)"&amp;" · ","")&amp;IF(OR(AND($E68&lt;&gt;"",NOT(ISNUMBER($E68))),AND($F68&lt;&gt;"",NOT(ISNUMBER($F68))),AND($G68&lt;&gt;"",NOT(ISNUMBER($G68)))),"Fecha no válida"&amp;" · ","")&amp;IF(AND(ISNUMBER($AM68),ISNUMBER($AN68),$AM68&gt;$AN68),"Inicio posterior a fecha límite"&amp;" · ","")&amp;IF(AND($V68="Macro",$H68&lt;&gt;"",OR(NOT(ISNUMBER($H68)),$H68&lt;0,$H68&gt;1)),"Peso fuera de rango"&amp;" · ","")&amp;IF(AND($V68="Sub",$H68&lt;&gt;""),"Las subactividades no llevan peso (valen igual dentro de su macroactividad)"&amp;" · ","")&amp;IF(AND(N($W68)&gt;0,COUNT($I68:$L68)&gt;0),"Con subactividades: deje vacías las semanas (se calculan solas)"&amp;" · ","")&amp;IF((COUNTIF($I68:$L68,"&gt;1")+COUNTIF($I68:$L68,"&lt;0")+COUNTA($I68:$L68)-COUNT($I68:$L68))&gt;0,"Avance fuera de rango 0-100%"&amp;" · ","")&amp;IF(OR(AND($J68&lt;&gt;"",$J68&lt;$I68),AND($K68&lt;&gt;"",$K68&lt;MAX($I68:$J68)),AND($L68&lt;&gt;"",$L68&lt;MAX($I68:$K68))),"Avance semanal decreciente"&amp;" · ","")&amp;IF(AND(ISNUMBER($AN68),$AN68&lt;FechaRef,IF($V68="Sub",N($X68),N($M68))&lt;1),"Vencida"&amp;" · ","")&amp;IF(AND(ObsObligatoria="Sí",ISNUMBER($AN68),$AN68&lt;FechaRef,IF($V68="Sub",N($X68),N($M68))&lt;1,$Q68=""),"Vencida sin observación"&amp;" · ",""))="","✔ OK","⚠ "&amp;LEFT(IF($C68="","Falta el nombre de la actividad"&amp;" · ","")&amp;IF(AND($V68="Sub",N($U68)=0),"Subactividad sin macroactividad arriba"&amp;" · ","")&amp;IF($AM68="","Sin fecha de inicio"&amp;" · ","")&amp;IF($AN68="","Sin fecha límite"&amp;" · ","")&amp;IF(AND(LEFT($C68,11)="[Jefatura] ",N($AL68)=0),"No se encuentra en la hoja de la jefatura (elíjala de nuevo en la lista)"&amp;" · ","")&amp;IF(OR(AND($E68&lt;&gt;"",NOT(ISNUMBER($E68))),AND($F68&lt;&gt;"",NOT(ISNUMBER($F68))),AND($G68&lt;&gt;"",NOT(ISNUMBER($G68)))),"Fecha no válida"&amp;" · ","")&amp;IF(AND(ISNUMBER($AM68),ISNUMBER($AN68),$AM68&gt;$AN68),"Inicio posterior a fecha límite"&amp;" · ","")&amp;IF(AND($V68="Macro",$H68&lt;&gt;"",OR(NOT(ISNUMBER($H68)),$H68&lt;0,$H68&gt;1)),"Peso fuera de rango"&amp;" · ","")&amp;IF(AND($V68="Sub",$H68&lt;&gt;""),"Las subactividades no llevan peso (valen igual dentro de su macroactividad)"&amp;" · ","")&amp;IF(AND(N($W68)&gt;0,COUNT($I68:$L68)&gt;0),"Con subactividades: deje vacías las semanas (se calculan solas)"&amp;" · ","")&amp;IF((COUNTIF($I68:$L68,"&gt;1")+COUNTIF($I68:$L68,"&lt;0")+COUNTA($I68:$L68)-COUNT($I68:$L68))&gt;0,"Avance fuera de rango 0-100%"&amp;" · ","")&amp;IF(OR(AND($J68&lt;&gt;"",$J68&lt;$I68),AND($K68&lt;&gt;"",$K68&lt;MAX($I68:$J68)),AND($L68&lt;&gt;"",$L68&lt;MAX($I68:$K68))),"Avance semanal decreciente"&amp;" · ","")&amp;IF(AND(ISNUMBER($AN68),$AN68&lt;FechaRef,IF($V68="Sub",N($X68),N($M68))&lt;1),"Vencida"&amp;" · ","")&amp;IF(AND(ObsObligatoria="Sí",ISNUMBER($AN68),$AN68&lt;FechaRef,IF($V68="Sub",N($X68),N($M68))&lt;1,$Q68=""),"Vencida sin observación"&amp;" · ",""),LEN(IF($C68="","Falta el nombre de la actividad"&amp;" · ","")&amp;IF(AND($V68="Sub",N($U68)=0),"Subactividad sin macroactividad arriba"&amp;" · ","")&amp;IF($AM68="","Sin fecha de inicio"&amp;" · ","")&amp;IF($AN68="","Sin fecha límite"&amp;" · ","")&amp;IF(AND(LEFT($C68,11)="[Jefatura] ",N($AL68)=0),"No se encuentra en la hoja de la jefatura (elíjala de nuevo en la lista)"&amp;" · ","")&amp;IF(OR(AND($E68&lt;&gt;"",NOT(ISNUMBER($E68))),AND($F68&lt;&gt;"",NOT(ISNUMBER($F68))),AND($G68&lt;&gt;"",NOT(ISNUMBER($G68)))),"Fecha no válida"&amp;" · ","")&amp;IF(AND(ISNUMBER($AM68),ISNUMBER($AN68),$AM68&gt;$AN68),"Inicio posterior a fecha límite"&amp;" · ","")&amp;IF(AND($V68="Macro",$H68&lt;&gt;"",OR(NOT(ISNUMBER($H68)),$H68&lt;0,$H68&gt;1)),"Peso fuera de rango"&amp;" · ","")&amp;IF(AND($V68="Sub",$H68&lt;&gt;""),"Las subactividades no llevan peso (valen igual dentro de su macroactividad)"&amp;" · ","")&amp;IF(AND(N($W68)&gt;0,COUNT($I68:$L68)&gt;0),"Con subactividades: deje vacías las semanas (se calculan solas)"&amp;" · ","")&amp;IF((COUNTIF($I68:$L68,"&gt;1")+COUNTIF($I68:$L68,"&lt;0")+COUNTA($I68:$L68)-COUNT($I68:$L68))&gt;0,"Avance fuera de rango 0-100%"&amp;" · ","")&amp;IF(OR(AND($J68&lt;&gt;"",$J68&lt;$I68),AND($K68&lt;&gt;"",$K68&lt;MAX($I68:$J68)),AND($L68&lt;&gt;"",$L68&lt;MAX($I68:$K68))),"Avance semanal decreciente"&amp;" · ","")&amp;IF(AND(ISNUMBER($AN68),$AN68&lt;FechaRef,IF($V68="Sub",N($X68),N($M68))&lt;1),"Vencida"&amp;" · ","")&amp;IF(AND(ObsObligatoria="Sí",ISNUMBER($AN68),$AN68&lt;FechaRef,IF($V68="Sub",N($X68),N($M68))&lt;1,$Q68=""),"Vencida sin observación"&amp;" · ",""))-3)))</f>
        <v/>
      </c>
      <c r="S68" s="64">
        <f>IF(NOT((COUNTA($B68:$D68)+COUNTA($G68:$L68)+COUNTA($Q68))&gt;0),"",IF(AND($V68="Sub",N($U68)&gt;0),IF(ISNUMBER(INDEX($AM$5:$AM$1000,$U68-4)),DATE(YEAR(INDEX($AM$5:$AM$1000,$U68-4)),MONTH(INDEX($AM$5:$AM$1000,$U68-4)),1),IF(ISNUMBER(INDEX($AN$5:$AN$1000,$U68-4)),DATE(YEAR(INDEX($AN$5:$AN$1000,$U68-4)),MONTH(INDEX($AN$5:$AN$1000,$U68-4)),1),MesCiclo)),IF(ISNUMBER($AM68),DATE(YEAR($AM68),MONTH($AM68),1),IF(ISNUMBER($AN68),DATE(YEAR($AN68),MONTH($AN68),1),MesCiclo))))</f>
        <v/>
      </c>
      <c r="T68" s="62">
        <f>IF(OR($S68="",$S68&lt;&gt;MesCiclo,$V68&lt;&gt;"Macro"),"",COUNTIFS($S$5:$S68,MesCiclo,$V$5:$V68,"Macro"))</f>
        <v/>
      </c>
      <c r="U68" s="62">
        <f>IF($V68="","",IF($V68="Macro",ROW(),IFERROR(LOOKUP(2,1/($V$5:$V68="Macro"),ROW($V$5:$V68)),0)))</f>
        <v/>
      </c>
      <c r="V68" s="62">
        <f>IF(NOT((COUNTA($B68:$D68)+COUNTA($G68:$L68)+COUNTA($Q68))&gt;0),"",IF($B68="Subactividad","Sub","Macro"))</f>
        <v/>
      </c>
      <c r="W68" s="62">
        <f>IF($V68="Macro",COUNTIFS($U$5:$U$1000,ROW(),$V$5:$V$1000,"Sub"),"")</f>
        <v/>
      </c>
      <c r="X68" s="62">
        <f>IF($V68="","",IF(ISNUMBER($G68),1,IFERROR(LOOKUP(2,1/($I68:$L68&lt;&gt;""),$I68:$L68),0)))</f>
        <v/>
      </c>
      <c r="Y68" s="62">
        <f>IF($V68="","",IF(AND(ISNUMBER($G68),$G68&lt;=IF($S68=MesCiclo,InicioCiclo,$S68+MOD(2-WEEKDAY($S68),7))+6),1,IF(ISNUMBER($I68),$I68,0)))</f>
        <v/>
      </c>
      <c r="Z68" s="62">
        <f>IF($V68="","",IF(AND(ISNUMBER($G68),$G68&lt;=IF($S68=MesCiclo,InicioCiclo,$S68+MOD(2-WEEKDAY($S68),7))+13),1,IF(ISNUMBER($J68),$J68,$Y68)))</f>
        <v/>
      </c>
      <c r="AA68" s="62">
        <f>IF($V68="","",IF(AND(ISNUMBER($G68),$G68&lt;=IF($S68=MesCiclo,InicioCiclo,$S68+MOD(2-WEEKDAY($S68),7))+20),1,IF(ISNUMBER($K68),$K68,$Z68)))</f>
        <v/>
      </c>
      <c r="AB68" s="62">
        <f>IF($V68="","",IF(AND(ISNUMBER($G68),$G68&lt;=IF($S68=MesCiclo,InicioCiclo,$S68+MOD(2-WEEKDAY($S68),7))+27),1,IF(ISNUMBER($L68),$L68,$AA68)))</f>
        <v/>
      </c>
      <c r="AC68" s="62">
        <f>IF($V68="","",IF(AND(ISNUMBER($G68),$G68&lt;=IF($S68=MesCiclo,InicioCiclo,$S68+MOD(2-WEEKDAY($S68),7))+6),1,IF(N($W68)&gt;0,AVERAGEIFS($Y$5:$Y$1000,$U$5:$U$1000,ROW(),$V$5:$V$1000,"Sub"),$Y68)))</f>
        <v/>
      </c>
      <c r="AD68" s="62">
        <f>IF($V68="","",IF(AND(ISNUMBER($G68),$G68&lt;=IF($S68=MesCiclo,InicioCiclo,$S68+MOD(2-WEEKDAY($S68),7))+13),1,IF(N($W68)&gt;0,AVERAGEIFS($Z$5:$Z$1000,$U$5:$U$1000,ROW(),$V$5:$V$1000,"Sub"),$Z68)))</f>
        <v/>
      </c>
      <c r="AE68" s="62">
        <f>IF($V68="","",IF(AND(ISNUMBER($G68),$G68&lt;=IF($S68=MesCiclo,InicioCiclo,$S68+MOD(2-WEEKDAY($S68),7))+20),1,IF(N($W68)&gt;0,AVERAGEIFS($AA$5:$AA$1000,$U$5:$U$1000,ROW(),$V$5:$V$1000,"Sub"),$AA68)))</f>
        <v/>
      </c>
      <c r="AF68" s="62">
        <f>IF($V68="","",IF(AND(ISNUMBER($G68),$G68&lt;=IF($S68=MesCiclo,InicioCiclo,$S68+MOD(2-WEEKDAY($S68),7))+27),1,IF(N($W68)&gt;0,AVERAGEIFS($AB$5:$AB$1000,$U$5:$U$1000,ROW(),$V$5:$V$1000,"Sub"),$AB68)))</f>
        <v/>
      </c>
      <c r="AG68" s="62">
        <f>IF($V68&lt;&gt;"Macro","",IF(COUNTIFS($S$5:$S$1000,$S68,$V$5:$V$1000,"Macro",$H$5:$H$1000,"&gt;0")=0,1/COUNTIFS($S$5:$S$1000,$S68,$V$5:$V$1000,"Macro"),IF(AND(ISNUMBER($H68),N($H68)&gt;0),$H68,SUMIFS($H$5:$H$1000,$S$5:$S$1000,$S68,$V$5:$V$1000,"Macro")/COUNTIFS($S$5:$S$1000,$S68,$V$5:$V$1000,"Macro",$H$5:$H$1000,"&gt;0"))/(COUNTIFS($S$5:$S$1000,$S68,$V$5:$V$1000,"Macro")*SUMIFS($H$5:$H$1000,$S$5:$S$1000,$S68,$V$5:$V$1000,"Macro")/COUNTIFS($S$5:$S$1000,$S68,$V$5:$V$1000,"Macro",$H$5:$H$1000,"&gt;0"))))</f>
        <v/>
      </c>
      <c r="AH68" s="62" t="n"/>
      <c r="AI68" s="62" t="n"/>
      <c r="AJ68" s="62" t="n"/>
      <c r="AK68" s="62" t="n"/>
      <c r="AL68" s="62">
        <f>IF(LEFT($C68,11)="[Jefatura] ",IFERROR(MATCH("Riesgo Financiero|"&amp;MID($C68,12,500),rDname_ADM,0),0),"")</f>
        <v/>
      </c>
      <c r="AM68" s="62">
        <f>IF(N($AL68)&gt;0,INDEX(rIni_ADM,$AL68),IF(ISNUMBER($E68),$E68,""))</f>
        <v/>
      </c>
      <c r="AN68" s="62">
        <f>IF(N($AL68)&gt;0,INDEX(rLim_ADM,$AL68),IF(ISNUMBER($F68),$F68,""))</f>
        <v/>
      </c>
    </row>
    <row r="69">
      <c r="A69" s="56">
        <f>IF(NOT((COUNTA($B69:$D69)+COUNTA($G69:$L69)+COUNTA($Q69))&gt;0),"",IF($V69="Macro",COUNTIFS($V$5:$V69,"Macro",$S$5:$S69,$S69),IF(N($U69)=0,"?",COUNTIFS(INDEX($V$5:$V$1000,1):INDEX($V$5:$V$1000,$U69-4),"Macro",INDEX($S$5:$S$1000,1):INDEX($S$5:$S$1000,$U69-4),INDEX($S$5:$S$1000,$U69-4))&amp;"."&amp;COUNTIFS($U$5:$U69,$U69,$V$5:$V69,"Sub"))))</f>
        <v/>
      </c>
      <c r="B69" s="57" t="n"/>
      <c r="C69" s="58" t="n"/>
      <c r="D69" s="58" t="n"/>
      <c r="E69" s="59">
        <f>IF(N($AL69)&gt;0,INDEX(rIni_ADM,$AL69),"")</f>
        <v/>
      </c>
      <c r="F69" s="59">
        <f>IF(N($AL69)&gt;0,INDEX(rLim_ADM,$AL69),"")</f>
        <v/>
      </c>
      <c r="G69" s="59" t="n"/>
      <c r="H69" s="60" t="n"/>
      <c r="I69" s="60" t="n"/>
      <c r="J69" s="60" t="n"/>
      <c r="K69" s="60" t="n"/>
      <c r="L69" s="60" t="n"/>
      <c r="M69" s="61">
        <f>IF(NOT((COUNTA($B69:$D69)+COUNTA($G69:$L69)+COUNTA($Q69))&gt;0),"",IF($V69="Sub",IFERROR($X69/INDEX($W$5:$W$1000,$U69-4),""),IF(ISNUMBER($G69),1,IF(N($W69)&gt;0,AVERAGEIFS($X$5:$X$1000,$U$5:$U$1000,ROW(),$V$5:$V$1000,"Sub"),$X69))))</f>
        <v/>
      </c>
      <c r="N69" s="56">
        <f>IF(OR($M69="",$V69="Sub"),"",IF($M69&gt;=1,"Completado",IF($M69&gt;0,"En curso","Pendiente")))</f>
        <v/>
      </c>
      <c r="O69" s="56">
        <f>IF(OR(NOT((COUNTA($B69:$D69)+COUNTA($G69:$L69)+COUNTA($Q69))&gt;0),$V69="Sub"),"",IF(ISNUMBER($G69),IF(AND(ISNUMBER($AN69),$G69&gt;$AN69),"Cumplida con "&amp;($G69-$AN69)&amp;IF($G69-$AN69=1," día"," días")&amp;" de retraso","Cumplida"),IF(N($M69)&gt;=1,"Cumplida",IF(NOT(ISNUMBER($AN69)),"Sin fecha límite",IF($AN69&lt;FechaRef,"Vencida hace "&amp;(FechaRef-$AN69)&amp;IF(FechaRef-$AN69=1," día"," días"),IF($AN69=FechaRef,"Vence hoy",IF($AN69-FechaRef&lt;=DiasAlerta,"Vence en "&amp;($AN69-FechaRef)&amp;IF($AN69-FechaRef=1," día"," días"),"En plazo")))))))</f>
        <v/>
      </c>
      <c r="P69" s="62" t="n"/>
      <c r="Q69" s="58" t="n"/>
      <c r="R69" s="63">
        <f>IF(NOT((COUNTA($B69:$D69)+COUNTA($G69:$L69)+COUNTA($Q69))&gt;0),"",IF((IF($C69="","Falta el nombre de la actividad"&amp;" · ","")&amp;IF(AND($V69="Sub",N($U69)=0),"Subactividad sin macroactividad arriba"&amp;" · ","")&amp;IF($AM69="","Sin fecha de inicio"&amp;" · ","")&amp;IF($AN69="","Sin fecha límite"&amp;" · ","")&amp;IF(AND(LEFT($C69,11)="[Jefatura] ",N($AL69)=0),"No se encuentra en la hoja de la jefatura (elíjala de nuevo en la lista)"&amp;" · ","")&amp;IF(OR(AND($E69&lt;&gt;"",NOT(ISNUMBER($E69))),AND($F69&lt;&gt;"",NOT(ISNUMBER($F69))),AND($G69&lt;&gt;"",NOT(ISNUMBER($G69)))),"Fecha no válida"&amp;" · ","")&amp;IF(AND(ISNUMBER($AM69),ISNUMBER($AN69),$AM69&gt;$AN69),"Inicio posterior a fecha límite"&amp;" · ","")&amp;IF(AND($V69="Macro",$H69&lt;&gt;"",OR(NOT(ISNUMBER($H69)),$H69&lt;0,$H69&gt;1)),"Peso fuera de rango"&amp;" · ","")&amp;IF(AND($V69="Sub",$H69&lt;&gt;""),"Las subactividades no llevan peso (valen igual dentro de su macroactividad)"&amp;" · ","")&amp;IF(AND(N($W69)&gt;0,COUNT($I69:$L69)&gt;0),"Con subactividades: deje vacías las semanas (se calculan solas)"&amp;" · ","")&amp;IF((COUNTIF($I69:$L69,"&gt;1")+COUNTIF($I69:$L69,"&lt;0")+COUNTA($I69:$L69)-COUNT($I69:$L69))&gt;0,"Avance fuera de rango 0-100%"&amp;" · ","")&amp;IF(OR(AND($J69&lt;&gt;"",$J69&lt;$I69),AND($K69&lt;&gt;"",$K69&lt;MAX($I69:$J69)),AND($L69&lt;&gt;"",$L69&lt;MAX($I69:$K69))),"Avance semanal decreciente"&amp;" · ","")&amp;IF(AND(ISNUMBER($AN69),$AN69&lt;FechaRef,IF($V69="Sub",N($X69),N($M69))&lt;1),"Vencida"&amp;" · ","")&amp;IF(AND(ObsObligatoria="Sí",ISNUMBER($AN69),$AN69&lt;FechaRef,IF($V69="Sub",N($X69),N($M69))&lt;1,$Q69=""),"Vencida sin observación"&amp;" · ",""))="","✔ OK","⚠ "&amp;LEFT(IF($C69="","Falta el nombre de la actividad"&amp;" · ","")&amp;IF(AND($V69="Sub",N($U69)=0),"Subactividad sin macroactividad arriba"&amp;" · ","")&amp;IF($AM69="","Sin fecha de inicio"&amp;" · ","")&amp;IF($AN69="","Sin fecha límite"&amp;" · ","")&amp;IF(AND(LEFT($C69,11)="[Jefatura] ",N($AL69)=0),"No se encuentra en la hoja de la jefatura (elíjala de nuevo en la lista)"&amp;" · ","")&amp;IF(OR(AND($E69&lt;&gt;"",NOT(ISNUMBER($E69))),AND($F69&lt;&gt;"",NOT(ISNUMBER($F69))),AND($G69&lt;&gt;"",NOT(ISNUMBER($G69)))),"Fecha no válida"&amp;" · ","")&amp;IF(AND(ISNUMBER($AM69),ISNUMBER($AN69),$AM69&gt;$AN69),"Inicio posterior a fecha límite"&amp;" · ","")&amp;IF(AND($V69="Macro",$H69&lt;&gt;"",OR(NOT(ISNUMBER($H69)),$H69&lt;0,$H69&gt;1)),"Peso fuera de rango"&amp;" · ","")&amp;IF(AND($V69="Sub",$H69&lt;&gt;""),"Las subactividades no llevan peso (valen igual dentro de su macroactividad)"&amp;" · ","")&amp;IF(AND(N($W69)&gt;0,COUNT($I69:$L69)&gt;0),"Con subactividades: deje vacías las semanas (se calculan solas)"&amp;" · ","")&amp;IF((COUNTIF($I69:$L69,"&gt;1")+COUNTIF($I69:$L69,"&lt;0")+COUNTA($I69:$L69)-COUNT($I69:$L69))&gt;0,"Avance fuera de rango 0-100%"&amp;" · ","")&amp;IF(OR(AND($J69&lt;&gt;"",$J69&lt;$I69),AND($K69&lt;&gt;"",$K69&lt;MAX($I69:$J69)),AND($L69&lt;&gt;"",$L69&lt;MAX($I69:$K69))),"Avance semanal decreciente"&amp;" · ","")&amp;IF(AND(ISNUMBER($AN69),$AN69&lt;FechaRef,IF($V69="Sub",N($X69),N($M69))&lt;1),"Vencida"&amp;" · ","")&amp;IF(AND(ObsObligatoria="Sí",ISNUMBER($AN69),$AN69&lt;FechaRef,IF($V69="Sub",N($X69),N($M69))&lt;1,$Q69=""),"Vencida sin observación"&amp;" · ",""),LEN(IF($C69="","Falta el nombre de la actividad"&amp;" · ","")&amp;IF(AND($V69="Sub",N($U69)=0),"Subactividad sin macroactividad arriba"&amp;" · ","")&amp;IF($AM69="","Sin fecha de inicio"&amp;" · ","")&amp;IF($AN69="","Sin fecha límite"&amp;" · ","")&amp;IF(AND(LEFT($C69,11)="[Jefatura] ",N($AL69)=0),"No se encuentra en la hoja de la jefatura (elíjala de nuevo en la lista)"&amp;" · ","")&amp;IF(OR(AND($E69&lt;&gt;"",NOT(ISNUMBER($E69))),AND($F69&lt;&gt;"",NOT(ISNUMBER($F69))),AND($G69&lt;&gt;"",NOT(ISNUMBER($G69)))),"Fecha no válida"&amp;" · ","")&amp;IF(AND(ISNUMBER($AM69),ISNUMBER($AN69),$AM69&gt;$AN69),"Inicio posterior a fecha límite"&amp;" · ","")&amp;IF(AND($V69="Macro",$H69&lt;&gt;"",OR(NOT(ISNUMBER($H69)),$H69&lt;0,$H69&gt;1)),"Peso fuera de rango"&amp;" · ","")&amp;IF(AND($V69="Sub",$H69&lt;&gt;""),"Las subactividades no llevan peso (valen igual dentro de su macroactividad)"&amp;" · ","")&amp;IF(AND(N($W69)&gt;0,COUNT($I69:$L69)&gt;0),"Con subactividades: deje vacías las semanas (se calculan solas)"&amp;" · ","")&amp;IF((COUNTIF($I69:$L69,"&gt;1")+COUNTIF($I69:$L69,"&lt;0")+COUNTA($I69:$L69)-COUNT($I69:$L69))&gt;0,"Avance fuera de rango 0-100%"&amp;" · ","")&amp;IF(OR(AND($J69&lt;&gt;"",$J69&lt;$I69),AND($K69&lt;&gt;"",$K69&lt;MAX($I69:$J69)),AND($L69&lt;&gt;"",$L69&lt;MAX($I69:$K69))),"Avance semanal decreciente"&amp;" · ","")&amp;IF(AND(ISNUMBER($AN69),$AN69&lt;FechaRef,IF($V69="Sub",N($X69),N($M69))&lt;1),"Vencida"&amp;" · ","")&amp;IF(AND(ObsObligatoria="Sí",ISNUMBER($AN69),$AN69&lt;FechaRef,IF($V69="Sub",N($X69),N($M69))&lt;1,$Q69=""),"Vencida sin observación"&amp;" · ",""))-3)))</f>
        <v/>
      </c>
      <c r="S69" s="64">
        <f>IF(NOT((COUNTA($B69:$D69)+COUNTA($G69:$L69)+COUNTA($Q69))&gt;0),"",IF(AND($V69="Sub",N($U69)&gt;0),IF(ISNUMBER(INDEX($AM$5:$AM$1000,$U69-4)),DATE(YEAR(INDEX($AM$5:$AM$1000,$U69-4)),MONTH(INDEX($AM$5:$AM$1000,$U69-4)),1),IF(ISNUMBER(INDEX($AN$5:$AN$1000,$U69-4)),DATE(YEAR(INDEX($AN$5:$AN$1000,$U69-4)),MONTH(INDEX($AN$5:$AN$1000,$U69-4)),1),MesCiclo)),IF(ISNUMBER($AM69),DATE(YEAR($AM69),MONTH($AM69),1),IF(ISNUMBER($AN69),DATE(YEAR($AN69),MONTH($AN69),1),MesCiclo))))</f>
        <v/>
      </c>
      <c r="T69" s="62">
        <f>IF(OR($S69="",$S69&lt;&gt;MesCiclo,$V69&lt;&gt;"Macro"),"",COUNTIFS($S$5:$S69,MesCiclo,$V$5:$V69,"Macro"))</f>
        <v/>
      </c>
      <c r="U69" s="62">
        <f>IF($V69="","",IF($V69="Macro",ROW(),IFERROR(LOOKUP(2,1/($V$5:$V69="Macro"),ROW($V$5:$V69)),0)))</f>
        <v/>
      </c>
      <c r="V69" s="62">
        <f>IF(NOT((COUNTA($B69:$D69)+COUNTA($G69:$L69)+COUNTA($Q69))&gt;0),"",IF($B69="Subactividad","Sub","Macro"))</f>
        <v/>
      </c>
      <c r="W69" s="62">
        <f>IF($V69="Macro",COUNTIFS($U$5:$U$1000,ROW(),$V$5:$V$1000,"Sub"),"")</f>
        <v/>
      </c>
      <c r="X69" s="62">
        <f>IF($V69="","",IF(ISNUMBER($G69),1,IFERROR(LOOKUP(2,1/($I69:$L69&lt;&gt;""),$I69:$L69),0)))</f>
        <v/>
      </c>
      <c r="Y69" s="62">
        <f>IF($V69="","",IF(AND(ISNUMBER($G69),$G69&lt;=IF($S69=MesCiclo,InicioCiclo,$S69+MOD(2-WEEKDAY($S69),7))+6),1,IF(ISNUMBER($I69),$I69,0)))</f>
        <v/>
      </c>
      <c r="Z69" s="62">
        <f>IF($V69="","",IF(AND(ISNUMBER($G69),$G69&lt;=IF($S69=MesCiclo,InicioCiclo,$S69+MOD(2-WEEKDAY($S69),7))+13),1,IF(ISNUMBER($J69),$J69,$Y69)))</f>
        <v/>
      </c>
      <c r="AA69" s="62">
        <f>IF($V69="","",IF(AND(ISNUMBER($G69),$G69&lt;=IF($S69=MesCiclo,InicioCiclo,$S69+MOD(2-WEEKDAY($S69),7))+20),1,IF(ISNUMBER($K69),$K69,$Z69)))</f>
        <v/>
      </c>
      <c r="AB69" s="62">
        <f>IF($V69="","",IF(AND(ISNUMBER($G69),$G69&lt;=IF($S69=MesCiclo,InicioCiclo,$S69+MOD(2-WEEKDAY($S69),7))+27),1,IF(ISNUMBER($L69),$L69,$AA69)))</f>
        <v/>
      </c>
      <c r="AC69" s="62">
        <f>IF($V69="","",IF(AND(ISNUMBER($G69),$G69&lt;=IF($S69=MesCiclo,InicioCiclo,$S69+MOD(2-WEEKDAY($S69),7))+6),1,IF(N($W69)&gt;0,AVERAGEIFS($Y$5:$Y$1000,$U$5:$U$1000,ROW(),$V$5:$V$1000,"Sub"),$Y69)))</f>
        <v/>
      </c>
      <c r="AD69" s="62">
        <f>IF($V69="","",IF(AND(ISNUMBER($G69),$G69&lt;=IF($S69=MesCiclo,InicioCiclo,$S69+MOD(2-WEEKDAY($S69),7))+13),1,IF(N($W69)&gt;0,AVERAGEIFS($Z$5:$Z$1000,$U$5:$U$1000,ROW(),$V$5:$V$1000,"Sub"),$Z69)))</f>
        <v/>
      </c>
      <c r="AE69" s="62">
        <f>IF($V69="","",IF(AND(ISNUMBER($G69),$G69&lt;=IF($S69=MesCiclo,InicioCiclo,$S69+MOD(2-WEEKDAY($S69),7))+20),1,IF(N($W69)&gt;0,AVERAGEIFS($AA$5:$AA$1000,$U$5:$U$1000,ROW(),$V$5:$V$1000,"Sub"),$AA69)))</f>
        <v/>
      </c>
      <c r="AF69" s="62">
        <f>IF($V69="","",IF(AND(ISNUMBER($G69),$G69&lt;=IF($S69=MesCiclo,InicioCiclo,$S69+MOD(2-WEEKDAY($S69),7))+27),1,IF(N($W69)&gt;0,AVERAGEIFS($AB$5:$AB$1000,$U$5:$U$1000,ROW(),$V$5:$V$1000,"Sub"),$AB69)))</f>
        <v/>
      </c>
      <c r="AG69" s="62">
        <f>IF($V69&lt;&gt;"Macro","",IF(COUNTIFS($S$5:$S$1000,$S69,$V$5:$V$1000,"Macro",$H$5:$H$1000,"&gt;0")=0,1/COUNTIFS($S$5:$S$1000,$S69,$V$5:$V$1000,"Macro"),IF(AND(ISNUMBER($H69),N($H69)&gt;0),$H69,SUMIFS($H$5:$H$1000,$S$5:$S$1000,$S69,$V$5:$V$1000,"Macro")/COUNTIFS($S$5:$S$1000,$S69,$V$5:$V$1000,"Macro",$H$5:$H$1000,"&gt;0"))/(COUNTIFS($S$5:$S$1000,$S69,$V$5:$V$1000,"Macro")*SUMIFS($H$5:$H$1000,$S$5:$S$1000,$S69,$V$5:$V$1000,"Macro")/COUNTIFS($S$5:$S$1000,$S69,$V$5:$V$1000,"Macro",$H$5:$H$1000,"&gt;0"))))</f>
        <v/>
      </c>
      <c r="AH69" s="62" t="n"/>
      <c r="AI69" s="62" t="n"/>
      <c r="AJ69" s="62" t="n"/>
      <c r="AK69" s="62" t="n"/>
      <c r="AL69" s="62">
        <f>IF(LEFT($C69,11)="[Jefatura] ",IFERROR(MATCH("Riesgo Financiero|"&amp;MID($C69,12,500),rDname_ADM,0),0),"")</f>
        <v/>
      </c>
      <c r="AM69" s="62">
        <f>IF(N($AL69)&gt;0,INDEX(rIni_ADM,$AL69),IF(ISNUMBER($E69),$E69,""))</f>
        <v/>
      </c>
      <c r="AN69" s="62">
        <f>IF(N($AL69)&gt;0,INDEX(rLim_ADM,$AL69),IF(ISNUMBER($F69),$F69,""))</f>
        <v/>
      </c>
    </row>
    <row r="70">
      <c r="A70" s="56">
        <f>IF(NOT((COUNTA($B70:$D70)+COUNTA($G70:$L70)+COUNTA($Q70))&gt;0),"",IF($V70="Macro",COUNTIFS($V$5:$V70,"Macro",$S$5:$S70,$S70),IF(N($U70)=0,"?",COUNTIFS(INDEX($V$5:$V$1000,1):INDEX($V$5:$V$1000,$U70-4),"Macro",INDEX($S$5:$S$1000,1):INDEX($S$5:$S$1000,$U70-4),INDEX($S$5:$S$1000,$U70-4))&amp;"."&amp;COUNTIFS($U$5:$U70,$U70,$V$5:$V70,"Sub"))))</f>
        <v/>
      </c>
      <c r="B70" s="57" t="n"/>
      <c r="C70" s="58" t="n"/>
      <c r="D70" s="58" t="n"/>
      <c r="E70" s="59">
        <f>IF(N($AL70)&gt;0,INDEX(rIni_ADM,$AL70),"")</f>
        <v/>
      </c>
      <c r="F70" s="59">
        <f>IF(N($AL70)&gt;0,INDEX(rLim_ADM,$AL70),"")</f>
        <v/>
      </c>
      <c r="G70" s="59" t="n"/>
      <c r="H70" s="60" t="n"/>
      <c r="I70" s="60" t="n"/>
      <c r="J70" s="60" t="n"/>
      <c r="K70" s="60" t="n"/>
      <c r="L70" s="60" t="n"/>
      <c r="M70" s="61">
        <f>IF(NOT((COUNTA($B70:$D70)+COUNTA($G70:$L70)+COUNTA($Q70))&gt;0),"",IF($V70="Sub",IFERROR($X70/INDEX($W$5:$W$1000,$U70-4),""),IF(ISNUMBER($G70),1,IF(N($W70)&gt;0,AVERAGEIFS($X$5:$X$1000,$U$5:$U$1000,ROW(),$V$5:$V$1000,"Sub"),$X70))))</f>
        <v/>
      </c>
      <c r="N70" s="56">
        <f>IF(OR($M70="",$V70="Sub"),"",IF($M70&gt;=1,"Completado",IF($M70&gt;0,"En curso","Pendiente")))</f>
        <v/>
      </c>
      <c r="O70" s="56">
        <f>IF(OR(NOT((COUNTA($B70:$D70)+COUNTA($G70:$L70)+COUNTA($Q70))&gt;0),$V70="Sub"),"",IF(ISNUMBER($G70),IF(AND(ISNUMBER($AN70),$G70&gt;$AN70),"Cumplida con "&amp;($G70-$AN70)&amp;IF($G70-$AN70=1," día"," días")&amp;" de retraso","Cumplida"),IF(N($M70)&gt;=1,"Cumplida",IF(NOT(ISNUMBER($AN70)),"Sin fecha límite",IF($AN70&lt;FechaRef,"Vencida hace "&amp;(FechaRef-$AN70)&amp;IF(FechaRef-$AN70=1," día"," días"),IF($AN70=FechaRef,"Vence hoy",IF($AN70-FechaRef&lt;=DiasAlerta,"Vence en "&amp;($AN70-FechaRef)&amp;IF($AN70-FechaRef=1," día"," días"),"En plazo")))))))</f>
        <v/>
      </c>
      <c r="P70" s="62" t="n"/>
      <c r="Q70" s="58" t="n"/>
      <c r="R70" s="63">
        <f>IF(NOT((COUNTA($B70:$D70)+COUNTA($G70:$L70)+COUNTA($Q70))&gt;0),"",IF((IF($C70="","Falta el nombre de la actividad"&amp;" · ","")&amp;IF(AND($V70="Sub",N($U70)=0),"Subactividad sin macroactividad arriba"&amp;" · ","")&amp;IF($AM70="","Sin fecha de inicio"&amp;" · ","")&amp;IF($AN70="","Sin fecha límite"&amp;" · ","")&amp;IF(AND(LEFT($C70,11)="[Jefatura] ",N($AL70)=0),"No se encuentra en la hoja de la jefatura (elíjala de nuevo en la lista)"&amp;" · ","")&amp;IF(OR(AND($E70&lt;&gt;"",NOT(ISNUMBER($E70))),AND($F70&lt;&gt;"",NOT(ISNUMBER($F70))),AND($G70&lt;&gt;"",NOT(ISNUMBER($G70)))),"Fecha no válida"&amp;" · ","")&amp;IF(AND(ISNUMBER($AM70),ISNUMBER($AN70),$AM70&gt;$AN70),"Inicio posterior a fecha límite"&amp;" · ","")&amp;IF(AND($V70="Macro",$H70&lt;&gt;"",OR(NOT(ISNUMBER($H70)),$H70&lt;0,$H70&gt;1)),"Peso fuera de rango"&amp;" · ","")&amp;IF(AND($V70="Sub",$H70&lt;&gt;""),"Las subactividades no llevan peso (valen igual dentro de su macroactividad)"&amp;" · ","")&amp;IF(AND(N($W70)&gt;0,COUNT($I70:$L70)&gt;0),"Con subactividades: deje vacías las semanas (se calculan solas)"&amp;" · ","")&amp;IF((COUNTIF($I70:$L70,"&gt;1")+COUNTIF($I70:$L70,"&lt;0")+COUNTA($I70:$L70)-COUNT($I70:$L70))&gt;0,"Avance fuera de rango 0-100%"&amp;" · ","")&amp;IF(OR(AND($J70&lt;&gt;"",$J70&lt;$I70),AND($K70&lt;&gt;"",$K70&lt;MAX($I70:$J70)),AND($L70&lt;&gt;"",$L70&lt;MAX($I70:$K70))),"Avance semanal decreciente"&amp;" · ","")&amp;IF(AND(ISNUMBER($AN70),$AN70&lt;FechaRef,IF($V70="Sub",N($X70),N($M70))&lt;1),"Vencida"&amp;" · ","")&amp;IF(AND(ObsObligatoria="Sí",ISNUMBER($AN70),$AN70&lt;FechaRef,IF($V70="Sub",N($X70),N($M70))&lt;1,$Q70=""),"Vencida sin observación"&amp;" · ",""))="","✔ OK","⚠ "&amp;LEFT(IF($C70="","Falta el nombre de la actividad"&amp;" · ","")&amp;IF(AND($V70="Sub",N($U70)=0),"Subactividad sin macroactividad arriba"&amp;" · ","")&amp;IF($AM70="","Sin fecha de inicio"&amp;" · ","")&amp;IF($AN70="","Sin fecha límite"&amp;" · ","")&amp;IF(AND(LEFT($C70,11)="[Jefatura] ",N($AL70)=0),"No se encuentra en la hoja de la jefatura (elíjala de nuevo en la lista)"&amp;" · ","")&amp;IF(OR(AND($E70&lt;&gt;"",NOT(ISNUMBER($E70))),AND($F70&lt;&gt;"",NOT(ISNUMBER($F70))),AND($G70&lt;&gt;"",NOT(ISNUMBER($G70)))),"Fecha no válida"&amp;" · ","")&amp;IF(AND(ISNUMBER($AM70),ISNUMBER($AN70),$AM70&gt;$AN70),"Inicio posterior a fecha límite"&amp;" · ","")&amp;IF(AND($V70="Macro",$H70&lt;&gt;"",OR(NOT(ISNUMBER($H70)),$H70&lt;0,$H70&gt;1)),"Peso fuera de rango"&amp;" · ","")&amp;IF(AND($V70="Sub",$H70&lt;&gt;""),"Las subactividades no llevan peso (valen igual dentro de su macroactividad)"&amp;" · ","")&amp;IF(AND(N($W70)&gt;0,COUNT($I70:$L70)&gt;0),"Con subactividades: deje vacías las semanas (se calculan solas)"&amp;" · ","")&amp;IF((COUNTIF($I70:$L70,"&gt;1")+COUNTIF($I70:$L70,"&lt;0")+COUNTA($I70:$L70)-COUNT($I70:$L70))&gt;0,"Avance fuera de rango 0-100%"&amp;" · ","")&amp;IF(OR(AND($J70&lt;&gt;"",$J70&lt;$I70),AND($K70&lt;&gt;"",$K70&lt;MAX($I70:$J70)),AND($L70&lt;&gt;"",$L70&lt;MAX($I70:$K70))),"Avance semanal decreciente"&amp;" · ","")&amp;IF(AND(ISNUMBER($AN70),$AN70&lt;FechaRef,IF($V70="Sub",N($X70),N($M70))&lt;1),"Vencida"&amp;" · ","")&amp;IF(AND(ObsObligatoria="Sí",ISNUMBER($AN70),$AN70&lt;FechaRef,IF($V70="Sub",N($X70),N($M70))&lt;1,$Q70=""),"Vencida sin observación"&amp;" · ",""),LEN(IF($C70="","Falta el nombre de la actividad"&amp;" · ","")&amp;IF(AND($V70="Sub",N($U70)=0),"Subactividad sin macroactividad arriba"&amp;" · ","")&amp;IF($AM70="","Sin fecha de inicio"&amp;" · ","")&amp;IF($AN70="","Sin fecha límite"&amp;" · ","")&amp;IF(AND(LEFT($C70,11)="[Jefatura] ",N($AL70)=0),"No se encuentra en la hoja de la jefatura (elíjala de nuevo en la lista)"&amp;" · ","")&amp;IF(OR(AND($E70&lt;&gt;"",NOT(ISNUMBER($E70))),AND($F70&lt;&gt;"",NOT(ISNUMBER($F70))),AND($G70&lt;&gt;"",NOT(ISNUMBER($G70)))),"Fecha no válida"&amp;" · ","")&amp;IF(AND(ISNUMBER($AM70),ISNUMBER($AN70),$AM70&gt;$AN70),"Inicio posterior a fecha límite"&amp;" · ","")&amp;IF(AND($V70="Macro",$H70&lt;&gt;"",OR(NOT(ISNUMBER($H70)),$H70&lt;0,$H70&gt;1)),"Peso fuera de rango"&amp;" · ","")&amp;IF(AND($V70="Sub",$H70&lt;&gt;""),"Las subactividades no llevan peso (valen igual dentro de su macroactividad)"&amp;" · ","")&amp;IF(AND(N($W70)&gt;0,COUNT($I70:$L70)&gt;0),"Con subactividades: deje vacías las semanas (se calculan solas)"&amp;" · ","")&amp;IF((COUNTIF($I70:$L70,"&gt;1")+COUNTIF($I70:$L70,"&lt;0")+COUNTA($I70:$L70)-COUNT($I70:$L70))&gt;0,"Avance fuera de rango 0-100%"&amp;" · ","")&amp;IF(OR(AND($J70&lt;&gt;"",$J70&lt;$I70),AND($K70&lt;&gt;"",$K70&lt;MAX($I70:$J70)),AND($L70&lt;&gt;"",$L70&lt;MAX($I70:$K70))),"Avance semanal decreciente"&amp;" · ","")&amp;IF(AND(ISNUMBER($AN70),$AN70&lt;FechaRef,IF($V70="Sub",N($X70),N($M70))&lt;1),"Vencida"&amp;" · ","")&amp;IF(AND(ObsObligatoria="Sí",ISNUMBER($AN70),$AN70&lt;FechaRef,IF($V70="Sub",N($X70),N($M70))&lt;1,$Q70=""),"Vencida sin observación"&amp;" · ",""))-3)))</f>
        <v/>
      </c>
      <c r="S70" s="64">
        <f>IF(NOT((COUNTA($B70:$D70)+COUNTA($G70:$L70)+COUNTA($Q70))&gt;0),"",IF(AND($V70="Sub",N($U70)&gt;0),IF(ISNUMBER(INDEX($AM$5:$AM$1000,$U70-4)),DATE(YEAR(INDEX($AM$5:$AM$1000,$U70-4)),MONTH(INDEX($AM$5:$AM$1000,$U70-4)),1),IF(ISNUMBER(INDEX($AN$5:$AN$1000,$U70-4)),DATE(YEAR(INDEX($AN$5:$AN$1000,$U70-4)),MONTH(INDEX($AN$5:$AN$1000,$U70-4)),1),MesCiclo)),IF(ISNUMBER($AM70),DATE(YEAR($AM70),MONTH($AM70),1),IF(ISNUMBER($AN70),DATE(YEAR($AN70),MONTH($AN70),1),MesCiclo))))</f>
        <v/>
      </c>
      <c r="T70" s="62">
        <f>IF(OR($S70="",$S70&lt;&gt;MesCiclo,$V70&lt;&gt;"Macro"),"",COUNTIFS($S$5:$S70,MesCiclo,$V$5:$V70,"Macro"))</f>
        <v/>
      </c>
      <c r="U70" s="62">
        <f>IF($V70="","",IF($V70="Macro",ROW(),IFERROR(LOOKUP(2,1/($V$5:$V70="Macro"),ROW($V$5:$V70)),0)))</f>
        <v/>
      </c>
      <c r="V70" s="62">
        <f>IF(NOT((COUNTA($B70:$D70)+COUNTA($G70:$L70)+COUNTA($Q70))&gt;0),"",IF($B70="Subactividad","Sub","Macro"))</f>
        <v/>
      </c>
      <c r="W70" s="62">
        <f>IF($V70="Macro",COUNTIFS($U$5:$U$1000,ROW(),$V$5:$V$1000,"Sub"),"")</f>
        <v/>
      </c>
      <c r="X70" s="62">
        <f>IF($V70="","",IF(ISNUMBER($G70),1,IFERROR(LOOKUP(2,1/($I70:$L70&lt;&gt;""),$I70:$L70),0)))</f>
        <v/>
      </c>
      <c r="Y70" s="62">
        <f>IF($V70="","",IF(AND(ISNUMBER($G70),$G70&lt;=IF($S70=MesCiclo,InicioCiclo,$S70+MOD(2-WEEKDAY($S70),7))+6),1,IF(ISNUMBER($I70),$I70,0)))</f>
        <v/>
      </c>
      <c r="Z70" s="62">
        <f>IF($V70="","",IF(AND(ISNUMBER($G70),$G70&lt;=IF($S70=MesCiclo,InicioCiclo,$S70+MOD(2-WEEKDAY($S70),7))+13),1,IF(ISNUMBER($J70),$J70,$Y70)))</f>
        <v/>
      </c>
      <c r="AA70" s="62">
        <f>IF($V70="","",IF(AND(ISNUMBER($G70),$G70&lt;=IF($S70=MesCiclo,InicioCiclo,$S70+MOD(2-WEEKDAY($S70),7))+20),1,IF(ISNUMBER($K70),$K70,$Z70)))</f>
        <v/>
      </c>
      <c r="AB70" s="62">
        <f>IF($V70="","",IF(AND(ISNUMBER($G70),$G70&lt;=IF($S70=MesCiclo,InicioCiclo,$S70+MOD(2-WEEKDAY($S70),7))+27),1,IF(ISNUMBER($L70),$L70,$AA70)))</f>
        <v/>
      </c>
      <c r="AC70" s="62">
        <f>IF($V70="","",IF(AND(ISNUMBER($G70),$G70&lt;=IF($S70=MesCiclo,InicioCiclo,$S70+MOD(2-WEEKDAY($S70),7))+6),1,IF(N($W70)&gt;0,AVERAGEIFS($Y$5:$Y$1000,$U$5:$U$1000,ROW(),$V$5:$V$1000,"Sub"),$Y70)))</f>
        <v/>
      </c>
      <c r="AD70" s="62">
        <f>IF($V70="","",IF(AND(ISNUMBER($G70),$G70&lt;=IF($S70=MesCiclo,InicioCiclo,$S70+MOD(2-WEEKDAY($S70),7))+13),1,IF(N($W70)&gt;0,AVERAGEIFS($Z$5:$Z$1000,$U$5:$U$1000,ROW(),$V$5:$V$1000,"Sub"),$Z70)))</f>
        <v/>
      </c>
      <c r="AE70" s="62">
        <f>IF($V70="","",IF(AND(ISNUMBER($G70),$G70&lt;=IF($S70=MesCiclo,InicioCiclo,$S70+MOD(2-WEEKDAY($S70),7))+20),1,IF(N($W70)&gt;0,AVERAGEIFS($AA$5:$AA$1000,$U$5:$U$1000,ROW(),$V$5:$V$1000,"Sub"),$AA70)))</f>
        <v/>
      </c>
      <c r="AF70" s="62">
        <f>IF($V70="","",IF(AND(ISNUMBER($G70),$G70&lt;=IF($S70=MesCiclo,InicioCiclo,$S70+MOD(2-WEEKDAY($S70),7))+27),1,IF(N($W70)&gt;0,AVERAGEIFS($AB$5:$AB$1000,$U$5:$U$1000,ROW(),$V$5:$V$1000,"Sub"),$AB70)))</f>
        <v/>
      </c>
      <c r="AG70" s="62">
        <f>IF($V70&lt;&gt;"Macro","",IF(COUNTIFS($S$5:$S$1000,$S70,$V$5:$V$1000,"Macro",$H$5:$H$1000,"&gt;0")=0,1/COUNTIFS($S$5:$S$1000,$S70,$V$5:$V$1000,"Macro"),IF(AND(ISNUMBER($H70),N($H70)&gt;0),$H70,SUMIFS($H$5:$H$1000,$S$5:$S$1000,$S70,$V$5:$V$1000,"Macro")/COUNTIFS($S$5:$S$1000,$S70,$V$5:$V$1000,"Macro",$H$5:$H$1000,"&gt;0"))/(COUNTIFS($S$5:$S$1000,$S70,$V$5:$V$1000,"Macro")*SUMIFS($H$5:$H$1000,$S$5:$S$1000,$S70,$V$5:$V$1000,"Macro")/COUNTIFS($S$5:$S$1000,$S70,$V$5:$V$1000,"Macro",$H$5:$H$1000,"&gt;0"))))</f>
        <v/>
      </c>
      <c r="AH70" s="62" t="n"/>
      <c r="AI70" s="62" t="n"/>
      <c r="AJ70" s="62" t="n"/>
      <c r="AK70" s="62" t="n"/>
      <c r="AL70" s="62">
        <f>IF(LEFT($C70,11)="[Jefatura] ",IFERROR(MATCH("Riesgo Financiero|"&amp;MID($C70,12,500),rDname_ADM,0),0),"")</f>
        <v/>
      </c>
      <c r="AM70" s="62">
        <f>IF(N($AL70)&gt;0,INDEX(rIni_ADM,$AL70),IF(ISNUMBER($E70),$E70,""))</f>
        <v/>
      </c>
      <c r="AN70" s="62">
        <f>IF(N($AL70)&gt;0,INDEX(rLim_ADM,$AL70),IF(ISNUMBER($F70),$F70,""))</f>
        <v/>
      </c>
    </row>
    <row r="71">
      <c r="A71" s="56">
        <f>IF(NOT((COUNTA($B71:$D71)+COUNTA($G71:$L71)+COUNTA($Q71))&gt;0),"",IF($V71="Macro",COUNTIFS($V$5:$V71,"Macro",$S$5:$S71,$S71),IF(N($U71)=0,"?",COUNTIFS(INDEX($V$5:$V$1000,1):INDEX($V$5:$V$1000,$U71-4),"Macro",INDEX($S$5:$S$1000,1):INDEX($S$5:$S$1000,$U71-4),INDEX($S$5:$S$1000,$U71-4))&amp;"."&amp;COUNTIFS($U$5:$U71,$U71,$V$5:$V71,"Sub"))))</f>
        <v/>
      </c>
      <c r="B71" s="57" t="n"/>
      <c r="C71" s="58" t="n"/>
      <c r="D71" s="58" t="n"/>
      <c r="E71" s="59">
        <f>IF(N($AL71)&gt;0,INDEX(rIni_ADM,$AL71),"")</f>
        <v/>
      </c>
      <c r="F71" s="59">
        <f>IF(N($AL71)&gt;0,INDEX(rLim_ADM,$AL71),"")</f>
        <v/>
      </c>
      <c r="G71" s="59" t="n"/>
      <c r="H71" s="60" t="n"/>
      <c r="I71" s="60" t="n"/>
      <c r="J71" s="60" t="n"/>
      <c r="K71" s="60" t="n"/>
      <c r="L71" s="60" t="n"/>
      <c r="M71" s="61">
        <f>IF(NOT((COUNTA($B71:$D71)+COUNTA($G71:$L71)+COUNTA($Q71))&gt;0),"",IF($V71="Sub",IFERROR($X71/INDEX($W$5:$W$1000,$U71-4),""),IF(ISNUMBER($G71),1,IF(N($W71)&gt;0,AVERAGEIFS($X$5:$X$1000,$U$5:$U$1000,ROW(),$V$5:$V$1000,"Sub"),$X71))))</f>
        <v/>
      </c>
      <c r="N71" s="56">
        <f>IF(OR($M71="",$V71="Sub"),"",IF($M71&gt;=1,"Completado",IF($M71&gt;0,"En curso","Pendiente")))</f>
        <v/>
      </c>
      <c r="O71" s="56">
        <f>IF(OR(NOT((COUNTA($B71:$D71)+COUNTA($G71:$L71)+COUNTA($Q71))&gt;0),$V71="Sub"),"",IF(ISNUMBER($G71),IF(AND(ISNUMBER($AN71),$G71&gt;$AN71),"Cumplida con "&amp;($G71-$AN71)&amp;IF($G71-$AN71=1," día"," días")&amp;" de retraso","Cumplida"),IF(N($M71)&gt;=1,"Cumplida",IF(NOT(ISNUMBER($AN71)),"Sin fecha límite",IF($AN71&lt;FechaRef,"Vencida hace "&amp;(FechaRef-$AN71)&amp;IF(FechaRef-$AN71=1," día"," días"),IF($AN71=FechaRef,"Vence hoy",IF($AN71-FechaRef&lt;=DiasAlerta,"Vence en "&amp;($AN71-FechaRef)&amp;IF($AN71-FechaRef=1," día"," días"),"En plazo")))))))</f>
        <v/>
      </c>
      <c r="P71" s="62" t="n"/>
      <c r="Q71" s="58" t="n"/>
      <c r="R71" s="63">
        <f>IF(NOT((COUNTA($B71:$D71)+COUNTA($G71:$L71)+COUNTA($Q71))&gt;0),"",IF((IF($C71="","Falta el nombre de la actividad"&amp;" · ","")&amp;IF(AND($V71="Sub",N($U71)=0),"Subactividad sin macroactividad arriba"&amp;" · ","")&amp;IF($AM71="","Sin fecha de inicio"&amp;" · ","")&amp;IF($AN71="","Sin fecha límite"&amp;" · ","")&amp;IF(AND(LEFT($C71,11)="[Jefatura] ",N($AL71)=0),"No se encuentra en la hoja de la jefatura (elíjala de nuevo en la lista)"&amp;" · ","")&amp;IF(OR(AND($E71&lt;&gt;"",NOT(ISNUMBER($E71))),AND($F71&lt;&gt;"",NOT(ISNUMBER($F71))),AND($G71&lt;&gt;"",NOT(ISNUMBER($G71)))),"Fecha no válida"&amp;" · ","")&amp;IF(AND(ISNUMBER($AM71),ISNUMBER($AN71),$AM71&gt;$AN71),"Inicio posterior a fecha límite"&amp;" · ","")&amp;IF(AND($V71="Macro",$H71&lt;&gt;"",OR(NOT(ISNUMBER($H71)),$H71&lt;0,$H71&gt;1)),"Peso fuera de rango"&amp;" · ","")&amp;IF(AND($V71="Sub",$H71&lt;&gt;""),"Las subactividades no llevan peso (valen igual dentro de su macroactividad)"&amp;" · ","")&amp;IF(AND(N($W71)&gt;0,COUNT($I71:$L71)&gt;0),"Con subactividades: deje vacías las semanas (se calculan solas)"&amp;" · ","")&amp;IF((COUNTIF($I71:$L71,"&gt;1")+COUNTIF($I71:$L71,"&lt;0")+COUNTA($I71:$L71)-COUNT($I71:$L71))&gt;0,"Avance fuera de rango 0-100%"&amp;" · ","")&amp;IF(OR(AND($J71&lt;&gt;"",$J71&lt;$I71),AND($K71&lt;&gt;"",$K71&lt;MAX($I71:$J71)),AND($L71&lt;&gt;"",$L71&lt;MAX($I71:$K71))),"Avance semanal decreciente"&amp;" · ","")&amp;IF(AND(ISNUMBER($AN71),$AN71&lt;FechaRef,IF($V71="Sub",N($X71),N($M71))&lt;1),"Vencida"&amp;" · ","")&amp;IF(AND(ObsObligatoria="Sí",ISNUMBER($AN71),$AN71&lt;FechaRef,IF($V71="Sub",N($X71),N($M71))&lt;1,$Q71=""),"Vencida sin observación"&amp;" · ",""))="","✔ OK","⚠ "&amp;LEFT(IF($C71="","Falta el nombre de la actividad"&amp;" · ","")&amp;IF(AND($V71="Sub",N($U71)=0),"Subactividad sin macroactividad arriba"&amp;" · ","")&amp;IF($AM71="","Sin fecha de inicio"&amp;" · ","")&amp;IF($AN71="","Sin fecha límite"&amp;" · ","")&amp;IF(AND(LEFT($C71,11)="[Jefatura] ",N($AL71)=0),"No se encuentra en la hoja de la jefatura (elíjala de nuevo en la lista)"&amp;" · ","")&amp;IF(OR(AND($E71&lt;&gt;"",NOT(ISNUMBER($E71))),AND($F71&lt;&gt;"",NOT(ISNUMBER($F71))),AND($G71&lt;&gt;"",NOT(ISNUMBER($G71)))),"Fecha no válida"&amp;" · ","")&amp;IF(AND(ISNUMBER($AM71),ISNUMBER($AN71),$AM71&gt;$AN71),"Inicio posterior a fecha límite"&amp;" · ","")&amp;IF(AND($V71="Macro",$H71&lt;&gt;"",OR(NOT(ISNUMBER($H71)),$H71&lt;0,$H71&gt;1)),"Peso fuera de rango"&amp;" · ","")&amp;IF(AND($V71="Sub",$H71&lt;&gt;""),"Las subactividades no llevan peso (valen igual dentro de su macroactividad)"&amp;" · ","")&amp;IF(AND(N($W71)&gt;0,COUNT($I71:$L71)&gt;0),"Con subactividades: deje vacías las semanas (se calculan solas)"&amp;" · ","")&amp;IF((COUNTIF($I71:$L71,"&gt;1")+COUNTIF($I71:$L71,"&lt;0")+COUNTA($I71:$L71)-COUNT($I71:$L71))&gt;0,"Avance fuera de rango 0-100%"&amp;" · ","")&amp;IF(OR(AND($J71&lt;&gt;"",$J71&lt;$I71),AND($K71&lt;&gt;"",$K71&lt;MAX($I71:$J71)),AND($L71&lt;&gt;"",$L71&lt;MAX($I71:$K71))),"Avance semanal decreciente"&amp;" · ","")&amp;IF(AND(ISNUMBER($AN71),$AN71&lt;FechaRef,IF($V71="Sub",N($X71),N($M71))&lt;1),"Vencida"&amp;" · ","")&amp;IF(AND(ObsObligatoria="Sí",ISNUMBER($AN71),$AN71&lt;FechaRef,IF($V71="Sub",N($X71),N($M71))&lt;1,$Q71=""),"Vencida sin observación"&amp;" · ",""),LEN(IF($C71="","Falta el nombre de la actividad"&amp;" · ","")&amp;IF(AND($V71="Sub",N($U71)=0),"Subactividad sin macroactividad arriba"&amp;" · ","")&amp;IF($AM71="","Sin fecha de inicio"&amp;" · ","")&amp;IF($AN71="","Sin fecha límite"&amp;" · ","")&amp;IF(AND(LEFT($C71,11)="[Jefatura] ",N($AL71)=0),"No se encuentra en la hoja de la jefatura (elíjala de nuevo en la lista)"&amp;" · ","")&amp;IF(OR(AND($E71&lt;&gt;"",NOT(ISNUMBER($E71))),AND($F71&lt;&gt;"",NOT(ISNUMBER($F71))),AND($G71&lt;&gt;"",NOT(ISNUMBER($G71)))),"Fecha no válida"&amp;" · ","")&amp;IF(AND(ISNUMBER($AM71),ISNUMBER($AN71),$AM71&gt;$AN71),"Inicio posterior a fecha límite"&amp;" · ","")&amp;IF(AND($V71="Macro",$H71&lt;&gt;"",OR(NOT(ISNUMBER($H71)),$H71&lt;0,$H71&gt;1)),"Peso fuera de rango"&amp;" · ","")&amp;IF(AND($V71="Sub",$H71&lt;&gt;""),"Las subactividades no llevan peso (valen igual dentro de su macroactividad)"&amp;" · ","")&amp;IF(AND(N($W71)&gt;0,COUNT($I71:$L71)&gt;0),"Con subactividades: deje vacías las semanas (se calculan solas)"&amp;" · ","")&amp;IF((COUNTIF($I71:$L71,"&gt;1")+COUNTIF($I71:$L71,"&lt;0")+COUNTA($I71:$L71)-COUNT($I71:$L71))&gt;0,"Avance fuera de rango 0-100%"&amp;" · ","")&amp;IF(OR(AND($J71&lt;&gt;"",$J71&lt;$I71),AND($K71&lt;&gt;"",$K71&lt;MAX($I71:$J71)),AND($L71&lt;&gt;"",$L71&lt;MAX($I71:$K71))),"Avance semanal decreciente"&amp;" · ","")&amp;IF(AND(ISNUMBER($AN71),$AN71&lt;FechaRef,IF($V71="Sub",N($X71),N($M71))&lt;1),"Vencida"&amp;" · ","")&amp;IF(AND(ObsObligatoria="Sí",ISNUMBER($AN71),$AN71&lt;FechaRef,IF($V71="Sub",N($X71),N($M71))&lt;1,$Q71=""),"Vencida sin observación"&amp;" · ",""))-3)))</f>
        <v/>
      </c>
      <c r="S71" s="64">
        <f>IF(NOT((COUNTA($B71:$D71)+COUNTA($G71:$L71)+COUNTA($Q71))&gt;0),"",IF(AND($V71="Sub",N($U71)&gt;0),IF(ISNUMBER(INDEX($AM$5:$AM$1000,$U71-4)),DATE(YEAR(INDEX($AM$5:$AM$1000,$U71-4)),MONTH(INDEX($AM$5:$AM$1000,$U71-4)),1),IF(ISNUMBER(INDEX($AN$5:$AN$1000,$U71-4)),DATE(YEAR(INDEX($AN$5:$AN$1000,$U71-4)),MONTH(INDEX($AN$5:$AN$1000,$U71-4)),1),MesCiclo)),IF(ISNUMBER($AM71),DATE(YEAR($AM71),MONTH($AM71),1),IF(ISNUMBER($AN71),DATE(YEAR($AN71),MONTH($AN71),1),MesCiclo))))</f>
        <v/>
      </c>
      <c r="T71" s="62">
        <f>IF(OR($S71="",$S71&lt;&gt;MesCiclo,$V71&lt;&gt;"Macro"),"",COUNTIFS($S$5:$S71,MesCiclo,$V$5:$V71,"Macro"))</f>
        <v/>
      </c>
      <c r="U71" s="62">
        <f>IF($V71="","",IF($V71="Macro",ROW(),IFERROR(LOOKUP(2,1/($V$5:$V71="Macro"),ROW($V$5:$V71)),0)))</f>
        <v/>
      </c>
      <c r="V71" s="62">
        <f>IF(NOT((COUNTA($B71:$D71)+COUNTA($G71:$L71)+COUNTA($Q71))&gt;0),"",IF($B71="Subactividad","Sub","Macro"))</f>
        <v/>
      </c>
      <c r="W71" s="62">
        <f>IF($V71="Macro",COUNTIFS($U$5:$U$1000,ROW(),$V$5:$V$1000,"Sub"),"")</f>
        <v/>
      </c>
      <c r="X71" s="62">
        <f>IF($V71="","",IF(ISNUMBER($G71),1,IFERROR(LOOKUP(2,1/($I71:$L71&lt;&gt;""),$I71:$L71),0)))</f>
        <v/>
      </c>
      <c r="Y71" s="62">
        <f>IF($V71="","",IF(AND(ISNUMBER($G71),$G71&lt;=IF($S71=MesCiclo,InicioCiclo,$S71+MOD(2-WEEKDAY($S71),7))+6),1,IF(ISNUMBER($I71),$I71,0)))</f>
        <v/>
      </c>
      <c r="Z71" s="62">
        <f>IF($V71="","",IF(AND(ISNUMBER($G71),$G71&lt;=IF($S71=MesCiclo,InicioCiclo,$S71+MOD(2-WEEKDAY($S71),7))+13),1,IF(ISNUMBER($J71),$J71,$Y71)))</f>
        <v/>
      </c>
      <c r="AA71" s="62">
        <f>IF($V71="","",IF(AND(ISNUMBER($G71),$G71&lt;=IF($S71=MesCiclo,InicioCiclo,$S71+MOD(2-WEEKDAY($S71),7))+20),1,IF(ISNUMBER($K71),$K71,$Z71)))</f>
        <v/>
      </c>
      <c r="AB71" s="62">
        <f>IF($V71="","",IF(AND(ISNUMBER($G71),$G71&lt;=IF($S71=MesCiclo,InicioCiclo,$S71+MOD(2-WEEKDAY($S71),7))+27),1,IF(ISNUMBER($L71),$L71,$AA71)))</f>
        <v/>
      </c>
      <c r="AC71" s="62">
        <f>IF($V71="","",IF(AND(ISNUMBER($G71),$G71&lt;=IF($S71=MesCiclo,InicioCiclo,$S71+MOD(2-WEEKDAY($S71),7))+6),1,IF(N($W71)&gt;0,AVERAGEIFS($Y$5:$Y$1000,$U$5:$U$1000,ROW(),$V$5:$V$1000,"Sub"),$Y71)))</f>
        <v/>
      </c>
      <c r="AD71" s="62">
        <f>IF($V71="","",IF(AND(ISNUMBER($G71),$G71&lt;=IF($S71=MesCiclo,InicioCiclo,$S71+MOD(2-WEEKDAY($S71),7))+13),1,IF(N($W71)&gt;0,AVERAGEIFS($Z$5:$Z$1000,$U$5:$U$1000,ROW(),$V$5:$V$1000,"Sub"),$Z71)))</f>
        <v/>
      </c>
      <c r="AE71" s="62">
        <f>IF($V71="","",IF(AND(ISNUMBER($G71),$G71&lt;=IF($S71=MesCiclo,InicioCiclo,$S71+MOD(2-WEEKDAY($S71),7))+20),1,IF(N($W71)&gt;0,AVERAGEIFS($AA$5:$AA$1000,$U$5:$U$1000,ROW(),$V$5:$V$1000,"Sub"),$AA71)))</f>
        <v/>
      </c>
      <c r="AF71" s="62">
        <f>IF($V71="","",IF(AND(ISNUMBER($G71),$G71&lt;=IF($S71=MesCiclo,InicioCiclo,$S71+MOD(2-WEEKDAY($S71),7))+27),1,IF(N($W71)&gt;0,AVERAGEIFS($AB$5:$AB$1000,$U$5:$U$1000,ROW(),$V$5:$V$1000,"Sub"),$AB71)))</f>
        <v/>
      </c>
      <c r="AG71" s="62">
        <f>IF($V71&lt;&gt;"Macro","",IF(COUNTIFS($S$5:$S$1000,$S71,$V$5:$V$1000,"Macro",$H$5:$H$1000,"&gt;0")=0,1/COUNTIFS($S$5:$S$1000,$S71,$V$5:$V$1000,"Macro"),IF(AND(ISNUMBER($H71),N($H71)&gt;0),$H71,SUMIFS($H$5:$H$1000,$S$5:$S$1000,$S71,$V$5:$V$1000,"Macro")/COUNTIFS($S$5:$S$1000,$S71,$V$5:$V$1000,"Macro",$H$5:$H$1000,"&gt;0"))/(COUNTIFS($S$5:$S$1000,$S71,$V$5:$V$1000,"Macro")*SUMIFS($H$5:$H$1000,$S$5:$S$1000,$S71,$V$5:$V$1000,"Macro")/COUNTIFS($S$5:$S$1000,$S71,$V$5:$V$1000,"Macro",$H$5:$H$1000,"&gt;0"))))</f>
        <v/>
      </c>
      <c r="AH71" s="62" t="n"/>
      <c r="AI71" s="62" t="n"/>
      <c r="AJ71" s="62" t="n"/>
      <c r="AK71" s="62" t="n"/>
      <c r="AL71" s="62">
        <f>IF(LEFT($C71,11)="[Jefatura] ",IFERROR(MATCH("Riesgo Financiero|"&amp;MID($C71,12,500),rDname_ADM,0),0),"")</f>
        <v/>
      </c>
      <c r="AM71" s="62">
        <f>IF(N($AL71)&gt;0,INDEX(rIni_ADM,$AL71),IF(ISNUMBER($E71),$E71,""))</f>
        <v/>
      </c>
      <c r="AN71" s="62">
        <f>IF(N($AL71)&gt;0,INDEX(rLim_ADM,$AL71),IF(ISNUMBER($F71),$F71,""))</f>
        <v/>
      </c>
    </row>
    <row r="72">
      <c r="A72" s="56">
        <f>IF(NOT((COUNTA($B72:$D72)+COUNTA($G72:$L72)+COUNTA($Q72))&gt;0),"",IF($V72="Macro",COUNTIFS($V$5:$V72,"Macro",$S$5:$S72,$S72),IF(N($U72)=0,"?",COUNTIFS(INDEX($V$5:$V$1000,1):INDEX($V$5:$V$1000,$U72-4),"Macro",INDEX($S$5:$S$1000,1):INDEX($S$5:$S$1000,$U72-4),INDEX($S$5:$S$1000,$U72-4))&amp;"."&amp;COUNTIFS($U$5:$U72,$U72,$V$5:$V72,"Sub"))))</f>
        <v/>
      </c>
      <c r="B72" s="57" t="n"/>
      <c r="C72" s="58" t="n"/>
      <c r="D72" s="58" t="n"/>
      <c r="E72" s="59">
        <f>IF(N($AL72)&gt;0,INDEX(rIni_ADM,$AL72),"")</f>
        <v/>
      </c>
      <c r="F72" s="59">
        <f>IF(N($AL72)&gt;0,INDEX(rLim_ADM,$AL72),"")</f>
        <v/>
      </c>
      <c r="G72" s="59" t="n"/>
      <c r="H72" s="60" t="n"/>
      <c r="I72" s="60" t="n"/>
      <c r="J72" s="60" t="n"/>
      <c r="K72" s="60" t="n"/>
      <c r="L72" s="60" t="n"/>
      <c r="M72" s="61">
        <f>IF(NOT((COUNTA($B72:$D72)+COUNTA($G72:$L72)+COUNTA($Q72))&gt;0),"",IF($V72="Sub",IFERROR($X72/INDEX($W$5:$W$1000,$U72-4),""),IF(ISNUMBER($G72),1,IF(N($W72)&gt;0,AVERAGEIFS($X$5:$X$1000,$U$5:$U$1000,ROW(),$V$5:$V$1000,"Sub"),$X72))))</f>
        <v/>
      </c>
      <c r="N72" s="56">
        <f>IF(OR($M72="",$V72="Sub"),"",IF($M72&gt;=1,"Completado",IF($M72&gt;0,"En curso","Pendiente")))</f>
        <v/>
      </c>
      <c r="O72" s="56">
        <f>IF(OR(NOT((COUNTA($B72:$D72)+COUNTA($G72:$L72)+COUNTA($Q72))&gt;0),$V72="Sub"),"",IF(ISNUMBER($G72),IF(AND(ISNUMBER($AN72),$G72&gt;$AN72),"Cumplida con "&amp;($G72-$AN72)&amp;IF($G72-$AN72=1," día"," días")&amp;" de retraso","Cumplida"),IF(N($M72)&gt;=1,"Cumplida",IF(NOT(ISNUMBER($AN72)),"Sin fecha límite",IF($AN72&lt;FechaRef,"Vencida hace "&amp;(FechaRef-$AN72)&amp;IF(FechaRef-$AN72=1," día"," días"),IF($AN72=FechaRef,"Vence hoy",IF($AN72-FechaRef&lt;=DiasAlerta,"Vence en "&amp;($AN72-FechaRef)&amp;IF($AN72-FechaRef=1," día"," días"),"En plazo")))))))</f>
        <v/>
      </c>
      <c r="P72" s="62" t="n"/>
      <c r="Q72" s="58" t="n"/>
      <c r="R72" s="63">
        <f>IF(NOT((COUNTA($B72:$D72)+COUNTA($G72:$L72)+COUNTA($Q72))&gt;0),"",IF((IF($C72="","Falta el nombre de la actividad"&amp;" · ","")&amp;IF(AND($V72="Sub",N($U72)=0),"Subactividad sin macroactividad arriba"&amp;" · ","")&amp;IF($AM72="","Sin fecha de inicio"&amp;" · ","")&amp;IF($AN72="","Sin fecha límite"&amp;" · ","")&amp;IF(AND(LEFT($C72,11)="[Jefatura] ",N($AL72)=0),"No se encuentra en la hoja de la jefatura (elíjala de nuevo en la lista)"&amp;" · ","")&amp;IF(OR(AND($E72&lt;&gt;"",NOT(ISNUMBER($E72))),AND($F72&lt;&gt;"",NOT(ISNUMBER($F72))),AND($G72&lt;&gt;"",NOT(ISNUMBER($G72)))),"Fecha no válida"&amp;" · ","")&amp;IF(AND(ISNUMBER($AM72),ISNUMBER($AN72),$AM72&gt;$AN72),"Inicio posterior a fecha límite"&amp;" · ","")&amp;IF(AND($V72="Macro",$H72&lt;&gt;"",OR(NOT(ISNUMBER($H72)),$H72&lt;0,$H72&gt;1)),"Peso fuera de rango"&amp;" · ","")&amp;IF(AND($V72="Sub",$H72&lt;&gt;""),"Las subactividades no llevan peso (valen igual dentro de su macroactividad)"&amp;" · ","")&amp;IF(AND(N($W72)&gt;0,COUNT($I72:$L72)&gt;0),"Con subactividades: deje vacías las semanas (se calculan solas)"&amp;" · ","")&amp;IF((COUNTIF($I72:$L72,"&gt;1")+COUNTIF($I72:$L72,"&lt;0")+COUNTA($I72:$L72)-COUNT($I72:$L72))&gt;0,"Avance fuera de rango 0-100%"&amp;" · ","")&amp;IF(OR(AND($J72&lt;&gt;"",$J72&lt;$I72),AND($K72&lt;&gt;"",$K72&lt;MAX($I72:$J72)),AND($L72&lt;&gt;"",$L72&lt;MAX($I72:$K72))),"Avance semanal decreciente"&amp;" · ","")&amp;IF(AND(ISNUMBER($AN72),$AN72&lt;FechaRef,IF($V72="Sub",N($X72),N($M72))&lt;1),"Vencida"&amp;" · ","")&amp;IF(AND(ObsObligatoria="Sí",ISNUMBER($AN72),$AN72&lt;FechaRef,IF($V72="Sub",N($X72),N($M72))&lt;1,$Q72=""),"Vencida sin observación"&amp;" · ",""))="","✔ OK","⚠ "&amp;LEFT(IF($C72="","Falta el nombre de la actividad"&amp;" · ","")&amp;IF(AND($V72="Sub",N($U72)=0),"Subactividad sin macroactividad arriba"&amp;" · ","")&amp;IF($AM72="","Sin fecha de inicio"&amp;" · ","")&amp;IF($AN72="","Sin fecha límite"&amp;" · ","")&amp;IF(AND(LEFT($C72,11)="[Jefatura] ",N($AL72)=0),"No se encuentra en la hoja de la jefatura (elíjala de nuevo en la lista)"&amp;" · ","")&amp;IF(OR(AND($E72&lt;&gt;"",NOT(ISNUMBER($E72))),AND($F72&lt;&gt;"",NOT(ISNUMBER($F72))),AND($G72&lt;&gt;"",NOT(ISNUMBER($G72)))),"Fecha no válida"&amp;" · ","")&amp;IF(AND(ISNUMBER($AM72),ISNUMBER($AN72),$AM72&gt;$AN72),"Inicio posterior a fecha límite"&amp;" · ","")&amp;IF(AND($V72="Macro",$H72&lt;&gt;"",OR(NOT(ISNUMBER($H72)),$H72&lt;0,$H72&gt;1)),"Peso fuera de rango"&amp;" · ","")&amp;IF(AND($V72="Sub",$H72&lt;&gt;""),"Las subactividades no llevan peso (valen igual dentro de su macroactividad)"&amp;" · ","")&amp;IF(AND(N($W72)&gt;0,COUNT($I72:$L72)&gt;0),"Con subactividades: deje vacías las semanas (se calculan solas)"&amp;" · ","")&amp;IF((COUNTIF($I72:$L72,"&gt;1")+COUNTIF($I72:$L72,"&lt;0")+COUNTA($I72:$L72)-COUNT($I72:$L72))&gt;0,"Avance fuera de rango 0-100%"&amp;" · ","")&amp;IF(OR(AND($J72&lt;&gt;"",$J72&lt;$I72),AND($K72&lt;&gt;"",$K72&lt;MAX($I72:$J72)),AND($L72&lt;&gt;"",$L72&lt;MAX($I72:$K72))),"Avance semanal decreciente"&amp;" · ","")&amp;IF(AND(ISNUMBER($AN72),$AN72&lt;FechaRef,IF($V72="Sub",N($X72),N($M72))&lt;1),"Vencida"&amp;" · ","")&amp;IF(AND(ObsObligatoria="Sí",ISNUMBER($AN72),$AN72&lt;FechaRef,IF($V72="Sub",N($X72),N($M72))&lt;1,$Q72=""),"Vencida sin observación"&amp;" · ",""),LEN(IF($C72="","Falta el nombre de la actividad"&amp;" · ","")&amp;IF(AND($V72="Sub",N($U72)=0),"Subactividad sin macroactividad arriba"&amp;" · ","")&amp;IF($AM72="","Sin fecha de inicio"&amp;" · ","")&amp;IF($AN72="","Sin fecha límite"&amp;" · ","")&amp;IF(AND(LEFT($C72,11)="[Jefatura] ",N($AL72)=0),"No se encuentra en la hoja de la jefatura (elíjala de nuevo en la lista)"&amp;" · ","")&amp;IF(OR(AND($E72&lt;&gt;"",NOT(ISNUMBER($E72))),AND($F72&lt;&gt;"",NOT(ISNUMBER($F72))),AND($G72&lt;&gt;"",NOT(ISNUMBER($G72)))),"Fecha no válida"&amp;" · ","")&amp;IF(AND(ISNUMBER($AM72),ISNUMBER($AN72),$AM72&gt;$AN72),"Inicio posterior a fecha límite"&amp;" · ","")&amp;IF(AND($V72="Macro",$H72&lt;&gt;"",OR(NOT(ISNUMBER($H72)),$H72&lt;0,$H72&gt;1)),"Peso fuera de rango"&amp;" · ","")&amp;IF(AND($V72="Sub",$H72&lt;&gt;""),"Las subactividades no llevan peso (valen igual dentro de su macroactividad)"&amp;" · ","")&amp;IF(AND(N($W72)&gt;0,COUNT($I72:$L72)&gt;0),"Con subactividades: deje vacías las semanas (se calculan solas)"&amp;" · ","")&amp;IF((COUNTIF($I72:$L72,"&gt;1")+COUNTIF($I72:$L72,"&lt;0")+COUNTA($I72:$L72)-COUNT($I72:$L72))&gt;0,"Avance fuera de rango 0-100%"&amp;" · ","")&amp;IF(OR(AND($J72&lt;&gt;"",$J72&lt;$I72),AND($K72&lt;&gt;"",$K72&lt;MAX($I72:$J72)),AND($L72&lt;&gt;"",$L72&lt;MAX($I72:$K72))),"Avance semanal decreciente"&amp;" · ","")&amp;IF(AND(ISNUMBER($AN72),$AN72&lt;FechaRef,IF($V72="Sub",N($X72),N($M72))&lt;1),"Vencida"&amp;" · ","")&amp;IF(AND(ObsObligatoria="Sí",ISNUMBER($AN72),$AN72&lt;FechaRef,IF($V72="Sub",N($X72),N($M72))&lt;1,$Q72=""),"Vencida sin observación"&amp;" · ",""))-3)))</f>
        <v/>
      </c>
      <c r="S72" s="64">
        <f>IF(NOT((COUNTA($B72:$D72)+COUNTA($G72:$L72)+COUNTA($Q72))&gt;0),"",IF(AND($V72="Sub",N($U72)&gt;0),IF(ISNUMBER(INDEX($AM$5:$AM$1000,$U72-4)),DATE(YEAR(INDEX($AM$5:$AM$1000,$U72-4)),MONTH(INDEX($AM$5:$AM$1000,$U72-4)),1),IF(ISNUMBER(INDEX($AN$5:$AN$1000,$U72-4)),DATE(YEAR(INDEX($AN$5:$AN$1000,$U72-4)),MONTH(INDEX($AN$5:$AN$1000,$U72-4)),1),MesCiclo)),IF(ISNUMBER($AM72),DATE(YEAR($AM72),MONTH($AM72),1),IF(ISNUMBER($AN72),DATE(YEAR($AN72),MONTH($AN72),1),MesCiclo))))</f>
        <v/>
      </c>
      <c r="T72" s="62">
        <f>IF(OR($S72="",$S72&lt;&gt;MesCiclo,$V72&lt;&gt;"Macro"),"",COUNTIFS($S$5:$S72,MesCiclo,$V$5:$V72,"Macro"))</f>
        <v/>
      </c>
      <c r="U72" s="62">
        <f>IF($V72="","",IF($V72="Macro",ROW(),IFERROR(LOOKUP(2,1/($V$5:$V72="Macro"),ROW($V$5:$V72)),0)))</f>
        <v/>
      </c>
      <c r="V72" s="62">
        <f>IF(NOT((COUNTA($B72:$D72)+COUNTA($G72:$L72)+COUNTA($Q72))&gt;0),"",IF($B72="Subactividad","Sub","Macro"))</f>
        <v/>
      </c>
      <c r="W72" s="62">
        <f>IF($V72="Macro",COUNTIFS($U$5:$U$1000,ROW(),$V$5:$V$1000,"Sub"),"")</f>
        <v/>
      </c>
      <c r="X72" s="62">
        <f>IF($V72="","",IF(ISNUMBER($G72),1,IFERROR(LOOKUP(2,1/($I72:$L72&lt;&gt;""),$I72:$L72),0)))</f>
        <v/>
      </c>
      <c r="Y72" s="62">
        <f>IF($V72="","",IF(AND(ISNUMBER($G72),$G72&lt;=IF($S72=MesCiclo,InicioCiclo,$S72+MOD(2-WEEKDAY($S72),7))+6),1,IF(ISNUMBER($I72),$I72,0)))</f>
        <v/>
      </c>
      <c r="Z72" s="62">
        <f>IF($V72="","",IF(AND(ISNUMBER($G72),$G72&lt;=IF($S72=MesCiclo,InicioCiclo,$S72+MOD(2-WEEKDAY($S72),7))+13),1,IF(ISNUMBER($J72),$J72,$Y72)))</f>
        <v/>
      </c>
      <c r="AA72" s="62">
        <f>IF($V72="","",IF(AND(ISNUMBER($G72),$G72&lt;=IF($S72=MesCiclo,InicioCiclo,$S72+MOD(2-WEEKDAY($S72),7))+20),1,IF(ISNUMBER($K72),$K72,$Z72)))</f>
        <v/>
      </c>
      <c r="AB72" s="62">
        <f>IF($V72="","",IF(AND(ISNUMBER($G72),$G72&lt;=IF($S72=MesCiclo,InicioCiclo,$S72+MOD(2-WEEKDAY($S72),7))+27),1,IF(ISNUMBER($L72),$L72,$AA72)))</f>
        <v/>
      </c>
      <c r="AC72" s="62">
        <f>IF($V72="","",IF(AND(ISNUMBER($G72),$G72&lt;=IF($S72=MesCiclo,InicioCiclo,$S72+MOD(2-WEEKDAY($S72),7))+6),1,IF(N($W72)&gt;0,AVERAGEIFS($Y$5:$Y$1000,$U$5:$U$1000,ROW(),$V$5:$V$1000,"Sub"),$Y72)))</f>
        <v/>
      </c>
      <c r="AD72" s="62">
        <f>IF($V72="","",IF(AND(ISNUMBER($G72),$G72&lt;=IF($S72=MesCiclo,InicioCiclo,$S72+MOD(2-WEEKDAY($S72),7))+13),1,IF(N($W72)&gt;0,AVERAGEIFS($Z$5:$Z$1000,$U$5:$U$1000,ROW(),$V$5:$V$1000,"Sub"),$Z72)))</f>
        <v/>
      </c>
      <c r="AE72" s="62">
        <f>IF($V72="","",IF(AND(ISNUMBER($G72),$G72&lt;=IF($S72=MesCiclo,InicioCiclo,$S72+MOD(2-WEEKDAY($S72),7))+20),1,IF(N($W72)&gt;0,AVERAGEIFS($AA$5:$AA$1000,$U$5:$U$1000,ROW(),$V$5:$V$1000,"Sub"),$AA72)))</f>
        <v/>
      </c>
      <c r="AF72" s="62">
        <f>IF($V72="","",IF(AND(ISNUMBER($G72),$G72&lt;=IF($S72=MesCiclo,InicioCiclo,$S72+MOD(2-WEEKDAY($S72),7))+27),1,IF(N($W72)&gt;0,AVERAGEIFS($AB$5:$AB$1000,$U$5:$U$1000,ROW(),$V$5:$V$1000,"Sub"),$AB72)))</f>
        <v/>
      </c>
      <c r="AG72" s="62">
        <f>IF($V72&lt;&gt;"Macro","",IF(COUNTIFS($S$5:$S$1000,$S72,$V$5:$V$1000,"Macro",$H$5:$H$1000,"&gt;0")=0,1/COUNTIFS($S$5:$S$1000,$S72,$V$5:$V$1000,"Macro"),IF(AND(ISNUMBER($H72),N($H72)&gt;0),$H72,SUMIFS($H$5:$H$1000,$S$5:$S$1000,$S72,$V$5:$V$1000,"Macro")/COUNTIFS($S$5:$S$1000,$S72,$V$5:$V$1000,"Macro",$H$5:$H$1000,"&gt;0"))/(COUNTIFS($S$5:$S$1000,$S72,$V$5:$V$1000,"Macro")*SUMIFS($H$5:$H$1000,$S$5:$S$1000,$S72,$V$5:$V$1000,"Macro")/COUNTIFS($S$5:$S$1000,$S72,$V$5:$V$1000,"Macro",$H$5:$H$1000,"&gt;0"))))</f>
        <v/>
      </c>
      <c r="AH72" s="62" t="n"/>
      <c r="AI72" s="62" t="n"/>
      <c r="AJ72" s="62" t="n"/>
      <c r="AK72" s="62" t="n"/>
      <c r="AL72" s="62">
        <f>IF(LEFT($C72,11)="[Jefatura] ",IFERROR(MATCH("Riesgo Financiero|"&amp;MID($C72,12,500),rDname_ADM,0),0),"")</f>
        <v/>
      </c>
      <c r="AM72" s="62">
        <f>IF(N($AL72)&gt;0,INDEX(rIni_ADM,$AL72),IF(ISNUMBER($E72),$E72,""))</f>
        <v/>
      </c>
      <c r="AN72" s="62">
        <f>IF(N($AL72)&gt;0,INDEX(rLim_ADM,$AL72),IF(ISNUMBER($F72),$F72,""))</f>
        <v/>
      </c>
    </row>
    <row r="73">
      <c r="A73" s="56">
        <f>IF(NOT((COUNTA($B73:$D73)+COUNTA($G73:$L73)+COUNTA($Q73))&gt;0),"",IF($V73="Macro",COUNTIFS($V$5:$V73,"Macro",$S$5:$S73,$S73),IF(N($U73)=0,"?",COUNTIFS(INDEX($V$5:$V$1000,1):INDEX($V$5:$V$1000,$U73-4),"Macro",INDEX($S$5:$S$1000,1):INDEX($S$5:$S$1000,$U73-4),INDEX($S$5:$S$1000,$U73-4))&amp;"."&amp;COUNTIFS($U$5:$U73,$U73,$V$5:$V73,"Sub"))))</f>
        <v/>
      </c>
      <c r="B73" s="57" t="n"/>
      <c r="C73" s="58" t="n"/>
      <c r="D73" s="58" t="n"/>
      <c r="E73" s="59">
        <f>IF(N($AL73)&gt;0,INDEX(rIni_ADM,$AL73),"")</f>
        <v/>
      </c>
      <c r="F73" s="59">
        <f>IF(N($AL73)&gt;0,INDEX(rLim_ADM,$AL73),"")</f>
        <v/>
      </c>
      <c r="G73" s="59" t="n"/>
      <c r="H73" s="60" t="n"/>
      <c r="I73" s="60" t="n"/>
      <c r="J73" s="60" t="n"/>
      <c r="K73" s="60" t="n"/>
      <c r="L73" s="60" t="n"/>
      <c r="M73" s="61">
        <f>IF(NOT((COUNTA($B73:$D73)+COUNTA($G73:$L73)+COUNTA($Q73))&gt;0),"",IF($V73="Sub",IFERROR($X73/INDEX($W$5:$W$1000,$U73-4),""),IF(ISNUMBER($G73),1,IF(N($W73)&gt;0,AVERAGEIFS($X$5:$X$1000,$U$5:$U$1000,ROW(),$V$5:$V$1000,"Sub"),$X73))))</f>
        <v/>
      </c>
      <c r="N73" s="56">
        <f>IF(OR($M73="",$V73="Sub"),"",IF($M73&gt;=1,"Completado",IF($M73&gt;0,"En curso","Pendiente")))</f>
        <v/>
      </c>
      <c r="O73" s="56">
        <f>IF(OR(NOT((COUNTA($B73:$D73)+COUNTA($G73:$L73)+COUNTA($Q73))&gt;0),$V73="Sub"),"",IF(ISNUMBER($G73),IF(AND(ISNUMBER($AN73),$G73&gt;$AN73),"Cumplida con "&amp;($G73-$AN73)&amp;IF($G73-$AN73=1," día"," días")&amp;" de retraso","Cumplida"),IF(N($M73)&gt;=1,"Cumplida",IF(NOT(ISNUMBER($AN73)),"Sin fecha límite",IF($AN73&lt;FechaRef,"Vencida hace "&amp;(FechaRef-$AN73)&amp;IF(FechaRef-$AN73=1," día"," días"),IF($AN73=FechaRef,"Vence hoy",IF($AN73-FechaRef&lt;=DiasAlerta,"Vence en "&amp;($AN73-FechaRef)&amp;IF($AN73-FechaRef=1," día"," días"),"En plazo")))))))</f>
        <v/>
      </c>
      <c r="P73" s="62" t="n"/>
      <c r="Q73" s="58" t="n"/>
      <c r="R73" s="63">
        <f>IF(NOT((COUNTA($B73:$D73)+COUNTA($G73:$L73)+COUNTA($Q73))&gt;0),"",IF((IF($C73="","Falta el nombre de la actividad"&amp;" · ","")&amp;IF(AND($V73="Sub",N($U73)=0),"Subactividad sin macroactividad arriba"&amp;" · ","")&amp;IF($AM73="","Sin fecha de inicio"&amp;" · ","")&amp;IF($AN73="","Sin fecha límite"&amp;" · ","")&amp;IF(AND(LEFT($C73,11)="[Jefatura] ",N($AL73)=0),"No se encuentra en la hoja de la jefatura (elíjala de nuevo en la lista)"&amp;" · ","")&amp;IF(OR(AND($E73&lt;&gt;"",NOT(ISNUMBER($E73))),AND($F73&lt;&gt;"",NOT(ISNUMBER($F73))),AND($G73&lt;&gt;"",NOT(ISNUMBER($G73)))),"Fecha no válida"&amp;" · ","")&amp;IF(AND(ISNUMBER($AM73),ISNUMBER($AN73),$AM73&gt;$AN73),"Inicio posterior a fecha límite"&amp;" · ","")&amp;IF(AND($V73="Macro",$H73&lt;&gt;"",OR(NOT(ISNUMBER($H73)),$H73&lt;0,$H73&gt;1)),"Peso fuera de rango"&amp;" · ","")&amp;IF(AND($V73="Sub",$H73&lt;&gt;""),"Las subactividades no llevan peso (valen igual dentro de su macroactividad)"&amp;" · ","")&amp;IF(AND(N($W73)&gt;0,COUNT($I73:$L73)&gt;0),"Con subactividades: deje vacías las semanas (se calculan solas)"&amp;" · ","")&amp;IF((COUNTIF($I73:$L73,"&gt;1")+COUNTIF($I73:$L73,"&lt;0")+COUNTA($I73:$L73)-COUNT($I73:$L73))&gt;0,"Avance fuera de rango 0-100%"&amp;" · ","")&amp;IF(OR(AND($J73&lt;&gt;"",$J73&lt;$I73),AND($K73&lt;&gt;"",$K73&lt;MAX($I73:$J73)),AND($L73&lt;&gt;"",$L73&lt;MAX($I73:$K73))),"Avance semanal decreciente"&amp;" · ","")&amp;IF(AND(ISNUMBER($AN73),$AN73&lt;FechaRef,IF($V73="Sub",N($X73),N($M73))&lt;1),"Vencida"&amp;" · ","")&amp;IF(AND(ObsObligatoria="Sí",ISNUMBER($AN73),$AN73&lt;FechaRef,IF($V73="Sub",N($X73),N($M73))&lt;1,$Q73=""),"Vencida sin observación"&amp;" · ",""))="","✔ OK","⚠ "&amp;LEFT(IF($C73="","Falta el nombre de la actividad"&amp;" · ","")&amp;IF(AND($V73="Sub",N($U73)=0),"Subactividad sin macroactividad arriba"&amp;" · ","")&amp;IF($AM73="","Sin fecha de inicio"&amp;" · ","")&amp;IF($AN73="","Sin fecha límite"&amp;" · ","")&amp;IF(AND(LEFT($C73,11)="[Jefatura] ",N($AL73)=0),"No se encuentra en la hoja de la jefatura (elíjala de nuevo en la lista)"&amp;" · ","")&amp;IF(OR(AND($E73&lt;&gt;"",NOT(ISNUMBER($E73))),AND($F73&lt;&gt;"",NOT(ISNUMBER($F73))),AND($G73&lt;&gt;"",NOT(ISNUMBER($G73)))),"Fecha no válida"&amp;" · ","")&amp;IF(AND(ISNUMBER($AM73),ISNUMBER($AN73),$AM73&gt;$AN73),"Inicio posterior a fecha límite"&amp;" · ","")&amp;IF(AND($V73="Macro",$H73&lt;&gt;"",OR(NOT(ISNUMBER($H73)),$H73&lt;0,$H73&gt;1)),"Peso fuera de rango"&amp;" · ","")&amp;IF(AND($V73="Sub",$H73&lt;&gt;""),"Las subactividades no llevan peso (valen igual dentro de su macroactividad)"&amp;" · ","")&amp;IF(AND(N($W73)&gt;0,COUNT($I73:$L73)&gt;0),"Con subactividades: deje vacías las semanas (se calculan solas)"&amp;" · ","")&amp;IF((COUNTIF($I73:$L73,"&gt;1")+COUNTIF($I73:$L73,"&lt;0")+COUNTA($I73:$L73)-COUNT($I73:$L73))&gt;0,"Avance fuera de rango 0-100%"&amp;" · ","")&amp;IF(OR(AND($J73&lt;&gt;"",$J73&lt;$I73),AND($K73&lt;&gt;"",$K73&lt;MAX($I73:$J73)),AND($L73&lt;&gt;"",$L73&lt;MAX($I73:$K73))),"Avance semanal decreciente"&amp;" · ","")&amp;IF(AND(ISNUMBER($AN73),$AN73&lt;FechaRef,IF($V73="Sub",N($X73),N($M73))&lt;1),"Vencida"&amp;" · ","")&amp;IF(AND(ObsObligatoria="Sí",ISNUMBER($AN73),$AN73&lt;FechaRef,IF($V73="Sub",N($X73),N($M73))&lt;1,$Q73=""),"Vencida sin observación"&amp;" · ",""),LEN(IF($C73="","Falta el nombre de la actividad"&amp;" · ","")&amp;IF(AND($V73="Sub",N($U73)=0),"Subactividad sin macroactividad arriba"&amp;" · ","")&amp;IF($AM73="","Sin fecha de inicio"&amp;" · ","")&amp;IF($AN73="","Sin fecha límite"&amp;" · ","")&amp;IF(AND(LEFT($C73,11)="[Jefatura] ",N($AL73)=0),"No se encuentra en la hoja de la jefatura (elíjala de nuevo en la lista)"&amp;" · ","")&amp;IF(OR(AND($E73&lt;&gt;"",NOT(ISNUMBER($E73))),AND($F73&lt;&gt;"",NOT(ISNUMBER($F73))),AND($G73&lt;&gt;"",NOT(ISNUMBER($G73)))),"Fecha no válida"&amp;" · ","")&amp;IF(AND(ISNUMBER($AM73),ISNUMBER($AN73),$AM73&gt;$AN73),"Inicio posterior a fecha límite"&amp;" · ","")&amp;IF(AND($V73="Macro",$H73&lt;&gt;"",OR(NOT(ISNUMBER($H73)),$H73&lt;0,$H73&gt;1)),"Peso fuera de rango"&amp;" · ","")&amp;IF(AND($V73="Sub",$H73&lt;&gt;""),"Las subactividades no llevan peso (valen igual dentro de su macroactividad)"&amp;" · ","")&amp;IF(AND(N($W73)&gt;0,COUNT($I73:$L73)&gt;0),"Con subactividades: deje vacías las semanas (se calculan solas)"&amp;" · ","")&amp;IF((COUNTIF($I73:$L73,"&gt;1")+COUNTIF($I73:$L73,"&lt;0")+COUNTA($I73:$L73)-COUNT($I73:$L73))&gt;0,"Avance fuera de rango 0-100%"&amp;" · ","")&amp;IF(OR(AND($J73&lt;&gt;"",$J73&lt;$I73),AND($K73&lt;&gt;"",$K73&lt;MAX($I73:$J73)),AND($L73&lt;&gt;"",$L73&lt;MAX($I73:$K73))),"Avance semanal decreciente"&amp;" · ","")&amp;IF(AND(ISNUMBER($AN73),$AN73&lt;FechaRef,IF($V73="Sub",N($X73),N($M73))&lt;1),"Vencida"&amp;" · ","")&amp;IF(AND(ObsObligatoria="Sí",ISNUMBER($AN73),$AN73&lt;FechaRef,IF($V73="Sub",N($X73),N($M73))&lt;1,$Q73=""),"Vencida sin observación"&amp;" · ",""))-3)))</f>
        <v/>
      </c>
      <c r="S73" s="64">
        <f>IF(NOT((COUNTA($B73:$D73)+COUNTA($G73:$L73)+COUNTA($Q73))&gt;0),"",IF(AND($V73="Sub",N($U73)&gt;0),IF(ISNUMBER(INDEX($AM$5:$AM$1000,$U73-4)),DATE(YEAR(INDEX($AM$5:$AM$1000,$U73-4)),MONTH(INDEX($AM$5:$AM$1000,$U73-4)),1),IF(ISNUMBER(INDEX($AN$5:$AN$1000,$U73-4)),DATE(YEAR(INDEX($AN$5:$AN$1000,$U73-4)),MONTH(INDEX($AN$5:$AN$1000,$U73-4)),1),MesCiclo)),IF(ISNUMBER($AM73),DATE(YEAR($AM73),MONTH($AM73),1),IF(ISNUMBER($AN73),DATE(YEAR($AN73),MONTH($AN73),1),MesCiclo))))</f>
        <v/>
      </c>
      <c r="T73" s="62">
        <f>IF(OR($S73="",$S73&lt;&gt;MesCiclo,$V73&lt;&gt;"Macro"),"",COUNTIFS($S$5:$S73,MesCiclo,$V$5:$V73,"Macro"))</f>
        <v/>
      </c>
      <c r="U73" s="62">
        <f>IF($V73="","",IF($V73="Macro",ROW(),IFERROR(LOOKUP(2,1/($V$5:$V73="Macro"),ROW($V$5:$V73)),0)))</f>
        <v/>
      </c>
      <c r="V73" s="62">
        <f>IF(NOT((COUNTA($B73:$D73)+COUNTA($G73:$L73)+COUNTA($Q73))&gt;0),"",IF($B73="Subactividad","Sub","Macro"))</f>
        <v/>
      </c>
      <c r="W73" s="62">
        <f>IF($V73="Macro",COUNTIFS($U$5:$U$1000,ROW(),$V$5:$V$1000,"Sub"),"")</f>
        <v/>
      </c>
      <c r="X73" s="62">
        <f>IF($V73="","",IF(ISNUMBER($G73),1,IFERROR(LOOKUP(2,1/($I73:$L73&lt;&gt;""),$I73:$L73),0)))</f>
        <v/>
      </c>
      <c r="Y73" s="62">
        <f>IF($V73="","",IF(AND(ISNUMBER($G73),$G73&lt;=IF($S73=MesCiclo,InicioCiclo,$S73+MOD(2-WEEKDAY($S73),7))+6),1,IF(ISNUMBER($I73),$I73,0)))</f>
        <v/>
      </c>
      <c r="Z73" s="62">
        <f>IF($V73="","",IF(AND(ISNUMBER($G73),$G73&lt;=IF($S73=MesCiclo,InicioCiclo,$S73+MOD(2-WEEKDAY($S73),7))+13),1,IF(ISNUMBER($J73),$J73,$Y73)))</f>
        <v/>
      </c>
      <c r="AA73" s="62">
        <f>IF($V73="","",IF(AND(ISNUMBER($G73),$G73&lt;=IF($S73=MesCiclo,InicioCiclo,$S73+MOD(2-WEEKDAY($S73),7))+20),1,IF(ISNUMBER($K73),$K73,$Z73)))</f>
        <v/>
      </c>
      <c r="AB73" s="62">
        <f>IF($V73="","",IF(AND(ISNUMBER($G73),$G73&lt;=IF($S73=MesCiclo,InicioCiclo,$S73+MOD(2-WEEKDAY($S73),7))+27),1,IF(ISNUMBER($L73),$L73,$AA73)))</f>
        <v/>
      </c>
      <c r="AC73" s="62">
        <f>IF($V73="","",IF(AND(ISNUMBER($G73),$G73&lt;=IF($S73=MesCiclo,InicioCiclo,$S73+MOD(2-WEEKDAY($S73),7))+6),1,IF(N($W73)&gt;0,AVERAGEIFS($Y$5:$Y$1000,$U$5:$U$1000,ROW(),$V$5:$V$1000,"Sub"),$Y73)))</f>
        <v/>
      </c>
      <c r="AD73" s="62">
        <f>IF($V73="","",IF(AND(ISNUMBER($G73),$G73&lt;=IF($S73=MesCiclo,InicioCiclo,$S73+MOD(2-WEEKDAY($S73),7))+13),1,IF(N($W73)&gt;0,AVERAGEIFS($Z$5:$Z$1000,$U$5:$U$1000,ROW(),$V$5:$V$1000,"Sub"),$Z73)))</f>
        <v/>
      </c>
      <c r="AE73" s="62">
        <f>IF($V73="","",IF(AND(ISNUMBER($G73),$G73&lt;=IF($S73=MesCiclo,InicioCiclo,$S73+MOD(2-WEEKDAY($S73),7))+20),1,IF(N($W73)&gt;0,AVERAGEIFS($AA$5:$AA$1000,$U$5:$U$1000,ROW(),$V$5:$V$1000,"Sub"),$AA73)))</f>
        <v/>
      </c>
      <c r="AF73" s="62">
        <f>IF($V73="","",IF(AND(ISNUMBER($G73),$G73&lt;=IF($S73=MesCiclo,InicioCiclo,$S73+MOD(2-WEEKDAY($S73),7))+27),1,IF(N($W73)&gt;0,AVERAGEIFS($AB$5:$AB$1000,$U$5:$U$1000,ROW(),$V$5:$V$1000,"Sub"),$AB73)))</f>
        <v/>
      </c>
      <c r="AG73" s="62">
        <f>IF($V73&lt;&gt;"Macro","",IF(COUNTIFS($S$5:$S$1000,$S73,$V$5:$V$1000,"Macro",$H$5:$H$1000,"&gt;0")=0,1/COUNTIFS($S$5:$S$1000,$S73,$V$5:$V$1000,"Macro"),IF(AND(ISNUMBER($H73),N($H73)&gt;0),$H73,SUMIFS($H$5:$H$1000,$S$5:$S$1000,$S73,$V$5:$V$1000,"Macro")/COUNTIFS($S$5:$S$1000,$S73,$V$5:$V$1000,"Macro",$H$5:$H$1000,"&gt;0"))/(COUNTIFS($S$5:$S$1000,$S73,$V$5:$V$1000,"Macro")*SUMIFS($H$5:$H$1000,$S$5:$S$1000,$S73,$V$5:$V$1000,"Macro")/COUNTIFS($S$5:$S$1000,$S73,$V$5:$V$1000,"Macro",$H$5:$H$1000,"&gt;0"))))</f>
        <v/>
      </c>
      <c r="AH73" s="62" t="n"/>
      <c r="AI73" s="62" t="n"/>
      <c r="AJ73" s="62" t="n"/>
      <c r="AK73" s="62" t="n"/>
      <c r="AL73" s="62">
        <f>IF(LEFT($C73,11)="[Jefatura] ",IFERROR(MATCH("Riesgo Financiero|"&amp;MID($C73,12,500),rDname_ADM,0),0),"")</f>
        <v/>
      </c>
      <c r="AM73" s="62">
        <f>IF(N($AL73)&gt;0,INDEX(rIni_ADM,$AL73),IF(ISNUMBER($E73),$E73,""))</f>
        <v/>
      </c>
      <c r="AN73" s="62">
        <f>IF(N($AL73)&gt;0,INDEX(rLim_ADM,$AL73),IF(ISNUMBER($F73),$F73,""))</f>
        <v/>
      </c>
    </row>
    <row r="74">
      <c r="A74" s="56">
        <f>IF(NOT((COUNTA($B74:$D74)+COUNTA($G74:$L74)+COUNTA($Q74))&gt;0),"",IF($V74="Macro",COUNTIFS($V$5:$V74,"Macro",$S$5:$S74,$S74),IF(N($U74)=0,"?",COUNTIFS(INDEX($V$5:$V$1000,1):INDEX($V$5:$V$1000,$U74-4),"Macro",INDEX($S$5:$S$1000,1):INDEX($S$5:$S$1000,$U74-4),INDEX($S$5:$S$1000,$U74-4))&amp;"."&amp;COUNTIFS($U$5:$U74,$U74,$V$5:$V74,"Sub"))))</f>
        <v/>
      </c>
      <c r="B74" s="57" t="n"/>
      <c r="C74" s="58" t="n"/>
      <c r="D74" s="58" t="n"/>
      <c r="E74" s="59">
        <f>IF(N($AL74)&gt;0,INDEX(rIni_ADM,$AL74),"")</f>
        <v/>
      </c>
      <c r="F74" s="59">
        <f>IF(N($AL74)&gt;0,INDEX(rLim_ADM,$AL74),"")</f>
        <v/>
      </c>
      <c r="G74" s="59" t="n"/>
      <c r="H74" s="60" t="n"/>
      <c r="I74" s="60" t="n"/>
      <c r="J74" s="60" t="n"/>
      <c r="K74" s="60" t="n"/>
      <c r="L74" s="60" t="n"/>
      <c r="M74" s="61">
        <f>IF(NOT((COUNTA($B74:$D74)+COUNTA($G74:$L74)+COUNTA($Q74))&gt;0),"",IF($V74="Sub",IFERROR($X74/INDEX($W$5:$W$1000,$U74-4),""),IF(ISNUMBER($G74),1,IF(N($W74)&gt;0,AVERAGEIFS($X$5:$X$1000,$U$5:$U$1000,ROW(),$V$5:$V$1000,"Sub"),$X74))))</f>
        <v/>
      </c>
      <c r="N74" s="56">
        <f>IF(OR($M74="",$V74="Sub"),"",IF($M74&gt;=1,"Completado",IF($M74&gt;0,"En curso","Pendiente")))</f>
        <v/>
      </c>
      <c r="O74" s="56">
        <f>IF(OR(NOT((COUNTA($B74:$D74)+COUNTA($G74:$L74)+COUNTA($Q74))&gt;0),$V74="Sub"),"",IF(ISNUMBER($G74),IF(AND(ISNUMBER($AN74),$G74&gt;$AN74),"Cumplida con "&amp;($G74-$AN74)&amp;IF($G74-$AN74=1," día"," días")&amp;" de retraso","Cumplida"),IF(N($M74)&gt;=1,"Cumplida",IF(NOT(ISNUMBER($AN74)),"Sin fecha límite",IF($AN74&lt;FechaRef,"Vencida hace "&amp;(FechaRef-$AN74)&amp;IF(FechaRef-$AN74=1," día"," días"),IF($AN74=FechaRef,"Vence hoy",IF($AN74-FechaRef&lt;=DiasAlerta,"Vence en "&amp;($AN74-FechaRef)&amp;IF($AN74-FechaRef=1," día"," días"),"En plazo")))))))</f>
        <v/>
      </c>
      <c r="P74" s="62" t="n"/>
      <c r="Q74" s="58" t="n"/>
      <c r="R74" s="63">
        <f>IF(NOT((COUNTA($B74:$D74)+COUNTA($G74:$L74)+COUNTA($Q74))&gt;0),"",IF((IF($C74="","Falta el nombre de la actividad"&amp;" · ","")&amp;IF(AND($V74="Sub",N($U74)=0),"Subactividad sin macroactividad arriba"&amp;" · ","")&amp;IF($AM74="","Sin fecha de inicio"&amp;" · ","")&amp;IF($AN74="","Sin fecha límite"&amp;" · ","")&amp;IF(AND(LEFT($C74,11)="[Jefatura] ",N($AL74)=0),"No se encuentra en la hoja de la jefatura (elíjala de nuevo en la lista)"&amp;" · ","")&amp;IF(OR(AND($E74&lt;&gt;"",NOT(ISNUMBER($E74))),AND($F74&lt;&gt;"",NOT(ISNUMBER($F74))),AND($G74&lt;&gt;"",NOT(ISNUMBER($G74)))),"Fecha no válida"&amp;" · ","")&amp;IF(AND(ISNUMBER($AM74),ISNUMBER($AN74),$AM74&gt;$AN74),"Inicio posterior a fecha límite"&amp;" · ","")&amp;IF(AND($V74="Macro",$H74&lt;&gt;"",OR(NOT(ISNUMBER($H74)),$H74&lt;0,$H74&gt;1)),"Peso fuera de rango"&amp;" · ","")&amp;IF(AND($V74="Sub",$H74&lt;&gt;""),"Las subactividades no llevan peso (valen igual dentro de su macroactividad)"&amp;" · ","")&amp;IF(AND(N($W74)&gt;0,COUNT($I74:$L74)&gt;0),"Con subactividades: deje vacías las semanas (se calculan solas)"&amp;" · ","")&amp;IF((COUNTIF($I74:$L74,"&gt;1")+COUNTIF($I74:$L74,"&lt;0")+COUNTA($I74:$L74)-COUNT($I74:$L74))&gt;0,"Avance fuera de rango 0-100%"&amp;" · ","")&amp;IF(OR(AND($J74&lt;&gt;"",$J74&lt;$I74),AND($K74&lt;&gt;"",$K74&lt;MAX($I74:$J74)),AND($L74&lt;&gt;"",$L74&lt;MAX($I74:$K74))),"Avance semanal decreciente"&amp;" · ","")&amp;IF(AND(ISNUMBER($AN74),$AN74&lt;FechaRef,IF($V74="Sub",N($X74),N($M74))&lt;1),"Vencida"&amp;" · ","")&amp;IF(AND(ObsObligatoria="Sí",ISNUMBER($AN74),$AN74&lt;FechaRef,IF($V74="Sub",N($X74),N($M74))&lt;1,$Q74=""),"Vencida sin observación"&amp;" · ",""))="","✔ OK","⚠ "&amp;LEFT(IF($C74="","Falta el nombre de la actividad"&amp;" · ","")&amp;IF(AND($V74="Sub",N($U74)=0),"Subactividad sin macroactividad arriba"&amp;" · ","")&amp;IF($AM74="","Sin fecha de inicio"&amp;" · ","")&amp;IF($AN74="","Sin fecha límite"&amp;" · ","")&amp;IF(AND(LEFT($C74,11)="[Jefatura] ",N($AL74)=0),"No se encuentra en la hoja de la jefatura (elíjala de nuevo en la lista)"&amp;" · ","")&amp;IF(OR(AND($E74&lt;&gt;"",NOT(ISNUMBER($E74))),AND($F74&lt;&gt;"",NOT(ISNUMBER($F74))),AND($G74&lt;&gt;"",NOT(ISNUMBER($G74)))),"Fecha no válida"&amp;" · ","")&amp;IF(AND(ISNUMBER($AM74),ISNUMBER($AN74),$AM74&gt;$AN74),"Inicio posterior a fecha límite"&amp;" · ","")&amp;IF(AND($V74="Macro",$H74&lt;&gt;"",OR(NOT(ISNUMBER($H74)),$H74&lt;0,$H74&gt;1)),"Peso fuera de rango"&amp;" · ","")&amp;IF(AND($V74="Sub",$H74&lt;&gt;""),"Las subactividades no llevan peso (valen igual dentro de su macroactividad)"&amp;" · ","")&amp;IF(AND(N($W74)&gt;0,COUNT($I74:$L74)&gt;0),"Con subactividades: deje vacías las semanas (se calculan solas)"&amp;" · ","")&amp;IF((COUNTIF($I74:$L74,"&gt;1")+COUNTIF($I74:$L74,"&lt;0")+COUNTA($I74:$L74)-COUNT($I74:$L74))&gt;0,"Avance fuera de rango 0-100%"&amp;" · ","")&amp;IF(OR(AND($J74&lt;&gt;"",$J74&lt;$I74),AND($K74&lt;&gt;"",$K74&lt;MAX($I74:$J74)),AND($L74&lt;&gt;"",$L74&lt;MAX($I74:$K74))),"Avance semanal decreciente"&amp;" · ","")&amp;IF(AND(ISNUMBER($AN74),$AN74&lt;FechaRef,IF($V74="Sub",N($X74),N($M74))&lt;1),"Vencida"&amp;" · ","")&amp;IF(AND(ObsObligatoria="Sí",ISNUMBER($AN74),$AN74&lt;FechaRef,IF($V74="Sub",N($X74),N($M74))&lt;1,$Q74=""),"Vencida sin observación"&amp;" · ",""),LEN(IF($C74="","Falta el nombre de la actividad"&amp;" · ","")&amp;IF(AND($V74="Sub",N($U74)=0),"Subactividad sin macroactividad arriba"&amp;" · ","")&amp;IF($AM74="","Sin fecha de inicio"&amp;" · ","")&amp;IF($AN74="","Sin fecha límite"&amp;" · ","")&amp;IF(AND(LEFT($C74,11)="[Jefatura] ",N($AL74)=0),"No se encuentra en la hoja de la jefatura (elíjala de nuevo en la lista)"&amp;" · ","")&amp;IF(OR(AND($E74&lt;&gt;"",NOT(ISNUMBER($E74))),AND($F74&lt;&gt;"",NOT(ISNUMBER($F74))),AND($G74&lt;&gt;"",NOT(ISNUMBER($G74)))),"Fecha no válida"&amp;" · ","")&amp;IF(AND(ISNUMBER($AM74),ISNUMBER($AN74),$AM74&gt;$AN74),"Inicio posterior a fecha límite"&amp;" · ","")&amp;IF(AND($V74="Macro",$H74&lt;&gt;"",OR(NOT(ISNUMBER($H74)),$H74&lt;0,$H74&gt;1)),"Peso fuera de rango"&amp;" · ","")&amp;IF(AND($V74="Sub",$H74&lt;&gt;""),"Las subactividades no llevan peso (valen igual dentro de su macroactividad)"&amp;" · ","")&amp;IF(AND(N($W74)&gt;0,COUNT($I74:$L74)&gt;0),"Con subactividades: deje vacías las semanas (se calculan solas)"&amp;" · ","")&amp;IF((COUNTIF($I74:$L74,"&gt;1")+COUNTIF($I74:$L74,"&lt;0")+COUNTA($I74:$L74)-COUNT($I74:$L74))&gt;0,"Avance fuera de rango 0-100%"&amp;" · ","")&amp;IF(OR(AND($J74&lt;&gt;"",$J74&lt;$I74),AND($K74&lt;&gt;"",$K74&lt;MAX($I74:$J74)),AND($L74&lt;&gt;"",$L74&lt;MAX($I74:$K74))),"Avance semanal decreciente"&amp;" · ","")&amp;IF(AND(ISNUMBER($AN74),$AN74&lt;FechaRef,IF($V74="Sub",N($X74),N($M74))&lt;1),"Vencida"&amp;" · ","")&amp;IF(AND(ObsObligatoria="Sí",ISNUMBER($AN74),$AN74&lt;FechaRef,IF($V74="Sub",N($X74),N($M74))&lt;1,$Q74=""),"Vencida sin observación"&amp;" · ",""))-3)))</f>
        <v/>
      </c>
      <c r="S74" s="64">
        <f>IF(NOT((COUNTA($B74:$D74)+COUNTA($G74:$L74)+COUNTA($Q74))&gt;0),"",IF(AND($V74="Sub",N($U74)&gt;0),IF(ISNUMBER(INDEX($AM$5:$AM$1000,$U74-4)),DATE(YEAR(INDEX($AM$5:$AM$1000,$U74-4)),MONTH(INDEX($AM$5:$AM$1000,$U74-4)),1),IF(ISNUMBER(INDEX($AN$5:$AN$1000,$U74-4)),DATE(YEAR(INDEX($AN$5:$AN$1000,$U74-4)),MONTH(INDEX($AN$5:$AN$1000,$U74-4)),1),MesCiclo)),IF(ISNUMBER($AM74),DATE(YEAR($AM74),MONTH($AM74),1),IF(ISNUMBER($AN74),DATE(YEAR($AN74),MONTH($AN74),1),MesCiclo))))</f>
        <v/>
      </c>
      <c r="T74" s="62">
        <f>IF(OR($S74="",$S74&lt;&gt;MesCiclo,$V74&lt;&gt;"Macro"),"",COUNTIFS($S$5:$S74,MesCiclo,$V$5:$V74,"Macro"))</f>
        <v/>
      </c>
      <c r="U74" s="62">
        <f>IF($V74="","",IF($V74="Macro",ROW(),IFERROR(LOOKUP(2,1/($V$5:$V74="Macro"),ROW($V$5:$V74)),0)))</f>
        <v/>
      </c>
      <c r="V74" s="62">
        <f>IF(NOT((COUNTA($B74:$D74)+COUNTA($G74:$L74)+COUNTA($Q74))&gt;0),"",IF($B74="Subactividad","Sub","Macro"))</f>
        <v/>
      </c>
      <c r="W74" s="62">
        <f>IF($V74="Macro",COUNTIFS($U$5:$U$1000,ROW(),$V$5:$V$1000,"Sub"),"")</f>
        <v/>
      </c>
      <c r="X74" s="62">
        <f>IF($V74="","",IF(ISNUMBER($G74),1,IFERROR(LOOKUP(2,1/($I74:$L74&lt;&gt;""),$I74:$L74),0)))</f>
        <v/>
      </c>
      <c r="Y74" s="62">
        <f>IF($V74="","",IF(AND(ISNUMBER($G74),$G74&lt;=IF($S74=MesCiclo,InicioCiclo,$S74+MOD(2-WEEKDAY($S74),7))+6),1,IF(ISNUMBER($I74),$I74,0)))</f>
        <v/>
      </c>
      <c r="Z74" s="62">
        <f>IF($V74="","",IF(AND(ISNUMBER($G74),$G74&lt;=IF($S74=MesCiclo,InicioCiclo,$S74+MOD(2-WEEKDAY($S74),7))+13),1,IF(ISNUMBER($J74),$J74,$Y74)))</f>
        <v/>
      </c>
      <c r="AA74" s="62">
        <f>IF($V74="","",IF(AND(ISNUMBER($G74),$G74&lt;=IF($S74=MesCiclo,InicioCiclo,$S74+MOD(2-WEEKDAY($S74),7))+20),1,IF(ISNUMBER($K74),$K74,$Z74)))</f>
        <v/>
      </c>
      <c r="AB74" s="62">
        <f>IF($V74="","",IF(AND(ISNUMBER($G74),$G74&lt;=IF($S74=MesCiclo,InicioCiclo,$S74+MOD(2-WEEKDAY($S74),7))+27),1,IF(ISNUMBER($L74),$L74,$AA74)))</f>
        <v/>
      </c>
      <c r="AC74" s="62">
        <f>IF($V74="","",IF(AND(ISNUMBER($G74),$G74&lt;=IF($S74=MesCiclo,InicioCiclo,$S74+MOD(2-WEEKDAY($S74),7))+6),1,IF(N($W74)&gt;0,AVERAGEIFS($Y$5:$Y$1000,$U$5:$U$1000,ROW(),$V$5:$V$1000,"Sub"),$Y74)))</f>
        <v/>
      </c>
      <c r="AD74" s="62">
        <f>IF($V74="","",IF(AND(ISNUMBER($G74),$G74&lt;=IF($S74=MesCiclo,InicioCiclo,$S74+MOD(2-WEEKDAY($S74),7))+13),1,IF(N($W74)&gt;0,AVERAGEIFS($Z$5:$Z$1000,$U$5:$U$1000,ROW(),$V$5:$V$1000,"Sub"),$Z74)))</f>
        <v/>
      </c>
      <c r="AE74" s="62">
        <f>IF($V74="","",IF(AND(ISNUMBER($G74),$G74&lt;=IF($S74=MesCiclo,InicioCiclo,$S74+MOD(2-WEEKDAY($S74),7))+20),1,IF(N($W74)&gt;0,AVERAGEIFS($AA$5:$AA$1000,$U$5:$U$1000,ROW(),$V$5:$V$1000,"Sub"),$AA74)))</f>
        <v/>
      </c>
      <c r="AF74" s="62">
        <f>IF($V74="","",IF(AND(ISNUMBER($G74),$G74&lt;=IF($S74=MesCiclo,InicioCiclo,$S74+MOD(2-WEEKDAY($S74),7))+27),1,IF(N($W74)&gt;0,AVERAGEIFS($AB$5:$AB$1000,$U$5:$U$1000,ROW(),$V$5:$V$1000,"Sub"),$AB74)))</f>
        <v/>
      </c>
      <c r="AG74" s="62">
        <f>IF($V74&lt;&gt;"Macro","",IF(COUNTIFS($S$5:$S$1000,$S74,$V$5:$V$1000,"Macro",$H$5:$H$1000,"&gt;0")=0,1/COUNTIFS($S$5:$S$1000,$S74,$V$5:$V$1000,"Macro"),IF(AND(ISNUMBER($H74),N($H74)&gt;0),$H74,SUMIFS($H$5:$H$1000,$S$5:$S$1000,$S74,$V$5:$V$1000,"Macro")/COUNTIFS($S$5:$S$1000,$S74,$V$5:$V$1000,"Macro",$H$5:$H$1000,"&gt;0"))/(COUNTIFS($S$5:$S$1000,$S74,$V$5:$V$1000,"Macro")*SUMIFS($H$5:$H$1000,$S$5:$S$1000,$S74,$V$5:$V$1000,"Macro")/COUNTIFS($S$5:$S$1000,$S74,$V$5:$V$1000,"Macro",$H$5:$H$1000,"&gt;0"))))</f>
        <v/>
      </c>
      <c r="AH74" s="62" t="n"/>
      <c r="AI74" s="62" t="n"/>
      <c r="AJ74" s="62" t="n"/>
      <c r="AK74" s="62" t="n"/>
      <c r="AL74" s="62">
        <f>IF(LEFT($C74,11)="[Jefatura] ",IFERROR(MATCH("Riesgo Financiero|"&amp;MID($C74,12,500),rDname_ADM,0),0),"")</f>
        <v/>
      </c>
      <c r="AM74" s="62">
        <f>IF(N($AL74)&gt;0,INDEX(rIni_ADM,$AL74),IF(ISNUMBER($E74),$E74,""))</f>
        <v/>
      </c>
      <c r="AN74" s="62">
        <f>IF(N($AL74)&gt;0,INDEX(rLim_ADM,$AL74),IF(ISNUMBER($F74),$F74,""))</f>
        <v/>
      </c>
    </row>
    <row r="75">
      <c r="A75" s="56">
        <f>IF(NOT((COUNTA($B75:$D75)+COUNTA($G75:$L75)+COUNTA($Q75))&gt;0),"",IF($V75="Macro",COUNTIFS($V$5:$V75,"Macro",$S$5:$S75,$S75),IF(N($U75)=0,"?",COUNTIFS(INDEX($V$5:$V$1000,1):INDEX($V$5:$V$1000,$U75-4),"Macro",INDEX($S$5:$S$1000,1):INDEX($S$5:$S$1000,$U75-4),INDEX($S$5:$S$1000,$U75-4))&amp;"."&amp;COUNTIFS($U$5:$U75,$U75,$V$5:$V75,"Sub"))))</f>
        <v/>
      </c>
      <c r="B75" s="57" t="n"/>
      <c r="C75" s="58" t="n"/>
      <c r="D75" s="58" t="n"/>
      <c r="E75" s="59">
        <f>IF(N($AL75)&gt;0,INDEX(rIni_ADM,$AL75),"")</f>
        <v/>
      </c>
      <c r="F75" s="59">
        <f>IF(N($AL75)&gt;0,INDEX(rLim_ADM,$AL75),"")</f>
        <v/>
      </c>
      <c r="G75" s="59" t="n"/>
      <c r="H75" s="60" t="n"/>
      <c r="I75" s="60" t="n"/>
      <c r="J75" s="60" t="n"/>
      <c r="K75" s="60" t="n"/>
      <c r="L75" s="60" t="n"/>
      <c r="M75" s="61">
        <f>IF(NOT((COUNTA($B75:$D75)+COUNTA($G75:$L75)+COUNTA($Q75))&gt;0),"",IF($V75="Sub",IFERROR($X75/INDEX($W$5:$W$1000,$U75-4),""),IF(ISNUMBER($G75),1,IF(N($W75)&gt;0,AVERAGEIFS($X$5:$X$1000,$U$5:$U$1000,ROW(),$V$5:$V$1000,"Sub"),$X75))))</f>
        <v/>
      </c>
      <c r="N75" s="56">
        <f>IF(OR($M75="",$V75="Sub"),"",IF($M75&gt;=1,"Completado",IF($M75&gt;0,"En curso","Pendiente")))</f>
        <v/>
      </c>
      <c r="O75" s="56">
        <f>IF(OR(NOT((COUNTA($B75:$D75)+COUNTA($G75:$L75)+COUNTA($Q75))&gt;0),$V75="Sub"),"",IF(ISNUMBER($G75),IF(AND(ISNUMBER($AN75),$G75&gt;$AN75),"Cumplida con "&amp;($G75-$AN75)&amp;IF($G75-$AN75=1," día"," días")&amp;" de retraso","Cumplida"),IF(N($M75)&gt;=1,"Cumplida",IF(NOT(ISNUMBER($AN75)),"Sin fecha límite",IF($AN75&lt;FechaRef,"Vencida hace "&amp;(FechaRef-$AN75)&amp;IF(FechaRef-$AN75=1," día"," días"),IF($AN75=FechaRef,"Vence hoy",IF($AN75-FechaRef&lt;=DiasAlerta,"Vence en "&amp;($AN75-FechaRef)&amp;IF($AN75-FechaRef=1," día"," días"),"En plazo")))))))</f>
        <v/>
      </c>
      <c r="P75" s="62" t="n"/>
      <c r="Q75" s="58" t="n"/>
      <c r="R75" s="63">
        <f>IF(NOT((COUNTA($B75:$D75)+COUNTA($G75:$L75)+COUNTA($Q75))&gt;0),"",IF((IF($C75="","Falta el nombre de la actividad"&amp;" · ","")&amp;IF(AND($V75="Sub",N($U75)=0),"Subactividad sin macroactividad arriba"&amp;" · ","")&amp;IF($AM75="","Sin fecha de inicio"&amp;" · ","")&amp;IF($AN75="","Sin fecha límite"&amp;" · ","")&amp;IF(AND(LEFT($C75,11)="[Jefatura] ",N($AL75)=0),"No se encuentra en la hoja de la jefatura (elíjala de nuevo en la lista)"&amp;" · ","")&amp;IF(OR(AND($E75&lt;&gt;"",NOT(ISNUMBER($E75))),AND($F75&lt;&gt;"",NOT(ISNUMBER($F75))),AND($G75&lt;&gt;"",NOT(ISNUMBER($G75)))),"Fecha no válida"&amp;" · ","")&amp;IF(AND(ISNUMBER($AM75),ISNUMBER($AN75),$AM75&gt;$AN75),"Inicio posterior a fecha límite"&amp;" · ","")&amp;IF(AND($V75="Macro",$H75&lt;&gt;"",OR(NOT(ISNUMBER($H75)),$H75&lt;0,$H75&gt;1)),"Peso fuera de rango"&amp;" · ","")&amp;IF(AND($V75="Sub",$H75&lt;&gt;""),"Las subactividades no llevan peso (valen igual dentro de su macroactividad)"&amp;" · ","")&amp;IF(AND(N($W75)&gt;0,COUNT($I75:$L75)&gt;0),"Con subactividades: deje vacías las semanas (se calculan solas)"&amp;" · ","")&amp;IF((COUNTIF($I75:$L75,"&gt;1")+COUNTIF($I75:$L75,"&lt;0")+COUNTA($I75:$L75)-COUNT($I75:$L75))&gt;0,"Avance fuera de rango 0-100%"&amp;" · ","")&amp;IF(OR(AND($J75&lt;&gt;"",$J75&lt;$I75),AND($K75&lt;&gt;"",$K75&lt;MAX($I75:$J75)),AND($L75&lt;&gt;"",$L75&lt;MAX($I75:$K75))),"Avance semanal decreciente"&amp;" · ","")&amp;IF(AND(ISNUMBER($AN75),$AN75&lt;FechaRef,IF($V75="Sub",N($X75),N($M75))&lt;1),"Vencida"&amp;" · ","")&amp;IF(AND(ObsObligatoria="Sí",ISNUMBER($AN75),$AN75&lt;FechaRef,IF($V75="Sub",N($X75),N($M75))&lt;1,$Q75=""),"Vencida sin observación"&amp;" · ",""))="","✔ OK","⚠ "&amp;LEFT(IF($C75="","Falta el nombre de la actividad"&amp;" · ","")&amp;IF(AND($V75="Sub",N($U75)=0),"Subactividad sin macroactividad arriba"&amp;" · ","")&amp;IF($AM75="","Sin fecha de inicio"&amp;" · ","")&amp;IF($AN75="","Sin fecha límite"&amp;" · ","")&amp;IF(AND(LEFT($C75,11)="[Jefatura] ",N($AL75)=0),"No se encuentra en la hoja de la jefatura (elíjala de nuevo en la lista)"&amp;" · ","")&amp;IF(OR(AND($E75&lt;&gt;"",NOT(ISNUMBER($E75))),AND($F75&lt;&gt;"",NOT(ISNUMBER($F75))),AND($G75&lt;&gt;"",NOT(ISNUMBER($G75)))),"Fecha no válida"&amp;" · ","")&amp;IF(AND(ISNUMBER($AM75),ISNUMBER($AN75),$AM75&gt;$AN75),"Inicio posterior a fecha límite"&amp;" · ","")&amp;IF(AND($V75="Macro",$H75&lt;&gt;"",OR(NOT(ISNUMBER($H75)),$H75&lt;0,$H75&gt;1)),"Peso fuera de rango"&amp;" · ","")&amp;IF(AND($V75="Sub",$H75&lt;&gt;""),"Las subactividades no llevan peso (valen igual dentro de su macroactividad)"&amp;" · ","")&amp;IF(AND(N($W75)&gt;0,COUNT($I75:$L75)&gt;0),"Con subactividades: deje vacías las semanas (se calculan solas)"&amp;" · ","")&amp;IF((COUNTIF($I75:$L75,"&gt;1")+COUNTIF($I75:$L75,"&lt;0")+COUNTA($I75:$L75)-COUNT($I75:$L75))&gt;0,"Avance fuera de rango 0-100%"&amp;" · ","")&amp;IF(OR(AND($J75&lt;&gt;"",$J75&lt;$I75),AND($K75&lt;&gt;"",$K75&lt;MAX($I75:$J75)),AND($L75&lt;&gt;"",$L75&lt;MAX($I75:$K75))),"Avance semanal decreciente"&amp;" · ","")&amp;IF(AND(ISNUMBER($AN75),$AN75&lt;FechaRef,IF($V75="Sub",N($X75),N($M75))&lt;1),"Vencida"&amp;" · ","")&amp;IF(AND(ObsObligatoria="Sí",ISNUMBER($AN75),$AN75&lt;FechaRef,IF($V75="Sub",N($X75),N($M75))&lt;1,$Q75=""),"Vencida sin observación"&amp;" · ",""),LEN(IF($C75="","Falta el nombre de la actividad"&amp;" · ","")&amp;IF(AND($V75="Sub",N($U75)=0),"Subactividad sin macroactividad arriba"&amp;" · ","")&amp;IF($AM75="","Sin fecha de inicio"&amp;" · ","")&amp;IF($AN75="","Sin fecha límite"&amp;" · ","")&amp;IF(AND(LEFT($C75,11)="[Jefatura] ",N($AL75)=0),"No se encuentra en la hoja de la jefatura (elíjala de nuevo en la lista)"&amp;" · ","")&amp;IF(OR(AND($E75&lt;&gt;"",NOT(ISNUMBER($E75))),AND($F75&lt;&gt;"",NOT(ISNUMBER($F75))),AND($G75&lt;&gt;"",NOT(ISNUMBER($G75)))),"Fecha no válida"&amp;" · ","")&amp;IF(AND(ISNUMBER($AM75),ISNUMBER($AN75),$AM75&gt;$AN75),"Inicio posterior a fecha límite"&amp;" · ","")&amp;IF(AND($V75="Macro",$H75&lt;&gt;"",OR(NOT(ISNUMBER($H75)),$H75&lt;0,$H75&gt;1)),"Peso fuera de rango"&amp;" · ","")&amp;IF(AND($V75="Sub",$H75&lt;&gt;""),"Las subactividades no llevan peso (valen igual dentro de su macroactividad)"&amp;" · ","")&amp;IF(AND(N($W75)&gt;0,COUNT($I75:$L75)&gt;0),"Con subactividades: deje vacías las semanas (se calculan solas)"&amp;" · ","")&amp;IF((COUNTIF($I75:$L75,"&gt;1")+COUNTIF($I75:$L75,"&lt;0")+COUNTA($I75:$L75)-COUNT($I75:$L75))&gt;0,"Avance fuera de rango 0-100%"&amp;" · ","")&amp;IF(OR(AND($J75&lt;&gt;"",$J75&lt;$I75),AND($K75&lt;&gt;"",$K75&lt;MAX($I75:$J75)),AND($L75&lt;&gt;"",$L75&lt;MAX($I75:$K75))),"Avance semanal decreciente"&amp;" · ","")&amp;IF(AND(ISNUMBER($AN75),$AN75&lt;FechaRef,IF($V75="Sub",N($X75),N($M75))&lt;1),"Vencida"&amp;" · ","")&amp;IF(AND(ObsObligatoria="Sí",ISNUMBER($AN75),$AN75&lt;FechaRef,IF($V75="Sub",N($X75),N($M75))&lt;1,$Q75=""),"Vencida sin observación"&amp;" · ",""))-3)))</f>
        <v/>
      </c>
      <c r="S75" s="64">
        <f>IF(NOT((COUNTA($B75:$D75)+COUNTA($G75:$L75)+COUNTA($Q75))&gt;0),"",IF(AND($V75="Sub",N($U75)&gt;0),IF(ISNUMBER(INDEX($AM$5:$AM$1000,$U75-4)),DATE(YEAR(INDEX($AM$5:$AM$1000,$U75-4)),MONTH(INDEX($AM$5:$AM$1000,$U75-4)),1),IF(ISNUMBER(INDEX($AN$5:$AN$1000,$U75-4)),DATE(YEAR(INDEX($AN$5:$AN$1000,$U75-4)),MONTH(INDEX($AN$5:$AN$1000,$U75-4)),1),MesCiclo)),IF(ISNUMBER($AM75),DATE(YEAR($AM75),MONTH($AM75),1),IF(ISNUMBER($AN75),DATE(YEAR($AN75),MONTH($AN75),1),MesCiclo))))</f>
        <v/>
      </c>
      <c r="T75" s="62">
        <f>IF(OR($S75="",$S75&lt;&gt;MesCiclo,$V75&lt;&gt;"Macro"),"",COUNTIFS($S$5:$S75,MesCiclo,$V$5:$V75,"Macro"))</f>
        <v/>
      </c>
      <c r="U75" s="62">
        <f>IF($V75="","",IF($V75="Macro",ROW(),IFERROR(LOOKUP(2,1/($V$5:$V75="Macro"),ROW($V$5:$V75)),0)))</f>
        <v/>
      </c>
      <c r="V75" s="62">
        <f>IF(NOT((COUNTA($B75:$D75)+COUNTA($G75:$L75)+COUNTA($Q75))&gt;0),"",IF($B75="Subactividad","Sub","Macro"))</f>
        <v/>
      </c>
      <c r="W75" s="62">
        <f>IF($V75="Macro",COUNTIFS($U$5:$U$1000,ROW(),$V$5:$V$1000,"Sub"),"")</f>
        <v/>
      </c>
      <c r="X75" s="62">
        <f>IF($V75="","",IF(ISNUMBER($G75),1,IFERROR(LOOKUP(2,1/($I75:$L75&lt;&gt;""),$I75:$L75),0)))</f>
        <v/>
      </c>
      <c r="Y75" s="62">
        <f>IF($V75="","",IF(AND(ISNUMBER($G75),$G75&lt;=IF($S75=MesCiclo,InicioCiclo,$S75+MOD(2-WEEKDAY($S75),7))+6),1,IF(ISNUMBER($I75),$I75,0)))</f>
        <v/>
      </c>
      <c r="Z75" s="62">
        <f>IF($V75="","",IF(AND(ISNUMBER($G75),$G75&lt;=IF($S75=MesCiclo,InicioCiclo,$S75+MOD(2-WEEKDAY($S75),7))+13),1,IF(ISNUMBER($J75),$J75,$Y75)))</f>
        <v/>
      </c>
      <c r="AA75" s="62">
        <f>IF($V75="","",IF(AND(ISNUMBER($G75),$G75&lt;=IF($S75=MesCiclo,InicioCiclo,$S75+MOD(2-WEEKDAY($S75),7))+20),1,IF(ISNUMBER($K75),$K75,$Z75)))</f>
        <v/>
      </c>
      <c r="AB75" s="62">
        <f>IF($V75="","",IF(AND(ISNUMBER($G75),$G75&lt;=IF($S75=MesCiclo,InicioCiclo,$S75+MOD(2-WEEKDAY($S75),7))+27),1,IF(ISNUMBER($L75),$L75,$AA75)))</f>
        <v/>
      </c>
      <c r="AC75" s="62">
        <f>IF($V75="","",IF(AND(ISNUMBER($G75),$G75&lt;=IF($S75=MesCiclo,InicioCiclo,$S75+MOD(2-WEEKDAY($S75),7))+6),1,IF(N($W75)&gt;0,AVERAGEIFS($Y$5:$Y$1000,$U$5:$U$1000,ROW(),$V$5:$V$1000,"Sub"),$Y75)))</f>
        <v/>
      </c>
      <c r="AD75" s="62">
        <f>IF($V75="","",IF(AND(ISNUMBER($G75),$G75&lt;=IF($S75=MesCiclo,InicioCiclo,$S75+MOD(2-WEEKDAY($S75),7))+13),1,IF(N($W75)&gt;0,AVERAGEIFS($Z$5:$Z$1000,$U$5:$U$1000,ROW(),$V$5:$V$1000,"Sub"),$Z75)))</f>
        <v/>
      </c>
      <c r="AE75" s="62">
        <f>IF($V75="","",IF(AND(ISNUMBER($G75),$G75&lt;=IF($S75=MesCiclo,InicioCiclo,$S75+MOD(2-WEEKDAY($S75),7))+20),1,IF(N($W75)&gt;0,AVERAGEIFS($AA$5:$AA$1000,$U$5:$U$1000,ROW(),$V$5:$V$1000,"Sub"),$AA75)))</f>
        <v/>
      </c>
      <c r="AF75" s="62">
        <f>IF($V75="","",IF(AND(ISNUMBER($G75),$G75&lt;=IF($S75=MesCiclo,InicioCiclo,$S75+MOD(2-WEEKDAY($S75),7))+27),1,IF(N($W75)&gt;0,AVERAGEIFS($AB$5:$AB$1000,$U$5:$U$1000,ROW(),$V$5:$V$1000,"Sub"),$AB75)))</f>
        <v/>
      </c>
      <c r="AG75" s="62">
        <f>IF($V75&lt;&gt;"Macro","",IF(COUNTIFS($S$5:$S$1000,$S75,$V$5:$V$1000,"Macro",$H$5:$H$1000,"&gt;0")=0,1/COUNTIFS($S$5:$S$1000,$S75,$V$5:$V$1000,"Macro"),IF(AND(ISNUMBER($H75),N($H75)&gt;0),$H75,SUMIFS($H$5:$H$1000,$S$5:$S$1000,$S75,$V$5:$V$1000,"Macro")/COUNTIFS($S$5:$S$1000,$S75,$V$5:$V$1000,"Macro",$H$5:$H$1000,"&gt;0"))/(COUNTIFS($S$5:$S$1000,$S75,$V$5:$V$1000,"Macro")*SUMIFS($H$5:$H$1000,$S$5:$S$1000,$S75,$V$5:$V$1000,"Macro")/COUNTIFS($S$5:$S$1000,$S75,$V$5:$V$1000,"Macro",$H$5:$H$1000,"&gt;0"))))</f>
        <v/>
      </c>
      <c r="AH75" s="62" t="n"/>
      <c r="AI75" s="62" t="n"/>
      <c r="AJ75" s="62" t="n"/>
      <c r="AK75" s="62" t="n"/>
      <c r="AL75" s="62">
        <f>IF(LEFT($C75,11)="[Jefatura] ",IFERROR(MATCH("Riesgo Financiero|"&amp;MID($C75,12,500),rDname_ADM,0),0),"")</f>
        <v/>
      </c>
      <c r="AM75" s="62">
        <f>IF(N($AL75)&gt;0,INDEX(rIni_ADM,$AL75),IF(ISNUMBER($E75),$E75,""))</f>
        <v/>
      </c>
      <c r="AN75" s="62">
        <f>IF(N($AL75)&gt;0,INDEX(rLim_ADM,$AL75),IF(ISNUMBER($F75),$F75,""))</f>
        <v/>
      </c>
    </row>
    <row r="76">
      <c r="A76" s="56">
        <f>IF(NOT((COUNTA($B76:$D76)+COUNTA($G76:$L76)+COUNTA($Q76))&gt;0),"",IF($V76="Macro",COUNTIFS($V$5:$V76,"Macro",$S$5:$S76,$S76),IF(N($U76)=0,"?",COUNTIFS(INDEX($V$5:$V$1000,1):INDEX($V$5:$V$1000,$U76-4),"Macro",INDEX($S$5:$S$1000,1):INDEX($S$5:$S$1000,$U76-4),INDEX($S$5:$S$1000,$U76-4))&amp;"."&amp;COUNTIFS($U$5:$U76,$U76,$V$5:$V76,"Sub"))))</f>
        <v/>
      </c>
      <c r="B76" s="57" t="n"/>
      <c r="C76" s="58" t="n"/>
      <c r="D76" s="58" t="n"/>
      <c r="E76" s="59">
        <f>IF(N($AL76)&gt;0,INDEX(rIni_ADM,$AL76),"")</f>
        <v/>
      </c>
      <c r="F76" s="59">
        <f>IF(N($AL76)&gt;0,INDEX(rLim_ADM,$AL76),"")</f>
        <v/>
      </c>
      <c r="G76" s="59" t="n"/>
      <c r="H76" s="60" t="n"/>
      <c r="I76" s="60" t="n"/>
      <c r="J76" s="60" t="n"/>
      <c r="K76" s="60" t="n"/>
      <c r="L76" s="60" t="n"/>
      <c r="M76" s="61">
        <f>IF(NOT((COUNTA($B76:$D76)+COUNTA($G76:$L76)+COUNTA($Q76))&gt;0),"",IF($V76="Sub",IFERROR($X76/INDEX($W$5:$W$1000,$U76-4),""),IF(ISNUMBER($G76),1,IF(N($W76)&gt;0,AVERAGEIFS($X$5:$X$1000,$U$5:$U$1000,ROW(),$V$5:$V$1000,"Sub"),$X76))))</f>
        <v/>
      </c>
      <c r="N76" s="56">
        <f>IF(OR($M76="",$V76="Sub"),"",IF($M76&gt;=1,"Completado",IF($M76&gt;0,"En curso","Pendiente")))</f>
        <v/>
      </c>
      <c r="O76" s="56">
        <f>IF(OR(NOT((COUNTA($B76:$D76)+COUNTA($G76:$L76)+COUNTA($Q76))&gt;0),$V76="Sub"),"",IF(ISNUMBER($G76),IF(AND(ISNUMBER($AN76),$G76&gt;$AN76),"Cumplida con "&amp;($G76-$AN76)&amp;IF($G76-$AN76=1," día"," días")&amp;" de retraso","Cumplida"),IF(N($M76)&gt;=1,"Cumplida",IF(NOT(ISNUMBER($AN76)),"Sin fecha límite",IF($AN76&lt;FechaRef,"Vencida hace "&amp;(FechaRef-$AN76)&amp;IF(FechaRef-$AN76=1," día"," días"),IF($AN76=FechaRef,"Vence hoy",IF($AN76-FechaRef&lt;=DiasAlerta,"Vence en "&amp;($AN76-FechaRef)&amp;IF($AN76-FechaRef=1," día"," días"),"En plazo")))))))</f>
        <v/>
      </c>
      <c r="P76" s="62" t="n"/>
      <c r="Q76" s="58" t="n"/>
      <c r="R76" s="63">
        <f>IF(NOT((COUNTA($B76:$D76)+COUNTA($G76:$L76)+COUNTA($Q76))&gt;0),"",IF((IF($C76="","Falta el nombre de la actividad"&amp;" · ","")&amp;IF(AND($V76="Sub",N($U76)=0),"Subactividad sin macroactividad arriba"&amp;" · ","")&amp;IF($AM76="","Sin fecha de inicio"&amp;" · ","")&amp;IF($AN76="","Sin fecha límite"&amp;" · ","")&amp;IF(AND(LEFT($C76,11)="[Jefatura] ",N($AL76)=0),"No se encuentra en la hoja de la jefatura (elíjala de nuevo en la lista)"&amp;" · ","")&amp;IF(OR(AND($E76&lt;&gt;"",NOT(ISNUMBER($E76))),AND($F76&lt;&gt;"",NOT(ISNUMBER($F76))),AND($G76&lt;&gt;"",NOT(ISNUMBER($G76)))),"Fecha no válida"&amp;" · ","")&amp;IF(AND(ISNUMBER($AM76),ISNUMBER($AN76),$AM76&gt;$AN76),"Inicio posterior a fecha límite"&amp;" · ","")&amp;IF(AND($V76="Macro",$H76&lt;&gt;"",OR(NOT(ISNUMBER($H76)),$H76&lt;0,$H76&gt;1)),"Peso fuera de rango"&amp;" · ","")&amp;IF(AND($V76="Sub",$H76&lt;&gt;""),"Las subactividades no llevan peso (valen igual dentro de su macroactividad)"&amp;" · ","")&amp;IF(AND(N($W76)&gt;0,COUNT($I76:$L76)&gt;0),"Con subactividades: deje vacías las semanas (se calculan solas)"&amp;" · ","")&amp;IF((COUNTIF($I76:$L76,"&gt;1")+COUNTIF($I76:$L76,"&lt;0")+COUNTA($I76:$L76)-COUNT($I76:$L76))&gt;0,"Avance fuera de rango 0-100%"&amp;" · ","")&amp;IF(OR(AND($J76&lt;&gt;"",$J76&lt;$I76),AND($K76&lt;&gt;"",$K76&lt;MAX($I76:$J76)),AND($L76&lt;&gt;"",$L76&lt;MAX($I76:$K76))),"Avance semanal decreciente"&amp;" · ","")&amp;IF(AND(ISNUMBER($AN76),$AN76&lt;FechaRef,IF($V76="Sub",N($X76),N($M76))&lt;1),"Vencida"&amp;" · ","")&amp;IF(AND(ObsObligatoria="Sí",ISNUMBER($AN76),$AN76&lt;FechaRef,IF($V76="Sub",N($X76),N($M76))&lt;1,$Q76=""),"Vencida sin observación"&amp;" · ",""))="","✔ OK","⚠ "&amp;LEFT(IF($C76="","Falta el nombre de la actividad"&amp;" · ","")&amp;IF(AND($V76="Sub",N($U76)=0),"Subactividad sin macroactividad arriba"&amp;" · ","")&amp;IF($AM76="","Sin fecha de inicio"&amp;" · ","")&amp;IF($AN76="","Sin fecha límite"&amp;" · ","")&amp;IF(AND(LEFT($C76,11)="[Jefatura] ",N($AL76)=0),"No se encuentra en la hoja de la jefatura (elíjala de nuevo en la lista)"&amp;" · ","")&amp;IF(OR(AND($E76&lt;&gt;"",NOT(ISNUMBER($E76))),AND($F76&lt;&gt;"",NOT(ISNUMBER($F76))),AND($G76&lt;&gt;"",NOT(ISNUMBER($G76)))),"Fecha no válida"&amp;" · ","")&amp;IF(AND(ISNUMBER($AM76),ISNUMBER($AN76),$AM76&gt;$AN76),"Inicio posterior a fecha límite"&amp;" · ","")&amp;IF(AND($V76="Macro",$H76&lt;&gt;"",OR(NOT(ISNUMBER($H76)),$H76&lt;0,$H76&gt;1)),"Peso fuera de rango"&amp;" · ","")&amp;IF(AND($V76="Sub",$H76&lt;&gt;""),"Las subactividades no llevan peso (valen igual dentro de su macroactividad)"&amp;" · ","")&amp;IF(AND(N($W76)&gt;0,COUNT($I76:$L76)&gt;0),"Con subactividades: deje vacías las semanas (se calculan solas)"&amp;" · ","")&amp;IF((COUNTIF($I76:$L76,"&gt;1")+COUNTIF($I76:$L76,"&lt;0")+COUNTA($I76:$L76)-COUNT($I76:$L76))&gt;0,"Avance fuera de rango 0-100%"&amp;" · ","")&amp;IF(OR(AND($J76&lt;&gt;"",$J76&lt;$I76),AND($K76&lt;&gt;"",$K76&lt;MAX($I76:$J76)),AND($L76&lt;&gt;"",$L76&lt;MAX($I76:$K76))),"Avance semanal decreciente"&amp;" · ","")&amp;IF(AND(ISNUMBER($AN76),$AN76&lt;FechaRef,IF($V76="Sub",N($X76),N($M76))&lt;1),"Vencida"&amp;" · ","")&amp;IF(AND(ObsObligatoria="Sí",ISNUMBER($AN76),$AN76&lt;FechaRef,IF($V76="Sub",N($X76),N($M76))&lt;1,$Q76=""),"Vencida sin observación"&amp;" · ",""),LEN(IF($C76="","Falta el nombre de la actividad"&amp;" · ","")&amp;IF(AND($V76="Sub",N($U76)=0),"Subactividad sin macroactividad arriba"&amp;" · ","")&amp;IF($AM76="","Sin fecha de inicio"&amp;" · ","")&amp;IF($AN76="","Sin fecha límite"&amp;" · ","")&amp;IF(AND(LEFT($C76,11)="[Jefatura] ",N($AL76)=0),"No se encuentra en la hoja de la jefatura (elíjala de nuevo en la lista)"&amp;" · ","")&amp;IF(OR(AND($E76&lt;&gt;"",NOT(ISNUMBER($E76))),AND($F76&lt;&gt;"",NOT(ISNUMBER($F76))),AND($G76&lt;&gt;"",NOT(ISNUMBER($G76)))),"Fecha no válida"&amp;" · ","")&amp;IF(AND(ISNUMBER($AM76),ISNUMBER($AN76),$AM76&gt;$AN76),"Inicio posterior a fecha límite"&amp;" · ","")&amp;IF(AND($V76="Macro",$H76&lt;&gt;"",OR(NOT(ISNUMBER($H76)),$H76&lt;0,$H76&gt;1)),"Peso fuera de rango"&amp;" · ","")&amp;IF(AND($V76="Sub",$H76&lt;&gt;""),"Las subactividades no llevan peso (valen igual dentro de su macroactividad)"&amp;" · ","")&amp;IF(AND(N($W76)&gt;0,COUNT($I76:$L76)&gt;0),"Con subactividades: deje vacías las semanas (se calculan solas)"&amp;" · ","")&amp;IF((COUNTIF($I76:$L76,"&gt;1")+COUNTIF($I76:$L76,"&lt;0")+COUNTA($I76:$L76)-COUNT($I76:$L76))&gt;0,"Avance fuera de rango 0-100%"&amp;" · ","")&amp;IF(OR(AND($J76&lt;&gt;"",$J76&lt;$I76),AND($K76&lt;&gt;"",$K76&lt;MAX($I76:$J76)),AND($L76&lt;&gt;"",$L76&lt;MAX($I76:$K76))),"Avance semanal decreciente"&amp;" · ","")&amp;IF(AND(ISNUMBER($AN76),$AN76&lt;FechaRef,IF($V76="Sub",N($X76),N($M76))&lt;1),"Vencida"&amp;" · ","")&amp;IF(AND(ObsObligatoria="Sí",ISNUMBER($AN76),$AN76&lt;FechaRef,IF($V76="Sub",N($X76),N($M76))&lt;1,$Q76=""),"Vencida sin observación"&amp;" · ",""))-3)))</f>
        <v/>
      </c>
      <c r="S76" s="64">
        <f>IF(NOT((COUNTA($B76:$D76)+COUNTA($G76:$L76)+COUNTA($Q76))&gt;0),"",IF(AND($V76="Sub",N($U76)&gt;0),IF(ISNUMBER(INDEX($AM$5:$AM$1000,$U76-4)),DATE(YEAR(INDEX($AM$5:$AM$1000,$U76-4)),MONTH(INDEX($AM$5:$AM$1000,$U76-4)),1),IF(ISNUMBER(INDEX($AN$5:$AN$1000,$U76-4)),DATE(YEAR(INDEX($AN$5:$AN$1000,$U76-4)),MONTH(INDEX($AN$5:$AN$1000,$U76-4)),1),MesCiclo)),IF(ISNUMBER($AM76),DATE(YEAR($AM76),MONTH($AM76),1),IF(ISNUMBER($AN76),DATE(YEAR($AN76),MONTH($AN76),1),MesCiclo))))</f>
        <v/>
      </c>
      <c r="T76" s="62">
        <f>IF(OR($S76="",$S76&lt;&gt;MesCiclo,$V76&lt;&gt;"Macro"),"",COUNTIFS($S$5:$S76,MesCiclo,$V$5:$V76,"Macro"))</f>
        <v/>
      </c>
      <c r="U76" s="62">
        <f>IF($V76="","",IF($V76="Macro",ROW(),IFERROR(LOOKUP(2,1/($V$5:$V76="Macro"),ROW($V$5:$V76)),0)))</f>
        <v/>
      </c>
      <c r="V76" s="62">
        <f>IF(NOT((COUNTA($B76:$D76)+COUNTA($G76:$L76)+COUNTA($Q76))&gt;0),"",IF($B76="Subactividad","Sub","Macro"))</f>
        <v/>
      </c>
      <c r="W76" s="62">
        <f>IF($V76="Macro",COUNTIFS($U$5:$U$1000,ROW(),$V$5:$V$1000,"Sub"),"")</f>
        <v/>
      </c>
      <c r="X76" s="62">
        <f>IF($V76="","",IF(ISNUMBER($G76),1,IFERROR(LOOKUP(2,1/($I76:$L76&lt;&gt;""),$I76:$L76),0)))</f>
        <v/>
      </c>
      <c r="Y76" s="62">
        <f>IF($V76="","",IF(AND(ISNUMBER($G76),$G76&lt;=IF($S76=MesCiclo,InicioCiclo,$S76+MOD(2-WEEKDAY($S76),7))+6),1,IF(ISNUMBER($I76),$I76,0)))</f>
        <v/>
      </c>
      <c r="Z76" s="62">
        <f>IF($V76="","",IF(AND(ISNUMBER($G76),$G76&lt;=IF($S76=MesCiclo,InicioCiclo,$S76+MOD(2-WEEKDAY($S76),7))+13),1,IF(ISNUMBER($J76),$J76,$Y76)))</f>
        <v/>
      </c>
      <c r="AA76" s="62">
        <f>IF($V76="","",IF(AND(ISNUMBER($G76),$G76&lt;=IF($S76=MesCiclo,InicioCiclo,$S76+MOD(2-WEEKDAY($S76),7))+20),1,IF(ISNUMBER($K76),$K76,$Z76)))</f>
        <v/>
      </c>
      <c r="AB76" s="62">
        <f>IF($V76="","",IF(AND(ISNUMBER($G76),$G76&lt;=IF($S76=MesCiclo,InicioCiclo,$S76+MOD(2-WEEKDAY($S76),7))+27),1,IF(ISNUMBER($L76),$L76,$AA76)))</f>
        <v/>
      </c>
      <c r="AC76" s="62">
        <f>IF($V76="","",IF(AND(ISNUMBER($G76),$G76&lt;=IF($S76=MesCiclo,InicioCiclo,$S76+MOD(2-WEEKDAY($S76),7))+6),1,IF(N($W76)&gt;0,AVERAGEIFS($Y$5:$Y$1000,$U$5:$U$1000,ROW(),$V$5:$V$1000,"Sub"),$Y76)))</f>
        <v/>
      </c>
      <c r="AD76" s="62">
        <f>IF($V76="","",IF(AND(ISNUMBER($G76),$G76&lt;=IF($S76=MesCiclo,InicioCiclo,$S76+MOD(2-WEEKDAY($S76),7))+13),1,IF(N($W76)&gt;0,AVERAGEIFS($Z$5:$Z$1000,$U$5:$U$1000,ROW(),$V$5:$V$1000,"Sub"),$Z76)))</f>
        <v/>
      </c>
      <c r="AE76" s="62">
        <f>IF($V76="","",IF(AND(ISNUMBER($G76),$G76&lt;=IF($S76=MesCiclo,InicioCiclo,$S76+MOD(2-WEEKDAY($S76),7))+20),1,IF(N($W76)&gt;0,AVERAGEIFS($AA$5:$AA$1000,$U$5:$U$1000,ROW(),$V$5:$V$1000,"Sub"),$AA76)))</f>
        <v/>
      </c>
      <c r="AF76" s="62">
        <f>IF($V76="","",IF(AND(ISNUMBER($G76),$G76&lt;=IF($S76=MesCiclo,InicioCiclo,$S76+MOD(2-WEEKDAY($S76),7))+27),1,IF(N($W76)&gt;0,AVERAGEIFS($AB$5:$AB$1000,$U$5:$U$1000,ROW(),$V$5:$V$1000,"Sub"),$AB76)))</f>
        <v/>
      </c>
      <c r="AG76" s="62">
        <f>IF($V76&lt;&gt;"Macro","",IF(COUNTIFS($S$5:$S$1000,$S76,$V$5:$V$1000,"Macro",$H$5:$H$1000,"&gt;0")=0,1/COUNTIFS($S$5:$S$1000,$S76,$V$5:$V$1000,"Macro"),IF(AND(ISNUMBER($H76),N($H76)&gt;0),$H76,SUMIFS($H$5:$H$1000,$S$5:$S$1000,$S76,$V$5:$V$1000,"Macro")/COUNTIFS($S$5:$S$1000,$S76,$V$5:$V$1000,"Macro",$H$5:$H$1000,"&gt;0"))/(COUNTIFS($S$5:$S$1000,$S76,$V$5:$V$1000,"Macro")*SUMIFS($H$5:$H$1000,$S$5:$S$1000,$S76,$V$5:$V$1000,"Macro")/COUNTIFS($S$5:$S$1000,$S76,$V$5:$V$1000,"Macro",$H$5:$H$1000,"&gt;0"))))</f>
        <v/>
      </c>
      <c r="AH76" s="62" t="n"/>
      <c r="AI76" s="62" t="n"/>
      <c r="AJ76" s="62" t="n"/>
      <c r="AK76" s="62" t="n"/>
      <c r="AL76" s="62">
        <f>IF(LEFT($C76,11)="[Jefatura] ",IFERROR(MATCH("Riesgo Financiero|"&amp;MID($C76,12,500),rDname_ADM,0),0),"")</f>
        <v/>
      </c>
      <c r="AM76" s="62">
        <f>IF(N($AL76)&gt;0,INDEX(rIni_ADM,$AL76),IF(ISNUMBER($E76),$E76,""))</f>
        <v/>
      </c>
      <c r="AN76" s="62">
        <f>IF(N($AL76)&gt;0,INDEX(rLim_ADM,$AL76),IF(ISNUMBER($F76),$F76,""))</f>
        <v/>
      </c>
    </row>
    <row r="77">
      <c r="A77" s="56">
        <f>IF(NOT((COUNTA($B77:$D77)+COUNTA($G77:$L77)+COUNTA($Q77))&gt;0),"",IF($V77="Macro",COUNTIFS($V$5:$V77,"Macro",$S$5:$S77,$S77),IF(N($U77)=0,"?",COUNTIFS(INDEX($V$5:$V$1000,1):INDEX($V$5:$V$1000,$U77-4),"Macro",INDEX($S$5:$S$1000,1):INDEX($S$5:$S$1000,$U77-4),INDEX($S$5:$S$1000,$U77-4))&amp;"."&amp;COUNTIFS($U$5:$U77,$U77,$V$5:$V77,"Sub"))))</f>
        <v/>
      </c>
      <c r="B77" s="57" t="n"/>
      <c r="C77" s="58" t="n"/>
      <c r="D77" s="58" t="n"/>
      <c r="E77" s="59">
        <f>IF(N($AL77)&gt;0,INDEX(rIni_ADM,$AL77),"")</f>
        <v/>
      </c>
      <c r="F77" s="59">
        <f>IF(N($AL77)&gt;0,INDEX(rLim_ADM,$AL77),"")</f>
        <v/>
      </c>
      <c r="G77" s="59" t="n"/>
      <c r="H77" s="60" t="n"/>
      <c r="I77" s="60" t="n"/>
      <c r="J77" s="60" t="n"/>
      <c r="K77" s="60" t="n"/>
      <c r="L77" s="60" t="n"/>
      <c r="M77" s="61">
        <f>IF(NOT((COUNTA($B77:$D77)+COUNTA($G77:$L77)+COUNTA($Q77))&gt;0),"",IF($V77="Sub",IFERROR($X77/INDEX($W$5:$W$1000,$U77-4),""),IF(ISNUMBER($G77),1,IF(N($W77)&gt;0,AVERAGEIFS($X$5:$X$1000,$U$5:$U$1000,ROW(),$V$5:$V$1000,"Sub"),$X77))))</f>
        <v/>
      </c>
      <c r="N77" s="56">
        <f>IF(OR($M77="",$V77="Sub"),"",IF($M77&gt;=1,"Completado",IF($M77&gt;0,"En curso","Pendiente")))</f>
        <v/>
      </c>
      <c r="O77" s="56">
        <f>IF(OR(NOT((COUNTA($B77:$D77)+COUNTA($G77:$L77)+COUNTA($Q77))&gt;0),$V77="Sub"),"",IF(ISNUMBER($G77),IF(AND(ISNUMBER($AN77),$G77&gt;$AN77),"Cumplida con "&amp;($G77-$AN77)&amp;IF($G77-$AN77=1," día"," días")&amp;" de retraso","Cumplida"),IF(N($M77)&gt;=1,"Cumplida",IF(NOT(ISNUMBER($AN77)),"Sin fecha límite",IF($AN77&lt;FechaRef,"Vencida hace "&amp;(FechaRef-$AN77)&amp;IF(FechaRef-$AN77=1," día"," días"),IF($AN77=FechaRef,"Vence hoy",IF($AN77-FechaRef&lt;=DiasAlerta,"Vence en "&amp;($AN77-FechaRef)&amp;IF($AN77-FechaRef=1," día"," días"),"En plazo")))))))</f>
        <v/>
      </c>
      <c r="P77" s="62" t="n"/>
      <c r="Q77" s="58" t="n"/>
      <c r="R77" s="63">
        <f>IF(NOT((COUNTA($B77:$D77)+COUNTA($G77:$L77)+COUNTA($Q77))&gt;0),"",IF((IF($C77="","Falta el nombre de la actividad"&amp;" · ","")&amp;IF(AND($V77="Sub",N($U77)=0),"Subactividad sin macroactividad arriba"&amp;" · ","")&amp;IF($AM77="","Sin fecha de inicio"&amp;" · ","")&amp;IF($AN77="","Sin fecha límite"&amp;" · ","")&amp;IF(AND(LEFT($C77,11)="[Jefatura] ",N($AL77)=0),"No se encuentra en la hoja de la jefatura (elíjala de nuevo en la lista)"&amp;" · ","")&amp;IF(OR(AND($E77&lt;&gt;"",NOT(ISNUMBER($E77))),AND($F77&lt;&gt;"",NOT(ISNUMBER($F77))),AND($G77&lt;&gt;"",NOT(ISNUMBER($G77)))),"Fecha no válida"&amp;" · ","")&amp;IF(AND(ISNUMBER($AM77),ISNUMBER($AN77),$AM77&gt;$AN77),"Inicio posterior a fecha límite"&amp;" · ","")&amp;IF(AND($V77="Macro",$H77&lt;&gt;"",OR(NOT(ISNUMBER($H77)),$H77&lt;0,$H77&gt;1)),"Peso fuera de rango"&amp;" · ","")&amp;IF(AND($V77="Sub",$H77&lt;&gt;""),"Las subactividades no llevan peso (valen igual dentro de su macroactividad)"&amp;" · ","")&amp;IF(AND(N($W77)&gt;0,COUNT($I77:$L77)&gt;0),"Con subactividades: deje vacías las semanas (se calculan solas)"&amp;" · ","")&amp;IF((COUNTIF($I77:$L77,"&gt;1")+COUNTIF($I77:$L77,"&lt;0")+COUNTA($I77:$L77)-COUNT($I77:$L77))&gt;0,"Avance fuera de rango 0-100%"&amp;" · ","")&amp;IF(OR(AND($J77&lt;&gt;"",$J77&lt;$I77),AND($K77&lt;&gt;"",$K77&lt;MAX($I77:$J77)),AND($L77&lt;&gt;"",$L77&lt;MAX($I77:$K77))),"Avance semanal decreciente"&amp;" · ","")&amp;IF(AND(ISNUMBER($AN77),$AN77&lt;FechaRef,IF($V77="Sub",N($X77),N($M77))&lt;1),"Vencida"&amp;" · ","")&amp;IF(AND(ObsObligatoria="Sí",ISNUMBER($AN77),$AN77&lt;FechaRef,IF($V77="Sub",N($X77),N($M77))&lt;1,$Q77=""),"Vencida sin observación"&amp;" · ",""))="","✔ OK","⚠ "&amp;LEFT(IF($C77="","Falta el nombre de la actividad"&amp;" · ","")&amp;IF(AND($V77="Sub",N($U77)=0),"Subactividad sin macroactividad arriba"&amp;" · ","")&amp;IF($AM77="","Sin fecha de inicio"&amp;" · ","")&amp;IF($AN77="","Sin fecha límite"&amp;" · ","")&amp;IF(AND(LEFT($C77,11)="[Jefatura] ",N($AL77)=0),"No se encuentra en la hoja de la jefatura (elíjala de nuevo en la lista)"&amp;" · ","")&amp;IF(OR(AND($E77&lt;&gt;"",NOT(ISNUMBER($E77))),AND($F77&lt;&gt;"",NOT(ISNUMBER($F77))),AND($G77&lt;&gt;"",NOT(ISNUMBER($G77)))),"Fecha no válida"&amp;" · ","")&amp;IF(AND(ISNUMBER($AM77),ISNUMBER($AN77),$AM77&gt;$AN77),"Inicio posterior a fecha límite"&amp;" · ","")&amp;IF(AND($V77="Macro",$H77&lt;&gt;"",OR(NOT(ISNUMBER($H77)),$H77&lt;0,$H77&gt;1)),"Peso fuera de rango"&amp;" · ","")&amp;IF(AND($V77="Sub",$H77&lt;&gt;""),"Las subactividades no llevan peso (valen igual dentro de su macroactividad)"&amp;" · ","")&amp;IF(AND(N($W77)&gt;0,COUNT($I77:$L77)&gt;0),"Con subactividades: deje vacías las semanas (se calculan solas)"&amp;" · ","")&amp;IF((COUNTIF($I77:$L77,"&gt;1")+COUNTIF($I77:$L77,"&lt;0")+COUNTA($I77:$L77)-COUNT($I77:$L77))&gt;0,"Avance fuera de rango 0-100%"&amp;" · ","")&amp;IF(OR(AND($J77&lt;&gt;"",$J77&lt;$I77),AND($K77&lt;&gt;"",$K77&lt;MAX($I77:$J77)),AND($L77&lt;&gt;"",$L77&lt;MAX($I77:$K77))),"Avance semanal decreciente"&amp;" · ","")&amp;IF(AND(ISNUMBER($AN77),$AN77&lt;FechaRef,IF($V77="Sub",N($X77),N($M77))&lt;1),"Vencida"&amp;" · ","")&amp;IF(AND(ObsObligatoria="Sí",ISNUMBER($AN77),$AN77&lt;FechaRef,IF($V77="Sub",N($X77),N($M77))&lt;1,$Q77=""),"Vencida sin observación"&amp;" · ",""),LEN(IF($C77="","Falta el nombre de la actividad"&amp;" · ","")&amp;IF(AND($V77="Sub",N($U77)=0),"Subactividad sin macroactividad arriba"&amp;" · ","")&amp;IF($AM77="","Sin fecha de inicio"&amp;" · ","")&amp;IF($AN77="","Sin fecha límite"&amp;" · ","")&amp;IF(AND(LEFT($C77,11)="[Jefatura] ",N($AL77)=0),"No se encuentra en la hoja de la jefatura (elíjala de nuevo en la lista)"&amp;" · ","")&amp;IF(OR(AND($E77&lt;&gt;"",NOT(ISNUMBER($E77))),AND($F77&lt;&gt;"",NOT(ISNUMBER($F77))),AND($G77&lt;&gt;"",NOT(ISNUMBER($G77)))),"Fecha no válida"&amp;" · ","")&amp;IF(AND(ISNUMBER($AM77),ISNUMBER($AN77),$AM77&gt;$AN77),"Inicio posterior a fecha límite"&amp;" · ","")&amp;IF(AND($V77="Macro",$H77&lt;&gt;"",OR(NOT(ISNUMBER($H77)),$H77&lt;0,$H77&gt;1)),"Peso fuera de rango"&amp;" · ","")&amp;IF(AND($V77="Sub",$H77&lt;&gt;""),"Las subactividades no llevan peso (valen igual dentro de su macroactividad)"&amp;" · ","")&amp;IF(AND(N($W77)&gt;0,COUNT($I77:$L77)&gt;0),"Con subactividades: deje vacías las semanas (se calculan solas)"&amp;" · ","")&amp;IF((COUNTIF($I77:$L77,"&gt;1")+COUNTIF($I77:$L77,"&lt;0")+COUNTA($I77:$L77)-COUNT($I77:$L77))&gt;0,"Avance fuera de rango 0-100%"&amp;" · ","")&amp;IF(OR(AND($J77&lt;&gt;"",$J77&lt;$I77),AND($K77&lt;&gt;"",$K77&lt;MAX($I77:$J77)),AND($L77&lt;&gt;"",$L77&lt;MAX($I77:$K77))),"Avance semanal decreciente"&amp;" · ","")&amp;IF(AND(ISNUMBER($AN77),$AN77&lt;FechaRef,IF($V77="Sub",N($X77),N($M77))&lt;1),"Vencida"&amp;" · ","")&amp;IF(AND(ObsObligatoria="Sí",ISNUMBER($AN77),$AN77&lt;FechaRef,IF($V77="Sub",N($X77),N($M77))&lt;1,$Q77=""),"Vencida sin observación"&amp;" · ",""))-3)))</f>
        <v/>
      </c>
      <c r="S77" s="64">
        <f>IF(NOT((COUNTA($B77:$D77)+COUNTA($G77:$L77)+COUNTA($Q77))&gt;0),"",IF(AND($V77="Sub",N($U77)&gt;0),IF(ISNUMBER(INDEX($AM$5:$AM$1000,$U77-4)),DATE(YEAR(INDEX($AM$5:$AM$1000,$U77-4)),MONTH(INDEX($AM$5:$AM$1000,$U77-4)),1),IF(ISNUMBER(INDEX($AN$5:$AN$1000,$U77-4)),DATE(YEAR(INDEX($AN$5:$AN$1000,$U77-4)),MONTH(INDEX($AN$5:$AN$1000,$U77-4)),1),MesCiclo)),IF(ISNUMBER($AM77),DATE(YEAR($AM77),MONTH($AM77),1),IF(ISNUMBER($AN77),DATE(YEAR($AN77),MONTH($AN77),1),MesCiclo))))</f>
        <v/>
      </c>
      <c r="T77" s="62">
        <f>IF(OR($S77="",$S77&lt;&gt;MesCiclo,$V77&lt;&gt;"Macro"),"",COUNTIFS($S$5:$S77,MesCiclo,$V$5:$V77,"Macro"))</f>
        <v/>
      </c>
      <c r="U77" s="62">
        <f>IF($V77="","",IF($V77="Macro",ROW(),IFERROR(LOOKUP(2,1/($V$5:$V77="Macro"),ROW($V$5:$V77)),0)))</f>
        <v/>
      </c>
      <c r="V77" s="62">
        <f>IF(NOT((COUNTA($B77:$D77)+COUNTA($G77:$L77)+COUNTA($Q77))&gt;0),"",IF($B77="Subactividad","Sub","Macro"))</f>
        <v/>
      </c>
      <c r="W77" s="62">
        <f>IF($V77="Macro",COUNTIFS($U$5:$U$1000,ROW(),$V$5:$V$1000,"Sub"),"")</f>
        <v/>
      </c>
      <c r="X77" s="62">
        <f>IF($V77="","",IF(ISNUMBER($G77),1,IFERROR(LOOKUP(2,1/($I77:$L77&lt;&gt;""),$I77:$L77),0)))</f>
        <v/>
      </c>
      <c r="Y77" s="62">
        <f>IF($V77="","",IF(AND(ISNUMBER($G77),$G77&lt;=IF($S77=MesCiclo,InicioCiclo,$S77+MOD(2-WEEKDAY($S77),7))+6),1,IF(ISNUMBER($I77),$I77,0)))</f>
        <v/>
      </c>
      <c r="Z77" s="62">
        <f>IF($V77="","",IF(AND(ISNUMBER($G77),$G77&lt;=IF($S77=MesCiclo,InicioCiclo,$S77+MOD(2-WEEKDAY($S77),7))+13),1,IF(ISNUMBER($J77),$J77,$Y77)))</f>
        <v/>
      </c>
      <c r="AA77" s="62">
        <f>IF($V77="","",IF(AND(ISNUMBER($G77),$G77&lt;=IF($S77=MesCiclo,InicioCiclo,$S77+MOD(2-WEEKDAY($S77),7))+20),1,IF(ISNUMBER($K77),$K77,$Z77)))</f>
        <v/>
      </c>
      <c r="AB77" s="62">
        <f>IF($V77="","",IF(AND(ISNUMBER($G77),$G77&lt;=IF($S77=MesCiclo,InicioCiclo,$S77+MOD(2-WEEKDAY($S77),7))+27),1,IF(ISNUMBER($L77),$L77,$AA77)))</f>
        <v/>
      </c>
      <c r="AC77" s="62">
        <f>IF($V77="","",IF(AND(ISNUMBER($G77),$G77&lt;=IF($S77=MesCiclo,InicioCiclo,$S77+MOD(2-WEEKDAY($S77),7))+6),1,IF(N($W77)&gt;0,AVERAGEIFS($Y$5:$Y$1000,$U$5:$U$1000,ROW(),$V$5:$V$1000,"Sub"),$Y77)))</f>
        <v/>
      </c>
      <c r="AD77" s="62">
        <f>IF($V77="","",IF(AND(ISNUMBER($G77),$G77&lt;=IF($S77=MesCiclo,InicioCiclo,$S77+MOD(2-WEEKDAY($S77),7))+13),1,IF(N($W77)&gt;0,AVERAGEIFS($Z$5:$Z$1000,$U$5:$U$1000,ROW(),$V$5:$V$1000,"Sub"),$Z77)))</f>
        <v/>
      </c>
      <c r="AE77" s="62">
        <f>IF($V77="","",IF(AND(ISNUMBER($G77),$G77&lt;=IF($S77=MesCiclo,InicioCiclo,$S77+MOD(2-WEEKDAY($S77),7))+20),1,IF(N($W77)&gt;0,AVERAGEIFS($AA$5:$AA$1000,$U$5:$U$1000,ROW(),$V$5:$V$1000,"Sub"),$AA77)))</f>
        <v/>
      </c>
      <c r="AF77" s="62">
        <f>IF($V77="","",IF(AND(ISNUMBER($G77),$G77&lt;=IF($S77=MesCiclo,InicioCiclo,$S77+MOD(2-WEEKDAY($S77),7))+27),1,IF(N($W77)&gt;0,AVERAGEIFS($AB$5:$AB$1000,$U$5:$U$1000,ROW(),$V$5:$V$1000,"Sub"),$AB77)))</f>
        <v/>
      </c>
      <c r="AG77" s="62">
        <f>IF($V77&lt;&gt;"Macro","",IF(COUNTIFS($S$5:$S$1000,$S77,$V$5:$V$1000,"Macro",$H$5:$H$1000,"&gt;0")=0,1/COUNTIFS($S$5:$S$1000,$S77,$V$5:$V$1000,"Macro"),IF(AND(ISNUMBER($H77),N($H77)&gt;0),$H77,SUMIFS($H$5:$H$1000,$S$5:$S$1000,$S77,$V$5:$V$1000,"Macro")/COUNTIFS($S$5:$S$1000,$S77,$V$5:$V$1000,"Macro",$H$5:$H$1000,"&gt;0"))/(COUNTIFS($S$5:$S$1000,$S77,$V$5:$V$1000,"Macro")*SUMIFS($H$5:$H$1000,$S$5:$S$1000,$S77,$V$5:$V$1000,"Macro")/COUNTIFS($S$5:$S$1000,$S77,$V$5:$V$1000,"Macro",$H$5:$H$1000,"&gt;0"))))</f>
        <v/>
      </c>
      <c r="AH77" s="62" t="n"/>
      <c r="AI77" s="62" t="n"/>
      <c r="AJ77" s="62" t="n"/>
      <c r="AK77" s="62" t="n"/>
      <c r="AL77" s="62">
        <f>IF(LEFT($C77,11)="[Jefatura] ",IFERROR(MATCH("Riesgo Financiero|"&amp;MID($C77,12,500),rDname_ADM,0),0),"")</f>
        <v/>
      </c>
      <c r="AM77" s="62">
        <f>IF(N($AL77)&gt;0,INDEX(rIni_ADM,$AL77),IF(ISNUMBER($E77),$E77,""))</f>
        <v/>
      </c>
      <c r="AN77" s="62">
        <f>IF(N($AL77)&gt;0,INDEX(rLim_ADM,$AL77),IF(ISNUMBER($F77),$F77,""))</f>
        <v/>
      </c>
    </row>
    <row r="78">
      <c r="A78" s="56">
        <f>IF(NOT((COUNTA($B78:$D78)+COUNTA($G78:$L78)+COUNTA($Q78))&gt;0),"",IF($V78="Macro",COUNTIFS($V$5:$V78,"Macro",$S$5:$S78,$S78),IF(N($U78)=0,"?",COUNTIFS(INDEX($V$5:$V$1000,1):INDEX($V$5:$V$1000,$U78-4),"Macro",INDEX($S$5:$S$1000,1):INDEX($S$5:$S$1000,$U78-4),INDEX($S$5:$S$1000,$U78-4))&amp;"."&amp;COUNTIFS($U$5:$U78,$U78,$V$5:$V78,"Sub"))))</f>
        <v/>
      </c>
      <c r="B78" s="57" t="n"/>
      <c r="C78" s="58" t="n"/>
      <c r="D78" s="58" t="n"/>
      <c r="E78" s="59">
        <f>IF(N($AL78)&gt;0,INDEX(rIni_ADM,$AL78),"")</f>
        <v/>
      </c>
      <c r="F78" s="59">
        <f>IF(N($AL78)&gt;0,INDEX(rLim_ADM,$AL78),"")</f>
        <v/>
      </c>
      <c r="G78" s="59" t="n"/>
      <c r="H78" s="60" t="n"/>
      <c r="I78" s="60" t="n"/>
      <c r="J78" s="60" t="n"/>
      <c r="K78" s="60" t="n"/>
      <c r="L78" s="60" t="n"/>
      <c r="M78" s="61">
        <f>IF(NOT((COUNTA($B78:$D78)+COUNTA($G78:$L78)+COUNTA($Q78))&gt;0),"",IF($V78="Sub",IFERROR($X78/INDEX($W$5:$W$1000,$U78-4),""),IF(ISNUMBER($G78),1,IF(N($W78)&gt;0,AVERAGEIFS($X$5:$X$1000,$U$5:$U$1000,ROW(),$V$5:$V$1000,"Sub"),$X78))))</f>
        <v/>
      </c>
      <c r="N78" s="56">
        <f>IF(OR($M78="",$V78="Sub"),"",IF($M78&gt;=1,"Completado",IF($M78&gt;0,"En curso","Pendiente")))</f>
        <v/>
      </c>
      <c r="O78" s="56">
        <f>IF(OR(NOT((COUNTA($B78:$D78)+COUNTA($G78:$L78)+COUNTA($Q78))&gt;0),$V78="Sub"),"",IF(ISNUMBER($G78),IF(AND(ISNUMBER($AN78),$G78&gt;$AN78),"Cumplida con "&amp;($G78-$AN78)&amp;IF($G78-$AN78=1," día"," días")&amp;" de retraso","Cumplida"),IF(N($M78)&gt;=1,"Cumplida",IF(NOT(ISNUMBER($AN78)),"Sin fecha límite",IF($AN78&lt;FechaRef,"Vencida hace "&amp;(FechaRef-$AN78)&amp;IF(FechaRef-$AN78=1," día"," días"),IF($AN78=FechaRef,"Vence hoy",IF($AN78-FechaRef&lt;=DiasAlerta,"Vence en "&amp;($AN78-FechaRef)&amp;IF($AN78-FechaRef=1," día"," días"),"En plazo")))))))</f>
        <v/>
      </c>
      <c r="P78" s="62" t="n"/>
      <c r="Q78" s="58" t="n"/>
      <c r="R78" s="63">
        <f>IF(NOT((COUNTA($B78:$D78)+COUNTA($G78:$L78)+COUNTA($Q78))&gt;0),"",IF((IF($C78="","Falta el nombre de la actividad"&amp;" · ","")&amp;IF(AND($V78="Sub",N($U78)=0),"Subactividad sin macroactividad arriba"&amp;" · ","")&amp;IF($AM78="","Sin fecha de inicio"&amp;" · ","")&amp;IF($AN78="","Sin fecha límite"&amp;" · ","")&amp;IF(AND(LEFT($C78,11)="[Jefatura] ",N($AL78)=0),"No se encuentra en la hoja de la jefatura (elíjala de nuevo en la lista)"&amp;" · ","")&amp;IF(OR(AND($E78&lt;&gt;"",NOT(ISNUMBER($E78))),AND($F78&lt;&gt;"",NOT(ISNUMBER($F78))),AND($G78&lt;&gt;"",NOT(ISNUMBER($G78)))),"Fecha no válida"&amp;" · ","")&amp;IF(AND(ISNUMBER($AM78),ISNUMBER($AN78),$AM78&gt;$AN78),"Inicio posterior a fecha límite"&amp;" · ","")&amp;IF(AND($V78="Macro",$H78&lt;&gt;"",OR(NOT(ISNUMBER($H78)),$H78&lt;0,$H78&gt;1)),"Peso fuera de rango"&amp;" · ","")&amp;IF(AND($V78="Sub",$H78&lt;&gt;""),"Las subactividades no llevan peso (valen igual dentro de su macroactividad)"&amp;" · ","")&amp;IF(AND(N($W78)&gt;0,COUNT($I78:$L78)&gt;0),"Con subactividades: deje vacías las semanas (se calculan solas)"&amp;" · ","")&amp;IF((COUNTIF($I78:$L78,"&gt;1")+COUNTIF($I78:$L78,"&lt;0")+COUNTA($I78:$L78)-COUNT($I78:$L78))&gt;0,"Avance fuera de rango 0-100%"&amp;" · ","")&amp;IF(OR(AND($J78&lt;&gt;"",$J78&lt;$I78),AND($K78&lt;&gt;"",$K78&lt;MAX($I78:$J78)),AND($L78&lt;&gt;"",$L78&lt;MAX($I78:$K78))),"Avance semanal decreciente"&amp;" · ","")&amp;IF(AND(ISNUMBER($AN78),$AN78&lt;FechaRef,IF($V78="Sub",N($X78),N($M78))&lt;1),"Vencida"&amp;" · ","")&amp;IF(AND(ObsObligatoria="Sí",ISNUMBER($AN78),$AN78&lt;FechaRef,IF($V78="Sub",N($X78),N($M78))&lt;1,$Q78=""),"Vencida sin observación"&amp;" · ",""))="","✔ OK","⚠ "&amp;LEFT(IF($C78="","Falta el nombre de la actividad"&amp;" · ","")&amp;IF(AND($V78="Sub",N($U78)=0),"Subactividad sin macroactividad arriba"&amp;" · ","")&amp;IF($AM78="","Sin fecha de inicio"&amp;" · ","")&amp;IF($AN78="","Sin fecha límite"&amp;" · ","")&amp;IF(AND(LEFT($C78,11)="[Jefatura] ",N($AL78)=0),"No se encuentra en la hoja de la jefatura (elíjala de nuevo en la lista)"&amp;" · ","")&amp;IF(OR(AND($E78&lt;&gt;"",NOT(ISNUMBER($E78))),AND($F78&lt;&gt;"",NOT(ISNUMBER($F78))),AND($G78&lt;&gt;"",NOT(ISNUMBER($G78)))),"Fecha no válida"&amp;" · ","")&amp;IF(AND(ISNUMBER($AM78),ISNUMBER($AN78),$AM78&gt;$AN78),"Inicio posterior a fecha límite"&amp;" · ","")&amp;IF(AND($V78="Macro",$H78&lt;&gt;"",OR(NOT(ISNUMBER($H78)),$H78&lt;0,$H78&gt;1)),"Peso fuera de rango"&amp;" · ","")&amp;IF(AND($V78="Sub",$H78&lt;&gt;""),"Las subactividades no llevan peso (valen igual dentro de su macroactividad)"&amp;" · ","")&amp;IF(AND(N($W78)&gt;0,COUNT($I78:$L78)&gt;0),"Con subactividades: deje vacías las semanas (se calculan solas)"&amp;" · ","")&amp;IF((COUNTIF($I78:$L78,"&gt;1")+COUNTIF($I78:$L78,"&lt;0")+COUNTA($I78:$L78)-COUNT($I78:$L78))&gt;0,"Avance fuera de rango 0-100%"&amp;" · ","")&amp;IF(OR(AND($J78&lt;&gt;"",$J78&lt;$I78),AND($K78&lt;&gt;"",$K78&lt;MAX($I78:$J78)),AND($L78&lt;&gt;"",$L78&lt;MAX($I78:$K78))),"Avance semanal decreciente"&amp;" · ","")&amp;IF(AND(ISNUMBER($AN78),$AN78&lt;FechaRef,IF($V78="Sub",N($X78),N($M78))&lt;1),"Vencida"&amp;" · ","")&amp;IF(AND(ObsObligatoria="Sí",ISNUMBER($AN78),$AN78&lt;FechaRef,IF($V78="Sub",N($X78),N($M78))&lt;1,$Q78=""),"Vencida sin observación"&amp;" · ",""),LEN(IF($C78="","Falta el nombre de la actividad"&amp;" · ","")&amp;IF(AND($V78="Sub",N($U78)=0),"Subactividad sin macroactividad arriba"&amp;" · ","")&amp;IF($AM78="","Sin fecha de inicio"&amp;" · ","")&amp;IF($AN78="","Sin fecha límite"&amp;" · ","")&amp;IF(AND(LEFT($C78,11)="[Jefatura] ",N($AL78)=0),"No se encuentra en la hoja de la jefatura (elíjala de nuevo en la lista)"&amp;" · ","")&amp;IF(OR(AND($E78&lt;&gt;"",NOT(ISNUMBER($E78))),AND($F78&lt;&gt;"",NOT(ISNUMBER($F78))),AND($G78&lt;&gt;"",NOT(ISNUMBER($G78)))),"Fecha no válida"&amp;" · ","")&amp;IF(AND(ISNUMBER($AM78),ISNUMBER($AN78),$AM78&gt;$AN78),"Inicio posterior a fecha límite"&amp;" · ","")&amp;IF(AND($V78="Macro",$H78&lt;&gt;"",OR(NOT(ISNUMBER($H78)),$H78&lt;0,$H78&gt;1)),"Peso fuera de rango"&amp;" · ","")&amp;IF(AND($V78="Sub",$H78&lt;&gt;""),"Las subactividades no llevan peso (valen igual dentro de su macroactividad)"&amp;" · ","")&amp;IF(AND(N($W78)&gt;0,COUNT($I78:$L78)&gt;0),"Con subactividades: deje vacías las semanas (se calculan solas)"&amp;" · ","")&amp;IF((COUNTIF($I78:$L78,"&gt;1")+COUNTIF($I78:$L78,"&lt;0")+COUNTA($I78:$L78)-COUNT($I78:$L78))&gt;0,"Avance fuera de rango 0-100%"&amp;" · ","")&amp;IF(OR(AND($J78&lt;&gt;"",$J78&lt;$I78),AND($K78&lt;&gt;"",$K78&lt;MAX($I78:$J78)),AND($L78&lt;&gt;"",$L78&lt;MAX($I78:$K78))),"Avance semanal decreciente"&amp;" · ","")&amp;IF(AND(ISNUMBER($AN78),$AN78&lt;FechaRef,IF($V78="Sub",N($X78),N($M78))&lt;1),"Vencida"&amp;" · ","")&amp;IF(AND(ObsObligatoria="Sí",ISNUMBER($AN78),$AN78&lt;FechaRef,IF($V78="Sub",N($X78),N($M78))&lt;1,$Q78=""),"Vencida sin observación"&amp;" · ",""))-3)))</f>
        <v/>
      </c>
      <c r="S78" s="64">
        <f>IF(NOT((COUNTA($B78:$D78)+COUNTA($G78:$L78)+COUNTA($Q78))&gt;0),"",IF(AND($V78="Sub",N($U78)&gt;0),IF(ISNUMBER(INDEX($AM$5:$AM$1000,$U78-4)),DATE(YEAR(INDEX($AM$5:$AM$1000,$U78-4)),MONTH(INDEX($AM$5:$AM$1000,$U78-4)),1),IF(ISNUMBER(INDEX($AN$5:$AN$1000,$U78-4)),DATE(YEAR(INDEX($AN$5:$AN$1000,$U78-4)),MONTH(INDEX($AN$5:$AN$1000,$U78-4)),1),MesCiclo)),IF(ISNUMBER($AM78),DATE(YEAR($AM78),MONTH($AM78),1),IF(ISNUMBER($AN78),DATE(YEAR($AN78),MONTH($AN78),1),MesCiclo))))</f>
        <v/>
      </c>
      <c r="T78" s="62">
        <f>IF(OR($S78="",$S78&lt;&gt;MesCiclo,$V78&lt;&gt;"Macro"),"",COUNTIFS($S$5:$S78,MesCiclo,$V$5:$V78,"Macro"))</f>
        <v/>
      </c>
      <c r="U78" s="62">
        <f>IF($V78="","",IF($V78="Macro",ROW(),IFERROR(LOOKUP(2,1/($V$5:$V78="Macro"),ROW($V$5:$V78)),0)))</f>
        <v/>
      </c>
      <c r="V78" s="62">
        <f>IF(NOT((COUNTA($B78:$D78)+COUNTA($G78:$L78)+COUNTA($Q78))&gt;0),"",IF($B78="Subactividad","Sub","Macro"))</f>
        <v/>
      </c>
      <c r="W78" s="62">
        <f>IF($V78="Macro",COUNTIFS($U$5:$U$1000,ROW(),$V$5:$V$1000,"Sub"),"")</f>
        <v/>
      </c>
      <c r="X78" s="62">
        <f>IF($V78="","",IF(ISNUMBER($G78),1,IFERROR(LOOKUP(2,1/($I78:$L78&lt;&gt;""),$I78:$L78),0)))</f>
        <v/>
      </c>
      <c r="Y78" s="62">
        <f>IF($V78="","",IF(AND(ISNUMBER($G78),$G78&lt;=IF($S78=MesCiclo,InicioCiclo,$S78+MOD(2-WEEKDAY($S78),7))+6),1,IF(ISNUMBER($I78),$I78,0)))</f>
        <v/>
      </c>
      <c r="Z78" s="62">
        <f>IF($V78="","",IF(AND(ISNUMBER($G78),$G78&lt;=IF($S78=MesCiclo,InicioCiclo,$S78+MOD(2-WEEKDAY($S78),7))+13),1,IF(ISNUMBER($J78),$J78,$Y78)))</f>
        <v/>
      </c>
      <c r="AA78" s="62">
        <f>IF($V78="","",IF(AND(ISNUMBER($G78),$G78&lt;=IF($S78=MesCiclo,InicioCiclo,$S78+MOD(2-WEEKDAY($S78),7))+20),1,IF(ISNUMBER($K78),$K78,$Z78)))</f>
        <v/>
      </c>
      <c r="AB78" s="62">
        <f>IF($V78="","",IF(AND(ISNUMBER($G78),$G78&lt;=IF($S78=MesCiclo,InicioCiclo,$S78+MOD(2-WEEKDAY($S78),7))+27),1,IF(ISNUMBER($L78),$L78,$AA78)))</f>
        <v/>
      </c>
      <c r="AC78" s="62">
        <f>IF($V78="","",IF(AND(ISNUMBER($G78),$G78&lt;=IF($S78=MesCiclo,InicioCiclo,$S78+MOD(2-WEEKDAY($S78),7))+6),1,IF(N($W78)&gt;0,AVERAGEIFS($Y$5:$Y$1000,$U$5:$U$1000,ROW(),$V$5:$V$1000,"Sub"),$Y78)))</f>
        <v/>
      </c>
      <c r="AD78" s="62">
        <f>IF($V78="","",IF(AND(ISNUMBER($G78),$G78&lt;=IF($S78=MesCiclo,InicioCiclo,$S78+MOD(2-WEEKDAY($S78),7))+13),1,IF(N($W78)&gt;0,AVERAGEIFS($Z$5:$Z$1000,$U$5:$U$1000,ROW(),$V$5:$V$1000,"Sub"),$Z78)))</f>
        <v/>
      </c>
      <c r="AE78" s="62">
        <f>IF($V78="","",IF(AND(ISNUMBER($G78),$G78&lt;=IF($S78=MesCiclo,InicioCiclo,$S78+MOD(2-WEEKDAY($S78),7))+20),1,IF(N($W78)&gt;0,AVERAGEIFS($AA$5:$AA$1000,$U$5:$U$1000,ROW(),$V$5:$V$1000,"Sub"),$AA78)))</f>
        <v/>
      </c>
      <c r="AF78" s="62">
        <f>IF($V78="","",IF(AND(ISNUMBER($G78),$G78&lt;=IF($S78=MesCiclo,InicioCiclo,$S78+MOD(2-WEEKDAY($S78),7))+27),1,IF(N($W78)&gt;0,AVERAGEIFS($AB$5:$AB$1000,$U$5:$U$1000,ROW(),$V$5:$V$1000,"Sub"),$AB78)))</f>
        <v/>
      </c>
      <c r="AG78" s="62">
        <f>IF($V78&lt;&gt;"Macro","",IF(COUNTIFS($S$5:$S$1000,$S78,$V$5:$V$1000,"Macro",$H$5:$H$1000,"&gt;0")=0,1/COUNTIFS($S$5:$S$1000,$S78,$V$5:$V$1000,"Macro"),IF(AND(ISNUMBER($H78),N($H78)&gt;0),$H78,SUMIFS($H$5:$H$1000,$S$5:$S$1000,$S78,$V$5:$V$1000,"Macro")/COUNTIFS($S$5:$S$1000,$S78,$V$5:$V$1000,"Macro",$H$5:$H$1000,"&gt;0"))/(COUNTIFS($S$5:$S$1000,$S78,$V$5:$V$1000,"Macro")*SUMIFS($H$5:$H$1000,$S$5:$S$1000,$S78,$V$5:$V$1000,"Macro")/COUNTIFS($S$5:$S$1000,$S78,$V$5:$V$1000,"Macro",$H$5:$H$1000,"&gt;0"))))</f>
        <v/>
      </c>
      <c r="AH78" s="62" t="n"/>
      <c r="AI78" s="62" t="n"/>
      <c r="AJ78" s="62" t="n"/>
      <c r="AK78" s="62" t="n"/>
      <c r="AL78" s="62">
        <f>IF(LEFT($C78,11)="[Jefatura] ",IFERROR(MATCH("Riesgo Financiero|"&amp;MID($C78,12,500),rDname_ADM,0),0),"")</f>
        <v/>
      </c>
      <c r="AM78" s="62">
        <f>IF(N($AL78)&gt;0,INDEX(rIni_ADM,$AL78),IF(ISNUMBER($E78),$E78,""))</f>
        <v/>
      </c>
      <c r="AN78" s="62">
        <f>IF(N($AL78)&gt;0,INDEX(rLim_ADM,$AL78),IF(ISNUMBER($F78),$F78,""))</f>
        <v/>
      </c>
    </row>
    <row r="79">
      <c r="A79" s="56">
        <f>IF(NOT((COUNTA($B79:$D79)+COUNTA($G79:$L79)+COUNTA($Q79))&gt;0),"",IF($V79="Macro",COUNTIFS($V$5:$V79,"Macro",$S$5:$S79,$S79),IF(N($U79)=0,"?",COUNTIFS(INDEX($V$5:$V$1000,1):INDEX($V$5:$V$1000,$U79-4),"Macro",INDEX($S$5:$S$1000,1):INDEX($S$5:$S$1000,$U79-4),INDEX($S$5:$S$1000,$U79-4))&amp;"."&amp;COUNTIFS($U$5:$U79,$U79,$V$5:$V79,"Sub"))))</f>
        <v/>
      </c>
      <c r="B79" s="57" t="n"/>
      <c r="C79" s="58" t="n"/>
      <c r="D79" s="58" t="n"/>
      <c r="E79" s="59">
        <f>IF(N($AL79)&gt;0,INDEX(rIni_ADM,$AL79),"")</f>
        <v/>
      </c>
      <c r="F79" s="59">
        <f>IF(N($AL79)&gt;0,INDEX(rLim_ADM,$AL79),"")</f>
        <v/>
      </c>
      <c r="G79" s="59" t="n"/>
      <c r="H79" s="60" t="n"/>
      <c r="I79" s="60" t="n"/>
      <c r="J79" s="60" t="n"/>
      <c r="K79" s="60" t="n"/>
      <c r="L79" s="60" t="n"/>
      <c r="M79" s="61">
        <f>IF(NOT((COUNTA($B79:$D79)+COUNTA($G79:$L79)+COUNTA($Q79))&gt;0),"",IF($V79="Sub",IFERROR($X79/INDEX($W$5:$W$1000,$U79-4),""),IF(ISNUMBER($G79),1,IF(N($W79)&gt;0,AVERAGEIFS($X$5:$X$1000,$U$5:$U$1000,ROW(),$V$5:$V$1000,"Sub"),$X79))))</f>
        <v/>
      </c>
      <c r="N79" s="56">
        <f>IF(OR($M79="",$V79="Sub"),"",IF($M79&gt;=1,"Completado",IF($M79&gt;0,"En curso","Pendiente")))</f>
        <v/>
      </c>
      <c r="O79" s="56">
        <f>IF(OR(NOT((COUNTA($B79:$D79)+COUNTA($G79:$L79)+COUNTA($Q79))&gt;0),$V79="Sub"),"",IF(ISNUMBER($G79),IF(AND(ISNUMBER($AN79),$G79&gt;$AN79),"Cumplida con "&amp;($G79-$AN79)&amp;IF($G79-$AN79=1," día"," días")&amp;" de retraso","Cumplida"),IF(N($M79)&gt;=1,"Cumplida",IF(NOT(ISNUMBER($AN79)),"Sin fecha límite",IF($AN79&lt;FechaRef,"Vencida hace "&amp;(FechaRef-$AN79)&amp;IF(FechaRef-$AN79=1," día"," días"),IF($AN79=FechaRef,"Vence hoy",IF($AN79-FechaRef&lt;=DiasAlerta,"Vence en "&amp;($AN79-FechaRef)&amp;IF($AN79-FechaRef=1," día"," días"),"En plazo")))))))</f>
        <v/>
      </c>
      <c r="P79" s="62" t="n"/>
      <c r="Q79" s="58" t="n"/>
      <c r="R79" s="63">
        <f>IF(NOT((COUNTA($B79:$D79)+COUNTA($G79:$L79)+COUNTA($Q79))&gt;0),"",IF((IF($C79="","Falta el nombre de la actividad"&amp;" · ","")&amp;IF(AND($V79="Sub",N($U79)=0),"Subactividad sin macroactividad arriba"&amp;" · ","")&amp;IF($AM79="","Sin fecha de inicio"&amp;" · ","")&amp;IF($AN79="","Sin fecha límite"&amp;" · ","")&amp;IF(AND(LEFT($C79,11)="[Jefatura] ",N($AL79)=0),"No se encuentra en la hoja de la jefatura (elíjala de nuevo en la lista)"&amp;" · ","")&amp;IF(OR(AND($E79&lt;&gt;"",NOT(ISNUMBER($E79))),AND($F79&lt;&gt;"",NOT(ISNUMBER($F79))),AND($G79&lt;&gt;"",NOT(ISNUMBER($G79)))),"Fecha no válida"&amp;" · ","")&amp;IF(AND(ISNUMBER($AM79),ISNUMBER($AN79),$AM79&gt;$AN79),"Inicio posterior a fecha límite"&amp;" · ","")&amp;IF(AND($V79="Macro",$H79&lt;&gt;"",OR(NOT(ISNUMBER($H79)),$H79&lt;0,$H79&gt;1)),"Peso fuera de rango"&amp;" · ","")&amp;IF(AND($V79="Sub",$H79&lt;&gt;""),"Las subactividades no llevan peso (valen igual dentro de su macroactividad)"&amp;" · ","")&amp;IF(AND(N($W79)&gt;0,COUNT($I79:$L79)&gt;0),"Con subactividades: deje vacías las semanas (se calculan solas)"&amp;" · ","")&amp;IF((COUNTIF($I79:$L79,"&gt;1")+COUNTIF($I79:$L79,"&lt;0")+COUNTA($I79:$L79)-COUNT($I79:$L79))&gt;0,"Avance fuera de rango 0-100%"&amp;" · ","")&amp;IF(OR(AND($J79&lt;&gt;"",$J79&lt;$I79),AND($K79&lt;&gt;"",$K79&lt;MAX($I79:$J79)),AND($L79&lt;&gt;"",$L79&lt;MAX($I79:$K79))),"Avance semanal decreciente"&amp;" · ","")&amp;IF(AND(ISNUMBER($AN79),$AN79&lt;FechaRef,IF($V79="Sub",N($X79),N($M79))&lt;1),"Vencida"&amp;" · ","")&amp;IF(AND(ObsObligatoria="Sí",ISNUMBER($AN79),$AN79&lt;FechaRef,IF($V79="Sub",N($X79),N($M79))&lt;1,$Q79=""),"Vencida sin observación"&amp;" · ",""))="","✔ OK","⚠ "&amp;LEFT(IF($C79="","Falta el nombre de la actividad"&amp;" · ","")&amp;IF(AND($V79="Sub",N($U79)=0),"Subactividad sin macroactividad arriba"&amp;" · ","")&amp;IF($AM79="","Sin fecha de inicio"&amp;" · ","")&amp;IF($AN79="","Sin fecha límite"&amp;" · ","")&amp;IF(AND(LEFT($C79,11)="[Jefatura] ",N($AL79)=0),"No se encuentra en la hoja de la jefatura (elíjala de nuevo en la lista)"&amp;" · ","")&amp;IF(OR(AND($E79&lt;&gt;"",NOT(ISNUMBER($E79))),AND($F79&lt;&gt;"",NOT(ISNUMBER($F79))),AND($G79&lt;&gt;"",NOT(ISNUMBER($G79)))),"Fecha no válida"&amp;" · ","")&amp;IF(AND(ISNUMBER($AM79),ISNUMBER($AN79),$AM79&gt;$AN79),"Inicio posterior a fecha límite"&amp;" · ","")&amp;IF(AND($V79="Macro",$H79&lt;&gt;"",OR(NOT(ISNUMBER($H79)),$H79&lt;0,$H79&gt;1)),"Peso fuera de rango"&amp;" · ","")&amp;IF(AND($V79="Sub",$H79&lt;&gt;""),"Las subactividades no llevan peso (valen igual dentro de su macroactividad)"&amp;" · ","")&amp;IF(AND(N($W79)&gt;0,COUNT($I79:$L79)&gt;0),"Con subactividades: deje vacías las semanas (se calculan solas)"&amp;" · ","")&amp;IF((COUNTIF($I79:$L79,"&gt;1")+COUNTIF($I79:$L79,"&lt;0")+COUNTA($I79:$L79)-COUNT($I79:$L79))&gt;0,"Avance fuera de rango 0-100%"&amp;" · ","")&amp;IF(OR(AND($J79&lt;&gt;"",$J79&lt;$I79),AND($K79&lt;&gt;"",$K79&lt;MAX($I79:$J79)),AND($L79&lt;&gt;"",$L79&lt;MAX($I79:$K79))),"Avance semanal decreciente"&amp;" · ","")&amp;IF(AND(ISNUMBER($AN79),$AN79&lt;FechaRef,IF($V79="Sub",N($X79),N($M79))&lt;1),"Vencida"&amp;" · ","")&amp;IF(AND(ObsObligatoria="Sí",ISNUMBER($AN79),$AN79&lt;FechaRef,IF($V79="Sub",N($X79),N($M79))&lt;1,$Q79=""),"Vencida sin observación"&amp;" · ",""),LEN(IF($C79="","Falta el nombre de la actividad"&amp;" · ","")&amp;IF(AND($V79="Sub",N($U79)=0),"Subactividad sin macroactividad arriba"&amp;" · ","")&amp;IF($AM79="","Sin fecha de inicio"&amp;" · ","")&amp;IF($AN79="","Sin fecha límite"&amp;" · ","")&amp;IF(AND(LEFT($C79,11)="[Jefatura] ",N($AL79)=0),"No se encuentra en la hoja de la jefatura (elíjala de nuevo en la lista)"&amp;" · ","")&amp;IF(OR(AND($E79&lt;&gt;"",NOT(ISNUMBER($E79))),AND($F79&lt;&gt;"",NOT(ISNUMBER($F79))),AND($G79&lt;&gt;"",NOT(ISNUMBER($G79)))),"Fecha no válida"&amp;" · ","")&amp;IF(AND(ISNUMBER($AM79),ISNUMBER($AN79),$AM79&gt;$AN79),"Inicio posterior a fecha límite"&amp;" · ","")&amp;IF(AND($V79="Macro",$H79&lt;&gt;"",OR(NOT(ISNUMBER($H79)),$H79&lt;0,$H79&gt;1)),"Peso fuera de rango"&amp;" · ","")&amp;IF(AND($V79="Sub",$H79&lt;&gt;""),"Las subactividades no llevan peso (valen igual dentro de su macroactividad)"&amp;" · ","")&amp;IF(AND(N($W79)&gt;0,COUNT($I79:$L79)&gt;0),"Con subactividades: deje vacías las semanas (se calculan solas)"&amp;" · ","")&amp;IF((COUNTIF($I79:$L79,"&gt;1")+COUNTIF($I79:$L79,"&lt;0")+COUNTA($I79:$L79)-COUNT($I79:$L79))&gt;0,"Avance fuera de rango 0-100%"&amp;" · ","")&amp;IF(OR(AND($J79&lt;&gt;"",$J79&lt;$I79),AND($K79&lt;&gt;"",$K79&lt;MAX($I79:$J79)),AND($L79&lt;&gt;"",$L79&lt;MAX($I79:$K79))),"Avance semanal decreciente"&amp;" · ","")&amp;IF(AND(ISNUMBER($AN79),$AN79&lt;FechaRef,IF($V79="Sub",N($X79),N($M79))&lt;1),"Vencida"&amp;" · ","")&amp;IF(AND(ObsObligatoria="Sí",ISNUMBER($AN79),$AN79&lt;FechaRef,IF($V79="Sub",N($X79),N($M79))&lt;1,$Q79=""),"Vencida sin observación"&amp;" · ",""))-3)))</f>
        <v/>
      </c>
      <c r="S79" s="64">
        <f>IF(NOT((COUNTA($B79:$D79)+COUNTA($G79:$L79)+COUNTA($Q79))&gt;0),"",IF(AND($V79="Sub",N($U79)&gt;0),IF(ISNUMBER(INDEX($AM$5:$AM$1000,$U79-4)),DATE(YEAR(INDEX($AM$5:$AM$1000,$U79-4)),MONTH(INDEX($AM$5:$AM$1000,$U79-4)),1),IF(ISNUMBER(INDEX($AN$5:$AN$1000,$U79-4)),DATE(YEAR(INDEX($AN$5:$AN$1000,$U79-4)),MONTH(INDEX($AN$5:$AN$1000,$U79-4)),1),MesCiclo)),IF(ISNUMBER($AM79),DATE(YEAR($AM79),MONTH($AM79),1),IF(ISNUMBER($AN79),DATE(YEAR($AN79),MONTH($AN79),1),MesCiclo))))</f>
        <v/>
      </c>
      <c r="T79" s="62">
        <f>IF(OR($S79="",$S79&lt;&gt;MesCiclo,$V79&lt;&gt;"Macro"),"",COUNTIFS($S$5:$S79,MesCiclo,$V$5:$V79,"Macro"))</f>
        <v/>
      </c>
      <c r="U79" s="62">
        <f>IF($V79="","",IF($V79="Macro",ROW(),IFERROR(LOOKUP(2,1/($V$5:$V79="Macro"),ROW($V$5:$V79)),0)))</f>
        <v/>
      </c>
      <c r="V79" s="62">
        <f>IF(NOT((COUNTA($B79:$D79)+COUNTA($G79:$L79)+COUNTA($Q79))&gt;0),"",IF($B79="Subactividad","Sub","Macro"))</f>
        <v/>
      </c>
      <c r="W79" s="62">
        <f>IF($V79="Macro",COUNTIFS($U$5:$U$1000,ROW(),$V$5:$V$1000,"Sub"),"")</f>
        <v/>
      </c>
      <c r="X79" s="62">
        <f>IF($V79="","",IF(ISNUMBER($G79),1,IFERROR(LOOKUP(2,1/($I79:$L79&lt;&gt;""),$I79:$L79),0)))</f>
        <v/>
      </c>
      <c r="Y79" s="62">
        <f>IF($V79="","",IF(AND(ISNUMBER($G79),$G79&lt;=IF($S79=MesCiclo,InicioCiclo,$S79+MOD(2-WEEKDAY($S79),7))+6),1,IF(ISNUMBER($I79),$I79,0)))</f>
        <v/>
      </c>
      <c r="Z79" s="62">
        <f>IF($V79="","",IF(AND(ISNUMBER($G79),$G79&lt;=IF($S79=MesCiclo,InicioCiclo,$S79+MOD(2-WEEKDAY($S79),7))+13),1,IF(ISNUMBER($J79),$J79,$Y79)))</f>
        <v/>
      </c>
      <c r="AA79" s="62">
        <f>IF($V79="","",IF(AND(ISNUMBER($G79),$G79&lt;=IF($S79=MesCiclo,InicioCiclo,$S79+MOD(2-WEEKDAY($S79),7))+20),1,IF(ISNUMBER($K79),$K79,$Z79)))</f>
        <v/>
      </c>
      <c r="AB79" s="62">
        <f>IF($V79="","",IF(AND(ISNUMBER($G79),$G79&lt;=IF($S79=MesCiclo,InicioCiclo,$S79+MOD(2-WEEKDAY($S79),7))+27),1,IF(ISNUMBER($L79),$L79,$AA79)))</f>
        <v/>
      </c>
      <c r="AC79" s="62">
        <f>IF($V79="","",IF(AND(ISNUMBER($G79),$G79&lt;=IF($S79=MesCiclo,InicioCiclo,$S79+MOD(2-WEEKDAY($S79),7))+6),1,IF(N($W79)&gt;0,AVERAGEIFS($Y$5:$Y$1000,$U$5:$U$1000,ROW(),$V$5:$V$1000,"Sub"),$Y79)))</f>
        <v/>
      </c>
      <c r="AD79" s="62">
        <f>IF($V79="","",IF(AND(ISNUMBER($G79),$G79&lt;=IF($S79=MesCiclo,InicioCiclo,$S79+MOD(2-WEEKDAY($S79),7))+13),1,IF(N($W79)&gt;0,AVERAGEIFS($Z$5:$Z$1000,$U$5:$U$1000,ROW(),$V$5:$V$1000,"Sub"),$Z79)))</f>
        <v/>
      </c>
      <c r="AE79" s="62">
        <f>IF($V79="","",IF(AND(ISNUMBER($G79),$G79&lt;=IF($S79=MesCiclo,InicioCiclo,$S79+MOD(2-WEEKDAY($S79),7))+20),1,IF(N($W79)&gt;0,AVERAGEIFS($AA$5:$AA$1000,$U$5:$U$1000,ROW(),$V$5:$V$1000,"Sub"),$AA79)))</f>
        <v/>
      </c>
      <c r="AF79" s="62">
        <f>IF($V79="","",IF(AND(ISNUMBER($G79),$G79&lt;=IF($S79=MesCiclo,InicioCiclo,$S79+MOD(2-WEEKDAY($S79),7))+27),1,IF(N($W79)&gt;0,AVERAGEIFS($AB$5:$AB$1000,$U$5:$U$1000,ROW(),$V$5:$V$1000,"Sub"),$AB79)))</f>
        <v/>
      </c>
      <c r="AG79" s="62">
        <f>IF($V79&lt;&gt;"Macro","",IF(COUNTIFS($S$5:$S$1000,$S79,$V$5:$V$1000,"Macro",$H$5:$H$1000,"&gt;0")=0,1/COUNTIFS($S$5:$S$1000,$S79,$V$5:$V$1000,"Macro"),IF(AND(ISNUMBER($H79),N($H79)&gt;0),$H79,SUMIFS($H$5:$H$1000,$S$5:$S$1000,$S79,$V$5:$V$1000,"Macro")/COUNTIFS($S$5:$S$1000,$S79,$V$5:$V$1000,"Macro",$H$5:$H$1000,"&gt;0"))/(COUNTIFS($S$5:$S$1000,$S79,$V$5:$V$1000,"Macro")*SUMIFS($H$5:$H$1000,$S$5:$S$1000,$S79,$V$5:$V$1000,"Macro")/COUNTIFS($S$5:$S$1000,$S79,$V$5:$V$1000,"Macro",$H$5:$H$1000,"&gt;0"))))</f>
        <v/>
      </c>
      <c r="AH79" s="62" t="n"/>
      <c r="AI79" s="62" t="n"/>
      <c r="AJ79" s="62" t="n"/>
      <c r="AK79" s="62" t="n"/>
      <c r="AL79" s="62">
        <f>IF(LEFT($C79,11)="[Jefatura] ",IFERROR(MATCH("Riesgo Financiero|"&amp;MID($C79,12,500),rDname_ADM,0),0),"")</f>
        <v/>
      </c>
      <c r="AM79" s="62">
        <f>IF(N($AL79)&gt;0,INDEX(rIni_ADM,$AL79),IF(ISNUMBER($E79),$E79,""))</f>
        <v/>
      </c>
      <c r="AN79" s="62">
        <f>IF(N($AL79)&gt;0,INDEX(rLim_ADM,$AL79),IF(ISNUMBER($F79),$F79,""))</f>
        <v/>
      </c>
    </row>
    <row r="80">
      <c r="A80" s="56">
        <f>IF(NOT((COUNTA($B80:$D80)+COUNTA($G80:$L80)+COUNTA($Q80))&gt;0),"",IF($V80="Macro",COUNTIFS($V$5:$V80,"Macro",$S$5:$S80,$S80),IF(N($U80)=0,"?",COUNTIFS(INDEX($V$5:$V$1000,1):INDEX($V$5:$V$1000,$U80-4),"Macro",INDEX($S$5:$S$1000,1):INDEX($S$5:$S$1000,$U80-4),INDEX($S$5:$S$1000,$U80-4))&amp;"."&amp;COUNTIFS($U$5:$U80,$U80,$V$5:$V80,"Sub"))))</f>
        <v/>
      </c>
      <c r="B80" s="57" t="n"/>
      <c r="C80" s="58" t="n"/>
      <c r="D80" s="58" t="n"/>
      <c r="E80" s="59">
        <f>IF(N($AL80)&gt;0,INDEX(rIni_ADM,$AL80),"")</f>
        <v/>
      </c>
      <c r="F80" s="59">
        <f>IF(N($AL80)&gt;0,INDEX(rLim_ADM,$AL80),"")</f>
        <v/>
      </c>
      <c r="G80" s="59" t="n"/>
      <c r="H80" s="60" t="n"/>
      <c r="I80" s="60" t="n"/>
      <c r="J80" s="60" t="n"/>
      <c r="K80" s="60" t="n"/>
      <c r="L80" s="60" t="n"/>
      <c r="M80" s="61">
        <f>IF(NOT((COUNTA($B80:$D80)+COUNTA($G80:$L80)+COUNTA($Q80))&gt;0),"",IF($V80="Sub",IFERROR($X80/INDEX($W$5:$W$1000,$U80-4),""),IF(ISNUMBER($G80),1,IF(N($W80)&gt;0,AVERAGEIFS($X$5:$X$1000,$U$5:$U$1000,ROW(),$V$5:$V$1000,"Sub"),$X80))))</f>
        <v/>
      </c>
      <c r="N80" s="56">
        <f>IF(OR($M80="",$V80="Sub"),"",IF($M80&gt;=1,"Completado",IF($M80&gt;0,"En curso","Pendiente")))</f>
        <v/>
      </c>
      <c r="O80" s="56">
        <f>IF(OR(NOT((COUNTA($B80:$D80)+COUNTA($G80:$L80)+COUNTA($Q80))&gt;0),$V80="Sub"),"",IF(ISNUMBER($G80),IF(AND(ISNUMBER($AN80),$G80&gt;$AN80),"Cumplida con "&amp;($G80-$AN80)&amp;IF($G80-$AN80=1," día"," días")&amp;" de retraso","Cumplida"),IF(N($M80)&gt;=1,"Cumplida",IF(NOT(ISNUMBER($AN80)),"Sin fecha límite",IF($AN80&lt;FechaRef,"Vencida hace "&amp;(FechaRef-$AN80)&amp;IF(FechaRef-$AN80=1," día"," días"),IF($AN80=FechaRef,"Vence hoy",IF($AN80-FechaRef&lt;=DiasAlerta,"Vence en "&amp;($AN80-FechaRef)&amp;IF($AN80-FechaRef=1," día"," días"),"En plazo")))))))</f>
        <v/>
      </c>
      <c r="P80" s="62" t="n"/>
      <c r="Q80" s="58" t="n"/>
      <c r="R80" s="63">
        <f>IF(NOT((COUNTA($B80:$D80)+COUNTA($G80:$L80)+COUNTA($Q80))&gt;0),"",IF((IF($C80="","Falta el nombre de la actividad"&amp;" · ","")&amp;IF(AND($V80="Sub",N($U80)=0),"Subactividad sin macroactividad arriba"&amp;" · ","")&amp;IF($AM80="","Sin fecha de inicio"&amp;" · ","")&amp;IF($AN80="","Sin fecha límite"&amp;" · ","")&amp;IF(AND(LEFT($C80,11)="[Jefatura] ",N($AL80)=0),"No se encuentra en la hoja de la jefatura (elíjala de nuevo en la lista)"&amp;" · ","")&amp;IF(OR(AND($E80&lt;&gt;"",NOT(ISNUMBER($E80))),AND($F80&lt;&gt;"",NOT(ISNUMBER($F80))),AND($G80&lt;&gt;"",NOT(ISNUMBER($G80)))),"Fecha no válida"&amp;" · ","")&amp;IF(AND(ISNUMBER($AM80),ISNUMBER($AN80),$AM80&gt;$AN80),"Inicio posterior a fecha límite"&amp;" · ","")&amp;IF(AND($V80="Macro",$H80&lt;&gt;"",OR(NOT(ISNUMBER($H80)),$H80&lt;0,$H80&gt;1)),"Peso fuera de rango"&amp;" · ","")&amp;IF(AND($V80="Sub",$H80&lt;&gt;""),"Las subactividades no llevan peso (valen igual dentro de su macroactividad)"&amp;" · ","")&amp;IF(AND(N($W80)&gt;0,COUNT($I80:$L80)&gt;0),"Con subactividades: deje vacías las semanas (se calculan solas)"&amp;" · ","")&amp;IF((COUNTIF($I80:$L80,"&gt;1")+COUNTIF($I80:$L80,"&lt;0")+COUNTA($I80:$L80)-COUNT($I80:$L80))&gt;0,"Avance fuera de rango 0-100%"&amp;" · ","")&amp;IF(OR(AND($J80&lt;&gt;"",$J80&lt;$I80),AND($K80&lt;&gt;"",$K80&lt;MAX($I80:$J80)),AND($L80&lt;&gt;"",$L80&lt;MAX($I80:$K80))),"Avance semanal decreciente"&amp;" · ","")&amp;IF(AND(ISNUMBER($AN80),$AN80&lt;FechaRef,IF($V80="Sub",N($X80),N($M80))&lt;1),"Vencida"&amp;" · ","")&amp;IF(AND(ObsObligatoria="Sí",ISNUMBER($AN80),$AN80&lt;FechaRef,IF($V80="Sub",N($X80),N($M80))&lt;1,$Q80=""),"Vencida sin observación"&amp;" · ",""))="","✔ OK","⚠ "&amp;LEFT(IF($C80="","Falta el nombre de la actividad"&amp;" · ","")&amp;IF(AND($V80="Sub",N($U80)=0),"Subactividad sin macroactividad arriba"&amp;" · ","")&amp;IF($AM80="","Sin fecha de inicio"&amp;" · ","")&amp;IF($AN80="","Sin fecha límite"&amp;" · ","")&amp;IF(AND(LEFT($C80,11)="[Jefatura] ",N($AL80)=0),"No se encuentra en la hoja de la jefatura (elíjala de nuevo en la lista)"&amp;" · ","")&amp;IF(OR(AND($E80&lt;&gt;"",NOT(ISNUMBER($E80))),AND($F80&lt;&gt;"",NOT(ISNUMBER($F80))),AND($G80&lt;&gt;"",NOT(ISNUMBER($G80)))),"Fecha no válida"&amp;" · ","")&amp;IF(AND(ISNUMBER($AM80),ISNUMBER($AN80),$AM80&gt;$AN80),"Inicio posterior a fecha límite"&amp;" · ","")&amp;IF(AND($V80="Macro",$H80&lt;&gt;"",OR(NOT(ISNUMBER($H80)),$H80&lt;0,$H80&gt;1)),"Peso fuera de rango"&amp;" · ","")&amp;IF(AND($V80="Sub",$H80&lt;&gt;""),"Las subactividades no llevan peso (valen igual dentro de su macroactividad)"&amp;" · ","")&amp;IF(AND(N($W80)&gt;0,COUNT($I80:$L80)&gt;0),"Con subactividades: deje vacías las semanas (se calculan solas)"&amp;" · ","")&amp;IF((COUNTIF($I80:$L80,"&gt;1")+COUNTIF($I80:$L80,"&lt;0")+COUNTA($I80:$L80)-COUNT($I80:$L80))&gt;0,"Avance fuera de rango 0-100%"&amp;" · ","")&amp;IF(OR(AND($J80&lt;&gt;"",$J80&lt;$I80),AND($K80&lt;&gt;"",$K80&lt;MAX($I80:$J80)),AND($L80&lt;&gt;"",$L80&lt;MAX($I80:$K80))),"Avance semanal decreciente"&amp;" · ","")&amp;IF(AND(ISNUMBER($AN80),$AN80&lt;FechaRef,IF($V80="Sub",N($X80),N($M80))&lt;1),"Vencida"&amp;" · ","")&amp;IF(AND(ObsObligatoria="Sí",ISNUMBER($AN80),$AN80&lt;FechaRef,IF($V80="Sub",N($X80),N($M80))&lt;1,$Q80=""),"Vencida sin observación"&amp;" · ",""),LEN(IF($C80="","Falta el nombre de la actividad"&amp;" · ","")&amp;IF(AND($V80="Sub",N($U80)=0),"Subactividad sin macroactividad arriba"&amp;" · ","")&amp;IF($AM80="","Sin fecha de inicio"&amp;" · ","")&amp;IF($AN80="","Sin fecha límite"&amp;" · ","")&amp;IF(AND(LEFT($C80,11)="[Jefatura] ",N($AL80)=0),"No se encuentra en la hoja de la jefatura (elíjala de nuevo en la lista)"&amp;" · ","")&amp;IF(OR(AND($E80&lt;&gt;"",NOT(ISNUMBER($E80))),AND($F80&lt;&gt;"",NOT(ISNUMBER($F80))),AND($G80&lt;&gt;"",NOT(ISNUMBER($G80)))),"Fecha no válida"&amp;" · ","")&amp;IF(AND(ISNUMBER($AM80),ISNUMBER($AN80),$AM80&gt;$AN80),"Inicio posterior a fecha límite"&amp;" · ","")&amp;IF(AND($V80="Macro",$H80&lt;&gt;"",OR(NOT(ISNUMBER($H80)),$H80&lt;0,$H80&gt;1)),"Peso fuera de rango"&amp;" · ","")&amp;IF(AND($V80="Sub",$H80&lt;&gt;""),"Las subactividades no llevan peso (valen igual dentro de su macroactividad)"&amp;" · ","")&amp;IF(AND(N($W80)&gt;0,COUNT($I80:$L80)&gt;0),"Con subactividades: deje vacías las semanas (se calculan solas)"&amp;" · ","")&amp;IF((COUNTIF($I80:$L80,"&gt;1")+COUNTIF($I80:$L80,"&lt;0")+COUNTA($I80:$L80)-COUNT($I80:$L80))&gt;0,"Avance fuera de rango 0-100%"&amp;" · ","")&amp;IF(OR(AND($J80&lt;&gt;"",$J80&lt;$I80),AND($K80&lt;&gt;"",$K80&lt;MAX($I80:$J80)),AND($L80&lt;&gt;"",$L80&lt;MAX($I80:$K80))),"Avance semanal decreciente"&amp;" · ","")&amp;IF(AND(ISNUMBER($AN80),$AN80&lt;FechaRef,IF($V80="Sub",N($X80),N($M80))&lt;1),"Vencida"&amp;" · ","")&amp;IF(AND(ObsObligatoria="Sí",ISNUMBER($AN80),$AN80&lt;FechaRef,IF($V80="Sub",N($X80),N($M80))&lt;1,$Q80=""),"Vencida sin observación"&amp;" · ",""))-3)))</f>
        <v/>
      </c>
      <c r="S80" s="64">
        <f>IF(NOT((COUNTA($B80:$D80)+COUNTA($G80:$L80)+COUNTA($Q80))&gt;0),"",IF(AND($V80="Sub",N($U80)&gt;0),IF(ISNUMBER(INDEX($AM$5:$AM$1000,$U80-4)),DATE(YEAR(INDEX($AM$5:$AM$1000,$U80-4)),MONTH(INDEX($AM$5:$AM$1000,$U80-4)),1),IF(ISNUMBER(INDEX($AN$5:$AN$1000,$U80-4)),DATE(YEAR(INDEX($AN$5:$AN$1000,$U80-4)),MONTH(INDEX($AN$5:$AN$1000,$U80-4)),1),MesCiclo)),IF(ISNUMBER($AM80),DATE(YEAR($AM80),MONTH($AM80),1),IF(ISNUMBER($AN80),DATE(YEAR($AN80),MONTH($AN80),1),MesCiclo))))</f>
        <v/>
      </c>
      <c r="T80" s="62">
        <f>IF(OR($S80="",$S80&lt;&gt;MesCiclo,$V80&lt;&gt;"Macro"),"",COUNTIFS($S$5:$S80,MesCiclo,$V$5:$V80,"Macro"))</f>
        <v/>
      </c>
      <c r="U80" s="62">
        <f>IF($V80="","",IF($V80="Macro",ROW(),IFERROR(LOOKUP(2,1/($V$5:$V80="Macro"),ROW($V$5:$V80)),0)))</f>
        <v/>
      </c>
      <c r="V80" s="62">
        <f>IF(NOT((COUNTA($B80:$D80)+COUNTA($G80:$L80)+COUNTA($Q80))&gt;0),"",IF($B80="Subactividad","Sub","Macro"))</f>
        <v/>
      </c>
      <c r="W80" s="62">
        <f>IF($V80="Macro",COUNTIFS($U$5:$U$1000,ROW(),$V$5:$V$1000,"Sub"),"")</f>
        <v/>
      </c>
      <c r="X80" s="62">
        <f>IF($V80="","",IF(ISNUMBER($G80),1,IFERROR(LOOKUP(2,1/($I80:$L80&lt;&gt;""),$I80:$L80),0)))</f>
        <v/>
      </c>
      <c r="Y80" s="62">
        <f>IF($V80="","",IF(AND(ISNUMBER($G80),$G80&lt;=IF($S80=MesCiclo,InicioCiclo,$S80+MOD(2-WEEKDAY($S80),7))+6),1,IF(ISNUMBER($I80),$I80,0)))</f>
        <v/>
      </c>
      <c r="Z80" s="62">
        <f>IF($V80="","",IF(AND(ISNUMBER($G80),$G80&lt;=IF($S80=MesCiclo,InicioCiclo,$S80+MOD(2-WEEKDAY($S80),7))+13),1,IF(ISNUMBER($J80),$J80,$Y80)))</f>
        <v/>
      </c>
      <c r="AA80" s="62">
        <f>IF($V80="","",IF(AND(ISNUMBER($G80),$G80&lt;=IF($S80=MesCiclo,InicioCiclo,$S80+MOD(2-WEEKDAY($S80),7))+20),1,IF(ISNUMBER($K80),$K80,$Z80)))</f>
        <v/>
      </c>
      <c r="AB80" s="62">
        <f>IF($V80="","",IF(AND(ISNUMBER($G80),$G80&lt;=IF($S80=MesCiclo,InicioCiclo,$S80+MOD(2-WEEKDAY($S80),7))+27),1,IF(ISNUMBER($L80),$L80,$AA80)))</f>
        <v/>
      </c>
      <c r="AC80" s="62">
        <f>IF($V80="","",IF(AND(ISNUMBER($G80),$G80&lt;=IF($S80=MesCiclo,InicioCiclo,$S80+MOD(2-WEEKDAY($S80),7))+6),1,IF(N($W80)&gt;0,AVERAGEIFS($Y$5:$Y$1000,$U$5:$U$1000,ROW(),$V$5:$V$1000,"Sub"),$Y80)))</f>
        <v/>
      </c>
      <c r="AD80" s="62">
        <f>IF($V80="","",IF(AND(ISNUMBER($G80),$G80&lt;=IF($S80=MesCiclo,InicioCiclo,$S80+MOD(2-WEEKDAY($S80),7))+13),1,IF(N($W80)&gt;0,AVERAGEIFS($Z$5:$Z$1000,$U$5:$U$1000,ROW(),$V$5:$V$1000,"Sub"),$Z80)))</f>
        <v/>
      </c>
      <c r="AE80" s="62">
        <f>IF($V80="","",IF(AND(ISNUMBER($G80),$G80&lt;=IF($S80=MesCiclo,InicioCiclo,$S80+MOD(2-WEEKDAY($S80),7))+20),1,IF(N($W80)&gt;0,AVERAGEIFS($AA$5:$AA$1000,$U$5:$U$1000,ROW(),$V$5:$V$1000,"Sub"),$AA80)))</f>
        <v/>
      </c>
      <c r="AF80" s="62">
        <f>IF($V80="","",IF(AND(ISNUMBER($G80),$G80&lt;=IF($S80=MesCiclo,InicioCiclo,$S80+MOD(2-WEEKDAY($S80),7))+27),1,IF(N($W80)&gt;0,AVERAGEIFS($AB$5:$AB$1000,$U$5:$U$1000,ROW(),$V$5:$V$1000,"Sub"),$AB80)))</f>
        <v/>
      </c>
      <c r="AG80" s="62">
        <f>IF($V80&lt;&gt;"Macro","",IF(COUNTIFS($S$5:$S$1000,$S80,$V$5:$V$1000,"Macro",$H$5:$H$1000,"&gt;0")=0,1/COUNTIFS($S$5:$S$1000,$S80,$V$5:$V$1000,"Macro"),IF(AND(ISNUMBER($H80),N($H80)&gt;0),$H80,SUMIFS($H$5:$H$1000,$S$5:$S$1000,$S80,$V$5:$V$1000,"Macro")/COUNTIFS($S$5:$S$1000,$S80,$V$5:$V$1000,"Macro",$H$5:$H$1000,"&gt;0"))/(COUNTIFS($S$5:$S$1000,$S80,$V$5:$V$1000,"Macro")*SUMIFS($H$5:$H$1000,$S$5:$S$1000,$S80,$V$5:$V$1000,"Macro")/COUNTIFS($S$5:$S$1000,$S80,$V$5:$V$1000,"Macro",$H$5:$H$1000,"&gt;0"))))</f>
        <v/>
      </c>
      <c r="AH80" s="62" t="n"/>
      <c r="AI80" s="62" t="n"/>
      <c r="AJ80" s="62" t="n"/>
      <c r="AK80" s="62" t="n"/>
      <c r="AL80" s="62">
        <f>IF(LEFT($C80,11)="[Jefatura] ",IFERROR(MATCH("Riesgo Financiero|"&amp;MID($C80,12,500),rDname_ADM,0),0),"")</f>
        <v/>
      </c>
      <c r="AM80" s="62">
        <f>IF(N($AL80)&gt;0,INDEX(rIni_ADM,$AL80),IF(ISNUMBER($E80),$E80,""))</f>
        <v/>
      </c>
      <c r="AN80" s="62">
        <f>IF(N($AL80)&gt;0,INDEX(rLim_ADM,$AL80),IF(ISNUMBER($F80),$F80,""))</f>
        <v/>
      </c>
    </row>
    <row r="81">
      <c r="A81" s="56">
        <f>IF(NOT((COUNTA($B81:$D81)+COUNTA($G81:$L81)+COUNTA($Q81))&gt;0),"",IF($V81="Macro",COUNTIFS($V$5:$V81,"Macro",$S$5:$S81,$S81),IF(N($U81)=0,"?",COUNTIFS(INDEX($V$5:$V$1000,1):INDEX($V$5:$V$1000,$U81-4),"Macro",INDEX($S$5:$S$1000,1):INDEX($S$5:$S$1000,$U81-4),INDEX($S$5:$S$1000,$U81-4))&amp;"."&amp;COUNTIFS($U$5:$U81,$U81,$V$5:$V81,"Sub"))))</f>
        <v/>
      </c>
      <c r="B81" s="57" t="n"/>
      <c r="C81" s="58" t="n"/>
      <c r="D81" s="58" t="n"/>
      <c r="E81" s="59">
        <f>IF(N($AL81)&gt;0,INDEX(rIni_ADM,$AL81),"")</f>
        <v/>
      </c>
      <c r="F81" s="59">
        <f>IF(N($AL81)&gt;0,INDEX(rLim_ADM,$AL81),"")</f>
        <v/>
      </c>
      <c r="G81" s="59" t="n"/>
      <c r="H81" s="60" t="n"/>
      <c r="I81" s="60" t="n"/>
      <c r="J81" s="60" t="n"/>
      <c r="K81" s="60" t="n"/>
      <c r="L81" s="60" t="n"/>
      <c r="M81" s="61">
        <f>IF(NOT((COUNTA($B81:$D81)+COUNTA($G81:$L81)+COUNTA($Q81))&gt;0),"",IF($V81="Sub",IFERROR($X81/INDEX($W$5:$W$1000,$U81-4),""),IF(ISNUMBER($G81),1,IF(N($W81)&gt;0,AVERAGEIFS($X$5:$X$1000,$U$5:$U$1000,ROW(),$V$5:$V$1000,"Sub"),$X81))))</f>
        <v/>
      </c>
      <c r="N81" s="56">
        <f>IF(OR($M81="",$V81="Sub"),"",IF($M81&gt;=1,"Completado",IF($M81&gt;0,"En curso","Pendiente")))</f>
        <v/>
      </c>
      <c r="O81" s="56">
        <f>IF(OR(NOT((COUNTA($B81:$D81)+COUNTA($G81:$L81)+COUNTA($Q81))&gt;0),$V81="Sub"),"",IF(ISNUMBER($G81),IF(AND(ISNUMBER($AN81),$G81&gt;$AN81),"Cumplida con "&amp;($G81-$AN81)&amp;IF($G81-$AN81=1," día"," días")&amp;" de retraso","Cumplida"),IF(N($M81)&gt;=1,"Cumplida",IF(NOT(ISNUMBER($AN81)),"Sin fecha límite",IF($AN81&lt;FechaRef,"Vencida hace "&amp;(FechaRef-$AN81)&amp;IF(FechaRef-$AN81=1," día"," días"),IF($AN81=FechaRef,"Vence hoy",IF($AN81-FechaRef&lt;=DiasAlerta,"Vence en "&amp;($AN81-FechaRef)&amp;IF($AN81-FechaRef=1," día"," días"),"En plazo")))))))</f>
        <v/>
      </c>
      <c r="P81" s="62" t="n"/>
      <c r="Q81" s="58" t="n"/>
      <c r="R81" s="63">
        <f>IF(NOT((COUNTA($B81:$D81)+COUNTA($G81:$L81)+COUNTA($Q81))&gt;0),"",IF((IF($C81="","Falta el nombre de la actividad"&amp;" · ","")&amp;IF(AND($V81="Sub",N($U81)=0),"Subactividad sin macroactividad arriba"&amp;" · ","")&amp;IF($AM81="","Sin fecha de inicio"&amp;" · ","")&amp;IF($AN81="","Sin fecha límite"&amp;" · ","")&amp;IF(AND(LEFT($C81,11)="[Jefatura] ",N($AL81)=0),"No se encuentra en la hoja de la jefatura (elíjala de nuevo en la lista)"&amp;" · ","")&amp;IF(OR(AND($E81&lt;&gt;"",NOT(ISNUMBER($E81))),AND($F81&lt;&gt;"",NOT(ISNUMBER($F81))),AND($G81&lt;&gt;"",NOT(ISNUMBER($G81)))),"Fecha no válida"&amp;" · ","")&amp;IF(AND(ISNUMBER($AM81),ISNUMBER($AN81),$AM81&gt;$AN81),"Inicio posterior a fecha límite"&amp;" · ","")&amp;IF(AND($V81="Macro",$H81&lt;&gt;"",OR(NOT(ISNUMBER($H81)),$H81&lt;0,$H81&gt;1)),"Peso fuera de rango"&amp;" · ","")&amp;IF(AND($V81="Sub",$H81&lt;&gt;""),"Las subactividades no llevan peso (valen igual dentro de su macroactividad)"&amp;" · ","")&amp;IF(AND(N($W81)&gt;0,COUNT($I81:$L81)&gt;0),"Con subactividades: deje vacías las semanas (se calculan solas)"&amp;" · ","")&amp;IF((COUNTIF($I81:$L81,"&gt;1")+COUNTIF($I81:$L81,"&lt;0")+COUNTA($I81:$L81)-COUNT($I81:$L81))&gt;0,"Avance fuera de rango 0-100%"&amp;" · ","")&amp;IF(OR(AND($J81&lt;&gt;"",$J81&lt;$I81),AND($K81&lt;&gt;"",$K81&lt;MAX($I81:$J81)),AND($L81&lt;&gt;"",$L81&lt;MAX($I81:$K81))),"Avance semanal decreciente"&amp;" · ","")&amp;IF(AND(ISNUMBER($AN81),$AN81&lt;FechaRef,IF($V81="Sub",N($X81),N($M81))&lt;1),"Vencida"&amp;" · ","")&amp;IF(AND(ObsObligatoria="Sí",ISNUMBER($AN81),$AN81&lt;FechaRef,IF($V81="Sub",N($X81),N($M81))&lt;1,$Q81=""),"Vencida sin observación"&amp;" · ",""))="","✔ OK","⚠ "&amp;LEFT(IF($C81="","Falta el nombre de la actividad"&amp;" · ","")&amp;IF(AND($V81="Sub",N($U81)=0),"Subactividad sin macroactividad arriba"&amp;" · ","")&amp;IF($AM81="","Sin fecha de inicio"&amp;" · ","")&amp;IF($AN81="","Sin fecha límite"&amp;" · ","")&amp;IF(AND(LEFT($C81,11)="[Jefatura] ",N($AL81)=0),"No se encuentra en la hoja de la jefatura (elíjala de nuevo en la lista)"&amp;" · ","")&amp;IF(OR(AND($E81&lt;&gt;"",NOT(ISNUMBER($E81))),AND($F81&lt;&gt;"",NOT(ISNUMBER($F81))),AND($G81&lt;&gt;"",NOT(ISNUMBER($G81)))),"Fecha no válida"&amp;" · ","")&amp;IF(AND(ISNUMBER($AM81),ISNUMBER($AN81),$AM81&gt;$AN81),"Inicio posterior a fecha límite"&amp;" · ","")&amp;IF(AND($V81="Macro",$H81&lt;&gt;"",OR(NOT(ISNUMBER($H81)),$H81&lt;0,$H81&gt;1)),"Peso fuera de rango"&amp;" · ","")&amp;IF(AND($V81="Sub",$H81&lt;&gt;""),"Las subactividades no llevan peso (valen igual dentro de su macroactividad)"&amp;" · ","")&amp;IF(AND(N($W81)&gt;0,COUNT($I81:$L81)&gt;0),"Con subactividades: deje vacías las semanas (se calculan solas)"&amp;" · ","")&amp;IF((COUNTIF($I81:$L81,"&gt;1")+COUNTIF($I81:$L81,"&lt;0")+COUNTA($I81:$L81)-COUNT($I81:$L81))&gt;0,"Avance fuera de rango 0-100%"&amp;" · ","")&amp;IF(OR(AND($J81&lt;&gt;"",$J81&lt;$I81),AND($K81&lt;&gt;"",$K81&lt;MAX($I81:$J81)),AND($L81&lt;&gt;"",$L81&lt;MAX($I81:$K81))),"Avance semanal decreciente"&amp;" · ","")&amp;IF(AND(ISNUMBER($AN81),$AN81&lt;FechaRef,IF($V81="Sub",N($X81),N($M81))&lt;1),"Vencida"&amp;" · ","")&amp;IF(AND(ObsObligatoria="Sí",ISNUMBER($AN81),$AN81&lt;FechaRef,IF($V81="Sub",N($X81),N($M81))&lt;1,$Q81=""),"Vencida sin observación"&amp;" · ",""),LEN(IF($C81="","Falta el nombre de la actividad"&amp;" · ","")&amp;IF(AND($V81="Sub",N($U81)=0),"Subactividad sin macroactividad arriba"&amp;" · ","")&amp;IF($AM81="","Sin fecha de inicio"&amp;" · ","")&amp;IF($AN81="","Sin fecha límite"&amp;" · ","")&amp;IF(AND(LEFT($C81,11)="[Jefatura] ",N($AL81)=0),"No se encuentra en la hoja de la jefatura (elíjala de nuevo en la lista)"&amp;" · ","")&amp;IF(OR(AND($E81&lt;&gt;"",NOT(ISNUMBER($E81))),AND($F81&lt;&gt;"",NOT(ISNUMBER($F81))),AND($G81&lt;&gt;"",NOT(ISNUMBER($G81)))),"Fecha no válida"&amp;" · ","")&amp;IF(AND(ISNUMBER($AM81),ISNUMBER($AN81),$AM81&gt;$AN81),"Inicio posterior a fecha límite"&amp;" · ","")&amp;IF(AND($V81="Macro",$H81&lt;&gt;"",OR(NOT(ISNUMBER($H81)),$H81&lt;0,$H81&gt;1)),"Peso fuera de rango"&amp;" · ","")&amp;IF(AND($V81="Sub",$H81&lt;&gt;""),"Las subactividades no llevan peso (valen igual dentro de su macroactividad)"&amp;" · ","")&amp;IF(AND(N($W81)&gt;0,COUNT($I81:$L81)&gt;0),"Con subactividades: deje vacías las semanas (se calculan solas)"&amp;" · ","")&amp;IF((COUNTIF($I81:$L81,"&gt;1")+COUNTIF($I81:$L81,"&lt;0")+COUNTA($I81:$L81)-COUNT($I81:$L81))&gt;0,"Avance fuera de rango 0-100%"&amp;" · ","")&amp;IF(OR(AND($J81&lt;&gt;"",$J81&lt;$I81),AND($K81&lt;&gt;"",$K81&lt;MAX($I81:$J81)),AND($L81&lt;&gt;"",$L81&lt;MAX($I81:$K81))),"Avance semanal decreciente"&amp;" · ","")&amp;IF(AND(ISNUMBER($AN81),$AN81&lt;FechaRef,IF($V81="Sub",N($X81),N($M81))&lt;1),"Vencida"&amp;" · ","")&amp;IF(AND(ObsObligatoria="Sí",ISNUMBER($AN81),$AN81&lt;FechaRef,IF($V81="Sub",N($X81),N($M81))&lt;1,$Q81=""),"Vencida sin observación"&amp;" · ",""))-3)))</f>
        <v/>
      </c>
      <c r="S81" s="64">
        <f>IF(NOT((COUNTA($B81:$D81)+COUNTA($G81:$L81)+COUNTA($Q81))&gt;0),"",IF(AND($V81="Sub",N($U81)&gt;0),IF(ISNUMBER(INDEX($AM$5:$AM$1000,$U81-4)),DATE(YEAR(INDEX($AM$5:$AM$1000,$U81-4)),MONTH(INDEX($AM$5:$AM$1000,$U81-4)),1),IF(ISNUMBER(INDEX($AN$5:$AN$1000,$U81-4)),DATE(YEAR(INDEX($AN$5:$AN$1000,$U81-4)),MONTH(INDEX($AN$5:$AN$1000,$U81-4)),1),MesCiclo)),IF(ISNUMBER($AM81),DATE(YEAR($AM81),MONTH($AM81),1),IF(ISNUMBER($AN81),DATE(YEAR($AN81),MONTH($AN81),1),MesCiclo))))</f>
        <v/>
      </c>
      <c r="T81" s="62">
        <f>IF(OR($S81="",$S81&lt;&gt;MesCiclo,$V81&lt;&gt;"Macro"),"",COUNTIFS($S$5:$S81,MesCiclo,$V$5:$V81,"Macro"))</f>
        <v/>
      </c>
      <c r="U81" s="62">
        <f>IF($V81="","",IF($V81="Macro",ROW(),IFERROR(LOOKUP(2,1/($V$5:$V81="Macro"),ROW($V$5:$V81)),0)))</f>
        <v/>
      </c>
      <c r="V81" s="62">
        <f>IF(NOT((COUNTA($B81:$D81)+COUNTA($G81:$L81)+COUNTA($Q81))&gt;0),"",IF($B81="Subactividad","Sub","Macro"))</f>
        <v/>
      </c>
      <c r="W81" s="62">
        <f>IF($V81="Macro",COUNTIFS($U$5:$U$1000,ROW(),$V$5:$V$1000,"Sub"),"")</f>
        <v/>
      </c>
      <c r="X81" s="62">
        <f>IF($V81="","",IF(ISNUMBER($G81),1,IFERROR(LOOKUP(2,1/($I81:$L81&lt;&gt;""),$I81:$L81),0)))</f>
        <v/>
      </c>
      <c r="Y81" s="62">
        <f>IF($V81="","",IF(AND(ISNUMBER($G81),$G81&lt;=IF($S81=MesCiclo,InicioCiclo,$S81+MOD(2-WEEKDAY($S81),7))+6),1,IF(ISNUMBER($I81),$I81,0)))</f>
        <v/>
      </c>
      <c r="Z81" s="62">
        <f>IF($V81="","",IF(AND(ISNUMBER($G81),$G81&lt;=IF($S81=MesCiclo,InicioCiclo,$S81+MOD(2-WEEKDAY($S81),7))+13),1,IF(ISNUMBER($J81),$J81,$Y81)))</f>
        <v/>
      </c>
      <c r="AA81" s="62">
        <f>IF($V81="","",IF(AND(ISNUMBER($G81),$G81&lt;=IF($S81=MesCiclo,InicioCiclo,$S81+MOD(2-WEEKDAY($S81),7))+20),1,IF(ISNUMBER($K81),$K81,$Z81)))</f>
        <v/>
      </c>
      <c r="AB81" s="62">
        <f>IF($V81="","",IF(AND(ISNUMBER($G81),$G81&lt;=IF($S81=MesCiclo,InicioCiclo,$S81+MOD(2-WEEKDAY($S81),7))+27),1,IF(ISNUMBER($L81),$L81,$AA81)))</f>
        <v/>
      </c>
      <c r="AC81" s="62">
        <f>IF($V81="","",IF(AND(ISNUMBER($G81),$G81&lt;=IF($S81=MesCiclo,InicioCiclo,$S81+MOD(2-WEEKDAY($S81),7))+6),1,IF(N($W81)&gt;0,AVERAGEIFS($Y$5:$Y$1000,$U$5:$U$1000,ROW(),$V$5:$V$1000,"Sub"),$Y81)))</f>
        <v/>
      </c>
      <c r="AD81" s="62">
        <f>IF($V81="","",IF(AND(ISNUMBER($G81),$G81&lt;=IF($S81=MesCiclo,InicioCiclo,$S81+MOD(2-WEEKDAY($S81),7))+13),1,IF(N($W81)&gt;0,AVERAGEIFS($Z$5:$Z$1000,$U$5:$U$1000,ROW(),$V$5:$V$1000,"Sub"),$Z81)))</f>
        <v/>
      </c>
      <c r="AE81" s="62">
        <f>IF($V81="","",IF(AND(ISNUMBER($G81),$G81&lt;=IF($S81=MesCiclo,InicioCiclo,$S81+MOD(2-WEEKDAY($S81),7))+20),1,IF(N($W81)&gt;0,AVERAGEIFS($AA$5:$AA$1000,$U$5:$U$1000,ROW(),$V$5:$V$1000,"Sub"),$AA81)))</f>
        <v/>
      </c>
      <c r="AF81" s="62">
        <f>IF($V81="","",IF(AND(ISNUMBER($G81),$G81&lt;=IF($S81=MesCiclo,InicioCiclo,$S81+MOD(2-WEEKDAY($S81),7))+27),1,IF(N($W81)&gt;0,AVERAGEIFS($AB$5:$AB$1000,$U$5:$U$1000,ROW(),$V$5:$V$1000,"Sub"),$AB81)))</f>
        <v/>
      </c>
      <c r="AG81" s="62">
        <f>IF($V81&lt;&gt;"Macro","",IF(COUNTIFS($S$5:$S$1000,$S81,$V$5:$V$1000,"Macro",$H$5:$H$1000,"&gt;0")=0,1/COUNTIFS($S$5:$S$1000,$S81,$V$5:$V$1000,"Macro"),IF(AND(ISNUMBER($H81),N($H81)&gt;0),$H81,SUMIFS($H$5:$H$1000,$S$5:$S$1000,$S81,$V$5:$V$1000,"Macro")/COUNTIFS($S$5:$S$1000,$S81,$V$5:$V$1000,"Macro",$H$5:$H$1000,"&gt;0"))/(COUNTIFS($S$5:$S$1000,$S81,$V$5:$V$1000,"Macro")*SUMIFS($H$5:$H$1000,$S$5:$S$1000,$S81,$V$5:$V$1000,"Macro")/COUNTIFS($S$5:$S$1000,$S81,$V$5:$V$1000,"Macro",$H$5:$H$1000,"&gt;0"))))</f>
        <v/>
      </c>
      <c r="AH81" s="62" t="n"/>
      <c r="AI81" s="62" t="n"/>
      <c r="AJ81" s="62" t="n"/>
      <c r="AK81" s="62" t="n"/>
      <c r="AL81" s="62">
        <f>IF(LEFT($C81,11)="[Jefatura] ",IFERROR(MATCH("Riesgo Financiero|"&amp;MID($C81,12,500),rDname_ADM,0),0),"")</f>
        <v/>
      </c>
      <c r="AM81" s="62">
        <f>IF(N($AL81)&gt;0,INDEX(rIni_ADM,$AL81),IF(ISNUMBER($E81),$E81,""))</f>
        <v/>
      </c>
      <c r="AN81" s="62">
        <f>IF(N($AL81)&gt;0,INDEX(rLim_ADM,$AL81),IF(ISNUMBER($F81),$F81,""))</f>
        <v/>
      </c>
    </row>
    <row r="82">
      <c r="A82" s="56">
        <f>IF(NOT((COUNTA($B82:$D82)+COUNTA($G82:$L82)+COUNTA($Q82))&gt;0),"",IF($V82="Macro",COUNTIFS($V$5:$V82,"Macro",$S$5:$S82,$S82),IF(N($U82)=0,"?",COUNTIFS(INDEX($V$5:$V$1000,1):INDEX($V$5:$V$1000,$U82-4),"Macro",INDEX($S$5:$S$1000,1):INDEX($S$5:$S$1000,$U82-4),INDEX($S$5:$S$1000,$U82-4))&amp;"."&amp;COUNTIFS($U$5:$U82,$U82,$V$5:$V82,"Sub"))))</f>
        <v/>
      </c>
      <c r="B82" s="57" t="n"/>
      <c r="C82" s="58" t="n"/>
      <c r="D82" s="58" t="n"/>
      <c r="E82" s="59">
        <f>IF(N($AL82)&gt;0,INDEX(rIni_ADM,$AL82),"")</f>
        <v/>
      </c>
      <c r="F82" s="59">
        <f>IF(N($AL82)&gt;0,INDEX(rLim_ADM,$AL82),"")</f>
        <v/>
      </c>
      <c r="G82" s="59" t="n"/>
      <c r="H82" s="60" t="n"/>
      <c r="I82" s="60" t="n"/>
      <c r="J82" s="60" t="n"/>
      <c r="K82" s="60" t="n"/>
      <c r="L82" s="60" t="n"/>
      <c r="M82" s="61">
        <f>IF(NOT((COUNTA($B82:$D82)+COUNTA($G82:$L82)+COUNTA($Q82))&gt;0),"",IF($V82="Sub",IFERROR($X82/INDEX($W$5:$W$1000,$U82-4),""),IF(ISNUMBER($G82),1,IF(N($W82)&gt;0,AVERAGEIFS($X$5:$X$1000,$U$5:$U$1000,ROW(),$V$5:$V$1000,"Sub"),$X82))))</f>
        <v/>
      </c>
      <c r="N82" s="56">
        <f>IF(OR($M82="",$V82="Sub"),"",IF($M82&gt;=1,"Completado",IF($M82&gt;0,"En curso","Pendiente")))</f>
        <v/>
      </c>
      <c r="O82" s="56">
        <f>IF(OR(NOT((COUNTA($B82:$D82)+COUNTA($G82:$L82)+COUNTA($Q82))&gt;0),$V82="Sub"),"",IF(ISNUMBER($G82),IF(AND(ISNUMBER($AN82),$G82&gt;$AN82),"Cumplida con "&amp;($G82-$AN82)&amp;IF($G82-$AN82=1," día"," días")&amp;" de retraso","Cumplida"),IF(N($M82)&gt;=1,"Cumplida",IF(NOT(ISNUMBER($AN82)),"Sin fecha límite",IF($AN82&lt;FechaRef,"Vencida hace "&amp;(FechaRef-$AN82)&amp;IF(FechaRef-$AN82=1," día"," días"),IF($AN82=FechaRef,"Vence hoy",IF($AN82-FechaRef&lt;=DiasAlerta,"Vence en "&amp;($AN82-FechaRef)&amp;IF($AN82-FechaRef=1," día"," días"),"En plazo")))))))</f>
        <v/>
      </c>
      <c r="P82" s="62" t="n"/>
      <c r="Q82" s="58" t="n"/>
      <c r="R82" s="63">
        <f>IF(NOT((COUNTA($B82:$D82)+COUNTA($G82:$L82)+COUNTA($Q82))&gt;0),"",IF((IF($C82="","Falta el nombre de la actividad"&amp;" · ","")&amp;IF(AND($V82="Sub",N($U82)=0),"Subactividad sin macroactividad arriba"&amp;" · ","")&amp;IF($AM82="","Sin fecha de inicio"&amp;" · ","")&amp;IF($AN82="","Sin fecha límite"&amp;" · ","")&amp;IF(AND(LEFT($C82,11)="[Jefatura] ",N($AL82)=0),"No se encuentra en la hoja de la jefatura (elíjala de nuevo en la lista)"&amp;" · ","")&amp;IF(OR(AND($E82&lt;&gt;"",NOT(ISNUMBER($E82))),AND($F82&lt;&gt;"",NOT(ISNUMBER($F82))),AND($G82&lt;&gt;"",NOT(ISNUMBER($G82)))),"Fecha no válida"&amp;" · ","")&amp;IF(AND(ISNUMBER($AM82),ISNUMBER($AN82),$AM82&gt;$AN82),"Inicio posterior a fecha límite"&amp;" · ","")&amp;IF(AND($V82="Macro",$H82&lt;&gt;"",OR(NOT(ISNUMBER($H82)),$H82&lt;0,$H82&gt;1)),"Peso fuera de rango"&amp;" · ","")&amp;IF(AND($V82="Sub",$H82&lt;&gt;""),"Las subactividades no llevan peso (valen igual dentro de su macroactividad)"&amp;" · ","")&amp;IF(AND(N($W82)&gt;0,COUNT($I82:$L82)&gt;0),"Con subactividades: deje vacías las semanas (se calculan solas)"&amp;" · ","")&amp;IF((COUNTIF($I82:$L82,"&gt;1")+COUNTIF($I82:$L82,"&lt;0")+COUNTA($I82:$L82)-COUNT($I82:$L82))&gt;0,"Avance fuera de rango 0-100%"&amp;" · ","")&amp;IF(OR(AND($J82&lt;&gt;"",$J82&lt;$I82),AND($K82&lt;&gt;"",$K82&lt;MAX($I82:$J82)),AND($L82&lt;&gt;"",$L82&lt;MAX($I82:$K82))),"Avance semanal decreciente"&amp;" · ","")&amp;IF(AND(ISNUMBER($AN82),$AN82&lt;FechaRef,IF($V82="Sub",N($X82),N($M82))&lt;1),"Vencida"&amp;" · ","")&amp;IF(AND(ObsObligatoria="Sí",ISNUMBER($AN82),$AN82&lt;FechaRef,IF($V82="Sub",N($X82),N($M82))&lt;1,$Q82=""),"Vencida sin observación"&amp;" · ",""))="","✔ OK","⚠ "&amp;LEFT(IF($C82="","Falta el nombre de la actividad"&amp;" · ","")&amp;IF(AND($V82="Sub",N($U82)=0),"Subactividad sin macroactividad arriba"&amp;" · ","")&amp;IF($AM82="","Sin fecha de inicio"&amp;" · ","")&amp;IF($AN82="","Sin fecha límite"&amp;" · ","")&amp;IF(AND(LEFT($C82,11)="[Jefatura] ",N($AL82)=0),"No se encuentra en la hoja de la jefatura (elíjala de nuevo en la lista)"&amp;" · ","")&amp;IF(OR(AND($E82&lt;&gt;"",NOT(ISNUMBER($E82))),AND($F82&lt;&gt;"",NOT(ISNUMBER($F82))),AND($G82&lt;&gt;"",NOT(ISNUMBER($G82)))),"Fecha no válida"&amp;" · ","")&amp;IF(AND(ISNUMBER($AM82),ISNUMBER($AN82),$AM82&gt;$AN82),"Inicio posterior a fecha límite"&amp;" · ","")&amp;IF(AND($V82="Macro",$H82&lt;&gt;"",OR(NOT(ISNUMBER($H82)),$H82&lt;0,$H82&gt;1)),"Peso fuera de rango"&amp;" · ","")&amp;IF(AND($V82="Sub",$H82&lt;&gt;""),"Las subactividades no llevan peso (valen igual dentro de su macroactividad)"&amp;" · ","")&amp;IF(AND(N($W82)&gt;0,COUNT($I82:$L82)&gt;0),"Con subactividades: deje vacías las semanas (se calculan solas)"&amp;" · ","")&amp;IF((COUNTIF($I82:$L82,"&gt;1")+COUNTIF($I82:$L82,"&lt;0")+COUNTA($I82:$L82)-COUNT($I82:$L82))&gt;0,"Avance fuera de rango 0-100%"&amp;" · ","")&amp;IF(OR(AND($J82&lt;&gt;"",$J82&lt;$I82),AND($K82&lt;&gt;"",$K82&lt;MAX($I82:$J82)),AND($L82&lt;&gt;"",$L82&lt;MAX($I82:$K82))),"Avance semanal decreciente"&amp;" · ","")&amp;IF(AND(ISNUMBER($AN82),$AN82&lt;FechaRef,IF($V82="Sub",N($X82),N($M82))&lt;1),"Vencida"&amp;" · ","")&amp;IF(AND(ObsObligatoria="Sí",ISNUMBER($AN82),$AN82&lt;FechaRef,IF($V82="Sub",N($X82),N($M82))&lt;1,$Q82=""),"Vencida sin observación"&amp;" · ",""),LEN(IF($C82="","Falta el nombre de la actividad"&amp;" · ","")&amp;IF(AND($V82="Sub",N($U82)=0),"Subactividad sin macroactividad arriba"&amp;" · ","")&amp;IF($AM82="","Sin fecha de inicio"&amp;" · ","")&amp;IF($AN82="","Sin fecha límite"&amp;" · ","")&amp;IF(AND(LEFT($C82,11)="[Jefatura] ",N($AL82)=0),"No se encuentra en la hoja de la jefatura (elíjala de nuevo en la lista)"&amp;" · ","")&amp;IF(OR(AND($E82&lt;&gt;"",NOT(ISNUMBER($E82))),AND($F82&lt;&gt;"",NOT(ISNUMBER($F82))),AND($G82&lt;&gt;"",NOT(ISNUMBER($G82)))),"Fecha no válida"&amp;" · ","")&amp;IF(AND(ISNUMBER($AM82),ISNUMBER($AN82),$AM82&gt;$AN82),"Inicio posterior a fecha límite"&amp;" · ","")&amp;IF(AND($V82="Macro",$H82&lt;&gt;"",OR(NOT(ISNUMBER($H82)),$H82&lt;0,$H82&gt;1)),"Peso fuera de rango"&amp;" · ","")&amp;IF(AND($V82="Sub",$H82&lt;&gt;""),"Las subactividades no llevan peso (valen igual dentro de su macroactividad)"&amp;" · ","")&amp;IF(AND(N($W82)&gt;0,COUNT($I82:$L82)&gt;0),"Con subactividades: deje vacías las semanas (se calculan solas)"&amp;" · ","")&amp;IF((COUNTIF($I82:$L82,"&gt;1")+COUNTIF($I82:$L82,"&lt;0")+COUNTA($I82:$L82)-COUNT($I82:$L82))&gt;0,"Avance fuera de rango 0-100%"&amp;" · ","")&amp;IF(OR(AND($J82&lt;&gt;"",$J82&lt;$I82),AND($K82&lt;&gt;"",$K82&lt;MAX($I82:$J82)),AND($L82&lt;&gt;"",$L82&lt;MAX($I82:$K82))),"Avance semanal decreciente"&amp;" · ","")&amp;IF(AND(ISNUMBER($AN82),$AN82&lt;FechaRef,IF($V82="Sub",N($X82),N($M82))&lt;1),"Vencida"&amp;" · ","")&amp;IF(AND(ObsObligatoria="Sí",ISNUMBER($AN82),$AN82&lt;FechaRef,IF($V82="Sub",N($X82),N($M82))&lt;1,$Q82=""),"Vencida sin observación"&amp;" · ",""))-3)))</f>
        <v/>
      </c>
      <c r="S82" s="64">
        <f>IF(NOT((COUNTA($B82:$D82)+COUNTA($G82:$L82)+COUNTA($Q82))&gt;0),"",IF(AND($V82="Sub",N($U82)&gt;0),IF(ISNUMBER(INDEX($AM$5:$AM$1000,$U82-4)),DATE(YEAR(INDEX($AM$5:$AM$1000,$U82-4)),MONTH(INDEX($AM$5:$AM$1000,$U82-4)),1),IF(ISNUMBER(INDEX($AN$5:$AN$1000,$U82-4)),DATE(YEAR(INDEX($AN$5:$AN$1000,$U82-4)),MONTH(INDEX($AN$5:$AN$1000,$U82-4)),1),MesCiclo)),IF(ISNUMBER($AM82),DATE(YEAR($AM82),MONTH($AM82),1),IF(ISNUMBER($AN82),DATE(YEAR($AN82),MONTH($AN82),1),MesCiclo))))</f>
        <v/>
      </c>
      <c r="T82" s="62">
        <f>IF(OR($S82="",$S82&lt;&gt;MesCiclo,$V82&lt;&gt;"Macro"),"",COUNTIFS($S$5:$S82,MesCiclo,$V$5:$V82,"Macro"))</f>
        <v/>
      </c>
      <c r="U82" s="62">
        <f>IF($V82="","",IF($V82="Macro",ROW(),IFERROR(LOOKUP(2,1/($V$5:$V82="Macro"),ROW($V$5:$V82)),0)))</f>
        <v/>
      </c>
      <c r="V82" s="62">
        <f>IF(NOT((COUNTA($B82:$D82)+COUNTA($G82:$L82)+COUNTA($Q82))&gt;0),"",IF($B82="Subactividad","Sub","Macro"))</f>
        <v/>
      </c>
      <c r="W82" s="62">
        <f>IF($V82="Macro",COUNTIFS($U$5:$U$1000,ROW(),$V$5:$V$1000,"Sub"),"")</f>
        <v/>
      </c>
      <c r="X82" s="62">
        <f>IF($V82="","",IF(ISNUMBER($G82),1,IFERROR(LOOKUP(2,1/($I82:$L82&lt;&gt;""),$I82:$L82),0)))</f>
        <v/>
      </c>
      <c r="Y82" s="62">
        <f>IF($V82="","",IF(AND(ISNUMBER($G82),$G82&lt;=IF($S82=MesCiclo,InicioCiclo,$S82+MOD(2-WEEKDAY($S82),7))+6),1,IF(ISNUMBER($I82),$I82,0)))</f>
        <v/>
      </c>
      <c r="Z82" s="62">
        <f>IF($V82="","",IF(AND(ISNUMBER($G82),$G82&lt;=IF($S82=MesCiclo,InicioCiclo,$S82+MOD(2-WEEKDAY($S82),7))+13),1,IF(ISNUMBER($J82),$J82,$Y82)))</f>
        <v/>
      </c>
      <c r="AA82" s="62">
        <f>IF($V82="","",IF(AND(ISNUMBER($G82),$G82&lt;=IF($S82=MesCiclo,InicioCiclo,$S82+MOD(2-WEEKDAY($S82),7))+20),1,IF(ISNUMBER($K82),$K82,$Z82)))</f>
        <v/>
      </c>
      <c r="AB82" s="62">
        <f>IF($V82="","",IF(AND(ISNUMBER($G82),$G82&lt;=IF($S82=MesCiclo,InicioCiclo,$S82+MOD(2-WEEKDAY($S82),7))+27),1,IF(ISNUMBER($L82),$L82,$AA82)))</f>
        <v/>
      </c>
      <c r="AC82" s="62">
        <f>IF($V82="","",IF(AND(ISNUMBER($G82),$G82&lt;=IF($S82=MesCiclo,InicioCiclo,$S82+MOD(2-WEEKDAY($S82),7))+6),1,IF(N($W82)&gt;0,AVERAGEIFS($Y$5:$Y$1000,$U$5:$U$1000,ROW(),$V$5:$V$1000,"Sub"),$Y82)))</f>
        <v/>
      </c>
      <c r="AD82" s="62">
        <f>IF($V82="","",IF(AND(ISNUMBER($G82),$G82&lt;=IF($S82=MesCiclo,InicioCiclo,$S82+MOD(2-WEEKDAY($S82),7))+13),1,IF(N($W82)&gt;0,AVERAGEIFS($Z$5:$Z$1000,$U$5:$U$1000,ROW(),$V$5:$V$1000,"Sub"),$Z82)))</f>
        <v/>
      </c>
      <c r="AE82" s="62">
        <f>IF($V82="","",IF(AND(ISNUMBER($G82),$G82&lt;=IF($S82=MesCiclo,InicioCiclo,$S82+MOD(2-WEEKDAY($S82),7))+20),1,IF(N($W82)&gt;0,AVERAGEIFS($AA$5:$AA$1000,$U$5:$U$1000,ROW(),$V$5:$V$1000,"Sub"),$AA82)))</f>
        <v/>
      </c>
      <c r="AF82" s="62">
        <f>IF($V82="","",IF(AND(ISNUMBER($G82),$G82&lt;=IF($S82=MesCiclo,InicioCiclo,$S82+MOD(2-WEEKDAY($S82),7))+27),1,IF(N($W82)&gt;0,AVERAGEIFS($AB$5:$AB$1000,$U$5:$U$1000,ROW(),$V$5:$V$1000,"Sub"),$AB82)))</f>
        <v/>
      </c>
      <c r="AG82" s="62">
        <f>IF($V82&lt;&gt;"Macro","",IF(COUNTIFS($S$5:$S$1000,$S82,$V$5:$V$1000,"Macro",$H$5:$H$1000,"&gt;0")=0,1/COUNTIFS($S$5:$S$1000,$S82,$V$5:$V$1000,"Macro"),IF(AND(ISNUMBER($H82),N($H82)&gt;0),$H82,SUMIFS($H$5:$H$1000,$S$5:$S$1000,$S82,$V$5:$V$1000,"Macro")/COUNTIFS($S$5:$S$1000,$S82,$V$5:$V$1000,"Macro",$H$5:$H$1000,"&gt;0"))/(COUNTIFS($S$5:$S$1000,$S82,$V$5:$V$1000,"Macro")*SUMIFS($H$5:$H$1000,$S$5:$S$1000,$S82,$V$5:$V$1000,"Macro")/COUNTIFS($S$5:$S$1000,$S82,$V$5:$V$1000,"Macro",$H$5:$H$1000,"&gt;0"))))</f>
        <v/>
      </c>
      <c r="AH82" s="62" t="n"/>
      <c r="AI82" s="62" t="n"/>
      <c r="AJ82" s="62" t="n"/>
      <c r="AK82" s="62" t="n"/>
      <c r="AL82" s="62">
        <f>IF(LEFT($C82,11)="[Jefatura] ",IFERROR(MATCH("Riesgo Financiero|"&amp;MID($C82,12,500),rDname_ADM,0),0),"")</f>
        <v/>
      </c>
      <c r="AM82" s="62">
        <f>IF(N($AL82)&gt;0,INDEX(rIni_ADM,$AL82),IF(ISNUMBER($E82),$E82,""))</f>
        <v/>
      </c>
      <c r="AN82" s="62">
        <f>IF(N($AL82)&gt;0,INDEX(rLim_ADM,$AL82),IF(ISNUMBER($F82),$F82,""))</f>
        <v/>
      </c>
    </row>
    <row r="83">
      <c r="A83" s="56">
        <f>IF(NOT((COUNTA($B83:$D83)+COUNTA($G83:$L83)+COUNTA($Q83))&gt;0),"",IF($V83="Macro",COUNTIFS($V$5:$V83,"Macro",$S$5:$S83,$S83),IF(N($U83)=0,"?",COUNTIFS(INDEX($V$5:$V$1000,1):INDEX($V$5:$V$1000,$U83-4),"Macro",INDEX($S$5:$S$1000,1):INDEX($S$5:$S$1000,$U83-4),INDEX($S$5:$S$1000,$U83-4))&amp;"."&amp;COUNTIFS($U$5:$U83,$U83,$V$5:$V83,"Sub"))))</f>
        <v/>
      </c>
      <c r="B83" s="57" t="n"/>
      <c r="C83" s="58" t="n"/>
      <c r="D83" s="58" t="n"/>
      <c r="E83" s="59">
        <f>IF(N($AL83)&gt;0,INDEX(rIni_ADM,$AL83),"")</f>
        <v/>
      </c>
      <c r="F83" s="59">
        <f>IF(N($AL83)&gt;0,INDEX(rLim_ADM,$AL83),"")</f>
        <v/>
      </c>
      <c r="G83" s="59" t="n"/>
      <c r="H83" s="60" t="n"/>
      <c r="I83" s="60" t="n"/>
      <c r="J83" s="60" t="n"/>
      <c r="K83" s="60" t="n"/>
      <c r="L83" s="60" t="n"/>
      <c r="M83" s="61">
        <f>IF(NOT((COUNTA($B83:$D83)+COUNTA($G83:$L83)+COUNTA($Q83))&gt;0),"",IF($V83="Sub",IFERROR($X83/INDEX($W$5:$W$1000,$U83-4),""),IF(ISNUMBER($G83),1,IF(N($W83)&gt;0,AVERAGEIFS($X$5:$X$1000,$U$5:$U$1000,ROW(),$V$5:$V$1000,"Sub"),$X83))))</f>
        <v/>
      </c>
      <c r="N83" s="56">
        <f>IF(OR($M83="",$V83="Sub"),"",IF($M83&gt;=1,"Completado",IF($M83&gt;0,"En curso","Pendiente")))</f>
        <v/>
      </c>
      <c r="O83" s="56">
        <f>IF(OR(NOT((COUNTA($B83:$D83)+COUNTA($G83:$L83)+COUNTA($Q83))&gt;0),$V83="Sub"),"",IF(ISNUMBER($G83),IF(AND(ISNUMBER($AN83),$G83&gt;$AN83),"Cumplida con "&amp;($G83-$AN83)&amp;IF($G83-$AN83=1," día"," días")&amp;" de retraso","Cumplida"),IF(N($M83)&gt;=1,"Cumplida",IF(NOT(ISNUMBER($AN83)),"Sin fecha límite",IF($AN83&lt;FechaRef,"Vencida hace "&amp;(FechaRef-$AN83)&amp;IF(FechaRef-$AN83=1," día"," días"),IF($AN83=FechaRef,"Vence hoy",IF($AN83-FechaRef&lt;=DiasAlerta,"Vence en "&amp;($AN83-FechaRef)&amp;IF($AN83-FechaRef=1," día"," días"),"En plazo")))))))</f>
        <v/>
      </c>
      <c r="P83" s="62" t="n"/>
      <c r="Q83" s="58" t="n"/>
      <c r="R83" s="63">
        <f>IF(NOT((COUNTA($B83:$D83)+COUNTA($G83:$L83)+COUNTA($Q83))&gt;0),"",IF((IF($C83="","Falta el nombre de la actividad"&amp;" · ","")&amp;IF(AND($V83="Sub",N($U83)=0),"Subactividad sin macroactividad arriba"&amp;" · ","")&amp;IF($AM83="","Sin fecha de inicio"&amp;" · ","")&amp;IF($AN83="","Sin fecha límite"&amp;" · ","")&amp;IF(AND(LEFT($C83,11)="[Jefatura] ",N($AL83)=0),"No se encuentra en la hoja de la jefatura (elíjala de nuevo en la lista)"&amp;" · ","")&amp;IF(OR(AND($E83&lt;&gt;"",NOT(ISNUMBER($E83))),AND($F83&lt;&gt;"",NOT(ISNUMBER($F83))),AND($G83&lt;&gt;"",NOT(ISNUMBER($G83)))),"Fecha no válida"&amp;" · ","")&amp;IF(AND(ISNUMBER($AM83),ISNUMBER($AN83),$AM83&gt;$AN83),"Inicio posterior a fecha límite"&amp;" · ","")&amp;IF(AND($V83="Macro",$H83&lt;&gt;"",OR(NOT(ISNUMBER($H83)),$H83&lt;0,$H83&gt;1)),"Peso fuera de rango"&amp;" · ","")&amp;IF(AND($V83="Sub",$H83&lt;&gt;""),"Las subactividades no llevan peso (valen igual dentro de su macroactividad)"&amp;" · ","")&amp;IF(AND(N($W83)&gt;0,COUNT($I83:$L83)&gt;0),"Con subactividades: deje vacías las semanas (se calculan solas)"&amp;" · ","")&amp;IF((COUNTIF($I83:$L83,"&gt;1")+COUNTIF($I83:$L83,"&lt;0")+COUNTA($I83:$L83)-COUNT($I83:$L83))&gt;0,"Avance fuera de rango 0-100%"&amp;" · ","")&amp;IF(OR(AND($J83&lt;&gt;"",$J83&lt;$I83),AND($K83&lt;&gt;"",$K83&lt;MAX($I83:$J83)),AND($L83&lt;&gt;"",$L83&lt;MAX($I83:$K83))),"Avance semanal decreciente"&amp;" · ","")&amp;IF(AND(ISNUMBER($AN83),$AN83&lt;FechaRef,IF($V83="Sub",N($X83),N($M83))&lt;1),"Vencida"&amp;" · ","")&amp;IF(AND(ObsObligatoria="Sí",ISNUMBER($AN83),$AN83&lt;FechaRef,IF($V83="Sub",N($X83),N($M83))&lt;1,$Q83=""),"Vencida sin observación"&amp;" · ",""))="","✔ OK","⚠ "&amp;LEFT(IF($C83="","Falta el nombre de la actividad"&amp;" · ","")&amp;IF(AND($V83="Sub",N($U83)=0),"Subactividad sin macroactividad arriba"&amp;" · ","")&amp;IF($AM83="","Sin fecha de inicio"&amp;" · ","")&amp;IF($AN83="","Sin fecha límite"&amp;" · ","")&amp;IF(AND(LEFT($C83,11)="[Jefatura] ",N($AL83)=0),"No se encuentra en la hoja de la jefatura (elíjala de nuevo en la lista)"&amp;" · ","")&amp;IF(OR(AND($E83&lt;&gt;"",NOT(ISNUMBER($E83))),AND($F83&lt;&gt;"",NOT(ISNUMBER($F83))),AND($G83&lt;&gt;"",NOT(ISNUMBER($G83)))),"Fecha no válida"&amp;" · ","")&amp;IF(AND(ISNUMBER($AM83),ISNUMBER($AN83),$AM83&gt;$AN83),"Inicio posterior a fecha límite"&amp;" · ","")&amp;IF(AND($V83="Macro",$H83&lt;&gt;"",OR(NOT(ISNUMBER($H83)),$H83&lt;0,$H83&gt;1)),"Peso fuera de rango"&amp;" · ","")&amp;IF(AND($V83="Sub",$H83&lt;&gt;""),"Las subactividades no llevan peso (valen igual dentro de su macroactividad)"&amp;" · ","")&amp;IF(AND(N($W83)&gt;0,COUNT($I83:$L83)&gt;0),"Con subactividades: deje vacías las semanas (se calculan solas)"&amp;" · ","")&amp;IF((COUNTIF($I83:$L83,"&gt;1")+COUNTIF($I83:$L83,"&lt;0")+COUNTA($I83:$L83)-COUNT($I83:$L83))&gt;0,"Avance fuera de rango 0-100%"&amp;" · ","")&amp;IF(OR(AND($J83&lt;&gt;"",$J83&lt;$I83),AND($K83&lt;&gt;"",$K83&lt;MAX($I83:$J83)),AND($L83&lt;&gt;"",$L83&lt;MAX($I83:$K83))),"Avance semanal decreciente"&amp;" · ","")&amp;IF(AND(ISNUMBER($AN83),$AN83&lt;FechaRef,IF($V83="Sub",N($X83),N($M83))&lt;1),"Vencida"&amp;" · ","")&amp;IF(AND(ObsObligatoria="Sí",ISNUMBER($AN83),$AN83&lt;FechaRef,IF($V83="Sub",N($X83),N($M83))&lt;1,$Q83=""),"Vencida sin observación"&amp;" · ",""),LEN(IF($C83="","Falta el nombre de la actividad"&amp;" · ","")&amp;IF(AND($V83="Sub",N($U83)=0),"Subactividad sin macroactividad arriba"&amp;" · ","")&amp;IF($AM83="","Sin fecha de inicio"&amp;" · ","")&amp;IF($AN83="","Sin fecha límite"&amp;" · ","")&amp;IF(AND(LEFT($C83,11)="[Jefatura] ",N($AL83)=0),"No se encuentra en la hoja de la jefatura (elíjala de nuevo en la lista)"&amp;" · ","")&amp;IF(OR(AND($E83&lt;&gt;"",NOT(ISNUMBER($E83))),AND($F83&lt;&gt;"",NOT(ISNUMBER($F83))),AND($G83&lt;&gt;"",NOT(ISNUMBER($G83)))),"Fecha no válida"&amp;" · ","")&amp;IF(AND(ISNUMBER($AM83),ISNUMBER($AN83),$AM83&gt;$AN83),"Inicio posterior a fecha límite"&amp;" · ","")&amp;IF(AND($V83="Macro",$H83&lt;&gt;"",OR(NOT(ISNUMBER($H83)),$H83&lt;0,$H83&gt;1)),"Peso fuera de rango"&amp;" · ","")&amp;IF(AND($V83="Sub",$H83&lt;&gt;""),"Las subactividades no llevan peso (valen igual dentro de su macroactividad)"&amp;" · ","")&amp;IF(AND(N($W83)&gt;0,COUNT($I83:$L83)&gt;0),"Con subactividades: deje vacías las semanas (se calculan solas)"&amp;" · ","")&amp;IF((COUNTIF($I83:$L83,"&gt;1")+COUNTIF($I83:$L83,"&lt;0")+COUNTA($I83:$L83)-COUNT($I83:$L83))&gt;0,"Avance fuera de rango 0-100%"&amp;" · ","")&amp;IF(OR(AND($J83&lt;&gt;"",$J83&lt;$I83),AND($K83&lt;&gt;"",$K83&lt;MAX($I83:$J83)),AND($L83&lt;&gt;"",$L83&lt;MAX($I83:$K83))),"Avance semanal decreciente"&amp;" · ","")&amp;IF(AND(ISNUMBER($AN83),$AN83&lt;FechaRef,IF($V83="Sub",N($X83),N($M83))&lt;1),"Vencida"&amp;" · ","")&amp;IF(AND(ObsObligatoria="Sí",ISNUMBER($AN83),$AN83&lt;FechaRef,IF($V83="Sub",N($X83),N($M83))&lt;1,$Q83=""),"Vencida sin observación"&amp;" · ",""))-3)))</f>
        <v/>
      </c>
      <c r="S83" s="64">
        <f>IF(NOT((COUNTA($B83:$D83)+COUNTA($G83:$L83)+COUNTA($Q83))&gt;0),"",IF(AND($V83="Sub",N($U83)&gt;0),IF(ISNUMBER(INDEX($AM$5:$AM$1000,$U83-4)),DATE(YEAR(INDEX($AM$5:$AM$1000,$U83-4)),MONTH(INDEX($AM$5:$AM$1000,$U83-4)),1),IF(ISNUMBER(INDEX($AN$5:$AN$1000,$U83-4)),DATE(YEAR(INDEX($AN$5:$AN$1000,$U83-4)),MONTH(INDEX($AN$5:$AN$1000,$U83-4)),1),MesCiclo)),IF(ISNUMBER($AM83),DATE(YEAR($AM83),MONTH($AM83),1),IF(ISNUMBER($AN83),DATE(YEAR($AN83),MONTH($AN83),1),MesCiclo))))</f>
        <v/>
      </c>
      <c r="T83" s="62">
        <f>IF(OR($S83="",$S83&lt;&gt;MesCiclo,$V83&lt;&gt;"Macro"),"",COUNTIFS($S$5:$S83,MesCiclo,$V$5:$V83,"Macro"))</f>
        <v/>
      </c>
      <c r="U83" s="62">
        <f>IF($V83="","",IF($V83="Macro",ROW(),IFERROR(LOOKUP(2,1/($V$5:$V83="Macro"),ROW($V$5:$V83)),0)))</f>
        <v/>
      </c>
      <c r="V83" s="62">
        <f>IF(NOT((COUNTA($B83:$D83)+COUNTA($G83:$L83)+COUNTA($Q83))&gt;0),"",IF($B83="Subactividad","Sub","Macro"))</f>
        <v/>
      </c>
      <c r="W83" s="62">
        <f>IF($V83="Macro",COUNTIFS($U$5:$U$1000,ROW(),$V$5:$V$1000,"Sub"),"")</f>
        <v/>
      </c>
      <c r="X83" s="62">
        <f>IF($V83="","",IF(ISNUMBER($G83),1,IFERROR(LOOKUP(2,1/($I83:$L83&lt;&gt;""),$I83:$L83),0)))</f>
        <v/>
      </c>
      <c r="Y83" s="62">
        <f>IF($V83="","",IF(AND(ISNUMBER($G83),$G83&lt;=IF($S83=MesCiclo,InicioCiclo,$S83+MOD(2-WEEKDAY($S83),7))+6),1,IF(ISNUMBER($I83),$I83,0)))</f>
        <v/>
      </c>
      <c r="Z83" s="62">
        <f>IF($V83="","",IF(AND(ISNUMBER($G83),$G83&lt;=IF($S83=MesCiclo,InicioCiclo,$S83+MOD(2-WEEKDAY($S83),7))+13),1,IF(ISNUMBER($J83),$J83,$Y83)))</f>
        <v/>
      </c>
      <c r="AA83" s="62">
        <f>IF($V83="","",IF(AND(ISNUMBER($G83),$G83&lt;=IF($S83=MesCiclo,InicioCiclo,$S83+MOD(2-WEEKDAY($S83),7))+20),1,IF(ISNUMBER($K83),$K83,$Z83)))</f>
        <v/>
      </c>
      <c r="AB83" s="62">
        <f>IF($V83="","",IF(AND(ISNUMBER($G83),$G83&lt;=IF($S83=MesCiclo,InicioCiclo,$S83+MOD(2-WEEKDAY($S83),7))+27),1,IF(ISNUMBER($L83),$L83,$AA83)))</f>
        <v/>
      </c>
      <c r="AC83" s="62">
        <f>IF($V83="","",IF(AND(ISNUMBER($G83),$G83&lt;=IF($S83=MesCiclo,InicioCiclo,$S83+MOD(2-WEEKDAY($S83),7))+6),1,IF(N($W83)&gt;0,AVERAGEIFS($Y$5:$Y$1000,$U$5:$U$1000,ROW(),$V$5:$V$1000,"Sub"),$Y83)))</f>
        <v/>
      </c>
      <c r="AD83" s="62">
        <f>IF($V83="","",IF(AND(ISNUMBER($G83),$G83&lt;=IF($S83=MesCiclo,InicioCiclo,$S83+MOD(2-WEEKDAY($S83),7))+13),1,IF(N($W83)&gt;0,AVERAGEIFS($Z$5:$Z$1000,$U$5:$U$1000,ROW(),$V$5:$V$1000,"Sub"),$Z83)))</f>
        <v/>
      </c>
      <c r="AE83" s="62">
        <f>IF($V83="","",IF(AND(ISNUMBER($G83),$G83&lt;=IF($S83=MesCiclo,InicioCiclo,$S83+MOD(2-WEEKDAY($S83),7))+20),1,IF(N($W83)&gt;0,AVERAGEIFS($AA$5:$AA$1000,$U$5:$U$1000,ROW(),$V$5:$V$1000,"Sub"),$AA83)))</f>
        <v/>
      </c>
      <c r="AF83" s="62">
        <f>IF($V83="","",IF(AND(ISNUMBER($G83),$G83&lt;=IF($S83=MesCiclo,InicioCiclo,$S83+MOD(2-WEEKDAY($S83),7))+27),1,IF(N($W83)&gt;0,AVERAGEIFS($AB$5:$AB$1000,$U$5:$U$1000,ROW(),$V$5:$V$1000,"Sub"),$AB83)))</f>
        <v/>
      </c>
      <c r="AG83" s="62">
        <f>IF($V83&lt;&gt;"Macro","",IF(COUNTIFS($S$5:$S$1000,$S83,$V$5:$V$1000,"Macro",$H$5:$H$1000,"&gt;0")=0,1/COUNTIFS($S$5:$S$1000,$S83,$V$5:$V$1000,"Macro"),IF(AND(ISNUMBER($H83),N($H83)&gt;0),$H83,SUMIFS($H$5:$H$1000,$S$5:$S$1000,$S83,$V$5:$V$1000,"Macro")/COUNTIFS($S$5:$S$1000,$S83,$V$5:$V$1000,"Macro",$H$5:$H$1000,"&gt;0"))/(COUNTIFS($S$5:$S$1000,$S83,$V$5:$V$1000,"Macro")*SUMIFS($H$5:$H$1000,$S$5:$S$1000,$S83,$V$5:$V$1000,"Macro")/COUNTIFS($S$5:$S$1000,$S83,$V$5:$V$1000,"Macro",$H$5:$H$1000,"&gt;0"))))</f>
        <v/>
      </c>
      <c r="AH83" s="62" t="n"/>
      <c r="AI83" s="62" t="n"/>
      <c r="AJ83" s="62" t="n"/>
      <c r="AK83" s="62" t="n"/>
      <c r="AL83" s="62">
        <f>IF(LEFT($C83,11)="[Jefatura] ",IFERROR(MATCH("Riesgo Financiero|"&amp;MID($C83,12,500),rDname_ADM,0),0),"")</f>
        <v/>
      </c>
      <c r="AM83" s="62">
        <f>IF(N($AL83)&gt;0,INDEX(rIni_ADM,$AL83),IF(ISNUMBER($E83),$E83,""))</f>
        <v/>
      </c>
      <c r="AN83" s="62">
        <f>IF(N($AL83)&gt;0,INDEX(rLim_ADM,$AL83),IF(ISNUMBER($F83),$F83,""))</f>
        <v/>
      </c>
    </row>
    <row r="84">
      <c r="A84" s="56">
        <f>IF(NOT((COUNTA($B84:$D84)+COUNTA($G84:$L84)+COUNTA($Q84))&gt;0),"",IF($V84="Macro",COUNTIFS($V$5:$V84,"Macro",$S$5:$S84,$S84),IF(N($U84)=0,"?",COUNTIFS(INDEX($V$5:$V$1000,1):INDEX($V$5:$V$1000,$U84-4),"Macro",INDEX($S$5:$S$1000,1):INDEX($S$5:$S$1000,$U84-4),INDEX($S$5:$S$1000,$U84-4))&amp;"."&amp;COUNTIFS($U$5:$U84,$U84,$V$5:$V84,"Sub"))))</f>
        <v/>
      </c>
      <c r="B84" s="57" t="n"/>
      <c r="C84" s="58" t="n"/>
      <c r="D84" s="58" t="n"/>
      <c r="E84" s="59">
        <f>IF(N($AL84)&gt;0,INDEX(rIni_ADM,$AL84),"")</f>
        <v/>
      </c>
      <c r="F84" s="59">
        <f>IF(N($AL84)&gt;0,INDEX(rLim_ADM,$AL84),"")</f>
        <v/>
      </c>
      <c r="G84" s="59" t="n"/>
      <c r="H84" s="60" t="n"/>
      <c r="I84" s="60" t="n"/>
      <c r="J84" s="60" t="n"/>
      <c r="K84" s="60" t="n"/>
      <c r="L84" s="60" t="n"/>
      <c r="M84" s="61">
        <f>IF(NOT((COUNTA($B84:$D84)+COUNTA($G84:$L84)+COUNTA($Q84))&gt;0),"",IF($V84="Sub",IFERROR($X84/INDEX($W$5:$W$1000,$U84-4),""),IF(ISNUMBER($G84),1,IF(N($W84)&gt;0,AVERAGEIFS($X$5:$X$1000,$U$5:$U$1000,ROW(),$V$5:$V$1000,"Sub"),$X84))))</f>
        <v/>
      </c>
      <c r="N84" s="56">
        <f>IF(OR($M84="",$V84="Sub"),"",IF($M84&gt;=1,"Completado",IF($M84&gt;0,"En curso","Pendiente")))</f>
        <v/>
      </c>
      <c r="O84" s="56">
        <f>IF(OR(NOT((COUNTA($B84:$D84)+COUNTA($G84:$L84)+COUNTA($Q84))&gt;0),$V84="Sub"),"",IF(ISNUMBER($G84),IF(AND(ISNUMBER($AN84),$G84&gt;$AN84),"Cumplida con "&amp;($G84-$AN84)&amp;IF($G84-$AN84=1," día"," días")&amp;" de retraso","Cumplida"),IF(N($M84)&gt;=1,"Cumplida",IF(NOT(ISNUMBER($AN84)),"Sin fecha límite",IF($AN84&lt;FechaRef,"Vencida hace "&amp;(FechaRef-$AN84)&amp;IF(FechaRef-$AN84=1," día"," días"),IF($AN84=FechaRef,"Vence hoy",IF($AN84-FechaRef&lt;=DiasAlerta,"Vence en "&amp;($AN84-FechaRef)&amp;IF($AN84-FechaRef=1," día"," días"),"En plazo")))))))</f>
        <v/>
      </c>
      <c r="P84" s="62" t="n"/>
      <c r="Q84" s="58" t="n"/>
      <c r="R84" s="63">
        <f>IF(NOT((COUNTA($B84:$D84)+COUNTA($G84:$L84)+COUNTA($Q84))&gt;0),"",IF((IF($C84="","Falta el nombre de la actividad"&amp;" · ","")&amp;IF(AND($V84="Sub",N($U84)=0),"Subactividad sin macroactividad arriba"&amp;" · ","")&amp;IF($AM84="","Sin fecha de inicio"&amp;" · ","")&amp;IF($AN84="","Sin fecha límite"&amp;" · ","")&amp;IF(AND(LEFT($C84,11)="[Jefatura] ",N($AL84)=0),"No se encuentra en la hoja de la jefatura (elíjala de nuevo en la lista)"&amp;" · ","")&amp;IF(OR(AND($E84&lt;&gt;"",NOT(ISNUMBER($E84))),AND($F84&lt;&gt;"",NOT(ISNUMBER($F84))),AND($G84&lt;&gt;"",NOT(ISNUMBER($G84)))),"Fecha no válida"&amp;" · ","")&amp;IF(AND(ISNUMBER($AM84),ISNUMBER($AN84),$AM84&gt;$AN84),"Inicio posterior a fecha límite"&amp;" · ","")&amp;IF(AND($V84="Macro",$H84&lt;&gt;"",OR(NOT(ISNUMBER($H84)),$H84&lt;0,$H84&gt;1)),"Peso fuera de rango"&amp;" · ","")&amp;IF(AND($V84="Sub",$H84&lt;&gt;""),"Las subactividades no llevan peso (valen igual dentro de su macroactividad)"&amp;" · ","")&amp;IF(AND(N($W84)&gt;0,COUNT($I84:$L84)&gt;0),"Con subactividades: deje vacías las semanas (se calculan solas)"&amp;" · ","")&amp;IF((COUNTIF($I84:$L84,"&gt;1")+COUNTIF($I84:$L84,"&lt;0")+COUNTA($I84:$L84)-COUNT($I84:$L84))&gt;0,"Avance fuera de rango 0-100%"&amp;" · ","")&amp;IF(OR(AND($J84&lt;&gt;"",$J84&lt;$I84),AND($K84&lt;&gt;"",$K84&lt;MAX($I84:$J84)),AND($L84&lt;&gt;"",$L84&lt;MAX($I84:$K84))),"Avance semanal decreciente"&amp;" · ","")&amp;IF(AND(ISNUMBER($AN84),$AN84&lt;FechaRef,IF($V84="Sub",N($X84),N($M84))&lt;1),"Vencida"&amp;" · ","")&amp;IF(AND(ObsObligatoria="Sí",ISNUMBER($AN84),$AN84&lt;FechaRef,IF($V84="Sub",N($X84),N($M84))&lt;1,$Q84=""),"Vencida sin observación"&amp;" · ",""))="","✔ OK","⚠ "&amp;LEFT(IF($C84="","Falta el nombre de la actividad"&amp;" · ","")&amp;IF(AND($V84="Sub",N($U84)=0),"Subactividad sin macroactividad arriba"&amp;" · ","")&amp;IF($AM84="","Sin fecha de inicio"&amp;" · ","")&amp;IF($AN84="","Sin fecha límite"&amp;" · ","")&amp;IF(AND(LEFT($C84,11)="[Jefatura] ",N($AL84)=0),"No se encuentra en la hoja de la jefatura (elíjala de nuevo en la lista)"&amp;" · ","")&amp;IF(OR(AND($E84&lt;&gt;"",NOT(ISNUMBER($E84))),AND($F84&lt;&gt;"",NOT(ISNUMBER($F84))),AND($G84&lt;&gt;"",NOT(ISNUMBER($G84)))),"Fecha no válida"&amp;" · ","")&amp;IF(AND(ISNUMBER($AM84),ISNUMBER($AN84),$AM84&gt;$AN84),"Inicio posterior a fecha límite"&amp;" · ","")&amp;IF(AND($V84="Macro",$H84&lt;&gt;"",OR(NOT(ISNUMBER($H84)),$H84&lt;0,$H84&gt;1)),"Peso fuera de rango"&amp;" · ","")&amp;IF(AND($V84="Sub",$H84&lt;&gt;""),"Las subactividades no llevan peso (valen igual dentro de su macroactividad)"&amp;" · ","")&amp;IF(AND(N($W84)&gt;0,COUNT($I84:$L84)&gt;0),"Con subactividades: deje vacías las semanas (se calculan solas)"&amp;" · ","")&amp;IF((COUNTIF($I84:$L84,"&gt;1")+COUNTIF($I84:$L84,"&lt;0")+COUNTA($I84:$L84)-COUNT($I84:$L84))&gt;0,"Avance fuera de rango 0-100%"&amp;" · ","")&amp;IF(OR(AND($J84&lt;&gt;"",$J84&lt;$I84),AND($K84&lt;&gt;"",$K84&lt;MAX($I84:$J84)),AND($L84&lt;&gt;"",$L84&lt;MAX($I84:$K84))),"Avance semanal decreciente"&amp;" · ","")&amp;IF(AND(ISNUMBER($AN84),$AN84&lt;FechaRef,IF($V84="Sub",N($X84),N($M84))&lt;1),"Vencida"&amp;" · ","")&amp;IF(AND(ObsObligatoria="Sí",ISNUMBER($AN84),$AN84&lt;FechaRef,IF($V84="Sub",N($X84),N($M84))&lt;1,$Q84=""),"Vencida sin observación"&amp;" · ",""),LEN(IF($C84="","Falta el nombre de la actividad"&amp;" · ","")&amp;IF(AND($V84="Sub",N($U84)=0),"Subactividad sin macroactividad arriba"&amp;" · ","")&amp;IF($AM84="","Sin fecha de inicio"&amp;" · ","")&amp;IF($AN84="","Sin fecha límite"&amp;" · ","")&amp;IF(AND(LEFT($C84,11)="[Jefatura] ",N($AL84)=0),"No se encuentra en la hoja de la jefatura (elíjala de nuevo en la lista)"&amp;" · ","")&amp;IF(OR(AND($E84&lt;&gt;"",NOT(ISNUMBER($E84))),AND($F84&lt;&gt;"",NOT(ISNUMBER($F84))),AND($G84&lt;&gt;"",NOT(ISNUMBER($G84)))),"Fecha no válida"&amp;" · ","")&amp;IF(AND(ISNUMBER($AM84),ISNUMBER($AN84),$AM84&gt;$AN84),"Inicio posterior a fecha límite"&amp;" · ","")&amp;IF(AND($V84="Macro",$H84&lt;&gt;"",OR(NOT(ISNUMBER($H84)),$H84&lt;0,$H84&gt;1)),"Peso fuera de rango"&amp;" · ","")&amp;IF(AND($V84="Sub",$H84&lt;&gt;""),"Las subactividades no llevan peso (valen igual dentro de su macroactividad)"&amp;" · ","")&amp;IF(AND(N($W84)&gt;0,COUNT($I84:$L84)&gt;0),"Con subactividades: deje vacías las semanas (se calculan solas)"&amp;" · ","")&amp;IF((COUNTIF($I84:$L84,"&gt;1")+COUNTIF($I84:$L84,"&lt;0")+COUNTA($I84:$L84)-COUNT($I84:$L84))&gt;0,"Avance fuera de rango 0-100%"&amp;" · ","")&amp;IF(OR(AND($J84&lt;&gt;"",$J84&lt;$I84),AND($K84&lt;&gt;"",$K84&lt;MAX($I84:$J84)),AND($L84&lt;&gt;"",$L84&lt;MAX($I84:$K84))),"Avance semanal decreciente"&amp;" · ","")&amp;IF(AND(ISNUMBER($AN84),$AN84&lt;FechaRef,IF($V84="Sub",N($X84),N($M84))&lt;1),"Vencida"&amp;" · ","")&amp;IF(AND(ObsObligatoria="Sí",ISNUMBER($AN84),$AN84&lt;FechaRef,IF($V84="Sub",N($X84),N($M84))&lt;1,$Q84=""),"Vencida sin observación"&amp;" · ",""))-3)))</f>
        <v/>
      </c>
      <c r="S84" s="64">
        <f>IF(NOT((COUNTA($B84:$D84)+COUNTA($G84:$L84)+COUNTA($Q84))&gt;0),"",IF(AND($V84="Sub",N($U84)&gt;0),IF(ISNUMBER(INDEX($AM$5:$AM$1000,$U84-4)),DATE(YEAR(INDEX($AM$5:$AM$1000,$U84-4)),MONTH(INDEX($AM$5:$AM$1000,$U84-4)),1),IF(ISNUMBER(INDEX($AN$5:$AN$1000,$U84-4)),DATE(YEAR(INDEX($AN$5:$AN$1000,$U84-4)),MONTH(INDEX($AN$5:$AN$1000,$U84-4)),1),MesCiclo)),IF(ISNUMBER($AM84),DATE(YEAR($AM84),MONTH($AM84),1),IF(ISNUMBER($AN84),DATE(YEAR($AN84),MONTH($AN84),1),MesCiclo))))</f>
        <v/>
      </c>
      <c r="T84" s="62">
        <f>IF(OR($S84="",$S84&lt;&gt;MesCiclo,$V84&lt;&gt;"Macro"),"",COUNTIFS($S$5:$S84,MesCiclo,$V$5:$V84,"Macro"))</f>
        <v/>
      </c>
      <c r="U84" s="62">
        <f>IF($V84="","",IF($V84="Macro",ROW(),IFERROR(LOOKUP(2,1/($V$5:$V84="Macro"),ROW($V$5:$V84)),0)))</f>
        <v/>
      </c>
      <c r="V84" s="62">
        <f>IF(NOT((COUNTA($B84:$D84)+COUNTA($G84:$L84)+COUNTA($Q84))&gt;0),"",IF($B84="Subactividad","Sub","Macro"))</f>
        <v/>
      </c>
      <c r="W84" s="62">
        <f>IF($V84="Macro",COUNTIFS($U$5:$U$1000,ROW(),$V$5:$V$1000,"Sub"),"")</f>
        <v/>
      </c>
      <c r="X84" s="62">
        <f>IF($V84="","",IF(ISNUMBER($G84),1,IFERROR(LOOKUP(2,1/($I84:$L84&lt;&gt;""),$I84:$L84),0)))</f>
        <v/>
      </c>
      <c r="Y84" s="62">
        <f>IF($V84="","",IF(AND(ISNUMBER($G84),$G84&lt;=IF($S84=MesCiclo,InicioCiclo,$S84+MOD(2-WEEKDAY($S84),7))+6),1,IF(ISNUMBER($I84),$I84,0)))</f>
        <v/>
      </c>
      <c r="Z84" s="62">
        <f>IF($V84="","",IF(AND(ISNUMBER($G84),$G84&lt;=IF($S84=MesCiclo,InicioCiclo,$S84+MOD(2-WEEKDAY($S84),7))+13),1,IF(ISNUMBER($J84),$J84,$Y84)))</f>
        <v/>
      </c>
      <c r="AA84" s="62">
        <f>IF($V84="","",IF(AND(ISNUMBER($G84),$G84&lt;=IF($S84=MesCiclo,InicioCiclo,$S84+MOD(2-WEEKDAY($S84),7))+20),1,IF(ISNUMBER($K84),$K84,$Z84)))</f>
        <v/>
      </c>
      <c r="AB84" s="62">
        <f>IF($V84="","",IF(AND(ISNUMBER($G84),$G84&lt;=IF($S84=MesCiclo,InicioCiclo,$S84+MOD(2-WEEKDAY($S84),7))+27),1,IF(ISNUMBER($L84),$L84,$AA84)))</f>
        <v/>
      </c>
      <c r="AC84" s="62">
        <f>IF($V84="","",IF(AND(ISNUMBER($G84),$G84&lt;=IF($S84=MesCiclo,InicioCiclo,$S84+MOD(2-WEEKDAY($S84),7))+6),1,IF(N($W84)&gt;0,AVERAGEIFS($Y$5:$Y$1000,$U$5:$U$1000,ROW(),$V$5:$V$1000,"Sub"),$Y84)))</f>
        <v/>
      </c>
      <c r="AD84" s="62">
        <f>IF($V84="","",IF(AND(ISNUMBER($G84),$G84&lt;=IF($S84=MesCiclo,InicioCiclo,$S84+MOD(2-WEEKDAY($S84),7))+13),1,IF(N($W84)&gt;0,AVERAGEIFS($Z$5:$Z$1000,$U$5:$U$1000,ROW(),$V$5:$V$1000,"Sub"),$Z84)))</f>
        <v/>
      </c>
      <c r="AE84" s="62">
        <f>IF($V84="","",IF(AND(ISNUMBER($G84),$G84&lt;=IF($S84=MesCiclo,InicioCiclo,$S84+MOD(2-WEEKDAY($S84),7))+20),1,IF(N($W84)&gt;0,AVERAGEIFS($AA$5:$AA$1000,$U$5:$U$1000,ROW(),$V$5:$V$1000,"Sub"),$AA84)))</f>
        <v/>
      </c>
      <c r="AF84" s="62">
        <f>IF($V84="","",IF(AND(ISNUMBER($G84),$G84&lt;=IF($S84=MesCiclo,InicioCiclo,$S84+MOD(2-WEEKDAY($S84),7))+27),1,IF(N($W84)&gt;0,AVERAGEIFS($AB$5:$AB$1000,$U$5:$U$1000,ROW(),$V$5:$V$1000,"Sub"),$AB84)))</f>
        <v/>
      </c>
      <c r="AG84" s="62">
        <f>IF($V84&lt;&gt;"Macro","",IF(COUNTIFS($S$5:$S$1000,$S84,$V$5:$V$1000,"Macro",$H$5:$H$1000,"&gt;0")=0,1/COUNTIFS($S$5:$S$1000,$S84,$V$5:$V$1000,"Macro"),IF(AND(ISNUMBER($H84),N($H84)&gt;0),$H84,SUMIFS($H$5:$H$1000,$S$5:$S$1000,$S84,$V$5:$V$1000,"Macro")/COUNTIFS($S$5:$S$1000,$S84,$V$5:$V$1000,"Macro",$H$5:$H$1000,"&gt;0"))/(COUNTIFS($S$5:$S$1000,$S84,$V$5:$V$1000,"Macro")*SUMIFS($H$5:$H$1000,$S$5:$S$1000,$S84,$V$5:$V$1000,"Macro")/COUNTIFS($S$5:$S$1000,$S84,$V$5:$V$1000,"Macro",$H$5:$H$1000,"&gt;0"))))</f>
        <v/>
      </c>
      <c r="AH84" s="62" t="n"/>
      <c r="AI84" s="62" t="n"/>
      <c r="AJ84" s="62" t="n"/>
      <c r="AK84" s="62" t="n"/>
      <c r="AL84" s="62">
        <f>IF(LEFT($C84,11)="[Jefatura] ",IFERROR(MATCH("Riesgo Financiero|"&amp;MID($C84,12,500),rDname_ADM,0),0),"")</f>
        <v/>
      </c>
      <c r="AM84" s="62">
        <f>IF(N($AL84)&gt;0,INDEX(rIni_ADM,$AL84),IF(ISNUMBER($E84),$E84,""))</f>
        <v/>
      </c>
      <c r="AN84" s="62">
        <f>IF(N($AL84)&gt;0,INDEX(rLim_ADM,$AL84),IF(ISNUMBER($F84),$F84,""))</f>
        <v/>
      </c>
    </row>
    <row r="85">
      <c r="A85" s="56">
        <f>IF(NOT((COUNTA($B85:$D85)+COUNTA($G85:$L85)+COUNTA($Q85))&gt;0),"",IF($V85="Macro",COUNTIFS($V$5:$V85,"Macro",$S$5:$S85,$S85),IF(N($U85)=0,"?",COUNTIFS(INDEX($V$5:$V$1000,1):INDEX($V$5:$V$1000,$U85-4),"Macro",INDEX($S$5:$S$1000,1):INDEX($S$5:$S$1000,$U85-4),INDEX($S$5:$S$1000,$U85-4))&amp;"."&amp;COUNTIFS($U$5:$U85,$U85,$V$5:$V85,"Sub"))))</f>
        <v/>
      </c>
      <c r="B85" s="57" t="n"/>
      <c r="C85" s="58" t="n"/>
      <c r="D85" s="58" t="n"/>
      <c r="E85" s="59">
        <f>IF(N($AL85)&gt;0,INDEX(rIni_ADM,$AL85),"")</f>
        <v/>
      </c>
      <c r="F85" s="59">
        <f>IF(N($AL85)&gt;0,INDEX(rLim_ADM,$AL85),"")</f>
        <v/>
      </c>
      <c r="G85" s="59" t="n"/>
      <c r="H85" s="60" t="n"/>
      <c r="I85" s="60" t="n"/>
      <c r="J85" s="60" t="n"/>
      <c r="K85" s="60" t="n"/>
      <c r="L85" s="60" t="n"/>
      <c r="M85" s="61">
        <f>IF(NOT((COUNTA($B85:$D85)+COUNTA($G85:$L85)+COUNTA($Q85))&gt;0),"",IF($V85="Sub",IFERROR($X85/INDEX($W$5:$W$1000,$U85-4),""),IF(ISNUMBER($G85),1,IF(N($W85)&gt;0,AVERAGEIFS($X$5:$X$1000,$U$5:$U$1000,ROW(),$V$5:$V$1000,"Sub"),$X85))))</f>
        <v/>
      </c>
      <c r="N85" s="56">
        <f>IF(OR($M85="",$V85="Sub"),"",IF($M85&gt;=1,"Completado",IF($M85&gt;0,"En curso","Pendiente")))</f>
        <v/>
      </c>
      <c r="O85" s="56">
        <f>IF(OR(NOT((COUNTA($B85:$D85)+COUNTA($G85:$L85)+COUNTA($Q85))&gt;0),$V85="Sub"),"",IF(ISNUMBER($G85),IF(AND(ISNUMBER($AN85),$G85&gt;$AN85),"Cumplida con "&amp;($G85-$AN85)&amp;IF($G85-$AN85=1," día"," días")&amp;" de retraso","Cumplida"),IF(N($M85)&gt;=1,"Cumplida",IF(NOT(ISNUMBER($AN85)),"Sin fecha límite",IF($AN85&lt;FechaRef,"Vencida hace "&amp;(FechaRef-$AN85)&amp;IF(FechaRef-$AN85=1," día"," días"),IF($AN85=FechaRef,"Vence hoy",IF($AN85-FechaRef&lt;=DiasAlerta,"Vence en "&amp;($AN85-FechaRef)&amp;IF($AN85-FechaRef=1," día"," días"),"En plazo")))))))</f>
        <v/>
      </c>
      <c r="P85" s="62" t="n"/>
      <c r="Q85" s="58" t="n"/>
      <c r="R85" s="63">
        <f>IF(NOT((COUNTA($B85:$D85)+COUNTA($G85:$L85)+COUNTA($Q85))&gt;0),"",IF((IF($C85="","Falta el nombre de la actividad"&amp;" · ","")&amp;IF(AND($V85="Sub",N($U85)=0),"Subactividad sin macroactividad arriba"&amp;" · ","")&amp;IF($AM85="","Sin fecha de inicio"&amp;" · ","")&amp;IF($AN85="","Sin fecha límite"&amp;" · ","")&amp;IF(AND(LEFT($C85,11)="[Jefatura] ",N($AL85)=0),"No se encuentra en la hoja de la jefatura (elíjala de nuevo en la lista)"&amp;" · ","")&amp;IF(OR(AND($E85&lt;&gt;"",NOT(ISNUMBER($E85))),AND($F85&lt;&gt;"",NOT(ISNUMBER($F85))),AND($G85&lt;&gt;"",NOT(ISNUMBER($G85)))),"Fecha no válida"&amp;" · ","")&amp;IF(AND(ISNUMBER($AM85),ISNUMBER($AN85),$AM85&gt;$AN85),"Inicio posterior a fecha límite"&amp;" · ","")&amp;IF(AND($V85="Macro",$H85&lt;&gt;"",OR(NOT(ISNUMBER($H85)),$H85&lt;0,$H85&gt;1)),"Peso fuera de rango"&amp;" · ","")&amp;IF(AND($V85="Sub",$H85&lt;&gt;""),"Las subactividades no llevan peso (valen igual dentro de su macroactividad)"&amp;" · ","")&amp;IF(AND(N($W85)&gt;0,COUNT($I85:$L85)&gt;0),"Con subactividades: deje vacías las semanas (se calculan solas)"&amp;" · ","")&amp;IF((COUNTIF($I85:$L85,"&gt;1")+COUNTIF($I85:$L85,"&lt;0")+COUNTA($I85:$L85)-COUNT($I85:$L85))&gt;0,"Avance fuera de rango 0-100%"&amp;" · ","")&amp;IF(OR(AND($J85&lt;&gt;"",$J85&lt;$I85),AND($K85&lt;&gt;"",$K85&lt;MAX($I85:$J85)),AND($L85&lt;&gt;"",$L85&lt;MAX($I85:$K85))),"Avance semanal decreciente"&amp;" · ","")&amp;IF(AND(ISNUMBER($AN85),$AN85&lt;FechaRef,IF($V85="Sub",N($X85),N($M85))&lt;1),"Vencida"&amp;" · ","")&amp;IF(AND(ObsObligatoria="Sí",ISNUMBER($AN85),$AN85&lt;FechaRef,IF($V85="Sub",N($X85),N($M85))&lt;1,$Q85=""),"Vencida sin observación"&amp;" · ",""))="","✔ OK","⚠ "&amp;LEFT(IF($C85="","Falta el nombre de la actividad"&amp;" · ","")&amp;IF(AND($V85="Sub",N($U85)=0),"Subactividad sin macroactividad arriba"&amp;" · ","")&amp;IF($AM85="","Sin fecha de inicio"&amp;" · ","")&amp;IF($AN85="","Sin fecha límite"&amp;" · ","")&amp;IF(AND(LEFT($C85,11)="[Jefatura] ",N($AL85)=0),"No se encuentra en la hoja de la jefatura (elíjala de nuevo en la lista)"&amp;" · ","")&amp;IF(OR(AND($E85&lt;&gt;"",NOT(ISNUMBER($E85))),AND($F85&lt;&gt;"",NOT(ISNUMBER($F85))),AND($G85&lt;&gt;"",NOT(ISNUMBER($G85)))),"Fecha no válida"&amp;" · ","")&amp;IF(AND(ISNUMBER($AM85),ISNUMBER($AN85),$AM85&gt;$AN85),"Inicio posterior a fecha límite"&amp;" · ","")&amp;IF(AND($V85="Macro",$H85&lt;&gt;"",OR(NOT(ISNUMBER($H85)),$H85&lt;0,$H85&gt;1)),"Peso fuera de rango"&amp;" · ","")&amp;IF(AND($V85="Sub",$H85&lt;&gt;""),"Las subactividades no llevan peso (valen igual dentro de su macroactividad)"&amp;" · ","")&amp;IF(AND(N($W85)&gt;0,COUNT($I85:$L85)&gt;0),"Con subactividades: deje vacías las semanas (se calculan solas)"&amp;" · ","")&amp;IF((COUNTIF($I85:$L85,"&gt;1")+COUNTIF($I85:$L85,"&lt;0")+COUNTA($I85:$L85)-COUNT($I85:$L85))&gt;0,"Avance fuera de rango 0-100%"&amp;" · ","")&amp;IF(OR(AND($J85&lt;&gt;"",$J85&lt;$I85),AND($K85&lt;&gt;"",$K85&lt;MAX($I85:$J85)),AND($L85&lt;&gt;"",$L85&lt;MAX($I85:$K85))),"Avance semanal decreciente"&amp;" · ","")&amp;IF(AND(ISNUMBER($AN85),$AN85&lt;FechaRef,IF($V85="Sub",N($X85),N($M85))&lt;1),"Vencida"&amp;" · ","")&amp;IF(AND(ObsObligatoria="Sí",ISNUMBER($AN85),$AN85&lt;FechaRef,IF($V85="Sub",N($X85),N($M85))&lt;1,$Q85=""),"Vencida sin observación"&amp;" · ",""),LEN(IF($C85="","Falta el nombre de la actividad"&amp;" · ","")&amp;IF(AND($V85="Sub",N($U85)=0),"Subactividad sin macroactividad arriba"&amp;" · ","")&amp;IF($AM85="","Sin fecha de inicio"&amp;" · ","")&amp;IF($AN85="","Sin fecha límite"&amp;" · ","")&amp;IF(AND(LEFT($C85,11)="[Jefatura] ",N($AL85)=0),"No se encuentra en la hoja de la jefatura (elíjala de nuevo en la lista)"&amp;" · ","")&amp;IF(OR(AND($E85&lt;&gt;"",NOT(ISNUMBER($E85))),AND($F85&lt;&gt;"",NOT(ISNUMBER($F85))),AND($G85&lt;&gt;"",NOT(ISNUMBER($G85)))),"Fecha no válida"&amp;" · ","")&amp;IF(AND(ISNUMBER($AM85),ISNUMBER($AN85),$AM85&gt;$AN85),"Inicio posterior a fecha límite"&amp;" · ","")&amp;IF(AND($V85="Macro",$H85&lt;&gt;"",OR(NOT(ISNUMBER($H85)),$H85&lt;0,$H85&gt;1)),"Peso fuera de rango"&amp;" · ","")&amp;IF(AND($V85="Sub",$H85&lt;&gt;""),"Las subactividades no llevan peso (valen igual dentro de su macroactividad)"&amp;" · ","")&amp;IF(AND(N($W85)&gt;0,COUNT($I85:$L85)&gt;0),"Con subactividades: deje vacías las semanas (se calculan solas)"&amp;" · ","")&amp;IF((COUNTIF($I85:$L85,"&gt;1")+COUNTIF($I85:$L85,"&lt;0")+COUNTA($I85:$L85)-COUNT($I85:$L85))&gt;0,"Avance fuera de rango 0-100%"&amp;" · ","")&amp;IF(OR(AND($J85&lt;&gt;"",$J85&lt;$I85),AND($K85&lt;&gt;"",$K85&lt;MAX($I85:$J85)),AND($L85&lt;&gt;"",$L85&lt;MAX($I85:$K85))),"Avance semanal decreciente"&amp;" · ","")&amp;IF(AND(ISNUMBER($AN85),$AN85&lt;FechaRef,IF($V85="Sub",N($X85),N($M85))&lt;1),"Vencida"&amp;" · ","")&amp;IF(AND(ObsObligatoria="Sí",ISNUMBER($AN85),$AN85&lt;FechaRef,IF($V85="Sub",N($X85),N($M85))&lt;1,$Q85=""),"Vencida sin observación"&amp;" · ",""))-3)))</f>
        <v/>
      </c>
      <c r="S85" s="64">
        <f>IF(NOT((COUNTA($B85:$D85)+COUNTA($G85:$L85)+COUNTA($Q85))&gt;0),"",IF(AND($V85="Sub",N($U85)&gt;0),IF(ISNUMBER(INDEX($AM$5:$AM$1000,$U85-4)),DATE(YEAR(INDEX($AM$5:$AM$1000,$U85-4)),MONTH(INDEX($AM$5:$AM$1000,$U85-4)),1),IF(ISNUMBER(INDEX($AN$5:$AN$1000,$U85-4)),DATE(YEAR(INDEX($AN$5:$AN$1000,$U85-4)),MONTH(INDEX($AN$5:$AN$1000,$U85-4)),1),MesCiclo)),IF(ISNUMBER($AM85),DATE(YEAR($AM85),MONTH($AM85),1),IF(ISNUMBER($AN85),DATE(YEAR($AN85),MONTH($AN85),1),MesCiclo))))</f>
        <v/>
      </c>
      <c r="T85" s="62">
        <f>IF(OR($S85="",$S85&lt;&gt;MesCiclo,$V85&lt;&gt;"Macro"),"",COUNTIFS($S$5:$S85,MesCiclo,$V$5:$V85,"Macro"))</f>
        <v/>
      </c>
      <c r="U85" s="62">
        <f>IF($V85="","",IF($V85="Macro",ROW(),IFERROR(LOOKUP(2,1/($V$5:$V85="Macro"),ROW($V$5:$V85)),0)))</f>
        <v/>
      </c>
      <c r="V85" s="62">
        <f>IF(NOT((COUNTA($B85:$D85)+COUNTA($G85:$L85)+COUNTA($Q85))&gt;0),"",IF($B85="Subactividad","Sub","Macro"))</f>
        <v/>
      </c>
      <c r="W85" s="62">
        <f>IF($V85="Macro",COUNTIFS($U$5:$U$1000,ROW(),$V$5:$V$1000,"Sub"),"")</f>
        <v/>
      </c>
      <c r="X85" s="62">
        <f>IF($V85="","",IF(ISNUMBER($G85),1,IFERROR(LOOKUP(2,1/($I85:$L85&lt;&gt;""),$I85:$L85),0)))</f>
        <v/>
      </c>
      <c r="Y85" s="62">
        <f>IF($V85="","",IF(AND(ISNUMBER($G85),$G85&lt;=IF($S85=MesCiclo,InicioCiclo,$S85+MOD(2-WEEKDAY($S85),7))+6),1,IF(ISNUMBER($I85),$I85,0)))</f>
        <v/>
      </c>
      <c r="Z85" s="62">
        <f>IF($V85="","",IF(AND(ISNUMBER($G85),$G85&lt;=IF($S85=MesCiclo,InicioCiclo,$S85+MOD(2-WEEKDAY($S85),7))+13),1,IF(ISNUMBER($J85),$J85,$Y85)))</f>
        <v/>
      </c>
      <c r="AA85" s="62">
        <f>IF($V85="","",IF(AND(ISNUMBER($G85),$G85&lt;=IF($S85=MesCiclo,InicioCiclo,$S85+MOD(2-WEEKDAY($S85),7))+20),1,IF(ISNUMBER($K85),$K85,$Z85)))</f>
        <v/>
      </c>
      <c r="AB85" s="62">
        <f>IF($V85="","",IF(AND(ISNUMBER($G85),$G85&lt;=IF($S85=MesCiclo,InicioCiclo,$S85+MOD(2-WEEKDAY($S85),7))+27),1,IF(ISNUMBER($L85),$L85,$AA85)))</f>
        <v/>
      </c>
      <c r="AC85" s="62">
        <f>IF($V85="","",IF(AND(ISNUMBER($G85),$G85&lt;=IF($S85=MesCiclo,InicioCiclo,$S85+MOD(2-WEEKDAY($S85),7))+6),1,IF(N($W85)&gt;0,AVERAGEIFS($Y$5:$Y$1000,$U$5:$U$1000,ROW(),$V$5:$V$1000,"Sub"),$Y85)))</f>
        <v/>
      </c>
      <c r="AD85" s="62">
        <f>IF($V85="","",IF(AND(ISNUMBER($G85),$G85&lt;=IF($S85=MesCiclo,InicioCiclo,$S85+MOD(2-WEEKDAY($S85),7))+13),1,IF(N($W85)&gt;0,AVERAGEIFS($Z$5:$Z$1000,$U$5:$U$1000,ROW(),$V$5:$V$1000,"Sub"),$Z85)))</f>
        <v/>
      </c>
      <c r="AE85" s="62">
        <f>IF($V85="","",IF(AND(ISNUMBER($G85),$G85&lt;=IF($S85=MesCiclo,InicioCiclo,$S85+MOD(2-WEEKDAY($S85),7))+20),1,IF(N($W85)&gt;0,AVERAGEIFS($AA$5:$AA$1000,$U$5:$U$1000,ROW(),$V$5:$V$1000,"Sub"),$AA85)))</f>
        <v/>
      </c>
      <c r="AF85" s="62">
        <f>IF($V85="","",IF(AND(ISNUMBER($G85),$G85&lt;=IF($S85=MesCiclo,InicioCiclo,$S85+MOD(2-WEEKDAY($S85),7))+27),1,IF(N($W85)&gt;0,AVERAGEIFS($AB$5:$AB$1000,$U$5:$U$1000,ROW(),$V$5:$V$1000,"Sub"),$AB85)))</f>
        <v/>
      </c>
      <c r="AG85" s="62">
        <f>IF($V85&lt;&gt;"Macro","",IF(COUNTIFS($S$5:$S$1000,$S85,$V$5:$V$1000,"Macro",$H$5:$H$1000,"&gt;0")=0,1/COUNTIFS($S$5:$S$1000,$S85,$V$5:$V$1000,"Macro"),IF(AND(ISNUMBER($H85),N($H85)&gt;0),$H85,SUMIFS($H$5:$H$1000,$S$5:$S$1000,$S85,$V$5:$V$1000,"Macro")/COUNTIFS($S$5:$S$1000,$S85,$V$5:$V$1000,"Macro",$H$5:$H$1000,"&gt;0"))/(COUNTIFS($S$5:$S$1000,$S85,$V$5:$V$1000,"Macro")*SUMIFS($H$5:$H$1000,$S$5:$S$1000,$S85,$V$5:$V$1000,"Macro")/COUNTIFS($S$5:$S$1000,$S85,$V$5:$V$1000,"Macro",$H$5:$H$1000,"&gt;0"))))</f>
        <v/>
      </c>
      <c r="AH85" s="62" t="n"/>
      <c r="AI85" s="62" t="n"/>
      <c r="AJ85" s="62" t="n"/>
      <c r="AK85" s="62" t="n"/>
      <c r="AL85" s="62">
        <f>IF(LEFT($C85,11)="[Jefatura] ",IFERROR(MATCH("Riesgo Financiero|"&amp;MID($C85,12,500),rDname_ADM,0),0),"")</f>
        <v/>
      </c>
      <c r="AM85" s="62">
        <f>IF(N($AL85)&gt;0,INDEX(rIni_ADM,$AL85),IF(ISNUMBER($E85),$E85,""))</f>
        <v/>
      </c>
      <c r="AN85" s="62">
        <f>IF(N($AL85)&gt;0,INDEX(rLim_ADM,$AL85),IF(ISNUMBER($F85),$F85,""))</f>
        <v/>
      </c>
    </row>
    <row r="86">
      <c r="A86" s="56">
        <f>IF(NOT((COUNTA($B86:$D86)+COUNTA($G86:$L86)+COUNTA($Q86))&gt;0),"",IF($V86="Macro",COUNTIFS($V$5:$V86,"Macro",$S$5:$S86,$S86),IF(N($U86)=0,"?",COUNTIFS(INDEX($V$5:$V$1000,1):INDEX($V$5:$V$1000,$U86-4),"Macro",INDEX($S$5:$S$1000,1):INDEX($S$5:$S$1000,$U86-4),INDEX($S$5:$S$1000,$U86-4))&amp;"."&amp;COUNTIFS($U$5:$U86,$U86,$V$5:$V86,"Sub"))))</f>
        <v/>
      </c>
      <c r="B86" s="57" t="n"/>
      <c r="C86" s="58" t="n"/>
      <c r="D86" s="58" t="n"/>
      <c r="E86" s="59">
        <f>IF(N($AL86)&gt;0,INDEX(rIni_ADM,$AL86),"")</f>
        <v/>
      </c>
      <c r="F86" s="59">
        <f>IF(N($AL86)&gt;0,INDEX(rLim_ADM,$AL86),"")</f>
        <v/>
      </c>
      <c r="G86" s="59" t="n"/>
      <c r="H86" s="60" t="n"/>
      <c r="I86" s="60" t="n"/>
      <c r="J86" s="60" t="n"/>
      <c r="K86" s="60" t="n"/>
      <c r="L86" s="60" t="n"/>
      <c r="M86" s="61">
        <f>IF(NOT((COUNTA($B86:$D86)+COUNTA($G86:$L86)+COUNTA($Q86))&gt;0),"",IF($V86="Sub",IFERROR($X86/INDEX($W$5:$W$1000,$U86-4),""),IF(ISNUMBER($G86),1,IF(N($W86)&gt;0,AVERAGEIFS($X$5:$X$1000,$U$5:$U$1000,ROW(),$V$5:$V$1000,"Sub"),$X86))))</f>
        <v/>
      </c>
      <c r="N86" s="56">
        <f>IF(OR($M86="",$V86="Sub"),"",IF($M86&gt;=1,"Completado",IF($M86&gt;0,"En curso","Pendiente")))</f>
        <v/>
      </c>
      <c r="O86" s="56">
        <f>IF(OR(NOT((COUNTA($B86:$D86)+COUNTA($G86:$L86)+COUNTA($Q86))&gt;0),$V86="Sub"),"",IF(ISNUMBER($G86),IF(AND(ISNUMBER($AN86),$G86&gt;$AN86),"Cumplida con "&amp;($G86-$AN86)&amp;IF($G86-$AN86=1," día"," días")&amp;" de retraso","Cumplida"),IF(N($M86)&gt;=1,"Cumplida",IF(NOT(ISNUMBER($AN86)),"Sin fecha límite",IF($AN86&lt;FechaRef,"Vencida hace "&amp;(FechaRef-$AN86)&amp;IF(FechaRef-$AN86=1," día"," días"),IF($AN86=FechaRef,"Vence hoy",IF($AN86-FechaRef&lt;=DiasAlerta,"Vence en "&amp;($AN86-FechaRef)&amp;IF($AN86-FechaRef=1," día"," días"),"En plazo")))))))</f>
        <v/>
      </c>
      <c r="P86" s="62" t="n"/>
      <c r="Q86" s="58" t="n"/>
      <c r="R86" s="63">
        <f>IF(NOT((COUNTA($B86:$D86)+COUNTA($G86:$L86)+COUNTA($Q86))&gt;0),"",IF((IF($C86="","Falta el nombre de la actividad"&amp;" · ","")&amp;IF(AND($V86="Sub",N($U86)=0),"Subactividad sin macroactividad arriba"&amp;" · ","")&amp;IF($AM86="","Sin fecha de inicio"&amp;" · ","")&amp;IF($AN86="","Sin fecha límite"&amp;" · ","")&amp;IF(AND(LEFT($C86,11)="[Jefatura] ",N($AL86)=0),"No se encuentra en la hoja de la jefatura (elíjala de nuevo en la lista)"&amp;" · ","")&amp;IF(OR(AND($E86&lt;&gt;"",NOT(ISNUMBER($E86))),AND($F86&lt;&gt;"",NOT(ISNUMBER($F86))),AND($G86&lt;&gt;"",NOT(ISNUMBER($G86)))),"Fecha no válida"&amp;" · ","")&amp;IF(AND(ISNUMBER($AM86),ISNUMBER($AN86),$AM86&gt;$AN86),"Inicio posterior a fecha límite"&amp;" · ","")&amp;IF(AND($V86="Macro",$H86&lt;&gt;"",OR(NOT(ISNUMBER($H86)),$H86&lt;0,$H86&gt;1)),"Peso fuera de rango"&amp;" · ","")&amp;IF(AND($V86="Sub",$H86&lt;&gt;""),"Las subactividades no llevan peso (valen igual dentro de su macroactividad)"&amp;" · ","")&amp;IF(AND(N($W86)&gt;0,COUNT($I86:$L86)&gt;0),"Con subactividades: deje vacías las semanas (se calculan solas)"&amp;" · ","")&amp;IF((COUNTIF($I86:$L86,"&gt;1")+COUNTIF($I86:$L86,"&lt;0")+COUNTA($I86:$L86)-COUNT($I86:$L86))&gt;0,"Avance fuera de rango 0-100%"&amp;" · ","")&amp;IF(OR(AND($J86&lt;&gt;"",$J86&lt;$I86),AND($K86&lt;&gt;"",$K86&lt;MAX($I86:$J86)),AND($L86&lt;&gt;"",$L86&lt;MAX($I86:$K86))),"Avance semanal decreciente"&amp;" · ","")&amp;IF(AND(ISNUMBER($AN86),$AN86&lt;FechaRef,IF($V86="Sub",N($X86),N($M86))&lt;1),"Vencida"&amp;" · ","")&amp;IF(AND(ObsObligatoria="Sí",ISNUMBER($AN86),$AN86&lt;FechaRef,IF($V86="Sub",N($X86),N($M86))&lt;1,$Q86=""),"Vencida sin observación"&amp;" · ",""))="","✔ OK","⚠ "&amp;LEFT(IF($C86="","Falta el nombre de la actividad"&amp;" · ","")&amp;IF(AND($V86="Sub",N($U86)=0),"Subactividad sin macroactividad arriba"&amp;" · ","")&amp;IF($AM86="","Sin fecha de inicio"&amp;" · ","")&amp;IF($AN86="","Sin fecha límite"&amp;" · ","")&amp;IF(AND(LEFT($C86,11)="[Jefatura] ",N($AL86)=0),"No se encuentra en la hoja de la jefatura (elíjala de nuevo en la lista)"&amp;" · ","")&amp;IF(OR(AND($E86&lt;&gt;"",NOT(ISNUMBER($E86))),AND($F86&lt;&gt;"",NOT(ISNUMBER($F86))),AND($G86&lt;&gt;"",NOT(ISNUMBER($G86)))),"Fecha no válida"&amp;" · ","")&amp;IF(AND(ISNUMBER($AM86),ISNUMBER($AN86),$AM86&gt;$AN86),"Inicio posterior a fecha límite"&amp;" · ","")&amp;IF(AND($V86="Macro",$H86&lt;&gt;"",OR(NOT(ISNUMBER($H86)),$H86&lt;0,$H86&gt;1)),"Peso fuera de rango"&amp;" · ","")&amp;IF(AND($V86="Sub",$H86&lt;&gt;""),"Las subactividades no llevan peso (valen igual dentro de su macroactividad)"&amp;" · ","")&amp;IF(AND(N($W86)&gt;0,COUNT($I86:$L86)&gt;0),"Con subactividades: deje vacías las semanas (se calculan solas)"&amp;" · ","")&amp;IF((COUNTIF($I86:$L86,"&gt;1")+COUNTIF($I86:$L86,"&lt;0")+COUNTA($I86:$L86)-COUNT($I86:$L86))&gt;0,"Avance fuera de rango 0-100%"&amp;" · ","")&amp;IF(OR(AND($J86&lt;&gt;"",$J86&lt;$I86),AND($K86&lt;&gt;"",$K86&lt;MAX($I86:$J86)),AND($L86&lt;&gt;"",$L86&lt;MAX($I86:$K86))),"Avance semanal decreciente"&amp;" · ","")&amp;IF(AND(ISNUMBER($AN86),$AN86&lt;FechaRef,IF($V86="Sub",N($X86),N($M86))&lt;1),"Vencida"&amp;" · ","")&amp;IF(AND(ObsObligatoria="Sí",ISNUMBER($AN86),$AN86&lt;FechaRef,IF($V86="Sub",N($X86),N($M86))&lt;1,$Q86=""),"Vencida sin observación"&amp;" · ",""),LEN(IF($C86="","Falta el nombre de la actividad"&amp;" · ","")&amp;IF(AND($V86="Sub",N($U86)=0),"Subactividad sin macroactividad arriba"&amp;" · ","")&amp;IF($AM86="","Sin fecha de inicio"&amp;" · ","")&amp;IF($AN86="","Sin fecha límite"&amp;" · ","")&amp;IF(AND(LEFT($C86,11)="[Jefatura] ",N($AL86)=0),"No se encuentra en la hoja de la jefatura (elíjala de nuevo en la lista)"&amp;" · ","")&amp;IF(OR(AND($E86&lt;&gt;"",NOT(ISNUMBER($E86))),AND($F86&lt;&gt;"",NOT(ISNUMBER($F86))),AND($G86&lt;&gt;"",NOT(ISNUMBER($G86)))),"Fecha no válida"&amp;" · ","")&amp;IF(AND(ISNUMBER($AM86),ISNUMBER($AN86),$AM86&gt;$AN86),"Inicio posterior a fecha límite"&amp;" · ","")&amp;IF(AND($V86="Macro",$H86&lt;&gt;"",OR(NOT(ISNUMBER($H86)),$H86&lt;0,$H86&gt;1)),"Peso fuera de rango"&amp;" · ","")&amp;IF(AND($V86="Sub",$H86&lt;&gt;""),"Las subactividades no llevan peso (valen igual dentro de su macroactividad)"&amp;" · ","")&amp;IF(AND(N($W86)&gt;0,COUNT($I86:$L86)&gt;0),"Con subactividades: deje vacías las semanas (se calculan solas)"&amp;" · ","")&amp;IF((COUNTIF($I86:$L86,"&gt;1")+COUNTIF($I86:$L86,"&lt;0")+COUNTA($I86:$L86)-COUNT($I86:$L86))&gt;0,"Avance fuera de rango 0-100%"&amp;" · ","")&amp;IF(OR(AND($J86&lt;&gt;"",$J86&lt;$I86),AND($K86&lt;&gt;"",$K86&lt;MAX($I86:$J86)),AND($L86&lt;&gt;"",$L86&lt;MAX($I86:$K86))),"Avance semanal decreciente"&amp;" · ","")&amp;IF(AND(ISNUMBER($AN86),$AN86&lt;FechaRef,IF($V86="Sub",N($X86),N($M86))&lt;1),"Vencida"&amp;" · ","")&amp;IF(AND(ObsObligatoria="Sí",ISNUMBER($AN86),$AN86&lt;FechaRef,IF($V86="Sub",N($X86),N($M86))&lt;1,$Q86=""),"Vencida sin observación"&amp;" · ",""))-3)))</f>
        <v/>
      </c>
      <c r="S86" s="64">
        <f>IF(NOT((COUNTA($B86:$D86)+COUNTA($G86:$L86)+COUNTA($Q86))&gt;0),"",IF(AND($V86="Sub",N($U86)&gt;0),IF(ISNUMBER(INDEX($AM$5:$AM$1000,$U86-4)),DATE(YEAR(INDEX($AM$5:$AM$1000,$U86-4)),MONTH(INDEX($AM$5:$AM$1000,$U86-4)),1),IF(ISNUMBER(INDEX($AN$5:$AN$1000,$U86-4)),DATE(YEAR(INDEX($AN$5:$AN$1000,$U86-4)),MONTH(INDEX($AN$5:$AN$1000,$U86-4)),1),MesCiclo)),IF(ISNUMBER($AM86),DATE(YEAR($AM86),MONTH($AM86),1),IF(ISNUMBER($AN86),DATE(YEAR($AN86),MONTH($AN86),1),MesCiclo))))</f>
        <v/>
      </c>
      <c r="T86" s="62">
        <f>IF(OR($S86="",$S86&lt;&gt;MesCiclo,$V86&lt;&gt;"Macro"),"",COUNTIFS($S$5:$S86,MesCiclo,$V$5:$V86,"Macro"))</f>
        <v/>
      </c>
      <c r="U86" s="62">
        <f>IF($V86="","",IF($V86="Macro",ROW(),IFERROR(LOOKUP(2,1/($V$5:$V86="Macro"),ROW($V$5:$V86)),0)))</f>
        <v/>
      </c>
      <c r="V86" s="62">
        <f>IF(NOT((COUNTA($B86:$D86)+COUNTA($G86:$L86)+COUNTA($Q86))&gt;0),"",IF($B86="Subactividad","Sub","Macro"))</f>
        <v/>
      </c>
      <c r="W86" s="62">
        <f>IF($V86="Macro",COUNTIFS($U$5:$U$1000,ROW(),$V$5:$V$1000,"Sub"),"")</f>
        <v/>
      </c>
      <c r="X86" s="62">
        <f>IF($V86="","",IF(ISNUMBER($G86),1,IFERROR(LOOKUP(2,1/($I86:$L86&lt;&gt;""),$I86:$L86),0)))</f>
        <v/>
      </c>
      <c r="Y86" s="62">
        <f>IF($V86="","",IF(AND(ISNUMBER($G86),$G86&lt;=IF($S86=MesCiclo,InicioCiclo,$S86+MOD(2-WEEKDAY($S86),7))+6),1,IF(ISNUMBER($I86),$I86,0)))</f>
        <v/>
      </c>
      <c r="Z86" s="62">
        <f>IF($V86="","",IF(AND(ISNUMBER($G86),$G86&lt;=IF($S86=MesCiclo,InicioCiclo,$S86+MOD(2-WEEKDAY($S86),7))+13),1,IF(ISNUMBER($J86),$J86,$Y86)))</f>
        <v/>
      </c>
      <c r="AA86" s="62">
        <f>IF($V86="","",IF(AND(ISNUMBER($G86),$G86&lt;=IF($S86=MesCiclo,InicioCiclo,$S86+MOD(2-WEEKDAY($S86),7))+20),1,IF(ISNUMBER($K86),$K86,$Z86)))</f>
        <v/>
      </c>
      <c r="AB86" s="62">
        <f>IF($V86="","",IF(AND(ISNUMBER($G86),$G86&lt;=IF($S86=MesCiclo,InicioCiclo,$S86+MOD(2-WEEKDAY($S86),7))+27),1,IF(ISNUMBER($L86),$L86,$AA86)))</f>
        <v/>
      </c>
      <c r="AC86" s="62">
        <f>IF($V86="","",IF(AND(ISNUMBER($G86),$G86&lt;=IF($S86=MesCiclo,InicioCiclo,$S86+MOD(2-WEEKDAY($S86),7))+6),1,IF(N($W86)&gt;0,AVERAGEIFS($Y$5:$Y$1000,$U$5:$U$1000,ROW(),$V$5:$V$1000,"Sub"),$Y86)))</f>
        <v/>
      </c>
      <c r="AD86" s="62">
        <f>IF($V86="","",IF(AND(ISNUMBER($G86),$G86&lt;=IF($S86=MesCiclo,InicioCiclo,$S86+MOD(2-WEEKDAY($S86),7))+13),1,IF(N($W86)&gt;0,AVERAGEIFS($Z$5:$Z$1000,$U$5:$U$1000,ROW(),$V$5:$V$1000,"Sub"),$Z86)))</f>
        <v/>
      </c>
      <c r="AE86" s="62">
        <f>IF($V86="","",IF(AND(ISNUMBER($G86),$G86&lt;=IF($S86=MesCiclo,InicioCiclo,$S86+MOD(2-WEEKDAY($S86),7))+20),1,IF(N($W86)&gt;0,AVERAGEIFS($AA$5:$AA$1000,$U$5:$U$1000,ROW(),$V$5:$V$1000,"Sub"),$AA86)))</f>
        <v/>
      </c>
      <c r="AF86" s="62">
        <f>IF($V86="","",IF(AND(ISNUMBER($G86),$G86&lt;=IF($S86=MesCiclo,InicioCiclo,$S86+MOD(2-WEEKDAY($S86),7))+27),1,IF(N($W86)&gt;0,AVERAGEIFS($AB$5:$AB$1000,$U$5:$U$1000,ROW(),$V$5:$V$1000,"Sub"),$AB86)))</f>
        <v/>
      </c>
      <c r="AG86" s="62">
        <f>IF($V86&lt;&gt;"Macro","",IF(COUNTIFS($S$5:$S$1000,$S86,$V$5:$V$1000,"Macro",$H$5:$H$1000,"&gt;0")=0,1/COUNTIFS($S$5:$S$1000,$S86,$V$5:$V$1000,"Macro"),IF(AND(ISNUMBER($H86),N($H86)&gt;0),$H86,SUMIFS($H$5:$H$1000,$S$5:$S$1000,$S86,$V$5:$V$1000,"Macro")/COUNTIFS($S$5:$S$1000,$S86,$V$5:$V$1000,"Macro",$H$5:$H$1000,"&gt;0"))/(COUNTIFS($S$5:$S$1000,$S86,$V$5:$V$1000,"Macro")*SUMIFS($H$5:$H$1000,$S$5:$S$1000,$S86,$V$5:$V$1000,"Macro")/COUNTIFS($S$5:$S$1000,$S86,$V$5:$V$1000,"Macro",$H$5:$H$1000,"&gt;0"))))</f>
        <v/>
      </c>
      <c r="AH86" s="62" t="n"/>
      <c r="AI86" s="62" t="n"/>
      <c r="AJ86" s="62" t="n"/>
      <c r="AK86" s="62" t="n"/>
      <c r="AL86" s="62">
        <f>IF(LEFT($C86,11)="[Jefatura] ",IFERROR(MATCH("Riesgo Financiero|"&amp;MID($C86,12,500),rDname_ADM,0),0),"")</f>
        <v/>
      </c>
      <c r="AM86" s="62">
        <f>IF(N($AL86)&gt;0,INDEX(rIni_ADM,$AL86),IF(ISNUMBER($E86),$E86,""))</f>
        <v/>
      </c>
      <c r="AN86" s="62">
        <f>IF(N($AL86)&gt;0,INDEX(rLim_ADM,$AL86),IF(ISNUMBER($F86),$F86,""))</f>
        <v/>
      </c>
    </row>
    <row r="87">
      <c r="A87" s="56">
        <f>IF(NOT((COUNTA($B87:$D87)+COUNTA($G87:$L87)+COUNTA($Q87))&gt;0),"",IF($V87="Macro",COUNTIFS($V$5:$V87,"Macro",$S$5:$S87,$S87),IF(N($U87)=0,"?",COUNTIFS(INDEX($V$5:$V$1000,1):INDEX($V$5:$V$1000,$U87-4),"Macro",INDEX($S$5:$S$1000,1):INDEX($S$5:$S$1000,$U87-4),INDEX($S$5:$S$1000,$U87-4))&amp;"."&amp;COUNTIFS($U$5:$U87,$U87,$V$5:$V87,"Sub"))))</f>
        <v/>
      </c>
      <c r="B87" s="57" t="n"/>
      <c r="C87" s="58" t="n"/>
      <c r="D87" s="58" t="n"/>
      <c r="E87" s="59">
        <f>IF(N($AL87)&gt;0,INDEX(rIni_ADM,$AL87),"")</f>
        <v/>
      </c>
      <c r="F87" s="59">
        <f>IF(N($AL87)&gt;0,INDEX(rLim_ADM,$AL87),"")</f>
        <v/>
      </c>
      <c r="G87" s="59" t="n"/>
      <c r="H87" s="60" t="n"/>
      <c r="I87" s="60" t="n"/>
      <c r="J87" s="60" t="n"/>
      <c r="K87" s="60" t="n"/>
      <c r="L87" s="60" t="n"/>
      <c r="M87" s="61">
        <f>IF(NOT((COUNTA($B87:$D87)+COUNTA($G87:$L87)+COUNTA($Q87))&gt;0),"",IF($V87="Sub",IFERROR($X87/INDEX($W$5:$W$1000,$U87-4),""),IF(ISNUMBER($G87),1,IF(N($W87)&gt;0,AVERAGEIFS($X$5:$X$1000,$U$5:$U$1000,ROW(),$V$5:$V$1000,"Sub"),$X87))))</f>
        <v/>
      </c>
      <c r="N87" s="56">
        <f>IF(OR($M87="",$V87="Sub"),"",IF($M87&gt;=1,"Completado",IF($M87&gt;0,"En curso","Pendiente")))</f>
        <v/>
      </c>
      <c r="O87" s="56">
        <f>IF(OR(NOT((COUNTA($B87:$D87)+COUNTA($G87:$L87)+COUNTA($Q87))&gt;0),$V87="Sub"),"",IF(ISNUMBER($G87),IF(AND(ISNUMBER($AN87),$G87&gt;$AN87),"Cumplida con "&amp;($G87-$AN87)&amp;IF($G87-$AN87=1," día"," días")&amp;" de retraso","Cumplida"),IF(N($M87)&gt;=1,"Cumplida",IF(NOT(ISNUMBER($AN87)),"Sin fecha límite",IF($AN87&lt;FechaRef,"Vencida hace "&amp;(FechaRef-$AN87)&amp;IF(FechaRef-$AN87=1," día"," días"),IF($AN87=FechaRef,"Vence hoy",IF($AN87-FechaRef&lt;=DiasAlerta,"Vence en "&amp;($AN87-FechaRef)&amp;IF($AN87-FechaRef=1," día"," días"),"En plazo")))))))</f>
        <v/>
      </c>
      <c r="P87" s="62" t="n"/>
      <c r="Q87" s="58" t="n"/>
      <c r="R87" s="63">
        <f>IF(NOT((COUNTA($B87:$D87)+COUNTA($G87:$L87)+COUNTA($Q87))&gt;0),"",IF((IF($C87="","Falta el nombre de la actividad"&amp;" · ","")&amp;IF(AND($V87="Sub",N($U87)=0),"Subactividad sin macroactividad arriba"&amp;" · ","")&amp;IF($AM87="","Sin fecha de inicio"&amp;" · ","")&amp;IF($AN87="","Sin fecha límite"&amp;" · ","")&amp;IF(AND(LEFT($C87,11)="[Jefatura] ",N($AL87)=0),"No se encuentra en la hoja de la jefatura (elíjala de nuevo en la lista)"&amp;" · ","")&amp;IF(OR(AND($E87&lt;&gt;"",NOT(ISNUMBER($E87))),AND($F87&lt;&gt;"",NOT(ISNUMBER($F87))),AND($G87&lt;&gt;"",NOT(ISNUMBER($G87)))),"Fecha no válida"&amp;" · ","")&amp;IF(AND(ISNUMBER($AM87),ISNUMBER($AN87),$AM87&gt;$AN87),"Inicio posterior a fecha límite"&amp;" · ","")&amp;IF(AND($V87="Macro",$H87&lt;&gt;"",OR(NOT(ISNUMBER($H87)),$H87&lt;0,$H87&gt;1)),"Peso fuera de rango"&amp;" · ","")&amp;IF(AND($V87="Sub",$H87&lt;&gt;""),"Las subactividades no llevan peso (valen igual dentro de su macroactividad)"&amp;" · ","")&amp;IF(AND(N($W87)&gt;0,COUNT($I87:$L87)&gt;0),"Con subactividades: deje vacías las semanas (se calculan solas)"&amp;" · ","")&amp;IF((COUNTIF($I87:$L87,"&gt;1")+COUNTIF($I87:$L87,"&lt;0")+COUNTA($I87:$L87)-COUNT($I87:$L87))&gt;0,"Avance fuera de rango 0-100%"&amp;" · ","")&amp;IF(OR(AND($J87&lt;&gt;"",$J87&lt;$I87),AND($K87&lt;&gt;"",$K87&lt;MAX($I87:$J87)),AND($L87&lt;&gt;"",$L87&lt;MAX($I87:$K87))),"Avance semanal decreciente"&amp;" · ","")&amp;IF(AND(ISNUMBER($AN87),$AN87&lt;FechaRef,IF($V87="Sub",N($X87),N($M87))&lt;1),"Vencida"&amp;" · ","")&amp;IF(AND(ObsObligatoria="Sí",ISNUMBER($AN87),$AN87&lt;FechaRef,IF($V87="Sub",N($X87),N($M87))&lt;1,$Q87=""),"Vencida sin observación"&amp;" · ",""))="","✔ OK","⚠ "&amp;LEFT(IF($C87="","Falta el nombre de la actividad"&amp;" · ","")&amp;IF(AND($V87="Sub",N($U87)=0),"Subactividad sin macroactividad arriba"&amp;" · ","")&amp;IF($AM87="","Sin fecha de inicio"&amp;" · ","")&amp;IF($AN87="","Sin fecha límite"&amp;" · ","")&amp;IF(AND(LEFT($C87,11)="[Jefatura] ",N($AL87)=0),"No se encuentra en la hoja de la jefatura (elíjala de nuevo en la lista)"&amp;" · ","")&amp;IF(OR(AND($E87&lt;&gt;"",NOT(ISNUMBER($E87))),AND($F87&lt;&gt;"",NOT(ISNUMBER($F87))),AND($G87&lt;&gt;"",NOT(ISNUMBER($G87)))),"Fecha no válida"&amp;" · ","")&amp;IF(AND(ISNUMBER($AM87),ISNUMBER($AN87),$AM87&gt;$AN87),"Inicio posterior a fecha límite"&amp;" · ","")&amp;IF(AND($V87="Macro",$H87&lt;&gt;"",OR(NOT(ISNUMBER($H87)),$H87&lt;0,$H87&gt;1)),"Peso fuera de rango"&amp;" · ","")&amp;IF(AND($V87="Sub",$H87&lt;&gt;""),"Las subactividades no llevan peso (valen igual dentro de su macroactividad)"&amp;" · ","")&amp;IF(AND(N($W87)&gt;0,COUNT($I87:$L87)&gt;0),"Con subactividades: deje vacías las semanas (se calculan solas)"&amp;" · ","")&amp;IF((COUNTIF($I87:$L87,"&gt;1")+COUNTIF($I87:$L87,"&lt;0")+COUNTA($I87:$L87)-COUNT($I87:$L87))&gt;0,"Avance fuera de rango 0-100%"&amp;" · ","")&amp;IF(OR(AND($J87&lt;&gt;"",$J87&lt;$I87),AND($K87&lt;&gt;"",$K87&lt;MAX($I87:$J87)),AND($L87&lt;&gt;"",$L87&lt;MAX($I87:$K87))),"Avance semanal decreciente"&amp;" · ","")&amp;IF(AND(ISNUMBER($AN87),$AN87&lt;FechaRef,IF($V87="Sub",N($X87),N($M87))&lt;1),"Vencida"&amp;" · ","")&amp;IF(AND(ObsObligatoria="Sí",ISNUMBER($AN87),$AN87&lt;FechaRef,IF($V87="Sub",N($X87),N($M87))&lt;1,$Q87=""),"Vencida sin observación"&amp;" · ",""),LEN(IF($C87="","Falta el nombre de la actividad"&amp;" · ","")&amp;IF(AND($V87="Sub",N($U87)=0),"Subactividad sin macroactividad arriba"&amp;" · ","")&amp;IF($AM87="","Sin fecha de inicio"&amp;" · ","")&amp;IF($AN87="","Sin fecha límite"&amp;" · ","")&amp;IF(AND(LEFT($C87,11)="[Jefatura] ",N($AL87)=0),"No se encuentra en la hoja de la jefatura (elíjala de nuevo en la lista)"&amp;" · ","")&amp;IF(OR(AND($E87&lt;&gt;"",NOT(ISNUMBER($E87))),AND($F87&lt;&gt;"",NOT(ISNUMBER($F87))),AND($G87&lt;&gt;"",NOT(ISNUMBER($G87)))),"Fecha no válida"&amp;" · ","")&amp;IF(AND(ISNUMBER($AM87),ISNUMBER($AN87),$AM87&gt;$AN87),"Inicio posterior a fecha límite"&amp;" · ","")&amp;IF(AND($V87="Macro",$H87&lt;&gt;"",OR(NOT(ISNUMBER($H87)),$H87&lt;0,$H87&gt;1)),"Peso fuera de rango"&amp;" · ","")&amp;IF(AND($V87="Sub",$H87&lt;&gt;""),"Las subactividades no llevan peso (valen igual dentro de su macroactividad)"&amp;" · ","")&amp;IF(AND(N($W87)&gt;0,COUNT($I87:$L87)&gt;0),"Con subactividades: deje vacías las semanas (se calculan solas)"&amp;" · ","")&amp;IF((COUNTIF($I87:$L87,"&gt;1")+COUNTIF($I87:$L87,"&lt;0")+COUNTA($I87:$L87)-COUNT($I87:$L87))&gt;0,"Avance fuera de rango 0-100%"&amp;" · ","")&amp;IF(OR(AND($J87&lt;&gt;"",$J87&lt;$I87),AND($K87&lt;&gt;"",$K87&lt;MAX($I87:$J87)),AND($L87&lt;&gt;"",$L87&lt;MAX($I87:$K87))),"Avance semanal decreciente"&amp;" · ","")&amp;IF(AND(ISNUMBER($AN87),$AN87&lt;FechaRef,IF($V87="Sub",N($X87),N($M87))&lt;1),"Vencida"&amp;" · ","")&amp;IF(AND(ObsObligatoria="Sí",ISNUMBER($AN87),$AN87&lt;FechaRef,IF($V87="Sub",N($X87),N($M87))&lt;1,$Q87=""),"Vencida sin observación"&amp;" · ",""))-3)))</f>
        <v/>
      </c>
      <c r="S87" s="64">
        <f>IF(NOT((COUNTA($B87:$D87)+COUNTA($G87:$L87)+COUNTA($Q87))&gt;0),"",IF(AND($V87="Sub",N($U87)&gt;0),IF(ISNUMBER(INDEX($AM$5:$AM$1000,$U87-4)),DATE(YEAR(INDEX($AM$5:$AM$1000,$U87-4)),MONTH(INDEX($AM$5:$AM$1000,$U87-4)),1),IF(ISNUMBER(INDEX($AN$5:$AN$1000,$U87-4)),DATE(YEAR(INDEX($AN$5:$AN$1000,$U87-4)),MONTH(INDEX($AN$5:$AN$1000,$U87-4)),1),MesCiclo)),IF(ISNUMBER($AM87),DATE(YEAR($AM87),MONTH($AM87),1),IF(ISNUMBER($AN87),DATE(YEAR($AN87),MONTH($AN87),1),MesCiclo))))</f>
        <v/>
      </c>
      <c r="T87" s="62">
        <f>IF(OR($S87="",$S87&lt;&gt;MesCiclo,$V87&lt;&gt;"Macro"),"",COUNTIFS($S$5:$S87,MesCiclo,$V$5:$V87,"Macro"))</f>
        <v/>
      </c>
      <c r="U87" s="62">
        <f>IF($V87="","",IF($V87="Macro",ROW(),IFERROR(LOOKUP(2,1/($V$5:$V87="Macro"),ROW($V$5:$V87)),0)))</f>
        <v/>
      </c>
      <c r="V87" s="62">
        <f>IF(NOT((COUNTA($B87:$D87)+COUNTA($G87:$L87)+COUNTA($Q87))&gt;0),"",IF($B87="Subactividad","Sub","Macro"))</f>
        <v/>
      </c>
      <c r="W87" s="62">
        <f>IF($V87="Macro",COUNTIFS($U$5:$U$1000,ROW(),$V$5:$V$1000,"Sub"),"")</f>
        <v/>
      </c>
      <c r="X87" s="62">
        <f>IF($V87="","",IF(ISNUMBER($G87),1,IFERROR(LOOKUP(2,1/($I87:$L87&lt;&gt;""),$I87:$L87),0)))</f>
        <v/>
      </c>
      <c r="Y87" s="62">
        <f>IF($V87="","",IF(AND(ISNUMBER($G87),$G87&lt;=IF($S87=MesCiclo,InicioCiclo,$S87+MOD(2-WEEKDAY($S87),7))+6),1,IF(ISNUMBER($I87),$I87,0)))</f>
        <v/>
      </c>
      <c r="Z87" s="62">
        <f>IF($V87="","",IF(AND(ISNUMBER($G87),$G87&lt;=IF($S87=MesCiclo,InicioCiclo,$S87+MOD(2-WEEKDAY($S87),7))+13),1,IF(ISNUMBER($J87),$J87,$Y87)))</f>
        <v/>
      </c>
      <c r="AA87" s="62">
        <f>IF($V87="","",IF(AND(ISNUMBER($G87),$G87&lt;=IF($S87=MesCiclo,InicioCiclo,$S87+MOD(2-WEEKDAY($S87),7))+20),1,IF(ISNUMBER($K87),$K87,$Z87)))</f>
        <v/>
      </c>
      <c r="AB87" s="62">
        <f>IF($V87="","",IF(AND(ISNUMBER($G87),$G87&lt;=IF($S87=MesCiclo,InicioCiclo,$S87+MOD(2-WEEKDAY($S87),7))+27),1,IF(ISNUMBER($L87),$L87,$AA87)))</f>
        <v/>
      </c>
      <c r="AC87" s="62">
        <f>IF($V87="","",IF(AND(ISNUMBER($G87),$G87&lt;=IF($S87=MesCiclo,InicioCiclo,$S87+MOD(2-WEEKDAY($S87),7))+6),1,IF(N($W87)&gt;0,AVERAGEIFS($Y$5:$Y$1000,$U$5:$U$1000,ROW(),$V$5:$V$1000,"Sub"),$Y87)))</f>
        <v/>
      </c>
      <c r="AD87" s="62">
        <f>IF($V87="","",IF(AND(ISNUMBER($G87),$G87&lt;=IF($S87=MesCiclo,InicioCiclo,$S87+MOD(2-WEEKDAY($S87),7))+13),1,IF(N($W87)&gt;0,AVERAGEIFS($Z$5:$Z$1000,$U$5:$U$1000,ROW(),$V$5:$V$1000,"Sub"),$Z87)))</f>
        <v/>
      </c>
      <c r="AE87" s="62">
        <f>IF($V87="","",IF(AND(ISNUMBER($G87),$G87&lt;=IF($S87=MesCiclo,InicioCiclo,$S87+MOD(2-WEEKDAY($S87),7))+20),1,IF(N($W87)&gt;0,AVERAGEIFS($AA$5:$AA$1000,$U$5:$U$1000,ROW(),$V$5:$V$1000,"Sub"),$AA87)))</f>
        <v/>
      </c>
      <c r="AF87" s="62">
        <f>IF($V87="","",IF(AND(ISNUMBER($G87),$G87&lt;=IF($S87=MesCiclo,InicioCiclo,$S87+MOD(2-WEEKDAY($S87),7))+27),1,IF(N($W87)&gt;0,AVERAGEIFS($AB$5:$AB$1000,$U$5:$U$1000,ROW(),$V$5:$V$1000,"Sub"),$AB87)))</f>
        <v/>
      </c>
      <c r="AG87" s="62">
        <f>IF($V87&lt;&gt;"Macro","",IF(COUNTIFS($S$5:$S$1000,$S87,$V$5:$V$1000,"Macro",$H$5:$H$1000,"&gt;0")=0,1/COUNTIFS($S$5:$S$1000,$S87,$V$5:$V$1000,"Macro"),IF(AND(ISNUMBER($H87),N($H87)&gt;0),$H87,SUMIFS($H$5:$H$1000,$S$5:$S$1000,$S87,$V$5:$V$1000,"Macro")/COUNTIFS($S$5:$S$1000,$S87,$V$5:$V$1000,"Macro",$H$5:$H$1000,"&gt;0"))/(COUNTIFS($S$5:$S$1000,$S87,$V$5:$V$1000,"Macro")*SUMIFS($H$5:$H$1000,$S$5:$S$1000,$S87,$V$5:$V$1000,"Macro")/COUNTIFS($S$5:$S$1000,$S87,$V$5:$V$1000,"Macro",$H$5:$H$1000,"&gt;0"))))</f>
        <v/>
      </c>
      <c r="AH87" s="62" t="n"/>
      <c r="AI87" s="62" t="n"/>
      <c r="AJ87" s="62" t="n"/>
      <c r="AK87" s="62" t="n"/>
      <c r="AL87" s="62">
        <f>IF(LEFT($C87,11)="[Jefatura] ",IFERROR(MATCH("Riesgo Financiero|"&amp;MID($C87,12,500),rDname_ADM,0),0),"")</f>
        <v/>
      </c>
      <c r="AM87" s="62">
        <f>IF(N($AL87)&gt;0,INDEX(rIni_ADM,$AL87),IF(ISNUMBER($E87),$E87,""))</f>
        <v/>
      </c>
      <c r="AN87" s="62">
        <f>IF(N($AL87)&gt;0,INDEX(rLim_ADM,$AL87),IF(ISNUMBER($F87),$F87,""))</f>
        <v/>
      </c>
    </row>
    <row r="88">
      <c r="A88" s="56">
        <f>IF(NOT((COUNTA($B88:$D88)+COUNTA($G88:$L88)+COUNTA($Q88))&gt;0),"",IF($V88="Macro",COUNTIFS($V$5:$V88,"Macro",$S$5:$S88,$S88),IF(N($U88)=0,"?",COUNTIFS(INDEX($V$5:$V$1000,1):INDEX($V$5:$V$1000,$U88-4),"Macro",INDEX($S$5:$S$1000,1):INDEX($S$5:$S$1000,$U88-4),INDEX($S$5:$S$1000,$U88-4))&amp;"."&amp;COUNTIFS($U$5:$U88,$U88,$V$5:$V88,"Sub"))))</f>
        <v/>
      </c>
      <c r="B88" s="57" t="n"/>
      <c r="C88" s="58" t="n"/>
      <c r="D88" s="58" t="n"/>
      <c r="E88" s="59">
        <f>IF(N($AL88)&gt;0,INDEX(rIni_ADM,$AL88),"")</f>
        <v/>
      </c>
      <c r="F88" s="59">
        <f>IF(N($AL88)&gt;0,INDEX(rLim_ADM,$AL88),"")</f>
        <v/>
      </c>
      <c r="G88" s="59" t="n"/>
      <c r="H88" s="60" t="n"/>
      <c r="I88" s="60" t="n"/>
      <c r="J88" s="60" t="n"/>
      <c r="K88" s="60" t="n"/>
      <c r="L88" s="60" t="n"/>
      <c r="M88" s="61">
        <f>IF(NOT((COUNTA($B88:$D88)+COUNTA($G88:$L88)+COUNTA($Q88))&gt;0),"",IF($V88="Sub",IFERROR($X88/INDEX($W$5:$W$1000,$U88-4),""),IF(ISNUMBER($G88),1,IF(N($W88)&gt;0,AVERAGEIFS($X$5:$X$1000,$U$5:$U$1000,ROW(),$V$5:$V$1000,"Sub"),$X88))))</f>
        <v/>
      </c>
      <c r="N88" s="56">
        <f>IF(OR($M88="",$V88="Sub"),"",IF($M88&gt;=1,"Completado",IF($M88&gt;0,"En curso","Pendiente")))</f>
        <v/>
      </c>
      <c r="O88" s="56">
        <f>IF(OR(NOT((COUNTA($B88:$D88)+COUNTA($G88:$L88)+COUNTA($Q88))&gt;0),$V88="Sub"),"",IF(ISNUMBER($G88),IF(AND(ISNUMBER($AN88),$G88&gt;$AN88),"Cumplida con "&amp;($G88-$AN88)&amp;IF($G88-$AN88=1," día"," días")&amp;" de retraso","Cumplida"),IF(N($M88)&gt;=1,"Cumplida",IF(NOT(ISNUMBER($AN88)),"Sin fecha límite",IF($AN88&lt;FechaRef,"Vencida hace "&amp;(FechaRef-$AN88)&amp;IF(FechaRef-$AN88=1," día"," días"),IF($AN88=FechaRef,"Vence hoy",IF($AN88-FechaRef&lt;=DiasAlerta,"Vence en "&amp;($AN88-FechaRef)&amp;IF($AN88-FechaRef=1," día"," días"),"En plazo")))))))</f>
        <v/>
      </c>
      <c r="P88" s="62" t="n"/>
      <c r="Q88" s="58" t="n"/>
      <c r="R88" s="63">
        <f>IF(NOT((COUNTA($B88:$D88)+COUNTA($G88:$L88)+COUNTA($Q88))&gt;0),"",IF((IF($C88="","Falta el nombre de la actividad"&amp;" · ","")&amp;IF(AND($V88="Sub",N($U88)=0),"Subactividad sin macroactividad arriba"&amp;" · ","")&amp;IF($AM88="","Sin fecha de inicio"&amp;" · ","")&amp;IF($AN88="","Sin fecha límite"&amp;" · ","")&amp;IF(AND(LEFT($C88,11)="[Jefatura] ",N($AL88)=0),"No se encuentra en la hoja de la jefatura (elíjala de nuevo en la lista)"&amp;" · ","")&amp;IF(OR(AND($E88&lt;&gt;"",NOT(ISNUMBER($E88))),AND($F88&lt;&gt;"",NOT(ISNUMBER($F88))),AND($G88&lt;&gt;"",NOT(ISNUMBER($G88)))),"Fecha no válida"&amp;" · ","")&amp;IF(AND(ISNUMBER($AM88),ISNUMBER($AN88),$AM88&gt;$AN88),"Inicio posterior a fecha límite"&amp;" · ","")&amp;IF(AND($V88="Macro",$H88&lt;&gt;"",OR(NOT(ISNUMBER($H88)),$H88&lt;0,$H88&gt;1)),"Peso fuera de rango"&amp;" · ","")&amp;IF(AND($V88="Sub",$H88&lt;&gt;""),"Las subactividades no llevan peso (valen igual dentro de su macroactividad)"&amp;" · ","")&amp;IF(AND(N($W88)&gt;0,COUNT($I88:$L88)&gt;0),"Con subactividades: deje vacías las semanas (se calculan solas)"&amp;" · ","")&amp;IF((COUNTIF($I88:$L88,"&gt;1")+COUNTIF($I88:$L88,"&lt;0")+COUNTA($I88:$L88)-COUNT($I88:$L88))&gt;0,"Avance fuera de rango 0-100%"&amp;" · ","")&amp;IF(OR(AND($J88&lt;&gt;"",$J88&lt;$I88),AND($K88&lt;&gt;"",$K88&lt;MAX($I88:$J88)),AND($L88&lt;&gt;"",$L88&lt;MAX($I88:$K88))),"Avance semanal decreciente"&amp;" · ","")&amp;IF(AND(ISNUMBER($AN88),$AN88&lt;FechaRef,IF($V88="Sub",N($X88),N($M88))&lt;1),"Vencida"&amp;" · ","")&amp;IF(AND(ObsObligatoria="Sí",ISNUMBER($AN88),$AN88&lt;FechaRef,IF($V88="Sub",N($X88),N($M88))&lt;1,$Q88=""),"Vencida sin observación"&amp;" · ",""))="","✔ OK","⚠ "&amp;LEFT(IF($C88="","Falta el nombre de la actividad"&amp;" · ","")&amp;IF(AND($V88="Sub",N($U88)=0),"Subactividad sin macroactividad arriba"&amp;" · ","")&amp;IF($AM88="","Sin fecha de inicio"&amp;" · ","")&amp;IF($AN88="","Sin fecha límite"&amp;" · ","")&amp;IF(AND(LEFT($C88,11)="[Jefatura] ",N($AL88)=0),"No se encuentra en la hoja de la jefatura (elíjala de nuevo en la lista)"&amp;" · ","")&amp;IF(OR(AND($E88&lt;&gt;"",NOT(ISNUMBER($E88))),AND($F88&lt;&gt;"",NOT(ISNUMBER($F88))),AND($G88&lt;&gt;"",NOT(ISNUMBER($G88)))),"Fecha no válida"&amp;" · ","")&amp;IF(AND(ISNUMBER($AM88),ISNUMBER($AN88),$AM88&gt;$AN88),"Inicio posterior a fecha límite"&amp;" · ","")&amp;IF(AND($V88="Macro",$H88&lt;&gt;"",OR(NOT(ISNUMBER($H88)),$H88&lt;0,$H88&gt;1)),"Peso fuera de rango"&amp;" · ","")&amp;IF(AND($V88="Sub",$H88&lt;&gt;""),"Las subactividades no llevan peso (valen igual dentro de su macroactividad)"&amp;" · ","")&amp;IF(AND(N($W88)&gt;0,COUNT($I88:$L88)&gt;0),"Con subactividades: deje vacías las semanas (se calculan solas)"&amp;" · ","")&amp;IF((COUNTIF($I88:$L88,"&gt;1")+COUNTIF($I88:$L88,"&lt;0")+COUNTA($I88:$L88)-COUNT($I88:$L88))&gt;0,"Avance fuera de rango 0-100%"&amp;" · ","")&amp;IF(OR(AND($J88&lt;&gt;"",$J88&lt;$I88),AND($K88&lt;&gt;"",$K88&lt;MAX($I88:$J88)),AND($L88&lt;&gt;"",$L88&lt;MAX($I88:$K88))),"Avance semanal decreciente"&amp;" · ","")&amp;IF(AND(ISNUMBER($AN88),$AN88&lt;FechaRef,IF($V88="Sub",N($X88),N($M88))&lt;1),"Vencida"&amp;" · ","")&amp;IF(AND(ObsObligatoria="Sí",ISNUMBER($AN88),$AN88&lt;FechaRef,IF($V88="Sub",N($X88),N($M88))&lt;1,$Q88=""),"Vencida sin observación"&amp;" · ",""),LEN(IF($C88="","Falta el nombre de la actividad"&amp;" · ","")&amp;IF(AND($V88="Sub",N($U88)=0),"Subactividad sin macroactividad arriba"&amp;" · ","")&amp;IF($AM88="","Sin fecha de inicio"&amp;" · ","")&amp;IF($AN88="","Sin fecha límite"&amp;" · ","")&amp;IF(AND(LEFT($C88,11)="[Jefatura] ",N($AL88)=0),"No se encuentra en la hoja de la jefatura (elíjala de nuevo en la lista)"&amp;" · ","")&amp;IF(OR(AND($E88&lt;&gt;"",NOT(ISNUMBER($E88))),AND($F88&lt;&gt;"",NOT(ISNUMBER($F88))),AND($G88&lt;&gt;"",NOT(ISNUMBER($G88)))),"Fecha no válida"&amp;" · ","")&amp;IF(AND(ISNUMBER($AM88),ISNUMBER($AN88),$AM88&gt;$AN88),"Inicio posterior a fecha límite"&amp;" · ","")&amp;IF(AND($V88="Macro",$H88&lt;&gt;"",OR(NOT(ISNUMBER($H88)),$H88&lt;0,$H88&gt;1)),"Peso fuera de rango"&amp;" · ","")&amp;IF(AND($V88="Sub",$H88&lt;&gt;""),"Las subactividades no llevan peso (valen igual dentro de su macroactividad)"&amp;" · ","")&amp;IF(AND(N($W88)&gt;0,COUNT($I88:$L88)&gt;0),"Con subactividades: deje vacías las semanas (se calculan solas)"&amp;" · ","")&amp;IF((COUNTIF($I88:$L88,"&gt;1")+COUNTIF($I88:$L88,"&lt;0")+COUNTA($I88:$L88)-COUNT($I88:$L88))&gt;0,"Avance fuera de rango 0-100%"&amp;" · ","")&amp;IF(OR(AND($J88&lt;&gt;"",$J88&lt;$I88),AND($K88&lt;&gt;"",$K88&lt;MAX($I88:$J88)),AND($L88&lt;&gt;"",$L88&lt;MAX($I88:$K88))),"Avance semanal decreciente"&amp;" · ","")&amp;IF(AND(ISNUMBER($AN88),$AN88&lt;FechaRef,IF($V88="Sub",N($X88),N($M88))&lt;1),"Vencida"&amp;" · ","")&amp;IF(AND(ObsObligatoria="Sí",ISNUMBER($AN88),$AN88&lt;FechaRef,IF($V88="Sub",N($X88),N($M88))&lt;1,$Q88=""),"Vencida sin observación"&amp;" · ",""))-3)))</f>
        <v/>
      </c>
      <c r="S88" s="64">
        <f>IF(NOT((COUNTA($B88:$D88)+COUNTA($G88:$L88)+COUNTA($Q88))&gt;0),"",IF(AND($V88="Sub",N($U88)&gt;0),IF(ISNUMBER(INDEX($AM$5:$AM$1000,$U88-4)),DATE(YEAR(INDEX($AM$5:$AM$1000,$U88-4)),MONTH(INDEX($AM$5:$AM$1000,$U88-4)),1),IF(ISNUMBER(INDEX($AN$5:$AN$1000,$U88-4)),DATE(YEAR(INDEX($AN$5:$AN$1000,$U88-4)),MONTH(INDEX($AN$5:$AN$1000,$U88-4)),1),MesCiclo)),IF(ISNUMBER($AM88),DATE(YEAR($AM88),MONTH($AM88),1),IF(ISNUMBER($AN88),DATE(YEAR($AN88),MONTH($AN88),1),MesCiclo))))</f>
        <v/>
      </c>
      <c r="T88" s="62">
        <f>IF(OR($S88="",$S88&lt;&gt;MesCiclo,$V88&lt;&gt;"Macro"),"",COUNTIFS($S$5:$S88,MesCiclo,$V$5:$V88,"Macro"))</f>
        <v/>
      </c>
      <c r="U88" s="62">
        <f>IF($V88="","",IF($V88="Macro",ROW(),IFERROR(LOOKUP(2,1/($V$5:$V88="Macro"),ROW($V$5:$V88)),0)))</f>
        <v/>
      </c>
      <c r="V88" s="62">
        <f>IF(NOT((COUNTA($B88:$D88)+COUNTA($G88:$L88)+COUNTA($Q88))&gt;0),"",IF($B88="Subactividad","Sub","Macro"))</f>
        <v/>
      </c>
      <c r="W88" s="62">
        <f>IF($V88="Macro",COUNTIFS($U$5:$U$1000,ROW(),$V$5:$V$1000,"Sub"),"")</f>
        <v/>
      </c>
      <c r="X88" s="62">
        <f>IF($V88="","",IF(ISNUMBER($G88),1,IFERROR(LOOKUP(2,1/($I88:$L88&lt;&gt;""),$I88:$L88),0)))</f>
        <v/>
      </c>
      <c r="Y88" s="62">
        <f>IF($V88="","",IF(AND(ISNUMBER($G88),$G88&lt;=IF($S88=MesCiclo,InicioCiclo,$S88+MOD(2-WEEKDAY($S88),7))+6),1,IF(ISNUMBER($I88),$I88,0)))</f>
        <v/>
      </c>
      <c r="Z88" s="62">
        <f>IF($V88="","",IF(AND(ISNUMBER($G88),$G88&lt;=IF($S88=MesCiclo,InicioCiclo,$S88+MOD(2-WEEKDAY($S88),7))+13),1,IF(ISNUMBER($J88),$J88,$Y88)))</f>
        <v/>
      </c>
      <c r="AA88" s="62">
        <f>IF($V88="","",IF(AND(ISNUMBER($G88),$G88&lt;=IF($S88=MesCiclo,InicioCiclo,$S88+MOD(2-WEEKDAY($S88),7))+20),1,IF(ISNUMBER($K88),$K88,$Z88)))</f>
        <v/>
      </c>
      <c r="AB88" s="62">
        <f>IF($V88="","",IF(AND(ISNUMBER($G88),$G88&lt;=IF($S88=MesCiclo,InicioCiclo,$S88+MOD(2-WEEKDAY($S88),7))+27),1,IF(ISNUMBER($L88),$L88,$AA88)))</f>
        <v/>
      </c>
      <c r="AC88" s="62">
        <f>IF($V88="","",IF(AND(ISNUMBER($G88),$G88&lt;=IF($S88=MesCiclo,InicioCiclo,$S88+MOD(2-WEEKDAY($S88),7))+6),1,IF(N($W88)&gt;0,AVERAGEIFS($Y$5:$Y$1000,$U$5:$U$1000,ROW(),$V$5:$V$1000,"Sub"),$Y88)))</f>
        <v/>
      </c>
      <c r="AD88" s="62">
        <f>IF($V88="","",IF(AND(ISNUMBER($G88),$G88&lt;=IF($S88=MesCiclo,InicioCiclo,$S88+MOD(2-WEEKDAY($S88),7))+13),1,IF(N($W88)&gt;0,AVERAGEIFS($Z$5:$Z$1000,$U$5:$U$1000,ROW(),$V$5:$V$1000,"Sub"),$Z88)))</f>
        <v/>
      </c>
      <c r="AE88" s="62">
        <f>IF($V88="","",IF(AND(ISNUMBER($G88),$G88&lt;=IF($S88=MesCiclo,InicioCiclo,$S88+MOD(2-WEEKDAY($S88),7))+20),1,IF(N($W88)&gt;0,AVERAGEIFS($AA$5:$AA$1000,$U$5:$U$1000,ROW(),$V$5:$V$1000,"Sub"),$AA88)))</f>
        <v/>
      </c>
      <c r="AF88" s="62">
        <f>IF($V88="","",IF(AND(ISNUMBER($G88),$G88&lt;=IF($S88=MesCiclo,InicioCiclo,$S88+MOD(2-WEEKDAY($S88),7))+27),1,IF(N($W88)&gt;0,AVERAGEIFS($AB$5:$AB$1000,$U$5:$U$1000,ROW(),$V$5:$V$1000,"Sub"),$AB88)))</f>
        <v/>
      </c>
      <c r="AG88" s="62">
        <f>IF($V88&lt;&gt;"Macro","",IF(COUNTIFS($S$5:$S$1000,$S88,$V$5:$V$1000,"Macro",$H$5:$H$1000,"&gt;0")=0,1/COUNTIFS($S$5:$S$1000,$S88,$V$5:$V$1000,"Macro"),IF(AND(ISNUMBER($H88),N($H88)&gt;0),$H88,SUMIFS($H$5:$H$1000,$S$5:$S$1000,$S88,$V$5:$V$1000,"Macro")/COUNTIFS($S$5:$S$1000,$S88,$V$5:$V$1000,"Macro",$H$5:$H$1000,"&gt;0"))/(COUNTIFS($S$5:$S$1000,$S88,$V$5:$V$1000,"Macro")*SUMIFS($H$5:$H$1000,$S$5:$S$1000,$S88,$V$5:$V$1000,"Macro")/COUNTIFS($S$5:$S$1000,$S88,$V$5:$V$1000,"Macro",$H$5:$H$1000,"&gt;0"))))</f>
        <v/>
      </c>
      <c r="AH88" s="62" t="n"/>
      <c r="AI88" s="62" t="n"/>
      <c r="AJ88" s="62" t="n"/>
      <c r="AK88" s="62" t="n"/>
      <c r="AL88" s="62">
        <f>IF(LEFT($C88,11)="[Jefatura] ",IFERROR(MATCH("Riesgo Financiero|"&amp;MID($C88,12,500),rDname_ADM,0),0),"")</f>
        <v/>
      </c>
      <c r="AM88" s="62">
        <f>IF(N($AL88)&gt;0,INDEX(rIni_ADM,$AL88),IF(ISNUMBER($E88),$E88,""))</f>
        <v/>
      </c>
      <c r="AN88" s="62">
        <f>IF(N($AL88)&gt;0,INDEX(rLim_ADM,$AL88),IF(ISNUMBER($F88),$F88,""))</f>
        <v/>
      </c>
    </row>
    <row r="89">
      <c r="A89" s="56">
        <f>IF(NOT((COUNTA($B89:$D89)+COUNTA($G89:$L89)+COUNTA($Q89))&gt;0),"",IF($V89="Macro",COUNTIFS($V$5:$V89,"Macro",$S$5:$S89,$S89),IF(N($U89)=0,"?",COUNTIFS(INDEX($V$5:$V$1000,1):INDEX($V$5:$V$1000,$U89-4),"Macro",INDEX($S$5:$S$1000,1):INDEX($S$5:$S$1000,$U89-4),INDEX($S$5:$S$1000,$U89-4))&amp;"."&amp;COUNTIFS($U$5:$U89,$U89,$V$5:$V89,"Sub"))))</f>
        <v/>
      </c>
      <c r="B89" s="57" t="n"/>
      <c r="C89" s="58" t="n"/>
      <c r="D89" s="58" t="n"/>
      <c r="E89" s="59">
        <f>IF(N($AL89)&gt;0,INDEX(rIni_ADM,$AL89),"")</f>
        <v/>
      </c>
      <c r="F89" s="59">
        <f>IF(N($AL89)&gt;0,INDEX(rLim_ADM,$AL89),"")</f>
        <v/>
      </c>
      <c r="G89" s="59" t="n"/>
      <c r="H89" s="60" t="n"/>
      <c r="I89" s="60" t="n"/>
      <c r="J89" s="60" t="n"/>
      <c r="K89" s="60" t="n"/>
      <c r="L89" s="60" t="n"/>
      <c r="M89" s="61">
        <f>IF(NOT((COUNTA($B89:$D89)+COUNTA($G89:$L89)+COUNTA($Q89))&gt;0),"",IF($V89="Sub",IFERROR($X89/INDEX($W$5:$W$1000,$U89-4),""),IF(ISNUMBER($G89),1,IF(N($W89)&gt;0,AVERAGEIFS($X$5:$X$1000,$U$5:$U$1000,ROW(),$V$5:$V$1000,"Sub"),$X89))))</f>
        <v/>
      </c>
      <c r="N89" s="56">
        <f>IF(OR($M89="",$V89="Sub"),"",IF($M89&gt;=1,"Completado",IF($M89&gt;0,"En curso","Pendiente")))</f>
        <v/>
      </c>
      <c r="O89" s="56">
        <f>IF(OR(NOT((COUNTA($B89:$D89)+COUNTA($G89:$L89)+COUNTA($Q89))&gt;0),$V89="Sub"),"",IF(ISNUMBER($G89),IF(AND(ISNUMBER($AN89),$G89&gt;$AN89),"Cumplida con "&amp;($G89-$AN89)&amp;IF($G89-$AN89=1," día"," días")&amp;" de retraso","Cumplida"),IF(N($M89)&gt;=1,"Cumplida",IF(NOT(ISNUMBER($AN89)),"Sin fecha límite",IF($AN89&lt;FechaRef,"Vencida hace "&amp;(FechaRef-$AN89)&amp;IF(FechaRef-$AN89=1," día"," días"),IF($AN89=FechaRef,"Vence hoy",IF($AN89-FechaRef&lt;=DiasAlerta,"Vence en "&amp;($AN89-FechaRef)&amp;IF($AN89-FechaRef=1," día"," días"),"En plazo")))))))</f>
        <v/>
      </c>
      <c r="P89" s="62" t="n"/>
      <c r="Q89" s="58" t="n"/>
      <c r="R89" s="63">
        <f>IF(NOT((COUNTA($B89:$D89)+COUNTA($G89:$L89)+COUNTA($Q89))&gt;0),"",IF((IF($C89="","Falta el nombre de la actividad"&amp;" · ","")&amp;IF(AND($V89="Sub",N($U89)=0),"Subactividad sin macroactividad arriba"&amp;" · ","")&amp;IF($AM89="","Sin fecha de inicio"&amp;" · ","")&amp;IF($AN89="","Sin fecha límite"&amp;" · ","")&amp;IF(AND(LEFT($C89,11)="[Jefatura] ",N($AL89)=0),"No se encuentra en la hoja de la jefatura (elíjala de nuevo en la lista)"&amp;" · ","")&amp;IF(OR(AND($E89&lt;&gt;"",NOT(ISNUMBER($E89))),AND($F89&lt;&gt;"",NOT(ISNUMBER($F89))),AND($G89&lt;&gt;"",NOT(ISNUMBER($G89)))),"Fecha no válida"&amp;" · ","")&amp;IF(AND(ISNUMBER($AM89),ISNUMBER($AN89),$AM89&gt;$AN89),"Inicio posterior a fecha límite"&amp;" · ","")&amp;IF(AND($V89="Macro",$H89&lt;&gt;"",OR(NOT(ISNUMBER($H89)),$H89&lt;0,$H89&gt;1)),"Peso fuera de rango"&amp;" · ","")&amp;IF(AND($V89="Sub",$H89&lt;&gt;""),"Las subactividades no llevan peso (valen igual dentro de su macroactividad)"&amp;" · ","")&amp;IF(AND(N($W89)&gt;0,COUNT($I89:$L89)&gt;0),"Con subactividades: deje vacías las semanas (se calculan solas)"&amp;" · ","")&amp;IF((COUNTIF($I89:$L89,"&gt;1")+COUNTIF($I89:$L89,"&lt;0")+COUNTA($I89:$L89)-COUNT($I89:$L89))&gt;0,"Avance fuera de rango 0-100%"&amp;" · ","")&amp;IF(OR(AND($J89&lt;&gt;"",$J89&lt;$I89),AND($K89&lt;&gt;"",$K89&lt;MAX($I89:$J89)),AND($L89&lt;&gt;"",$L89&lt;MAX($I89:$K89))),"Avance semanal decreciente"&amp;" · ","")&amp;IF(AND(ISNUMBER($AN89),$AN89&lt;FechaRef,IF($V89="Sub",N($X89),N($M89))&lt;1),"Vencida"&amp;" · ","")&amp;IF(AND(ObsObligatoria="Sí",ISNUMBER($AN89),$AN89&lt;FechaRef,IF($V89="Sub",N($X89),N($M89))&lt;1,$Q89=""),"Vencida sin observación"&amp;" · ",""))="","✔ OK","⚠ "&amp;LEFT(IF($C89="","Falta el nombre de la actividad"&amp;" · ","")&amp;IF(AND($V89="Sub",N($U89)=0),"Subactividad sin macroactividad arriba"&amp;" · ","")&amp;IF($AM89="","Sin fecha de inicio"&amp;" · ","")&amp;IF($AN89="","Sin fecha límite"&amp;" · ","")&amp;IF(AND(LEFT($C89,11)="[Jefatura] ",N($AL89)=0),"No se encuentra en la hoja de la jefatura (elíjala de nuevo en la lista)"&amp;" · ","")&amp;IF(OR(AND($E89&lt;&gt;"",NOT(ISNUMBER($E89))),AND($F89&lt;&gt;"",NOT(ISNUMBER($F89))),AND($G89&lt;&gt;"",NOT(ISNUMBER($G89)))),"Fecha no válida"&amp;" · ","")&amp;IF(AND(ISNUMBER($AM89),ISNUMBER($AN89),$AM89&gt;$AN89),"Inicio posterior a fecha límite"&amp;" · ","")&amp;IF(AND($V89="Macro",$H89&lt;&gt;"",OR(NOT(ISNUMBER($H89)),$H89&lt;0,$H89&gt;1)),"Peso fuera de rango"&amp;" · ","")&amp;IF(AND($V89="Sub",$H89&lt;&gt;""),"Las subactividades no llevan peso (valen igual dentro de su macroactividad)"&amp;" · ","")&amp;IF(AND(N($W89)&gt;0,COUNT($I89:$L89)&gt;0),"Con subactividades: deje vacías las semanas (se calculan solas)"&amp;" · ","")&amp;IF((COUNTIF($I89:$L89,"&gt;1")+COUNTIF($I89:$L89,"&lt;0")+COUNTA($I89:$L89)-COUNT($I89:$L89))&gt;0,"Avance fuera de rango 0-100%"&amp;" · ","")&amp;IF(OR(AND($J89&lt;&gt;"",$J89&lt;$I89),AND($K89&lt;&gt;"",$K89&lt;MAX($I89:$J89)),AND($L89&lt;&gt;"",$L89&lt;MAX($I89:$K89))),"Avance semanal decreciente"&amp;" · ","")&amp;IF(AND(ISNUMBER($AN89),$AN89&lt;FechaRef,IF($V89="Sub",N($X89),N($M89))&lt;1),"Vencida"&amp;" · ","")&amp;IF(AND(ObsObligatoria="Sí",ISNUMBER($AN89),$AN89&lt;FechaRef,IF($V89="Sub",N($X89),N($M89))&lt;1,$Q89=""),"Vencida sin observación"&amp;" · ",""),LEN(IF($C89="","Falta el nombre de la actividad"&amp;" · ","")&amp;IF(AND($V89="Sub",N($U89)=0),"Subactividad sin macroactividad arriba"&amp;" · ","")&amp;IF($AM89="","Sin fecha de inicio"&amp;" · ","")&amp;IF($AN89="","Sin fecha límite"&amp;" · ","")&amp;IF(AND(LEFT($C89,11)="[Jefatura] ",N($AL89)=0),"No se encuentra en la hoja de la jefatura (elíjala de nuevo en la lista)"&amp;" · ","")&amp;IF(OR(AND($E89&lt;&gt;"",NOT(ISNUMBER($E89))),AND($F89&lt;&gt;"",NOT(ISNUMBER($F89))),AND($G89&lt;&gt;"",NOT(ISNUMBER($G89)))),"Fecha no válida"&amp;" · ","")&amp;IF(AND(ISNUMBER($AM89),ISNUMBER($AN89),$AM89&gt;$AN89),"Inicio posterior a fecha límite"&amp;" · ","")&amp;IF(AND($V89="Macro",$H89&lt;&gt;"",OR(NOT(ISNUMBER($H89)),$H89&lt;0,$H89&gt;1)),"Peso fuera de rango"&amp;" · ","")&amp;IF(AND($V89="Sub",$H89&lt;&gt;""),"Las subactividades no llevan peso (valen igual dentro de su macroactividad)"&amp;" · ","")&amp;IF(AND(N($W89)&gt;0,COUNT($I89:$L89)&gt;0),"Con subactividades: deje vacías las semanas (se calculan solas)"&amp;" · ","")&amp;IF((COUNTIF($I89:$L89,"&gt;1")+COUNTIF($I89:$L89,"&lt;0")+COUNTA($I89:$L89)-COUNT($I89:$L89))&gt;0,"Avance fuera de rango 0-100%"&amp;" · ","")&amp;IF(OR(AND($J89&lt;&gt;"",$J89&lt;$I89),AND($K89&lt;&gt;"",$K89&lt;MAX($I89:$J89)),AND($L89&lt;&gt;"",$L89&lt;MAX($I89:$K89))),"Avance semanal decreciente"&amp;" · ","")&amp;IF(AND(ISNUMBER($AN89),$AN89&lt;FechaRef,IF($V89="Sub",N($X89),N($M89))&lt;1),"Vencida"&amp;" · ","")&amp;IF(AND(ObsObligatoria="Sí",ISNUMBER($AN89),$AN89&lt;FechaRef,IF($V89="Sub",N($X89),N($M89))&lt;1,$Q89=""),"Vencida sin observación"&amp;" · ",""))-3)))</f>
        <v/>
      </c>
      <c r="S89" s="64">
        <f>IF(NOT((COUNTA($B89:$D89)+COUNTA($G89:$L89)+COUNTA($Q89))&gt;0),"",IF(AND($V89="Sub",N($U89)&gt;0),IF(ISNUMBER(INDEX($AM$5:$AM$1000,$U89-4)),DATE(YEAR(INDEX($AM$5:$AM$1000,$U89-4)),MONTH(INDEX($AM$5:$AM$1000,$U89-4)),1),IF(ISNUMBER(INDEX($AN$5:$AN$1000,$U89-4)),DATE(YEAR(INDEX($AN$5:$AN$1000,$U89-4)),MONTH(INDEX($AN$5:$AN$1000,$U89-4)),1),MesCiclo)),IF(ISNUMBER($AM89),DATE(YEAR($AM89),MONTH($AM89),1),IF(ISNUMBER($AN89),DATE(YEAR($AN89),MONTH($AN89),1),MesCiclo))))</f>
        <v/>
      </c>
      <c r="T89" s="62">
        <f>IF(OR($S89="",$S89&lt;&gt;MesCiclo,$V89&lt;&gt;"Macro"),"",COUNTIFS($S$5:$S89,MesCiclo,$V$5:$V89,"Macro"))</f>
        <v/>
      </c>
      <c r="U89" s="62">
        <f>IF($V89="","",IF($V89="Macro",ROW(),IFERROR(LOOKUP(2,1/($V$5:$V89="Macro"),ROW($V$5:$V89)),0)))</f>
        <v/>
      </c>
      <c r="V89" s="62">
        <f>IF(NOT((COUNTA($B89:$D89)+COUNTA($G89:$L89)+COUNTA($Q89))&gt;0),"",IF($B89="Subactividad","Sub","Macro"))</f>
        <v/>
      </c>
      <c r="W89" s="62">
        <f>IF($V89="Macro",COUNTIFS($U$5:$U$1000,ROW(),$V$5:$V$1000,"Sub"),"")</f>
        <v/>
      </c>
      <c r="X89" s="62">
        <f>IF($V89="","",IF(ISNUMBER($G89),1,IFERROR(LOOKUP(2,1/($I89:$L89&lt;&gt;""),$I89:$L89),0)))</f>
        <v/>
      </c>
      <c r="Y89" s="62">
        <f>IF($V89="","",IF(AND(ISNUMBER($G89),$G89&lt;=IF($S89=MesCiclo,InicioCiclo,$S89+MOD(2-WEEKDAY($S89),7))+6),1,IF(ISNUMBER($I89),$I89,0)))</f>
        <v/>
      </c>
      <c r="Z89" s="62">
        <f>IF($V89="","",IF(AND(ISNUMBER($G89),$G89&lt;=IF($S89=MesCiclo,InicioCiclo,$S89+MOD(2-WEEKDAY($S89),7))+13),1,IF(ISNUMBER($J89),$J89,$Y89)))</f>
        <v/>
      </c>
      <c r="AA89" s="62">
        <f>IF($V89="","",IF(AND(ISNUMBER($G89),$G89&lt;=IF($S89=MesCiclo,InicioCiclo,$S89+MOD(2-WEEKDAY($S89),7))+20),1,IF(ISNUMBER($K89),$K89,$Z89)))</f>
        <v/>
      </c>
      <c r="AB89" s="62">
        <f>IF($V89="","",IF(AND(ISNUMBER($G89),$G89&lt;=IF($S89=MesCiclo,InicioCiclo,$S89+MOD(2-WEEKDAY($S89),7))+27),1,IF(ISNUMBER($L89),$L89,$AA89)))</f>
        <v/>
      </c>
      <c r="AC89" s="62">
        <f>IF($V89="","",IF(AND(ISNUMBER($G89),$G89&lt;=IF($S89=MesCiclo,InicioCiclo,$S89+MOD(2-WEEKDAY($S89),7))+6),1,IF(N($W89)&gt;0,AVERAGEIFS($Y$5:$Y$1000,$U$5:$U$1000,ROW(),$V$5:$V$1000,"Sub"),$Y89)))</f>
        <v/>
      </c>
      <c r="AD89" s="62">
        <f>IF($V89="","",IF(AND(ISNUMBER($G89),$G89&lt;=IF($S89=MesCiclo,InicioCiclo,$S89+MOD(2-WEEKDAY($S89),7))+13),1,IF(N($W89)&gt;0,AVERAGEIFS($Z$5:$Z$1000,$U$5:$U$1000,ROW(),$V$5:$V$1000,"Sub"),$Z89)))</f>
        <v/>
      </c>
      <c r="AE89" s="62">
        <f>IF($V89="","",IF(AND(ISNUMBER($G89),$G89&lt;=IF($S89=MesCiclo,InicioCiclo,$S89+MOD(2-WEEKDAY($S89),7))+20),1,IF(N($W89)&gt;0,AVERAGEIFS($AA$5:$AA$1000,$U$5:$U$1000,ROW(),$V$5:$V$1000,"Sub"),$AA89)))</f>
        <v/>
      </c>
      <c r="AF89" s="62">
        <f>IF($V89="","",IF(AND(ISNUMBER($G89),$G89&lt;=IF($S89=MesCiclo,InicioCiclo,$S89+MOD(2-WEEKDAY($S89),7))+27),1,IF(N($W89)&gt;0,AVERAGEIFS($AB$5:$AB$1000,$U$5:$U$1000,ROW(),$V$5:$V$1000,"Sub"),$AB89)))</f>
        <v/>
      </c>
      <c r="AG89" s="62">
        <f>IF($V89&lt;&gt;"Macro","",IF(COUNTIFS($S$5:$S$1000,$S89,$V$5:$V$1000,"Macro",$H$5:$H$1000,"&gt;0")=0,1/COUNTIFS($S$5:$S$1000,$S89,$V$5:$V$1000,"Macro"),IF(AND(ISNUMBER($H89),N($H89)&gt;0),$H89,SUMIFS($H$5:$H$1000,$S$5:$S$1000,$S89,$V$5:$V$1000,"Macro")/COUNTIFS($S$5:$S$1000,$S89,$V$5:$V$1000,"Macro",$H$5:$H$1000,"&gt;0"))/(COUNTIFS($S$5:$S$1000,$S89,$V$5:$V$1000,"Macro")*SUMIFS($H$5:$H$1000,$S$5:$S$1000,$S89,$V$5:$V$1000,"Macro")/COUNTIFS($S$5:$S$1000,$S89,$V$5:$V$1000,"Macro",$H$5:$H$1000,"&gt;0"))))</f>
        <v/>
      </c>
      <c r="AH89" s="62" t="n"/>
      <c r="AI89" s="62" t="n"/>
      <c r="AJ89" s="62" t="n"/>
      <c r="AK89" s="62" t="n"/>
      <c r="AL89" s="62">
        <f>IF(LEFT($C89,11)="[Jefatura] ",IFERROR(MATCH("Riesgo Financiero|"&amp;MID($C89,12,500),rDname_ADM,0),0),"")</f>
        <v/>
      </c>
      <c r="AM89" s="62">
        <f>IF(N($AL89)&gt;0,INDEX(rIni_ADM,$AL89),IF(ISNUMBER($E89),$E89,""))</f>
        <v/>
      </c>
      <c r="AN89" s="62">
        <f>IF(N($AL89)&gt;0,INDEX(rLim_ADM,$AL89),IF(ISNUMBER($F89),$F89,""))</f>
        <v/>
      </c>
    </row>
    <row r="90">
      <c r="A90" s="56">
        <f>IF(NOT((COUNTA($B90:$D90)+COUNTA($G90:$L90)+COUNTA($Q90))&gt;0),"",IF($V90="Macro",COUNTIFS($V$5:$V90,"Macro",$S$5:$S90,$S90),IF(N($U90)=0,"?",COUNTIFS(INDEX($V$5:$V$1000,1):INDEX($V$5:$V$1000,$U90-4),"Macro",INDEX($S$5:$S$1000,1):INDEX($S$5:$S$1000,$U90-4),INDEX($S$5:$S$1000,$U90-4))&amp;"."&amp;COUNTIFS($U$5:$U90,$U90,$V$5:$V90,"Sub"))))</f>
        <v/>
      </c>
      <c r="B90" s="57" t="n"/>
      <c r="C90" s="58" t="n"/>
      <c r="D90" s="58" t="n"/>
      <c r="E90" s="59">
        <f>IF(N($AL90)&gt;0,INDEX(rIni_ADM,$AL90),"")</f>
        <v/>
      </c>
      <c r="F90" s="59">
        <f>IF(N($AL90)&gt;0,INDEX(rLim_ADM,$AL90),"")</f>
        <v/>
      </c>
      <c r="G90" s="59" t="n"/>
      <c r="H90" s="60" t="n"/>
      <c r="I90" s="60" t="n"/>
      <c r="J90" s="60" t="n"/>
      <c r="K90" s="60" t="n"/>
      <c r="L90" s="60" t="n"/>
      <c r="M90" s="61">
        <f>IF(NOT((COUNTA($B90:$D90)+COUNTA($G90:$L90)+COUNTA($Q90))&gt;0),"",IF($V90="Sub",IFERROR($X90/INDEX($W$5:$W$1000,$U90-4),""),IF(ISNUMBER($G90),1,IF(N($W90)&gt;0,AVERAGEIFS($X$5:$X$1000,$U$5:$U$1000,ROW(),$V$5:$V$1000,"Sub"),$X90))))</f>
        <v/>
      </c>
      <c r="N90" s="56">
        <f>IF(OR($M90="",$V90="Sub"),"",IF($M90&gt;=1,"Completado",IF($M90&gt;0,"En curso","Pendiente")))</f>
        <v/>
      </c>
      <c r="O90" s="56">
        <f>IF(OR(NOT((COUNTA($B90:$D90)+COUNTA($G90:$L90)+COUNTA($Q90))&gt;0),$V90="Sub"),"",IF(ISNUMBER($G90),IF(AND(ISNUMBER($AN90),$G90&gt;$AN90),"Cumplida con "&amp;($G90-$AN90)&amp;IF($G90-$AN90=1," día"," días")&amp;" de retraso","Cumplida"),IF(N($M90)&gt;=1,"Cumplida",IF(NOT(ISNUMBER($AN90)),"Sin fecha límite",IF($AN90&lt;FechaRef,"Vencida hace "&amp;(FechaRef-$AN90)&amp;IF(FechaRef-$AN90=1," día"," días"),IF($AN90=FechaRef,"Vence hoy",IF($AN90-FechaRef&lt;=DiasAlerta,"Vence en "&amp;($AN90-FechaRef)&amp;IF($AN90-FechaRef=1," día"," días"),"En plazo")))))))</f>
        <v/>
      </c>
      <c r="P90" s="62" t="n"/>
      <c r="Q90" s="58" t="n"/>
      <c r="R90" s="63">
        <f>IF(NOT((COUNTA($B90:$D90)+COUNTA($G90:$L90)+COUNTA($Q90))&gt;0),"",IF((IF($C90="","Falta el nombre de la actividad"&amp;" · ","")&amp;IF(AND($V90="Sub",N($U90)=0),"Subactividad sin macroactividad arriba"&amp;" · ","")&amp;IF($AM90="","Sin fecha de inicio"&amp;" · ","")&amp;IF($AN90="","Sin fecha límite"&amp;" · ","")&amp;IF(AND(LEFT($C90,11)="[Jefatura] ",N($AL90)=0),"No se encuentra en la hoja de la jefatura (elíjala de nuevo en la lista)"&amp;" · ","")&amp;IF(OR(AND($E90&lt;&gt;"",NOT(ISNUMBER($E90))),AND($F90&lt;&gt;"",NOT(ISNUMBER($F90))),AND($G90&lt;&gt;"",NOT(ISNUMBER($G90)))),"Fecha no válida"&amp;" · ","")&amp;IF(AND(ISNUMBER($AM90),ISNUMBER($AN90),$AM90&gt;$AN90),"Inicio posterior a fecha límite"&amp;" · ","")&amp;IF(AND($V90="Macro",$H90&lt;&gt;"",OR(NOT(ISNUMBER($H90)),$H90&lt;0,$H90&gt;1)),"Peso fuera de rango"&amp;" · ","")&amp;IF(AND($V90="Sub",$H90&lt;&gt;""),"Las subactividades no llevan peso (valen igual dentro de su macroactividad)"&amp;" · ","")&amp;IF(AND(N($W90)&gt;0,COUNT($I90:$L90)&gt;0),"Con subactividades: deje vacías las semanas (se calculan solas)"&amp;" · ","")&amp;IF((COUNTIF($I90:$L90,"&gt;1")+COUNTIF($I90:$L90,"&lt;0")+COUNTA($I90:$L90)-COUNT($I90:$L90))&gt;0,"Avance fuera de rango 0-100%"&amp;" · ","")&amp;IF(OR(AND($J90&lt;&gt;"",$J90&lt;$I90),AND($K90&lt;&gt;"",$K90&lt;MAX($I90:$J90)),AND($L90&lt;&gt;"",$L90&lt;MAX($I90:$K90))),"Avance semanal decreciente"&amp;" · ","")&amp;IF(AND(ISNUMBER($AN90),$AN90&lt;FechaRef,IF($V90="Sub",N($X90),N($M90))&lt;1),"Vencida"&amp;" · ","")&amp;IF(AND(ObsObligatoria="Sí",ISNUMBER($AN90),$AN90&lt;FechaRef,IF($V90="Sub",N($X90),N($M90))&lt;1,$Q90=""),"Vencida sin observación"&amp;" · ",""))="","✔ OK","⚠ "&amp;LEFT(IF($C90="","Falta el nombre de la actividad"&amp;" · ","")&amp;IF(AND($V90="Sub",N($U90)=0),"Subactividad sin macroactividad arriba"&amp;" · ","")&amp;IF($AM90="","Sin fecha de inicio"&amp;" · ","")&amp;IF($AN90="","Sin fecha límite"&amp;" · ","")&amp;IF(AND(LEFT($C90,11)="[Jefatura] ",N($AL90)=0),"No se encuentra en la hoja de la jefatura (elíjala de nuevo en la lista)"&amp;" · ","")&amp;IF(OR(AND($E90&lt;&gt;"",NOT(ISNUMBER($E90))),AND($F90&lt;&gt;"",NOT(ISNUMBER($F90))),AND($G90&lt;&gt;"",NOT(ISNUMBER($G90)))),"Fecha no válida"&amp;" · ","")&amp;IF(AND(ISNUMBER($AM90),ISNUMBER($AN90),$AM90&gt;$AN90),"Inicio posterior a fecha límite"&amp;" · ","")&amp;IF(AND($V90="Macro",$H90&lt;&gt;"",OR(NOT(ISNUMBER($H90)),$H90&lt;0,$H90&gt;1)),"Peso fuera de rango"&amp;" · ","")&amp;IF(AND($V90="Sub",$H90&lt;&gt;""),"Las subactividades no llevan peso (valen igual dentro de su macroactividad)"&amp;" · ","")&amp;IF(AND(N($W90)&gt;0,COUNT($I90:$L90)&gt;0),"Con subactividades: deje vacías las semanas (se calculan solas)"&amp;" · ","")&amp;IF((COUNTIF($I90:$L90,"&gt;1")+COUNTIF($I90:$L90,"&lt;0")+COUNTA($I90:$L90)-COUNT($I90:$L90))&gt;0,"Avance fuera de rango 0-100%"&amp;" · ","")&amp;IF(OR(AND($J90&lt;&gt;"",$J90&lt;$I90),AND($K90&lt;&gt;"",$K90&lt;MAX($I90:$J90)),AND($L90&lt;&gt;"",$L90&lt;MAX($I90:$K90))),"Avance semanal decreciente"&amp;" · ","")&amp;IF(AND(ISNUMBER($AN90),$AN90&lt;FechaRef,IF($V90="Sub",N($X90),N($M90))&lt;1),"Vencida"&amp;" · ","")&amp;IF(AND(ObsObligatoria="Sí",ISNUMBER($AN90),$AN90&lt;FechaRef,IF($V90="Sub",N($X90),N($M90))&lt;1,$Q90=""),"Vencida sin observación"&amp;" · ",""),LEN(IF($C90="","Falta el nombre de la actividad"&amp;" · ","")&amp;IF(AND($V90="Sub",N($U90)=0),"Subactividad sin macroactividad arriba"&amp;" · ","")&amp;IF($AM90="","Sin fecha de inicio"&amp;" · ","")&amp;IF($AN90="","Sin fecha límite"&amp;" · ","")&amp;IF(AND(LEFT($C90,11)="[Jefatura] ",N($AL90)=0),"No se encuentra en la hoja de la jefatura (elíjala de nuevo en la lista)"&amp;" · ","")&amp;IF(OR(AND($E90&lt;&gt;"",NOT(ISNUMBER($E90))),AND($F90&lt;&gt;"",NOT(ISNUMBER($F90))),AND($G90&lt;&gt;"",NOT(ISNUMBER($G90)))),"Fecha no válida"&amp;" · ","")&amp;IF(AND(ISNUMBER($AM90),ISNUMBER($AN90),$AM90&gt;$AN90),"Inicio posterior a fecha límite"&amp;" · ","")&amp;IF(AND($V90="Macro",$H90&lt;&gt;"",OR(NOT(ISNUMBER($H90)),$H90&lt;0,$H90&gt;1)),"Peso fuera de rango"&amp;" · ","")&amp;IF(AND($V90="Sub",$H90&lt;&gt;""),"Las subactividades no llevan peso (valen igual dentro de su macroactividad)"&amp;" · ","")&amp;IF(AND(N($W90)&gt;0,COUNT($I90:$L90)&gt;0),"Con subactividades: deje vacías las semanas (se calculan solas)"&amp;" · ","")&amp;IF((COUNTIF($I90:$L90,"&gt;1")+COUNTIF($I90:$L90,"&lt;0")+COUNTA($I90:$L90)-COUNT($I90:$L90))&gt;0,"Avance fuera de rango 0-100%"&amp;" · ","")&amp;IF(OR(AND($J90&lt;&gt;"",$J90&lt;$I90),AND($K90&lt;&gt;"",$K90&lt;MAX($I90:$J90)),AND($L90&lt;&gt;"",$L90&lt;MAX($I90:$K90))),"Avance semanal decreciente"&amp;" · ","")&amp;IF(AND(ISNUMBER($AN90),$AN90&lt;FechaRef,IF($V90="Sub",N($X90),N($M90))&lt;1),"Vencida"&amp;" · ","")&amp;IF(AND(ObsObligatoria="Sí",ISNUMBER($AN90),$AN90&lt;FechaRef,IF($V90="Sub",N($X90),N($M90))&lt;1,$Q90=""),"Vencida sin observación"&amp;" · ",""))-3)))</f>
        <v/>
      </c>
      <c r="S90" s="64">
        <f>IF(NOT((COUNTA($B90:$D90)+COUNTA($G90:$L90)+COUNTA($Q90))&gt;0),"",IF(AND($V90="Sub",N($U90)&gt;0),IF(ISNUMBER(INDEX($AM$5:$AM$1000,$U90-4)),DATE(YEAR(INDEX($AM$5:$AM$1000,$U90-4)),MONTH(INDEX($AM$5:$AM$1000,$U90-4)),1),IF(ISNUMBER(INDEX($AN$5:$AN$1000,$U90-4)),DATE(YEAR(INDEX($AN$5:$AN$1000,$U90-4)),MONTH(INDEX($AN$5:$AN$1000,$U90-4)),1),MesCiclo)),IF(ISNUMBER($AM90),DATE(YEAR($AM90),MONTH($AM90),1),IF(ISNUMBER($AN90),DATE(YEAR($AN90),MONTH($AN90),1),MesCiclo))))</f>
        <v/>
      </c>
      <c r="T90" s="62">
        <f>IF(OR($S90="",$S90&lt;&gt;MesCiclo,$V90&lt;&gt;"Macro"),"",COUNTIFS($S$5:$S90,MesCiclo,$V$5:$V90,"Macro"))</f>
        <v/>
      </c>
      <c r="U90" s="62">
        <f>IF($V90="","",IF($V90="Macro",ROW(),IFERROR(LOOKUP(2,1/($V$5:$V90="Macro"),ROW($V$5:$V90)),0)))</f>
        <v/>
      </c>
      <c r="V90" s="62">
        <f>IF(NOT((COUNTA($B90:$D90)+COUNTA($G90:$L90)+COUNTA($Q90))&gt;0),"",IF($B90="Subactividad","Sub","Macro"))</f>
        <v/>
      </c>
      <c r="W90" s="62">
        <f>IF($V90="Macro",COUNTIFS($U$5:$U$1000,ROW(),$V$5:$V$1000,"Sub"),"")</f>
        <v/>
      </c>
      <c r="X90" s="62">
        <f>IF($V90="","",IF(ISNUMBER($G90),1,IFERROR(LOOKUP(2,1/($I90:$L90&lt;&gt;""),$I90:$L90),0)))</f>
        <v/>
      </c>
      <c r="Y90" s="62">
        <f>IF($V90="","",IF(AND(ISNUMBER($G90),$G90&lt;=IF($S90=MesCiclo,InicioCiclo,$S90+MOD(2-WEEKDAY($S90),7))+6),1,IF(ISNUMBER($I90),$I90,0)))</f>
        <v/>
      </c>
      <c r="Z90" s="62">
        <f>IF($V90="","",IF(AND(ISNUMBER($G90),$G90&lt;=IF($S90=MesCiclo,InicioCiclo,$S90+MOD(2-WEEKDAY($S90),7))+13),1,IF(ISNUMBER($J90),$J90,$Y90)))</f>
        <v/>
      </c>
      <c r="AA90" s="62">
        <f>IF($V90="","",IF(AND(ISNUMBER($G90),$G90&lt;=IF($S90=MesCiclo,InicioCiclo,$S90+MOD(2-WEEKDAY($S90),7))+20),1,IF(ISNUMBER($K90),$K90,$Z90)))</f>
        <v/>
      </c>
      <c r="AB90" s="62">
        <f>IF($V90="","",IF(AND(ISNUMBER($G90),$G90&lt;=IF($S90=MesCiclo,InicioCiclo,$S90+MOD(2-WEEKDAY($S90),7))+27),1,IF(ISNUMBER($L90),$L90,$AA90)))</f>
        <v/>
      </c>
      <c r="AC90" s="62">
        <f>IF($V90="","",IF(AND(ISNUMBER($G90),$G90&lt;=IF($S90=MesCiclo,InicioCiclo,$S90+MOD(2-WEEKDAY($S90),7))+6),1,IF(N($W90)&gt;0,AVERAGEIFS($Y$5:$Y$1000,$U$5:$U$1000,ROW(),$V$5:$V$1000,"Sub"),$Y90)))</f>
        <v/>
      </c>
      <c r="AD90" s="62">
        <f>IF($V90="","",IF(AND(ISNUMBER($G90),$G90&lt;=IF($S90=MesCiclo,InicioCiclo,$S90+MOD(2-WEEKDAY($S90),7))+13),1,IF(N($W90)&gt;0,AVERAGEIFS($Z$5:$Z$1000,$U$5:$U$1000,ROW(),$V$5:$V$1000,"Sub"),$Z90)))</f>
        <v/>
      </c>
      <c r="AE90" s="62">
        <f>IF($V90="","",IF(AND(ISNUMBER($G90),$G90&lt;=IF($S90=MesCiclo,InicioCiclo,$S90+MOD(2-WEEKDAY($S90),7))+20),1,IF(N($W90)&gt;0,AVERAGEIFS($AA$5:$AA$1000,$U$5:$U$1000,ROW(),$V$5:$V$1000,"Sub"),$AA90)))</f>
        <v/>
      </c>
      <c r="AF90" s="62">
        <f>IF($V90="","",IF(AND(ISNUMBER($G90),$G90&lt;=IF($S90=MesCiclo,InicioCiclo,$S90+MOD(2-WEEKDAY($S90),7))+27),1,IF(N($W90)&gt;0,AVERAGEIFS($AB$5:$AB$1000,$U$5:$U$1000,ROW(),$V$5:$V$1000,"Sub"),$AB90)))</f>
        <v/>
      </c>
      <c r="AG90" s="62">
        <f>IF($V90&lt;&gt;"Macro","",IF(COUNTIFS($S$5:$S$1000,$S90,$V$5:$V$1000,"Macro",$H$5:$H$1000,"&gt;0")=0,1/COUNTIFS($S$5:$S$1000,$S90,$V$5:$V$1000,"Macro"),IF(AND(ISNUMBER($H90),N($H90)&gt;0),$H90,SUMIFS($H$5:$H$1000,$S$5:$S$1000,$S90,$V$5:$V$1000,"Macro")/COUNTIFS($S$5:$S$1000,$S90,$V$5:$V$1000,"Macro",$H$5:$H$1000,"&gt;0"))/(COUNTIFS($S$5:$S$1000,$S90,$V$5:$V$1000,"Macro")*SUMIFS($H$5:$H$1000,$S$5:$S$1000,$S90,$V$5:$V$1000,"Macro")/COUNTIFS($S$5:$S$1000,$S90,$V$5:$V$1000,"Macro",$H$5:$H$1000,"&gt;0"))))</f>
        <v/>
      </c>
      <c r="AH90" s="62" t="n"/>
      <c r="AI90" s="62" t="n"/>
      <c r="AJ90" s="62" t="n"/>
      <c r="AK90" s="62" t="n"/>
      <c r="AL90" s="62">
        <f>IF(LEFT($C90,11)="[Jefatura] ",IFERROR(MATCH("Riesgo Financiero|"&amp;MID($C90,12,500),rDname_ADM,0),0),"")</f>
        <v/>
      </c>
      <c r="AM90" s="62">
        <f>IF(N($AL90)&gt;0,INDEX(rIni_ADM,$AL90),IF(ISNUMBER($E90),$E90,""))</f>
        <v/>
      </c>
      <c r="AN90" s="62">
        <f>IF(N($AL90)&gt;0,INDEX(rLim_ADM,$AL90),IF(ISNUMBER($F90),$F90,""))</f>
        <v/>
      </c>
    </row>
    <row r="91">
      <c r="A91" s="56">
        <f>IF(NOT((COUNTA($B91:$D91)+COUNTA($G91:$L91)+COUNTA($Q91))&gt;0),"",IF($V91="Macro",COUNTIFS($V$5:$V91,"Macro",$S$5:$S91,$S91),IF(N($U91)=0,"?",COUNTIFS(INDEX($V$5:$V$1000,1):INDEX($V$5:$V$1000,$U91-4),"Macro",INDEX($S$5:$S$1000,1):INDEX($S$5:$S$1000,$U91-4),INDEX($S$5:$S$1000,$U91-4))&amp;"."&amp;COUNTIFS($U$5:$U91,$U91,$V$5:$V91,"Sub"))))</f>
        <v/>
      </c>
      <c r="B91" s="57" t="n"/>
      <c r="C91" s="58" t="n"/>
      <c r="D91" s="58" t="n"/>
      <c r="E91" s="59">
        <f>IF(N($AL91)&gt;0,INDEX(rIni_ADM,$AL91),"")</f>
        <v/>
      </c>
      <c r="F91" s="59">
        <f>IF(N($AL91)&gt;0,INDEX(rLim_ADM,$AL91),"")</f>
        <v/>
      </c>
      <c r="G91" s="59" t="n"/>
      <c r="H91" s="60" t="n"/>
      <c r="I91" s="60" t="n"/>
      <c r="J91" s="60" t="n"/>
      <c r="K91" s="60" t="n"/>
      <c r="L91" s="60" t="n"/>
      <c r="M91" s="61">
        <f>IF(NOT((COUNTA($B91:$D91)+COUNTA($G91:$L91)+COUNTA($Q91))&gt;0),"",IF($V91="Sub",IFERROR($X91/INDEX($W$5:$W$1000,$U91-4),""),IF(ISNUMBER($G91),1,IF(N($W91)&gt;0,AVERAGEIFS($X$5:$X$1000,$U$5:$U$1000,ROW(),$V$5:$V$1000,"Sub"),$X91))))</f>
        <v/>
      </c>
      <c r="N91" s="56">
        <f>IF(OR($M91="",$V91="Sub"),"",IF($M91&gt;=1,"Completado",IF($M91&gt;0,"En curso","Pendiente")))</f>
        <v/>
      </c>
      <c r="O91" s="56">
        <f>IF(OR(NOT((COUNTA($B91:$D91)+COUNTA($G91:$L91)+COUNTA($Q91))&gt;0),$V91="Sub"),"",IF(ISNUMBER($G91),IF(AND(ISNUMBER($AN91),$G91&gt;$AN91),"Cumplida con "&amp;($G91-$AN91)&amp;IF($G91-$AN91=1," día"," días")&amp;" de retraso","Cumplida"),IF(N($M91)&gt;=1,"Cumplida",IF(NOT(ISNUMBER($AN91)),"Sin fecha límite",IF($AN91&lt;FechaRef,"Vencida hace "&amp;(FechaRef-$AN91)&amp;IF(FechaRef-$AN91=1," día"," días"),IF($AN91=FechaRef,"Vence hoy",IF($AN91-FechaRef&lt;=DiasAlerta,"Vence en "&amp;($AN91-FechaRef)&amp;IF($AN91-FechaRef=1," día"," días"),"En plazo")))))))</f>
        <v/>
      </c>
      <c r="P91" s="62" t="n"/>
      <c r="Q91" s="58" t="n"/>
      <c r="R91" s="63">
        <f>IF(NOT((COUNTA($B91:$D91)+COUNTA($G91:$L91)+COUNTA($Q91))&gt;0),"",IF((IF($C91="","Falta el nombre de la actividad"&amp;" · ","")&amp;IF(AND($V91="Sub",N($U91)=0),"Subactividad sin macroactividad arriba"&amp;" · ","")&amp;IF($AM91="","Sin fecha de inicio"&amp;" · ","")&amp;IF($AN91="","Sin fecha límite"&amp;" · ","")&amp;IF(AND(LEFT($C91,11)="[Jefatura] ",N($AL91)=0),"No se encuentra en la hoja de la jefatura (elíjala de nuevo en la lista)"&amp;" · ","")&amp;IF(OR(AND($E91&lt;&gt;"",NOT(ISNUMBER($E91))),AND($F91&lt;&gt;"",NOT(ISNUMBER($F91))),AND($G91&lt;&gt;"",NOT(ISNUMBER($G91)))),"Fecha no válida"&amp;" · ","")&amp;IF(AND(ISNUMBER($AM91),ISNUMBER($AN91),$AM91&gt;$AN91),"Inicio posterior a fecha límite"&amp;" · ","")&amp;IF(AND($V91="Macro",$H91&lt;&gt;"",OR(NOT(ISNUMBER($H91)),$H91&lt;0,$H91&gt;1)),"Peso fuera de rango"&amp;" · ","")&amp;IF(AND($V91="Sub",$H91&lt;&gt;""),"Las subactividades no llevan peso (valen igual dentro de su macroactividad)"&amp;" · ","")&amp;IF(AND(N($W91)&gt;0,COUNT($I91:$L91)&gt;0),"Con subactividades: deje vacías las semanas (se calculan solas)"&amp;" · ","")&amp;IF((COUNTIF($I91:$L91,"&gt;1")+COUNTIF($I91:$L91,"&lt;0")+COUNTA($I91:$L91)-COUNT($I91:$L91))&gt;0,"Avance fuera de rango 0-100%"&amp;" · ","")&amp;IF(OR(AND($J91&lt;&gt;"",$J91&lt;$I91),AND($K91&lt;&gt;"",$K91&lt;MAX($I91:$J91)),AND($L91&lt;&gt;"",$L91&lt;MAX($I91:$K91))),"Avance semanal decreciente"&amp;" · ","")&amp;IF(AND(ISNUMBER($AN91),$AN91&lt;FechaRef,IF($V91="Sub",N($X91),N($M91))&lt;1),"Vencida"&amp;" · ","")&amp;IF(AND(ObsObligatoria="Sí",ISNUMBER($AN91),$AN91&lt;FechaRef,IF($V91="Sub",N($X91),N($M91))&lt;1,$Q91=""),"Vencida sin observación"&amp;" · ",""))="","✔ OK","⚠ "&amp;LEFT(IF($C91="","Falta el nombre de la actividad"&amp;" · ","")&amp;IF(AND($V91="Sub",N($U91)=0),"Subactividad sin macroactividad arriba"&amp;" · ","")&amp;IF($AM91="","Sin fecha de inicio"&amp;" · ","")&amp;IF($AN91="","Sin fecha límite"&amp;" · ","")&amp;IF(AND(LEFT($C91,11)="[Jefatura] ",N($AL91)=0),"No se encuentra en la hoja de la jefatura (elíjala de nuevo en la lista)"&amp;" · ","")&amp;IF(OR(AND($E91&lt;&gt;"",NOT(ISNUMBER($E91))),AND($F91&lt;&gt;"",NOT(ISNUMBER($F91))),AND($G91&lt;&gt;"",NOT(ISNUMBER($G91)))),"Fecha no válida"&amp;" · ","")&amp;IF(AND(ISNUMBER($AM91),ISNUMBER($AN91),$AM91&gt;$AN91),"Inicio posterior a fecha límite"&amp;" · ","")&amp;IF(AND($V91="Macro",$H91&lt;&gt;"",OR(NOT(ISNUMBER($H91)),$H91&lt;0,$H91&gt;1)),"Peso fuera de rango"&amp;" · ","")&amp;IF(AND($V91="Sub",$H91&lt;&gt;""),"Las subactividades no llevan peso (valen igual dentro de su macroactividad)"&amp;" · ","")&amp;IF(AND(N($W91)&gt;0,COUNT($I91:$L91)&gt;0),"Con subactividades: deje vacías las semanas (se calculan solas)"&amp;" · ","")&amp;IF((COUNTIF($I91:$L91,"&gt;1")+COUNTIF($I91:$L91,"&lt;0")+COUNTA($I91:$L91)-COUNT($I91:$L91))&gt;0,"Avance fuera de rango 0-100%"&amp;" · ","")&amp;IF(OR(AND($J91&lt;&gt;"",$J91&lt;$I91),AND($K91&lt;&gt;"",$K91&lt;MAX($I91:$J91)),AND($L91&lt;&gt;"",$L91&lt;MAX($I91:$K91))),"Avance semanal decreciente"&amp;" · ","")&amp;IF(AND(ISNUMBER($AN91),$AN91&lt;FechaRef,IF($V91="Sub",N($X91),N($M91))&lt;1),"Vencida"&amp;" · ","")&amp;IF(AND(ObsObligatoria="Sí",ISNUMBER($AN91),$AN91&lt;FechaRef,IF($V91="Sub",N($X91),N($M91))&lt;1,$Q91=""),"Vencida sin observación"&amp;" · ",""),LEN(IF($C91="","Falta el nombre de la actividad"&amp;" · ","")&amp;IF(AND($V91="Sub",N($U91)=0),"Subactividad sin macroactividad arriba"&amp;" · ","")&amp;IF($AM91="","Sin fecha de inicio"&amp;" · ","")&amp;IF($AN91="","Sin fecha límite"&amp;" · ","")&amp;IF(AND(LEFT($C91,11)="[Jefatura] ",N($AL91)=0),"No se encuentra en la hoja de la jefatura (elíjala de nuevo en la lista)"&amp;" · ","")&amp;IF(OR(AND($E91&lt;&gt;"",NOT(ISNUMBER($E91))),AND($F91&lt;&gt;"",NOT(ISNUMBER($F91))),AND($G91&lt;&gt;"",NOT(ISNUMBER($G91)))),"Fecha no válida"&amp;" · ","")&amp;IF(AND(ISNUMBER($AM91),ISNUMBER($AN91),$AM91&gt;$AN91),"Inicio posterior a fecha límite"&amp;" · ","")&amp;IF(AND($V91="Macro",$H91&lt;&gt;"",OR(NOT(ISNUMBER($H91)),$H91&lt;0,$H91&gt;1)),"Peso fuera de rango"&amp;" · ","")&amp;IF(AND($V91="Sub",$H91&lt;&gt;""),"Las subactividades no llevan peso (valen igual dentro de su macroactividad)"&amp;" · ","")&amp;IF(AND(N($W91)&gt;0,COUNT($I91:$L91)&gt;0),"Con subactividades: deje vacías las semanas (se calculan solas)"&amp;" · ","")&amp;IF((COUNTIF($I91:$L91,"&gt;1")+COUNTIF($I91:$L91,"&lt;0")+COUNTA($I91:$L91)-COUNT($I91:$L91))&gt;0,"Avance fuera de rango 0-100%"&amp;" · ","")&amp;IF(OR(AND($J91&lt;&gt;"",$J91&lt;$I91),AND($K91&lt;&gt;"",$K91&lt;MAX($I91:$J91)),AND($L91&lt;&gt;"",$L91&lt;MAX($I91:$K91))),"Avance semanal decreciente"&amp;" · ","")&amp;IF(AND(ISNUMBER($AN91),$AN91&lt;FechaRef,IF($V91="Sub",N($X91),N($M91))&lt;1),"Vencida"&amp;" · ","")&amp;IF(AND(ObsObligatoria="Sí",ISNUMBER($AN91),$AN91&lt;FechaRef,IF($V91="Sub",N($X91),N($M91))&lt;1,$Q91=""),"Vencida sin observación"&amp;" · ",""))-3)))</f>
        <v/>
      </c>
      <c r="S91" s="64">
        <f>IF(NOT((COUNTA($B91:$D91)+COUNTA($G91:$L91)+COUNTA($Q91))&gt;0),"",IF(AND($V91="Sub",N($U91)&gt;0),IF(ISNUMBER(INDEX($AM$5:$AM$1000,$U91-4)),DATE(YEAR(INDEX($AM$5:$AM$1000,$U91-4)),MONTH(INDEX($AM$5:$AM$1000,$U91-4)),1),IF(ISNUMBER(INDEX($AN$5:$AN$1000,$U91-4)),DATE(YEAR(INDEX($AN$5:$AN$1000,$U91-4)),MONTH(INDEX($AN$5:$AN$1000,$U91-4)),1),MesCiclo)),IF(ISNUMBER($AM91),DATE(YEAR($AM91),MONTH($AM91),1),IF(ISNUMBER($AN91),DATE(YEAR($AN91),MONTH($AN91),1),MesCiclo))))</f>
        <v/>
      </c>
      <c r="T91" s="62">
        <f>IF(OR($S91="",$S91&lt;&gt;MesCiclo,$V91&lt;&gt;"Macro"),"",COUNTIFS($S$5:$S91,MesCiclo,$V$5:$V91,"Macro"))</f>
        <v/>
      </c>
      <c r="U91" s="62">
        <f>IF($V91="","",IF($V91="Macro",ROW(),IFERROR(LOOKUP(2,1/($V$5:$V91="Macro"),ROW($V$5:$V91)),0)))</f>
        <v/>
      </c>
      <c r="V91" s="62">
        <f>IF(NOT((COUNTA($B91:$D91)+COUNTA($G91:$L91)+COUNTA($Q91))&gt;0),"",IF($B91="Subactividad","Sub","Macro"))</f>
        <v/>
      </c>
      <c r="W91" s="62">
        <f>IF($V91="Macro",COUNTIFS($U$5:$U$1000,ROW(),$V$5:$V$1000,"Sub"),"")</f>
        <v/>
      </c>
      <c r="X91" s="62">
        <f>IF($V91="","",IF(ISNUMBER($G91),1,IFERROR(LOOKUP(2,1/($I91:$L91&lt;&gt;""),$I91:$L91),0)))</f>
        <v/>
      </c>
      <c r="Y91" s="62">
        <f>IF($V91="","",IF(AND(ISNUMBER($G91),$G91&lt;=IF($S91=MesCiclo,InicioCiclo,$S91+MOD(2-WEEKDAY($S91),7))+6),1,IF(ISNUMBER($I91),$I91,0)))</f>
        <v/>
      </c>
      <c r="Z91" s="62">
        <f>IF($V91="","",IF(AND(ISNUMBER($G91),$G91&lt;=IF($S91=MesCiclo,InicioCiclo,$S91+MOD(2-WEEKDAY($S91),7))+13),1,IF(ISNUMBER($J91),$J91,$Y91)))</f>
        <v/>
      </c>
      <c r="AA91" s="62">
        <f>IF($V91="","",IF(AND(ISNUMBER($G91),$G91&lt;=IF($S91=MesCiclo,InicioCiclo,$S91+MOD(2-WEEKDAY($S91),7))+20),1,IF(ISNUMBER($K91),$K91,$Z91)))</f>
        <v/>
      </c>
      <c r="AB91" s="62">
        <f>IF($V91="","",IF(AND(ISNUMBER($G91),$G91&lt;=IF($S91=MesCiclo,InicioCiclo,$S91+MOD(2-WEEKDAY($S91),7))+27),1,IF(ISNUMBER($L91),$L91,$AA91)))</f>
        <v/>
      </c>
      <c r="AC91" s="62">
        <f>IF($V91="","",IF(AND(ISNUMBER($G91),$G91&lt;=IF($S91=MesCiclo,InicioCiclo,$S91+MOD(2-WEEKDAY($S91),7))+6),1,IF(N($W91)&gt;0,AVERAGEIFS($Y$5:$Y$1000,$U$5:$U$1000,ROW(),$V$5:$V$1000,"Sub"),$Y91)))</f>
        <v/>
      </c>
      <c r="AD91" s="62">
        <f>IF($V91="","",IF(AND(ISNUMBER($G91),$G91&lt;=IF($S91=MesCiclo,InicioCiclo,$S91+MOD(2-WEEKDAY($S91),7))+13),1,IF(N($W91)&gt;0,AVERAGEIFS($Z$5:$Z$1000,$U$5:$U$1000,ROW(),$V$5:$V$1000,"Sub"),$Z91)))</f>
        <v/>
      </c>
      <c r="AE91" s="62">
        <f>IF($V91="","",IF(AND(ISNUMBER($G91),$G91&lt;=IF($S91=MesCiclo,InicioCiclo,$S91+MOD(2-WEEKDAY($S91),7))+20),1,IF(N($W91)&gt;0,AVERAGEIFS($AA$5:$AA$1000,$U$5:$U$1000,ROW(),$V$5:$V$1000,"Sub"),$AA91)))</f>
        <v/>
      </c>
      <c r="AF91" s="62">
        <f>IF($V91="","",IF(AND(ISNUMBER($G91),$G91&lt;=IF($S91=MesCiclo,InicioCiclo,$S91+MOD(2-WEEKDAY($S91),7))+27),1,IF(N($W91)&gt;0,AVERAGEIFS($AB$5:$AB$1000,$U$5:$U$1000,ROW(),$V$5:$V$1000,"Sub"),$AB91)))</f>
        <v/>
      </c>
      <c r="AG91" s="62">
        <f>IF($V91&lt;&gt;"Macro","",IF(COUNTIFS($S$5:$S$1000,$S91,$V$5:$V$1000,"Macro",$H$5:$H$1000,"&gt;0")=0,1/COUNTIFS($S$5:$S$1000,$S91,$V$5:$V$1000,"Macro"),IF(AND(ISNUMBER($H91),N($H91)&gt;0),$H91,SUMIFS($H$5:$H$1000,$S$5:$S$1000,$S91,$V$5:$V$1000,"Macro")/COUNTIFS($S$5:$S$1000,$S91,$V$5:$V$1000,"Macro",$H$5:$H$1000,"&gt;0"))/(COUNTIFS($S$5:$S$1000,$S91,$V$5:$V$1000,"Macro")*SUMIFS($H$5:$H$1000,$S$5:$S$1000,$S91,$V$5:$V$1000,"Macro")/COUNTIFS($S$5:$S$1000,$S91,$V$5:$V$1000,"Macro",$H$5:$H$1000,"&gt;0"))))</f>
        <v/>
      </c>
      <c r="AH91" s="62" t="n"/>
      <c r="AI91" s="62" t="n"/>
      <c r="AJ91" s="62" t="n"/>
      <c r="AK91" s="62" t="n"/>
      <c r="AL91" s="62">
        <f>IF(LEFT($C91,11)="[Jefatura] ",IFERROR(MATCH("Riesgo Financiero|"&amp;MID($C91,12,500),rDname_ADM,0),0),"")</f>
        <v/>
      </c>
      <c r="AM91" s="62">
        <f>IF(N($AL91)&gt;0,INDEX(rIni_ADM,$AL91),IF(ISNUMBER($E91),$E91,""))</f>
        <v/>
      </c>
      <c r="AN91" s="62">
        <f>IF(N($AL91)&gt;0,INDEX(rLim_ADM,$AL91),IF(ISNUMBER($F91),$F91,""))</f>
        <v/>
      </c>
    </row>
    <row r="92">
      <c r="A92" s="56">
        <f>IF(NOT((COUNTA($B92:$D92)+COUNTA($G92:$L92)+COUNTA($Q92))&gt;0),"",IF($V92="Macro",COUNTIFS($V$5:$V92,"Macro",$S$5:$S92,$S92),IF(N($U92)=0,"?",COUNTIFS(INDEX($V$5:$V$1000,1):INDEX($V$5:$V$1000,$U92-4),"Macro",INDEX($S$5:$S$1000,1):INDEX($S$5:$S$1000,$U92-4),INDEX($S$5:$S$1000,$U92-4))&amp;"."&amp;COUNTIFS($U$5:$U92,$U92,$V$5:$V92,"Sub"))))</f>
        <v/>
      </c>
      <c r="B92" s="57" t="n"/>
      <c r="C92" s="58" t="n"/>
      <c r="D92" s="58" t="n"/>
      <c r="E92" s="59">
        <f>IF(N($AL92)&gt;0,INDEX(rIni_ADM,$AL92),"")</f>
        <v/>
      </c>
      <c r="F92" s="59">
        <f>IF(N($AL92)&gt;0,INDEX(rLim_ADM,$AL92),"")</f>
        <v/>
      </c>
      <c r="G92" s="59" t="n"/>
      <c r="H92" s="60" t="n"/>
      <c r="I92" s="60" t="n"/>
      <c r="J92" s="60" t="n"/>
      <c r="K92" s="60" t="n"/>
      <c r="L92" s="60" t="n"/>
      <c r="M92" s="61">
        <f>IF(NOT((COUNTA($B92:$D92)+COUNTA($G92:$L92)+COUNTA($Q92))&gt;0),"",IF($V92="Sub",IFERROR($X92/INDEX($W$5:$W$1000,$U92-4),""),IF(ISNUMBER($G92),1,IF(N($W92)&gt;0,AVERAGEIFS($X$5:$X$1000,$U$5:$U$1000,ROW(),$V$5:$V$1000,"Sub"),$X92))))</f>
        <v/>
      </c>
      <c r="N92" s="56">
        <f>IF(OR($M92="",$V92="Sub"),"",IF($M92&gt;=1,"Completado",IF($M92&gt;0,"En curso","Pendiente")))</f>
        <v/>
      </c>
      <c r="O92" s="56">
        <f>IF(OR(NOT((COUNTA($B92:$D92)+COUNTA($G92:$L92)+COUNTA($Q92))&gt;0),$V92="Sub"),"",IF(ISNUMBER($G92),IF(AND(ISNUMBER($AN92),$G92&gt;$AN92),"Cumplida con "&amp;($G92-$AN92)&amp;IF($G92-$AN92=1," día"," días")&amp;" de retraso","Cumplida"),IF(N($M92)&gt;=1,"Cumplida",IF(NOT(ISNUMBER($AN92)),"Sin fecha límite",IF($AN92&lt;FechaRef,"Vencida hace "&amp;(FechaRef-$AN92)&amp;IF(FechaRef-$AN92=1," día"," días"),IF($AN92=FechaRef,"Vence hoy",IF($AN92-FechaRef&lt;=DiasAlerta,"Vence en "&amp;($AN92-FechaRef)&amp;IF($AN92-FechaRef=1," día"," días"),"En plazo")))))))</f>
        <v/>
      </c>
      <c r="P92" s="62" t="n"/>
      <c r="Q92" s="58" t="n"/>
      <c r="R92" s="63">
        <f>IF(NOT((COUNTA($B92:$D92)+COUNTA($G92:$L92)+COUNTA($Q92))&gt;0),"",IF((IF($C92="","Falta el nombre de la actividad"&amp;" · ","")&amp;IF(AND($V92="Sub",N($U92)=0),"Subactividad sin macroactividad arriba"&amp;" · ","")&amp;IF($AM92="","Sin fecha de inicio"&amp;" · ","")&amp;IF($AN92="","Sin fecha límite"&amp;" · ","")&amp;IF(AND(LEFT($C92,11)="[Jefatura] ",N($AL92)=0),"No se encuentra en la hoja de la jefatura (elíjala de nuevo en la lista)"&amp;" · ","")&amp;IF(OR(AND($E92&lt;&gt;"",NOT(ISNUMBER($E92))),AND($F92&lt;&gt;"",NOT(ISNUMBER($F92))),AND($G92&lt;&gt;"",NOT(ISNUMBER($G92)))),"Fecha no válida"&amp;" · ","")&amp;IF(AND(ISNUMBER($AM92),ISNUMBER($AN92),$AM92&gt;$AN92),"Inicio posterior a fecha límite"&amp;" · ","")&amp;IF(AND($V92="Macro",$H92&lt;&gt;"",OR(NOT(ISNUMBER($H92)),$H92&lt;0,$H92&gt;1)),"Peso fuera de rango"&amp;" · ","")&amp;IF(AND($V92="Sub",$H92&lt;&gt;""),"Las subactividades no llevan peso (valen igual dentro de su macroactividad)"&amp;" · ","")&amp;IF(AND(N($W92)&gt;0,COUNT($I92:$L92)&gt;0),"Con subactividades: deje vacías las semanas (se calculan solas)"&amp;" · ","")&amp;IF((COUNTIF($I92:$L92,"&gt;1")+COUNTIF($I92:$L92,"&lt;0")+COUNTA($I92:$L92)-COUNT($I92:$L92))&gt;0,"Avance fuera de rango 0-100%"&amp;" · ","")&amp;IF(OR(AND($J92&lt;&gt;"",$J92&lt;$I92),AND($K92&lt;&gt;"",$K92&lt;MAX($I92:$J92)),AND($L92&lt;&gt;"",$L92&lt;MAX($I92:$K92))),"Avance semanal decreciente"&amp;" · ","")&amp;IF(AND(ISNUMBER($AN92),$AN92&lt;FechaRef,IF($V92="Sub",N($X92),N($M92))&lt;1),"Vencida"&amp;" · ","")&amp;IF(AND(ObsObligatoria="Sí",ISNUMBER($AN92),$AN92&lt;FechaRef,IF($V92="Sub",N($X92),N($M92))&lt;1,$Q92=""),"Vencida sin observación"&amp;" · ",""))="","✔ OK","⚠ "&amp;LEFT(IF($C92="","Falta el nombre de la actividad"&amp;" · ","")&amp;IF(AND($V92="Sub",N($U92)=0),"Subactividad sin macroactividad arriba"&amp;" · ","")&amp;IF($AM92="","Sin fecha de inicio"&amp;" · ","")&amp;IF($AN92="","Sin fecha límite"&amp;" · ","")&amp;IF(AND(LEFT($C92,11)="[Jefatura] ",N($AL92)=0),"No se encuentra en la hoja de la jefatura (elíjala de nuevo en la lista)"&amp;" · ","")&amp;IF(OR(AND($E92&lt;&gt;"",NOT(ISNUMBER($E92))),AND($F92&lt;&gt;"",NOT(ISNUMBER($F92))),AND($G92&lt;&gt;"",NOT(ISNUMBER($G92)))),"Fecha no válida"&amp;" · ","")&amp;IF(AND(ISNUMBER($AM92),ISNUMBER($AN92),$AM92&gt;$AN92),"Inicio posterior a fecha límite"&amp;" · ","")&amp;IF(AND($V92="Macro",$H92&lt;&gt;"",OR(NOT(ISNUMBER($H92)),$H92&lt;0,$H92&gt;1)),"Peso fuera de rango"&amp;" · ","")&amp;IF(AND($V92="Sub",$H92&lt;&gt;""),"Las subactividades no llevan peso (valen igual dentro de su macroactividad)"&amp;" · ","")&amp;IF(AND(N($W92)&gt;0,COUNT($I92:$L92)&gt;0),"Con subactividades: deje vacías las semanas (se calculan solas)"&amp;" · ","")&amp;IF((COUNTIF($I92:$L92,"&gt;1")+COUNTIF($I92:$L92,"&lt;0")+COUNTA($I92:$L92)-COUNT($I92:$L92))&gt;0,"Avance fuera de rango 0-100%"&amp;" · ","")&amp;IF(OR(AND($J92&lt;&gt;"",$J92&lt;$I92),AND($K92&lt;&gt;"",$K92&lt;MAX($I92:$J92)),AND($L92&lt;&gt;"",$L92&lt;MAX($I92:$K92))),"Avance semanal decreciente"&amp;" · ","")&amp;IF(AND(ISNUMBER($AN92),$AN92&lt;FechaRef,IF($V92="Sub",N($X92),N($M92))&lt;1),"Vencida"&amp;" · ","")&amp;IF(AND(ObsObligatoria="Sí",ISNUMBER($AN92),$AN92&lt;FechaRef,IF($V92="Sub",N($X92),N($M92))&lt;1,$Q92=""),"Vencida sin observación"&amp;" · ",""),LEN(IF($C92="","Falta el nombre de la actividad"&amp;" · ","")&amp;IF(AND($V92="Sub",N($U92)=0),"Subactividad sin macroactividad arriba"&amp;" · ","")&amp;IF($AM92="","Sin fecha de inicio"&amp;" · ","")&amp;IF($AN92="","Sin fecha límite"&amp;" · ","")&amp;IF(AND(LEFT($C92,11)="[Jefatura] ",N($AL92)=0),"No se encuentra en la hoja de la jefatura (elíjala de nuevo en la lista)"&amp;" · ","")&amp;IF(OR(AND($E92&lt;&gt;"",NOT(ISNUMBER($E92))),AND($F92&lt;&gt;"",NOT(ISNUMBER($F92))),AND($G92&lt;&gt;"",NOT(ISNUMBER($G92)))),"Fecha no válida"&amp;" · ","")&amp;IF(AND(ISNUMBER($AM92),ISNUMBER($AN92),$AM92&gt;$AN92),"Inicio posterior a fecha límite"&amp;" · ","")&amp;IF(AND($V92="Macro",$H92&lt;&gt;"",OR(NOT(ISNUMBER($H92)),$H92&lt;0,$H92&gt;1)),"Peso fuera de rango"&amp;" · ","")&amp;IF(AND($V92="Sub",$H92&lt;&gt;""),"Las subactividades no llevan peso (valen igual dentro de su macroactividad)"&amp;" · ","")&amp;IF(AND(N($W92)&gt;0,COUNT($I92:$L92)&gt;0),"Con subactividades: deje vacías las semanas (se calculan solas)"&amp;" · ","")&amp;IF((COUNTIF($I92:$L92,"&gt;1")+COUNTIF($I92:$L92,"&lt;0")+COUNTA($I92:$L92)-COUNT($I92:$L92))&gt;0,"Avance fuera de rango 0-100%"&amp;" · ","")&amp;IF(OR(AND($J92&lt;&gt;"",$J92&lt;$I92),AND($K92&lt;&gt;"",$K92&lt;MAX($I92:$J92)),AND($L92&lt;&gt;"",$L92&lt;MAX($I92:$K92))),"Avance semanal decreciente"&amp;" · ","")&amp;IF(AND(ISNUMBER($AN92),$AN92&lt;FechaRef,IF($V92="Sub",N($X92),N($M92))&lt;1),"Vencida"&amp;" · ","")&amp;IF(AND(ObsObligatoria="Sí",ISNUMBER($AN92),$AN92&lt;FechaRef,IF($V92="Sub",N($X92),N($M92))&lt;1,$Q92=""),"Vencida sin observación"&amp;" · ",""))-3)))</f>
        <v/>
      </c>
      <c r="S92" s="64">
        <f>IF(NOT((COUNTA($B92:$D92)+COUNTA($G92:$L92)+COUNTA($Q92))&gt;0),"",IF(AND($V92="Sub",N($U92)&gt;0),IF(ISNUMBER(INDEX($AM$5:$AM$1000,$U92-4)),DATE(YEAR(INDEX($AM$5:$AM$1000,$U92-4)),MONTH(INDEX($AM$5:$AM$1000,$U92-4)),1),IF(ISNUMBER(INDEX($AN$5:$AN$1000,$U92-4)),DATE(YEAR(INDEX($AN$5:$AN$1000,$U92-4)),MONTH(INDEX($AN$5:$AN$1000,$U92-4)),1),MesCiclo)),IF(ISNUMBER($AM92),DATE(YEAR($AM92),MONTH($AM92),1),IF(ISNUMBER($AN92),DATE(YEAR($AN92),MONTH($AN92),1),MesCiclo))))</f>
        <v/>
      </c>
      <c r="T92" s="62">
        <f>IF(OR($S92="",$S92&lt;&gt;MesCiclo,$V92&lt;&gt;"Macro"),"",COUNTIFS($S$5:$S92,MesCiclo,$V$5:$V92,"Macro"))</f>
        <v/>
      </c>
      <c r="U92" s="62">
        <f>IF($V92="","",IF($V92="Macro",ROW(),IFERROR(LOOKUP(2,1/($V$5:$V92="Macro"),ROW($V$5:$V92)),0)))</f>
        <v/>
      </c>
      <c r="V92" s="62">
        <f>IF(NOT((COUNTA($B92:$D92)+COUNTA($G92:$L92)+COUNTA($Q92))&gt;0),"",IF($B92="Subactividad","Sub","Macro"))</f>
        <v/>
      </c>
      <c r="W92" s="62">
        <f>IF($V92="Macro",COUNTIFS($U$5:$U$1000,ROW(),$V$5:$V$1000,"Sub"),"")</f>
        <v/>
      </c>
      <c r="X92" s="62">
        <f>IF($V92="","",IF(ISNUMBER($G92),1,IFERROR(LOOKUP(2,1/($I92:$L92&lt;&gt;""),$I92:$L92),0)))</f>
        <v/>
      </c>
      <c r="Y92" s="62">
        <f>IF($V92="","",IF(AND(ISNUMBER($G92),$G92&lt;=IF($S92=MesCiclo,InicioCiclo,$S92+MOD(2-WEEKDAY($S92),7))+6),1,IF(ISNUMBER($I92),$I92,0)))</f>
        <v/>
      </c>
      <c r="Z92" s="62">
        <f>IF($V92="","",IF(AND(ISNUMBER($G92),$G92&lt;=IF($S92=MesCiclo,InicioCiclo,$S92+MOD(2-WEEKDAY($S92),7))+13),1,IF(ISNUMBER($J92),$J92,$Y92)))</f>
        <v/>
      </c>
      <c r="AA92" s="62">
        <f>IF($V92="","",IF(AND(ISNUMBER($G92),$G92&lt;=IF($S92=MesCiclo,InicioCiclo,$S92+MOD(2-WEEKDAY($S92),7))+20),1,IF(ISNUMBER($K92),$K92,$Z92)))</f>
        <v/>
      </c>
      <c r="AB92" s="62">
        <f>IF($V92="","",IF(AND(ISNUMBER($G92),$G92&lt;=IF($S92=MesCiclo,InicioCiclo,$S92+MOD(2-WEEKDAY($S92),7))+27),1,IF(ISNUMBER($L92),$L92,$AA92)))</f>
        <v/>
      </c>
      <c r="AC92" s="62">
        <f>IF($V92="","",IF(AND(ISNUMBER($G92),$G92&lt;=IF($S92=MesCiclo,InicioCiclo,$S92+MOD(2-WEEKDAY($S92),7))+6),1,IF(N($W92)&gt;0,AVERAGEIFS($Y$5:$Y$1000,$U$5:$U$1000,ROW(),$V$5:$V$1000,"Sub"),$Y92)))</f>
        <v/>
      </c>
      <c r="AD92" s="62">
        <f>IF($V92="","",IF(AND(ISNUMBER($G92),$G92&lt;=IF($S92=MesCiclo,InicioCiclo,$S92+MOD(2-WEEKDAY($S92),7))+13),1,IF(N($W92)&gt;0,AVERAGEIFS($Z$5:$Z$1000,$U$5:$U$1000,ROW(),$V$5:$V$1000,"Sub"),$Z92)))</f>
        <v/>
      </c>
      <c r="AE92" s="62">
        <f>IF($V92="","",IF(AND(ISNUMBER($G92),$G92&lt;=IF($S92=MesCiclo,InicioCiclo,$S92+MOD(2-WEEKDAY($S92),7))+20),1,IF(N($W92)&gt;0,AVERAGEIFS($AA$5:$AA$1000,$U$5:$U$1000,ROW(),$V$5:$V$1000,"Sub"),$AA92)))</f>
        <v/>
      </c>
      <c r="AF92" s="62">
        <f>IF($V92="","",IF(AND(ISNUMBER($G92),$G92&lt;=IF($S92=MesCiclo,InicioCiclo,$S92+MOD(2-WEEKDAY($S92),7))+27),1,IF(N($W92)&gt;0,AVERAGEIFS($AB$5:$AB$1000,$U$5:$U$1000,ROW(),$V$5:$V$1000,"Sub"),$AB92)))</f>
        <v/>
      </c>
      <c r="AG92" s="62">
        <f>IF($V92&lt;&gt;"Macro","",IF(COUNTIFS($S$5:$S$1000,$S92,$V$5:$V$1000,"Macro",$H$5:$H$1000,"&gt;0")=0,1/COUNTIFS($S$5:$S$1000,$S92,$V$5:$V$1000,"Macro"),IF(AND(ISNUMBER($H92),N($H92)&gt;0),$H92,SUMIFS($H$5:$H$1000,$S$5:$S$1000,$S92,$V$5:$V$1000,"Macro")/COUNTIFS($S$5:$S$1000,$S92,$V$5:$V$1000,"Macro",$H$5:$H$1000,"&gt;0"))/(COUNTIFS($S$5:$S$1000,$S92,$V$5:$V$1000,"Macro")*SUMIFS($H$5:$H$1000,$S$5:$S$1000,$S92,$V$5:$V$1000,"Macro")/COUNTIFS($S$5:$S$1000,$S92,$V$5:$V$1000,"Macro",$H$5:$H$1000,"&gt;0"))))</f>
        <v/>
      </c>
      <c r="AH92" s="62" t="n"/>
      <c r="AI92" s="62" t="n"/>
      <c r="AJ92" s="62" t="n"/>
      <c r="AK92" s="62" t="n"/>
      <c r="AL92" s="62">
        <f>IF(LEFT($C92,11)="[Jefatura] ",IFERROR(MATCH("Riesgo Financiero|"&amp;MID($C92,12,500),rDname_ADM,0),0),"")</f>
        <v/>
      </c>
      <c r="AM92" s="62">
        <f>IF(N($AL92)&gt;0,INDEX(rIni_ADM,$AL92),IF(ISNUMBER($E92),$E92,""))</f>
        <v/>
      </c>
      <c r="AN92" s="62">
        <f>IF(N($AL92)&gt;0,INDEX(rLim_ADM,$AL92),IF(ISNUMBER($F92),$F92,""))</f>
        <v/>
      </c>
    </row>
    <row r="93">
      <c r="A93" s="56">
        <f>IF(NOT((COUNTA($B93:$D93)+COUNTA($G93:$L93)+COUNTA($Q93))&gt;0),"",IF($V93="Macro",COUNTIFS($V$5:$V93,"Macro",$S$5:$S93,$S93),IF(N($U93)=0,"?",COUNTIFS(INDEX($V$5:$V$1000,1):INDEX($V$5:$V$1000,$U93-4),"Macro",INDEX($S$5:$S$1000,1):INDEX($S$5:$S$1000,$U93-4),INDEX($S$5:$S$1000,$U93-4))&amp;"."&amp;COUNTIFS($U$5:$U93,$U93,$V$5:$V93,"Sub"))))</f>
        <v/>
      </c>
      <c r="B93" s="57" t="n"/>
      <c r="C93" s="58" t="n"/>
      <c r="D93" s="58" t="n"/>
      <c r="E93" s="59">
        <f>IF(N($AL93)&gt;0,INDEX(rIni_ADM,$AL93),"")</f>
        <v/>
      </c>
      <c r="F93" s="59">
        <f>IF(N($AL93)&gt;0,INDEX(rLim_ADM,$AL93),"")</f>
        <v/>
      </c>
      <c r="G93" s="59" t="n"/>
      <c r="H93" s="60" t="n"/>
      <c r="I93" s="60" t="n"/>
      <c r="J93" s="60" t="n"/>
      <c r="K93" s="60" t="n"/>
      <c r="L93" s="60" t="n"/>
      <c r="M93" s="61">
        <f>IF(NOT((COUNTA($B93:$D93)+COUNTA($G93:$L93)+COUNTA($Q93))&gt;0),"",IF($V93="Sub",IFERROR($X93/INDEX($W$5:$W$1000,$U93-4),""),IF(ISNUMBER($G93),1,IF(N($W93)&gt;0,AVERAGEIFS($X$5:$X$1000,$U$5:$U$1000,ROW(),$V$5:$V$1000,"Sub"),$X93))))</f>
        <v/>
      </c>
      <c r="N93" s="56">
        <f>IF(OR($M93="",$V93="Sub"),"",IF($M93&gt;=1,"Completado",IF($M93&gt;0,"En curso","Pendiente")))</f>
        <v/>
      </c>
      <c r="O93" s="56">
        <f>IF(OR(NOT((COUNTA($B93:$D93)+COUNTA($G93:$L93)+COUNTA($Q93))&gt;0),$V93="Sub"),"",IF(ISNUMBER($G93),IF(AND(ISNUMBER($AN93),$G93&gt;$AN93),"Cumplida con "&amp;($G93-$AN93)&amp;IF($G93-$AN93=1," día"," días")&amp;" de retraso","Cumplida"),IF(N($M93)&gt;=1,"Cumplida",IF(NOT(ISNUMBER($AN93)),"Sin fecha límite",IF($AN93&lt;FechaRef,"Vencida hace "&amp;(FechaRef-$AN93)&amp;IF(FechaRef-$AN93=1," día"," días"),IF($AN93=FechaRef,"Vence hoy",IF($AN93-FechaRef&lt;=DiasAlerta,"Vence en "&amp;($AN93-FechaRef)&amp;IF($AN93-FechaRef=1," día"," días"),"En plazo")))))))</f>
        <v/>
      </c>
      <c r="P93" s="62" t="n"/>
      <c r="Q93" s="58" t="n"/>
      <c r="R93" s="63">
        <f>IF(NOT((COUNTA($B93:$D93)+COUNTA($G93:$L93)+COUNTA($Q93))&gt;0),"",IF((IF($C93="","Falta el nombre de la actividad"&amp;" · ","")&amp;IF(AND($V93="Sub",N($U93)=0),"Subactividad sin macroactividad arriba"&amp;" · ","")&amp;IF($AM93="","Sin fecha de inicio"&amp;" · ","")&amp;IF($AN93="","Sin fecha límite"&amp;" · ","")&amp;IF(AND(LEFT($C93,11)="[Jefatura] ",N($AL93)=0),"No se encuentra en la hoja de la jefatura (elíjala de nuevo en la lista)"&amp;" · ","")&amp;IF(OR(AND($E93&lt;&gt;"",NOT(ISNUMBER($E93))),AND($F93&lt;&gt;"",NOT(ISNUMBER($F93))),AND($G93&lt;&gt;"",NOT(ISNUMBER($G93)))),"Fecha no válida"&amp;" · ","")&amp;IF(AND(ISNUMBER($AM93),ISNUMBER($AN93),$AM93&gt;$AN93),"Inicio posterior a fecha límite"&amp;" · ","")&amp;IF(AND($V93="Macro",$H93&lt;&gt;"",OR(NOT(ISNUMBER($H93)),$H93&lt;0,$H93&gt;1)),"Peso fuera de rango"&amp;" · ","")&amp;IF(AND($V93="Sub",$H93&lt;&gt;""),"Las subactividades no llevan peso (valen igual dentro de su macroactividad)"&amp;" · ","")&amp;IF(AND(N($W93)&gt;0,COUNT($I93:$L93)&gt;0),"Con subactividades: deje vacías las semanas (se calculan solas)"&amp;" · ","")&amp;IF((COUNTIF($I93:$L93,"&gt;1")+COUNTIF($I93:$L93,"&lt;0")+COUNTA($I93:$L93)-COUNT($I93:$L93))&gt;0,"Avance fuera de rango 0-100%"&amp;" · ","")&amp;IF(OR(AND($J93&lt;&gt;"",$J93&lt;$I93),AND($K93&lt;&gt;"",$K93&lt;MAX($I93:$J93)),AND($L93&lt;&gt;"",$L93&lt;MAX($I93:$K93))),"Avance semanal decreciente"&amp;" · ","")&amp;IF(AND(ISNUMBER($AN93),$AN93&lt;FechaRef,IF($V93="Sub",N($X93),N($M93))&lt;1),"Vencida"&amp;" · ","")&amp;IF(AND(ObsObligatoria="Sí",ISNUMBER($AN93),$AN93&lt;FechaRef,IF($V93="Sub",N($X93),N($M93))&lt;1,$Q93=""),"Vencida sin observación"&amp;" · ",""))="","✔ OK","⚠ "&amp;LEFT(IF($C93="","Falta el nombre de la actividad"&amp;" · ","")&amp;IF(AND($V93="Sub",N($U93)=0),"Subactividad sin macroactividad arriba"&amp;" · ","")&amp;IF($AM93="","Sin fecha de inicio"&amp;" · ","")&amp;IF($AN93="","Sin fecha límite"&amp;" · ","")&amp;IF(AND(LEFT($C93,11)="[Jefatura] ",N($AL93)=0),"No se encuentra en la hoja de la jefatura (elíjala de nuevo en la lista)"&amp;" · ","")&amp;IF(OR(AND($E93&lt;&gt;"",NOT(ISNUMBER($E93))),AND($F93&lt;&gt;"",NOT(ISNUMBER($F93))),AND($G93&lt;&gt;"",NOT(ISNUMBER($G93)))),"Fecha no válida"&amp;" · ","")&amp;IF(AND(ISNUMBER($AM93),ISNUMBER($AN93),$AM93&gt;$AN93),"Inicio posterior a fecha límite"&amp;" · ","")&amp;IF(AND($V93="Macro",$H93&lt;&gt;"",OR(NOT(ISNUMBER($H93)),$H93&lt;0,$H93&gt;1)),"Peso fuera de rango"&amp;" · ","")&amp;IF(AND($V93="Sub",$H93&lt;&gt;""),"Las subactividades no llevan peso (valen igual dentro de su macroactividad)"&amp;" · ","")&amp;IF(AND(N($W93)&gt;0,COUNT($I93:$L93)&gt;0),"Con subactividades: deje vacías las semanas (se calculan solas)"&amp;" · ","")&amp;IF((COUNTIF($I93:$L93,"&gt;1")+COUNTIF($I93:$L93,"&lt;0")+COUNTA($I93:$L93)-COUNT($I93:$L93))&gt;0,"Avance fuera de rango 0-100%"&amp;" · ","")&amp;IF(OR(AND($J93&lt;&gt;"",$J93&lt;$I93),AND($K93&lt;&gt;"",$K93&lt;MAX($I93:$J93)),AND($L93&lt;&gt;"",$L93&lt;MAX($I93:$K93))),"Avance semanal decreciente"&amp;" · ","")&amp;IF(AND(ISNUMBER($AN93),$AN93&lt;FechaRef,IF($V93="Sub",N($X93),N($M93))&lt;1),"Vencida"&amp;" · ","")&amp;IF(AND(ObsObligatoria="Sí",ISNUMBER($AN93),$AN93&lt;FechaRef,IF($V93="Sub",N($X93),N($M93))&lt;1,$Q93=""),"Vencida sin observación"&amp;" · ",""),LEN(IF($C93="","Falta el nombre de la actividad"&amp;" · ","")&amp;IF(AND($V93="Sub",N($U93)=0),"Subactividad sin macroactividad arriba"&amp;" · ","")&amp;IF($AM93="","Sin fecha de inicio"&amp;" · ","")&amp;IF($AN93="","Sin fecha límite"&amp;" · ","")&amp;IF(AND(LEFT($C93,11)="[Jefatura] ",N($AL93)=0),"No se encuentra en la hoja de la jefatura (elíjala de nuevo en la lista)"&amp;" · ","")&amp;IF(OR(AND($E93&lt;&gt;"",NOT(ISNUMBER($E93))),AND($F93&lt;&gt;"",NOT(ISNUMBER($F93))),AND($G93&lt;&gt;"",NOT(ISNUMBER($G93)))),"Fecha no válida"&amp;" · ","")&amp;IF(AND(ISNUMBER($AM93),ISNUMBER($AN93),$AM93&gt;$AN93),"Inicio posterior a fecha límite"&amp;" · ","")&amp;IF(AND($V93="Macro",$H93&lt;&gt;"",OR(NOT(ISNUMBER($H93)),$H93&lt;0,$H93&gt;1)),"Peso fuera de rango"&amp;" · ","")&amp;IF(AND($V93="Sub",$H93&lt;&gt;""),"Las subactividades no llevan peso (valen igual dentro de su macroactividad)"&amp;" · ","")&amp;IF(AND(N($W93)&gt;0,COUNT($I93:$L93)&gt;0),"Con subactividades: deje vacías las semanas (se calculan solas)"&amp;" · ","")&amp;IF((COUNTIF($I93:$L93,"&gt;1")+COUNTIF($I93:$L93,"&lt;0")+COUNTA($I93:$L93)-COUNT($I93:$L93))&gt;0,"Avance fuera de rango 0-100%"&amp;" · ","")&amp;IF(OR(AND($J93&lt;&gt;"",$J93&lt;$I93),AND($K93&lt;&gt;"",$K93&lt;MAX($I93:$J93)),AND($L93&lt;&gt;"",$L93&lt;MAX($I93:$K93))),"Avance semanal decreciente"&amp;" · ","")&amp;IF(AND(ISNUMBER($AN93),$AN93&lt;FechaRef,IF($V93="Sub",N($X93),N($M93))&lt;1),"Vencida"&amp;" · ","")&amp;IF(AND(ObsObligatoria="Sí",ISNUMBER($AN93),$AN93&lt;FechaRef,IF($V93="Sub",N($X93),N($M93))&lt;1,$Q93=""),"Vencida sin observación"&amp;" · ",""))-3)))</f>
        <v/>
      </c>
      <c r="S93" s="64">
        <f>IF(NOT((COUNTA($B93:$D93)+COUNTA($G93:$L93)+COUNTA($Q93))&gt;0),"",IF(AND($V93="Sub",N($U93)&gt;0),IF(ISNUMBER(INDEX($AM$5:$AM$1000,$U93-4)),DATE(YEAR(INDEX($AM$5:$AM$1000,$U93-4)),MONTH(INDEX($AM$5:$AM$1000,$U93-4)),1),IF(ISNUMBER(INDEX($AN$5:$AN$1000,$U93-4)),DATE(YEAR(INDEX($AN$5:$AN$1000,$U93-4)),MONTH(INDEX($AN$5:$AN$1000,$U93-4)),1),MesCiclo)),IF(ISNUMBER($AM93),DATE(YEAR($AM93),MONTH($AM93),1),IF(ISNUMBER($AN93),DATE(YEAR($AN93),MONTH($AN93),1),MesCiclo))))</f>
        <v/>
      </c>
      <c r="T93" s="62">
        <f>IF(OR($S93="",$S93&lt;&gt;MesCiclo,$V93&lt;&gt;"Macro"),"",COUNTIFS($S$5:$S93,MesCiclo,$V$5:$V93,"Macro"))</f>
        <v/>
      </c>
      <c r="U93" s="62">
        <f>IF($V93="","",IF($V93="Macro",ROW(),IFERROR(LOOKUP(2,1/($V$5:$V93="Macro"),ROW($V$5:$V93)),0)))</f>
        <v/>
      </c>
      <c r="V93" s="62">
        <f>IF(NOT((COUNTA($B93:$D93)+COUNTA($G93:$L93)+COUNTA($Q93))&gt;0),"",IF($B93="Subactividad","Sub","Macro"))</f>
        <v/>
      </c>
      <c r="W93" s="62">
        <f>IF($V93="Macro",COUNTIFS($U$5:$U$1000,ROW(),$V$5:$V$1000,"Sub"),"")</f>
        <v/>
      </c>
      <c r="X93" s="62">
        <f>IF($V93="","",IF(ISNUMBER($G93),1,IFERROR(LOOKUP(2,1/($I93:$L93&lt;&gt;""),$I93:$L93),0)))</f>
        <v/>
      </c>
      <c r="Y93" s="62">
        <f>IF($V93="","",IF(AND(ISNUMBER($G93),$G93&lt;=IF($S93=MesCiclo,InicioCiclo,$S93+MOD(2-WEEKDAY($S93),7))+6),1,IF(ISNUMBER($I93),$I93,0)))</f>
        <v/>
      </c>
      <c r="Z93" s="62">
        <f>IF($V93="","",IF(AND(ISNUMBER($G93),$G93&lt;=IF($S93=MesCiclo,InicioCiclo,$S93+MOD(2-WEEKDAY($S93),7))+13),1,IF(ISNUMBER($J93),$J93,$Y93)))</f>
        <v/>
      </c>
      <c r="AA93" s="62">
        <f>IF($V93="","",IF(AND(ISNUMBER($G93),$G93&lt;=IF($S93=MesCiclo,InicioCiclo,$S93+MOD(2-WEEKDAY($S93),7))+20),1,IF(ISNUMBER($K93),$K93,$Z93)))</f>
        <v/>
      </c>
      <c r="AB93" s="62">
        <f>IF($V93="","",IF(AND(ISNUMBER($G93),$G93&lt;=IF($S93=MesCiclo,InicioCiclo,$S93+MOD(2-WEEKDAY($S93),7))+27),1,IF(ISNUMBER($L93),$L93,$AA93)))</f>
        <v/>
      </c>
      <c r="AC93" s="62">
        <f>IF($V93="","",IF(AND(ISNUMBER($G93),$G93&lt;=IF($S93=MesCiclo,InicioCiclo,$S93+MOD(2-WEEKDAY($S93),7))+6),1,IF(N($W93)&gt;0,AVERAGEIFS($Y$5:$Y$1000,$U$5:$U$1000,ROW(),$V$5:$V$1000,"Sub"),$Y93)))</f>
        <v/>
      </c>
      <c r="AD93" s="62">
        <f>IF($V93="","",IF(AND(ISNUMBER($G93),$G93&lt;=IF($S93=MesCiclo,InicioCiclo,$S93+MOD(2-WEEKDAY($S93),7))+13),1,IF(N($W93)&gt;0,AVERAGEIFS($Z$5:$Z$1000,$U$5:$U$1000,ROW(),$V$5:$V$1000,"Sub"),$Z93)))</f>
        <v/>
      </c>
      <c r="AE93" s="62">
        <f>IF($V93="","",IF(AND(ISNUMBER($G93),$G93&lt;=IF($S93=MesCiclo,InicioCiclo,$S93+MOD(2-WEEKDAY($S93),7))+20),1,IF(N($W93)&gt;0,AVERAGEIFS($AA$5:$AA$1000,$U$5:$U$1000,ROW(),$V$5:$V$1000,"Sub"),$AA93)))</f>
        <v/>
      </c>
      <c r="AF93" s="62">
        <f>IF($V93="","",IF(AND(ISNUMBER($G93),$G93&lt;=IF($S93=MesCiclo,InicioCiclo,$S93+MOD(2-WEEKDAY($S93),7))+27),1,IF(N($W93)&gt;0,AVERAGEIFS($AB$5:$AB$1000,$U$5:$U$1000,ROW(),$V$5:$V$1000,"Sub"),$AB93)))</f>
        <v/>
      </c>
      <c r="AG93" s="62">
        <f>IF($V93&lt;&gt;"Macro","",IF(COUNTIFS($S$5:$S$1000,$S93,$V$5:$V$1000,"Macro",$H$5:$H$1000,"&gt;0")=0,1/COUNTIFS($S$5:$S$1000,$S93,$V$5:$V$1000,"Macro"),IF(AND(ISNUMBER($H93),N($H93)&gt;0),$H93,SUMIFS($H$5:$H$1000,$S$5:$S$1000,$S93,$V$5:$V$1000,"Macro")/COUNTIFS($S$5:$S$1000,$S93,$V$5:$V$1000,"Macro",$H$5:$H$1000,"&gt;0"))/(COUNTIFS($S$5:$S$1000,$S93,$V$5:$V$1000,"Macro")*SUMIFS($H$5:$H$1000,$S$5:$S$1000,$S93,$V$5:$V$1000,"Macro")/COUNTIFS($S$5:$S$1000,$S93,$V$5:$V$1000,"Macro",$H$5:$H$1000,"&gt;0"))))</f>
        <v/>
      </c>
      <c r="AH93" s="62" t="n"/>
      <c r="AI93" s="62" t="n"/>
      <c r="AJ93" s="62" t="n"/>
      <c r="AK93" s="62" t="n"/>
      <c r="AL93" s="62">
        <f>IF(LEFT($C93,11)="[Jefatura] ",IFERROR(MATCH("Riesgo Financiero|"&amp;MID($C93,12,500),rDname_ADM,0),0),"")</f>
        <v/>
      </c>
      <c r="AM93" s="62">
        <f>IF(N($AL93)&gt;0,INDEX(rIni_ADM,$AL93),IF(ISNUMBER($E93),$E93,""))</f>
        <v/>
      </c>
      <c r="AN93" s="62">
        <f>IF(N($AL93)&gt;0,INDEX(rLim_ADM,$AL93),IF(ISNUMBER($F93),$F93,""))</f>
        <v/>
      </c>
    </row>
    <row r="94">
      <c r="A94" s="56">
        <f>IF(NOT((COUNTA($B94:$D94)+COUNTA($G94:$L94)+COUNTA($Q94))&gt;0),"",IF($V94="Macro",COUNTIFS($V$5:$V94,"Macro",$S$5:$S94,$S94),IF(N($U94)=0,"?",COUNTIFS(INDEX($V$5:$V$1000,1):INDEX($V$5:$V$1000,$U94-4),"Macro",INDEX($S$5:$S$1000,1):INDEX($S$5:$S$1000,$U94-4),INDEX($S$5:$S$1000,$U94-4))&amp;"."&amp;COUNTIFS($U$5:$U94,$U94,$V$5:$V94,"Sub"))))</f>
        <v/>
      </c>
      <c r="B94" s="57" t="n"/>
      <c r="C94" s="58" t="n"/>
      <c r="D94" s="58" t="n"/>
      <c r="E94" s="59">
        <f>IF(N($AL94)&gt;0,INDEX(rIni_ADM,$AL94),"")</f>
        <v/>
      </c>
      <c r="F94" s="59">
        <f>IF(N($AL94)&gt;0,INDEX(rLim_ADM,$AL94),"")</f>
        <v/>
      </c>
      <c r="G94" s="59" t="n"/>
      <c r="H94" s="60" t="n"/>
      <c r="I94" s="60" t="n"/>
      <c r="J94" s="60" t="n"/>
      <c r="K94" s="60" t="n"/>
      <c r="L94" s="60" t="n"/>
      <c r="M94" s="61">
        <f>IF(NOT((COUNTA($B94:$D94)+COUNTA($G94:$L94)+COUNTA($Q94))&gt;0),"",IF($V94="Sub",IFERROR($X94/INDEX($W$5:$W$1000,$U94-4),""),IF(ISNUMBER($G94),1,IF(N($W94)&gt;0,AVERAGEIFS($X$5:$X$1000,$U$5:$U$1000,ROW(),$V$5:$V$1000,"Sub"),$X94))))</f>
        <v/>
      </c>
      <c r="N94" s="56">
        <f>IF(OR($M94="",$V94="Sub"),"",IF($M94&gt;=1,"Completado",IF($M94&gt;0,"En curso","Pendiente")))</f>
        <v/>
      </c>
      <c r="O94" s="56">
        <f>IF(OR(NOT((COUNTA($B94:$D94)+COUNTA($G94:$L94)+COUNTA($Q94))&gt;0),$V94="Sub"),"",IF(ISNUMBER($G94),IF(AND(ISNUMBER($AN94),$G94&gt;$AN94),"Cumplida con "&amp;($G94-$AN94)&amp;IF($G94-$AN94=1," día"," días")&amp;" de retraso","Cumplida"),IF(N($M94)&gt;=1,"Cumplida",IF(NOT(ISNUMBER($AN94)),"Sin fecha límite",IF($AN94&lt;FechaRef,"Vencida hace "&amp;(FechaRef-$AN94)&amp;IF(FechaRef-$AN94=1," día"," días"),IF($AN94=FechaRef,"Vence hoy",IF($AN94-FechaRef&lt;=DiasAlerta,"Vence en "&amp;($AN94-FechaRef)&amp;IF($AN94-FechaRef=1," día"," días"),"En plazo")))))))</f>
        <v/>
      </c>
      <c r="P94" s="62" t="n"/>
      <c r="Q94" s="58" t="n"/>
      <c r="R94" s="63">
        <f>IF(NOT((COUNTA($B94:$D94)+COUNTA($G94:$L94)+COUNTA($Q94))&gt;0),"",IF((IF($C94="","Falta el nombre de la actividad"&amp;" · ","")&amp;IF(AND($V94="Sub",N($U94)=0),"Subactividad sin macroactividad arriba"&amp;" · ","")&amp;IF($AM94="","Sin fecha de inicio"&amp;" · ","")&amp;IF($AN94="","Sin fecha límite"&amp;" · ","")&amp;IF(AND(LEFT($C94,11)="[Jefatura] ",N($AL94)=0),"No se encuentra en la hoja de la jefatura (elíjala de nuevo en la lista)"&amp;" · ","")&amp;IF(OR(AND($E94&lt;&gt;"",NOT(ISNUMBER($E94))),AND($F94&lt;&gt;"",NOT(ISNUMBER($F94))),AND($G94&lt;&gt;"",NOT(ISNUMBER($G94)))),"Fecha no válida"&amp;" · ","")&amp;IF(AND(ISNUMBER($AM94),ISNUMBER($AN94),$AM94&gt;$AN94),"Inicio posterior a fecha límite"&amp;" · ","")&amp;IF(AND($V94="Macro",$H94&lt;&gt;"",OR(NOT(ISNUMBER($H94)),$H94&lt;0,$H94&gt;1)),"Peso fuera de rango"&amp;" · ","")&amp;IF(AND($V94="Sub",$H94&lt;&gt;""),"Las subactividades no llevan peso (valen igual dentro de su macroactividad)"&amp;" · ","")&amp;IF(AND(N($W94)&gt;0,COUNT($I94:$L94)&gt;0),"Con subactividades: deje vacías las semanas (se calculan solas)"&amp;" · ","")&amp;IF((COUNTIF($I94:$L94,"&gt;1")+COUNTIF($I94:$L94,"&lt;0")+COUNTA($I94:$L94)-COUNT($I94:$L94))&gt;0,"Avance fuera de rango 0-100%"&amp;" · ","")&amp;IF(OR(AND($J94&lt;&gt;"",$J94&lt;$I94),AND($K94&lt;&gt;"",$K94&lt;MAX($I94:$J94)),AND($L94&lt;&gt;"",$L94&lt;MAX($I94:$K94))),"Avance semanal decreciente"&amp;" · ","")&amp;IF(AND(ISNUMBER($AN94),$AN94&lt;FechaRef,IF($V94="Sub",N($X94),N($M94))&lt;1),"Vencida"&amp;" · ","")&amp;IF(AND(ObsObligatoria="Sí",ISNUMBER($AN94),$AN94&lt;FechaRef,IF($V94="Sub",N($X94),N($M94))&lt;1,$Q94=""),"Vencida sin observación"&amp;" · ",""))="","✔ OK","⚠ "&amp;LEFT(IF($C94="","Falta el nombre de la actividad"&amp;" · ","")&amp;IF(AND($V94="Sub",N($U94)=0),"Subactividad sin macroactividad arriba"&amp;" · ","")&amp;IF($AM94="","Sin fecha de inicio"&amp;" · ","")&amp;IF($AN94="","Sin fecha límite"&amp;" · ","")&amp;IF(AND(LEFT($C94,11)="[Jefatura] ",N($AL94)=0),"No se encuentra en la hoja de la jefatura (elíjala de nuevo en la lista)"&amp;" · ","")&amp;IF(OR(AND($E94&lt;&gt;"",NOT(ISNUMBER($E94))),AND($F94&lt;&gt;"",NOT(ISNUMBER($F94))),AND($G94&lt;&gt;"",NOT(ISNUMBER($G94)))),"Fecha no válida"&amp;" · ","")&amp;IF(AND(ISNUMBER($AM94),ISNUMBER($AN94),$AM94&gt;$AN94),"Inicio posterior a fecha límite"&amp;" · ","")&amp;IF(AND($V94="Macro",$H94&lt;&gt;"",OR(NOT(ISNUMBER($H94)),$H94&lt;0,$H94&gt;1)),"Peso fuera de rango"&amp;" · ","")&amp;IF(AND($V94="Sub",$H94&lt;&gt;""),"Las subactividades no llevan peso (valen igual dentro de su macroactividad)"&amp;" · ","")&amp;IF(AND(N($W94)&gt;0,COUNT($I94:$L94)&gt;0),"Con subactividades: deje vacías las semanas (se calculan solas)"&amp;" · ","")&amp;IF((COUNTIF($I94:$L94,"&gt;1")+COUNTIF($I94:$L94,"&lt;0")+COUNTA($I94:$L94)-COUNT($I94:$L94))&gt;0,"Avance fuera de rango 0-100%"&amp;" · ","")&amp;IF(OR(AND($J94&lt;&gt;"",$J94&lt;$I94),AND($K94&lt;&gt;"",$K94&lt;MAX($I94:$J94)),AND($L94&lt;&gt;"",$L94&lt;MAX($I94:$K94))),"Avance semanal decreciente"&amp;" · ","")&amp;IF(AND(ISNUMBER($AN94),$AN94&lt;FechaRef,IF($V94="Sub",N($X94),N($M94))&lt;1),"Vencida"&amp;" · ","")&amp;IF(AND(ObsObligatoria="Sí",ISNUMBER($AN94),$AN94&lt;FechaRef,IF($V94="Sub",N($X94),N($M94))&lt;1,$Q94=""),"Vencida sin observación"&amp;" · ",""),LEN(IF($C94="","Falta el nombre de la actividad"&amp;" · ","")&amp;IF(AND($V94="Sub",N($U94)=0),"Subactividad sin macroactividad arriba"&amp;" · ","")&amp;IF($AM94="","Sin fecha de inicio"&amp;" · ","")&amp;IF($AN94="","Sin fecha límite"&amp;" · ","")&amp;IF(AND(LEFT($C94,11)="[Jefatura] ",N($AL94)=0),"No se encuentra en la hoja de la jefatura (elíjala de nuevo en la lista)"&amp;" · ","")&amp;IF(OR(AND($E94&lt;&gt;"",NOT(ISNUMBER($E94))),AND($F94&lt;&gt;"",NOT(ISNUMBER($F94))),AND($G94&lt;&gt;"",NOT(ISNUMBER($G94)))),"Fecha no válida"&amp;" · ","")&amp;IF(AND(ISNUMBER($AM94),ISNUMBER($AN94),$AM94&gt;$AN94),"Inicio posterior a fecha límite"&amp;" · ","")&amp;IF(AND($V94="Macro",$H94&lt;&gt;"",OR(NOT(ISNUMBER($H94)),$H94&lt;0,$H94&gt;1)),"Peso fuera de rango"&amp;" · ","")&amp;IF(AND($V94="Sub",$H94&lt;&gt;""),"Las subactividades no llevan peso (valen igual dentro de su macroactividad)"&amp;" · ","")&amp;IF(AND(N($W94)&gt;0,COUNT($I94:$L94)&gt;0),"Con subactividades: deje vacías las semanas (se calculan solas)"&amp;" · ","")&amp;IF((COUNTIF($I94:$L94,"&gt;1")+COUNTIF($I94:$L94,"&lt;0")+COUNTA($I94:$L94)-COUNT($I94:$L94))&gt;0,"Avance fuera de rango 0-100%"&amp;" · ","")&amp;IF(OR(AND($J94&lt;&gt;"",$J94&lt;$I94),AND($K94&lt;&gt;"",$K94&lt;MAX($I94:$J94)),AND($L94&lt;&gt;"",$L94&lt;MAX($I94:$K94))),"Avance semanal decreciente"&amp;" · ","")&amp;IF(AND(ISNUMBER($AN94),$AN94&lt;FechaRef,IF($V94="Sub",N($X94),N($M94))&lt;1),"Vencida"&amp;" · ","")&amp;IF(AND(ObsObligatoria="Sí",ISNUMBER($AN94),$AN94&lt;FechaRef,IF($V94="Sub",N($X94),N($M94))&lt;1,$Q94=""),"Vencida sin observación"&amp;" · ",""))-3)))</f>
        <v/>
      </c>
      <c r="S94" s="64">
        <f>IF(NOT((COUNTA($B94:$D94)+COUNTA($G94:$L94)+COUNTA($Q94))&gt;0),"",IF(AND($V94="Sub",N($U94)&gt;0),IF(ISNUMBER(INDEX($AM$5:$AM$1000,$U94-4)),DATE(YEAR(INDEX($AM$5:$AM$1000,$U94-4)),MONTH(INDEX($AM$5:$AM$1000,$U94-4)),1),IF(ISNUMBER(INDEX($AN$5:$AN$1000,$U94-4)),DATE(YEAR(INDEX($AN$5:$AN$1000,$U94-4)),MONTH(INDEX($AN$5:$AN$1000,$U94-4)),1),MesCiclo)),IF(ISNUMBER($AM94),DATE(YEAR($AM94),MONTH($AM94),1),IF(ISNUMBER($AN94),DATE(YEAR($AN94),MONTH($AN94),1),MesCiclo))))</f>
        <v/>
      </c>
      <c r="T94" s="62">
        <f>IF(OR($S94="",$S94&lt;&gt;MesCiclo,$V94&lt;&gt;"Macro"),"",COUNTIFS($S$5:$S94,MesCiclo,$V$5:$V94,"Macro"))</f>
        <v/>
      </c>
      <c r="U94" s="62">
        <f>IF($V94="","",IF($V94="Macro",ROW(),IFERROR(LOOKUP(2,1/($V$5:$V94="Macro"),ROW($V$5:$V94)),0)))</f>
        <v/>
      </c>
      <c r="V94" s="62">
        <f>IF(NOT((COUNTA($B94:$D94)+COUNTA($G94:$L94)+COUNTA($Q94))&gt;0),"",IF($B94="Subactividad","Sub","Macro"))</f>
        <v/>
      </c>
      <c r="W94" s="62">
        <f>IF($V94="Macro",COUNTIFS($U$5:$U$1000,ROW(),$V$5:$V$1000,"Sub"),"")</f>
        <v/>
      </c>
      <c r="X94" s="62">
        <f>IF($V94="","",IF(ISNUMBER($G94),1,IFERROR(LOOKUP(2,1/($I94:$L94&lt;&gt;""),$I94:$L94),0)))</f>
        <v/>
      </c>
      <c r="Y94" s="62">
        <f>IF($V94="","",IF(AND(ISNUMBER($G94),$G94&lt;=IF($S94=MesCiclo,InicioCiclo,$S94+MOD(2-WEEKDAY($S94),7))+6),1,IF(ISNUMBER($I94),$I94,0)))</f>
        <v/>
      </c>
      <c r="Z94" s="62">
        <f>IF($V94="","",IF(AND(ISNUMBER($G94),$G94&lt;=IF($S94=MesCiclo,InicioCiclo,$S94+MOD(2-WEEKDAY($S94),7))+13),1,IF(ISNUMBER($J94),$J94,$Y94)))</f>
        <v/>
      </c>
      <c r="AA94" s="62">
        <f>IF($V94="","",IF(AND(ISNUMBER($G94),$G94&lt;=IF($S94=MesCiclo,InicioCiclo,$S94+MOD(2-WEEKDAY($S94),7))+20),1,IF(ISNUMBER($K94),$K94,$Z94)))</f>
        <v/>
      </c>
      <c r="AB94" s="62">
        <f>IF($V94="","",IF(AND(ISNUMBER($G94),$G94&lt;=IF($S94=MesCiclo,InicioCiclo,$S94+MOD(2-WEEKDAY($S94),7))+27),1,IF(ISNUMBER($L94),$L94,$AA94)))</f>
        <v/>
      </c>
      <c r="AC94" s="62">
        <f>IF($V94="","",IF(AND(ISNUMBER($G94),$G94&lt;=IF($S94=MesCiclo,InicioCiclo,$S94+MOD(2-WEEKDAY($S94),7))+6),1,IF(N($W94)&gt;0,AVERAGEIFS($Y$5:$Y$1000,$U$5:$U$1000,ROW(),$V$5:$V$1000,"Sub"),$Y94)))</f>
        <v/>
      </c>
      <c r="AD94" s="62">
        <f>IF($V94="","",IF(AND(ISNUMBER($G94),$G94&lt;=IF($S94=MesCiclo,InicioCiclo,$S94+MOD(2-WEEKDAY($S94),7))+13),1,IF(N($W94)&gt;0,AVERAGEIFS($Z$5:$Z$1000,$U$5:$U$1000,ROW(),$V$5:$V$1000,"Sub"),$Z94)))</f>
        <v/>
      </c>
      <c r="AE94" s="62">
        <f>IF($V94="","",IF(AND(ISNUMBER($G94),$G94&lt;=IF($S94=MesCiclo,InicioCiclo,$S94+MOD(2-WEEKDAY($S94),7))+20),1,IF(N($W94)&gt;0,AVERAGEIFS($AA$5:$AA$1000,$U$5:$U$1000,ROW(),$V$5:$V$1000,"Sub"),$AA94)))</f>
        <v/>
      </c>
      <c r="AF94" s="62">
        <f>IF($V94="","",IF(AND(ISNUMBER($G94),$G94&lt;=IF($S94=MesCiclo,InicioCiclo,$S94+MOD(2-WEEKDAY($S94),7))+27),1,IF(N($W94)&gt;0,AVERAGEIFS($AB$5:$AB$1000,$U$5:$U$1000,ROW(),$V$5:$V$1000,"Sub"),$AB94)))</f>
        <v/>
      </c>
      <c r="AG94" s="62">
        <f>IF($V94&lt;&gt;"Macro","",IF(COUNTIFS($S$5:$S$1000,$S94,$V$5:$V$1000,"Macro",$H$5:$H$1000,"&gt;0")=0,1/COUNTIFS($S$5:$S$1000,$S94,$V$5:$V$1000,"Macro"),IF(AND(ISNUMBER($H94),N($H94)&gt;0),$H94,SUMIFS($H$5:$H$1000,$S$5:$S$1000,$S94,$V$5:$V$1000,"Macro")/COUNTIFS($S$5:$S$1000,$S94,$V$5:$V$1000,"Macro",$H$5:$H$1000,"&gt;0"))/(COUNTIFS($S$5:$S$1000,$S94,$V$5:$V$1000,"Macro")*SUMIFS($H$5:$H$1000,$S$5:$S$1000,$S94,$V$5:$V$1000,"Macro")/COUNTIFS($S$5:$S$1000,$S94,$V$5:$V$1000,"Macro",$H$5:$H$1000,"&gt;0"))))</f>
        <v/>
      </c>
      <c r="AH94" s="62" t="n"/>
      <c r="AI94" s="62" t="n"/>
      <c r="AJ94" s="62" t="n"/>
      <c r="AK94" s="62" t="n"/>
      <c r="AL94" s="62">
        <f>IF(LEFT($C94,11)="[Jefatura] ",IFERROR(MATCH("Riesgo Financiero|"&amp;MID($C94,12,500),rDname_ADM,0),0),"")</f>
        <v/>
      </c>
      <c r="AM94" s="62">
        <f>IF(N($AL94)&gt;0,INDEX(rIni_ADM,$AL94),IF(ISNUMBER($E94),$E94,""))</f>
        <v/>
      </c>
      <c r="AN94" s="62">
        <f>IF(N($AL94)&gt;0,INDEX(rLim_ADM,$AL94),IF(ISNUMBER($F94),$F94,""))</f>
        <v/>
      </c>
    </row>
    <row r="95">
      <c r="A95" s="56">
        <f>IF(NOT((COUNTA($B95:$D95)+COUNTA($G95:$L95)+COUNTA($Q95))&gt;0),"",IF($V95="Macro",COUNTIFS($V$5:$V95,"Macro",$S$5:$S95,$S95),IF(N($U95)=0,"?",COUNTIFS(INDEX($V$5:$V$1000,1):INDEX($V$5:$V$1000,$U95-4),"Macro",INDEX($S$5:$S$1000,1):INDEX($S$5:$S$1000,$U95-4),INDEX($S$5:$S$1000,$U95-4))&amp;"."&amp;COUNTIFS($U$5:$U95,$U95,$V$5:$V95,"Sub"))))</f>
        <v/>
      </c>
      <c r="B95" s="57" t="n"/>
      <c r="C95" s="58" t="n"/>
      <c r="D95" s="58" t="n"/>
      <c r="E95" s="59">
        <f>IF(N($AL95)&gt;0,INDEX(rIni_ADM,$AL95),"")</f>
        <v/>
      </c>
      <c r="F95" s="59">
        <f>IF(N($AL95)&gt;0,INDEX(rLim_ADM,$AL95),"")</f>
        <v/>
      </c>
      <c r="G95" s="59" t="n"/>
      <c r="H95" s="60" t="n"/>
      <c r="I95" s="60" t="n"/>
      <c r="J95" s="60" t="n"/>
      <c r="K95" s="60" t="n"/>
      <c r="L95" s="60" t="n"/>
      <c r="M95" s="61">
        <f>IF(NOT((COUNTA($B95:$D95)+COUNTA($G95:$L95)+COUNTA($Q95))&gt;0),"",IF($V95="Sub",IFERROR($X95/INDEX($W$5:$W$1000,$U95-4),""),IF(ISNUMBER($G95),1,IF(N($W95)&gt;0,AVERAGEIFS($X$5:$X$1000,$U$5:$U$1000,ROW(),$V$5:$V$1000,"Sub"),$X95))))</f>
        <v/>
      </c>
      <c r="N95" s="56">
        <f>IF(OR($M95="",$V95="Sub"),"",IF($M95&gt;=1,"Completado",IF($M95&gt;0,"En curso","Pendiente")))</f>
        <v/>
      </c>
      <c r="O95" s="56">
        <f>IF(OR(NOT((COUNTA($B95:$D95)+COUNTA($G95:$L95)+COUNTA($Q95))&gt;0),$V95="Sub"),"",IF(ISNUMBER($G95),IF(AND(ISNUMBER($AN95),$G95&gt;$AN95),"Cumplida con "&amp;($G95-$AN95)&amp;IF($G95-$AN95=1," día"," días")&amp;" de retraso","Cumplida"),IF(N($M95)&gt;=1,"Cumplida",IF(NOT(ISNUMBER($AN95)),"Sin fecha límite",IF($AN95&lt;FechaRef,"Vencida hace "&amp;(FechaRef-$AN95)&amp;IF(FechaRef-$AN95=1," día"," días"),IF($AN95=FechaRef,"Vence hoy",IF($AN95-FechaRef&lt;=DiasAlerta,"Vence en "&amp;($AN95-FechaRef)&amp;IF($AN95-FechaRef=1," día"," días"),"En plazo")))))))</f>
        <v/>
      </c>
      <c r="P95" s="62" t="n"/>
      <c r="Q95" s="58" t="n"/>
      <c r="R95" s="63">
        <f>IF(NOT((COUNTA($B95:$D95)+COUNTA($G95:$L95)+COUNTA($Q95))&gt;0),"",IF((IF($C95="","Falta el nombre de la actividad"&amp;" · ","")&amp;IF(AND($V95="Sub",N($U95)=0),"Subactividad sin macroactividad arriba"&amp;" · ","")&amp;IF($AM95="","Sin fecha de inicio"&amp;" · ","")&amp;IF($AN95="","Sin fecha límite"&amp;" · ","")&amp;IF(AND(LEFT($C95,11)="[Jefatura] ",N($AL95)=0),"No se encuentra en la hoja de la jefatura (elíjala de nuevo en la lista)"&amp;" · ","")&amp;IF(OR(AND($E95&lt;&gt;"",NOT(ISNUMBER($E95))),AND($F95&lt;&gt;"",NOT(ISNUMBER($F95))),AND($G95&lt;&gt;"",NOT(ISNUMBER($G95)))),"Fecha no válida"&amp;" · ","")&amp;IF(AND(ISNUMBER($AM95),ISNUMBER($AN95),$AM95&gt;$AN95),"Inicio posterior a fecha límite"&amp;" · ","")&amp;IF(AND($V95="Macro",$H95&lt;&gt;"",OR(NOT(ISNUMBER($H95)),$H95&lt;0,$H95&gt;1)),"Peso fuera de rango"&amp;" · ","")&amp;IF(AND($V95="Sub",$H95&lt;&gt;""),"Las subactividades no llevan peso (valen igual dentro de su macroactividad)"&amp;" · ","")&amp;IF(AND(N($W95)&gt;0,COUNT($I95:$L95)&gt;0),"Con subactividades: deje vacías las semanas (se calculan solas)"&amp;" · ","")&amp;IF((COUNTIF($I95:$L95,"&gt;1")+COUNTIF($I95:$L95,"&lt;0")+COUNTA($I95:$L95)-COUNT($I95:$L95))&gt;0,"Avance fuera de rango 0-100%"&amp;" · ","")&amp;IF(OR(AND($J95&lt;&gt;"",$J95&lt;$I95),AND($K95&lt;&gt;"",$K95&lt;MAX($I95:$J95)),AND($L95&lt;&gt;"",$L95&lt;MAX($I95:$K95))),"Avance semanal decreciente"&amp;" · ","")&amp;IF(AND(ISNUMBER($AN95),$AN95&lt;FechaRef,IF($V95="Sub",N($X95),N($M95))&lt;1),"Vencida"&amp;" · ","")&amp;IF(AND(ObsObligatoria="Sí",ISNUMBER($AN95),$AN95&lt;FechaRef,IF($V95="Sub",N($X95),N($M95))&lt;1,$Q95=""),"Vencida sin observación"&amp;" · ",""))="","✔ OK","⚠ "&amp;LEFT(IF($C95="","Falta el nombre de la actividad"&amp;" · ","")&amp;IF(AND($V95="Sub",N($U95)=0),"Subactividad sin macroactividad arriba"&amp;" · ","")&amp;IF($AM95="","Sin fecha de inicio"&amp;" · ","")&amp;IF($AN95="","Sin fecha límite"&amp;" · ","")&amp;IF(AND(LEFT($C95,11)="[Jefatura] ",N($AL95)=0),"No se encuentra en la hoja de la jefatura (elíjala de nuevo en la lista)"&amp;" · ","")&amp;IF(OR(AND($E95&lt;&gt;"",NOT(ISNUMBER($E95))),AND($F95&lt;&gt;"",NOT(ISNUMBER($F95))),AND($G95&lt;&gt;"",NOT(ISNUMBER($G95)))),"Fecha no válida"&amp;" · ","")&amp;IF(AND(ISNUMBER($AM95),ISNUMBER($AN95),$AM95&gt;$AN95),"Inicio posterior a fecha límite"&amp;" · ","")&amp;IF(AND($V95="Macro",$H95&lt;&gt;"",OR(NOT(ISNUMBER($H95)),$H95&lt;0,$H95&gt;1)),"Peso fuera de rango"&amp;" · ","")&amp;IF(AND($V95="Sub",$H95&lt;&gt;""),"Las subactividades no llevan peso (valen igual dentro de su macroactividad)"&amp;" · ","")&amp;IF(AND(N($W95)&gt;0,COUNT($I95:$L95)&gt;0),"Con subactividades: deje vacías las semanas (se calculan solas)"&amp;" · ","")&amp;IF((COUNTIF($I95:$L95,"&gt;1")+COUNTIF($I95:$L95,"&lt;0")+COUNTA($I95:$L95)-COUNT($I95:$L95))&gt;0,"Avance fuera de rango 0-100%"&amp;" · ","")&amp;IF(OR(AND($J95&lt;&gt;"",$J95&lt;$I95),AND($K95&lt;&gt;"",$K95&lt;MAX($I95:$J95)),AND($L95&lt;&gt;"",$L95&lt;MAX($I95:$K95))),"Avance semanal decreciente"&amp;" · ","")&amp;IF(AND(ISNUMBER($AN95),$AN95&lt;FechaRef,IF($V95="Sub",N($X95),N($M95))&lt;1),"Vencida"&amp;" · ","")&amp;IF(AND(ObsObligatoria="Sí",ISNUMBER($AN95),$AN95&lt;FechaRef,IF($V95="Sub",N($X95),N($M95))&lt;1,$Q95=""),"Vencida sin observación"&amp;" · ",""),LEN(IF($C95="","Falta el nombre de la actividad"&amp;" · ","")&amp;IF(AND($V95="Sub",N($U95)=0),"Subactividad sin macroactividad arriba"&amp;" · ","")&amp;IF($AM95="","Sin fecha de inicio"&amp;" · ","")&amp;IF($AN95="","Sin fecha límite"&amp;" · ","")&amp;IF(AND(LEFT($C95,11)="[Jefatura] ",N($AL95)=0),"No se encuentra en la hoja de la jefatura (elíjala de nuevo en la lista)"&amp;" · ","")&amp;IF(OR(AND($E95&lt;&gt;"",NOT(ISNUMBER($E95))),AND($F95&lt;&gt;"",NOT(ISNUMBER($F95))),AND($G95&lt;&gt;"",NOT(ISNUMBER($G95)))),"Fecha no válida"&amp;" · ","")&amp;IF(AND(ISNUMBER($AM95),ISNUMBER($AN95),$AM95&gt;$AN95),"Inicio posterior a fecha límite"&amp;" · ","")&amp;IF(AND($V95="Macro",$H95&lt;&gt;"",OR(NOT(ISNUMBER($H95)),$H95&lt;0,$H95&gt;1)),"Peso fuera de rango"&amp;" · ","")&amp;IF(AND($V95="Sub",$H95&lt;&gt;""),"Las subactividades no llevan peso (valen igual dentro de su macroactividad)"&amp;" · ","")&amp;IF(AND(N($W95)&gt;0,COUNT($I95:$L95)&gt;0),"Con subactividades: deje vacías las semanas (se calculan solas)"&amp;" · ","")&amp;IF((COUNTIF($I95:$L95,"&gt;1")+COUNTIF($I95:$L95,"&lt;0")+COUNTA($I95:$L95)-COUNT($I95:$L95))&gt;0,"Avance fuera de rango 0-100%"&amp;" · ","")&amp;IF(OR(AND($J95&lt;&gt;"",$J95&lt;$I95),AND($K95&lt;&gt;"",$K95&lt;MAX($I95:$J95)),AND($L95&lt;&gt;"",$L95&lt;MAX($I95:$K95))),"Avance semanal decreciente"&amp;" · ","")&amp;IF(AND(ISNUMBER($AN95),$AN95&lt;FechaRef,IF($V95="Sub",N($X95),N($M95))&lt;1),"Vencida"&amp;" · ","")&amp;IF(AND(ObsObligatoria="Sí",ISNUMBER($AN95),$AN95&lt;FechaRef,IF($V95="Sub",N($X95),N($M95))&lt;1,$Q95=""),"Vencida sin observación"&amp;" · ",""))-3)))</f>
        <v/>
      </c>
      <c r="S95" s="64">
        <f>IF(NOT((COUNTA($B95:$D95)+COUNTA($G95:$L95)+COUNTA($Q95))&gt;0),"",IF(AND($V95="Sub",N($U95)&gt;0),IF(ISNUMBER(INDEX($AM$5:$AM$1000,$U95-4)),DATE(YEAR(INDEX($AM$5:$AM$1000,$U95-4)),MONTH(INDEX($AM$5:$AM$1000,$U95-4)),1),IF(ISNUMBER(INDEX($AN$5:$AN$1000,$U95-4)),DATE(YEAR(INDEX($AN$5:$AN$1000,$U95-4)),MONTH(INDEX($AN$5:$AN$1000,$U95-4)),1),MesCiclo)),IF(ISNUMBER($AM95),DATE(YEAR($AM95),MONTH($AM95),1),IF(ISNUMBER($AN95),DATE(YEAR($AN95),MONTH($AN95),1),MesCiclo))))</f>
        <v/>
      </c>
      <c r="T95" s="62">
        <f>IF(OR($S95="",$S95&lt;&gt;MesCiclo,$V95&lt;&gt;"Macro"),"",COUNTIFS($S$5:$S95,MesCiclo,$V$5:$V95,"Macro"))</f>
        <v/>
      </c>
      <c r="U95" s="62">
        <f>IF($V95="","",IF($V95="Macro",ROW(),IFERROR(LOOKUP(2,1/($V$5:$V95="Macro"),ROW($V$5:$V95)),0)))</f>
        <v/>
      </c>
      <c r="V95" s="62">
        <f>IF(NOT((COUNTA($B95:$D95)+COUNTA($G95:$L95)+COUNTA($Q95))&gt;0),"",IF($B95="Subactividad","Sub","Macro"))</f>
        <v/>
      </c>
      <c r="W95" s="62">
        <f>IF($V95="Macro",COUNTIFS($U$5:$U$1000,ROW(),$V$5:$V$1000,"Sub"),"")</f>
        <v/>
      </c>
      <c r="X95" s="62">
        <f>IF($V95="","",IF(ISNUMBER($G95),1,IFERROR(LOOKUP(2,1/($I95:$L95&lt;&gt;""),$I95:$L95),0)))</f>
        <v/>
      </c>
      <c r="Y95" s="62">
        <f>IF($V95="","",IF(AND(ISNUMBER($G95),$G95&lt;=IF($S95=MesCiclo,InicioCiclo,$S95+MOD(2-WEEKDAY($S95),7))+6),1,IF(ISNUMBER($I95),$I95,0)))</f>
        <v/>
      </c>
      <c r="Z95" s="62">
        <f>IF($V95="","",IF(AND(ISNUMBER($G95),$G95&lt;=IF($S95=MesCiclo,InicioCiclo,$S95+MOD(2-WEEKDAY($S95),7))+13),1,IF(ISNUMBER($J95),$J95,$Y95)))</f>
        <v/>
      </c>
      <c r="AA95" s="62">
        <f>IF($V95="","",IF(AND(ISNUMBER($G95),$G95&lt;=IF($S95=MesCiclo,InicioCiclo,$S95+MOD(2-WEEKDAY($S95),7))+20),1,IF(ISNUMBER($K95),$K95,$Z95)))</f>
        <v/>
      </c>
      <c r="AB95" s="62">
        <f>IF($V95="","",IF(AND(ISNUMBER($G95),$G95&lt;=IF($S95=MesCiclo,InicioCiclo,$S95+MOD(2-WEEKDAY($S95),7))+27),1,IF(ISNUMBER($L95),$L95,$AA95)))</f>
        <v/>
      </c>
      <c r="AC95" s="62">
        <f>IF($V95="","",IF(AND(ISNUMBER($G95),$G95&lt;=IF($S95=MesCiclo,InicioCiclo,$S95+MOD(2-WEEKDAY($S95),7))+6),1,IF(N($W95)&gt;0,AVERAGEIFS($Y$5:$Y$1000,$U$5:$U$1000,ROW(),$V$5:$V$1000,"Sub"),$Y95)))</f>
        <v/>
      </c>
      <c r="AD95" s="62">
        <f>IF($V95="","",IF(AND(ISNUMBER($G95),$G95&lt;=IF($S95=MesCiclo,InicioCiclo,$S95+MOD(2-WEEKDAY($S95),7))+13),1,IF(N($W95)&gt;0,AVERAGEIFS($Z$5:$Z$1000,$U$5:$U$1000,ROW(),$V$5:$V$1000,"Sub"),$Z95)))</f>
        <v/>
      </c>
      <c r="AE95" s="62">
        <f>IF($V95="","",IF(AND(ISNUMBER($G95),$G95&lt;=IF($S95=MesCiclo,InicioCiclo,$S95+MOD(2-WEEKDAY($S95),7))+20),1,IF(N($W95)&gt;0,AVERAGEIFS($AA$5:$AA$1000,$U$5:$U$1000,ROW(),$V$5:$V$1000,"Sub"),$AA95)))</f>
        <v/>
      </c>
      <c r="AF95" s="62">
        <f>IF($V95="","",IF(AND(ISNUMBER($G95),$G95&lt;=IF($S95=MesCiclo,InicioCiclo,$S95+MOD(2-WEEKDAY($S95),7))+27),1,IF(N($W95)&gt;0,AVERAGEIFS($AB$5:$AB$1000,$U$5:$U$1000,ROW(),$V$5:$V$1000,"Sub"),$AB95)))</f>
        <v/>
      </c>
      <c r="AG95" s="62">
        <f>IF($V95&lt;&gt;"Macro","",IF(COUNTIFS($S$5:$S$1000,$S95,$V$5:$V$1000,"Macro",$H$5:$H$1000,"&gt;0")=0,1/COUNTIFS($S$5:$S$1000,$S95,$V$5:$V$1000,"Macro"),IF(AND(ISNUMBER($H95),N($H95)&gt;0),$H95,SUMIFS($H$5:$H$1000,$S$5:$S$1000,$S95,$V$5:$V$1000,"Macro")/COUNTIFS($S$5:$S$1000,$S95,$V$5:$V$1000,"Macro",$H$5:$H$1000,"&gt;0"))/(COUNTIFS($S$5:$S$1000,$S95,$V$5:$V$1000,"Macro")*SUMIFS($H$5:$H$1000,$S$5:$S$1000,$S95,$V$5:$V$1000,"Macro")/COUNTIFS($S$5:$S$1000,$S95,$V$5:$V$1000,"Macro",$H$5:$H$1000,"&gt;0"))))</f>
        <v/>
      </c>
      <c r="AH95" s="62" t="n"/>
      <c r="AI95" s="62" t="n"/>
      <c r="AJ95" s="62" t="n"/>
      <c r="AK95" s="62" t="n"/>
      <c r="AL95" s="62">
        <f>IF(LEFT($C95,11)="[Jefatura] ",IFERROR(MATCH("Riesgo Financiero|"&amp;MID($C95,12,500),rDname_ADM,0),0),"")</f>
        <v/>
      </c>
      <c r="AM95" s="62">
        <f>IF(N($AL95)&gt;0,INDEX(rIni_ADM,$AL95),IF(ISNUMBER($E95),$E95,""))</f>
        <v/>
      </c>
      <c r="AN95" s="62">
        <f>IF(N($AL95)&gt;0,INDEX(rLim_ADM,$AL95),IF(ISNUMBER($F95),$F95,""))</f>
        <v/>
      </c>
    </row>
    <row r="96">
      <c r="A96" s="56">
        <f>IF(NOT((COUNTA($B96:$D96)+COUNTA($G96:$L96)+COUNTA($Q96))&gt;0),"",IF($V96="Macro",COUNTIFS($V$5:$V96,"Macro",$S$5:$S96,$S96),IF(N($U96)=0,"?",COUNTIFS(INDEX($V$5:$V$1000,1):INDEX($V$5:$V$1000,$U96-4),"Macro",INDEX($S$5:$S$1000,1):INDEX($S$5:$S$1000,$U96-4),INDEX($S$5:$S$1000,$U96-4))&amp;"."&amp;COUNTIFS($U$5:$U96,$U96,$V$5:$V96,"Sub"))))</f>
        <v/>
      </c>
      <c r="B96" s="57" t="n"/>
      <c r="C96" s="58" t="n"/>
      <c r="D96" s="58" t="n"/>
      <c r="E96" s="59">
        <f>IF(N($AL96)&gt;0,INDEX(rIni_ADM,$AL96),"")</f>
        <v/>
      </c>
      <c r="F96" s="59">
        <f>IF(N($AL96)&gt;0,INDEX(rLim_ADM,$AL96),"")</f>
        <v/>
      </c>
      <c r="G96" s="59" t="n"/>
      <c r="H96" s="60" t="n"/>
      <c r="I96" s="60" t="n"/>
      <c r="J96" s="60" t="n"/>
      <c r="K96" s="60" t="n"/>
      <c r="L96" s="60" t="n"/>
      <c r="M96" s="61">
        <f>IF(NOT((COUNTA($B96:$D96)+COUNTA($G96:$L96)+COUNTA($Q96))&gt;0),"",IF($V96="Sub",IFERROR($X96/INDEX($W$5:$W$1000,$U96-4),""),IF(ISNUMBER($G96),1,IF(N($W96)&gt;0,AVERAGEIFS($X$5:$X$1000,$U$5:$U$1000,ROW(),$V$5:$V$1000,"Sub"),$X96))))</f>
        <v/>
      </c>
      <c r="N96" s="56">
        <f>IF(OR($M96="",$V96="Sub"),"",IF($M96&gt;=1,"Completado",IF($M96&gt;0,"En curso","Pendiente")))</f>
        <v/>
      </c>
      <c r="O96" s="56">
        <f>IF(OR(NOT((COUNTA($B96:$D96)+COUNTA($G96:$L96)+COUNTA($Q96))&gt;0),$V96="Sub"),"",IF(ISNUMBER($G96),IF(AND(ISNUMBER($AN96),$G96&gt;$AN96),"Cumplida con "&amp;($G96-$AN96)&amp;IF($G96-$AN96=1," día"," días")&amp;" de retraso","Cumplida"),IF(N($M96)&gt;=1,"Cumplida",IF(NOT(ISNUMBER($AN96)),"Sin fecha límite",IF($AN96&lt;FechaRef,"Vencida hace "&amp;(FechaRef-$AN96)&amp;IF(FechaRef-$AN96=1," día"," días"),IF($AN96=FechaRef,"Vence hoy",IF($AN96-FechaRef&lt;=DiasAlerta,"Vence en "&amp;($AN96-FechaRef)&amp;IF($AN96-FechaRef=1," día"," días"),"En plazo")))))))</f>
        <v/>
      </c>
      <c r="P96" s="62" t="n"/>
      <c r="Q96" s="58" t="n"/>
      <c r="R96" s="63">
        <f>IF(NOT((COUNTA($B96:$D96)+COUNTA($G96:$L96)+COUNTA($Q96))&gt;0),"",IF((IF($C96="","Falta el nombre de la actividad"&amp;" · ","")&amp;IF(AND($V96="Sub",N($U96)=0),"Subactividad sin macroactividad arriba"&amp;" · ","")&amp;IF($AM96="","Sin fecha de inicio"&amp;" · ","")&amp;IF($AN96="","Sin fecha límite"&amp;" · ","")&amp;IF(AND(LEFT($C96,11)="[Jefatura] ",N($AL96)=0),"No se encuentra en la hoja de la jefatura (elíjala de nuevo en la lista)"&amp;" · ","")&amp;IF(OR(AND($E96&lt;&gt;"",NOT(ISNUMBER($E96))),AND($F96&lt;&gt;"",NOT(ISNUMBER($F96))),AND($G96&lt;&gt;"",NOT(ISNUMBER($G96)))),"Fecha no válida"&amp;" · ","")&amp;IF(AND(ISNUMBER($AM96),ISNUMBER($AN96),$AM96&gt;$AN96),"Inicio posterior a fecha límite"&amp;" · ","")&amp;IF(AND($V96="Macro",$H96&lt;&gt;"",OR(NOT(ISNUMBER($H96)),$H96&lt;0,$H96&gt;1)),"Peso fuera de rango"&amp;" · ","")&amp;IF(AND($V96="Sub",$H96&lt;&gt;""),"Las subactividades no llevan peso (valen igual dentro de su macroactividad)"&amp;" · ","")&amp;IF(AND(N($W96)&gt;0,COUNT($I96:$L96)&gt;0),"Con subactividades: deje vacías las semanas (se calculan solas)"&amp;" · ","")&amp;IF((COUNTIF($I96:$L96,"&gt;1")+COUNTIF($I96:$L96,"&lt;0")+COUNTA($I96:$L96)-COUNT($I96:$L96))&gt;0,"Avance fuera de rango 0-100%"&amp;" · ","")&amp;IF(OR(AND($J96&lt;&gt;"",$J96&lt;$I96),AND($K96&lt;&gt;"",$K96&lt;MAX($I96:$J96)),AND($L96&lt;&gt;"",$L96&lt;MAX($I96:$K96))),"Avance semanal decreciente"&amp;" · ","")&amp;IF(AND(ISNUMBER($AN96),$AN96&lt;FechaRef,IF($V96="Sub",N($X96),N($M96))&lt;1),"Vencida"&amp;" · ","")&amp;IF(AND(ObsObligatoria="Sí",ISNUMBER($AN96),$AN96&lt;FechaRef,IF($V96="Sub",N($X96),N($M96))&lt;1,$Q96=""),"Vencida sin observación"&amp;" · ",""))="","✔ OK","⚠ "&amp;LEFT(IF($C96="","Falta el nombre de la actividad"&amp;" · ","")&amp;IF(AND($V96="Sub",N($U96)=0),"Subactividad sin macroactividad arriba"&amp;" · ","")&amp;IF($AM96="","Sin fecha de inicio"&amp;" · ","")&amp;IF($AN96="","Sin fecha límite"&amp;" · ","")&amp;IF(AND(LEFT($C96,11)="[Jefatura] ",N($AL96)=0),"No se encuentra en la hoja de la jefatura (elíjala de nuevo en la lista)"&amp;" · ","")&amp;IF(OR(AND($E96&lt;&gt;"",NOT(ISNUMBER($E96))),AND($F96&lt;&gt;"",NOT(ISNUMBER($F96))),AND($G96&lt;&gt;"",NOT(ISNUMBER($G96)))),"Fecha no válida"&amp;" · ","")&amp;IF(AND(ISNUMBER($AM96),ISNUMBER($AN96),$AM96&gt;$AN96),"Inicio posterior a fecha límite"&amp;" · ","")&amp;IF(AND($V96="Macro",$H96&lt;&gt;"",OR(NOT(ISNUMBER($H96)),$H96&lt;0,$H96&gt;1)),"Peso fuera de rango"&amp;" · ","")&amp;IF(AND($V96="Sub",$H96&lt;&gt;""),"Las subactividades no llevan peso (valen igual dentro de su macroactividad)"&amp;" · ","")&amp;IF(AND(N($W96)&gt;0,COUNT($I96:$L96)&gt;0),"Con subactividades: deje vacías las semanas (se calculan solas)"&amp;" · ","")&amp;IF((COUNTIF($I96:$L96,"&gt;1")+COUNTIF($I96:$L96,"&lt;0")+COUNTA($I96:$L96)-COUNT($I96:$L96))&gt;0,"Avance fuera de rango 0-100%"&amp;" · ","")&amp;IF(OR(AND($J96&lt;&gt;"",$J96&lt;$I96),AND($K96&lt;&gt;"",$K96&lt;MAX($I96:$J96)),AND($L96&lt;&gt;"",$L96&lt;MAX($I96:$K96))),"Avance semanal decreciente"&amp;" · ","")&amp;IF(AND(ISNUMBER($AN96),$AN96&lt;FechaRef,IF($V96="Sub",N($X96),N($M96))&lt;1),"Vencida"&amp;" · ","")&amp;IF(AND(ObsObligatoria="Sí",ISNUMBER($AN96),$AN96&lt;FechaRef,IF($V96="Sub",N($X96),N($M96))&lt;1,$Q96=""),"Vencida sin observación"&amp;" · ",""),LEN(IF($C96="","Falta el nombre de la actividad"&amp;" · ","")&amp;IF(AND($V96="Sub",N($U96)=0),"Subactividad sin macroactividad arriba"&amp;" · ","")&amp;IF($AM96="","Sin fecha de inicio"&amp;" · ","")&amp;IF($AN96="","Sin fecha límite"&amp;" · ","")&amp;IF(AND(LEFT($C96,11)="[Jefatura] ",N($AL96)=0),"No se encuentra en la hoja de la jefatura (elíjala de nuevo en la lista)"&amp;" · ","")&amp;IF(OR(AND($E96&lt;&gt;"",NOT(ISNUMBER($E96))),AND($F96&lt;&gt;"",NOT(ISNUMBER($F96))),AND($G96&lt;&gt;"",NOT(ISNUMBER($G96)))),"Fecha no válida"&amp;" · ","")&amp;IF(AND(ISNUMBER($AM96),ISNUMBER($AN96),$AM96&gt;$AN96),"Inicio posterior a fecha límite"&amp;" · ","")&amp;IF(AND($V96="Macro",$H96&lt;&gt;"",OR(NOT(ISNUMBER($H96)),$H96&lt;0,$H96&gt;1)),"Peso fuera de rango"&amp;" · ","")&amp;IF(AND($V96="Sub",$H96&lt;&gt;""),"Las subactividades no llevan peso (valen igual dentro de su macroactividad)"&amp;" · ","")&amp;IF(AND(N($W96)&gt;0,COUNT($I96:$L96)&gt;0),"Con subactividades: deje vacías las semanas (se calculan solas)"&amp;" · ","")&amp;IF((COUNTIF($I96:$L96,"&gt;1")+COUNTIF($I96:$L96,"&lt;0")+COUNTA($I96:$L96)-COUNT($I96:$L96))&gt;0,"Avance fuera de rango 0-100%"&amp;" · ","")&amp;IF(OR(AND($J96&lt;&gt;"",$J96&lt;$I96),AND($K96&lt;&gt;"",$K96&lt;MAX($I96:$J96)),AND($L96&lt;&gt;"",$L96&lt;MAX($I96:$K96))),"Avance semanal decreciente"&amp;" · ","")&amp;IF(AND(ISNUMBER($AN96),$AN96&lt;FechaRef,IF($V96="Sub",N($X96),N($M96))&lt;1),"Vencida"&amp;" · ","")&amp;IF(AND(ObsObligatoria="Sí",ISNUMBER($AN96),$AN96&lt;FechaRef,IF($V96="Sub",N($X96),N($M96))&lt;1,$Q96=""),"Vencida sin observación"&amp;" · ",""))-3)))</f>
        <v/>
      </c>
      <c r="S96" s="64">
        <f>IF(NOT((COUNTA($B96:$D96)+COUNTA($G96:$L96)+COUNTA($Q96))&gt;0),"",IF(AND($V96="Sub",N($U96)&gt;0),IF(ISNUMBER(INDEX($AM$5:$AM$1000,$U96-4)),DATE(YEAR(INDEX($AM$5:$AM$1000,$U96-4)),MONTH(INDEX($AM$5:$AM$1000,$U96-4)),1),IF(ISNUMBER(INDEX($AN$5:$AN$1000,$U96-4)),DATE(YEAR(INDEX($AN$5:$AN$1000,$U96-4)),MONTH(INDEX($AN$5:$AN$1000,$U96-4)),1),MesCiclo)),IF(ISNUMBER($AM96),DATE(YEAR($AM96),MONTH($AM96),1),IF(ISNUMBER($AN96),DATE(YEAR($AN96),MONTH($AN96),1),MesCiclo))))</f>
        <v/>
      </c>
      <c r="T96" s="62">
        <f>IF(OR($S96="",$S96&lt;&gt;MesCiclo,$V96&lt;&gt;"Macro"),"",COUNTIFS($S$5:$S96,MesCiclo,$V$5:$V96,"Macro"))</f>
        <v/>
      </c>
      <c r="U96" s="62">
        <f>IF($V96="","",IF($V96="Macro",ROW(),IFERROR(LOOKUP(2,1/($V$5:$V96="Macro"),ROW($V$5:$V96)),0)))</f>
        <v/>
      </c>
      <c r="V96" s="62">
        <f>IF(NOT((COUNTA($B96:$D96)+COUNTA($G96:$L96)+COUNTA($Q96))&gt;0),"",IF($B96="Subactividad","Sub","Macro"))</f>
        <v/>
      </c>
      <c r="W96" s="62">
        <f>IF($V96="Macro",COUNTIFS($U$5:$U$1000,ROW(),$V$5:$V$1000,"Sub"),"")</f>
        <v/>
      </c>
      <c r="X96" s="62">
        <f>IF($V96="","",IF(ISNUMBER($G96),1,IFERROR(LOOKUP(2,1/($I96:$L96&lt;&gt;""),$I96:$L96),0)))</f>
        <v/>
      </c>
      <c r="Y96" s="62">
        <f>IF($V96="","",IF(AND(ISNUMBER($G96),$G96&lt;=IF($S96=MesCiclo,InicioCiclo,$S96+MOD(2-WEEKDAY($S96),7))+6),1,IF(ISNUMBER($I96),$I96,0)))</f>
        <v/>
      </c>
      <c r="Z96" s="62">
        <f>IF($V96="","",IF(AND(ISNUMBER($G96),$G96&lt;=IF($S96=MesCiclo,InicioCiclo,$S96+MOD(2-WEEKDAY($S96),7))+13),1,IF(ISNUMBER($J96),$J96,$Y96)))</f>
        <v/>
      </c>
      <c r="AA96" s="62">
        <f>IF($V96="","",IF(AND(ISNUMBER($G96),$G96&lt;=IF($S96=MesCiclo,InicioCiclo,$S96+MOD(2-WEEKDAY($S96),7))+20),1,IF(ISNUMBER($K96),$K96,$Z96)))</f>
        <v/>
      </c>
      <c r="AB96" s="62">
        <f>IF($V96="","",IF(AND(ISNUMBER($G96),$G96&lt;=IF($S96=MesCiclo,InicioCiclo,$S96+MOD(2-WEEKDAY($S96),7))+27),1,IF(ISNUMBER($L96),$L96,$AA96)))</f>
        <v/>
      </c>
      <c r="AC96" s="62">
        <f>IF($V96="","",IF(AND(ISNUMBER($G96),$G96&lt;=IF($S96=MesCiclo,InicioCiclo,$S96+MOD(2-WEEKDAY($S96),7))+6),1,IF(N($W96)&gt;0,AVERAGEIFS($Y$5:$Y$1000,$U$5:$U$1000,ROW(),$V$5:$V$1000,"Sub"),$Y96)))</f>
        <v/>
      </c>
      <c r="AD96" s="62">
        <f>IF($V96="","",IF(AND(ISNUMBER($G96),$G96&lt;=IF($S96=MesCiclo,InicioCiclo,$S96+MOD(2-WEEKDAY($S96),7))+13),1,IF(N($W96)&gt;0,AVERAGEIFS($Z$5:$Z$1000,$U$5:$U$1000,ROW(),$V$5:$V$1000,"Sub"),$Z96)))</f>
        <v/>
      </c>
      <c r="AE96" s="62">
        <f>IF($V96="","",IF(AND(ISNUMBER($G96),$G96&lt;=IF($S96=MesCiclo,InicioCiclo,$S96+MOD(2-WEEKDAY($S96),7))+20),1,IF(N($W96)&gt;0,AVERAGEIFS($AA$5:$AA$1000,$U$5:$U$1000,ROW(),$V$5:$V$1000,"Sub"),$AA96)))</f>
        <v/>
      </c>
      <c r="AF96" s="62">
        <f>IF($V96="","",IF(AND(ISNUMBER($G96),$G96&lt;=IF($S96=MesCiclo,InicioCiclo,$S96+MOD(2-WEEKDAY($S96),7))+27),1,IF(N($W96)&gt;0,AVERAGEIFS($AB$5:$AB$1000,$U$5:$U$1000,ROW(),$V$5:$V$1000,"Sub"),$AB96)))</f>
        <v/>
      </c>
      <c r="AG96" s="62">
        <f>IF($V96&lt;&gt;"Macro","",IF(COUNTIFS($S$5:$S$1000,$S96,$V$5:$V$1000,"Macro",$H$5:$H$1000,"&gt;0")=0,1/COUNTIFS($S$5:$S$1000,$S96,$V$5:$V$1000,"Macro"),IF(AND(ISNUMBER($H96),N($H96)&gt;0),$H96,SUMIFS($H$5:$H$1000,$S$5:$S$1000,$S96,$V$5:$V$1000,"Macro")/COUNTIFS($S$5:$S$1000,$S96,$V$5:$V$1000,"Macro",$H$5:$H$1000,"&gt;0"))/(COUNTIFS($S$5:$S$1000,$S96,$V$5:$V$1000,"Macro")*SUMIFS($H$5:$H$1000,$S$5:$S$1000,$S96,$V$5:$V$1000,"Macro")/COUNTIFS($S$5:$S$1000,$S96,$V$5:$V$1000,"Macro",$H$5:$H$1000,"&gt;0"))))</f>
        <v/>
      </c>
      <c r="AH96" s="62" t="n"/>
      <c r="AI96" s="62" t="n"/>
      <c r="AJ96" s="62" t="n"/>
      <c r="AK96" s="62" t="n"/>
      <c r="AL96" s="62">
        <f>IF(LEFT($C96,11)="[Jefatura] ",IFERROR(MATCH("Riesgo Financiero|"&amp;MID($C96,12,500),rDname_ADM,0),0),"")</f>
        <v/>
      </c>
      <c r="AM96" s="62">
        <f>IF(N($AL96)&gt;0,INDEX(rIni_ADM,$AL96),IF(ISNUMBER($E96),$E96,""))</f>
        <v/>
      </c>
      <c r="AN96" s="62">
        <f>IF(N($AL96)&gt;0,INDEX(rLim_ADM,$AL96),IF(ISNUMBER($F96),$F96,""))</f>
        <v/>
      </c>
    </row>
    <row r="97">
      <c r="A97" s="56">
        <f>IF(NOT((COUNTA($B97:$D97)+COUNTA($G97:$L97)+COUNTA($Q97))&gt;0),"",IF($V97="Macro",COUNTIFS($V$5:$V97,"Macro",$S$5:$S97,$S97),IF(N($U97)=0,"?",COUNTIFS(INDEX($V$5:$V$1000,1):INDEX($V$5:$V$1000,$U97-4),"Macro",INDEX($S$5:$S$1000,1):INDEX($S$5:$S$1000,$U97-4),INDEX($S$5:$S$1000,$U97-4))&amp;"."&amp;COUNTIFS($U$5:$U97,$U97,$V$5:$V97,"Sub"))))</f>
        <v/>
      </c>
      <c r="B97" s="57" t="n"/>
      <c r="C97" s="58" t="n"/>
      <c r="D97" s="58" t="n"/>
      <c r="E97" s="59">
        <f>IF(N($AL97)&gt;0,INDEX(rIni_ADM,$AL97),"")</f>
        <v/>
      </c>
      <c r="F97" s="59">
        <f>IF(N($AL97)&gt;0,INDEX(rLim_ADM,$AL97),"")</f>
        <v/>
      </c>
      <c r="G97" s="59" t="n"/>
      <c r="H97" s="60" t="n"/>
      <c r="I97" s="60" t="n"/>
      <c r="J97" s="60" t="n"/>
      <c r="K97" s="60" t="n"/>
      <c r="L97" s="60" t="n"/>
      <c r="M97" s="61">
        <f>IF(NOT((COUNTA($B97:$D97)+COUNTA($G97:$L97)+COUNTA($Q97))&gt;0),"",IF($V97="Sub",IFERROR($X97/INDEX($W$5:$W$1000,$U97-4),""),IF(ISNUMBER($G97),1,IF(N($W97)&gt;0,AVERAGEIFS($X$5:$X$1000,$U$5:$U$1000,ROW(),$V$5:$V$1000,"Sub"),$X97))))</f>
        <v/>
      </c>
      <c r="N97" s="56">
        <f>IF(OR($M97="",$V97="Sub"),"",IF($M97&gt;=1,"Completado",IF($M97&gt;0,"En curso","Pendiente")))</f>
        <v/>
      </c>
      <c r="O97" s="56">
        <f>IF(OR(NOT((COUNTA($B97:$D97)+COUNTA($G97:$L97)+COUNTA($Q97))&gt;0),$V97="Sub"),"",IF(ISNUMBER($G97),IF(AND(ISNUMBER($AN97),$G97&gt;$AN97),"Cumplida con "&amp;($G97-$AN97)&amp;IF($G97-$AN97=1," día"," días")&amp;" de retraso","Cumplida"),IF(N($M97)&gt;=1,"Cumplida",IF(NOT(ISNUMBER($AN97)),"Sin fecha límite",IF($AN97&lt;FechaRef,"Vencida hace "&amp;(FechaRef-$AN97)&amp;IF(FechaRef-$AN97=1," día"," días"),IF($AN97=FechaRef,"Vence hoy",IF($AN97-FechaRef&lt;=DiasAlerta,"Vence en "&amp;($AN97-FechaRef)&amp;IF($AN97-FechaRef=1," día"," días"),"En plazo")))))))</f>
        <v/>
      </c>
      <c r="P97" s="62" t="n"/>
      <c r="Q97" s="58" t="n"/>
      <c r="R97" s="63">
        <f>IF(NOT((COUNTA($B97:$D97)+COUNTA($G97:$L97)+COUNTA($Q97))&gt;0),"",IF((IF($C97="","Falta el nombre de la actividad"&amp;" · ","")&amp;IF(AND($V97="Sub",N($U97)=0),"Subactividad sin macroactividad arriba"&amp;" · ","")&amp;IF($AM97="","Sin fecha de inicio"&amp;" · ","")&amp;IF($AN97="","Sin fecha límite"&amp;" · ","")&amp;IF(AND(LEFT($C97,11)="[Jefatura] ",N($AL97)=0),"No se encuentra en la hoja de la jefatura (elíjala de nuevo en la lista)"&amp;" · ","")&amp;IF(OR(AND($E97&lt;&gt;"",NOT(ISNUMBER($E97))),AND($F97&lt;&gt;"",NOT(ISNUMBER($F97))),AND($G97&lt;&gt;"",NOT(ISNUMBER($G97)))),"Fecha no válida"&amp;" · ","")&amp;IF(AND(ISNUMBER($AM97),ISNUMBER($AN97),$AM97&gt;$AN97),"Inicio posterior a fecha límite"&amp;" · ","")&amp;IF(AND($V97="Macro",$H97&lt;&gt;"",OR(NOT(ISNUMBER($H97)),$H97&lt;0,$H97&gt;1)),"Peso fuera de rango"&amp;" · ","")&amp;IF(AND($V97="Sub",$H97&lt;&gt;""),"Las subactividades no llevan peso (valen igual dentro de su macroactividad)"&amp;" · ","")&amp;IF(AND(N($W97)&gt;0,COUNT($I97:$L97)&gt;0),"Con subactividades: deje vacías las semanas (se calculan solas)"&amp;" · ","")&amp;IF((COUNTIF($I97:$L97,"&gt;1")+COUNTIF($I97:$L97,"&lt;0")+COUNTA($I97:$L97)-COUNT($I97:$L97))&gt;0,"Avance fuera de rango 0-100%"&amp;" · ","")&amp;IF(OR(AND($J97&lt;&gt;"",$J97&lt;$I97),AND($K97&lt;&gt;"",$K97&lt;MAX($I97:$J97)),AND($L97&lt;&gt;"",$L97&lt;MAX($I97:$K97))),"Avance semanal decreciente"&amp;" · ","")&amp;IF(AND(ISNUMBER($AN97),$AN97&lt;FechaRef,IF($V97="Sub",N($X97),N($M97))&lt;1),"Vencida"&amp;" · ","")&amp;IF(AND(ObsObligatoria="Sí",ISNUMBER($AN97),$AN97&lt;FechaRef,IF($V97="Sub",N($X97),N($M97))&lt;1,$Q97=""),"Vencida sin observación"&amp;" · ",""))="","✔ OK","⚠ "&amp;LEFT(IF($C97="","Falta el nombre de la actividad"&amp;" · ","")&amp;IF(AND($V97="Sub",N($U97)=0),"Subactividad sin macroactividad arriba"&amp;" · ","")&amp;IF($AM97="","Sin fecha de inicio"&amp;" · ","")&amp;IF($AN97="","Sin fecha límite"&amp;" · ","")&amp;IF(AND(LEFT($C97,11)="[Jefatura] ",N($AL97)=0),"No se encuentra en la hoja de la jefatura (elíjala de nuevo en la lista)"&amp;" · ","")&amp;IF(OR(AND($E97&lt;&gt;"",NOT(ISNUMBER($E97))),AND($F97&lt;&gt;"",NOT(ISNUMBER($F97))),AND($G97&lt;&gt;"",NOT(ISNUMBER($G97)))),"Fecha no válida"&amp;" · ","")&amp;IF(AND(ISNUMBER($AM97),ISNUMBER($AN97),$AM97&gt;$AN97),"Inicio posterior a fecha límite"&amp;" · ","")&amp;IF(AND($V97="Macro",$H97&lt;&gt;"",OR(NOT(ISNUMBER($H97)),$H97&lt;0,$H97&gt;1)),"Peso fuera de rango"&amp;" · ","")&amp;IF(AND($V97="Sub",$H97&lt;&gt;""),"Las subactividades no llevan peso (valen igual dentro de su macroactividad)"&amp;" · ","")&amp;IF(AND(N($W97)&gt;0,COUNT($I97:$L97)&gt;0),"Con subactividades: deje vacías las semanas (se calculan solas)"&amp;" · ","")&amp;IF((COUNTIF($I97:$L97,"&gt;1")+COUNTIF($I97:$L97,"&lt;0")+COUNTA($I97:$L97)-COUNT($I97:$L97))&gt;0,"Avance fuera de rango 0-100%"&amp;" · ","")&amp;IF(OR(AND($J97&lt;&gt;"",$J97&lt;$I97),AND($K97&lt;&gt;"",$K97&lt;MAX($I97:$J97)),AND($L97&lt;&gt;"",$L97&lt;MAX($I97:$K97))),"Avance semanal decreciente"&amp;" · ","")&amp;IF(AND(ISNUMBER($AN97),$AN97&lt;FechaRef,IF($V97="Sub",N($X97),N($M97))&lt;1),"Vencida"&amp;" · ","")&amp;IF(AND(ObsObligatoria="Sí",ISNUMBER($AN97),$AN97&lt;FechaRef,IF($V97="Sub",N($X97),N($M97))&lt;1,$Q97=""),"Vencida sin observación"&amp;" · ",""),LEN(IF($C97="","Falta el nombre de la actividad"&amp;" · ","")&amp;IF(AND($V97="Sub",N($U97)=0),"Subactividad sin macroactividad arriba"&amp;" · ","")&amp;IF($AM97="","Sin fecha de inicio"&amp;" · ","")&amp;IF($AN97="","Sin fecha límite"&amp;" · ","")&amp;IF(AND(LEFT($C97,11)="[Jefatura] ",N($AL97)=0),"No se encuentra en la hoja de la jefatura (elíjala de nuevo en la lista)"&amp;" · ","")&amp;IF(OR(AND($E97&lt;&gt;"",NOT(ISNUMBER($E97))),AND($F97&lt;&gt;"",NOT(ISNUMBER($F97))),AND($G97&lt;&gt;"",NOT(ISNUMBER($G97)))),"Fecha no válida"&amp;" · ","")&amp;IF(AND(ISNUMBER($AM97),ISNUMBER($AN97),$AM97&gt;$AN97),"Inicio posterior a fecha límite"&amp;" · ","")&amp;IF(AND($V97="Macro",$H97&lt;&gt;"",OR(NOT(ISNUMBER($H97)),$H97&lt;0,$H97&gt;1)),"Peso fuera de rango"&amp;" · ","")&amp;IF(AND($V97="Sub",$H97&lt;&gt;""),"Las subactividades no llevan peso (valen igual dentro de su macroactividad)"&amp;" · ","")&amp;IF(AND(N($W97)&gt;0,COUNT($I97:$L97)&gt;0),"Con subactividades: deje vacías las semanas (se calculan solas)"&amp;" · ","")&amp;IF((COUNTIF($I97:$L97,"&gt;1")+COUNTIF($I97:$L97,"&lt;0")+COUNTA($I97:$L97)-COUNT($I97:$L97))&gt;0,"Avance fuera de rango 0-100%"&amp;" · ","")&amp;IF(OR(AND($J97&lt;&gt;"",$J97&lt;$I97),AND($K97&lt;&gt;"",$K97&lt;MAX($I97:$J97)),AND($L97&lt;&gt;"",$L97&lt;MAX($I97:$K97))),"Avance semanal decreciente"&amp;" · ","")&amp;IF(AND(ISNUMBER($AN97),$AN97&lt;FechaRef,IF($V97="Sub",N($X97),N($M97))&lt;1),"Vencida"&amp;" · ","")&amp;IF(AND(ObsObligatoria="Sí",ISNUMBER($AN97),$AN97&lt;FechaRef,IF($V97="Sub",N($X97),N($M97))&lt;1,$Q97=""),"Vencida sin observación"&amp;" · ",""))-3)))</f>
        <v/>
      </c>
      <c r="S97" s="64">
        <f>IF(NOT((COUNTA($B97:$D97)+COUNTA($G97:$L97)+COUNTA($Q97))&gt;0),"",IF(AND($V97="Sub",N($U97)&gt;0),IF(ISNUMBER(INDEX($AM$5:$AM$1000,$U97-4)),DATE(YEAR(INDEX($AM$5:$AM$1000,$U97-4)),MONTH(INDEX($AM$5:$AM$1000,$U97-4)),1),IF(ISNUMBER(INDEX($AN$5:$AN$1000,$U97-4)),DATE(YEAR(INDEX($AN$5:$AN$1000,$U97-4)),MONTH(INDEX($AN$5:$AN$1000,$U97-4)),1),MesCiclo)),IF(ISNUMBER($AM97),DATE(YEAR($AM97),MONTH($AM97),1),IF(ISNUMBER($AN97),DATE(YEAR($AN97),MONTH($AN97),1),MesCiclo))))</f>
        <v/>
      </c>
      <c r="T97" s="62">
        <f>IF(OR($S97="",$S97&lt;&gt;MesCiclo,$V97&lt;&gt;"Macro"),"",COUNTIFS($S$5:$S97,MesCiclo,$V$5:$V97,"Macro"))</f>
        <v/>
      </c>
      <c r="U97" s="62">
        <f>IF($V97="","",IF($V97="Macro",ROW(),IFERROR(LOOKUP(2,1/($V$5:$V97="Macro"),ROW($V$5:$V97)),0)))</f>
        <v/>
      </c>
      <c r="V97" s="62">
        <f>IF(NOT((COUNTA($B97:$D97)+COUNTA($G97:$L97)+COUNTA($Q97))&gt;0),"",IF($B97="Subactividad","Sub","Macro"))</f>
        <v/>
      </c>
      <c r="W97" s="62">
        <f>IF($V97="Macro",COUNTIFS($U$5:$U$1000,ROW(),$V$5:$V$1000,"Sub"),"")</f>
        <v/>
      </c>
      <c r="X97" s="62">
        <f>IF($V97="","",IF(ISNUMBER($G97),1,IFERROR(LOOKUP(2,1/($I97:$L97&lt;&gt;""),$I97:$L97),0)))</f>
        <v/>
      </c>
      <c r="Y97" s="62">
        <f>IF($V97="","",IF(AND(ISNUMBER($G97),$G97&lt;=IF($S97=MesCiclo,InicioCiclo,$S97+MOD(2-WEEKDAY($S97),7))+6),1,IF(ISNUMBER($I97),$I97,0)))</f>
        <v/>
      </c>
      <c r="Z97" s="62">
        <f>IF($V97="","",IF(AND(ISNUMBER($G97),$G97&lt;=IF($S97=MesCiclo,InicioCiclo,$S97+MOD(2-WEEKDAY($S97),7))+13),1,IF(ISNUMBER($J97),$J97,$Y97)))</f>
        <v/>
      </c>
      <c r="AA97" s="62">
        <f>IF($V97="","",IF(AND(ISNUMBER($G97),$G97&lt;=IF($S97=MesCiclo,InicioCiclo,$S97+MOD(2-WEEKDAY($S97),7))+20),1,IF(ISNUMBER($K97),$K97,$Z97)))</f>
        <v/>
      </c>
      <c r="AB97" s="62">
        <f>IF($V97="","",IF(AND(ISNUMBER($G97),$G97&lt;=IF($S97=MesCiclo,InicioCiclo,$S97+MOD(2-WEEKDAY($S97),7))+27),1,IF(ISNUMBER($L97),$L97,$AA97)))</f>
        <v/>
      </c>
      <c r="AC97" s="62">
        <f>IF($V97="","",IF(AND(ISNUMBER($G97),$G97&lt;=IF($S97=MesCiclo,InicioCiclo,$S97+MOD(2-WEEKDAY($S97),7))+6),1,IF(N($W97)&gt;0,AVERAGEIFS($Y$5:$Y$1000,$U$5:$U$1000,ROW(),$V$5:$V$1000,"Sub"),$Y97)))</f>
        <v/>
      </c>
      <c r="AD97" s="62">
        <f>IF($V97="","",IF(AND(ISNUMBER($G97),$G97&lt;=IF($S97=MesCiclo,InicioCiclo,$S97+MOD(2-WEEKDAY($S97),7))+13),1,IF(N($W97)&gt;0,AVERAGEIFS($Z$5:$Z$1000,$U$5:$U$1000,ROW(),$V$5:$V$1000,"Sub"),$Z97)))</f>
        <v/>
      </c>
      <c r="AE97" s="62">
        <f>IF($V97="","",IF(AND(ISNUMBER($G97),$G97&lt;=IF($S97=MesCiclo,InicioCiclo,$S97+MOD(2-WEEKDAY($S97),7))+20),1,IF(N($W97)&gt;0,AVERAGEIFS($AA$5:$AA$1000,$U$5:$U$1000,ROW(),$V$5:$V$1000,"Sub"),$AA97)))</f>
        <v/>
      </c>
      <c r="AF97" s="62">
        <f>IF($V97="","",IF(AND(ISNUMBER($G97),$G97&lt;=IF($S97=MesCiclo,InicioCiclo,$S97+MOD(2-WEEKDAY($S97),7))+27),1,IF(N($W97)&gt;0,AVERAGEIFS($AB$5:$AB$1000,$U$5:$U$1000,ROW(),$V$5:$V$1000,"Sub"),$AB97)))</f>
        <v/>
      </c>
      <c r="AG97" s="62">
        <f>IF($V97&lt;&gt;"Macro","",IF(COUNTIFS($S$5:$S$1000,$S97,$V$5:$V$1000,"Macro",$H$5:$H$1000,"&gt;0")=0,1/COUNTIFS($S$5:$S$1000,$S97,$V$5:$V$1000,"Macro"),IF(AND(ISNUMBER($H97),N($H97)&gt;0),$H97,SUMIFS($H$5:$H$1000,$S$5:$S$1000,$S97,$V$5:$V$1000,"Macro")/COUNTIFS($S$5:$S$1000,$S97,$V$5:$V$1000,"Macro",$H$5:$H$1000,"&gt;0"))/(COUNTIFS($S$5:$S$1000,$S97,$V$5:$V$1000,"Macro")*SUMIFS($H$5:$H$1000,$S$5:$S$1000,$S97,$V$5:$V$1000,"Macro")/COUNTIFS($S$5:$S$1000,$S97,$V$5:$V$1000,"Macro",$H$5:$H$1000,"&gt;0"))))</f>
        <v/>
      </c>
      <c r="AH97" s="62" t="n"/>
      <c r="AI97" s="62" t="n"/>
      <c r="AJ97" s="62" t="n"/>
      <c r="AK97" s="62" t="n"/>
      <c r="AL97" s="62">
        <f>IF(LEFT($C97,11)="[Jefatura] ",IFERROR(MATCH("Riesgo Financiero|"&amp;MID($C97,12,500),rDname_ADM,0),0),"")</f>
        <v/>
      </c>
      <c r="AM97" s="62">
        <f>IF(N($AL97)&gt;0,INDEX(rIni_ADM,$AL97),IF(ISNUMBER($E97),$E97,""))</f>
        <v/>
      </c>
      <c r="AN97" s="62">
        <f>IF(N($AL97)&gt;0,INDEX(rLim_ADM,$AL97),IF(ISNUMBER($F97),$F97,""))</f>
        <v/>
      </c>
    </row>
    <row r="98">
      <c r="A98" s="56">
        <f>IF(NOT((COUNTA($B98:$D98)+COUNTA($G98:$L98)+COUNTA($Q98))&gt;0),"",IF($V98="Macro",COUNTIFS($V$5:$V98,"Macro",$S$5:$S98,$S98),IF(N($U98)=0,"?",COUNTIFS(INDEX($V$5:$V$1000,1):INDEX($V$5:$V$1000,$U98-4),"Macro",INDEX($S$5:$S$1000,1):INDEX($S$5:$S$1000,$U98-4),INDEX($S$5:$S$1000,$U98-4))&amp;"."&amp;COUNTIFS($U$5:$U98,$U98,$V$5:$V98,"Sub"))))</f>
        <v/>
      </c>
      <c r="B98" s="57" t="n"/>
      <c r="C98" s="58" t="n"/>
      <c r="D98" s="58" t="n"/>
      <c r="E98" s="59">
        <f>IF(N($AL98)&gt;0,INDEX(rIni_ADM,$AL98),"")</f>
        <v/>
      </c>
      <c r="F98" s="59">
        <f>IF(N($AL98)&gt;0,INDEX(rLim_ADM,$AL98),"")</f>
        <v/>
      </c>
      <c r="G98" s="59" t="n"/>
      <c r="H98" s="60" t="n"/>
      <c r="I98" s="60" t="n"/>
      <c r="J98" s="60" t="n"/>
      <c r="K98" s="60" t="n"/>
      <c r="L98" s="60" t="n"/>
      <c r="M98" s="61">
        <f>IF(NOT((COUNTA($B98:$D98)+COUNTA($G98:$L98)+COUNTA($Q98))&gt;0),"",IF($V98="Sub",IFERROR($X98/INDEX($W$5:$W$1000,$U98-4),""),IF(ISNUMBER($G98),1,IF(N($W98)&gt;0,AVERAGEIFS($X$5:$X$1000,$U$5:$U$1000,ROW(),$V$5:$V$1000,"Sub"),$X98))))</f>
        <v/>
      </c>
      <c r="N98" s="56">
        <f>IF(OR($M98="",$V98="Sub"),"",IF($M98&gt;=1,"Completado",IF($M98&gt;0,"En curso","Pendiente")))</f>
        <v/>
      </c>
      <c r="O98" s="56">
        <f>IF(OR(NOT((COUNTA($B98:$D98)+COUNTA($G98:$L98)+COUNTA($Q98))&gt;0),$V98="Sub"),"",IF(ISNUMBER($G98),IF(AND(ISNUMBER($AN98),$G98&gt;$AN98),"Cumplida con "&amp;($G98-$AN98)&amp;IF($G98-$AN98=1," día"," días")&amp;" de retraso","Cumplida"),IF(N($M98)&gt;=1,"Cumplida",IF(NOT(ISNUMBER($AN98)),"Sin fecha límite",IF($AN98&lt;FechaRef,"Vencida hace "&amp;(FechaRef-$AN98)&amp;IF(FechaRef-$AN98=1," día"," días"),IF($AN98=FechaRef,"Vence hoy",IF($AN98-FechaRef&lt;=DiasAlerta,"Vence en "&amp;($AN98-FechaRef)&amp;IF($AN98-FechaRef=1," día"," días"),"En plazo")))))))</f>
        <v/>
      </c>
      <c r="P98" s="62" t="n"/>
      <c r="Q98" s="58" t="n"/>
      <c r="R98" s="63">
        <f>IF(NOT((COUNTA($B98:$D98)+COUNTA($G98:$L98)+COUNTA($Q98))&gt;0),"",IF((IF($C98="","Falta el nombre de la actividad"&amp;" · ","")&amp;IF(AND($V98="Sub",N($U98)=0),"Subactividad sin macroactividad arriba"&amp;" · ","")&amp;IF($AM98="","Sin fecha de inicio"&amp;" · ","")&amp;IF($AN98="","Sin fecha límite"&amp;" · ","")&amp;IF(AND(LEFT($C98,11)="[Jefatura] ",N($AL98)=0),"No se encuentra en la hoja de la jefatura (elíjala de nuevo en la lista)"&amp;" · ","")&amp;IF(OR(AND($E98&lt;&gt;"",NOT(ISNUMBER($E98))),AND($F98&lt;&gt;"",NOT(ISNUMBER($F98))),AND($G98&lt;&gt;"",NOT(ISNUMBER($G98)))),"Fecha no válida"&amp;" · ","")&amp;IF(AND(ISNUMBER($AM98),ISNUMBER($AN98),$AM98&gt;$AN98),"Inicio posterior a fecha límite"&amp;" · ","")&amp;IF(AND($V98="Macro",$H98&lt;&gt;"",OR(NOT(ISNUMBER($H98)),$H98&lt;0,$H98&gt;1)),"Peso fuera de rango"&amp;" · ","")&amp;IF(AND($V98="Sub",$H98&lt;&gt;""),"Las subactividades no llevan peso (valen igual dentro de su macroactividad)"&amp;" · ","")&amp;IF(AND(N($W98)&gt;0,COUNT($I98:$L98)&gt;0),"Con subactividades: deje vacías las semanas (se calculan solas)"&amp;" · ","")&amp;IF((COUNTIF($I98:$L98,"&gt;1")+COUNTIF($I98:$L98,"&lt;0")+COUNTA($I98:$L98)-COUNT($I98:$L98))&gt;0,"Avance fuera de rango 0-100%"&amp;" · ","")&amp;IF(OR(AND($J98&lt;&gt;"",$J98&lt;$I98),AND($K98&lt;&gt;"",$K98&lt;MAX($I98:$J98)),AND($L98&lt;&gt;"",$L98&lt;MAX($I98:$K98))),"Avance semanal decreciente"&amp;" · ","")&amp;IF(AND(ISNUMBER($AN98),$AN98&lt;FechaRef,IF($V98="Sub",N($X98),N($M98))&lt;1),"Vencida"&amp;" · ","")&amp;IF(AND(ObsObligatoria="Sí",ISNUMBER($AN98),$AN98&lt;FechaRef,IF($V98="Sub",N($X98),N($M98))&lt;1,$Q98=""),"Vencida sin observación"&amp;" · ",""))="","✔ OK","⚠ "&amp;LEFT(IF($C98="","Falta el nombre de la actividad"&amp;" · ","")&amp;IF(AND($V98="Sub",N($U98)=0),"Subactividad sin macroactividad arriba"&amp;" · ","")&amp;IF($AM98="","Sin fecha de inicio"&amp;" · ","")&amp;IF($AN98="","Sin fecha límite"&amp;" · ","")&amp;IF(AND(LEFT($C98,11)="[Jefatura] ",N($AL98)=0),"No se encuentra en la hoja de la jefatura (elíjala de nuevo en la lista)"&amp;" · ","")&amp;IF(OR(AND($E98&lt;&gt;"",NOT(ISNUMBER($E98))),AND($F98&lt;&gt;"",NOT(ISNUMBER($F98))),AND($G98&lt;&gt;"",NOT(ISNUMBER($G98)))),"Fecha no válida"&amp;" · ","")&amp;IF(AND(ISNUMBER($AM98),ISNUMBER($AN98),$AM98&gt;$AN98),"Inicio posterior a fecha límite"&amp;" · ","")&amp;IF(AND($V98="Macro",$H98&lt;&gt;"",OR(NOT(ISNUMBER($H98)),$H98&lt;0,$H98&gt;1)),"Peso fuera de rango"&amp;" · ","")&amp;IF(AND($V98="Sub",$H98&lt;&gt;""),"Las subactividades no llevan peso (valen igual dentro de su macroactividad)"&amp;" · ","")&amp;IF(AND(N($W98)&gt;0,COUNT($I98:$L98)&gt;0),"Con subactividades: deje vacías las semanas (se calculan solas)"&amp;" · ","")&amp;IF((COUNTIF($I98:$L98,"&gt;1")+COUNTIF($I98:$L98,"&lt;0")+COUNTA($I98:$L98)-COUNT($I98:$L98))&gt;0,"Avance fuera de rango 0-100%"&amp;" · ","")&amp;IF(OR(AND($J98&lt;&gt;"",$J98&lt;$I98),AND($K98&lt;&gt;"",$K98&lt;MAX($I98:$J98)),AND($L98&lt;&gt;"",$L98&lt;MAX($I98:$K98))),"Avance semanal decreciente"&amp;" · ","")&amp;IF(AND(ISNUMBER($AN98),$AN98&lt;FechaRef,IF($V98="Sub",N($X98),N($M98))&lt;1),"Vencida"&amp;" · ","")&amp;IF(AND(ObsObligatoria="Sí",ISNUMBER($AN98),$AN98&lt;FechaRef,IF($V98="Sub",N($X98),N($M98))&lt;1,$Q98=""),"Vencida sin observación"&amp;" · ",""),LEN(IF($C98="","Falta el nombre de la actividad"&amp;" · ","")&amp;IF(AND($V98="Sub",N($U98)=0),"Subactividad sin macroactividad arriba"&amp;" · ","")&amp;IF($AM98="","Sin fecha de inicio"&amp;" · ","")&amp;IF($AN98="","Sin fecha límite"&amp;" · ","")&amp;IF(AND(LEFT($C98,11)="[Jefatura] ",N($AL98)=0),"No se encuentra en la hoja de la jefatura (elíjala de nuevo en la lista)"&amp;" · ","")&amp;IF(OR(AND($E98&lt;&gt;"",NOT(ISNUMBER($E98))),AND($F98&lt;&gt;"",NOT(ISNUMBER($F98))),AND($G98&lt;&gt;"",NOT(ISNUMBER($G98)))),"Fecha no válida"&amp;" · ","")&amp;IF(AND(ISNUMBER($AM98),ISNUMBER($AN98),$AM98&gt;$AN98),"Inicio posterior a fecha límite"&amp;" · ","")&amp;IF(AND($V98="Macro",$H98&lt;&gt;"",OR(NOT(ISNUMBER($H98)),$H98&lt;0,$H98&gt;1)),"Peso fuera de rango"&amp;" · ","")&amp;IF(AND($V98="Sub",$H98&lt;&gt;""),"Las subactividades no llevan peso (valen igual dentro de su macroactividad)"&amp;" · ","")&amp;IF(AND(N($W98)&gt;0,COUNT($I98:$L98)&gt;0),"Con subactividades: deje vacías las semanas (se calculan solas)"&amp;" · ","")&amp;IF((COUNTIF($I98:$L98,"&gt;1")+COUNTIF($I98:$L98,"&lt;0")+COUNTA($I98:$L98)-COUNT($I98:$L98))&gt;0,"Avance fuera de rango 0-100%"&amp;" · ","")&amp;IF(OR(AND($J98&lt;&gt;"",$J98&lt;$I98),AND($K98&lt;&gt;"",$K98&lt;MAX($I98:$J98)),AND($L98&lt;&gt;"",$L98&lt;MAX($I98:$K98))),"Avance semanal decreciente"&amp;" · ","")&amp;IF(AND(ISNUMBER($AN98),$AN98&lt;FechaRef,IF($V98="Sub",N($X98),N($M98))&lt;1),"Vencida"&amp;" · ","")&amp;IF(AND(ObsObligatoria="Sí",ISNUMBER($AN98),$AN98&lt;FechaRef,IF($V98="Sub",N($X98),N($M98))&lt;1,$Q98=""),"Vencida sin observación"&amp;" · ",""))-3)))</f>
        <v/>
      </c>
      <c r="S98" s="64">
        <f>IF(NOT((COUNTA($B98:$D98)+COUNTA($G98:$L98)+COUNTA($Q98))&gt;0),"",IF(AND($V98="Sub",N($U98)&gt;0),IF(ISNUMBER(INDEX($AM$5:$AM$1000,$U98-4)),DATE(YEAR(INDEX($AM$5:$AM$1000,$U98-4)),MONTH(INDEX($AM$5:$AM$1000,$U98-4)),1),IF(ISNUMBER(INDEX($AN$5:$AN$1000,$U98-4)),DATE(YEAR(INDEX($AN$5:$AN$1000,$U98-4)),MONTH(INDEX($AN$5:$AN$1000,$U98-4)),1),MesCiclo)),IF(ISNUMBER($AM98),DATE(YEAR($AM98),MONTH($AM98),1),IF(ISNUMBER($AN98),DATE(YEAR($AN98),MONTH($AN98),1),MesCiclo))))</f>
        <v/>
      </c>
      <c r="T98" s="62">
        <f>IF(OR($S98="",$S98&lt;&gt;MesCiclo,$V98&lt;&gt;"Macro"),"",COUNTIFS($S$5:$S98,MesCiclo,$V$5:$V98,"Macro"))</f>
        <v/>
      </c>
      <c r="U98" s="62">
        <f>IF($V98="","",IF($V98="Macro",ROW(),IFERROR(LOOKUP(2,1/($V$5:$V98="Macro"),ROW($V$5:$V98)),0)))</f>
        <v/>
      </c>
      <c r="V98" s="62">
        <f>IF(NOT((COUNTA($B98:$D98)+COUNTA($G98:$L98)+COUNTA($Q98))&gt;0),"",IF($B98="Subactividad","Sub","Macro"))</f>
        <v/>
      </c>
      <c r="W98" s="62">
        <f>IF($V98="Macro",COUNTIFS($U$5:$U$1000,ROW(),$V$5:$V$1000,"Sub"),"")</f>
        <v/>
      </c>
      <c r="X98" s="62">
        <f>IF($V98="","",IF(ISNUMBER($G98),1,IFERROR(LOOKUP(2,1/($I98:$L98&lt;&gt;""),$I98:$L98),0)))</f>
        <v/>
      </c>
      <c r="Y98" s="62">
        <f>IF($V98="","",IF(AND(ISNUMBER($G98),$G98&lt;=IF($S98=MesCiclo,InicioCiclo,$S98+MOD(2-WEEKDAY($S98),7))+6),1,IF(ISNUMBER($I98),$I98,0)))</f>
        <v/>
      </c>
      <c r="Z98" s="62">
        <f>IF($V98="","",IF(AND(ISNUMBER($G98),$G98&lt;=IF($S98=MesCiclo,InicioCiclo,$S98+MOD(2-WEEKDAY($S98),7))+13),1,IF(ISNUMBER($J98),$J98,$Y98)))</f>
        <v/>
      </c>
      <c r="AA98" s="62">
        <f>IF($V98="","",IF(AND(ISNUMBER($G98),$G98&lt;=IF($S98=MesCiclo,InicioCiclo,$S98+MOD(2-WEEKDAY($S98),7))+20),1,IF(ISNUMBER($K98),$K98,$Z98)))</f>
        <v/>
      </c>
      <c r="AB98" s="62">
        <f>IF($V98="","",IF(AND(ISNUMBER($G98),$G98&lt;=IF($S98=MesCiclo,InicioCiclo,$S98+MOD(2-WEEKDAY($S98),7))+27),1,IF(ISNUMBER($L98),$L98,$AA98)))</f>
        <v/>
      </c>
      <c r="AC98" s="62">
        <f>IF($V98="","",IF(AND(ISNUMBER($G98),$G98&lt;=IF($S98=MesCiclo,InicioCiclo,$S98+MOD(2-WEEKDAY($S98),7))+6),1,IF(N($W98)&gt;0,AVERAGEIFS($Y$5:$Y$1000,$U$5:$U$1000,ROW(),$V$5:$V$1000,"Sub"),$Y98)))</f>
        <v/>
      </c>
      <c r="AD98" s="62">
        <f>IF($V98="","",IF(AND(ISNUMBER($G98),$G98&lt;=IF($S98=MesCiclo,InicioCiclo,$S98+MOD(2-WEEKDAY($S98),7))+13),1,IF(N($W98)&gt;0,AVERAGEIFS($Z$5:$Z$1000,$U$5:$U$1000,ROW(),$V$5:$V$1000,"Sub"),$Z98)))</f>
        <v/>
      </c>
      <c r="AE98" s="62">
        <f>IF($V98="","",IF(AND(ISNUMBER($G98),$G98&lt;=IF($S98=MesCiclo,InicioCiclo,$S98+MOD(2-WEEKDAY($S98),7))+20),1,IF(N($W98)&gt;0,AVERAGEIFS($AA$5:$AA$1000,$U$5:$U$1000,ROW(),$V$5:$V$1000,"Sub"),$AA98)))</f>
        <v/>
      </c>
      <c r="AF98" s="62">
        <f>IF($V98="","",IF(AND(ISNUMBER($G98),$G98&lt;=IF($S98=MesCiclo,InicioCiclo,$S98+MOD(2-WEEKDAY($S98),7))+27),1,IF(N($W98)&gt;0,AVERAGEIFS($AB$5:$AB$1000,$U$5:$U$1000,ROW(),$V$5:$V$1000,"Sub"),$AB98)))</f>
        <v/>
      </c>
      <c r="AG98" s="62">
        <f>IF($V98&lt;&gt;"Macro","",IF(COUNTIFS($S$5:$S$1000,$S98,$V$5:$V$1000,"Macro",$H$5:$H$1000,"&gt;0")=0,1/COUNTIFS($S$5:$S$1000,$S98,$V$5:$V$1000,"Macro"),IF(AND(ISNUMBER($H98),N($H98)&gt;0),$H98,SUMIFS($H$5:$H$1000,$S$5:$S$1000,$S98,$V$5:$V$1000,"Macro")/COUNTIFS($S$5:$S$1000,$S98,$V$5:$V$1000,"Macro",$H$5:$H$1000,"&gt;0"))/(COUNTIFS($S$5:$S$1000,$S98,$V$5:$V$1000,"Macro")*SUMIFS($H$5:$H$1000,$S$5:$S$1000,$S98,$V$5:$V$1000,"Macro")/COUNTIFS($S$5:$S$1000,$S98,$V$5:$V$1000,"Macro",$H$5:$H$1000,"&gt;0"))))</f>
        <v/>
      </c>
      <c r="AH98" s="62" t="n"/>
      <c r="AI98" s="62" t="n"/>
      <c r="AJ98" s="62" t="n"/>
      <c r="AK98" s="62" t="n"/>
      <c r="AL98" s="62">
        <f>IF(LEFT($C98,11)="[Jefatura] ",IFERROR(MATCH("Riesgo Financiero|"&amp;MID($C98,12,500),rDname_ADM,0),0),"")</f>
        <v/>
      </c>
      <c r="AM98" s="62">
        <f>IF(N($AL98)&gt;0,INDEX(rIni_ADM,$AL98),IF(ISNUMBER($E98),$E98,""))</f>
        <v/>
      </c>
      <c r="AN98" s="62">
        <f>IF(N($AL98)&gt;0,INDEX(rLim_ADM,$AL98),IF(ISNUMBER($F98),$F98,""))</f>
        <v/>
      </c>
    </row>
    <row r="99">
      <c r="A99" s="56">
        <f>IF(NOT((COUNTA($B99:$D99)+COUNTA($G99:$L99)+COUNTA($Q99))&gt;0),"",IF($V99="Macro",COUNTIFS($V$5:$V99,"Macro",$S$5:$S99,$S99),IF(N($U99)=0,"?",COUNTIFS(INDEX($V$5:$V$1000,1):INDEX($V$5:$V$1000,$U99-4),"Macro",INDEX($S$5:$S$1000,1):INDEX($S$5:$S$1000,$U99-4),INDEX($S$5:$S$1000,$U99-4))&amp;"."&amp;COUNTIFS($U$5:$U99,$U99,$V$5:$V99,"Sub"))))</f>
        <v/>
      </c>
      <c r="B99" s="57" t="n"/>
      <c r="C99" s="58" t="n"/>
      <c r="D99" s="58" t="n"/>
      <c r="E99" s="59">
        <f>IF(N($AL99)&gt;0,INDEX(rIni_ADM,$AL99),"")</f>
        <v/>
      </c>
      <c r="F99" s="59">
        <f>IF(N($AL99)&gt;0,INDEX(rLim_ADM,$AL99),"")</f>
        <v/>
      </c>
      <c r="G99" s="59" t="n"/>
      <c r="H99" s="60" t="n"/>
      <c r="I99" s="60" t="n"/>
      <c r="J99" s="60" t="n"/>
      <c r="K99" s="60" t="n"/>
      <c r="L99" s="60" t="n"/>
      <c r="M99" s="61">
        <f>IF(NOT((COUNTA($B99:$D99)+COUNTA($G99:$L99)+COUNTA($Q99))&gt;0),"",IF($V99="Sub",IFERROR($X99/INDEX($W$5:$W$1000,$U99-4),""),IF(ISNUMBER($G99),1,IF(N($W99)&gt;0,AVERAGEIFS($X$5:$X$1000,$U$5:$U$1000,ROW(),$V$5:$V$1000,"Sub"),$X99))))</f>
        <v/>
      </c>
      <c r="N99" s="56">
        <f>IF(OR($M99="",$V99="Sub"),"",IF($M99&gt;=1,"Completado",IF($M99&gt;0,"En curso","Pendiente")))</f>
        <v/>
      </c>
      <c r="O99" s="56">
        <f>IF(OR(NOT((COUNTA($B99:$D99)+COUNTA($G99:$L99)+COUNTA($Q99))&gt;0),$V99="Sub"),"",IF(ISNUMBER($G99),IF(AND(ISNUMBER($AN99),$G99&gt;$AN99),"Cumplida con "&amp;($G99-$AN99)&amp;IF($G99-$AN99=1," día"," días")&amp;" de retraso","Cumplida"),IF(N($M99)&gt;=1,"Cumplida",IF(NOT(ISNUMBER($AN99)),"Sin fecha límite",IF($AN99&lt;FechaRef,"Vencida hace "&amp;(FechaRef-$AN99)&amp;IF(FechaRef-$AN99=1," día"," días"),IF($AN99=FechaRef,"Vence hoy",IF($AN99-FechaRef&lt;=DiasAlerta,"Vence en "&amp;($AN99-FechaRef)&amp;IF($AN99-FechaRef=1," día"," días"),"En plazo")))))))</f>
        <v/>
      </c>
      <c r="P99" s="62" t="n"/>
      <c r="Q99" s="58" t="n"/>
      <c r="R99" s="63">
        <f>IF(NOT((COUNTA($B99:$D99)+COUNTA($G99:$L99)+COUNTA($Q99))&gt;0),"",IF((IF($C99="","Falta el nombre de la actividad"&amp;" · ","")&amp;IF(AND($V99="Sub",N($U99)=0),"Subactividad sin macroactividad arriba"&amp;" · ","")&amp;IF($AM99="","Sin fecha de inicio"&amp;" · ","")&amp;IF($AN99="","Sin fecha límite"&amp;" · ","")&amp;IF(AND(LEFT($C99,11)="[Jefatura] ",N($AL99)=0),"No se encuentra en la hoja de la jefatura (elíjala de nuevo en la lista)"&amp;" · ","")&amp;IF(OR(AND($E99&lt;&gt;"",NOT(ISNUMBER($E99))),AND($F99&lt;&gt;"",NOT(ISNUMBER($F99))),AND($G99&lt;&gt;"",NOT(ISNUMBER($G99)))),"Fecha no válida"&amp;" · ","")&amp;IF(AND(ISNUMBER($AM99),ISNUMBER($AN99),$AM99&gt;$AN99),"Inicio posterior a fecha límite"&amp;" · ","")&amp;IF(AND($V99="Macro",$H99&lt;&gt;"",OR(NOT(ISNUMBER($H99)),$H99&lt;0,$H99&gt;1)),"Peso fuera de rango"&amp;" · ","")&amp;IF(AND($V99="Sub",$H99&lt;&gt;""),"Las subactividades no llevan peso (valen igual dentro de su macroactividad)"&amp;" · ","")&amp;IF(AND(N($W99)&gt;0,COUNT($I99:$L99)&gt;0),"Con subactividades: deje vacías las semanas (se calculan solas)"&amp;" · ","")&amp;IF((COUNTIF($I99:$L99,"&gt;1")+COUNTIF($I99:$L99,"&lt;0")+COUNTA($I99:$L99)-COUNT($I99:$L99))&gt;0,"Avance fuera de rango 0-100%"&amp;" · ","")&amp;IF(OR(AND($J99&lt;&gt;"",$J99&lt;$I99),AND($K99&lt;&gt;"",$K99&lt;MAX($I99:$J99)),AND($L99&lt;&gt;"",$L99&lt;MAX($I99:$K99))),"Avance semanal decreciente"&amp;" · ","")&amp;IF(AND(ISNUMBER($AN99),$AN99&lt;FechaRef,IF($V99="Sub",N($X99),N($M99))&lt;1),"Vencida"&amp;" · ","")&amp;IF(AND(ObsObligatoria="Sí",ISNUMBER($AN99),$AN99&lt;FechaRef,IF($V99="Sub",N($X99),N($M99))&lt;1,$Q99=""),"Vencida sin observación"&amp;" · ",""))="","✔ OK","⚠ "&amp;LEFT(IF($C99="","Falta el nombre de la actividad"&amp;" · ","")&amp;IF(AND($V99="Sub",N($U99)=0),"Subactividad sin macroactividad arriba"&amp;" · ","")&amp;IF($AM99="","Sin fecha de inicio"&amp;" · ","")&amp;IF($AN99="","Sin fecha límite"&amp;" · ","")&amp;IF(AND(LEFT($C99,11)="[Jefatura] ",N($AL99)=0),"No se encuentra en la hoja de la jefatura (elíjala de nuevo en la lista)"&amp;" · ","")&amp;IF(OR(AND($E99&lt;&gt;"",NOT(ISNUMBER($E99))),AND($F99&lt;&gt;"",NOT(ISNUMBER($F99))),AND($G99&lt;&gt;"",NOT(ISNUMBER($G99)))),"Fecha no válida"&amp;" · ","")&amp;IF(AND(ISNUMBER($AM99),ISNUMBER($AN99),$AM99&gt;$AN99),"Inicio posterior a fecha límite"&amp;" · ","")&amp;IF(AND($V99="Macro",$H99&lt;&gt;"",OR(NOT(ISNUMBER($H99)),$H99&lt;0,$H99&gt;1)),"Peso fuera de rango"&amp;" · ","")&amp;IF(AND($V99="Sub",$H99&lt;&gt;""),"Las subactividades no llevan peso (valen igual dentro de su macroactividad)"&amp;" · ","")&amp;IF(AND(N($W99)&gt;0,COUNT($I99:$L99)&gt;0),"Con subactividades: deje vacías las semanas (se calculan solas)"&amp;" · ","")&amp;IF((COUNTIF($I99:$L99,"&gt;1")+COUNTIF($I99:$L99,"&lt;0")+COUNTA($I99:$L99)-COUNT($I99:$L99))&gt;0,"Avance fuera de rango 0-100%"&amp;" · ","")&amp;IF(OR(AND($J99&lt;&gt;"",$J99&lt;$I99),AND($K99&lt;&gt;"",$K99&lt;MAX($I99:$J99)),AND($L99&lt;&gt;"",$L99&lt;MAX($I99:$K99))),"Avance semanal decreciente"&amp;" · ","")&amp;IF(AND(ISNUMBER($AN99),$AN99&lt;FechaRef,IF($V99="Sub",N($X99),N($M99))&lt;1),"Vencida"&amp;" · ","")&amp;IF(AND(ObsObligatoria="Sí",ISNUMBER($AN99),$AN99&lt;FechaRef,IF($V99="Sub",N($X99),N($M99))&lt;1,$Q99=""),"Vencida sin observación"&amp;" · ",""),LEN(IF($C99="","Falta el nombre de la actividad"&amp;" · ","")&amp;IF(AND($V99="Sub",N($U99)=0),"Subactividad sin macroactividad arriba"&amp;" · ","")&amp;IF($AM99="","Sin fecha de inicio"&amp;" · ","")&amp;IF($AN99="","Sin fecha límite"&amp;" · ","")&amp;IF(AND(LEFT($C99,11)="[Jefatura] ",N($AL99)=0),"No se encuentra en la hoja de la jefatura (elíjala de nuevo en la lista)"&amp;" · ","")&amp;IF(OR(AND($E99&lt;&gt;"",NOT(ISNUMBER($E99))),AND($F99&lt;&gt;"",NOT(ISNUMBER($F99))),AND($G99&lt;&gt;"",NOT(ISNUMBER($G99)))),"Fecha no válida"&amp;" · ","")&amp;IF(AND(ISNUMBER($AM99),ISNUMBER($AN99),$AM99&gt;$AN99),"Inicio posterior a fecha límite"&amp;" · ","")&amp;IF(AND($V99="Macro",$H99&lt;&gt;"",OR(NOT(ISNUMBER($H99)),$H99&lt;0,$H99&gt;1)),"Peso fuera de rango"&amp;" · ","")&amp;IF(AND($V99="Sub",$H99&lt;&gt;""),"Las subactividades no llevan peso (valen igual dentro de su macroactividad)"&amp;" · ","")&amp;IF(AND(N($W99)&gt;0,COUNT($I99:$L99)&gt;0),"Con subactividades: deje vacías las semanas (se calculan solas)"&amp;" · ","")&amp;IF((COUNTIF($I99:$L99,"&gt;1")+COUNTIF($I99:$L99,"&lt;0")+COUNTA($I99:$L99)-COUNT($I99:$L99))&gt;0,"Avance fuera de rango 0-100%"&amp;" · ","")&amp;IF(OR(AND($J99&lt;&gt;"",$J99&lt;$I99),AND($K99&lt;&gt;"",$K99&lt;MAX($I99:$J99)),AND($L99&lt;&gt;"",$L99&lt;MAX($I99:$K99))),"Avance semanal decreciente"&amp;" · ","")&amp;IF(AND(ISNUMBER($AN99),$AN99&lt;FechaRef,IF($V99="Sub",N($X99),N($M99))&lt;1),"Vencida"&amp;" · ","")&amp;IF(AND(ObsObligatoria="Sí",ISNUMBER($AN99),$AN99&lt;FechaRef,IF($V99="Sub",N($X99),N($M99))&lt;1,$Q99=""),"Vencida sin observación"&amp;" · ",""))-3)))</f>
        <v/>
      </c>
      <c r="S99" s="64">
        <f>IF(NOT((COUNTA($B99:$D99)+COUNTA($G99:$L99)+COUNTA($Q99))&gt;0),"",IF(AND($V99="Sub",N($U99)&gt;0),IF(ISNUMBER(INDEX($AM$5:$AM$1000,$U99-4)),DATE(YEAR(INDEX($AM$5:$AM$1000,$U99-4)),MONTH(INDEX($AM$5:$AM$1000,$U99-4)),1),IF(ISNUMBER(INDEX($AN$5:$AN$1000,$U99-4)),DATE(YEAR(INDEX($AN$5:$AN$1000,$U99-4)),MONTH(INDEX($AN$5:$AN$1000,$U99-4)),1),MesCiclo)),IF(ISNUMBER($AM99),DATE(YEAR($AM99),MONTH($AM99),1),IF(ISNUMBER($AN99),DATE(YEAR($AN99),MONTH($AN99),1),MesCiclo))))</f>
        <v/>
      </c>
      <c r="T99" s="62">
        <f>IF(OR($S99="",$S99&lt;&gt;MesCiclo,$V99&lt;&gt;"Macro"),"",COUNTIFS($S$5:$S99,MesCiclo,$V$5:$V99,"Macro"))</f>
        <v/>
      </c>
      <c r="U99" s="62">
        <f>IF($V99="","",IF($V99="Macro",ROW(),IFERROR(LOOKUP(2,1/($V$5:$V99="Macro"),ROW($V$5:$V99)),0)))</f>
        <v/>
      </c>
      <c r="V99" s="62">
        <f>IF(NOT((COUNTA($B99:$D99)+COUNTA($G99:$L99)+COUNTA($Q99))&gt;0),"",IF($B99="Subactividad","Sub","Macro"))</f>
        <v/>
      </c>
      <c r="W99" s="62">
        <f>IF($V99="Macro",COUNTIFS($U$5:$U$1000,ROW(),$V$5:$V$1000,"Sub"),"")</f>
        <v/>
      </c>
      <c r="X99" s="62">
        <f>IF($V99="","",IF(ISNUMBER($G99),1,IFERROR(LOOKUP(2,1/($I99:$L99&lt;&gt;""),$I99:$L99),0)))</f>
        <v/>
      </c>
      <c r="Y99" s="62">
        <f>IF($V99="","",IF(AND(ISNUMBER($G99),$G99&lt;=IF($S99=MesCiclo,InicioCiclo,$S99+MOD(2-WEEKDAY($S99),7))+6),1,IF(ISNUMBER($I99),$I99,0)))</f>
        <v/>
      </c>
      <c r="Z99" s="62">
        <f>IF($V99="","",IF(AND(ISNUMBER($G99),$G99&lt;=IF($S99=MesCiclo,InicioCiclo,$S99+MOD(2-WEEKDAY($S99),7))+13),1,IF(ISNUMBER($J99),$J99,$Y99)))</f>
        <v/>
      </c>
      <c r="AA99" s="62">
        <f>IF($V99="","",IF(AND(ISNUMBER($G99),$G99&lt;=IF($S99=MesCiclo,InicioCiclo,$S99+MOD(2-WEEKDAY($S99),7))+20),1,IF(ISNUMBER($K99),$K99,$Z99)))</f>
        <v/>
      </c>
      <c r="AB99" s="62">
        <f>IF($V99="","",IF(AND(ISNUMBER($G99),$G99&lt;=IF($S99=MesCiclo,InicioCiclo,$S99+MOD(2-WEEKDAY($S99),7))+27),1,IF(ISNUMBER($L99),$L99,$AA99)))</f>
        <v/>
      </c>
      <c r="AC99" s="62">
        <f>IF($V99="","",IF(AND(ISNUMBER($G99),$G99&lt;=IF($S99=MesCiclo,InicioCiclo,$S99+MOD(2-WEEKDAY($S99),7))+6),1,IF(N($W99)&gt;0,AVERAGEIFS($Y$5:$Y$1000,$U$5:$U$1000,ROW(),$V$5:$V$1000,"Sub"),$Y99)))</f>
        <v/>
      </c>
      <c r="AD99" s="62">
        <f>IF($V99="","",IF(AND(ISNUMBER($G99),$G99&lt;=IF($S99=MesCiclo,InicioCiclo,$S99+MOD(2-WEEKDAY($S99),7))+13),1,IF(N($W99)&gt;0,AVERAGEIFS($Z$5:$Z$1000,$U$5:$U$1000,ROW(),$V$5:$V$1000,"Sub"),$Z99)))</f>
        <v/>
      </c>
      <c r="AE99" s="62">
        <f>IF($V99="","",IF(AND(ISNUMBER($G99),$G99&lt;=IF($S99=MesCiclo,InicioCiclo,$S99+MOD(2-WEEKDAY($S99),7))+20),1,IF(N($W99)&gt;0,AVERAGEIFS($AA$5:$AA$1000,$U$5:$U$1000,ROW(),$V$5:$V$1000,"Sub"),$AA99)))</f>
        <v/>
      </c>
      <c r="AF99" s="62">
        <f>IF($V99="","",IF(AND(ISNUMBER($G99),$G99&lt;=IF($S99=MesCiclo,InicioCiclo,$S99+MOD(2-WEEKDAY($S99),7))+27),1,IF(N($W99)&gt;0,AVERAGEIFS($AB$5:$AB$1000,$U$5:$U$1000,ROW(),$V$5:$V$1000,"Sub"),$AB99)))</f>
        <v/>
      </c>
      <c r="AG99" s="62">
        <f>IF($V99&lt;&gt;"Macro","",IF(COUNTIFS($S$5:$S$1000,$S99,$V$5:$V$1000,"Macro",$H$5:$H$1000,"&gt;0")=0,1/COUNTIFS($S$5:$S$1000,$S99,$V$5:$V$1000,"Macro"),IF(AND(ISNUMBER($H99),N($H99)&gt;0),$H99,SUMIFS($H$5:$H$1000,$S$5:$S$1000,$S99,$V$5:$V$1000,"Macro")/COUNTIFS($S$5:$S$1000,$S99,$V$5:$V$1000,"Macro",$H$5:$H$1000,"&gt;0"))/(COUNTIFS($S$5:$S$1000,$S99,$V$5:$V$1000,"Macro")*SUMIFS($H$5:$H$1000,$S$5:$S$1000,$S99,$V$5:$V$1000,"Macro")/COUNTIFS($S$5:$S$1000,$S99,$V$5:$V$1000,"Macro",$H$5:$H$1000,"&gt;0"))))</f>
        <v/>
      </c>
      <c r="AH99" s="62" t="n"/>
      <c r="AI99" s="62" t="n"/>
      <c r="AJ99" s="62" t="n"/>
      <c r="AK99" s="62" t="n"/>
      <c r="AL99" s="62">
        <f>IF(LEFT($C99,11)="[Jefatura] ",IFERROR(MATCH("Riesgo Financiero|"&amp;MID($C99,12,500),rDname_ADM,0),0),"")</f>
        <v/>
      </c>
      <c r="AM99" s="62">
        <f>IF(N($AL99)&gt;0,INDEX(rIni_ADM,$AL99),IF(ISNUMBER($E99),$E99,""))</f>
        <v/>
      </c>
      <c r="AN99" s="62">
        <f>IF(N($AL99)&gt;0,INDEX(rLim_ADM,$AL99),IF(ISNUMBER($F99),$F99,""))</f>
        <v/>
      </c>
    </row>
    <row r="100">
      <c r="A100" s="56">
        <f>IF(NOT((COUNTA($B100:$D100)+COUNTA($G100:$L100)+COUNTA($Q100))&gt;0),"",IF($V100="Macro",COUNTIFS($V$5:$V100,"Macro",$S$5:$S100,$S100),IF(N($U100)=0,"?",COUNTIFS(INDEX($V$5:$V$1000,1):INDEX($V$5:$V$1000,$U100-4),"Macro",INDEX($S$5:$S$1000,1):INDEX($S$5:$S$1000,$U100-4),INDEX($S$5:$S$1000,$U100-4))&amp;"."&amp;COUNTIFS($U$5:$U100,$U100,$V$5:$V100,"Sub"))))</f>
        <v/>
      </c>
      <c r="B100" s="57" t="n"/>
      <c r="C100" s="58" t="n"/>
      <c r="D100" s="58" t="n"/>
      <c r="E100" s="59">
        <f>IF(N($AL100)&gt;0,INDEX(rIni_ADM,$AL100),"")</f>
        <v/>
      </c>
      <c r="F100" s="59">
        <f>IF(N($AL100)&gt;0,INDEX(rLim_ADM,$AL100),"")</f>
        <v/>
      </c>
      <c r="G100" s="59" t="n"/>
      <c r="H100" s="60" t="n"/>
      <c r="I100" s="60" t="n"/>
      <c r="J100" s="60" t="n"/>
      <c r="K100" s="60" t="n"/>
      <c r="L100" s="60" t="n"/>
      <c r="M100" s="61">
        <f>IF(NOT((COUNTA($B100:$D100)+COUNTA($G100:$L100)+COUNTA($Q100))&gt;0),"",IF($V100="Sub",IFERROR($X100/INDEX($W$5:$W$1000,$U100-4),""),IF(ISNUMBER($G100),1,IF(N($W100)&gt;0,AVERAGEIFS($X$5:$X$1000,$U$5:$U$1000,ROW(),$V$5:$V$1000,"Sub"),$X100))))</f>
        <v/>
      </c>
      <c r="N100" s="56">
        <f>IF(OR($M100="",$V100="Sub"),"",IF($M100&gt;=1,"Completado",IF($M100&gt;0,"En curso","Pendiente")))</f>
        <v/>
      </c>
      <c r="O100" s="56">
        <f>IF(OR(NOT((COUNTA($B100:$D100)+COUNTA($G100:$L100)+COUNTA($Q100))&gt;0),$V100="Sub"),"",IF(ISNUMBER($G100),IF(AND(ISNUMBER($AN100),$G100&gt;$AN100),"Cumplida con "&amp;($G100-$AN100)&amp;IF($G100-$AN100=1," día"," días")&amp;" de retraso","Cumplida"),IF(N($M100)&gt;=1,"Cumplida",IF(NOT(ISNUMBER($AN100)),"Sin fecha límite",IF($AN100&lt;FechaRef,"Vencida hace "&amp;(FechaRef-$AN100)&amp;IF(FechaRef-$AN100=1," día"," días"),IF($AN100=FechaRef,"Vence hoy",IF($AN100-FechaRef&lt;=DiasAlerta,"Vence en "&amp;($AN100-FechaRef)&amp;IF($AN100-FechaRef=1," día"," días"),"En plazo")))))))</f>
        <v/>
      </c>
      <c r="P100" s="62" t="n"/>
      <c r="Q100" s="58" t="n"/>
      <c r="R100" s="63">
        <f>IF(NOT((COUNTA($B100:$D100)+COUNTA($G100:$L100)+COUNTA($Q100))&gt;0),"",IF((IF($C100="","Falta el nombre de la actividad"&amp;" · ","")&amp;IF(AND($V100="Sub",N($U100)=0),"Subactividad sin macroactividad arriba"&amp;" · ","")&amp;IF($AM100="","Sin fecha de inicio"&amp;" · ","")&amp;IF($AN100="","Sin fecha límite"&amp;" · ","")&amp;IF(AND(LEFT($C100,11)="[Jefatura] ",N($AL100)=0),"No se encuentra en la hoja de la jefatura (elíjala de nuevo en la lista)"&amp;" · ","")&amp;IF(OR(AND($E100&lt;&gt;"",NOT(ISNUMBER($E100))),AND($F100&lt;&gt;"",NOT(ISNUMBER($F100))),AND($G100&lt;&gt;"",NOT(ISNUMBER($G100)))),"Fecha no válida"&amp;" · ","")&amp;IF(AND(ISNUMBER($AM100),ISNUMBER($AN100),$AM100&gt;$AN100),"Inicio posterior a fecha límite"&amp;" · ","")&amp;IF(AND($V100="Macro",$H100&lt;&gt;"",OR(NOT(ISNUMBER($H100)),$H100&lt;0,$H100&gt;1)),"Peso fuera de rango"&amp;" · ","")&amp;IF(AND($V100="Sub",$H100&lt;&gt;""),"Las subactividades no llevan peso (valen igual dentro de su macroactividad)"&amp;" · ","")&amp;IF(AND(N($W100)&gt;0,COUNT($I100:$L100)&gt;0),"Con subactividades: deje vacías las semanas (se calculan solas)"&amp;" · ","")&amp;IF((COUNTIF($I100:$L100,"&gt;1")+COUNTIF($I100:$L100,"&lt;0")+COUNTA($I100:$L100)-COUNT($I100:$L100))&gt;0,"Avance fuera de rango 0-100%"&amp;" · ","")&amp;IF(OR(AND($J100&lt;&gt;"",$J100&lt;$I100),AND($K100&lt;&gt;"",$K100&lt;MAX($I100:$J100)),AND($L100&lt;&gt;"",$L100&lt;MAX($I100:$K100))),"Avance semanal decreciente"&amp;" · ","")&amp;IF(AND(ISNUMBER($AN100),$AN100&lt;FechaRef,IF($V100="Sub",N($X100),N($M100))&lt;1),"Vencida"&amp;" · ","")&amp;IF(AND(ObsObligatoria="Sí",ISNUMBER($AN100),$AN100&lt;FechaRef,IF($V100="Sub",N($X100),N($M100))&lt;1,$Q100=""),"Vencida sin observación"&amp;" · ",""))="","✔ OK","⚠ "&amp;LEFT(IF($C100="","Falta el nombre de la actividad"&amp;" · ","")&amp;IF(AND($V100="Sub",N($U100)=0),"Subactividad sin macroactividad arriba"&amp;" · ","")&amp;IF($AM100="","Sin fecha de inicio"&amp;" · ","")&amp;IF($AN100="","Sin fecha límite"&amp;" · ","")&amp;IF(AND(LEFT($C100,11)="[Jefatura] ",N($AL100)=0),"No se encuentra en la hoja de la jefatura (elíjala de nuevo en la lista)"&amp;" · ","")&amp;IF(OR(AND($E100&lt;&gt;"",NOT(ISNUMBER($E100))),AND($F100&lt;&gt;"",NOT(ISNUMBER($F100))),AND($G100&lt;&gt;"",NOT(ISNUMBER($G100)))),"Fecha no válida"&amp;" · ","")&amp;IF(AND(ISNUMBER($AM100),ISNUMBER($AN100),$AM100&gt;$AN100),"Inicio posterior a fecha límite"&amp;" · ","")&amp;IF(AND($V100="Macro",$H100&lt;&gt;"",OR(NOT(ISNUMBER($H100)),$H100&lt;0,$H100&gt;1)),"Peso fuera de rango"&amp;" · ","")&amp;IF(AND($V100="Sub",$H100&lt;&gt;""),"Las subactividades no llevan peso (valen igual dentro de su macroactividad)"&amp;" · ","")&amp;IF(AND(N($W100)&gt;0,COUNT($I100:$L100)&gt;0),"Con subactividades: deje vacías las semanas (se calculan solas)"&amp;" · ","")&amp;IF((COUNTIF($I100:$L100,"&gt;1")+COUNTIF($I100:$L100,"&lt;0")+COUNTA($I100:$L100)-COUNT($I100:$L100))&gt;0,"Avance fuera de rango 0-100%"&amp;" · ","")&amp;IF(OR(AND($J100&lt;&gt;"",$J100&lt;$I100),AND($K100&lt;&gt;"",$K100&lt;MAX($I100:$J100)),AND($L100&lt;&gt;"",$L100&lt;MAX($I100:$K100))),"Avance semanal decreciente"&amp;" · ","")&amp;IF(AND(ISNUMBER($AN100),$AN100&lt;FechaRef,IF($V100="Sub",N($X100),N($M100))&lt;1),"Vencida"&amp;" · ","")&amp;IF(AND(ObsObligatoria="Sí",ISNUMBER($AN100),$AN100&lt;FechaRef,IF($V100="Sub",N($X100),N($M100))&lt;1,$Q100=""),"Vencida sin observación"&amp;" · ",""),LEN(IF($C100="","Falta el nombre de la actividad"&amp;" · ","")&amp;IF(AND($V100="Sub",N($U100)=0),"Subactividad sin macroactividad arriba"&amp;" · ","")&amp;IF($AM100="","Sin fecha de inicio"&amp;" · ","")&amp;IF($AN100="","Sin fecha límite"&amp;" · ","")&amp;IF(AND(LEFT($C100,11)="[Jefatura] ",N($AL100)=0),"No se encuentra en la hoja de la jefatura (elíjala de nuevo en la lista)"&amp;" · ","")&amp;IF(OR(AND($E100&lt;&gt;"",NOT(ISNUMBER($E100))),AND($F100&lt;&gt;"",NOT(ISNUMBER($F100))),AND($G100&lt;&gt;"",NOT(ISNUMBER($G100)))),"Fecha no válida"&amp;" · ","")&amp;IF(AND(ISNUMBER($AM100),ISNUMBER($AN100),$AM100&gt;$AN100),"Inicio posterior a fecha límite"&amp;" · ","")&amp;IF(AND($V100="Macro",$H100&lt;&gt;"",OR(NOT(ISNUMBER($H100)),$H100&lt;0,$H100&gt;1)),"Peso fuera de rango"&amp;" · ","")&amp;IF(AND($V100="Sub",$H100&lt;&gt;""),"Las subactividades no llevan peso (valen igual dentro de su macroactividad)"&amp;" · ","")&amp;IF(AND(N($W100)&gt;0,COUNT($I100:$L100)&gt;0),"Con subactividades: deje vacías las semanas (se calculan solas)"&amp;" · ","")&amp;IF((COUNTIF($I100:$L100,"&gt;1")+COUNTIF($I100:$L100,"&lt;0")+COUNTA($I100:$L100)-COUNT($I100:$L100))&gt;0,"Avance fuera de rango 0-100%"&amp;" · ","")&amp;IF(OR(AND($J100&lt;&gt;"",$J100&lt;$I100),AND($K100&lt;&gt;"",$K100&lt;MAX($I100:$J100)),AND($L100&lt;&gt;"",$L100&lt;MAX($I100:$K100))),"Avance semanal decreciente"&amp;" · ","")&amp;IF(AND(ISNUMBER($AN100),$AN100&lt;FechaRef,IF($V100="Sub",N($X100),N($M100))&lt;1),"Vencida"&amp;" · ","")&amp;IF(AND(ObsObligatoria="Sí",ISNUMBER($AN100),$AN100&lt;FechaRef,IF($V100="Sub",N($X100),N($M100))&lt;1,$Q100=""),"Vencida sin observación"&amp;" · ",""))-3)))</f>
        <v/>
      </c>
      <c r="S100" s="64">
        <f>IF(NOT((COUNTA($B100:$D100)+COUNTA($G100:$L100)+COUNTA($Q100))&gt;0),"",IF(AND($V100="Sub",N($U100)&gt;0),IF(ISNUMBER(INDEX($AM$5:$AM$1000,$U100-4)),DATE(YEAR(INDEX($AM$5:$AM$1000,$U100-4)),MONTH(INDEX($AM$5:$AM$1000,$U100-4)),1),IF(ISNUMBER(INDEX($AN$5:$AN$1000,$U100-4)),DATE(YEAR(INDEX($AN$5:$AN$1000,$U100-4)),MONTH(INDEX($AN$5:$AN$1000,$U100-4)),1),MesCiclo)),IF(ISNUMBER($AM100),DATE(YEAR($AM100),MONTH($AM100),1),IF(ISNUMBER($AN100),DATE(YEAR($AN100),MONTH($AN100),1),MesCiclo))))</f>
        <v/>
      </c>
      <c r="T100" s="62">
        <f>IF(OR($S100="",$S100&lt;&gt;MesCiclo,$V100&lt;&gt;"Macro"),"",COUNTIFS($S$5:$S100,MesCiclo,$V$5:$V100,"Macro"))</f>
        <v/>
      </c>
      <c r="U100" s="62">
        <f>IF($V100="","",IF($V100="Macro",ROW(),IFERROR(LOOKUP(2,1/($V$5:$V100="Macro"),ROW($V$5:$V100)),0)))</f>
        <v/>
      </c>
      <c r="V100" s="62">
        <f>IF(NOT((COUNTA($B100:$D100)+COUNTA($G100:$L100)+COUNTA($Q100))&gt;0),"",IF($B100="Subactividad","Sub","Macro"))</f>
        <v/>
      </c>
      <c r="W100" s="62">
        <f>IF($V100="Macro",COUNTIFS($U$5:$U$1000,ROW(),$V$5:$V$1000,"Sub"),"")</f>
        <v/>
      </c>
      <c r="X100" s="62">
        <f>IF($V100="","",IF(ISNUMBER($G100),1,IFERROR(LOOKUP(2,1/($I100:$L100&lt;&gt;""),$I100:$L100),0)))</f>
        <v/>
      </c>
      <c r="Y100" s="62">
        <f>IF($V100="","",IF(AND(ISNUMBER($G100),$G100&lt;=IF($S100=MesCiclo,InicioCiclo,$S100+MOD(2-WEEKDAY($S100),7))+6),1,IF(ISNUMBER($I100),$I100,0)))</f>
        <v/>
      </c>
      <c r="Z100" s="62">
        <f>IF($V100="","",IF(AND(ISNUMBER($G100),$G100&lt;=IF($S100=MesCiclo,InicioCiclo,$S100+MOD(2-WEEKDAY($S100),7))+13),1,IF(ISNUMBER($J100),$J100,$Y100)))</f>
        <v/>
      </c>
      <c r="AA100" s="62">
        <f>IF($V100="","",IF(AND(ISNUMBER($G100),$G100&lt;=IF($S100=MesCiclo,InicioCiclo,$S100+MOD(2-WEEKDAY($S100),7))+20),1,IF(ISNUMBER($K100),$K100,$Z100)))</f>
        <v/>
      </c>
      <c r="AB100" s="62">
        <f>IF($V100="","",IF(AND(ISNUMBER($G100),$G100&lt;=IF($S100=MesCiclo,InicioCiclo,$S100+MOD(2-WEEKDAY($S100),7))+27),1,IF(ISNUMBER($L100),$L100,$AA100)))</f>
        <v/>
      </c>
      <c r="AC100" s="62">
        <f>IF($V100="","",IF(AND(ISNUMBER($G100),$G100&lt;=IF($S100=MesCiclo,InicioCiclo,$S100+MOD(2-WEEKDAY($S100),7))+6),1,IF(N($W100)&gt;0,AVERAGEIFS($Y$5:$Y$1000,$U$5:$U$1000,ROW(),$V$5:$V$1000,"Sub"),$Y100)))</f>
        <v/>
      </c>
      <c r="AD100" s="62">
        <f>IF($V100="","",IF(AND(ISNUMBER($G100),$G100&lt;=IF($S100=MesCiclo,InicioCiclo,$S100+MOD(2-WEEKDAY($S100),7))+13),1,IF(N($W100)&gt;0,AVERAGEIFS($Z$5:$Z$1000,$U$5:$U$1000,ROW(),$V$5:$V$1000,"Sub"),$Z100)))</f>
        <v/>
      </c>
      <c r="AE100" s="62">
        <f>IF($V100="","",IF(AND(ISNUMBER($G100),$G100&lt;=IF($S100=MesCiclo,InicioCiclo,$S100+MOD(2-WEEKDAY($S100),7))+20),1,IF(N($W100)&gt;0,AVERAGEIFS($AA$5:$AA$1000,$U$5:$U$1000,ROW(),$V$5:$V$1000,"Sub"),$AA100)))</f>
        <v/>
      </c>
      <c r="AF100" s="62">
        <f>IF($V100="","",IF(AND(ISNUMBER($G100),$G100&lt;=IF($S100=MesCiclo,InicioCiclo,$S100+MOD(2-WEEKDAY($S100),7))+27),1,IF(N($W100)&gt;0,AVERAGEIFS($AB$5:$AB$1000,$U$5:$U$1000,ROW(),$V$5:$V$1000,"Sub"),$AB100)))</f>
        <v/>
      </c>
      <c r="AG100" s="62">
        <f>IF($V100&lt;&gt;"Macro","",IF(COUNTIFS($S$5:$S$1000,$S100,$V$5:$V$1000,"Macro",$H$5:$H$1000,"&gt;0")=0,1/COUNTIFS($S$5:$S$1000,$S100,$V$5:$V$1000,"Macro"),IF(AND(ISNUMBER($H100),N($H100)&gt;0),$H100,SUMIFS($H$5:$H$1000,$S$5:$S$1000,$S100,$V$5:$V$1000,"Macro")/COUNTIFS($S$5:$S$1000,$S100,$V$5:$V$1000,"Macro",$H$5:$H$1000,"&gt;0"))/(COUNTIFS($S$5:$S$1000,$S100,$V$5:$V$1000,"Macro")*SUMIFS($H$5:$H$1000,$S$5:$S$1000,$S100,$V$5:$V$1000,"Macro")/COUNTIFS($S$5:$S$1000,$S100,$V$5:$V$1000,"Macro",$H$5:$H$1000,"&gt;0"))))</f>
        <v/>
      </c>
      <c r="AH100" s="62" t="n"/>
      <c r="AI100" s="62" t="n"/>
      <c r="AJ100" s="62" t="n"/>
      <c r="AK100" s="62" t="n"/>
      <c r="AL100" s="62">
        <f>IF(LEFT($C100,11)="[Jefatura] ",IFERROR(MATCH("Riesgo Financiero|"&amp;MID($C100,12,500),rDname_ADM,0),0),"")</f>
        <v/>
      </c>
      <c r="AM100" s="62">
        <f>IF(N($AL100)&gt;0,INDEX(rIni_ADM,$AL100),IF(ISNUMBER($E100),$E100,""))</f>
        <v/>
      </c>
      <c r="AN100" s="62">
        <f>IF(N($AL100)&gt;0,INDEX(rLim_ADM,$AL100),IF(ISNUMBER($F100),$F100,""))</f>
        <v/>
      </c>
    </row>
    <row r="101">
      <c r="A101" s="56">
        <f>IF(NOT((COUNTA($B101:$D101)+COUNTA($G101:$L101)+COUNTA($Q101))&gt;0),"",IF($V101="Macro",COUNTIFS($V$5:$V101,"Macro",$S$5:$S101,$S101),IF(N($U101)=0,"?",COUNTIFS(INDEX($V$5:$V$1000,1):INDEX($V$5:$V$1000,$U101-4),"Macro",INDEX($S$5:$S$1000,1):INDEX($S$5:$S$1000,$U101-4),INDEX($S$5:$S$1000,$U101-4))&amp;"."&amp;COUNTIFS($U$5:$U101,$U101,$V$5:$V101,"Sub"))))</f>
        <v/>
      </c>
      <c r="B101" s="57" t="n"/>
      <c r="C101" s="58" t="n"/>
      <c r="D101" s="58" t="n"/>
      <c r="E101" s="59">
        <f>IF(N($AL101)&gt;0,INDEX(rIni_ADM,$AL101),"")</f>
        <v/>
      </c>
      <c r="F101" s="59">
        <f>IF(N($AL101)&gt;0,INDEX(rLim_ADM,$AL101),"")</f>
        <v/>
      </c>
      <c r="G101" s="59" t="n"/>
      <c r="H101" s="60" t="n"/>
      <c r="I101" s="60" t="n"/>
      <c r="J101" s="60" t="n"/>
      <c r="K101" s="60" t="n"/>
      <c r="L101" s="60" t="n"/>
      <c r="M101" s="61">
        <f>IF(NOT((COUNTA($B101:$D101)+COUNTA($G101:$L101)+COUNTA($Q101))&gt;0),"",IF($V101="Sub",IFERROR($X101/INDEX($W$5:$W$1000,$U101-4),""),IF(ISNUMBER($G101),1,IF(N($W101)&gt;0,AVERAGEIFS($X$5:$X$1000,$U$5:$U$1000,ROW(),$V$5:$V$1000,"Sub"),$X101))))</f>
        <v/>
      </c>
      <c r="N101" s="56">
        <f>IF(OR($M101="",$V101="Sub"),"",IF($M101&gt;=1,"Completado",IF($M101&gt;0,"En curso","Pendiente")))</f>
        <v/>
      </c>
      <c r="O101" s="56">
        <f>IF(OR(NOT((COUNTA($B101:$D101)+COUNTA($G101:$L101)+COUNTA($Q101))&gt;0),$V101="Sub"),"",IF(ISNUMBER($G101),IF(AND(ISNUMBER($AN101),$G101&gt;$AN101),"Cumplida con "&amp;($G101-$AN101)&amp;IF($G101-$AN101=1," día"," días")&amp;" de retraso","Cumplida"),IF(N($M101)&gt;=1,"Cumplida",IF(NOT(ISNUMBER($AN101)),"Sin fecha límite",IF($AN101&lt;FechaRef,"Vencida hace "&amp;(FechaRef-$AN101)&amp;IF(FechaRef-$AN101=1," día"," días"),IF($AN101=FechaRef,"Vence hoy",IF($AN101-FechaRef&lt;=DiasAlerta,"Vence en "&amp;($AN101-FechaRef)&amp;IF($AN101-FechaRef=1," día"," días"),"En plazo")))))))</f>
        <v/>
      </c>
      <c r="P101" s="62" t="n"/>
      <c r="Q101" s="58" t="n"/>
      <c r="R101" s="63">
        <f>IF(NOT((COUNTA($B101:$D101)+COUNTA($G101:$L101)+COUNTA($Q101))&gt;0),"",IF((IF($C101="","Falta el nombre de la actividad"&amp;" · ","")&amp;IF(AND($V101="Sub",N($U101)=0),"Subactividad sin macroactividad arriba"&amp;" · ","")&amp;IF($AM101="","Sin fecha de inicio"&amp;" · ","")&amp;IF($AN101="","Sin fecha límite"&amp;" · ","")&amp;IF(AND(LEFT($C101,11)="[Jefatura] ",N($AL101)=0),"No se encuentra en la hoja de la jefatura (elíjala de nuevo en la lista)"&amp;" · ","")&amp;IF(OR(AND($E101&lt;&gt;"",NOT(ISNUMBER($E101))),AND($F101&lt;&gt;"",NOT(ISNUMBER($F101))),AND($G101&lt;&gt;"",NOT(ISNUMBER($G101)))),"Fecha no válida"&amp;" · ","")&amp;IF(AND(ISNUMBER($AM101),ISNUMBER($AN101),$AM101&gt;$AN101),"Inicio posterior a fecha límite"&amp;" · ","")&amp;IF(AND($V101="Macro",$H101&lt;&gt;"",OR(NOT(ISNUMBER($H101)),$H101&lt;0,$H101&gt;1)),"Peso fuera de rango"&amp;" · ","")&amp;IF(AND($V101="Sub",$H101&lt;&gt;""),"Las subactividades no llevan peso (valen igual dentro de su macroactividad)"&amp;" · ","")&amp;IF(AND(N($W101)&gt;0,COUNT($I101:$L101)&gt;0),"Con subactividades: deje vacías las semanas (se calculan solas)"&amp;" · ","")&amp;IF((COUNTIF($I101:$L101,"&gt;1")+COUNTIF($I101:$L101,"&lt;0")+COUNTA($I101:$L101)-COUNT($I101:$L101))&gt;0,"Avance fuera de rango 0-100%"&amp;" · ","")&amp;IF(OR(AND($J101&lt;&gt;"",$J101&lt;$I101),AND($K101&lt;&gt;"",$K101&lt;MAX($I101:$J101)),AND($L101&lt;&gt;"",$L101&lt;MAX($I101:$K101))),"Avance semanal decreciente"&amp;" · ","")&amp;IF(AND(ISNUMBER($AN101),$AN101&lt;FechaRef,IF($V101="Sub",N($X101),N($M101))&lt;1),"Vencida"&amp;" · ","")&amp;IF(AND(ObsObligatoria="Sí",ISNUMBER($AN101),$AN101&lt;FechaRef,IF($V101="Sub",N($X101),N($M101))&lt;1,$Q101=""),"Vencida sin observación"&amp;" · ",""))="","✔ OK","⚠ "&amp;LEFT(IF($C101="","Falta el nombre de la actividad"&amp;" · ","")&amp;IF(AND($V101="Sub",N($U101)=0),"Subactividad sin macroactividad arriba"&amp;" · ","")&amp;IF($AM101="","Sin fecha de inicio"&amp;" · ","")&amp;IF($AN101="","Sin fecha límite"&amp;" · ","")&amp;IF(AND(LEFT($C101,11)="[Jefatura] ",N($AL101)=0),"No se encuentra en la hoja de la jefatura (elíjala de nuevo en la lista)"&amp;" · ","")&amp;IF(OR(AND($E101&lt;&gt;"",NOT(ISNUMBER($E101))),AND($F101&lt;&gt;"",NOT(ISNUMBER($F101))),AND($G101&lt;&gt;"",NOT(ISNUMBER($G101)))),"Fecha no válida"&amp;" · ","")&amp;IF(AND(ISNUMBER($AM101),ISNUMBER($AN101),$AM101&gt;$AN101),"Inicio posterior a fecha límite"&amp;" · ","")&amp;IF(AND($V101="Macro",$H101&lt;&gt;"",OR(NOT(ISNUMBER($H101)),$H101&lt;0,$H101&gt;1)),"Peso fuera de rango"&amp;" · ","")&amp;IF(AND($V101="Sub",$H101&lt;&gt;""),"Las subactividades no llevan peso (valen igual dentro de su macroactividad)"&amp;" · ","")&amp;IF(AND(N($W101)&gt;0,COUNT($I101:$L101)&gt;0),"Con subactividades: deje vacías las semanas (se calculan solas)"&amp;" · ","")&amp;IF((COUNTIF($I101:$L101,"&gt;1")+COUNTIF($I101:$L101,"&lt;0")+COUNTA($I101:$L101)-COUNT($I101:$L101))&gt;0,"Avance fuera de rango 0-100%"&amp;" · ","")&amp;IF(OR(AND($J101&lt;&gt;"",$J101&lt;$I101),AND($K101&lt;&gt;"",$K101&lt;MAX($I101:$J101)),AND($L101&lt;&gt;"",$L101&lt;MAX($I101:$K101))),"Avance semanal decreciente"&amp;" · ","")&amp;IF(AND(ISNUMBER($AN101),$AN101&lt;FechaRef,IF($V101="Sub",N($X101),N($M101))&lt;1),"Vencida"&amp;" · ","")&amp;IF(AND(ObsObligatoria="Sí",ISNUMBER($AN101),$AN101&lt;FechaRef,IF($V101="Sub",N($X101),N($M101))&lt;1,$Q101=""),"Vencida sin observación"&amp;" · ",""),LEN(IF($C101="","Falta el nombre de la actividad"&amp;" · ","")&amp;IF(AND($V101="Sub",N($U101)=0),"Subactividad sin macroactividad arriba"&amp;" · ","")&amp;IF($AM101="","Sin fecha de inicio"&amp;" · ","")&amp;IF($AN101="","Sin fecha límite"&amp;" · ","")&amp;IF(AND(LEFT($C101,11)="[Jefatura] ",N($AL101)=0),"No se encuentra en la hoja de la jefatura (elíjala de nuevo en la lista)"&amp;" · ","")&amp;IF(OR(AND($E101&lt;&gt;"",NOT(ISNUMBER($E101))),AND($F101&lt;&gt;"",NOT(ISNUMBER($F101))),AND($G101&lt;&gt;"",NOT(ISNUMBER($G101)))),"Fecha no válida"&amp;" · ","")&amp;IF(AND(ISNUMBER($AM101),ISNUMBER($AN101),$AM101&gt;$AN101),"Inicio posterior a fecha límite"&amp;" · ","")&amp;IF(AND($V101="Macro",$H101&lt;&gt;"",OR(NOT(ISNUMBER($H101)),$H101&lt;0,$H101&gt;1)),"Peso fuera de rango"&amp;" · ","")&amp;IF(AND($V101="Sub",$H101&lt;&gt;""),"Las subactividades no llevan peso (valen igual dentro de su macroactividad)"&amp;" · ","")&amp;IF(AND(N($W101)&gt;0,COUNT($I101:$L101)&gt;0),"Con subactividades: deje vacías las semanas (se calculan solas)"&amp;" · ","")&amp;IF((COUNTIF($I101:$L101,"&gt;1")+COUNTIF($I101:$L101,"&lt;0")+COUNTA($I101:$L101)-COUNT($I101:$L101))&gt;0,"Avance fuera de rango 0-100%"&amp;" · ","")&amp;IF(OR(AND($J101&lt;&gt;"",$J101&lt;$I101),AND($K101&lt;&gt;"",$K101&lt;MAX($I101:$J101)),AND($L101&lt;&gt;"",$L101&lt;MAX($I101:$K101))),"Avance semanal decreciente"&amp;" · ","")&amp;IF(AND(ISNUMBER($AN101),$AN101&lt;FechaRef,IF($V101="Sub",N($X101),N($M101))&lt;1),"Vencida"&amp;" · ","")&amp;IF(AND(ObsObligatoria="Sí",ISNUMBER($AN101),$AN101&lt;FechaRef,IF($V101="Sub",N($X101),N($M101))&lt;1,$Q101=""),"Vencida sin observación"&amp;" · ",""))-3)))</f>
        <v/>
      </c>
      <c r="S101" s="64">
        <f>IF(NOT((COUNTA($B101:$D101)+COUNTA($G101:$L101)+COUNTA($Q101))&gt;0),"",IF(AND($V101="Sub",N($U101)&gt;0),IF(ISNUMBER(INDEX($AM$5:$AM$1000,$U101-4)),DATE(YEAR(INDEX($AM$5:$AM$1000,$U101-4)),MONTH(INDEX($AM$5:$AM$1000,$U101-4)),1),IF(ISNUMBER(INDEX($AN$5:$AN$1000,$U101-4)),DATE(YEAR(INDEX($AN$5:$AN$1000,$U101-4)),MONTH(INDEX($AN$5:$AN$1000,$U101-4)),1),MesCiclo)),IF(ISNUMBER($AM101),DATE(YEAR($AM101),MONTH($AM101),1),IF(ISNUMBER($AN101),DATE(YEAR($AN101),MONTH($AN101),1),MesCiclo))))</f>
        <v/>
      </c>
      <c r="T101" s="62">
        <f>IF(OR($S101="",$S101&lt;&gt;MesCiclo,$V101&lt;&gt;"Macro"),"",COUNTIFS($S$5:$S101,MesCiclo,$V$5:$V101,"Macro"))</f>
        <v/>
      </c>
      <c r="U101" s="62">
        <f>IF($V101="","",IF($V101="Macro",ROW(),IFERROR(LOOKUP(2,1/($V$5:$V101="Macro"),ROW($V$5:$V101)),0)))</f>
        <v/>
      </c>
      <c r="V101" s="62">
        <f>IF(NOT((COUNTA($B101:$D101)+COUNTA($G101:$L101)+COUNTA($Q101))&gt;0),"",IF($B101="Subactividad","Sub","Macro"))</f>
        <v/>
      </c>
      <c r="W101" s="62">
        <f>IF($V101="Macro",COUNTIFS($U$5:$U$1000,ROW(),$V$5:$V$1000,"Sub"),"")</f>
        <v/>
      </c>
      <c r="X101" s="62">
        <f>IF($V101="","",IF(ISNUMBER($G101),1,IFERROR(LOOKUP(2,1/($I101:$L101&lt;&gt;""),$I101:$L101),0)))</f>
        <v/>
      </c>
      <c r="Y101" s="62">
        <f>IF($V101="","",IF(AND(ISNUMBER($G101),$G101&lt;=IF($S101=MesCiclo,InicioCiclo,$S101+MOD(2-WEEKDAY($S101),7))+6),1,IF(ISNUMBER($I101),$I101,0)))</f>
        <v/>
      </c>
      <c r="Z101" s="62">
        <f>IF($V101="","",IF(AND(ISNUMBER($G101),$G101&lt;=IF($S101=MesCiclo,InicioCiclo,$S101+MOD(2-WEEKDAY($S101),7))+13),1,IF(ISNUMBER($J101),$J101,$Y101)))</f>
        <v/>
      </c>
      <c r="AA101" s="62">
        <f>IF($V101="","",IF(AND(ISNUMBER($G101),$G101&lt;=IF($S101=MesCiclo,InicioCiclo,$S101+MOD(2-WEEKDAY($S101),7))+20),1,IF(ISNUMBER($K101),$K101,$Z101)))</f>
        <v/>
      </c>
      <c r="AB101" s="62">
        <f>IF($V101="","",IF(AND(ISNUMBER($G101),$G101&lt;=IF($S101=MesCiclo,InicioCiclo,$S101+MOD(2-WEEKDAY($S101),7))+27),1,IF(ISNUMBER($L101),$L101,$AA101)))</f>
        <v/>
      </c>
      <c r="AC101" s="62">
        <f>IF($V101="","",IF(AND(ISNUMBER($G101),$G101&lt;=IF($S101=MesCiclo,InicioCiclo,$S101+MOD(2-WEEKDAY($S101),7))+6),1,IF(N($W101)&gt;0,AVERAGEIFS($Y$5:$Y$1000,$U$5:$U$1000,ROW(),$V$5:$V$1000,"Sub"),$Y101)))</f>
        <v/>
      </c>
      <c r="AD101" s="62">
        <f>IF($V101="","",IF(AND(ISNUMBER($G101),$G101&lt;=IF($S101=MesCiclo,InicioCiclo,$S101+MOD(2-WEEKDAY($S101),7))+13),1,IF(N($W101)&gt;0,AVERAGEIFS($Z$5:$Z$1000,$U$5:$U$1000,ROW(),$V$5:$V$1000,"Sub"),$Z101)))</f>
        <v/>
      </c>
      <c r="AE101" s="62">
        <f>IF($V101="","",IF(AND(ISNUMBER($G101),$G101&lt;=IF($S101=MesCiclo,InicioCiclo,$S101+MOD(2-WEEKDAY($S101),7))+20),1,IF(N($W101)&gt;0,AVERAGEIFS($AA$5:$AA$1000,$U$5:$U$1000,ROW(),$V$5:$V$1000,"Sub"),$AA101)))</f>
        <v/>
      </c>
      <c r="AF101" s="62">
        <f>IF($V101="","",IF(AND(ISNUMBER($G101),$G101&lt;=IF($S101=MesCiclo,InicioCiclo,$S101+MOD(2-WEEKDAY($S101),7))+27),1,IF(N($W101)&gt;0,AVERAGEIFS($AB$5:$AB$1000,$U$5:$U$1000,ROW(),$V$5:$V$1000,"Sub"),$AB101)))</f>
        <v/>
      </c>
      <c r="AG101" s="62">
        <f>IF($V101&lt;&gt;"Macro","",IF(COUNTIFS($S$5:$S$1000,$S101,$V$5:$V$1000,"Macro",$H$5:$H$1000,"&gt;0")=0,1/COUNTIFS($S$5:$S$1000,$S101,$V$5:$V$1000,"Macro"),IF(AND(ISNUMBER($H101),N($H101)&gt;0),$H101,SUMIFS($H$5:$H$1000,$S$5:$S$1000,$S101,$V$5:$V$1000,"Macro")/COUNTIFS($S$5:$S$1000,$S101,$V$5:$V$1000,"Macro",$H$5:$H$1000,"&gt;0"))/(COUNTIFS($S$5:$S$1000,$S101,$V$5:$V$1000,"Macro")*SUMIFS($H$5:$H$1000,$S$5:$S$1000,$S101,$V$5:$V$1000,"Macro")/COUNTIFS($S$5:$S$1000,$S101,$V$5:$V$1000,"Macro",$H$5:$H$1000,"&gt;0"))))</f>
        <v/>
      </c>
      <c r="AH101" s="62" t="n"/>
      <c r="AI101" s="62" t="n"/>
      <c r="AJ101" s="62" t="n"/>
      <c r="AK101" s="62" t="n"/>
      <c r="AL101" s="62">
        <f>IF(LEFT($C101,11)="[Jefatura] ",IFERROR(MATCH("Riesgo Financiero|"&amp;MID($C101,12,500),rDname_ADM,0),0),"")</f>
        <v/>
      </c>
      <c r="AM101" s="62">
        <f>IF(N($AL101)&gt;0,INDEX(rIni_ADM,$AL101),IF(ISNUMBER($E101),$E101,""))</f>
        <v/>
      </c>
      <c r="AN101" s="62">
        <f>IF(N($AL101)&gt;0,INDEX(rLim_ADM,$AL101),IF(ISNUMBER($F101),$F101,""))</f>
        <v/>
      </c>
    </row>
    <row r="102">
      <c r="A102" s="56">
        <f>IF(NOT((COUNTA($B102:$D102)+COUNTA($G102:$L102)+COUNTA($Q102))&gt;0),"",IF($V102="Macro",COUNTIFS($V$5:$V102,"Macro",$S$5:$S102,$S102),IF(N($U102)=0,"?",COUNTIFS(INDEX($V$5:$V$1000,1):INDEX($V$5:$V$1000,$U102-4),"Macro",INDEX($S$5:$S$1000,1):INDEX($S$5:$S$1000,$U102-4),INDEX($S$5:$S$1000,$U102-4))&amp;"."&amp;COUNTIFS($U$5:$U102,$U102,$V$5:$V102,"Sub"))))</f>
        <v/>
      </c>
      <c r="B102" s="57" t="n"/>
      <c r="C102" s="58" t="n"/>
      <c r="D102" s="58" t="n"/>
      <c r="E102" s="59">
        <f>IF(N($AL102)&gt;0,INDEX(rIni_ADM,$AL102),"")</f>
        <v/>
      </c>
      <c r="F102" s="59">
        <f>IF(N($AL102)&gt;0,INDEX(rLim_ADM,$AL102),"")</f>
        <v/>
      </c>
      <c r="G102" s="59" t="n"/>
      <c r="H102" s="60" t="n"/>
      <c r="I102" s="60" t="n"/>
      <c r="J102" s="60" t="n"/>
      <c r="K102" s="60" t="n"/>
      <c r="L102" s="60" t="n"/>
      <c r="M102" s="61">
        <f>IF(NOT((COUNTA($B102:$D102)+COUNTA($G102:$L102)+COUNTA($Q102))&gt;0),"",IF($V102="Sub",IFERROR($X102/INDEX($W$5:$W$1000,$U102-4),""),IF(ISNUMBER($G102),1,IF(N($W102)&gt;0,AVERAGEIFS($X$5:$X$1000,$U$5:$U$1000,ROW(),$V$5:$V$1000,"Sub"),$X102))))</f>
        <v/>
      </c>
      <c r="N102" s="56">
        <f>IF(OR($M102="",$V102="Sub"),"",IF($M102&gt;=1,"Completado",IF($M102&gt;0,"En curso","Pendiente")))</f>
        <v/>
      </c>
      <c r="O102" s="56">
        <f>IF(OR(NOT((COUNTA($B102:$D102)+COUNTA($G102:$L102)+COUNTA($Q102))&gt;0),$V102="Sub"),"",IF(ISNUMBER($G102),IF(AND(ISNUMBER($AN102),$G102&gt;$AN102),"Cumplida con "&amp;($G102-$AN102)&amp;IF($G102-$AN102=1," día"," días")&amp;" de retraso","Cumplida"),IF(N($M102)&gt;=1,"Cumplida",IF(NOT(ISNUMBER($AN102)),"Sin fecha límite",IF($AN102&lt;FechaRef,"Vencida hace "&amp;(FechaRef-$AN102)&amp;IF(FechaRef-$AN102=1," día"," días"),IF($AN102=FechaRef,"Vence hoy",IF($AN102-FechaRef&lt;=DiasAlerta,"Vence en "&amp;($AN102-FechaRef)&amp;IF($AN102-FechaRef=1," día"," días"),"En plazo")))))))</f>
        <v/>
      </c>
      <c r="P102" s="62" t="n"/>
      <c r="Q102" s="58" t="n"/>
      <c r="R102" s="63">
        <f>IF(NOT((COUNTA($B102:$D102)+COUNTA($G102:$L102)+COUNTA($Q102))&gt;0),"",IF((IF($C102="","Falta el nombre de la actividad"&amp;" · ","")&amp;IF(AND($V102="Sub",N($U102)=0),"Subactividad sin macroactividad arriba"&amp;" · ","")&amp;IF($AM102="","Sin fecha de inicio"&amp;" · ","")&amp;IF($AN102="","Sin fecha límite"&amp;" · ","")&amp;IF(AND(LEFT($C102,11)="[Jefatura] ",N($AL102)=0),"No se encuentra en la hoja de la jefatura (elíjala de nuevo en la lista)"&amp;" · ","")&amp;IF(OR(AND($E102&lt;&gt;"",NOT(ISNUMBER($E102))),AND($F102&lt;&gt;"",NOT(ISNUMBER($F102))),AND($G102&lt;&gt;"",NOT(ISNUMBER($G102)))),"Fecha no válida"&amp;" · ","")&amp;IF(AND(ISNUMBER($AM102),ISNUMBER($AN102),$AM102&gt;$AN102),"Inicio posterior a fecha límite"&amp;" · ","")&amp;IF(AND($V102="Macro",$H102&lt;&gt;"",OR(NOT(ISNUMBER($H102)),$H102&lt;0,$H102&gt;1)),"Peso fuera de rango"&amp;" · ","")&amp;IF(AND($V102="Sub",$H102&lt;&gt;""),"Las subactividades no llevan peso (valen igual dentro de su macroactividad)"&amp;" · ","")&amp;IF(AND(N($W102)&gt;0,COUNT($I102:$L102)&gt;0),"Con subactividades: deje vacías las semanas (se calculan solas)"&amp;" · ","")&amp;IF((COUNTIF($I102:$L102,"&gt;1")+COUNTIF($I102:$L102,"&lt;0")+COUNTA($I102:$L102)-COUNT($I102:$L102))&gt;0,"Avance fuera de rango 0-100%"&amp;" · ","")&amp;IF(OR(AND($J102&lt;&gt;"",$J102&lt;$I102),AND($K102&lt;&gt;"",$K102&lt;MAX($I102:$J102)),AND($L102&lt;&gt;"",$L102&lt;MAX($I102:$K102))),"Avance semanal decreciente"&amp;" · ","")&amp;IF(AND(ISNUMBER($AN102),$AN102&lt;FechaRef,IF($V102="Sub",N($X102),N($M102))&lt;1),"Vencida"&amp;" · ","")&amp;IF(AND(ObsObligatoria="Sí",ISNUMBER($AN102),$AN102&lt;FechaRef,IF($V102="Sub",N($X102),N($M102))&lt;1,$Q102=""),"Vencida sin observación"&amp;" · ",""))="","✔ OK","⚠ "&amp;LEFT(IF($C102="","Falta el nombre de la actividad"&amp;" · ","")&amp;IF(AND($V102="Sub",N($U102)=0),"Subactividad sin macroactividad arriba"&amp;" · ","")&amp;IF($AM102="","Sin fecha de inicio"&amp;" · ","")&amp;IF($AN102="","Sin fecha límite"&amp;" · ","")&amp;IF(AND(LEFT($C102,11)="[Jefatura] ",N($AL102)=0),"No se encuentra en la hoja de la jefatura (elíjala de nuevo en la lista)"&amp;" · ","")&amp;IF(OR(AND($E102&lt;&gt;"",NOT(ISNUMBER($E102))),AND($F102&lt;&gt;"",NOT(ISNUMBER($F102))),AND($G102&lt;&gt;"",NOT(ISNUMBER($G102)))),"Fecha no válida"&amp;" · ","")&amp;IF(AND(ISNUMBER($AM102),ISNUMBER($AN102),$AM102&gt;$AN102),"Inicio posterior a fecha límite"&amp;" · ","")&amp;IF(AND($V102="Macro",$H102&lt;&gt;"",OR(NOT(ISNUMBER($H102)),$H102&lt;0,$H102&gt;1)),"Peso fuera de rango"&amp;" · ","")&amp;IF(AND($V102="Sub",$H102&lt;&gt;""),"Las subactividades no llevan peso (valen igual dentro de su macroactividad)"&amp;" · ","")&amp;IF(AND(N($W102)&gt;0,COUNT($I102:$L102)&gt;0),"Con subactividades: deje vacías las semanas (se calculan solas)"&amp;" · ","")&amp;IF((COUNTIF($I102:$L102,"&gt;1")+COUNTIF($I102:$L102,"&lt;0")+COUNTA($I102:$L102)-COUNT($I102:$L102))&gt;0,"Avance fuera de rango 0-100%"&amp;" · ","")&amp;IF(OR(AND($J102&lt;&gt;"",$J102&lt;$I102),AND($K102&lt;&gt;"",$K102&lt;MAX($I102:$J102)),AND($L102&lt;&gt;"",$L102&lt;MAX($I102:$K102))),"Avance semanal decreciente"&amp;" · ","")&amp;IF(AND(ISNUMBER($AN102),$AN102&lt;FechaRef,IF($V102="Sub",N($X102),N($M102))&lt;1),"Vencida"&amp;" · ","")&amp;IF(AND(ObsObligatoria="Sí",ISNUMBER($AN102),$AN102&lt;FechaRef,IF($V102="Sub",N($X102),N($M102))&lt;1,$Q102=""),"Vencida sin observación"&amp;" · ",""),LEN(IF($C102="","Falta el nombre de la actividad"&amp;" · ","")&amp;IF(AND($V102="Sub",N($U102)=0),"Subactividad sin macroactividad arriba"&amp;" · ","")&amp;IF($AM102="","Sin fecha de inicio"&amp;" · ","")&amp;IF($AN102="","Sin fecha límite"&amp;" · ","")&amp;IF(AND(LEFT($C102,11)="[Jefatura] ",N($AL102)=0),"No se encuentra en la hoja de la jefatura (elíjala de nuevo en la lista)"&amp;" · ","")&amp;IF(OR(AND($E102&lt;&gt;"",NOT(ISNUMBER($E102))),AND($F102&lt;&gt;"",NOT(ISNUMBER($F102))),AND($G102&lt;&gt;"",NOT(ISNUMBER($G102)))),"Fecha no válida"&amp;" · ","")&amp;IF(AND(ISNUMBER($AM102),ISNUMBER($AN102),$AM102&gt;$AN102),"Inicio posterior a fecha límite"&amp;" · ","")&amp;IF(AND($V102="Macro",$H102&lt;&gt;"",OR(NOT(ISNUMBER($H102)),$H102&lt;0,$H102&gt;1)),"Peso fuera de rango"&amp;" · ","")&amp;IF(AND($V102="Sub",$H102&lt;&gt;""),"Las subactividades no llevan peso (valen igual dentro de su macroactividad)"&amp;" · ","")&amp;IF(AND(N($W102)&gt;0,COUNT($I102:$L102)&gt;0),"Con subactividades: deje vacías las semanas (se calculan solas)"&amp;" · ","")&amp;IF((COUNTIF($I102:$L102,"&gt;1")+COUNTIF($I102:$L102,"&lt;0")+COUNTA($I102:$L102)-COUNT($I102:$L102))&gt;0,"Avance fuera de rango 0-100%"&amp;" · ","")&amp;IF(OR(AND($J102&lt;&gt;"",$J102&lt;$I102),AND($K102&lt;&gt;"",$K102&lt;MAX($I102:$J102)),AND($L102&lt;&gt;"",$L102&lt;MAX($I102:$K102))),"Avance semanal decreciente"&amp;" · ","")&amp;IF(AND(ISNUMBER($AN102),$AN102&lt;FechaRef,IF($V102="Sub",N($X102),N($M102))&lt;1),"Vencida"&amp;" · ","")&amp;IF(AND(ObsObligatoria="Sí",ISNUMBER($AN102),$AN102&lt;FechaRef,IF($V102="Sub",N($X102),N($M102))&lt;1,$Q102=""),"Vencida sin observación"&amp;" · ",""))-3)))</f>
        <v/>
      </c>
      <c r="S102" s="64">
        <f>IF(NOT((COUNTA($B102:$D102)+COUNTA($G102:$L102)+COUNTA($Q102))&gt;0),"",IF(AND($V102="Sub",N($U102)&gt;0),IF(ISNUMBER(INDEX($AM$5:$AM$1000,$U102-4)),DATE(YEAR(INDEX($AM$5:$AM$1000,$U102-4)),MONTH(INDEX($AM$5:$AM$1000,$U102-4)),1),IF(ISNUMBER(INDEX($AN$5:$AN$1000,$U102-4)),DATE(YEAR(INDEX($AN$5:$AN$1000,$U102-4)),MONTH(INDEX($AN$5:$AN$1000,$U102-4)),1),MesCiclo)),IF(ISNUMBER($AM102),DATE(YEAR($AM102),MONTH($AM102),1),IF(ISNUMBER($AN102),DATE(YEAR($AN102),MONTH($AN102),1),MesCiclo))))</f>
        <v/>
      </c>
      <c r="T102" s="62">
        <f>IF(OR($S102="",$S102&lt;&gt;MesCiclo,$V102&lt;&gt;"Macro"),"",COUNTIFS($S$5:$S102,MesCiclo,$V$5:$V102,"Macro"))</f>
        <v/>
      </c>
      <c r="U102" s="62">
        <f>IF($V102="","",IF($V102="Macro",ROW(),IFERROR(LOOKUP(2,1/($V$5:$V102="Macro"),ROW($V$5:$V102)),0)))</f>
        <v/>
      </c>
      <c r="V102" s="62">
        <f>IF(NOT((COUNTA($B102:$D102)+COUNTA($G102:$L102)+COUNTA($Q102))&gt;0),"",IF($B102="Subactividad","Sub","Macro"))</f>
        <v/>
      </c>
      <c r="W102" s="62">
        <f>IF($V102="Macro",COUNTIFS($U$5:$U$1000,ROW(),$V$5:$V$1000,"Sub"),"")</f>
        <v/>
      </c>
      <c r="X102" s="62">
        <f>IF($V102="","",IF(ISNUMBER($G102),1,IFERROR(LOOKUP(2,1/($I102:$L102&lt;&gt;""),$I102:$L102),0)))</f>
        <v/>
      </c>
      <c r="Y102" s="62">
        <f>IF($V102="","",IF(AND(ISNUMBER($G102),$G102&lt;=IF($S102=MesCiclo,InicioCiclo,$S102+MOD(2-WEEKDAY($S102),7))+6),1,IF(ISNUMBER($I102),$I102,0)))</f>
        <v/>
      </c>
      <c r="Z102" s="62">
        <f>IF($V102="","",IF(AND(ISNUMBER($G102),$G102&lt;=IF($S102=MesCiclo,InicioCiclo,$S102+MOD(2-WEEKDAY($S102),7))+13),1,IF(ISNUMBER($J102),$J102,$Y102)))</f>
        <v/>
      </c>
      <c r="AA102" s="62">
        <f>IF($V102="","",IF(AND(ISNUMBER($G102),$G102&lt;=IF($S102=MesCiclo,InicioCiclo,$S102+MOD(2-WEEKDAY($S102),7))+20),1,IF(ISNUMBER($K102),$K102,$Z102)))</f>
        <v/>
      </c>
      <c r="AB102" s="62">
        <f>IF($V102="","",IF(AND(ISNUMBER($G102),$G102&lt;=IF($S102=MesCiclo,InicioCiclo,$S102+MOD(2-WEEKDAY($S102),7))+27),1,IF(ISNUMBER($L102),$L102,$AA102)))</f>
        <v/>
      </c>
      <c r="AC102" s="62">
        <f>IF($V102="","",IF(AND(ISNUMBER($G102),$G102&lt;=IF($S102=MesCiclo,InicioCiclo,$S102+MOD(2-WEEKDAY($S102),7))+6),1,IF(N($W102)&gt;0,AVERAGEIFS($Y$5:$Y$1000,$U$5:$U$1000,ROW(),$V$5:$V$1000,"Sub"),$Y102)))</f>
        <v/>
      </c>
      <c r="AD102" s="62">
        <f>IF($V102="","",IF(AND(ISNUMBER($G102),$G102&lt;=IF($S102=MesCiclo,InicioCiclo,$S102+MOD(2-WEEKDAY($S102),7))+13),1,IF(N($W102)&gt;0,AVERAGEIFS($Z$5:$Z$1000,$U$5:$U$1000,ROW(),$V$5:$V$1000,"Sub"),$Z102)))</f>
        <v/>
      </c>
      <c r="AE102" s="62">
        <f>IF($V102="","",IF(AND(ISNUMBER($G102),$G102&lt;=IF($S102=MesCiclo,InicioCiclo,$S102+MOD(2-WEEKDAY($S102),7))+20),1,IF(N($W102)&gt;0,AVERAGEIFS($AA$5:$AA$1000,$U$5:$U$1000,ROW(),$V$5:$V$1000,"Sub"),$AA102)))</f>
        <v/>
      </c>
      <c r="AF102" s="62">
        <f>IF($V102="","",IF(AND(ISNUMBER($G102),$G102&lt;=IF($S102=MesCiclo,InicioCiclo,$S102+MOD(2-WEEKDAY($S102),7))+27),1,IF(N($W102)&gt;0,AVERAGEIFS($AB$5:$AB$1000,$U$5:$U$1000,ROW(),$V$5:$V$1000,"Sub"),$AB102)))</f>
        <v/>
      </c>
      <c r="AG102" s="62">
        <f>IF($V102&lt;&gt;"Macro","",IF(COUNTIFS($S$5:$S$1000,$S102,$V$5:$V$1000,"Macro",$H$5:$H$1000,"&gt;0")=0,1/COUNTIFS($S$5:$S$1000,$S102,$V$5:$V$1000,"Macro"),IF(AND(ISNUMBER($H102),N($H102)&gt;0),$H102,SUMIFS($H$5:$H$1000,$S$5:$S$1000,$S102,$V$5:$V$1000,"Macro")/COUNTIFS($S$5:$S$1000,$S102,$V$5:$V$1000,"Macro",$H$5:$H$1000,"&gt;0"))/(COUNTIFS($S$5:$S$1000,$S102,$V$5:$V$1000,"Macro")*SUMIFS($H$5:$H$1000,$S$5:$S$1000,$S102,$V$5:$V$1000,"Macro")/COUNTIFS($S$5:$S$1000,$S102,$V$5:$V$1000,"Macro",$H$5:$H$1000,"&gt;0"))))</f>
        <v/>
      </c>
      <c r="AH102" s="62" t="n"/>
      <c r="AI102" s="62" t="n"/>
      <c r="AJ102" s="62" t="n"/>
      <c r="AK102" s="62" t="n"/>
      <c r="AL102" s="62">
        <f>IF(LEFT($C102,11)="[Jefatura] ",IFERROR(MATCH("Riesgo Financiero|"&amp;MID($C102,12,500),rDname_ADM,0),0),"")</f>
        <v/>
      </c>
      <c r="AM102" s="62">
        <f>IF(N($AL102)&gt;0,INDEX(rIni_ADM,$AL102),IF(ISNUMBER($E102),$E102,""))</f>
        <v/>
      </c>
      <c r="AN102" s="62">
        <f>IF(N($AL102)&gt;0,INDEX(rLim_ADM,$AL102),IF(ISNUMBER($F102),$F102,""))</f>
        <v/>
      </c>
    </row>
    <row r="103">
      <c r="A103" s="56">
        <f>IF(NOT((COUNTA($B103:$D103)+COUNTA($G103:$L103)+COUNTA($Q103))&gt;0),"",IF($V103="Macro",COUNTIFS($V$5:$V103,"Macro",$S$5:$S103,$S103),IF(N($U103)=0,"?",COUNTIFS(INDEX($V$5:$V$1000,1):INDEX($V$5:$V$1000,$U103-4),"Macro",INDEX($S$5:$S$1000,1):INDEX($S$5:$S$1000,$U103-4),INDEX($S$5:$S$1000,$U103-4))&amp;"."&amp;COUNTIFS($U$5:$U103,$U103,$V$5:$V103,"Sub"))))</f>
        <v/>
      </c>
      <c r="B103" s="57" t="n"/>
      <c r="C103" s="58" t="n"/>
      <c r="D103" s="58" t="n"/>
      <c r="E103" s="59">
        <f>IF(N($AL103)&gt;0,INDEX(rIni_ADM,$AL103),"")</f>
        <v/>
      </c>
      <c r="F103" s="59">
        <f>IF(N($AL103)&gt;0,INDEX(rLim_ADM,$AL103),"")</f>
        <v/>
      </c>
      <c r="G103" s="59" t="n"/>
      <c r="H103" s="60" t="n"/>
      <c r="I103" s="60" t="n"/>
      <c r="J103" s="60" t="n"/>
      <c r="K103" s="60" t="n"/>
      <c r="L103" s="60" t="n"/>
      <c r="M103" s="61">
        <f>IF(NOT((COUNTA($B103:$D103)+COUNTA($G103:$L103)+COUNTA($Q103))&gt;0),"",IF($V103="Sub",IFERROR($X103/INDEX($W$5:$W$1000,$U103-4),""),IF(ISNUMBER($G103),1,IF(N($W103)&gt;0,AVERAGEIFS($X$5:$X$1000,$U$5:$U$1000,ROW(),$V$5:$V$1000,"Sub"),$X103))))</f>
        <v/>
      </c>
      <c r="N103" s="56">
        <f>IF(OR($M103="",$V103="Sub"),"",IF($M103&gt;=1,"Completado",IF($M103&gt;0,"En curso","Pendiente")))</f>
        <v/>
      </c>
      <c r="O103" s="56">
        <f>IF(OR(NOT((COUNTA($B103:$D103)+COUNTA($G103:$L103)+COUNTA($Q103))&gt;0),$V103="Sub"),"",IF(ISNUMBER($G103),IF(AND(ISNUMBER($AN103),$G103&gt;$AN103),"Cumplida con "&amp;($G103-$AN103)&amp;IF($G103-$AN103=1," día"," días")&amp;" de retraso","Cumplida"),IF(N($M103)&gt;=1,"Cumplida",IF(NOT(ISNUMBER($AN103)),"Sin fecha límite",IF($AN103&lt;FechaRef,"Vencida hace "&amp;(FechaRef-$AN103)&amp;IF(FechaRef-$AN103=1," día"," días"),IF($AN103=FechaRef,"Vence hoy",IF($AN103-FechaRef&lt;=DiasAlerta,"Vence en "&amp;($AN103-FechaRef)&amp;IF($AN103-FechaRef=1," día"," días"),"En plazo")))))))</f>
        <v/>
      </c>
      <c r="P103" s="62" t="n"/>
      <c r="Q103" s="58" t="n"/>
      <c r="R103" s="63">
        <f>IF(NOT((COUNTA($B103:$D103)+COUNTA($G103:$L103)+COUNTA($Q103))&gt;0),"",IF((IF($C103="","Falta el nombre de la actividad"&amp;" · ","")&amp;IF(AND($V103="Sub",N($U103)=0),"Subactividad sin macroactividad arriba"&amp;" · ","")&amp;IF($AM103="","Sin fecha de inicio"&amp;" · ","")&amp;IF($AN103="","Sin fecha límite"&amp;" · ","")&amp;IF(AND(LEFT($C103,11)="[Jefatura] ",N($AL103)=0),"No se encuentra en la hoja de la jefatura (elíjala de nuevo en la lista)"&amp;" · ","")&amp;IF(OR(AND($E103&lt;&gt;"",NOT(ISNUMBER($E103))),AND($F103&lt;&gt;"",NOT(ISNUMBER($F103))),AND($G103&lt;&gt;"",NOT(ISNUMBER($G103)))),"Fecha no válida"&amp;" · ","")&amp;IF(AND(ISNUMBER($AM103),ISNUMBER($AN103),$AM103&gt;$AN103),"Inicio posterior a fecha límite"&amp;" · ","")&amp;IF(AND($V103="Macro",$H103&lt;&gt;"",OR(NOT(ISNUMBER($H103)),$H103&lt;0,$H103&gt;1)),"Peso fuera de rango"&amp;" · ","")&amp;IF(AND($V103="Sub",$H103&lt;&gt;""),"Las subactividades no llevan peso (valen igual dentro de su macroactividad)"&amp;" · ","")&amp;IF(AND(N($W103)&gt;0,COUNT($I103:$L103)&gt;0),"Con subactividades: deje vacías las semanas (se calculan solas)"&amp;" · ","")&amp;IF((COUNTIF($I103:$L103,"&gt;1")+COUNTIF($I103:$L103,"&lt;0")+COUNTA($I103:$L103)-COUNT($I103:$L103))&gt;0,"Avance fuera de rango 0-100%"&amp;" · ","")&amp;IF(OR(AND($J103&lt;&gt;"",$J103&lt;$I103),AND($K103&lt;&gt;"",$K103&lt;MAX($I103:$J103)),AND($L103&lt;&gt;"",$L103&lt;MAX($I103:$K103))),"Avance semanal decreciente"&amp;" · ","")&amp;IF(AND(ISNUMBER($AN103),$AN103&lt;FechaRef,IF($V103="Sub",N($X103),N($M103))&lt;1),"Vencida"&amp;" · ","")&amp;IF(AND(ObsObligatoria="Sí",ISNUMBER($AN103),$AN103&lt;FechaRef,IF($V103="Sub",N($X103),N($M103))&lt;1,$Q103=""),"Vencida sin observación"&amp;" · ",""))="","✔ OK","⚠ "&amp;LEFT(IF($C103="","Falta el nombre de la actividad"&amp;" · ","")&amp;IF(AND($V103="Sub",N($U103)=0),"Subactividad sin macroactividad arriba"&amp;" · ","")&amp;IF($AM103="","Sin fecha de inicio"&amp;" · ","")&amp;IF($AN103="","Sin fecha límite"&amp;" · ","")&amp;IF(AND(LEFT($C103,11)="[Jefatura] ",N($AL103)=0),"No se encuentra en la hoja de la jefatura (elíjala de nuevo en la lista)"&amp;" · ","")&amp;IF(OR(AND($E103&lt;&gt;"",NOT(ISNUMBER($E103))),AND($F103&lt;&gt;"",NOT(ISNUMBER($F103))),AND($G103&lt;&gt;"",NOT(ISNUMBER($G103)))),"Fecha no válida"&amp;" · ","")&amp;IF(AND(ISNUMBER($AM103),ISNUMBER($AN103),$AM103&gt;$AN103),"Inicio posterior a fecha límite"&amp;" · ","")&amp;IF(AND($V103="Macro",$H103&lt;&gt;"",OR(NOT(ISNUMBER($H103)),$H103&lt;0,$H103&gt;1)),"Peso fuera de rango"&amp;" · ","")&amp;IF(AND($V103="Sub",$H103&lt;&gt;""),"Las subactividades no llevan peso (valen igual dentro de su macroactividad)"&amp;" · ","")&amp;IF(AND(N($W103)&gt;0,COUNT($I103:$L103)&gt;0),"Con subactividades: deje vacías las semanas (se calculan solas)"&amp;" · ","")&amp;IF((COUNTIF($I103:$L103,"&gt;1")+COUNTIF($I103:$L103,"&lt;0")+COUNTA($I103:$L103)-COUNT($I103:$L103))&gt;0,"Avance fuera de rango 0-100%"&amp;" · ","")&amp;IF(OR(AND($J103&lt;&gt;"",$J103&lt;$I103),AND($K103&lt;&gt;"",$K103&lt;MAX($I103:$J103)),AND($L103&lt;&gt;"",$L103&lt;MAX($I103:$K103))),"Avance semanal decreciente"&amp;" · ","")&amp;IF(AND(ISNUMBER($AN103),$AN103&lt;FechaRef,IF($V103="Sub",N($X103),N($M103))&lt;1),"Vencida"&amp;" · ","")&amp;IF(AND(ObsObligatoria="Sí",ISNUMBER($AN103),$AN103&lt;FechaRef,IF($V103="Sub",N($X103),N($M103))&lt;1,$Q103=""),"Vencida sin observación"&amp;" · ",""),LEN(IF($C103="","Falta el nombre de la actividad"&amp;" · ","")&amp;IF(AND($V103="Sub",N($U103)=0),"Subactividad sin macroactividad arriba"&amp;" · ","")&amp;IF($AM103="","Sin fecha de inicio"&amp;" · ","")&amp;IF($AN103="","Sin fecha límite"&amp;" · ","")&amp;IF(AND(LEFT($C103,11)="[Jefatura] ",N($AL103)=0),"No se encuentra en la hoja de la jefatura (elíjala de nuevo en la lista)"&amp;" · ","")&amp;IF(OR(AND($E103&lt;&gt;"",NOT(ISNUMBER($E103))),AND($F103&lt;&gt;"",NOT(ISNUMBER($F103))),AND($G103&lt;&gt;"",NOT(ISNUMBER($G103)))),"Fecha no válida"&amp;" · ","")&amp;IF(AND(ISNUMBER($AM103),ISNUMBER($AN103),$AM103&gt;$AN103),"Inicio posterior a fecha límite"&amp;" · ","")&amp;IF(AND($V103="Macro",$H103&lt;&gt;"",OR(NOT(ISNUMBER($H103)),$H103&lt;0,$H103&gt;1)),"Peso fuera de rango"&amp;" · ","")&amp;IF(AND($V103="Sub",$H103&lt;&gt;""),"Las subactividades no llevan peso (valen igual dentro de su macroactividad)"&amp;" · ","")&amp;IF(AND(N($W103)&gt;0,COUNT($I103:$L103)&gt;0),"Con subactividades: deje vacías las semanas (se calculan solas)"&amp;" · ","")&amp;IF((COUNTIF($I103:$L103,"&gt;1")+COUNTIF($I103:$L103,"&lt;0")+COUNTA($I103:$L103)-COUNT($I103:$L103))&gt;0,"Avance fuera de rango 0-100%"&amp;" · ","")&amp;IF(OR(AND($J103&lt;&gt;"",$J103&lt;$I103),AND($K103&lt;&gt;"",$K103&lt;MAX($I103:$J103)),AND($L103&lt;&gt;"",$L103&lt;MAX($I103:$K103))),"Avance semanal decreciente"&amp;" · ","")&amp;IF(AND(ISNUMBER($AN103),$AN103&lt;FechaRef,IF($V103="Sub",N($X103),N($M103))&lt;1),"Vencida"&amp;" · ","")&amp;IF(AND(ObsObligatoria="Sí",ISNUMBER($AN103),$AN103&lt;FechaRef,IF($V103="Sub",N($X103),N($M103))&lt;1,$Q103=""),"Vencida sin observación"&amp;" · ",""))-3)))</f>
        <v/>
      </c>
      <c r="S103" s="64">
        <f>IF(NOT((COUNTA($B103:$D103)+COUNTA($G103:$L103)+COUNTA($Q103))&gt;0),"",IF(AND($V103="Sub",N($U103)&gt;0),IF(ISNUMBER(INDEX($AM$5:$AM$1000,$U103-4)),DATE(YEAR(INDEX($AM$5:$AM$1000,$U103-4)),MONTH(INDEX($AM$5:$AM$1000,$U103-4)),1),IF(ISNUMBER(INDEX($AN$5:$AN$1000,$U103-4)),DATE(YEAR(INDEX($AN$5:$AN$1000,$U103-4)),MONTH(INDEX($AN$5:$AN$1000,$U103-4)),1),MesCiclo)),IF(ISNUMBER($AM103),DATE(YEAR($AM103),MONTH($AM103),1),IF(ISNUMBER($AN103),DATE(YEAR($AN103),MONTH($AN103),1),MesCiclo))))</f>
        <v/>
      </c>
      <c r="T103" s="62">
        <f>IF(OR($S103="",$S103&lt;&gt;MesCiclo,$V103&lt;&gt;"Macro"),"",COUNTIFS($S$5:$S103,MesCiclo,$V$5:$V103,"Macro"))</f>
        <v/>
      </c>
      <c r="U103" s="62">
        <f>IF($V103="","",IF($V103="Macro",ROW(),IFERROR(LOOKUP(2,1/($V$5:$V103="Macro"),ROW($V$5:$V103)),0)))</f>
        <v/>
      </c>
      <c r="V103" s="62">
        <f>IF(NOT((COUNTA($B103:$D103)+COUNTA($G103:$L103)+COUNTA($Q103))&gt;0),"",IF($B103="Subactividad","Sub","Macro"))</f>
        <v/>
      </c>
      <c r="W103" s="62">
        <f>IF($V103="Macro",COUNTIFS($U$5:$U$1000,ROW(),$V$5:$V$1000,"Sub"),"")</f>
        <v/>
      </c>
      <c r="X103" s="62">
        <f>IF($V103="","",IF(ISNUMBER($G103),1,IFERROR(LOOKUP(2,1/($I103:$L103&lt;&gt;""),$I103:$L103),0)))</f>
        <v/>
      </c>
      <c r="Y103" s="62">
        <f>IF($V103="","",IF(AND(ISNUMBER($G103),$G103&lt;=IF($S103=MesCiclo,InicioCiclo,$S103+MOD(2-WEEKDAY($S103),7))+6),1,IF(ISNUMBER($I103),$I103,0)))</f>
        <v/>
      </c>
      <c r="Z103" s="62">
        <f>IF($V103="","",IF(AND(ISNUMBER($G103),$G103&lt;=IF($S103=MesCiclo,InicioCiclo,$S103+MOD(2-WEEKDAY($S103),7))+13),1,IF(ISNUMBER($J103),$J103,$Y103)))</f>
        <v/>
      </c>
      <c r="AA103" s="62">
        <f>IF($V103="","",IF(AND(ISNUMBER($G103),$G103&lt;=IF($S103=MesCiclo,InicioCiclo,$S103+MOD(2-WEEKDAY($S103),7))+20),1,IF(ISNUMBER($K103),$K103,$Z103)))</f>
        <v/>
      </c>
      <c r="AB103" s="62">
        <f>IF($V103="","",IF(AND(ISNUMBER($G103),$G103&lt;=IF($S103=MesCiclo,InicioCiclo,$S103+MOD(2-WEEKDAY($S103),7))+27),1,IF(ISNUMBER($L103),$L103,$AA103)))</f>
        <v/>
      </c>
      <c r="AC103" s="62">
        <f>IF($V103="","",IF(AND(ISNUMBER($G103),$G103&lt;=IF($S103=MesCiclo,InicioCiclo,$S103+MOD(2-WEEKDAY($S103),7))+6),1,IF(N($W103)&gt;0,AVERAGEIFS($Y$5:$Y$1000,$U$5:$U$1000,ROW(),$V$5:$V$1000,"Sub"),$Y103)))</f>
        <v/>
      </c>
      <c r="AD103" s="62">
        <f>IF($V103="","",IF(AND(ISNUMBER($G103),$G103&lt;=IF($S103=MesCiclo,InicioCiclo,$S103+MOD(2-WEEKDAY($S103),7))+13),1,IF(N($W103)&gt;0,AVERAGEIFS($Z$5:$Z$1000,$U$5:$U$1000,ROW(),$V$5:$V$1000,"Sub"),$Z103)))</f>
        <v/>
      </c>
      <c r="AE103" s="62">
        <f>IF($V103="","",IF(AND(ISNUMBER($G103),$G103&lt;=IF($S103=MesCiclo,InicioCiclo,$S103+MOD(2-WEEKDAY($S103),7))+20),1,IF(N($W103)&gt;0,AVERAGEIFS($AA$5:$AA$1000,$U$5:$U$1000,ROW(),$V$5:$V$1000,"Sub"),$AA103)))</f>
        <v/>
      </c>
      <c r="AF103" s="62">
        <f>IF($V103="","",IF(AND(ISNUMBER($G103),$G103&lt;=IF($S103=MesCiclo,InicioCiclo,$S103+MOD(2-WEEKDAY($S103),7))+27),1,IF(N($W103)&gt;0,AVERAGEIFS($AB$5:$AB$1000,$U$5:$U$1000,ROW(),$V$5:$V$1000,"Sub"),$AB103)))</f>
        <v/>
      </c>
      <c r="AG103" s="62">
        <f>IF($V103&lt;&gt;"Macro","",IF(COUNTIFS($S$5:$S$1000,$S103,$V$5:$V$1000,"Macro",$H$5:$H$1000,"&gt;0")=0,1/COUNTIFS($S$5:$S$1000,$S103,$V$5:$V$1000,"Macro"),IF(AND(ISNUMBER($H103),N($H103)&gt;0),$H103,SUMIFS($H$5:$H$1000,$S$5:$S$1000,$S103,$V$5:$V$1000,"Macro")/COUNTIFS($S$5:$S$1000,$S103,$V$5:$V$1000,"Macro",$H$5:$H$1000,"&gt;0"))/(COUNTIFS($S$5:$S$1000,$S103,$V$5:$V$1000,"Macro")*SUMIFS($H$5:$H$1000,$S$5:$S$1000,$S103,$V$5:$V$1000,"Macro")/COUNTIFS($S$5:$S$1000,$S103,$V$5:$V$1000,"Macro",$H$5:$H$1000,"&gt;0"))))</f>
        <v/>
      </c>
      <c r="AH103" s="62" t="n"/>
      <c r="AI103" s="62" t="n"/>
      <c r="AJ103" s="62" t="n"/>
      <c r="AK103" s="62" t="n"/>
      <c r="AL103" s="62">
        <f>IF(LEFT($C103,11)="[Jefatura] ",IFERROR(MATCH("Riesgo Financiero|"&amp;MID($C103,12,500),rDname_ADM,0),0),"")</f>
        <v/>
      </c>
      <c r="AM103" s="62">
        <f>IF(N($AL103)&gt;0,INDEX(rIni_ADM,$AL103),IF(ISNUMBER($E103),$E103,""))</f>
        <v/>
      </c>
      <c r="AN103" s="62">
        <f>IF(N($AL103)&gt;0,INDEX(rLim_ADM,$AL103),IF(ISNUMBER($F103),$F103,""))</f>
        <v/>
      </c>
    </row>
    <row r="104">
      <c r="A104" s="56">
        <f>IF(NOT((COUNTA($B104:$D104)+COUNTA($G104:$L104)+COUNTA($Q104))&gt;0),"",IF($V104="Macro",COUNTIFS($V$5:$V104,"Macro",$S$5:$S104,$S104),IF(N($U104)=0,"?",COUNTIFS(INDEX($V$5:$V$1000,1):INDEX($V$5:$V$1000,$U104-4),"Macro",INDEX($S$5:$S$1000,1):INDEX($S$5:$S$1000,$U104-4),INDEX($S$5:$S$1000,$U104-4))&amp;"."&amp;COUNTIFS($U$5:$U104,$U104,$V$5:$V104,"Sub"))))</f>
        <v/>
      </c>
      <c r="B104" s="57" t="n"/>
      <c r="C104" s="58" t="n"/>
      <c r="D104" s="58" t="n"/>
      <c r="E104" s="59">
        <f>IF(N($AL104)&gt;0,INDEX(rIni_ADM,$AL104),"")</f>
        <v/>
      </c>
      <c r="F104" s="59">
        <f>IF(N($AL104)&gt;0,INDEX(rLim_ADM,$AL104),"")</f>
        <v/>
      </c>
      <c r="G104" s="59" t="n"/>
      <c r="H104" s="60" t="n"/>
      <c r="I104" s="60" t="n"/>
      <c r="J104" s="60" t="n"/>
      <c r="K104" s="60" t="n"/>
      <c r="L104" s="60" t="n"/>
      <c r="M104" s="61">
        <f>IF(NOT((COUNTA($B104:$D104)+COUNTA($G104:$L104)+COUNTA($Q104))&gt;0),"",IF($V104="Sub",IFERROR($X104/INDEX($W$5:$W$1000,$U104-4),""),IF(ISNUMBER($G104),1,IF(N($W104)&gt;0,AVERAGEIFS($X$5:$X$1000,$U$5:$U$1000,ROW(),$V$5:$V$1000,"Sub"),$X104))))</f>
        <v/>
      </c>
      <c r="N104" s="56">
        <f>IF(OR($M104="",$V104="Sub"),"",IF($M104&gt;=1,"Completado",IF($M104&gt;0,"En curso","Pendiente")))</f>
        <v/>
      </c>
      <c r="O104" s="56">
        <f>IF(OR(NOT((COUNTA($B104:$D104)+COUNTA($G104:$L104)+COUNTA($Q104))&gt;0),$V104="Sub"),"",IF(ISNUMBER($G104),IF(AND(ISNUMBER($AN104),$G104&gt;$AN104),"Cumplida con "&amp;($G104-$AN104)&amp;IF($G104-$AN104=1," día"," días")&amp;" de retraso","Cumplida"),IF(N($M104)&gt;=1,"Cumplida",IF(NOT(ISNUMBER($AN104)),"Sin fecha límite",IF($AN104&lt;FechaRef,"Vencida hace "&amp;(FechaRef-$AN104)&amp;IF(FechaRef-$AN104=1," día"," días"),IF($AN104=FechaRef,"Vence hoy",IF($AN104-FechaRef&lt;=DiasAlerta,"Vence en "&amp;($AN104-FechaRef)&amp;IF($AN104-FechaRef=1," día"," días"),"En plazo")))))))</f>
        <v/>
      </c>
      <c r="P104" s="62" t="n"/>
      <c r="Q104" s="58" t="n"/>
      <c r="R104" s="63">
        <f>IF(NOT((COUNTA($B104:$D104)+COUNTA($G104:$L104)+COUNTA($Q104))&gt;0),"",IF((IF($C104="","Falta el nombre de la actividad"&amp;" · ","")&amp;IF(AND($V104="Sub",N($U104)=0),"Subactividad sin macroactividad arriba"&amp;" · ","")&amp;IF($AM104="","Sin fecha de inicio"&amp;" · ","")&amp;IF($AN104="","Sin fecha límite"&amp;" · ","")&amp;IF(AND(LEFT($C104,11)="[Jefatura] ",N($AL104)=0),"No se encuentra en la hoja de la jefatura (elíjala de nuevo en la lista)"&amp;" · ","")&amp;IF(OR(AND($E104&lt;&gt;"",NOT(ISNUMBER($E104))),AND($F104&lt;&gt;"",NOT(ISNUMBER($F104))),AND($G104&lt;&gt;"",NOT(ISNUMBER($G104)))),"Fecha no válida"&amp;" · ","")&amp;IF(AND(ISNUMBER($AM104),ISNUMBER($AN104),$AM104&gt;$AN104),"Inicio posterior a fecha límite"&amp;" · ","")&amp;IF(AND($V104="Macro",$H104&lt;&gt;"",OR(NOT(ISNUMBER($H104)),$H104&lt;0,$H104&gt;1)),"Peso fuera de rango"&amp;" · ","")&amp;IF(AND($V104="Sub",$H104&lt;&gt;""),"Las subactividades no llevan peso (valen igual dentro de su macroactividad)"&amp;" · ","")&amp;IF(AND(N($W104)&gt;0,COUNT($I104:$L104)&gt;0),"Con subactividades: deje vacías las semanas (se calculan solas)"&amp;" · ","")&amp;IF((COUNTIF($I104:$L104,"&gt;1")+COUNTIF($I104:$L104,"&lt;0")+COUNTA($I104:$L104)-COUNT($I104:$L104))&gt;0,"Avance fuera de rango 0-100%"&amp;" · ","")&amp;IF(OR(AND($J104&lt;&gt;"",$J104&lt;$I104),AND($K104&lt;&gt;"",$K104&lt;MAX($I104:$J104)),AND($L104&lt;&gt;"",$L104&lt;MAX($I104:$K104))),"Avance semanal decreciente"&amp;" · ","")&amp;IF(AND(ISNUMBER($AN104),$AN104&lt;FechaRef,IF($V104="Sub",N($X104),N($M104))&lt;1),"Vencida"&amp;" · ","")&amp;IF(AND(ObsObligatoria="Sí",ISNUMBER($AN104),$AN104&lt;FechaRef,IF($V104="Sub",N($X104),N($M104))&lt;1,$Q104=""),"Vencida sin observación"&amp;" · ",""))="","✔ OK","⚠ "&amp;LEFT(IF($C104="","Falta el nombre de la actividad"&amp;" · ","")&amp;IF(AND($V104="Sub",N($U104)=0),"Subactividad sin macroactividad arriba"&amp;" · ","")&amp;IF($AM104="","Sin fecha de inicio"&amp;" · ","")&amp;IF($AN104="","Sin fecha límite"&amp;" · ","")&amp;IF(AND(LEFT($C104,11)="[Jefatura] ",N($AL104)=0),"No se encuentra en la hoja de la jefatura (elíjala de nuevo en la lista)"&amp;" · ","")&amp;IF(OR(AND($E104&lt;&gt;"",NOT(ISNUMBER($E104))),AND($F104&lt;&gt;"",NOT(ISNUMBER($F104))),AND($G104&lt;&gt;"",NOT(ISNUMBER($G104)))),"Fecha no válida"&amp;" · ","")&amp;IF(AND(ISNUMBER($AM104),ISNUMBER($AN104),$AM104&gt;$AN104),"Inicio posterior a fecha límite"&amp;" · ","")&amp;IF(AND($V104="Macro",$H104&lt;&gt;"",OR(NOT(ISNUMBER($H104)),$H104&lt;0,$H104&gt;1)),"Peso fuera de rango"&amp;" · ","")&amp;IF(AND($V104="Sub",$H104&lt;&gt;""),"Las subactividades no llevan peso (valen igual dentro de su macroactividad)"&amp;" · ","")&amp;IF(AND(N($W104)&gt;0,COUNT($I104:$L104)&gt;0),"Con subactividades: deje vacías las semanas (se calculan solas)"&amp;" · ","")&amp;IF((COUNTIF($I104:$L104,"&gt;1")+COUNTIF($I104:$L104,"&lt;0")+COUNTA($I104:$L104)-COUNT($I104:$L104))&gt;0,"Avance fuera de rango 0-100%"&amp;" · ","")&amp;IF(OR(AND($J104&lt;&gt;"",$J104&lt;$I104),AND($K104&lt;&gt;"",$K104&lt;MAX($I104:$J104)),AND($L104&lt;&gt;"",$L104&lt;MAX($I104:$K104))),"Avance semanal decreciente"&amp;" · ","")&amp;IF(AND(ISNUMBER($AN104),$AN104&lt;FechaRef,IF($V104="Sub",N($X104),N($M104))&lt;1),"Vencida"&amp;" · ","")&amp;IF(AND(ObsObligatoria="Sí",ISNUMBER($AN104),$AN104&lt;FechaRef,IF($V104="Sub",N($X104),N($M104))&lt;1,$Q104=""),"Vencida sin observación"&amp;" · ",""),LEN(IF($C104="","Falta el nombre de la actividad"&amp;" · ","")&amp;IF(AND($V104="Sub",N($U104)=0),"Subactividad sin macroactividad arriba"&amp;" · ","")&amp;IF($AM104="","Sin fecha de inicio"&amp;" · ","")&amp;IF($AN104="","Sin fecha límite"&amp;" · ","")&amp;IF(AND(LEFT($C104,11)="[Jefatura] ",N($AL104)=0),"No se encuentra en la hoja de la jefatura (elíjala de nuevo en la lista)"&amp;" · ","")&amp;IF(OR(AND($E104&lt;&gt;"",NOT(ISNUMBER($E104))),AND($F104&lt;&gt;"",NOT(ISNUMBER($F104))),AND($G104&lt;&gt;"",NOT(ISNUMBER($G104)))),"Fecha no válida"&amp;" · ","")&amp;IF(AND(ISNUMBER($AM104),ISNUMBER($AN104),$AM104&gt;$AN104),"Inicio posterior a fecha límite"&amp;" · ","")&amp;IF(AND($V104="Macro",$H104&lt;&gt;"",OR(NOT(ISNUMBER($H104)),$H104&lt;0,$H104&gt;1)),"Peso fuera de rango"&amp;" · ","")&amp;IF(AND($V104="Sub",$H104&lt;&gt;""),"Las subactividades no llevan peso (valen igual dentro de su macroactividad)"&amp;" · ","")&amp;IF(AND(N($W104)&gt;0,COUNT($I104:$L104)&gt;0),"Con subactividades: deje vacías las semanas (se calculan solas)"&amp;" · ","")&amp;IF((COUNTIF($I104:$L104,"&gt;1")+COUNTIF($I104:$L104,"&lt;0")+COUNTA($I104:$L104)-COUNT($I104:$L104))&gt;0,"Avance fuera de rango 0-100%"&amp;" · ","")&amp;IF(OR(AND($J104&lt;&gt;"",$J104&lt;$I104),AND($K104&lt;&gt;"",$K104&lt;MAX($I104:$J104)),AND($L104&lt;&gt;"",$L104&lt;MAX($I104:$K104))),"Avance semanal decreciente"&amp;" · ","")&amp;IF(AND(ISNUMBER($AN104),$AN104&lt;FechaRef,IF($V104="Sub",N($X104),N($M104))&lt;1),"Vencida"&amp;" · ","")&amp;IF(AND(ObsObligatoria="Sí",ISNUMBER($AN104),$AN104&lt;FechaRef,IF($V104="Sub",N($X104),N($M104))&lt;1,$Q104=""),"Vencida sin observación"&amp;" · ",""))-3)))</f>
        <v/>
      </c>
      <c r="S104" s="64">
        <f>IF(NOT((COUNTA($B104:$D104)+COUNTA($G104:$L104)+COUNTA($Q104))&gt;0),"",IF(AND($V104="Sub",N($U104)&gt;0),IF(ISNUMBER(INDEX($AM$5:$AM$1000,$U104-4)),DATE(YEAR(INDEX($AM$5:$AM$1000,$U104-4)),MONTH(INDEX($AM$5:$AM$1000,$U104-4)),1),IF(ISNUMBER(INDEX($AN$5:$AN$1000,$U104-4)),DATE(YEAR(INDEX($AN$5:$AN$1000,$U104-4)),MONTH(INDEX($AN$5:$AN$1000,$U104-4)),1),MesCiclo)),IF(ISNUMBER($AM104),DATE(YEAR($AM104),MONTH($AM104),1),IF(ISNUMBER($AN104),DATE(YEAR($AN104),MONTH($AN104),1),MesCiclo))))</f>
        <v/>
      </c>
      <c r="T104" s="62">
        <f>IF(OR($S104="",$S104&lt;&gt;MesCiclo,$V104&lt;&gt;"Macro"),"",COUNTIFS($S$5:$S104,MesCiclo,$V$5:$V104,"Macro"))</f>
        <v/>
      </c>
      <c r="U104" s="62">
        <f>IF($V104="","",IF($V104="Macro",ROW(),IFERROR(LOOKUP(2,1/($V$5:$V104="Macro"),ROW($V$5:$V104)),0)))</f>
        <v/>
      </c>
      <c r="V104" s="62">
        <f>IF(NOT((COUNTA($B104:$D104)+COUNTA($G104:$L104)+COUNTA($Q104))&gt;0),"",IF($B104="Subactividad","Sub","Macro"))</f>
        <v/>
      </c>
      <c r="W104" s="62">
        <f>IF($V104="Macro",COUNTIFS($U$5:$U$1000,ROW(),$V$5:$V$1000,"Sub"),"")</f>
        <v/>
      </c>
      <c r="X104" s="62">
        <f>IF($V104="","",IF(ISNUMBER($G104),1,IFERROR(LOOKUP(2,1/($I104:$L104&lt;&gt;""),$I104:$L104),0)))</f>
        <v/>
      </c>
      <c r="Y104" s="62">
        <f>IF($V104="","",IF(AND(ISNUMBER($G104),$G104&lt;=IF($S104=MesCiclo,InicioCiclo,$S104+MOD(2-WEEKDAY($S104),7))+6),1,IF(ISNUMBER($I104),$I104,0)))</f>
        <v/>
      </c>
      <c r="Z104" s="62">
        <f>IF($V104="","",IF(AND(ISNUMBER($G104),$G104&lt;=IF($S104=MesCiclo,InicioCiclo,$S104+MOD(2-WEEKDAY($S104),7))+13),1,IF(ISNUMBER($J104),$J104,$Y104)))</f>
        <v/>
      </c>
      <c r="AA104" s="62">
        <f>IF($V104="","",IF(AND(ISNUMBER($G104),$G104&lt;=IF($S104=MesCiclo,InicioCiclo,$S104+MOD(2-WEEKDAY($S104),7))+20),1,IF(ISNUMBER($K104),$K104,$Z104)))</f>
        <v/>
      </c>
      <c r="AB104" s="62">
        <f>IF($V104="","",IF(AND(ISNUMBER($G104),$G104&lt;=IF($S104=MesCiclo,InicioCiclo,$S104+MOD(2-WEEKDAY($S104),7))+27),1,IF(ISNUMBER($L104),$L104,$AA104)))</f>
        <v/>
      </c>
      <c r="AC104" s="62">
        <f>IF($V104="","",IF(AND(ISNUMBER($G104),$G104&lt;=IF($S104=MesCiclo,InicioCiclo,$S104+MOD(2-WEEKDAY($S104),7))+6),1,IF(N($W104)&gt;0,AVERAGEIFS($Y$5:$Y$1000,$U$5:$U$1000,ROW(),$V$5:$V$1000,"Sub"),$Y104)))</f>
        <v/>
      </c>
      <c r="AD104" s="62">
        <f>IF($V104="","",IF(AND(ISNUMBER($G104),$G104&lt;=IF($S104=MesCiclo,InicioCiclo,$S104+MOD(2-WEEKDAY($S104),7))+13),1,IF(N($W104)&gt;0,AVERAGEIFS($Z$5:$Z$1000,$U$5:$U$1000,ROW(),$V$5:$V$1000,"Sub"),$Z104)))</f>
        <v/>
      </c>
      <c r="AE104" s="62">
        <f>IF($V104="","",IF(AND(ISNUMBER($G104),$G104&lt;=IF($S104=MesCiclo,InicioCiclo,$S104+MOD(2-WEEKDAY($S104),7))+20),1,IF(N($W104)&gt;0,AVERAGEIFS($AA$5:$AA$1000,$U$5:$U$1000,ROW(),$V$5:$V$1000,"Sub"),$AA104)))</f>
        <v/>
      </c>
      <c r="AF104" s="62">
        <f>IF($V104="","",IF(AND(ISNUMBER($G104),$G104&lt;=IF($S104=MesCiclo,InicioCiclo,$S104+MOD(2-WEEKDAY($S104),7))+27),1,IF(N($W104)&gt;0,AVERAGEIFS($AB$5:$AB$1000,$U$5:$U$1000,ROW(),$V$5:$V$1000,"Sub"),$AB104)))</f>
        <v/>
      </c>
      <c r="AG104" s="62">
        <f>IF($V104&lt;&gt;"Macro","",IF(COUNTIFS($S$5:$S$1000,$S104,$V$5:$V$1000,"Macro",$H$5:$H$1000,"&gt;0")=0,1/COUNTIFS($S$5:$S$1000,$S104,$V$5:$V$1000,"Macro"),IF(AND(ISNUMBER($H104),N($H104)&gt;0),$H104,SUMIFS($H$5:$H$1000,$S$5:$S$1000,$S104,$V$5:$V$1000,"Macro")/COUNTIFS($S$5:$S$1000,$S104,$V$5:$V$1000,"Macro",$H$5:$H$1000,"&gt;0"))/(COUNTIFS($S$5:$S$1000,$S104,$V$5:$V$1000,"Macro")*SUMIFS($H$5:$H$1000,$S$5:$S$1000,$S104,$V$5:$V$1000,"Macro")/COUNTIFS($S$5:$S$1000,$S104,$V$5:$V$1000,"Macro",$H$5:$H$1000,"&gt;0"))))</f>
        <v/>
      </c>
      <c r="AH104" s="62" t="n"/>
      <c r="AI104" s="62" t="n"/>
      <c r="AJ104" s="62" t="n"/>
      <c r="AK104" s="62" t="n"/>
      <c r="AL104" s="62">
        <f>IF(LEFT($C104,11)="[Jefatura] ",IFERROR(MATCH("Riesgo Financiero|"&amp;MID($C104,12,500),rDname_ADM,0),0),"")</f>
        <v/>
      </c>
      <c r="AM104" s="62">
        <f>IF(N($AL104)&gt;0,INDEX(rIni_ADM,$AL104),IF(ISNUMBER($E104),$E104,""))</f>
        <v/>
      </c>
      <c r="AN104" s="62">
        <f>IF(N($AL104)&gt;0,INDEX(rLim_ADM,$AL104),IF(ISNUMBER($F104),$F104,""))</f>
        <v/>
      </c>
    </row>
    <row r="105">
      <c r="A105" s="56">
        <f>IF(NOT((COUNTA($B105:$D105)+COUNTA($G105:$L105)+COUNTA($Q105))&gt;0),"",IF($V105="Macro",COUNTIFS($V$5:$V105,"Macro",$S$5:$S105,$S105),IF(N($U105)=0,"?",COUNTIFS(INDEX($V$5:$V$1000,1):INDEX($V$5:$V$1000,$U105-4),"Macro",INDEX($S$5:$S$1000,1):INDEX($S$5:$S$1000,$U105-4),INDEX($S$5:$S$1000,$U105-4))&amp;"."&amp;COUNTIFS($U$5:$U105,$U105,$V$5:$V105,"Sub"))))</f>
        <v/>
      </c>
      <c r="B105" s="57" t="n"/>
      <c r="C105" s="58" t="n"/>
      <c r="D105" s="58" t="n"/>
      <c r="E105" s="59">
        <f>IF(N($AL105)&gt;0,INDEX(rIni_ADM,$AL105),"")</f>
        <v/>
      </c>
      <c r="F105" s="59">
        <f>IF(N($AL105)&gt;0,INDEX(rLim_ADM,$AL105),"")</f>
        <v/>
      </c>
      <c r="G105" s="59" t="n"/>
      <c r="H105" s="60" t="n"/>
      <c r="I105" s="60" t="n"/>
      <c r="J105" s="60" t="n"/>
      <c r="K105" s="60" t="n"/>
      <c r="L105" s="60" t="n"/>
      <c r="M105" s="61">
        <f>IF(NOT((COUNTA($B105:$D105)+COUNTA($G105:$L105)+COUNTA($Q105))&gt;0),"",IF($V105="Sub",IFERROR($X105/INDEX($W$5:$W$1000,$U105-4),""),IF(ISNUMBER($G105),1,IF(N($W105)&gt;0,AVERAGEIFS($X$5:$X$1000,$U$5:$U$1000,ROW(),$V$5:$V$1000,"Sub"),$X105))))</f>
        <v/>
      </c>
      <c r="N105" s="56">
        <f>IF(OR($M105="",$V105="Sub"),"",IF($M105&gt;=1,"Completado",IF($M105&gt;0,"En curso","Pendiente")))</f>
        <v/>
      </c>
      <c r="O105" s="56">
        <f>IF(OR(NOT((COUNTA($B105:$D105)+COUNTA($G105:$L105)+COUNTA($Q105))&gt;0),$V105="Sub"),"",IF(ISNUMBER($G105),IF(AND(ISNUMBER($AN105),$G105&gt;$AN105),"Cumplida con "&amp;($G105-$AN105)&amp;IF($G105-$AN105=1," día"," días")&amp;" de retraso","Cumplida"),IF(N($M105)&gt;=1,"Cumplida",IF(NOT(ISNUMBER($AN105)),"Sin fecha límite",IF($AN105&lt;FechaRef,"Vencida hace "&amp;(FechaRef-$AN105)&amp;IF(FechaRef-$AN105=1," día"," días"),IF($AN105=FechaRef,"Vence hoy",IF($AN105-FechaRef&lt;=DiasAlerta,"Vence en "&amp;($AN105-FechaRef)&amp;IF($AN105-FechaRef=1," día"," días"),"En plazo")))))))</f>
        <v/>
      </c>
      <c r="P105" s="62" t="n"/>
      <c r="Q105" s="58" t="n"/>
      <c r="R105" s="63">
        <f>IF(NOT((COUNTA($B105:$D105)+COUNTA($G105:$L105)+COUNTA($Q105))&gt;0),"",IF((IF($C105="","Falta el nombre de la actividad"&amp;" · ","")&amp;IF(AND($V105="Sub",N($U105)=0),"Subactividad sin macroactividad arriba"&amp;" · ","")&amp;IF($AM105="","Sin fecha de inicio"&amp;" · ","")&amp;IF($AN105="","Sin fecha límite"&amp;" · ","")&amp;IF(AND(LEFT($C105,11)="[Jefatura] ",N($AL105)=0),"No se encuentra en la hoja de la jefatura (elíjala de nuevo en la lista)"&amp;" · ","")&amp;IF(OR(AND($E105&lt;&gt;"",NOT(ISNUMBER($E105))),AND($F105&lt;&gt;"",NOT(ISNUMBER($F105))),AND($G105&lt;&gt;"",NOT(ISNUMBER($G105)))),"Fecha no válida"&amp;" · ","")&amp;IF(AND(ISNUMBER($AM105),ISNUMBER($AN105),$AM105&gt;$AN105),"Inicio posterior a fecha límite"&amp;" · ","")&amp;IF(AND($V105="Macro",$H105&lt;&gt;"",OR(NOT(ISNUMBER($H105)),$H105&lt;0,$H105&gt;1)),"Peso fuera de rango"&amp;" · ","")&amp;IF(AND($V105="Sub",$H105&lt;&gt;""),"Las subactividades no llevan peso (valen igual dentro de su macroactividad)"&amp;" · ","")&amp;IF(AND(N($W105)&gt;0,COUNT($I105:$L105)&gt;0),"Con subactividades: deje vacías las semanas (se calculan solas)"&amp;" · ","")&amp;IF((COUNTIF($I105:$L105,"&gt;1")+COUNTIF($I105:$L105,"&lt;0")+COUNTA($I105:$L105)-COUNT($I105:$L105))&gt;0,"Avance fuera de rango 0-100%"&amp;" · ","")&amp;IF(OR(AND($J105&lt;&gt;"",$J105&lt;$I105),AND($K105&lt;&gt;"",$K105&lt;MAX($I105:$J105)),AND($L105&lt;&gt;"",$L105&lt;MAX($I105:$K105))),"Avance semanal decreciente"&amp;" · ","")&amp;IF(AND(ISNUMBER($AN105),$AN105&lt;FechaRef,IF($V105="Sub",N($X105),N($M105))&lt;1),"Vencida"&amp;" · ","")&amp;IF(AND(ObsObligatoria="Sí",ISNUMBER($AN105),$AN105&lt;FechaRef,IF($V105="Sub",N($X105),N($M105))&lt;1,$Q105=""),"Vencida sin observación"&amp;" · ",""))="","✔ OK","⚠ "&amp;LEFT(IF($C105="","Falta el nombre de la actividad"&amp;" · ","")&amp;IF(AND($V105="Sub",N($U105)=0),"Subactividad sin macroactividad arriba"&amp;" · ","")&amp;IF($AM105="","Sin fecha de inicio"&amp;" · ","")&amp;IF($AN105="","Sin fecha límite"&amp;" · ","")&amp;IF(AND(LEFT($C105,11)="[Jefatura] ",N($AL105)=0),"No se encuentra en la hoja de la jefatura (elíjala de nuevo en la lista)"&amp;" · ","")&amp;IF(OR(AND($E105&lt;&gt;"",NOT(ISNUMBER($E105))),AND($F105&lt;&gt;"",NOT(ISNUMBER($F105))),AND($G105&lt;&gt;"",NOT(ISNUMBER($G105)))),"Fecha no válida"&amp;" · ","")&amp;IF(AND(ISNUMBER($AM105),ISNUMBER($AN105),$AM105&gt;$AN105),"Inicio posterior a fecha límite"&amp;" · ","")&amp;IF(AND($V105="Macro",$H105&lt;&gt;"",OR(NOT(ISNUMBER($H105)),$H105&lt;0,$H105&gt;1)),"Peso fuera de rango"&amp;" · ","")&amp;IF(AND($V105="Sub",$H105&lt;&gt;""),"Las subactividades no llevan peso (valen igual dentro de su macroactividad)"&amp;" · ","")&amp;IF(AND(N($W105)&gt;0,COUNT($I105:$L105)&gt;0),"Con subactividades: deje vacías las semanas (se calculan solas)"&amp;" · ","")&amp;IF((COUNTIF($I105:$L105,"&gt;1")+COUNTIF($I105:$L105,"&lt;0")+COUNTA($I105:$L105)-COUNT($I105:$L105))&gt;0,"Avance fuera de rango 0-100%"&amp;" · ","")&amp;IF(OR(AND($J105&lt;&gt;"",$J105&lt;$I105),AND($K105&lt;&gt;"",$K105&lt;MAX($I105:$J105)),AND($L105&lt;&gt;"",$L105&lt;MAX($I105:$K105))),"Avance semanal decreciente"&amp;" · ","")&amp;IF(AND(ISNUMBER($AN105),$AN105&lt;FechaRef,IF($V105="Sub",N($X105),N($M105))&lt;1),"Vencida"&amp;" · ","")&amp;IF(AND(ObsObligatoria="Sí",ISNUMBER($AN105),$AN105&lt;FechaRef,IF($V105="Sub",N($X105),N($M105))&lt;1,$Q105=""),"Vencida sin observación"&amp;" · ",""),LEN(IF($C105="","Falta el nombre de la actividad"&amp;" · ","")&amp;IF(AND($V105="Sub",N($U105)=0),"Subactividad sin macroactividad arriba"&amp;" · ","")&amp;IF($AM105="","Sin fecha de inicio"&amp;" · ","")&amp;IF($AN105="","Sin fecha límite"&amp;" · ","")&amp;IF(AND(LEFT($C105,11)="[Jefatura] ",N($AL105)=0),"No se encuentra en la hoja de la jefatura (elíjala de nuevo en la lista)"&amp;" · ","")&amp;IF(OR(AND($E105&lt;&gt;"",NOT(ISNUMBER($E105))),AND($F105&lt;&gt;"",NOT(ISNUMBER($F105))),AND($G105&lt;&gt;"",NOT(ISNUMBER($G105)))),"Fecha no válida"&amp;" · ","")&amp;IF(AND(ISNUMBER($AM105),ISNUMBER($AN105),$AM105&gt;$AN105),"Inicio posterior a fecha límite"&amp;" · ","")&amp;IF(AND($V105="Macro",$H105&lt;&gt;"",OR(NOT(ISNUMBER($H105)),$H105&lt;0,$H105&gt;1)),"Peso fuera de rango"&amp;" · ","")&amp;IF(AND($V105="Sub",$H105&lt;&gt;""),"Las subactividades no llevan peso (valen igual dentro de su macroactividad)"&amp;" · ","")&amp;IF(AND(N($W105)&gt;0,COUNT($I105:$L105)&gt;0),"Con subactividades: deje vacías las semanas (se calculan solas)"&amp;" · ","")&amp;IF((COUNTIF($I105:$L105,"&gt;1")+COUNTIF($I105:$L105,"&lt;0")+COUNTA($I105:$L105)-COUNT($I105:$L105))&gt;0,"Avance fuera de rango 0-100%"&amp;" · ","")&amp;IF(OR(AND($J105&lt;&gt;"",$J105&lt;$I105),AND($K105&lt;&gt;"",$K105&lt;MAX($I105:$J105)),AND($L105&lt;&gt;"",$L105&lt;MAX($I105:$K105))),"Avance semanal decreciente"&amp;" · ","")&amp;IF(AND(ISNUMBER($AN105),$AN105&lt;FechaRef,IF($V105="Sub",N($X105),N($M105))&lt;1),"Vencida"&amp;" · ","")&amp;IF(AND(ObsObligatoria="Sí",ISNUMBER($AN105),$AN105&lt;FechaRef,IF($V105="Sub",N($X105),N($M105))&lt;1,$Q105=""),"Vencida sin observación"&amp;" · ",""))-3)))</f>
        <v/>
      </c>
      <c r="S105" s="64">
        <f>IF(NOT((COUNTA($B105:$D105)+COUNTA($G105:$L105)+COUNTA($Q105))&gt;0),"",IF(AND($V105="Sub",N($U105)&gt;0),IF(ISNUMBER(INDEX($AM$5:$AM$1000,$U105-4)),DATE(YEAR(INDEX($AM$5:$AM$1000,$U105-4)),MONTH(INDEX($AM$5:$AM$1000,$U105-4)),1),IF(ISNUMBER(INDEX($AN$5:$AN$1000,$U105-4)),DATE(YEAR(INDEX($AN$5:$AN$1000,$U105-4)),MONTH(INDEX($AN$5:$AN$1000,$U105-4)),1),MesCiclo)),IF(ISNUMBER($AM105),DATE(YEAR($AM105),MONTH($AM105),1),IF(ISNUMBER($AN105),DATE(YEAR($AN105),MONTH($AN105),1),MesCiclo))))</f>
        <v/>
      </c>
      <c r="T105" s="62">
        <f>IF(OR($S105="",$S105&lt;&gt;MesCiclo,$V105&lt;&gt;"Macro"),"",COUNTIFS($S$5:$S105,MesCiclo,$V$5:$V105,"Macro"))</f>
        <v/>
      </c>
      <c r="U105" s="62">
        <f>IF($V105="","",IF($V105="Macro",ROW(),IFERROR(LOOKUP(2,1/($V$5:$V105="Macro"),ROW($V$5:$V105)),0)))</f>
        <v/>
      </c>
      <c r="V105" s="62">
        <f>IF(NOT((COUNTA($B105:$D105)+COUNTA($G105:$L105)+COUNTA($Q105))&gt;0),"",IF($B105="Subactividad","Sub","Macro"))</f>
        <v/>
      </c>
      <c r="W105" s="62">
        <f>IF($V105="Macro",COUNTIFS($U$5:$U$1000,ROW(),$V$5:$V$1000,"Sub"),"")</f>
        <v/>
      </c>
      <c r="X105" s="62">
        <f>IF($V105="","",IF(ISNUMBER($G105),1,IFERROR(LOOKUP(2,1/($I105:$L105&lt;&gt;""),$I105:$L105),0)))</f>
        <v/>
      </c>
      <c r="Y105" s="62">
        <f>IF($V105="","",IF(AND(ISNUMBER($G105),$G105&lt;=IF($S105=MesCiclo,InicioCiclo,$S105+MOD(2-WEEKDAY($S105),7))+6),1,IF(ISNUMBER($I105),$I105,0)))</f>
        <v/>
      </c>
      <c r="Z105" s="62">
        <f>IF($V105="","",IF(AND(ISNUMBER($G105),$G105&lt;=IF($S105=MesCiclo,InicioCiclo,$S105+MOD(2-WEEKDAY($S105),7))+13),1,IF(ISNUMBER($J105),$J105,$Y105)))</f>
        <v/>
      </c>
      <c r="AA105" s="62">
        <f>IF($V105="","",IF(AND(ISNUMBER($G105),$G105&lt;=IF($S105=MesCiclo,InicioCiclo,$S105+MOD(2-WEEKDAY($S105),7))+20),1,IF(ISNUMBER($K105),$K105,$Z105)))</f>
        <v/>
      </c>
      <c r="AB105" s="62">
        <f>IF($V105="","",IF(AND(ISNUMBER($G105),$G105&lt;=IF($S105=MesCiclo,InicioCiclo,$S105+MOD(2-WEEKDAY($S105),7))+27),1,IF(ISNUMBER($L105),$L105,$AA105)))</f>
        <v/>
      </c>
      <c r="AC105" s="62">
        <f>IF($V105="","",IF(AND(ISNUMBER($G105),$G105&lt;=IF($S105=MesCiclo,InicioCiclo,$S105+MOD(2-WEEKDAY($S105),7))+6),1,IF(N($W105)&gt;0,AVERAGEIFS($Y$5:$Y$1000,$U$5:$U$1000,ROW(),$V$5:$V$1000,"Sub"),$Y105)))</f>
        <v/>
      </c>
      <c r="AD105" s="62">
        <f>IF($V105="","",IF(AND(ISNUMBER($G105),$G105&lt;=IF($S105=MesCiclo,InicioCiclo,$S105+MOD(2-WEEKDAY($S105),7))+13),1,IF(N($W105)&gt;0,AVERAGEIFS($Z$5:$Z$1000,$U$5:$U$1000,ROW(),$V$5:$V$1000,"Sub"),$Z105)))</f>
        <v/>
      </c>
      <c r="AE105" s="62">
        <f>IF($V105="","",IF(AND(ISNUMBER($G105),$G105&lt;=IF($S105=MesCiclo,InicioCiclo,$S105+MOD(2-WEEKDAY($S105),7))+20),1,IF(N($W105)&gt;0,AVERAGEIFS($AA$5:$AA$1000,$U$5:$U$1000,ROW(),$V$5:$V$1000,"Sub"),$AA105)))</f>
        <v/>
      </c>
      <c r="AF105" s="62">
        <f>IF($V105="","",IF(AND(ISNUMBER($G105),$G105&lt;=IF($S105=MesCiclo,InicioCiclo,$S105+MOD(2-WEEKDAY($S105),7))+27),1,IF(N($W105)&gt;0,AVERAGEIFS($AB$5:$AB$1000,$U$5:$U$1000,ROW(),$V$5:$V$1000,"Sub"),$AB105)))</f>
        <v/>
      </c>
      <c r="AG105" s="62">
        <f>IF($V105&lt;&gt;"Macro","",IF(COUNTIFS($S$5:$S$1000,$S105,$V$5:$V$1000,"Macro",$H$5:$H$1000,"&gt;0")=0,1/COUNTIFS($S$5:$S$1000,$S105,$V$5:$V$1000,"Macro"),IF(AND(ISNUMBER($H105),N($H105)&gt;0),$H105,SUMIFS($H$5:$H$1000,$S$5:$S$1000,$S105,$V$5:$V$1000,"Macro")/COUNTIFS($S$5:$S$1000,$S105,$V$5:$V$1000,"Macro",$H$5:$H$1000,"&gt;0"))/(COUNTIFS($S$5:$S$1000,$S105,$V$5:$V$1000,"Macro")*SUMIFS($H$5:$H$1000,$S$5:$S$1000,$S105,$V$5:$V$1000,"Macro")/COUNTIFS($S$5:$S$1000,$S105,$V$5:$V$1000,"Macro",$H$5:$H$1000,"&gt;0"))))</f>
        <v/>
      </c>
      <c r="AH105" s="62" t="n"/>
      <c r="AI105" s="62" t="n"/>
      <c r="AJ105" s="62" t="n"/>
      <c r="AK105" s="62" t="n"/>
      <c r="AL105" s="62">
        <f>IF(LEFT($C105,11)="[Jefatura] ",IFERROR(MATCH("Riesgo Financiero|"&amp;MID($C105,12,500),rDname_ADM,0),0),"")</f>
        <v/>
      </c>
      <c r="AM105" s="62">
        <f>IF(N($AL105)&gt;0,INDEX(rIni_ADM,$AL105),IF(ISNUMBER($E105),$E105,""))</f>
        <v/>
      </c>
      <c r="AN105" s="62">
        <f>IF(N($AL105)&gt;0,INDEX(rLim_ADM,$AL105),IF(ISNUMBER($F105),$F105,""))</f>
        <v/>
      </c>
    </row>
    <row r="106">
      <c r="A106" s="56">
        <f>IF(NOT((COUNTA($B106:$D106)+COUNTA($G106:$L106)+COUNTA($Q106))&gt;0),"",IF($V106="Macro",COUNTIFS($V$5:$V106,"Macro",$S$5:$S106,$S106),IF(N($U106)=0,"?",COUNTIFS(INDEX($V$5:$V$1000,1):INDEX($V$5:$V$1000,$U106-4),"Macro",INDEX($S$5:$S$1000,1):INDEX($S$5:$S$1000,$U106-4),INDEX($S$5:$S$1000,$U106-4))&amp;"."&amp;COUNTIFS($U$5:$U106,$U106,$V$5:$V106,"Sub"))))</f>
        <v/>
      </c>
      <c r="B106" s="57" t="n"/>
      <c r="C106" s="58" t="n"/>
      <c r="D106" s="58" t="n"/>
      <c r="E106" s="59">
        <f>IF(N($AL106)&gt;0,INDEX(rIni_ADM,$AL106),"")</f>
        <v/>
      </c>
      <c r="F106" s="59">
        <f>IF(N($AL106)&gt;0,INDEX(rLim_ADM,$AL106),"")</f>
        <v/>
      </c>
      <c r="G106" s="59" t="n"/>
      <c r="H106" s="60" t="n"/>
      <c r="I106" s="60" t="n"/>
      <c r="J106" s="60" t="n"/>
      <c r="K106" s="60" t="n"/>
      <c r="L106" s="60" t="n"/>
      <c r="M106" s="61">
        <f>IF(NOT((COUNTA($B106:$D106)+COUNTA($G106:$L106)+COUNTA($Q106))&gt;0),"",IF($V106="Sub",IFERROR($X106/INDEX($W$5:$W$1000,$U106-4),""),IF(ISNUMBER($G106),1,IF(N($W106)&gt;0,AVERAGEIFS($X$5:$X$1000,$U$5:$U$1000,ROW(),$V$5:$V$1000,"Sub"),$X106))))</f>
        <v/>
      </c>
      <c r="N106" s="56">
        <f>IF(OR($M106="",$V106="Sub"),"",IF($M106&gt;=1,"Completado",IF($M106&gt;0,"En curso","Pendiente")))</f>
        <v/>
      </c>
      <c r="O106" s="56">
        <f>IF(OR(NOT((COUNTA($B106:$D106)+COUNTA($G106:$L106)+COUNTA($Q106))&gt;0),$V106="Sub"),"",IF(ISNUMBER($G106),IF(AND(ISNUMBER($AN106),$G106&gt;$AN106),"Cumplida con "&amp;($G106-$AN106)&amp;IF($G106-$AN106=1," día"," días")&amp;" de retraso","Cumplida"),IF(N($M106)&gt;=1,"Cumplida",IF(NOT(ISNUMBER($AN106)),"Sin fecha límite",IF($AN106&lt;FechaRef,"Vencida hace "&amp;(FechaRef-$AN106)&amp;IF(FechaRef-$AN106=1," día"," días"),IF($AN106=FechaRef,"Vence hoy",IF($AN106-FechaRef&lt;=DiasAlerta,"Vence en "&amp;($AN106-FechaRef)&amp;IF($AN106-FechaRef=1," día"," días"),"En plazo")))))))</f>
        <v/>
      </c>
      <c r="P106" s="62" t="n"/>
      <c r="Q106" s="58" t="n"/>
      <c r="R106" s="63">
        <f>IF(NOT((COUNTA($B106:$D106)+COUNTA($G106:$L106)+COUNTA($Q106))&gt;0),"",IF((IF($C106="","Falta el nombre de la actividad"&amp;" · ","")&amp;IF(AND($V106="Sub",N($U106)=0),"Subactividad sin macroactividad arriba"&amp;" · ","")&amp;IF($AM106="","Sin fecha de inicio"&amp;" · ","")&amp;IF($AN106="","Sin fecha límite"&amp;" · ","")&amp;IF(AND(LEFT($C106,11)="[Jefatura] ",N($AL106)=0),"No se encuentra en la hoja de la jefatura (elíjala de nuevo en la lista)"&amp;" · ","")&amp;IF(OR(AND($E106&lt;&gt;"",NOT(ISNUMBER($E106))),AND($F106&lt;&gt;"",NOT(ISNUMBER($F106))),AND($G106&lt;&gt;"",NOT(ISNUMBER($G106)))),"Fecha no válida"&amp;" · ","")&amp;IF(AND(ISNUMBER($AM106),ISNUMBER($AN106),$AM106&gt;$AN106),"Inicio posterior a fecha límite"&amp;" · ","")&amp;IF(AND($V106="Macro",$H106&lt;&gt;"",OR(NOT(ISNUMBER($H106)),$H106&lt;0,$H106&gt;1)),"Peso fuera de rango"&amp;" · ","")&amp;IF(AND($V106="Sub",$H106&lt;&gt;""),"Las subactividades no llevan peso (valen igual dentro de su macroactividad)"&amp;" · ","")&amp;IF(AND(N($W106)&gt;0,COUNT($I106:$L106)&gt;0),"Con subactividades: deje vacías las semanas (se calculan solas)"&amp;" · ","")&amp;IF((COUNTIF($I106:$L106,"&gt;1")+COUNTIF($I106:$L106,"&lt;0")+COUNTA($I106:$L106)-COUNT($I106:$L106))&gt;0,"Avance fuera de rango 0-100%"&amp;" · ","")&amp;IF(OR(AND($J106&lt;&gt;"",$J106&lt;$I106),AND($K106&lt;&gt;"",$K106&lt;MAX($I106:$J106)),AND($L106&lt;&gt;"",$L106&lt;MAX($I106:$K106))),"Avance semanal decreciente"&amp;" · ","")&amp;IF(AND(ISNUMBER($AN106),$AN106&lt;FechaRef,IF($V106="Sub",N($X106),N($M106))&lt;1),"Vencida"&amp;" · ","")&amp;IF(AND(ObsObligatoria="Sí",ISNUMBER($AN106),$AN106&lt;FechaRef,IF($V106="Sub",N($X106),N($M106))&lt;1,$Q106=""),"Vencida sin observación"&amp;" · ",""))="","✔ OK","⚠ "&amp;LEFT(IF($C106="","Falta el nombre de la actividad"&amp;" · ","")&amp;IF(AND($V106="Sub",N($U106)=0),"Subactividad sin macroactividad arriba"&amp;" · ","")&amp;IF($AM106="","Sin fecha de inicio"&amp;" · ","")&amp;IF($AN106="","Sin fecha límite"&amp;" · ","")&amp;IF(AND(LEFT($C106,11)="[Jefatura] ",N($AL106)=0),"No se encuentra en la hoja de la jefatura (elíjala de nuevo en la lista)"&amp;" · ","")&amp;IF(OR(AND($E106&lt;&gt;"",NOT(ISNUMBER($E106))),AND($F106&lt;&gt;"",NOT(ISNUMBER($F106))),AND($G106&lt;&gt;"",NOT(ISNUMBER($G106)))),"Fecha no válida"&amp;" · ","")&amp;IF(AND(ISNUMBER($AM106),ISNUMBER($AN106),$AM106&gt;$AN106),"Inicio posterior a fecha límite"&amp;" · ","")&amp;IF(AND($V106="Macro",$H106&lt;&gt;"",OR(NOT(ISNUMBER($H106)),$H106&lt;0,$H106&gt;1)),"Peso fuera de rango"&amp;" · ","")&amp;IF(AND($V106="Sub",$H106&lt;&gt;""),"Las subactividades no llevan peso (valen igual dentro de su macroactividad)"&amp;" · ","")&amp;IF(AND(N($W106)&gt;0,COUNT($I106:$L106)&gt;0),"Con subactividades: deje vacías las semanas (se calculan solas)"&amp;" · ","")&amp;IF((COUNTIF($I106:$L106,"&gt;1")+COUNTIF($I106:$L106,"&lt;0")+COUNTA($I106:$L106)-COUNT($I106:$L106))&gt;0,"Avance fuera de rango 0-100%"&amp;" · ","")&amp;IF(OR(AND($J106&lt;&gt;"",$J106&lt;$I106),AND($K106&lt;&gt;"",$K106&lt;MAX($I106:$J106)),AND($L106&lt;&gt;"",$L106&lt;MAX($I106:$K106))),"Avance semanal decreciente"&amp;" · ","")&amp;IF(AND(ISNUMBER($AN106),$AN106&lt;FechaRef,IF($V106="Sub",N($X106),N($M106))&lt;1),"Vencida"&amp;" · ","")&amp;IF(AND(ObsObligatoria="Sí",ISNUMBER($AN106),$AN106&lt;FechaRef,IF($V106="Sub",N($X106),N($M106))&lt;1,$Q106=""),"Vencida sin observación"&amp;" · ",""),LEN(IF($C106="","Falta el nombre de la actividad"&amp;" · ","")&amp;IF(AND($V106="Sub",N($U106)=0),"Subactividad sin macroactividad arriba"&amp;" · ","")&amp;IF($AM106="","Sin fecha de inicio"&amp;" · ","")&amp;IF($AN106="","Sin fecha límite"&amp;" · ","")&amp;IF(AND(LEFT($C106,11)="[Jefatura] ",N($AL106)=0),"No se encuentra en la hoja de la jefatura (elíjala de nuevo en la lista)"&amp;" · ","")&amp;IF(OR(AND($E106&lt;&gt;"",NOT(ISNUMBER($E106))),AND($F106&lt;&gt;"",NOT(ISNUMBER($F106))),AND($G106&lt;&gt;"",NOT(ISNUMBER($G106)))),"Fecha no válida"&amp;" · ","")&amp;IF(AND(ISNUMBER($AM106),ISNUMBER($AN106),$AM106&gt;$AN106),"Inicio posterior a fecha límite"&amp;" · ","")&amp;IF(AND($V106="Macro",$H106&lt;&gt;"",OR(NOT(ISNUMBER($H106)),$H106&lt;0,$H106&gt;1)),"Peso fuera de rango"&amp;" · ","")&amp;IF(AND($V106="Sub",$H106&lt;&gt;""),"Las subactividades no llevan peso (valen igual dentro de su macroactividad)"&amp;" · ","")&amp;IF(AND(N($W106)&gt;0,COUNT($I106:$L106)&gt;0),"Con subactividades: deje vacías las semanas (se calculan solas)"&amp;" · ","")&amp;IF((COUNTIF($I106:$L106,"&gt;1")+COUNTIF($I106:$L106,"&lt;0")+COUNTA($I106:$L106)-COUNT($I106:$L106))&gt;0,"Avance fuera de rango 0-100%"&amp;" · ","")&amp;IF(OR(AND($J106&lt;&gt;"",$J106&lt;$I106),AND($K106&lt;&gt;"",$K106&lt;MAX($I106:$J106)),AND($L106&lt;&gt;"",$L106&lt;MAX($I106:$K106))),"Avance semanal decreciente"&amp;" · ","")&amp;IF(AND(ISNUMBER($AN106),$AN106&lt;FechaRef,IF($V106="Sub",N($X106),N($M106))&lt;1),"Vencida"&amp;" · ","")&amp;IF(AND(ObsObligatoria="Sí",ISNUMBER($AN106),$AN106&lt;FechaRef,IF($V106="Sub",N($X106),N($M106))&lt;1,$Q106=""),"Vencida sin observación"&amp;" · ",""))-3)))</f>
        <v/>
      </c>
      <c r="S106" s="64">
        <f>IF(NOT((COUNTA($B106:$D106)+COUNTA($G106:$L106)+COUNTA($Q106))&gt;0),"",IF(AND($V106="Sub",N($U106)&gt;0),IF(ISNUMBER(INDEX($AM$5:$AM$1000,$U106-4)),DATE(YEAR(INDEX($AM$5:$AM$1000,$U106-4)),MONTH(INDEX($AM$5:$AM$1000,$U106-4)),1),IF(ISNUMBER(INDEX($AN$5:$AN$1000,$U106-4)),DATE(YEAR(INDEX($AN$5:$AN$1000,$U106-4)),MONTH(INDEX($AN$5:$AN$1000,$U106-4)),1),MesCiclo)),IF(ISNUMBER($AM106),DATE(YEAR($AM106),MONTH($AM106),1),IF(ISNUMBER($AN106),DATE(YEAR($AN106),MONTH($AN106),1),MesCiclo))))</f>
        <v/>
      </c>
      <c r="T106" s="62">
        <f>IF(OR($S106="",$S106&lt;&gt;MesCiclo,$V106&lt;&gt;"Macro"),"",COUNTIFS($S$5:$S106,MesCiclo,$V$5:$V106,"Macro"))</f>
        <v/>
      </c>
      <c r="U106" s="62">
        <f>IF($V106="","",IF($V106="Macro",ROW(),IFERROR(LOOKUP(2,1/($V$5:$V106="Macro"),ROW($V$5:$V106)),0)))</f>
        <v/>
      </c>
      <c r="V106" s="62">
        <f>IF(NOT((COUNTA($B106:$D106)+COUNTA($G106:$L106)+COUNTA($Q106))&gt;0),"",IF($B106="Subactividad","Sub","Macro"))</f>
        <v/>
      </c>
      <c r="W106" s="62">
        <f>IF($V106="Macro",COUNTIFS($U$5:$U$1000,ROW(),$V$5:$V$1000,"Sub"),"")</f>
        <v/>
      </c>
      <c r="X106" s="62">
        <f>IF($V106="","",IF(ISNUMBER($G106),1,IFERROR(LOOKUP(2,1/($I106:$L106&lt;&gt;""),$I106:$L106),0)))</f>
        <v/>
      </c>
      <c r="Y106" s="62">
        <f>IF($V106="","",IF(AND(ISNUMBER($G106),$G106&lt;=IF($S106=MesCiclo,InicioCiclo,$S106+MOD(2-WEEKDAY($S106),7))+6),1,IF(ISNUMBER($I106),$I106,0)))</f>
        <v/>
      </c>
      <c r="Z106" s="62">
        <f>IF($V106="","",IF(AND(ISNUMBER($G106),$G106&lt;=IF($S106=MesCiclo,InicioCiclo,$S106+MOD(2-WEEKDAY($S106),7))+13),1,IF(ISNUMBER($J106),$J106,$Y106)))</f>
        <v/>
      </c>
      <c r="AA106" s="62">
        <f>IF($V106="","",IF(AND(ISNUMBER($G106),$G106&lt;=IF($S106=MesCiclo,InicioCiclo,$S106+MOD(2-WEEKDAY($S106),7))+20),1,IF(ISNUMBER($K106),$K106,$Z106)))</f>
        <v/>
      </c>
      <c r="AB106" s="62">
        <f>IF($V106="","",IF(AND(ISNUMBER($G106),$G106&lt;=IF($S106=MesCiclo,InicioCiclo,$S106+MOD(2-WEEKDAY($S106),7))+27),1,IF(ISNUMBER($L106),$L106,$AA106)))</f>
        <v/>
      </c>
      <c r="AC106" s="62">
        <f>IF($V106="","",IF(AND(ISNUMBER($G106),$G106&lt;=IF($S106=MesCiclo,InicioCiclo,$S106+MOD(2-WEEKDAY($S106),7))+6),1,IF(N($W106)&gt;0,AVERAGEIFS($Y$5:$Y$1000,$U$5:$U$1000,ROW(),$V$5:$V$1000,"Sub"),$Y106)))</f>
        <v/>
      </c>
      <c r="AD106" s="62">
        <f>IF($V106="","",IF(AND(ISNUMBER($G106),$G106&lt;=IF($S106=MesCiclo,InicioCiclo,$S106+MOD(2-WEEKDAY($S106),7))+13),1,IF(N($W106)&gt;0,AVERAGEIFS($Z$5:$Z$1000,$U$5:$U$1000,ROW(),$V$5:$V$1000,"Sub"),$Z106)))</f>
        <v/>
      </c>
      <c r="AE106" s="62">
        <f>IF($V106="","",IF(AND(ISNUMBER($G106),$G106&lt;=IF($S106=MesCiclo,InicioCiclo,$S106+MOD(2-WEEKDAY($S106),7))+20),1,IF(N($W106)&gt;0,AVERAGEIFS($AA$5:$AA$1000,$U$5:$U$1000,ROW(),$V$5:$V$1000,"Sub"),$AA106)))</f>
        <v/>
      </c>
      <c r="AF106" s="62">
        <f>IF($V106="","",IF(AND(ISNUMBER($G106),$G106&lt;=IF($S106=MesCiclo,InicioCiclo,$S106+MOD(2-WEEKDAY($S106),7))+27),1,IF(N($W106)&gt;0,AVERAGEIFS($AB$5:$AB$1000,$U$5:$U$1000,ROW(),$V$5:$V$1000,"Sub"),$AB106)))</f>
        <v/>
      </c>
      <c r="AG106" s="62">
        <f>IF($V106&lt;&gt;"Macro","",IF(COUNTIFS($S$5:$S$1000,$S106,$V$5:$V$1000,"Macro",$H$5:$H$1000,"&gt;0")=0,1/COUNTIFS($S$5:$S$1000,$S106,$V$5:$V$1000,"Macro"),IF(AND(ISNUMBER($H106),N($H106)&gt;0),$H106,SUMIFS($H$5:$H$1000,$S$5:$S$1000,$S106,$V$5:$V$1000,"Macro")/COUNTIFS($S$5:$S$1000,$S106,$V$5:$V$1000,"Macro",$H$5:$H$1000,"&gt;0"))/(COUNTIFS($S$5:$S$1000,$S106,$V$5:$V$1000,"Macro")*SUMIFS($H$5:$H$1000,$S$5:$S$1000,$S106,$V$5:$V$1000,"Macro")/COUNTIFS($S$5:$S$1000,$S106,$V$5:$V$1000,"Macro",$H$5:$H$1000,"&gt;0"))))</f>
        <v/>
      </c>
      <c r="AH106" s="62" t="n"/>
      <c r="AI106" s="62" t="n"/>
      <c r="AJ106" s="62" t="n"/>
      <c r="AK106" s="62" t="n"/>
      <c r="AL106" s="62">
        <f>IF(LEFT($C106,11)="[Jefatura] ",IFERROR(MATCH("Riesgo Financiero|"&amp;MID($C106,12,500),rDname_ADM,0),0),"")</f>
        <v/>
      </c>
      <c r="AM106" s="62">
        <f>IF(N($AL106)&gt;0,INDEX(rIni_ADM,$AL106),IF(ISNUMBER($E106),$E106,""))</f>
        <v/>
      </c>
      <c r="AN106" s="62">
        <f>IF(N($AL106)&gt;0,INDEX(rLim_ADM,$AL106),IF(ISNUMBER($F106),$F106,""))</f>
        <v/>
      </c>
    </row>
    <row r="107">
      <c r="A107" s="56">
        <f>IF(NOT((COUNTA($B107:$D107)+COUNTA($G107:$L107)+COUNTA($Q107))&gt;0),"",IF($V107="Macro",COUNTIFS($V$5:$V107,"Macro",$S$5:$S107,$S107),IF(N($U107)=0,"?",COUNTIFS(INDEX($V$5:$V$1000,1):INDEX($V$5:$V$1000,$U107-4),"Macro",INDEX($S$5:$S$1000,1):INDEX($S$5:$S$1000,$U107-4),INDEX($S$5:$S$1000,$U107-4))&amp;"."&amp;COUNTIFS($U$5:$U107,$U107,$V$5:$V107,"Sub"))))</f>
        <v/>
      </c>
      <c r="B107" s="57" t="n"/>
      <c r="C107" s="58" t="n"/>
      <c r="D107" s="58" t="n"/>
      <c r="E107" s="59">
        <f>IF(N($AL107)&gt;0,INDEX(rIni_ADM,$AL107),"")</f>
        <v/>
      </c>
      <c r="F107" s="59">
        <f>IF(N($AL107)&gt;0,INDEX(rLim_ADM,$AL107),"")</f>
        <v/>
      </c>
      <c r="G107" s="59" t="n"/>
      <c r="H107" s="60" t="n"/>
      <c r="I107" s="60" t="n"/>
      <c r="J107" s="60" t="n"/>
      <c r="K107" s="60" t="n"/>
      <c r="L107" s="60" t="n"/>
      <c r="M107" s="61">
        <f>IF(NOT((COUNTA($B107:$D107)+COUNTA($G107:$L107)+COUNTA($Q107))&gt;0),"",IF($V107="Sub",IFERROR($X107/INDEX($W$5:$W$1000,$U107-4),""),IF(ISNUMBER($G107),1,IF(N($W107)&gt;0,AVERAGEIFS($X$5:$X$1000,$U$5:$U$1000,ROW(),$V$5:$V$1000,"Sub"),$X107))))</f>
        <v/>
      </c>
      <c r="N107" s="56">
        <f>IF(OR($M107="",$V107="Sub"),"",IF($M107&gt;=1,"Completado",IF($M107&gt;0,"En curso","Pendiente")))</f>
        <v/>
      </c>
      <c r="O107" s="56">
        <f>IF(OR(NOT((COUNTA($B107:$D107)+COUNTA($G107:$L107)+COUNTA($Q107))&gt;0),$V107="Sub"),"",IF(ISNUMBER($G107),IF(AND(ISNUMBER($AN107),$G107&gt;$AN107),"Cumplida con "&amp;($G107-$AN107)&amp;IF($G107-$AN107=1," día"," días")&amp;" de retraso","Cumplida"),IF(N($M107)&gt;=1,"Cumplida",IF(NOT(ISNUMBER($AN107)),"Sin fecha límite",IF($AN107&lt;FechaRef,"Vencida hace "&amp;(FechaRef-$AN107)&amp;IF(FechaRef-$AN107=1," día"," días"),IF($AN107=FechaRef,"Vence hoy",IF($AN107-FechaRef&lt;=DiasAlerta,"Vence en "&amp;($AN107-FechaRef)&amp;IF($AN107-FechaRef=1," día"," días"),"En plazo")))))))</f>
        <v/>
      </c>
      <c r="P107" s="62" t="n"/>
      <c r="Q107" s="58" t="n"/>
      <c r="R107" s="63">
        <f>IF(NOT((COUNTA($B107:$D107)+COUNTA($G107:$L107)+COUNTA($Q107))&gt;0),"",IF((IF($C107="","Falta el nombre de la actividad"&amp;" · ","")&amp;IF(AND($V107="Sub",N($U107)=0),"Subactividad sin macroactividad arriba"&amp;" · ","")&amp;IF($AM107="","Sin fecha de inicio"&amp;" · ","")&amp;IF($AN107="","Sin fecha límite"&amp;" · ","")&amp;IF(AND(LEFT($C107,11)="[Jefatura] ",N($AL107)=0),"No se encuentra en la hoja de la jefatura (elíjala de nuevo en la lista)"&amp;" · ","")&amp;IF(OR(AND($E107&lt;&gt;"",NOT(ISNUMBER($E107))),AND($F107&lt;&gt;"",NOT(ISNUMBER($F107))),AND($G107&lt;&gt;"",NOT(ISNUMBER($G107)))),"Fecha no válida"&amp;" · ","")&amp;IF(AND(ISNUMBER($AM107),ISNUMBER($AN107),$AM107&gt;$AN107),"Inicio posterior a fecha límite"&amp;" · ","")&amp;IF(AND($V107="Macro",$H107&lt;&gt;"",OR(NOT(ISNUMBER($H107)),$H107&lt;0,$H107&gt;1)),"Peso fuera de rango"&amp;" · ","")&amp;IF(AND($V107="Sub",$H107&lt;&gt;""),"Las subactividades no llevan peso (valen igual dentro de su macroactividad)"&amp;" · ","")&amp;IF(AND(N($W107)&gt;0,COUNT($I107:$L107)&gt;0),"Con subactividades: deje vacías las semanas (se calculan solas)"&amp;" · ","")&amp;IF((COUNTIF($I107:$L107,"&gt;1")+COUNTIF($I107:$L107,"&lt;0")+COUNTA($I107:$L107)-COUNT($I107:$L107))&gt;0,"Avance fuera de rango 0-100%"&amp;" · ","")&amp;IF(OR(AND($J107&lt;&gt;"",$J107&lt;$I107),AND($K107&lt;&gt;"",$K107&lt;MAX($I107:$J107)),AND($L107&lt;&gt;"",$L107&lt;MAX($I107:$K107))),"Avance semanal decreciente"&amp;" · ","")&amp;IF(AND(ISNUMBER($AN107),$AN107&lt;FechaRef,IF($V107="Sub",N($X107),N($M107))&lt;1),"Vencida"&amp;" · ","")&amp;IF(AND(ObsObligatoria="Sí",ISNUMBER($AN107),$AN107&lt;FechaRef,IF($V107="Sub",N($X107),N($M107))&lt;1,$Q107=""),"Vencida sin observación"&amp;" · ",""))="","✔ OK","⚠ "&amp;LEFT(IF($C107="","Falta el nombre de la actividad"&amp;" · ","")&amp;IF(AND($V107="Sub",N($U107)=0),"Subactividad sin macroactividad arriba"&amp;" · ","")&amp;IF($AM107="","Sin fecha de inicio"&amp;" · ","")&amp;IF($AN107="","Sin fecha límite"&amp;" · ","")&amp;IF(AND(LEFT($C107,11)="[Jefatura] ",N($AL107)=0),"No se encuentra en la hoja de la jefatura (elíjala de nuevo en la lista)"&amp;" · ","")&amp;IF(OR(AND($E107&lt;&gt;"",NOT(ISNUMBER($E107))),AND($F107&lt;&gt;"",NOT(ISNUMBER($F107))),AND($G107&lt;&gt;"",NOT(ISNUMBER($G107)))),"Fecha no válida"&amp;" · ","")&amp;IF(AND(ISNUMBER($AM107),ISNUMBER($AN107),$AM107&gt;$AN107),"Inicio posterior a fecha límite"&amp;" · ","")&amp;IF(AND($V107="Macro",$H107&lt;&gt;"",OR(NOT(ISNUMBER($H107)),$H107&lt;0,$H107&gt;1)),"Peso fuera de rango"&amp;" · ","")&amp;IF(AND($V107="Sub",$H107&lt;&gt;""),"Las subactividades no llevan peso (valen igual dentro de su macroactividad)"&amp;" · ","")&amp;IF(AND(N($W107)&gt;0,COUNT($I107:$L107)&gt;0),"Con subactividades: deje vacías las semanas (se calculan solas)"&amp;" · ","")&amp;IF((COUNTIF($I107:$L107,"&gt;1")+COUNTIF($I107:$L107,"&lt;0")+COUNTA($I107:$L107)-COUNT($I107:$L107))&gt;0,"Avance fuera de rango 0-100%"&amp;" · ","")&amp;IF(OR(AND($J107&lt;&gt;"",$J107&lt;$I107),AND($K107&lt;&gt;"",$K107&lt;MAX($I107:$J107)),AND($L107&lt;&gt;"",$L107&lt;MAX($I107:$K107))),"Avance semanal decreciente"&amp;" · ","")&amp;IF(AND(ISNUMBER($AN107),$AN107&lt;FechaRef,IF($V107="Sub",N($X107),N($M107))&lt;1),"Vencida"&amp;" · ","")&amp;IF(AND(ObsObligatoria="Sí",ISNUMBER($AN107),$AN107&lt;FechaRef,IF($V107="Sub",N($X107),N($M107))&lt;1,$Q107=""),"Vencida sin observación"&amp;" · ",""),LEN(IF($C107="","Falta el nombre de la actividad"&amp;" · ","")&amp;IF(AND($V107="Sub",N($U107)=0),"Subactividad sin macroactividad arriba"&amp;" · ","")&amp;IF($AM107="","Sin fecha de inicio"&amp;" · ","")&amp;IF($AN107="","Sin fecha límite"&amp;" · ","")&amp;IF(AND(LEFT($C107,11)="[Jefatura] ",N($AL107)=0),"No se encuentra en la hoja de la jefatura (elíjala de nuevo en la lista)"&amp;" · ","")&amp;IF(OR(AND($E107&lt;&gt;"",NOT(ISNUMBER($E107))),AND($F107&lt;&gt;"",NOT(ISNUMBER($F107))),AND($G107&lt;&gt;"",NOT(ISNUMBER($G107)))),"Fecha no válida"&amp;" · ","")&amp;IF(AND(ISNUMBER($AM107),ISNUMBER($AN107),$AM107&gt;$AN107),"Inicio posterior a fecha límite"&amp;" · ","")&amp;IF(AND($V107="Macro",$H107&lt;&gt;"",OR(NOT(ISNUMBER($H107)),$H107&lt;0,$H107&gt;1)),"Peso fuera de rango"&amp;" · ","")&amp;IF(AND($V107="Sub",$H107&lt;&gt;""),"Las subactividades no llevan peso (valen igual dentro de su macroactividad)"&amp;" · ","")&amp;IF(AND(N($W107)&gt;0,COUNT($I107:$L107)&gt;0),"Con subactividades: deje vacías las semanas (se calculan solas)"&amp;" · ","")&amp;IF((COUNTIF($I107:$L107,"&gt;1")+COUNTIF($I107:$L107,"&lt;0")+COUNTA($I107:$L107)-COUNT($I107:$L107))&gt;0,"Avance fuera de rango 0-100%"&amp;" · ","")&amp;IF(OR(AND($J107&lt;&gt;"",$J107&lt;$I107),AND($K107&lt;&gt;"",$K107&lt;MAX($I107:$J107)),AND($L107&lt;&gt;"",$L107&lt;MAX($I107:$K107))),"Avance semanal decreciente"&amp;" · ","")&amp;IF(AND(ISNUMBER($AN107),$AN107&lt;FechaRef,IF($V107="Sub",N($X107),N($M107))&lt;1),"Vencida"&amp;" · ","")&amp;IF(AND(ObsObligatoria="Sí",ISNUMBER($AN107),$AN107&lt;FechaRef,IF($V107="Sub",N($X107),N($M107))&lt;1,$Q107=""),"Vencida sin observación"&amp;" · ",""))-3)))</f>
        <v/>
      </c>
      <c r="S107" s="64">
        <f>IF(NOT((COUNTA($B107:$D107)+COUNTA($G107:$L107)+COUNTA($Q107))&gt;0),"",IF(AND($V107="Sub",N($U107)&gt;0),IF(ISNUMBER(INDEX($AM$5:$AM$1000,$U107-4)),DATE(YEAR(INDEX($AM$5:$AM$1000,$U107-4)),MONTH(INDEX($AM$5:$AM$1000,$U107-4)),1),IF(ISNUMBER(INDEX($AN$5:$AN$1000,$U107-4)),DATE(YEAR(INDEX($AN$5:$AN$1000,$U107-4)),MONTH(INDEX($AN$5:$AN$1000,$U107-4)),1),MesCiclo)),IF(ISNUMBER($AM107),DATE(YEAR($AM107),MONTH($AM107),1),IF(ISNUMBER($AN107),DATE(YEAR($AN107),MONTH($AN107),1),MesCiclo))))</f>
        <v/>
      </c>
      <c r="T107" s="62">
        <f>IF(OR($S107="",$S107&lt;&gt;MesCiclo,$V107&lt;&gt;"Macro"),"",COUNTIFS($S$5:$S107,MesCiclo,$V$5:$V107,"Macro"))</f>
        <v/>
      </c>
      <c r="U107" s="62">
        <f>IF($V107="","",IF($V107="Macro",ROW(),IFERROR(LOOKUP(2,1/($V$5:$V107="Macro"),ROW($V$5:$V107)),0)))</f>
        <v/>
      </c>
      <c r="V107" s="62">
        <f>IF(NOT((COUNTA($B107:$D107)+COUNTA($G107:$L107)+COUNTA($Q107))&gt;0),"",IF($B107="Subactividad","Sub","Macro"))</f>
        <v/>
      </c>
      <c r="W107" s="62">
        <f>IF($V107="Macro",COUNTIFS($U$5:$U$1000,ROW(),$V$5:$V$1000,"Sub"),"")</f>
        <v/>
      </c>
      <c r="X107" s="62">
        <f>IF($V107="","",IF(ISNUMBER($G107),1,IFERROR(LOOKUP(2,1/($I107:$L107&lt;&gt;""),$I107:$L107),0)))</f>
        <v/>
      </c>
      <c r="Y107" s="62">
        <f>IF($V107="","",IF(AND(ISNUMBER($G107),$G107&lt;=IF($S107=MesCiclo,InicioCiclo,$S107+MOD(2-WEEKDAY($S107),7))+6),1,IF(ISNUMBER($I107),$I107,0)))</f>
        <v/>
      </c>
      <c r="Z107" s="62">
        <f>IF($V107="","",IF(AND(ISNUMBER($G107),$G107&lt;=IF($S107=MesCiclo,InicioCiclo,$S107+MOD(2-WEEKDAY($S107),7))+13),1,IF(ISNUMBER($J107),$J107,$Y107)))</f>
        <v/>
      </c>
      <c r="AA107" s="62">
        <f>IF($V107="","",IF(AND(ISNUMBER($G107),$G107&lt;=IF($S107=MesCiclo,InicioCiclo,$S107+MOD(2-WEEKDAY($S107),7))+20),1,IF(ISNUMBER($K107),$K107,$Z107)))</f>
        <v/>
      </c>
      <c r="AB107" s="62">
        <f>IF($V107="","",IF(AND(ISNUMBER($G107),$G107&lt;=IF($S107=MesCiclo,InicioCiclo,$S107+MOD(2-WEEKDAY($S107),7))+27),1,IF(ISNUMBER($L107),$L107,$AA107)))</f>
        <v/>
      </c>
      <c r="AC107" s="62">
        <f>IF($V107="","",IF(AND(ISNUMBER($G107),$G107&lt;=IF($S107=MesCiclo,InicioCiclo,$S107+MOD(2-WEEKDAY($S107),7))+6),1,IF(N($W107)&gt;0,AVERAGEIFS($Y$5:$Y$1000,$U$5:$U$1000,ROW(),$V$5:$V$1000,"Sub"),$Y107)))</f>
        <v/>
      </c>
      <c r="AD107" s="62">
        <f>IF($V107="","",IF(AND(ISNUMBER($G107),$G107&lt;=IF($S107=MesCiclo,InicioCiclo,$S107+MOD(2-WEEKDAY($S107),7))+13),1,IF(N($W107)&gt;0,AVERAGEIFS($Z$5:$Z$1000,$U$5:$U$1000,ROW(),$V$5:$V$1000,"Sub"),$Z107)))</f>
        <v/>
      </c>
      <c r="AE107" s="62">
        <f>IF($V107="","",IF(AND(ISNUMBER($G107),$G107&lt;=IF($S107=MesCiclo,InicioCiclo,$S107+MOD(2-WEEKDAY($S107),7))+20),1,IF(N($W107)&gt;0,AVERAGEIFS($AA$5:$AA$1000,$U$5:$U$1000,ROW(),$V$5:$V$1000,"Sub"),$AA107)))</f>
        <v/>
      </c>
      <c r="AF107" s="62">
        <f>IF($V107="","",IF(AND(ISNUMBER($G107),$G107&lt;=IF($S107=MesCiclo,InicioCiclo,$S107+MOD(2-WEEKDAY($S107),7))+27),1,IF(N($W107)&gt;0,AVERAGEIFS($AB$5:$AB$1000,$U$5:$U$1000,ROW(),$V$5:$V$1000,"Sub"),$AB107)))</f>
        <v/>
      </c>
      <c r="AG107" s="62">
        <f>IF($V107&lt;&gt;"Macro","",IF(COUNTIFS($S$5:$S$1000,$S107,$V$5:$V$1000,"Macro",$H$5:$H$1000,"&gt;0")=0,1/COUNTIFS($S$5:$S$1000,$S107,$V$5:$V$1000,"Macro"),IF(AND(ISNUMBER($H107),N($H107)&gt;0),$H107,SUMIFS($H$5:$H$1000,$S$5:$S$1000,$S107,$V$5:$V$1000,"Macro")/COUNTIFS($S$5:$S$1000,$S107,$V$5:$V$1000,"Macro",$H$5:$H$1000,"&gt;0"))/(COUNTIFS($S$5:$S$1000,$S107,$V$5:$V$1000,"Macro")*SUMIFS($H$5:$H$1000,$S$5:$S$1000,$S107,$V$5:$V$1000,"Macro")/COUNTIFS($S$5:$S$1000,$S107,$V$5:$V$1000,"Macro",$H$5:$H$1000,"&gt;0"))))</f>
        <v/>
      </c>
      <c r="AH107" s="62" t="n"/>
      <c r="AI107" s="62" t="n"/>
      <c r="AJ107" s="62" t="n"/>
      <c r="AK107" s="62" t="n"/>
      <c r="AL107" s="62">
        <f>IF(LEFT($C107,11)="[Jefatura] ",IFERROR(MATCH("Riesgo Financiero|"&amp;MID($C107,12,500),rDname_ADM,0),0),"")</f>
        <v/>
      </c>
      <c r="AM107" s="62">
        <f>IF(N($AL107)&gt;0,INDEX(rIni_ADM,$AL107),IF(ISNUMBER($E107),$E107,""))</f>
        <v/>
      </c>
      <c r="AN107" s="62">
        <f>IF(N($AL107)&gt;0,INDEX(rLim_ADM,$AL107),IF(ISNUMBER($F107),$F107,""))</f>
        <v/>
      </c>
    </row>
    <row r="108">
      <c r="A108" s="56">
        <f>IF(NOT((COUNTA($B108:$D108)+COUNTA($G108:$L108)+COUNTA($Q108))&gt;0),"",IF($V108="Macro",COUNTIFS($V$5:$V108,"Macro",$S$5:$S108,$S108),IF(N($U108)=0,"?",COUNTIFS(INDEX($V$5:$V$1000,1):INDEX($V$5:$V$1000,$U108-4),"Macro",INDEX($S$5:$S$1000,1):INDEX($S$5:$S$1000,$U108-4),INDEX($S$5:$S$1000,$U108-4))&amp;"."&amp;COUNTIFS($U$5:$U108,$U108,$V$5:$V108,"Sub"))))</f>
        <v/>
      </c>
      <c r="B108" s="57" t="n"/>
      <c r="C108" s="58" t="n"/>
      <c r="D108" s="58" t="n"/>
      <c r="E108" s="59">
        <f>IF(N($AL108)&gt;0,INDEX(rIni_ADM,$AL108),"")</f>
        <v/>
      </c>
      <c r="F108" s="59">
        <f>IF(N($AL108)&gt;0,INDEX(rLim_ADM,$AL108),"")</f>
        <v/>
      </c>
      <c r="G108" s="59" t="n"/>
      <c r="H108" s="60" t="n"/>
      <c r="I108" s="60" t="n"/>
      <c r="J108" s="60" t="n"/>
      <c r="K108" s="60" t="n"/>
      <c r="L108" s="60" t="n"/>
      <c r="M108" s="61">
        <f>IF(NOT((COUNTA($B108:$D108)+COUNTA($G108:$L108)+COUNTA($Q108))&gt;0),"",IF($V108="Sub",IFERROR($X108/INDEX($W$5:$W$1000,$U108-4),""),IF(ISNUMBER($G108),1,IF(N($W108)&gt;0,AVERAGEIFS($X$5:$X$1000,$U$5:$U$1000,ROW(),$V$5:$V$1000,"Sub"),$X108))))</f>
        <v/>
      </c>
      <c r="N108" s="56">
        <f>IF(OR($M108="",$V108="Sub"),"",IF($M108&gt;=1,"Completado",IF($M108&gt;0,"En curso","Pendiente")))</f>
        <v/>
      </c>
      <c r="O108" s="56">
        <f>IF(OR(NOT((COUNTA($B108:$D108)+COUNTA($G108:$L108)+COUNTA($Q108))&gt;0),$V108="Sub"),"",IF(ISNUMBER($G108),IF(AND(ISNUMBER($AN108),$G108&gt;$AN108),"Cumplida con "&amp;($G108-$AN108)&amp;IF($G108-$AN108=1," día"," días")&amp;" de retraso","Cumplida"),IF(N($M108)&gt;=1,"Cumplida",IF(NOT(ISNUMBER($AN108)),"Sin fecha límite",IF($AN108&lt;FechaRef,"Vencida hace "&amp;(FechaRef-$AN108)&amp;IF(FechaRef-$AN108=1," día"," días"),IF($AN108=FechaRef,"Vence hoy",IF($AN108-FechaRef&lt;=DiasAlerta,"Vence en "&amp;($AN108-FechaRef)&amp;IF($AN108-FechaRef=1," día"," días"),"En plazo")))))))</f>
        <v/>
      </c>
      <c r="P108" s="62" t="n"/>
      <c r="Q108" s="58" t="n"/>
      <c r="R108" s="63">
        <f>IF(NOT((COUNTA($B108:$D108)+COUNTA($G108:$L108)+COUNTA($Q108))&gt;0),"",IF((IF($C108="","Falta el nombre de la actividad"&amp;" · ","")&amp;IF(AND($V108="Sub",N($U108)=0),"Subactividad sin macroactividad arriba"&amp;" · ","")&amp;IF($AM108="","Sin fecha de inicio"&amp;" · ","")&amp;IF($AN108="","Sin fecha límite"&amp;" · ","")&amp;IF(AND(LEFT($C108,11)="[Jefatura] ",N($AL108)=0),"No se encuentra en la hoja de la jefatura (elíjala de nuevo en la lista)"&amp;" · ","")&amp;IF(OR(AND($E108&lt;&gt;"",NOT(ISNUMBER($E108))),AND($F108&lt;&gt;"",NOT(ISNUMBER($F108))),AND($G108&lt;&gt;"",NOT(ISNUMBER($G108)))),"Fecha no válida"&amp;" · ","")&amp;IF(AND(ISNUMBER($AM108),ISNUMBER($AN108),$AM108&gt;$AN108),"Inicio posterior a fecha límite"&amp;" · ","")&amp;IF(AND($V108="Macro",$H108&lt;&gt;"",OR(NOT(ISNUMBER($H108)),$H108&lt;0,$H108&gt;1)),"Peso fuera de rango"&amp;" · ","")&amp;IF(AND($V108="Sub",$H108&lt;&gt;""),"Las subactividades no llevan peso (valen igual dentro de su macroactividad)"&amp;" · ","")&amp;IF(AND(N($W108)&gt;0,COUNT($I108:$L108)&gt;0),"Con subactividades: deje vacías las semanas (se calculan solas)"&amp;" · ","")&amp;IF((COUNTIF($I108:$L108,"&gt;1")+COUNTIF($I108:$L108,"&lt;0")+COUNTA($I108:$L108)-COUNT($I108:$L108))&gt;0,"Avance fuera de rango 0-100%"&amp;" · ","")&amp;IF(OR(AND($J108&lt;&gt;"",$J108&lt;$I108),AND($K108&lt;&gt;"",$K108&lt;MAX($I108:$J108)),AND($L108&lt;&gt;"",$L108&lt;MAX($I108:$K108))),"Avance semanal decreciente"&amp;" · ","")&amp;IF(AND(ISNUMBER($AN108),$AN108&lt;FechaRef,IF($V108="Sub",N($X108),N($M108))&lt;1),"Vencida"&amp;" · ","")&amp;IF(AND(ObsObligatoria="Sí",ISNUMBER($AN108),$AN108&lt;FechaRef,IF($V108="Sub",N($X108),N($M108))&lt;1,$Q108=""),"Vencida sin observación"&amp;" · ",""))="","✔ OK","⚠ "&amp;LEFT(IF($C108="","Falta el nombre de la actividad"&amp;" · ","")&amp;IF(AND($V108="Sub",N($U108)=0),"Subactividad sin macroactividad arriba"&amp;" · ","")&amp;IF($AM108="","Sin fecha de inicio"&amp;" · ","")&amp;IF($AN108="","Sin fecha límite"&amp;" · ","")&amp;IF(AND(LEFT($C108,11)="[Jefatura] ",N($AL108)=0),"No se encuentra en la hoja de la jefatura (elíjala de nuevo en la lista)"&amp;" · ","")&amp;IF(OR(AND($E108&lt;&gt;"",NOT(ISNUMBER($E108))),AND($F108&lt;&gt;"",NOT(ISNUMBER($F108))),AND($G108&lt;&gt;"",NOT(ISNUMBER($G108)))),"Fecha no válida"&amp;" · ","")&amp;IF(AND(ISNUMBER($AM108),ISNUMBER($AN108),$AM108&gt;$AN108),"Inicio posterior a fecha límite"&amp;" · ","")&amp;IF(AND($V108="Macro",$H108&lt;&gt;"",OR(NOT(ISNUMBER($H108)),$H108&lt;0,$H108&gt;1)),"Peso fuera de rango"&amp;" · ","")&amp;IF(AND($V108="Sub",$H108&lt;&gt;""),"Las subactividades no llevan peso (valen igual dentro de su macroactividad)"&amp;" · ","")&amp;IF(AND(N($W108)&gt;0,COUNT($I108:$L108)&gt;0),"Con subactividades: deje vacías las semanas (se calculan solas)"&amp;" · ","")&amp;IF((COUNTIF($I108:$L108,"&gt;1")+COUNTIF($I108:$L108,"&lt;0")+COUNTA($I108:$L108)-COUNT($I108:$L108))&gt;0,"Avance fuera de rango 0-100%"&amp;" · ","")&amp;IF(OR(AND($J108&lt;&gt;"",$J108&lt;$I108),AND($K108&lt;&gt;"",$K108&lt;MAX($I108:$J108)),AND($L108&lt;&gt;"",$L108&lt;MAX($I108:$K108))),"Avance semanal decreciente"&amp;" · ","")&amp;IF(AND(ISNUMBER($AN108),$AN108&lt;FechaRef,IF($V108="Sub",N($X108),N($M108))&lt;1),"Vencida"&amp;" · ","")&amp;IF(AND(ObsObligatoria="Sí",ISNUMBER($AN108),$AN108&lt;FechaRef,IF($V108="Sub",N($X108),N($M108))&lt;1,$Q108=""),"Vencida sin observación"&amp;" · ",""),LEN(IF($C108="","Falta el nombre de la actividad"&amp;" · ","")&amp;IF(AND($V108="Sub",N($U108)=0),"Subactividad sin macroactividad arriba"&amp;" · ","")&amp;IF($AM108="","Sin fecha de inicio"&amp;" · ","")&amp;IF($AN108="","Sin fecha límite"&amp;" · ","")&amp;IF(AND(LEFT($C108,11)="[Jefatura] ",N($AL108)=0),"No se encuentra en la hoja de la jefatura (elíjala de nuevo en la lista)"&amp;" · ","")&amp;IF(OR(AND($E108&lt;&gt;"",NOT(ISNUMBER($E108))),AND($F108&lt;&gt;"",NOT(ISNUMBER($F108))),AND($G108&lt;&gt;"",NOT(ISNUMBER($G108)))),"Fecha no válida"&amp;" · ","")&amp;IF(AND(ISNUMBER($AM108),ISNUMBER($AN108),$AM108&gt;$AN108),"Inicio posterior a fecha límite"&amp;" · ","")&amp;IF(AND($V108="Macro",$H108&lt;&gt;"",OR(NOT(ISNUMBER($H108)),$H108&lt;0,$H108&gt;1)),"Peso fuera de rango"&amp;" · ","")&amp;IF(AND($V108="Sub",$H108&lt;&gt;""),"Las subactividades no llevan peso (valen igual dentro de su macroactividad)"&amp;" · ","")&amp;IF(AND(N($W108)&gt;0,COUNT($I108:$L108)&gt;0),"Con subactividades: deje vacías las semanas (se calculan solas)"&amp;" · ","")&amp;IF((COUNTIF($I108:$L108,"&gt;1")+COUNTIF($I108:$L108,"&lt;0")+COUNTA($I108:$L108)-COUNT($I108:$L108))&gt;0,"Avance fuera de rango 0-100%"&amp;" · ","")&amp;IF(OR(AND($J108&lt;&gt;"",$J108&lt;$I108),AND($K108&lt;&gt;"",$K108&lt;MAX($I108:$J108)),AND($L108&lt;&gt;"",$L108&lt;MAX($I108:$K108))),"Avance semanal decreciente"&amp;" · ","")&amp;IF(AND(ISNUMBER($AN108),$AN108&lt;FechaRef,IF($V108="Sub",N($X108),N($M108))&lt;1),"Vencida"&amp;" · ","")&amp;IF(AND(ObsObligatoria="Sí",ISNUMBER($AN108),$AN108&lt;FechaRef,IF($V108="Sub",N($X108),N($M108))&lt;1,$Q108=""),"Vencida sin observación"&amp;" · ",""))-3)))</f>
        <v/>
      </c>
      <c r="S108" s="64">
        <f>IF(NOT((COUNTA($B108:$D108)+COUNTA($G108:$L108)+COUNTA($Q108))&gt;0),"",IF(AND($V108="Sub",N($U108)&gt;0),IF(ISNUMBER(INDEX($AM$5:$AM$1000,$U108-4)),DATE(YEAR(INDEX($AM$5:$AM$1000,$U108-4)),MONTH(INDEX($AM$5:$AM$1000,$U108-4)),1),IF(ISNUMBER(INDEX($AN$5:$AN$1000,$U108-4)),DATE(YEAR(INDEX($AN$5:$AN$1000,$U108-4)),MONTH(INDEX($AN$5:$AN$1000,$U108-4)),1),MesCiclo)),IF(ISNUMBER($AM108),DATE(YEAR($AM108),MONTH($AM108),1),IF(ISNUMBER($AN108),DATE(YEAR($AN108),MONTH($AN108),1),MesCiclo))))</f>
        <v/>
      </c>
      <c r="T108" s="62">
        <f>IF(OR($S108="",$S108&lt;&gt;MesCiclo,$V108&lt;&gt;"Macro"),"",COUNTIFS($S$5:$S108,MesCiclo,$V$5:$V108,"Macro"))</f>
        <v/>
      </c>
      <c r="U108" s="62">
        <f>IF($V108="","",IF($V108="Macro",ROW(),IFERROR(LOOKUP(2,1/($V$5:$V108="Macro"),ROW($V$5:$V108)),0)))</f>
        <v/>
      </c>
      <c r="V108" s="62">
        <f>IF(NOT((COUNTA($B108:$D108)+COUNTA($G108:$L108)+COUNTA($Q108))&gt;0),"",IF($B108="Subactividad","Sub","Macro"))</f>
        <v/>
      </c>
      <c r="W108" s="62">
        <f>IF($V108="Macro",COUNTIFS($U$5:$U$1000,ROW(),$V$5:$V$1000,"Sub"),"")</f>
        <v/>
      </c>
      <c r="X108" s="62">
        <f>IF($V108="","",IF(ISNUMBER($G108),1,IFERROR(LOOKUP(2,1/($I108:$L108&lt;&gt;""),$I108:$L108),0)))</f>
        <v/>
      </c>
      <c r="Y108" s="62">
        <f>IF($V108="","",IF(AND(ISNUMBER($G108),$G108&lt;=IF($S108=MesCiclo,InicioCiclo,$S108+MOD(2-WEEKDAY($S108),7))+6),1,IF(ISNUMBER($I108),$I108,0)))</f>
        <v/>
      </c>
      <c r="Z108" s="62">
        <f>IF($V108="","",IF(AND(ISNUMBER($G108),$G108&lt;=IF($S108=MesCiclo,InicioCiclo,$S108+MOD(2-WEEKDAY($S108),7))+13),1,IF(ISNUMBER($J108),$J108,$Y108)))</f>
        <v/>
      </c>
      <c r="AA108" s="62">
        <f>IF($V108="","",IF(AND(ISNUMBER($G108),$G108&lt;=IF($S108=MesCiclo,InicioCiclo,$S108+MOD(2-WEEKDAY($S108),7))+20),1,IF(ISNUMBER($K108),$K108,$Z108)))</f>
        <v/>
      </c>
      <c r="AB108" s="62">
        <f>IF($V108="","",IF(AND(ISNUMBER($G108),$G108&lt;=IF($S108=MesCiclo,InicioCiclo,$S108+MOD(2-WEEKDAY($S108),7))+27),1,IF(ISNUMBER($L108),$L108,$AA108)))</f>
        <v/>
      </c>
      <c r="AC108" s="62">
        <f>IF($V108="","",IF(AND(ISNUMBER($G108),$G108&lt;=IF($S108=MesCiclo,InicioCiclo,$S108+MOD(2-WEEKDAY($S108),7))+6),1,IF(N($W108)&gt;0,AVERAGEIFS($Y$5:$Y$1000,$U$5:$U$1000,ROW(),$V$5:$V$1000,"Sub"),$Y108)))</f>
        <v/>
      </c>
      <c r="AD108" s="62">
        <f>IF($V108="","",IF(AND(ISNUMBER($G108),$G108&lt;=IF($S108=MesCiclo,InicioCiclo,$S108+MOD(2-WEEKDAY($S108),7))+13),1,IF(N($W108)&gt;0,AVERAGEIFS($Z$5:$Z$1000,$U$5:$U$1000,ROW(),$V$5:$V$1000,"Sub"),$Z108)))</f>
        <v/>
      </c>
      <c r="AE108" s="62">
        <f>IF($V108="","",IF(AND(ISNUMBER($G108),$G108&lt;=IF($S108=MesCiclo,InicioCiclo,$S108+MOD(2-WEEKDAY($S108),7))+20),1,IF(N($W108)&gt;0,AVERAGEIFS($AA$5:$AA$1000,$U$5:$U$1000,ROW(),$V$5:$V$1000,"Sub"),$AA108)))</f>
        <v/>
      </c>
      <c r="AF108" s="62">
        <f>IF($V108="","",IF(AND(ISNUMBER($G108),$G108&lt;=IF($S108=MesCiclo,InicioCiclo,$S108+MOD(2-WEEKDAY($S108),7))+27),1,IF(N($W108)&gt;0,AVERAGEIFS($AB$5:$AB$1000,$U$5:$U$1000,ROW(),$V$5:$V$1000,"Sub"),$AB108)))</f>
        <v/>
      </c>
      <c r="AG108" s="62">
        <f>IF($V108&lt;&gt;"Macro","",IF(COUNTIFS($S$5:$S$1000,$S108,$V$5:$V$1000,"Macro",$H$5:$H$1000,"&gt;0")=0,1/COUNTIFS($S$5:$S$1000,$S108,$V$5:$V$1000,"Macro"),IF(AND(ISNUMBER($H108),N($H108)&gt;0),$H108,SUMIFS($H$5:$H$1000,$S$5:$S$1000,$S108,$V$5:$V$1000,"Macro")/COUNTIFS($S$5:$S$1000,$S108,$V$5:$V$1000,"Macro",$H$5:$H$1000,"&gt;0"))/(COUNTIFS($S$5:$S$1000,$S108,$V$5:$V$1000,"Macro")*SUMIFS($H$5:$H$1000,$S$5:$S$1000,$S108,$V$5:$V$1000,"Macro")/COUNTIFS($S$5:$S$1000,$S108,$V$5:$V$1000,"Macro",$H$5:$H$1000,"&gt;0"))))</f>
        <v/>
      </c>
      <c r="AH108" s="62" t="n"/>
      <c r="AI108" s="62" t="n"/>
      <c r="AJ108" s="62" t="n"/>
      <c r="AK108" s="62" t="n"/>
      <c r="AL108" s="62">
        <f>IF(LEFT($C108,11)="[Jefatura] ",IFERROR(MATCH("Riesgo Financiero|"&amp;MID($C108,12,500),rDname_ADM,0),0),"")</f>
        <v/>
      </c>
      <c r="AM108" s="62">
        <f>IF(N($AL108)&gt;0,INDEX(rIni_ADM,$AL108),IF(ISNUMBER($E108),$E108,""))</f>
        <v/>
      </c>
      <c r="AN108" s="62">
        <f>IF(N($AL108)&gt;0,INDEX(rLim_ADM,$AL108),IF(ISNUMBER($F108),$F108,""))</f>
        <v/>
      </c>
    </row>
    <row r="109">
      <c r="A109" s="56">
        <f>IF(NOT((COUNTA($B109:$D109)+COUNTA($G109:$L109)+COUNTA($Q109))&gt;0),"",IF($V109="Macro",COUNTIFS($V$5:$V109,"Macro",$S$5:$S109,$S109),IF(N($U109)=0,"?",COUNTIFS(INDEX($V$5:$V$1000,1):INDEX($V$5:$V$1000,$U109-4),"Macro",INDEX($S$5:$S$1000,1):INDEX($S$5:$S$1000,$U109-4),INDEX($S$5:$S$1000,$U109-4))&amp;"."&amp;COUNTIFS($U$5:$U109,$U109,$V$5:$V109,"Sub"))))</f>
        <v/>
      </c>
      <c r="B109" s="57" t="n"/>
      <c r="C109" s="58" t="n"/>
      <c r="D109" s="58" t="n"/>
      <c r="E109" s="59">
        <f>IF(N($AL109)&gt;0,INDEX(rIni_ADM,$AL109),"")</f>
        <v/>
      </c>
      <c r="F109" s="59">
        <f>IF(N($AL109)&gt;0,INDEX(rLim_ADM,$AL109),"")</f>
        <v/>
      </c>
      <c r="G109" s="59" t="n"/>
      <c r="H109" s="60" t="n"/>
      <c r="I109" s="60" t="n"/>
      <c r="J109" s="60" t="n"/>
      <c r="K109" s="60" t="n"/>
      <c r="L109" s="60" t="n"/>
      <c r="M109" s="61">
        <f>IF(NOT((COUNTA($B109:$D109)+COUNTA($G109:$L109)+COUNTA($Q109))&gt;0),"",IF($V109="Sub",IFERROR($X109/INDEX($W$5:$W$1000,$U109-4),""),IF(ISNUMBER($G109),1,IF(N($W109)&gt;0,AVERAGEIFS($X$5:$X$1000,$U$5:$U$1000,ROW(),$V$5:$V$1000,"Sub"),$X109))))</f>
        <v/>
      </c>
      <c r="N109" s="56">
        <f>IF(OR($M109="",$V109="Sub"),"",IF($M109&gt;=1,"Completado",IF($M109&gt;0,"En curso","Pendiente")))</f>
        <v/>
      </c>
      <c r="O109" s="56">
        <f>IF(OR(NOT((COUNTA($B109:$D109)+COUNTA($G109:$L109)+COUNTA($Q109))&gt;0),$V109="Sub"),"",IF(ISNUMBER($G109),IF(AND(ISNUMBER($AN109),$G109&gt;$AN109),"Cumplida con "&amp;($G109-$AN109)&amp;IF($G109-$AN109=1," día"," días")&amp;" de retraso","Cumplida"),IF(N($M109)&gt;=1,"Cumplida",IF(NOT(ISNUMBER($AN109)),"Sin fecha límite",IF($AN109&lt;FechaRef,"Vencida hace "&amp;(FechaRef-$AN109)&amp;IF(FechaRef-$AN109=1," día"," días"),IF($AN109=FechaRef,"Vence hoy",IF($AN109-FechaRef&lt;=DiasAlerta,"Vence en "&amp;($AN109-FechaRef)&amp;IF($AN109-FechaRef=1," día"," días"),"En plazo")))))))</f>
        <v/>
      </c>
      <c r="P109" s="62" t="n"/>
      <c r="Q109" s="58" t="n"/>
      <c r="R109" s="63">
        <f>IF(NOT((COUNTA($B109:$D109)+COUNTA($G109:$L109)+COUNTA($Q109))&gt;0),"",IF((IF($C109="","Falta el nombre de la actividad"&amp;" · ","")&amp;IF(AND($V109="Sub",N($U109)=0),"Subactividad sin macroactividad arriba"&amp;" · ","")&amp;IF($AM109="","Sin fecha de inicio"&amp;" · ","")&amp;IF($AN109="","Sin fecha límite"&amp;" · ","")&amp;IF(AND(LEFT($C109,11)="[Jefatura] ",N($AL109)=0),"No se encuentra en la hoja de la jefatura (elíjala de nuevo en la lista)"&amp;" · ","")&amp;IF(OR(AND($E109&lt;&gt;"",NOT(ISNUMBER($E109))),AND($F109&lt;&gt;"",NOT(ISNUMBER($F109))),AND($G109&lt;&gt;"",NOT(ISNUMBER($G109)))),"Fecha no válida"&amp;" · ","")&amp;IF(AND(ISNUMBER($AM109),ISNUMBER($AN109),$AM109&gt;$AN109),"Inicio posterior a fecha límite"&amp;" · ","")&amp;IF(AND($V109="Macro",$H109&lt;&gt;"",OR(NOT(ISNUMBER($H109)),$H109&lt;0,$H109&gt;1)),"Peso fuera de rango"&amp;" · ","")&amp;IF(AND($V109="Sub",$H109&lt;&gt;""),"Las subactividades no llevan peso (valen igual dentro de su macroactividad)"&amp;" · ","")&amp;IF(AND(N($W109)&gt;0,COUNT($I109:$L109)&gt;0),"Con subactividades: deje vacías las semanas (se calculan solas)"&amp;" · ","")&amp;IF((COUNTIF($I109:$L109,"&gt;1")+COUNTIF($I109:$L109,"&lt;0")+COUNTA($I109:$L109)-COUNT($I109:$L109))&gt;0,"Avance fuera de rango 0-100%"&amp;" · ","")&amp;IF(OR(AND($J109&lt;&gt;"",$J109&lt;$I109),AND($K109&lt;&gt;"",$K109&lt;MAX($I109:$J109)),AND($L109&lt;&gt;"",$L109&lt;MAX($I109:$K109))),"Avance semanal decreciente"&amp;" · ","")&amp;IF(AND(ISNUMBER($AN109),$AN109&lt;FechaRef,IF($V109="Sub",N($X109),N($M109))&lt;1),"Vencida"&amp;" · ","")&amp;IF(AND(ObsObligatoria="Sí",ISNUMBER($AN109),$AN109&lt;FechaRef,IF($V109="Sub",N($X109),N($M109))&lt;1,$Q109=""),"Vencida sin observación"&amp;" · ",""))="","✔ OK","⚠ "&amp;LEFT(IF($C109="","Falta el nombre de la actividad"&amp;" · ","")&amp;IF(AND($V109="Sub",N($U109)=0),"Subactividad sin macroactividad arriba"&amp;" · ","")&amp;IF($AM109="","Sin fecha de inicio"&amp;" · ","")&amp;IF($AN109="","Sin fecha límite"&amp;" · ","")&amp;IF(AND(LEFT($C109,11)="[Jefatura] ",N($AL109)=0),"No se encuentra en la hoja de la jefatura (elíjala de nuevo en la lista)"&amp;" · ","")&amp;IF(OR(AND($E109&lt;&gt;"",NOT(ISNUMBER($E109))),AND($F109&lt;&gt;"",NOT(ISNUMBER($F109))),AND($G109&lt;&gt;"",NOT(ISNUMBER($G109)))),"Fecha no válida"&amp;" · ","")&amp;IF(AND(ISNUMBER($AM109),ISNUMBER($AN109),$AM109&gt;$AN109),"Inicio posterior a fecha límite"&amp;" · ","")&amp;IF(AND($V109="Macro",$H109&lt;&gt;"",OR(NOT(ISNUMBER($H109)),$H109&lt;0,$H109&gt;1)),"Peso fuera de rango"&amp;" · ","")&amp;IF(AND($V109="Sub",$H109&lt;&gt;""),"Las subactividades no llevan peso (valen igual dentro de su macroactividad)"&amp;" · ","")&amp;IF(AND(N($W109)&gt;0,COUNT($I109:$L109)&gt;0),"Con subactividades: deje vacías las semanas (se calculan solas)"&amp;" · ","")&amp;IF((COUNTIF($I109:$L109,"&gt;1")+COUNTIF($I109:$L109,"&lt;0")+COUNTA($I109:$L109)-COUNT($I109:$L109))&gt;0,"Avance fuera de rango 0-100%"&amp;" · ","")&amp;IF(OR(AND($J109&lt;&gt;"",$J109&lt;$I109),AND($K109&lt;&gt;"",$K109&lt;MAX($I109:$J109)),AND($L109&lt;&gt;"",$L109&lt;MAX($I109:$K109))),"Avance semanal decreciente"&amp;" · ","")&amp;IF(AND(ISNUMBER($AN109),$AN109&lt;FechaRef,IF($V109="Sub",N($X109),N($M109))&lt;1),"Vencida"&amp;" · ","")&amp;IF(AND(ObsObligatoria="Sí",ISNUMBER($AN109),$AN109&lt;FechaRef,IF($V109="Sub",N($X109),N($M109))&lt;1,$Q109=""),"Vencida sin observación"&amp;" · ",""),LEN(IF($C109="","Falta el nombre de la actividad"&amp;" · ","")&amp;IF(AND($V109="Sub",N($U109)=0),"Subactividad sin macroactividad arriba"&amp;" · ","")&amp;IF($AM109="","Sin fecha de inicio"&amp;" · ","")&amp;IF($AN109="","Sin fecha límite"&amp;" · ","")&amp;IF(AND(LEFT($C109,11)="[Jefatura] ",N($AL109)=0),"No se encuentra en la hoja de la jefatura (elíjala de nuevo en la lista)"&amp;" · ","")&amp;IF(OR(AND($E109&lt;&gt;"",NOT(ISNUMBER($E109))),AND($F109&lt;&gt;"",NOT(ISNUMBER($F109))),AND($G109&lt;&gt;"",NOT(ISNUMBER($G109)))),"Fecha no válida"&amp;" · ","")&amp;IF(AND(ISNUMBER($AM109),ISNUMBER($AN109),$AM109&gt;$AN109),"Inicio posterior a fecha límite"&amp;" · ","")&amp;IF(AND($V109="Macro",$H109&lt;&gt;"",OR(NOT(ISNUMBER($H109)),$H109&lt;0,$H109&gt;1)),"Peso fuera de rango"&amp;" · ","")&amp;IF(AND($V109="Sub",$H109&lt;&gt;""),"Las subactividades no llevan peso (valen igual dentro de su macroactividad)"&amp;" · ","")&amp;IF(AND(N($W109)&gt;0,COUNT($I109:$L109)&gt;0),"Con subactividades: deje vacías las semanas (se calculan solas)"&amp;" · ","")&amp;IF((COUNTIF($I109:$L109,"&gt;1")+COUNTIF($I109:$L109,"&lt;0")+COUNTA($I109:$L109)-COUNT($I109:$L109))&gt;0,"Avance fuera de rango 0-100%"&amp;" · ","")&amp;IF(OR(AND($J109&lt;&gt;"",$J109&lt;$I109),AND($K109&lt;&gt;"",$K109&lt;MAX($I109:$J109)),AND($L109&lt;&gt;"",$L109&lt;MAX($I109:$K109))),"Avance semanal decreciente"&amp;" · ","")&amp;IF(AND(ISNUMBER($AN109),$AN109&lt;FechaRef,IF($V109="Sub",N($X109),N($M109))&lt;1),"Vencida"&amp;" · ","")&amp;IF(AND(ObsObligatoria="Sí",ISNUMBER($AN109),$AN109&lt;FechaRef,IF($V109="Sub",N($X109),N($M109))&lt;1,$Q109=""),"Vencida sin observación"&amp;" · ",""))-3)))</f>
        <v/>
      </c>
      <c r="S109" s="64">
        <f>IF(NOT((COUNTA($B109:$D109)+COUNTA($G109:$L109)+COUNTA($Q109))&gt;0),"",IF(AND($V109="Sub",N($U109)&gt;0),IF(ISNUMBER(INDEX($AM$5:$AM$1000,$U109-4)),DATE(YEAR(INDEX($AM$5:$AM$1000,$U109-4)),MONTH(INDEX($AM$5:$AM$1000,$U109-4)),1),IF(ISNUMBER(INDEX($AN$5:$AN$1000,$U109-4)),DATE(YEAR(INDEX($AN$5:$AN$1000,$U109-4)),MONTH(INDEX($AN$5:$AN$1000,$U109-4)),1),MesCiclo)),IF(ISNUMBER($AM109),DATE(YEAR($AM109),MONTH($AM109),1),IF(ISNUMBER($AN109),DATE(YEAR($AN109),MONTH($AN109),1),MesCiclo))))</f>
        <v/>
      </c>
      <c r="T109" s="62">
        <f>IF(OR($S109="",$S109&lt;&gt;MesCiclo,$V109&lt;&gt;"Macro"),"",COUNTIFS($S$5:$S109,MesCiclo,$V$5:$V109,"Macro"))</f>
        <v/>
      </c>
      <c r="U109" s="62">
        <f>IF($V109="","",IF($V109="Macro",ROW(),IFERROR(LOOKUP(2,1/($V$5:$V109="Macro"),ROW($V$5:$V109)),0)))</f>
        <v/>
      </c>
      <c r="V109" s="62">
        <f>IF(NOT((COUNTA($B109:$D109)+COUNTA($G109:$L109)+COUNTA($Q109))&gt;0),"",IF($B109="Subactividad","Sub","Macro"))</f>
        <v/>
      </c>
      <c r="W109" s="62">
        <f>IF($V109="Macro",COUNTIFS($U$5:$U$1000,ROW(),$V$5:$V$1000,"Sub"),"")</f>
        <v/>
      </c>
      <c r="X109" s="62">
        <f>IF($V109="","",IF(ISNUMBER($G109),1,IFERROR(LOOKUP(2,1/($I109:$L109&lt;&gt;""),$I109:$L109),0)))</f>
        <v/>
      </c>
      <c r="Y109" s="62">
        <f>IF($V109="","",IF(AND(ISNUMBER($G109),$G109&lt;=IF($S109=MesCiclo,InicioCiclo,$S109+MOD(2-WEEKDAY($S109),7))+6),1,IF(ISNUMBER($I109),$I109,0)))</f>
        <v/>
      </c>
      <c r="Z109" s="62">
        <f>IF($V109="","",IF(AND(ISNUMBER($G109),$G109&lt;=IF($S109=MesCiclo,InicioCiclo,$S109+MOD(2-WEEKDAY($S109),7))+13),1,IF(ISNUMBER($J109),$J109,$Y109)))</f>
        <v/>
      </c>
      <c r="AA109" s="62">
        <f>IF($V109="","",IF(AND(ISNUMBER($G109),$G109&lt;=IF($S109=MesCiclo,InicioCiclo,$S109+MOD(2-WEEKDAY($S109),7))+20),1,IF(ISNUMBER($K109),$K109,$Z109)))</f>
        <v/>
      </c>
      <c r="AB109" s="62">
        <f>IF($V109="","",IF(AND(ISNUMBER($G109),$G109&lt;=IF($S109=MesCiclo,InicioCiclo,$S109+MOD(2-WEEKDAY($S109),7))+27),1,IF(ISNUMBER($L109),$L109,$AA109)))</f>
        <v/>
      </c>
      <c r="AC109" s="62">
        <f>IF($V109="","",IF(AND(ISNUMBER($G109),$G109&lt;=IF($S109=MesCiclo,InicioCiclo,$S109+MOD(2-WEEKDAY($S109),7))+6),1,IF(N($W109)&gt;0,AVERAGEIFS($Y$5:$Y$1000,$U$5:$U$1000,ROW(),$V$5:$V$1000,"Sub"),$Y109)))</f>
        <v/>
      </c>
      <c r="AD109" s="62">
        <f>IF($V109="","",IF(AND(ISNUMBER($G109),$G109&lt;=IF($S109=MesCiclo,InicioCiclo,$S109+MOD(2-WEEKDAY($S109),7))+13),1,IF(N($W109)&gt;0,AVERAGEIFS($Z$5:$Z$1000,$U$5:$U$1000,ROW(),$V$5:$V$1000,"Sub"),$Z109)))</f>
        <v/>
      </c>
      <c r="AE109" s="62">
        <f>IF($V109="","",IF(AND(ISNUMBER($G109),$G109&lt;=IF($S109=MesCiclo,InicioCiclo,$S109+MOD(2-WEEKDAY($S109),7))+20),1,IF(N($W109)&gt;0,AVERAGEIFS($AA$5:$AA$1000,$U$5:$U$1000,ROW(),$V$5:$V$1000,"Sub"),$AA109)))</f>
        <v/>
      </c>
      <c r="AF109" s="62">
        <f>IF($V109="","",IF(AND(ISNUMBER($G109),$G109&lt;=IF($S109=MesCiclo,InicioCiclo,$S109+MOD(2-WEEKDAY($S109),7))+27),1,IF(N($W109)&gt;0,AVERAGEIFS($AB$5:$AB$1000,$U$5:$U$1000,ROW(),$V$5:$V$1000,"Sub"),$AB109)))</f>
        <v/>
      </c>
      <c r="AG109" s="62">
        <f>IF($V109&lt;&gt;"Macro","",IF(COUNTIFS($S$5:$S$1000,$S109,$V$5:$V$1000,"Macro",$H$5:$H$1000,"&gt;0")=0,1/COUNTIFS($S$5:$S$1000,$S109,$V$5:$V$1000,"Macro"),IF(AND(ISNUMBER($H109),N($H109)&gt;0),$H109,SUMIFS($H$5:$H$1000,$S$5:$S$1000,$S109,$V$5:$V$1000,"Macro")/COUNTIFS($S$5:$S$1000,$S109,$V$5:$V$1000,"Macro",$H$5:$H$1000,"&gt;0"))/(COUNTIFS($S$5:$S$1000,$S109,$V$5:$V$1000,"Macro")*SUMIFS($H$5:$H$1000,$S$5:$S$1000,$S109,$V$5:$V$1000,"Macro")/COUNTIFS($S$5:$S$1000,$S109,$V$5:$V$1000,"Macro",$H$5:$H$1000,"&gt;0"))))</f>
        <v/>
      </c>
      <c r="AH109" s="62" t="n"/>
      <c r="AI109" s="62" t="n"/>
      <c r="AJ109" s="62" t="n"/>
      <c r="AK109" s="62" t="n"/>
      <c r="AL109" s="62">
        <f>IF(LEFT($C109,11)="[Jefatura] ",IFERROR(MATCH("Riesgo Financiero|"&amp;MID($C109,12,500),rDname_ADM,0),0),"")</f>
        <v/>
      </c>
      <c r="AM109" s="62">
        <f>IF(N($AL109)&gt;0,INDEX(rIni_ADM,$AL109),IF(ISNUMBER($E109),$E109,""))</f>
        <v/>
      </c>
      <c r="AN109" s="62">
        <f>IF(N($AL109)&gt;0,INDEX(rLim_ADM,$AL109),IF(ISNUMBER($F109),$F109,""))</f>
        <v/>
      </c>
    </row>
    <row r="110">
      <c r="A110" s="56">
        <f>IF(NOT((COUNTA($B110:$D110)+COUNTA($G110:$L110)+COUNTA($Q110))&gt;0),"",IF($V110="Macro",COUNTIFS($V$5:$V110,"Macro",$S$5:$S110,$S110),IF(N($U110)=0,"?",COUNTIFS(INDEX($V$5:$V$1000,1):INDEX($V$5:$V$1000,$U110-4),"Macro",INDEX($S$5:$S$1000,1):INDEX($S$5:$S$1000,$U110-4),INDEX($S$5:$S$1000,$U110-4))&amp;"."&amp;COUNTIFS($U$5:$U110,$U110,$V$5:$V110,"Sub"))))</f>
        <v/>
      </c>
      <c r="B110" s="57" t="n"/>
      <c r="C110" s="58" t="n"/>
      <c r="D110" s="58" t="n"/>
      <c r="E110" s="59">
        <f>IF(N($AL110)&gt;0,INDEX(rIni_ADM,$AL110),"")</f>
        <v/>
      </c>
      <c r="F110" s="59">
        <f>IF(N($AL110)&gt;0,INDEX(rLim_ADM,$AL110),"")</f>
        <v/>
      </c>
      <c r="G110" s="59" t="n"/>
      <c r="H110" s="60" t="n"/>
      <c r="I110" s="60" t="n"/>
      <c r="J110" s="60" t="n"/>
      <c r="K110" s="60" t="n"/>
      <c r="L110" s="60" t="n"/>
      <c r="M110" s="61">
        <f>IF(NOT((COUNTA($B110:$D110)+COUNTA($G110:$L110)+COUNTA($Q110))&gt;0),"",IF($V110="Sub",IFERROR($X110/INDEX($W$5:$W$1000,$U110-4),""),IF(ISNUMBER($G110),1,IF(N($W110)&gt;0,AVERAGEIFS($X$5:$X$1000,$U$5:$U$1000,ROW(),$V$5:$V$1000,"Sub"),$X110))))</f>
        <v/>
      </c>
      <c r="N110" s="56">
        <f>IF(OR($M110="",$V110="Sub"),"",IF($M110&gt;=1,"Completado",IF($M110&gt;0,"En curso","Pendiente")))</f>
        <v/>
      </c>
      <c r="O110" s="56">
        <f>IF(OR(NOT((COUNTA($B110:$D110)+COUNTA($G110:$L110)+COUNTA($Q110))&gt;0),$V110="Sub"),"",IF(ISNUMBER($G110),IF(AND(ISNUMBER($AN110),$G110&gt;$AN110),"Cumplida con "&amp;($G110-$AN110)&amp;IF($G110-$AN110=1," día"," días")&amp;" de retraso","Cumplida"),IF(N($M110)&gt;=1,"Cumplida",IF(NOT(ISNUMBER($AN110)),"Sin fecha límite",IF($AN110&lt;FechaRef,"Vencida hace "&amp;(FechaRef-$AN110)&amp;IF(FechaRef-$AN110=1," día"," días"),IF($AN110=FechaRef,"Vence hoy",IF($AN110-FechaRef&lt;=DiasAlerta,"Vence en "&amp;($AN110-FechaRef)&amp;IF($AN110-FechaRef=1," día"," días"),"En plazo")))))))</f>
        <v/>
      </c>
      <c r="P110" s="62" t="n"/>
      <c r="Q110" s="58" t="n"/>
      <c r="R110" s="63">
        <f>IF(NOT((COUNTA($B110:$D110)+COUNTA($G110:$L110)+COUNTA($Q110))&gt;0),"",IF((IF($C110="","Falta el nombre de la actividad"&amp;" · ","")&amp;IF(AND($V110="Sub",N($U110)=0),"Subactividad sin macroactividad arriba"&amp;" · ","")&amp;IF($AM110="","Sin fecha de inicio"&amp;" · ","")&amp;IF($AN110="","Sin fecha límite"&amp;" · ","")&amp;IF(AND(LEFT($C110,11)="[Jefatura] ",N($AL110)=0),"No se encuentra en la hoja de la jefatura (elíjala de nuevo en la lista)"&amp;" · ","")&amp;IF(OR(AND($E110&lt;&gt;"",NOT(ISNUMBER($E110))),AND($F110&lt;&gt;"",NOT(ISNUMBER($F110))),AND($G110&lt;&gt;"",NOT(ISNUMBER($G110)))),"Fecha no válida"&amp;" · ","")&amp;IF(AND(ISNUMBER($AM110),ISNUMBER($AN110),$AM110&gt;$AN110),"Inicio posterior a fecha límite"&amp;" · ","")&amp;IF(AND($V110="Macro",$H110&lt;&gt;"",OR(NOT(ISNUMBER($H110)),$H110&lt;0,$H110&gt;1)),"Peso fuera de rango"&amp;" · ","")&amp;IF(AND($V110="Sub",$H110&lt;&gt;""),"Las subactividades no llevan peso (valen igual dentro de su macroactividad)"&amp;" · ","")&amp;IF(AND(N($W110)&gt;0,COUNT($I110:$L110)&gt;0),"Con subactividades: deje vacías las semanas (se calculan solas)"&amp;" · ","")&amp;IF((COUNTIF($I110:$L110,"&gt;1")+COUNTIF($I110:$L110,"&lt;0")+COUNTA($I110:$L110)-COUNT($I110:$L110))&gt;0,"Avance fuera de rango 0-100%"&amp;" · ","")&amp;IF(OR(AND($J110&lt;&gt;"",$J110&lt;$I110),AND($K110&lt;&gt;"",$K110&lt;MAX($I110:$J110)),AND($L110&lt;&gt;"",$L110&lt;MAX($I110:$K110))),"Avance semanal decreciente"&amp;" · ","")&amp;IF(AND(ISNUMBER($AN110),$AN110&lt;FechaRef,IF($V110="Sub",N($X110),N($M110))&lt;1),"Vencida"&amp;" · ","")&amp;IF(AND(ObsObligatoria="Sí",ISNUMBER($AN110),$AN110&lt;FechaRef,IF($V110="Sub",N($X110),N($M110))&lt;1,$Q110=""),"Vencida sin observación"&amp;" · ",""))="","✔ OK","⚠ "&amp;LEFT(IF($C110="","Falta el nombre de la actividad"&amp;" · ","")&amp;IF(AND($V110="Sub",N($U110)=0),"Subactividad sin macroactividad arriba"&amp;" · ","")&amp;IF($AM110="","Sin fecha de inicio"&amp;" · ","")&amp;IF($AN110="","Sin fecha límite"&amp;" · ","")&amp;IF(AND(LEFT($C110,11)="[Jefatura] ",N($AL110)=0),"No se encuentra en la hoja de la jefatura (elíjala de nuevo en la lista)"&amp;" · ","")&amp;IF(OR(AND($E110&lt;&gt;"",NOT(ISNUMBER($E110))),AND($F110&lt;&gt;"",NOT(ISNUMBER($F110))),AND($G110&lt;&gt;"",NOT(ISNUMBER($G110)))),"Fecha no válida"&amp;" · ","")&amp;IF(AND(ISNUMBER($AM110),ISNUMBER($AN110),$AM110&gt;$AN110),"Inicio posterior a fecha límite"&amp;" · ","")&amp;IF(AND($V110="Macro",$H110&lt;&gt;"",OR(NOT(ISNUMBER($H110)),$H110&lt;0,$H110&gt;1)),"Peso fuera de rango"&amp;" · ","")&amp;IF(AND($V110="Sub",$H110&lt;&gt;""),"Las subactividades no llevan peso (valen igual dentro de su macroactividad)"&amp;" · ","")&amp;IF(AND(N($W110)&gt;0,COUNT($I110:$L110)&gt;0),"Con subactividades: deje vacías las semanas (se calculan solas)"&amp;" · ","")&amp;IF((COUNTIF($I110:$L110,"&gt;1")+COUNTIF($I110:$L110,"&lt;0")+COUNTA($I110:$L110)-COUNT($I110:$L110))&gt;0,"Avance fuera de rango 0-100%"&amp;" · ","")&amp;IF(OR(AND($J110&lt;&gt;"",$J110&lt;$I110),AND($K110&lt;&gt;"",$K110&lt;MAX($I110:$J110)),AND($L110&lt;&gt;"",$L110&lt;MAX($I110:$K110))),"Avance semanal decreciente"&amp;" · ","")&amp;IF(AND(ISNUMBER($AN110),$AN110&lt;FechaRef,IF($V110="Sub",N($X110),N($M110))&lt;1),"Vencida"&amp;" · ","")&amp;IF(AND(ObsObligatoria="Sí",ISNUMBER($AN110),$AN110&lt;FechaRef,IF($V110="Sub",N($X110),N($M110))&lt;1,$Q110=""),"Vencida sin observación"&amp;" · ",""),LEN(IF($C110="","Falta el nombre de la actividad"&amp;" · ","")&amp;IF(AND($V110="Sub",N($U110)=0),"Subactividad sin macroactividad arriba"&amp;" · ","")&amp;IF($AM110="","Sin fecha de inicio"&amp;" · ","")&amp;IF($AN110="","Sin fecha límite"&amp;" · ","")&amp;IF(AND(LEFT($C110,11)="[Jefatura] ",N($AL110)=0),"No se encuentra en la hoja de la jefatura (elíjala de nuevo en la lista)"&amp;" · ","")&amp;IF(OR(AND($E110&lt;&gt;"",NOT(ISNUMBER($E110))),AND($F110&lt;&gt;"",NOT(ISNUMBER($F110))),AND($G110&lt;&gt;"",NOT(ISNUMBER($G110)))),"Fecha no válida"&amp;" · ","")&amp;IF(AND(ISNUMBER($AM110),ISNUMBER($AN110),$AM110&gt;$AN110),"Inicio posterior a fecha límite"&amp;" · ","")&amp;IF(AND($V110="Macro",$H110&lt;&gt;"",OR(NOT(ISNUMBER($H110)),$H110&lt;0,$H110&gt;1)),"Peso fuera de rango"&amp;" · ","")&amp;IF(AND($V110="Sub",$H110&lt;&gt;""),"Las subactividades no llevan peso (valen igual dentro de su macroactividad)"&amp;" · ","")&amp;IF(AND(N($W110)&gt;0,COUNT($I110:$L110)&gt;0),"Con subactividades: deje vacías las semanas (se calculan solas)"&amp;" · ","")&amp;IF((COUNTIF($I110:$L110,"&gt;1")+COUNTIF($I110:$L110,"&lt;0")+COUNTA($I110:$L110)-COUNT($I110:$L110))&gt;0,"Avance fuera de rango 0-100%"&amp;" · ","")&amp;IF(OR(AND($J110&lt;&gt;"",$J110&lt;$I110),AND($K110&lt;&gt;"",$K110&lt;MAX($I110:$J110)),AND($L110&lt;&gt;"",$L110&lt;MAX($I110:$K110))),"Avance semanal decreciente"&amp;" · ","")&amp;IF(AND(ISNUMBER($AN110),$AN110&lt;FechaRef,IF($V110="Sub",N($X110),N($M110))&lt;1),"Vencida"&amp;" · ","")&amp;IF(AND(ObsObligatoria="Sí",ISNUMBER($AN110),$AN110&lt;FechaRef,IF($V110="Sub",N($X110),N($M110))&lt;1,$Q110=""),"Vencida sin observación"&amp;" · ",""))-3)))</f>
        <v/>
      </c>
      <c r="S110" s="64">
        <f>IF(NOT((COUNTA($B110:$D110)+COUNTA($G110:$L110)+COUNTA($Q110))&gt;0),"",IF(AND($V110="Sub",N($U110)&gt;0),IF(ISNUMBER(INDEX($AM$5:$AM$1000,$U110-4)),DATE(YEAR(INDEX($AM$5:$AM$1000,$U110-4)),MONTH(INDEX($AM$5:$AM$1000,$U110-4)),1),IF(ISNUMBER(INDEX($AN$5:$AN$1000,$U110-4)),DATE(YEAR(INDEX($AN$5:$AN$1000,$U110-4)),MONTH(INDEX($AN$5:$AN$1000,$U110-4)),1),MesCiclo)),IF(ISNUMBER($AM110),DATE(YEAR($AM110),MONTH($AM110),1),IF(ISNUMBER($AN110),DATE(YEAR($AN110),MONTH($AN110),1),MesCiclo))))</f>
        <v/>
      </c>
      <c r="T110" s="62">
        <f>IF(OR($S110="",$S110&lt;&gt;MesCiclo,$V110&lt;&gt;"Macro"),"",COUNTIFS($S$5:$S110,MesCiclo,$V$5:$V110,"Macro"))</f>
        <v/>
      </c>
      <c r="U110" s="62">
        <f>IF($V110="","",IF($V110="Macro",ROW(),IFERROR(LOOKUP(2,1/($V$5:$V110="Macro"),ROW($V$5:$V110)),0)))</f>
        <v/>
      </c>
      <c r="V110" s="62">
        <f>IF(NOT((COUNTA($B110:$D110)+COUNTA($G110:$L110)+COUNTA($Q110))&gt;0),"",IF($B110="Subactividad","Sub","Macro"))</f>
        <v/>
      </c>
      <c r="W110" s="62">
        <f>IF($V110="Macro",COUNTIFS($U$5:$U$1000,ROW(),$V$5:$V$1000,"Sub"),"")</f>
        <v/>
      </c>
      <c r="X110" s="62">
        <f>IF($V110="","",IF(ISNUMBER($G110),1,IFERROR(LOOKUP(2,1/($I110:$L110&lt;&gt;""),$I110:$L110),0)))</f>
        <v/>
      </c>
      <c r="Y110" s="62">
        <f>IF($V110="","",IF(AND(ISNUMBER($G110),$G110&lt;=IF($S110=MesCiclo,InicioCiclo,$S110+MOD(2-WEEKDAY($S110),7))+6),1,IF(ISNUMBER($I110),$I110,0)))</f>
        <v/>
      </c>
      <c r="Z110" s="62">
        <f>IF($V110="","",IF(AND(ISNUMBER($G110),$G110&lt;=IF($S110=MesCiclo,InicioCiclo,$S110+MOD(2-WEEKDAY($S110),7))+13),1,IF(ISNUMBER($J110),$J110,$Y110)))</f>
        <v/>
      </c>
      <c r="AA110" s="62">
        <f>IF($V110="","",IF(AND(ISNUMBER($G110),$G110&lt;=IF($S110=MesCiclo,InicioCiclo,$S110+MOD(2-WEEKDAY($S110),7))+20),1,IF(ISNUMBER($K110),$K110,$Z110)))</f>
        <v/>
      </c>
      <c r="AB110" s="62">
        <f>IF($V110="","",IF(AND(ISNUMBER($G110),$G110&lt;=IF($S110=MesCiclo,InicioCiclo,$S110+MOD(2-WEEKDAY($S110),7))+27),1,IF(ISNUMBER($L110),$L110,$AA110)))</f>
        <v/>
      </c>
      <c r="AC110" s="62">
        <f>IF($V110="","",IF(AND(ISNUMBER($G110),$G110&lt;=IF($S110=MesCiclo,InicioCiclo,$S110+MOD(2-WEEKDAY($S110),7))+6),1,IF(N($W110)&gt;0,AVERAGEIFS($Y$5:$Y$1000,$U$5:$U$1000,ROW(),$V$5:$V$1000,"Sub"),$Y110)))</f>
        <v/>
      </c>
      <c r="AD110" s="62">
        <f>IF($V110="","",IF(AND(ISNUMBER($G110),$G110&lt;=IF($S110=MesCiclo,InicioCiclo,$S110+MOD(2-WEEKDAY($S110),7))+13),1,IF(N($W110)&gt;0,AVERAGEIFS($Z$5:$Z$1000,$U$5:$U$1000,ROW(),$V$5:$V$1000,"Sub"),$Z110)))</f>
        <v/>
      </c>
      <c r="AE110" s="62">
        <f>IF($V110="","",IF(AND(ISNUMBER($G110),$G110&lt;=IF($S110=MesCiclo,InicioCiclo,$S110+MOD(2-WEEKDAY($S110),7))+20),1,IF(N($W110)&gt;0,AVERAGEIFS($AA$5:$AA$1000,$U$5:$U$1000,ROW(),$V$5:$V$1000,"Sub"),$AA110)))</f>
        <v/>
      </c>
      <c r="AF110" s="62">
        <f>IF($V110="","",IF(AND(ISNUMBER($G110),$G110&lt;=IF($S110=MesCiclo,InicioCiclo,$S110+MOD(2-WEEKDAY($S110),7))+27),1,IF(N($W110)&gt;0,AVERAGEIFS($AB$5:$AB$1000,$U$5:$U$1000,ROW(),$V$5:$V$1000,"Sub"),$AB110)))</f>
        <v/>
      </c>
      <c r="AG110" s="62">
        <f>IF($V110&lt;&gt;"Macro","",IF(COUNTIFS($S$5:$S$1000,$S110,$V$5:$V$1000,"Macro",$H$5:$H$1000,"&gt;0")=0,1/COUNTIFS($S$5:$S$1000,$S110,$V$5:$V$1000,"Macro"),IF(AND(ISNUMBER($H110),N($H110)&gt;0),$H110,SUMIFS($H$5:$H$1000,$S$5:$S$1000,$S110,$V$5:$V$1000,"Macro")/COUNTIFS($S$5:$S$1000,$S110,$V$5:$V$1000,"Macro",$H$5:$H$1000,"&gt;0"))/(COUNTIFS($S$5:$S$1000,$S110,$V$5:$V$1000,"Macro")*SUMIFS($H$5:$H$1000,$S$5:$S$1000,$S110,$V$5:$V$1000,"Macro")/COUNTIFS($S$5:$S$1000,$S110,$V$5:$V$1000,"Macro",$H$5:$H$1000,"&gt;0"))))</f>
        <v/>
      </c>
      <c r="AH110" s="62" t="n"/>
      <c r="AI110" s="62" t="n"/>
      <c r="AJ110" s="62" t="n"/>
      <c r="AK110" s="62" t="n"/>
      <c r="AL110" s="62">
        <f>IF(LEFT($C110,11)="[Jefatura] ",IFERROR(MATCH("Riesgo Financiero|"&amp;MID($C110,12,500),rDname_ADM,0),0),"")</f>
        <v/>
      </c>
      <c r="AM110" s="62">
        <f>IF(N($AL110)&gt;0,INDEX(rIni_ADM,$AL110),IF(ISNUMBER($E110),$E110,""))</f>
        <v/>
      </c>
      <c r="AN110" s="62">
        <f>IF(N($AL110)&gt;0,INDEX(rLim_ADM,$AL110),IF(ISNUMBER($F110),$F110,""))</f>
        <v/>
      </c>
    </row>
    <row r="111">
      <c r="A111" s="56">
        <f>IF(NOT((COUNTA($B111:$D111)+COUNTA($G111:$L111)+COUNTA($Q111))&gt;0),"",IF($V111="Macro",COUNTIFS($V$5:$V111,"Macro",$S$5:$S111,$S111),IF(N($U111)=0,"?",COUNTIFS(INDEX($V$5:$V$1000,1):INDEX($V$5:$V$1000,$U111-4),"Macro",INDEX($S$5:$S$1000,1):INDEX($S$5:$S$1000,$U111-4),INDEX($S$5:$S$1000,$U111-4))&amp;"."&amp;COUNTIFS($U$5:$U111,$U111,$V$5:$V111,"Sub"))))</f>
        <v/>
      </c>
      <c r="B111" s="57" t="n"/>
      <c r="C111" s="58" t="n"/>
      <c r="D111" s="58" t="n"/>
      <c r="E111" s="59">
        <f>IF(N($AL111)&gt;0,INDEX(rIni_ADM,$AL111),"")</f>
        <v/>
      </c>
      <c r="F111" s="59">
        <f>IF(N($AL111)&gt;0,INDEX(rLim_ADM,$AL111),"")</f>
        <v/>
      </c>
      <c r="G111" s="59" t="n"/>
      <c r="H111" s="60" t="n"/>
      <c r="I111" s="60" t="n"/>
      <c r="J111" s="60" t="n"/>
      <c r="K111" s="60" t="n"/>
      <c r="L111" s="60" t="n"/>
      <c r="M111" s="61">
        <f>IF(NOT((COUNTA($B111:$D111)+COUNTA($G111:$L111)+COUNTA($Q111))&gt;0),"",IF($V111="Sub",IFERROR($X111/INDEX($W$5:$W$1000,$U111-4),""),IF(ISNUMBER($G111),1,IF(N($W111)&gt;0,AVERAGEIFS($X$5:$X$1000,$U$5:$U$1000,ROW(),$V$5:$V$1000,"Sub"),$X111))))</f>
        <v/>
      </c>
      <c r="N111" s="56">
        <f>IF(OR($M111="",$V111="Sub"),"",IF($M111&gt;=1,"Completado",IF($M111&gt;0,"En curso","Pendiente")))</f>
        <v/>
      </c>
      <c r="O111" s="56">
        <f>IF(OR(NOT((COUNTA($B111:$D111)+COUNTA($G111:$L111)+COUNTA($Q111))&gt;0),$V111="Sub"),"",IF(ISNUMBER($G111),IF(AND(ISNUMBER($AN111),$G111&gt;$AN111),"Cumplida con "&amp;($G111-$AN111)&amp;IF($G111-$AN111=1," día"," días")&amp;" de retraso","Cumplida"),IF(N($M111)&gt;=1,"Cumplida",IF(NOT(ISNUMBER($AN111)),"Sin fecha límite",IF($AN111&lt;FechaRef,"Vencida hace "&amp;(FechaRef-$AN111)&amp;IF(FechaRef-$AN111=1," día"," días"),IF($AN111=FechaRef,"Vence hoy",IF($AN111-FechaRef&lt;=DiasAlerta,"Vence en "&amp;($AN111-FechaRef)&amp;IF($AN111-FechaRef=1," día"," días"),"En plazo")))))))</f>
        <v/>
      </c>
      <c r="P111" s="62" t="n"/>
      <c r="Q111" s="58" t="n"/>
      <c r="R111" s="63">
        <f>IF(NOT((COUNTA($B111:$D111)+COUNTA($G111:$L111)+COUNTA($Q111))&gt;0),"",IF((IF($C111="","Falta el nombre de la actividad"&amp;" · ","")&amp;IF(AND($V111="Sub",N($U111)=0),"Subactividad sin macroactividad arriba"&amp;" · ","")&amp;IF($AM111="","Sin fecha de inicio"&amp;" · ","")&amp;IF($AN111="","Sin fecha límite"&amp;" · ","")&amp;IF(AND(LEFT($C111,11)="[Jefatura] ",N($AL111)=0),"No se encuentra en la hoja de la jefatura (elíjala de nuevo en la lista)"&amp;" · ","")&amp;IF(OR(AND($E111&lt;&gt;"",NOT(ISNUMBER($E111))),AND($F111&lt;&gt;"",NOT(ISNUMBER($F111))),AND($G111&lt;&gt;"",NOT(ISNUMBER($G111)))),"Fecha no válida"&amp;" · ","")&amp;IF(AND(ISNUMBER($AM111),ISNUMBER($AN111),$AM111&gt;$AN111),"Inicio posterior a fecha límite"&amp;" · ","")&amp;IF(AND($V111="Macro",$H111&lt;&gt;"",OR(NOT(ISNUMBER($H111)),$H111&lt;0,$H111&gt;1)),"Peso fuera de rango"&amp;" · ","")&amp;IF(AND($V111="Sub",$H111&lt;&gt;""),"Las subactividades no llevan peso (valen igual dentro de su macroactividad)"&amp;" · ","")&amp;IF(AND(N($W111)&gt;0,COUNT($I111:$L111)&gt;0),"Con subactividades: deje vacías las semanas (se calculan solas)"&amp;" · ","")&amp;IF((COUNTIF($I111:$L111,"&gt;1")+COUNTIF($I111:$L111,"&lt;0")+COUNTA($I111:$L111)-COUNT($I111:$L111))&gt;0,"Avance fuera de rango 0-100%"&amp;" · ","")&amp;IF(OR(AND($J111&lt;&gt;"",$J111&lt;$I111),AND($K111&lt;&gt;"",$K111&lt;MAX($I111:$J111)),AND($L111&lt;&gt;"",$L111&lt;MAX($I111:$K111))),"Avance semanal decreciente"&amp;" · ","")&amp;IF(AND(ISNUMBER($AN111),$AN111&lt;FechaRef,IF($V111="Sub",N($X111),N($M111))&lt;1),"Vencida"&amp;" · ","")&amp;IF(AND(ObsObligatoria="Sí",ISNUMBER($AN111),$AN111&lt;FechaRef,IF($V111="Sub",N($X111),N($M111))&lt;1,$Q111=""),"Vencida sin observación"&amp;" · ",""))="","✔ OK","⚠ "&amp;LEFT(IF($C111="","Falta el nombre de la actividad"&amp;" · ","")&amp;IF(AND($V111="Sub",N($U111)=0),"Subactividad sin macroactividad arriba"&amp;" · ","")&amp;IF($AM111="","Sin fecha de inicio"&amp;" · ","")&amp;IF($AN111="","Sin fecha límite"&amp;" · ","")&amp;IF(AND(LEFT($C111,11)="[Jefatura] ",N($AL111)=0),"No se encuentra en la hoja de la jefatura (elíjala de nuevo en la lista)"&amp;" · ","")&amp;IF(OR(AND($E111&lt;&gt;"",NOT(ISNUMBER($E111))),AND($F111&lt;&gt;"",NOT(ISNUMBER($F111))),AND($G111&lt;&gt;"",NOT(ISNUMBER($G111)))),"Fecha no válida"&amp;" · ","")&amp;IF(AND(ISNUMBER($AM111),ISNUMBER($AN111),$AM111&gt;$AN111),"Inicio posterior a fecha límite"&amp;" · ","")&amp;IF(AND($V111="Macro",$H111&lt;&gt;"",OR(NOT(ISNUMBER($H111)),$H111&lt;0,$H111&gt;1)),"Peso fuera de rango"&amp;" · ","")&amp;IF(AND($V111="Sub",$H111&lt;&gt;""),"Las subactividades no llevan peso (valen igual dentro de su macroactividad)"&amp;" · ","")&amp;IF(AND(N($W111)&gt;0,COUNT($I111:$L111)&gt;0),"Con subactividades: deje vacías las semanas (se calculan solas)"&amp;" · ","")&amp;IF((COUNTIF($I111:$L111,"&gt;1")+COUNTIF($I111:$L111,"&lt;0")+COUNTA($I111:$L111)-COUNT($I111:$L111))&gt;0,"Avance fuera de rango 0-100%"&amp;" · ","")&amp;IF(OR(AND($J111&lt;&gt;"",$J111&lt;$I111),AND($K111&lt;&gt;"",$K111&lt;MAX($I111:$J111)),AND($L111&lt;&gt;"",$L111&lt;MAX($I111:$K111))),"Avance semanal decreciente"&amp;" · ","")&amp;IF(AND(ISNUMBER($AN111),$AN111&lt;FechaRef,IF($V111="Sub",N($X111),N($M111))&lt;1),"Vencida"&amp;" · ","")&amp;IF(AND(ObsObligatoria="Sí",ISNUMBER($AN111),$AN111&lt;FechaRef,IF($V111="Sub",N($X111),N($M111))&lt;1,$Q111=""),"Vencida sin observación"&amp;" · ",""),LEN(IF($C111="","Falta el nombre de la actividad"&amp;" · ","")&amp;IF(AND($V111="Sub",N($U111)=0),"Subactividad sin macroactividad arriba"&amp;" · ","")&amp;IF($AM111="","Sin fecha de inicio"&amp;" · ","")&amp;IF($AN111="","Sin fecha límite"&amp;" · ","")&amp;IF(AND(LEFT($C111,11)="[Jefatura] ",N($AL111)=0),"No se encuentra en la hoja de la jefatura (elíjala de nuevo en la lista)"&amp;" · ","")&amp;IF(OR(AND($E111&lt;&gt;"",NOT(ISNUMBER($E111))),AND($F111&lt;&gt;"",NOT(ISNUMBER($F111))),AND($G111&lt;&gt;"",NOT(ISNUMBER($G111)))),"Fecha no válida"&amp;" · ","")&amp;IF(AND(ISNUMBER($AM111),ISNUMBER($AN111),$AM111&gt;$AN111),"Inicio posterior a fecha límite"&amp;" · ","")&amp;IF(AND($V111="Macro",$H111&lt;&gt;"",OR(NOT(ISNUMBER($H111)),$H111&lt;0,$H111&gt;1)),"Peso fuera de rango"&amp;" · ","")&amp;IF(AND($V111="Sub",$H111&lt;&gt;""),"Las subactividades no llevan peso (valen igual dentro de su macroactividad)"&amp;" · ","")&amp;IF(AND(N($W111)&gt;0,COUNT($I111:$L111)&gt;0),"Con subactividades: deje vacías las semanas (se calculan solas)"&amp;" · ","")&amp;IF((COUNTIF($I111:$L111,"&gt;1")+COUNTIF($I111:$L111,"&lt;0")+COUNTA($I111:$L111)-COUNT($I111:$L111))&gt;0,"Avance fuera de rango 0-100%"&amp;" · ","")&amp;IF(OR(AND($J111&lt;&gt;"",$J111&lt;$I111),AND($K111&lt;&gt;"",$K111&lt;MAX($I111:$J111)),AND($L111&lt;&gt;"",$L111&lt;MAX($I111:$K111))),"Avance semanal decreciente"&amp;" · ","")&amp;IF(AND(ISNUMBER($AN111),$AN111&lt;FechaRef,IF($V111="Sub",N($X111),N($M111))&lt;1),"Vencida"&amp;" · ","")&amp;IF(AND(ObsObligatoria="Sí",ISNUMBER($AN111),$AN111&lt;FechaRef,IF($V111="Sub",N($X111),N($M111))&lt;1,$Q111=""),"Vencida sin observación"&amp;" · ",""))-3)))</f>
        <v/>
      </c>
      <c r="S111" s="64">
        <f>IF(NOT((COUNTA($B111:$D111)+COUNTA($G111:$L111)+COUNTA($Q111))&gt;0),"",IF(AND($V111="Sub",N($U111)&gt;0),IF(ISNUMBER(INDEX($AM$5:$AM$1000,$U111-4)),DATE(YEAR(INDEX($AM$5:$AM$1000,$U111-4)),MONTH(INDEX($AM$5:$AM$1000,$U111-4)),1),IF(ISNUMBER(INDEX($AN$5:$AN$1000,$U111-4)),DATE(YEAR(INDEX($AN$5:$AN$1000,$U111-4)),MONTH(INDEX($AN$5:$AN$1000,$U111-4)),1),MesCiclo)),IF(ISNUMBER($AM111),DATE(YEAR($AM111),MONTH($AM111),1),IF(ISNUMBER($AN111),DATE(YEAR($AN111),MONTH($AN111),1),MesCiclo))))</f>
        <v/>
      </c>
      <c r="T111" s="62">
        <f>IF(OR($S111="",$S111&lt;&gt;MesCiclo,$V111&lt;&gt;"Macro"),"",COUNTIFS($S$5:$S111,MesCiclo,$V$5:$V111,"Macro"))</f>
        <v/>
      </c>
      <c r="U111" s="62">
        <f>IF($V111="","",IF($V111="Macro",ROW(),IFERROR(LOOKUP(2,1/($V$5:$V111="Macro"),ROW($V$5:$V111)),0)))</f>
        <v/>
      </c>
      <c r="V111" s="62">
        <f>IF(NOT((COUNTA($B111:$D111)+COUNTA($G111:$L111)+COUNTA($Q111))&gt;0),"",IF($B111="Subactividad","Sub","Macro"))</f>
        <v/>
      </c>
      <c r="W111" s="62">
        <f>IF($V111="Macro",COUNTIFS($U$5:$U$1000,ROW(),$V$5:$V$1000,"Sub"),"")</f>
        <v/>
      </c>
      <c r="X111" s="62">
        <f>IF($V111="","",IF(ISNUMBER($G111),1,IFERROR(LOOKUP(2,1/($I111:$L111&lt;&gt;""),$I111:$L111),0)))</f>
        <v/>
      </c>
      <c r="Y111" s="62">
        <f>IF($V111="","",IF(AND(ISNUMBER($G111),$G111&lt;=IF($S111=MesCiclo,InicioCiclo,$S111+MOD(2-WEEKDAY($S111),7))+6),1,IF(ISNUMBER($I111),$I111,0)))</f>
        <v/>
      </c>
      <c r="Z111" s="62">
        <f>IF($V111="","",IF(AND(ISNUMBER($G111),$G111&lt;=IF($S111=MesCiclo,InicioCiclo,$S111+MOD(2-WEEKDAY($S111),7))+13),1,IF(ISNUMBER($J111),$J111,$Y111)))</f>
        <v/>
      </c>
      <c r="AA111" s="62">
        <f>IF($V111="","",IF(AND(ISNUMBER($G111),$G111&lt;=IF($S111=MesCiclo,InicioCiclo,$S111+MOD(2-WEEKDAY($S111),7))+20),1,IF(ISNUMBER($K111),$K111,$Z111)))</f>
        <v/>
      </c>
      <c r="AB111" s="62">
        <f>IF($V111="","",IF(AND(ISNUMBER($G111),$G111&lt;=IF($S111=MesCiclo,InicioCiclo,$S111+MOD(2-WEEKDAY($S111),7))+27),1,IF(ISNUMBER($L111),$L111,$AA111)))</f>
        <v/>
      </c>
      <c r="AC111" s="62">
        <f>IF($V111="","",IF(AND(ISNUMBER($G111),$G111&lt;=IF($S111=MesCiclo,InicioCiclo,$S111+MOD(2-WEEKDAY($S111),7))+6),1,IF(N($W111)&gt;0,AVERAGEIFS($Y$5:$Y$1000,$U$5:$U$1000,ROW(),$V$5:$V$1000,"Sub"),$Y111)))</f>
        <v/>
      </c>
      <c r="AD111" s="62">
        <f>IF($V111="","",IF(AND(ISNUMBER($G111),$G111&lt;=IF($S111=MesCiclo,InicioCiclo,$S111+MOD(2-WEEKDAY($S111),7))+13),1,IF(N($W111)&gt;0,AVERAGEIFS($Z$5:$Z$1000,$U$5:$U$1000,ROW(),$V$5:$V$1000,"Sub"),$Z111)))</f>
        <v/>
      </c>
      <c r="AE111" s="62">
        <f>IF($V111="","",IF(AND(ISNUMBER($G111),$G111&lt;=IF($S111=MesCiclo,InicioCiclo,$S111+MOD(2-WEEKDAY($S111),7))+20),1,IF(N($W111)&gt;0,AVERAGEIFS($AA$5:$AA$1000,$U$5:$U$1000,ROW(),$V$5:$V$1000,"Sub"),$AA111)))</f>
        <v/>
      </c>
      <c r="AF111" s="62">
        <f>IF($V111="","",IF(AND(ISNUMBER($G111),$G111&lt;=IF($S111=MesCiclo,InicioCiclo,$S111+MOD(2-WEEKDAY($S111),7))+27),1,IF(N($W111)&gt;0,AVERAGEIFS($AB$5:$AB$1000,$U$5:$U$1000,ROW(),$V$5:$V$1000,"Sub"),$AB111)))</f>
        <v/>
      </c>
      <c r="AG111" s="62">
        <f>IF($V111&lt;&gt;"Macro","",IF(COUNTIFS($S$5:$S$1000,$S111,$V$5:$V$1000,"Macro",$H$5:$H$1000,"&gt;0")=0,1/COUNTIFS($S$5:$S$1000,$S111,$V$5:$V$1000,"Macro"),IF(AND(ISNUMBER($H111),N($H111)&gt;0),$H111,SUMIFS($H$5:$H$1000,$S$5:$S$1000,$S111,$V$5:$V$1000,"Macro")/COUNTIFS($S$5:$S$1000,$S111,$V$5:$V$1000,"Macro",$H$5:$H$1000,"&gt;0"))/(COUNTIFS($S$5:$S$1000,$S111,$V$5:$V$1000,"Macro")*SUMIFS($H$5:$H$1000,$S$5:$S$1000,$S111,$V$5:$V$1000,"Macro")/COUNTIFS($S$5:$S$1000,$S111,$V$5:$V$1000,"Macro",$H$5:$H$1000,"&gt;0"))))</f>
        <v/>
      </c>
      <c r="AH111" s="62" t="n"/>
      <c r="AI111" s="62" t="n"/>
      <c r="AJ111" s="62" t="n"/>
      <c r="AK111" s="62" t="n"/>
      <c r="AL111" s="62">
        <f>IF(LEFT($C111,11)="[Jefatura] ",IFERROR(MATCH("Riesgo Financiero|"&amp;MID($C111,12,500),rDname_ADM,0),0),"")</f>
        <v/>
      </c>
      <c r="AM111" s="62">
        <f>IF(N($AL111)&gt;0,INDEX(rIni_ADM,$AL111),IF(ISNUMBER($E111),$E111,""))</f>
        <v/>
      </c>
      <c r="AN111" s="62">
        <f>IF(N($AL111)&gt;0,INDEX(rLim_ADM,$AL111),IF(ISNUMBER($F111),$F111,""))</f>
        <v/>
      </c>
    </row>
    <row r="112">
      <c r="A112" s="56">
        <f>IF(NOT((COUNTA($B112:$D112)+COUNTA($G112:$L112)+COUNTA($Q112))&gt;0),"",IF($V112="Macro",COUNTIFS($V$5:$V112,"Macro",$S$5:$S112,$S112),IF(N($U112)=0,"?",COUNTIFS(INDEX($V$5:$V$1000,1):INDEX($V$5:$V$1000,$U112-4),"Macro",INDEX($S$5:$S$1000,1):INDEX($S$5:$S$1000,$U112-4),INDEX($S$5:$S$1000,$U112-4))&amp;"."&amp;COUNTIFS($U$5:$U112,$U112,$V$5:$V112,"Sub"))))</f>
        <v/>
      </c>
      <c r="B112" s="57" t="n"/>
      <c r="C112" s="58" t="n"/>
      <c r="D112" s="58" t="n"/>
      <c r="E112" s="59">
        <f>IF(N($AL112)&gt;0,INDEX(rIni_ADM,$AL112),"")</f>
        <v/>
      </c>
      <c r="F112" s="59">
        <f>IF(N($AL112)&gt;0,INDEX(rLim_ADM,$AL112),"")</f>
        <v/>
      </c>
      <c r="G112" s="59" t="n"/>
      <c r="H112" s="60" t="n"/>
      <c r="I112" s="60" t="n"/>
      <c r="J112" s="60" t="n"/>
      <c r="K112" s="60" t="n"/>
      <c r="L112" s="60" t="n"/>
      <c r="M112" s="61">
        <f>IF(NOT((COUNTA($B112:$D112)+COUNTA($G112:$L112)+COUNTA($Q112))&gt;0),"",IF($V112="Sub",IFERROR($X112/INDEX($W$5:$W$1000,$U112-4),""),IF(ISNUMBER($G112),1,IF(N($W112)&gt;0,AVERAGEIFS($X$5:$X$1000,$U$5:$U$1000,ROW(),$V$5:$V$1000,"Sub"),$X112))))</f>
        <v/>
      </c>
      <c r="N112" s="56">
        <f>IF(OR($M112="",$V112="Sub"),"",IF($M112&gt;=1,"Completado",IF($M112&gt;0,"En curso","Pendiente")))</f>
        <v/>
      </c>
      <c r="O112" s="56">
        <f>IF(OR(NOT((COUNTA($B112:$D112)+COUNTA($G112:$L112)+COUNTA($Q112))&gt;0),$V112="Sub"),"",IF(ISNUMBER($G112),IF(AND(ISNUMBER($AN112),$G112&gt;$AN112),"Cumplida con "&amp;($G112-$AN112)&amp;IF($G112-$AN112=1," día"," días")&amp;" de retraso","Cumplida"),IF(N($M112)&gt;=1,"Cumplida",IF(NOT(ISNUMBER($AN112)),"Sin fecha límite",IF($AN112&lt;FechaRef,"Vencida hace "&amp;(FechaRef-$AN112)&amp;IF(FechaRef-$AN112=1," día"," días"),IF($AN112=FechaRef,"Vence hoy",IF($AN112-FechaRef&lt;=DiasAlerta,"Vence en "&amp;($AN112-FechaRef)&amp;IF($AN112-FechaRef=1," día"," días"),"En plazo")))))))</f>
        <v/>
      </c>
      <c r="P112" s="62" t="n"/>
      <c r="Q112" s="58" t="n"/>
      <c r="R112" s="63">
        <f>IF(NOT((COUNTA($B112:$D112)+COUNTA($G112:$L112)+COUNTA($Q112))&gt;0),"",IF((IF($C112="","Falta el nombre de la actividad"&amp;" · ","")&amp;IF(AND($V112="Sub",N($U112)=0),"Subactividad sin macroactividad arriba"&amp;" · ","")&amp;IF($AM112="","Sin fecha de inicio"&amp;" · ","")&amp;IF($AN112="","Sin fecha límite"&amp;" · ","")&amp;IF(AND(LEFT($C112,11)="[Jefatura] ",N($AL112)=0),"No se encuentra en la hoja de la jefatura (elíjala de nuevo en la lista)"&amp;" · ","")&amp;IF(OR(AND($E112&lt;&gt;"",NOT(ISNUMBER($E112))),AND($F112&lt;&gt;"",NOT(ISNUMBER($F112))),AND($G112&lt;&gt;"",NOT(ISNUMBER($G112)))),"Fecha no válida"&amp;" · ","")&amp;IF(AND(ISNUMBER($AM112),ISNUMBER($AN112),$AM112&gt;$AN112),"Inicio posterior a fecha límite"&amp;" · ","")&amp;IF(AND($V112="Macro",$H112&lt;&gt;"",OR(NOT(ISNUMBER($H112)),$H112&lt;0,$H112&gt;1)),"Peso fuera de rango"&amp;" · ","")&amp;IF(AND($V112="Sub",$H112&lt;&gt;""),"Las subactividades no llevan peso (valen igual dentro de su macroactividad)"&amp;" · ","")&amp;IF(AND(N($W112)&gt;0,COUNT($I112:$L112)&gt;0),"Con subactividades: deje vacías las semanas (se calculan solas)"&amp;" · ","")&amp;IF((COUNTIF($I112:$L112,"&gt;1")+COUNTIF($I112:$L112,"&lt;0")+COUNTA($I112:$L112)-COUNT($I112:$L112))&gt;0,"Avance fuera de rango 0-100%"&amp;" · ","")&amp;IF(OR(AND($J112&lt;&gt;"",$J112&lt;$I112),AND($K112&lt;&gt;"",$K112&lt;MAX($I112:$J112)),AND($L112&lt;&gt;"",$L112&lt;MAX($I112:$K112))),"Avance semanal decreciente"&amp;" · ","")&amp;IF(AND(ISNUMBER($AN112),$AN112&lt;FechaRef,IF($V112="Sub",N($X112),N($M112))&lt;1),"Vencida"&amp;" · ","")&amp;IF(AND(ObsObligatoria="Sí",ISNUMBER($AN112),$AN112&lt;FechaRef,IF($V112="Sub",N($X112),N($M112))&lt;1,$Q112=""),"Vencida sin observación"&amp;" · ",""))="","✔ OK","⚠ "&amp;LEFT(IF($C112="","Falta el nombre de la actividad"&amp;" · ","")&amp;IF(AND($V112="Sub",N($U112)=0),"Subactividad sin macroactividad arriba"&amp;" · ","")&amp;IF($AM112="","Sin fecha de inicio"&amp;" · ","")&amp;IF($AN112="","Sin fecha límite"&amp;" · ","")&amp;IF(AND(LEFT($C112,11)="[Jefatura] ",N($AL112)=0),"No se encuentra en la hoja de la jefatura (elíjala de nuevo en la lista)"&amp;" · ","")&amp;IF(OR(AND($E112&lt;&gt;"",NOT(ISNUMBER($E112))),AND($F112&lt;&gt;"",NOT(ISNUMBER($F112))),AND($G112&lt;&gt;"",NOT(ISNUMBER($G112)))),"Fecha no válida"&amp;" · ","")&amp;IF(AND(ISNUMBER($AM112),ISNUMBER($AN112),$AM112&gt;$AN112),"Inicio posterior a fecha límite"&amp;" · ","")&amp;IF(AND($V112="Macro",$H112&lt;&gt;"",OR(NOT(ISNUMBER($H112)),$H112&lt;0,$H112&gt;1)),"Peso fuera de rango"&amp;" · ","")&amp;IF(AND($V112="Sub",$H112&lt;&gt;""),"Las subactividades no llevan peso (valen igual dentro de su macroactividad)"&amp;" · ","")&amp;IF(AND(N($W112)&gt;0,COUNT($I112:$L112)&gt;0),"Con subactividades: deje vacías las semanas (se calculan solas)"&amp;" · ","")&amp;IF((COUNTIF($I112:$L112,"&gt;1")+COUNTIF($I112:$L112,"&lt;0")+COUNTA($I112:$L112)-COUNT($I112:$L112))&gt;0,"Avance fuera de rango 0-100%"&amp;" · ","")&amp;IF(OR(AND($J112&lt;&gt;"",$J112&lt;$I112),AND($K112&lt;&gt;"",$K112&lt;MAX($I112:$J112)),AND($L112&lt;&gt;"",$L112&lt;MAX($I112:$K112))),"Avance semanal decreciente"&amp;" · ","")&amp;IF(AND(ISNUMBER($AN112),$AN112&lt;FechaRef,IF($V112="Sub",N($X112),N($M112))&lt;1),"Vencida"&amp;" · ","")&amp;IF(AND(ObsObligatoria="Sí",ISNUMBER($AN112),$AN112&lt;FechaRef,IF($V112="Sub",N($X112),N($M112))&lt;1,$Q112=""),"Vencida sin observación"&amp;" · ",""),LEN(IF($C112="","Falta el nombre de la actividad"&amp;" · ","")&amp;IF(AND($V112="Sub",N($U112)=0),"Subactividad sin macroactividad arriba"&amp;" · ","")&amp;IF($AM112="","Sin fecha de inicio"&amp;" · ","")&amp;IF($AN112="","Sin fecha límite"&amp;" · ","")&amp;IF(AND(LEFT($C112,11)="[Jefatura] ",N($AL112)=0),"No se encuentra en la hoja de la jefatura (elíjala de nuevo en la lista)"&amp;" · ","")&amp;IF(OR(AND($E112&lt;&gt;"",NOT(ISNUMBER($E112))),AND($F112&lt;&gt;"",NOT(ISNUMBER($F112))),AND($G112&lt;&gt;"",NOT(ISNUMBER($G112)))),"Fecha no válida"&amp;" · ","")&amp;IF(AND(ISNUMBER($AM112),ISNUMBER($AN112),$AM112&gt;$AN112),"Inicio posterior a fecha límite"&amp;" · ","")&amp;IF(AND($V112="Macro",$H112&lt;&gt;"",OR(NOT(ISNUMBER($H112)),$H112&lt;0,$H112&gt;1)),"Peso fuera de rango"&amp;" · ","")&amp;IF(AND($V112="Sub",$H112&lt;&gt;""),"Las subactividades no llevan peso (valen igual dentro de su macroactividad)"&amp;" · ","")&amp;IF(AND(N($W112)&gt;0,COUNT($I112:$L112)&gt;0),"Con subactividades: deje vacías las semanas (se calculan solas)"&amp;" · ","")&amp;IF((COUNTIF($I112:$L112,"&gt;1")+COUNTIF($I112:$L112,"&lt;0")+COUNTA($I112:$L112)-COUNT($I112:$L112))&gt;0,"Avance fuera de rango 0-100%"&amp;" · ","")&amp;IF(OR(AND($J112&lt;&gt;"",$J112&lt;$I112),AND($K112&lt;&gt;"",$K112&lt;MAX($I112:$J112)),AND($L112&lt;&gt;"",$L112&lt;MAX($I112:$K112))),"Avance semanal decreciente"&amp;" · ","")&amp;IF(AND(ISNUMBER($AN112),$AN112&lt;FechaRef,IF($V112="Sub",N($X112),N($M112))&lt;1),"Vencida"&amp;" · ","")&amp;IF(AND(ObsObligatoria="Sí",ISNUMBER($AN112),$AN112&lt;FechaRef,IF($V112="Sub",N($X112),N($M112))&lt;1,$Q112=""),"Vencida sin observación"&amp;" · ",""))-3)))</f>
        <v/>
      </c>
      <c r="S112" s="64">
        <f>IF(NOT((COUNTA($B112:$D112)+COUNTA($G112:$L112)+COUNTA($Q112))&gt;0),"",IF(AND($V112="Sub",N($U112)&gt;0),IF(ISNUMBER(INDEX($AM$5:$AM$1000,$U112-4)),DATE(YEAR(INDEX($AM$5:$AM$1000,$U112-4)),MONTH(INDEX($AM$5:$AM$1000,$U112-4)),1),IF(ISNUMBER(INDEX($AN$5:$AN$1000,$U112-4)),DATE(YEAR(INDEX($AN$5:$AN$1000,$U112-4)),MONTH(INDEX($AN$5:$AN$1000,$U112-4)),1),MesCiclo)),IF(ISNUMBER($AM112),DATE(YEAR($AM112),MONTH($AM112),1),IF(ISNUMBER($AN112),DATE(YEAR($AN112),MONTH($AN112),1),MesCiclo))))</f>
        <v/>
      </c>
      <c r="T112" s="62">
        <f>IF(OR($S112="",$S112&lt;&gt;MesCiclo,$V112&lt;&gt;"Macro"),"",COUNTIFS($S$5:$S112,MesCiclo,$V$5:$V112,"Macro"))</f>
        <v/>
      </c>
      <c r="U112" s="62">
        <f>IF($V112="","",IF($V112="Macro",ROW(),IFERROR(LOOKUP(2,1/($V$5:$V112="Macro"),ROW($V$5:$V112)),0)))</f>
        <v/>
      </c>
      <c r="V112" s="62">
        <f>IF(NOT((COUNTA($B112:$D112)+COUNTA($G112:$L112)+COUNTA($Q112))&gt;0),"",IF($B112="Subactividad","Sub","Macro"))</f>
        <v/>
      </c>
      <c r="W112" s="62">
        <f>IF($V112="Macro",COUNTIFS($U$5:$U$1000,ROW(),$V$5:$V$1000,"Sub"),"")</f>
        <v/>
      </c>
      <c r="X112" s="62">
        <f>IF($V112="","",IF(ISNUMBER($G112),1,IFERROR(LOOKUP(2,1/($I112:$L112&lt;&gt;""),$I112:$L112),0)))</f>
        <v/>
      </c>
      <c r="Y112" s="62">
        <f>IF($V112="","",IF(AND(ISNUMBER($G112),$G112&lt;=IF($S112=MesCiclo,InicioCiclo,$S112+MOD(2-WEEKDAY($S112),7))+6),1,IF(ISNUMBER($I112),$I112,0)))</f>
        <v/>
      </c>
      <c r="Z112" s="62">
        <f>IF($V112="","",IF(AND(ISNUMBER($G112),$G112&lt;=IF($S112=MesCiclo,InicioCiclo,$S112+MOD(2-WEEKDAY($S112),7))+13),1,IF(ISNUMBER($J112),$J112,$Y112)))</f>
        <v/>
      </c>
      <c r="AA112" s="62">
        <f>IF($V112="","",IF(AND(ISNUMBER($G112),$G112&lt;=IF($S112=MesCiclo,InicioCiclo,$S112+MOD(2-WEEKDAY($S112),7))+20),1,IF(ISNUMBER($K112),$K112,$Z112)))</f>
        <v/>
      </c>
      <c r="AB112" s="62">
        <f>IF($V112="","",IF(AND(ISNUMBER($G112),$G112&lt;=IF($S112=MesCiclo,InicioCiclo,$S112+MOD(2-WEEKDAY($S112),7))+27),1,IF(ISNUMBER($L112),$L112,$AA112)))</f>
        <v/>
      </c>
      <c r="AC112" s="62">
        <f>IF($V112="","",IF(AND(ISNUMBER($G112),$G112&lt;=IF($S112=MesCiclo,InicioCiclo,$S112+MOD(2-WEEKDAY($S112),7))+6),1,IF(N($W112)&gt;0,AVERAGEIFS($Y$5:$Y$1000,$U$5:$U$1000,ROW(),$V$5:$V$1000,"Sub"),$Y112)))</f>
        <v/>
      </c>
      <c r="AD112" s="62">
        <f>IF($V112="","",IF(AND(ISNUMBER($G112),$G112&lt;=IF($S112=MesCiclo,InicioCiclo,$S112+MOD(2-WEEKDAY($S112),7))+13),1,IF(N($W112)&gt;0,AVERAGEIFS($Z$5:$Z$1000,$U$5:$U$1000,ROW(),$V$5:$V$1000,"Sub"),$Z112)))</f>
        <v/>
      </c>
      <c r="AE112" s="62">
        <f>IF($V112="","",IF(AND(ISNUMBER($G112),$G112&lt;=IF($S112=MesCiclo,InicioCiclo,$S112+MOD(2-WEEKDAY($S112),7))+20),1,IF(N($W112)&gt;0,AVERAGEIFS($AA$5:$AA$1000,$U$5:$U$1000,ROW(),$V$5:$V$1000,"Sub"),$AA112)))</f>
        <v/>
      </c>
      <c r="AF112" s="62">
        <f>IF($V112="","",IF(AND(ISNUMBER($G112),$G112&lt;=IF($S112=MesCiclo,InicioCiclo,$S112+MOD(2-WEEKDAY($S112),7))+27),1,IF(N($W112)&gt;0,AVERAGEIFS($AB$5:$AB$1000,$U$5:$U$1000,ROW(),$V$5:$V$1000,"Sub"),$AB112)))</f>
        <v/>
      </c>
      <c r="AG112" s="62">
        <f>IF($V112&lt;&gt;"Macro","",IF(COUNTIFS($S$5:$S$1000,$S112,$V$5:$V$1000,"Macro",$H$5:$H$1000,"&gt;0")=0,1/COUNTIFS($S$5:$S$1000,$S112,$V$5:$V$1000,"Macro"),IF(AND(ISNUMBER($H112),N($H112)&gt;0),$H112,SUMIFS($H$5:$H$1000,$S$5:$S$1000,$S112,$V$5:$V$1000,"Macro")/COUNTIFS($S$5:$S$1000,$S112,$V$5:$V$1000,"Macro",$H$5:$H$1000,"&gt;0"))/(COUNTIFS($S$5:$S$1000,$S112,$V$5:$V$1000,"Macro")*SUMIFS($H$5:$H$1000,$S$5:$S$1000,$S112,$V$5:$V$1000,"Macro")/COUNTIFS($S$5:$S$1000,$S112,$V$5:$V$1000,"Macro",$H$5:$H$1000,"&gt;0"))))</f>
        <v/>
      </c>
      <c r="AH112" s="62" t="n"/>
      <c r="AI112" s="62" t="n"/>
      <c r="AJ112" s="62" t="n"/>
      <c r="AK112" s="62" t="n"/>
      <c r="AL112" s="62">
        <f>IF(LEFT($C112,11)="[Jefatura] ",IFERROR(MATCH("Riesgo Financiero|"&amp;MID($C112,12,500),rDname_ADM,0),0),"")</f>
        <v/>
      </c>
      <c r="AM112" s="62">
        <f>IF(N($AL112)&gt;0,INDEX(rIni_ADM,$AL112),IF(ISNUMBER($E112),$E112,""))</f>
        <v/>
      </c>
      <c r="AN112" s="62">
        <f>IF(N($AL112)&gt;0,INDEX(rLim_ADM,$AL112),IF(ISNUMBER($F112),$F112,""))</f>
        <v/>
      </c>
    </row>
    <row r="113">
      <c r="A113" s="56">
        <f>IF(NOT((COUNTA($B113:$D113)+COUNTA($G113:$L113)+COUNTA($Q113))&gt;0),"",IF($V113="Macro",COUNTIFS($V$5:$V113,"Macro",$S$5:$S113,$S113),IF(N($U113)=0,"?",COUNTIFS(INDEX($V$5:$V$1000,1):INDEX($V$5:$V$1000,$U113-4),"Macro",INDEX($S$5:$S$1000,1):INDEX($S$5:$S$1000,$U113-4),INDEX($S$5:$S$1000,$U113-4))&amp;"."&amp;COUNTIFS($U$5:$U113,$U113,$V$5:$V113,"Sub"))))</f>
        <v/>
      </c>
      <c r="B113" s="57" t="n"/>
      <c r="C113" s="58" t="n"/>
      <c r="D113" s="58" t="n"/>
      <c r="E113" s="59">
        <f>IF(N($AL113)&gt;0,INDEX(rIni_ADM,$AL113),"")</f>
        <v/>
      </c>
      <c r="F113" s="59">
        <f>IF(N($AL113)&gt;0,INDEX(rLim_ADM,$AL113),"")</f>
        <v/>
      </c>
      <c r="G113" s="59" t="n"/>
      <c r="H113" s="60" t="n"/>
      <c r="I113" s="60" t="n"/>
      <c r="J113" s="60" t="n"/>
      <c r="K113" s="60" t="n"/>
      <c r="L113" s="60" t="n"/>
      <c r="M113" s="61">
        <f>IF(NOT((COUNTA($B113:$D113)+COUNTA($G113:$L113)+COUNTA($Q113))&gt;0),"",IF($V113="Sub",IFERROR($X113/INDEX($W$5:$W$1000,$U113-4),""),IF(ISNUMBER($G113),1,IF(N($W113)&gt;0,AVERAGEIFS($X$5:$X$1000,$U$5:$U$1000,ROW(),$V$5:$V$1000,"Sub"),$X113))))</f>
        <v/>
      </c>
      <c r="N113" s="56">
        <f>IF(OR($M113="",$V113="Sub"),"",IF($M113&gt;=1,"Completado",IF($M113&gt;0,"En curso","Pendiente")))</f>
        <v/>
      </c>
      <c r="O113" s="56">
        <f>IF(OR(NOT((COUNTA($B113:$D113)+COUNTA($G113:$L113)+COUNTA($Q113))&gt;0),$V113="Sub"),"",IF(ISNUMBER($G113),IF(AND(ISNUMBER($AN113),$G113&gt;$AN113),"Cumplida con "&amp;($G113-$AN113)&amp;IF($G113-$AN113=1," día"," días")&amp;" de retraso","Cumplida"),IF(N($M113)&gt;=1,"Cumplida",IF(NOT(ISNUMBER($AN113)),"Sin fecha límite",IF($AN113&lt;FechaRef,"Vencida hace "&amp;(FechaRef-$AN113)&amp;IF(FechaRef-$AN113=1," día"," días"),IF($AN113=FechaRef,"Vence hoy",IF($AN113-FechaRef&lt;=DiasAlerta,"Vence en "&amp;($AN113-FechaRef)&amp;IF($AN113-FechaRef=1," día"," días"),"En plazo")))))))</f>
        <v/>
      </c>
      <c r="P113" s="62" t="n"/>
      <c r="Q113" s="58" t="n"/>
      <c r="R113" s="63">
        <f>IF(NOT((COUNTA($B113:$D113)+COUNTA($G113:$L113)+COUNTA($Q113))&gt;0),"",IF((IF($C113="","Falta el nombre de la actividad"&amp;" · ","")&amp;IF(AND($V113="Sub",N($U113)=0),"Subactividad sin macroactividad arriba"&amp;" · ","")&amp;IF($AM113="","Sin fecha de inicio"&amp;" · ","")&amp;IF($AN113="","Sin fecha límite"&amp;" · ","")&amp;IF(AND(LEFT($C113,11)="[Jefatura] ",N($AL113)=0),"No se encuentra en la hoja de la jefatura (elíjala de nuevo en la lista)"&amp;" · ","")&amp;IF(OR(AND($E113&lt;&gt;"",NOT(ISNUMBER($E113))),AND($F113&lt;&gt;"",NOT(ISNUMBER($F113))),AND($G113&lt;&gt;"",NOT(ISNUMBER($G113)))),"Fecha no válida"&amp;" · ","")&amp;IF(AND(ISNUMBER($AM113),ISNUMBER($AN113),$AM113&gt;$AN113),"Inicio posterior a fecha límite"&amp;" · ","")&amp;IF(AND($V113="Macro",$H113&lt;&gt;"",OR(NOT(ISNUMBER($H113)),$H113&lt;0,$H113&gt;1)),"Peso fuera de rango"&amp;" · ","")&amp;IF(AND($V113="Sub",$H113&lt;&gt;""),"Las subactividades no llevan peso (valen igual dentro de su macroactividad)"&amp;" · ","")&amp;IF(AND(N($W113)&gt;0,COUNT($I113:$L113)&gt;0),"Con subactividades: deje vacías las semanas (se calculan solas)"&amp;" · ","")&amp;IF((COUNTIF($I113:$L113,"&gt;1")+COUNTIF($I113:$L113,"&lt;0")+COUNTA($I113:$L113)-COUNT($I113:$L113))&gt;0,"Avance fuera de rango 0-100%"&amp;" · ","")&amp;IF(OR(AND($J113&lt;&gt;"",$J113&lt;$I113),AND($K113&lt;&gt;"",$K113&lt;MAX($I113:$J113)),AND($L113&lt;&gt;"",$L113&lt;MAX($I113:$K113))),"Avance semanal decreciente"&amp;" · ","")&amp;IF(AND(ISNUMBER($AN113),$AN113&lt;FechaRef,IF($V113="Sub",N($X113),N($M113))&lt;1),"Vencida"&amp;" · ","")&amp;IF(AND(ObsObligatoria="Sí",ISNUMBER($AN113),$AN113&lt;FechaRef,IF($V113="Sub",N($X113),N($M113))&lt;1,$Q113=""),"Vencida sin observación"&amp;" · ",""))="","✔ OK","⚠ "&amp;LEFT(IF($C113="","Falta el nombre de la actividad"&amp;" · ","")&amp;IF(AND($V113="Sub",N($U113)=0),"Subactividad sin macroactividad arriba"&amp;" · ","")&amp;IF($AM113="","Sin fecha de inicio"&amp;" · ","")&amp;IF($AN113="","Sin fecha límite"&amp;" · ","")&amp;IF(AND(LEFT($C113,11)="[Jefatura] ",N($AL113)=0),"No se encuentra en la hoja de la jefatura (elíjala de nuevo en la lista)"&amp;" · ","")&amp;IF(OR(AND($E113&lt;&gt;"",NOT(ISNUMBER($E113))),AND($F113&lt;&gt;"",NOT(ISNUMBER($F113))),AND($G113&lt;&gt;"",NOT(ISNUMBER($G113)))),"Fecha no válida"&amp;" · ","")&amp;IF(AND(ISNUMBER($AM113),ISNUMBER($AN113),$AM113&gt;$AN113),"Inicio posterior a fecha límite"&amp;" · ","")&amp;IF(AND($V113="Macro",$H113&lt;&gt;"",OR(NOT(ISNUMBER($H113)),$H113&lt;0,$H113&gt;1)),"Peso fuera de rango"&amp;" · ","")&amp;IF(AND($V113="Sub",$H113&lt;&gt;""),"Las subactividades no llevan peso (valen igual dentro de su macroactividad)"&amp;" · ","")&amp;IF(AND(N($W113)&gt;0,COUNT($I113:$L113)&gt;0),"Con subactividades: deje vacías las semanas (se calculan solas)"&amp;" · ","")&amp;IF((COUNTIF($I113:$L113,"&gt;1")+COUNTIF($I113:$L113,"&lt;0")+COUNTA($I113:$L113)-COUNT($I113:$L113))&gt;0,"Avance fuera de rango 0-100%"&amp;" · ","")&amp;IF(OR(AND($J113&lt;&gt;"",$J113&lt;$I113),AND($K113&lt;&gt;"",$K113&lt;MAX($I113:$J113)),AND($L113&lt;&gt;"",$L113&lt;MAX($I113:$K113))),"Avance semanal decreciente"&amp;" · ","")&amp;IF(AND(ISNUMBER($AN113),$AN113&lt;FechaRef,IF($V113="Sub",N($X113),N($M113))&lt;1),"Vencida"&amp;" · ","")&amp;IF(AND(ObsObligatoria="Sí",ISNUMBER($AN113),$AN113&lt;FechaRef,IF($V113="Sub",N($X113),N($M113))&lt;1,$Q113=""),"Vencida sin observación"&amp;" · ",""),LEN(IF($C113="","Falta el nombre de la actividad"&amp;" · ","")&amp;IF(AND($V113="Sub",N($U113)=0),"Subactividad sin macroactividad arriba"&amp;" · ","")&amp;IF($AM113="","Sin fecha de inicio"&amp;" · ","")&amp;IF($AN113="","Sin fecha límite"&amp;" · ","")&amp;IF(AND(LEFT($C113,11)="[Jefatura] ",N($AL113)=0),"No se encuentra en la hoja de la jefatura (elíjala de nuevo en la lista)"&amp;" · ","")&amp;IF(OR(AND($E113&lt;&gt;"",NOT(ISNUMBER($E113))),AND($F113&lt;&gt;"",NOT(ISNUMBER($F113))),AND($G113&lt;&gt;"",NOT(ISNUMBER($G113)))),"Fecha no válida"&amp;" · ","")&amp;IF(AND(ISNUMBER($AM113),ISNUMBER($AN113),$AM113&gt;$AN113),"Inicio posterior a fecha límite"&amp;" · ","")&amp;IF(AND($V113="Macro",$H113&lt;&gt;"",OR(NOT(ISNUMBER($H113)),$H113&lt;0,$H113&gt;1)),"Peso fuera de rango"&amp;" · ","")&amp;IF(AND($V113="Sub",$H113&lt;&gt;""),"Las subactividades no llevan peso (valen igual dentro de su macroactividad)"&amp;" · ","")&amp;IF(AND(N($W113)&gt;0,COUNT($I113:$L113)&gt;0),"Con subactividades: deje vacías las semanas (se calculan solas)"&amp;" · ","")&amp;IF((COUNTIF($I113:$L113,"&gt;1")+COUNTIF($I113:$L113,"&lt;0")+COUNTA($I113:$L113)-COUNT($I113:$L113))&gt;0,"Avance fuera de rango 0-100%"&amp;" · ","")&amp;IF(OR(AND($J113&lt;&gt;"",$J113&lt;$I113),AND($K113&lt;&gt;"",$K113&lt;MAX($I113:$J113)),AND($L113&lt;&gt;"",$L113&lt;MAX($I113:$K113))),"Avance semanal decreciente"&amp;" · ","")&amp;IF(AND(ISNUMBER($AN113),$AN113&lt;FechaRef,IF($V113="Sub",N($X113),N($M113))&lt;1),"Vencida"&amp;" · ","")&amp;IF(AND(ObsObligatoria="Sí",ISNUMBER($AN113),$AN113&lt;FechaRef,IF($V113="Sub",N($X113),N($M113))&lt;1,$Q113=""),"Vencida sin observación"&amp;" · ",""))-3)))</f>
        <v/>
      </c>
      <c r="S113" s="64">
        <f>IF(NOT((COUNTA($B113:$D113)+COUNTA($G113:$L113)+COUNTA($Q113))&gt;0),"",IF(AND($V113="Sub",N($U113)&gt;0),IF(ISNUMBER(INDEX($AM$5:$AM$1000,$U113-4)),DATE(YEAR(INDEX($AM$5:$AM$1000,$U113-4)),MONTH(INDEX($AM$5:$AM$1000,$U113-4)),1),IF(ISNUMBER(INDEX($AN$5:$AN$1000,$U113-4)),DATE(YEAR(INDEX($AN$5:$AN$1000,$U113-4)),MONTH(INDEX($AN$5:$AN$1000,$U113-4)),1),MesCiclo)),IF(ISNUMBER($AM113),DATE(YEAR($AM113),MONTH($AM113),1),IF(ISNUMBER($AN113),DATE(YEAR($AN113),MONTH($AN113),1),MesCiclo))))</f>
        <v/>
      </c>
      <c r="T113" s="62">
        <f>IF(OR($S113="",$S113&lt;&gt;MesCiclo,$V113&lt;&gt;"Macro"),"",COUNTIFS($S$5:$S113,MesCiclo,$V$5:$V113,"Macro"))</f>
        <v/>
      </c>
      <c r="U113" s="62">
        <f>IF($V113="","",IF($V113="Macro",ROW(),IFERROR(LOOKUP(2,1/($V$5:$V113="Macro"),ROW($V$5:$V113)),0)))</f>
        <v/>
      </c>
      <c r="V113" s="62">
        <f>IF(NOT((COUNTA($B113:$D113)+COUNTA($G113:$L113)+COUNTA($Q113))&gt;0),"",IF($B113="Subactividad","Sub","Macro"))</f>
        <v/>
      </c>
      <c r="W113" s="62">
        <f>IF($V113="Macro",COUNTIFS($U$5:$U$1000,ROW(),$V$5:$V$1000,"Sub"),"")</f>
        <v/>
      </c>
      <c r="X113" s="62">
        <f>IF($V113="","",IF(ISNUMBER($G113),1,IFERROR(LOOKUP(2,1/($I113:$L113&lt;&gt;""),$I113:$L113),0)))</f>
        <v/>
      </c>
      <c r="Y113" s="62">
        <f>IF($V113="","",IF(AND(ISNUMBER($G113),$G113&lt;=IF($S113=MesCiclo,InicioCiclo,$S113+MOD(2-WEEKDAY($S113),7))+6),1,IF(ISNUMBER($I113),$I113,0)))</f>
        <v/>
      </c>
      <c r="Z113" s="62">
        <f>IF($V113="","",IF(AND(ISNUMBER($G113),$G113&lt;=IF($S113=MesCiclo,InicioCiclo,$S113+MOD(2-WEEKDAY($S113),7))+13),1,IF(ISNUMBER($J113),$J113,$Y113)))</f>
        <v/>
      </c>
      <c r="AA113" s="62">
        <f>IF($V113="","",IF(AND(ISNUMBER($G113),$G113&lt;=IF($S113=MesCiclo,InicioCiclo,$S113+MOD(2-WEEKDAY($S113),7))+20),1,IF(ISNUMBER($K113),$K113,$Z113)))</f>
        <v/>
      </c>
      <c r="AB113" s="62">
        <f>IF($V113="","",IF(AND(ISNUMBER($G113),$G113&lt;=IF($S113=MesCiclo,InicioCiclo,$S113+MOD(2-WEEKDAY($S113),7))+27),1,IF(ISNUMBER($L113),$L113,$AA113)))</f>
        <v/>
      </c>
      <c r="AC113" s="62">
        <f>IF($V113="","",IF(AND(ISNUMBER($G113),$G113&lt;=IF($S113=MesCiclo,InicioCiclo,$S113+MOD(2-WEEKDAY($S113),7))+6),1,IF(N($W113)&gt;0,AVERAGEIFS($Y$5:$Y$1000,$U$5:$U$1000,ROW(),$V$5:$V$1000,"Sub"),$Y113)))</f>
        <v/>
      </c>
      <c r="AD113" s="62">
        <f>IF($V113="","",IF(AND(ISNUMBER($G113),$G113&lt;=IF($S113=MesCiclo,InicioCiclo,$S113+MOD(2-WEEKDAY($S113),7))+13),1,IF(N($W113)&gt;0,AVERAGEIFS($Z$5:$Z$1000,$U$5:$U$1000,ROW(),$V$5:$V$1000,"Sub"),$Z113)))</f>
        <v/>
      </c>
      <c r="AE113" s="62">
        <f>IF($V113="","",IF(AND(ISNUMBER($G113),$G113&lt;=IF($S113=MesCiclo,InicioCiclo,$S113+MOD(2-WEEKDAY($S113),7))+20),1,IF(N($W113)&gt;0,AVERAGEIFS($AA$5:$AA$1000,$U$5:$U$1000,ROW(),$V$5:$V$1000,"Sub"),$AA113)))</f>
        <v/>
      </c>
      <c r="AF113" s="62">
        <f>IF($V113="","",IF(AND(ISNUMBER($G113),$G113&lt;=IF($S113=MesCiclo,InicioCiclo,$S113+MOD(2-WEEKDAY($S113),7))+27),1,IF(N($W113)&gt;0,AVERAGEIFS($AB$5:$AB$1000,$U$5:$U$1000,ROW(),$V$5:$V$1000,"Sub"),$AB113)))</f>
        <v/>
      </c>
      <c r="AG113" s="62">
        <f>IF($V113&lt;&gt;"Macro","",IF(COUNTIFS($S$5:$S$1000,$S113,$V$5:$V$1000,"Macro",$H$5:$H$1000,"&gt;0")=0,1/COUNTIFS($S$5:$S$1000,$S113,$V$5:$V$1000,"Macro"),IF(AND(ISNUMBER($H113),N($H113)&gt;0),$H113,SUMIFS($H$5:$H$1000,$S$5:$S$1000,$S113,$V$5:$V$1000,"Macro")/COUNTIFS($S$5:$S$1000,$S113,$V$5:$V$1000,"Macro",$H$5:$H$1000,"&gt;0"))/(COUNTIFS($S$5:$S$1000,$S113,$V$5:$V$1000,"Macro")*SUMIFS($H$5:$H$1000,$S$5:$S$1000,$S113,$V$5:$V$1000,"Macro")/COUNTIFS($S$5:$S$1000,$S113,$V$5:$V$1000,"Macro",$H$5:$H$1000,"&gt;0"))))</f>
        <v/>
      </c>
      <c r="AH113" s="62" t="n"/>
      <c r="AI113" s="62" t="n"/>
      <c r="AJ113" s="62" t="n"/>
      <c r="AK113" s="62" t="n"/>
      <c r="AL113" s="62">
        <f>IF(LEFT($C113,11)="[Jefatura] ",IFERROR(MATCH("Riesgo Financiero|"&amp;MID($C113,12,500),rDname_ADM,0),0),"")</f>
        <v/>
      </c>
      <c r="AM113" s="62">
        <f>IF(N($AL113)&gt;0,INDEX(rIni_ADM,$AL113),IF(ISNUMBER($E113),$E113,""))</f>
        <v/>
      </c>
      <c r="AN113" s="62">
        <f>IF(N($AL113)&gt;0,INDEX(rLim_ADM,$AL113),IF(ISNUMBER($F113),$F113,""))</f>
        <v/>
      </c>
    </row>
    <row r="114">
      <c r="A114" s="56">
        <f>IF(NOT((COUNTA($B114:$D114)+COUNTA($G114:$L114)+COUNTA($Q114))&gt;0),"",IF($V114="Macro",COUNTIFS($V$5:$V114,"Macro",$S$5:$S114,$S114),IF(N($U114)=0,"?",COUNTIFS(INDEX($V$5:$V$1000,1):INDEX($V$5:$V$1000,$U114-4),"Macro",INDEX($S$5:$S$1000,1):INDEX($S$5:$S$1000,$U114-4),INDEX($S$5:$S$1000,$U114-4))&amp;"."&amp;COUNTIFS($U$5:$U114,$U114,$V$5:$V114,"Sub"))))</f>
        <v/>
      </c>
      <c r="B114" s="57" t="n"/>
      <c r="C114" s="58" t="n"/>
      <c r="D114" s="58" t="n"/>
      <c r="E114" s="59">
        <f>IF(N($AL114)&gt;0,INDEX(rIni_ADM,$AL114),"")</f>
        <v/>
      </c>
      <c r="F114" s="59">
        <f>IF(N($AL114)&gt;0,INDEX(rLim_ADM,$AL114),"")</f>
        <v/>
      </c>
      <c r="G114" s="59" t="n"/>
      <c r="H114" s="60" t="n"/>
      <c r="I114" s="60" t="n"/>
      <c r="J114" s="60" t="n"/>
      <c r="K114" s="60" t="n"/>
      <c r="L114" s="60" t="n"/>
      <c r="M114" s="61">
        <f>IF(NOT((COUNTA($B114:$D114)+COUNTA($G114:$L114)+COUNTA($Q114))&gt;0),"",IF($V114="Sub",IFERROR($X114/INDEX($W$5:$W$1000,$U114-4),""),IF(ISNUMBER($G114),1,IF(N($W114)&gt;0,AVERAGEIFS($X$5:$X$1000,$U$5:$U$1000,ROW(),$V$5:$V$1000,"Sub"),$X114))))</f>
        <v/>
      </c>
      <c r="N114" s="56">
        <f>IF(OR($M114="",$V114="Sub"),"",IF($M114&gt;=1,"Completado",IF($M114&gt;0,"En curso","Pendiente")))</f>
        <v/>
      </c>
      <c r="O114" s="56">
        <f>IF(OR(NOT((COUNTA($B114:$D114)+COUNTA($G114:$L114)+COUNTA($Q114))&gt;0),$V114="Sub"),"",IF(ISNUMBER($G114),IF(AND(ISNUMBER($AN114),$G114&gt;$AN114),"Cumplida con "&amp;($G114-$AN114)&amp;IF($G114-$AN114=1," día"," días")&amp;" de retraso","Cumplida"),IF(N($M114)&gt;=1,"Cumplida",IF(NOT(ISNUMBER($AN114)),"Sin fecha límite",IF($AN114&lt;FechaRef,"Vencida hace "&amp;(FechaRef-$AN114)&amp;IF(FechaRef-$AN114=1," día"," días"),IF($AN114=FechaRef,"Vence hoy",IF($AN114-FechaRef&lt;=DiasAlerta,"Vence en "&amp;($AN114-FechaRef)&amp;IF($AN114-FechaRef=1," día"," días"),"En plazo")))))))</f>
        <v/>
      </c>
      <c r="P114" s="62" t="n"/>
      <c r="Q114" s="58" t="n"/>
      <c r="R114" s="63">
        <f>IF(NOT((COUNTA($B114:$D114)+COUNTA($G114:$L114)+COUNTA($Q114))&gt;0),"",IF((IF($C114="","Falta el nombre de la actividad"&amp;" · ","")&amp;IF(AND($V114="Sub",N($U114)=0),"Subactividad sin macroactividad arriba"&amp;" · ","")&amp;IF($AM114="","Sin fecha de inicio"&amp;" · ","")&amp;IF($AN114="","Sin fecha límite"&amp;" · ","")&amp;IF(AND(LEFT($C114,11)="[Jefatura] ",N($AL114)=0),"No se encuentra en la hoja de la jefatura (elíjala de nuevo en la lista)"&amp;" · ","")&amp;IF(OR(AND($E114&lt;&gt;"",NOT(ISNUMBER($E114))),AND($F114&lt;&gt;"",NOT(ISNUMBER($F114))),AND($G114&lt;&gt;"",NOT(ISNUMBER($G114)))),"Fecha no válida"&amp;" · ","")&amp;IF(AND(ISNUMBER($AM114),ISNUMBER($AN114),$AM114&gt;$AN114),"Inicio posterior a fecha límite"&amp;" · ","")&amp;IF(AND($V114="Macro",$H114&lt;&gt;"",OR(NOT(ISNUMBER($H114)),$H114&lt;0,$H114&gt;1)),"Peso fuera de rango"&amp;" · ","")&amp;IF(AND($V114="Sub",$H114&lt;&gt;""),"Las subactividades no llevan peso (valen igual dentro de su macroactividad)"&amp;" · ","")&amp;IF(AND(N($W114)&gt;0,COUNT($I114:$L114)&gt;0),"Con subactividades: deje vacías las semanas (se calculan solas)"&amp;" · ","")&amp;IF((COUNTIF($I114:$L114,"&gt;1")+COUNTIF($I114:$L114,"&lt;0")+COUNTA($I114:$L114)-COUNT($I114:$L114))&gt;0,"Avance fuera de rango 0-100%"&amp;" · ","")&amp;IF(OR(AND($J114&lt;&gt;"",$J114&lt;$I114),AND($K114&lt;&gt;"",$K114&lt;MAX($I114:$J114)),AND($L114&lt;&gt;"",$L114&lt;MAX($I114:$K114))),"Avance semanal decreciente"&amp;" · ","")&amp;IF(AND(ISNUMBER($AN114),$AN114&lt;FechaRef,IF($V114="Sub",N($X114),N($M114))&lt;1),"Vencida"&amp;" · ","")&amp;IF(AND(ObsObligatoria="Sí",ISNUMBER($AN114),$AN114&lt;FechaRef,IF($V114="Sub",N($X114),N($M114))&lt;1,$Q114=""),"Vencida sin observación"&amp;" · ",""))="","✔ OK","⚠ "&amp;LEFT(IF($C114="","Falta el nombre de la actividad"&amp;" · ","")&amp;IF(AND($V114="Sub",N($U114)=0),"Subactividad sin macroactividad arriba"&amp;" · ","")&amp;IF($AM114="","Sin fecha de inicio"&amp;" · ","")&amp;IF($AN114="","Sin fecha límite"&amp;" · ","")&amp;IF(AND(LEFT($C114,11)="[Jefatura] ",N($AL114)=0),"No se encuentra en la hoja de la jefatura (elíjala de nuevo en la lista)"&amp;" · ","")&amp;IF(OR(AND($E114&lt;&gt;"",NOT(ISNUMBER($E114))),AND($F114&lt;&gt;"",NOT(ISNUMBER($F114))),AND($G114&lt;&gt;"",NOT(ISNUMBER($G114)))),"Fecha no válida"&amp;" · ","")&amp;IF(AND(ISNUMBER($AM114),ISNUMBER($AN114),$AM114&gt;$AN114),"Inicio posterior a fecha límite"&amp;" · ","")&amp;IF(AND($V114="Macro",$H114&lt;&gt;"",OR(NOT(ISNUMBER($H114)),$H114&lt;0,$H114&gt;1)),"Peso fuera de rango"&amp;" · ","")&amp;IF(AND($V114="Sub",$H114&lt;&gt;""),"Las subactividades no llevan peso (valen igual dentro de su macroactividad)"&amp;" · ","")&amp;IF(AND(N($W114)&gt;0,COUNT($I114:$L114)&gt;0),"Con subactividades: deje vacías las semanas (se calculan solas)"&amp;" · ","")&amp;IF((COUNTIF($I114:$L114,"&gt;1")+COUNTIF($I114:$L114,"&lt;0")+COUNTA($I114:$L114)-COUNT($I114:$L114))&gt;0,"Avance fuera de rango 0-100%"&amp;" · ","")&amp;IF(OR(AND($J114&lt;&gt;"",$J114&lt;$I114),AND($K114&lt;&gt;"",$K114&lt;MAX($I114:$J114)),AND($L114&lt;&gt;"",$L114&lt;MAX($I114:$K114))),"Avance semanal decreciente"&amp;" · ","")&amp;IF(AND(ISNUMBER($AN114),$AN114&lt;FechaRef,IF($V114="Sub",N($X114),N($M114))&lt;1),"Vencida"&amp;" · ","")&amp;IF(AND(ObsObligatoria="Sí",ISNUMBER($AN114),$AN114&lt;FechaRef,IF($V114="Sub",N($X114),N($M114))&lt;1,$Q114=""),"Vencida sin observación"&amp;" · ",""),LEN(IF($C114="","Falta el nombre de la actividad"&amp;" · ","")&amp;IF(AND($V114="Sub",N($U114)=0),"Subactividad sin macroactividad arriba"&amp;" · ","")&amp;IF($AM114="","Sin fecha de inicio"&amp;" · ","")&amp;IF($AN114="","Sin fecha límite"&amp;" · ","")&amp;IF(AND(LEFT($C114,11)="[Jefatura] ",N($AL114)=0),"No se encuentra en la hoja de la jefatura (elíjala de nuevo en la lista)"&amp;" · ","")&amp;IF(OR(AND($E114&lt;&gt;"",NOT(ISNUMBER($E114))),AND($F114&lt;&gt;"",NOT(ISNUMBER($F114))),AND($G114&lt;&gt;"",NOT(ISNUMBER($G114)))),"Fecha no válida"&amp;" · ","")&amp;IF(AND(ISNUMBER($AM114),ISNUMBER($AN114),$AM114&gt;$AN114),"Inicio posterior a fecha límite"&amp;" · ","")&amp;IF(AND($V114="Macro",$H114&lt;&gt;"",OR(NOT(ISNUMBER($H114)),$H114&lt;0,$H114&gt;1)),"Peso fuera de rango"&amp;" · ","")&amp;IF(AND($V114="Sub",$H114&lt;&gt;""),"Las subactividades no llevan peso (valen igual dentro de su macroactividad)"&amp;" · ","")&amp;IF(AND(N($W114)&gt;0,COUNT($I114:$L114)&gt;0),"Con subactividades: deje vacías las semanas (se calculan solas)"&amp;" · ","")&amp;IF((COUNTIF($I114:$L114,"&gt;1")+COUNTIF($I114:$L114,"&lt;0")+COUNTA($I114:$L114)-COUNT($I114:$L114))&gt;0,"Avance fuera de rango 0-100%"&amp;" · ","")&amp;IF(OR(AND($J114&lt;&gt;"",$J114&lt;$I114),AND($K114&lt;&gt;"",$K114&lt;MAX($I114:$J114)),AND($L114&lt;&gt;"",$L114&lt;MAX($I114:$K114))),"Avance semanal decreciente"&amp;" · ","")&amp;IF(AND(ISNUMBER($AN114),$AN114&lt;FechaRef,IF($V114="Sub",N($X114),N($M114))&lt;1),"Vencida"&amp;" · ","")&amp;IF(AND(ObsObligatoria="Sí",ISNUMBER($AN114),$AN114&lt;FechaRef,IF($V114="Sub",N($X114),N($M114))&lt;1,$Q114=""),"Vencida sin observación"&amp;" · ",""))-3)))</f>
        <v/>
      </c>
      <c r="S114" s="64">
        <f>IF(NOT((COUNTA($B114:$D114)+COUNTA($G114:$L114)+COUNTA($Q114))&gt;0),"",IF(AND($V114="Sub",N($U114)&gt;0),IF(ISNUMBER(INDEX($AM$5:$AM$1000,$U114-4)),DATE(YEAR(INDEX($AM$5:$AM$1000,$U114-4)),MONTH(INDEX($AM$5:$AM$1000,$U114-4)),1),IF(ISNUMBER(INDEX($AN$5:$AN$1000,$U114-4)),DATE(YEAR(INDEX($AN$5:$AN$1000,$U114-4)),MONTH(INDEX($AN$5:$AN$1000,$U114-4)),1),MesCiclo)),IF(ISNUMBER($AM114),DATE(YEAR($AM114),MONTH($AM114),1),IF(ISNUMBER($AN114),DATE(YEAR($AN114),MONTH($AN114),1),MesCiclo))))</f>
        <v/>
      </c>
      <c r="T114" s="62">
        <f>IF(OR($S114="",$S114&lt;&gt;MesCiclo,$V114&lt;&gt;"Macro"),"",COUNTIFS($S$5:$S114,MesCiclo,$V$5:$V114,"Macro"))</f>
        <v/>
      </c>
      <c r="U114" s="62">
        <f>IF($V114="","",IF($V114="Macro",ROW(),IFERROR(LOOKUP(2,1/($V$5:$V114="Macro"),ROW($V$5:$V114)),0)))</f>
        <v/>
      </c>
      <c r="V114" s="62">
        <f>IF(NOT((COUNTA($B114:$D114)+COUNTA($G114:$L114)+COUNTA($Q114))&gt;0),"",IF($B114="Subactividad","Sub","Macro"))</f>
        <v/>
      </c>
      <c r="W114" s="62">
        <f>IF($V114="Macro",COUNTIFS($U$5:$U$1000,ROW(),$V$5:$V$1000,"Sub"),"")</f>
        <v/>
      </c>
      <c r="X114" s="62">
        <f>IF($V114="","",IF(ISNUMBER($G114),1,IFERROR(LOOKUP(2,1/($I114:$L114&lt;&gt;""),$I114:$L114),0)))</f>
        <v/>
      </c>
      <c r="Y114" s="62">
        <f>IF($V114="","",IF(AND(ISNUMBER($G114),$G114&lt;=IF($S114=MesCiclo,InicioCiclo,$S114+MOD(2-WEEKDAY($S114),7))+6),1,IF(ISNUMBER($I114),$I114,0)))</f>
        <v/>
      </c>
      <c r="Z114" s="62">
        <f>IF($V114="","",IF(AND(ISNUMBER($G114),$G114&lt;=IF($S114=MesCiclo,InicioCiclo,$S114+MOD(2-WEEKDAY($S114),7))+13),1,IF(ISNUMBER($J114),$J114,$Y114)))</f>
        <v/>
      </c>
      <c r="AA114" s="62">
        <f>IF($V114="","",IF(AND(ISNUMBER($G114),$G114&lt;=IF($S114=MesCiclo,InicioCiclo,$S114+MOD(2-WEEKDAY($S114),7))+20),1,IF(ISNUMBER($K114),$K114,$Z114)))</f>
        <v/>
      </c>
      <c r="AB114" s="62">
        <f>IF($V114="","",IF(AND(ISNUMBER($G114),$G114&lt;=IF($S114=MesCiclo,InicioCiclo,$S114+MOD(2-WEEKDAY($S114),7))+27),1,IF(ISNUMBER($L114),$L114,$AA114)))</f>
        <v/>
      </c>
      <c r="AC114" s="62">
        <f>IF($V114="","",IF(AND(ISNUMBER($G114),$G114&lt;=IF($S114=MesCiclo,InicioCiclo,$S114+MOD(2-WEEKDAY($S114),7))+6),1,IF(N($W114)&gt;0,AVERAGEIFS($Y$5:$Y$1000,$U$5:$U$1000,ROW(),$V$5:$V$1000,"Sub"),$Y114)))</f>
        <v/>
      </c>
      <c r="AD114" s="62">
        <f>IF($V114="","",IF(AND(ISNUMBER($G114),$G114&lt;=IF($S114=MesCiclo,InicioCiclo,$S114+MOD(2-WEEKDAY($S114),7))+13),1,IF(N($W114)&gt;0,AVERAGEIFS($Z$5:$Z$1000,$U$5:$U$1000,ROW(),$V$5:$V$1000,"Sub"),$Z114)))</f>
        <v/>
      </c>
      <c r="AE114" s="62">
        <f>IF($V114="","",IF(AND(ISNUMBER($G114),$G114&lt;=IF($S114=MesCiclo,InicioCiclo,$S114+MOD(2-WEEKDAY($S114),7))+20),1,IF(N($W114)&gt;0,AVERAGEIFS($AA$5:$AA$1000,$U$5:$U$1000,ROW(),$V$5:$V$1000,"Sub"),$AA114)))</f>
        <v/>
      </c>
      <c r="AF114" s="62">
        <f>IF($V114="","",IF(AND(ISNUMBER($G114),$G114&lt;=IF($S114=MesCiclo,InicioCiclo,$S114+MOD(2-WEEKDAY($S114),7))+27),1,IF(N($W114)&gt;0,AVERAGEIFS($AB$5:$AB$1000,$U$5:$U$1000,ROW(),$V$5:$V$1000,"Sub"),$AB114)))</f>
        <v/>
      </c>
      <c r="AG114" s="62">
        <f>IF($V114&lt;&gt;"Macro","",IF(COUNTIFS($S$5:$S$1000,$S114,$V$5:$V$1000,"Macro",$H$5:$H$1000,"&gt;0")=0,1/COUNTIFS($S$5:$S$1000,$S114,$V$5:$V$1000,"Macro"),IF(AND(ISNUMBER($H114),N($H114)&gt;0),$H114,SUMIFS($H$5:$H$1000,$S$5:$S$1000,$S114,$V$5:$V$1000,"Macro")/COUNTIFS($S$5:$S$1000,$S114,$V$5:$V$1000,"Macro",$H$5:$H$1000,"&gt;0"))/(COUNTIFS($S$5:$S$1000,$S114,$V$5:$V$1000,"Macro")*SUMIFS($H$5:$H$1000,$S$5:$S$1000,$S114,$V$5:$V$1000,"Macro")/COUNTIFS($S$5:$S$1000,$S114,$V$5:$V$1000,"Macro",$H$5:$H$1000,"&gt;0"))))</f>
        <v/>
      </c>
      <c r="AH114" s="62" t="n"/>
      <c r="AI114" s="62" t="n"/>
      <c r="AJ114" s="62" t="n"/>
      <c r="AK114" s="62" t="n"/>
      <c r="AL114" s="62">
        <f>IF(LEFT($C114,11)="[Jefatura] ",IFERROR(MATCH("Riesgo Financiero|"&amp;MID($C114,12,500),rDname_ADM,0),0),"")</f>
        <v/>
      </c>
      <c r="AM114" s="62">
        <f>IF(N($AL114)&gt;0,INDEX(rIni_ADM,$AL114),IF(ISNUMBER($E114),$E114,""))</f>
        <v/>
      </c>
      <c r="AN114" s="62">
        <f>IF(N($AL114)&gt;0,INDEX(rLim_ADM,$AL114),IF(ISNUMBER($F114),$F114,""))</f>
        <v/>
      </c>
    </row>
    <row r="115">
      <c r="A115" s="56">
        <f>IF(NOT((COUNTA($B115:$D115)+COUNTA($G115:$L115)+COUNTA($Q115))&gt;0),"",IF($V115="Macro",COUNTIFS($V$5:$V115,"Macro",$S$5:$S115,$S115),IF(N($U115)=0,"?",COUNTIFS(INDEX($V$5:$V$1000,1):INDEX($V$5:$V$1000,$U115-4),"Macro",INDEX($S$5:$S$1000,1):INDEX($S$5:$S$1000,$U115-4),INDEX($S$5:$S$1000,$U115-4))&amp;"."&amp;COUNTIFS($U$5:$U115,$U115,$V$5:$V115,"Sub"))))</f>
        <v/>
      </c>
      <c r="B115" s="57" t="n"/>
      <c r="C115" s="58" t="n"/>
      <c r="D115" s="58" t="n"/>
      <c r="E115" s="59">
        <f>IF(N($AL115)&gt;0,INDEX(rIni_ADM,$AL115),"")</f>
        <v/>
      </c>
      <c r="F115" s="59">
        <f>IF(N($AL115)&gt;0,INDEX(rLim_ADM,$AL115),"")</f>
        <v/>
      </c>
      <c r="G115" s="59" t="n"/>
      <c r="H115" s="60" t="n"/>
      <c r="I115" s="60" t="n"/>
      <c r="J115" s="60" t="n"/>
      <c r="K115" s="60" t="n"/>
      <c r="L115" s="60" t="n"/>
      <c r="M115" s="61">
        <f>IF(NOT((COUNTA($B115:$D115)+COUNTA($G115:$L115)+COUNTA($Q115))&gt;0),"",IF($V115="Sub",IFERROR($X115/INDEX($W$5:$W$1000,$U115-4),""),IF(ISNUMBER($G115),1,IF(N($W115)&gt;0,AVERAGEIFS($X$5:$X$1000,$U$5:$U$1000,ROW(),$V$5:$V$1000,"Sub"),$X115))))</f>
        <v/>
      </c>
      <c r="N115" s="56">
        <f>IF(OR($M115="",$V115="Sub"),"",IF($M115&gt;=1,"Completado",IF($M115&gt;0,"En curso","Pendiente")))</f>
        <v/>
      </c>
      <c r="O115" s="56">
        <f>IF(OR(NOT((COUNTA($B115:$D115)+COUNTA($G115:$L115)+COUNTA($Q115))&gt;0),$V115="Sub"),"",IF(ISNUMBER($G115),IF(AND(ISNUMBER($AN115),$G115&gt;$AN115),"Cumplida con "&amp;($G115-$AN115)&amp;IF($G115-$AN115=1," día"," días")&amp;" de retraso","Cumplida"),IF(N($M115)&gt;=1,"Cumplida",IF(NOT(ISNUMBER($AN115)),"Sin fecha límite",IF($AN115&lt;FechaRef,"Vencida hace "&amp;(FechaRef-$AN115)&amp;IF(FechaRef-$AN115=1," día"," días"),IF($AN115=FechaRef,"Vence hoy",IF($AN115-FechaRef&lt;=DiasAlerta,"Vence en "&amp;($AN115-FechaRef)&amp;IF($AN115-FechaRef=1," día"," días"),"En plazo")))))))</f>
        <v/>
      </c>
      <c r="P115" s="62" t="n"/>
      <c r="Q115" s="58" t="n"/>
      <c r="R115" s="63">
        <f>IF(NOT((COUNTA($B115:$D115)+COUNTA($G115:$L115)+COUNTA($Q115))&gt;0),"",IF((IF($C115="","Falta el nombre de la actividad"&amp;" · ","")&amp;IF(AND($V115="Sub",N($U115)=0),"Subactividad sin macroactividad arriba"&amp;" · ","")&amp;IF($AM115="","Sin fecha de inicio"&amp;" · ","")&amp;IF($AN115="","Sin fecha límite"&amp;" · ","")&amp;IF(AND(LEFT($C115,11)="[Jefatura] ",N($AL115)=0),"No se encuentra en la hoja de la jefatura (elíjala de nuevo en la lista)"&amp;" · ","")&amp;IF(OR(AND($E115&lt;&gt;"",NOT(ISNUMBER($E115))),AND($F115&lt;&gt;"",NOT(ISNUMBER($F115))),AND($G115&lt;&gt;"",NOT(ISNUMBER($G115)))),"Fecha no válida"&amp;" · ","")&amp;IF(AND(ISNUMBER($AM115),ISNUMBER($AN115),$AM115&gt;$AN115),"Inicio posterior a fecha límite"&amp;" · ","")&amp;IF(AND($V115="Macro",$H115&lt;&gt;"",OR(NOT(ISNUMBER($H115)),$H115&lt;0,$H115&gt;1)),"Peso fuera de rango"&amp;" · ","")&amp;IF(AND($V115="Sub",$H115&lt;&gt;""),"Las subactividades no llevan peso (valen igual dentro de su macroactividad)"&amp;" · ","")&amp;IF(AND(N($W115)&gt;0,COUNT($I115:$L115)&gt;0),"Con subactividades: deje vacías las semanas (se calculan solas)"&amp;" · ","")&amp;IF((COUNTIF($I115:$L115,"&gt;1")+COUNTIF($I115:$L115,"&lt;0")+COUNTA($I115:$L115)-COUNT($I115:$L115))&gt;0,"Avance fuera de rango 0-100%"&amp;" · ","")&amp;IF(OR(AND($J115&lt;&gt;"",$J115&lt;$I115),AND($K115&lt;&gt;"",$K115&lt;MAX($I115:$J115)),AND($L115&lt;&gt;"",$L115&lt;MAX($I115:$K115))),"Avance semanal decreciente"&amp;" · ","")&amp;IF(AND(ISNUMBER($AN115),$AN115&lt;FechaRef,IF($V115="Sub",N($X115),N($M115))&lt;1),"Vencida"&amp;" · ","")&amp;IF(AND(ObsObligatoria="Sí",ISNUMBER($AN115),$AN115&lt;FechaRef,IF($V115="Sub",N($X115),N($M115))&lt;1,$Q115=""),"Vencida sin observación"&amp;" · ",""))="","✔ OK","⚠ "&amp;LEFT(IF($C115="","Falta el nombre de la actividad"&amp;" · ","")&amp;IF(AND($V115="Sub",N($U115)=0),"Subactividad sin macroactividad arriba"&amp;" · ","")&amp;IF($AM115="","Sin fecha de inicio"&amp;" · ","")&amp;IF($AN115="","Sin fecha límite"&amp;" · ","")&amp;IF(AND(LEFT($C115,11)="[Jefatura] ",N($AL115)=0),"No se encuentra en la hoja de la jefatura (elíjala de nuevo en la lista)"&amp;" · ","")&amp;IF(OR(AND($E115&lt;&gt;"",NOT(ISNUMBER($E115))),AND($F115&lt;&gt;"",NOT(ISNUMBER($F115))),AND($G115&lt;&gt;"",NOT(ISNUMBER($G115)))),"Fecha no válida"&amp;" · ","")&amp;IF(AND(ISNUMBER($AM115),ISNUMBER($AN115),$AM115&gt;$AN115),"Inicio posterior a fecha límite"&amp;" · ","")&amp;IF(AND($V115="Macro",$H115&lt;&gt;"",OR(NOT(ISNUMBER($H115)),$H115&lt;0,$H115&gt;1)),"Peso fuera de rango"&amp;" · ","")&amp;IF(AND($V115="Sub",$H115&lt;&gt;""),"Las subactividades no llevan peso (valen igual dentro de su macroactividad)"&amp;" · ","")&amp;IF(AND(N($W115)&gt;0,COUNT($I115:$L115)&gt;0),"Con subactividades: deje vacías las semanas (se calculan solas)"&amp;" · ","")&amp;IF((COUNTIF($I115:$L115,"&gt;1")+COUNTIF($I115:$L115,"&lt;0")+COUNTA($I115:$L115)-COUNT($I115:$L115))&gt;0,"Avance fuera de rango 0-100%"&amp;" · ","")&amp;IF(OR(AND($J115&lt;&gt;"",$J115&lt;$I115),AND($K115&lt;&gt;"",$K115&lt;MAX($I115:$J115)),AND($L115&lt;&gt;"",$L115&lt;MAX($I115:$K115))),"Avance semanal decreciente"&amp;" · ","")&amp;IF(AND(ISNUMBER($AN115),$AN115&lt;FechaRef,IF($V115="Sub",N($X115),N($M115))&lt;1),"Vencida"&amp;" · ","")&amp;IF(AND(ObsObligatoria="Sí",ISNUMBER($AN115),$AN115&lt;FechaRef,IF($V115="Sub",N($X115),N($M115))&lt;1,$Q115=""),"Vencida sin observación"&amp;" · ",""),LEN(IF($C115="","Falta el nombre de la actividad"&amp;" · ","")&amp;IF(AND($V115="Sub",N($U115)=0),"Subactividad sin macroactividad arriba"&amp;" · ","")&amp;IF($AM115="","Sin fecha de inicio"&amp;" · ","")&amp;IF($AN115="","Sin fecha límite"&amp;" · ","")&amp;IF(AND(LEFT($C115,11)="[Jefatura] ",N($AL115)=0),"No se encuentra en la hoja de la jefatura (elíjala de nuevo en la lista)"&amp;" · ","")&amp;IF(OR(AND($E115&lt;&gt;"",NOT(ISNUMBER($E115))),AND($F115&lt;&gt;"",NOT(ISNUMBER($F115))),AND($G115&lt;&gt;"",NOT(ISNUMBER($G115)))),"Fecha no válida"&amp;" · ","")&amp;IF(AND(ISNUMBER($AM115),ISNUMBER($AN115),$AM115&gt;$AN115),"Inicio posterior a fecha límite"&amp;" · ","")&amp;IF(AND($V115="Macro",$H115&lt;&gt;"",OR(NOT(ISNUMBER($H115)),$H115&lt;0,$H115&gt;1)),"Peso fuera de rango"&amp;" · ","")&amp;IF(AND($V115="Sub",$H115&lt;&gt;""),"Las subactividades no llevan peso (valen igual dentro de su macroactividad)"&amp;" · ","")&amp;IF(AND(N($W115)&gt;0,COUNT($I115:$L115)&gt;0),"Con subactividades: deje vacías las semanas (se calculan solas)"&amp;" · ","")&amp;IF((COUNTIF($I115:$L115,"&gt;1")+COUNTIF($I115:$L115,"&lt;0")+COUNTA($I115:$L115)-COUNT($I115:$L115))&gt;0,"Avance fuera de rango 0-100%"&amp;" · ","")&amp;IF(OR(AND($J115&lt;&gt;"",$J115&lt;$I115),AND($K115&lt;&gt;"",$K115&lt;MAX($I115:$J115)),AND($L115&lt;&gt;"",$L115&lt;MAX($I115:$K115))),"Avance semanal decreciente"&amp;" · ","")&amp;IF(AND(ISNUMBER($AN115),$AN115&lt;FechaRef,IF($V115="Sub",N($X115),N($M115))&lt;1),"Vencida"&amp;" · ","")&amp;IF(AND(ObsObligatoria="Sí",ISNUMBER($AN115),$AN115&lt;FechaRef,IF($V115="Sub",N($X115),N($M115))&lt;1,$Q115=""),"Vencida sin observación"&amp;" · ",""))-3)))</f>
        <v/>
      </c>
      <c r="S115" s="64">
        <f>IF(NOT((COUNTA($B115:$D115)+COUNTA($G115:$L115)+COUNTA($Q115))&gt;0),"",IF(AND($V115="Sub",N($U115)&gt;0),IF(ISNUMBER(INDEX($AM$5:$AM$1000,$U115-4)),DATE(YEAR(INDEX($AM$5:$AM$1000,$U115-4)),MONTH(INDEX($AM$5:$AM$1000,$U115-4)),1),IF(ISNUMBER(INDEX($AN$5:$AN$1000,$U115-4)),DATE(YEAR(INDEX($AN$5:$AN$1000,$U115-4)),MONTH(INDEX($AN$5:$AN$1000,$U115-4)),1),MesCiclo)),IF(ISNUMBER($AM115),DATE(YEAR($AM115),MONTH($AM115),1),IF(ISNUMBER($AN115),DATE(YEAR($AN115),MONTH($AN115),1),MesCiclo))))</f>
        <v/>
      </c>
      <c r="T115" s="62">
        <f>IF(OR($S115="",$S115&lt;&gt;MesCiclo,$V115&lt;&gt;"Macro"),"",COUNTIFS($S$5:$S115,MesCiclo,$V$5:$V115,"Macro"))</f>
        <v/>
      </c>
      <c r="U115" s="62">
        <f>IF($V115="","",IF($V115="Macro",ROW(),IFERROR(LOOKUP(2,1/($V$5:$V115="Macro"),ROW($V$5:$V115)),0)))</f>
        <v/>
      </c>
      <c r="V115" s="62">
        <f>IF(NOT((COUNTA($B115:$D115)+COUNTA($G115:$L115)+COUNTA($Q115))&gt;0),"",IF($B115="Subactividad","Sub","Macro"))</f>
        <v/>
      </c>
      <c r="W115" s="62">
        <f>IF($V115="Macro",COUNTIFS($U$5:$U$1000,ROW(),$V$5:$V$1000,"Sub"),"")</f>
        <v/>
      </c>
      <c r="X115" s="62">
        <f>IF($V115="","",IF(ISNUMBER($G115),1,IFERROR(LOOKUP(2,1/($I115:$L115&lt;&gt;""),$I115:$L115),0)))</f>
        <v/>
      </c>
      <c r="Y115" s="62">
        <f>IF($V115="","",IF(AND(ISNUMBER($G115),$G115&lt;=IF($S115=MesCiclo,InicioCiclo,$S115+MOD(2-WEEKDAY($S115),7))+6),1,IF(ISNUMBER($I115),$I115,0)))</f>
        <v/>
      </c>
      <c r="Z115" s="62">
        <f>IF($V115="","",IF(AND(ISNUMBER($G115),$G115&lt;=IF($S115=MesCiclo,InicioCiclo,$S115+MOD(2-WEEKDAY($S115),7))+13),1,IF(ISNUMBER($J115),$J115,$Y115)))</f>
        <v/>
      </c>
      <c r="AA115" s="62">
        <f>IF($V115="","",IF(AND(ISNUMBER($G115),$G115&lt;=IF($S115=MesCiclo,InicioCiclo,$S115+MOD(2-WEEKDAY($S115),7))+20),1,IF(ISNUMBER($K115),$K115,$Z115)))</f>
        <v/>
      </c>
      <c r="AB115" s="62">
        <f>IF($V115="","",IF(AND(ISNUMBER($G115),$G115&lt;=IF($S115=MesCiclo,InicioCiclo,$S115+MOD(2-WEEKDAY($S115),7))+27),1,IF(ISNUMBER($L115),$L115,$AA115)))</f>
        <v/>
      </c>
      <c r="AC115" s="62">
        <f>IF($V115="","",IF(AND(ISNUMBER($G115),$G115&lt;=IF($S115=MesCiclo,InicioCiclo,$S115+MOD(2-WEEKDAY($S115),7))+6),1,IF(N($W115)&gt;0,AVERAGEIFS($Y$5:$Y$1000,$U$5:$U$1000,ROW(),$V$5:$V$1000,"Sub"),$Y115)))</f>
        <v/>
      </c>
      <c r="AD115" s="62">
        <f>IF($V115="","",IF(AND(ISNUMBER($G115),$G115&lt;=IF($S115=MesCiclo,InicioCiclo,$S115+MOD(2-WEEKDAY($S115),7))+13),1,IF(N($W115)&gt;0,AVERAGEIFS($Z$5:$Z$1000,$U$5:$U$1000,ROW(),$V$5:$V$1000,"Sub"),$Z115)))</f>
        <v/>
      </c>
      <c r="AE115" s="62">
        <f>IF($V115="","",IF(AND(ISNUMBER($G115),$G115&lt;=IF($S115=MesCiclo,InicioCiclo,$S115+MOD(2-WEEKDAY($S115),7))+20),1,IF(N($W115)&gt;0,AVERAGEIFS($AA$5:$AA$1000,$U$5:$U$1000,ROW(),$V$5:$V$1000,"Sub"),$AA115)))</f>
        <v/>
      </c>
      <c r="AF115" s="62">
        <f>IF($V115="","",IF(AND(ISNUMBER($G115),$G115&lt;=IF($S115=MesCiclo,InicioCiclo,$S115+MOD(2-WEEKDAY($S115),7))+27),1,IF(N($W115)&gt;0,AVERAGEIFS($AB$5:$AB$1000,$U$5:$U$1000,ROW(),$V$5:$V$1000,"Sub"),$AB115)))</f>
        <v/>
      </c>
      <c r="AG115" s="62">
        <f>IF($V115&lt;&gt;"Macro","",IF(COUNTIFS($S$5:$S$1000,$S115,$V$5:$V$1000,"Macro",$H$5:$H$1000,"&gt;0")=0,1/COUNTIFS($S$5:$S$1000,$S115,$V$5:$V$1000,"Macro"),IF(AND(ISNUMBER($H115),N($H115)&gt;0),$H115,SUMIFS($H$5:$H$1000,$S$5:$S$1000,$S115,$V$5:$V$1000,"Macro")/COUNTIFS($S$5:$S$1000,$S115,$V$5:$V$1000,"Macro",$H$5:$H$1000,"&gt;0"))/(COUNTIFS($S$5:$S$1000,$S115,$V$5:$V$1000,"Macro")*SUMIFS($H$5:$H$1000,$S$5:$S$1000,$S115,$V$5:$V$1000,"Macro")/COUNTIFS($S$5:$S$1000,$S115,$V$5:$V$1000,"Macro",$H$5:$H$1000,"&gt;0"))))</f>
        <v/>
      </c>
      <c r="AH115" s="62" t="n"/>
      <c r="AI115" s="62" t="n"/>
      <c r="AJ115" s="62" t="n"/>
      <c r="AK115" s="62" t="n"/>
      <c r="AL115" s="62">
        <f>IF(LEFT($C115,11)="[Jefatura] ",IFERROR(MATCH("Riesgo Financiero|"&amp;MID($C115,12,500),rDname_ADM,0),0),"")</f>
        <v/>
      </c>
      <c r="AM115" s="62">
        <f>IF(N($AL115)&gt;0,INDEX(rIni_ADM,$AL115),IF(ISNUMBER($E115),$E115,""))</f>
        <v/>
      </c>
      <c r="AN115" s="62">
        <f>IF(N($AL115)&gt;0,INDEX(rLim_ADM,$AL115),IF(ISNUMBER($F115),$F115,""))</f>
        <v/>
      </c>
    </row>
    <row r="116">
      <c r="A116" s="56">
        <f>IF(NOT((COUNTA($B116:$D116)+COUNTA($G116:$L116)+COUNTA($Q116))&gt;0),"",IF($V116="Macro",COUNTIFS($V$5:$V116,"Macro",$S$5:$S116,$S116),IF(N($U116)=0,"?",COUNTIFS(INDEX($V$5:$V$1000,1):INDEX($V$5:$V$1000,$U116-4),"Macro",INDEX($S$5:$S$1000,1):INDEX($S$5:$S$1000,$U116-4),INDEX($S$5:$S$1000,$U116-4))&amp;"."&amp;COUNTIFS($U$5:$U116,$U116,$V$5:$V116,"Sub"))))</f>
        <v/>
      </c>
      <c r="B116" s="57" t="n"/>
      <c r="C116" s="58" t="n"/>
      <c r="D116" s="58" t="n"/>
      <c r="E116" s="59">
        <f>IF(N($AL116)&gt;0,INDEX(rIni_ADM,$AL116),"")</f>
        <v/>
      </c>
      <c r="F116" s="59">
        <f>IF(N($AL116)&gt;0,INDEX(rLim_ADM,$AL116),"")</f>
        <v/>
      </c>
      <c r="G116" s="59" t="n"/>
      <c r="H116" s="60" t="n"/>
      <c r="I116" s="60" t="n"/>
      <c r="J116" s="60" t="n"/>
      <c r="K116" s="60" t="n"/>
      <c r="L116" s="60" t="n"/>
      <c r="M116" s="61">
        <f>IF(NOT((COUNTA($B116:$D116)+COUNTA($G116:$L116)+COUNTA($Q116))&gt;0),"",IF($V116="Sub",IFERROR($X116/INDEX($W$5:$W$1000,$U116-4),""),IF(ISNUMBER($G116),1,IF(N($W116)&gt;0,AVERAGEIFS($X$5:$X$1000,$U$5:$U$1000,ROW(),$V$5:$V$1000,"Sub"),$X116))))</f>
        <v/>
      </c>
      <c r="N116" s="56">
        <f>IF(OR($M116="",$V116="Sub"),"",IF($M116&gt;=1,"Completado",IF($M116&gt;0,"En curso","Pendiente")))</f>
        <v/>
      </c>
      <c r="O116" s="56">
        <f>IF(OR(NOT((COUNTA($B116:$D116)+COUNTA($G116:$L116)+COUNTA($Q116))&gt;0),$V116="Sub"),"",IF(ISNUMBER($G116),IF(AND(ISNUMBER($AN116),$G116&gt;$AN116),"Cumplida con "&amp;($G116-$AN116)&amp;IF($G116-$AN116=1," día"," días")&amp;" de retraso","Cumplida"),IF(N($M116)&gt;=1,"Cumplida",IF(NOT(ISNUMBER($AN116)),"Sin fecha límite",IF($AN116&lt;FechaRef,"Vencida hace "&amp;(FechaRef-$AN116)&amp;IF(FechaRef-$AN116=1," día"," días"),IF($AN116=FechaRef,"Vence hoy",IF($AN116-FechaRef&lt;=DiasAlerta,"Vence en "&amp;($AN116-FechaRef)&amp;IF($AN116-FechaRef=1," día"," días"),"En plazo")))))))</f>
        <v/>
      </c>
      <c r="P116" s="62" t="n"/>
      <c r="Q116" s="58" t="n"/>
      <c r="R116" s="63">
        <f>IF(NOT((COUNTA($B116:$D116)+COUNTA($G116:$L116)+COUNTA($Q116))&gt;0),"",IF((IF($C116="","Falta el nombre de la actividad"&amp;" · ","")&amp;IF(AND($V116="Sub",N($U116)=0),"Subactividad sin macroactividad arriba"&amp;" · ","")&amp;IF($AM116="","Sin fecha de inicio"&amp;" · ","")&amp;IF($AN116="","Sin fecha límite"&amp;" · ","")&amp;IF(AND(LEFT($C116,11)="[Jefatura] ",N($AL116)=0),"No se encuentra en la hoja de la jefatura (elíjala de nuevo en la lista)"&amp;" · ","")&amp;IF(OR(AND($E116&lt;&gt;"",NOT(ISNUMBER($E116))),AND($F116&lt;&gt;"",NOT(ISNUMBER($F116))),AND($G116&lt;&gt;"",NOT(ISNUMBER($G116)))),"Fecha no válida"&amp;" · ","")&amp;IF(AND(ISNUMBER($AM116),ISNUMBER($AN116),$AM116&gt;$AN116),"Inicio posterior a fecha límite"&amp;" · ","")&amp;IF(AND($V116="Macro",$H116&lt;&gt;"",OR(NOT(ISNUMBER($H116)),$H116&lt;0,$H116&gt;1)),"Peso fuera de rango"&amp;" · ","")&amp;IF(AND($V116="Sub",$H116&lt;&gt;""),"Las subactividades no llevan peso (valen igual dentro de su macroactividad)"&amp;" · ","")&amp;IF(AND(N($W116)&gt;0,COUNT($I116:$L116)&gt;0),"Con subactividades: deje vacías las semanas (se calculan solas)"&amp;" · ","")&amp;IF((COUNTIF($I116:$L116,"&gt;1")+COUNTIF($I116:$L116,"&lt;0")+COUNTA($I116:$L116)-COUNT($I116:$L116))&gt;0,"Avance fuera de rango 0-100%"&amp;" · ","")&amp;IF(OR(AND($J116&lt;&gt;"",$J116&lt;$I116),AND($K116&lt;&gt;"",$K116&lt;MAX($I116:$J116)),AND($L116&lt;&gt;"",$L116&lt;MAX($I116:$K116))),"Avance semanal decreciente"&amp;" · ","")&amp;IF(AND(ISNUMBER($AN116),$AN116&lt;FechaRef,IF($V116="Sub",N($X116),N($M116))&lt;1),"Vencida"&amp;" · ","")&amp;IF(AND(ObsObligatoria="Sí",ISNUMBER($AN116),$AN116&lt;FechaRef,IF($V116="Sub",N($X116),N($M116))&lt;1,$Q116=""),"Vencida sin observación"&amp;" · ",""))="","✔ OK","⚠ "&amp;LEFT(IF($C116="","Falta el nombre de la actividad"&amp;" · ","")&amp;IF(AND($V116="Sub",N($U116)=0),"Subactividad sin macroactividad arriba"&amp;" · ","")&amp;IF($AM116="","Sin fecha de inicio"&amp;" · ","")&amp;IF($AN116="","Sin fecha límite"&amp;" · ","")&amp;IF(AND(LEFT($C116,11)="[Jefatura] ",N($AL116)=0),"No se encuentra en la hoja de la jefatura (elíjala de nuevo en la lista)"&amp;" · ","")&amp;IF(OR(AND($E116&lt;&gt;"",NOT(ISNUMBER($E116))),AND($F116&lt;&gt;"",NOT(ISNUMBER($F116))),AND($G116&lt;&gt;"",NOT(ISNUMBER($G116)))),"Fecha no válida"&amp;" · ","")&amp;IF(AND(ISNUMBER($AM116),ISNUMBER($AN116),$AM116&gt;$AN116),"Inicio posterior a fecha límite"&amp;" · ","")&amp;IF(AND($V116="Macro",$H116&lt;&gt;"",OR(NOT(ISNUMBER($H116)),$H116&lt;0,$H116&gt;1)),"Peso fuera de rango"&amp;" · ","")&amp;IF(AND($V116="Sub",$H116&lt;&gt;""),"Las subactividades no llevan peso (valen igual dentro de su macroactividad)"&amp;" · ","")&amp;IF(AND(N($W116)&gt;0,COUNT($I116:$L116)&gt;0),"Con subactividades: deje vacías las semanas (se calculan solas)"&amp;" · ","")&amp;IF((COUNTIF($I116:$L116,"&gt;1")+COUNTIF($I116:$L116,"&lt;0")+COUNTA($I116:$L116)-COUNT($I116:$L116))&gt;0,"Avance fuera de rango 0-100%"&amp;" · ","")&amp;IF(OR(AND($J116&lt;&gt;"",$J116&lt;$I116),AND($K116&lt;&gt;"",$K116&lt;MAX($I116:$J116)),AND($L116&lt;&gt;"",$L116&lt;MAX($I116:$K116))),"Avance semanal decreciente"&amp;" · ","")&amp;IF(AND(ISNUMBER($AN116),$AN116&lt;FechaRef,IF($V116="Sub",N($X116),N($M116))&lt;1),"Vencida"&amp;" · ","")&amp;IF(AND(ObsObligatoria="Sí",ISNUMBER($AN116),$AN116&lt;FechaRef,IF($V116="Sub",N($X116),N($M116))&lt;1,$Q116=""),"Vencida sin observación"&amp;" · ",""),LEN(IF($C116="","Falta el nombre de la actividad"&amp;" · ","")&amp;IF(AND($V116="Sub",N($U116)=0),"Subactividad sin macroactividad arriba"&amp;" · ","")&amp;IF($AM116="","Sin fecha de inicio"&amp;" · ","")&amp;IF($AN116="","Sin fecha límite"&amp;" · ","")&amp;IF(AND(LEFT($C116,11)="[Jefatura] ",N($AL116)=0),"No se encuentra en la hoja de la jefatura (elíjala de nuevo en la lista)"&amp;" · ","")&amp;IF(OR(AND($E116&lt;&gt;"",NOT(ISNUMBER($E116))),AND($F116&lt;&gt;"",NOT(ISNUMBER($F116))),AND($G116&lt;&gt;"",NOT(ISNUMBER($G116)))),"Fecha no válida"&amp;" · ","")&amp;IF(AND(ISNUMBER($AM116),ISNUMBER($AN116),$AM116&gt;$AN116),"Inicio posterior a fecha límite"&amp;" · ","")&amp;IF(AND($V116="Macro",$H116&lt;&gt;"",OR(NOT(ISNUMBER($H116)),$H116&lt;0,$H116&gt;1)),"Peso fuera de rango"&amp;" · ","")&amp;IF(AND($V116="Sub",$H116&lt;&gt;""),"Las subactividades no llevan peso (valen igual dentro de su macroactividad)"&amp;" · ","")&amp;IF(AND(N($W116)&gt;0,COUNT($I116:$L116)&gt;0),"Con subactividades: deje vacías las semanas (se calculan solas)"&amp;" · ","")&amp;IF((COUNTIF($I116:$L116,"&gt;1")+COUNTIF($I116:$L116,"&lt;0")+COUNTA($I116:$L116)-COUNT($I116:$L116))&gt;0,"Avance fuera de rango 0-100%"&amp;" · ","")&amp;IF(OR(AND($J116&lt;&gt;"",$J116&lt;$I116),AND($K116&lt;&gt;"",$K116&lt;MAX($I116:$J116)),AND($L116&lt;&gt;"",$L116&lt;MAX($I116:$K116))),"Avance semanal decreciente"&amp;" · ","")&amp;IF(AND(ISNUMBER($AN116),$AN116&lt;FechaRef,IF($V116="Sub",N($X116),N($M116))&lt;1),"Vencida"&amp;" · ","")&amp;IF(AND(ObsObligatoria="Sí",ISNUMBER($AN116),$AN116&lt;FechaRef,IF($V116="Sub",N($X116),N($M116))&lt;1,$Q116=""),"Vencida sin observación"&amp;" · ",""))-3)))</f>
        <v/>
      </c>
      <c r="S116" s="64">
        <f>IF(NOT((COUNTA($B116:$D116)+COUNTA($G116:$L116)+COUNTA($Q116))&gt;0),"",IF(AND($V116="Sub",N($U116)&gt;0),IF(ISNUMBER(INDEX($AM$5:$AM$1000,$U116-4)),DATE(YEAR(INDEX($AM$5:$AM$1000,$U116-4)),MONTH(INDEX($AM$5:$AM$1000,$U116-4)),1),IF(ISNUMBER(INDEX($AN$5:$AN$1000,$U116-4)),DATE(YEAR(INDEX($AN$5:$AN$1000,$U116-4)),MONTH(INDEX($AN$5:$AN$1000,$U116-4)),1),MesCiclo)),IF(ISNUMBER($AM116),DATE(YEAR($AM116),MONTH($AM116),1),IF(ISNUMBER($AN116),DATE(YEAR($AN116),MONTH($AN116),1),MesCiclo))))</f>
        <v/>
      </c>
      <c r="T116" s="62">
        <f>IF(OR($S116="",$S116&lt;&gt;MesCiclo,$V116&lt;&gt;"Macro"),"",COUNTIFS($S$5:$S116,MesCiclo,$V$5:$V116,"Macro"))</f>
        <v/>
      </c>
      <c r="U116" s="62">
        <f>IF($V116="","",IF($V116="Macro",ROW(),IFERROR(LOOKUP(2,1/($V$5:$V116="Macro"),ROW($V$5:$V116)),0)))</f>
        <v/>
      </c>
      <c r="V116" s="62">
        <f>IF(NOT((COUNTA($B116:$D116)+COUNTA($G116:$L116)+COUNTA($Q116))&gt;0),"",IF($B116="Subactividad","Sub","Macro"))</f>
        <v/>
      </c>
      <c r="W116" s="62">
        <f>IF($V116="Macro",COUNTIFS($U$5:$U$1000,ROW(),$V$5:$V$1000,"Sub"),"")</f>
        <v/>
      </c>
      <c r="X116" s="62">
        <f>IF($V116="","",IF(ISNUMBER($G116),1,IFERROR(LOOKUP(2,1/($I116:$L116&lt;&gt;""),$I116:$L116),0)))</f>
        <v/>
      </c>
      <c r="Y116" s="62">
        <f>IF($V116="","",IF(AND(ISNUMBER($G116),$G116&lt;=IF($S116=MesCiclo,InicioCiclo,$S116+MOD(2-WEEKDAY($S116),7))+6),1,IF(ISNUMBER($I116),$I116,0)))</f>
        <v/>
      </c>
      <c r="Z116" s="62">
        <f>IF($V116="","",IF(AND(ISNUMBER($G116),$G116&lt;=IF($S116=MesCiclo,InicioCiclo,$S116+MOD(2-WEEKDAY($S116),7))+13),1,IF(ISNUMBER($J116),$J116,$Y116)))</f>
        <v/>
      </c>
      <c r="AA116" s="62">
        <f>IF($V116="","",IF(AND(ISNUMBER($G116),$G116&lt;=IF($S116=MesCiclo,InicioCiclo,$S116+MOD(2-WEEKDAY($S116),7))+20),1,IF(ISNUMBER($K116),$K116,$Z116)))</f>
        <v/>
      </c>
      <c r="AB116" s="62">
        <f>IF($V116="","",IF(AND(ISNUMBER($G116),$G116&lt;=IF($S116=MesCiclo,InicioCiclo,$S116+MOD(2-WEEKDAY($S116),7))+27),1,IF(ISNUMBER($L116),$L116,$AA116)))</f>
        <v/>
      </c>
      <c r="AC116" s="62">
        <f>IF($V116="","",IF(AND(ISNUMBER($G116),$G116&lt;=IF($S116=MesCiclo,InicioCiclo,$S116+MOD(2-WEEKDAY($S116),7))+6),1,IF(N($W116)&gt;0,AVERAGEIFS($Y$5:$Y$1000,$U$5:$U$1000,ROW(),$V$5:$V$1000,"Sub"),$Y116)))</f>
        <v/>
      </c>
      <c r="AD116" s="62">
        <f>IF($V116="","",IF(AND(ISNUMBER($G116),$G116&lt;=IF($S116=MesCiclo,InicioCiclo,$S116+MOD(2-WEEKDAY($S116),7))+13),1,IF(N($W116)&gt;0,AVERAGEIFS($Z$5:$Z$1000,$U$5:$U$1000,ROW(),$V$5:$V$1000,"Sub"),$Z116)))</f>
        <v/>
      </c>
      <c r="AE116" s="62">
        <f>IF($V116="","",IF(AND(ISNUMBER($G116),$G116&lt;=IF($S116=MesCiclo,InicioCiclo,$S116+MOD(2-WEEKDAY($S116),7))+20),1,IF(N($W116)&gt;0,AVERAGEIFS($AA$5:$AA$1000,$U$5:$U$1000,ROW(),$V$5:$V$1000,"Sub"),$AA116)))</f>
        <v/>
      </c>
      <c r="AF116" s="62">
        <f>IF($V116="","",IF(AND(ISNUMBER($G116),$G116&lt;=IF($S116=MesCiclo,InicioCiclo,$S116+MOD(2-WEEKDAY($S116),7))+27),1,IF(N($W116)&gt;0,AVERAGEIFS($AB$5:$AB$1000,$U$5:$U$1000,ROW(),$V$5:$V$1000,"Sub"),$AB116)))</f>
        <v/>
      </c>
      <c r="AG116" s="62">
        <f>IF($V116&lt;&gt;"Macro","",IF(COUNTIFS($S$5:$S$1000,$S116,$V$5:$V$1000,"Macro",$H$5:$H$1000,"&gt;0")=0,1/COUNTIFS($S$5:$S$1000,$S116,$V$5:$V$1000,"Macro"),IF(AND(ISNUMBER($H116),N($H116)&gt;0),$H116,SUMIFS($H$5:$H$1000,$S$5:$S$1000,$S116,$V$5:$V$1000,"Macro")/COUNTIFS($S$5:$S$1000,$S116,$V$5:$V$1000,"Macro",$H$5:$H$1000,"&gt;0"))/(COUNTIFS($S$5:$S$1000,$S116,$V$5:$V$1000,"Macro")*SUMIFS($H$5:$H$1000,$S$5:$S$1000,$S116,$V$5:$V$1000,"Macro")/COUNTIFS($S$5:$S$1000,$S116,$V$5:$V$1000,"Macro",$H$5:$H$1000,"&gt;0"))))</f>
        <v/>
      </c>
      <c r="AH116" s="62" t="n"/>
      <c r="AI116" s="62" t="n"/>
      <c r="AJ116" s="62" t="n"/>
      <c r="AK116" s="62" t="n"/>
      <c r="AL116" s="62">
        <f>IF(LEFT($C116,11)="[Jefatura] ",IFERROR(MATCH("Riesgo Financiero|"&amp;MID($C116,12,500),rDname_ADM,0),0),"")</f>
        <v/>
      </c>
      <c r="AM116" s="62">
        <f>IF(N($AL116)&gt;0,INDEX(rIni_ADM,$AL116),IF(ISNUMBER($E116),$E116,""))</f>
        <v/>
      </c>
      <c r="AN116" s="62">
        <f>IF(N($AL116)&gt;0,INDEX(rLim_ADM,$AL116),IF(ISNUMBER($F116),$F116,""))</f>
        <v/>
      </c>
    </row>
    <row r="117">
      <c r="A117" s="56">
        <f>IF(NOT((COUNTA($B117:$D117)+COUNTA($G117:$L117)+COUNTA($Q117))&gt;0),"",IF($V117="Macro",COUNTIFS($V$5:$V117,"Macro",$S$5:$S117,$S117),IF(N($U117)=0,"?",COUNTIFS(INDEX($V$5:$V$1000,1):INDEX($V$5:$V$1000,$U117-4),"Macro",INDEX($S$5:$S$1000,1):INDEX($S$5:$S$1000,$U117-4),INDEX($S$5:$S$1000,$U117-4))&amp;"."&amp;COUNTIFS($U$5:$U117,$U117,$V$5:$V117,"Sub"))))</f>
        <v/>
      </c>
      <c r="B117" s="57" t="n"/>
      <c r="C117" s="58" t="n"/>
      <c r="D117" s="58" t="n"/>
      <c r="E117" s="59">
        <f>IF(N($AL117)&gt;0,INDEX(rIni_ADM,$AL117),"")</f>
        <v/>
      </c>
      <c r="F117" s="59">
        <f>IF(N($AL117)&gt;0,INDEX(rLim_ADM,$AL117),"")</f>
        <v/>
      </c>
      <c r="G117" s="59" t="n"/>
      <c r="H117" s="60" t="n"/>
      <c r="I117" s="60" t="n"/>
      <c r="J117" s="60" t="n"/>
      <c r="K117" s="60" t="n"/>
      <c r="L117" s="60" t="n"/>
      <c r="M117" s="61">
        <f>IF(NOT((COUNTA($B117:$D117)+COUNTA($G117:$L117)+COUNTA($Q117))&gt;0),"",IF($V117="Sub",IFERROR($X117/INDEX($W$5:$W$1000,$U117-4),""),IF(ISNUMBER($G117),1,IF(N($W117)&gt;0,AVERAGEIFS($X$5:$X$1000,$U$5:$U$1000,ROW(),$V$5:$V$1000,"Sub"),$X117))))</f>
        <v/>
      </c>
      <c r="N117" s="56">
        <f>IF(OR($M117="",$V117="Sub"),"",IF($M117&gt;=1,"Completado",IF($M117&gt;0,"En curso","Pendiente")))</f>
        <v/>
      </c>
      <c r="O117" s="56">
        <f>IF(OR(NOT((COUNTA($B117:$D117)+COUNTA($G117:$L117)+COUNTA($Q117))&gt;0),$V117="Sub"),"",IF(ISNUMBER($G117),IF(AND(ISNUMBER($AN117),$G117&gt;$AN117),"Cumplida con "&amp;($G117-$AN117)&amp;IF($G117-$AN117=1," día"," días")&amp;" de retraso","Cumplida"),IF(N($M117)&gt;=1,"Cumplida",IF(NOT(ISNUMBER($AN117)),"Sin fecha límite",IF($AN117&lt;FechaRef,"Vencida hace "&amp;(FechaRef-$AN117)&amp;IF(FechaRef-$AN117=1," día"," días"),IF($AN117=FechaRef,"Vence hoy",IF($AN117-FechaRef&lt;=DiasAlerta,"Vence en "&amp;($AN117-FechaRef)&amp;IF($AN117-FechaRef=1," día"," días"),"En plazo")))))))</f>
        <v/>
      </c>
      <c r="P117" s="62" t="n"/>
      <c r="Q117" s="58" t="n"/>
      <c r="R117" s="63">
        <f>IF(NOT((COUNTA($B117:$D117)+COUNTA($G117:$L117)+COUNTA($Q117))&gt;0),"",IF((IF($C117="","Falta el nombre de la actividad"&amp;" · ","")&amp;IF(AND($V117="Sub",N($U117)=0),"Subactividad sin macroactividad arriba"&amp;" · ","")&amp;IF($AM117="","Sin fecha de inicio"&amp;" · ","")&amp;IF($AN117="","Sin fecha límite"&amp;" · ","")&amp;IF(AND(LEFT($C117,11)="[Jefatura] ",N($AL117)=0),"No se encuentra en la hoja de la jefatura (elíjala de nuevo en la lista)"&amp;" · ","")&amp;IF(OR(AND($E117&lt;&gt;"",NOT(ISNUMBER($E117))),AND($F117&lt;&gt;"",NOT(ISNUMBER($F117))),AND($G117&lt;&gt;"",NOT(ISNUMBER($G117)))),"Fecha no válida"&amp;" · ","")&amp;IF(AND(ISNUMBER($AM117),ISNUMBER($AN117),$AM117&gt;$AN117),"Inicio posterior a fecha límite"&amp;" · ","")&amp;IF(AND($V117="Macro",$H117&lt;&gt;"",OR(NOT(ISNUMBER($H117)),$H117&lt;0,$H117&gt;1)),"Peso fuera de rango"&amp;" · ","")&amp;IF(AND($V117="Sub",$H117&lt;&gt;""),"Las subactividades no llevan peso (valen igual dentro de su macroactividad)"&amp;" · ","")&amp;IF(AND(N($W117)&gt;0,COUNT($I117:$L117)&gt;0),"Con subactividades: deje vacías las semanas (se calculan solas)"&amp;" · ","")&amp;IF((COUNTIF($I117:$L117,"&gt;1")+COUNTIF($I117:$L117,"&lt;0")+COUNTA($I117:$L117)-COUNT($I117:$L117))&gt;0,"Avance fuera de rango 0-100%"&amp;" · ","")&amp;IF(OR(AND($J117&lt;&gt;"",$J117&lt;$I117),AND($K117&lt;&gt;"",$K117&lt;MAX($I117:$J117)),AND($L117&lt;&gt;"",$L117&lt;MAX($I117:$K117))),"Avance semanal decreciente"&amp;" · ","")&amp;IF(AND(ISNUMBER($AN117),$AN117&lt;FechaRef,IF($V117="Sub",N($X117),N($M117))&lt;1),"Vencida"&amp;" · ","")&amp;IF(AND(ObsObligatoria="Sí",ISNUMBER($AN117),$AN117&lt;FechaRef,IF($V117="Sub",N($X117),N($M117))&lt;1,$Q117=""),"Vencida sin observación"&amp;" · ",""))="","✔ OK","⚠ "&amp;LEFT(IF($C117="","Falta el nombre de la actividad"&amp;" · ","")&amp;IF(AND($V117="Sub",N($U117)=0),"Subactividad sin macroactividad arriba"&amp;" · ","")&amp;IF($AM117="","Sin fecha de inicio"&amp;" · ","")&amp;IF($AN117="","Sin fecha límite"&amp;" · ","")&amp;IF(AND(LEFT($C117,11)="[Jefatura] ",N($AL117)=0),"No se encuentra en la hoja de la jefatura (elíjala de nuevo en la lista)"&amp;" · ","")&amp;IF(OR(AND($E117&lt;&gt;"",NOT(ISNUMBER($E117))),AND($F117&lt;&gt;"",NOT(ISNUMBER($F117))),AND($G117&lt;&gt;"",NOT(ISNUMBER($G117)))),"Fecha no válida"&amp;" · ","")&amp;IF(AND(ISNUMBER($AM117),ISNUMBER($AN117),$AM117&gt;$AN117),"Inicio posterior a fecha límite"&amp;" · ","")&amp;IF(AND($V117="Macro",$H117&lt;&gt;"",OR(NOT(ISNUMBER($H117)),$H117&lt;0,$H117&gt;1)),"Peso fuera de rango"&amp;" · ","")&amp;IF(AND($V117="Sub",$H117&lt;&gt;""),"Las subactividades no llevan peso (valen igual dentro de su macroactividad)"&amp;" · ","")&amp;IF(AND(N($W117)&gt;0,COUNT($I117:$L117)&gt;0),"Con subactividades: deje vacías las semanas (se calculan solas)"&amp;" · ","")&amp;IF((COUNTIF($I117:$L117,"&gt;1")+COUNTIF($I117:$L117,"&lt;0")+COUNTA($I117:$L117)-COUNT($I117:$L117))&gt;0,"Avance fuera de rango 0-100%"&amp;" · ","")&amp;IF(OR(AND($J117&lt;&gt;"",$J117&lt;$I117),AND($K117&lt;&gt;"",$K117&lt;MAX($I117:$J117)),AND($L117&lt;&gt;"",$L117&lt;MAX($I117:$K117))),"Avance semanal decreciente"&amp;" · ","")&amp;IF(AND(ISNUMBER($AN117),$AN117&lt;FechaRef,IF($V117="Sub",N($X117),N($M117))&lt;1),"Vencida"&amp;" · ","")&amp;IF(AND(ObsObligatoria="Sí",ISNUMBER($AN117),$AN117&lt;FechaRef,IF($V117="Sub",N($X117),N($M117))&lt;1,$Q117=""),"Vencida sin observación"&amp;" · ",""),LEN(IF($C117="","Falta el nombre de la actividad"&amp;" · ","")&amp;IF(AND($V117="Sub",N($U117)=0),"Subactividad sin macroactividad arriba"&amp;" · ","")&amp;IF($AM117="","Sin fecha de inicio"&amp;" · ","")&amp;IF($AN117="","Sin fecha límite"&amp;" · ","")&amp;IF(AND(LEFT($C117,11)="[Jefatura] ",N($AL117)=0),"No se encuentra en la hoja de la jefatura (elíjala de nuevo en la lista)"&amp;" · ","")&amp;IF(OR(AND($E117&lt;&gt;"",NOT(ISNUMBER($E117))),AND($F117&lt;&gt;"",NOT(ISNUMBER($F117))),AND($G117&lt;&gt;"",NOT(ISNUMBER($G117)))),"Fecha no válida"&amp;" · ","")&amp;IF(AND(ISNUMBER($AM117),ISNUMBER($AN117),$AM117&gt;$AN117),"Inicio posterior a fecha límite"&amp;" · ","")&amp;IF(AND($V117="Macro",$H117&lt;&gt;"",OR(NOT(ISNUMBER($H117)),$H117&lt;0,$H117&gt;1)),"Peso fuera de rango"&amp;" · ","")&amp;IF(AND($V117="Sub",$H117&lt;&gt;""),"Las subactividades no llevan peso (valen igual dentro de su macroactividad)"&amp;" · ","")&amp;IF(AND(N($W117)&gt;0,COUNT($I117:$L117)&gt;0),"Con subactividades: deje vacías las semanas (se calculan solas)"&amp;" · ","")&amp;IF((COUNTIF($I117:$L117,"&gt;1")+COUNTIF($I117:$L117,"&lt;0")+COUNTA($I117:$L117)-COUNT($I117:$L117))&gt;0,"Avance fuera de rango 0-100%"&amp;" · ","")&amp;IF(OR(AND($J117&lt;&gt;"",$J117&lt;$I117),AND($K117&lt;&gt;"",$K117&lt;MAX($I117:$J117)),AND($L117&lt;&gt;"",$L117&lt;MAX($I117:$K117))),"Avance semanal decreciente"&amp;" · ","")&amp;IF(AND(ISNUMBER($AN117),$AN117&lt;FechaRef,IF($V117="Sub",N($X117),N($M117))&lt;1),"Vencida"&amp;" · ","")&amp;IF(AND(ObsObligatoria="Sí",ISNUMBER($AN117),$AN117&lt;FechaRef,IF($V117="Sub",N($X117),N($M117))&lt;1,$Q117=""),"Vencida sin observación"&amp;" · ",""))-3)))</f>
        <v/>
      </c>
      <c r="S117" s="64">
        <f>IF(NOT((COUNTA($B117:$D117)+COUNTA($G117:$L117)+COUNTA($Q117))&gt;0),"",IF(AND($V117="Sub",N($U117)&gt;0),IF(ISNUMBER(INDEX($AM$5:$AM$1000,$U117-4)),DATE(YEAR(INDEX($AM$5:$AM$1000,$U117-4)),MONTH(INDEX($AM$5:$AM$1000,$U117-4)),1),IF(ISNUMBER(INDEX($AN$5:$AN$1000,$U117-4)),DATE(YEAR(INDEX($AN$5:$AN$1000,$U117-4)),MONTH(INDEX($AN$5:$AN$1000,$U117-4)),1),MesCiclo)),IF(ISNUMBER($AM117),DATE(YEAR($AM117),MONTH($AM117),1),IF(ISNUMBER($AN117),DATE(YEAR($AN117),MONTH($AN117),1),MesCiclo))))</f>
        <v/>
      </c>
      <c r="T117" s="62">
        <f>IF(OR($S117="",$S117&lt;&gt;MesCiclo,$V117&lt;&gt;"Macro"),"",COUNTIFS($S$5:$S117,MesCiclo,$V$5:$V117,"Macro"))</f>
        <v/>
      </c>
      <c r="U117" s="62">
        <f>IF($V117="","",IF($V117="Macro",ROW(),IFERROR(LOOKUP(2,1/($V$5:$V117="Macro"),ROW($V$5:$V117)),0)))</f>
        <v/>
      </c>
      <c r="V117" s="62">
        <f>IF(NOT((COUNTA($B117:$D117)+COUNTA($G117:$L117)+COUNTA($Q117))&gt;0),"",IF($B117="Subactividad","Sub","Macro"))</f>
        <v/>
      </c>
      <c r="W117" s="62">
        <f>IF($V117="Macro",COUNTIFS($U$5:$U$1000,ROW(),$V$5:$V$1000,"Sub"),"")</f>
        <v/>
      </c>
      <c r="X117" s="62">
        <f>IF($V117="","",IF(ISNUMBER($G117),1,IFERROR(LOOKUP(2,1/($I117:$L117&lt;&gt;""),$I117:$L117),0)))</f>
        <v/>
      </c>
      <c r="Y117" s="62">
        <f>IF($V117="","",IF(AND(ISNUMBER($G117),$G117&lt;=IF($S117=MesCiclo,InicioCiclo,$S117+MOD(2-WEEKDAY($S117),7))+6),1,IF(ISNUMBER($I117),$I117,0)))</f>
        <v/>
      </c>
      <c r="Z117" s="62">
        <f>IF($V117="","",IF(AND(ISNUMBER($G117),$G117&lt;=IF($S117=MesCiclo,InicioCiclo,$S117+MOD(2-WEEKDAY($S117),7))+13),1,IF(ISNUMBER($J117),$J117,$Y117)))</f>
        <v/>
      </c>
      <c r="AA117" s="62">
        <f>IF($V117="","",IF(AND(ISNUMBER($G117),$G117&lt;=IF($S117=MesCiclo,InicioCiclo,$S117+MOD(2-WEEKDAY($S117),7))+20),1,IF(ISNUMBER($K117),$K117,$Z117)))</f>
        <v/>
      </c>
      <c r="AB117" s="62">
        <f>IF($V117="","",IF(AND(ISNUMBER($G117),$G117&lt;=IF($S117=MesCiclo,InicioCiclo,$S117+MOD(2-WEEKDAY($S117),7))+27),1,IF(ISNUMBER($L117),$L117,$AA117)))</f>
        <v/>
      </c>
      <c r="AC117" s="62">
        <f>IF($V117="","",IF(AND(ISNUMBER($G117),$G117&lt;=IF($S117=MesCiclo,InicioCiclo,$S117+MOD(2-WEEKDAY($S117),7))+6),1,IF(N($W117)&gt;0,AVERAGEIFS($Y$5:$Y$1000,$U$5:$U$1000,ROW(),$V$5:$V$1000,"Sub"),$Y117)))</f>
        <v/>
      </c>
      <c r="AD117" s="62">
        <f>IF($V117="","",IF(AND(ISNUMBER($G117),$G117&lt;=IF($S117=MesCiclo,InicioCiclo,$S117+MOD(2-WEEKDAY($S117),7))+13),1,IF(N($W117)&gt;0,AVERAGEIFS($Z$5:$Z$1000,$U$5:$U$1000,ROW(),$V$5:$V$1000,"Sub"),$Z117)))</f>
        <v/>
      </c>
      <c r="AE117" s="62">
        <f>IF($V117="","",IF(AND(ISNUMBER($G117),$G117&lt;=IF($S117=MesCiclo,InicioCiclo,$S117+MOD(2-WEEKDAY($S117),7))+20),1,IF(N($W117)&gt;0,AVERAGEIFS($AA$5:$AA$1000,$U$5:$U$1000,ROW(),$V$5:$V$1000,"Sub"),$AA117)))</f>
        <v/>
      </c>
      <c r="AF117" s="62">
        <f>IF($V117="","",IF(AND(ISNUMBER($G117),$G117&lt;=IF($S117=MesCiclo,InicioCiclo,$S117+MOD(2-WEEKDAY($S117),7))+27),1,IF(N($W117)&gt;0,AVERAGEIFS($AB$5:$AB$1000,$U$5:$U$1000,ROW(),$V$5:$V$1000,"Sub"),$AB117)))</f>
        <v/>
      </c>
      <c r="AG117" s="62">
        <f>IF($V117&lt;&gt;"Macro","",IF(COUNTIFS($S$5:$S$1000,$S117,$V$5:$V$1000,"Macro",$H$5:$H$1000,"&gt;0")=0,1/COUNTIFS($S$5:$S$1000,$S117,$V$5:$V$1000,"Macro"),IF(AND(ISNUMBER($H117),N($H117)&gt;0),$H117,SUMIFS($H$5:$H$1000,$S$5:$S$1000,$S117,$V$5:$V$1000,"Macro")/COUNTIFS($S$5:$S$1000,$S117,$V$5:$V$1000,"Macro",$H$5:$H$1000,"&gt;0"))/(COUNTIFS($S$5:$S$1000,$S117,$V$5:$V$1000,"Macro")*SUMIFS($H$5:$H$1000,$S$5:$S$1000,$S117,$V$5:$V$1000,"Macro")/COUNTIFS($S$5:$S$1000,$S117,$V$5:$V$1000,"Macro",$H$5:$H$1000,"&gt;0"))))</f>
        <v/>
      </c>
      <c r="AH117" s="62" t="n"/>
      <c r="AI117" s="62" t="n"/>
      <c r="AJ117" s="62" t="n"/>
      <c r="AK117" s="62" t="n"/>
      <c r="AL117" s="62">
        <f>IF(LEFT($C117,11)="[Jefatura] ",IFERROR(MATCH("Riesgo Financiero|"&amp;MID($C117,12,500),rDname_ADM,0),0),"")</f>
        <v/>
      </c>
      <c r="AM117" s="62">
        <f>IF(N($AL117)&gt;0,INDEX(rIni_ADM,$AL117),IF(ISNUMBER($E117),$E117,""))</f>
        <v/>
      </c>
      <c r="AN117" s="62">
        <f>IF(N($AL117)&gt;0,INDEX(rLim_ADM,$AL117),IF(ISNUMBER($F117),$F117,""))</f>
        <v/>
      </c>
    </row>
    <row r="118">
      <c r="A118" s="56">
        <f>IF(NOT((COUNTA($B118:$D118)+COUNTA($G118:$L118)+COUNTA($Q118))&gt;0),"",IF($V118="Macro",COUNTIFS($V$5:$V118,"Macro",$S$5:$S118,$S118),IF(N($U118)=0,"?",COUNTIFS(INDEX($V$5:$V$1000,1):INDEX($V$5:$V$1000,$U118-4),"Macro",INDEX($S$5:$S$1000,1):INDEX($S$5:$S$1000,$U118-4),INDEX($S$5:$S$1000,$U118-4))&amp;"."&amp;COUNTIFS($U$5:$U118,$U118,$V$5:$V118,"Sub"))))</f>
        <v/>
      </c>
      <c r="B118" s="57" t="n"/>
      <c r="C118" s="58" t="n"/>
      <c r="D118" s="58" t="n"/>
      <c r="E118" s="59">
        <f>IF(N($AL118)&gt;0,INDEX(rIni_ADM,$AL118),"")</f>
        <v/>
      </c>
      <c r="F118" s="59">
        <f>IF(N($AL118)&gt;0,INDEX(rLim_ADM,$AL118),"")</f>
        <v/>
      </c>
      <c r="G118" s="59" t="n"/>
      <c r="H118" s="60" t="n"/>
      <c r="I118" s="60" t="n"/>
      <c r="J118" s="60" t="n"/>
      <c r="K118" s="60" t="n"/>
      <c r="L118" s="60" t="n"/>
      <c r="M118" s="61">
        <f>IF(NOT((COUNTA($B118:$D118)+COUNTA($G118:$L118)+COUNTA($Q118))&gt;0),"",IF($V118="Sub",IFERROR($X118/INDEX($W$5:$W$1000,$U118-4),""),IF(ISNUMBER($G118),1,IF(N($W118)&gt;0,AVERAGEIFS($X$5:$X$1000,$U$5:$U$1000,ROW(),$V$5:$V$1000,"Sub"),$X118))))</f>
        <v/>
      </c>
      <c r="N118" s="56">
        <f>IF(OR($M118="",$V118="Sub"),"",IF($M118&gt;=1,"Completado",IF($M118&gt;0,"En curso","Pendiente")))</f>
        <v/>
      </c>
      <c r="O118" s="56">
        <f>IF(OR(NOT((COUNTA($B118:$D118)+COUNTA($G118:$L118)+COUNTA($Q118))&gt;0),$V118="Sub"),"",IF(ISNUMBER($G118),IF(AND(ISNUMBER($AN118),$G118&gt;$AN118),"Cumplida con "&amp;($G118-$AN118)&amp;IF($G118-$AN118=1," día"," días")&amp;" de retraso","Cumplida"),IF(N($M118)&gt;=1,"Cumplida",IF(NOT(ISNUMBER($AN118)),"Sin fecha límite",IF($AN118&lt;FechaRef,"Vencida hace "&amp;(FechaRef-$AN118)&amp;IF(FechaRef-$AN118=1," día"," días"),IF($AN118=FechaRef,"Vence hoy",IF($AN118-FechaRef&lt;=DiasAlerta,"Vence en "&amp;($AN118-FechaRef)&amp;IF($AN118-FechaRef=1," día"," días"),"En plazo")))))))</f>
        <v/>
      </c>
      <c r="P118" s="62" t="n"/>
      <c r="Q118" s="58" t="n"/>
      <c r="R118" s="63">
        <f>IF(NOT((COUNTA($B118:$D118)+COUNTA($G118:$L118)+COUNTA($Q118))&gt;0),"",IF((IF($C118="","Falta el nombre de la actividad"&amp;" · ","")&amp;IF(AND($V118="Sub",N($U118)=0),"Subactividad sin macroactividad arriba"&amp;" · ","")&amp;IF($AM118="","Sin fecha de inicio"&amp;" · ","")&amp;IF($AN118="","Sin fecha límite"&amp;" · ","")&amp;IF(AND(LEFT($C118,11)="[Jefatura] ",N($AL118)=0),"No se encuentra en la hoja de la jefatura (elíjala de nuevo en la lista)"&amp;" · ","")&amp;IF(OR(AND($E118&lt;&gt;"",NOT(ISNUMBER($E118))),AND($F118&lt;&gt;"",NOT(ISNUMBER($F118))),AND($G118&lt;&gt;"",NOT(ISNUMBER($G118)))),"Fecha no válida"&amp;" · ","")&amp;IF(AND(ISNUMBER($AM118),ISNUMBER($AN118),$AM118&gt;$AN118),"Inicio posterior a fecha límite"&amp;" · ","")&amp;IF(AND($V118="Macro",$H118&lt;&gt;"",OR(NOT(ISNUMBER($H118)),$H118&lt;0,$H118&gt;1)),"Peso fuera de rango"&amp;" · ","")&amp;IF(AND($V118="Sub",$H118&lt;&gt;""),"Las subactividades no llevan peso (valen igual dentro de su macroactividad)"&amp;" · ","")&amp;IF(AND(N($W118)&gt;0,COUNT($I118:$L118)&gt;0),"Con subactividades: deje vacías las semanas (se calculan solas)"&amp;" · ","")&amp;IF((COUNTIF($I118:$L118,"&gt;1")+COUNTIF($I118:$L118,"&lt;0")+COUNTA($I118:$L118)-COUNT($I118:$L118))&gt;0,"Avance fuera de rango 0-100%"&amp;" · ","")&amp;IF(OR(AND($J118&lt;&gt;"",$J118&lt;$I118),AND($K118&lt;&gt;"",$K118&lt;MAX($I118:$J118)),AND($L118&lt;&gt;"",$L118&lt;MAX($I118:$K118))),"Avance semanal decreciente"&amp;" · ","")&amp;IF(AND(ISNUMBER($AN118),$AN118&lt;FechaRef,IF($V118="Sub",N($X118),N($M118))&lt;1),"Vencida"&amp;" · ","")&amp;IF(AND(ObsObligatoria="Sí",ISNUMBER($AN118),$AN118&lt;FechaRef,IF($V118="Sub",N($X118),N($M118))&lt;1,$Q118=""),"Vencida sin observación"&amp;" · ",""))="","✔ OK","⚠ "&amp;LEFT(IF($C118="","Falta el nombre de la actividad"&amp;" · ","")&amp;IF(AND($V118="Sub",N($U118)=0),"Subactividad sin macroactividad arriba"&amp;" · ","")&amp;IF($AM118="","Sin fecha de inicio"&amp;" · ","")&amp;IF($AN118="","Sin fecha límite"&amp;" · ","")&amp;IF(AND(LEFT($C118,11)="[Jefatura] ",N($AL118)=0),"No se encuentra en la hoja de la jefatura (elíjala de nuevo en la lista)"&amp;" · ","")&amp;IF(OR(AND($E118&lt;&gt;"",NOT(ISNUMBER($E118))),AND($F118&lt;&gt;"",NOT(ISNUMBER($F118))),AND($G118&lt;&gt;"",NOT(ISNUMBER($G118)))),"Fecha no válida"&amp;" · ","")&amp;IF(AND(ISNUMBER($AM118),ISNUMBER($AN118),$AM118&gt;$AN118),"Inicio posterior a fecha límite"&amp;" · ","")&amp;IF(AND($V118="Macro",$H118&lt;&gt;"",OR(NOT(ISNUMBER($H118)),$H118&lt;0,$H118&gt;1)),"Peso fuera de rango"&amp;" · ","")&amp;IF(AND($V118="Sub",$H118&lt;&gt;""),"Las subactividades no llevan peso (valen igual dentro de su macroactividad)"&amp;" · ","")&amp;IF(AND(N($W118)&gt;0,COUNT($I118:$L118)&gt;0),"Con subactividades: deje vacías las semanas (se calculan solas)"&amp;" · ","")&amp;IF((COUNTIF($I118:$L118,"&gt;1")+COUNTIF($I118:$L118,"&lt;0")+COUNTA($I118:$L118)-COUNT($I118:$L118))&gt;0,"Avance fuera de rango 0-100%"&amp;" · ","")&amp;IF(OR(AND($J118&lt;&gt;"",$J118&lt;$I118),AND($K118&lt;&gt;"",$K118&lt;MAX($I118:$J118)),AND($L118&lt;&gt;"",$L118&lt;MAX($I118:$K118))),"Avance semanal decreciente"&amp;" · ","")&amp;IF(AND(ISNUMBER($AN118),$AN118&lt;FechaRef,IF($V118="Sub",N($X118),N($M118))&lt;1),"Vencida"&amp;" · ","")&amp;IF(AND(ObsObligatoria="Sí",ISNUMBER($AN118),$AN118&lt;FechaRef,IF($V118="Sub",N($X118),N($M118))&lt;1,$Q118=""),"Vencida sin observación"&amp;" · ",""),LEN(IF($C118="","Falta el nombre de la actividad"&amp;" · ","")&amp;IF(AND($V118="Sub",N($U118)=0),"Subactividad sin macroactividad arriba"&amp;" · ","")&amp;IF($AM118="","Sin fecha de inicio"&amp;" · ","")&amp;IF($AN118="","Sin fecha límite"&amp;" · ","")&amp;IF(AND(LEFT($C118,11)="[Jefatura] ",N($AL118)=0),"No se encuentra en la hoja de la jefatura (elíjala de nuevo en la lista)"&amp;" · ","")&amp;IF(OR(AND($E118&lt;&gt;"",NOT(ISNUMBER($E118))),AND($F118&lt;&gt;"",NOT(ISNUMBER($F118))),AND($G118&lt;&gt;"",NOT(ISNUMBER($G118)))),"Fecha no válida"&amp;" · ","")&amp;IF(AND(ISNUMBER($AM118),ISNUMBER($AN118),$AM118&gt;$AN118),"Inicio posterior a fecha límite"&amp;" · ","")&amp;IF(AND($V118="Macro",$H118&lt;&gt;"",OR(NOT(ISNUMBER($H118)),$H118&lt;0,$H118&gt;1)),"Peso fuera de rango"&amp;" · ","")&amp;IF(AND($V118="Sub",$H118&lt;&gt;""),"Las subactividades no llevan peso (valen igual dentro de su macroactividad)"&amp;" · ","")&amp;IF(AND(N($W118)&gt;0,COUNT($I118:$L118)&gt;0),"Con subactividades: deje vacías las semanas (se calculan solas)"&amp;" · ","")&amp;IF((COUNTIF($I118:$L118,"&gt;1")+COUNTIF($I118:$L118,"&lt;0")+COUNTA($I118:$L118)-COUNT($I118:$L118))&gt;0,"Avance fuera de rango 0-100%"&amp;" · ","")&amp;IF(OR(AND($J118&lt;&gt;"",$J118&lt;$I118),AND($K118&lt;&gt;"",$K118&lt;MAX($I118:$J118)),AND($L118&lt;&gt;"",$L118&lt;MAX($I118:$K118))),"Avance semanal decreciente"&amp;" · ","")&amp;IF(AND(ISNUMBER($AN118),$AN118&lt;FechaRef,IF($V118="Sub",N($X118),N($M118))&lt;1),"Vencida"&amp;" · ","")&amp;IF(AND(ObsObligatoria="Sí",ISNUMBER($AN118),$AN118&lt;FechaRef,IF($V118="Sub",N($X118),N($M118))&lt;1,$Q118=""),"Vencida sin observación"&amp;" · ",""))-3)))</f>
        <v/>
      </c>
      <c r="S118" s="64">
        <f>IF(NOT((COUNTA($B118:$D118)+COUNTA($G118:$L118)+COUNTA($Q118))&gt;0),"",IF(AND($V118="Sub",N($U118)&gt;0),IF(ISNUMBER(INDEX($AM$5:$AM$1000,$U118-4)),DATE(YEAR(INDEX($AM$5:$AM$1000,$U118-4)),MONTH(INDEX($AM$5:$AM$1000,$U118-4)),1),IF(ISNUMBER(INDEX($AN$5:$AN$1000,$U118-4)),DATE(YEAR(INDEX($AN$5:$AN$1000,$U118-4)),MONTH(INDEX($AN$5:$AN$1000,$U118-4)),1),MesCiclo)),IF(ISNUMBER($AM118),DATE(YEAR($AM118),MONTH($AM118),1),IF(ISNUMBER($AN118),DATE(YEAR($AN118),MONTH($AN118),1),MesCiclo))))</f>
        <v/>
      </c>
      <c r="T118" s="62">
        <f>IF(OR($S118="",$S118&lt;&gt;MesCiclo,$V118&lt;&gt;"Macro"),"",COUNTIFS($S$5:$S118,MesCiclo,$V$5:$V118,"Macro"))</f>
        <v/>
      </c>
      <c r="U118" s="62">
        <f>IF($V118="","",IF($V118="Macro",ROW(),IFERROR(LOOKUP(2,1/($V$5:$V118="Macro"),ROW($V$5:$V118)),0)))</f>
        <v/>
      </c>
      <c r="V118" s="62">
        <f>IF(NOT((COUNTA($B118:$D118)+COUNTA($G118:$L118)+COUNTA($Q118))&gt;0),"",IF($B118="Subactividad","Sub","Macro"))</f>
        <v/>
      </c>
      <c r="W118" s="62">
        <f>IF($V118="Macro",COUNTIFS($U$5:$U$1000,ROW(),$V$5:$V$1000,"Sub"),"")</f>
        <v/>
      </c>
      <c r="X118" s="62">
        <f>IF($V118="","",IF(ISNUMBER($G118),1,IFERROR(LOOKUP(2,1/($I118:$L118&lt;&gt;""),$I118:$L118),0)))</f>
        <v/>
      </c>
      <c r="Y118" s="62">
        <f>IF($V118="","",IF(AND(ISNUMBER($G118),$G118&lt;=IF($S118=MesCiclo,InicioCiclo,$S118+MOD(2-WEEKDAY($S118),7))+6),1,IF(ISNUMBER($I118),$I118,0)))</f>
        <v/>
      </c>
      <c r="Z118" s="62">
        <f>IF($V118="","",IF(AND(ISNUMBER($G118),$G118&lt;=IF($S118=MesCiclo,InicioCiclo,$S118+MOD(2-WEEKDAY($S118),7))+13),1,IF(ISNUMBER($J118),$J118,$Y118)))</f>
        <v/>
      </c>
      <c r="AA118" s="62">
        <f>IF($V118="","",IF(AND(ISNUMBER($G118),$G118&lt;=IF($S118=MesCiclo,InicioCiclo,$S118+MOD(2-WEEKDAY($S118),7))+20),1,IF(ISNUMBER($K118),$K118,$Z118)))</f>
        <v/>
      </c>
      <c r="AB118" s="62">
        <f>IF($V118="","",IF(AND(ISNUMBER($G118),$G118&lt;=IF($S118=MesCiclo,InicioCiclo,$S118+MOD(2-WEEKDAY($S118),7))+27),1,IF(ISNUMBER($L118),$L118,$AA118)))</f>
        <v/>
      </c>
      <c r="AC118" s="62">
        <f>IF($V118="","",IF(AND(ISNUMBER($G118),$G118&lt;=IF($S118=MesCiclo,InicioCiclo,$S118+MOD(2-WEEKDAY($S118),7))+6),1,IF(N($W118)&gt;0,AVERAGEIFS($Y$5:$Y$1000,$U$5:$U$1000,ROW(),$V$5:$V$1000,"Sub"),$Y118)))</f>
        <v/>
      </c>
      <c r="AD118" s="62">
        <f>IF($V118="","",IF(AND(ISNUMBER($G118),$G118&lt;=IF($S118=MesCiclo,InicioCiclo,$S118+MOD(2-WEEKDAY($S118),7))+13),1,IF(N($W118)&gt;0,AVERAGEIFS($Z$5:$Z$1000,$U$5:$U$1000,ROW(),$V$5:$V$1000,"Sub"),$Z118)))</f>
        <v/>
      </c>
      <c r="AE118" s="62">
        <f>IF($V118="","",IF(AND(ISNUMBER($G118),$G118&lt;=IF($S118=MesCiclo,InicioCiclo,$S118+MOD(2-WEEKDAY($S118),7))+20),1,IF(N($W118)&gt;0,AVERAGEIFS($AA$5:$AA$1000,$U$5:$U$1000,ROW(),$V$5:$V$1000,"Sub"),$AA118)))</f>
        <v/>
      </c>
      <c r="AF118" s="62">
        <f>IF($V118="","",IF(AND(ISNUMBER($G118),$G118&lt;=IF($S118=MesCiclo,InicioCiclo,$S118+MOD(2-WEEKDAY($S118),7))+27),1,IF(N($W118)&gt;0,AVERAGEIFS($AB$5:$AB$1000,$U$5:$U$1000,ROW(),$V$5:$V$1000,"Sub"),$AB118)))</f>
        <v/>
      </c>
      <c r="AG118" s="62">
        <f>IF($V118&lt;&gt;"Macro","",IF(COUNTIFS($S$5:$S$1000,$S118,$V$5:$V$1000,"Macro",$H$5:$H$1000,"&gt;0")=0,1/COUNTIFS($S$5:$S$1000,$S118,$V$5:$V$1000,"Macro"),IF(AND(ISNUMBER($H118),N($H118)&gt;0),$H118,SUMIFS($H$5:$H$1000,$S$5:$S$1000,$S118,$V$5:$V$1000,"Macro")/COUNTIFS($S$5:$S$1000,$S118,$V$5:$V$1000,"Macro",$H$5:$H$1000,"&gt;0"))/(COUNTIFS($S$5:$S$1000,$S118,$V$5:$V$1000,"Macro")*SUMIFS($H$5:$H$1000,$S$5:$S$1000,$S118,$V$5:$V$1000,"Macro")/COUNTIFS($S$5:$S$1000,$S118,$V$5:$V$1000,"Macro",$H$5:$H$1000,"&gt;0"))))</f>
        <v/>
      </c>
      <c r="AH118" s="62" t="n"/>
      <c r="AI118" s="62" t="n"/>
      <c r="AJ118" s="62" t="n"/>
      <c r="AK118" s="62" t="n"/>
      <c r="AL118" s="62">
        <f>IF(LEFT($C118,11)="[Jefatura] ",IFERROR(MATCH("Riesgo Financiero|"&amp;MID($C118,12,500),rDname_ADM,0),0),"")</f>
        <v/>
      </c>
      <c r="AM118" s="62">
        <f>IF(N($AL118)&gt;0,INDEX(rIni_ADM,$AL118),IF(ISNUMBER($E118),$E118,""))</f>
        <v/>
      </c>
      <c r="AN118" s="62">
        <f>IF(N($AL118)&gt;0,INDEX(rLim_ADM,$AL118),IF(ISNUMBER($F118),$F118,""))</f>
        <v/>
      </c>
    </row>
    <row r="119">
      <c r="A119" s="56">
        <f>IF(NOT((COUNTA($B119:$D119)+COUNTA($G119:$L119)+COUNTA($Q119))&gt;0),"",IF($V119="Macro",COUNTIFS($V$5:$V119,"Macro",$S$5:$S119,$S119),IF(N($U119)=0,"?",COUNTIFS(INDEX($V$5:$V$1000,1):INDEX($V$5:$V$1000,$U119-4),"Macro",INDEX($S$5:$S$1000,1):INDEX($S$5:$S$1000,$U119-4),INDEX($S$5:$S$1000,$U119-4))&amp;"."&amp;COUNTIFS($U$5:$U119,$U119,$V$5:$V119,"Sub"))))</f>
        <v/>
      </c>
      <c r="B119" s="57" t="n"/>
      <c r="C119" s="58" t="n"/>
      <c r="D119" s="58" t="n"/>
      <c r="E119" s="59">
        <f>IF(N($AL119)&gt;0,INDEX(rIni_ADM,$AL119),"")</f>
        <v/>
      </c>
      <c r="F119" s="59">
        <f>IF(N($AL119)&gt;0,INDEX(rLim_ADM,$AL119),"")</f>
        <v/>
      </c>
      <c r="G119" s="59" t="n"/>
      <c r="H119" s="60" t="n"/>
      <c r="I119" s="60" t="n"/>
      <c r="J119" s="60" t="n"/>
      <c r="K119" s="60" t="n"/>
      <c r="L119" s="60" t="n"/>
      <c r="M119" s="61">
        <f>IF(NOT((COUNTA($B119:$D119)+COUNTA($G119:$L119)+COUNTA($Q119))&gt;0),"",IF($V119="Sub",IFERROR($X119/INDEX($W$5:$W$1000,$U119-4),""),IF(ISNUMBER($G119),1,IF(N($W119)&gt;0,AVERAGEIFS($X$5:$X$1000,$U$5:$U$1000,ROW(),$V$5:$V$1000,"Sub"),$X119))))</f>
        <v/>
      </c>
      <c r="N119" s="56">
        <f>IF(OR($M119="",$V119="Sub"),"",IF($M119&gt;=1,"Completado",IF($M119&gt;0,"En curso","Pendiente")))</f>
        <v/>
      </c>
      <c r="O119" s="56">
        <f>IF(OR(NOT((COUNTA($B119:$D119)+COUNTA($G119:$L119)+COUNTA($Q119))&gt;0),$V119="Sub"),"",IF(ISNUMBER($G119),IF(AND(ISNUMBER($AN119),$G119&gt;$AN119),"Cumplida con "&amp;($G119-$AN119)&amp;IF($G119-$AN119=1," día"," días")&amp;" de retraso","Cumplida"),IF(N($M119)&gt;=1,"Cumplida",IF(NOT(ISNUMBER($AN119)),"Sin fecha límite",IF($AN119&lt;FechaRef,"Vencida hace "&amp;(FechaRef-$AN119)&amp;IF(FechaRef-$AN119=1," día"," días"),IF($AN119=FechaRef,"Vence hoy",IF($AN119-FechaRef&lt;=DiasAlerta,"Vence en "&amp;($AN119-FechaRef)&amp;IF($AN119-FechaRef=1," día"," días"),"En plazo")))))))</f>
        <v/>
      </c>
      <c r="P119" s="62" t="n"/>
      <c r="Q119" s="58" t="n"/>
      <c r="R119" s="63">
        <f>IF(NOT((COUNTA($B119:$D119)+COUNTA($G119:$L119)+COUNTA($Q119))&gt;0),"",IF((IF($C119="","Falta el nombre de la actividad"&amp;" · ","")&amp;IF(AND($V119="Sub",N($U119)=0),"Subactividad sin macroactividad arriba"&amp;" · ","")&amp;IF($AM119="","Sin fecha de inicio"&amp;" · ","")&amp;IF($AN119="","Sin fecha límite"&amp;" · ","")&amp;IF(AND(LEFT($C119,11)="[Jefatura] ",N($AL119)=0),"No se encuentra en la hoja de la jefatura (elíjala de nuevo en la lista)"&amp;" · ","")&amp;IF(OR(AND($E119&lt;&gt;"",NOT(ISNUMBER($E119))),AND($F119&lt;&gt;"",NOT(ISNUMBER($F119))),AND($G119&lt;&gt;"",NOT(ISNUMBER($G119)))),"Fecha no válida"&amp;" · ","")&amp;IF(AND(ISNUMBER($AM119),ISNUMBER($AN119),$AM119&gt;$AN119),"Inicio posterior a fecha límite"&amp;" · ","")&amp;IF(AND($V119="Macro",$H119&lt;&gt;"",OR(NOT(ISNUMBER($H119)),$H119&lt;0,$H119&gt;1)),"Peso fuera de rango"&amp;" · ","")&amp;IF(AND($V119="Sub",$H119&lt;&gt;""),"Las subactividades no llevan peso (valen igual dentro de su macroactividad)"&amp;" · ","")&amp;IF(AND(N($W119)&gt;0,COUNT($I119:$L119)&gt;0),"Con subactividades: deje vacías las semanas (se calculan solas)"&amp;" · ","")&amp;IF((COUNTIF($I119:$L119,"&gt;1")+COUNTIF($I119:$L119,"&lt;0")+COUNTA($I119:$L119)-COUNT($I119:$L119))&gt;0,"Avance fuera de rango 0-100%"&amp;" · ","")&amp;IF(OR(AND($J119&lt;&gt;"",$J119&lt;$I119),AND($K119&lt;&gt;"",$K119&lt;MAX($I119:$J119)),AND($L119&lt;&gt;"",$L119&lt;MAX($I119:$K119))),"Avance semanal decreciente"&amp;" · ","")&amp;IF(AND(ISNUMBER($AN119),$AN119&lt;FechaRef,IF($V119="Sub",N($X119),N($M119))&lt;1),"Vencida"&amp;" · ","")&amp;IF(AND(ObsObligatoria="Sí",ISNUMBER($AN119),$AN119&lt;FechaRef,IF($V119="Sub",N($X119),N($M119))&lt;1,$Q119=""),"Vencida sin observación"&amp;" · ",""))="","✔ OK","⚠ "&amp;LEFT(IF($C119="","Falta el nombre de la actividad"&amp;" · ","")&amp;IF(AND($V119="Sub",N($U119)=0),"Subactividad sin macroactividad arriba"&amp;" · ","")&amp;IF($AM119="","Sin fecha de inicio"&amp;" · ","")&amp;IF($AN119="","Sin fecha límite"&amp;" · ","")&amp;IF(AND(LEFT($C119,11)="[Jefatura] ",N($AL119)=0),"No se encuentra en la hoja de la jefatura (elíjala de nuevo en la lista)"&amp;" · ","")&amp;IF(OR(AND($E119&lt;&gt;"",NOT(ISNUMBER($E119))),AND($F119&lt;&gt;"",NOT(ISNUMBER($F119))),AND($G119&lt;&gt;"",NOT(ISNUMBER($G119)))),"Fecha no válida"&amp;" · ","")&amp;IF(AND(ISNUMBER($AM119),ISNUMBER($AN119),$AM119&gt;$AN119),"Inicio posterior a fecha límite"&amp;" · ","")&amp;IF(AND($V119="Macro",$H119&lt;&gt;"",OR(NOT(ISNUMBER($H119)),$H119&lt;0,$H119&gt;1)),"Peso fuera de rango"&amp;" · ","")&amp;IF(AND($V119="Sub",$H119&lt;&gt;""),"Las subactividades no llevan peso (valen igual dentro de su macroactividad)"&amp;" · ","")&amp;IF(AND(N($W119)&gt;0,COUNT($I119:$L119)&gt;0),"Con subactividades: deje vacías las semanas (se calculan solas)"&amp;" · ","")&amp;IF((COUNTIF($I119:$L119,"&gt;1")+COUNTIF($I119:$L119,"&lt;0")+COUNTA($I119:$L119)-COUNT($I119:$L119))&gt;0,"Avance fuera de rango 0-100%"&amp;" · ","")&amp;IF(OR(AND($J119&lt;&gt;"",$J119&lt;$I119),AND($K119&lt;&gt;"",$K119&lt;MAX($I119:$J119)),AND($L119&lt;&gt;"",$L119&lt;MAX($I119:$K119))),"Avance semanal decreciente"&amp;" · ","")&amp;IF(AND(ISNUMBER($AN119),$AN119&lt;FechaRef,IF($V119="Sub",N($X119),N($M119))&lt;1),"Vencida"&amp;" · ","")&amp;IF(AND(ObsObligatoria="Sí",ISNUMBER($AN119),$AN119&lt;FechaRef,IF($V119="Sub",N($X119),N($M119))&lt;1,$Q119=""),"Vencida sin observación"&amp;" · ",""),LEN(IF($C119="","Falta el nombre de la actividad"&amp;" · ","")&amp;IF(AND($V119="Sub",N($U119)=0),"Subactividad sin macroactividad arriba"&amp;" · ","")&amp;IF($AM119="","Sin fecha de inicio"&amp;" · ","")&amp;IF($AN119="","Sin fecha límite"&amp;" · ","")&amp;IF(AND(LEFT($C119,11)="[Jefatura] ",N($AL119)=0),"No se encuentra en la hoja de la jefatura (elíjala de nuevo en la lista)"&amp;" · ","")&amp;IF(OR(AND($E119&lt;&gt;"",NOT(ISNUMBER($E119))),AND($F119&lt;&gt;"",NOT(ISNUMBER($F119))),AND($G119&lt;&gt;"",NOT(ISNUMBER($G119)))),"Fecha no válida"&amp;" · ","")&amp;IF(AND(ISNUMBER($AM119),ISNUMBER($AN119),$AM119&gt;$AN119),"Inicio posterior a fecha límite"&amp;" · ","")&amp;IF(AND($V119="Macro",$H119&lt;&gt;"",OR(NOT(ISNUMBER($H119)),$H119&lt;0,$H119&gt;1)),"Peso fuera de rango"&amp;" · ","")&amp;IF(AND($V119="Sub",$H119&lt;&gt;""),"Las subactividades no llevan peso (valen igual dentro de su macroactividad)"&amp;" · ","")&amp;IF(AND(N($W119)&gt;0,COUNT($I119:$L119)&gt;0),"Con subactividades: deje vacías las semanas (se calculan solas)"&amp;" · ","")&amp;IF((COUNTIF($I119:$L119,"&gt;1")+COUNTIF($I119:$L119,"&lt;0")+COUNTA($I119:$L119)-COUNT($I119:$L119))&gt;0,"Avance fuera de rango 0-100%"&amp;" · ","")&amp;IF(OR(AND($J119&lt;&gt;"",$J119&lt;$I119),AND($K119&lt;&gt;"",$K119&lt;MAX($I119:$J119)),AND($L119&lt;&gt;"",$L119&lt;MAX($I119:$K119))),"Avance semanal decreciente"&amp;" · ","")&amp;IF(AND(ISNUMBER($AN119),$AN119&lt;FechaRef,IF($V119="Sub",N($X119),N($M119))&lt;1),"Vencida"&amp;" · ","")&amp;IF(AND(ObsObligatoria="Sí",ISNUMBER($AN119),$AN119&lt;FechaRef,IF($V119="Sub",N($X119),N($M119))&lt;1,$Q119=""),"Vencida sin observación"&amp;" · ",""))-3)))</f>
        <v/>
      </c>
      <c r="S119" s="64">
        <f>IF(NOT((COUNTA($B119:$D119)+COUNTA($G119:$L119)+COUNTA($Q119))&gt;0),"",IF(AND($V119="Sub",N($U119)&gt;0),IF(ISNUMBER(INDEX($AM$5:$AM$1000,$U119-4)),DATE(YEAR(INDEX($AM$5:$AM$1000,$U119-4)),MONTH(INDEX($AM$5:$AM$1000,$U119-4)),1),IF(ISNUMBER(INDEX($AN$5:$AN$1000,$U119-4)),DATE(YEAR(INDEX($AN$5:$AN$1000,$U119-4)),MONTH(INDEX($AN$5:$AN$1000,$U119-4)),1),MesCiclo)),IF(ISNUMBER($AM119),DATE(YEAR($AM119),MONTH($AM119),1),IF(ISNUMBER($AN119),DATE(YEAR($AN119),MONTH($AN119),1),MesCiclo))))</f>
        <v/>
      </c>
      <c r="T119" s="62">
        <f>IF(OR($S119="",$S119&lt;&gt;MesCiclo,$V119&lt;&gt;"Macro"),"",COUNTIFS($S$5:$S119,MesCiclo,$V$5:$V119,"Macro"))</f>
        <v/>
      </c>
      <c r="U119" s="62">
        <f>IF($V119="","",IF($V119="Macro",ROW(),IFERROR(LOOKUP(2,1/($V$5:$V119="Macro"),ROW($V$5:$V119)),0)))</f>
        <v/>
      </c>
      <c r="V119" s="62">
        <f>IF(NOT((COUNTA($B119:$D119)+COUNTA($G119:$L119)+COUNTA($Q119))&gt;0),"",IF($B119="Subactividad","Sub","Macro"))</f>
        <v/>
      </c>
      <c r="W119" s="62">
        <f>IF($V119="Macro",COUNTIFS($U$5:$U$1000,ROW(),$V$5:$V$1000,"Sub"),"")</f>
        <v/>
      </c>
      <c r="X119" s="62">
        <f>IF($V119="","",IF(ISNUMBER($G119),1,IFERROR(LOOKUP(2,1/($I119:$L119&lt;&gt;""),$I119:$L119),0)))</f>
        <v/>
      </c>
      <c r="Y119" s="62">
        <f>IF($V119="","",IF(AND(ISNUMBER($G119),$G119&lt;=IF($S119=MesCiclo,InicioCiclo,$S119+MOD(2-WEEKDAY($S119),7))+6),1,IF(ISNUMBER($I119),$I119,0)))</f>
        <v/>
      </c>
      <c r="Z119" s="62">
        <f>IF($V119="","",IF(AND(ISNUMBER($G119),$G119&lt;=IF($S119=MesCiclo,InicioCiclo,$S119+MOD(2-WEEKDAY($S119),7))+13),1,IF(ISNUMBER($J119),$J119,$Y119)))</f>
        <v/>
      </c>
      <c r="AA119" s="62">
        <f>IF($V119="","",IF(AND(ISNUMBER($G119),$G119&lt;=IF($S119=MesCiclo,InicioCiclo,$S119+MOD(2-WEEKDAY($S119),7))+20),1,IF(ISNUMBER($K119),$K119,$Z119)))</f>
        <v/>
      </c>
      <c r="AB119" s="62">
        <f>IF($V119="","",IF(AND(ISNUMBER($G119),$G119&lt;=IF($S119=MesCiclo,InicioCiclo,$S119+MOD(2-WEEKDAY($S119),7))+27),1,IF(ISNUMBER($L119),$L119,$AA119)))</f>
        <v/>
      </c>
      <c r="AC119" s="62">
        <f>IF($V119="","",IF(AND(ISNUMBER($G119),$G119&lt;=IF($S119=MesCiclo,InicioCiclo,$S119+MOD(2-WEEKDAY($S119),7))+6),1,IF(N($W119)&gt;0,AVERAGEIFS($Y$5:$Y$1000,$U$5:$U$1000,ROW(),$V$5:$V$1000,"Sub"),$Y119)))</f>
        <v/>
      </c>
      <c r="AD119" s="62">
        <f>IF($V119="","",IF(AND(ISNUMBER($G119),$G119&lt;=IF($S119=MesCiclo,InicioCiclo,$S119+MOD(2-WEEKDAY($S119),7))+13),1,IF(N($W119)&gt;0,AVERAGEIFS($Z$5:$Z$1000,$U$5:$U$1000,ROW(),$V$5:$V$1000,"Sub"),$Z119)))</f>
        <v/>
      </c>
      <c r="AE119" s="62">
        <f>IF($V119="","",IF(AND(ISNUMBER($G119),$G119&lt;=IF($S119=MesCiclo,InicioCiclo,$S119+MOD(2-WEEKDAY($S119),7))+20),1,IF(N($W119)&gt;0,AVERAGEIFS($AA$5:$AA$1000,$U$5:$U$1000,ROW(),$V$5:$V$1000,"Sub"),$AA119)))</f>
        <v/>
      </c>
      <c r="AF119" s="62">
        <f>IF($V119="","",IF(AND(ISNUMBER($G119),$G119&lt;=IF($S119=MesCiclo,InicioCiclo,$S119+MOD(2-WEEKDAY($S119),7))+27),1,IF(N($W119)&gt;0,AVERAGEIFS($AB$5:$AB$1000,$U$5:$U$1000,ROW(),$V$5:$V$1000,"Sub"),$AB119)))</f>
        <v/>
      </c>
      <c r="AG119" s="62">
        <f>IF($V119&lt;&gt;"Macro","",IF(COUNTIFS($S$5:$S$1000,$S119,$V$5:$V$1000,"Macro",$H$5:$H$1000,"&gt;0")=0,1/COUNTIFS($S$5:$S$1000,$S119,$V$5:$V$1000,"Macro"),IF(AND(ISNUMBER($H119),N($H119)&gt;0),$H119,SUMIFS($H$5:$H$1000,$S$5:$S$1000,$S119,$V$5:$V$1000,"Macro")/COUNTIFS($S$5:$S$1000,$S119,$V$5:$V$1000,"Macro",$H$5:$H$1000,"&gt;0"))/(COUNTIFS($S$5:$S$1000,$S119,$V$5:$V$1000,"Macro")*SUMIFS($H$5:$H$1000,$S$5:$S$1000,$S119,$V$5:$V$1000,"Macro")/COUNTIFS($S$5:$S$1000,$S119,$V$5:$V$1000,"Macro",$H$5:$H$1000,"&gt;0"))))</f>
        <v/>
      </c>
      <c r="AH119" s="62" t="n"/>
      <c r="AI119" s="62" t="n"/>
      <c r="AJ119" s="62" t="n"/>
      <c r="AK119" s="62" t="n"/>
      <c r="AL119" s="62">
        <f>IF(LEFT($C119,11)="[Jefatura] ",IFERROR(MATCH("Riesgo Financiero|"&amp;MID($C119,12,500),rDname_ADM,0),0),"")</f>
        <v/>
      </c>
      <c r="AM119" s="62">
        <f>IF(N($AL119)&gt;0,INDEX(rIni_ADM,$AL119),IF(ISNUMBER($E119),$E119,""))</f>
        <v/>
      </c>
      <c r="AN119" s="62">
        <f>IF(N($AL119)&gt;0,INDEX(rLim_ADM,$AL119),IF(ISNUMBER($F119),$F119,""))</f>
        <v/>
      </c>
    </row>
    <row r="120">
      <c r="A120" s="56">
        <f>IF(NOT((COUNTA($B120:$D120)+COUNTA($G120:$L120)+COUNTA($Q120))&gt;0),"",IF($V120="Macro",COUNTIFS($V$5:$V120,"Macro",$S$5:$S120,$S120),IF(N($U120)=0,"?",COUNTIFS(INDEX($V$5:$V$1000,1):INDEX($V$5:$V$1000,$U120-4),"Macro",INDEX($S$5:$S$1000,1):INDEX($S$5:$S$1000,$U120-4),INDEX($S$5:$S$1000,$U120-4))&amp;"."&amp;COUNTIFS($U$5:$U120,$U120,$V$5:$V120,"Sub"))))</f>
        <v/>
      </c>
      <c r="B120" s="57" t="n"/>
      <c r="C120" s="58" t="n"/>
      <c r="D120" s="58" t="n"/>
      <c r="E120" s="59">
        <f>IF(N($AL120)&gt;0,INDEX(rIni_ADM,$AL120),"")</f>
        <v/>
      </c>
      <c r="F120" s="59">
        <f>IF(N($AL120)&gt;0,INDEX(rLim_ADM,$AL120),"")</f>
        <v/>
      </c>
      <c r="G120" s="59" t="n"/>
      <c r="H120" s="60" t="n"/>
      <c r="I120" s="60" t="n"/>
      <c r="J120" s="60" t="n"/>
      <c r="K120" s="60" t="n"/>
      <c r="L120" s="60" t="n"/>
      <c r="M120" s="61">
        <f>IF(NOT((COUNTA($B120:$D120)+COUNTA($G120:$L120)+COUNTA($Q120))&gt;0),"",IF($V120="Sub",IFERROR($X120/INDEX($W$5:$W$1000,$U120-4),""),IF(ISNUMBER($G120),1,IF(N($W120)&gt;0,AVERAGEIFS($X$5:$X$1000,$U$5:$U$1000,ROW(),$V$5:$V$1000,"Sub"),$X120))))</f>
        <v/>
      </c>
      <c r="N120" s="56">
        <f>IF(OR($M120="",$V120="Sub"),"",IF($M120&gt;=1,"Completado",IF($M120&gt;0,"En curso","Pendiente")))</f>
        <v/>
      </c>
      <c r="O120" s="56">
        <f>IF(OR(NOT((COUNTA($B120:$D120)+COUNTA($G120:$L120)+COUNTA($Q120))&gt;0),$V120="Sub"),"",IF(ISNUMBER($G120),IF(AND(ISNUMBER($AN120),$G120&gt;$AN120),"Cumplida con "&amp;($G120-$AN120)&amp;IF($G120-$AN120=1," día"," días")&amp;" de retraso","Cumplida"),IF(N($M120)&gt;=1,"Cumplida",IF(NOT(ISNUMBER($AN120)),"Sin fecha límite",IF($AN120&lt;FechaRef,"Vencida hace "&amp;(FechaRef-$AN120)&amp;IF(FechaRef-$AN120=1," día"," días"),IF($AN120=FechaRef,"Vence hoy",IF($AN120-FechaRef&lt;=DiasAlerta,"Vence en "&amp;($AN120-FechaRef)&amp;IF($AN120-FechaRef=1," día"," días"),"En plazo")))))))</f>
        <v/>
      </c>
      <c r="P120" s="62" t="n"/>
      <c r="Q120" s="58" t="n"/>
      <c r="R120" s="63">
        <f>IF(NOT((COUNTA($B120:$D120)+COUNTA($G120:$L120)+COUNTA($Q120))&gt;0),"",IF((IF($C120="","Falta el nombre de la actividad"&amp;" · ","")&amp;IF(AND($V120="Sub",N($U120)=0),"Subactividad sin macroactividad arriba"&amp;" · ","")&amp;IF($AM120="","Sin fecha de inicio"&amp;" · ","")&amp;IF($AN120="","Sin fecha límite"&amp;" · ","")&amp;IF(AND(LEFT($C120,11)="[Jefatura] ",N($AL120)=0),"No se encuentra en la hoja de la jefatura (elíjala de nuevo en la lista)"&amp;" · ","")&amp;IF(OR(AND($E120&lt;&gt;"",NOT(ISNUMBER($E120))),AND($F120&lt;&gt;"",NOT(ISNUMBER($F120))),AND($G120&lt;&gt;"",NOT(ISNUMBER($G120)))),"Fecha no válida"&amp;" · ","")&amp;IF(AND(ISNUMBER($AM120),ISNUMBER($AN120),$AM120&gt;$AN120),"Inicio posterior a fecha límite"&amp;" · ","")&amp;IF(AND($V120="Macro",$H120&lt;&gt;"",OR(NOT(ISNUMBER($H120)),$H120&lt;0,$H120&gt;1)),"Peso fuera de rango"&amp;" · ","")&amp;IF(AND($V120="Sub",$H120&lt;&gt;""),"Las subactividades no llevan peso (valen igual dentro de su macroactividad)"&amp;" · ","")&amp;IF(AND(N($W120)&gt;0,COUNT($I120:$L120)&gt;0),"Con subactividades: deje vacías las semanas (se calculan solas)"&amp;" · ","")&amp;IF((COUNTIF($I120:$L120,"&gt;1")+COUNTIF($I120:$L120,"&lt;0")+COUNTA($I120:$L120)-COUNT($I120:$L120))&gt;0,"Avance fuera de rango 0-100%"&amp;" · ","")&amp;IF(OR(AND($J120&lt;&gt;"",$J120&lt;$I120),AND($K120&lt;&gt;"",$K120&lt;MAX($I120:$J120)),AND($L120&lt;&gt;"",$L120&lt;MAX($I120:$K120))),"Avance semanal decreciente"&amp;" · ","")&amp;IF(AND(ISNUMBER($AN120),$AN120&lt;FechaRef,IF($V120="Sub",N($X120),N($M120))&lt;1),"Vencida"&amp;" · ","")&amp;IF(AND(ObsObligatoria="Sí",ISNUMBER($AN120),$AN120&lt;FechaRef,IF($V120="Sub",N($X120),N($M120))&lt;1,$Q120=""),"Vencida sin observación"&amp;" · ",""))="","✔ OK","⚠ "&amp;LEFT(IF($C120="","Falta el nombre de la actividad"&amp;" · ","")&amp;IF(AND($V120="Sub",N($U120)=0),"Subactividad sin macroactividad arriba"&amp;" · ","")&amp;IF($AM120="","Sin fecha de inicio"&amp;" · ","")&amp;IF($AN120="","Sin fecha límite"&amp;" · ","")&amp;IF(AND(LEFT($C120,11)="[Jefatura] ",N($AL120)=0),"No se encuentra en la hoja de la jefatura (elíjala de nuevo en la lista)"&amp;" · ","")&amp;IF(OR(AND($E120&lt;&gt;"",NOT(ISNUMBER($E120))),AND($F120&lt;&gt;"",NOT(ISNUMBER($F120))),AND($G120&lt;&gt;"",NOT(ISNUMBER($G120)))),"Fecha no válida"&amp;" · ","")&amp;IF(AND(ISNUMBER($AM120),ISNUMBER($AN120),$AM120&gt;$AN120),"Inicio posterior a fecha límite"&amp;" · ","")&amp;IF(AND($V120="Macro",$H120&lt;&gt;"",OR(NOT(ISNUMBER($H120)),$H120&lt;0,$H120&gt;1)),"Peso fuera de rango"&amp;" · ","")&amp;IF(AND($V120="Sub",$H120&lt;&gt;""),"Las subactividades no llevan peso (valen igual dentro de su macroactividad)"&amp;" · ","")&amp;IF(AND(N($W120)&gt;0,COUNT($I120:$L120)&gt;0),"Con subactividades: deje vacías las semanas (se calculan solas)"&amp;" · ","")&amp;IF((COUNTIF($I120:$L120,"&gt;1")+COUNTIF($I120:$L120,"&lt;0")+COUNTA($I120:$L120)-COUNT($I120:$L120))&gt;0,"Avance fuera de rango 0-100%"&amp;" · ","")&amp;IF(OR(AND($J120&lt;&gt;"",$J120&lt;$I120),AND($K120&lt;&gt;"",$K120&lt;MAX($I120:$J120)),AND($L120&lt;&gt;"",$L120&lt;MAX($I120:$K120))),"Avance semanal decreciente"&amp;" · ","")&amp;IF(AND(ISNUMBER($AN120),$AN120&lt;FechaRef,IF($V120="Sub",N($X120),N($M120))&lt;1),"Vencida"&amp;" · ","")&amp;IF(AND(ObsObligatoria="Sí",ISNUMBER($AN120),$AN120&lt;FechaRef,IF($V120="Sub",N($X120),N($M120))&lt;1,$Q120=""),"Vencida sin observación"&amp;" · ",""),LEN(IF($C120="","Falta el nombre de la actividad"&amp;" · ","")&amp;IF(AND($V120="Sub",N($U120)=0),"Subactividad sin macroactividad arriba"&amp;" · ","")&amp;IF($AM120="","Sin fecha de inicio"&amp;" · ","")&amp;IF($AN120="","Sin fecha límite"&amp;" · ","")&amp;IF(AND(LEFT($C120,11)="[Jefatura] ",N($AL120)=0),"No se encuentra en la hoja de la jefatura (elíjala de nuevo en la lista)"&amp;" · ","")&amp;IF(OR(AND($E120&lt;&gt;"",NOT(ISNUMBER($E120))),AND($F120&lt;&gt;"",NOT(ISNUMBER($F120))),AND($G120&lt;&gt;"",NOT(ISNUMBER($G120)))),"Fecha no válida"&amp;" · ","")&amp;IF(AND(ISNUMBER($AM120),ISNUMBER($AN120),$AM120&gt;$AN120),"Inicio posterior a fecha límite"&amp;" · ","")&amp;IF(AND($V120="Macro",$H120&lt;&gt;"",OR(NOT(ISNUMBER($H120)),$H120&lt;0,$H120&gt;1)),"Peso fuera de rango"&amp;" · ","")&amp;IF(AND($V120="Sub",$H120&lt;&gt;""),"Las subactividades no llevan peso (valen igual dentro de su macroactividad)"&amp;" · ","")&amp;IF(AND(N($W120)&gt;0,COUNT($I120:$L120)&gt;0),"Con subactividades: deje vacías las semanas (se calculan solas)"&amp;" · ","")&amp;IF((COUNTIF($I120:$L120,"&gt;1")+COUNTIF($I120:$L120,"&lt;0")+COUNTA($I120:$L120)-COUNT($I120:$L120))&gt;0,"Avance fuera de rango 0-100%"&amp;" · ","")&amp;IF(OR(AND($J120&lt;&gt;"",$J120&lt;$I120),AND($K120&lt;&gt;"",$K120&lt;MAX($I120:$J120)),AND($L120&lt;&gt;"",$L120&lt;MAX($I120:$K120))),"Avance semanal decreciente"&amp;" · ","")&amp;IF(AND(ISNUMBER($AN120),$AN120&lt;FechaRef,IF($V120="Sub",N($X120),N($M120))&lt;1),"Vencida"&amp;" · ","")&amp;IF(AND(ObsObligatoria="Sí",ISNUMBER($AN120),$AN120&lt;FechaRef,IF($V120="Sub",N($X120),N($M120))&lt;1,$Q120=""),"Vencida sin observación"&amp;" · ",""))-3)))</f>
        <v/>
      </c>
      <c r="S120" s="64">
        <f>IF(NOT((COUNTA($B120:$D120)+COUNTA($G120:$L120)+COUNTA($Q120))&gt;0),"",IF(AND($V120="Sub",N($U120)&gt;0),IF(ISNUMBER(INDEX($AM$5:$AM$1000,$U120-4)),DATE(YEAR(INDEX($AM$5:$AM$1000,$U120-4)),MONTH(INDEX($AM$5:$AM$1000,$U120-4)),1),IF(ISNUMBER(INDEX($AN$5:$AN$1000,$U120-4)),DATE(YEAR(INDEX($AN$5:$AN$1000,$U120-4)),MONTH(INDEX($AN$5:$AN$1000,$U120-4)),1),MesCiclo)),IF(ISNUMBER($AM120),DATE(YEAR($AM120),MONTH($AM120),1),IF(ISNUMBER($AN120),DATE(YEAR($AN120),MONTH($AN120),1),MesCiclo))))</f>
        <v/>
      </c>
      <c r="T120" s="62">
        <f>IF(OR($S120="",$S120&lt;&gt;MesCiclo,$V120&lt;&gt;"Macro"),"",COUNTIFS($S$5:$S120,MesCiclo,$V$5:$V120,"Macro"))</f>
        <v/>
      </c>
      <c r="U120" s="62">
        <f>IF($V120="","",IF($V120="Macro",ROW(),IFERROR(LOOKUP(2,1/($V$5:$V120="Macro"),ROW($V$5:$V120)),0)))</f>
        <v/>
      </c>
      <c r="V120" s="62">
        <f>IF(NOT((COUNTA($B120:$D120)+COUNTA($G120:$L120)+COUNTA($Q120))&gt;0),"",IF($B120="Subactividad","Sub","Macro"))</f>
        <v/>
      </c>
      <c r="W120" s="62">
        <f>IF($V120="Macro",COUNTIFS($U$5:$U$1000,ROW(),$V$5:$V$1000,"Sub"),"")</f>
        <v/>
      </c>
      <c r="X120" s="62">
        <f>IF($V120="","",IF(ISNUMBER($G120),1,IFERROR(LOOKUP(2,1/($I120:$L120&lt;&gt;""),$I120:$L120),0)))</f>
        <v/>
      </c>
      <c r="Y120" s="62">
        <f>IF($V120="","",IF(AND(ISNUMBER($G120),$G120&lt;=IF($S120=MesCiclo,InicioCiclo,$S120+MOD(2-WEEKDAY($S120),7))+6),1,IF(ISNUMBER($I120),$I120,0)))</f>
        <v/>
      </c>
      <c r="Z120" s="62">
        <f>IF($V120="","",IF(AND(ISNUMBER($G120),$G120&lt;=IF($S120=MesCiclo,InicioCiclo,$S120+MOD(2-WEEKDAY($S120),7))+13),1,IF(ISNUMBER($J120),$J120,$Y120)))</f>
        <v/>
      </c>
      <c r="AA120" s="62">
        <f>IF($V120="","",IF(AND(ISNUMBER($G120),$G120&lt;=IF($S120=MesCiclo,InicioCiclo,$S120+MOD(2-WEEKDAY($S120),7))+20),1,IF(ISNUMBER($K120),$K120,$Z120)))</f>
        <v/>
      </c>
      <c r="AB120" s="62">
        <f>IF($V120="","",IF(AND(ISNUMBER($G120),$G120&lt;=IF($S120=MesCiclo,InicioCiclo,$S120+MOD(2-WEEKDAY($S120),7))+27),1,IF(ISNUMBER($L120),$L120,$AA120)))</f>
        <v/>
      </c>
      <c r="AC120" s="62">
        <f>IF($V120="","",IF(AND(ISNUMBER($G120),$G120&lt;=IF($S120=MesCiclo,InicioCiclo,$S120+MOD(2-WEEKDAY($S120),7))+6),1,IF(N($W120)&gt;0,AVERAGEIFS($Y$5:$Y$1000,$U$5:$U$1000,ROW(),$V$5:$V$1000,"Sub"),$Y120)))</f>
        <v/>
      </c>
      <c r="AD120" s="62">
        <f>IF($V120="","",IF(AND(ISNUMBER($G120),$G120&lt;=IF($S120=MesCiclo,InicioCiclo,$S120+MOD(2-WEEKDAY($S120),7))+13),1,IF(N($W120)&gt;0,AVERAGEIFS($Z$5:$Z$1000,$U$5:$U$1000,ROW(),$V$5:$V$1000,"Sub"),$Z120)))</f>
        <v/>
      </c>
      <c r="AE120" s="62">
        <f>IF($V120="","",IF(AND(ISNUMBER($G120),$G120&lt;=IF($S120=MesCiclo,InicioCiclo,$S120+MOD(2-WEEKDAY($S120),7))+20),1,IF(N($W120)&gt;0,AVERAGEIFS($AA$5:$AA$1000,$U$5:$U$1000,ROW(),$V$5:$V$1000,"Sub"),$AA120)))</f>
        <v/>
      </c>
      <c r="AF120" s="62">
        <f>IF($V120="","",IF(AND(ISNUMBER($G120),$G120&lt;=IF($S120=MesCiclo,InicioCiclo,$S120+MOD(2-WEEKDAY($S120),7))+27),1,IF(N($W120)&gt;0,AVERAGEIFS($AB$5:$AB$1000,$U$5:$U$1000,ROW(),$V$5:$V$1000,"Sub"),$AB120)))</f>
        <v/>
      </c>
      <c r="AG120" s="62">
        <f>IF($V120&lt;&gt;"Macro","",IF(COUNTIFS($S$5:$S$1000,$S120,$V$5:$V$1000,"Macro",$H$5:$H$1000,"&gt;0")=0,1/COUNTIFS($S$5:$S$1000,$S120,$V$5:$V$1000,"Macro"),IF(AND(ISNUMBER($H120),N($H120)&gt;0),$H120,SUMIFS($H$5:$H$1000,$S$5:$S$1000,$S120,$V$5:$V$1000,"Macro")/COUNTIFS($S$5:$S$1000,$S120,$V$5:$V$1000,"Macro",$H$5:$H$1000,"&gt;0"))/(COUNTIFS($S$5:$S$1000,$S120,$V$5:$V$1000,"Macro")*SUMIFS($H$5:$H$1000,$S$5:$S$1000,$S120,$V$5:$V$1000,"Macro")/COUNTIFS($S$5:$S$1000,$S120,$V$5:$V$1000,"Macro",$H$5:$H$1000,"&gt;0"))))</f>
        <v/>
      </c>
      <c r="AH120" s="62" t="n"/>
      <c r="AI120" s="62" t="n"/>
      <c r="AJ120" s="62" t="n"/>
      <c r="AK120" s="62" t="n"/>
      <c r="AL120" s="62">
        <f>IF(LEFT($C120,11)="[Jefatura] ",IFERROR(MATCH("Riesgo Financiero|"&amp;MID($C120,12,500),rDname_ADM,0),0),"")</f>
        <v/>
      </c>
      <c r="AM120" s="62">
        <f>IF(N($AL120)&gt;0,INDEX(rIni_ADM,$AL120),IF(ISNUMBER($E120),$E120,""))</f>
        <v/>
      </c>
      <c r="AN120" s="62">
        <f>IF(N($AL120)&gt;0,INDEX(rLim_ADM,$AL120),IF(ISNUMBER($F120),$F120,""))</f>
        <v/>
      </c>
    </row>
    <row r="121">
      <c r="A121" s="56">
        <f>IF(NOT((COUNTA($B121:$D121)+COUNTA($G121:$L121)+COUNTA($Q121))&gt;0),"",IF($V121="Macro",COUNTIFS($V$5:$V121,"Macro",$S$5:$S121,$S121),IF(N($U121)=0,"?",COUNTIFS(INDEX($V$5:$V$1000,1):INDEX($V$5:$V$1000,$U121-4),"Macro",INDEX($S$5:$S$1000,1):INDEX($S$5:$S$1000,$U121-4),INDEX($S$5:$S$1000,$U121-4))&amp;"."&amp;COUNTIFS($U$5:$U121,$U121,$V$5:$V121,"Sub"))))</f>
        <v/>
      </c>
      <c r="B121" s="57" t="n"/>
      <c r="C121" s="58" t="n"/>
      <c r="D121" s="58" t="n"/>
      <c r="E121" s="59">
        <f>IF(N($AL121)&gt;0,INDEX(rIni_ADM,$AL121),"")</f>
        <v/>
      </c>
      <c r="F121" s="59">
        <f>IF(N($AL121)&gt;0,INDEX(rLim_ADM,$AL121),"")</f>
        <v/>
      </c>
      <c r="G121" s="59" t="n"/>
      <c r="H121" s="60" t="n"/>
      <c r="I121" s="60" t="n"/>
      <c r="J121" s="60" t="n"/>
      <c r="K121" s="60" t="n"/>
      <c r="L121" s="60" t="n"/>
      <c r="M121" s="61">
        <f>IF(NOT((COUNTA($B121:$D121)+COUNTA($G121:$L121)+COUNTA($Q121))&gt;0),"",IF($V121="Sub",IFERROR($X121/INDEX($W$5:$W$1000,$U121-4),""),IF(ISNUMBER($G121),1,IF(N($W121)&gt;0,AVERAGEIFS($X$5:$X$1000,$U$5:$U$1000,ROW(),$V$5:$V$1000,"Sub"),$X121))))</f>
        <v/>
      </c>
      <c r="N121" s="56">
        <f>IF(OR($M121="",$V121="Sub"),"",IF($M121&gt;=1,"Completado",IF($M121&gt;0,"En curso","Pendiente")))</f>
        <v/>
      </c>
      <c r="O121" s="56">
        <f>IF(OR(NOT((COUNTA($B121:$D121)+COUNTA($G121:$L121)+COUNTA($Q121))&gt;0),$V121="Sub"),"",IF(ISNUMBER($G121),IF(AND(ISNUMBER($AN121),$G121&gt;$AN121),"Cumplida con "&amp;($G121-$AN121)&amp;IF($G121-$AN121=1," día"," días")&amp;" de retraso","Cumplida"),IF(N($M121)&gt;=1,"Cumplida",IF(NOT(ISNUMBER($AN121)),"Sin fecha límite",IF($AN121&lt;FechaRef,"Vencida hace "&amp;(FechaRef-$AN121)&amp;IF(FechaRef-$AN121=1," día"," días"),IF($AN121=FechaRef,"Vence hoy",IF($AN121-FechaRef&lt;=DiasAlerta,"Vence en "&amp;($AN121-FechaRef)&amp;IF($AN121-FechaRef=1," día"," días"),"En plazo")))))))</f>
        <v/>
      </c>
      <c r="P121" s="62" t="n"/>
      <c r="Q121" s="58" t="n"/>
      <c r="R121" s="63">
        <f>IF(NOT((COUNTA($B121:$D121)+COUNTA($G121:$L121)+COUNTA($Q121))&gt;0),"",IF((IF($C121="","Falta el nombre de la actividad"&amp;" · ","")&amp;IF(AND($V121="Sub",N($U121)=0),"Subactividad sin macroactividad arriba"&amp;" · ","")&amp;IF($AM121="","Sin fecha de inicio"&amp;" · ","")&amp;IF($AN121="","Sin fecha límite"&amp;" · ","")&amp;IF(AND(LEFT($C121,11)="[Jefatura] ",N($AL121)=0),"No se encuentra en la hoja de la jefatura (elíjala de nuevo en la lista)"&amp;" · ","")&amp;IF(OR(AND($E121&lt;&gt;"",NOT(ISNUMBER($E121))),AND($F121&lt;&gt;"",NOT(ISNUMBER($F121))),AND($G121&lt;&gt;"",NOT(ISNUMBER($G121)))),"Fecha no válida"&amp;" · ","")&amp;IF(AND(ISNUMBER($AM121),ISNUMBER($AN121),$AM121&gt;$AN121),"Inicio posterior a fecha límite"&amp;" · ","")&amp;IF(AND($V121="Macro",$H121&lt;&gt;"",OR(NOT(ISNUMBER($H121)),$H121&lt;0,$H121&gt;1)),"Peso fuera de rango"&amp;" · ","")&amp;IF(AND($V121="Sub",$H121&lt;&gt;""),"Las subactividades no llevan peso (valen igual dentro de su macroactividad)"&amp;" · ","")&amp;IF(AND(N($W121)&gt;0,COUNT($I121:$L121)&gt;0),"Con subactividades: deje vacías las semanas (se calculan solas)"&amp;" · ","")&amp;IF((COUNTIF($I121:$L121,"&gt;1")+COUNTIF($I121:$L121,"&lt;0")+COUNTA($I121:$L121)-COUNT($I121:$L121))&gt;0,"Avance fuera de rango 0-100%"&amp;" · ","")&amp;IF(OR(AND($J121&lt;&gt;"",$J121&lt;$I121),AND($K121&lt;&gt;"",$K121&lt;MAX($I121:$J121)),AND($L121&lt;&gt;"",$L121&lt;MAX($I121:$K121))),"Avance semanal decreciente"&amp;" · ","")&amp;IF(AND(ISNUMBER($AN121),$AN121&lt;FechaRef,IF($V121="Sub",N($X121),N($M121))&lt;1),"Vencida"&amp;" · ","")&amp;IF(AND(ObsObligatoria="Sí",ISNUMBER($AN121),$AN121&lt;FechaRef,IF($V121="Sub",N($X121),N($M121))&lt;1,$Q121=""),"Vencida sin observación"&amp;" · ",""))="","✔ OK","⚠ "&amp;LEFT(IF($C121="","Falta el nombre de la actividad"&amp;" · ","")&amp;IF(AND($V121="Sub",N($U121)=0),"Subactividad sin macroactividad arriba"&amp;" · ","")&amp;IF($AM121="","Sin fecha de inicio"&amp;" · ","")&amp;IF($AN121="","Sin fecha límite"&amp;" · ","")&amp;IF(AND(LEFT($C121,11)="[Jefatura] ",N($AL121)=0),"No se encuentra en la hoja de la jefatura (elíjala de nuevo en la lista)"&amp;" · ","")&amp;IF(OR(AND($E121&lt;&gt;"",NOT(ISNUMBER($E121))),AND($F121&lt;&gt;"",NOT(ISNUMBER($F121))),AND($G121&lt;&gt;"",NOT(ISNUMBER($G121)))),"Fecha no válida"&amp;" · ","")&amp;IF(AND(ISNUMBER($AM121),ISNUMBER($AN121),$AM121&gt;$AN121),"Inicio posterior a fecha límite"&amp;" · ","")&amp;IF(AND($V121="Macro",$H121&lt;&gt;"",OR(NOT(ISNUMBER($H121)),$H121&lt;0,$H121&gt;1)),"Peso fuera de rango"&amp;" · ","")&amp;IF(AND($V121="Sub",$H121&lt;&gt;""),"Las subactividades no llevan peso (valen igual dentro de su macroactividad)"&amp;" · ","")&amp;IF(AND(N($W121)&gt;0,COUNT($I121:$L121)&gt;0),"Con subactividades: deje vacías las semanas (se calculan solas)"&amp;" · ","")&amp;IF((COUNTIF($I121:$L121,"&gt;1")+COUNTIF($I121:$L121,"&lt;0")+COUNTA($I121:$L121)-COUNT($I121:$L121))&gt;0,"Avance fuera de rango 0-100%"&amp;" · ","")&amp;IF(OR(AND($J121&lt;&gt;"",$J121&lt;$I121),AND($K121&lt;&gt;"",$K121&lt;MAX($I121:$J121)),AND($L121&lt;&gt;"",$L121&lt;MAX($I121:$K121))),"Avance semanal decreciente"&amp;" · ","")&amp;IF(AND(ISNUMBER($AN121),$AN121&lt;FechaRef,IF($V121="Sub",N($X121),N($M121))&lt;1),"Vencida"&amp;" · ","")&amp;IF(AND(ObsObligatoria="Sí",ISNUMBER($AN121),$AN121&lt;FechaRef,IF($V121="Sub",N($X121),N($M121))&lt;1,$Q121=""),"Vencida sin observación"&amp;" · ",""),LEN(IF($C121="","Falta el nombre de la actividad"&amp;" · ","")&amp;IF(AND($V121="Sub",N($U121)=0),"Subactividad sin macroactividad arriba"&amp;" · ","")&amp;IF($AM121="","Sin fecha de inicio"&amp;" · ","")&amp;IF($AN121="","Sin fecha límite"&amp;" · ","")&amp;IF(AND(LEFT($C121,11)="[Jefatura] ",N($AL121)=0),"No se encuentra en la hoja de la jefatura (elíjala de nuevo en la lista)"&amp;" · ","")&amp;IF(OR(AND($E121&lt;&gt;"",NOT(ISNUMBER($E121))),AND($F121&lt;&gt;"",NOT(ISNUMBER($F121))),AND($G121&lt;&gt;"",NOT(ISNUMBER($G121)))),"Fecha no válida"&amp;" · ","")&amp;IF(AND(ISNUMBER($AM121),ISNUMBER($AN121),$AM121&gt;$AN121),"Inicio posterior a fecha límite"&amp;" · ","")&amp;IF(AND($V121="Macro",$H121&lt;&gt;"",OR(NOT(ISNUMBER($H121)),$H121&lt;0,$H121&gt;1)),"Peso fuera de rango"&amp;" · ","")&amp;IF(AND($V121="Sub",$H121&lt;&gt;""),"Las subactividades no llevan peso (valen igual dentro de su macroactividad)"&amp;" · ","")&amp;IF(AND(N($W121)&gt;0,COUNT($I121:$L121)&gt;0),"Con subactividades: deje vacías las semanas (se calculan solas)"&amp;" · ","")&amp;IF((COUNTIF($I121:$L121,"&gt;1")+COUNTIF($I121:$L121,"&lt;0")+COUNTA($I121:$L121)-COUNT($I121:$L121))&gt;0,"Avance fuera de rango 0-100%"&amp;" · ","")&amp;IF(OR(AND($J121&lt;&gt;"",$J121&lt;$I121),AND($K121&lt;&gt;"",$K121&lt;MAX($I121:$J121)),AND($L121&lt;&gt;"",$L121&lt;MAX($I121:$K121))),"Avance semanal decreciente"&amp;" · ","")&amp;IF(AND(ISNUMBER($AN121),$AN121&lt;FechaRef,IF($V121="Sub",N($X121),N($M121))&lt;1),"Vencida"&amp;" · ","")&amp;IF(AND(ObsObligatoria="Sí",ISNUMBER($AN121),$AN121&lt;FechaRef,IF($V121="Sub",N($X121),N($M121))&lt;1,$Q121=""),"Vencida sin observación"&amp;" · ",""))-3)))</f>
        <v/>
      </c>
      <c r="S121" s="64">
        <f>IF(NOT((COUNTA($B121:$D121)+COUNTA($G121:$L121)+COUNTA($Q121))&gt;0),"",IF(AND($V121="Sub",N($U121)&gt;0),IF(ISNUMBER(INDEX($AM$5:$AM$1000,$U121-4)),DATE(YEAR(INDEX($AM$5:$AM$1000,$U121-4)),MONTH(INDEX($AM$5:$AM$1000,$U121-4)),1),IF(ISNUMBER(INDEX($AN$5:$AN$1000,$U121-4)),DATE(YEAR(INDEX($AN$5:$AN$1000,$U121-4)),MONTH(INDEX($AN$5:$AN$1000,$U121-4)),1),MesCiclo)),IF(ISNUMBER($AM121),DATE(YEAR($AM121),MONTH($AM121),1),IF(ISNUMBER($AN121),DATE(YEAR($AN121),MONTH($AN121),1),MesCiclo))))</f>
        <v/>
      </c>
      <c r="T121" s="62">
        <f>IF(OR($S121="",$S121&lt;&gt;MesCiclo,$V121&lt;&gt;"Macro"),"",COUNTIFS($S$5:$S121,MesCiclo,$V$5:$V121,"Macro"))</f>
        <v/>
      </c>
      <c r="U121" s="62">
        <f>IF($V121="","",IF($V121="Macro",ROW(),IFERROR(LOOKUP(2,1/($V$5:$V121="Macro"),ROW($V$5:$V121)),0)))</f>
        <v/>
      </c>
      <c r="V121" s="62">
        <f>IF(NOT((COUNTA($B121:$D121)+COUNTA($G121:$L121)+COUNTA($Q121))&gt;0),"",IF($B121="Subactividad","Sub","Macro"))</f>
        <v/>
      </c>
      <c r="W121" s="62">
        <f>IF($V121="Macro",COUNTIFS($U$5:$U$1000,ROW(),$V$5:$V$1000,"Sub"),"")</f>
        <v/>
      </c>
      <c r="X121" s="62">
        <f>IF($V121="","",IF(ISNUMBER($G121),1,IFERROR(LOOKUP(2,1/($I121:$L121&lt;&gt;""),$I121:$L121),0)))</f>
        <v/>
      </c>
      <c r="Y121" s="62">
        <f>IF($V121="","",IF(AND(ISNUMBER($G121),$G121&lt;=IF($S121=MesCiclo,InicioCiclo,$S121+MOD(2-WEEKDAY($S121),7))+6),1,IF(ISNUMBER($I121),$I121,0)))</f>
        <v/>
      </c>
      <c r="Z121" s="62">
        <f>IF($V121="","",IF(AND(ISNUMBER($G121),$G121&lt;=IF($S121=MesCiclo,InicioCiclo,$S121+MOD(2-WEEKDAY($S121),7))+13),1,IF(ISNUMBER($J121),$J121,$Y121)))</f>
        <v/>
      </c>
      <c r="AA121" s="62">
        <f>IF($V121="","",IF(AND(ISNUMBER($G121),$G121&lt;=IF($S121=MesCiclo,InicioCiclo,$S121+MOD(2-WEEKDAY($S121),7))+20),1,IF(ISNUMBER($K121),$K121,$Z121)))</f>
        <v/>
      </c>
      <c r="AB121" s="62">
        <f>IF($V121="","",IF(AND(ISNUMBER($G121),$G121&lt;=IF($S121=MesCiclo,InicioCiclo,$S121+MOD(2-WEEKDAY($S121),7))+27),1,IF(ISNUMBER($L121),$L121,$AA121)))</f>
        <v/>
      </c>
      <c r="AC121" s="62">
        <f>IF($V121="","",IF(AND(ISNUMBER($G121),$G121&lt;=IF($S121=MesCiclo,InicioCiclo,$S121+MOD(2-WEEKDAY($S121),7))+6),1,IF(N($W121)&gt;0,AVERAGEIFS($Y$5:$Y$1000,$U$5:$U$1000,ROW(),$V$5:$V$1000,"Sub"),$Y121)))</f>
        <v/>
      </c>
      <c r="AD121" s="62">
        <f>IF($V121="","",IF(AND(ISNUMBER($G121),$G121&lt;=IF($S121=MesCiclo,InicioCiclo,$S121+MOD(2-WEEKDAY($S121),7))+13),1,IF(N($W121)&gt;0,AVERAGEIFS($Z$5:$Z$1000,$U$5:$U$1000,ROW(),$V$5:$V$1000,"Sub"),$Z121)))</f>
        <v/>
      </c>
      <c r="AE121" s="62">
        <f>IF($V121="","",IF(AND(ISNUMBER($G121),$G121&lt;=IF($S121=MesCiclo,InicioCiclo,$S121+MOD(2-WEEKDAY($S121),7))+20),1,IF(N($W121)&gt;0,AVERAGEIFS($AA$5:$AA$1000,$U$5:$U$1000,ROW(),$V$5:$V$1000,"Sub"),$AA121)))</f>
        <v/>
      </c>
      <c r="AF121" s="62">
        <f>IF($V121="","",IF(AND(ISNUMBER($G121),$G121&lt;=IF($S121=MesCiclo,InicioCiclo,$S121+MOD(2-WEEKDAY($S121),7))+27),1,IF(N($W121)&gt;0,AVERAGEIFS($AB$5:$AB$1000,$U$5:$U$1000,ROW(),$V$5:$V$1000,"Sub"),$AB121)))</f>
        <v/>
      </c>
      <c r="AG121" s="62">
        <f>IF($V121&lt;&gt;"Macro","",IF(COUNTIFS($S$5:$S$1000,$S121,$V$5:$V$1000,"Macro",$H$5:$H$1000,"&gt;0")=0,1/COUNTIFS($S$5:$S$1000,$S121,$V$5:$V$1000,"Macro"),IF(AND(ISNUMBER($H121),N($H121)&gt;0),$H121,SUMIFS($H$5:$H$1000,$S$5:$S$1000,$S121,$V$5:$V$1000,"Macro")/COUNTIFS($S$5:$S$1000,$S121,$V$5:$V$1000,"Macro",$H$5:$H$1000,"&gt;0"))/(COUNTIFS($S$5:$S$1000,$S121,$V$5:$V$1000,"Macro")*SUMIFS($H$5:$H$1000,$S$5:$S$1000,$S121,$V$5:$V$1000,"Macro")/COUNTIFS($S$5:$S$1000,$S121,$V$5:$V$1000,"Macro",$H$5:$H$1000,"&gt;0"))))</f>
        <v/>
      </c>
      <c r="AH121" s="62" t="n"/>
      <c r="AI121" s="62" t="n"/>
      <c r="AJ121" s="62" t="n"/>
      <c r="AK121" s="62" t="n"/>
      <c r="AL121" s="62">
        <f>IF(LEFT($C121,11)="[Jefatura] ",IFERROR(MATCH("Riesgo Financiero|"&amp;MID($C121,12,500),rDname_ADM,0),0),"")</f>
        <v/>
      </c>
      <c r="AM121" s="62">
        <f>IF(N($AL121)&gt;0,INDEX(rIni_ADM,$AL121),IF(ISNUMBER($E121),$E121,""))</f>
        <v/>
      </c>
      <c r="AN121" s="62">
        <f>IF(N($AL121)&gt;0,INDEX(rLim_ADM,$AL121),IF(ISNUMBER($F121),$F121,""))</f>
        <v/>
      </c>
    </row>
    <row r="122">
      <c r="A122" s="56">
        <f>IF(NOT((COUNTA($B122:$D122)+COUNTA($G122:$L122)+COUNTA($Q122))&gt;0),"",IF($V122="Macro",COUNTIFS($V$5:$V122,"Macro",$S$5:$S122,$S122),IF(N($U122)=0,"?",COUNTIFS(INDEX($V$5:$V$1000,1):INDEX($V$5:$V$1000,$U122-4),"Macro",INDEX($S$5:$S$1000,1):INDEX($S$5:$S$1000,$U122-4),INDEX($S$5:$S$1000,$U122-4))&amp;"."&amp;COUNTIFS($U$5:$U122,$U122,$V$5:$V122,"Sub"))))</f>
        <v/>
      </c>
      <c r="B122" s="57" t="n"/>
      <c r="C122" s="58" t="n"/>
      <c r="D122" s="58" t="n"/>
      <c r="E122" s="59">
        <f>IF(N($AL122)&gt;0,INDEX(rIni_ADM,$AL122),"")</f>
        <v/>
      </c>
      <c r="F122" s="59">
        <f>IF(N($AL122)&gt;0,INDEX(rLim_ADM,$AL122),"")</f>
        <v/>
      </c>
      <c r="G122" s="59" t="n"/>
      <c r="H122" s="60" t="n"/>
      <c r="I122" s="60" t="n"/>
      <c r="J122" s="60" t="n"/>
      <c r="K122" s="60" t="n"/>
      <c r="L122" s="60" t="n"/>
      <c r="M122" s="61">
        <f>IF(NOT((COUNTA($B122:$D122)+COUNTA($G122:$L122)+COUNTA($Q122))&gt;0),"",IF($V122="Sub",IFERROR($X122/INDEX($W$5:$W$1000,$U122-4),""),IF(ISNUMBER($G122),1,IF(N($W122)&gt;0,AVERAGEIFS($X$5:$X$1000,$U$5:$U$1000,ROW(),$V$5:$V$1000,"Sub"),$X122))))</f>
        <v/>
      </c>
      <c r="N122" s="56">
        <f>IF(OR($M122="",$V122="Sub"),"",IF($M122&gt;=1,"Completado",IF($M122&gt;0,"En curso","Pendiente")))</f>
        <v/>
      </c>
      <c r="O122" s="56">
        <f>IF(OR(NOT((COUNTA($B122:$D122)+COUNTA($G122:$L122)+COUNTA($Q122))&gt;0),$V122="Sub"),"",IF(ISNUMBER($G122),IF(AND(ISNUMBER($AN122),$G122&gt;$AN122),"Cumplida con "&amp;($G122-$AN122)&amp;IF($G122-$AN122=1," día"," días")&amp;" de retraso","Cumplida"),IF(N($M122)&gt;=1,"Cumplida",IF(NOT(ISNUMBER($AN122)),"Sin fecha límite",IF($AN122&lt;FechaRef,"Vencida hace "&amp;(FechaRef-$AN122)&amp;IF(FechaRef-$AN122=1," día"," días"),IF($AN122=FechaRef,"Vence hoy",IF($AN122-FechaRef&lt;=DiasAlerta,"Vence en "&amp;($AN122-FechaRef)&amp;IF($AN122-FechaRef=1," día"," días"),"En plazo")))))))</f>
        <v/>
      </c>
      <c r="P122" s="62" t="n"/>
      <c r="Q122" s="58" t="n"/>
      <c r="R122" s="63">
        <f>IF(NOT((COUNTA($B122:$D122)+COUNTA($G122:$L122)+COUNTA($Q122))&gt;0),"",IF((IF($C122="","Falta el nombre de la actividad"&amp;" · ","")&amp;IF(AND($V122="Sub",N($U122)=0),"Subactividad sin macroactividad arriba"&amp;" · ","")&amp;IF($AM122="","Sin fecha de inicio"&amp;" · ","")&amp;IF($AN122="","Sin fecha límite"&amp;" · ","")&amp;IF(AND(LEFT($C122,11)="[Jefatura] ",N($AL122)=0),"No se encuentra en la hoja de la jefatura (elíjala de nuevo en la lista)"&amp;" · ","")&amp;IF(OR(AND($E122&lt;&gt;"",NOT(ISNUMBER($E122))),AND($F122&lt;&gt;"",NOT(ISNUMBER($F122))),AND($G122&lt;&gt;"",NOT(ISNUMBER($G122)))),"Fecha no válida"&amp;" · ","")&amp;IF(AND(ISNUMBER($AM122),ISNUMBER($AN122),$AM122&gt;$AN122),"Inicio posterior a fecha límite"&amp;" · ","")&amp;IF(AND($V122="Macro",$H122&lt;&gt;"",OR(NOT(ISNUMBER($H122)),$H122&lt;0,$H122&gt;1)),"Peso fuera de rango"&amp;" · ","")&amp;IF(AND($V122="Sub",$H122&lt;&gt;""),"Las subactividades no llevan peso (valen igual dentro de su macroactividad)"&amp;" · ","")&amp;IF(AND(N($W122)&gt;0,COUNT($I122:$L122)&gt;0),"Con subactividades: deje vacías las semanas (se calculan solas)"&amp;" · ","")&amp;IF((COUNTIF($I122:$L122,"&gt;1")+COUNTIF($I122:$L122,"&lt;0")+COUNTA($I122:$L122)-COUNT($I122:$L122))&gt;0,"Avance fuera de rango 0-100%"&amp;" · ","")&amp;IF(OR(AND($J122&lt;&gt;"",$J122&lt;$I122),AND($K122&lt;&gt;"",$K122&lt;MAX($I122:$J122)),AND($L122&lt;&gt;"",$L122&lt;MAX($I122:$K122))),"Avance semanal decreciente"&amp;" · ","")&amp;IF(AND(ISNUMBER($AN122),$AN122&lt;FechaRef,IF($V122="Sub",N($X122),N($M122))&lt;1),"Vencida"&amp;" · ","")&amp;IF(AND(ObsObligatoria="Sí",ISNUMBER($AN122),$AN122&lt;FechaRef,IF($V122="Sub",N($X122),N($M122))&lt;1,$Q122=""),"Vencida sin observación"&amp;" · ",""))="","✔ OK","⚠ "&amp;LEFT(IF($C122="","Falta el nombre de la actividad"&amp;" · ","")&amp;IF(AND($V122="Sub",N($U122)=0),"Subactividad sin macroactividad arriba"&amp;" · ","")&amp;IF($AM122="","Sin fecha de inicio"&amp;" · ","")&amp;IF($AN122="","Sin fecha límite"&amp;" · ","")&amp;IF(AND(LEFT($C122,11)="[Jefatura] ",N($AL122)=0),"No se encuentra en la hoja de la jefatura (elíjala de nuevo en la lista)"&amp;" · ","")&amp;IF(OR(AND($E122&lt;&gt;"",NOT(ISNUMBER($E122))),AND($F122&lt;&gt;"",NOT(ISNUMBER($F122))),AND($G122&lt;&gt;"",NOT(ISNUMBER($G122)))),"Fecha no válida"&amp;" · ","")&amp;IF(AND(ISNUMBER($AM122),ISNUMBER($AN122),$AM122&gt;$AN122),"Inicio posterior a fecha límite"&amp;" · ","")&amp;IF(AND($V122="Macro",$H122&lt;&gt;"",OR(NOT(ISNUMBER($H122)),$H122&lt;0,$H122&gt;1)),"Peso fuera de rango"&amp;" · ","")&amp;IF(AND($V122="Sub",$H122&lt;&gt;""),"Las subactividades no llevan peso (valen igual dentro de su macroactividad)"&amp;" · ","")&amp;IF(AND(N($W122)&gt;0,COUNT($I122:$L122)&gt;0),"Con subactividades: deje vacías las semanas (se calculan solas)"&amp;" · ","")&amp;IF((COUNTIF($I122:$L122,"&gt;1")+COUNTIF($I122:$L122,"&lt;0")+COUNTA($I122:$L122)-COUNT($I122:$L122))&gt;0,"Avance fuera de rango 0-100%"&amp;" · ","")&amp;IF(OR(AND($J122&lt;&gt;"",$J122&lt;$I122),AND($K122&lt;&gt;"",$K122&lt;MAX($I122:$J122)),AND($L122&lt;&gt;"",$L122&lt;MAX($I122:$K122))),"Avance semanal decreciente"&amp;" · ","")&amp;IF(AND(ISNUMBER($AN122),$AN122&lt;FechaRef,IF($V122="Sub",N($X122),N($M122))&lt;1),"Vencida"&amp;" · ","")&amp;IF(AND(ObsObligatoria="Sí",ISNUMBER($AN122),$AN122&lt;FechaRef,IF($V122="Sub",N($X122),N($M122))&lt;1,$Q122=""),"Vencida sin observación"&amp;" · ",""),LEN(IF($C122="","Falta el nombre de la actividad"&amp;" · ","")&amp;IF(AND($V122="Sub",N($U122)=0),"Subactividad sin macroactividad arriba"&amp;" · ","")&amp;IF($AM122="","Sin fecha de inicio"&amp;" · ","")&amp;IF($AN122="","Sin fecha límite"&amp;" · ","")&amp;IF(AND(LEFT($C122,11)="[Jefatura] ",N($AL122)=0),"No se encuentra en la hoja de la jefatura (elíjala de nuevo en la lista)"&amp;" · ","")&amp;IF(OR(AND($E122&lt;&gt;"",NOT(ISNUMBER($E122))),AND($F122&lt;&gt;"",NOT(ISNUMBER($F122))),AND($G122&lt;&gt;"",NOT(ISNUMBER($G122)))),"Fecha no válida"&amp;" · ","")&amp;IF(AND(ISNUMBER($AM122),ISNUMBER($AN122),$AM122&gt;$AN122),"Inicio posterior a fecha límite"&amp;" · ","")&amp;IF(AND($V122="Macro",$H122&lt;&gt;"",OR(NOT(ISNUMBER($H122)),$H122&lt;0,$H122&gt;1)),"Peso fuera de rango"&amp;" · ","")&amp;IF(AND($V122="Sub",$H122&lt;&gt;""),"Las subactividades no llevan peso (valen igual dentro de su macroactividad)"&amp;" · ","")&amp;IF(AND(N($W122)&gt;0,COUNT($I122:$L122)&gt;0),"Con subactividades: deje vacías las semanas (se calculan solas)"&amp;" · ","")&amp;IF((COUNTIF($I122:$L122,"&gt;1")+COUNTIF($I122:$L122,"&lt;0")+COUNTA($I122:$L122)-COUNT($I122:$L122))&gt;0,"Avance fuera de rango 0-100%"&amp;" · ","")&amp;IF(OR(AND($J122&lt;&gt;"",$J122&lt;$I122),AND($K122&lt;&gt;"",$K122&lt;MAX($I122:$J122)),AND($L122&lt;&gt;"",$L122&lt;MAX($I122:$K122))),"Avance semanal decreciente"&amp;" · ","")&amp;IF(AND(ISNUMBER($AN122),$AN122&lt;FechaRef,IF($V122="Sub",N($X122),N($M122))&lt;1),"Vencida"&amp;" · ","")&amp;IF(AND(ObsObligatoria="Sí",ISNUMBER($AN122),$AN122&lt;FechaRef,IF($V122="Sub",N($X122),N($M122))&lt;1,$Q122=""),"Vencida sin observación"&amp;" · ",""))-3)))</f>
        <v/>
      </c>
      <c r="S122" s="64">
        <f>IF(NOT((COUNTA($B122:$D122)+COUNTA($G122:$L122)+COUNTA($Q122))&gt;0),"",IF(AND($V122="Sub",N($U122)&gt;0),IF(ISNUMBER(INDEX($AM$5:$AM$1000,$U122-4)),DATE(YEAR(INDEX($AM$5:$AM$1000,$U122-4)),MONTH(INDEX($AM$5:$AM$1000,$U122-4)),1),IF(ISNUMBER(INDEX($AN$5:$AN$1000,$U122-4)),DATE(YEAR(INDEX($AN$5:$AN$1000,$U122-4)),MONTH(INDEX($AN$5:$AN$1000,$U122-4)),1),MesCiclo)),IF(ISNUMBER($AM122),DATE(YEAR($AM122),MONTH($AM122),1),IF(ISNUMBER($AN122),DATE(YEAR($AN122),MONTH($AN122),1),MesCiclo))))</f>
        <v/>
      </c>
      <c r="T122" s="62">
        <f>IF(OR($S122="",$S122&lt;&gt;MesCiclo,$V122&lt;&gt;"Macro"),"",COUNTIFS($S$5:$S122,MesCiclo,$V$5:$V122,"Macro"))</f>
        <v/>
      </c>
      <c r="U122" s="62">
        <f>IF($V122="","",IF($V122="Macro",ROW(),IFERROR(LOOKUP(2,1/($V$5:$V122="Macro"),ROW($V$5:$V122)),0)))</f>
        <v/>
      </c>
      <c r="V122" s="62">
        <f>IF(NOT((COUNTA($B122:$D122)+COUNTA($G122:$L122)+COUNTA($Q122))&gt;0),"",IF($B122="Subactividad","Sub","Macro"))</f>
        <v/>
      </c>
      <c r="W122" s="62">
        <f>IF($V122="Macro",COUNTIFS($U$5:$U$1000,ROW(),$V$5:$V$1000,"Sub"),"")</f>
        <v/>
      </c>
      <c r="X122" s="62">
        <f>IF($V122="","",IF(ISNUMBER($G122),1,IFERROR(LOOKUP(2,1/($I122:$L122&lt;&gt;""),$I122:$L122),0)))</f>
        <v/>
      </c>
      <c r="Y122" s="62">
        <f>IF($V122="","",IF(AND(ISNUMBER($G122),$G122&lt;=IF($S122=MesCiclo,InicioCiclo,$S122+MOD(2-WEEKDAY($S122),7))+6),1,IF(ISNUMBER($I122),$I122,0)))</f>
        <v/>
      </c>
      <c r="Z122" s="62">
        <f>IF($V122="","",IF(AND(ISNUMBER($G122),$G122&lt;=IF($S122=MesCiclo,InicioCiclo,$S122+MOD(2-WEEKDAY($S122),7))+13),1,IF(ISNUMBER($J122),$J122,$Y122)))</f>
        <v/>
      </c>
      <c r="AA122" s="62">
        <f>IF($V122="","",IF(AND(ISNUMBER($G122),$G122&lt;=IF($S122=MesCiclo,InicioCiclo,$S122+MOD(2-WEEKDAY($S122),7))+20),1,IF(ISNUMBER($K122),$K122,$Z122)))</f>
        <v/>
      </c>
      <c r="AB122" s="62">
        <f>IF($V122="","",IF(AND(ISNUMBER($G122),$G122&lt;=IF($S122=MesCiclo,InicioCiclo,$S122+MOD(2-WEEKDAY($S122),7))+27),1,IF(ISNUMBER($L122),$L122,$AA122)))</f>
        <v/>
      </c>
      <c r="AC122" s="62">
        <f>IF($V122="","",IF(AND(ISNUMBER($G122),$G122&lt;=IF($S122=MesCiclo,InicioCiclo,$S122+MOD(2-WEEKDAY($S122),7))+6),1,IF(N($W122)&gt;0,AVERAGEIFS($Y$5:$Y$1000,$U$5:$U$1000,ROW(),$V$5:$V$1000,"Sub"),$Y122)))</f>
        <v/>
      </c>
      <c r="AD122" s="62">
        <f>IF($V122="","",IF(AND(ISNUMBER($G122),$G122&lt;=IF($S122=MesCiclo,InicioCiclo,$S122+MOD(2-WEEKDAY($S122),7))+13),1,IF(N($W122)&gt;0,AVERAGEIFS($Z$5:$Z$1000,$U$5:$U$1000,ROW(),$V$5:$V$1000,"Sub"),$Z122)))</f>
        <v/>
      </c>
      <c r="AE122" s="62">
        <f>IF($V122="","",IF(AND(ISNUMBER($G122),$G122&lt;=IF($S122=MesCiclo,InicioCiclo,$S122+MOD(2-WEEKDAY($S122),7))+20),1,IF(N($W122)&gt;0,AVERAGEIFS($AA$5:$AA$1000,$U$5:$U$1000,ROW(),$V$5:$V$1000,"Sub"),$AA122)))</f>
        <v/>
      </c>
      <c r="AF122" s="62">
        <f>IF($V122="","",IF(AND(ISNUMBER($G122),$G122&lt;=IF($S122=MesCiclo,InicioCiclo,$S122+MOD(2-WEEKDAY($S122),7))+27),1,IF(N($W122)&gt;0,AVERAGEIFS($AB$5:$AB$1000,$U$5:$U$1000,ROW(),$V$5:$V$1000,"Sub"),$AB122)))</f>
        <v/>
      </c>
      <c r="AG122" s="62">
        <f>IF($V122&lt;&gt;"Macro","",IF(COUNTIFS($S$5:$S$1000,$S122,$V$5:$V$1000,"Macro",$H$5:$H$1000,"&gt;0")=0,1/COUNTIFS($S$5:$S$1000,$S122,$V$5:$V$1000,"Macro"),IF(AND(ISNUMBER($H122),N($H122)&gt;0),$H122,SUMIFS($H$5:$H$1000,$S$5:$S$1000,$S122,$V$5:$V$1000,"Macro")/COUNTIFS($S$5:$S$1000,$S122,$V$5:$V$1000,"Macro",$H$5:$H$1000,"&gt;0"))/(COUNTIFS($S$5:$S$1000,$S122,$V$5:$V$1000,"Macro")*SUMIFS($H$5:$H$1000,$S$5:$S$1000,$S122,$V$5:$V$1000,"Macro")/COUNTIFS($S$5:$S$1000,$S122,$V$5:$V$1000,"Macro",$H$5:$H$1000,"&gt;0"))))</f>
        <v/>
      </c>
      <c r="AH122" s="62" t="n"/>
      <c r="AI122" s="62" t="n"/>
      <c r="AJ122" s="62" t="n"/>
      <c r="AK122" s="62" t="n"/>
      <c r="AL122" s="62">
        <f>IF(LEFT($C122,11)="[Jefatura] ",IFERROR(MATCH("Riesgo Financiero|"&amp;MID($C122,12,500),rDname_ADM,0),0),"")</f>
        <v/>
      </c>
      <c r="AM122" s="62">
        <f>IF(N($AL122)&gt;0,INDEX(rIni_ADM,$AL122),IF(ISNUMBER($E122),$E122,""))</f>
        <v/>
      </c>
      <c r="AN122" s="62">
        <f>IF(N($AL122)&gt;0,INDEX(rLim_ADM,$AL122),IF(ISNUMBER($F122),$F122,""))</f>
        <v/>
      </c>
    </row>
    <row r="123">
      <c r="A123" s="56">
        <f>IF(NOT((COUNTA($B123:$D123)+COUNTA($G123:$L123)+COUNTA($Q123))&gt;0),"",IF($V123="Macro",COUNTIFS($V$5:$V123,"Macro",$S$5:$S123,$S123),IF(N($U123)=0,"?",COUNTIFS(INDEX($V$5:$V$1000,1):INDEX($V$5:$V$1000,$U123-4),"Macro",INDEX($S$5:$S$1000,1):INDEX($S$5:$S$1000,$U123-4),INDEX($S$5:$S$1000,$U123-4))&amp;"."&amp;COUNTIFS($U$5:$U123,$U123,$V$5:$V123,"Sub"))))</f>
        <v/>
      </c>
      <c r="B123" s="57" t="n"/>
      <c r="C123" s="58" t="n"/>
      <c r="D123" s="58" t="n"/>
      <c r="E123" s="59">
        <f>IF(N($AL123)&gt;0,INDEX(rIni_ADM,$AL123),"")</f>
        <v/>
      </c>
      <c r="F123" s="59">
        <f>IF(N($AL123)&gt;0,INDEX(rLim_ADM,$AL123),"")</f>
        <v/>
      </c>
      <c r="G123" s="59" t="n"/>
      <c r="H123" s="60" t="n"/>
      <c r="I123" s="60" t="n"/>
      <c r="J123" s="60" t="n"/>
      <c r="K123" s="60" t="n"/>
      <c r="L123" s="60" t="n"/>
      <c r="M123" s="61">
        <f>IF(NOT((COUNTA($B123:$D123)+COUNTA($G123:$L123)+COUNTA($Q123))&gt;0),"",IF($V123="Sub",IFERROR($X123/INDEX($W$5:$W$1000,$U123-4),""),IF(ISNUMBER($G123),1,IF(N($W123)&gt;0,AVERAGEIFS($X$5:$X$1000,$U$5:$U$1000,ROW(),$V$5:$V$1000,"Sub"),$X123))))</f>
        <v/>
      </c>
      <c r="N123" s="56">
        <f>IF(OR($M123="",$V123="Sub"),"",IF($M123&gt;=1,"Completado",IF($M123&gt;0,"En curso","Pendiente")))</f>
        <v/>
      </c>
      <c r="O123" s="56">
        <f>IF(OR(NOT((COUNTA($B123:$D123)+COUNTA($G123:$L123)+COUNTA($Q123))&gt;0),$V123="Sub"),"",IF(ISNUMBER($G123),IF(AND(ISNUMBER($AN123),$G123&gt;$AN123),"Cumplida con "&amp;($G123-$AN123)&amp;IF($G123-$AN123=1," día"," días")&amp;" de retraso","Cumplida"),IF(N($M123)&gt;=1,"Cumplida",IF(NOT(ISNUMBER($AN123)),"Sin fecha límite",IF($AN123&lt;FechaRef,"Vencida hace "&amp;(FechaRef-$AN123)&amp;IF(FechaRef-$AN123=1," día"," días"),IF($AN123=FechaRef,"Vence hoy",IF($AN123-FechaRef&lt;=DiasAlerta,"Vence en "&amp;($AN123-FechaRef)&amp;IF($AN123-FechaRef=1," día"," días"),"En plazo")))))))</f>
        <v/>
      </c>
      <c r="P123" s="62" t="n"/>
      <c r="Q123" s="58" t="n"/>
      <c r="R123" s="63">
        <f>IF(NOT((COUNTA($B123:$D123)+COUNTA($G123:$L123)+COUNTA($Q123))&gt;0),"",IF((IF($C123="","Falta el nombre de la actividad"&amp;" · ","")&amp;IF(AND($V123="Sub",N($U123)=0),"Subactividad sin macroactividad arriba"&amp;" · ","")&amp;IF($AM123="","Sin fecha de inicio"&amp;" · ","")&amp;IF($AN123="","Sin fecha límite"&amp;" · ","")&amp;IF(AND(LEFT($C123,11)="[Jefatura] ",N($AL123)=0),"No se encuentra en la hoja de la jefatura (elíjala de nuevo en la lista)"&amp;" · ","")&amp;IF(OR(AND($E123&lt;&gt;"",NOT(ISNUMBER($E123))),AND($F123&lt;&gt;"",NOT(ISNUMBER($F123))),AND($G123&lt;&gt;"",NOT(ISNUMBER($G123)))),"Fecha no válida"&amp;" · ","")&amp;IF(AND(ISNUMBER($AM123),ISNUMBER($AN123),$AM123&gt;$AN123),"Inicio posterior a fecha límite"&amp;" · ","")&amp;IF(AND($V123="Macro",$H123&lt;&gt;"",OR(NOT(ISNUMBER($H123)),$H123&lt;0,$H123&gt;1)),"Peso fuera de rango"&amp;" · ","")&amp;IF(AND($V123="Sub",$H123&lt;&gt;""),"Las subactividades no llevan peso (valen igual dentro de su macroactividad)"&amp;" · ","")&amp;IF(AND(N($W123)&gt;0,COUNT($I123:$L123)&gt;0),"Con subactividades: deje vacías las semanas (se calculan solas)"&amp;" · ","")&amp;IF((COUNTIF($I123:$L123,"&gt;1")+COUNTIF($I123:$L123,"&lt;0")+COUNTA($I123:$L123)-COUNT($I123:$L123))&gt;0,"Avance fuera de rango 0-100%"&amp;" · ","")&amp;IF(OR(AND($J123&lt;&gt;"",$J123&lt;$I123),AND($K123&lt;&gt;"",$K123&lt;MAX($I123:$J123)),AND($L123&lt;&gt;"",$L123&lt;MAX($I123:$K123))),"Avance semanal decreciente"&amp;" · ","")&amp;IF(AND(ISNUMBER($AN123),$AN123&lt;FechaRef,IF($V123="Sub",N($X123),N($M123))&lt;1),"Vencida"&amp;" · ","")&amp;IF(AND(ObsObligatoria="Sí",ISNUMBER($AN123),$AN123&lt;FechaRef,IF($V123="Sub",N($X123),N($M123))&lt;1,$Q123=""),"Vencida sin observación"&amp;" · ",""))="","✔ OK","⚠ "&amp;LEFT(IF($C123="","Falta el nombre de la actividad"&amp;" · ","")&amp;IF(AND($V123="Sub",N($U123)=0),"Subactividad sin macroactividad arriba"&amp;" · ","")&amp;IF($AM123="","Sin fecha de inicio"&amp;" · ","")&amp;IF($AN123="","Sin fecha límite"&amp;" · ","")&amp;IF(AND(LEFT($C123,11)="[Jefatura] ",N($AL123)=0),"No se encuentra en la hoja de la jefatura (elíjala de nuevo en la lista)"&amp;" · ","")&amp;IF(OR(AND($E123&lt;&gt;"",NOT(ISNUMBER($E123))),AND($F123&lt;&gt;"",NOT(ISNUMBER($F123))),AND($G123&lt;&gt;"",NOT(ISNUMBER($G123)))),"Fecha no válida"&amp;" · ","")&amp;IF(AND(ISNUMBER($AM123),ISNUMBER($AN123),$AM123&gt;$AN123),"Inicio posterior a fecha límite"&amp;" · ","")&amp;IF(AND($V123="Macro",$H123&lt;&gt;"",OR(NOT(ISNUMBER($H123)),$H123&lt;0,$H123&gt;1)),"Peso fuera de rango"&amp;" · ","")&amp;IF(AND($V123="Sub",$H123&lt;&gt;""),"Las subactividades no llevan peso (valen igual dentro de su macroactividad)"&amp;" · ","")&amp;IF(AND(N($W123)&gt;0,COUNT($I123:$L123)&gt;0),"Con subactividades: deje vacías las semanas (se calculan solas)"&amp;" · ","")&amp;IF((COUNTIF($I123:$L123,"&gt;1")+COUNTIF($I123:$L123,"&lt;0")+COUNTA($I123:$L123)-COUNT($I123:$L123))&gt;0,"Avance fuera de rango 0-100%"&amp;" · ","")&amp;IF(OR(AND($J123&lt;&gt;"",$J123&lt;$I123),AND($K123&lt;&gt;"",$K123&lt;MAX($I123:$J123)),AND($L123&lt;&gt;"",$L123&lt;MAX($I123:$K123))),"Avance semanal decreciente"&amp;" · ","")&amp;IF(AND(ISNUMBER($AN123),$AN123&lt;FechaRef,IF($V123="Sub",N($X123),N($M123))&lt;1),"Vencida"&amp;" · ","")&amp;IF(AND(ObsObligatoria="Sí",ISNUMBER($AN123),$AN123&lt;FechaRef,IF($V123="Sub",N($X123),N($M123))&lt;1,$Q123=""),"Vencida sin observación"&amp;" · ",""),LEN(IF($C123="","Falta el nombre de la actividad"&amp;" · ","")&amp;IF(AND($V123="Sub",N($U123)=0),"Subactividad sin macroactividad arriba"&amp;" · ","")&amp;IF($AM123="","Sin fecha de inicio"&amp;" · ","")&amp;IF($AN123="","Sin fecha límite"&amp;" · ","")&amp;IF(AND(LEFT($C123,11)="[Jefatura] ",N($AL123)=0),"No se encuentra en la hoja de la jefatura (elíjala de nuevo en la lista)"&amp;" · ","")&amp;IF(OR(AND($E123&lt;&gt;"",NOT(ISNUMBER($E123))),AND($F123&lt;&gt;"",NOT(ISNUMBER($F123))),AND($G123&lt;&gt;"",NOT(ISNUMBER($G123)))),"Fecha no válida"&amp;" · ","")&amp;IF(AND(ISNUMBER($AM123),ISNUMBER($AN123),$AM123&gt;$AN123),"Inicio posterior a fecha límite"&amp;" · ","")&amp;IF(AND($V123="Macro",$H123&lt;&gt;"",OR(NOT(ISNUMBER($H123)),$H123&lt;0,$H123&gt;1)),"Peso fuera de rango"&amp;" · ","")&amp;IF(AND($V123="Sub",$H123&lt;&gt;""),"Las subactividades no llevan peso (valen igual dentro de su macroactividad)"&amp;" · ","")&amp;IF(AND(N($W123)&gt;0,COUNT($I123:$L123)&gt;0),"Con subactividades: deje vacías las semanas (se calculan solas)"&amp;" · ","")&amp;IF((COUNTIF($I123:$L123,"&gt;1")+COUNTIF($I123:$L123,"&lt;0")+COUNTA($I123:$L123)-COUNT($I123:$L123))&gt;0,"Avance fuera de rango 0-100%"&amp;" · ","")&amp;IF(OR(AND($J123&lt;&gt;"",$J123&lt;$I123),AND($K123&lt;&gt;"",$K123&lt;MAX($I123:$J123)),AND($L123&lt;&gt;"",$L123&lt;MAX($I123:$K123))),"Avance semanal decreciente"&amp;" · ","")&amp;IF(AND(ISNUMBER($AN123),$AN123&lt;FechaRef,IF($V123="Sub",N($X123),N($M123))&lt;1),"Vencida"&amp;" · ","")&amp;IF(AND(ObsObligatoria="Sí",ISNUMBER($AN123),$AN123&lt;FechaRef,IF($V123="Sub",N($X123),N($M123))&lt;1,$Q123=""),"Vencida sin observación"&amp;" · ",""))-3)))</f>
        <v/>
      </c>
      <c r="S123" s="64">
        <f>IF(NOT((COUNTA($B123:$D123)+COUNTA($G123:$L123)+COUNTA($Q123))&gt;0),"",IF(AND($V123="Sub",N($U123)&gt;0),IF(ISNUMBER(INDEX($AM$5:$AM$1000,$U123-4)),DATE(YEAR(INDEX($AM$5:$AM$1000,$U123-4)),MONTH(INDEX($AM$5:$AM$1000,$U123-4)),1),IF(ISNUMBER(INDEX($AN$5:$AN$1000,$U123-4)),DATE(YEAR(INDEX($AN$5:$AN$1000,$U123-4)),MONTH(INDEX($AN$5:$AN$1000,$U123-4)),1),MesCiclo)),IF(ISNUMBER($AM123),DATE(YEAR($AM123),MONTH($AM123),1),IF(ISNUMBER($AN123),DATE(YEAR($AN123),MONTH($AN123),1),MesCiclo))))</f>
        <v/>
      </c>
      <c r="T123" s="62">
        <f>IF(OR($S123="",$S123&lt;&gt;MesCiclo,$V123&lt;&gt;"Macro"),"",COUNTIFS($S$5:$S123,MesCiclo,$V$5:$V123,"Macro"))</f>
        <v/>
      </c>
      <c r="U123" s="62">
        <f>IF($V123="","",IF($V123="Macro",ROW(),IFERROR(LOOKUP(2,1/($V$5:$V123="Macro"),ROW($V$5:$V123)),0)))</f>
        <v/>
      </c>
      <c r="V123" s="62">
        <f>IF(NOT((COUNTA($B123:$D123)+COUNTA($G123:$L123)+COUNTA($Q123))&gt;0),"",IF($B123="Subactividad","Sub","Macro"))</f>
        <v/>
      </c>
      <c r="W123" s="62">
        <f>IF($V123="Macro",COUNTIFS($U$5:$U$1000,ROW(),$V$5:$V$1000,"Sub"),"")</f>
        <v/>
      </c>
      <c r="X123" s="62">
        <f>IF($V123="","",IF(ISNUMBER($G123),1,IFERROR(LOOKUP(2,1/($I123:$L123&lt;&gt;""),$I123:$L123),0)))</f>
        <v/>
      </c>
      <c r="Y123" s="62">
        <f>IF($V123="","",IF(AND(ISNUMBER($G123),$G123&lt;=IF($S123=MesCiclo,InicioCiclo,$S123+MOD(2-WEEKDAY($S123),7))+6),1,IF(ISNUMBER($I123),$I123,0)))</f>
        <v/>
      </c>
      <c r="Z123" s="62">
        <f>IF($V123="","",IF(AND(ISNUMBER($G123),$G123&lt;=IF($S123=MesCiclo,InicioCiclo,$S123+MOD(2-WEEKDAY($S123),7))+13),1,IF(ISNUMBER($J123),$J123,$Y123)))</f>
        <v/>
      </c>
      <c r="AA123" s="62">
        <f>IF($V123="","",IF(AND(ISNUMBER($G123),$G123&lt;=IF($S123=MesCiclo,InicioCiclo,$S123+MOD(2-WEEKDAY($S123),7))+20),1,IF(ISNUMBER($K123),$K123,$Z123)))</f>
        <v/>
      </c>
      <c r="AB123" s="62">
        <f>IF($V123="","",IF(AND(ISNUMBER($G123),$G123&lt;=IF($S123=MesCiclo,InicioCiclo,$S123+MOD(2-WEEKDAY($S123),7))+27),1,IF(ISNUMBER($L123),$L123,$AA123)))</f>
        <v/>
      </c>
      <c r="AC123" s="62">
        <f>IF($V123="","",IF(AND(ISNUMBER($G123),$G123&lt;=IF($S123=MesCiclo,InicioCiclo,$S123+MOD(2-WEEKDAY($S123),7))+6),1,IF(N($W123)&gt;0,AVERAGEIFS($Y$5:$Y$1000,$U$5:$U$1000,ROW(),$V$5:$V$1000,"Sub"),$Y123)))</f>
        <v/>
      </c>
      <c r="AD123" s="62">
        <f>IF($V123="","",IF(AND(ISNUMBER($G123),$G123&lt;=IF($S123=MesCiclo,InicioCiclo,$S123+MOD(2-WEEKDAY($S123),7))+13),1,IF(N($W123)&gt;0,AVERAGEIFS($Z$5:$Z$1000,$U$5:$U$1000,ROW(),$V$5:$V$1000,"Sub"),$Z123)))</f>
        <v/>
      </c>
      <c r="AE123" s="62">
        <f>IF($V123="","",IF(AND(ISNUMBER($G123),$G123&lt;=IF($S123=MesCiclo,InicioCiclo,$S123+MOD(2-WEEKDAY($S123),7))+20),1,IF(N($W123)&gt;0,AVERAGEIFS($AA$5:$AA$1000,$U$5:$U$1000,ROW(),$V$5:$V$1000,"Sub"),$AA123)))</f>
        <v/>
      </c>
      <c r="AF123" s="62">
        <f>IF($V123="","",IF(AND(ISNUMBER($G123),$G123&lt;=IF($S123=MesCiclo,InicioCiclo,$S123+MOD(2-WEEKDAY($S123),7))+27),1,IF(N($W123)&gt;0,AVERAGEIFS($AB$5:$AB$1000,$U$5:$U$1000,ROW(),$V$5:$V$1000,"Sub"),$AB123)))</f>
        <v/>
      </c>
      <c r="AG123" s="62">
        <f>IF($V123&lt;&gt;"Macro","",IF(COUNTIFS($S$5:$S$1000,$S123,$V$5:$V$1000,"Macro",$H$5:$H$1000,"&gt;0")=0,1/COUNTIFS($S$5:$S$1000,$S123,$V$5:$V$1000,"Macro"),IF(AND(ISNUMBER($H123),N($H123)&gt;0),$H123,SUMIFS($H$5:$H$1000,$S$5:$S$1000,$S123,$V$5:$V$1000,"Macro")/COUNTIFS($S$5:$S$1000,$S123,$V$5:$V$1000,"Macro",$H$5:$H$1000,"&gt;0"))/(COUNTIFS($S$5:$S$1000,$S123,$V$5:$V$1000,"Macro")*SUMIFS($H$5:$H$1000,$S$5:$S$1000,$S123,$V$5:$V$1000,"Macro")/COUNTIFS($S$5:$S$1000,$S123,$V$5:$V$1000,"Macro",$H$5:$H$1000,"&gt;0"))))</f>
        <v/>
      </c>
      <c r="AH123" s="62" t="n"/>
      <c r="AI123" s="62" t="n"/>
      <c r="AJ123" s="62" t="n"/>
      <c r="AK123" s="62" t="n"/>
      <c r="AL123" s="62">
        <f>IF(LEFT($C123,11)="[Jefatura] ",IFERROR(MATCH("Riesgo Financiero|"&amp;MID($C123,12,500),rDname_ADM,0),0),"")</f>
        <v/>
      </c>
      <c r="AM123" s="62">
        <f>IF(N($AL123)&gt;0,INDEX(rIni_ADM,$AL123),IF(ISNUMBER($E123),$E123,""))</f>
        <v/>
      </c>
      <c r="AN123" s="62">
        <f>IF(N($AL123)&gt;0,INDEX(rLim_ADM,$AL123),IF(ISNUMBER($F123),$F123,""))</f>
        <v/>
      </c>
    </row>
    <row r="124">
      <c r="A124" s="56">
        <f>IF(NOT((COUNTA($B124:$D124)+COUNTA($G124:$L124)+COUNTA($Q124))&gt;0),"",IF($V124="Macro",COUNTIFS($V$5:$V124,"Macro",$S$5:$S124,$S124),IF(N($U124)=0,"?",COUNTIFS(INDEX($V$5:$V$1000,1):INDEX($V$5:$V$1000,$U124-4),"Macro",INDEX($S$5:$S$1000,1):INDEX($S$5:$S$1000,$U124-4),INDEX($S$5:$S$1000,$U124-4))&amp;"."&amp;COUNTIFS($U$5:$U124,$U124,$V$5:$V124,"Sub"))))</f>
        <v/>
      </c>
      <c r="B124" s="57" t="n"/>
      <c r="C124" s="58" t="n"/>
      <c r="D124" s="58" t="n"/>
      <c r="E124" s="59">
        <f>IF(N($AL124)&gt;0,INDEX(rIni_ADM,$AL124),"")</f>
        <v/>
      </c>
      <c r="F124" s="59">
        <f>IF(N($AL124)&gt;0,INDEX(rLim_ADM,$AL124),"")</f>
        <v/>
      </c>
      <c r="G124" s="59" t="n"/>
      <c r="H124" s="60" t="n"/>
      <c r="I124" s="60" t="n"/>
      <c r="J124" s="60" t="n"/>
      <c r="K124" s="60" t="n"/>
      <c r="L124" s="60" t="n"/>
      <c r="M124" s="61">
        <f>IF(NOT((COUNTA($B124:$D124)+COUNTA($G124:$L124)+COUNTA($Q124))&gt;0),"",IF($V124="Sub",IFERROR($X124/INDEX($W$5:$W$1000,$U124-4),""),IF(ISNUMBER($G124),1,IF(N($W124)&gt;0,AVERAGEIFS($X$5:$X$1000,$U$5:$U$1000,ROW(),$V$5:$V$1000,"Sub"),$X124))))</f>
        <v/>
      </c>
      <c r="N124" s="56">
        <f>IF(OR($M124="",$V124="Sub"),"",IF($M124&gt;=1,"Completado",IF($M124&gt;0,"En curso","Pendiente")))</f>
        <v/>
      </c>
      <c r="O124" s="56">
        <f>IF(OR(NOT((COUNTA($B124:$D124)+COUNTA($G124:$L124)+COUNTA($Q124))&gt;0),$V124="Sub"),"",IF(ISNUMBER($G124),IF(AND(ISNUMBER($AN124),$G124&gt;$AN124),"Cumplida con "&amp;($G124-$AN124)&amp;IF($G124-$AN124=1," día"," días")&amp;" de retraso","Cumplida"),IF(N($M124)&gt;=1,"Cumplida",IF(NOT(ISNUMBER($AN124)),"Sin fecha límite",IF($AN124&lt;FechaRef,"Vencida hace "&amp;(FechaRef-$AN124)&amp;IF(FechaRef-$AN124=1," día"," días"),IF($AN124=FechaRef,"Vence hoy",IF($AN124-FechaRef&lt;=DiasAlerta,"Vence en "&amp;($AN124-FechaRef)&amp;IF($AN124-FechaRef=1," día"," días"),"En plazo")))))))</f>
        <v/>
      </c>
      <c r="P124" s="62" t="n"/>
      <c r="Q124" s="58" t="n"/>
      <c r="R124" s="63">
        <f>IF(NOT((COUNTA($B124:$D124)+COUNTA($G124:$L124)+COUNTA($Q124))&gt;0),"",IF((IF($C124="","Falta el nombre de la actividad"&amp;" · ","")&amp;IF(AND($V124="Sub",N($U124)=0),"Subactividad sin macroactividad arriba"&amp;" · ","")&amp;IF($AM124="","Sin fecha de inicio"&amp;" · ","")&amp;IF($AN124="","Sin fecha límite"&amp;" · ","")&amp;IF(AND(LEFT($C124,11)="[Jefatura] ",N($AL124)=0),"No se encuentra en la hoja de la jefatura (elíjala de nuevo en la lista)"&amp;" · ","")&amp;IF(OR(AND($E124&lt;&gt;"",NOT(ISNUMBER($E124))),AND($F124&lt;&gt;"",NOT(ISNUMBER($F124))),AND($G124&lt;&gt;"",NOT(ISNUMBER($G124)))),"Fecha no válida"&amp;" · ","")&amp;IF(AND(ISNUMBER($AM124),ISNUMBER($AN124),$AM124&gt;$AN124),"Inicio posterior a fecha límite"&amp;" · ","")&amp;IF(AND($V124="Macro",$H124&lt;&gt;"",OR(NOT(ISNUMBER($H124)),$H124&lt;0,$H124&gt;1)),"Peso fuera de rango"&amp;" · ","")&amp;IF(AND($V124="Sub",$H124&lt;&gt;""),"Las subactividades no llevan peso (valen igual dentro de su macroactividad)"&amp;" · ","")&amp;IF(AND(N($W124)&gt;0,COUNT($I124:$L124)&gt;0),"Con subactividades: deje vacías las semanas (se calculan solas)"&amp;" · ","")&amp;IF((COUNTIF($I124:$L124,"&gt;1")+COUNTIF($I124:$L124,"&lt;0")+COUNTA($I124:$L124)-COUNT($I124:$L124))&gt;0,"Avance fuera de rango 0-100%"&amp;" · ","")&amp;IF(OR(AND($J124&lt;&gt;"",$J124&lt;$I124),AND($K124&lt;&gt;"",$K124&lt;MAX($I124:$J124)),AND($L124&lt;&gt;"",$L124&lt;MAX($I124:$K124))),"Avance semanal decreciente"&amp;" · ","")&amp;IF(AND(ISNUMBER($AN124),$AN124&lt;FechaRef,IF($V124="Sub",N($X124),N($M124))&lt;1),"Vencida"&amp;" · ","")&amp;IF(AND(ObsObligatoria="Sí",ISNUMBER($AN124),$AN124&lt;FechaRef,IF($V124="Sub",N($X124),N($M124))&lt;1,$Q124=""),"Vencida sin observación"&amp;" · ",""))="","✔ OK","⚠ "&amp;LEFT(IF($C124="","Falta el nombre de la actividad"&amp;" · ","")&amp;IF(AND($V124="Sub",N($U124)=0),"Subactividad sin macroactividad arriba"&amp;" · ","")&amp;IF($AM124="","Sin fecha de inicio"&amp;" · ","")&amp;IF($AN124="","Sin fecha límite"&amp;" · ","")&amp;IF(AND(LEFT($C124,11)="[Jefatura] ",N($AL124)=0),"No se encuentra en la hoja de la jefatura (elíjala de nuevo en la lista)"&amp;" · ","")&amp;IF(OR(AND($E124&lt;&gt;"",NOT(ISNUMBER($E124))),AND($F124&lt;&gt;"",NOT(ISNUMBER($F124))),AND($G124&lt;&gt;"",NOT(ISNUMBER($G124)))),"Fecha no válida"&amp;" · ","")&amp;IF(AND(ISNUMBER($AM124),ISNUMBER($AN124),$AM124&gt;$AN124),"Inicio posterior a fecha límite"&amp;" · ","")&amp;IF(AND($V124="Macro",$H124&lt;&gt;"",OR(NOT(ISNUMBER($H124)),$H124&lt;0,$H124&gt;1)),"Peso fuera de rango"&amp;" · ","")&amp;IF(AND($V124="Sub",$H124&lt;&gt;""),"Las subactividades no llevan peso (valen igual dentro de su macroactividad)"&amp;" · ","")&amp;IF(AND(N($W124)&gt;0,COUNT($I124:$L124)&gt;0),"Con subactividades: deje vacías las semanas (se calculan solas)"&amp;" · ","")&amp;IF((COUNTIF($I124:$L124,"&gt;1")+COUNTIF($I124:$L124,"&lt;0")+COUNTA($I124:$L124)-COUNT($I124:$L124))&gt;0,"Avance fuera de rango 0-100%"&amp;" · ","")&amp;IF(OR(AND($J124&lt;&gt;"",$J124&lt;$I124),AND($K124&lt;&gt;"",$K124&lt;MAX($I124:$J124)),AND($L124&lt;&gt;"",$L124&lt;MAX($I124:$K124))),"Avance semanal decreciente"&amp;" · ","")&amp;IF(AND(ISNUMBER($AN124),$AN124&lt;FechaRef,IF($V124="Sub",N($X124),N($M124))&lt;1),"Vencida"&amp;" · ","")&amp;IF(AND(ObsObligatoria="Sí",ISNUMBER($AN124),$AN124&lt;FechaRef,IF($V124="Sub",N($X124),N($M124))&lt;1,$Q124=""),"Vencida sin observación"&amp;" · ",""),LEN(IF($C124="","Falta el nombre de la actividad"&amp;" · ","")&amp;IF(AND($V124="Sub",N($U124)=0),"Subactividad sin macroactividad arriba"&amp;" · ","")&amp;IF($AM124="","Sin fecha de inicio"&amp;" · ","")&amp;IF($AN124="","Sin fecha límite"&amp;" · ","")&amp;IF(AND(LEFT($C124,11)="[Jefatura] ",N($AL124)=0),"No se encuentra en la hoja de la jefatura (elíjala de nuevo en la lista)"&amp;" · ","")&amp;IF(OR(AND($E124&lt;&gt;"",NOT(ISNUMBER($E124))),AND($F124&lt;&gt;"",NOT(ISNUMBER($F124))),AND($G124&lt;&gt;"",NOT(ISNUMBER($G124)))),"Fecha no válida"&amp;" · ","")&amp;IF(AND(ISNUMBER($AM124),ISNUMBER($AN124),$AM124&gt;$AN124),"Inicio posterior a fecha límite"&amp;" · ","")&amp;IF(AND($V124="Macro",$H124&lt;&gt;"",OR(NOT(ISNUMBER($H124)),$H124&lt;0,$H124&gt;1)),"Peso fuera de rango"&amp;" · ","")&amp;IF(AND($V124="Sub",$H124&lt;&gt;""),"Las subactividades no llevan peso (valen igual dentro de su macroactividad)"&amp;" · ","")&amp;IF(AND(N($W124)&gt;0,COUNT($I124:$L124)&gt;0),"Con subactividades: deje vacías las semanas (se calculan solas)"&amp;" · ","")&amp;IF((COUNTIF($I124:$L124,"&gt;1")+COUNTIF($I124:$L124,"&lt;0")+COUNTA($I124:$L124)-COUNT($I124:$L124))&gt;0,"Avance fuera de rango 0-100%"&amp;" · ","")&amp;IF(OR(AND($J124&lt;&gt;"",$J124&lt;$I124),AND($K124&lt;&gt;"",$K124&lt;MAX($I124:$J124)),AND($L124&lt;&gt;"",$L124&lt;MAX($I124:$K124))),"Avance semanal decreciente"&amp;" · ","")&amp;IF(AND(ISNUMBER($AN124),$AN124&lt;FechaRef,IF($V124="Sub",N($X124),N($M124))&lt;1),"Vencida"&amp;" · ","")&amp;IF(AND(ObsObligatoria="Sí",ISNUMBER($AN124),$AN124&lt;FechaRef,IF($V124="Sub",N($X124),N($M124))&lt;1,$Q124=""),"Vencida sin observación"&amp;" · ",""))-3)))</f>
        <v/>
      </c>
      <c r="S124" s="64">
        <f>IF(NOT((COUNTA($B124:$D124)+COUNTA($G124:$L124)+COUNTA($Q124))&gt;0),"",IF(AND($V124="Sub",N($U124)&gt;0),IF(ISNUMBER(INDEX($AM$5:$AM$1000,$U124-4)),DATE(YEAR(INDEX($AM$5:$AM$1000,$U124-4)),MONTH(INDEX($AM$5:$AM$1000,$U124-4)),1),IF(ISNUMBER(INDEX($AN$5:$AN$1000,$U124-4)),DATE(YEAR(INDEX($AN$5:$AN$1000,$U124-4)),MONTH(INDEX($AN$5:$AN$1000,$U124-4)),1),MesCiclo)),IF(ISNUMBER($AM124),DATE(YEAR($AM124),MONTH($AM124),1),IF(ISNUMBER($AN124),DATE(YEAR($AN124),MONTH($AN124),1),MesCiclo))))</f>
        <v/>
      </c>
      <c r="T124" s="62">
        <f>IF(OR($S124="",$S124&lt;&gt;MesCiclo,$V124&lt;&gt;"Macro"),"",COUNTIFS($S$5:$S124,MesCiclo,$V$5:$V124,"Macro"))</f>
        <v/>
      </c>
      <c r="U124" s="62">
        <f>IF($V124="","",IF($V124="Macro",ROW(),IFERROR(LOOKUP(2,1/($V$5:$V124="Macro"),ROW($V$5:$V124)),0)))</f>
        <v/>
      </c>
      <c r="V124" s="62">
        <f>IF(NOT((COUNTA($B124:$D124)+COUNTA($G124:$L124)+COUNTA($Q124))&gt;0),"",IF($B124="Subactividad","Sub","Macro"))</f>
        <v/>
      </c>
      <c r="W124" s="62">
        <f>IF($V124="Macro",COUNTIFS($U$5:$U$1000,ROW(),$V$5:$V$1000,"Sub"),"")</f>
        <v/>
      </c>
      <c r="X124" s="62">
        <f>IF($V124="","",IF(ISNUMBER($G124),1,IFERROR(LOOKUP(2,1/($I124:$L124&lt;&gt;""),$I124:$L124),0)))</f>
        <v/>
      </c>
      <c r="Y124" s="62">
        <f>IF($V124="","",IF(AND(ISNUMBER($G124),$G124&lt;=IF($S124=MesCiclo,InicioCiclo,$S124+MOD(2-WEEKDAY($S124),7))+6),1,IF(ISNUMBER($I124),$I124,0)))</f>
        <v/>
      </c>
      <c r="Z124" s="62">
        <f>IF($V124="","",IF(AND(ISNUMBER($G124),$G124&lt;=IF($S124=MesCiclo,InicioCiclo,$S124+MOD(2-WEEKDAY($S124),7))+13),1,IF(ISNUMBER($J124),$J124,$Y124)))</f>
        <v/>
      </c>
      <c r="AA124" s="62">
        <f>IF($V124="","",IF(AND(ISNUMBER($G124),$G124&lt;=IF($S124=MesCiclo,InicioCiclo,$S124+MOD(2-WEEKDAY($S124),7))+20),1,IF(ISNUMBER($K124),$K124,$Z124)))</f>
        <v/>
      </c>
      <c r="AB124" s="62">
        <f>IF($V124="","",IF(AND(ISNUMBER($G124),$G124&lt;=IF($S124=MesCiclo,InicioCiclo,$S124+MOD(2-WEEKDAY($S124),7))+27),1,IF(ISNUMBER($L124),$L124,$AA124)))</f>
        <v/>
      </c>
      <c r="AC124" s="62">
        <f>IF($V124="","",IF(AND(ISNUMBER($G124),$G124&lt;=IF($S124=MesCiclo,InicioCiclo,$S124+MOD(2-WEEKDAY($S124),7))+6),1,IF(N($W124)&gt;0,AVERAGEIFS($Y$5:$Y$1000,$U$5:$U$1000,ROW(),$V$5:$V$1000,"Sub"),$Y124)))</f>
        <v/>
      </c>
      <c r="AD124" s="62">
        <f>IF($V124="","",IF(AND(ISNUMBER($G124),$G124&lt;=IF($S124=MesCiclo,InicioCiclo,$S124+MOD(2-WEEKDAY($S124),7))+13),1,IF(N($W124)&gt;0,AVERAGEIFS($Z$5:$Z$1000,$U$5:$U$1000,ROW(),$V$5:$V$1000,"Sub"),$Z124)))</f>
        <v/>
      </c>
      <c r="AE124" s="62">
        <f>IF($V124="","",IF(AND(ISNUMBER($G124),$G124&lt;=IF($S124=MesCiclo,InicioCiclo,$S124+MOD(2-WEEKDAY($S124),7))+20),1,IF(N($W124)&gt;0,AVERAGEIFS($AA$5:$AA$1000,$U$5:$U$1000,ROW(),$V$5:$V$1000,"Sub"),$AA124)))</f>
        <v/>
      </c>
      <c r="AF124" s="62">
        <f>IF($V124="","",IF(AND(ISNUMBER($G124),$G124&lt;=IF($S124=MesCiclo,InicioCiclo,$S124+MOD(2-WEEKDAY($S124),7))+27),1,IF(N($W124)&gt;0,AVERAGEIFS($AB$5:$AB$1000,$U$5:$U$1000,ROW(),$V$5:$V$1000,"Sub"),$AB124)))</f>
        <v/>
      </c>
      <c r="AG124" s="62">
        <f>IF($V124&lt;&gt;"Macro","",IF(COUNTIFS($S$5:$S$1000,$S124,$V$5:$V$1000,"Macro",$H$5:$H$1000,"&gt;0")=0,1/COUNTIFS($S$5:$S$1000,$S124,$V$5:$V$1000,"Macro"),IF(AND(ISNUMBER($H124),N($H124)&gt;0),$H124,SUMIFS($H$5:$H$1000,$S$5:$S$1000,$S124,$V$5:$V$1000,"Macro")/COUNTIFS($S$5:$S$1000,$S124,$V$5:$V$1000,"Macro",$H$5:$H$1000,"&gt;0"))/(COUNTIFS($S$5:$S$1000,$S124,$V$5:$V$1000,"Macro")*SUMIFS($H$5:$H$1000,$S$5:$S$1000,$S124,$V$5:$V$1000,"Macro")/COUNTIFS($S$5:$S$1000,$S124,$V$5:$V$1000,"Macro",$H$5:$H$1000,"&gt;0"))))</f>
        <v/>
      </c>
      <c r="AH124" s="62" t="n"/>
      <c r="AI124" s="62" t="n"/>
      <c r="AJ124" s="62" t="n"/>
      <c r="AK124" s="62" t="n"/>
      <c r="AL124" s="62">
        <f>IF(LEFT($C124,11)="[Jefatura] ",IFERROR(MATCH("Riesgo Financiero|"&amp;MID($C124,12,500),rDname_ADM,0),0),"")</f>
        <v/>
      </c>
      <c r="AM124" s="62">
        <f>IF(N($AL124)&gt;0,INDEX(rIni_ADM,$AL124),IF(ISNUMBER($E124),$E124,""))</f>
        <v/>
      </c>
      <c r="AN124" s="62">
        <f>IF(N($AL124)&gt;0,INDEX(rLim_ADM,$AL124),IF(ISNUMBER($F124),$F124,""))</f>
        <v/>
      </c>
    </row>
    <row r="125">
      <c r="A125" s="56">
        <f>IF(NOT((COUNTA($B125:$D125)+COUNTA($G125:$L125)+COUNTA($Q125))&gt;0),"",IF($V125="Macro",COUNTIFS($V$5:$V125,"Macro",$S$5:$S125,$S125),IF(N($U125)=0,"?",COUNTIFS(INDEX($V$5:$V$1000,1):INDEX($V$5:$V$1000,$U125-4),"Macro",INDEX($S$5:$S$1000,1):INDEX($S$5:$S$1000,$U125-4),INDEX($S$5:$S$1000,$U125-4))&amp;"."&amp;COUNTIFS($U$5:$U125,$U125,$V$5:$V125,"Sub"))))</f>
        <v/>
      </c>
      <c r="B125" s="57" t="n"/>
      <c r="C125" s="58" t="n"/>
      <c r="D125" s="58" t="n"/>
      <c r="E125" s="59">
        <f>IF(N($AL125)&gt;0,INDEX(rIni_ADM,$AL125),"")</f>
        <v/>
      </c>
      <c r="F125" s="59">
        <f>IF(N($AL125)&gt;0,INDEX(rLim_ADM,$AL125),"")</f>
        <v/>
      </c>
      <c r="G125" s="59" t="n"/>
      <c r="H125" s="60" t="n"/>
      <c r="I125" s="60" t="n"/>
      <c r="J125" s="60" t="n"/>
      <c r="K125" s="60" t="n"/>
      <c r="L125" s="60" t="n"/>
      <c r="M125" s="61">
        <f>IF(NOT((COUNTA($B125:$D125)+COUNTA($G125:$L125)+COUNTA($Q125))&gt;0),"",IF($V125="Sub",IFERROR($X125/INDEX($W$5:$W$1000,$U125-4),""),IF(ISNUMBER($G125),1,IF(N($W125)&gt;0,AVERAGEIFS($X$5:$X$1000,$U$5:$U$1000,ROW(),$V$5:$V$1000,"Sub"),$X125))))</f>
        <v/>
      </c>
      <c r="N125" s="56">
        <f>IF(OR($M125="",$V125="Sub"),"",IF($M125&gt;=1,"Completado",IF($M125&gt;0,"En curso","Pendiente")))</f>
        <v/>
      </c>
      <c r="O125" s="56">
        <f>IF(OR(NOT((COUNTA($B125:$D125)+COUNTA($G125:$L125)+COUNTA($Q125))&gt;0),$V125="Sub"),"",IF(ISNUMBER($G125),IF(AND(ISNUMBER($AN125),$G125&gt;$AN125),"Cumplida con "&amp;($G125-$AN125)&amp;IF($G125-$AN125=1," día"," días")&amp;" de retraso","Cumplida"),IF(N($M125)&gt;=1,"Cumplida",IF(NOT(ISNUMBER($AN125)),"Sin fecha límite",IF($AN125&lt;FechaRef,"Vencida hace "&amp;(FechaRef-$AN125)&amp;IF(FechaRef-$AN125=1," día"," días"),IF($AN125=FechaRef,"Vence hoy",IF($AN125-FechaRef&lt;=DiasAlerta,"Vence en "&amp;($AN125-FechaRef)&amp;IF($AN125-FechaRef=1," día"," días"),"En plazo")))))))</f>
        <v/>
      </c>
      <c r="P125" s="62" t="n"/>
      <c r="Q125" s="58" t="n"/>
      <c r="R125" s="63">
        <f>IF(NOT((COUNTA($B125:$D125)+COUNTA($G125:$L125)+COUNTA($Q125))&gt;0),"",IF((IF($C125="","Falta el nombre de la actividad"&amp;" · ","")&amp;IF(AND($V125="Sub",N($U125)=0),"Subactividad sin macroactividad arriba"&amp;" · ","")&amp;IF($AM125="","Sin fecha de inicio"&amp;" · ","")&amp;IF($AN125="","Sin fecha límite"&amp;" · ","")&amp;IF(AND(LEFT($C125,11)="[Jefatura] ",N($AL125)=0),"No se encuentra en la hoja de la jefatura (elíjala de nuevo en la lista)"&amp;" · ","")&amp;IF(OR(AND($E125&lt;&gt;"",NOT(ISNUMBER($E125))),AND($F125&lt;&gt;"",NOT(ISNUMBER($F125))),AND($G125&lt;&gt;"",NOT(ISNUMBER($G125)))),"Fecha no válida"&amp;" · ","")&amp;IF(AND(ISNUMBER($AM125),ISNUMBER($AN125),$AM125&gt;$AN125),"Inicio posterior a fecha límite"&amp;" · ","")&amp;IF(AND($V125="Macro",$H125&lt;&gt;"",OR(NOT(ISNUMBER($H125)),$H125&lt;0,$H125&gt;1)),"Peso fuera de rango"&amp;" · ","")&amp;IF(AND($V125="Sub",$H125&lt;&gt;""),"Las subactividades no llevan peso (valen igual dentro de su macroactividad)"&amp;" · ","")&amp;IF(AND(N($W125)&gt;0,COUNT($I125:$L125)&gt;0),"Con subactividades: deje vacías las semanas (se calculan solas)"&amp;" · ","")&amp;IF((COUNTIF($I125:$L125,"&gt;1")+COUNTIF($I125:$L125,"&lt;0")+COUNTA($I125:$L125)-COUNT($I125:$L125))&gt;0,"Avance fuera de rango 0-100%"&amp;" · ","")&amp;IF(OR(AND($J125&lt;&gt;"",$J125&lt;$I125),AND($K125&lt;&gt;"",$K125&lt;MAX($I125:$J125)),AND($L125&lt;&gt;"",$L125&lt;MAX($I125:$K125))),"Avance semanal decreciente"&amp;" · ","")&amp;IF(AND(ISNUMBER($AN125),$AN125&lt;FechaRef,IF($V125="Sub",N($X125),N($M125))&lt;1),"Vencida"&amp;" · ","")&amp;IF(AND(ObsObligatoria="Sí",ISNUMBER($AN125),$AN125&lt;FechaRef,IF($V125="Sub",N($X125),N($M125))&lt;1,$Q125=""),"Vencida sin observación"&amp;" · ",""))="","✔ OK","⚠ "&amp;LEFT(IF($C125="","Falta el nombre de la actividad"&amp;" · ","")&amp;IF(AND($V125="Sub",N($U125)=0),"Subactividad sin macroactividad arriba"&amp;" · ","")&amp;IF($AM125="","Sin fecha de inicio"&amp;" · ","")&amp;IF($AN125="","Sin fecha límite"&amp;" · ","")&amp;IF(AND(LEFT($C125,11)="[Jefatura] ",N($AL125)=0),"No se encuentra en la hoja de la jefatura (elíjala de nuevo en la lista)"&amp;" · ","")&amp;IF(OR(AND($E125&lt;&gt;"",NOT(ISNUMBER($E125))),AND($F125&lt;&gt;"",NOT(ISNUMBER($F125))),AND($G125&lt;&gt;"",NOT(ISNUMBER($G125)))),"Fecha no válida"&amp;" · ","")&amp;IF(AND(ISNUMBER($AM125),ISNUMBER($AN125),$AM125&gt;$AN125),"Inicio posterior a fecha límite"&amp;" · ","")&amp;IF(AND($V125="Macro",$H125&lt;&gt;"",OR(NOT(ISNUMBER($H125)),$H125&lt;0,$H125&gt;1)),"Peso fuera de rango"&amp;" · ","")&amp;IF(AND($V125="Sub",$H125&lt;&gt;""),"Las subactividades no llevan peso (valen igual dentro de su macroactividad)"&amp;" · ","")&amp;IF(AND(N($W125)&gt;0,COUNT($I125:$L125)&gt;0),"Con subactividades: deje vacías las semanas (se calculan solas)"&amp;" · ","")&amp;IF((COUNTIF($I125:$L125,"&gt;1")+COUNTIF($I125:$L125,"&lt;0")+COUNTA($I125:$L125)-COUNT($I125:$L125))&gt;0,"Avance fuera de rango 0-100%"&amp;" · ","")&amp;IF(OR(AND($J125&lt;&gt;"",$J125&lt;$I125),AND($K125&lt;&gt;"",$K125&lt;MAX($I125:$J125)),AND($L125&lt;&gt;"",$L125&lt;MAX($I125:$K125))),"Avance semanal decreciente"&amp;" · ","")&amp;IF(AND(ISNUMBER($AN125),$AN125&lt;FechaRef,IF($V125="Sub",N($X125),N($M125))&lt;1),"Vencida"&amp;" · ","")&amp;IF(AND(ObsObligatoria="Sí",ISNUMBER($AN125),$AN125&lt;FechaRef,IF($V125="Sub",N($X125),N($M125))&lt;1,$Q125=""),"Vencida sin observación"&amp;" · ",""),LEN(IF($C125="","Falta el nombre de la actividad"&amp;" · ","")&amp;IF(AND($V125="Sub",N($U125)=0),"Subactividad sin macroactividad arriba"&amp;" · ","")&amp;IF($AM125="","Sin fecha de inicio"&amp;" · ","")&amp;IF($AN125="","Sin fecha límite"&amp;" · ","")&amp;IF(AND(LEFT($C125,11)="[Jefatura] ",N($AL125)=0),"No se encuentra en la hoja de la jefatura (elíjala de nuevo en la lista)"&amp;" · ","")&amp;IF(OR(AND($E125&lt;&gt;"",NOT(ISNUMBER($E125))),AND($F125&lt;&gt;"",NOT(ISNUMBER($F125))),AND($G125&lt;&gt;"",NOT(ISNUMBER($G125)))),"Fecha no válida"&amp;" · ","")&amp;IF(AND(ISNUMBER($AM125),ISNUMBER($AN125),$AM125&gt;$AN125),"Inicio posterior a fecha límite"&amp;" · ","")&amp;IF(AND($V125="Macro",$H125&lt;&gt;"",OR(NOT(ISNUMBER($H125)),$H125&lt;0,$H125&gt;1)),"Peso fuera de rango"&amp;" · ","")&amp;IF(AND($V125="Sub",$H125&lt;&gt;""),"Las subactividades no llevan peso (valen igual dentro de su macroactividad)"&amp;" · ","")&amp;IF(AND(N($W125)&gt;0,COUNT($I125:$L125)&gt;0),"Con subactividades: deje vacías las semanas (se calculan solas)"&amp;" · ","")&amp;IF((COUNTIF($I125:$L125,"&gt;1")+COUNTIF($I125:$L125,"&lt;0")+COUNTA($I125:$L125)-COUNT($I125:$L125))&gt;0,"Avance fuera de rango 0-100%"&amp;" · ","")&amp;IF(OR(AND($J125&lt;&gt;"",$J125&lt;$I125),AND($K125&lt;&gt;"",$K125&lt;MAX($I125:$J125)),AND($L125&lt;&gt;"",$L125&lt;MAX($I125:$K125))),"Avance semanal decreciente"&amp;" · ","")&amp;IF(AND(ISNUMBER($AN125),$AN125&lt;FechaRef,IF($V125="Sub",N($X125),N($M125))&lt;1),"Vencida"&amp;" · ","")&amp;IF(AND(ObsObligatoria="Sí",ISNUMBER($AN125),$AN125&lt;FechaRef,IF($V125="Sub",N($X125),N($M125))&lt;1,$Q125=""),"Vencida sin observación"&amp;" · ",""))-3)))</f>
        <v/>
      </c>
      <c r="S125" s="64">
        <f>IF(NOT((COUNTA($B125:$D125)+COUNTA($G125:$L125)+COUNTA($Q125))&gt;0),"",IF(AND($V125="Sub",N($U125)&gt;0),IF(ISNUMBER(INDEX($AM$5:$AM$1000,$U125-4)),DATE(YEAR(INDEX($AM$5:$AM$1000,$U125-4)),MONTH(INDEX($AM$5:$AM$1000,$U125-4)),1),IF(ISNUMBER(INDEX($AN$5:$AN$1000,$U125-4)),DATE(YEAR(INDEX($AN$5:$AN$1000,$U125-4)),MONTH(INDEX($AN$5:$AN$1000,$U125-4)),1),MesCiclo)),IF(ISNUMBER($AM125),DATE(YEAR($AM125),MONTH($AM125),1),IF(ISNUMBER($AN125),DATE(YEAR($AN125),MONTH($AN125),1),MesCiclo))))</f>
        <v/>
      </c>
      <c r="T125" s="62">
        <f>IF(OR($S125="",$S125&lt;&gt;MesCiclo,$V125&lt;&gt;"Macro"),"",COUNTIFS($S$5:$S125,MesCiclo,$V$5:$V125,"Macro"))</f>
        <v/>
      </c>
      <c r="U125" s="62">
        <f>IF($V125="","",IF($V125="Macro",ROW(),IFERROR(LOOKUP(2,1/($V$5:$V125="Macro"),ROW($V$5:$V125)),0)))</f>
        <v/>
      </c>
      <c r="V125" s="62">
        <f>IF(NOT((COUNTA($B125:$D125)+COUNTA($G125:$L125)+COUNTA($Q125))&gt;0),"",IF($B125="Subactividad","Sub","Macro"))</f>
        <v/>
      </c>
      <c r="W125" s="62">
        <f>IF($V125="Macro",COUNTIFS($U$5:$U$1000,ROW(),$V$5:$V$1000,"Sub"),"")</f>
        <v/>
      </c>
      <c r="X125" s="62">
        <f>IF($V125="","",IF(ISNUMBER($G125),1,IFERROR(LOOKUP(2,1/($I125:$L125&lt;&gt;""),$I125:$L125),0)))</f>
        <v/>
      </c>
      <c r="Y125" s="62">
        <f>IF($V125="","",IF(AND(ISNUMBER($G125),$G125&lt;=IF($S125=MesCiclo,InicioCiclo,$S125+MOD(2-WEEKDAY($S125),7))+6),1,IF(ISNUMBER($I125),$I125,0)))</f>
        <v/>
      </c>
      <c r="Z125" s="62">
        <f>IF($V125="","",IF(AND(ISNUMBER($G125),$G125&lt;=IF($S125=MesCiclo,InicioCiclo,$S125+MOD(2-WEEKDAY($S125),7))+13),1,IF(ISNUMBER($J125),$J125,$Y125)))</f>
        <v/>
      </c>
      <c r="AA125" s="62">
        <f>IF($V125="","",IF(AND(ISNUMBER($G125),$G125&lt;=IF($S125=MesCiclo,InicioCiclo,$S125+MOD(2-WEEKDAY($S125),7))+20),1,IF(ISNUMBER($K125),$K125,$Z125)))</f>
        <v/>
      </c>
      <c r="AB125" s="62">
        <f>IF($V125="","",IF(AND(ISNUMBER($G125),$G125&lt;=IF($S125=MesCiclo,InicioCiclo,$S125+MOD(2-WEEKDAY($S125),7))+27),1,IF(ISNUMBER($L125),$L125,$AA125)))</f>
        <v/>
      </c>
      <c r="AC125" s="62">
        <f>IF($V125="","",IF(AND(ISNUMBER($G125),$G125&lt;=IF($S125=MesCiclo,InicioCiclo,$S125+MOD(2-WEEKDAY($S125),7))+6),1,IF(N($W125)&gt;0,AVERAGEIFS($Y$5:$Y$1000,$U$5:$U$1000,ROW(),$V$5:$V$1000,"Sub"),$Y125)))</f>
        <v/>
      </c>
      <c r="AD125" s="62">
        <f>IF($V125="","",IF(AND(ISNUMBER($G125),$G125&lt;=IF($S125=MesCiclo,InicioCiclo,$S125+MOD(2-WEEKDAY($S125),7))+13),1,IF(N($W125)&gt;0,AVERAGEIFS($Z$5:$Z$1000,$U$5:$U$1000,ROW(),$V$5:$V$1000,"Sub"),$Z125)))</f>
        <v/>
      </c>
      <c r="AE125" s="62">
        <f>IF($V125="","",IF(AND(ISNUMBER($G125),$G125&lt;=IF($S125=MesCiclo,InicioCiclo,$S125+MOD(2-WEEKDAY($S125),7))+20),1,IF(N($W125)&gt;0,AVERAGEIFS($AA$5:$AA$1000,$U$5:$U$1000,ROW(),$V$5:$V$1000,"Sub"),$AA125)))</f>
        <v/>
      </c>
      <c r="AF125" s="62">
        <f>IF($V125="","",IF(AND(ISNUMBER($G125),$G125&lt;=IF($S125=MesCiclo,InicioCiclo,$S125+MOD(2-WEEKDAY($S125),7))+27),1,IF(N($W125)&gt;0,AVERAGEIFS($AB$5:$AB$1000,$U$5:$U$1000,ROW(),$V$5:$V$1000,"Sub"),$AB125)))</f>
        <v/>
      </c>
      <c r="AG125" s="62">
        <f>IF($V125&lt;&gt;"Macro","",IF(COUNTIFS($S$5:$S$1000,$S125,$V$5:$V$1000,"Macro",$H$5:$H$1000,"&gt;0")=0,1/COUNTIFS($S$5:$S$1000,$S125,$V$5:$V$1000,"Macro"),IF(AND(ISNUMBER($H125),N($H125)&gt;0),$H125,SUMIFS($H$5:$H$1000,$S$5:$S$1000,$S125,$V$5:$V$1000,"Macro")/COUNTIFS($S$5:$S$1000,$S125,$V$5:$V$1000,"Macro",$H$5:$H$1000,"&gt;0"))/(COUNTIFS($S$5:$S$1000,$S125,$V$5:$V$1000,"Macro")*SUMIFS($H$5:$H$1000,$S$5:$S$1000,$S125,$V$5:$V$1000,"Macro")/COUNTIFS($S$5:$S$1000,$S125,$V$5:$V$1000,"Macro",$H$5:$H$1000,"&gt;0"))))</f>
        <v/>
      </c>
      <c r="AH125" s="62" t="n"/>
      <c r="AI125" s="62" t="n"/>
      <c r="AJ125" s="62" t="n"/>
      <c r="AK125" s="62" t="n"/>
      <c r="AL125" s="62">
        <f>IF(LEFT($C125,11)="[Jefatura] ",IFERROR(MATCH("Riesgo Financiero|"&amp;MID($C125,12,500),rDname_ADM,0),0),"")</f>
        <v/>
      </c>
      <c r="AM125" s="62">
        <f>IF(N($AL125)&gt;0,INDEX(rIni_ADM,$AL125),IF(ISNUMBER($E125),$E125,""))</f>
        <v/>
      </c>
      <c r="AN125" s="62">
        <f>IF(N($AL125)&gt;0,INDEX(rLim_ADM,$AL125),IF(ISNUMBER($F125),$F125,""))</f>
        <v/>
      </c>
    </row>
    <row r="126">
      <c r="A126" s="56">
        <f>IF(NOT((COUNTA($B126:$D126)+COUNTA($G126:$L126)+COUNTA($Q126))&gt;0),"",IF($V126="Macro",COUNTIFS($V$5:$V126,"Macro",$S$5:$S126,$S126),IF(N($U126)=0,"?",COUNTIFS(INDEX($V$5:$V$1000,1):INDEX($V$5:$V$1000,$U126-4),"Macro",INDEX($S$5:$S$1000,1):INDEX($S$5:$S$1000,$U126-4),INDEX($S$5:$S$1000,$U126-4))&amp;"."&amp;COUNTIFS($U$5:$U126,$U126,$V$5:$V126,"Sub"))))</f>
        <v/>
      </c>
      <c r="B126" s="57" t="n"/>
      <c r="C126" s="58" t="n"/>
      <c r="D126" s="58" t="n"/>
      <c r="E126" s="59">
        <f>IF(N($AL126)&gt;0,INDEX(rIni_ADM,$AL126),"")</f>
        <v/>
      </c>
      <c r="F126" s="59">
        <f>IF(N($AL126)&gt;0,INDEX(rLim_ADM,$AL126),"")</f>
        <v/>
      </c>
      <c r="G126" s="59" t="n"/>
      <c r="H126" s="60" t="n"/>
      <c r="I126" s="60" t="n"/>
      <c r="J126" s="60" t="n"/>
      <c r="K126" s="60" t="n"/>
      <c r="L126" s="60" t="n"/>
      <c r="M126" s="61">
        <f>IF(NOT((COUNTA($B126:$D126)+COUNTA($G126:$L126)+COUNTA($Q126))&gt;0),"",IF($V126="Sub",IFERROR($X126/INDEX($W$5:$W$1000,$U126-4),""),IF(ISNUMBER($G126),1,IF(N($W126)&gt;0,AVERAGEIFS($X$5:$X$1000,$U$5:$U$1000,ROW(),$V$5:$V$1000,"Sub"),$X126))))</f>
        <v/>
      </c>
      <c r="N126" s="56">
        <f>IF(OR($M126="",$V126="Sub"),"",IF($M126&gt;=1,"Completado",IF($M126&gt;0,"En curso","Pendiente")))</f>
        <v/>
      </c>
      <c r="O126" s="56">
        <f>IF(OR(NOT((COUNTA($B126:$D126)+COUNTA($G126:$L126)+COUNTA($Q126))&gt;0),$V126="Sub"),"",IF(ISNUMBER($G126),IF(AND(ISNUMBER($AN126),$G126&gt;$AN126),"Cumplida con "&amp;($G126-$AN126)&amp;IF($G126-$AN126=1," día"," días")&amp;" de retraso","Cumplida"),IF(N($M126)&gt;=1,"Cumplida",IF(NOT(ISNUMBER($AN126)),"Sin fecha límite",IF($AN126&lt;FechaRef,"Vencida hace "&amp;(FechaRef-$AN126)&amp;IF(FechaRef-$AN126=1," día"," días"),IF($AN126=FechaRef,"Vence hoy",IF($AN126-FechaRef&lt;=DiasAlerta,"Vence en "&amp;($AN126-FechaRef)&amp;IF($AN126-FechaRef=1," día"," días"),"En plazo")))))))</f>
        <v/>
      </c>
      <c r="P126" s="62" t="n"/>
      <c r="Q126" s="58" t="n"/>
      <c r="R126" s="63">
        <f>IF(NOT((COUNTA($B126:$D126)+COUNTA($G126:$L126)+COUNTA($Q126))&gt;0),"",IF((IF($C126="","Falta el nombre de la actividad"&amp;" · ","")&amp;IF(AND($V126="Sub",N($U126)=0),"Subactividad sin macroactividad arriba"&amp;" · ","")&amp;IF($AM126="","Sin fecha de inicio"&amp;" · ","")&amp;IF($AN126="","Sin fecha límite"&amp;" · ","")&amp;IF(AND(LEFT($C126,11)="[Jefatura] ",N($AL126)=0),"No se encuentra en la hoja de la jefatura (elíjala de nuevo en la lista)"&amp;" · ","")&amp;IF(OR(AND($E126&lt;&gt;"",NOT(ISNUMBER($E126))),AND($F126&lt;&gt;"",NOT(ISNUMBER($F126))),AND($G126&lt;&gt;"",NOT(ISNUMBER($G126)))),"Fecha no válida"&amp;" · ","")&amp;IF(AND(ISNUMBER($AM126),ISNUMBER($AN126),$AM126&gt;$AN126),"Inicio posterior a fecha límite"&amp;" · ","")&amp;IF(AND($V126="Macro",$H126&lt;&gt;"",OR(NOT(ISNUMBER($H126)),$H126&lt;0,$H126&gt;1)),"Peso fuera de rango"&amp;" · ","")&amp;IF(AND($V126="Sub",$H126&lt;&gt;""),"Las subactividades no llevan peso (valen igual dentro de su macroactividad)"&amp;" · ","")&amp;IF(AND(N($W126)&gt;0,COUNT($I126:$L126)&gt;0),"Con subactividades: deje vacías las semanas (se calculan solas)"&amp;" · ","")&amp;IF((COUNTIF($I126:$L126,"&gt;1")+COUNTIF($I126:$L126,"&lt;0")+COUNTA($I126:$L126)-COUNT($I126:$L126))&gt;0,"Avance fuera de rango 0-100%"&amp;" · ","")&amp;IF(OR(AND($J126&lt;&gt;"",$J126&lt;$I126),AND($K126&lt;&gt;"",$K126&lt;MAX($I126:$J126)),AND($L126&lt;&gt;"",$L126&lt;MAX($I126:$K126))),"Avance semanal decreciente"&amp;" · ","")&amp;IF(AND(ISNUMBER($AN126),$AN126&lt;FechaRef,IF($V126="Sub",N($X126),N($M126))&lt;1),"Vencida"&amp;" · ","")&amp;IF(AND(ObsObligatoria="Sí",ISNUMBER($AN126),$AN126&lt;FechaRef,IF($V126="Sub",N($X126),N($M126))&lt;1,$Q126=""),"Vencida sin observación"&amp;" · ",""))="","✔ OK","⚠ "&amp;LEFT(IF($C126="","Falta el nombre de la actividad"&amp;" · ","")&amp;IF(AND($V126="Sub",N($U126)=0),"Subactividad sin macroactividad arriba"&amp;" · ","")&amp;IF($AM126="","Sin fecha de inicio"&amp;" · ","")&amp;IF($AN126="","Sin fecha límite"&amp;" · ","")&amp;IF(AND(LEFT($C126,11)="[Jefatura] ",N($AL126)=0),"No se encuentra en la hoja de la jefatura (elíjala de nuevo en la lista)"&amp;" · ","")&amp;IF(OR(AND($E126&lt;&gt;"",NOT(ISNUMBER($E126))),AND($F126&lt;&gt;"",NOT(ISNUMBER($F126))),AND($G126&lt;&gt;"",NOT(ISNUMBER($G126)))),"Fecha no válida"&amp;" · ","")&amp;IF(AND(ISNUMBER($AM126),ISNUMBER($AN126),$AM126&gt;$AN126),"Inicio posterior a fecha límite"&amp;" · ","")&amp;IF(AND($V126="Macro",$H126&lt;&gt;"",OR(NOT(ISNUMBER($H126)),$H126&lt;0,$H126&gt;1)),"Peso fuera de rango"&amp;" · ","")&amp;IF(AND($V126="Sub",$H126&lt;&gt;""),"Las subactividades no llevan peso (valen igual dentro de su macroactividad)"&amp;" · ","")&amp;IF(AND(N($W126)&gt;0,COUNT($I126:$L126)&gt;0),"Con subactividades: deje vacías las semanas (se calculan solas)"&amp;" · ","")&amp;IF((COUNTIF($I126:$L126,"&gt;1")+COUNTIF($I126:$L126,"&lt;0")+COUNTA($I126:$L126)-COUNT($I126:$L126))&gt;0,"Avance fuera de rango 0-100%"&amp;" · ","")&amp;IF(OR(AND($J126&lt;&gt;"",$J126&lt;$I126),AND($K126&lt;&gt;"",$K126&lt;MAX($I126:$J126)),AND($L126&lt;&gt;"",$L126&lt;MAX($I126:$K126))),"Avance semanal decreciente"&amp;" · ","")&amp;IF(AND(ISNUMBER($AN126),$AN126&lt;FechaRef,IF($V126="Sub",N($X126),N($M126))&lt;1),"Vencida"&amp;" · ","")&amp;IF(AND(ObsObligatoria="Sí",ISNUMBER($AN126),$AN126&lt;FechaRef,IF($V126="Sub",N($X126),N($M126))&lt;1,$Q126=""),"Vencida sin observación"&amp;" · ",""),LEN(IF($C126="","Falta el nombre de la actividad"&amp;" · ","")&amp;IF(AND($V126="Sub",N($U126)=0),"Subactividad sin macroactividad arriba"&amp;" · ","")&amp;IF($AM126="","Sin fecha de inicio"&amp;" · ","")&amp;IF($AN126="","Sin fecha límite"&amp;" · ","")&amp;IF(AND(LEFT($C126,11)="[Jefatura] ",N($AL126)=0),"No se encuentra en la hoja de la jefatura (elíjala de nuevo en la lista)"&amp;" · ","")&amp;IF(OR(AND($E126&lt;&gt;"",NOT(ISNUMBER($E126))),AND($F126&lt;&gt;"",NOT(ISNUMBER($F126))),AND($G126&lt;&gt;"",NOT(ISNUMBER($G126)))),"Fecha no válida"&amp;" · ","")&amp;IF(AND(ISNUMBER($AM126),ISNUMBER($AN126),$AM126&gt;$AN126),"Inicio posterior a fecha límite"&amp;" · ","")&amp;IF(AND($V126="Macro",$H126&lt;&gt;"",OR(NOT(ISNUMBER($H126)),$H126&lt;0,$H126&gt;1)),"Peso fuera de rango"&amp;" · ","")&amp;IF(AND($V126="Sub",$H126&lt;&gt;""),"Las subactividades no llevan peso (valen igual dentro de su macroactividad)"&amp;" · ","")&amp;IF(AND(N($W126)&gt;0,COUNT($I126:$L126)&gt;0),"Con subactividades: deje vacías las semanas (se calculan solas)"&amp;" · ","")&amp;IF((COUNTIF($I126:$L126,"&gt;1")+COUNTIF($I126:$L126,"&lt;0")+COUNTA($I126:$L126)-COUNT($I126:$L126))&gt;0,"Avance fuera de rango 0-100%"&amp;" · ","")&amp;IF(OR(AND($J126&lt;&gt;"",$J126&lt;$I126),AND($K126&lt;&gt;"",$K126&lt;MAX($I126:$J126)),AND($L126&lt;&gt;"",$L126&lt;MAX($I126:$K126))),"Avance semanal decreciente"&amp;" · ","")&amp;IF(AND(ISNUMBER($AN126),$AN126&lt;FechaRef,IF($V126="Sub",N($X126),N($M126))&lt;1),"Vencida"&amp;" · ","")&amp;IF(AND(ObsObligatoria="Sí",ISNUMBER($AN126),$AN126&lt;FechaRef,IF($V126="Sub",N($X126),N($M126))&lt;1,$Q126=""),"Vencida sin observación"&amp;" · ",""))-3)))</f>
        <v/>
      </c>
      <c r="S126" s="64">
        <f>IF(NOT((COUNTA($B126:$D126)+COUNTA($G126:$L126)+COUNTA($Q126))&gt;0),"",IF(AND($V126="Sub",N($U126)&gt;0),IF(ISNUMBER(INDEX($AM$5:$AM$1000,$U126-4)),DATE(YEAR(INDEX($AM$5:$AM$1000,$U126-4)),MONTH(INDEX($AM$5:$AM$1000,$U126-4)),1),IF(ISNUMBER(INDEX($AN$5:$AN$1000,$U126-4)),DATE(YEAR(INDEX($AN$5:$AN$1000,$U126-4)),MONTH(INDEX($AN$5:$AN$1000,$U126-4)),1),MesCiclo)),IF(ISNUMBER($AM126),DATE(YEAR($AM126),MONTH($AM126),1),IF(ISNUMBER($AN126),DATE(YEAR($AN126),MONTH($AN126),1),MesCiclo))))</f>
        <v/>
      </c>
      <c r="T126" s="62">
        <f>IF(OR($S126="",$S126&lt;&gt;MesCiclo,$V126&lt;&gt;"Macro"),"",COUNTIFS($S$5:$S126,MesCiclo,$V$5:$V126,"Macro"))</f>
        <v/>
      </c>
      <c r="U126" s="62">
        <f>IF($V126="","",IF($V126="Macro",ROW(),IFERROR(LOOKUP(2,1/($V$5:$V126="Macro"),ROW($V$5:$V126)),0)))</f>
        <v/>
      </c>
      <c r="V126" s="62">
        <f>IF(NOT((COUNTA($B126:$D126)+COUNTA($G126:$L126)+COUNTA($Q126))&gt;0),"",IF($B126="Subactividad","Sub","Macro"))</f>
        <v/>
      </c>
      <c r="W126" s="62">
        <f>IF($V126="Macro",COUNTIFS($U$5:$U$1000,ROW(),$V$5:$V$1000,"Sub"),"")</f>
        <v/>
      </c>
      <c r="X126" s="62">
        <f>IF($V126="","",IF(ISNUMBER($G126),1,IFERROR(LOOKUP(2,1/($I126:$L126&lt;&gt;""),$I126:$L126),0)))</f>
        <v/>
      </c>
      <c r="Y126" s="62">
        <f>IF($V126="","",IF(AND(ISNUMBER($G126),$G126&lt;=IF($S126=MesCiclo,InicioCiclo,$S126+MOD(2-WEEKDAY($S126),7))+6),1,IF(ISNUMBER($I126),$I126,0)))</f>
        <v/>
      </c>
      <c r="Z126" s="62">
        <f>IF($V126="","",IF(AND(ISNUMBER($G126),$G126&lt;=IF($S126=MesCiclo,InicioCiclo,$S126+MOD(2-WEEKDAY($S126),7))+13),1,IF(ISNUMBER($J126),$J126,$Y126)))</f>
        <v/>
      </c>
      <c r="AA126" s="62">
        <f>IF($V126="","",IF(AND(ISNUMBER($G126),$G126&lt;=IF($S126=MesCiclo,InicioCiclo,$S126+MOD(2-WEEKDAY($S126),7))+20),1,IF(ISNUMBER($K126),$K126,$Z126)))</f>
        <v/>
      </c>
      <c r="AB126" s="62">
        <f>IF($V126="","",IF(AND(ISNUMBER($G126),$G126&lt;=IF($S126=MesCiclo,InicioCiclo,$S126+MOD(2-WEEKDAY($S126),7))+27),1,IF(ISNUMBER($L126),$L126,$AA126)))</f>
        <v/>
      </c>
      <c r="AC126" s="62">
        <f>IF($V126="","",IF(AND(ISNUMBER($G126),$G126&lt;=IF($S126=MesCiclo,InicioCiclo,$S126+MOD(2-WEEKDAY($S126),7))+6),1,IF(N($W126)&gt;0,AVERAGEIFS($Y$5:$Y$1000,$U$5:$U$1000,ROW(),$V$5:$V$1000,"Sub"),$Y126)))</f>
        <v/>
      </c>
      <c r="AD126" s="62">
        <f>IF($V126="","",IF(AND(ISNUMBER($G126),$G126&lt;=IF($S126=MesCiclo,InicioCiclo,$S126+MOD(2-WEEKDAY($S126),7))+13),1,IF(N($W126)&gt;0,AVERAGEIFS($Z$5:$Z$1000,$U$5:$U$1000,ROW(),$V$5:$V$1000,"Sub"),$Z126)))</f>
        <v/>
      </c>
      <c r="AE126" s="62">
        <f>IF($V126="","",IF(AND(ISNUMBER($G126),$G126&lt;=IF($S126=MesCiclo,InicioCiclo,$S126+MOD(2-WEEKDAY($S126),7))+20),1,IF(N($W126)&gt;0,AVERAGEIFS($AA$5:$AA$1000,$U$5:$U$1000,ROW(),$V$5:$V$1000,"Sub"),$AA126)))</f>
        <v/>
      </c>
      <c r="AF126" s="62">
        <f>IF($V126="","",IF(AND(ISNUMBER($G126),$G126&lt;=IF($S126=MesCiclo,InicioCiclo,$S126+MOD(2-WEEKDAY($S126),7))+27),1,IF(N($W126)&gt;0,AVERAGEIFS($AB$5:$AB$1000,$U$5:$U$1000,ROW(),$V$5:$V$1000,"Sub"),$AB126)))</f>
        <v/>
      </c>
      <c r="AG126" s="62">
        <f>IF($V126&lt;&gt;"Macro","",IF(COUNTIFS($S$5:$S$1000,$S126,$V$5:$V$1000,"Macro",$H$5:$H$1000,"&gt;0")=0,1/COUNTIFS($S$5:$S$1000,$S126,$V$5:$V$1000,"Macro"),IF(AND(ISNUMBER($H126),N($H126)&gt;0),$H126,SUMIFS($H$5:$H$1000,$S$5:$S$1000,$S126,$V$5:$V$1000,"Macro")/COUNTIFS($S$5:$S$1000,$S126,$V$5:$V$1000,"Macro",$H$5:$H$1000,"&gt;0"))/(COUNTIFS($S$5:$S$1000,$S126,$V$5:$V$1000,"Macro")*SUMIFS($H$5:$H$1000,$S$5:$S$1000,$S126,$V$5:$V$1000,"Macro")/COUNTIFS($S$5:$S$1000,$S126,$V$5:$V$1000,"Macro",$H$5:$H$1000,"&gt;0"))))</f>
        <v/>
      </c>
      <c r="AH126" s="62" t="n"/>
      <c r="AI126" s="62" t="n"/>
      <c r="AJ126" s="62" t="n"/>
      <c r="AK126" s="62" t="n"/>
      <c r="AL126" s="62">
        <f>IF(LEFT($C126,11)="[Jefatura] ",IFERROR(MATCH("Riesgo Financiero|"&amp;MID($C126,12,500),rDname_ADM,0),0),"")</f>
        <v/>
      </c>
      <c r="AM126" s="62">
        <f>IF(N($AL126)&gt;0,INDEX(rIni_ADM,$AL126),IF(ISNUMBER($E126),$E126,""))</f>
        <v/>
      </c>
      <c r="AN126" s="62">
        <f>IF(N($AL126)&gt;0,INDEX(rLim_ADM,$AL126),IF(ISNUMBER($F126),$F126,""))</f>
        <v/>
      </c>
    </row>
    <row r="127">
      <c r="A127" s="56">
        <f>IF(NOT((COUNTA($B127:$D127)+COUNTA($G127:$L127)+COUNTA($Q127))&gt;0),"",IF($V127="Macro",COUNTIFS($V$5:$V127,"Macro",$S$5:$S127,$S127),IF(N($U127)=0,"?",COUNTIFS(INDEX($V$5:$V$1000,1):INDEX($V$5:$V$1000,$U127-4),"Macro",INDEX($S$5:$S$1000,1):INDEX($S$5:$S$1000,$U127-4),INDEX($S$5:$S$1000,$U127-4))&amp;"."&amp;COUNTIFS($U$5:$U127,$U127,$V$5:$V127,"Sub"))))</f>
        <v/>
      </c>
      <c r="B127" s="57" t="n"/>
      <c r="C127" s="58" t="n"/>
      <c r="D127" s="58" t="n"/>
      <c r="E127" s="59">
        <f>IF(N($AL127)&gt;0,INDEX(rIni_ADM,$AL127),"")</f>
        <v/>
      </c>
      <c r="F127" s="59">
        <f>IF(N($AL127)&gt;0,INDEX(rLim_ADM,$AL127),"")</f>
        <v/>
      </c>
      <c r="G127" s="59" t="n"/>
      <c r="H127" s="60" t="n"/>
      <c r="I127" s="60" t="n"/>
      <c r="J127" s="60" t="n"/>
      <c r="K127" s="60" t="n"/>
      <c r="L127" s="60" t="n"/>
      <c r="M127" s="61">
        <f>IF(NOT((COUNTA($B127:$D127)+COUNTA($G127:$L127)+COUNTA($Q127))&gt;0),"",IF($V127="Sub",IFERROR($X127/INDEX($W$5:$W$1000,$U127-4),""),IF(ISNUMBER($G127),1,IF(N($W127)&gt;0,AVERAGEIFS($X$5:$X$1000,$U$5:$U$1000,ROW(),$V$5:$V$1000,"Sub"),$X127))))</f>
        <v/>
      </c>
      <c r="N127" s="56">
        <f>IF(OR($M127="",$V127="Sub"),"",IF($M127&gt;=1,"Completado",IF($M127&gt;0,"En curso","Pendiente")))</f>
        <v/>
      </c>
      <c r="O127" s="56">
        <f>IF(OR(NOT((COUNTA($B127:$D127)+COUNTA($G127:$L127)+COUNTA($Q127))&gt;0),$V127="Sub"),"",IF(ISNUMBER($G127),IF(AND(ISNUMBER($AN127),$G127&gt;$AN127),"Cumplida con "&amp;($G127-$AN127)&amp;IF($G127-$AN127=1," día"," días")&amp;" de retraso","Cumplida"),IF(N($M127)&gt;=1,"Cumplida",IF(NOT(ISNUMBER($AN127)),"Sin fecha límite",IF($AN127&lt;FechaRef,"Vencida hace "&amp;(FechaRef-$AN127)&amp;IF(FechaRef-$AN127=1," día"," días"),IF($AN127=FechaRef,"Vence hoy",IF($AN127-FechaRef&lt;=DiasAlerta,"Vence en "&amp;($AN127-FechaRef)&amp;IF($AN127-FechaRef=1," día"," días"),"En plazo")))))))</f>
        <v/>
      </c>
      <c r="P127" s="62" t="n"/>
      <c r="Q127" s="58" t="n"/>
      <c r="R127" s="63">
        <f>IF(NOT((COUNTA($B127:$D127)+COUNTA($G127:$L127)+COUNTA($Q127))&gt;0),"",IF((IF($C127="","Falta el nombre de la actividad"&amp;" · ","")&amp;IF(AND($V127="Sub",N($U127)=0),"Subactividad sin macroactividad arriba"&amp;" · ","")&amp;IF($AM127="","Sin fecha de inicio"&amp;" · ","")&amp;IF($AN127="","Sin fecha límite"&amp;" · ","")&amp;IF(AND(LEFT($C127,11)="[Jefatura] ",N($AL127)=0),"No se encuentra en la hoja de la jefatura (elíjala de nuevo en la lista)"&amp;" · ","")&amp;IF(OR(AND($E127&lt;&gt;"",NOT(ISNUMBER($E127))),AND($F127&lt;&gt;"",NOT(ISNUMBER($F127))),AND($G127&lt;&gt;"",NOT(ISNUMBER($G127)))),"Fecha no válida"&amp;" · ","")&amp;IF(AND(ISNUMBER($AM127),ISNUMBER($AN127),$AM127&gt;$AN127),"Inicio posterior a fecha límite"&amp;" · ","")&amp;IF(AND($V127="Macro",$H127&lt;&gt;"",OR(NOT(ISNUMBER($H127)),$H127&lt;0,$H127&gt;1)),"Peso fuera de rango"&amp;" · ","")&amp;IF(AND($V127="Sub",$H127&lt;&gt;""),"Las subactividades no llevan peso (valen igual dentro de su macroactividad)"&amp;" · ","")&amp;IF(AND(N($W127)&gt;0,COUNT($I127:$L127)&gt;0),"Con subactividades: deje vacías las semanas (se calculan solas)"&amp;" · ","")&amp;IF((COUNTIF($I127:$L127,"&gt;1")+COUNTIF($I127:$L127,"&lt;0")+COUNTA($I127:$L127)-COUNT($I127:$L127))&gt;0,"Avance fuera de rango 0-100%"&amp;" · ","")&amp;IF(OR(AND($J127&lt;&gt;"",$J127&lt;$I127),AND($K127&lt;&gt;"",$K127&lt;MAX($I127:$J127)),AND($L127&lt;&gt;"",$L127&lt;MAX($I127:$K127))),"Avance semanal decreciente"&amp;" · ","")&amp;IF(AND(ISNUMBER($AN127),$AN127&lt;FechaRef,IF($V127="Sub",N($X127),N($M127))&lt;1),"Vencida"&amp;" · ","")&amp;IF(AND(ObsObligatoria="Sí",ISNUMBER($AN127),$AN127&lt;FechaRef,IF($V127="Sub",N($X127),N($M127))&lt;1,$Q127=""),"Vencida sin observación"&amp;" · ",""))="","✔ OK","⚠ "&amp;LEFT(IF($C127="","Falta el nombre de la actividad"&amp;" · ","")&amp;IF(AND($V127="Sub",N($U127)=0),"Subactividad sin macroactividad arriba"&amp;" · ","")&amp;IF($AM127="","Sin fecha de inicio"&amp;" · ","")&amp;IF($AN127="","Sin fecha límite"&amp;" · ","")&amp;IF(AND(LEFT($C127,11)="[Jefatura] ",N($AL127)=0),"No se encuentra en la hoja de la jefatura (elíjala de nuevo en la lista)"&amp;" · ","")&amp;IF(OR(AND($E127&lt;&gt;"",NOT(ISNUMBER($E127))),AND($F127&lt;&gt;"",NOT(ISNUMBER($F127))),AND($G127&lt;&gt;"",NOT(ISNUMBER($G127)))),"Fecha no válida"&amp;" · ","")&amp;IF(AND(ISNUMBER($AM127),ISNUMBER($AN127),$AM127&gt;$AN127),"Inicio posterior a fecha límite"&amp;" · ","")&amp;IF(AND($V127="Macro",$H127&lt;&gt;"",OR(NOT(ISNUMBER($H127)),$H127&lt;0,$H127&gt;1)),"Peso fuera de rango"&amp;" · ","")&amp;IF(AND($V127="Sub",$H127&lt;&gt;""),"Las subactividades no llevan peso (valen igual dentro de su macroactividad)"&amp;" · ","")&amp;IF(AND(N($W127)&gt;0,COUNT($I127:$L127)&gt;0),"Con subactividades: deje vacías las semanas (se calculan solas)"&amp;" · ","")&amp;IF((COUNTIF($I127:$L127,"&gt;1")+COUNTIF($I127:$L127,"&lt;0")+COUNTA($I127:$L127)-COUNT($I127:$L127))&gt;0,"Avance fuera de rango 0-100%"&amp;" · ","")&amp;IF(OR(AND($J127&lt;&gt;"",$J127&lt;$I127),AND($K127&lt;&gt;"",$K127&lt;MAX($I127:$J127)),AND($L127&lt;&gt;"",$L127&lt;MAX($I127:$K127))),"Avance semanal decreciente"&amp;" · ","")&amp;IF(AND(ISNUMBER($AN127),$AN127&lt;FechaRef,IF($V127="Sub",N($X127),N($M127))&lt;1),"Vencida"&amp;" · ","")&amp;IF(AND(ObsObligatoria="Sí",ISNUMBER($AN127),$AN127&lt;FechaRef,IF($V127="Sub",N($X127),N($M127))&lt;1,$Q127=""),"Vencida sin observación"&amp;" · ",""),LEN(IF($C127="","Falta el nombre de la actividad"&amp;" · ","")&amp;IF(AND($V127="Sub",N($U127)=0),"Subactividad sin macroactividad arriba"&amp;" · ","")&amp;IF($AM127="","Sin fecha de inicio"&amp;" · ","")&amp;IF($AN127="","Sin fecha límite"&amp;" · ","")&amp;IF(AND(LEFT($C127,11)="[Jefatura] ",N($AL127)=0),"No se encuentra en la hoja de la jefatura (elíjala de nuevo en la lista)"&amp;" · ","")&amp;IF(OR(AND($E127&lt;&gt;"",NOT(ISNUMBER($E127))),AND($F127&lt;&gt;"",NOT(ISNUMBER($F127))),AND($G127&lt;&gt;"",NOT(ISNUMBER($G127)))),"Fecha no válida"&amp;" · ","")&amp;IF(AND(ISNUMBER($AM127),ISNUMBER($AN127),$AM127&gt;$AN127),"Inicio posterior a fecha límite"&amp;" · ","")&amp;IF(AND($V127="Macro",$H127&lt;&gt;"",OR(NOT(ISNUMBER($H127)),$H127&lt;0,$H127&gt;1)),"Peso fuera de rango"&amp;" · ","")&amp;IF(AND($V127="Sub",$H127&lt;&gt;""),"Las subactividades no llevan peso (valen igual dentro de su macroactividad)"&amp;" · ","")&amp;IF(AND(N($W127)&gt;0,COUNT($I127:$L127)&gt;0),"Con subactividades: deje vacías las semanas (se calculan solas)"&amp;" · ","")&amp;IF((COUNTIF($I127:$L127,"&gt;1")+COUNTIF($I127:$L127,"&lt;0")+COUNTA($I127:$L127)-COUNT($I127:$L127))&gt;0,"Avance fuera de rango 0-100%"&amp;" · ","")&amp;IF(OR(AND($J127&lt;&gt;"",$J127&lt;$I127),AND($K127&lt;&gt;"",$K127&lt;MAX($I127:$J127)),AND($L127&lt;&gt;"",$L127&lt;MAX($I127:$K127))),"Avance semanal decreciente"&amp;" · ","")&amp;IF(AND(ISNUMBER($AN127),$AN127&lt;FechaRef,IF($V127="Sub",N($X127),N($M127))&lt;1),"Vencida"&amp;" · ","")&amp;IF(AND(ObsObligatoria="Sí",ISNUMBER($AN127),$AN127&lt;FechaRef,IF($V127="Sub",N($X127),N($M127))&lt;1,$Q127=""),"Vencida sin observación"&amp;" · ",""))-3)))</f>
        <v/>
      </c>
      <c r="S127" s="64">
        <f>IF(NOT((COUNTA($B127:$D127)+COUNTA($G127:$L127)+COUNTA($Q127))&gt;0),"",IF(AND($V127="Sub",N($U127)&gt;0),IF(ISNUMBER(INDEX($AM$5:$AM$1000,$U127-4)),DATE(YEAR(INDEX($AM$5:$AM$1000,$U127-4)),MONTH(INDEX($AM$5:$AM$1000,$U127-4)),1),IF(ISNUMBER(INDEX($AN$5:$AN$1000,$U127-4)),DATE(YEAR(INDEX($AN$5:$AN$1000,$U127-4)),MONTH(INDEX($AN$5:$AN$1000,$U127-4)),1),MesCiclo)),IF(ISNUMBER($AM127),DATE(YEAR($AM127),MONTH($AM127),1),IF(ISNUMBER($AN127),DATE(YEAR($AN127),MONTH($AN127),1),MesCiclo))))</f>
        <v/>
      </c>
      <c r="T127" s="62">
        <f>IF(OR($S127="",$S127&lt;&gt;MesCiclo,$V127&lt;&gt;"Macro"),"",COUNTIFS($S$5:$S127,MesCiclo,$V$5:$V127,"Macro"))</f>
        <v/>
      </c>
      <c r="U127" s="62">
        <f>IF($V127="","",IF($V127="Macro",ROW(),IFERROR(LOOKUP(2,1/($V$5:$V127="Macro"),ROW($V$5:$V127)),0)))</f>
        <v/>
      </c>
      <c r="V127" s="62">
        <f>IF(NOT((COUNTA($B127:$D127)+COUNTA($G127:$L127)+COUNTA($Q127))&gt;0),"",IF($B127="Subactividad","Sub","Macro"))</f>
        <v/>
      </c>
      <c r="W127" s="62">
        <f>IF($V127="Macro",COUNTIFS($U$5:$U$1000,ROW(),$V$5:$V$1000,"Sub"),"")</f>
        <v/>
      </c>
      <c r="X127" s="62">
        <f>IF($V127="","",IF(ISNUMBER($G127),1,IFERROR(LOOKUP(2,1/($I127:$L127&lt;&gt;""),$I127:$L127),0)))</f>
        <v/>
      </c>
      <c r="Y127" s="62">
        <f>IF($V127="","",IF(AND(ISNUMBER($G127),$G127&lt;=IF($S127=MesCiclo,InicioCiclo,$S127+MOD(2-WEEKDAY($S127),7))+6),1,IF(ISNUMBER($I127),$I127,0)))</f>
        <v/>
      </c>
      <c r="Z127" s="62">
        <f>IF($V127="","",IF(AND(ISNUMBER($G127),$G127&lt;=IF($S127=MesCiclo,InicioCiclo,$S127+MOD(2-WEEKDAY($S127),7))+13),1,IF(ISNUMBER($J127),$J127,$Y127)))</f>
        <v/>
      </c>
      <c r="AA127" s="62">
        <f>IF($V127="","",IF(AND(ISNUMBER($G127),$G127&lt;=IF($S127=MesCiclo,InicioCiclo,$S127+MOD(2-WEEKDAY($S127),7))+20),1,IF(ISNUMBER($K127),$K127,$Z127)))</f>
        <v/>
      </c>
      <c r="AB127" s="62">
        <f>IF($V127="","",IF(AND(ISNUMBER($G127),$G127&lt;=IF($S127=MesCiclo,InicioCiclo,$S127+MOD(2-WEEKDAY($S127),7))+27),1,IF(ISNUMBER($L127),$L127,$AA127)))</f>
        <v/>
      </c>
      <c r="AC127" s="62">
        <f>IF($V127="","",IF(AND(ISNUMBER($G127),$G127&lt;=IF($S127=MesCiclo,InicioCiclo,$S127+MOD(2-WEEKDAY($S127),7))+6),1,IF(N($W127)&gt;0,AVERAGEIFS($Y$5:$Y$1000,$U$5:$U$1000,ROW(),$V$5:$V$1000,"Sub"),$Y127)))</f>
        <v/>
      </c>
      <c r="AD127" s="62">
        <f>IF($V127="","",IF(AND(ISNUMBER($G127),$G127&lt;=IF($S127=MesCiclo,InicioCiclo,$S127+MOD(2-WEEKDAY($S127),7))+13),1,IF(N($W127)&gt;0,AVERAGEIFS($Z$5:$Z$1000,$U$5:$U$1000,ROW(),$V$5:$V$1000,"Sub"),$Z127)))</f>
        <v/>
      </c>
      <c r="AE127" s="62">
        <f>IF($V127="","",IF(AND(ISNUMBER($G127),$G127&lt;=IF($S127=MesCiclo,InicioCiclo,$S127+MOD(2-WEEKDAY($S127),7))+20),1,IF(N($W127)&gt;0,AVERAGEIFS($AA$5:$AA$1000,$U$5:$U$1000,ROW(),$V$5:$V$1000,"Sub"),$AA127)))</f>
        <v/>
      </c>
      <c r="AF127" s="62">
        <f>IF($V127="","",IF(AND(ISNUMBER($G127),$G127&lt;=IF($S127=MesCiclo,InicioCiclo,$S127+MOD(2-WEEKDAY($S127),7))+27),1,IF(N($W127)&gt;0,AVERAGEIFS($AB$5:$AB$1000,$U$5:$U$1000,ROW(),$V$5:$V$1000,"Sub"),$AB127)))</f>
        <v/>
      </c>
      <c r="AG127" s="62">
        <f>IF($V127&lt;&gt;"Macro","",IF(COUNTIFS($S$5:$S$1000,$S127,$V$5:$V$1000,"Macro",$H$5:$H$1000,"&gt;0")=0,1/COUNTIFS($S$5:$S$1000,$S127,$V$5:$V$1000,"Macro"),IF(AND(ISNUMBER($H127),N($H127)&gt;0),$H127,SUMIFS($H$5:$H$1000,$S$5:$S$1000,$S127,$V$5:$V$1000,"Macro")/COUNTIFS($S$5:$S$1000,$S127,$V$5:$V$1000,"Macro",$H$5:$H$1000,"&gt;0"))/(COUNTIFS($S$5:$S$1000,$S127,$V$5:$V$1000,"Macro")*SUMIFS($H$5:$H$1000,$S$5:$S$1000,$S127,$V$5:$V$1000,"Macro")/COUNTIFS($S$5:$S$1000,$S127,$V$5:$V$1000,"Macro",$H$5:$H$1000,"&gt;0"))))</f>
        <v/>
      </c>
      <c r="AH127" s="62" t="n"/>
      <c r="AI127" s="62" t="n"/>
      <c r="AJ127" s="62" t="n"/>
      <c r="AK127" s="62" t="n"/>
      <c r="AL127" s="62">
        <f>IF(LEFT($C127,11)="[Jefatura] ",IFERROR(MATCH("Riesgo Financiero|"&amp;MID($C127,12,500),rDname_ADM,0),0),"")</f>
        <v/>
      </c>
      <c r="AM127" s="62">
        <f>IF(N($AL127)&gt;0,INDEX(rIni_ADM,$AL127),IF(ISNUMBER($E127),$E127,""))</f>
        <v/>
      </c>
      <c r="AN127" s="62">
        <f>IF(N($AL127)&gt;0,INDEX(rLim_ADM,$AL127),IF(ISNUMBER($F127),$F127,""))</f>
        <v/>
      </c>
    </row>
    <row r="128">
      <c r="A128" s="56">
        <f>IF(NOT((COUNTA($B128:$D128)+COUNTA($G128:$L128)+COUNTA($Q128))&gt;0),"",IF($V128="Macro",COUNTIFS($V$5:$V128,"Macro",$S$5:$S128,$S128),IF(N($U128)=0,"?",COUNTIFS(INDEX($V$5:$V$1000,1):INDEX($V$5:$V$1000,$U128-4),"Macro",INDEX($S$5:$S$1000,1):INDEX($S$5:$S$1000,$U128-4),INDEX($S$5:$S$1000,$U128-4))&amp;"."&amp;COUNTIFS($U$5:$U128,$U128,$V$5:$V128,"Sub"))))</f>
        <v/>
      </c>
      <c r="B128" s="57" t="n"/>
      <c r="C128" s="58" t="n"/>
      <c r="D128" s="58" t="n"/>
      <c r="E128" s="59">
        <f>IF(N($AL128)&gt;0,INDEX(rIni_ADM,$AL128),"")</f>
        <v/>
      </c>
      <c r="F128" s="59">
        <f>IF(N($AL128)&gt;0,INDEX(rLim_ADM,$AL128),"")</f>
        <v/>
      </c>
      <c r="G128" s="59" t="n"/>
      <c r="H128" s="60" t="n"/>
      <c r="I128" s="60" t="n"/>
      <c r="J128" s="60" t="n"/>
      <c r="K128" s="60" t="n"/>
      <c r="L128" s="60" t="n"/>
      <c r="M128" s="61">
        <f>IF(NOT((COUNTA($B128:$D128)+COUNTA($G128:$L128)+COUNTA($Q128))&gt;0),"",IF($V128="Sub",IFERROR($X128/INDEX($W$5:$W$1000,$U128-4),""),IF(ISNUMBER($G128),1,IF(N($W128)&gt;0,AVERAGEIFS($X$5:$X$1000,$U$5:$U$1000,ROW(),$V$5:$V$1000,"Sub"),$X128))))</f>
        <v/>
      </c>
      <c r="N128" s="56">
        <f>IF(OR($M128="",$V128="Sub"),"",IF($M128&gt;=1,"Completado",IF($M128&gt;0,"En curso","Pendiente")))</f>
        <v/>
      </c>
      <c r="O128" s="56">
        <f>IF(OR(NOT((COUNTA($B128:$D128)+COUNTA($G128:$L128)+COUNTA($Q128))&gt;0),$V128="Sub"),"",IF(ISNUMBER($G128),IF(AND(ISNUMBER($AN128),$G128&gt;$AN128),"Cumplida con "&amp;($G128-$AN128)&amp;IF($G128-$AN128=1," día"," días")&amp;" de retraso","Cumplida"),IF(N($M128)&gt;=1,"Cumplida",IF(NOT(ISNUMBER($AN128)),"Sin fecha límite",IF($AN128&lt;FechaRef,"Vencida hace "&amp;(FechaRef-$AN128)&amp;IF(FechaRef-$AN128=1," día"," días"),IF($AN128=FechaRef,"Vence hoy",IF($AN128-FechaRef&lt;=DiasAlerta,"Vence en "&amp;($AN128-FechaRef)&amp;IF($AN128-FechaRef=1," día"," días"),"En plazo")))))))</f>
        <v/>
      </c>
      <c r="P128" s="62" t="n"/>
      <c r="Q128" s="58" t="n"/>
      <c r="R128" s="63">
        <f>IF(NOT((COUNTA($B128:$D128)+COUNTA($G128:$L128)+COUNTA($Q128))&gt;0),"",IF((IF($C128="","Falta el nombre de la actividad"&amp;" · ","")&amp;IF(AND($V128="Sub",N($U128)=0),"Subactividad sin macroactividad arriba"&amp;" · ","")&amp;IF($AM128="","Sin fecha de inicio"&amp;" · ","")&amp;IF($AN128="","Sin fecha límite"&amp;" · ","")&amp;IF(AND(LEFT($C128,11)="[Jefatura] ",N($AL128)=0),"No se encuentra en la hoja de la jefatura (elíjala de nuevo en la lista)"&amp;" · ","")&amp;IF(OR(AND($E128&lt;&gt;"",NOT(ISNUMBER($E128))),AND($F128&lt;&gt;"",NOT(ISNUMBER($F128))),AND($G128&lt;&gt;"",NOT(ISNUMBER($G128)))),"Fecha no válida"&amp;" · ","")&amp;IF(AND(ISNUMBER($AM128),ISNUMBER($AN128),$AM128&gt;$AN128),"Inicio posterior a fecha límite"&amp;" · ","")&amp;IF(AND($V128="Macro",$H128&lt;&gt;"",OR(NOT(ISNUMBER($H128)),$H128&lt;0,$H128&gt;1)),"Peso fuera de rango"&amp;" · ","")&amp;IF(AND($V128="Sub",$H128&lt;&gt;""),"Las subactividades no llevan peso (valen igual dentro de su macroactividad)"&amp;" · ","")&amp;IF(AND(N($W128)&gt;0,COUNT($I128:$L128)&gt;0),"Con subactividades: deje vacías las semanas (se calculan solas)"&amp;" · ","")&amp;IF((COUNTIF($I128:$L128,"&gt;1")+COUNTIF($I128:$L128,"&lt;0")+COUNTA($I128:$L128)-COUNT($I128:$L128))&gt;0,"Avance fuera de rango 0-100%"&amp;" · ","")&amp;IF(OR(AND($J128&lt;&gt;"",$J128&lt;$I128),AND($K128&lt;&gt;"",$K128&lt;MAX($I128:$J128)),AND($L128&lt;&gt;"",$L128&lt;MAX($I128:$K128))),"Avance semanal decreciente"&amp;" · ","")&amp;IF(AND(ISNUMBER($AN128),$AN128&lt;FechaRef,IF($V128="Sub",N($X128),N($M128))&lt;1),"Vencida"&amp;" · ","")&amp;IF(AND(ObsObligatoria="Sí",ISNUMBER($AN128),$AN128&lt;FechaRef,IF($V128="Sub",N($X128),N($M128))&lt;1,$Q128=""),"Vencida sin observación"&amp;" · ",""))="","✔ OK","⚠ "&amp;LEFT(IF($C128="","Falta el nombre de la actividad"&amp;" · ","")&amp;IF(AND($V128="Sub",N($U128)=0),"Subactividad sin macroactividad arriba"&amp;" · ","")&amp;IF($AM128="","Sin fecha de inicio"&amp;" · ","")&amp;IF($AN128="","Sin fecha límite"&amp;" · ","")&amp;IF(AND(LEFT($C128,11)="[Jefatura] ",N($AL128)=0),"No se encuentra en la hoja de la jefatura (elíjala de nuevo en la lista)"&amp;" · ","")&amp;IF(OR(AND($E128&lt;&gt;"",NOT(ISNUMBER($E128))),AND($F128&lt;&gt;"",NOT(ISNUMBER($F128))),AND($G128&lt;&gt;"",NOT(ISNUMBER($G128)))),"Fecha no válida"&amp;" · ","")&amp;IF(AND(ISNUMBER($AM128),ISNUMBER($AN128),$AM128&gt;$AN128),"Inicio posterior a fecha límite"&amp;" · ","")&amp;IF(AND($V128="Macro",$H128&lt;&gt;"",OR(NOT(ISNUMBER($H128)),$H128&lt;0,$H128&gt;1)),"Peso fuera de rango"&amp;" · ","")&amp;IF(AND($V128="Sub",$H128&lt;&gt;""),"Las subactividades no llevan peso (valen igual dentro de su macroactividad)"&amp;" · ","")&amp;IF(AND(N($W128)&gt;0,COUNT($I128:$L128)&gt;0),"Con subactividades: deje vacías las semanas (se calculan solas)"&amp;" · ","")&amp;IF((COUNTIF($I128:$L128,"&gt;1")+COUNTIF($I128:$L128,"&lt;0")+COUNTA($I128:$L128)-COUNT($I128:$L128))&gt;0,"Avance fuera de rango 0-100%"&amp;" · ","")&amp;IF(OR(AND($J128&lt;&gt;"",$J128&lt;$I128),AND($K128&lt;&gt;"",$K128&lt;MAX($I128:$J128)),AND($L128&lt;&gt;"",$L128&lt;MAX($I128:$K128))),"Avance semanal decreciente"&amp;" · ","")&amp;IF(AND(ISNUMBER($AN128),$AN128&lt;FechaRef,IF($V128="Sub",N($X128),N($M128))&lt;1),"Vencida"&amp;" · ","")&amp;IF(AND(ObsObligatoria="Sí",ISNUMBER($AN128),$AN128&lt;FechaRef,IF($V128="Sub",N($X128),N($M128))&lt;1,$Q128=""),"Vencida sin observación"&amp;" · ",""),LEN(IF($C128="","Falta el nombre de la actividad"&amp;" · ","")&amp;IF(AND($V128="Sub",N($U128)=0),"Subactividad sin macroactividad arriba"&amp;" · ","")&amp;IF($AM128="","Sin fecha de inicio"&amp;" · ","")&amp;IF($AN128="","Sin fecha límite"&amp;" · ","")&amp;IF(AND(LEFT($C128,11)="[Jefatura] ",N($AL128)=0),"No se encuentra en la hoja de la jefatura (elíjala de nuevo en la lista)"&amp;" · ","")&amp;IF(OR(AND($E128&lt;&gt;"",NOT(ISNUMBER($E128))),AND($F128&lt;&gt;"",NOT(ISNUMBER($F128))),AND($G128&lt;&gt;"",NOT(ISNUMBER($G128)))),"Fecha no válida"&amp;" · ","")&amp;IF(AND(ISNUMBER($AM128),ISNUMBER($AN128),$AM128&gt;$AN128),"Inicio posterior a fecha límite"&amp;" · ","")&amp;IF(AND($V128="Macro",$H128&lt;&gt;"",OR(NOT(ISNUMBER($H128)),$H128&lt;0,$H128&gt;1)),"Peso fuera de rango"&amp;" · ","")&amp;IF(AND($V128="Sub",$H128&lt;&gt;""),"Las subactividades no llevan peso (valen igual dentro de su macroactividad)"&amp;" · ","")&amp;IF(AND(N($W128)&gt;0,COUNT($I128:$L128)&gt;0),"Con subactividades: deje vacías las semanas (se calculan solas)"&amp;" · ","")&amp;IF((COUNTIF($I128:$L128,"&gt;1")+COUNTIF($I128:$L128,"&lt;0")+COUNTA($I128:$L128)-COUNT($I128:$L128))&gt;0,"Avance fuera de rango 0-100%"&amp;" · ","")&amp;IF(OR(AND($J128&lt;&gt;"",$J128&lt;$I128),AND($K128&lt;&gt;"",$K128&lt;MAX($I128:$J128)),AND($L128&lt;&gt;"",$L128&lt;MAX($I128:$K128))),"Avance semanal decreciente"&amp;" · ","")&amp;IF(AND(ISNUMBER($AN128),$AN128&lt;FechaRef,IF($V128="Sub",N($X128),N($M128))&lt;1),"Vencida"&amp;" · ","")&amp;IF(AND(ObsObligatoria="Sí",ISNUMBER($AN128),$AN128&lt;FechaRef,IF($V128="Sub",N($X128),N($M128))&lt;1,$Q128=""),"Vencida sin observación"&amp;" · ",""))-3)))</f>
        <v/>
      </c>
      <c r="S128" s="64">
        <f>IF(NOT((COUNTA($B128:$D128)+COUNTA($G128:$L128)+COUNTA($Q128))&gt;0),"",IF(AND($V128="Sub",N($U128)&gt;0),IF(ISNUMBER(INDEX($AM$5:$AM$1000,$U128-4)),DATE(YEAR(INDEX($AM$5:$AM$1000,$U128-4)),MONTH(INDEX($AM$5:$AM$1000,$U128-4)),1),IF(ISNUMBER(INDEX($AN$5:$AN$1000,$U128-4)),DATE(YEAR(INDEX($AN$5:$AN$1000,$U128-4)),MONTH(INDEX($AN$5:$AN$1000,$U128-4)),1),MesCiclo)),IF(ISNUMBER($AM128),DATE(YEAR($AM128),MONTH($AM128),1),IF(ISNUMBER($AN128),DATE(YEAR($AN128),MONTH($AN128),1),MesCiclo))))</f>
        <v/>
      </c>
      <c r="T128" s="62">
        <f>IF(OR($S128="",$S128&lt;&gt;MesCiclo,$V128&lt;&gt;"Macro"),"",COUNTIFS($S$5:$S128,MesCiclo,$V$5:$V128,"Macro"))</f>
        <v/>
      </c>
      <c r="U128" s="62">
        <f>IF($V128="","",IF($V128="Macro",ROW(),IFERROR(LOOKUP(2,1/($V$5:$V128="Macro"),ROW($V$5:$V128)),0)))</f>
        <v/>
      </c>
      <c r="V128" s="62">
        <f>IF(NOT((COUNTA($B128:$D128)+COUNTA($G128:$L128)+COUNTA($Q128))&gt;0),"",IF($B128="Subactividad","Sub","Macro"))</f>
        <v/>
      </c>
      <c r="W128" s="62">
        <f>IF($V128="Macro",COUNTIFS($U$5:$U$1000,ROW(),$V$5:$V$1000,"Sub"),"")</f>
        <v/>
      </c>
      <c r="X128" s="62">
        <f>IF($V128="","",IF(ISNUMBER($G128),1,IFERROR(LOOKUP(2,1/($I128:$L128&lt;&gt;""),$I128:$L128),0)))</f>
        <v/>
      </c>
      <c r="Y128" s="62">
        <f>IF($V128="","",IF(AND(ISNUMBER($G128),$G128&lt;=IF($S128=MesCiclo,InicioCiclo,$S128+MOD(2-WEEKDAY($S128),7))+6),1,IF(ISNUMBER($I128),$I128,0)))</f>
        <v/>
      </c>
      <c r="Z128" s="62">
        <f>IF($V128="","",IF(AND(ISNUMBER($G128),$G128&lt;=IF($S128=MesCiclo,InicioCiclo,$S128+MOD(2-WEEKDAY($S128),7))+13),1,IF(ISNUMBER($J128),$J128,$Y128)))</f>
        <v/>
      </c>
      <c r="AA128" s="62">
        <f>IF($V128="","",IF(AND(ISNUMBER($G128),$G128&lt;=IF($S128=MesCiclo,InicioCiclo,$S128+MOD(2-WEEKDAY($S128),7))+20),1,IF(ISNUMBER($K128),$K128,$Z128)))</f>
        <v/>
      </c>
      <c r="AB128" s="62">
        <f>IF($V128="","",IF(AND(ISNUMBER($G128),$G128&lt;=IF($S128=MesCiclo,InicioCiclo,$S128+MOD(2-WEEKDAY($S128),7))+27),1,IF(ISNUMBER($L128),$L128,$AA128)))</f>
        <v/>
      </c>
      <c r="AC128" s="62">
        <f>IF($V128="","",IF(AND(ISNUMBER($G128),$G128&lt;=IF($S128=MesCiclo,InicioCiclo,$S128+MOD(2-WEEKDAY($S128),7))+6),1,IF(N($W128)&gt;0,AVERAGEIFS($Y$5:$Y$1000,$U$5:$U$1000,ROW(),$V$5:$V$1000,"Sub"),$Y128)))</f>
        <v/>
      </c>
      <c r="AD128" s="62">
        <f>IF($V128="","",IF(AND(ISNUMBER($G128),$G128&lt;=IF($S128=MesCiclo,InicioCiclo,$S128+MOD(2-WEEKDAY($S128),7))+13),1,IF(N($W128)&gt;0,AVERAGEIFS($Z$5:$Z$1000,$U$5:$U$1000,ROW(),$V$5:$V$1000,"Sub"),$Z128)))</f>
        <v/>
      </c>
      <c r="AE128" s="62">
        <f>IF($V128="","",IF(AND(ISNUMBER($G128),$G128&lt;=IF($S128=MesCiclo,InicioCiclo,$S128+MOD(2-WEEKDAY($S128),7))+20),1,IF(N($W128)&gt;0,AVERAGEIFS($AA$5:$AA$1000,$U$5:$U$1000,ROW(),$V$5:$V$1000,"Sub"),$AA128)))</f>
        <v/>
      </c>
      <c r="AF128" s="62">
        <f>IF($V128="","",IF(AND(ISNUMBER($G128),$G128&lt;=IF($S128=MesCiclo,InicioCiclo,$S128+MOD(2-WEEKDAY($S128),7))+27),1,IF(N($W128)&gt;0,AVERAGEIFS($AB$5:$AB$1000,$U$5:$U$1000,ROW(),$V$5:$V$1000,"Sub"),$AB128)))</f>
        <v/>
      </c>
      <c r="AG128" s="62">
        <f>IF($V128&lt;&gt;"Macro","",IF(COUNTIFS($S$5:$S$1000,$S128,$V$5:$V$1000,"Macro",$H$5:$H$1000,"&gt;0")=0,1/COUNTIFS($S$5:$S$1000,$S128,$V$5:$V$1000,"Macro"),IF(AND(ISNUMBER($H128),N($H128)&gt;0),$H128,SUMIFS($H$5:$H$1000,$S$5:$S$1000,$S128,$V$5:$V$1000,"Macro")/COUNTIFS($S$5:$S$1000,$S128,$V$5:$V$1000,"Macro",$H$5:$H$1000,"&gt;0"))/(COUNTIFS($S$5:$S$1000,$S128,$V$5:$V$1000,"Macro")*SUMIFS($H$5:$H$1000,$S$5:$S$1000,$S128,$V$5:$V$1000,"Macro")/COUNTIFS($S$5:$S$1000,$S128,$V$5:$V$1000,"Macro",$H$5:$H$1000,"&gt;0"))))</f>
        <v/>
      </c>
      <c r="AH128" s="62" t="n"/>
      <c r="AI128" s="62" t="n"/>
      <c r="AJ128" s="62" t="n"/>
      <c r="AK128" s="62" t="n"/>
      <c r="AL128" s="62">
        <f>IF(LEFT($C128,11)="[Jefatura] ",IFERROR(MATCH("Riesgo Financiero|"&amp;MID($C128,12,500),rDname_ADM,0),0),"")</f>
        <v/>
      </c>
      <c r="AM128" s="62">
        <f>IF(N($AL128)&gt;0,INDEX(rIni_ADM,$AL128),IF(ISNUMBER($E128),$E128,""))</f>
        <v/>
      </c>
      <c r="AN128" s="62">
        <f>IF(N($AL128)&gt;0,INDEX(rLim_ADM,$AL128),IF(ISNUMBER($F128),$F128,""))</f>
        <v/>
      </c>
    </row>
    <row r="129">
      <c r="A129" s="56">
        <f>IF(NOT((COUNTA($B129:$D129)+COUNTA($G129:$L129)+COUNTA($Q129))&gt;0),"",IF($V129="Macro",COUNTIFS($V$5:$V129,"Macro",$S$5:$S129,$S129),IF(N($U129)=0,"?",COUNTIFS(INDEX($V$5:$V$1000,1):INDEX($V$5:$V$1000,$U129-4),"Macro",INDEX($S$5:$S$1000,1):INDEX($S$5:$S$1000,$U129-4),INDEX($S$5:$S$1000,$U129-4))&amp;"."&amp;COUNTIFS($U$5:$U129,$U129,$V$5:$V129,"Sub"))))</f>
        <v/>
      </c>
      <c r="B129" s="57" t="n"/>
      <c r="C129" s="58" t="n"/>
      <c r="D129" s="58" t="n"/>
      <c r="E129" s="59">
        <f>IF(N($AL129)&gt;0,INDEX(rIni_ADM,$AL129),"")</f>
        <v/>
      </c>
      <c r="F129" s="59">
        <f>IF(N($AL129)&gt;0,INDEX(rLim_ADM,$AL129),"")</f>
        <v/>
      </c>
      <c r="G129" s="59" t="n"/>
      <c r="H129" s="60" t="n"/>
      <c r="I129" s="60" t="n"/>
      <c r="J129" s="60" t="n"/>
      <c r="K129" s="60" t="n"/>
      <c r="L129" s="60" t="n"/>
      <c r="M129" s="61">
        <f>IF(NOT((COUNTA($B129:$D129)+COUNTA($G129:$L129)+COUNTA($Q129))&gt;0),"",IF($V129="Sub",IFERROR($X129/INDEX($W$5:$W$1000,$U129-4),""),IF(ISNUMBER($G129),1,IF(N($W129)&gt;0,AVERAGEIFS($X$5:$X$1000,$U$5:$U$1000,ROW(),$V$5:$V$1000,"Sub"),$X129))))</f>
        <v/>
      </c>
      <c r="N129" s="56">
        <f>IF(OR($M129="",$V129="Sub"),"",IF($M129&gt;=1,"Completado",IF($M129&gt;0,"En curso","Pendiente")))</f>
        <v/>
      </c>
      <c r="O129" s="56">
        <f>IF(OR(NOT((COUNTA($B129:$D129)+COUNTA($G129:$L129)+COUNTA($Q129))&gt;0),$V129="Sub"),"",IF(ISNUMBER($G129),IF(AND(ISNUMBER($AN129),$G129&gt;$AN129),"Cumplida con "&amp;($G129-$AN129)&amp;IF($G129-$AN129=1," día"," días")&amp;" de retraso","Cumplida"),IF(N($M129)&gt;=1,"Cumplida",IF(NOT(ISNUMBER($AN129)),"Sin fecha límite",IF($AN129&lt;FechaRef,"Vencida hace "&amp;(FechaRef-$AN129)&amp;IF(FechaRef-$AN129=1," día"," días"),IF($AN129=FechaRef,"Vence hoy",IF($AN129-FechaRef&lt;=DiasAlerta,"Vence en "&amp;($AN129-FechaRef)&amp;IF($AN129-FechaRef=1," día"," días"),"En plazo")))))))</f>
        <v/>
      </c>
      <c r="P129" s="62" t="n"/>
      <c r="Q129" s="58" t="n"/>
      <c r="R129" s="63">
        <f>IF(NOT((COUNTA($B129:$D129)+COUNTA($G129:$L129)+COUNTA($Q129))&gt;0),"",IF((IF($C129="","Falta el nombre de la actividad"&amp;" · ","")&amp;IF(AND($V129="Sub",N($U129)=0),"Subactividad sin macroactividad arriba"&amp;" · ","")&amp;IF($AM129="","Sin fecha de inicio"&amp;" · ","")&amp;IF($AN129="","Sin fecha límite"&amp;" · ","")&amp;IF(AND(LEFT($C129,11)="[Jefatura] ",N($AL129)=0),"No se encuentra en la hoja de la jefatura (elíjala de nuevo en la lista)"&amp;" · ","")&amp;IF(OR(AND($E129&lt;&gt;"",NOT(ISNUMBER($E129))),AND($F129&lt;&gt;"",NOT(ISNUMBER($F129))),AND($G129&lt;&gt;"",NOT(ISNUMBER($G129)))),"Fecha no válida"&amp;" · ","")&amp;IF(AND(ISNUMBER($AM129),ISNUMBER($AN129),$AM129&gt;$AN129),"Inicio posterior a fecha límite"&amp;" · ","")&amp;IF(AND($V129="Macro",$H129&lt;&gt;"",OR(NOT(ISNUMBER($H129)),$H129&lt;0,$H129&gt;1)),"Peso fuera de rango"&amp;" · ","")&amp;IF(AND($V129="Sub",$H129&lt;&gt;""),"Las subactividades no llevan peso (valen igual dentro de su macroactividad)"&amp;" · ","")&amp;IF(AND(N($W129)&gt;0,COUNT($I129:$L129)&gt;0),"Con subactividades: deje vacías las semanas (se calculan solas)"&amp;" · ","")&amp;IF((COUNTIF($I129:$L129,"&gt;1")+COUNTIF($I129:$L129,"&lt;0")+COUNTA($I129:$L129)-COUNT($I129:$L129))&gt;0,"Avance fuera de rango 0-100%"&amp;" · ","")&amp;IF(OR(AND($J129&lt;&gt;"",$J129&lt;$I129),AND($K129&lt;&gt;"",$K129&lt;MAX($I129:$J129)),AND($L129&lt;&gt;"",$L129&lt;MAX($I129:$K129))),"Avance semanal decreciente"&amp;" · ","")&amp;IF(AND(ISNUMBER($AN129),$AN129&lt;FechaRef,IF($V129="Sub",N($X129),N($M129))&lt;1),"Vencida"&amp;" · ","")&amp;IF(AND(ObsObligatoria="Sí",ISNUMBER($AN129),$AN129&lt;FechaRef,IF($V129="Sub",N($X129),N($M129))&lt;1,$Q129=""),"Vencida sin observación"&amp;" · ",""))="","✔ OK","⚠ "&amp;LEFT(IF($C129="","Falta el nombre de la actividad"&amp;" · ","")&amp;IF(AND($V129="Sub",N($U129)=0),"Subactividad sin macroactividad arriba"&amp;" · ","")&amp;IF($AM129="","Sin fecha de inicio"&amp;" · ","")&amp;IF($AN129="","Sin fecha límite"&amp;" · ","")&amp;IF(AND(LEFT($C129,11)="[Jefatura] ",N($AL129)=0),"No se encuentra en la hoja de la jefatura (elíjala de nuevo en la lista)"&amp;" · ","")&amp;IF(OR(AND($E129&lt;&gt;"",NOT(ISNUMBER($E129))),AND($F129&lt;&gt;"",NOT(ISNUMBER($F129))),AND($G129&lt;&gt;"",NOT(ISNUMBER($G129)))),"Fecha no válida"&amp;" · ","")&amp;IF(AND(ISNUMBER($AM129),ISNUMBER($AN129),$AM129&gt;$AN129),"Inicio posterior a fecha límite"&amp;" · ","")&amp;IF(AND($V129="Macro",$H129&lt;&gt;"",OR(NOT(ISNUMBER($H129)),$H129&lt;0,$H129&gt;1)),"Peso fuera de rango"&amp;" · ","")&amp;IF(AND($V129="Sub",$H129&lt;&gt;""),"Las subactividades no llevan peso (valen igual dentro de su macroactividad)"&amp;" · ","")&amp;IF(AND(N($W129)&gt;0,COUNT($I129:$L129)&gt;0),"Con subactividades: deje vacías las semanas (se calculan solas)"&amp;" · ","")&amp;IF((COUNTIF($I129:$L129,"&gt;1")+COUNTIF($I129:$L129,"&lt;0")+COUNTA($I129:$L129)-COUNT($I129:$L129))&gt;0,"Avance fuera de rango 0-100%"&amp;" · ","")&amp;IF(OR(AND($J129&lt;&gt;"",$J129&lt;$I129),AND($K129&lt;&gt;"",$K129&lt;MAX($I129:$J129)),AND($L129&lt;&gt;"",$L129&lt;MAX($I129:$K129))),"Avance semanal decreciente"&amp;" · ","")&amp;IF(AND(ISNUMBER($AN129),$AN129&lt;FechaRef,IF($V129="Sub",N($X129),N($M129))&lt;1),"Vencida"&amp;" · ","")&amp;IF(AND(ObsObligatoria="Sí",ISNUMBER($AN129),$AN129&lt;FechaRef,IF($V129="Sub",N($X129),N($M129))&lt;1,$Q129=""),"Vencida sin observación"&amp;" · ",""),LEN(IF($C129="","Falta el nombre de la actividad"&amp;" · ","")&amp;IF(AND($V129="Sub",N($U129)=0),"Subactividad sin macroactividad arriba"&amp;" · ","")&amp;IF($AM129="","Sin fecha de inicio"&amp;" · ","")&amp;IF($AN129="","Sin fecha límite"&amp;" · ","")&amp;IF(AND(LEFT($C129,11)="[Jefatura] ",N($AL129)=0),"No se encuentra en la hoja de la jefatura (elíjala de nuevo en la lista)"&amp;" · ","")&amp;IF(OR(AND($E129&lt;&gt;"",NOT(ISNUMBER($E129))),AND($F129&lt;&gt;"",NOT(ISNUMBER($F129))),AND($G129&lt;&gt;"",NOT(ISNUMBER($G129)))),"Fecha no válida"&amp;" · ","")&amp;IF(AND(ISNUMBER($AM129),ISNUMBER($AN129),$AM129&gt;$AN129),"Inicio posterior a fecha límite"&amp;" · ","")&amp;IF(AND($V129="Macro",$H129&lt;&gt;"",OR(NOT(ISNUMBER($H129)),$H129&lt;0,$H129&gt;1)),"Peso fuera de rango"&amp;" · ","")&amp;IF(AND($V129="Sub",$H129&lt;&gt;""),"Las subactividades no llevan peso (valen igual dentro de su macroactividad)"&amp;" · ","")&amp;IF(AND(N($W129)&gt;0,COUNT($I129:$L129)&gt;0),"Con subactividades: deje vacías las semanas (se calculan solas)"&amp;" · ","")&amp;IF((COUNTIF($I129:$L129,"&gt;1")+COUNTIF($I129:$L129,"&lt;0")+COUNTA($I129:$L129)-COUNT($I129:$L129))&gt;0,"Avance fuera de rango 0-100%"&amp;" · ","")&amp;IF(OR(AND($J129&lt;&gt;"",$J129&lt;$I129),AND($K129&lt;&gt;"",$K129&lt;MAX($I129:$J129)),AND($L129&lt;&gt;"",$L129&lt;MAX($I129:$K129))),"Avance semanal decreciente"&amp;" · ","")&amp;IF(AND(ISNUMBER($AN129),$AN129&lt;FechaRef,IF($V129="Sub",N($X129),N($M129))&lt;1),"Vencida"&amp;" · ","")&amp;IF(AND(ObsObligatoria="Sí",ISNUMBER($AN129),$AN129&lt;FechaRef,IF($V129="Sub",N($X129),N($M129))&lt;1,$Q129=""),"Vencida sin observación"&amp;" · ",""))-3)))</f>
        <v/>
      </c>
      <c r="S129" s="64">
        <f>IF(NOT((COUNTA($B129:$D129)+COUNTA($G129:$L129)+COUNTA($Q129))&gt;0),"",IF(AND($V129="Sub",N($U129)&gt;0),IF(ISNUMBER(INDEX($AM$5:$AM$1000,$U129-4)),DATE(YEAR(INDEX($AM$5:$AM$1000,$U129-4)),MONTH(INDEX($AM$5:$AM$1000,$U129-4)),1),IF(ISNUMBER(INDEX($AN$5:$AN$1000,$U129-4)),DATE(YEAR(INDEX($AN$5:$AN$1000,$U129-4)),MONTH(INDEX($AN$5:$AN$1000,$U129-4)),1),MesCiclo)),IF(ISNUMBER($AM129),DATE(YEAR($AM129),MONTH($AM129),1),IF(ISNUMBER($AN129),DATE(YEAR($AN129),MONTH($AN129),1),MesCiclo))))</f>
        <v/>
      </c>
      <c r="T129" s="62">
        <f>IF(OR($S129="",$S129&lt;&gt;MesCiclo,$V129&lt;&gt;"Macro"),"",COUNTIFS($S$5:$S129,MesCiclo,$V$5:$V129,"Macro"))</f>
        <v/>
      </c>
      <c r="U129" s="62">
        <f>IF($V129="","",IF($V129="Macro",ROW(),IFERROR(LOOKUP(2,1/($V$5:$V129="Macro"),ROW($V$5:$V129)),0)))</f>
        <v/>
      </c>
      <c r="V129" s="62">
        <f>IF(NOT((COUNTA($B129:$D129)+COUNTA($G129:$L129)+COUNTA($Q129))&gt;0),"",IF($B129="Subactividad","Sub","Macro"))</f>
        <v/>
      </c>
      <c r="W129" s="62">
        <f>IF($V129="Macro",COUNTIFS($U$5:$U$1000,ROW(),$V$5:$V$1000,"Sub"),"")</f>
        <v/>
      </c>
      <c r="X129" s="62">
        <f>IF($V129="","",IF(ISNUMBER($G129),1,IFERROR(LOOKUP(2,1/($I129:$L129&lt;&gt;""),$I129:$L129),0)))</f>
        <v/>
      </c>
      <c r="Y129" s="62">
        <f>IF($V129="","",IF(AND(ISNUMBER($G129),$G129&lt;=IF($S129=MesCiclo,InicioCiclo,$S129+MOD(2-WEEKDAY($S129),7))+6),1,IF(ISNUMBER($I129),$I129,0)))</f>
        <v/>
      </c>
      <c r="Z129" s="62">
        <f>IF($V129="","",IF(AND(ISNUMBER($G129),$G129&lt;=IF($S129=MesCiclo,InicioCiclo,$S129+MOD(2-WEEKDAY($S129),7))+13),1,IF(ISNUMBER($J129),$J129,$Y129)))</f>
        <v/>
      </c>
      <c r="AA129" s="62">
        <f>IF($V129="","",IF(AND(ISNUMBER($G129),$G129&lt;=IF($S129=MesCiclo,InicioCiclo,$S129+MOD(2-WEEKDAY($S129),7))+20),1,IF(ISNUMBER($K129),$K129,$Z129)))</f>
        <v/>
      </c>
      <c r="AB129" s="62">
        <f>IF($V129="","",IF(AND(ISNUMBER($G129),$G129&lt;=IF($S129=MesCiclo,InicioCiclo,$S129+MOD(2-WEEKDAY($S129),7))+27),1,IF(ISNUMBER($L129),$L129,$AA129)))</f>
        <v/>
      </c>
      <c r="AC129" s="62">
        <f>IF($V129="","",IF(AND(ISNUMBER($G129),$G129&lt;=IF($S129=MesCiclo,InicioCiclo,$S129+MOD(2-WEEKDAY($S129),7))+6),1,IF(N($W129)&gt;0,AVERAGEIFS($Y$5:$Y$1000,$U$5:$U$1000,ROW(),$V$5:$V$1000,"Sub"),$Y129)))</f>
        <v/>
      </c>
      <c r="AD129" s="62">
        <f>IF($V129="","",IF(AND(ISNUMBER($G129),$G129&lt;=IF($S129=MesCiclo,InicioCiclo,$S129+MOD(2-WEEKDAY($S129),7))+13),1,IF(N($W129)&gt;0,AVERAGEIFS($Z$5:$Z$1000,$U$5:$U$1000,ROW(),$V$5:$V$1000,"Sub"),$Z129)))</f>
        <v/>
      </c>
      <c r="AE129" s="62">
        <f>IF($V129="","",IF(AND(ISNUMBER($G129),$G129&lt;=IF($S129=MesCiclo,InicioCiclo,$S129+MOD(2-WEEKDAY($S129),7))+20),1,IF(N($W129)&gt;0,AVERAGEIFS($AA$5:$AA$1000,$U$5:$U$1000,ROW(),$V$5:$V$1000,"Sub"),$AA129)))</f>
        <v/>
      </c>
      <c r="AF129" s="62">
        <f>IF($V129="","",IF(AND(ISNUMBER($G129),$G129&lt;=IF($S129=MesCiclo,InicioCiclo,$S129+MOD(2-WEEKDAY($S129),7))+27),1,IF(N($W129)&gt;0,AVERAGEIFS($AB$5:$AB$1000,$U$5:$U$1000,ROW(),$V$5:$V$1000,"Sub"),$AB129)))</f>
        <v/>
      </c>
      <c r="AG129" s="62">
        <f>IF($V129&lt;&gt;"Macro","",IF(COUNTIFS($S$5:$S$1000,$S129,$V$5:$V$1000,"Macro",$H$5:$H$1000,"&gt;0")=0,1/COUNTIFS($S$5:$S$1000,$S129,$V$5:$V$1000,"Macro"),IF(AND(ISNUMBER($H129),N($H129)&gt;0),$H129,SUMIFS($H$5:$H$1000,$S$5:$S$1000,$S129,$V$5:$V$1000,"Macro")/COUNTIFS($S$5:$S$1000,$S129,$V$5:$V$1000,"Macro",$H$5:$H$1000,"&gt;0"))/(COUNTIFS($S$5:$S$1000,$S129,$V$5:$V$1000,"Macro")*SUMIFS($H$5:$H$1000,$S$5:$S$1000,$S129,$V$5:$V$1000,"Macro")/COUNTIFS($S$5:$S$1000,$S129,$V$5:$V$1000,"Macro",$H$5:$H$1000,"&gt;0"))))</f>
        <v/>
      </c>
      <c r="AH129" s="62" t="n"/>
      <c r="AI129" s="62" t="n"/>
      <c r="AJ129" s="62" t="n"/>
      <c r="AK129" s="62" t="n"/>
      <c r="AL129" s="62">
        <f>IF(LEFT($C129,11)="[Jefatura] ",IFERROR(MATCH("Riesgo Financiero|"&amp;MID($C129,12,500),rDname_ADM,0),0),"")</f>
        <v/>
      </c>
      <c r="AM129" s="62">
        <f>IF(N($AL129)&gt;0,INDEX(rIni_ADM,$AL129),IF(ISNUMBER($E129),$E129,""))</f>
        <v/>
      </c>
      <c r="AN129" s="62">
        <f>IF(N($AL129)&gt;0,INDEX(rLim_ADM,$AL129),IF(ISNUMBER($F129),$F129,""))</f>
        <v/>
      </c>
    </row>
    <row r="130">
      <c r="A130" s="56">
        <f>IF(NOT((COUNTA($B130:$D130)+COUNTA($G130:$L130)+COUNTA($Q130))&gt;0),"",IF($V130="Macro",COUNTIFS($V$5:$V130,"Macro",$S$5:$S130,$S130),IF(N($U130)=0,"?",COUNTIFS(INDEX($V$5:$V$1000,1):INDEX($V$5:$V$1000,$U130-4),"Macro",INDEX($S$5:$S$1000,1):INDEX($S$5:$S$1000,$U130-4),INDEX($S$5:$S$1000,$U130-4))&amp;"."&amp;COUNTIFS($U$5:$U130,$U130,$V$5:$V130,"Sub"))))</f>
        <v/>
      </c>
      <c r="B130" s="57" t="n"/>
      <c r="C130" s="58" t="n"/>
      <c r="D130" s="58" t="n"/>
      <c r="E130" s="59">
        <f>IF(N($AL130)&gt;0,INDEX(rIni_ADM,$AL130),"")</f>
        <v/>
      </c>
      <c r="F130" s="59">
        <f>IF(N($AL130)&gt;0,INDEX(rLim_ADM,$AL130),"")</f>
        <v/>
      </c>
      <c r="G130" s="59" t="n"/>
      <c r="H130" s="60" t="n"/>
      <c r="I130" s="60" t="n"/>
      <c r="J130" s="60" t="n"/>
      <c r="K130" s="60" t="n"/>
      <c r="L130" s="60" t="n"/>
      <c r="M130" s="61">
        <f>IF(NOT((COUNTA($B130:$D130)+COUNTA($G130:$L130)+COUNTA($Q130))&gt;0),"",IF($V130="Sub",IFERROR($X130/INDEX($W$5:$W$1000,$U130-4),""),IF(ISNUMBER($G130),1,IF(N($W130)&gt;0,AVERAGEIFS($X$5:$X$1000,$U$5:$U$1000,ROW(),$V$5:$V$1000,"Sub"),$X130))))</f>
        <v/>
      </c>
      <c r="N130" s="56">
        <f>IF(OR($M130="",$V130="Sub"),"",IF($M130&gt;=1,"Completado",IF($M130&gt;0,"En curso","Pendiente")))</f>
        <v/>
      </c>
      <c r="O130" s="56">
        <f>IF(OR(NOT((COUNTA($B130:$D130)+COUNTA($G130:$L130)+COUNTA($Q130))&gt;0),$V130="Sub"),"",IF(ISNUMBER($G130),IF(AND(ISNUMBER($AN130),$G130&gt;$AN130),"Cumplida con "&amp;($G130-$AN130)&amp;IF($G130-$AN130=1," día"," días")&amp;" de retraso","Cumplida"),IF(N($M130)&gt;=1,"Cumplida",IF(NOT(ISNUMBER($AN130)),"Sin fecha límite",IF($AN130&lt;FechaRef,"Vencida hace "&amp;(FechaRef-$AN130)&amp;IF(FechaRef-$AN130=1," día"," días"),IF($AN130=FechaRef,"Vence hoy",IF($AN130-FechaRef&lt;=DiasAlerta,"Vence en "&amp;($AN130-FechaRef)&amp;IF($AN130-FechaRef=1," día"," días"),"En plazo")))))))</f>
        <v/>
      </c>
      <c r="P130" s="62" t="n"/>
      <c r="Q130" s="58" t="n"/>
      <c r="R130" s="63">
        <f>IF(NOT((COUNTA($B130:$D130)+COUNTA($G130:$L130)+COUNTA($Q130))&gt;0),"",IF((IF($C130="","Falta el nombre de la actividad"&amp;" · ","")&amp;IF(AND($V130="Sub",N($U130)=0),"Subactividad sin macroactividad arriba"&amp;" · ","")&amp;IF($AM130="","Sin fecha de inicio"&amp;" · ","")&amp;IF($AN130="","Sin fecha límite"&amp;" · ","")&amp;IF(AND(LEFT($C130,11)="[Jefatura] ",N($AL130)=0),"No se encuentra en la hoja de la jefatura (elíjala de nuevo en la lista)"&amp;" · ","")&amp;IF(OR(AND($E130&lt;&gt;"",NOT(ISNUMBER($E130))),AND($F130&lt;&gt;"",NOT(ISNUMBER($F130))),AND($G130&lt;&gt;"",NOT(ISNUMBER($G130)))),"Fecha no válida"&amp;" · ","")&amp;IF(AND(ISNUMBER($AM130),ISNUMBER($AN130),$AM130&gt;$AN130),"Inicio posterior a fecha límite"&amp;" · ","")&amp;IF(AND($V130="Macro",$H130&lt;&gt;"",OR(NOT(ISNUMBER($H130)),$H130&lt;0,$H130&gt;1)),"Peso fuera de rango"&amp;" · ","")&amp;IF(AND($V130="Sub",$H130&lt;&gt;""),"Las subactividades no llevan peso (valen igual dentro de su macroactividad)"&amp;" · ","")&amp;IF(AND(N($W130)&gt;0,COUNT($I130:$L130)&gt;0),"Con subactividades: deje vacías las semanas (se calculan solas)"&amp;" · ","")&amp;IF((COUNTIF($I130:$L130,"&gt;1")+COUNTIF($I130:$L130,"&lt;0")+COUNTA($I130:$L130)-COUNT($I130:$L130))&gt;0,"Avance fuera de rango 0-100%"&amp;" · ","")&amp;IF(OR(AND($J130&lt;&gt;"",$J130&lt;$I130),AND($K130&lt;&gt;"",$K130&lt;MAX($I130:$J130)),AND($L130&lt;&gt;"",$L130&lt;MAX($I130:$K130))),"Avance semanal decreciente"&amp;" · ","")&amp;IF(AND(ISNUMBER($AN130),$AN130&lt;FechaRef,IF($V130="Sub",N($X130),N($M130))&lt;1),"Vencida"&amp;" · ","")&amp;IF(AND(ObsObligatoria="Sí",ISNUMBER($AN130),$AN130&lt;FechaRef,IF($V130="Sub",N($X130),N($M130))&lt;1,$Q130=""),"Vencida sin observación"&amp;" · ",""))="","✔ OK","⚠ "&amp;LEFT(IF($C130="","Falta el nombre de la actividad"&amp;" · ","")&amp;IF(AND($V130="Sub",N($U130)=0),"Subactividad sin macroactividad arriba"&amp;" · ","")&amp;IF($AM130="","Sin fecha de inicio"&amp;" · ","")&amp;IF($AN130="","Sin fecha límite"&amp;" · ","")&amp;IF(AND(LEFT($C130,11)="[Jefatura] ",N($AL130)=0),"No se encuentra en la hoja de la jefatura (elíjala de nuevo en la lista)"&amp;" · ","")&amp;IF(OR(AND($E130&lt;&gt;"",NOT(ISNUMBER($E130))),AND($F130&lt;&gt;"",NOT(ISNUMBER($F130))),AND($G130&lt;&gt;"",NOT(ISNUMBER($G130)))),"Fecha no válida"&amp;" · ","")&amp;IF(AND(ISNUMBER($AM130),ISNUMBER($AN130),$AM130&gt;$AN130),"Inicio posterior a fecha límite"&amp;" · ","")&amp;IF(AND($V130="Macro",$H130&lt;&gt;"",OR(NOT(ISNUMBER($H130)),$H130&lt;0,$H130&gt;1)),"Peso fuera de rango"&amp;" · ","")&amp;IF(AND($V130="Sub",$H130&lt;&gt;""),"Las subactividades no llevan peso (valen igual dentro de su macroactividad)"&amp;" · ","")&amp;IF(AND(N($W130)&gt;0,COUNT($I130:$L130)&gt;0),"Con subactividades: deje vacías las semanas (se calculan solas)"&amp;" · ","")&amp;IF((COUNTIF($I130:$L130,"&gt;1")+COUNTIF($I130:$L130,"&lt;0")+COUNTA($I130:$L130)-COUNT($I130:$L130))&gt;0,"Avance fuera de rango 0-100%"&amp;" · ","")&amp;IF(OR(AND($J130&lt;&gt;"",$J130&lt;$I130),AND($K130&lt;&gt;"",$K130&lt;MAX($I130:$J130)),AND($L130&lt;&gt;"",$L130&lt;MAX($I130:$K130))),"Avance semanal decreciente"&amp;" · ","")&amp;IF(AND(ISNUMBER($AN130),$AN130&lt;FechaRef,IF($V130="Sub",N($X130),N($M130))&lt;1),"Vencida"&amp;" · ","")&amp;IF(AND(ObsObligatoria="Sí",ISNUMBER($AN130),$AN130&lt;FechaRef,IF($V130="Sub",N($X130),N($M130))&lt;1,$Q130=""),"Vencida sin observación"&amp;" · ",""),LEN(IF($C130="","Falta el nombre de la actividad"&amp;" · ","")&amp;IF(AND($V130="Sub",N($U130)=0),"Subactividad sin macroactividad arriba"&amp;" · ","")&amp;IF($AM130="","Sin fecha de inicio"&amp;" · ","")&amp;IF($AN130="","Sin fecha límite"&amp;" · ","")&amp;IF(AND(LEFT($C130,11)="[Jefatura] ",N($AL130)=0),"No se encuentra en la hoja de la jefatura (elíjala de nuevo en la lista)"&amp;" · ","")&amp;IF(OR(AND($E130&lt;&gt;"",NOT(ISNUMBER($E130))),AND($F130&lt;&gt;"",NOT(ISNUMBER($F130))),AND($G130&lt;&gt;"",NOT(ISNUMBER($G130)))),"Fecha no válida"&amp;" · ","")&amp;IF(AND(ISNUMBER($AM130),ISNUMBER($AN130),$AM130&gt;$AN130),"Inicio posterior a fecha límite"&amp;" · ","")&amp;IF(AND($V130="Macro",$H130&lt;&gt;"",OR(NOT(ISNUMBER($H130)),$H130&lt;0,$H130&gt;1)),"Peso fuera de rango"&amp;" · ","")&amp;IF(AND($V130="Sub",$H130&lt;&gt;""),"Las subactividades no llevan peso (valen igual dentro de su macroactividad)"&amp;" · ","")&amp;IF(AND(N($W130)&gt;0,COUNT($I130:$L130)&gt;0),"Con subactividades: deje vacías las semanas (se calculan solas)"&amp;" · ","")&amp;IF((COUNTIF($I130:$L130,"&gt;1")+COUNTIF($I130:$L130,"&lt;0")+COUNTA($I130:$L130)-COUNT($I130:$L130))&gt;0,"Avance fuera de rango 0-100%"&amp;" · ","")&amp;IF(OR(AND($J130&lt;&gt;"",$J130&lt;$I130),AND($K130&lt;&gt;"",$K130&lt;MAX($I130:$J130)),AND($L130&lt;&gt;"",$L130&lt;MAX($I130:$K130))),"Avance semanal decreciente"&amp;" · ","")&amp;IF(AND(ISNUMBER($AN130),$AN130&lt;FechaRef,IF($V130="Sub",N($X130),N($M130))&lt;1),"Vencida"&amp;" · ","")&amp;IF(AND(ObsObligatoria="Sí",ISNUMBER($AN130),$AN130&lt;FechaRef,IF($V130="Sub",N($X130),N($M130))&lt;1,$Q130=""),"Vencida sin observación"&amp;" · ",""))-3)))</f>
        <v/>
      </c>
      <c r="S130" s="64">
        <f>IF(NOT((COUNTA($B130:$D130)+COUNTA($G130:$L130)+COUNTA($Q130))&gt;0),"",IF(AND($V130="Sub",N($U130)&gt;0),IF(ISNUMBER(INDEX($AM$5:$AM$1000,$U130-4)),DATE(YEAR(INDEX($AM$5:$AM$1000,$U130-4)),MONTH(INDEX($AM$5:$AM$1000,$U130-4)),1),IF(ISNUMBER(INDEX($AN$5:$AN$1000,$U130-4)),DATE(YEAR(INDEX($AN$5:$AN$1000,$U130-4)),MONTH(INDEX($AN$5:$AN$1000,$U130-4)),1),MesCiclo)),IF(ISNUMBER($AM130),DATE(YEAR($AM130),MONTH($AM130),1),IF(ISNUMBER($AN130),DATE(YEAR($AN130),MONTH($AN130),1),MesCiclo))))</f>
        <v/>
      </c>
      <c r="T130" s="62">
        <f>IF(OR($S130="",$S130&lt;&gt;MesCiclo,$V130&lt;&gt;"Macro"),"",COUNTIFS($S$5:$S130,MesCiclo,$V$5:$V130,"Macro"))</f>
        <v/>
      </c>
      <c r="U130" s="62">
        <f>IF($V130="","",IF($V130="Macro",ROW(),IFERROR(LOOKUP(2,1/($V$5:$V130="Macro"),ROW($V$5:$V130)),0)))</f>
        <v/>
      </c>
      <c r="V130" s="62">
        <f>IF(NOT((COUNTA($B130:$D130)+COUNTA($G130:$L130)+COUNTA($Q130))&gt;0),"",IF($B130="Subactividad","Sub","Macro"))</f>
        <v/>
      </c>
      <c r="W130" s="62">
        <f>IF($V130="Macro",COUNTIFS($U$5:$U$1000,ROW(),$V$5:$V$1000,"Sub"),"")</f>
        <v/>
      </c>
      <c r="X130" s="62">
        <f>IF($V130="","",IF(ISNUMBER($G130),1,IFERROR(LOOKUP(2,1/($I130:$L130&lt;&gt;""),$I130:$L130),0)))</f>
        <v/>
      </c>
      <c r="Y130" s="62">
        <f>IF($V130="","",IF(AND(ISNUMBER($G130),$G130&lt;=IF($S130=MesCiclo,InicioCiclo,$S130+MOD(2-WEEKDAY($S130),7))+6),1,IF(ISNUMBER($I130),$I130,0)))</f>
        <v/>
      </c>
      <c r="Z130" s="62">
        <f>IF($V130="","",IF(AND(ISNUMBER($G130),$G130&lt;=IF($S130=MesCiclo,InicioCiclo,$S130+MOD(2-WEEKDAY($S130),7))+13),1,IF(ISNUMBER($J130),$J130,$Y130)))</f>
        <v/>
      </c>
      <c r="AA130" s="62">
        <f>IF($V130="","",IF(AND(ISNUMBER($G130),$G130&lt;=IF($S130=MesCiclo,InicioCiclo,$S130+MOD(2-WEEKDAY($S130),7))+20),1,IF(ISNUMBER($K130),$K130,$Z130)))</f>
        <v/>
      </c>
      <c r="AB130" s="62">
        <f>IF($V130="","",IF(AND(ISNUMBER($G130),$G130&lt;=IF($S130=MesCiclo,InicioCiclo,$S130+MOD(2-WEEKDAY($S130),7))+27),1,IF(ISNUMBER($L130),$L130,$AA130)))</f>
        <v/>
      </c>
      <c r="AC130" s="62">
        <f>IF($V130="","",IF(AND(ISNUMBER($G130),$G130&lt;=IF($S130=MesCiclo,InicioCiclo,$S130+MOD(2-WEEKDAY($S130),7))+6),1,IF(N($W130)&gt;0,AVERAGEIFS($Y$5:$Y$1000,$U$5:$U$1000,ROW(),$V$5:$V$1000,"Sub"),$Y130)))</f>
        <v/>
      </c>
      <c r="AD130" s="62">
        <f>IF($V130="","",IF(AND(ISNUMBER($G130),$G130&lt;=IF($S130=MesCiclo,InicioCiclo,$S130+MOD(2-WEEKDAY($S130),7))+13),1,IF(N($W130)&gt;0,AVERAGEIFS($Z$5:$Z$1000,$U$5:$U$1000,ROW(),$V$5:$V$1000,"Sub"),$Z130)))</f>
        <v/>
      </c>
      <c r="AE130" s="62">
        <f>IF($V130="","",IF(AND(ISNUMBER($G130),$G130&lt;=IF($S130=MesCiclo,InicioCiclo,$S130+MOD(2-WEEKDAY($S130),7))+20),1,IF(N($W130)&gt;0,AVERAGEIFS($AA$5:$AA$1000,$U$5:$U$1000,ROW(),$V$5:$V$1000,"Sub"),$AA130)))</f>
        <v/>
      </c>
      <c r="AF130" s="62">
        <f>IF($V130="","",IF(AND(ISNUMBER($G130),$G130&lt;=IF($S130=MesCiclo,InicioCiclo,$S130+MOD(2-WEEKDAY($S130),7))+27),1,IF(N($W130)&gt;0,AVERAGEIFS($AB$5:$AB$1000,$U$5:$U$1000,ROW(),$V$5:$V$1000,"Sub"),$AB130)))</f>
        <v/>
      </c>
      <c r="AG130" s="62">
        <f>IF($V130&lt;&gt;"Macro","",IF(COUNTIFS($S$5:$S$1000,$S130,$V$5:$V$1000,"Macro",$H$5:$H$1000,"&gt;0")=0,1/COUNTIFS($S$5:$S$1000,$S130,$V$5:$V$1000,"Macro"),IF(AND(ISNUMBER($H130),N($H130)&gt;0),$H130,SUMIFS($H$5:$H$1000,$S$5:$S$1000,$S130,$V$5:$V$1000,"Macro")/COUNTIFS($S$5:$S$1000,$S130,$V$5:$V$1000,"Macro",$H$5:$H$1000,"&gt;0"))/(COUNTIFS($S$5:$S$1000,$S130,$V$5:$V$1000,"Macro")*SUMIFS($H$5:$H$1000,$S$5:$S$1000,$S130,$V$5:$V$1000,"Macro")/COUNTIFS($S$5:$S$1000,$S130,$V$5:$V$1000,"Macro",$H$5:$H$1000,"&gt;0"))))</f>
        <v/>
      </c>
      <c r="AH130" s="62" t="n"/>
      <c r="AI130" s="62" t="n"/>
      <c r="AJ130" s="62" t="n"/>
      <c r="AK130" s="62" t="n"/>
      <c r="AL130" s="62">
        <f>IF(LEFT($C130,11)="[Jefatura] ",IFERROR(MATCH("Riesgo Financiero|"&amp;MID($C130,12,500),rDname_ADM,0),0),"")</f>
        <v/>
      </c>
      <c r="AM130" s="62">
        <f>IF(N($AL130)&gt;0,INDEX(rIni_ADM,$AL130),IF(ISNUMBER($E130),$E130,""))</f>
        <v/>
      </c>
      <c r="AN130" s="62">
        <f>IF(N($AL130)&gt;0,INDEX(rLim_ADM,$AL130),IF(ISNUMBER($F130),$F130,""))</f>
        <v/>
      </c>
    </row>
    <row r="131">
      <c r="A131" s="56">
        <f>IF(NOT((COUNTA($B131:$D131)+COUNTA($G131:$L131)+COUNTA($Q131))&gt;0),"",IF($V131="Macro",COUNTIFS($V$5:$V131,"Macro",$S$5:$S131,$S131),IF(N($U131)=0,"?",COUNTIFS(INDEX($V$5:$V$1000,1):INDEX($V$5:$V$1000,$U131-4),"Macro",INDEX($S$5:$S$1000,1):INDEX($S$5:$S$1000,$U131-4),INDEX($S$5:$S$1000,$U131-4))&amp;"."&amp;COUNTIFS($U$5:$U131,$U131,$V$5:$V131,"Sub"))))</f>
        <v/>
      </c>
      <c r="B131" s="57" t="n"/>
      <c r="C131" s="58" t="n"/>
      <c r="D131" s="58" t="n"/>
      <c r="E131" s="59">
        <f>IF(N($AL131)&gt;0,INDEX(rIni_ADM,$AL131),"")</f>
        <v/>
      </c>
      <c r="F131" s="59">
        <f>IF(N($AL131)&gt;0,INDEX(rLim_ADM,$AL131),"")</f>
        <v/>
      </c>
      <c r="G131" s="59" t="n"/>
      <c r="H131" s="60" t="n"/>
      <c r="I131" s="60" t="n"/>
      <c r="J131" s="60" t="n"/>
      <c r="K131" s="60" t="n"/>
      <c r="L131" s="60" t="n"/>
      <c r="M131" s="61">
        <f>IF(NOT((COUNTA($B131:$D131)+COUNTA($G131:$L131)+COUNTA($Q131))&gt;0),"",IF($V131="Sub",IFERROR($X131/INDEX($W$5:$W$1000,$U131-4),""),IF(ISNUMBER($G131),1,IF(N($W131)&gt;0,AVERAGEIFS($X$5:$X$1000,$U$5:$U$1000,ROW(),$V$5:$V$1000,"Sub"),$X131))))</f>
        <v/>
      </c>
      <c r="N131" s="56">
        <f>IF(OR($M131="",$V131="Sub"),"",IF($M131&gt;=1,"Completado",IF($M131&gt;0,"En curso","Pendiente")))</f>
        <v/>
      </c>
      <c r="O131" s="56">
        <f>IF(OR(NOT((COUNTA($B131:$D131)+COUNTA($G131:$L131)+COUNTA($Q131))&gt;0),$V131="Sub"),"",IF(ISNUMBER($G131),IF(AND(ISNUMBER($AN131),$G131&gt;$AN131),"Cumplida con "&amp;($G131-$AN131)&amp;IF($G131-$AN131=1," día"," días")&amp;" de retraso","Cumplida"),IF(N($M131)&gt;=1,"Cumplida",IF(NOT(ISNUMBER($AN131)),"Sin fecha límite",IF($AN131&lt;FechaRef,"Vencida hace "&amp;(FechaRef-$AN131)&amp;IF(FechaRef-$AN131=1," día"," días"),IF($AN131=FechaRef,"Vence hoy",IF($AN131-FechaRef&lt;=DiasAlerta,"Vence en "&amp;($AN131-FechaRef)&amp;IF($AN131-FechaRef=1," día"," días"),"En plazo")))))))</f>
        <v/>
      </c>
      <c r="P131" s="62" t="n"/>
      <c r="Q131" s="58" t="n"/>
      <c r="R131" s="63">
        <f>IF(NOT((COUNTA($B131:$D131)+COUNTA($G131:$L131)+COUNTA($Q131))&gt;0),"",IF((IF($C131="","Falta el nombre de la actividad"&amp;" · ","")&amp;IF(AND($V131="Sub",N($U131)=0),"Subactividad sin macroactividad arriba"&amp;" · ","")&amp;IF($AM131="","Sin fecha de inicio"&amp;" · ","")&amp;IF($AN131="","Sin fecha límite"&amp;" · ","")&amp;IF(AND(LEFT($C131,11)="[Jefatura] ",N($AL131)=0),"No se encuentra en la hoja de la jefatura (elíjala de nuevo en la lista)"&amp;" · ","")&amp;IF(OR(AND($E131&lt;&gt;"",NOT(ISNUMBER($E131))),AND($F131&lt;&gt;"",NOT(ISNUMBER($F131))),AND($G131&lt;&gt;"",NOT(ISNUMBER($G131)))),"Fecha no válida"&amp;" · ","")&amp;IF(AND(ISNUMBER($AM131),ISNUMBER($AN131),$AM131&gt;$AN131),"Inicio posterior a fecha límite"&amp;" · ","")&amp;IF(AND($V131="Macro",$H131&lt;&gt;"",OR(NOT(ISNUMBER($H131)),$H131&lt;0,$H131&gt;1)),"Peso fuera de rango"&amp;" · ","")&amp;IF(AND($V131="Sub",$H131&lt;&gt;""),"Las subactividades no llevan peso (valen igual dentro de su macroactividad)"&amp;" · ","")&amp;IF(AND(N($W131)&gt;0,COUNT($I131:$L131)&gt;0),"Con subactividades: deje vacías las semanas (se calculan solas)"&amp;" · ","")&amp;IF((COUNTIF($I131:$L131,"&gt;1")+COUNTIF($I131:$L131,"&lt;0")+COUNTA($I131:$L131)-COUNT($I131:$L131))&gt;0,"Avance fuera de rango 0-100%"&amp;" · ","")&amp;IF(OR(AND($J131&lt;&gt;"",$J131&lt;$I131),AND($K131&lt;&gt;"",$K131&lt;MAX($I131:$J131)),AND($L131&lt;&gt;"",$L131&lt;MAX($I131:$K131))),"Avance semanal decreciente"&amp;" · ","")&amp;IF(AND(ISNUMBER($AN131),$AN131&lt;FechaRef,IF($V131="Sub",N($X131),N($M131))&lt;1),"Vencida"&amp;" · ","")&amp;IF(AND(ObsObligatoria="Sí",ISNUMBER($AN131),$AN131&lt;FechaRef,IF($V131="Sub",N($X131),N($M131))&lt;1,$Q131=""),"Vencida sin observación"&amp;" · ",""))="","✔ OK","⚠ "&amp;LEFT(IF($C131="","Falta el nombre de la actividad"&amp;" · ","")&amp;IF(AND($V131="Sub",N($U131)=0),"Subactividad sin macroactividad arriba"&amp;" · ","")&amp;IF($AM131="","Sin fecha de inicio"&amp;" · ","")&amp;IF($AN131="","Sin fecha límite"&amp;" · ","")&amp;IF(AND(LEFT($C131,11)="[Jefatura] ",N($AL131)=0),"No se encuentra en la hoja de la jefatura (elíjala de nuevo en la lista)"&amp;" · ","")&amp;IF(OR(AND($E131&lt;&gt;"",NOT(ISNUMBER($E131))),AND($F131&lt;&gt;"",NOT(ISNUMBER($F131))),AND($G131&lt;&gt;"",NOT(ISNUMBER($G131)))),"Fecha no válida"&amp;" · ","")&amp;IF(AND(ISNUMBER($AM131),ISNUMBER($AN131),$AM131&gt;$AN131),"Inicio posterior a fecha límite"&amp;" · ","")&amp;IF(AND($V131="Macro",$H131&lt;&gt;"",OR(NOT(ISNUMBER($H131)),$H131&lt;0,$H131&gt;1)),"Peso fuera de rango"&amp;" · ","")&amp;IF(AND($V131="Sub",$H131&lt;&gt;""),"Las subactividades no llevan peso (valen igual dentro de su macroactividad)"&amp;" · ","")&amp;IF(AND(N($W131)&gt;0,COUNT($I131:$L131)&gt;0),"Con subactividades: deje vacías las semanas (se calculan solas)"&amp;" · ","")&amp;IF((COUNTIF($I131:$L131,"&gt;1")+COUNTIF($I131:$L131,"&lt;0")+COUNTA($I131:$L131)-COUNT($I131:$L131))&gt;0,"Avance fuera de rango 0-100%"&amp;" · ","")&amp;IF(OR(AND($J131&lt;&gt;"",$J131&lt;$I131),AND($K131&lt;&gt;"",$K131&lt;MAX($I131:$J131)),AND($L131&lt;&gt;"",$L131&lt;MAX($I131:$K131))),"Avance semanal decreciente"&amp;" · ","")&amp;IF(AND(ISNUMBER($AN131),$AN131&lt;FechaRef,IF($V131="Sub",N($X131),N($M131))&lt;1),"Vencida"&amp;" · ","")&amp;IF(AND(ObsObligatoria="Sí",ISNUMBER($AN131),$AN131&lt;FechaRef,IF($V131="Sub",N($X131),N($M131))&lt;1,$Q131=""),"Vencida sin observación"&amp;" · ",""),LEN(IF($C131="","Falta el nombre de la actividad"&amp;" · ","")&amp;IF(AND($V131="Sub",N($U131)=0),"Subactividad sin macroactividad arriba"&amp;" · ","")&amp;IF($AM131="","Sin fecha de inicio"&amp;" · ","")&amp;IF($AN131="","Sin fecha límite"&amp;" · ","")&amp;IF(AND(LEFT($C131,11)="[Jefatura] ",N($AL131)=0),"No se encuentra en la hoja de la jefatura (elíjala de nuevo en la lista)"&amp;" · ","")&amp;IF(OR(AND($E131&lt;&gt;"",NOT(ISNUMBER($E131))),AND($F131&lt;&gt;"",NOT(ISNUMBER($F131))),AND($G131&lt;&gt;"",NOT(ISNUMBER($G131)))),"Fecha no válida"&amp;" · ","")&amp;IF(AND(ISNUMBER($AM131),ISNUMBER($AN131),$AM131&gt;$AN131),"Inicio posterior a fecha límite"&amp;" · ","")&amp;IF(AND($V131="Macro",$H131&lt;&gt;"",OR(NOT(ISNUMBER($H131)),$H131&lt;0,$H131&gt;1)),"Peso fuera de rango"&amp;" · ","")&amp;IF(AND($V131="Sub",$H131&lt;&gt;""),"Las subactividades no llevan peso (valen igual dentro de su macroactividad)"&amp;" · ","")&amp;IF(AND(N($W131)&gt;0,COUNT($I131:$L131)&gt;0),"Con subactividades: deje vacías las semanas (se calculan solas)"&amp;" · ","")&amp;IF((COUNTIF($I131:$L131,"&gt;1")+COUNTIF($I131:$L131,"&lt;0")+COUNTA($I131:$L131)-COUNT($I131:$L131))&gt;0,"Avance fuera de rango 0-100%"&amp;" · ","")&amp;IF(OR(AND($J131&lt;&gt;"",$J131&lt;$I131),AND($K131&lt;&gt;"",$K131&lt;MAX($I131:$J131)),AND($L131&lt;&gt;"",$L131&lt;MAX($I131:$K131))),"Avance semanal decreciente"&amp;" · ","")&amp;IF(AND(ISNUMBER($AN131),$AN131&lt;FechaRef,IF($V131="Sub",N($X131),N($M131))&lt;1),"Vencida"&amp;" · ","")&amp;IF(AND(ObsObligatoria="Sí",ISNUMBER($AN131),$AN131&lt;FechaRef,IF($V131="Sub",N($X131),N($M131))&lt;1,$Q131=""),"Vencida sin observación"&amp;" · ",""))-3)))</f>
        <v/>
      </c>
      <c r="S131" s="64">
        <f>IF(NOT((COUNTA($B131:$D131)+COUNTA($G131:$L131)+COUNTA($Q131))&gt;0),"",IF(AND($V131="Sub",N($U131)&gt;0),IF(ISNUMBER(INDEX($AM$5:$AM$1000,$U131-4)),DATE(YEAR(INDEX($AM$5:$AM$1000,$U131-4)),MONTH(INDEX($AM$5:$AM$1000,$U131-4)),1),IF(ISNUMBER(INDEX($AN$5:$AN$1000,$U131-4)),DATE(YEAR(INDEX($AN$5:$AN$1000,$U131-4)),MONTH(INDEX($AN$5:$AN$1000,$U131-4)),1),MesCiclo)),IF(ISNUMBER($AM131),DATE(YEAR($AM131),MONTH($AM131),1),IF(ISNUMBER($AN131),DATE(YEAR($AN131),MONTH($AN131),1),MesCiclo))))</f>
        <v/>
      </c>
      <c r="T131" s="62">
        <f>IF(OR($S131="",$S131&lt;&gt;MesCiclo,$V131&lt;&gt;"Macro"),"",COUNTIFS($S$5:$S131,MesCiclo,$V$5:$V131,"Macro"))</f>
        <v/>
      </c>
      <c r="U131" s="62">
        <f>IF($V131="","",IF($V131="Macro",ROW(),IFERROR(LOOKUP(2,1/($V$5:$V131="Macro"),ROW($V$5:$V131)),0)))</f>
        <v/>
      </c>
      <c r="V131" s="62">
        <f>IF(NOT((COUNTA($B131:$D131)+COUNTA($G131:$L131)+COUNTA($Q131))&gt;0),"",IF($B131="Subactividad","Sub","Macro"))</f>
        <v/>
      </c>
      <c r="W131" s="62">
        <f>IF($V131="Macro",COUNTIFS($U$5:$U$1000,ROW(),$V$5:$V$1000,"Sub"),"")</f>
        <v/>
      </c>
      <c r="X131" s="62">
        <f>IF($V131="","",IF(ISNUMBER($G131),1,IFERROR(LOOKUP(2,1/($I131:$L131&lt;&gt;""),$I131:$L131),0)))</f>
        <v/>
      </c>
      <c r="Y131" s="62">
        <f>IF($V131="","",IF(AND(ISNUMBER($G131),$G131&lt;=IF($S131=MesCiclo,InicioCiclo,$S131+MOD(2-WEEKDAY($S131),7))+6),1,IF(ISNUMBER($I131),$I131,0)))</f>
        <v/>
      </c>
      <c r="Z131" s="62">
        <f>IF($V131="","",IF(AND(ISNUMBER($G131),$G131&lt;=IF($S131=MesCiclo,InicioCiclo,$S131+MOD(2-WEEKDAY($S131),7))+13),1,IF(ISNUMBER($J131),$J131,$Y131)))</f>
        <v/>
      </c>
      <c r="AA131" s="62">
        <f>IF($V131="","",IF(AND(ISNUMBER($G131),$G131&lt;=IF($S131=MesCiclo,InicioCiclo,$S131+MOD(2-WEEKDAY($S131),7))+20),1,IF(ISNUMBER($K131),$K131,$Z131)))</f>
        <v/>
      </c>
      <c r="AB131" s="62">
        <f>IF($V131="","",IF(AND(ISNUMBER($G131),$G131&lt;=IF($S131=MesCiclo,InicioCiclo,$S131+MOD(2-WEEKDAY($S131),7))+27),1,IF(ISNUMBER($L131),$L131,$AA131)))</f>
        <v/>
      </c>
      <c r="AC131" s="62">
        <f>IF($V131="","",IF(AND(ISNUMBER($G131),$G131&lt;=IF($S131=MesCiclo,InicioCiclo,$S131+MOD(2-WEEKDAY($S131),7))+6),1,IF(N($W131)&gt;0,AVERAGEIFS($Y$5:$Y$1000,$U$5:$U$1000,ROW(),$V$5:$V$1000,"Sub"),$Y131)))</f>
        <v/>
      </c>
      <c r="AD131" s="62">
        <f>IF($V131="","",IF(AND(ISNUMBER($G131),$G131&lt;=IF($S131=MesCiclo,InicioCiclo,$S131+MOD(2-WEEKDAY($S131),7))+13),1,IF(N($W131)&gt;0,AVERAGEIFS($Z$5:$Z$1000,$U$5:$U$1000,ROW(),$V$5:$V$1000,"Sub"),$Z131)))</f>
        <v/>
      </c>
      <c r="AE131" s="62">
        <f>IF($V131="","",IF(AND(ISNUMBER($G131),$G131&lt;=IF($S131=MesCiclo,InicioCiclo,$S131+MOD(2-WEEKDAY($S131),7))+20),1,IF(N($W131)&gt;0,AVERAGEIFS($AA$5:$AA$1000,$U$5:$U$1000,ROW(),$V$5:$V$1000,"Sub"),$AA131)))</f>
        <v/>
      </c>
      <c r="AF131" s="62">
        <f>IF($V131="","",IF(AND(ISNUMBER($G131),$G131&lt;=IF($S131=MesCiclo,InicioCiclo,$S131+MOD(2-WEEKDAY($S131),7))+27),1,IF(N($W131)&gt;0,AVERAGEIFS($AB$5:$AB$1000,$U$5:$U$1000,ROW(),$V$5:$V$1000,"Sub"),$AB131)))</f>
        <v/>
      </c>
      <c r="AG131" s="62">
        <f>IF($V131&lt;&gt;"Macro","",IF(COUNTIFS($S$5:$S$1000,$S131,$V$5:$V$1000,"Macro",$H$5:$H$1000,"&gt;0")=0,1/COUNTIFS($S$5:$S$1000,$S131,$V$5:$V$1000,"Macro"),IF(AND(ISNUMBER($H131),N($H131)&gt;0),$H131,SUMIFS($H$5:$H$1000,$S$5:$S$1000,$S131,$V$5:$V$1000,"Macro")/COUNTIFS($S$5:$S$1000,$S131,$V$5:$V$1000,"Macro",$H$5:$H$1000,"&gt;0"))/(COUNTIFS($S$5:$S$1000,$S131,$V$5:$V$1000,"Macro")*SUMIFS($H$5:$H$1000,$S$5:$S$1000,$S131,$V$5:$V$1000,"Macro")/COUNTIFS($S$5:$S$1000,$S131,$V$5:$V$1000,"Macro",$H$5:$H$1000,"&gt;0"))))</f>
        <v/>
      </c>
      <c r="AH131" s="62" t="n"/>
      <c r="AI131" s="62" t="n"/>
      <c r="AJ131" s="62" t="n"/>
      <c r="AK131" s="62" t="n"/>
      <c r="AL131" s="62">
        <f>IF(LEFT($C131,11)="[Jefatura] ",IFERROR(MATCH("Riesgo Financiero|"&amp;MID($C131,12,500),rDname_ADM,0),0),"")</f>
        <v/>
      </c>
      <c r="AM131" s="62">
        <f>IF(N($AL131)&gt;0,INDEX(rIni_ADM,$AL131),IF(ISNUMBER($E131),$E131,""))</f>
        <v/>
      </c>
      <c r="AN131" s="62">
        <f>IF(N($AL131)&gt;0,INDEX(rLim_ADM,$AL131),IF(ISNUMBER($F131),$F131,""))</f>
        <v/>
      </c>
    </row>
    <row r="132">
      <c r="A132" s="56">
        <f>IF(NOT((COUNTA($B132:$D132)+COUNTA($G132:$L132)+COUNTA($Q132))&gt;0),"",IF($V132="Macro",COUNTIFS($V$5:$V132,"Macro",$S$5:$S132,$S132),IF(N($U132)=0,"?",COUNTIFS(INDEX($V$5:$V$1000,1):INDEX($V$5:$V$1000,$U132-4),"Macro",INDEX($S$5:$S$1000,1):INDEX($S$5:$S$1000,$U132-4),INDEX($S$5:$S$1000,$U132-4))&amp;"."&amp;COUNTIFS($U$5:$U132,$U132,$V$5:$V132,"Sub"))))</f>
        <v/>
      </c>
      <c r="B132" s="57" t="n"/>
      <c r="C132" s="58" t="n"/>
      <c r="D132" s="58" t="n"/>
      <c r="E132" s="59">
        <f>IF(N($AL132)&gt;0,INDEX(rIni_ADM,$AL132),"")</f>
        <v/>
      </c>
      <c r="F132" s="59">
        <f>IF(N($AL132)&gt;0,INDEX(rLim_ADM,$AL132),"")</f>
        <v/>
      </c>
      <c r="G132" s="59" t="n"/>
      <c r="H132" s="60" t="n"/>
      <c r="I132" s="60" t="n"/>
      <c r="J132" s="60" t="n"/>
      <c r="K132" s="60" t="n"/>
      <c r="L132" s="60" t="n"/>
      <c r="M132" s="61">
        <f>IF(NOT((COUNTA($B132:$D132)+COUNTA($G132:$L132)+COUNTA($Q132))&gt;0),"",IF($V132="Sub",IFERROR($X132/INDEX($W$5:$W$1000,$U132-4),""),IF(ISNUMBER($G132),1,IF(N($W132)&gt;0,AVERAGEIFS($X$5:$X$1000,$U$5:$U$1000,ROW(),$V$5:$V$1000,"Sub"),$X132))))</f>
        <v/>
      </c>
      <c r="N132" s="56">
        <f>IF(OR($M132="",$V132="Sub"),"",IF($M132&gt;=1,"Completado",IF($M132&gt;0,"En curso","Pendiente")))</f>
        <v/>
      </c>
      <c r="O132" s="56">
        <f>IF(OR(NOT((COUNTA($B132:$D132)+COUNTA($G132:$L132)+COUNTA($Q132))&gt;0),$V132="Sub"),"",IF(ISNUMBER($G132),IF(AND(ISNUMBER($AN132),$G132&gt;$AN132),"Cumplida con "&amp;($G132-$AN132)&amp;IF($G132-$AN132=1," día"," días")&amp;" de retraso","Cumplida"),IF(N($M132)&gt;=1,"Cumplida",IF(NOT(ISNUMBER($AN132)),"Sin fecha límite",IF($AN132&lt;FechaRef,"Vencida hace "&amp;(FechaRef-$AN132)&amp;IF(FechaRef-$AN132=1," día"," días"),IF($AN132=FechaRef,"Vence hoy",IF($AN132-FechaRef&lt;=DiasAlerta,"Vence en "&amp;($AN132-FechaRef)&amp;IF($AN132-FechaRef=1," día"," días"),"En plazo")))))))</f>
        <v/>
      </c>
      <c r="P132" s="62" t="n"/>
      <c r="Q132" s="58" t="n"/>
      <c r="R132" s="63">
        <f>IF(NOT((COUNTA($B132:$D132)+COUNTA($G132:$L132)+COUNTA($Q132))&gt;0),"",IF((IF($C132="","Falta el nombre de la actividad"&amp;" · ","")&amp;IF(AND($V132="Sub",N($U132)=0),"Subactividad sin macroactividad arriba"&amp;" · ","")&amp;IF($AM132="","Sin fecha de inicio"&amp;" · ","")&amp;IF($AN132="","Sin fecha límite"&amp;" · ","")&amp;IF(AND(LEFT($C132,11)="[Jefatura] ",N($AL132)=0),"No se encuentra en la hoja de la jefatura (elíjala de nuevo en la lista)"&amp;" · ","")&amp;IF(OR(AND($E132&lt;&gt;"",NOT(ISNUMBER($E132))),AND($F132&lt;&gt;"",NOT(ISNUMBER($F132))),AND($G132&lt;&gt;"",NOT(ISNUMBER($G132)))),"Fecha no válida"&amp;" · ","")&amp;IF(AND(ISNUMBER($AM132),ISNUMBER($AN132),$AM132&gt;$AN132),"Inicio posterior a fecha límite"&amp;" · ","")&amp;IF(AND($V132="Macro",$H132&lt;&gt;"",OR(NOT(ISNUMBER($H132)),$H132&lt;0,$H132&gt;1)),"Peso fuera de rango"&amp;" · ","")&amp;IF(AND($V132="Sub",$H132&lt;&gt;""),"Las subactividades no llevan peso (valen igual dentro de su macroactividad)"&amp;" · ","")&amp;IF(AND(N($W132)&gt;0,COUNT($I132:$L132)&gt;0),"Con subactividades: deje vacías las semanas (se calculan solas)"&amp;" · ","")&amp;IF((COUNTIF($I132:$L132,"&gt;1")+COUNTIF($I132:$L132,"&lt;0")+COUNTA($I132:$L132)-COUNT($I132:$L132))&gt;0,"Avance fuera de rango 0-100%"&amp;" · ","")&amp;IF(OR(AND($J132&lt;&gt;"",$J132&lt;$I132),AND($K132&lt;&gt;"",$K132&lt;MAX($I132:$J132)),AND($L132&lt;&gt;"",$L132&lt;MAX($I132:$K132))),"Avance semanal decreciente"&amp;" · ","")&amp;IF(AND(ISNUMBER($AN132),$AN132&lt;FechaRef,IF($V132="Sub",N($X132),N($M132))&lt;1),"Vencida"&amp;" · ","")&amp;IF(AND(ObsObligatoria="Sí",ISNUMBER($AN132),$AN132&lt;FechaRef,IF($V132="Sub",N($X132),N($M132))&lt;1,$Q132=""),"Vencida sin observación"&amp;" · ",""))="","✔ OK","⚠ "&amp;LEFT(IF($C132="","Falta el nombre de la actividad"&amp;" · ","")&amp;IF(AND($V132="Sub",N($U132)=0),"Subactividad sin macroactividad arriba"&amp;" · ","")&amp;IF($AM132="","Sin fecha de inicio"&amp;" · ","")&amp;IF($AN132="","Sin fecha límite"&amp;" · ","")&amp;IF(AND(LEFT($C132,11)="[Jefatura] ",N($AL132)=0),"No se encuentra en la hoja de la jefatura (elíjala de nuevo en la lista)"&amp;" · ","")&amp;IF(OR(AND($E132&lt;&gt;"",NOT(ISNUMBER($E132))),AND($F132&lt;&gt;"",NOT(ISNUMBER($F132))),AND($G132&lt;&gt;"",NOT(ISNUMBER($G132)))),"Fecha no válida"&amp;" · ","")&amp;IF(AND(ISNUMBER($AM132),ISNUMBER($AN132),$AM132&gt;$AN132),"Inicio posterior a fecha límite"&amp;" · ","")&amp;IF(AND($V132="Macro",$H132&lt;&gt;"",OR(NOT(ISNUMBER($H132)),$H132&lt;0,$H132&gt;1)),"Peso fuera de rango"&amp;" · ","")&amp;IF(AND($V132="Sub",$H132&lt;&gt;""),"Las subactividades no llevan peso (valen igual dentro de su macroactividad)"&amp;" · ","")&amp;IF(AND(N($W132)&gt;0,COUNT($I132:$L132)&gt;0),"Con subactividades: deje vacías las semanas (se calculan solas)"&amp;" · ","")&amp;IF((COUNTIF($I132:$L132,"&gt;1")+COUNTIF($I132:$L132,"&lt;0")+COUNTA($I132:$L132)-COUNT($I132:$L132))&gt;0,"Avance fuera de rango 0-100%"&amp;" · ","")&amp;IF(OR(AND($J132&lt;&gt;"",$J132&lt;$I132),AND($K132&lt;&gt;"",$K132&lt;MAX($I132:$J132)),AND($L132&lt;&gt;"",$L132&lt;MAX($I132:$K132))),"Avance semanal decreciente"&amp;" · ","")&amp;IF(AND(ISNUMBER($AN132),$AN132&lt;FechaRef,IF($V132="Sub",N($X132),N($M132))&lt;1),"Vencida"&amp;" · ","")&amp;IF(AND(ObsObligatoria="Sí",ISNUMBER($AN132),$AN132&lt;FechaRef,IF($V132="Sub",N($X132),N($M132))&lt;1,$Q132=""),"Vencida sin observación"&amp;" · ",""),LEN(IF($C132="","Falta el nombre de la actividad"&amp;" · ","")&amp;IF(AND($V132="Sub",N($U132)=0),"Subactividad sin macroactividad arriba"&amp;" · ","")&amp;IF($AM132="","Sin fecha de inicio"&amp;" · ","")&amp;IF($AN132="","Sin fecha límite"&amp;" · ","")&amp;IF(AND(LEFT($C132,11)="[Jefatura] ",N($AL132)=0),"No se encuentra en la hoja de la jefatura (elíjala de nuevo en la lista)"&amp;" · ","")&amp;IF(OR(AND($E132&lt;&gt;"",NOT(ISNUMBER($E132))),AND($F132&lt;&gt;"",NOT(ISNUMBER($F132))),AND($G132&lt;&gt;"",NOT(ISNUMBER($G132)))),"Fecha no válida"&amp;" · ","")&amp;IF(AND(ISNUMBER($AM132),ISNUMBER($AN132),$AM132&gt;$AN132),"Inicio posterior a fecha límite"&amp;" · ","")&amp;IF(AND($V132="Macro",$H132&lt;&gt;"",OR(NOT(ISNUMBER($H132)),$H132&lt;0,$H132&gt;1)),"Peso fuera de rango"&amp;" · ","")&amp;IF(AND($V132="Sub",$H132&lt;&gt;""),"Las subactividades no llevan peso (valen igual dentro de su macroactividad)"&amp;" · ","")&amp;IF(AND(N($W132)&gt;0,COUNT($I132:$L132)&gt;0),"Con subactividades: deje vacías las semanas (se calculan solas)"&amp;" · ","")&amp;IF((COUNTIF($I132:$L132,"&gt;1")+COUNTIF($I132:$L132,"&lt;0")+COUNTA($I132:$L132)-COUNT($I132:$L132))&gt;0,"Avance fuera de rango 0-100%"&amp;" · ","")&amp;IF(OR(AND($J132&lt;&gt;"",$J132&lt;$I132),AND($K132&lt;&gt;"",$K132&lt;MAX($I132:$J132)),AND($L132&lt;&gt;"",$L132&lt;MAX($I132:$K132))),"Avance semanal decreciente"&amp;" · ","")&amp;IF(AND(ISNUMBER($AN132),$AN132&lt;FechaRef,IF($V132="Sub",N($X132),N($M132))&lt;1),"Vencida"&amp;" · ","")&amp;IF(AND(ObsObligatoria="Sí",ISNUMBER($AN132),$AN132&lt;FechaRef,IF($V132="Sub",N($X132),N($M132))&lt;1,$Q132=""),"Vencida sin observación"&amp;" · ",""))-3)))</f>
        <v/>
      </c>
      <c r="S132" s="64">
        <f>IF(NOT((COUNTA($B132:$D132)+COUNTA($G132:$L132)+COUNTA($Q132))&gt;0),"",IF(AND($V132="Sub",N($U132)&gt;0),IF(ISNUMBER(INDEX($AM$5:$AM$1000,$U132-4)),DATE(YEAR(INDEX($AM$5:$AM$1000,$U132-4)),MONTH(INDEX($AM$5:$AM$1000,$U132-4)),1),IF(ISNUMBER(INDEX($AN$5:$AN$1000,$U132-4)),DATE(YEAR(INDEX($AN$5:$AN$1000,$U132-4)),MONTH(INDEX($AN$5:$AN$1000,$U132-4)),1),MesCiclo)),IF(ISNUMBER($AM132),DATE(YEAR($AM132),MONTH($AM132),1),IF(ISNUMBER($AN132),DATE(YEAR($AN132),MONTH($AN132),1),MesCiclo))))</f>
        <v/>
      </c>
      <c r="T132" s="62">
        <f>IF(OR($S132="",$S132&lt;&gt;MesCiclo,$V132&lt;&gt;"Macro"),"",COUNTIFS($S$5:$S132,MesCiclo,$V$5:$V132,"Macro"))</f>
        <v/>
      </c>
      <c r="U132" s="62">
        <f>IF($V132="","",IF($V132="Macro",ROW(),IFERROR(LOOKUP(2,1/($V$5:$V132="Macro"),ROW($V$5:$V132)),0)))</f>
        <v/>
      </c>
      <c r="V132" s="62">
        <f>IF(NOT((COUNTA($B132:$D132)+COUNTA($G132:$L132)+COUNTA($Q132))&gt;0),"",IF($B132="Subactividad","Sub","Macro"))</f>
        <v/>
      </c>
      <c r="W132" s="62">
        <f>IF($V132="Macro",COUNTIFS($U$5:$U$1000,ROW(),$V$5:$V$1000,"Sub"),"")</f>
        <v/>
      </c>
      <c r="X132" s="62">
        <f>IF($V132="","",IF(ISNUMBER($G132),1,IFERROR(LOOKUP(2,1/($I132:$L132&lt;&gt;""),$I132:$L132),0)))</f>
        <v/>
      </c>
      <c r="Y132" s="62">
        <f>IF($V132="","",IF(AND(ISNUMBER($G132),$G132&lt;=IF($S132=MesCiclo,InicioCiclo,$S132+MOD(2-WEEKDAY($S132),7))+6),1,IF(ISNUMBER($I132),$I132,0)))</f>
        <v/>
      </c>
      <c r="Z132" s="62">
        <f>IF($V132="","",IF(AND(ISNUMBER($G132),$G132&lt;=IF($S132=MesCiclo,InicioCiclo,$S132+MOD(2-WEEKDAY($S132),7))+13),1,IF(ISNUMBER($J132),$J132,$Y132)))</f>
        <v/>
      </c>
      <c r="AA132" s="62">
        <f>IF($V132="","",IF(AND(ISNUMBER($G132),$G132&lt;=IF($S132=MesCiclo,InicioCiclo,$S132+MOD(2-WEEKDAY($S132),7))+20),1,IF(ISNUMBER($K132),$K132,$Z132)))</f>
        <v/>
      </c>
      <c r="AB132" s="62">
        <f>IF($V132="","",IF(AND(ISNUMBER($G132),$G132&lt;=IF($S132=MesCiclo,InicioCiclo,$S132+MOD(2-WEEKDAY($S132),7))+27),1,IF(ISNUMBER($L132),$L132,$AA132)))</f>
        <v/>
      </c>
      <c r="AC132" s="62">
        <f>IF($V132="","",IF(AND(ISNUMBER($G132),$G132&lt;=IF($S132=MesCiclo,InicioCiclo,$S132+MOD(2-WEEKDAY($S132),7))+6),1,IF(N($W132)&gt;0,AVERAGEIFS($Y$5:$Y$1000,$U$5:$U$1000,ROW(),$V$5:$V$1000,"Sub"),$Y132)))</f>
        <v/>
      </c>
      <c r="AD132" s="62">
        <f>IF($V132="","",IF(AND(ISNUMBER($G132),$G132&lt;=IF($S132=MesCiclo,InicioCiclo,$S132+MOD(2-WEEKDAY($S132),7))+13),1,IF(N($W132)&gt;0,AVERAGEIFS($Z$5:$Z$1000,$U$5:$U$1000,ROW(),$V$5:$V$1000,"Sub"),$Z132)))</f>
        <v/>
      </c>
      <c r="AE132" s="62">
        <f>IF($V132="","",IF(AND(ISNUMBER($G132),$G132&lt;=IF($S132=MesCiclo,InicioCiclo,$S132+MOD(2-WEEKDAY($S132),7))+20),1,IF(N($W132)&gt;0,AVERAGEIFS($AA$5:$AA$1000,$U$5:$U$1000,ROW(),$V$5:$V$1000,"Sub"),$AA132)))</f>
        <v/>
      </c>
      <c r="AF132" s="62">
        <f>IF($V132="","",IF(AND(ISNUMBER($G132),$G132&lt;=IF($S132=MesCiclo,InicioCiclo,$S132+MOD(2-WEEKDAY($S132),7))+27),1,IF(N($W132)&gt;0,AVERAGEIFS($AB$5:$AB$1000,$U$5:$U$1000,ROW(),$V$5:$V$1000,"Sub"),$AB132)))</f>
        <v/>
      </c>
      <c r="AG132" s="62">
        <f>IF($V132&lt;&gt;"Macro","",IF(COUNTIFS($S$5:$S$1000,$S132,$V$5:$V$1000,"Macro",$H$5:$H$1000,"&gt;0")=0,1/COUNTIFS($S$5:$S$1000,$S132,$V$5:$V$1000,"Macro"),IF(AND(ISNUMBER($H132),N($H132)&gt;0),$H132,SUMIFS($H$5:$H$1000,$S$5:$S$1000,$S132,$V$5:$V$1000,"Macro")/COUNTIFS($S$5:$S$1000,$S132,$V$5:$V$1000,"Macro",$H$5:$H$1000,"&gt;0"))/(COUNTIFS($S$5:$S$1000,$S132,$V$5:$V$1000,"Macro")*SUMIFS($H$5:$H$1000,$S$5:$S$1000,$S132,$V$5:$V$1000,"Macro")/COUNTIFS($S$5:$S$1000,$S132,$V$5:$V$1000,"Macro",$H$5:$H$1000,"&gt;0"))))</f>
        <v/>
      </c>
      <c r="AH132" s="62" t="n"/>
      <c r="AI132" s="62" t="n"/>
      <c r="AJ132" s="62" t="n"/>
      <c r="AK132" s="62" t="n"/>
      <c r="AL132" s="62">
        <f>IF(LEFT($C132,11)="[Jefatura] ",IFERROR(MATCH("Riesgo Financiero|"&amp;MID($C132,12,500),rDname_ADM,0),0),"")</f>
        <v/>
      </c>
      <c r="AM132" s="62">
        <f>IF(N($AL132)&gt;0,INDEX(rIni_ADM,$AL132),IF(ISNUMBER($E132),$E132,""))</f>
        <v/>
      </c>
      <c r="AN132" s="62">
        <f>IF(N($AL132)&gt;0,INDEX(rLim_ADM,$AL132),IF(ISNUMBER($F132),$F132,""))</f>
        <v/>
      </c>
    </row>
    <row r="133">
      <c r="A133" s="56">
        <f>IF(NOT((COUNTA($B133:$D133)+COUNTA($G133:$L133)+COUNTA($Q133))&gt;0),"",IF($V133="Macro",COUNTIFS($V$5:$V133,"Macro",$S$5:$S133,$S133),IF(N($U133)=0,"?",COUNTIFS(INDEX($V$5:$V$1000,1):INDEX($V$5:$V$1000,$U133-4),"Macro",INDEX($S$5:$S$1000,1):INDEX($S$5:$S$1000,$U133-4),INDEX($S$5:$S$1000,$U133-4))&amp;"."&amp;COUNTIFS($U$5:$U133,$U133,$V$5:$V133,"Sub"))))</f>
        <v/>
      </c>
      <c r="B133" s="57" t="n"/>
      <c r="C133" s="58" t="n"/>
      <c r="D133" s="58" t="n"/>
      <c r="E133" s="59">
        <f>IF(N($AL133)&gt;0,INDEX(rIni_ADM,$AL133),"")</f>
        <v/>
      </c>
      <c r="F133" s="59">
        <f>IF(N($AL133)&gt;0,INDEX(rLim_ADM,$AL133),"")</f>
        <v/>
      </c>
      <c r="G133" s="59" t="n"/>
      <c r="H133" s="60" t="n"/>
      <c r="I133" s="60" t="n"/>
      <c r="J133" s="60" t="n"/>
      <c r="K133" s="60" t="n"/>
      <c r="L133" s="60" t="n"/>
      <c r="M133" s="61">
        <f>IF(NOT((COUNTA($B133:$D133)+COUNTA($G133:$L133)+COUNTA($Q133))&gt;0),"",IF($V133="Sub",IFERROR($X133/INDEX($W$5:$W$1000,$U133-4),""),IF(ISNUMBER($G133),1,IF(N($W133)&gt;0,AVERAGEIFS($X$5:$X$1000,$U$5:$U$1000,ROW(),$V$5:$V$1000,"Sub"),$X133))))</f>
        <v/>
      </c>
      <c r="N133" s="56">
        <f>IF(OR($M133="",$V133="Sub"),"",IF($M133&gt;=1,"Completado",IF($M133&gt;0,"En curso","Pendiente")))</f>
        <v/>
      </c>
      <c r="O133" s="56">
        <f>IF(OR(NOT((COUNTA($B133:$D133)+COUNTA($G133:$L133)+COUNTA($Q133))&gt;0),$V133="Sub"),"",IF(ISNUMBER($G133),IF(AND(ISNUMBER($AN133),$G133&gt;$AN133),"Cumplida con "&amp;($G133-$AN133)&amp;IF($G133-$AN133=1," día"," días")&amp;" de retraso","Cumplida"),IF(N($M133)&gt;=1,"Cumplida",IF(NOT(ISNUMBER($AN133)),"Sin fecha límite",IF($AN133&lt;FechaRef,"Vencida hace "&amp;(FechaRef-$AN133)&amp;IF(FechaRef-$AN133=1," día"," días"),IF($AN133=FechaRef,"Vence hoy",IF($AN133-FechaRef&lt;=DiasAlerta,"Vence en "&amp;($AN133-FechaRef)&amp;IF($AN133-FechaRef=1," día"," días"),"En plazo")))))))</f>
        <v/>
      </c>
      <c r="P133" s="62" t="n"/>
      <c r="Q133" s="58" t="n"/>
      <c r="R133" s="63">
        <f>IF(NOT((COUNTA($B133:$D133)+COUNTA($G133:$L133)+COUNTA($Q133))&gt;0),"",IF((IF($C133="","Falta el nombre de la actividad"&amp;" · ","")&amp;IF(AND($V133="Sub",N($U133)=0),"Subactividad sin macroactividad arriba"&amp;" · ","")&amp;IF($AM133="","Sin fecha de inicio"&amp;" · ","")&amp;IF($AN133="","Sin fecha límite"&amp;" · ","")&amp;IF(AND(LEFT($C133,11)="[Jefatura] ",N($AL133)=0),"No se encuentra en la hoja de la jefatura (elíjala de nuevo en la lista)"&amp;" · ","")&amp;IF(OR(AND($E133&lt;&gt;"",NOT(ISNUMBER($E133))),AND($F133&lt;&gt;"",NOT(ISNUMBER($F133))),AND($G133&lt;&gt;"",NOT(ISNUMBER($G133)))),"Fecha no válida"&amp;" · ","")&amp;IF(AND(ISNUMBER($AM133),ISNUMBER($AN133),$AM133&gt;$AN133),"Inicio posterior a fecha límite"&amp;" · ","")&amp;IF(AND($V133="Macro",$H133&lt;&gt;"",OR(NOT(ISNUMBER($H133)),$H133&lt;0,$H133&gt;1)),"Peso fuera de rango"&amp;" · ","")&amp;IF(AND($V133="Sub",$H133&lt;&gt;""),"Las subactividades no llevan peso (valen igual dentro de su macroactividad)"&amp;" · ","")&amp;IF(AND(N($W133)&gt;0,COUNT($I133:$L133)&gt;0),"Con subactividades: deje vacías las semanas (se calculan solas)"&amp;" · ","")&amp;IF((COUNTIF($I133:$L133,"&gt;1")+COUNTIF($I133:$L133,"&lt;0")+COUNTA($I133:$L133)-COUNT($I133:$L133))&gt;0,"Avance fuera de rango 0-100%"&amp;" · ","")&amp;IF(OR(AND($J133&lt;&gt;"",$J133&lt;$I133),AND($K133&lt;&gt;"",$K133&lt;MAX($I133:$J133)),AND($L133&lt;&gt;"",$L133&lt;MAX($I133:$K133))),"Avance semanal decreciente"&amp;" · ","")&amp;IF(AND(ISNUMBER($AN133),$AN133&lt;FechaRef,IF($V133="Sub",N($X133),N($M133))&lt;1),"Vencida"&amp;" · ","")&amp;IF(AND(ObsObligatoria="Sí",ISNUMBER($AN133),$AN133&lt;FechaRef,IF($V133="Sub",N($X133),N($M133))&lt;1,$Q133=""),"Vencida sin observación"&amp;" · ",""))="","✔ OK","⚠ "&amp;LEFT(IF($C133="","Falta el nombre de la actividad"&amp;" · ","")&amp;IF(AND($V133="Sub",N($U133)=0),"Subactividad sin macroactividad arriba"&amp;" · ","")&amp;IF($AM133="","Sin fecha de inicio"&amp;" · ","")&amp;IF($AN133="","Sin fecha límite"&amp;" · ","")&amp;IF(AND(LEFT($C133,11)="[Jefatura] ",N($AL133)=0),"No se encuentra en la hoja de la jefatura (elíjala de nuevo en la lista)"&amp;" · ","")&amp;IF(OR(AND($E133&lt;&gt;"",NOT(ISNUMBER($E133))),AND($F133&lt;&gt;"",NOT(ISNUMBER($F133))),AND($G133&lt;&gt;"",NOT(ISNUMBER($G133)))),"Fecha no válida"&amp;" · ","")&amp;IF(AND(ISNUMBER($AM133),ISNUMBER($AN133),$AM133&gt;$AN133),"Inicio posterior a fecha límite"&amp;" · ","")&amp;IF(AND($V133="Macro",$H133&lt;&gt;"",OR(NOT(ISNUMBER($H133)),$H133&lt;0,$H133&gt;1)),"Peso fuera de rango"&amp;" · ","")&amp;IF(AND($V133="Sub",$H133&lt;&gt;""),"Las subactividades no llevan peso (valen igual dentro de su macroactividad)"&amp;" · ","")&amp;IF(AND(N($W133)&gt;0,COUNT($I133:$L133)&gt;0),"Con subactividades: deje vacías las semanas (se calculan solas)"&amp;" · ","")&amp;IF((COUNTIF($I133:$L133,"&gt;1")+COUNTIF($I133:$L133,"&lt;0")+COUNTA($I133:$L133)-COUNT($I133:$L133))&gt;0,"Avance fuera de rango 0-100%"&amp;" · ","")&amp;IF(OR(AND($J133&lt;&gt;"",$J133&lt;$I133),AND($K133&lt;&gt;"",$K133&lt;MAX($I133:$J133)),AND($L133&lt;&gt;"",$L133&lt;MAX($I133:$K133))),"Avance semanal decreciente"&amp;" · ","")&amp;IF(AND(ISNUMBER($AN133),$AN133&lt;FechaRef,IF($V133="Sub",N($X133),N($M133))&lt;1),"Vencida"&amp;" · ","")&amp;IF(AND(ObsObligatoria="Sí",ISNUMBER($AN133),$AN133&lt;FechaRef,IF($V133="Sub",N($X133),N($M133))&lt;1,$Q133=""),"Vencida sin observación"&amp;" · ",""),LEN(IF($C133="","Falta el nombre de la actividad"&amp;" · ","")&amp;IF(AND($V133="Sub",N($U133)=0),"Subactividad sin macroactividad arriba"&amp;" · ","")&amp;IF($AM133="","Sin fecha de inicio"&amp;" · ","")&amp;IF($AN133="","Sin fecha límite"&amp;" · ","")&amp;IF(AND(LEFT($C133,11)="[Jefatura] ",N($AL133)=0),"No se encuentra en la hoja de la jefatura (elíjala de nuevo en la lista)"&amp;" · ","")&amp;IF(OR(AND($E133&lt;&gt;"",NOT(ISNUMBER($E133))),AND($F133&lt;&gt;"",NOT(ISNUMBER($F133))),AND($G133&lt;&gt;"",NOT(ISNUMBER($G133)))),"Fecha no válida"&amp;" · ","")&amp;IF(AND(ISNUMBER($AM133),ISNUMBER($AN133),$AM133&gt;$AN133),"Inicio posterior a fecha límite"&amp;" · ","")&amp;IF(AND($V133="Macro",$H133&lt;&gt;"",OR(NOT(ISNUMBER($H133)),$H133&lt;0,$H133&gt;1)),"Peso fuera de rango"&amp;" · ","")&amp;IF(AND($V133="Sub",$H133&lt;&gt;""),"Las subactividades no llevan peso (valen igual dentro de su macroactividad)"&amp;" · ","")&amp;IF(AND(N($W133)&gt;0,COUNT($I133:$L133)&gt;0),"Con subactividades: deje vacías las semanas (se calculan solas)"&amp;" · ","")&amp;IF((COUNTIF($I133:$L133,"&gt;1")+COUNTIF($I133:$L133,"&lt;0")+COUNTA($I133:$L133)-COUNT($I133:$L133))&gt;0,"Avance fuera de rango 0-100%"&amp;" · ","")&amp;IF(OR(AND($J133&lt;&gt;"",$J133&lt;$I133),AND($K133&lt;&gt;"",$K133&lt;MAX($I133:$J133)),AND($L133&lt;&gt;"",$L133&lt;MAX($I133:$K133))),"Avance semanal decreciente"&amp;" · ","")&amp;IF(AND(ISNUMBER($AN133),$AN133&lt;FechaRef,IF($V133="Sub",N($X133),N($M133))&lt;1),"Vencida"&amp;" · ","")&amp;IF(AND(ObsObligatoria="Sí",ISNUMBER($AN133),$AN133&lt;FechaRef,IF($V133="Sub",N($X133),N($M133))&lt;1,$Q133=""),"Vencida sin observación"&amp;" · ",""))-3)))</f>
        <v/>
      </c>
      <c r="S133" s="64">
        <f>IF(NOT((COUNTA($B133:$D133)+COUNTA($G133:$L133)+COUNTA($Q133))&gt;0),"",IF(AND($V133="Sub",N($U133)&gt;0),IF(ISNUMBER(INDEX($AM$5:$AM$1000,$U133-4)),DATE(YEAR(INDEX($AM$5:$AM$1000,$U133-4)),MONTH(INDEX($AM$5:$AM$1000,$U133-4)),1),IF(ISNUMBER(INDEX($AN$5:$AN$1000,$U133-4)),DATE(YEAR(INDEX($AN$5:$AN$1000,$U133-4)),MONTH(INDEX($AN$5:$AN$1000,$U133-4)),1),MesCiclo)),IF(ISNUMBER($AM133),DATE(YEAR($AM133),MONTH($AM133),1),IF(ISNUMBER($AN133),DATE(YEAR($AN133),MONTH($AN133),1),MesCiclo))))</f>
        <v/>
      </c>
      <c r="T133" s="62">
        <f>IF(OR($S133="",$S133&lt;&gt;MesCiclo,$V133&lt;&gt;"Macro"),"",COUNTIFS($S$5:$S133,MesCiclo,$V$5:$V133,"Macro"))</f>
        <v/>
      </c>
      <c r="U133" s="62">
        <f>IF($V133="","",IF($V133="Macro",ROW(),IFERROR(LOOKUP(2,1/($V$5:$V133="Macro"),ROW($V$5:$V133)),0)))</f>
        <v/>
      </c>
      <c r="V133" s="62">
        <f>IF(NOT((COUNTA($B133:$D133)+COUNTA($G133:$L133)+COUNTA($Q133))&gt;0),"",IF($B133="Subactividad","Sub","Macro"))</f>
        <v/>
      </c>
      <c r="W133" s="62">
        <f>IF($V133="Macro",COUNTIFS($U$5:$U$1000,ROW(),$V$5:$V$1000,"Sub"),"")</f>
        <v/>
      </c>
      <c r="X133" s="62">
        <f>IF($V133="","",IF(ISNUMBER($G133),1,IFERROR(LOOKUP(2,1/($I133:$L133&lt;&gt;""),$I133:$L133),0)))</f>
        <v/>
      </c>
      <c r="Y133" s="62">
        <f>IF($V133="","",IF(AND(ISNUMBER($G133),$G133&lt;=IF($S133=MesCiclo,InicioCiclo,$S133+MOD(2-WEEKDAY($S133),7))+6),1,IF(ISNUMBER($I133),$I133,0)))</f>
        <v/>
      </c>
      <c r="Z133" s="62">
        <f>IF($V133="","",IF(AND(ISNUMBER($G133),$G133&lt;=IF($S133=MesCiclo,InicioCiclo,$S133+MOD(2-WEEKDAY($S133),7))+13),1,IF(ISNUMBER($J133),$J133,$Y133)))</f>
        <v/>
      </c>
      <c r="AA133" s="62">
        <f>IF($V133="","",IF(AND(ISNUMBER($G133),$G133&lt;=IF($S133=MesCiclo,InicioCiclo,$S133+MOD(2-WEEKDAY($S133),7))+20),1,IF(ISNUMBER($K133),$K133,$Z133)))</f>
        <v/>
      </c>
      <c r="AB133" s="62">
        <f>IF($V133="","",IF(AND(ISNUMBER($G133),$G133&lt;=IF($S133=MesCiclo,InicioCiclo,$S133+MOD(2-WEEKDAY($S133),7))+27),1,IF(ISNUMBER($L133),$L133,$AA133)))</f>
        <v/>
      </c>
      <c r="AC133" s="62">
        <f>IF($V133="","",IF(AND(ISNUMBER($G133),$G133&lt;=IF($S133=MesCiclo,InicioCiclo,$S133+MOD(2-WEEKDAY($S133),7))+6),1,IF(N($W133)&gt;0,AVERAGEIFS($Y$5:$Y$1000,$U$5:$U$1000,ROW(),$V$5:$V$1000,"Sub"),$Y133)))</f>
        <v/>
      </c>
      <c r="AD133" s="62">
        <f>IF($V133="","",IF(AND(ISNUMBER($G133),$G133&lt;=IF($S133=MesCiclo,InicioCiclo,$S133+MOD(2-WEEKDAY($S133),7))+13),1,IF(N($W133)&gt;0,AVERAGEIFS($Z$5:$Z$1000,$U$5:$U$1000,ROW(),$V$5:$V$1000,"Sub"),$Z133)))</f>
        <v/>
      </c>
      <c r="AE133" s="62">
        <f>IF($V133="","",IF(AND(ISNUMBER($G133),$G133&lt;=IF($S133=MesCiclo,InicioCiclo,$S133+MOD(2-WEEKDAY($S133),7))+20),1,IF(N($W133)&gt;0,AVERAGEIFS($AA$5:$AA$1000,$U$5:$U$1000,ROW(),$V$5:$V$1000,"Sub"),$AA133)))</f>
        <v/>
      </c>
      <c r="AF133" s="62">
        <f>IF($V133="","",IF(AND(ISNUMBER($G133),$G133&lt;=IF($S133=MesCiclo,InicioCiclo,$S133+MOD(2-WEEKDAY($S133),7))+27),1,IF(N($W133)&gt;0,AVERAGEIFS($AB$5:$AB$1000,$U$5:$U$1000,ROW(),$V$5:$V$1000,"Sub"),$AB133)))</f>
        <v/>
      </c>
      <c r="AG133" s="62">
        <f>IF($V133&lt;&gt;"Macro","",IF(COUNTIFS($S$5:$S$1000,$S133,$V$5:$V$1000,"Macro",$H$5:$H$1000,"&gt;0")=0,1/COUNTIFS($S$5:$S$1000,$S133,$V$5:$V$1000,"Macro"),IF(AND(ISNUMBER($H133),N($H133)&gt;0),$H133,SUMIFS($H$5:$H$1000,$S$5:$S$1000,$S133,$V$5:$V$1000,"Macro")/COUNTIFS($S$5:$S$1000,$S133,$V$5:$V$1000,"Macro",$H$5:$H$1000,"&gt;0"))/(COUNTIFS($S$5:$S$1000,$S133,$V$5:$V$1000,"Macro")*SUMIFS($H$5:$H$1000,$S$5:$S$1000,$S133,$V$5:$V$1000,"Macro")/COUNTIFS($S$5:$S$1000,$S133,$V$5:$V$1000,"Macro",$H$5:$H$1000,"&gt;0"))))</f>
        <v/>
      </c>
      <c r="AH133" s="62" t="n"/>
      <c r="AI133" s="62" t="n"/>
      <c r="AJ133" s="62" t="n"/>
      <c r="AK133" s="62" t="n"/>
      <c r="AL133" s="62">
        <f>IF(LEFT($C133,11)="[Jefatura] ",IFERROR(MATCH("Riesgo Financiero|"&amp;MID($C133,12,500),rDname_ADM,0),0),"")</f>
        <v/>
      </c>
      <c r="AM133" s="62">
        <f>IF(N($AL133)&gt;0,INDEX(rIni_ADM,$AL133),IF(ISNUMBER($E133),$E133,""))</f>
        <v/>
      </c>
      <c r="AN133" s="62">
        <f>IF(N($AL133)&gt;0,INDEX(rLim_ADM,$AL133),IF(ISNUMBER($F133),$F133,""))</f>
        <v/>
      </c>
    </row>
    <row r="134">
      <c r="A134" s="56">
        <f>IF(NOT((COUNTA($B134:$D134)+COUNTA($G134:$L134)+COUNTA($Q134))&gt;0),"",IF($V134="Macro",COUNTIFS($V$5:$V134,"Macro",$S$5:$S134,$S134),IF(N($U134)=0,"?",COUNTIFS(INDEX($V$5:$V$1000,1):INDEX($V$5:$V$1000,$U134-4),"Macro",INDEX($S$5:$S$1000,1):INDEX($S$5:$S$1000,$U134-4),INDEX($S$5:$S$1000,$U134-4))&amp;"."&amp;COUNTIFS($U$5:$U134,$U134,$V$5:$V134,"Sub"))))</f>
        <v/>
      </c>
      <c r="B134" s="57" t="n"/>
      <c r="C134" s="58" t="n"/>
      <c r="D134" s="58" t="n"/>
      <c r="E134" s="59">
        <f>IF(N($AL134)&gt;0,INDEX(rIni_ADM,$AL134),"")</f>
        <v/>
      </c>
      <c r="F134" s="59">
        <f>IF(N($AL134)&gt;0,INDEX(rLim_ADM,$AL134),"")</f>
        <v/>
      </c>
      <c r="G134" s="59" t="n"/>
      <c r="H134" s="60" t="n"/>
      <c r="I134" s="60" t="n"/>
      <c r="J134" s="60" t="n"/>
      <c r="K134" s="60" t="n"/>
      <c r="L134" s="60" t="n"/>
      <c r="M134" s="61">
        <f>IF(NOT((COUNTA($B134:$D134)+COUNTA($G134:$L134)+COUNTA($Q134))&gt;0),"",IF($V134="Sub",IFERROR($X134/INDEX($W$5:$W$1000,$U134-4),""),IF(ISNUMBER($G134),1,IF(N($W134)&gt;0,AVERAGEIFS($X$5:$X$1000,$U$5:$U$1000,ROW(),$V$5:$V$1000,"Sub"),$X134))))</f>
        <v/>
      </c>
      <c r="N134" s="56">
        <f>IF(OR($M134="",$V134="Sub"),"",IF($M134&gt;=1,"Completado",IF($M134&gt;0,"En curso","Pendiente")))</f>
        <v/>
      </c>
      <c r="O134" s="56">
        <f>IF(OR(NOT((COUNTA($B134:$D134)+COUNTA($G134:$L134)+COUNTA($Q134))&gt;0),$V134="Sub"),"",IF(ISNUMBER($G134),IF(AND(ISNUMBER($AN134),$G134&gt;$AN134),"Cumplida con "&amp;($G134-$AN134)&amp;IF($G134-$AN134=1," día"," días")&amp;" de retraso","Cumplida"),IF(N($M134)&gt;=1,"Cumplida",IF(NOT(ISNUMBER($AN134)),"Sin fecha límite",IF($AN134&lt;FechaRef,"Vencida hace "&amp;(FechaRef-$AN134)&amp;IF(FechaRef-$AN134=1," día"," días"),IF($AN134=FechaRef,"Vence hoy",IF($AN134-FechaRef&lt;=DiasAlerta,"Vence en "&amp;($AN134-FechaRef)&amp;IF($AN134-FechaRef=1," día"," días"),"En plazo")))))))</f>
        <v/>
      </c>
      <c r="P134" s="62" t="n"/>
      <c r="Q134" s="58" t="n"/>
      <c r="R134" s="63">
        <f>IF(NOT((COUNTA($B134:$D134)+COUNTA($G134:$L134)+COUNTA($Q134))&gt;0),"",IF((IF($C134="","Falta el nombre de la actividad"&amp;" · ","")&amp;IF(AND($V134="Sub",N($U134)=0),"Subactividad sin macroactividad arriba"&amp;" · ","")&amp;IF($AM134="","Sin fecha de inicio"&amp;" · ","")&amp;IF($AN134="","Sin fecha límite"&amp;" · ","")&amp;IF(AND(LEFT($C134,11)="[Jefatura] ",N($AL134)=0),"No se encuentra en la hoja de la jefatura (elíjala de nuevo en la lista)"&amp;" · ","")&amp;IF(OR(AND($E134&lt;&gt;"",NOT(ISNUMBER($E134))),AND($F134&lt;&gt;"",NOT(ISNUMBER($F134))),AND($G134&lt;&gt;"",NOT(ISNUMBER($G134)))),"Fecha no válida"&amp;" · ","")&amp;IF(AND(ISNUMBER($AM134),ISNUMBER($AN134),$AM134&gt;$AN134),"Inicio posterior a fecha límite"&amp;" · ","")&amp;IF(AND($V134="Macro",$H134&lt;&gt;"",OR(NOT(ISNUMBER($H134)),$H134&lt;0,$H134&gt;1)),"Peso fuera de rango"&amp;" · ","")&amp;IF(AND($V134="Sub",$H134&lt;&gt;""),"Las subactividades no llevan peso (valen igual dentro de su macroactividad)"&amp;" · ","")&amp;IF(AND(N($W134)&gt;0,COUNT($I134:$L134)&gt;0),"Con subactividades: deje vacías las semanas (se calculan solas)"&amp;" · ","")&amp;IF((COUNTIF($I134:$L134,"&gt;1")+COUNTIF($I134:$L134,"&lt;0")+COUNTA($I134:$L134)-COUNT($I134:$L134))&gt;0,"Avance fuera de rango 0-100%"&amp;" · ","")&amp;IF(OR(AND($J134&lt;&gt;"",$J134&lt;$I134),AND($K134&lt;&gt;"",$K134&lt;MAX($I134:$J134)),AND($L134&lt;&gt;"",$L134&lt;MAX($I134:$K134))),"Avance semanal decreciente"&amp;" · ","")&amp;IF(AND(ISNUMBER($AN134),$AN134&lt;FechaRef,IF($V134="Sub",N($X134),N($M134))&lt;1),"Vencida"&amp;" · ","")&amp;IF(AND(ObsObligatoria="Sí",ISNUMBER($AN134),$AN134&lt;FechaRef,IF($V134="Sub",N($X134),N($M134))&lt;1,$Q134=""),"Vencida sin observación"&amp;" · ",""))="","✔ OK","⚠ "&amp;LEFT(IF($C134="","Falta el nombre de la actividad"&amp;" · ","")&amp;IF(AND($V134="Sub",N($U134)=0),"Subactividad sin macroactividad arriba"&amp;" · ","")&amp;IF($AM134="","Sin fecha de inicio"&amp;" · ","")&amp;IF($AN134="","Sin fecha límite"&amp;" · ","")&amp;IF(AND(LEFT($C134,11)="[Jefatura] ",N($AL134)=0),"No se encuentra en la hoja de la jefatura (elíjala de nuevo en la lista)"&amp;" · ","")&amp;IF(OR(AND($E134&lt;&gt;"",NOT(ISNUMBER($E134))),AND($F134&lt;&gt;"",NOT(ISNUMBER($F134))),AND($G134&lt;&gt;"",NOT(ISNUMBER($G134)))),"Fecha no válida"&amp;" · ","")&amp;IF(AND(ISNUMBER($AM134),ISNUMBER($AN134),$AM134&gt;$AN134),"Inicio posterior a fecha límite"&amp;" · ","")&amp;IF(AND($V134="Macro",$H134&lt;&gt;"",OR(NOT(ISNUMBER($H134)),$H134&lt;0,$H134&gt;1)),"Peso fuera de rango"&amp;" · ","")&amp;IF(AND($V134="Sub",$H134&lt;&gt;""),"Las subactividades no llevan peso (valen igual dentro de su macroactividad)"&amp;" · ","")&amp;IF(AND(N($W134)&gt;0,COUNT($I134:$L134)&gt;0),"Con subactividades: deje vacías las semanas (se calculan solas)"&amp;" · ","")&amp;IF((COUNTIF($I134:$L134,"&gt;1")+COUNTIF($I134:$L134,"&lt;0")+COUNTA($I134:$L134)-COUNT($I134:$L134))&gt;0,"Avance fuera de rango 0-100%"&amp;" · ","")&amp;IF(OR(AND($J134&lt;&gt;"",$J134&lt;$I134),AND($K134&lt;&gt;"",$K134&lt;MAX($I134:$J134)),AND($L134&lt;&gt;"",$L134&lt;MAX($I134:$K134))),"Avance semanal decreciente"&amp;" · ","")&amp;IF(AND(ISNUMBER($AN134),$AN134&lt;FechaRef,IF($V134="Sub",N($X134),N($M134))&lt;1),"Vencida"&amp;" · ","")&amp;IF(AND(ObsObligatoria="Sí",ISNUMBER($AN134),$AN134&lt;FechaRef,IF($V134="Sub",N($X134),N($M134))&lt;1,$Q134=""),"Vencida sin observación"&amp;" · ",""),LEN(IF($C134="","Falta el nombre de la actividad"&amp;" · ","")&amp;IF(AND($V134="Sub",N($U134)=0),"Subactividad sin macroactividad arriba"&amp;" · ","")&amp;IF($AM134="","Sin fecha de inicio"&amp;" · ","")&amp;IF($AN134="","Sin fecha límite"&amp;" · ","")&amp;IF(AND(LEFT($C134,11)="[Jefatura] ",N($AL134)=0),"No se encuentra en la hoja de la jefatura (elíjala de nuevo en la lista)"&amp;" · ","")&amp;IF(OR(AND($E134&lt;&gt;"",NOT(ISNUMBER($E134))),AND($F134&lt;&gt;"",NOT(ISNUMBER($F134))),AND($G134&lt;&gt;"",NOT(ISNUMBER($G134)))),"Fecha no válida"&amp;" · ","")&amp;IF(AND(ISNUMBER($AM134),ISNUMBER($AN134),$AM134&gt;$AN134),"Inicio posterior a fecha límite"&amp;" · ","")&amp;IF(AND($V134="Macro",$H134&lt;&gt;"",OR(NOT(ISNUMBER($H134)),$H134&lt;0,$H134&gt;1)),"Peso fuera de rango"&amp;" · ","")&amp;IF(AND($V134="Sub",$H134&lt;&gt;""),"Las subactividades no llevan peso (valen igual dentro de su macroactividad)"&amp;" · ","")&amp;IF(AND(N($W134)&gt;0,COUNT($I134:$L134)&gt;0),"Con subactividades: deje vacías las semanas (se calculan solas)"&amp;" · ","")&amp;IF((COUNTIF($I134:$L134,"&gt;1")+COUNTIF($I134:$L134,"&lt;0")+COUNTA($I134:$L134)-COUNT($I134:$L134))&gt;0,"Avance fuera de rango 0-100%"&amp;" · ","")&amp;IF(OR(AND($J134&lt;&gt;"",$J134&lt;$I134),AND($K134&lt;&gt;"",$K134&lt;MAX($I134:$J134)),AND($L134&lt;&gt;"",$L134&lt;MAX($I134:$K134))),"Avance semanal decreciente"&amp;" · ","")&amp;IF(AND(ISNUMBER($AN134),$AN134&lt;FechaRef,IF($V134="Sub",N($X134),N($M134))&lt;1),"Vencida"&amp;" · ","")&amp;IF(AND(ObsObligatoria="Sí",ISNUMBER($AN134),$AN134&lt;FechaRef,IF($V134="Sub",N($X134),N($M134))&lt;1,$Q134=""),"Vencida sin observación"&amp;" · ",""))-3)))</f>
        <v/>
      </c>
      <c r="S134" s="64">
        <f>IF(NOT((COUNTA($B134:$D134)+COUNTA($G134:$L134)+COUNTA($Q134))&gt;0),"",IF(AND($V134="Sub",N($U134)&gt;0),IF(ISNUMBER(INDEX($AM$5:$AM$1000,$U134-4)),DATE(YEAR(INDEX($AM$5:$AM$1000,$U134-4)),MONTH(INDEX($AM$5:$AM$1000,$U134-4)),1),IF(ISNUMBER(INDEX($AN$5:$AN$1000,$U134-4)),DATE(YEAR(INDEX($AN$5:$AN$1000,$U134-4)),MONTH(INDEX($AN$5:$AN$1000,$U134-4)),1),MesCiclo)),IF(ISNUMBER($AM134),DATE(YEAR($AM134),MONTH($AM134),1),IF(ISNUMBER($AN134),DATE(YEAR($AN134),MONTH($AN134),1),MesCiclo))))</f>
        <v/>
      </c>
      <c r="T134" s="62">
        <f>IF(OR($S134="",$S134&lt;&gt;MesCiclo,$V134&lt;&gt;"Macro"),"",COUNTIFS($S$5:$S134,MesCiclo,$V$5:$V134,"Macro"))</f>
        <v/>
      </c>
      <c r="U134" s="62">
        <f>IF($V134="","",IF($V134="Macro",ROW(),IFERROR(LOOKUP(2,1/($V$5:$V134="Macro"),ROW($V$5:$V134)),0)))</f>
        <v/>
      </c>
      <c r="V134" s="62">
        <f>IF(NOT((COUNTA($B134:$D134)+COUNTA($G134:$L134)+COUNTA($Q134))&gt;0),"",IF($B134="Subactividad","Sub","Macro"))</f>
        <v/>
      </c>
      <c r="W134" s="62">
        <f>IF($V134="Macro",COUNTIFS($U$5:$U$1000,ROW(),$V$5:$V$1000,"Sub"),"")</f>
        <v/>
      </c>
      <c r="X134" s="62">
        <f>IF($V134="","",IF(ISNUMBER($G134),1,IFERROR(LOOKUP(2,1/($I134:$L134&lt;&gt;""),$I134:$L134),0)))</f>
        <v/>
      </c>
      <c r="Y134" s="62">
        <f>IF($V134="","",IF(AND(ISNUMBER($G134),$G134&lt;=IF($S134=MesCiclo,InicioCiclo,$S134+MOD(2-WEEKDAY($S134),7))+6),1,IF(ISNUMBER($I134),$I134,0)))</f>
        <v/>
      </c>
      <c r="Z134" s="62">
        <f>IF($V134="","",IF(AND(ISNUMBER($G134),$G134&lt;=IF($S134=MesCiclo,InicioCiclo,$S134+MOD(2-WEEKDAY($S134),7))+13),1,IF(ISNUMBER($J134),$J134,$Y134)))</f>
        <v/>
      </c>
      <c r="AA134" s="62">
        <f>IF($V134="","",IF(AND(ISNUMBER($G134),$G134&lt;=IF($S134=MesCiclo,InicioCiclo,$S134+MOD(2-WEEKDAY($S134),7))+20),1,IF(ISNUMBER($K134),$K134,$Z134)))</f>
        <v/>
      </c>
      <c r="AB134" s="62">
        <f>IF($V134="","",IF(AND(ISNUMBER($G134),$G134&lt;=IF($S134=MesCiclo,InicioCiclo,$S134+MOD(2-WEEKDAY($S134),7))+27),1,IF(ISNUMBER($L134),$L134,$AA134)))</f>
        <v/>
      </c>
      <c r="AC134" s="62">
        <f>IF($V134="","",IF(AND(ISNUMBER($G134),$G134&lt;=IF($S134=MesCiclo,InicioCiclo,$S134+MOD(2-WEEKDAY($S134),7))+6),1,IF(N($W134)&gt;0,AVERAGEIFS($Y$5:$Y$1000,$U$5:$U$1000,ROW(),$V$5:$V$1000,"Sub"),$Y134)))</f>
        <v/>
      </c>
      <c r="AD134" s="62">
        <f>IF($V134="","",IF(AND(ISNUMBER($G134),$G134&lt;=IF($S134=MesCiclo,InicioCiclo,$S134+MOD(2-WEEKDAY($S134),7))+13),1,IF(N($W134)&gt;0,AVERAGEIFS($Z$5:$Z$1000,$U$5:$U$1000,ROW(),$V$5:$V$1000,"Sub"),$Z134)))</f>
        <v/>
      </c>
      <c r="AE134" s="62">
        <f>IF($V134="","",IF(AND(ISNUMBER($G134),$G134&lt;=IF($S134=MesCiclo,InicioCiclo,$S134+MOD(2-WEEKDAY($S134),7))+20),1,IF(N($W134)&gt;0,AVERAGEIFS($AA$5:$AA$1000,$U$5:$U$1000,ROW(),$V$5:$V$1000,"Sub"),$AA134)))</f>
        <v/>
      </c>
      <c r="AF134" s="62">
        <f>IF($V134="","",IF(AND(ISNUMBER($G134),$G134&lt;=IF($S134=MesCiclo,InicioCiclo,$S134+MOD(2-WEEKDAY($S134),7))+27),1,IF(N($W134)&gt;0,AVERAGEIFS($AB$5:$AB$1000,$U$5:$U$1000,ROW(),$V$5:$V$1000,"Sub"),$AB134)))</f>
        <v/>
      </c>
      <c r="AG134" s="62">
        <f>IF($V134&lt;&gt;"Macro","",IF(COUNTIFS($S$5:$S$1000,$S134,$V$5:$V$1000,"Macro",$H$5:$H$1000,"&gt;0")=0,1/COUNTIFS($S$5:$S$1000,$S134,$V$5:$V$1000,"Macro"),IF(AND(ISNUMBER($H134),N($H134)&gt;0),$H134,SUMIFS($H$5:$H$1000,$S$5:$S$1000,$S134,$V$5:$V$1000,"Macro")/COUNTIFS($S$5:$S$1000,$S134,$V$5:$V$1000,"Macro",$H$5:$H$1000,"&gt;0"))/(COUNTIFS($S$5:$S$1000,$S134,$V$5:$V$1000,"Macro")*SUMIFS($H$5:$H$1000,$S$5:$S$1000,$S134,$V$5:$V$1000,"Macro")/COUNTIFS($S$5:$S$1000,$S134,$V$5:$V$1000,"Macro",$H$5:$H$1000,"&gt;0"))))</f>
        <v/>
      </c>
      <c r="AH134" s="62" t="n"/>
      <c r="AI134" s="62" t="n"/>
      <c r="AJ134" s="62" t="n"/>
      <c r="AK134" s="62" t="n"/>
      <c r="AL134" s="62">
        <f>IF(LEFT($C134,11)="[Jefatura] ",IFERROR(MATCH("Riesgo Financiero|"&amp;MID($C134,12,500),rDname_ADM,0),0),"")</f>
        <v/>
      </c>
      <c r="AM134" s="62">
        <f>IF(N($AL134)&gt;0,INDEX(rIni_ADM,$AL134),IF(ISNUMBER($E134),$E134,""))</f>
        <v/>
      </c>
      <c r="AN134" s="62">
        <f>IF(N($AL134)&gt;0,INDEX(rLim_ADM,$AL134),IF(ISNUMBER($F134),$F134,""))</f>
        <v/>
      </c>
    </row>
    <row r="135">
      <c r="A135" s="56">
        <f>IF(NOT((COUNTA($B135:$D135)+COUNTA($G135:$L135)+COUNTA($Q135))&gt;0),"",IF($V135="Macro",COUNTIFS($V$5:$V135,"Macro",$S$5:$S135,$S135),IF(N($U135)=0,"?",COUNTIFS(INDEX($V$5:$V$1000,1):INDEX($V$5:$V$1000,$U135-4),"Macro",INDEX($S$5:$S$1000,1):INDEX($S$5:$S$1000,$U135-4),INDEX($S$5:$S$1000,$U135-4))&amp;"."&amp;COUNTIFS($U$5:$U135,$U135,$V$5:$V135,"Sub"))))</f>
        <v/>
      </c>
      <c r="B135" s="57" t="n"/>
      <c r="C135" s="58" t="n"/>
      <c r="D135" s="58" t="n"/>
      <c r="E135" s="59">
        <f>IF(N($AL135)&gt;0,INDEX(rIni_ADM,$AL135),"")</f>
        <v/>
      </c>
      <c r="F135" s="59">
        <f>IF(N($AL135)&gt;0,INDEX(rLim_ADM,$AL135),"")</f>
        <v/>
      </c>
      <c r="G135" s="59" t="n"/>
      <c r="H135" s="60" t="n"/>
      <c r="I135" s="60" t="n"/>
      <c r="J135" s="60" t="n"/>
      <c r="K135" s="60" t="n"/>
      <c r="L135" s="60" t="n"/>
      <c r="M135" s="61">
        <f>IF(NOT((COUNTA($B135:$D135)+COUNTA($G135:$L135)+COUNTA($Q135))&gt;0),"",IF($V135="Sub",IFERROR($X135/INDEX($W$5:$W$1000,$U135-4),""),IF(ISNUMBER($G135),1,IF(N($W135)&gt;0,AVERAGEIFS($X$5:$X$1000,$U$5:$U$1000,ROW(),$V$5:$V$1000,"Sub"),$X135))))</f>
        <v/>
      </c>
      <c r="N135" s="56">
        <f>IF(OR($M135="",$V135="Sub"),"",IF($M135&gt;=1,"Completado",IF($M135&gt;0,"En curso","Pendiente")))</f>
        <v/>
      </c>
      <c r="O135" s="56">
        <f>IF(OR(NOT((COUNTA($B135:$D135)+COUNTA($G135:$L135)+COUNTA($Q135))&gt;0),$V135="Sub"),"",IF(ISNUMBER($G135),IF(AND(ISNUMBER($AN135),$G135&gt;$AN135),"Cumplida con "&amp;($G135-$AN135)&amp;IF($G135-$AN135=1," día"," días")&amp;" de retraso","Cumplida"),IF(N($M135)&gt;=1,"Cumplida",IF(NOT(ISNUMBER($AN135)),"Sin fecha límite",IF($AN135&lt;FechaRef,"Vencida hace "&amp;(FechaRef-$AN135)&amp;IF(FechaRef-$AN135=1," día"," días"),IF($AN135=FechaRef,"Vence hoy",IF($AN135-FechaRef&lt;=DiasAlerta,"Vence en "&amp;($AN135-FechaRef)&amp;IF($AN135-FechaRef=1," día"," días"),"En plazo")))))))</f>
        <v/>
      </c>
      <c r="P135" s="62" t="n"/>
      <c r="Q135" s="58" t="n"/>
      <c r="R135" s="63">
        <f>IF(NOT((COUNTA($B135:$D135)+COUNTA($G135:$L135)+COUNTA($Q135))&gt;0),"",IF((IF($C135="","Falta el nombre de la actividad"&amp;" · ","")&amp;IF(AND($V135="Sub",N($U135)=0),"Subactividad sin macroactividad arriba"&amp;" · ","")&amp;IF($AM135="","Sin fecha de inicio"&amp;" · ","")&amp;IF($AN135="","Sin fecha límite"&amp;" · ","")&amp;IF(AND(LEFT($C135,11)="[Jefatura] ",N($AL135)=0),"No se encuentra en la hoja de la jefatura (elíjala de nuevo en la lista)"&amp;" · ","")&amp;IF(OR(AND($E135&lt;&gt;"",NOT(ISNUMBER($E135))),AND($F135&lt;&gt;"",NOT(ISNUMBER($F135))),AND($G135&lt;&gt;"",NOT(ISNUMBER($G135)))),"Fecha no válida"&amp;" · ","")&amp;IF(AND(ISNUMBER($AM135),ISNUMBER($AN135),$AM135&gt;$AN135),"Inicio posterior a fecha límite"&amp;" · ","")&amp;IF(AND($V135="Macro",$H135&lt;&gt;"",OR(NOT(ISNUMBER($H135)),$H135&lt;0,$H135&gt;1)),"Peso fuera de rango"&amp;" · ","")&amp;IF(AND($V135="Sub",$H135&lt;&gt;""),"Las subactividades no llevan peso (valen igual dentro de su macroactividad)"&amp;" · ","")&amp;IF(AND(N($W135)&gt;0,COUNT($I135:$L135)&gt;0),"Con subactividades: deje vacías las semanas (se calculan solas)"&amp;" · ","")&amp;IF((COUNTIF($I135:$L135,"&gt;1")+COUNTIF($I135:$L135,"&lt;0")+COUNTA($I135:$L135)-COUNT($I135:$L135))&gt;0,"Avance fuera de rango 0-100%"&amp;" · ","")&amp;IF(OR(AND($J135&lt;&gt;"",$J135&lt;$I135),AND($K135&lt;&gt;"",$K135&lt;MAX($I135:$J135)),AND($L135&lt;&gt;"",$L135&lt;MAX($I135:$K135))),"Avance semanal decreciente"&amp;" · ","")&amp;IF(AND(ISNUMBER($AN135),$AN135&lt;FechaRef,IF($V135="Sub",N($X135),N($M135))&lt;1),"Vencida"&amp;" · ","")&amp;IF(AND(ObsObligatoria="Sí",ISNUMBER($AN135),$AN135&lt;FechaRef,IF($V135="Sub",N($X135),N($M135))&lt;1,$Q135=""),"Vencida sin observación"&amp;" · ",""))="","✔ OK","⚠ "&amp;LEFT(IF($C135="","Falta el nombre de la actividad"&amp;" · ","")&amp;IF(AND($V135="Sub",N($U135)=0),"Subactividad sin macroactividad arriba"&amp;" · ","")&amp;IF($AM135="","Sin fecha de inicio"&amp;" · ","")&amp;IF($AN135="","Sin fecha límite"&amp;" · ","")&amp;IF(AND(LEFT($C135,11)="[Jefatura] ",N($AL135)=0),"No se encuentra en la hoja de la jefatura (elíjala de nuevo en la lista)"&amp;" · ","")&amp;IF(OR(AND($E135&lt;&gt;"",NOT(ISNUMBER($E135))),AND($F135&lt;&gt;"",NOT(ISNUMBER($F135))),AND($G135&lt;&gt;"",NOT(ISNUMBER($G135)))),"Fecha no válida"&amp;" · ","")&amp;IF(AND(ISNUMBER($AM135),ISNUMBER($AN135),$AM135&gt;$AN135),"Inicio posterior a fecha límite"&amp;" · ","")&amp;IF(AND($V135="Macro",$H135&lt;&gt;"",OR(NOT(ISNUMBER($H135)),$H135&lt;0,$H135&gt;1)),"Peso fuera de rango"&amp;" · ","")&amp;IF(AND($V135="Sub",$H135&lt;&gt;""),"Las subactividades no llevan peso (valen igual dentro de su macroactividad)"&amp;" · ","")&amp;IF(AND(N($W135)&gt;0,COUNT($I135:$L135)&gt;0),"Con subactividades: deje vacías las semanas (se calculan solas)"&amp;" · ","")&amp;IF((COUNTIF($I135:$L135,"&gt;1")+COUNTIF($I135:$L135,"&lt;0")+COUNTA($I135:$L135)-COUNT($I135:$L135))&gt;0,"Avance fuera de rango 0-100%"&amp;" · ","")&amp;IF(OR(AND($J135&lt;&gt;"",$J135&lt;$I135),AND($K135&lt;&gt;"",$K135&lt;MAX($I135:$J135)),AND($L135&lt;&gt;"",$L135&lt;MAX($I135:$K135))),"Avance semanal decreciente"&amp;" · ","")&amp;IF(AND(ISNUMBER($AN135),$AN135&lt;FechaRef,IF($V135="Sub",N($X135),N($M135))&lt;1),"Vencida"&amp;" · ","")&amp;IF(AND(ObsObligatoria="Sí",ISNUMBER($AN135),$AN135&lt;FechaRef,IF($V135="Sub",N($X135),N($M135))&lt;1,$Q135=""),"Vencida sin observación"&amp;" · ",""),LEN(IF($C135="","Falta el nombre de la actividad"&amp;" · ","")&amp;IF(AND($V135="Sub",N($U135)=0),"Subactividad sin macroactividad arriba"&amp;" · ","")&amp;IF($AM135="","Sin fecha de inicio"&amp;" · ","")&amp;IF($AN135="","Sin fecha límite"&amp;" · ","")&amp;IF(AND(LEFT($C135,11)="[Jefatura] ",N($AL135)=0),"No se encuentra en la hoja de la jefatura (elíjala de nuevo en la lista)"&amp;" · ","")&amp;IF(OR(AND($E135&lt;&gt;"",NOT(ISNUMBER($E135))),AND($F135&lt;&gt;"",NOT(ISNUMBER($F135))),AND($G135&lt;&gt;"",NOT(ISNUMBER($G135)))),"Fecha no válida"&amp;" · ","")&amp;IF(AND(ISNUMBER($AM135),ISNUMBER($AN135),$AM135&gt;$AN135),"Inicio posterior a fecha límite"&amp;" · ","")&amp;IF(AND($V135="Macro",$H135&lt;&gt;"",OR(NOT(ISNUMBER($H135)),$H135&lt;0,$H135&gt;1)),"Peso fuera de rango"&amp;" · ","")&amp;IF(AND($V135="Sub",$H135&lt;&gt;""),"Las subactividades no llevan peso (valen igual dentro de su macroactividad)"&amp;" · ","")&amp;IF(AND(N($W135)&gt;0,COUNT($I135:$L135)&gt;0),"Con subactividades: deje vacías las semanas (se calculan solas)"&amp;" · ","")&amp;IF((COUNTIF($I135:$L135,"&gt;1")+COUNTIF($I135:$L135,"&lt;0")+COUNTA($I135:$L135)-COUNT($I135:$L135))&gt;0,"Avance fuera de rango 0-100%"&amp;" · ","")&amp;IF(OR(AND($J135&lt;&gt;"",$J135&lt;$I135),AND($K135&lt;&gt;"",$K135&lt;MAX($I135:$J135)),AND($L135&lt;&gt;"",$L135&lt;MAX($I135:$K135))),"Avance semanal decreciente"&amp;" · ","")&amp;IF(AND(ISNUMBER($AN135),$AN135&lt;FechaRef,IF($V135="Sub",N($X135),N($M135))&lt;1),"Vencida"&amp;" · ","")&amp;IF(AND(ObsObligatoria="Sí",ISNUMBER($AN135),$AN135&lt;FechaRef,IF($V135="Sub",N($X135),N($M135))&lt;1,$Q135=""),"Vencida sin observación"&amp;" · ",""))-3)))</f>
        <v/>
      </c>
      <c r="S135" s="64">
        <f>IF(NOT((COUNTA($B135:$D135)+COUNTA($G135:$L135)+COUNTA($Q135))&gt;0),"",IF(AND($V135="Sub",N($U135)&gt;0),IF(ISNUMBER(INDEX($AM$5:$AM$1000,$U135-4)),DATE(YEAR(INDEX($AM$5:$AM$1000,$U135-4)),MONTH(INDEX($AM$5:$AM$1000,$U135-4)),1),IF(ISNUMBER(INDEX($AN$5:$AN$1000,$U135-4)),DATE(YEAR(INDEX($AN$5:$AN$1000,$U135-4)),MONTH(INDEX($AN$5:$AN$1000,$U135-4)),1),MesCiclo)),IF(ISNUMBER($AM135),DATE(YEAR($AM135),MONTH($AM135),1),IF(ISNUMBER($AN135),DATE(YEAR($AN135),MONTH($AN135),1),MesCiclo))))</f>
        <v/>
      </c>
      <c r="T135" s="62">
        <f>IF(OR($S135="",$S135&lt;&gt;MesCiclo,$V135&lt;&gt;"Macro"),"",COUNTIFS($S$5:$S135,MesCiclo,$V$5:$V135,"Macro"))</f>
        <v/>
      </c>
      <c r="U135" s="62">
        <f>IF($V135="","",IF($V135="Macro",ROW(),IFERROR(LOOKUP(2,1/($V$5:$V135="Macro"),ROW($V$5:$V135)),0)))</f>
        <v/>
      </c>
      <c r="V135" s="62">
        <f>IF(NOT((COUNTA($B135:$D135)+COUNTA($G135:$L135)+COUNTA($Q135))&gt;0),"",IF($B135="Subactividad","Sub","Macro"))</f>
        <v/>
      </c>
      <c r="W135" s="62">
        <f>IF($V135="Macro",COUNTIFS($U$5:$U$1000,ROW(),$V$5:$V$1000,"Sub"),"")</f>
        <v/>
      </c>
      <c r="X135" s="62">
        <f>IF($V135="","",IF(ISNUMBER($G135),1,IFERROR(LOOKUP(2,1/($I135:$L135&lt;&gt;""),$I135:$L135),0)))</f>
        <v/>
      </c>
      <c r="Y135" s="62">
        <f>IF($V135="","",IF(AND(ISNUMBER($G135),$G135&lt;=IF($S135=MesCiclo,InicioCiclo,$S135+MOD(2-WEEKDAY($S135),7))+6),1,IF(ISNUMBER($I135),$I135,0)))</f>
        <v/>
      </c>
      <c r="Z135" s="62">
        <f>IF($V135="","",IF(AND(ISNUMBER($G135),$G135&lt;=IF($S135=MesCiclo,InicioCiclo,$S135+MOD(2-WEEKDAY($S135),7))+13),1,IF(ISNUMBER($J135),$J135,$Y135)))</f>
        <v/>
      </c>
      <c r="AA135" s="62">
        <f>IF($V135="","",IF(AND(ISNUMBER($G135),$G135&lt;=IF($S135=MesCiclo,InicioCiclo,$S135+MOD(2-WEEKDAY($S135),7))+20),1,IF(ISNUMBER($K135),$K135,$Z135)))</f>
        <v/>
      </c>
      <c r="AB135" s="62">
        <f>IF($V135="","",IF(AND(ISNUMBER($G135),$G135&lt;=IF($S135=MesCiclo,InicioCiclo,$S135+MOD(2-WEEKDAY($S135),7))+27),1,IF(ISNUMBER($L135),$L135,$AA135)))</f>
        <v/>
      </c>
      <c r="AC135" s="62">
        <f>IF($V135="","",IF(AND(ISNUMBER($G135),$G135&lt;=IF($S135=MesCiclo,InicioCiclo,$S135+MOD(2-WEEKDAY($S135),7))+6),1,IF(N($W135)&gt;0,AVERAGEIFS($Y$5:$Y$1000,$U$5:$U$1000,ROW(),$V$5:$V$1000,"Sub"),$Y135)))</f>
        <v/>
      </c>
      <c r="AD135" s="62">
        <f>IF($V135="","",IF(AND(ISNUMBER($G135),$G135&lt;=IF($S135=MesCiclo,InicioCiclo,$S135+MOD(2-WEEKDAY($S135),7))+13),1,IF(N($W135)&gt;0,AVERAGEIFS($Z$5:$Z$1000,$U$5:$U$1000,ROW(),$V$5:$V$1000,"Sub"),$Z135)))</f>
        <v/>
      </c>
      <c r="AE135" s="62">
        <f>IF($V135="","",IF(AND(ISNUMBER($G135),$G135&lt;=IF($S135=MesCiclo,InicioCiclo,$S135+MOD(2-WEEKDAY($S135),7))+20),1,IF(N($W135)&gt;0,AVERAGEIFS($AA$5:$AA$1000,$U$5:$U$1000,ROW(),$V$5:$V$1000,"Sub"),$AA135)))</f>
        <v/>
      </c>
      <c r="AF135" s="62">
        <f>IF($V135="","",IF(AND(ISNUMBER($G135),$G135&lt;=IF($S135=MesCiclo,InicioCiclo,$S135+MOD(2-WEEKDAY($S135),7))+27),1,IF(N($W135)&gt;0,AVERAGEIFS($AB$5:$AB$1000,$U$5:$U$1000,ROW(),$V$5:$V$1000,"Sub"),$AB135)))</f>
        <v/>
      </c>
      <c r="AG135" s="62">
        <f>IF($V135&lt;&gt;"Macro","",IF(COUNTIFS($S$5:$S$1000,$S135,$V$5:$V$1000,"Macro",$H$5:$H$1000,"&gt;0")=0,1/COUNTIFS($S$5:$S$1000,$S135,$V$5:$V$1000,"Macro"),IF(AND(ISNUMBER($H135),N($H135)&gt;0),$H135,SUMIFS($H$5:$H$1000,$S$5:$S$1000,$S135,$V$5:$V$1000,"Macro")/COUNTIFS($S$5:$S$1000,$S135,$V$5:$V$1000,"Macro",$H$5:$H$1000,"&gt;0"))/(COUNTIFS($S$5:$S$1000,$S135,$V$5:$V$1000,"Macro")*SUMIFS($H$5:$H$1000,$S$5:$S$1000,$S135,$V$5:$V$1000,"Macro")/COUNTIFS($S$5:$S$1000,$S135,$V$5:$V$1000,"Macro",$H$5:$H$1000,"&gt;0"))))</f>
        <v/>
      </c>
      <c r="AH135" s="62" t="n"/>
      <c r="AI135" s="62" t="n"/>
      <c r="AJ135" s="62" t="n"/>
      <c r="AK135" s="62" t="n"/>
      <c r="AL135" s="62">
        <f>IF(LEFT($C135,11)="[Jefatura] ",IFERROR(MATCH("Riesgo Financiero|"&amp;MID($C135,12,500),rDname_ADM,0),0),"")</f>
        <v/>
      </c>
      <c r="AM135" s="62">
        <f>IF(N($AL135)&gt;0,INDEX(rIni_ADM,$AL135),IF(ISNUMBER($E135),$E135,""))</f>
        <v/>
      </c>
      <c r="AN135" s="62">
        <f>IF(N($AL135)&gt;0,INDEX(rLim_ADM,$AL135),IF(ISNUMBER($F135),$F135,""))</f>
        <v/>
      </c>
    </row>
    <row r="136">
      <c r="A136" s="56">
        <f>IF(NOT((COUNTA($B136:$D136)+COUNTA($G136:$L136)+COUNTA($Q136))&gt;0),"",IF($V136="Macro",COUNTIFS($V$5:$V136,"Macro",$S$5:$S136,$S136),IF(N($U136)=0,"?",COUNTIFS(INDEX($V$5:$V$1000,1):INDEX($V$5:$V$1000,$U136-4),"Macro",INDEX($S$5:$S$1000,1):INDEX($S$5:$S$1000,$U136-4),INDEX($S$5:$S$1000,$U136-4))&amp;"."&amp;COUNTIFS($U$5:$U136,$U136,$V$5:$V136,"Sub"))))</f>
        <v/>
      </c>
      <c r="B136" s="57" t="n"/>
      <c r="C136" s="58" t="n"/>
      <c r="D136" s="58" t="n"/>
      <c r="E136" s="59">
        <f>IF(N($AL136)&gt;0,INDEX(rIni_ADM,$AL136),"")</f>
        <v/>
      </c>
      <c r="F136" s="59">
        <f>IF(N($AL136)&gt;0,INDEX(rLim_ADM,$AL136),"")</f>
        <v/>
      </c>
      <c r="G136" s="59" t="n"/>
      <c r="H136" s="60" t="n"/>
      <c r="I136" s="60" t="n"/>
      <c r="J136" s="60" t="n"/>
      <c r="K136" s="60" t="n"/>
      <c r="L136" s="60" t="n"/>
      <c r="M136" s="61">
        <f>IF(NOT((COUNTA($B136:$D136)+COUNTA($G136:$L136)+COUNTA($Q136))&gt;0),"",IF($V136="Sub",IFERROR($X136/INDEX($W$5:$W$1000,$U136-4),""),IF(ISNUMBER($G136),1,IF(N($W136)&gt;0,AVERAGEIFS($X$5:$X$1000,$U$5:$U$1000,ROW(),$V$5:$V$1000,"Sub"),$X136))))</f>
        <v/>
      </c>
      <c r="N136" s="56">
        <f>IF(OR($M136="",$V136="Sub"),"",IF($M136&gt;=1,"Completado",IF($M136&gt;0,"En curso","Pendiente")))</f>
        <v/>
      </c>
      <c r="O136" s="56">
        <f>IF(OR(NOT((COUNTA($B136:$D136)+COUNTA($G136:$L136)+COUNTA($Q136))&gt;0),$V136="Sub"),"",IF(ISNUMBER($G136),IF(AND(ISNUMBER($AN136),$G136&gt;$AN136),"Cumplida con "&amp;($G136-$AN136)&amp;IF($G136-$AN136=1," día"," días")&amp;" de retraso","Cumplida"),IF(N($M136)&gt;=1,"Cumplida",IF(NOT(ISNUMBER($AN136)),"Sin fecha límite",IF($AN136&lt;FechaRef,"Vencida hace "&amp;(FechaRef-$AN136)&amp;IF(FechaRef-$AN136=1," día"," días"),IF($AN136=FechaRef,"Vence hoy",IF($AN136-FechaRef&lt;=DiasAlerta,"Vence en "&amp;($AN136-FechaRef)&amp;IF($AN136-FechaRef=1," día"," días"),"En plazo")))))))</f>
        <v/>
      </c>
      <c r="P136" s="62" t="n"/>
      <c r="Q136" s="58" t="n"/>
      <c r="R136" s="63">
        <f>IF(NOT((COUNTA($B136:$D136)+COUNTA($G136:$L136)+COUNTA($Q136))&gt;0),"",IF((IF($C136="","Falta el nombre de la actividad"&amp;" · ","")&amp;IF(AND($V136="Sub",N($U136)=0),"Subactividad sin macroactividad arriba"&amp;" · ","")&amp;IF($AM136="","Sin fecha de inicio"&amp;" · ","")&amp;IF($AN136="","Sin fecha límite"&amp;" · ","")&amp;IF(AND(LEFT($C136,11)="[Jefatura] ",N($AL136)=0),"No se encuentra en la hoja de la jefatura (elíjala de nuevo en la lista)"&amp;" · ","")&amp;IF(OR(AND($E136&lt;&gt;"",NOT(ISNUMBER($E136))),AND($F136&lt;&gt;"",NOT(ISNUMBER($F136))),AND($G136&lt;&gt;"",NOT(ISNUMBER($G136)))),"Fecha no válida"&amp;" · ","")&amp;IF(AND(ISNUMBER($AM136),ISNUMBER($AN136),$AM136&gt;$AN136),"Inicio posterior a fecha límite"&amp;" · ","")&amp;IF(AND($V136="Macro",$H136&lt;&gt;"",OR(NOT(ISNUMBER($H136)),$H136&lt;0,$H136&gt;1)),"Peso fuera de rango"&amp;" · ","")&amp;IF(AND($V136="Sub",$H136&lt;&gt;""),"Las subactividades no llevan peso (valen igual dentro de su macroactividad)"&amp;" · ","")&amp;IF(AND(N($W136)&gt;0,COUNT($I136:$L136)&gt;0),"Con subactividades: deje vacías las semanas (se calculan solas)"&amp;" · ","")&amp;IF((COUNTIF($I136:$L136,"&gt;1")+COUNTIF($I136:$L136,"&lt;0")+COUNTA($I136:$L136)-COUNT($I136:$L136))&gt;0,"Avance fuera de rango 0-100%"&amp;" · ","")&amp;IF(OR(AND($J136&lt;&gt;"",$J136&lt;$I136),AND($K136&lt;&gt;"",$K136&lt;MAX($I136:$J136)),AND($L136&lt;&gt;"",$L136&lt;MAX($I136:$K136))),"Avance semanal decreciente"&amp;" · ","")&amp;IF(AND(ISNUMBER($AN136),$AN136&lt;FechaRef,IF($V136="Sub",N($X136),N($M136))&lt;1),"Vencida"&amp;" · ","")&amp;IF(AND(ObsObligatoria="Sí",ISNUMBER($AN136),$AN136&lt;FechaRef,IF($V136="Sub",N($X136),N($M136))&lt;1,$Q136=""),"Vencida sin observación"&amp;" · ",""))="","✔ OK","⚠ "&amp;LEFT(IF($C136="","Falta el nombre de la actividad"&amp;" · ","")&amp;IF(AND($V136="Sub",N($U136)=0),"Subactividad sin macroactividad arriba"&amp;" · ","")&amp;IF($AM136="","Sin fecha de inicio"&amp;" · ","")&amp;IF($AN136="","Sin fecha límite"&amp;" · ","")&amp;IF(AND(LEFT($C136,11)="[Jefatura] ",N($AL136)=0),"No se encuentra en la hoja de la jefatura (elíjala de nuevo en la lista)"&amp;" · ","")&amp;IF(OR(AND($E136&lt;&gt;"",NOT(ISNUMBER($E136))),AND($F136&lt;&gt;"",NOT(ISNUMBER($F136))),AND($G136&lt;&gt;"",NOT(ISNUMBER($G136)))),"Fecha no válida"&amp;" · ","")&amp;IF(AND(ISNUMBER($AM136),ISNUMBER($AN136),$AM136&gt;$AN136),"Inicio posterior a fecha límite"&amp;" · ","")&amp;IF(AND($V136="Macro",$H136&lt;&gt;"",OR(NOT(ISNUMBER($H136)),$H136&lt;0,$H136&gt;1)),"Peso fuera de rango"&amp;" · ","")&amp;IF(AND($V136="Sub",$H136&lt;&gt;""),"Las subactividades no llevan peso (valen igual dentro de su macroactividad)"&amp;" · ","")&amp;IF(AND(N($W136)&gt;0,COUNT($I136:$L136)&gt;0),"Con subactividades: deje vacías las semanas (se calculan solas)"&amp;" · ","")&amp;IF((COUNTIF($I136:$L136,"&gt;1")+COUNTIF($I136:$L136,"&lt;0")+COUNTA($I136:$L136)-COUNT($I136:$L136))&gt;0,"Avance fuera de rango 0-100%"&amp;" · ","")&amp;IF(OR(AND($J136&lt;&gt;"",$J136&lt;$I136),AND($K136&lt;&gt;"",$K136&lt;MAX($I136:$J136)),AND($L136&lt;&gt;"",$L136&lt;MAX($I136:$K136))),"Avance semanal decreciente"&amp;" · ","")&amp;IF(AND(ISNUMBER($AN136),$AN136&lt;FechaRef,IF($V136="Sub",N($X136),N($M136))&lt;1),"Vencida"&amp;" · ","")&amp;IF(AND(ObsObligatoria="Sí",ISNUMBER($AN136),$AN136&lt;FechaRef,IF($V136="Sub",N($X136),N($M136))&lt;1,$Q136=""),"Vencida sin observación"&amp;" · ",""),LEN(IF($C136="","Falta el nombre de la actividad"&amp;" · ","")&amp;IF(AND($V136="Sub",N($U136)=0),"Subactividad sin macroactividad arriba"&amp;" · ","")&amp;IF($AM136="","Sin fecha de inicio"&amp;" · ","")&amp;IF($AN136="","Sin fecha límite"&amp;" · ","")&amp;IF(AND(LEFT($C136,11)="[Jefatura] ",N($AL136)=0),"No se encuentra en la hoja de la jefatura (elíjala de nuevo en la lista)"&amp;" · ","")&amp;IF(OR(AND($E136&lt;&gt;"",NOT(ISNUMBER($E136))),AND($F136&lt;&gt;"",NOT(ISNUMBER($F136))),AND($G136&lt;&gt;"",NOT(ISNUMBER($G136)))),"Fecha no válida"&amp;" · ","")&amp;IF(AND(ISNUMBER($AM136),ISNUMBER($AN136),$AM136&gt;$AN136),"Inicio posterior a fecha límite"&amp;" · ","")&amp;IF(AND($V136="Macro",$H136&lt;&gt;"",OR(NOT(ISNUMBER($H136)),$H136&lt;0,$H136&gt;1)),"Peso fuera de rango"&amp;" · ","")&amp;IF(AND($V136="Sub",$H136&lt;&gt;""),"Las subactividades no llevan peso (valen igual dentro de su macroactividad)"&amp;" · ","")&amp;IF(AND(N($W136)&gt;0,COUNT($I136:$L136)&gt;0),"Con subactividades: deje vacías las semanas (se calculan solas)"&amp;" · ","")&amp;IF((COUNTIF($I136:$L136,"&gt;1")+COUNTIF($I136:$L136,"&lt;0")+COUNTA($I136:$L136)-COUNT($I136:$L136))&gt;0,"Avance fuera de rango 0-100%"&amp;" · ","")&amp;IF(OR(AND($J136&lt;&gt;"",$J136&lt;$I136),AND($K136&lt;&gt;"",$K136&lt;MAX($I136:$J136)),AND($L136&lt;&gt;"",$L136&lt;MAX($I136:$K136))),"Avance semanal decreciente"&amp;" · ","")&amp;IF(AND(ISNUMBER($AN136),$AN136&lt;FechaRef,IF($V136="Sub",N($X136),N($M136))&lt;1),"Vencida"&amp;" · ","")&amp;IF(AND(ObsObligatoria="Sí",ISNUMBER($AN136),$AN136&lt;FechaRef,IF($V136="Sub",N($X136),N($M136))&lt;1,$Q136=""),"Vencida sin observación"&amp;" · ",""))-3)))</f>
        <v/>
      </c>
      <c r="S136" s="64">
        <f>IF(NOT((COUNTA($B136:$D136)+COUNTA($G136:$L136)+COUNTA($Q136))&gt;0),"",IF(AND($V136="Sub",N($U136)&gt;0),IF(ISNUMBER(INDEX($AM$5:$AM$1000,$U136-4)),DATE(YEAR(INDEX($AM$5:$AM$1000,$U136-4)),MONTH(INDEX($AM$5:$AM$1000,$U136-4)),1),IF(ISNUMBER(INDEX($AN$5:$AN$1000,$U136-4)),DATE(YEAR(INDEX($AN$5:$AN$1000,$U136-4)),MONTH(INDEX($AN$5:$AN$1000,$U136-4)),1),MesCiclo)),IF(ISNUMBER($AM136),DATE(YEAR($AM136),MONTH($AM136),1),IF(ISNUMBER($AN136),DATE(YEAR($AN136),MONTH($AN136),1),MesCiclo))))</f>
        <v/>
      </c>
      <c r="T136" s="62">
        <f>IF(OR($S136="",$S136&lt;&gt;MesCiclo,$V136&lt;&gt;"Macro"),"",COUNTIFS($S$5:$S136,MesCiclo,$V$5:$V136,"Macro"))</f>
        <v/>
      </c>
      <c r="U136" s="62">
        <f>IF($V136="","",IF($V136="Macro",ROW(),IFERROR(LOOKUP(2,1/($V$5:$V136="Macro"),ROW($V$5:$V136)),0)))</f>
        <v/>
      </c>
      <c r="V136" s="62">
        <f>IF(NOT((COUNTA($B136:$D136)+COUNTA($G136:$L136)+COUNTA($Q136))&gt;0),"",IF($B136="Subactividad","Sub","Macro"))</f>
        <v/>
      </c>
      <c r="W136" s="62">
        <f>IF($V136="Macro",COUNTIFS($U$5:$U$1000,ROW(),$V$5:$V$1000,"Sub"),"")</f>
        <v/>
      </c>
      <c r="X136" s="62">
        <f>IF($V136="","",IF(ISNUMBER($G136),1,IFERROR(LOOKUP(2,1/($I136:$L136&lt;&gt;""),$I136:$L136),0)))</f>
        <v/>
      </c>
      <c r="Y136" s="62">
        <f>IF($V136="","",IF(AND(ISNUMBER($G136),$G136&lt;=IF($S136=MesCiclo,InicioCiclo,$S136+MOD(2-WEEKDAY($S136),7))+6),1,IF(ISNUMBER($I136),$I136,0)))</f>
        <v/>
      </c>
      <c r="Z136" s="62">
        <f>IF($V136="","",IF(AND(ISNUMBER($G136),$G136&lt;=IF($S136=MesCiclo,InicioCiclo,$S136+MOD(2-WEEKDAY($S136),7))+13),1,IF(ISNUMBER($J136),$J136,$Y136)))</f>
        <v/>
      </c>
      <c r="AA136" s="62">
        <f>IF($V136="","",IF(AND(ISNUMBER($G136),$G136&lt;=IF($S136=MesCiclo,InicioCiclo,$S136+MOD(2-WEEKDAY($S136),7))+20),1,IF(ISNUMBER($K136),$K136,$Z136)))</f>
        <v/>
      </c>
      <c r="AB136" s="62">
        <f>IF($V136="","",IF(AND(ISNUMBER($G136),$G136&lt;=IF($S136=MesCiclo,InicioCiclo,$S136+MOD(2-WEEKDAY($S136),7))+27),1,IF(ISNUMBER($L136),$L136,$AA136)))</f>
        <v/>
      </c>
      <c r="AC136" s="62">
        <f>IF($V136="","",IF(AND(ISNUMBER($G136),$G136&lt;=IF($S136=MesCiclo,InicioCiclo,$S136+MOD(2-WEEKDAY($S136),7))+6),1,IF(N($W136)&gt;0,AVERAGEIFS($Y$5:$Y$1000,$U$5:$U$1000,ROW(),$V$5:$V$1000,"Sub"),$Y136)))</f>
        <v/>
      </c>
      <c r="AD136" s="62">
        <f>IF($V136="","",IF(AND(ISNUMBER($G136),$G136&lt;=IF($S136=MesCiclo,InicioCiclo,$S136+MOD(2-WEEKDAY($S136),7))+13),1,IF(N($W136)&gt;0,AVERAGEIFS($Z$5:$Z$1000,$U$5:$U$1000,ROW(),$V$5:$V$1000,"Sub"),$Z136)))</f>
        <v/>
      </c>
      <c r="AE136" s="62">
        <f>IF($V136="","",IF(AND(ISNUMBER($G136),$G136&lt;=IF($S136=MesCiclo,InicioCiclo,$S136+MOD(2-WEEKDAY($S136),7))+20),1,IF(N($W136)&gt;0,AVERAGEIFS($AA$5:$AA$1000,$U$5:$U$1000,ROW(),$V$5:$V$1000,"Sub"),$AA136)))</f>
        <v/>
      </c>
      <c r="AF136" s="62">
        <f>IF($V136="","",IF(AND(ISNUMBER($G136),$G136&lt;=IF($S136=MesCiclo,InicioCiclo,$S136+MOD(2-WEEKDAY($S136),7))+27),1,IF(N($W136)&gt;0,AVERAGEIFS($AB$5:$AB$1000,$U$5:$U$1000,ROW(),$V$5:$V$1000,"Sub"),$AB136)))</f>
        <v/>
      </c>
      <c r="AG136" s="62">
        <f>IF($V136&lt;&gt;"Macro","",IF(COUNTIFS($S$5:$S$1000,$S136,$V$5:$V$1000,"Macro",$H$5:$H$1000,"&gt;0")=0,1/COUNTIFS($S$5:$S$1000,$S136,$V$5:$V$1000,"Macro"),IF(AND(ISNUMBER($H136),N($H136)&gt;0),$H136,SUMIFS($H$5:$H$1000,$S$5:$S$1000,$S136,$V$5:$V$1000,"Macro")/COUNTIFS($S$5:$S$1000,$S136,$V$5:$V$1000,"Macro",$H$5:$H$1000,"&gt;0"))/(COUNTIFS($S$5:$S$1000,$S136,$V$5:$V$1000,"Macro")*SUMIFS($H$5:$H$1000,$S$5:$S$1000,$S136,$V$5:$V$1000,"Macro")/COUNTIFS($S$5:$S$1000,$S136,$V$5:$V$1000,"Macro",$H$5:$H$1000,"&gt;0"))))</f>
        <v/>
      </c>
      <c r="AH136" s="62" t="n"/>
      <c r="AI136" s="62" t="n"/>
      <c r="AJ136" s="62" t="n"/>
      <c r="AK136" s="62" t="n"/>
      <c r="AL136" s="62">
        <f>IF(LEFT($C136,11)="[Jefatura] ",IFERROR(MATCH("Riesgo Financiero|"&amp;MID($C136,12,500),rDname_ADM,0),0),"")</f>
        <v/>
      </c>
      <c r="AM136" s="62">
        <f>IF(N($AL136)&gt;0,INDEX(rIni_ADM,$AL136),IF(ISNUMBER($E136),$E136,""))</f>
        <v/>
      </c>
      <c r="AN136" s="62">
        <f>IF(N($AL136)&gt;0,INDEX(rLim_ADM,$AL136),IF(ISNUMBER($F136),$F136,""))</f>
        <v/>
      </c>
    </row>
    <row r="137">
      <c r="A137" s="56">
        <f>IF(NOT((COUNTA($B137:$D137)+COUNTA($G137:$L137)+COUNTA($Q137))&gt;0),"",IF($V137="Macro",COUNTIFS($V$5:$V137,"Macro",$S$5:$S137,$S137),IF(N($U137)=0,"?",COUNTIFS(INDEX($V$5:$V$1000,1):INDEX($V$5:$V$1000,$U137-4),"Macro",INDEX($S$5:$S$1000,1):INDEX($S$5:$S$1000,$U137-4),INDEX($S$5:$S$1000,$U137-4))&amp;"."&amp;COUNTIFS($U$5:$U137,$U137,$V$5:$V137,"Sub"))))</f>
        <v/>
      </c>
      <c r="B137" s="57" t="n"/>
      <c r="C137" s="58" t="n"/>
      <c r="D137" s="58" t="n"/>
      <c r="E137" s="59">
        <f>IF(N($AL137)&gt;0,INDEX(rIni_ADM,$AL137),"")</f>
        <v/>
      </c>
      <c r="F137" s="59">
        <f>IF(N($AL137)&gt;0,INDEX(rLim_ADM,$AL137),"")</f>
        <v/>
      </c>
      <c r="G137" s="59" t="n"/>
      <c r="H137" s="60" t="n"/>
      <c r="I137" s="60" t="n"/>
      <c r="J137" s="60" t="n"/>
      <c r="K137" s="60" t="n"/>
      <c r="L137" s="60" t="n"/>
      <c r="M137" s="61">
        <f>IF(NOT((COUNTA($B137:$D137)+COUNTA($G137:$L137)+COUNTA($Q137))&gt;0),"",IF($V137="Sub",IFERROR($X137/INDEX($W$5:$W$1000,$U137-4),""),IF(ISNUMBER($G137),1,IF(N($W137)&gt;0,AVERAGEIFS($X$5:$X$1000,$U$5:$U$1000,ROW(),$V$5:$V$1000,"Sub"),$X137))))</f>
        <v/>
      </c>
      <c r="N137" s="56">
        <f>IF(OR($M137="",$V137="Sub"),"",IF($M137&gt;=1,"Completado",IF($M137&gt;0,"En curso","Pendiente")))</f>
        <v/>
      </c>
      <c r="O137" s="56">
        <f>IF(OR(NOT((COUNTA($B137:$D137)+COUNTA($G137:$L137)+COUNTA($Q137))&gt;0),$V137="Sub"),"",IF(ISNUMBER($G137),IF(AND(ISNUMBER($AN137),$G137&gt;$AN137),"Cumplida con "&amp;($G137-$AN137)&amp;IF($G137-$AN137=1," día"," días")&amp;" de retraso","Cumplida"),IF(N($M137)&gt;=1,"Cumplida",IF(NOT(ISNUMBER($AN137)),"Sin fecha límite",IF($AN137&lt;FechaRef,"Vencida hace "&amp;(FechaRef-$AN137)&amp;IF(FechaRef-$AN137=1," día"," días"),IF($AN137=FechaRef,"Vence hoy",IF($AN137-FechaRef&lt;=DiasAlerta,"Vence en "&amp;($AN137-FechaRef)&amp;IF($AN137-FechaRef=1," día"," días"),"En plazo")))))))</f>
        <v/>
      </c>
      <c r="P137" s="62" t="n"/>
      <c r="Q137" s="58" t="n"/>
      <c r="R137" s="63">
        <f>IF(NOT((COUNTA($B137:$D137)+COUNTA($G137:$L137)+COUNTA($Q137))&gt;0),"",IF((IF($C137="","Falta el nombre de la actividad"&amp;" · ","")&amp;IF(AND($V137="Sub",N($U137)=0),"Subactividad sin macroactividad arriba"&amp;" · ","")&amp;IF($AM137="","Sin fecha de inicio"&amp;" · ","")&amp;IF($AN137="","Sin fecha límite"&amp;" · ","")&amp;IF(AND(LEFT($C137,11)="[Jefatura] ",N($AL137)=0),"No se encuentra en la hoja de la jefatura (elíjala de nuevo en la lista)"&amp;" · ","")&amp;IF(OR(AND($E137&lt;&gt;"",NOT(ISNUMBER($E137))),AND($F137&lt;&gt;"",NOT(ISNUMBER($F137))),AND($G137&lt;&gt;"",NOT(ISNUMBER($G137)))),"Fecha no válida"&amp;" · ","")&amp;IF(AND(ISNUMBER($AM137),ISNUMBER($AN137),$AM137&gt;$AN137),"Inicio posterior a fecha límite"&amp;" · ","")&amp;IF(AND($V137="Macro",$H137&lt;&gt;"",OR(NOT(ISNUMBER($H137)),$H137&lt;0,$H137&gt;1)),"Peso fuera de rango"&amp;" · ","")&amp;IF(AND($V137="Sub",$H137&lt;&gt;""),"Las subactividades no llevan peso (valen igual dentro de su macroactividad)"&amp;" · ","")&amp;IF(AND(N($W137)&gt;0,COUNT($I137:$L137)&gt;0),"Con subactividades: deje vacías las semanas (se calculan solas)"&amp;" · ","")&amp;IF((COUNTIF($I137:$L137,"&gt;1")+COUNTIF($I137:$L137,"&lt;0")+COUNTA($I137:$L137)-COUNT($I137:$L137))&gt;0,"Avance fuera de rango 0-100%"&amp;" · ","")&amp;IF(OR(AND($J137&lt;&gt;"",$J137&lt;$I137),AND($K137&lt;&gt;"",$K137&lt;MAX($I137:$J137)),AND($L137&lt;&gt;"",$L137&lt;MAX($I137:$K137))),"Avance semanal decreciente"&amp;" · ","")&amp;IF(AND(ISNUMBER($AN137),$AN137&lt;FechaRef,IF($V137="Sub",N($X137),N($M137))&lt;1),"Vencida"&amp;" · ","")&amp;IF(AND(ObsObligatoria="Sí",ISNUMBER($AN137),$AN137&lt;FechaRef,IF($V137="Sub",N($X137),N($M137))&lt;1,$Q137=""),"Vencida sin observación"&amp;" · ",""))="","✔ OK","⚠ "&amp;LEFT(IF($C137="","Falta el nombre de la actividad"&amp;" · ","")&amp;IF(AND($V137="Sub",N($U137)=0),"Subactividad sin macroactividad arriba"&amp;" · ","")&amp;IF($AM137="","Sin fecha de inicio"&amp;" · ","")&amp;IF($AN137="","Sin fecha límite"&amp;" · ","")&amp;IF(AND(LEFT($C137,11)="[Jefatura] ",N($AL137)=0),"No se encuentra en la hoja de la jefatura (elíjala de nuevo en la lista)"&amp;" · ","")&amp;IF(OR(AND($E137&lt;&gt;"",NOT(ISNUMBER($E137))),AND($F137&lt;&gt;"",NOT(ISNUMBER($F137))),AND($G137&lt;&gt;"",NOT(ISNUMBER($G137)))),"Fecha no válida"&amp;" · ","")&amp;IF(AND(ISNUMBER($AM137),ISNUMBER($AN137),$AM137&gt;$AN137),"Inicio posterior a fecha límite"&amp;" · ","")&amp;IF(AND($V137="Macro",$H137&lt;&gt;"",OR(NOT(ISNUMBER($H137)),$H137&lt;0,$H137&gt;1)),"Peso fuera de rango"&amp;" · ","")&amp;IF(AND($V137="Sub",$H137&lt;&gt;""),"Las subactividades no llevan peso (valen igual dentro de su macroactividad)"&amp;" · ","")&amp;IF(AND(N($W137)&gt;0,COUNT($I137:$L137)&gt;0),"Con subactividades: deje vacías las semanas (se calculan solas)"&amp;" · ","")&amp;IF((COUNTIF($I137:$L137,"&gt;1")+COUNTIF($I137:$L137,"&lt;0")+COUNTA($I137:$L137)-COUNT($I137:$L137))&gt;0,"Avance fuera de rango 0-100%"&amp;" · ","")&amp;IF(OR(AND($J137&lt;&gt;"",$J137&lt;$I137),AND($K137&lt;&gt;"",$K137&lt;MAX($I137:$J137)),AND($L137&lt;&gt;"",$L137&lt;MAX($I137:$K137))),"Avance semanal decreciente"&amp;" · ","")&amp;IF(AND(ISNUMBER($AN137),$AN137&lt;FechaRef,IF($V137="Sub",N($X137),N($M137))&lt;1),"Vencida"&amp;" · ","")&amp;IF(AND(ObsObligatoria="Sí",ISNUMBER($AN137),$AN137&lt;FechaRef,IF($V137="Sub",N($X137),N($M137))&lt;1,$Q137=""),"Vencida sin observación"&amp;" · ",""),LEN(IF($C137="","Falta el nombre de la actividad"&amp;" · ","")&amp;IF(AND($V137="Sub",N($U137)=0),"Subactividad sin macroactividad arriba"&amp;" · ","")&amp;IF($AM137="","Sin fecha de inicio"&amp;" · ","")&amp;IF($AN137="","Sin fecha límite"&amp;" · ","")&amp;IF(AND(LEFT($C137,11)="[Jefatura] ",N($AL137)=0),"No se encuentra en la hoja de la jefatura (elíjala de nuevo en la lista)"&amp;" · ","")&amp;IF(OR(AND($E137&lt;&gt;"",NOT(ISNUMBER($E137))),AND($F137&lt;&gt;"",NOT(ISNUMBER($F137))),AND($G137&lt;&gt;"",NOT(ISNUMBER($G137)))),"Fecha no válida"&amp;" · ","")&amp;IF(AND(ISNUMBER($AM137),ISNUMBER($AN137),$AM137&gt;$AN137),"Inicio posterior a fecha límite"&amp;" · ","")&amp;IF(AND($V137="Macro",$H137&lt;&gt;"",OR(NOT(ISNUMBER($H137)),$H137&lt;0,$H137&gt;1)),"Peso fuera de rango"&amp;" · ","")&amp;IF(AND($V137="Sub",$H137&lt;&gt;""),"Las subactividades no llevan peso (valen igual dentro de su macroactividad)"&amp;" · ","")&amp;IF(AND(N($W137)&gt;0,COUNT($I137:$L137)&gt;0),"Con subactividades: deje vacías las semanas (se calculan solas)"&amp;" · ","")&amp;IF((COUNTIF($I137:$L137,"&gt;1")+COUNTIF($I137:$L137,"&lt;0")+COUNTA($I137:$L137)-COUNT($I137:$L137))&gt;0,"Avance fuera de rango 0-100%"&amp;" · ","")&amp;IF(OR(AND($J137&lt;&gt;"",$J137&lt;$I137),AND($K137&lt;&gt;"",$K137&lt;MAX($I137:$J137)),AND($L137&lt;&gt;"",$L137&lt;MAX($I137:$K137))),"Avance semanal decreciente"&amp;" · ","")&amp;IF(AND(ISNUMBER($AN137),$AN137&lt;FechaRef,IF($V137="Sub",N($X137),N($M137))&lt;1),"Vencida"&amp;" · ","")&amp;IF(AND(ObsObligatoria="Sí",ISNUMBER($AN137),$AN137&lt;FechaRef,IF($V137="Sub",N($X137),N($M137))&lt;1,$Q137=""),"Vencida sin observación"&amp;" · ",""))-3)))</f>
        <v/>
      </c>
      <c r="S137" s="64">
        <f>IF(NOT((COUNTA($B137:$D137)+COUNTA($G137:$L137)+COUNTA($Q137))&gt;0),"",IF(AND($V137="Sub",N($U137)&gt;0),IF(ISNUMBER(INDEX($AM$5:$AM$1000,$U137-4)),DATE(YEAR(INDEX($AM$5:$AM$1000,$U137-4)),MONTH(INDEX($AM$5:$AM$1000,$U137-4)),1),IF(ISNUMBER(INDEX($AN$5:$AN$1000,$U137-4)),DATE(YEAR(INDEX($AN$5:$AN$1000,$U137-4)),MONTH(INDEX($AN$5:$AN$1000,$U137-4)),1),MesCiclo)),IF(ISNUMBER($AM137),DATE(YEAR($AM137),MONTH($AM137),1),IF(ISNUMBER($AN137),DATE(YEAR($AN137),MONTH($AN137),1),MesCiclo))))</f>
        <v/>
      </c>
      <c r="T137" s="62">
        <f>IF(OR($S137="",$S137&lt;&gt;MesCiclo,$V137&lt;&gt;"Macro"),"",COUNTIFS($S$5:$S137,MesCiclo,$V$5:$V137,"Macro"))</f>
        <v/>
      </c>
      <c r="U137" s="62">
        <f>IF($V137="","",IF($V137="Macro",ROW(),IFERROR(LOOKUP(2,1/($V$5:$V137="Macro"),ROW($V$5:$V137)),0)))</f>
        <v/>
      </c>
      <c r="V137" s="62">
        <f>IF(NOT((COUNTA($B137:$D137)+COUNTA($G137:$L137)+COUNTA($Q137))&gt;0),"",IF($B137="Subactividad","Sub","Macro"))</f>
        <v/>
      </c>
      <c r="W137" s="62">
        <f>IF($V137="Macro",COUNTIFS($U$5:$U$1000,ROW(),$V$5:$V$1000,"Sub"),"")</f>
        <v/>
      </c>
      <c r="X137" s="62">
        <f>IF($V137="","",IF(ISNUMBER($G137),1,IFERROR(LOOKUP(2,1/($I137:$L137&lt;&gt;""),$I137:$L137),0)))</f>
        <v/>
      </c>
      <c r="Y137" s="62">
        <f>IF($V137="","",IF(AND(ISNUMBER($G137),$G137&lt;=IF($S137=MesCiclo,InicioCiclo,$S137+MOD(2-WEEKDAY($S137),7))+6),1,IF(ISNUMBER($I137),$I137,0)))</f>
        <v/>
      </c>
      <c r="Z137" s="62">
        <f>IF($V137="","",IF(AND(ISNUMBER($G137),$G137&lt;=IF($S137=MesCiclo,InicioCiclo,$S137+MOD(2-WEEKDAY($S137),7))+13),1,IF(ISNUMBER($J137),$J137,$Y137)))</f>
        <v/>
      </c>
      <c r="AA137" s="62">
        <f>IF($V137="","",IF(AND(ISNUMBER($G137),$G137&lt;=IF($S137=MesCiclo,InicioCiclo,$S137+MOD(2-WEEKDAY($S137),7))+20),1,IF(ISNUMBER($K137),$K137,$Z137)))</f>
        <v/>
      </c>
      <c r="AB137" s="62">
        <f>IF($V137="","",IF(AND(ISNUMBER($G137),$G137&lt;=IF($S137=MesCiclo,InicioCiclo,$S137+MOD(2-WEEKDAY($S137),7))+27),1,IF(ISNUMBER($L137),$L137,$AA137)))</f>
        <v/>
      </c>
      <c r="AC137" s="62">
        <f>IF($V137="","",IF(AND(ISNUMBER($G137),$G137&lt;=IF($S137=MesCiclo,InicioCiclo,$S137+MOD(2-WEEKDAY($S137),7))+6),1,IF(N($W137)&gt;0,AVERAGEIFS($Y$5:$Y$1000,$U$5:$U$1000,ROW(),$V$5:$V$1000,"Sub"),$Y137)))</f>
        <v/>
      </c>
      <c r="AD137" s="62">
        <f>IF($V137="","",IF(AND(ISNUMBER($G137),$G137&lt;=IF($S137=MesCiclo,InicioCiclo,$S137+MOD(2-WEEKDAY($S137),7))+13),1,IF(N($W137)&gt;0,AVERAGEIFS($Z$5:$Z$1000,$U$5:$U$1000,ROW(),$V$5:$V$1000,"Sub"),$Z137)))</f>
        <v/>
      </c>
      <c r="AE137" s="62">
        <f>IF($V137="","",IF(AND(ISNUMBER($G137),$G137&lt;=IF($S137=MesCiclo,InicioCiclo,$S137+MOD(2-WEEKDAY($S137),7))+20),1,IF(N($W137)&gt;0,AVERAGEIFS($AA$5:$AA$1000,$U$5:$U$1000,ROW(),$V$5:$V$1000,"Sub"),$AA137)))</f>
        <v/>
      </c>
      <c r="AF137" s="62">
        <f>IF($V137="","",IF(AND(ISNUMBER($G137),$G137&lt;=IF($S137=MesCiclo,InicioCiclo,$S137+MOD(2-WEEKDAY($S137),7))+27),1,IF(N($W137)&gt;0,AVERAGEIFS($AB$5:$AB$1000,$U$5:$U$1000,ROW(),$V$5:$V$1000,"Sub"),$AB137)))</f>
        <v/>
      </c>
      <c r="AG137" s="62">
        <f>IF($V137&lt;&gt;"Macro","",IF(COUNTIFS($S$5:$S$1000,$S137,$V$5:$V$1000,"Macro",$H$5:$H$1000,"&gt;0")=0,1/COUNTIFS($S$5:$S$1000,$S137,$V$5:$V$1000,"Macro"),IF(AND(ISNUMBER($H137),N($H137)&gt;0),$H137,SUMIFS($H$5:$H$1000,$S$5:$S$1000,$S137,$V$5:$V$1000,"Macro")/COUNTIFS($S$5:$S$1000,$S137,$V$5:$V$1000,"Macro",$H$5:$H$1000,"&gt;0"))/(COUNTIFS($S$5:$S$1000,$S137,$V$5:$V$1000,"Macro")*SUMIFS($H$5:$H$1000,$S$5:$S$1000,$S137,$V$5:$V$1000,"Macro")/COUNTIFS($S$5:$S$1000,$S137,$V$5:$V$1000,"Macro",$H$5:$H$1000,"&gt;0"))))</f>
        <v/>
      </c>
      <c r="AH137" s="62" t="n"/>
      <c r="AI137" s="62" t="n"/>
      <c r="AJ137" s="62" t="n"/>
      <c r="AK137" s="62" t="n"/>
      <c r="AL137" s="62">
        <f>IF(LEFT($C137,11)="[Jefatura] ",IFERROR(MATCH("Riesgo Financiero|"&amp;MID($C137,12,500),rDname_ADM,0),0),"")</f>
        <v/>
      </c>
      <c r="AM137" s="62">
        <f>IF(N($AL137)&gt;0,INDEX(rIni_ADM,$AL137),IF(ISNUMBER($E137),$E137,""))</f>
        <v/>
      </c>
      <c r="AN137" s="62">
        <f>IF(N($AL137)&gt;0,INDEX(rLim_ADM,$AL137),IF(ISNUMBER($F137),$F137,""))</f>
        <v/>
      </c>
    </row>
    <row r="138">
      <c r="A138" s="56">
        <f>IF(NOT((COUNTA($B138:$D138)+COUNTA($G138:$L138)+COUNTA($Q138))&gt;0),"",IF($V138="Macro",COUNTIFS($V$5:$V138,"Macro",$S$5:$S138,$S138),IF(N($U138)=0,"?",COUNTIFS(INDEX($V$5:$V$1000,1):INDEX($V$5:$V$1000,$U138-4),"Macro",INDEX($S$5:$S$1000,1):INDEX($S$5:$S$1000,$U138-4),INDEX($S$5:$S$1000,$U138-4))&amp;"."&amp;COUNTIFS($U$5:$U138,$U138,$V$5:$V138,"Sub"))))</f>
        <v/>
      </c>
      <c r="B138" s="57" t="n"/>
      <c r="C138" s="58" t="n"/>
      <c r="D138" s="58" t="n"/>
      <c r="E138" s="59">
        <f>IF(N($AL138)&gt;0,INDEX(rIni_ADM,$AL138),"")</f>
        <v/>
      </c>
      <c r="F138" s="59">
        <f>IF(N($AL138)&gt;0,INDEX(rLim_ADM,$AL138),"")</f>
        <v/>
      </c>
      <c r="G138" s="59" t="n"/>
      <c r="H138" s="60" t="n"/>
      <c r="I138" s="60" t="n"/>
      <c r="J138" s="60" t="n"/>
      <c r="K138" s="60" t="n"/>
      <c r="L138" s="60" t="n"/>
      <c r="M138" s="61">
        <f>IF(NOT((COUNTA($B138:$D138)+COUNTA($G138:$L138)+COUNTA($Q138))&gt;0),"",IF($V138="Sub",IFERROR($X138/INDEX($W$5:$W$1000,$U138-4),""),IF(ISNUMBER($G138),1,IF(N($W138)&gt;0,AVERAGEIFS($X$5:$X$1000,$U$5:$U$1000,ROW(),$V$5:$V$1000,"Sub"),$X138))))</f>
        <v/>
      </c>
      <c r="N138" s="56">
        <f>IF(OR($M138="",$V138="Sub"),"",IF($M138&gt;=1,"Completado",IF($M138&gt;0,"En curso","Pendiente")))</f>
        <v/>
      </c>
      <c r="O138" s="56">
        <f>IF(OR(NOT((COUNTA($B138:$D138)+COUNTA($G138:$L138)+COUNTA($Q138))&gt;0),$V138="Sub"),"",IF(ISNUMBER($G138),IF(AND(ISNUMBER($AN138),$G138&gt;$AN138),"Cumplida con "&amp;($G138-$AN138)&amp;IF($G138-$AN138=1," día"," días")&amp;" de retraso","Cumplida"),IF(N($M138)&gt;=1,"Cumplida",IF(NOT(ISNUMBER($AN138)),"Sin fecha límite",IF($AN138&lt;FechaRef,"Vencida hace "&amp;(FechaRef-$AN138)&amp;IF(FechaRef-$AN138=1," día"," días"),IF($AN138=FechaRef,"Vence hoy",IF($AN138-FechaRef&lt;=DiasAlerta,"Vence en "&amp;($AN138-FechaRef)&amp;IF($AN138-FechaRef=1," día"," días"),"En plazo")))))))</f>
        <v/>
      </c>
      <c r="P138" s="62" t="n"/>
      <c r="Q138" s="58" t="n"/>
      <c r="R138" s="63">
        <f>IF(NOT((COUNTA($B138:$D138)+COUNTA($G138:$L138)+COUNTA($Q138))&gt;0),"",IF((IF($C138="","Falta el nombre de la actividad"&amp;" · ","")&amp;IF(AND($V138="Sub",N($U138)=0),"Subactividad sin macroactividad arriba"&amp;" · ","")&amp;IF($AM138="","Sin fecha de inicio"&amp;" · ","")&amp;IF($AN138="","Sin fecha límite"&amp;" · ","")&amp;IF(AND(LEFT($C138,11)="[Jefatura] ",N($AL138)=0),"No se encuentra en la hoja de la jefatura (elíjala de nuevo en la lista)"&amp;" · ","")&amp;IF(OR(AND($E138&lt;&gt;"",NOT(ISNUMBER($E138))),AND($F138&lt;&gt;"",NOT(ISNUMBER($F138))),AND($G138&lt;&gt;"",NOT(ISNUMBER($G138)))),"Fecha no válida"&amp;" · ","")&amp;IF(AND(ISNUMBER($AM138),ISNUMBER($AN138),$AM138&gt;$AN138),"Inicio posterior a fecha límite"&amp;" · ","")&amp;IF(AND($V138="Macro",$H138&lt;&gt;"",OR(NOT(ISNUMBER($H138)),$H138&lt;0,$H138&gt;1)),"Peso fuera de rango"&amp;" · ","")&amp;IF(AND($V138="Sub",$H138&lt;&gt;""),"Las subactividades no llevan peso (valen igual dentro de su macroactividad)"&amp;" · ","")&amp;IF(AND(N($W138)&gt;0,COUNT($I138:$L138)&gt;0),"Con subactividades: deje vacías las semanas (se calculan solas)"&amp;" · ","")&amp;IF((COUNTIF($I138:$L138,"&gt;1")+COUNTIF($I138:$L138,"&lt;0")+COUNTA($I138:$L138)-COUNT($I138:$L138))&gt;0,"Avance fuera de rango 0-100%"&amp;" · ","")&amp;IF(OR(AND($J138&lt;&gt;"",$J138&lt;$I138),AND($K138&lt;&gt;"",$K138&lt;MAX($I138:$J138)),AND($L138&lt;&gt;"",$L138&lt;MAX($I138:$K138))),"Avance semanal decreciente"&amp;" · ","")&amp;IF(AND(ISNUMBER($AN138),$AN138&lt;FechaRef,IF($V138="Sub",N($X138),N($M138))&lt;1),"Vencida"&amp;" · ","")&amp;IF(AND(ObsObligatoria="Sí",ISNUMBER($AN138),$AN138&lt;FechaRef,IF($V138="Sub",N($X138),N($M138))&lt;1,$Q138=""),"Vencida sin observación"&amp;" · ",""))="","✔ OK","⚠ "&amp;LEFT(IF($C138="","Falta el nombre de la actividad"&amp;" · ","")&amp;IF(AND($V138="Sub",N($U138)=0),"Subactividad sin macroactividad arriba"&amp;" · ","")&amp;IF($AM138="","Sin fecha de inicio"&amp;" · ","")&amp;IF($AN138="","Sin fecha límite"&amp;" · ","")&amp;IF(AND(LEFT($C138,11)="[Jefatura] ",N($AL138)=0),"No se encuentra en la hoja de la jefatura (elíjala de nuevo en la lista)"&amp;" · ","")&amp;IF(OR(AND($E138&lt;&gt;"",NOT(ISNUMBER($E138))),AND($F138&lt;&gt;"",NOT(ISNUMBER($F138))),AND($G138&lt;&gt;"",NOT(ISNUMBER($G138)))),"Fecha no válida"&amp;" · ","")&amp;IF(AND(ISNUMBER($AM138),ISNUMBER($AN138),$AM138&gt;$AN138),"Inicio posterior a fecha límite"&amp;" · ","")&amp;IF(AND($V138="Macro",$H138&lt;&gt;"",OR(NOT(ISNUMBER($H138)),$H138&lt;0,$H138&gt;1)),"Peso fuera de rango"&amp;" · ","")&amp;IF(AND($V138="Sub",$H138&lt;&gt;""),"Las subactividades no llevan peso (valen igual dentro de su macroactividad)"&amp;" · ","")&amp;IF(AND(N($W138)&gt;0,COUNT($I138:$L138)&gt;0),"Con subactividades: deje vacías las semanas (se calculan solas)"&amp;" · ","")&amp;IF((COUNTIF($I138:$L138,"&gt;1")+COUNTIF($I138:$L138,"&lt;0")+COUNTA($I138:$L138)-COUNT($I138:$L138))&gt;0,"Avance fuera de rango 0-100%"&amp;" · ","")&amp;IF(OR(AND($J138&lt;&gt;"",$J138&lt;$I138),AND($K138&lt;&gt;"",$K138&lt;MAX($I138:$J138)),AND($L138&lt;&gt;"",$L138&lt;MAX($I138:$K138))),"Avance semanal decreciente"&amp;" · ","")&amp;IF(AND(ISNUMBER($AN138),$AN138&lt;FechaRef,IF($V138="Sub",N($X138),N($M138))&lt;1),"Vencida"&amp;" · ","")&amp;IF(AND(ObsObligatoria="Sí",ISNUMBER($AN138),$AN138&lt;FechaRef,IF($V138="Sub",N($X138),N($M138))&lt;1,$Q138=""),"Vencida sin observación"&amp;" · ",""),LEN(IF($C138="","Falta el nombre de la actividad"&amp;" · ","")&amp;IF(AND($V138="Sub",N($U138)=0),"Subactividad sin macroactividad arriba"&amp;" · ","")&amp;IF($AM138="","Sin fecha de inicio"&amp;" · ","")&amp;IF($AN138="","Sin fecha límite"&amp;" · ","")&amp;IF(AND(LEFT($C138,11)="[Jefatura] ",N($AL138)=0),"No se encuentra en la hoja de la jefatura (elíjala de nuevo en la lista)"&amp;" · ","")&amp;IF(OR(AND($E138&lt;&gt;"",NOT(ISNUMBER($E138))),AND($F138&lt;&gt;"",NOT(ISNUMBER($F138))),AND($G138&lt;&gt;"",NOT(ISNUMBER($G138)))),"Fecha no válida"&amp;" · ","")&amp;IF(AND(ISNUMBER($AM138),ISNUMBER($AN138),$AM138&gt;$AN138),"Inicio posterior a fecha límite"&amp;" · ","")&amp;IF(AND($V138="Macro",$H138&lt;&gt;"",OR(NOT(ISNUMBER($H138)),$H138&lt;0,$H138&gt;1)),"Peso fuera de rango"&amp;" · ","")&amp;IF(AND($V138="Sub",$H138&lt;&gt;""),"Las subactividades no llevan peso (valen igual dentro de su macroactividad)"&amp;" · ","")&amp;IF(AND(N($W138)&gt;0,COUNT($I138:$L138)&gt;0),"Con subactividades: deje vacías las semanas (se calculan solas)"&amp;" · ","")&amp;IF((COUNTIF($I138:$L138,"&gt;1")+COUNTIF($I138:$L138,"&lt;0")+COUNTA($I138:$L138)-COUNT($I138:$L138))&gt;0,"Avance fuera de rango 0-100%"&amp;" · ","")&amp;IF(OR(AND($J138&lt;&gt;"",$J138&lt;$I138),AND($K138&lt;&gt;"",$K138&lt;MAX($I138:$J138)),AND($L138&lt;&gt;"",$L138&lt;MAX($I138:$K138))),"Avance semanal decreciente"&amp;" · ","")&amp;IF(AND(ISNUMBER($AN138),$AN138&lt;FechaRef,IF($V138="Sub",N($X138),N($M138))&lt;1),"Vencida"&amp;" · ","")&amp;IF(AND(ObsObligatoria="Sí",ISNUMBER($AN138),$AN138&lt;FechaRef,IF($V138="Sub",N($X138),N($M138))&lt;1,$Q138=""),"Vencida sin observación"&amp;" · ",""))-3)))</f>
        <v/>
      </c>
      <c r="S138" s="64">
        <f>IF(NOT((COUNTA($B138:$D138)+COUNTA($G138:$L138)+COUNTA($Q138))&gt;0),"",IF(AND($V138="Sub",N($U138)&gt;0),IF(ISNUMBER(INDEX($AM$5:$AM$1000,$U138-4)),DATE(YEAR(INDEX($AM$5:$AM$1000,$U138-4)),MONTH(INDEX($AM$5:$AM$1000,$U138-4)),1),IF(ISNUMBER(INDEX($AN$5:$AN$1000,$U138-4)),DATE(YEAR(INDEX($AN$5:$AN$1000,$U138-4)),MONTH(INDEX($AN$5:$AN$1000,$U138-4)),1),MesCiclo)),IF(ISNUMBER($AM138),DATE(YEAR($AM138),MONTH($AM138),1),IF(ISNUMBER($AN138),DATE(YEAR($AN138),MONTH($AN138),1),MesCiclo))))</f>
        <v/>
      </c>
      <c r="T138" s="62">
        <f>IF(OR($S138="",$S138&lt;&gt;MesCiclo,$V138&lt;&gt;"Macro"),"",COUNTIFS($S$5:$S138,MesCiclo,$V$5:$V138,"Macro"))</f>
        <v/>
      </c>
      <c r="U138" s="62">
        <f>IF($V138="","",IF($V138="Macro",ROW(),IFERROR(LOOKUP(2,1/($V$5:$V138="Macro"),ROW($V$5:$V138)),0)))</f>
        <v/>
      </c>
      <c r="V138" s="62">
        <f>IF(NOT((COUNTA($B138:$D138)+COUNTA($G138:$L138)+COUNTA($Q138))&gt;0),"",IF($B138="Subactividad","Sub","Macro"))</f>
        <v/>
      </c>
      <c r="W138" s="62">
        <f>IF($V138="Macro",COUNTIFS($U$5:$U$1000,ROW(),$V$5:$V$1000,"Sub"),"")</f>
        <v/>
      </c>
      <c r="X138" s="62">
        <f>IF($V138="","",IF(ISNUMBER($G138),1,IFERROR(LOOKUP(2,1/($I138:$L138&lt;&gt;""),$I138:$L138),0)))</f>
        <v/>
      </c>
      <c r="Y138" s="62">
        <f>IF($V138="","",IF(AND(ISNUMBER($G138),$G138&lt;=IF($S138=MesCiclo,InicioCiclo,$S138+MOD(2-WEEKDAY($S138),7))+6),1,IF(ISNUMBER($I138),$I138,0)))</f>
        <v/>
      </c>
      <c r="Z138" s="62">
        <f>IF($V138="","",IF(AND(ISNUMBER($G138),$G138&lt;=IF($S138=MesCiclo,InicioCiclo,$S138+MOD(2-WEEKDAY($S138),7))+13),1,IF(ISNUMBER($J138),$J138,$Y138)))</f>
        <v/>
      </c>
      <c r="AA138" s="62">
        <f>IF($V138="","",IF(AND(ISNUMBER($G138),$G138&lt;=IF($S138=MesCiclo,InicioCiclo,$S138+MOD(2-WEEKDAY($S138),7))+20),1,IF(ISNUMBER($K138),$K138,$Z138)))</f>
        <v/>
      </c>
      <c r="AB138" s="62">
        <f>IF($V138="","",IF(AND(ISNUMBER($G138),$G138&lt;=IF($S138=MesCiclo,InicioCiclo,$S138+MOD(2-WEEKDAY($S138),7))+27),1,IF(ISNUMBER($L138),$L138,$AA138)))</f>
        <v/>
      </c>
      <c r="AC138" s="62">
        <f>IF($V138="","",IF(AND(ISNUMBER($G138),$G138&lt;=IF($S138=MesCiclo,InicioCiclo,$S138+MOD(2-WEEKDAY($S138),7))+6),1,IF(N($W138)&gt;0,AVERAGEIFS($Y$5:$Y$1000,$U$5:$U$1000,ROW(),$V$5:$V$1000,"Sub"),$Y138)))</f>
        <v/>
      </c>
      <c r="AD138" s="62">
        <f>IF($V138="","",IF(AND(ISNUMBER($G138),$G138&lt;=IF($S138=MesCiclo,InicioCiclo,$S138+MOD(2-WEEKDAY($S138),7))+13),1,IF(N($W138)&gt;0,AVERAGEIFS($Z$5:$Z$1000,$U$5:$U$1000,ROW(),$V$5:$V$1000,"Sub"),$Z138)))</f>
        <v/>
      </c>
      <c r="AE138" s="62">
        <f>IF($V138="","",IF(AND(ISNUMBER($G138),$G138&lt;=IF($S138=MesCiclo,InicioCiclo,$S138+MOD(2-WEEKDAY($S138),7))+20),1,IF(N($W138)&gt;0,AVERAGEIFS($AA$5:$AA$1000,$U$5:$U$1000,ROW(),$V$5:$V$1000,"Sub"),$AA138)))</f>
        <v/>
      </c>
      <c r="AF138" s="62">
        <f>IF($V138="","",IF(AND(ISNUMBER($G138),$G138&lt;=IF($S138=MesCiclo,InicioCiclo,$S138+MOD(2-WEEKDAY($S138),7))+27),1,IF(N($W138)&gt;0,AVERAGEIFS($AB$5:$AB$1000,$U$5:$U$1000,ROW(),$V$5:$V$1000,"Sub"),$AB138)))</f>
        <v/>
      </c>
      <c r="AG138" s="62">
        <f>IF($V138&lt;&gt;"Macro","",IF(COUNTIFS($S$5:$S$1000,$S138,$V$5:$V$1000,"Macro",$H$5:$H$1000,"&gt;0")=0,1/COUNTIFS($S$5:$S$1000,$S138,$V$5:$V$1000,"Macro"),IF(AND(ISNUMBER($H138),N($H138)&gt;0),$H138,SUMIFS($H$5:$H$1000,$S$5:$S$1000,$S138,$V$5:$V$1000,"Macro")/COUNTIFS($S$5:$S$1000,$S138,$V$5:$V$1000,"Macro",$H$5:$H$1000,"&gt;0"))/(COUNTIFS($S$5:$S$1000,$S138,$V$5:$V$1000,"Macro")*SUMIFS($H$5:$H$1000,$S$5:$S$1000,$S138,$V$5:$V$1000,"Macro")/COUNTIFS($S$5:$S$1000,$S138,$V$5:$V$1000,"Macro",$H$5:$H$1000,"&gt;0"))))</f>
        <v/>
      </c>
      <c r="AH138" s="62" t="n"/>
      <c r="AI138" s="62" t="n"/>
      <c r="AJ138" s="62" t="n"/>
      <c r="AK138" s="62" t="n"/>
      <c r="AL138" s="62">
        <f>IF(LEFT($C138,11)="[Jefatura] ",IFERROR(MATCH("Riesgo Financiero|"&amp;MID($C138,12,500),rDname_ADM,0),0),"")</f>
        <v/>
      </c>
      <c r="AM138" s="62">
        <f>IF(N($AL138)&gt;0,INDEX(rIni_ADM,$AL138),IF(ISNUMBER($E138),$E138,""))</f>
        <v/>
      </c>
      <c r="AN138" s="62">
        <f>IF(N($AL138)&gt;0,INDEX(rLim_ADM,$AL138),IF(ISNUMBER($F138),$F138,""))</f>
        <v/>
      </c>
    </row>
    <row r="139">
      <c r="A139" s="56">
        <f>IF(NOT((COUNTA($B139:$D139)+COUNTA($G139:$L139)+COUNTA($Q139))&gt;0),"",IF($V139="Macro",COUNTIFS($V$5:$V139,"Macro",$S$5:$S139,$S139),IF(N($U139)=0,"?",COUNTIFS(INDEX($V$5:$V$1000,1):INDEX($V$5:$V$1000,$U139-4),"Macro",INDEX($S$5:$S$1000,1):INDEX($S$5:$S$1000,$U139-4),INDEX($S$5:$S$1000,$U139-4))&amp;"."&amp;COUNTIFS($U$5:$U139,$U139,$V$5:$V139,"Sub"))))</f>
        <v/>
      </c>
      <c r="B139" s="57" t="n"/>
      <c r="C139" s="58" t="n"/>
      <c r="D139" s="58" t="n"/>
      <c r="E139" s="59">
        <f>IF(N($AL139)&gt;0,INDEX(rIni_ADM,$AL139),"")</f>
        <v/>
      </c>
      <c r="F139" s="59">
        <f>IF(N($AL139)&gt;0,INDEX(rLim_ADM,$AL139),"")</f>
        <v/>
      </c>
      <c r="G139" s="59" t="n"/>
      <c r="H139" s="60" t="n"/>
      <c r="I139" s="60" t="n"/>
      <c r="J139" s="60" t="n"/>
      <c r="K139" s="60" t="n"/>
      <c r="L139" s="60" t="n"/>
      <c r="M139" s="61">
        <f>IF(NOT((COUNTA($B139:$D139)+COUNTA($G139:$L139)+COUNTA($Q139))&gt;0),"",IF($V139="Sub",IFERROR($X139/INDEX($W$5:$W$1000,$U139-4),""),IF(ISNUMBER($G139),1,IF(N($W139)&gt;0,AVERAGEIFS($X$5:$X$1000,$U$5:$U$1000,ROW(),$V$5:$V$1000,"Sub"),$X139))))</f>
        <v/>
      </c>
      <c r="N139" s="56">
        <f>IF(OR($M139="",$V139="Sub"),"",IF($M139&gt;=1,"Completado",IF($M139&gt;0,"En curso","Pendiente")))</f>
        <v/>
      </c>
      <c r="O139" s="56">
        <f>IF(OR(NOT((COUNTA($B139:$D139)+COUNTA($G139:$L139)+COUNTA($Q139))&gt;0),$V139="Sub"),"",IF(ISNUMBER($G139),IF(AND(ISNUMBER($AN139),$G139&gt;$AN139),"Cumplida con "&amp;($G139-$AN139)&amp;IF($G139-$AN139=1," día"," días")&amp;" de retraso","Cumplida"),IF(N($M139)&gt;=1,"Cumplida",IF(NOT(ISNUMBER($AN139)),"Sin fecha límite",IF($AN139&lt;FechaRef,"Vencida hace "&amp;(FechaRef-$AN139)&amp;IF(FechaRef-$AN139=1," día"," días"),IF($AN139=FechaRef,"Vence hoy",IF($AN139-FechaRef&lt;=DiasAlerta,"Vence en "&amp;($AN139-FechaRef)&amp;IF($AN139-FechaRef=1," día"," días"),"En plazo")))))))</f>
        <v/>
      </c>
      <c r="P139" s="62" t="n"/>
      <c r="Q139" s="58" t="n"/>
      <c r="R139" s="63">
        <f>IF(NOT((COUNTA($B139:$D139)+COUNTA($G139:$L139)+COUNTA($Q139))&gt;0),"",IF((IF($C139="","Falta el nombre de la actividad"&amp;" · ","")&amp;IF(AND($V139="Sub",N($U139)=0),"Subactividad sin macroactividad arriba"&amp;" · ","")&amp;IF($AM139="","Sin fecha de inicio"&amp;" · ","")&amp;IF($AN139="","Sin fecha límite"&amp;" · ","")&amp;IF(AND(LEFT($C139,11)="[Jefatura] ",N($AL139)=0),"No se encuentra en la hoja de la jefatura (elíjala de nuevo en la lista)"&amp;" · ","")&amp;IF(OR(AND($E139&lt;&gt;"",NOT(ISNUMBER($E139))),AND($F139&lt;&gt;"",NOT(ISNUMBER($F139))),AND($G139&lt;&gt;"",NOT(ISNUMBER($G139)))),"Fecha no válida"&amp;" · ","")&amp;IF(AND(ISNUMBER($AM139),ISNUMBER($AN139),$AM139&gt;$AN139),"Inicio posterior a fecha límite"&amp;" · ","")&amp;IF(AND($V139="Macro",$H139&lt;&gt;"",OR(NOT(ISNUMBER($H139)),$H139&lt;0,$H139&gt;1)),"Peso fuera de rango"&amp;" · ","")&amp;IF(AND($V139="Sub",$H139&lt;&gt;""),"Las subactividades no llevan peso (valen igual dentro de su macroactividad)"&amp;" · ","")&amp;IF(AND(N($W139)&gt;0,COUNT($I139:$L139)&gt;0),"Con subactividades: deje vacías las semanas (se calculan solas)"&amp;" · ","")&amp;IF((COUNTIF($I139:$L139,"&gt;1")+COUNTIF($I139:$L139,"&lt;0")+COUNTA($I139:$L139)-COUNT($I139:$L139))&gt;0,"Avance fuera de rango 0-100%"&amp;" · ","")&amp;IF(OR(AND($J139&lt;&gt;"",$J139&lt;$I139),AND($K139&lt;&gt;"",$K139&lt;MAX($I139:$J139)),AND($L139&lt;&gt;"",$L139&lt;MAX($I139:$K139))),"Avance semanal decreciente"&amp;" · ","")&amp;IF(AND(ISNUMBER($AN139),$AN139&lt;FechaRef,IF($V139="Sub",N($X139),N($M139))&lt;1),"Vencida"&amp;" · ","")&amp;IF(AND(ObsObligatoria="Sí",ISNUMBER($AN139),$AN139&lt;FechaRef,IF($V139="Sub",N($X139),N($M139))&lt;1,$Q139=""),"Vencida sin observación"&amp;" · ",""))="","✔ OK","⚠ "&amp;LEFT(IF($C139="","Falta el nombre de la actividad"&amp;" · ","")&amp;IF(AND($V139="Sub",N($U139)=0),"Subactividad sin macroactividad arriba"&amp;" · ","")&amp;IF($AM139="","Sin fecha de inicio"&amp;" · ","")&amp;IF($AN139="","Sin fecha límite"&amp;" · ","")&amp;IF(AND(LEFT($C139,11)="[Jefatura] ",N($AL139)=0),"No se encuentra en la hoja de la jefatura (elíjala de nuevo en la lista)"&amp;" · ","")&amp;IF(OR(AND($E139&lt;&gt;"",NOT(ISNUMBER($E139))),AND($F139&lt;&gt;"",NOT(ISNUMBER($F139))),AND($G139&lt;&gt;"",NOT(ISNUMBER($G139)))),"Fecha no válida"&amp;" · ","")&amp;IF(AND(ISNUMBER($AM139),ISNUMBER($AN139),$AM139&gt;$AN139),"Inicio posterior a fecha límite"&amp;" · ","")&amp;IF(AND($V139="Macro",$H139&lt;&gt;"",OR(NOT(ISNUMBER($H139)),$H139&lt;0,$H139&gt;1)),"Peso fuera de rango"&amp;" · ","")&amp;IF(AND($V139="Sub",$H139&lt;&gt;""),"Las subactividades no llevan peso (valen igual dentro de su macroactividad)"&amp;" · ","")&amp;IF(AND(N($W139)&gt;0,COUNT($I139:$L139)&gt;0),"Con subactividades: deje vacías las semanas (se calculan solas)"&amp;" · ","")&amp;IF((COUNTIF($I139:$L139,"&gt;1")+COUNTIF($I139:$L139,"&lt;0")+COUNTA($I139:$L139)-COUNT($I139:$L139))&gt;0,"Avance fuera de rango 0-100%"&amp;" · ","")&amp;IF(OR(AND($J139&lt;&gt;"",$J139&lt;$I139),AND($K139&lt;&gt;"",$K139&lt;MAX($I139:$J139)),AND($L139&lt;&gt;"",$L139&lt;MAX($I139:$K139))),"Avance semanal decreciente"&amp;" · ","")&amp;IF(AND(ISNUMBER($AN139),$AN139&lt;FechaRef,IF($V139="Sub",N($X139),N($M139))&lt;1),"Vencida"&amp;" · ","")&amp;IF(AND(ObsObligatoria="Sí",ISNUMBER($AN139),$AN139&lt;FechaRef,IF($V139="Sub",N($X139),N($M139))&lt;1,$Q139=""),"Vencida sin observación"&amp;" · ",""),LEN(IF($C139="","Falta el nombre de la actividad"&amp;" · ","")&amp;IF(AND($V139="Sub",N($U139)=0),"Subactividad sin macroactividad arriba"&amp;" · ","")&amp;IF($AM139="","Sin fecha de inicio"&amp;" · ","")&amp;IF($AN139="","Sin fecha límite"&amp;" · ","")&amp;IF(AND(LEFT($C139,11)="[Jefatura] ",N($AL139)=0),"No se encuentra en la hoja de la jefatura (elíjala de nuevo en la lista)"&amp;" · ","")&amp;IF(OR(AND($E139&lt;&gt;"",NOT(ISNUMBER($E139))),AND($F139&lt;&gt;"",NOT(ISNUMBER($F139))),AND($G139&lt;&gt;"",NOT(ISNUMBER($G139)))),"Fecha no válida"&amp;" · ","")&amp;IF(AND(ISNUMBER($AM139),ISNUMBER($AN139),$AM139&gt;$AN139),"Inicio posterior a fecha límite"&amp;" · ","")&amp;IF(AND($V139="Macro",$H139&lt;&gt;"",OR(NOT(ISNUMBER($H139)),$H139&lt;0,$H139&gt;1)),"Peso fuera de rango"&amp;" · ","")&amp;IF(AND($V139="Sub",$H139&lt;&gt;""),"Las subactividades no llevan peso (valen igual dentro de su macroactividad)"&amp;" · ","")&amp;IF(AND(N($W139)&gt;0,COUNT($I139:$L139)&gt;0),"Con subactividades: deje vacías las semanas (se calculan solas)"&amp;" · ","")&amp;IF((COUNTIF($I139:$L139,"&gt;1")+COUNTIF($I139:$L139,"&lt;0")+COUNTA($I139:$L139)-COUNT($I139:$L139))&gt;0,"Avance fuera de rango 0-100%"&amp;" · ","")&amp;IF(OR(AND($J139&lt;&gt;"",$J139&lt;$I139),AND($K139&lt;&gt;"",$K139&lt;MAX($I139:$J139)),AND($L139&lt;&gt;"",$L139&lt;MAX($I139:$K139))),"Avance semanal decreciente"&amp;" · ","")&amp;IF(AND(ISNUMBER($AN139),$AN139&lt;FechaRef,IF($V139="Sub",N($X139),N($M139))&lt;1),"Vencida"&amp;" · ","")&amp;IF(AND(ObsObligatoria="Sí",ISNUMBER($AN139),$AN139&lt;FechaRef,IF($V139="Sub",N($X139),N($M139))&lt;1,$Q139=""),"Vencida sin observación"&amp;" · ",""))-3)))</f>
        <v/>
      </c>
      <c r="S139" s="64">
        <f>IF(NOT((COUNTA($B139:$D139)+COUNTA($G139:$L139)+COUNTA($Q139))&gt;0),"",IF(AND($V139="Sub",N($U139)&gt;0),IF(ISNUMBER(INDEX($AM$5:$AM$1000,$U139-4)),DATE(YEAR(INDEX($AM$5:$AM$1000,$U139-4)),MONTH(INDEX($AM$5:$AM$1000,$U139-4)),1),IF(ISNUMBER(INDEX($AN$5:$AN$1000,$U139-4)),DATE(YEAR(INDEX($AN$5:$AN$1000,$U139-4)),MONTH(INDEX($AN$5:$AN$1000,$U139-4)),1),MesCiclo)),IF(ISNUMBER($AM139),DATE(YEAR($AM139),MONTH($AM139),1),IF(ISNUMBER($AN139),DATE(YEAR($AN139),MONTH($AN139),1),MesCiclo))))</f>
        <v/>
      </c>
      <c r="T139" s="62">
        <f>IF(OR($S139="",$S139&lt;&gt;MesCiclo,$V139&lt;&gt;"Macro"),"",COUNTIFS($S$5:$S139,MesCiclo,$V$5:$V139,"Macro"))</f>
        <v/>
      </c>
      <c r="U139" s="62">
        <f>IF($V139="","",IF($V139="Macro",ROW(),IFERROR(LOOKUP(2,1/($V$5:$V139="Macro"),ROW($V$5:$V139)),0)))</f>
        <v/>
      </c>
      <c r="V139" s="62">
        <f>IF(NOT((COUNTA($B139:$D139)+COUNTA($G139:$L139)+COUNTA($Q139))&gt;0),"",IF($B139="Subactividad","Sub","Macro"))</f>
        <v/>
      </c>
      <c r="W139" s="62">
        <f>IF($V139="Macro",COUNTIFS($U$5:$U$1000,ROW(),$V$5:$V$1000,"Sub"),"")</f>
        <v/>
      </c>
      <c r="X139" s="62">
        <f>IF($V139="","",IF(ISNUMBER($G139),1,IFERROR(LOOKUP(2,1/($I139:$L139&lt;&gt;""),$I139:$L139),0)))</f>
        <v/>
      </c>
      <c r="Y139" s="62">
        <f>IF($V139="","",IF(AND(ISNUMBER($G139),$G139&lt;=IF($S139=MesCiclo,InicioCiclo,$S139+MOD(2-WEEKDAY($S139),7))+6),1,IF(ISNUMBER($I139),$I139,0)))</f>
        <v/>
      </c>
      <c r="Z139" s="62">
        <f>IF($V139="","",IF(AND(ISNUMBER($G139),$G139&lt;=IF($S139=MesCiclo,InicioCiclo,$S139+MOD(2-WEEKDAY($S139),7))+13),1,IF(ISNUMBER($J139),$J139,$Y139)))</f>
        <v/>
      </c>
      <c r="AA139" s="62">
        <f>IF($V139="","",IF(AND(ISNUMBER($G139),$G139&lt;=IF($S139=MesCiclo,InicioCiclo,$S139+MOD(2-WEEKDAY($S139),7))+20),1,IF(ISNUMBER($K139),$K139,$Z139)))</f>
        <v/>
      </c>
      <c r="AB139" s="62">
        <f>IF($V139="","",IF(AND(ISNUMBER($G139),$G139&lt;=IF($S139=MesCiclo,InicioCiclo,$S139+MOD(2-WEEKDAY($S139),7))+27),1,IF(ISNUMBER($L139),$L139,$AA139)))</f>
        <v/>
      </c>
      <c r="AC139" s="62">
        <f>IF($V139="","",IF(AND(ISNUMBER($G139),$G139&lt;=IF($S139=MesCiclo,InicioCiclo,$S139+MOD(2-WEEKDAY($S139),7))+6),1,IF(N($W139)&gt;0,AVERAGEIFS($Y$5:$Y$1000,$U$5:$U$1000,ROW(),$V$5:$V$1000,"Sub"),$Y139)))</f>
        <v/>
      </c>
      <c r="AD139" s="62">
        <f>IF($V139="","",IF(AND(ISNUMBER($G139),$G139&lt;=IF($S139=MesCiclo,InicioCiclo,$S139+MOD(2-WEEKDAY($S139),7))+13),1,IF(N($W139)&gt;0,AVERAGEIFS($Z$5:$Z$1000,$U$5:$U$1000,ROW(),$V$5:$V$1000,"Sub"),$Z139)))</f>
        <v/>
      </c>
      <c r="AE139" s="62">
        <f>IF($V139="","",IF(AND(ISNUMBER($G139),$G139&lt;=IF($S139=MesCiclo,InicioCiclo,$S139+MOD(2-WEEKDAY($S139),7))+20),1,IF(N($W139)&gt;0,AVERAGEIFS($AA$5:$AA$1000,$U$5:$U$1000,ROW(),$V$5:$V$1000,"Sub"),$AA139)))</f>
        <v/>
      </c>
      <c r="AF139" s="62">
        <f>IF($V139="","",IF(AND(ISNUMBER($G139),$G139&lt;=IF($S139=MesCiclo,InicioCiclo,$S139+MOD(2-WEEKDAY($S139),7))+27),1,IF(N($W139)&gt;0,AVERAGEIFS($AB$5:$AB$1000,$U$5:$U$1000,ROW(),$V$5:$V$1000,"Sub"),$AB139)))</f>
        <v/>
      </c>
      <c r="AG139" s="62">
        <f>IF($V139&lt;&gt;"Macro","",IF(COUNTIFS($S$5:$S$1000,$S139,$V$5:$V$1000,"Macro",$H$5:$H$1000,"&gt;0")=0,1/COUNTIFS($S$5:$S$1000,$S139,$V$5:$V$1000,"Macro"),IF(AND(ISNUMBER($H139),N($H139)&gt;0),$H139,SUMIFS($H$5:$H$1000,$S$5:$S$1000,$S139,$V$5:$V$1000,"Macro")/COUNTIFS($S$5:$S$1000,$S139,$V$5:$V$1000,"Macro",$H$5:$H$1000,"&gt;0"))/(COUNTIFS($S$5:$S$1000,$S139,$V$5:$V$1000,"Macro")*SUMIFS($H$5:$H$1000,$S$5:$S$1000,$S139,$V$5:$V$1000,"Macro")/COUNTIFS($S$5:$S$1000,$S139,$V$5:$V$1000,"Macro",$H$5:$H$1000,"&gt;0"))))</f>
        <v/>
      </c>
      <c r="AH139" s="62" t="n"/>
      <c r="AI139" s="62" t="n"/>
      <c r="AJ139" s="62" t="n"/>
      <c r="AK139" s="62" t="n"/>
      <c r="AL139" s="62">
        <f>IF(LEFT($C139,11)="[Jefatura] ",IFERROR(MATCH("Riesgo Financiero|"&amp;MID($C139,12,500),rDname_ADM,0),0),"")</f>
        <v/>
      </c>
      <c r="AM139" s="62">
        <f>IF(N($AL139)&gt;0,INDEX(rIni_ADM,$AL139),IF(ISNUMBER($E139),$E139,""))</f>
        <v/>
      </c>
      <c r="AN139" s="62">
        <f>IF(N($AL139)&gt;0,INDEX(rLim_ADM,$AL139),IF(ISNUMBER($F139),$F139,""))</f>
        <v/>
      </c>
    </row>
    <row r="140">
      <c r="A140" s="56">
        <f>IF(NOT((COUNTA($B140:$D140)+COUNTA($G140:$L140)+COUNTA($Q140))&gt;0),"",IF($V140="Macro",COUNTIFS($V$5:$V140,"Macro",$S$5:$S140,$S140),IF(N($U140)=0,"?",COUNTIFS(INDEX($V$5:$V$1000,1):INDEX($V$5:$V$1000,$U140-4),"Macro",INDEX($S$5:$S$1000,1):INDEX($S$5:$S$1000,$U140-4),INDEX($S$5:$S$1000,$U140-4))&amp;"."&amp;COUNTIFS($U$5:$U140,$U140,$V$5:$V140,"Sub"))))</f>
        <v/>
      </c>
      <c r="B140" s="57" t="n"/>
      <c r="C140" s="58" t="n"/>
      <c r="D140" s="58" t="n"/>
      <c r="E140" s="59">
        <f>IF(N($AL140)&gt;0,INDEX(rIni_ADM,$AL140),"")</f>
        <v/>
      </c>
      <c r="F140" s="59">
        <f>IF(N($AL140)&gt;0,INDEX(rLim_ADM,$AL140),"")</f>
        <v/>
      </c>
      <c r="G140" s="59" t="n"/>
      <c r="H140" s="60" t="n"/>
      <c r="I140" s="60" t="n"/>
      <c r="J140" s="60" t="n"/>
      <c r="K140" s="60" t="n"/>
      <c r="L140" s="60" t="n"/>
      <c r="M140" s="61">
        <f>IF(NOT((COUNTA($B140:$D140)+COUNTA($G140:$L140)+COUNTA($Q140))&gt;0),"",IF($V140="Sub",IFERROR($X140/INDEX($W$5:$W$1000,$U140-4),""),IF(ISNUMBER($G140),1,IF(N($W140)&gt;0,AVERAGEIFS($X$5:$X$1000,$U$5:$U$1000,ROW(),$V$5:$V$1000,"Sub"),$X140))))</f>
        <v/>
      </c>
      <c r="N140" s="56">
        <f>IF(OR($M140="",$V140="Sub"),"",IF($M140&gt;=1,"Completado",IF($M140&gt;0,"En curso","Pendiente")))</f>
        <v/>
      </c>
      <c r="O140" s="56">
        <f>IF(OR(NOT((COUNTA($B140:$D140)+COUNTA($G140:$L140)+COUNTA($Q140))&gt;0),$V140="Sub"),"",IF(ISNUMBER($G140),IF(AND(ISNUMBER($AN140),$G140&gt;$AN140),"Cumplida con "&amp;($G140-$AN140)&amp;IF($G140-$AN140=1," día"," días")&amp;" de retraso","Cumplida"),IF(N($M140)&gt;=1,"Cumplida",IF(NOT(ISNUMBER($AN140)),"Sin fecha límite",IF($AN140&lt;FechaRef,"Vencida hace "&amp;(FechaRef-$AN140)&amp;IF(FechaRef-$AN140=1," día"," días"),IF($AN140=FechaRef,"Vence hoy",IF($AN140-FechaRef&lt;=DiasAlerta,"Vence en "&amp;($AN140-FechaRef)&amp;IF($AN140-FechaRef=1," día"," días"),"En plazo")))))))</f>
        <v/>
      </c>
      <c r="P140" s="62" t="n"/>
      <c r="Q140" s="58" t="n"/>
      <c r="R140" s="63">
        <f>IF(NOT((COUNTA($B140:$D140)+COUNTA($G140:$L140)+COUNTA($Q140))&gt;0),"",IF((IF($C140="","Falta el nombre de la actividad"&amp;" · ","")&amp;IF(AND($V140="Sub",N($U140)=0),"Subactividad sin macroactividad arriba"&amp;" · ","")&amp;IF($AM140="","Sin fecha de inicio"&amp;" · ","")&amp;IF($AN140="","Sin fecha límite"&amp;" · ","")&amp;IF(AND(LEFT($C140,11)="[Jefatura] ",N($AL140)=0),"No se encuentra en la hoja de la jefatura (elíjala de nuevo en la lista)"&amp;" · ","")&amp;IF(OR(AND($E140&lt;&gt;"",NOT(ISNUMBER($E140))),AND($F140&lt;&gt;"",NOT(ISNUMBER($F140))),AND($G140&lt;&gt;"",NOT(ISNUMBER($G140)))),"Fecha no válida"&amp;" · ","")&amp;IF(AND(ISNUMBER($AM140),ISNUMBER($AN140),$AM140&gt;$AN140),"Inicio posterior a fecha límite"&amp;" · ","")&amp;IF(AND($V140="Macro",$H140&lt;&gt;"",OR(NOT(ISNUMBER($H140)),$H140&lt;0,$H140&gt;1)),"Peso fuera de rango"&amp;" · ","")&amp;IF(AND($V140="Sub",$H140&lt;&gt;""),"Las subactividades no llevan peso (valen igual dentro de su macroactividad)"&amp;" · ","")&amp;IF(AND(N($W140)&gt;0,COUNT($I140:$L140)&gt;0),"Con subactividades: deje vacías las semanas (se calculan solas)"&amp;" · ","")&amp;IF((COUNTIF($I140:$L140,"&gt;1")+COUNTIF($I140:$L140,"&lt;0")+COUNTA($I140:$L140)-COUNT($I140:$L140))&gt;0,"Avance fuera de rango 0-100%"&amp;" · ","")&amp;IF(OR(AND($J140&lt;&gt;"",$J140&lt;$I140),AND($K140&lt;&gt;"",$K140&lt;MAX($I140:$J140)),AND($L140&lt;&gt;"",$L140&lt;MAX($I140:$K140))),"Avance semanal decreciente"&amp;" · ","")&amp;IF(AND(ISNUMBER($AN140),$AN140&lt;FechaRef,IF($V140="Sub",N($X140),N($M140))&lt;1),"Vencida"&amp;" · ","")&amp;IF(AND(ObsObligatoria="Sí",ISNUMBER($AN140),$AN140&lt;FechaRef,IF($V140="Sub",N($X140),N($M140))&lt;1,$Q140=""),"Vencida sin observación"&amp;" · ",""))="","✔ OK","⚠ "&amp;LEFT(IF($C140="","Falta el nombre de la actividad"&amp;" · ","")&amp;IF(AND($V140="Sub",N($U140)=0),"Subactividad sin macroactividad arriba"&amp;" · ","")&amp;IF($AM140="","Sin fecha de inicio"&amp;" · ","")&amp;IF($AN140="","Sin fecha límite"&amp;" · ","")&amp;IF(AND(LEFT($C140,11)="[Jefatura] ",N($AL140)=0),"No se encuentra en la hoja de la jefatura (elíjala de nuevo en la lista)"&amp;" · ","")&amp;IF(OR(AND($E140&lt;&gt;"",NOT(ISNUMBER($E140))),AND($F140&lt;&gt;"",NOT(ISNUMBER($F140))),AND($G140&lt;&gt;"",NOT(ISNUMBER($G140)))),"Fecha no válida"&amp;" · ","")&amp;IF(AND(ISNUMBER($AM140),ISNUMBER($AN140),$AM140&gt;$AN140),"Inicio posterior a fecha límite"&amp;" · ","")&amp;IF(AND($V140="Macro",$H140&lt;&gt;"",OR(NOT(ISNUMBER($H140)),$H140&lt;0,$H140&gt;1)),"Peso fuera de rango"&amp;" · ","")&amp;IF(AND($V140="Sub",$H140&lt;&gt;""),"Las subactividades no llevan peso (valen igual dentro de su macroactividad)"&amp;" · ","")&amp;IF(AND(N($W140)&gt;0,COUNT($I140:$L140)&gt;0),"Con subactividades: deje vacías las semanas (se calculan solas)"&amp;" · ","")&amp;IF((COUNTIF($I140:$L140,"&gt;1")+COUNTIF($I140:$L140,"&lt;0")+COUNTA($I140:$L140)-COUNT($I140:$L140))&gt;0,"Avance fuera de rango 0-100%"&amp;" · ","")&amp;IF(OR(AND($J140&lt;&gt;"",$J140&lt;$I140),AND($K140&lt;&gt;"",$K140&lt;MAX($I140:$J140)),AND($L140&lt;&gt;"",$L140&lt;MAX($I140:$K140))),"Avance semanal decreciente"&amp;" · ","")&amp;IF(AND(ISNUMBER($AN140),$AN140&lt;FechaRef,IF($V140="Sub",N($X140),N($M140))&lt;1),"Vencida"&amp;" · ","")&amp;IF(AND(ObsObligatoria="Sí",ISNUMBER($AN140),$AN140&lt;FechaRef,IF($V140="Sub",N($X140),N($M140))&lt;1,$Q140=""),"Vencida sin observación"&amp;" · ",""),LEN(IF($C140="","Falta el nombre de la actividad"&amp;" · ","")&amp;IF(AND($V140="Sub",N($U140)=0),"Subactividad sin macroactividad arriba"&amp;" · ","")&amp;IF($AM140="","Sin fecha de inicio"&amp;" · ","")&amp;IF($AN140="","Sin fecha límite"&amp;" · ","")&amp;IF(AND(LEFT($C140,11)="[Jefatura] ",N($AL140)=0),"No se encuentra en la hoja de la jefatura (elíjala de nuevo en la lista)"&amp;" · ","")&amp;IF(OR(AND($E140&lt;&gt;"",NOT(ISNUMBER($E140))),AND($F140&lt;&gt;"",NOT(ISNUMBER($F140))),AND($G140&lt;&gt;"",NOT(ISNUMBER($G140)))),"Fecha no válida"&amp;" · ","")&amp;IF(AND(ISNUMBER($AM140),ISNUMBER($AN140),$AM140&gt;$AN140),"Inicio posterior a fecha límite"&amp;" · ","")&amp;IF(AND($V140="Macro",$H140&lt;&gt;"",OR(NOT(ISNUMBER($H140)),$H140&lt;0,$H140&gt;1)),"Peso fuera de rango"&amp;" · ","")&amp;IF(AND($V140="Sub",$H140&lt;&gt;""),"Las subactividades no llevan peso (valen igual dentro de su macroactividad)"&amp;" · ","")&amp;IF(AND(N($W140)&gt;0,COUNT($I140:$L140)&gt;0),"Con subactividades: deje vacías las semanas (se calculan solas)"&amp;" · ","")&amp;IF((COUNTIF($I140:$L140,"&gt;1")+COUNTIF($I140:$L140,"&lt;0")+COUNTA($I140:$L140)-COUNT($I140:$L140))&gt;0,"Avance fuera de rango 0-100%"&amp;" · ","")&amp;IF(OR(AND($J140&lt;&gt;"",$J140&lt;$I140),AND($K140&lt;&gt;"",$K140&lt;MAX($I140:$J140)),AND($L140&lt;&gt;"",$L140&lt;MAX($I140:$K140))),"Avance semanal decreciente"&amp;" · ","")&amp;IF(AND(ISNUMBER($AN140),$AN140&lt;FechaRef,IF($V140="Sub",N($X140),N($M140))&lt;1),"Vencida"&amp;" · ","")&amp;IF(AND(ObsObligatoria="Sí",ISNUMBER($AN140),$AN140&lt;FechaRef,IF($V140="Sub",N($X140),N($M140))&lt;1,$Q140=""),"Vencida sin observación"&amp;" · ",""))-3)))</f>
        <v/>
      </c>
      <c r="S140" s="64">
        <f>IF(NOT((COUNTA($B140:$D140)+COUNTA($G140:$L140)+COUNTA($Q140))&gt;0),"",IF(AND($V140="Sub",N($U140)&gt;0),IF(ISNUMBER(INDEX($AM$5:$AM$1000,$U140-4)),DATE(YEAR(INDEX($AM$5:$AM$1000,$U140-4)),MONTH(INDEX($AM$5:$AM$1000,$U140-4)),1),IF(ISNUMBER(INDEX($AN$5:$AN$1000,$U140-4)),DATE(YEAR(INDEX($AN$5:$AN$1000,$U140-4)),MONTH(INDEX($AN$5:$AN$1000,$U140-4)),1),MesCiclo)),IF(ISNUMBER($AM140),DATE(YEAR($AM140),MONTH($AM140),1),IF(ISNUMBER($AN140),DATE(YEAR($AN140),MONTH($AN140),1),MesCiclo))))</f>
        <v/>
      </c>
      <c r="T140" s="62">
        <f>IF(OR($S140="",$S140&lt;&gt;MesCiclo,$V140&lt;&gt;"Macro"),"",COUNTIFS($S$5:$S140,MesCiclo,$V$5:$V140,"Macro"))</f>
        <v/>
      </c>
      <c r="U140" s="62">
        <f>IF($V140="","",IF($V140="Macro",ROW(),IFERROR(LOOKUP(2,1/($V$5:$V140="Macro"),ROW($V$5:$V140)),0)))</f>
        <v/>
      </c>
      <c r="V140" s="62">
        <f>IF(NOT((COUNTA($B140:$D140)+COUNTA($G140:$L140)+COUNTA($Q140))&gt;0),"",IF($B140="Subactividad","Sub","Macro"))</f>
        <v/>
      </c>
      <c r="W140" s="62">
        <f>IF($V140="Macro",COUNTIFS($U$5:$U$1000,ROW(),$V$5:$V$1000,"Sub"),"")</f>
        <v/>
      </c>
      <c r="X140" s="62">
        <f>IF($V140="","",IF(ISNUMBER($G140),1,IFERROR(LOOKUP(2,1/($I140:$L140&lt;&gt;""),$I140:$L140),0)))</f>
        <v/>
      </c>
      <c r="Y140" s="62">
        <f>IF($V140="","",IF(AND(ISNUMBER($G140),$G140&lt;=IF($S140=MesCiclo,InicioCiclo,$S140+MOD(2-WEEKDAY($S140),7))+6),1,IF(ISNUMBER($I140),$I140,0)))</f>
        <v/>
      </c>
      <c r="Z140" s="62">
        <f>IF($V140="","",IF(AND(ISNUMBER($G140),$G140&lt;=IF($S140=MesCiclo,InicioCiclo,$S140+MOD(2-WEEKDAY($S140),7))+13),1,IF(ISNUMBER($J140),$J140,$Y140)))</f>
        <v/>
      </c>
      <c r="AA140" s="62">
        <f>IF($V140="","",IF(AND(ISNUMBER($G140),$G140&lt;=IF($S140=MesCiclo,InicioCiclo,$S140+MOD(2-WEEKDAY($S140),7))+20),1,IF(ISNUMBER($K140),$K140,$Z140)))</f>
        <v/>
      </c>
      <c r="AB140" s="62">
        <f>IF($V140="","",IF(AND(ISNUMBER($G140),$G140&lt;=IF($S140=MesCiclo,InicioCiclo,$S140+MOD(2-WEEKDAY($S140),7))+27),1,IF(ISNUMBER($L140),$L140,$AA140)))</f>
        <v/>
      </c>
      <c r="AC140" s="62">
        <f>IF($V140="","",IF(AND(ISNUMBER($G140),$G140&lt;=IF($S140=MesCiclo,InicioCiclo,$S140+MOD(2-WEEKDAY($S140),7))+6),1,IF(N($W140)&gt;0,AVERAGEIFS($Y$5:$Y$1000,$U$5:$U$1000,ROW(),$V$5:$V$1000,"Sub"),$Y140)))</f>
        <v/>
      </c>
      <c r="AD140" s="62">
        <f>IF($V140="","",IF(AND(ISNUMBER($G140),$G140&lt;=IF($S140=MesCiclo,InicioCiclo,$S140+MOD(2-WEEKDAY($S140),7))+13),1,IF(N($W140)&gt;0,AVERAGEIFS($Z$5:$Z$1000,$U$5:$U$1000,ROW(),$V$5:$V$1000,"Sub"),$Z140)))</f>
        <v/>
      </c>
      <c r="AE140" s="62">
        <f>IF($V140="","",IF(AND(ISNUMBER($G140),$G140&lt;=IF($S140=MesCiclo,InicioCiclo,$S140+MOD(2-WEEKDAY($S140),7))+20),1,IF(N($W140)&gt;0,AVERAGEIFS($AA$5:$AA$1000,$U$5:$U$1000,ROW(),$V$5:$V$1000,"Sub"),$AA140)))</f>
        <v/>
      </c>
      <c r="AF140" s="62">
        <f>IF($V140="","",IF(AND(ISNUMBER($G140),$G140&lt;=IF($S140=MesCiclo,InicioCiclo,$S140+MOD(2-WEEKDAY($S140),7))+27),1,IF(N($W140)&gt;0,AVERAGEIFS($AB$5:$AB$1000,$U$5:$U$1000,ROW(),$V$5:$V$1000,"Sub"),$AB140)))</f>
        <v/>
      </c>
      <c r="AG140" s="62">
        <f>IF($V140&lt;&gt;"Macro","",IF(COUNTIFS($S$5:$S$1000,$S140,$V$5:$V$1000,"Macro",$H$5:$H$1000,"&gt;0")=0,1/COUNTIFS($S$5:$S$1000,$S140,$V$5:$V$1000,"Macro"),IF(AND(ISNUMBER($H140),N($H140)&gt;0),$H140,SUMIFS($H$5:$H$1000,$S$5:$S$1000,$S140,$V$5:$V$1000,"Macro")/COUNTIFS($S$5:$S$1000,$S140,$V$5:$V$1000,"Macro",$H$5:$H$1000,"&gt;0"))/(COUNTIFS($S$5:$S$1000,$S140,$V$5:$V$1000,"Macro")*SUMIFS($H$5:$H$1000,$S$5:$S$1000,$S140,$V$5:$V$1000,"Macro")/COUNTIFS($S$5:$S$1000,$S140,$V$5:$V$1000,"Macro",$H$5:$H$1000,"&gt;0"))))</f>
        <v/>
      </c>
      <c r="AH140" s="62" t="n"/>
      <c r="AI140" s="62" t="n"/>
      <c r="AJ140" s="62" t="n"/>
      <c r="AK140" s="62" t="n"/>
      <c r="AL140" s="62">
        <f>IF(LEFT($C140,11)="[Jefatura] ",IFERROR(MATCH("Riesgo Financiero|"&amp;MID($C140,12,500),rDname_ADM,0),0),"")</f>
        <v/>
      </c>
      <c r="AM140" s="62">
        <f>IF(N($AL140)&gt;0,INDEX(rIni_ADM,$AL140),IF(ISNUMBER($E140),$E140,""))</f>
        <v/>
      </c>
      <c r="AN140" s="62">
        <f>IF(N($AL140)&gt;0,INDEX(rLim_ADM,$AL140),IF(ISNUMBER($F140),$F140,""))</f>
        <v/>
      </c>
    </row>
    <row r="141">
      <c r="A141" s="56">
        <f>IF(NOT((COUNTA($B141:$D141)+COUNTA($G141:$L141)+COUNTA($Q141))&gt;0),"",IF($V141="Macro",COUNTIFS($V$5:$V141,"Macro",$S$5:$S141,$S141),IF(N($U141)=0,"?",COUNTIFS(INDEX($V$5:$V$1000,1):INDEX($V$5:$V$1000,$U141-4),"Macro",INDEX($S$5:$S$1000,1):INDEX($S$5:$S$1000,$U141-4),INDEX($S$5:$S$1000,$U141-4))&amp;"."&amp;COUNTIFS($U$5:$U141,$U141,$V$5:$V141,"Sub"))))</f>
        <v/>
      </c>
      <c r="B141" s="57" t="n"/>
      <c r="C141" s="58" t="n"/>
      <c r="D141" s="58" t="n"/>
      <c r="E141" s="59">
        <f>IF(N($AL141)&gt;0,INDEX(rIni_ADM,$AL141),"")</f>
        <v/>
      </c>
      <c r="F141" s="59">
        <f>IF(N($AL141)&gt;0,INDEX(rLim_ADM,$AL141),"")</f>
        <v/>
      </c>
      <c r="G141" s="59" t="n"/>
      <c r="H141" s="60" t="n"/>
      <c r="I141" s="60" t="n"/>
      <c r="J141" s="60" t="n"/>
      <c r="K141" s="60" t="n"/>
      <c r="L141" s="60" t="n"/>
      <c r="M141" s="61">
        <f>IF(NOT((COUNTA($B141:$D141)+COUNTA($G141:$L141)+COUNTA($Q141))&gt;0),"",IF($V141="Sub",IFERROR($X141/INDEX($W$5:$W$1000,$U141-4),""),IF(ISNUMBER($G141),1,IF(N($W141)&gt;0,AVERAGEIFS($X$5:$X$1000,$U$5:$U$1000,ROW(),$V$5:$V$1000,"Sub"),$X141))))</f>
        <v/>
      </c>
      <c r="N141" s="56">
        <f>IF(OR($M141="",$V141="Sub"),"",IF($M141&gt;=1,"Completado",IF($M141&gt;0,"En curso","Pendiente")))</f>
        <v/>
      </c>
      <c r="O141" s="56">
        <f>IF(OR(NOT((COUNTA($B141:$D141)+COUNTA($G141:$L141)+COUNTA($Q141))&gt;0),$V141="Sub"),"",IF(ISNUMBER($G141),IF(AND(ISNUMBER($AN141),$G141&gt;$AN141),"Cumplida con "&amp;($G141-$AN141)&amp;IF($G141-$AN141=1," día"," días")&amp;" de retraso","Cumplida"),IF(N($M141)&gt;=1,"Cumplida",IF(NOT(ISNUMBER($AN141)),"Sin fecha límite",IF($AN141&lt;FechaRef,"Vencida hace "&amp;(FechaRef-$AN141)&amp;IF(FechaRef-$AN141=1," día"," días"),IF($AN141=FechaRef,"Vence hoy",IF($AN141-FechaRef&lt;=DiasAlerta,"Vence en "&amp;($AN141-FechaRef)&amp;IF($AN141-FechaRef=1," día"," días"),"En plazo")))))))</f>
        <v/>
      </c>
      <c r="P141" s="62" t="n"/>
      <c r="Q141" s="58" t="n"/>
      <c r="R141" s="63">
        <f>IF(NOT((COUNTA($B141:$D141)+COUNTA($G141:$L141)+COUNTA($Q141))&gt;0),"",IF((IF($C141="","Falta el nombre de la actividad"&amp;" · ","")&amp;IF(AND($V141="Sub",N($U141)=0),"Subactividad sin macroactividad arriba"&amp;" · ","")&amp;IF($AM141="","Sin fecha de inicio"&amp;" · ","")&amp;IF($AN141="","Sin fecha límite"&amp;" · ","")&amp;IF(AND(LEFT($C141,11)="[Jefatura] ",N($AL141)=0),"No se encuentra en la hoja de la jefatura (elíjala de nuevo en la lista)"&amp;" · ","")&amp;IF(OR(AND($E141&lt;&gt;"",NOT(ISNUMBER($E141))),AND($F141&lt;&gt;"",NOT(ISNUMBER($F141))),AND($G141&lt;&gt;"",NOT(ISNUMBER($G141)))),"Fecha no válida"&amp;" · ","")&amp;IF(AND(ISNUMBER($AM141),ISNUMBER($AN141),$AM141&gt;$AN141),"Inicio posterior a fecha límite"&amp;" · ","")&amp;IF(AND($V141="Macro",$H141&lt;&gt;"",OR(NOT(ISNUMBER($H141)),$H141&lt;0,$H141&gt;1)),"Peso fuera de rango"&amp;" · ","")&amp;IF(AND($V141="Sub",$H141&lt;&gt;""),"Las subactividades no llevan peso (valen igual dentro de su macroactividad)"&amp;" · ","")&amp;IF(AND(N($W141)&gt;0,COUNT($I141:$L141)&gt;0),"Con subactividades: deje vacías las semanas (se calculan solas)"&amp;" · ","")&amp;IF((COUNTIF($I141:$L141,"&gt;1")+COUNTIF($I141:$L141,"&lt;0")+COUNTA($I141:$L141)-COUNT($I141:$L141))&gt;0,"Avance fuera de rango 0-100%"&amp;" · ","")&amp;IF(OR(AND($J141&lt;&gt;"",$J141&lt;$I141),AND($K141&lt;&gt;"",$K141&lt;MAX($I141:$J141)),AND($L141&lt;&gt;"",$L141&lt;MAX($I141:$K141))),"Avance semanal decreciente"&amp;" · ","")&amp;IF(AND(ISNUMBER($AN141),$AN141&lt;FechaRef,IF($V141="Sub",N($X141),N($M141))&lt;1),"Vencida"&amp;" · ","")&amp;IF(AND(ObsObligatoria="Sí",ISNUMBER($AN141),$AN141&lt;FechaRef,IF($V141="Sub",N($X141),N($M141))&lt;1,$Q141=""),"Vencida sin observación"&amp;" · ",""))="","✔ OK","⚠ "&amp;LEFT(IF($C141="","Falta el nombre de la actividad"&amp;" · ","")&amp;IF(AND($V141="Sub",N($U141)=0),"Subactividad sin macroactividad arriba"&amp;" · ","")&amp;IF($AM141="","Sin fecha de inicio"&amp;" · ","")&amp;IF($AN141="","Sin fecha límite"&amp;" · ","")&amp;IF(AND(LEFT($C141,11)="[Jefatura] ",N($AL141)=0),"No se encuentra en la hoja de la jefatura (elíjala de nuevo en la lista)"&amp;" · ","")&amp;IF(OR(AND($E141&lt;&gt;"",NOT(ISNUMBER($E141))),AND($F141&lt;&gt;"",NOT(ISNUMBER($F141))),AND($G141&lt;&gt;"",NOT(ISNUMBER($G141)))),"Fecha no válida"&amp;" · ","")&amp;IF(AND(ISNUMBER($AM141),ISNUMBER($AN141),$AM141&gt;$AN141),"Inicio posterior a fecha límite"&amp;" · ","")&amp;IF(AND($V141="Macro",$H141&lt;&gt;"",OR(NOT(ISNUMBER($H141)),$H141&lt;0,$H141&gt;1)),"Peso fuera de rango"&amp;" · ","")&amp;IF(AND($V141="Sub",$H141&lt;&gt;""),"Las subactividades no llevan peso (valen igual dentro de su macroactividad)"&amp;" · ","")&amp;IF(AND(N($W141)&gt;0,COUNT($I141:$L141)&gt;0),"Con subactividades: deje vacías las semanas (se calculan solas)"&amp;" · ","")&amp;IF((COUNTIF($I141:$L141,"&gt;1")+COUNTIF($I141:$L141,"&lt;0")+COUNTA($I141:$L141)-COUNT($I141:$L141))&gt;0,"Avance fuera de rango 0-100%"&amp;" · ","")&amp;IF(OR(AND($J141&lt;&gt;"",$J141&lt;$I141),AND($K141&lt;&gt;"",$K141&lt;MAX($I141:$J141)),AND($L141&lt;&gt;"",$L141&lt;MAX($I141:$K141))),"Avance semanal decreciente"&amp;" · ","")&amp;IF(AND(ISNUMBER($AN141),$AN141&lt;FechaRef,IF($V141="Sub",N($X141),N($M141))&lt;1),"Vencida"&amp;" · ","")&amp;IF(AND(ObsObligatoria="Sí",ISNUMBER($AN141),$AN141&lt;FechaRef,IF($V141="Sub",N($X141),N($M141))&lt;1,$Q141=""),"Vencida sin observación"&amp;" · ",""),LEN(IF($C141="","Falta el nombre de la actividad"&amp;" · ","")&amp;IF(AND($V141="Sub",N($U141)=0),"Subactividad sin macroactividad arriba"&amp;" · ","")&amp;IF($AM141="","Sin fecha de inicio"&amp;" · ","")&amp;IF($AN141="","Sin fecha límite"&amp;" · ","")&amp;IF(AND(LEFT($C141,11)="[Jefatura] ",N($AL141)=0),"No se encuentra en la hoja de la jefatura (elíjala de nuevo en la lista)"&amp;" · ","")&amp;IF(OR(AND($E141&lt;&gt;"",NOT(ISNUMBER($E141))),AND($F141&lt;&gt;"",NOT(ISNUMBER($F141))),AND($G141&lt;&gt;"",NOT(ISNUMBER($G141)))),"Fecha no válida"&amp;" · ","")&amp;IF(AND(ISNUMBER($AM141),ISNUMBER($AN141),$AM141&gt;$AN141),"Inicio posterior a fecha límite"&amp;" · ","")&amp;IF(AND($V141="Macro",$H141&lt;&gt;"",OR(NOT(ISNUMBER($H141)),$H141&lt;0,$H141&gt;1)),"Peso fuera de rango"&amp;" · ","")&amp;IF(AND($V141="Sub",$H141&lt;&gt;""),"Las subactividades no llevan peso (valen igual dentro de su macroactividad)"&amp;" · ","")&amp;IF(AND(N($W141)&gt;0,COUNT($I141:$L141)&gt;0),"Con subactividades: deje vacías las semanas (se calculan solas)"&amp;" · ","")&amp;IF((COUNTIF($I141:$L141,"&gt;1")+COUNTIF($I141:$L141,"&lt;0")+COUNTA($I141:$L141)-COUNT($I141:$L141))&gt;0,"Avance fuera de rango 0-100%"&amp;" · ","")&amp;IF(OR(AND($J141&lt;&gt;"",$J141&lt;$I141),AND($K141&lt;&gt;"",$K141&lt;MAX($I141:$J141)),AND($L141&lt;&gt;"",$L141&lt;MAX($I141:$K141))),"Avance semanal decreciente"&amp;" · ","")&amp;IF(AND(ISNUMBER($AN141),$AN141&lt;FechaRef,IF($V141="Sub",N($X141),N($M141))&lt;1),"Vencida"&amp;" · ","")&amp;IF(AND(ObsObligatoria="Sí",ISNUMBER($AN141),$AN141&lt;FechaRef,IF($V141="Sub",N($X141),N($M141))&lt;1,$Q141=""),"Vencida sin observación"&amp;" · ",""))-3)))</f>
        <v/>
      </c>
      <c r="S141" s="64">
        <f>IF(NOT((COUNTA($B141:$D141)+COUNTA($G141:$L141)+COUNTA($Q141))&gt;0),"",IF(AND($V141="Sub",N($U141)&gt;0),IF(ISNUMBER(INDEX($AM$5:$AM$1000,$U141-4)),DATE(YEAR(INDEX($AM$5:$AM$1000,$U141-4)),MONTH(INDEX($AM$5:$AM$1000,$U141-4)),1),IF(ISNUMBER(INDEX($AN$5:$AN$1000,$U141-4)),DATE(YEAR(INDEX($AN$5:$AN$1000,$U141-4)),MONTH(INDEX($AN$5:$AN$1000,$U141-4)),1),MesCiclo)),IF(ISNUMBER($AM141),DATE(YEAR($AM141),MONTH($AM141),1),IF(ISNUMBER($AN141),DATE(YEAR($AN141),MONTH($AN141),1),MesCiclo))))</f>
        <v/>
      </c>
      <c r="T141" s="62">
        <f>IF(OR($S141="",$S141&lt;&gt;MesCiclo,$V141&lt;&gt;"Macro"),"",COUNTIFS($S$5:$S141,MesCiclo,$V$5:$V141,"Macro"))</f>
        <v/>
      </c>
      <c r="U141" s="62">
        <f>IF($V141="","",IF($V141="Macro",ROW(),IFERROR(LOOKUP(2,1/($V$5:$V141="Macro"),ROW($V$5:$V141)),0)))</f>
        <v/>
      </c>
      <c r="V141" s="62">
        <f>IF(NOT((COUNTA($B141:$D141)+COUNTA($G141:$L141)+COUNTA($Q141))&gt;0),"",IF($B141="Subactividad","Sub","Macro"))</f>
        <v/>
      </c>
      <c r="W141" s="62">
        <f>IF($V141="Macro",COUNTIFS($U$5:$U$1000,ROW(),$V$5:$V$1000,"Sub"),"")</f>
        <v/>
      </c>
      <c r="X141" s="62">
        <f>IF($V141="","",IF(ISNUMBER($G141),1,IFERROR(LOOKUP(2,1/($I141:$L141&lt;&gt;""),$I141:$L141),0)))</f>
        <v/>
      </c>
      <c r="Y141" s="62">
        <f>IF($V141="","",IF(AND(ISNUMBER($G141),$G141&lt;=IF($S141=MesCiclo,InicioCiclo,$S141+MOD(2-WEEKDAY($S141),7))+6),1,IF(ISNUMBER($I141),$I141,0)))</f>
        <v/>
      </c>
      <c r="Z141" s="62">
        <f>IF($V141="","",IF(AND(ISNUMBER($G141),$G141&lt;=IF($S141=MesCiclo,InicioCiclo,$S141+MOD(2-WEEKDAY($S141),7))+13),1,IF(ISNUMBER($J141),$J141,$Y141)))</f>
        <v/>
      </c>
      <c r="AA141" s="62">
        <f>IF($V141="","",IF(AND(ISNUMBER($G141),$G141&lt;=IF($S141=MesCiclo,InicioCiclo,$S141+MOD(2-WEEKDAY($S141),7))+20),1,IF(ISNUMBER($K141),$K141,$Z141)))</f>
        <v/>
      </c>
      <c r="AB141" s="62">
        <f>IF($V141="","",IF(AND(ISNUMBER($G141),$G141&lt;=IF($S141=MesCiclo,InicioCiclo,$S141+MOD(2-WEEKDAY($S141),7))+27),1,IF(ISNUMBER($L141),$L141,$AA141)))</f>
        <v/>
      </c>
      <c r="AC141" s="62">
        <f>IF($V141="","",IF(AND(ISNUMBER($G141),$G141&lt;=IF($S141=MesCiclo,InicioCiclo,$S141+MOD(2-WEEKDAY($S141),7))+6),1,IF(N($W141)&gt;0,AVERAGEIFS($Y$5:$Y$1000,$U$5:$U$1000,ROW(),$V$5:$V$1000,"Sub"),$Y141)))</f>
        <v/>
      </c>
      <c r="AD141" s="62">
        <f>IF($V141="","",IF(AND(ISNUMBER($G141),$G141&lt;=IF($S141=MesCiclo,InicioCiclo,$S141+MOD(2-WEEKDAY($S141),7))+13),1,IF(N($W141)&gt;0,AVERAGEIFS($Z$5:$Z$1000,$U$5:$U$1000,ROW(),$V$5:$V$1000,"Sub"),$Z141)))</f>
        <v/>
      </c>
      <c r="AE141" s="62">
        <f>IF($V141="","",IF(AND(ISNUMBER($G141),$G141&lt;=IF($S141=MesCiclo,InicioCiclo,$S141+MOD(2-WEEKDAY($S141),7))+20),1,IF(N($W141)&gt;0,AVERAGEIFS($AA$5:$AA$1000,$U$5:$U$1000,ROW(),$V$5:$V$1000,"Sub"),$AA141)))</f>
        <v/>
      </c>
      <c r="AF141" s="62">
        <f>IF($V141="","",IF(AND(ISNUMBER($G141),$G141&lt;=IF($S141=MesCiclo,InicioCiclo,$S141+MOD(2-WEEKDAY($S141),7))+27),1,IF(N($W141)&gt;0,AVERAGEIFS($AB$5:$AB$1000,$U$5:$U$1000,ROW(),$V$5:$V$1000,"Sub"),$AB141)))</f>
        <v/>
      </c>
      <c r="AG141" s="62">
        <f>IF($V141&lt;&gt;"Macro","",IF(COUNTIFS($S$5:$S$1000,$S141,$V$5:$V$1000,"Macro",$H$5:$H$1000,"&gt;0")=0,1/COUNTIFS($S$5:$S$1000,$S141,$V$5:$V$1000,"Macro"),IF(AND(ISNUMBER($H141),N($H141)&gt;0),$H141,SUMIFS($H$5:$H$1000,$S$5:$S$1000,$S141,$V$5:$V$1000,"Macro")/COUNTIFS($S$5:$S$1000,$S141,$V$5:$V$1000,"Macro",$H$5:$H$1000,"&gt;0"))/(COUNTIFS($S$5:$S$1000,$S141,$V$5:$V$1000,"Macro")*SUMIFS($H$5:$H$1000,$S$5:$S$1000,$S141,$V$5:$V$1000,"Macro")/COUNTIFS($S$5:$S$1000,$S141,$V$5:$V$1000,"Macro",$H$5:$H$1000,"&gt;0"))))</f>
        <v/>
      </c>
      <c r="AH141" s="62" t="n"/>
      <c r="AI141" s="62" t="n"/>
      <c r="AJ141" s="62" t="n"/>
      <c r="AK141" s="62" t="n"/>
      <c r="AL141" s="62">
        <f>IF(LEFT($C141,11)="[Jefatura] ",IFERROR(MATCH("Riesgo Financiero|"&amp;MID($C141,12,500),rDname_ADM,0),0),"")</f>
        <v/>
      </c>
      <c r="AM141" s="62">
        <f>IF(N($AL141)&gt;0,INDEX(rIni_ADM,$AL141),IF(ISNUMBER($E141),$E141,""))</f>
        <v/>
      </c>
      <c r="AN141" s="62">
        <f>IF(N($AL141)&gt;0,INDEX(rLim_ADM,$AL141),IF(ISNUMBER($F141),$F141,""))</f>
        <v/>
      </c>
    </row>
    <row r="142">
      <c r="A142" s="56">
        <f>IF(NOT((COUNTA($B142:$D142)+COUNTA($G142:$L142)+COUNTA($Q142))&gt;0),"",IF($V142="Macro",COUNTIFS($V$5:$V142,"Macro",$S$5:$S142,$S142),IF(N($U142)=0,"?",COUNTIFS(INDEX($V$5:$V$1000,1):INDEX($V$5:$V$1000,$U142-4),"Macro",INDEX($S$5:$S$1000,1):INDEX($S$5:$S$1000,$U142-4),INDEX($S$5:$S$1000,$U142-4))&amp;"."&amp;COUNTIFS($U$5:$U142,$U142,$V$5:$V142,"Sub"))))</f>
        <v/>
      </c>
      <c r="B142" s="57" t="n"/>
      <c r="C142" s="58" t="n"/>
      <c r="D142" s="58" t="n"/>
      <c r="E142" s="59">
        <f>IF(N($AL142)&gt;0,INDEX(rIni_ADM,$AL142),"")</f>
        <v/>
      </c>
      <c r="F142" s="59">
        <f>IF(N($AL142)&gt;0,INDEX(rLim_ADM,$AL142),"")</f>
        <v/>
      </c>
      <c r="G142" s="59" t="n"/>
      <c r="H142" s="60" t="n"/>
      <c r="I142" s="60" t="n"/>
      <c r="J142" s="60" t="n"/>
      <c r="K142" s="60" t="n"/>
      <c r="L142" s="60" t="n"/>
      <c r="M142" s="61">
        <f>IF(NOT((COUNTA($B142:$D142)+COUNTA($G142:$L142)+COUNTA($Q142))&gt;0),"",IF($V142="Sub",IFERROR($X142/INDEX($W$5:$W$1000,$U142-4),""),IF(ISNUMBER($G142),1,IF(N($W142)&gt;0,AVERAGEIFS($X$5:$X$1000,$U$5:$U$1000,ROW(),$V$5:$V$1000,"Sub"),$X142))))</f>
        <v/>
      </c>
      <c r="N142" s="56">
        <f>IF(OR($M142="",$V142="Sub"),"",IF($M142&gt;=1,"Completado",IF($M142&gt;0,"En curso","Pendiente")))</f>
        <v/>
      </c>
      <c r="O142" s="56">
        <f>IF(OR(NOT((COUNTA($B142:$D142)+COUNTA($G142:$L142)+COUNTA($Q142))&gt;0),$V142="Sub"),"",IF(ISNUMBER($G142),IF(AND(ISNUMBER($AN142),$G142&gt;$AN142),"Cumplida con "&amp;($G142-$AN142)&amp;IF($G142-$AN142=1," día"," días")&amp;" de retraso","Cumplida"),IF(N($M142)&gt;=1,"Cumplida",IF(NOT(ISNUMBER($AN142)),"Sin fecha límite",IF($AN142&lt;FechaRef,"Vencida hace "&amp;(FechaRef-$AN142)&amp;IF(FechaRef-$AN142=1," día"," días"),IF($AN142=FechaRef,"Vence hoy",IF($AN142-FechaRef&lt;=DiasAlerta,"Vence en "&amp;($AN142-FechaRef)&amp;IF($AN142-FechaRef=1," día"," días"),"En plazo")))))))</f>
        <v/>
      </c>
      <c r="P142" s="62" t="n"/>
      <c r="Q142" s="58" t="n"/>
      <c r="R142" s="63">
        <f>IF(NOT((COUNTA($B142:$D142)+COUNTA($G142:$L142)+COUNTA($Q142))&gt;0),"",IF((IF($C142="","Falta el nombre de la actividad"&amp;" · ","")&amp;IF(AND($V142="Sub",N($U142)=0),"Subactividad sin macroactividad arriba"&amp;" · ","")&amp;IF($AM142="","Sin fecha de inicio"&amp;" · ","")&amp;IF($AN142="","Sin fecha límite"&amp;" · ","")&amp;IF(AND(LEFT($C142,11)="[Jefatura] ",N($AL142)=0),"No se encuentra en la hoja de la jefatura (elíjala de nuevo en la lista)"&amp;" · ","")&amp;IF(OR(AND($E142&lt;&gt;"",NOT(ISNUMBER($E142))),AND($F142&lt;&gt;"",NOT(ISNUMBER($F142))),AND($G142&lt;&gt;"",NOT(ISNUMBER($G142)))),"Fecha no válida"&amp;" · ","")&amp;IF(AND(ISNUMBER($AM142),ISNUMBER($AN142),$AM142&gt;$AN142),"Inicio posterior a fecha límite"&amp;" · ","")&amp;IF(AND($V142="Macro",$H142&lt;&gt;"",OR(NOT(ISNUMBER($H142)),$H142&lt;0,$H142&gt;1)),"Peso fuera de rango"&amp;" · ","")&amp;IF(AND($V142="Sub",$H142&lt;&gt;""),"Las subactividades no llevan peso (valen igual dentro de su macroactividad)"&amp;" · ","")&amp;IF(AND(N($W142)&gt;0,COUNT($I142:$L142)&gt;0),"Con subactividades: deje vacías las semanas (se calculan solas)"&amp;" · ","")&amp;IF((COUNTIF($I142:$L142,"&gt;1")+COUNTIF($I142:$L142,"&lt;0")+COUNTA($I142:$L142)-COUNT($I142:$L142))&gt;0,"Avance fuera de rango 0-100%"&amp;" · ","")&amp;IF(OR(AND($J142&lt;&gt;"",$J142&lt;$I142),AND($K142&lt;&gt;"",$K142&lt;MAX($I142:$J142)),AND($L142&lt;&gt;"",$L142&lt;MAX($I142:$K142))),"Avance semanal decreciente"&amp;" · ","")&amp;IF(AND(ISNUMBER($AN142),$AN142&lt;FechaRef,IF($V142="Sub",N($X142),N($M142))&lt;1),"Vencida"&amp;" · ","")&amp;IF(AND(ObsObligatoria="Sí",ISNUMBER($AN142),$AN142&lt;FechaRef,IF($V142="Sub",N($X142),N($M142))&lt;1,$Q142=""),"Vencida sin observación"&amp;" · ",""))="","✔ OK","⚠ "&amp;LEFT(IF($C142="","Falta el nombre de la actividad"&amp;" · ","")&amp;IF(AND($V142="Sub",N($U142)=0),"Subactividad sin macroactividad arriba"&amp;" · ","")&amp;IF($AM142="","Sin fecha de inicio"&amp;" · ","")&amp;IF($AN142="","Sin fecha límite"&amp;" · ","")&amp;IF(AND(LEFT($C142,11)="[Jefatura] ",N($AL142)=0),"No se encuentra en la hoja de la jefatura (elíjala de nuevo en la lista)"&amp;" · ","")&amp;IF(OR(AND($E142&lt;&gt;"",NOT(ISNUMBER($E142))),AND($F142&lt;&gt;"",NOT(ISNUMBER($F142))),AND($G142&lt;&gt;"",NOT(ISNUMBER($G142)))),"Fecha no válida"&amp;" · ","")&amp;IF(AND(ISNUMBER($AM142),ISNUMBER($AN142),$AM142&gt;$AN142),"Inicio posterior a fecha límite"&amp;" · ","")&amp;IF(AND($V142="Macro",$H142&lt;&gt;"",OR(NOT(ISNUMBER($H142)),$H142&lt;0,$H142&gt;1)),"Peso fuera de rango"&amp;" · ","")&amp;IF(AND($V142="Sub",$H142&lt;&gt;""),"Las subactividades no llevan peso (valen igual dentro de su macroactividad)"&amp;" · ","")&amp;IF(AND(N($W142)&gt;0,COUNT($I142:$L142)&gt;0),"Con subactividades: deje vacías las semanas (se calculan solas)"&amp;" · ","")&amp;IF((COUNTIF($I142:$L142,"&gt;1")+COUNTIF($I142:$L142,"&lt;0")+COUNTA($I142:$L142)-COUNT($I142:$L142))&gt;0,"Avance fuera de rango 0-100%"&amp;" · ","")&amp;IF(OR(AND($J142&lt;&gt;"",$J142&lt;$I142),AND($K142&lt;&gt;"",$K142&lt;MAX($I142:$J142)),AND($L142&lt;&gt;"",$L142&lt;MAX($I142:$K142))),"Avance semanal decreciente"&amp;" · ","")&amp;IF(AND(ISNUMBER($AN142),$AN142&lt;FechaRef,IF($V142="Sub",N($X142),N($M142))&lt;1),"Vencida"&amp;" · ","")&amp;IF(AND(ObsObligatoria="Sí",ISNUMBER($AN142),$AN142&lt;FechaRef,IF($V142="Sub",N($X142),N($M142))&lt;1,$Q142=""),"Vencida sin observación"&amp;" · ",""),LEN(IF($C142="","Falta el nombre de la actividad"&amp;" · ","")&amp;IF(AND($V142="Sub",N($U142)=0),"Subactividad sin macroactividad arriba"&amp;" · ","")&amp;IF($AM142="","Sin fecha de inicio"&amp;" · ","")&amp;IF($AN142="","Sin fecha límite"&amp;" · ","")&amp;IF(AND(LEFT($C142,11)="[Jefatura] ",N($AL142)=0),"No se encuentra en la hoja de la jefatura (elíjala de nuevo en la lista)"&amp;" · ","")&amp;IF(OR(AND($E142&lt;&gt;"",NOT(ISNUMBER($E142))),AND($F142&lt;&gt;"",NOT(ISNUMBER($F142))),AND($G142&lt;&gt;"",NOT(ISNUMBER($G142)))),"Fecha no válida"&amp;" · ","")&amp;IF(AND(ISNUMBER($AM142),ISNUMBER($AN142),$AM142&gt;$AN142),"Inicio posterior a fecha límite"&amp;" · ","")&amp;IF(AND($V142="Macro",$H142&lt;&gt;"",OR(NOT(ISNUMBER($H142)),$H142&lt;0,$H142&gt;1)),"Peso fuera de rango"&amp;" · ","")&amp;IF(AND($V142="Sub",$H142&lt;&gt;""),"Las subactividades no llevan peso (valen igual dentro de su macroactividad)"&amp;" · ","")&amp;IF(AND(N($W142)&gt;0,COUNT($I142:$L142)&gt;0),"Con subactividades: deje vacías las semanas (se calculan solas)"&amp;" · ","")&amp;IF((COUNTIF($I142:$L142,"&gt;1")+COUNTIF($I142:$L142,"&lt;0")+COUNTA($I142:$L142)-COUNT($I142:$L142))&gt;0,"Avance fuera de rango 0-100%"&amp;" · ","")&amp;IF(OR(AND($J142&lt;&gt;"",$J142&lt;$I142),AND($K142&lt;&gt;"",$K142&lt;MAX($I142:$J142)),AND($L142&lt;&gt;"",$L142&lt;MAX($I142:$K142))),"Avance semanal decreciente"&amp;" · ","")&amp;IF(AND(ISNUMBER($AN142),$AN142&lt;FechaRef,IF($V142="Sub",N($X142),N($M142))&lt;1),"Vencida"&amp;" · ","")&amp;IF(AND(ObsObligatoria="Sí",ISNUMBER($AN142),$AN142&lt;FechaRef,IF($V142="Sub",N($X142),N($M142))&lt;1,$Q142=""),"Vencida sin observación"&amp;" · ",""))-3)))</f>
        <v/>
      </c>
      <c r="S142" s="64">
        <f>IF(NOT((COUNTA($B142:$D142)+COUNTA($G142:$L142)+COUNTA($Q142))&gt;0),"",IF(AND($V142="Sub",N($U142)&gt;0),IF(ISNUMBER(INDEX($AM$5:$AM$1000,$U142-4)),DATE(YEAR(INDEX($AM$5:$AM$1000,$U142-4)),MONTH(INDEX($AM$5:$AM$1000,$U142-4)),1),IF(ISNUMBER(INDEX($AN$5:$AN$1000,$U142-4)),DATE(YEAR(INDEX($AN$5:$AN$1000,$U142-4)),MONTH(INDEX($AN$5:$AN$1000,$U142-4)),1),MesCiclo)),IF(ISNUMBER($AM142),DATE(YEAR($AM142),MONTH($AM142),1),IF(ISNUMBER($AN142),DATE(YEAR($AN142),MONTH($AN142),1),MesCiclo))))</f>
        <v/>
      </c>
      <c r="T142" s="62">
        <f>IF(OR($S142="",$S142&lt;&gt;MesCiclo,$V142&lt;&gt;"Macro"),"",COUNTIFS($S$5:$S142,MesCiclo,$V$5:$V142,"Macro"))</f>
        <v/>
      </c>
      <c r="U142" s="62">
        <f>IF($V142="","",IF($V142="Macro",ROW(),IFERROR(LOOKUP(2,1/($V$5:$V142="Macro"),ROW($V$5:$V142)),0)))</f>
        <v/>
      </c>
      <c r="V142" s="62">
        <f>IF(NOT((COUNTA($B142:$D142)+COUNTA($G142:$L142)+COUNTA($Q142))&gt;0),"",IF($B142="Subactividad","Sub","Macro"))</f>
        <v/>
      </c>
      <c r="W142" s="62">
        <f>IF($V142="Macro",COUNTIFS($U$5:$U$1000,ROW(),$V$5:$V$1000,"Sub"),"")</f>
        <v/>
      </c>
      <c r="X142" s="62">
        <f>IF($V142="","",IF(ISNUMBER($G142),1,IFERROR(LOOKUP(2,1/($I142:$L142&lt;&gt;""),$I142:$L142),0)))</f>
        <v/>
      </c>
      <c r="Y142" s="62">
        <f>IF($V142="","",IF(AND(ISNUMBER($G142),$G142&lt;=IF($S142=MesCiclo,InicioCiclo,$S142+MOD(2-WEEKDAY($S142),7))+6),1,IF(ISNUMBER($I142),$I142,0)))</f>
        <v/>
      </c>
      <c r="Z142" s="62">
        <f>IF($V142="","",IF(AND(ISNUMBER($G142),$G142&lt;=IF($S142=MesCiclo,InicioCiclo,$S142+MOD(2-WEEKDAY($S142),7))+13),1,IF(ISNUMBER($J142),$J142,$Y142)))</f>
        <v/>
      </c>
      <c r="AA142" s="62">
        <f>IF($V142="","",IF(AND(ISNUMBER($G142),$G142&lt;=IF($S142=MesCiclo,InicioCiclo,$S142+MOD(2-WEEKDAY($S142),7))+20),1,IF(ISNUMBER($K142),$K142,$Z142)))</f>
        <v/>
      </c>
      <c r="AB142" s="62">
        <f>IF($V142="","",IF(AND(ISNUMBER($G142),$G142&lt;=IF($S142=MesCiclo,InicioCiclo,$S142+MOD(2-WEEKDAY($S142),7))+27),1,IF(ISNUMBER($L142),$L142,$AA142)))</f>
        <v/>
      </c>
      <c r="AC142" s="62">
        <f>IF($V142="","",IF(AND(ISNUMBER($G142),$G142&lt;=IF($S142=MesCiclo,InicioCiclo,$S142+MOD(2-WEEKDAY($S142),7))+6),1,IF(N($W142)&gt;0,AVERAGEIFS($Y$5:$Y$1000,$U$5:$U$1000,ROW(),$V$5:$V$1000,"Sub"),$Y142)))</f>
        <v/>
      </c>
      <c r="AD142" s="62">
        <f>IF($V142="","",IF(AND(ISNUMBER($G142),$G142&lt;=IF($S142=MesCiclo,InicioCiclo,$S142+MOD(2-WEEKDAY($S142),7))+13),1,IF(N($W142)&gt;0,AVERAGEIFS($Z$5:$Z$1000,$U$5:$U$1000,ROW(),$V$5:$V$1000,"Sub"),$Z142)))</f>
        <v/>
      </c>
      <c r="AE142" s="62">
        <f>IF($V142="","",IF(AND(ISNUMBER($G142),$G142&lt;=IF($S142=MesCiclo,InicioCiclo,$S142+MOD(2-WEEKDAY($S142),7))+20),1,IF(N($W142)&gt;0,AVERAGEIFS($AA$5:$AA$1000,$U$5:$U$1000,ROW(),$V$5:$V$1000,"Sub"),$AA142)))</f>
        <v/>
      </c>
      <c r="AF142" s="62">
        <f>IF($V142="","",IF(AND(ISNUMBER($G142),$G142&lt;=IF($S142=MesCiclo,InicioCiclo,$S142+MOD(2-WEEKDAY($S142),7))+27),1,IF(N($W142)&gt;0,AVERAGEIFS($AB$5:$AB$1000,$U$5:$U$1000,ROW(),$V$5:$V$1000,"Sub"),$AB142)))</f>
        <v/>
      </c>
      <c r="AG142" s="62">
        <f>IF($V142&lt;&gt;"Macro","",IF(COUNTIFS($S$5:$S$1000,$S142,$V$5:$V$1000,"Macro",$H$5:$H$1000,"&gt;0")=0,1/COUNTIFS($S$5:$S$1000,$S142,$V$5:$V$1000,"Macro"),IF(AND(ISNUMBER($H142),N($H142)&gt;0),$H142,SUMIFS($H$5:$H$1000,$S$5:$S$1000,$S142,$V$5:$V$1000,"Macro")/COUNTIFS($S$5:$S$1000,$S142,$V$5:$V$1000,"Macro",$H$5:$H$1000,"&gt;0"))/(COUNTIFS($S$5:$S$1000,$S142,$V$5:$V$1000,"Macro")*SUMIFS($H$5:$H$1000,$S$5:$S$1000,$S142,$V$5:$V$1000,"Macro")/COUNTIFS($S$5:$S$1000,$S142,$V$5:$V$1000,"Macro",$H$5:$H$1000,"&gt;0"))))</f>
        <v/>
      </c>
      <c r="AH142" s="62" t="n"/>
      <c r="AI142" s="62" t="n"/>
      <c r="AJ142" s="62" t="n"/>
      <c r="AK142" s="62" t="n"/>
      <c r="AL142" s="62">
        <f>IF(LEFT($C142,11)="[Jefatura] ",IFERROR(MATCH("Riesgo Financiero|"&amp;MID($C142,12,500),rDname_ADM,0),0),"")</f>
        <v/>
      </c>
      <c r="AM142" s="62">
        <f>IF(N($AL142)&gt;0,INDEX(rIni_ADM,$AL142),IF(ISNUMBER($E142),$E142,""))</f>
        <v/>
      </c>
      <c r="AN142" s="62">
        <f>IF(N($AL142)&gt;0,INDEX(rLim_ADM,$AL142),IF(ISNUMBER($F142),$F142,""))</f>
        <v/>
      </c>
    </row>
    <row r="143">
      <c r="A143" s="56">
        <f>IF(NOT((COUNTA($B143:$D143)+COUNTA($G143:$L143)+COUNTA($Q143))&gt;0),"",IF($V143="Macro",COUNTIFS($V$5:$V143,"Macro",$S$5:$S143,$S143),IF(N($U143)=0,"?",COUNTIFS(INDEX($V$5:$V$1000,1):INDEX($V$5:$V$1000,$U143-4),"Macro",INDEX($S$5:$S$1000,1):INDEX($S$5:$S$1000,$U143-4),INDEX($S$5:$S$1000,$U143-4))&amp;"."&amp;COUNTIFS($U$5:$U143,$U143,$V$5:$V143,"Sub"))))</f>
        <v/>
      </c>
      <c r="B143" s="57" t="n"/>
      <c r="C143" s="58" t="n"/>
      <c r="D143" s="58" t="n"/>
      <c r="E143" s="59">
        <f>IF(N($AL143)&gt;0,INDEX(rIni_ADM,$AL143),"")</f>
        <v/>
      </c>
      <c r="F143" s="59">
        <f>IF(N($AL143)&gt;0,INDEX(rLim_ADM,$AL143),"")</f>
        <v/>
      </c>
      <c r="G143" s="59" t="n"/>
      <c r="H143" s="60" t="n"/>
      <c r="I143" s="60" t="n"/>
      <c r="J143" s="60" t="n"/>
      <c r="K143" s="60" t="n"/>
      <c r="L143" s="60" t="n"/>
      <c r="M143" s="61">
        <f>IF(NOT((COUNTA($B143:$D143)+COUNTA($G143:$L143)+COUNTA($Q143))&gt;0),"",IF($V143="Sub",IFERROR($X143/INDEX($W$5:$W$1000,$U143-4),""),IF(ISNUMBER($G143),1,IF(N($W143)&gt;0,AVERAGEIFS($X$5:$X$1000,$U$5:$U$1000,ROW(),$V$5:$V$1000,"Sub"),$X143))))</f>
        <v/>
      </c>
      <c r="N143" s="56">
        <f>IF(OR($M143="",$V143="Sub"),"",IF($M143&gt;=1,"Completado",IF($M143&gt;0,"En curso","Pendiente")))</f>
        <v/>
      </c>
      <c r="O143" s="56">
        <f>IF(OR(NOT((COUNTA($B143:$D143)+COUNTA($G143:$L143)+COUNTA($Q143))&gt;0),$V143="Sub"),"",IF(ISNUMBER($G143),IF(AND(ISNUMBER($AN143),$G143&gt;$AN143),"Cumplida con "&amp;($G143-$AN143)&amp;IF($G143-$AN143=1," día"," días")&amp;" de retraso","Cumplida"),IF(N($M143)&gt;=1,"Cumplida",IF(NOT(ISNUMBER($AN143)),"Sin fecha límite",IF($AN143&lt;FechaRef,"Vencida hace "&amp;(FechaRef-$AN143)&amp;IF(FechaRef-$AN143=1," día"," días"),IF($AN143=FechaRef,"Vence hoy",IF($AN143-FechaRef&lt;=DiasAlerta,"Vence en "&amp;($AN143-FechaRef)&amp;IF($AN143-FechaRef=1," día"," días"),"En plazo")))))))</f>
        <v/>
      </c>
      <c r="P143" s="62" t="n"/>
      <c r="Q143" s="58" t="n"/>
      <c r="R143" s="63">
        <f>IF(NOT((COUNTA($B143:$D143)+COUNTA($G143:$L143)+COUNTA($Q143))&gt;0),"",IF((IF($C143="","Falta el nombre de la actividad"&amp;" · ","")&amp;IF(AND($V143="Sub",N($U143)=0),"Subactividad sin macroactividad arriba"&amp;" · ","")&amp;IF($AM143="","Sin fecha de inicio"&amp;" · ","")&amp;IF($AN143="","Sin fecha límite"&amp;" · ","")&amp;IF(AND(LEFT($C143,11)="[Jefatura] ",N($AL143)=0),"No se encuentra en la hoja de la jefatura (elíjala de nuevo en la lista)"&amp;" · ","")&amp;IF(OR(AND($E143&lt;&gt;"",NOT(ISNUMBER($E143))),AND($F143&lt;&gt;"",NOT(ISNUMBER($F143))),AND($G143&lt;&gt;"",NOT(ISNUMBER($G143)))),"Fecha no válida"&amp;" · ","")&amp;IF(AND(ISNUMBER($AM143),ISNUMBER($AN143),$AM143&gt;$AN143),"Inicio posterior a fecha límite"&amp;" · ","")&amp;IF(AND($V143="Macro",$H143&lt;&gt;"",OR(NOT(ISNUMBER($H143)),$H143&lt;0,$H143&gt;1)),"Peso fuera de rango"&amp;" · ","")&amp;IF(AND($V143="Sub",$H143&lt;&gt;""),"Las subactividades no llevan peso (valen igual dentro de su macroactividad)"&amp;" · ","")&amp;IF(AND(N($W143)&gt;0,COUNT($I143:$L143)&gt;0),"Con subactividades: deje vacías las semanas (se calculan solas)"&amp;" · ","")&amp;IF((COUNTIF($I143:$L143,"&gt;1")+COUNTIF($I143:$L143,"&lt;0")+COUNTA($I143:$L143)-COUNT($I143:$L143))&gt;0,"Avance fuera de rango 0-100%"&amp;" · ","")&amp;IF(OR(AND($J143&lt;&gt;"",$J143&lt;$I143),AND($K143&lt;&gt;"",$K143&lt;MAX($I143:$J143)),AND($L143&lt;&gt;"",$L143&lt;MAX($I143:$K143))),"Avance semanal decreciente"&amp;" · ","")&amp;IF(AND(ISNUMBER($AN143),$AN143&lt;FechaRef,IF($V143="Sub",N($X143),N($M143))&lt;1),"Vencida"&amp;" · ","")&amp;IF(AND(ObsObligatoria="Sí",ISNUMBER($AN143),$AN143&lt;FechaRef,IF($V143="Sub",N($X143),N($M143))&lt;1,$Q143=""),"Vencida sin observación"&amp;" · ",""))="","✔ OK","⚠ "&amp;LEFT(IF($C143="","Falta el nombre de la actividad"&amp;" · ","")&amp;IF(AND($V143="Sub",N($U143)=0),"Subactividad sin macroactividad arriba"&amp;" · ","")&amp;IF($AM143="","Sin fecha de inicio"&amp;" · ","")&amp;IF($AN143="","Sin fecha límite"&amp;" · ","")&amp;IF(AND(LEFT($C143,11)="[Jefatura] ",N($AL143)=0),"No se encuentra en la hoja de la jefatura (elíjala de nuevo en la lista)"&amp;" · ","")&amp;IF(OR(AND($E143&lt;&gt;"",NOT(ISNUMBER($E143))),AND($F143&lt;&gt;"",NOT(ISNUMBER($F143))),AND($G143&lt;&gt;"",NOT(ISNUMBER($G143)))),"Fecha no válida"&amp;" · ","")&amp;IF(AND(ISNUMBER($AM143),ISNUMBER($AN143),$AM143&gt;$AN143),"Inicio posterior a fecha límite"&amp;" · ","")&amp;IF(AND($V143="Macro",$H143&lt;&gt;"",OR(NOT(ISNUMBER($H143)),$H143&lt;0,$H143&gt;1)),"Peso fuera de rango"&amp;" · ","")&amp;IF(AND($V143="Sub",$H143&lt;&gt;""),"Las subactividades no llevan peso (valen igual dentro de su macroactividad)"&amp;" · ","")&amp;IF(AND(N($W143)&gt;0,COUNT($I143:$L143)&gt;0),"Con subactividades: deje vacías las semanas (se calculan solas)"&amp;" · ","")&amp;IF((COUNTIF($I143:$L143,"&gt;1")+COUNTIF($I143:$L143,"&lt;0")+COUNTA($I143:$L143)-COUNT($I143:$L143))&gt;0,"Avance fuera de rango 0-100%"&amp;" · ","")&amp;IF(OR(AND($J143&lt;&gt;"",$J143&lt;$I143),AND($K143&lt;&gt;"",$K143&lt;MAX($I143:$J143)),AND($L143&lt;&gt;"",$L143&lt;MAX($I143:$K143))),"Avance semanal decreciente"&amp;" · ","")&amp;IF(AND(ISNUMBER($AN143),$AN143&lt;FechaRef,IF($V143="Sub",N($X143),N($M143))&lt;1),"Vencida"&amp;" · ","")&amp;IF(AND(ObsObligatoria="Sí",ISNUMBER($AN143),$AN143&lt;FechaRef,IF($V143="Sub",N($X143),N($M143))&lt;1,$Q143=""),"Vencida sin observación"&amp;" · ",""),LEN(IF($C143="","Falta el nombre de la actividad"&amp;" · ","")&amp;IF(AND($V143="Sub",N($U143)=0),"Subactividad sin macroactividad arriba"&amp;" · ","")&amp;IF($AM143="","Sin fecha de inicio"&amp;" · ","")&amp;IF($AN143="","Sin fecha límite"&amp;" · ","")&amp;IF(AND(LEFT($C143,11)="[Jefatura] ",N($AL143)=0),"No se encuentra en la hoja de la jefatura (elíjala de nuevo en la lista)"&amp;" · ","")&amp;IF(OR(AND($E143&lt;&gt;"",NOT(ISNUMBER($E143))),AND($F143&lt;&gt;"",NOT(ISNUMBER($F143))),AND($G143&lt;&gt;"",NOT(ISNUMBER($G143)))),"Fecha no válida"&amp;" · ","")&amp;IF(AND(ISNUMBER($AM143),ISNUMBER($AN143),$AM143&gt;$AN143),"Inicio posterior a fecha límite"&amp;" · ","")&amp;IF(AND($V143="Macro",$H143&lt;&gt;"",OR(NOT(ISNUMBER($H143)),$H143&lt;0,$H143&gt;1)),"Peso fuera de rango"&amp;" · ","")&amp;IF(AND($V143="Sub",$H143&lt;&gt;""),"Las subactividades no llevan peso (valen igual dentro de su macroactividad)"&amp;" · ","")&amp;IF(AND(N($W143)&gt;0,COUNT($I143:$L143)&gt;0),"Con subactividades: deje vacías las semanas (se calculan solas)"&amp;" · ","")&amp;IF((COUNTIF($I143:$L143,"&gt;1")+COUNTIF($I143:$L143,"&lt;0")+COUNTA($I143:$L143)-COUNT($I143:$L143))&gt;0,"Avance fuera de rango 0-100%"&amp;" · ","")&amp;IF(OR(AND($J143&lt;&gt;"",$J143&lt;$I143),AND($K143&lt;&gt;"",$K143&lt;MAX($I143:$J143)),AND($L143&lt;&gt;"",$L143&lt;MAX($I143:$K143))),"Avance semanal decreciente"&amp;" · ","")&amp;IF(AND(ISNUMBER($AN143),$AN143&lt;FechaRef,IF($V143="Sub",N($X143),N($M143))&lt;1),"Vencida"&amp;" · ","")&amp;IF(AND(ObsObligatoria="Sí",ISNUMBER($AN143),$AN143&lt;FechaRef,IF($V143="Sub",N($X143),N($M143))&lt;1,$Q143=""),"Vencida sin observación"&amp;" · ",""))-3)))</f>
        <v/>
      </c>
      <c r="S143" s="64">
        <f>IF(NOT((COUNTA($B143:$D143)+COUNTA($G143:$L143)+COUNTA($Q143))&gt;0),"",IF(AND($V143="Sub",N($U143)&gt;0),IF(ISNUMBER(INDEX($AM$5:$AM$1000,$U143-4)),DATE(YEAR(INDEX($AM$5:$AM$1000,$U143-4)),MONTH(INDEX($AM$5:$AM$1000,$U143-4)),1),IF(ISNUMBER(INDEX($AN$5:$AN$1000,$U143-4)),DATE(YEAR(INDEX($AN$5:$AN$1000,$U143-4)),MONTH(INDEX($AN$5:$AN$1000,$U143-4)),1),MesCiclo)),IF(ISNUMBER($AM143),DATE(YEAR($AM143),MONTH($AM143),1),IF(ISNUMBER($AN143),DATE(YEAR($AN143),MONTH($AN143),1),MesCiclo))))</f>
        <v/>
      </c>
      <c r="T143" s="62">
        <f>IF(OR($S143="",$S143&lt;&gt;MesCiclo,$V143&lt;&gt;"Macro"),"",COUNTIFS($S$5:$S143,MesCiclo,$V$5:$V143,"Macro"))</f>
        <v/>
      </c>
      <c r="U143" s="62">
        <f>IF($V143="","",IF($V143="Macro",ROW(),IFERROR(LOOKUP(2,1/($V$5:$V143="Macro"),ROW($V$5:$V143)),0)))</f>
        <v/>
      </c>
      <c r="V143" s="62">
        <f>IF(NOT((COUNTA($B143:$D143)+COUNTA($G143:$L143)+COUNTA($Q143))&gt;0),"",IF($B143="Subactividad","Sub","Macro"))</f>
        <v/>
      </c>
      <c r="W143" s="62">
        <f>IF($V143="Macro",COUNTIFS($U$5:$U$1000,ROW(),$V$5:$V$1000,"Sub"),"")</f>
        <v/>
      </c>
      <c r="X143" s="62">
        <f>IF($V143="","",IF(ISNUMBER($G143),1,IFERROR(LOOKUP(2,1/($I143:$L143&lt;&gt;""),$I143:$L143),0)))</f>
        <v/>
      </c>
      <c r="Y143" s="62">
        <f>IF($V143="","",IF(AND(ISNUMBER($G143),$G143&lt;=IF($S143=MesCiclo,InicioCiclo,$S143+MOD(2-WEEKDAY($S143),7))+6),1,IF(ISNUMBER($I143),$I143,0)))</f>
        <v/>
      </c>
      <c r="Z143" s="62">
        <f>IF($V143="","",IF(AND(ISNUMBER($G143),$G143&lt;=IF($S143=MesCiclo,InicioCiclo,$S143+MOD(2-WEEKDAY($S143),7))+13),1,IF(ISNUMBER($J143),$J143,$Y143)))</f>
        <v/>
      </c>
      <c r="AA143" s="62">
        <f>IF($V143="","",IF(AND(ISNUMBER($G143),$G143&lt;=IF($S143=MesCiclo,InicioCiclo,$S143+MOD(2-WEEKDAY($S143),7))+20),1,IF(ISNUMBER($K143),$K143,$Z143)))</f>
        <v/>
      </c>
      <c r="AB143" s="62">
        <f>IF($V143="","",IF(AND(ISNUMBER($G143),$G143&lt;=IF($S143=MesCiclo,InicioCiclo,$S143+MOD(2-WEEKDAY($S143),7))+27),1,IF(ISNUMBER($L143),$L143,$AA143)))</f>
        <v/>
      </c>
      <c r="AC143" s="62">
        <f>IF($V143="","",IF(AND(ISNUMBER($G143),$G143&lt;=IF($S143=MesCiclo,InicioCiclo,$S143+MOD(2-WEEKDAY($S143),7))+6),1,IF(N($W143)&gt;0,AVERAGEIFS($Y$5:$Y$1000,$U$5:$U$1000,ROW(),$V$5:$V$1000,"Sub"),$Y143)))</f>
        <v/>
      </c>
      <c r="AD143" s="62">
        <f>IF($V143="","",IF(AND(ISNUMBER($G143),$G143&lt;=IF($S143=MesCiclo,InicioCiclo,$S143+MOD(2-WEEKDAY($S143),7))+13),1,IF(N($W143)&gt;0,AVERAGEIFS($Z$5:$Z$1000,$U$5:$U$1000,ROW(),$V$5:$V$1000,"Sub"),$Z143)))</f>
        <v/>
      </c>
      <c r="AE143" s="62">
        <f>IF($V143="","",IF(AND(ISNUMBER($G143),$G143&lt;=IF($S143=MesCiclo,InicioCiclo,$S143+MOD(2-WEEKDAY($S143),7))+20),1,IF(N($W143)&gt;0,AVERAGEIFS($AA$5:$AA$1000,$U$5:$U$1000,ROW(),$V$5:$V$1000,"Sub"),$AA143)))</f>
        <v/>
      </c>
      <c r="AF143" s="62">
        <f>IF($V143="","",IF(AND(ISNUMBER($G143),$G143&lt;=IF($S143=MesCiclo,InicioCiclo,$S143+MOD(2-WEEKDAY($S143),7))+27),1,IF(N($W143)&gt;0,AVERAGEIFS($AB$5:$AB$1000,$U$5:$U$1000,ROW(),$V$5:$V$1000,"Sub"),$AB143)))</f>
        <v/>
      </c>
      <c r="AG143" s="62">
        <f>IF($V143&lt;&gt;"Macro","",IF(COUNTIFS($S$5:$S$1000,$S143,$V$5:$V$1000,"Macro",$H$5:$H$1000,"&gt;0")=0,1/COUNTIFS($S$5:$S$1000,$S143,$V$5:$V$1000,"Macro"),IF(AND(ISNUMBER($H143),N($H143)&gt;0),$H143,SUMIFS($H$5:$H$1000,$S$5:$S$1000,$S143,$V$5:$V$1000,"Macro")/COUNTIFS($S$5:$S$1000,$S143,$V$5:$V$1000,"Macro",$H$5:$H$1000,"&gt;0"))/(COUNTIFS($S$5:$S$1000,$S143,$V$5:$V$1000,"Macro")*SUMIFS($H$5:$H$1000,$S$5:$S$1000,$S143,$V$5:$V$1000,"Macro")/COUNTIFS($S$5:$S$1000,$S143,$V$5:$V$1000,"Macro",$H$5:$H$1000,"&gt;0"))))</f>
        <v/>
      </c>
      <c r="AH143" s="62" t="n"/>
      <c r="AI143" s="62" t="n"/>
      <c r="AJ143" s="62" t="n"/>
      <c r="AK143" s="62" t="n"/>
      <c r="AL143" s="62">
        <f>IF(LEFT($C143,11)="[Jefatura] ",IFERROR(MATCH("Riesgo Financiero|"&amp;MID($C143,12,500),rDname_ADM,0),0),"")</f>
        <v/>
      </c>
      <c r="AM143" s="62">
        <f>IF(N($AL143)&gt;0,INDEX(rIni_ADM,$AL143),IF(ISNUMBER($E143),$E143,""))</f>
        <v/>
      </c>
      <c r="AN143" s="62">
        <f>IF(N($AL143)&gt;0,INDEX(rLim_ADM,$AL143),IF(ISNUMBER($F143),$F143,""))</f>
        <v/>
      </c>
    </row>
    <row r="144">
      <c r="A144" s="56">
        <f>IF(NOT((COUNTA($B144:$D144)+COUNTA($G144:$L144)+COUNTA($Q144))&gt;0),"",IF($V144="Macro",COUNTIFS($V$5:$V144,"Macro",$S$5:$S144,$S144),IF(N($U144)=0,"?",COUNTIFS(INDEX($V$5:$V$1000,1):INDEX($V$5:$V$1000,$U144-4),"Macro",INDEX($S$5:$S$1000,1):INDEX($S$5:$S$1000,$U144-4),INDEX($S$5:$S$1000,$U144-4))&amp;"."&amp;COUNTIFS($U$5:$U144,$U144,$V$5:$V144,"Sub"))))</f>
        <v/>
      </c>
      <c r="B144" s="57" t="n"/>
      <c r="C144" s="58" t="n"/>
      <c r="D144" s="58" t="n"/>
      <c r="E144" s="59">
        <f>IF(N($AL144)&gt;0,INDEX(rIni_ADM,$AL144),"")</f>
        <v/>
      </c>
      <c r="F144" s="59">
        <f>IF(N($AL144)&gt;0,INDEX(rLim_ADM,$AL144),"")</f>
        <v/>
      </c>
      <c r="G144" s="59" t="n"/>
      <c r="H144" s="60" t="n"/>
      <c r="I144" s="60" t="n"/>
      <c r="J144" s="60" t="n"/>
      <c r="K144" s="60" t="n"/>
      <c r="L144" s="60" t="n"/>
      <c r="M144" s="61">
        <f>IF(NOT((COUNTA($B144:$D144)+COUNTA($G144:$L144)+COUNTA($Q144))&gt;0),"",IF($V144="Sub",IFERROR($X144/INDEX($W$5:$W$1000,$U144-4),""),IF(ISNUMBER($G144),1,IF(N($W144)&gt;0,AVERAGEIFS($X$5:$X$1000,$U$5:$U$1000,ROW(),$V$5:$V$1000,"Sub"),$X144))))</f>
        <v/>
      </c>
      <c r="N144" s="56">
        <f>IF(OR($M144="",$V144="Sub"),"",IF($M144&gt;=1,"Completado",IF($M144&gt;0,"En curso","Pendiente")))</f>
        <v/>
      </c>
      <c r="O144" s="56">
        <f>IF(OR(NOT((COUNTA($B144:$D144)+COUNTA($G144:$L144)+COUNTA($Q144))&gt;0),$V144="Sub"),"",IF(ISNUMBER($G144),IF(AND(ISNUMBER($AN144),$G144&gt;$AN144),"Cumplida con "&amp;($G144-$AN144)&amp;IF($G144-$AN144=1," día"," días")&amp;" de retraso","Cumplida"),IF(N($M144)&gt;=1,"Cumplida",IF(NOT(ISNUMBER($AN144)),"Sin fecha límite",IF($AN144&lt;FechaRef,"Vencida hace "&amp;(FechaRef-$AN144)&amp;IF(FechaRef-$AN144=1," día"," días"),IF($AN144=FechaRef,"Vence hoy",IF($AN144-FechaRef&lt;=DiasAlerta,"Vence en "&amp;($AN144-FechaRef)&amp;IF($AN144-FechaRef=1," día"," días"),"En plazo")))))))</f>
        <v/>
      </c>
      <c r="P144" s="62" t="n"/>
      <c r="Q144" s="58" t="n"/>
      <c r="R144" s="63">
        <f>IF(NOT((COUNTA($B144:$D144)+COUNTA($G144:$L144)+COUNTA($Q144))&gt;0),"",IF((IF($C144="","Falta el nombre de la actividad"&amp;" · ","")&amp;IF(AND($V144="Sub",N($U144)=0),"Subactividad sin macroactividad arriba"&amp;" · ","")&amp;IF($AM144="","Sin fecha de inicio"&amp;" · ","")&amp;IF($AN144="","Sin fecha límite"&amp;" · ","")&amp;IF(AND(LEFT($C144,11)="[Jefatura] ",N($AL144)=0),"No se encuentra en la hoja de la jefatura (elíjala de nuevo en la lista)"&amp;" · ","")&amp;IF(OR(AND($E144&lt;&gt;"",NOT(ISNUMBER($E144))),AND($F144&lt;&gt;"",NOT(ISNUMBER($F144))),AND($G144&lt;&gt;"",NOT(ISNUMBER($G144)))),"Fecha no válida"&amp;" · ","")&amp;IF(AND(ISNUMBER($AM144),ISNUMBER($AN144),$AM144&gt;$AN144),"Inicio posterior a fecha límite"&amp;" · ","")&amp;IF(AND($V144="Macro",$H144&lt;&gt;"",OR(NOT(ISNUMBER($H144)),$H144&lt;0,$H144&gt;1)),"Peso fuera de rango"&amp;" · ","")&amp;IF(AND($V144="Sub",$H144&lt;&gt;""),"Las subactividades no llevan peso (valen igual dentro de su macroactividad)"&amp;" · ","")&amp;IF(AND(N($W144)&gt;0,COUNT($I144:$L144)&gt;0),"Con subactividades: deje vacías las semanas (se calculan solas)"&amp;" · ","")&amp;IF((COUNTIF($I144:$L144,"&gt;1")+COUNTIF($I144:$L144,"&lt;0")+COUNTA($I144:$L144)-COUNT($I144:$L144))&gt;0,"Avance fuera de rango 0-100%"&amp;" · ","")&amp;IF(OR(AND($J144&lt;&gt;"",$J144&lt;$I144),AND($K144&lt;&gt;"",$K144&lt;MAX($I144:$J144)),AND($L144&lt;&gt;"",$L144&lt;MAX($I144:$K144))),"Avance semanal decreciente"&amp;" · ","")&amp;IF(AND(ISNUMBER($AN144),$AN144&lt;FechaRef,IF($V144="Sub",N($X144),N($M144))&lt;1),"Vencida"&amp;" · ","")&amp;IF(AND(ObsObligatoria="Sí",ISNUMBER($AN144),$AN144&lt;FechaRef,IF($V144="Sub",N($X144),N($M144))&lt;1,$Q144=""),"Vencida sin observación"&amp;" · ",""))="","✔ OK","⚠ "&amp;LEFT(IF($C144="","Falta el nombre de la actividad"&amp;" · ","")&amp;IF(AND($V144="Sub",N($U144)=0),"Subactividad sin macroactividad arriba"&amp;" · ","")&amp;IF($AM144="","Sin fecha de inicio"&amp;" · ","")&amp;IF($AN144="","Sin fecha límite"&amp;" · ","")&amp;IF(AND(LEFT($C144,11)="[Jefatura] ",N($AL144)=0),"No se encuentra en la hoja de la jefatura (elíjala de nuevo en la lista)"&amp;" · ","")&amp;IF(OR(AND($E144&lt;&gt;"",NOT(ISNUMBER($E144))),AND($F144&lt;&gt;"",NOT(ISNUMBER($F144))),AND($G144&lt;&gt;"",NOT(ISNUMBER($G144)))),"Fecha no válida"&amp;" · ","")&amp;IF(AND(ISNUMBER($AM144),ISNUMBER($AN144),$AM144&gt;$AN144),"Inicio posterior a fecha límite"&amp;" · ","")&amp;IF(AND($V144="Macro",$H144&lt;&gt;"",OR(NOT(ISNUMBER($H144)),$H144&lt;0,$H144&gt;1)),"Peso fuera de rango"&amp;" · ","")&amp;IF(AND($V144="Sub",$H144&lt;&gt;""),"Las subactividades no llevan peso (valen igual dentro de su macroactividad)"&amp;" · ","")&amp;IF(AND(N($W144)&gt;0,COUNT($I144:$L144)&gt;0),"Con subactividades: deje vacías las semanas (se calculan solas)"&amp;" · ","")&amp;IF((COUNTIF($I144:$L144,"&gt;1")+COUNTIF($I144:$L144,"&lt;0")+COUNTA($I144:$L144)-COUNT($I144:$L144))&gt;0,"Avance fuera de rango 0-100%"&amp;" · ","")&amp;IF(OR(AND($J144&lt;&gt;"",$J144&lt;$I144),AND($K144&lt;&gt;"",$K144&lt;MAX($I144:$J144)),AND($L144&lt;&gt;"",$L144&lt;MAX($I144:$K144))),"Avance semanal decreciente"&amp;" · ","")&amp;IF(AND(ISNUMBER($AN144),$AN144&lt;FechaRef,IF($V144="Sub",N($X144),N($M144))&lt;1),"Vencida"&amp;" · ","")&amp;IF(AND(ObsObligatoria="Sí",ISNUMBER($AN144),$AN144&lt;FechaRef,IF($V144="Sub",N($X144),N($M144))&lt;1,$Q144=""),"Vencida sin observación"&amp;" · ",""),LEN(IF($C144="","Falta el nombre de la actividad"&amp;" · ","")&amp;IF(AND($V144="Sub",N($U144)=0),"Subactividad sin macroactividad arriba"&amp;" · ","")&amp;IF($AM144="","Sin fecha de inicio"&amp;" · ","")&amp;IF($AN144="","Sin fecha límite"&amp;" · ","")&amp;IF(AND(LEFT($C144,11)="[Jefatura] ",N($AL144)=0),"No se encuentra en la hoja de la jefatura (elíjala de nuevo en la lista)"&amp;" · ","")&amp;IF(OR(AND($E144&lt;&gt;"",NOT(ISNUMBER($E144))),AND($F144&lt;&gt;"",NOT(ISNUMBER($F144))),AND($G144&lt;&gt;"",NOT(ISNUMBER($G144)))),"Fecha no válida"&amp;" · ","")&amp;IF(AND(ISNUMBER($AM144),ISNUMBER($AN144),$AM144&gt;$AN144),"Inicio posterior a fecha límite"&amp;" · ","")&amp;IF(AND($V144="Macro",$H144&lt;&gt;"",OR(NOT(ISNUMBER($H144)),$H144&lt;0,$H144&gt;1)),"Peso fuera de rango"&amp;" · ","")&amp;IF(AND($V144="Sub",$H144&lt;&gt;""),"Las subactividades no llevan peso (valen igual dentro de su macroactividad)"&amp;" · ","")&amp;IF(AND(N($W144)&gt;0,COUNT($I144:$L144)&gt;0),"Con subactividades: deje vacías las semanas (se calculan solas)"&amp;" · ","")&amp;IF((COUNTIF($I144:$L144,"&gt;1")+COUNTIF($I144:$L144,"&lt;0")+COUNTA($I144:$L144)-COUNT($I144:$L144))&gt;0,"Avance fuera de rango 0-100%"&amp;" · ","")&amp;IF(OR(AND($J144&lt;&gt;"",$J144&lt;$I144),AND($K144&lt;&gt;"",$K144&lt;MAX($I144:$J144)),AND($L144&lt;&gt;"",$L144&lt;MAX($I144:$K144))),"Avance semanal decreciente"&amp;" · ","")&amp;IF(AND(ISNUMBER($AN144),$AN144&lt;FechaRef,IF($V144="Sub",N($X144),N($M144))&lt;1),"Vencida"&amp;" · ","")&amp;IF(AND(ObsObligatoria="Sí",ISNUMBER($AN144),$AN144&lt;FechaRef,IF($V144="Sub",N($X144),N($M144))&lt;1,$Q144=""),"Vencida sin observación"&amp;" · ",""))-3)))</f>
        <v/>
      </c>
      <c r="S144" s="64">
        <f>IF(NOT((COUNTA($B144:$D144)+COUNTA($G144:$L144)+COUNTA($Q144))&gt;0),"",IF(AND($V144="Sub",N($U144)&gt;0),IF(ISNUMBER(INDEX($AM$5:$AM$1000,$U144-4)),DATE(YEAR(INDEX($AM$5:$AM$1000,$U144-4)),MONTH(INDEX($AM$5:$AM$1000,$U144-4)),1),IF(ISNUMBER(INDEX($AN$5:$AN$1000,$U144-4)),DATE(YEAR(INDEX($AN$5:$AN$1000,$U144-4)),MONTH(INDEX($AN$5:$AN$1000,$U144-4)),1),MesCiclo)),IF(ISNUMBER($AM144),DATE(YEAR($AM144),MONTH($AM144),1),IF(ISNUMBER($AN144),DATE(YEAR($AN144),MONTH($AN144),1),MesCiclo))))</f>
        <v/>
      </c>
      <c r="T144" s="62">
        <f>IF(OR($S144="",$S144&lt;&gt;MesCiclo,$V144&lt;&gt;"Macro"),"",COUNTIFS($S$5:$S144,MesCiclo,$V$5:$V144,"Macro"))</f>
        <v/>
      </c>
      <c r="U144" s="62">
        <f>IF($V144="","",IF($V144="Macro",ROW(),IFERROR(LOOKUP(2,1/($V$5:$V144="Macro"),ROW($V$5:$V144)),0)))</f>
        <v/>
      </c>
      <c r="V144" s="62">
        <f>IF(NOT((COUNTA($B144:$D144)+COUNTA($G144:$L144)+COUNTA($Q144))&gt;0),"",IF($B144="Subactividad","Sub","Macro"))</f>
        <v/>
      </c>
      <c r="W144" s="62">
        <f>IF($V144="Macro",COUNTIFS($U$5:$U$1000,ROW(),$V$5:$V$1000,"Sub"),"")</f>
        <v/>
      </c>
      <c r="X144" s="62">
        <f>IF($V144="","",IF(ISNUMBER($G144),1,IFERROR(LOOKUP(2,1/($I144:$L144&lt;&gt;""),$I144:$L144),0)))</f>
        <v/>
      </c>
      <c r="Y144" s="62">
        <f>IF($V144="","",IF(AND(ISNUMBER($G144),$G144&lt;=IF($S144=MesCiclo,InicioCiclo,$S144+MOD(2-WEEKDAY($S144),7))+6),1,IF(ISNUMBER($I144),$I144,0)))</f>
        <v/>
      </c>
      <c r="Z144" s="62">
        <f>IF($V144="","",IF(AND(ISNUMBER($G144),$G144&lt;=IF($S144=MesCiclo,InicioCiclo,$S144+MOD(2-WEEKDAY($S144),7))+13),1,IF(ISNUMBER($J144),$J144,$Y144)))</f>
        <v/>
      </c>
      <c r="AA144" s="62">
        <f>IF($V144="","",IF(AND(ISNUMBER($G144),$G144&lt;=IF($S144=MesCiclo,InicioCiclo,$S144+MOD(2-WEEKDAY($S144),7))+20),1,IF(ISNUMBER($K144),$K144,$Z144)))</f>
        <v/>
      </c>
      <c r="AB144" s="62">
        <f>IF($V144="","",IF(AND(ISNUMBER($G144),$G144&lt;=IF($S144=MesCiclo,InicioCiclo,$S144+MOD(2-WEEKDAY($S144),7))+27),1,IF(ISNUMBER($L144),$L144,$AA144)))</f>
        <v/>
      </c>
      <c r="AC144" s="62">
        <f>IF($V144="","",IF(AND(ISNUMBER($G144),$G144&lt;=IF($S144=MesCiclo,InicioCiclo,$S144+MOD(2-WEEKDAY($S144),7))+6),1,IF(N($W144)&gt;0,AVERAGEIFS($Y$5:$Y$1000,$U$5:$U$1000,ROW(),$V$5:$V$1000,"Sub"),$Y144)))</f>
        <v/>
      </c>
      <c r="AD144" s="62">
        <f>IF($V144="","",IF(AND(ISNUMBER($G144),$G144&lt;=IF($S144=MesCiclo,InicioCiclo,$S144+MOD(2-WEEKDAY($S144),7))+13),1,IF(N($W144)&gt;0,AVERAGEIFS($Z$5:$Z$1000,$U$5:$U$1000,ROW(),$V$5:$V$1000,"Sub"),$Z144)))</f>
        <v/>
      </c>
      <c r="AE144" s="62">
        <f>IF($V144="","",IF(AND(ISNUMBER($G144),$G144&lt;=IF($S144=MesCiclo,InicioCiclo,$S144+MOD(2-WEEKDAY($S144),7))+20),1,IF(N($W144)&gt;0,AVERAGEIFS($AA$5:$AA$1000,$U$5:$U$1000,ROW(),$V$5:$V$1000,"Sub"),$AA144)))</f>
        <v/>
      </c>
      <c r="AF144" s="62">
        <f>IF($V144="","",IF(AND(ISNUMBER($G144),$G144&lt;=IF($S144=MesCiclo,InicioCiclo,$S144+MOD(2-WEEKDAY($S144),7))+27),1,IF(N($W144)&gt;0,AVERAGEIFS($AB$5:$AB$1000,$U$5:$U$1000,ROW(),$V$5:$V$1000,"Sub"),$AB144)))</f>
        <v/>
      </c>
      <c r="AG144" s="62">
        <f>IF($V144&lt;&gt;"Macro","",IF(COUNTIFS($S$5:$S$1000,$S144,$V$5:$V$1000,"Macro",$H$5:$H$1000,"&gt;0")=0,1/COUNTIFS($S$5:$S$1000,$S144,$V$5:$V$1000,"Macro"),IF(AND(ISNUMBER($H144),N($H144)&gt;0),$H144,SUMIFS($H$5:$H$1000,$S$5:$S$1000,$S144,$V$5:$V$1000,"Macro")/COUNTIFS($S$5:$S$1000,$S144,$V$5:$V$1000,"Macro",$H$5:$H$1000,"&gt;0"))/(COUNTIFS($S$5:$S$1000,$S144,$V$5:$V$1000,"Macro")*SUMIFS($H$5:$H$1000,$S$5:$S$1000,$S144,$V$5:$V$1000,"Macro")/COUNTIFS($S$5:$S$1000,$S144,$V$5:$V$1000,"Macro",$H$5:$H$1000,"&gt;0"))))</f>
        <v/>
      </c>
      <c r="AH144" s="62" t="n"/>
      <c r="AI144" s="62" t="n"/>
      <c r="AJ144" s="62" t="n"/>
      <c r="AK144" s="62" t="n"/>
      <c r="AL144" s="62">
        <f>IF(LEFT($C144,11)="[Jefatura] ",IFERROR(MATCH("Riesgo Financiero|"&amp;MID($C144,12,500),rDname_ADM,0),0),"")</f>
        <v/>
      </c>
      <c r="AM144" s="62">
        <f>IF(N($AL144)&gt;0,INDEX(rIni_ADM,$AL144),IF(ISNUMBER($E144),$E144,""))</f>
        <v/>
      </c>
      <c r="AN144" s="62">
        <f>IF(N($AL144)&gt;0,INDEX(rLim_ADM,$AL144),IF(ISNUMBER($F144),$F144,""))</f>
        <v/>
      </c>
    </row>
    <row r="145">
      <c r="A145" s="56">
        <f>IF(NOT((COUNTA($B145:$D145)+COUNTA($G145:$L145)+COUNTA($Q145))&gt;0),"",IF($V145="Macro",COUNTIFS($V$5:$V145,"Macro",$S$5:$S145,$S145),IF(N($U145)=0,"?",COUNTIFS(INDEX($V$5:$V$1000,1):INDEX($V$5:$V$1000,$U145-4),"Macro",INDEX($S$5:$S$1000,1):INDEX($S$5:$S$1000,$U145-4),INDEX($S$5:$S$1000,$U145-4))&amp;"."&amp;COUNTIFS($U$5:$U145,$U145,$V$5:$V145,"Sub"))))</f>
        <v/>
      </c>
      <c r="B145" s="57" t="n"/>
      <c r="C145" s="58" t="n"/>
      <c r="D145" s="58" t="n"/>
      <c r="E145" s="59">
        <f>IF(N($AL145)&gt;0,INDEX(rIni_ADM,$AL145),"")</f>
        <v/>
      </c>
      <c r="F145" s="59">
        <f>IF(N($AL145)&gt;0,INDEX(rLim_ADM,$AL145),"")</f>
        <v/>
      </c>
      <c r="G145" s="59" t="n"/>
      <c r="H145" s="60" t="n"/>
      <c r="I145" s="60" t="n"/>
      <c r="J145" s="60" t="n"/>
      <c r="K145" s="60" t="n"/>
      <c r="L145" s="60" t="n"/>
      <c r="M145" s="61">
        <f>IF(NOT((COUNTA($B145:$D145)+COUNTA($G145:$L145)+COUNTA($Q145))&gt;0),"",IF($V145="Sub",IFERROR($X145/INDEX($W$5:$W$1000,$U145-4),""),IF(ISNUMBER($G145),1,IF(N($W145)&gt;0,AVERAGEIFS($X$5:$X$1000,$U$5:$U$1000,ROW(),$V$5:$V$1000,"Sub"),$X145))))</f>
        <v/>
      </c>
      <c r="N145" s="56">
        <f>IF(OR($M145="",$V145="Sub"),"",IF($M145&gt;=1,"Completado",IF($M145&gt;0,"En curso","Pendiente")))</f>
        <v/>
      </c>
      <c r="O145" s="56">
        <f>IF(OR(NOT((COUNTA($B145:$D145)+COUNTA($G145:$L145)+COUNTA($Q145))&gt;0),$V145="Sub"),"",IF(ISNUMBER($G145),IF(AND(ISNUMBER($AN145),$G145&gt;$AN145),"Cumplida con "&amp;($G145-$AN145)&amp;IF($G145-$AN145=1," día"," días")&amp;" de retraso","Cumplida"),IF(N($M145)&gt;=1,"Cumplida",IF(NOT(ISNUMBER($AN145)),"Sin fecha límite",IF($AN145&lt;FechaRef,"Vencida hace "&amp;(FechaRef-$AN145)&amp;IF(FechaRef-$AN145=1," día"," días"),IF($AN145=FechaRef,"Vence hoy",IF($AN145-FechaRef&lt;=DiasAlerta,"Vence en "&amp;($AN145-FechaRef)&amp;IF($AN145-FechaRef=1," día"," días"),"En plazo")))))))</f>
        <v/>
      </c>
      <c r="P145" s="62" t="n"/>
      <c r="Q145" s="58" t="n"/>
      <c r="R145" s="63">
        <f>IF(NOT((COUNTA($B145:$D145)+COUNTA($G145:$L145)+COUNTA($Q145))&gt;0),"",IF((IF($C145="","Falta el nombre de la actividad"&amp;" · ","")&amp;IF(AND($V145="Sub",N($U145)=0),"Subactividad sin macroactividad arriba"&amp;" · ","")&amp;IF($AM145="","Sin fecha de inicio"&amp;" · ","")&amp;IF($AN145="","Sin fecha límite"&amp;" · ","")&amp;IF(AND(LEFT($C145,11)="[Jefatura] ",N($AL145)=0),"No se encuentra en la hoja de la jefatura (elíjala de nuevo en la lista)"&amp;" · ","")&amp;IF(OR(AND($E145&lt;&gt;"",NOT(ISNUMBER($E145))),AND($F145&lt;&gt;"",NOT(ISNUMBER($F145))),AND($G145&lt;&gt;"",NOT(ISNUMBER($G145)))),"Fecha no válida"&amp;" · ","")&amp;IF(AND(ISNUMBER($AM145),ISNUMBER($AN145),$AM145&gt;$AN145),"Inicio posterior a fecha límite"&amp;" · ","")&amp;IF(AND($V145="Macro",$H145&lt;&gt;"",OR(NOT(ISNUMBER($H145)),$H145&lt;0,$H145&gt;1)),"Peso fuera de rango"&amp;" · ","")&amp;IF(AND($V145="Sub",$H145&lt;&gt;""),"Las subactividades no llevan peso (valen igual dentro de su macroactividad)"&amp;" · ","")&amp;IF(AND(N($W145)&gt;0,COUNT($I145:$L145)&gt;0),"Con subactividades: deje vacías las semanas (se calculan solas)"&amp;" · ","")&amp;IF((COUNTIF($I145:$L145,"&gt;1")+COUNTIF($I145:$L145,"&lt;0")+COUNTA($I145:$L145)-COUNT($I145:$L145))&gt;0,"Avance fuera de rango 0-100%"&amp;" · ","")&amp;IF(OR(AND($J145&lt;&gt;"",$J145&lt;$I145),AND($K145&lt;&gt;"",$K145&lt;MAX($I145:$J145)),AND($L145&lt;&gt;"",$L145&lt;MAX($I145:$K145))),"Avance semanal decreciente"&amp;" · ","")&amp;IF(AND(ISNUMBER($AN145),$AN145&lt;FechaRef,IF($V145="Sub",N($X145),N($M145))&lt;1),"Vencida"&amp;" · ","")&amp;IF(AND(ObsObligatoria="Sí",ISNUMBER($AN145),$AN145&lt;FechaRef,IF($V145="Sub",N($X145),N($M145))&lt;1,$Q145=""),"Vencida sin observación"&amp;" · ",""))="","✔ OK","⚠ "&amp;LEFT(IF($C145="","Falta el nombre de la actividad"&amp;" · ","")&amp;IF(AND($V145="Sub",N($U145)=0),"Subactividad sin macroactividad arriba"&amp;" · ","")&amp;IF($AM145="","Sin fecha de inicio"&amp;" · ","")&amp;IF($AN145="","Sin fecha límite"&amp;" · ","")&amp;IF(AND(LEFT($C145,11)="[Jefatura] ",N($AL145)=0),"No se encuentra en la hoja de la jefatura (elíjala de nuevo en la lista)"&amp;" · ","")&amp;IF(OR(AND($E145&lt;&gt;"",NOT(ISNUMBER($E145))),AND($F145&lt;&gt;"",NOT(ISNUMBER($F145))),AND($G145&lt;&gt;"",NOT(ISNUMBER($G145)))),"Fecha no válida"&amp;" · ","")&amp;IF(AND(ISNUMBER($AM145),ISNUMBER($AN145),$AM145&gt;$AN145),"Inicio posterior a fecha límite"&amp;" · ","")&amp;IF(AND($V145="Macro",$H145&lt;&gt;"",OR(NOT(ISNUMBER($H145)),$H145&lt;0,$H145&gt;1)),"Peso fuera de rango"&amp;" · ","")&amp;IF(AND($V145="Sub",$H145&lt;&gt;""),"Las subactividades no llevan peso (valen igual dentro de su macroactividad)"&amp;" · ","")&amp;IF(AND(N($W145)&gt;0,COUNT($I145:$L145)&gt;0),"Con subactividades: deje vacías las semanas (se calculan solas)"&amp;" · ","")&amp;IF((COUNTIF($I145:$L145,"&gt;1")+COUNTIF($I145:$L145,"&lt;0")+COUNTA($I145:$L145)-COUNT($I145:$L145))&gt;0,"Avance fuera de rango 0-100%"&amp;" · ","")&amp;IF(OR(AND($J145&lt;&gt;"",$J145&lt;$I145),AND($K145&lt;&gt;"",$K145&lt;MAX($I145:$J145)),AND($L145&lt;&gt;"",$L145&lt;MAX($I145:$K145))),"Avance semanal decreciente"&amp;" · ","")&amp;IF(AND(ISNUMBER($AN145),$AN145&lt;FechaRef,IF($V145="Sub",N($X145),N($M145))&lt;1),"Vencida"&amp;" · ","")&amp;IF(AND(ObsObligatoria="Sí",ISNUMBER($AN145),$AN145&lt;FechaRef,IF($V145="Sub",N($X145),N($M145))&lt;1,$Q145=""),"Vencida sin observación"&amp;" · ",""),LEN(IF($C145="","Falta el nombre de la actividad"&amp;" · ","")&amp;IF(AND($V145="Sub",N($U145)=0),"Subactividad sin macroactividad arriba"&amp;" · ","")&amp;IF($AM145="","Sin fecha de inicio"&amp;" · ","")&amp;IF($AN145="","Sin fecha límite"&amp;" · ","")&amp;IF(AND(LEFT($C145,11)="[Jefatura] ",N($AL145)=0),"No se encuentra en la hoja de la jefatura (elíjala de nuevo en la lista)"&amp;" · ","")&amp;IF(OR(AND($E145&lt;&gt;"",NOT(ISNUMBER($E145))),AND($F145&lt;&gt;"",NOT(ISNUMBER($F145))),AND($G145&lt;&gt;"",NOT(ISNUMBER($G145)))),"Fecha no válida"&amp;" · ","")&amp;IF(AND(ISNUMBER($AM145),ISNUMBER($AN145),$AM145&gt;$AN145),"Inicio posterior a fecha límite"&amp;" · ","")&amp;IF(AND($V145="Macro",$H145&lt;&gt;"",OR(NOT(ISNUMBER($H145)),$H145&lt;0,$H145&gt;1)),"Peso fuera de rango"&amp;" · ","")&amp;IF(AND($V145="Sub",$H145&lt;&gt;""),"Las subactividades no llevan peso (valen igual dentro de su macroactividad)"&amp;" · ","")&amp;IF(AND(N($W145)&gt;0,COUNT($I145:$L145)&gt;0),"Con subactividades: deje vacías las semanas (se calculan solas)"&amp;" · ","")&amp;IF((COUNTIF($I145:$L145,"&gt;1")+COUNTIF($I145:$L145,"&lt;0")+COUNTA($I145:$L145)-COUNT($I145:$L145))&gt;0,"Avance fuera de rango 0-100%"&amp;" · ","")&amp;IF(OR(AND($J145&lt;&gt;"",$J145&lt;$I145),AND($K145&lt;&gt;"",$K145&lt;MAX($I145:$J145)),AND($L145&lt;&gt;"",$L145&lt;MAX($I145:$K145))),"Avance semanal decreciente"&amp;" · ","")&amp;IF(AND(ISNUMBER($AN145),$AN145&lt;FechaRef,IF($V145="Sub",N($X145),N($M145))&lt;1),"Vencida"&amp;" · ","")&amp;IF(AND(ObsObligatoria="Sí",ISNUMBER($AN145),$AN145&lt;FechaRef,IF($V145="Sub",N($X145),N($M145))&lt;1,$Q145=""),"Vencida sin observación"&amp;" · ",""))-3)))</f>
        <v/>
      </c>
      <c r="S145" s="64">
        <f>IF(NOT((COUNTA($B145:$D145)+COUNTA($G145:$L145)+COUNTA($Q145))&gt;0),"",IF(AND($V145="Sub",N($U145)&gt;0),IF(ISNUMBER(INDEX($AM$5:$AM$1000,$U145-4)),DATE(YEAR(INDEX($AM$5:$AM$1000,$U145-4)),MONTH(INDEX($AM$5:$AM$1000,$U145-4)),1),IF(ISNUMBER(INDEX($AN$5:$AN$1000,$U145-4)),DATE(YEAR(INDEX($AN$5:$AN$1000,$U145-4)),MONTH(INDEX($AN$5:$AN$1000,$U145-4)),1),MesCiclo)),IF(ISNUMBER($AM145),DATE(YEAR($AM145),MONTH($AM145),1),IF(ISNUMBER($AN145),DATE(YEAR($AN145),MONTH($AN145),1),MesCiclo))))</f>
        <v/>
      </c>
      <c r="T145" s="62">
        <f>IF(OR($S145="",$S145&lt;&gt;MesCiclo,$V145&lt;&gt;"Macro"),"",COUNTIFS($S$5:$S145,MesCiclo,$V$5:$V145,"Macro"))</f>
        <v/>
      </c>
      <c r="U145" s="62">
        <f>IF($V145="","",IF($V145="Macro",ROW(),IFERROR(LOOKUP(2,1/($V$5:$V145="Macro"),ROW($V$5:$V145)),0)))</f>
        <v/>
      </c>
      <c r="V145" s="62">
        <f>IF(NOT((COUNTA($B145:$D145)+COUNTA($G145:$L145)+COUNTA($Q145))&gt;0),"",IF($B145="Subactividad","Sub","Macro"))</f>
        <v/>
      </c>
      <c r="W145" s="62">
        <f>IF($V145="Macro",COUNTIFS($U$5:$U$1000,ROW(),$V$5:$V$1000,"Sub"),"")</f>
        <v/>
      </c>
      <c r="X145" s="62">
        <f>IF($V145="","",IF(ISNUMBER($G145),1,IFERROR(LOOKUP(2,1/($I145:$L145&lt;&gt;""),$I145:$L145),0)))</f>
        <v/>
      </c>
      <c r="Y145" s="62">
        <f>IF($V145="","",IF(AND(ISNUMBER($G145),$G145&lt;=IF($S145=MesCiclo,InicioCiclo,$S145+MOD(2-WEEKDAY($S145),7))+6),1,IF(ISNUMBER($I145),$I145,0)))</f>
        <v/>
      </c>
      <c r="Z145" s="62">
        <f>IF($V145="","",IF(AND(ISNUMBER($G145),$G145&lt;=IF($S145=MesCiclo,InicioCiclo,$S145+MOD(2-WEEKDAY($S145),7))+13),1,IF(ISNUMBER($J145),$J145,$Y145)))</f>
        <v/>
      </c>
      <c r="AA145" s="62">
        <f>IF($V145="","",IF(AND(ISNUMBER($G145),$G145&lt;=IF($S145=MesCiclo,InicioCiclo,$S145+MOD(2-WEEKDAY($S145),7))+20),1,IF(ISNUMBER($K145),$K145,$Z145)))</f>
        <v/>
      </c>
      <c r="AB145" s="62">
        <f>IF($V145="","",IF(AND(ISNUMBER($G145),$G145&lt;=IF($S145=MesCiclo,InicioCiclo,$S145+MOD(2-WEEKDAY($S145),7))+27),1,IF(ISNUMBER($L145),$L145,$AA145)))</f>
        <v/>
      </c>
      <c r="AC145" s="62">
        <f>IF($V145="","",IF(AND(ISNUMBER($G145),$G145&lt;=IF($S145=MesCiclo,InicioCiclo,$S145+MOD(2-WEEKDAY($S145),7))+6),1,IF(N($W145)&gt;0,AVERAGEIFS($Y$5:$Y$1000,$U$5:$U$1000,ROW(),$V$5:$V$1000,"Sub"),$Y145)))</f>
        <v/>
      </c>
      <c r="AD145" s="62">
        <f>IF($V145="","",IF(AND(ISNUMBER($G145),$G145&lt;=IF($S145=MesCiclo,InicioCiclo,$S145+MOD(2-WEEKDAY($S145),7))+13),1,IF(N($W145)&gt;0,AVERAGEIFS($Z$5:$Z$1000,$U$5:$U$1000,ROW(),$V$5:$V$1000,"Sub"),$Z145)))</f>
        <v/>
      </c>
      <c r="AE145" s="62">
        <f>IF($V145="","",IF(AND(ISNUMBER($G145),$G145&lt;=IF($S145=MesCiclo,InicioCiclo,$S145+MOD(2-WEEKDAY($S145),7))+20),1,IF(N($W145)&gt;0,AVERAGEIFS($AA$5:$AA$1000,$U$5:$U$1000,ROW(),$V$5:$V$1000,"Sub"),$AA145)))</f>
        <v/>
      </c>
      <c r="AF145" s="62">
        <f>IF($V145="","",IF(AND(ISNUMBER($G145),$G145&lt;=IF($S145=MesCiclo,InicioCiclo,$S145+MOD(2-WEEKDAY($S145),7))+27),1,IF(N($W145)&gt;0,AVERAGEIFS($AB$5:$AB$1000,$U$5:$U$1000,ROW(),$V$5:$V$1000,"Sub"),$AB145)))</f>
        <v/>
      </c>
      <c r="AG145" s="62">
        <f>IF($V145&lt;&gt;"Macro","",IF(COUNTIFS($S$5:$S$1000,$S145,$V$5:$V$1000,"Macro",$H$5:$H$1000,"&gt;0")=0,1/COUNTIFS($S$5:$S$1000,$S145,$V$5:$V$1000,"Macro"),IF(AND(ISNUMBER($H145),N($H145)&gt;0),$H145,SUMIFS($H$5:$H$1000,$S$5:$S$1000,$S145,$V$5:$V$1000,"Macro")/COUNTIFS($S$5:$S$1000,$S145,$V$5:$V$1000,"Macro",$H$5:$H$1000,"&gt;0"))/(COUNTIFS($S$5:$S$1000,$S145,$V$5:$V$1000,"Macro")*SUMIFS($H$5:$H$1000,$S$5:$S$1000,$S145,$V$5:$V$1000,"Macro")/COUNTIFS($S$5:$S$1000,$S145,$V$5:$V$1000,"Macro",$H$5:$H$1000,"&gt;0"))))</f>
        <v/>
      </c>
      <c r="AH145" s="62" t="n"/>
      <c r="AI145" s="62" t="n"/>
      <c r="AJ145" s="62" t="n"/>
      <c r="AK145" s="62" t="n"/>
      <c r="AL145" s="62">
        <f>IF(LEFT($C145,11)="[Jefatura] ",IFERROR(MATCH("Riesgo Financiero|"&amp;MID($C145,12,500),rDname_ADM,0),0),"")</f>
        <v/>
      </c>
      <c r="AM145" s="62">
        <f>IF(N($AL145)&gt;0,INDEX(rIni_ADM,$AL145),IF(ISNUMBER($E145),$E145,""))</f>
        <v/>
      </c>
      <c r="AN145" s="62">
        <f>IF(N($AL145)&gt;0,INDEX(rLim_ADM,$AL145),IF(ISNUMBER($F145),$F145,""))</f>
        <v/>
      </c>
    </row>
    <row r="146">
      <c r="A146" s="56">
        <f>IF(NOT((COUNTA($B146:$D146)+COUNTA($G146:$L146)+COUNTA($Q146))&gt;0),"",IF($V146="Macro",COUNTIFS($V$5:$V146,"Macro",$S$5:$S146,$S146),IF(N($U146)=0,"?",COUNTIFS(INDEX($V$5:$V$1000,1):INDEX($V$5:$V$1000,$U146-4),"Macro",INDEX($S$5:$S$1000,1):INDEX($S$5:$S$1000,$U146-4),INDEX($S$5:$S$1000,$U146-4))&amp;"."&amp;COUNTIFS($U$5:$U146,$U146,$V$5:$V146,"Sub"))))</f>
        <v/>
      </c>
      <c r="B146" s="57" t="n"/>
      <c r="C146" s="58" t="n"/>
      <c r="D146" s="58" t="n"/>
      <c r="E146" s="59">
        <f>IF(N($AL146)&gt;0,INDEX(rIni_ADM,$AL146),"")</f>
        <v/>
      </c>
      <c r="F146" s="59">
        <f>IF(N($AL146)&gt;0,INDEX(rLim_ADM,$AL146),"")</f>
        <v/>
      </c>
      <c r="G146" s="59" t="n"/>
      <c r="H146" s="60" t="n"/>
      <c r="I146" s="60" t="n"/>
      <c r="J146" s="60" t="n"/>
      <c r="K146" s="60" t="n"/>
      <c r="L146" s="60" t="n"/>
      <c r="M146" s="61">
        <f>IF(NOT((COUNTA($B146:$D146)+COUNTA($G146:$L146)+COUNTA($Q146))&gt;0),"",IF($V146="Sub",IFERROR($X146/INDEX($W$5:$W$1000,$U146-4),""),IF(ISNUMBER($G146),1,IF(N($W146)&gt;0,AVERAGEIFS($X$5:$X$1000,$U$5:$U$1000,ROW(),$V$5:$V$1000,"Sub"),$X146))))</f>
        <v/>
      </c>
      <c r="N146" s="56">
        <f>IF(OR($M146="",$V146="Sub"),"",IF($M146&gt;=1,"Completado",IF($M146&gt;0,"En curso","Pendiente")))</f>
        <v/>
      </c>
      <c r="O146" s="56">
        <f>IF(OR(NOT((COUNTA($B146:$D146)+COUNTA($G146:$L146)+COUNTA($Q146))&gt;0),$V146="Sub"),"",IF(ISNUMBER($G146),IF(AND(ISNUMBER($AN146),$G146&gt;$AN146),"Cumplida con "&amp;($G146-$AN146)&amp;IF($G146-$AN146=1," día"," días")&amp;" de retraso","Cumplida"),IF(N($M146)&gt;=1,"Cumplida",IF(NOT(ISNUMBER($AN146)),"Sin fecha límite",IF($AN146&lt;FechaRef,"Vencida hace "&amp;(FechaRef-$AN146)&amp;IF(FechaRef-$AN146=1," día"," días"),IF($AN146=FechaRef,"Vence hoy",IF($AN146-FechaRef&lt;=DiasAlerta,"Vence en "&amp;($AN146-FechaRef)&amp;IF($AN146-FechaRef=1," día"," días"),"En plazo")))))))</f>
        <v/>
      </c>
      <c r="P146" s="62" t="n"/>
      <c r="Q146" s="58" t="n"/>
      <c r="R146" s="63">
        <f>IF(NOT((COUNTA($B146:$D146)+COUNTA($G146:$L146)+COUNTA($Q146))&gt;0),"",IF((IF($C146="","Falta el nombre de la actividad"&amp;" · ","")&amp;IF(AND($V146="Sub",N($U146)=0),"Subactividad sin macroactividad arriba"&amp;" · ","")&amp;IF($AM146="","Sin fecha de inicio"&amp;" · ","")&amp;IF($AN146="","Sin fecha límite"&amp;" · ","")&amp;IF(AND(LEFT($C146,11)="[Jefatura] ",N($AL146)=0),"No se encuentra en la hoja de la jefatura (elíjala de nuevo en la lista)"&amp;" · ","")&amp;IF(OR(AND($E146&lt;&gt;"",NOT(ISNUMBER($E146))),AND($F146&lt;&gt;"",NOT(ISNUMBER($F146))),AND($G146&lt;&gt;"",NOT(ISNUMBER($G146)))),"Fecha no válida"&amp;" · ","")&amp;IF(AND(ISNUMBER($AM146),ISNUMBER($AN146),$AM146&gt;$AN146),"Inicio posterior a fecha límite"&amp;" · ","")&amp;IF(AND($V146="Macro",$H146&lt;&gt;"",OR(NOT(ISNUMBER($H146)),$H146&lt;0,$H146&gt;1)),"Peso fuera de rango"&amp;" · ","")&amp;IF(AND($V146="Sub",$H146&lt;&gt;""),"Las subactividades no llevan peso (valen igual dentro de su macroactividad)"&amp;" · ","")&amp;IF(AND(N($W146)&gt;0,COUNT($I146:$L146)&gt;0),"Con subactividades: deje vacías las semanas (se calculan solas)"&amp;" · ","")&amp;IF((COUNTIF($I146:$L146,"&gt;1")+COUNTIF($I146:$L146,"&lt;0")+COUNTA($I146:$L146)-COUNT($I146:$L146))&gt;0,"Avance fuera de rango 0-100%"&amp;" · ","")&amp;IF(OR(AND($J146&lt;&gt;"",$J146&lt;$I146),AND($K146&lt;&gt;"",$K146&lt;MAX($I146:$J146)),AND($L146&lt;&gt;"",$L146&lt;MAX($I146:$K146))),"Avance semanal decreciente"&amp;" · ","")&amp;IF(AND(ISNUMBER($AN146),$AN146&lt;FechaRef,IF($V146="Sub",N($X146),N($M146))&lt;1),"Vencida"&amp;" · ","")&amp;IF(AND(ObsObligatoria="Sí",ISNUMBER($AN146),$AN146&lt;FechaRef,IF($V146="Sub",N($X146),N($M146))&lt;1,$Q146=""),"Vencida sin observación"&amp;" · ",""))="","✔ OK","⚠ "&amp;LEFT(IF($C146="","Falta el nombre de la actividad"&amp;" · ","")&amp;IF(AND($V146="Sub",N($U146)=0),"Subactividad sin macroactividad arriba"&amp;" · ","")&amp;IF($AM146="","Sin fecha de inicio"&amp;" · ","")&amp;IF($AN146="","Sin fecha límite"&amp;" · ","")&amp;IF(AND(LEFT($C146,11)="[Jefatura] ",N($AL146)=0),"No se encuentra en la hoja de la jefatura (elíjala de nuevo en la lista)"&amp;" · ","")&amp;IF(OR(AND($E146&lt;&gt;"",NOT(ISNUMBER($E146))),AND($F146&lt;&gt;"",NOT(ISNUMBER($F146))),AND($G146&lt;&gt;"",NOT(ISNUMBER($G146)))),"Fecha no válida"&amp;" · ","")&amp;IF(AND(ISNUMBER($AM146),ISNUMBER($AN146),$AM146&gt;$AN146),"Inicio posterior a fecha límite"&amp;" · ","")&amp;IF(AND($V146="Macro",$H146&lt;&gt;"",OR(NOT(ISNUMBER($H146)),$H146&lt;0,$H146&gt;1)),"Peso fuera de rango"&amp;" · ","")&amp;IF(AND($V146="Sub",$H146&lt;&gt;""),"Las subactividades no llevan peso (valen igual dentro de su macroactividad)"&amp;" · ","")&amp;IF(AND(N($W146)&gt;0,COUNT($I146:$L146)&gt;0),"Con subactividades: deje vacías las semanas (se calculan solas)"&amp;" · ","")&amp;IF((COUNTIF($I146:$L146,"&gt;1")+COUNTIF($I146:$L146,"&lt;0")+COUNTA($I146:$L146)-COUNT($I146:$L146))&gt;0,"Avance fuera de rango 0-100%"&amp;" · ","")&amp;IF(OR(AND($J146&lt;&gt;"",$J146&lt;$I146),AND($K146&lt;&gt;"",$K146&lt;MAX($I146:$J146)),AND($L146&lt;&gt;"",$L146&lt;MAX($I146:$K146))),"Avance semanal decreciente"&amp;" · ","")&amp;IF(AND(ISNUMBER($AN146),$AN146&lt;FechaRef,IF($V146="Sub",N($X146),N($M146))&lt;1),"Vencida"&amp;" · ","")&amp;IF(AND(ObsObligatoria="Sí",ISNUMBER($AN146),$AN146&lt;FechaRef,IF($V146="Sub",N($X146),N($M146))&lt;1,$Q146=""),"Vencida sin observación"&amp;" · ",""),LEN(IF($C146="","Falta el nombre de la actividad"&amp;" · ","")&amp;IF(AND($V146="Sub",N($U146)=0),"Subactividad sin macroactividad arriba"&amp;" · ","")&amp;IF($AM146="","Sin fecha de inicio"&amp;" · ","")&amp;IF($AN146="","Sin fecha límite"&amp;" · ","")&amp;IF(AND(LEFT($C146,11)="[Jefatura] ",N($AL146)=0),"No se encuentra en la hoja de la jefatura (elíjala de nuevo en la lista)"&amp;" · ","")&amp;IF(OR(AND($E146&lt;&gt;"",NOT(ISNUMBER($E146))),AND($F146&lt;&gt;"",NOT(ISNUMBER($F146))),AND($G146&lt;&gt;"",NOT(ISNUMBER($G146)))),"Fecha no válida"&amp;" · ","")&amp;IF(AND(ISNUMBER($AM146),ISNUMBER($AN146),$AM146&gt;$AN146),"Inicio posterior a fecha límite"&amp;" · ","")&amp;IF(AND($V146="Macro",$H146&lt;&gt;"",OR(NOT(ISNUMBER($H146)),$H146&lt;0,$H146&gt;1)),"Peso fuera de rango"&amp;" · ","")&amp;IF(AND($V146="Sub",$H146&lt;&gt;""),"Las subactividades no llevan peso (valen igual dentro de su macroactividad)"&amp;" · ","")&amp;IF(AND(N($W146)&gt;0,COUNT($I146:$L146)&gt;0),"Con subactividades: deje vacías las semanas (se calculan solas)"&amp;" · ","")&amp;IF((COUNTIF($I146:$L146,"&gt;1")+COUNTIF($I146:$L146,"&lt;0")+COUNTA($I146:$L146)-COUNT($I146:$L146))&gt;0,"Avance fuera de rango 0-100%"&amp;" · ","")&amp;IF(OR(AND($J146&lt;&gt;"",$J146&lt;$I146),AND($K146&lt;&gt;"",$K146&lt;MAX($I146:$J146)),AND($L146&lt;&gt;"",$L146&lt;MAX($I146:$K146))),"Avance semanal decreciente"&amp;" · ","")&amp;IF(AND(ISNUMBER($AN146),$AN146&lt;FechaRef,IF($V146="Sub",N($X146),N($M146))&lt;1),"Vencida"&amp;" · ","")&amp;IF(AND(ObsObligatoria="Sí",ISNUMBER($AN146),$AN146&lt;FechaRef,IF($V146="Sub",N($X146),N($M146))&lt;1,$Q146=""),"Vencida sin observación"&amp;" · ",""))-3)))</f>
        <v/>
      </c>
      <c r="S146" s="64">
        <f>IF(NOT((COUNTA($B146:$D146)+COUNTA($G146:$L146)+COUNTA($Q146))&gt;0),"",IF(AND($V146="Sub",N($U146)&gt;0),IF(ISNUMBER(INDEX($AM$5:$AM$1000,$U146-4)),DATE(YEAR(INDEX($AM$5:$AM$1000,$U146-4)),MONTH(INDEX($AM$5:$AM$1000,$U146-4)),1),IF(ISNUMBER(INDEX($AN$5:$AN$1000,$U146-4)),DATE(YEAR(INDEX($AN$5:$AN$1000,$U146-4)),MONTH(INDEX($AN$5:$AN$1000,$U146-4)),1),MesCiclo)),IF(ISNUMBER($AM146),DATE(YEAR($AM146),MONTH($AM146),1),IF(ISNUMBER($AN146),DATE(YEAR($AN146),MONTH($AN146),1),MesCiclo))))</f>
        <v/>
      </c>
      <c r="T146" s="62">
        <f>IF(OR($S146="",$S146&lt;&gt;MesCiclo,$V146&lt;&gt;"Macro"),"",COUNTIFS($S$5:$S146,MesCiclo,$V$5:$V146,"Macro"))</f>
        <v/>
      </c>
      <c r="U146" s="62">
        <f>IF($V146="","",IF($V146="Macro",ROW(),IFERROR(LOOKUP(2,1/($V$5:$V146="Macro"),ROW($V$5:$V146)),0)))</f>
        <v/>
      </c>
      <c r="V146" s="62">
        <f>IF(NOT((COUNTA($B146:$D146)+COUNTA($G146:$L146)+COUNTA($Q146))&gt;0),"",IF($B146="Subactividad","Sub","Macro"))</f>
        <v/>
      </c>
      <c r="W146" s="62">
        <f>IF($V146="Macro",COUNTIFS($U$5:$U$1000,ROW(),$V$5:$V$1000,"Sub"),"")</f>
        <v/>
      </c>
      <c r="X146" s="62">
        <f>IF($V146="","",IF(ISNUMBER($G146),1,IFERROR(LOOKUP(2,1/($I146:$L146&lt;&gt;""),$I146:$L146),0)))</f>
        <v/>
      </c>
      <c r="Y146" s="62">
        <f>IF($V146="","",IF(AND(ISNUMBER($G146),$G146&lt;=IF($S146=MesCiclo,InicioCiclo,$S146+MOD(2-WEEKDAY($S146),7))+6),1,IF(ISNUMBER($I146),$I146,0)))</f>
        <v/>
      </c>
      <c r="Z146" s="62">
        <f>IF($V146="","",IF(AND(ISNUMBER($G146),$G146&lt;=IF($S146=MesCiclo,InicioCiclo,$S146+MOD(2-WEEKDAY($S146),7))+13),1,IF(ISNUMBER($J146),$J146,$Y146)))</f>
        <v/>
      </c>
      <c r="AA146" s="62">
        <f>IF($V146="","",IF(AND(ISNUMBER($G146),$G146&lt;=IF($S146=MesCiclo,InicioCiclo,$S146+MOD(2-WEEKDAY($S146),7))+20),1,IF(ISNUMBER($K146),$K146,$Z146)))</f>
        <v/>
      </c>
      <c r="AB146" s="62">
        <f>IF($V146="","",IF(AND(ISNUMBER($G146),$G146&lt;=IF($S146=MesCiclo,InicioCiclo,$S146+MOD(2-WEEKDAY($S146),7))+27),1,IF(ISNUMBER($L146),$L146,$AA146)))</f>
        <v/>
      </c>
      <c r="AC146" s="62">
        <f>IF($V146="","",IF(AND(ISNUMBER($G146),$G146&lt;=IF($S146=MesCiclo,InicioCiclo,$S146+MOD(2-WEEKDAY($S146),7))+6),1,IF(N($W146)&gt;0,AVERAGEIFS($Y$5:$Y$1000,$U$5:$U$1000,ROW(),$V$5:$V$1000,"Sub"),$Y146)))</f>
        <v/>
      </c>
      <c r="AD146" s="62">
        <f>IF($V146="","",IF(AND(ISNUMBER($G146),$G146&lt;=IF($S146=MesCiclo,InicioCiclo,$S146+MOD(2-WEEKDAY($S146),7))+13),1,IF(N($W146)&gt;0,AVERAGEIFS($Z$5:$Z$1000,$U$5:$U$1000,ROW(),$V$5:$V$1000,"Sub"),$Z146)))</f>
        <v/>
      </c>
      <c r="AE146" s="62">
        <f>IF($V146="","",IF(AND(ISNUMBER($G146),$G146&lt;=IF($S146=MesCiclo,InicioCiclo,$S146+MOD(2-WEEKDAY($S146),7))+20),1,IF(N($W146)&gt;0,AVERAGEIFS($AA$5:$AA$1000,$U$5:$U$1000,ROW(),$V$5:$V$1000,"Sub"),$AA146)))</f>
        <v/>
      </c>
      <c r="AF146" s="62">
        <f>IF($V146="","",IF(AND(ISNUMBER($G146),$G146&lt;=IF($S146=MesCiclo,InicioCiclo,$S146+MOD(2-WEEKDAY($S146),7))+27),1,IF(N($W146)&gt;0,AVERAGEIFS($AB$5:$AB$1000,$U$5:$U$1000,ROW(),$V$5:$V$1000,"Sub"),$AB146)))</f>
        <v/>
      </c>
      <c r="AG146" s="62">
        <f>IF($V146&lt;&gt;"Macro","",IF(COUNTIFS($S$5:$S$1000,$S146,$V$5:$V$1000,"Macro",$H$5:$H$1000,"&gt;0")=0,1/COUNTIFS($S$5:$S$1000,$S146,$V$5:$V$1000,"Macro"),IF(AND(ISNUMBER($H146),N($H146)&gt;0),$H146,SUMIFS($H$5:$H$1000,$S$5:$S$1000,$S146,$V$5:$V$1000,"Macro")/COUNTIFS($S$5:$S$1000,$S146,$V$5:$V$1000,"Macro",$H$5:$H$1000,"&gt;0"))/(COUNTIFS($S$5:$S$1000,$S146,$V$5:$V$1000,"Macro")*SUMIFS($H$5:$H$1000,$S$5:$S$1000,$S146,$V$5:$V$1000,"Macro")/COUNTIFS($S$5:$S$1000,$S146,$V$5:$V$1000,"Macro",$H$5:$H$1000,"&gt;0"))))</f>
        <v/>
      </c>
      <c r="AH146" s="62" t="n"/>
      <c r="AI146" s="62" t="n"/>
      <c r="AJ146" s="62" t="n"/>
      <c r="AK146" s="62" t="n"/>
      <c r="AL146" s="62">
        <f>IF(LEFT($C146,11)="[Jefatura] ",IFERROR(MATCH("Riesgo Financiero|"&amp;MID($C146,12,500),rDname_ADM,0),0),"")</f>
        <v/>
      </c>
      <c r="AM146" s="62">
        <f>IF(N($AL146)&gt;0,INDEX(rIni_ADM,$AL146),IF(ISNUMBER($E146),$E146,""))</f>
        <v/>
      </c>
      <c r="AN146" s="62">
        <f>IF(N($AL146)&gt;0,INDEX(rLim_ADM,$AL146),IF(ISNUMBER($F146),$F146,""))</f>
        <v/>
      </c>
    </row>
    <row r="147">
      <c r="A147" s="56">
        <f>IF(NOT((COUNTA($B147:$D147)+COUNTA($G147:$L147)+COUNTA($Q147))&gt;0),"",IF($V147="Macro",COUNTIFS($V$5:$V147,"Macro",$S$5:$S147,$S147),IF(N($U147)=0,"?",COUNTIFS(INDEX($V$5:$V$1000,1):INDEX($V$5:$V$1000,$U147-4),"Macro",INDEX($S$5:$S$1000,1):INDEX($S$5:$S$1000,$U147-4),INDEX($S$5:$S$1000,$U147-4))&amp;"."&amp;COUNTIFS($U$5:$U147,$U147,$V$5:$V147,"Sub"))))</f>
        <v/>
      </c>
      <c r="B147" s="57" t="n"/>
      <c r="C147" s="58" t="n"/>
      <c r="D147" s="58" t="n"/>
      <c r="E147" s="59">
        <f>IF(N($AL147)&gt;0,INDEX(rIni_ADM,$AL147),"")</f>
        <v/>
      </c>
      <c r="F147" s="59">
        <f>IF(N($AL147)&gt;0,INDEX(rLim_ADM,$AL147),"")</f>
        <v/>
      </c>
      <c r="G147" s="59" t="n"/>
      <c r="H147" s="60" t="n"/>
      <c r="I147" s="60" t="n"/>
      <c r="J147" s="60" t="n"/>
      <c r="K147" s="60" t="n"/>
      <c r="L147" s="60" t="n"/>
      <c r="M147" s="61">
        <f>IF(NOT((COUNTA($B147:$D147)+COUNTA($G147:$L147)+COUNTA($Q147))&gt;0),"",IF($V147="Sub",IFERROR($X147/INDEX($W$5:$W$1000,$U147-4),""),IF(ISNUMBER($G147),1,IF(N($W147)&gt;0,AVERAGEIFS($X$5:$X$1000,$U$5:$U$1000,ROW(),$V$5:$V$1000,"Sub"),$X147))))</f>
        <v/>
      </c>
      <c r="N147" s="56">
        <f>IF(OR($M147="",$V147="Sub"),"",IF($M147&gt;=1,"Completado",IF($M147&gt;0,"En curso","Pendiente")))</f>
        <v/>
      </c>
      <c r="O147" s="56">
        <f>IF(OR(NOT((COUNTA($B147:$D147)+COUNTA($G147:$L147)+COUNTA($Q147))&gt;0),$V147="Sub"),"",IF(ISNUMBER($G147),IF(AND(ISNUMBER($AN147),$G147&gt;$AN147),"Cumplida con "&amp;($G147-$AN147)&amp;IF($G147-$AN147=1," día"," días")&amp;" de retraso","Cumplida"),IF(N($M147)&gt;=1,"Cumplida",IF(NOT(ISNUMBER($AN147)),"Sin fecha límite",IF($AN147&lt;FechaRef,"Vencida hace "&amp;(FechaRef-$AN147)&amp;IF(FechaRef-$AN147=1," día"," días"),IF($AN147=FechaRef,"Vence hoy",IF($AN147-FechaRef&lt;=DiasAlerta,"Vence en "&amp;($AN147-FechaRef)&amp;IF($AN147-FechaRef=1," día"," días"),"En plazo")))))))</f>
        <v/>
      </c>
      <c r="P147" s="62" t="n"/>
      <c r="Q147" s="58" t="n"/>
      <c r="R147" s="63">
        <f>IF(NOT((COUNTA($B147:$D147)+COUNTA($G147:$L147)+COUNTA($Q147))&gt;0),"",IF((IF($C147="","Falta el nombre de la actividad"&amp;" · ","")&amp;IF(AND($V147="Sub",N($U147)=0),"Subactividad sin macroactividad arriba"&amp;" · ","")&amp;IF($AM147="","Sin fecha de inicio"&amp;" · ","")&amp;IF($AN147="","Sin fecha límite"&amp;" · ","")&amp;IF(AND(LEFT($C147,11)="[Jefatura] ",N($AL147)=0),"No se encuentra en la hoja de la jefatura (elíjala de nuevo en la lista)"&amp;" · ","")&amp;IF(OR(AND($E147&lt;&gt;"",NOT(ISNUMBER($E147))),AND($F147&lt;&gt;"",NOT(ISNUMBER($F147))),AND($G147&lt;&gt;"",NOT(ISNUMBER($G147)))),"Fecha no válida"&amp;" · ","")&amp;IF(AND(ISNUMBER($AM147),ISNUMBER($AN147),$AM147&gt;$AN147),"Inicio posterior a fecha límite"&amp;" · ","")&amp;IF(AND($V147="Macro",$H147&lt;&gt;"",OR(NOT(ISNUMBER($H147)),$H147&lt;0,$H147&gt;1)),"Peso fuera de rango"&amp;" · ","")&amp;IF(AND($V147="Sub",$H147&lt;&gt;""),"Las subactividades no llevan peso (valen igual dentro de su macroactividad)"&amp;" · ","")&amp;IF(AND(N($W147)&gt;0,COUNT($I147:$L147)&gt;0),"Con subactividades: deje vacías las semanas (se calculan solas)"&amp;" · ","")&amp;IF((COUNTIF($I147:$L147,"&gt;1")+COUNTIF($I147:$L147,"&lt;0")+COUNTA($I147:$L147)-COUNT($I147:$L147))&gt;0,"Avance fuera de rango 0-100%"&amp;" · ","")&amp;IF(OR(AND($J147&lt;&gt;"",$J147&lt;$I147),AND($K147&lt;&gt;"",$K147&lt;MAX($I147:$J147)),AND($L147&lt;&gt;"",$L147&lt;MAX($I147:$K147))),"Avance semanal decreciente"&amp;" · ","")&amp;IF(AND(ISNUMBER($AN147),$AN147&lt;FechaRef,IF($V147="Sub",N($X147),N($M147))&lt;1),"Vencida"&amp;" · ","")&amp;IF(AND(ObsObligatoria="Sí",ISNUMBER($AN147),$AN147&lt;FechaRef,IF($V147="Sub",N($X147),N($M147))&lt;1,$Q147=""),"Vencida sin observación"&amp;" · ",""))="","✔ OK","⚠ "&amp;LEFT(IF($C147="","Falta el nombre de la actividad"&amp;" · ","")&amp;IF(AND($V147="Sub",N($U147)=0),"Subactividad sin macroactividad arriba"&amp;" · ","")&amp;IF($AM147="","Sin fecha de inicio"&amp;" · ","")&amp;IF($AN147="","Sin fecha límite"&amp;" · ","")&amp;IF(AND(LEFT($C147,11)="[Jefatura] ",N($AL147)=0),"No se encuentra en la hoja de la jefatura (elíjala de nuevo en la lista)"&amp;" · ","")&amp;IF(OR(AND($E147&lt;&gt;"",NOT(ISNUMBER($E147))),AND($F147&lt;&gt;"",NOT(ISNUMBER($F147))),AND($G147&lt;&gt;"",NOT(ISNUMBER($G147)))),"Fecha no válida"&amp;" · ","")&amp;IF(AND(ISNUMBER($AM147),ISNUMBER($AN147),$AM147&gt;$AN147),"Inicio posterior a fecha límite"&amp;" · ","")&amp;IF(AND($V147="Macro",$H147&lt;&gt;"",OR(NOT(ISNUMBER($H147)),$H147&lt;0,$H147&gt;1)),"Peso fuera de rango"&amp;" · ","")&amp;IF(AND($V147="Sub",$H147&lt;&gt;""),"Las subactividades no llevan peso (valen igual dentro de su macroactividad)"&amp;" · ","")&amp;IF(AND(N($W147)&gt;0,COUNT($I147:$L147)&gt;0),"Con subactividades: deje vacías las semanas (se calculan solas)"&amp;" · ","")&amp;IF((COUNTIF($I147:$L147,"&gt;1")+COUNTIF($I147:$L147,"&lt;0")+COUNTA($I147:$L147)-COUNT($I147:$L147))&gt;0,"Avance fuera de rango 0-100%"&amp;" · ","")&amp;IF(OR(AND($J147&lt;&gt;"",$J147&lt;$I147),AND($K147&lt;&gt;"",$K147&lt;MAX($I147:$J147)),AND($L147&lt;&gt;"",$L147&lt;MAX($I147:$K147))),"Avance semanal decreciente"&amp;" · ","")&amp;IF(AND(ISNUMBER($AN147),$AN147&lt;FechaRef,IF($V147="Sub",N($X147),N($M147))&lt;1),"Vencida"&amp;" · ","")&amp;IF(AND(ObsObligatoria="Sí",ISNUMBER($AN147),$AN147&lt;FechaRef,IF($V147="Sub",N($X147),N($M147))&lt;1,$Q147=""),"Vencida sin observación"&amp;" · ",""),LEN(IF($C147="","Falta el nombre de la actividad"&amp;" · ","")&amp;IF(AND($V147="Sub",N($U147)=0),"Subactividad sin macroactividad arriba"&amp;" · ","")&amp;IF($AM147="","Sin fecha de inicio"&amp;" · ","")&amp;IF($AN147="","Sin fecha límite"&amp;" · ","")&amp;IF(AND(LEFT($C147,11)="[Jefatura] ",N($AL147)=0),"No se encuentra en la hoja de la jefatura (elíjala de nuevo en la lista)"&amp;" · ","")&amp;IF(OR(AND($E147&lt;&gt;"",NOT(ISNUMBER($E147))),AND($F147&lt;&gt;"",NOT(ISNUMBER($F147))),AND($G147&lt;&gt;"",NOT(ISNUMBER($G147)))),"Fecha no válida"&amp;" · ","")&amp;IF(AND(ISNUMBER($AM147),ISNUMBER($AN147),$AM147&gt;$AN147),"Inicio posterior a fecha límite"&amp;" · ","")&amp;IF(AND($V147="Macro",$H147&lt;&gt;"",OR(NOT(ISNUMBER($H147)),$H147&lt;0,$H147&gt;1)),"Peso fuera de rango"&amp;" · ","")&amp;IF(AND($V147="Sub",$H147&lt;&gt;""),"Las subactividades no llevan peso (valen igual dentro de su macroactividad)"&amp;" · ","")&amp;IF(AND(N($W147)&gt;0,COUNT($I147:$L147)&gt;0),"Con subactividades: deje vacías las semanas (se calculan solas)"&amp;" · ","")&amp;IF((COUNTIF($I147:$L147,"&gt;1")+COUNTIF($I147:$L147,"&lt;0")+COUNTA($I147:$L147)-COUNT($I147:$L147))&gt;0,"Avance fuera de rango 0-100%"&amp;" · ","")&amp;IF(OR(AND($J147&lt;&gt;"",$J147&lt;$I147),AND($K147&lt;&gt;"",$K147&lt;MAX($I147:$J147)),AND($L147&lt;&gt;"",$L147&lt;MAX($I147:$K147))),"Avance semanal decreciente"&amp;" · ","")&amp;IF(AND(ISNUMBER($AN147),$AN147&lt;FechaRef,IF($V147="Sub",N($X147),N($M147))&lt;1),"Vencida"&amp;" · ","")&amp;IF(AND(ObsObligatoria="Sí",ISNUMBER($AN147),$AN147&lt;FechaRef,IF($V147="Sub",N($X147),N($M147))&lt;1,$Q147=""),"Vencida sin observación"&amp;" · ",""))-3)))</f>
        <v/>
      </c>
      <c r="S147" s="64">
        <f>IF(NOT((COUNTA($B147:$D147)+COUNTA($G147:$L147)+COUNTA($Q147))&gt;0),"",IF(AND($V147="Sub",N($U147)&gt;0),IF(ISNUMBER(INDEX($AM$5:$AM$1000,$U147-4)),DATE(YEAR(INDEX($AM$5:$AM$1000,$U147-4)),MONTH(INDEX($AM$5:$AM$1000,$U147-4)),1),IF(ISNUMBER(INDEX($AN$5:$AN$1000,$U147-4)),DATE(YEAR(INDEX($AN$5:$AN$1000,$U147-4)),MONTH(INDEX($AN$5:$AN$1000,$U147-4)),1),MesCiclo)),IF(ISNUMBER($AM147),DATE(YEAR($AM147),MONTH($AM147),1),IF(ISNUMBER($AN147),DATE(YEAR($AN147),MONTH($AN147),1),MesCiclo))))</f>
        <v/>
      </c>
      <c r="T147" s="62">
        <f>IF(OR($S147="",$S147&lt;&gt;MesCiclo,$V147&lt;&gt;"Macro"),"",COUNTIFS($S$5:$S147,MesCiclo,$V$5:$V147,"Macro"))</f>
        <v/>
      </c>
      <c r="U147" s="62">
        <f>IF($V147="","",IF($V147="Macro",ROW(),IFERROR(LOOKUP(2,1/($V$5:$V147="Macro"),ROW($V$5:$V147)),0)))</f>
        <v/>
      </c>
      <c r="V147" s="62">
        <f>IF(NOT((COUNTA($B147:$D147)+COUNTA($G147:$L147)+COUNTA($Q147))&gt;0),"",IF($B147="Subactividad","Sub","Macro"))</f>
        <v/>
      </c>
      <c r="W147" s="62">
        <f>IF($V147="Macro",COUNTIFS($U$5:$U$1000,ROW(),$V$5:$V$1000,"Sub"),"")</f>
        <v/>
      </c>
      <c r="X147" s="62">
        <f>IF($V147="","",IF(ISNUMBER($G147),1,IFERROR(LOOKUP(2,1/($I147:$L147&lt;&gt;""),$I147:$L147),0)))</f>
        <v/>
      </c>
      <c r="Y147" s="62">
        <f>IF($V147="","",IF(AND(ISNUMBER($G147),$G147&lt;=IF($S147=MesCiclo,InicioCiclo,$S147+MOD(2-WEEKDAY($S147),7))+6),1,IF(ISNUMBER($I147),$I147,0)))</f>
        <v/>
      </c>
      <c r="Z147" s="62">
        <f>IF($V147="","",IF(AND(ISNUMBER($G147),$G147&lt;=IF($S147=MesCiclo,InicioCiclo,$S147+MOD(2-WEEKDAY($S147),7))+13),1,IF(ISNUMBER($J147),$J147,$Y147)))</f>
        <v/>
      </c>
      <c r="AA147" s="62">
        <f>IF($V147="","",IF(AND(ISNUMBER($G147),$G147&lt;=IF($S147=MesCiclo,InicioCiclo,$S147+MOD(2-WEEKDAY($S147),7))+20),1,IF(ISNUMBER($K147),$K147,$Z147)))</f>
        <v/>
      </c>
      <c r="AB147" s="62">
        <f>IF($V147="","",IF(AND(ISNUMBER($G147),$G147&lt;=IF($S147=MesCiclo,InicioCiclo,$S147+MOD(2-WEEKDAY($S147),7))+27),1,IF(ISNUMBER($L147),$L147,$AA147)))</f>
        <v/>
      </c>
      <c r="AC147" s="62">
        <f>IF($V147="","",IF(AND(ISNUMBER($G147),$G147&lt;=IF($S147=MesCiclo,InicioCiclo,$S147+MOD(2-WEEKDAY($S147),7))+6),1,IF(N($W147)&gt;0,AVERAGEIFS($Y$5:$Y$1000,$U$5:$U$1000,ROW(),$V$5:$V$1000,"Sub"),$Y147)))</f>
        <v/>
      </c>
      <c r="AD147" s="62">
        <f>IF($V147="","",IF(AND(ISNUMBER($G147),$G147&lt;=IF($S147=MesCiclo,InicioCiclo,$S147+MOD(2-WEEKDAY($S147),7))+13),1,IF(N($W147)&gt;0,AVERAGEIFS($Z$5:$Z$1000,$U$5:$U$1000,ROW(),$V$5:$V$1000,"Sub"),$Z147)))</f>
        <v/>
      </c>
      <c r="AE147" s="62">
        <f>IF($V147="","",IF(AND(ISNUMBER($G147),$G147&lt;=IF($S147=MesCiclo,InicioCiclo,$S147+MOD(2-WEEKDAY($S147),7))+20),1,IF(N($W147)&gt;0,AVERAGEIFS($AA$5:$AA$1000,$U$5:$U$1000,ROW(),$V$5:$V$1000,"Sub"),$AA147)))</f>
        <v/>
      </c>
      <c r="AF147" s="62">
        <f>IF($V147="","",IF(AND(ISNUMBER($G147),$G147&lt;=IF($S147=MesCiclo,InicioCiclo,$S147+MOD(2-WEEKDAY($S147),7))+27),1,IF(N($W147)&gt;0,AVERAGEIFS($AB$5:$AB$1000,$U$5:$U$1000,ROW(),$V$5:$V$1000,"Sub"),$AB147)))</f>
        <v/>
      </c>
      <c r="AG147" s="62">
        <f>IF($V147&lt;&gt;"Macro","",IF(COUNTIFS($S$5:$S$1000,$S147,$V$5:$V$1000,"Macro",$H$5:$H$1000,"&gt;0")=0,1/COUNTIFS($S$5:$S$1000,$S147,$V$5:$V$1000,"Macro"),IF(AND(ISNUMBER($H147),N($H147)&gt;0),$H147,SUMIFS($H$5:$H$1000,$S$5:$S$1000,$S147,$V$5:$V$1000,"Macro")/COUNTIFS($S$5:$S$1000,$S147,$V$5:$V$1000,"Macro",$H$5:$H$1000,"&gt;0"))/(COUNTIFS($S$5:$S$1000,$S147,$V$5:$V$1000,"Macro")*SUMIFS($H$5:$H$1000,$S$5:$S$1000,$S147,$V$5:$V$1000,"Macro")/COUNTIFS($S$5:$S$1000,$S147,$V$5:$V$1000,"Macro",$H$5:$H$1000,"&gt;0"))))</f>
        <v/>
      </c>
      <c r="AH147" s="62" t="n"/>
      <c r="AI147" s="62" t="n"/>
      <c r="AJ147" s="62" t="n"/>
      <c r="AK147" s="62" t="n"/>
      <c r="AL147" s="62">
        <f>IF(LEFT($C147,11)="[Jefatura] ",IFERROR(MATCH("Riesgo Financiero|"&amp;MID($C147,12,500),rDname_ADM,0),0),"")</f>
        <v/>
      </c>
      <c r="AM147" s="62">
        <f>IF(N($AL147)&gt;0,INDEX(rIni_ADM,$AL147),IF(ISNUMBER($E147),$E147,""))</f>
        <v/>
      </c>
      <c r="AN147" s="62">
        <f>IF(N($AL147)&gt;0,INDEX(rLim_ADM,$AL147),IF(ISNUMBER($F147),$F147,""))</f>
        <v/>
      </c>
    </row>
    <row r="148">
      <c r="A148" s="56">
        <f>IF(NOT((COUNTA($B148:$D148)+COUNTA($G148:$L148)+COUNTA($Q148))&gt;0),"",IF($V148="Macro",COUNTIFS($V$5:$V148,"Macro",$S$5:$S148,$S148),IF(N($U148)=0,"?",COUNTIFS(INDEX($V$5:$V$1000,1):INDEX($V$5:$V$1000,$U148-4),"Macro",INDEX($S$5:$S$1000,1):INDEX($S$5:$S$1000,$U148-4),INDEX($S$5:$S$1000,$U148-4))&amp;"."&amp;COUNTIFS($U$5:$U148,$U148,$V$5:$V148,"Sub"))))</f>
        <v/>
      </c>
      <c r="B148" s="57" t="n"/>
      <c r="C148" s="58" t="n"/>
      <c r="D148" s="58" t="n"/>
      <c r="E148" s="59">
        <f>IF(N($AL148)&gt;0,INDEX(rIni_ADM,$AL148),"")</f>
        <v/>
      </c>
      <c r="F148" s="59">
        <f>IF(N($AL148)&gt;0,INDEX(rLim_ADM,$AL148),"")</f>
        <v/>
      </c>
      <c r="G148" s="59" t="n"/>
      <c r="H148" s="60" t="n"/>
      <c r="I148" s="60" t="n"/>
      <c r="J148" s="60" t="n"/>
      <c r="K148" s="60" t="n"/>
      <c r="L148" s="60" t="n"/>
      <c r="M148" s="61">
        <f>IF(NOT((COUNTA($B148:$D148)+COUNTA($G148:$L148)+COUNTA($Q148))&gt;0),"",IF($V148="Sub",IFERROR($X148/INDEX($W$5:$W$1000,$U148-4),""),IF(ISNUMBER($G148),1,IF(N($W148)&gt;0,AVERAGEIFS($X$5:$X$1000,$U$5:$U$1000,ROW(),$V$5:$V$1000,"Sub"),$X148))))</f>
        <v/>
      </c>
      <c r="N148" s="56">
        <f>IF(OR($M148="",$V148="Sub"),"",IF($M148&gt;=1,"Completado",IF($M148&gt;0,"En curso","Pendiente")))</f>
        <v/>
      </c>
      <c r="O148" s="56">
        <f>IF(OR(NOT((COUNTA($B148:$D148)+COUNTA($G148:$L148)+COUNTA($Q148))&gt;0),$V148="Sub"),"",IF(ISNUMBER($G148),IF(AND(ISNUMBER($AN148),$G148&gt;$AN148),"Cumplida con "&amp;($G148-$AN148)&amp;IF($G148-$AN148=1," día"," días")&amp;" de retraso","Cumplida"),IF(N($M148)&gt;=1,"Cumplida",IF(NOT(ISNUMBER($AN148)),"Sin fecha límite",IF($AN148&lt;FechaRef,"Vencida hace "&amp;(FechaRef-$AN148)&amp;IF(FechaRef-$AN148=1," día"," días"),IF($AN148=FechaRef,"Vence hoy",IF($AN148-FechaRef&lt;=DiasAlerta,"Vence en "&amp;($AN148-FechaRef)&amp;IF($AN148-FechaRef=1," día"," días"),"En plazo")))))))</f>
        <v/>
      </c>
      <c r="P148" s="62" t="n"/>
      <c r="Q148" s="58" t="n"/>
      <c r="R148" s="63">
        <f>IF(NOT((COUNTA($B148:$D148)+COUNTA($G148:$L148)+COUNTA($Q148))&gt;0),"",IF((IF($C148="","Falta el nombre de la actividad"&amp;" · ","")&amp;IF(AND($V148="Sub",N($U148)=0),"Subactividad sin macroactividad arriba"&amp;" · ","")&amp;IF($AM148="","Sin fecha de inicio"&amp;" · ","")&amp;IF($AN148="","Sin fecha límite"&amp;" · ","")&amp;IF(AND(LEFT($C148,11)="[Jefatura] ",N($AL148)=0),"No se encuentra en la hoja de la jefatura (elíjala de nuevo en la lista)"&amp;" · ","")&amp;IF(OR(AND($E148&lt;&gt;"",NOT(ISNUMBER($E148))),AND($F148&lt;&gt;"",NOT(ISNUMBER($F148))),AND($G148&lt;&gt;"",NOT(ISNUMBER($G148)))),"Fecha no válida"&amp;" · ","")&amp;IF(AND(ISNUMBER($AM148),ISNUMBER($AN148),$AM148&gt;$AN148),"Inicio posterior a fecha límite"&amp;" · ","")&amp;IF(AND($V148="Macro",$H148&lt;&gt;"",OR(NOT(ISNUMBER($H148)),$H148&lt;0,$H148&gt;1)),"Peso fuera de rango"&amp;" · ","")&amp;IF(AND($V148="Sub",$H148&lt;&gt;""),"Las subactividades no llevan peso (valen igual dentro de su macroactividad)"&amp;" · ","")&amp;IF(AND(N($W148)&gt;0,COUNT($I148:$L148)&gt;0),"Con subactividades: deje vacías las semanas (se calculan solas)"&amp;" · ","")&amp;IF((COUNTIF($I148:$L148,"&gt;1")+COUNTIF($I148:$L148,"&lt;0")+COUNTA($I148:$L148)-COUNT($I148:$L148))&gt;0,"Avance fuera de rango 0-100%"&amp;" · ","")&amp;IF(OR(AND($J148&lt;&gt;"",$J148&lt;$I148),AND($K148&lt;&gt;"",$K148&lt;MAX($I148:$J148)),AND($L148&lt;&gt;"",$L148&lt;MAX($I148:$K148))),"Avance semanal decreciente"&amp;" · ","")&amp;IF(AND(ISNUMBER($AN148),$AN148&lt;FechaRef,IF($V148="Sub",N($X148),N($M148))&lt;1),"Vencida"&amp;" · ","")&amp;IF(AND(ObsObligatoria="Sí",ISNUMBER($AN148),$AN148&lt;FechaRef,IF($V148="Sub",N($X148),N($M148))&lt;1,$Q148=""),"Vencida sin observación"&amp;" · ",""))="","✔ OK","⚠ "&amp;LEFT(IF($C148="","Falta el nombre de la actividad"&amp;" · ","")&amp;IF(AND($V148="Sub",N($U148)=0),"Subactividad sin macroactividad arriba"&amp;" · ","")&amp;IF($AM148="","Sin fecha de inicio"&amp;" · ","")&amp;IF($AN148="","Sin fecha límite"&amp;" · ","")&amp;IF(AND(LEFT($C148,11)="[Jefatura] ",N($AL148)=0),"No se encuentra en la hoja de la jefatura (elíjala de nuevo en la lista)"&amp;" · ","")&amp;IF(OR(AND($E148&lt;&gt;"",NOT(ISNUMBER($E148))),AND($F148&lt;&gt;"",NOT(ISNUMBER($F148))),AND($G148&lt;&gt;"",NOT(ISNUMBER($G148)))),"Fecha no válida"&amp;" · ","")&amp;IF(AND(ISNUMBER($AM148),ISNUMBER($AN148),$AM148&gt;$AN148),"Inicio posterior a fecha límite"&amp;" · ","")&amp;IF(AND($V148="Macro",$H148&lt;&gt;"",OR(NOT(ISNUMBER($H148)),$H148&lt;0,$H148&gt;1)),"Peso fuera de rango"&amp;" · ","")&amp;IF(AND($V148="Sub",$H148&lt;&gt;""),"Las subactividades no llevan peso (valen igual dentro de su macroactividad)"&amp;" · ","")&amp;IF(AND(N($W148)&gt;0,COUNT($I148:$L148)&gt;0),"Con subactividades: deje vacías las semanas (se calculan solas)"&amp;" · ","")&amp;IF((COUNTIF($I148:$L148,"&gt;1")+COUNTIF($I148:$L148,"&lt;0")+COUNTA($I148:$L148)-COUNT($I148:$L148))&gt;0,"Avance fuera de rango 0-100%"&amp;" · ","")&amp;IF(OR(AND($J148&lt;&gt;"",$J148&lt;$I148),AND($K148&lt;&gt;"",$K148&lt;MAX($I148:$J148)),AND($L148&lt;&gt;"",$L148&lt;MAX($I148:$K148))),"Avance semanal decreciente"&amp;" · ","")&amp;IF(AND(ISNUMBER($AN148),$AN148&lt;FechaRef,IF($V148="Sub",N($X148),N($M148))&lt;1),"Vencida"&amp;" · ","")&amp;IF(AND(ObsObligatoria="Sí",ISNUMBER($AN148),$AN148&lt;FechaRef,IF($V148="Sub",N($X148),N($M148))&lt;1,$Q148=""),"Vencida sin observación"&amp;" · ",""),LEN(IF($C148="","Falta el nombre de la actividad"&amp;" · ","")&amp;IF(AND($V148="Sub",N($U148)=0),"Subactividad sin macroactividad arriba"&amp;" · ","")&amp;IF($AM148="","Sin fecha de inicio"&amp;" · ","")&amp;IF($AN148="","Sin fecha límite"&amp;" · ","")&amp;IF(AND(LEFT($C148,11)="[Jefatura] ",N($AL148)=0),"No se encuentra en la hoja de la jefatura (elíjala de nuevo en la lista)"&amp;" · ","")&amp;IF(OR(AND($E148&lt;&gt;"",NOT(ISNUMBER($E148))),AND($F148&lt;&gt;"",NOT(ISNUMBER($F148))),AND($G148&lt;&gt;"",NOT(ISNUMBER($G148)))),"Fecha no válida"&amp;" · ","")&amp;IF(AND(ISNUMBER($AM148),ISNUMBER($AN148),$AM148&gt;$AN148),"Inicio posterior a fecha límite"&amp;" · ","")&amp;IF(AND($V148="Macro",$H148&lt;&gt;"",OR(NOT(ISNUMBER($H148)),$H148&lt;0,$H148&gt;1)),"Peso fuera de rango"&amp;" · ","")&amp;IF(AND($V148="Sub",$H148&lt;&gt;""),"Las subactividades no llevan peso (valen igual dentro de su macroactividad)"&amp;" · ","")&amp;IF(AND(N($W148)&gt;0,COUNT($I148:$L148)&gt;0),"Con subactividades: deje vacías las semanas (se calculan solas)"&amp;" · ","")&amp;IF((COUNTIF($I148:$L148,"&gt;1")+COUNTIF($I148:$L148,"&lt;0")+COUNTA($I148:$L148)-COUNT($I148:$L148))&gt;0,"Avance fuera de rango 0-100%"&amp;" · ","")&amp;IF(OR(AND($J148&lt;&gt;"",$J148&lt;$I148),AND($K148&lt;&gt;"",$K148&lt;MAX($I148:$J148)),AND($L148&lt;&gt;"",$L148&lt;MAX($I148:$K148))),"Avance semanal decreciente"&amp;" · ","")&amp;IF(AND(ISNUMBER($AN148),$AN148&lt;FechaRef,IF($V148="Sub",N($X148),N($M148))&lt;1),"Vencida"&amp;" · ","")&amp;IF(AND(ObsObligatoria="Sí",ISNUMBER($AN148),$AN148&lt;FechaRef,IF($V148="Sub",N($X148),N($M148))&lt;1,$Q148=""),"Vencida sin observación"&amp;" · ",""))-3)))</f>
        <v/>
      </c>
      <c r="S148" s="64">
        <f>IF(NOT((COUNTA($B148:$D148)+COUNTA($G148:$L148)+COUNTA($Q148))&gt;0),"",IF(AND($V148="Sub",N($U148)&gt;0),IF(ISNUMBER(INDEX($AM$5:$AM$1000,$U148-4)),DATE(YEAR(INDEX($AM$5:$AM$1000,$U148-4)),MONTH(INDEX($AM$5:$AM$1000,$U148-4)),1),IF(ISNUMBER(INDEX($AN$5:$AN$1000,$U148-4)),DATE(YEAR(INDEX($AN$5:$AN$1000,$U148-4)),MONTH(INDEX($AN$5:$AN$1000,$U148-4)),1),MesCiclo)),IF(ISNUMBER($AM148),DATE(YEAR($AM148),MONTH($AM148),1),IF(ISNUMBER($AN148),DATE(YEAR($AN148),MONTH($AN148),1),MesCiclo))))</f>
        <v/>
      </c>
      <c r="T148" s="62">
        <f>IF(OR($S148="",$S148&lt;&gt;MesCiclo,$V148&lt;&gt;"Macro"),"",COUNTIFS($S$5:$S148,MesCiclo,$V$5:$V148,"Macro"))</f>
        <v/>
      </c>
      <c r="U148" s="62">
        <f>IF($V148="","",IF($V148="Macro",ROW(),IFERROR(LOOKUP(2,1/($V$5:$V148="Macro"),ROW($V$5:$V148)),0)))</f>
        <v/>
      </c>
      <c r="V148" s="62">
        <f>IF(NOT((COUNTA($B148:$D148)+COUNTA($G148:$L148)+COUNTA($Q148))&gt;0),"",IF($B148="Subactividad","Sub","Macro"))</f>
        <v/>
      </c>
      <c r="W148" s="62">
        <f>IF($V148="Macro",COUNTIFS($U$5:$U$1000,ROW(),$V$5:$V$1000,"Sub"),"")</f>
        <v/>
      </c>
      <c r="X148" s="62">
        <f>IF($V148="","",IF(ISNUMBER($G148),1,IFERROR(LOOKUP(2,1/($I148:$L148&lt;&gt;""),$I148:$L148),0)))</f>
        <v/>
      </c>
      <c r="Y148" s="62">
        <f>IF($V148="","",IF(AND(ISNUMBER($G148),$G148&lt;=IF($S148=MesCiclo,InicioCiclo,$S148+MOD(2-WEEKDAY($S148),7))+6),1,IF(ISNUMBER($I148),$I148,0)))</f>
        <v/>
      </c>
      <c r="Z148" s="62">
        <f>IF($V148="","",IF(AND(ISNUMBER($G148),$G148&lt;=IF($S148=MesCiclo,InicioCiclo,$S148+MOD(2-WEEKDAY($S148),7))+13),1,IF(ISNUMBER($J148),$J148,$Y148)))</f>
        <v/>
      </c>
      <c r="AA148" s="62">
        <f>IF($V148="","",IF(AND(ISNUMBER($G148),$G148&lt;=IF($S148=MesCiclo,InicioCiclo,$S148+MOD(2-WEEKDAY($S148),7))+20),1,IF(ISNUMBER($K148),$K148,$Z148)))</f>
        <v/>
      </c>
      <c r="AB148" s="62">
        <f>IF($V148="","",IF(AND(ISNUMBER($G148),$G148&lt;=IF($S148=MesCiclo,InicioCiclo,$S148+MOD(2-WEEKDAY($S148),7))+27),1,IF(ISNUMBER($L148),$L148,$AA148)))</f>
        <v/>
      </c>
      <c r="AC148" s="62">
        <f>IF($V148="","",IF(AND(ISNUMBER($G148),$G148&lt;=IF($S148=MesCiclo,InicioCiclo,$S148+MOD(2-WEEKDAY($S148),7))+6),1,IF(N($W148)&gt;0,AVERAGEIFS($Y$5:$Y$1000,$U$5:$U$1000,ROW(),$V$5:$V$1000,"Sub"),$Y148)))</f>
        <v/>
      </c>
      <c r="AD148" s="62">
        <f>IF($V148="","",IF(AND(ISNUMBER($G148),$G148&lt;=IF($S148=MesCiclo,InicioCiclo,$S148+MOD(2-WEEKDAY($S148),7))+13),1,IF(N($W148)&gt;0,AVERAGEIFS($Z$5:$Z$1000,$U$5:$U$1000,ROW(),$V$5:$V$1000,"Sub"),$Z148)))</f>
        <v/>
      </c>
      <c r="AE148" s="62">
        <f>IF($V148="","",IF(AND(ISNUMBER($G148),$G148&lt;=IF($S148=MesCiclo,InicioCiclo,$S148+MOD(2-WEEKDAY($S148),7))+20),1,IF(N($W148)&gt;0,AVERAGEIFS($AA$5:$AA$1000,$U$5:$U$1000,ROW(),$V$5:$V$1000,"Sub"),$AA148)))</f>
        <v/>
      </c>
      <c r="AF148" s="62">
        <f>IF($V148="","",IF(AND(ISNUMBER($G148),$G148&lt;=IF($S148=MesCiclo,InicioCiclo,$S148+MOD(2-WEEKDAY($S148),7))+27),1,IF(N($W148)&gt;0,AVERAGEIFS($AB$5:$AB$1000,$U$5:$U$1000,ROW(),$V$5:$V$1000,"Sub"),$AB148)))</f>
        <v/>
      </c>
      <c r="AG148" s="62">
        <f>IF($V148&lt;&gt;"Macro","",IF(COUNTIFS($S$5:$S$1000,$S148,$V$5:$V$1000,"Macro",$H$5:$H$1000,"&gt;0")=0,1/COUNTIFS($S$5:$S$1000,$S148,$V$5:$V$1000,"Macro"),IF(AND(ISNUMBER($H148),N($H148)&gt;0),$H148,SUMIFS($H$5:$H$1000,$S$5:$S$1000,$S148,$V$5:$V$1000,"Macro")/COUNTIFS($S$5:$S$1000,$S148,$V$5:$V$1000,"Macro",$H$5:$H$1000,"&gt;0"))/(COUNTIFS($S$5:$S$1000,$S148,$V$5:$V$1000,"Macro")*SUMIFS($H$5:$H$1000,$S$5:$S$1000,$S148,$V$5:$V$1000,"Macro")/COUNTIFS($S$5:$S$1000,$S148,$V$5:$V$1000,"Macro",$H$5:$H$1000,"&gt;0"))))</f>
        <v/>
      </c>
      <c r="AH148" s="62" t="n"/>
      <c r="AI148" s="62" t="n"/>
      <c r="AJ148" s="62" t="n"/>
      <c r="AK148" s="62" t="n"/>
      <c r="AL148" s="62">
        <f>IF(LEFT($C148,11)="[Jefatura] ",IFERROR(MATCH("Riesgo Financiero|"&amp;MID($C148,12,500),rDname_ADM,0),0),"")</f>
        <v/>
      </c>
      <c r="AM148" s="62">
        <f>IF(N($AL148)&gt;0,INDEX(rIni_ADM,$AL148),IF(ISNUMBER($E148),$E148,""))</f>
        <v/>
      </c>
      <c r="AN148" s="62">
        <f>IF(N($AL148)&gt;0,INDEX(rLim_ADM,$AL148),IF(ISNUMBER($F148),$F148,""))</f>
        <v/>
      </c>
    </row>
    <row r="149">
      <c r="A149" s="56">
        <f>IF(NOT((COUNTA($B149:$D149)+COUNTA($G149:$L149)+COUNTA($Q149))&gt;0),"",IF($V149="Macro",COUNTIFS($V$5:$V149,"Macro",$S$5:$S149,$S149),IF(N($U149)=0,"?",COUNTIFS(INDEX($V$5:$V$1000,1):INDEX($V$5:$V$1000,$U149-4),"Macro",INDEX($S$5:$S$1000,1):INDEX($S$5:$S$1000,$U149-4),INDEX($S$5:$S$1000,$U149-4))&amp;"."&amp;COUNTIFS($U$5:$U149,$U149,$V$5:$V149,"Sub"))))</f>
        <v/>
      </c>
      <c r="B149" s="57" t="n"/>
      <c r="C149" s="58" t="n"/>
      <c r="D149" s="58" t="n"/>
      <c r="E149" s="59">
        <f>IF(N($AL149)&gt;0,INDEX(rIni_ADM,$AL149),"")</f>
        <v/>
      </c>
      <c r="F149" s="59">
        <f>IF(N($AL149)&gt;0,INDEX(rLim_ADM,$AL149),"")</f>
        <v/>
      </c>
      <c r="G149" s="59" t="n"/>
      <c r="H149" s="60" t="n"/>
      <c r="I149" s="60" t="n"/>
      <c r="J149" s="60" t="n"/>
      <c r="K149" s="60" t="n"/>
      <c r="L149" s="60" t="n"/>
      <c r="M149" s="61">
        <f>IF(NOT((COUNTA($B149:$D149)+COUNTA($G149:$L149)+COUNTA($Q149))&gt;0),"",IF($V149="Sub",IFERROR($X149/INDEX($W$5:$W$1000,$U149-4),""),IF(ISNUMBER($G149),1,IF(N($W149)&gt;0,AVERAGEIFS($X$5:$X$1000,$U$5:$U$1000,ROW(),$V$5:$V$1000,"Sub"),$X149))))</f>
        <v/>
      </c>
      <c r="N149" s="56">
        <f>IF(OR($M149="",$V149="Sub"),"",IF($M149&gt;=1,"Completado",IF($M149&gt;0,"En curso","Pendiente")))</f>
        <v/>
      </c>
      <c r="O149" s="56">
        <f>IF(OR(NOT((COUNTA($B149:$D149)+COUNTA($G149:$L149)+COUNTA($Q149))&gt;0),$V149="Sub"),"",IF(ISNUMBER($G149),IF(AND(ISNUMBER($AN149),$G149&gt;$AN149),"Cumplida con "&amp;($G149-$AN149)&amp;IF($G149-$AN149=1," día"," días")&amp;" de retraso","Cumplida"),IF(N($M149)&gt;=1,"Cumplida",IF(NOT(ISNUMBER($AN149)),"Sin fecha límite",IF($AN149&lt;FechaRef,"Vencida hace "&amp;(FechaRef-$AN149)&amp;IF(FechaRef-$AN149=1," día"," días"),IF($AN149=FechaRef,"Vence hoy",IF($AN149-FechaRef&lt;=DiasAlerta,"Vence en "&amp;($AN149-FechaRef)&amp;IF($AN149-FechaRef=1," día"," días"),"En plazo")))))))</f>
        <v/>
      </c>
      <c r="P149" s="62" t="n"/>
      <c r="Q149" s="58" t="n"/>
      <c r="R149" s="63">
        <f>IF(NOT((COUNTA($B149:$D149)+COUNTA($G149:$L149)+COUNTA($Q149))&gt;0),"",IF((IF($C149="","Falta el nombre de la actividad"&amp;" · ","")&amp;IF(AND($V149="Sub",N($U149)=0),"Subactividad sin macroactividad arriba"&amp;" · ","")&amp;IF($AM149="","Sin fecha de inicio"&amp;" · ","")&amp;IF($AN149="","Sin fecha límite"&amp;" · ","")&amp;IF(AND(LEFT($C149,11)="[Jefatura] ",N($AL149)=0),"No se encuentra en la hoja de la jefatura (elíjala de nuevo en la lista)"&amp;" · ","")&amp;IF(OR(AND($E149&lt;&gt;"",NOT(ISNUMBER($E149))),AND($F149&lt;&gt;"",NOT(ISNUMBER($F149))),AND($G149&lt;&gt;"",NOT(ISNUMBER($G149)))),"Fecha no válida"&amp;" · ","")&amp;IF(AND(ISNUMBER($AM149),ISNUMBER($AN149),$AM149&gt;$AN149),"Inicio posterior a fecha límite"&amp;" · ","")&amp;IF(AND($V149="Macro",$H149&lt;&gt;"",OR(NOT(ISNUMBER($H149)),$H149&lt;0,$H149&gt;1)),"Peso fuera de rango"&amp;" · ","")&amp;IF(AND($V149="Sub",$H149&lt;&gt;""),"Las subactividades no llevan peso (valen igual dentro de su macroactividad)"&amp;" · ","")&amp;IF(AND(N($W149)&gt;0,COUNT($I149:$L149)&gt;0),"Con subactividades: deje vacías las semanas (se calculan solas)"&amp;" · ","")&amp;IF((COUNTIF($I149:$L149,"&gt;1")+COUNTIF($I149:$L149,"&lt;0")+COUNTA($I149:$L149)-COUNT($I149:$L149))&gt;0,"Avance fuera de rango 0-100%"&amp;" · ","")&amp;IF(OR(AND($J149&lt;&gt;"",$J149&lt;$I149),AND($K149&lt;&gt;"",$K149&lt;MAX($I149:$J149)),AND($L149&lt;&gt;"",$L149&lt;MAX($I149:$K149))),"Avance semanal decreciente"&amp;" · ","")&amp;IF(AND(ISNUMBER($AN149),$AN149&lt;FechaRef,IF($V149="Sub",N($X149),N($M149))&lt;1),"Vencida"&amp;" · ","")&amp;IF(AND(ObsObligatoria="Sí",ISNUMBER($AN149),$AN149&lt;FechaRef,IF($V149="Sub",N($X149),N($M149))&lt;1,$Q149=""),"Vencida sin observación"&amp;" · ",""))="","✔ OK","⚠ "&amp;LEFT(IF($C149="","Falta el nombre de la actividad"&amp;" · ","")&amp;IF(AND($V149="Sub",N($U149)=0),"Subactividad sin macroactividad arriba"&amp;" · ","")&amp;IF($AM149="","Sin fecha de inicio"&amp;" · ","")&amp;IF($AN149="","Sin fecha límite"&amp;" · ","")&amp;IF(AND(LEFT($C149,11)="[Jefatura] ",N($AL149)=0),"No se encuentra en la hoja de la jefatura (elíjala de nuevo en la lista)"&amp;" · ","")&amp;IF(OR(AND($E149&lt;&gt;"",NOT(ISNUMBER($E149))),AND($F149&lt;&gt;"",NOT(ISNUMBER($F149))),AND($G149&lt;&gt;"",NOT(ISNUMBER($G149)))),"Fecha no válida"&amp;" · ","")&amp;IF(AND(ISNUMBER($AM149),ISNUMBER($AN149),$AM149&gt;$AN149),"Inicio posterior a fecha límite"&amp;" · ","")&amp;IF(AND($V149="Macro",$H149&lt;&gt;"",OR(NOT(ISNUMBER($H149)),$H149&lt;0,$H149&gt;1)),"Peso fuera de rango"&amp;" · ","")&amp;IF(AND($V149="Sub",$H149&lt;&gt;""),"Las subactividades no llevan peso (valen igual dentro de su macroactividad)"&amp;" · ","")&amp;IF(AND(N($W149)&gt;0,COUNT($I149:$L149)&gt;0),"Con subactividades: deje vacías las semanas (se calculan solas)"&amp;" · ","")&amp;IF((COUNTIF($I149:$L149,"&gt;1")+COUNTIF($I149:$L149,"&lt;0")+COUNTA($I149:$L149)-COUNT($I149:$L149))&gt;0,"Avance fuera de rango 0-100%"&amp;" · ","")&amp;IF(OR(AND($J149&lt;&gt;"",$J149&lt;$I149),AND($K149&lt;&gt;"",$K149&lt;MAX($I149:$J149)),AND($L149&lt;&gt;"",$L149&lt;MAX($I149:$K149))),"Avance semanal decreciente"&amp;" · ","")&amp;IF(AND(ISNUMBER($AN149),$AN149&lt;FechaRef,IF($V149="Sub",N($X149),N($M149))&lt;1),"Vencida"&amp;" · ","")&amp;IF(AND(ObsObligatoria="Sí",ISNUMBER($AN149),$AN149&lt;FechaRef,IF($V149="Sub",N($X149),N($M149))&lt;1,$Q149=""),"Vencida sin observación"&amp;" · ",""),LEN(IF($C149="","Falta el nombre de la actividad"&amp;" · ","")&amp;IF(AND($V149="Sub",N($U149)=0),"Subactividad sin macroactividad arriba"&amp;" · ","")&amp;IF($AM149="","Sin fecha de inicio"&amp;" · ","")&amp;IF($AN149="","Sin fecha límite"&amp;" · ","")&amp;IF(AND(LEFT($C149,11)="[Jefatura] ",N($AL149)=0),"No se encuentra en la hoja de la jefatura (elíjala de nuevo en la lista)"&amp;" · ","")&amp;IF(OR(AND($E149&lt;&gt;"",NOT(ISNUMBER($E149))),AND($F149&lt;&gt;"",NOT(ISNUMBER($F149))),AND($G149&lt;&gt;"",NOT(ISNUMBER($G149)))),"Fecha no válida"&amp;" · ","")&amp;IF(AND(ISNUMBER($AM149),ISNUMBER($AN149),$AM149&gt;$AN149),"Inicio posterior a fecha límite"&amp;" · ","")&amp;IF(AND($V149="Macro",$H149&lt;&gt;"",OR(NOT(ISNUMBER($H149)),$H149&lt;0,$H149&gt;1)),"Peso fuera de rango"&amp;" · ","")&amp;IF(AND($V149="Sub",$H149&lt;&gt;""),"Las subactividades no llevan peso (valen igual dentro de su macroactividad)"&amp;" · ","")&amp;IF(AND(N($W149)&gt;0,COUNT($I149:$L149)&gt;0),"Con subactividades: deje vacías las semanas (se calculan solas)"&amp;" · ","")&amp;IF((COUNTIF($I149:$L149,"&gt;1")+COUNTIF($I149:$L149,"&lt;0")+COUNTA($I149:$L149)-COUNT($I149:$L149))&gt;0,"Avance fuera de rango 0-100%"&amp;" · ","")&amp;IF(OR(AND($J149&lt;&gt;"",$J149&lt;$I149),AND($K149&lt;&gt;"",$K149&lt;MAX($I149:$J149)),AND($L149&lt;&gt;"",$L149&lt;MAX($I149:$K149))),"Avance semanal decreciente"&amp;" · ","")&amp;IF(AND(ISNUMBER($AN149),$AN149&lt;FechaRef,IF($V149="Sub",N($X149),N($M149))&lt;1),"Vencida"&amp;" · ","")&amp;IF(AND(ObsObligatoria="Sí",ISNUMBER($AN149),$AN149&lt;FechaRef,IF($V149="Sub",N($X149),N($M149))&lt;1,$Q149=""),"Vencida sin observación"&amp;" · ",""))-3)))</f>
        <v/>
      </c>
      <c r="S149" s="64">
        <f>IF(NOT((COUNTA($B149:$D149)+COUNTA($G149:$L149)+COUNTA($Q149))&gt;0),"",IF(AND($V149="Sub",N($U149)&gt;0),IF(ISNUMBER(INDEX($AM$5:$AM$1000,$U149-4)),DATE(YEAR(INDEX($AM$5:$AM$1000,$U149-4)),MONTH(INDEX($AM$5:$AM$1000,$U149-4)),1),IF(ISNUMBER(INDEX($AN$5:$AN$1000,$U149-4)),DATE(YEAR(INDEX($AN$5:$AN$1000,$U149-4)),MONTH(INDEX($AN$5:$AN$1000,$U149-4)),1),MesCiclo)),IF(ISNUMBER($AM149),DATE(YEAR($AM149),MONTH($AM149),1),IF(ISNUMBER($AN149),DATE(YEAR($AN149),MONTH($AN149),1),MesCiclo))))</f>
        <v/>
      </c>
      <c r="T149" s="62">
        <f>IF(OR($S149="",$S149&lt;&gt;MesCiclo,$V149&lt;&gt;"Macro"),"",COUNTIFS($S$5:$S149,MesCiclo,$V$5:$V149,"Macro"))</f>
        <v/>
      </c>
      <c r="U149" s="62">
        <f>IF($V149="","",IF($V149="Macro",ROW(),IFERROR(LOOKUP(2,1/($V$5:$V149="Macro"),ROW($V$5:$V149)),0)))</f>
        <v/>
      </c>
      <c r="V149" s="62">
        <f>IF(NOT((COUNTA($B149:$D149)+COUNTA($G149:$L149)+COUNTA($Q149))&gt;0),"",IF($B149="Subactividad","Sub","Macro"))</f>
        <v/>
      </c>
      <c r="W149" s="62">
        <f>IF($V149="Macro",COUNTIFS($U$5:$U$1000,ROW(),$V$5:$V$1000,"Sub"),"")</f>
        <v/>
      </c>
      <c r="X149" s="62">
        <f>IF($V149="","",IF(ISNUMBER($G149),1,IFERROR(LOOKUP(2,1/($I149:$L149&lt;&gt;""),$I149:$L149),0)))</f>
        <v/>
      </c>
      <c r="Y149" s="62">
        <f>IF($V149="","",IF(AND(ISNUMBER($G149),$G149&lt;=IF($S149=MesCiclo,InicioCiclo,$S149+MOD(2-WEEKDAY($S149),7))+6),1,IF(ISNUMBER($I149),$I149,0)))</f>
        <v/>
      </c>
      <c r="Z149" s="62">
        <f>IF($V149="","",IF(AND(ISNUMBER($G149),$G149&lt;=IF($S149=MesCiclo,InicioCiclo,$S149+MOD(2-WEEKDAY($S149),7))+13),1,IF(ISNUMBER($J149),$J149,$Y149)))</f>
        <v/>
      </c>
      <c r="AA149" s="62">
        <f>IF($V149="","",IF(AND(ISNUMBER($G149),$G149&lt;=IF($S149=MesCiclo,InicioCiclo,$S149+MOD(2-WEEKDAY($S149),7))+20),1,IF(ISNUMBER($K149),$K149,$Z149)))</f>
        <v/>
      </c>
      <c r="AB149" s="62">
        <f>IF($V149="","",IF(AND(ISNUMBER($G149),$G149&lt;=IF($S149=MesCiclo,InicioCiclo,$S149+MOD(2-WEEKDAY($S149),7))+27),1,IF(ISNUMBER($L149),$L149,$AA149)))</f>
        <v/>
      </c>
      <c r="AC149" s="62">
        <f>IF($V149="","",IF(AND(ISNUMBER($G149),$G149&lt;=IF($S149=MesCiclo,InicioCiclo,$S149+MOD(2-WEEKDAY($S149),7))+6),1,IF(N($W149)&gt;0,AVERAGEIFS($Y$5:$Y$1000,$U$5:$U$1000,ROW(),$V$5:$V$1000,"Sub"),$Y149)))</f>
        <v/>
      </c>
      <c r="AD149" s="62">
        <f>IF($V149="","",IF(AND(ISNUMBER($G149),$G149&lt;=IF($S149=MesCiclo,InicioCiclo,$S149+MOD(2-WEEKDAY($S149),7))+13),1,IF(N($W149)&gt;0,AVERAGEIFS($Z$5:$Z$1000,$U$5:$U$1000,ROW(),$V$5:$V$1000,"Sub"),$Z149)))</f>
        <v/>
      </c>
      <c r="AE149" s="62">
        <f>IF($V149="","",IF(AND(ISNUMBER($G149),$G149&lt;=IF($S149=MesCiclo,InicioCiclo,$S149+MOD(2-WEEKDAY($S149),7))+20),1,IF(N($W149)&gt;0,AVERAGEIFS($AA$5:$AA$1000,$U$5:$U$1000,ROW(),$V$5:$V$1000,"Sub"),$AA149)))</f>
        <v/>
      </c>
      <c r="AF149" s="62">
        <f>IF($V149="","",IF(AND(ISNUMBER($G149),$G149&lt;=IF($S149=MesCiclo,InicioCiclo,$S149+MOD(2-WEEKDAY($S149),7))+27),1,IF(N($W149)&gt;0,AVERAGEIFS($AB$5:$AB$1000,$U$5:$U$1000,ROW(),$V$5:$V$1000,"Sub"),$AB149)))</f>
        <v/>
      </c>
      <c r="AG149" s="62">
        <f>IF($V149&lt;&gt;"Macro","",IF(COUNTIFS($S$5:$S$1000,$S149,$V$5:$V$1000,"Macro",$H$5:$H$1000,"&gt;0")=0,1/COUNTIFS($S$5:$S$1000,$S149,$V$5:$V$1000,"Macro"),IF(AND(ISNUMBER($H149),N($H149)&gt;0),$H149,SUMIFS($H$5:$H$1000,$S$5:$S$1000,$S149,$V$5:$V$1000,"Macro")/COUNTIFS($S$5:$S$1000,$S149,$V$5:$V$1000,"Macro",$H$5:$H$1000,"&gt;0"))/(COUNTIFS($S$5:$S$1000,$S149,$V$5:$V$1000,"Macro")*SUMIFS($H$5:$H$1000,$S$5:$S$1000,$S149,$V$5:$V$1000,"Macro")/COUNTIFS($S$5:$S$1000,$S149,$V$5:$V$1000,"Macro",$H$5:$H$1000,"&gt;0"))))</f>
        <v/>
      </c>
      <c r="AH149" s="62" t="n"/>
      <c r="AI149" s="62" t="n"/>
      <c r="AJ149" s="62" t="n"/>
      <c r="AK149" s="62" t="n"/>
      <c r="AL149" s="62">
        <f>IF(LEFT($C149,11)="[Jefatura] ",IFERROR(MATCH("Riesgo Financiero|"&amp;MID($C149,12,500),rDname_ADM,0),0),"")</f>
        <v/>
      </c>
      <c r="AM149" s="62">
        <f>IF(N($AL149)&gt;0,INDEX(rIni_ADM,$AL149),IF(ISNUMBER($E149),$E149,""))</f>
        <v/>
      </c>
      <c r="AN149" s="62">
        <f>IF(N($AL149)&gt;0,INDEX(rLim_ADM,$AL149),IF(ISNUMBER($F149),$F149,""))</f>
        <v/>
      </c>
    </row>
    <row r="150">
      <c r="A150" s="56">
        <f>IF(NOT((COUNTA($B150:$D150)+COUNTA($G150:$L150)+COUNTA($Q150))&gt;0),"",IF($V150="Macro",COUNTIFS($V$5:$V150,"Macro",$S$5:$S150,$S150),IF(N($U150)=0,"?",COUNTIFS(INDEX($V$5:$V$1000,1):INDEX($V$5:$V$1000,$U150-4),"Macro",INDEX($S$5:$S$1000,1):INDEX($S$5:$S$1000,$U150-4),INDEX($S$5:$S$1000,$U150-4))&amp;"."&amp;COUNTIFS($U$5:$U150,$U150,$V$5:$V150,"Sub"))))</f>
        <v/>
      </c>
      <c r="B150" s="57" t="n"/>
      <c r="C150" s="58" t="n"/>
      <c r="D150" s="58" t="n"/>
      <c r="E150" s="59">
        <f>IF(N($AL150)&gt;0,INDEX(rIni_ADM,$AL150),"")</f>
        <v/>
      </c>
      <c r="F150" s="59">
        <f>IF(N($AL150)&gt;0,INDEX(rLim_ADM,$AL150),"")</f>
        <v/>
      </c>
      <c r="G150" s="59" t="n"/>
      <c r="H150" s="60" t="n"/>
      <c r="I150" s="60" t="n"/>
      <c r="J150" s="60" t="n"/>
      <c r="K150" s="60" t="n"/>
      <c r="L150" s="60" t="n"/>
      <c r="M150" s="61">
        <f>IF(NOT((COUNTA($B150:$D150)+COUNTA($G150:$L150)+COUNTA($Q150))&gt;0),"",IF($V150="Sub",IFERROR($X150/INDEX($W$5:$W$1000,$U150-4),""),IF(ISNUMBER($G150),1,IF(N($W150)&gt;0,AVERAGEIFS($X$5:$X$1000,$U$5:$U$1000,ROW(),$V$5:$V$1000,"Sub"),$X150))))</f>
        <v/>
      </c>
      <c r="N150" s="56">
        <f>IF(OR($M150="",$V150="Sub"),"",IF($M150&gt;=1,"Completado",IF($M150&gt;0,"En curso","Pendiente")))</f>
        <v/>
      </c>
      <c r="O150" s="56">
        <f>IF(OR(NOT((COUNTA($B150:$D150)+COUNTA($G150:$L150)+COUNTA($Q150))&gt;0),$V150="Sub"),"",IF(ISNUMBER($G150),IF(AND(ISNUMBER($AN150),$G150&gt;$AN150),"Cumplida con "&amp;($G150-$AN150)&amp;IF($G150-$AN150=1," día"," días")&amp;" de retraso","Cumplida"),IF(N($M150)&gt;=1,"Cumplida",IF(NOT(ISNUMBER($AN150)),"Sin fecha límite",IF($AN150&lt;FechaRef,"Vencida hace "&amp;(FechaRef-$AN150)&amp;IF(FechaRef-$AN150=1," día"," días"),IF($AN150=FechaRef,"Vence hoy",IF($AN150-FechaRef&lt;=DiasAlerta,"Vence en "&amp;($AN150-FechaRef)&amp;IF($AN150-FechaRef=1," día"," días"),"En plazo")))))))</f>
        <v/>
      </c>
      <c r="P150" s="62" t="n"/>
      <c r="Q150" s="58" t="n"/>
      <c r="R150" s="63">
        <f>IF(NOT((COUNTA($B150:$D150)+COUNTA($G150:$L150)+COUNTA($Q150))&gt;0),"",IF((IF($C150="","Falta el nombre de la actividad"&amp;" · ","")&amp;IF(AND($V150="Sub",N($U150)=0),"Subactividad sin macroactividad arriba"&amp;" · ","")&amp;IF($AM150="","Sin fecha de inicio"&amp;" · ","")&amp;IF($AN150="","Sin fecha límite"&amp;" · ","")&amp;IF(AND(LEFT($C150,11)="[Jefatura] ",N($AL150)=0),"No se encuentra en la hoja de la jefatura (elíjala de nuevo en la lista)"&amp;" · ","")&amp;IF(OR(AND($E150&lt;&gt;"",NOT(ISNUMBER($E150))),AND($F150&lt;&gt;"",NOT(ISNUMBER($F150))),AND($G150&lt;&gt;"",NOT(ISNUMBER($G150)))),"Fecha no válida"&amp;" · ","")&amp;IF(AND(ISNUMBER($AM150),ISNUMBER($AN150),$AM150&gt;$AN150),"Inicio posterior a fecha límite"&amp;" · ","")&amp;IF(AND($V150="Macro",$H150&lt;&gt;"",OR(NOT(ISNUMBER($H150)),$H150&lt;0,$H150&gt;1)),"Peso fuera de rango"&amp;" · ","")&amp;IF(AND($V150="Sub",$H150&lt;&gt;""),"Las subactividades no llevan peso (valen igual dentro de su macroactividad)"&amp;" · ","")&amp;IF(AND(N($W150)&gt;0,COUNT($I150:$L150)&gt;0),"Con subactividades: deje vacías las semanas (se calculan solas)"&amp;" · ","")&amp;IF((COUNTIF($I150:$L150,"&gt;1")+COUNTIF($I150:$L150,"&lt;0")+COUNTA($I150:$L150)-COUNT($I150:$L150))&gt;0,"Avance fuera de rango 0-100%"&amp;" · ","")&amp;IF(OR(AND($J150&lt;&gt;"",$J150&lt;$I150),AND($K150&lt;&gt;"",$K150&lt;MAX($I150:$J150)),AND($L150&lt;&gt;"",$L150&lt;MAX($I150:$K150))),"Avance semanal decreciente"&amp;" · ","")&amp;IF(AND(ISNUMBER($AN150),$AN150&lt;FechaRef,IF($V150="Sub",N($X150),N($M150))&lt;1),"Vencida"&amp;" · ","")&amp;IF(AND(ObsObligatoria="Sí",ISNUMBER($AN150),$AN150&lt;FechaRef,IF($V150="Sub",N($X150),N($M150))&lt;1,$Q150=""),"Vencida sin observación"&amp;" · ",""))="","✔ OK","⚠ "&amp;LEFT(IF($C150="","Falta el nombre de la actividad"&amp;" · ","")&amp;IF(AND($V150="Sub",N($U150)=0),"Subactividad sin macroactividad arriba"&amp;" · ","")&amp;IF($AM150="","Sin fecha de inicio"&amp;" · ","")&amp;IF($AN150="","Sin fecha límite"&amp;" · ","")&amp;IF(AND(LEFT($C150,11)="[Jefatura] ",N($AL150)=0),"No se encuentra en la hoja de la jefatura (elíjala de nuevo en la lista)"&amp;" · ","")&amp;IF(OR(AND($E150&lt;&gt;"",NOT(ISNUMBER($E150))),AND($F150&lt;&gt;"",NOT(ISNUMBER($F150))),AND($G150&lt;&gt;"",NOT(ISNUMBER($G150)))),"Fecha no válida"&amp;" · ","")&amp;IF(AND(ISNUMBER($AM150),ISNUMBER($AN150),$AM150&gt;$AN150),"Inicio posterior a fecha límite"&amp;" · ","")&amp;IF(AND($V150="Macro",$H150&lt;&gt;"",OR(NOT(ISNUMBER($H150)),$H150&lt;0,$H150&gt;1)),"Peso fuera de rango"&amp;" · ","")&amp;IF(AND($V150="Sub",$H150&lt;&gt;""),"Las subactividades no llevan peso (valen igual dentro de su macroactividad)"&amp;" · ","")&amp;IF(AND(N($W150)&gt;0,COUNT($I150:$L150)&gt;0),"Con subactividades: deje vacías las semanas (se calculan solas)"&amp;" · ","")&amp;IF((COUNTIF($I150:$L150,"&gt;1")+COUNTIF($I150:$L150,"&lt;0")+COUNTA($I150:$L150)-COUNT($I150:$L150))&gt;0,"Avance fuera de rango 0-100%"&amp;" · ","")&amp;IF(OR(AND($J150&lt;&gt;"",$J150&lt;$I150),AND($K150&lt;&gt;"",$K150&lt;MAX($I150:$J150)),AND($L150&lt;&gt;"",$L150&lt;MAX($I150:$K150))),"Avance semanal decreciente"&amp;" · ","")&amp;IF(AND(ISNUMBER($AN150),$AN150&lt;FechaRef,IF($V150="Sub",N($X150),N($M150))&lt;1),"Vencida"&amp;" · ","")&amp;IF(AND(ObsObligatoria="Sí",ISNUMBER($AN150),$AN150&lt;FechaRef,IF($V150="Sub",N($X150),N($M150))&lt;1,$Q150=""),"Vencida sin observación"&amp;" · ",""),LEN(IF($C150="","Falta el nombre de la actividad"&amp;" · ","")&amp;IF(AND($V150="Sub",N($U150)=0),"Subactividad sin macroactividad arriba"&amp;" · ","")&amp;IF($AM150="","Sin fecha de inicio"&amp;" · ","")&amp;IF($AN150="","Sin fecha límite"&amp;" · ","")&amp;IF(AND(LEFT($C150,11)="[Jefatura] ",N($AL150)=0),"No se encuentra en la hoja de la jefatura (elíjala de nuevo en la lista)"&amp;" · ","")&amp;IF(OR(AND($E150&lt;&gt;"",NOT(ISNUMBER($E150))),AND($F150&lt;&gt;"",NOT(ISNUMBER($F150))),AND($G150&lt;&gt;"",NOT(ISNUMBER($G150)))),"Fecha no válida"&amp;" · ","")&amp;IF(AND(ISNUMBER($AM150),ISNUMBER($AN150),$AM150&gt;$AN150),"Inicio posterior a fecha límite"&amp;" · ","")&amp;IF(AND($V150="Macro",$H150&lt;&gt;"",OR(NOT(ISNUMBER($H150)),$H150&lt;0,$H150&gt;1)),"Peso fuera de rango"&amp;" · ","")&amp;IF(AND($V150="Sub",$H150&lt;&gt;""),"Las subactividades no llevan peso (valen igual dentro de su macroactividad)"&amp;" · ","")&amp;IF(AND(N($W150)&gt;0,COUNT($I150:$L150)&gt;0),"Con subactividades: deje vacías las semanas (se calculan solas)"&amp;" · ","")&amp;IF((COUNTIF($I150:$L150,"&gt;1")+COUNTIF($I150:$L150,"&lt;0")+COUNTA($I150:$L150)-COUNT($I150:$L150))&gt;0,"Avance fuera de rango 0-100%"&amp;" · ","")&amp;IF(OR(AND($J150&lt;&gt;"",$J150&lt;$I150),AND($K150&lt;&gt;"",$K150&lt;MAX($I150:$J150)),AND($L150&lt;&gt;"",$L150&lt;MAX($I150:$K150))),"Avance semanal decreciente"&amp;" · ","")&amp;IF(AND(ISNUMBER($AN150),$AN150&lt;FechaRef,IF($V150="Sub",N($X150),N($M150))&lt;1),"Vencida"&amp;" · ","")&amp;IF(AND(ObsObligatoria="Sí",ISNUMBER($AN150),$AN150&lt;FechaRef,IF($V150="Sub",N($X150),N($M150))&lt;1,$Q150=""),"Vencida sin observación"&amp;" · ",""))-3)))</f>
        <v/>
      </c>
      <c r="S150" s="64">
        <f>IF(NOT((COUNTA($B150:$D150)+COUNTA($G150:$L150)+COUNTA($Q150))&gt;0),"",IF(AND($V150="Sub",N($U150)&gt;0),IF(ISNUMBER(INDEX($AM$5:$AM$1000,$U150-4)),DATE(YEAR(INDEX($AM$5:$AM$1000,$U150-4)),MONTH(INDEX($AM$5:$AM$1000,$U150-4)),1),IF(ISNUMBER(INDEX($AN$5:$AN$1000,$U150-4)),DATE(YEAR(INDEX($AN$5:$AN$1000,$U150-4)),MONTH(INDEX($AN$5:$AN$1000,$U150-4)),1),MesCiclo)),IF(ISNUMBER($AM150),DATE(YEAR($AM150),MONTH($AM150),1),IF(ISNUMBER($AN150),DATE(YEAR($AN150),MONTH($AN150),1),MesCiclo))))</f>
        <v/>
      </c>
      <c r="T150" s="62">
        <f>IF(OR($S150="",$S150&lt;&gt;MesCiclo,$V150&lt;&gt;"Macro"),"",COUNTIFS($S$5:$S150,MesCiclo,$V$5:$V150,"Macro"))</f>
        <v/>
      </c>
      <c r="U150" s="62">
        <f>IF($V150="","",IF($V150="Macro",ROW(),IFERROR(LOOKUP(2,1/($V$5:$V150="Macro"),ROW($V$5:$V150)),0)))</f>
        <v/>
      </c>
      <c r="V150" s="62">
        <f>IF(NOT((COUNTA($B150:$D150)+COUNTA($G150:$L150)+COUNTA($Q150))&gt;0),"",IF($B150="Subactividad","Sub","Macro"))</f>
        <v/>
      </c>
      <c r="W150" s="62">
        <f>IF($V150="Macro",COUNTIFS($U$5:$U$1000,ROW(),$V$5:$V$1000,"Sub"),"")</f>
        <v/>
      </c>
      <c r="X150" s="62">
        <f>IF($V150="","",IF(ISNUMBER($G150),1,IFERROR(LOOKUP(2,1/($I150:$L150&lt;&gt;""),$I150:$L150),0)))</f>
        <v/>
      </c>
      <c r="Y150" s="62">
        <f>IF($V150="","",IF(AND(ISNUMBER($G150),$G150&lt;=IF($S150=MesCiclo,InicioCiclo,$S150+MOD(2-WEEKDAY($S150),7))+6),1,IF(ISNUMBER($I150),$I150,0)))</f>
        <v/>
      </c>
      <c r="Z150" s="62">
        <f>IF($V150="","",IF(AND(ISNUMBER($G150),$G150&lt;=IF($S150=MesCiclo,InicioCiclo,$S150+MOD(2-WEEKDAY($S150),7))+13),1,IF(ISNUMBER($J150),$J150,$Y150)))</f>
        <v/>
      </c>
      <c r="AA150" s="62">
        <f>IF($V150="","",IF(AND(ISNUMBER($G150),$G150&lt;=IF($S150=MesCiclo,InicioCiclo,$S150+MOD(2-WEEKDAY($S150),7))+20),1,IF(ISNUMBER($K150),$K150,$Z150)))</f>
        <v/>
      </c>
      <c r="AB150" s="62">
        <f>IF($V150="","",IF(AND(ISNUMBER($G150),$G150&lt;=IF($S150=MesCiclo,InicioCiclo,$S150+MOD(2-WEEKDAY($S150),7))+27),1,IF(ISNUMBER($L150),$L150,$AA150)))</f>
        <v/>
      </c>
      <c r="AC150" s="62">
        <f>IF($V150="","",IF(AND(ISNUMBER($G150),$G150&lt;=IF($S150=MesCiclo,InicioCiclo,$S150+MOD(2-WEEKDAY($S150),7))+6),1,IF(N($W150)&gt;0,AVERAGEIFS($Y$5:$Y$1000,$U$5:$U$1000,ROW(),$V$5:$V$1000,"Sub"),$Y150)))</f>
        <v/>
      </c>
      <c r="AD150" s="62">
        <f>IF($V150="","",IF(AND(ISNUMBER($G150),$G150&lt;=IF($S150=MesCiclo,InicioCiclo,$S150+MOD(2-WEEKDAY($S150),7))+13),1,IF(N($W150)&gt;0,AVERAGEIFS($Z$5:$Z$1000,$U$5:$U$1000,ROW(),$V$5:$V$1000,"Sub"),$Z150)))</f>
        <v/>
      </c>
      <c r="AE150" s="62">
        <f>IF($V150="","",IF(AND(ISNUMBER($G150),$G150&lt;=IF($S150=MesCiclo,InicioCiclo,$S150+MOD(2-WEEKDAY($S150),7))+20),1,IF(N($W150)&gt;0,AVERAGEIFS($AA$5:$AA$1000,$U$5:$U$1000,ROW(),$V$5:$V$1000,"Sub"),$AA150)))</f>
        <v/>
      </c>
      <c r="AF150" s="62">
        <f>IF($V150="","",IF(AND(ISNUMBER($G150),$G150&lt;=IF($S150=MesCiclo,InicioCiclo,$S150+MOD(2-WEEKDAY($S150),7))+27),1,IF(N($W150)&gt;0,AVERAGEIFS($AB$5:$AB$1000,$U$5:$U$1000,ROW(),$V$5:$V$1000,"Sub"),$AB150)))</f>
        <v/>
      </c>
      <c r="AG150" s="62">
        <f>IF($V150&lt;&gt;"Macro","",IF(COUNTIFS($S$5:$S$1000,$S150,$V$5:$V$1000,"Macro",$H$5:$H$1000,"&gt;0")=0,1/COUNTIFS($S$5:$S$1000,$S150,$V$5:$V$1000,"Macro"),IF(AND(ISNUMBER($H150),N($H150)&gt;0),$H150,SUMIFS($H$5:$H$1000,$S$5:$S$1000,$S150,$V$5:$V$1000,"Macro")/COUNTIFS($S$5:$S$1000,$S150,$V$5:$V$1000,"Macro",$H$5:$H$1000,"&gt;0"))/(COUNTIFS($S$5:$S$1000,$S150,$V$5:$V$1000,"Macro")*SUMIFS($H$5:$H$1000,$S$5:$S$1000,$S150,$V$5:$V$1000,"Macro")/COUNTIFS($S$5:$S$1000,$S150,$V$5:$V$1000,"Macro",$H$5:$H$1000,"&gt;0"))))</f>
        <v/>
      </c>
      <c r="AH150" s="62" t="n"/>
      <c r="AI150" s="62" t="n"/>
      <c r="AJ150" s="62" t="n"/>
      <c r="AK150" s="62" t="n"/>
      <c r="AL150" s="62">
        <f>IF(LEFT($C150,11)="[Jefatura] ",IFERROR(MATCH("Riesgo Financiero|"&amp;MID($C150,12,500),rDname_ADM,0),0),"")</f>
        <v/>
      </c>
      <c r="AM150" s="62">
        <f>IF(N($AL150)&gt;0,INDEX(rIni_ADM,$AL150),IF(ISNUMBER($E150),$E150,""))</f>
        <v/>
      </c>
      <c r="AN150" s="62">
        <f>IF(N($AL150)&gt;0,INDEX(rLim_ADM,$AL150),IF(ISNUMBER($F150),$F150,""))</f>
        <v/>
      </c>
    </row>
    <row r="151">
      <c r="A151" s="56">
        <f>IF(NOT((COUNTA($B151:$D151)+COUNTA($G151:$L151)+COUNTA($Q151))&gt;0),"",IF($V151="Macro",COUNTIFS($V$5:$V151,"Macro",$S$5:$S151,$S151),IF(N($U151)=0,"?",COUNTIFS(INDEX($V$5:$V$1000,1):INDEX($V$5:$V$1000,$U151-4),"Macro",INDEX($S$5:$S$1000,1):INDEX($S$5:$S$1000,$U151-4),INDEX($S$5:$S$1000,$U151-4))&amp;"."&amp;COUNTIFS($U$5:$U151,$U151,$V$5:$V151,"Sub"))))</f>
        <v/>
      </c>
      <c r="B151" s="57" t="n"/>
      <c r="C151" s="58" t="n"/>
      <c r="D151" s="58" t="n"/>
      <c r="E151" s="59">
        <f>IF(N($AL151)&gt;0,INDEX(rIni_ADM,$AL151),"")</f>
        <v/>
      </c>
      <c r="F151" s="59">
        <f>IF(N($AL151)&gt;0,INDEX(rLim_ADM,$AL151),"")</f>
        <v/>
      </c>
      <c r="G151" s="59" t="n"/>
      <c r="H151" s="60" t="n"/>
      <c r="I151" s="60" t="n"/>
      <c r="J151" s="60" t="n"/>
      <c r="K151" s="60" t="n"/>
      <c r="L151" s="60" t="n"/>
      <c r="M151" s="61">
        <f>IF(NOT((COUNTA($B151:$D151)+COUNTA($G151:$L151)+COUNTA($Q151))&gt;0),"",IF($V151="Sub",IFERROR($X151/INDEX($W$5:$W$1000,$U151-4),""),IF(ISNUMBER($G151),1,IF(N($W151)&gt;0,AVERAGEIFS($X$5:$X$1000,$U$5:$U$1000,ROW(),$V$5:$V$1000,"Sub"),$X151))))</f>
        <v/>
      </c>
      <c r="N151" s="56">
        <f>IF(OR($M151="",$V151="Sub"),"",IF($M151&gt;=1,"Completado",IF($M151&gt;0,"En curso","Pendiente")))</f>
        <v/>
      </c>
      <c r="O151" s="56">
        <f>IF(OR(NOT((COUNTA($B151:$D151)+COUNTA($G151:$L151)+COUNTA($Q151))&gt;0),$V151="Sub"),"",IF(ISNUMBER($G151),IF(AND(ISNUMBER($AN151),$G151&gt;$AN151),"Cumplida con "&amp;($G151-$AN151)&amp;IF($G151-$AN151=1," día"," días")&amp;" de retraso","Cumplida"),IF(N($M151)&gt;=1,"Cumplida",IF(NOT(ISNUMBER($AN151)),"Sin fecha límite",IF($AN151&lt;FechaRef,"Vencida hace "&amp;(FechaRef-$AN151)&amp;IF(FechaRef-$AN151=1," día"," días"),IF($AN151=FechaRef,"Vence hoy",IF($AN151-FechaRef&lt;=DiasAlerta,"Vence en "&amp;($AN151-FechaRef)&amp;IF($AN151-FechaRef=1," día"," días"),"En plazo")))))))</f>
        <v/>
      </c>
      <c r="P151" s="62" t="n"/>
      <c r="Q151" s="58" t="n"/>
      <c r="R151" s="63">
        <f>IF(NOT((COUNTA($B151:$D151)+COUNTA($G151:$L151)+COUNTA($Q151))&gt;0),"",IF((IF($C151="","Falta el nombre de la actividad"&amp;" · ","")&amp;IF(AND($V151="Sub",N($U151)=0),"Subactividad sin macroactividad arriba"&amp;" · ","")&amp;IF($AM151="","Sin fecha de inicio"&amp;" · ","")&amp;IF($AN151="","Sin fecha límite"&amp;" · ","")&amp;IF(AND(LEFT($C151,11)="[Jefatura] ",N($AL151)=0),"No se encuentra en la hoja de la jefatura (elíjala de nuevo en la lista)"&amp;" · ","")&amp;IF(OR(AND($E151&lt;&gt;"",NOT(ISNUMBER($E151))),AND($F151&lt;&gt;"",NOT(ISNUMBER($F151))),AND($G151&lt;&gt;"",NOT(ISNUMBER($G151)))),"Fecha no válida"&amp;" · ","")&amp;IF(AND(ISNUMBER($AM151),ISNUMBER($AN151),$AM151&gt;$AN151),"Inicio posterior a fecha límite"&amp;" · ","")&amp;IF(AND($V151="Macro",$H151&lt;&gt;"",OR(NOT(ISNUMBER($H151)),$H151&lt;0,$H151&gt;1)),"Peso fuera de rango"&amp;" · ","")&amp;IF(AND($V151="Sub",$H151&lt;&gt;""),"Las subactividades no llevan peso (valen igual dentro de su macroactividad)"&amp;" · ","")&amp;IF(AND(N($W151)&gt;0,COUNT($I151:$L151)&gt;0),"Con subactividades: deje vacías las semanas (se calculan solas)"&amp;" · ","")&amp;IF((COUNTIF($I151:$L151,"&gt;1")+COUNTIF($I151:$L151,"&lt;0")+COUNTA($I151:$L151)-COUNT($I151:$L151))&gt;0,"Avance fuera de rango 0-100%"&amp;" · ","")&amp;IF(OR(AND($J151&lt;&gt;"",$J151&lt;$I151),AND($K151&lt;&gt;"",$K151&lt;MAX($I151:$J151)),AND($L151&lt;&gt;"",$L151&lt;MAX($I151:$K151))),"Avance semanal decreciente"&amp;" · ","")&amp;IF(AND(ISNUMBER($AN151),$AN151&lt;FechaRef,IF($V151="Sub",N($X151),N($M151))&lt;1),"Vencida"&amp;" · ","")&amp;IF(AND(ObsObligatoria="Sí",ISNUMBER($AN151),$AN151&lt;FechaRef,IF($V151="Sub",N($X151),N($M151))&lt;1,$Q151=""),"Vencida sin observación"&amp;" · ",""))="","✔ OK","⚠ "&amp;LEFT(IF($C151="","Falta el nombre de la actividad"&amp;" · ","")&amp;IF(AND($V151="Sub",N($U151)=0),"Subactividad sin macroactividad arriba"&amp;" · ","")&amp;IF($AM151="","Sin fecha de inicio"&amp;" · ","")&amp;IF($AN151="","Sin fecha límite"&amp;" · ","")&amp;IF(AND(LEFT($C151,11)="[Jefatura] ",N($AL151)=0),"No se encuentra en la hoja de la jefatura (elíjala de nuevo en la lista)"&amp;" · ","")&amp;IF(OR(AND($E151&lt;&gt;"",NOT(ISNUMBER($E151))),AND($F151&lt;&gt;"",NOT(ISNUMBER($F151))),AND($G151&lt;&gt;"",NOT(ISNUMBER($G151)))),"Fecha no válida"&amp;" · ","")&amp;IF(AND(ISNUMBER($AM151),ISNUMBER($AN151),$AM151&gt;$AN151),"Inicio posterior a fecha límite"&amp;" · ","")&amp;IF(AND($V151="Macro",$H151&lt;&gt;"",OR(NOT(ISNUMBER($H151)),$H151&lt;0,$H151&gt;1)),"Peso fuera de rango"&amp;" · ","")&amp;IF(AND($V151="Sub",$H151&lt;&gt;""),"Las subactividades no llevan peso (valen igual dentro de su macroactividad)"&amp;" · ","")&amp;IF(AND(N($W151)&gt;0,COUNT($I151:$L151)&gt;0),"Con subactividades: deje vacías las semanas (se calculan solas)"&amp;" · ","")&amp;IF((COUNTIF($I151:$L151,"&gt;1")+COUNTIF($I151:$L151,"&lt;0")+COUNTA($I151:$L151)-COUNT($I151:$L151))&gt;0,"Avance fuera de rango 0-100%"&amp;" · ","")&amp;IF(OR(AND($J151&lt;&gt;"",$J151&lt;$I151),AND($K151&lt;&gt;"",$K151&lt;MAX($I151:$J151)),AND($L151&lt;&gt;"",$L151&lt;MAX($I151:$K151))),"Avance semanal decreciente"&amp;" · ","")&amp;IF(AND(ISNUMBER($AN151),$AN151&lt;FechaRef,IF($V151="Sub",N($X151),N($M151))&lt;1),"Vencida"&amp;" · ","")&amp;IF(AND(ObsObligatoria="Sí",ISNUMBER($AN151),$AN151&lt;FechaRef,IF($V151="Sub",N($X151),N($M151))&lt;1,$Q151=""),"Vencida sin observación"&amp;" · ",""),LEN(IF($C151="","Falta el nombre de la actividad"&amp;" · ","")&amp;IF(AND($V151="Sub",N($U151)=0),"Subactividad sin macroactividad arriba"&amp;" · ","")&amp;IF($AM151="","Sin fecha de inicio"&amp;" · ","")&amp;IF($AN151="","Sin fecha límite"&amp;" · ","")&amp;IF(AND(LEFT($C151,11)="[Jefatura] ",N($AL151)=0),"No se encuentra en la hoja de la jefatura (elíjala de nuevo en la lista)"&amp;" · ","")&amp;IF(OR(AND($E151&lt;&gt;"",NOT(ISNUMBER($E151))),AND($F151&lt;&gt;"",NOT(ISNUMBER($F151))),AND($G151&lt;&gt;"",NOT(ISNUMBER($G151)))),"Fecha no válida"&amp;" · ","")&amp;IF(AND(ISNUMBER($AM151),ISNUMBER($AN151),$AM151&gt;$AN151),"Inicio posterior a fecha límite"&amp;" · ","")&amp;IF(AND($V151="Macro",$H151&lt;&gt;"",OR(NOT(ISNUMBER($H151)),$H151&lt;0,$H151&gt;1)),"Peso fuera de rango"&amp;" · ","")&amp;IF(AND($V151="Sub",$H151&lt;&gt;""),"Las subactividades no llevan peso (valen igual dentro de su macroactividad)"&amp;" · ","")&amp;IF(AND(N($W151)&gt;0,COUNT($I151:$L151)&gt;0),"Con subactividades: deje vacías las semanas (se calculan solas)"&amp;" · ","")&amp;IF((COUNTIF($I151:$L151,"&gt;1")+COUNTIF($I151:$L151,"&lt;0")+COUNTA($I151:$L151)-COUNT($I151:$L151))&gt;0,"Avance fuera de rango 0-100%"&amp;" · ","")&amp;IF(OR(AND($J151&lt;&gt;"",$J151&lt;$I151),AND($K151&lt;&gt;"",$K151&lt;MAX($I151:$J151)),AND($L151&lt;&gt;"",$L151&lt;MAX($I151:$K151))),"Avance semanal decreciente"&amp;" · ","")&amp;IF(AND(ISNUMBER($AN151),$AN151&lt;FechaRef,IF($V151="Sub",N($X151),N($M151))&lt;1),"Vencida"&amp;" · ","")&amp;IF(AND(ObsObligatoria="Sí",ISNUMBER($AN151),$AN151&lt;FechaRef,IF($V151="Sub",N($X151),N($M151))&lt;1,$Q151=""),"Vencida sin observación"&amp;" · ",""))-3)))</f>
        <v/>
      </c>
      <c r="S151" s="64">
        <f>IF(NOT((COUNTA($B151:$D151)+COUNTA($G151:$L151)+COUNTA($Q151))&gt;0),"",IF(AND($V151="Sub",N($U151)&gt;0),IF(ISNUMBER(INDEX($AM$5:$AM$1000,$U151-4)),DATE(YEAR(INDEX($AM$5:$AM$1000,$U151-4)),MONTH(INDEX($AM$5:$AM$1000,$U151-4)),1),IF(ISNUMBER(INDEX($AN$5:$AN$1000,$U151-4)),DATE(YEAR(INDEX($AN$5:$AN$1000,$U151-4)),MONTH(INDEX($AN$5:$AN$1000,$U151-4)),1),MesCiclo)),IF(ISNUMBER($AM151),DATE(YEAR($AM151),MONTH($AM151),1),IF(ISNUMBER($AN151),DATE(YEAR($AN151),MONTH($AN151),1),MesCiclo))))</f>
        <v/>
      </c>
      <c r="T151" s="62">
        <f>IF(OR($S151="",$S151&lt;&gt;MesCiclo,$V151&lt;&gt;"Macro"),"",COUNTIFS($S$5:$S151,MesCiclo,$V$5:$V151,"Macro"))</f>
        <v/>
      </c>
      <c r="U151" s="62">
        <f>IF($V151="","",IF($V151="Macro",ROW(),IFERROR(LOOKUP(2,1/($V$5:$V151="Macro"),ROW($V$5:$V151)),0)))</f>
        <v/>
      </c>
      <c r="V151" s="62">
        <f>IF(NOT((COUNTA($B151:$D151)+COUNTA($G151:$L151)+COUNTA($Q151))&gt;0),"",IF($B151="Subactividad","Sub","Macro"))</f>
        <v/>
      </c>
      <c r="W151" s="62">
        <f>IF($V151="Macro",COUNTIFS($U$5:$U$1000,ROW(),$V$5:$V$1000,"Sub"),"")</f>
        <v/>
      </c>
      <c r="X151" s="62">
        <f>IF($V151="","",IF(ISNUMBER($G151),1,IFERROR(LOOKUP(2,1/($I151:$L151&lt;&gt;""),$I151:$L151),0)))</f>
        <v/>
      </c>
      <c r="Y151" s="62">
        <f>IF($V151="","",IF(AND(ISNUMBER($G151),$G151&lt;=IF($S151=MesCiclo,InicioCiclo,$S151+MOD(2-WEEKDAY($S151),7))+6),1,IF(ISNUMBER($I151),$I151,0)))</f>
        <v/>
      </c>
      <c r="Z151" s="62">
        <f>IF($V151="","",IF(AND(ISNUMBER($G151),$G151&lt;=IF($S151=MesCiclo,InicioCiclo,$S151+MOD(2-WEEKDAY($S151),7))+13),1,IF(ISNUMBER($J151),$J151,$Y151)))</f>
        <v/>
      </c>
      <c r="AA151" s="62">
        <f>IF($V151="","",IF(AND(ISNUMBER($G151),$G151&lt;=IF($S151=MesCiclo,InicioCiclo,$S151+MOD(2-WEEKDAY($S151),7))+20),1,IF(ISNUMBER($K151),$K151,$Z151)))</f>
        <v/>
      </c>
      <c r="AB151" s="62">
        <f>IF($V151="","",IF(AND(ISNUMBER($G151),$G151&lt;=IF($S151=MesCiclo,InicioCiclo,$S151+MOD(2-WEEKDAY($S151),7))+27),1,IF(ISNUMBER($L151),$L151,$AA151)))</f>
        <v/>
      </c>
      <c r="AC151" s="62">
        <f>IF($V151="","",IF(AND(ISNUMBER($G151),$G151&lt;=IF($S151=MesCiclo,InicioCiclo,$S151+MOD(2-WEEKDAY($S151),7))+6),1,IF(N($W151)&gt;0,AVERAGEIFS($Y$5:$Y$1000,$U$5:$U$1000,ROW(),$V$5:$V$1000,"Sub"),$Y151)))</f>
        <v/>
      </c>
      <c r="AD151" s="62">
        <f>IF($V151="","",IF(AND(ISNUMBER($G151),$G151&lt;=IF($S151=MesCiclo,InicioCiclo,$S151+MOD(2-WEEKDAY($S151),7))+13),1,IF(N($W151)&gt;0,AVERAGEIFS($Z$5:$Z$1000,$U$5:$U$1000,ROW(),$V$5:$V$1000,"Sub"),$Z151)))</f>
        <v/>
      </c>
      <c r="AE151" s="62">
        <f>IF($V151="","",IF(AND(ISNUMBER($G151),$G151&lt;=IF($S151=MesCiclo,InicioCiclo,$S151+MOD(2-WEEKDAY($S151),7))+20),1,IF(N($W151)&gt;0,AVERAGEIFS($AA$5:$AA$1000,$U$5:$U$1000,ROW(),$V$5:$V$1000,"Sub"),$AA151)))</f>
        <v/>
      </c>
      <c r="AF151" s="62">
        <f>IF($V151="","",IF(AND(ISNUMBER($G151),$G151&lt;=IF($S151=MesCiclo,InicioCiclo,$S151+MOD(2-WEEKDAY($S151),7))+27),1,IF(N($W151)&gt;0,AVERAGEIFS($AB$5:$AB$1000,$U$5:$U$1000,ROW(),$V$5:$V$1000,"Sub"),$AB151)))</f>
        <v/>
      </c>
      <c r="AG151" s="62">
        <f>IF($V151&lt;&gt;"Macro","",IF(COUNTIFS($S$5:$S$1000,$S151,$V$5:$V$1000,"Macro",$H$5:$H$1000,"&gt;0")=0,1/COUNTIFS($S$5:$S$1000,$S151,$V$5:$V$1000,"Macro"),IF(AND(ISNUMBER($H151),N($H151)&gt;0),$H151,SUMIFS($H$5:$H$1000,$S$5:$S$1000,$S151,$V$5:$V$1000,"Macro")/COUNTIFS($S$5:$S$1000,$S151,$V$5:$V$1000,"Macro",$H$5:$H$1000,"&gt;0"))/(COUNTIFS($S$5:$S$1000,$S151,$V$5:$V$1000,"Macro")*SUMIFS($H$5:$H$1000,$S$5:$S$1000,$S151,$V$5:$V$1000,"Macro")/COUNTIFS($S$5:$S$1000,$S151,$V$5:$V$1000,"Macro",$H$5:$H$1000,"&gt;0"))))</f>
        <v/>
      </c>
      <c r="AH151" s="62" t="n"/>
      <c r="AI151" s="62" t="n"/>
      <c r="AJ151" s="62" t="n"/>
      <c r="AK151" s="62" t="n"/>
      <c r="AL151" s="62">
        <f>IF(LEFT($C151,11)="[Jefatura] ",IFERROR(MATCH("Riesgo Financiero|"&amp;MID($C151,12,500),rDname_ADM,0),0),"")</f>
        <v/>
      </c>
      <c r="AM151" s="62">
        <f>IF(N($AL151)&gt;0,INDEX(rIni_ADM,$AL151),IF(ISNUMBER($E151),$E151,""))</f>
        <v/>
      </c>
      <c r="AN151" s="62">
        <f>IF(N($AL151)&gt;0,INDEX(rLim_ADM,$AL151),IF(ISNUMBER($F151),$F151,""))</f>
        <v/>
      </c>
    </row>
    <row r="152">
      <c r="A152" s="56">
        <f>IF(NOT((COUNTA($B152:$D152)+COUNTA($G152:$L152)+COUNTA($Q152))&gt;0),"",IF($V152="Macro",COUNTIFS($V$5:$V152,"Macro",$S$5:$S152,$S152),IF(N($U152)=0,"?",COUNTIFS(INDEX($V$5:$V$1000,1):INDEX($V$5:$V$1000,$U152-4),"Macro",INDEX($S$5:$S$1000,1):INDEX($S$5:$S$1000,$U152-4),INDEX($S$5:$S$1000,$U152-4))&amp;"."&amp;COUNTIFS($U$5:$U152,$U152,$V$5:$V152,"Sub"))))</f>
        <v/>
      </c>
      <c r="B152" s="57" t="n"/>
      <c r="C152" s="58" t="n"/>
      <c r="D152" s="58" t="n"/>
      <c r="E152" s="59">
        <f>IF(N($AL152)&gt;0,INDEX(rIni_ADM,$AL152),"")</f>
        <v/>
      </c>
      <c r="F152" s="59">
        <f>IF(N($AL152)&gt;0,INDEX(rLim_ADM,$AL152),"")</f>
        <v/>
      </c>
      <c r="G152" s="59" t="n"/>
      <c r="H152" s="60" t="n"/>
      <c r="I152" s="60" t="n"/>
      <c r="J152" s="60" t="n"/>
      <c r="K152" s="60" t="n"/>
      <c r="L152" s="60" t="n"/>
      <c r="M152" s="61">
        <f>IF(NOT((COUNTA($B152:$D152)+COUNTA($G152:$L152)+COUNTA($Q152))&gt;0),"",IF($V152="Sub",IFERROR($X152/INDEX($W$5:$W$1000,$U152-4),""),IF(ISNUMBER($G152),1,IF(N($W152)&gt;0,AVERAGEIFS($X$5:$X$1000,$U$5:$U$1000,ROW(),$V$5:$V$1000,"Sub"),$X152))))</f>
        <v/>
      </c>
      <c r="N152" s="56">
        <f>IF(OR($M152="",$V152="Sub"),"",IF($M152&gt;=1,"Completado",IF($M152&gt;0,"En curso","Pendiente")))</f>
        <v/>
      </c>
      <c r="O152" s="56">
        <f>IF(OR(NOT((COUNTA($B152:$D152)+COUNTA($G152:$L152)+COUNTA($Q152))&gt;0),$V152="Sub"),"",IF(ISNUMBER($G152),IF(AND(ISNUMBER($AN152),$G152&gt;$AN152),"Cumplida con "&amp;($G152-$AN152)&amp;IF($G152-$AN152=1," día"," días")&amp;" de retraso","Cumplida"),IF(N($M152)&gt;=1,"Cumplida",IF(NOT(ISNUMBER($AN152)),"Sin fecha límite",IF($AN152&lt;FechaRef,"Vencida hace "&amp;(FechaRef-$AN152)&amp;IF(FechaRef-$AN152=1," día"," días"),IF($AN152=FechaRef,"Vence hoy",IF($AN152-FechaRef&lt;=DiasAlerta,"Vence en "&amp;($AN152-FechaRef)&amp;IF($AN152-FechaRef=1," día"," días"),"En plazo")))))))</f>
        <v/>
      </c>
      <c r="P152" s="62" t="n"/>
      <c r="Q152" s="58" t="n"/>
      <c r="R152" s="63">
        <f>IF(NOT((COUNTA($B152:$D152)+COUNTA($G152:$L152)+COUNTA($Q152))&gt;0),"",IF((IF($C152="","Falta el nombre de la actividad"&amp;" · ","")&amp;IF(AND($V152="Sub",N($U152)=0),"Subactividad sin macroactividad arriba"&amp;" · ","")&amp;IF($AM152="","Sin fecha de inicio"&amp;" · ","")&amp;IF($AN152="","Sin fecha límite"&amp;" · ","")&amp;IF(AND(LEFT($C152,11)="[Jefatura] ",N($AL152)=0),"No se encuentra en la hoja de la jefatura (elíjala de nuevo en la lista)"&amp;" · ","")&amp;IF(OR(AND($E152&lt;&gt;"",NOT(ISNUMBER($E152))),AND($F152&lt;&gt;"",NOT(ISNUMBER($F152))),AND($G152&lt;&gt;"",NOT(ISNUMBER($G152)))),"Fecha no válida"&amp;" · ","")&amp;IF(AND(ISNUMBER($AM152),ISNUMBER($AN152),$AM152&gt;$AN152),"Inicio posterior a fecha límite"&amp;" · ","")&amp;IF(AND($V152="Macro",$H152&lt;&gt;"",OR(NOT(ISNUMBER($H152)),$H152&lt;0,$H152&gt;1)),"Peso fuera de rango"&amp;" · ","")&amp;IF(AND($V152="Sub",$H152&lt;&gt;""),"Las subactividades no llevan peso (valen igual dentro de su macroactividad)"&amp;" · ","")&amp;IF(AND(N($W152)&gt;0,COUNT($I152:$L152)&gt;0),"Con subactividades: deje vacías las semanas (se calculan solas)"&amp;" · ","")&amp;IF((COUNTIF($I152:$L152,"&gt;1")+COUNTIF($I152:$L152,"&lt;0")+COUNTA($I152:$L152)-COUNT($I152:$L152))&gt;0,"Avance fuera de rango 0-100%"&amp;" · ","")&amp;IF(OR(AND($J152&lt;&gt;"",$J152&lt;$I152),AND($K152&lt;&gt;"",$K152&lt;MAX($I152:$J152)),AND($L152&lt;&gt;"",$L152&lt;MAX($I152:$K152))),"Avance semanal decreciente"&amp;" · ","")&amp;IF(AND(ISNUMBER($AN152),$AN152&lt;FechaRef,IF($V152="Sub",N($X152),N($M152))&lt;1),"Vencida"&amp;" · ","")&amp;IF(AND(ObsObligatoria="Sí",ISNUMBER($AN152),$AN152&lt;FechaRef,IF($V152="Sub",N($X152),N($M152))&lt;1,$Q152=""),"Vencida sin observación"&amp;" · ",""))="","✔ OK","⚠ "&amp;LEFT(IF($C152="","Falta el nombre de la actividad"&amp;" · ","")&amp;IF(AND($V152="Sub",N($U152)=0),"Subactividad sin macroactividad arriba"&amp;" · ","")&amp;IF($AM152="","Sin fecha de inicio"&amp;" · ","")&amp;IF($AN152="","Sin fecha límite"&amp;" · ","")&amp;IF(AND(LEFT($C152,11)="[Jefatura] ",N($AL152)=0),"No se encuentra en la hoja de la jefatura (elíjala de nuevo en la lista)"&amp;" · ","")&amp;IF(OR(AND($E152&lt;&gt;"",NOT(ISNUMBER($E152))),AND($F152&lt;&gt;"",NOT(ISNUMBER($F152))),AND($G152&lt;&gt;"",NOT(ISNUMBER($G152)))),"Fecha no válida"&amp;" · ","")&amp;IF(AND(ISNUMBER($AM152),ISNUMBER($AN152),$AM152&gt;$AN152),"Inicio posterior a fecha límite"&amp;" · ","")&amp;IF(AND($V152="Macro",$H152&lt;&gt;"",OR(NOT(ISNUMBER($H152)),$H152&lt;0,$H152&gt;1)),"Peso fuera de rango"&amp;" · ","")&amp;IF(AND($V152="Sub",$H152&lt;&gt;""),"Las subactividades no llevan peso (valen igual dentro de su macroactividad)"&amp;" · ","")&amp;IF(AND(N($W152)&gt;0,COUNT($I152:$L152)&gt;0),"Con subactividades: deje vacías las semanas (se calculan solas)"&amp;" · ","")&amp;IF((COUNTIF($I152:$L152,"&gt;1")+COUNTIF($I152:$L152,"&lt;0")+COUNTA($I152:$L152)-COUNT($I152:$L152))&gt;0,"Avance fuera de rango 0-100%"&amp;" · ","")&amp;IF(OR(AND($J152&lt;&gt;"",$J152&lt;$I152),AND($K152&lt;&gt;"",$K152&lt;MAX($I152:$J152)),AND($L152&lt;&gt;"",$L152&lt;MAX($I152:$K152))),"Avance semanal decreciente"&amp;" · ","")&amp;IF(AND(ISNUMBER($AN152),$AN152&lt;FechaRef,IF($V152="Sub",N($X152),N($M152))&lt;1),"Vencida"&amp;" · ","")&amp;IF(AND(ObsObligatoria="Sí",ISNUMBER($AN152),$AN152&lt;FechaRef,IF($V152="Sub",N($X152),N($M152))&lt;1,$Q152=""),"Vencida sin observación"&amp;" · ",""),LEN(IF($C152="","Falta el nombre de la actividad"&amp;" · ","")&amp;IF(AND($V152="Sub",N($U152)=0),"Subactividad sin macroactividad arriba"&amp;" · ","")&amp;IF($AM152="","Sin fecha de inicio"&amp;" · ","")&amp;IF($AN152="","Sin fecha límite"&amp;" · ","")&amp;IF(AND(LEFT($C152,11)="[Jefatura] ",N($AL152)=0),"No se encuentra en la hoja de la jefatura (elíjala de nuevo en la lista)"&amp;" · ","")&amp;IF(OR(AND($E152&lt;&gt;"",NOT(ISNUMBER($E152))),AND($F152&lt;&gt;"",NOT(ISNUMBER($F152))),AND($G152&lt;&gt;"",NOT(ISNUMBER($G152)))),"Fecha no válida"&amp;" · ","")&amp;IF(AND(ISNUMBER($AM152),ISNUMBER($AN152),$AM152&gt;$AN152),"Inicio posterior a fecha límite"&amp;" · ","")&amp;IF(AND($V152="Macro",$H152&lt;&gt;"",OR(NOT(ISNUMBER($H152)),$H152&lt;0,$H152&gt;1)),"Peso fuera de rango"&amp;" · ","")&amp;IF(AND($V152="Sub",$H152&lt;&gt;""),"Las subactividades no llevan peso (valen igual dentro de su macroactividad)"&amp;" · ","")&amp;IF(AND(N($W152)&gt;0,COUNT($I152:$L152)&gt;0),"Con subactividades: deje vacías las semanas (se calculan solas)"&amp;" · ","")&amp;IF((COUNTIF($I152:$L152,"&gt;1")+COUNTIF($I152:$L152,"&lt;0")+COUNTA($I152:$L152)-COUNT($I152:$L152))&gt;0,"Avance fuera de rango 0-100%"&amp;" · ","")&amp;IF(OR(AND($J152&lt;&gt;"",$J152&lt;$I152),AND($K152&lt;&gt;"",$K152&lt;MAX($I152:$J152)),AND($L152&lt;&gt;"",$L152&lt;MAX($I152:$K152))),"Avance semanal decreciente"&amp;" · ","")&amp;IF(AND(ISNUMBER($AN152),$AN152&lt;FechaRef,IF($V152="Sub",N($X152),N($M152))&lt;1),"Vencida"&amp;" · ","")&amp;IF(AND(ObsObligatoria="Sí",ISNUMBER($AN152),$AN152&lt;FechaRef,IF($V152="Sub",N($X152),N($M152))&lt;1,$Q152=""),"Vencida sin observación"&amp;" · ",""))-3)))</f>
        <v/>
      </c>
      <c r="S152" s="64">
        <f>IF(NOT((COUNTA($B152:$D152)+COUNTA($G152:$L152)+COUNTA($Q152))&gt;0),"",IF(AND($V152="Sub",N($U152)&gt;0),IF(ISNUMBER(INDEX($AM$5:$AM$1000,$U152-4)),DATE(YEAR(INDEX($AM$5:$AM$1000,$U152-4)),MONTH(INDEX($AM$5:$AM$1000,$U152-4)),1),IF(ISNUMBER(INDEX($AN$5:$AN$1000,$U152-4)),DATE(YEAR(INDEX($AN$5:$AN$1000,$U152-4)),MONTH(INDEX($AN$5:$AN$1000,$U152-4)),1),MesCiclo)),IF(ISNUMBER($AM152),DATE(YEAR($AM152),MONTH($AM152),1),IF(ISNUMBER($AN152),DATE(YEAR($AN152),MONTH($AN152),1),MesCiclo))))</f>
        <v/>
      </c>
      <c r="T152" s="62">
        <f>IF(OR($S152="",$S152&lt;&gt;MesCiclo,$V152&lt;&gt;"Macro"),"",COUNTIFS($S$5:$S152,MesCiclo,$V$5:$V152,"Macro"))</f>
        <v/>
      </c>
      <c r="U152" s="62">
        <f>IF($V152="","",IF($V152="Macro",ROW(),IFERROR(LOOKUP(2,1/($V$5:$V152="Macro"),ROW($V$5:$V152)),0)))</f>
        <v/>
      </c>
      <c r="V152" s="62">
        <f>IF(NOT((COUNTA($B152:$D152)+COUNTA($G152:$L152)+COUNTA($Q152))&gt;0),"",IF($B152="Subactividad","Sub","Macro"))</f>
        <v/>
      </c>
      <c r="W152" s="62">
        <f>IF($V152="Macro",COUNTIFS($U$5:$U$1000,ROW(),$V$5:$V$1000,"Sub"),"")</f>
        <v/>
      </c>
      <c r="X152" s="62">
        <f>IF($V152="","",IF(ISNUMBER($G152),1,IFERROR(LOOKUP(2,1/($I152:$L152&lt;&gt;""),$I152:$L152),0)))</f>
        <v/>
      </c>
      <c r="Y152" s="62">
        <f>IF($V152="","",IF(AND(ISNUMBER($G152),$G152&lt;=IF($S152=MesCiclo,InicioCiclo,$S152+MOD(2-WEEKDAY($S152),7))+6),1,IF(ISNUMBER($I152),$I152,0)))</f>
        <v/>
      </c>
      <c r="Z152" s="62">
        <f>IF($V152="","",IF(AND(ISNUMBER($G152),$G152&lt;=IF($S152=MesCiclo,InicioCiclo,$S152+MOD(2-WEEKDAY($S152),7))+13),1,IF(ISNUMBER($J152),$J152,$Y152)))</f>
        <v/>
      </c>
      <c r="AA152" s="62">
        <f>IF($V152="","",IF(AND(ISNUMBER($G152),$G152&lt;=IF($S152=MesCiclo,InicioCiclo,$S152+MOD(2-WEEKDAY($S152),7))+20),1,IF(ISNUMBER($K152),$K152,$Z152)))</f>
        <v/>
      </c>
      <c r="AB152" s="62">
        <f>IF($V152="","",IF(AND(ISNUMBER($G152),$G152&lt;=IF($S152=MesCiclo,InicioCiclo,$S152+MOD(2-WEEKDAY($S152),7))+27),1,IF(ISNUMBER($L152),$L152,$AA152)))</f>
        <v/>
      </c>
      <c r="AC152" s="62">
        <f>IF($V152="","",IF(AND(ISNUMBER($G152),$G152&lt;=IF($S152=MesCiclo,InicioCiclo,$S152+MOD(2-WEEKDAY($S152),7))+6),1,IF(N($W152)&gt;0,AVERAGEIFS($Y$5:$Y$1000,$U$5:$U$1000,ROW(),$V$5:$V$1000,"Sub"),$Y152)))</f>
        <v/>
      </c>
      <c r="AD152" s="62">
        <f>IF($V152="","",IF(AND(ISNUMBER($G152),$G152&lt;=IF($S152=MesCiclo,InicioCiclo,$S152+MOD(2-WEEKDAY($S152),7))+13),1,IF(N($W152)&gt;0,AVERAGEIFS($Z$5:$Z$1000,$U$5:$U$1000,ROW(),$V$5:$V$1000,"Sub"),$Z152)))</f>
        <v/>
      </c>
      <c r="AE152" s="62">
        <f>IF($V152="","",IF(AND(ISNUMBER($G152),$G152&lt;=IF($S152=MesCiclo,InicioCiclo,$S152+MOD(2-WEEKDAY($S152),7))+20),1,IF(N($W152)&gt;0,AVERAGEIFS($AA$5:$AA$1000,$U$5:$U$1000,ROW(),$V$5:$V$1000,"Sub"),$AA152)))</f>
        <v/>
      </c>
      <c r="AF152" s="62">
        <f>IF($V152="","",IF(AND(ISNUMBER($G152),$G152&lt;=IF($S152=MesCiclo,InicioCiclo,$S152+MOD(2-WEEKDAY($S152),7))+27),1,IF(N($W152)&gt;0,AVERAGEIFS($AB$5:$AB$1000,$U$5:$U$1000,ROW(),$V$5:$V$1000,"Sub"),$AB152)))</f>
        <v/>
      </c>
      <c r="AG152" s="62">
        <f>IF($V152&lt;&gt;"Macro","",IF(COUNTIFS($S$5:$S$1000,$S152,$V$5:$V$1000,"Macro",$H$5:$H$1000,"&gt;0")=0,1/COUNTIFS($S$5:$S$1000,$S152,$V$5:$V$1000,"Macro"),IF(AND(ISNUMBER($H152),N($H152)&gt;0),$H152,SUMIFS($H$5:$H$1000,$S$5:$S$1000,$S152,$V$5:$V$1000,"Macro")/COUNTIFS($S$5:$S$1000,$S152,$V$5:$V$1000,"Macro",$H$5:$H$1000,"&gt;0"))/(COUNTIFS($S$5:$S$1000,$S152,$V$5:$V$1000,"Macro")*SUMIFS($H$5:$H$1000,$S$5:$S$1000,$S152,$V$5:$V$1000,"Macro")/COUNTIFS($S$5:$S$1000,$S152,$V$5:$V$1000,"Macro",$H$5:$H$1000,"&gt;0"))))</f>
        <v/>
      </c>
      <c r="AH152" s="62" t="n"/>
      <c r="AI152" s="62" t="n"/>
      <c r="AJ152" s="62" t="n"/>
      <c r="AK152" s="62" t="n"/>
      <c r="AL152" s="62">
        <f>IF(LEFT($C152,11)="[Jefatura] ",IFERROR(MATCH("Riesgo Financiero|"&amp;MID($C152,12,500),rDname_ADM,0),0),"")</f>
        <v/>
      </c>
      <c r="AM152" s="62">
        <f>IF(N($AL152)&gt;0,INDEX(rIni_ADM,$AL152),IF(ISNUMBER($E152),$E152,""))</f>
        <v/>
      </c>
      <c r="AN152" s="62">
        <f>IF(N($AL152)&gt;0,INDEX(rLim_ADM,$AL152),IF(ISNUMBER($F152),$F152,""))</f>
        <v/>
      </c>
    </row>
    <row r="153">
      <c r="A153" s="56">
        <f>IF(NOT((COUNTA($B153:$D153)+COUNTA($G153:$L153)+COUNTA($Q153))&gt;0),"",IF($V153="Macro",COUNTIFS($V$5:$V153,"Macro",$S$5:$S153,$S153),IF(N($U153)=0,"?",COUNTIFS(INDEX($V$5:$V$1000,1):INDEX($V$5:$V$1000,$U153-4),"Macro",INDEX($S$5:$S$1000,1):INDEX($S$5:$S$1000,$U153-4),INDEX($S$5:$S$1000,$U153-4))&amp;"."&amp;COUNTIFS($U$5:$U153,$U153,$V$5:$V153,"Sub"))))</f>
        <v/>
      </c>
      <c r="B153" s="57" t="n"/>
      <c r="C153" s="58" t="n"/>
      <c r="D153" s="58" t="n"/>
      <c r="E153" s="59">
        <f>IF(N($AL153)&gt;0,INDEX(rIni_ADM,$AL153),"")</f>
        <v/>
      </c>
      <c r="F153" s="59">
        <f>IF(N($AL153)&gt;0,INDEX(rLim_ADM,$AL153),"")</f>
        <v/>
      </c>
      <c r="G153" s="59" t="n"/>
      <c r="H153" s="60" t="n"/>
      <c r="I153" s="60" t="n"/>
      <c r="J153" s="60" t="n"/>
      <c r="K153" s="60" t="n"/>
      <c r="L153" s="60" t="n"/>
      <c r="M153" s="61">
        <f>IF(NOT((COUNTA($B153:$D153)+COUNTA($G153:$L153)+COUNTA($Q153))&gt;0),"",IF($V153="Sub",IFERROR($X153/INDEX($W$5:$W$1000,$U153-4),""),IF(ISNUMBER($G153),1,IF(N($W153)&gt;0,AVERAGEIFS($X$5:$X$1000,$U$5:$U$1000,ROW(),$V$5:$V$1000,"Sub"),$X153))))</f>
        <v/>
      </c>
      <c r="N153" s="56">
        <f>IF(OR($M153="",$V153="Sub"),"",IF($M153&gt;=1,"Completado",IF($M153&gt;0,"En curso","Pendiente")))</f>
        <v/>
      </c>
      <c r="O153" s="56">
        <f>IF(OR(NOT((COUNTA($B153:$D153)+COUNTA($G153:$L153)+COUNTA($Q153))&gt;0),$V153="Sub"),"",IF(ISNUMBER($G153),IF(AND(ISNUMBER($AN153),$G153&gt;$AN153),"Cumplida con "&amp;($G153-$AN153)&amp;IF($G153-$AN153=1," día"," días")&amp;" de retraso","Cumplida"),IF(N($M153)&gt;=1,"Cumplida",IF(NOT(ISNUMBER($AN153)),"Sin fecha límite",IF($AN153&lt;FechaRef,"Vencida hace "&amp;(FechaRef-$AN153)&amp;IF(FechaRef-$AN153=1," día"," días"),IF($AN153=FechaRef,"Vence hoy",IF($AN153-FechaRef&lt;=DiasAlerta,"Vence en "&amp;($AN153-FechaRef)&amp;IF($AN153-FechaRef=1," día"," días"),"En plazo")))))))</f>
        <v/>
      </c>
      <c r="P153" s="62" t="n"/>
      <c r="Q153" s="58" t="n"/>
      <c r="R153" s="63">
        <f>IF(NOT((COUNTA($B153:$D153)+COUNTA($G153:$L153)+COUNTA($Q153))&gt;0),"",IF((IF($C153="","Falta el nombre de la actividad"&amp;" · ","")&amp;IF(AND($V153="Sub",N($U153)=0),"Subactividad sin macroactividad arriba"&amp;" · ","")&amp;IF($AM153="","Sin fecha de inicio"&amp;" · ","")&amp;IF($AN153="","Sin fecha límite"&amp;" · ","")&amp;IF(AND(LEFT($C153,11)="[Jefatura] ",N($AL153)=0),"No se encuentra en la hoja de la jefatura (elíjala de nuevo en la lista)"&amp;" · ","")&amp;IF(OR(AND($E153&lt;&gt;"",NOT(ISNUMBER($E153))),AND($F153&lt;&gt;"",NOT(ISNUMBER($F153))),AND($G153&lt;&gt;"",NOT(ISNUMBER($G153)))),"Fecha no válida"&amp;" · ","")&amp;IF(AND(ISNUMBER($AM153),ISNUMBER($AN153),$AM153&gt;$AN153),"Inicio posterior a fecha límite"&amp;" · ","")&amp;IF(AND($V153="Macro",$H153&lt;&gt;"",OR(NOT(ISNUMBER($H153)),$H153&lt;0,$H153&gt;1)),"Peso fuera de rango"&amp;" · ","")&amp;IF(AND($V153="Sub",$H153&lt;&gt;""),"Las subactividades no llevan peso (valen igual dentro de su macroactividad)"&amp;" · ","")&amp;IF(AND(N($W153)&gt;0,COUNT($I153:$L153)&gt;0),"Con subactividades: deje vacías las semanas (se calculan solas)"&amp;" · ","")&amp;IF((COUNTIF($I153:$L153,"&gt;1")+COUNTIF($I153:$L153,"&lt;0")+COUNTA($I153:$L153)-COUNT($I153:$L153))&gt;0,"Avance fuera de rango 0-100%"&amp;" · ","")&amp;IF(OR(AND($J153&lt;&gt;"",$J153&lt;$I153),AND($K153&lt;&gt;"",$K153&lt;MAX($I153:$J153)),AND($L153&lt;&gt;"",$L153&lt;MAX($I153:$K153))),"Avance semanal decreciente"&amp;" · ","")&amp;IF(AND(ISNUMBER($AN153),$AN153&lt;FechaRef,IF($V153="Sub",N($X153),N($M153))&lt;1),"Vencida"&amp;" · ","")&amp;IF(AND(ObsObligatoria="Sí",ISNUMBER($AN153),$AN153&lt;FechaRef,IF($V153="Sub",N($X153),N($M153))&lt;1,$Q153=""),"Vencida sin observación"&amp;" · ",""))="","✔ OK","⚠ "&amp;LEFT(IF($C153="","Falta el nombre de la actividad"&amp;" · ","")&amp;IF(AND($V153="Sub",N($U153)=0),"Subactividad sin macroactividad arriba"&amp;" · ","")&amp;IF($AM153="","Sin fecha de inicio"&amp;" · ","")&amp;IF($AN153="","Sin fecha límite"&amp;" · ","")&amp;IF(AND(LEFT($C153,11)="[Jefatura] ",N($AL153)=0),"No se encuentra en la hoja de la jefatura (elíjala de nuevo en la lista)"&amp;" · ","")&amp;IF(OR(AND($E153&lt;&gt;"",NOT(ISNUMBER($E153))),AND($F153&lt;&gt;"",NOT(ISNUMBER($F153))),AND($G153&lt;&gt;"",NOT(ISNUMBER($G153)))),"Fecha no válida"&amp;" · ","")&amp;IF(AND(ISNUMBER($AM153),ISNUMBER($AN153),$AM153&gt;$AN153),"Inicio posterior a fecha límite"&amp;" · ","")&amp;IF(AND($V153="Macro",$H153&lt;&gt;"",OR(NOT(ISNUMBER($H153)),$H153&lt;0,$H153&gt;1)),"Peso fuera de rango"&amp;" · ","")&amp;IF(AND($V153="Sub",$H153&lt;&gt;""),"Las subactividades no llevan peso (valen igual dentro de su macroactividad)"&amp;" · ","")&amp;IF(AND(N($W153)&gt;0,COUNT($I153:$L153)&gt;0),"Con subactividades: deje vacías las semanas (se calculan solas)"&amp;" · ","")&amp;IF((COUNTIF($I153:$L153,"&gt;1")+COUNTIF($I153:$L153,"&lt;0")+COUNTA($I153:$L153)-COUNT($I153:$L153))&gt;0,"Avance fuera de rango 0-100%"&amp;" · ","")&amp;IF(OR(AND($J153&lt;&gt;"",$J153&lt;$I153),AND($K153&lt;&gt;"",$K153&lt;MAX($I153:$J153)),AND($L153&lt;&gt;"",$L153&lt;MAX($I153:$K153))),"Avance semanal decreciente"&amp;" · ","")&amp;IF(AND(ISNUMBER($AN153),$AN153&lt;FechaRef,IF($V153="Sub",N($X153),N($M153))&lt;1),"Vencida"&amp;" · ","")&amp;IF(AND(ObsObligatoria="Sí",ISNUMBER($AN153),$AN153&lt;FechaRef,IF($V153="Sub",N($X153),N($M153))&lt;1,$Q153=""),"Vencida sin observación"&amp;" · ",""),LEN(IF($C153="","Falta el nombre de la actividad"&amp;" · ","")&amp;IF(AND($V153="Sub",N($U153)=0),"Subactividad sin macroactividad arriba"&amp;" · ","")&amp;IF($AM153="","Sin fecha de inicio"&amp;" · ","")&amp;IF($AN153="","Sin fecha límite"&amp;" · ","")&amp;IF(AND(LEFT($C153,11)="[Jefatura] ",N($AL153)=0),"No se encuentra en la hoja de la jefatura (elíjala de nuevo en la lista)"&amp;" · ","")&amp;IF(OR(AND($E153&lt;&gt;"",NOT(ISNUMBER($E153))),AND($F153&lt;&gt;"",NOT(ISNUMBER($F153))),AND($G153&lt;&gt;"",NOT(ISNUMBER($G153)))),"Fecha no válida"&amp;" · ","")&amp;IF(AND(ISNUMBER($AM153),ISNUMBER($AN153),$AM153&gt;$AN153),"Inicio posterior a fecha límite"&amp;" · ","")&amp;IF(AND($V153="Macro",$H153&lt;&gt;"",OR(NOT(ISNUMBER($H153)),$H153&lt;0,$H153&gt;1)),"Peso fuera de rango"&amp;" · ","")&amp;IF(AND($V153="Sub",$H153&lt;&gt;""),"Las subactividades no llevan peso (valen igual dentro de su macroactividad)"&amp;" · ","")&amp;IF(AND(N($W153)&gt;0,COUNT($I153:$L153)&gt;0),"Con subactividades: deje vacías las semanas (se calculan solas)"&amp;" · ","")&amp;IF((COUNTIF($I153:$L153,"&gt;1")+COUNTIF($I153:$L153,"&lt;0")+COUNTA($I153:$L153)-COUNT($I153:$L153))&gt;0,"Avance fuera de rango 0-100%"&amp;" · ","")&amp;IF(OR(AND($J153&lt;&gt;"",$J153&lt;$I153),AND($K153&lt;&gt;"",$K153&lt;MAX($I153:$J153)),AND($L153&lt;&gt;"",$L153&lt;MAX($I153:$K153))),"Avance semanal decreciente"&amp;" · ","")&amp;IF(AND(ISNUMBER($AN153),$AN153&lt;FechaRef,IF($V153="Sub",N($X153),N($M153))&lt;1),"Vencida"&amp;" · ","")&amp;IF(AND(ObsObligatoria="Sí",ISNUMBER($AN153),$AN153&lt;FechaRef,IF($V153="Sub",N($X153),N($M153))&lt;1,$Q153=""),"Vencida sin observación"&amp;" · ",""))-3)))</f>
        <v/>
      </c>
      <c r="S153" s="64">
        <f>IF(NOT((COUNTA($B153:$D153)+COUNTA($G153:$L153)+COUNTA($Q153))&gt;0),"",IF(AND($V153="Sub",N($U153)&gt;0),IF(ISNUMBER(INDEX($AM$5:$AM$1000,$U153-4)),DATE(YEAR(INDEX($AM$5:$AM$1000,$U153-4)),MONTH(INDEX($AM$5:$AM$1000,$U153-4)),1),IF(ISNUMBER(INDEX($AN$5:$AN$1000,$U153-4)),DATE(YEAR(INDEX($AN$5:$AN$1000,$U153-4)),MONTH(INDEX($AN$5:$AN$1000,$U153-4)),1),MesCiclo)),IF(ISNUMBER($AM153),DATE(YEAR($AM153),MONTH($AM153),1),IF(ISNUMBER($AN153),DATE(YEAR($AN153),MONTH($AN153),1),MesCiclo))))</f>
        <v/>
      </c>
      <c r="T153" s="62">
        <f>IF(OR($S153="",$S153&lt;&gt;MesCiclo,$V153&lt;&gt;"Macro"),"",COUNTIFS($S$5:$S153,MesCiclo,$V$5:$V153,"Macro"))</f>
        <v/>
      </c>
      <c r="U153" s="62">
        <f>IF($V153="","",IF($V153="Macro",ROW(),IFERROR(LOOKUP(2,1/($V$5:$V153="Macro"),ROW($V$5:$V153)),0)))</f>
        <v/>
      </c>
      <c r="V153" s="62">
        <f>IF(NOT((COUNTA($B153:$D153)+COUNTA($G153:$L153)+COUNTA($Q153))&gt;0),"",IF($B153="Subactividad","Sub","Macro"))</f>
        <v/>
      </c>
      <c r="W153" s="62">
        <f>IF($V153="Macro",COUNTIFS($U$5:$U$1000,ROW(),$V$5:$V$1000,"Sub"),"")</f>
        <v/>
      </c>
      <c r="X153" s="62">
        <f>IF($V153="","",IF(ISNUMBER($G153),1,IFERROR(LOOKUP(2,1/($I153:$L153&lt;&gt;""),$I153:$L153),0)))</f>
        <v/>
      </c>
      <c r="Y153" s="62">
        <f>IF($V153="","",IF(AND(ISNUMBER($G153),$G153&lt;=IF($S153=MesCiclo,InicioCiclo,$S153+MOD(2-WEEKDAY($S153),7))+6),1,IF(ISNUMBER($I153),$I153,0)))</f>
        <v/>
      </c>
      <c r="Z153" s="62">
        <f>IF($V153="","",IF(AND(ISNUMBER($G153),$G153&lt;=IF($S153=MesCiclo,InicioCiclo,$S153+MOD(2-WEEKDAY($S153),7))+13),1,IF(ISNUMBER($J153),$J153,$Y153)))</f>
        <v/>
      </c>
      <c r="AA153" s="62">
        <f>IF($V153="","",IF(AND(ISNUMBER($G153),$G153&lt;=IF($S153=MesCiclo,InicioCiclo,$S153+MOD(2-WEEKDAY($S153),7))+20),1,IF(ISNUMBER($K153),$K153,$Z153)))</f>
        <v/>
      </c>
      <c r="AB153" s="62">
        <f>IF($V153="","",IF(AND(ISNUMBER($G153),$G153&lt;=IF($S153=MesCiclo,InicioCiclo,$S153+MOD(2-WEEKDAY($S153),7))+27),1,IF(ISNUMBER($L153),$L153,$AA153)))</f>
        <v/>
      </c>
      <c r="AC153" s="62">
        <f>IF($V153="","",IF(AND(ISNUMBER($G153),$G153&lt;=IF($S153=MesCiclo,InicioCiclo,$S153+MOD(2-WEEKDAY($S153),7))+6),1,IF(N($W153)&gt;0,AVERAGEIFS($Y$5:$Y$1000,$U$5:$U$1000,ROW(),$V$5:$V$1000,"Sub"),$Y153)))</f>
        <v/>
      </c>
      <c r="AD153" s="62">
        <f>IF($V153="","",IF(AND(ISNUMBER($G153),$G153&lt;=IF($S153=MesCiclo,InicioCiclo,$S153+MOD(2-WEEKDAY($S153),7))+13),1,IF(N($W153)&gt;0,AVERAGEIFS($Z$5:$Z$1000,$U$5:$U$1000,ROW(),$V$5:$V$1000,"Sub"),$Z153)))</f>
        <v/>
      </c>
      <c r="AE153" s="62">
        <f>IF($V153="","",IF(AND(ISNUMBER($G153),$G153&lt;=IF($S153=MesCiclo,InicioCiclo,$S153+MOD(2-WEEKDAY($S153),7))+20),1,IF(N($W153)&gt;0,AVERAGEIFS($AA$5:$AA$1000,$U$5:$U$1000,ROW(),$V$5:$V$1000,"Sub"),$AA153)))</f>
        <v/>
      </c>
      <c r="AF153" s="62">
        <f>IF($V153="","",IF(AND(ISNUMBER($G153),$G153&lt;=IF($S153=MesCiclo,InicioCiclo,$S153+MOD(2-WEEKDAY($S153),7))+27),1,IF(N($W153)&gt;0,AVERAGEIFS($AB$5:$AB$1000,$U$5:$U$1000,ROW(),$V$5:$V$1000,"Sub"),$AB153)))</f>
        <v/>
      </c>
      <c r="AG153" s="62">
        <f>IF($V153&lt;&gt;"Macro","",IF(COUNTIFS($S$5:$S$1000,$S153,$V$5:$V$1000,"Macro",$H$5:$H$1000,"&gt;0")=0,1/COUNTIFS($S$5:$S$1000,$S153,$V$5:$V$1000,"Macro"),IF(AND(ISNUMBER($H153),N($H153)&gt;0),$H153,SUMIFS($H$5:$H$1000,$S$5:$S$1000,$S153,$V$5:$V$1000,"Macro")/COUNTIFS($S$5:$S$1000,$S153,$V$5:$V$1000,"Macro",$H$5:$H$1000,"&gt;0"))/(COUNTIFS($S$5:$S$1000,$S153,$V$5:$V$1000,"Macro")*SUMIFS($H$5:$H$1000,$S$5:$S$1000,$S153,$V$5:$V$1000,"Macro")/COUNTIFS($S$5:$S$1000,$S153,$V$5:$V$1000,"Macro",$H$5:$H$1000,"&gt;0"))))</f>
        <v/>
      </c>
      <c r="AH153" s="62" t="n"/>
      <c r="AI153" s="62" t="n"/>
      <c r="AJ153" s="62" t="n"/>
      <c r="AK153" s="62" t="n"/>
      <c r="AL153" s="62">
        <f>IF(LEFT($C153,11)="[Jefatura] ",IFERROR(MATCH("Riesgo Financiero|"&amp;MID($C153,12,500),rDname_ADM,0),0),"")</f>
        <v/>
      </c>
      <c r="AM153" s="62">
        <f>IF(N($AL153)&gt;0,INDEX(rIni_ADM,$AL153),IF(ISNUMBER($E153),$E153,""))</f>
        <v/>
      </c>
      <c r="AN153" s="62">
        <f>IF(N($AL153)&gt;0,INDEX(rLim_ADM,$AL153),IF(ISNUMBER($F153),$F153,""))</f>
        <v/>
      </c>
    </row>
    <row r="154">
      <c r="A154" s="56">
        <f>IF(NOT((COUNTA($B154:$D154)+COUNTA($G154:$L154)+COUNTA($Q154))&gt;0),"",IF($V154="Macro",COUNTIFS($V$5:$V154,"Macro",$S$5:$S154,$S154),IF(N($U154)=0,"?",COUNTIFS(INDEX($V$5:$V$1000,1):INDEX($V$5:$V$1000,$U154-4),"Macro",INDEX($S$5:$S$1000,1):INDEX($S$5:$S$1000,$U154-4),INDEX($S$5:$S$1000,$U154-4))&amp;"."&amp;COUNTIFS($U$5:$U154,$U154,$V$5:$V154,"Sub"))))</f>
        <v/>
      </c>
      <c r="B154" s="57" t="n"/>
      <c r="C154" s="58" t="n"/>
      <c r="D154" s="58" t="n"/>
      <c r="E154" s="59">
        <f>IF(N($AL154)&gt;0,INDEX(rIni_ADM,$AL154),"")</f>
        <v/>
      </c>
      <c r="F154" s="59">
        <f>IF(N($AL154)&gt;0,INDEX(rLim_ADM,$AL154),"")</f>
        <v/>
      </c>
      <c r="G154" s="59" t="n"/>
      <c r="H154" s="60" t="n"/>
      <c r="I154" s="60" t="n"/>
      <c r="J154" s="60" t="n"/>
      <c r="K154" s="60" t="n"/>
      <c r="L154" s="60" t="n"/>
      <c r="M154" s="61">
        <f>IF(NOT((COUNTA($B154:$D154)+COUNTA($G154:$L154)+COUNTA($Q154))&gt;0),"",IF($V154="Sub",IFERROR($X154/INDEX($W$5:$W$1000,$U154-4),""),IF(ISNUMBER($G154),1,IF(N($W154)&gt;0,AVERAGEIFS($X$5:$X$1000,$U$5:$U$1000,ROW(),$V$5:$V$1000,"Sub"),$X154))))</f>
        <v/>
      </c>
      <c r="N154" s="56">
        <f>IF(OR($M154="",$V154="Sub"),"",IF($M154&gt;=1,"Completado",IF($M154&gt;0,"En curso","Pendiente")))</f>
        <v/>
      </c>
      <c r="O154" s="56">
        <f>IF(OR(NOT((COUNTA($B154:$D154)+COUNTA($G154:$L154)+COUNTA($Q154))&gt;0),$V154="Sub"),"",IF(ISNUMBER($G154),IF(AND(ISNUMBER($AN154),$G154&gt;$AN154),"Cumplida con "&amp;($G154-$AN154)&amp;IF($G154-$AN154=1," día"," días")&amp;" de retraso","Cumplida"),IF(N($M154)&gt;=1,"Cumplida",IF(NOT(ISNUMBER($AN154)),"Sin fecha límite",IF($AN154&lt;FechaRef,"Vencida hace "&amp;(FechaRef-$AN154)&amp;IF(FechaRef-$AN154=1," día"," días"),IF($AN154=FechaRef,"Vence hoy",IF($AN154-FechaRef&lt;=DiasAlerta,"Vence en "&amp;($AN154-FechaRef)&amp;IF($AN154-FechaRef=1," día"," días"),"En plazo")))))))</f>
        <v/>
      </c>
      <c r="P154" s="62" t="n"/>
      <c r="Q154" s="58" t="n"/>
      <c r="R154" s="63">
        <f>IF(NOT((COUNTA($B154:$D154)+COUNTA($G154:$L154)+COUNTA($Q154))&gt;0),"",IF((IF($C154="","Falta el nombre de la actividad"&amp;" · ","")&amp;IF(AND($V154="Sub",N($U154)=0),"Subactividad sin macroactividad arriba"&amp;" · ","")&amp;IF($AM154="","Sin fecha de inicio"&amp;" · ","")&amp;IF($AN154="","Sin fecha límite"&amp;" · ","")&amp;IF(AND(LEFT($C154,11)="[Jefatura] ",N($AL154)=0),"No se encuentra en la hoja de la jefatura (elíjala de nuevo en la lista)"&amp;" · ","")&amp;IF(OR(AND($E154&lt;&gt;"",NOT(ISNUMBER($E154))),AND($F154&lt;&gt;"",NOT(ISNUMBER($F154))),AND($G154&lt;&gt;"",NOT(ISNUMBER($G154)))),"Fecha no válida"&amp;" · ","")&amp;IF(AND(ISNUMBER($AM154),ISNUMBER($AN154),$AM154&gt;$AN154),"Inicio posterior a fecha límite"&amp;" · ","")&amp;IF(AND($V154="Macro",$H154&lt;&gt;"",OR(NOT(ISNUMBER($H154)),$H154&lt;0,$H154&gt;1)),"Peso fuera de rango"&amp;" · ","")&amp;IF(AND($V154="Sub",$H154&lt;&gt;""),"Las subactividades no llevan peso (valen igual dentro de su macroactividad)"&amp;" · ","")&amp;IF(AND(N($W154)&gt;0,COUNT($I154:$L154)&gt;0),"Con subactividades: deje vacías las semanas (se calculan solas)"&amp;" · ","")&amp;IF((COUNTIF($I154:$L154,"&gt;1")+COUNTIF($I154:$L154,"&lt;0")+COUNTA($I154:$L154)-COUNT($I154:$L154))&gt;0,"Avance fuera de rango 0-100%"&amp;" · ","")&amp;IF(OR(AND($J154&lt;&gt;"",$J154&lt;$I154),AND($K154&lt;&gt;"",$K154&lt;MAX($I154:$J154)),AND($L154&lt;&gt;"",$L154&lt;MAX($I154:$K154))),"Avance semanal decreciente"&amp;" · ","")&amp;IF(AND(ISNUMBER($AN154),$AN154&lt;FechaRef,IF($V154="Sub",N($X154),N($M154))&lt;1),"Vencida"&amp;" · ","")&amp;IF(AND(ObsObligatoria="Sí",ISNUMBER($AN154),$AN154&lt;FechaRef,IF($V154="Sub",N($X154),N($M154))&lt;1,$Q154=""),"Vencida sin observación"&amp;" · ",""))="","✔ OK","⚠ "&amp;LEFT(IF($C154="","Falta el nombre de la actividad"&amp;" · ","")&amp;IF(AND($V154="Sub",N($U154)=0),"Subactividad sin macroactividad arriba"&amp;" · ","")&amp;IF($AM154="","Sin fecha de inicio"&amp;" · ","")&amp;IF($AN154="","Sin fecha límite"&amp;" · ","")&amp;IF(AND(LEFT($C154,11)="[Jefatura] ",N($AL154)=0),"No se encuentra en la hoja de la jefatura (elíjala de nuevo en la lista)"&amp;" · ","")&amp;IF(OR(AND($E154&lt;&gt;"",NOT(ISNUMBER($E154))),AND($F154&lt;&gt;"",NOT(ISNUMBER($F154))),AND($G154&lt;&gt;"",NOT(ISNUMBER($G154)))),"Fecha no válida"&amp;" · ","")&amp;IF(AND(ISNUMBER($AM154),ISNUMBER($AN154),$AM154&gt;$AN154),"Inicio posterior a fecha límite"&amp;" · ","")&amp;IF(AND($V154="Macro",$H154&lt;&gt;"",OR(NOT(ISNUMBER($H154)),$H154&lt;0,$H154&gt;1)),"Peso fuera de rango"&amp;" · ","")&amp;IF(AND($V154="Sub",$H154&lt;&gt;""),"Las subactividades no llevan peso (valen igual dentro de su macroactividad)"&amp;" · ","")&amp;IF(AND(N($W154)&gt;0,COUNT($I154:$L154)&gt;0),"Con subactividades: deje vacías las semanas (se calculan solas)"&amp;" · ","")&amp;IF((COUNTIF($I154:$L154,"&gt;1")+COUNTIF($I154:$L154,"&lt;0")+COUNTA($I154:$L154)-COUNT($I154:$L154))&gt;0,"Avance fuera de rango 0-100%"&amp;" · ","")&amp;IF(OR(AND($J154&lt;&gt;"",$J154&lt;$I154),AND($K154&lt;&gt;"",$K154&lt;MAX($I154:$J154)),AND($L154&lt;&gt;"",$L154&lt;MAX($I154:$K154))),"Avance semanal decreciente"&amp;" · ","")&amp;IF(AND(ISNUMBER($AN154),$AN154&lt;FechaRef,IF($V154="Sub",N($X154),N($M154))&lt;1),"Vencida"&amp;" · ","")&amp;IF(AND(ObsObligatoria="Sí",ISNUMBER($AN154),$AN154&lt;FechaRef,IF($V154="Sub",N($X154),N($M154))&lt;1,$Q154=""),"Vencida sin observación"&amp;" · ",""),LEN(IF($C154="","Falta el nombre de la actividad"&amp;" · ","")&amp;IF(AND($V154="Sub",N($U154)=0),"Subactividad sin macroactividad arriba"&amp;" · ","")&amp;IF($AM154="","Sin fecha de inicio"&amp;" · ","")&amp;IF($AN154="","Sin fecha límite"&amp;" · ","")&amp;IF(AND(LEFT($C154,11)="[Jefatura] ",N($AL154)=0),"No se encuentra en la hoja de la jefatura (elíjala de nuevo en la lista)"&amp;" · ","")&amp;IF(OR(AND($E154&lt;&gt;"",NOT(ISNUMBER($E154))),AND($F154&lt;&gt;"",NOT(ISNUMBER($F154))),AND($G154&lt;&gt;"",NOT(ISNUMBER($G154)))),"Fecha no válida"&amp;" · ","")&amp;IF(AND(ISNUMBER($AM154),ISNUMBER($AN154),$AM154&gt;$AN154),"Inicio posterior a fecha límite"&amp;" · ","")&amp;IF(AND($V154="Macro",$H154&lt;&gt;"",OR(NOT(ISNUMBER($H154)),$H154&lt;0,$H154&gt;1)),"Peso fuera de rango"&amp;" · ","")&amp;IF(AND($V154="Sub",$H154&lt;&gt;""),"Las subactividades no llevan peso (valen igual dentro de su macroactividad)"&amp;" · ","")&amp;IF(AND(N($W154)&gt;0,COUNT($I154:$L154)&gt;0),"Con subactividades: deje vacías las semanas (se calculan solas)"&amp;" · ","")&amp;IF((COUNTIF($I154:$L154,"&gt;1")+COUNTIF($I154:$L154,"&lt;0")+COUNTA($I154:$L154)-COUNT($I154:$L154))&gt;0,"Avance fuera de rango 0-100%"&amp;" · ","")&amp;IF(OR(AND($J154&lt;&gt;"",$J154&lt;$I154),AND($K154&lt;&gt;"",$K154&lt;MAX($I154:$J154)),AND($L154&lt;&gt;"",$L154&lt;MAX($I154:$K154))),"Avance semanal decreciente"&amp;" · ","")&amp;IF(AND(ISNUMBER($AN154),$AN154&lt;FechaRef,IF($V154="Sub",N($X154),N($M154))&lt;1),"Vencida"&amp;" · ","")&amp;IF(AND(ObsObligatoria="Sí",ISNUMBER($AN154),$AN154&lt;FechaRef,IF($V154="Sub",N($X154),N($M154))&lt;1,$Q154=""),"Vencida sin observación"&amp;" · ",""))-3)))</f>
        <v/>
      </c>
      <c r="S154" s="64">
        <f>IF(NOT((COUNTA($B154:$D154)+COUNTA($G154:$L154)+COUNTA($Q154))&gt;0),"",IF(AND($V154="Sub",N($U154)&gt;0),IF(ISNUMBER(INDEX($AM$5:$AM$1000,$U154-4)),DATE(YEAR(INDEX($AM$5:$AM$1000,$U154-4)),MONTH(INDEX($AM$5:$AM$1000,$U154-4)),1),IF(ISNUMBER(INDEX($AN$5:$AN$1000,$U154-4)),DATE(YEAR(INDEX($AN$5:$AN$1000,$U154-4)),MONTH(INDEX($AN$5:$AN$1000,$U154-4)),1),MesCiclo)),IF(ISNUMBER($AM154),DATE(YEAR($AM154),MONTH($AM154),1),IF(ISNUMBER($AN154),DATE(YEAR($AN154),MONTH($AN154),1),MesCiclo))))</f>
        <v/>
      </c>
      <c r="T154" s="62">
        <f>IF(OR($S154="",$S154&lt;&gt;MesCiclo,$V154&lt;&gt;"Macro"),"",COUNTIFS($S$5:$S154,MesCiclo,$V$5:$V154,"Macro"))</f>
        <v/>
      </c>
      <c r="U154" s="62">
        <f>IF($V154="","",IF($V154="Macro",ROW(),IFERROR(LOOKUP(2,1/($V$5:$V154="Macro"),ROW($V$5:$V154)),0)))</f>
        <v/>
      </c>
      <c r="V154" s="62">
        <f>IF(NOT((COUNTA($B154:$D154)+COUNTA($G154:$L154)+COUNTA($Q154))&gt;0),"",IF($B154="Subactividad","Sub","Macro"))</f>
        <v/>
      </c>
      <c r="W154" s="62">
        <f>IF($V154="Macro",COUNTIFS($U$5:$U$1000,ROW(),$V$5:$V$1000,"Sub"),"")</f>
        <v/>
      </c>
      <c r="X154" s="62">
        <f>IF($V154="","",IF(ISNUMBER($G154),1,IFERROR(LOOKUP(2,1/($I154:$L154&lt;&gt;""),$I154:$L154),0)))</f>
        <v/>
      </c>
      <c r="Y154" s="62">
        <f>IF($V154="","",IF(AND(ISNUMBER($G154),$G154&lt;=IF($S154=MesCiclo,InicioCiclo,$S154+MOD(2-WEEKDAY($S154),7))+6),1,IF(ISNUMBER($I154),$I154,0)))</f>
        <v/>
      </c>
      <c r="Z154" s="62">
        <f>IF($V154="","",IF(AND(ISNUMBER($G154),$G154&lt;=IF($S154=MesCiclo,InicioCiclo,$S154+MOD(2-WEEKDAY($S154),7))+13),1,IF(ISNUMBER($J154),$J154,$Y154)))</f>
        <v/>
      </c>
      <c r="AA154" s="62">
        <f>IF($V154="","",IF(AND(ISNUMBER($G154),$G154&lt;=IF($S154=MesCiclo,InicioCiclo,$S154+MOD(2-WEEKDAY($S154),7))+20),1,IF(ISNUMBER($K154),$K154,$Z154)))</f>
        <v/>
      </c>
      <c r="AB154" s="62">
        <f>IF($V154="","",IF(AND(ISNUMBER($G154),$G154&lt;=IF($S154=MesCiclo,InicioCiclo,$S154+MOD(2-WEEKDAY($S154),7))+27),1,IF(ISNUMBER($L154),$L154,$AA154)))</f>
        <v/>
      </c>
      <c r="AC154" s="62">
        <f>IF($V154="","",IF(AND(ISNUMBER($G154),$G154&lt;=IF($S154=MesCiclo,InicioCiclo,$S154+MOD(2-WEEKDAY($S154),7))+6),1,IF(N($W154)&gt;0,AVERAGEIFS($Y$5:$Y$1000,$U$5:$U$1000,ROW(),$V$5:$V$1000,"Sub"),$Y154)))</f>
        <v/>
      </c>
      <c r="AD154" s="62">
        <f>IF($V154="","",IF(AND(ISNUMBER($G154),$G154&lt;=IF($S154=MesCiclo,InicioCiclo,$S154+MOD(2-WEEKDAY($S154),7))+13),1,IF(N($W154)&gt;0,AVERAGEIFS($Z$5:$Z$1000,$U$5:$U$1000,ROW(),$V$5:$V$1000,"Sub"),$Z154)))</f>
        <v/>
      </c>
      <c r="AE154" s="62">
        <f>IF($V154="","",IF(AND(ISNUMBER($G154),$G154&lt;=IF($S154=MesCiclo,InicioCiclo,$S154+MOD(2-WEEKDAY($S154),7))+20),1,IF(N($W154)&gt;0,AVERAGEIFS($AA$5:$AA$1000,$U$5:$U$1000,ROW(),$V$5:$V$1000,"Sub"),$AA154)))</f>
        <v/>
      </c>
      <c r="AF154" s="62">
        <f>IF($V154="","",IF(AND(ISNUMBER($G154),$G154&lt;=IF($S154=MesCiclo,InicioCiclo,$S154+MOD(2-WEEKDAY($S154),7))+27),1,IF(N($W154)&gt;0,AVERAGEIFS($AB$5:$AB$1000,$U$5:$U$1000,ROW(),$V$5:$V$1000,"Sub"),$AB154)))</f>
        <v/>
      </c>
      <c r="AG154" s="62">
        <f>IF($V154&lt;&gt;"Macro","",IF(COUNTIFS($S$5:$S$1000,$S154,$V$5:$V$1000,"Macro",$H$5:$H$1000,"&gt;0")=0,1/COUNTIFS($S$5:$S$1000,$S154,$V$5:$V$1000,"Macro"),IF(AND(ISNUMBER($H154),N($H154)&gt;0),$H154,SUMIFS($H$5:$H$1000,$S$5:$S$1000,$S154,$V$5:$V$1000,"Macro")/COUNTIFS($S$5:$S$1000,$S154,$V$5:$V$1000,"Macro",$H$5:$H$1000,"&gt;0"))/(COUNTIFS($S$5:$S$1000,$S154,$V$5:$V$1000,"Macro")*SUMIFS($H$5:$H$1000,$S$5:$S$1000,$S154,$V$5:$V$1000,"Macro")/COUNTIFS($S$5:$S$1000,$S154,$V$5:$V$1000,"Macro",$H$5:$H$1000,"&gt;0"))))</f>
        <v/>
      </c>
      <c r="AH154" s="62" t="n"/>
      <c r="AI154" s="62" t="n"/>
      <c r="AJ154" s="62" t="n"/>
      <c r="AK154" s="62" t="n"/>
      <c r="AL154" s="62">
        <f>IF(LEFT($C154,11)="[Jefatura] ",IFERROR(MATCH("Riesgo Financiero|"&amp;MID($C154,12,500),rDname_ADM,0),0),"")</f>
        <v/>
      </c>
      <c r="AM154" s="62">
        <f>IF(N($AL154)&gt;0,INDEX(rIni_ADM,$AL154),IF(ISNUMBER($E154),$E154,""))</f>
        <v/>
      </c>
      <c r="AN154" s="62">
        <f>IF(N($AL154)&gt;0,INDEX(rLim_ADM,$AL154),IF(ISNUMBER($F154),$F154,""))</f>
        <v/>
      </c>
    </row>
    <row r="155">
      <c r="A155" s="56">
        <f>IF(NOT((COUNTA($B155:$D155)+COUNTA($G155:$L155)+COUNTA($Q155))&gt;0),"",IF($V155="Macro",COUNTIFS($V$5:$V155,"Macro",$S$5:$S155,$S155),IF(N($U155)=0,"?",COUNTIFS(INDEX($V$5:$V$1000,1):INDEX($V$5:$V$1000,$U155-4),"Macro",INDEX($S$5:$S$1000,1):INDEX($S$5:$S$1000,$U155-4),INDEX($S$5:$S$1000,$U155-4))&amp;"."&amp;COUNTIFS($U$5:$U155,$U155,$V$5:$V155,"Sub"))))</f>
        <v/>
      </c>
      <c r="B155" s="57" t="n"/>
      <c r="C155" s="58" t="n"/>
      <c r="D155" s="58" t="n"/>
      <c r="E155" s="59">
        <f>IF(N($AL155)&gt;0,INDEX(rIni_ADM,$AL155),"")</f>
        <v/>
      </c>
      <c r="F155" s="59">
        <f>IF(N($AL155)&gt;0,INDEX(rLim_ADM,$AL155),"")</f>
        <v/>
      </c>
      <c r="G155" s="59" t="n"/>
      <c r="H155" s="60" t="n"/>
      <c r="I155" s="60" t="n"/>
      <c r="J155" s="60" t="n"/>
      <c r="K155" s="60" t="n"/>
      <c r="L155" s="60" t="n"/>
      <c r="M155" s="61">
        <f>IF(NOT((COUNTA($B155:$D155)+COUNTA($G155:$L155)+COUNTA($Q155))&gt;0),"",IF($V155="Sub",IFERROR($X155/INDEX($W$5:$W$1000,$U155-4),""),IF(ISNUMBER($G155),1,IF(N($W155)&gt;0,AVERAGEIFS($X$5:$X$1000,$U$5:$U$1000,ROW(),$V$5:$V$1000,"Sub"),$X155))))</f>
        <v/>
      </c>
      <c r="N155" s="56">
        <f>IF(OR($M155="",$V155="Sub"),"",IF($M155&gt;=1,"Completado",IF($M155&gt;0,"En curso","Pendiente")))</f>
        <v/>
      </c>
      <c r="O155" s="56">
        <f>IF(OR(NOT((COUNTA($B155:$D155)+COUNTA($G155:$L155)+COUNTA($Q155))&gt;0),$V155="Sub"),"",IF(ISNUMBER($G155),IF(AND(ISNUMBER($AN155),$G155&gt;$AN155),"Cumplida con "&amp;($G155-$AN155)&amp;IF($G155-$AN155=1," día"," días")&amp;" de retraso","Cumplida"),IF(N($M155)&gt;=1,"Cumplida",IF(NOT(ISNUMBER($AN155)),"Sin fecha límite",IF($AN155&lt;FechaRef,"Vencida hace "&amp;(FechaRef-$AN155)&amp;IF(FechaRef-$AN155=1," día"," días"),IF($AN155=FechaRef,"Vence hoy",IF($AN155-FechaRef&lt;=DiasAlerta,"Vence en "&amp;($AN155-FechaRef)&amp;IF($AN155-FechaRef=1," día"," días"),"En plazo")))))))</f>
        <v/>
      </c>
      <c r="P155" s="62" t="n"/>
      <c r="Q155" s="58" t="n"/>
      <c r="R155" s="63">
        <f>IF(NOT((COUNTA($B155:$D155)+COUNTA($G155:$L155)+COUNTA($Q155))&gt;0),"",IF((IF($C155="","Falta el nombre de la actividad"&amp;" · ","")&amp;IF(AND($V155="Sub",N($U155)=0),"Subactividad sin macroactividad arriba"&amp;" · ","")&amp;IF($AM155="","Sin fecha de inicio"&amp;" · ","")&amp;IF($AN155="","Sin fecha límite"&amp;" · ","")&amp;IF(AND(LEFT($C155,11)="[Jefatura] ",N($AL155)=0),"No se encuentra en la hoja de la jefatura (elíjala de nuevo en la lista)"&amp;" · ","")&amp;IF(OR(AND($E155&lt;&gt;"",NOT(ISNUMBER($E155))),AND($F155&lt;&gt;"",NOT(ISNUMBER($F155))),AND($G155&lt;&gt;"",NOT(ISNUMBER($G155)))),"Fecha no válida"&amp;" · ","")&amp;IF(AND(ISNUMBER($AM155),ISNUMBER($AN155),$AM155&gt;$AN155),"Inicio posterior a fecha límite"&amp;" · ","")&amp;IF(AND($V155="Macro",$H155&lt;&gt;"",OR(NOT(ISNUMBER($H155)),$H155&lt;0,$H155&gt;1)),"Peso fuera de rango"&amp;" · ","")&amp;IF(AND($V155="Sub",$H155&lt;&gt;""),"Las subactividades no llevan peso (valen igual dentro de su macroactividad)"&amp;" · ","")&amp;IF(AND(N($W155)&gt;0,COUNT($I155:$L155)&gt;0),"Con subactividades: deje vacías las semanas (se calculan solas)"&amp;" · ","")&amp;IF((COUNTIF($I155:$L155,"&gt;1")+COUNTIF($I155:$L155,"&lt;0")+COUNTA($I155:$L155)-COUNT($I155:$L155))&gt;0,"Avance fuera de rango 0-100%"&amp;" · ","")&amp;IF(OR(AND($J155&lt;&gt;"",$J155&lt;$I155),AND($K155&lt;&gt;"",$K155&lt;MAX($I155:$J155)),AND($L155&lt;&gt;"",$L155&lt;MAX($I155:$K155))),"Avance semanal decreciente"&amp;" · ","")&amp;IF(AND(ISNUMBER($AN155),$AN155&lt;FechaRef,IF($V155="Sub",N($X155),N($M155))&lt;1),"Vencida"&amp;" · ","")&amp;IF(AND(ObsObligatoria="Sí",ISNUMBER($AN155),$AN155&lt;FechaRef,IF($V155="Sub",N($X155),N($M155))&lt;1,$Q155=""),"Vencida sin observación"&amp;" · ",""))="","✔ OK","⚠ "&amp;LEFT(IF($C155="","Falta el nombre de la actividad"&amp;" · ","")&amp;IF(AND($V155="Sub",N($U155)=0),"Subactividad sin macroactividad arriba"&amp;" · ","")&amp;IF($AM155="","Sin fecha de inicio"&amp;" · ","")&amp;IF($AN155="","Sin fecha límite"&amp;" · ","")&amp;IF(AND(LEFT($C155,11)="[Jefatura] ",N($AL155)=0),"No se encuentra en la hoja de la jefatura (elíjala de nuevo en la lista)"&amp;" · ","")&amp;IF(OR(AND($E155&lt;&gt;"",NOT(ISNUMBER($E155))),AND($F155&lt;&gt;"",NOT(ISNUMBER($F155))),AND($G155&lt;&gt;"",NOT(ISNUMBER($G155)))),"Fecha no válida"&amp;" · ","")&amp;IF(AND(ISNUMBER($AM155),ISNUMBER($AN155),$AM155&gt;$AN155),"Inicio posterior a fecha límite"&amp;" · ","")&amp;IF(AND($V155="Macro",$H155&lt;&gt;"",OR(NOT(ISNUMBER($H155)),$H155&lt;0,$H155&gt;1)),"Peso fuera de rango"&amp;" · ","")&amp;IF(AND($V155="Sub",$H155&lt;&gt;""),"Las subactividades no llevan peso (valen igual dentro de su macroactividad)"&amp;" · ","")&amp;IF(AND(N($W155)&gt;0,COUNT($I155:$L155)&gt;0),"Con subactividades: deje vacías las semanas (se calculan solas)"&amp;" · ","")&amp;IF((COUNTIF($I155:$L155,"&gt;1")+COUNTIF($I155:$L155,"&lt;0")+COUNTA($I155:$L155)-COUNT($I155:$L155))&gt;0,"Avance fuera de rango 0-100%"&amp;" · ","")&amp;IF(OR(AND($J155&lt;&gt;"",$J155&lt;$I155),AND($K155&lt;&gt;"",$K155&lt;MAX($I155:$J155)),AND($L155&lt;&gt;"",$L155&lt;MAX($I155:$K155))),"Avance semanal decreciente"&amp;" · ","")&amp;IF(AND(ISNUMBER($AN155),$AN155&lt;FechaRef,IF($V155="Sub",N($X155),N($M155))&lt;1),"Vencida"&amp;" · ","")&amp;IF(AND(ObsObligatoria="Sí",ISNUMBER($AN155),$AN155&lt;FechaRef,IF($V155="Sub",N($X155),N($M155))&lt;1,$Q155=""),"Vencida sin observación"&amp;" · ",""),LEN(IF($C155="","Falta el nombre de la actividad"&amp;" · ","")&amp;IF(AND($V155="Sub",N($U155)=0),"Subactividad sin macroactividad arriba"&amp;" · ","")&amp;IF($AM155="","Sin fecha de inicio"&amp;" · ","")&amp;IF($AN155="","Sin fecha límite"&amp;" · ","")&amp;IF(AND(LEFT($C155,11)="[Jefatura] ",N($AL155)=0),"No se encuentra en la hoja de la jefatura (elíjala de nuevo en la lista)"&amp;" · ","")&amp;IF(OR(AND($E155&lt;&gt;"",NOT(ISNUMBER($E155))),AND($F155&lt;&gt;"",NOT(ISNUMBER($F155))),AND($G155&lt;&gt;"",NOT(ISNUMBER($G155)))),"Fecha no válida"&amp;" · ","")&amp;IF(AND(ISNUMBER($AM155),ISNUMBER($AN155),$AM155&gt;$AN155),"Inicio posterior a fecha límite"&amp;" · ","")&amp;IF(AND($V155="Macro",$H155&lt;&gt;"",OR(NOT(ISNUMBER($H155)),$H155&lt;0,$H155&gt;1)),"Peso fuera de rango"&amp;" · ","")&amp;IF(AND($V155="Sub",$H155&lt;&gt;""),"Las subactividades no llevan peso (valen igual dentro de su macroactividad)"&amp;" · ","")&amp;IF(AND(N($W155)&gt;0,COUNT($I155:$L155)&gt;0),"Con subactividades: deje vacías las semanas (se calculan solas)"&amp;" · ","")&amp;IF((COUNTIF($I155:$L155,"&gt;1")+COUNTIF($I155:$L155,"&lt;0")+COUNTA($I155:$L155)-COUNT($I155:$L155))&gt;0,"Avance fuera de rango 0-100%"&amp;" · ","")&amp;IF(OR(AND($J155&lt;&gt;"",$J155&lt;$I155),AND($K155&lt;&gt;"",$K155&lt;MAX($I155:$J155)),AND($L155&lt;&gt;"",$L155&lt;MAX($I155:$K155))),"Avance semanal decreciente"&amp;" · ","")&amp;IF(AND(ISNUMBER($AN155),$AN155&lt;FechaRef,IF($V155="Sub",N($X155),N($M155))&lt;1),"Vencida"&amp;" · ","")&amp;IF(AND(ObsObligatoria="Sí",ISNUMBER($AN155),$AN155&lt;FechaRef,IF($V155="Sub",N($X155),N($M155))&lt;1,$Q155=""),"Vencida sin observación"&amp;" · ",""))-3)))</f>
        <v/>
      </c>
      <c r="S155" s="64">
        <f>IF(NOT((COUNTA($B155:$D155)+COUNTA($G155:$L155)+COUNTA($Q155))&gt;0),"",IF(AND($V155="Sub",N($U155)&gt;0),IF(ISNUMBER(INDEX($AM$5:$AM$1000,$U155-4)),DATE(YEAR(INDEX($AM$5:$AM$1000,$U155-4)),MONTH(INDEX($AM$5:$AM$1000,$U155-4)),1),IF(ISNUMBER(INDEX($AN$5:$AN$1000,$U155-4)),DATE(YEAR(INDEX($AN$5:$AN$1000,$U155-4)),MONTH(INDEX($AN$5:$AN$1000,$U155-4)),1),MesCiclo)),IF(ISNUMBER($AM155),DATE(YEAR($AM155),MONTH($AM155),1),IF(ISNUMBER($AN155),DATE(YEAR($AN155),MONTH($AN155),1),MesCiclo))))</f>
        <v/>
      </c>
      <c r="T155" s="62">
        <f>IF(OR($S155="",$S155&lt;&gt;MesCiclo,$V155&lt;&gt;"Macro"),"",COUNTIFS($S$5:$S155,MesCiclo,$V$5:$V155,"Macro"))</f>
        <v/>
      </c>
      <c r="U155" s="62">
        <f>IF($V155="","",IF($V155="Macro",ROW(),IFERROR(LOOKUP(2,1/($V$5:$V155="Macro"),ROW($V$5:$V155)),0)))</f>
        <v/>
      </c>
      <c r="V155" s="62">
        <f>IF(NOT((COUNTA($B155:$D155)+COUNTA($G155:$L155)+COUNTA($Q155))&gt;0),"",IF($B155="Subactividad","Sub","Macro"))</f>
        <v/>
      </c>
      <c r="W155" s="62">
        <f>IF($V155="Macro",COUNTIFS($U$5:$U$1000,ROW(),$V$5:$V$1000,"Sub"),"")</f>
        <v/>
      </c>
      <c r="X155" s="62">
        <f>IF($V155="","",IF(ISNUMBER($G155),1,IFERROR(LOOKUP(2,1/($I155:$L155&lt;&gt;""),$I155:$L155),0)))</f>
        <v/>
      </c>
      <c r="Y155" s="62">
        <f>IF($V155="","",IF(AND(ISNUMBER($G155),$G155&lt;=IF($S155=MesCiclo,InicioCiclo,$S155+MOD(2-WEEKDAY($S155),7))+6),1,IF(ISNUMBER($I155),$I155,0)))</f>
        <v/>
      </c>
      <c r="Z155" s="62">
        <f>IF($V155="","",IF(AND(ISNUMBER($G155),$G155&lt;=IF($S155=MesCiclo,InicioCiclo,$S155+MOD(2-WEEKDAY($S155),7))+13),1,IF(ISNUMBER($J155),$J155,$Y155)))</f>
        <v/>
      </c>
      <c r="AA155" s="62">
        <f>IF($V155="","",IF(AND(ISNUMBER($G155),$G155&lt;=IF($S155=MesCiclo,InicioCiclo,$S155+MOD(2-WEEKDAY($S155),7))+20),1,IF(ISNUMBER($K155),$K155,$Z155)))</f>
        <v/>
      </c>
      <c r="AB155" s="62">
        <f>IF($V155="","",IF(AND(ISNUMBER($G155),$G155&lt;=IF($S155=MesCiclo,InicioCiclo,$S155+MOD(2-WEEKDAY($S155),7))+27),1,IF(ISNUMBER($L155),$L155,$AA155)))</f>
        <v/>
      </c>
      <c r="AC155" s="62">
        <f>IF($V155="","",IF(AND(ISNUMBER($G155),$G155&lt;=IF($S155=MesCiclo,InicioCiclo,$S155+MOD(2-WEEKDAY($S155),7))+6),1,IF(N($W155)&gt;0,AVERAGEIFS($Y$5:$Y$1000,$U$5:$U$1000,ROW(),$V$5:$V$1000,"Sub"),$Y155)))</f>
        <v/>
      </c>
      <c r="AD155" s="62">
        <f>IF($V155="","",IF(AND(ISNUMBER($G155),$G155&lt;=IF($S155=MesCiclo,InicioCiclo,$S155+MOD(2-WEEKDAY($S155),7))+13),1,IF(N($W155)&gt;0,AVERAGEIFS($Z$5:$Z$1000,$U$5:$U$1000,ROW(),$V$5:$V$1000,"Sub"),$Z155)))</f>
        <v/>
      </c>
      <c r="AE155" s="62">
        <f>IF($V155="","",IF(AND(ISNUMBER($G155),$G155&lt;=IF($S155=MesCiclo,InicioCiclo,$S155+MOD(2-WEEKDAY($S155),7))+20),1,IF(N($W155)&gt;0,AVERAGEIFS($AA$5:$AA$1000,$U$5:$U$1000,ROW(),$V$5:$V$1000,"Sub"),$AA155)))</f>
        <v/>
      </c>
      <c r="AF155" s="62">
        <f>IF($V155="","",IF(AND(ISNUMBER($G155),$G155&lt;=IF($S155=MesCiclo,InicioCiclo,$S155+MOD(2-WEEKDAY($S155),7))+27),1,IF(N($W155)&gt;0,AVERAGEIFS($AB$5:$AB$1000,$U$5:$U$1000,ROW(),$V$5:$V$1000,"Sub"),$AB155)))</f>
        <v/>
      </c>
      <c r="AG155" s="62">
        <f>IF($V155&lt;&gt;"Macro","",IF(COUNTIFS($S$5:$S$1000,$S155,$V$5:$V$1000,"Macro",$H$5:$H$1000,"&gt;0")=0,1/COUNTIFS($S$5:$S$1000,$S155,$V$5:$V$1000,"Macro"),IF(AND(ISNUMBER($H155),N($H155)&gt;0),$H155,SUMIFS($H$5:$H$1000,$S$5:$S$1000,$S155,$V$5:$V$1000,"Macro")/COUNTIFS($S$5:$S$1000,$S155,$V$5:$V$1000,"Macro",$H$5:$H$1000,"&gt;0"))/(COUNTIFS($S$5:$S$1000,$S155,$V$5:$V$1000,"Macro")*SUMIFS($H$5:$H$1000,$S$5:$S$1000,$S155,$V$5:$V$1000,"Macro")/COUNTIFS($S$5:$S$1000,$S155,$V$5:$V$1000,"Macro",$H$5:$H$1000,"&gt;0"))))</f>
        <v/>
      </c>
      <c r="AH155" s="62" t="n"/>
      <c r="AI155" s="62" t="n"/>
      <c r="AJ155" s="62" t="n"/>
      <c r="AK155" s="62" t="n"/>
      <c r="AL155" s="62">
        <f>IF(LEFT($C155,11)="[Jefatura] ",IFERROR(MATCH("Riesgo Financiero|"&amp;MID($C155,12,500),rDname_ADM,0),0),"")</f>
        <v/>
      </c>
      <c r="AM155" s="62">
        <f>IF(N($AL155)&gt;0,INDEX(rIni_ADM,$AL155),IF(ISNUMBER($E155),$E155,""))</f>
        <v/>
      </c>
      <c r="AN155" s="62">
        <f>IF(N($AL155)&gt;0,INDEX(rLim_ADM,$AL155),IF(ISNUMBER($F155),$F155,""))</f>
        <v/>
      </c>
    </row>
    <row r="156">
      <c r="A156" s="56">
        <f>IF(NOT((COUNTA($B156:$D156)+COUNTA($G156:$L156)+COUNTA($Q156))&gt;0),"",IF($V156="Macro",COUNTIFS($V$5:$V156,"Macro",$S$5:$S156,$S156),IF(N($U156)=0,"?",COUNTIFS(INDEX($V$5:$V$1000,1):INDEX($V$5:$V$1000,$U156-4),"Macro",INDEX($S$5:$S$1000,1):INDEX($S$5:$S$1000,$U156-4),INDEX($S$5:$S$1000,$U156-4))&amp;"."&amp;COUNTIFS($U$5:$U156,$U156,$V$5:$V156,"Sub"))))</f>
        <v/>
      </c>
      <c r="B156" s="57" t="n"/>
      <c r="C156" s="58" t="n"/>
      <c r="D156" s="58" t="n"/>
      <c r="E156" s="59">
        <f>IF(N($AL156)&gt;0,INDEX(rIni_ADM,$AL156),"")</f>
        <v/>
      </c>
      <c r="F156" s="59">
        <f>IF(N($AL156)&gt;0,INDEX(rLim_ADM,$AL156),"")</f>
        <v/>
      </c>
      <c r="G156" s="59" t="n"/>
      <c r="H156" s="60" t="n"/>
      <c r="I156" s="60" t="n"/>
      <c r="J156" s="60" t="n"/>
      <c r="K156" s="60" t="n"/>
      <c r="L156" s="60" t="n"/>
      <c r="M156" s="61">
        <f>IF(NOT((COUNTA($B156:$D156)+COUNTA($G156:$L156)+COUNTA($Q156))&gt;0),"",IF($V156="Sub",IFERROR($X156/INDEX($W$5:$W$1000,$U156-4),""),IF(ISNUMBER($G156),1,IF(N($W156)&gt;0,AVERAGEIFS($X$5:$X$1000,$U$5:$U$1000,ROW(),$V$5:$V$1000,"Sub"),$X156))))</f>
        <v/>
      </c>
      <c r="N156" s="56">
        <f>IF(OR($M156="",$V156="Sub"),"",IF($M156&gt;=1,"Completado",IF($M156&gt;0,"En curso","Pendiente")))</f>
        <v/>
      </c>
      <c r="O156" s="56">
        <f>IF(OR(NOT((COUNTA($B156:$D156)+COUNTA($G156:$L156)+COUNTA($Q156))&gt;0),$V156="Sub"),"",IF(ISNUMBER($G156),IF(AND(ISNUMBER($AN156),$G156&gt;$AN156),"Cumplida con "&amp;($G156-$AN156)&amp;IF($G156-$AN156=1," día"," días")&amp;" de retraso","Cumplida"),IF(N($M156)&gt;=1,"Cumplida",IF(NOT(ISNUMBER($AN156)),"Sin fecha límite",IF($AN156&lt;FechaRef,"Vencida hace "&amp;(FechaRef-$AN156)&amp;IF(FechaRef-$AN156=1," día"," días"),IF($AN156=FechaRef,"Vence hoy",IF($AN156-FechaRef&lt;=DiasAlerta,"Vence en "&amp;($AN156-FechaRef)&amp;IF($AN156-FechaRef=1," día"," días"),"En plazo")))))))</f>
        <v/>
      </c>
      <c r="P156" s="62" t="n"/>
      <c r="Q156" s="58" t="n"/>
      <c r="R156" s="63">
        <f>IF(NOT((COUNTA($B156:$D156)+COUNTA($G156:$L156)+COUNTA($Q156))&gt;0),"",IF((IF($C156="","Falta el nombre de la actividad"&amp;" · ","")&amp;IF(AND($V156="Sub",N($U156)=0),"Subactividad sin macroactividad arriba"&amp;" · ","")&amp;IF($AM156="","Sin fecha de inicio"&amp;" · ","")&amp;IF($AN156="","Sin fecha límite"&amp;" · ","")&amp;IF(AND(LEFT($C156,11)="[Jefatura] ",N($AL156)=0),"No se encuentra en la hoja de la jefatura (elíjala de nuevo en la lista)"&amp;" · ","")&amp;IF(OR(AND($E156&lt;&gt;"",NOT(ISNUMBER($E156))),AND($F156&lt;&gt;"",NOT(ISNUMBER($F156))),AND($G156&lt;&gt;"",NOT(ISNUMBER($G156)))),"Fecha no válida"&amp;" · ","")&amp;IF(AND(ISNUMBER($AM156),ISNUMBER($AN156),$AM156&gt;$AN156),"Inicio posterior a fecha límite"&amp;" · ","")&amp;IF(AND($V156="Macro",$H156&lt;&gt;"",OR(NOT(ISNUMBER($H156)),$H156&lt;0,$H156&gt;1)),"Peso fuera de rango"&amp;" · ","")&amp;IF(AND($V156="Sub",$H156&lt;&gt;""),"Las subactividades no llevan peso (valen igual dentro de su macroactividad)"&amp;" · ","")&amp;IF(AND(N($W156)&gt;0,COUNT($I156:$L156)&gt;0),"Con subactividades: deje vacías las semanas (se calculan solas)"&amp;" · ","")&amp;IF((COUNTIF($I156:$L156,"&gt;1")+COUNTIF($I156:$L156,"&lt;0")+COUNTA($I156:$L156)-COUNT($I156:$L156))&gt;0,"Avance fuera de rango 0-100%"&amp;" · ","")&amp;IF(OR(AND($J156&lt;&gt;"",$J156&lt;$I156),AND($K156&lt;&gt;"",$K156&lt;MAX($I156:$J156)),AND($L156&lt;&gt;"",$L156&lt;MAX($I156:$K156))),"Avance semanal decreciente"&amp;" · ","")&amp;IF(AND(ISNUMBER($AN156),$AN156&lt;FechaRef,IF($V156="Sub",N($X156),N($M156))&lt;1),"Vencida"&amp;" · ","")&amp;IF(AND(ObsObligatoria="Sí",ISNUMBER($AN156),$AN156&lt;FechaRef,IF($V156="Sub",N($X156),N($M156))&lt;1,$Q156=""),"Vencida sin observación"&amp;" · ",""))="","✔ OK","⚠ "&amp;LEFT(IF($C156="","Falta el nombre de la actividad"&amp;" · ","")&amp;IF(AND($V156="Sub",N($U156)=0),"Subactividad sin macroactividad arriba"&amp;" · ","")&amp;IF($AM156="","Sin fecha de inicio"&amp;" · ","")&amp;IF($AN156="","Sin fecha límite"&amp;" · ","")&amp;IF(AND(LEFT($C156,11)="[Jefatura] ",N($AL156)=0),"No se encuentra en la hoja de la jefatura (elíjala de nuevo en la lista)"&amp;" · ","")&amp;IF(OR(AND($E156&lt;&gt;"",NOT(ISNUMBER($E156))),AND($F156&lt;&gt;"",NOT(ISNUMBER($F156))),AND($G156&lt;&gt;"",NOT(ISNUMBER($G156)))),"Fecha no válida"&amp;" · ","")&amp;IF(AND(ISNUMBER($AM156),ISNUMBER($AN156),$AM156&gt;$AN156),"Inicio posterior a fecha límite"&amp;" · ","")&amp;IF(AND($V156="Macro",$H156&lt;&gt;"",OR(NOT(ISNUMBER($H156)),$H156&lt;0,$H156&gt;1)),"Peso fuera de rango"&amp;" · ","")&amp;IF(AND($V156="Sub",$H156&lt;&gt;""),"Las subactividades no llevan peso (valen igual dentro de su macroactividad)"&amp;" · ","")&amp;IF(AND(N($W156)&gt;0,COUNT($I156:$L156)&gt;0),"Con subactividades: deje vacías las semanas (se calculan solas)"&amp;" · ","")&amp;IF((COUNTIF($I156:$L156,"&gt;1")+COUNTIF($I156:$L156,"&lt;0")+COUNTA($I156:$L156)-COUNT($I156:$L156))&gt;0,"Avance fuera de rango 0-100%"&amp;" · ","")&amp;IF(OR(AND($J156&lt;&gt;"",$J156&lt;$I156),AND($K156&lt;&gt;"",$K156&lt;MAX($I156:$J156)),AND($L156&lt;&gt;"",$L156&lt;MAX($I156:$K156))),"Avance semanal decreciente"&amp;" · ","")&amp;IF(AND(ISNUMBER($AN156),$AN156&lt;FechaRef,IF($V156="Sub",N($X156),N($M156))&lt;1),"Vencida"&amp;" · ","")&amp;IF(AND(ObsObligatoria="Sí",ISNUMBER($AN156),$AN156&lt;FechaRef,IF($V156="Sub",N($X156),N($M156))&lt;1,$Q156=""),"Vencida sin observación"&amp;" · ",""),LEN(IF($C156="","Falta el nombre de la actividad"&amp;" · ","")&amp;IF(AND($V156="Sub",N($U156)=0),"Subactividad sin macroactividad arriba"&amp;" · ","")&amp;IF($AM156="","Sin fecha de inicio"&amp;" · ","")&amp;IF($AN156="","Sin fecha límite"&amp;" · ","")&amp;IF(AND(LEFT($C156,11)="[Jefatura] ",N($AL156)=0),"No se encuentra en la hoja de la jefatura (elíjala de nuevo en la lista)"&amp;" · ","")&amp;IF(OR(AND($E156&lt;&gt;"",NOT(ISNUMBER($E156))),AND($F156&lt;&gt;"",NOT(ISNUMBER($F156))),AND($G156&lt;&gt;"",NOT(ISNUMBER($G156)))),"Fecha no válida"&amp;" · ","")&amp;IF(AND(ISNUMBER($AM156),ISNUMBER($AN156),$AM156&gt;$AN156),"Inicio posterior a fecha límite"&amp;" · ","")&amp;IF(AND($V156="Macro",$H156&lt;&gt;"",OR(NOT(ISNUMBER($H156)),$H156&lt;0,$H156&gt;1)),"Peso fuera de rango"&amp;" · ","")&amp;IF(AND($V156="Sub",$H156&lt;&gt;""),"Las subactividades no llevan peso (valen igual dentro de su macroactividad)"&amp;" · ","")&amp;IF(AND(N($W156)&gt;0,COUNT($I156:$L156)&gt;0),"Con subactividades: deje vacías las semanas (se calculan solas)"&amp;" · ","")&amp;IF((COUNTIF($I156:$L156,"&gt;1")+COUNTIF($I156:$L156,"&lt;0")+COUNTA($I156:$L156)-COUNT($I156:$L156))&gt;0,"Avance fuera de rango 0-100%"&amp;" · ","")&amp;IF(OR(AND($J156&lt;&gt;"",$J156&lt;$I156),AND($K156&lt;&gt;"",$K156&lt;MAX($I156:$J156)),AND($L156&lt;&gt;"",$L156&lt;MAX($I156:$K156))),"Avance semanal decreciente"&amp;" · ","")&amp;IF(AND(ISNUMBER($AN156),$AN156&lt;FechaRef,IF($V156="Sub",N($X156),N($M156))&lt;1),"Vencida"&amp;" · ","")&amp;IF(AND(ObsObligatoria="Sí",ISNUMBER($AN156),$AN156&lt;FechaRef,IF($V156="Sub",N($X156),N($M156))&lt;1,$Q156=""),"Vencida sin observación"&amp;" · ",""))-3)))</f>
        <v/>
      </c>
      <c r="S156" s="64">
        <f>IF(NOT((COUNTA($B156:$D156)+COUNTA($G156:$L156)+COUNTA($Q156))&gt;0),"",IF(AND($V156="Sub",N($U156)&gt;0),IF(ISNUMBER(INDEX($AM$5:$AM$1000,$U156-4)),DATE(YEAR(INDEX($AM$5:$AM$1000,$U156-4)),MONTH(INDEX($AM$5:$AM$1000,$U156-4)),1),IF(ISNUMBER(INDEX($AN$5:$AN$1000,$U156-4)),DATE(YEAR(INDEX($AN$5:$AN$1000,$U156-4)),MONTH(INDEX($AN$5:$AN$1000,$U156-4)),1),MesCiclo)),IF(ISNUMBER($AM156),DATE(YEAR($AM156),MONTH($AM156),1),IF(ISNUMBER($AN156),DATE(YEAR($AN156),MONTH($AN156),1),MesCiclo))))</f>
        <v/>
      </c>
      <c r="T156" s="62">
        <f>IF(OR($S156="",$S156&lt;&gt;MesCiclo,$V156&lt;&gt;"Macro"),"",COUNTIFS($S$5:$S156,MesCiclo,$V$5:$V156,"Macro"))</f>
        <v/>
      </c>
      <c r="U156" s="62">
        <f>IF($V156="","",IF($V156="Macro",ROW(),IFERROR(LOOKUP(2,1/($V$5:$V156="Macro"),ROW($V$5:$V156)),0)))</f>
        <v/>
      </c>
      <c r="V156" s="62">
        <f>IF(NOT((COUNTA($B156:$D156)+COUNTA($G156:$L156)+COUNTA($Q156))&gt;0),"",IF($B156="Subactividad","Sub","Macro"))</f>
        <v/>
      </c>
      <c r="W156" s="62">
        <f>IF($V156="Macro",COUNTIFS($U$5:$U$1000,ROW(),$V$5:$V$1000,"Sub"),"")</f>
        <v/>
      </c>
      <c r="X156" s="62">
        <f>IF($V156="","",IF(ISNUMBER($G156),1,IFERROR(LOOKUP(2,1/($I156:$L156&lt;&gt;""),$I156:$L156),0)))</f>
        <v/>
      </c>
      <c r="Y156" s="62">
        <f>IF($V156="","",IF(AND(ISNUMBER($G156),$G156&lt;=IF($S156=MesCiclo,InicioCiclo,$S156+MOD(2-WEEKDAY($S156),7))+6),1,IF(ISNUMBER($I156),$I156,0)))</f>
        <v/>
      </c>
      <c r="Z156" s="62">
        <f>IF($V156="","",IF(AND(ISNUMBER($G156),$G156&lt;=IF($S156=MesCiclo,InicioCiclo,$S156+MOD(2-WEEKDAY($S156),7))+13),1,IF(ISNUMBER($J156),$J156,$Y156)))</f>
        <v/>
      </c>
      <c r="AA156" s="62">
        <f>IF($V156="","",IF(AND(ISNUMBER($G156),$G156&lt;=IF($S156=MesCiclo,InicioCiclo,$S156+MOD(2-WEEKDAY($S156),7))+20),1,IF(ISNUMBER($K156),$K156,$Z156)))</f>
        <v/>
      </c>
      <c r="AB156" s="62">
        <f>IF($V156="","",IF(AND(ISNUMBER($G156),$G156&lt;=IF($S156=MesCiclo,InicioCiclo,$S156+MOD(2-WEEKDAY($S156),7))+27),1,IF(ISNUMBER($L156),$L156,$AA156)))</f>
        <v/>
      </c>
      <c r="AC156" s="62">
        <f>IF($V156="","",IF(AND(ISNUMBER($G156),$G156&lt;=IF($S156=MesCiclo,InicioCiclo,$S156+MOD(2-WEEKDAY($S156),7))+6),1,IF(N($W156)&gt;0,AVERAGEIFS($Y$5:$Y$1000,$U$5:$U$1000,ROW(),$V$5:$V$1000,"Sub"),$Y156)))</f>
        <v/>
      </c>
      <c r="AD156" s="62">
        <f>IF($V156="","",IF(AND(ISNUMBER($G156),$G156&lt;=IF($S156=MesCiclo,InicioCiclo,$S156+MOD(2-WEEKDAY($S156),7))+13),1,IF(N($W156)&gt;0,AVERAGEIFS($Z$5:$Z$1000,$U$5:$U$1000,ROW(),$V$5:$V$1000,"Sub"),$Z156)))</f>
        <v/>
      </c>
      <c r="AE156" s="62">
        <f>IF($V156="","",IF(AND(ISNUMBER($G156),$G156&lt;=IF($S156=MesCiclo,InicioCiclo,$S156+MOD(2-WEEKDAY($S156),7))+20),1,IF(N($W156)&gt;0,AVERAGEIFS($AA$5:$AA$1000,$U$5:$U$1000,ROW(),$V$5:$V$1000,"Sub"),$AA156)))</f>
        <v/>
      </c>
      <c r="AF156" s="62">
        <f>IF($V156="","",IF(AND(ISNUMBER($G156),$G156&lt;=IF($S156=MesCiclo,InicioCiclo,$S156+MOD(2-WEEKDAY($S156),7))+27),1,IF(N($W156)&gt;0,AVERAGEIFS($AB$5:$AB$1000,$U$5:$U$1000,ROW(),$V$5:$V$1000,"Sub"),$AB156)))</f>
        <v/>
      </c>
      <c r="AG156" s="62">
        <f>IF($V156&lt;&gt;"Macro","",IF(COUNTIFS($S$5:$S$1000,$S156,$V$5:$V$1000,"Macro",$H$5:$H$1000,"&gt;0")=0,1/COUNTIFS($S$5:$S$1000,$S156,$V$5:$V$1000,"Macro"),IF(AND(ISNUMBER($H156),N($H156)&gt;0),$H156,SUMIFS($H$5:$H$1000,$S$5:$S$1000,$S156,$V$5:$V$1000,"Macro")/COUNTIFS($S$5:$S$1000,$S156,$V$5:$V$1000,"Macro",$H$5:$H$1000,"&gt;0"))/(COUNTIFS($S$5:$S$1000,$S156,$V$5:$V$1000,"Macro")*SUMIFS($H$5:$H$1000,$S$5:$S$1000,$S156,$V$5:$V$1000,"Macro")/COUNTIFS($S$5:$S$1000,$S156,$V$5:$V$1000,"Macro",$H$5:$H$1000,"&gt;0"))))</f>
        <v/>
      </c>
      <c r="AH156" s="62" t="n"/>
      <c r="AI156" s="62" t="n"/>
      <c r="AJ156" s="62" t="n"/>
      <c r="AK156" s="62" t="n"/>
      <c r="AL156" s="62">
        <f>IF(LEFT($C156,11)="[Jefatura] ",IFERROR(MATCH("Riesgo Financiero|"&amp;MID($C156,12,500),rDname_ADM,0),0),"")</f>
        <v/>
      </c>
      <c r="AM156" s="62">
        <f>IF(N($AL156)&gt;0,INDEX(rIni_ADM,$AL156),IF(ISNUMBER($E156),$E156,""))</f>
        <v/>
      </c>
      <c r="AN156" s="62">
        <f>IF(N($AL156)&gt;0,INDEX(rLim_ADM,$AL156),IF(ISNUMBER($F156),$F156,""))</f>
        <v/>
      </c>
    </row>
    <row r="157">
      <c r="A157" s="56">
        <f>IF(NOT((COUNTA($B157:$D157)+COUNTA($G157:$L157)+COUNTA($Q157))&gt;0),"",IF($V157="Macro",COUNTIFS($V$5:$V157,"Macro",$S$5:$S157,$S157),IF(N($U157)=0,"?",COUNTIFS(INDEX($V$5:$V$1000,1):INDEX($V$5:$V$1000,$U157-4),"Macro",INDEX($S$5:$S$1000,1):INDEX($S$5:$S$1000,$U157-4),INDEX($S$5:$S$1000,$U157-4))&amp;"."&amp;COUNTIFS($U$5:$U157,$U157,$V$5:$V157,"Sub"))))</f>
        <v/>
      </c>
      <c r="B157" s="57" t="n"/>
      <c r="C157" s="58" t="n"/>
      <c r="D157" s="58" t="n"/>
      <c r="E157" s="59">
        <f>IF(N($AL157)&gt;0,INDEX(rIni_ADM,$AL157),"")</f>
        <v/>
      </c>
      <c r="F157" s="59">
        <f>IF(N($AL157)&gt;0,INDEX(rLim_ADM,$AL157),"")</f>
        <v/>
      </c>
      <c r="G157" s="59" t="n"/>
      <c r="H157" s="60" t="n"/>
      <c r="I157" s="60" t="n"/>
      <c r="J157" s="60" t="n"/>
      <c r="K157" s="60" t="n"/>
      <c r="L157" s="60" t="n"/>
      <c r="M157" s="61">
        <f>IF(NOT((COUNTA($B157:$D157)+COUNTA($G157:$L157)+COUNTA($Q157))&gt;0),"",IF($V157="Sub",IFERROR($X157/INDEX($W$5:$W$1000,$U157-4),""),IF(ISNUMBER($G157),1,IF(N($W157)&gt;0,AVERAGEIFS($X$5:$X$1000,$U$5:$U$1000,ROW(),$V$5:$V$1000,"Sub"),$X157))))</f>
        <v/>
      </c>
      <c r="N157" s="56">
        <f>IF(OR($M157="",$V157="Sub"),"",IF($M157&gt;=1,"Completado",IF($M157&gt;0,"En curso","Pendiente")))</f>
        <v/>
      </c>
      <c r="O157" s="56">
        <f>IF(OR(NOT((COUNTA($B157:$D157)+COUNTA($G157:$L157)+COUNTA($Q157))&gt;0),$V157="Sub"),"",IF(ISNUMBER($G157),IF(AND(ISNUMBER($AN157),$G157&gt;$AN157),"Cumplida con "&amp;($G157-$AN157)&amp;IF($G157-$AN157=1," día"," días")&amp;" de retraso","Cumplida"),IF(N($M157)&gt;=1,"Cumplida",IF(NOT(ISNUMBER($AN157)),"Sin fecha límite",IF($AN157&lt;FechaRef,"Vencida hace "&amp;(FechaRef-$AN157)&amp;IF(FechaRef-$AN157=1," día"," días"),IF($AN157=FechaRef,"Vence hoy",IF($AN157-FechaRef&lt;=DiasAlerta,"Vence en "&amp;($AN157-FechaRef)&amp;IF($AN157-FechaRef=1," día"," días"),"En plazo")))))))</f>
        <v/>
      </c>
      <c r="P157" s="62" t="n"/>
      <c r="Q157" s="58" t="n"/>
      <c r="R157" s="63">
        <f>IF(NOT((COUNTA($B157:$D157)+COUNTA($G157:$L157)+COUNTA($Q157))&gt;0),"",IF((IF($C157="","Falta el nombre de la actividad"&amp;" · ","")&amp;IF(AND($V157="Sub",N($U157)=0),"Subactividad sin macroactividad arriba"&amp;" · ","")&amp;IF($AM157="","Sin fecha de inicio"&amp;" · ","")&amp;IF($AN157="","Sin fecha límite"&amp;" · ","")&amp;IF(AND(LEFT($C157,11)="[Jefatura] ",N($AL157)=0),"No se encuentra en la hoja de la jefatura (elíjala de nuevo en la lista)"&amp;" · ","")&amp;IF(OR(AND($E157&lt;&gt;"",NOT(ISNUMBER($E157))),AND($F157&lt;&gt;"",NOT(ISNUMBER($F157))),AND($G157&lt;&gt;"",NOT(ISNUMBER($G157)))),"Fecha no válida"&amp;" · ","")&amp;IF(AND(ISNUMBER($AM157),ISNUMBER($AN157),$AM157&gt;$AN157),"Inicio posterior a fecha límite"&amp;" · ","")&amp;IF(AND($V157="Macro",$H157&lt;&gt;"",OR(NOT(ISNUMBER($H157)),$H157&lt;0,$H157&gt;1)),"Peso fuera de rango"&amp;" · ","")&amp;IF(AND($V157="Sub",$H157&lt;&gt;""),"Las subactividades no llevan peso (valen igual dentro de su macroactividad)"&amp;" · ","")&amp;IF(AND(N($W157)&gt;0,COUNT($I157:$L157)&gt;0),"Con subactividades: deje vacías las semanas (se calculan solas)"&amp;" · ","")&amp;IF((COUNTIF($I157:$L157,"&gt;1")+COUNTIF($I157:$L157,"&lt;0")+COUNTA($I157:$L157)-COUNT($I157:$L157))&gt;0,"Avance fuera de rango 0-100%"&amp;" · ","")&amp;IF(OR(AND($J157&lt;&gt;"",$J157&lt;$I157),AND($K157&lt;&gt;"",$K157&lt;MAX($I157:$J157)),AND($L157&lt;&gt;"",$L157&lt;MAX($I157:$K157))),"Avance semanal decreciente"&amp;" · ","")&amp;IF(AND(ISNUMBER($AN157),$AN157&lt;FechaRef,IF($V157="Sub",N($X157),N($M157))&lt;1),"Vencida"&amp;" · ","")&amp;IF(AND(ObsObligatoria="Sí",ISNUMBER($AN157),$AN157&lt;FechaRef,IF($V157="Sub",N($X157),N($M157))&lt;1,$Q157=""),"Vencida sin observación"&amp;" · ",""))="","✔ OK","⚠ "&amp;LEFT(IF($C157="","Falta el nombre de la actividad"&amp;" · ","")&amp;IF(AND($V157="Sub",N($U157)=0),"Subactividad sin macroactividad arriba"&amp;" · ","")&amp;IF($AM157="","Sin fecha de inicio"&amp;" · ","")&amp;IF($AN157="","Sin fecha límite"&amp;" · ","")&amp;IF(AND(LEFT($C157,11)="[Jefatura] ",N($AL157)=0),"No se encuentra en la hoja de la jefatura (elíjala de nuevo en la lista)"&amp;" · ","")&amp;IF(OR(AND($E157&lt;&gt;"",NOT(ISNUMBER($E157))),AND($F157&lt;&gt;"",NOT(ISNUMBER($F157))),AND($G157&lt;&gt;"",NOT(ISNUMBER($G157)))),"Fecha no válida"&amp;" · ","")&amp;IF(AND(ISNUMBER($AM157),ISNUMBER($AN157),$AM157&gt;$AN157),"Inicio posterior a fecha límite"&amp;" · ","")&amp;IF(AND($V157="Macro",$H157&lt;&gt;"",OR(NOT(ISNUMBER($H157)),$H157&lt;0,$H157&gt;1)),"Peso fuera de rango"&amp;" · ","")&amp;IF(AND($V157="Sub",$H157&lt;&gt;""),"Las subactividades no llevan peso (valen igual dentro de su macroactividad)"&amp;" · ","")&amp;IF(AND(N($W157)&gt;0,COUNT($I157:$L157)&gt;0),"Con subactividades: deje vacías las semanas (se calculan solas)"&amp;" · ","")&amp;IF((COUNTIF($I157:$L157,"&gt;1")+COUNTIF($I157:$L157,"&lt;0")+COUNTA($I157:$L157)-COUNT($I157:$L157))&gt;0,"Avance fuera de rango 0-100%"&amp;" · ","")&amp;IF(OR(AND($J157&lt;&gt;"",$J157&lt;$I157),AND($K157&lt;&gt;"",$K157&lt;MAX($I157:$J157)),AND($L157&lt;&gt;"",$L157&lt;MAX($I157:$K157))),"Avance semanal decreciente"&amp;" · ","")&amp;IF(AND(ISNUMBER($AN157),$AN157&lt;FechaRef,IF($V157="Sub",N($X157),N($M157))&lt;1),"Vencida"&amp;" · ","")&amp;IF(AND(ObsObligatoria="Sí",ISNUMBER($AN157),$AN157&lt;FechaRef,IF($V157="Sub",N($X157),N($M157))&lt;1,$Q157=""),"Vencida sin observación"&amp;" · ",""),LEN(IF($C157="","Falta el nombre de la actividad"&amp;" · ","")&amp;IF(AND($V157="Sub",N($U157)=0),"Subactividad sin macroactividad arriba"&amp;" · ","")&amp;IF($AM157="","Sin fecha de inicio"&amp;" · ","")&amp;IF($AN157="","Sin fecha límite"&amp;" · ","")&amp;IF(AND(LEFT($C157,11)="[Jefatura] ",N($AL157)=0),"No se encuentra en la hoja de la jefatura (elíjala de nuevo en la lista)"&amp;" · ","")&amp;IF(OR(AND($E157&lt;&gt;"",NOT(ISNUMBER($E157))),AND($F157&lt;&gt;"",NOT(ISNUMBER($F157))),AND($G157&lt;&gt;"",NOT(ISNUMBER($G157)))),"Fecha no válida"&amp;" · ","")&amp;IF(AND(ISNUMBER($AM157),ISNUMBER($AN157),$AM157&gt;$AN157),"Inicio posterior a fecha límite"&amp;" · ","")&amp;IF(AND($V157="Macro",$H157&lt;&gt;"",OR(NOT(ISNUMBER($H157)),$H157&lt;0,$H157&gt;1)),"Peso fuera de rango"&amp;" · ","")&amp;IF(AND($V157="Sub",$H157&lt;&gt;""),"Las subactividades no llevan peso (valen igual dentro de su macroactividad)"&amp;" · ","")&amp;IF(AND(N($W157)&gt;0,COUNT($I157:$L157)&gt;0),"Con subactividades: deje vacías las semanas (se calculan solas)"&amp;" · ","")&amp;IF((COUNTIF($I157:$L157,"&gt;1")+COUNTIF($I157:$L157,"&lt;0")+COUNTA($I157:$L157)-COUNT($I157:$L157))&gt;0,"Avance fuera de rango 0-100%"&amp;" · ","")&amp;IF(OR(AND($J157&lt;&gt;"",$J157&lt;$I157),AND($K157&lt;&gt;"",$K157&lt;MAX($I157:$J157)),AND($L157&lt;&gt;"",$L157&lt;MAX($I157:$K157))),"Avance semanal decreciente"&amp;" · ","")&amp;IF(AND(ISNUMBER($AN157),$AN157&lt;FechaRef,IF($V157="Sub",N($X157),N($M157))&lt;1),"Vencida"&amp;" · ","")&amp;IF(AND(ObsObligatoria="Sí",ISNUMBER($AN157),$AN157&lt;FechaRef,IF($V157="Sub",N($X157),N($M157))&lt;1,$Q157=""),"Vencida sin observación"&amp;" · ",""))-3)))</f>
        <v/>
      </c>
      <c r="S157" s="64">
        <f>IF(NOT((COUNTA($B157:$D157)+COUNTA($G157:$L157)+COUNTA($Q157))&gt;0),"",IF(AND($V157="Sub",N($U157)&gt;0),IF(ISNUMBER(INDEX($AM$5:$AM$1000,$U157-4)),DATE(YEAR(INDEX($AM$5:$AM$1000,$U157-4)),MONTH(INDEX($AM$5:$AM$1000,$U157-4)),1),IF(ISNUMBER(INDEX($AN$5:$AN$1000,$U157-4)),DATE(YEAR(INDEX($AN$5:$AN$1000,$U157-4)),MONTH(INDEX($AN$5:$AN$1000,$U157-4)),1),MesCiclo)),IF(ISNUMBER($AM157),DATE(YEAR($AM157),MONTH($AM157),1),IF(ISNUMBER($AN157),DATE(YEAR($AN157),MONTH($AN157),1),MesCiclo))))</f>
        <v/>
      </c>
      <c r="T157" s="62">
        <f>IF(OR($S157="",$S157&lt;&gt;MesCiclo,$V157&lt;&gt;"Macro"),"",COUNTIFS($S$5:$S157,MesCiclo,$V$5:$V157,"Macro"))</f>
        <v/>
      </c>
      <c r="U157" s="62">
        <f>IF($V157="","",IF($V157="Macro",ROW(),IFERROR(LOOKUP(2,1/($V$5:$V157="Macro"),ROW($V$5:$V157)),0)))</f>
        <v/>
      </c>
      <c r="V157" s="62">
        <f>IF(NOT((COUNTA($B157:$D157)+COUNTA($G157:$L157)+COUNTA($Q157))&gt;0),"",IF($B157="Subactividad","Sub","Macro"))</f>
        <v/>
      </c>
      <c r="W157" s="62">
        <f>IF($V157="Macro",COUNTIFS($U$5:$U$1000,ROW(),$V$5:$V$1000,"Sub"),"")</f>
        <v/>
      </c>
      <c r="X157" s="62">
        <f>IF($V157="","",IF(ISNUMBER($G157),1,IFERROR(LOOKUP(2,1/($I157:$L157&lt;&gt;""),$I157:$L157),0)))</f>
        <v/>
      </c>
      <c r="Y157" s="62">
        <f>IF($V157="","",IF(AND(ISNUMBER($G157),$G157&lt;=IF($S157=MesCiclo,InicioCiclo,$S157+MOD(2-WEEKDAY($S157),7))+6),1,IF(ISNUMBER($I157),$I157,0)))</f>
        <v/>
      </c>
      <c r="Z157" s="62">
        <f>IF($V157="","",IF(AND(ISNUMBER($G157),$G157&lt;=IF($S157=MesCiclo,InicioCiclo,$S157+MOD(2-WEEKDAY($S157),7))+13),1,IF(ISNUMBER($J157),$J157,$Y157)))</f>
        <v/>
      </c>
      <c r="AA157" s="62">
        <f>IF($V157="","",IF(AND(ISNUMBER($G157),$G157&lt;=IF($S157=MesCiclo,InicioCiclo,$S157+MOD(2-WEEKDAY($S157),7))+20),1,IF(ISNUMBER($K157),$K157,$Z157)))</f>
        <v/>
      </c>
      <c r="AB157" s="62">
        <f>IF($V157="","",IF(AND(ISNUMBER($G157),$G157&lt;=IF($S157=MesCiclo,InicioCiclo,$S157+MOD(2-WEEKDAY($S157),7))+27),1,IF(ISNUMBER($L157),$L157,$AA157)))</f>
        <v/>
      </c>
      <c r="AC157" s="62">
        <f>IF($V157="","",IF(AND(ISNUMBER($G157),$G157&lt;=IF($S157=MesCiclo,InicioCiclo,$S157+MOD(2-WEEKDAY($S157),7))+6),1,IF(N($W157)&gt;0,AVERAGEIFS($Y$5:$Y$1000,$U$5:$U$1000,ROW(),$V$5:$V$1000,"Sub"),$Y157)))</f>
        <v/>
      </c>
      <c r="AD157" s="62">
        <f>IF($V157="","",IF(AND(ISNUMBER($G157),$G157&lt;=IF($S157=MesCiclo,InicioCiclo,$S157+MOD(2-WEEKDAY($S157),7))+13),1,IF(N($W157)&gt;0,AVERAGEIFS($Z$5:$Z$1000,$U$5:$U$1000,ROW(),$V$5:$V$1000,"Sub"),$Z157)))</f>
        <v/>
      </c>
      <c r="AE157" s="62">
        <f>IF($V157="","",IF(AND(ISNUMBER($G157),$G157&lt;=IF($S157=MesCiclo,InicioCiclo,$S157+MOD(2-WEEKDAY($S157),7))+20),1,IF(N($W157)&gt;0,AVERAGEIFS($AA$5:$AA$1000,$U$5:$U$1000,ROW(),$V$5:$V$1000,"Sub"),$AA157)))</f>
        <v/>
      </c>
      <c r="AF157" s="62">
        <f>IF($V157="","",IF(AND(ISNUMBER($G157),$G157&lt;=IF($S157=MesCiclo,InicioCiclo,$S157+MOD(2-WEEKDAY($S157),7))+27),1,IF(N($W157)&gt;0,AVERAGEIFS($AB$5:$AB$1000,$U$5:$U$1000,ROW(),$V$5:$V$1000,"Sub"),$AB157)))</f>
        <v/>
      </c>
      <c r="AG157" s="62">
        <f>IF($V157&lt;&gt;"Macro","",IF(COUNTIFS($S$5:$S$1000,$S157,$V$5:$V$1000,"Macro",$H$5:$H$1000,"&gt;0")=0,1/COUNTIFS($S$5:$S$1000,$S157,$V$5:$V$1000,"Macro"),IF(AND(ISNUMBER($H157),N($H157)&gt;0),$H157,SUMIFS($H$5:$H$1000,$S$5:$S$1000,$S157,$V$5:$V$1000,"Macro")/COUNTIFS($S$5:$S$1000,$S157,$V$5:$V$1000,"Macro",$H$5:$H$1000,"&gt;0"))/(COUNTIFS($S$5:$S$1000,$S157,$V$5:$V$1000,"Macro")*SUMIFS($H$5:$H$1000,$S$5:$S$1000,$S157,$V$5:$V$1000,"Macro")/COUNTIFS($S$5:$S$1000,$S157,$V$5:$V$1000,"Macro",$H$5:$H$1000,"&gt;0"))))</f>
        <v/>
      </c>
      <c r="AH157" s="62" t="n"/>
      <c r="AI157" s="62" t="n"/>
      <c r="AJ157" s="62" t="n"/>
      <c r="AK157" s="62" t="n"/>
      <c r="AL157" s="62">
        <f>IF(LEFT($C157,11)="[Jefatura] ",IFERROR(MATCH("Riesgo Financiero|"&amp;MID($C157,12,500),rDname_ADM,0),0),"")</f>
        <v/>
      </c>
      <c r="AM157" s="62">
        <f>IF(N($AL157)&gt;0,INDEX(rIni_ADM,$AL157),IF(ISNUMBER($E157),$E157,""))</f>
        <v/>
      </c>
      <c r="AN157" s="62">
        <f>IF(N($AL157)&gt;0,INDEX(rLim_ADM,$AL157),IF(ISNUMBER($F157),$F157,""))</f>
        <v/>
      </c>
    </row>
    <row r="158">
      <c r="A158" s="56">
        <f>IF(NOT((COUNTA($B158:$D158)+COUNTA($G158:$L158)+COUNTA($Q158))&gt;0),"",IF($V158="Macro",COUNTIFS($V$5:$V158,"Macro",$S$5:$S158,$S158),IF(N($U158)=0,"?",COUNTIFS(INDEX($V$5:$V$1000,1):INDEX($V$5:$V$1000,$U158-4),"Macro",INDEX($S$5:$S$1000,1):INDEX($S$5:$S$1000,$U158-4),INDEX($S$5:$S$1000,$U158-4))&amp;"."&amp;COUNTIFS($U$5:$U158,$U158,$V$5:$V158,"Sub"))))</f>
        <v/>
      </c>
      <c r="B158" s="57" t="n"/>
      <c r="C158" s="58" t="n"/>
      <c r="D158" s="58" t="n"/>
      <c r="E158" s="59">
        <f>IF(N($AL158)&gt;0,INDEX(rIni_ADM,$AL158),"")</f>
        <v/>
      </c>
      <c r="F158" s="59">
        <f>IF(N($AL158)&gt;0,INDEX(rLim_ADM,$AL158),"")</f>
        <v/>
      </c>
      <c r="G158" s="59" t="n"/>
      <c r="H158" s="60" t="n"/>
      <c r="I158" s="60" t="n"/>
      <c r="J158" s="60" t="n"/>
      <c r="K158" s="60" t="n"/>
      <c r="L158" s="60" t="n"/>
      <c r="M158" s="61">
        <f>IF(NOT((COUNTA($B158:$D158)+COUNTA($G158:$L158)+COUNTA($Q158))&gt;0),"",IF($V158="Sub",IFERROR($X158/INDEX($W$5:$W$1000,$U158-4),""),IF(ISNUMBER($G158),1,IF(N($W158)&gt;0,AVERAGEIFS($X$5:$X$1000,$U$5:$U$1000,ROW(),$V$5:$V$1000,"Sub"),$X158))))</f>
        <v/>
      </c>
      <c r="N158" s="56">
        <f>IF(OR($M158="",$V158="Sub"),"",IF($M158&gt;=1,"Completado",IF($M158&gt;0,"En curso","Pendiente")))</f>
        <v/>
      </c>
      <c r="O158" s="56">
        <f>IF(OR(NOT((COUNTA($B158:$D158)+COUNTA($G158:$L158)+COUNTA($Q158))&gt;0),$V158="Sub"),"",IF(ISNUMBER($G158),IF(AND(ISNUMBER($AN158),$G158&gt;$AN158),"Cumplida con "&amp;($G158-$AN158)&amp;IF($G158-$AN158=1," día"," días")&amp;" de retraso","Cumplida"),IF(N($M158)&gt;=1,"Cumplida",IF(NOT(ISNUMBER($AN158)),"Sin fecha límite",IF($AN158&lt;FechaRef,"Vencida hace "&amp;(FechaRef-$AN158)&amp;IF(FechaRef-$AN158=1," día"," días"),IF($AN158=FechaRef,"Vence hoy",IF($AN158-FechaRef&lt;=DiasAlerta,"Vence en "&amp;($AN158-FechaRef)&amp;IF($AN158-FechaRef=1," día"," días"),"En plazo")))))))</f>
        <v/>
      </c>
      <c r="P158" s="62" t="n"/>
      <c r="Q158" s="58" t="n"/>
      <c r="R158" s="63">
        <f>IF(NOT((COUNTA($B158:$D158)+COUNTA($G158:$L158)+COUNTA($Q158))&gt;0),"",IF((IF($C158="","Falta el nombre de la actividad"&amp;" · ","")&amp;IF(AND($V158="Sub",N($U158)=0),"Subactividad sin macroactividad arriba"&amp;" · ","")&amp;IF($AM158="","Sin fecha de inicio"&amp;" · ","")&amp;IF($AN158="","Sin fecha límite"&amp;" · ","")&amp;IF(AND(LEFT($C158,11)="[Jefatura] ",N($AL158)=0),"No se encuentra en la hoja de la jefatura (elíjala de nuevo en la lista)"&amp;" · ","")&amp;IF(OR(AND($E158&lt;&gt;"",NOT(ISNUMBER($E158))),AND($F158&lt;&gt;"",NOT(ISNUMBER($F158))),AND($G158&lt;&gt;"",NOT(ISNUMBER($G158)))),"Fecha no válida"&amp;" · ","")&amp;IF(AND(ISNUMBER($AM158),ISNUMBER($AN158),$AM158&gt;$AN158),"Inicio posterior a fecha límite"&amp;" · ","")&amp;IF(AND($V158="Macro",$H158&lt;&gt;"",OR(NOT(ISNUMBER($H158)),$H158&lt;0,$H158&gt;1)),"Peso fuera de rango"&amp;" · ","")&amp;IF(AND($V158="Sub",$H158&lt;&gt;""),"Las subactividades no llevan peso (valen igual dentro de su macroactividad)"&amp;" · ","")&amp;IF(AND(N($W158)&gt;0,COUNT($I158:$L158)&gt;0),"Con subactividades: deje vacías las semanas (se calculan solas)"&amp;" · ","")&amp;IF((COUNTIF($I158:$L158,"&gt;1")+COUNTIF($I158:$L158,"&lt;0")+COUNTA($I158:$L158)-COUNT($I158:$L158))&gt;0,"Avance fuera de rango 0-100%"&amp;" · ","")&amp;IF(OR(AND($J158&lt;&gt;"",$J158&lt;$I158),AND($K158&lt;&gt;"",$K158&lt;MAX($I158:$J158)),AND($L158&lt;&gt;"",$L158&lt;MAX($I158:$K158))),"Avance semanal decreciente"&amp;" · ","")&amp;IF(AND(ISNUMBER($AN158),$AN158&lt;FechaRef,IF($V158="Sub",N($X158),N($M158))&lt;1),"Vencida"&amp;" · ","")&amp;IF(AND(ObsObligatoria="Sí",ISNUMBER($AN158),$AN158&lt;FechaRef,IF($V158="Sub",N($X158),N($M158))&lt;1,$Q158=""),"Vencida sin observación"&amp;" · ",""))="","✔ OK","⚠ "&amp;LEFT(IF($C158="","Falta el nombre de la actividad"&amp;" · ","")&amp;IF(AND($V158="Sub",N($U158)=0),"Subactividad sin macroactividad arriba"&amp;" · ","")&amp;IF($AM158="","Sin fecha de inicio"&amp;" · ","")&amp;IF($AN158="","Sin fecha límite"&amp;" · ","")&amp;IF(AND(LEFT($C158,11)="[Jefatura] ",N($AL158)=0),"No se encuentra en la hoja de la jefatura (elíjala de nuevo en la lista)"&amp;" · ","")&amp;IF(OR(AND($E158&lt;&gt;"",NOT(ISNUMBER($E158))),AND($F158&lt;&gt;"",NOT(ISNUMBER($F158))),AND($G158&lt;&gt;"",NOT(ISNUMBER($G158)))),"Fecha no válida"&amp;" · ","")&amp;IF(AND(ISNUMBER($AM158),ISNUMBER($AN158),$AM158&gt;$AN158),"Inicio posterior a fecha límite"&amp;" · ","")&amp;IF(AND($V158="Macro",$H158&lt;&gt;"",OR(NOT(ISNUMBER($H158)),$H158&lt;0,$H158&gt;1)),"Peso fuera de rango"&amp;" · ","")&amp;IF(AND($V158="Sub",$H158&lt;&gt;""),"Las subactividades no llevan peso (valen igual dentro de su macroactividad)"&amp;" · ","")&amp;IF(AND(N($W158)&gt;0,COUNT($I158:$L158)&gt;0),"Con subactividades: deje vacías las semanas (se calculan solas)"&amp;" · ","")&amp;IF((COUNTIF($I158:$L158,"&gt;1")+COUNTIF($I158:$L158,"&lt;0")+COUNTA($I158:$L158)-COUNT($I158:$L158))&gt;0,"Avance fuera de rango 0-100%"&amp;" · ","")&amp;IF(OR(AND($J158&lt;&gt;"",$J158&lt;$I158),AND($K158&lt;&gt;"",$K158&lt;MAX($I158:$J158)),AND($L158&lt;&gt;"",$L158&lt;MAX($I158:$K158))),"Avance semanal decreciente"&amp;" · ","")&amp;IF(AND(ISNUMBER($AN158),$AN158&lt;FechaRef,IF($V158="Sub",N($X158),N($M158))&lt;1),"Vencida"&amp;" · ","")&amp;IF(AND(ObsObligatoria="Sí",ISNUMBER($AN158),$AN158&lt;FechaRef,IF($V158="Sub",N($X158),N($M158))&lt;1,$Q158=""),"Vencida sin observación"&amp;" · ",""),LEN(IF($C158="","Falta el nombre de la actividad"&amp;" · ","")&amp;IF(AND($V158="Sub",N($U158)=0),"Subactividad sin macroactividad arriba"&amp;" · ","")&amp;IF($AM158="","Sin fecha de inicio"&amp;" · ","")&amp;IF($AN158="","Sin fecha límite"&amp;" · ","")&amp;IF(AND(LEFT($C158,11)="[Jefatura] ",N($AL158)=0),"No se encuentra en la hoja de la jefatura (elíjala de nuevo en la lista)"&amp;" · ","")&amp;IF(OR(AND($E158&lt;&gt;"",NOT(ISNUMBER($E158))),AND($F158&lt;&gt;"",NOT(ISNUMBER($F158))),AND($G158&lt;&gt;"",NOT(ISNUMBER($G158)))),"Fecha no válida"&amp;" · ","")&amp;IF(AND(ISNUMBER($AM158),ISNUMBER($AN158),$AM158&gt;$AN158),"Inicio posterior a fecha límite"&amp;" · ","")&amp;IF(AND($V158="Macro",$H158&lt;&gt;"",OR(NOT(ISNUMBER($H158)),$H158&lt;0,$H158&gt;1)),"Peso fuera de rango"&amp;" · ","")&amp;IF(AND($V158="Sub",$H158&lt;&gt;""),"Las subactividades no llevan peso (valen igual dentro de su macroactividad)"&amp;" · ","")&amp;IF(AND(N($W158)&gt;0,COUNT($I158:$L158)&gt;0),"Con subactividades: deje vacías las semanas (se calculan solas)"&amp;" · ","")&amp;IF((COUNTIF($I158:$L158,"&gt;1")+COUNTIF($I158:$L158,"&lt;0")+COUNTA($I158:$L158)-COUNT($I158:$L158))&gt;0,"Avance fuera de rango 0-100%"&amp;" · ","")&amp;IF(OR(AND($J158&lt;&gt;"",$J158&lt;$I158),AND($K158&lt;&gt;"",$K158&lt;MAX($I158:$J158)),AND($L158&lt;&gt;"",$L158&lt;MAX($I158:$K158))),"Avance semanal decreciente"&amp;" · ","")&amp;IF(AND(ISNUMBER($AN158),$AN158&lt;FechaRef,IF($V158="Sub",N($X158),N($M158))&lt;1),"Vencida"&amp;" · ","")&amp;IF(AND(ObsObligatoria="Sí",ISNUMBER($AN158),$AN158&lt;FechaRef,IF($V158="Sub",N($X158),N($M158))&lt;1,$Q158=""),"Vencida sin observación"&amp;" · ",""))-3)))</f>
        <v/>
      </c>
      <c r="S158" s="64">
        <f>IF(NOT((COUNTA($B158:$D158)+COUNTA($G158:$L158)+COUNTA($Q158))&gt;0),"",IF(AND($V158="Sub",N($U158)&gt;0),IF(ISNUMBER(INDEX($AM$5:$AM$1000,$U158-4)),DATE(YEAR(INDEX($AM$5:$AM$1000,$U158-4)),MONTH(INDEX($AM$5:$AM$1000,$U158-4)),1),IF(ISNUMBER(INDEX($AN$5:$AN$1000,$U158-4)),DATE(YEAR(INDEX($AN$5:$AN$1000,$U158-4)),MONTH(INDEX($AN$5:$AN$1000,$U158-4)),1),MesCiclo)),IF(ISNUMBER($AM158),DATE(YEAR($AM158),MONTH($AM158),1),IF(ISNUMBER($AN158),DATE(YEAR($AN158),MONTH($AN158),1),MesCiclo))))</f>
        <v/>
      </c>
      <c r="T158" s="62">
        <f>IF(OR($S158="",$S158&lt;&gt;MesCiclo,$V158&lt;&gt;"Macro"),"",COUNTIFS($S$5:$S158,MesCiclo,$V$5:$V158,"Macro"))</f>
        <v/>
      </c>
      <c r="U158" s="62">
        <f>IF($V158="","",IF($V158="Macro",ROW(),IFERROR(LOOKUP(2,1/($V$5:$V158="Macro"),ROW($V$5:$V158)),0)))</f>
        <v/>
      </c>
      <c r="V158" s="62">
        <f>IF(NOT((COUNTA($B158:$D158)+COUNTA($G158:$L158)+COUNTA($Q158))&gt;0),"",IF($B158="Subactividad","Sub","Macro"))</f>
        <v/>
      </c>
      <c r="W158" s="62">
        <f>IF($V158="Macro",COUNTIFS($U$5:$U$1000,ROW(),$V$5:$V$1000,"Sub"),"")</f>
        <v/>
      </c>
      <c r="X158" s="62">
        <f>IF($V158="","",IF(ISNUMBER($G158),1,IFERROR(LOOKUP(2,1/($I158:$L158&lt;&gt;""),$I158:$L158),0)))</f>
        <v/>
      </c>
      <c r="Y158" s="62">
        <f>IF($V158="","",IF(AND(ISNUMBER($G158),$G158&lt;=IF($S158=MesCiclo,InicioCiclo,$S158+MOD(2-WEEKDAY($S158),7))+6),1,IF(ISNUMBER($I158),$I158,0)))</f>
        <v/>
      </c>
      <c r="Z158" s="62">
        <f>IF($V158="","",IF(AND(ISNUMBER($G158),$G158&lt;=IF($S158=MesCiclo,InicioCiclo,$S158+MOD(2-WEEKDAY($S158),7))+13),1,IF(ISNUMBER($J158),$J158,$Y158)))</f>
        <v/>
      </c>
      <c r="AA158" s="62">
        <f>IF($V158="","",IF(AND(ISNUMBER($G158),$G158&lt;=IF($S158=MesCiclo,InicioCiclo,$S158+MOD(2-WEEKDAY($S158),7))+20),1,IF(ISNUMBER($K158),$K158,$Z158)))</f>
        <v/>
      </c>
      <c r="AB158" s="62">
        <f>IF($V158="","",IF(AND(ISNUMBER($G158),$G158&lt;=IF($S158=MesCiclo,InicioCiclo,$S158+MOD(2-WEEKDAY($S158),7))+27),1,IF(ISNUMBER($L158),$L158,$AA158)))</f>
        <v/>
      </c>
      <c r="AC158" s="62">
        <f>IF($V158="","",IF(AND(ISNUMBER($G158),$G158&lt;=IF($S158=MesCiclo,InicioCiclo,$S158+MOD(2-WEEKDAY($S158),7))+6),1,IF(N($W158)&gt;0,AVERAGEIFS($Y$5:$Y$1000,$U$5:$U$1000,ROW(),$V$5:$V$1000,"Sub"),$Y158)))</f>
        <v/>
      </c>
      <c r="AD158" s="62">
        <f>IF($V158="","",IF(AND(ISNUMBER($G158),$G158&lt;=IF($S158=MesCiclo,InicioCiclo,$S158+MOD(2-WEEKDAY($S158),7))+13),1,IF(N($W158)&gt;0,AVERAGEIFS($Z$5:$Z$1000,$U$5:$U$1000,ROW(),$V$5:$V$1000,"Sub"),$Z158)))</f>
        <v/>
      </c>
      <c r="AE158" s="62">
        <f>IF($V158="","",IF(AND(ISNUMBER($G158),$G158&lt;=IF($S158=MesCiclo,InicioCiclo,$S158+MOD(2-WEEKDAY($S158),7))+20),1,IF(N($W158)&gt;0,AVERAGEIFS($AA$5:$AA$1000,$U$5:$U$1000,ROW(),$V$5:$V$1000,"Sub"),$AA158)))</f>
        <v/>
      </c>
      <c r="AF158" s="62">
        <f>IF($V158="","",IF(AND(ISNUMBER($G158),$G158&lt;=IF($S158=MesCiclo,InicioCiclo,$S158+MOD(2-WEEKDAY($S158),7))+27),1,IF(N($W158)&gt;0,AVERAGEIFS($AB$5:$AB$1000,$U$5:$U$1000,ROW(),$V$5:$V$1000,"Sub"),$AB158)))</f>
        <v/>
      </c>
      <c r="AG158" s="62">
        <f>IF($V158&lt;&gt;"Macro","",IF(COUNTIFS($S$5:$S$1000,$S158,$V$5:$V$1000,"Macro",$H$5:$H$1000,"&gt;0")=0,1/COUNTIFS($S$5:$S$1000,$S158,$V$5:$V$1000,"Macro"),IF(AND(ISNUMBER($H158),N($H158)&gt;0),$H158,SUMIFS($H$5:$H$1000,$S$5:$S$1000,$S158,$V$5:$V$1000,"Macro")/COUNTIFS($S$5:$S$1000,$S158,$V$5:$V$1000,"Macro",$H$5:$H$1000,"&gt;0"))/(COUNTIFS($S$5:$S$1000,$S158,$V$5:$V$1000,"Macro")*SUMIFS($H$5:$H$1000,$S$5:$S$1000,$S158,$V$5:$V$1000,"Macro")/COUNTIFS($S$5:$S$1000,$S158,$V$5:$V$1000,"Macro",$H$5:$H$1000,"&gt;0"))))</f>
        <v/>
      </c>
      <c r="AH158" s="62" t="n"/>
      <c r="AI158" s="62" t="n"/>
      <c r="AJ158" s="62" t="n"/>
      <c r="AK158" s="62" t="n"/>
      <c r="AL158" s="62">
        <f>IF(LEFT($C158,11)="[Jefatura] ",IFERROR(MATCH("Riesgo Financiero|"&amp;MID($C158,12,500),rDname_ADM,0),0),"")</f>
        <v/>
      </c>
      <c r="AM158" s="62">
        <f>IF(N($AL158)&gt;0,INDEX(rIni_ADM,$AL158),IF(ISNUMBER($E158),$E158,""))</f>
        <v/>
      </c>
      <c r="AN158" s="62">
        <f>IF(N($AL158)&gt;0,INDEX(rLim_ADM,$AL158),IF(ISNUMBER($F158),$F158,""))</f>
        <v/>
      </c>
    </row>
    <row r="159">
      <c r="A159" s="56">
        <f>IF(NOT((COUNTA($B159:$D159)+COUNTA($G159:$L159)+COUNTA($Q159))&gt;0),"",IF($V159="Macro",COUNTIFS($V$5:$V159,"Macro",$S$5:$S159,$S159),IF(N($U159)=0,"?",COUNTIFS(INDEX($V$5:$V$1000,1):INDEX($V$5:$V$1000,$U159-4),"Macro",INDEX($S$5:$S$1000,1):INDEX($S$5:$S$1000,$U159-4),INDEX($S$5:$S$1000,$U159-4))&amp;"."&amp;COUNTIFS($U$5:$U159,$U159,$V$5:$V159,"Sub"))))</f>
        <v/>
      </c>
      <c r="B159" s="57" t="n"/>
      <c r="C159" s="58" t="n"/>
      <c r="D159" s="58" t="n"/>
      <c r="E159" s="59">
        <f>IF(N($AL159)&gt;0,INDEX(rIni_ADM,$AL159),"")</f>
        <v/>
      </c>
      <c r="F159" s="59">
        <f>IF(N($AL159)&gt;0,INDEX(rLim_ADM,$AL159),"")</f>
        <v/>
      </c>
      <c r="G159" s="59" t="n"/>
      <c r="H159" s="60" t="n"/>
      <c r="I159" s="60" t="n"/>
      <c r="J159" s="60" t="n"/>
      <c r="K159" s="60" t="n"/>
      <c r="L159" s="60" t="n"/>
      <c r="M159" s="61">
        <f>IF(NOT((COUNTA($B159:$D159)+COUNTA($G159:$L159)+COUNTA($Q159))&gt;0),"",IF($V159="Sub",IFERROR($X159/INDEX($W$5:$W$1000,$U159-4),""),IF(ISNUMBER($G159),1,IF(N($W159)&gt;0,AVERAGEIFS($X$5:$X$1000,$U$5:$U$1000,ROW(),$V$5:$V$1000,"Sub"),$X159))))</f>
        <v/>
      </c>
      <c r="N159" s="56">
        <f>IF(OR($M159="",$V159="Sub"),"",IF($M159&gt;=1,"Completado",IF($M159&gt;0,"En curso","Pendiente")))</f>
        <v/>
      </c>
      <c r="O159" s="56">
        <f>IF(OR(NOT((COUNTA($B159:$D159)+COUNTA($G159:$L159)+COUNTA($Q159))&gt;0),$V159="Sub"),"",IF(ISNUMBER($G159),IF(AND(ISNUMBER($AN159),$G159&gt;$AN159),"Cumplida con "&amp;($G159-$AN159)&amp;IF($G159-$AN159=1," día"," días")&amp;" de retraso","Cumplida"),IF(N($M159)&gt;=1,"Cumplida",IF(NOT(ISNUMBER($AN159)),"Sin fecha límite",IF($AN159&lt;FechaRef,"Vencida hace "&amp;(FechaRef-$AN159)&amp;IF(FechaRef-$AN159=1," día"," días"),IF($AN159=FechaRef,"Vence hoy",IF($AN159-FechaRef&lt;=DiasAlerta,"Vence en "&amp;($AN159-FechaRef)&amp;IF($AN159-FechaRef=1," día"," días"),"En plazo")))))))</f>
        <v/>
      </c>
      <c r="P159" s="62" t="n"/>
      <c r="Q159" s="58" t="n"/>
      <c r="R159" s="63">
        <f>IF(NOT((COUNTA($B159:$D159)+COUNTA($G159:$L159)+COUNTA($Q159))&gt;0),"",IF((IF($C159="","Falta el nombre de la actividad"&amp;" · ","")&amp;IF(AND($V159="Sub",N($U159)=0),"Subactividad sin macroactividad arriba"&amp;" · ","")&amp;IF($AM159="","Sin fecha de inicio"&amp;" · ","")&amp;IF($AN159="","Sin fecha límite"&amp;" · ","")&amp;IF(AND(LEFT($C159,11)="[Jefatura] ",N($AL159)=0),"No se encuentra en la hoja de la jefatura (elíjala de nuevo en la lista)"&amp;" · ","")&amp;IF(OR(AND($E159&lt;&gt;"",NOT(ISNUMBER($E159))),AND($F159&lt;&gt;"",NOT(ISNUMBER($F159))),AND($G159&lt;&gt;"",NOT(ISNUMBER($G159)))),"Fecha no válida"&amp;" · ","")&amp;IF(AND(ISNUMBER($AM159),ISNUMBER($AN159),$AM159&gt;$AN159),"Inicio posterior a fecha límite"&amp;" · ","")&amp;IF(AND($V159="Macro",$H159&lt;&gt;"",OR(NOT(ISNUMBER($H159)),$H159&lt;0,$H159&gt;1)),"Peso fuera de rango"&amp;" · ","")&amp;IF(AND($V159="Sub",$H159&lt;&gt;""),"Las subactividades no llevan peso (valen igual dentro de su macroactividad)"&amp;" · ","")&amp;IF(AND(N($W159)&gt;0,COUNT($I159:$L159)&gt;0),"Con subactividades: deje vacías las semanas (se calculan solas)"&amp;" · ","")&amp;IF((COUNTIF($I159:$L159,"&gt;1")+COUNTIF($I159:$L159,"&lt;0")+COUNTA($I159:$L159)-COUNT($I159:$L159))&gt;0,"Avance fuera de rango 0-100%"&amp;" · ","")&amp;IF(OR(AND($J159&lt;&gt;"",$J159&lt;$I159),AND($K159&lt;&gt;"",$K159&lt;MAX($I159:$J159)),AND($L159&lt;&gt;"",$L159&lt;MAX($I159:$K159))),"Avance semanal decreciente"&amp;" · ","")&amp;IF(AND(ISNUMBER($AN159),$AN159&lt;FechaRef,IF($V159="Sub",N($X159),N($M159))&lt;1),"Vencida"&amp;" · ","")&amp;IF(AND(ObsObligatoria="Sí",ISNUMBER($AN159),$AN159&lt;FechaRef,IF($V159="Sub",N($X159),N($M159))&lt;1,$Q159=""),"Vencida sin observación"&amp;" · ",""))="","✔ OK","⚠ "&amp;LEFT(IF($C159="","Falta el nombre de la actividad"&amp;" · ","")&amp;IF(AND($V159="Sub",N($U159)=0),"Subactividad sin macroactividad arriba"&amp;" · ","")&amp;IF($AM159="","Sin fecha de inicio"&amp;" · ","")&amp;IF($AN159="","Sin fecha límite"&amp;" · ","")&amp;IF(AND(LEFT($C159,11)="[Jefatura] ",N($AL159)=0),"No se encuentra en la hoja de la jefatura (elíjala de nuevo en la lista)"&amp;" · ","")&amp;IF(OR(AND($E159&lt;&gt;"",NOT(ISNUMBER($E159))),AND($F159&lt;&gt;"",NOT(ISNUMBER($F159))),AND($G159&lt;&gt;"",NOT(ISNUMBER($G159)))),"Fecha no válida"&amp;" · ","")&amp;IF(AND(ISNUMBER($AM159),ISNUMBER($AN159),$AM159&gt;$AN159),"Inicio posterior a fecha límite"&amp;" · ","")&amp;IF(AND($V159="Macro",$H159&lt;&gt;"",OR(NOT(ISNUMBER($H159)),$H159&lt;0,$H159&gt;1)),"Peso fuera de rango"&amp;" · ","")&amp;IF(AND($V159="Sub",$H159&lt;&gt;""),"Las subactividades no llevan peso (valen igual dentro de su macroactividad)"&amp;" · ","")&amp;IF(AND(N($W159)&gt;0,COUNT($I159:$L159)&gt;0),"Con subactividades: deje vacías las semanas (se calculan solas)"&amp;" · ","")&amp;IF((COUNTIF($I159:$L159,"&gt;1")+COUNTIF($I159:$L159,"&lt;0")+COUNTA($I159:$L159)-COUNT($I159:$L159))&gt;0,"Avance fuera de rango 0-100%"&amp;" · ","")&amp;IF(OR(AND($J159&lt;&gt;"",$J159&lt;$I159),AND($K159&lt;&gt;"",$K159&lt;MAX($I159:$J159)),AND($L159&lt;&gt;"",$L159&lt;MAX($I159:$K159))),"Avance semanal decreciente"&amp;" · ","")&amp;IF(AND(ISNUMBER($AN159),$AN159&lt;FechaRef,IF($V159="Sub",N($X159),N($M159))&lt;1),"Vencida"&amp;" · ","")&amp;IF(AND(ObsObligatoria="Sí",ISNUMBER($AN159),$AN159&lt;FechaRef,IF($V159="Sub",N($X159),N($M159))&lt;1,$Q159=""),"Vencida sin observación"&amp;" · ",""),LEN(IF($C159="","Falta el nombre de la actividad"&amp;" · ","")&amp;IF(AND($V159="Sub",N($U159)=0),"Subactividad sin macroactividad arriba"&amp;" · ","")&amp;IF($AM159="","Sin fecha de inicio"&amp;" · ","")&amp;IF($AN159="","Sin fecha límite"&amp;" · ","")&amp;IF(AND(LEFT($C159,11)="[Jefatura] ",N($AL159)=0),"No se encuentra en la hoja de la jefatura (elíjala de nuevo en la lista)"&amp;" · ","")&amp;IF(OR(AND($E159&lt;&gt;"",NOT(ISNUMBER($E159))),AND($F159&lt;&gt;"",NOT(ISNUMBER($F159))),AND($G159&lt;&gt;"",NOT(ISNUMBER($G159)))),"Fecha no válida"&amp;" · ","")&amp;IF(AND(ISNUMBER($AM159),ISNUMBER($AN159),$AM159&gt;$AN159),"Inicio posterior a fecha límite"&amp;" · ","")&amp;IF(AND($V159="Macro",$H159&lt;&gt;"",OR(NOT(ISNUMBER($H159)),$H159&lt;0,$H159&gt;1)),"Peso fuera de rango"&amp;" · ","")&amp;IF(AND($V159="Sub",$H159&lt;&gt;""),"Las subactividades no llevan peso (valen igual dentro de su macroactividad)"&amp;" · ","")&amp;IF(AND(N($W159)&gt;0,COUNT($I159:$L159)&gt;0),"Con subactividades: deje vacías las semanas (se calculan solas)"&amp;" · ","")&amp;IF((COUNTIF($I159:$L159,"&gt;1")+COUNTIF($I159:$L159,"&lt;0")+COUNTA($I159:$L159)-COUNT($I159:$L159))&gt;0,"Avance fuera de rango 0-100%"&amp;" · ","")&amp;IF(OR(AND($J159&lt;&gt;"",$J159&lt;$I159),AND($K159&lt;&gt;"",$K159&lt;MAX($I159:$J159)),AND($L159&lt;&gt;"",$L159&lt;MAX($I159:$K159))),"Avance semanal decreciente"&amp;" · ","")&amp;IF(AND(ISNUMBER($AN159),$AN159&lt;FechaRef,IF($V159="Sub",N($X159),N($M159))&lt;1),"Vencida"&amp;" · ","")&amp;IF(AND(ObsObligatoria="Sí",ISNUMBER($AN159),$AN159&lt;FechaRef,IF($V159="Sub",N($X159),N($M159))&lt;1,$Q159=""),"Vencida sin observación"&amp;" · ",""))-3)))</f>
        <v/>
      </c>
      <c r="S159" s="64">
        <f>IF(NOT((COUNTA($B159:$D159)+COUNTA($G159:$L159)+COUNTA($Q159))&gt;0),"",IF(AND($V159="Sub",N($U159)&gt;0),IF(ISNUMBER(INDEX($AM$5:$AM$1000,$U159-4)),DATE(YEAR(INDEX($AM$5:$AM$1000,$U159-4)),MONTH(INDEX($AM$5:$AM$1000,$U159-4)),1),IF(ISNUMBER(INDEX($AN$5:$AN$1000,$U159-4)),DATE(YEAR(INDEX($AN$5:$AN$1000,$U159-4)),MONTH(INDEX($AN$5:$AN$1000,$U159-4)),1),MesCiclo)),IF(ISNUMBER($AM159),DATE(YEAR($AM159),MONTH($AM159),1),IF(ISNUMBER($AN159),DATE(YEAR($AN159),MONTH($AN159),1),MesCiclo))))</f>
        <v/>
      </c>
      <c r="T159" s="62">
        <f>IF(OR($S159="",$S159&lt;&gt;MesCiclo,$V159&lt;&gt;"Macro"),"",COUNTIFS($S$5:$S159,MesCiclo,$V$5:$V159,"Macro"))</f>
        <v/>
      </c>
      <c r="U159" s="62">
        <f>IF($V159="","",IF($V159="Macro",ROW(),IFERROR(LOOKUP(2,1/($V$5:$V159="Macro"),ROW($V$5:$V159)),0)))</f>
        <v/>
      </c>
      <c r="V159" s="62">
        <f>IF(NOT((COUNTA($B159:$D159)+COUNTA($G159:$L159)+COUNTA($Q159))&gt;0),"",IF($B159="Subactividad","Sub","Macro"))</f>
        <v/>
      </c>
      <c r="W159" s="62">
        <f>IF($V159="Macro",COUNTIFS($U$5:$U$1000,ROW(),$V$5:$V$1000,"Sub"),"")</f>
        <v/>
      </c>
      <c r="X159" s="62">
        <f>IF($V159="","",IF(ISNUMBER($G159),1,IFERROR(LOOKUP(2,1/($I159:$L159&lt;&gt;""),$I159:$L159),0)))</f>
        <v/>
      </c>
      <c r="Y159" s="62">
        <f>IF($V159="","",IF(AND(ISNUMBER($G159),$G159&lt;=IF($S159=MesCiclo,InicioCiclo,$S159+MOD(2-WEEKDAY($S159),7))+6),1,IF(ISNUMBER($I159),$I159,0)))</f>
        <v/>
      </c>
      <c r="Z159" s="62">
        <f>IF($V159="","",IF(AND(ISNUMBER($G159),$G159&lt;=IF($S159=MesCiclo,InicioCiclo,$S159+MOD(2-WEEKDAY($S159),7))+13),1,IF(ISNUMBER($J159),$J159,$Y159)))</f>
        <v/>
      </c>
      <c r="AA159" s="62">
        <f>IF($V159="","",IF(AND(ISNUMBER($G159),$G159&lt;=IF($S159=MesCiclo,InicioCiclo,$S159+MOD(2-WEEKDAY($S159),7))+20),1,IF(ISNUMBER($K159),$K159,$Z159)))</f>
        <v/>
      </c>
      <c r="AB159" s="62">
        <f>IF($V159="","",IF(AND(ISNUMBER($G159),$G159&lt;=IF($S159=MesCiclo,InicioCiclo,$S159+MOD(2-WEEKDAY($S159),7))+27),1,IF(ISNUMBER($L159),$L159,$AA159)))</f>
        <v/>
      </c>
      <c r="AC159" s="62">
        <f>IF($V159="","",IF(AND(ISNUMBER($G159),$G159&lt;=IF($S159=MesCiclo,InicioCiclo,$S159+MOD(2-WEEKDAY($S159),7))+6),1,IF(N($W159)&gt;0,AVERAGEIFS($Y$5:$Y$1000,$U$5:$U$1000,ROW(),$V$5:$V$1000,"Sub"),$Y159)))</f>
        <v/>
      </c>
      <c r="AD159" s="62">
        <f>IF($V159="","",IF(AND(ISNUMBER($G159),$G159&lt;=IF($S159=MesCiclo,InicioCiclo,$S159+MOD(2-WEEKDAY($S159),7))+13),1,IF(N($W159)&gt;0,AVERAGEIFS($Z$5:$Z$1000,$U$5:$U$1000,ROW(),$V$5:$V$1000,"Sub"),$Z159)))</f>
        <v/>
      </c>
      <c r="AE159" s="62">
        <f>IF($V159="","",IF(AND(ISNUMBER($G159),$G159&lt;=IF($S159=MesCiclo,InicioCiclo,$S159+MOD(2-WEEKDAY($S159),7))+20),1,IF(N($W159)&gt;0,AVERAGEIFS($AA$5:$AA$1000,$U$5:$U$1000,ROW(),$V$5:$V$1000,"Sub"),$AA159)))</f>
        <v/>
      </c>
      <c r="AF159" s="62">
        <f>IF($V159="","",IF(AND(ISNUMBER($G159),$G159&lt;=IF($S159=MesCiclo,InicioCiclo,$S159+MOD(2-WEEKDAY($S159),7))+27),1,IF(N($W159)&gt;0,AVERAGEIFS($AB$5:$AB$1000,$U$5:$U$1000,ROW(),$V$5:$V$1000,"Sub"),$AB159)))</f>
        <v/>
      </c>
      <c r="AG159" s="62">
        <f>IF($V159&lt;&gt;"Macro","",IF(COUNTIFS($S$5:$S$1000,$S159,$V$5:$V$1000,"Macro",$H$5:$H$1000,"&gt;0")=0,1/COUNTIFS($S$5:$S$1000,$S159,$V$5:$V$1000,"Macro"),IF(AND(ISNUMBER($H159),N($H159)&gt;0),$H159,SUMIFS($H$5:$H$1000,$S$5:$S$1000,$S159,$V$5:$V$1000,"Macro")/COUNTIFS($S$5:$S$1000,$S159,$V$5:$V$1000,"Macro",$H$5:$H$1000,"&gt;0"))/(COUNTIFS($S$5:$S$1000,$S159,$V$5:$V$1000,"Macro")*SUMIFS($H$5:$H$1000,$S$5:$S$1000,$S159,$V$5:$V$1000,"Macro")/COUNTIFS($S$5:$S$1000,$S159,$V$5:$V$1000,"Macro",$H$5:$H$1000,"&gt;0"))))</f>
        <v/>
      </c>
      <c r="AH159" s="62" t="n"/>
      <c r="AI159" s="62" t="n"/>
      <c r="AJ159" s="62" t="n"/>
      <c r="AK159" s="62" t="n"/>
      <c r="AL159" s="62">
        <f>IF(LEFT($C159,11)="[Jefatura] ",IFERROR(MATCH("Riesgo Financiero|"&amp;MID($C159,12,500),rDname_ADM,0),0),"")</f>
        <v/>
      </c>
      <c r="AM159" s="62">
        <f>IF(N($AL159)&gt;0,INDEX(rIni_ADM,$AL159),IF(ISNUMBER($E159),$E159,""))</f>
        <v/>
      </c>
      <c r="AN159" s="62">
        <f>IF(N($AL159)&gt;0,INDEX(rLim_ADM,$AL159),IF(ISNUMBER($F159),$F159,""))</f>
        <v/>
      </c>
    </row>
    <row r="160">
      <c r="A160" s="56">
        <f>IF(NOT((COUNTA($B160:$D160)+COUNTA($G160:$L160)+COUNTA($Q160))&gt;0),"",IF($V160="Macro",COUNTIFS($V$5:$V160,"Macro",$S$5:$S160,$S160),IF(N($U160)=0,"?",COUNTIFS(INDEX($V$5:$V$1000,1):INDEX($V$5:$V$1000,$U160-4),"Macro",INDEX($S$5:$S$1000,1):INDEX($S$5:$S$1000,$U160-4),INDEX($S$5:$S$1000,$U160-4))&amp;"."&amp;COUNTIFS($U$5:$U160,$U160,$V$5:$V160,"Sub"))))</f>
        <v/>
      </c>
      <c r="B160" s="57" t="n"/>
      <c r="C160" s="58" t="n"/>
      <c r="D160" s="58" t="n"/>
      <c r="E160" s="59">
        <f>IF(N($AL160)&gt;0,INDEX(rIni_ADM,$AL160),"")</f>
        <v/>
      </c>
      <c r="F160" s="59">
        <f>IF(N($AL160)&gt;0,INDEX(rLim_ADM,$AL160),"")</f>
        <v/>
      </c>
      <c r="G160" s="59" t="n"/>
      <c r="H160" s="60" t="n"/>
      <c r="I160" s="60" t="n"/>
      <c r="J160" s="60" t="n"/>
      <c r="K160" s="60" t="n"/>
      <c r="L160" s="60" t="n"/>
      <c r="M160" s="61">
        <f>IF(NOT((COUNTA($B160:$D160)+COUNTA($G160:$L160)+COUNTA($Q160))&gt;0),"",IF($V160="Sub",IFERROR($X160/INDEX($W$5:$W$1000,$U160-4),""),IF(ISNUMBER($G160),1,IF(N($W160)&gt;0,AVERAGEIFS($X$5:$X$1000,$U$5:$U$1000,ROW(),$V$5:$V$1000,"Sub"),$X160))))</f>
        <v/>
      </c>
      <c r="N160" s="56">
        <f>IF(OR($M160="",$V160="Sub"),"",IF($M160&gt;=1,"Completado",IF($M160&gt;0,"En curso","Pendiente")))</f>
        <v/>
      </c>
      <c r="O160" s="56">
        <f>IF(OR(NOT((COUNTA($B160:$D160)+COUNTA($G160:$L160)+COUNTA($Q160))&gt;0),$V160="Sub"),"",IF(ISNUMBER($G160),IF(AND(ISNUMBER($AN160),$G160&gt;$AN160),"Cumplida con "&amp;($G160-$AN160)&amp;IF($G160-$AN160=1," día"," días")&amp;" de retraso","Cumplida"),IF(N($M160)&gt;=1,"Cumplida",IF(NOT(ISNUMBER($AN160)),"Sin fecha límite",IF($AN160&lt;FechaRef,"Vencida hace "&amp;(FechaRef-$AN160)&amp;IF(FechaRef-$AN160=1," día"," días"),IF($AN160=FechaRef,"Vence hoy",IF($AN160-FechaRef&lt;=DiasAlerta,"Vence en "&amp;($AN160-FechaRef)&amp;IF($AN160-FechaRef=1," día"," días"),"En plazo")))))))</f>
        <v/>
      </c>
      <c r="P160" s="62" t="n"/>
      <c r="Q160" s="58" t="n"/>
      <c r="R160" s="63">
        <f>IF(NOT((COUNTA($B160:$D160)+COUNTA($G160:$L160)+COUNTA($Q160))&gt;0),"",IF((IF($C160="","Falta el nombre de la actividad"&amp;" · ","")&amp;IF(AND($V160="Sub",N($U160)=0),"Subactividad sin macroactividad arriba"&amp;" · ","")&amp;IF($AM160="","Sin fecha de inicio"&amp;" · ","")&amp;IF($AN160="","Sin fecha límite"&amp;" · ","")&amp;IF(AND(LEFT($C160,11)="[Jefatura] ",N($AL160)=0),"No se encuentra en la hoja de la jefatura (elíjala de nuevo en la lista)"&amp;" · ","")&amp;IF(OR(AND($E160&lt;&gt;"",NOT(ISNUMBER($E160))),AND($F160&lt;&gt;"",NOT(ISNUMBER($F160))),AND($G160&lt;&gt;"",NOT(ISNUMBER($G160)))),"Fecha no válida"&amp;" · ","")&amp;IF(AND(ISNUMBER($AM160),ISNUMBER($AN160),$AM160&gt;$AN160),"Inicio posterior a fecha límite"&amp;" · ","")&amp;IF(AND($V160="Macro",$H160&lt;&gt;"",OR(NOT(ISNUMBER($H160)),$H160&lt;0,$H160&gt;1)),"Peso fuera de rango"&amp;" · ","")&amp;IF(AND($V160="Sub",$H160&lt;&gt;""),"Las subactividades no llevan peso (valen igual dentro de su macroactividad)"&amp;" · ","")&amp;IF(AND(N($W160)&gt;0,COUNT($I160:$L160)&gt;0),"Con subactividades: deje vacías las semanas (se calculan solas)"&amp;" · ","")&amp;IF((COUNTIF($I160:$L160,"&gt;1")+COUNTIF($I160:$L160,"&lt;0")+COUNTA($I160:$L160)-COUNT($I160:$L160))&gt;0,"Avance fuera de rango 0-100%"&amp;" · ","")&amp;IF(OR(AND($J160&lt;&gt;"",$J160&lt;$I160),AND($K160&lt;&gt;"",$K160&lt;MAX($I160:$J160)),AND($L160&lt;&gt;"",$L160&lt;MAX($I160:$K160))),"Avance semanal decreciente"&amp;" · ","")&amp;IF(AND(ISNUMBER($AN160),$AN160&lt;FechaRef,IF($V160="Sub",N($X160),N($M160))&lt;1),"Vencida"&amp;" · ","")&amp;IF(AND(ObsObligatoria="Sí",ISNUMBER($AN160),$AN160&lt;FechaRef,IF($V160="Sub",N($X160),N($M160))&lt;1,$Q160=""),"Vencida sin observación"&amp;" · ",""))="","✔ OK","⚠ "&amp;LEFT(IF($C160="","Falta el nombre de la actividad"&amp;" · ","")&amp;IF(AND($V160="Sub",N($U160)=0),"Subactividad sin macroactividad arriba"&amp;" · ","")&amp;IF($AM160="","Sin fecha de inicio"&amp;" · ","")&amp;IF($AN160="","Sin fecha límite"&amp;" · ","")&amp;IF(AND(LEFT($C160,11)="[Jefatura] ",N($AL160)=0),"No se encuentra en la hoja de la jefatura (elíjala de nuevo en la lista)"&amp;" · ","")&amp;IF(OR(AND($E160&lt;&gt;"",NOT(ISNUMBER($E160))),AND($F160&lt;&gt;"",NOT(ISNUMBER($F160))),AND($G160&lt;&gt;"",NOT(ISNUMBER($G160)))),"Fecha no válida"&amp;" · ","")&amp;IF(AND(ISNUMBER($AM160),ISNUMBER($AN160),$AM160&gt;$AN160),"Inicio posterior a fecha límite"&amp;" · ","")&amp;IF(AND($V160="Macro",$H160&lt;&gt;"",OR(NOT(ISNUMBER($H160)),$H160&lt;0,$H160&gt;1)),"Peso fuera de rango"&amp;" · ","")&amp;IF(AND($V160="Sub",$H160&lt;&gt;""),"Las subactividades no llevan peso (valen igual dentro de su macroactividad)"&amp;" · ","")&amp;IF(AND(N($W160)&gt;0,COUNT($I160:$L160)&gt;0),"Con subactividades: deje vacías las semanas (se calculan solas)"&amp;" · ","")&amp;IF((COUNTIF($I160:$L160,"&gt;1")+COUNTIF($I160:$L160,"&lt;0")+COUNTA($I160:$L160)-COUNT($I160:$L160))&gt;0,"Avance fuera de rango 0-100%"&amp;" · ","")&amp;IF(OR(AND($J160&lt;&gt;"",$J160&lt;$I160),AND($K160&lt;&gt;"",$K160&lt;MAX($I160:$J160)),AND($L160&lt;&gt;"",$L160&lt;MAX($I160:$K160))),"Avance semanal decreciente"&amp;" · ","")&amp;IF(AND(ISNUMBER($AN160),$AN160&lt;FechaRef,IF($V160="Sub",N($X160),N($M160))&lt;1),"Vencida"&amp;" · ","")&amp;IF(AND(ObsObligatoria="Sí",ISNUMBER($AN160),$AN160&lt;FechaRef,IF($V160="Sub",N($X160),N($M160))&lt;1,$Q160=""),"Vencida sin observación"&amp;" · ",""),LEN(IF($C160="","Falta el nombre de la actividad"&amp;" · ","")&amp;IF(AND($V160="Sub",N($U160)=0),"Subactividad sin macroactividad arriba"&amp;" · ","")&amp;IF($AM160="","Sin fecha de inicio"&amp;" · ","")&amp;IF($AN160="","Sin fecha límite"&amp;" · ","")&amp;IF(AND(LEFT($C160,11)="[Jefatura] ",N($AL160)=0),"No se encuentra en la hoja de la jefatura (elíjala de nuevo en la lista)"&amp;" · ","")&amp;IF(OR(AND($E160&lt;&gt;"",NOT(ISNUMBER($E160))),AND($F160&lt;&gt;"",NOT(ISNUMBER($F160))),AND($G160&lt;&gt;"",NOT(ISNUMBER($G160)))),"Fecha no válida"&amp;" · ","")&amp;IF(AND(ISNUMBER($AM160),ISNUMBER($AN160),$AM160&gt;$AN160),"Inicio posterior a fecha límite"&amp;" · ","")&amp;IF(AND($V160="Macro",$H160&lt;&gt;"",OR(NOT(ISNUMBER($H160)),$H160&lt;0,$H160&gt;1)),"Peso fuera de rango"&amp;" · ","")&amp;IF(AND($V160="Sub",$H160&lt;&gt;""),"Las subactividades no llevan peso (valen igual dentro de su macroactividad)"&amp;" · ","")&amp;IF(AND(N($W160)&gt;0,COUNT($I160:$L160)&gt;0),"Con subactividades: deje vacías las semanas (se calculan solas)"&amp;" · ","")&amp;IF((COUNTIF($I160:$L160,"&gt;1")+COUNTIF($I160:$L160,"&lt;0")+COUNTA($I160:$L160)-COUNT($I160:$L160))&gt;0,"Avance fuera de rango 0-100%"&amp;" · ","")&amp;IF(OR(AND($J160&lt;&gt;"",$J160&lt;$I160),AND($K160&lt;&gt;"",$K160&lt;MAX($I160:$J160)),AND($L160&lt;&gt;"",$L160&lt;MAX($I160:$K160))),"Avance semanal decreciente"&amp;" · ","")&amp;IF(AND(ISNUMBER($AN160),$AN160&lt;FechaRef,IF($V160="Sub",N($X160),N($M160))&lt;1),"Vencida"&amp;" · ","")&amp;IF(AND(ObsObligatoria="Sí",ISNUMBER($AN160),$AN160&lt;FechaRef,IF($V160="Sub",N($X160),N($M160))&lt;1,$Q160=""),"Vencida sin observación"&amp;" · ",""))-3)))</f>
        <v/>
      </c>
      <c r="S160" s="64">
        <f>IF(NOT((COUNTA($B160:$D160)+COUNTA($G160:$L160)+COUNTA($Q160))&gt;0),"",IF(AND($V160="Sub",N($U160)&gt;0),IF(ISNUMBER(INDEX($AM$5:$AM$1000,$U160-4)),DATE(YEAR(INDEX($AM$5:$AM$1000,$U160-4)),MONTH(INDEX($AM$5:$AM$1000,$U160-4)),1),IF(ISNUMBER(INDEX($AN$5:$AN$1000,$U160-4)),DATE(YEAR(INDEX($AN$5:$AN$1000,$U160-4)),MONTH(INDEX($AN$5:$AN$1000,$U160-4)),1),MesCiclo)),IF(ISNUMBER($AM160),DATE(YEAR($AM160),MONTH($AM160),1),IF(ISNUMBER($AN160),DATE(YEAR($AN160),MONTH($AN160),1),MesCiclo))))</f>
        <v/>
      </c>
      <c r="T160" s="62">
        <f>IF(OR($S160="",$S160&lt;&gt;MesCiclo,$V160&lt;&gt;"Macro"),"",COUNTIFS($S$5:$S160,MesCiclo,$V$5:$V160,"Macro"))</f>
        <v/>
      </c>
      <c r="U160" s="62">
        <f>IF($V160="","",IF($V160="Macro",ROW(),IFERROR(LOOKUP(2,1/($V$5:$V160="Macro"),ROW($V$5:$V160)),0)))</f>
        <v/>
      </c>
      <c r="V160" s="62">
        <f>IF(NOT((COUNTA($B160:$D160)+COUNTA($G160:$L160)+COUNTA($Q160))&gt;0),"",IF($B160="Subactividad","Sub","Macro"))</f>
        <v/>
      </c>
      <c r="W160" s="62">
        <f>IF($V160="Macro",COUNTIFS($U$5:$U$1000,ROW(),$V$5:$V$1000,"Sub"),"")</f>
        <v/>
      </c>
      <c r="X160" s="62">
        <f>IF($V160="","",IF(ISNUMBER($G160),1,IFERROR(LOOKUP(2,1/($I160:$L160&lt;&gt;""),$I160:$L160),0)))</f>
        <v/>
      </c>
      <c r="Y160" s="62">
        <f>IF($V160="","",IF(AND(ISNUMBER($G160),$G160&lt;=IF($S160=MesCiclo,InicioCiclo,$S160+MOD(2-WEEKDAY($S160),7))+6),1,IF(ISNUMBER($I160),$I160,0)))</f>
        <v/>
      </c>
      <c r="Z160" s="62">
        <f>IF($V160="","",IF(AND(ISNUMBER($G160),$G160&lt;=IF($S160=MesCiclo,InicioCiclo,$S160+MOD(2-WEEKDAY($S160),7))+13),1,IF(ISNUMBER($J160),$J160,$Y160)))</f>
        <v/>
      </c>
      <c r="AA160" s="62">
        <f>IF($V160="","",IF(AND(ISNUMBER($G160),$G160&lt;=IF($S160=MesCiclo,InicioCiclo,$S160+MOD(2-WEEKDAY($S160),7))+20),1,IF(ISNUMBER($K160),$K160,$Z160)))</f>
        <v/>
      </c>
      <c r="AB160" s="62">
        <f>IF($V160="","",IF(AND(ISNUMBER($G160),$G160&lt;=IF($S160=MesCiclo,InicioCiclo,$S160+MOD(2-WEEKDAY($S160),7))+27),1,IF(ISNUMBER($L160),$L160,$AA160)))</f>
        <v/>
      </c>
      <c r="AC160" s="62">
        <f>IF($V160="","",IF(AND(ISNUMBER($G160),$G160&lt;=IF($S160=MesCiclo,InicioCiclo,$S160+MOD(2-WEEKDAY($S160),7))+6),1,IF(N($W160)&gt;0,AVERAGEIFS($Y$5:$Y$1000,$U$5:$U$1000,ROW(),$V$5:$V$1000,"Sub"),$Y160)))</f>
        <v/>
      </c>
      <c r="AD160" s="62">
        <f>IF($V160="","",IF(AND(ISNUMBER($G160),$G160&lt;=IF($S160=MesCiclo,InicioCiclo,$S160+MOD(2-WEEKDAY($S160),7))+13),1,IF(N($W160)&gt;0,AVERAGEIFS($Z$5:$Z$1000,$U$5:$U$1000,ROW(),$V$5:$V$1000,"Sub"),$Z160)))</f>
        <v/>
      </c>
      <c r="AE160" s="62">
        <f>IF($V160="","",IF(AND(ISNUMBER($G160),$G160&lt;=IF($S160=MesCiclo,InicioCiclo,$S160+MOD(2-WEEKDAY($S160),7))+20),1,IF(N($W160)&gt;0,AVERAGEIFS($AA$5:$AA$1000,$U$5:$U$1000,ROW(),$V$5:$V$1000,"Sub"),$AA160)))</f>
        <v/>
      </c>
      <c r="AF160" s="62">
        <f>IF($V160="","",IF(AND(ISNUMBER($G160),$G160&lt;=IF($S160=MesCiclo,InicioCiclo,$S160+MOD(2-WEEKDAY($S160),7))+27),1,IF(N($W160)&gt;0,AVERAGEIFS($AB$5:$AB$1000,$U$5:$U$1000,ROW(),$V$5:$V$1000,"Sub"),$AB160)))</f>
        <v/>
      </c>
      <c r="AG160" s="62">
        <f>IF($V160&lt;&gt;"Macro","",IF(COUNTIFS($S$5:$S$1000,$S160,$V$5:$V$1000,"Macro",$H$5:$H$1000,"&gt;0")=0,1/COUNTIFS($S$5:$S$1000,$S160,$V$5:$V$1000,"Macro"),IF(AND(ISNUMBER($H160),N($H160)&gt;0),$H160,SUMIFS($H$5:$H$1000,$S$5:$S$1000,$S160,$V$5:$V$1000,"Macro")/COUNTIFS($S$5:$S$1000,$S160,$V$5:$V$1000,"Macro",$H$5:$H$1000,"&gt;0"))/(COUNTIFS($S$5:$S$1000,$S160,$V$5:$V$1000,"Macro")*SUMIFS($H$5:$H$1000,$S$5:$S$1000,$S160,$V$5:$V$1000,"Macro")/COUNTIFS($S$5:$S$1000,$S160,$V$5:$V$1000,"Macro",$H$5:$H$1000,"&gt;0"))))</f>
        <v/>
      </c>
      <c r="AH160" s="62" t="n"/>
      <c r="AI160" s="62" t="n"/>
      <c r="AJ160" s="62" t="n"/>
      <c r="AK160" s="62" t="n"/>
      <c r="AL160" s="62">
        <f>IF(LEFT($C160,11)="[Jefatura] ",IFERROR(MATCH("Riesgo Financiero|"&amp;MID($C160,12,500),rDname_ADM,0),0),"")</f>
        <v/>
      </c>
      <c r="AM160" s="62">
        <f>IF(N($AL160)&gt;0,INDEX(rIni_ADM,$AL160),IF(ISNUMBER($E160),$E160,""))</f>
        <v/>
      </c>
      <c r="AN160" s="62">
        <f>IF(N($AL160)&gt;0,INDEX(rLim_ADM,$AL160),IF(ISNUMBER($F160),$F160,""))</f>
        <v/>
      </c>
    </row>
    <row r="161">
      <c r="A161" s="56">
        <f>IF(NOT((COUNTA($B161:$D161)+COUNTA($G161:$L161)+COUNTA($Q161))&gt;0),"",IF($V161="Macro",COUNTIFS($V$5:$V161,"Macro",$S$5:$S161,$S161),IF(N($U161)=0,"?",COUNTIFS(INDEX($V$5:$V$1000,1):INDEX($V$5:$V$1000,$U161-4),"Macro",INDEX($S$5:$S$1000,1):INDEX($S$5:$S$1000,$U161-4),INDEX($S$5:$S$1000,$U161-4))&amp;"."&amp;COUNTIFS($U$5:$U161,$U161,$V$5:$V161,"Sub"))))</f>
        <v/>
      </c>
      <c r="B161" s="57" t="n"/>
      <c r="C161" s="58" t="n"/>
      <c r="D161" s="58" t="n"/>
      <c r="E161" s="59">
        <f>IF(N($AL161)&gt;0,INDEX(rIni_ADM,$AL161),"")</f>
        <v/>
      </c>
      <c r="F161" s="59">
        <f>IF(N($AL161)&gt;0,INDEX(rLim_ADM,$AL161),"")</f>
        <v/>
      </c>
      <c r="G161" s="59" t="n"/>
      <c r="H161" s="60" t="n"/>
      <c r="I161" s="60" t="n"/>
      <c r="J161" s="60" t="n"/>
      <c r="K161" s="60" t="n"/>
      <c r="L161" s="60" t="n"/>
      <c r="M161" s="61">
        <f>IF(NOT((COUNTA($B161:$D161)+COUNTA($G161:$L161)+COUNTA($Q161))&gt;0),"",IF($V161="Sub",IFERROR($X161/INDEX($W$5:$W$1000,$U161-4),""),IF(ISNUMBER($G161),1,IF(N($W161)&gt;0,AVERAGEIFS($X$5:$X$1000,$U$5:$U$1000,ROW(),$V$5:$V$1000,"Sub"),$X161))))</f>
        <v/>
      </c>
      <c r="N161" s="56">
        <f>IF(OR($M161="",$V161="Sub"),"",IF($M161&gt;=1,"Completado",IF($M161&gt;0,"En curso","Pendiente")))</f>
        <v/>
      </c>
      <c r="O161" s="56">
        <f>IF(OR(NOT((COUNTA($B161:$D161)+COUNTA($G161:$L161)+COUNTA($Q161))&gt;0),$V161="Sub"),"",IF(ISNUMBER($G161),IF(AND(ISNUMBER($AN161),$G161&gt;$AN161),"Cumplida con "&amp;($G161-$AN161)&amp;IF($G161-$AN161=1," día"," días")&amp;" de retraso","Cumplida"),IF(N($M161)&gt;=1,"Cumplida",IF(NOT(ISNUMBER($AN161)),"Sin fecha límite",IF($AN161&lt;FechaRef,"Vencida hace "&amp;(FechaRef-$AN161)&amp;IF(FechaRef-$AN161=1," día"," días"),IF($AN161=FechaRef,"Vence hoy",IF($AN161-FechaRef&lt;=DiasAlerta,"Vence en "&amp;($AN161-FechaRef)&amp;IF($AN161-FechaRef=1," día"," días"),"En plazo")))))))</f>
        <v/>
      </c>
      <c r="P161" s="62" t="n"/>
      <c r="Q161" s="58" t="n"/>
      <c r="R161" s="63">
        <f>IF(NOT((COUNTA($B161:$D161)+COUNTA($G161:$L161)+COUNTA($Q161))&gt;0),"",IF((IF($C161="","Falta el nombre de la actividad"&amp;" · ","")&amp;IF(AND($V161="Sub",N($U161)=0),"Subactividad sin macroactividad arriba"&amp;" · ","")&amp;IF($AM161="","Sin fecha de inicio"&amp;" · ","")&amp;IF($AN161="","Sin fecha límite"&amp;" · ","")&amp;IF(AND(LEFT($C161,11)="[Jefatura] ",N($AL161)=0),"No se encuentra en la hoja de la jefatura (elíjala de nuevo en la lista)"&amp;" · ","")&amp;IF(OR(AND($E161&lt;&gt;"",NOT(ISNUMBER($E161))),AND($F161&lt;&gt;"",NOT(ISNUMBER($F161))),AND($G161&lt;&gt;"",NOT(ISNUMBER($G161)))),"Fecha no válida"&amp;" · ","")&amp;IF(AND(ISNUMBER($AM161),ISNUMBER($AN161),$AM161&gt;$AN161),"Inicio posterior a fecha límite"&amp;" · ","")&amp;IF(AND($V161="Macro",$H161&lt;&gt;"",OR(NOT(ISNUMBER($H161)),$H161&lt;0,$H161&gt;1)),"Peso fuera de rango"&amp;" · ","")&amp;IF(AND($V161="Sub",$H161&lt;&gt;""),"Las subactividades no llevan peso (valen igual dentro de su macroactividad)"&amp;" · ","")&amp;IF(AND(N($W161)&gt;0,COUNT($I161:$L161)&gt;0),"Con subactividades: deje vacías las semanas (se calculan solas)"&amp;" · ","")&amp;IF((COUNTIF($I161:$L161,"&gt;1")+COUNTIF($I161:$L161,"&lt;0")+COUNTA($I161:$L161)-COUNT($I161:$L161))&gt;0,"Avance fuera de rango 0-100%"&amp;" · ","")&amp;IF(OR(AND($J161&lt;&gt;"",$J161&lt;$I161),AND($K161&lt;&gt;"",$K161&lt;MAX($I161:$J161)),AND($L161&lt;&gt;"",$L161&lt;MAX($I161:$K161))),"Avance semanal decreciente"&amp;" · ","")&amp;IF(AND(ISNUMBER($AN161),$AN161&lt;FechaRef,IF($V161="Sub",N($X161),N($M161))&lt;1),"Vencida"&amp;" · ","")&amp;IF(AND(ObsObligatoria="Sí",ISNUMBER($AN161),$AN161&lt;FechaRef,IF($V161="Sub",N($X161),N($M161))&lt;1,$Q161=""),"Vencida sin observación"&amp;" · ",""))="","✔ OK","⚠ "&amp;LEFT(IF($C161="","Falta el nombre de la actividad"&amp;" · ","")&amp;IF(AND($V161="Sub",N($U161)=0),"Subactividad sin macroactividad arriba"&amp;" · ","")&amp;IF($AM161="","Sin fecha de inicio"&amp;" · ","")&amp;IF($AN161="","Sin fecha límite"&amp;" · ","")&amp;IF(AND(LEFT($C161,11)="[Jefatura] ",N($AL161)=0),"No se encuentra en la hoja de la jefatura (elíjala de nuevo en la lista)"&amp;" · ","")&amp;IF(OR(AND($E161&lt;&gt;"",NOT(ISNUMBER($E161))),AND($F161&lt;&gt;"",NOT(ISNUMBER($F161))),AND($G161&lt;&gt;"",NOT(ISNUMBER($G161)))),"Fecha no válida"&amp;" · ","")&amp;IF(AND(ISNUMBER($AM161),ISNUMBER($AN161),$AM161&gt;$AN161),"Inicio posterior a fecha límite"&amp;" · ","")&amp;IF(AND($V161="Macro",$H161&lt;&gt;"",OR(NOT(ISNUMBER($H161)),$H161&lt;0,$H161&gt;1)),"Peso fuera de rango"&amp;" · ","")&amp;IF(AND($V161="Sub",$H161&lt;&gt;""),"Las subactividades no llevan peso (valen igual dentro de su macroactividad)"&amp;" · ","")&amp;IF(AND(N($W161)&gt;0,COUNT($I161:$L161)&gt;0),"Con subactividades: deje vacías las semanas (se calculan solas)"&amp;" · ","")&amp;IF((COUNTIF($I161:$L161,"&gt;1")+COUNTIF($I161:$L161,"&lt;0")+COUNTA($I161:$L161)-COUNT($I161:$L161))&gt;0,"Avance fuera de rango 0-100%"&amp;" · ","")&amp;IF(OR(AND($J161&lt;&gt;"",$J161&lt;$I161),AND($K161&lt;&gt;"",$K161&lt;MAX($I161:$J161)),AND($L161&lt;&gt;"",$L161&lt;MAX($I161:$K161))),"Avance semanal decreciente"&amp;" · ","")&amp;IF(AND(ISNUMBER($AN161),$AN161&lt;FechaRef,IF($V161="Sub",N($X161),N($M161))&lt;1),"Vencida"&amp;" · ","")&amp;IF(AND(ObsObligatoria="Sí",ISNUMBER($AN161),$AN161&lt;FechaRef,IF($V161="Sub",N($X161),N($M161))&lt;1,$Q161=""),"Vencida sin observación"&amp;" · ",""),LEN(IF($C161="","Falta el nombre de la actividad"&amp;" · ","")&amp;IF(AND($V161="Sub",N($U161)=0),"Subactividad sin macroactividad arriba"&amp;" · ","")&amp;IF($AM161="","Sin fecha de inicio"&amp;" · ","")&amp;IF($AN161="","Sin fecha límite"&amp;" · ","")&amp;IF(AND(LEFT($C161,11)="[Jefatura] ",N($AL161)=0),"No se encuentra en la hoja de la jefatura (elíjala de nuevo en la lista)"&amp;" · ","")&amp;IF(OR(AND($E161&lt;&gt;"",NOT(ISNUMBER($E161))),AND($F161&lt;&gt;"",NOT(ISNUMBER($F161))),AND($G161&lt;&gt;"",NOT(ISNUMBER($G161)))),"Fecha no válida"&amp;" · ","")&amp;IF(AND(ISNUMBER($AM161),ISNUMBER($AN161),$AM161&gt;$AN161),"Inicio posterior a fecha límite"&amp;" · ","")&amp;IF(AND($V161="Macro",$H161&lt;&gt;"",OR(NOT(ISNUMBER($H161)),$H161&lt;0,$H161&gt;1)),"Peso fuera de rango"&amp;" · ","")&amp;IF(AND($V161="Sub",$H161&lt;&gt;""),"Las subactividades no llevan peso (valen igual dentro de su macroactividad)"&amp;" · ","")&amp;IF(AND(N($W161)&gt;0,COUNT($I161:$L161)&gt;0),"Con subactividades: deje vacías las semanas (se calculan solas)"&amp;" · ","")&amp;IF((COUNTIF($I161:$L161,"&gt;1")+COUNTIF($I161:$L161,"&lt;0")+COUNTA($I161:$L161)-COUNT($I161:$L161))&gt;0,"Avance fuera de rango 0-100%"&amp;" · ","")&amp;IF(OR(AND($J161&lt;&gt;"",$J161&lt;$I161),AND($K161&lt;&gt;"",$K161&lt;MAX($I161:$J161)),AND($L161&lt;&gt;"",$L161&lt;MAX($I161:$K161))),"Avance semanal decreciente"&amp;" · ","")&amp;IF(AND(ISNUMBER($AN161),$AN161&lt;FechaRef,IF($V161="Sub",N($X161),N($M161))&lt;1),"Vencida"&amp;" · ","")&amp;IF(AND(ObsObligatoria="Sí",ISNUMBER($AN161),$AN161&lt;FechaRef,IF($V161="Sub",N($X161),N($M161))&lt;1,$Q161=""),"Vencida sin observación"&amp;" · ",""))-3)))</f>
        <v/>
      </c>
      <c r="S161" s="64">
        <f>IF(NOT((COUNTA($B161:$D161)+COUNTA($G161:$L161)+COUNTA($Q161))&gt;0),"",IF(AND($V161="Sub",N($U161)&gt;0),IF(ISNUMBER(INDEX($AM$5:$AM$1000,$U161-4)),DATE(YEAR(INDEX($AM$5:$AM$1000,$U161-4)),MONTH(INDEX($AM$5:$AM$1000,$U161-4)),1),IF(ISNUMBER(INDEX($AN$5:$AN$1000,$U161-4)),DATE(YEAR(INDEX($AN$5:$AN$1000,$U161-4)),MONTH(INDEX($AN$5:$AN$1000,$U161-4)),1),MesCiclo)),IF(ISNUMBER($AM161),DATE(YEAR($AM161),MONTH($AM161),1),IF(ISNUMBER($AN161),DATE(YEAR($AN161),MONTH($AN161),1),MesCiclo))))</f>
        <v/>
      </c>
      <c r="T161" s="62">
        <f>IF(OR($S161="",$S161&lt;&gt;MesCiclo,$V161&lt;&gt;"Macro"),"",COUNTIFS($S$5:$S161,MesCiclo,$V$5:$V161,"Macro"))</f>
        <v/>
      </c>
      <c r="U161" s="62">
        <f>IF($V161="","",IF($V161="Macro",ROW(),IFERROR(LOOKUP(2,1/($V$5:$V161="Macro"),ROW($V$5:$V161)),0)))</f>
        <v/>
      </c>
      <c r="V161" s="62">
        <f>IF(NOT((COUNTA($B161:$D161)+COUNTA($G161:$L161)+COUNTA($Q161))&gt;0),"",IF($B161="Subactividad","Sub","Macro"))</f>
        <v/>
      </c>
      <c r="W161" s="62">
        <f>IF($V161="Macro",COUNTIFS($U$5:$U$1000,ROW(),$V$5:$V$1000,"Sub"),"")</f>
        <v/>
      </c>
      <c r="X161" s="62">
        <f>IF($V161="","",IF(ISNUMBER($G161),1,IFERROR(LOOKUP(2,1/($I161:$L161&lt;&gt;""),$I161:$L161),0)))</f>
        <v/>
      </c>
      <c r="Y161" s="62">
        <f>IF($V161="","",IF(AND(ISNUMBER($G161),$G161&lt;=IF($S161=MesCiclo,InicioCiclo,$S161+MOD(2-WEEKDAY($S161),7))+6),1,IF(ISNUMBER($I161),$I161,0)))</f>
        <v/>
      </c>
      <c r="Z161" s="62">
        <f>IF($V161="","",IF(AND(ISNUMBER($G161),$G161&lt;=IF($S161=MesCiclo,InicioCiclo,$S161+MOD(2-WEEKDAY($S161),7))+13),1,IF(ISNUMBER($J161),$J161,$Y161)))</f>
        <v/>
      </c>
      <c r="AA161" s="62">
        <f>IF($V161="","",IF(AND(ISNUMBER($G161),$G161&lt;=IF($S161=MesCiclo,InicioCiclo,$S161+MOD(2-WEEKDAY($S161),7))+20),1,IF(ISNUMBER($K161),$K161,$Z161)))</f>
        <v/>
      </c>
      <c r="AB161" s="62">
        <f>IF($V161="","",IF(AND(ISNUMBER($G161),$G161&lt;=IF($S161=MesCiclo,InicioCiclo,$S161+MOD(2-WEEKDAY($S161),7))+27),1,IF(ISNUMBER($L161),$L161,$AA161)))</f>
        <v/>
      </c>
      <c r="AC161" s="62">
        <f>IF($V161="","",IF(AND(ISNUMBER($G161),$G161&lt;=IF($S161=MesCiclo,InicioCiclo,$S161+MOD(2-WEEKDAY($S161),7))+6),1,IF(N($W161)&gt;0,AVERAGEIFS($Y$5:$Y$1000,$U$5:$U$1000,ROW(),$V$5:$V$1000,"Sub"),$Y161)))</f>
        <v/>
      </c>
      <c r="AD161" s="62">
        <f>IF($V161="","",IF(AND(ISNUMBER($G161),$G161&lt;=IF($S161=MesCiclo,InicioCiclo,$S161+MOD(2-WEEKDAY($S161),7))+13),1,IF(N($W161)&gt;0,AVERAGEIFS($Z$5:$Z$1000,$U$5:$U$1000,ROW(),$V$5:$V$1000,"Sub"),$Z161)))</f>
        <v/>
      </c>
      <c r="AE161" s="62">
        <f>IF($V161="","",IF(AND(ISNUMBER($G161),$G161&lt;=IF($S161=MesCiclo,InicioCiclo,$S161+MOD(2-WEEKDAY($S161),7))+20),1,IF(N($W161)&gt;0,AVERAGEIFS($AA$5:$AA$1000,$U$5:$U$1000,ROW(),$V$5:$V$1000,"Sub"),$AA161)))</f>
        <v/>
      </c>
      <c r="AF161" s="62">
        <f>IF($V161="","",IF(AND(ISNUMBER($G161),$G161&lt;=IF($S161=MesCiclo,InicioCiclo,$S161+MOD(2-WEEKDAY($S161),7))+27),1,IF(N($W161)&gt;0,AVERAGEIFS($AB$5:$AB$1000,$U$5:$U$1000,ROW(),$V$5:$V$1000,"Sub"),$AB161)))</f>
        <v/>
      </c>
      <c r="AG161" s="62">
        <f>IF($V161&lt;&gt;"Macro","",IF(COUNTIFS($S$5:$S$1000,$S161,$V$5:$V$1000,"Macro",$H$5:$H$1000,"&gt;0")=0,1/COUNTIFS($S$5:$S$1000,$S161,$V$5:$V$1000,"Macro"),IF(AND(ISNUMBER($H161),N($H161)&gt;0),$H161,SUMIFS($H$5:$H$1000,$S$5:$S$1000,$S161,$V$5:$V$1000,"Macro")/COUNTIFS($S$5:$S$1000,$S161,$V$5:$V$1000,"Macro",$H$5:$H$1000,"&gt;0"))/(COUNTIFS($S$5:$S$1000,$S161,$V$5:$V$1000,"Macro")*SUMIFS($H$5:$H$1000,$S$5:$S$1000,$S161,$V$5:$V$1000,"Macro")/COUNTIFS($S$5:$S$1000,$S161,$V$5:$V$1000,"Macro",$H$5:$H$1000,"&gt;0"))))</f>
        <v/>
      </c>
      <c r="AH161" s="62" t="n"/>
      <c r="AI161" s="62" t="n"/>
      <c r="AJ161" s="62" t="n"/>
      <c r="AK161" s="62" t="n"/>
      <c r="AL161" s="62">
        <f>IF(LEFT($C161,11)="[Jefatura] ",IFERROR(MATCH("Riesgo Financiero|"&amp;MID($C161,12,500),rDname_ADM,0),0),"")</f>
        <v/>
      </c>
      <c r="AM161" s="62">
        <f>IF(N($AL161)&gt;0,INDEX(rIni_ADM,$AL161),IF(ISNUMBER($E161),$E161,""))</f>
        <v/>
      </c>
      <c r="AN161" s="62">
        <f>IF(N($AL161)&gt;0,INDEX(rLim_ADM,$AL161),IF(ISNUMBER($F161),$F161,""))</f>
        <v/>
      </c>
    </row>
    <row r="162">
      <c r="A162" s="56">
        <f>IF(NOT((COUNTA($B162:$D162)+COUNTA($G162:$L162)+COUNTA($Q162))&gt;0),"",IF($V162="Macro",COUNTIFS($V$5:$V162,"Macro",$S$5:$S162,$S162),IF(N($U162)=0,"?",COUNTIFS(INDEX($V$5:$V$1000,1):INDEX($V$5:$V$1000,$U162-4),"Macro",INDEX($S$5:$S$1000,1):INDEX($S$5:$S$1000,$U162-4),INDEX($S$5:$S$1000,$U162-4))&amp;"."&amp;COUNTIFS($U$5:$U162,$U162,$V$5:$V162,"Sub"))))</f>
        <v/>
      </c>
      <c r="B162" s="57" t="n"/>
      <c r="C162" s="58" t="n"/>
      <c r="D162" s="58" t="n"/>
      <c r="E162" s="59">
        <f>IF(N($AL162)&gt;0,INDEX(rIni_ADM,$AL162),"")</f>
        <v/>
      </c>
      <c r="F162" s="59">
        <f>IF(N($AL162)&gt;0,INDEX(rLim_ADM,$AL162),"")</f>
        <v/>
      </c>
      <c r="G162" s="59" t="n"/>
      <c r="H162" s="60" t="n"/>
      <c r="I162" s="60" t="n"/>
      <c r="J162" s="60" t="n"/>
      <c r="K162" s="60" t="n"/>
      <c r="L162" s="60" t="n"/>
      <c r="M162" s="61">
        <f>IF(NOT((COUNTA($B162:$D162)+COUNTA($G162:$L162)+COUNTA($Q162))&gt;0),"",IF($V162="Sub",IFERROR($X162/INDEX($W$5:$W$1000,$U162-4),""),IF(ISNUMBER($G162),1,IF(N($W162)&gt;0,AVERAGEIFS($X$5:$X$1000,$U$5:$U$1000,ROW(),$V$5:$V$1000,"Sub"),$X162))))</f>
        <v/>
      </c>
      <c r="N162" s="56">
        <f>IF(OR($M162="",$V162="Sub"),"",IF($M162&gt;=1,"Completado",IF($M162&gt;0,"En curso","Pendiente")))</f>
        <v/>
      </c>
      <c r="O162" s="56">
        <f>IF(OR(NOT((COUNTA($B162:$D162)+COUNTA($G162:$L162)+COUNTA($Q162))&gt;0),$V162="Sub"),"",IF(ISNUMBER($G162),IF(AND(ISNUMBER($AN162),$G162&gt;$AN162),"Cumplida con "&amp;($G162-$AN162)&amp;IF($G162-$AN162=1," día"," días")&amp;" de retraso","Cumplida"),IF(N($M162)&gt;=1,"Cumplida",IF(NOT(ISNUMBER($AN162)),"Sin fecha límite",IF($AN162&lt;FechaRef,"Vencida hace "&amp;(FechaRef-$AN162)&amp;IF(FechaRef-$AN162=1," día"," días"),IF($AN162=FechaRef,"Vence hoy",IF($AN162-FechaRef&lt;=DiasAlerta,"Vence en "&amp;($AN162-FechaRef)&amp;IF($AN162-FechaRef=1," día"," días"),"En plazo")))))))</f>
        <v/>
      </c>
      <c r="P162" s="62" t="n"/>
      <c r="Q162" s="58" t="n"/>
      <c r="R162" s="63">
        <f>IF(NOT((COUNTA($B162:$D162)+COUNTA($G162:$L162)+COUNTA($Q162))&gt;0),"",IF((IF($C162="","Falta el nombre de la actividad"&amp;" · ","")&amp;IF(AND($V162="Sub",N($U162)=0),"Subactividad sin macroactividad arriba"&amp;" · ","")&amp;IF($AM162="","Sin fecha de inicio"&amp;" · ","")&amp;IF($AN162="","Sin fecha límite"&amp;" · ","")&amp;IF(AND(LEFT($C162,11)="[Jefatura] ",N($AL162)=0),"No se encuentra en la hoja de la jefatura (elíjala de nuevo en la lista)"&amp;" · ","")&amp;IF(OR(AND($E162&lt;&gt;"",NOT(ISNUMBER($E162))),AND($F162&lt;&gt;"",NOT(ISNUMBER($F162))),AND($G162&lt;&gt;"",NOT(ISNUMBER($G162)))),"Fecha no válida"&amp;" · ","")&amp;IF(AND(ISNUMBER($AM162),ISNUMBER($AN162),$AM162&gt;$AN162),"Inicio posterior a fecha límite"&amp;" · ","")&amp;IF(AND($V162="Macro",$H162&lt;&gt;"",OR(NOT(ISNUMBER($H162)),$H162&lt;0,$H162&gt;1)),"Peso fuera de rango"&amp;" · ","")&amp;IF(AND($V162="Sub",$H162&lt;&gt;""),"Las subactividades no llevan peso (valen igual dentro de su macroactividad)"&amp;" · ","")&amp;IF(AND(N($W162)&gt;0,COUNT($I162:$L162)&gt;0),"Con subactividades: deje vacías las semanas (se calculan solas)"&amp;" · ","")&amp;IF((COUNTIF($I162:$L162,"&gt;1")+COUNTIF($I162:$L162,"&lt;0")+COUNTA($I162:$L162)-COUNT($I162:$L162))&gt;0,"Avance fuera de rango 0-100%"&amp;" · ","")&amp;IF(OR(AND($J162&lt;&gt;"",$J162&lt;$I162),AND($K162&lt;&gt;"",$K162&lt;MAX($I162:$J162)),AND($L162&lt;&gt;"",$L162&lt;MAX($I162:$K162))),"Avance semanal decreciente"&amp;" · ","")&amp;IF(AND(ISNUMBER($AN162),$AN162&lt;FechaRef,IF($V162="Sub",N($X162),N($M162))&lt;1),"Vencida"&amp;" · ","")&amp;IF(AND(ObsObligatoria="Sí",ISNUMBER($AN162),$AN162&lt;FechaRef,IF($V162="Sub",N($X162),N($M162))&lt;1,$Q162=""),"Vencida sin observación"&amp;" · ",""))="","✔ OK","⚠ "&amp;LEFT(IF($C162="","Falta el nombre de la actividad"&amp;" · ","")&amp;IF(AND($V162="Sub",N($U162)=0),"Subactividad sin macroactividad arriba"&amp;" · ","")&amp;IF($AM162="","Sin fecha de inicio"&amp;" · ","")&amp;IF($AN162="","Sin fecha límite"&amp;" · ","")&amp;IF(AND(LEFT($C162,11)="[Jefatura] ",N($AL162)=0),"No se encuentra en la hoja de la jefatura (elíjala de nuevo en la lista)"&amp;" · ","")&amp;IF(OR(AND($E162&lt;&gt;"",NOT(ISNUMBER($E162))),AND($F162&lt;&gt;"",NOT(ISNUMBER($F162))),AND($G162&lt;&gt;"",NOT(ISNUMBER($G162)))),"Fecha no válida"&amp;" · ","")&amp;IF(AND(ISNUMBER($AM162),ISNUMBER($AN162),$AM162&gt;$AN162),"Inicio posterior a fecha límite"&amp;" · ","")&amp;IF(AND($V162="Macro",$H162&lt;&gt;"",OR(NOT(ISNUMBER($H162)),$H162&lt;0,$H162&gt;1)),"Peso fuera de rango"&amp;" · ","")&amp;IF(AND($V162="Sub",$H162&lt;&gt;""),"Las subactividades no llevan peso (valen igual dentro de su macroactividad)"&amp;" · ","")&amp;IF(AND(N($W162)&gt;0,COUNT($I162:$L162)&gt;0),"Con subactividades: deje vacías las semanas (se calculan solas)"&amp;" · ","")&amp;IF((COUNTIF($I162:$L162,"&gt;1")+COUNTIF($I162:$L162,"&lt;0")+COUNTA($I162:$L162)-COUNT($I162:$L162))&gt;0,"Avance fuera de rango 0-100%"&amp;" · ","")&amp;IF(OR(AND($J162&lt;&gt;"",$J162&lt;$I162),AND($K162&lt;&gt;"",$K162&lt;MAX($I162:$J162)),AND($L162&lt;&gt;"",$L162&lt;MAX($I162:$K162))),"Avance semanal decreciente"&amp;" · ","")&amp;IF(AND(ISNUMBER($AN162),$AN162&lt;FechaRef,IF($V162="Sub",N($X162),N($M162))&lt;1),"Vencida"&amp;" · ","")&amp;IF(AND(ObsObligatoria="Sí",ISNUMBER($AN162),$AN162&lt;FechaRef,IF($V162="Sub",N($X162),N($M162))&lt;1,$Q162=""),"Vencida sin observación"&amp;" · ",""),LEN(IF($C162="","Falta el nombre de la actividad"&amp;" · ","")&amp;IF(AND($V162="Sub",N($U162)=0),"Subactividad sin macroactividad arriba"&amp;" · ","")&amp;IF($AM162="","Sin fecha de inicio"&amp;" · ","")&amp;IF($AN162="","Sin fecha límite"&amp;" · ","")&amp;IF(AND(LEFT($C162,11)="[Jefatura] ",N($AL162)=0),"No se encuentra en la hoja de la jefatura (elíjala de nuevo en la lista)"&amp;" · ","")&amp;IF(OR(AND($E162&lt;&gt;"",NOT(ISNUMBER($E162))),AND($F162&lt;&gt;"",NOT(ISNUMBER($F162))),AND($G162&lt;&gt;"",NOT(ISNUMBER($G162)))),"Fecha no válida"&amp;" · ","")&amp;IF(AND(ISNUMBER($AM162),ISNUMBER($AN162),$AM162&gt;$AN162),"Inicio posterior a fecha límite"&amp;" · ","")&amp;IF(AND($V162="Macro",$H162&lt;&gt;"",OR(NOT(ISNUMBER($H162)),$H162&lt;0,$H162&gt;1)),"Peso fuera de rango"&amp;" · ","")&amp;IF(AND($V162="Sub",$H162&lt;&gt;""),"Las subactividades no llevan peso (valen igual dentro de su macroactividad)"&amp;" · ","")&amp;IF(AND(N($W162)&gt;0,COUNT($I162:$L162)&gt;0),"Con subactividades: deje vacías las semanas (se calculan solas)"&amp;" · ","")&amp;IF((COUNTIF($I162:$L162,"&gt;1")+COUNTIF($I162:$L162,"&lt;0")+COUNTA($I162:$L162)-COUNT($I162:$L162))&gt;0,"Avance fuera de rango 0-100%"&amp;" · ","")&amp;IF(OR(AND($J162&lt;&gt;"",$J162&lt;$I162),AND($K162&lt;&gt;"",$K162&lt;MAX($I162:$J162)),AND($L162&lt;&gt;"",$L162&lt;MAX($I162:$K162))),"Avance semanal decreciente"&amp;" · ","")&amp;IF(AND(ISNUMBER($AN162),$AN162&lt;FechaRef,IF($V162="Sub",N($X162),N($M162))&lt;1),"Vencida"&amp;" · ","")&amp;IF(AND(ObsObligatoria="Sí",ISNUMBER($AN162),$AN162&lt;FechaRef,IF($V162="Sub",N($X162),N($M162))&lt;1,$Q162=""),"Vencida sin observación"&amp;" · ",""))-3)))</f>
        <v/>
      </c>
      <c r="S162" s="64">
        <f>IF(NOT((COUNTA($B162:$D162)+COUNTA($G162:$L162)+COUNTA($Q162))&gt;0),"",IF(AND($V162="Sub",N($U162)&gt;0),IF(ISNUMBER(INDEX($AM$5:$AM$1000,$U162-4)),DATE(YEAR(INDEX($AM$5:$AM$1000,$U162-4)),MONTH(INDEX($AM$5:$AM$1000,$U162-4)),1),IF(ISNUMBER(INDEX($AN$5:$AN$1000,$U162-4)),DATE(YEAR(INDEX($AN$5:$AN$1000,$U162-4)),MONTH(INDEX($AN$5:$AN$1000,$U162-4)),1),MesCiclo)),IF(ISNUMBER($AM162),DATE(YEAR($AM162),MONTH($AM162),1),IF(ISNUMBER($AN162),DATE(YEAR($AN162),MONTH($AN162),1),MesCiclo))))</f>
        <v/>
      </c>
      <c r="T162" s="62">
        <f>IF(OR($S162="",$S162&lt;&gt;MesCiclo,$V162&lt;&gt;"Macro"),"",COUNTIFS($S$5:$S162,MesCiclo,$V$5:$V162,"Macro"))</f>
        <v/>
      </c>
      <c r="U162" s="62">
        <f>IF($V162="","",IF($V162="Macro",ROW(),IFERROR(LOOKUP(2,1/($V$5:$V162="Macro"),ROW($V$5:$V162)),0)))</f>
        <v/>
      </c>
      <c r="V162" s="62">
        <f>IF(NOT((COUNTA($B162:$D162)+COUNTA($G162:$L162)+COUNTA($Q162))&gt;0),"",IF($B162="Subactividad","Sub","Macro"))</f>
        <v/>
      </c>
      <c r="W162" s="62">
        <f>IF($V162="Macro",COUNTIFS($U$5:$U$1000,ROW(),$V$5:$V$1000,"Sub"),"")</f>
        <v/>
      </c>
      <c r="X162" s="62">
        <f>IF($V162="","",IF(ISNUMBER($G162),1,IFERROR(LOOKUP(2,1/($I162:$L162&lt;&gt;""),$I162:$L162),0)))</f>
        <v/>
      </c>
      <c r="Y162" s="62">
        <f>IF($V162="","",IF(AND(ISNUMBER($G162),$G162&lt;=IF($S162=MesCiclo,InicioCiclo,$S162+MOD(2-WEEKDAY($S162),7))+6),1,IF(ISNUMBER($I162),$I162,0)))</f>
        <v/>
      </c>
      <c r="Z162" s="62">
        <f>IF($V162="","",IF(AND(ISNUMBER($G162),$G162&lt;=IF($S162=MesCiclo,InicioCiclo,$S162+MOD(2-WEEKDAY($S162),7))+13),1,IF(ISNUMBER($J162),$J162,$Y162)))</f>
        <v/>
      </c>
      <c r="AA162" s="62">
        <f>IF($V162="","",IF(AND(ISNUMBER($G162),$G162&lt;=IF($S162=MesCiclo,InicioCiclo,$S162+MOD(2-WEEKDAY($S162),7))+20),1,IF(ISNUMBER($K162),$K162,$Z162)))</f>
        <v/>
      </c>
      <c r="AB162" s="62">
        <f>IF($V162="","",IF(AND(ISNUMBER($G162),$G162&lt;=IF($S162=MesCiclo,InicioCiclo,$S162+MOD(2-WEEKDAY($S162),7))+27),1,IF(ISNUMBER($L162),$L162,$AA162)))</f>
        <v/>
      </c>
      <c r="AC162" s="62">
        <f>IF($V162="","",IF(AND(ISNUMBER($G162),$G162&lt;=IF($S162=MesCiclo,InicioCiclo,$S162+MOD(2-WEEKDAY($S162),7))+6),1,IF(N($W162)&gt;0,AVERAGEIFS($Y$5:$Y$1000,$U$5:$U$1000,ROW(),$V$5:$V$1000,"Sub"),$Y162)))</f>
        <v/>
      </c>
      <c r="AD162" s="62">
        <f>IF($V162="","",IF(AND(ISNUMBER($G162),$G162&lt;=IF($S162=MesCiclo,InicioCiclo,$S162+MOD(2-WEEKDAY($S162),7))+13),1,IF(N($W162)&gt;0,AVERAGEIFS($Z$5:$Z$1000,$U$5:$U$1000,ROW(),$V$5:$V$1000,"Sub"),$Z162)))</f>
        <v/>
      </c>
      <c r="AE162" s="62">
        <f>IF($V162="","",IF(AND(ISNUMBER($G162),$G162&lt;=IF($S162=MesCiclo,InicioCiclo,$S162+MOD(2-WEEKDAY($S162),7))+20),1,IF(N($W162)&gt;0,AVERAGEIFS($AA$5:$AA$1000,$U$5:$U$1000,ROW(),$V$5:$V$1000,"Sub"),$AA162)))</f>
        <v/>
      </c>
      <c r="AF162" s="62">
        <f>IF($V162="","",IF(AND(ISNUMBER($G162),$G162&lt;=IF($S162=MesCiclo,InicioCiclo,$S162+MOD(2-WEEKDAY($S162),7))+27),1,IF(N($W162)&gt;0,AVERAGEIFS($AB$5:$AB$1000,$U$5:$U$1000,ROW(),$V$5:$V$1000,"Sub"),$AB162)))</f>
        <v/>
      </c>
      <c r="AG162" s="62">
        <f>IF($V162&lt;&gt;"Macro","",IF(COUNTIFS($S$5:$S$1000,$S162,$V$5:$V$1000,"Macro",$H$5:$H$1000,"&gt;0")=0,1/COUNTIFS($S$5:$S$1000,$S162,$V$5:$V$1000,"Macro"),IF(AND(ISNUMBER($H162),N($H162)&gt;0),$H162,SUMIFS($H$5:$H$1000,$S$5:$S$1000,$S162,$V$5:$V$1000,"Macro")/COUNTIFS($S$5:$S$1000,$S162,$V$5:$V$1000,"Macro",$H$5:$H$1000,"&gt;0"))/(COUNTIFS($S$5:$S$1000,$S162,$V$5:$V$1000,"Macro")*SUMIFS($H$5:$H$1000,$S$5:$S$1000,$S162,$V$5:$V$1000,"Macro")/COUNTIFS($S$5:$S$1000,$S162,$V$5:$V$1000,"Macro",$H$5:$H$1000,"&gt;0"))))</f>
        <v/>
      </c>
      <c r="AH162" s="62" t="n"/>
      <c r="AI162" s="62" t="n"/>
      <c r="AJ162" s="62" t="n"/>
      <c r="AK162" s="62" t="n"/>
      <c r="AL162" s="62">
        <f>IF(LEFT($C162,11)="[Jefatura] ",IFERROR(MATCH("Riesgo Financiero|"&amp;MID($C162,12,500),rDname_ADM,0),0),"")</f>
        <v/>
      </c>
      <c r="AM162" s="62">
        <f>IF(N($AL162)&gt;0,INDEX(rIni_ADM,$AL162),IF(ISNUMBER($E162),$E162,""))</f>
        <v/>
      </c>
      <c r="AN162" s="62">
        <f>IF(N($AL162)&gt;0,INDEX(rLim_ADM,$AL162),IF(ISNUMBER($F162),$F162,""))</f>
        <v/>
      </c>
    </row>
    <row r="163">
      <c r="A163" s="56">
        <f>IF(NOT((COUNTA($B163:$D163)+COUNTA($G163:$L163)+COUNTA($Q163))&gt;0),"",IF($V163="Macro",COUNTIFS($V$5:$V163,"Macro",$S$5:$S163,$S163),IF(N($U163)=0,"?",COUNTIFS(INDEX($V$5:$V$1000,1):INDEX($V$5:$V$1000,$U163-4),"Macro",INDEX($S$5:$S$1000,1):INDEX($S$5:$S$1000,$U163-4),INDEX($S$5:$S$1000,$U163-4))&amp;"."&amp;COUNTIFS($U$5:$U163,$U163,$V$5:$V163,"Sub"))))</f>
        <v/>
      </c>
      <c r="B163" s="57" t="n"/>
      <c r="C163" s="58" t="n"/>
      <c r="D163" s="58" t="n"/>
      <c r="E163" s="59">
        <f>IF(N($AL163)&gt;0,INDEX(rIni_ADM,$AL163),"")</f>
        <v/>
      </c>
      <c r="F163" s="59">
        <f>IF(N($AL163)&gt;0,INDEX(rLim_ADM,$AL163),"")</f>
        <v/>
      </c>
      <c r="G163" s="59" t="n"/>
      <c r="H163" s="60" t="n"/>
      <c r="I163" s="60" t="n"/>
      <c r="J163" s="60" t="n"/>
      <c r="K163" s="60" t="n"/>
      <c r="L163" s="60" t="n"/>
      <c r="M163" s="61">
        <f>IF(NOT((COUNTA($B163:$D163)+COUNTA($G163:$L163)+COUNTA($Q163))&gt;0),"",IF($V163="Sub",IFERROR($X163/INDEX($W$5:$W$1000,$U163-4),""),IF(ISNUMBER($G163),1,IF(N($W163)&gt;0,AVERAGEIFS($X$5:$X$1000,$U$5:$U$1000,ROW(),$V$5:$V$1000,"Sub"),$X163))))</f>
        <v/>
      </c>
      <c r="N163" s="56">
        <f>IF(OR($M163="",$V163="Sub"),"",IF($M163&gt;=1,"Completado",IF($M163&gt;0,"En curso","Pendiente")))</f>
        <v/>
      </c>
      <c r="O163" s="56">
        <f>IF(OR(NOT((COUNTA($B163:$D163)+COUNTA($G163:$L163)+COUNTA($Q163))&gt;0),$V163="Sub"),"",IF(ISNUMBER($G163),IF(AND(ISNUMBER($AN163),$G163&gt;$AN163),"Cumplida con "&amp;($G163-$AN163)&amp;IF($G163-$AN163=1," día"," días")&amp;" de retraso","Cumplida"),IF(N($M163)&gt;=1,"Cumplida",IF(NOT(ISNUMBER($AN163)),"Sin fecha límite",IF($AN163&lt;FechaRef,"Vencida hace "&amp;(FechaRef-$AN163)&amp;IF(FechaRef-$AN163=1," día"," días"),IF($AN163=FechaRef,"Vence hoy",IF($AN163-FechaRef&lt;=DiasAlerta,"Vence en "&amp;($AN163-FechaRef)&amp;IF($AN163-FechaRef=1," día"," días"),"En plazo")))))))</f>
        <v/>
      </c>
      <c r="P163" s="62" t="n"/>
      <c r="Q163" s="58" t="n"/>
      <c r="R163" s="63">
        <f>IF(NOT((COUNTA($B163:$D163)+COUNTA($G163:$L163)+COUNTA($Q163))&gt;0),"",IF((IF($C163="","Falta el nombre de la actividad"&amp;" · ","")&amp;IF(AND($V163="Sub",N($U163)=0),"Subactividad sin macroactividad arriba"&amp;" · ","")&amp;IF($AM163="","Sin fecha de inicio"&amp;" · ","")&amp;IF($AN163="","Sin fecha límite"&amp;" · ","")&amp;IF(AND(LEFT($C163,11)="[Jefatura] ",N($AL163)=0),"No se encuentra en la hoja de la jefatura (elíjala de nuevo en la lista)"&amp;" · ","")&amp;IF(OR(AND($E163&lt;&gt;"",NOT(ISNUMBER($E163))),AND($F163&lt;&gt;"",NOT(ISNUMBER($F163))),AND($G163&lt;&gt;"",NOT(ISNUMBER($G163)))),"Fecha no válida"&amp;" · ","")&amp;IF(AND(ISNUMBER($AM163),ISNUMBER($AN163),$AM163&gt;$AN163),"Inicio posterior a fecha límite"&amp;" · ","")&amp;IF(AND($V163="Macro",$H163&lt;&gt;"",OR(NOT(ISNUMBER($H163)),$H163&lt;0,$H163&gt;1)),"Peso fuera de rango"&amp;" · ","")&amp;IF(AND($V163="Sub",$H163&lt;&gt;""),"Las subactividades no llevan peso (valen igual dentro de su macroactividad)"&amp;" · ","")&amp;IF(AND(N($W163)&gt;0,COUNT($I163:$L163)&gt;0),"Con subactividades: deje vacías las semanas (se calculan solas)"&amp;" · ","")&amp;IF((COUNTIF($I163:$L163,"&gt;1")+COUNTIF($I163:$L163,"&lt;0")+COUNTA($I163:$L163)-COUNT($I163:$L163))&gt;0,"Avance fuera de rango 0-100%"&amp;" · ","")&amp;IF(OR(AND($J163&lt;&gt;"",$J163&lt;$I163),AND($K163&lt;&gt;"",$K163&lt;MAX($I163:$J163)),AND($L163&lt;&gt;"",$L163&lt;MAX($I163:$K163))),"Avance semanal decreciente"&amp;" · ","")&amp;IF(AND(ISNUMBER($AN163),$AN163&lt;FechaRef,IF($V163="Sub",N($X163),N($M163))&lt;1),"Vencida"&amp;" · ","")&amp;IF(AND(ObsObligatoria="Sí",ISNUMBER($AN163),$AN163&lt;FechaRef,IF($V163="Sub",N($X163),N($M163))&lt;1,$Q163=""),"Vencida sin observación"&amp;" · ",""))="","✔ OK","⚠ "&amp;LEFT(IF($C163="","Falta el nombre de la actividad"&amp;" · ","")&amp;IF(AND($V163="Sub",N($U163)=0),"Subactividad sin macroactividad arriba"&amp;" · ","")&amp;IF($AM163="","Sin fecha de inicio"&amp;" · ","")&amp;IF($AN163="","Sin fecha límite"&amp;" · ","")&amp;IF(AND(LEFT($C163,11)="[Jefatura] ",N($AL163)=0),"No se encuentra en la hoja de la jefatura (elíjala de nuevo en la lista)"&amp;" · ","")&amp;IF(OR(AND($E163&lt;&gt;"",NOT(ISNUMBER($E163))),AND($F163&lt;&gt;"",NOT(ISNUMBER($F163))),AND($G163&lt;&gt;"",NOT(ISNUMBER($G163)))),"Fecha no válida"&amp;" · ","")&amp;IF(AND(ISNUMBER($AM163),ISNUMBER($AN163),$AM163&gt;$AN163),"Inicio posterior a fecha límite"&amp;" · ","")&amp;IF(AND($V163="Macro",$H163&lt;&gt;"",OR(NOT(ISNUMBER($H163)),$H163&lt;0,$H163&gt;1)),"Peso fuera de rango"&amp;" · ","")&amp;IF(AND($V163="Sub",$H163&lt;&gt;""),"Las subactividades no llevan peso (valen igual dentro de su macroactividad)"&amp;" · ","")&amp;IF(AND(N($W163)&gt;0,COUNT($I163:$L163)&gt;0),"Con subactividades: deje vacías las semanas (se calculan solas)"&amp;" · ","")&amp;IF((COUNTIF($I163:$L163,"&gt;1")+COUNTIF($I163:$L163,"&lt;0")+COUNTA($I163:$L163)-COUNT($I163:$L163))&gt;0,"Avance fuera de rango 0-100%"&amp;" · ","")&amp;IF(OR(AND($J163&lt;&gt;"",$J163&lt;$I163),AND($K163&lt;&gt;"",$K163&lt;MAX($I163:$J163)),AND($L163&lt;&gt;"",$L163&lt;MAX($I163:$K163))),"Avance semanal decreciente"&amp;" · ","")&amp;IF(AND(ISNUMBER($AN163),$AN163&lt;FechaRef,IF($V163="Sub",N($X163),N($M163))&lt;1),"Vencida"&amp;" · ","")&amp;IF(AND(ObsObligatoria="Sí",ISNUMBER($AN163),$AN163&lt;FechaRef,IF($V163="Sub",N($X163),N($M163))&lt;1,$Q163=""),"Vencida sin observación"&amp;" · ",""),LEN(IF($C163="","Falta el nombre de la actividad"&amp;" · ","")&amp;IF(AND($V163="Sub",N($U163)=0),"Subactividad sin macroactividad arriba"&amp;" · ","")&amp;IF($AM163="","Sin fecha de inicio"&amp;" · ","")&amp;IF($AN163="","Sin fecha límite"&amp;" · ","")&amp;IF(AND(LEFT($C163,11)="[Jefatura] ",N($AL163)=0),"No se encuentra en la hoja de la jefatura (elíjala de nuevo en la lista)"&amp;" · ","")&amp;IF(OR(AND($E163&lt;&gt;"",NOT(ISNUMBER($E163))),AND($F163&lt;&gt;"",NOT(ISNUMBER($F163))),AND($G163&lt;&gt;"",NOT(ISNUMBER($G163)))),"Fecha no válida"&amp;" · ","")&amp;IF(AND(ISNUMBER($AM163),ISNUMBER($AN163),$AM163&gt;$AN163),"Inicio posterior a fecha límite"&amp;" · ","")&amp;IF(AND($V163="Macro",$H163&lt;&gt;"",OR(NOT(ISNUMBER($H163)),$H163&lt;0,$H163&gt;1)),"Peso fuera de rango"&amp;" · ","")&amp;IF(AND($V163="Sub",$H163&lt;&gt;""),"Las subactividades no llevan peso (valen igual dentro de su macroactividad)"&amp;" · ","")&amp;IF(AND(N($W163)&gt;0,COUNT($I163:$L163)&gt;0),"Con subactividades: deje vacías las semanas (se calculan solas)"&amp;" · ","")&amp;IF((COUNTIF($I163:$L163,"&gt;1")+COUNTIF($I163:$L163,"&lt;0")+COUNTA($I163:$L163)-COUNT($I163:$L163))&gt;0,"Avance fuera de rango 0-100%"&amp;" · ","")&amp;IF(OR(AND($J163&lt;&gt;"",$J163&lt;$I163),AND($K163&lt;&gt;"",$K163&lt;MAX($I163:$J163)),AND($L163&lt;&gt;"",$L163&lt;MAX($I163:$K163))),"Avance semanal decreciente"&amp;" · ","")&amp;IF(AND(ISNUMBER($AN163),$AN163&lt;FechaRef,IF($V163="Sub",N($X163),N($M163))&lt;1),"Vencida"&amp;" · ","")&amp;IF(AND(ObsObligatoria="Sí",ISNUMBER($AN163),$AN163&lt;FechaRef,IF($V163="Sub",N($X163),N($M163))&lt;1,$Q163=""),"Vencida sin observación"&amp;" · ",""))-3)))</f>
        <v/>
      </c>
      <c r="S163" s="64">
        <f>IF(NOT((COUNTA($B163:$D163)+COUNTA($G163:$L163)+COUNTA($Q163))&gt;0),"",IF(AND($V163="Sub",N($U163)&gt;0),IF(ISNUMBER(INDEX($AM$5:$AM$1000,$U163-4)),DATE(YEAR(INDEX($AM$5:$AM$1000,$U163-4)),MONTH(INDEX($AM$5:$AM$1000,$U163-4)),1),IF(ISNUMBER(INDEX($AN$5:$AN$1000,$U163-4)),DATE(YEAR(INDEX($AN$5:$AN$1000,$U163-4)),MONTH(INDEX($AN$5:$AN$1000,$U163-4)),1),MesCiclo)),IF(ISNUMBER($AM163),DATE(YEAR($AM163),MONTH($AM163),1),IF(ISNUMBER($AN163),DATE(YEAR($AN163),MONTH($AN163),1),MesCiclo))))</f>
        <v/>
      </c>
      <c r="T163" s="62">
        <f>IF(OR($S163="",$S163&lt;&gt;MesCiclo,$V163&lt;&gt;"Macro"),"",COUNTIFS($S$5:$S163,MesCiclo,$V$5:$V163,"Macro"))</f>
        <v/>
      </c>
      <c r="U163" s="62">
        <f>IF($V163="","",IF($V163="Macro",ROW(),IFERROR(LOOKUP(2,1/($V$5:$V163="Macro"),ROW($V$5:$V163)),0)))</f>
        <v/>
      </c>
      <c r="V163" s="62">
        <f>IF(NOT((COUNTA($B163:$D163)+COUNTA($G163:$L163)+COUNTA($Q163))&gt;0),"",IF($B163="Subactividad","Sub","Macro"))</f>
        <v/>
      </c>
      <c r="W163" s="62">
        <f>IF($V163="Macro",COUNTIFS($U$5:$U$1000,ROW(),$V$5:$V$1000,"Sub"),"")</f>
        <v/>
      </c>
      <c r="X163" s="62">
        <f>IF($V163="","",IF(ISNUMBER($G163),1,IFERROR(LOOKUP(2,1/($I163:$L163&lt;&gt;""),$I163:$L163),0)))</f>
        <v/>
      </c>
      <c r="Y163" s="62">
        <f>IF($V163="","",IF(AND(ISNUMBER($G163),$G163&lt;=IF($S163=MesCiclo,InicioCiclo,$S163+MOD(2-WEEKDAY($S163),7))+6),1,IF(ISNUMBER($I163),$I163,0)))</f>
        <v/>
      </c>
      <c r="Z163" s="62">
        <f>IF($V163="","",IF(AND(ISNUMBER($G163),$G163&lt;=IF($S163=MesCiclo,InicioCiclo,$S163+MOD(2-WEEKDAY($S163),7))+13),1,IF(ISNUMBER($J163),$J163,$Y163)))</f>
        <v/>
      </c>
      <c r="AA163" s="62">
        <f>IF($V163="","",IF(AND(ISNUMBER($G163),$G163&lt;=IF($S163=MesCiclo,InicioCiclo,$S163+MOD(2-WEEKDAY($S163),7))+20),1,IF(ISNUMBER($K163),$K163,$Z163)))</f>
        <v/>
      </c>
      <c r="AB163" s="62">
        <f>IF($V163="","",IF(AND(ISNUMBER($G163),$G163&lt;=IF($S163=MesCiclo,InicioCiclo,$S163+MOD(2-WEEKDAY($S163),7))+27),1,IF(ISNUMBER($L163),$L163,$AA163)))</f>
        <v/>
      </c>
      <c r="AC163" s="62">
        <f>IF($V163="","",IF(AND(ISNUMBER($G163),$G163&lt;=IF($S163=MesCiclo,InicioCiclo,$S163+MOD(2-WEEKDAY($S163),7))+6),1,IF(N($W163)&gt;0,AVERAGEIFS($Y$5:$Y$1000,$U$5:$U$1000,ROW(),$V$5:$V$1000,"Sub"),$Y163)))</f>
        <v/>
      </c>
      <c r="AD163" s="62">
        <f>IF($V163="","",IF(AND(ISNUMBER($G163),$G163&lt;=IF($S163=MesCiclo,InicioCiclo,$S163+MOD(2-WEEKDAY($S163),7))+13),1,IF(N($W163)&gt;0,AVERAGEIFS($Z$5:$Z$1000,$U$5:$U$1000,ROW(),$V$5:$V$1000,"Sub"),$Z163)))</f>
        <v/>
      </c>
      <c r="AE163" s="62">
        <f>IF($V163="","",IF(AND(ISNUMBER($G163),$G163&lt;=IF($S163=MesCiclo,InicioCiclo,$S163+MOD(2-WEEKDAY($S163),7))+20),1,IF(N($W163)&gt;0,AVERAGEIFS($AA$5:$AA$1000,$U$5:$U$1000,ROW(),$V$5:$V$1000,"Sub"),$AA163)))</f>
        <v/>
      </c>
      <c r="AF163" s="62">
        <f>IF($V163="","",IF(AND(ISNUMBER($G163),$G163&lt;=IF($S163=MesCiclo,InicioCiclo,$S163+MOD(2-WEEKDAY($S163),7))+27),1,IF(N($W163)&gt;0,AVERAGEIFS($AB$5:$AB$1000,$U$5:$U$1000,ROW(),$V$5:$V$1000,"Sub"),$AB163)))</f>
        <v/>
      </c>
      <c r="AG163" s="62">
        <f>IF($V163&lt;&gt;"Macro","",IF(COUNTIFS($S$5:$S$1000,$S163,$V$5:$V$1000,"Macro",$H$5:$H$1000,"&gt;0")=0,1/COUNTIFS($S$5:$S$1000,$S163,$V$5:$V$1000,"Macro"),IF(AND(ISNUMBER($H163),N($H163)&gt;0),$H163,SUMIFS($H$5:$H$1000,$S$5:$S$1000,$S163,$V$5:$V$1000,"Macro")/COUNTIFS($S$5:$S$1000,$S163,$V$5:$V$1000,"Macro",$H$5:$H$1000,"&gt;0"))/(COUNTIFS($S$5:$S$1000,$S163,$V$5:$V$1000,"Macro")*SUMIFS($H$5:$H$1000,$S$5:$S$1000,$S163,$V$5:$V$1000,"Macro")/COUNTIFS($S$5:$S$1000,$S163,$V$5:$V$1000,"Macro",$H$5:$H$1000,"&gt;0"))))</f>
        <v/>
      </c>
      <c r="AH163" s="62" t="n"/>
      <c r="AI163" s="62" t="n"/>
      <c r="AJ163" s="62" t="n"/>
      <c r="AK163" s="62" t="n"/>
      <c r="AL163" s="62">
        <f>IF(LEFT($C163,11)="[Jefatura] ",IFERROR(MATCH("Riesgo Financiero|"&amp;MID($C163,12,500),rDname_ADM,0),0),"")</f>
        <v/>
      </c>
      <c r="AM163" s="62">
        <f>IF(N($AL163)&gt;0,INDEX(rIni_ADM,$AL163),IF(ISNUMBER($E163),$E163,""))</f>
        <v/>
      </c>
      <c r="AN163" s="62">
        <f>IF(N($AL163)&gt;0,INDEX(rLim_ADM,$AL163),IF(ISNUMBER($F163),$F163,""))</f>
        <v/>
      </c>
    </row>
    <row r="164">
      <c r="A164" s="56">
        <f>IF(NOT((COUNTA($B164:$D164)+COUNTA($G164:$L164)+COUNTA($Q164))&gt;0),"",IF($V164="Macro",COUNTIFS($V$5:$V164,"Macro",$S$5:$S164,$S164),IF(N($U164)=0,"?",COUNTIFS(INDEX($V$5:$V$1000,1):INDEX($V$5:$V$1000,$U164-4),"Macro",INDEX($S$5:$S$1000,1):INDEX($S$5:$S$1000,$U164-4),INDEX($S$5:$S$1000,$U164-4))&amp;"."&amp;COUNTIFS($U$5:$U164,$U164,$V$5:$V164,"Sub"))))</f>
        <v/>
      </c>
      <c r="B164" s="57" t="n"/>
      <c r="C164" s="58" t="n"/>
      <c r="D164" s="58" t="n"/>
      <c r="E164" s="59">
        <f>IF(N($AL164)&gt;0,INDEX(rIni_ADM,$AL164),"")</f>
        <v/>
      </c>
      <c r="F164" s="59">
        <f>IF(N($AL164)&gt;0,INDEX(rLim_ADM,$AL164),"")</f>
        <v/>
      </c>
      <c r="G164" s="59" t="n"/>
      <c r="H164" s="60" t="n"/>
      <c r="I164" s="60" t="n"/>
      <c r="J164" s="60" t="n"/>
      <c r="K164" s="60" t="n"/>
      <c r="L164" s="60" t="n"/>
      <c r="M164" s="61">
        <f>IF(NOT((COUNTA($B164:$D164)+COUNTA($G164:$L164)+COUNTA($Q164))&gt;0),"",IF($V164="Sub",IFERROR($X164/INDEX($W$5:$W$1000,$U164-4),""),IF(ISNUMBER($G164),1,IF(N($W164)&gt;0,AVERAGEIFS($X$5:$X$1000,$U$5:$U$1000,ROW(),$V$5:$V$1000,"Sub"),$X164))))</f>
        <v/>
      </c>
      <c r="N164" s="56">
        <f>IF(OR($M164="",$V164="Sub"),"",IF($M164&gt;=1,"Completado",IF($M164&gt;0,"En curso","Pendiente")))</f>
        <v/>
      </c>
      <c r="O164" s="56">
        <f>IF(OR(NOT((COUNTA($B164:$D164)+COUNTA($G164:$L164)+COUNTA($Q164))&gt;0),$V164="Sub"),"",IF(ISNUMBER($G164),IF(AND(ISNUMBER($AN164),$G164&gt;$AN164),"Cumplida con "&amp;($G164-$AN164)&amp;IF($G164-$AN164=1," día"," días")&amp;" de retraso","Cumplida"),IF(N($M164)&gt;=1,"Cumplida",IF(NOT(ISNUMBER($AN164)),"Sin fecha límite",IF($AN164&lt;FechaRef,"Vencida hace "&amp;(FechaRef-$AN164)&amp;IF(FechaRef-$AN164=1," día"," días"),IF($AN164=FechaRef,"Vence hoy",IF($AN164-FechaRef&lt;=DiasAlerta,"Vence en "&amp;($AN164-FechaRef)&amp;IF($AN164-FechaRef=1," día"," días"),"En plazo")))))))</f>
        <v/>
      </c>
      <c r="P164" s="62" t="n"/>
      <c r="Q164" s="58" t="n"/>
      <c r="R164" s="63">
        <f>IF(NOT((COUNTA($B164:$D164)+COUNTA($G164:$L164)+COUNTA($Q164))&gt;0),"",IF((IF($C164="","Falta el nombre de la actividad"&amp;" · ","")&amp;IF(AND($V164="Sub",N($U164)=0),"Subactividad sin macroactividad arriba"&amp;" · ","")&amp;IF($AM164="","Sin fecha de inicio"&amp;" · ","")&amp;IF($AN164="","Sin fecha límite"&amp;" · ","")&amp;IF(AND(LEFT($C164,11)="[Jefatura] ",N($AL164)=0),"No se encuentra en la hoja de la jefatura (elíjala de nuevo en la lista)"&amp;" · ","")&amp;IF(OR(AND($E164&lt;&gt;"",NOT(ISNUMBER($E164))),AND($F164&lt;&gt;"",NOT(ISNUMBER($F164))),AND($G164&lt;&gt;"",NOT(ISNUMBER($G164)))),"Fecha no válida"&amp;" · ","")&amp;IF(AND(ISNUMBER($AM164),ISNUMBER($AN164),$AM164&gt;$AN164),"Inicio posterior a fecha límite"&amp;" · ","")&amp;IF(AND($V164="Macro",$H164&lt;&gt;"",OR(NOT(ISNUMBER($H164)),$H164&lt;0,$H164&gt;1)),"Peso fuera de rango"&amp;" · ","")&amp;IF(AND($V164="Sub",$H164&lt;&gt;""),"Las subactividades no llevan peso (valen igual dentro de su macroactividad)"&amp;" · ","")&amp;IF(AND(N($W164)&gt;0,COUNT($I164:$L164)&gt;0),"Con subactividades: deje vacías las semanas (se calculan solas)"&amp;" · ","")&amp;IF((COUNTIF($I164:$L164,"&gt;1")+COUNTIF($I164:$L164,"&lt;0")+COUNTA($I164:$L164)-COUNT($I164:$L164))&gt;0,"Avance fuera de rango 0-100%"&amp;" · ","")&amp;IF(OR(AND($J164&lt;&gt;"",$J164&lt;$I164),AND($K164&lt;&gt;"",$K164&lt;MAX($I164:$J164)),AND($L164&lt;&gt;"",$L164&lt;MAX($I164:$K164))),"Avance semanal decreciente"&amp;" · ","")&amp;IF(AND(ISNUMBER($AN164),$AN164&lt;FechaRef,IF($V164="Sub",N($X164),N($M164))&lt;1),"Vencida"&amp;" · ","")&amp;IF(AND(ObsObligatoria="Sí",ISNUMBER($AN164),$AN164&lt;FechaRef,IF($V164="Sub",N($X164),N($M164))&lt;1,$Q164=""),"Vencida sin observación"&amp;" · ",""))="","✔ OK","⚠ "&amp;LEFT(IF($C164="","Falta el nombre de la actividad"&amp;" · ","")&amp;IF(AND($V164="Sub",N($U164)=0),"Subactividad sin macroactividad arriba"&amp;" · ","")&amp;IF($AM164="","Sin fecha de inicio"&amp;" · ","")&amp;IF($AN164="","Sin fecha límite"&amp;" · ","")&amp;IF(AND(LEFT($C164,11)="[Jefatura] ",N($AL164)=0),"No se encuentra en la hoja de la jefatura (elíjala de nuevo en la lista)"&amp;" · ","")&amp;IF(OR(AND($E164&lt;&gt;"",NOT(ISNUMBER($E164))),AND($F164&lt;&gt;"",NOT(ISNUMBER($F164))),AND($G164&lt;&gt;"",NOT(ISNUMBER($G164)))),"Fecha no válida"&amp;" · ","")&amp;IF(AND(ISNUMBER($AM164),ISNUMBER($AN164),$AM164&gt;$AN164),"Inicio posterior a fecha límite"&amp;" · ","")&amp;IF(AND($V164="Macro",$H164&lt;&gt;"",OR(NOT(ISNUMBER($H164)),$H164&lt;0,$H164&gt;1)),"Peso fuera de rango"&amp;" · ","")&amp;IF(AND($V164="Sub",$H164&lt;&gt;""),"Las subactividades no llevan peso (valen igual dentro de su macroactividad)"&amp;" · ","")&amp;IF(AND(N($W164)&gt;0,COUNT($I164:$L164)&gt;0),"Con subactividades: deje vacías las semanas (se calculan solas)"&amp;" · ","")&amp;IF((COUNTIF($I164:$L164,"&gt;1")+COUNTIF($I164:$L164,"&lt;0")+COUNTA($I164:$L164)-COUNT($I164:$L164))&gt;0,"Avance fuera de rango 0-100%"&amp;" · ","")&amp;IF(OR(AND($J164&lt;&gt;"",$J164&lt;$I164),AND($K164&lt;&gt;"",$K164&lt;MAX($I164:$J164)),AND($L164&lt;&gt;"",$L164&lt;MAX($I164:$K164))),"Avance semanal decreciente"&amp;" · ","")&amp;IF(AND(ISNUMBER($AN164),$AN164&lt;FechaRef,IF($V164="Sub",N($X164),N($M164))&lt;1),"Vencida"&amp;" · ","")&amp;IF(AND(ObsObligatoria="Sí",ISNUMBER($AN164),$AN164&lt;FechaRef,IF($V164="Sub",N($X164),N($M164))&lt;1,$Q164=""),"Vencida sin observación"&amp;" · ",""),LEN(IF($C164="","Falta el nombre de la actividad"&amp;" · ","")&amp;IF(AND($V164="Sub",N($U164)=0),"Subactividad sin macroactividad arriba"&amp;" · ","")&amp;IF($AM164="","Sin fecha de inicio"&amp;" · ","")&amp;IF($AN164="","Sin fecha límite"&amp;" · ","")&amp;IF(AND(LEFT($C164,11)="[Jefatura] ",N($AL164)=0),"No se encuentra en la hoja de la jefatura (elíjala de nuevo en la lista)"&amp;" · ","")&amp;IF(OR(AND($E164&lt;&gt;"",NOT(ISNUMBER($E164))),AND($F164&lt;&gt;"",NOT(ISNUMBER($F164))),AND($G164&lt;&gt;"",NOT(ISNUMBER($G164)))),"Fecha no válida"&amp;" · ","")&amp;IF(AND(ISNUMBER($AM164),ISNUMBER($AN164),$AM164&gt;$AN164),"Inicio posterior a fecha límite"&amp;" · ","")&amp;IF(AND($V164="Macro",$H164&lt;&gt;"",OR(NOT(ISNUMBER($H164)),$H164&lt;0,$H164&gt;1)),"Peso fuera de rango"&amp;" · ","")&amp;IF(AND($V164="Sub",$H164&lt;&gt;""),"Las subactividades no llevan peso (valen igual dentro de su macroactividad)"&amp;" · ","")&amp;IF(AND(N($W164)&gt;0,COUNT($I164:$L164)&gt;0),"Con subactividades: deje vacías las semanas (se calculan solas)"&amp;" · ","")&amp;IF((COUNTIF($I164:$L164,"&gt;1")+COUNTIF($I164:$L164,"&lt;0")+COUNTA($I164:$L164)-COUNT($I164:$L164))&gt;0,"Avance fuera de rango 0-100%"&amp;" · ","")&amp;IF(OR(AND($J164&lt;&gt;"",$J164&lt;$I164),AND($K164&lt;&gt;"",$K164&lt;MAX($I164:$J164)),AND($L164&lt;&gt;"",$L164&lt;MAX($I164:$K164))),"Avance semanal decreciente"&amp;" · ","")&amp;IF(AND(ISNUMBER($AN164),$AN164&lt;FechaRef,IF($V164="Sub",N($X164),N($M164))&lt;1),"Vencida"&amp;" · ","")&amp;IF(AND(ObsObligatoria="Sí",ISNUMBER($AN164),$AN164&lt;FechaRef,IF($V164="Sub",N($X164),N($M164))&lt;1,$Q164=""),"Vencida sin observación"&amp;" · ",""))-3)))</f>
        <v/>
      </c>
      <c r="S164" s="64">
        <f>IF(NOT((COUNTA($B164:$D164)+COUNTA($G164:$L164)+COUNTA($Q164))&gt;0),"",IF(AND($V164="Sub",N($U164)&gt;0),IF(ISNUMBER(INDEX($AM$5:$AM$1000,$U164-4)),DATE(YEAR(INDEX($AM$5:$AM$1000,$U164-4)),MONTH(INDEX($AM$5:$AM$1000,$U164-4)),1),IF(ISNUMBER(INDEX($AN$5:$AN$1000,$U164-4)),DATE(YEAR(INDEX($AN$5:$AN$1000,$U164-4)),MONTH(INDEX($AN$5:$AN$1000,$U164-4)),1),MesCiclo)),IF(ISNUMBER($AM164),DATE(YEAR($AM164),MONTH($AM164),1),IF(ISNUMBER($AN164),DATE(YEAR($AN164),MONTH($AN164),1),MesCiclo))))</f>
        <v/>
      </c>
      <c r="T164" s="62">
        <f>IF(OR($S164="",$S164&lt;&gt;MesCiclo,$V164&lt;&gt;"Macro"),"",COUNTIFS($S$5:$S164,MesCiclo,$V$5:$V164,"Macro"))</f>
        <v/>
      </c>
      <c r="U164" s="62">
        <f>IF($V164="","",IF($V164="Macro",ROW(),IFERROR(LOOKUP(2,1/($V$5:$V164="Macro"),ROW($V$5:$V164)),0)))</f>
        <v/>
      </c>
      <c r="V164" s="62">
        <f>IF(NOT((COUNTA($B164:$D164)+COUNTA($G164:$L164)+COUNTA($Q164))&gt;0),"",IF($B164="Subactividad","Sub","Macro"))</f>
        <v/>
      </c>
      <c r="W164" s="62">
        <f>IF($V164="Macro",COUNTIFS($U$5:$U$1000,ROW(),$V$5:$V$1000,"Sub"),"")</f>
        <v/>
      </c>
      <c r="X164" s="62">
        <f>IF($V164="","",IF(ISNUMBER($G164),1,IFERROR(LOOKUP(2,1/($I164:$L164&lt;&gt;""),$I164:$L164),0)))</f>
        <v/>
      </c>
      <c r="Y164" s="62">
        <f>IF($V164="","",IF(AND(ISNUMBER($G164),$G164&lt;=IF($S164=MesCiclo,InicioCiclo,$S164+MOD(2-WEEKDAY($S164),7))+6),1,IF(ISNUMBER($I164),$I164,0)))</f>
        <v/>
      </c>
      <c r="Z164" s="62">
        <f>IF($V164="","",IF(AND(ISNUMBER($G164),$G164&lt;=IF($S164=MesCiclo,InicioCiclo,$S164+MOD(2-WEEKDAY($S164),7))+13),1,IF(ISNUMBER($J164),$J164,$Y164)))</f>
        <v/>
      </c>
      <c r="AA164" s="62">
        <f>IF($V164="","",IF(AND(ISNUMBER($G164),$G164&lt;=IF($S164=MesCiclo,InicioCiclo,$S164+MOD(2-WEEKDAY($S164),7))+20),1,IF(ISNUMBER($K164),$K164,$Z164)))</f>
        <v/>
      </c>
      <c r="AB164" s="62">
        <f>IF($V164="","",IF(AND(ISNUMBER($G164),$G164&lt;=IF($S164=MesCiclo,InicioCiclo,$S164+MOD(2-WEEKDAY($S164),7))+27),1,IF(ISNUMBER($L164),$L164,$AA164)))</f>
        <v/>
      </c>
      <c r="AC164" s="62">
        <f>IF($V164="","",IF(AND(ISNUMBER($G164),$G164&lt;=IF($S164=MesCiclo,InicioCiclo,$S164+MOD(2-WEEKDAY($S164),7))+6),1,IF(N($W164)&gt;0,AVERAGEIFS($Y$5:$Y$1000,$U$5:$U$1000,ROW(),$V$5:$V$1000,"Sub"),$Y164)))</f>
        <v/>
      </c>
      <c r="AD164" s="62">
        <f>IF($V164="","",IF(AND(ISNUMBER($G164),$G164&lt;=IF($S164=MesCiclo,InicioCiclo,$S164+MOD(2-WEEKDAY($S164),7))+13),1,IF(N($W164)&gt;0,AVERAGEIFS($Z$5:$Z$1000,$U$5:$U$1000,ROW(),$V$5:$V$1000,"Sub"),$Z164)))</f>
        <v/>
      </c>
      <c r="AE164" s="62">
        <f>IF($V164="","",IF(AND(ISNUMBER($G164),$G164&lt;=IF($S164=MesCiclo,InicioCiclo,$S164+MOD(2-WEEKDAY($S164),7))+20),1,IF(N($W164)&gt;0,AVERAGEIFS($AA$5:$AA$1000,$U$5:$U$1000,ROW(),$V$5:$V$1000,"Sub"),$AA164)))</f>
        <v/>
      </c>
      <c r="AF164" s="62">
        <f>IF($V164="","",IF(AND(ISNUMBER($G164),$G164&lt;=IF($S164=MesCiclo,InicioCiclo,$S164+MOD(2-WEEKDAY($S164),7))+27),1,IF(N($W164)&gt;0,AVERAGEIFS($AB$5:$AB$1000,$U$5:$U$1000,ROW(),$V$5:$V$1000,"Sub"),$AB164)))</f>
        <v/>
      </c>
      <c r="AG164" s="62">
        <f>IF($V164&lt;&gt;"Macro","",IF(COUNTIFS($S$5:$S$1000,$S164,$V$5:$V$1000,"Macro",$H$5:$H$1000,"&gt;0")=0,1/COUNTIFS($S$5:$S$1000,$S164,$V$5:$V$1000,"Macro"),IF(AND(ISNUMBER($H164),N($H164)&gt;0),$H164,SUMIFS($H$5:$H$1000,$S$5:$S$1000,$S164,$V$5:$V$1000,"Macro")/COUNTIFS($S$5:$S$1000,$S164,$V$5:$V$1000,"Macro",$H$5:$H$1000,"&gt;0"))/(COUNTIFS($S$5:$S$1000,$S164,$V$5:$V$1000,"Macro")*SUMIFS($H$5:$H$1000,$S$5:$S$1000,$S164,$V$5:$V$1000,"Macro")/COUNTIFS($S$5:$S$1000,$S164,$V$5:$V$1000,"Macro",$H$5:$H$1000,"&gt;0"))))</f>
        <v/>
      </c>
      <c r="AH164" s="62" t="n"/>
      <c r="AI164" s="62" t="n"/>
      <c r="AJ164" s="62" t="n"/>
      <c r="AK164" s="62" t="n"/>
      <c r="AL164" s="62">
        <f>IF(LEFT($C164,11)="[Jefatura] ",IFERROR(MATCH("Riesgo Financiero|"&amp;MID($C164,12,500),rDname_ADM,0),0),"")</f>
        <v/>
      </c>
      <c r="AM164" s="62">
        <f>IF(N($AL164)&gt;0,INDEX(rIni_ADM,$AL164),IF(ISNUMBER($E164),$E164,""))</f>
        <v/>
      </c>
      <c r="AN164" s="62">
        <f>IF(N($AL164)&gt;0,INDEX(rLim_ADM,$AL164),IF(ISNUMBER($F164),$F164,""))</f>
        <v/>
      </c>
    </row>
    <row r="165">
      <c r="A165" s="56">
        <f>IF(NOT((COUNTA($B165:$D165)+COUNTA($G165:$L165)+COUNTA($Q165))&gt;0),"",IF($V165="Macro",COUNTIFS($V$5:$V165,"Macro",$S$5:$S165,$S165),IF(N($U165)=0,"?",COUNTIFS(INDEX($V$5:$V$1000,1):INDEX($V$5:$V$1000,$U165-4),"Macro",INDEX($S$5:$S$1000,1):INDEX($S$5:$S$1000,$U165-4),INDEX($S$5:$S$1000,$U165-4))&amp;"."&amp;COUNTIFS($U$5:$U165,$U165,$V$5:$V165,"Sub"))))</f>
        <v/>
      </c>
      <c r="B165" s="57" t="n"/>
      <c r="C165" s="58" t="n"/>
      <c r="D165" s="58" t="n"/>
      <c r="E165" s="59">
        <f>IF(N($AL165)&gt;0,INDEX(rIni_ADM,$AL165),"")</f>
        <v/>
      </c>
      <c r="F165" s="59">
        <f>IF(N($AL165)&gt;0,INDEX(rLim_ADM,$AL165),"")</f>
        <v/>
      </c>
      <c r="G165" s="59" t="n"/>
      <c r="H165" s="60" t="n"/>
      <c r="I165" s="60" t="n"/>
      <c r="J165" s="60" t="n"/>
      <c r="K165" s="60" t="n"/>
      <c r="L165" s="60" t="n"/>
      <c r="M165" s="61">
        <f>IF(NOT((COUNTA($B165:$D165)+COUNTA($G165:$L165)+COUNTA($Q165))&gt;0),"",IF($V165="Sub",IFERROR($X165/INDEX($W$5:$W$1000,$U165-4),""),IF(ISNUMBER($G165),1,IF(N($W165)&gt;0,AVERAGEIFS($X$5:$X$1000,$U$5:$U$1000,ROW(),$V$5:$V$1000,"Sub"),$X165))))</f>
        <v/>
      </c>
      <c r="N165" s="56">
        <f>IF(OR($M165="",$V165="Sub"),"",IF($M165&gt;=1,"Completado",IF($M165&gt;0,"En curso","Pendiente")))</f>
        <v/>
      </c>
      <c r="O165" s="56">
        <f>IF(OR(NOT((COUNTA($B165:$D165)+COUNTA($G165:$L165)+COUNTA($Q165))&gt;0),$V165="Sub"),"",IF(ISNUMBER($G165),IF(AND(ISNUMBER($AN165),$G165&gt;$AN165),"Cumplida con "&amp;($G165-$AN165)&amp;IF($G165-$AN165=1," día"," días")&amp;" de retraso","Cumplida"),IF(N($M165)&gt;=1,"Cumplida",IF(NOT(ISNUMBER($AN165)),"Sin fecha límite",IF($AN165&lt;FechaRef,"Vencida hace "&amp;(FechaRef-$AN165)&amp;IF(FechaRef-$AN165=1," día"," días"),IF($AN165=FechaRef,"Vence hoy",IF($AN165-FechaRef&lt;=DiasAlerta,"Vence en "&amp;($AN165-FechaRef)&amp;IF($AN165-FechaRef=1," día"," días"),"En plazo")))))))</f>
        <v/>
      </c>
      <c r="P165" s="62" t="n"/>
      <c r="Q165" s="58" t="n"/>
      <c r="R165" s="63">
        <f>IF(NOT((COUNTA($B165:$D165)+COUNTA($G165:$L165)+COUNTA($Q165))&gt;0),"",IF((IF($C165="","Falta el nombre de la actividad"&amp;" · ","")&amp;IF(AND($V165="Sub",N($U165)=0),"Subactividad sin macroactividad arriba"&amp;" · ","")&amp;IF($AM165="","Sin fecha de inicio"&amp;" · ","")&amp;IF($AN165="","Sin fecha límite"&amp;" · ","")&amp;IF(AND(LEFT($C165,11)="[Jefatura] ",N($AL165)=0),"No se encuentra en la hoja de la jefatura (elíjala de nuevo en la lista)"&amp;" · ","")&amp;IF(OR(AND($E165&lt;&gt;"",NOT(ISNUMBER($E165))),AND($F165&lt;&gt;"",NOT(ISNUMBER($F165))),AND($G165&lt;&gt;"",NOT(ISNUMBER($G165)))),"Fecha no válida"&amp;" · ","")&amp;IF(AND(ISNUMBER($AM165),ISNUMBER($AN165),$AM165&gt;$AN165),"Inicio posterior a fecha límite"&amp;" · ","")&amp;IF(AND($V165="Macro",$H165&lt;&gt;"",OR(NOT(ISNUMBER($H165)),$H165&lt;0,$H165&gt;1)),"Peso fuera de rango"&amp;" · ","")&amp;IF(AND($V165="Sub",$H165&lt;&gt;""),"Las subactividades no llevan peso (valen igual dentro de su macroactividad)"&amp;" · ","")&amp;IF(AND(N($W165)&gt;0,COUNT($I165:$L165)&gt;0),"Con subactividades: deje vacías las semanas (se calculan solas)"&amp;" · ","")&amp;IF((COUNTIF($I165:$L165,"&gt;1")+COUNTIF($I165:$L165,"&lt;0")+COUNTA($I165:$L165)-COUNT($I165:$L165))&gt;0,"Avance fuera de rango 0-100%"&amp;" · ","")&amp;IF(OR(AND($J165&lt;&gt;"",$J165&lt;$I165),AND($K165&lt;&gt;"",$K165&lt;MAX($I165:$J165)),AND($L165&lt;&gt;"",$L165&lt;MAX($I165:$K165))),"Avance semanal decreciente"&amp;" · ","")&amp;IF(AND(ISNUMBER($AN165),$AN165&lt;FechaRef,IF($V165="Sub",N($X165),N($M165))&lt;1),"Vencida"&amp;" · ","")&amp;IF(AND(ObsObligatoria="Sí",ISNUMBER($AN165),$AN165&lt;FechaRef,IF($V165="Sub",N($X165),N($M165))&lt;1,$Q165=""),"Vencida sin observación"&amp;" · ",""))="","✔ OK","⚠ "&amp;LEFT(IF($C165="","Falta el nombre de la actividad"&amp;" · ","")&amp;IF(AND($V165="Sub",N($U165)=0),"Subactividad sin macroactividad arriba"&amp;" · ","")&amp;IF($AM165="","Sin fecha de inicio"&amp;" · ","")&amp;IF($AN165="","Sin fecha límite"&amp;" · ","")&amp;IF(AND(LEFT($C165,11)="[Jefatura] ",N($AL165)=0),"No se encuentra en la hoja de la jefatura (elíjala de nuevo en la lista)"&amp;" · ","")&amp;IF(OR(AND($E165&lt;&gt;"",NOT(ISNUMBER($E165))),AND($F165&lt;&gt;"",NOT(ISNUMBER($F165))),AND($G165&lt;&gt;"",NOT(ISNUMBER($G165)))),"Fecha no válida"&amp;" · ","")&amp;IF(AND(ISNUMBER($AM165),ISNUMBER($AN165),$AM165&gt;$AN165),"Inicio posterior a fecha límite"&amp;" · ","")&amp;IF(AND($V165="Macro",$H165&lt;&gt;"",OR(NOT(ISNUMBER($H165)),$H165&lt;0,$H165&gt;1)),"Peso fuera de rango"&amp;" · ","")&amp;IF(AND($V165="Sub",$H165&lt;&gt;""),"Las subactividades no llevan peso (valen igual dentro de su macroactividad)"&amp;" · ","")&amp;IF(AND(N($W165)&gt;0,COUNT($I165:$L165)&gt;0),"Con subactividades: deje vacías las semanas (se calculan solas)"&amp;" · ","")&amp;IF((COUNTIF($I165:$L165,"&gt;1")+COUNTIF($I165:$L165,"&lt;0")+COUNTA($I165:$L165)-COUNT($I165:$L165))&gt;0,"Avance fuera de rango 0-100%"&amp;" · ","")&amp;IF(OR(AND($J165&lt;&gt;"",$J165&lt;$I165),AND($K165&lt;&gt;"",$K165&lt;MAX($I165:$J165)),AND($L165&lt;&gt;"",$L165&lt;MAX($I165:$K165))),"Avance semanal decreciente"&amp;" · ","")&amp;IF(AND(ISNUMBER($AN165),$AN165&lt;FechaRef,IF($V165="Sub",N($X165),N($M165))&lt;1),"Vencida"&amp;" · ","")&amp;IF(AND(ObsObligatoria="Sí",ISNUMBER($AN165),$AN165&lt;FechaRef,IF($V165="Sub",N($X165),N($M165))&lt;1,$Q165=""),"Vencida sin observación"&amp;" · ",""),LEN(IF($C165="","Falta el nombre de la actividad"&amp;" · ","")&amp;IF(AND($V165="Sub",N($U165)=0),"Subactividad sin macroactividad arriba"&amp;" · ","")&amp;IF($AM165="","Sin fecha de inicio"&amp;" · ","")&amp;IF($AN165="","Sin fecha límite"&amp;" · ","")&amp;IF(AND(LEFT($C165,11)="[Jefatura] ",N($AL165)=0),"No se encuentra en la hoja de la jefatura (elíjala de nuevo en la lista)"&amp;" · ","")&amp;IF(OR(AND($E165&lt;&gt;"",NOT(ISNUMBER($E165))),AND($F165&lt;&gt;"",NOT(ISNUMBER($F165))),AND($G165&lt;&gt;"",NOT(ISNUMBER($G165)))),"Fecha no válida"&amp;" · ","")&amp;IF(AND(ISNUMBER($AM165),ISNUMBER($AN165),$AM165&gt;$AN165),"Inicio posterior a fecha límite"&amp;" · ","")&amp;IF(AND($V165="Macro",$H165&lt;&gt;"",OR(NOT(ISNUMBER($H165)),$H165&lt;0,$H165&gt;1)),"Peso fuera de rango"&amp;" · ","")&amp;IF(AND($V165="Sub",$H165&lt;&gt;""),"Las subactividades no llevan peso (valen igual dentro de su macroactividad)"&amp;" · ","")&amp;IF(AND(N($W165)&gt;0,COUNT($I165:$L165)&gt;0),"Con subactividades: deje vacías las semanas (se calculan solas)"&amp;" · ","")&amp;IF((COUNTIF($I165:$L165,"&gt;1")+COUNTIF($I165:$L165,"&lt;0")+COUNTA($I165:$L165)-COUNT($I165:$L165))&gt;0,"Avance fuera de rango 0-100%"&amp;" · ","")&amp;IF(OR(AND($J165&lt;&gt;"",$J165&lt;$I165),AND($K165&lt;&gt;"",$K165&lt;MAX($I165:$J165)),AND($L165&lt;&gt;"",$L165&lt;MAX($I165:$K165))),"Avance semanal decreciente"&amp;" · ","")&amp;IF(AND(ISNUMBER($AN165),$AN165&lt;FechaRef,IF($V165="Sub",N($X165),N($M165))&lt;1),"Vencida"&amp;" · ","")&amp;IF(AND(ObsObligatoria="Sí",ISNUMBER($AN165),$AN165&lt;FechaRef,IF($V165="Sub",N($X165),N($M165))&lt;1,$Q165=""),"Vencida sin observación"&amp;" · ",""))-3)))</f>
        <v/>
      </c>
      <c r="S165" s="64">
        <f>IF(NOT((COUNTA($B165:$D165)+COUNTA($G165:$L165)+COUNTA($Q165))&gt;0),"",IF(AND($V165="Sub",N($U165)&gt;0),IF(ISNUMBER(INDEX($AM$5:$AM$1000,$U165-4)),DATE(YEAR(INDEX($AM$5:$AM$1000,$U165-4)),MONTH(INDEX($AM$5:$AM$1000,$U165-4)),1),IF(ISNUMBER(INDEX($AN$5:$AN$1000,$U165-4)),DATE(YEAR(INDEX($AN$5:$AN$1000,$U165-4)),MONTH(INDEX($AN$5:$AN$1000,$U165-4)),1),MesCiclo)),IF(ISNUMBER($AM165),DATE(YEAR($AM165),MONTH($AM165),1),IF(ISNUMBER($AN165),DATE(YEAR($AN165),MONTH($AN165),1),MesCiclo))))</f>
        <v/>
      </c>
      <c r="T165" s="62">
        <f>IF(OR($S165="",$S165&lt;&gt;MesCiclo,$V165&lt;&gt;"Macro"),"",COUNTIFS($S$5:$S165,MesCiclo,$V$5:$V165,"Macro"))</f>
        <v/>
      </c>
      <c r="U165" s="62">
        <f>IF($V165="","",IF($V165="Macro",ROW(),IFERROR(LOOKUP(2,1/($V$5:$V165="Macro"),ROW($V$5:$V165)),0)))</f>
        <v/>
      </c>
      <c r="V165" s="62">
        <f>IF(NOT((COUNTA($B165:$D165)+COUNTA($G165:$L165)+COUNTA($Q165))&gt;0),"",IF($B165="Subactividad","Sub","Macro"))</f>
        <v/>
      </c>
      <c r="W165" s="62">
        <f>IF($V165="Macro",COUNTIFS($U$5:$U$1000,ROW(),$V$5:$V$1000,"Sub"),"")</f>
        <v/>
      </c>
      <c r="X165" s="62">
        <f>IF($V165="","",IF(ISNUMBER($G165),1,IFERROR(LOOKUP(2,1/($I165:$L165&lt;&gt;""),$I165:$L165),0)))</f>
        <v/>
      </c>
      <c r="Y165" s="62">
        <f>IF($V165="","",IF(AND(ISNUMBER($G165),$G165&lt;=IF($S165=MesCiclo,InicioCiclo,$S165+MOD(2-WEEKDAY($S165),7))+6),1,IF(ISNUMBER($I165),$I165,0)))</f>
        <v/>
      </c>
      <c r="Z165" s="62">
        <f>IF($V165="","",IF(AND(ISNUMBER($G165),$G165&lt;=IF($S165=MesCiclo,InicioCiclo,$S165+MOD(2-WEEKDAY($S165),7))+13),1,IF(ISNUMBER($J165),$J165,$Y165)))</f>
        <v/>
      </c>
      <c r="AA165" s="62">
        <f>IF($V165="","",IF(AND(ISNUMBER($G165),$G165&lt;=IF($S165=MesCiclo,InicioCiclo,$S165+MOD(2-WEEKDAY($S165),7))+20),1,IF(ISNUMBER($K165),$K165,$Z165)))</f>
        <v/>
      </c>
      <c r="AB165" s="62">
        <f>IF($V165="","",IF(AND(ISNUMBER($G165),$G165&lt;=IF($S165=MesCiclo,InicioCiclo,$S165+MOD(2-WEEKDAY($S165),7))+27),1,IF(ISNUMBER($L165),$L165,$AA165)))</f>
        <v/>
      </c>
      <c r="AC165" s="62">
        <f>IF($V165="","",IF(AND(ISNUMBER($G165),$G165&lt;=IF($S165=MesCiclo,InicioCiclo,$S165+MOD(2-WEEKDAY($S165),7))+6),1,IF(N($W165)&gt;0,AVERAGEIFS($Y$5:$Y$1000,$U$5:$U$1000,ROW(),$V$5:$V$1000,"Sub"),$Y165)))</f>
        <v/>
      </c>
      <c r="AD165" s="62">
        <f>IF($V165="","",IF(AND(ISNUMBER($G165),$G165&lt;=IF($S165=MesCiclo,InicioCiclo,$S165+MOD(2-WEEKDAY($S165),7))+13),1,IF(N($W165)&gt;0,AVERAGEIFS($Z$5:$Z$1000,$U$5:$U$1000,ROW(),$V$5:$V$1000,"Sub"),$Z165)))</f>
        <v/>
      </c>
      <c r="AE165" s="62">
        <f>IF($V165="","",IF(AND(ISNUMBER($G165),$G165&lt;=IF($S165=MesCiclo,InicioCiclo,$S165+MOD(2-WEEKDAY($S165),7))+20),1,IF(N($W165)&gt;0,AVERAGEIFS($AA$5:$AA$1000,$U$5:$U$1000,ROW(),$V$5:$V$1000,"Sub"),$AA165)))</f>
        <v/>
      </c>
      <c r="AF165" s="62">
        <f>IF($V165="","",IF(AND(ISNUMBER($G165),$G165&lt;=IF($S165=MesCiclo,InicioCiclo,$S165+MOD(2-WEEKDAY($S165),7))+27),1,IF(N($W165)&gt;0,AVERAGEIFS($AB$5:$AB$1000,$U$5:$U$1000,ROW(),$V$5:$V$1000,"Sub"),$AB165)))</f>
        <v/>
      </c>
      <c r="AG165" s="62">
        <f>IF($V165&lt;&gt;"Macro","",IF(COUNTIFS($S$5:$S$1000,$S165,$V$5:$V$1000,"Macro",$H$5:$H$1000,"&gt;0")=0,1/COUNTIFS($S$5:$S$1000,$S165,$V$5:$V$1000,"Macro"),IF(AND(ISNUMBER($H165),N($H165)&gt;0),$H165,SUMIFS($H$5:$H$1000,$S$5:$S$1000,$S165,$V$5:$V$1000,"Macro")/COUNTIFS($S$5:$S$1000,$S165,$V$5:$V$1000,"Macro",$H$5:$H$1000,"&gt;0"))/(COUNTIFS($S$5:$S$1000,$S165,$V$5:$V$1000,"Macro")*SUMIFS($H$5:$H$1000,$S$5:$S$1000,$S165,$V$5:$V$1000,"Macro")/COUNTIFS($S$5:$S$1000,$S165,$V$5:$V$1000,"Macro",$H$5:$H$1000,"&gt;0"))))</f>
        <v/>
      </c>
      <c r="AH165" s="62" t="n"/>
      <c r="AI165" s="62" t="n"/>
      <c r="AJ165" s="62" t="n"/>
      <c r="AK165" s="62" t="n"/>
      <c r="AL165" s="62">
        <f>IF(LEFT($C165,11)="[Jefatura] ",IFERROR(MATCH("Riesgo Financiero|"&amp;MID($C165,12,500),rDname_ADM,0),0),"")</f>
        <v/>
      </c>
      <c r="AM165" s="62">
        <f>IF(N($AL165)&gt;0,INDEX(rIni_ADM,$AL165),IF(ISNUMBER($E165),$E165,""))</f>
        <v/>
      </c>
      <c r="AN165" s="62">
        <f>IF(N($AL165)&gt;0,INDEX(rLim_ADM,$AL165),IF(ISNUMBER($F165),$F165,""))</f>
        <v/>
      </c>
    </row>
    <row r="166">
      <c r="A166" s="56">
        <f>IF(NOT((COUNTA($B166:$D166)+COUNTA($G166:$L166)+COUNTA($Q166))&gt;0),"",IF($V166="Macro",COUNTIFS($V$5:$V166,"Macro",$S$5:$S166,$S166),IF(N($U166)=0,"?",COUNTIFS(INDEX($V$5:$V$1000,1):INDEX($V$5:$V$1000,$U166-4),"Macro",INDEX($S$5:$S$1000,1):INDEX($S$5:$S$1000,$U166-4),INDEX($S$5:$S$1000,$U166-4))&amp;"."&amp;COUNTIFS($U$5:$U166,$U166,$V$5:$V166,"Sub"))))</f>
        <v/>
      </c>
      <c r="B166" s="57" t="n"/>
      <c r="C166" s="58" t="n"/>
      <c r="D166" s="58" t="n"/>
      <c r="E166" s="59">
        <f>IF(N($AL166)&gt;0,INDEX(rIni_ADM,$AL166),"")</f>
        <v/>
      </c>
      <c r="F166" s="59">
        <f>IF(N($AL166)&gt;0,INDEX(rLim_ADM,$AL166),"")</f>
        <v/>
      </c>
      <c r="G166" s="59" t="n"/>
      <c r="H166" s="60" t="n"/>
      <c r="I166" s="60" t="n"/>
      <c r="J166" s="60" t="n"/>
      <c r="K166" s="60" t="n"/>
      <c r="L166" s="60" t="n"/>
      <c r="M166" s="61">
        <f>IF(NOT((COUNTA($B166:$D166)+COUNTA($G166:$L166)+COUNTA($Q166))&gt;0),"",IF($V166="Sub",IFERROR($X166/INDEX($W$5:$W$1000,$U166-4),""),IF(ISNUMBER($G166),1,IF(N($W166)&gt;0,AVERAGEIFS($X$5:$X$1000,$U$5:$U$1000,ROW(),$V$5:$V$1000,"Sub"),$X166))))</f>
        <v/>
      </c>
      <c r="N166" s="56">
        <f>IF(OR($M166="",$V166="Sub"),"",IF($M166&gt;=1,"Completado",IF($M166&gt;0,"En curso","Pendiente")))</f>
        <v/>
      </c>
      <c r="O166" s="56">
        <f>IF(OR(NOT((COUNTA($B166:$D166)+COUNTA($G166:$L166)+COUNTA($Q166))&gt;0),$V166="Sub"),"",IF(ISNUMBER($G166),IF(AND(ISNUMBER($AN166),$G166&gt;$AN166),"Cumplida con "&amp;($G166-$AN166)&amp;IF($G166-$AN166=1," día"," días")&amp;" de retraso","Cumplida"),IF(N($M166)&gt;=1,"Cumplida",IF(NOT(ISNUMBER($AN166)),"Sin fecha límite",IF($AN166&lt;FechaRef,"Vencida hace "&amp;(FechaRef-$AN166)&amp;IF(FechaRef-$AN166=1," día"," días"),IF($AN166=FechaRef,"Vence hoy",IF($AN166-FechaRef&lt;=DiasAlerta,"Vence en "&amp;($AN166-FechaRef)&amp;IF($AN166-FechaRef=1," día"," días"),"En plazo")))))))</f>
        <v/>
      </c>
      <c r="P166" s="62" t="n"/>
      <c r="Q166" s="58" t="n"/>
      <c r="R166" s="63">
        <f>IF(NOT((COUNTA($B166:$D166)+COUNTA($G166:$L166)+COUNTA($Q166))&gt;0),"",IF((IF($C166="","Falta el nombre de la actividad"&amp;" · ","")&amp;IF(AND($V166="Sub",N($U166)=0),"Subactividad sin macroactividad arriba"&amp;" · ","")&amp;IF($AM166="","Sin fecha de inicio"&amp;" · ","")&amp;IF($AN166="","Sin fecha límite"&amp;" · ","")&amp;IF(AND(LEFT($C166,11)="[Jefatura] ",N($AL166)=0),"No se encuentra en la hoja de la jefatura (elíjala de nuevo en la lista)"&amp;" · ","")&amp;IF(OR(AND($E166&lt;&gt;"",NOT(ISNUMBER($E166))),AND($F166&lt;&gt;"",NOT(ISNUMBER($F166))),AND($G166&lt;&gt;"",NOT(ISNUMBER($G166)))),"Fecha no válida"&amp;" · ","")&amp;IF(AND(ISNUMBER($AM166),ISNUMBER($AN166),$AM166&gt;$AN166),"Inicio posterior a fecha límite"&amp;" · ","")&amp;IF(AND($V166="Macro",$H166&lt;&gt;"",OR(NOT(ISNUMBER($H166)),$H166&lt;0,$H166&gt;1)),"Peso fuera de rango"&amp;" · ","")&amp;IF(AND($V166="Sub",$H166&lt;&gt;""),"Las subactividades no llevan peso (valen igual dentro de su macroactividad)"&amp;" · ","")&amp;IF(AND(N($W166)&gt;0,COUNT($I166:$L166)&gt;0),"Con subactividades: deje vacías las semanas (se calculan solas)"&amp;" · ","")&amp;IF((COUNTIF($I166:$L166,"&gt;1")+COUNTIF($I166:$L166,"&lt;0")+COUNTA($I166:$L166)-COUNT($I166:$L166))&gt;0,"Avance fuera de rango 0-100%"&amp;" · ","")&amp;IF(OR(AND($J166&lt;&gt;"",$J166&lt;$I166),AND($K166&lt;&gt;"",$K166&lt;MAX($I166:$J166)),AND($L166&lt;&gt;"",$L166&lt;MAX($I166:$K166))),"Avance semanal decreciente"&amp;" · ","")&amp;IF(AND(ISNUMBER($AN166),$AN166&lt;FechaRef,IF($V166="Sub",N($X166),N($M166))&lt;1),"Vencida"&amp;" · ","")&amp;IF(AND(ObsObligatoria="Sí",ISNUMBER($AN166),$AN166&lt;FechaRef,IF($V166="Sub",N($X166),N($M166))&lt;1,$Q166=""),"Vencida sin observación"&amp;" · ",""))="","✔ OK","⚠ "&amp;LEFT(IF($C166="","Falta el nombre de la actividad"&amp;" · ","")&amp;IF(AND($V166="Sub",N($U166)=0),"Subactividad sin macroactividad arriba"&amp;" · ","")&amp;IF($AM166="","Sin fecha de inicio"&amp;" · ","")&amp;IF($AN166="","Sin fecha límite"&amp;" · ","")&amp;IF(AND(LEFT($C166,11)="[Jefatura] ",N($AL166)=0),"No se encuentra en la hoja de la jefatura (elíjala de nuevo en la lista)"&amp;" · ","")&amp;IF(OR(AND($E166&lt;&gt;"",NOT(ISNUMBER($E166))),AND($F166&lt;&gt;"",NOT(ISNUMBER($F166))),AND($G166&lt;&gt;"",NOT(ISNUMBER($G166)))),"Fecha no válida"&amp;" · ","")&amp;IF(AND(ISNUMBER($AM166),ISNUMBER($AN166),$AM166&gt;$AN166),"Inicio posterior a fecha límite"&amp;" · ","")&amp;IF(AND($V166="Macro",$H166&lt;&gt;"",OR(NOT(ISNUMBER($H166)),$H166&lt;0,$H166&gt;1)),"Peso fuera de rango"&amp;" · ","")&amp;IF(AND($V166="Sub",$H166&lt;&gt;""),"Las subactividades no llevan peso (valen igual dentro de su macroactividad)"&amp;" · ","")&amp;IF(AND(N($W166)&gt;0,COUNT($I166:$L166)&gt;0),"Con subactividades: deje vacías las semanas (se calculan solas)"&amp;" · ","")&amp;IF((COUNTIF($I166:$L166,"&gt;1")+COUNTIF($I166:$L166,"&lt;0")+COUNTA($I166:$L166)-COUNT($I166:$L166))&gt;0,"Avance fuera de rango 0-100%"&amp;" · ","")&amp;IF(OR(AND($J166&lt;&gt;"",$J166&lt;$I166),AND($K166&lt;&gt;"",$K166&lt;MAX($I166:$J166)),AND($L166&lt;&gt;"",$L166&lt;MAX($I166:$K166))),"Avance semanal decreciente"&amp;" · ","")&amp;IF(AND(ISNUMBER($AN166),$AN166&lt;FechaRef,IF($V166="Sub",N($X166),N($M166))&lt;1),"Vencida"&amp;" · ","")&amp;IF(AND(ObsObligatoria="Sí",ISNUMBER($AN166),$AN166&lt;FechaRef,IF($V166="Sub",N($X166),N($M166))&lt;1,$Q166=""),"Vencida sin observación"&amp;" · ",""),LEN(IF($C166="","Falta el nombre de la actividad"&amp;" · ","")&amp;IF(AND($V166="Sub",N($U166)=0),"Subactividad sin macroactividad arriba"&amp;" · ","")&amp;IF($AM166="","Sin fecha de inicio"&amp;" · ","")&amp;IF($AN166="","Sin fecha límite"&amp;" · ","")&amp;IF(AND(LEFT($C166,11)="[Jefatura] ",N($AL166)=0),"No se encuentra en la hoja de la jefatura (elíjala de nuevo en la lista)"&amp;" · ","")&amp;IF(OR(AND($E166&lt;&gt;"",NOT(ISNUMBER($E166))),AND($F166&lt;&gt;"",NOT(ISNUMBER($F166))),AND($G166&lt;&gt;"",NOT(ISNUMBER($G166)))),"Fecha no válida"&amp;" · ","")&amp;IF(AND(ISNUMBER($AM166),ISNUMBER($AN166),$AM166&gt;$AN166),"Inicio posterior a fecha límite"&amp;" · ","")&amp;IF(AND($V166="Macro",$H166&lt;&gt;"",OR(NOT(ISNUMBER($H166)),$H166&lt;0,$H166&gt;1)),"Peso fuera de rango"&amp;" · ","")&amp;IF(AND($V166="Sub",$H166&lt;&gt;""),"Las subactividades no llevan peso (valen igual dentro de su macroactividad)"&amp;" · ","")&amp;IF(AND(N($W166)&gt;0,COUNT($I166:$L166)&gt;0),"Con subactividades: deje vacías las semanas (se calculan solas)"&amp;" · ","")&amp;IF((COUNTIF($I166:$L166,"&gt;1")+COUNTIF($I166:$L166,"&lt;0")+COUNTA($I166:$L166)-COUNT($I166:$L166))&gt;0,"Avance fuera de rango 0-100%"&amp;" · ","")&amp;IF(OR(AND($J166&lt;&gt;"",$J166&lt;$I166),AND($K166&lt;&gt;"",$K166&lt;MAX($I166:$J166)),AND($L166&lt;&gt;"",$L166&lt;MAX($I166:$K166))),"Avance semanal decreciente"&amp;" · ","")&amp;IF(AND(ISNUMBER($AN166),$AN166&lt;FechaRef,IF($V166="Sub",N($X166),N($M166))&lt;1),"Vencida"&amp;" · ","")&amp;IF(AND(ObsObligatoria="Sí",ISNUMBER($AN166),$AN166&lt;FechaRef,IF($V166="Sub",N($X166),N($M166))&lt;1,$Q166=""),"Vencida sin observación"&amp;" · ",""))-3)))</f>
        <v/>
      </c>
      <c r="S166" s="64">
        <f>IF(NOT((COUNTA($B166:$D166)+COUNTA($G166:$L166)+COUNTA($Q166))&gt;0),"",IF(AND($V166="Sub",N($U166)&gt;0),IF(ISNUMBER(INDEX($AM$5:$AM$1000,$U166-4)),DATE(YEAR(INDEX($AM$5:$AM$1000,$U166-4)),MONTH(INDEX($AM$5:$AM$1000,$U166-4)),1),IF(ISNUMBER(INDEX($AN$5:$AN$1000,$U166-4)),DATE(YEAR(INDEX($AN$5:$AN$1000,$U166-4)),MONTH(INDEX($AN$5:$AN$1000,$U166-4)),1),MesCiclo)),IF(ISNUMBER($AM166),DATE(YEAR($AM166),MONTH($AM166),1),IF(ISNUMBER($AN166),DATE(YEAR($AN166),MONTH($AN166),1),MesCiclo))))</f>
        <v/>
      </c>
      <c r="T166" s="62">
        <f>IF(OR($S166="",$S166&lt;&gt;MesCiclo,$V166&lt;&gt;"Macro"),"",COUNTIFS($S$5:$S166,MesCiclo,$V$5:$V166,"Macro"))</f>
        <v/>
      </c>
      <c r="U166" s="62">
        <f>IF($V166="","",IF($V166="Macro",ROW(),IFERROR(LOOKUP(2,1/($V$5:$V166="Macro"),ROW($V$5:$V166)),0)))</f>
        <v/>
      </c>
      <c r="V166" s="62">
        <f>IF(NOT((COUNTA($B166:$D166)+COUNTA($G166:$L166)+COUNTA($Q166))&gt;0),"",IF($B166="Subactividad","Sub","Macro"))</f>
        <v/>
      </c>
      <c r="W166" s="62">
        <f>IF($V166="Macro",COUNTIFS($U$5:$U$1000,ROW(),$V$5:$V$1000,"Sub"),"")</f>
        <v/>
      </c>
      <c r="X166" s="62">
        <f>IF($V166="","",IF(ISNUMBER($G166),1,IFERROR(LOOKUP(2,1/($I166:$L166&lt;&gt;""),$I166:$L166),0)))</f>
        <v/>
      </c>
      <c r="Y166" s="62">
        <f>IF($V166="","",IF(AND(ISNUMBER($G166),$G166&lt;=IF($S166=MesCiclo,InicioCiclo,$S166+MOD(2-WEEKDAY($S166),7))+6),1,IF(ISNUMBER($I166),$I166,0)))</f>
        <v/>
      </c>
      <c r="Z166" s="62">
        <f>IF($V166="","",IF(AND(ISNUMBER($G166),$G166&lt;=IF($S166=MesCiclo,InicioCiclo,$S166+MOD(2-WEEKDAY($S166),7))+13),1,IF(ISNUMBER($J166),$J166,$Y166)))</f>
        <v/>
      </c>
      <c r="AA166" s="62">
        <f>IF($V166="","",IF(AND(ISNUMBER($G166),$G166&lt;=IF($S166=MesCiclo,InicioCiclo,$S166+MOD(2-WEEKDAY($S166),7))+20),1,IF(ISNUMBER($K166),$K166,$Z166)))</f>
        <v/>
      </c>
      <c r="AB166" s="62">
        <f>IF($V166="","",IF(AND(ISNUMBER($G166),$G166&lt;=IF($S166=MesCiclo,InicioCiclo,$S166+MOD(2-WEEKDAY($S166),7))+27),1,IF(ISNUMBER($L166),$L166,$AA166)))</f>
        <v/>
      </c>
      <c r="AC166" s="62">
        <f>IF($V166="","",IF(AND(ISNUMBER($G166),$G166&lt;=IF($S166=MesCiclo,InicioCiclo,$S166+MOD(2-WEEKDAY($S166),7))+6),1,IF(N($W166)&gt;0,AVERAGEIFS($Y$5:$Y$1000,$U$5:$U$1000,ROW(),$V$5:$V$1000,"Sub"),$Y166)))</f>
        <v/>
      </c>
      <c r="AD166" s="62">
        <f>IF($V166="","",IF(AND(ISNUMBER($G166),$G166&lt;=IF($S166=MesCiclo,InicioCiclo,$S166+MOD(2-WEEKDAY($S166),7))+13),1,IF(N($W166)&gt;0,AVERAGEIFS($Z$5:$Z$1000,$U$5:$U$1000,ROW(),$V$5:$V$1000,"Sub"),$Z166)))</f>
        <v/>
      </c>
      <c r="AE166" s="62">
        <f>IF($V166="","",IF(AND(ISNUMBER($G166),$G166&lt;=IF($S166=MesCiclo,InicioCiclo,$S166+MOD(2-WEEKDAY($S166),7))+20),1,IF(N($W166)&gt;0,AVERAGEIFS($AA$5:$AA$1000,$U$5:$U$1000,ROW(),$V$5:$V$1000,"Sub"),$AA166)))</f>
        <v/>
      </c>
      <c r="AF166" s="62">
        <f>IF($V166="","",IF(AND(ISNUMBER($G166),$G166&lt;=IF($S166=MesCiclo,InicioCiclo,$S166+MOD(2-WEEKDAY($S166),7))+27),1,IF(N($W166)&gt;0,AVERAGEIFS($AB$5:$AB$1000,$U$5:$U$1000,ROW(),$V$5:$V$1000,"Sub"),$AB166)))</f>
        <v/>
      </c>
      <c r="AG166" s="62">
        <f>IF($V166&lt;&gt;"Macro","",IF(COUNTIFS($S$5:$S$1000,$S166,$V$5:$V$1000,"Macro",$H$5:$H$1000,"&gt;0")=0,1/COUNTIFS($S$5:$S$1000,$S166,$V$5:$V$1000,"Macro"),IF(AND(ISNUMBER($H166),N($H166)&gt;0),$H166,SUMIFS($H$5:$H$1000,$S$5:$S$1000,$S166,$V$5:$V$1000,"Macro")/COUNTIFS($S$5:$S$1000,$S166,$V$5:$V$1000,"Macro",$H$5:$H$1000,"&gt;0"))/(COUNTIFS($S$5:$S$1000,$S166,$V$5:$V$1000,"Macro")*SUMIFS($H$5:$H$1000,$S$5:$S$1000,$S166,$V$5:$V$1000,"Macro")/COUNTIFS($S$5:$S$1000,$S166,$V$5:$V$1000,"Macro",$H$5:$H$1000,"&gt;0"))))</f>
        <v/>
      </c>
      <c r="AH166" s="62" t="n"/>
      <c r="AI166" s="62" t="n"/>
      <c r="AJ166" s="62" t="n"/>
      <c r="AK166" s="62" t="n"/>
      <c r="AL166" s="62">
        <f>IF(LEFT($C166,11)="[Jefatura] ",IFERROR(MATCH("Riesgo Financiero|"&amp;MID($C166,12,500),rDname_ADM,0),0),"")</f>
        <v/>
      </c>
      <c r="AM166" s="62">
        <f>IF(N($AL166)&gt;0,INDEX(rIni_ADM,$AL166),IF(ISNUMBER($E166),$E166,""))</f>
        <v/>
      </c>
      <c r="AN166" s="62">
        <f>IF(N($AL166)&gt;0,INDEX(rLim_ADM,$AL166),IF(ISNUMBER($F166),$F166,""))</f>
        <v/>
      </c>
    </row>
    <row r="167">
      <c r="A167" s="56">
        <f>IF(NOT((COUNTA($B167:$D167)+COUNTA($G167:$L167)+COUNTA($Q167))&gt;0),"",IF($V167="Macro",COUNTIFS($V$5:$V167,"Macro",$S$5:$S167,$S167),IF(N($U167)=0,"?",COUNTIFS(INDEX($V$5:$V$1000,1):INDEX($V$5:$V$1000,$U167-4),"Macro",INDEX($S$5:$S$1000,1):INDEX($S$5:$S$1000,$U167-4),INDEX($S$5:$S$1000,$U167-4))&amp;"."&amp;COUNTIFS($U$5:$U167,$U167,$V$5:$V167,"Sub"))))</f>
        <v/>
      </c>
      <c r="B167" s="57" t="n"/>
      <c r="C167" s="58" t="n"/>
      <c r="D167" s="58" t="n"/>
      <c r="E167" s="59">
        <f>IF(N($AL167)&gt;0,INDEX(rIni_ADM,$AL167),"")</f>
        <v/>
      </c>
      <c r="F167" s="59">
        <f>IF(N($AL167)&gt;0,INDEX(rLim_ADM,$AL167),"")</f>
        <v/>
      </c>
      <c r="G167" s="59" t="n"/>
      <c r="H167" s="60" t="n"/>
      <c r="I167" s="60" t="n"/>
      <c r="J167" s="60" t="n"/>
      <c r="K167" s="60" t="n"/>
      <c r="L167" s="60" t="n"/>
      <c r="M167" s="61">
        <f>IF(NOT((COUNTA($B167:$D167)+COUNTA($G167:$L167)+COUNTA($Q167))&gt;0),"",IF($V167="Sub",IFERROR($X167/INDEX($W$5:$W$1000,$U167-4),""),IF(ISNUMBER($G167),1,IF(N($W167)&gt;0,AVERAGEIFS($X$5:$X$1000,$U$5:$U$1000,ROW(),$V$5:$V$1000,"Sub"),$X167))))</f>
        <v/>
      </c>
      <c r="N167" s="56">
        <f>IF(OR($M167="",$V167="Sub"),"",IF($M167&gt;=1,"Completado",IF($M167&gt;0,"En curso","Pendiente")))</f>
        <v/>
      </c>
      <c r="O167" s="56">
        <f>IF(OR(NOT((COUNTA($B167:$D167)+COUNTA($G167:$L167)+COUNTA($Q167))&gt;0),$V167="Sub"),"",IF(ISNUMBER($G167),IF(AND(ISNUMBER($AN167),$G167&gt;$AN167),"Cumplida con "&amp;($G167-$AN167)&amp;IF($G167-$AN167=1," día"," días")&amp;" de retraso","Cumplida"),IF(N($M167)&gt;=1,"Cumplida",IF(NOT(ISNUMBER($AN167)),"Sin fecha límite",IF($AN167&lt;FechaRef,"Vencida hace "&amp;(FechaRef-$AN167)&amp;IF(FechaRef-$AN167=1," día"," días"),IF($AN167=FechaRef,"Vence hoy",IF($AN167-FechaRef&lt;=DiasAlerta,"Vence en "&amp;($AN167-FechaRef)&amp;IF($AN167-FechaRef=1," día"," días"),"En plazo")))))))</f>
        <v/>
      </c>
      <c r="P167" s="62" t="n"/>
      <c r="Q167" s="58" t="n"/>
      <c r="R167" s="63">
        <f>IF(NOT((COUNTA($B167:$D167)+COUNTA($G167:$L167)+COUNTA($Q167))&gt;0),"",IF((IF($C167="","Falta el nombre de la actividad"&amp;" · ","")&amp;IF(AND($V167="Sub",N($U167)=0),"Subactividad sin macroactividad arriba"&amp;" · ","")&amp;IF($AM167="","Sin fecha de inicio"&amp;" · ","")&amp;IF($AN167="","Sin fecha límite"&amp;" · ","")&amp;IF(AND(LEFT($C167,11)="[Jefatura] ",N($AL167)=0),"No se encuentra en la hoja de la jefatura (elíjala de nuevo en la lista)"&amp;" · ","")&amp;IF(OR(AND($E167&lt;&gt;"",NOT(ISNUMBER($E167))),AND($F167&lt;&gt;"",NOT(ISNUMBER($F167))),AND($G167&lt;&gt;"",NOT(ISNUMBER($G167)))),"Fecha no válida"&amp;" · ","")&amp;IF(AND(ISNUMBER($AM167),ISNUMBER($AN167),$AM167&gt;$AN167),"Inicio posterior a fecha límite"&amp;" · ","")&amp;IF(AND($V167="Macro",$H167&lt;&gt;"",OR(NOT(ISNUMBER($H167)),$H167&lt;0,$H167&gt;1)),"Peso fuera de rango"&amp;" · ","")&amp;IF(AND($V167="Sub",$H167&lt;&gt;""),"Las subactividades no llevan peso (valen igual dentro de su macroactividad)"&amp;" · ","")&amp;IF(AND(N($W167)&gt;0,COUNT($I167:$L167)&gt;0),"Con subactividades: deje vacías las semanas (se calculan solas)"&amp;" · ","")&amp;IF((COUNTIF($I167:$L167,"&gt;1")+COUNTIF($I167:$L167,"&lt;0")+COUNTA($I167:$L167)-COUNT($I167:$L167))&gt;0,"Avance fuera de rango 0-100%"&amp;" · ","")&amp;IF(OR(AND($J167&lt;&gt;"",$J167&lt;$I167),AND($K167&lt;&gt;"",$K167&lt;MAX($I167:$J167)),AND($L167&lt;&gt;"",$L167&lt;MAX($I167:$K167))),"Avance semanal decreciente"&amp;" · ","")&amp;IF(AND(ISNUMBER($AN167),$AN167&lt;FechaRef,IF($V167="Sub",N($X167),N($M167))&lt;1),"Vencida"&amp;" · ","")&amp;IF(AND(ObsObligatoria="Sí",ISNUMBER($AN167),$AN167&lt;FechaRef,IF($V167="Sub",N($X167),N($M167))&lt;1,$Q167=""),"Vencida sin observación"&amp;" · ",""))="","✔ OK","⚠ "&amp;LEFT(IF($C167="","Falta el nombre de la actividad"&amp;" · ","")&amp;IF(AND($V167="Sub",N($U167)=0),"Subactividad sin macroactividad arriba"&amp;" · ","")&amp;IF($AM167="","Sin fecha de inicio"&amp;" · ","")&amp;IF($AN167="","Sin fecha límite"&amp;" · ","")&amp;IF(AND(LEFT($C167,11)="[Jefatura] ",N($AL167)=0),"No se encuentra en la hoja de la jefatura (elíjala de nuevo en la lista)"&amp;" · ","")&amp;IF(OR(AND($E167&lt;&gt;"",NOT(ISNUMBER($E167))),AND($F167&lt;&gt;"",NOT(ISNUMBER($F167))),AND($G167&lt;&gt;"",NOT(ISNUMBER($G167)))),"Fecha no válida"&amp;" · ","")&amp;IF(AND(ISNUMBER($AM167),ISNUMBER($AN167),$AM167&gt;$AN167),"Inicio posterior a fecha límite"&amp;" · ","")&amp;IF(AND($V167="Macro",$H167&lt;&gt;"",OR(NOT(ISNUMBER($H167)),$H167&lt;0,$H167&gt;1)),"Peso fuera de rango"&amp;" · ","")&amp;IF(AND($V167="Sub",$H167&lt;&gt;""),"Las subactividades no llevan peso (valen igual dentro de su macroactividad)"&amp;" · ","")&amp;IF(AND(N($W167)&gt;0,COUNT($I167:$L167)&gt;0),"Con subactividades: deje vacías las semanas (se calculan solas)"&amp;" · ","")&amp;IF((COUNTIF($I167:$L167,"&gt;1")+COUNTIF($I167:$L167,"&lt;0")+COUNTA($I167:$L167)-COUNT($I167:$L167))&gt;0,"Avance fuera de rango 0-100%"&amp;" · ","")&amp;IF(OR(AND($J167&lt;&gt;"",$J167&lt;$I167),AND($K167&lt;&gt;"",$K167&lt;MAX($I167:$J167)),AND($L167&lt;&gt;"",$L167&lt;MAX($I167:$K167))),"Avance semanal decreciente"&amp;" · ","")&amp;IF(AND(ISNUMBER($AN167),$AN167&lt;FechaRef,IF($V167="Sub",N($X167),N($M167))&lt;1),"Vencida"&amp;" · ","")&amp;IF(AND(ObsObligatoria="Sí",ISNUMBER($AN167),$AN167&lt;FechaRef,IF($V167="Sub",N($X167),N($M167))&lt;1,$Q167=""),"Vencida sin observación"&amp;" · ",""),LEN(IF($C167="","Falta el nombre de la actividad"&amp;" · ","")&amp;IF(AND($V167="Sub",N($U167)=0),"Subactividad sin macroactividad arriba"&amp;" · ","")&amp;IF($AM167="","Sin fecha de inicio"&amp;" · ","")&amp;IF($AN167="","Sin fecha límite"&amp;" · ","")&amp;IF(AND(LEFT($C167,11)="[Jefatura] ",N($AL167)=0),"No se encuentra en la hoja de la jefatura (elíjala de nuevo en la lista)"&amp;" · ","")&amp;IF(OR(AND($E167&lt;&gt;"",NOT(ISNUMBER($E167))),AND($F167&lt;&gt;"",NOT(ISNUMBER($F167))),AND($G167&lt;&gt;"",NOT(ISNUMBER($G167)))),"Fecha no válida"&amp;" · ","")&amp;IF(AND(ISNUMBER($AM167),ISNUMBER($AN167),$AM167&gt;$AN167),"Inicio posterior a fecha límite"&amp;" · ","")&amp;IF(AND($V167="Macro",$H167&lt;&gt;"",OR(NOT(ISNUMBER($H167)),$H167&lt;0,$H167&gt;1)),"Peso fuera de rango"&amp;" · ","")&amp;IF(AND($V167="Sub",$H167&lt;&gt;""),"Las subactividades no llevan peso (valen igual dentro de su macroactividad)"&amp;" · ","")&amp;IF(AND(N($W167)&gt;0,COUNT($I167:$L167)&gt;0),"Con subactividades: deje vacías las semanas (se calculan solas)"&amp;" · ","")&amp;IF((COUNTIF($I167:$L167,"&gt;1")+COUNTIF($I167:$L167,"&lt;0")+COUNTA($I167:$L167)-COUNT($I167:$L167))&gt;0,"Avance fuera de rango 0-100%"&amp;" · ","")&amp;IF(OR(AND($J167&lt;&gt;"",$J167&lt;$I167),AND($K167&lt;&gt;"",$K167&lt;MAX($I167:$J167)),AND($L167&lt;&gt;"",$L167&lt;MAX($I167:$K167))),"Avance semanal decreciente"&amp;" · ","")&amp;IF(AND(ISNUMBER($AN167),$AN167&lt;FechaRef,IF($V167="Sub",N($X167),N($M167))&lt;1),"Vencida"&amp;" · ","")&amp;IF(AND(ObsObligatoria="Sí",ISNUMBER($AN167),$AN167&lt;FechaRef,IF($V167="Sub",N($X167),N($M167))&lt;1,$Q167=""),"Vencida sin observación"&amp;" · ",""))-3)))</f>
        <v/>
      </c>
      <c r="S167" s="64">
        <f>IF(NOT((COUNTA($B167:$D167)+COUNTA($G167:$L167)+COUNTA($Q167))&gt;0),"",IF(AND($V167="Sub",N($U167)&gt;0),IF(ISNUMBER(INDEX($AM$5:$AM$1000,$U167-4)),DATE(YEAR(INDEX($AM$5:$AM$1000,$U167-4)),MONTH(INDEX($AM$5:$AM$1000,$U167-4)),1),IF(ISNUMBER(INDEX($AN$5:$AN$1000,$U167-4)),DATE(YEAR(INDEX($AN$5:$AN$1000,$U167-4)),MONTH(INDEX($AN$5:$AN$1000,$U167-4)),1),MesCiclo)),IF(ISNUMBER($AM167),DATE(YEAR($AM167),MONTH($AM167),1),IF(ISNUMBER($AN167),DATE(YEAR($AN167),MONTH($AN167),1),MesCiclo))))</f>
        <v/>
      </c>
      <c r="T167" s="62">
        <f>IF(OR($S167="",$S167&lt;&gt;MesCiclo,$V167&lt;&gt;"Macro"),"",COUNTIFS($S$5:$S167,MesCiclo,$V$5:$V167,"Macro"))</f>
        <v/>
      </c>
      <c r="U167" s="62">
        <f>IF($V167="","",IF($V167="Macro",ROW(),IFERROR(LOOKUP(2,1/($V$5:$V167="Macro"),ROW($V$5:$V167)),0)))</f>
        <v/>
      </c>
      <c r="V167" s="62">
        <f>IF(NOT((COUNTA($B167:$D167)+COUNTA($G167:$L167)+COUNTA($Q167))&gt;0),"",IF($B167="Subactividad","Sub","Macro"))</f>
        <v/>
      </c>
      <c r="W167" s="62">
        <f>IF($V167="Macro",COUNTIFS($U$5:$U$1000,ROW(),$V$5:$V$1000,"Sub"),"")</f>
        <v/>
      </c>
      <c r="X167" s="62">
        <f>IF($V167="","",IF(ISNUMBER($G167),1,IFERROR(LOOKUP(2,1/($I167:$L167&lt;&gt;""),$I167:$L167),0)))</f>
        <v/>
      </c>
      <c r="Y167" s="62">
        <f>IF($V167="","",IF(AND(ISNUMBER($G167),$G167&lt;=IF($S167=MesCiclo,InicioCiclo,$S167+MOD(2-WEEKDAY($S167),7))+6),1,IF(ISNUMBER($I167),$I167,0)))</f>
        <v/>
      </c>
      <c r="Z167" s="62">
        <f>IF($V167="","",IF(AND(ISNUMBER($G167),$G167&lt;=IF($S167=MesCiclo,InicioCiclo,$S167+MOD(2-WEEKDAY($S167),7))+13),1,IF(ISNUMBER($J167),$J167,$Y167)))</f>
        <v/>
      </c>
      <c r="AA167" s="62">
        <f>IF($V167="","",IF(AND(ISNUMBER($G167),$G167&lt;=IF($S167=MesCiclo,InicioCiclo,$S167+MOD(2-WEEKDAY($S167),7))+20),1,IF(ISNUMBER($K167),$K167,$Z167)))</f>
        <v/>
      </c>
      <c r="AB167" s="62">
        <f>IF($V167="","",IF(AND(ISNUMBER($G167),$G167&lt;=IF($S167=MesCiclo,InicioCiclo,$S167+MOD(2-WEEKDAY($S167),7))+27),1,IF(ISNUMBER($L167),$L167,$AA167)))</f>
        <v/>
      </c>
      <c r="AC167" s="62">
        <f>IF($V167="","",IF(AND(ISNUMBER($G167),$G167&lt;=IF($S167=MesCiclo,InicioCiclo,$S167+MOD(2-WEEKDAY($S167),7))+6),1,IF(N($W167)&gt;0,AVERAGEIFS($Y$5:$Y$1000,$U$5:$U$1000,ROW(),$V$5:$V$1000,"Sub"),$Y167)))</f>
        <v/>
      </c>
      <c r="AD167" s="62">
        <f>IF($V167="","",IF(AND(ISNUMBER($G167),$G167&lt;=IF($S167=MesCiclo,InicioCiclo,$S167+MOD(2-WEEKDAY($S167),7))+13),1,IF(N($W167)&gt;0,AVERAGEIFS($Z$5:$Z$1000,$U$5:$U$1000,ROW(),$V$5:$V$1000,"Sub"),$Z167)))</f>
        <v/>
      </c>
      <c r="AE167" s="62">
        <f>IF($V167="","",IF(AND(ISNUMBER($G167),$G167&lt;=IF($S167=MesCiclo,InicioCiclo,$S167+MOD(2-WEEKDAY($S167),7))+20),1,IF(N($W167)&gt;0,AVERAGEIFS($AA$5:$AA$1000,$U$5:$U$1000,ROW(),$V$5:$V$1000,"Sub"),$AA167)))</f>
        <v/>
      </c>
      <c r="AF167" s="62">
        <f>IF($V167="","",IF(AND(ISNUMBER($G167),$G167&lt;=IF($S167=MesCiclo,InicioCiclo,$S167+MOD(2-WEEKDAY($S167),7))+27),1,IF(N($W167)&gt;0,AVERAGEIFS($AB$5:$AB$1000,$U$5:$U$1000,ROW(),$V$5:$V$1000,"Sub"),$AB167)))</f>
        <v/>
      </c>
      <c r="AG167" s="62">
        <f>IF($V167&lt;&gt;"Macro","",IF(COUNTIFS($S$5:$S$1000,$S167,$V$5:$V$1000,"Macro",$H$5:$H$1000,"&gt;0")=0,1/COUNTIFS($S$5:$S$1000,$S167,$V$5:$V$1000,"Macro"),IF(AND(ISNUMBER($H167),N($H167)&gt;0),$H167,SUMIFS($H$5:$H$1000,$S$5:$S$1000,$S167,$V$5:$V$1000,"Macro")/COUNTIFS($S$5:$S$1000,$S167,$V$5:$V$1000,"Macro",$H$5:$H$1000,"&gt;0"))/(COUNTIFS($S$5:$S$1000,$S167,$V$5:$V$1000,"Macro")*SUMIFS($H$5:$H$1000,$S$5:$S$1000,$S167,$V$5:$V$1000,"Macro")/COUNTIFS($S$5:$S$1000,$S167,$V$5:$V$1000,"Macro",$H$5:$H$1000,"&gt;0"))))</f>
        <v/>
      </c>
      <c r="AH167" s="62" t="n"/>
      <c r="AI167" s="62" t="n"/>
      <c r="AJ167" s="62" t="n"/>
      <c r="AK167" s="62" t="n"/>
      <c r="AL167" s="62">
        <f>IF(LEFT($C167,11)="[Jefatura] ",IFERROR(MATCH("Riesgo Financiero|"&amp;MID($C167,12,500),rDname_ADM,0),0),"")</f>
        <v/>
      </c>
      <c r="AM167" s="62">
        <f>IF(N($AL167)&gt;0,INDEX(rIni_ADM,$AL167),IF(ISNUMBER($E167),$E167,""))</f>
        <v/>
      </c>
      <c r="AN167" s="62">
        <f>IF(N($AL167)&gt;0,INDEX(rLim_ADM,$AL167),IF(ISNUMBER($F167),$F167,""))</f>
        <v/>
      </c>
    </row>
    <row r="168">
      <c r="A168" s="56">
        <f>IF(NOT((COUNTA($B168:$D168)+COUNTA($G168:$L168)+COUNTA($Q168))&gt;0),"",IF($V168="Macro",COUNTIFS($V$5:$V168,"Macro",$S$5:$S168,$S168),IF(N($U168)=0,"?",COUNTIFS(INDEX($V$5:$V$1000,1):INDEX($V$5:$V$1000,$U168-4),"Macro",INDEX($S$5:$S$1000,1):INDEX($S$5:$S$1000,$U168-4),INDEX($S$5:$S$1000,$U168-4))&amp;"."&amp;COUNTIFS($U$5:$U168,$U168,$V$5:$V168,"Sub"))))</f>
        <v/>
      </c>
      <c r="B168" s="57" t="n"/>
      <c r="C168" s="58" t="n"/>
      <c r="D168" s="58" t="n"/>
      <c r="E168" s="59">
        <f>IF(N($AL168)&gt;0,INDEX(rIni_ADM,$AL168),"")</f>
        <v/>
      </c>
      <c r="F168" s="59">
        <f>IF(N($AL168)&gt;0,INDEX(rLim_ADM,$AL168),"")</f>
        <v/>
      </c>
      <c r="G168" s="59" t="n"/>
      <c r="H168" s="60" t="n"/>
      <c r="I168" s="60" t="n"/>
      <c r="J168" s="60" t="n"/>
      <c r="K168" s="60" t="n"/>
      <c r="L168" s="60" t="n"/>
      <c r="M168" s="61">
        <f>IF(NOT((COUNTA($B168:$D168)+COUNTA($G168:$L168)+COUNTA($Q168))&gt;0),"",IF($V168="Sub",IFERROR($X168/INDEX($W$5:$W$1000,$U168-4),""),IF(ISNUMBER($G168),1,IF(N($W168)&gt;0,AVERAGEIFS($X$5:$X$1000,$U$5:$U$1000,ROW(),$V$5:$V$1000,"Sub"),$X168))))</f>
        <v/>
      </c>
      <c r="N168" s="56">
        <f>IF(OR($M168="",$V168="Sub"),"",IF($M168&gt;=1,"Completado",IF($M168&gt;0,"En curso","Pendiente")))</f>
        <v/>
      </c>
      <c r="O168" s="56">
        <f>IF(OR(NOT((COUNTA($B168:$D168)+COUNTA($G168:$L168)+COUNTA($Q168))&gt;0),$V168="Sub"),"",IF(ISNUMBER($G168),IF(AND(ISNUMBER($AN168),$G168&gt;$AN168),"Cumplida con "&amp;($G168-$AN168)&amp;IF($G168-$AN168=1," día"," días")&amp;" de retraso","Cumplida"),IF(N($M168)&gt;=1,"Cumplida",IF(NOT(ISNUMBER($AN168)),"Sin fecha límite",IF($AN168&lt;FechaRef,"Vencida hace "&amp;(FechaRef-$AN168)&amp;IF(FechaRef-$AN168=1," día"," días"),IF($AN168=FechaRef,"Vence hoy",IF($AN168-FechaRef&lt;=DiasAlerta,"Vence en "&amp;($AN168-FechaRef)&amp;IF($AN168-FechaRef=1," día"," días"),"En plazo")))))))</f>
        <v/>
      </c>
      <c r="P168" s="62" t="n"/>
      <c r="Q168" s="58" t="n"/>
      <c r="R168" s="63">
        <f>IF(NOT((COUNTA($B168:$D168)+COUNTA($G168:$L168)+COUNTA($Q168))&gt;0),"",IF((IF($C168="","Falta el nombre de la actividad"&amp;" · ","")&amp;IF(AND($V168="Sub",N($U168)=0),"Subactividad sin macroactividad arriba"&amp;" · ","")&amp;IF($AM168="","Sin fecha de inicio"&amp;" · ","")&amp;IF($AN168="","Sin fecha límite"&amp;" · ","")&amp;IF(AND(LEFT($C168,11)="[Jefatura] ",N($AL168)=0),"No se encuentra en la hoja de la jefatura (elíjala de nuevo en la lista)"&amp;" · ","")&amp;IF(OR(AND($E168&lt;&gt;"",NOT(ISNUMBER($E168))),AND($F168&lt;&gt;"",NOT(ISNUMBER($F168))),AND($G168&lt;&gt;"",NOT(ISNUMBER($G168)))),"Fecha no válida"&amp;" · ","")&amp;IF(AND(ISNUMBER($AM168),ISNUMBER($AN168),$AM168&gt;$AN168),"Inicio posterior a fecha límite"&amp;" · ","")&amp;IF(AND($V168="Macro",$H168&lt;&gt;"",OR(NOT(ISNUMBER($H168)),$H168&lt;0,$H168&gt;1)),"Peso fuera de rango"&amp;" · ","")&amp;IF(AND($V168="Sub",$H168&lt;&gt;""),"Las subactividades no llevan peso (valen igual dentro de su macroactividad)"&amp;" · ","")&amp;IF(AND(N($W168)&gt;0,COUNT($I168:$L168)&gt;0),"Con subactividades: deje vacías las semanas (se calculan solas)"&amp;" · ","")&amp;IF((COUNTIF($I168:$L168,"&gt;1")+COUNTIF($I168:$L168,"&lt;0")+COUNTA($I168:$L168)-COUNT($I168:$L168))&gt;0,"Avance fuera de rango 0-100%"&amp;" · ","")&amp;IF(OR(AND($J168&lt;&gt;"",$J168&lt;$I168),AND($K168&lt;&gt;"",$K168&lt;MAX($I168:$J168)),AND($L168&lt;&gt;"",$L168&lt;MAX($I168:$K168))),"Avance semanal decreciente"&amp;" · ","")&amp;IF(AND(ISNUMBER($AN168),$AN168&lt;FechaRef,IF($V168="Sub",N($X168),N($M168))&lt;1),"Vencida"&amp;" · ","")&amp;IF(AND(ObsObligatoria="Sí",ISNUMBER($AN168),$AN168&lt;FechaRef,IF($V168="Sub",N($X168),N($M168))&lt;1,$Q168=""),"Vencida sin observación"&amp;" · ",""))="","✔ OK","⚠ "&amp;LEFT(IF($C168="","Falta el nombre de la actividad"&amp;" · ","")&amp;IF(AND($V168="Sub",N($U168)=0),"Subactividad sin macroactividad arriba"&amp;" · ","")&amp;IF($AM168="","Sin fecha de inicio"&amp;" · ","")&amp;IF($AN168="","Sin fecha límite"&amp;" · ","")&amp;IF(AND(LEFT($C168,11)="[Jefatura] ",N($AL168)=0),"No se encuentra en la hoja de la jefatura (elíjala de nuevo en la lista)"&amp;" · ","")&amp;IF(OR(AND($E168&lt;&gt;"",NOT(ISNUMBER($E168))),AND($F168&lt;&gt;"",NOT(ISNUMBER($F168))),AND($G168&lt;&gt;"",NOT(ISNUMBER($G168)))),"Fecha no válida"&amp;" · ","")&amp;IF(AND(ISNUMBER($AM168),ISNUMBER($AN168),$AM168&gt;$AN168),"Inicio posterior a fecha límite"&amp;" · ","")&amp;IF(AND($V168="Macro",$H168&lt;&gt;"",OR(NOT(ISNUMBER($H168)),$H168&lt;0,$H168&gt;1)),"Peso fuera de rango"&amp;" · ","")&amp;IF(AND($V168="Sub",$H168&lt;&gt;""),"Las subactividades no llevan peso (valen igual dentro de su macroactividad)"&amp;" · ","")&amp;IF(AND(N($W168)&gt;0,COUNT($I168:$L168)&gt;0),"Con subactividades: deje vacías las semanas (se calculan solas)"&amp;" · ","")&amp;IF((COUNTIF($I168:$L168,"&gt;1")+COUNTIF($I168:$L168,"&lt;0")+COUNTA($I168:$L168)-COUNT($I168:$L168))&gt;0,"Avance fuera de rango 0-100%"&amp;" · ","")&amp;IF(OR(AND($J168&lt;&gt;"",$J168&lt;$I168),AND($K168&lt;&gt;"",$K168&lt;MAX($I168:$J168)),AND($L168&lt;&gt;"",$L168&lt;MAX($I168:$K168))),"Avance semanal decreciente"&amp;" · ","")&amp;IF(AND(ISNUMBER($AN168),$AN168&lt;FechaRef,IF($V168="Sub",N($X168),N($M168))&lt;1),"Vencida"&amp;" · ","")&amp;IF(AND(ObsObligatoria="Sí",ISNUMBER($AN168),$AN168&lt;FechaRef,IF($V168="Sub",N($X168),N($M168))&lt;1,$Q168=""),"Vencida sin observación"&amp;" · ",""),LEN(IF($C168="","Falta el nombre de la actividad"&amp;" · ","")&amp;IF(AND($V168="Sub",N($U168)=0),"Subactividad sin macroactividad arriba"&amp;" · ","")&amp;IF($AM168="","Sin fecha de inicio"&amp;" · ","")&amp;IF($AN168="","Sin fecha límite"&amp;" · ","")&amp;IF(AND(LEFT($C168,11)="[Jefatura] ",N($AL168)=0),"No se encuentra en la hoja de la jefatura (elíjala de nuevo en la lista)"&amp;" · ","")&amp;IF(OR(AND($E168&lt;&gt;"",NOT(ISNUMBER($E168))),AND($F168&lt;&gt;"",NOT(ISNUMBER($F168))),AND($G168&lt;&gt;"",NOT(ISNUMBER($G168)))),"Fecha no válida"&amp;" · ","")&amp;IF(AND(ISNUMBER($AM168),ISNUMBER($AN168),$AM168&gt;$AN168),"Inicio posterior a fecha límite"&amp;" · ","")&amp;IF(AND($V168="Macro",$H168&lt;&gt;"",OR(NOT(ISNUMBER($H168)),$H168&lt;0,$H168&gt;1)),"Peso fuera de rango"&amp;" · ","")&amp;IF(AND($V168="Sub",$H168&lt;&gt;""),"Las subactividades no llevan peso (valen igual dentro de su macroactividad)"&amp;" · ","")&amp;IF(AND(N($W168)&gt;0,COUNT($I168:$L168)&gt;0),"Con subactividades: deje vacías las semanas (se calculan solas)"&amp;" · ","")&amp;IF((COUNTIF($I168:$L168,"&gt;1")+COUNTIF($I168:$L168,"&lt;0")+COUNTA($I168:$L168)-COUNT($I168:$L168))&gt;0,"Avance fuera de rango 0-100%"&amp;" · ","")&amp;IF(OR(AND($J168&lt;&gt;"",$J168&lt;$I168),AND($K168&lt;&gt;"",$K168&lt;MAX($I168:$J168)),AND($L168&lt;&gt;"",$L168&lt;MAX($I168:$K168))),"Avance semanal decreciente"&amp;" · ","")&amp;IF(AND(ISNUMBER($AN168),$AN168&lt;FechaRef,IF($V168="Sub",N($X168),N($M168))&lt;1),"Vencida"&amp;" · ","")&amp;IF(AND(ObsObligatoria="Sí",ISNUMBER($AN168),$AN168&lt;FechaRef,IF($V168="Sub",N($X168),N($M168))&lt;1,$Q168=""),"Vencida sin observación"&amp;" · ",""))-3)))</f>
        <v/>
      </c>
      <c r="S168" s="64">
        <f>IF(NOT((COUNTA($B168:$D168)+COUNTA($G168:$L168)+COUNTA($Q168))&gt;0),"",IF(AND($V168="Sub",N($U168)&gt;0),IF(ISNUMBER(INDEX($AM$5:$AM$1000,$U168-4)),DATE(YEAR(INDEX($AM$5:$AM$1000,$U168-4)),MONTH(INDEX($AM$5:$AM$1000,$U168-4)),1),IF(ISNUMBER(INDEX($AN$5:$AN$1000,$U168-4)),DATE(YEAR(INDEX($AN$5:$AN$1000,$U168-4)),MONTH(INDEX($AN$5:$AN$1000,$U168-4)),1),MesCiclo)),IF(ISNUMBER($AM168),DATE(YEAR($AM168),MONTH($AM168),1),IF(ISNUMBER($AN168),DATE(YEAR($AN168),MONTH($AN168),1),MesCiclo))))</f>
        <v/>
      </c>
      <c r="T168" s="62">
        <f>IF(OR($S168="",$S168&lt;&gt;MesCiclo,$V168&lt;&gt;"Macro"),"",COUNTIFS($S$5:$S168,MesCiclo,$V$5:$V168,"Macro"))</f>
        <v/>
      </c>
      <c r="U168" s="62">
        <f>IF($V168="","",IF($V168="Macro",ROW(),IFERROR(LOOKUP(2,1/($V$5:$V168="Macro"),ROW($V$5:$V168)),0)))</f>
        <v/>
      </c>
      <c r="V168" s="62">
        <f>IF(NOT((COUNTA($B168:$D168)+COUNTA($G168:$L168)+COUNTA($Q168))&gt;0),"",IF($B168="Subactividad","Sub","Macro"))</f>
        <v/>
      </c>
      <c r="W168" s="62">
        <f>IF($V168="Macro",COUNTIFS($U$5:$U$1000,ROW(),$V$5:$V$1000,"Sub"),"")</f>
        <v/>
      </c>
      <c r="X168" s="62">
        <f>IF($V168="","",IF(ISNUMBER($G168),1,IFERROR(LOOKUP(2,1/($I168:$L168&lt;&gt;""),$I168:$L168),0)))</f>
        <v/>
      </c>
      <c r="Y168" s="62">
        <f>IF($V168="","",IF(AND(ISNUMBER($G168),$G168&lt;=IF($S168=MesCiclo,InicioCiclo,$S168+MOD(2-WEEKDAY($S168),7))+6),1,IF(ISNUMBER($I168),$I168,0)))</f>
        <v/>
      </c>
      <c r="Z168" s="62">
        <f>IF($V168="","",IF(AND(ISNUMBER($G168),$G168&lt;=IF($S168=MesCiclo,InicioCiclo,$S168+MOD(2-WEEKDAY($S168),7))+13),1,IF(ISNUMBER($J168),$J168,$Y168)))</f>
        <v/>
      </c>
      <c r="AA168" s="62">
        <f>IF($V168="","",IF(AND(ISNUMBER($G168),$G168&lt;=IF($S168=MesCiclo,InicioCiclo,$S168+MOD(2-WEEKDAY($S168),7))+20),1,IF(ISNUMBER($K168),$K168,$Z168)))</f>
        <v/>
      </c>
      <c r="AB168" s="62">
        <f>IF($V168="","",IF(AND(ISNUMBER($G168),$G168&lt;=IF($S168=MesCiclo,InicioCiclo,$S168+MOD(2-WEEKDAY($S168),7))+27),1,IF(ISNUMBER($L168),$L168,$AA168)))</f>
        <v/>
      </c>
      <c r="AC168" s="62">
        <f>IF($V168="","",IF(AND(ISNUMBER($G168),$G168&lt;=IF($S168=MesCiclo,InicioCiclo,$S168+MOD(2-WEEKDAY($S168),7))+6),1,IF(N($W168)&gt;0,AVERAGEIFS($Y$5:$Y$1000,$U$5:$U$1000,ROW(),$V$5:$V$1000,"Sub"),$Y168)))</f>
        <v/>
      </c>
      <c r="AD168" s="62">
        <f>IF($V168="","",IF(AND(ISNUMBER($G168),$G168&lt;=IF($S168=MesCiclo,InicioCiclo,$S168+MOD(2-WEEKDAY($S168),7))+13),1,IF(N($W168)&gt;0,AVERAGEIFS($Z$5:$Z$1000,$U$5:$U$1000,ROW(),$V$5:$V$1000,"Sub"),$Z168)))</f>
        <v/>
      </c>
      <c r="AE168" s="62">
        <f>IF($V168="","",IF(AND(ISNUMBER($G168),$G168&lt;=IF($S168=MesCiclo,InicioCiclo,$S168+MOD(2-WEEKDAY($S168),7))+20),1,IF(N($W168)&gt;0,AVERAGEIFS($AA$5:$AA$1000,$U$5:$U$1000,ROW(),$V$5:$V$1000,"Sub"),$AA168)))</f>
        <v/>
      </c>
      <c r="AF168" s="62">
        <f>IF($V168="","",IF(AND(ISNUMBER($G168),$G168&lt;=IF($S168=MesCiclo,InicioCiclo,$S168+MOD(2-WEEKDAY($S168),7))+27),1,IF(N($W168)&gt;0,AVERAGEIFS($AB$5:$AB$1000,$U$5:$U$1000,ROW(),$V$5:$V$1000,"Sub"),$AB168)))</f>
        <v/>
      </c>
      <c r="AG168" s="62">
        <f>IF($V168&lt;&gt;"Macro","",IF(COUNTIFS($S$5:$S$1000,$S168,$V$5:$V$1000,"Macro",$H$5:$H$1000,"&gt;0")=0,1/COUNTIFS($S$5:$S$1000,$S168,$V$5:$V$1000,"Macro"),IF(AND(ISNUMBER($H168),N($H168)&gt;0),$H168,SUMIFS($H$5:$H$1000,$S$5:$S$1000,$S168,$V$5:$V$1000,"Macro")/COUNTIFS($S$5:$S$1000,$S168,$V$5:$V$1000,"Macro",$H$5:$H$1000,"&gt;0"))/(COUNTIFS($S$5:$S$1000,$S168,$V$5:$V$1000,"Macro")*SUMIFS($H$5:$H$1000,$S$5:$S$1000,$S168,$V$5:$V$1000,"Macro")/COUNTIFS($S$5:$S$1000,$S168,$V$5:$V$1000,"Macro",$H$5:$H$1000,"&gt;0"))))</f>
        <v/>
      </c>
      <c r="AH168" s="62" t="n"/>
      <c r="AI168" s="62" t="n"/>
      <c r="AJ168" s="62" t="n"/>
      <c r="AK168" s="62" t="n"/>
      <c r="AL168" s="62">
        <f>IF(LEFT($C168,11)="[Jefatura] ",IFERROR(MATCH("Riesgo Financiero|"&amp;MID($C168,12,500),rDname_ADM,0),0),"")</f>
        <v/>
      </c>
      <c r="AM168" s="62">
        <f>IF(N($AL168)&gt;0,INDEX(rIni_ADM,$AL168),IF(ISNUMBER($E168),$E168,""))</f>
        <v/>
      </c>
      <c r="AN168" s="62">
        <f>IF(N($AL168)&gt;0,INDEX(rLim_ADM,$AL168),IF(ISNUMBER($F168),$F168,""))</f>
        <v/>
      </c>
    </row>
    <row r="169">
      <c r="A169" s="56">
        <f>IF(NOT((COUNTA($B169:$D169)+COUNTA($G169:$L169)+COUNTA($Q169))&gt;0),"",IF($V169="Macro",COUNTIFS($V$5:$V169,"Macro",$S$5:$S169,$S169),IF(N($U169)=0,"?",COUNTIFS(INDEX($V$5:$V$1000,1):INDEX($V$5:$V$1000,$U169-4),"Macro",INDEX($S$5:$S$1000,1):INDEX($S$5:$S$1000,$U169-4),INDEX($S$5:$S$1000,$U169-4))&amp;"."&amp;COUNTIFS($U$5:$U169,$U169,$V$5:$V169,"Sub"))))</f>
        <v/>
      </c>
      <c r="B169" s="57" t="n"/>
      <c r="C169" s="58" t="n"/>
      <c r="D169" s="58" t="n"/>
      <c r="E169" s="59">
        <f>IF(N($AL169)&gt;0,INDEX(rIni_ADM,$AL169),"")</f>
        <v/>
      </c>
      <c r="F169" s="59">
        <f>IF(N($AL169)&gt;0,INDEX(rLim_ADM,$AL169),"")</f>
        <v/>
      </c>
      <c r="G169" s="59" t="n"/>
      <c r="H169" s="60" t="n"/>
      <c r="I169" s="60" t="n"/>
      <c r="J169" s="60" t="n"/>
      <c r="K169" s="60" t="n"/>
      <c r="L169" s="60" t="n"/>
      <c r="M169" s="61">
        <f>IF(NOT((COUNTA($B169:$D169)+COUNTA($G169:$L169)+COUNTA($Q169))&gt;0),"",IF($V169="Sub",IFERROR($X169/INDEX($W$5:$W$1000,$U169-4),""),IF(ISNUMBER($G169),1,IF(N($W169)&gt;0,AVERAGEIFS($X$5:$X$1000,$U$5:$U$1000,ROW(),$V$5:$V$1000,"Sub"),$X169))))</f>
        <v/>
      </c>
      <c r="N169" s="56">
        <f>IF(OR($M169="",$V169="Sub"),"",IF($M169&gt;=1,"Completado",IF($M169&gt;0,"En curso","Pendiente")))</f>
        <v/>
      </c>
      <c r="O169" s="56">
        <f>IF(OR(NOT((COUNTA($B169:$D169)+COUNTA($G169:$L169)+COUNTA($Q169))&gt;0),$V169="Sub"),"",IF(ISNUMBER($G169),IF(AND(ISNUMBER($AN169),$G169&gt;$AN169),"Cumplida con "&amp;($G169-$AN169)&amp;IF($G169-$AN169=1," día"," días")&amp;" de retraso","Cumplida"),IF(N($M169)&gt;=1,"Cumplida",IF(NOT(ISNUMBER($AN169)),"Sin fecha límite",IF($AN169&lt;FechaRef,"Vencida hace "&amp;(FechaRef-$AN169)&amp;IF(FechaRef-$AN169=1," día"," días"),IF($AN169=FechaRef,"Vence hoy",IF($AN169-FechaRef&lt;=DiasAlerta,"Vence en "&amp;($AN169-FechaRef)&amp;IF($AN169-FechaRef=1," día"," días"),"En plazo")))))))</f>
        <v/>
      </c>
      <c r="P169" s="62" t="n"/>
      <c r="Q169" s="58" t="n"/>
      <c r="R169" s="63">
        <f>IF(NOT((COUNTA($B169:$D169)+COUNTA($G169:$L169)+COUNTA($Q169))&gt;0),"",IF((IF($C169="","Falta el nombre de la actividad"&amp;" · ","")&amp;IF(AND($V169="Sub",N($U169)=0),"Subactividad sin macroactividad arriba"&amp;" · ","")&amp;IF($AM169="","Sin fecha de inicio"&amp;" · ","")&amp;IF($AN169="","Sin fecha límite"&amp;" · ","")&amp;IF(AND(LEFT($C169,11)="[Jefatura] ",N($AL169)=0),"No se encuentra en la hoja de la jefatura (elíjala de nuevo en la lista)"&amp;" · ","")&amp;IF(OR(AND($E169&lt;&gt;"",NOT(ISNUMBER($E169))),AND($F169&lt;&gt;"",NOT(ISNUMBER($F169))),AND($G169&lt;&gt;"",NOT(ISNUMBER($G169)))),"Fecha no válida"&amp;" · ","")&amp;IF(AND(ISNUMBER($AM169),ISNUMBER($AN169),$AM169&gt;$AN169),"Inicio posterior a fecha límite"&amp;" · ","")&amp;IF(AND($V169="Macro",$H169&lt;&gt;"",OR(NOT(ISNUMBER($H169)),$H169&lt;0,$H169&gt;1)),"Peso fuera de rango"&amp;" · ","")&amp;IF(AND($V169="Sub",$H169&lt;&gt;""),"Las subactividades no llevan peso (valen igual dentro de su macroactividad)"&amp;" · ","")&amp;IF(AND(N($W169)&gt;0,COUNT($I169:$L169)&gt;0),"Con subactividades: deje vacías las semanas (se calculan solas)"&amp;" · ","")&amp;IF((COUNTIF($I169:$L169,"&gt;1")+COUNTIF($I169:$L169,"&lt;0")+COUNTA($I169:$L169)-COUNT($I169:$L169))&gt;0,"Avance fuera de rango 0-100%"&amp;" · ","")&amp;IF(OR(AND($J169&lt;&gt;"",$J169&lt;$I169),AND($K169&lt;&gt;"",$K169&lt;MAX($I169:$J169)),AND($L169&lt;&gt;"",$L169&lt;MAX($I169:$K169))),"Avance semanal decreciente"&amp;" · ","")&amp;IF(AND(ISNUMBER($AN169),$AN169&lt;FechaRef,IF($V169="Sub",N($X169),N($M169))&lt;1),"Vencida"&amp;" · ","")&amp;IF(AND(ObsObligatoria="Sí",ISNUMBER($AN169),$AN169&lt;FechaRef,IF($V169="Sub",N($X169),N($M169))&lt;1,$Q169=""),"Vencida sin observación"&amp;" · ",""))="","✔ OK","⚠ "&amp;LEFT(IF($C169="","Falta el nombre de la actividad"&amp;" · ","")&amp;IF(AND($V169="Sub",N($U169)=0),"Subactividad sin macroactividad arriba"&amp;" · ","")&amp;IF($AM169="","Sin fecha de inicio"&amp;" · ","")&amp;IF($AN169="","Sin fecha límite"&amp;" · ","")&amp;IF(AND(LEFT($C169,11)="[Jefatura] ",N($AL169)=0),"No se encuentra en la hoja de la jefatura (elíjala de nuevo en la lista)"&amp;" · ","")&amp;IF(OR(AND($E169&lt;&gt;"",NOT(ISNUMBER($E169))),AND($F169&lt;&gt;"",NOT(ISNUMBER($F169))),AND($G169&lt;&gt;"",NOT(ISNUMBER($G169)))),"Fecha no válida"&amp;" · ","")&amp;IF(AND(ISNUMBER($AM169),ISNUMBER($AN169),$AM169&gt;$AN169),"Inicio posterior a fecha límite"&amp;" · ","")&amp;IF(AND($V169="Macro",$H169&lt;&gt;"",OR(NOT(ISNUMBER($H169)),$H169&lt;0,$H169&gt;1)),"Peso fuera de rango"&amp;" · ","")&amp;IF(AND($V169="Sub",$H169&lt;&gt;""),"Las subactividades no llevan peso (valen igual dentro de su macroactividad)"&amp;" · ","")&amp;IF(AND(N($W169)&gt;0,COUNT($I169:$L169)&gt;0),"Con subactividades: deje vacías las semanas (se calculan solas)"&amp;" · ","")&amp;IF((COUNTIF($I169:$L169,"&gt;1")+COUNTIF($I169:$L169,"&lt;0")+COUNTA($I169:$L169)-COUNT($I169:$L169))&gt;0,"Avance fuera de rango 0-100%"&amp;" · ","")&amp;IF(OR(AND($J169&lt;&gt;"",$J169&lt;$I169),AND($K169&lt;&gt;"",$K169&lt;MAX($I169:$J169)),AND($L169&lt;&gt;"",$L169&lt;MAX($I169:$K169))),"Avance semanal decreciente"&amp;" · ","")&amp;IF(AND(ISNUMBER($AN169),$AN169&lt;FechaRef,IF($V169="Sub",N($X169),N($M169))&lt;1),"Vencida"&amp;" · ","")&amp;IF(AND(ObsObligatoria="Sí",ISNUMBER($AN169),$AN169&lt;FechaRef,IF($V169="Sub",N($X169),N($M169))&lt;1,$Q169=""),"Vencida sin observación"&amp;" · ",""),LEN(IF($C169="","Falta el nombre de la actividad"&amp;" · ","")&amp;IF(AND($V169="Sub",N($U169)=0),"Subactividad sin macroactividad arriba"&amp;" · ","")&amp;IF($AM169="","Sin fecha de inicio"&amp;" · ","")&amp;IF($AN169="","Sin fecha límite"&amp;" · ","")&amp;IF(AND(LEFT($C169,11)="[Jefatura] ",N($AL169)=0),"No se encuentra en la hoja de la jefatura (elíjala de nuevo en la lista)"&amp;" · ","")&amp;IF(OR(AND($E169&lt;&gt;"",NOT(ISNUMBER($E169))),AND($F169&lt;&gt;"",NOT(ISNUMBER($F169))),AND($G169&lt;&gt;"",NOT(ISNUMBER($G169)))),"Fecha no válida"&amp;" · ","")&amp;IF(AND(ISNUMBER($AM169),ISNUMBER($AN169),$AM169&gt;$AN169),"Inicio posterior a fecha límite"&amp;" · ","")&amp;IF(AND($V169="Macro",$H169&lt;&gt;"",OR(NOT(ISNUMBER($H169)),$H169&lt;0,$H169&gt;1)),"Peso fuera de rango"&amp;" · ","")&amp;IF(AND($V169="Sub",$H169&lt;&gt;""),"Las subactividades no llevan peso (valen igual dentro de su macroactividad)"&amp;" · ","")&amp;IF(AND(N($W169)&gt;0,COUNT($I169:$L169)&gt;0),"Con subactividades: deje vacías las semanas (se calculan solas)"&amp;" · ","")&amp;IF((COUNTIF($I169:$L169,"&gt;1")+COUNTIF($I169:$L169,"&lt;0")+COUNTA($I169:$L169)-COUNT($I169:$L169))&gt;0,"Avance fuera de rango 0-100%"&amp;" · ","")&amp;IF(OR(AND($J169&lt;&gt;"",$J169&lt;$I169),AND($K169&lt;&gt;"",$K169&lt;MAX($I169:$J169)),AND($L169&lt;&gt;"",$L169&lt;MAX($I169:$K169))),"Avance semanal decreciente"&amp;" · ","")&amp;IF(AND(ISNUMBER($AN169),$AN169&lt;FechaRef,IF($V169="Sub",N($X169),N($M169))&lt;1),"Vencida"&amp;" · ","")&amp;IF(AND(ObsObligatoria="Sí",ISNUMBER($AN169),$AN169&lt;FechaRef,IF($V169="Sub",N($X169),N($M169))&lt;1,$Q169=""),"Vencida sin observación"&amp;" · ",""))-3)))</f>
        <v/>
      </c>
      <c r="S169" s="64">
        <f>IF(NOT((COUNTA($B169:$D169)+COUNTA($G169:$L169)+COUNTA($Q169))&gt;0),"",IF(AND($V169="Sub",N($U169)&gt;0),IF(ISNUMBER(INDEX($AM$5:$AM$1000,$U169-4)),DATE(YEAR(INDEX($AM$5:$AM$1000,$U169-4)),MONTH(INDEX($AM$5:$AM$1000,$U169-4)),1),IF(ISNUMBER(INDEX($AN$5:$AN$1000,$U169-4)),DATE(YEAR(INDEX($AN$5:$AN$1000,$U169-4)),MONTH(INDEX($AN$5:$AN$1000,$U169-4)),1),MesCiclo)),IF(ISNUMBER($AM169),DATE(YEAR($AM169),MONTH($AM169),1),IF(ISNUMBER($AN169),DATE(YEAR($AN169),MONTH($AN169),1),MesCiclo))))</f>
        <v/>
      </c>
      <c r="T169" s="62">
        <f>IF(OR($S169="",$S169&lt;&gt;MesCiclo,$V169&lt;&gt;"Macro"),"",COUNTIFS($S$5:$S169,MesCiclo,$V$5:$V169,"Macro"))</f>
        <v/>
      </c>
      <c r="U169" s="62">
        <f>IF($V169="","",IF($V169="Macro",ROW(),IFERROR(LOOKUP(2,1/($V$5:$V169="Macro"),ROW($V$5:$V169)),0)))</f>
        <v/>
      </c>
      <c r="V169" s="62">
        <f>IF(NOT((COUNTA($B169:$D169)+COUNTA($G169:$L169)+COUNTA($Q169))&gt;0),"",IF($B169="Subactividad","Sub","Macro"))</f>
        <v/>
      </c>
      <c r="W169" s="62">
        <f>IF($V169="Macro",COUNTIFS($U$5:$U$1000,ROW(),$V$5:$V$1000,"Sub"),"")</f>
        <v/>
      </c>
      <c r="X169" s="62">
        <f>IF($V169="","",IF(ISNUMBER($G169),1,IFERROR(LOOKUP(2,1/($I169:$L169&lt;&gt;""),$I169:$L169),0)))</f>
        <v/>
      </c>
      <c r="Y169" s="62">
        <f>IF($V169="","",IF(AND(ISNUMBER($G169),$G169&lt;=IF($S169=MesCiclo,InicioCiclo,$S169+MOD(2-WEEKDAY($S169),7))+6),1,IF(ISNUMBER($I169),$I169,0)))</f>
        <v/>
      </c>
      <c r="Z169" s="62">
        <f>IF($V169="","",IF(AND(ISNUMBER($G169),$G169&lt;=IF($S169=MesCiclo,InicioCiclo,$S169+MOD(2-WEEKDAY($S169),7))+13),1,IF(ISNUMBER($J169),$J169,$Y169)))</f>
        <v/>
      </c>
      <c r="AA169" s="62">
        <f>IF($V169="","",IF(AND(ISNUMBER($G169),$G169&lt;=IF($S169=MesCiclo,InicioCiclo,$S169+MOD(2-WEEKDAY($S169),7))+20),1,IF(ISNUMBER($K169),$K169,$Z169)))</f>
        <v/>
      </c>
      <c r="AB169" s="62">
        <f>IF($V169="","",IF(AND(ISNUMBER($G169),$G169&lt;=IF($S169=MesCiclo,InicioCiclo,$S169+MOD(2-WEEKDAY($S169),7))+27),1,IF(ISNUMBER($L169),$L169,$AA169)))</f>
        <v/>
      </c>
      <c r="AC169" s="62">
        <f>IF($V169="","",IF(AND(ISNUMBER($G169),$G169&lt;=IF($S169=MesCiclo,InicioCiclo,$S169+MOD(2-WEEKDAY($S169),7))+6),1,IF(N($W169)&gt;0,AVERAGEIFS($Y$5:$Y$1000,$U$5:$U$1000,ROW(),$V$5:$V$1000,"Sub"),$Y169)))</f>
        <v/>
      </c>
      <c r="AD169" s="62">
        <f>IF($V169="","",IF(AND(ISNUMBER($G169),$G169&lt;=IF($S169=MesCiclo,InicioCiclo,$S169+MOD(2-WEEKDAY($S169),7))+13),1,IF(N($W169)&gt;0,AVERAGEIFS($Z$5:$Z$1000,$U$5:$U$1000,ROW(),$V$5:$V$1000,"Sub"),$Z169)))</f>
        <v/>
      </c>
      <c r="AE169" s="62">
        <f>IF($V169="","",IF(AND(ISNUMBER($G169),$G169&lt;=IF($S169=MesCiclo,InicioCiclo,$S169+MOD(2-WEEKDAY($S169),7))+20),1,IF(N($W169)&gt;0,AVERAGEIFS($AA$5:$AA$1000,$U$5:$U$1000,ROW(),$V$5:$V$1000,"Sub"),$AA169)))</f>
        <v/>
      </c>
      <c r="AF169" s="62">
        <f>IF($V169="","",IF(AND(ISNUMBER($G169),$G169&lt;=IF($S169=MesCiclo,InicioCiclo,$S169+MOD(2-WEEKDAY($S169),7))+27),1,IF(N($W169)&gt;0,AVERAGEIFS($AB$5:$AB$1000,$U$5:$U$1000,ROW(),$V$5:$V$1000,"Sub"),$AB169)))</f>
        <v/>
      </c>
      <c r="AG169" s="62">
        <f>IF($V169&lt;&gt;"Macro","",IF(COUNTIFS($S$5:$S$1000,$S169,$V$5:$V$1000,"Macro",$H$5:$H$1000,"&gt;0")=0,1/COUNTIFS($S$5:$S$1000,$S169,$V$5:$V$1000,"Macro"),IF(AND(ISNUMBER($H169),N($H169)&gt;0),$H169,SUMIFS($H$5:$H$1000,$S$5:$S$1000,$S169,$V$5:$V$1000,"Macro")/COUNTIFS($S$5:$S$1000,$S169,$V$5:$V$1000,"Macro",$H$5:$H$1000,"&gt;0"))/(COUNTIFS($S$5:$S$1000,$S169,$V$5:$V$1000,"Macro")*SUMIFS($H$5:$H$1000,$S$5:$S$1000,$S169,$V$5:$V$1000,"Macro")/COUNTIFS($S$5:$S$1000,$S169,$V$5:$V$1000,"Macro",$H$5:$H$1000,"&gt;0"))))</f>
        <v/>
      </c>
      <c r="AH169" s="62" t="n"/>
      <c r="AI169" s="62" t="n"/>
      <c r="AJ169" s="62" t="n"/>
      <c r="AK169" s="62" t="n"/>
      <c r="AL169" s="62">
        <f>IF(LEFT($C169,11)="[Jefatura] ",IFERROR(MATCH("Riesgo Financiero|"&amp;MID($C169,12,500),rDname_ADM,0),0),"")</f>
        <v/>
      </c>
      <c r="AM169" s="62">
        <f>IF(N($AL169)&gt;0,INDEX(rIni_ADM,$AL169),IF(ISNUMBER($E169),$E169,""))</f>
        <v/>
      </c>
      <c r="AN169" s="62">
        <f>IF(N($AL169)&gt;0,INDEX(rLim_ADM,$AL169),IF(ISNUMBER($F169),$F169,""))</f>
        <v/>
      </c>
    </row>
    <row r="170">
      <c r="A170" s="56">
        <f>IF(NOT((COUNTA($B170:$D170)+COUNTA($G170:$L170)+COUNTA($Q170))&gt;0),"",IF($V170="Macro",COUNTIFS($V$5:$V170,"Macro",$S$5:$S170,$S170),IF(N($U170)=0,"?",COUNTIFS(INDEX($V$5:$V$1000,1):INDEX($V$5:$V$1000,$U170-4),"Macro",INDEX($S$5:$S$1000,1):INDEX($S$5:$S$1000,$U170-4),INDEX($S$5:$S$1000,$U170-4))&amp;"."&amp;COUNTIFS($U$5:$U170,$U170,$V$5:$V170,"Sub"))))</f>
        <v/>
      </c>
      <c r="B170" s="57" t="n"/>
      <c r="C170" s="58" t="n"/>
      <c r="D170" s="58" t="n"/>
      <c r="E170" s="59">
        <f>IF(N($AL170)&gt;0,INDEX(rIni_ADM,$AL170),"")</f>
        <v/>
      </c>
      <c r="F170" s="59">
        <f>IF(N($AL170)&gt;0,INDEX(rLim_ADM,$AL170),"")</f>
        <v/>
      </c>
      <c r="G170" s="59" t="n"/>
      <c r="H170" s="60" t="n"/>
      <c r="I170" s="60" t="n"/>
      <c r="J170" s="60" t="n"/>
      <c r="K170" s="60" t="n"/>
      <c r="L170" s="60" t="n"/>
      <c r="M170" s="61">
        <f>IF(NOT((COUNTA($B170:$D170)+COUNTA($G170:$L170)+COUNTA($Q170))&gt;0),"",IF($V170="Sub",IFERROR($X170/INDEX($W$5:$W$1000,$U170-4),""),IF(ISNUMBER($G170),1,IF(N($W170)&gt;0,AVERAGEIFS($X$5:$X$1000,$U$5:$U$1000,ROW(),$V$5:$V$1000,"Sub"),$X170))))</f>
        <v/>
      </c>
      <c r="N170" s="56">
        <f>IF(OR($M170="",$V170="Sub"),"",IF($M170&gt;=1,"Completado",IF($M170&gt;0,"En curso","Pendiente")))</f>
        <v/>
      </c>
      <c r="O170" s="56">
        <f>IF(OR(NOT((COUNTA($B170:$D170)+COUNTA($G170:$L170)+COUNTA($Q170))&gt;0),$V170="Sub"),"",IF(ISNUMBER($G170),IF(AND(ISNUMBER($AN170),$G170&gt;$AN170),"Cumplida con "&amp;($G170-$AN170)&amp;IF($G170-$AN170=1," día"," días")&amp;" de retraso","Cumplida"),IF(N($M170)&gt;=1,"Cumplida",IF(NOT(ISNUMBER($AN170)),"Sin fecha límite",IF($AN170&lt;FechaRef,"Vencida hace "&amp;(FechaRef-$AN170)&amp;IF(FechaRef-$AN170=1," día"," días"),IF($AN170=FechaRef,"Vence hoy",IF($AN170-FechaRef&lt;=DiasAlerta,"Vence en "&amp;($AN170-FechaRef)&amp;IF($AN170-FechaRef=1," día"," días"),"En plazo")))))))</f>
        <v/>
      </c>
      <c r="P170" s="62" t="n"/>
      <c r="Q170" s="58" t="n"/>
      <c r="R170" s="63">
        <f>IF(NOT((COUNTA($B170:$D170)+COUNTA($G170:$L170)+COUNTA($Q170))&gt;0),"",IF((IF($C170="","Falta el nombre de la actividad"&amp;" · ","")&amp;IF(AND($V170="Sub",N($U170)=0),"Subactividad sin macroactividad arriba"&amp;" · ","")&amp;IF($AM170="","Sin fecha de inicio"&amp;" · ","")&amp;IF($AN170="","Sin fecha límite"&amp;" · ","")&amp;IF(AND(LEFT($C170,11)="[Jefatura] ",N($AL170)=0),"No se encuentra en la hoja de la jefatura (elíjala de nuevo en la lista)"&amp;" · ","")&amp;IF(OR(AND($E170&lt;&gt;"",NOT(ISNUMBER($E170))),AND($F170&lt;&gt;"",NOT(ISNUMBER($F170))),AND($G170&lt;&gt;"",NOT(ISNUMBER($G170)))),"Fecha no válida"&amp;" · ","")&amp;IF(AND(ISNUMBER($AM170),ISNUMBER($AN170),$AM170&gt;$AN170),"Inicio posterior a fecha límite"&amp;" · ","")&amp;IF(AND($V170="Macro",$H170&lt;&gt;"",OR(NOT(ISNUMBER($H170)),$H170&lt;0,$H170&gt;1)),"Peso fuera de rango"&amp;" · ","")&amp;IF(AND($V170="Sub",$H170&lt;&gt;""),"Las subactividades no llevan peso (valen igual dentro de su macroactividad)"&amp;" · ","")&amp;IF(AND(N($W170)&gt;0,COUNT($I170:$L170)&gt;0),"Con subactividades: deje vacías las semanas (se calculan solas)"&amp;" · ","")&amp;IF((COUNTIF($I170:$L170,"&gt;1")+COUNTIF($I170:$L170,"&lt;0")+COUNTA($I170:$L170)-COUNT($I170:$L170))&gt;0,"Avance fuera de rango 0-100%"&amp;" · ","")&amp;IF(OR(AND($J170&lt;&gt;"",$J170&lt;$I170),AND($K170&lt;&gt;"",$K170&lt;MAX($I170:$J170)),AND($L170&lt;&gt;"",$L170&lt;MAX($I170:$K170))),"Avance semanal decreciente"&amp;" · ","")&amp;IF(AND(ISNUMBER($AN170),$AN170&lt;FechaRef,IF($V170="Sub",N($X170),N($M170))&lt;1),"Vencida"&amp;" · ","")&amp;IF(AND(ObsObligatoria="Sí",ISNUMBER($AN170),$AN170&lt;FechaRef,IF($V170="Sub",N($X170),N($M170))&lt;1,$Q170=""),"Vencida sin observación"&amp;" · ",""))="","✔ OK","⚠ "&amp;LEFT(IF($C170="","Falta el nombre de la actividad"&amp;" · ","")&amp;IF(AND($V170="Sub",N($U170)=0),"Subactividad sin macroactividad arriba"&amp;" · ","")&amp;IF($AM170="","Sin fecha de inicio"&amp;" · ","")&amp;IF($AN170="","Sin fecha límite"&amp;" · ","")&amp;IF(AND(LEFT($C170,11)="[Jefatura] ",N($AL170)=0),"No se encuentra en la hoja de la jefatura (elíjala de nuevo en la lista)"&amp;" · ","")&amp;IF(OR(AND($E170&lt;&gt;"",NOT(ISNUMBER($E170))),AND($F170&lt;&gt;"",NOT(ISNUMBER($F170))),AND($G170&lt;&gt;"",NOT(ISNUMBER($G170)))),"Fecha no válida"&amp;" · ","")&amp;IF(AND(ISNUMBER($AM170),ISNUMBER($AN170),$AM170&gt;$AN170),"Inicio posterior a fecha límite"&amp;" · ","")&amp;IF(AND($V170="Macro",$H170&lt;&gt;"",OR(NOT(ISNUMBER($H170)),$H170&lt;0,$H170&gt;1)),"Peso fuera de rango"&amp;" · ","")&amp;IF(AND($V170="Sub",$H170&lt;&gt;""),"Las subactividades no llevan peso (valen igual dentro de su macroactividad)"&amp;" · ","")&amp;IF(AND(N($W170)&gt;0,COUNT($I170:$L170)&gt;0),"Con subactividades: deje vacías las semanas (se calculan solas)"&amp;" · ","")&amp;IF((COUNTIF($I170:$L170,"&gt;1")+COUNTIF($I170:$L170,"&lt;0")+COUNTA($I170:$L170)-COUNT($I170:$L170))&gt;0,"Avance fuera de rango 0-100%"&amp;" · ","")&amp;IF(OR(AND($J170&lt;&gt;"",$J170&lt;$I170),AND($K170&lt;&gt;"",$K170&lt;MAX($I170:$J170)),AND($L170&lt;&gt;"",$L170&lt;MAX($I170:$K170))),"Avance semanal decreciente"&amp;" · ","")&amp;IF(AND(ISNUMBER($AN170),$AN170&lt;FechaRef,IF($V170="Sub",N($X170),N($M170))&lt;1),"Vencida"&amp;" · ","")&amp;IF(AND(ObsObligatoria="Sí",ISNUMBER($AN170),$AN170&lt;FechaRef,IF($V170="Sub",N($X170),N($M170))&lt;1,$Q170=""),"Vencida sin observación"&amp;" · ",""),LEN(IF($C170="","Falta el nombre de la actividad"&amp;" · ","")&amp;IF(AND($V170="Sub",N($U170)=0),"Subactividad sin macroactividad arriba"&amp;" · ","")&amp;IF($AM170="","Sin fecha de inicio"&amp;" · ","")&amp;IF($AN170="","Sin fecha límite"&amp;" · ","")&amp;IF(AND(LEFT($C170,11)="[Jefatura] ",N($AL170)=0),"No se encuentra en la hoja de la jefatura (elíjala de nuevo en la lista)"&amp;" · ","")&amp;IF(OR(AND($E170&lt;&gt;"",NOT(ISNUMBER($E170))),AND($F170&lt;&gt;"",NOT(ISNUMBER($F170))),AND($G170&lt;&gt;"",NOT(ISNUMBER($G170)))),"Fecha no válida"&amp;" · ","")&amp;IF(AND(ISNUMBER($AM170),ISNUMBER($AN170),$AM170&gt;$AN170),"Inicio posterior a fecha límite"&amp;" · ","")&amp;IF(AND($V170="Macro",$H170&lt;&gt;"",OR(NOT(ISNUMBER($H170)),$H170&lt;0,$H170&gt;1)),"Peso fuera de rango"&amp;" · ","")&amp;IF(AND($V170="Sub",$H170&lt;&gt;""),"Las subactividades no llevan peso (valen igual dentro de su macroactividad)"&amp;" · ","")&amp;IF(AND(N($W170)&gt;0,COUNT($I170:$L170)&gt;0),"Con subactividades: deje vacías las semanas (se calculan solas)"&amp;" · ","")&amp;IF((COUNTIF($I170:$L170,"&gt;1")+COUNTIF($I170:$L170,"&lt;0")+COUNTA($I170:$L170)-COUNT($I170:$L170))&gt;0,"Avance fuera de rango 0-100%"&amp;" · ","")&amp;IF(OR(AND($J170&lt;&gt;"",$J170&lt;$I170),AND($K170&lt;&gt;"",$K170&lt;MAX($I170:$J170)),AND($L170&lt;&gt;"",$L170&lt;MAX($I170:$K170))),"Avance semanal decreciente"&amp;" · ","")&amp;IF(AND(ISNUMBER($AN170),$AN170&lt;FechaRef,IF($V170="Sub",N($X170),N($M170))&lt;1),"Vencida"&amp;" · ","")&amp;IF(AND(ObsObligatoria="Sí",ISNUMBER($AN170),$AN170&lt;FechaRef,IF($V170="Sub",N($X170),N($M170))&lt;1,$Q170=""),"Vencida sin observación"&amp;" · ",""))-3)))</f>
        <v/>
      </c>
      <c r="S170" s="64">
        <f>IF(NOT((COUNTA($B170:$D170)+COUNTA($G170:$L170)+COUNTA($Q170))&gt;0),"",IF(AND($V170="Sub",N($U170)&gt;0),IF(ISNUMBER(INDEX($AM$5:$AM$1000,$U170-4)),DATE(YEAR(INDEX($AM$5:$AM$1000,$U170-4)),MONTH(INDEX($AM$5:$AM$1000,$U170-4)),1),IF(ISNUMBER(INDEX($AN$5:$AN$1000,$U170-4)),DATE(YEAR(INDEX($AN$5:$AN$1000,$U170-4)),MONTH(INDEX($AN$5:$AN$1000,$U170-4)),1),MesCiclo)),IF(ISNUMBER($AM170),DATE(YEAR($AM170),MONTH($AM170),1),IF(ISNUMBER($AN170),DATE(YEAR($AN170),MONTH($AN170),1),MesCiclo))))</f>
        <v/>
      </c>
      <c r="T170" s="62">
        <f>IF(OR($S170="",$S170&lt;&gt;MesCiclo,$V170&lt;&gt;"Macro"),"",COUNTIFS($S$5:$S170,MesCiclo,$V$5:$V170,"Macro"))</f>
        <v/>
      </c>
      <c r="U170" s="62">
        <f>IF($V170="","",IF($V170="Macro",ROW(),IFERROR(LOOKUP(2,1/($V$5:$V170="Macro"),ROW($V$5:$V170)),0)))</f>
        <v/>
      </c>
      <c r="V170" s="62">
        <f>IF(NOT((COUNTA($B170:$D170)+COUNTA($G170:$L170)+COUNTA($Q170))&gt;0),"",IF($B170="Subactividad","Sub","Macro"))</f>
        <v/>
      </c>
      <c r="W170" s="62">
        <f>IF($V170="Macro",COUNTIFS($U$5:$U$1000,ROW(),$V$5:$V$1000,"Sub"),"")</f>
        <v/>
      </c>
      <c r="X170" s="62">
        <f>IF($V170="","",IF(ISNUMBER($G170),1,IFERROR(LOOKUP(2,1/($I170:$L170&lt;&gt;""),$I170:$L170),0)))</f>
        <v/>
      </c>
      <c r="Y170" s="62">
        <f>IF($V170="","",IF(AND(ISNUMBER($G170),$G170&lt;=IF($S170=MesCiclo,InicioCiclo,$S170+MOD(2-WEEKDAY($S170),7))+6),1,IF(ISNUMBER($I170),$I170,0)))</f>
        <v/>
      </c>
      <c r="Z170" s="62">
        <f>IF($V170="","",IF(AND(ISNUMBER($G170),$G170&lt;=IF($S170=MesCiclo,InicioCiclo,$S170+MOD(2-WEEKDAY($S170),7))+13),1,IF(ISNUMBER($J170),$J170,$Y170)))</f>
        <v/>
      </c>
      <c r="AA170" s="62">
        <f>IF($V170="","",IF(AND(ISNUMBER($G170),$G170&lt;=IF($S170=MesCiclo,InicioCiclo,$S170+MOD(2-WEEKDAY($S170),7))+20),1,IF(ISNUMBER($K170),$K170,$Z170)))</f>
        <v/>
      </c>
      <c r="AB170" s="62">
        <f>IF($V170="","",IF(AND(ISNUMBER($G170),$G170&lt;=IF($S170=MesCiclo,InicioCiclo,$S170+MOD(2-WEEKDAY($S170),7))+27),1,IF(ISNUMBER($L170),$L170,$AA170)))</f>
        <v/>
      </c>
      <c r="AC170" s="62">
        <f>IF($V170="","",IF(AND(ISNUMBER($G170),$G170&lt;=IF($S170=MesCiclo,InicioCiclo,$S170+MOD(2-WEEKDAY($S170),7))+6),1,IF(N($W170)&gt;0,AVERAGEIFS($Y$5:$Y$1000,$U$5:$U$1000,ROW(),$V$5:$V$1000,"Sub"),$Y170)))</f>
        <v/>
      </c>
      <c r="AD170" s="62">
        <f>IF($V170="","",IF(AND(ISNUMBER($G170),$G170&lt;=IF($S170=MesCiclo,InicioCiclo,$S170+MOD(2-WEEKDAY($S170),7))+13),1,IF(N($W170)&gt;0,AVERAGEIFS($Z$5:$Z$1000,$U$5:$U$1000,ROW(),$V$5:$V$1000,"Sub"),$Z170)))</f>
        <v/>
      </c>
      <c r="AE170" s="62">
        <f>IF($V170="","",IF(AND(ISNUMBER($G170),$G170&lt;=IF($S170=MesCiclo,InicioCiclo,$S170+MOD(2-WEEKDAY($S170),7))+20),1,IF(N($W170)&gt;0,AVERAGEIFS($AA$5:$AA$1000,$U$5:$U$1000,ROW(),$V$5:$V$1000,"Sub"),$AA170)))</f>
        <v/>
      </c>
      <c r="AF170" s="62">
        <f>IF($V170="","",IF(AND(ISNUMBER($G170),$G170&lt;=IF($S170=MesCiclo,InicioCiclo,$S170+MOD(2-WEEKDAY($S170),7))+27),1,IF(N($W170)&gt;0,AVERAGEIFS($AB$5:$AB$1000,$U$5:$U$1000,ROW(),$V$5:$V$1000,"Sub"),$AB170)))</f>
        <v/>
      </c>
      <c r="AG170" s="62">
        <f>IF($V170&lt;&gt;"Macro","",IF(COUNTIFS($S$5:$S$1000,$S170,$V$5:$V$1000,"Macro",$H$5:$H$1000,"&gt;0")=0,1/COUNTIFS($S$5:$S$1000,$S170,$V$5:$V$1000,"Macro"),IF(AND(ISNUMBER($H170),N($H170)&gt;0),$H170,SUMIFS($H$5:$H$1000,$S$5:$S$1000,$S170,$V$5:$V$1000,"Macro")/COUNTIFS($S$5:$S$1000,$S170,$V$5:$V$1000,"Macro",$H$5:$H$1000,"&gt;0"))/(COUNTIFS($S$5:$S$1000,$S170,$V$5:$V$1000,"Macro")*SUMIFS($H$5:$H$1000,$S$5:$S$1000,$S170,$V$5:$V$1000,"Macro")/COUNTIFS($S$5:$S$1000,$S170,$V$5:$V$1000,"Macro",$H$5:$H$1000,"&gt;0"))))</f>
        <v/>
      </c>
      <c r="AH170" s="62" t="n"/>
      <c r="AI170" s="62" t="n"/>
      <c r="AJ170" s="62" t="n"/>
      <c r="AK170" s="62" t="n"/>
      <c r="AL170" s="62">
        <f>IF(LEFT($C170,11)="[Jefatura] ",IFERROR(MATCH("Riesgo Financiero|"&amp;MID($C170,12,500),rDname_ADM,0),0),"")</f>
        <v/>
      </c>
      <c r="AM170" s="62">
        <f>IF(N($AL170)&gt;0,INDEX(rIni_ADM,$AL170),IF(ISNUMBER($E170),$E170,""))</f>
        <v/>
      </c>
      <c r="AN170" s="62">
        <f>IF(N($AL170)&gt;0,INDEX(rLim_ADM,$AL170),IF(ISNUMBER($F170),$F170,""))</f>
        <v/>
      </c>
    </row>
    <row r="171">
      <c r="A171" s="56">
        <f>IF(NOT((COUNTA($B171:$D171)+COUNTA($G171:$L171)+COUNTA($Q171))&gt;0),"",IF($V171="Macro",COUNTIFS($V$5:$V171,"Macro",$S$5:$S171,$S171),IF(N($U171)=0,"?",COUNTIFS(INDEX($V$5:$V$1000,1):INDEX($V$5:$V$1000,$U171-4),"Macro",INDEX($S$5:$S$1000,1):INDEX($S$5:$S$1000,$U171-4),INDEX($S$5:$S$1000,$U171-4))&amp;"."&amp;COUNTIFS($U$5:$U171,$U171,$V$5:$V171,"Sub"))))</f>
        <v/>
      </c>
      <c r="B171" s="57" t="n"/>
      <c r="C171" s="58" t="n"/>
      <c r="D171" s="58" t="n"/>
      <c r="E171" s="59">
        <f>IF(N($AL171)&gt;0,INDEX(rIni_ADM,$AL171),"")</f>
        <v/>
      </c>
      <c r="F171" s="59">
        <f>IF(N($AL171)&gt;0,INDEX(rLim_ADM,$AL171),"")</f>
        <v/>
      </c>
      <c r="G171" s="59" t="n"/>
      <c r="H171" s="60" t="n"/>
      <c r="I171" s="60" t="n"/>
      <c r="J171" s="60" t="n"/>
      <c r="K171" s="60" t="n"/>
      <c r="L171" s="60" t="n"/>
      <c r="M171" s="61">
        <f>IF(NOT((COUNTA($B171:$D171)+COUNTA($G171:$L171)+COUNTA($Q171))&gt;0),"",IF($V171="Sub",IFERROR($X171/INDEX($W$5:$W$1000,$U171-4),""),IF(ISNUMBER($G171),1,IF(N($W171)&gt;0,AVERAGEIFS($X$5:$X$1000,$U$5:$U$1000,ROW(),$V$5:$V$1000,"Sub"),$X171))))</f>
        <v/>
      </c>
      <c r="N171" s="56">
        <f>IF(OR($M171="",$V171="Sub"),"",IF($M171&gt;=1,"Completado",IF($M171&gt;0,"En curso","Pendiente")))</f>
        <v/>
      </c>
      <c r="O171" s="56">
        <f>IF(OR(NOT((COUNTA($B171:$D171)+COUNTA($G171:$L171)+COUNTA($Q171))&gt;0),$V171="Sub"),"",IF(ISNUMBER($G171),IF(AND(ISNUMBER($AN171),$G171&gt;$AN171),"Cumplida con "&amp;($G171-$AN171)&amp;IF($G171-$AN171=1," día"," días")&amp;" de retraso","Cumplida"),IF(N($M171)&gt;=1,"Cumplida",IF(NOT(ISNUMBER($AN171)),"Sin fecha límite",IF($AN171&lt;FechaRef,"Vencida hace "&amp;(FechaRef-$AN171)&amp;IF(FechaRef-$AN171=1," día"," días"),IF($AN171=FechaRef,"Vence hoy",IF($AN171-FechaRef&lt;=DiasAlerta,"Vence en "&amp;($AN171-FechaRef)&amp;IF($AN171-FechaRef=1," día"," días"),"En plazo")))))))</f>
        <v/>
      </c>
      <c r="P171" s="62" t="n"/>
      <c r="Q171" s="58" t="n"/>
      <c r="R171" s="63">
        <f>IF(NOT((COUNTA($B171:$D171)+COUNTA($G171:$L171)+COUNTA($Q171))&gt;0),"",IF((IF($C171="","Falta el nombre de la actividad"&amp;" · ","")&amp;IF(AND($V171="Sub",N($U171)=0),"Subactividad sin macroactividad arriba"&amp;" · ","")&amp;IF($AM171="","Sin fecha de inicio"&amp;" · ","")&amp;IF($AN171="","Sin fecha límite"&amp;" · ","")&amp;IF(AND(LEFT($C171,11)="[Jefatura] ",N($AL171)=0),"No se encuentra en la hoja de la jefatura (elíjala de nuevo en la lista)"&amp;" · ","")&amp;IF(OR(AND($E171&lt;&gt;"",NOT(ISNUMBER($E171))),AND($F171&lt;&gt;"",NOT(ISNUMBER($F171))),AND($G171&lt;&gt;"",NOT(ISNUMBER($G171)))),"Fecha no válida"&amp;" · ","")&amp;IF(AND(ISNUMBER($AM171),ISNUMBER($AN171),$AM171&gt;$AN171),"Inicio posterior a fecha límite"&amp;" · ","")&amp;IF(AND($V171="Macro",$H171&lt;&gt;"",OR(NOT(ISNUMBER($H171)),$H171&lt;0,$H171&gt;1)),"Peso fuera de rango"&amp;" · ","")&amp;IF(AND($V171="Sub",$H171&lt;&gt;""),"Las subactividades no llevan peso (valen igual dentro de su macroactividad)"&amp;" · ","")&amp;IF(AND(N($W171)&gt;0,COUNT($I171:$L171)&gt;0),"Con subactividades: deje vacías las semanas (se calculan solas)"&amp;" · ","")&amp;IF((COUNTIF($I171:$L171,"&gt;1")+COUNTIF($I171:$L171,"&lt;0")+COUNTA($I171:$L171)-COUNT($I171:$L171))&gt;0,"Avance fuera de rango 0-100%"&amp;" · ","")&amp;IF(OR(AND($J171&lt;&gt;"",$J171&lt;$I171),AND($K171&lt;&gt;"",$K171&lt;MAX($I171:$J171)),AND($L171&lt;&gt;"",$L171&lt;MAX($I171:$K171))),"Avance semanal decreciente"&amp;" · ","")&amp;IF(AND(ISNUMBER($AN171),$AN171&lt;FechaRef,IF($V171="Sub",N($X171),N($M171))&lt;1),"Vencida"&amp;" · ","")&amp;IF(AND(ObsObligatoria="Sí",ISNUMBER($AN171),$AN171&lt;FechaRef,IF($V171="Sub",N($X171),N($M171))&lt;1,$Q171=""),"Vencida sin observación"&amp;" · ",""))="","✔ OK","⚠ "&amp;LEFT(IF($C171="","Falta el nombre de la actividad"&amp;" · ","")&amp;IF(AND($V171="Sub",N($U171)=0),"Subactividad sin macroactividad arriba"&amp;" · ","")&amp;IF($AM171="","Sin fecha de inicio"&amp;" · ","")&amp;IF($AN171="","Sin fecha límite"&amp;" · ","")&amp;IF(AND(LEFT($C171,11)="[Jefatura] ",N($AL171)=0),"No se encuentra en la hoja de la jefatura (elíjala de nuevo en la lista)"&amp;" · ","")&amp;IF(OR(AND($E171&lt;&gt;"",NOT(ISNUMBER($E171))),AND($F171&lt;&gt;"",NOT(ISNUMBER($F171))),AND($G171&lt;&gt;"",NOT(ISNUMBER($G171)))),"Fecha no válida"&amp;" · ","")&amp;IF(AND(ISNUMBER($AM171),ISNUMBER($AN171),$AM171&gt;$AN171),"Inicio posterior a fecha límite"&amp;" · ","")&amp;IF(AND($V171="Macro",$H171&lt;&gt;"",OR(NOT(ISNUMBER($H171)),$H171&lt;0,$H171&gt;1)),"Peso fuera de rango"&amp;" · ","")&amp;IF(AND($V171="Sub",$H171&lt;&gt;""),"Las subactividades no llevan peso (valen igual dentro de su macroactividad)"&amp;" · ","")&amp;IF(AND(N($W171)&gt;0,COUNT($I171:$L171)&gt;0),"Con subactividades: deje vacías las semanas (se calculan solas)"&amp;" · ","")&amp;IF((COUNTIF($I171:$L171,"&gt;1")+COUNTIF($I171:$L171,"&lt;0")+COUNTA($I171:$L171)-COUNT($I171:$L171))&gt;0,"Avance fuera de rango 0-100%"&amp;" · ","")&amp;IF(OR(AND($J171&lt;&gt;"",$J171&lt;$I171),AND($K171&lt;&gt;"",$K171&lt;MAX($I171:$J171)),AND($L171&lt;&gt;"",$L171&lt;MAX($I171:$K171))),"Avance semanal decreciente"&amp;" · ","")&amp;IF(AND(ISNUMBER($AN171),$AN171&lt;FechaRef,IF($V171="Sub",N($X171),N($M171))&lt;1),"Vencida"&amp;" · ","")&amp;IF(AND(ObsObligatoria="Sí",ISNUMBER($AN171),$AN171&lt;FechaRef,IF($V171="Sub",N($X171),N($M171))&lt;1,$Q171=""),"Vencida sin observación"&amp;" · ",""),LEN(IF($C171="","Falta el nombre de la actividad"&amp;" · ","")&amp;IF(AND($V171="Sub",N($U171)=0),"Subactividad sin macroactividad arriba"&amp;" · ","")&amp;IF($AM171="","Sin fecha de inicio"&amp;" · ","")&amp;IF($AN171="","Sin fecha límite"&amp;" · ","")&amp;IF(AND(LEFT($C171,11)="[Jefatura] ",N($AL171)=0),"No se encuentra en la hoja de la jefatura (elíjala de nuevo en la lista)"&amp;" · ","")&amp;IF(OR(AND($E171&lt;&gt;"",NOT(ISNUMBER($E171))),AND($F171&lt;&gt;"",NOT(ISNUMBER($F171))),AND($G171&lt;&gt;"",NOT(ISNUMBER($G171)))),"Fecha no válida"&amp;" · ","")&amp;IF(AND(ISNUMBER($AM171),ISNUMBER($AN171),$AM171&gt;$AN171),"Inicio posterior a fecha límite"&amp;" · ","")&amp;IF(AND($V171="Macro",$H171&lt;&gt;"",OR(NOT(ISNUMBER($H171)),$H171&lt;0,$H171&gt;1)),"Peso fuera de rango"&amp;" · ","")&amp;IF(AND($V171="Sub",$H171&lt;&gt;""),"Las subactividades no llevan peso (valen igual dentro de su macroactividad)"&amp;" · ","")&amp;IF(AND(N($W171)&gt;0,COUNT($I171:$L171)&gt;0),"Con subactividades: deje vacías las semanas (se calculan solas)"&amp;" · ","")&amp;IF((COUNTIF($I171:$L171,"&gt;1")+COUNTIF($I171:$L171,"&lt;0")+COUNTA($I171:$L171)-COUNT($I171:$L171))&gt;0,"Avance fuera de rango 0-100%"&amp;" · ","")&amp;IF(OR(AND($J171&lt;&gt;"",$J171&lt;$I171),AND($K171&lt;&gt;"",$K171&lt;MAX($I171:$J171)),AND($L171&lt;&gt;"",$L171&lt;MAX($I171:$K171))),"Avance semanal decreciente"&amp;" · ","")&amp;IF(AND(ISNUMBER($AN171),$AN171&lt;FechaRef,IF($V171="Sub",N($X171),N($M171))&lt;1),"Vencida"&amp;" · ","")&amp;IF(AND(ObsObligatoria="Sí",ISNUMBER($AN171),$AN171&lt;FechaRef,IF($V171="Sub",N($X171),N($M171))&lt;1,$Q171=""),"Vencida sin observación"&amp;" · ",""))-3)))</f>
        <v/>
      </c>
      <c r="S171" s="64">
        <f>IF(NOT((COUNTA($B171:$D171)+COUNTA($G171:$L171)+COUNTA($Q171))&gt;0),"",IF(AND($V171="Sub",N($U171)&gt;0),IF(ISNUMBER(INDEX($AM$5:$AM$1000,$U171-4)),DATE(YEAR(INDEX($AM$5:$AM$1000,$U171-4)),MONTH(INDEX($AM$5:$AM$1000,$U171-4)),1),IF(ISNUMBER(INDEX($AN$5:$AN$1000,$U171-4)),DATE(YEAR(INDEX($AN$5:$AN$1000,$U171-4)),MONTH(INDEX($AN$5:$AN$1000,$U171-4)),1),MesCiclo)),IF(ISNUMBER($AM171),DATE(YEAR($AM171),MONTH($AM171),1),IF(ISNUMBER($AN171),DATE(YEAR($AN171),MONTH($AN171),1),MesCiclo))))</f>
        <v/>
      </c>
      <c r="T171" s="62">
        <f>IF(OR($S171="",$S171&lt;&gt;MesCiclo,$V171&lt;&gt;"Macro"),"",COUNTIFS($S$5:$S171,MesCiclo,$V$5:$V171,"Macro"))</f>
        <v/>
      </c>
      <c r="U171" s="62">
        <f>IF($V171="","",IF($V171="Macro",ROW(),IFERROR(LOOKUP(2,1/($V$5:$V171="Macro"),ROW($V$5:$V171)),0)))</f>
        <v/>
      </c>
      <c r="V171" s="62">
        <f>IF(NOT((COUNTA($B171:$D171)+COUNTA($G171:$L171)+COUNTA($Q171))&gt;0),"",IF($B171="Subactividad","Sub","Macro"))</f>
        <v/>
      </c>
      <c r="W171" s="62">
        <f>IF($V171="Macro",COUNTIFS($U$5:$U$1000,ROW(),$V$5:$V$1000,"Sub"),"")</f>
        <v/>
      </c>
      <c r="X171" s="62">
        <f>IF($V171="","",IF(ISNUMBER($G171),1,IFERROR(LOOKUP(2,1/($I171:$L171&lt;&gt;""),$I171:$L171),0)))</f>
        <v/>
      </c>
      <c r="Y171" s="62">
        <f>IF($V171="","",IF(AND(ISNUMBER($G171),$G171&lt;=IF($S171=MesCiclo,InicioCiclo,$S171+MOD(2-WEEKDAY($S171),7))+6),1,IF(ISNUMBER($I171),$I171,0)))</f>
        <v/>
      </c>
      <c r="Z171" s="62">
        <f>IF($V171="","",IF(AND(ISNUMBER($G171),$G171&lt;=IF($S171=MesCiclo,InicioCiclo,$S171+MOD(2-WEEKDAY($S171),7))+13),1,IF(ISNUMBER($J171),$J171,$Y171)))</f>
        <v/>
      </c>
      <c r="AA171" s="62">
        <f>IF($V171="","",IF(AND(ISNUMBER($G171),$G171&lt;=IF($S171=MesCiclo,InicioCiclo,$S171+MOD(2-WEEKDAY($S171),7))+20),1,IF(ISNUMBER($K171),$K171,$Z171)))</f>
        <v/>
      </c>
      <c r="AB171" s="62">
        <f>IF($V171="","",IF(AND(ISNUMBER($G171),$G171&lt;=IF($S171=MesCiclo,InicioCiclo,$S171+MOD(2-WEEKDAY($S171),7))+27),1,IF(ISNUMBER($L171),$L171,$AA171)))</f>
        <v/>
      </c>
      <c r="AC171" s="62">
        <f>IF($V171="","",IF(AND(ISNUMBER($G171),$G171&lt;=IF($S171=MesCiclo,InicioCiclo,$S171+MOD(2-WEEKDAY($S171),7))+6),1,IF(N($W171)&gt;0,AVERAGEIFS($Y$5:$Y$1000,$U$5:$U$1000,ROW(),$V$5:$V$1000,"Sub"),$Y171)))</f>
        <v/>
      </c>
      <c r="AD171" s="62">
        <f>IF($V171="","",IF(AND(ISNUMBER($G171),$G171&lt;=IF($S171=MesCiclo,InicioCiclo,$S171+MOD(2-WEEKDAY($S171),7))+13),1,IF(N($W171)&gt;0,AVERAGEIFS($Z$5:$Z$1000,$U$5:$U$1000,ROW(),$V$5:$V$1000,"Sub"),$Z171)))</f>
        <v/>
      </c>
      <c r="AE171" s="62">
        <f>IF($V171="","",IF(AND(ISNUMBER($G171),$G171&lt;=IF($S171=MesCiclo,InicioCiclo,$S171+MOD(2-WEEKDAY($S171),7))+20),1,IF(N($W171)&gt;0,AVERAGEIFS($AA$5:$AA$1000,$U$5:$U$1000,ROW(),$V$5:$V$1000,"Sub"),$AA171)))</f>
        <v/>
      </c>
      <c r="AF171" s="62">
        <f>IF($V171="","",IF(AND(ISNUMBER($G171),$G171&lt;=IF($S171=MesCiclo,InicioCiclo,$S171+MOD(2-WEEKDAY($S171),7))+27),1,IF(N($W171)&gt;0,AVERAGEIFS($AB$5:$AB$1000,$U$5:$U$1000,ROW(),$V$5:$V$1000,"Sub"),$AB171)))</f>
        <v/>
      </c>
      <c r="AG171" s="62">
        <f>IF($V171&lt;&gt;"Macro","",IF(COUNTIFS($S$5:$S$1000,$S171,$V$5:$V$1000,"Macro",$H$5:$H$1000,"&gt;0")=0,1/COUNTIFS($S$5:$S$1000,$S171,$V$5:$V$1000,"Macro"),IF(AND(ISNUMBER($H171),N($H171)&gt;0),$H171,SUMIFS($H$5:$H$1000,$S$5:$S$1000,$S171,$V$5:$V$1000,"Macro")/COUNTIFS($S$5:$S$1000,$S171,$V$5:$V$1000,"Macro",$H$5:$H$1000,"&gt;0"))/(COUNTIFS($S$5:$S$1000,$S171,$V$5:$V$1000,"Macro")*SUMIFS($H$5:$H$1000,$S$5:$S$1000,$S171,$V$5:$V$1000,"Macro")/COUNTIFS($S$5:$S$1000,$S171,$V$5:$V$1000,"Macro",$H$5:$H$1000,"&gt;0"))))</f>
        <v/>
      </c>
      <c r="AH171" s="62" t="n"/>
      <c r="AI171" s="62" t="n"/>
      <c r="AJ171" s="62" t="n"/>
      <c r="AK171" s="62" t="n"/>
      <c r="AL171" s="62">
        <f>IF(LEFT($C171,11)="[Jefatura] ",IFERROR(MATCH("Riesgo Financiero|"&amp;MID($C171,12,500),rDname_ADM,0),0),"")</f>
        <v/>
      </c>
      <c r="AM171" s="62">
        <f>IF(N($AL171)&gt;0,INDEX(rIni_ADM,$AL171),IF(ISNUMBER($E171),$E171,""))</f>
        <v/>
      </c>
      <c r="AN171" s="62">
        <f>IF(N($AL171)&gt;0,INDEX(rLim_ADM,$AL171),IF(ISNUMBER($F171),$F171,""))</f>
        <v/>
      </c>
    </row>
    <row r="172">
      <c r="A172" s="56">
        <f>IF(NOT((COUNTA($B172:$D172)+COUNTA($G172:$L172)+COUNTA($Q172))&gt;0),"",IF($V172="Macro",COUNTIFS($V$5:$V172,"Macro",$S$5:$S172,$S172),IF(N($U172)=0,"?",COUNTIFS(INDEX($V$5:$V$1000,1):INDEX($V$5:$V$1000,$U172-4),"Macro",INDEX($S$5:$S$1000,1):INDEX($S$5:$S$1000,$U172-4),INDEX($S$5:$S$1000,$U172-4))&amp;"."&amp;COUNTIFS($U$5:$U172,$U172,$V$5:$V172,"Sub"))))</f>
        <v/>
      </c>
      <c r="B172" s="57" t="n"/>
      <c r="C172" s="58" t="n"/>
      <c r="D172" s="58" t="n"/>
      <c r="E172" s="59">
        <f>IF(N($AL172)&gt;0,INDEX(rIni_ADM,$AL172),"")</f>
        <v/>
      </c>
      <c r="F172" s="59">
        <f>IF(N($AL172)&gt;0,INDEX(rLim_ADM,$AL172),"")</f>
        <v/>
      </c>
      <c r="G172" s="59" t="n"/>
      <c r="H172" s="60" t="n"/>
      <c r="I172" s="60" t="n"/>
      <c r="J172" s="60" t="n"/>
      <c r="K172" s="60" t="n"/>
      <c r="L172" s="60" t="n"/>
      <c r="M172" s="61">
        <f>IF(NOT((COUNTA($B172:$D172)+COUNTA($G172:$L172)+COUNTA($Q172))&gt;0),"",IF($V172="Sub",IFERROR($X172/INDEX($W$5:$W$1000,$U172-4),""),IF(ISNUMBER($G172),1,IF(N($W172)&gt;0,AVERAGEIFS($X$5:$X$1000,$U$5:$U$1000,ROW(),$V$5:$V$1000,"Sub"),$X172))))</f>
        <v/>
      </c>
      <c r="N172" s="56">
        <f>IF(OR($M172="",$V172="Sub"),"",IF($M172&gt;=1,"Completado",IF($M172&gt;0,"En curso","Pendiente")))</f>
        <v/>
      </c>
      <c r="O172" s="56">
        <f>IF(OR(NOT((COUNTA($B172:$D172)+COUNTA($G172:$L172)+COUNTA($Q172))&gt;0),$V172="Sub"),"",IF(ISNUMBER($G172),IF(AND(ISNUMBER($AN172),$G172&gt;$AN172),"Cumplida con "&amp;($G172-$AN172)&amp;IF($G172-$AN172=1," día"," días")&amp;" de retraso","Cumplida"),IF(N($M172)&gt;=1,"Cumplida",IF(NOT(ISNUMBER($AN172)),"Sin fecha límite",IF($AN172&lt;FechaRef,"Vencida hace "&amp;(FechaRef-$AN172)&amp;IF(FechaRef-$AN172=1," día"," días"),IF($AN172=FechaRef,"Vence hoy",IF($AN172-FechaRef&lt;=DiasAlerta,"Vence en "&amp;($AN172-FechaRef)&amp;IF($AN172-FechaRef=1," día"," días"),"En plazo")))))))</f>
        <v/>
      </c>
      <c r="P172" s="62" t="n"/>
      <c r="Q172" s="58" t="n"/>
      <c r="R172" s="63">
        <f>IF(NOT((COUNTA($B172:$D172)+COUNTA($G172:$L172)+COUNTA($Q172))&gt;0),"",IF((IF($C172="","Falta el nombre de la actividad"&amp;" · ","")&amp;IF(AND($V172="Sub",N($U172)=0),"Subactividad sin macroactividad arriba"&amp;" · ","")&amp;IF($AM172="","Sin fecha de inicio"&amp;" · ","")&amp;IF($AN172="","Sin fecha límite"&amp;" · ","")&amp;IF(AND(LEFT($C172,11)="[Jefatura] ",N($AL172)=0),"No se encuentra en la hoja de la jefatura (elíjala de nuevo en la lista)"&amp;" · ","")&amp;IF(OR(AND($E172&lt;&gt;"",NOT(ISNUMBER($E172))),AND($F172&lt;&gt;"",NOT(ISNUMBER($F172))),AND($G172&lt;&gt;"",NOT(ISNUMBER($G172)))),"Fecha no válida"&amp;" · ","")&amp;IF(AND(ISNUMBER($AM172),ISNUMBER($AN172),$AM172&gt;$AN172),"Inicio posterior a fecha límite"&amp;" · ","")&amp;IF(AND($V172="Macro",$H172&lt;&gt;"",OR(NOT(ISNUMBER($H172)),$H172&lt;0,$H172&gt;1)),"Peso fuera de rango"&amp;" · ","")&amp;IF(AND($V172="Sub",$H172&lt;&gt;""),"Las subactividades no llevan peso (valen igual dentro de su macroactividad)"&amp;" · ","")&amp;IF(AND(N($W172)&gt;0,COUNT($I172:$L172)&gt;0),"Con subactividades: deje vacías las semanas (se calculan solas)"&amp;" · ","")&amp;IF((COUNTIF($I172:$L172,"&gt;1")+COUNTIF($I172:$L172,"&lt;0")+COUNTA($I172:$L172)-COUNT($I172:$L172))&gt;0,"Avance fuera de rango 0-100%"&amp;" · ","")&amp;IF(OR(AND($J172&lt;&gt;"",$J172&lt;$I172),AND($K172&lt;&gt;"",$K172&lt;MAX($I172:$J172)),AND($L172&lt;&gt;"",$L172&lt;MAX($I172:$K172))),"Avance semanal decreciente"&amp;" · ","")&amp;IF(AND(ISNUMBER($AN172),$AN172&lt;FechaRef,IF($V172="Sub",N($X172),N($M172))&lt;1),"Vencida"&amp;" · ","")&amp;IF(AND(ObsObligatoria="Sí",ISNUMBER($AN172),$AN172&lt;FechaRef,IF($V172="Sub",N($X172),N($M172))&lt;1,$Q172=""),"Vencida sin observación"&amp;" · ",""))="","✔ OK","⚠ "&amp;LEFT(IF($C172="","Falta el nombre de la actividad"&amp;" · ","")&amp;IF(AND($V172="Sub",N($U172)=0),"Subactividad sin macroactividad arriba"&amp;" · ","")&amp;IF($AM172="","Sin fecha de inicio"&amp;" · ","")&amp;IF($AN172="","Sin fecha límite"&amp;" · ","")&amp;IF(AND(LEFT($C172,11)="[Jefatura] ",N($AL172)=0),"No se encuentra en la hoja de la jefatura (elíjala de nuevo en la lista)"&amp;" · ","")&amp;IF(OR(AND($E172&lt;&gt;"",NOT(ISNUMBER($E172))),AND($F172&lt;&gt;"",NOT(ISNUMBER($F172))),AND($G172&lt;&gt;"",NOT(ISNUMBER($G172)))),"Fecha no válida"&amp;" · ","")&amp;IF(AND(ISNUMBER($AM172),ISNUMBER($AN172),$AM172&gt;$AN172),"Inicio posterior a fecha límite"&amp;" · ","")&amp;IF(AND($V172="Macro",$H172&lt;&gt;"",OR(NOT(ISNUMBER($H172)),$H172&lt;0,$H172&gt;1)),"Peso fuera de rango"&amp;" · ","")&amp;IF(AND($V172="Sub",$H172&lt;&gt;""),"Las subactividades no llevan peso (valen igual dentro de su macroactividad)"&amp;" · ","")&amp;IF(AND(N($W172)&gt;0,COUNT($I172:$L172)&gt;0),"Con subactividades: deje vacías las semanas (se calculan solas)"&amp;" · ","")&amp;IF((COUNTIF($I172:$L172,"&gt;1")+COUNTIF($I172:$L172,"&lt;0")+COUNTA($I172:$L172)-COUNT($I172:$L172))&gt;0,"Avance fuera de rango 0-100%"&amp;" · ","")&amp;IF(OR(AND($J172&lt;&gt;"",$J172&lt;$I172),AND($K172&lt;&gt;"",$K172&lt;MAX($I172:$J172)),AND($L172&lt;&gt;"",$L172&lt;MAX($I172:$K172))),"Avance semanal decreciente"&amp;" · ","")&amp;IF(AND(ISNUMBER($AN172),$AN172&lt;FechaRef,IF($V172="Sub",N($X172),N($M172))&lt;1),"Vencida"&amp;" · ","")&amp;IF(AND(ObsObligatoria="Sí",ISNUMBER($AN172),$AN172&lt;FechaRef,IF($V172="Sub",N($X172),N($M172))&lt;1,$Q172=""),"Vencida sin observación"&amp;" · ",""),LEN(IF($C172="","Falta el nombre de la actividad"&amp;" · ","")&amp;IF(AND($V172="Sub",N($U172)=0),"Subactividad sin macroactividad arriba"&amp;" · ","")&amp;IF($AM172="","Sin fecha de inicio"&amp;" · ","")&amp;IF($AN172="","Sin fecha límite"&amp;" · ","")&amp;IF(AND(LEFT($C172,11)="[Jefatura] ",N($AL172)=0),"No se encuentra en la hoja de la jefatura (elíjala de nuevo en la lista)"&amp;" · ","")&amp;IF(OR(AND($E172&lt;&gt;"",NOT(ISNUMBER($E172))),AND($F172&lt;&gt;"",NOT(ISNUMBER($F172))),AND($G172&lt;&gt;"",NOT(ISNUMBER($G172)))),"Fecha no válida"&amp;" · ","")&amp;IF(AND(ISNUMBER($AM172),ISNUMBER($AN172),$AM172&gt;$AN172),"Inicio posterior a fecha límite"&amp;" · ","")&amp;IF(AND($V172="Macro",$H172&lt;&gt;"",OR(NOT(ISNUMBER($H172)),$H172&lt;0,$H172&gt;1)),"Peso fuera de rango"&amp;" · ","")&amp;IF(AND($V172="Sub",$H172&lt;&gt;""),"Las subactividades no llevan peso (valen igual dentro de su macroactividad)"&amp;" · ","")&amp;IF(AND(N($W172)&gt;0,COUNT($I172:$L172)&gt;0),"Con subactividades: deje vacías las semanas (se calculan solas)"&amp;" · ","")&amp;IF((COUNTIF($I172:$L172,"&gt;1")+COUNTIF($I172:$L172,"&lt;0")+COUNTA($I172:$L172)-COUNT($I172:$L172))&gt;0,"Avance fuera de rango 0-100%"&amp;" · ","")&amp;IF(OR(AND($J172&lt;&gt;"",$J172&lt;$I172),AND($K172&lt;&gt;"",$K172&lt;MAX($I172:$J172)),AND($L172&lt;&gt;"",$L172&lt;MAX($I172:$K172))),"Avance semanal decreciente"&amp;" · ","")&amp;IF(AND(ISNUMBER($AN172),$AN172&lt;FechaRef,IF($V172="Sub",N($X172),N($M172))&lt;1),"Vencida"&amp;" · ","")&amp;IF(AND(ObsObligatoria="Sí",ISNUMBER($AN172),$AN172&lt;FechaRef,IF($V172="Sub",N($X172),N($M172))&lt;1,$Q172=""),"Vencida sin observación"&amp;" · ",""))-3)))</f>
        <v/>
      </c>
      <c r="S172" s="64">
        <f>IF(NOT((COUNTA($B172:$D172)+COUNTA($G172:$L172)+COUNTA($Q172))&gt;0),"",IF(AND($V172="Sub",N($U172)&gt;0),IF(ISNUMBER(INDEX($AM$5:$AM$1000,$U172-4)),DATE(YEAR(INDEX($AM$5:$AM$1000,$U172-4)),MONTH(INDEX($AM$5:$AM$1000,$U172-4)),1),IF(ISNUMBER(INDEX($AN$5:$AN$1000,$U172-4)),DATE(YEAR(INDEX($AN$5:$AN$1000,$U172-4)),MONTH(INDEX($AN$5:$AN$1000,$U172-4)),1),MesCiclo)),IF(ISNUMBER($AM172),DATE(YEAR($AM172),MONTH($AM172),1),IF(ISNUMBER($AN172),DATE(YEAR($AN172),MONTH($AN172),1),MesCiclo))))</f>
        <v/>
      </c>
      <c r="T172" s="62">
        <f>IF(OR($S172="",$S172&lt;&gt;MesCiclo,$V172&lt;&gt;"Macro"),"",COUNTIFS($S$5:$S172,MesCiclo,$V$5:$V172,"Macro"))</f>
        <v/>
      </c>
      <c r="U172" s="62">
        <f>IF($V172="","",IF($V172="Macro",ROW(),IFERROR(LOOKUP(2,1/($V$5:$V172="Macro"),ROW($V$5:$V172)),0)))</f>
        <v/>
      </c>
      <c r="V172" s="62">
        <f>IF(NOT((COUNTA($B172:$D172)+COUNTA($G172:$L172)+COUNTA($Q172))&gt;0),"",IF($B172="Subactividad","Sub","Macro"))</f>
        <v/>
      </c>
      <c r="W172" s="62">
        <f>IF($V172="Macro",COUNTIFS($U$5:$U$1000,ROW(),$V$5:$V$1000,"Sub"),"")</f>
        <v/>
      </c>
      <c r="X172" s="62">
        <f>IF($V172="","",IF(ISNUMBER($G172),1,IFERROR(LOOKUP(2,1/($I172:$L172&lt;&gt;""),$I172:$L172),0)))</f>
        <v/>
      </c>
      <c r="Y172" s="62">
        <f>IF($V172="","",IF(AND(ISNUMBER($G172),$G172&lt;=IF($S172=MesCiclo,InicioCiclo,$S172+MOD(2-WEEKDAY($S172),7))+6),1,IF(ISNUMBER($I172),$I172,0)))</f>
        <v/>
      </c>
      <c r="Z172" s="62">
        <f>IF($V172="","",IF(AND(ISNUMBER($G172),$G172&lt;=IF($S172=MesCiclo,InicioCiclo,$S172+MOD(2-WEEKDAY($S172),7))+13),1,IF(ISNUMBER($J172),$J172,$Y172)))</f>
        <v/>
      </c>
      <c r="AA172" s="62">
        <f>IF($V172="","",IF(AND(ISNUMBER($G172),$G172&lt;=IF($S172=MesCiclo,InicioCiclo,$S172+MOD(2-WEEKDAY($S172),7))+20),1,IF(ISNUMBER($K172),$K172,$Z172)))</f>
        <v/>
      </c>
      <c r="AB172" s="62">
        <f>IF($V172="","",IF(AND(ISNUMBER($G172),$G172&lt;=IF($S172=MesCiclo,InicioCiclo,$S172+MOD(2-WEEKDAY($S172),7))+27),1,IF(ISNUMBER($L172),$L172,$AA172)))</f>
        <v/>
      </c>
      <c r="AC172" s="62">
        <f>IF($V172="","",IF(AND(ISNUMBER($G172),$G172&lt;=IF($S172=MesCiclo,InicioCiclo,$S172+MOD(2-WEEKDAY($S172),7))+6),1,IF(N($W172)&gt;0,AVERAGEIFS($Y$5:$Y$1000,$U$5:$U$1000,ROW(),$V$5:$V$1000,"Sub"),$Y172)))</f>
        <v/>
      </c>
      <c r="AD172" s="62">
        <f>IF($V172="","",IF(AND(ISNUMBER($G172),$G172&lt;=IF($S172=MesCiclo,InicioCiclo,$S172+MOD(2-WEEKDAY($S172),7))+13),1,IF(N($W172)&gt;0,AVERAGEIFS($Z$5:$Z$1000,$U$5:$U$1000,ROW(),$V$5:$V$1000,"Sub"),$Z172)))</f>
        <v/>
      </c>
      <c r="AE172" s="62">
        <f>IF($V172="","",IF(AND(ISNUMBER($G172),$G172&lt;=IF($S172=MesCiclo,InicioCiclo,$S172+MOD(2-WEEKDAY($S172),7))+20),1,IF(N($W172)&gt;0,AVERAGEIFS($AA$5:$AA$1000,$U$5:$U$1000,ROW(),$V$5:$V$1000,"Sub"),$AA172)))</f>
        <v/>
      </c>
      <c r="AF172" s="62">
        <f>IF($V172="","",IF(AND(ISNUMBER($G172),$G172&lt;=IF($S172=MesCiclo,InicioCiclo,$S172+MOD(2-WEEKDAY($S172),7))+27),1,IF(N($W172)&gt;0,AVERAGEIFS($AB$5:$AB$1000,$U$5:$U$1000,ROW(),$V$5:$V$1000,"Sub"),$AB172)))</f>
        <v/>
      </c>
      <c r="AG172" s="62">
        <f>IF($V172&lt;&gt;"Macro","",IF(COUNTIFS($S$5:$S$1000,$S172,$V$5:$V$1000,"Macro",$H$5:$H$1000,"&gt;0")=0,1/COUNTIFS($S$5:$S$1000,$S172,$V$5:$V$1000,"Macro"),IF(AND(ISNUMBER($H172),N($H172)&gt;0),$H172,SUMIFS($H$5:$H$1000,$S$5:$S$1000,$S172,$V$5:$V$1000,"Macro")/COUNTIFS($S$5:$S$1000,$S172,$V$5:$V$1000,"Macro",$H$5:$H$1000,"&gt;0"))/(COUNTIFS($S$5:$S$1000,$S172,$V$5:$V$1000,"Macro")*SUMIFS($H$5:$H$1000,$S$5:$S$1000,$S172,$V$5:$V$1000,"Macro")/COUNTIFS($S$5:$S$1000,$S172,$V$5:$V$1000,"Macro",$H$5:$H$1000,"&gt;0"))))</f>
        <v/>
      </c>
      <c r="AH172" s="62" t="n"/>
      <c r="AI172" s="62" t="n"/>
      <c r="AJ172" s="62" t="n"/>
      <c r="AK172" s="62" t="n"/>
      <c r="AL172" s="62">
        <f>IF(LEFT($C172,11)="[Jefatura] ",IFERROR(MATCH("Riesgo Financiero|"&amp;MID($C172,12,500),rDname_ADM,0),0),"")</f>
        <v/>
      </c>
      <c r="AM172" s="62">
        <f>IF(N($AL172)&gt;0,INDEX(rIni_ADM,$AL172),IF(ISNUMBER($E172),$E172,""))</f>
        <v/>
      </c>
      <c r="AN172" s="62">
        <f>IF(N($AL172)&gt;0,INDEX(rLim_ADM,$AL172),IF(ISNUMBER($F172),$F172,""))</f>
        <v/>
      </c>
    </row>
    <row r="173">
      <c r="A173" s="56">
        <f>IF(NOT((COUNTA($B173:$D173)+COUNTA($G173:$L173)+COUNTA($Q173))&gt;0),"",IF($V173="Macro",COUNTIFS($V$5:$V173,"Macro",$S$5:$S173,$S173),IF(N($U173)=0,"?",COUNTIFS(INDEX($V$5:$V$1000,1):INDEX($V$5:$V$1000,$U173-4),"Macro",INDEX($S$5:$S$1000,1):INDEX($S$5:$S$1000,$U173-4),INDEX($S$5:$S$1000,$U173-4))&amp;"."&amp;COUNTIFS($U$5:$U173,$U173,$V$5:$V173,"Sub"))))</f>
        <v/>
      </c>
      <c r="B173" s="57" t="n"/>
      <c r="C173" s="58" t="n"/>
      <c r="D173" s="58" t="n"/>
      <c r="E173" s="59">
        <f>IF(N($AL173)&gt;0,INDEX(rIni_ADM,$AL173),"")</f>
        <v/>
      </c>
      <c r="F173" s="59">
        <f>IF(N($AL173)&gt;0,INDEX(rLim_ADM,$AL173),"")</f>
        <v/>
      </c>
      <c r="G173" s="59" t="n"/>
      <c r="H173" s="60" t="n"/>
      <c r="I173" s="60" t="n"/>
      <c r="J173" s="60" t="n"/>
      <c r="K173" s="60" t="n"/>
      <c r="L173" s="60" t="n"/>
      <c r="M173" s="61">
        <f>IF(NOT((COUNTA($B173:$D173)+COUNTA($G173:$L173)+COUNTA($Q173))&gt;0),"",IF($V173="Sub",IFERROR($X173/INDEX($W$5:$W$1000,$U173-4),""),IF(ISNUMBER($G173),1,IF(N($W173)&gt;0,AVERAGEIFS($X$5:$X$1000,$U$5:$U$1000,ROW(),$V$5:$V$1000,"Sub"),$X173))))</f>
        <v/>
      </c>
      <c r="N173" s="56">
        <f>IF(OR($M173="",$V173="Sub"),"",IF($M173&gt;=1,"Completado",IF($M173&gt;0,"En curso","Pendiente")))</f>
        <v/>
      </c>
      <c r="O173" s="56">
        <f>IF(OR(NOT((COUNTA($B173:$D173)+COUNTA($G173:$L173)+COUNTA($Q173))&gt;0),$V173="Sub"),"",IF(ISNUMBER($G173),IF(AND(ISNUMBER($AN173),$G173&gt;$AN173),"Cumplida con "&amp;($G173-$AN173)&amp;IF($G173-$AN173=1," día"," días")&amp;" de retraso","Cumplida"),IF(N($M173)&gt;=1,"Cumplida",IF(NOT(ISNUMBER($AN173)),"Sin fecha límite",IF($AN173&lt;FechaRef,"Vencida hace "&amp;(FechaRef-$AN173)&amp;IF(FechaRef-$AN173=1," día"," días"),IF($AN173=FechaRef,"Vence hoy",IF($AN173-FechaRef&lt;=DiasAlerta,"Vence en "&amp;($AN173-FechaRef)&amp;IF($AN173-FechaRef=1," día"," días"),"En plazo")))))))</f>
        <v/>
      </c>
      <c r="P173" s="62" t="n"/>
      <c r="Q173" s="58" t="n"/>
      <c r="R173" s="63">
        <f>IF(NOT((COUNTA($B173:$D173)+COUNTA($G173:$L173)+COUNTA($Q173))&gt;0),"",IF((IF($C173="","Falta el nombre de la actividad"&amp;" · ","")&amp;IF(AND($V173="Sub",N($U173)=0),"Subactividad sin macroactividad arriba"&amp;" · ","")&amp;IF($AM173="","Sin fecha de inicio"&amp;" · ","")&amp;IF($AN173="","Sin fecha límite"&amp;" · ","")&amp;IF(AND(LEFT($C173,11)="[Jefatura] ",N($AL173)=0),"No se encuentra en la hoja de la jefatura (elíjala de nuevo en la lista)"&amp;" · ","")&amp;IF(OR(AND($E173&lt;&gt;"",NOT(ISNUMBER($E173))),AND($F173&lt;&gt;"",NOT(ISNUMBER($F173))),AND($G173&lt;&gt;"",NOT(ISNUMBER($G173)))),"Fecha no válida"&amp;" · ","")&amp;IF(AND(ISNUMBER($AM173),ISNUMBER($AN173),$AM173&gt;$AN173),"Inicio posterior a fecha límite"&amp;" · ","")&amp;IF(AND($V173="Macro",$H173&lt;&gt;"",OR(NOT(ISNUMBER($H173)),$H173&lt;0,$H173&gt;1)),"Peso fuera de rango"&amp;" · ","")&amp;IF(AND($V173="Sub",$H173&lt;&gt;""),"Las subactividades no llevan peso (valen igual dentro de su macroactividad)"&amp;" · ","")&amp;IF(AND(N($W173)&gt;0,COUNT($I173:$L173)&gt;0),"Con subactividades: deje vacías las semanas (se calculan solas)"&amp;" · ","")&amp;IF((COUNTIF($I173:$L173,"&gt;1")+COUNTIF($I173:$L173,"&lt;0")+COUNTA($I173:$L173)-COUNT($I173:$L173))&gt;0,"Avance fuera de rango 0-100%"&amp;" · ","")&amp;IF(OR(AND($J173&lt;&gt;"",$J173&lt;$I173),AND($K173&lt;&gt;"",$K173&lt;MAX($I173:$J173)),AND($L173&lt;&gt;"",$L173&lt;MAX($I173:$K173))),"Avance semanal decreciente"&amp;" · ","")&amp;IF(AND(ISNUMBER($AN173),$AN173&lt;FechaRef,IF($V173="Sub",N($X173),N($M173))&lt;1),"Vencida"&amp;" · ","")&amp;IF(AND(ObsObligatoria="Sí",ISNUMBER($AN173),$AN173&lt;FechaRef,IF($V173="Sub",N($X173),N($M173))&lt;1,$Q173=""),"Vencida sin observación"&amp;" · ",""))="","✔ OK","⚠ "&amp;LEFT(IF($C173="","Falta el nombre de la actividad"&amp;" · ","")&amp;IF(AND($V173="Sub",N($U173)=0),"Subactividad sin macroactividad arriba"&amp;" · ","")&amp;IF($AM173="","Sin fecha de inicio"&amp;" · ","")&amp;IF($AN173="","Sin fecha límite"&amp;" · ","")&amp;IF(AND(LEFT($C173,11)="[Jefatura] ",N($AL173)=0),"No se encuentra en la hoja de la jefatura (elíjala de nuevo en la lista)"&amp;" · ","")&amp;IF(OR(AND($E173&lt;&gt;"",NOT(ISNUMBER($E173))),AND($F173&lt;&gt;"",NOT(ISNUMBER($F173))),AND($G173&lt;&gt;"",NOT(ISNUMBER($G173)))),"Fecha no válida"&amp;" · ","")&amp;IF(AND(ISNUMBER($AM173),ISNUMBER($AN173),$AM173&gt;$AN173),"Inicio posterior a fecha límite"&amp;" · ","")&amp;IF(AND($V173="Macro",$H173&lt;&gt;"",OR(NOT(ISNUMBER($H173)),$H173&lt;0,$H173&gt;1)),"Peso fuera de rango"&amp;" · ","")&amp;IF(AND($V173="Sub",$H173&lt;&gt;""),"Las subactividades no llevan peso (valen igual dentro de su macroactividad)"&amp;" · ","")&amp;IF(AND(N($W173)&gt;0,COUNT($I173:$L173)&gt;0),"Con subactividades: deje vacías las semanas (se calculan solas)"&amp;" · ","")&amp;IF((COUNTIF($I173:$L173,"&gt;1")+COUNTIF($I173:$L173,"&lt;0")+COUNTA($I173:$L173)-COUNT($I173:$L173))&gt;0,"Avance fuera de rango 0-100%"&amp;" · ","")&amp;IF(OR(AND($J173&lt;&gt;"",$J173&lt;$I173),AND($K173&lt;&gt;"",$K173&lt;MAX($I173:$J173)),AND($L173&lt;&gt;"",$L173&lt;MAX($I173:$K173))),"Avance semanal decreciente"&amp;" · ","")&amp;IF(AND(ISNUMBER($AN173),$AN173&lt;FechaRef,IF($V173="Sub",N($X173),N($M173))&lt;1),"Vencida"&amp;" · ","")&amp;IF(AND(ObsObligatoria="Sí",ISNUMBER($AN173),$AN173&lt;FechaRef,IF($V173="Sub",N($X173),N($M173))&lt;1,$Q173=""),"Vencida sin observación"&amp;" · ",""),LEN(IF($C173="","Falta el nombre de la actividad"&amp;" · ","")&amp;IF(AND($V173="Sub",N($U173)=0),"Subactividad sin macroactividad arriba"&amp;" · ","")&amp;IF($AM173="","Sin fecha de inicio"&amp;" · ","")&amp;IF($AN173="","Sin fecha límite"&amp;" · ","")&amp;IF(AND(LEFT($C173,11)="[Jefatura] ",N($AL173)=0),"No se encuentra en la hoja de la jefatura (elíjala de nuevo en la lista)"&amp;" · ","")&amp;IF(OR(AND($E173&lt;&gt;"",NOT(ISNUMBER($E173))),AND($F173&lt;&gt;"",NOT(ISNUMBER($F173))),AND($G173&lt;&gt;"",NOT(ISNUMBER($G173)))),"Fecha no válida"&amp;" · ","")&amp;IF(AND(ISNUMBER($AM173),ISNUMBER($AN173),$AM173&gt;$AN173),"Inicio posterior a fecha límite"&amp;" · ","")&amp;IF(AND($V173="Macro",$H173&lt;&gt;"",OR(NOT(ISNUMBER($H173)),$H173&lt;0,$H173&gt;1)),"Peso fuera de rango"&amp;" · ","")&amp;IF(AND($V173="Sub",$H173&lt;&gt;""),"Las subactividades no llevan peso (valen igual dentro de su macroactividad)"&amp;" · ","")&amp;IF(AND(N($W173)&gt;0,COUNT($I173:$L173)&gt;0),"Con subactividades: deje vacías las semanas (se calculan solas)"&amp;" · ","")&amp;IF((COUNTIF($I173:$L173,"&gt;1")+COUNTIF($I173:$L173,"&lt;0")+COUNTA($I173:$L173)-COUNT($I173:$L173))&gt;0,"Avance fuera de rango 0-100%"&amp;" · ","")&amp;IF(OR(AND($J173&lt;&gt;"",$J173&lt;$I173),AND($K173&lt;&gt;"",$K173&lt;MAX($I173:$J173)),AND($L173&lt;&gt;"",$L173&lt;MAX($I173:$K173))),"Avance semanal decreciente"&amp;" · ","")&amp;IF(AND(ISNUMBER($AN173),$AN173&lt;FechaRef,IF($V173="Sub",N($X173),N($M173))&lt;1),"Vencida"&amp;" · ","")&amp;IF(AND(ObsObligatoria="Sí",ISNUMBER($AN173),$AN173&lt;FechaRef,IF($V173="Sub",N($X173),N($M173))&lt;1,$Q173=""),"Vencida sin observación"&amp;" · ",""))-3)))</f>
        <v/>
      </c>
      <c r="S173" s="64">
        <f>IF(NOT((COUNTA($B173:$D173)+COUNTA($G173:$L173)+COUNTA($Q173))&gt;0),"",IF(AND($V173="Sub",N($U173)&gt;0),IF(ISNUMBER(INDEX($AM$5:$AM$1000,$U173-4)),DATE(YEAR(INDEX($AM$5:$AM$1000,$U173-4)),MONTH(INDEX($AM$5:$AM$1000,$U173-4)),1),IF(ISNUMBER(INDEX($AN$5:$AN$1000,$U173-4)),DATE(YEAR(INDEX($AN$5:$AN$1000,$U173-4)),MONTH(INDEX($AN$5:$AN$1000,$U173-4)),1),MesCiclo)),IF(ISNUMBER($AM173),DATE(YEAR($AM173),MONTH($AM173),1),IF(ISNUMBER($AN173),DATE(YEAR($AN173),MONTH($AN173),1),MesCiclo))))</f>
        <v/>
      </c>
      <c r="T173" s="62">
        <f>IF(OR($S173="",$S173&lt;&gt;MesCiclo,$V173&lt;&gt;"Macro"),"",COUNTIFS($S$5:$S173,MesCiclo,$V$5:$V173,"Macro"))</f>
        <v/>
      </c>
      <c r="U173" s="62">
        <f>IF($V173="","",IF($V173="Macro",ROW(),IFERROR(LOOKUP(2,1/($V$5:$V173="Macro"),ROW($V$5:$V173)),0)))</f>
        <v/>
      </c>
      <c r="V173" s="62">
        <f>IF(NOT((COUNTA($B173:$D173)+COUNTA($G173:$L173)+COUNTA($Q173))&gt;0),"",IF($B173="Subactividad","Sub","Macro"))</f>
        <v/>
      </c>
      <c r="W173" s="62">
        <f>IF($V173="Macro",COUNTIFS($U$5:$U$1000,ROW(),$V$5:$V$1000,"Sub"),"")</f>
        <v/>
      </c>
      <c r="X173" s="62">
        <f>IF($V173="","",IF(ISNUMBER($G173),1,IFERROR(LOOKUP(2,1/($I173:$L173&lt;&gt;""),$I173:$L173),0)))</f>
        <v/>
      </c>
      <c r="Y173" s="62">
        <f>IF($V173="","",IF(AND(ISNUMBER($G173),$G173&lt;=IF($S173=MesCiclo,InicioCiclo,$S173+MOD(2-WEEKDAY($S173),7))+6),1,IF(ISNUMBER($I173),$I173,0)))</f>
        <v/>
      </c>
      <c r="Z173" s="62">
        <f>IF($V173="","",IF(AND(ISNUMBER($G173),$G173&lt;=IF($S173=MesCiclo,InicioCiclo,$S173+MOD(2-WEEKDAY($S173),7))+13),1,IF(ISNUMBER($J173),$J173,$Y173)))</f>
        <v/>
      </c>
      <c r="AA173" s="62">
        <f>IF($V173="","",IF(AND(ISNUMBER($G173),$G173&lt;=IF($S173=MesCiclo,InicioCiclo,$S173+MOD(2-WEEKDAY($S173),7))+20),1,IF(ISNUMBER($K173),$K173,$Z173)))</f>
        <v/>
      </c>
      <c r="AB173" s="62">
        <f>IF($V173="","",IF(AND(ISNUMBER($G173),$G173&lt;=IF($S173=MesCiclo,InicioCiclo,$S173+MOD(2-WEEKDAY($S173),7))+27),1,IF(ISNUMBER($L173),$L173,$AA173)))</f>
        <v/>
      </c>
      <c r="AC173" s="62">
        <f>IF($V173="","",IF(AND(ISNUMBER($G173),$G173&lt;=IF($S173=MesCiclo,InicioCiclo,$S173+MOD(2-WEEKDAY($S173),7))+6),1,IF(N($W173)&gt;0,AVERAGEIFS($Y$5:$Y$1000,$U$5:$U$1000,ROW(),$V$5:$V$1000,"Sub"),$Y173)))</f>
        <v/>
      </c>
      <c r="AD173" s="62">
        <f>IF($V173="","",IF(AND(ISNUMBER($G173),$G173&lt;=IF($S173=MesCiclo,InicioCiclo,$S173+MOD(2-WEEKDAY($S173),7))+13),1,IF(N($W173)&gt;0,AVERAGEIFS($Z$5:$Z$1000,$U$5:$U$1000,ROW(),$V$5:$V$1000,"Sub"),$Z173)))</f>
        <v/>
      </c>
      <c r="AE173" s="62">
        <f>IF($V173="","",IF(AND(ISNUMBER($G173),$G173&lt;=IF($S173=MesCiclo,InicioCiclo,$S173+MOD(2-WEEKDAY($S173),7))+20),1,IF(N($W173)&gt;0,AVERAGEIFS($AA$5:$AA$1000,$U$5:$U$1000,ROW(),$V$5:$V$1000,"Sub"),$AA173)))</f>
        <v/>
      </c>
      <c r="AF173" s="62">
        <f>IF($V173="","",IF(AND(ISNUMBER($G173),$G173&lt;=IF($S173=MesCiclo,InicioCiclo,$S173+MOD(2-WEEKDAY($S173),7))+27),1,IF(N($W173)&gt;0,AVERAGEIFS($AB$5:$AB$1000,$U$5:$U$1000,ROW(),$V$5:$V$1000,"Sub"),$AB173)))</f>
        <v/>
      </c>
      <c r="AG173" s="62">
        <f>IF($V173&lt;&gt;"Macro","",IF(COUNTIFS($S$5:$S$1000,$S173,$V$5:$V$1000,"Macro",$H$5:$H$1000,"&gt;0")=0,1/COUNTIFS($S$5:$S$1000,$S173,$V$5:$V$1000,"Macro"),IF(AND(ISNUMBER($H173),N($H173)&gt;0),$H173,SUMIFS($H$5:$H$1000,$S$5:$S$1000,$S173,$V$5:$V$1000,"Macro")/COUNTIFS($S$5:$S$1000,$S173,$V$5:$V$1000,"Macro",$H$5:$H$1000,"&gt;0"))/(COUNTIFS($S$5:$S$1000,$S173,$V$5:$V$1000,"Macro")*SUMIFS($H$5:$H$1000,$S$5:$S$1000,$S173,$V$5:$V$1000,"Macro")/COUNTIFS($S$5:$S$1000,$S173,$V$5:$V$1000,"Macro",$H$5:$H$1000,"&gt;0"))))</f>
        <v/>
      </c>
      <c r="AH173" s="62" t="n"/>
      <c r="AI173" s="62" t="n"/>
      <c r="AJ173" s="62" t="n"/>
      <c r="AK173" s="62" t="n"/>
      <c r="AL173" s="62">
        <f>IF(LEFT($C173,11)="[Jefatura] ",IFERROR(MATCH("Riesgo Financiero|"&amp;MID($C173,12,500),rDname_ADM,0),0),"")</f>
        <v/>
      </c>
      <c r="AM173" s="62">
        <f>IF(N($AL173)&gt;0,INDEX(rIni_ADM,$AL173),IF(ISNUMBER($E173),$E173,""))</f>
        <v/>
      </c>
      <c r="AN173" s="62">
        <f>IF(N($AL173)&gt;0,INDEX(rLim_ADM,$AL173),IF(ISNUMBER($F173),$F173,""))</f>
        <v/>
      </c>
    </row>
    <row r="174">
      <c r="A174" s="56">
        <f>IF(NOT((COUNTA($B174:$D174)+COUNTA($G174:$L174)+COUNTA($Q174))&gt;0),"",IF($V174="Macro",COUNTIFS($V$5:$V174,"Macro",$S$5:$S174,$S174),IF(N($U174)=0,"?",COUNTIFS(INDEX($V$5:$V$1000,1):INDEX($V$5:$V$1000,$U174-4),"Macro",INDEX($S$5:$S$1000,1):INDEX($S$5:$S$1000,$U174-4),INDEX($S$5:$S$1000,$U174-4))&amp;"."&amp;COUNTIFS($U$5:$U174,$U174,$V$5:$V174,"Sub"))))</f>
        <v/>
      </c>
      <c r="B174" s="57" t="n"/>
      <c r="C174" s="58" t="n"/>
      <c r="D174" s="58" t="n"/>
      <c r="E174" s="59">
        <f>IF(N($AL174)&gt;0,INDEX(rIni_ADM,$AL174),"")</f>
        <v/>
      </c>
      <c r="F174" s="59">
        <f>IF(N($AL174)&gt;0,INDEX(rLim_ADM,$AL174),"")</f>
        <v/>
      </c>
      <c r="G174" s="59" t="n"/>
      <c r="H174" s="60" t="n"/>
      <c r="I174" s="60" t="n"/>
      <c r="J174" s="60" t="n"/>
      <c r="K174" s="60" t="n"/>
      <c r="L174" s="60" t="n"/>
      <c r="M174" s="61">
        <f>IF(NOT((COUNTA($B174:$D174)+COUNTA($G174:$L174)+COUNTA($Q174))&gt;0),"",IF($V174="Sub",IFERROR($X174/INDEX($W$5:$W$1000,$U174-4),""),IF(ISNUMBER($G174),1,IF(N($W174)&gt;0,AVERAGEIFS($X$5:$X$1000,$U$5:$U$1000,ROW(),$V$5:$V$1000,"Sub"),$X174))))</f>
        <v/>
      </c>
      <c r="N174" s="56">
        <f>IF(OR($M174="",$V174="Sub"),"",IF($M174&gt;=1,"Completado",IF($M174&gt;0,"En curso","Pendiente")))</f>
        <v/>
      </c>
      <c r="O174" s="56">
        <f>IF(OR(NOT((COUNTA($B174:$D174)+COUNTA($G174:$L174)+COUNTA($Q174))&gt;0),$V174="Sub"),"",IF(ISNUMBER($G174),IF(AND(ISNUMBER($AN174),$G174&gt;$AN174),"Cumplida con "&amp;($G174-$AN174)&amp;IF($G174-$AN174=1," día"," días")&amp;" de retraso","Cumplida"),IF(N($M174)&gt;=1,"Cumplida",IF(NOT(ISNUMBER($AN174)),"Sin fecha límite",IF($AN174&lt;FechaRef,"Vencida hace "&amp;(FechaRef-$AN174)&amp;IF(FechaRef-$AN174=1," día"," días"),IF($AN174=FechaRef,"Vence hoy",IF($AN174-FechaRef&lt;=DiasAlerta,"Vence en "&amp;($AN174-FechaRef)&amp;IF($AN174-FechaRef=1," día"," días"),"En plazo")))))))</f>
        <v/>
      </c>
      <c r="P174" s="62" t="n"/>
      <c r="Q174" s="58" t="n"/>
      <c r="R174" s="63">
        <f>IF(NOT((COUNTA($B174:$D174)+COUNTA($G174:$L174)+COUNTA($Q174))&gt;0),"",IF((IF($C174="","Falta el nombre de la actividad"&amp;" · ","")&amp;IF(AND($V174="Sub",N($U174)=0),"Subactividad sin macroactividad arriba"&amp;" · ","")&amp;IF($AM174="","Sin fecha de inicio"&amp;" · ","")&amp;IF($AN174="","Sin fecha límite"&amp;" · ","")&amp;IF(AND(LEFT($C174,11)="[Jefatura] ",N($AL174)=0),"No se encuentra en la hoja de la jefatura (elíjala de nuevo en la lista)"&amp;" · ","")&amp;IF(OR(AND($E174&lt;&gt;"",NOT(ISNUMBER($E174))),AND($F174&lt;&gt;"",NOT(ISNUMBER($F174))),AND($G174&lt;&gt;"",NOT(ISNUMBER($G174)))),"Fecha no válida"&amp;" · ","")&amp;IF(AND(ISNUMBER($AM174),ISNUMBER($AN174),$AM174&gt;$AN174),"Inicio posterior a fecha límite"&amp;" · ","")&amp;IF(AND($V174="Macro",$H174&lt;&gt;"",OR(NOT(ISNUMBER($H174)),$H174&lt;0,$H174&gt;1)),"Peso fuera de rango"&amp;" · ","")&amp;IF(AND($V174="Sub",$H174&lt;&gt;""),"Las subactividades no llevan peso (valen igual dentro de su macroactividad)"&amp;" · ","")&amp;IF(AND(N($W174)&gt;0,COUNT($I174:$L174)&gt;0),"Con subactividades: deje vacías las semanas (se calculan solas)"&amp;" · ","")&amp;IF((COUNTIF($I174:$L174,"&gt;1")+COUNTIF($I174:$L174,"&lt;0")+COUNTA($I174:$L174)-COUNT($I174:$L174))&gt;0,"Avance fuera de rango 0-100%"&amp;" · ","")&amp;IF(OR(AND($J174&lt;&gt;"",$J174&lt;$I174),AND($K174&lt;&gt;"",$K174&lt;MAX($I174:$J174)),AND($L174&lt;&gt;"",$L174&lt;MAX($I174:$K174))),"Avance semanal decreciente"&amp;" · ","")&amp;IF(AND(ISNUMBER($AN174),$AN174&lt;FechaRef,IF($V174="Sub",N($X174),N($M174))&lt;1),"Vencida"&amp;" · ","")&amp;IF(AND(ObsObligatoria="Sí",ISNUMBER($AN174),$AN174&lt;FechaRef,IF($V174="Sub",N($X174),N($M174))&lt;1,$Q174=""),"Vencida sin observación"&amp;" · ",""))="","✔ OK","⚠ "&amp;LEFT(IF($C174="","Falta el nombre de la actividad"&amp;" · ","")&amp;IF(AND($V174="Sub",N($U174)=0),"Subactividad sin macroactividad arriba"&amp;" · ","")&amp;IF($AM174="","Sin fecha de inicio"&amp;" · ","")&amp;IF($AN174="","Sin fecha límite"&amp;" · ","")&amp;IF(AND(LEFT($C174,11)="[Jefatura] ",N($AL174)=0),"No se encuentra en la hoja de la jefatura (elíjala de nuevo en la lista)"&amp;" · ","")&amp;IF(OR(AND($E174&lt;&gt;"",NOT(ISNUMBER($E174))),AND($F174&lt;&gt;"",NOT(ISNUMBER($F174))),AND($G174&lt;&gt;"",NOT(ISNUMBER($G174)))),"Fecha no válida"&amp;" · ","")&amp;IF(AND(ISNUMBER($AM174),ISNUMBER($AN174),$AM174&gt;$AN174),"Inicio posterior a fecha límite"&amp;" · ","")&amp;IF(AND($V174="Macro",$H174&lt;&gt;"",OR(NOT(ISNUMBER($H174)),$H174&lt;0,$H174&gt;1)),"Peso fuera de rango"&amp;" · ","")&amp;IF(AND($V174="Sub",$H174&lt;&gt;""),"Las subactividades no llevan peso (valen igual dentro de su macroactividad)"&amp;" · ","")&amp;IF(AND(N($W174)&gt;0,COUNT($I174:$L174)&gt;0),"Con subactividades: deje vacías las semanas (se calculan solas)"&amp;" · ","")&amp;IF((COUNTIF($I174:$L174,"&gt;1")+COUNTIF($I174:$L174,"&lt;0")+COUNTA($I174:$L174)-COUNT($I174:$L174))&gt;0,"Avance fuera de rango 0-100%"&amp;" · ","")&amp;IF(OR(AND($J174&lt;&gt;"",$J174&lt;$I174),AND($K174&lt;&gt;"",$K174&lt;MAX($I174:$J174)),AND($L174&lt;&gt;"",$L174&lt;MAX($I174:$K174))),"Avance semanal decreciente"&amp;" · ","")&amp;IF(AND(ISNUMBER($AN174),$AN174&lt;FechaRef,IF($V174="Sub",N($X174),N($M174))&lt;1),"Vencida"&amp;" · ","")&amp;IF(AND(ObsObligatoria="Sí",ISNUMBER($AN174),$AN174&lt;FechaRef,IF($V174="Sub",N($X174),N($M174))&lt;1,$Q174=""),"Vencida sin observación"&amp;" · ",""),LEN(IF($C174="","Falta el nombre de la actividad"&amp;" · ","")&amp;IF(AND($V174="Sub",N($U174)=0),"Subactividad sin macroactividad arriba"&amp;" · ","")&amp;IF($AM174="","Sin fecha de inicio"&amp;" · ","")&amp;IF($AN174="","Sin fecha límite"&amp;" · ","")&amp;IF(AND(LEFT($C174,11)="[Jefatura] ",N($AL174)=0),"No se encuentra en la hoja de la jefatura (elíjala de nuevo en la lista)"&amp;" · ","")&amp;IF(OR(AND($E174&lt;&gt;"",NOT(ISNUMBER($E174))),AND($F174&lt;&gt;"",NOT(ISNUMBER($F174))),AND($G174&lt;&gt;"",NOT(ISNUMBER($G174)))),"Fecha no válida"&amp;" · ","")&amp;IF(AND(ISNUMBER($AM174),ISNUMBER($AN174),$AM174&gt;$AN174),"Inicio posterior a fecha límite"&amp;" · ","")&amp;IF(AND($V174="Macro",$H174&lt;&gt;"",OR(NOT(ISNUMBER($H174)),$H174&lt;0,$H174&gt;1)),"Peso fuera de rango"&amp;" · ","")&amp;IF(AND($V174="Sub",$H174&lt;&gt;""),"Las subactividades no llevan peso (valen igual dentro de su macroactividad)"&amp;" · ","")&amp;IF(AND(N($W174)&gt;0,COUNT($I174:$L174)&gt;0),"Con subactividades: deje vacías las semanas (se calculan solas)"&amp;" · ","")&amp;IF((COUNTIF($I174:$L174,"&gt;1")+COUNTIF($I174:$L174,"&lt;0")+COUNTA($I174:$L174)-COUNT($I174:$L174))&gt;0,"Avance fuera de rango 0-100%"&amp;" · ","")&amp;IF(OR(AND($J174&lt;&gt;"",$J174&lt;$I174),AND($K174&lt;&gt;"",$K174&lt;MAX($I174:$J174)),AND($L174&lt;&gt;"",$L174&lt;MAX($I174:$K174))),"Avance semanal decreciente"&amp;" · ","")&amp;IF(AND(ISNUMBER($AN174),$AN174&lt;FechaRef,IF($V174="Sub",N($X174),N($M174))&lt;1),"Vencida"&amp;" · ","")&amp;IF(AND(ObsObligatoria="Sí",ISNUMBER($AN174),$AN174&lt;FechaRef,IF($V174="Sub",N($X174),N($M174))&lt;1,$Q174=""),"Vencida sin observación"&amp;" · ",""))-3)))</f>
        <v/>
      </c>
      <c r="S174" s="64">
        <f>IF(NOT((COUNTA($B174:$D174)+COUNTA($G174:$L174)+COUNTA($Q174))&gt;0),"",IF(AND($V174="Sub",N($U174)&gt;0),IF(ISNUMBER(INDEX($AM$5:$AM$1000,$U174-4)),DATE(YEAR(INDEX($AM$5:$AM$1000,$U174-4)),MONTH(INDEX($AM$5:$AM$1000,$U174-4)),1),IF(ISNUMBER(INDEX($AN$5:$AN$1000,$U174-4)),DATE(YEAR(INDEX($AN$5:$AN$1000,$U174-4)),MONTH(INDEX($AN$5:$AN$1000,$U174-4)),1),MesCiclo)),IF(ISNUMBER($AM174),DATE(YEAR($AM174),MONTH($AM174),1),IF(ISNUMBER($AN174),DATE(YEAR($AN174),MONTH($AN174),1),MesCiclo))))</f>
        <v/>
      </c>
      <c r="T174" s="62">
        <f>IF(OR($S174="",$S174&lt;&gt;MesCiclo,$V174&lt;&gt;"Macro"),"",COUNTIFS($S$5:$S174,MesCiclo,$V$5:$V174,"Macro"))</f>
        <v/>
      </c>
      <c r="U174" s="62">
        <f>IF($V174="","",IF($V174="Macro",ROW(),IFERROR(LOOKUP(2,1/($V$5:$V174="Macro"),ROW($V$5:$V174)),0)))</f>
        <v/>
      </c>
      <c r="V174" s="62">
        <f>IF(NOT((COUNTA($B174:$D174)+COUNTA($G174:$L174)+COUNTA($Q174))&gt;0),"",IF($B174="Subactividad","Sub","Macro"))</f>
        <v/>
      </c>
      <c r="W174" s="62">
        <f>IF($V174="Macro",COUNTIFS($U$5:$U$1000,ROW(),$V$5:$V$1000,"Sub"),"")</f>
        <v/>
      </c>
      <c r="X174" s="62">
        <f>IF($V174="","",IF(ISNUMBER($G174),1,IFERROR(LOOKUP(2,1/($I174:$L174&lt;&gt;""),$I174:$L174),0)))</f>
        <v/>
      </c>
      <c r="Y174" s="62">
        <f>IF($V174="","",IF(AND(ISNUMBER($G174),$G174&lt;=IF($S174=MesCiclo,InicioCiclo,$S174+MOD(2-WEEKDAY($S174),7))+6),1,IF(ISNUMBER($I174),$I174,0)))</f>
        <v/>
      </c>
      <c r="Z174" s="62">
        <f>IF($V174="","",IF(AND(ISNUMBER($G174),$G174&lt;=IF($S174=MesCiclo,InicioCiclo,$S174+MOD(2-WEEKDAY($S174),7))+13),1,IF(ISNUMBER($J174),$J174,$Y174)))</f>
        <v/>
      </c>
      <c r="AA174" s="62">
        <f>IF($V174="","",IF(AND(ISNUMBER($G174),$G174&lt;=IF($S174=MesCiclo,InicioCiclo,$S174+MOD(2-WEEKDAY($S174),7))+20),1,IF(ISNUMBER($K174),$K174,$Z174)))</f>
        <v/>
      </c>
      <c r="AB174" s="62">
        <f>IF($V174="","",IF(AND(ISNUMBER($G174),$G174&lt;=IF($S174=MesCiclo,InicioCiclo,$S174+MOD(2-WEEKDAY($S174),7))+27),1,IF(ISNUMBER($L174),$L174,$AA174)))</f>
        <v/>
      </c>
      <c r="AC174" s="62">
        <f>IF($V174="","",IF(AND(ISNUMBER($G174),$G174&lt;=IF($S174=MesCiclo,InicioCiclo,$S174+MOD(2-WEEKDAY($S174),7))+6),1,IF(N($W174)&gt;0,AVERAGEIFS($Y$5:$Y$1000,$U$5:$U$1000,ROW(),$V$5:$V$1000,"Sub"),$Y174)))</f>
        <v/>
      </c>
      <c r="AD174" s="62">
        <f>IF($V174="","",IF(AND(ISNUMBER($G174),$G174&lt;=IF($S174=MesCiclo,InicioCiclo,$S174+MOD(2-WEEKDAY($S174),7))+13),1,IF(N($W174)&gt;0,AVERAGEIFS($Z$5:$Z$1000,$U$5:$U$1000,ROW(),$V$5:$V$1000,"Sub"),$Z174)))</f>
        <v/>
      </c>
      <c r="AE174" s="62">
        <f>IF($V174="","",IF(AND(ISNUMBER($G174),$G174&lt;=IF($S174=MesCiclo,InicioCiclo,$S174+MOD(2-WEEKDAY($S174),7))+20),1,IF(N($W174)&gt;0,AVERAGEIFS($AA$5:$AA$1000,$U$5:$U$1000,ROW(),$V$5:$V$1000,"Sub"),$AA174)))</f>
        <v/>
      </c>
      <c r="AF174" s="62">
        <f>IF($V174="","",IF(AND(ISNUMBER($G174),$G174&lt;=IF($S174=MesCiclo,InicioCiclo,$S174+MOD(2-WEEKDAY($S174),7))+27),1,IF(N($W174)&gt;0,AVERAGEIFS($AB$5:$AB$1000,$U$5:$U$1000,ROW(),$V$5:$V$1000,"Sub"),$AB174)))</f>
        <v/>
      </c>
      <c r="AG174" s="62">
        <f>IF($V174&lt;&gt;"Macro","",IF(COUNTIFS($S$5:$S$1000,$S174,$V$5:$V$1000,"Macro",$H$5:$H$1000,"&gt;0")=0,1/COUNTIFS($S$5:$S$1000,$S174,$V$5:$V$1000,"Macro"),IF(AND(ISNUMBER($H174),N($H174)&gt;0),$H174,SUMIFS($H$5:$H$1000,$S$5:$S$1000,$S174,$V$5:$V$1000,"Macro")/COUNTIFS($S$5:$S$1000,$S174,$V$5:$V$1000,"Macro",$H$5:$H$1000,"&gt;0"))/(COUNTIFS($S$5:$S$1000,$S174,$V$5:$V$1000,"Macro")*SUMIFS($H$5:$H$1000,$S$5:$S$1000,$S174,$V$5:$V$1000,"Macro")/COUNTIFS($S$5:$S$1000,$S174,$V$5:$V$1000,"Macro",$H$5:$H$1000,"&gt;0"))))</f>
        <v/>
      </c>
      <c r="AH174" s="62" t="n"/>
      <c r="AI174" s="62" t="n"/>
      <c r="AJ174" s="62" t="n"/>
      <c r="AK174" s="62" t="n"/>
      <c r="AL174" s="62">
        <f>IF(LEFT($C174,11)="[Jefatura] ",IFERROR(MATCH("Riesgo Financiero|"&amp;MID($C174,12,500),rDname_ADM,0),0),"")</f>
        <v/>
      </c>
      <c r="AM174" s="62">
        <f>IF(N($AL174)&gt;0,INDEX(rIni_ADM,$AL174),IF(ISNUMBER($E174),$E174,""))</f>
        <v/>
      </c>
      <c r="AN174" s="62">
        <f>IF(N($AL174)&gt;0,INDEX(rLim_ADM,$AL174),IF(ISNUMBER($F174),$F174,""))</f>
        <v/>
      </c>
    </row>
    <row r="175">
      <c r="A175" s="56">
        <f>IF(NOT((COUNTA($B175:$D175)+COUNTA($G175:$L175)+COUNTA($Q175))&gt;0),"",IF($V175="Macro",COUNTIFS($V$5:$V175,"Macro",$S$5:$S175,$S175),IF(N($U175)=0,"?",COUNTIFS(INDEX($V$5:$V$1000,1):INDEX($V$5:$V$1000,$U175-4),"Macro",INDEX($S$5:$S$1000,1):INDEX($S$5:$S$1000,$U175-4),INDEX($S$5:$S$1000,$U175-4))&amp;"."&amp;COUNTIFS($U$5:$U175,$U175,$V$5:$V175,"Sub"))))</f>
        <v/>
      </c>
      <c r="B175" s="57" t="n"/>
      <c r="C175" s="58" t="n"/>
      <c r="D175" s="58" t="n"/>
      <c r="E175" s="59">
        <f>IF(N($AL175)&gt;0,INDEX(rIni_ADM,$AL175),"")</f>
        <v/>
      </c>
      <c r="F175" s="59">
        <f>IF(N($AL175)&gt;0,INDEX(rLim_ADM,$AL175),"")</f>
        <v/>
      </c>
      <c r="G175" s="59" t="n"/>
      <c r="H175" s="60" t="n"/>
      <c r="I175" s="60" t="n"/>
      <c r="J175" s="60" t="n"/>
      <c r="K175" s="60" t="n"/>
      <c r="L175" s="60" t="n"/>
      <c r="M175" s="61">
        <f>IF(NOT((COUNTA($B175:$D175)+COUNTA($G175:$L175)+COUNTA($Q175))&gt;0),"",IF($V175="Sub",IFERROR($X175/INDEX($W$5:$W$1000,$U175-4),""),IF(ISNUMBER($G175),1,IF(N($W175)&gt;0,AVERAGEIFS($X$5:$X$1000,$U$5:$U$1000,ROW(),$V$5:$V$1000,"Sub"),$X175))))</f>
        <v/>
      </c>
      <c r="N175" s="56">
        <f>IF(OR($M175="",$V175="Sub"),"",IF($M175&gt;=1,"Completado",IF($M175&gt;0,"En curso","Pendiente")))</f>
        <v/>
      </c>
      <c r="O175" s="56">
        <f>IF(OR(NOT((COUNTA($B175:$D175)+COUNTA($G175:$L175)+COUNTA($Q175))&gt;0),$V175="Sub"),"",IF(ISNUMBER($G175),IF(AND(ISNUMBER($AN175),$G175&gt;$AN175),"Cumplida con "&amp;($G175-$AN175)&amp;IF($G175-$AN175=1," día"," días")&amp;" de retraso","Cumplida"),IF(N($M175)&gt;=1,"Cumplida",IF(NOT(ISNUMBER($AN175)),"Sin fecha límite",IF($AN175&lt;FechaRef,"Vencida hace "&amp;(FechaRef-$AN175)&amp;IF(FechaRef-$AN175=1," día"," días"),IF($AN175=FechaRef,"Vence hoy",IF($AN175-FechaRef&lt;=DiasAlerta,"Vence en "&amp;($AN175-FechaRef)&amp;IF($AN175-FechaRef=1," día"," días"),"En plazo")))))))</f>
        <v/>
      </c>
      <c r="P175" s="62" t="n"/>
      <c r="Q175" s="58" t="n"/>
      <c r="R175" s="63">
        <f>IF(NOT((COUNTA($B175:$D175)+COUNTA($G175:$L175)+COUNTA($Q175))&gt;0),"",IF((IF($C175="","Falta el nombre de la actividad"&amp;" · ","")&amp;IF(AND($V175="Sub",N($U175)=0),"Subactividad sin macroactividad arriba"&amp;" · ","")&amp;IF($AM175="","Sin fecha de inicio"&amp;" · ","")&amp;IF($AN175="","Sin fecha límite"&amp;" · ","")&amp;IF(AND(LEFT($C175,11)="[Jefatura] ",N($AL175)=0),"No se encuentra en la hoja de la jefatura (elíjala de nuevo en la lista)"&amp;" · ","")&amp;IF(OR(AND($E175&lt;&gt;"",NOT(ISNUMBER($E175))),AND($F175&lt;&gt;"",NOT(ISNUMBER($F175))),AND($G175&lt;&gt;"",NOT(ISNUMBER($G175)))),"Fecha no válida"&amp;" · ","")&amp;IF(AND(ISNUMBER($AM175),ISNUMBER($AN175),$AM175&gt;$AN175),"Inicio posterior a fecha límite"&amp;" · ","")&amp;IF(AND($V175="Macro",$H175&lt;&gt;"",OR(NOT(ISNUMBER($H175)),$H175&lt;0,$H175&gt;1)),"Peso fuera de rango"&amp;" · ","")&amp;IF(AND($V175="Sub",$H175&lt;&gt;""),"Las subactividades no llevan peso (valen igual dentro de su macroactividad)"&amp;" · ","")&amp;IF(AND(N($W175)&gt;0,COUNT($I175:$L175)&gt;0),"Con subactividades: deje vacías las semanas (se calculan solas)"&amp;" · ","")&amp;IF((COUNTIF($I175:$L175,"&gt;1")+COUNTIF($I175:$L175,"&lt;0")+COUNTA($I175:$L175)-COUNT($I175:$L175))&gt;0,"Avance fuera de rango 0-100%"&amp;" · ","")&amp;IF(OR(AND($J175&lt;&gt;"",$J175&lt;$I175),AND($K175&lt;&gt;"",$K175&lt;MAX($I175:$J175)),AND($L175&lt;&gt;"",$L175&lt;MAX($I175:$K175))),"Avance semanal decreciente"&amp;" · ","")&amp;IF(AND(ISNUMBER($AN175),$AN175&lt;FechaRef,IF($V175="Sub",N($X175),N($M175))&lt;1),"Vencida"&amp;" · ","")&amp;IF(AND(ObsObligatoria="Sí",ISNUMBER($AN175),$AN175&lt;FechaRef,IF($V175="Sub",N($X175),N($M175))&lt;1,$Q175=""),"Vencida sin observación"&amp;" · ",""))="","✔ OK","⚠ "&amp;LEFT(IF($C175="","Falta el nombre de la actividad"&amp;" · ","")&amp;IF(AND($V175="Sub",N($U175)=0),"Subactividad sin macroactividad arriba"&amp;" · ","")&amp;IF($AM175="","Sin fecha de inicio"&amp;" · ","")&amp;IF($AN175="","Sin fecha límite"&amp;" · ","")&amp;IF(AND(LEFT($C175,11)="[Jefatura] ",N($AL175)=0),"No se encuentra en la hoja de la jefatura (elíjala de nuevo en la lista)"&amp;" · ","")&amp;IF(OR(AND($E175&lt;&gt;"",NOT(ISNUMBER($E175))),AND($F175&lt;&gt;"",NOT(ISNUMBER($F175))),AND($G175&lt;&gt;"",NOT(ISNUMBER($G175)))),"Fecha no válida"&amp;" · ","")&amp;IF(AND(ISNUMBER($AM175),ISNUMBER($AN175),$AM175&gt;$AN175),"Inicio posterior a fecha límite"&amp;" · ","")&amp;IF(AND($V175="Macro",$H175&lt;&gt;"",OR(NOT(ISNUMBER($H175)),$H175&lt;0,$H175&gt;1)),"Peso fuera de rango"&amp;" · ","")&amp;IF(AND($V175="Sub",$H175&lt;&gt;""),"Las subactividades no llevan peso (valen igual dentro de su macroactividad)"&amp;" · ","")&amp;IF(AND(N($W175)&gt;0,COUNT($I175:$L175)&gt;0),"Con subactividades: deje vacías las semanas (se calculan solas)"&amp;" · ","")&amp;IF((COUNTIF($I175:$L175,"&gt;1")+COUNTIF($I175:$L175,"&lt;0")+COUNTA($I175:$L175)-COUNT($I175:$L175))&gt;0,"Avance fuera de rango 0-100%"&amp;" · ","")&amp;IF(OR(AND($J175&lt;&gt;"",$J175&lt;$I175),AND($K175&lt;&gt;"",$K175&lt;MAX($I175:$J175)),AND($L175&lt;&gt;"",$L175&lt;MAX($I175:$K175))),"Avance semanal decreciente"&amp;" · ","")&amp;IF(AND(ISNUMBER($AN175),$AN175&lt;FechaRef,IF($V175="Sub",N($X175),N($M175))&lt;1),"Vencida"&amp;" · ","")&amp;IF(AND(ObsObligatoria="Sí",ISNUMBER($AN175),$AN175&lt;FechaRef,IF($V175="Sub",N($X175),N($M175))&lt;1,$Q175=""),"Vencida sin observación"&amp;" · ",""),LEN(IF($C175="","Falta el nombre de la actividad"&amp;" · ","")&amp;IF(AND($V175="Sub",N($U175)=0),"Subactividad sin macroactividad arriba"&amp;" · ","")&amp;IF($AM175="","Sin fecha de inicio"&amp;" · ","")&amp;IF($AN175="","Sin fecha límite"&amp;" · ","")&amp;IF(AND(LEFT($C175,11)="[Jefatura] ",N($AL175)=0),"No se encuentra en la hoja de la jefatura (elíjala de nuevo en la lista)"&amp;" · ","")&amp;IF(OR(AND($E175&lt;&gt;"",NOT(ISNUMBER($E175))),AND($F175&lt;&gt;"",NOT(ISNUMBER($F175))),AND($G175&lt;&gt;"",NOT(ISNUMBER($G175)))),"Fecha no válida"&amp;" · ","")&amp;IF(AND(ISNUMBER($AM175),ISNUMBER($AN175),$AM175&gt;$AN175),"Inicio posterior a fecha límite"&amp;" · ","")&amp;IF(AND($V175="Macro",$H175&lt;&gt;"",OR(NOT(ISNUMBER($H175)),$H175&lt;0,$H175&gt;1)),"Peso fuera de rango"&amp;" · ","")&amp;IF(AND($V175="Sub",$H175&lt;&gt;""),"Las subactividades no llevan peso (valen igual dentro de su macroactividad)"&amp;" · ","")&amp;IF(AND(N($W175)&gt;0,COUNT($I175:$L175)&gt;0),"Con subactividades: deje vacías las semanas (se calculan solas)"&amp;" · ","")&amp;IF((COUNTIF($I175:$L175,"&gt;1")+COUNTIF($I175:$L175,"&lt;0")+COUNTA($I175:$L175)-COUNT($I175:$L175))&gt;0,"Avance fuera de rango 0-100%"&amp;" · ","")&amp;IF(OR(AND($J175&lt;&gt;"",$J175&lt;$I175),AND($K175&lt;&gt;"",$K175&lt;MAX($I175:$J175)),AND($L175&lt;&gt;"",$L175&lt;MAX($I175:$K175))),"Avance semanal decreciente"&amp;" · ","")&amp;IF(AND(ISNUMBER($AN175),$AN175&lt;FechaRef,IF($V175="Sub",N($X175),N($M175))&lt;1),"Vencida"&amp;" · ","")&amp;IF(AND(ObsObligatoria="Sí",ISNUMBER($AN175),$AN175&lt;FechaRef,IF($V175="Sub",N($X175),N($M175))&lt;1,$Q175=""),"Vencida sin observación"&amp;" · ",""))-3)))</f>
        <v/>
      </c>
      <c r="S175" s="64">
        <f>IF(NOT((COUNTA($B175:$D175)+COUNTA($G175:$L175)+COUNTA($Q175))&gt;0),"",IF(AND($V175="Sub",N($U175)&gt;0),IF(ISNUMBER(INDEX($AM$5:$AM$1000,$U175-4)),DATE(YEAR(INDEX($AM$5:$AM$1000,$U175-4)),MONTH(INDEX($AM$5:$AM$1000,$U175-4)),1),IF(ISNUMBER(INDEX($AN$5:$AN$1000,$U175-4)),DATE(YEAR(INDEX($AN$5:$AN$1000,$U175-4)),MONTH(INDEX($AN$5:$AN$1000,$U175-4)),1),MesCiclo)),IF(ISNUMBER($AM175),DATE(YEAR($AM175),MONTH($AM175),1),IF(ISNUMBER($AN175),DATE(YEAR($AN175),MONTH($AN175),1),MesCiclo))))</f>
        <v/>
      </c>
      <c r="T175" s="62">
        <f>IF(OR($S175="",$S175&lt;&gt;MesCiclo,$V175&lt;&gt;"Macro"),"",COUNTIFS($S$5:$S175,MesCiclo,$V$5:$V175,"Macro"))</f>
        <v/>
      </c>
      <c r="U175" s="62">
        <f>IF($V175="","",IF($V175="Macro",ROW(),IFERROR(LOOKUP(2,1/($V$5:$V175="Macro"),ROW($V$5:$V175)),0)))</f>
        <v/>
      </c>
      <c r="V175" s="62">
        <f>IF(NOT((COUNTA($B175:$D175)+COUNTA($G175:$L175)+COUNTA($Q175))&gt;0),"",IF($B175="Subactividad","Sub","Macro"))</f>
        <v/>
      </c>
      <c r="W175" s="62">
        <f>IF($V175="Macro",COUNTIFS($U$5:$U$1000,ROW(),$V$5:$V$1000,"Sub"),"")</f>
        <v/>
      </c>
      <c r="X175" s="62">
        <f>IF($V175="","",IF(ISNUMBER($G175),1,IFERROR(LOOKUP(2,1/($I175:$L175&lt;&gt;""),$I175:$L175),0)))</f>
        <v/>
      </c>
      <c r="Y175" s="62">
        <f>IF($V175="","",IF(AND(ISNUMBER($G175),$G175&lt;=IF($S175=MesCiclo,InicioCiclo,$S175+MOD(2-WEEKDAY($S175),7))+6),1,IF(ISNUMBER($I175),$I175,0)))</f>
        <v/>
      </c>
      <c r="Z175" s="62">
        <f>IF($V175="","",IF(AND(ISNUMBER($G175),$G175&lt;=IF($S175=MesCiclo,InicioCiclo,$S175+MOD(2-WEEKDAY($S175),7))+13),1,IF(ISNUMBER($J175),$J175,$Y175)))</f>
        <v/>
      </c>
      <c r="AA175" s="62">
        <f>IF($V175="","",IF(AND(ISNUMBER($G175),$G175&lt;=IF($S175=MesCiclo,InicioCiclo,$S175+MOD(2-WEEKDAY($S175),7))+20),1,IF(ISNUMBER($K175),$K175,$Z175)))</f>
        <v/>
      </c>
      <c r="AB175" s="62">
        <f>IF($V175="","",IF(AND(ISNUMBER($G175),$G175&lt;=IF($S175=MesCiclo,InicioCiclo,$S175+MOD(2-WEEKDAY($S175),7))+27),1,IF(ISNUMBER($L175),$L175,$AA175)))</f>
        <v/>
      </c>
      <c r="AC175" s="62">
        <f>IF($V175="","",IF(AND(ISNUMBER($G175),$G175&lt;=IF($S175=MesCiclo,InicioCiclo,$S175+MOD(2-WEEKDAY($S175),7))+6),1,IF(N($W175)&gt;0,AVERAGEIFS($Y$5:$Y$1000,$U$5:$U$1000,ROW(),$V$5:$V$1000,"Sub"),$Y175)))</f>
        <v/>
      </c>
      <c r="AD175" s="62">
        <f>IF($V175="","",IF(AND(ISNUMBER($G175),$G175&lt;=IF($S175=MesCiclo,InicioCiclo,$S175+MOD(2-WEEKDAY($S175),7))+13),1,IF(N($W175)&gt;0,AVERAGEIFS($Z$5:$Z$1000,$U$5:$U$1000,ROW(),$V$5:$V$1000,"Sub"),$Z175)))</f>
        <v/>
      </c>
      <c r="AE175" s="62">
        <f>IF($V175="","",IF(AND(ISNUMBER($G175),$G175&lt;=IF($S175=MesCiclo,InicioCiclo,$S175+MOD(2-WEEKDAY($S175),7))+20),1,IF(N($W175)&gt;0,AVERAGEIFS($AA$5:$AA$1000,$U$5:$U$1000,ROW(),$V$5:$V$1000,"Sub"),$AA175)))</f>
        <v/>
      </c>
      <c r="AF175" s="62">
        <f>IF($V175="","",IF(AND(ISNUMBER($G175),$G175&lt;=IF($S175=MesCiclo,InicioCiclo,$S175+MOD(2-WEEKDAY($S175),7))+27),1,IF(N($W175)&gt;0,AVERAGEIFS($AB$5:$AB$1000,$U$5:$U$1000,ROW(),$V$5:$V$1000,"Sub"),$AB175)))</f>
        <v/>
      </c>
      <c r="AG175" s="62">
        <f>IF($V175&lt;&gt;"Macro","",IF(COUNTIFS($S$5:$S$1000,$S175,$V$5:$V$1000,"Macro",$H$5:$H$1000,"&gt;0")=0,1/COUNTIFS($S$5:$S$1000,$S175,$V$5:$V$1000,"Macro"),IF(AND(ISNUMBER($H175),N($H175)&gt;0),$H175,SUMIFS($H$5:$H$1000,$S$5:$S$1000,$S175,$V$5:$V$1000,"Macro")/COUNTIFS($S$5:$S$1000,$S175,$V$5:$V$1000,"Macro",$H$5:$H$1000,"&gt;0"))/(COUNTIFS($S$5:$S$1000,$S175,$V$5:$V$1000,"Macro")*SUMIFS($H$5:$H$1000,$S$5:$S$1000,$S175,$V$5:$V$1000,"Macro")/COUNTIFS($S$5:$S$1000,$S175,$V$5:$V$1000,"Macro",$H$5:$H$1000,"&gt;0"))))</f>
        <v/>
      </c>
      <c r="AH175" s="62" t="n"/>
      <c r="AI175" s="62" t="n"/>
      <c r="AJ175" s="62" t="n"/>
      <c r="AK175" s="62" t="n"/>
      <c r="AL175" s="62">
        <f>IF(LEFT($C175,11)="[Jefatura] ",IFERROR(MATCH("Riesgo Financiero|"&amp;MID($C175,12,500),rDname_ADM,0),0),"")</f>
        <v/>
      </c>
      <c r="AM175" s="62">
        <f>IF(N($AL175)&gt;0,INDEX(rIni_ADM,$AL175),IF(ISNUMBER($E175),$E175,""))</f>
        <v/>
      </c>
      <c r="AN175" s="62">
        <f>IF(N($AL175)&gt;0,INDEX(rLim_ADM,$AL175),IF(ISNUMBER($F175),$F175,""))</f>
        <v/>
      </c>
    </row>
    <row r="176">
      <c r="A176" s="56">
        <f>IF(NOT((COUNTA($B176:$D176)+COUNTA($G176:$L176)+COUNTA($Q176))&gt;0),"",IF($V176="Macro",COUNTIFS($V$5:$V176,"Macro",$S$5:$S176,$S176),IF(N($U176)=0,"?",COUNTIFS(INDEX($V$5:$V$1000,1):INDEX($V$5:$V$1000,$U176-4),"Macro",INDEX($S$5:$S$1000,1):INDEX($S$5:$S$1000,$U176-4),INDEX($S$5:$S$1000,$U176-4))&amp;"."&amp;COUNTIFS($U$5:$U176,$U176,$V$5:$V176,"Sub"))))</f>
        <v/>
      </c>
      <c r="B176" s="57" t="n"/>
      <c r="C176" s="58" t="n"/>
      <c r="D176" s="58" t="n"/>
      <c r="E176" s="59">
        <f>IF(N($AL176)&gt;0,INDEX(rIni_ADM,$AL176),"")</f>
        <v/>
      </c>
      <c r="F176" s="59">
        <f>IF(N($AL176)&gt;0,INDEX(rLim_ADM,$AL176),"")</f>
        <v/>
      </c>
      <c r="G176" s="59" t="n"/>
      <c r="H176" s="60" t="n"/>
      <c r="I176" s="60" t="n"/>
      <c r="J176" s="60" t="n"/>
      <c r="K176" s="60" t="n"/>
      <c r="L176" s="60" t="n"/>
      <c r="M176" s="61">
        <f>IF(NOT((COUNTA($B176:$D176)+COUNTA($G176:$L176)+COUNTA($Q176))&gt;0),"",IF($V176="Sub",IFERROR($X176/INDEX($W$5:$W$1000,$U176-4),""),IF(ISNUMBER($G176),1,IF(N($W176)&gt;0,AVERAGEIFS($X$5:$X$1000,$U$5:$U$1000,ROW(),$V$5:$V$1000,"Sub"),$X176))))</f>
        <v/>
      </c>
      <c r="N176" s="56">
        <f>IF(OR($M176="",$V176="Sub"),"",IF($M176&gt;=1,"Completado",IF($M176&gt;0,"En curso","Pendiente")))</f>
        <v/>
      </c>
      <c r="O176" s="56">
        <f>IF(OR(NOT((COUNTA($B176:$D176)+COUNTA($G176:$L176)+COUNTA($Q176))&gt;0),$V176="Sub"),"",IF(ISNUMBER($G176),IF(AND(ISNUMBER($AN176),$G176&gt;$AN176),"Cumplida con "&amp;($G176-$AN176)&amp;IF($G176-$AN176=1," día"," días")&amp;" de retraso","Cumplida"),IF(N($M176)&gt;=1,"Cumplida",IF(NOT(ISNUMBER($AN176)),"Sin fecha límite",IF($AN176&lt;FechaRef,"Vencida hace "&amp;(FechaRef-$AN176)&amp;IF(FechaRef-$AN176=1," día"," días"),IF($AN176=FechaRef,"Vence hoy",IF($AN176-FechaRef&lt;=DiasAlerta,"Vence en "&amp;($AN176-FechaRef)&amp;IF($AN176-FechaRef=1," día"," días"),"En plazo")))))))</f>
        <v/>
      </c>
      <c r="P176" s="62" t="n"/>
      <c r="Q176" s="58" t="n"/>
      <c r="R176" s="63">
        <f>IF(NOT((COUNTA($B176:$D176)+COUNTA($G176:$L176)+COUNTA($Q176))&gt;0),"",IF((IF($C176="","Falta el nombre de la actividad"&amp;" · ","")&amp;IF(AND($V176="Sub",N($U176)=0),"Subactividad sin macroactividad arriba"&amp;" · ","")&amp;IF($AM176="","Sin fecha de inicio"&amp;" · ","")&amp;IF($AN176="","Sin fecha límite"&amp;" · ","")&amp;IF(AND(LEFT($C176,11)="[Jefatura] ",N($AL176)=0),"No se encuentra en la hoja de la jefatura (elíjala de nuevo en la lista)"&amp;" · ","")&amp;IF(OR(AND($E176&lt;&gt;"",NOT(ISNUMBER($E176))),AND($F176&lt;&gt;"",NOT(ISNUMBER($F176))),AND($G176&lt;&gt;"",NOT(ISNUMBER($G176)))),"Fecha no válida"&amp;" · ","")&amp;IF(AND(ISNUMBER($AM176),ISNUMBER($AN176),$AM176&gt;$AN176),"Inicio posterior a fecha límite"&amp;" · ","")&amp;IF(AND($V176="Macro",$H176&lt;&gt;"",OR(NOT(ISNUMBER($H176)),$H176&lt;0,$H176&gt;1)),"Peso fuera de rango"&amp;" · ","")&amp;IF(AND($V176="Sub",$H176&lt;&gt;""),"Las subactividades no llevan peso (valen igual dentro de su macroactividad)"&amp;" · ","")&amp;IF(AND(N($W176)&gt;0,COUNT($I176:$L176)&gt;0),"Con subactividades: deje vacías las semanas (se calculan solas)"&amp;" · ","")&amp;IF((COUNTIF($I176:$L176,"&gt;1")+COUNTIF($I176:$L176,"&lt;0")+COUNTA($I176:$L176)-COUNT($I176:$L176))&gt;0,"Avance fuera de rango 0-100%"&amp;" · ","")&amp;IF(OR(AND($J176&lt;&gt;"",$J176&lt;$I176),AND($K176&lt;&gt;"",$K176&lt;MAX($I176:$J176)),AND($L176&lt;&gt;"",$L176&lt;MAX($I176:$K176))),"Avance semanal decreciente"&amp;" · ","")&amp;IF(AND(ISNUMBER($AN176),$AN176&lt;FechaRef,IF($V176="Sub",N($X176),N($M176))&lt;1),"Vencida"&amp;" · ","")&amp;IF(AND(ObsObligatoria="Sí",ISNUMBER($AN176),$AN176&lt;FechaRef,IF($V176="Sub",N($X176),N($M176))&lt;1,$Q176=""),"Vencida sin observación"&amp;" · ",""))="","✔ OK","⚠ "&amp;LEFT(IF($C176="","Falta el nombre de la actividad"&amp;" · ","")&amp;IF(AND($V176="Sub",N($U176)=0),"Subactividad sin macroactividad arriba"&amp;" · ","")&amp;IF($AM176="","Sin fecha de inicio"&amp;" · ","")&amp;IF($AN176="","Sin fecha límite"&amp;" · ","")&amp;IF(AND(LEFT($C176,11)="[Jefatura] ",N($AL176)=0),"No se encuentra en la hoja de la jefatura (elíjala de nuevo en la lista)"&amp;" · ","")&amp;IF(OR(AND($E176&lt;&gt;"",NOT(ISNUMBER($E176))),AND($F176&lt;&gt;"",NOT(ISNUMBER($F176))),AND($G176&lt;&gt;"",NOT(ISNUMBER($G176)))),"Fecha no válida"&amp;" · ","")&amp;IF(AND(ISNUMBER($AM176),ISNUMBER($AN176),$AM176&gt;$AN176),"Inicio posterior a fecha límite"&amp;" · ","")&amp;IF(AND($V176="Macro",$H176&lt;&gt;"",OR(NOT(ISNUMBER($H176)),$H176&lt;0,$H176&gt;1)),"Peso fuera de rango"&amp;" · ","")&amp;IF(AND($V176="Sub",$H176&lt;&gt;""),"Las subactividades no llevan peso (valen igual dentro de su macroactividad)"&amp;" · ","")&amp;IF(AND(N($W176)&gt;0,COUNT($I176:$L176)&gt;0),"Con subactividades: deje vacías las semanas (se calculan solas)"&amp;" · ","")&amp;IF((COUNTIF($I176:$L176,"&gt;1")+COUNTIF($I176:$L176,"&lt;0")+COUNTA($I176:$L176)-COUNT($I176:$L176))&gt;0,"Avance fuera de rango 0-100%"&amp;" · ","")&amp;IF(OR(AND($J176&lt;&gt;"",$J176&lt;$I176),AND($K176&lt;&gt;"",$K176&lt;MAX($I176:$J176)),AND($L176&lt;&gt;"",$L176&lt;MAX($I176:$K176))),"Avance semanal decreciente"&amp;" · ","")&amp;IF(AND(ISNUMBER($AN176),$AN176&lt;FechaRef,IF($V176="Sub",N($X176),N($M176))&lt;1),"Vencida"&amp;" · ","")&amp;IF(AND(ObsObligatoria="Sí",ISNUMBER($AN176),$AN176&lt;FechaRef,IF($V176="Sub",N($X176),N($M176))&lt;1,$Q176=""),"Vencida sin observación"&amp;" · ",""),LEN(IF($C176="","Falta el nombre de la actividad"&amp;" · ","")&amp;IF(AND($V176="Sub",N($U176)=0),"Subactividad sin macroactividad arriba"&amp;" · ","")&amp;IF($AM176="","Sin fecha de inicio"&amp;" · ","")&amp;IF($AN176="","Sin fecha límite"&amp;" · ","")&amp;IF(AND(LEFT($C176,11)="[Jefatura] ",N($AL176)=0),"No se encuentra en la hoja de la jefatura (elíjala de nuevo en la lista)"&amp;" · ","")&amp;IF(OR(AND($E176&lt;&gt;"",NOT(ISNUMBER($E176))),AND($F176&lt;&gt;"",NOT(ISNUMBER($F176))),AND($G176&lt;&gt;"",NOT(ISNUMBER($G176)))),"Fecha no válida"&amp;" · ","")&amp;IF(AND(ISNUMBER($AM176),ISNUMBER($AN176),$AM176&gt;$AN176),"Inicio posterior a fecha límite"&amp;" · ","")&amp;IF(AND($V176="Macro",$H176&lt;&gt;"",OR(NOT(ISNUMBER($H176)),$H176&lt;0,$H176&gt;1)),"Peso fuera de rango"&amp;" · ","")&amp;IF(AND($V176="Sub",$H176&lt;&gt;""),"Las subactividades no llevan peso (valen igual dentro de su macroactividad)"&amp;" · ","")&amp;IF(AND(N($W176)&gt;0,COUNT($I176:$L176)&gt;0),"Con subactividades: deje vacías las semanas (se calculan solas)"&amp;" · ","")&amp;IF((COUNTIF($I176:$L176,"&gt;1")+COUNTIF($I176:$L176,"&lt;0")+COUNTA($I176:$L176)-COUNT($I176:$L176))&gt;0,"Avance fuera de rango 0-100%"&amp;" · ","")&amp;IF(OR(AND($J176&lt;&gt;"",$J176&lt;$I176),AND($K176&lt;&gt;"",$K176&lt;MAX($I176:$J176)),AND($L176&lt;&gt;"",$L176&lt;MAX($I176:$K176))),"Avance semanal decreciente"&amp;" · ","")&amp;IF(AND(ISNUMBER($AN176),$AN176&lt;FechaRef,IF($V176="Sub",N($X176),N($M176))&lt;1),"Vencida"&amp;" · ","")&amp;IF(AND(ObsObligatoria="Sí",ISNUMBER($AN176),$AN176&lt;FechaRef,IF($V176="Sub",N($X176),N($M176))&lt;1,$Q176=""),"Vencida sin observación"&amp;" · ",""))-3)))</f>
        <v/>
      </c>
      <c r="S176" s="64">
        <f>IF(NOT((COUNTA($B176:$D176)+COUNTA($G176:$L176)+COUNTA($Q176))&gt;0),"",IF(AND($V176="Sub",N($U176)&gt;0),IF(ISNUMBER(INDEX($AM$5:$AM$1000,$U176-4)),DATE(YEAR(INDEX($AM$5:$AM$1000,$U176-4)),MONTH(INDEX($AM$5:$AM$1000,$U176-4)),1),IF(ISNUMBER(INDEX($AN$5:$AN$1000,$U176-4)),DATE(YEAR(INDEX($AN$5:$AN$1000,$U176-4)),MONTH(INDEX($AN$5:$AN$1000,$U176-4)),1),MesCiclo)),IF(ISNUMBER($AM176),DATE(YEAR($AM176),MONTH($AM176),1),IF(ISNUMBER($AN176),DATE(YEAR($AN176),MONTH($AN176),1),MesCiclo))))</f>
        <v/>
      </c>
      <c r="T176" s="62">
        <f>IF(OR($S176="",$S176&lt;&gt;MesCiclo,$V176&lt;&gt;"Macro"),"",COUNTIFS($S$5:$S176,MesCiclo,$V$5:$V176,"Macro"))</f>
        <v/>
      </c>
      <c r="U176" s="62">
        <f>IF($V176="","",IF($V176="Macro",ROW(),IFERROR(LOOKUP(2,1/($V$5:$V176="Macro"),ROW($V$5:$V176)),0)))</f>
        <v/>
      </c>
      <c r="V176" s="62">
        <f>IF(NOT((COUNTA($B176:$D176)+COUNTA($G176:$L176)+COUNTA($Q176))&gt;0),"",IF($B176="Subactividad","Sub","Macro"))</f>
        <v/>
      </c>
      <c r="W176" s="62">
        <f>IF($V176="Macro",COUNTIFS($U$5:$U$1000,ROW(),$V$5:$V$1000,"Sub"),"")</f>
        <v/>
      </c>
      <c r="X176" s="62">
        <f>IF($V176="","",IF(ISNUMBER($G176),1,IFERROR(LOOKUP(2,1/($I176:$L176&lt;&gt;""),$I176:$L176),0)))</f>
        <v/>
      </c>
      <c r="Y176" s="62">
        <f>IF($V176="","",IF(AND(ISNUMBER($G176),$G176&lt;=IF($S176=MesCiclo,InicioCiclo,$S176+MOD(2-WEEKDAY($S176),7))+6),1,IF(ISNUMBER($I176),$I176,0)))</f>
        <v/>
      </c>
      <c r="Z176" s="62">
        <f>IF($V176="","",IF(AND(ISNUMBER($G176),$G176&lt;=IF($S176=MesCiclo,InicioCiclo,$S176+MOD(2-WEEKDAY($S176),7))+13),1,IF(ISNUMBER($J176),$J176,$Y176)))</f>
        <v/>
      </c>
      <c r="AA176" s="62">
        <f>IF($V176="","",IF(AND(ISNUMBER($G176),$G176&lt;=IF($S176=MesCiclo,InicioCiclo,$S176+MOD(2-WEEKDAY($S176),7))+20),1,IF(ISNUMBER($K176),$K176,$Z176)))</f>
        <v/>
      </c>
      <c r="AB176" s="62">
        <f>IF($V176="","",IF(AND(ISNUMBER($G176),$G176&lt;=IF($S176=MesCiclo,InicioCiclo,$S176+MOD(2-WEEKDAY($S176),7))+27),1,IF(ISNUMBER($L176),$L176,$AA176)))</f>
        <v/>
      </c>
      <c r="AC176" s="62">
        <f>IF($V176="","",IF(AND(ISNUMBER($G176),$G176&lt;=IF($S176=MesCiclo,InicioCiclo,$S176+MOD(2-WEEKDAY($S176),7))+6),1,IF(N($W176)&gt;0,AVERAGEIFS($Y$5:$Y$1000,$U$5:$U$1000,ROW(),$V$5:$V$1000,"Sub"),$Y176)))</f>
        <v/>
      </c>
      <c r="AD176" s="62">
        <f>IF($V176="","",IF(AND(ISNUMBER($G176),$G176&lt;=IF($S176=MesCiclo,InicioCiclo,$S176+MOD(2-WEEKDAY($S176),7))+13),1,IF(N($W176)&gt;0,AVERAGEIFS($Z$5:$Z$1000,$U$5:$U$1000,ROW(),$V$5:$V$1000,"Sub"),$Z176)))</f>
        <v/>
      </c>
      <c r="AE176" s="62">
        <f>IF($V176="","",IF(AND(ISNUMBER($G176),$G176&lt;=IF($S176=MesCiclo,InicioCiclo,$S176+MOD(2-WEEKDAY($S176),7))+20),1,IF(N($W176)&gt;0,AVERAGEIFS($AA$5:$AA$1000,$U$5:$U$1000,ROW(),$V$5:$V$1000,"Sub"),$AA176)))</f>
        <v/>
      </c>
      <c r="AF176" s="62">
        <f>IF($V176="","",IF(AND(ISNUMBER($G176),$G176&lt;=IF($S176=MesCiclo,InicioCiclo,$S176+MOD(2-WEEKDAY($S176),7))+27),1,IF(N($W176)&gt;0,AVERAGEIFS($AB$5:$AB$1000,$U$5:$U$1000,ROW(),$V$5:$V$1000,"Sub"),$AB176)))</f>
        <v/>
      </c>
      <c r="AG176" s="62">
        <f>IF($V176&lt;&gt;"Macro","",IF(COUNTIFS($S$5:$S$1000,$S176,$V$5:$V$1000,"Macro",$H$5:$H$1000,"&gt;0")=0,1/COUNTIFS($S$5:$S$1000,$S176,$V$5:$V$1000,"Macro"),IF(AND(ISNUMBER($H176),N($H176)&gt;0),$H176,SUMIFS($H$5:$H$1000,$S$5:$S$1000,$S176,$V$5:$V$1000,"Macro")/COUNTIFS($S$5:$S$1000,$S176,$V$5:$V$1000,"Macro",$H$5:$H$1000,"&gt;0"))/(COUNTIFS($S$5:$S$1000,$S176,$V$5:$V$1000,"Macro")*SUMIFS($H$5:$H$1000,$S$5:$S$1000,$S176,$V$5:$V$1000,"Macro")/COUNTIFS($S$5:$S$1000,$S176,$V$5:$V$1000,"Macro",$H$5:$H$1000,"&gt;0"))))</f>
        <v/>
      </c>
      <c r="AH176" s="62" t="n"/>
      <c r="AI176" s="62" t="n"/>
      <c r="AJ176" s="62" t="n"/>
      <c r="AK176" s="62" t="n"/>
      <c r="AL176" s="62">
        <f>IF(LEFT($C176,11)="[Jefatura] ",IFERROR(MATCH("Riesgo Financiero|"&amp;MID($C176,12,500),rDname_ADM,0),0),"")</f>
        <v/>
      </c>
      <c r="AM176" s="62">
        <f>IF(N($AL176)&gt;0,INDEX(rIni_ADM,$AL176),IF(ISNUMBER($E176),$E176,""))</f>
        <v/>
      </c>
      <c r="AN176" s="62">
        <f>IF(N($AL176)&gt;0,INDEX(rLim_ADM,$AL176),IF(ISNUMBER($F176),$F176,""))</f>
        <v/>
      </c>
    </row>
    <row r="177">
      <c r="A177" s="56">
        <f>IF(NOT((COUNTA($B177:$D177)+COUNTA($G177:$L177)+COUNTA($Q177))&gt;0),"",IF($V177="Macro",COUNTIFS($V$5:$V177,"Macro",$S$5:$S177,$S177),IF(N($U177)=0,"?",COUNTIFS(INDEX($V$5:$V$1000,1):INDEX($V$5:$V$1000,$U177-4),"Macro",INDEX($S$5:$S$1000,1):INDEX($S$5:$S$1000,$U177-4),INDEX($S$5:$S$1000,$U177-4))&amp;"."&amp;COUNTIFS($U$5:$U177,$U177,$V$5:$V177,"Sub"))))</f>
        <v/>
      </c>
      <c r="B177" s="57" t="n"/>
      <c r="C177" s="58" t="n"/>
      <c r="D177" s="58" t="n"/>
      <c r="E177" s="59">
        <f>IF(N($AL177)&gt;0,INDEX(rIni_ADM,$AL177),"")</f>
        <v/>
      </c>
      <c r="F177" s="59">
        <f>IF(N($AL177)&gt;0,INDEX(rLim_ADM,$AL177),"")</f>
        <v/>
      </c>
      <c r="G177" s="59" t="n"/>
      <c r="H177" s="60" t="n"/>
      <c r="I177" s="60" t="n"/>
      <c r="J177" s="60" t="n"/>
      <c r="K177" s="60" t="n"/>
      <c r="L177" s="60" t="n"/>
      <c r="M177" s="61">
        <f>IF(NOT((COUNTA($B177:$D177)+COUNTA($G177:$L177)+COUNTA($Q177))&gt;0),"",IF($V177="Sub",IFERROR($X177/INDEX($W$5:$W$1000,$U177-4),""),IF(ISNUMBER($G177),1,IF(N($W177)&gt;0,AVERAGEIFS($X$5:$X$1000,$U$5:$U$1000,ROW(),$V$5:$V$1000,"Sub"),$X177))))</f>
        <v/>
      </c>
      <c r="N177" s="56">
        <f>IF(OR($M177="",$V177="Sub"),"",IF($M177&gt;=1,"Completado",IF($M177&gt;0,"En curso","Pendiente")))</f>
        <v/>
      </c>
      <c r="O177" s="56">
        <f>IF(OR(NOT((COUNTA($B177:$D177)+COUNTA($G177:$L177)+COUNTA($Q177))&gt;0),$V177="Sub"),"",IF(ISNUMBER($G177),IF(AND(ISNUMBER($AN177),$G177&gt;$AN177),"Cumplida con "&amp;($G177-$AN177)&amp;IF($G177-$AN177=1," día"," días")&amp;" de retraso","Cumplida"),IF(N($M177)&gt;=1,"Cumplida",IF(NOT(ISNUMBER($AN177)),"Sin fecha límite",IF($AN177&lt;FechaRef,"Vencida hace "&amp;(FechaRef-$AN177)&amp;IF(FechaRef-$AN177=1," día"," días"),IF($AN177=FechaRef,"Vence hoy",IF($AN177-FechaRef&lt;=DiasAlerta,"Vence en "&amp;($AN177-FechaRef)&amp;IF($AN177-FechaRef=1," día"," días"),"En plazo")))))))</f>
        <v/>
      </c>
      <c r="P177" s="62" t="n"/>
      <c r="Q177" s="58" t="n"/>
      <c r="R177" s="63">
        <f>IF(NOT((COUNTA($B177:$D177)+COUNTA($G177:$L177)+COUNTA($Q177))&gt;0),"",IF((IF($C177="","Falta el nombre de la actividad"&amp;" · ","")&amp;IF(AND($V177="Sub",N($U177)=0),"Subactividad sin macroactividad arriba"&amp;" · ","")&amp;IF($AM177="","Sin fecha de inicio"&amp;" · ","")&amp;IF($AN177="","Sin fecha límite"&amp;" · ","")&amp;IF(AND(LEFT($C177,11)="[Jefatura] ",N($AL177)=0),"No se encuentra en la hoja de la jefatura (elíjala de nuevo en la lista)"&amp;" · ","")&amp;IF(OR(AND($E177&lt;&gt;"",NOT(ISNUMBER($E177))),AND($F177&lt;&gt;"",NOT(ISNUMBER($F177))),AND($G177&lt;&gt;"",NOT(ISNUMBER($G177)))),"Fecha no válida"&amp;" · ","")&amp;IF(AND(ISNUMBER($AM177),ISNUMBER($AN177),$AM177&gt;$AN177),"Inicio posterior a fecha límite"&amp;" · ","")&amp;IF(AND($V177="Macro",$H177&lt;&gt;"",OR(NOT(ISNUMBER($H177)),$H177&lt;0,$H177&gt;1)),"Peso fuera de rango"&amp;" · ","")&amp;IF(AND($V177="Sub",$H177&lt;&gt;""),"Las subactividades no llevan peso (valen igual dentro de su macroactividad)"&amp;" · ","")&amp;IF(AND(N($W177)&gt;0,COUNT($I177:$L177)&gt;0),"Con subactividades: deje vacías las semanas (se calculan solas)"&amp;" · ","")&amp;IF((COUNTIF($I177:$L177,"&gt;1")+COUNTIF($I177:$L177,"&lt;0")+COUNTA($I177:$L177)-COUNT($I177:$L177))&gt;0,"Avance fuera de rango 0-100%"&amp;" · ","")&amp;IF(OR(AND($J177&lt;&gt;"",$J177&lt;$I177),AND($K177&lt;&gt;"",$K177&lt;MAX($I177:$J177)),AND($L177&lt;&gt;"",$L177&lt;MAX($I177:$K177))),"Avance semanal decreciente"&amp;" · ","")&amp;IF(AND(ISNUMBER($AN177),$AN177&lt;FechaRef,IF($V177="Sub",N($X177),N($M177))&lt;1),"Vencida"&amp;" · ","")&amp;IF(AND(ObsObligatoria="Sí",ISNUMBER($AN177),$AN177&lt;FechaRef,IF($V177="Sub",N($X177),N($M177))&lt;1,$Q177=""),"Vencida sin observación"&amp;" · ",""))="","✔ OK","⚠ "&amp;LEFT(IF($C177="","Falta el nombre de la actividad"&amp;" · ","")&amp;IF(AND($V177="Sub",N($U177)=0),"Subactividad sin macroactividad arriba"&amp;" · ","")&amp;IF($AM177="","Sin fecha de inicio"&amp;" · ","")&amp;IF($AN177="","Sin fecha límite"&amp;" · ","")&amp;IF(AND(LEFT($C177,11)="[Jefatura] ",N($AL177)=0),"No se encuentra en la hoja de la jefatura (elíjala de nuevo en la lista)"&amp;" · ","")&amp;IF(OR(AND($E177&lt;&gt;"",NOT(ISNUMBER($E177))),AND($F177&lt;&gt;"",NOT(ISNUMBER($F177))),AND($G177&lt;&gt;"",NOT(ISNUMBER($G177)))),"Fecha no válida"&amp;" · ","")&amp;IF(AND(ISNUMBER($AM177),ISNUMBER($AN177),$AM177&gt;$AN177),"Inicio posterior a fecha límite"&amp;" · ","")&amp;IF(AND($V177="Macro",$H177&lt;&gt;"",OR(NOT(ISNUMBER($H177)),$H177&lt;0,$H177&gt;1)),"Peso fuera de rango"&amp;" · ","")&amp;IF(AND($V177="Sub",$H177&lt;&gt;""),"Las subactividades no llevan peso (valen igual dentro de su macroactividad)"&amp;" · ","")&amp;IF(AND(N($W177)&gt;0,COUNT($I177:$L177)&gt;0),"Con subactividades: deje vacías las semanas (se calculan solas)"&amp;" · ","")&amp;IF((COUNTIF($I177:$L177,"&gt;1")+COUNTIF($I177:$L177,"&lt;0")+COUNTA($I177:$L177)-COUNT($I177:$L177))&gt;0,"Avance fuera de rango 0-100%"&amp;" · ","")&amp;IF(OR(AND($J177&lt;&gt;"",$J177&lt;$I177),AND($K177&lt;&gt;"",$K177&lt;MAX($I177:$J177)),AND($L177&lt;&gt;"",$L177&lt;MAX($I177:$K177))),"Avance semanal decreciente"&amp;" · ","")&amp;IF(AND(ISNUMBER($AN177),$AN177&lt;FechaRef,IF($V177="Sub",N($X177),N($M177))&lt;1),"Vencida"&amp;" · ","")&amp;IF(AND(ObsObligatoria="Sí",ISNUMBER($AN177),$AN177&lt;FechaRef,IF($V177="Sub",N($X177),N($M177))&lt;1,$Q177=""),"Vencida sin observación"&amp;" · ",""),LEN(IF($C177="","Falta el nombre de la actividad"&amp;" · ","")&amp;IF(AND($V177="Sub",N($U177)=0),"Subactividad sin macroactividad arriba"&amp;" · ","")&amp;IF($AM177="","Sin fecha de inicio"&amp;" · ","")&amp;IF($AN177="","Sin fecha límite"&amp;" · ","")&amp;IF(AND(LEFT($C177,11)="[Jefatura] ",N($AL177)=0),"No se encuentra en la hoja de la jefatura (elíjala de nuevo en la lista)"&amp;" · ","")&amp;IF(OR(AND($E177&lt;&gt;"",NOT(ISNUMBER($E177))),AND($F177&lt;&gt;"",NOT(ISNUMBER($F177))),AND($G177&lt;&gt;"",NOT(ISNUMBER($G177)))),"Fecha no válida"&amp;" · ","")&amp;IF(AND(ISNUMBER($AM177),ISNUMBER($AN177),$AM177&gt;$AN177),"Inicio posterior a fecha límite"&amp;" · ","")&amp;IF(AND($V177="Macro",$H177&lt;&gt;"",OR(NOT(ISNUMBER($H177)),$H177&lt;0,$H177&gt;1)),"Peso fuera de rango"&amp;" · ","")&amp;IF(AND($V177="Sub",$H177&lt;&gt;""),"Las subactividades no llevan peso (valen igual dentro de su macroactividad)"&amp;" · ","")&amp;IF(AND(N($W177)&gt;0,COUNT($I177:$L177)&gt;0),"Con subactividades: deje vacías las semanas (se calculan solas)"&amp;" · ","")&amp;IF((COUNTIF($I177:$L177,"&gt;1")+COUNTIF($I177:$L177,"&lt;0")+COUNTA($I177:$L177)-COUNT($I177:$L177))&gt;0,"Avance fuera de rango 0-100%"&amp;" · ","")&amp;IF(OR(AND($J177&lt;&gt;"",$J177&lt;$I177),AND($K177&lt;&gt;"",$K177&lt;MAX($I177:$J177)),AND($L177&lt;&gt;"",$L177&lt;MAX($I177:$K177))),"Avance semanal decreciente"&amp;" · ","")&amp;IF(AND(ISNUMBER($AN177),$AN177&lt;FechaRef,IF($V177="Sub",N($X177),N($M177))&lt;1),"Vencida"&amp;" · ","")&amp;IF(AND(ObsObligatoria="Sí",ISNUMBER($AN177),$AN177&lt;FechaRef,IF($V177="Sub",N($X177),N($M177))&lt;1,$Q177=""),"Vencida sin observación"&amp;" · ",""))-3)))</f>
        <v/>
      </c>
      <c r="S177" s="64">
        <f>IF(NOT((COUNTA($B177:$D177)+COUNTA($G177:$L177)+COUNTA($Q177))&gt;0),"",IF(AND($V177="Sub",N($U177)&gt;0),IF(ISNUMBER(INDEX($AM$5:$AM$1000,$U177-4)),DATE(YEAR(INDEX($AM$5:$AM$1000,$U177-4)),MONTH(INDEX($AM$5:$AM$1000,$U177-4)),1),IF(ISNUMBER(INDEX($AN$5:$AN$1000,$U177-4)),DATE(YEAR(INDEX($AN$5:$AN$1000,$U177-4)),MONTH(INDEX($AN$5:$AN$1000,$U177-4)),1),MesCiclo)),IF(ISNUMBER($AM177),DATE(YEAR($AM177),MONTH($AM177),1),IF(ISNUMBER($AN177),DATE(YEAR($AN177),MONTH($AN177),1),MesCiclo))))</f>
        <v/>
      </c>
      <c r="T177" s="62">
        <f>IF(OR($S177="",$S177&lt;&gt;MesCiclo,$V177&lt;&gt;"Macro"),"",COUNTIFS($S$5:$S177,MesCiclo,$V$5:$V177,"Macro"))</f>
        <v/>
      </c>
      <c r="U177" s="62">
        <f>IF($V177="","",IF($V177="Macro",ROW(),IFERROR(LOOKUP(2,1/($V$5:$V177="Macro"),ROW($V$5:$V177)),0)))</f>
        <v/>
      </c>
      <c r="V177" s="62">
        <f>IF(NOT((COUNTA($B177:$D177)+COUNTA($G177:$L177)+COUNTA($Q177))&gt;0),"",IF($B177="Subactividad","Sub","Macro"))</f>
        <v/>
      </c>
      <c r="W177" s="62">
        <f>IF($V177="Macro",COUNTIFS($U$5:$U$1000,ROW(),$V$5:$V$1000,"Sub"),"")</f>
        <v/>
      </c>
      <c r="X177" s="62">
        <f>IF($V177="","",IF(ISNUMBER($G177),1,IFERROR(LOOKUP(2,1/($I177:$L177&lt;&gt;""),$I177:$L177),0)))</f>
        <v/>
      </c>
      <c r="Y177" s="62">
        <f>IF($V177="","",IF(AND(ISNUMBER($G177),$G177&lt;=IF($S177=MesCiclo,InicioCiclo,$S177+MOD(2-WEEKDAY($S177),7))+6),1,IF(ISNUMBER($I177),$I177,0)))</f>
        <v/>
      </c>
      <c r="Z177" s="62">
        <f>IF($V177="","",IF(AND(ISNUMBER($G177),$G177&lt;=IF($S177=MesCiclo,InicioCiclo,$S177+MOD(2-WEEKDAY($S177),7))+13),1,IF(ISNUMBER($J177),$J177,$Y177)))</f>
        <v/>
      </c>
      <c r="AA177" s="62">
        <f>IF($V177="","",IF(AND(ISNUMBER($G177),$G177&lt;=IF($S177=MesCiclo,InicioCiclo,$S177+MOD(2-WEEKDAY($S177),7))+20),1,IF(ISNUMBER($K177),$K177,$Z177)))</f>
        <v/>
      </c>
      <c r="AB177" s="62">
        <f>IF($V177="","",IF(AND(ISNUMBER($G177),$G177&lt;=IF($S177=MesCiclo,InicioCiclo,$S177+MOD(2-WEEKDAY($S177),7))+27),1,IF(ISNUMBER($L177),$L177,$AA177)))</f>
        <v/>
      </c>
      <c r="AC177" s="62">
        <f>IF($V177="","",IF(AND(ISNUMBER($G177),$G177&lt;=IF($S177=MesCiclo,InicioCiclo,$S177+MOD(2-WEEKDAY($S177),7))+6),1,IF(N($W177)&gt;0,AVERAGEIFS($Y$5:$Y$1000,$U$5:$U$1000,ROW(),$V$5:$V$1000,"Sub"),$Y177)))</f>
        <v/>
      </c>
      <c r="AD177" s="62">
        <f>IF($V177="","",IF(AND(ISNUMBER($G177),$G177&lt;=IF($S177=MesCiclo,InicioCiclo,$S177+MOD(2-WEEKDAY($S177),7))+13),1,IF(N($W177)&gt;0,AVERAGEIFS($Z$5:$Z$1000,$U$5:$U$1000,ROW(),$V$5:$V$1000,"Sub"),$Z177)))</f>
        <v/>
      </c>
      <c r="AE177" s="62">
        <f>IF($V177="","",IF(AND(ISNUMBER($G177),$G177&lt;=IF($S177=MesCiclo,InicioCiclo,$S177+MOD(2-WEEKDAY($S177),7))+20),1,IF(N($W177)&gt;0,AVERAGEIFS($AA$5:$AA$1000,$U$5:$U$1000,ROW(),$V$5:$V$1000,"Sub"),$AA177)))</f>
        <v/>
      </c>
      <c r="AF177" s="62">
        <f>IF($V177="","",IF(AND(ISNUMBER($G177),$G177&lt;=IF($S177=MesCiclo,InicioCiclo,$S177+MOD(2-WEEKDAY($S177),7))+27),1,IF(N($W177)&gt;0,AVERAGEIFS($AB$5:$AB$1000,$U$5:$U$1000,ROW(),$V$5:$V$1000,"Sub"),$AB177)))</f>
        <v/>
      </c>
      <c r="AG177" s="62">
        <f>IF($V177&lt;&gt;"Macro","",IF(COUNTIFS($S$5:$S$1000,$S177,$V$5:$V$1000,"Macro",$H$5:$H$1000,"&gt;0")=0,1/COUNTIFS($S$5:$S$1000,$S177,$V$5:$V$1000,"Macro"),IF(AND(ISNUMBER($H177),N($H177)&gt;0),$H177,SUMIFS($H$5:$H$1000,$S$5:$S$1000,$S177,$V$5:$V$1000,"Macro")/COUNTIFS($S$5:$S$1000,$S177,$V$5:$V$1000,"Macro",$H$5:$H$1000,"&gt;0"))/(COUNTIFS($S$5:$S$1000,$S177,$V$5:$V$1000,"Macro")*SUMIFS($H$5:$H$1000,$S$5:$S$1000,$S177,$V$5:$V$1000,"Macro")/COUNTIFS($S$5:$S$1000,$S177,$V$5:$V$1000,"Macro",$H$5:$H$1000,"&gt;0"))))</f>
        <v/>
      </c>
      <c r="AH177" s="62" t="n"/>
      <c r="AI177" s="62" t="n"/>
      <c r="AJ177" s="62" t="n"/>
      <c r="AK177" s="62" t="n"/>
      <c r="AL177" s="62">
        <f>IF(LEFT($C177,11)="[Jefatura] ",IFERROR(MATCH("Riesgo Financiero|"&amp;MID($C177,12,500),rDname_ADM,0),0),"")</f>
        <v/>
      </c>
      <c r="AM177" s="62">
        <f>IF(N($AL177)&gt;0,INDEX(rIni_ADM,$AL177),IF(ISNUMBER($E177),$E177,""))</f>
        <v/>
      </c>
      <c r="AN177" s="62">
        <f>IF(N($AL177)&gt;0,INDEX(rLim_ADM,$AL177),IF(ISNUMBER($F177),$F177,""))</f>
        <v/>
      </c>
    </row>
    <row r="178">
      <c r="A178" s="56">
        <f>IF(NOT((COUNTA($B178:$D178)+COUNTA($G178:$L178)+COUNTA($Q178))&gt;0),"",IF($V178="Macro",COUNTIFS($V$5:$V178,"Macro",$S$5:$S178,$S178),IF(N($U178)=0,"?",COUNTIFS(INDEX($V$5:$V$1000,1):INDEX($V$5:$V$1000,$U178-4),"Macro",INDEX($S$5:$S$1000,1):INDEX($S$5:$S$1000,$U178-4),INDEX($S$5:$S$1000,$U178-4))&amp;"."&amp;COUNTIFS($U$5:$U178,$U178,$V$5:$V178,"Sub"))))</f>
        <v/>
      </c>
      <c r="B178" s="57" t="n"/>
      <c r="C178" s="58" t="n"/>
      <c r="D178" s="58" t="n"/>
      <c r="E178" s="59">
        <f>IF(N($AL178)&gt;0,INDEX(rIni_ADM,$AL178),"")</f>
        <v/>
      </c>
      <c r="F178" s="59">
        <f>IF(N($AL178)&gt;0,INDEX(rLim_ADM,$AL178),"")</f>
        <v/>
      </c>
      <c r="G178" s="59" t="n"/>
      <c r="H178" s="60" t="n"/>
      <c r="I178" s="60" t="n"/>
      <c r="J178" s="60" t="n"/>
      <c r="K178" s="60" t="n"/>
      <c r="L178" s="60" t="n"/>
      <c r="M178" s="61">
        <f>IF(NOT((COUNTA($B178:$D178)+COUNTA($G178:$L178)+COUNTA($Q178))&gt;0),"",IF($V178="Sub",IFERROR($X178/INDEX($W$5:$W$1000,$U178-4),""),IF(ISNUMBER($G178),1,IF(N($W178)&gt;0,AVERAGEIFS($X$5:$X$1000,$U$5:$U$1000,ROW(),$V$5:$V$1000,"Sub"),$X178))))</f>
        <v/>
      </c>
      <c r="N178" s="56">
        <f>IF(OR($M178="",$V178="Sub"),"",IF($M178&gt;=1,"Completado",IF($M178&gt;0,"En curso","Pendiente")))</f>
        <v/>
      </c>
      <c r="O178" s="56">
        <f>IF(OR(NOT((COUNTA($B178:$D178)+COUNTA($G178:$L178)+COUNTA($Q178))&gt;0),$V178="Sub"),"",IF(ISNUMBER($G178),IF(AND(ISNUMBER($AN178),$G178&gt;$AN178),"Cumplida con "&amp;($G178-$AN178)&amp;IF($G178-$AN178=1," día"," días")&amp;" de retraso","Cumplida"),IF(N($M178)&gt;=1,"Cumplida",IF(NOT(ISNUMBER($AN178)),"Sin fecha límite",IF($AN178&lt;FechaRef,"Vencida hace "&amp;(FechaRef-$AN178)&amp;IF(FechaRef-$AN178=1," día"," días"),IF($AN178=FechaRef,"Vence hoy",IF($AN178-FechaRef&lt;=DiasAlerta,"Vence en "&amp;($AN178-FechaRef)&amp;IF($AN178-FechaRef=1," día"," días"),"En plazo")))))))</f>
        <v/>
      </c>
      <c r="P178" s="62" t="n"/>
      <c r="Q178" s="58" t="n"/>
      <c r="R178" s="63">
        <f>IF(NOT((COUNTA($B178:$D178)+COUNTA($G178:$L178)+COUNTA($Q178))&gt;0),"",IF((IF($C178="","Falta el nombre de la actividad"&amp;" · ","")&amp;IF(AND($V178="Sub",N($U178)=0),"Subactividad sin macroactividad arriba"&amp;" · ","")&amp;IF($AM178="","Sin fecha de inicio"&amp;" · ","")&amp;IF($AN178="","Sin fecha límite"&amp;" · ","")&amp;IF(AND(LEFT($C178,11)="[Jefatura] ",N($AL178)=0),"No se encuentra en la hoja de la jefatura (elíjala de nuevo en la lista)"&amp;" · ","")&amp;IF(OR(AND($E178&lt;&gt;"",NOT(ISNUMBER($E178))),AND($F178&lt;&gt;"",NOT(ISNUMBER($F178))),AND($G178&lt;&gt;"",NOT(ISNUMBER($G178)))),"Fecha no válida"&amp;" · ","")&amp;IF(AND(ISNUMBER($AM178),ISNUMBER($AN178),$AM178&gt;$AN178),"Inicio posterior a fecha límite"&amp;" · ","")&amp;IF(AND($V178="Macro",$H178&lt;&gt;"",OR(NOT(ISNUMBER($H178)),$H178&lt;0,$H178&gt;1)),"Peso fuera de rango"&amp;" · ","")&amp;IF(AND($V178="Sub",$H178&lt;&gt;""),"Las subactividades no llevan peso (valen igual dentro de su macroactividad)"&amp;" · ","")&amp;IF(AND(N($W178)&gt;0,COUNT($I178:$L178)&gt;0),"Con subactividades: deje vacías las semanas (se calculan solas)"&amp;" · ","")&amp;IF((COUNTIF($I178:$L178,"&gt;1")+COUNTIF($I178:$L178,"&lt;0")+COUNTA($I178:$L178)-COUNT($I178:$L178))&gt;0,"Avance fuera de rango 0-100%"&amp;" · ","")&amp;IF(OR(AND($J178&lt;&gt;"",$J178&lt;$I178),AND($K178&lt;&gt;"",$K178&lt;MAX($I178:$J178)),AND($L178&lt;&gt;"",$L178&lt;MAX($I178:$K178))),"Avance semanal decreciente"&amp;" · ","")&amp;IF(AND(ISNUMBER($AN178),$AN178&lt;FechaRef,IF($V178="Sub",N($X178),N($M178))&lt;1),"Vencida"&amp;" · ","")&amp;IF(AND(ObsObligatoria="Sí",ISNUMBER($AN178),$AN178&lt;FechaRef,IF($V178="Sub",N($X178),N($M178))&lt;1,$Q178=""),"Vencida sin observación"&amp;" · ",""))="","✔ OK","⚠ "&amp;LEFT(IF($C178="","Falta el nombre de la actividad"&amp;" · ","")&amp;IF(AND($V178="Sub",N($U178)=0),"Subactividad sin macroactividad arriba"&amp;" · ","")&amp;IF($AM178="","Sin fecha de inicio"&amp;" · ","")&amp;IF($AN178="","Sin fecha límite"&amp;" · ","")&amp;IF(AND(LEFT($C178,11)="[Jefatura] ",N($AL178)=0),"No se encuentra en la hoja de la jefatura (elíjala de nuevo en la lista)"&amp;" · ","")&amp;IF(OR(AND($E178&lt;&gt;"",NOT(ISNUMBER($E178))),AND($F178&lt;&gt;"",NOT(ISNUMBER($F178))),AND($G178&lt;&gt;"",NOT(ISNUMBER($G178)))),"Fecha no válida"&amp;" · ","")&amp;IF(AND(ISNUMBER($AM178),ISNUMBER($AN178),$AM178&gt;$AN178),"Inicio posterior a fecha límite"&amp;" · ","")&amp;IF(AND($V178="Macro",$H178&lt;&gt;"",OR(NOT(ISNUMBER($H178)),$H178&lt;0,$H178&gt;1)),"Peso fuera de rango"&amp;" · ","")&amp;IF(AND($V178="Sub",$H178&lt;&gt;""),"Las subactividades no llevan peso (valen igual dentro de su macroactividad)"&amp;" · ","")&amp;IF(AND(N($W178)&gt;0,COUNT($I178:$L178)&gt;0),"Con subactividades: deje vacías las semanas (se calculan solas)"&amp;" · ","")&amp;IF((COUNTIF($I178:$L178,"&gt;1")+COUNTIF($I178:$L178,"&lt;0")+COUNTA($I178:$L178)-COUNT($I178:$L178))&gt;0,"Avance fuera de rango 0-100%"&amp;" · ","")&amp;IF(OR(AND($J178&lt;&gt;"",$J178&lt;$I178),AND($K178&lt;&gt;"",$K178&lt;MAX($I178:$J178)),AND($L178&lt;&gt;"",$L178&lt;MAX($I178:$K178))),"Avance semanal decreciente"&amp;" · ","")&amp;IF(AND(ISNUMBER($AN178),$AN178&lt;FechaRef,IF($V178="Sub",N($X178),N($M178))&lt;1),"Vencida"&amp;" · ","")&amp;IF(AND(ObsObligatoria="Sí",ISNUMBER($AN178),$AN178&lt;FechaRef,IF($V178="Sub",N($X178),N($M178))&lt;1,$Q178=""),"Vencida sin observación"&amp;" · ",""),LEN(IF($C178="","Falta el nombre de la actividad"&amp;" · ","")&amp;IF(AND($V178="Sub",N($U178)=0),"Subactividad sin macroactividad arriba"&amp;" · ","")&amp;IF($AM178="","Sin fecha de inicio"&amp;" · ","")&amp;IF($AN178="","Sin fecha límite"&amp;" · ","")&amp;IF(AND(LEFT($C178,11)="[Jefatura] ",N($AL178)=0),"No se encuentra en la hoja de la jefatura (elíjala de nuevo en la lista)"&amp;" · ","")&amp;IF(OR(AND($E178&lt;&gt;"",NOT(ISNUMBER($E178))),AND($F178&lt;&gt;"",NOT(ISNUMBER($F178))),AND($G178&lt;&gt;"",NOT(ISNUMBER($G178)))),"Fecha no válida"&amp;" · ","")&amp;IF(AND(ISNUMBER($AM178),ISNUMBER($AN178),$AM178&gt;$AN178),"Inicio posterior a fecha límite"&amp;" · ","")&amp;IF(AND($V178="Macro",$H178&lt;&gt;"",OR(NOT(ISNUMBER($H178)),$H178&lt;0,$H178&gt;1)),"Peso fuera de rango"&amp;" · ","")&amp;IF(AND($V178="Sub",$H178&lt;&gt;""),"Las subactividades no llevan peso (valen igual dentro de su macroactividad)"&amp;" · ","")&amp;IF(AND(N($W178)&gt;0,COUNT($I178:$L178)&gt;0),"Con subactividades: deje vacías las semanas (se calculan solas)"&amp;" · ","")&amp;IF((COUNTIF($I178:$L178,"&gt;1")+COUNTIF($I178:$L178,"&lt;0")+COUNTA($I178:$L178)-COUNT($I178:$L178))&gt;0,"Avance fuera de rango 0-100%"&amp;" · ","")&amp;IF(OR(AND($J178&lt;&gt;"",$J178&lt;$I178),AND($K178&lt;&gt;"",$K178&lt;MAX($I178:$J178)),AND($L178&lt;&gt;"",$L178&lt;MAX($I178:$K178))),"Avance semanal decreciente"&amp;" · ","")&amp;IF(AND(ISNUMBER($AN178),$AN178&lt;FechaRef,IF($V178="Sub",N($X178),N($M178))&lt;1),"Vencida"&amp;" · ","")&amp;IF(AND(ObsObligatoria="Sí",ISNUMBER($AN178),$AN178&lt;FechaRef,IF($V178="Sub",N($X178),N($M178))&lt;1,$Q178=""),"Vencida sin observación"&amp;" · ",""))-3)))</f>
        <v/>
      </c>
      <c r="S178" s="64">
        <f>IF(NOT((COUNTA($B178:$D178)+COUNTA($G178:$L178)+COUNTA($Q178))&gt;0),"",IF(AND($V178="Sub",N($U178)&gt;0),IF(ISNUMBER(INDEX($AM$5:$AM$1000,$U178-4)),DATE(YEAR(INDEX($AM$5:$AM$1000,$U178-4)),MONTH(INDEX($AM$5:$AM$1000,$U178-4)),1),IF(ISNUMBER(INDEX($AN$5:$AN$1000,$U178-4)),DATE(YEAR(INDEX($AN$5:$AN$1000,$U178-4)),MONTH(INDEX($AN$5:$AN$1000,$U178-4)),1),MesCiclo)),IF(ISNUMBER($AM178),DATE(YEAR($AM178),MONTH($AM178),1),IF(ISNUMBER($AN178),DATE(YEAR($AN178),MONTH($AN178),1),MesCiclo))))</f>
        <v/>
      </c>
      <c r="T178" s="62">
        <f>IF(OR($S178="",$S178&lt;&gt;MesCiclo,$V178&lt;&gt;"Macro"),"",COUNTIFS($S$5:$S178,MesCiclo,$V$5:$V178,"Macro"))</f>
        <v/>
      </c>
      <c r="U178" s="62">
        <f>IF($V178="","",IF($V178="Macro",ROW(),IFERROR(LOOKUP(2,1/($V$5:$V178="Macro"),ROW($V$5:$V178)),0)))</f>
        <v/>
      </c>
      <c r="V178" s="62">
        <f>IF(NOT((COUNTA($B178:$D178)+COUNTA($G178:$L178)+COUNTA($Q178))&gt;0),"",IF($B178="Subactividad","Sub","Macro"))</f>
        <v/>
      </c>
      <c r="W178" s="62">
        <f>IF($V178="Macro",COUNTIFS($U$5:$U$1000,ROW(),$V$5:$V$1000,"Sub"),"")</f>
        <v/>
      </c>
      <c r="X178" s="62">
        <f>IF($V178="","",IF(ISNUMBER($G178),1,IFERROR(LOOKUP(2,1/($I178:$L178&lt;&gt;""),$I178:$L178),0)))</f>
        <v/>
      </c>
      <c r="Y178" s="62">
        <f>IF($V178="","",IF(AND(ISNUMBER($G178),$G178&lt;=IF($S178=MesCiclo,InicioCiclo,$S178+MOD(2-WEEKDAY($S178),7))+6),1,IF(ISNUMBER($I178),$I178,0)))</f>
        <v/>
      </c>
      <c r="Z178" s="62">
        <f>IF($V178="","",IF(AND(ISNUMBER($G178),$G178&lt;=IF($S178=MesCiclo,InicioCiclo,$S178+MOD(2-WEEKDAY($S178),7))+13),1,IF(ISNUMBER($J178),$J178,$Y178)))</f>
        <v/>
      </c>
      <c r="AA178" s="62">
        <f>IF($V178="","",IF(AND(ISNUMBER($G178),$G178&lt;=IF($S178=MesCiclo,InicioCiclo,$S178+MOD(2-WEEKDAY($S178),7))+20),1,IF(ISNUMBER($K178),$K178,$Z178)))</f>
        <v/>
      </c>
      <c r="AB178" s="62">
        <f>IF($V178="","",IF(AND(ISNUMBER($G178),$G178&lt;=IF($S178=MesCiclo,InicioCiclo,$S178+MOD(2-WEEKDAY($S178),7))+27),1,IF(ISNUMBER($L178),$L178,$AA178)))</f>
        <v/>
      </c>
      <c r="AC178" s="62">
        <f>IF($V178="","",IF(AND(ISNUMBER($G178),$G178&lt;=IF($S178=MesCiclo,InicioCiclo,$S178+MOD(2-WEEKDAY($S178),7))+6),1,IF(N($W178)&gt;0,AVERAGEIFS($Y$5:$Y$1000,$U$5:$U$1000,ROW(),$V$5:$V$1000,"Sub"),$Y178)))</f>
        <v/>
      </c>
      <c r="AD178" s="62">
        <f>IF($V178="","",IF(AND(ISNUMBER($G178),$G178&lt;=IF($S178=MesCiclo,InicioCiclo,$S178+MOD(2-WEEKDAY($S178),7))+13),1,IF(N($W178)&gt;0,AVERAGEIFS($Z$5:$Z$1000,$U$5:$U$1000,ROW(),$V$5:$V$1000,"Sub"),$Z178)))</f>
        <v/>
      </c>
      <c r="AE178" s="62">
        <f>IF($V178="","",IF(AND(ISNUMBER($G178),$G178&lt;=IF($S178=MesCiclo,InicioCiclo,$S178+MOD(2-WEEKDAY($S178),7))+20),1,IF(N($W178)&gt;0,AVERAGEIFS($AA$5:$AA$1000,$U$5:$U$1000,ROW(),$V$5:$V$1000,"Sub"),$AA178)))</f>
        <v/>
      </c>
      <c r="AF178" s="62">
        <f>IF($V178="","",IF(AND(ISNUMBER($G178),$G178&lt;=IF($S178=MesCiclo,InicioCiclo,$S178+MOD(2-WEEKDAY($S178),7))+27),1,IF(N($W178)&gt;0,AVERAGEIFS($AB$5:$AB$1000,$U$5:$U$1000,ROW(),$V$5:$V$1000,"Sub"),$AB178)))</f>
        <v/>
      </c>
      <c r="AG178" s="62">
        <f>IF($V178&lt;&gt;"Macro","",IF(COUNTIFS($S$5:$S$1000,$S178,$V$5:$V$1000,"Macro",$H$5:$H$1000,"&gt;0")=0,1/COUNTIFS($S$5:$S$1000,$S178,$V$5:$V$1000,"Macro"),IF(AND(ISNUMBER($H178),N($H178)&gt;0),$H178,SUMIFS($H$5:$H$1000,$S$5:$S$1000,$S178,$V$5:$V$1000,"Macro")/COUNTIFS($S$5:$S$1000,$S178,$V$5:$V$1000,"Macro",$H$5:$H$1000,"&gt;0"))/(COUNTIFS($S$5:$S$1000,$S178,$V$5:$V$1000,"Macro")*SUMIFS($H$5:$H$1000,$S$5:$S$1000,$S178,$V$5:$V$1000,"Macro")/COUNTIFS($S$5:$S$1000,$S178,$V$5:$V$1000,"Macro",$H$5:$H$1000,"&gt;0"))))</f>
        <v/>
      </c>
      <c r="AH178" s="62" t="n"/>
      <c r="AI178" s="62" t="n"/>
      <c r="AJ178" s="62" t="n"/>
      <c r="AK178" s="62" t="n"/>
      <c r="AL178" s="62">
        <f>IF(LEFT($C178,11)="[Jefatura] ",IFERROR(MATCH("Riesgo Financiero|"&amp;MID($C178,12,500),rDname_ADM,0),0),"")</f>
        <v/>
      </c>
      <c r="AM178" s="62">
        <f>IF(N($AL178)&gt;0,INDEX(rIni_ADM,$AL178),IF(ISNUMBER($E178),$E178,""))</f>
        <v/>
      </c>
      <c r="AN178" s="62">
        <f>IF(N($AL178)&gt;0,INDEX(rLim_ADM,$AL178),IF(ISNUMBER($F178),$F178,""))</f>
        <v/>
      </c>
    </row>
    <row r="179">
      <c r="A179" s="56">
        <f>IF(NOT((COUNTA($B179:$D179)+COUNTA($G179:$L179)+COUNTA($Q179))&gt;0),"",IF($V179="Macro",COUNTIFS($V$5:$V179,"Macro",$S$5:$S179,$S179),IF(N($U179)=0,"?",COUNTIFS(INDEX($V$5:$V$1000,1):INDEX($V$5:$V$1000,$U179-4),"Macro",INDEX($S$5:$S$1000,1):INDEX($S$5:$S$1000,$U179-4),INDEX($S$5:$S$1000,$U179-4))&amp;"."&amp;COUNTIFS($U$5:$U179,$U179,$V$5:$V179,"Sub"))))</f>
        <v/>
      </c>
      <c r="B179" s="57" t="n"/>
      <c r="C179" s="58" t="n"/>
      <c r="D179" s="58" t="n"/>
      <c r="E179" s="59">
        <f>IF(N($AL179)&gt;0,INDEX(rIni_ADM,$AL179),"")</f>
        <v/>
      </c>
      <c r="F179" s="59">
        <f>IF(N($AL179)&gt;0,INDEX(rLim_ADM,$AL179),"")</f>
        <v/>
      </c>
      <c r="G179" s="59" t="n"/>
      <c r="H179" s="60" t="n"/>
      <c r="I179" s="60" t="n"/>
      <c r="J179" s="60" t="n"/>
      <c r="K179" s="60" t="n"/>
      <c r="L179" s="60" t="n"/>
      <c r="M179" s="61">
        <f>IF(NOT((COUNTA($B179:$D179)+COUNTA($G179:$L179)+COUNTA($Q179))&gt;0),"",IF($V179="Sub",IFERROR($X179/INDEX($W$5:$W$1000,$U179-4),""),IF(ISNUMBER($G179),1,IF(N($W179)&gt;0,AVERAGEIFS($X$5:$X$1000,$U$5:$U$1000,ROW(),$V$5:$V$1000,"Sub"),$X179))))</f>
        <v/>
      </c>
      <c r="N179" s="56">
        <f>IF(OR($M179="",$V179="Sub"),"",IF($M179&gt;=1,"Completado",IF($M179&gt;0,"En curso","Pendiente")))</f>
        <v/>
      </c>
      <c r="O179" s="56">
        <f>IF(OR(NOT((COUNTA($B179:$D179)+COUNTA($G179:$L179)+COUNTA($Q179))&gt;0),$V179="Sub"),"",IF(ISNUMBER($G179),IF(AND(ISNUMBER($AN179),$G179&gt;$AN179),"Cumplida con "&amp;($G179-$AN179)&amp;IF($G179-$AN179=1," día"," días")&amp;" de retraso","Cumplida"),IF(N($M179)&gt;=1,"Cumplida",IF(NOT(ISNUMBER($AN179)),"Sin fecha límite",IF($AN179&lt;FechaRef,"Vencida hace "&amp;(FechaRef-$AN179)&amp;IF(FechaRef-$AN179=1," día"," días"),IF($AN179=FechaRef,"Vence hoy",IF($AN179-FechaRef&lt;=DiasAlerta,"Vence en "&amp;($AN179-FechaRef)&amp;IF($AN179-FechaRef=1," día"," días"),"En plazo")))))))</f>
        <v/>
      </c>
      <c r="P179" s="62" t="n"/>
      <c r="Q179" s="58" t="n"/>
      <c r="R179" s="63">
        <f>IF(NOT((COUNTA($B179:$D179)+COUNTA($G179:$L179)+COUNTA($Q179))&gt;0),"",IF((IF($C179="","Falta el nombre de la actividad"&amp;" · ","")&amp;IF(AND($V179="Sub",N($U179)=0),"Subactividad sin macroactividad arriba"&amp;" · ","")&amp;IF($AM179="","Sin fecha de inicio"&amp;" · ","")&amp;IF($AN179="","Sin fecha límite"&amp;" · ","")&amp;IF(AND(LEFT($C179,11)="[Jefatura] ",N($AL179)=0),"No se encuentra en la hoja de la jefatura (elíjala de nuevo en la lista)"&amp;" · ","")&amp;IF(OR(AND($E179&lt;&gt;"",NOT(ISNUMBER($E179))),AND($F179&lt;&gt;"",NOT(ISNUMBER($F179))),AND($G179&lt;&gt;"",NOT(ISNUMBER($G179)))),"Fecha no válida"&amp;" · ","")&amp;IF(AND(ISNUMBER($AM179),ISNUMBER($AN179),$AM179&gt;$AN179),"Inicio posterior a fecha límite"&amp;" · ","")&amp;IF(AND($V179="Macro",$H179&lt;&gt;"",OR(NOT(ISNUMBER($H179)),$H179&lt;0,$H179&gt;1)),"Peso fuera de rango"&amp;" · ","")&amp;IF(AND($V179="Sub",$H179&lt;&gt;""),"Las subactividades no llevan peso (valen igual dentro de su macroactividad)"&amp;" · ","")&amp;IF(AND(N($W179)&gt;0,COUNT($I179:$L179)&gt;0),"Con subactividades: deje vacías las semanas (se calculan solas)"&amp;" · ","")&amp;IF((COUNTIF($I179:$L179,"&gt;1")+COUNTIF($I179:$L179,"&lt;0")+COUNTA($I179:$L179)-COUNT($I179:$L179))&gt;0,"Avance fuera de rango 0-100%"&amp;" · ","")&amp;IF(OR(AND($J179&lt;&gt;"",$J179&lt;$I179),AND($K179&lt;&gt;"",$K179&lt;MAX($I179:$J179)),AND($L179&lt;&gt;"",$L179&lt;MAX($I179:$K179))),"Avance semanal decreciente"&amp;" · ","")&amp;IF(AND(ISNUMBER($AN179),$AN179&lt;FechaRef,IF($V179="Sub",N($X179),N($M179))&lt;1),"Vencida"&amp;" · ","")&amp;IF(AND(ObsObligatoria="Sí",ISNUMBER($AN179),$AN179&lt;FechaRef,IF($V179="Sub",N($X179),N($M179))&lt;1,$Q179=""),"Vencida sin observación"&amp;" · ",""))="","✔ OK","⚠ "&amp;LEFT(IF($C179="","Falta el nombre de la actividad"&amp;" · ","")&amp;IF(AND($V179="Sub",N($U179)=0),"Subactividad sin macroactividad arriba"&amp;" · ","")&amp;IF($AM179="","Sin fecha de inicio"&amp;" · ","")&amp;IF($AN179="","Sin fecha límite"&amp;" · ","")&amp;IF(AND(LEFT($C179,11)="[Jefatura] ",N($AL179)=0),"No se encuentra en la hoja de la jefatura (elíjala de nuevo en la lista)"&amp;" · ","")&amp;IF(OR(AND($E179&lt;&gt;"",NOT(ISNUMBER($E179))),AND($F179&lt;&gt;"",NOT(ISNUMBER($F179))),AND($G179&lt;&gt;"",NOT(ISNUMBER($G179)))),"Fecha no válida"&amp;" · ","")&amp;IF(AND(ISNUMBER($AM179),ISNUMBER($AN179),$AM179&gt;$AN179),"Inicio posterior a fecha límite"&amp;" · ","")&amp;IF(AND($V179="Macro",$H179&lt;&gt;"",OR(NOT(ISNUMBER($H179)),$H179&lt;0,$H179&gt;1)),"Peso fuera de rango"&amp;" · ","")&amp;IF(AND($V179="Sub",$H179&lt;&gt;""),"Las subactividades no llevan peso (valen igual dentro de su macroactividad)"&amp;" · ","")&amp;IF(AND(N($W179)&gt;0,COUNT($I179:$L179)&gt;0),"Con subactividades: deje vacías las semanas (se calculan solas)"&amp;" · ","")&amp;IF((COUNTIF($I179:$L179,"&gt;1")+COUNTIF($I179:$L179,"&lt;0")+COUNTA($I179:$L179)-COUNT($I179:$L179))&gt;0,"Avance fuera de rango 0-100%"&amp;" · ","")&amp;IF(OR(AND($J179&lt;&gt;"",$J179&lt;$I179),AND($K179&lt;&gt;"",$K179&lt;MAX($I179:$J179)),AND($L179&lt;&gt;"",$L179&lt;MAX($I179:$K179))),"Avance semanal decreciente"&amp;" · ","")&amp;IF(AND(ISNUMBER($AN179),$AN179&lt;FechaRef,IF($V179="Sub",N($X179),N($M179))&lt;1),"Vencida"&amp;" · ","")&amp;IF(AND(ObsObligatoria="Sí",ISNUMBER($AN179),$AN179&lt;FechaRef,IF($V179="Sub",N($X179),N($M179))&lt;1,$Q179=""),"Vencida sin observación"&amp;" · ",""),LEN(IF($C179="","Falta el nombre de la actividad"&amp;" · ","")&amp;IF(AND($V179="Sub",N($U179)=0),"Subactividad sin macroactividad arriba"&amp;" · ","")&amp;IF($AM179="","Sin fecha de inicio"&amp;" · ","")&amp;IF($AN179="","Sin fecha límite"&amp;" · ","")&amp;IF(AND(LEFT($C179,11)="[Jefatura] ",N($AL179)=0),"No se encuentra en la hoja de la jefatura (elíjala de nuevo en la lista)"&amp;" · ","")&amp;IF(OR(AND($E179&lt;&gt;"",NOT(ISNUMBER($E179))),AND($F179&lt;&gt;"",NOT(ISNUMBER($F179))),AND($G179&lt;&gt;"",NOT(ISNUMBER($G179)))),"Fecha no válida"&amp;" · ","")&amp;IF(AND(ISNUMBER($AM179),ISNUMBER($AN179),$AM179&gt;$AN179),"Inicio posterior a fecha límite"&amp;" · ","")&amp;IF(AND($V179="Macro",$H179&lt;&gt;"",OR(NOT(ISNUMBER($H179)),$H179&lt;0,$H179&gt;1)),"Peso fuera de rango"&amp;" · ","")&amp;IF(AND($V179="Sub",$H179&lt;&gt;""),"Las subactividades no llevan peso (valen igual dentro de su macroactividad)"&amp;" · ","")&amp;IF(AND(N($W179)&gt;0,COUNT($I179:$L179)&gt;0),"Con subactividades: deje vacías las semanas (se calculan solas)"&amp;" · ","")&amp;IF((COUNTIF($I179:$L179,"&gt;1")+COUNTIF($I179:$L179,"&lt;0")+COUNTA($I179:$L179)-COUNT($I179:$L179))&gt;0,"Avance fuera de rango 0-100%"&amp;" · ","")&amp;IF(OR(AND($J179&lt;&gt;"",$J179&lt;$I179),AND($K179&lt;&gt;"",$K179&lt;MAX($I179:$J179)),AND($L179&lt;&gt;"",$L179&lt;MAX($I179:$K179))),"Avance semanal decreciente"&amp;" · ","")&amp;IF(AND(ISNUMBER($AN179),$AN179&lt;FechaRef,IF($V179="Sub",N($X179),N($M179))&lt;1),"Vencida"&amp;" · ","")&amp;IF(AND(ObsObligatoria="Sí",ISNUMBER($AN179),$AN179&lt;FechaRef,IF($V179="Sub",N($X179),N($M179))&lt;1,$Q179=""),"Vencida sin observación"&amp;" · ",""))-3)))</f>
        <v/>
      </c>
      <c r="S179" s="64">
        <f>IF(NOT((COUNTA($B179:$D179)+COUNTA($G179:$L179)+COUNTA($Q179))&gt;0),"",IF(AND($V179="Sub",N($U179)&gt;0),IF(ISNUMBER(INDEX($AM$5:$AM$1000,$U179-4)),DATE(YEAR(INDEX($AM$5:$AM$1000,$U179-4)),MONTH(INDEX($AM$5:$AM$1000,$U179-4)),1),IF(ISNUMBER(INDEX($AN$5:$AN$1000,$U179-4)),DATE(YEAR(INDEX($AN$5:$AN$1000,$U179-4)),MONTH(INDEX($AN$5:$AN$1000,$U179-4)),1),MesCiclo)),IF(ISNUMBER($AM179),DATE(YEAR($AM179),MONTH($AM179),1),IF(ISNUMBER($AN179),DATE(YEAR($AN179),MONTH($AN179),1),MesCiclo))))</f>
        <v/>
      </c>
      <c r="T179" s="62">
        <f>IF(OR($S179="",$S179&lt;&gt;MesCiclo,$V179&lt;&gt;"Macro"),"",COUNTIFS($S$5:$S179,MesCiclo,$V$5:$V179,"Macro"))</f>
        <v/>
      </c>
      <c r="U179" s="62">
        <f>IF($V179="","",IF($V179="Macro",ROW(),IFERROR(LOOKUP(2,1/($V$5:$V179="Macro"),ROW($V$5:$V179)),0)))</f>
        <v/>
      </c>
      <c r="V179" s="62">
        <f>IF(NOT((COUNTA($B179:$D179)+COUNTA($G179:$L179)+COUNTA($Q179))&gt;0),"",IF($B179="Subactividad","Sub","Macro"))</f>
        <v/>
      </c>
      <c r="W179" s="62">
        <f>IF($V179="Macro",COUNTIFS($U$5:$U$1000,ROW(),$V$5:$V$1000,"Sub"),"")</f>
        <v/>
      </c>
      <c r="X179" s="62">
        <f>IF($V179="","",IF(ISNUMBER($G179),1,IFERROR(LOOKUP(2,1/($I179:$L179&lt;&gt;""),$I179:$L179),0)))</f>
        <v/>
      </c>
      <c r="Y179" s="62">
        <f>IF($V179="","",IF(AND(ISNUMBER($G179),$G179&lt;=IF($S179=MesCiclo,InicioCiclo,$S179+MOD(2-WEEKDAY($S179),7))+6),1,IF(ISNUMBER($I179),$I179,0)))</f>
        <v/>
      </c>
      <c r="Z179" s="62">
        <f>IF($V179="","",IF(AND(ISNUMBER($G179),$G179&lt;=IF($S179=MesCiclo,InicioCiclo,$S179+MOD(2-WEEKDAY($S179),7))+13),1,IF(ISNUMBER($J179),$J179,$Y179)))</f>
        <v/>
      </c>
      <c r="AA179" s="62">
        <f>IF($V179="","",IF(AND(ISNUMBER($G179),$G179&lt;=IF($S179=MesCiclo,InicioCiclo,$S179+MOD(2-WEEKDAY($S179),7))+20),1,IF(ISNUMBER($K179),$K179,$Z179)))</f>
        <v/>
      </c>
      <c r="AB179" s="62">
        <f>IF($V179="","",IF(AND(ISNUMBER($G179),$G179&lt;=IF($S179=MesCiclo,InicioCiclo,$S179+MOD(2-WEEKDAY($S179),7))+27),1,IF(ISNUMBER($L179),$L179,$AA179)))</f>
        <v/>
      </c>
      <c r="AC179" s="62">
        <f>IF($V179="","",IF(AND(ISNUMBER($G179),$G179&lt;=IF($S179=MesCiclo,InicioCiclo,$S179+MOD(2-WEEKDAY($S179),7))+6),1,IF(N($W179)&gt;0,AVERAGEIFS($Y$5:$Y$1000,$U$5:$U$1000,ROW(),$V$5:$V$1000,"Sub"),$Y179)))</f>
        <v/>
      </c>
      <c r="AD179" s="62">
        <f>IF($V179="","",IF(AND(ISNUMBER($G179),$G179&lt;=IF($S179=MesCiclo,InicioCiclo,$S179+MOD(2-WEEKDAY($S179),7))+13),1,IF(N($W179)&gt;0,AVERAGEIFS($Z$5:$Z$1000,$U$5:$U$1000,ROW(),$V$5:$V$1000,"Sub"),$Z179)))</f>
        <v/>
      </c>
      <c r="AE179" s="62">
        <f>IF($V179="","",IF(AND(ISNUMBER($G179),$G179&lt;=IF($S179=MesCiclo,InicioCiclo,$S179+MOD(2-WEEKDAY($S179),7))+20),1,IF(N($W179)&gt;0,AVERAGEIFS($AA$5:$AA$1000,$U$5:$U$1000,ROW(),$V$5:$V$1000,"Sub"),$AA179)))</f>
        <v/>
      </c>
      <c r="AF179" s="62">
        <f>IF($V179="","",IF(AND(ISNUMBER($G179),$G179&lt;=IF($S179=MesCiclo,InicioCiclo,$S179+MOD(2-WEEKDAY($S179),7))+27),1,IF(N($W179)&gt;0,AVERAGEIFS($AB$5:$AB$1000,$U$5:$U$1000,ROW(),$V$5:$V$1000,"Sub"),$AB179)))</f>
        <v/>
      </c>
      <c r="AG179" s="62">
        <f>IF($V179&lt;&gt;"Macro","",IF(COUNTIFS($S$5:$S$1000,$S179,$V$5:$V$1000,"Macro",$H$5:$H$1000,"&gt;0")=0,1/COUNTIFS($S$5:$S$1000,$S179,$V$5:$V$1000,"Macro"),IF(AND(ISNUMBER($H179),N($H179)&gt;0),$H179,SUMIFS($H$5:$H$1000,$S$5:$S$1000,$S179,$V$5:$V$1000,"Macro")/COUNTIFS($S$5:$S$1000,$S179,$V$5:$V$1000,"Macro",$H$5:$H$1000,"&gt;0"))/(COUNTIFS($S$5:$S$1000,$S179,$V$5:$V$1000,"Macro")*SUMIFS($H$5:$H$1000,$S$5:$S$1000,$S179,$V$5:$V$1000,"Macro")/COUNTIFS($S$5:$S$1000,$S179,$V$5:$V$1000,"Macro",$H$5:$H$1000,"&gt;0"))))</f>
        <v/>
      </c>
      <c r="AH179" s="62" t="n"/>
      <c r="AI179" s="62" t="n"/>
      <c r="AJ179" s="62" t="n"/>
      <c r="AK179" s="62" t="n"/>
      <c r="AL179" s="62">
        <f>IF(LEFT($C179,11)="[Jefatura] ",IFERROR(MATCH("Riesgo Financiero|"&amp;MID($C179,12,500),rDname_ADM,0),0),"")</f>
        <v/>
      </c>
      <c r="AM179" s="62">
        <f>IF(N($AL179)&gt;0,INDEX(rIni_ADM,$AL179),IF(ISNUMBER($E179),$E179,""))</f>
        <v/>
      </c>
      <c r="AN179" s="62">
        <f>IF(N($AL179)&gt;0,INDEX(rLim_ADM,$AL179),IF(ISNUMBER($F179),$F179,""))</f>
        <v/>
      </c>
    </row>
    <row r="180">
      <c r="A180" s="56">
        <f>IF(NOT((COUNTA($B180:$D180)+COUNTA($G180:$L180)+COUNTA($Q180))&gt;0),"",IF($V180="Macro",COUNTIFS($V$5:$V180,"Macro",$S$5:$S180,$S180),IF(N($U180)=0,"?",COUNTIFS(INDEX($V$5:$V$1000,1):INDEX($V$5:$V$1000,$U180-4),"Macro",INDEX($S$5:$S$1000,1):INDEX($S$5:$S$1000,$U180-4),INDEX($S$5:$S$1000,$U180-4))&amp;"."&amp;COUNTIFS($U$5:$U180,$U180,$V$5:$V180,"Sub"))))</f>
        <v/>
      </c>
      <c r="B180" s="57" t="n"/>
      <c r="C180" s="58" t="n"/>
      <c r="D180" s="58" t="n"/>
      <c r="E180" s="59">
        <f>IF(N($AL180)&gt;0,INDEX(rIni_ADM,$AL180),"")</f>
        <v/>
      </c>
      <c r="F180" s="59">
        <f>IF(N($AL180)&gt;0,INDEX(rLim_ADM,$AL180),"")</f>
        <v/>
      </c>
      <c r="G180" s="59" t="n"/>
      <c r="H180" s="60" t="n"/>
      <c r="I180" s="60" t="n"/>
      <c r="J180" s="60" t="n"/>
      <c r="K180" s="60" t="n"/>
      <c r="L180" s="60" t="n"/>
      <c r="M180" s="61">
        <f>IF(NOT((COUNTA($B180:$D180)+COUNTA($G180:$L180)+COUNTA($Q180))&gt;0),"",IF($V180="Sub",IFERROR($X180/INDEX($W$5:$W$1000,$U180-4),""),IF(ISNUMBER($G180),1,IF(N($W180)&gt;0,AVERAGEIFS($X$5:$X$1000,$U$5:$U$1000,ROW(),$V$5:$V$1000,"Sub"),$X180))))</f>
        <v/>
      </c>
      <c r="N180" s="56">
        <f>IF(OR($M180="",$V180="Sub"),"",IF($M180&gt;=1,"Completado",IF($M180&gt;0,"En curso","Pendiente")))</f>
        <v/>
      </c>
      <c r="O180" s="56">
        <f>IF(OR(NOT((COUNTA($B180:$D180)+COUNTA($G180:$L180)+COUNTA($Q180))&gt;0),$V180="Sub"),"",IF(ISNUMBER($G180),IF(AND(ISNUMBER($AN180),$G180&gt;$AN180),"Cumplida con "&amp;($G180-$AN180)&amp;IF($G180-$AN180=1," día"," días")&amp;" de retraso","Cumplida"),IF(N($M180)&gt;=1,"Cumplida",IF(NOT(ISNUMBER($AN180)),"Sin fecha límite",IF($AN180&lt;FechaRef,"Vencida hace "&amp;(FechaRef-$AN180)&amp;IF(FechaRef-$AN180=1," día"," días"),IF($AN180=FechaRef,"Vence hoy",IF($AN180-FechaRef&lt;=DiasAlerta,"Vence en "&amp;($AN180-FechaRef)&amp;IF($AN180-FechaRef=1," día"," días"),"En plazo")))))))</f>
        <v/>
      </c>
      <c r="P180" s="62" t="n"/>
      <c r="Q180" s="58" t="n"/>
      <c r="R180" s="63">
        <f>IF(NOT((COUNTA($B180:$D180)+COUNTA($G180:$L180)+COUNTA($Q180))&gt;0),"",IF((IF($C180="","Falta el nombre de la actividad"&amp;" · ","")&amp;IF(AND($V180="Sub",N($U180)=0),"Subactividad sin macroactividad arriba"&amp;" · ","")&amp;IF($AM180="","Sin fecha de inicio"&amp;" · ","")&amp;IF($AN180="","Sin fecha límite"&amp;" · ","")&amp;IF(AND(LEFT($C180,11)="[Jefatura] ",N($AL180)=0),"No se encuentra en la hoja de la jefatura (elíjala de nuevo en la lista)"&amp;" · ","")&amp;IF(OR(AND($E180&lt;&gt;"",NOT(ISNUMBER($E180))),AND($F180&lt;&gt;"",NOT(ISNUMBER($F180))),AND($G180&lt;&gt;"",NOT(ISNUMBER($G180)))),"Fecha no válida"&amp;" · ","")&amp;IF(AND(ISNUMBER($AM180),ISNUMBER($AN180),$AM180&gt;$AN180),"Inicio posterior a fecha límite"&amp;" · ","")&amp;IF(AND($V180="Macro",$H180&lt;&gt;"",OR(NOT(ISNUMBER($H180)),$H180&lt;0,$H180&gt;1)),"Peso fuera de rango"&amp;" · ","")&amp;IF(AND($V180="Sub",$H180&lt;&gt;""),"Las subactividades no llevan peso (valen igual dentro de su macroactividad)"&amp;" · ","")&amp;IF(AND(N($W180)&gt;0,COUNT($I180:$L180)&gt;0),"Con subactividades: deje vacías las semanas (se calculan solas)"&amp;" · ","")&amp;IF((COUNTIF($I180:$L180,"&gt;1")+COUNTIF($I180:$L180,"&lt;0")+COUNTA($I180:$L180)-COUNT($I180:$L180))&gt;0,"Avance fuera de rango 0-100%"&amp;" · ","")&amp;IF(OR(AND($J180&lt;&gt;"",$J180&lt;$I180),AND($K180&lt;&gt;"",$K180&lt;MAX($I180:$J180)),AND($L180&lt;&gt;"",$L180&lt;MAX($I180:$K180))),"Avance semanal decreciente"&amp;" · ","")&amp;IF(AND(ISNUMBER($AN180),$AN180&lt;FechaRef,IF($V180="Sub",N($X180),N($M180))&lt;1),"Vencida"&amp;" · ","")&amp;IF(AND(ObsObligatoria="Sí",ISNUMBER($AN180),$AN180&lt;FechaRef,IF($V180="Sub",N($X180),N($M180))&lt;1,$Q180=""),"Vencida sin observación"&amp;" · ",""))="","✔ OK","⚠ "&amp;LEFT(IF($C180="","Falta el nombre de la actividad"&amp;" · ","")&amp;IF(AND($V180="Sub",N($U180)=0),"Subactividad sin macroactividad arriba"&amp;" · ","")&amp;IF($AM180="","Sin fecha de inicio"&amp;" · ","")&amp;IF($AN180="","Sin fecha límite"&amp;" · ","")&amp;IF(AND(LEFT($C180,11)="[Jefatura] ",N($AL180)=0),"No se encuentra en la hoja de la jefatura (elíjala de nuevo en la lista)"&amp;" · ","")&amp;IF(OR(AND($E180&lt;&gt;"",NOT(ISNUMBER($E180))),AND($F180&lt;&gt;"",NOT(ISNUMBER($F180))),AND($G180&lt;&gt;"",NOT(ISNUMBER($G180)))),"Fecha no válida"&amp;" · ","")&amp;IF(AND(ISNUMBER($AM180),ISNUMBER($AN180),$AM180&gt;$AN180),"Inicio posterior a fecha límite"&amp;" · ","")&amp;IF(AND($V180="Macro",$H180&lt;&gt;"",OR(NOT(ISNUMBER($H180)),$H180&lt;0,$H180&gt;1)),"Peso fuera de rango"&amp;" · ","")&amp;IF(AND($V180="Sub",$H180&lt;&gt;""),"Las subactividades no llevan peso (valen igual dentro de su macroactividad)"&amp;" · ","")&amp;IF(AND(N($W180)&gt;0,COUNT($I180:$L180)&gt;0),"Con subactividades: deje vacías las semanas (se calculan solas)"&amp;" · ","")&amp;IF((COUNTIF($I180:$L180,"&gt;1")+COUNTIF($I180:$L180,"&lt;0")+COUNTA($I180:$L180)-COUNT($I180:$L180))&gt;0,"Avance fuera de rango 0-100%"&amp;" · ","")&amp;IF(OR(AND($J180&lt;&gt;"",$J180&lt;$I180),AND($K180&lt;&gt;"",$K180&lt;MAX($I180:$J180)),AND($L180&lt;&gt;"",$L180&lt;MAX($I180:$K180))),"Avance semanal decreciente"&amp;" · ","")&amp;IF(AND(ISNUMBER($AN180),$AN180&lt;FechaRef,IF($V180="Sub",N($X180),N($M180))&lt;1),"Vencida"&amp;" · ","")&amp;IF(AND(ObsObligatoria="Sí",ISNUMBER($AN180),$AN180&lt;FechaRef,IF($V180="Sub",N($X180),N($M180))&lt;1,$Q180=""),"Vencida sin observación"&amp;" · ",""),LEN(IF($C180="","Falta el nombre de la actividad"&amp;" · ","")&amp;IF(AND($V180="Sub",N($U180)=0),"Subactividad sin macroactividad arriba"&amp;" · ","")&amp;IF($AM180="","Sin fecha de inicio"&amp;" · ","")&amp;IF($AN180="","Sin fecha límite"&amp;" · ","")&amp;IF(AND(LEFT($C180,11)="[Jefatura] ",N($AL180)=0),"No se encuentra en la hoja de la jefatura (elíjala de nuevo en la lista)"&amp;" · ","")&amp;IF(OR(AND($E180&lt;&gt;"",NOT(ISNUMBER($E180))),AND($F180&lt;&gt;"",NOT(ISNUMBER($F180))),AND($G180&lt;&gt;"",NOT(ISNUMBER($G180)))),"Fecha no válida"&amp;" · ","")&amp;IF(AND(ISNUMBER($AM180),ISNUMBER($AN180),$AM180&gt;$AN180),"Inicio posterior a fecha límite"&amp;" · ","")&amp;IF(AND($V180="Macro",$H180&lt;&gt;"",OR(NOT(ISNUMBER($H180)),$H180&lt;0,$H180&gt;1)),"Peso fuera de rango"&amp;" · ","")&amp;IF(AND($V180="Sub",$H180&lt;&gt;""),"Las subactividades no llevan peso (valen igual dentro de su macroactividad)"&amp;" · ","")&amp;IF(AND(N($W180)&gt;0,COUNT($I180:$L180)&gt;0),"Con subactividades: deje vacías las semanas (se calculan solas)"&amp;" · ","")&amp;IF((COUNTIF($I180:$L180,"&gt;1")+COUNTIF($I180:$L180,"&lt;0")+COUNTA($I180:$L180)-COUNT($I180:$L180))&gt;0,"Avance fuera de rango 0-100%"&amp;" · ","")&amp;IF(OR(AND($J180&lt;&gt;"",$J180&lt;$I180),AND($K180&lt;&gt;"",$K180&lt;MAX($I180:$J180)),AND($L180&lt;&gt;"",$L180&lt;MAX($I180:$K180))),"Avance semanal decreciente"&amp;" · ","")&amp;IF(AND(ISNUMBER($AN180),$AN180&lt;FechaRef,IF($V180="Sub",N($X180),N($M180))&lt;1),"Vencida"&amp;" · ","")&amp;IF(AND(ObsObligatoria="Sí",ISNUMBER($AN180),$AN180&lt;FechaRef,IF($V180="Sub",N($X180),N($M180))&lt;1,$Q180=""),"Vencida sin observación"&amp;" · ",""))-3)))</f>
        <v/>
      </c>
      <c r="S180" s="64">
        <f>IF(NOT((COUNTA($B180:$D180)+COUNTA($G180:$L180)+COUNTA($Q180))&gt;0),"",IF(AND($V180="Sub",N($U180)&gt;0),IF(ISNUMBER(INDEX($AM$5:$AM$1000,$U180-4)),DATE(YEAR(INDEX($AM$5:$AM$1000,$U180-4)),MONTH(INDEX($AM$5:$AM$1000,$U180-4)),1),IF(ISNUMBER(INDEX($AN$5:$AN$1000,$U180-4)),DATE(YEAR(INDEX($AN$5:$AN$1000,$U180-4)),MONTH(INDEX($AN$5:$AN$1000,$U180-4)),1),MesCiclo)),IF(ISNUMBER($AM180),DATE(YEAR($AM180),MONTH($AM180),1),IF(ISNUMBER($AN180),DATE(YEAR($AN180),MONTH($AN180),1),MesCiclo))))</f>
        <v/>
      </c>
      <c r="T180" s="62">
        <f>IF(OR($S180="",$S180&lt;&gt;MesCiclo,$V180&lt;&gt;"Macro"),"",COUNTIFS($S$5:$S180,MesCiclo,$V$5:$V180,"Macro"))</f>
        <v/>
      </c>
      <c r="U180" s="62">
        <f>IF($V180="","",IF($V180="Macro",ROW(),IFERROR(LOOKUP(2,1/($V$5:$V180="Macro"),ROW($V$5:$V180)),0)))</f>
        <v/>
      </c>
      <c r="V180" s="62">
        <f>IF(NOT((COUNTA($B180:$D180)+COUNTA($G180:$L180)+COUNTA($Q180))&gt;0),"",IF($B180="Subactividad","Sub","Macro"))</f>
        <v/>
      </c>
      <c r="W180" s="62">
        <f>IF($V180="Macro",COUNTIFS($U$5:$U$1000,ROW(),$V$5:$V$1000,"Sub"),"")</f>
        <v/>
      </c>
      <c r="X180" s="62">
        <f>IF($V180="","",IF(ISNUMBER($G180),1,IFERROR(LOOKUP(2,1/($I180:$L180&lt;&gt;""),$I180:$L180),0)))</f>
        <v/>
      </c>
      <c r="Y180" s="62">
        <f>IF($V180="","",IF(AND(ISNUMBER($G180),$G180&lt;=IF($S180=MesCiclo,InicioCiclo,$S180+MOD(2-WEEKDAY($S180),7))+6),1,IF(ISNUMBER($I180),$I180,0)))</f>
        <v/>
      </c>
      <c r="Z180" s="62">
        <f>IF($V180="","",IF(AND(ISNUMBER($G180),$G180&lt;=IF($S180=MesCiclo,InicioCiclo,$S180+MOD(2-WEEKDAY($S180),7))+13),1,IF(ISNUMBER($J180),$J180,$Y180)))</f>
        <v/>
      </c>
      <c r="AA180" s="62">
        <f>IF($V180="","",IF(AND(ISNUMBER($G180),$G180&lt;=IF($S180=MesCiclo,InicioCiclo,$S180+MOD(2-WEEKDAY($S180),7))+20),1,IF(ISNUMBER($K180),$K180,$Z180)))</f>
        <v/>
      </c>
      <c r="AB180" s="62">
        <f>IF($V180="","",IF(AND(ISNUMBER($G180),$G180&lt;=IF($S180=MesCiclo,InicioCiclo,$S180+MOD(2-WEEKDAY($S180),7))+27),1,IF(ISNUMBER($L180),$L180,$AA180)))</f>
        <v/>
      </c>
      <c r="AC180" s="62">
        <f>IF($V180="","",IF(AND(ISNUMBER($G180),$G180&lt;=IF($S180=MesCiclo,InicioCiclo,$S180+MOD(2-WEEKDAY($S180),7))+6),1,IF(N($W180)&gt;0,AVERAGEIFS($Y$5:$Y$1000,$U$5:$U$1000,ROW(),$V$5:$V$1000,"Sub"),$Y180)))</f>
        <v/>
      </c>
      <c r="AD180" s="62">
        <f>IF($V180="","",IF(AND(ISNUMBER($G180),$G180&lt;=IF($S180=MesCiclo,InicioCiclo,$S180+MOD(2-WEEKDAY($S180),7))+13),1,IF(N($W180)&gt;0,AVERAGEIFS($Z$5:$Z$1000,$U$5:$U$1000,ROW(),$V$5:$V$1000,"Sub"),$Z180)))</f>
        <v/>
      </c>
      <c r="AE180" s="62">
        <f>IF($V180="","",IF(AND(ISNUMBER($G180),$G180&lt;=IF($S180=MesCiclo,InicioCiclo,$S180+MOD(2-WEEKDAY($S180),7))+20),1,IF(N($W180)&gt;0,AVERAGEIFS($AA$5:$AA$1000,$U$5:$U$1000,ROW(),$V$5:$V$1000,"Sub"),$AA180)))</f>
        <v/>
      </c>
      <c r="AF180" s="62">
        <f>IF($V180="","",IF(AND(ISNUMBER($G180),$G180&lt;=IF($S180=MesCiclo,InicioCiclo,$S180+MOD(2-WEEKDAY($S180),7))+27),1,IF(N($W180)&gt;0,AVERAGEIFS($AB$5:$AB$1000,$U$5:$U$1000,ROW(),$V$5:$V$1000,"Sub"),$AB180)))</f>
        <v/>
      </c>
      <c r="AG180" s="62">
        <f>IF($V180&lt;&gt;"Macro","",IF(COUNTIFS($S$5:$S$1000,$S180,$V$5:$V$1000,"Macro",$H$5:$H$1000,"&gt;0")=0,1/COUNTIFS($S$5:$S$1000,$S180,$V$5:$V$1000,"Macro"),IF(AND(ISNUMBER($H180),N($H180)&gt;0),$H180,SUMIFS($H$5:$H$1000,$S$5:$S$1000,$S180,$V$5:$V$1000,"Macro")/COUNTIFS($S$5:$S$1000,$S180,$V$5:$V$1000,"Macro",$H$5:$H$1000,"&gt;0"))/(COUNTIFS($S$5:$S$1000,$S180,$V$5:$V$1000,"Macro")*SUMIFS($H$5:$H$1000,$S$5:$S$1000,$S180,$V$5:$V$1000,"Macro")/COUNTIFS($S$5:$S$1000,$S180,$V$5:$V$1000,"Macro",$H$5:$H$1000,"&gt;0"))))</f>
        <v/>
      </c>
      <c r="AH180" s="62" t="n"/>
      <c r="AI180" s="62" t="n"/>
      <c r="AJ180" s="62" t="n"/>
      <c r="AK180" s="62" t="n"/>
      <c r="AL180" s="62">
        <f>IF(LEFT($C180,11)="[Jefatura] ",IFERROR(MATCH("Riesgo Financiero|"&amp;MID($C180,12,500),rDname_ADM,0),0),"")</f>
        <v/>
      </c>
      <c r="AM180" s="62">
        <f>IF(N($AL180)&gt;0,INDEX(rIni_ADM,$AL180),IF(ISNUMBER($E180),$E180,""))</f>
        <v/>
      </c>
      <c r="AN180" s="62">
        <f>IF(N($AL180)&gt;0,INDEX(rLim_ADM,$AL180),IF(ISNUMBER($F180),$F180,""))</f>
        <v/>
      </c>
    </row>
    <row r="181">
      <c r="A181" s="56">
        <f>IF(NOT((COUNTA($B181:$D181)+COUNTA($G181:$L181)+COUNTA($Q181))&gt;0),"",IF($V181="Macro",COUNTIFS($V$5:$V181,"Macro",$S$5:$S181,$S181),IF(N($U181)=0,"?",COUNTIFS(INDEX($V$5:$V$1000,1):INDEX($V$5:$V$1000,$U181-4),"Macro",INDEX($S$5:$S$1000,1):INDEX($S$5:$S$1000,$U181-4),INDEX($S$5:$S$1000,$U181-4))&amp;"."&amp;COUNTIFS($U$5:$U181,$U181,$V$5:$V181,"Sub"))))</f>
        <v/>
      </c>
      <c r="B181" s="57" t="n"/>
      <c r="C181" s="58" t="n"/>
      <c r="D181" s="58" t="n"/>
      <c r="E181" s="59">
        <f>IF(N($AL181)&gt;0,INDEX(rIni_ADM,$AL181),"")</f>
        <v/>
      </c>
      <c r="F181" s="59">
        <f>IF(N($AL181)&gt;0,INDEX(rLim_ADM,$AL181),"")</f>
        <v/>
      </c>
      <c r="G181" s="59" t="n"/>
      <c r="H181" s="60" t="n"/>
      <c r="I181" s="60" t="n"/>
      <c r="J181" s="60" t="n"/>
      <c r="K181" s="60" t="n"/>
      <c r="L181" s="60" t="n"/>
      <c r="M181" s="61">
        <f>IF(NOT((COUNTA($B181:$D181)+COUNTA($G181:$L181)+COUNTA($Q181))&gt;0),"",IF($V181="Sub",IFERROR($X181/INDEX($W$5:$W$1000,$U181-4),""),IF(ISNUMBER($G181),1,IF(N($W181)&gt;0,AVERAGEIFS($X$5:$X$1000,$U$5:$U$1000,ROW(),$V$5:$V$1000,"Sub"),$X181))))</f>
        <v/>
      </c>
      <c r="N181" s="56">
        <f>IF(OR($M181="",$V181="Sub"),"",IF($M181&gt;=1,"Completado",IF($M181&gt;0,"En curso","Pendiente")))</f>
        <v/>
      </c>
      <c r="O181" s="56">
        <f>IF(OR(NOT((COUNTA($B181:$D181)+COUNTA($G181:$L181)+COUNTA($Q181))&gt;0),$V181="Sub"),"",IF(ISNUMBER($G181),IF(AND(ISNUMBER($AN181),$G181&gt;$AN181),"Cumplida con "&amp;($G181-$AN181)&amp;IF($G181-$AN181=1," día"," días")&amp;" de retraso","Cumplida"),IF(N($M181)&gt;=1,"Cumplida",IF(NOT(ISNUMBER($AN181)),"Sin fecha límite",IF($AN181&lt;FechaRef,"Vencida hace "&amp;(FechaRef-$AN181)&amp;IF(FechaRef-$AN181=1," día"," días"),IF($AN181=FechaRef,"Vence hoy",IF($AN181-FechaRef&lt;=DiasAlerta,"Vence en "&amp;($AN181-FechaRef)&amp;IF($AN181-FechaRef=1," día"," días"),"En plazo")))))))</f>
        <v/>
      </c>
      <c r="P181" s="62" t="n"/>
      <c r="Q181" s="58" t="n"/>
      <c r="R181" s="63">
        <f>IF(NOT((COUNTA($B181:$D181)+COUNTA($G181:$L181)+COUNTA($Q181))&gt;0),"",IF((IF($C181="","Falta el nombre de la actividad"&amp;" · ","")&amp;IF(AND($V181="Sub",N($U181)=0),"Subactividad sin macroactividad arriba"&amp;" · ","")&amp;IF($AM181="","Sin fecha de inicio"&amp;" · ","")&amp;IF($AN181="","Sin fecha límite"&amp;" · ","")&amp;IF(AND(LEFT($C181,11)="[Jefatura] ",N($AL181)=0),"No se encuentra en la hoja de la jefatura (elíjala de nuevo en la lista)"&amp;" · ","")&amp;IF(OR(AND($E181&lt;&gt;"",NOT(ISNUMBER($E181))),AND($F181&lt;&gt;"",NOT(ISNUMBER($F181))),AND($G181&lt;&gt;"",NOT(ISNUMBER($G181)))),"Fecha no válida"&amp;" · ","")&amp;IF(AND(ISNUMBER($AM181),ISNUMBER($AN181),$AM181&gt;$AN181),"Inicio posterior a fecha límite"&amp;" · ","")&amp;IF(AND($V181="Macro",$H181&lt;&gt;"",OR(NOT(ISNUMBER($H181)),$H181&lt;0,$H181&gt;1)),"Peso fuera de rango"&amp;" · ","")&amp;IF(AND($V181="Sub",$H181&lt;&gt;""),"Las subactividades no llevan peso (valen igual dentro de su macroactividad)"&amp;" · ","")&amp;IF(AND(N($W181)&gt;0,COUNT($I181:$L181)&gt;0),"Con subactividades: deje vacías las semanas (se calculan solas)"&amp;" · ","")&amp;IF((COUNTIF($I181:$L181,"&gt;1")+COUNTIF($I181:$L181,"&lt;0")+COUNTA($I181:$L181)-COUNT($I181:$L181))&gt;0,"Avance fuera de rango 0-100%"&amp;" · ","")&amp;IF(OR(AND($J181&lt;&gt;"",$J181&lt;$I181),AND($K181&lt;&gt;"",$K181&lt;MAX($I181:$J181)),AND($L181&lt;&gt;"",$L181&lt;MAX($I181:$K181))),"Avance semanal decreciente"&amp;" · ","")&amp;IF(AND(ISNUMBER($AN181),$AN181&lt;FechaRef,IF($V181="Sub",N($X181),N($M181))&lt;1),"Vencida"&amp;" · ","")&amp;IF(AND(ObsObligatoria="Sí",ISNUMBER($AN181),$AN181&lt;FechaRef,IF($V181="Sub",N($X181),N($M181))&lt;1,$Q181=""),"Vencida sin observación"&amp;" · ",""))="","✔ OK","⚠ "&amp;LEFT(IF($C181="","Falta el nombre de la actividad"&amp;" · ","")&amp;IF(AND($V181="Sub",N($U181)=0),"Subactividad sin macroactividad arriba"&amp;" · ","")&amp;IF($AM181="","Sin fecha de inicio"&amp;" · ","")&amp;IF($AN181="","Sin fecha límite"&amp;" · ","")&amp;IF(AND(LEFT($C181,11)="[Jefatura] ",N($AL181)=0),"No se encuentra en la hoja de la jefatura (elíjala de nuevo en la lista)"&amp;" · ","")&amp;IF(OR(AND($E181&lt;&gt;"",NOT(ISNUMBER($E181))),AND($F181&lt;&gt;"",NOT(ISNUMBER($F181))),AND($G181&lt;&gt;"",NOT(ISNUMBER($G181)))),"Fecha no válida"&amp;" · ","")&amp;IF(AND(ISNUMBER($AM181),ISNUMBER($AN181),$AM181&gt;$AN181),"Inicio posterior a fecha límite"&amp;" · ","")&amp;IF(AND($V181="Macro",$H181&lt;&gt;"",OR(NOT(ISNUMBER($H181)),$H181&lt;0,$H181&gt;1)),"Peso fuera de rango"&amp;" · ","")&amp;IF(AND($V181="Sub",$H181&lt;&gt;""),"Las subactividades no llevan peso (valen igual dentro de su macroactividad)"&amp;" · ","")&amp;IF(AND(N($W181)&gt;0,COUNT($I181:$L181)&gt;0),"Con subactividades: deje vacías las semanas (se calculan solas)"&amp;" · ","")&amp;IF((COUNTIF($I181:$L181,"&gt;1")+COUNTIF($I181:$L181,"&lt;0")+COUNTA($I181:$L181)-COUNT($I181:$L181))&gt;0,"Avance fuera de rango 0-100%"&amp;" · ","")&amp;IF(OR(AND($J181&lt;&gt;"",$J181&lt;$I181),AND($K181&lt;&gt;"",$K181&lt;MAX($I181:$J181)),AND($L181&lt;&gt;"",$L181&lt;MAX($I181:$K181))),"Avance semanal decreciente"&amp;" · ","")&amp;IF(AND(ISNUMBER($AN181),$AN181&lt;FechaRef,IF($V181="Sub",N($X181),N($M181))&lt;1),"Vencida"&amp;" · ","")&amp;IF(AND(ObsObligatoria="Sí",ISNUMBER($AN181),$AN181&lt;FechaRef,IF($V181="Sub",N($X181),N($M181))&lt;1,$Q181=""),"Vencida sin observación"&amp;" · ",""),LEN(IF($C181="","Falta el nombre de la actividad"&amp;" · ","")&amp;IF(AND($V181="Sub",N($U181)=0),"Subactividad sin macroactividad arriba"&amp;" · ","")&amp;IF($AM181="","Sin fecha de inicio"&amp;" · ","")&amp;IF($AN181="","Sin fecha límite"&amp;" · ","")&amp;IF(AND(LEFT($C181,11)="[Jefatura] ",N($AL181)=0),"No se encuentra en la hoja de la jefatura (elíjala de nuevo en la lista)"&amp;" · ","")&amp;IF(OR(AND($E181&lt;&gt;"",NOT(ISNUMBER($E181))),AND($F181&lt;&gt;"",NOT(ISNUMBER($F181))),AND($G181&lt;&gt;"",NOT(ISNUMBER($G181)))),"Fecha no válida"&amp;" · ","")&amp;IF(AND(ISNUMBER($AM181),ISNUMBER($AN181),$AM181&gt;$AN181),"Inicio posterior a fecha límite"&amp;" · ","")&amp;IF(AND($V181="Macro",$H181&lt;&gt;"",OR(NOT(ISNUMBER($H181)),$H181&lt;0,$H181&gt;1)),"Peso fuera de rango"&amp;" · ","")&amp;IF(AND($V181="Sub",$H181&lt;&gt;""),"Las subactividades no llevan peso (valen igual dentro de su macroactividad)"&amp;" · ","")&amp;IF(AND(N($W181)&gt;0,COUNT($I181:$L181)&gt;0),"Con subactividades: deje vacías las semanas (se calculan solas)"&amp;" · ","")&amp;IF((COUNTIF($I181:$L181,"&gt;1")+COUNTIF($I181:$L181,"&lt;0")+COUNTA($I181:$L181)-COUNT($I181:$L181))&gt;0,"Avance fuera de rango 0-100%"&amp;" · ","")&amp;IF(OR(AND($J181&lt;&gt;"",$J181&lt;$I181),AND($K181&lt;&gt;"",$K181&lt;MAX($I181:$J181)),AND($L181&lt;&gt;"",$L181&lt;MAX($I181:$K181))),"Avance semanal decreciente"&amp;" · ","")&amp;IF(AND(ISNUMBER($AN181),$AN181&lt;FechaRef,IF($V181="Sub",N($X181),N($M181))&lt;1),"Vencida"&amp;" · ","")&amp;IF(AND(ObsObligatoria="Sí",ISNUMBER($AN181),$AN181&lt;FechaRef,IF($V181="Sub",N($X181),N($M181))&lt;1,$Q181=""),"Vencida sin observación"&amp;" · ",""))-3)))</f>
        <v/>
      </c>
      <c r="S181" s="64">
        <f>IF(NOT((COUNTA($B181:$D181)+COUNTA($G181:$L181)+COUNTA($Q181))&gt;0),"",IF(AND($V181="Sub",N($U181)&gt;0),IF(ISNUMBER(INDEX($AM$5:$AM$1000,$U181-4)),DATE(YEAR(INDEX($AM$5:$AM$1000,$U181-4)),MONTH(INDEX($AM$5:$AM$1000,$U181-4)),1),IF(ISNUMBER(INDEX($AN$5:$AN$1000,$U181-4)),DATE(YEAR(INDEX($AN$5:$AN$1000,$U181-4)),MONTH(INDEX($AN$5:$AN$1000,$U181-4)),1),MesCiclo)),IF(ISNUMBER($AM181),DATE(YEAR($AM181),MONTH($AM181),1),IF(ISNUMBER($AN181),DATE(YEAR($AN181),MONTH($AN181),1),MesCiclo))))</f>
        <v/>
      </c>
      <c r="T181" s="62">
        <f>IF(OR($S181="",$S181&lt;&gt;MesCiclo,$V181&lt;&gt;"Macro"),"",COUNTIFS($S$5:$S181,MesCiclo,$V$5:$V181,"Macro"))</f>
        <v/>
      </c>
      <c r="U181" s="62">
        <f>IF($V181="","",IF($V181="Macro",ROW(),IFERROR(LOOKUP(2,1/($V$5:$V181="Macro"),ROW($V$5:$V181)),0)))</f>
        <v/>
      </c>
      <c r="V181" s="62">
        <f>IF(NOT((COUNTA($B181:$D181)+COUNTA($G181:$L181)+COUNTA($Q181))&gt;0),"",IF($B181="Subactividad","Sub","Macro"))</f>
        <v/>
      </c>
      <c r="W181" s="62">
        <f>IF($V181="Macro",COUNTIFS($U$5:$U$1000,ROW(),$V$5:$V$1000,"Sub"),"")</f>
        <v/>
      </c>
      <c r="X181" s="62">
        <f>IF($V181="","",IF(ISNUMBER($G181),1,IFERROR(LOOKUP(2,1/($I181:$L181&lt;&gt;""),$I181:$L181),0)))</f>
        <v/>
      </c>
      <c r="Y181" s="62">
        <f>IF($V181="","",IF(AND(ISNUMBER($G181),$G181&lt;=IF($S181=MesCiclo,InicioCiclo,$S181+MOD(2-WEEKDAY($S181),7))+6),1,IF(ISNUMBER($I181),$I181,0)))</f>
        <v/>
      </c>
      <c r="Z181" s="62">
        <f>IF($V181="","",IF(AND(ISNUMBER($G181),$G181&lt;=IF($S181=MesCiclo,InicioCiclo,$S181+MOD(2-WEEKDAY($S181),7))+13),1,IF(ISNUMBER($J181),$J181,$Y181)))</f>
        <v/>
      </c>
      <c r="AA181" s="62">
        <f>IF($V181="","",IF(AND(ISNUMBER($G181),$G181&lt;=IF($S181=MesCiclo,InicioCiclo,$S181+MOD(2-WEEKDAY($S181),7))+20),1,IF(ISNUMBER($K181),$K181,$Z181)))</f>
        <v/>
      </c>
      <c r="AB181" s="62">
        <f>IF($V181="","",IF(AND(ISNUMBER($G181),$G181&lt;=IF($S181=MesCiclo,InicioCiclo,$S181+MOD(2-WEEKDAY($S181),7))+27),1,IF(ISNUMBER($L181),$L181,$AA181)))</f>
        <v/>
      </c>
      <c r="AC181" s="62">
        <f>IF($V181="","",IF(AND(ISNUMBER($G181),$G181&lt;=IF($S181=MesCiclo,InicioCiclo,$S181+MOD(2-WEEKDAY($S181),7))+6),1,IF(N($W181)&gt;0,AVERAGEIFS($Y$5:$Y$1000,$U$5:$U$1000,ROW(),$V$5:$V$1000,"Sub"),$Y181)))</f>
        <v/>
      </c>
      <c r="AD181" s="62">
        <f>IF($V181="","",IF(AND(ISNUMBER($G181),$G181&lt;=IF($S181=MesCiclo,InicioCiclo,$S181+MOD(2-WEEKDAY($S181),7))+13),1,IF(N($W181)&gt;0,AVERAGEIFS($Z$5:$Z$1000,$U$5:$U$1000,ROW(),$V$5:$V$1000,"Sub"),$Z181)))</f>
        <v/>
      </c>
      <c r="AE181" s="62">
        <f>IF($V181="","",IF(AND(ISNUMBER($G181),$G181&lt;=IF($S181=MesCiclo,InicioCiclo,$S181+MOD(2-WEEKDAY($S181),7))+20),1,IF(N($W181)&gt;0,AVERAGEIFS($AA$5:$AA$1000,$U$5:$U$1000,ROW(),$V$5:$V$1000,"Sub"),$AA181)))</f>
        <v/>
      </c>
      <c r="AF181" s="62">
        <f>IF($V181="","",IF(AND(ISNUMBER($G181),$G181&lt;=IF($S181=MesCiclo,InicioCiclo,$S181+MOD(2-WEEKDAY($S181),7))+27),1,IF(N($W181)&gt;0,AVERAGEIFS($AB$5:$AB$1000,$U$5:$U$1000,ROW(),$V$5:$V$1000,"Sub"),$AB181)))</f>
        <v/>
      </c>
      <c r="AG181" s="62">
        <f>IF($V181&lt;&gt;"Macro","",IF(COUNTIFS($S$5:$S$1000,$S181,$V$5:$V$1000,"Macro",$H$5:$H$1000,"&gt;0")=0,1/COUNTIFS($S$5:$S$1000,$S181,$V$5:$V$1000,"Macro"),IF(AND(ISNUMBER($H181),N($H181)&gt;0),$H181,SUMIFS($H$5:$H$1000,$S$5:$S$1000,$S181,$V$5:$V$1000,"Macro")/COUNTIFS($S$5:$S$1000,$S181,$V$5:$V$1000,"Macro",$H$5:$H$1000,"&gt;0"))/(COUNTIFS($S$5:$S$1000,$S181,$V$5:$V$1000,"Macro")*SUMIFS($H$5:$H$1000,$S$5:$S$1000,$S181,$V$5:$V$1000,"Macro")/COUNTIFS($S$5:$S$1000,$S181,$V$5:$V$1000,"Macro",$H$5:$H$1000,"&gt;0"))))</f>
        <v/>
      </c>
      <c r="AH181" s="62" t="n"/>
      <c r="AI181" s="62" t="n"/>
      <c r="AJ181" s="62" t="n"/>
      <c r="AK181" s="62" t="n"/>
      <c r="AL181" s="62">
        <f>IF(LEFT($C181,11)="[Jefatura] ",IFERROR(MATCH("Riesgo Financiero|"&amp;MID($C181,12,500),rDname_ADM,0),0),"")</f>
        <v/>
      </c>
      <c r="AM181" s="62">
        <f>IF(N($AL181)&gt;0,INDEX(rIni_ADM,$AL181),IF(ISNUMBER($E181),$E181,""))</f>
        <v/>
      </c>
      <c r="AN181" s="62">
        <f>IF(N($AL181)&gt;0,INDEX(rLim_ADM,$AL181),IF(ISNUMBER($F181),$F181,""))</f>
        <v/>
      </c>
    </row>
    <row r="182">
      <c r="A182" s="56">
        <f>IF(NOT((COUNTA($B182:$D182)+COUNTA($G182:$L182)+COUNTA($Q182))&gt;0),"",IF($V182="Macro",COUNTIFS($V$5:$V182,"Macro",$S$5:$S182,$S182),IF(N($U182)=0,"?",COUNTIFS(INDEX($V$5:$V$1000,1):INDEX($V$5:$V$1000,$U182-4),"Macro",INDEX($S$5:$S$1000,1):INDEX($S$5:$S$1000,$U182-4),INDEX($S$5:$S$1000,$U182-4))&amp;"."&amp;COUNTIFS($U$5:$U182,$U182,$V$5:$V182,"Sub"))))</f>
        <v/>
      </c>
      <c r="B182" s="57" t="n"/>
      <c r="C182" s="58" t="n"/>
      <c r="D182" s="58" t="n"/>
      <c r="E182" s="59">
        <f>IF(N($AL182)&gt;0,INDEX(rIni_ADM,$AL182),"")</f>
        <v/>
      </c>
      <c r="F182" s="59">
        <f>IF(N($AL182)&gt;0,INDEX(rLim_ADM,$AL182),"")</f>
        <v/>
      </c>
      <c r="G182" s="59" t="n"/>
      <c r="H182" s="60" t="n"/>
      <c r="I182" s="60" t="n"/>
      <c r="J182" s="60" t="n"/>
      <c r="K182" s="60" t="n"/>
      <c r="L182" s="60" t="n"/>
      <c r="M182" s="61">
        <f>IF(NOT((COUNTA($B182:$D182)+COUNTA($G182:$L182)+COUNTA($Q182))&gt;0),"",IF($V182="Sub",IFERROR($X182/INDEX($W$5:$W$1000,$U182-4),""),IF(ISNUMBER($G182),1,IF(N($W182)&gt;0,AVERAGEIFS($X$5:$X$1000,$U$5:$U$1000,ROW(),$V$5:$V$1000,"Sub"),$X182))))</f>
        <v/>
      </c>
      <c r="N182" s="56">
        <f>IF(OR($M182="",$V182="Sub"),"",IF($M182&gt;=1,"Completado",IF($M182&gt;0,"En curso","Pendiente")))</f>
        <v/>
      </c>
      <c r="O182" s="56">
        <f>IF(OR(NOT((COUNTA($B182:$D182)+COUNTA($G182:$L182)+COUNTA($Q182))&gt;0),$V182="Sub"),"",IF(ISNUMBER($G182),IF(AND(ISNUMBER($AN182),$G182&gt;$AN182),"Cumplida con "&amp;($G182-$AN182)&amp;IF($G182-$AN182=1," día"," días")&amp;" de retraso","Cumplida"),IF(N($M182)&gt;=1,"Cumplida",IF(NOT(ISNUMBER($AN182)),"Sin fecha límite",IF($AN182&lt;FechaRef,"Vencida hace "&amp;(FechaRef-$AN182)&amp;IF(FechaRef-$AN182=1," día"," días"),IF($AN182=FechaRef,"Vence hoy",IF($AN182-FechaRef&lt;=DiasAlerta,"Vence en "&amp;($AN182-FechaRef)&amp;IF($AN182-FechaRef=1," día"," días"),"En plazo")))))))</f>
        <v/>
      </c>
      <c r="P182" s="62" t="n"/>
      <c r="Q182" s="58" t="n"/>
      <c r="R182" s="63">
        <f>IF(NOT((COUNTA($B182:$D182)+COUNTA($G182:$L182)+COUNTA($Q182))&gt;0),"",IF((IF($C182="","Falta el nombre de la actividad"&amp;" · ","")&amp;IF(AND($V182="Sub",N($U182)=0),"Subactividad sin macroactividad arriba"&amp;" · ","")&amp;IF($AM182="","Sin fecha de inicio"&amp;" · ","")&amp;IF($AN182="","Sin fecha límite"&amp;" · ","")&amp;IF(AND(LEFT($C182,11)="[Jefatura] ",N($AL182)=0),"No se encuentra en la hoja de la jefatura (elíjala de nuevo en la lista)"&amp;" · ","")&amp;IF(OR(AND($E182&lt;&gt;"",NOT(ISNUMBER($E182))),AND($F182&lt;&gt;"",NOT(ISNUMBER($F182))),AND($G182&lt;&gt;"",NOT(ISNUMBER($G182)))),"Fecha no válida"&amp;" · ","")&amp;IF(AND(ISNUMBER($AM182),ISNUMBER($AN182),$AM182&gt;$AN182),"Inicio posterior a fecha límite"&amp;" · ","")&amp;IF(AND($V182="Macro",$H182&lt;&gt;"",OR(NOT(ISNUMBER($H182)),$H182&lt;0,$H182&gt;1)),"Peso fuera de rango"&amp;" · ","")&amp;IF(AND($V182="Sub",$H182&lt;&gt;""),"Las subactividades no llevan peso (valen igual dentro de su macroactividad)"&amp;" · ","")&amp;IF(AND(N($W182)&gt;0,COUNT($I182:$L182)&gt;0),"Con subactividades: deje vacías las semanas (se calculan solas)"&amp;" · ","")&amp;IF((COUNTIF($I182:$L182,"&gt;1")+COUNTIF($I182:$L182,"&lt;0")+COUNTA($I182:$L182)-COUNT($I182:$L182))&gt;0,"Avance fuera de rango 0-100%"&amp;" · ","")&amp;IF(OR(AND($J182&lt;&gt;"",$J182&lt;$I182),AND($K182&lt;&gt;"",$K182&lt;MAX($I182:$J182)),AND($L182&lt;&gt;"",$L182&lt;MAX($I182:$K182))),"Avance semanal decreciente"&amp;" · ","")&amp;IF(AND(ISNUMBER($AN182),$AN182&lt;FechaRef,IF($V182="Sub",N($X182),N($M182))&lt;1),"Vencida"&amp;" · ","")&amp;IF(AND(ObsObligatoria="Sí",ISNUMBER($AN182),$AN182&lt;FechaRef,IF($V182="Sub",N($X182),N($M182))&lt;1,$Q182=""),"Vencida sin observación"&amp;" · ",""))="","✔ OK","⚠ "&amp;LEFT(IF($C182="","Falta el nombre de la actividad"&amp;" · ","")&amp;IF(AND($V182="Sub",N($U182)=0),"Subactividad sin macroactividad arriba"&amp;" · ","")&amp;IF($AM182="","Sin fecha de inicio"&amp;" · ","")&amp;IF($AN182="","Sin fecha límite"&amp;" · ","")&amp;IF(AND(LEFT($C182,11)="[Jefatura] ",N($AL182)=0),"No se encuentra en la hoja de la jefatura (elíjala de nuevo en la lista)"&amp;" · ","")&amp;IF(OR(AND($E182&lt;&gt;"",NOT(ISNUMBER($E182))),AND($F182&lt;&gt;"",NOT(ISNUMBER($F182))),AND($G182&lt;&gt;"",NOT(ISNUMBER($G182)))),"Fecha no válida"&amp;" · ","")&amp;IF(AND(ISNUMBER($AM182),ISNUMBER($AN182),$AM182&gt;$AN182),"Inicio posterior a fecha límite"&amp;" · ","")&amp;IF(AND($V182="Macro",$H182&lt;&gt;"",OR(NOT(ISNUMBER($H182)),$H182&lt;0,$H182&gt;1)),"Peso fuera de rango"&amp;" · ","")&amp;IF(AND($V182="Sub",$H182&lt;&gt;""),"Las subactividades no llevan peso (valen igual dentro de su macroactividad)"&amp;" · ","")&amp;IF(AND(N($W182)&gt;0,COUNT($I182:$L182)&gt;0),"Con subactividades: deje vacías las semanas (se calculan solas)"&amp;" · ","")&amp;IF((COUNTIF($I182:$L182,"&gt;1")+COUNTIF($I182:$L182,"&lt;0")+COUNTA($I182:$L182)-COUNT($I182:$L182))&gt;0,"Avance fuera de rango 0-100%"&amp;" · ","")&amp;IF(OR(AND($J182&lt;&gt;"",$J182&lt;$I182),AND($K182&lt;&gt;"",$K182&lt;MAX($I182:$J182)),AND($L182&lt;&gt;"",$L182&lt;MAX($I182:$K182))),"Avance semanal decreciente"&amp;" · ","")&amp;IF(AND(ISNUMBER($AN182),$AN182&lt;FechaRef,IF($V182="Sub",N($X182),N($M182))&lt;1),"Vencida"&amp;" · ","")&amp;IF(AND(ObsObligatoria="Sí",ISNUMBER($AN182),$AN182&lt;FechaRef,IF($V182="Sub",N($X182),N($M182))&lt;1,$Q182=""),"Vencida sin observación"&amp;" · ",""),LEN(IF($C182="","Falta el nombre de la actividad"&amp;" · ","")&amp;IF(AND($V182="Sub",N($U182)=0),"Subactividad sin macroactividad arriba"&amp;" · ","")&amp;IF($AM182="","Sin fecha de inicio"&amp;" · ","")&amp;IF($AN182="","Sin fecha límite"&amp;" · ","")&amp;IF(AND(LEFT($C182,11)="[Jefatura] ",N($AL182)=0),"No se encuentra en la hoja de la jefatura (elíjala de nuevo en la lista)"&amp;" · ","")&amp;IF(OR(AND($E182&lt;&gt;"",NOT(ISNUMBER($E182))),AND($F182&lt;&gt;"",NOT(ISNUMBER($F182))),AND($G182&lt;&gt;"",NOT(ISNUMBER($G182)))),"Fecha no válida"&amp;" · ","")&amp;IF(AND(ISNUMBER($AM182),ISNUMBER($AN182),$AM182&gt;$AN182),"Inicio posterior a fecha límite"&amp;" · ","")&amp;IF(AND($V182="Macro",$H182&lt;&gt;"",OR(NOT(ISNUMBER($H182)),$H182&lt;0,$H182&gt;1)),"Peso fuera de rango"&amp;" · ","")&amp;IF(AND($V182="Sub",$H182&lt;&gt;""),"Las subactividades no llevan peso (valen igual dentro de su macroactividad)"&amp;" · ","")&amp;IF(AND(N($W182)&gt;0,COUNT($I182:$L182)&gt;0),"Con subactividades: deje vacías las semanas (se calculan solas)"&amp;" · ","")&amp;IF((COUNTIF($I182:$L182,"&gt;1")+COUNTIF($I182:$L182,"&lt;0")+COUNTA($I182:$L182)-COUNT($I182:$L182))&gt;0,"Avance fuera de rango 0-100%"&amp;" · ","")&amp;IF(OR(AND($J182&lt;&gt;"",$J182&lt;$I182),AND($K182&lt;&gt;"",$K182&lt;MAX($I182:$J182)),AND($L182&lt;&gt;"",$L182&lt;MAX($I182:$K182))),"Avance semanal decreciente"&amp;" · ","")&amp;IF(AND(ISNUMBER($AN182),$AN182&lt;FechaRef,IF($V182="Sub",N($X182),N($M182))&lt;1),"Vencida"&amp;" · ","")&amp;IF(AND(ObsObligatoria="Sí",ISNUMBER($AN182),$AN182&lt;FechaRef,IF($V182="Sub",N($X182),N($M182))&lt;1,$Q182=""),"Vencida sin observación"&amp;" · ",""))-3)))</f>
        <v/>
      </c>
      <c r="S182" s="64">
        <f>IF(NOT((COUNTA($B182:$D182)+COUNTA($G182:$L182)+COUNTA($Q182))&gt;0),"",IF(AND($V182="Sub",N($U182)&gt;0),IF(ISNUMBER(INDEX($AM$5:$AM$1000,$U182-4)),DATE(YEAR(INDEX($AM$5:$AM$1000,$U182-4)),MONTH(INDEX($AM$5:$AM$1000,$U182-4)),1),IF(ISNUMBER(INDEX($AN$5:$AN$1000,$U182-4)),DATE(YEAR(INDEX($AN$5:$AN$1000,$U182-4)),MONTH(INDEX($AN$5:$AN$1000,$U182-4)),1),MesCiclo)),IF(ISNUMBER($AM182),DATE(YEAR($AM182),MONTH($AM182),1),IF(ISNUMBER($AN182),DATE(YEAR($AN182),MONTH($AN182),1),MesCiclo))))</f>
        <v/>
      </c>
      <c r="T182" s="62">
        <f>IF(OR($S182="",$S182&lt;&gt;MesCiclo,$V182&lt;&gt;"Macro"),"",COUNTIFS($S$5:$S182,MesCiclo,$V$5:$V182,"Macro"))</f>
        <v/>
      </c>
      <c r="U182" s="62">
        <f>IF($V182="","",IF($V182="Macro",ROW(),IFERROR(LOOKUP(2,1/($V$5:$V182="Macro"),ROW($V$5:$V182)),0)))</f>
        <v/>
      </c>
      <c r="V182" s="62">
        <f>IF(NOT((COUNTA($B182:$D182)+COUNTA($G182:$L182)+COUNTA($Q182))&gt;0),"",IF($B182="Subactividad","Sub","Macro"))</f>
        <v/>
      </c>
      <c r="W182" s="62">
        <f>IF($V182="Macro",COUNTIFS($U$5:$U$1000,ROW(),$V$5:$V$1000,"Sub"),"")</f>
        <v/>
      </c>
      <c r="X182" s="62">
        <f>IF($V182="","",IF(ISNUMBER($G182),1,IFERROR(LOOKUP(2,1/($I182:$L182&lt;&gt;""),$I182:$L182),0)))</f>
        <v/>
      </c>
      <c r="Y182" s="62">
        <f>IF($V182="","",IF(AND(ISNUMBER($G182),$G182&lt;=IF($S182=MesCiclo,InicioCiclo,$S182+MOD(2-WEEKDAY($S182),7))+6),1,IF(ISNUMBER($I182),$I182,0)))</f>
        <v/>
      </c>
      <c r="Z182" s="62">
        <f>IF($V182="","",IF(AND(ISNUMBER($G182),$G182&lt;=IF($S182=MesCiclo,InicioCiclo,$S182+MOD(2-WEEKDAY($S182),7))+13),1,IF(ISNUMBER($J182),$J182,$Y182)))</f>
        <v/>
      </c>
      <c r="AA182" s="62">
        <f>IF($V182="","",IF(AND(ISNUMBER($G182),$G182&lt;=IF($S182=MesCiclo,InicioCiclo,$S182+MOD(2-WEEKDAY($S182),7))+20),1,IF(ISNUMBER($K182),$K182,$Z182)))</f>
        <v/>
      </c>
      <c r="AB182" s="62">
        <f>IF($V182="","",IF(AND(ISNUMBER($G182),$G182&lt;=IF($S182=MesCiclo,InicioCiclo,$S182+MOD(2-WEEKDAY($S182),7))+27),1,IF(ISNUMBER($L182),$L182,$AA182)))</f>
        <v/>
      </c>
      <c r="AC182" s="62">
        <f>IF($V182="","",IF(AND(ISNUMBER($G182),$G182&lt;=IF($S182=MesCiclo,InicioCiclo,$S182+MOD(2-WEEKDAY($S182),7))+6),1,IF(N($W182)&gt;0,AVERAGEIFS($Y$5:$Y$1000,$U$5:$U$1000,ROW(),$V$5:$V$1000,"Sub"),$Y182)))</f>
        <v/>
      </c>
      <c r="AD182" s="62">
        <f>IF($V182="","",IF(AND(ISNUMBER($G182),$G182&lt;=IF($S182=MesCiclo,InicioCiclo,$S182+MOD(2-WEEKDAY($S182),7))+13),1,IF(N($W182)&gt;0,AVERAGEIFS($Z$5:$Z$1000,$U$5:$U$1000,ROW(),$V$5:$V$1000,"Sub"),$Z182)))</f>
        <v/>
      </c>
      <c r="AE182" s="62">
        <f>IF($V182="","",IF(AND(ISNUMBER($G182),$G182&lt;=IF($S182=MesCiclo,InicioCiclo,$S182+MOD(2-WEEKDAY($S182),7))+20),1,IF(N($W182)&gt;0,AVERAGEIFS($AA$5:$AA$1000,$U$5:$U$1000,ROW(),$V$5:$V$1000,"Sub"),$AA182)))</f>
        <v/>
      </c>
      <c r="AF182" s="62">
        <f>IF($V182="","",IF(AND(ISNUMBER($G182),$G182&lt;=IF($S182=MesCiclo,InicioCiclo,$S182+MOD(2-WEEKDAY($S182),7))+27),1,IF(N($W182)&gt;0,AVERAGEIFS($AB$5:$AB$1000,$U$5:$U$1000,ROW(),$V$5:$V$1000,"Sub"),$AB182)))</f>
        <v/>
      </c>
      <c r="AG182" s="62">
        <f>IF($V182&lt;&gt;"Macro","",IF(COUNTIFS($S$5:$S$1000,$S182,$V$5:$V$1000,"Macro",$H$5:$H$1000,"&gt;0")=0,1/COUNTIFS($S$5:$S$1000,$S182,$V$5:$V$1000,"Macro"),IF(AND(ISNUMBER($H182),N($H182)&gt;0),$H182,SUMIFS($H$5:$H$1000,$S$5:$S$1000,$S182,$V$5:$V$1000,"Macro")/COUNTIFS($S$5:$S$1000,$S182,$V$5:$V$1000,"Macro",$H$5:$H$1000,"&gt;0"))/(COUNTIFS($S$5:$S$1000,$S182,$V$5:$V$1000,"Macro")*SUMIFS($H$5:$H$1000,$S$5:$S$1000,$S182,$V$5:$V$1000,"Macro")/COUNTIFS($S$5:$S$1000,$S182,$V$5:$V$1000,"Macro",$H$5:$H$1000,"&gt;0"))))</f>
        <v/>
      </c>
      <c r="AH182" s="62" t="n"/>
      <c r="AI182" s="62" t="n"/>
      <c r="AJ182" s="62" t="n"/>
      <c r="AK182" s="62" t="n"/>
      <c r="AL182" s="62">
        <f>IF(LEFT($C182,11)="[Jefatura] ",IFERROR(MATCH("Riesgo Financiero|"&amp;MID($C182,12,500),rDname_ADM,0),0),"")</f>
        <v/>
      </c>
      <c r="AM182" s="62">
        <f>IF(N($AL182)&gt;0,INDEX(rIni_ADM,$AL182),IF(ISNUMBER($E182),$E182,""))</f>
        <v/>
      </c>
      <c r="AN182" s="62">
        <f>IF(N($AL182)&gt;0,INDEX(rLim_ADM,$AL182),IF(ISNUMBER($F182),$F182,""))</f>
        <v/>
      </c>
    </row>
    <row r="183">
      <c r="A183" s="56">
        <f>IF(NOT((COUNTA($B183:$D183)+COUNTA($G183:$L183)+COUNTA($Q183))&gt;0),"",IF($V183="Macro",COUNTIFS($V$5:$V183,"Macro",$S$5:$S183,$S183),IF(N($U183)=0,"?",COUNTIFS(INDEX($V$5:$V$1000,1):INDEX($V$5:$V$1000,$U183-4),"Macro",INDEX($S$5:$S$1000,1):INDEX($S$5:$S$1000,$U183-4),INDEX($S$5:$S$1000,$U183-4))&amp;"."&amp;COUNTIFS($U$5:$U183,$U183,$V$5:$V183,"Sub"))))</f>
        <v/>
      </c>
      <c r="B183" s="57" t="n"/>
      <c r="C183" s="58" t="n"/>
      <c r="D183" s="58" t="n"/>
      <c r="E183" s="59">
        <f>IF(N($AL183)&gt;0,INDEX(rIni_ADM,$AL183),"")</f>
        <v/>
      </c>
      <c r="F183" s="59">
        <f>IF(N($AL183)&gt;0,INDEX(rLim_ADM,$AL183),"")</f>
        <v/>
      </c>
      <c r="G183" s="59" t="n"/>
      <c r="H183" s="60" t="n"/>
      <c r="I183" s="60" t="n"/>
      <c r="J183" s="60" t="n"/>
      <c r="K183" s="60" t="n"/>
      <c r="L183" s="60" t="n"/>
      <c r="M183" s="61">
        <f>IF(NOT((COUNTA($B183:$D183)+COUNTA($G183:$L183)+COUNTA($Q183))&gt;0),"",IF($V183="Sub",IFERROR($X183/INDEX($W$5:$W$1000,$U183-4),""),IF(ISNUMBER($G183),1,IF(N($W183)&gt;0,AVERAGEIFS($X$5:$X$1000,$U$5:$U$1000,ROW(),$V$5:$V$1000,"Sub"),$X183))))</f>
        <v/>
      </c>
      <c r="N183" s="56">
        <f>IF(OR($M183="",$V183="Sub"),"",IF($M183&gt;=1,"Completado",IF($M183&gt;0,"En curso","Pendiente")))</f>
        <v/>
      </c>
      <c r="O183" s="56">
        <f>IF(OR(NOT((COUNTA($B183:$D183)+COUNTA($G183:$L183)+COUNTA($Q183))&gt;0),$V183="Sub"),"",IF(ISNUMBER($G183),IF(AND(ISNUMBER($AN183),$G183&gt;$AN183),"Cumplida con "&amp;($G183-$AN183)&amp;IF($G183-$AN183=1," día"," días")&amp;" de retraso","Cumplida"),IF(N($M183)&gt;=1,"Cumplida",IF(NOT(ISNUMBER($AN183)),"Sin fecha límite",IF($AN183&lt;FechaRef,"Vencida hace "&amp;(FechaRef-$AN183)&amp;IF(FechaRef-$AN183=1," día"," días"),IF($AN183=FechaRef,"Vence hoy",IF($AN183-FechaRef&lt;=DiasAlerta,"Vence en "&amp;($AN183-FechaRef)&amp;IF($AN183-FechaRef=1," día"," días"),"En plazo")))))))</f>
        <v/>
      </c>
      <c r="P183" s="62" t="n"/>
      <c r="Q183" s="58" t="n"/>
      <c r="R183" s="63">
        <f>IF(NOT((COUNTA($B183:$D183)+COUNTA($G183:$L183)+COUNTA($Q183))&gt;0),"",IF((IF($C183="","Falta el nombre de la actividad"&amp;" · ","")&amp;IF(AND($V183="Sub",N($U183)=0),"Subactividad sin macroactividad arriba"&amp;" · ","")&amp;IF($AM183="","Sin fecha de inicio"&amp;" · ","")&amp;IF($AN183="","Sin fecha límite"&amp;" · ","")&amp;IF(AND(LEFT($C183,11)="[Jefatura] ",N($AL183)=0),"No se encuentra en la hoja de la jefatura (elíjala de nuevo en la lista)"&amp;" · ","")&amp;IF(OR(AND($E183&lt;&gt;"",NOT(ISNUMBER($E183))),AND($F183&lt;&gt;"",NOT(ISNUMBER($F183))),AND($G183&lt;&gt;"",NOT(ISNUMBER($G183)))),"Fecha no válida"&amp;" · ","")&amp;IF(AND(ISNUMBER($AM183),ISNUMBER($AN183),$AM183&gt;$AN183),"Inicio posterior a fecha límite"&amp;" · ","")&amp;IF(AND($V183="Macro",$H183&lt;&gt;"",OR(NOT(ISNUMBER($H183)),$H183&lt;0,$H183&gt;1)),"Peso fuera de rango"&amp;" · ","")&amp;IF(AND($V183="Sub",$H183&lt;&gt;""),"Las subactividades no llevan peso (valen igual dentro de su macroactividad)"&amp;" · ","")&amp;IF(AND(N($W183)&gt;0,COUNT($I183:$L183)&gt;0),"Con subactividades: deje vacías las semanas (se calculan solas)"&amp;" · ","")&amp;IF((COUNTIF($I183:$L183,"&gt;1")+COUNTIF($I183:$L183,"&lt;0")+COUNTA($I183:$L183)-COUNT($I183:$L183))&gt;0,"Avance fuera de rango 0-100%"&amp;" · ","")&amp;IF(OR(AND($J183&lt;&gt;"",$J183&lt;$I183),AND($K183&lt;&gt;"",$K183&lt;MAX($I183:$J183)),AND($L183&lt;&gt;"",$L183&lt;MAX($I183:$K183))),"Avance semanal decreciente"&amp;" · ","")&amp;IF(AND(ISNUMBER($AN183),$AN183&lt;FechaRef,IF($V183="Sub",N($X183),N($M183))&lt;1),"Vencida"&amp;" · ","")&amp;IF(AND(ObsObligatoria="Sí",ISNUMBER($AN183),$AN183&lt;FechaRef,IF($V183="Sub",N($X183),N($M183))&lt;1,$Q183=""),"Vencida sin observación"&amp;" · ",""))="","✔ OK","⚠ "&amp;LEFT(IF($C183="","Falta el nombre de la actividad"&amp;" · ","")&amp;IF(AND($V183="Sub",N($U183)=0),"Subactividad sin macroactividad arriba"&amp;" · ","")&amp;IF($AM183="","Sin fecha de inicio"&amp;" · ","")&amp;IF($AN183="","Sin fecha límite"&amp;" · ","")&amp;IF(AND(LEFT($C183,11)="[Jefatura] ",N($AL183)=0),"No se encuentra en la hoja de la jefatura (elíjala de nuevo en la lista)"&amp;" · ","")&amp;IF(OR(AND($E183&lt;&gt;"",NOT(ISNUMBER($E183))),AND($F183&lt;&gt;"",NOT(ISNUMBER($F183))),AND($G183&lt;&gt;"",NOT(ISNUMBER($G183)))),"Fecha no válida"&amp;" · ","")&amp;IF(AND(ISNUMBER($AM183),ISNUMBER($AN183),$AM183&gt;$AN183),"Inicio posterior a fecha límite"&amp;" · ","")&amp;IF(AND($V183="Macro",$H183&lt;&gt;"",OR(NOT(ISNUMBER($H183)),$H183&lt;0,$H183&gt;1)),"Peso fuera de rango"&amp;" · ","")&amp;IF(AND($V183="Sub",$H183&lt;&gt;""),"Las subactividades no llevan peso (valen igual dentro de su macroactividad)"&amp;" · ","")&amp;IF(AND(N($W183)&gt;0,COUNT($I183:$L183)&gt;0),"Con subactividades: deje vacías las semanas (se calculan solas)"&amp;" · ","")&amp;IF((COUNTIF($I183:$L183,"&gt;1")+COUNTIF($I183:$L183,"&lt;0")+COUNTA($I183:$L183)-COUNT($I183:$L183))&gt;0,"Avance fuera de rango 0-100%"&amp;" · ","")&amp;IF(OR(AND($J183&lt;&gt;"",$J183&lt;$I183),AND($K183&lt;&gt;"",$K183&lt;MAX($I183:$J183)),AND($L183&lt;&gt;"",$L183&lt;MAX($I183:$K183))),"Avance semanal decreciente"&amp;" · ","")&amp;IF(AND(ISNUMBER($AN183),$AN183&lt;FechaRef,IF($V183="Sub",N($X183),N($M183))&lt;1),"Vencida"&amp;" · ","")&amp;IF(AND(ObsObligatoria="Sí",ISNUMBER($AN183),$AN183&lt;FechaRef,IF($V183="Sub",N($X183),N($M183))&lt;1,$Q183=""),"Vencida sin observación"&amp;" · ",""),LEN(IF($C183="","Falta el nombre de la actividad"&amp;" · ","")&amp;IF(AND($V183="Sub",N($U183)=0),"Subactividad sin macroactividad arriba"&amp;" · ","")&amp;IF($AM183="","Sin fecha de inicio"&amp;" · ","")&amp;IF($AN183="","Sin fecha límite"&amp;" · ","")&amp;IF(AND(LEFT($C183,11)="[Jefatura] ",N($AL183)=0),"No se encuentra en la hoja de la jefatura (elíjala de nuevo en la lista)"&amp;" · ","")&amp;IF(OR(AND($E183&lt;&gt;"",NOT(ISNUMBER($E183))),AND($F183&lt;&gt;"",NOT(ISNUMBER($F183))),AND($G183&lt;&gt;"",NOT(ISNUMBER($G183)))),"Fecha no válida"&amp;" · ","")&amp;IF(AND(ISNUMBER($AM183),ISNUMBER($AN183),$AM183&gt;$AN183),"Inicio posterior a fecha límite"&amp;" · ","")&amp;IF(AND($V183="Macro",$H183&lt;&gt;"",OR(NOT(ISNUMBER($H183)),$H183&lt;0,$H183&gt;1)),"Peso fuera de rango"&amp;" · ","")&amp;IF(AND($V183="Sub",$H183&lt;&gt;""),"Las subactividades no llevan peso (valen igual dentro de su macroactividad)"&amp;" · ","")&amp;IF(AND(N($W183)&gt;0,COUNT($I183:$L183)&gt;0),"Con subactividades: deje vacías las semanas (se calculan solas)"&amp;" · ","")&amp;IF((COUNTIF($I183:$L183,"&gt;1")+COUNTIF($I183:$L183,"&lt;0")+COUNTA($I183:$L183)-COUNT($I183:$L183))&gt;0,"Avance fuera de rango 0-100%"&amp;" · ","")&amp;IF(OR(AND($J183&lt;&gt;"",$J183&lt;$I183),AND($K183&lt;&gt;"",$K183&lt;MAX($I183:$J183)),AND($L183&lt;&gt;"",$L183&lt;MAX($I183:$K183))),"Avance semanal decreciente"&amp;" · ","")&amp;IF(AND(ISNUMBER($AN183),$AN183&lt;FechaRef,IF($V183="Sub",N($X183),N($M183))&lt;1),"Vencida"&amp;" · ","")&amp;IF(AND(ObsObligatoria="Sí",ISNUMBER($AN183),$AN183&lt;FechaRef,IF($V183="Sub",N($X183),N($M183))&lt;1,$Q183=""),"Vencida sin observación"&amp;" · ",""))-3)))</f>
        <v/>
      </c>
      <c r="S183" s="64">
        <f>IF(NOT((COUNTA($B183:$D183)+COUNTA($G183:$L183)+COUNTA($Q183))&gt;0),"",IF(AND($V183="Sub",N($U183)&gt;0),IF(ISNUMBER(INDEX($AM$5:$AM$1000,$U183-4)),DATE(YEAR(INDEX($AM$5:$AM$1000,$U183-4)),MONTH(INDEX($AM$5:$AM$1000,$U183-4)),1),IF(ISNUMBER(INDEX($AN$5:$AN$1000,$U183-4)),DATE(YEAR(INDEX($AN$5:$AN$1000,$U183-4)),MONTH(INDEX($AN$5:$AN$1000,$U183-4)),1),MesCiclo)),IF(ISNUMBER($AM183),DATE(YEAR($AM183),MONTH($AM183),1),IF(ISNUMBER($AN183),DATE(YEAR($AN183),MONTH($AN183),1),MesCiclo))))</f>
        <v/>
      </c>
      <c r="T183" s="62">
        <f>IF(OR($S183="",$S183&lt;&gt;MesCiclo,$V183&lt;&gt;"Macro"),"",COUNTIFS($S$5:$S183,MesCiclo,$V$5:$V183,"Macro"))</f>
        <v/>
      </c>
      <c r="U183" s="62">
        <f>IF($V183="","",IF($V183="Macro",ROW(),IFERROR(LOOKUP(2,1/($V$5:$V183="Macro"),ROW($V$5:$V183)),0)))</f>
        <v/>
      </c>
      <c r="V183" s="62">
        <f>IF(NOT((COUNTA($B183:$D183)+COUNTA($G183:$L183)+COUNTA($Q183))&gt;0),"",IF($B183="Subactividad","Sub","Macro"))</f>
        <v/>
      </c>
      <c r="W183" s="62">
        <f>IF($V183="Macro",COUNTIFS($U$5:$U$1000,ROW(),$V$5:$V$1000,"Sub"),"")</f>
        <v/>
      </c>
      <c r="X183" s="62">
        <f>IF($V183="","",IF(ISNUMBER($G183),1,IFERROR(LOOKUP(2,1/($I183:$L183&lt;&gt;""),$I183:$L183),0)))</f>
        <v/>
      </c>
      <c r="Y183" s="62">
        <f>IF($V183="","",IF(AND(ISNUMBER($G183),$G183&lt;=IF($S183=MesCiclo,InicioCiclo,$S183+MOD(2-WEEKDAY($S183),7))+6),1,IF(ISNUMBER($I183),$I183,0)))</f>
        <v/>
      </c>
      <c r="Z183" s="62">
        <f>IF($V183="","",IF(AND(ISNUMBER($G183),$G183&lt;=IF($S183=MesCiclo,InicioCiclo,$S183+MOD(2-WEEKDAY($S183),7))+13),1,IF(ISNUMBER($J183),$J183,$Y183)))</f>
        <v/>
      </c>
      <c r="AA183" s="62">
        <f>IF($V183="","",IF(AND(ISNUMBER($G183),$G183&lt;=IF($S183=MesCiclo,InicioCiclo,$S183+MOD(2-WEEKDAY($S183),7))+20),1,IF(ISNUMBER($K183),$K183,$Z183)))</f>
        <v/>
      </c>
      <c r="AB183" s="62">
        <f>IF($V183="","",IF(AND(ISNUMBER($G183),$G183&lt;=IF($S183=MesCiclo,InicioCiclo,$S183+MOD(2-WEEKDAY($S183),7))+27),1,IF(ISNUMBER($L183),$L183,$AA183)))</f>
        <v/>
      </c>
      <c r="AC183" s="62">
        <f>IF($V183="","",IF(AND(ISNUMBER($G183),$G183&lt;=IF($S183=MesCiclo,InicioCiclo,$S183+MOD(2-WEEKDAY($S183),7))+6),1,IF(N($W183)&gt;0,AVERAGEIFS($Y$5:$Y$1000,$U$5:$U$1000,ROW(),$V$5:$V$1000,"Sub"),$Y183)))</f>
        <v/>
      </c>
      <c r="AD183" s="62">
        <f>IF($V183="","",IF(AND(ISNUMBER($G183),$G183&lt;=IF($S183=MesCiclo,InicioCiclo,$S183+MOD(2-WEEKDAY($S183),7))+13),1,IF(N($W183)&gt;0,AVERAGEIFS($Z$5:$Z$1000,$U$5:$U$1000,ROW(),$V$5:$V$1000,"Sub"),$Z183)))</f>
        <v/>
      </c>
      <c r="AE183" s="62">
        <f>IF($V183="","",IF(AND(ISNUMBER($G183),$G183&lt;=IF($S183=MesCiclo,InicioCiclo,$S183+MOD(2-WEEKDAY($S183),7))+20),1,IF(N($W183)&gt;0,AVERAGEIFS($AA$5:$AA$1000,$U$5:$U$1000,ROW(),$V$5:$V$1000,"Sub"),$AA183)))</f>
        <v/>
      </c>
      <c r="AF183" s="62">
        <f>IF($V183="","",IF(AND(ISNUMBER($G183),$G183&lt;=IF($S183=MesCiclo,InicioCiclo,$S183+MOD(2-WEEKDAY($S183),7))+27),1,IF(N($W183)&gt;0,AVERAGEIFS($AB$5:$AB$1000,$U$5:$U$1000,ROW(),$V$5:$V$1000,"Sub"),$AB183)))</f>
        <v/>
      </c>
      <c r="AG183" s="62">
        <f>IF($V183&lt;&gt;"Macro","",IF(COUNTIFS($S$5:$S$1000,$S183,$V$5:$V$1000,"Macro",$H$5:$H$1000,"&gt;0")=0,1/COUNTIFS($S$5:$S$1000,$S183,$V$5:$V$1000,"Macro"),IF(AND(ISNUMBER($H183),N($H183)&gt;0),$H183,SUMIFS($H$5:$H$1000,$S$5:$S$1000,$S183,$V$5:$V$1000,"Macro")/COUNTIFS($S$5:$S$1000,$S183,$V$5:$V$1000,"Macro",$H$5:$H$1000,"&gt;0"))/(COUNTIFS($S$5:$S$1000,$S183,$V$5:$V$1000,"Macro")*SUMIFS($H$5:$H$1000,$S$5:$S$1000,$S183,$V$5:$V$1000,"Macro")/COUNTIFS($S$5:$S$1000,$S183,$V$5:$V$1000,"Macro",$H$5:$H$1000,"&gt;0"))))</f>
        <v/>
      </c>
      <c r="AH183" s="62" t="n"/>
      <c r="AI183" s="62" t="n"/>
      <c r="AJ183" s="62" t="n"/>
      <c r="AK183" s="62" t="n"/>
      <c r="AL183" s="62">
        <f>IF(LEFT($C183,11)="[Jefatura] ",IFERROR(MATCH("Riesgo Financiero|"&amp;MID($C183,12,500),rDname_ADM,0),0),"")</f>
        <v/>
      </c>
      <c r="AM183" s="62">
        <f>IF(N($AL183)&gt;0,INDEX(rIni_ADM,$AL183),IF(ISNUMBER($E183),$E183,""))</f>
        <v/>
      </c>
      <c r="AN183" s="62">
        <f>IF(N($AL183)&gt;0,INDEX(rLim_ADM,$AL183),IF(ISNUMBER($F183),$F183,""))</f>
        <v/>
      </c>
    </row>
    <row r="184">
      <c r="A184" s="56">
        <f>IF(NOT((COUNTA($B184:$D184)+COUNTA($G184:$L184)+COUNTA($Q184))&gt;0),"",IF($V184="Macro",COUNTIFS($V$5:$V184,"Macro",$S$5:$S184,$S184),IF(N($U184)=0,"?",COUNTIFS(INDEX($V$5:$V$1000,1):INDEX($V$5:$V$1000,$U184-4),"Macro",INDEX($S$5:$S$1000,1):INDEX($S$5:$S$1000,$U184-4),INDEX($S$5:$S$1000,$U184-4))&amp;"."&amp;COUNTIFS($U$5:$U184,$U184,$V$5:$V184,"Sub"))))</f>
        <v/>
      </c>
      <c r="B184" s="57" t="n"/>
      <c r="C184" s="58" t="n"/>
      <c r="D184" s="58" t="n"/>
      <c r="E184" s="59">
        <f>IF(N($AL184)&gt;0,INDEX(rIni_ADM,$AL184),"")</f>
        <v/>
      </c>
      <c r="F184" s="59">
        <f>IF(N($AL184)&gt;0,INDEX(rLim_ADM,$AL184),"")</f>
        <v/>
      </c>
      <c r="G184" s="59" t="n"/>
      <c r="H184" s="60" t="n"/>
      <c r="I184" s="60" t="n"/>
      <c r="J184" s="60" t="n"/>
      <c r="K184" s="60" t="n"/>
      <c r="L184" s="60" t="n"/>
      <c r="M184" s="61">
        <f>IF(NOT((COUNTA($B184:$D184)+COUNTA($G184:$L184)+COUNTA($Q184))&gt;0),"",IF($V184="Sub",IFERROR($X184/INDEX($W$5:$W$1000,$U184-4),""),IF(ISNUMBER($G184),1,IF(N($W184)&gt;0,AVERAGEIFS($X$5:$X$1000,$U$5:$U$1000,ROW(),$V$5:$V$1000,"Sub"),$X184))))</f>
        <v/>
      </c>
      <c r="N184" s="56">
        <f>IF(OR($M184="",$V184="Sub"),"",IF($M184&gt;=1,"Completado",IF($M184&gt;0,"En curso","Pendiente")))</f>
        <v/>
      </c>
      <c r="O184" s="56">
        <f>IF(OR(NOT((COUNTA($B184:$D184)+COUNTA($G184:$L184)+COUNTA($Q184))&gt;0),$V184="Sub"),"",IF(ISNUMBER($G184),IF(AND(ISNUMBER($AN184),$G184&gt;$AN184),"Cumplida con "&amp;($G184-$AN184)&amp;IF($G184-$AN184=1," día"," días")&amp;" de retraso","Cumplida"),IF(N($M184)&gt;=1,"Cumplida",IF(NOT(ISNUMBER($AN184)),"Sin fecha límite",IF($AN184&lt;FechaRef,"Vencida hace "&amp;(FechaRef-$AN184)&amp;IF(FechaRef-$AN184=1," día"," días"),IF($AN184=FechaRef,"Vence hoy",IF($AN184-FechaRef&lt;=DiasAlerta,"Vence en "&amp;($AN184-FechaRef)&amp;IF($AN184-FechaRef=1," día"," días"),"En plazo")))))))</f>
        <v/>
      </c>
      <c r="P184" s="62" t="n"/>
      <c r="Q184" s="58" t="n"/>
      <c r="R184" s="63">
        <f>IF(NOT((COUNTA($B184:$D184)+COUNTA($G184:$L184)+COUNTA($Q184))&gt;0),"",IF((IF($C184="","Falta el nombre de la actividad"&amp;" · ","")&amp;IF(AND($V184="Sub",N($U184)=0),"Subactividad sin macroactividad arriba"&amp;" · ","")&amp;IF($AM184="","Sin fecha de inicio"&amp;" · ","")&amp;IF($AN184="","Sin fecha límite"&amp;" · ","")&amp;IF(AND(LEFT($C184,11)="[Jefatura] ",N($AL184)=0),"No se encuentra en la hoja de la jefatura (elíjala de nuevo en la lista)"&amp;" · ","")&amp;IF(OR(AND($E184&lt;&gt;"",NOT(ISNUMBER($E184))),AND($F184&lt;&gt;"",NOT(ISNUMBER($F184))),AND($G184&lt;&gt;"",NOT(ISNUMBER($G184)))),"Fecha no válida"&amp;" · ","")&amp;IF(AND(ISNUMBER($AM184),ISNUMBER($AN184),$AM184&gt;$AN184),"Inicio posterior a fecha límite"&amp;" · ","")&amp;IF(AND($V184="Macro",$H184&lt;&gt;"",OR(NOT(ISNUMBER($H184)),$H184&lt;0,$H184&gt;1)),"Peso fuera de rango"&amp;" · ","")&amp;IF(AND($V184="Sub",$H184&lt;&gt;""),"Las subactividades no llevan peso (valen igual dentro de su macroactividad)"&amp;" · ","")&amp;IF(AND(N($W184)&gt;0,COUNT($I184:$L184)&gt;0),"Con subactividades: deje vacías las semanas (se calculan solas)"&amp;" · ","")&amp;IF((COUNTIF($I184:$L184,"&gt;1")+COUNTIF($I184:$L184,"&lt;0")+COUNTA($I184:$L184)-COUNT($I184:$L184))&gt;0,"Avance fuera de rango 0-100%"&amp;" · ","")&amp;IF(OR(AND($J184&lt;&gt;"",$J184&lt;$I184),AND($K184&lt;&gt;"",$K184&lt;MAX($I184:$J184)),AND($L184&lt;&gt;"",$L184&lt;MAX($I184:$K184))),"Avance semanal decreciente"&amp;" · ","")&amp;IF(AND(ISNUMBER($AN184),$AN184&lt;FechaRef,IF($V184="Sub",N($X184),N($M184))&lt;1),"Vencida"&amp;" · ","")&amp;IF(AND(ObsObligatoria="Sí",ISNUMBER($AN184),$AN184&lt;FechaRef,IF($V184="Sub",N($X184),N($M184))&lt;1,$Q184=""),"Vencida sin observación"&amp;" · ",""))="","✔ OK","⚠ "&amp;LEFT(IF($C184="","Falta el nombre de la actividad"&amp;" · ","")&amp;IF(AND($V184="Sub",N($U184)=0),"Subactividad sin macroactividad arriba"&amp;" · ","")&amp;IF($AM184="","Sin fecha de inicio"&amp;" · ","")&amp;IF($AN184="","Sin fecha límite"&amp;" · ","")&amp;IF(AND(LEFT($C184,11)="[Jefatura] ",N($AL184)=0),"No se encuentra en la hoja de la jefatura (elíjala de nuevo en la lista)"&amp;" · ","")&amp;IF(OR(AND($E184&lt;&gt;"",NOT(ISNUMBER($E184))),AND($F184&lt;&gt;"",NOT(ISNUMBER($F184))),AND($G184&lt;&gt;"",NOT(ISNUMBER($G184)))),"Fecha no válida"&amp;" · ","")&amp;IF(AND(ISNUMBER($AM184),ISNUMBER($AN184),$AM184&gt;$AN184),"Inicio posterior a fecha límite"&amp;" · ","")&amp;IF(AND($V184="Macro",$H184&lt;&gt;"",OR(NOT(ISNUMBER($H184)),$H184&lt;0,$H184&gt;1)),"Peso fuera de rango"&amp;" · ","")&amp;IF(AND($V184="Sub",$H184&lt;&gt;""),"Las subactividades no llevan peso (valen igual dentro de su macroactividad)"&amp;" · ","")&amp;IF(AND(N($W184)&gt;0,COUNT($I184:$L184)&gt;0),"Con subactividades: deje vacías las semanas (se calculan solas)"&amp;" · ","")&amp;IF((COUNTIF($I184:$L184,"&gt;1")+COUNTIF($I184:$L184,"&lt;0")+COUNTA($I184:$L184)-COUNT($I184:$L184))&gt;0,"Avance fuera de rango 0-100%"&amp;" · ","")&amp;IF(OR(AND($J184&lt;&gt;"",$J184&lt;$I184),AND($K184&lt;&gt;"",$K184&lt;MAX($I184:$J184)),AND($L184&lt;&gt;"",$L184&lt;MAX($I184:$K184))),"Avance semanal decreciente"&amp;" · ","")&amp;IF(AND(ISNUMBER($AN184),$AN184&lt;FechaRef,IF($V184="Sub",N($X184),N($M184))&lt;1),"Vencida"&amp;" · ","")&amp;IF(AND(ObsObligatoria="Sí",ISNUMBER($AN184),$AN184&lt;FechaRef,IF($V184="Sub",N($X184),N($M184))&lt;1,$Q184=""),"Vencida sin observación"&amp;" · ",""),LEN(IF($C184="","Falta el nombre de la actividad"&amp;" · ","")&amp;IF(AND($V184="Sub",N($U184)=0),"Subactividad sin macroactividad arriba"&amp;" · ","")&amp;IF($AM184="","Sin fecha de inicio"&amp;" · ","")&amp;IF($AN184="","Sin fecha límite"&amp;" · ","")&amp;IF(AND(LEFT($C184,11)="[Jefatura] ",N($AL184)=0),"No se encuentra en la hoja de la jefatura (elíjala de nuevo en la lista)"&amp;" · ","")&amp;IF(OR(AND($E184&lt;&gt;"",NOT(ISNUMBER($E184))),AND($F184&lt;&gt;"",NOT(ISNUMBER($F184))),AND($G184&lt;&gt;"",NOT(ISNUMBER($G184)))),"Fecha no válida"&amp;" · ","")&amp;IF(AND(ISNUMBER($AM184),ISNUMBER($AN184),$AM184&gt;$AN184),"Inicio posterior a fecha límite"&amp;" · ","")&amp;IF(AND($V184="Macro",$H184&lt;&gt;"",OR(NOT(ISNUMBER($H184)),$H184&lt;0,$H184&gt;1)),"Peso fuera de rango"&amp;" · ","")&amp;IF(AND($V184="Sub",$H184&lt;&gt;""),"Las subactividades no llevan peso (valen igual dentro de su macroactividad)"&amp;" · ","")&amp;IF(AND(N($W184)&gt;0,COUNT($I184:$L184)&gt;0),"Con subactividades: deje vacías las semanas (se calculan solas)"&amp;" · ","")&amp;IF((COUNTIF($I184:$L184,"&gt;1")+COUNTIF($I184:$L184,"&lt;0")+COUNTA($I184:$L184)-COUNT($I184:$L184))&gt;0,"Avance fuera de rango 0-100%"&amp;" · ","")&amp;IF(OR(AND($J184&lt;&gt;"",$J184&lt;$I184),AND($K184&lt;&gt;"",$K184&lt;MAX($I184:$J184)),AND($L184&lt;&gt;"",$L184&lt;MAX($I184:$K184))),"Avance semanal decreciente"&amp;" · ","")&amp;IF(AND(ISNUMBER($AN184),$AN184&lt;FechaRef,IF($V184="Sub",N($X184),N($M184))&lt;1),"Vencida"&amp;" · ","")&amp;IF(AND(ObsObligatoria="Sí",ISNUMBER($AN184),$AN184&lt;FechaRef,IF($V184="Sub",N($X184),N($M184))&lt;1,$Q184=""),"Vencida sin observación"&amp;" · ",""))-3)))</f>
        <v/>
      </c>
      <c r="S184" s="64">
        <f>IF(NOT((COUNTA($B184:$D184)+COUNTA($G184:$L184)+COUNTA($Q184))&gt;0),"",IF(AND($V184="Sub",N($U184)&gt;0),IF(ISNUMBER(INDEX($AM$5:$AM$1000,$U184-4)),DATE(YEAR(INDEX($AM$5:$AM$1000,$U184-4)),MONTH(INDEX($AM$5:$AM$1000,$U184-4)),1),IF(ISNUMBER(INDEX($AN$5:$AN$1000,$U184-4)),DATE(YEAR(INDEX($AN$5:$AN$1000,$U184-4)),MONTH(INDEX($AN$5:$AN$1000,$U184-4)),1),MesCiclo)),IF(ISNUMBER($AM184),DATE(YEAR($AM184),MONTH($AM184),1),IF(ISNUMBER($AN184),DATE(YEAR($AN184),MONTH($AN184),1),MesCiclo))))</f>
        <v/>
      </c>
      <c r="T184" s="62">
        <f>IF(OR($S184="",$S184&lt;&gt;MesCiclo,$V184&lt;&gt;"Macro"),"",COUNTIFS($S$5:$S184,MesCiclo,$V$5:$V184,"Macro"))</f>
        <v/>
      </c>
      <c r="U184" s="62">
        <f>IF($V184="","",IF($V184="Macro",ROW(),IFERROR(LOOKUP(2,1/($V$5:$V184="Macro"),ROW($V$5:$V184)),0)))</f>
        <v/>
      </c>
      <c r="V184" s="62">
        <f>IF(NOT((COUNTA($B184:$D184)+COUNTA($G184:$L184)+COUNTA($Q184))&gt;0),"",IF($B184="Subactividad","Sub","Macro"))</f>
        <v/>
      </c>
      <c r="W184" s="62">
        <f>IF($V184="Macro",COUNTIFS($U$5:$U$1000,ROW(),$V$5:$V$1000,"Sub"),"")</f>
        <v/>
      </c>
      <c r="X184" s="62">
        <f>IF($V184="","",IF(ISNUMBER($G184),1,IFERROR(LOOKUP(2,1/($I184:$L184&lt;&gt;""),$I184:$L184),0)))</f>
        <v/>
      </c>
      <c r="Y184" s="62">
        <f>IF($V184="","",IF(AND(ISNUMBER($G184),$G184&lt;=IF($S184=MesCiclo,InicioCiclo,$S184+MOD(2-WEEKDAY($S184),7))+6),1,IF(ISNUMBER($I184),$I184,0)))</f>
        <v/>
      </c>
      <c r="Z184" s="62">
        <f>IF($V184="","",IF(AND(ISNUMBER($G184),$G184&lt;=IF($S184=MesCiclo,InicioCiclo,$S184+MOD(2-WEEKDAY($S184),7))+13),1,IF(ISNUMBER($J184),$J184,$Y184)))</f>
        <v/>
      </c>
      <c r="AA184" s="62">
        <f>IF($V184="","",IF(AND(ISNUMBER($G184),$G184&lt;=IF($S184=MesCiclo,InicioCiclo,$S184+MOD(2-WEEKDAY($S184),7))+20),1,IF(ISNUMBER($K184),$K184,$Z184)))</f>
        <v/>
      </c>
      <c r="AB184" s="62">
        <f>IF($V184="","",IF(AND(ISNUMBER($G184),$G184&lt;=IF($S184=MesCiclo,InicioCiclo,$S184+MOD(2-WEEKDAY($S184),7))+27),1,IF(ISNUMBER($L184),$L184,$AA184)))</f>
        <v/>
      </c>
      <c r="AC184" s="62">
        <f>IF($V184="","",IF(AND(ISNUMBER($G184),$G184&lt;=IF($S184=MesCiclo,InicioCiclo,$S184+MOD(2-WEEKDAY($S184),7))+6),1,IF(N($W184)&gt;0,AVERAGEIFS($Y$5:$Y$1000,$U$5:$U$1000,ROW(),$V$5:$V$1000,"Sub"),$Y184)))</f>
        <v/>
      </c>
      <c r="AD184" s="62">
        <f>IF($V184="","",IF(AND(ISNUMBER($G184),$G184&lt;=IF($S184=MesCiclo,InicioCiclo,$S184+MOD(2-WEEKDAY($S184),7))+13),1,IF(N($W184)&gt;0,AVERAGEIFS($Z$5:$Z$1000,$U$5:$U$1000,ROW(),$V$5:$V$1000,"Sub"),$Z184)))</f>
        <v/>
      </c>
      <c r="AE184" s="62">
        <f>IF($V184="","",IF(AND(ISNUMBER($G184),$G184&lt;=IF($S184=MesCiclo,InicioCiclo,$S184+MOD(2-WEEKDAY($S184),7))+20),1,IF(N($W184)&gt;0,AVERAGEIFS($AA$5:$AA$1000,$U$5:$U$1000,ROW(),$V$5:$V$1000,"Sub"),$AA184)))</f>
        <v/>
      </c>
      <c r="AF184" s="62">
        <f>IF($V184="","",IF(AND(ISNUMBER($G184),$G184&lt;=IF($S184=MesCiclo,InicioCiclo,$S184+MOD(2-WEEKDAY($S184),7))+27),1,IF(N($W184)&gt;0,AVERAGEIFS($AB$5:$AB$1000,$U$5:$U$1000,ROW(),$V$5:$V$1000,"Sub"),$AB184)))</f>
        <v/>
      </c>
      <c r="AG184" s="62">
        <f>IF($V184&lt;&gt;"Macro","",IF(COUNTIFS($S$5:$S$1000,$S184,$V$5:$V$1000,"Macro",$H$5:$H$1000,"&gt;0")=0,1/COUNTIFS($S$5:$S$1000,$S184,$V$5:$V$1000,"Macro"),IF(AND(ISNUMBER($H184),N($H184)&gt;0),$H184,SUMIFS($H$5:$H$1000,$S$5:$S$1000,$S184,$V$5:$V$1000,"Macro")/COUNTIFS($S$5:$S$1000,$S184,$V$5:$V$1000,"Macro",$H$5:$H$1000,"&gt;0"))/(COUNTIFS($S$5:$S$1000,$S184,$V$5:$V$1000,"Macro")*SUMIFS($H$5:$H$1000,$S$5:$S$1000,$S184,$V$5:$V$1000,"Macro")/COUNTIFS($S$5:$S$1000,$S184,$V$5:$V$1000,"Macro",$H$5:$H$1000,"&gt;0"))))</f>
        <v/>
      </c>
      <c r="AH184" s="62" t="n"/>
      <c r="AI184" s="62" t="n"/>
      <c r="AJ184" s="62" t="n"/>
      <c r="AK184" s="62" t="n"/>
      <c r="AL184" s="62">
        <f>IF(LEFT($C184,11)="[Jefatura] ",IFERROR(MATCH("Riesgo Financiero|"&amp;MID($C184,12,500),rDname_ADM,0),0),"")</f>
        <v/>
      </c>
      <c r="AM184" s="62">
        <f>IF(N($AL184)&gt;0,INDEX(rIni_ADM,$AL184),IF(ISNUMBER($E184),$E184,""))</f>
        <v/>
      </c>
      <c r="AN184" s="62">
        <f>IF(N($AL184)&gt;0,INDEX(rLim_ADM,$AL184),IF(ISNUMBER($F184),$F184,""))</f>
        <v/>
      </c>
    </row>
    <row r="185">
      <c r="A185" s="56">
        <f>IF(NOT((COUNTA($B185:$D185)+COUNTA($G185:$L185)+COUNTA($Q185))&gt;0),"",IF($V185="Macro",COUNTIFS($V$5:$V185,"Macro",$S$5:$S185,$S185),IF(N($U185)=0,"?",COUNTIFS(INDEX($V$5:$V$1000,1):INDEX($V$5:$V$1000,$U185-4),"Macro",INDEX($S$5:$S$1000,1):INDEX($S$5:$S$1000,$U185-4),INDEX($S$5:$S$1000,$U185-4))&amp;"."&amp;COUNTIFS($U$5:$U185,$U185,$V$5:$V185,"Sub"))))</f>
        <v/>
      </c>
      <c r="B185" s="57" t="n"/>
      <c r="C185" s="58" t="n"/>
      <c r="D185" s="58" t="n"/>
      <c r="E185" s="59">
        <f>IF(N($AL185)&gt;0,INDEX(rIni_ADM,$AL185),"")</f>
        <v/>
      </c>
      <c r="F185" s="59">
        <f>IF(N($AL185)&gt;0,INDEX(rLim_ADM,$AL185),"")</f>
        <v/>
      </c>
      <c r="G185" s="59" t="n"/>
      <c r="H185" s="60" t="n"/>
      <c r="I185" s="60" t="n"/>
      <c r="J185" s="60" t="n"/>
      <c r="K185" s="60" t="n"/>
      <c r="L185" s="60" t="n"/>
      <c r="M185" s="61">
        <f>IF(NOT((COUNTA($B185:$D185)+COUNTA($G185:$L185)+COUNTA($Q185))&gt;0),"",IF($V185="Sub",IFERROR($X185/INDEX($W$5:$W$1000,$U185-4),""),IF(ISNUMBER($G185),1,IF(N($W185)&gt;0,AVERAGEIFS($X$5:$X$1000,$U$5:$U$1000,ROW(),$V$5:$V$1000,"Sub"),$X185))))</f>
        <v/>
      </c>
      <c r="N185" s="56">
        <f>IF(OR($M185="",$V185="Sub"),"",IF($M185&gt;=1,"Completado",IF($M185&gt;0,"En curso","Pendiente")))</f>
        <v/>
      </c>
      <c r="O185" s="56">
        <f>IF(OR(NOT((COUNTA($B185:$D185)+COUNTA($G185:$L185)+COUNTA($Q185))&gt;0),$V185="Sub"),"",IF(ISNUMBER($G185),IF(AND(ISNUMBER($AN185),$G185&gt;$AN185),"Cumplida con "&amp;($G185-$AN185)&amp;IF($G185-$AN185=1," día"," días")&amp;" de retraso","Cumplida"),IF(N($M185)&gt;=1,"Cumplida",IF(NOT(ISNUMBER($AN185)),"Sin fecha límite",IF($AN185&lt;FechaRef,"Vencida hace "&amp;(FechaRef-$AN185)&amp;IF(FechaRef-$AN185=1," día"," días"),IF($AN185=FechaRef,"Vence hoy",IF($AN185-FechaRef&lt;=DiasAlerta,"Vence en "&amp;($AN185-FechaRef)&amp;IF($AN185-FechaRef=1," día"," días"),"En plazo")))))))</f>
        <v/>
      </c>
      <c r="P185" s="62" t="n"/>
      <c r="Q185" s="58" t="n"/>
      <c r="R185" s="63">
        <f>IF(NOT((COUNTA($B185:$D185)+COUNTA($G185:$L185)+COUNTA($Q185))&gt;0),"",IF((IF($C185="","Falta el nombre de la actividad"&amp;" · ","")&amp;IF(AND($V185="Sub",N($U185)=0),"Subactividad sin macroactividad arriba"&amp;" · ","")&amp;IF($AM185="","Sin fecha de inicio"&amp;" · ","")&amp;IF($AN185="","Sin fecha límite"&amp;" · ","")&amp;IF(AND(LEFT($C185,11)="[Jefatura] ",N($AL185)=0),"No se encuentra en la hoja de la jefatura (elíjala de nuevo en la lista)"&amp;" · ","")&amp;IF(OR(AND($E185&lt;&gt;"",NOT(ISNUMBER($E185))),AND($F185&lt;&gt;"",NOT(ISNUMBER($F185))),AND($G185&lt;&gt;"",NOT(ISNUMBER($G185)))),"Fecha no válida"&amp;" · ","")&amp;IF(AND(ISNUMBER($AM185),ISNUMBER($AN185),$AM185&gt;$AN185),"Inicio posterior a fecha límite"&amp;" · ","")&amp;IF(AND($V185="Macro",$H185&lt;&gt;"",OR(NOT(ISNUMBER($H185)),$H185&lt;0,$H185&gt;1)),"Peso fuera de rango"&amp;" · ","")&amp;IF(AND($V185="Sub",$H185&lt;&gt;""),"Las subactividades no llevan peso (valen igual dentro de su macroactividad)"&amp;" · ","")&amp;IF(AND(N($W185)&gt;0,COUNT($I185:$L185)&gt;0),"Con subactividades: deje vacías las semanas (se calculan solas)"&amp;" · ","")&amp;IF((COUNTIF($I185:$L185,"&gt;1")+COUNTIF($I185:$L185,"&lt;0")+COUNTA($I185:$L185)-COUNT($I185:$L185))&gt;0,"Avance fuera de rango 0-100%"&amp;" · ","")&amp;IF(OR(AND($J185&lt;&gt;"",$J185&lt;$I185),AND($K185&lt;&gt;"",$K185&lt;MAX($I185:$J185)),AND($L185&lt;&gt;"",$L185&lt;MAX($I185:$K185))),"Avance semanal decreciente"&amp;" · ","")&amp;IF(AND(ISNUMBER($AN185),$AN185&lt;FechaRef,IF($V185="Sub",N($X185),N($M185))&lt;1),"Vencida"&amp;" · ","")&amp;IF(AND(ObsObligatoria="Sí",ISNUMBER($AN185),$AN185&lt;FechaRef,IF($V185="Sub",N($X185),N($M185))&lt;1,$Q185=""),"Vencida sin observación"&amp;" · ",""))="","✔ OK","⚠ "&amp;LEFT(IF($C185="","Falta el nombre de la actividad"&amp;" · ","")&amp;IF(AND($V185="Sub",N($U185)=0),"Subactividad sin macroactividad arriba"&amp;" · ","")&amp;IF($AM185="","Sin fecha de inicio"&amp;" · ","")&amp;IF($AN185="","Sin fecha límite"&amp;" · ","")&amp;IF(AND(LEFT($C185,11)="[Jefatura] ",N($AL185)=0),"No se encuentra en la hoja de la jefatura (elíjala de nuevo en la lista)"&amp;" · ","")&amp;IF(OR(AND($E185&lt;&gt;"",NOT(ISNUMBER($E185))),AND($F185&lt;&gt;"",NOT(ISNUMBER($F185))),AND($G185&lt;&gt;"",NOT(ISNUMBER($G185)))),"Fecha no válida"&amp;" · ","")&amp;IF(AND(ISNUMBER($AM185),ISNUMBER($AN185),$AM185&gt;$AN185),"Inicio posterior a fecha límite"&amp;" · ","")&amp;IF(AND($V185="Macro",$H185&lt;&gt;"",OR(NOT(ISNUMBER($H185)),$H185&lt;0,$H185&gt;1)),"Peso fuera de rango"&amp;" · ","")&amp;IF(AND($V185="Sub",$H185&lt;&gt;""),"Las subactividades no llevan peso (valen igual dentro de su macroactividad)"&amp;" · ","")&amp;IF(AND(N($W185)&gt;0,COUNT($I185:$L185)&gt;0),"Con subactividades: deje vacías las semanas (se calculan solas)"&amp;" · ","")&amp;IF((COUNTIF($I185:$L185,"&gt;1")+COUNTIF($I185:$L185,"&lt;0")+COUNTA($I185:$L185)-COUNT($I185:$L185))&gt;0,"Avance fuera de rango 0-100%"&amp;" · ","")&amp;IF(OR(AND($J185&lt;&gt;"",$J185&lt;$I185),AND($K185&lt;&gt;"",$K185&lt;MAX($I185:$J185)),AND($L185&lt;&gt;"",$L185&lt;MAX($I185:$K185))),"Avance semanal decreciente"&amp;" · ","")&amp;IF(AND(ISNUMBER($AN185),$AN185&lt;FechaRef,IF($V185="Sub",N($X185),N($M185))&lt;1),"Vencida"&amp;" · ","")&amp;IF(AND(ObsObligatoria="Sí",ISNUMBER($AN185),$AN185&lt;FechaRef,IF($V185="Sub",N($X185),N($M185))&lt;1,$Q185=""),"Vencida sin observación"&amp;" · ",""),LEN(IF($C185="","Falta el nombre de la actividad"&amp;" · ","")&amp;IF(AND($V185="Sub",N($U185)=0),"Subactividad sin macroactividad arriba"&amp;" · ","")&amp;IF($AM185="","Sin fecha de inicio"&amp;" · ","")&amp;IF($AN185="","Sin fecha límite"&amp;" · ","")&amp;IF(AND(LEFT($C185,11)="[Jefatura] ",N($AL185)=0),"No se encuentra en la hoja de la jefatura (elíjala de nuevo en la lista)"&amp;" · ","")&amp;IF(OR(AND($E185&lt;&gt;"",NOT(ISNUMBER($E185))),AND($F185&lt;&gt;"",NOT(ISNUMBER($F185))),AND($G185&lt;&gt;"",NOT(ISNUMBER($G185)))),"Fecha no válida"&amp;" · ","")&amp;IF(AND(ISNUMBER($AM185),ISNUMBER($AN185),$AM185&gt;$AN185),"Inicio posterior a fecha límite"&amp;" · ","")&amp;IF(AND($V185="Macro",$H185&lt;&gt;"",OR(NOT(ISNUMBER($H185)),$H185&lt;0,$H185&gt;1)),"Peso fuera de rango"&amp;" · ","")&amp;IF(AND($V185="Sub",$H185&lt;&gt;""),"Las subactividades no llevan peso (valen igual dentro de su macroactividad)"&amp;" · ","")&amp;IF(AND(N($W185)&gt;0,COUNT($I185:$L185)&gt;0),"Con subactividades: deje vacías las semanas (se calculan solas)"&amp;" · ","")&amp;IF((COUNTIF($I185:$L185,"&gt;1")+COUNTIF($I185:$L185,"&lt;0")+COUNTA($I185:$L185)-COUNT($I185:$L185))&gt;0,"Avance fuera de rango 0-100%"&amp;" · ","")&amp;IF(OR(AND($J185&lt;&gt;"",$J185&lt;$I185),AND($K185&lt;&gt;"",$K185&lt;MAX($I185:$J185)),AND($L185&lt;&gt;"",$L185&lt;MAX($I185:$K185))),"Avance semanal decreciente"&amp;" · ","")&amp;IF(AND(ISNUMBER($AN185),$AN185&lt;FechaRef,IF($V185="Sub",N($X185),N($M185))&lt;1),"Vencida"&amp;" · ","")&amp;IF(AND(ObsObligatoria="Sí",ISNUMBER($AN185),$AN185&lt;FechaRef,IF($V185="Sub",N($X185),N($M185))&lt;1,$Q185=""),"Vencida sin observación"&amp;" · ",""))-3)))</f>
        <v/>
      </c>
      <c r="S185" s="64">
        <f>IF(NOT((COUNTA($B185:$D185)+COUNTA($G185:$L185)+COUNTA($Q185))&gt;0),"",IF(AND($V185="Sub",N($U185)&gt;0),IF(ISNUMBER(INDEX($AM$5:$AM$1000,$U185-4)),DATE(YEAR(INDEX($AM$5:$AM$1000,$U185-4)),MONTH(INDEX($AM$5:$AM$1000,$U185-4)),1),IF(ISNUMBER(INDEX($AN$5:$AN$1000,$U185-4)),DATE(YEAR(INDEX($AN$5:$AN$1000,$U185-4)),MONTH(INDEX($AN$5:$AN$1000,$U185-4)),1),MesCiclo)),IF(ISNUMBER($AM185),DATE(YEAR($AM185),MONTH($AM185),1),IF(ISNUMBER($AN185),DATE(YEAR($AN185),MONTH($AN185),1),MesCiclo))))</f>
        <v/>
      </c>
      <c r="T185" s="62">
        <f>IF(OR($S185="",$S185&lt;&gt;MesCiclo,$V185&lt;&gt;"Macro"),"",COUNTIFS($S$5:$S185,MesCiclo,$V$5:$V185,"Macro"))</f>
        <v/>
      </c>
      <c r="U185" s="62">
        <f>IF($V185="","",IF($V185="Macro",ROW(),IFERROR(LOOKUP(2,1/($V$5:$V185="Macro"),ROW($V$5:$V185)),0)))</f>
        <v/>
      </c>
      <c r="V185" s="62">
        <f>IF(NOT((COUNTA($B185:$D185)+COUNTA($G185:$L185)+COUNTA($Q185))&gt;0),"",IF($B185="Subactividad","Sub","Macro"))</f>
        <v/>
      </c>
      <c r="W185" s="62">
        <f>IF($V185="Macro",COUNTIFS($U$5:$U$1000,ROW(),$V$5:$V$1000,"Sub"),"")</f>
        <v/>
      </c>
      <c r="X185" s="62">
        <f>IF($V185="","",IF(ISNUMBER($G185),1,IFERROR(LOOKUP(2,1/($I185:$L185&lt;&gt;""),$I185:$L185),0)))</f>
        <v/>
      </c>
      <c r="Y185" s="62">
        <f>IF($V185="","",IF(AND(ISNUMBER($G185),$G185&lt;=IF($S185=MesCiclo,InicioCiclo,$S185+MOD(2-WEEKDAY($S185),7))+6),1,IF(ISNUMBER($I185),$I185,0)))</f>
        <v/>
      </c>
      <c r="Z185" s="62">
        <f>IF($V185="","",IF(AND(ISNUMBER($G185),$G185&lt;=IF($S185=MesCiclo,InicioCiclo,$S185+MOD(2-WEEKDAY($S185),7))+13),1,IF(ISNUMBER($J185),$J185,$Y185)))</f>
        <v/>
      </c>
      <c r="AA185" s="62">
        <f>IF($V185="","",IF(AND(ISNUMBER($G185),$G185&lt;=IF($S185=MesCiclo,InicioCiclo,$S185+MOD(2-WEEKDAY($S185),7))+20),1,IF(ISNUMBER($K185),$K185,$Z185)))</f>
        <v/>
      </c>
      <c r="AB185" s="62">
        <f>IF($V185="","",IF(AND(ISNUMBER($G185),$G185&lt;=IF($S185=MesCiclo,InicioCiclo,$S185+MOD(2-WEEKDAY($S185),7))+27),1,IF(ISNUMBER($L185),$L185,$AA185)))</f>
        <v/>
      </c>
      <c r="AC185" s="62">
        <f>IF($V185="","",IF(AND(ISNUMBER($G185),$G185&lt;=IF($S185=MesCiclo,InicioCiclo,$S185+MOD(2-WEEKDAY($S185),7))+6),1,IF(N($W185)&gt;0,AVERAGEIFS($Y$5:$Y$1000,$U$5:$U$1000,ROW(),$V$5:$V$1000,"Sub"),$Y185)))</f>
        <v/>
      </c>
      <c r="AD185" s="62">
        <f>IF($V185="","",IF(AND(ISNUMBER($G185),$G185&lt;=IF($S185=MesCiclo,InicioCiclo,$S185+MOD(2-WEEKDAY($S185),7))+13),1,IF(N($W185)&gt;0,AVERAGEIFS($Z$5:$Z$1000,$U$5:$U$1000,ROW(),$V$5:$V$1000,"Sub"),$Z185)))</f>
        <v/>
      </c>
      <c r="AE185" s="62">
        <f>IF($V185="","",IF(AND(ISNUMBER($G185),$G185&lt;=IF($S185=MesCiclo,InicioCiclo,$S185+MOD(2-WEEKDAY($S185),7))+20),1,IF(N($W185)&gt;0,AVERAGEIFS($AA$5:$AA$1000,$U$5:$U$1000,ROW(),$V$5:$V$1000,"Sub"),$AA185)))</f>
        <v/>
      </c>
      <c r="AF185" s="62">
        <f>IF($V185="","",IF(AND(ISNUMBER($G185),$G185&lt;=IF($S185=MesCiclo,InicioCiclo,$S185+MOD(2-WEEKDAY($S185),7))+27),1,IF(N($W185)&gt;0,AVERAGEIFS($AB$5:$AB$1000,$U$5:$U$1000,ROW(),$V$5:$V$1000,"Sub"),$AB185)))</f>
        <v/>
      </c>
      <c r="AG185" s="62">
        <f>IF($V185&lt;&gt;"Macro","",IF(COUNTIFS($S$5:$S$1000,$S185,$V$5:$V$1000,"Macro",$H$5:$H$1000,"&gt;0")=0,1/COUNTIFS($S$5:$S$1000,$S185,$V$5:$V$1000,"Macro"),IF(AND(ISNUMBER($H185),N($H185)&gt;0),$H185,SUMIFS($H$5:$H$1000,$S$5:$S$1000,$S185,$V$5:$V$1000,"Macro")/COUNTIFS($S$5:$S$1000,$S185,$V$5:$V$1000,"Macro",$H$5:$H$1000,"&gt;0"))/(COUNTIFS($S$5:$S$1000,$S185,$V$5:$V$1000,"Macro")*SUMIFS($H$5:$H$1000,$S$5:$S$1000,$S185,$V$5:$V$1000,"Macro")/COUNTIFS($S$5:$S$1000,$S185,$V$5:$V$1000,"Macro",$H$5:$H$1000,"&gt;0"))))</f>
        <v/>
      </c>
      <c r="AH185" s="62" t="n"/>
      <c r="AI185" s="62" t="n"/>
      <c r="AJ185" s="62" t="n"/>
      <c r="AK185" s="62" t="n"/>
      <c r="AL185" s="62">
        <f>IF(LEFT($C185,11)="[Jefatura] ",IFERROR(MATCH("Riesgo Financiero|"&amp;MID($C185,12,500),rDname_ADM,0),0),"")</f>
        <v/>
      </c>
      <c r="AM185" s="62">
        <f>IF(N($AL185)&gt;0,INDEX(rIni_ADM,$AL185),IF(ISNUMBER($E185),$E185,""))</f>
        <v/>
      </c>
      <c r="AN185" s="62">
        <f>IF(N($AL185)&gt;0,INDEX(rLim_ADM,$AL185),IF(ISNUMBER($F185),$F185,""))</f>
        <v/>
      </c>
    </row>
    <row r="186">
      <c r="A186" s="56">
        <f>IF(NOT((COUNTA($B186:$D186)+COUNTA($G186:$L186)+COUNTA($Q186))&gt;0),"",IF($V186="Macro",COUNTIFS($V$5:$V186,"Macro",$S$5:$S186,$S186),IF(N($U186)=0,"?",COUNTIFS(INDEX($V$5:$V$1000,1):INDEX($V$5:$V$1000,$U186-4),"Macro",INDEX($S$5:$S$1000,1):INDEX($S$5:$S$1000,$U186-4),INDEX($S$5:$S$1000,$U186-4))&amp;"."&amp;COUNTIFS($U$5:$U186,$U186,$V$5:$V186,"Sub"))))</f>
        <v/>
      </c>
      <c r="B186" s="57" t="n"/>
      <c r="C186" s="58" t="n"/>
      <c r="D186" s="58" t="n"/>
      <c r="E186" s="59">
        <f>IF(N($AL186)&gt;0,INDEX(rIni_ADM,$AL186),"")</f>
        <v/>
      </c>
      <c r="F186" s="59">
        <f>IF(N($AL186)&gt;0,INDEX(rLim_ADM,$AL186),"")</f>
        <v/>
      </c>
      <c r="G186" s="59" t="n"/>
      <c r="H186" s="60" t="n"/>
      <c r="I186" s="60" t="n"/>
      <c r="J186" s="60" t="n"/>
      <c r="K186" s="60" t="n"/>
      <c r="L186" s="60" t="n"/>
      <c r="M186" s="61">
        <f>IF(NOT((COUNTA($B186:$D186)+COUNTA($G186:$L186)+COUNTA($Q186))&gt;0),"",IF($V186="Sub",IFERROR($X186/INDEX($W$5:$W$1000,$U186-4),""),IF(ISNUMBER($G186),1,IF(N($W186)&gt;0,AVERAGEIFS($X$5:$X$1000,$U$5:$U$1000,ROW(),$V$5:$V$1000,"Sub"),$X186))))</f>
        <v/>
      </c>
      <c r="N186" s="56">
        <f>IF(OR($M186="",$V186="Sub"),"",IF($M186&gt;=1,"Completado",IF($M186&gt;0,"En curso","Pendiente")))</f>
        <v/>
      </c>
      <c r="O186" s="56">
        <f>IF(OR(NOT((COUNTA($B186:$D186)+COUNTA($G186:$L186)+COUNTA($Q186))&gt;0),$V186="Sub"),"",IF(ISNUMBER($G186),IF(AND(ISNUMBER($AN186),$G186&gt;$AN186),"Cumplida con "&amp;($G186-$AN186)&amp;IF($G186-$AN186=1," día"," días")&amp;" de retraso","Cumplida"),IF(N($M186)&gt;=1,"Cumplida",IF(NOT(ISNUMBER($AN186)),"Sin fecha límite",IF($AN186&lt;FechaRef,"Vencida hace "&amp;(FechaRef-$AN186)&amp;IF(FechaRef-$AN186=1," día"," días"),IF($AN186=FechaRef,"Vence hoy",IF($AN186-FechaRef&lt;=DiasAlerta,"Vence en "&amp;($AN186-FechaRef)&amp;IF($AN186-FechaRef=1," día"," días"),"En plazo")))))))</f>
        <v/>
      </c>
      <c r="P186" s="62" t="n"/>
      <c r="Q186" s="58" t="n"/>
      <c r="R186" s="63">
        <f>IF(NOT((COUNTA($B186:$D186)+COUNTA($G186:$L186)+COUNTA($Q186))&gt;0),"",IF((IF($C186="","Falta el nombre de la actividad"&amp;" · ","")&amp;IF(AND($V186="Sub",N($U186)=0),"Subactividad sin macroactividad arriba"&amp;" · ","")&amp;IF($AM186="","Sin fecha de inicio"&amp;" · ","")&amp;IF($AN186="","Sin fecha límite"&amp;" · ","")&amp;IF(AND(LEFT($C186,11)="[Jefatura] ",N($AL186)=0),"No se encuentra en la hoja de la jefatura (elíjala de nuevo en la lista)"&amp;" · ","")&amp;IF(OR(AND($E186&lt;&gt;"",NOT(ISNUMBER($E186))),AND($F186&lt;&gt;"",NOT(ISNUMBER($F186))),AND($G186&lt;&gt;"",NOT(ISNUMBER($G186)))),"Fecha no válida"&amp;" · ","")&amp;IF(AND(ISNUMBER($AM186),ISNUMBER($AN186),$AM186&gt;$AN186),"Inicio posterior a fecha límite"&amp;" · ","")&amp;IF(AND($V186="Macro",$H186&lt;&gt;"",OR(NOT(ISNUMBER($H186)),$H186&lt;0,$H186&gt;1)),"Peso fuera de rango"&amp;" · ","")&amp;IF(AND($V186="Sub",$H186&lt;&gt;""),"Las subactividades no llevan peso (valen igual dentro de su macroactividad)"&amp;" · ","")&amp;IF(AND(N($W186)&gt;0,COUNT($I186:$L186)&gt;0),"Con subactividades: deje vacías las semanas (se calculan solas)"&amp;" · ","")&amp;IF((COUNTIF($I186:$L186,"&gt;1")+COUNTIF($I186:$L186,"&lt;0")+COUNTA($I186:$L186)-COUNT($I186:$L186))&gt;0,"Avance fuera de rango 0-100%"&amp;" · ","")&amp;IF(OR(AND($J186&lt;&gt;"",$J186&lt;$I186),AND($K186&lt;&gt;"",$K186&lt;MAX($I186:$J186)),AND($L186&lt;&gt;"",$L186&lt;MAX($I186:$K186))),"Avance semanal decreciente"&amp;" · ","")&amp;IF(AND(ISNUMBER($AN186),$AN186&lt;FechaRef,IF($V186="Sub",N($X186),N($M186))&lt;1),"Vencida"&amp;" · ","")&amp;IF(AND(ObsObligatoria="Sí",ISNUMBER($AN186),$AN186&lt;FechaRef,IF($V186="Sub",N($X186),N($M186))&lt;1,$Q186=""),"Vencida sin observación"&amp;" · ",""))="","✔ OK","⚠ "&amp;LEFT(IF($C186="","Falta el nombre de la actividad"&amp;" · ","")&amp;IF(AND($V186="Sub",N($U186)=0),"Subactividad sin macroactividad arriba"&amp;" · ","")&amp;IF($AM186="","Sin fecha de inicio"&amp;" · ","")&amp;IF($AN186="","Sin fecha límite"&amp;" · ","")&amp;IF(AND(LEFT($C186,11)="[Jefatura] ",N($AL186)=0),"No se encuentra en la hoja de la jefatura (elíjala de nuevo en la lista)"&amp;" · ","")&amp;IF(OR(AND($E186&lt;&gt;"",NOT(ISNUMBER($E186))),AND($F186&lt;&gt;"",NOT(ISNUMBER($F186))),AND($G186&lt;&gt;"",NOT(ISNUMBER($G186)))),"Fecha no válida"&amp;" · ","")&amp;IF(AND(ISNUMBER($AM186),ISNUMBER($AN186),$AM186&gt;$AN186),"Inicio posterior a fecha límite"&amp;" · ","")&amp;IF(AND($V186="Macro",$H186&lt;&gt;"",OR(NOT(ISNUMBER($H186)),$H186&lt;0,$H186&gt;1)),"Peso fuera de rango"&amp;" · ","")&amp;IF(AND($V186="Sub",$H186&lt;&gt;""),"Las subactividades no llevan peso (valen igual dentro de su macroactividad)"&amp;" · ","")&amp;IF(AND(N($W186)&gt;0,COUNT($I186:$L186)&gt;0),"Con subactividades: deje vacías las semanas (se calculan solas)"&amp;" · ","")&amp;IF((COUNTIF($I186:$L186,"&gt;1")+COUNTIF($I186:$L186,"&lt;0")+COUNTA($I186:$L186)-COUNT($I186:$L186))&gt;0,"Avance fuera de rango 0-100%"&amp;" · ","")&amp;IF(OR(AND($J186&lt;&gt;"",$J186&lt;$I186),AND($K186&lt;&gt;"",$K186&lt;MAX($I186:$J186)),AND($L186&lt;&gt;"",$L186&lt;MAX($I186:$K186))),"Avance semanal decreciente"&amp;" · ","")&amp;IF(AND(ISNUMBER($AN186),$AN186&lt;FechaRef,IF($V186="Sub",N($X186),N($M186))&lt;1),"Vencida"&amp;" · ","")&amp;IF(AND(ObsObligatoria="Sí",ISNUMBER($AN186),$AN186&lt;FechaRef,IF($V186="Sub",N($X186),N($M186))&lt;1,$Q186=""),"Vencida sin observación"&amp;" · ",""),LEN(IF($C186="","Falta el nombre de la actividad"&amp;" · ","")&amp;IF(AND($V186="Sub",N($U186)=0),"Subactividad sin macroactividad arriba"&amp;" · ","")&amp;IF($AM186="","Sin fecha de inicio"&amp;" · ","")&amp;IF($AN186="","Sin fecha límite"&amp;" · ","")&amp;IF(AND(LEFT($C186,11)="[Jefatura] ",N($AL186)=0),"No se encuentra en la hoja de la jefatura (elíjala de nuevo en la lista)"&amp;" · ","")&amp;IF(OR(AND($E186&lt;&gt;"",NOT(ISNUMBER($E186))),AND($F186&lt;&gt;"",NOT(ISNUMBER($F186))),AND($G186&lt;&gt;"",NOT(ISNUMBER($G186)))),"Fecha no válida"&amp;" · ","")&amp;IF(AND(ISNUMBER($AM186),ISNUMBER($AN186),$AM186&gt;$AN186),"Inicio posterior a fecha límite"&amp;" · ","")&amp;IF(AND($V186="Macro",$H186&lt;&gt;"",OR(NOT(ISNUMBER($H186)),$H186&lt;0,$H186&gt;1)),"Peso fuera de rango"&amp;" · ","")&amp;IF(AND($V186="Sub",$H186&lt;&gt;""),"Las subactividades no llevan peso (valen igual dentro de su macroactividad)"&amp;" · ","")&amp;IF(AND(N($W186)&gt;0,COUNT($I186:$L186)&gt;0),"Con subactividades: deje vacías las semanas (se calculan solas)"&amp;" · ","")&amp;IF((COUNTIF($I186:$L186,"&gt;1")+COUNTIF($I186:$L186,"&lt;0")+COUNTA($I186:$L186)-COUNT($I186:$L186))&gt;0,"Avance fuera de rango 0-100%"&amp;" · ","")&amp;IF(OR(AND($J186&lt;&gt;"",$J186&lt;$I186),AND($K186&lt;&gt;"",$K186&lt;MAX($I186:$J186)),AND($L186&lt;&gt;"",$L186&lt;MAX($I186:$K186))),"Avance semanal decreciente"&amp;" · ","")&amp;IF(AND(ISNUMBER($AN186),$AN186&lt;FechaRef,IF($V186="Sub",N($X186),N($M186))&lt;1),"Vencida"&amp;" · ","")&amp;IF(AND(ObsObligatoria="Sí",ISNUMBER($AN186),$AN186&lt;FechaRef,IF($V186="Sub",N($X186),N($M186))&lt;1,$Q186=""),"Vencida sin observación"&amp;" · ",""))-3)))</f>
        <v/>
      </c>
      <c r="S186" s="64">
        <f>IF(NOT((COUNTA($B186:$D186)+COUNTA($G186:$L186)+COUNTA($Q186))&gt;0),"",IF(AND($V186="Sub",N($U186)&gt;0),IF(ISNUMBER(INDEX($AM$5:$AM$1000,$U186-4)),DATE(YEAR(INDEX($AM$5:$AM$1000,$U186-4)),MONTH(INDEX($AM$5:$AM$1000,$U186-4)),1),IF(ISNUMBER(INDEX($AN$5:$AN$1000,$U186-4)),DATE(YEAR(INDEX($AN$5:$AN$1000,$U186-4)),MONTH(INDEX($AN$5:$AN$1000,$U186-4)),1),MesCiclo)),IF(ISNUMBER($AM186),DATE(YEAR($AM186),MONTH($AM186),1),IF(ISNUMBER($AN186),DATE(YEAR($AN186),MONTH($AN186),1),MesCiclo))))</f>
        <v/>
      </c>
      <c r="T186" s="62">
        <f>IF(OR($S186="",$S186&lt;&gt;MesCiclo,$V186&lt;&gt;"Macro"),"",COUNTIFS($S$5:$S186,MesCiclo,$V$5:$V186,"Macro"))</f>
        <v/>
      </c>
      <c r="U186" s="62">
        <f>IF($V186="","",IF($V186="Macro",ROW(),IFERROR(LOOKUP(2,1/($V$5:$V186="Macro"),ROW($V$5:$V186)),0)))</f>
        <v/>
      </c>
      <c r="V186" s="62">
        <f>IF(NOT((COUNTA($B186:$D186)+COUNTA($G186:$L186)+COUNTA($Q186))&gt;0),"",IF($B186="Subactividad","Sub","Macro"))</f>
        <v/>
      </c>
      <c r="W186" s="62">
        <f>IF($V186="Macro",COUNTIFS($U$5:$U$1000,ROW(),$V$5:$V$1000,"Sub"),"")</f>
        <v/>
      </c>
      <c r="X186" s="62">
        <f>IF($V186="","",IF(ISNUMBER($G186),1,IFERROR(LOOKUP(2,1/($I186:$L186&lt;&gt;""),$I186:$L186),0)))</f>
        <v/>
      </c>
      <c r="Y186" s="62">
        <f>IF($V186="","",IF(AND(ISNUMBER($G186),$G186&lt;=IF($S186=MesCiclo,InicioCiclo,$S186+MOD(2-WEEKDAY($S186),7))+6),1,IF(ISNUMBER($I186),$I186,0)))</f>
        <v/>
      </c>
      <c r="Z186" s="62">
        <f>IF($V186="","",IF(AND(ISNUMBER($G186),$G186&lt;=IF($S186=MesCiclo,InicioCiclo,$S186+MOD(2-WEEKDAY($S186),7))+13),1,IF(ISNUMBER($J186),$J186,$Y186)))</f>
        <v/>
      </c>
      <c r="AA186" s="62">
        <f>IF($V186="","",IF(AND(ISNUMBER($G186),$G186&lt;=IF($S186=MesCiclo,InicioCiclo,$S186+MOD(2-WEEKDAY($S186),7))+20),1,IF(ISNUMBER($K186),$K186,$Z186)))</f>
        <v/>
      </c>
      <c r="AB186" s="62">
        <f>IF($V186="","",IF(AND(ISNUMBER($G186),$G186&lt;=IF($S186=MesCiclo,InicioCiclo,$S186+MOD(2-WEEKDAY($S186),7))+27),1,IF(ISNUMBER($L186),$L186,$AA186)))</f>
        <v/>
      </c>
      <c r="AC186" s="62">
        <f>IF($V186="","",IF(AND(ISNUMBER($G186),$G186&lt;=IF($S186=MesCiclo,InicioCiclo,$S186+MOD(2-WEEKDAY($S186),7))+6),1,IF(N($W186)&gt;0,AVERAGEIFS($Y$5:$Y$1000,$U$5:$U$1000,ROW(),$V$5:$V$1000,"Sub"),$Y186)))</f>
        <v/>
      </c>
      <c r="AD186" s="62">
        <f>IF($V186="","",IF(AND(ISNUMBER($G186),$G186&lt;=IF($S186=MesCiclo,InicioCiclo,$S186+MOD(2-WEEKDAY($S186),7))+13),1,IF(N($W186)&gt;0,AVERAGEIFS($Z$5:$Z$1000,$U$5:$U$1000,ROW(),$V$5:$V$1000,"Sub"),$Z186)))</f>
        <v/>
      </c>
      <c r="AE186" s="62">
        <f>IF($V186="","",IF(AND(ISNUMBER($G186),$G186&lt;=IF($S186=MesCiclo,InicioCiclo,$S186+MOD(2-WEEKDAY($S186),7))+20),1,IF(N($W186)&gt;0,AVERAGEIFS($AA$5:$AA$1000,$U$5:$U$1000,ROW(),$V$5:$V$1000,"Sub"),$AA186)))</f>
        <v/>
      </c>
      <c r="AF186" s="62">
        <f>IF($V186="","",IF(AND(ISNUMBER($G186),$G186&lt;=IF($S186=MesCiclo,InicioCiclo,$S186+MOD(2-WEEKDAY($S186),7))+27),1,IF(N($W186)&gt;0,AVERAGEIFS($AB$5:$AB$1000,$U$5:$U$1000,ROW(),$V$5:$V$1000,"Sub"),$AB186)))</f>
        <v/>
      </c>
      <c r="AG186" s="62">
        <f>IF($V186&lt;&gt;"Macro","",IF(COUNTIFS($S$5:$S$1000,$S186,$V$5:$V$1000,"Macro",$H$5:$H$1000,"&gt;0")=0,1/COUNTIFS($S$5:$S$1000,$S186,$V$5:$V$1000,"Macro"),IF(AND(ISNUMBER($H186),N($H186)&gt;0),$H186,SUMIFS($H$5:$H$1000,$S$5:$S$1000,$S186,$V$5:$V$1000,"Macro")/COUNTIFS($S$5:$S$1000,$S186,$V$5:$V$1000,"Macro",$H$5:$H$1000,"&gt;0"))/(COUNTIFS($S$5:$S$1000,$S186,$V$5:$V$1000,"Macro")*SUMIFS($H$5:$H$1000,$S$5:$S$1000,$S186,$V$5:$V$1000,"Macro")/COUNTIFS($S$5:$S$1000,$S186,$V$5:$V$1000,"Macro",$H$5:$H$1000,"&gt;0"))))</f>
        <v/>
      </c>
      <c r="AH186" s="62" t="n"/>
      <c r="AI186" s="62" t="n"/>
      <c r="AJ186" s="62" t="n"/>
      <c r="AK186" s="62" t="n"/>
      <c r="AL186" s="62">
        <f>IF(LEFT($C186,11)="[Jefatura] ",IFERROR(MATCH("Riesgo Financiero|"&amp;MID($C186,12,500),rDname_ADM,0),0),"")</f>
        <v/>
      </c>
      <c r="AM186" s="62">
        <f>IF(N($AL186)&gt;0,INDEX(rIni_ADM,$AL186),IF(ISNUMBER($E186),$E186,""))</f>
        <v/>
      </c>
      <c r="AN186" s="62">
        <f>IF(N($AL186)&gt;0,INDEX(rLim_ADM,$AL186),IF(ISNUMBER($F186),$F186,""))</f>
        <v/>
      </c>
    </row>
    <row r="187">
      <c r="A187" s="56">
        <f>IF(NOT((COUNTA($B187:$D187)+COUNTA($G187:$L187)+COUNTA($Q187))&gt;0),"",IF($V187="Macro",COUNTIFS($V$5:$V187,"Macro",$S$5:$S187,$S187),IF(N($U187)=0,"?",COUNTIFS(INDEX($V$5:$V$1000,1):INDEX($V$5:$V$1000,$U187-4),"Macro",INDEX($S$5:$S$1000,1):INDEX($S$5:$S$1000,$U187-4),INDEX($S$5:$S$1000,$U187-4))&amp;"."&amp;COUNTIFS($U$5:$U187,$U187,$V$5:$V187,"Sub"))))</f>
        <v/>
      </c>
      <c r="B187" s="57" t="n"/>
      <c r="C187" s="58" t="n"/>
      <c r="D187" s="58" t="n"/>
      <c r="E187" s="59">
        <f>IF(N($AL187)&gt;0,INDEX(rIni_ADM,$AL187),"")</f>
        <v/>
      </c>
      <c r="F187" s="59">
        <f>IF(N($AL187)&gt;0,INDEX(rLim_ADM,$AL187),"")</f>
        <v/>
      </c>
      <c r="G187" s="59" t="n"/>
      <c r="H187" s="60" t="n"/>
      <c r="I187" s="60" t="n"/>
      <c r="J187" s="60" t="n"/>
      <c r="K187" s="60" t="n"/>
      <c r="L187" s="60" t="n"/>
      <c r="M187" s="61">
        <f>IF(NOT((COUNTA($B187:$D187)+COUNTA($G187:$L187)+COUNTA($Q187))&gt;0),"",IF($V187="Sub",IFERROR($X187/INDEX($W$5:$W$1000,$U187-4),""),IF(ISNUMBER($G187),1,IF(N($W187)&gt;0,AVERAGEIFS($X$5:$X$1000,$U$5:$U$1000,ROW(),$V$5:$V$1000,"Sub"),$X187))))</f>
        <v/>
      </c>
      <c r="N187" s="56">
        <f>IF(OR($M187="",$V187="Sub"),"",IF($M187&gt;=1,"Completado",IF($M187&gt;0,"En curso","Pendiente")))</f>
        <v/>
      </c>
      <c r="O187" s="56">
        <f>IF(OR(NOT((COUNTA($B187:$D187)+COUNTA($G187:$L187)+COUNTA($Q187))&gt;0),$V187="Sub"),"",IF(ISNUMBER($G187),IF(AND(ISNUMBER($AN187),$G187&gt;$AN187),"Cumplida con "&amp;($G187-$AN187)&amp;IF($G187-$AN187=1," día"," días")&amp;" de retraso","Cumplida"),IF(N($M187)&gt;=1,"Cumplida",IF(NOT(ISNUMBER($AN187)),"Sin fecha límite",IF($AN187&lt;FechaRef,"Vencida hace "&amp;(FechaRef-$AN187)&amp;IF(FechaRef-$AN187=1," día"," días"),IF($AN187=FechaRef,"Vence hoy",IF($AN187-FechaRef&lt;=DiasAlerta,"Vence en "&amp;($AN187-FechaRef)&amp;IF($AN187-FechaRef=1," día"," días"),"En plazo")))))))</f>
        <v/>
      </c>
      <c r="P187" s="62" t="n"/>
      <c r="Q187" s="58" t="n"/>
      <c r="R187" s="63">
        <f>IF(NOT((COUNTA($B187:$D187)+COUNTA($G187:$L187)+COUNTA($Q187))&gt;0),"",IF((IF($C187="","Falta el nombre de la actividad"&amp;" · ","")&amp;IF(AND($V187="Sub",N($U187)=0),"Subactividad sin macroactividad arriba"&amp;" · ","")&amp;IF($AM187="","Sin fecha de inicio"&amp;" · ","")&amp;IF($AN187="","Sin fecha límite"&amp;" · ","")&amp;IF(AND(LEFT($C187,11)="[Jefatura] ",N($AL187)=0),"No se encuentra en la hoja de la jefatura (elíjala de nuevo en la lista)"&amp;" · ","")&amp;IF(OR(AND($E187&lt;&gt;"",NOT(ISNUMBER($E187))),AND($F187&lt;&gt;"",NOT(ISNUMBER($F187))),AND($G187&lt;&gt;"",NOT(ISNUMBER($G187)))),"Fecha no válida"&amp;" · ","")&amp;IF(AND(ISNUMBER($AM187),ISNUMBER($AN187),$AM187&gt;$AN187),"Inicio posterior a fecha límite"&amp;" · ","")&amp;IF(AND($V187="Macro",$H187&lt;&gt;"",OR(NOT(ISNUMBER($H187)),$H187&lt;0,$H187&gt;1)),"Peso fuera de rango"&amp;" · ","")&amp;IF(AND($V187="Sub",$H187&lt;&gt;""),"Las subactividades no llevan peso (valen igual dentro de su macroactividad)"&amp;" · ","")&amp;IF(AND(N($W187)&gt;0,COUNT($I187:$L187)&gt;0),"Con subactividades: deje vacías las semanas (se calculan solas)"&amp;" · ","")&amp;IF((COUNTIF($I187:$L187,"&gt;1")+COUNTIF($I187:$L187,"&lt;0")+COUNTA($I187:$L187)-COUNT($I187:$L187))&gt;0,"Avance fuera de rango 0-100%"&amp;" · ","")&amp;IF(OR(AND($J187&lt;&gt;"",$J187&lt;$I187),AND($K187&lt;&gt;"",$K187&lt;MAX($I187:$J187)),AND($L187&lt;&gt;"",$L187&lt;MAX($I187:$K187))),"Avance semanal decreciente"&amp;" · ","")&amp;IF(AND(ISNUMBER($AN187),$AN187&lt;FechaRef,IF($V187="Sub",N($X187),N($M187))&lt;1),"Vencida"&amp;" · ","")&amp;IF(AND(ObsObligatoria="Sí",ISNUMBER($AN187),$AN187&lt;FechaRef,IF($V187="Sub",N($X187),N($M187))&lt;1,$Q187=""),"Vencida sin observación"&amp;" · ",""))="","✔ OK","⚠ "&amp;LEFT(IF($C187="","Falta el nombre de la actividad"&amp;" · ","")&amp;IF(AND($V187="Sub",N($U187)=0),"Subactividad sin macroactividad arriba"&amp;" · ","")&amp;IF($AM187="","Sin fecha de inicio"&amp;" · ","")&amp;IF($AN187="","Sin fecha límite"&amp;" · ","")&amp;IF(AND(LEFT($C187,11)="[Jefatura] ",N($AL187)=0),"No se encuentra en la hoja de la jefatura (elíjala de nuevo en la lista)"&amp;" · ","")&amp;IF(OR(AND($E187&lt;&gt;"",NOT(ISNUMBER($E187))),AND($F187&lt;&gt;"",NOT(ISNUMBER($F187))),AND($G187&lt;&gt;"",NOT(ISNUMBER($G187)))),"Fecha no válida"&amp;" · ","")&amp;IF(AND(ISNUMBER($AM187),ISNUMBER($AN187),$AM187&gt;$AN187),"Inicio posterior a fecha límite"&amp;" · ","")&amp;IF(AND($V187="Macro",$H187&lt;&gt;"",OR(NOT(ISNUMBER($H187)),$H187&lt;0,$H187&gt;1)),"Peso fuera de rango"&amp;" · ","")&amp;IF(AND($V187="Sub",$H187&lt;&gt;""),"Las subactividades no llevan peso (valen igual dentro de su macroactividad)"&amp;" · ","")&amp;IF(AND(N($W187)&gt;0,COUNT($I187:$L187)&gt;0),"Con subactividades: deje vacías las semanas (se calculan solas)"&amp;" · ","")&amp;IF((COUNTIF($I187:$L187,"&gt;1")+COUNTIF($I187:$L187,"&lt;0")+COUNTA($I187:$L187)-COUNT($I187:$L187))&gt;0,"Avance fuera de rango 0-100%"&amp;" · ","")&amp;IF(OR(AND($J187&lt;&gt;"",$J187&lt;$I187),AND($K187&lt;&gt;"",$K187&lt;MAX($I187:$J187)),AND($L187&lt;&gt;"",$L187&lt;MAX($I187:$K187))),"Avance semanal decreciente"&amp;" · ","")&amp;IF(AND(ISNUMBER($AN187),$AN187&lt;FechaRef,IF($V187="Sub",N($X187),N($M187))&lt;1),"Vencida"&amp;" · ","")&amp;IF(AND(ObsObligatoria="Sí",ISNUMBER($AN187),$AN187&lt;FechaRef,IF($V187="Sub",N($X187),N($M187))&lt;1,$Q187=""),"Vencida sin observación"&amp;" · ",""),LEN(IF($C187="","Falta el nombre de la actividad"&amp;" · ","")&amp;IF(AND($V187="Sub",N($U187)=0),"Subactividad sin macroactividad arriba"&amp;" · ","")&amp;IF($AM187="","Sin fecha de inicio"&amp;" · ","")&amp;IF($AN187="","Sin fecha límite"&amp;" · ","")&amp;IF(AND(LEFT($C187,11)="[Jefatura] ",N($AL187)=0),"No se encuentra en la hoja de la jefatura (elíjala de nuevo en la lista)"&amp;" · ","")&amp;IF(OR(AND($E187&lt;&gt;"",NOT(ISNUMBER($E187))),AND($F187&lt;&gt;"",NOT(ISNUMBER($F187))),AND($G187&lt;&gt;"",NOT(ISNUMBER($G187)))),"Fecha no válida"&amp;" · ","")&amp;IF(AND(ISNUMBER($AM187),ISNUMBER($AN187),$AM187&gt;$AN187),"Inicio posterior a fecha límite"&amp;" · ","")&amp;IF(AND($V187="Macro",$H187&lt;&gt;"",OR(NOT(ISNUMBER($H187)),$H187&lt;0,$H187&gt;1)),"Peso fuera de rango"&amp;" · ","")&amp;IF(AND($V187="Sub",$H187&lt;&gt;""),"Las subactividades no llevan peso (valen igual dentro de su macroactividad)"&amp;" · ","")&amp;IF(AND(N($W187)&gt;0,COUNT($I187:$L187)&gt;0),"Con subactividades: deje vacías las semanas (se calculan solas)"&amp;" · ","")&amp;IF((COUNTIF($I187:$L187,"&gt;1")+COUNTIF($I187:$L187,"&lt;0")+COUNTA($I187:$L187)-COUNT($I187:$L187))&gt;0,"Avance fuera de rango 0-100%"&amp;" · ","")&amp;IF(OR(AND($J187&lt;&gt;"",$J187&lt;$I187),AND($K187&lt;&gt;"",$K187&lt;MAX($I187:$J187)),AND($L187&lt;&gt;"",$L187&lt;MAX($I187:$K187))),"Avance semanal decreciente"&amp;" · ","")&amp;IF(AND(ISNUMBER($AN187),$AN187&lt;FechaRef,IF($V187="Sub",N($X187),N($M187))&lt;1),"Vencida"&amp;" · ","")&amp;IF(AND(ObsObligatoria="Sí",ISNUMBER($AN187),$AN187&lt;FechaRef,IF($V187="Sub",N($X187),N($M187))&lt;1,$Q187=""),"Vencida sin observación"&amp;" · ",""))-3)))</f>
        <v/>
      </c>
      <c r="S187" s="64">
        <f>IF(NOT((COUNTA($B187:$D187)+COUNTA($G187:$L187)+COUNTA($Q187))&gt;0),"",IF(AND($V187="Sub",N($U187)&gt;0),IF(ISNUMBER(INDEX($AM$5:$AM$1000,$U187-4)),DATE(YEAR(INDEX($AM$5:$AM$1000,$U187-4)),MONTH(INDEX($AM$5:$AM$1000,$U187-4)),1),IF(ISNUMBER(INDEX($AN$5:$AN$1000,$U187-4)),DATE(YEAR(INDEX($AN$5:$AN$1000,$U187-4)),MONTH(INDEX($AN$5:$AN$1000,$U187-4)),1),MesCiclo)),IF(ISNUMBER($AM187),DATE(YEAR($AM187),MONTH($AM187),1),IF(ISNUMBER($AN187),DATE(YEAR($AN187),MONTH($AN187),1),MesCiclo))))</f>
        <v/>
      </c>
      <c r="T187" s="62">
        <f>IF(OR($S187="",$S187&lt;&gt;MesCiclo,$V187&lt;&gt;"Macro"),"",COUNTIFS($S$5:$S187,MesCiclo,$V$5:$V187,"Macro"))</f>
        <v/>
      </c>
      <c r="U187" s="62">
        <f>IF($V187="","",IF($V187="Macro",ROW(),IFERROR(LOOKUP(2,1/($V$5:$V187="Macro"),ROW($V$5:$V187)),0)))</f>
        <v/>
      </c>
      <c r="V187" s="62">
        <f>IF(NOT((COUNTA($B187:$D187)+COUNTA($G187:$L187)+COUNTA($Q187))&gt;0),"",IF($B187="Subactividad","Sub","Macro"))</f>
        <v/>
      </c>
      <c r="W187" s="62">
        <f>IF($V187="Macro",COUNTIFS($U$5:$U$1000,ROW(),$V$5:$V$1000,"Sub"),"")</f>
        <v/>
      </c>
      <c r="X187" s="62">
        <f>IF($V187="","",IF(ISNUMBER($G187),1,IFERROR(LOOKUP(2,1/($I187:$L187&lt;&gt;""),$I187:$L187),0)))</f>
        <v/>
      </c>
      <c r="Y187" s="62">
        <f>IF($V187="","",IF(AND(ISNUMBER($G187),$G187&lt;=IF($S187=MesCiclo,InicioCiclo,$S187+MOD(2-WEEKDAY($S187),7))+6),1,IF(ISNUMBER($I187),$I187,0)))</f>
        <v/>
      </c>
      <c r="Z187" s="62">
        <f>IF($V187="","",IF(AND(ISNUMBER($G187),$G187&lt;=IF($S187=MesCiclo,InicioCiclo,$S187+MOD(2-WEEKDAY($S187),7))+13),1,IF(ISNUMBER($J187),$J187,$Y187)))</f>
        <v/>
      </c>
      <c r="AA187" s="62">
        <f>IF($V187="","",IF(AND(ISNUMBER($G187),$G187&lt;=IF($S187=MesCiclo,InicioCiclo,$S187+MOD(2-WEEKDAY($S187),7))+20),1,IF(ISNUMBER($K187),$K187,$Z187)))</f>
        <v/>
      </c>
      <c r="AB187" s="62">
        <f>IF($V187="","",IF(AND(ISNUMBER($G187),$G187&lt;=IF($S187=MesCiclo,InicioCiclo,$S187+MOD(2-WEEKDAY($S187),7))+27),1,IF(ISNUMBER($L187),$L187,$AA187)))</f>
        <v/>
      </c>
      <c r="AC187" s="62">
        <f>IF($V187="","",IF(AND(ISNUMBER($G187),$G187&lt;=IF($S187=MesCiclo,InicioCiclo,$S187+MOD(2-WEEKDAY($S187),7))+6),1,IF(N($W187)&gt;0,AVERAGEIFS($Y$5:$Y$1000,$U$5:$U$1000,ROW(),$V$5:$V$1000,"Sub"),$Y187)))</f>
        <v/>
      </c>
      <c r="AD187" s="62">
        <f>IF($V187="","",IF(AND(ISNUMBER($G187),$G187&lt;=IF($S187=MesCiclo,InicioCiclo,$S187+MOD(2-WEEKDAY($S187),7))+13),1,IF(N($W187)&gt;0,AVERAGEIFS($Z$5:$Z$1000,$U$5:$U$1000,ROW(),$V$5:$V$1000,"Sub"),$Z187)))</f>
        <v/>
      </c>
      <c r="AE187" s="62">
        <f>IF($V187="","",IF(AND(ISNUMBER($G187),$G187&lt;=IF($S187=MesCiclo,InicioCiclo,$S187+MOD(2-WEEKDAY($S187),7))+20),1,IF(N($W187)&gt;0,AVERAGEIFS($AA$5:$AA$1000,$U$5:$U$1000,ROW(),$V$5:$V$1000,"Sub"),$AA187)))</f>
        <v/>
      </c>
      <c r="AF187" s="62">
        <f>IF($V187="","",IF(AND(ISNUMBER($G187),$G187&lt;=IF($S187=MesCiclo,InicioCiclo,$S187+MOD(2-WEEKDAY($S187),7))+27),1,IF(N($W187)&gt;0,AVERAGEIFS($AB$5:$AB$1000,$U$5:$U$1000,ROW(),$V$5:$V$1000,"Sub"),$AB187)))</f>
        <v/>
      </c>
      <c r="AG187" s="62">
        <f>IF($V187&lt;&gt;"Macro","",IF(COUNTIFS($S$5:$S$1000,$S187,$V$5:$V$1000,"Macro",$H$5:$H$1000,"&gt;0")=0,1/COUNTIFS($S$5:$S$1000,$S187,$V$5:$V$1000,"Macro"),IF(AND(ISNUMBER($H187),N($H187)&gt;0),$H187,SUMIFS($H$5:$H$1000,$S$5:$S$1000,$S187,$V$5:$V$1000,"Macro")/COUNTIFS($S$5:$S$1000,$S187,$V$5:$V$1000,"Macro",$H$5:$H$1000,"&gt;0"))/(COUNTIFS($S$5:$S$1000,$S187,$V$5:$V$1000,"Macro")*SUMIFS($H$5:$H$1000,$S$5:$S$1000,$S187,$V$5:$V$1000,"Macro")/COUNTIFS($S$5:$S$1000,$S187,$V$5:$V$1000,"Macro",$H$5:$H$1000,"&gt;0"))))</f>
        <v/>
      </c>
      <c r="AH187" s="62" t="n"/>
      <c r="AI187" s="62" t="n"/>
      <c r="AJ187" s="62" t="n"/>
      <c r="AK187" s="62" t="n"/>
      <c r="AL187" s="62">
        <f>IF(LEFT($C187,11)="[Jefatura] ",IFERROR(MATCH("Riesgo Financiero|"&amp;MID($C187,12,500),rDname_ADM,0),0),"")</f>
        <v/>
      </c>
      <c r="AM187" s="62">
        <f>IF(N($AL187)&gt;0,INDEX(rIni_ADM,$AL187),IF(ISNUMBER($E187),$E187,""))</f>
        <v/>
      </c>
      <c r="AN187" s="62">
        <f>IF(N($AL187)&gt;0,INDEX(rLim_ADM,$AL187),IF(ISNUMBER($F187),$F187,""))</f>
        <v/>
      </c>
    </row>
    <row r="188">
      <c r="A188" s="56">
        <f>IF(NOT((COUNTA($B188:$D188)+COUNTA($G188:$L188)+COUNTA($Q188))&gt;0),"",IF($V188="Macro",COUNTIFS($V$5:$V188,"Macro",$S$5:$S188,$S188),IF(N($U188)=0,"?",COUNTIFS(INDEX($V$5:$V$1000,1):INDEX($V$5:$V$1000,$U188-4),"Macro",INDEX($S$5:$S$1000,1):INDEX($S$5:$S$1000,$U188-4),INDEX($S$5:$S$1000,$U188-4))&amp;"."&amp;COUNTIFS($U$5:$U188,$U188,$V$5:$V188,"Sub"))))</f>
        <v/>
      </c>
      <c r="B188" s="57" t="n"/>
      <c r="C188" s="58" t="n"/>
      <c r="D188" s="58" t="n"/>
      <c r="E188" s="59">
        <f>IF(N($AL188)&gt;0,INDEX(rIni_ADM,$AL188),"")</f>
        <v/>
      </c>
      <c r="F188" s="59">
        <f>IF(N($AL188)&gt;0,INDEX(rLim_ADM,$AL188),"")</f>
        <v/>
      </c>
      <c r="G188" s="59" t="n"/>
      <c r="H188" s="60" t="n"/>
      <c r="I188" s="60" t="n"/>
      <c r="J188" s="60" t="n"/>
      <c r="K188" s="60" t="n"/>
      <c r="L188" s="60" t="n"/>
      <c r="M188" s="61">
        <f>IF(NOT((COUNTA($B188:$D188)+COUNTA($G188:$L188)+COUNTA($Q188))&gt;0),"",IF($V188="Sub",IFERROR($X188/INDEX($W$5:$W$1000,$U188-4),""),IF(ISNUMBER($G188),1,IF(N($W188)&gt;0,AVERAGEIFS($X$5:$X$1000,$U$5:$U$1000,ROW(),$V$5:$V$1000,"Sub"),$X188))))</f>
        <v/>
      </c>
      <c r="N188" s="56">
        <f>IF(OR($M188="",$V188="Sub"),"",IF($M188&gt;=1,"Completado",IF($M188&gt;0,"En curso","Pendiente")))</f>
        <v/>
      </c>
      <c r="O188" s="56">
        <f>IF(OR(NOT((COUNTA($B188:$D188)+COUNTA($G188:$L188)+COUNTA($Q188))&gt;0),$V188="Sub"),"",IF(ISNUMBER($G188),IF(AND(ISNUMBER($AN188),$G188&gt;$AN188),"Cumplida con "&amp;($G188-$AN188)&amp;IF($G188-$AN188=1," día"," días")&amp;" de retraso","Cumplida"),IF(N($M188)&gt;=1,"Cumplida",IF(NOT(ISNUMBER($AN188)),"Sin fecha límite",IF($AN188&lt;FechaRef,"Vencida hace "&amp;(FechaRef-$AN188)&amp;IF(FechaRef-$AN188=1," día"," días"),IF($AN188=FechaRef,"Vence hoy",IF($AN188-FechaRef&lt;=DiasAlerta,"Vence en "&amp;($AN188-FechaRef)&amp;IF($AN188-FechaRef=1," día"," días"),"En plazo")))))))</f>
        <v/>
      </c>
      <c r="P188" s="62" t="n"/>
      <c r="Q188" s="58" t="n"/>
      <c r="R188" s="63">
        <f>IF(NOT((COUNTA($B188:$D188)+COUNTA($G188:$L188)+COUNTA($Q188))&gt;0),"",IF((IF($C188="","Falta el nombre de la actividad"&amp;" · ","")&amp;IF(AND($V188="Sub",N($U188)=0),"Subactividad sin macroactividad arriba"&amp;" · ","")&amp;IF($AM188="","Sin fecha de inicio"&amp;" · ","")&amp;IF($AN188="","Sin fecha límite"&amp;" · ","")&amp;IF(AND(LEFT($C188,11)="[Jefatura] ",N($AL188)=0),"No se encuentra en la hoja de la jefatura (elíjala de nuevo en la lista)"&amp;" · ","")&amp;IF(OR(AND($E188&lt;&gt;"",NOT(ISNUMBER($E188))),AND($F188&lt;&gt;"",NOT(ISNUMBER($F188))),AND($G188&lt;&gt;"",NOT(ISNUMBER($G188)))),"Fecha no válida"&amp;" · ","")&amp;IF(AND(ISNUMBER($AM188),ISNUMBER($AN188),$AM188&gt;$AN188),"Inicio posterior a fecha límite"&amp;" · ","")&amp;IF(AND($V188="Macro",$H188&lt;&gt;"",OR(NOT(ISNUMBER($H188)),$H188&lt;0,$H188&gt;1)),"Peso fuera de rango"&amp;" · ","")&amp;IF(AND($V188="Sub",$H188&lt;&gt;""),"Las subactividades no llevan peso (valen igual dentro de su macroactividad)"&amp;" · ","")&amp;IF(AND(N($W188)&gt;0,COUNT($I188:$L188)&gt;0),"Con subactividades: deje vacías las semanas (se calculan solas)"&amp;" · ","")&amp;IF((COUNTIF($I188:$L188,"&gt;1")+COUNTIF($I188:$L188,"&lt;0")+COUNTA($I188:$L188)-COUNT($I188:$L188))&gt;0,"Avance fuera de rango 0-100%"&amp;" · ","")&amp;IF(OR(AND($J188&lt;&gt;"",$J188&lt;$I188),AND($K188&lt;&gt;"",$K188&lt;MAX($I188:$J188)),AND($L188&lt;&gt;"",$L188&lt;MAX($I188:$K188))),"Avance semanal decreciente"&amp;" · ","")&amp;IF(AND(ISNUMBER($AN188),$AN188&lt;FechaRef,IF($V188="Sub",N($X188),N($M188))&lt;1),"Vencida"&amp;" · ","")&amp;IF(AND(ObsObligatoria="Sí",ISNUMBER($AN188),$AN188&lt;FechaRef,IF($V188="Sub",N($X188),N($M188))&lt;1,$Q188=""),"Vencida sin observación"&amp;" · ",""))="","✔ OK","⚠ "&amp;LEFT(IF($C188="","Falta el nombre de la actividad"&amp;" · ","")&amp;IF(AND($V188="Sub",N($U188)=0),"Subactividad sin macroactividad arriba"&amp;" · ","")&amp;IF($AM188="","Sin fecha de inicio"&amp;" · ","")&amp;IF($AN188="","Sin fecha límite"&amp;" · ","")&amp;IF(AND(LEFT($C188,11)="[Jefatura] ",N($AL188)=0),"No se encuentra en la hoja de la jefatura (elíjala de nuevo en la lista)"&amp;" · ","")&amp;IF(OR(AND($E188&lt;&gt;"",NOT(ISNUMBER($E188))),AND($F188&lt;&gt;"",NOT(ISNUMBER($F188))),AND($G188&lt;&gt;"",NOT(ISNUMBER($G188)))),"Fecha no válida"&amp;" · ","")&amp;IF(AND(ISNUMBER($AM188),ISNUMBER($AN188),$AM188&gt;$AN188),"Inicio posterior a fecha límite"&amp;" · ","")&amp;IF(AND($V188="Macro",$H188&lt;&gt;"",OR(NOT(ISNUMBER($H188)),$H188&lt;0,$H188&gt;1)),"Peso fuera de rango"&amp;" · ","")&amp;IF(AND($V188="Sub",$H188&lt;&gt;""),"Las subactividades no llevan peso (valen igual dentro de su macroactividad)"&amp;" · ","")&amp;IF(AND(N($W188)&gt;0,COUNT($I188:$L188)&gt;0),"Con subactividades: deje vacías las semanas (se calculan solas)"&amp;" · ","")&amp;IF((COUNTIF($I188:$L188,"&gt;1")+COUNTIF($I188:$L188,"&lt;0")+COUNTA($I188:$L188)-COUNT($I188:$L188))&gt;0,"Avance fuera de rango 0-100%"&amp;" · ","")&amp;IF(OR(AND($J188&lt;&gt;"",$J188&lt;$I188),AND($K188&lt;&gt;"",$K188&lt;MAX($I188:$J188)),AND($L188&lt;&gt;"",$L188&lt;MAX($I188:$K188))),"Avance semanal decreciente"&amp;" · ","")&amp;IF(AND(ISNUMBER($AN188),$AN188&lt;FechaRef,IF($V188="Sub",N($X188),N($M188))&lt;1),"Vencida"&amp;" · ","")&amp;IF(AND(ObsObligatoria="Sí",ISNUMBER($AN188),$AN188&lt;FechaRef,IF($V188="Sub",N($X188),N($M188))&lt;1,$Q188=""),"Vencida sin observación"&amp;" · ",""),LEN(IF($C188="","Falta el nombre de la actividad"&amp;" · ","")&amp;IF(AND($V188="Sub",N($U188)=0),"Subactividad sin macroactividad arriba"&amp;" · ","")&amp;IF($AM188="","Sin fecha de inicio"&amp;" · ","")&amp;IF($AN188="","Sin fecha límite"&amp;" · ","")&amp;IF(AND(LEFT($C188,11)="[Jefatura] ",N($AL188)=0),"No se encuentra en la hoja de la jefatura (elíjala de nuevo en la lista)"&amp;" · ","")&amp;IF(OR(AND($E188&lt;&gt;"",NOT(ISNUMBER($E188))),AND($F188&lt;&gt;"",NOT(ISNUMBER($F188))),AND($G188&lt;&gt;"",NOT(ISNUMBER($G188)))),"Fecha no válida"&amp;" · ","")&amp;IF(AND(ISNUMBER($AM188),ISNUMBER($AN188),$AM188&gt;$AN188),"Inicio posterior a fecha límite"&amp;" · ","")&amp;IF(AND($V188="Macro",$H188&lt;&gt;"",OR(NOT(ISNUMBER($H188)),$H188&lt;0,$H188&gt;1)),"Peso fuera de rango"&amp;" · ","")&amp;IF(AND($V188="Sub",$H188&lt;&gt;""),"Las subactividades no llevan peso (valen igual dentro de su macroactividad)"&amp;" · ","")&amp;IF(AND(N($W188)&gt;0,COUNT($I188:$L188)&gt;0),"Con subactividades: deje vacías las semanas (se calculan solas)"&amp;" · ","")&amp;IF((COUNTIF($I188:$L188,"&gt;1")+COUNTIF($I188:$L188,"&lt;0")+COUNTA($I188:$L188)-COUNT($I188:$L188))&gt;0,"Avance fuera de rango 0-100%"&amp;" · ","")&amp;IF(OR(AND($J188&lt;&gt;"",$J188&lt;$I188),AND($K188&lt;&gt;"",$K188&lt;MAX($I188:$J188)),AND($L188&lt;&gt;"",$L188&lt;MAX($I188:$K188))),"Avance semanal decreciente"&amp;" · ","")&amp;IF(AND(ISNUMBER($AN188),$AN188&lt;FechaRef,IF($V188="Sub",N($X188),N($M188))&lt;1),"Vencida"&amp;" · ","")&amp;IF(AND(ObsObligatoria="Sí",ISNUMBER($AN188),$AN188&lt;FechaRef,IF($V188="Sub",N($X188),N($M188))&lt;1,$Q188=""),"Vencida sin observación"&amp;" · ",""))-3)))</f>
        <v/>
      </c>
      <c r="S188" s="64">
        <f>IF(NOT((COUNTA($B188:$D188)+COUNTA($G188:$L188)+COUNTA($Q188))&gt;0),"",IF(AND($V188="Sub",N($U188)&gt;0),IF(ISNUMBER(INDEX($AM$5:$AM$1000,$U188-4)),DATE(YEAR(INDEX($AM$5:$AM$1000,$U188-4)),MONTH(INDEX($AM$5:$AM$1000,$U188-4)),1),IF(ISNUMBER(INDEX($AN$5:$AN$1000,$U188-4)),DATE(YEAR(INDEX($AN$5:$AN$1000,$U188-4)),MONTH(INDEX($AN$5:$AN$1000,$U188-4)),1),MesCiclo)),IF(ISNUMBER($AM188),DATE(YEAR($AM188),MONTH($AM188),1),IF(ISNUMBER($AN188),DATE(YEAR($AN188),MONTH($AN188),1),MesCiclo))))</f>
        <v/>
      </c>
      <c r="T188" s="62">
        <f>IF(OR($S188="",$S188&lt;&gt;MesCiclo,$V188&lt;&gt;"Macro"),"",COUNTIFS($S$5:$S188,MesCiclo,$V$5:$V188,"Macro"))</f>
        <v/>
      </c>
      <c r="U188" s="62">
        <f>IF($V188="","",IF($V188="Macro",ROW(),IFERROR(LOOKUP(2,1/($V$5:$V188="Macro"),ROW($V$5:$V188)),0)))</f>
        <v/>
      </c>
      <c r="V188" s="62">
        <f>IF(NOT((COUNTA($B188:$D188)+COUNTA($G188:$L188)+COUNTA($Q188))&gt;0),"",IF($B188="Subactividad","Sub","Macro"))</f>
        <v/>
      </c>
      <c r="W188" s="62">
        <f>IF($V188="Macro",COUNTIFS($U$5:$U$1000,ROW(),$V$5:$V$1000,"Sub"),"")</f>
        <v/>
      </c>
      <c r="X188" s="62">
        <f>IF($V188="","",IF(ISNUMBER($G188),1,IFERROR(LOOKUP(2,1/($I188:$L188&lt;&gt;""),$I188:$L188),0)))</f>
        <v/>
      </c>
      <c r="Y188" s="62">
        <f>IF($V188="","",IF(AND(ISNUMBER($G188),$G188&lt;=IF($S188=MesCiclo,InicioCiclo,$S188+MOD(2-WEEKDAY($S188),7))+6),1,IF(ISNUMBER($I188),$I188,0)))</f>
        <v/>
      </c>
      <c r="Z188" s="62">
        <f>IF($V188="","",IF(AND(ISNUMBER($G188),$G188&lt;=IF($S188=MesCiclo,InicioCiclo,$S188+MOD(2-WEEKDAY($S188),7))+13),1,IF(ISNUMBER($J188),$J188,$Y188)))</f>
        <v/>
      </c>
      <c r="AA188" s="62">
        <f>IF($V188="","",IF(AND(ISNUMBER($G188),$G188&lt;=IF($S188=MesCiclo,InicioCiclo,$S188+MOD(2-WEEKDAY($S188),7))+20),1,IF(ISNUMBER($K188),$K188,$Z188)))</f>
        <v/>
      </c>
      <c r="AB188" s="62">
        <f>IF($V188="","",IF(AND(ISNUMBER($G188),$G188&lt;=IF($S188=MesCiclo,InicioCiclo,$S188+MOD(2-WEEKDAY($S188),7))+27),1,IF(ISNUMBER($L188),$L188,$AA188)))</f>
        <v/>
      </c>
      <c r="AC188" s="62">
        <f>IF($V188="","",IF(AND(ISNUMBER($G188),$G188&lt;=IF($S188=MesCiclo,InicioCiclo,$S188+MOD(2-WEEKDAY($S188),7))+6),1,IF(N($W188)&gt;0,AVERAGEIFS($Y$5:$Y$1000,$U$5:$U$1000,ROW(),$V$5:$V$1000,"Sub"),$Y188)))</f>
        <v/>
      </c>
      <c r="AD188" s="62">
        <f>IF($V188="","",IF(AND(ISNUMBER($G188),$G188&lt;=IF($S188=MesCiclo,InicioCiclo,$S188+MOD(2-WEEKDAY($S188),7))+13),1,IF(N($W188)&gt;0,AVERAGEIFS($Z$5:$Z$1000,$U$5:$U$1000,ROW(),$V$5:$V$1000,"Sub"),$Z188)))</f>
        <v/>
      </c>
      <c r="AE188" s="62">
        <f>IF($V188="","",IF(AND(ISNUMBER($G188),$G188&lt;=IF($S188=MesCiclo,InicioCiclo,$S188+MOD(2-WEEKDAY($S188),7))+20),1,IF(N($W188)&gt;0,AVERAGEIFS($AA$5:$AA$1000,$U$5:$U$1000,ROW(),$V$5:$V$1000,"Sub"),$AA188)))</f>
        <v/>
      </c>
      <c r="AF188" s="62">
        <f>IF($V188="","",IF(AND(ISNUMBER($G188),$G188&lt;=IF($S188=MesCiclo,InicioCiclo,$S188+MOD(2-WEEKDAY($S188),7))+27),1,IF(N($W188)&gt;0,AVERAGEIFS($AB$5:$AB$1000,$U$5:$U$1000,ROW(),$V$5:$V$1000,"Sub"),$AB188)))</f>
        <v/>
      </c>
      <c r="AG188" s="62">
        <f>IF($V188&lt;&gt;"Macro","",IF(COUNTIFS($S$5:$S$1000,$S188,$V$5:$V$1000,"Macro",$H$5:$H$1000,"&gt;0")=0,1/COUNTIFS($S$5:$S$1000,$S188,$V$5:$V$1000,"Macro"),IF(AND(ISNUMBER($H188),N($H188)&gt;0),$H188,SUMIFS($H$5:$H$1000,$S$5:$S$1000,$S188,$V$5:$V$1000,"Macro")/COUNTIFS($S$5:$S$1000,$S188,$V$5:$V$1000,"Macro",$H$5:$H$1000,"&gt;0"))/(COUNTIFS($S$5:$S$1000,$S188,$V$5:$V$1000,"Macro")*SUMIFS($H$5:$H$1000,$S$5:$S$1000,$S188,$V$5:$V$1000,"Macro")/COUNTIFS($S$5:$S$1000,$S188,$V$5:$V$1000,"Macro",$H$5:$H$1000,"&gt;0"))))</f>
        <v/>
      </c>
      <c r="AH188" s="62" t="n"/>
      <c r="AI188" s="62" t="n"/>
      <c r="AJ188" s="62" t="n"/>
      <c r="AK188" s="62" t="n"/>
      <c r="AL188" s="62">
        <f>IF(LEFT($C188,11)="[Jefatura] ",IFERROR(MATCH("Riesgo Financiero|"&amp;MID($C188,12,500),rDname_ADM,0),0),"")</f>
        <v/>
      </c>
      <c r="AM188" s="62">
        <f>IF(N($AL188)&gt;0,INDEX(rIni_ADM,$AL188),IF(ISNUMBER($E188),$E188,""))</f>
        <v/>
      </c>
      <c r="AN188" s="62">
        <f>IF(N($AL188)&gt;0,INDEX(rLim_ADM,$AL188),IF(ISNUMBER($F188),$F188,""))</f>
        <v/>
      </c>
    </row>
    <row r="189">
      <c r="A189" s="56">
        <f>IF(NOT((COUNTA($B189:$D189)+COUNTA($G189:$L189)+COUNTA($Q189))&gt;0),"",IF($V189="Macro",COUNTIFS($V$5:$V189,"Macro",$S$5:$S189,$S189),IF(N($U189)=0,"?",COUNTIFS(INDEX($V$5:$V$1000,1):INDEX($V$5:$V$1000,$U189-4),"Macro",INDEX($S$5:$S$1000,1):INDEX($S$5:$S$1000,$U189-4),INDEX($S$5:$S$1000,$U189-4))&amp;"."&amp;COUNTIFS($U$5:$U189,$U189,$V$5:$V189,"Sub"))))</f>
        <v/>
      </c>
      <c r="B189" s="57" t="n"/>
      <c r="C189" s="58" t="n"/>
      <c r="D189" s="58" t="n"/>
      <c r="E189" s="59">
        <f>IF(N($AL189)&gt;0,INDEX(rIni_ADM,$AL189),"")</f>
        <v/>
      </c>
      <c r="F189" s="59">
        <f>IF(N($AL189)&gt;0,INDEX(rLim_ADM,$AL189),"")</f>
        <v/>
      </c>
      <c r="G189" s="59" t="n"/>
      <c r="H189" s="60" t="n"/>
      <c r="I189" s="60" t="n"/>
      <c r="J189" s="60" t="n"/>
      <c r="K189" s="60" t="n"/>
      <c r="L189" s="60" t="n"/>
      <c r="M189" s="61">
        <f>IF(NOT((COUNTA($B189:$D189)+COUNTA($G189:$L189)+COUNTA($Q189))&gt;0),"",IF($V189="Sub",IFERROR($X189/INDEX($W$5:$W$1000,$U189-4),""),IF(ISNUMBER($G189),1,IF(N($W189)&gt;0,AVERAGEIFS($X$5:$X$1000,$U$5:$U$1000,ROW(),$V$5:$V$1000,"Sub"),$X189))))</f>
        <v/>
      </c>
      <c r="N189" s="56">
        <f>IF(OR($M189="",$V189="Sub"),"",IF($M189&gt;=1,"Completado",IF($M189&gt;0,"En curso","Pendiente")))</f>
        <v/>
      </c>
      <c r="O189" s="56">
        <f>IF(OR(NOT((COUNTA($B189:$D189)+COUNTA($G189:$L189)+COUNTA($Q189))&gt;0),$V189="Sub"),"",IF(ISNUMBER($G189),IF(AND(ISNUMBER($AN189),$G189&gt;$AN189),"Cumplida con "&amp;($G189-$AN189)&amp;IF($G189-$AN189=1," día"," días")&amp;" de retraso","Cumplida"),IF(N($M189)&gt;=1,"Cumplida",IF(NOT(ISNUMBER($AN189)),"Sin fecha límite",IF($AN189&lt;FechaRef,"Vencida hace "&amp;(FechaRef-$AN189)&amp;IF(FechaRef-$AN189=1," día"," días"),IF($AN189=FechaRef,"Vence hoy",IF($AN189-FechaRef&lt;=DiasAlerta,"Vence en "&amp;($AN189-FechaRef)&amp;IF($AN189-FechaRef=1," día"," días"),"En plazo")))))))</f>
        <v/>
      </c>
      <c r="P189" s="62" t="n"/>
      <c r="Q189" s="58" t="n"/>
      <c r="R189" s="63">
        <f>IF(NOT((COUNTA($B189:$D189)+COUNTA($G189:$L189)+COUNTA($Q189))&gt;0),"",IF((IF($C189="","Falta el nombre de la actividad"&amp;" · ","")&amp;IF(AND($V189="Sub",N($U189)=0),"Subactividad sin macroactividad arriba"&amp;" · ","")&amp;IF($AM189="","Sin fecha de inicio"&amp;" · ","")&amp;IF($AN189="","Sin fecha límite"&amp;" · ","")&amp;IF(AND(LEFT($C189,11)="[Jefatura] ",N($AL189)=0),"No se encuentra en la hoja de la jefatura (elíjala de nuevo en la lista)"&amp;" · ","")&amp;IF(OR(AND($E189&lt;&gt;"",NOT(ISNUMBER($E189))),AND($F189&lt;&gt;"",NOT(ISNUMBER($F189))),AND($G189&lt;&gt;"",NOT(ISNUMBER($G189)))),"Fecha no válida"&amp;" · ","")&amp;IF(AND(ISNUMBER($AM189),ISNUMBER($AN189),$AM189&gt;$AN189),"Inicio posterior a fecha límite"&amp;" · ","")&amp;IF(AND($V189="Macro",$H189&lt;&gt;"",OR(NOT(ISNUMBER($H189)),$H189&lt;0,$H189&gt;1)),"Peso fuera de rango"&amp;" · ","")&amp;IF(AND($V189="Sub",$H189&lt;&gt;""),"Las subactividades no llevan peso (valen igual dentro de su macroactividad)"&amp;" · ","")&amp;IF(AND(N($W189)&gt;0,COUNT($I189:$L189)&gt;0),"Con subactividades: deje vacías las semanas (se calculan solas)"&amp;" · ","")&amp;IF((COUNTIF($I189:$L189,"&gt;1")+COUNTIF($I189:$L189,"&lt;0")+COUNTA($I189:$L189)-COUNT($I189:$L189))&gt;0,"Avance fuera de rango 0-100%"&amp;" · ","")&amp;IF(OR(AND($J189&lt;&gt;"",$J189&lt;$I189),AND($K189&lt;&gt;"",$K189&lt;MAX($I189:$J189)),AND($L189&lt;&gt;"",$L189&lt;MAX($I189:$K189))),"Avance semanal decreciente"&amp;" · ","")&amp;IF(AND(ISNUMBER($AN189),$AN189&lt;FechaRef,IF($V189="Sub",N($X189),N($M189))&lt;1),"Vencida"&amp;" · ","")&amp;IF(AND(ObsObligatoria="Sí",ISNUMBER($AN189),$AN189&lt;FechaRef,IF($V189="Sub",N($X189),N($M189))&lt;1,$Q189=""),"Vencida sin observación"&amp;" · ",""))="","✔ OK","⚠ "&amp;LEFT(IF($C189="","Falta el nombre de la actividad"&amp;" · ","")&amp;IF(AND($V189="Sub",N($U189)=0),"Subactividad sin macroactividad arriba"&amp;" · ","")&amp;IF($AM189="","Sin fecha de inicio"&amp;" · ","")&amp;IF($AN189="","Sin fecha límite"&amp;" · ","")&amp;IF(AND(LEFT($C189,11)="[Jefatura] ",N($AL189)=0),"No se encuentra en la hoja de la jefatura (elíjala de nuevo en la lista)"&amp;" · ","")&amp;IF(OR(AND($E189&lt;&gt;"",NOT(ISNUMBER($E189))),AND($F189&lt;&gt;"",NOT(ISNUMBER($F189))),AND($G189&lt;&gt;"",NOT(ISNUMBER($G189)))),"Fecha no válida"&amp;" · ","")&amp;IF(AND(ISNUMBER($AM189),ISNUMBER($AN189),$AM189&gt;$AN189),"Inicio posterior a fecha límite"&amp;" · ","")&amp;IF(AND($V189="Macro",$H189&lt;&gt;"",OR(NOT(ISNUMBER($H189)),$H189&lt;0,$H189&gt;1)),"Peso fuera de rango"&amp;" · ","")&amp;IF(AND($V189="Sub",$H189&lt;&gt;""),"Las subactividades no llevan peso (valen igual dentro de su macroactividad)"&amp;" · ","")&amp;IF(AND(N($W189)&gt;0,COUNT($I189:$L189)&gt;0),"Con subactividades: deje vacías las semanas (se calculan solas)"&amp;" · ","")&amp;IF((COUNTIF($I189:$L189,"&gt;1")+COUNTIF($I189:$L189,"&lt;0")+COUNTA($I189:$L189)-COUNT($I189:$L189))&gt;0,"Avance fuera de rango 0-100%"&amp;" · ","")&amp;IF(OR(AND($J189&lt;&gt;"",$J189&lt;$I189),AND($K189&lt;&gt;"",$K189&lt;MAX($I189:$J189)),AND($L189&lt;&gt;"",$L189&lt;MAX($I189:$K189))),"Avance semanal decreciente"&amp;" · ","")&amp;IF(AND(ISNUMBER($AN189),$AN189&lt;FechaRef,IF($V189="Sub",N($X189),N($M189))&lt;1),"Vencida"&amp;" · ","")&amp;IF(AND(ObsObligatoria="Sí",ISNUMBER($AN189),$AN189&lt;FechaRef,IF($V189="Sub",N($X189),N($M189))&lt;1,$Q189=""),"Vencida sin observación"&amp;" · ",""),LEN(IF($C189="","Falta el nombre de la actividad"&amp;" · ","")&amp;IF(AND($V189="Sub",N($U189)=0),"Subactividad sin macroactividad arriba"&amp;" · ","")&amp;IF($AM189="","Sin fecha de inicio"&amp;" · ","")&amp;IF($AN189="","Sin fecha límite"&amp;" · ","")&amp;IF(AND(LEFT($C189,11)="[Jefatura] ",N($AL189)=0),"No se encuentra en la hoja de la jefatura (elíjala de nuevo en la lista)"&amp;" · ","")&amp;IF(OR(AND($E189&lt;&gt;"",NOT(ISNUMBER($E189))),AND($F189&lt;&gt;"",NOT(ISNUMBER($F189))),AND($G189&lt;&gt;"",NOT(ISNUMBER($G189)))),"Fecha no válida"&amp;" · ","")&amp;IF(AND(ISNUMBER($AM189),ISNUMBER($AN189),$AM189&gt;$AN189),"Inicio posterior a fecha límite"&amp;" · ","")&amp;IF(AND($V189="Macro",$H189&lt;&gt;"",OR(NOT(ISNUMBER($H189)),$H189&lt;0,$H189&gt;1)),"Peso fuera de rango"&amp;" · ","")&amp;IF(AND($V189="Sub",$H189&lt;&gt;""),"Las subactividades no llevan peso (valen igual dentro de su macroactividad)"&amp;" · ","")&amp;IF(AND(N($W189)&gt;0,COUNT($I189:$L189)&gt;0),"Con subactividades: deje vacías las semanas (se calculan solas)"&amp;" · ","")&amp;IF((COUNTIF($I189:$L189,"&gt;1")+COUNTIF($I189:$L189,"&lt;0")+COUNTA($I189:$L189)-COUNT($I189:$L189))&gt;0,"Avance fuera de rango 0-100%"&amp;" · ","")&amp;IF(OR(AND($J189&lt;&gt;"",$J189&lt;$I189),AND($K189&lt;&gt;"",$K189&lt;MAX($I189:$J189)),AND($L189&lt;&gt;"",$L189&lt;MAX($I189:$K189))),"Avance semanal decreciente"&amp;" · ","")&amp;IF(AND(ISNUMBER($AN189),$AN189&lt;FechaRef,IF($V189="Sub",N($X189),N($M189))&lt;1),"Vencida"&amp;" · ","")&amp;IF(AND(ObsObligatoria="Sí",ISNUMBER($AN189),$AN189&lt;FechaRef,IF($V189="Sub",N($X189),N($M189))&lt;1,$Q189=""),"Vencida sin observación"&amp;" · ",""))-3)))</f>
        <v/>
      </c>
      <c r="S189" s="64">
        <f>IF(NOT((COUNTA($B189:$D189)+COUNTA($G189:$L189)+COUNTA($Q189))&gt;0),"",IF(AND($V189="Sub",N($U189)&gt;0),IF(ISNUMBER(INDEX($AM$5:$AM$1000,$U189-4)),DATE(YEAR(INDEX($AM$5:$AM$1000,$U189-4)),MONTH(INDEX($AM$5:$AM$1000,$U189-4)),1),IF(ISNUMBER(INDEX($AN$5:$AN$1000,$U189-4)),DATE(YEAR(INDEX($AN$5:$AN$1000,$U189-4)),MONTH(INDEX($AN$5:$AN$1000,$U189-4)),1),MesCiclo)),IF(ISNUMBER($AM189),DATE(YEAR($AM189),MONTH($AM189),1),IF(ISNUMBER($AN189),DATE(YEAR($AN189),MONTH($AN189),1),MesCiclo))))</f>
        <v/>
      </c>
      <c r="T189" s="62">
        <f>IF(OR($S189="",$S189&lt;&gt;MesCiclo,$V189&lt;&gt;"Macro"),"",COUNTIFS($S$5:$S189,MesCiclo,$V$5:$V189,"Macro"))</f>
        <v/>
      </c>
      <c r="U189" s="62">
        <f>IF($V189="","",IF($V189="Macro",ROW(),IFERROR(LOOKUP(2,1/($V$5:$V189="Macro"),ROW($V$5:$V189)),0)))</f>
        <v/>
      </c>
      <c r="V189" s="62">
        <f>IF(NOT((COUNTA($B189:$D189)+COUNTA($G189:$L189)+COUNTA($Q189))&gt;0),"",IF($B189="Subactividad","Sub","Macro"))</f>
        <v/>
      </c>
      <c r="W189" s="62">
        <f>IF($V189="Macro",COUNTIFS($U$5:$U$1000,ROW(),$V$5:$V$1000,"Sub"),"")</f>
        <v/>
      </c>
      <c r="X189" s="62">
        <f>IF($V189="","",IF(ISNUMBER($G189),1,IFERROR(LOOKUP(2,1/($I189:$L189&lt;&gt;""),$I189:$L189),0)))</f>
        <v/>
      </c>
      <c r="Y189" s="62">
        <f>IF($V189="","",IF(AND(ISNUMBER($G189),$G189&lt;=IF($S189=MesCiclo,InicioCiclo,$S189+MOD(2-WEEKDAY($S189),7))+6),1,IF(ISNUMBER($I189),$I189,0)))</f>
        <v/>
      </c>
      <c r="Z189" s="62">
        <f>IF($V189="","",IF(AND(ISNUMBER($G189),$G189&lt;=IF($S189=MesCiclo,InicioCiclo,$S189+MOD(2-WEEKDAY($S189),7))+13),1,IF(ISNUMBER($J189),$J189,$Y189)))</f>
        <v/>
      </c>
      <c r="AA189" s="62">
        <f>IF($V189="","",IF(AND(ISNUMBER($G189),$G189&lt;=IF($S189=MesCiclo,InicioCiclo,$S189+MOD(2-WEEKDAY($S189),7))+20),1,IF(ISNUMBER($K189),$K189,$Z189)))</f>
        <v/>
      </c>
      <c r="AB189" s="62">
        <f>IF($V189="","",IF(AND(ISNUMBER($G189),$G189&lt;=IF($S189=MesCiclo,InicioCiclo,$S189+MOD(2-WEEKDAY($S189),7))+27),1,IF(ISNUMBER($L189),$L189,$AA189)))</f>
        <v/>
      </c>
      <c r="AC189" s="62">
        <f>IF($V189="","",IF(AND(ISNUMBER($G189),$G189&lt;=IF($S189=MesCiclo,InicioCiclo,$S189+MOD(2-WEEKDAY($S189),7))+6),1,IF(N($W189)&gt;0,AVERAGEIFS($Y$5:$Y$1000,$U$5:$U$1000,ROW(),$V$5:$V$1000,"Sub"),$Y189)))</f>
        <v/>
      </c>
      <c r="AD189" s="62">
        <f>IF($V189="","",IF(AND(ISNUMBER($G189),$G189&lt;=IF($S189=MesCiclo,InicioCiclo,$S189+MOD(2-WEEKDAY($S189),7))+13),1,IF(N($W189)&gt;0,AVERAGEIFS($Z$5:$Z$1000,$U$5:$U$1000,ROW(),$V$5:$V$1000,"Sub"),$Z189)))</f>
        <v/>
      </c>
      <c r="AE189" s="62">
        <f>IF($V189="","",IF(AND(ISNUMBER($G189),$G189&lt;=IF($S189=MesCiclo,InicioCiclo,$S189+MOD(2-WEEKDAY($S189),7))+20),1,IF(N($W189)&gt;0,AVERAGEIFS($AA$5:$AA$1000,$U$5:$U$1000,ROW(),$V$5:$V$1000,"Sub"),$AA189)))</f>
        <v/>
      </c>
      <c r="AF189" s="62">
        <f>IF($V189="","",IF(AND(ISNUMBER($G189),$G189&lt;=IF($S189=MesCiclo,InicioCiclo,$S189+MOD(2-WEEKDAY($S189),7))+27),1,IF(N($W189)&gt;0,AVERAGEIFS($AB$5:$AB$1000,$U$5:$U$1000,ROW(),$V$5:$V$1000,"Sub"),$AB189)))</f>
        <v/>
      </c>
      <c r="AG189" s="62">
        <f>IF($V189&lt;&gt;"Macro","",IF(COUNTIFS($S$5:$S$1000,$S189,$V$5:$V$1000,"Macro",$H$5:$H$1000,"&gt;0")=0,1/COUNTIFS($S$5:$S$1000,$S189,$V$5:$V$1000,"Macro"),IF(AND(ISNUMBER($H189),N($H189)&gt;0),$H189,SUMIFS($H$5:$H$1000,$S$5:$S$1000,$S189,$V$5:$V$1000,"Macro")/COUNTIFS($S$5:$S$1000,$S189,$V$5:$V$1000,"Macro",$H$5:$H$1000,"&gt;0"))/(COUNTIFS($S$5:$S$1000,$S189,$V$5:$V$1000,"Macro")*SUMIFS($H$5:$H$1000,$S$5:$S$1000,$S189,$V$5:$V$1000,"Macro")/COUNTIFS($S$5:$S$1000,$S189,$V$5:$V$1000,"Macro",$H$5:$H$1000,"&gt;0"))))</f>
        <v/>
      </c>
      <c r="AH189" s="62" t="n"/>
      <c r="AI189" s="62" t="n"/>
      <c r="AJ189" s="62" t="n"/>
      <c r="AK189" s="62" t="n"/>
      <c r="AL189" s="62">
        <f>IF(LEFT($C189,11)="[Jefatura] ",IFERROR(MATCH("Riesgo Financiero|"&amp;MID($C189,12,500),rDname_ADM,0),0),"")</f>
        <v/>
      </c>
      <c r="AM189" s="62">
        <f>IF(N($AL189)&gt;0,INDEX(rIni_ADM,$AL189),IF(ISNUMBER($E189),$E189,""))</f>
        <v/>
      </c>
      <c r="AN189" s="62">
        <f>IF(N($AL189)&gt;0,INDEX(rLim_ADM,$AL189),IF(ISNUMBER($F189),$F189,""))</f>
        <v/>
      </c>
    </row>
    <row r="190">
      <c r="A190" s="56">
        <f>IF(NOT((COUNTA($B190:$D190)+COUNTA($G190:$L190)+COUNTA($Q190))&gt;0),"",IF($V190="Macro",COUNTIFS($V$5:$V190,"Macro",$S$5:$S190,$S190),IF(N($U190)=0,"?",COUNTIFS(INDEX($V$5:$V$1000,1):INDEX($V$5:$V$1000,$U190-4),"Macro",INDEX($S$5:$S$1000,1):INDEX($S$5:$S$1000,$U190-4),INDEX($S$5:$S$1000,$U190-4))&amp;"."&amp;COUNTIFS($U$5:$U190,$U190,$V$5:$V190,"Sub"))))</f>
        <v/>
      </c>
      <c r="B190" s="57" t="n"/>
      <c r="C190" s="58" t="n"/>
      <c r="D190" s="58" t="n"/>
      <c r="E190" s="59">
        <f>IF(N($AL190)&gt;0,INDEX(rIni_ADM,$AL190),"")</f>
        <v/>
      </c>
      <c r="F190" s="59">
        <f>IF(N($AL190)&gt;0,INDEX(rLim_ADM,$AL190),"")</f>
        <v/>
      </c>
      <c r="G190" s="59" t="n"/>
      <c r="H190" s="60" t="n"/>
      <c r="I190" s="60" t="n"/>
      <c r="J190" s="60" t="n"/>
      <c r="K190" s="60" t="n"/>
      <c r="L190" s="60" t="n"/>
      <c r="M190" s="61">
        <f>IF(NOT((COUNTA($B190:$D190)+COUNTA($G190:$L190)+COUNTA($Q190))&gt;0),"",IF($V190="Sub",IFERROR($X190/INDEX($W$5:$W$1000,$U190-4),""),IF(ISNUMBER($G190),1,IF(N($W190)&gt;0,AVERAGEIFS($X$5:$X$1000,$U$5:$U$1000,ROW(),$V$5:$V$1000,"Sub"),$X190))))</f>
        <v/>
      </c>
      <c r="N190" s="56">
        <f>IF(OR($M190="",$V190="Sub"),"",IF($M190&gt;=1,"Completado",IF($M190&gt;0,"En curso","Pendiente")))</f>
        <v/>
      </c>
      <c r="O190" s="56">
        <f>IF(OR(NOT((COUNTA($B190:$D190)+COUNTA($G190:$L190)+COUNTA($Q190))&gt;0),$V190="Sub"),"",IF(ISNUMBER($G190),IF(AND(ISNUMBER($AN190),$G190&gt;$AN190),"Cumplida con "&amp;($G190-$AN190)&amp;IF($G190-$AN190=1," día"," días")&amp;" de retraso","Cumplida"),IF(N($M190)&gt;=1,"Cumplida",IF(NOT(ISNUMBER($AN190)),"Sin fecha límite",IF($AN190&lt;FechaRef,"Vencida hace "&amp;(FechaRef-$AN190)&amp;IF(FechaRef-$AN190=1," día"," días"),IF($AN190=FechaRef,"Vence hoy",IF($AN190-FechaRef&lt;=DiasAlerta,"Vence en "&amp;($AN190-FechaRef)&amp;IF($AN190-FechaRef=1," día"," días"),"En plazo")))))))</f>
        <v/>
      </c>
      <c r="P190" s="62" t="n"/>
      <c r="Q190" s="58" t="n"/>
      <c r="R190" s="63">
        <f>IF(NOT((COUNTA($B190:$D190)+COUNTA($G190:$L190)+COUNTA($Q190))&gt;0),"",IF((IF($C190="","Falta el nombre de la actividad"&amp;" · ","")&amp;IF(AND($V190="Sub",N($U190)=0),"Subactividad sin macroactividad arriba"&amp;" · ","")&amp;IF($AM190="","Sin fecha de inicio"&amp;" · ","")&amp;IF($AN190="","Sin fecha límite"&amp;" · ","")&amp;IF(AND(LEFT($C190,11)="[Jefatura] ",N($AL190)=0),"No se encuentra en la hoja de la jefatura (elíjala de nuevo en la lista)"&amp;" · ","")&amp;IF(OR(AND($E190&lt;&gt;"",NOT(ISNUMBER($E190))),AND($F190&lt;&gt;"",NOT(ISNUMBER($F190))),AND($G190&lt;&gt;"",NOT(ISNUMBER($G190)))),"Fecha no válida"&amp;" · ","")&amp;IF(AND(ISNUMBER($AM190),ISNUMBER($AN190),$AM190&gt;$AN190),"Inicio posterior a fecha límite"&amp;" · ","")&amp;IF(AND($V190="Macro",$H190&lt;&gt;"",OR(NOT(ISNUMBER($H190)),$H190&lt;0,$H190&gt;1)),"Peso fuera de rango"&amp;" · ","")&amp;IF(AND($V190="Sub",$H190&lt;&gt;""),"Las subactividades no llevan peso (valen igual dentro de su macroactividad)"&amp;" · ","")&amp;IF(AND(N($W190)&gt;0,COUNT($I190:$L190)&gt;0),"Con subactividades: deje vacías las semanas (se calculan solas)"&amp;" · ","")&amp;IF((COUNTIF($I190:$L190,"&gt;1")+COUNTIF($I190:$L190,"&lt;0")+COUNTA($I190:$L190)-COUNT($I190:$L190))&gt;0,"Avance fuera de rango 0-100%"&amp;" · ","")&amp;IF(OR(AND($J190&lt;&gt;"",$J190&lt;$I190),AND($K190&lt;&gt;"",$K190&lt;MAX($I190:$J190)),AND($L190&lt;&gt;"",$L190&lt;MAX($I190:$K190))),"Avance semanal decreciente"&amp;" · ","")&amp;IF(AND(ISNUMBER($AN190),$AN190&lt;FechaRef,IF($V190="Sub",N($X190),N($M190))&lt;1),"Vencida"&amp;" · ","")&amp;IF(AND(ObsObligatoria="Sí",ISNUMBER($AN190),$AN190&lt;FechaRef,IF($V190="Sub",N($X190),N($M190))&lt;1,$Q190=""),"Vencida sin observación"&amp;" · ",""))="","✔ OK","⚠ "&amp;LEFT(IF($C190="","Falta el nombre de la actividad"&amp;" · ","")&amp;IF(AND($V190="Sub",N($U190)=0),"Subactividad sin macroactividad arriba"&amp;" · ","")&amp;IF($AM190="","Sin fecha de inicio"&amp;" · ","")&amp;IF($AN190="","Sin fecha límite"&amp;" · ","")&amp;IF(AND(LEFT($C190,11)="[Jefatura] ",N($AL190)=0),"No se encuentra en la hoja de la jefatura (elíjala de nuevo en la lista)"&amp;" · ","")&amp;IF(OR(AND($E190&lt;&gt;"",NOT(ISNUMBER($E190))),AND($F190&lt;&gt;"",NOT(ISNUMBER($F190))),AND($G190&lt;&gt;"",NOT(ISNUMBER($G190)))),"Fecha no válida"&amp;" · ","")&amp;IF(AND(ISNUMBER($AM190),ISNUMBER($AN190),$AM190&gt;$AN190),"Inicio posterior a fecha límite"&amp;" · ","")&amp;IF(AND($V190="Macro",$H190&lt;&gt;"",OR(NOT(ISNUMBER($H190)),$H190&lt;0,$H190&gt;1)),"Peso fuera de rango"&amp;" · ","")&amp;IF(AND($V190="Sub",$H190&lt;&gt;""),"Las subactividades no llevan peso (valen igual dentro de su macroactividad)"&amp;" · ","")&amp;IF(AND(N($W190)&gt;0,COUNT($I190:$L190)&gt;0),"Con subactividades: deje vacías las semanas (se calculan solas)"&amp;" · ","")&amp;IF((COUNTIF($I190:$L190,"&gt;1")+COUNTIF($I190:$L190,"&lt;0")+COUNTA($I190:$L190)-COUNT($I190:$L190))&gt;0,"Avance fuera de rango 0-100%"&amp;" · ","")&amp;IF(OR(AND($J190&lt;&gt;"",$J190&lt;$I190),AND($K190&lt;&gt;"",$K190&lt;MAX($I190:$J190)),AND($L190&lt;&gt;"",$L190&lt;MAX($I190:$K190))),"Avance semanal decreciente"&amp;" · ","")&amp;IF(AND(ISNUMBER($AN190),$AN190&lt;FechaRef,IF($V190="Sub",N($X190),N($M190))&lt;1),"Vencida"&amp;" · ","")&amp;IF(AND(ObsObligatoria="Sí",ISNUMBER($AN190),$AN190&lt;FechaRef,IF($V190="Sub",N($X190),N($M190))&lt;1,$Q190=""),"Vencida sin observación"&amp;" · ",""),LEN(IF($C190="","Falta el nombre de la actividad"&amp;" · ","")&amp;IF(AND($V190="Sub",N($U190)=0),"Subactividad sin macroactividad arriba"&amp;" · ","")&amp;IF($AM190="","Sin fecha de inicio"&amp;" · ","")&amp;IF($AN190="","Sin fecha límite"&amp;" · ","")&amp;IF(AND(LEFT($C190,11)="[Jefatura] ",N($AL190)=0),"No se encuentra en la hoja de la jefatura (elíjala de nuevo en la lista)"&amp;" · ","")&amp;IF(OR(AND($E190&lt;&gt;"",NOT(ISNUMBER($E190))),AND($F190&lt;&gt;"",NOT(ISNUMBER($F190))),AND($G190&lt;&gt;"",NOT(ISNUMBER($G190)))),"Fecha no válida"&amp;" · ","")&amp;IF(AND(ISNUMBER($AM190),ISNUMBER($AN190),$AM190&gt;$AN190),"Inicio posterior a fecha límite"&amp;" · ","")&amp;IF(AND($V190="Macro",$H190&lt;&gt;"",OR(NOT(ISNUMBER($H190)),$H190&lt;0,$H190&gt;1)),"Peso fuera de rango"&amp;" · ","")&amp;IF(AND($V190="Sub",$H190&lt;&gt;""),"Las subactividades no llevan peso (valen igual dentro de su macroactividad)"&amp;" · ","")&amp;IF(AND(N($W190)&gt;0,COUNT($I190:$L190)&gt;0),"Con subactividades: deje vacías las semanas (se calculan solas)"&amp;" · ","")&amp;IF((COUNTIF($I190:$L190,"&gt;1")+COUNTIF($I190:$L190,"&lt;0")+COUNTA($I190:$L190)-COUNT($I190:$L190))&gt;0,"Avance fuera de rango 0-100%"&amp;" · ","")&amp;IF(OR(AND($J190&lt;&gt;"",$J190&lt;$I190),AND($K190&lt;&gt;"",$K190&lt;MAX($I190:$J190)),AND($L190&lt;&gt;"",$L190&lt;MAX($I190:$K190))),"Avance semanal decreciente"&amp;" · ","")&amp;IF(AND(ISNUMBER($AN190),$AN190&lt;FechaRef,IF($V190="Sub",N($X190),N($M190))&lt;1),"Vencida"&amp;" · ","")&amp;IF(AND(ObsObligatoria="Sí",ISNUMBER($AN190),$AN190&lt;FechaRef,IF($V190="Sub",N($X190),N($M190))&lt;1,$Q190=""),"Vencida sin observación"&amp;" · ",""))-3)))</f>
        <v/>
      </c>
      <c r="S190" s="64">
        <f>IF(NOT((COUNTA($B190:$D190)+COUNTA($G190:$L190)+COUNTA($Q190))&gt;0),"",IF(AND($V190="Sub",N($U190)&gt;0),IF(ISNUMBER(INDEX($AM$5:$AM$1000,$U190-4)),DATE(YEAR(INDEX($AM$5:$AM$1000,$U190-4)),MONTH(INDEX($AM$5:$AM$1000,$U190-4)),1),IF(ISNUMBER(INDEX($AN$5:$AN$1000,$U190-4)),DATE(YEAR(INDEX($AN$5:$AN$1000,$U190-4)),MONTH(INDEX($AN$5:$AN$1000,$U190-4)),1),MesCiclo)),IF(ISNUMBER($AM190),DATE(YEAR($AM190),MONTH($AM190),1),IF(ISNUMBER($AN190),DATE(YEAR($AN190),MONTH($AN190),1),MesCiclo))))</f>
        <v/>
      </c>
      <c r="T190" s="62">
        <f>IF(OR($S190="",$S190&lt;&gt;MesCiclo,$V190&lt;&gt;"Macro"),"",COUNTIFS($S$5:$S190,MesCiclo,$V$5:$V190,"Macro"))</f>
        <v/>
      </c>
      <c r="U190" s="62">
        <f>IF($V190="","",IF($V190="Macro",ROW(),IFERROR(LOOKUP(2,1/($V$5:$V190="Macro"),ROW($V$5:$V190)),0)))</f>
        <v/>
      </c>
      <c r="V190" s="62">
        <f>IF(NOT((COUNTA($B190:$D190)+COUNTA($G190:$L190)+COUNTA($Q190))&gt;0),"",IF($B190="Subactividad","Sub","Macro"))</f>
        <v/>
      </c>
      <c r="W190" s="62">
        <f>IF($V190="Macro",COUNTIFS($U$5:$U$1000,ROW(),$V$5:$V$1000,"Sub"),"")</f>
        <v/>
      </c>
      <c r="X190" s="62">
        <f>IF($V190="","",IF(ISNUMBER($G190),1,IFERROR(LOOKUP(2,1/($I190:$L190&lt;&gt;""),$I190:$L190),0)))</f>
        <v/>
      </c>
      <c r="Y190" s="62">
        <f>IF($V190="","",IF(AND(ISNUMBER($G190),$G190&lt;=IF($S190=MesCiclo,InicioCiclo,$S190+MOD(2-WEEKDAY($S190),7))+6),1,IF(ISNUMBER($I190),$I190,0)))</f>
        <v/>
      </c>
      <c r="Z190" s="62">
        <f>IF($V190="","",IF(AND(ISNUMBER($G190),$G190&lt;=IF($S190=MesCiclo,InicioCiclo,$S190+MOD(2-WEEKDAY($S190),7))+13),1,IF(ISNUMBER($J190),$J190,$Y190)))</f>
        <v/>
      </c>
      <c r="AA190" s="62">
        <f>IF($V190="","",IF(AND(ISNUMBER($G190),$G190&lt;=IF($S190=MesCiclo,InicioCiclo,$S190+MOD(2-WEEKDAY($S190),7))+20),1,IF(ISNUMBER($K190),$K190,$Z190)))</f>
        <v/>
      </c>
      <c r="AB190" s="62">
        <f>IF($V190="","",IF(AND(ISNUMBER($G190),$G190&lt;=IF($S190=MesCiclo,InicioCiclo,$S190+MOD(2-WEEKDAY($S190),7))+27),1,IF(ISNUMBER($L190),$L190,$AA190)))</f>
        <v/>
      </c>
      <c r="AC190" s="62">
        <f>IF($V190="","",IF(AND(ISNUMBER($G190),$G190&lt;=IF($S190=MesCiclo,InicioCiclo,$S190+MOD(2-WEEKDAY($S190),7))+6),1,IF(N($W190)&gt;0,AVERAGEIFS($Y$5:$Y$1000,$U$5:$U$1000,ROW(),$V$5:$V$1000,"Sub"),$Y190)))</f>
        <v/>
      </c>
      <c r="AD190" s="62">
        <f>IF($V190="","",IF(AND(ISNUMBER($G190),$G190&lt;=IF($S190=MesCiclo,InicioCiclo,$S190+MOD(2-WEEKDAY($S190),7))+13),1,IF(N($W190)&gt;0,AVERAGEIFS($Z$5:$Z$1000,$U$5:$U$1000,ROW(),$V$5:$V$1000,"Sub"),$Z190)))</f>
        <v/>
      </c>
      <c r="AE190" s="62">
        <f>IF($V190="","",IF(AND(ISNUMBER($G190),$G190&lt;=IF($S190=MesCiclo,InicioCiclo,$S190+MOD(2-WEEKDAY($S190),7))+20),1,IF(N($W190)&gt;0,AVERAGEIFS($AA$5:$AA$1000,$U$5:$U$1000,ROW(),$V$5:$V$1000,"Sub"),$AA190)))</f>
        <v/>
      </c>
      <c r="AF190" s="62">
        <f>IF($V190="","",IF(AND(ISNUMBER($G190),$G190&lt;=IF($S190=MesCiclo,InicioCiclo,$S190+MOD(2-WEEKDAY($S190),7))+27),1,IF(N($W190)&gt;0,AVERAGEIFS($AB$5:$AB$1000,$U$5:$U$1000,ROW(),$V$5:$V$1000,"Sub"),$AB190)))</f>
        <v/>
      </c>
      <c r="AG190" s="62">
        <f>IF($V190&lt;&gt;"Macro","",IF(COUNTIFS($S$5:$S$1000,$S190,$V$5:$V$1000,"Macro",$H$5:$H$1000,"&gt;0")=0,1/COUNTIFS($S$5:$S$1000,$S190,$V$5:$V$1000,"Macro"),IF(AND(ISNUMBER($H190),N($H190)&gt;0),$H190,SUMIFS($H$5:$H$1000,$S$5:$S$1000,$S190,$V$5:$V$1000,"Macro")/COUNTIFS($S$5:$S$1000,$S190,$V$5:$V$1000,"Macro",$H$5:$H$1000,"&gt;0"))/(COUNTIFS($S$5:$S$1000,$S190,$V$5:$V$1000,"Macro")*SUMIFS($H$5:$H$1000,$S$5:$S$1000,$S190,$V$5:$V$1000,"Macro")/COUNTIFS($S$5:$S$1000,$S190,$V$5:$V$1000,"Macro",$H$5:$H$1000,"&gt;0"))))</f>
        <v/>
      </c>
      <c r="AH190" s="62" t="n"/>
      <c r="AI190" s="62" t="n"/>
      <c r="AJ190" s="62" t="n"/>
      <c r="AK190" s="62" t="n"/>
      <c r="AL190" s="62">
        <f>IF(LEFT($C190,11)="[Jefatura] ",IFERROR(MATCH("Riesgo Financiero|"&amp;MID($C190,12,500),rDname_ADM,0),0),"")</f>
        <v/>
      </c>
      <c r="AM190" s="62">
        <f>IF(N($AL190)&gt;0,INDEX(rIni_ADM,$AL190),IF(ISNUMBER($E190),$E190,""))</f>
        <v/>
      </c>
      <c r="AN190" s="62">
        <f>IF(N($AL190)&gt;0,INDEX(rLim_ADM,$AL190),IF(ISNUMBER($F190),$F190,""))</f>
        <v/>
      </c>
    </row>
    <row r="191">
      <c r="A191" s="56">
        <f>IF(NOT((COUNTA($B191:$D191)+COUNTA($G191:$L191)+COUNTA($Q191))&gt;0),"",IF($V191="Macro",COUNTIFS($V$5:$V191,"Macro",$S$5:$S191,$S191),IF(N($U191)=0,"?",COUNTIFS(INDEX($V$5:$V$1000,1):INDEX($V$5:$V$1000,$U191-4),"Macro",INDEX($S$5:$S$1000,1):INDEX($S$5:$S$1000,$U191-4),INDEX($S$5:$S$1000,$U191-4))&amp;"."&amp;COUNTIFS($U$5:$U191,$U191,$V$5:$V191,"Sub"))))</f>
        <v/>
      </c>
      <c r="B191" s="57" t="n"/>
      <c r="C191" s="58" t="n"/>
      <c r="D191" s="58" t="n"/>
      <c r="E191" s="59">
        <f>IF(N($AL191)&gt;0,INDEX(rIni_ADM,$AL191),"")</f>
        <v/>
      </c>
      <c r="F191" s="59">
        <f>IF(N($AL191)&gt;0,INDEX(rLim_ADM,$AL191),"")</f>
        <v/>
      </c>
      <c r="G191" s="59" t="n"/>
      <c r="H191" s="60" t="n"/>
      <c r="I191" s="60" t="n"/>
      <c r="J191" s="60" t="n"/>
      <c r="K191" s="60" t="n"/>
      <c r="L191" s="60" t="n"/>
      <c r="M191" s="61">
        <f>IF(NOT((COUNTA($B191:$D191)+COUNTA($G191:$L191)+COUNTA($Q191))&gt;0),"",IF($V191="Sub",IFERROR($X191/INDEX($W$5:$W$1000,$U191-4),""),IF(ISNUMBER($G191),1,IF(N($W191)&gt;0,AVERAGEIFS($X$5:$X$1000,$U$5:$U$1000,ROW(),$V$5:$V$1000,"Sub"),$X191))))</f>
        <v/>
      </c>
      <c r="N191" s="56">
        <f>IF(OR($M191="",$V191="Sub"),"",IF($M191&gt;=1,"Completado",IF($M191&gt;0,"En curso","Pendiente")))</f>
        <v/>
      </c>
      <c r="O191" s="56">
        <f>IF(OR(NOT((COUNTA($B191:$D191)+COUNTA($G191:$L191)+COUNTA($Q191))&gt;0),$V191="Sub"),"",IF(ISNUMBER($G191),IF(AND(ISNUMBER($AN191),$G191&gt;$AN191),"Cumplida con "&amp;($G191-$AN191)&amp;IF($G191-$AN191=1," día"," días")&amp;" de retraso","Cumplida"),IF(N($M191)&gt;=1,"Cumplida",IF(NOT(ISNUMBER($AN191)),"Sin fecha límite",IF($AN191&lt;FechaRef,"Vencida hace "&amp;(FechaRef-$AN191)&amp;IF(FechaRef-$AN191=1," día"," días"),IF($AN191=FechaRef,"Vence hoy",IF($AN191-FechaRef&lt;=DiasAlerta,"Vence en "&amp;($AN191-FechaRef)&amp;IF($AN191-FechaRef=1," día"," días"),"En plazo")))))))</f>
        <v/>
      </c>
      <c r="P191" s="62" t="n"/>
      <c r="Q191" s="58" t="n"/>
      <c r="R191" s="63">
        <f>IF(NOT((COUNTA($B191:$D191)+COUNTA($G191:$L191)+COUNTA($Q191))&gt;0),"",IF((IF($C191="","Falta el nombre de la actividad"&amp;" · ","")&amp;IF(AND($V191="Sub",N($U191)=0),"Subactividad sin macroactividad arriba"&amp;" · ","")&amp;IF($AM191="","Sin fecha de inicio"&amp;" · ","")&amp;IF($AN191="","Sin fecha límite"&amp;" · ","")&amp;IF(AND(LEFT($C191,11)="[Jefatura] ",N($AL191)=0),"No se encuentra en la hoja de la jefatura (elíjala de nuevo en la lista)"&amp;" · ","")&amp;IF(OR(AND($E191&lt;&gt;"",NOT(ISNUMBER($E191))),AND($F191&lt;&gt;"",NOT(ISNUMBER($F191))),AND($G191&lt;&gt;"",NOT(ISNUMBER($G191)))),"Fecha no válida"&amp;" · ","")&amp;IF(AND(ISNUMBER($AM191),ISNUMBER($AN191),$AM191&gt;$AN191),"Inicio posterior a fecha límite"&amp;" · ","")&amp;IF(AND($V191="Macro",$H191&lt;&gt;"",OR(NOT(ISNUMBER($H191)),$H191&lt;0,$H191&gt;1)),"Peso fuera de rango"&amp;" · ","")&amp;IF(AND($V191="Sub",$H191&lt;&gt;""),"Las subactividades no llevan peso (valen igual dentro de su macroactividad)"&amp;" · ","")&amp;IF(AND(N($W191)&gt;0,COUNT($I191:$L191)&gt;0),"Con subactividades: deje vacías las semanas (se calculan solas)"&amp;" · ","")&amp;IF((COUNTIF($I191:$L191,"&gt;1")+COUNTIF($I191:$L191,"&lt;0")+COUNTA($I191:$L191)-COUNT($I191:$L191))&gt;0,"Avance fuera de rango 0-100%"&amp;" · ","")&amp;IF(OR(AND($J191&lt;&gt;"",$J191&lt;$I191),AND($K191&lt;&gt;"",$K191&lt;MAX($I191:$J191)),AND($L191&lt;&gt;"",$L191&lt;MAX($I191:$K191))),"Avance semanal decreciente"&amp;" · ","")&amp;IF(AND(ISNUMBER($AN191),$AN191&lt;FechaRef,IF($V191="Sub",N($X191),N($M191))&lt;1),"Vencida"&amp;" · ","")&amp;IF(AND(ObsObligatoria="Sí",ISNUMBER($AN191),$AN191&lt;FechaRef,IF($V191="Sub",N($X191),N($M191))&lt;1,$Q191=""),"Vencida sin observación"&amp;" · ",""))="","✔ OK","⚠ "&amp;LEFT(IF($C191="","Falta el nombre de la actividad"&amp;" · ","")&amp;IF(AND($V191="Sub",N($U191)=0),"Subactividad sin macroactividad arriba"&amp;" · ","")&amp;IF($AM191="","Sin fecha de inicio"&amp;" · ","")&amp;IF($AN191="","Sin fecha límite"&amp;" · ","")&amp;IF(AND(LEFT($C191,11)="[Jefatura] ",N($AL191)=0),"No se encuentra en la hoja de la jefatura (elíjala de nuevo en la lista)"&amp;" · ","")&amp;IF(OR(AND($E191&lt;&gt;"",NOT(ISNUMBER($E191))),AND($F191&lt;&gt;"",NOT(ISNUMBER($F191))),AND($G191&lt;&gt;"",NOT(ISNUMBER($G191)))),"Fecha no válida"&amp;" · ","")&amp;IF(AND(ISNUMBER($AM191),ISNUMBER($AN191),$AM191&gt;$AN191),"Inicio posterior a fecha límite"&amp;" · ","")&amp;IF(AND($V191="Macro",$H191&lt;&gt;"",OR(NOT(ISNUMBER($H191)),$H191&lt;0,$H191&gt;1)),"Peso fuera de rango"&amp;" · ","")&amp;IF(AND($V191="Sub",$H191&lt;&gt;""),"Las subactividades no llevan peso (valen igual dentro de su macroactividad)"&amp;" · ","")&amp;IF(AND(N($W191)&gt;0,COUNT($I191:$L191)&gt;0),"Con subactividades: deje vacías las semanas (se calculan solas)"&amp;" · ","")&amp;IF((COUNTIF($I191:$L191,"&gt;1")+COUNTIF($I191:$L191,"&lt;0")+COUNTA($I191:$L191)-COUNT($I191:$L191))&gt;0,"Avance fuera de rango 0-100%"&amp;" · ","")&amp;IF(OR(AND($J191&lt;&gt;"",$J191&lt;$I191),AND($K191&lt;&gt;"",$K191&lt;MAX($I191:$J191)),AND($L191&lt;&gt;"",$L191&lt;MAX($I191:$K191))),"Avance semanal decreciente"&amp;" · ","")&amp;IF(AND(ISNUMBER($AN191),$AN191&lt;FechaRef,IF($V191="Sub",N($X191),N($M191))&lt;1),"Vencida"&amp;" · ","")&amp;IF(AND(ObsObligatoria="Sí",ISNUMBER($AN191),$AN191&lt;FechaRef,IF($V191="Sub",N($X191),N($M191))&lt;1,$Q191=""),"Vencida sin observación"&amp;" · ",""),LEN(IF($C191="","Falta el nombre de la actividad"&amp;" · ","")&amp;IF(AND($V191="Sub",N($U191)=0),"Subactividad sin macroactividad arriba"&amp;" · ","")&amp;IF($AM191="","Sin fecha de inicio"&amp;" · ","")&amp;IF($AN191="","Sin fecha límite"&amp;" · ","")&amp;IF(AND(LEFT($C191,11)="[Jefatura] ",N($AL191)=0),"No se encuentra en la hoja de la jefatura (elíjala de nuevo en la lista)"&amp;" · ","")&amp;IF(OR(AND($E191&lt;&gt;"",NOT(ISNUMBER($E191))),AND($F191&lt;&gt;"",NOT(ISNUMBER($F191))),AND($G191&lt;&gt;"",NOT(ISNUMBER($G191)))),"Fecha no válida"&amp;" · ","")&amp;IF(AND(ISNUMBER($AM191),ISNUMBER($AN191),$AM191&gt;$AN191),"Inicio posterior a fecha límite"&amp;" · ","")&amp;IF(AND($V191="Macro",$H191&lt;&gt;"",OR(NOT(ISNUMBER($H191)),$H191&lt;0,$H191&gt;1)),"Peso fuera de rango"&amp;" · ","")&amp;IF(AND($V191="Sub",$H191&lt;&gt;""),"Las subactividades no llevan peso (valen igual dentro de su macroactividad)"&amp;" · ","")&amp;IF(AND(N($W191)&gt;0,COUNT($I191:$L191)&gt;0),"Con subactividades: deje vacías las semanas (se calculan solas)"&amp;" · ","")&amp;IF((COUNTIF($I191:$L191,"&gt;1")+COUNTIF($I191:$L191,"&lt;0")+COUNTA($I191:$L191)-COUNT($I191:$L191))&gt;0,"Avance fuera de rango 0-100%"&amp;" · ","")&amp;IF(OR(AND($J191&lt;&gt;"",$J191&lt;$I191),AND($K191&lt;&gt;"",$K191&lt;MAX($I191:$J191)),AND($L191&lt;&gt;"",$L191&lt;MAX($I191:$K191))),"Avance semanal decreciente"&amp;" · ","")&amp;IF(AND(ISNUMBER($AN191),$AN191&lt;FechaRef,IF($V191="Sub",N($X191),N($M191))&lt;1),"Vencida"&amp;" · ","")&amp;IF(AND(ObsObligatoria="Sí",ISNUMBER($AN191),$AN191&lt;FechaRef,IF($V191="Sub",N($X191),N($M191))&lt;1,$Q191=""),"Vencida sin observación"&amp;" · ",""))-3)))</f>
        <v/>
      </c>
      <c r="S191" s="64">
        <f>IF(NOT((COUNTA($B191:$D191)+COUNTA($G191:$L191)+COUNTA($Q191))&gt;0),"",IF(AND($V191="Sub",N($U191)&gt;0),IF(ISNUMBER(INDEX($AM$5:$AM$1000,$U191-4)),DATE(YEAR(INDEX($AM$5:$AM$1000,$U191-4)),MONTH(INDEX($AM$5:$AM$1000,$U191-4)),1),IF(ISNUMBER(INDEX($AN$5:$AN$1000,$U191-4)),DATE(YEAR(INDEX($AN$5:$AN$1000,$U191-4)),MONTH(INDEX($AN$5:$AN$1000,$U191-4)),1),MesCiclo)),IF(ISNUMBER($AM191),DATE(YEAR($AM191),MONTH($AM191),1),IF(ISNUMBER($AN191),DATE(YEAR($AN191),MONTH($AN191),1),MesCiclo))))</f>
        <v/>
      </c>
      <c r="T191" s="62">
        <f>IF(OR($S191="",$S191&lt;&gt;MesCiclo,$V191&lt;&gt;"Macro"),"",COUNTIFS($S$5:$S191,MesCiclo,$V$5:$V191,"Macro"))</f>
        <v/>
      </c>
      <c r="U191" s="62">
        <f>IF($V191="","",IF($V191="Macro",ROW(),IFERROR(LOOKUP(2,1/($V$5:$V191="Macro"),ROW($V$5:$V191)),0)))</f>
        <v/>
      </c>
      <c r="V191" s="62">
        <f>IF(NOT((COUNTA($B191:$D191)+COUNTA($G191:$L191)+COUNTA($Q191))&gt;0),"",IF($B191="Subactividad","Sub","Macro"))</f>
        <v/>
      </c>
      <c r="W191" s="62">
        <f>IF($V191="Macro",COUNTIFS($U$5:$U$1000,ROW(),$V$5:$V$1000,"Sub"),"")</f>
        <v/>
      </c>
      <c r="X191" s="62">
        <f>IF($V191="","",IF(ISNUMBER($G191),1,IFERROR(LOOKUP(2,1/($I191:$L191&lt;&gt;""),$I191:$L191),0)))</f>
        <v/>
      </c>
      <c r="Y191" s="62">
        <f>IF($V191="","",IF(AND(ISNUMBER($G191),$G191&lt;=IF($S191=MesCiclo,InicioCiclo,$S191+MOD(2-WEEKDAY($S191),7))+6),1,IF(ISNUMBER($I191),$I191,0)))</f>
        <v/>
      </c>
      <c r="Z191" s="62">
        <f>IF($V191="","",IF(AND(ISNUMBER($G191),$G191&lt;=IF($S191=MesCiclo,InicioCiclo,$S191+MOD(2-WEEKDAY($S191),7))+13),1,IF(ISNUMBER($J191),$J191,$Y191)))</f>
        <v/>
      </c>
      <c r="AA191" s="62">
        <f>IF($V191="","",IF(AND(ISNUMBER($G191),$G191&lt;=IF($S191=MesCiclo,InicioCiclo,$S191+MOD(2-WEEKDAY($S191),7))+20),1,IF(ISNUMBER($K191),$K191,$Z191)))</f>
        <v/>
      </c>
      <c r="AB191" s="62">
        <f>IF($V191="","",IF(AND(ISNUMBER($G191),$G191&lt;=IF($S191=MesCiclo,InicioCiclo,$S191+MOD(2-WEEKDAY($S191),7))+27),1,IF(ISNUMBER($L191),$L191,$AA191)))</f>
        <v/>
      </c>
      <c r="AC191" s="62">
        <f>IF($V191="","",IF(AND(ISNUMBER($G191),$G191&lt;=IF($S191=MesCiclo,InicioCiclo,$S191+MOD(2-WEEKDAY($S191),7))+6),1,IF(N($W191)&gt;0,AVERAGEIFS($Y$5:$Y$1000,$U$5:$U$1000,ROW(),$V$5:$V$1000,"Sub"),$Y191)))</f>
        <v/>
      </c>
      <c r="AD191" s="62">
        <f>IF($V191="","",IF(AND(ISNUMBER($G191),$G191&lt;=IF($S191=MesCiclo,InicioCiclo,$S191+MOD(2-WEEKDAY($S191),7))+13),1,IF(N($W191)&gt;0,AVERAGEIFS($Z$5:$Z$1000,$U$5:$U$1000,ROW(),$V$5:$V$1000,"Sub"),$Z191)))</f>
        <v/>
      </c>
      <c r="AE191" s="62">
        <f>IF($V191="","",IF(AND(ISNUMBER($G191),$G191&lt;=IF($S191=MesCiclo,InicioCiclo,$S191+MOD(2-WEEKDAY($S191),7))+20),1,IF(N($W191)&gt;0,AVERAGEIFS($AA$5:$AA$1000,$U$5:$U$1000,ROW(),$V$5:$V$1000,"Sub"),$AA191)))</f>
        <v/>
      </c>
      <c r="AF191" s="62">
        <f>IF($V191="","",IF(AND(ISNUMBER($G191),$G191&lt;=IF($S191=MesCiclo,InicioCiclo,$S191+MOD(2-WEEKDAY($S191),7))+27),1,IF(N($W191)&gt;0,AVERAGEIFS($AB$5:$AB$1000,$U$5:$U$1000,ROW(),$V$5:$V$1000,"Sub"),$AB191)))</f>
        <v/>
      </c>
      <c r="AG191" s="62">
        <f>IF($V191&lt;&gt;"Macro","",IF(COUNTIFS($S$5:$S$1000,$S191,$V$5:$V$1000,"Macro",$H$5:$H$1000,"&gt;0")=0,1/COUNTIFS($S$5:$S$1000,$S191,$V$5:$V$1000,"Macro"),IF(AND(ISNUMBER($H191),N($H191)&gt;0),$H191,SUMIFS($H$5:$H$1000,$S$5:$S$1000,$S191,$V$5:$V$1000,"Macro")/COUNTIFS($S$5:$S$1000,$S191,$V$5:$V$1000,"Macro",$H$5:$H$1000,"&gt;0"))/(COUNTIFS($S$5:$S$1000,$S191,$V$5:$V$1000,"Macro")*SUMIFS($H$5:$H$1000,$S$5:$S$1000,$S191,$V$5:$V$1000,"Macro")/COUNTIFS($S$5:$S$1000,$S191,$V$5:$V$1000,"Macro",$H$5:$H$1000,"&gt;0"))))</f>
        <v/>
      </c>
      <c r="AH191" s="62" t="n"/>
      <c r="AI191" s="62" t="n"/>
      <c r="AJ191" s="62" t="n"/>
      <c r="AK191" s="62" t="n"/>
      <c r="AL191" s="62">
        <f>IF(LEFT($C191,11)="[Jefatura] ",IFERROR(MATCH("Riesgo Financiero|"&amp;MID($C191,12,500),rDname_ADM,0),0),"")</f>
        <v/>
      </c>
      <c r="AM191" s="62">
        <f>IF(N($AL191)&gt;0,INDEX(rIni_ADM,$AL191),IF(ISNUMBER($E191),$E191,""))</f>
        <v/>
      </c>
      <c r="AN191" s="62">
        <f>IF(N($AL191)&gt;0,INDEX(rLim_ADM,$AL191),IF(ISNUMBER($F191),$F191,""))</f>
        <v/>
      </c>
    </row>
    <row r="192">
      <c r="A192" s="56">
        <f>IF(NOT((COUNTA($B192:$D192)+COUNTA($G192:$L192)+COUNTA($Q192))&gt;0),"",IF($V192="Macro",COUNTIFS($V$5:$V192,"Macro",$S$5:$S192,$S192),IF(N($U192)=0,"?",COUNTIFS(INDEX($V$5:$V$1000,1):INDEX($V$5:$V$1000,$U192-4),"Macro",INDEX($S$5:$S$1000,1):INDEX($S$5:$S$1000,$U192-4),INDEX($S$5:$S$1000,$U192-4))&amp;"."&amp;COUNTIFS($U$5:$U192,$U192,$V$5:$V192,"Sub"))))</f>
        <v/>
      </c>
      <c r="B192" s="57" t="n"/>
      <c r="C192" s="58" t="n"/>
      <c r="D192" s="58" t="n"/>
      <c r="E192" s="59">
        <f>IF(N($AL192)&gt;0,INDEX(rIni_ADM,$AL192),"")</f>
        <v/>
      </c>
      <c r="F192" s="59">
        <f>IF(N($AL192)&gt;0,INDEX(rLim_ADM,$AL192),"")</f>
        <v/>
      </c>
      <c r="G192" s="59" t="n"/>
      <c r="H192" s="60" t="n"/>
      <c r="I192" s="60" t="n"/>
      <c r="J192" s="60" t="n"/>
      <c r="K192" s="60" t="n"/>
      <c r="L192" s="60" t="n"/>
      <c r="M192" s="61">
        <f>IF(NOT((COUNTA($B192:$D192)+COUNTA($G192:$L192)+COUNTA($Q192))&gt;0),"",IF($V192="Sub",IFERROR($X192/INDEX($W$5:$W$1000,$U192-4),""),IF(ISNUMBER($G192),1,IF(N($W192)&gt;0,AVERAGEIFS($X$5:$X$1000,$U$5:$U$1000,ROW(),$V$5:$V$1000,"Sub"),$X192))))</f>
        <v/>
      </c>
      <c r="N192" s="56">
        <f>IF(OR($M192="",$V192="Sub"),"",IF($M192&gt;=1,"Completado",IF($M192&gt;0,"En curso","Pendiente")))</f>
        <v/>
      </c>
      <c r="O192" s="56">
        <f>IF(OR(NOT((COUNTA($B192:$D192)+COUNTA($G192:$L192)+COUNTA($Q192))&gt;0),$V192="Sub"),"",IF(ISNUMBER($G192),IF(AND(ISNUMBER($AN192),$G192&gt;$AN192),"Cumplida con "&amp;($G192-$AN192)&amp;IF($G192-$AN192=1," día"," días")&amp;" de retraso","Cumplida"),IF(N($M192)&gt;=1,"Cumplida",IF(NOT(ISNUMBER($AN192)),"Sin fecha límite",IF($AN192&lt;FechaRef,"Vencida hace "&amp;(FechaRef-$AN192)&amp;IF(FechaRef-$AN192=1," día"," días"),IF($AN192=FechaRef,"Vence hoy",IF($AN192-FechaRef&lt;=DiasAlerta,"Vence en "&amp;($AN192-FechaRef)&amp;IF($AN192-FechaRef=1," día"," días"),"En plazo")))))))</f>
        <v/>
      </c>
      <c r="P192" s="62" t="n"/>
      <c r="Q192" s="58" t="n"/>
      <c r="R192" s="63">
        <f>IF(NOT((COUNTA($B192:$D192)+COUNTA($G192:$L192)+COUNTA($Q192))&gt;0),"",IF((IF($C192="","Falta el nombre de la actividad"&amp;" · ","")&amp;IF(AND($V192="Sub",N($U192)=0),"Subactividad sin macroactividad arriba"&amp;" · ","")&amp;IF($AM192="","Sin fecha de inicio"&amp;" · ","")&amp;IF($AN192="","Sin fecha límite"&amp;" · ","")&amp;IF(AND(LEFT($C192,11)="[Jefatura] ",N($AL192)=0),"No se encuentra en la hoja de la jefatura (elíjala de nuevo en la lista)"&amp;" · ","")&amp;IF(OR(AND($E192&lt;&gt;"",NOT(ISNUMBER($E192))),AND($F192&lt;&gt;"",NOT(ISNUMBER($F192))),AND($G192&lt;&gt;"",NOT(ISNUMBER($G192)))),"Fecha no válida"&amp;" · ","")&amp;IF(AND(ISNUMBER($AM192),ISNUMBER($AN192),$AM192&gt;$AN192),"Inicio posterior a fecha límite"&amp;" · ","")&amp;IF(AND($V192="Macro",$H192&lt;&gt;"",OR(NOT(ISNUMBER($H192)),$H192&lt;0,$H192&gt;1)),"Peso fuera de rango"&amp;" · ","")&amp;IF(AND($V192="Sub",$H192&lt;&gt;""),"Las subactividades no llevan peso (valen igual dentro de su macroactividad)"&amp;" · ","")&amp;IF(AND(N($W192)&gt;0,COUNT($I192:$L192)&gt;0),"Con subactividades: deje vacías las semanas (se calculan solas)"&amp;" · ","")&amp;IF((COUNTIF($I192:$L192,"&gt;1")+COUNTIF($I192:$L192,"&lt;0")+COUNTA($I192:$L192)-COUNT($I192:$L192))&gt;0,"Avance fuera de rango 0-100%"&amp;" · ","")&amp;IF(OR(AND($J192&lt;&gt;"",$J192&lt;$I192),AND($K192&lt;&gt;"",$K192&lt;MAX($I192:$J192)),AND($L192&lt;&gt;"",$L192&lt;MAX($I192:$K192))),"Avance semanal decreciente"&amp;" · ","")&amp;IF(AND(ISNUMBER($AN192),$AN192&lt;FechaRef,IF($V192="Sub",N($X192),N($M192))&lt;1),"Vencida"&amp;" · ","")&amp;IF(AND(ObsObligatoria="Sí",ISNUMBER($AN192),$AN192&lt;FechaRef,IF($V192="Sub",N($X192),N($M192))&lt;1,$Q192=""),"Vencida sin observación"&amp;" · ",""))="","✔ OK","⚠ "&amp;LEFT(IF($C192="","Falta el nombre de la actividad"&amp;" · ","")&amp;IF(AND($V192="Sub",N($U192)=0),"Subactividad sin macroactividad arriba"&amp;" · ","")&amp;IF($AM192="","Sin fecha de inicio"&amp;" · ","")&amp;IF($AN192="","Sin fecha límite"&amp;" · ","")&amp;IF(AND(LEFT($C192,11)="[Jefatura] ",N($AL192)=0),"No se encuentra en la hoja de la jefatura (elíjala de nuevo en la lista)"&amp;" · ","")&amp;IF(OR(AND($E192&lt;&gt;"",NOT(ISNUMBER($E192))),AND($F192&lt;&gt;"",NOT(ISNUMBER($F192))),AND($G192&lt;&gt;"",NOT(ISNUMBER($G192)))),"Fecha no válida"&amp;" · ","")&amp;IF(AND(ISNUMBER($AM192),ISNUMBER($AN192),$AM192&gt;$AN192),"Inicio posterior a fecha límite"&amp;" · ","")&amp;IF(AND($V192="Macro",$H192&lt;&gt;"",OR(NOT(ISNUMBER($H192)),$H192&lt;0,$H192&gt;1)),"Peso fuera de rango"&amp;" · ","")&amp;IF(AND($V192="Sub",$H192&lt;&gt;""),"Las subactividades no llevan peso (valen igual dentro de su macroactividad)"&amp;" · ","")&amp;IF(AND(N($W192)&gt;0,COUNT($I192:$L192)&gt;0),"Con subactividades: deje vacías las semanas (se calculan solas)"&amp;" · ","")&amp;IF((COUNTIF($I192:$L192,"&gt;1")+COUNTIF($I192:$L192,"&lt;0")+COUNTA($I192:$L192)-COUNT($I192:$L192))&gt;0,"Avance fuera de rango 0-100%"&amp;" · ","")&amp;IF(OR(AND($J192&lt;&gt;"",$J192&lt;$I192),AND($K192&lt;&gt;"",$K192&lt;MAX($I192:$J192)),AND($L192&lt;&gt;"",$L192&lt;MAX($I192:$K192))),"Avance semanal decreciente"&amp;" · ","")&amp;IF(AND(ISNUMBER($AN192),$AN192&lt;FechaRef,IF($V192="Sub",N($X192),N($M192))&lt;1),"Vencida"&amp;" · ","")&amp;IF(AND(ObsObligatoria="Sí",ISNUMBER($AN192),$AN192&lt;FechaRef,IF($V192="Sub",N($X192),N($M192))&lt;1,$Q192=""),"Vencida sin observación"&amp;" · ",""),LEN(IF($C192="","Falta el nombre de la actividad"&amp;" · ","")&amp;IF(AND($V192="Sub",N($U192)=0),"Subactividad sin macroactividad arriba"&amp;" · ","")&amp;IF($AM192="","Sin fecha de inicio"&amp;" · ","")&amp;IF($AN192="","Sin fecha límite"&amp;" · ","")&amp;IF(AND(LEFT($C192,11)="[Jefatura] ",N($AL192)=0),"No se encuentra en la hoja de la jefatura (elíjala de nuevo en la lista)"&amp;" · ","")&amp;IF(OR(AND($E192&lt;&gt;"",NOT(ISNUMBER($E192))),AND($F192&lt;&gt;"",NOT(ISNUMBER($F192))),AND($G192&lt;&gt;"",NOT(ISNUMBER($G192)))),"Fecha no válida"&amp;" · ","")&amp;IF(AND(ISNUMBER($AM192),ISNUMBER($AN192),$AM192&gt;$AN192),"Inicio posterior a fecha límite"&amp;" · ","")&amp;IF(AND($V192="Macro",$H192&lt;&gt;"",OR(NOT(ISNUMBER($H192)),$H192&lt;0,$H192&gt;1)),"Peso fuera de rango"&amp;" · ","")&amp;IF(AND($V192="Sub",$H192&lt;&gt;""),"Las subactividades no llevan peso (valen igual dentro de su macroactividad)"&amp;" · ","")&amp;IF(AND(N($W192)&gt;0,COUNT($I192:$L192)&gt;0),"Con subactividades: deje vacías las semanas (se calculan solas)"&amp;" · ","")&amp;IF((COUNTIF($I192:$L192,"&gt;1")+COUNTIF($I192:$L192,"&lt;0")+COUNTA($I192:$L192)-COUNT($I192:$L192))&gt;0,"Avance fuera de rango 0-100%"&amp;" · ","")&amp;IF(OR(AND($J192&lt;&gt;"",$J192&lt;$I192),AND($K192&lt;&gt;"",$K192&lt;MAX($I192:$J192)),AND($L192&lt;&gt;"",$L192&lt;MAX($I192:$K192))),"Avance semanal decreciente"&amp;" · ","")&amp;IF(AND(ISNUMBER($AN192),$AN192&lt;FechaRef,IF($V192="Sub",N($X192),N($M192))&lt;1),"Vencida"&amp;" · ","")&amp;IF(AND(ObsObligatoria="Sí",ISNUMBER($AN192),$AN192&lt;FechaRef,IF($V192="Sub",N($X192),N($M192))&lt;1,$Q192=""),"Vencida sin observación"&amp;" · ",""))-3)))</f>
        <v/>
      </c>
      <c r="S192" s="64">
        <f>IF(NOT((COUNTA($B192:$D192)+COUNTA($G192:$L192)+COUNTA($Q192))&gt;0),"",IF(AND($V192="Sub",N($U192)&gt;0),IF(ISNUMBER(INDEX($AM$5:$AM$1000,$U192-4)),DATE(YEAR(INDEX($AM$5:$AM$1000,$U192-4)),MONTH(INDEX($AM$5:$AM$1000,$U192-4)),1),IF(ISNUMBER(INDEX($AN$5:$AN$1000,$U192-4)),DATE(YEAR(INDEX($AN$5:$AN$1000,$U192-4)),MONTH(INDEX($AN$5:$AN$1000,$U192-4)),1),MesCiclo)),IF(ISNUMBER($AM192),DATE(YEAR($AM192),MONTH($AM192),1),IF(ISNUMBER($AN192),DATE(YEAR($AN192),MONTH($AN192),1),MesCiclo))))</f>
        <v/>
      </c>
      <c r="T192" s="62">
        <f>IF(OR($S192="",$S192&lt;&gt;MesCiclo,$V192&lt;&gt;"Macro"),"",COUNTIFS($S$5:$S192,MesCiclo,$V$5:$V192,"Macro"))</f>
        <v/>
      </c>
      <c r="U192" s="62">
        <f>IF($V192="","",IF($V192="Macro",ROW(),IFERROR(LOOKUP(2,1/($V$5:$V192="Macro"),ROW($V$5:$V192)),0)))</f>
        <v/>
      </c>
      <c r="V192" s="62">
        <f>IF(NOT((COUNTA($B192:$D192)+COUNTA($G192:$L192)+COUNTA($Q192))&gt;0),"",IF($B192="Subactividad","Sub","Macro"))</f>
        <v/>
      </c>
      <c r="W192" s="62">
        <f>IF($V192="Macro",COUNTIFS($U$5:$U$1000,ROW(),$V$5:$V$1000,"Sub"),"")</f>
        <v/>
      </c>
      <c r="X192" s="62">
        <f>IF($V192="","",IF(ISNUMBER($G192),1,IFERROR(LOOKUP(2,1/($I192:$L192&lt;&gt;""),$I192:$L192),0)))</f>
        <v/>
      </c>
      <c r="Y192" s="62">
        <f>IF($V192="","",IF(AND(ISNUMBER($G192),$G192&lt;=IF($S192=MesCiclo,InicioCiclo,$S192+MOD(2-WEEKDAY($S192),7))+6),1,IF(ISNUMBER($I192),$I192,0)))</f>
        <v/>
      </c>
      <c r="Z192" s="62">
        <f>IF($V192="","",IF(AND(ISNUMBER($G192),$G192&lt;=IF($S192=MesCiclo,InicioCiclo,$S192+MOD(2-WEEKDAY($S192),7))+13),1,IF(ISNUMBER($J192),$J192,$Y192)))</f>
        <v/>
      </c>
      <c r="AA192" s="62">
        <f>IF($V192="","",IF(AND(ISNUMBER($G192),$G192&lt;=IF($S192=MesCiclo,InicioCiclo,$S192+MOD(2-WEEKDAY($S192),7))+20),1,IF(ISNUMBER($K192),$K192,$Z192)))</f>
        <v/>
      </c>
      <c r="AB192" s="62">
        <f>IF($V192="","",IF(AND(ISNUMBER($G192),$G192&lt;=IF($S192=MesCiclo,InicioCiclo,$S192+MOD(2-WEEKDAY($S192),7))+27),1,IF(ISNUMBER($L192),$L192,$AA192)))</f>
        <v/>
      </c>
      <c r="AC192" s="62">
        <f>IF($V192="","",IF(AND(ISNUMBER($G192),$G192&lt;=IF($S192=MesCiclo,InicioCiclo,$S192+MOD(2-WEEKDAY($S192),7))+6),1,IF(N($W192)&gt;0,AVERAGEIFS($Y$5:$Y$1000,$U$5:$U$1000,ROW(),$V$5:$V$1000,"Sub"),$Y192)))</f>
        <v/>
      </c>
      <c r="AD192" s="62">
        <f>IF($V192="","",IF(AND(ISNUMBER($G192),$G192&lt;=IF($S192=MesCiclo,InicioCiclo,$S192+MOD(2-WEEKDAY($S192),7))+13),1,IF(N($W192)&gt;0,AVERAGEIFS($Z$5:$Z$1000,$U$5:$U$1000,ROW(),$V$5:$V$1000,"Sub"),$Z192)))</f>
        <v/>
      </c>
      <c r="AE192" s="62">
        <f>IF($V192="","",IF(AND(ISNUMBER($G192),$G192&lt;=IF($S192=MesCiclo,InicioCiclo,$S192+MOD(2-WEEKDAY($S192),7))+20),1,IF(N($W192)&gt;0,AVERAGEIFS($AA$5:$AA$1000,$U$5:$U$1000,ROW(),$V$5:$V$1000,"Sub"),$AA192)))</f>
        <v/>
      </c>
      <c r="AF192" s="62">
        <f>IF($V192="","",IF(AND(ISNUMBER($G192),$G192&lt;=IF($S192=MesCiclo,InicioCiclo,$S192+MOD(2-WEEKDAY($S192),7))+27),1,IF(N($W192)&gt;0,AVERAGEIFS($AB$5:$AB$1000,$U$5:$U$1000,ROW(),$V$5:$V$1000,"Sub"),$AB192)))</f>
        <v/>
      </c>
      <c r="AG192" s="62">
        <f>IF($V192&lt;&gt;"Macro","",IF(COUNTIFS($S$5:$S$1000,$S192,$V$5:$V$1000,"Macro",$H$5:$H$1000,"&gt;0")=0,1/COUNTIFS($S$5:$S$1000,$S192,$V$5:$V$1000,"Macro"),IF(AND(ISNUMBER($H192),N($H192)&gt;0),$H192,SUMIFS($H$5:$H$1000,$S$5:$S$1000,$S192,$V$5:$V$1000,"Macro")/COUNTIFS($S$5:$S$1000,$S192,$V$5:$V$1000,"Macro",$H$5:$H$1000,"&gt;0"))/(COUNTIFS($S$5:$S$1000,$S192,$V$5:$V$1000,"Macro")*SUMIFS($H$5:$H$1000,$S$5:$S$1000,$S192,$V$5:$V$1000,"Macro")/COUNTIFS($S$5:$S$1000,$S192,$V$5:$V$1000,"Macro",$H$5:$H$1000,"&gt;0"))))</f>
        <v/>
      </c>
      <c r="AH192" s="62" t="n"/>
      <c r="AI192" s="62" t="n"/>
      <c r="AJ192" s="62" t="n"/>
      <c r="AK192" s="62" t="n"/>
      <c r="AL192" s="62">
        <f>IF(LEFT($C192,11)="[Jefatura] ",IFERROR(MATCH("Riesgo Financiero|"&amp;MID($C192,12,500),rDname_ADM,0),0),"")</f>
        <v/>
      </c>
      <c r="AM192" s="62">
        <f>IF(N($AL192)&gt;0,INDEX(rIni_ADM,$AL192),IF(ISNUMBER($E192),$E192,""))</f>
        <v/>
      </c>
      <c r="AN192" s="62">
        <f>IF(N($AL192)&gt;0,INDEX(rLim_ADM,$AL192),IF(ISNUMBER($F192),$F192,""))</f>
        <v/>
      </c>
    </row>
    <row r="193">
      <c r="A193" s="56">
        <f>IF(NOT((COUNTA($B193:$D193)+COUNTA($G193:$L193)+COUNTA($Q193))&gt;0),"",IF($V193="Macro",COUNTIFS($V$5:$V193,"Macro",$S$5:$S193,$S193),IF(N($U193)=0,"?",COUNTIFS(INDEX($V$5:$V$1000,1):INDEX($V$5:$V$1000,$U193-4),"Macro",INDEX($S$5:$S$1000,1):INDEX($S$5:$S$1000,$U193-4),INDEX($S$5:$S$1000,$U193-4))&amp;"."&amp;COUNTIFS($U$5:$U193,$U193,$V$5:$V193,"Sub"))))</f>
        <v/>
      </c>
      <c r="B193" s="57" t="n"/>
      <c r="C193" s="58" t="n"/>
      <c r="D193" s="58" t="n"/>
      <c r="E193" s="59">
        <f>IF(N($AL193)&gt;0,INDEX(rIni_ADM,$AL193),"")</f>
        <v/>
      </c>
      <c r="F193" s="59">
        <f>IF(N($AL193)&gt;0,INDEX(rLim_ADM,$AL193),"")</f>
        <v/>
      </c>
      <c r="G193" s="59" t="n"/>
      <c r="H193" s="60" t="n"/>
      <c r="I193" s="60" t="n"/>
      <c r="J193" s="60" t="n"/>
      <c r="K193" s="60" t="n"/>
      <c r="L193" s="60" t="n"/>
      <c r="M193" s="61">
        <f>IF(NOT((COUNTA($B193:$D193)+COUNTA($G193:$L193)+COUNTA($Q193))&gt;0),"",IF($V193="Sub",IFERROR($X193/INDEX($W$5:$W$1000,$U193-4),""),IF(ISNUMBER($G193),1,IF(N($W193)&gt;0,AVERAGEIFS($X$5:$X$1000,$U$5:$U$1000,ROW(),$V$5:$V$1000,"Sub"),$X193))))</f>
        <v/>
      </c>
      <c r="N193" s="56">
        <f>IF(OR($M193="",$V193="Sub"),"",IF($M193&gt;=1,"Completado",IF($M193&gt;0,"En curso","Pendiente")))</f>
        <v/>
      </c>
      <c r="O193" s="56">
        <f>IF(OR(NOT((COUNTA($B193:$D193)+COUNTA($G193:$L193)+COUNTA($Q193))&gt;0),$V193="Sub"),"",IF(ISNUMBER($G193),IF(AND(ISNUMBER($AN193),$G193&gt;$AN193),"Cumplida con "&amp;($G193-$AN193)&amp;IF($G193-$AN193=1," día"," días")&amp;" de retraso","Cumplida"),IF(N($M193)&gt;=1,"Cumplida",IF(NOT(ISNUMBER($AN193)),"Sin fecha límite",IF($AN193&lt;FechaRef,"Vencida hace "&amp;(FechaRef-$AN193)&amp;IF(FechaRef-$AN193=1," día"," días"),IF($AN193=FechaRef,"Vence hoy",IF($AN193-FechaRef&lt;=DiasAlerta,"Vence en "&amp;($AN193-FechaRef)&amp;IF($AN193-FechaRef=1," día"," días"),"En plazo")))))))</f>
        <v/>
      </c>
      <c r="P193" s="62" t="n"/>
      <c r="Q193" s="58" t="n"/>
      <c r="R193" s="63">
        <f>IF(NOT((COUNTA($B193:$D193)+COUNTA($G193:$L193)+COUNTA($Q193))&gt;0),"",IF((IF($C193="","Falta el nombre de la actividad"&amp;" · ","")&amp;IF(AND($V193="Sub",N($U193)=0),"Subactividad sin macroactividad arriba"&amp;" · ","")&amp;IF($AM193="","Sin fecha de inicio"&amp;" · ","")&amp;IF($AN193="","Sin fecha límite"&amp;" · ","")&amp;IF(AND(LEFT($C193,11)="[Jefatura] ",N($AL193)=0),"No se encuentra en la hoja de la jefatura (elíjala de nuevo en la lista)"&amp;" · ","")&amp;IF(OR(AND($E193&lt;&gt;"",NOT(ISNUMBER($E193))),AND($F193&lt;&gt;"",NOT(ISNUMBER($F193))),AND($G193&lt;&gt;"",NOT(ISNUMBER($G193)))),"Fecha no válida"&amp;" · ","")&amp;IF(AND(ISNUMBER($AM193),ISNUMBER($AN193),$AM193&gt;$AN193),"Inicio posterior a fecha límite"&amp;" · ","")&amp;IF(AND($V193="Macro",$H193&lt;&gt;"",OR(NOT(ISNUMBER($H193)),$H193&lt;0,$H193&gt;1)),"Peso fuera de rango"&amp;" · ","")&amp;IF(AND($V193="Sub",$H193&lt;&gt;""),"Las subactividades no llevan peso (valen igual dentro de su macroactividad)"&amp;" · ","")&amp;IF(AND(N($W193)&gt;0,COUNT($I193:$L193)&gt;0),"Con subactividades: deje vacías las semanas (se calculan solas)"&amp;" · ","")&amp;IF((COUNTIF($I193:$L193,"&gt;1")+COUNTIF($I193:$L193,"&lt;0")+COUNTA($I193:$L193)-COUNT($I193:$L193))&gt;0,"Avance fuera de rango 0-100%"&amp;" · ","")&amp;IF(OR(AND($J193&lt;&gt;"",$J193&lt;$I193),AND($K193&lt;&gt;"",$K193&lt;MAX($I193:$J193)),AND($L193&lt;&gt;"",$L193&lt;MAX($I193:$K193))),"Avance semanal decreciente"&amp;" · ","")&amp;IF(AND(ISNUMBER($AN193),$AN193&lt;FechaRef,IF($V193="Sub",N($X193),N($M193))&lt;1),"Vencida"&amp;" · ","")&amp;IF(AND(ObsObligatoria="Sí",ISNUMBER($AN193),$AN193&lt;FechaRef,IF($V193="Sub",N($X193),N($M193))&lt;1,$Q193=""),"Vencida sin observación"&amp;" · ",""))="","✔ OK","⚠ "&amp;LEFT(IF($C193="","Falta el nombre de la actividad"&amp;" · ","")&amp;IF(AND($V193="Sub",N($U193)=0),"Subactividad sin macroactividad arriba"&amp;" · ","")&amp;IF($AM193="","Sin fecha de inicio"&amp;" · ","")&amp;IF($AN193="","Sin fecha límite"&amp;" · ","")&amp;IF(AND(LEFT($C193,11)="[Jefatura] ",N($AL193)=0),"No se encuentra en la hoja de la jefatura (elíjala de nuevo en la lista)"&amp;" · ","")&amp;IF(OR(AND($E193&lt;&gt;"",NOT(ISNUMBER($E193))),AND($F193&lt;&gt;"",NOT(ISNUMBER($F193))),AND($G193&lt;&gt;"",NOT(ISNUMBER($G193)))),"Fecha no válida"&amp;" · ","")&amp;IF(AND(ISNUMBER($AM193),ISNUMBER($AN193),$AM193&gt;$AN193),"Inicio posterior a fecha límite"&amp;" · ","")&amp;IF(AND($V193="Macro",$H193&lt;&gt;"",OR(NOT(ISNUMBER($H193)),$H193&lt;0,$H193&gt;1)),"Peso fuera de rango"&amp;" · ","")&amp;IF(AND($V193="Sub",$H193&lt;&gt;""),"Las subactividades no llevan peso (valen igual dentro de su macroactividad)"&amp;" · ","")&amp;IF(AND(N($W193)&gt;0,COUNT($I193:$L193)&gt;0),"Con subactividades: deje vacías las semanas (se calculan solas)"&amp;" · ","")&amp;IF((COUNTIF($I193:$L193,"&gt;1")+COUNTIF($I193:$L193,"&lt;0")+COUNTA($I193:$L193)-COUNT($I193:$L193))&gt;0,"Avance fuera de rango 0-100%"&amp;" · ","")&amp;IF(OR(AND($J193&lt;&gt;"",$J193&lt;$I193),AND($K193&lt;&gt;"",$K193&lt;MAX($I193:$J193)),AND($L193&lt;&gt;"",$L193&lt;MAX($I193:$K193))),"Avance semanal decreciente"&amp;" · ","")&amp;IF(AND(ISNUMBER($AN193),$AN193&lt;FechaRef,IF($V193="Sub",N($X193),N($M193))&lt;1),"Vencida"&amp;" · ","")&amp;IF(AND(ObsObligatoria="Sí",ISNUMBER($AN193),$AN193&lt;FechaRef,IF($V193="Sub",N($X193),N($M193))&lt;1,$Q193=""),"Vencida sin observación"&amp;" · ",""),LEN(IF($C193="","Falta el nombre de la actividad"&amp;" · ","")&amp;IF(AND($V193="Sub",N($U193)=0),"Subactividad sin macroactividad arriba"&amp;" · ","")&amp;IF($AM193="","Sin fecha de inicio"&amp;" · ","")&amp;IF($AN193="","Sin fecha límite"&amp;" · ","")&amp;IF(AND(LEFT($C193,11)="[Jefatura] ",N($AL193)=0),"No se encuentra en la hoja de la jefatura (elíjala de nuevo en la lista)"&amp;" · ","")&amp;IF(OR(AND($E193&lt;&gt;"",NOT(ISNUMBER($E193))),AND($F193&lt;&gt;"",NOT(ISNUMBER($F193))),AND($G193&lt;&gt;"",NOT(ISNUMBER($G193)))),"Fecha no válida"&amp;" · ","")&amp;IF(AND(ISNUMBER($AM193),ISNUMBER($AN193),$AM193&gt;$AN193),"Inicio posterior a fecha límite"&amp;" · ","")&amp;IF(AND($V193="Macro",$H193&lt;&gt;"",OR(NOT(ISNUMBER($H193)),$H193&lt;0,$H193&gt;1)),"Peso fuera de rango"&amp;" · ","")&amp;IF(AND($V193="Sub",$H193&lt;&gt;""),"Las subactividades no llevan peso (valen igual dentro de su macroactividad)"&amp;" · ","")&amp;IF(AND(N($W193)&gt;0,COUNT($I193:$L193)&gt;0),"Con subactividades: deje vacías las semanas (se calculan solas)"&amp;" · ","")&amp;IF((COUNTIF($I193:$L193,"&gt;1")+COUNTIF($I193:$L193,"&lt;0")+COUNTA($I193:$L193)-COUNT($I193:$L193))&gt;0,"Avance fuera de rango 0-100%"&amp;" · ","")&amp;IF(OR(AND($J193&lt;&gt;"",$J193&lt;$I193),AND($K193&lt;&gt;"",$K193&lt;MAX($I193:$J193)),AND($L193&lt;&gt;"",$L193&lt;MAX($I193:$K193))),"Avance semanal decreciente"&amp;" · ","")&amp;IF(AND(ISNUMBER($AN193),$AN193&lt;FechaRef,IF($V193="Sub",N($X193),N($M193))&lt;1),"Vencida"&amp;" · ","")&amp;IF(AND(ObsObligatoria="Sí",ISNUMBER($AN193),$AN193&lt;FechaRef,IF($V193="Sub",N($X193),N($M193))&lt;1,$Q193=""),"Vencida sin observación"&amp;" · ",""))-3)))</f>
        <v/>
      </c>
      <c r="S193" s="64">
        <f>IF(NOT((COUNTA($B193:$D193)+COUNTA($G193:$L193)+COUNTA($Q193))&gt;0),"",IF(AND($V193="Sub",N($U193)&gt;0),IF(ISNUMBER(INDEX($AM$5:$AM$1000,$U193-4)),DATE(YEAR(INDEX($AM$5:$AM$1000,$U193-4)),MONTH(INDEX($AM$5:$AM$1000,$U193-4)),1),IF(ISNUMBER(INDEX($AN$5:$AN$1000,$U193-4)),DATE(YEAR(INDEX($AN$5:$AN$1000,$U193-4)),MONTH(INDEX($AN$5:$AN$1000,$U193-4)),1),MesCiclo)),IF(ISNUMBER($AM193),DATE(YEAR($AM193),MONTH($AM193),1),IF(ISNUMBER($AN193),DATE(YEAR($AN193),MONTH($AN193),1),MesCiclo))))</f>
        <v/>
      </c>
      <c r="T193" s="62">
        <f>IF(OR($S193="",$S193&lt;&gt;MesCiclo,$V193&lt;&gt;"Macro"),"",COUNTIFS($S$5:$S193,MesCiclo,$V$5:$V193,"Macro"))</f>
        <v/>
      </c>
      <c r="U193" s="62">
        <f>IF($V193="","",IF($V193="Macro",ROW(),IFERROR(LOOKUP(2,1/($V$5:$V193="Macro"),ROW($V$5:$V193)),0)))</f>
        <v/>
      </c>
      <c r="V193" s="62">
        <f>IF(NOT((COUNTA($B193:$D193)+COUNTA($G193:$L193)+COUNTA($Q193))&gt;0),"",IF($B193="Subactividad","Sub","Macro"))</f>
        <v/>
      </c>
      <c r="W193" s="62">
        <f>IF($V193="Macro",COUNTIFS($U$5:$U$1000,ROW(),$V$5:$V$1000,"Sub"),"")</f>
        <v/>
      </c>
      <c r="X193" s="62">
        <f>IF($V193="","",IF(ISNUMBER($G193),1,IFERROR(LOOKUP(2,1/($I193:$L193&lt;&gt;""),$I193:$L193),0)))</f>
        <v/>
      </c>
      <c r="Y193" s="62">
        <f>IF($V193="","",IF(AND(ISNUMBER($G193),$G193&lt;=IF($S193=MesCiclo,InicioCiclo,$S193+MOD(2-WEEKDAY($S193),7))+6),1,IF(ISNUMBER($I193),$I193,0)))</f>
        <v/>
      </c>
      <c r="Z193" s="62">
        <f>IF($V193="","",IF(AND(ISNUMBER($G193),$G193&lt;=IF($S193=MesCiclo,InicioCiclo,$S193+MOD(2-WEEKDAY($S193),7))+13),1,IF(ISNUMBER($J193),$J193,$Y193)))</f>
        <v/>
      </c>
      <c r="AA193" s="62">
        <f>IF($V193="","",IF(AND(ISNUMBER($G193),$G193&lt;=IF($S193=MesCiclo,InicioCiclo,$S193+MOD(2-WEEKDAY($S193),7))+20),1,IF(ISNUMBER($K193),$K193,$Z193)))</f>
        <v/>
      </c>
      <c r="AB193" s="62">
        <f>IF($V193="","",IF(AND(ISNUMBER($G193),$G193&lt;=IF($S193=MesCiclo,InicioCiclo,$S193+MOD(2-WEEKDAY($S193),7))+27),1,IF(ISNUMBER($L193),$L193,$AA193)))</f>
        <v/>
      </c>
      <c r="AC193" s="62">
        <f>IF($V193="","",IF(AND(ISNUMBER($G193),$G193&lt;=IF($S193=MesCiclo,InicioCiclo,$S193+MOD(2-WEEKDAY($S193),7))+6),1,IF(N($W193)&gt;0,AVERAGEIFS($Y$5:$Y$1000,$U$5:$U$1000,ROW(),$V$5:$V$1000,"Sub"),$Y193)))</f>
        <v/>
      </c>
      <c r="AD193" s="62">
        <f>IF($V193="","",IF(AND(ISNUMBER($G193),$G193&lt;=IF($S193=MesCiclo,InicioCiclo,$S193+MOD(2-WEEKDAY($S193),7))+13),1,IF(N($W193)&gt;0,AVERAGEIFS($Z$5:$Z$1000,$U$5:$U$1000,ROW(),$V$5:$V$1000,"Sub"),$Z193)))</f>
        <v/>
      </c>
      <c r="AE193" s="62">
        <f>IF($V193="","",IF(AND(ISNUMBER($G193),$G193&lt;=IF($S193=MesCiclo,InicioCiclo,$S193+MOD(2-WEEKDAY($S193),7))+20),1,IF(N($W193)&gt;0,AVERAGEIFS($AA$5:$AA$1000,$U$5:$U$1000,ROW(),$V$5:$V$1000,"Sub"),$AA193)))</f>
        <v/>
      </c>
      <c r="AF193" s="62">
        <f>IF($V193="","",IF(AND(ISNUMBER($G193),$G193&lt;=IF($S193=MesCiclo,InicioCiclo,$S193+MOD(2-WEEKDAY($S193),7))+27),1,IF(N($W193)&gt;0,AVERAGEIFS($AB$5:$AB$1000,$U$5:$U$1000,ROW(),$V$5:$V$1000,"Sub"),$AB193)))</f>
        <v/>
      </c>
      <c r="AG193" s="62">
        <f>IF($V193&lt;&gt;"Macro","",IF(COUNTIFS($S$5:$S$1000,$S193,$V$5:$V$1000,"Macro",$H$5:$H$1000,"&gt;0")=0,1/COUNTIFS($S$5:$S$1000,$S193,$V$5:$V$1000,"Macro"),IF(AND(ISNUMBER($H193),N($H193)&gt;0),$H193,SUMIFS($H$5:$H$1000,$S$5:$S$1000,$S193,$V$5:$V$1000,"Macro")/COUNTIFS($S$5:$S$1000,$S193,$V$5:$V$1000,"Macro",$H$5:$H$1000,"&gt;0"))/(COUNTIFS($S$5:$S$1000,$S193,$V$5:$V$1000,"Macro")*SUMIFS($H$5:$H$1000,$S$5:$S$1000,$S193,$V$5:$V$1000,"Macro")/COUNTIFS($S$5:$S$1000,$S193,$V$5:$V$1000,"Macro",$H$5:$H$1000,"&gt;0"))))</f>
        <v/>
      </c>
      <c r="AH193" s="62" t="n"/>
      <c r="AI193" s="62" t="n"/>
      <c r="AJ193" s="62" t="n"/>
      <c r="AK193" s="62" t="n"/>
      <c r="AL193" s="62">
        <f>IF(LEFT($C193,11)="[Jefatura] ",IFERROR(MATCH("Riesgo Financiero|"&amp;MID($C193,12,500),rDname_ADM,0),0),"")</f>
        <v/>
      </c>
      <c r="AM193" s="62">
        <f>IF(N($AL193)&gt;0,INDEX(rIni_ADM,$AL193),IF(ISNUMBER($E193),$E193,""))</f>
        <v/>
      </c>
      <c r="AN193" s="62">
        <f>IF(N($AL193)&gt;0,INDEX(rLim_ADM,$AL193),IF(ISNUMBER($F193),$F193,""))</f>
        <v/>
      </c>
    </row>
    <row r="194">
      <c r="A194" s="56">
        <f>IF(NOT((COUNTA($B194:$D194)+COUNTA($G194:$L194)+COUNTA($Q194))&gt;0),"",IF($V194="Macro",COUNTIFS($V$5:$V194,"Macro",$S$5:$S194,$S194),IF(N($U194)=0,"?",COUNTIFS(INDEX($V$5:$V$1000,1):INDEX($V$5:$V$1000,$U194-4),"Macro",INDEX($S$5:$S$1000,1):INDEX($S$5:$S$1000,$U194-4),INDEX($S$5:$S$1000,$U194-4))&amp;"."&amp;COUNTIFS($U$5:$U194,$U194,$V$5:$V194,"Sub"))))</f>
        <v/>
      </c>
      <c r="B194" s="57" t="n"/>
      <c r="C194" s="58" t="n"/>
      <c r="D194" s="58" t="n"/>
      <c r="E194" s="59">
        <f>IF(N($AL194)&gt;0,INDEX(rIni_ADM,$AL194),"")</f>
        <v/>
      </c>
      <c r="F194" s="59">
        <f>IF(N($AL194)&gt;0,INDEX(rLim_ADM,$AL194),"")</f>
        <v/>
      </c>
      <c r="G194" s="59" t="n"/>
      <c r="H194" s="60" t="n"/>
      <c r="I194" s="60" t="n"/>
      <c r="J194" s="60" t="n"/>
      <c r="K194" s="60" t="n"/>
      <c r="L194" s="60" t="n"/>
      <c r="M194" s="61">
        <f>IF(NOT((COUNTA($B194:$D194)+COUNTA($G194:$L194)+COUNTA($Q194))&gt;0),"",IF($V194="Sub",IFERROR($X194/INDEX($W$5:$W$1000,$U194-4),""),IF(ISNUMBER($G194),1,IF(N($W194)&gt;0,AVERAGEIFS($X$5:$X$1000,$U$5:$U$1000,ROW(),$V$5:$V$1000,"Sub"),$X194))))</f>
        <v/>
      </c>
      <c r="N194" s="56">
        <f>IF(OR($M194="",$V194="Sub"),"",IF($M194&gt;=1,"Completado",IF($M194&gt;0,"En curso","Pendiente")))</f>
        <v/>
      </c>
      <c r="O194" s="56">
        <f>IF(OR(NOT((COUNTA($B194:$D194)+COUNTA($G194:$L194)+COUNTA($Q194))&gt;0),$V194="Sub"),"",IF(ISNUMBER($G194),IF(AND(ISNUMBER($AN194),$G194&gt;$AN194),"Cumplida con "&amp;($G194-$AN194)&amp;IF($G194-$AN194=1," día"," días")&amp;" de retraso","Cumplida"),IF(N($M194)&gt;=1,"Cumplida",IF(NOT(ISNUMBER($AN194)),"Sin fecha límite",IF($AN194&lt;FechaRef,"Vencida hace "&amp;(FechaRef-$AN194)&amp;IF(FechaRef-$AN194=1," día"," días"),IF($AN194=FechaRef,"Vence hoy",IF($AN194-FechaRef&lt;=DiasAlerta,"Vence en "&amp;($AN194-FechaRef)&amp;IF($AN194-FechaRef=1," día"," días"),"En plazo")))))))</f>
        <v/>
      </c>
      <c r="P194" s="62" t="n"/>
      <c r="Q194" s="58" t="n"/>
      <c r="R194" s="63">
        <f>IF(NOT((COUNTA($B194:$D194)+COUNTA($G194:$L194)+COUNTA($Q194))&gt;0),"",IF((IF($C194="","Falta el nombre de la actividad"&amp;" · ","")&amp;IF(AND($V194="Sub",N($U194)=0),"Subactividad sin macroactividad arriba"&amp;" · ","")&amp;IF($AM194="","Sin fecha de inicio"&amp;" · ","")&amp;IF($AN194="","Sin fecha límite"&amp;" · ","")&amp;IF(AND(LEFT($C194,11)="[Jefatura] ",N($AL194)=0),"No se encuentra en la hoja de la jefatura (elíjala de nuevo en la lista)"&amp;" · ","")&amp;IF(OR(AND($E194&lt;&gt;"",NOT(ISNUMBER($E194))),AND($F194&lt;&gt;"",NOT(ISNUMBER($F194))),AND($G194&lt;&gt;"",NOT(ISNUMBER($G194)))),"Fecha no válida"&amp;" · ","")&amp;IF(AND(ISNUMBER($AM194),ISNUMBER($AN194),$AM194&gt;$AN194),"Inicio posterior a fecha límite"&amp;" · ","")&amp;IF(AND($V194="Macro",$H194&lt;&gt;"",OR(NOT(ISNUMBER($H194)),$H194&lt;0,$H194&gt;1)),"Peso fuera de rango"&amp;" · ","")&amp;IF(AND($V194="Sub",$H194&lt;&gt;""),"Las subactividades no llevan peso (valen igual dentro de su macroactividad)"&amp;" · ","")&amp;IF(AND(N($W194)&gt;0,COUNT($I194:$L194)&gt;0),"Con subactividades: deje vacías las semanas (se calculan solas)"&amp;" · ","")&amp;IF((COUNTIF($I194:$L194,"&gt;1")+COUNTIF($I194:$L194,"&lt;0")+COUNTA($I194:$L194)-COUNT($I194:$L194))&gt;0,"Avance fuera de rango 0-100%"&amp;" · ","")&amp;IF(OR(AND($J194&lt;&gt;"",$J194&lt;$I194),AND($K194&lt;&gt;"",$K194&lt;MAX($I194:$J194)),AND($L194&lt;&gt;"",$L194&lt;MAX($I194:$K194))),"Avance semanal decreciente"&amp;" · ","")&amp;IF(AND(ISNUMBER($AN194),$AN194&lt;FechaRef,IF($V194="Sub",N($X194),N($M194))&lt;1),"Vencida"&amp;" · ","")&amp;IF(AND(ObsObligatoria="Sí",ISNUMBER($AN194),$AN194&lt;FechaRef,IF($V194="Sub",N($X194),N($M194))&lt;1,$Q194=""),"Vencida sin observación"&amp;" · ",""))="","✔ OK","⚠ "&amp;LEFT(IF($C194="","Falta el nombre de la actividad"&amp;" · ","")&amp;IF(AND($V194="Sub",N($U194)=0),"Subactividad sin macroactividad arriba"&amp;" · ","")&amp;IF($AM194="","Sin fecha de inicio"&amp;" · ","")&amp;IF($AN194="","Sin fecha límite"&amp;" · ","")&amp;IF(AND(LEFT($C194,11)="[Jefatura] ",N($AL194)=0),"No se encuentra en la hoja de la jefatura (elíjala de nuevo en la lista)"&amp;" · ","")&amp;IF(OR(AND($E194&lt;&gt;"",NOT(ISNUMBER($E194))),AND($F194&lt;&gt;"",NOT(ISNUMBER($F194))),AND($G194&lt;&gt;"",NOT(ISNUMBER($G194)))),"Fecha no válida"&amp;" · ","")&amp;IF(AND(ISNUMBER($AM194),ISNUMBER($AN194),$AM194&gt;$AN194),"Inicio posterior a fecha límite"&amp;" · ","")&amp;IF(AND($V194="Macro",$H194&lt;&gt;"",OR(NOT(ISNUMBER($H194)),$H194&lt;0,$H194&gt;1)),"Peso fuera de rango"&amp;" · ","")&amp;IF(AND($V194="Sub",$H194&lt;&gt;""),"Las subactividades no llevan peso (valen igual dentro de su macroactividad)"&amp;" · ","")&amp;IF(AND(N($W194)&gt;0,COUNT($I194:$L194)&gt;0),"Con subactividades: deje vacías las semanas (se calculan solas)"&amp;" · ","")&amp;IF((COUNTIF($I194:$L194,"&gt;1")+COUNTIF($I194:$L194,"&lt;0")+COUNTA($I194:$L194)-COUNT($I194:$L194))&gt;0,"Avance fuera de rango 0-100%"&amp;" · ","")&amp;IF(OR(AND($J194&lt;&gt;"",$J194&lt;$I194),AND($K194&lt;&gt;"",$K194&lt;MAX($I194:$J194)),AND($L194&lt;&gt;"",$L194&lt;MAX($I194:$K194))),"Avance semanal decreciente"&amp;" · ","")&amp;IF(AND(ISNUMBER($AN194),$AN194&lt;FechaRef,IF($V194="Sub",N($X194),N($M194))&lt;1),"Vencida"&amp;" · ","")&amp;IF(AND(ObsObligatoria="Sí",ISNUMBER($AN194),$AN194&lt;FechaRef,IF($V194="Sub",N($X194),N($M194))&lt;1,$Q194=""),"Vencida sin observación"&amp;" · ",""),LEN(IF($C194="","Falta el nombre de la actividad"&amp;" · ","")&amp;IF(AND($V194="Sub",N($U194)=0),"Subactividad sin macroactividad arriba"&amp;" · ","")&amp;IF($AM194="","Sin fecha de inicio"&amp;" · ","")&amp;IF($AN194="","Sin fecha límite"&amp;" · ","")&amp;IF(AND(LEFT($C194,11)="[Jefatura] ",N($AL194)=0),"No se encuentra en la hoja de la jefatura (elíjala de nuevo en la lista)"&amp;" · ","")&amp;IF(OR(AND($E194&lt;&gt;"",NOT(ISNUMBER($E194))),AND($F194&lt;&gt;"",NOT(ISNUMBER($F194))),AND($G194&lt;&gt;"",NOT(ISNUMBER($G194)))),"Fecha no válida"&amp;" · ","")&amp;IF(AND(ISNUMBER($AM194),ISNUMBER($AN194),$AM194&gt;$AN194),"Inicio posterior a fecha límite"&amp;" · ","")&amp;IF(AND($V194="Macro",$H194&lt;&gt;"",OR(NOT(ISNUMBER($H194)),$H194&lt;0,$H194&gt;1)),"Peso fuera de rango"&amp;" · ","")&amp;IF(AND($V194="Sub",$H194&lt;&gt;""),"Las subactividades no llevan peso (valen igual dentro de su macroactividad)"&amp;" · ","")&amp;IF(AND(N($W194)&gt;0,COUNT($I194:$L194)&gt;0),"Con subactividades: deje vacías las semanas (se calculan solas)"&amp;" · ","")&amp;IF((COUNTIF($I194:$L194,"&gt;1")+COUNTIF($I194:$L194,"&lt;0")+COUNTA($I194:$L194)-COUNT($I194:$L194))&gt;0,"Avance fuera de rango 0-100%"&amp;" · ","")&amp;IF(OR(AND($J194&lt;&gt;"",$J194&lt;$I194),AND($K194&lt;&gt;"",$K194&lt;MAX($I194:$J194)),AND($L194&lt;&gt;"",$L194&lt;MAX($I194:$K194))),"Avance semanal decreciente"&amp;" · ","")&amp;IF(AND(ISNUMBER($AN194),$AN194&lt;FechaRef,IF($V194="Sub",N($X194),N($M194))&lt;1),"Vencida"&amp;" · ","")&amp;IF(AND(ObsObligatoria="Sí",ISNUMBER($AN194),$AN194&lt;FechaRef,IF($V194="Sub",N($X194),N($M194))&lt;1,$Q194=""),"Vencida sin observación"&amp;" · ",""))-3)))</f>
        <v/>
      </c>
      <c r="S194" s="64">
        <f>IF(NOT((COUNTA($B194:$D194)+COUNTA($G194:$L194)+COUNTA($Q194))&gt;0),"",IF(AND($V194="Sub",N($U194)&gt;0),IF(ISNUMBER(INDEX($AM$5:$AM$1000,$U194-4)),DATE(YEAR(INDEX($AM$5:$AM$1000,$U194-4)),MONTH(INDEX($AM$5:$AM$1000,$U194-4)),1),IF(ISNUMBER(INDEX($AN$5:$AN$1000,$U194-4)),DATE(YEAR(INDEX($AN$5:$AN$1000,$U194-4)),MONTH(INDEX($AN$5:$AN$1000,$U194-4)),1),MesCiclo)),IF(ISNUMBER($AM194),DATE(YEAR($AM194),MONTH($AM194),1),IF(ISNUMBER($AN194),DATE(YEAR($AN194),MONTH($AN194),1),MesCiclo))))</f>
        <v/>
      </c>
      <c r="T194" s="62">
        <f>IF(OR($S194="",$S194&lt;&gt;MesCiclo,$V194&lt;&gt;"Macro"),"",COUNTIFS($S$5:$S194,MesCiclo,$V$5:$V194,"Macro"))</f>
        <v/>
      </c>
      <c r="U194" s="62">
        <f>IF($V194="","",IF($V194="Macro",ROW(),IFERROR(LOOKUP(2,1/($V$5:$V194="Macro"),ROW($V$5:$V194)),0)))</f>
        <v/>
      </c>
      <c r="V194" s="62">
        <f>IF(NOT((COUNTA($B194:$D194)+COUNTA($G194:$L194)+COUNTA($Q194))&gt;0),"",IF($B194="Subactividad","Sub","Macro"))</f>
        <v/>
      </c>
      <c r="W194" s="62">
        <f>IF($V194="Macro",COUNTIFS($U$5:$U$1000,ROW(),$V$5:$V$1000,"Sub"),"")</f>
        <v/>
      </c>
      <c r="X194" s="62">
        <f>IF($V194="","",IF(ISNUMBER($G194),1,IFERROR(LOOKUP(2,1/($I194:$L194&lt;&gt;""),$I194:$L194),0)))</f>
        <v/>
      </c>
      <c r="Y194" s="62">
        <f>IF($V194="","",IF(AND(ISNUMBER($G194),$G194&lt;=IF($S194=MesCiclo,InicioCiclo,$S194+MOD(2-WEEKDAY($S194),7))+6),1,IF(ISNUMBER($I194),$I194,0)))</f>
        <v/>
      </c>
      <c r="Z194" s="62">
        <f>IF($V194="","",IF(AND(ISNUMBER($G194),$G194&lt;=IF($S194=MesCiclo,InicioCiclo,$S194+MOD(2-WEEKDAY($S194),7))+13),1,IF(ISNUMBER($J194),$J194,$Y194)))</f>
        <v/>
      </c>
      <c r="AA194" s="62">
        <f>IF($V194="","",IF(AND(ISNUMBER($G194),$G194&lt;=IF($S194=MesCiclo,InicioCiclo,$S194+MOD(2-WEEKDAY($S194),7))+20),1,IF(ISNUMBER($K194),$K194,$Z194)))</f>
        <v/>
      </c>
      <c r="AB194" s="62">
        <f>IF($V194="","",IF(AND(ISNUMBER($G194),$G194&lt;=IF($S194=MesCiclo,InicioCiclo,$S194+MOD(2-WEEKDAY($S194),7))+27),1,IF(ISNUMBER($L194),$L194,$AA194)))</f>
        <v/>
      </c>
      <c r="AC194" s="62">
        <f>IF($V194="","",IF(AND(ISNUMBER($G194),$G194&lt;=IF($S194=MesCiclo,InicioCiclo,$S194+MOD(2-WEEKDAY($S194),7))+6),1,IF(N($W194)&gt;0,AVERAGEIFS($Y$5:$Y$1000,$U$5:$U$1000,ROW(),$V$5:$V$1000,"Sub"),$Y194)))</f>
        <v/>
      </c>
      <c r="AD194" s="62">
        <f>IF($V194="","",IF(AND(ISNUMBER($G194),$G194&lt;=IF($S194=MesCiclo,InicioCiclo,$S194+MOD(2-WEEKDAY($S194),7))+13),1,IF(N($W194)&gt;0,AVERAGEIFS($Z$5:$Z$1000,$U$5:$U$1000,ROW(),$V$5:$V$1000,"Sub"),$Z194)))</f>
        <v/>
      </c>
      <c r="AE194" s="62">
        <f>IF($V194="","",IF(AND(ISNUMBER($G194),$G194&lt;=IF($S194=MesCiclo,InicioCiclo,$S194+MOD(2-WEEKDAY($S194),7))+20),1,IF(N($W194)&gt;0,AVERAGEIFS($AA$5:$AA$1000,$U$5:$U$1000,ROW(),$V$5:$V$1000,"Sub"),$AA194)))</f>
        <v/>
      </c>
      <c r="AF194" s="62">
        <f>IF($V194="","",IF(AND(ISNUMBER($G194),$G194&lt;=IF($S194=MesCiclo,InicioCiclo,$S194+MOD(2-WEEKDAY($S194),7))+27),1,IF(N($W194)&gt;0,AVERAGEIFS($AB$5:$AB$1000,$U$5:$U$1000,ROW(),$V$5:$V$1000,"Sub"),$AB194)))</f>
        <v/>
      </c>
      <c r="AG194" s="62">
        <f>IF($V194&lt;&gt;"Macro","",IF(COUNTIFS($S$5:$S$1000,$S194,$V$5:$V$1000,"Macro",$H$5:$H$1000,"&gt;0")=0,1/COUNTIFS($S$5:$S$1000,$S194,$V$5:$V$1000,"Macro"),IF(AND(ISNUMBER($H194),N($H194)&gt;0),$H194,SUMIFS($H$5:$H$1000,$S$5:$S$1000,$S194,$V$5:$V$1000,"Macro")/COUNTIFS($S$5:$S$1000,$S194,$V$5:$V$1000,"Macro",$H$5:$H$1000,"&gt;0"))/(COUNTIFS($S$5:$S$1000,$S194,$V$5:$V$1000,"Macro")*SUMIFS($H$5:$H$1000,$S$5:$S$1000,$S194,$V$5:$V$1000,"Macro")/COUNTIFS($S$5:$S$1000,$S194,$V$5:$V$1000,"Macro",$H$5:$H$1000,"&gt;0"))))</f>
        <v/>
      </c>
      <c r="AH194" s="62" t="n"/>
      <c r="AI194" s="62" t="n"/>
      <c r="AJ194" s="62" t="n"/>
      <c r="AK194" s="62" t="n"/>
      <c r="AL194" s="62">
        <f>IF(LEFT($C194,11)="[Jefatura] ",IFERROR(MATCH("Riesgo Financiero|"&amp;MID($C194,12,500),rDname_ADM,0),0),"")</f>
        <v/>
      </c>
      <c r="AM194" s="62">
        <f>IF(N($AL194)&gt;0,INDEX(rIni_ADM,$AL194),IF(ISNUMBER($E194),$E194,""))</f>
        <v/>
      </c>
      <c r="AN194" s="62">
        <f>IF(N($AL194)&gt;0,INDEX(rLim_ADM,$AL194),IF(ISNUMBER($F194),$F194,""))</f>
        <v/>
      </c>
    </row>
    <row r="195">
      <c r="A195" s="56">
        <f>IF(NOT((COUNTA($B195:$D195)+COUNTA($G195:$L195)+COUNTA($Q195))&gt;0),"",IF($V195="Macro",COUNTIFS($V$5:$V195,"Macro",$S$5:$S195,$S195),IF(N($U195)=0,"?",COUNTIFS(INDEX($V$5:$V$1000,1):INDEX($V$5:$V$1000,$U195-4),"Macro",INDEX($S$5:$S$1000,1):INDEX($S$5:$S$1000,$U195-4),INDEX($S$5:$S$1000,$U195-4))&amp;"."&amp;COUNTIFS($U$5:$U195,$U195,$V$5:$V195,"Sub"))))</f>
        <v/>
      </c>
      <c r="B195" s="57" t="n"/>
      <c r="C195" s="58" t="n"/>
      <c r="D195" s="58" t="n"/>
      <c r="E195" s="59">
        <f>IF(N($AL195)&gt;0,INDEX(rIni_ADM,$AL195),"")</f>
        <v/>
      </c>
      <c r="F195" s="59">
        <f>IF(N($AL195)&gt;0,INDEX(rLim_ADM,$AL195),"")</f>
        <v/>
      </c>
      <c r="G195" s="59" t="n"/>
      <c r="H195" s="60" t="n"/>
      <c r="I195" s="60" t="n"/>
      <c r="J195" s="60" t="n"/>
      <c r="K195" s="60" t="n"/>
      <c r="L195" s="60" t="n"/>
      <c r="M195" s="61">
        <f>IF(NOT((COUNTA($B195:$D195)+COUNTA($G195:$L195)+COUNTA($Q195))&gt;0),"",IF($V195="Sub",IFERROR($X195/INDEX($W$5:$W$1000,$U195-4),""),IF(ISNUMBER($G195),1,IF(N($W195)&gt;0,AVERAGEIFS($X$5:$X$1000,$U$5:$U$1000,ROW(),$V$5:$V$1000,"Sub"),$X195))))</f>
        <v/>
      </c>
      <c r="N195" s="56">
        <f>IF(OR($M195="",$V195="Sub"),"",IF($M195&gt;=1,"Completado",IF($M195&gt;0,"En curso","Pendiente")))</f>
        <v/>
      </c>
      <c r="O195" s="56">
        <f>IF(OR(NOT((COUNTA($B195:$D195)+COUNTA($G195:$L195)+COUNTA($Q195))&gt;0),$V195="Sub"),"",IF(ISNUMBER($G195),IF(AND(ISNUMBER($AN195),$G195&gt;$AN195),"Cumplida con "&amp;($G195-$AN195)&amp;IF($G195-$AN195=1," día"," días")&amp;" de retraso","Cumplida"),IF(N($M195)&gt;=1,"Cumplida",IF(NOT(ISNUMBER($AN195)),"Sin fecha límite",IF($AN195&lt;FechaRef,"Vencida hace "&amp;(FechaRef-$AN195)&amp;IF(FechaRef-$AN195=1," día"," días"),IF($AN195=FechaRef,"Vence hoy",IF($AN195-FechaRef&lt;=DiasAlerta,"Vence en "&amp;($AN195-FechaRef)&amp;IF($AN195-FechaRef=1," día"," días"),"En plazo")))))))</f>
        <v/>
      </c>
      <c r="P195" s="62" t="n"/>
      <c r="Q195" s="58" t="n"/>
      <c r="R195" s="63">
        <f>IF(NOT((COUNTA($B195:$D195)+COUNTA($G195:$L195)+COUNTA($Q195))&gt;0),"",IF((IF($C195="","Falta el nombre de la actividad"&amp;" · ","")&amp;IF(AND($V195="Sub",N($U195)=0),"Subactividad sin macroactividad arriba"&amp;" · ","")&amp;IF($AM195="","Sin fecha de inicio"&amp;" · ","")&amp;IF($AN195="","Sin fecha límite"&amp;" · ","")&amp;IF(AND(LEFT($C195,11)="[Jefatura] ",N($AL195)=0),"No se encuentra en la hoja de la jefatura (elíjala de nuevo en la lista)"&amp;" · ","")&amp;IF(OR(AND($E195&lt;&gt;"",NOT(ISNUMBER($E195))),AND($F195&lt;&gt;"",NOT(ISNUMBER($F195))),AND($G195&lt;&gt;"",NOT(ISNUMBER($G195)))),"Fecha no válida"&amp;" · ","")&amp;IF(AND(ISNUMBER($AM195),ISNUMBER($AN195),$AM195&gt;$AN195),"Inicio posterior a fecha límite"&amp;" · ","")&amp;IF(AND($V195="Macro",$H195&lt;&gt;"",OR(NOT(ISNUMBER($H195)),$H195&lt;0,$H195&gt;1)),"Peso fuera de rango"&amp;" · ","")&amp;IF(AND($V195="Sub",$H195&lt;&gt;""),"Las subactividades no llevan peso (valen igual dentro de su macroactividad)"&amp;" · ","")&amp;IF(AND(N($W195)&gt;0,COUNT($I195:$L195)&gt;0),"Con subactividades: deje vacías las semanas (se calculan solas)"&amp;" · ","")&amp;IF((COUNTIF($I195:$L195,"&gt;1")+COUNTIF($I195:$L195,"&lt;0")+COUNTA($I195:$L195)-COUNT($I195:$L195))&gt;0,"Avance fuera de rango 0-100%"&amp;" · ","")&amp;IF(OR(AND($J195&lt;&gt;"",$J195&lt;$I195),AND($K195&lt;&gt;"",$K195&lt;MAX($I195:$J195)),AND($L195&lt;&gt;"",$L195&lt;MAX($I195:$K195))),"Avance semanal decreciente"&amp;" · ","")&amp;IF(AND(ISNUMBER($AN195),$AN195&lt;FechaRef,IF($V195="Sub",N($X195),N($M195))&lt;1),"Vencida"&amp;" · ","")&amp;IF(AND(ObsObligatoria="Sí",ISNUMBER($AN195),$AN195&lt;FechaRef,IF($V195="Sub",N($X195),N($M195))&lt;1,$Q195=""),"Vencida sin observación"&amp;" · ",""))="","✔ OK","⚠ "&amp;LEFT(IF($C195="","Falta el nombre de la actividad"&amp;" · ","")&amp;IF(AND($V195="Sub",N($U195)=0),"Subactividad sin macroactividad arriba"&amp;" · ","")&amp;IF($AM195="","Sin fecha de inicio"&amp;" · ","")&amp;IF($AN195="","Sin fecha límite"&amp;" · ","")&amp;IF(AND(LEFT($C195,11)="[Jefatura] ",N($AL195)=0),"No se encuentra en la hoja de la jefatura (elíjala de nuevo en la lista)"&amp;" · ","")&amp;IF(OR(AND($E195&lt;&gt;"",NOT(ISNUMBER($E195))),AND($F195&lt;&gt;"",NOT(ISNUMBER($F195))),AND($G195&lt;&gt;"",NOT(ISNUMBER($G195)))),"Fecha no válida"&amp;" · ","")&amp;IF(AND(ISNUMBER($AM195),ISNUMBER($AN195),$AM195&gt;$AN195),"Inicio posterior a fecha límite"&amp;" · ","")&amp;IF(AND($V195="Macro",$H195&lt;&gt;"",OR(NOT(ISNUMBER($H195)),$H195&lt;0,$H195&gt;1)),"Peso fuera de rango"&amp;" · ","")&amp;IF(AND($V195="Sub",$H195&lt;&gt;""),"Las subactividades no llevan peso (valen igual dentro de su macroactividad)"&amp;" · ","")&amp;IF(AND(N($W195)&gt;0,COUNT($I195:$L195)&gt;0),"Con subactividades: deje vacías las semanas (se calculan solas)"&amp;" · ","")&amp;IF((COUNTIF($I195:$L195,"&gt;1")+COUNTIF($I195:$L195,"&lt;0")+COUNTA($I195:$L195)-COUNT($I195:$L195))&gt;0,"Avance fuera de rango 0-100%"&amp;" · ","")&amp;IF(OR(AND($J195&lt;&gt;"",$J195&lt;$I195),AND($K195&lt;&gt;"",$K195&lt;MAX($I195:$J195)),AND($L195&lt;&gt;"",$L195&lt;MAX($I195:$K195))),"Avance semanal decreciente"&amp;" · ","")&amp;IF(AND(ISNUMBER($AN195),$AN195&lt;FechaRef,IF($V195="Sub",N($X195),N($M195))&lt;1),"Vencida"&amp;" · ","")&amp;IF(AND(ObsObligatoria="Sí",ISNUMBER($AN195),$AN195&lt;FechaRef,IF($V195="Sub",N($X195),N($M195))&lt;1,$Q195=""),"Vencida sin observación"&amp;" · ",""),LEN(IF($C195="","Falta el nombre de la actividad"&amp;" · ","")&amp;IF(AND($V195="Sub",N($U195)=0),"Subactividad sin macroactividad arriba"&amp;" · ","")&amp;IF($AM195="","Sin fecha de inicio"&amp;" · ","")&amp;IF($AN195="","Sin fecha límite"&amp;" · ","")&amp;IF(AND(LEFT($C195,11)="[Jefatura] ",N($AL195)=0),"No se encuentra en la hoja de la jefatura (elíjala de nuevo en la lista)"&amp;" · ","")&amp;IF(OR(AND($E195&lt;&gt;"",NOT(ISNUMBER($E195))),AND($F195&lt;&gt;"",NOT(ISNUMBER($F195))),AND($G195&lt;&gt;"",NOT(ISNUMBER($G195)))),"Fecha no válida"&amp;" · ","")&amp;IF(AND(ISNUMBER($AM195),ISNUMBER($AN195),$AM195&gt;$AN195),"Inicio posterior a fecha límite"&amp;" · ","")&amp;IF(AND($V195="Macro",$H195&lt;&gt;"",OR(NOT(ISNUMBER($H195)),$H195&lt;0,$H195&gt;1)),"Peso fuera de rango"&amp;" · ","")&amp;IF(AND($V195="Sub",$H195&lt;&gt;""),"Las subactividades no llevan peso (valen igual dentro de su macroactividad)"&amp;" · ","")&amp;IF(AND(N($W195)&gt;0,COUNT($I195:$L195)&gt;0),"Con subactividades: deje vacías las semanas (se calculan solas)"&amp;" · ","")&amp;IF((COUNTIF($I195:$L195,"&gt;1")+COUNTIF($I195:$L195,"&lt;0")+COUNTA($I195:$L195)-COUNT($I195:$L195))&gt;0,"Avance fuera de rango 0-100%"&amp;" · ","")&amp;IF(OR(AND($J195&lt;&gt;"",$J195&lt;$I195),AND($K195&lt;&gt;"",$K195&lt;MAX($I195:$J195)),AND($L195&lt;&gt;"",$L195&lt;MAX($I195:$K195))),"Avance semanal decreciente"&amp;" · ","")&amp;IF(AND(ISNUMBER($AN195),$AN195&lt;FechaRef,IF($V195="Sub",N($X195),N($M195))&lt;1),"Vencida"&amp;" · ","")&amp;IF(AND(ObsObligatoria="Sí",ISNUMBER($AN195),$AN195&lt;FechaRef,IF($V195="Sub",N($X195),N($M195))&lt;1,$Q195=""),"Vencida sin observación"&amp;" · ",""))-3)))</f>
        <v/>
      </c>
      <c r="S195" s="64">
        <f>IF(NOT((COUNTA($B195:$D195)+COUNTA($G195:$L195)+COUNTA($Q195))&gt;0),"",IF(AND($V195="Sub",N($U195)&gt;0),IF(ISNUMBER(INDEX($AM$5:$AM$1000,$U195-4)),DATE(YEAR(INDEX($AM$5:$AM$1000,$U195-4)),MONTH(INDEX($AM$5:$AM$1000,$U195-4)),1),IF(ISNUMBER(INDEX($AN$5:$AN$1000,$U195-4)),DATE(YEAR(INDEX($AN$5:$AN$1000,$U195-4)),MONTH(INDEX($AN$5:$AN$1000,$U195-4)),1),MesCiclo)),IF(ISNUMBER($AM195),DATE(YEAR($AM195),MONTH($AM195),1),IF(ISNUMBER($AN195),DATE(YEAR($AN195),MONTH($AN195),1),MesCiclo))))</f>
        <v/>
      </c>
      <c r="T195" s="62">
        <f>IF(OR($S195="",$S195&lt;&gt;MesCiclo,$V195&lt;&gt;"Macro"),"",COUNTIFS($S$5:$S195,MesCiclo,$V$5:$V195,"Macro"))</f>
        <v/>
      </c>
      <c r="U195" s="62">
        <f>IF($V195="","",IF($V195="Macro",ROW(),IFERROR(LOOKUP(2,1/($V$5:$V195="Macro"),ROW($V$5:$V195)),0)))</f>
        <v/>
      </c>
      <c r="V195" s="62">
        <f>IF(NOT((COUNTA($B195:$D195)+COUNTA($G195:$L195)+COUNTA($Q195))&gt;0),"",IF($B195="Subactividad","Sub","Macro"))</f>
        <v/>
      </c>
      <c r="W195" s="62">
        <f>IF($V195="Macro",COUNTIFS($U$5:$U$1000,ROW(),$V$5:$V$1000,"Sub"),"")</f>
        <v/>
      </c>
      <c r="X195" s="62">
        <f>IF($V195="","",IF(ISNUMBER($G195),1,IFERROR(LOOKUP(2,1/($I195:$L195&lt;&gt;""),$I195:$L195),0)))</f>
        <v/>
      </c>
      <c r="Y195" s="62">
        <f>IF($V195="","",IF(AND(ISNUMBER($G195),$G195&lt;=IF($S195=MesCiclo,InicioCiclo,$S195+MOD(2-WEEKDAY($S195),7))+6),1,IF(ISNUMBER($I195),$I195,0)))</f>
        <v/>
      </c>
      <c r="Z195" s="62">
        <f>IF($V195="","",IF(AND(ISNUMBER($G195),$G195&lt;=IF($S195=MesCiclo,InicioCiclo,$S195+MOD(2-WEEKDAY($S195),7))+13),1,IF(ISNUMBER($J195),$J195,$Y195)))</f>
        <v/>
      </c>
      <c r="AA195" s="62">
        <f>IF($V195="","",IF(AND(ISNUMBER($G195),$G195&lt;=IF($S195=MesCiclo,InicioCiclo,$S195+MOD(2-WEEKDAY($S195),7))+20),1,IF(ISNUMBER($K195),$K195,$Z195)))</f>
        <v/>
      </c>
      <c r="AB195" s="62">
        <f>IF($V195="","",IF(AND(ISNUMBER($G195),$G195&lt;=IF($S195=MesCiclo,InicioCiclo,$S195+MOD(2-WEEKDAY($S195),7))+27),1,IF(ISNUMBER($L195),$L195,$AA195)))</f>
        <v/>
      </c>
      <c r="AC195" s="62">
        <f>IF($V195="","",IF(AND(ISNUMBER($G195),$G195&lt;=IF($S195=MesCiclo,InicioCiclo,$S195+MOD(2-WEEKDAY($S195),7))+6),1,IF(N($W195)&gt;0,AVERAGEIFS($Y$5:$Y$1000,$U$5:$U$1000,ROW(),$V$5:$V$1000,"Sub"),$Y195)))</f>
        <v/>
      </c>
      <c r="AD195" s="62">
        <f>IF($V195="","",IF(AND(ISNUMBER($G195),$G195&lt;=IF($S195=MesCiclo,InicioCiclo,$S195+MOD(2-WEEKDAY($S195),7))+13),1,IF(N($W195)&gt;0,AVERAGEIFS($Z$5:$Z$1000,$U$5:$U$1000,ROW(),$V$5:$V$1000,"Sub"),$Z195)))</f>
        <v/>
      </c>
      <c r="AE195" s="62">
        <f>IF($V195="","",IF(AND(ISNUMBER($G195),$G195&lt;=IF($S195=MesCiclo,InicioCiclo,$S195+MOD(2-WEEKDAY($S195),7))+20),1,IF(N($W195)&gt;0,AVERAGEIFS($AA$5:$AA$1000,$U$5:$U$1000,ROW(),$V$5:$V$1000,"Sub"),$AA195)))</f>
        <v/>
      </c>
      <c r="AF195" s="62">
        <f>IF($V195="","",IF(AND(ISNUMBER($G195),$G195&lt;=IF($S195=MesCiclo,InicioCiclo,$S195+MOD(2-WEEKDAY($S195),7))+27),1,IF(N($W195)&gt;0,AVERAGEIFS($AB$5:$AB$1000,$U$5:$U$1000,ROW(),$V$5:$V$1000,"Sub"),$AB195)))</f>
        <v/>
      </c>
      <c r="AG195" s="62">
        <f>IF($V195&lt;&gt;"Macro","",IF(COUNTIFS($S$5:$S$1000,$S195,$V$5:$V$1000,"Macro",$H$5:$H$1000,"&gt;0")=0,1/COUNTIFS($S$5:$S$1000,$S195,$V$5:$V$1000,"Macro"),IF(AND(ISNUMBER($H195),N($H195)&gt;0),$H195,SUMIFS($H$5:$H$1000,$S$5:$S$1000,$S195,$V$5:$V$1000,"Macro")/COUNTIFS($S$5:$S$1000,$S195,$V$5:$V$1000,"Macro",$H$5:$H$1000,"&gt;0"))/(COUNTIFS($S$5:$S$1000,$S195,$V$5:$V$1000,"Macro")*SUMIFS($H$5:$H$1000,$S$5:$S$1000,$S195,$V$5:$V$1000,"Macro")/COUNTIFS($S$5:$S$1000,$S195,$V$5:$V$1000,"Macro",$H$5:$H$1000,"&gt;0"))))</f>
        <v/>
      </c>
      <c r="AH195" s="62" t="n"/>
      <c r="AI195" s="62" t="n"/>
      <c r="AJ195" s="62" t="n"/>
      <c r="AK195" s="62" t="n"/>
      <c r="AL195" s="62">
        <f>IF(LEFT($C195,11)="[Jefatura] ",IFERROR(MATCH("Riesgo Financiero|"&amp;MID($C195,12,500),rDname_ADM,0),0),"")</f>
        <v/>
      </c>
      <c r="AM195" s="62">
        <f>IF(N($AL195)&gt;0,INDEX(rIni_ADM,$AL195),IF(ISNUMBER($E195),$E195,""))</f>
        <v/>
      </c>
      <c r="AN195" s="62">
        <f>IF(N($AL195)&gt;0,INDEX(rLim_ADM,$AL195),IF(ISNUMBER($F195),$F195,""))</f>
        <v/>
      </c>
    </row>
    <row r="196">
      <c r="A196" s="56">
        <f>IF(NOT((COUNTA($B196:$D196)+COUNTA($G196:$L196)+COUNTA($Q196))&gt;0),"",IF($V196="Macro",COUNTIFS($V$5:$V196,"Macro",$S$5:$S196,$S196),IF(N($U196)=0,"?",COUNTIFS(INDEX($V$5:$V$1000,1):INDEX($V$5:$V$1000,$U196-4),"Macro",INDEX($S$5:$S$1000,1):INDEX($S$5:$S$1000,$U196-4),INDEX($S$5:$S$1000,$U196-4))&amp;"."&amp;COUNTIFS($U$5:$U196,$U196,$V$5:$V196,"Sub"))))</f>
        <v/>
      </c>
      <c r="B196" s="57" t="n"/>
      <c r="C196" s="58" t="n"/>
      <c r="D196" s="58" t="n"/>
      <c r="E196" s="59">
        <f>IF(N($AL196)&gt;0,INDEX(rIni_ADM,$AL196),"")</f>
        <v/>
      </c>
      <c r="F196" s="59">
        <f>IF(N($AL196)&gt;0,INDEX(rLim_ADM,$AL196),"")</f>
        <v/>
      </c>
      <c r="G196" s="59" t="n"/>
      <c r="H196" s="60" t="n"/>
      <c r="I196" s="60" t="n"/>
      <c r="J196" s="60" t="n"/>
      <c r="K196" s="60" t="n"/>
      <c r="L196" s="60" t="n"/>
      <c r="M196" s="61">
        <f>IF(NOT((COUNTA($B196:$D196)+COUNTA($G196:$L196)+COUNTA($Q196))&gt;0),"",IF($V196="Sub",IFERROR($X196/INDEX($W$5:$W$1000,$U196-4),""),IF(ISNUMBER($G196),1,IF(N($W196)&gt;0,AVERAGEIFS($X$5:$X$1000,$U$5:$U$1000,ROW(),$V$5:$V$1000,"Sub"),$X196))))</f>
        <v/>
      </c>
      <c r="N196" s="56">
        <f>IF(OR($M196="",$V196="Sub"),"",IF($M196&gt;=1,"Completado",IF($M196&gt;0,"En curso","Pendiente")))</f>
        <v/>
      </c>
      <c r="O196" s="56">
        <f>IF(OR(NOT((COUNTA($B196:$D196)+COUNTA($G196:$L196)+COUNTA($Q196))&gt;0),$V196="Sub"),"",IF(ISNUMBER($G196),IF(AND(ISNUMBER($AN196),$G196&gt;$AN196),"Cumplida con "&amp;($G196-$AN196)&amp;IF($G196-$AN196=1," día"," días")&amp;" de retraso","Cumplida"),IF(N($M196)&gt;=1,"Cumplida",IF(NOT(ISNUMBER($AN196)),"Sin fecha límite",IF($AN196&lt;FechaRef,"Vencida hace "&amp;(FechaRef-$AN196)&amp;IF(FechaRef-$AN196=1," día"," días"),IF($AN196=FechaRef,"Vence hoy",IF($AN196-FechaRef&lt;=DiasAlerta,"Vence en "&amp;($AN196-FechaRef)&amp;IF($AN196-FechaRef=1," día"," días"),"En plazo")))))))</f>
        <v/>
      </c>
      <c r="P196" s="62" t="n"/>
      <c r="Q196" s="58" t="n"/>
      <c r="R196" s="63">
        <f>IF(NOT((COUNTA($B196:$D196)+COUNTA($G196:$L196)+COUNTA($Q196))&gt;0),"",IF((IF($C196="","Falta el nombre de la actividad"&amp;" · ","")&amp;IF(AND($V196="Sub",N($U196)=0),"Subactividad sin macroactividad arriba"&amp;" · ","")&amp;IF($AM196="","Sin fecha de inicio"&amp;" · ","")&amp;IF($AN196="","Sin fecha límite"&amp;" · ","")&amp;IF(AND(LEFT($C196,11)="[Jefatura] ",N($AL196)=0),"No se encuentra en la hoja de la jefatura (elíjala de nuevo en la lista)"&amp;" · ","")&amp;IF(OR(AND($E196&lt;&gt;"",NOT(ISNUMBER($E196))),AND($F196&lt;&gt;"",NOT(ISNUMBER($F196))),AND($G196&lt;&gt;"",NOT(ISNUMBER($G196)))),"Fecha no válida"&amp;" · ","")&amp;IF(AND(ISNUMBER($AM196),ISNUMBER($AN196),$AM196&gt;$AN196),"Inicio posterior a fecha límite"&amp;" · ","")&amp;IF(AND($V196="Macro",$H196&lt;&gt;"",OR(NOT(ISNUMBER($H196)),$H196&lt;0,$H196&gt;1)),"Peso fuera de rango"&amp;" · ","")&amp;IF(AND($V196="Sub",$H196&lt;&gt;""),"Las subactividades no llevan peso (valen igual dentro de su macroactividad)"&amp;" · ","")&amp;IF(AND(N($W196)&gt;0,COUNT($I196:$L196)&gt;0),"Con subactividades: deje vacías las semanas (se calculan solas)"&amp;" · ","")&amp;IF((COUNTIF($I196:$L196,"&gt;1")+COUNTIF($I196:$L196,"&lt;0")+COUNTA($I196:$L196)-COUNT($I196:$L196))&gt;0,"Avance fuera de rango 0-100%"&amp;" · ","")&amp;IF(OR(AND($J196&lt;&gt;"",$J196&lt;$I196),AND($K196&lt;&gt;"",$K196&lt;MAX($I196:$J196)),AND($L196&lt;&gt;"",$L196&lt;MAX($I196:$K196))),"Avance semanal decreciente"&amp;" · ","")&amp;IF(AND(ISNUMBER($AN196),$AN196&lt;FechaRef,IF($V196="Sub",N($X196),N($M196))&lt;1),"Vencida"&amp;" · ","")&amp;IF(AND(ObsObligatoria="Sí",ISNUMBER($AN196),$AN196&lt;FechaRef,IF($V196="Sub",N($X196),N($M196))&lt;1,$Q196=""),"Vencida sin observación"&amp;" · ",""))="","✔ OK","⚠ "&amp;LEFT(IF($C196="","Falta el nombre de la actividad"&amp;" · ","")&amp;IF(AND($V196="Sub",N($U196)=0),"Subactividad sin macroactividad arriba"&amp;" · ","")&amp;IF($AM196="","Sin fecha de inicio"&amp;" · ","")&amp;IF($AN196="","Sin fecha límite"&amp;" · ","")&amp;IF(AND(LEFT($C196,11)="[Jefatura] ",N($AL196)=0),"No se encuentra en la hoja de la jefatura (elíjala de nuevo en la lista)"&amp;" · ","")&amp;IF(OR(AND($E196&lt;&gt;"",NOT(ISNUMBER($E196))),AND($F196&lt;&gt;"",NOT(ISNUMBER($F196))),AND($G196&lt;&gt;"",NOT(ISNUMBER($G196)))),"Fecha no válida"&amp;" · ","")&amp;IF(AND(ISNUMBER($AM196),ISNUMBER($AN196),$AM196&gt;$AN196),"Inicio posterior a fecha límite"&amp;" · ","")&amp;IF(AND($V196="Macro",$H196&lt;&gt;"",OR(NOT(ISNUMBER($H196)),$H196&lt;0,$H196&gt;1)),"Peso fuera de rango"&amp;" · ","")&amp;IF(AND($V196="Sub",$H196&lt;&gt;""),"Las subactividades no llevan peso (valen igual dentro de su macroactividad)"&amp;" · ","")&amp;IF(AND(N($W196)&gt;0,COUNT($I196:$L196)&gt;0),"Con subactividades: deje vacías las semanas (se calculan solas)"&amp;" · ","")&amp;IF((COUNTIF($I196:$L196,"&gt;1")+COUNTIF($I196:$L196,"&lt;0")+COUNTA($I196:$L196)-COUNT($I196:$L196))&gt;0,"Avance fuera de rango 0-100%"&amp;" · ","")&amp;IF(OR(AND($J196&lt;&gt;"",$J196&lt;$I196),AND($K196&lt;&gt;"",$K196&lt;MAX($I196:$J196)),AND($L196&lt;&gt;"",$L196&lt;MAX($I196:$K196))),"Avance semanal decreciente"&amp;" · ","")&amp;IF(AND(ISNUMBER($AN196),$AN196&lt;FechaRef,IF($V196="Sub",N($X196),N($M196))&lt;1),"Vencida"&amp;" · ","")&amp;IF(AND(ObsObligatoria="Sí",ISNUMBER($AN196),$AN196&lt;FechaRef,IF($V196="Sub",N($X196),N($M196))&lt;1,$Q196=""),"Vencida sin observación"&amp;" · ",""),LEN(IF($C196="","Falta el nombre de la actividad"&amp;" · ","")&amp;IF(AND($V196="Sub",N($U196)=0),"Subactividad sin macroactividad arriba"&amp;" · ","")&amp;IF($AM196="","Sin fecha de inicio"&amp;" · ","")&amp;IF($AN196="","Sin fecha límite"&amp;" · ","")&amp;IF(AND(LEFT($C196,11)="[Jefatura] ",N($AL196)=0),"No se encuentra en la hoja de la jefatura (elíjala de nuevo en la lista)"&amp;" · ","")&amp;IF(OR(AND($E196&lt;&gt;"",NOT(ISNUMBER($E196))),AND($F196&lt;&gt;"",NOT(ISNUMBER($F196))),AND($G196&lt;&gt;"",NOT(ISNUMBER($G196)))),"Fecha no válida"&amp;" · ","")&amp;IF(AND(ISNUMBER($AM196),ISNUMBER($AN196),$AM196&gt;$AN196),"Inicio posterior a fecha límite"&amp;" · ","")&amp;IF(AND($V196="Macro",$H196&lt;&gt;"",OR(NOT(ISNUMBER($H196)),$H196&lt;0,$H196&gt;1)),"Peso fuera de rango"&amp;" · ","")&amp;IF(AND($V196="Sub",$H196&lt;&gt;""),"Las subactividades no llevan peso (valen igual dentro de su macroactividad)"&amp;" · ","")&amp;IF(AND(N($W196)&gt;0,COUNT($I196:$L196)&gt;0),"Con subactividades: deje vacías las semanas (se calculan solas)"&amp;" · ","")&amp;IF((COUNTIF($I196:$L196,"&gt;1")+COUNTIF($I196:$L196,"&lt;0")+COUNTA($I196:$L196)-COUNT($I196:$L196))&gt;0,"Avance fuera de rango 0-100%"&amp;" · ","")&amp;IF(OR(AND($J196&lt;&gt;"",$J196&lt;$I196),AND($K196&lt;&gt;"",$K196&lt;MAX($I196:$J196)),AND($L196&lt;&gt;"",$L196&lt;MAX($I196:$K196))),"Avance semanal decreciente"&amp;" · ","")&amp;IF(AND(ISNUMBER($AN196),$AN196&lt;FechaRef,IF($V196="Sub",N($X196),N($M196))&lt;1),"Vencida"&amp;" · ","")&amp;IF(AND(ObsObligatoria="Sí",ISNUMBER($AN196),$AN196&lt;FechaRef,IF($V196="Sub",N($X196),N($M196))&lt;1,$Q196=""),"Vencida sin observación"&amp;" · ",""))-3)))</f>
        <v/>
      </c>
      <c r="S196" s="64">
        <f>IF(NOT((COUNTA($B196:$D196)+COUNTA($G196:$L196)+COUNTA($Q196))&gt;0),"",IF(AND($V196="Sub",N($U196)&gt;0),IF(ISNUMBER(INDEX($AM$5:$AM$1000,$U196-4)),DATE(YEAR(INDEX($AM$5:$AM$1000,$U196-4)),MONTH(INDEX($AM$5:$AM$1000,$U196-4)),1),IF(ISNUMBER(INDEX($AN$5:$AN$1000,$U196-4)),DATE(YEAR(INDEX($AN$5:$AN$1000,$U196-4)),MONTH(INDEX($AN$5:$AN$1000,$U196-4)),1),MesCiclo)),IF(ISNUMBER($AM196),DATE(YEAR($AM196),MONTH($AM196),1),IF(ISNUMBER($AN196),DATE(YEAR($AN196),MONTH($AN196),1),MesCiclo))))</f>
        <v/>
      </c>
      <c r="T196" s="62">
        <f>IF(OR($S196="",$S196&lt;&gt;MesCiclo,$V196&lt;&gt;"Macro"),"",COUNTIFS($S$5:$S196,MesCiclo,$V$5:$V196,"Macro"))</f>
        <v/>
      </c>
      <c r="U196" s="62">
        <f>IF($V196="","",IF($V196="Macro",ROW(),IFERROR(LOOKUP(2,1/($V$5:$V196="Macro"),ROW($V$5:$V196)),0)))</f>
        <v/>
      </c>
      <c r="V196" s="62">
        <f>IF(NOT((COUNTA($B196:$D196)+COUNTA($G196:$L196)+COUNTA($Q196))&gt;0),"",IF($B196="Subactividad","Sub","Macro"))</f>
        <v/>
      </c>
      <c r="W196" s="62">
        <f>IF($V196="Macro",COUNTIFS($U$5:$U$1000,ROW(),$V$5:$V$1000,"Sub"),"")</f>
        <v/>
      </c>
      <c r="X196" s="62">
        <f>IF($V196="","",IF(ISNUMBER($G196),1,IFERROR(LOOKUP(2,1/($I196:$L196&lt;&gt;""),$I196:$L196),0)))</f>
        <v/>
      </c>
      <c r="Y196" s="62">
        <f>IF($V196="","",IF(AND(ISNUMBER($G196),$G196&lt;=IF($S196=MesCiclo,InicioCiclo,$S196+MOD(2-WEEKDAY($S196),7))+6),1,IF(ISNUMBER($I196),$I196,0)))</f>
        <v/>
      </c>
      <c r="Z196" s="62">
        <f>IF($V196="","",IF(AND(ISNUMBER($G196),$G196&lt;=IF($S196=MesCiclo,InicioCiclo,$S196+MOD(2-WEEKDAY($S196),7))+13),1,IF(ISNUMBER($J196),$J196,$Y196)))</f>
        <v/>
      </c>
      <c r="AA196" s="62">
        <f>IF($V196="","",IF(AND(ISNUMBER($G196),$G196&lt;=IF($S196=MesCiclo,InicioCiclo,$S196+MOD(2-WEEKDAY($S196),7))+20),1,IF(ISNUMBER($K196),$K196,$Z196)))</f>
        <v/>
      </c>
      <c r="AB196" s="62">
        <f>IF($V196="","",IF(AND(ISNUMBER($G196),$G196&lt;=IF($S196=MesCiclo,InicioCiclo,$S196+MOD(2-WEEKDAY($S196),7))+27),1,IF(ISNUMBER($L196),$L196,$AA196)))</f>
        <v/>
      </c>
      <c r="AC196" s="62">
        <f>IF($V196="","",IF(AND(ISNUMBER($G196),$G196&lt;=IF($S196=MesCiclo,InicioCiclo,$S196+MOD(2-WEEKDAY($S196),7))+6),1,IF(N($W196)&gt;0,AVERAGEIFS($Y$5:$Y$1000,$U$5:$U$1000,ROW(),$V$5:$V$1000,"Sub"),$Y196)))</f>
        <v/>
      </c>
      <c r="AD196" s="62">
        <f>IF($V196="","",IF(AND(ISNUMBER($G196),$G196&lt;=IF($S196=MesCiclo,InicioCiclo,$S196+MOD(2-WEEKDAY($S196),7))+13),1,IF(N($W196)&gt;0,AVERAGEIFS($Z$5:$Z$1000,$U$5:$U$1000,ROW(),$V$5:$V$1000,"Sub"),$Z196)))</f>
        <v/>
      </c>
      <c r="AE196" s="62">
        <f>IF($V196="","",IF(AND(ISNUMBER($G196),$G196&lt;=IF($S196=MesCiclo,InicioCiclo,$S196+MOD(2-WEEKDAY($S196),7))+20),1,IF(N($W196)&gt;0,AVERAGEIFS($AA$5:$AA$1000,$U$5:$U$1000,ROW(),$V$5:$V$1000,"Sub"),$AA196)))</f>
        <v/>
      </c>
      <c r="AF196" s="62">
        <f>IF($V196="","",IF(AND(ISNUMBER($G196),$G196&lt;=IF($S196=MesCiclo,InicioCiclo,$S196+MOD(2-WEEKDAY($S196),7))+27),1,IF(N($W196)&gt;0,AVERAGEIFS($AB$5:$AB$1000,$U$5:$U$1000,ROW(),$V$5:$V$1000,"Sub"),$AB196)))</f>
        <v/>
      </c>
      <c r="AG196" s="62">
        <f>IF($V196&lt;&gt;"Macro","",IF(COUNTIFS($S$5:$S$1000,$S196,$V$5:$V$1000,"Macro",$H$5:$H$1000,"&gt;0")=0,1/COUNTIFS($S$5:$S$1000,$S196,$V$5:$V$1000,"Macro"),IF(AND(ISNUMBER($H196),N($H196)&gt;0),$H196,SUMIFS($H$5:$H$1000,$S$5:$S$1000,$S196,$V$5:$V$1000,"Macro")/COUNTIFS($S$5:$S$1000,$S196,$V$5:$V$1000,"Macro",$H$5:$H$1000,"&gt;0"))/(COUNTIFS($S$5:$S$1000,$S196,$V$5:$V$1000,"Macro")*SUMIFS($H$5:$H$1000,$S$5:$S$1000,$S196,$V$5:$V$1000,"Macro")/COUNTIFS($S$5:$S$1000,$S196,$V$5:$V$1000,"Macro",$H$5:$H$1000,"&gt;0"))))</f>
        <v/>
      </c>
      <c r="AH196" s="62" t="n"/>
      <c r="AI196" s="62" t="n"/>
      <c r="AJ196" s="62" t="n"/>
      <c r="AK196" s="62" t="n"/>
      <c r="AL196" s="62">
        <f>IF(LEFT($C196,11)="[Jefatura] ",IFERROR(MATCH("Riesgo Financiero|"&amp;MID($C196,12,500),rDname_ADM,0),0),"")</f>
        <v/>
      </c>
      <c r="AM196" s="62">
        <f>IF(N($AL196)&gt;0,INDEX(rIni_ADM,$AL196),IF(ISNUMBER($E196),$E196,""))</f>
        <v/>
      </c>
      <c r="AN196" s="62">
        <f>IF(N($AL196)&gt;0,INDEX(rLim_ADM,$AL196),IF(ISNUMBER($F196),$F196,""))</f>
        <v/>
      </c>
    </row>
    <row r="197">
      <c r="A197" s="56">
        <f>IF(NOT((COUNTA($B197:$D197)+COUNTA($G197:$L197)+COUNTA($Q197))&gt;0),"",IF($V197="Macro",COUNTIFS($V$5:$V197,"Macro",$S$5:$S197,$S197),IF(N($U197)=0,"?",COUNTIFS(INDEX($V$5:$V$1000,1):INDEX($V$5:$V$1000,$U197-4),"Macro",INDEX($S$5:$S$1000,1):INDEX($S$5:$S$1000,$U197-4),INDEX($S$5:$S$1000,$U197-4))&amp;"."&amp;COUNTIFS($U$5:$U197,$U197,$V$5:$V197,"Sub"))))</f>
        <v/>
      </c>
      <c r="B197" s="57" t="n"/>
      <c r="C197" s="58" t="n"/>
      <c r="D197" s="58" t="n"/>
      <c r="E197" s="59">
        <f>IF(N($AL197)&gt;0,INDEX(rIni_ADM,$AL197),"")</f>
        <v/>
      </c>
      <c r="F197" s="59">
        <f>IF(N($AL197)&gt;0,INDEX(rLim_ADM,$AL197),"")</f>
        <v/>
      </c>
      <c r="G197" s="59" t="n"/>
      <c r="H197" s="60" t="n"/>
      <c r="I197" s="60" t="n"/>
      <c r="J197" s="60" t="n"/>
      <c r="K197" s="60" t="n"/>
      <c r="L197" s="60" t="n"/>
      <c r="M197" s="61">
        <f>IF(NOT((COUNTA($B197:$D197)+COUNTA($G197:$L197)+COUNTA($Q197))&gt;0),"",IF($V197="Sub",IFERROR($X197/INDEX($W$5:$W$1000,$U197-4),""),IF(ISNUMBER($G197),1,IF(N($W197)&gt;0,AVERAGEIFS($X$5:$X$1000,$U$5:$U$1000,ROW(),$V$5:$V$1000,"Sub"),$X197))))</f>
        <v/>
      </c>
      <c r="N197" s="56">
        <f>IF(OR($M197="",$V197="Sub"),"",IF($M197&gt;=1,"Completado",IF($M197&gt;0,"En curso","Pendiente")))</f>
        <v/>
      </c>
      <c r="O197" s="56">
        <f>IF(OR(NOT((COUNTA($B197:$D197)+COUNTA($G197:$L197)+COUNTA($Q197))&gt;0),$V197="Sub"),"",IF(ISNUMBER($G197),IF(AND(ISNUMBER($AN197),$G197&gt;$AN197),"Cumplida con "&amp;($G197-$AN197)&amp;IF($G197-$AN197=1," día"," días")&amp;" de retraso","Cumplida"),IF(N($M197)&gt;=1,"Cumplida",IF(NOT(ISNUMBER($AN197)),"Sin fecha límite",IF($AN197&lt;FechaRef,"Vencida hace "&amp;(FechaRef-$AN197)&amp;IF(FechaRef-$AN197=1," día"," días"),IF($AN197=FechaRef,"Vence hoy",IF($AN197-FechaRef&lt;=DiasAlerta,"Vence en "&amp;($AN197-FechaRef)&amp;IF($AN197-FechaRef=1," día"," días"),"En plazo")))))))</f>
        <v/>
      </c>
      <c r="P197" s="62" t="n"/>
      <c r="Q197" s="58" t="n"/>
      <c r="R197" s="63">
        <f>IF(NOT((COUNTA($B197:$D197)+COUNTA($G197:$L197)+COUNTA($Q197))&gt;0),"",IF((IF($C197="","Falta el nombre de la actividad"&amp;" · ","")&amp;IF(AND($V197="Sub",N($U197)=0),"Subactividad sin macroactividad arriba"&amp;" · ","")&amp;IF($AM197="","Sin fecha de inicio"&amp;" · ","")&amp;IF($AN197="","Sin fecha límite"&amp;" · ","")&amp;IF(AND(LEFT($C197,11)="[Jefatura] ",N($AL197)=0),"No se encuentra en la hoja de la jefatura (elíjala de nuevo en la lista)"&amp;" · ","")&amp;IF(OR(AND($E197&lt;&gt;"",NOT(ISNUMBER($E197))),AND($F197&lt;&gt;"",NOT(ISNUMBER($F197))),AND($G197&lt;&gt;"",NOT(ISNUMBER($G197)))),"Fecha no válida"&amp;" · ","")&amp;IF(AND(ISNUMBER($AM197),ISNUMBER($AN197),$AM197&gt;$AN197),"Inicio posterior a fecha límite"&amp;" · ","")&amp;IF(AND($V197="Macro",$H197&lt;&gt;"",OR(NOT(ISNUMBER($H197)),$H197&lt;0,$H197&gt;1)),"Peso fuera de rango"&amp;" · ","")&amp;IF(AND($V197="Sub",$H197&lt;&gt;""),"Las subactividades no llevan peso (valen igual dentro de su macroactividad)"&amp;" · ","")&amp;IF(AND(N($W197)&gt;0,COUNT($I197:$L197)&gt;0),"Con subactividades: deje vacías las semanas (se calculan solas)"&amp;" · ","")&amp;IF((COUNTIF($I197:$L197,"&gt;1")+COUNTIF($I197:$L197,"&lt;0")+COUNTA($I197:$L197)-COUNT($I197:$L197))&gt;0,"Avance fuera de rango 0-100%"&amp;" · ","")&amp;IF(OR(AND($J197&lt;&gt;"",$J197&lt;$I197),AND($K197&lt;&gt;"",$K197&lt;MAX($I197:$J197)),AND($L197&lt;&gt;"",$L197&lt;MAX($I197:$K197))),"Avance semanal decreciente"&amp;" · ","")&amp;IF(AND(ISNUMBER($AN197),$AN197&lt;FechaRef,IF($V197="Sub",N($X197),N($M197))&lt;1),"Vencida"&amp;" · ","")&amp;IF(AND(ObsObligatoria="Sí",ISNUMBER($AN197),$AN197&lt;FechaRef,IF($V197="Sub",N($X197),N($M197))&lt;1,$Q197=""),"Vencida sin observación"&amp;" · ",""))="","✔ OK","⚠ "&amp;LEFT(IF($C197="","Falta el nombre de la actividad"&amp;" · ","")&amp;IF(AND($V197="Sub",N($U197)=0),"Subactividad sin macroactividad arriba"&amp;" · ","")&amp;IF($AM197="","Sin fecha de inicio"&amp;" · ","")&amp;IF($AN197="","Sin fecha límite"&amp;" · ","")&amp;IF(AND(LEFT($C197,11)="[Jefatura] ",N($AL197)=0),"No se encuentra en la hoja de la jefatura (elíjala de nuevo en la lista)"&amp;" · ","")&amp;IF(OR(AND($E197&lt;&gt;"",NOT(ISNUMBER($E197))),AND($F197&lt;&gt;"",NOT(ISNUMBER($F197))),AND($G197&lt;&gt;"",NOT(ISNUMBER($G197)))),"Fecha no válida"&amp;" · ","")&amp;IF(AND(ISNUMBER($AM197),ISNUMBER($AN197),$AM197&gt;$AN197),"Inicio posterior a fecha límite"&amp;" · ","")&amp;IF(AND($V197="Macro",$H197&lt;&gt;"",OR(NOT(ISNUMBER($H197)),$H197&lt;0,$H197&gt;1)),"Peso fuera de rango"&amp;" · ","")&amp;IF(AND($V197="Sub",$H197&lt;&gt;""),"Las subactividades no llevan peso (valen igual dentro de su macroactividad)"&amp;" · ","")&amp;IF(AND(N($W197)&gt;0,COUNT($I197:$L197)&gt;0),"Con subactividades: deje vacías las semanas (se calculan solas)"&amp;" · ","")&amp;IF((COUNTIF($I197:$L197,"&gt;1")+COUNTIF($I197:$L197,"&lt;0")+COUNTA($I197:$L197)-COUNT($I197:$L197))&gt;0,"Avance fuera de rango 0-100%"&amp;" · ","")&amp;IF(OR(AND($J197&lt;&gt;"",$J197&lt;$I197),AND($K197&lt;&gt;"",$K197&lt;MAX($I197:$J197)),AND($L197&lt;&gt;"",$L197&lt;MAX($I197:$K197))),"Avance semanal decreciente"&amp;" · ","")&amp;IF(AND(ISNUMBER($AN197),$AN197&lt;FechaRef,IF($V197="Sub",N($X197),N($M197))&lt;1),"Vencida"&amp;" · ","")&amp;IF(AND(ObsObligatoria="Sí",ISNUMBER($AN197),$AN197&lt;FechaRef,IF($V197="Sub",N($X197),N($M197))&lt;1,$Q197=""),"Vencida sin observación"&amp;" · ",""),LEN(IF($C197="","Falta el nombre de la actividad"&amp;" · ","")&amp;IF(AND($V197="Sub",N($U197)=0),"Subactividad sin macroactividad arriba"&amp;" · ","")&amp;IF($AM197="","Sin fecha de inicio"&amp;" · ","")&amp;IF($AN197="","Sin fecha límite"&amp;" · ","")&amp;IF(AND(LEFT($C197,11)="[Jefatura] ",N($AL197)=0),"No se encuentra en la hoja de la jefatura (elíjala de nuevo en la lista)"&amp;" · ","")&amp;IF(OR(AND($E197&lt;&gt;"",NOT(ISNUMBER($E197))),AND($F197&lt;&gt;"",NOT(ISNUMBER($F197))),AND($G197&lt;&gt;"",NOT(ISNUMBER($G197)))),"Fecha no válida"&amp;" · ","")&amp;IF(AND(ISNUMBER($AM197),ISNUMBER($AN197),$AM197&gt;$AN197),"Inicio posterior a fecha límite"&amp;" · ","")&amp;IF(AND($V197="Macro",$H197&lt;&gt;"",OR(NOT(ISNUMBER($H197)),$H197&lt;0,$H197&gt;1)),"Peso fuera de rango"&amp;" · ","")&amp;IF(AND($V197="Sub",$H197&lt;&gt;""),"Las subactividades no llevan peso (valen igual dentro de su macroactividad)"&amp;" · ","")&amp;IF(AND(N($W197)&gt;0,COUNT($I197:$L197)&gt;0),"Con subactividades: deje vacías las semanas (se calculan solas)"&amp;" · ","")&amp;IF((COUNTIF($I197:$L197,"&gt;1")+COUNTIF($I197:$L197,"&lt;0")+COUNTA($I197:$L197)-COUNT($I197:$L197))&gt;0,"Avance fuera de rango 0-100%"&amp;" · ","")&amp;IF(OR(AND($J197&lt;&gt;"",$J197&lt;$I197),AND($K197&lt;&gt;"",$K197&lt;MAX($I197:$J197)),AND($L197&lt;&gt;"",$L197&lt;MAX($I197:$K197))),"Avance semanal decreciente"&amp;" · ","")&amp;IF(AND(ISNUMBER($AN197),$AN197&lt;FechaRef,IF($V197="Sub",N($X197),N($M197))&lt;1),"Vencida"&amp;" · ","")&amp;IF(AND(ObsObligatoria="Sí",ISNUMBER($AN197),$AN197&lt;FechaRef,IF($V197="Sub",N($X197),N($M197))&lt;1,$Q197=""),"Vencida sin observación"&amp;" · ",""))-3)))</f>
        <v/>
      </c>
      <c r="S197" s="64">
        <f>IF(NOT((COUNTA($B197:$D197)+COUNTA($G197:$L197)+COUNTA($Q197))&gt;0),"",IF(AND($V197="Sub",N($U197)&gt;0),IF(ISNUMBER(INDEX($AM$5:$AM$1000,$U197-4)),DATE(YEAR(INDEX($AM$5:$AM$1000,$U197-4)),MONTH(INDEX($AM$5:$AM$1000,$U197-4)),1),IF(ISNUMBER(INDEX($AN$5:$AN$1000,$U197-4)),DATE(YEAR(INDEX($AN$5:$AN$1000,$U197-4)),MONTH(INDEX($AN$5:$AN$1000,$U197-4)),1),MesCiclo)),IF(ISNUMBER($AM197),DATE(YEAR($AM197),MONTH($AM197),1),IF(ISNUMBER($AN197),DATE(YEAR($AN197),MONTH($AN197),1),MesCiclo))))</f>
        <v/>
      </c>
      <c r="T197" s="62">
        <f>IF(OR($S197="",$S197&lt;&gt;MesCiclo,$V197&lt;&gt;"Macro"),"",COUNTIFS($S$5:$S197,MesCiclo,$V$5:$V197,"Macro"))</f>
        <v/>
      </c>
      <c r="U197" s="62">
        <f>IF($V197="","",IF($V197="Macro",ROW(),IFERROR(LOOKUP(2,1/($V$5:$V197="Macro"),ROW($V$5:$V197)),0)))</f>
        <v/>
      </c>
      <c r="V197" s="62">
        <f>IF(NOT((COUNTA($B197:$D197)+COUNTA($G197:$L197)+COUNTA($Q197))&gt;0),"",IF($B197="Subactividad","Sub","Macro"))</f>
        <v/>
      </c>
      <c r="W197" s="62">
        <f>IF($V197="Macro",COUNTIFS($U$5:$U$1000,ROW(),$V$5:$V$1000,"Sub"),"")</f>
        <v/>
      </c>
      <c r="X197" s="62">
        <f>IF($V197="","",IF(ISNUMBER($G197),1,IFERROR(LOOKUP(2,1/($I197:$L197&lt;&gt;""),$I197:$L197),0)))</f>
        <v/>
      </c>
      <c r="Y197" s="62">
        <f>IF($V197="","",IF(AND(ISNUMBER($G197),$G197&lt;=IF($S197=MesCiclo,InicioCiclo,$S197+MOD(2-WEEKDAY($S197),7))+6),1,IF(ISNUMBER($I197),$I197,0)))</f>
        <v/>
      </c>
      <c r="Z197" s="62">
        <f>IF($V197="","",IF(AND(ISNUMBER($G197),$G197&lt;=IF($S197=MesCiclo,InicioCiclo,$S197+MOD(2-WEEKDAY($S197),7))+13),1,IF(ISNUMBER($J197),$J197,$Y197)))</f>
        <v/>
      </c>
      <c r="AA197" s="62">
        <f>IF($V197="","",IF(AND(ISNUMBER($G197),$G197&lt;=IF($S197=MesCiclo,InicioCiclo,$S197+MOD(2-WEEKDAY($S197),7))+20),1,IF(ISNUMBER($K197),$K197,$Z197)))</f>
        <v/>
      </c>
      <c r="AB197" s="62">
        <f>IF($V197="","",IF(AND(ISNUMBER($G197),$G197&lt;=IF($S197=MesCiclo,InicioCiclo,$S197+MOD(2-WEEKDAY($S197),7))+27),1,IF(ISNUMBER($L197),$L197,$AA197)))</f>
        <v/>
      </c>
      <c r="AC197" s="62">
        <f>IF($V197="","",IF(AND(ISNUMBER($G197),$G197&lt;=IF($S197=MesCiclo,InicioCiclo,$S197+MOD(2-WEEKDAY($S197),7))+6),1,IF(N($W197)&gt;0,AVERAGEIFS($Y$5:$Y$1000,$U$5:$U$1000,ROW(),$V$5:$V$1000,"Sub"),$Y197)))</f>
        <v/>
      </c>
      <c r="AD197" s="62">
        <f>IF($V197="","",IF(AND(ISNUMBER($G197),$G197&lt;=IF($S197=MesCiclo,InicioCiclo,$S197+MOD(2-WEEKDAY($S197),7))+13),1,IF(N($W197)&gt;0,AVERAGEIFS($Z$5:$Z$1000,$U$5:$U$1000,ROW(),$V$5:$V$1000,"Sub"),$Z197)))</f>
        <v/>
      </c>
      <c r="AE197" s="62">
        <f>IF($V197="","",IF(AND(ISNUMBER($G197),$G197&lt;=IF($S197=MesCiclo,InicioCiclo,$S197+MOD(2-WEEKDAY($S197),7))+20),1,IF(N($W197)&gt;0,AVERAGEIFS($AA$5:$AA$1000,$U$5:$U$1000,ROW(),$V$5:$V$1000,"Sub"),$AA197)))</f>
        <v/>
      </c>
      <c r="AF197" s="62">
        <f>IF($V197="","",IF(AND(ISNUMBER($G197),$G197&lt;=IF($S197=MesCiclo,InicioCiclo,$S197+MOD(2-WEEKDAY($S197),7))+27),1,IF(N($W197)&gt;0,AVERAGEIFS($AB$5:$AB$1000,$U$5:$U$1000,ROW(),$V$5:$V$1000,"Sub"),$AB197)))</f>
        <v/>
      </c>
      <c r="AG197" s="62">
        <f>IF($V197&lt;&gt;"Macro","",IF(COUNTIFS($S$5:$S$1000,$S197,$V$5:$V$1000,"Macro",$H$5:$H$1000,"&gt;0")=0,1/COUNTIFS($S$5:$S$1000,$S197,$V$5:$V$1000,"Macro"),IF(AND(ISNUMBER($H197),N($H197)&gt;0),$H197,SUMIFS($H$5:$H$1000,$S$5:$S$1000,$S197,$V$5:$V$1000,"Macro")/COUNTIFS($S$5:$S$1000,$S197,$V$5:$V$1000,"Macro",$H$5:$H$1000,"&gt;0"))/(COUNTIFS($S$5:$S$1000,$S197,$V$5:$V$1000,"Macro")*SUMIFS($H$5:$H$1000,$S$5:$S$1000,$S197,$V$5:$V$1000,"Macro")/COUNTIFS($S$5:$S$1000,$S197,$V$5:$V$1000,"Macro",$H$5:$H$1000,"&gt;0"))))</f>
        <v/>
      </c>
      <c r="AH197" s="62" t="n"/>
      <c r="AI197" s="62" t="n"/>
      <c r="AJ197" s="62" t="n"/>
      <c r="AK197" s="62" t="n"/>
      <c r="AL197" s="62">
        <f>IF(LEFT($C197,11)="[Jefatura] ",IFERROR(MATCH("Riesgo Financiero|"&amp;MID($C197,12,500),rDname_ADM,0),0),"")</f>
        <v/>
      </c>
      <c r="AM197" s="62">
        <f>IF(N($AL197)&gt;0,INDEX(rIni_ADM,$AL197),IF(ISNUMBER($E197),$E197,""))</f>
        <v/>
      </c>
      <c r="AN197" s="62">
        <f>IF(N($AL197)&gt;0,INDEX(rLim_ADM,$AL197),IF(ISNUMBER($F197),$F197,""))</f>
        <v/>
      </c>
    </row>
    <row r="198">
      <c r="A198" s="56">
        <f>IF(NOT((COUNTA($B198:$D198)+COUNTA($G198:$L198)+COUNTA($Q198))&gt;0),"",IF($V198="Macro",COUNTIFS($V$5:$V198,"Macro",$S$5:$S198,$S198),IF(N($U198)=0,"?",COUNTIFS(INDEX($V$5:$V$1000,1):INDEX($V$5:$V$1000,$U198-4),"Macro",INDEX($S$5:$S$1000,1):INDEX($S$5:$S$1000,$U198-4),INDEX($S$5:$S$1000,$U198-4))&amp;"."&amp;COUNTIFS($U$5:$U198,$U198,$V$5:$V198,"Sub"))))</f>
        <v/>
      </c>
      <c r="B198" s="57" t="n"/>
      <c r="C198" s="58" t="n"/>
      <c r="D198" s="58" t="n"/>
      <c r="E198" s="59">
        <f>IF(N($AL198)&gt;0,INDEX(rIni_ADM,$AL198),"")</f>
        <v/>
      </c>
      <c r="F198" s="59">
        <f>IF(N($AL198)&gt;0,INDEX(rLim_ADM,$AL198),"")</f>
        <v/>
      </c>
      <c r="G198" s="59" t="n"/>
      <c r="H198" s="60" t="n"/>
      <c r="I198" s="60" t="n"/>
      <c r="J198" s="60" t="n"/>
      <c r="K198" s="60" t="n"/>
      <c r="L198" s="60" t="n"/>
      <c r="M198" s="61">
        <f>IF(NOT((COUNTA($B198:$D198)+COUNTA($G198:$L198)+COUNTA($Q198))&gt;0),"",IF($V198="Sub",IFERROR($X198/INDEX($W$5:$W$1000,$U198-4),""),IF(ISNUMBER($G198),1,IF(N($W198)&gt;0,AVERAGEIFS($X$5:$X$1000,$U$5:$U$1000,ROW(),$V$5:$V$1000,"Sub"),$X198))))</f>
        <v/>
      </c>
      <c r="N198" s="56">
        <f>IF(OR($M198="",$V198="Sub"),"",IF($M198&gt;=1,"Completado",IF($M198&gt;0,"En curso","Pendiente")))</f>
        <v/>
      </c>
      <c r="O198" s="56">
        <f>IF(OR(NOT((COUNTA($B198:$D198)+COUNTA($G198:$L198)+COUNTA($Q198))&gt;0),$V198="Sub"),"",IF(ISNUMBER($G198),IF(AND(ISNUMBER($AN198),$G198&gt;$AN198),"Cumplida con "&amp;($G198-$AN198)&amp;IF($G198-$AN198=1," día"," días")&amp;" de retraso","Cumplida"),IF(N($M198)&gt;=1,"Cumplida",IF(NOT(ISNUMBER($AN198)),"Sin fecha límite",IF($AN198&lt;FechaRef,"Vencida hace "&amp;(FechaRef-$AN198)&amp;IF(FechaRef-$AN198=1," día"," días"),IF($AN198=FechaRef,"Vence hoy",IF($AN198-FechaRef&lt;=DiasAlerta,"Vence en "&amp;($AN198-FechaRef)&amp;IF($AN198-FechaRef=1," día"," días"),"En plazo")))))))</f>
        <v/>
      </c>
      <c r="P198" s="62" t="n"/>
      <c r="Q198" s="58" t="n"/>
      <c r="R198" s="63">
        <f>IF(NOT((COUNTA($B198:$D198)+COUNTA($G198:$L198)+COUNTA($Q198))&gt;0),"",IF((IF($C198="","Falta el nombre de la actividad"&amp;" · ","")&amp;IF(AND($V198="Sub",N($U198)=0),"Subactividad sin macroactividad arriba"&amp;" · ","")&amp;IF($AM198="","Sin fecha de inicio"&amp;" · ","")&amp;IF($AN198="","Sin fecha límite"&amp;" · ","")&amp;IF(AND(LEFT($C198,11)="[Jefatura] ",N($AL198)=0),"No se encuentra en la hoja de la jefatura (elíjala de nuevo en la lista)"&amp;" · ","")&amp;IF(OR(AND($E198&lt;&gt;"",NOT(ISNUMBER($E198))),AND($F198&lt;&gt;"",NOT(ISNUMBER($F198))),AND($G198&lt;&gt;"",NOT(ISNUMBER($G198)))),"Fecha no válida"&amp;" · ","")&amp;IF(AND(ISNUMBER($AM198),ISNUMBER($AN198),$AM198&gt;$AN198),"Inicio posterior a fecha límite"&amp;" · ","")&amp;IF(AND($V198="Macro",$H198&lt;&gt;"",OR(NOT(ISNUMBER($H198)),$H198&lt;0,$H198&gt;1)),"Peso fuera de rango"&amp;" · ","")&amp;IF(AND($V198="Sub",$H198&lt;&gt;""),"Las subactividades no llevan peso (valen igual dentro de su macroactividad)"&amp;" · ","")&amp;IF(AND(N($W198)&gt;0,COUNT($I198:$L198)&gt;0),"Con subactividades: deje vacías las semanas (se calculan solas)"&amp;" · ","")&amp;IF((COUNTIF($I198:$L198,"&gt;1")+COUNTIF($I198:$L198,"&lt;0")+COUNTA($I198:$L198)-COUNT($I198:$L198))&gt;0,"Avance fuera de rango 0-100%"&amp;" · ","")&amp;IF(OR(AND($J198&lt;&gt;"",$J198&lt;$I198),AND($K198&lt;&gt;"",$K198&lt;MAX($I198:$J198)),AND($L198&lt;&gt;"",$L198&lt;MAX($I198:$K198))),"Avance semanal decreciente"&amp;" · ","")&amp;IF(AND(ISNUMBER($AN198),$AN198&lt;FechaRef,IF($V198="Sub",N($X198),N($M198))&lt;1),"Vencida"&amp;" · ","")&amp;IF(AND(ObsObligatoria="Sí",ISNUMBER($AN198),$AN198&lt;FechaRef,IF($V198="Sub",N($X198),N($M198))&lt;1,$Q198=""),"Vencida sin observación"&amp;" · ",""))="","✔ OK","⚠ "&amp;LEFT(IF($C198="","Falta el nombre de la actividad"&amp;" · ","")&amp;IF(AND($V198="Sub",N($U198)=0),"Subactividad sin macroactividad arriba"&amp;" · ","")&amp;IF($AM198="","Sin fecha de inicio"&amp;" · ","")&amp;IF($AN198="","Sin fecha límite"&amp;" · ","")&amp;IF(AND(LEFT($C198,11)="[Jefatura] ",N($AL198)=0),"No se encuentra en la hoja de la jefatura (elíjala de nuevo en la lista)"&amp;" · ","")&amp;IF(OR(AND($E198&lt;&gt;"",NOT(ISNUMBER($E198))),AND($F198&lt;&gt;"",NOT(ISNUMBER($F198))),AND($G198&lt;&gt;"",NOT(ISNUMBER($G198)))),"Fecha no válida"&amp;" · ","")&amp;IF(AND(ISNUMBER($AM198),ISNUMBER($AN198),$AM198&gt;$AN198),"Inicio posterior a fecha límite"&amp;" · ","")&amp;IF(AND($V198="Macro",$H198&lt;&gt;"",OR(NOT(ISNUMBER($H198)),$H198&lt;0,$H198&gt;1)),"Peso fuera de rango"&amp;" · ","")&amp;IF(AND($V198="Sub",$H198&lt;&gt;""),"Las subactividades no llevan peso (valen igual dentro de su macroactividad)"&amp;" · ","")&amp;IF(AND(N($W198)&gt;0,COUNT($I198:$L198)&gt;0),"Con subactividades: deje vacías las semanas (se calculan solas)"&amp;" · ","")&amp;IF((COUNTIF($I198:$L198,"&gt;1")+COUNTIF($I198:$L198,"&lt;0")+COUNTA($I198:$L198)-COUNT($I198:$L198))&gt;0,"Avance fuera de rango 0-100%"&amp;" · ","")&amp;IF(OR(AND($J198&lt;&gt;"",$J198&lt;$I198),AND($K198&lt;&gt;"",$K198&lt;MAX($I198:$J198)),AND($L198&lt;&gt;"",$L198&lt;MAX($I198:$K198))),"Avance semanal decreciente"&amp;" · ","")&amp;IF(AND(ISNUMBER($AN198),$AN198&lt;FechaRef,IF($V198="Sub",N($X198),N($M198))&lt;1),"Vencida"&amp;" · ","")&amp;IF(AND(ObsObligatoria="Sí",ISNUMBER($AN198),$AN198&lt;FechaRef,IF($V198="Sub",N($X198),N($M198))&lt;1,$Q198=""),"Vencida sin observación"&amp;" · ",""),LEN(IF($C198="","Falta el nombre de la actividad"&amp;" · ","")&amp;IF(AND($V198="Sub",N($U198)=0),"Subactividad sin macroactividad arriba"&amp;" · ","")&amp;IF($AM198="","Sin fecha de inicio"&amp;" · ","")&amp;IF($AN198="","Sin fecha límite"&amp;" · ","")&amp;IF(AND(LEFT($C198,11)="[Jefatura] ",N($AL198)=0),"No se encuentra en la hoja de la jefatura (elíjala de nuevo en la lista)"&amp;" · ","")&amp;IF(OR(AND($E198&lt;&gt;"",NOT(ISNUMBER($E198))),AND($F198&lt;&gt;"",NOT(ISNUMBER($F198))),AND($G198&lt;&gt;"",NOT(ISNUMBER($G198)))),"Fecha no válida"&amp;" · ","")&amp;IF(AND(ISNUMBER($AM198),ISNUMBER($AN198),$AM198&gt;$AN198),"Inicio posterior a fecha límite"&amp;" · ","")&amp;IF(AND($V198="Macro",$H198&lt;&gt;"",OR(NOT(ISNUMBER($H198)),$H198&lt;0,$H198&gt;1)),"Peso fuera de rango"&amp;" · ","")&amp;IF(AND($V198="Sub",$H198&lt;&gt;""),"Las subactividades no llevan peso (valen igual dentro de su macroactividad)"&amp;" · ","")&amp;IF(AND(N($W198)&gt;0,COUNT($I198:$L198)&gt;0),"Con subactividades: deje vacías las semanas (se calculan solas)"&amp;" · ","")&amp;IF((COUNTIF($I198:$L198,"&gt;1")+COUNTIF($I198:$L198,"&lt;0")+COUNTA($I198:$L198)-COUNT($I198:$L198))&gt;0,"Avance fuera de rango 0-100%"&amp;" · ","")&amp;IF(OR(AND($J198&lt;&gt;"",$J198&lt;$I198),AND($K198&lt;&gt;"",$K198&lt;MAX($I198:$J198)),AND($L198&lt;&gt;"",$L198&lt;MAX($I198:$K198))),"Avance semanal decreciente"&amp;" · ","")&amp;IF(AND(ISNUMBER($AN198),$AN198&lt;FechaRef,IF($V198="Sub",N($X198),N($M198))&lt;1),"Vencida"&amp;" · ","")&amp;IF(AND(ObsObligatoria="Sí",ISNUMBER($AN198),$AN198&lt;FechaRef,IF($V198="Sub",N($X198),N($M198))&lt;1,$Q198=""),"Vencida sin observación"&amp;" · ",""))-3)))</f>
        <v/>
      </c>
      <c r="S198" s="64">
        <f>IF(NOT((COUNTA($B198:$D198)+COUNTA($G198:$L198)+COUNTA($Q198))&gt;0),"",IF(AND($V198="Sub",N($U198)&gt;0),IF(ISNUMBER(INDEX($AM$5:$AM$1000,$U198-4)),DATE(YEAR(INDEX($AM$5:$AM$1000,$U198-4)),MONTH(INDEX($AM$5:$AM$1000,$U198-4)),1),IF(ISNUMBER(INDEX($AN$5:$AN$1000,$U198-4)),DATE(YEAR(INDEX($AN$5:$AN$1000,$U198-4)),MONTH(INDEX($AN$5:$AN$1000,$U198-4)),1),MesCiclo)),IF(ISNUMBER($AM198),DATE(YEAR($AM198),MONTH($AM198),1),IF(ISNUMBER($AN198),DATE(YEAR($AN198),MONTH($AN198),1),MesCiclo))))</f>
        <v/>
      </c>
      <c r="T198" s="62">
        <f>IF(OR($S198="",$S198&lt;&gt;MesCiclo,$V198&lt;&gt;"Macro"),"",COUNTIFS($S$5:$S198,MesCiclo,$V$5:$V198,"Macro"))</f>
        <v/>
      </c>
      <c r="U198" s="62">
        <f>IF($V198="","",IF($V198="Macro",ROW(),IFERROR(LOOKUP(2,1/($V$5:$V198="Macro"),ROW($V$5:$V198)),0)))</f>
        <v/>
      </c>
      <c r="V198" s="62">
        <f>IF(NOT((COUNTA($B198:$D198)+COUNTA($G198:$L198)+COUNTA($Q198))&gt;0),"",IF($B198="Subactividad","Sub","Macro"))</f>
        <v/>
      </c>
      <c r="W198" s="62">
        <f>IF($V198="Macro",COUNTIFS($U$5:$U$1000,ROW(),$V$5:$V$1000,"Sub"),"")</f>
        <v/>
      </c>
      <c r="X198" s="62">
        <f>IF($V198="","",IF(ISNUMBER($G198),1,IFERROR(LOOKUP(2,1/($I198:$L198&lt;&gt;""),$I198:$L198),0)))</f>
        <v/>
      </c>
      <c r="Y198" s="62">
        <f>IF($V198="","",IF(AND(ISNUMBER($G198),$G198&lt;=IF($S198=MesCiclo,InicioCiclo,$S198+MOD(2-WEEKDAY($S198),7))+6),1,IF(ISNUMBER($I198),$I198,0)))</f>
        <v/>
      </c>
      <c r="Z198" s="62">
        <f>IF($V198="","",IF(AND(ISNUMBER($G198),$G198&lt;=IF($S198=MesCiclo,InicioCiclo,$S198+MOD(2-WEEKDAY($S198),7))+13),1,IF(ISNUMBER($J198),$J198,$Y198)))</f>
        <v/>
      </c>
      <c r="AA198" s="62">
        <f>IF($V198="","",IF(AND(ISNUMBER($G198),$G198&lt;=IF($S198=MesCiclo,InicioCiclo,$S198+MOD(2-WEEKDAY($S198),7))+20),1,IF(ISNUMBER($K198),$K198,$Z198)))</f>
        <v/>
      </c>
      <c r="AB198" s="62">
        <f>IF($V198="","",IF(AND(ISNUMBER($G198),$G198&lt;=IF($S198=MesCiclo,InicioCiclo,$S198+MOD(2-WEEKDAY($S198),7))+27),1,IF(ISNUMBER($L198),$L198,$AA198)))</f>
        <v/>
      </c>
      <c r="AC198" s="62">
        <f>IF($V198="","",IF(AND(ISNUMBER($G198),$G198&lt;=IF($S198=MesCiclo,InicioCiclo,$S198+MOD(2-WEEKDAY($S198),7))+6),1,IF(N($W198)&gt;0,AVERAGEIFS($Y$5:$Y$1000,$U$5:$U$1000,ROW(),$V$5:$V$1000,"Sub"),$Y198)))</f>
        <v/>
      </c>
      <c r="AD198" s="62">
        <f>IF($V198="","",IF(AND(ISNUMBER($G198),$G198&lt;=IF($S198=MesCiclo,InicioCiclo,$S198+MOD(2-WEEKDAY($S198),7))+13),1,IF(N($W198)&gt;0,AVERAGEIFS($Z$5:$Z$1000,$U$5:$U$1000,ROW(),$V$5:$V$1000,"Sub"),$Z198)))</f>
        <v/>
      </c>
      <c r="AE198" s="62">
        <f>IF($V198="","",IF(AND(ISNUMBER($G198),$G198&lt;=IF($S198=MesCiclo,InicioCiclo,$S198+MOD(2-WEEKDAY($S198),7))+20),1,IF(N($W198)&gt;0,AVERAGEIFS($AA$5:$AA$1000,$U$5:$U$1000,ROW(),$V$5:$V$1000,"Sub"),$AA198)))</f>
        <v/>
      </c>
      <c r="AF198" s="62">
        <f>IF($V198="","",IF(AND(ISNUMBER($G198),$G198&lt;=IF($S198=MesCiclo,InicioCiclo,$S198+MOD(2-WEEKDAY($S198),7))+27),1,IF(N($W198)&gt;0,AVERAGEIFS($AB$5:$AB$1000,$U$5:$U$1000,ROW(),$V$5:$V$1000,"Sub"),$AB198)))</f>
        <v/>
      </c>
      <c r="AG198" s="62">
        <f>IF($V198&lt;&gt;"Macro","",IF(COUNTIFS($S$5:$S$1000,$S198,$V$5:$V$1000,"Macro",$H$5:$H$1000,"&gt;0")=0,1/COUNTIFS($S$5:$S$1000,$S198,$V$5:$V$1000,"Macro"),IF(AND(ISNUMBER($H198),N($H198)&gt;0),$H198,SUMIFS($H$5:$H$1000,$S$5:$S$1000,$S198,$V$5:$V$1000,"Macro")/COUNTIFS($S$5:$S$1000,$S198,$V$5:$V$1000,"Macro",$H$5:$H$1000,"&gt;0"))/(COUNTIFS($S$5:$S$1000,$S198,$V$5:$V$1000,"Macro")*SUMIFS($H$5:$H$1000,$S$5:$S$1000,$S198,$V$5:$V$1000,"Macro")/COUNTIFS($S$5:$S$1000,$S198,$V$5:$V$1000,"Macro",$H$5:$H$1000,"&gt;0"))))</f>
        <v/>
      </c>
      <c r="AH198" s="62" t="n"/>
      <c r="AI198" s="62" t="n"/>
      <c r="AJ198" s="62" t="n"/>
      <c r="AK198" s="62" t="n"/>
      <c r="AL198" s="62">
        <f>IF(LEFT($C198,11)="[Jefatura] ",IFERROR(MATCH("Riesgo Financiero|"&amp;MID($C198,12,500),rDname_ADM,0),0),"")</f>
        <v/>
      </c>
      <c r="AM198" s="62">
        <f>IF(N($AL198)&gt;0,INDEX(rIni_ADM,$AL198),IF(ISNUMBER($E198),$E198,""))</f>
        <v/>
      </c>
      <c r="AN198" s="62">
        <f>IF(N($AL198)&gt;0,INDEX(rLim_ADM,$AL198),IF(ISNUMBER($F198),$F198,""))</f>
        <v/>
      </c>
    </row>
    <row r="199">
      <c r="A199" s="56">
        <f>IF(NOT((COUNTA($B199:$D199)+COUNTA($G199:$L199)+COUNTA($Q199))&gt;0),"",IF($V199="Macro",COUNTIFS($V$5:$V199,"Macro",$S$5:$S199,$S199),IF(N($U199)=0,"?",COUNTIFS(INDEX($V$5:$V$1000,1):INDEX($V$5:$V$1000,$U199-4),"Macro",INDEX($S$5:$S$1000,1):INDEX($S$5:$S$1000,$U199-4),INDEX($S$5:$S$1000,$U199-4))&amp;"."&amp;COUNTIFS($U$5:$U199,$U199,$V$5:$V199,"Sub"))))</f>
        <v/>
      </c>
      <c r="B199" s="57" t="n"/>
      <c r="C199" s="58" t="n"/>
      <c r="D199" s="58" t="n"/>
      <c r="E199" s="59">
        <f>IF(N($AL199)&gt;0,INDEX(rIni_ADM,$AL199),"")</f>
        <v/>
      </c>
      <c r="F199" s="59">
        <f>IF(N($AL199)&gt;0,INDEX(rLim_ADM,$AL199),"")</f>
        <v/>
      </c>
      <c r="G199" s="59" t="n"/>
      <c r="H199" s="60" t="n"/>
      <c r="I199" s="60" t="n"/>
      <c r="J199" s="60" t="n"/>
      <c r="K199" s="60" t="n"/>
      <c r="L199" s="60" t="n"/>
      <c r="M199" s="61">
        <f>IF(NOT((COUNTA($B199:$D199)+COUNTA($G199:$L199)+COUNTA($Q199))&gt;0),"",IF($V199="Sub",IFERROR($X199/INDEX($W$5:$W$1000,$U199-4),""),IF(ISNUMBER($G199),1,IF(N($W199)&gt;0,AVERAGEIFS($X$5:$X$1000,$U$5:$U$1000,ROW(),$V$5:$V$1000,"Sub"),$X199))))</f>
        <v/>
      </c>
      <c r="N199" s="56">
        <f>IF(OR($M199="",$V199="Sub"),"",IF($M199&gt;=1,"Completado",IF($M199&gt;0,"En curso","Pendiente")))</f>
        <v/>
      </c>
      <c r="O199" s="56">
        <f>IF(OR(NOT((COUNTA($B199:$D199)+COUNTA($G199:$L199)+COUNTA($Q199))&gt;0),$V199="Sub"),"",IF(ISNUMBER($G199),IF(AND(ISNUMBER($AN199),$G199&gt;$AN199),"Cumplida con "&amp;($G199-$AN199)&amp;IF($G199-$AN199=1," día"," días")&amp;" de retraso","Cumplida"),IF(N($M199)&gt;=1,"Cumplida",IF(NOT(ISNUMBER($AN199)),"Sin fecha límite",IF($AN199&lt;FechaRef,"Vencida hace "&amp;(FechaRef-$AN199)&amp;IF(FechaRef-$AN199=1," día"," días"),IF($AN199=FechaRef,"Vence hoy",IF($AN199-FechaRef&lt;=DiasAlerta,"Vence en "&amp;($AN199-FechaRef)&amp;IF($AN199-FechaRef=1," día"," días"),"En plazo")))))))</f>
        <v/>
      </c>
      <c r="P199" s="62" t="n"/>
      <c r="Q199" s="58" t="n"/>
      <c r="R199" s="63">
        <f>IF(NOT((COUNTA($B199:$D199)+COUNTA($G199:$L199)+COUNTA($Q199))&gt;0),"",IF((IF($C199="","Falta el nombre de la actividad"&amp;" · ","")&amp;IF(AND($V199="Sub",N($U199)=0),"Subactividad sin macroactividad arriba"&amp;" · ","")&amp;IF($AM199="","Sin fecha de inicio"&amp;" · ","")&amp;IF($AN199="","Sin fecha límite"&amp;" · ","")&amp;IF(AND(LEFT($C199,11)="[Jefatura] ",N($AL199)=0),"No se encuentra en la hoja de la jefatura (elíjala de nuevo en la lista)"&amp;" · ","")&amp;IF(OR(AND($E199&lt;&gt;"",NOT(ISNUMBER($E199))),AND($F199&lt;&gt;"",NOT(ISNUMBER($F199))),AND($G199&lt;&gt;"",NOT(ISNUMBER($G199)))),"Fecha no válida"&amp;" · ","")&amp;IF(AND(ISNUMBER($AM199),ISNUMBER($AN199),$AM199&gt;$AN199),"Inicio posterior a fecha límite"&amp;" · ","")&amp;IF(AND($V199="Macro",$H199&lt;&gt;"",OR(NOT(ISNUMBER($H199)),$H199&lt;0,$H199&gt;1)),"Peso fuera de rango"&amp;" · ","")&amp;IF(AND($V199="Sub",$H199&lt;&gt;""),"Las subactividades no llevan peso (valen igual dentro de su macroactividad)"&amp;" · ","")&amp;IF(AND(N($W199)&gt;0,COUNT($I199:$L199)&gt;0),"Con subactividades: deje vacías las semanas (se calculan solas)"&amp;" · ","")&amp;IF((COUNTIF($I199:$L199,"&gt;1")+COUNTIF($I199:$L199,"&lt;0")+COUNTA($I199:$L199)-COUNT($I199:$L199))&gt;0,"Avance fuera de rango 0-100%"&amp;" · ","")&amp;IF(OR(AND($J199&lt;&gt;"",$J199&lt;$I199),AND($K199&lt;&gt;"",$K199&lt;MAX($I199:$J199)),AND($L199&lt;&gt;"",$L199&lt;MAX($I199:$K199))),"Avance semanal decreciente"&amp;" · ","")&amp;IF(AND(ISNUMBER($AN199),$AN199&lt;FechaRef,IF($V199="Sub",N($X199),N($M199))&lt;1),"Vencida"&amp;" · ","")&amp;IF(AND(ObsObligatoria="Sí",ISNUMBER($AN199),$AN199&lt;FechaRef,IF($V199="Sub",N($X199),N($M199))&lt;1,$Q199=""),"Vencida sin observación"&amp;" · ",""))="","✔ OK","⚠ "&amp;LEFT(IF($C199="","Falta el nombre de la actividad"&amp;" · ","")&amp;IF(AND($V199="Sub",N($U199)=0),"Subactividad sin macroactividad arriba"&amp;" · ","")&amp;IF($AM199="","Sin fecha de inicio"&amp;" · ","")&amp;IF($AN199="","Sin fecha límite"&amp;" · ","")&amp;IF(AND(LEFT($C199,11)="[Jefatura] ",N($AL199)=0),"No se encuentra en la hoja de la jefatura (elíjala de nuevo en la lista)"&amp;" · ","")&amp;IF(OR(AND($E199&lt;&gt;"",NOT(ISNUMBER($E199))),AND($F199&lt;&gt;"",NOT(ISNUMBER($F199))),AND($G199&lt;&gt;"",NOT(ISNUMBER($G199)))),"Fecha no válida"&amp;" · ","")&amp;IF(AND(ISNUMBER($AM199),ISNUMBER($AN199),$AM199&gt;$AN199),"Inicio posterior a fecha límite"&amp;" · ","")&amp;IF(AND($V199="Macro",$H199&lt;&gt;"",OR(NOT(ISNUMBER($H199)),$H199&lt;0,$H199&gt;1)),"Peso fuera de rango"&amp;" · ","")&amp;IF(AND($V199="Sub",$H199&lt;&gt;""),"Las subactividades no llevan peso (valen igual dentro de su macroactividad)"&amp;" · ","")&amp;IF(AND(N($W199)&gt;0,COUNT($I199:$L199)&gt;0),"Con subactividades: deje vacías las semanas (se calculan solas)"&amp;" · ","")&amp;IF((COUNTIF($I199:$L199,"&gt;1")+COUNTIF($I199:$L199,"&lt;0")+COUNTA($I199:$L199)-COUNT($I199:$L199))&gt;0,"Avance fuera de rango 0-100%"&amp;" · ","")&amp;IF(OR(AND($J199&lt;&gt;"",$J199&lt;$I199),AND($K199&lt;&gt;"",$K199&lt;MAX($I199:$J199)),AND($L199&lt;&gt;"",$L199&lt;MAX($I199:$K199))),"Avance semanal decreciente"&amp;" · ","")&amp;IF(AND(ISNUMBER($AN199),$AN199&lt;FechaRef,IF($V199="Sub",N($X199),N($M199))&lt;1),"Vencida"&amp;" · ","")&amp;IF(AND(ObsObligatoria="Sí",ISNUMBER($AN199),$AN199&lt;FechaRef,IF($V199="Sub",N($X199),N($M199))&lt;1,$Q199=""),"Vencida sin observación"&amp;" · ",""),LEN(IF($C199="","Falta el nombre de la actividad"&amp;" · ","")&amp;IF(AND($V199="Sub",N($U199)=0),"Subactividad sin macroactividad arriba"&amp;" · ","")&amp;IF($AM199="","Sin fecha de inicio"&amp;" · ","")&amp;IF($AN199="","Sin fecha límite"&amp;" · ","")&amp;IF(AND(LEFT($C199,11)="[Jefatura] ",N($AL199)=0),"No se encuentra en la hoja de la jefatura (elíjala de nuevo en la lista)"&amp;" · ","")&amp;IF(OR(AND($E199&lt;&gt;"",NOT(ISNUMBER($E199))),AND($F199&lt;&gt;"",NOT(ISNUMBER($F199))),AND($G199&lt;&gt;"",NOT(ISNUMBER($G199)))),"Fecha no válida"&amp;" · ","")&amp;IF(AND(ISNUMBER($AM199),ISNUMBER($AN199),$AM199&gt;$AN199),"Inicio posterior a fecha límite"&amp;" · ","")&amp;IF(AND($V199="Macro",$H199&lt;&gt;"",OR(NOT(ISNUMBER($H199)),$H199&lt;0,$H199&gt;1)),"Peso fuera de rango"&amp;" · ","")&amp;IF(AND($V199="Sub",$H199&lt;&gt;""),"Las subactividades no llevan peso (valen igual dentro de su macroactividad)"&amp;" · ","")&amp;IF(AND(N($W199)&gt;0,COUNT($I199:$L199)&gt;0),"Con subactividades: deje vacías las semanas (se calculan solas)"&amp;" · ","")&amp;IF((COUNTIF($I199:$L199,"&gt;1")+COUNTIF($I199:$L199,"&lt;0")+COUNTA($I199:$L199)-COUNT($I199:$L199))&gt;0,"Avance fuera de rango 0-100%"&amp;" · ","")&amp;IF(OR(AND($J199&lt;&gt;"",$J199&lt;$I199),AND($K199&lt;&gt;"",$K199&lt;MAX($I199:$J199)),AND($L199&lt;&gt;"",$L199&lt;MAX($I199:$K199))),"Avance semanal decreciente"&amp;" · ","")&amp;IF(AND(ISNUMBER($AN199),$AN199&lt;FechaRef,IF($V199="Sub",N($X199),N($M199))&lt;1),"Vencida"&amp;" · ","")&amp;IF(AND(ObsObligatoria="Sí",ISNUMBER($AN199),$AN199&lt;FechaRef,IF($V199="Sub",N($X199),N($M199))&lt;1,$Q199=""),"Vencida sin observación"&amp;" · ",""))-3)))</f>
        <v/>
      </c>
      <c r="S199" s="64">
        <f>IF(NOT((COUNTA($B199:$D199)+COUNTA($G199:$L199)+COUNTA($Q199))&gt;0),"",IF(AND($V199="Sub",N($U199)&gt;0),IF(ISNUMBER(INDEX($AM$5:$AM$1000,$U199-4)),DATE(YEAR(INDEX($AM$5:$AM$1000,$U199-4)),MONTH(INDEX($AM$5:$AM$1000,$U199-4)),1),IF(ISNUMBER(INDEX($AN$5:$AN$1000,$U199-4)),DATE(YEAR(INDEX($AN$5:$AN$1000,$U199-4)),MONTH(INDEX($AN$5:$AN$1000,$U199-4)),1),MesCiclo)),IF(ISNUMBER($AM199),DATE(YEAR($AM199),MONTH($AM199),1),IF(ISNUMBER($AN199),DATE(YEAR($AN199),MONTH($AN199),1),MesCiclo))))</f>
        <v/>
      </c>
      <c r="T199" s="62">
        <f>IF(OR($S199="",$S199&lt;&gt;MesCiclo,$V199&lt;&gt;"Macro"),"",COUNTIFS($S$5:$S199,MesCiclo,$V$5:$V199,"Macro"))</f>
        <v/>
      </c>
      <c r="U199" s="62">
        <f>IF($V199="","",IF($V199="Macro",ROW(),IFERROR(LOOKUP(2,1/($V$5:$V199="Macro"),ROW($V$5:$V199)),0)))</f>
        <v/>
      </c>
      <c r="V199" s="62">
        <f>IF(NOT((COUNTA($B199:$D199)+COUNTA($G199:$L199)+COUNTA($Q199))&gt;0),"",IF($B199="Subactividad","Sub","Macro"))</f>
        <v/>
      </c>
      <c r="W199" s="62">
        <f>IF($V199="Macro",COUNTIFS($U$5:$U$1000,ROW(),$V$5:$V$1000,"Sub"),"")</f>
        <v/>
      </c>
      <c r="X199" s="62">
        <f>IF($V199="","",IF(ISNUMBER($G199),1,IFERROR(LOOKUP(2,1/($I199:$L199&lt;&gt;""),$I199:$L199),0)))</f>
        <v/>
      </c>
      <c r="Y199" s="62">
        <f>IF($V199="","",IF(AND(ISNUMBER($G199),$G199&lt;=IF($S199=MesCiclo,InicioCiclo,$S199+MOD(2-WEEKDAY($S199),7))+6),1,IF(ISNUMBER($I199),$I199,0)))</f>
        <v/>
      </c>
      <c r="Z199" s="62">
        <f>IF($V199="","",IF(AND(ISNUMBER($G199),$G199&lt;=IF($S199=MesCiclo,InicioCiclo,$S199+MOD(2-WEEKDAY($S199),7))+13),1,IF(ISNUMBER($J199),$J199,$Y199)))</f>
        <v/>
      </c>
      <c r="AA199" s="62">
        <f>IF($V199="","",IF(AND(ISNUMBER($G199),$G199&lt;=IF($S199=MesCiclo,InicioCiclo,$S199+MOD(2-WEEKDAY($S199),7))+20),1,IF(ISNUMBER($K199),$K199,$Z199)))</f>
        <v/>
      </c>
      <c r="AB199" s="62">
        <f>IF($V199="","",IF(AND(ISNUMBER($G199),$G199&lt;=IF($S199=MesCiclo,InicioCiclo,$S199+MOD(2-WEEKDAY($S199),7))+27),1,IF(ISNUMBER($L199),$L199,$AA199)))</f>
        <v/>
      </c>
      <c r="AC199" s="62">
        <f>IF($V199="","",IF(AND(ISNUMBER($G199),$G199&lt;=IF($S199=MesCiclo,InicioCiclo,$S199+MOD(2-WEEKDAY($S199),7))+6),1,IF(N($W199)&gt;0,AVERAGEIFS($Y$5:$Y$1000,$U$5:$U$1000,ROW(),$V$5:$V$1000,"Sub"),$Y199)))</f>
        <v/>
      </c>
      <c r="AD199" s="62">
        <f>IF($V199="","",IF(AND(ISNUMBER($G199),$G199&lt;=IF($S199=MesCiclo,InicioCiclo,$S199+MOD(2-WEEKDAY($S199),7))+13),1,IF(N($W199)&gt;0,AVERAGEIFS($Z$5:$Z$1000,$U$5:$U$1000,ROW(),$V$5:$V$1000,"Sub"),$Z199)))</f>
        <v/>
      </c>
      <c r="AE199" s="62">
        <f>IF($V199="","",IF(AND(ISNUMBER($G199),$G199&lt;=IF($S199=MesCiclo,InicioCiclo,$S199+MOD(2-WEEKDAY($S199),7))+20),1,IF(N($W199)&gt;0,AVERAGEIFS($AA$5:$AA$1000,$U$5:$U$1000,ROW(),$V$5:$V$1000,"Sub"),$AA199)))</f>
        <v/>
      </c>
      <c r="AF199" s="62">
        <f>IF($V199="","",IF(AND(ISNUMBER($G199),$G199&lt;=IF($S199=MesCiclo,InicioCiclo,$S199+MOD(2-WEEKDAY($S199),7))+27),1,IF(N($W199)&gt;0,AVERAGEIFS($AB$5:$AB$1000,$U$5:$U$1000,ROW(),$V$5:$V$1000,"Sub"),$AB199)))</f>
        <v/>
      </c>
      <c r="AG199" s="62">
        <f>IF($V199&lt;&gt;"Macro","",IF(COUNTIFS($S$5:$S$1000,$S199,$V$5:$V$1000,"Macro",$H$5:$H$1000,"&gt;0")=0,1/COUNTIFS($S$5:$S$1000,$S199,$V$5:$V$1000,"Macro"),IF(AND(ISNUMBER($H199),N($H199)&gt;0),$H199,SUMIFS($H$5:$H$1000,$S$5:$S$1000,$S199,$V$5:$V$1000,"Macro")/COUNTIFS($S$5:$S$1000,$S199,$V$5:$V$1000,"Macro",$H$5:$H$1000,"&gt;0"))/(COUNTIFS($S$5:$S$1000,$S199,$V$5:$V$1000,"Macro")*SUMIFS($H$5:$H$1000,$S$5:$S$1000,$S199,$V$5:$V$1000,"Macro")/COUNTIFS($S$5:$S$1000,$S199,$V$5:$V$1000,"Macro",$H$5:$H$1000,"&gt;0"))))</f>
        <v/>
      </c>
      <c r="AH199" s="62" t="n"/>
      <c r="AI199" s="62" t="n"/>
      <c r="AJ199" s="62" t="n"/>
      <c r="AK199" s="62" t="n"/>
      <c r="AL199" s="62">
        <f>IF(LEFT($C199,11)="[Jefatura] ",IFERROR(MATCH("Riesgo Financiero|"&amp;MID($C199,12,500),rDname_ADM,0),0),"")</f>
        <v/>
      </c>
      <c r="AM199" s="62">
        <f>IF(N($AL199)&gt;0,INDEX(rIni_ADM,$AL199),IF(ISNUMBER($E199),$E199,""))</f>
        <v/>
      </c>
      <c r="AN199" s="62">
        <f>IF(N($AL199)&gt;0,INDEX(rLim_ADM,$AL199),IF(ISNUMBER($F199),$F199,""))</f>
        <v/>
      </c>
    </row>
    <row r="200">
      <c r="A200" s="56">
        <f>IF(NOT((COUNTA($B200:$D200)+COUNTA($G200:$L200)+COUNTA($Q200))&gt;0),"",IF($V200="Macro",COUNTIFS($V$5:$V200,"Macro",$S$5:$S200,$S200),IF(N($U200)=0,"?",COUNTIFS(INDEX($V$5:$V$1000,1):INDEX($V$5:$V$1000,$U200-4),"Macro",INDEX($S$5:$S$1000,1):INDEX($S$5:$S$1000,$U200-4),INDEX($S$5:$S$1000,$U200-4))&amp;"."&amp;COUNTIFS($U$5:$U200,$U200,$V$5:$V200,"Sub"))))</f>
        <v/>
      </c>
      <c r="B200" s="57" t="n"/>
      <c r="C200" s="58" t="n"/>
      <c r="D200" s="58" t="n"/>
      <c r="E200" s="59">
        <f>IF(N($AL200)&gt;0,INDEX(rIni_ADM,$AL200),"")</f>
        <v/>
      </c>
      <c r="F200" s="59">
        <f>IF(N($AL200)&gt;0,INDEX(rLim_ADM,$AL200),"")</f>
        <v/>
      </c>
      <c r="G200" s="59" t="n"/>
      <c r="H200" s="60" t="n"/>
      <c r="I200" s="60" t="n"/>
      <c r="J200" s="60" t="n"/>
      <c r="K200" s="60" t="n"/>
      <c r="L200" s="60" t="n"/>
      <c r="M200" s="61">
        <f>IF(NOT((COUNTA($B200:$D200)+COUNTA($G200:$L200)+COUNTA($Q200))&gt;0),"",IF($V200="Sub",IFERROR($X200/INDEX($W$5:$W$1000,$U200-4),""),IF(ISNUMBER($G200),1,IF(N($W200)&gt;0,AVERAGEIFS($X$5:$X$1000,$U$5:$U$1000,ROW(),$V$5:$V$1000,"Sub"),$X200))))</f>
        <v/>
      </c>
      <c r="N200" s="56">
        <f>IF(OR($M200="",$V200="Sub"),"",IF($M200&gt;=1,"Completado",IF($M200&gt;0,"En curso","Pendiente")))</f>
        <v/>
      </c>
      <c r="O200" s="56">
        <f>IF(OR(NOT((COUNTA($B200:$D200)+COUNTA($G200:$L200)+COUNTA($Q200))&gt;0),$V200="Sub"),"",IF(ISNUMBER($G200),IF(AND(ISNUMBER($AN200),$G200&gt;$AN200),"Cumplida con "&amp;($G200-$AN200)&amp;IF($G200-$AN200=1," día"," días")&amp;" de retraso","Cumplida"),IF(N($M200)&gt;=1,"Cumplida",IF(NOT(ISNUMBER($AN200)),"Sin fecha límite",IF($AN200&lt;FechaRef,"Vencida hace "&amp;(FechaRef-$AN200)&amp;IF(FechaRef-$AN200=1," día"," días"),IF($AN200=FechaRef,"Vence hoy",IF($AN200-FechaRef&lt;=DiasAlerta,"Vence en "&amp;($AN200-FechaRef)&amp;IF($AN200-FechaRef=1," día"," días"),"En plazo")))))))</f>
        <v/>
      </c>
      <c r="P200" s="62" t="n"/>
      <c r="Q200" s="58" t="n"/>
      <c r="R200" s="63">
        <f>IF(NOT((COUNTA($B200:$D200)+COUNTA($G200:$L200)+COUNTA($Q200))&gt;0),"",IF((IF($C200="","Falta el nombre de la actividad"&amp;" · ","")&amp;IF(AND($V200="Sub",N($U200)=0),"Subactividad sin macroactividad arriba"&amp;" · ","")&amp;IF($AM200="","Sin fecha de inicio"&amp;" · ","")&amp;IF($AN200="","Sin fecha límite"&amp;" · ","")&amp;IF(AND(LEFT($C200,11)="[Jefatura] ",N($AL200)=0),"No se encuentra en la hoja de la jefatura (elíjala de nuevo en la lista)"&amp;" · ","")&amp;IF(OR(AND($E200&lt;&gt;"",NOT(ISNUMBER($E200))),AND($F200&lt;&gt;"",NOT(ISNUMBER($F200))),AND($G200&lt;&gt;"",NOT(ISNUMBER($G200)))),"Fecha no válida"&amp;" · ","")&amp;IF(AND(ISNUMBER($AM200),ISNUMBER($AN200),$AM200&gt;$AN200),"Inicio posterior a fecha límite"&amp;" · ","")&amp;IF(AND($V200="Macro",$H200&lt;&gt;"",OR(NOT(ISNUMBER($H200)),$H200&lt;0,$H200&gt;1)),"Peso fuera de rango"&amp;" · ","")&amp;IF(AND($V200="Sub",$H200&lt;&gt;""),"Las subactividades no llevan peso (valen igual dentro de su macroactividad)"&amp;" · ","")&amp;IF(AND(N($W200)&gt;0,COUNT($I200:$L200)&gt;0),"Con subactividades: deje vacías las semanas (se calculan solas)"&amp;" · ","")&amp;IF((COUNTIF($I200:$L200,"&gt;1")+COUNTIF($I200:$L200,"&lt;0")+COUNTA($I200:$L200)-COUNT($I200:$L200))&gt;0,"Avance fuera de rango 0-100%"&amp;" · ","")&amp;IF(OR(AND($J200&lt;&gt;"",$J200&lt;$I200),AND($K200&lt;&gt;"",$K200&lt;MAX($I200:$J200)),AND($L200&lt;&gt;"",$L200&lt;MAX($I200:$K200))),"Avance semanal decreciente"&amp;" · ","")&amp;IF(AND(ISNUMBER($AN200),$AN200&lt;FechaRef,IF($V200="Sub",N($X200),N($M200))&lt;1),"Vencida"&amp;" · ","")&amp;IF(AND(ObsObligatoria="Sí",ISNUMBER($AN200),$AN200&lt;FechaRef,IF($V200="Sub",N($X200),N($M200))&lt;1,$Q200=""),"Vencida sin observación"&amp;" · ",""))="","✔ OK","⚠ "&amp;LEFT(IF($C200="","Falta el nombre de la actividad"&amp;" · ","")&amp;IF(AND($V200="Sub",N($U200)=0),"Subactividad sin macroactividad arriba"&amp;" · ","")&amp;IF($AM200="","Sin fecha de inicio"&amp;" · ","")&amp;IF($AN200="","Sin fecha límite"&amp;" · ","")&amp;IF(AND(LEFT($C200,11)="[Jefatura] ",N($AL200)=0),"No se encuentra en la hoja de la jefatura (elíjala de nuevo en la lista)"&amp;" · ","")&amp;IF(OR(AND($E200&lt;&gt;"",NOT(ISNUMBER($E200))),AND($F200&lt;&gt;"",NOT(ISNUMBER($F200))),AND($G200&lt;&gt;"",NOT(ISNUMBER($G200)))),"Fecha no válida"&amp;" · ","")&amp;IF(AND(ISNUMBER($AM200),ISNUMBER($AN200),$AM200&gt;$AN200),"Inicio posterior a fecha límite"&amp;" · ","")&amp;IF(AND($V200="Macro",$H200&lt;&gt;"",OR(NOT(ISNUMBER($H200)),$H200&lt;0,$H200&gt;1)),"Peso fuera de rango"&amp;" · ","")&amp;IF(AND($V200="Sub",$H200&lt;&gt;""),"Las subactividades no llevan peso (valen igual dentro de su macroactividad)"&amp;" · ","")&amp;IF(AND(N($W200)&gt;0,COUNT($I200:$L200)&gt;0),"Con subactividades: deje vacías las semanas (se calculan solas)"&amp;" · ","")&amp;IF((COUNTIF($I200:$L200,"&gt;1")+COUNTIF($I200:$L200,"&lt;0")+COUNTA($I200:$L200)-COUNT($I200:$L200))&gt;0,"Avance fuera de rango 0-100%"&amp;" · ","")&amp;IF(OR(AND($J200&lt;&gt;"",$J200&lt;$I200),AND($K200&lt;&gt;"",$K200&lt;MAX($I200:$J200)),AND($L200&lt;&gt;"",$L200&lt;MAX($I200:$K200))),"Avance semanal decreciente"&amp;" · ","")&amp;IF(AND(ISNUMBER($AN200),$AN200&lt;FechaRef,IF($V200="Sub",N($X200),N($M200))&lt;1),"Vencida"&amp;" · ","")&amp;IF(AND(ObsObligatoria="Sí",ISNUMBER($AN200),$AN200&lt;FechaRef,IF($V200="Sub",N($X200),N($M200))&lt;1,$Q200=""),"Vencida sin observación"&amp;" · ",""),LEN(IF($C200="","Falta el nombre de la actividad"&amp;" · ","")&amp;IF(AND($V200="Sub",N($U200)=0),"Subactividad sin macroactividad arriba"&amp;" · ","")&amp;IF($AM200="","Sin fecha de inicio"&amp;" · ","")&amp;IF($AN200="","Sin fecha límite"&amp;" · ","")&amp;IF(AND(LEFT($C200,11)="[Jefatura] ",N($AL200)=0),"No se encuentra en la hoja de la jefatura (elíjala de nuevo en la lista)"&amp;" · ","")&amp;IF(OR(AND($E200&lt;&gt;"",NOT(ISNUMBER($E200))),AND($F200&lt;&gt;"",NOT(ISNUMBER($F200))),AND($G200&lt;&gt;"",NOT(ISNUMBER($G200)))),"Fecha no válida"&amp;" · ","")&amp;IF(AND(ISNUMBER($AM200),ISNUMBER($AN200),$AM200&gt;$AN200),"Inicio posterior a fecha límite"&amp;" · ","")&amp;IF(AND($V200="Macro",$H200&lt;&gt;"",OR(NOT(ISNUMBER($H200)),$H200&lt;0,$H200&gt;1)),"Peso fuera de rango"&amp;" · ","")&amp;IF(AND($V200="Sub",$H200&lt;&gt;""),"Las subactividades no llevan peso (valen igual dentro de su macroactividad)"&amp;" · ","")&amp;IF(AND(N($W200)&gt;0,COUNT($I200:$L200)&gt;0),"Con subactividades: deje vacías las semanas (se calculan solas)"&amp;" · ","")&amp;IF((COUNTIF($I200:$L200,"&gt;1")+COUNTIF($I200:$L200,"&lt;0")+COUNTA($I200:$L200)-COUNT($I200:$L200))&gt;0,"Avance fuera de rango 0-100%"&amp;" · ","")&amp;IF(OR(AND($J200&lt;&gt;"",$J200&lt;$I200),AND($K200&lt;&gt;"",$K200&lt;MAX($I200:$J200)),AND($L200&lt;&gt;"",$L200&lt;MAX($I200:$K200))),"Avance semanal decreciente"&amp;" · ","")&amp;IF(AND(ISNUMBER($AN200),$AN200&lt;FechaRef,IF($V200="Sub",N($X200),N($M200))&lt;1),"Vencida"&amp;" · ","")&amp;IF(AND(ObsObligatoria="Sí",ISNUMBER($AN200),$AN200&lt;FechaRef,IF($V200="Sub",N($X200),N($M200))&lt;1,$Q200=""),"Vencida sin observación"&amp;" · ",""))-3)))</f>
        <v/>
      </c>
      <c r="S200" s="64">
        <f>IF(NOT((COUNTA($B200:$D200)+COUNTA($G200:$L200)+COUNTA($Q200))&gt;0),"",IF(AND($V200="Sub",N($U200)&gt;0),IF(ISNUMBER(INDEX($AM$5:$AM$1000,$U200-4)),DATE(YEAR(INDEX($AM$5:$AM$1000,$U200-4)),MONTH(INDEX($AM$5:$AM$1000,$U200-4)),1),IF(ISNUMBER(INDEX($AN$5:$AN$1000,$U200-4)),DATE(YEAR(INDEX($AN$5:$AN$1000,$U200-4)),MONTH(INDEX($AN$5:$AN$1000,$U200-4)),1),MesCiclo)),IF(ISNUMBER($AM200),DATE(YEAR($AM200),MONTH($AM200),1),IF(ISNUMBER($AN200),DATE(YEAR($AN200),MONTH($AN200),1),MesCiclo))))</f>
        <v/>
      </c>
      <c r="T200" s="62">
        <f>IF(OR($S200="",$S200&lt;&gt;MesCiclo,$V200&lt;&gt;"Macro"),"",COUNTIFS($S$5:$S200,MesCiclo,$V$5:$V200,"Macro"))</f>
        <v/>
      </c>
      <c r="U200" s="62">
        <f>IF($V200="","",IF($V200="Macro",ROW(),IFERROR(LOOKUP(2,1/($V$5:$V200="Macro"),ROW($V$5:$V200)),0)))</f>
        <v/>
      </c>
      <c r="V200" s="62">
        <f>IF(NOT((COUNTA($B200:$D200)+COUNTA($G200:$L200)+COUNTA($Q200))&gt;0),"",IF($B200="Subactividad","Sub","Macro"))</f>
        <v/>
      </c>
      <c r="W200" s="62">
        <f>IF($V200="Macro",COUNTIFS($U$5:$U$1000,ROW(),$V$5:$V$1000,"Sub"),"")</f>
        <v/>
      </c>
      <c r="X200" s="62">
        <f>IF($V200="","",IF(ISNUMBER($G200),1,IFERROR(LOOKUP(2,1/($I200:$L200&lt;&gt;""),$I200:$L200),0)))</f>
        <v/>
      </c>
      <c r="Y200" s="62">
        <f>IF($V200="","",IF(AND(ISNUMBER($G200),$G200&lt;=IF($S200=MesCiclo,InicioCiclo,$S200+MOD(2-WEEKDAY($S200),7))+6),1,IF(ISNUMBER($I200),$I200,0)))</f>
        <v/>
      </c>
      <c r="Z200" s="62">
        <f>IF($V200="","",IF(AND(ISNUMBER($G200),$G200&lt;=IF($S200=MesCiclo,InicioCiclo,$S200+MOD(2-WEEKDAY($S200),7))+13),1,IF(ISNUMBER($J200),$J200,$Y200)))</f>
        <v/>
      </c>
      <c r="AA200" s="62">
        <f>IF($V200="","",IF(AND(ISNUMBER($G200),$G200&lt;=IF($S200=MesCiclo,InicioCiclo,$S200+MOD(2-WEEKDAY($S200),7))+20),1,IF(ISNUMBER($K200),$K200,$Z200)))</f>
        <v/>
      </c>
      <c r="AB200" s="62">
        <f>IF($V200="","",IF(AND(ISNUMBER($G200),$G200&lt;=IF($S200=MesCiclo,InicioCiclo,$S200+MOD(2-WEEKDAY($S200),7))+27),1,IF(ISNUMBER($L200),$L200,$AA200)))</f>
        <v/>
      </c>
      <c r="AC200" s="62">
        <f>IF($V200="","",IF(AND(ISNUMBER($G200),$G200&lt;=IF($S200=MesCiclo,InicioCiclo,$S200+MOD(2-WEEKDAY($S200),7))+6),1,IF(N($W200)&gt;0,AVERAGEIFS($Y$5:$Y$1000,$U$5:$U$1000,ROW(),$V$5:$V$1000,"Sub"),$Y200)))</f>
        <v/>
      </c>
      <c r="AD200" s="62">
        <f>IF($V200="","",IF(AND(ISNUMBER($G200),$G200&lt;=IF($S200=MesCiclo,InicioCiclo,$S200+MOD(2-WEEKDAY($S200),7))+13),1,IF(N($W200)&gt;0,AVERAGEIFS($Z$5:$Z$1000,$U$5:$U$1000,ROW(),$V$5:$V$1000,"Sub"),$Z200)))</f>
        <v/>
      </c>
      <c r="AE200" s="62">
        <f>IF($V200="","",IF(AND(ISNUMBER($G200),$G200&lt;=IF($S200=MesCiclo,InicioCiclo,$S200+MOD(2-WEEKDAY($S200),7))+20),1,IF(N($W200)&gt;0,AVERAGEIFS($AA$5:$AA$1000,$U$5:$U$1000,ROW(),$V$5:$V$1000,"Sub"),$AA200)))</f>
        <v/>
      </c>
      <c r="AF200" s="62">
        <f>IF($V200="","",IF(AND(ISNUMBER($G200),$G200&lt;=IF($S200=MesCiclo,InicioCiclo,$S200+MOD(2-WEEKDAY($S200),7))+27),1,IF(N($W200)&gt;0,AVERAGEIFS($AB$5:$AB$1000,$U$5:$U$1000,ROW(),$V$5:$V$1000,"Sub"),$AB200)))</f>
        <v/>
      </c>
      <c r="AG200" s="62">
        <f>IF($V200&lt;&gt;"Macro","",IF(COUNTIFS($S$5:$S$1000,$S200,$V$5:$V$1000,"Macro",$H$5:$H$1000,"&gt;0")=0,1/COUNTIFS($S$5:$S$1000,$S200,$V$5:$V$1000,"Macro"),IF(AND(ISNUMBER($H200),N($H200)&gt;0),$H200,SUMIFS($H$5:$H$1000,$S$5:$S$1000,$S200,$V$5:$V$1000,"Macro")/COUNTIFS($S$5:$S$1000,$S200,$V$5:$V$1000,"Macro",$H$5:$H$1000,"&gt;0"))/(COUNTIFS($S$5:$S$1000,$S200,$V$5:$V$1000,"Macro")*SUMIFS($H$5:$H$1000,$S$5:$S$1000,$S200,$V$5:$V$1000,"Macro")/COUNTIFS($S$5:$S$1000,$S200,$V$5:$V$1000,"Macro",$H$5:$H$1000,"&gt;0"))))</f>
        <v/>
      </c>
      <c r="AH200" s="62" t="n"/>
      <c r="AI200" s="62" t="n"/>
      <c r="AJ200" s="62" t="n"/>
      <c r="AK200" s="62" t="n"/>
      <c r="AL200" s="62">
        <f>IF(LEFT($C200,11)="[Jefatura] ",IFERROR(MATCH("Riesgo Financiero|"&amp;MID($C200,12,500),rDname_ADM,0),0),"")</f>
        <v/>
      </c>
      <c r="AM200" s="62">
        <f>IF(N($AL200)&gt;0,INDEX(rIni_ADM,$AL200),IF(ISNUMBER($E200),$E200,""))</f>
        <v/>
      </c>
      <c r="AN200" s="62">
        <f>IF(N($AL200)&gt;0,INDEX(rLim_ADM,$AL200),IF(ISNUMBER($F200),$F200,""))</f>
        <v/>
      </c>
    </row>
    <row r="201">
      <c r="A201" s="56">
        <f>IF(NOT((COUNTA($B201:$D201)+COUNTA($G201:$L201)+COUNTA($Q201))&gt;0),"",IF($V201="Macro",COUNTIFS($V$5:$V201,"Macro",$S$5:$S201,$S201),IF(N($U201)=0,"?",COUNTIFS(INDEX($V$5:$V$1000,1):INDEX($V$5:$V$1000,$U201-4),"Macro",INDEX($S$5:$S$1000,1):INDEX($S$5:$S$1000,$U201-4),INDEX($S$5:$S$1000,$U201-4))&amp;"."&amp;COUNTIFS($U$5:$U201,$U201,$V$5:$V201,"Sub"))))</f>
        <v/>
      </c>
      <c r="B201" s="57" t="n"/>
      <c r="C201" s="58" t="n"/>
      <c r="D201" s="58" t="n"/>
      <c r="E201" s="59">
        <f>IF(N($AL201)&gt;0,INDEX(rIni_ADM,$AL201),"")</f>
        <v/>
      </c>
      <c r="F201" s="59">
        <f>IF(N($AL201)&gt;0,INDEX(rLim_ADM,$AL201),"")</f>
        <v/>
      </c>
      <c r="G201" s="59" t="n"/>
      <c r="H201" s="60" t="n"/>
      <c r="I201" s="60" t="n"/>
      <c r="J201" s="60" t="n"/>
      <c r="K201" s="60" t="n"/>
      <c r="L201" s="60" t="n"/>
      <c r="M201" s="61">
        <f>IF(NOT((COUNTA($B201:$D201)+COUNTA($G201:$L201)+COUNTA($Q201))&gt;0),"",IF($V201="Sub",IFERROR($X201/INDEX($W$5:$W$1000,$U201-4),""),IF(ISNUMBER($G201),1,IF(N($W201)&gt;0,AVERAGEIFS($X$5:$X$1000,$U$5:$U$1000,ROW(),$V$5:$V$1000,"Sub"),$X201))))</f>
        <v/>
      </c>
      <c r="N201" s="56">
        <f>IF(OR($M201="",$V201="Sub"),"",IF($M201&gt;=1,"Completado",IF($M201&gt;0,"En curso","Pendiente")))</f>
        <v/>
      </c>
      <c r="O201" s="56">
        <f>IF(OR(NOT((COUNTA($B201:$D201)+COUNTA($G201:$L201)+COUNTA($Q201))&gt;0),$V201="Sub"),"",IF(ISNUMBER($G201),IF(AND(ISNUMBER($AN201),$G201&gt;$AN201),"Cumplida con "&amp;($G201-$AN201)&amp;IF($G201-$AN201=1," día"," días")&amp;" de retraso","Cumplida"),IF(N($M201)&gt;=1,"Cumplida",IF(NOT(ISNUMBER($AN201)),"Sin fecha límite",IF($AN201&lt;FechaRef,"Vencida hace "&amp;(FechaRef-$AN201)&amp;IF(FechaRef-$AN201=1," día"," días"),IF($AN201=FechaRef,"Vence hoy",IF($AN201-FechaRef&lt;=DiasAlerta,"Vence en "&amp;($AN201-FechaRef)&amp;IF($AN201-FechaRef=1," día"," días"),"En plazo")))))))</f>
        <v/>
      </c>
      <c r="P201" s="62" t="n"/>
      <c r="Q201" s="58" t="n"/>
      <c r="R201" s="63">
        <f>IF(NOT((COUNTA($B201:$D201)+COUNTA($G201:$L201)+COUNTA($Q201))&gt;0),"",IF((IF($C201="","Falta el nombre de la actividad"&amp;" · ","")&amp;IF(AND($V201="Sub",N($U201)=0),"Subactividad sin macroactividad arriba"&amp;" · ","")&amp;IF($AM201="","Sin fecha de inicio"&amp;" · ","")&amp;IF($AN201="","Sin fecha límite"&amp;" · ","")&amp;IF(AND(LEFT($C201,11)="[Jefatura] ",N($AL201)=0),"No se encuentra en la hoja de la jefatura (elíjala de nuevo en la lista)"&amp;" · ","")&amp;IF(OR(AND($E201&lt;&gt;"",NOT(ISNUMBER($E201))),AND($F201&lt;&gt;"",NOT(ISNUMBER($F201))),AND($G201&lt;&gt;"",NOT(ISNUMBER($G201)))),"Fecha no válida"&amp;" · ","")&amp;IF(AND(ISNUMBER($AM201),ISNUMBER($AN201),$AM201&gt;$AN201),"Inicio posterior a fecha límite"&amp;" · ","")&amp;IF(AND($V201="Macro",$H201&lt;&gt;"",OR(NOT(ISNUMBER($H201)),$H201&lt;0,$H201&gt;1)),"Peso fuera de rango"&amp;" · ","")&amp;IF(AND($V201="Sub",$H201&lt;&gt;""),"Las subactividades no llevan peso (valen igual dentro de su macroactividad)"&amp;" · ","")&amp;IF(AND(N($W201)&gt;0,COUNT($I201:$L201)&gt;0),"Con subactividades: deje vacías las semanas (se calculan solas)"&amp;" · ","")&amp;IF((COUNTIF($I201:$L201,"&gt;1")+COUNTIF($I201:$L201,"&lt;0")+COUNTA($I201:$L201)-COUNT($I201:$L201))&gt;0,"Avance fuera de rango 0-100%"&amp;" · ","")&amp;IF(OR(AND($J201&lt;&gt;"",$J201&lt;$I201),AND($K201&lt;&gt;"",$K201&lt;MAX($I201:$J201)),AND($L201&lt;&gt;"",$L201&lt;MAX($I201:$K201))),"Avance semanal decreciente"&amp;" · ","")&amp;IF(AND(ISNUMBER($AN201),$AN201&lt;FechaRef,IF($V201="Sub",N($X201),N($M201))&lt;1),"Vencida"&amp;" · ","")&amp;IF(AND(ObsObligatoria="Sí",ISNUMBER($AN201),$AN201&lt;FechaRef,IF($V201="Sub",N($X201),N($M201))&lt;1,$Q201=""),"Vencida sin observación"&amp;" · ",""))="","✔ OK","⚠ "&amp;LEFT(IF($C201="","Falta el nombre de la actividad"&amp;" · ","")&amp;IF(AND($V201="Sub",N($U201)=0),"Subactividad sin macroactividad arriba"&amp;" · ","")&amp;IF($AM201="","Sin fecha de inicio"&amp;" · ","")&amp;IF($AN201="","Sin fecha límite"&amp;" · ","")&amp;IF(AND(LEFT($C201,11)="[Jefatura] ",N($AL201)=0),"No se encuentra en la hoja de la jefatura (elíjala de nuevo en la lista)"&amp;" · ","")&amp;IF(OR(AND($E201&lt;&gt;"",NOT(ISNUMBER($E201))),AND($F201&lt;&gt;"",NOT(ISNUMBER($F201))),AND($G201&lt;&gt;"",NOT(ISNUMBER($G201)))),"Fecha no válida"&amp;" · ","")&amp;IF(AND(ISNUMBER($AM201),ISNUMBER($AN201),$AM201&gt;$AN201),"Inicio posterior a fecha límite"&amp;" · ","")&amp;IF(AND($V201="Macro",$H201&lt;&gt;"",OR(NOT(ISNUMBER($H201)),$H201&lt;0,$H201&gt;1)),"Peso fuera de rango"&amp;" · ","")&amp;IF(AND($V201="Sub",$H201&lt;&gt;""),"Las subactividades no llevan peso (valen igual dentro de su macroactividad)"&amp;" · ","")&amp;IF(AND(N($W201)&gt;0,COUNT($I201:$L201)&gt;0),"Con subactividades: deje vacías las semanas (se calculan solas)"&amp;" · ","")&amp;IF((COUNTIF($I201:$L201,"&gt;1")+COUNTIF($I201:$L201,"&lt;0")+COUNTA($I201:$L201)-COUNT($I201:$L201))&gt;0,"Avance fuera de rango 0-100%"&amp;" · ","")&amp;IF(OR(AND($J201&lt;&gt;"",$J201&lt;$I201),AND($K201&lt;&gt;"",$K201&lt;MAX($I201:$J201)),AND($L201&lt;&gt;"",$L201&lt;MAX($I201:$K201))),"Avance semanal decreciente"&amp;" · ","")&amp;IF(AND(ISNUMBER($AN201),$AN201&lt;FechaRef,IF($V201="Sub",N($X201),N($M201))&lt;1),"Vencida"&amp;" · ","")&amp;IF(AND(ObsObligatoria="Sí",ISNUMBER($AN201),$AN201&lt;FechaRef,IF($V201="Sub",N($X201),N($M201))&lt;1,$Q201=""),"Vencida sin observación"&amp;" · ",""),LEN(IF($C201="","Falta el nombre de la actividad"&amp;" · ","")&amp;IF(AND($V201="Sub",N($U201)=0),"Subactividad sin macroactividad arriba"&amp;" · ","")&amp;IF($AM201="","Sin fecha de inicio"&amp;" · ","")&amp;IF($AN201="","Sin fecha límite"&amp;" · ","")&amp;IF(AND(LEFT($C201,11)="[Jefatura] ",N($AL201)=0),"No se encuentra en la hoja de la jefatura (elíjala de nuevo en la lista)"&amp;" · ","")&amp;IF(OR(AND($E201&lt;&gt;"",NOT(ISNUMBER($E201))),AND($F201&lt;&gt;"",NOT(ISNUMBER($F201))),AND($G201&lt;&gt;"",NOT(ISNUMBER($G201)))),"Fecha no válida"&amp;" · ","")&amp;IF(AND(ISNUMBER($AM201),ISNUMBER($AN201),$AM201&gt;$AN201),"Inicio posterior a fecha límite"&amp;" · ","")&amp;IF(AND($V201="Macro",$H201&lt;&gt;"",OR(NOT(ISNUMBER($H201)),$H201&lt;0,$H201&gt;1)),"Peso fuera de rango"&amp;" · ","")&amp;IF(AND($V201="Sub",$H201&lt;&gt;""),"Las subactividades no llevan peso (valen igual dentro de su macroactividad)"&amp;" · ","")&amp;IF(AND(N($W201)&gt;0,COUNT($I201:$L201)&gt;0),"Con subactividades: deje vacías las semanas (se calculan solas)"&amp;" · ","")&amp;IF((COUNTIF($I201:$L201,"&gt;1")+COUNTIF($I201:$L201,"&lt;0")+COUNTA($I201:$L201)-COUNT($I201:$L201))&gt;0,"Avance fuera de rango 0-100%"&amp;" · ","")&amp;IF(OR(AND($J201&lt;&gt;"",$J201&lt;$I201),AND($K201&lt;&gt;"",$K201&lt;MAX($I201:$J201)),AND($L201&lt;&gt;"",$L201&lt;MAX($I201:$K201))),"Avance semanal decreciente"&amp;" · ","")&amp;IF(AND(ISNUMBER($AN201),$AN201&lt;FechaRef,IF($V201="Sub",N($X201),N($M201))&lt;1),"Vencida"&amp;" · ","")&amp;IF(AND(ObsObligatoria="Sí",ISNUMBER($AN201),$AN201&lt;FechaRef,IF($V201="Sub",N($X201),N($M201))&lt;1,$Q201=""),"Vencida sin observación"&amp;" · ",""))-3)))</f>
        <v/>
      </c>
      <c r="S201" s="64">
        <f>IF(NOT((COUNTA($B201:$D201)+COUNTA($G201:$L201)+COUNTA($Q201))&gt;0),"",IF(AND($V201="Sub",N($U201)&gt;0),IF(ISNUMBER(INDEX($AM$5:$AM$1000,$U201-4)),DATE(YEAR(INDEX($AM$5:$AM$1000,$U201-4)),MONTH(INDEX($AM$5:$AM$1000,$U201-4)),1),IF(ISNUMBER(INDEX($AN$5:$AN$1000,$U201-4)),DATE(YEAR(INDEX($AN$5:$AN$1000,$U201-4)),MONTH(INDEX($AN$5:$AN$1000,$U201-4)),1),MesCiclo)),IF(ISNUMBER($AM201),DATE(YEAR($AM201),MONTH($AM201),1),IF(ISNUMBER($AN201),DATE(YEAR($AN201),MONTH($AN201),1),MesCiclo))))</f>
        <v/>
      </c>
      <c r="T201" s="62">
        <f>IF(OR($S201="",$S201&lt;&gt;MesCiclo,$V201&lt;&gt;"Macro"),"",COUNTIFS($S$5:$S201,MesCiclo,$V$5:$V201,"Macro"))</f>
        <v/>
      </c>
      <c r="U201" s="62">
        <f>IF($V201="","",IF($V201="Macro",ROW(),IFERROR(LOOKUP(2,1/($V$5:$V201="Macro"),ROW($V$5:$V201)),0)))</f>
        <v/>
      </c>
      <c r="V201" s="62">
        <f>IF(NOT((COUNTA($B201:$D201)+COUNTA($G201:$L201)+COUNTA($Q201))&gt;0),"",IF($B201="Subactividad","Sub","Macro"))</f>
        <v/>
      </c>
      <c r="W201" s="62">
        <f>IF($V201="Macro",COUNTIFS($U$5:$U$1000,ROW(),$V$5:$V$1000,"Sub"),"")</f>
        <v/>
      </c>
      <c r="X201" s="62">
        <f>IF($V201="","",IF(ISNUMBER($G201),1,IFERROR(LOOKUP(2,1/($I201:$L201&lt;&gt;""),$I201:$L201),0)))</f>
        <v/>
      </c>
      <c r="Y201" s="62">
        <f>IF($V201="","",IF(AND(ISNUMBER($G201),$G201&lt;=IF($S201=MesCiclo,InicioCiclo,$S201+MOD(2-WEEKDAY($S201),7))+6),1,IF(ISNUMBER($I201),$I201,0)))</f>
        <v/>
      </c>
      <c r="Z201" s="62">
        <f>IF($V201="","",IF(AND(ISNUMBER($G201),$G201&lt;=IF($S201=MesCiclo,InicioCiclo,$S201+MOD(2-WEEKDAY($S201),7))+13),1,IF(ISNUMBER($J201),$J201,$Y201)))</f>
        <v/>
      </c>
      <c r="AA201" s="62">
        <f>IF($V201="","",IF(AND(ISNUMBER($G201),$G201&lt;=IF($S201=MesCiclo,InicioCiclo,$S201+MOD(2-WEEKDAY($S201),7))+20),1,IF(ISNUMBER($K201),$K201,$Z201)))</f>
        <v/>
      </c>
      <c r="AB201" s="62">
        <f>IF($V201="","",IF(AND(ISNUMBER($G201),$G201&lt;=IF($S201=MesCiclo,InicioCiclo,$S201+MOD(2-WEEKDAY($S201),7))+27),1,IF(ISNUMBER($L201),$L201,$AA201)))</f>
        <v/>
      </c>
      <c r="AC201" s="62">
        <f>IF($V201="","",IF(AND(ISNUMBER($G201),$G201&lt;=IF($S201=MesCiclo,InicioCiclo,$S201+MOD(2-WEEKDAY($S201),7))+6),1,IF(N($W201)&gt;0,AVERAGEIFS($Y$5:$Y$1000,$U$5:$U$1000,ROW(),$V$5:$V$1000,"Sub"),$Y201)))</f>
        <v/>
      </c>
      <c r="AD201" s="62">
        <f>IF($V201="","",IF(AND(ISNUMBER($G201),$G201&lt;=IF($S201=MesCiclo,InicioCiclo,$S201+MOD(2-WEEKDAY($S201),7))+13),1,IF(N($W201)&gt;0,AVERAGEIFS($Z$5:$Z$1000,$U$5:$U$1000,ROW(),$V$5:$V$1000,"Sub"),$Z201)))</f>
        <v/>
      </c>
      <c r="AE201" s="62">
        <f>IF($V201="","",IF(AND(ISNUMBER($G201),$G201&lt;=IF($S201=MesCiclo,InicioCiclo,$S201+MOD(2-WEEKDAY($S201),7))+20),1,IF(N($W201)&gt;0,AVERAGEIFS($AA$5:$AA$1000,$U$5:$U$1000,ROW(),$V$5:$V$1000,"Sub"),$AA201)))</f>
        <v/>
      </c>
      <c r="AF201" s="62">
        <f>IF($V201="","",IF(AND(ISNUMBER($G201),$G201&lt;=IF($S201=MesCiclo,InicioCiclo,$S201+MOD(2-WEEKDAY($S201),7))+27),1,IF(N($W201)&gt;0,AVERAGEIFS($AB$5:$AB$1000,$U$5:$U$1000,ROW(),$V$5:$V$1000,"Sub"),$AB201)))</f>
        <v/>
      </c>
      <c r="AG201" s="62">
        <f>IF($V201&lt;&gt;"Macro","",IF(COUNTIFS($S$5:$S$1000,$S201,$V$5:$V$1000,"Macro",$H$5:$H$1000,"&gt;0")=0,1/COUNTIFS($S$5:$S$1000,$S201,$V$5:$V$1000,"Macro"),IF(AND(ISNUMBER($H201),N($H201)&gt;0),$H201,SUMIFS($H$5:$H$1000,$S$5:$S$1000,$S201,$V$5:$V$1000,"Macro")/COUNTIFS($S$5:$S$1000,$S201,$V$5:$V$1000,"Macro",$H$5:$H$1000,"&gt;0"))/(COUNTIFS($S$5:$S$1000,$S201,$V$5:$V$1000,"Macro")*SUMIFS($H$5:$H$1000,$S$5:$S$1000,$S201,$V$5:$V$1000,"Macro")/COUNTIFS($S$5:$S$1000,$S201,$V$5:$V$1000,"Macro",$H$5:$H$1000,"&gt;0"))))</f>
        <v/>
      </c>
      <c r="AH201" s="62" t="n"/>
      <c r="AI201" s="62" t="n"/>
      <c r="AJ201" s="62" t="n"/>
      <c r="AK201" s="62" t="n"/>
      <c r="AL201" s="62">
        <f>IF(LEFT($C201,11)="[Jefatura] ",IFERROR(MATCH("Riesgo Financiero|"&amp;MID($C201,12,500),rDname_ADM,0),0),"")</f>
        <v/>
      </c>
      <c r="AM201" s="62">
        <f>IF(N($AL201)&gt;0,INDEX(rIni_ADM,$AL201),IF(ISNUMBER($E201),$E201,""))</f>
        <v/>
      </c>
      <c r="AN201" s="62">
        <f>IF(N($AL201)&gt;0,INDEX(rLim_ADM,$AL201),IF(ISNUMBER($F201),$F201,""))</f>
        <v/>
      </c>
    </row>
    <row r="202">
      <c r="A202" s="56">
        <f>IF(NOT((COUNTA($B202:$D202)+COUNTA($G202:$L202)+COUNTA($Q202))&gt;0),"",IF($V202="Macro",COUNTIFS($V$5:$V202,"Macro",$S$5:$S202,$S202),IF(N($U202)=0,"?",COUNTIFS(INDEX($V$5:$V$1000,1):INDEX($V$5:$V$1000,$U202-4),"Macro",INDEX($S$5:$S$1000,1):INDEX($S$5:$S$1000,$U202-4),INDEX($S$5:$S$1000,$U202-4))&amp;"."&amp;COUNTIFS($U$5:$U202,$U202,$V$5:$V202,"Sub"))))</f>
        <v/>
      </c>
      <c r="B202" s="57" t="n"/>
      <c r="C202" s="58" t="n"/>
      <c r="D202" s="58" t="n"/>
      <c r="E202" s="59">
        <f>IF(N($AL202)&gt;0,INDEX(rIni_ADM,$AL202),"")</f>
        <v/>
      </c>
      <c r="F202" s="59">
        <f>IF(N($AL202)&gt;0,INDEX(rLim_ADM,$AL202),"")</f>
        <v/>
      </c>
      <c r="G202" s="59" t="n"/>
      <c r="H202" s="60" t="n"/>
      <c r="I202" s="60" t="n"/>
      <c r="J202" s="60" t="n"/>
      <c r="K202" s="60" t="n"/>
      <c r="L202" s="60" t="n"/>
      <c r="M202" s="61">
        <f>IF(NOT((COUNTA($B202:$D202)+COUNTA($G202:$L202)+COUNTA($Q202))&gt;0),"",IF($V202="Sub",IFERROR($X202/INDEX($W$5:$W$1000,$U202-4),""),IF(ISNUMBER($G202),1,IF(N($W202)&gt;0,AVERAGEIFS($X$5:$X$1000,$U$5:$U$1000,ROW(),$V$5:$V$1000,"Sub"),$X202))))</f>
        <v/>
      </c>
      <c r="N202" s="56">
        <f>IF(OR($M202="",$V202="Sub"),"",IF($M202&gt;=1,"Completado",IF($M202&gt;0,"En curso","Pendiente")))</f>
        <v/>
      </c>
      <c r="O202" s="56">
        <f>IF(OR(NOT((COUNTA($B202:$D202)+COUNTA($G202:$L202)+COUNTA($Q202))&gt;0),$V202="Sub"),"",IF(ISNUMBER($G202),IF(AND(ISNUMBER($AN202),$G202&gt;$AN202),"Cumplida con "&amp;($G202-$AN202)&amp;IF($G202-$AN202=1," día"," días")&amp;" de retraso","Cumplida"),IF(N($M202)&gt;=1,"Cumplida",IF(NOT(ISNUMBER($AN202)),"Sin fecha límite",IF($AN202&lt;FechaRef,"Vencida hace "&amp;(FechaRef-$AN202)&amp;IF(FechaRef-$AN202=1," día"," días"),IF($AN202=FechaRef,"Vence hoy",IF($AN202-FechaRef&lt;=DiasAlerta,"Vence en "&amp;($AN202-FechaRef)&amp;IF($AN202-FechaRef=1," día"," días"),"En plazo")))))))</f>
        <v/>
      </c>
      <c r="P202" s="62" t="n"/>
      <c r="Q202" s="58" t="n"/>
      <c r="R202" s="63">
        <f>IF(NOT((COUNTA($B202:$D202)+COUNTA($G202:$L202)+COUNTA($Q202))&gt;0),"",IF((IF($C202="","Falta el nombre de la actividad"&amp;" · ","")&amp;IF(AND($V202="Sub",N($U202)=0),"Subactividad sin macroactividad arriba"&amp;" · ","")&amp;IF($AM202="","Sin fecha de inicio"&amp;" · ","")&amp;IF($AN202="","Sin fecha límite"&amp;" · ","")&amp;IF(AND(LEFT($C202,11)="[Jefatura] ",N($AL202)=0),"No se encuentra en la hoja de la jefatura (elíjala de nuevo en la lista)"&amp;" · ","")&amp;IF(OR(AND($E202&lt;&gt;"",NOT(ISNUMBER($E202))),AND($F202&lt;&gt;"",NOT(ISNUMBER($F202))),AND($G202&lt;&gt;"",NOT(ISNUMBER($G202)))),"Fecha no válida"&amp;" · ","")&amp;IF(AND(ISNUMBER($AM202),ISNUMBER($AN202),$AM202&gt;$AN202),"Inicio posterior a fecha límite"&amp;" · ","")&amp;IF(AND($V202="Macro",$H202&lt;&gt;"",OR(NOT(ISNUMBER($H202)),$H202&lt;0,$H202&gt;1)),"Peso fuera de rango"&amp;" · ","")&amp;IF(AND($V202="Sub",$H202&lt;&gt;""),"Las subactividades no llevan peso (valen igual dentro de su macroactividad)"&amp;" · ","")&amp;IF(AND(N($W202)&gt;0,COUNT($I202:$L202)&gt;0),"Con subactividades: deje vacías las semanas (se calculan solas)"&amp;" · ","")&amp;IF((COUNTIF($I202:$L202,"&gt;1")+COUNTIF($I202:$L202,"&lt;0")+COUNTA($I202:$L202)-COUNT($I202:$L202))&gt;0,"Avance fuera de rango 0-100%"&amp;" · ","")&amp;IF(OR(AND($J202&lt;&gt;"",$J202&lt;$I202),AND($K202&lt;&gt;"",$K202&lt;MAX($I202:$J202)),AND($L202&lt;&gt;"",$L202&lt;MAX($I202:$K202))),"Avance semanal decreciente"&amp;" · ","")&amp;IF(AND(ISNUMBER($AN202),$AN202&lt;FechaRef,IF($V202="Sub",N($X202),N($M202))&lt;1),"Vencida"&amp;" · ","")&amp;IF(AND(ObsObligatoria="Sí",ISNUMBER($AN202),$AN202&lt;FechaRef,IF($V202="Sub",N($X202),N($M202))&lt;1,$Q202=""),"Vencida sin observación"&amp;" · ",""))="","✔ OK","⚠ "&amp;LEFT(IF($C202="","Falta el nombre de la actividad"&amp;" · ","")&amp;IF(AND($V202="Sub",N($U202)=0),"Subactividad sin macroactividad arriba"&amp;" · ","")&amp;IF($AM202="","Sin fecha de inicio"&amp;" · ","")&amp;IF($AN202="","Sin fecha límite"&amp;" · ","")&amp;IF(AND(LEFT($C202,11)="[Jefatura] ",N($AL202)=0),"No se encuentra en la hoja de la jefatura (elíjala de nuevo en la lista)"&amp;" · ","")&amp;IF(OR(AND($E202&lt;&gt;"",NOT(ISNUMBER($E202))),AND($F202&lt;&gt;"",NOT(ISNUMBER($F202))),AND($G202&lt;&gt;"",NOT(ISNUMBER($G202)))),"Fecha no válida"&amp;" · ","")&amp;IF(AND(ISNUMBER($AM202),ISNUMBER($AN202),$AM202&gt;$AN202),"Inicio posterior a fecha límite"&amp;" · ","")&amp;IF(AND($V202="Macro",$H202&lt;&gt;"",OR(NOT(ISNUMBER($H202)),$H202&lt;0,$H202&gt;1)),"Peso fuera de rango"&amp;" · ","")&amp;IF(AND($V202="Sub",$H202&lt;&gt;""),"Las subactividades no llevan peso (valen igual dentro de su macroactividad)"&amp;" · ","")&amp;IF(AND(N($W202)&gt;0,COUNT($I202:$L202)&gt;0),"Con subactividades: deje vacías las semanas (se calculan solas)"&amp;" · ","")&amp;IF((COUNTIF($I202:$L202,"&gt;1")+COUNTIF($I202:$L202,"&lt;0")+COUNTA($I202:$L202)-COUNT($I202:$L202))&gt;0,"Avance fuera de rango 0-100%"&amp;" · ","")&amp;IF(OR(AND($J202&lt;&gt;"",$J202&lt;$I202),AND($K202&lt;&gt;"",$K202&lt;MAX($I202:$J202)),AND($L202&lt;&gt;"",$L202&lt;MAX($I202:$K202))),"Avance semanal decreciente"&amp;" · ","")&amp;IF(AND(ISNUMBER($AN202),$AN202&lt;FechaRef,IF($V202="Sub",N($X202),N($M202))&lt;1),"Vencida"&amp;" · ","")&amp;IF(AND(ObsObligatoria="Sí",ISNUMBER($AN202),$AN202&lt;FechaRef,IF($V202="Sub",N($X202),N($M202))&lt;1,$Q202=""),"Vencida sin observación"&amp;" · ",""),LEN(IF($C202="","Falta el nombre de la actividad"&amp;" · ","")&amp;IF(AND($V202="Sub",N($U202)=0),"Subactividad sin macroactividad arriba"&amp;" · ","")&amp;IF($AM202="","Sin fecha de inicio"&amp;" · ","")&amp;IF($AN202="","Sin fecha límite"&amp;" · ","")&amp;IF(AND(LEFT($C202,11)="[Jefatura] ",N($AL202)=0),"No se encuentra en la hoja de la jefatura (elíjala de nuevo en la lista)"&amp;" · ","")&amp;IF(OR(AND($E202&lt;&gt;"",NOT(ISNUMBER($E202))),AND($F202&lt;&gt;"",NOT(ISNUMBER($F202))),AND($G202&lt;&gt;"",NOT(ISNUMBER($G202)))),"Fecha no válida"&amp;" · ","")&amp;IF(AND(ISNUMBER($AM202),ISNUMBER($AN202),$AM202&gt;$AN202),"Inicio posterior a fecha límite"&amp;" · ","")&amp;IF(AND($V202="Macro",$H202&lt;&gt;"",OR(NOT(ISNUMBER($H202)),$H202&lt;0,$H202&gt;1)),"Peso fuera de rango"&amp;" · ","")&amp;IF(AND($V202="Sub",$H202&lt;&gt;""),"Las subactividades no llevan peso (valen igual dentro de su macroactividad)"&amp;" · ","")&amp;IF(AND(N($W202)&gt;0,COUNT($I202:$L202)&gt;0),"Con subactividades: deje vacías las semanas (se calculan solas)"&amp;" · ","")&amp;IF((COUNTIF($I202:$L202,"&gt;1")+COUNTIF($I202:$L202,"&lt;0")+COUNTA($I202:$L202)-COUNT($I202:$L202))&gt;0,"Avance fuera de rango 0-100%"&amp;" · ","")&amp;IF(OR(AND($J202&lt;&gt;"",$J202&lt;$I202),AND($K202&lt;&gt;"",$K202&lt;MAX($I202:$J202)),AND($L202&lt;&gt;"",$L202&lt;MAX($I202:$K202))),"Avance semanal decreciente"&amp;" · ","")&amp;IF(AND(ISNUMBER($AN202),$AN202&lt;FechaRef,IF($V202="Sub",N($X202),N($M202))&lt;1),"Vencida"&amp;" · ","")&amp;IF(AND(ObsObligatoria="Sí",ISNUMBER($AN202),$AN202&lt;FechaRef,IF($V202="Sub",N($X202),N($M202))&lt;1,$Q202=""),"Vencida sin observación"&amp;" · ",""))-3)))</f>
        <v/>
      </c>
      <c r="S202" s="64">
        <f>IF(NOT((COUNTA($B202:$D202)+COUNTA($G202:$L202)+COUNTA($Q202))&gt;0),"",IF(AND($V202="Sub",N($U202)&gt;0),IF(ISNUMBER(INDEX($AM$5:$AM$1000,$U202-4)),DATE(YEAR(INDEX($AM$5:$AM$1000,$U202-4)),MONTH(INDEX($AM$5:$AM$1000,$U202-4)),1),IF(ISNUMBER(INDEX($AN$5:$AN$1000,$U202-4)),DATE(YEAR(INDEX($AN$5:$AN$1000,$U202-4)),MONTH(INDEX($AN$5:$AN$1000,$U202-4)),1),MesCiclo)),IF(ISNUMBER($AM202),DATE(YEAR($AM202),MONTH($AM202),1),IF(ISNUMBER($AN202),DATE(YEAR($AN202),MONTH($AN202),1),MesCiclo))))</f>
        <v/>
      </c>
      <c r="T202" s="62">
        <f>IF(OR($S202="",$S202&lt;&gt;MesCiclo,$V202&lt;&gt;"Macro"),"",COUNTIFS($S$5:$S202,MesCiclo,$V$5:$V202,"Macro"))</f>
        <v/>
      </c>
      <c r="U202" s="62">
        <f>IF($V202="","",IF($V202="Macro",ROW(),IFERROR(LOOKUP(2,1/($V$5:$V202="Macro"),ROW($V$5:$V202)),0)))</f>
        <v/>
      </c>
      <c r="V202" s="62">
        <f>IF(NOT((COUNTA($B202:$D202)+COUNTA($G202:$L202)+COUNTA($Q202))&gt;0),"",IF($B202="Subactividad","Sub","Macro"))</f>
        <v/>
      </c>
      <c r="W202" s="62">
        <f>IF($V202="Macro",COUNTIFS($U$5:$U$1000,ROW(),$V$5:$V$1000,"Sub"),"")</f>
        <v/>
      </c>
      <c r="X202" s="62">
        <f>IF($V202="","",IF(ISNUMBER($G202),1,IFERROR(LOOKUP(2,1/($I202:$L202&lt;&gt;""),$I202:$L202),0)))</f>
        <v/>
      </c>
      <c r="Y202" s="62">
        <f>IF($V202="","",IF(AND(ISNUMBER($G202),$G202&lt;=IF($S202=MesCiclo,InicioCiclo,$S202+MOD(2-WEEKDAY($S202),7))+6),1,IF(ISNUMBER($I202),$I202,0)))</f>
        <v/>
      </c>
      <c r="Z202" s="62">
        <f>IF($V202="","",IF(AND(ISNUMBER($G202),$G202&lt;=IF($S202=MesCiclo,InicioCiclo,$S202+MOD(2-WEEKDAY($S202),7))+13),1,IF(ISNUMBER($J202),$J202,$Y202)))</f>
        <v/>
      </c>
      <c r="AA202" s="62">
        <f>IF($V202="","",IF(AND(ISNUMBER($G202),$G202&lt;=IF($S202=MesCiclo,InicioCiclo,$S202+MOD(2-WEEKDAY($S202),7))+20),1,IF(ISNUMBER($K202),$K202,$Z202)))</f>
        <v/>
      </c>
      <c r="AB202" s="62">
        <f>IF($V202="","",IF(AND(ISNUMBER($G202),$G202&lt;=IF($S202=MesCiclo,InicioCiclo,$S202+MOD(2-WEEKDAY($S202),7))+27),1,IF(ISNUMBER($L202),$L202,$AA202)))</f>
        <v/>
      </c>
      <c r="AC202" s="62">
        <f>IF($V202="","",IF(AND(ISNUMBER($G202),$G202&lt;=IF($S202=MesCiclo,InicioCiclo,$S202+MOD(2-WEEKDAY($S202),7))+6),1,IF(N($W202)&gt;0,AVERAGEIFS($Y$5:$Y$1000,$U$5:$U$1000,ROW(),$V$5:$V$1000,"Sub"),$Y202)))</f>
        <v/>
      </c>
      <c r="AD202" s="62">
        <f>IF($V202="","",IF(AND(ISNUMBER($G202),$G202&lt;=IF($S202=MesCiclo,InicioCiclo,$S202+MOD(2-WEEKDAY($S202),7))+13),1,IF(N($W202)&gt;0,AVERAGEIFS($Z$5:$Z$1000,$U$5:$U$1000,ROW(),$V$5:$V$1000,"Sub"),$Z202)))</f>
        <v/>
      </c>
      <c r="AE202" s="62">
        <f>IF($V202="","",IF(AND(ISNUMBER($G202),$G202&lt;=IF($S202=MesCiclo,InicioCiclo,$S202+MOD(2-WEEKDAY($S202),7))+20),1,IF(N($W202)&gt;0,AVERAGEIFS($AA$5:$AA$1000,$U$5:$U$1000,ROW(),$V$5:$V$1000,"Sub"),$AA202)))</f>
        <v/>
      </c>
      <c r="AF202" s="62">
        <f>IF($V202="","",IF(AND(ISNUMBER($G202),$G202&lt;=IF($S202=MesCiclo,InicioCiclo,$S202+MOD(2-WEEKDAY($S202),7))+27),1,IF(N($W202)&gt;0,AVERAGEIFS($AB$5:$AB$1000,$U$5:$U$1000,ROW(),$V$5:$V$1000,"Sub"),$AB202)))</f>
        <v/>
      </c>
      <c r="AG202" s="62">
        <f>IF($V202&lt;&gt;"Macro","",IF(COUNTIFS($S$5:$S$1000,$S202,$V$5:$V$1000,"Macro",$H$5:$H$1000,"&gt;0")=0,1/COUNTIFS($S$5:$S$1000,$S202,$V$5:$V$1000,"Macro"),IF(AND(ISNUMBER($H202),N($H202)&gt;0),$H202,SUMIFS($H$5:$H$1000,$S$5:$S$1000,$S202,$V$5:$V$1000,"Macro")/COUNTIFS($S$5:$S$1000,$S202,$V$5:$V$1000,"Macro",$H$5:$H$1000,"&gt;0"))/(COUNTIFS($S$5:$S$1000,$S202,$V$5:$V$1000,"Macro")*SUMIFS($H$5:$H$1000,$S$5:$S$1000,$S202,$V$5:$V$1000,"Macro")/COUNTIFS($S$5:$S$1000,$S202,$V$5:$V$1000,"Macro",$H$5:$H$1000,"&gt;0"))))</f>
        <v/>
      </c>
      <c r="AH202" s="62" t="n"/>
      <c r="AI202" s="62" t="n"/>
      <c r="AJ202" s="62" t="n"/>
      <c r="AK202" s="62" t="n"/>
      <c r="AL202" s="62">
        <f>IF(LEFT($C202,11)="[Jefatura] ",IFERROR(MATCH("Riesgo Financiero|"&amp;MID($C202,12,500),rDname_ADM,0),0),"")</f>
        <v/>
      </c>
      <c r="AM202" s="62">
        <f>IF(N($AL202)&gt;0,INDEX(rIni_ADM,$AL202),IF(ISNUMBER($E202),$E202,""))</f>
        <v/>
      </c>
      <c r="AN202" s="62">
        <f>IF(N($AL202)&gt;0,INDEX(rLim_ADM,$AL202),IF(ISNUMBER($F202),$F202,""))</f>
        <v/>
      </c>
    </row>
    <row r="203">
      <c r="A203" s="56">
        <f>IF(NOT((COUNTA($B203:$D203)+COUNTA($G203:$L203)+COUNTA($Q203))&gt;0),"",IF($V203="Macro",COUNTIFS($V$5:$V203,"Macro",$S$5:$S203,$S203),IF(N($U203)=0,"?",COUNTIFS(INDEX($V$5:$V$1000,1):INDEX($V$5:$V$1000,$U203-4),"Macro",INDEX($S$5:$S$1000,1):INDEX($S$5:$S$1000,$U203-4),INDEX($S$5:$S$1000,$U203-4))&amp;"."&amp;COUNTIFS($U$5:$U203,$U203,$V$5:$V203,"Sub"))))</f>
        <v/>
      </c>
      <c r="B203" s="57" t="n"/>
      <c r="C203" s="58" t="n"/>
      <c r="D203" s="58" t="n"/>
      <c r="E203" s="59">
        <f>IF(N($AL203)&gt;0,INDEX(rIni_ADM,$AL203),"")</f>
        <v/>
      </c>
      <c r="F203" s="59">
        <f>IF(N($AL203)&gt;0,INDEX(rLim_ADM,$AL203),"")</f>
        <v/>
      </c>
      <c r="G203" s="59" t="n"/>
      <c r="H203" s="60" t="n"/>
      <c r="I203" s="60" t="n"/>
      <c r="J203" s="60" t="n"/>
      <c r="K203" s="60" t="n"/>
      <c r="L203" s="60" t="n"/>
      <c r="M203" s="61">
        <f>IF(NOT((COUNTA($B203:$D203)+COUNTA($G203:$L203)+COUNTA($Q203))&gt;0),"",IF($V203="Sub",IFERROR($X203/INDEX($W$5:$W$1000,$U203-4),""),IF(ISNUMBER($G203),1,IF(N($W203)&gt;0,AVERAGEIFS($X$5:$X$1000,$U$5:$U$1000,ROW(),$V$5:$V$1000,"Sub"),$X203))))</f>
        <v/>
      </c>
      <c r="N203" s="56">
        <f>IF(OR($M203="",$V203="Sub"),"",IF($M203&gt;=1,"Completado",IF($M203&gt;0,"En curso","Pendiente")))</f>
        <v/>
      </c>
      <c r="O203" s="56">
        <f>IF(OR(NOT((COUNTA($B203:$D203)+COUNTA($G203:$L203)+COUNTA($Q203))&gt;0),$V203="Sub"),"",IF(ISNUMBER($G203),IF(AND(ISNUMBER($AN203),$G203&gt;$AN203),"Cumplida con "&amp;($G203-$AN203)&amp;IF($G203-$AN203=1," día"," días")&amp;" de retraso","Cumplida"),IF(N($M203)&gt;=1,"Cumplida",IF(NOT(ISNUMBER($AN203)),"Sin fecha límite",IF($AN203&lt;FechaRef,"Vencida hace "&amp;(FechaRef-$AN203)&amp;IF(FechaRef-$AN203=1," día"," días"),IF($AN203=FechaRef,"Vence hoy",IF($AN203-FechaRef&lt;=DiasAlerta,"Vence en "&amp;($AN203-FechaRef)&amp;IF($AN203-FechaRef=1," día"," días"),"En plazo")))))))</f>
        <v/>
      </c>
      <c r="P203" s="62" t="n"/>
      <c r="Q203" s="58" t="n"/>
      <c r="R203" s="63">
        <f>IF(NOT((COUNTA($B203:$D203)+COUNTA($G203:$L203)+COUNTA($Q203))&gt;0),"",IF((IF($C203="","Falta el nombre de la actividad"&amp;" · ","")&amp;IF(AND($V203="Sub",N($U203)=0),"Subactividad sin macroactividad arriba"&amp;" · ","")&amp;IF($AM203="","Sin fecha de inicio"&amp;" · ","")&amp;IF($AN203="","Sin fecha límite"&amp;" · ","")&amp;IF(AND(LEFT($C203,11)="[Jefatura] ",N($AL203)=0),"No se encuentra en la hoja de la jefatura (elíjala de nuevo en la lista)"&amp;" · ","")&amp;IF(OR(AND($E203&lt;&gt;"",NOT(ISNUMBER($E203))),AND($F203&lt;&gt;"",NOT(ISNUMBER($F203))),AND($G203&lt;&gt;"",NOT(ISNUMBER($G203)))),"Fecha no válida"&amp;" · ","")&amp;IF(AND(ISNUMBER($AM203),ISNUMBER($AN203),$AM203&gt;$AN203),"Inicio posterior a fecha límite"&amp;" · ","")&amp;IF(AND($V203="Macro",$H203&lt;&gt;"",OR(NOT(ISNUMBER($H203)),$H203&lt;0,$H203&gt;1)),"Peso fuera de rango"&amp;" · ","")&amp;IF(AND($V203="Sub",$H203&lt;&gt;""),"Las subactividades no llevan peso (valen igual dentro de su macroactividad)"&amp;" · ","")&amp;IF(AND(N($W203)&gt;0,COUNT($I203:$L203)&gt;0),"Con subactividades: deje vacías las semanas (se calculan solas)"&amp;" · ","")&amp;IF((COUNTIF($I203:$L203,"&gt;1")+COUNTIF($I203:$L203,"&lt;0")+COUNTA($I203:$L203)-COUNT($I203:$L203))&gt;0,"Avance fuera de rango 0-100%"&amp;" · ","")&amp;IF(OR(AND($J203&lt;&gt;"",$J203&lt;$I203),AND($K203&lt;&gt;"",$K203&lt;MAX($I203:$J203)),AND($L203&lt;&gt;"",$L203&lt;MAX($I203:$K203))),"Avance semanal decreciente"&amp;" · ","")&amp;IF(AND(ISNUMBER($AN203),$AN203&lt;FechaRef,IF($V203="Sub",N($X203),N($M203))&lt;1),"Vencida"&amp;" · ","")&amp;IF(AND(ObsObligatoria="Sí",ISNUMBER($AN203),$AN203&lt;FechaRef,IF($V203="Sub",N($X203),N($M203))&lt;1,$Q203=""),"Vencida sin observación"&amp;" · ",""))="","✔ OK","⚠ "&amp;LEFT(IF($C203="","Falta el nombre de la actividad"&amp;" · ","")&amp;IF(AND($V203="Sub",N($U203)=0),"Subactividad sin macroactividad arriba"&amp;" · ","")&amp;IF($AM203="","Sin fecha de inicio"&amp;" · ","")&amp;IF($AN203="","Sin fecha límite"&amp;" · ","")&amp;IF(AND(LEFT($C203,11)="[Jefatura] ",N($AL203)=0),"No se encuentra en la hoja de la jefatura (elíjala de nuevo en la lista)"&amp;" · ","")&amp;IF(OR(AND($E203&lt;&gt;"",NOT(ISNUMBER($E203))),AND($F203&lt;&gt;"",NOT(ISNUMBER($F203))),AND($G203&lt;&gt;"",NOT(ISNUMBER($G203)))),"Fecha no válida"&amp;" · ","")&amp;IF(AND(ISNUMBER($AM203),ISNUMBER($AN203),$AM203&gt;$AN203),"Inicio posterior a fecha límite"&amp;" · ","")&amp;IF(AND($V203="Macro",$H203&lt;&gt;"",OR(NOT(ISNUMBER($H203)),$H203&lt;0,$H203&gt;1)),"Peso fuera de rango"&amp;" · ","")&amp;IF(AND($V203="Sub",$H203&lt;&gt;""),"Las subactividades no llevan peso (valen igual dentro de su macroactividad)"&amp;" · ","")&amp;IF(AND(N($W203)&gt;0,COUNT($I203:$L203)&gt;0),"Con subactividades: deje vacías las semanas (se calculan solas)"&amp;" · ","")&amp;IF((COUNTIF($I203:$L203,"&gt;1")+COUNTIF($I203:$L203,"&lt;0")+COUNTA($I203:$L203)-COUNT($I203:$L203))&gt;0,"Avance fuera de rango 0-100%"&amp;" · ","")&amp;IF(OR(AND($J203&lt;&gt;"",$J203&lt;$I203),AND($K203&lt;&gt;"",$K203&lt;MAX($I203:$J203)),AND($L203&lt;&gt;"",$L203&lt;MAX($I203:$K203))),"Avance semanal decreciente"&amp;" · ","")&amp;IF(AND(ISNUMBER($AN203),$AN203&lt;FechaRef,IF($V203="Sub",N($X203),N($M203))&lt;1),"Vencida"&amp;" · ","")&amp;IF(AND(ObsObligatoria="Sí",ISNUMBER($AN203),$AN203&lt;FechaRef,IF($V203="Sub",N($X203),N($M203))&lt;1,$Q203=""),"Vencida sin observación"&amp;" · ",""),LEN(IF($C203="","Falta el nombre de la actividad"&amp;" · ","")&amp;IF(AND($V203="Sub",N($U203)=0),"Subactividad sin macroactividad arriba"&amp;" · ","")&amp;IF($AM203="","Sin fecha de inicio"&amp;" · ","")&amp;IF($AN203="","Sin fecha límite"&amp;" · ","")&amp;IF(AND(LEFT($C203,11)="[Jefatura] ",N($AL203)=0),"No se encuentra en la hoja de la jefatura (elíjala de nuevo en la lista)"&amp;" · ","")&amp;IF(OR(AND($E203&lt;&gt;"",NOT(ISNUMBER($E203))),AND($F203&lt;&gt;"",NOT(ISNUMBER($F203))),AND($G203&lt;&gt;"",NOT(ISNUMBER($G203)))),"Fecha no válida"&amp;" · ","")&amp;IF(AND(ISNUMBER($AM203),ISNUMBER($AN203),$AM203&gt;$AN203),"Inicio posterior a fecha límite"&amp;" · ","")&amp;IF(AND($V203="Macro",$H203&lt;&gt;"",OR(NOT(ISNUMBER($H203)),$H203&lt;0,$H203&gt;1)),"Peso fuera de rango"&amp;" · ","")&amp;IF(AND($V203="Sub",$H203&lt;&gt;""),"Las subactividades no llevan peso (valen igual dentro de su macroactividad)"&amp;" · ","")&amp;IF(AND(N($W203)&gt;0,COUNT($I203:$L203)&gt;0),"Con subactividades: deje vacías las semanas (se calculan solas)"&amp;" · ","")&amp;IF((COUNTIF($I203:$L203,"&gt;1")+COUNTIF($I203:$L203,"&lt;0")+COUNTA($I203:$L203)-COUNT($I203:$L203))&gt;0,"Avance fuera de rango 0-100%"&amp;" · ","")&amp;IF(OR(AND($J203&lt;&gt;"",$J203&lt;$I203),AND($K203&lt;&gt;"",$K203&lt;MAX($I203:$J203)),AND($L203&lt;&gt;"",$L203&lt;MAX($I203:$K203))),"Avance semanal decreciente"&amp;" · ","")&amp;IF(AND(ISNUMBER($AN203),$AN203&lt;FechaRef,IF($V203="Sub",N($X203),N($M203))&lt;1),"Vencida"&amp;" · ","")&amp;IF(AND(ObsObligatoria="Sí",ISNUMBER($AN203),$AN203&lt;FechaRef,IF($V203="Sub",N($X203),N($M203))&lt;1,$Q203=""),"Vencida sin observación"&amp;" · ",""))-3)))</f>
        <v/>
      </c>
      <c r="S203" s="64">
        <f>IF(NOT((COUNTA($B203:$D203)+COUNTA($G203:$L203)+COUNTA($Q203))&gt;0),"",IF(AND($V203="Sub",N($U203)&gt;0),IF(ISNUMBER(INDEX($AM$5:$AM$1000,$U203-4)),DATE(YEAR(INDEX($AM$5:$AM$1000,$U203-4)),MONTH(INDEX($AM$5:$AM$1000,$U203-4)),1),IF(ISNUMBER(INDEX($AN$5:$AN$1000,$U203-4)),DATE(YEAR(INDEX($AN$5:$AN$1000,$U203-4)),MONTH(INDEX($AN$5:$AN$1000,$U203-4)),1),MesCiclo)),IF(ISNUMBER($AM203),DATE(YEAR($AM203),MONTH($AM203),1),IF(ISNUMBER($AN203),DATE(YEAR($AN203),MONTH($AN203),1),MesCiclo))))</f>
        <v/>
      </c>
      <c r="T203" s="62">
        <f>IF(OR($S203="",$S203&lt;&gt;MesCiclo,$V203&lt;&gt;"Macro"),"",COUNTIFS($S$5:$S203,MesCiclo,$V$5:$V203,"Macro"))</f>
        <v/>
      </c>
      <c r="U203" s="62">
        <f>IF($V203="","",IF($V203="Macro",ROW(),IFERROR(LOOKUP(2,1/($V$5:$V203="Macro"),ROW($V$5:$V203)),0)))</f>
        <v/>
      </c>
      <c r="V203" s="62">
        <f>IF(NOT((COUNTA($B203:$D203)+COUNTA($G203:$L203)+COUNTA($Q203))&gt;0),"",IF($B203="Subactividad","Sub","Macro"))</f>
        <v/>
      </c>
      <c r="W203" s="62">
        <f>IF($V203="Macro",COUNTIFS($U$5:$U$1000,ROW(),$V$5:$V$1000,"Sub"),"")</f>
        <v/>
      </c>
      <c r="X203" s="62">
        <f>IF($V203="","",IF(ISNUMBER($G203),1,IFERROR(LOOKUP(2,1/($I203:$L203&lt;&gt;""),$I203:$L203),0)))</f>
        <v/>
      </c>
      <c r="Y203" s="62">
        <f>IF($V203="","",IF(AND(ISNUMBER($G203),$G203&lt;=IF($S203=MesCiclo,InicioCiclo,$S203+MOD(2-WEEKDAY($S203),7))+6),1,IF(ISNUMBER($I203),$I203,0)))</f>
        <v/>
      </c>
      <c r="Z203" s="62">
        <f>IF($V203="","",IF(AND(ISNUMBER($G203),$G203&lt;=IF($S203=MesCiclo,InicioCiclo,$S203+MOD(2-WEEKDAY($S203),7))+13),1,IF(ISNUMBER($J203),$J203,$Y203)))</f>
        <v/>
      </c>
      <c r="AA203" s="62">
        <f>IF($V203="","",IF(AND(ISNUMBER($G203),$G203&lt;=IF($S203=MesCiclo,InicioCiclo,$S203+MOD(2-WEEKDAY($S203),7))+20),1,IF(ISNUMBER($K203),$K203,$Z203)))</f>
        <v/>
      </c>
      <c r="AB203" s="62">
        <f>IF($V203="","",IF(AND(ISNUMBER($G203),$G203&lt;=IF($S203=MesCiclo,InicioCiclo,$S203+MOD(2-WEEKDAY($S203),7))+27),1,IF(ISNUMBER($L203),$L203,$AA203)))</f>
        <v/>
      </c>
      <c r="AC203" s="62">
        <f>IF($V203="","",IF(AND(ISNUMBER($G203),$G203&lt;=IF($S203=MesCiclo,InicioCiclo,$S203+MOD(2-WEEKDAY($S203),7))+6),1,IF(N($W203)&gt;0,AVERAGEIFS($Y$5:$Y$1000,$U$5:$U$1000,ROW(),$V$5:$V$1000,"Sub"),$Y203)))</f>
        <v/>
      </c>
      <c r="AD203" s="62">
        <f>IF($V203="","",IF(AND(ISNUMBER($G203),$G203&lt;=IF($S203=MesCiclo,InicioCiclo,$S203+MOD(2-WEEKDAY($S203),7))+13),1,IF(N($W203)&gt;0,AVERAGEIFS($Z$5:$Z$1000,$U$5:$U$1000,ROW(),$V$5:$V$1000,"Sub"),$Z203)))</f>
        <v/>
      </c>
      <c r="AE203" s="62">
        <f>IF($V203="","",IF(AND(ISNUMBER($G203),$G203&lt;=IF($S203=MesCiclo,InicioCiclo,$S203+MOD(2-WEEKDAY($S203),7))+20),1,IF(N($W203)&gt;0,AVERAGEIFS($AA$5:$AA$1000,$U$5:$U$1000,ROW(),$V$5:$V$1000,"Sub"),$AA203)))</f>
        <v/>
      </c>
      <c r="AF203" s="62">
        <f>IF($V203="","",IF(AND(ISNUMBER($G203),$G203&lt;=IF($S203=MesCiclo,InicioCiclo,$S203+MOD(2-WEEKDAY($S203),7))+27),1,IF(N($W203)&gt;0,AVERAGEIFS($AB$5:$AB$1000,$U$5:$U$1000,ROW(),$V$5:$V$1000,"Sub"),$AB203)))</f>
        <v/>
      </c>
      <c r="AG203" s="62">
        <f>IF($V203&lt;&gt;"Macro","",IF(COUNTIFS($S$5:$S$1000,$S203,$V$5:$V$1000,"Macro",$H$5:$H$1000,"&gt;0")=0,1/COUNTIFS($S$5:$S$1000,$S203,$V$5:$V$1000,"Macro"),IF(AND(ISNUMBER($H203),N($H203)&gt;0),$H203,SUMIFS($H$5:$H$1000,$S$5:$S$1000,$S203,$V$5:$V$1000,"Macro")/COUNTIFS($S$5:$S$1000,$S203,$V$5:$V$1000,"Macro",$H$5:$H$1000,"&gt;0"))/(COUNTIFS($S$5:$S$1000,$S203,$V$5:$V$1000,"Macro")*SUMIFS($H$5:$H$1000,$S$5:$S$1000,$S203,$V$5:$V$1000,"Macro")/COUNTIFS($S$5:$S$1000,$S203,$V$5:$V$1000,"Macro",$H$5:$H$1000,"&gt;0"))))</f>
        <v/>
      </c>
      <c r="AH203" s="62" t="n"/>
      <c r="AI203" s="62" t="n"/>
      <c r="AJ203" s="62" t="n"/>
      <c r="AK203" s="62" t="n"/>
      <c r="AL203" s="62">
        <f>IF(LEFT($C203,11)="[Jefatura] ",IFERROR(MATCH("Riesgo Financiero|"&amp;MID($C203,12,500),rDname_ADM,0),0),"")</f>
        <v/>
      </c>
      <c r="AM203" s="62">
        <f>IF(N($AL203)&gt;0,INDEX(rIni_ADM,$AL203),IF(ISNUMBER($E203),$E203,""))</f>
        <v/>
      </c>
      <c r="AN203" s="62">
        <f>IF(N($AL203)&gt;0,INDEX(rLim_ADM,$AL203),IF(ISNUMBER($F203),$F203,""))</f>
        <v/>
      </c>
    </row>
    <row r="204">
      <c r="A204" s="56">
        <f>IF(NOT((COUNTA($B204:$D204)+COUNTA($G204:$L204)+COUNTA($Q204))&gt;0),"",IF($V204="Macro",COUNTIFS($V$5:$V204,"Macro",$S$5:$S204,$S204),IF(N($U204)=0,"?",COUNTIFS(INDEX($V$5:$V$1000,1):INDEX($V$5:$V$1000,$U204-4),"Macro",INDEX($S$5:$S$1000,1):INDEX($S$5:$S$1000,$U204-4),INDEX($S$5:$S$1000,$U204-4))&amp;"."&amp;COUNTIFS($U$5:$U204,$U204,$V$5:$V204,"Sub"))))</f>
        <v/>
      </c>
      <c r="B204" s="57" t="n"/>
      <c r="C204" s="58" t="n"/>
      <c r="D204" s="58" t="n"/>
      <c r="E204" s="59">
        <f>IF(N($AL204)&gt;0,INDEX(rIni_ADM,$AL204),"")</f>
        <v/>
      </c>
      <c r="F204" s="59">
        <f>IF(N($AL204)&gt;0,INDEX(rLim_ADM,$AL204),"")</f>
        <v/>
      </c>
      <c r="G204" s="59" t="n"/>
      <c r="H204" s="60" t="n"/>
      <c r="I204" s="60" t="n"/>
      <c r="J204" s="60" t="n"/>
      <c r="K204" s="60" t="n"/>
      <c r="L204" s="60" t="n"/>
      <c r="M204" s="61">
        <f>IF(NOT((COUNTA($B204:$D204)+COUNTA($G204:$L204)+COUNTA($Q204))&gt;0),"",IF($V204="Sub",IFERROR($X204/INDEX($W$5:$W$1000,$U204-4),""),IF(ISNUMBER($G204),1,IF(N($W204)&gt;0,AVERAGEIFS($X$5:$X$1000,$U$5:$U$1000,ROW(),$V$5:$V$1000,"Sub"),$X204))))</f>
        <v/>
      </c>
      <c r="N204" s="56">
        <f>IF(OR($M204="",$V204="Sub"),"",IF($M204&gt;=1,"Completado",IF($M204&gt;0,"En curso","Pendiente")))</f>
        <v/>
      </c>
      <c r="O204" s="56">
        <f>IF(OR(NOT((COUNTA($B204:$D204)+COUNTA($G204:$L204)+COUNTA($Q204))&gt;0),$V204="Sub"),"",IF(ISNUMBER($G204),IF(AND(ISNUMBER($AN204),$G204&gt;$AN204),"Cumplida con "&amp;($G204-$AN204)&amp;IF($G204-$AN204=1," día"," días")&amp;" de retraso","Cumplida"),IF(N($M204)&gt;=1,"Cumplida",IF(NOT(ISNUMBER($AN204)),"Sin fecha límite",IF($AN204&lt;FechaRef,"Vencida hace "&amp;(FechaRef-$AN204)&amp;IF(FechaRef-$AN204=1," día"," días"),IF($AN204=FechaRef,"Vence hoy",IF($AN204-FechaRef&lt;=DiasAlerta,"Vence en "&amp;($AN204-FechaRef)&amp;IF($AN204-FechaRef=1," día"," días"),"En plazo")))))))</f>
        <v/>
      </c>
      <c r="P204" s="62" t="n"/>
      <c r="Q204" s="58" t="n"/>
      <c r="R204" s="63">
        <f>IF(NOT((COUNTA($B204:$D204)+COUNTA($G204:$L204)+COUNTA($Q204))&gt;0),"",IF((IF($C204="","Falta el nombre de la actividad"&amp;" · ","")&amp;IF(AND($V204="Sub",N($U204)=0),"Subactividad sin macroactividad arriba"&amp;" · ","")&amp;IF($AM204="","Sin fecha de inicio"&amp;" · ","")&amp;IF($AN204="","Sin fecha límite"&amp;" · ","")&amp;IF(AND(LEFT($C204,11)="[Jefatura] ",N($AL204)=0),"No se encuentra en la hoja de la jefatura (elíjala de nuevo en la lista)"&amp;" · ","")&amp;IF(OR(AND($E204&lt;&gt;"",NOT(ISNUMBER($E204))),AND($F204&lt;&gt;"",NOT(ISNUMBER($F204))),AND($G204&lt;&gt;"",NOT(ISNUMBER($G204)))),"Fecha no válida"&amp;" · ","")&amp;IF(AND(ISNUMBER($AM204),ISNUMBER($AN204),$AM204&gt;$AN204),"Inicio posterior a fecha límite"&amp;" · ","")&amp;IF(AND($V204="Macro",$H204&lt;&gt;"",OR(NOT(ISNUMBER($H204)),$H204&lt;0,$H204&gt;1)),"Peso fuera de rango"&amp;" · ","")&amp;IF(AND($V204="Sub",$H204&lt;&gt;""),"Las subactividades no llevan peso (valen igual dentro de su macroactividad)"&amp;" · ","")&amp;IF(AND(N($W204)&gt;0,COUNT($I204:$L204)&gt;0),"Con subactividades: deje vacías las semanas (se calculan solas)"&amp;" · ","")&amp;IF((COUNTIF($I204:$L204,"&gt;1")+COUNTIF($I204:$L204,"&lt;0")+COUNTA($I204:$L204)-COUNT($I204:$L204))&gt;0,"Avance fuera de rango 0-100%"&amp;" · ","")&amp;IF(OR(AND($J204&lt;&gt;"",$J204&lt;$I204),AND($K204&lt;&gt;"",$K204&lt;MAX($I204:$J204)),AND($L204&lt;&gt;"",$L204&lt;MAX($I204:$K204))),"Avance semanal decreciente"&amp;" · ","")&amp;IF(AND(ISNUMBER($AN204),$AN204&lt;FechaRef,IF($V204="Sub",N($X204),N($M204))&lt;1),"Vencida"&amp;" · ","")&amp;IF(AND(ObsObligatoria="Sí",ISNUMBER($AN204),$AN204&lt;FechaRef,IF($V204="Sub",N($X204),N($M204))&lt;1,$Q204=""),"Vencida sin observación"&amp;" · ",""))="","✔ OK","⚠ "&amp;LEFT(IF($C204="","Falta el nombre de la actividad"&amp;" · ","")&amp;IF(AND($V204="Sub",N($U204)=0),"Subactividad sin macroactividad arriba"&amp;" · ","")&amp;IF($AM204="","Sin fecha de inicio"&amp;" · ","")&amp;IF($AN204="","Sin fecha límite"&amp;" · ","")&amp;IF(AND(LEFT($C204,11)="[Jefatura] ",N($AL204)=0),"No se encuentra en la hoja de la jefatura (elíjala de nuevo en la lista)"&amp;" · ","")&amp;IF(OR(AND($E204&lt;&gt;"",NOT(ISNUMBER($E204))),AND($F204&lt;&gt;"",NOT(ISNUMBER($F204))),AND($G204&lt;&gt;"",NOT(ISNUMBER($G204)))),"Fecha no válida"&amp;" · ","")&amp;IF(AND(ISNUMBER($AM204),ISNUMBER($AN204),$AM204&gt;$AN204),"Inicio posterior a fecha límite"&amp;" · ","")&amp;IF(AND($V204="Macro",$H204&lt;&gt;"",OR(NOT(ISNUMBER($H204)),$H204&lt;0,$H204&gt;1)),"Peso fuera de rango"&amp;" · ","")&amp;IF(AND($V204="Sub",$H204&lt;&gt;""),"Las subactividades no llevan peso (valen igual dentro de su macroactividad)"&amp;" · ","")&amp;IF(AND(N($W204)&gt;0,COUNT($I204:$L204)&gt;0),"Con subactividades: deje vacías las semanas (se calculan solas)"&amp;" · ","")&amp;IF((COUNTIF($I204:$L204,"&gt;1")+COUNTIF($I204:$L204,"&lt;0")+COUNTA($I204:$L204)-COUNT($I204:$L204))&gt;0,"Avance fuera de rango 0-100%"&amp;" · ","")&amp;IF(OR(AND($J204&lt;&gt;"",$J204&lt;$I204),AND($K204&lt;&gt;"",$K204&lt;MAX($I204:$J204)),AND($L204&lt;&gt;"",$L204&lt;MAX($I204:$K204))),"Avance semanal decreciente"&amp;" · ","")&amp;IF(AND(ISNUMBER($AN204),$AN204&lt;FechaRef,IF($V204="Sub",N($X204),N($M204))&lt;1),"Vencida"&amp;" · ","")&amp;IF(AND(ObsObligatoria="Sí",ISNUMBER($AN204),$AN204&lt;FechaRef,IF($V204="Sub",N($X204),N($M204))&lt;1,$Q204=""),"Vencida sin observación"&amp;" · ",""),LEN(IF($C204="","Falta el nombre de la actividad"&amp;" · ","")&amp;IF(AND($V204="Sub",N($U204)=0),"Subactividad sin macroactividad arriba"&amp;" · ","")&amp;IF($AM204="","Sin fecha de inicio"&amp;" · ","")&amp;IF($AN204="","Sin fecha límite"&amp;" · ","")&amp;IF(AND(LEFT($C204,11)="[Jefatura] ",N($AL204)=0),"No se encuentra en la hoja de la jefatura (elíjala de nuevo en la lista)"&amp;" · ","")&amp;IF(OR(AND($E204&lt;&gt;"",NOT(ISNUMBER($E204))),AND($F204&lt;&gt;"",NOT(ISNUMBER($F204))),AND($G204&lt;&gt;"",NOT(ISNUMBER($G204)))),"Fecha no válida"&amp;" · ","")&amp;IF(AND(ISNUMBER($AM204),ISNUMBER($AN204),$AM204&gt;$AN204),"Inicio posterior a fecha límite"&amp;" · ","")&amp;IF(AND($V204="Macro",$H204&lt;&gt;"",OR(NOT(ISNUMBER($H204)),$H204&lt;0,$H204&gt;1)),"Peso fuera de rango"&amp;" · ","")&amp;IF(AND($V204="Sub",$H204&lt;&gt;""),"Las subactividades no llevan peso (valen igual dentro de su macroactividad)"&amp;" · ","")&amp;IF(AND(N($W204)&gt;0,COUNT($I204:$L204)&gt;0),"Con subactividades: deje vacías las semanas (se calculan solas)"&amp;" · ","")&amp;IF((COUNTIF($I204:$L204,"&gt;1")+COUNTIF($I204:$L204,"&lt;0")+COUNTA($I204:$L204)-COUNT($I204:$L204))&gt;0,"Avance fuera de rango 0-100%"&amp;" · ","")&amp;IF(OR(AND($J204&lt;&gt;"",$J204&lt;$I204),AND($K204&lt;&gt;"",$K204&lt;MAX($I204:$J204)),AND($L204&lt;&gt;"",$L204&lt;MAX($I204:$K204))),"Avance semanal decreciente"&amp;" · ","")&amp;IF(AND(ISNUMBER($AN204),$AN204&lt;FechaRef,IF($V204="Sub",N($X204),N($M204))&lt;1),"Vencida"&amp;" · ","")&amp;IF(AND(ObsObligatoria="Sí",ISNUMBER($AN204),$AN204&lt;FechaRef,IF($V204="Sub",N($X204),N($M204))&lt;1,$Q204=""),"Vencida sin observación"&amp;" · ",""))-3)))</f>
        <v/>
      </c>
      <c r="S204" s="64">
        <f>IF(NOT((COUNTA($B204:$D204)+COUNTA($G204:$L204)+COUNTA($Q204))&gt;0),"",IF(AND($V204="Sub",N($U204)&gt;0),IF(ISNUMBER(INDEX($AM$5:$AM$1000,$U204-4)),DATE(YEAR(INDEX($AM$5:$AM$1000,$U204-4)),MONTH(INDEX($AM$5:$AM$1000,$U204-4)),1),IF(ISNUMBER(INDEX($AN$5:$AN$1000,$U204-4)),DATE(YEAR(INDEX($AN$5:$AN$1000,$U204-4)),MONTH(INDEX($AN$5:$AN$1000,$U204-4)),1),MesCiclo)),IF(ISNUMBER($AM204),DATE(YEAR($AM204),MONTH($AM204),1),IF(ISNUMBER($AN204),DATE(YEAR($AN204),MONTH($AN204),1),MesCiclo))))</f>
        <v/>
      </c>
      <c r="T204" s="62">
        <f>IF(OR($S204="",$S204&lt;&gt;MesCiclo,$V204&lt;&gt;"Macro"),"",COUNTIFS($S$5:$S204,MesCiclo,$V$5:$V204,"Macro"))</f>
        <v/>
      </c>
      <c r="U204" s="62">
        <f>IF($V204="","",IF($V204="Macro",ROW(),IFERROR(LOOKUP(2,1/($V$5:$V204="Macro"),ROW($V$5:$V204)),0)))</f>
        <v/>
      </c>
      <c r="V204" s="62">
        <f>IF(NOT((COUNTA($B204:$D204)+COUNTA($G204:$L204)+COUNTA($Q204))&gt;0),"",IF($B204="Subactividad","Sub","Macro"))</f>
        <v/>
      </c>
      <c r="W204" s="62">
        <f>IF($V204="Macro",COUNTIFS($U$5:$U$1000,ROW(),$V$5:$V$1000,"Sub"),"")</f>
        <v/>
      </c>
      <c r="X204" s="62">
        <f>IF($V204="","",IF(ISNUMBER($G204),1,IFERROR(LOOKUP(2,1/($I204:$L204&lt;&gt;""),$I204:$L204),0)))</f>
        <v/>
      </c>
      <c r="Y204" s="62">
        <f>IF($V204="","",IF(AND(ISNUMBER($G204),$G204&lt;=IF($S204=MesCiclo,InicioCiclo,$S204+MOD(2-WEEKDAY($S204),7))+6),1,IF(ISNUMBER($I204),$I204,0)))</f>
        <v/>
      </c>
      <c r="Z204" s="62">
        <f>IF($V204="","",IF(AND(ISNUMBER($G204),$G204&lt;=IF($S204=MesCiclo,InicioCiclo,$S204+MOD(2-WEEKDAY($S204),7))+13),1,IF(ISNUMBER($J204),$J204,$Y204)))</f>
        <v/>
      </c>
      <c r="AA204" s="62">
        <f>IF($V204="","",IF(AND(ISNUMBER($G204),$G204&lt;=IF($S204=MesCiclo,InicioCiclo,$S204+MOD(2-WEEKDAY($S204),7))+20),1,IF(ISNUMBER($K204),$K204,$Z204)))</f>
        <v/>
      </c>
      <c r="AB204" s="62">
        <f>IF($V204="","",IF(AND(ISNUMBER($G204),$G204&lt;=IF($S204=MesCiclo,InicioCiclo,$S204+MOD(2-WEEKDAY($S204),7))+27),1,IF(ISNUMBER($L204),$L204,$AA204)))</f>
        <v/>
      </c>
      <c r="AC204" s="62">
        <f>IF($V204="","",IF(AND(ISNUMBER($G204),$G204&lt;=IF($S204=MesCiclo,InicioCiclo,$S204+MOD(2-WEEKDAY($S204),7))+6),1,IF(N($W204)&gt;0,AVERAGEIFS($Y$5:$Y$1000,$U$5:$U$1000,ROW(),$V$5:$V$1000,"Sub"),$Y204)))</f>
        <v/>
      </c>
      <c r="AD204" s="62">
        <f>IF($V204="","",IF(AND(ISNUMBER($G204),$G204&lt;=IF($S204=MesCiclo,InicioCiclo,$S204+MOD(2-WEEKDAY($S204),7))+13),1,IF(N($W204)&gt;0,AVERAGEIFS($Z$5:$Z$1000,$U$5:$U$1000,ROW(),$V$5:$V$1000,"Sub"),$Z204)))</f>
        <v/>
      </c>
      <c r="AE204" s="62">
        <f>IF($V204="","",IF(AND(ISNUMBER($G204),$G204&lt;=IF($S204=MesCiclo,InicioCiclo,$S204+MOD(2-WEEKDAY($S204),7))+20),1,IF(N($W204)&gt;0,AVERAGEIFS($AA$5:$AA$1000,$U$5:$U$1000,ROW(),$V$5:$V$1000,"Sub"),$AA204)))</f>
        <v/>
      </c>
      <c r="AF204" s="62">
        <f>IF($V204="","",IF(AND(ISNUMBER($G204),$G204&lt;=IF($S204=MesCiclo,InicioCiclo,$S204+MOD(2-WEEKDAY($S204),7))+27),1,IF(N($W204)&gt;0,AVERAGEIFS($AB$5:$AB$1000,$U$5:$U$1000,ROW(),$V$5:$V$1000,"Sub"),$AB204)))</f>
        <v/>
      </c>
      <c r="AG204" s="62">
        <f>IF($V204&lt;&gt;"Macro","",IF(COUNTIFS($S$5:$S$1000,$S204,$V$5:$V$1000,"Macro",$H$5:$H$1000,"&gt;0")=0,1/COUNTIFS($S$5:$S$1000,$S204,$V$5:$V$1000,"Macro"),IF(AND(ISNUMBER($H204),N($H204)&gt;0),$H204,SUMIFS($H$5:$H$1000,$S$5:$S$1000,$S204,$V$5:$V$1000,"Macro")/COUNTIFS($S$5:$S$1000,$S204,$V$5:$V$1000,"Macro",$H$5:$H$1000,"&gt;0"))/(COUNTIFS($S$5:$S$1000,$S204,$V$5:$V$1000,"Macro")*SUMIFS($H$5:$H$1000,$S$5:$S$1000,$S204,$V$5:$V$1000,"Macro")/COUNTIFS($S$5:$S$1000,$S204,$V$5:$V$1000,"Macro",$H$5:$H$1000,"&gt;0"))))</f>
        <v/>
      </c>
      <c r="AH204" s="62" t="n"/>
      <c r="AI204" s="62" t="n"/>
      <c r="AJ204" s="62" t="n"/>
      <c r="AK204" s="62" t="n"/>
      <c r="AL204" s="62">
        <f>IF(LEFT($C204,11)="[Jefatura] ",IFERROR(MATCH("Riesgo Financiero|"&amp;MID($C204,12,500),rDname_ADM,0),0),"")</f>
        <v/>
      </c>
      <c r="AM204" s="62">
        <f>IF(N($AL204)&gt;0,INDEX(rIni_ADM,$AL204),IF(ISNUMBER($E204),$E204,""))</f>
        <v/>
      </c>
      <c r="AN204" s="62">
        <f>IF(N($AL204)&gt;0,INDEX(rLim_ADM,$AL204),IF(ISNUMBER($F204),$F204,""))</f>
        <v/>
      </c>
    </row>
    <row r="205">
      <c r="A205" s="56">
        <f>IF(NOT((COUNTA($B205:$D205)+COUNTA($G205:$L205)+COUNTA($Q205))&gt;0),"",IF($V205="Macro",COUNTIFS($V$5:$V205,"Macro",$S$5:$S205,$S205),IF(N($U205)=0,"?",COUNTIFS(INDEX($V$5:$V$1000,1):INDEX($V$5:$V$1000,$U205-4),"Macro",INDEX($S$5:$S$1000,1):INDEX($S$5:$S$1000,$U205-4),INDEX($S$5:$S$1000,$U205-4))&amp;"."&amp;COUNTIFS($U$5:$U205,$U205,$V$5:$V205,"Sub"))))</f>
        <v/>
      </c>
      <c r="B205" s="57" t="n"/>
      <c r="C205" s="58" t="n"/>
      <c r="D205" s="58" t="n"/>
      <c r="E205" s="59">
        <f>IF(N($AL205)&gt;0,INDEX(rIni_ADM,$AL205),"")</f>
        <v/>
      </c>
      <c r="F205" s="59">
        <f>IF(N($AL205)&gt;0,INDEX(rLim_ADM,$AL205),"")</f>
        <v/>
      </c>
      <c r="G205" s="59" t="n"/>
      <c r="H205" s="60" t="n"/>
      <c r="I205" s="60" t="n"/>
      <c r="J205" s="60" t="n"/>
      <c r="K205" s="60" t="n"/>
      <c r="L205" s="60" t="n"/>
      <c r="M205" s="61">
        <f>IF(NOT((COUNTA($B205:$D205)+COUNTA($G205:$L205)+COUNTA($Q205))&gt;0),"",IF($V205="Sub",IFERROR($X205/INDEX($W$5:$W$1000,$U205-4),""),IF(ISNUMBER($G205),1,IF(N($W205)&gt;0,AVERAGEIFS($X$5:$X$1000,$U$5:$U$1000,ROW(),$V$5:$V$1000,"Sub"),$X205))))</f>
        <v/>
      </c>
      <c r="N205" s="56">
        <f>IF(OR($M205="",$V205="Sub"),"",IF($M205&gt;=1,"Completado",IF($M205&gt;0,"En curso","Pendiente")))</f>
        <v/>
      </c>
      <c r="O205" s="56">
        <f>IF(OR(NOT((COUNTA($B205:$D205)+COUNTA($G205:$L205)+COUNTA($Q205))&gt;0),$V205="Sub"),"",IF(ISNUMBER($G205),IF(AND(ISNUMBER($AN205),$G205&gt;$AN205),"Cumplida con "&amp;($G205-$AN205)&amp;IF($G205-$AN205=1," día"," días")&amp;" de retraso","Cumplida"),IF(N($M205)&gt;=1,"Cumplida",IF(NOT(ISNUMBER($AN205)),"Sin fecha límite",IF($AN205&lt;FechaRef,"Vencida hace "&amp;(FechaRef-$AN205)&amp;IF(FechaRef-$AN205=1," día"," días"),IF($AN205=FechaRef,"Vence hoy",IF($AN205-FechaRef&lt;=DiasAlerta,"Vence en "&amp;($AN205-FechaRef)&amp;IF($AN205-FechaRef=1," día"," días"),"En plazo")))))))</f>
        <v/>
      </c>
      <c r="P205" s="62" t="n"/>
      <c r="Q205" s="58" t="n"/>
      <c r="R205" s="63">
        <f>IF(NOT((COUNTA($B205:$D205)+COUNTA($G205:$L205)+COUNTA($Q205))&gt;0),"",IF((IF($C205="","Falta el nombre de la actividad"&amp;" · ","")&amp;IF(AND($V205="Sub",N($U205)=0),"Subactividad sin macroactividad arriba"&amp;" · ","")&amp;IF($AM205="","Sin fecha de inicio"&amp;" · ","")&amp;IF($AN205="","Sin fecha límite"&amp;" · ","")&amp;IF(AND(LEFT($C205,11)="[Jefatura] ",N($AL205)=0),"No se encuentra en la hoja de la jefatura (elíjala de nuevo en la lista)"&amp;" · ","")&amp;IF(OR(AND($E205&lt;&gt;"",NOT(ISNUMBER($E205))),AND($F205&lt;&gt;"",NOT(ISNUMBER($F205))),AND($G205&lt;&gt;"",NOT(ISNUMBER($G205)))),"Fecha no válida"&amp;" · ","")&amp;IF(AND(ISNUMBER($AM205),ISNUMBER($AN205),$AM205&gt;$AN205),"Inicio posterior a fecha límite"&amp;" · ","")&amp;IF(AND($V205="Macro",$H205&lt;&gt;"",OR(NOT(ISNUMBER($H205)),$H205&lt;0,$H205&gt;1)),"Peso fuera de rango"&amp;" · ","")&amp;IF(AND($V205="Sub",$H205&lt;&gt;""),"Las subactividades no llevan peso (valen igual dentro de su macroactividad)"&amp;" · ","")&amp;IF(AND(N($W205)&gt;0,COUNT($I205:$L205)&gt;0),"Con subactividades: deje vacías las semanas (se calculan solas)"&amp;" · ","")&amp;IF((COUNTIF($I205:$L205,"&gt;1")+COUNTIF($I205:$L205,"&lt;0")+COUNTA($I205:$L205)-COUNT($I205:$L205))&gt;0,"Avance fuera de rango 0-100%"&amp;" · ","")&amp;IF(OR(AND($J205&lt;&gt;"",$J205&lt;$I205),AND($K205&lt;&gt;"",$K205&lt;MAX($I205:$J205)),AND($L205&lt;&gt;"",$L205&lt;MAX($I205:$K205))),"Avance semanal decreciente"&amp;" · ","")&amp;IF(AND(ISNUMBER($AN205),$AN205&lt;FechaRef,IF($V205="Sub",N($X205),N($M205))&lt;1),"Vencida"&amp;" · ","")&amp;IF(AND(ObsObligatoria="Sí",ISNUMBER($AN205),$AN205&lt;FechaRef,IF($V205="Sub",N($X205),N($M205))&lt;1,$Q205=""),"Vencida sin observación"&amp;" · ",""))="","✔ OK","⚠ "&amp;LEFT(IF($C205="","Falta el nombre de la actividad"&amp;" · ","")&amp;IF(AND($V205="Sub",N($U205)=0),"Subactividad sin macroactividad arriba"&amp;" · ","")&amp;IF($AM205="","Sin fecha de inicio"&amp;" · ","")&amp;IF($AN205="","Sin fecha límite"&amp;" · ","")&amp;IF(AND(LEFT($C205,11)="[Jefatura] ",N($AL205)=0),"No se encuentra en la hoja de la jefatura (elíjala de nuevo en la lista)"&amp;" · ","")&amp;IF(OR(AND($E205&lt;&gt;"",NOT(ISNUMBER($E205))),AND($F205&lt;&gt;"",NOT(ISNUMBER($F205))),AND($G205&lt;&gt;"",NOT(ISNUMBER($G205)))),"Fecha no válida"&amp;" · ","")&amp;IF(AND(ISNUMBER($AM205),ISNUMBER($AN205),$AM205&gt;$AN205),"Inicio posterior a fecha límite"&amp;" · ","")&amp;IF(AND($V205="Macro",$H205&lt;&gt;"",OR(NOT(ISNUMBER($H205)),$H205&lt;0,$H205&gt;1)),"Peso fuera de rango"&amp;" · ","")&amp;IF(AND($V205="Sub",$H205&lt;&gt;""),"Las subactividades no llevan peso (valen igual dentro de su macroactividad)"&amp;" · ","")&amp;IF(AND(N($W205)&gt;0,COUNT($I205:$L205)&gt;0),"Con subactividades: deje vacías las semanas (se calculan solas)"&amp;" · ","")&amp;IF((COUNTIF($I205:$L205,"&gt;1")+COUNTIF($I205:$L205,"&lt;0")+COUNTA($I205:$L205)-COUNT($I205:$L205))&gt;0,"Avance fuera de rango 0-100%"&amp;" · ","")&amp;IF(OR(AND($J205&lt;&gt;"",$J205&lt;$I205),AND($K205&lt;&gt;"",$K205&lt;MAX($I205:$J205)),AND($L205&lt;&gt;"",$L205&lt;MAX($I205:$K205))),"Avance semanal decreciente"&amp;" · ","")&amp;IF(AND(ISNUMBER($AN205),$AN205&lt;FechaRef,IF($V205="Sub",N($X205),N($M205))&lt;1),"Vencida"&amp;" · ","")&amp;IF(AND(ObsObligatoria="Sí",ISNUMBER($AN205),$AN205&lt;FechaRef,IF($V205="Sub",N($X205),N($M205))&lt;1,$Q205=""),"Vencida sin observación"&amp;" · ",""),LEN(IF($C205="","Falta el nombre de la actividad"&amp;" · ","")&amp;IF(AND($V205="Sub",N($U205)=0),"Subactividad sin macroactividad arriba"&amp;" · ","")&amp;IF($AM205="","Sin fecha de inicio"&amp;" · ","")&amp;IF($AN205="","Sin fecha límite"&amp;" · ","")&amp;IF(AND(LEFT($C205,11)="[Jefatura] ",N($AL205)=0),"No se encuentra en la hoja de la jefatura (elíjala de nuevo en la lista)"&amp;" · ","")&amp;IF(OR(AND($E205&lt;&gt;"",NOT(ISNUMBER($E205))),AND($F205&lt;&gt;"",NOT(ISNUMBER($F205))),AND($G205&lt;&gt;"",NOT(ISNUMBER($G205)))),"Fecha no válida"&amp;" · ","")&amp;IF(AND(ISNUMBER($AM205),ISNUMBER($AN205),$AM205&gt;$AN205),"Inicio posterior a fecha límite"&amp;" · ","")&amp;IF(AND($V205="Macro",$H205&lt;&gt;"",OR(NOT(ISNUMBER($H205)),$H205&lt;0,$H205&gt;1)),"Peso fuera de rango"&amp;" · ","")&amp;IF(AND($V205="Sub",$H205&lt;&gt;""),"Las subactividades no llevan peso (valen igual dentro de su macroactividad)"&amp;" · ","")&amp;IF(AND(N($W205)&gt;0,COUNT($I205:$L205)&gt;0),"Con subactividades: deje vacías las semanas (se calculan solas)"&amp;" · ","")&amp;IF((COUNTIF($I205:$L205,"&gt;1")+COUNTIF($I205:$L205,"&lt;0")+COUNTA($I205:$L205)-COUNT($I205:$L205))&gt;0,"Avance fuera de rango 0-100%"&amp;" · ","")&amp;IF(OR(AND($J205&lt;&gt;"",$J205&lt;$I205),AND($K205&lt;&gt;"",$K205&lt;MAX($I205:$J205)),AND($L205&lt;&gt;"",$L205&lt;MAX($I205:$K205))),"Avance semanal decreciente"&amp;" · ","")&amp;IF(AND(ISNUMBER($AN205),$AN205&lt;FechaRef,IF($V205="Sub",N($X205),N($M205))&lt;1),"Vencida"&amp;" · ","")&amp;IF(AND(ObsObligatoria="Sí",ISNUMBER($AN205),$AN205&lt;FechaRef,IF($V205="Sub",N($X205),N($M205))&lt;1,$Q205=""),"Vencida sin observación"&amp;" · ",""))-3)))</f>
        <v/>
      </c>
      <c r="S205" s="64">
        <f>IF(NOT((COUNTA($B205:$D205)+COUNTA($G205:$L205)+COUNTA($Q205))&gt;0),"",IF(AND($V205="Sub",N($U205)&gt;0),IF(ISNUMBER(INDEX($AM$5:$AM$1000,$U205-4)),DATE(YEAR(INDEX($AM$5:$AM$1000,$U205-4)),MONTH(INDEX($AM$5:$AM$1000,$U205-4)),1),IF(ISNUMBER(INDEX($AN$5:$AN$1000,$U205-4)),DATE(YEAR(INDEX($AN$5:$AN$1000,$U205-4)),MONTH(INDEX($AN$5:$AN$1000,$U205-4)),1),MesCiclo)),IF(ISNUMBER($AM205),DATE(YEAR($AM205),MONTH($AM205),1),IF(ISNUMBER($AN205),DATE(YEAR($AN205),MONTH($AN205),1),MesCiclo))))</f>
        <v/>
      </c>
      <c r="T205" s="62">
        <f>IF(OR($S205="",$S205&lt;&gt;MesCiclo,$V205&lt;&gt;"Macro"),"",COUNTIFS($S$5:$S205,MesCiclo,$V$5:$V205,"Macro"))</f>
        <v/>
      </c>
      <c r="U205" s="62">
        <f>IF($V205="","",IF($V205="Macro",ROW(),IFERROR(LOOKUP(2,1/($V$5:$V205="Macro"),ROW($V$5:$V205)),0)))</f>
        <v/>
      </c>
      <c r="V205" s="62">
        <f>IF(NOT((COUNTA($B205:$D205)+COUNTA($G205:$L205)+COUNTA($Q205))&gt;0),"",IF($B205="Subactividad","Sub","Macro"))</f>
        <v/>
      </c>
      <c r="W205" s="62">
        <f>IF($V205="Macro",COUNTIFS($U$5:$U$1000,ROW(),$V$5:$V$1000,"Sub"),"")</f>
        <v/>
      </c>
      <c r="X205" s="62">
        <f>IF($V205="","",IF(ISNUMBER($G205),1,IFERROR(LOOKUP(2,1/($I205:$L205&lt;&gt;""),$I205:$L205),0)))</f>
        <v/>
      </c>
      <c r="Y205" s="62">
        <f>IF($V205="","",IF(AND(ISNUMBER($G205),$G205&lt;=IF($S205=MesCiclo,InicioCiclo,$S205+MOD(2-WEEKDAY($S205),7))+6),1,IF(ISNUMBER($I205),$I205,0)))</f>
        <v/>
      </c>
      <c r="Z205" s="62">
        <f>IF($V205="","",IF(AND(ISNUMBER($G205),$G205&lt;=IF($S205=MesCiclo,InicioCiclo,$S205+MOD(2-WEEKDAY($S205),7))+13),1,IF(ISNUMBER($J205),$J205,$Y205)))</f>
        <v/>
      </c>
      <c r="AA205" s="62">
        <f>IF($V205="","",IF(AND(ISNUMBER($G205),$G205&lt;=IF($S205=MesCiclo,InicioCiclo,$S205+MOD(2-WEEKDAY($S205),7))+20),1,IF(ISNUMBER($K205),$K205,$Z205)))</f>
        <v/>
      </c>
      <c r="AB205" s="62">
        <f>IF($V205="","",IF(AND(ISNUMBER($G205),$G205&lt;=IF($S205=MesCiclo,InicioCiclo,$S205+MOD(2-WEEKDAY($S205),7))+27),1,IF(ISNUMBER($L205),$L205,$AA205)))</f>
        <v/>
      </c>
      <c r="AC205" s="62">
        <f>IF($V205="","",IF(AND(ISNUMBER($G205),$G205&lt;=IF($S205=MesCiclo,InicioCiclo,$S205+MOD(2-WEEKDAY($S205),7))+6),1,IF(N($W205)&gt;0,AVERAGEIFS($Y$5:$Y$1000,$U$5:$U$1000,ROW(),$V$5:$V$1000,"Sub"),$Y205)))</f>
        <v/>
      </c>
      <c r="AD205" s="62">
        <f>IF($V205="","",IF(AND(ISNUMBER($G205),$G205&lt;=IF($S205=MesCiclo,InicioCiclo,$S205+MOD(2-WEEKDAY($S205),7))+13),1,IF(N($W205)&gt;0,AVERAGEIFS($Z$5:$Z$1000,$U$5:$U$1000,ROW(),$V$5:$V$1000,"Sub"),$Z205)))</f>
        <v/>
      </c>
      <c r="AE205" s="62">
        <f>IF($V205="","",IF(AND(ISNUMBER($G205),$G205&lt;=IF($S205=MesCiclo,InicioCiclo,$S205+MOD(2-WEEKDAY($S205),7))+20),1,IF(N($W205)&gt;0,AVERAGEIFS($AA$5:$AA$1000,$U$5:$U$1000,ROW(),$V$5:$V$1000,"Sub"),$AA205)))</f>
        <v/>
      </c>
      <c r="AF205" s="62">
        <f>IF($V205="","",IF(AND(ISNUMBER($G205),$G205&lt;=IF($S205=MesCiclo,InicioCiclo,$S205+MOD(2-WEEKDAY($S205),7))+27),1,IF(N($W205)&gt;0,AVERAGEIFS($AB$5:$AB$1000,$U$5:$U$1000,ROW(),$V$5:$V$1000,"Sub"),$AB205)))</f>
        <v/>
      </c>
      <c r="AG205" s="62">
        <f>IF($V205&lt;&gt;"Macro","",IF(COUNTIFS($S$5:$S$1000,$S205,$V$5:$V$1000,"Macro",$H$5:$H$1000,"&gt;0")=0,1/COUNTIFS($S$5:$S$1000,$S205,$V$5:$V$1000,"Macro"),IF(AND(ISNUMBER($H205),N($H205)&gt;0),$H205,SUMIFS($H$5:$H$1000,$S$5:$S$1000,$S205,$V$5:$V$1000,"Macro")/COUNTIFS($S$5:$S$1000,$S205,$V$5:$V$1000,"Macro",$H$5:$H$1000,"&gt;0"))/(COUNTIFS($S$5:$S$1000,$S205,$V$5:$V$1000,"Macro")*SUMIFS($H$5:$H$1000,$S$5:$S$1000,$S205,$V$5:$V$1000,"Macro")/COUNTIFS($S$5:$S$1000,$S205,$V$5:$V$1000,"Macro",$H$5:$H$1000,"&gt;0"))))</f>
        <v/>
      </c>
      <c r="AH205" s="62" t="n"/>
      <c r="AI205" s="62" t="n"/>
      <c r="AJ205" s="62" t="n"/>
      <c r="AK205" s="62" t="n"/>
      <c r="AL205" s="62">
        <f>IF(LEFT($C205,11)="[Jefatura] ",IFERROR(MATCH("Riesgo Financiero|"&amp;MID($C205,12,500),rDname_ADM,0),0),"")</f>
        <v/>
      </c>
      <c r="AM205" s="62">
        <f>IF(N($AL205)&gt;0,INDEX(rIni_ADM,$AL205),IF(ISNUMBER($E205),$E205,""))</f>
        <v/>
      </c>
      <c r="AN205" s="62">
        <f>IF(N($AL205)&gt;0,INDEX(rLim_ADM,$AL205),IF(ISNUMBER($F205),$F205,""))</f>
        <v/>
      </c>
    </row>
    <row r="206">
      <c r="A206" s="56">
        <f>IF(NOT((COUNTA($B206:$D206)+COUNTA($G206:$L206)+COUNTA($Q206))&gt;0),"",IF($V206="Macro",COUNTIFS($V$5:$V206,"Macro",$S$5:$S206,$S206),IF(N($U206)=0,"?",COUNTIFS(INDEX($V$5:$V$1000,1):INDEX($V$5:$V$1000,$U206-4),"Macro",INDEX($S$5:$S$1000,1):INDEX($S$5:$S$1000,$U206-4),INDEX($S$5:$S$1000,$U206-4))&amp;"."&amp;COUNTIFS($U$5:$U206,$U206,$V$5:$V206,"Sub"))))</f>
        <v/>
      </c>
      <c r="B206" s="57" t="n"/>
      <c r="C206" s="58" t="n"/>
      <c r="D206" s="58" t="n"/>
      <c r="E206" s="59">
        <f>IF(N($AL206)&gt;0,INDEX(rIni_ADM,$AL206),"")</f>
        <v/>
      </c>
      <c r="F206" s="59">
        <f>IF(N($AL206)&gt;0,INDEX(rLim_ADM,$AL206),"")</f>
        <v/>
      </c>
      <c r="G206" s="59" t="n"/>
      <c r="H206" s="60" t="n"/>
      <c r="I206" s="60" t="n"/>
      <c r="J206" s="60" t="n"/>
      <c r="K206" s="60" t="n"/>
      <c r="L206" s="60" t="n"/>
      <c r="M206" s="61">
        <f>IF(NOT((COUNTA($B206:$D206)+COUNTA($G206:$L206)+COUNTA($Q206))&gt;0),"",IF($V206="Sub",IFERROR($X206/INDEX($W$5:$W$1000,$U206-4),""),IF(ISNUMBER($G206),1,IF(N($W206)&gt;0,AVERAGEIFS($X$5:$X$1000,$U$5:$U$1000,ROW(),$V$5:$V$1000,"Sub"),$X206))))</f>
        <v/>
      </c>
      <c r="N206" s="56">
        <f>IF(OR($M206="",$V206="Sub"),"",IF($M206&gt;=1,"Completado",IF($M206&gt;0,"En curso","Pendiente")))</f>
        <v/>
      </c>
      <c r="O206" s="56">
        <f>IF(OR(NOT((COUNTA($B206:$D206)+COUNTA($G206:$L206)+COUNTA($Q206))&gt;0),$V206="Sub"),"",IF(ISNUMBER($G206),IF(AND(ISNUMBER($AN206),$G206&gt;$AN206),"Cumplida con "&amp;($G206-$AN206)&amp;IF($G206-$AN206=1," día"," días")&amp;" de retraso","Cumplida"),IF(N($M206)&gt;=1,"Cumplida",IF(NOT(ISNUMBER($AN206)),"Sin fecha límite",IF($AN206&lt;FechaRef,"Vencida hace "&amp;(FechaRef-$AN206)&amp;IF(FechaRef-$AN206=1," día"," días"),IF($AN206=FechaRef,"Vence hoy",IF($AN206-FechaRef&lt;=DiasAlerta,"Vence en "&amp;($AN206-FechaRef)&amp;IF($AN206-FechaRef=1," día"," días"),"En plazo")))))))</f>
        <v/>
      </c>
      <c r="P206" s="62" t="n"/>
      <c r="Q206" s="58" t="n"/>
      <c r="R206" s="63">
        <f>IF(NOT((COUNTA($B206:$D206)+COUNTA($G206:$L206)+COUNTA($Q206))&gt;0),"",IF((IF($C206="","Falta el nombre de la actividad"&amp;" · ","")&amp;IF(AND($V206="Sub",N($U206)=0),"Subactividad sin macroactividad arriba"&amp;" · ","")&amp;IF($AM206="","Sin fecha de inicio"&amp;" · ","")&amp;IF($AN206="","Sin fecha límite"&amp;" · ","")&amp;IF(AND(LEFT($C206,11)="[Jefatura] ",N($AL206)=0),"No se encuentra en la hoja de la jefatura (elíjala de nuevo en la lista)"&amp;" · ","")&amp;IF(OR(AND($E206&lt;&gt;"",NOT(ISNUMBER($E206))),AND($F206&lt;&gt;"",NOT(ISNUMBER($F206))),AND($G206&lt;&gt;"",NOT(ISNUMBER($G206)))),"Fecha no válida"&amp;" · ","")&amp;IF(AND(ISNUMBER($AM206),ISNUMBER($AN206),$AM206&gt;$AN206),"Inicio posterior a fecha límite"&amp;" · ","")&amp;IF(AND($V206="Macro",$H206&lt;&gt;"",OR(NOT(ISNUMBER($H206)),$H206&lt;0,$H206&gt;1)),"Peso fuera de rango"&amp;" · ","")&amp;IF(AND($V206="Sub",$H206&lt;&gt;""),"Las subactividades no llevan peso (valen igual dentro de su macroactividad)"&amp;" · ","")&amp;IF(AND(N($W206)&gt;0,COUNT($I206:$L206)&gt;0),"Con subactividades: deje vacías las semanas (se calculan solas)"&amp;" · ","")&amp;IF((COUNTIF($I206:$L206,"&gt;1")+COUNTIF($I206:$L206,"&lt;0")+COUNTA($I206:$L206)-COUNT($I206:$L206))&gt;0,"Avance fuera de rango 0-100%"&amp;" · ","")&amp;IF(OR(AND($J206&lt;&gt;"",$J206&lt;$I206),AND($K206&lt;&gt;"",$K206&lt;MAX($I206:$J206)),AND($L206&lt;&gt;"",$L206&lt;MAX($I206:$K206))),"Avance semanal decreciente"&amp;" · ","")&amp;IF(AND(ISNUMBER($AN206),$AN206&lt;FechaRef,IF($V206="Sub",N($X206),N($M206))&lt;1),"Vencida"&amp;" · ","")&amp;IF(AND(ObsObligatoria="Sí",ISNUMBER($AN206),$AN206&lt;FechaRef,IF($V206="Sub",N($X206),N($M206))&lt;1,$Q206=""),"Vencida sin observación"&amp;" · ",""))="","✔ OK","⚠ "&amp;LEFT(IF($C206="","Falta el nombre de la actividad"&amp;" · ","")&amp;IF(AND($V206="Sub",N($U206)=0),"Subactividad sin macroactividad arriba"&amp;" · ","")&amp;IF($AM206="","Sin fecha de inicio"&amp;" · ","")&amp;IF($AN206="","Sin fecha límite"&amp;" · ","")&amp;IF(AND(LEFT($C206,11)="[Jefatura] ",N($AL206)=0),"No se encuentra en la hoja de la jefatura (elíjala de nuevo en la lista)"&amp;" · ","")&amp;IF(OR(AND($E206&lt;&gt;"",NOT(ISNUMBER($E206))),AND($F206&lt;&gt;"",NOT(ISNUMBER($F206))),AND($G206&lt;&gt;"",NOT(ISNUMBER($G206)))),"Fecha no válida"&amp;" · ","")&amp;IF(AND(ISNUMBER($AM206),ISNUMBER($AN206),$AM206&gt;$AN206),"Inicio posterior a fecha límite"&amp;" · ","")&amp;IF(AND($V206="Macro",$H206&lt;&gt;"",OR(NOT(ISNUMBER($H206)),$H206&lt;0,$H206&gt;1)),"Peso fuera de rango"&amp;" · ","")&amp;IF(AND($V206="Sub",$H206&lt;&gt;""),"Las subactividades no llevan peso (valen igual dentro de su macroactividad)"&amp;" · ","")&amp;IF(AND(N($W206)&gt;0,COUNT($I206:$L206)&gt;0),"Con subactividades: deje vacías las semanas (se calculan solas)"&amp;" · ","")&amp;IF((COUNTIF($I206:$L206,"&gt;1")+COUNTIF($I206:$L206,"&lt;0")+COUNTA($I206:$L206)-COUNT($I206:$L206))&gt;0,"Avance fuera de rango 0-100%"&amp;" · ","")&amp;IF(OR(AND($J206&lt;&gt;"",$J206&lt;$I206),AND($K206&lt;&gt;"",$K206&lt;MAX($I206:$J206)),AND($L206&lt;&gt;"",$L206&lt;MAX($I206:$K206))),"Avance semanal decreciente"&amp;" · ","")&amp;IF(AND(ISNUMBER($AN206),$AN206&lt;FechaRef,IF($V206="Sub",N($X206),N($M206))&lt;1),"Vencida"&amp;" · ","")&amp;IF(AND(ObsObligatoria="Sí",ISNUMBER($AN206),$AN206&lt;FechaRef,IF($V206="Sub",N($X206),N($M206))&lt;1,$Q206=""),"Vencida sin observación"&amp;" · ",""),LEN(IF($C206="","Falta el nombre de la actividad"&amp;" · ","")&amp;IF(AND($V206="Sub",N($U206)=0),"Subactividad sin macroactividad arriba"&amp;" · ","")&amp;IF($AM206="","Sin fecha de inicio"&amp;" · ","")&amp;IF($AN206="","Sin fecha límite"&amp;" · ","")&amp;IF(AND(LEFT($C206,11)="[Jefatura] ",N($AL206)=0),"No se encuentra en la hoja de la jefatura (elíjala de nuevo en la lista)"&amp;" · ","")&amp;IF(OR(AND($E206&lt;&gt;"",NOT(ISNUMBER($E206))),AND($F206&lt;&gt;"",NOT(ISNUMBER($F206))),AND($G206&lt;&gt;"",NOT(ISNUMBER($G206)))),"Fecha no válida"&amp;" · ","")&amp;IF(AND(ISNUMBER($AM206),ISNUMBER($AN206),$AM206&gt;$AN206),"Inicio posterior a fecha límite"&amp;" · ","")&amp;IF(AND($V206="Macro",$H206&lt;&gt;"",OR(NOT(ISNUMBER($H206)),$H206&lt;0,$H206&gt;1)),"Peso fuera de rango"&amp;" · ","")&amp;IF(AND($V206="Sub",$H206&lt;&gt;""),"Las subactividades no llevan peso (valen igual dentro de su macroactividad)"&amp;" · ","")&amp;IF(AND(N($W206)&gt;0,COUNT($I206:$L206)&gt;0),"Con subactividades: deje vacías las semanas (se calculan solas)"&amp;" · ","")&amp;IF((COUNTIF($I206:$L206,"&gt;1")+COUNTIF($I206:$L206,"&lt;0")+COUNTA($I206:$L206)-COUNT($I206:$L206))&gt;0,"Avance fuera de rango 0-100%"&amp;" · ","")&amp;IF(OR(AND($J206&lt;&gt;"",$J206&lt;$I206),AND($K206&lt;&gt;"",$K206&lt;MAX($I206:$J206)),AND($L206&lt;&gt;"",$L206&lt;MAX($I206:$K206))),"Avance semanal decreciente"&amp;" · ","")&amp;IF(AND(ISNUMBER($AN206),$AN206&lt;FechaRef,IF($V206="Sub",N($X206),N($M206))&lt;1),"Vencida"&amp;" · ","")&amp;IF(AND(ObsObligatoria="Sí",ISNUMBER($AN206),$AN206&lt;FechaRef,IF($V206="Sub",N($X206),N($M206))&lt;1,$Q206=""),"Vencida sin observación"&amp;" · ",""))-3)))</f>
        <v/>
      </c>
      <c r="S206" s="64">
        <f>IF(NOT((COUNTA($B206:$D206)+COUNTA($G206:$L206)+COUNTA($Q206))&gt;0),"",IF(AND($V206="Sub",N($U206)&gt;0),IF(ISNUMBER(INDEX($AM$5:$AM$1000,$U206-4)),DATE(YEAR(INDEX($AM$5:$AM$1000,$U206-4)),MONTH(INDEX($AM$5:$AM$1000,$U206-4)),1),IF(ISNUMBER(INDEX($AN$5:$AN$1000,$U206-4)),DATE(YEAR(INDEX($AN$5:$AN$1000,$U206-4)),MONTH(INDEX($AN$5:$AN$1000,$U206-4)),1),MesCiclo)),IF(ISNUMBER($AM206),DATE(YEAR($AM206),MONTH($AM206),1),IF(ISNUMBER($AN206),DATE(YEAR($AN206),MONTH($AN206),1),MesCiclo))))</f>
        <v/>
      </c>
      <c r="T206" s="62">
        <f>IF(OR($S206="",$S206&lt;&gt;MesCiclo,$V206&lt;&gt;"Macro"),"",COUNTIFS($S$5:$S206,MesCiclo,$V$5:$V206,"Macro"))</f>
        <v/>
      </c>
      <c r="U206" s="62">
        <f>IF($V206="","",IF($V206="Macro",ROW(),IFERROR(LOOKUP(2,1/($V$5:$V206="Macro"),ROW($V$5:$V206)),0)))</f>
        <v/>
      </c>
      <c r="V206" s="62">
        <f>IF(NOT((COUNTA($B206:$D206)+COUNTA($G206:$L206)+COUNTA($Q206))&gt;0),"",IF($B206="Subactividad","Sub","Macro"))</f>
        <v/>
      </c>
      <c r="W206" s="62">
        <f>IF($V206="Macro",COUNTIFS($U$5:$U$1000,ROW(),$V$5:$V$1000,"Sub"),"")</f>
        <v/>
      </c>
      <c r="X206" s="62">
        <f>IF($V206="","",IF(ISNUMBER($G206),1,IFERROR(LOOKUP(2,1/($I206:$L206&lt;&gt;""),$I206:$L206),0)))</f>
        <v/>
      </c>
      <c r="Y206" s="62">
        <f>IF($V206="","",IF(AND(ISNUMBER($G206),$G206&lt;=IF($S206=MesCiclo,InicioCiclo,$S206+MOD(2-WEEKDAY($S206),7))+6),1,IF(ISNUMBER($I206),$I206,0)))</f>
        <v/>
      </c>
      <c r="Z206" s="62">
        <f>IF($V206="","",IF(AND(ISNUMBER($G206),$G206&lt;=IF($S206=MesCiclo,InicioCiclo,$S206+MOD(2-WEEKDAY($S206),7))+13),1,IF(ISNUMBER($J206),$J206,$Y206)))</f>
        <v/>
      </c>
      <c r="AA206" s="62">
        <f>IF($V206="","",IF(AND(ISNUMBER($G206),$G206&lt;=IF($S206=MesCiclo,InicioCiclo,$S206+MOD(2-WEEKDAY($S206),7))+20),1,IF(ISNUMBER($K206),$K206,$Z206)))</f>
        <v/>
      </c>
      <c r="AB206" s="62">
        <f>IF($V206="","",IF(AND(ISNUMBER($G206),$G206&lt;=IF($S206=MesCiclo,InicioCiclo,$S206+MOD(2-WEEKDAY($S206),7))+27),1,IF(ISNUMBER($L206),$L206,$AA206)))</f>
        <v/>
      </c>
      <c r="AC206" s="62">
        <f>IF($V206="","",IF(AND(ISNUMBER($G206),$G206&lt;=IF($S206=MesCiclo,InicioCiclo,$S206+MOD(2-WEEKDAY($S206),7))+6),1,IF(N($W206)&gt;0,AVERAGEIFS($Y$5:$Y$1000,$U$5:$U$1000,ROW(),$V$5:$V$1000,"Sub"),$Y206)))</f>
        <v/>
      </c>
      <c r="AD206" s="62">
        <f>IF($V206="","",IF(AND(ISNUMBER($G206),$G206&lt;=IF($S206=MesCiclo,InicioCiclo,$S206+MOD(2-WEEKDAY($S206),7))+13),1,IF(N($W206)&gt;0,AVERAGEIFS($Z$5:$Z$1000,$U$5:$U$1000,ROW(),$V$5:$V$1000,"Sub"),$Z206)))</f>
        <v/>
      </c>
      <c r="AE206" s="62">
        <f>IF($V206="","",IF(AND(ISNUMBER($G206),$G206&lt;=IF($S206=MesCiclo,InicioCiclo,$S206+MOD(2-WEEKDAY($S206),7))+20),1,IF(N($W206)&gt;0,AVERAGEIFS($AA$5:$AA$1000,$U$5:$U$1000,ROW(),$V$5:$V$1000,"Sub"),$AA206)))</f>
        <v/>
      </c>
      <c r="AF206" s="62">
        <f>IF($V206="","",IF(AND(ISNUMBER($G206),$G206&lt;=IF($S206=MesCiclo,InicioCiclo,$S206+MOD(2-WEEKDAY($S206),7))+27),1,IF(N($W206)&gt;0,AVERAGEIFS($AB$5:$AB$1000,$U$5:$U$1000,ROW(),$V$5:$V$1000,"Sub"),$AB206)))</f>
        <v/>
      </c>
      <c r="AG206" s="62">
        <f>IF($V206&lt;&gt;"Macro","",IF(COUNTIFS($S$5:$S$1000,$S206,$V$5:$V$1000,"Macro",$H$5:$H$1000,"&gt;0")=0,1/COUNTIFS($S$5:$S$1000,$S206,$V$5:$V$1000,"Macro"),IF(AND(ISNUMBER($H206),N($H206)&gt;0),$H206,SUMIFS($H$5:$H$1000,$S$5:$S$1000,$S206,$V$5:$V$1000,"Macro")/COUNTIFS($S$5:$S$1000,$S206,$V$5:$V$1000,"Macro",$H$5:$H$1000,"&gt;0"))/(COUNTIFS($S$5:$S$1000,$S206,$V$5:$V$1000,"Macro")*SUMIFS($H$5:$H$1000,$S$5:$S$1000,$S206,$V$5:$V$1000,"Macro")/COUNTIFS($S$5:$S$1000,$S206,$V$5:$V$1000,"Macro",$H$5:$H$1000,"&gt;0"))))</f>
        <v/>
      </c>
      <c r="AH206" s="62" t="n"/>
      <c r="AI206" s="62" t="n"/>
      <c r="AJ206" s="62" t="n"/>
      <c r="AK206" s="62" t="n"/>
      <c r="AL206" s="62">
        <f>IF(LEFT($C206,11)="[Jefatura] ",IFERROR(MATCH("Riesgo Financiero|"&amp;MID($C206,12,500),rDname_ADM,0),0),"")</f>
        <v/>
      </c>
      <c r="AM206" s="62">
        <f>IF(N($AL206)&gt;0,INDEX(rIni_ADM,$AL206),IF(ISNUMBER($E206),$E206,""))</f>
        <v/>
      </c>
      <c r="AN206" s="62">
        <f>IF(N($AL206)&gt;0,INDEX(rLim_ADM,$AL206),IF(ISNUMBER($F206),$F206,""))</f>
        <v/>
      </c>
    </row>
    <row r="207">
      <c r="A207" s="56">
        <f>IF(NOT((COUNTA($B207:$D207)+COUNTA($G207:$L207)+COUNTA($Q207))&gt;0),"",IF($V207="Macro",COUNTIFS($V$5:$V207,"Macro",$S$5:$S207,$S207),IF(N($U207)=0,"?",COUNTIFS(INDEX($V$5:$V$1000,1):INDEX($V$5:$V$1000,$U207-4),"Macro",INDEX($S$5:$S$1000,1):INDEX($S$5:$S$1000,$U207-4),INDEX($S$5:$S$1000,$U207-4))&amp;"."&amp;COUNTIFS($U$5:$U207,$U207,$V$5:$V207,"Sub"))))</f>
        <v/>
      </c>
      <c r="B207" s="57" t="n"/>
      <c r="C207" s="58" t="n"/>
      <c r="D207" s="58" t="n"/>
      <c r="E207" s="59">
        <f>IF(N($AL207)&gt;0,INDEX(rIni_ADM,$AL207),"")</f>
        <v/>
      </c>
      <c r="F207" s="59">
        <f>IF(N($AL207)&gt;0,INDEX(rLim_ADM,$AL207),"")</f>
        <v/>
      </c>
      <c r="G207" s="59" t="n"/>
      <c r="H207" s="60" t="n"/>
      <c r="I207" s="60" t="n"/>
      <c r="J207" s="60" t="n"/>
      <c r="K207" s="60" t="n"/>
      <c r="L207" s="60" t="n"/>
      <c r="M207" s="61">
        <f>IF(NOT((COUNTA($B207:$D207)+COUNTA($G207:$L207)+COUNTA($Q207))&gt;0),"",IF($V207="Sub",IFERROR($X207/INDEX($W$5:$W$1000,$U207-4),""),IF(ISNUMBER($G207),1,IF(N($W207)&gt;0,AVERAGEIFS($X$5:$X$1000,$U$5:$U$1000,ROW(),$V$5:$V$1000,"Sub"),$X207))))</f>
        <v/>
      </c>
      <c r="N207" s="56">
        <f>IF(OR($M207="",$V207="Sub"),"",IF($M207&gt;=1,"Completado",IF($M207&gt;0,"En curso","Pendiente")))</f>
        <v/>
      </c>
      <c r="O207" s="56">
        <f>IF(OR(NOT((COUNTA($B207:$D207)+COUNTA($G207:$L207)+COUNTA($Q207))&gt;0),$V207="Sub"),"",IF(ISNUMBER($G207),IF(AND(ISNUMBER($AN207),$G207&gt;$AN207),"Cumplida con "&amp;($G207-$AN207)&amp;IF($G207-$AN207=1," día"," días")&amp;" de retraso","Cumplida"),IF(N($M207)&gt;=1,"Cumplida",IF(NOT(ISNUMBER($AN207)),"Sin fecha límite",IF($AN207&lt;FechaRef,"Vencida hace "&amp;(FechaRef-$AN207)&amp;IF(FechaRef-$AN207=1," día"," días"),IF($AN207=FechaRef,"Vence hoy",IF($AN207-FechaRef&lt;=DiasAlerta,"Vence en "&amp;($AN207-FechaRef)&amp;IF($AN207-FechaRef=1," día"," días"),"En plazo")))))))</f>
        <v/>
      </c>
      <c r="P207" s="62" t="n"/>
      <c r="Q207" s="58" t="n"/>
      <c r="R207" s="63">
        <f>IF(NOT((COUNTA($B207:$D207)+COUNTA($G207:$L207)+COUNTA($Q207))&gt;0),"",IF((IF($C207="","Falta el nombre de la actividad"&amp;" · ","")&amp;IF(AND($V207="Sub",N($U207)=0),"Subactividad sin macroactividad arriba"&amp;" · ","")&amp;IF($AM207="","Sin fecha de inicio"&amp;" · ","")&amp;IF($AN207="","Sin fecha límite"&amp;" · ","")&amp;IF(AND(LEFT($C207,11)="[Jefatura] ",N($AL207)=0),"No se encuentra en la hoja de la jefatura (elíjala de nuevo en la lista)"&amp;" · ","")&amp;IF(OR(AND($E207&lt;&gt;"",NOT(ISNUMBER($E207))),AND($F207&lt;&gt;"",NOT(ISNUMBER($F207))),AND($G207&lt;&gt;"",NOT(ISNUMBER($G207)))),"Fecha no válida"&amp;" · ","")&amp;IF(AND(ISNUMBER($AM207),ISNUMBER($AN207),$AM207&gt;$AN207),"Inicio posterior a fecha límite"&amp;" · ","")&amp;IF(AND($V207="Macro",$H207&lt;&gt;"",OR(NOT(ISNUMBER($H207)),$H207&lt;0,$H207&gt;1)),"Peso fuera de rango"&amp;" · ","")&amp;IF(AND($V207="Sub",$H207&lt;&gt;""),"Las subactividades no llevan peso (valen igual dentro de su macroactividad)"&amp;" · ","")&amp;IF(AND(N($W207)&gt;0,COUNT($I207:$L207)&gt;0),"Con subactividades: deje vacías las semanas (se calculan solas)"&amp;" · ","")&amp;IF((COUNTIF($I207:$L207,"&gt;1")+COUNTIF($I207:$L207,"&lt;0")+COUNTA($I207:$L207)-COUNT($I207:$L207))&gt;0,"Avance fuera de rango 0-100%"&amp;" · ","")&amp;IF(OR(AND($J207&lt;&gt;"",$J207&lt;$I207),AND($K207&lt;&gt;"",$K207&lt;MAX($I207:$J207)),AND($L207&lt;&gt;"",$L207&lt;MAX($I207:$K207))),"Avance semanal decreciente"&amp;" · ","")&amp;IF(AND(ISNUMBER($AN207),$AN207&lt;FechaRef,IF($V207="Sub",N($X207),N($M207))&lt;1),"Vencida"&amp;" · ","")&amp;IF(AND(ObsObligatoria="Sí",ISNUMBER($AN207),$AN207&lt;FechaRef,IF($V207="Sub",N($X207),N($M207))&lt;1,$Q207=""),"Vencida sin observación"&amp;" · ",""))="","✔ OK","⚠ "&amp;LEFT(IF($C207="","Falta el nombre de la actividad"&amp;" · ","")&amp;IF(AND($V207="Sub",N($U207)=0),"Subactividad sin macroactividad arriba"&amp;" · ","")&amp;IF($AM207="","Sin fecha de inicio"&amp;" · ","")&amp;IF($AN207="","Sin fecha límite"&amp;" · ","")&amp;IF(AND(LEFT($C207,11)="[Jefatura] ",N($AL207)=0),"No se encuentra en la hoja de la jefatura (elíjala de nuevo en la lista)"&amp;" · ","")&amp;IF(OR(AND($E207&lt;&gt;"",NOT(ISNUMBER($E207))),AND($F207&lt;&gt;"",NOT(ISNUMBER($F207))),AND($G207&lt;&gt;"",NOT(ISNUMBER($G207)))),"Fecha no válida"&amp;" · ","")&amp;IF(AND(ISNUMBER($AM207),ISNUMBER($AN207),$AM207&gt;$AN207),"Inicio posterior a fecha límite"&amp;" · ","")&amp;IF(AND($V207="Macro",$H207&lt;&gt;"",OR(NOT(ISNUMBER($H207)),$H207&lt;0,$H207&gt;1)),"Peso fuera de rango"&amp;" · ","")&amp;IF(AND($V207="Sub",$H207&lt;&gt;""),"Las subactividades no llevan peso (valen igual dentro de su macroactividad)"&amp;" · ","")&amp;IF(AND(N($W207)&gt;0,COUNT($I207:$L207)&gt;0),"Con subactividades: deje vacías las semanas (se calculan solas)"&amp;" · ","")&amp;IF((COUNTIF($I207:$L207,"&gt;1")+COUNTIF($I207:$L207,"&lt;0")+COUNTA($I207:$L207)-COUNT($I207:$L207))&gt;0,"Avance fuera de rango 0-100%"&amp;" · ","")&amp;IF(OR(AND($J207&lt;&gt;"",$J207&lt;$I207),AND($K207&lt;&gt;"",$K207&lt;MAX($I207:$J207)),AND($L207&lt;&gt;"",$L207&lt;MAX($I207:$K207))),"Avance semanal decreciente"&amp;" · ","")&amp;IF(AND(ISNUMBER($AN207),$AN207&lt;FechaRef,IF($V207="Sub",N($X207),N($M207))&lt;1),"Vencida"&amp;" · ","")&amp;IF(AND(ObsObligatoria="Sí",ISNUMBER($AN207),$AN207&lt;FechaRef,IF($V207="Sub",N($X207),N($M207))&lt;1,$Q207=""),"Vencida sin observación"&amp;" · ",""),LEN(IF($C207="","Falta el nombre de la actividad"&amp;" · ","")&amp;IF(AND($V207="Sub",N($U207)=0),"Subactividad sin macroactividad arriba"&amp;" · ","")&amp;IF($AM207="","Sin fecha de inicio"&amp;" · ","")&amp;IF($AN207="","Sin fecha límite"&amp;" · ","")&amp;IF(AND(LEFT($C207,11)="[Jefatura] ",N($AL207)=0),"No se encuentra en la hoja de la jefatura (elíjala de nuevo en la lista)"&amp;" · ","")&amp;IF(OR(AND($E207&lt;&gt;"",NOT(ISNUMBER($E207))),AND($F207&lt;&gt;"",NOT(ISNUMBER($F207))),AND($G207&lt;&gt;"",NOT(ISNUMBER($G207)))),"Fecha no válida"&amp;" · ","")&amp;IF(AND(ISNUMBER($AM207),ISNUMBER($AN207),$AM207&gt;$AN207),"Inicio posterior a fecha límite"&amp;" · ","")&amp;IF(AND($V207="Macro",$H207&lt;&gt;"",OR(NOT(ISNUMBER($H207)),$H207&lt;0,$H207&gt;1)),"Peso fuera de rango"&amp;" · ","")&amp;IF(AND($V207="Sub",$H207&lt;&gt;""),"Las subactividades no llevan peso (valen igual dentro de su macroactividad)"&amp;" · ","")&amp;IF(AND(N($W207)&gt;0,COUNT($I207:$L207)&gt;0),"Con subactividades: deje vacías las semanas (se calculan solas)"&amp;" · ","")&amp;IF((COUNTIF($I207:$L207,"&gt;1")+COUNTIF($I207:$L207,"&lt;0")+COUNTA($I207:$L207)-COUNT($I207:$L207))&gt;0,"Avance fuera de rango 0-100%"&amp;" · ","")&amp;IF(OR(AND($J207&lt;&gt;"",$J207&lt;$I207),AND($K207&lt;&gt;"",$K207&lt;MAX($I207:$J207)),AND($L207&lt;&gt;"",$L207&lt;MAX($I207:$K207))),"Avance semanal decreciente"&amp;" · ","")&amp;IF(AND(ISNUMBER($AN207),$AN207&lt;FechaRef,IF($V207="Sub",N($X207),N($M207))&lt;1),"Vencida"&amp;" · ","")&amp;IF(AND(ObsObligatoria="Sí",ISNUMBER($AN207),$AN207&lt;FechaRef,IF($V207="Sub",N($X207),N($M207))&lt;1,$Q207=""),"Vencida sin observación"&amp;" · ",""))-3)))</f>
        <v/>
      </c>
      <c r="S207" s="64">
        <f>IF(NOT((COUNTA($B207:$D207)+COUNTA($G207:$L207)+COUNTA($Q207))&gt;0),"",IF(AND($V207="Sub",N($U207)&gt;0),IF(ISNUMBER(INDEX($AM$5:$AM$1000,$U207-4)),DATE(YEAR(INDEX($AM$5:$AM$1000,$U207-4)),MONTH(INDEX($AM$5:$AM$1000,$U207-4)),1),IF(ISNUMBER(INDEX($AN$5:$AN$1000,$U207-4)),DATE(YEAR(INDEX($AN$5:$AN$1000,$U207-4)),MONTH(INDEX($AN$5:$AN$1000,$U207-4)),1),MesCiclo)),IF(ISNUMBER($AM207),DATE(YEAR($AM207),MONTH($AM207),1),IF(ISNUMBER($AN207),DATE(YEAR($AN207),MONTH($AN207),1),MesCiclo))))</f>
        <v/>
      </c>
      <c r="T207" s="62">
        <f>IF(OR($S207="",$S207&lt;&gt;MesCiclo,$V207&lt;&gt;"Macro"),"",COUNTIFS($S$5:$S207,MesCiclo,$V$5:$V207,"Macro"))</f>
        <v/>
      </c>
      <c r="U207" s="62">
        <f>IF($V207="","",IF($V207="Macro",ROW(),IFERROR(LOOKUP(2,1/($V$5:$V207="Macro"),ROW($V$5:$V207)),0)))</f>
        <v/>
      </c>
      <c r="V207" s="62">
        <f>IF(NOT((COUNTA($B207:$D207)+COUNTA($G207:$L207)+COUNTA($Q207))&gt;0),"",IF($B207="Subactividad","Sub","Macro"))</f>
        <v/>
      </c>
      <c r="W207" s="62">
        <f>IF($V207="Macro",COUNTIFS($U$5:$U$1000,ROW(),$V$5:$V$1000,"Sub"),"")</f>
        <v/>
      </c>
      <c r="X207" s="62">
        <f>IF($V207="","",IF(ISNUMBER($G207),1,IFERROR(LOOKUP(2,1/($I207:$L207&lt;&gt;""),$I207:$L207),0)))</f>
        <v/>
      </c>
      <c r="Y207" s="62">
        <f>IF($V207="","",IF(AND(ISNUMBER($G207),$G207&lt;=IF($S207=MesCiclo,InicioCiclo,$S207+MOD(2-WEEKDAY($S207),7))+6),1,IF(ISNUMBER($I207),$I207,0)))</f>
        <v/>
      </c>
      <c r="Z207" s="62">
        <f>IF($V207="","",IF(AND(ISNUMBER($G207),$G207&lt;=IF($S207=MesCiclo,InicioCiclo,$S207+MOD(2-WEEKDAY($S207),7))+13),1,IF(ISNUMBER($J207),$J207,$Y207)))</f>
        <v/>
      </c>
      <c r="AA207" s="62">
        <f>IF($V207="","",IF(AND(ISNUMBER($G207),$G207&lt;=IF($S207=MesCiclo,InicioCiclo,$S207+MOD(2-WEEKDAY($S207),7))+20),1,IF(ISNUMBER($K207),$K207,$Z207)))</f>
        <v/>
      </c>
      <c r="AB207" s="62">
        <f>IF($V207="","",IF(AND(ISNUMBER($G207),$G207&lt;=IF($S207=MesCiclo,InicioCiclo,$S207+MOD(2-WEEKDAY($S207),7))+27),1,IF(ISNUMBER($L207),$L207,$AA207)))</f>
        <v/>
      </c>
      <c r="AC207" s="62">
        <f>IF($V207="","",IF(AND(ISNUMBER($G207),$G207&lt;=IF($S207=MesCiclo,InicioCiclo,$S207+MOD(2-WEEKDAY($S207),7))+6),1,IF(N($W207)&gt;0,AVERAGEIFS($Y$5:$Y$1000,$U$5:$U$1000,ROW(),$V$5:$V$1000,"Sub"),$Y207)))</f>
        <v/>
      </c>
      <c r="AD207" s="62">
        <f>IF($V207="","",IF(AND(ISNUMBER($G207),$G207&lt;=IF($S207=MesCiclo,InicioCiclo,$S207+MOD(2-WEEKDAY($S207),7))+13),1,IF(N($W207)&gt;0,AVERAGEIFS($Z$5:$Z$1000,$U$5:$U$1000,ROW(),$V$5:$V$1000,"Sub"),$Z207)))</f>
        <v/>
      </c>
      <c r="AE207" s="62">
        <f>IF($V207="","",IF(AND(ISNUMBER($G207),$G207&lt;=IF($S207=MesCiclo,InicioCiclo,$S207+MOD(2-WEEKDAY($S207),7))+20),1,IF(N($W207)&gt;0,AVERAGEIFS($AA$5:$AA$1000,$U$5:$U$1000,ROW(),$V$5:$V$1000,"Sub"),$AA207)))</f>
        <v/>
      </c>
      <c r="AF207" s="62">
        <f>IF($V207="","",IF(AND(ISNUMBER($G207),$G207&lt;=IF($S207=MesCiclo,InicioCiclo,$S207+MOD(2-WEEKDAY($S207),7))+27),1,IF(N($W207)&gt;0,AVERAGEIFS($AB$5:$AB$1000,$U$5:$U$1000,ROW(),$V$5:$V$1000,"Sub"),$AB207)))</f>
        <v/>
      </c>
      <c r="AG207" s="62">
        <f>IF($V207&lt;&gt;"Macro","",IF(COUNTIFS($S$5:$S$1000,$S207,$V$5:$V$1000,"Macro",$H$5:$H$1000,"&gt;0")=0,1/COUNTIFS($S$5:$S$1000,$S207,$V$5:$V$1000,"Macro"),IF(AND(ISNUMBER($H207),N($H207)&gt;0),$H207,SUMIFS($H$5:$H$1000,$S$5:$S$1000,$S207,$V$5:$V$1000,"Macro")/COUNTIFS($S$5:$S$1000,$S207,$V$5:$V$1000,"Macro",$H$5:$H$1000,"&gt;0"))/(COUNTIFS($S$5:$S$1000,$S207,$V$5:$V$1000,"Macro")*SUMIFS($H$5:$H$1000,$S$5:$S$1000,$S207,$V$5:$V$1000,"Macro")/COUNTIFS($S$5:$S$1000,$S207,$V$5:$V$1000,"Macro",$H$5:$H$1000,"&gt;0"))))</f>
        <v/>
      </c>
      <c r="AH207" s="62" t="n"/>
      <c r="AI207" s="62" t="n"/>
      <c r="AJ207" s="62" t="n"/>
      <c r="AK207" s="62" t="n"/>
      <c r="AL207" s="62">
        <f>IF(LEFT($C207,11)="[Jefatura] ",IFERROR(MATCH("Riesgo Financiero|"&amp;MID($C207,12,500),rDname_ADM,0),0),"")</f>
        <v/>
      </c>
      <c r="AM207" s="62">
        <f>IF(N($AL207)&gt;0,INDEX(rIni_ADM,$AL207),IF(ISNUMBER($E207),$E207,""))</f>
        <v/>
      </c>
      <c r="AN207" s="62">
        <f>IF(N($AL207)&gt;0,INDEX(rLim_ADM,$AL207),IF(ISNUMBER($F207),$F207,""))</f>
        <v/>
      </c>
    </row>
    <row r="208">
      <c r="A208" s="56">
        <f>IF(NOT((COUNTA($B208:$D208)+COUNTA($G208:$L208)+COUNTA($Q208))&gt;0),"",IF($V208="Macro",COUNTIFS($V$5:$V208,"Macro",$S$5:$S208,$S208),IF(N($U208)=0,"?",COUNTIFS(INDEX($V$5:$V$1000,1):INDEX($V$5:$V$1000,$U208-4),"Macro",INDEX($S$5:$S$1000,1):INDEX($S$5:$S$1000,$U208-4),INDEX($S$5:$S$1000,$U208-4))&amp;"."&amp;COUNTIFS($U$5:$U208,$U208,$V$5:$V208,"Sub"))))</f>
        <v/>
      </c>
      <c r="B208" s="57" t="n"/>
      <c r="C208" s="58" t="n"/>
      <c r="D208" s="58" t="n"/>
      <c r="E208" s="59">
        <f>IF(N($AL208)&gt;0,INDEX(rIni_ADM,$AL208),"")</f>
        <v/>
      </c>
      <c r="F208" s="59">
        <f>IF(N($AL208)&gt;0,INDEX(rLim_ADM,$AL208),"")</f>
        <v/>
      </c>
      <c r="G208" s="59" t="n"/>
      <c r="H208" s="60" t="n"/>
      <c r="I208" s="60" t="n"/>
      <c r="J208" s="60" t="n"/>
      <c r="K208" s="60" t="n"/>
      <c r="L208" s="60" t="n"/>
      <c r="M208" s="61">
        <f>IF(NOT((COUNTA($B208:$D208)+COUNTA($G208:$L208)+COUNTA($Q208))&gt;0),"",IF($V208="Sub",IFERROR($X208/INDEX($W$5:$W$1000,$U208-4),""),IF(ISNUMBER($G208),1,IF(N($W208)&gt;0,AVERAGEIFS($X$5:$X$1000,$U$5:$U$1000,ROW(),$V$5:$V$1000,"Sub"),$X208))))</f>
        <v/>
      </c>
      <c r="N208" s="56">
        <f>IF(OR($M208="",$V208="Sub"),"",IF($M208&gt;=1,"Completado",IF($M208&gt;0,"En curso","Pendiente")))</f>
        <v/>
      </c>
      <c r="O208" s="56">
        <f>IF(OR(NOT((COUNTA($B208:$D208)+COUNTA($G208:$L208)+COUNTA($Q208))&gt;0),$V208="Sub"),"",IF(ISNUMBER($G208),IF(AND(ISNUMBER($AN208),$G208&gt;$AN208),"Cumplida con "&amp;($G208-$AN208)&amp;IF($G208-$AN208=1," día"," días")&amp;" de retraso","Cumplida"),IF(N($M208)&gt;=1,"Cumplida",IF(NOT(ISNUMBER($AN208)),"Sin fecha límite",IF($AN208&lt;FechaRef,"Vencida hace "&amp;(FechaRef-$AN208)&amp;IF(FechaRef-$AN208=1," día"," días"),IF($AN208=FechaRef,"Vence hoy",IF($AN208-FechaRef&lt;=DiasAlerta,"Vence en "&amp;($AN208-FechaRef)&amp;IF($AN208-FechaRef=1," día"," días"),"En plazo")))))))</f>
        <v/>
      </c>
      <c r="P208" s="62" t="n"/>
      <c r="Q208" s="58" t="n"/>
      <c r="R208" s="63">
        <f>IF(NOT((COUNTA($B208:$D208)+COUNTA($G208:$L208)+COUNTA($Q208))&gt;0),"",IF((IF($C208="","Falta el nombre de la actividad"&amp;" · ","")&amp;IF(AND($V208="Sub",N($U208)=0),"Subactividad sin macroactividad arriba"&amp;" · ","")&amp;IF($AM208="","Sin fecha de inicio"&amp;" · ","")&amp;IF($AN208="","Sin fecha límite"&amp;" · ","")&amp;IF(AND(LEFT($C208,11)="[Jefatura] ",N($AL208)=0),"No se encuentra en la hoja de la jefatura (elíjala de nuevo en la lista)"&amp;" · ","")&amp;IF(OR(AND($E208&lt;&gt;"",NOT(ISNUMBER($E208))),AND($F208&lt;&gt;"",NOT(ISNUMBER($F208))),AND($G208&lt;&gt;"",NOT(ISNUMBER($G208)))),"Fecha no válida"&amp;" · ","")&amp;IF(AND(ISNUMBER($AM208),ISNUMBER($AN208),$AM208&gt;$AN208),"Inicio posterior a fecha límite"&amp;" · ","")&amp;IF(AND($V208="Macro",$H208&lt;&gt;"",OR(NOT(ISNUMBER($H208)),$H208&lt;0,$H208&gt;1)),"Peso fuera de rango"&amp;" · ","")&amp;IF(AND($V208="Sub",$H208&lt;&gt;""),"Las subactividades no llevan peso (valen igual dentro de su macroactividad)"&amp;" · ","")&amp;IF(AND(N($W208)&gt;0,COUNT($I208:$L208)&gt;0),"Con subactividades: deje vacías las semanas (se calculan solas)"&amp;" · ","")&amp;IF((COUNTIF($I208:$L208,"&gt;1")+COUNTIF($I208:$L208,"&lt;0")+COUNTA($I208:$L208)-COUNT($I208:$L208))&gt;0,"Avance fuera de rango 0-100%"&amp;" · ","")&amp;IF(OR(AND($J208&lt;&gt;"",$J208&lt;$I208),AND($K208&lt;&gt;"",$K208&lt;MAX($I208:$J208)),AND($L208&lt;&gt;"",$L208&lt;MAX($I208:$K208))),"Avance semanal decreciente"&amp;" · ","")&amp;IF(AND(ISNUMBER($AN208),$AN208&lt;FechaRef,IF($V208="Sub",N($X208),N($M208))&lt;1),"Vencida"&amp;" · ","")&amp;IF(AND(ObsObligatoria="Sí",ISNUMBER($AN208),$AN208&lt;FechaRef,IF($V208="Sub",N($X208),N($M208))&lt;1,$Q208=""),"Vencida sin observación"&amp;" · ",""))="","✔ OK","⚠ "&amp;LEFT(IF($C208="","Falta el nombre de la actividad"&amp;" · ","")&amp;IF(AND($V208="Sub",N($U208)=0),"Subactividad sin macroactividad arriba"&amp;" · ","")&amp;IF($AM208="","Sin fecha de inicio"&amp;" · ","")&amp;IF($AN208="","Sin fecha límite"&amp;" · ","")&amp;IF(AND(LEFT($C208,11)="[Jefatura] ",N($AL208)=0),"No se encuentra en la hoja de la jefatura (elíjala de nuevo en la lista)"&amp;" · ","")&amp;IF(OR(AND($E208&lt;&gt;"",NOT(ISNUMBER($E208))),AND($F208&lt;&gt;"",NOT(ISNUMBER($F208))),AND($G208&lt;&gt;"",NOT(ISNUMBER($G208)))),"Fecha no válida"&amp;" · ","")&amp;IF(AND(ISNUMBER($AM208),ISNUMBER($AN208),$AM208&gt;$AN208),"Inicio posterior a fecha límite"&amp;" · ","")&amp;IF(AND($V208="Macro",$H208&lt;&gt;"",OR(NOT(ISNUMBER($H208)),$H208&lt;0,$H208&gt;1)),"Peso fuera de rango"&amp;" · ","")&amp;IF(AND($V208="Sub",$H208&lt;&gt;""),"Las subactividades no llevan peso (valen igual dentro de su macroactividad)"&amp;" · ","")&amp;IF(AND(N($W208)&gt;0,COUNT($I208:$L208)&gt;0),"Con subactividades: deje vacías las semanas (se calculan solas)"&amp;" · ","")&amp;IF((COUNTIF($I208:$L208,"&gt;1")+COUNTIF($I208:$L208,"&lt;0")+COUNTA($I208:$L208)-COUNT($I208:$L208))&gt;0,"Avance fuera de rango 0-100%"&amp;" · ","")&amp;IF(OR(AND($J208&lt;&gt;"",$J208&lt;$I208),AND($K208&lt;&gt;"",$K208&lt;MAX($I208:$J208)),AND($L208&lt;&gt;"",$L208&lt;MAX($I208:$K208))),"Avance semanal decreciente"&amp;" · ","")&amp;IF(AND(ISNUMBER($AN208),$AN208&lt;FechaRef,IF($V208="Sub",N($X208),N($M208))&lt;1),"Vencida"&amp;" · ","")&amp;IF(AND(ObsObligatoria="Sí",ISNUMBER($AN208),$AN208&lt;FechaRef,IF($V208="Sub",N($X208),N($M208))&lt;1,$Q208=""),"Vencida sin observación"&amp;" · ",""),LEN(IF($C208="","Falta el nombre de la actividad"&amp;" · ","")&amp;IF(AND($V208="Sub",N($U208)=0),"Subactividad sin macroactividad arriba"&amp;" · ","")&amp;IF($AM208="","Sin fecha de inicio"&amp;" · ","")&amp;IF($AN208="","Sin fecha límite"&amp;" · ","")&amp;IF(AND(LEFT($C208,11)="[Jefatura] ",N($AL208)=0),"No se encuentra en la hoja de la jefatura (elíjala de nuevo en la lista)"&amp;" · ","")&amp;IF(OR(AND($E208&lt;&gt;"",NOT(ISNUMBER($E208))),AND($F208&lt;&gt;"",NOT(ISNUMBER($F208))),AND($G208&lt;&gt;"",NOT(ISNUMBER($G208)))),"Fecha no válida"&amp;" · ","")&amp;IF(AND(ISNUMBER($AM208),ISNUMBER($AN208),$AM208&gt;$AN208),"Inicio posterior a fecha límite"&amp;" · ","")&amp;IF(AND($V208="Macro",$H208&lt;&gt;"",OR(NOT(ISNUMBER($H208)),$H208&lt;0,$H208&gt;1)),"Peso fuera de rango"&amp;" · ","")&amp;IF(AND($V208="Sub",$H208&lt;&gt;""),"Las subactividades no llevan peso (valen igual dentro de su macroactividad)"&amp;" · ","")&amp;IF(AND(N($W208)&gt;0,COUNT($I208:$L208)&gt;0),"Con subactividades: deje vacías las semanas (se calculan solas)"&amp;" · ","")&amp;IF((COUNTIF($I208:$L208,"&gt;1")+COUNTIF($I208:$L208,"&lt;0")+COUNTA($I208:$L208)-COUNT($I208:$L208))&gt;0,"Avance fuera de rango 0-100%"&amp;" · ","")&amp;IF(OR(AND($J208&lt;&gt;"",$J208&lt;$I208),AND($K208&lt;&gt;"",$K208&lt;MAX($I208:$J208)),AND($L208&lt;&gt;"",$L208&lt;MAX($I208:$K208))),"Avance semanal decreciente"&amp;" · ","")&amp;IF(AND(ISNUMBER($AN208),$AN208&lt;FechaRef,IF($V208="Sub",N($X208),N($M208))&lt;1),"Vencida"&amp;" · ","")&amp;IF(AND(ObsObligatoria="Sí",ISNUMBER($AN208),$AN208&lt;FechaRef,IF($V208="Sub",N($X208),N($M208))&lt;1,$Q208=""),"Vencida sin observación"&amp;" · ",""))-3)))</f>
        <v/>
      </c>
      <c r="S208" s="64">
        <f>IF(NOT((COUNTA($B208:$D208)+COUNTA($G208:$L208)+COUNTA($Q208))&gt;0),"",IF(AND($V208="Sub",N($U208)&gt;0),IF(ISNUMBER(INDEX($AM$5:$AM$1000,$U208-4)),DATE(YEAR(INDEX($AM$5:$AM$1000,$U208-4)),MONTH(INDEX($AM$5:$AM$1000,$U208-4)),1),IF(ISNUMBER(INDEX($AN$5:$AN$1000,$U208-4)),DATE(YEAR(INDEX($AN$5:$AN$1000,$U208-4)),MONTH(INDEX($AN$5:$AN$1000,$U208-4)),1),MesCiclo)),IF(ISNUMBER($AM208),DATE(YEAR($AM208),MONTH($AM208),1),IF(ISNUMBER($AN208),DATE(YEAR($AN208),MONTH($AN208),1),MesCiclo))))</f>
        <v/>
      </c>
      <c r="T208" s="62">
        <f>IF(OR($S208="",$S208&lt;&gt;MesCiclo,$V208&lt;&gt;"Macro"),"",COUNTIFS($S$5:$S208,MesCiclo,$V$5:$V208,"Macro"))</f>
        <v/>
      </c>
      <c r="U208" s="62">
        <f>IF($V208="","",IF($V208="Macro",ROW(),IFERROR(LOOKUP(2,1/($V$5:$V208="Macro"),ROW($V$5:$V208)),0)))</f>
        <v/>
      </c>
      <c r="V208" s="62">
        <f>IF(NOT((COUNTA($B208:$D208)+COUNTA($G208:$L208)+COUNTA($Q208))&gt;0),"",IF($B208="Subactividad","Sub","Macro"))</f>
        <v/>
      </c>
      <c r="W208" s="62">
        <f>IF($V208="Macro",COUNTIFS($U$5:$U$1000,ROW(),$V$5:$V$1000,"Sub"),"")</f>
        <v/>
      </c>
      <c r="X208" s="62">
        <f>IF($V208="","",IF(ISNUMBER($G208),1,IFERROR(LOOKUP(2,1/($I208:$L208&lt;&gt;""),$I208:$L208),0)))</f>
        <v/>
      </c>
      <c r="Y208" s="62">
        <f>IF($V208="","",IF(AND(ISNUMBER($G208),$G208&lt;=IF($S208=MesCiclo,InicioCiclo,$S208+MOD(2-WEEKDAY($S208),7))+6),1,IF(ISNUMBER($I208),$I208,0)))</f>
        <v/>
      </c>
      <c r="Z208" s="62">
        <f>IF($V208="","",IF(AND(ISNUMBER($G208),$G208&lt;=IF($S208=MesCiclo,InicioCiclo,$S208+MOD(2-WEEKDAY($S208),7))+13),1,IF(ISNUMBER($J208),$J208,$Y208)))</f>
        <v/>
      </c>
      <c r="AA208" s="62">
        <f>IF($V208="","",IF(AND(ISNUMBER($G208),$G208&lt;=IF($S208=MesCiclo,InicioCiclo,$S208+MOD(2-WEEKDAY($S208),7))+20),1,IF(ISNUMBER($K208),$K208,$Z208)))</f>
        <v/>
      </c>
      <c r="AB208" s="62">
        <f>IF($V208="","",IF(AND(ISNUMBER($G208),$G208&lt;=IF($S208=MesCiclo,InicioCiclo,$S208+MOD(2-WEEKDAY($S208),7))+27),1,IF(ISNUMBER($L208),$L208,$AA208)))</f>
        <v/>
      </c>
      <c r="AC208" s="62">
        <f>IF($V208="","",IF(AND(ISNUMBER($G208),$G208&lt;=IF($S208=MesCiclo,InicioCiclo,$S208+MOD(2-WEEKDAY($S208),7))+6),1,IF(N($W208)&gt;0,AVERAGEIFS($Y$5:$Y$1000,$U$5:$U$1000,ROW(),$V$5:$V$1000,"Sub"),$Y208)))</f>
        <v/>
      </c>
      <c r="AD208" s="62">
        <f>IF($V208="","",IF(AND(ISNUMBER($G208),$G208&lt;=IF($S208=MesCiclo,InicioCiclo,$S208+MOD(2-WEEKDAY($S208),7))+13),1,IF(N($W208)&gt;0,AVERAGEIFS($Z$5:$Z$1000,$U$5:$U$1000,ROW(),$V$5:$V$1000,"Sub"),$Z208)))</f>
        <v/>
      </c>
      <c r="AE208" s="62">
        <f>IF($V208="","",IF(AND(ISNUMBER($G208),$G208&lt;=IF($S208=MesCiclo,InicioCiclo,$S208+MOD(2-WEEKDAY($S208),7))+20),1,IF(N($W208)&gt;0,AVERAGEIFS($AA$5:$AA$1000,$U$5:$U$1000,ROW(),$V$5:$V$1000,"Sub"),$AA208)))</f>
        <v/>
      </c>
      <c r="AF208" s="62">
        <f>IF($V208="","",IF(AND(ISNUMBER($G208),$G208&lt;=IF($S208=MesCiclo,InicioCiclo,$S208+MOD(2-WEEKDAY($S208),7))+27),1,IF(N($W208)&gt;0,AVERAGEIFS($AB$5:$AB$1000,$U$5:$U$1000,ROW(),$V$5:$V$1000,"Sub"),$AB208)))</f>
        <v/>
      </c>
      <c r="AG208" s="62">
        <f>IF($V208&lt;&gt;"Macro","",IF(COUNTIFS($S$5:$S$1000,$S208,$V$5:$V$1000,"Macro",$H$5:$H$1000,"&gt;0")=0,1/COUNTIFS($S$5:$S$1000,$S208,$V$5:$V$1000,"Macro"),IF(AND(ISNUMBER($H208),N($H208)&gt;0),$H208,SUMIFS($H$5:$H$1000,$S$5:$S$1000,$S208,$V$5:$V$1000,"Macro")/COUNTIFS($S$5:$S$1000,$S208,$V$5:$V$1000,"Macro",$H$5:$H$1000,"&gt;0"))/(COUNTIFS($S$5:$S$1000,$S208,$V$5:$V$1000,"Macro")*SUMIFS($H$5:$H$1000,$S$5:$S$1000,$S208,$V$5:$V$1000,"Macro")/COUNTIFS($S$5:$S$1000,$S208,$V$5:$V$1000,"Macro",$H$5:$H$1000,"&gt;0"))))</f>
        <v/>
      </c>
      <c r="AH208" s="62" t="n"/>
      <c r="AI208" s="62" t="n"/>
      <c r="AJ208" s="62" t="n"/>
      <c r="AK208" s="62" t="n"/>
      <c r="AL208" s="62">
        <f>IF(LEFT($C208,11)="[Jefatura] ",IFERROR(MATCH("Riesgo Financiero|"&amp;MID($C208,12,500),rDname_ADM,0),0),"")</f>
        <v/>
      </c>
      <c r="AM208" s="62">
        <f>IF(N($AL208)&gt;0,INDEX(rIni_ADM,$AL208),IF(ISNUMBER($E208),$E208,""))</f>
        <v/>
      </c>
      <c r="AN208" s="62">
        <f>IF(N($AL208)&gt;0,INDEX(rLim_ADM,$AL208),IF(ISNUMBER($F208),$F208,""))</f>
        <v/>
      </c>
    </row>
    <row r="209">
      <c r="A209" s="56">
        <f>IF(NOT((COUNTA($B209:$D209)+COUNTA($G209:$L209)+COUNTA($Q209))&gt;0),"",IF($V209="Macro",COUNTIFS($V$5:$V209,"Macro",$S$5:$S209,$S209),IF(N($U209)=0,"?",COUNTIFS(INDEX($V$5:$V$1000,1):INDEX($V$5:$V$1000,$U209-4),"Macro",INDEX($S$5:$S$1000,1):INDEX($S$5:$S$1000,$U209-4),INDEX($S$5:$S$1000,$U209-4))&amp;"."&amp;COUNTIFS($U$5:$U209,$U209,$V$5:$V209,"Sub"))))</f>
        <v/>
      </c>
      <c r="B209" s="57" t="n"/>
      <c r="C209" s="58" t="n"/>
      <c r="D209" s="58" t="n"/>
      <c r="E209" s="59">
        <f>IF(N($AL209)&gt;0,INDEX(rIni_ADM,$AL209),"")</f>
        <v/>
      </c>
      <c r="F209" s="59">
        <f>IF(N($AL209)&gt;0,INDEX(rLim_ADM,$AL209),"")</f>
        <v/>
      </c>
      <c r="G209" s="59" t="n"/>
      <c r="H209" s="60" t="n"/>
      <c r="I209" s="60" t="n"/>
      <c r="J209" s="60" t="n"/>
      <c r="K209" s="60" t="n"/>
      <c r="L209" s="60" t="n"/>
      <c r="M209" s="61">
        <f>IF(NOT((COUNTA($B209:$D209)+COUNTA($G209:$L209)+COUNTA($Q209))&gt;0),"",IF($V209="Sub",IFERROR($X209/INDEX($W$5:$W$1000,$U209-4),""),IF(ISNUMBER($G209),1,IF(N($W209)&gt;0,AVERAGEIFS($X$5:$X$1000,$U$5:$U$1000,ROW(),$V$5:$V$1000,"Sub"),$X209))))</f>
        <v/>
      </c>
      <c r="N209" s="56">
        <f>IF(OR($M209="",$V209="Sub"),"",IF($M209&gt;=1,"Completado",IF($M209&gt;0,"En curso","Pendiente")))</f>
        <v/>
      </c>
      <c r="O209" s="56">
        <f>IF(OR(NOT((COUNTA($B209:$D209)+COUNTA($G209:$L209)+COUNTA($Q209))&gt;0),$V209="Sub"),"",IF(ISNUMBER($G209),IF(AND(ISNUMBER($AN209),$G209&gt;$AN209),"Cumplida con "&amp;($G209-$AN209)&amp;IF($G209-$AN209=1," día"," días")&amp;" de retraso","Cumplida"),IF(N($M209)&gt;=1,"Cumplida",IF(NOT(ISNUMBER($AN209)),"Sin fecha límite",IF($AN209&lt;FechaRef,"Vencida hace "&amp;(FechaRef-$AN209)&amp;IF(FechaRef-$AN209=1," día"," días"),IF($AN209=FechaRef,"Vence hoy",IF($AN209-FechaRef&lt;=DiasAlerta,"Vence en "&amp;($AN209-FechaRef)&amp;IF($AN209-FechaRef=1," día"," días"),"En plazo")))))))</f>
        <v/>
      </c>
      <c r="P209" s="62" t="n"/>
      <c r="Q209" s="58" t="n"/>
      <c r="R209" s="63">
        <f>IF(NOT((COUNTA($B209:$D209)+COUNTA($G209:$L209)+COUNTA($Q209))&gt;0),"",IF((IF($C209="","Falta el nombre de la actividad"&amp;" · ","")&amp;IF(AND($V209="Sub",N($U209)=0),"Subactividad sin macroactividad arriba"&amp;" · ","")&amp;IF($AM209="","Sin fecha de inicio"&amp;" · ","")&amp;IF($AN209="","Sin fecha límite"&amp;" · ","")&amp;IF(AND(LEFT($C209,11)="[Jefatura] ",N($AL209)=0),"No se encuentra en la hoja de la jefatura (elíjala de nuevo en la lista)"&amp;" · ","")&amp;IF(OR(AND($E209&lt;&gt;"",NOT(ISNUMBER($E209))),AND($F209&lt;&gt;"",NOT(ISNUMBER($F209))),AND($G209&lt;&gt;"",NOT(ISNUMBER($G209)))),"Fecha no válida"&amp;" · ","")&amp;IF(AND(ISNUMBER($AM209),ISNUMBER($AN209),$AM209&gt;$AN209),"Inicio posterior a fecha límite"&amp;" · ","")&amp;IF(AND($V209="Macro",$H209&lt;&gt;"",OR(NOT(ISNUMBER($H209)),$H209&lt;0,$H209&gt;1)),"Peso fuera de rango"&amp;" · ","")&amp;IF(AND($V209="Sub",$H209&lt;&gt;""),"Las subactividades no llevan peso (valen igual dentro de su macroactividad)"&amp;" · ","")&amp;IF(AND(N($W209)&gt;0,COUNT($I209:$L209)&gt;0),"Con subactividades: deje vacías las semanas (se calculan solas)"&amp;" · ","")&amp;IF((COUNTIF($I209:$L209,"&gt;1")+COUNTIF($I209:$L209,"&lt;0")+COUNTA($I209:$L209)-COUNT($I209:$L209))&gt;0,"Avance fuera de rango 0-100%"&amp;" · ","")&amp;IF(OR(AND($J209&lt;&gt;"",$J209&lt;$I209),AND($K209&lt;&gt;"",$K209&lt;MAX($I209:$J209)),AND($L209&lt;&gt;"",$L209&lt;MAX($I209:$K209))),"Avance semanal decreciente"&amp;" · ","")&amp;IF(AND(ISNUMBER($AN209),$AN209&lt;FechaRef,IF($V209="Sub",N($X209),N($M209))&lt;1),"Vencida"&amp;" · ","")&amp;IF(AND(ObsObligatoria="Sí",ISNUMBER($AN209),$AN209&lt;FechaRef,IF($V209="Sub",N($X209),N($M209))&lt;1,$Q209=""),"Vencida sin observación"&amp;" · ",""))="","✔ OK","⚠ "&amp;LEFT(IF($C209="","Falta el nombre de la actividad"&amp;" · ","")&amp;IF(AND($V209="Sub",N($U209)=0),"Subactividad sin macroactividad arriba"&amp;" · ","")&amp;IF($AM209="","Sin fecha de inicio"&amp;" · ","")&amp;IF($AN209="","Sin fecha límite"&amp;" · ","")&amp;IF(AND(LEFT($C209,11)="[Jefatura] ",N($AL209)=0),"No se encuentra en la hoja de la jefatura (elíjala de nuevo en la lista)"&amp;" · ","")&amp;IF(OR(AND($E209&lt;&gt;"",NOT(ISNUMBER($E209))),AND($F209&lt;&gt;"",NOT(ISNUMBER($F209))),AND($G209&lt;&gt;"",NOT(ISNUMBER($G209)))),"Fecha no válida"&amp;" · ","")&amp;IF(AND(ISNUMBER($AM209),ISNUMBER($AN209),$AM209&gt;$AN209),"Inicio posterior a fecha límite"&amp;" · ","")&amp;IF(AND($V209="Macro",$H209&lt;&gt;"",OR(NOT(ISNUMBER($H209)),$H209&lt;0,$H209&gt;1)),"Peso fuera de rango"&amp;" · ","")&amp;IF(AND($V209="Sub",$H209&lt;&gt;""),"Las subactividades no llevan peso (valen igual dentro de su macroactividad)"&amp;" · ","")&amp;IF(AND(N($W209)&gt;0,COUNT($I209:$L209)&gt;0),"Con subactividades: deje vacías las semanas (se calculan solas)"&amp;" · ","")&amp;IF((COUNTIF($I209:$L209,"&gt;1")+COUNTIF($I209:$L209,"&lt;0")+COUNTA($I209:$L209)-COUNT($I209:$L209))&gt;0,"Avance fuera de rango 0-100%"&amp;" · ","")&amp;IF(OR(AND($J209&lt;&gt;"",$J209&lt;$I209),AND($K209&lt;&gt;"",$K209&lt;MAX($I209:$J209)),AND($L209&lt;&gt;"",$L209&lt;MAX($I209:$K209))),"Avance semanal decreciente"&amp;" · ","")&amp;IF(AND(ISNUMBER($AN209),$AN209&lt;FechaRef,IF($V209="Sub",N($X209),N($M209))&lt;1),"Vencida"&amp;" · ","")&amp;IF(AND(ObsObligatoria="Sí",ISNUMBER($AN209),$AN209&lt;FechaRef,IF($V209="Sub",N($X209),N($M209))&lt;1,$Q209=""),"Vencida sin observación"&amp;" · ",""),LEN(IF($C209="","Falta el nombre de la actividad"&amp;" · ","")&amp;IF(AND($V209="Sub",N($U209)=0),"Subactividad sin macroactividad arriba"&amp;" · ","")&amp;IF($AM209="","Sin fecha de inicio"&amp;" · ","")&amp;IF($AN209="","Sin fecha límite"&amp;" · ","")&amp;IF(AND(LEFT($C209,11)="[Jefatura] ",N($AL209)=0),"No se encuentra en la hoja de la jefatura (elíjala de nuevo en la lista)"&amp;" · ","")&amp;IF(OR(AND($E209&lt;&gt;"",NOT(ISNUMBER($E209))),AND($F209&lt;&gt;"",NOT(ISNUMBER($F209))),AND($G209&lt;&gt;"",NOT(ISNUMBER($G209)))),"Fecha no válida"&amp;" · ","")&amp;IF(AND(ISNUMBER($AM209),ISNUMBER($AN209),$AM209&gt;$AN209),"Inicio posterior a fecha límite"&amp;" · ","")&amp;IF(AND($V209="Macro",$H209&lt;&gt;"",OR(NOT(ISNUMBER($H209)),$H209&lt;0,$H209&gt;1)),"Peso fuera de rango"&amp;" · ","")&amp;IF(AND($V209="Sub",$H209&lt;&gt;""),"Las subactividades no llevan peso (valen igual dentro de su macroactividad)"&amp;" · ","")&amp;IF(AND(N($W209)&gt;0,COUNT($I209:$L209)&gt;0),"Con subactividades: deje vacías las semanas (se calculan solas)"&amp;" · ","")&amp;IF((COUNTIF($I209:$L209,"&gt;1")+COUNTIF($I209:$L209,"&lt;0")+COUNTA($I209:$L209)-COUNT($I209:$L209))&gt;0,"Avance fuera de rango 0-100%"&amp;" · ","")&amp;IF(OR(AND($J209&lt;&gt;"",$J209&lt;$I209),AND($K209&lt;&gt;"",$K209&lt;MAX($I209:$J209)),AND($L209&lt;&gt;"",$L209&lt;MAX($I209:$K209))),"Avance semanal decreciente"&amp;" · ","")&amp;IF(AND(ISNUMBER($AN209),$AN209&lt;FechaRef,IF($V209="Sub",N($X209),N($M209))&lt;1),"Vencida"&amp;" · ","")&amp;IF(AND(ObsObligatoria="Sí",ISNUMBER($AN209),$AN209&lt;FechaRef,IF($V209="Sub",N($X209),N($M209))&lt;1,$Q209=""),"Vencida sin observación"&amp;" · ",""))-3)))</f>
        <v/>
      </c>
      <c r="S209" s="64">
        <f>IF(NOT((COUNTA($B209:$D209)+COUNTA($G209:$L209)+COUNTA($Q209))&gt;0),"",IF(AND($V209="Sub",N($U209)&gt;0),IF(ISNUMBER(INDEX($AM$5:$AM$1000,$U209-4)),DATE(YEAR(INDEX($AM$5:$AM$1000,$U209-4)),MONTH(INDEX($AM$5:$AM$1000,$U209-4)),1),IF(ISNUMBER(INDEX($AN$5:$AN$1000,$U209-4)),DATE(YEAR(INDEX($AN$5:$AN$1000,$U209-4)),MONTH(INDEX($AN$5:$AN$1000,$U209-4)),1),MesCiclo)),IF(ISNUMBER($AM209),DATE(YEAR($AM209),MONTH($AM209),1),IF(ISNUMBER($AN209),DATE(YEAR($AN209),MONTH($AN209),1),MesCiclo))))</f>
        <v/>
      </c>
      <c r="T209" s="62">
        <f>IF(OR($S209="",$S209&lt;&gt;MesCiclo,$V209&lt;&gt;"Macro"),"",COUNTIFS($S$5:$S209,MesCiclo,$V$5:$V209,"Macro"))</f>
        <v/>
      </c>
      <c r="U209" s="62">
        <f>IF($V209="","",IF($V209="Macro",ROW(),IFERROR(LOOKUP(2,1/($V$5:$V209="Macro"),ROW($V$5:$V209)),0)))</f>
        <v/>
      </c>
      <c r="V209" s="62">
        <f>IF(NOT((COUNTA($B209:$D209)+COUNTA($G209:$L209)+COUNTA($Q209))&gt;0),"",IF($B209="Subactividad","Sub","Macro"))</f>
        <v/>
      </c>
      <c r="W209" s="62">
        <f>IF($V209="Macro",COUNTIFS($U$5:$U$1000,ROW(),$V$5:$V$1000,"Sub"),"")</f>
        <v/>
      </c>
      <c r="X209" s="62">
        <f>IF($V209="","",IF(ISNUMBER($G209),1,IFERROR(LOOKUP(2,1/($I209:$L209&lt;&gt;""),$I209:$L209),0)))</f>
        <v/>
      </c>
      <c r="Y209" s="62">
        <f>IF($V209="","",IF(AND(ISNUMBER($G209),$G209&lt;=IF($S209=MesCiclo,InicioCiclo,$S209+MOD(2-WEEKDAY($S209),7))+6),1,IF(ISNUMBER($I209),$I209,0)))</f>
        <v/>
      </c>
      <c r="Z209" s="62">
        <f>IF($V209="","",IF(AND(ISNUMBER($G209),$G209&lt;=IF($S209=MesCiclo,InicioCiclo,$S209+MOD(2-WEEKDAY($S209),7))+13),1,IF(ISNUMBER($J209),$J209,$Y209)))</f>
        <v/>
      </c>
      <c r="AA209" s="62">
        <f>IF($V209="","",IF(AND(ISNUMBER($G209),$G209&lt;=IF($S209=MesCiclo,InicioCiclo,$S209+MOD(2-WEEKDAY($S209),7))+20),1,IF(ISNUMBER($K209),$K209,$Z209)))</f>
        <v/>
      </c>
      <c r="AB209" s="62">
        <f>IF($V209="","",IF(AND(ISNUMBER($G209),$G209&lt;=IF($S209=MesCiclo,InicioCiclo,$S209+MOD(2-WEEKDAY($S209),7))+27),1,IF(ISNUMBER($L209),$L209,$AA209)))</f>
        <v/>
      </c>
      <c r="AC209" s="62">
        <f>IF($V209="","",IF(AND(ISNUMBER($G209),$G209&lt;=IF($S209=MesCiclo,InicioCiclo,$S209+MOD(2-WEEKDAY($S209),7))+6),1,IF(N($W209)&gt;0,AVERAGEIFS($Y$5:$Y$1000,$U$5:$U$1000,ROW(),$V$5:$V$1000,"Sub"),$Y209)))</f>
        <v/>
      </c>
      <c r="AD209" s="62">
        <f>IF($V209="","",IF(AND(ISNUMBER($G209),$G209&lt;=IF($S209=MesCiclo,InicioCiclo,$S209+MOD(2-WEEKDAY($S209),7))+13),1,IF(N($W209)&gt;0,AVERAGEIFS($Z$5:$Z$1000,$U$5:$U$1000,ROW(),$V$5:$V$1000,"Sub"),$Z209)))</f>
        <v/>
      </c>
      <c r="AE209" s="62">
        <f>IF($V209="","",IF(AND(ISNUMBER($G209),$G209&lt;=IF($S209=MesCiclo,InicioCiclo,$S209+MOD(2-WEEKDAY($S209),7))+20),1,IF(N($W209)&gt;0,AVERAGEIFS($AA$5:$AA$1000,$U$5:$U$1000,ROW(),$V$5:$V$1000,"Sub"),$AA209)))</f>
        <v/>
      </c>
      <c r="AF209" s="62">
        <f>IF($V209="","",IF(AND(ISNUMBER($G209),$G209&lt;=IF($S209=MesCiclo,InicioCiclo,$S209+MOD(2-WEEKDAY($S209),7))+27),1,IF(N($W209)&gt;0,AVERAGEIFS($AB$5:$AB$1000,$U$5:$U$1000,ROW(),$V$5:$V$1000,"Sub"),$AB209)))</f>
        <v/>
      </c>
      <c r="AG209" s="62">
        <f>IF($V209&lt;&gt;"Macro","",IF(COUNTIFS($S$5:$S$1000,$S209,$V$5:$V$1000,"Macro",$H$5:$H$1000,"&gt;0")=0,1/COUNTIFS($S$5:$S$1000,$S209,$V$5:$V$1000,"Macro"),IF(AND(ISNUMBER($H209),N($H209)&gt;0),$H209,SUMIFS($H$5:$H$1000,$S$5:$S$1000,$S209,$V$5:$V$1000,"Macro")/COUNTIFS($S$5:$S$1000,$S209,$V$5:$V$1000,"Macro",$H$5:$H$1000,"&gt;0"))/(COUNTIFS($S$5:$S$1000,$S209,$V$5:$V$1000,"Macro")*SUMIFS($H$5:$H$1000,$S$5:$S$1000,$S209,$V$5:$V$1000,"Macro")/COUNTIFS($S$5:$S$1000,$S209,$V$5:$V$1000,"Macro",$H$5:$H$1000,"&gt;0"))))</f>
        <v/>
      </c>
      <c r="AH209" s="62" t="n"/>
      <c r="AI209" s="62" t="n"/>
      <c r="AJ209" s="62" t="n"/>
      <c r="AK209" s="62" t="n"/>
      <c r="AL209" s="62">
        <f>IF(LEFT($C209,11)="[Jefatura] ",IFERROR(MATCH("Riesgo Financiero|"&amp;MID($C209,12,500),rDname_ADM,0),0),"")</f>
        <v/>
      </c>
      <c r="AM209" s="62">
        <f>IF(N($AL209)&gt;0,INDEX(rIni_ADM,$AL209),IF(ISNUMBER($E209),$E209,""))</f>
        <v/>
      </c>
      <c r="AN209" s="62">
        <f>IF(N($AL209)&gt;0,INDEX(rLim_ADM,$AL209),IF(ISNUMBER($F209),$F209,""))</f>
        <v/>
      </c>
    </row>
    <row r="210">
      <c r="A210" s="56">
        <f>IF(NOT((COUNTA($B210:$D210)+COUNTA($G210:$L210)+COUNTA($Q210))&gt;0),"",IF($V210="Macro",COUNTIFS($V$5:$V210,"Macro",$S$5:$S210,$S210),IF(N($U210)=0,"?",COUNTIFS(INDEX($V$5:$V$1000,1):INDEX($V$5:$V$1000,$U210-4),"Macro",INDEX($S$5:$S$1000,1):INDEX($S$5:$S$1000,$U210-4),INDEX($S$5:$S$1000,$U210-4))&amp;"."&amp;COUNTIFS($U$5:$U210,$U210,$V$5:$V210,"Sub"))))</f>
        <v/>
      </c>
      <c r="B210" s="57" t="n"/>
      <c r="C210" s="58" t="n"/>
      <c r="D210" s="58" t="n"/>
      <c r="E210" s="59">
        <f>IF(N($AL210)&gt;0,INDEX(rIni_ADM,$AL210),"")</f>
        <v/>
      </c>
      <c r="F210" s="59">
        <f>IF(N($AL210)&gt;0,INDEX(rLim_ADM,$AL210),"")</f>
        <v/>
      </c>
      <c r="G210" s="59" t="n"/>
      <c r="H210" s="60" t="n"/>
      <c r="I210" s="60" t="n"/>
      <c r="J210" s="60" t="n"/>
      <c r="K210" s="60" t="n"/>
      <c r="L210" s="60" t="n"/>
      <c r="M210" s="61">
        <f>IF(NOT((COUNTA($B210:$D210)+COUNTA($G210:$L210)+COUNTA($Q210))&gt;0),"",IF($V210="Sub",IFERROR($X210/INDEX($W$5:$W$1000,$U210-4),""),IF(ISNUMBER($G210),1,IF(N($W210)&gt;0,AVERAGEIFS($X$5:$X$1000,$U$5:$U$1000,ROW(),$V$5:$V$1000,"Sub"),$X210))))</f>
        <v/>
      </c>
      <c r="N210" s="56">
        <f>IF(OR($M210="",$V210="Sub"),"",IF($M210&gt;=1,"Completado",IF($M210&gt;0,"En curso","Pendiente")))</f>
        <v/>
      </c>
      <c r="O210" s="56">
        <f>IF(OR(NOT((COUNTA($B210:$D210)+COUNTA($G210:$L210)+COUNTA($Q210))&gt;0),$V210="Sub"),"",IF(ISNUMBER($G210),IF(AND(ISNUMBER($AN210),$G210&gt;$AN210),"Cumplida con "&amp;($G210-$AN210)&amp;IF($G210-$AN210=1," día"," días")&amp;" de retraso","Cumplida"),IF(N($M210)&gt;=1,"Cumplida",IF(NOT(ISNUMBER($AN210)),"Sin fecha límite",IF($AN210&lt;FechaRef,"Vencida hace "&amp;(FechaRef-$AN210)&amp;IF(FechaRef-$AN210=1," día"," días"),IF($AN210=FechaRef,"Vence hoy",IF($AN210-FechaRef&lt;=DiasAlerta,"Vence en "&amp;($AN210-FechaRef)&amp;IF($AN210-FechaRef=1," día"," días"),"En plazo")))))))</f>
        <v/>
      </c>
      <c r="P210" s="62" t="n"/>
      <c r="Q210" s="58" t="n"/>
      <c r="R210" s="63">
        <f>IF(NOT((COUNTA($B210:$D210)+COUNTA($G210:$L210)+COUNTA($Q210))&gt;0),"",IF((IF($C210="","Falta el nombre de la actividad"&amp;" · ","")&amp;IF(AND($V210="Sub",N($U210)=0),"Subactividad sin macroactividad arriba"&amp;" · ","")&amp;IF($AM210="","Sin fecha de inicio"&amp;" · ","")&amp;IF($AN210="","Sin fecha límite"&amp;" · ","")&amp;IF(AND(LEFT($C210,11)="[Jefatura] ",N($AL210)=0),"No se encuentra en la hoja de la jefatura (elíjala de nuevo en la lista)"&amp;" · ","")&amp;IF(OR(AND($E210&lt;&gt;"",NOT(ISNUMBER($E210))),AND($F210&lt;&gt;"",NOT(ISNUMBER($F210))),AND($G210&lt;&gt;"",NOT(ISNUMBER($G210)))),"Fecha no válida"&amp;" · ","")&amp;IF(AND(ISNUMBER($AM210),ISNUMBER($AN210),$AM210&gt;$AN210),"Inicio posterior a fecha límite"&amp;" · ","")&amp;IF(AND($V210="Macro",$H210&lt;&gt;"",OR(NOT(ISNUMBER($H210)),$H210&lt;0,$H210&gt;1)),"Peso fuera de rango"&amp;" · ","")&amp;IF(AND($V210="Sub",$H210&lt;&gt;""),"Las subactividades no llevan peso (valen igual dentro de su macroactividad)"&amp;" · ","")&amp;IF(AND(N($W210)&gt;0,COUNT($I210:$L210)&gt;0),"Con subactividades: deje vacías las semanas (se calculan solas)"&amp;" · ","")&amp;IF((COUNTIF($I210:$L210,"&gt;1")+COUNTIF($I210:$L210,"&lt;0")+COUNTA($I210:$L210)-COUNT($I210:$L210))&gt;0,"Avance fuera de rango 0-100%"&amp;" · ","")&amp;IF(OR(AND($J210&lt;&gt;"",$J210&lt;$I210),AND($K210&lt;&gt;"",$K210&lt;MAX($I210:$J210)),AND($L210&lt;&gt;"",$L210&lt;MAX($I210:$K210))),"Avance semanal decreciente"&amp;" · ","")&amp;IF(AND(ISNUMBER($AN210),$AN210&lt;FechaRef,IF($V210="Sub",N($X210),N($M210))&lt;1),"Vencida"&amp;" · ","")&amp;IF(AND(ObsObligatoria="Sí",ISNUMBER($AN210),$AN210&lt;FechaRef,IF($V210="Sub",N($X210),N($M210))&lt;1,$Q210=""),"Vencida sin observación"&amp;" · ",""))="","✔ OK","⚠ "&amp;LEFT(IF($C210="","Falta el nombre de la actividad"&amp;" · ","")&amp;IF(AND($V210="Sub",N($U210)=0),"Subactividad sin macroactividad arriba"&amp;" · ","")&amp;IF($AM210="","Sin fecha de inicio"&amp;" · ","")&amp;IF($AN210="","Sin fecha límite"&amp;" · ","")&amp;IF(AND(LEFT($C210,11)="[Jefatura] ",N($AL210)=0),"No se encuentra en la hoja de la jefatura (elíjala de nuevo en la lista)"&amp;" · ","")&amp;IF(OR(AND($E210&lt;&gt;"",NOT(ISNUMBER($E210))),AND($F210&lt;&gt;"",NOT(ISNUMBER($F210))),AND($G210&lt;&gt;"",NOT(ISNUMBER($G210)))),"Fecha no válida"&amp;" · ","")&amp;IF(AND(ISNUMBER($AM210),ISNUMBER($AN210),$AM210&gt;$AN210),"Inicio posterior a fecha límite"&amp;" · ","")&amp;IF(AND($V210="Macro",$H210&lt;&gt;"",OR(NOT(ISNUMBER($H210)),$H210&lt;0,$H210&gt;1)),"Peso fuera de rango"&amp;" · ","")&amp;IF(AND($V210="Sub",$H210&lt;&gt;""),"Las subactividades no llevan peso (valen igual dentro de su macroactividad)"&amp;" · ","")&amp;IF(AND(N($W210)&gt;0,COUNT($I210:$L210)&gt;0),"Con subactividades: deje vacías las semanas (se calculan solas)"&amp;" · ","")&amp;IF((COUNTIF($I210:$L210,"&gt;1")+COUNTIF($I210:$L210,"&lt;0")+COUNTA($I210:$L210)-COUNT($I210:$L210))&gt;0,"Avance fuera de rango 0-100%"&amp;" · ","")&amp;IF(OR(AND($J210&lt;&gt;"",$J210&lt;$I210),AND($K210&lt;&gt;"",$K210&lt;MAX($I210:$J210)),AND($L210&lt;&gt;"",$L210&lt;MAX($I210:$K210))),"Avance semanal decreciente"&amp;" · ","")&amp;IF(AND(ISNUMBER($AN210),$AN210&lt;FechaRef,IF($V210="Sub",N($X210),N($M210))&lt;1),"Vencida"&amp;" · ","")&amp;IF(AND(ObsObligatoria="Sí",ISNUMBER($AN210),$AN210&lt;FechaRef,IF($V210="Sub",N($X210),N($M210))&lt;1,$Q210=""),"Vencida sin observación"&amp;" · ",""),LEN(IF($C210="","Falta el nombre de la actividad"&amp;" · ","")&amp;IF(AND($V210="Sub",N($U210)=0),"Subactividad sin macroactividad arriba"&amp;" · ","")&amp;IF($AM210="","Sin fecha de inicio"&amp;" · ","")&amp;IF($AN210="","Sin fecha límite"&amp;" · ","")&amp;IF(AND(LEFT($C210,11)="[Jefatura] ",N($AL210)=0),"No se encuentra en la hoja de la jefatura (elíjala de nuevo en la lista)"&amp;" · ","")&amp;IF(OR(AND($E210&lt;&gt;"",NOT(ISNUMBER($E210))),AND($F210&lt;&gt;"",NOT(ISNUMBER($F210))),AND($G210&lt;&gt;"",NOT(ISNUMBER($G210)))),"Fecha no válida"&amp;" · ","")&amp;IF(AND(ISNUMBER($AM210),ISNUMBER($AN210),$AM210&gt;$AN210),"Inicio posterior a fecha límite"&amp;" · ","")&amp;IF(AND($V210="Macro",$H210&lt;&gt;"",OR(NOT(ISNUMBER($H210)),$H210&lt;0,$H210&gt;1)),"Peso fuera de rango"&amp;" · ","")&amp;IF(AND($V210="Sub",$H210&lt;&gt;""),"Las subactividades no llevan peso (valen igual dentro de su macroactividad)"&amp;" · ","")&amp;IF(AND(N($W210)&gt;0,COUNT($I210:$L210)&gt;0),"Con subactividades: deje vacías las semanas (se calculan solas)"&amp;" · ","")&amp;IF((COUNTIF($I210:$L210,"&gt;1")+COUNTIF($I210:$L210,"&lt;0")+COUNTA($I210:$L210)-COUNT($I210:$L210))&gt;0,"Avance fuera de rango 0-100%"&amp;" · ","")&amp;IF(OR(AND($J210&lt;&gt;"",$J210&lt;$I210),AND($K210&lt;&gt;"",$K210&lt;MAX($I210:$J210)),AND($L210&lt;&gt;"",$L210&lt;MAX($I210:$K210))),"Avance semanal decreciente"&amp;" · ","")&amp;IF(AND(ISNUMBER($AN210),$AN210&lt;FechaRef,IF($V210="Sub",N($X210),N($M210))&lt;1),"Vencida"&amp;" · ","")&amp;IF(AND(ObsObligatoria="Sí",ISNUMBER($AN210),$AN210&lt;FechaRef,IF($V210="Sub",N($X210),N($M210))&lt;1,$Q210=""),"Vencida sin observación"&amp;" · ",""))-3)))</f>
        <v/>
      </c>
      <c r="S210" s="64">
        <f>IF(NOT((COUNTA($B210:$D210)+COUNTA($G210:$L210)+COUNTA($Q210))&gt;0),"",IF(AND($V210="Sub",N($U210)&gt;0),IF(ISNUMBER(INDEX($AM$5:$AM$1000,$U210-4)),DATE(YEAR(INDEX($AM$5:$AM$1000,$U210-4)),MONTH(INDEX($AM$5:$AM$1000,$U210-4)),1),IF(ISNUMBER(INDEX($AN$5:$AN$1000,$U210-4)),DATE(YEAR(INDEX($AN$5:$AN$1000,$U210-4)),MONTH(INDEX($AN$5:$AN$1000,$U210-4)),1),MesCiclo)),IF(ISNUMBER($AM210),DATE(YEAR($AM210),MONTH($AM210),1),IF(ISNUMBER($AN210),DATE(YEAR($AN210),MONTH($AN210),1),MesCiclo))))</f>
        <v/>
      </c>
      <c r="T210" s="62">
        <f>IF(OR($S210="",$S210&lt;&gt;MesCiclo,$V210&lt;&gt;"Macro"),"",COUNTIFS($S$5:$S210,MesCiclo,$V$5:$V210,"Macro"))</f>
        <v/>
      </c>
      <c r="U210" s="62">
        <f>IF($V210="","",IF($V210="Macro",ROW(),IFERROR(LOOKUP(2,1/($V$5:$V210="Macro"),ROW($V$5:$V210)),0)))</f>
        <v/>
      </c>
      <c r="V210" s="62">
        <f>IF(NOT((COUNTA($B210:$D210)+COUNTA($G210:$L210)+COUNTA($Q210))&gt;0),"",IF($B210="Subactividad","Sub","Macro"))</f>
        <v/>
      </c>
      <c r="W210" s="62">
        <f>IF($V210="Macro",COUNTIFS($U$5:$U$1000,ROW(),$V$5:$V$1000,"Sub"),"")</f>
        <v/>
      </c>
      <c r="X210" s="62">
        <f>IF($V210="","",IF(ISNUMBER($G210),1,IFERROR(LOOKUP(2,1/($I210:$L210&lt;&gt;""),$I210:$L210),0)))</f>
        <v/>
      </c>
      <c r="Y210" s="62">
        <f>IF($V210="","",IF(AND(ISNUMBER($G210),$G210&lt;=IF($S210=MesCiclo,InicioCiclo,$S210+MOD(2-WEEKDAY($S210),7))+6),1,IF(ISNUMBER($I210),$I210,0)))</f>
        <v/>
      </c>
      <c r="Z210" s="62">
        <f>IF($V210="","",IF(AND(ISNUMBER($G210),$G210&lt;=IF($S210=MesCiclo,InicioCiclo,$S210+MOD(2-WEEKDAY($S210),7))+13),1,IF(ISNUMBER($J210),$J210,$Y210)))</f>
        <v/>
      </c>
      <c r="AA210" s="62">
        <f>IF($V210="","",IF(AND(ISNUMBER($G210),$G210&lt;=IF($S210=MesCiclo,InicioCiclo,$S210+MOD(2-WEEKDAY($S210),7))+20),1,IF(ISNUMBER($K210),$K210,$Z210)))</f>
        <v/>
      </c>
      <c r="AB210" s="62">
        <f>IF($V210="","",IF(AND(ISNUMBER($G210),$G210&lt;=IF($S210=MesCiclo,InicioCiclo,$S210+MOD(2-WEEKDAY($S210),7))+27),1,IF(ISNUMBER($L210),$L210,$AA210)))</f>
        <v/>
      </c>
      <c r="AC210" s="62">
        <f>IF($V210="","",IF(AND(ISNUMBER($G210),$G210&lt;=IF($S210=MesCiclo,InicioCiclo,$S210+MOD(2-WEEKDAY($S210),7))+6),1,IF(N($W210)&gt;0,AVERAGEIFS($Y$5:$Y$1000,$U$5:$U$1000,ROW(),$V$5:$V$1000,"Sub"),$Y210)))</f>
        <v/>
      </c>
      <c r="AD210" s="62">
        <f>IF($V210="","",IF(AND(ISNUMBER($G210),$G210&lt;=IF($S210=MesCiclo,InicioCiclo,$S210+MOD(2-WEEKDAY($S210),7))+13),1,IF(N($W210)&gt;0,AVERAGEIFS($Z$5:$Z$1000,$U$5:$U$1000,ROW(),$V$5:$V$1000,"Sub"),$Z210)))</f>
        <v/>
      </c>
      <c r="AE210" s="62">
        <f>IF($V210="","",IF(AND(ISNUMBER($G210),$G210&lt;=IF($S210=MesCiclo,InicioCiclo,$S210+MOD(2-WEEKDAY($S210),7))+20),1,IF(N($W210)&gt;0,AVERAGEIFS($AA$5:$AA$1000,$U$5:$U$1000,ROW(),$V$5:$V$1000,"Sub"),$AA210)))</f>
        <v/>
      </c>
      <c r="AF210" s="62">
        <f>IF($V210="","",IF(AND(ISNUMBER($G210),$G210&lt;=IF($S210=MesCiclo,InicioCiclo,$S210+MOD(2-WEEKDAY($S210),7))+27),1,IF(N($W210)&gt;0,AVERAGEIFS($AB$5:$AB$1000,$U$5:$U$1000,ROW(),$V$5:$V$1000,"Sub"),$AB210)))</f>
        <v/>
      </c>
      <c r="AG210" s="62">
        <f>IF($V210&lt;&gt;"Macro","",IF(COUNTIFS($S$5:$S$1000,$S210,$V$5:$V$1000,"Macro",$H$5:$H$1000,"&gt;0")=0,1/COUNTIFS($S$5:$S$1000,$S210,$V$5:$V$1000,"Macro"),IF(AND(ISNUMBER($H210),N($H210)&gt;0),$H210,SUMIFS($H$5:$H$1000,$S$5:$S$1000,$S210,$V$5:$V$1000,"Macro")/COUNTIFS($S$5:$S$1000,$S210,$V$5:$V$1000,"Macro",$H$5:$H$1000,"&gt;0"))/(COUNTIFS($S$5:$S$1000,$S210,$V$5:$V$1000,"Macro")*SUMIFS($H$5:$H$1000,$S$5:$S$1000,$S210,$V$5:$V$1000,"Macro")/COUNTIFS($S$5:$S$1000,$S210,$V$5:$V$1000,"Macro",$H$5:$H$1000,"&gt;0"))))</f>
        <v/>
      </c>
      <c r="AH210" s="62" t="n"/>
      <c r="AI210" s="62" t="n"/>
      <c r="AJ210" s="62" t="n"/>
      <c r="AK210" s="62" t="n"/>
      <c r="AL210" s="62">
        <f>IF(LEFT($C210,11)="[Jefatura] ",IFERROR(MATCH("Riesgo Financiero|"&amp;MID($C210,12,500),rDname_ADM,0),0),"")</f>
        <v/>
      </c>
      <c r="AM210" s="62">
        <f>IF(N($AL210)&gt;0,INDEX(rIni_ADM,$AL210),IF(ISNUMBER($E210),$E210,""))</f>
        <v/>
      </c>
      <c r="AN210" s="62">
        <f>IF(N($AL210)&gt;0,INDEX(rLim_ADM,$AL210),IF(ISNUMBER($F210),$F210,""))</f>
        <v/>
      </c>
    </row>
    <row r="211">
      <c r="A211" s="56">
        <f>IF(NOT((COUNTA($B211:$D211)+COUNTA($G211:$L211)+COUNTA($Q211))&gt;0),"",IF($V211="Macro",COUNTIFS($V$5:$V211,"Macro",$S$5:$S211,$S211),IF(N($U211)=0,"?",COUNTIFS(INDEX($V$5:$V$1000,1):INDEX($V$5:$V$1000,$U211-4),"Macro",INDEX($S$5:$S$1000,1):INDEX($S$5:$S$1000,$U211-4),INDEX($S$5:$S$1000,$U211-4))&amp;"."&amp;COUNTIFS($U$5:$U211,$U211,$V$5:$V211,"Sub"))))</f>
        <v/>
      </c>
      <c r="B211" s="57" t="n"/>
      <c r="C211" s="58" t="n"/>
      <c r="D211" s="58" t="n"/>
      <c r="E211" s="59">
        <f>IF(N($AL211)&gt;0,INDEX(rIni_ADM,$AL211),"")</f>
        <v/>
      </c>
      <c r="F211" s="59">
        <f>IF(N($AL211)&gt;0,INDEX(rLim_ADM,$AL211),"")</f>
        <v/>
      </c>
      <c r="G211" s="59" t="n"/>
      <c r="H211" s="60" t="n"/>
      <c r="I211" s="60" t="n"/>
      <c r="J211" s="60" t="n"/>
      <c r="K211" s="60" t="n"/>
      <c r="L211" s="60" t="n"/>
      <c r="M211" s="61">
        <f>IF(NOT((COUNTA($B211:$D211)+COUNTA($G211:$L211)+COUNTA($Q211))&gt;0),"",IF($V211="Sub",IFERROR($X211/INDEX($W$5:$W$1000,$U211-4),""),IF(ISNUMBER($G211),1,IF(N($W211)&gt;0,AVERAGEIFS($X$5:$X$1000,$U$5:$U$1000,ROW(),$V$5:$V$1000,"Sub"),$X211))))</f>
        <v/>
      </c>
      <c r="N211" s="56">
        <f>IF(OR($M211="",$V211="Sub"),"",IF($M211&gt;=1,"Completado",IF($M211&gt;0,"En curso","Pendiente")))</f>
        <v/>
      </c>
      <c r="O211" s="56">
        <f>IF(OR(NOT((COUNTA($B211:$D211)+COUNTA($G211:$L211)+COUNTA($Q211))&gt;0),$V211="Sub"),"",IF(ISNUMBER($G211),IF(AND(ISNUMBER($AN211),$G211&gt;$AN211),"Cumplida con "&amp;($G211-$AN211)&amp;IF($G211-$AN211=1," día"," días")&amp;" de retraso","Cumplida"),IF(N($M211)&gt;=1,"Cumplida",IF(NOT(ISNUMBER($AN211)),"Sin fecha límite",IF($AN211&lt;FechaRef,"Vencida hace "&amp;(FechaRef-$AN211)&amp;IF(FechaRef-$AN211=1," día"," días"),IF($AN211=FechaRef,"Vence hoy",IF($AN211-FechaRef&lt;=DiasAlerta,"Vence en "&amp;($AN211-FechaRef)&amp;IF($AN211-FechaRef=1," día"," días"),"En plazo")))))))</f>
        <v/>
      </c>
      <c r="P211" s="62" t="n"/>
      <c r="Q211" s="58" t="n"/>
      <c r="R211" s="63">
        <f>IF(NOT((COUNTA($B211:$D211)+COUNTA($G211:$L211)+COUNTA($Q211))&gt;0),"",IF((IF($C211="","Falta el nombre de la actividad"&amp;" · ","")&amp;IF(AND($V211="Sub",N($U211)=0),"Subactividad sin macroactividad arriba"&amp;" · ","")&amp;IF($AM211="","Sin fecha de inicio"&amp;" · ","")&amp;IF($AN211="","Sin fecha límite"&amp;" · ","")&amp;IF(AND(LEFT($C211,11)="[Jefatura] ",N($AL211)=0),"No se encuentra en la hoja de la jefatura (elíjala de nuevo en la lista)"&amp;" · ","")&amp;IF(OR(AND($E211&lt;&gt;"",NOT(ISNUMBER($E211))),AND($F211&lt;&gt;"",NOT(ISNUMBER($F211))),AND($G211&lt;&gt;"",NOT(ISNUMBER($G211)))),"Fecha no válida"&amp;" · ","")&amp;IF(AND(ISNUMBER($AM211),ISNUMBER($AN211),$AM211&gt;$AN211),"Inicio posterior a fecha límite"&amp;" · ","")&amp;IF(AND($V211="Macro",$H211&lt;&gt;"",OR(NOT(ISNUMBER($H211)),$H211&lt;0,$H211&gt;1)),"Peso fuera de rango"&amp;" · ","")&amp;IF(AND($V211="Sub",$H211&lt;&gt;""),"Las subactividades no llevan peso (valen igual dentro de su macroactividad)"&amp;" · ","")&amp;IF(AND(N($W211)&gt;0,COUNT($I211:$L211)&gt;0),"Con subactividades: deje vacías las semanas (se calculan solas)"&amp;" · ","")&amp;IF((COUNTIF($I211:$L211,"&gt;1")+COUNTIF($I211:$L211,"&lt;0")+COUNTA($I211:$L211)-COUNT($I211:$L211))&gt;0,"Avance fuera de rango 0-100%"&amp;" · ","")&amp;IF(OR(AND($J211&lt;&gt;"",$J211&lt;$I211),AND($K211&lt;&gt;"",$K211&lt;MAX($I211:$J211)),AND($L211&lt;&gt;"",$L211&lt;MAX($I211:$K211))),"Avance semanal decreciente"&amp;" · ","")&amp;IF(AND(ISNUMBER($AN211),$AN211&lt;FechaRef,IF($V211="Sub",N($X211),N($M211))&lt;1),"Vencida"&amp;" · ","")&amp;IF(AND(ObsObligatoria="Sí",ISNUMBER($AN211),$AN211&lt;FechaRef,IF($V211="Sub",N($X211),N($M211))&lt;1,$Q211=""),"Vencida sin observación"&amp;" · ",""))="","✔ OK","⚠ "&amp;LEFT(IF($C211="","Falta el nombre de la actividad"&amp;" · ","")&amp;IF(AND($V211="Sub",N($U211)=0),"Subactividad sin macroactividad arriba"&amp;" · ","")&amp;IF($AM211="","Sin fecha de inicio"&amp;" · ","")&amp;IF($AN211="","Sin fecha límite"&amp;" · ","")&amp;IF(AND(LEFT($C211,11)="[Jefatura] ",N($AL211)=0),"No se encuentra en la hoja de la jefatura (elíjala de nuevo en la lista)"&amp;" · ","")&amp;IF(OR(AND($E211&lt;&gt;"",NOT(ISNUMBER($E211))),AND($F211&lt;&gt;"",NOT(ISNUMBER($F211))),AND($G211&lt;&gt;"",NOT(ISNUMBER($G211)))),"Fecha no válida"&amp;" · ","")&amp;IF(AND(ISNUMBER($AM211),ISNUMBER($AN211),$AM211&gt;$AN211),"Inicio posterior a fecha límite"&amp;" · ","")&amp;IF(AND($V211="Macro",$H211&lt;&gt;"",OR(NOT(ISNUMBER($H211)),$H211&lt;0,$H211&gt;1)),"Peso fuera de rango"&amp;" · ","")&amp;IF(AND($V211="Sub",$H211&lt;&gt;""),"Las subactividades no llevan peso (valen igual dentro de su macroactividad)"&amp;" · ","")&amp;IF(AND(N($W211)&gt;0,COUNT($I211:$L211)&gt;0),"Con subactividades: deje vacías las semanas (se calculan solas)"&amp;" · ","")&amp;IF((COUNTIF($I211:$L211,"&gt;1")+COUNTIF($I211:$L211,"&lt;0")+COUNTA($I211:$L211)-COUNT($I211:$L211))&gt;0,"Avance fuera de rango 0-100%"&amp;" · ","")&amp;IF(OR(AND($J211&lt;&gt;"",$J211&lt;$I211),AND($K211&lt;&gt;"",$K211&lt;MAX($I211:$J211)),AND($L211&lt;&gt;"",$L211&lt;MAX($I211:$K211))),"Avance semanal decreciente"&amp;" · ","")&amp;IF(AND(ISNUMBER($AN211),$AN211&lt;FechaRef,IF($V211="Sub",N($X211),N($M211))&lt;1),"Vencida"&amp;" · ","")&amp;IF(AND(ObsObligatoria="Sí",ISNUMBER($AN211),$AN211&lt;FechaRef,IF($V211="Sub",N($X211),N($M211))&lt;1,$Q211=""),"Vencida sin observación"&amp;" · ",""),LEN(IF($C211="","Falta el nombre de la actividad"&amp;" · ","")&amp;IF(AND($V211="Sub",N($U211)=0),"Subactividad sin macroactividad arriba"&amp;" · ","")&amp;IF($AM211="","Sin fecha de inicio"&amp;" · ","")&amp;IF($AN211="","Sin fecha límite"&amp;" · ","")&amp;IF(AND(LEFT($C211,11)="[Jefatura] ",N($AL211)=0),"No se encuentra en la hoja de la jefatura (elíjala de nuevo en la lista)"&amp;" · ","")&amp;IF(OR(AND($E211&lt;&gt;"",NOT(ISNUMBER($E211))),AND($F211&lt;&gt;"",NOT(ISNUMBER($F211))),AND($G211&lt;&gt;"",NOT(ISNUMBER($G211)))),"Fecha no válida"&amp;" · ","")&amp;IF(AND(ISNUMBER($AM211),ISNUMBER($AN211),$AM211&gt;$AN211),"Inicio posterior a fecha límite"&amp;" · ","")&amp;IF(AND($V211="Macro",$H211&lt;&gt;"",OR(NOT(ISNUMBER($H211)),$H211&lt;0,$H211&gt;1)),"Peso fuera de rango"&amp;" · ","")&amp;IF(AND($V211="Sub",$H211&lt;&gt;""),"Las subactividades no llevan peso (valen igual dentro de su macroactividad)"&amp;" · ","")&amp;IF(AND(N($W211)&gt;0,COUNT($I211:$L211)&gt;0),"Con subactividades: deje vacías las semanas (se calculan solas)"&amp;" · ","")&amp;IF((COUNTIF($I211:$L211,"&gt;1")+COUNTIF($I211:$L211,"&lt;0")+COUNTA($I211:$L211)-COUNT($I211:$L211))&gt;0,"Avance fuera de rango 0-100%"&amp;" · ","")&amp;IF(OR(AND($J211&lt;&gt;"",$J211&lt;$I211),AND($K211&lt;&gt;"",$K211&lt;MAX($I211:$J211)),AND($L211&lt;&gt;"",$L211&lt;MAX($I211:$K211))),"Avance semanal decreciente"&amp;" · ","")&amp;IF(AND(ISNUMBER($AN211),$AN211&lt;FechaRef,IF($V211="Sub",N($X211),N($M211))&lt;1),"Vencida"&amp;" · ","")&amp;IF(AND(ObsObligatoria="Sí",ISNUMBER($AN211),$AN211&lt;FechaRef,IF($V211="Sub",N($X211),N($M211))&lt;1,$Q211=""),"Vencida sin observación"&amp;" · ",""))-3)))</f>
        <v/>
      </c>
      <c r="S211" s="64">
        <f>IF(NOT((COUNTA($B211:$D211)+COUNTA($G211:$L211)+COUNTA($Q211))&gt;0),"",IF(AND($V211="Sub",N($U211)&gt;0),IF(ISNUMBER(INDEX($AM$5:$AM$1000,$U211-4)),DATE(YEAR(INDEX($AM$5:$AM$1000,$U211-4)),MONTH(INDEX($AM$5:$AM$1000,$U211-4)),1),IF(ISNUMBER(INDEX($AN$5:$AN$1000,$U211-4)),DATE(YEAR(INDEX($AN$5:$AN$1000,$U211-4)),MONTH(INDEX($AN$5:$AN$1000,$U211-4)),1),MesCiclo)),IF(ISNUMBER($AM211),DATE(YEAR($AM211),MONTH($AM211),1),IF(ISNUMBER($AN211),DATE(YEAR($AN211),MONTH($AN211),1),MesCiclo))))</f>
        <v/>
      </c>
      <c r="T211" s="62">
        <f>IF(OR($S211="",$S211&lt;&gt;MesCiclo,$V211&lt;&gt;"Macro"),"",COUNTIFS($S$5:$S211,MesCiclo,$V$5:$V211,"Macro"))</f>
        <v/>
      </c>
      <c r="U211" s="62">
        <f>IF($V211="","",IF($V211="Macro",ROW(),IFERROR(LOOKUP(2,1/($V$5:$V211="Macro"),ROW($V$5:$V211)),0)))</f>
        <v/>
      </c>
      <c r="V211" s="62">
        <f>IF(NOT((COUNTA($B211:$D211)+COUNTA($G211:$L211)+COUNTA($Q211))&gt;0),"",IF($B211="Subactividad","Sub","Macro"))</f>
        <v/>
      </c>
      <c r="W211" s="62">
        <f>IF($V211="Macro",COUNTIFS($U$5:$U$1000,ROW(),$V$5:$V$1000,"Sub"),"")</f>
        <v/>
      </c>
      <c r="X211" s="62">
        <f>IF($V211="","",IF(ISNUMBER($G211),1,IFERROR(LOOKUP(2,1/($I211:$L211&lt;&gt;""),$I211:$L211),0)))</f>
        <v/>
      </c>
      <c r="Y211" s="62">
        <f>IF($V211="","",IF(AND(ISNUMBER($G211),$G211&lt;=IF($S211=MesCiclo,InicioCiclo,$S211+MOD(2-WEEKDAY($S211),7))+6),1,IF(ISNUMBER($I211),$I211,0)))</f>
        <v/>
      </c>
      <c r="Z211" s="62">
        <f>IF($V211="","",IF(AND(ISNUMBER($G211),$G211&lt;=IF($S211=MesCiclo,InicioCiclo,$S211+MOD(2-WEEKDAY($S211),7))+13),1,IF(ISNUMBER($J211),$J211,$Y211)))</f>
        <v/>
      </c>
      <c r="AA211" s="62">
        <f>IF($V211="","",IF(AND(ISNUMBER($G211),$G211&lt;=IF($S211=MesCiclo,InicioCiclo,$S211+MOD(2-WEEKDAY($S211),7))+20),1,IF(ISNUMBER($K211),$K211,$Z211)))</f>
        <v/>
      </c>
      <c r="AB211" s="62">
        <f>IF($V211="","",IF(AND(ISNUMBER($G211),$G211&lt;=IF($S211=MesCiclo,InicioCiclo,$S211+MOD(2-WEEKDAY($S211),7))+27),1,IF(ISNUMBER($L211),$L211,$AA211)))</f>
        <v/>
      </c>
      <c r="AC211" s="62">
        <f>IF($V211="","",IF(AND(ISNUMBER($G211),$G211&lt;=IF($S211=MesCiclo,InicioCiclo,$S211+MOD(2-WEEKDAY($S211),7))+6),1,IF(N($W211)&gt;0,AVERAGEIFS($Y$5:$Y$1000,$U$5:$U$1000,ROW(),$V$5:$V$1000,"Sub"),$Y211)))</f>
        <v/>
      </c>
      <c r="AD211" s="62">
        <f>IF($V211="","",IF(AND(ISNUMBER($G211),$G211&lt;=IF($S211=MesCiclo,InicioCiclo,$S211+MOD(2-WEEKDAY($S211),7))+13),1,IF(N($W211)&gt;0,AVERAGEIFS($Z$5:$Z$1000,$U$5:$U$1000,ROW(),$V$5:$V$1000,"Sub"),$Z211)))</f>
        <v/>
      </c>
      <c r="AE211" s="62">
        <f>IF($V211="","",IF(AND(ISNUMBER($G211),$G211&lt;=IF($S211=MesCiclo,InicioCiclo,$S211+MOD(2-WEEKDAY($S211),7))+20),1,IF(N($W211)&gt;0,AVERAGEIFS($AA$5:$AA$1000,$U$5:$U$1000,ROW(),$V$5:$V$1000,"Sub"),$AA211)))</f>
        <v/>
      </c>
      <c r="AF211" s="62">
        <f>IF($V211="","",IF(AND(ISNUMBER($G211),$G211&lt;=IF($S211=MesCiclo,InicioCiclo,$S211+MOD(2-WEEKDAY($S211),7))+27),1,IF(N($W211)&gt;0,AVERAGEIFS($AB$5:$AB$1000,$U$5:$U$1000,ROW(),$V$5:$V$1000,"Sub"),$AB211)))</f>
        <v/>
      </c>
      <c r="AG211" s="62">
        <f>IF($V211&lt;&gt;"Macro","",IF(COUNTIFS($S$5:$S$1000,$S211,$V$5:$V$1000,"Macro",$H$5:$H$1000,"&gt;0")=0,1/COUNTIFS($S$5:$S$1000,$S211,$V$5:$V$1000,"Macro"),IF(AND(ISNUMBER($H211),N($H211)&gt;0),$H211,SUMIFS($H$5:$H$1000,$S$5:$S$1000,$S211,$V$5:$V$1000,"Macro")/COUNTIFS($S$5:$S$1000,$S211,$V$5:$V$1000,"Macro",$H$5:$H$1000,"&gt;0"))/(COUNTIFS($S$5:$S$1000,$S211,$V$5:$V$1000,"Macro")*SUMIFS($H$5:$H$1000,$S$5:$S$1000,$S211,$V$5:$V$1000,"Macro")/COUNTIFS($S$5:$S$1000,$S211,$V$5:$V$1000,"Macro",$H$5:$H$1000,"&gt;0"))))</f>
        <v/>
      </c>
      <c r="AH211" s="62" t="n"/>
      <c r="AI211" s="62" t="n"/>
      <c r="AJ211" s="62" t="n"/>
      <c r="AK211" s="62" t="n"/>
      <c r="AL211" s="62">
        <f>IF(LEFT($C211,11)="[Jefatura] ",IFERROR(MATCH("Riesgo Financiero|"&amp;MID($C211,12,500),rDname_ADM,0),0),"")</f>
        <v/>
      </c>
      <c r="AM211" s="62">
        <f>IF(N($AL211)&gt;0,INDEX(rIni_ADM,$AL211),IF(ISNUMBER($E211),$E211,""))</f>
        <v/>
      </c>
      <c r="AN211" s="62">
        <f>IF(N($AL211)&gt;0,INDEX(rLim_ADM,$AL211),IF(ISNUMBER($F211),$F211,""))</f>
        <v/>
      </c>
    </row>
    <row r="212">
      <c r="A212" s="56">
        <f>IF(NOT((COUNTA($B212:$D212)+COUNTA($G212:$L212)+COUNTA($Q212))&gt;0),"",IF($V212="Macro",COUNTIFS($V$5:$V212,"Macro",$S$5:$S212,$S212),IF(N($U212)=0,"?",COUNTIFS(INDEX($V$5:$V$1000,1):INDEX($V$5:$V$1000,$U212-4),"Macro",INDEX($S$5:$S$1000,1):INDEX($S$5:$S$1000,$U212-4),INDEX($S$5:$S$1000,$U212-4))&amp;"."&amp;COUNTIFS($U$5:$U212,$U212,$V$5:$V212,"Sub"))))</f>
        <v/>
      </c>
      <c r="B212" s="57" t="n"/>
      <c r="C212" s="58" t="n"/>
      <c r="D212" s="58" t="n"/>
      <c r="E212" s="59">
        <f>IF(N($AL212)&gt;0,INDEX(rIni_ADM,$AL212),"")</f>
        <v/>
      </c>
      <c r="F212" s="59">
        <f>IF(N($AL212)&gt;0,INDEX(rLim_ADM,$AL212),"")</f>
        <v/>
      </c>
      <c r="G212" s="59" t="n"/>
      <c r="H212" s="60" t="n"/>
      <c r="I212" s="60" t="n"/>
      <c r="J212" s="60" t="n"/>
      <c r="K212" s="60" t="n"/>
      <c r="L212" s="60" t="n"/>
      <c r="M212" s="61">
        <f>IF(NOT((COUNTA($B212:$D212)+COUNTA($G212:$L212)+COUNTA($Q212))&gt;0),"",IF($V212="Sub",IFERROR($X212/INDEX($W$5:$W$1000,$U212-4),""),IF(ISNUMBER($G212),1,IF(N($W212)&gt;0,AVERAGEIFS($X$5:$X$1000,$U$5:$U$1000,ROW(),$V$5:$V$1000,"Sub"),$X212))))</f>
        <v/>
      </c>
      <c r="N212" s="56">
        <f>IF(OR($M212="",$V212="Sub"),"",IF($M212&gt;=1,"Completado",IF($M212&gt;0,"En curso","Pendiente")))</f>
        <v/>
      </c>
      <c r="O212" s="56">
        <f>IF(OR(NOT((COUNTA($B212:$D212)+COUNTA($G212:$L212)+COUNTA($Q212))&gt;0),$V212="Sub"),"",IF(ISNUMBER($G212),IF(AND(ISNUMBER($AN212),$G212&gt;$AN212),"Cumplida con "&amp;($G212-$AN212)&amp;IF($G212-$AN212=1," día"," días")&amp;" de retraso","Cumplida"),IF(N($M212)&gt;=1,"Cumplida",IF(NOT(ISNUMBER($AN212)),"Sin fecha límite",IF($AN212&lt;FechaRef,"Vencida hace "&amp;(FechaRef-$AN212)&amp;IF(FechaRef-$AN212=1," día"," días"),IF($AN212=FechaRef,"Vence hoy",IF($AN212-FechaRef&lt;=DiasAlerta,"Vence en "&amp;($AN212-FechaRef)&amp;IF($AN212-FechaRef=1," día"," días"),"En plazo")))))))</f>
        <v/>
      </c>
      <c r="P212" s="62" t="n"/>
      <c r="Q212" s="58" t="n"/>
      <c r="R212" s="63">
        <f>IF(NOT((COUNTA($B212:$D212)+COUNTA($G212:$L212)+COUNTA($Q212))&gt;0),"",IF((IF($C212="","Falta el nombre de la actividad"&amp;" · ","")&amp;IF(AND($V212="Sub",N($U212)=0),"Subactividad sin macroactividad arriba"&amp;" · ","")&amp;IF($AM212="","Sin fecha de inicio"&amp;" · ","")&amp;IF($AN212="","Sin fecha límite"&amp;" · ","")&amp;IF(AND(LEFT($C212,11)="[Jefatura] ",N($AL212)=0),"No se encuentra en la hoja de la jefatura (elíjala de nuevo en la lista)"&amp;" · ","")&amp;IF(OR(AND($E212&lt;&gt;"",NOT(ISNUMBER($E212))),AND($F212&lt;&gt;"",NOT(ISNUMBER($F212))),AND($G212&lt;&gt;"",NOT(ISNUMBER($G212)))),"Fecha no válida"&amp;" · ","")&amp;IF(AND(ISNUMBER($AM212),ISNUMBER($AN212),$AM212&gt;$AN212),"Inicio posterior a fecha límite"&amp;" · ","")&amp;IF(AND($V212="Macro",$H212&lt;&gt;"",OR(NOT(ISNUMBER($H212)),$H212&lt;0,$H212&gt;1)),"Peso fuera de rango"&amp;" · ","")&amp;IF(AND($V212="Sub",$H212&lt;&gt;""),"Las subactividades no llevan peso (valen igual dentro de su macroactividad)"&amp;" · ","")&amp;IF(AND(N($W212)&gt;0,COUNT($I212:$L212)&gt;0),"Con subactividades: deje vacías las semanas (se calculan solas)"&amp;" · ","")&amp;IF((COUNTIF($I212:$L212,"&gt;1")+COUNTIF($I212:$L212,"&lt;0")+COUNTA($I212:$L212)-COUNT($I212:$L212))&gt;0,"Avance fuera de rango 0-100%"&amp;" · ","")&amp;IF(OR(AND($J212&lt;&gt;"",$J212&lt;$I212),AND($K212&lt;&gt;"",$K212&lt;MAX($I212:$J212)),AND($L212&lt;&gt;"",$L212&lt;MAX($I212:$K212))),"Avance semanal decreciente"&amp;" · ","")&amp;IF(AND(ISNUMBER($AN212),$AN212&lt;FechaRef,IF($V212="Sub",N($X212),N($M212))&lt;1),"Vencida"&amp;" · ","")&amp;IF(AND(ObsObligatoria="Sí",ISNUMBER($AN212),$AN212&lt;FechaRef,IF($V212="Sub",N($X212),N($M212))&lt;1,$Q212=""),"Vencida sin observación"&amp;" · ",""))="","✔ OK","⚠ "&amp;LEFT(IF($C212="","Falta el nombre de la actividad"&amp;" · ","")&amp;IF(AND($V212="Sub",N($U212)=0),"Subactividad sin macroactividad arriba"&amp;" · ","")&amp;IF($AM212="","Sin fecha de inicio"&amp;" · ","")&amp;IF($AN212="","Sin fecha límite"&amp;" · ","")&amp;IF(AND(LEFT($C212,11)="[Jefatura] ",N($AL212)=0),"No se encuentra en la hoja de la jefatura (elíjala de nuevo en la lista)"&amp;" · ","")&amp;IF(OR(AND($E212&lt;&gt;"",NOT(ISNUMBER($E212))),AND($F212&lt;&gt;"",NOT(ISNUMBER($F212))),AND($G212&lt;&gt;"",NOT(ISNUMBER($G212)))),"Fecha no válida"&amp;" · ","")&amp;IF(AND(ISNUMBER($AM212),ISNUMBER($AN212),$AM212&gt;$AN212),"Inicio posterior a fecha límite"&amp;" · ","")&amp;IF(AND($V212="Macro",$H212&lt;&gt;"",OR(NOT(ISNUMBER($H212)),$H212&lt;0,$H212&gt;1)),"Peso fuera de rango"&amp;" · ","")&amp;IF(AND($V212="Sub",$H212&lt;&gt;""),"Las subactividades no llevan peso (valen igual dentro de su macroactividad)"&amp;" · ","")&amp;IF(AND(N($W212)&gt;0,COUNT($I212:$L212)&gt;0),"Con subactividades: deje vacías las semanas (se calculan solas)"&amp;" · ","")&amp;IF((COUNTIF($I212:$L212,"&gt;1")+COUNTIF($I212:$L212,"&lt;0")+COUNTA($I212:$L212)-COUNT($I212:$L212))&gt;0,"Avance fuera de rango 0-100%"&amp;" · ","")&amp;IF(OR(AND($J212&lt;&gt;"",$J212&lt;$I212),AND($K212&lt;&gt;"",$K212&lt;MAX($I212:$J212)),AND($L212&lt;&gt;"",$L212&lt;MAX($I212:$K212))),"Avance semanal decreciente"&amp;" · ","")&amp;IF(AND(ISNUMBER($AN212),$AN212&lt;FechaRef,IF($V212="Sub",N($X212),N($M212))&lt;1),"Vencida"&amp;" · ","")&amp;IF(AND(ObsObligatoria="Sí",ISNUMBER($AN212),$AN212&lt;FechaRef,IF($V212="Sub",N($X212),N($M212))&lt;1,$Q212=""),"Vencida sin observación"&amp;" · ",""),LEN(IF($C212="","Falta el nombre de la actividad"&amp;" · ","")&amp;IF(AND($V212="Sub",N($U212)=0),"Subactividad sin macroactividad arriba"&amp;" · ","")&amp;IF($AM212="","Sin fecha de inicio"&amp;" · ","")&amp;IF($AN212="","Sin fecha límite"&amp;" · ","")&amp;IF(AND(LEFT($C212,11)="[Jefatura] ",N($AL212)=0),"No se encuentra en la hoja de la jefatura (elíjala de nuevo en la lista)"&amp;" · ","")&amp;IF(OR(AND($E212&lt;&gt;"",NOT(ISNUMBER($E212))),AND($F212&lt;&gt;"",NOT(ISNUMBER($F212))),AND($G212&lt;&gt;"",NOT(ISNUMBER($G212)))),"Fecha no válida"&amp;" · ","")&amp;IF(AND(ISNUMBER($AM212),ISNUMBER($AN212),$AM212&gt;$AN212),"Inicio posterior a fecha límite"&amp;" · ","")&amp;IF(AND($V212="Macro",$H212&lt;&gt;"",OR(NOT(ISNUMBER($H212)),$H212&lt;0,$H212&gt;1)),"Peso fuera de rango"&amp;" · ","")&amp;IF(AND($V212="Sub",$H212&lt;&gt;""),"Las subactividades no llevan peso (valen igual dentro de su macroactividad)"&amp;" · ","")&amp;IF(AND(N($W212)&gt;0,COUNT($I212:$L212)&gt;0),"Con subactividades: deje vacías las semanas (se calculan solas)"&amp;" · ","")&amp;IF((COUNTIF($I212:$L212,"&gt;1")+COUNTIF($I212:$L212,"&lt;0")+COUNTA($I212:$L212)-COUNT($I212:$L212))&gt;0,"Avance fuera de rango 0-100%"&amp;" · ","")&amp;IF(OR(AND($J212&lt;&gt;"",$J212&lt;$I212),AND($K212&lt;&gt;"",$K212&lt;MAX($I212:$J212)),AND($L212&lt;&gt;"",$L212&lt;MAX($I212:$K212))),"Avance semanal decreciente"&amp;" · ","")&amp;IF(AND(ISNUMBER($AN212),$AN212&lt;FechaRef,IF($V212="Sub",N($X212),N($M212))&lt;1),"Vencida"&amp;" · ","")&amp;IF(AND(ObsObligatoria="Sí",ISNUMBER($AN212),$AN212&lt;FechaRef,IF($V212="Sub",N($X212),N($M212))&lt;1,$Q212=""),"Vencida sin observación"&amp;" · ",""))-3)))</f>
        <v/>
      </c>
      <c r="S212" s="64">
        <f>IF(NOT((COUNTA($B212:$D212)+COUNTA($G212:$L212)+COUNTA($Q212))&gt;0),"",IF(AND($V212="Sub",N($U212)&gt;0),IF(ISNUMBER(INDEX($AM$5:$AM$1000,$U212-4)),DATE(YEAR(INDEX($AM$5:$AM$1000,$U212-4)),MONTH(INDEX($AM$5:$AM$1000,$U212-4)),1),IF(ISNUMBER(INDEX($AN$5:$AN$1000,$U212-4)),DATE(YEAR(INDEX($AN$5:$AN$1000,$U212-4)),MONTH(INDEX($AN$5:$AN$1000,$U212-4)),1),MesCiclo)),IF(ISNUMBER($AM212),DATE(YEAR($AM212),MONTH($AM212),1),IF(ISNUMBER($AN212),DATE(YEAR($AN212),MONTH($AN212),1),MesCiclo))))</f>
        <v/>
      </c>
      <c r="T212" s="62">
        <f>IF(OR($S212="",$S212&lt;&gt;MesCiclo,$V212&lt;&gt;"Macro"),"",COUNTIFS($S$5:$S212,MesCiclo,$V$5:$V212,"Macro"))</f>
        <v/>
      </c>
      <c r="U212" s="62">
        <f>IF($V212="","",IF($V212="Macro",ROW(),IFERROR(LOOKUP(2,1/($V$5:$V212="Macro"),ROW($V$5:$V212)),0)))</f>
        <v/>
      </c>
      <c r="V212" s="62">
        <f>IF(NOT((COUNTA($B212:$D212)+COUNTA($G212:$L212)+COUNTA($Q212))&gt;0),"",IF($B212="Subactividad","Sub","Macro"))</f>
        <v/>
      </c>
      <c r="W212" s="62">
        <f>IF($V212="Macro",COUNTIFS($U$5:$U$1000,ROW(),$V$5:$V$1000,"Sub"),"")</f>
        <v/>
      </c>
      <c r="X212" s="62">
        <f>IF($V212="","",IF(ISNUMBER($G212),1,IFERROR(LOOKUP(2,1/($I212:$L212&lt;&gt;""),$I212:$L212),0)))</f>
        <v/>
      </c>
      <c r="Y212" s="62">
        <f>IF($V212="","",IF(AND(ISNUMBER($G212),$G212&lt;=IF($S212=MesCiclo,InicioCiclo,$S212+MOD(2-WEEKDAY($S212),7))+6),1,IF(ISNUMBER($I212),$I212,0)))</f>
        <v/>
      </c>
      <c r="Z212" s="62">
        <f>IF($V212="","",IF(AND(ISNUMBER($G212),$G212&lt;=IF($S212=MesCiclo,InicioCiclo,$S212+MOD(2-WEEKDAY($S212),7))+13),1,IF(ISNUMBER($J212),$J212,$Y212)))</f>
        <v/>
      </c>
      <c r="AA212" s="62">
        <f>IF($V212="","",IF(AND(ISNUMBER($G212),$G212&lt;=IF($S212=MesCiclo,InicioCiclo,$S212+MOD(2-WEEKDAY($S212),7))+20),1,IF(ISNUMBER($K212),$K212,$Z212)))</f>
        <v/>
      </c>
      <c r="AB212" s="62">
        <f>IF($V212="","",IF(AND(ISNUMBER($G212),$G212&lt;=IF($S212=MesCiclo,InicioCiclo,$S212+MOD(2-WEEKDAY($S212),7))+27),1,IF(ISNUMBER($L212),$L212,$AA212)))</f>
        <v/>
      </c>
      <c r="AC212" s="62">
        <f>IF($V212="","",IF(AND(ISNUMBER($G212),$G212&lt;=IF($S212=MesCiclo,InicioCiclo,$S212+MOD(2-WEEKDAY($S212),7))+6),1,IF(N($W212)&gt;0,AVERAGEIFS($Y$5:$Y$1000,$U$5:$U$1000,ROW(),$V$5:$V$1000,"Sub"),$Y212)))</f>
        <v/>
      </c>
      <c r="AD212" s="62">
        <f>IF($V212="","",IF(AND(ISNUMBER($G212),$G212&lt;=IF($S212=MesCiclo,InicioCiclo,$S212+MOD(2-WEEKDAY($S212),7))+13),1,IF(N($W212)&gt;0,AVERAGEIFS($Z$5:$Z$1000,$U$5:$U$1000,ROW(),$V$5:$V$1000,"Sub"),$Z212)))</f>
        <v/>
      </c>
      <c r="AE212" s="62">
        <f>IF($V212="","",IF(AND(ISNUMBER($G212),$G212&lt;=IF($S212=MesCiclo,InicioCiclo,$S212+MOD(2-WEEKDAY($S212),7))+20),1,IF(N($W212)&gt;0,AVERAGEIFS($AA$5:$AA$1000,$U$5:$U$1000,ROW(),$V$5:$V$1000,"Sub"),$AA212)))</f>
        <v/>
      </c>
      <c r="AF212" s="62">
        <f>IF($V212="","",IF(AND(ISNUMBER($G212),$G212&lt;=IF($S212=MesCiclo,InicioCiclo,$S212+MOD(2-WEEKDAY($S212),7))+27),1,IF(N($W212)&gt;0,AVERAGEIFS($AB$5:$AB$1000,$U$5:$U$1000,ROW(),$V$5:$V$1000,"Sub"),$AB212)))</f>
        <v/>
      </c>
      <c r="AG212" s="62">
        <f>IF($V212&lt;&gt;"Macro","",IF(COUNTIFS($S$5:$S$1000,$S212,$V$5:$V$1000,"Macro",$H$5:$H$1000,"&gt;0")=0,1/COUNTIFS($S$5:$S$1000,$S212,$V$5:$V$1000,"Macro"),IF(AND(ISNUMBER($H212),N($H212)&gt;0),$H212,SUMIFS($H$5:$H$1000,$S$5:$S$1000,$S212,$V$5:$V$1000,"Macro")/COUNTIFS($S$5:$S$1000,$S212,$V$5:$V$1000,"Macro",$H$5:$H$1000,"&gt;0"))/(COUNTIFS($S$5:$S$1000,$S212,$V$5:$V$1000,"Macro")*SUMIFS($H$5:$H$1000,$S$5:$S$1000,$S212,$V$5:$V$1000,"Macro")/COUNTIFS($S$5:$S$1000,$S212,$V$5:$V$1000,"Macro",$H$5:$H$1000,"&gt;0"))))</f>
        <v/>
      </c>
      <c r="AH212" s="62" t="n"/>
      <c r="AI212" s="62" t="n"/>
      <c r="AJ212" s="62" t="n"/>
      <c r="AK212" s="62" t="n"/>
      <c r="AL212" s="62">
        <f>IF(LEFT($C212,11)="[Jefatura] ",IFERROR(MATCH("Riesgo Financiero|"&amp;MID($C212,12,500),rDname_ADM,0),0),"")</f>
        <v/>
      </c>
      <c r="AM212" s="62">
        <f>IF(N($AL212)&gt;0,INDEX(rIni_ADM,$AL212),IF(ISNUMBER($E212),$E212,""))</f>
        <v/>
      </c>
      <c r="AN212" s="62">
        <f>IF(N($AL212)&gt;0,INDEX(rLim_ADM,$AL212),IF(ISNUMBER($F212),$F212,""))</f>
        <v/>
      </c>
    </row>
    <row r="213">
      <c r="A213" s="56">
        <f>IF(NOT((COUNTA($B213:$D213)+COUNTA($G213:$L213)+COUNTA($Q213))&gt;0),"",IF($V213="Macro",COUNTIFS($V$5:$V213,"Macro",$S$5:$S213,$S213),IF(N($U213)=0,"?",COUNTIFS(INDEX($V$5:$V$1000,1):INDEX($V$5:$V$1000,$U213-4),"Macro",INDEX($S$5:$S$1000,1):INDEX($S$5:$S$1000,$U213-4),INDEX($S$5:$S$1000,$U213-4))&amp;"."&amp;COUNTIFS($U$5:$U213,$U213,$V$5:$V213,"Sub"))))</f>
        <v/>
      </c>
      <c r="B213" s="57" t="n"/>
      <c r="C213" s="58" t="n"/>
      <c r="D213" s="58" t="n"/>
      <c r="E213" s="59">
        <f>IF(N($AL213)&gt;0,INDEX(rIni_ADM,$AL213),"")</f>
        <v/>
      </c>
      <c r="F213" s="59">
        <f>IF(N($AL213)&gt;0,INDEX(rLim_ADM,$AL213),"")</f>
        <v/>
      </c>
      <c r="G213" s="59" t="n"/>
      <c r="H213" s="60" t="n"/>
      <c r="I213" s="60" t="n"/>
      <c r="J213" s="60" t="n"/>
      <c r="K213" s="60" t="n"/>
      <c r="L213" s="60" t="n"/>
      <c r="M213" s="61">
        <f>IF(NOT((COUNTA($B213:$D213)+COUNTA($G213:$L213)+COUNTA($Q213))&gt;0),"",IF($V213="Sub",IFERROR($X213/INDEX($W$5:$W$1000,$U213-4),""),IF(ISNUMBER($G213),1,IF(N($W213)&gt;0,AVERAGEIFS($X$5:$X$1000,$U$5:$U$1000,ROW(),$V$5:$V$1000,"Sub"),$X213))))</f>
        <v/>
      </c>
      <c r="N213" s="56">
        <f>IF(OR($M213="",$V213="Sub"),"",IF($M213&gt;=1,"Completado",IF($M213&gt;0,"En curso","Pendiente")))</f>
        <v/>
      </c>
      <c r="O213" s="56">
        <f>IF(OR(NOT((COUNTA($B213:$D213)+COUNTA($G213:$L213)+COUNTA($Q213))&gt;0),$V213="Sub"),"",IF(ISNUMBER($G213),IF(AND(ISNUMBER($AN213),$G213&gt;$AN213),"Cumplida con "&amp;($G213-$AN213)&amp;IF($G213-$AN213=1," día"," días")&amp;" de retraso","Cumplida"),IF(N($M213)&gt;=1,"Cumplida",IF(NOT(ISNUMBER($AN213)),"Sin fecha límite",IF($AN213&lt;FechaRef,"Vencida hace "&amp;(FechaRef-$AN213)&amp;IF(FechaRef-$AN213=1," día"," días"),IF($AN213=FechaRef,"Vence hoy",IF($AN213-FechaRef&lt;=DiasAlerta,"Vence en "&amp;($AN213-FechaRef)&amp;IF($AN213-FechaRef=1," día"," días"),"En plazo")))))))</f>
        <v/>
      </c>
      <c r="P213" s="62" t="n"/>
      <c r="Q213" s="58" t="n"/>
      <c r="R213" s="63">
        <f>IF(NOT((COUNTA($B213:$D213)+COUNTA($G213:$L213)+COUNTA($Q213))&gt;0),"",IF((IF($C213="","Falta el nombre de la actividad"&amp;" · ","")&amp;IF(AND($V213="Sub",N($U213)=0),"Subactividad sin macroactividad arriba"&amp;" · ","")&amp;IF($AM213="","Sin fecha de inicio"&amp;" · ","")&amp;IF($AN213="","Sin fecha límite"&amp;" · ","")&amp;IF(AND(LEFT($C213,11)="[Jefatura] ",N($AL213)=0),"No se encuentra en la hoja de la jefatura (elíjala de nuevo en la lista)"&amp;" · ","")&amp;IF(OR(AND($E213&lt;&gt;"",NOT(ISNUMBER($E213))),AND($F213&lt;&gt;"",NOT(ISNUMBER($F213))),AND($G213&lt;&gt;"",NOT(ISNUMBER($G213)))),"Fecha no válida"&amp;" · ","")&amp;IF(AND(ISNUMBER($AM213),ISNUMBER($AN213),$AM213&gt;$AN213),"Inicio posterior a fecha límite"&amp;" · ","")&amp;IF(AND($V213="Macro",$H213&lt;&gt;"",OR(NOT(ISNUMBER($H213)),$H213&lt;0,$H213&gt;1)),"Peso fuera de rango"&amp;" · ","")&amp;IF(AND($V213="Sub",$H213&lt;&gt;""),"Las subactividades no llevan peso (valen igual dentro de su macroactividad)"&amp;" · ","")&amp;IF(AND(N($W213)&gt;0,COUNT($I213:$L213)&gt;0),"Con subactividades: deje vacías las semanas (se calculan solas)"&amp;" · ","")&amp;IF((COUNTIF($I213:$L213,"&gt;1")+COUNTIF($I213:$L213,"&lt;0")+COUNTA($I213:$L213)-COUNT($I213:$L213))&gt;0,"Avance fuera de rango 0-100%"&amp;" · ","")&amp;IF(OR(AND($J213&lt;&gt;"",$J213&lt;$I213),AND($K213&lt;&gt;"",$K213&lt;MAX($I213:$J213)),AND($L213&lt;&gt;"",$L213&lt;MAX($I213:$K213))),"Avance semanal decreciente"&amp;" · ","")&amp;IF(AND(ISNUMBER($AN213),$AN213&lt;FechaRef,IF($V213="Sub",N($X213),N($M213))&lt;1),"Vencida"&amp;" · ","")&amp;IF(AND(ObsObligatoria="Sí",ISNUMBER($AN213),$AN213&lt;FechaRef,IF($V213="Sub",N($X213),N($M213))&lt;1,$Q213=""),"Vencida sin observación"&amp;" · ",""))="","✔ OK","⚠ "&amp;LEFT(IF($C213="","Falta el nombre de la actividad"&amp;" · ","")&amp;IF(AND($V213="Sub",N($U213)=0),"Subactividad sin macroactividad arriba"&amp;" · ","")&amp;IF($AM213="","Sin fecha de inicio"&amp;" · ","")&amp;IF($AN213="","Sin fecha límite"&amp;" · ","")&amp;IF(AND(LEFT($C213,11)="[Jefatura] ",N($AL213)=0),"No se encuentra en la hoja de la jefatura (elíjala de nuevo en la lista)"&amp;" · ","")&amp;IF(OR(AND($E213&lt;&gt;"",NOT(ISNUMBER($E213))),AND($F213&lt;&gt;"",NOT(ISNUMBER($F213))),AND($G213&lt;&gt;"",NOT(ISNUMBER($G213)))),"Fecha no válida"&amp;" · ","")&amp;IF(AND(ISNUMBER($AM213),ISNUMBER($AN213),$AM213&gt;$AN213),"Inicio posterior a fecha límite"&amp;" · ","")&amp;IF(AND($V213="Macro",$H213&lt;&gt;"",OR(NOT(ISNUMBER($H213)),$H213&lt;0,$H213&gt;1)),"Peso fuera de rango"&amp;" · ","")&amp;IF(AND($V213="Sub",$H213&lt;&gt;""),"Las subactividades no llevan peso (valen igual dentro de su macroactividad)"&amp;" · ","")&amp;IF(AND(N($W213)&gt;0,COUNT($I213:$L213)&gt;0),"Con subactividades: deje vacías las semanas (se calculan solas)"&amp;" · ","")&amp;IF((COUNTIF($I213:$L213,"&gt;1")+COUNTIF($I213:$L213,"&lt;0")+COUNTA($I213:$L213)-COUNT($I213:$L213))&gt;0,"Avance fuera de rango 0-100%"&amp;" · ","")&amp;IF(OR(AND($J213&lt;&gt;"",$J213&lt;$I213),AND($K213&lt;&gt;"",$K213&lt;MAX($I213:$J213)),AND($L213&lt;&gt;"",$L213&lt;MAX($I213:$K213))),"Avance semanal decreciente"&amp;" · ","")&amp;IF(AND(ISNUMBER($AN213),$AN213&lt;FechaRef,IF($V213="Sub",N($X213),N($M213))&lt;1),"Vencida"&amp;" · ","")&amp;IF(AND(ObsObligatoria="Sí",ISNUMBER($AN213),$AN213&lt;FechaRef,IF($V213="Sub",N($X213),N($M213))&lt;1,$Q213=""),"Vencida sin observación"&amp;" · ",""),LEN(IF($C213="","Falta el nombre de la actividad"&amp;" · ","")&amp;IF(AND($V213="Sub",N($U213)=0),"Subactividad sin macroactividad arriba"&amp;" · ","")&amp;IF($AM213="","Sin fecha de inicio"&amp;" · ","")&amp;IF($AN213="","Sin fecha límite"&amp;" · ","")&amp;IF(AND(LEFT($C213,11)="[Jefatura] ",N($AL213)=0),"No se encuentra en la hoja de la jefatura (elíjala de nuevo en la lista)"&amp;" · ","")&amp;IF(OR(AND($E213&lt;&gt;"",NOT(ISNUMBER($E213))),AND($F213&lt;&gt;"",NOT(ISNUMBER($F213))),AND($G213&lt;&gt;"",NOT(ISNUMBER($G213)))),"Fecha no válida"&amp;" · ","")&amp;IF(AND(ISNUMBER($AM213),ISNUMBER($AN213),$AM213&gt;$AN213),"Inicio posterior a fecha límite"&amp;" · ","")&amp;IF(AND($V213="Macro",$H213&lt;&gt;"",OR(NOT(ISNUMBER($H213)),$H213&lt;0,$H213&gt;1)),"Peso fuera de rango"&amp;" · ","")&amp;IF(AND($V213="Sub",$H213&lt;&gt;""),"Las subactividades no llevan peso (valen igual dentro de su macroactividad)"&amp;" · ","")&amp;IF(AND(N($W213)&gt;0,COUNT($I213:$L213)&gt;0),"Con subactividades: deje vacías las semanas (se calculan solas)"&amp;" · ","")&amp;IF((COUNTIF($I213:$L213,"&gt;1")+COUNTIF($I213:$L213,"&lt;0")+COUNTA($I213:$L213)-COUNT($I213:$L213))&gt;0,"Avance fuera de rango 0-100%"&amp;" · ","")&amp;IF(OR(AND($J213&lt;&gt;"",$J213&lt;$I213),AND($K213&lt;&gt;"",$K213&lt;MAX($I213:$J213)),AND($L213&lt;&gt;"",$L213&lt;MAX($I213:$K213))),"Avance semanal decreciente"&amp;" · ","")&amp;IF(AND(ISNUMBER($AN213),$AN213&lt;FechaRef,IF($V213="Sub",N($X213),N($M213))&lt;1),"Vencida"&amp;" · ","")&amp;IF(AND(ObsObligatoria="Sí",ISNUMBER($AN213),$AN213&lt;FechaRef,IF($V213="Sub",N($X213),N($M213))&lt;1,$Q213=""),"Vencida sin observación"&amp;" · ",""))-3)))</f>
        <v/>
      </c>
      <c r="S213" s="64">
        <f>IF(NOT((COUNTA($B213:$D213)+COUNTA($G213:$L213)+COUNTA($Q213))&gt;0),"",IF(AND($V213="Sub",N($U213)&gt;0),IF(ISNUMBER(INDEX($AM$5:$AM$1000,$U213-4)),DATE(YEAR(INDEX($AM$5:$AM$1000,$U213-4)),MONTH(INDEX($AM$5:$AM$1000,$U213-4)),1),IF(ISNUMBER(INDEX($AN$5:$AN$1000,$U213-4)),DATE(YEAR(INDEX($AN$5:$AN$1000,$U213-4)),MONTH(INDEX($AN$5:$AN$1000,$U213-4)),1),MesCiclo)),IF(ISNUMBER($AM213),DATE(YEAR($AM213),MONTH($AM213),1),IF(ISNUMBER($AN213),DATE(YEAR($AN213),MONTH($AN213),1),MesCiclo))))</f>
        <v/>
      </c>
      <c r="T213" s="62">
        <f>IF(OR($S213="",$S213&lt;&gt;MesCiclo,$V213&lt;&gt;"Macro"),"",COUNTIFS($S$5:$S213,MesCiclo,$V$5:$V213,"Macro"))</f>
        <v/>
      </c>
      <c r="U213" s="62">
        <f>IF($V213="","",IF($V213="Macro",ROW(),IFERROR(LOOKUP(2,1/($V$5:$V213="Macro"),ROW($V$5:$V213)),0)))</f>
        <v/>
      </c>
      <c r="V213" s="62">
        <f>IF(NOT((COUNTA($B213:$D213)+COUNTA($G213:$L213)+COUNTA($Q213))&gt;0),"",IF($B213="Subactividad","Sub","Macro"))</f>
        <v/>
      </c>
      <c r="W213" s="62">
        <f>IF($V213="Macro",COUNTIFS($U$5:$U$1000,ROW(),$V$5:$V$1000,"Sub"),"")</f>
        <v/>
      </c>
      <c r="X213" s="62">
        <f>IF($V213="","",IF(ISNUMBER($G213),1,IFERROR(LOOKUP(2,1/($I213:$L213&lt;&gt;""),$I213:$L213),0)))</f>
        <v/>
      </c>
      <c r="Y213" s="62">
        <f>IF($V213="","",IF(AND(ISNUMBER($G213),$G213&lt;=IF($S213=MesCiclo,InicioCiclo,$S213+MOD(2-WEEKDAY($S213),7))+6),1,IF(ISNUMBER($I213),$I213,0)))</f>
        <v/>
      </c>
      <c r="Z213" s="62">
        <f>IF($V213="","",IF(AND(ISNUMBER($G213),$G213&lt;=IF($S213=MesCiclo,InicioCiclo,$S213+MOD(2-WEEKDAY($S213),7))+13),1,IF(ISNUMBER($J213),$J213,$Y213)))</f>
        <v/>
      </c>
      <c r="AA213" s="62">
        <f>IF($V213="","",IF(AND(ISNUMBER($G213),$G213&lt;=IF($S213=MesCiclo,InicioCiclo,$S213+MOD(2-WEEKDAY($S213),7))+20),1,IF(ISNUMBER($K213),$K213,$Z213)))</f>
        <v/>
      </c>
      <c r="AB213" s="62">
        <f>IF($V213="","",IF(AND(ISNUMBER($G213),$G213&lt;=IF($S213=MesCiclo,InicioCiclo,$S213+MOD(2-WEEKDAY($S213),7))+27),1,IF(ISNUMBER($L213),$L213,$AA213)))</f>
        <v/>
      </c>
      <c r="AC213" s="62">
        <f>IF($V213="","",IF(AND(ISNUMBER($G213),$G213&lt;=IF($S213=MesCiclo,InicioCiclo,$S213+MOD(2-WEEKDAY($S213),7))+6),1,IF(N($W213)&gt;0,AVERAGEIFS($Y$5:$Y$1000,$U$5:$U$1000,ROW(),$V$5:$V$1000,"Sub"),$Y213)))</f>
        <v/>
      </c>
      <c r="AD213" s="62">
        <f>IF($V213="","",IF(AND(ISNUMBER($G213),$G213&lt;=IF($S213=MesCiclo,InicioCiclo,$S213+MOD(2-WEEKDAY($S213),7))+13),1,IF(N($W213)&gt;0,AVERAGEIFS($Z$5:$Z$1000,$U$5:$U$1000,ROW(),$V$5:$V$1000,"Sub"),$Z213)))</f>
        <v/>
      </c>
      <c r="AE213" s="62">
        <f>IF($V213="","",IF(AND(ISNUMBER($G213),$G213&lt;=IF($S213=MesCiclo,InicioCiclo,$S213+MOD(2-WEEKDAY($S213),7))+20),1,IF(N($W213)&gt;0,AVERAGEIFS($AA$5:$AA$1000,$U$5:$U$1000,ROW(),$V$5:$V$1000,"Sub"),$AA213)))</f>
        <v/>
      </c>
      <c r="AF213" s="62">
        <f>IF($V213="","",IF(AND(ISNUMBER($G213),$G213&lt;=IF($S213=MesCiclo,InicioCiclo,$S213+MOD(2-WEEKDAY($S213),7))+27),1,IF(N($W213)&gt;0,AVERAGEIFS($AB$5:$AB$1000,$U$5:$U$1000,ROW(),$V$5:$V$1000,"Sub"),$AB213)))</f>
        <v/>
      </c>
      <c r="AG213" s="62">
        <f>IF($V213&lt;&gt;"Macro","",IF(COUNTIFS($S$5:$S$1000,$S213,$V$5:$V$1000,"Macro",$H$5:$H$1000,"&gt;0")=0,1/COUNTIFS($S$5:$S$1000,$S213,$V$5:$V$1000,"Macro"),IF(AND(ISNUMBER($H213),N($H213)&gt;0),$H213,SUMIFS($H$5:$H$1000,$S$5:$S$1000,$S213,$V$5:$V$1000,"Macro")/COUNTIFS($S$5:$S$1000,$S213,$V$5:$V$1000,"Macro",$H$5:$H$1000,"&gt;0"))/(COUNTIFS($S$5:$S$1000,$S213,$V$5:$V$1000,"Macro")*SUMIFS($H$5:$H$1000,$S$5:$S$1000,$S213,$V$5:$V$1000,"Macro")/COUNTIFS($S$5:$S$1000,$S213,$V$5:$V$1000,"Macro",$H$5:$H$1000,"&gt;0"))))</f>
        <v/>
      </c>
      <c r="AH213" s="62" t="n"/>
      <c r="AI213" s="62" t="n"/>
      <c r="AJ213" s="62" t="n"/>
      <c r="AK213" s="62" t="n"/>
      <c r="AL213" s="62">
        <f>IF(LEFT($C213,11)="[Jefatura] ",IFERROR(MATCH("Riesgo Financiero|"&amp;MID($C213,12,500),rDname_ADM,0),0),"")</f>
        <v/>
      </c>
      <c r="AM213" s="62">
        <f>IF(N($AL213)&gt;0,INDEX(rIni_ADM,$AL213),IF(ISNUMBER($E213),$E213,""))</f>
        <v/>
      </c>
      <c r="AN213" s="62">
        <f>IF(N($AL213)&gt;0,INDEX(rLim_ADM,$AL213),IF(ISNUMBER($F213),$F213,""))</f>
        <v/>
      </c>
    </row>
    <row r="214">
      <c r="A214" s="56">
        <f>IF(NOT((COUNTA($B214:$D214)+COUNTA($G214:$L214)+COUNTA($Q214))&gt;0),"",IF($V214="Macro",COUNTIFS($V$5:$V214,"Macro",$S$5:$S214,$S214),IF(N($U214)=0,"?",COUNTIFS(INDEX($V$5:$V$1000,1):INDEX($V$5:$V$1000,$U214-4),"Macro",INDEX($S$5:$S$1000,1):INDEX($S$5:$S$1000,$U214-4),INDEX($S$5:$S$1000,$U214-4))&amp;"."&amp;COUNTIFS($U$5:$U214,$U214,$V$5:$V214,"Sub"))))</f>
        <v/>
      </c>
      <c r="B214" s="57" t="n"/>
      <c r="C214" s="58" t="n"/>
      <c r="D214" s="58" t="n"/>
      <c r="E214" s="59">
        <f>IF(N($AL214)&gt;0,INDEX(rIni_ADM,$AL214),"")</f>
        <v/>
      </c>
      <c r="F214" s="59">
        <f>IF(N($AL214)&gt;0,INDEX(rLim_ADM,$AL214),"")</f>
        <v/>
      </c>
      <c r="G214" s="59" t="n"/>
      <c r="H214" s="60" t="n"/>
      <c r="I214" s="60" t="n"/>
      <c r="J214" s="60" t="n"/>
      <c r="K214" s="60" t="n"/>
      <c r="L214" s="60" t="n"/>
      <c r="M214" s="61">
        <f>IF(NOT((COUNTA($B214:$D214)+COUNTA($G214:$L214)+COUNTA($Q214))&gt;0),"",IF($V214="Sub",IFERROR($X214/INDEX($W$5:$W$1000,$U214-4),""),IF(ISNUMBER($G214),1,IF(N($W214)&gt;0,AVERAGEIFS($X$5:$X$1000,$U$5:$U$1000,ROW(),$V$5:$V$1000,"Sub"),$X214))))</f>
        <v/>
      </c>
      <c r="N214" s="56">
        <f>IF(OR($M214="",$V214="Sub"),"",IF($M214&gt;=1,"Completado",IF($M214&gt;0,"En curso","Pendiente")))</f>
        <v/>
      </c>
      <c r="O214" s="56">
        <f>IF(OR(NOT((COUNTA($B214:$D214)+COUNTA($G214:$L214)+COUNTA($Q214))&gt;0),$V214="Sub"),"",IF(ISNUMBER($G214),IF(AND(ISNUMBER($AN214),$G214&gt;$AN214),"Cumplida con "&amp;($G214-$AN214)&amp;IF($G214-$AN214=1," día"," días")&amp;" de retraso","Cumplida"),IF(N($M214)&gt;=1,"Cumplida",IF(NOT(ISNUMBER($AN214)),"Sin fecha límite",IF($AN214&lt;FechaRef,"Vencida hace "&amp;(FechaRef-$AN214)&amp;IF(FechaRef-$AN214=1," día"," días"),IF($AN214=FechaRef,"Vence hoy",IF($AN214-FechaRef&lt;=DiasAlerta,"Vence en "&amp;($AN214-FechaRef)&amp;IF($AN214-FechaRef=1," día"," días"),"En plazo")))))))</f>
        <v/>
      </c>
      <c r="P214" s="62" t="n"/>
      <c r="Q214" s="58" t="n"/>
      <c r="R214" s="63">
        <f>IF(NOT((COUNTA($B214:$D214)+COUNTA($G214:$L214)+COUNTA($Q214))&gt;0),"",IF((IF($C214="","Falta el nombre de la actividad"&amp;" · ","")&amp;IF(AND($V214="Sub",N($U214)=0),"Subactividad sin macroactividad arriba"&amp;" · ","")&amp;IF($AM214="","Sin fecha de inicio"&amp;" · ","")&amp;IF($AN214="","Sin fecha límite"&amp;" · ","")&amp;IF(AND(LEFT($C214,11)="[Jefatura] ",N($AL214)=0),"No se encuentra en la hoja de la jefatura (elíjala de nuevo en la lista)"&amp;" · ","")&amp;IF(OR(AND($E214&lt;&gt;"",NOT(ISNUMBER($E214))),AND($F214&lt;&gt;"",NOT(ISNUMBER($F214))),AND($G214&lt;&gt;"",NOT(ISNUMBER($G214)))),"Fecha no válida"&amp;" · ","")&amp;IF(AND(ISNUMBER($AM214),ISNUMBER($AN214),$AM214&gt;$AN214),"Inicio posterior a fecha límite"&amp;" · ","")&amp;IF(AND($V214="Macro",$H214&lt;&gt;"",OR(NOT(ISNUMBER($H214)),$H214&lt;0,$H214&gt;1)),"Peso fuera de rango"&amp;" · ","")&amp;IF(AND($V214="Sub",$H214&lt;&gt;""),"Las subactividades no llevan peso (valen igual dentro de su macroactividad)"&amp;" · ","")&amp;IF(AND(N($W214)&gt;0,COUNT($I214:$L214)&gt;0),"Con subactividades: deje vacías las semanas (se calculan solas)"&amp;" · ","")&amp;IF((COUNTIF($I214:$L214,"&gt;1")+COUNTIF($I214:$L214,"&lt;0")+COUNTA($I214:$L214)-COUNT($I214:$L214))&gt;0,"Avance fuera de rango 0-100%"&amp;" · ","")&amp;IF(OR(AND($J214&lt;&gt;"",$J214&lt;$I214),AND($K214&lt;&gt;"",$K214&lt;MAX($I214:$J214)),AND($L214&lt;&gt;"",$L214&lt;MAX($I214:$K214))),"Avance semanal decreciente"&amp;" · ","")&amp;IF(AND(ISNUMBER($AN214),$AN214&lt;FechaRef,IF($V214="Sub",N($X214),N($M214))&lt;1),"Vencida"&amp;" · ","")&amp;IF(AND(ObsObligatoria="Sí",ISNUMBER($AN214),$AN214&lt;FechaRef,IF($V214="Sub",N($X214),N($M214))&lt;1,$Q214=""),"Vencida sin observación"&amp;" · ",""))="","✔ OK","⚠ "&amp;LEFT(IF($C214="","Falta el nombre de la actividad"&amp;" · ","")&amp;IF(AND($V214="Sub",N($U214)=0),"Subactividad sin macroactividad arriba"&amp;" · ","")&amp;IF($AM214="","Sin fecha de inicio"&amp;" · ","")&amp;IF($AN214="","Sin fecha límite"&amp;" · ","")&amp;IF(AND(LEFT($C214,11)="[Jefatura] ",N($AL214)=0),"No se encuentra en la hoja de la jefatura (elíjala de nuevo en la lista)"&amp;" · ","")&amp;IF(OR(AND($E214&lt;&gt;"",NOT(ISNUMBER($E214))),AND($F214&lt;&gt;"",NOT(ISNUMBER($F214))),AND($G214&lt;&gt;"",NOT(ISNUMBER($G214)))),"Fecha no válida"&amp;" · ","")&amp;IF(AND(ISNUMBER($AM214),ISNUMBER($AN214),$AM214&gt;$AN214),"Inicio posterior a fecha límite"&amp;" · ","")&amp;IF(AND($V214="Macro",$H214&lt;&gt;"",OR(NOT(ISNUMBER($H214)),$H214&lt;0,$H214&gt;1)),"Peso fuera de rango"&amp;" · ","")&amp;IF(AND($V214="Sub",$H214&lt;&gt;""),"Las subactividades no llevan peso (valen igual dentro de su macroactividad)"&amp;" · ","")&amp;IF(AND(N($W214)&gt;0,COUNT($I214:$L214)&gt;0),"Con subactividades: deje vacías las semanas (se calculan solas)"&amp;" · ","")&amp;IF((COUNTIF($I214:$L214,"&gt;1")+COUNTIF($I214:$L214,"&lt;0")+COUNTA($I214:$L214)-COUNT($I214:$L214))&gt;0,"Avance fuera de rango 0-100%"&amp;" · ","")&amp;IF(OR(AND($J214&lt;&gt;"",$J214&lt;$I214),AND($K214&lt;&gt;"",$K214&lt;MAX($I214:$J214)),AND($L214&lt;&gt;"",$L214&lt;MAX($I214:$K214))),"Avance semanal decreciente"&amp;" · ","")&amp;IF(AND(ISNUMBER($AN214),$AN214&lt;FechaRef,IF($V214="Sub",N($X214),N($M214))&lt;1),"Vencida"&amp;" · ","")&amp;IF(AND(ObsObligatoria="Sí",ISNUMBER($AN214),$AN214&lt;FechaRef,IF($V214="Sub",N($X214),N($M214))&lt;1,$Q214=""),"Vencida sin observación"&amp;" · ",""),LEN(IF($C214="","Falta el nombre de la actividad"&amp;" · ","")&amp;IF(AND($V214="Sub",N($U214)=0),"Subactividad sin macroactividad arriba"&amp;" · ","")&amp;IF($AM214="","Sin fecha de inicio"&amp;" · ","")&amp;IF($AN214="","Sin fecha límite"&amp;" · ","")&amp;IF(AND(LEFT($C214,11)="[Jefatura] ",N($AL214)=0),"No se encuentra en la hoja de la jefatura (elíjala de nuevo en la lista)"&amp;" · ","")&amp;IF(OR(AND($E214&lt;&gt;"",NOT(ISNUMBER($E214))),AND($F214&lt;&gt;"",NOT(ISNUMBER($F214))),AND($G214&lt;&gt;"",NOT(ISNUMBER($G214)))),"Fecha no válida"&amp;" · ","")&amp;IF(AND(ISNUMBER($AM214),ISNUMBER($AN214),$AM214&gt;$AN214),"Inicio posterior a fecha límite"&amp;" · ","")&amp;IF(AND($V214="Macro",$H214&lt;&gt;"",OR(NOT(ISNUMBER($H214)),$H214&lt;0,$H214&gt;1)),"Peso fuera de rango"&amp;" · ","")&amp;IF(AND($V214="Sub",$H214&lt;&gt;""),"Las subactividades no llevan peso (valen igual dentro de su macroactividad)"&amp;" · ","")&amp;IF(AND(N($W214)&gt;0,COUNT($I214:$L214)&gt;0),"Con subactividades: deje vacías las semanas (se calculan solas)"&amp;" · ","")&amp;IF((COUNTIF($I214:$L214,"&gt;1")+COUNTIF($I214:$L214,"&lt;0")+COUNTA($I214:$L214)-COUNT($I214:$L214))&gt;0,"Avance fuera de rango 0-100%"&amp;" · ","")&amp;IF(OR(AND($J214&lt;&gt;"",$J214&lt;$I214),AND($K214&lt;&gt;"",$K214&lt;MAX($I214:$J214)),AND($L214&lt;&gt;"",$L214&lt;MAX($I214:$K214))),"Avance semanal decreciente"&amp;" · ","")&amp;IF(AND(ISNUMBER($AN214),$AN214&lt;FechaRef,IF($V214="Sub",N($X214),N($M214))&lt;1),"Vencida"&amp;" · ","")&amp;IF(AND(ObsObligatoria="Sí",ISNUMBER($AN214),$AN214&lt;FechaRef,IF($V214="Sub",N($X214),N($M214))&lt;1,$Q214=""),"Vencida sin observación"&amp;" · ",""))-3)))</f>
        <v/>
      </c>
      <c r="S214" s="64">
        <f>IF(NOT((COUNTA($B214:$D214)+COUNTA($G214:$L214)+COUNTA($Q214))&gt;0),"",IF(AND($V214="Sub",N($U214)&gt;0),IF(ISNUMBER(INDEX($AM$5:$AM$1000,$U214-4)),DATE(YEAR(INDEX($AM$5:$AM$1000,$U214-4)),MONTH(INDEX($AM$5:$AM$1000,$U214-4)),1),IF(ISNUMBER(INDEX($AN$5:$AN$1000,$U214-4)),DATE(YEAR(INDEX($AN$5:$AN$1000,$U214-4)),MONTH(INDEX($AN$5:$AN$1000,$U214-4)),1),MesCiclo)),IF(ISNUMBER($AM214),DATE(YEAR($AM214),MONTH($AM214),1),IF(ISNUMBER($AN214),DATE(YEAR($AN214),MONTH($AN214),1),MesCiclo))))</f>
        <v/>
      </c>
      <c r="T214" s="62">
        <f>IF(OR($S214="",$S214&lt;&gt;MesCiclo,$V214&lt;&gt;"Macro"),"",COUNTIFS($S$5:$S214,MesCiclo,$V$5:$V214,"Macro"))</f>
        <v/>
      </c>
      <c r="U214" s="62">
        <f>IF($V214="","",IF($V214="Macro",ROW(),IFERROR(LOOKUP(2,1/($V$5:$V214="Macro"),ROW($V$5:$V214)),0)))</f>
        <v/>
      </c>
      <c r="V214" s="62">
        <f>IF(NOT((COUNTA($B214:$D214)+COUNTA($G214:$L214)+COUNTA($Q214))&gt;0),"",IF($B214="Subactividad","Sub","Macro"))</f>
        <v/>
      </c>
      <c r="W214" s="62">
        <f>IF($V214="Macro",COUNTIFS($U$5:$U$1000,ROW(),$V$5:$V$1000,"Sub"),"")</f>
        <v/>
      </c>
      <c r="X214" s="62">
        <f>IF($V214="","",IF(ISNUMBER($G214),1,IFERROR(LOOKUP(2,1/($I214:$L214&lt;&gt;""),$I214:$L214),0)))</f>
        <v/>
      </c>
      <c r="Y214" s="62">
        <f>IF($V214="","",IF(AND(ISNUMBER($G214),$G214&lt;=IF($S214=MesCiclo,InicioCiclo,$S214+MOD(2-WEEKDAY($S214),7))+6),1,IF(ISNUMBER($I214),$I214,0)))</f>
        <v/>
      </c>
      <c r="Z214" s="62">
        <f>IF($V214="","",IF(AND(ISNUMBER($G214),$G214&lt;=IF($S214=MesCiclo,InicioCiclo,$S214+MOD(2-WEEKDAY($S214),7))+13),1,IF(ISNUMBER($J214),$J214,$Y214)))</f>
        <v/>
      </c>
      <c r="AA214" s="62">
        <f>IF($V214="","",IF(AND(ISNUMBER($G214),$G214&lt;=IF($S214=MesCiclo,InicioCiclo,$S214+MOD(2-WEEKDAY($S214),7))+20),1,IF(ISNUMBER($K214),$K214,$Z214)))</f>
        <v/>
      </c>
      <c r="AB214" s="62">
        <f>IF($V214="","",IF(AND(ISNUMBER($G214),$G214&lt;=IF($S214=MesCiclo,InicioCiclo,$S214+MOD(2-WEEKDAY($S214),7))+27),1,IF(ISNUMBER($L214),$L214,$AA214)))</f>
        <v/>
      </c>
      <c r="AC214" s="62">
        <f>IF($V214="","",IF(AND(ISNUMBER($G214),$G214&lt;=IF($S214=MesCiclo,InicioCiclo,$S214+MOD(2-WEEKDAY($S214),7))+6),1,IF(N($W214)&gt;0,AVERAGEIFS($Y$5:$Y$1000,$U$5:$U$1000,ROW(),$V$5:$V$1000,"Sub"),$Y214)))</f>
        <v/>
      </c>
      <c r="AD214" s="62">
        <f>IF($V214="","",IF(AND(ISNUMBER($G214),$G214&lt;=IF($S214=MesCiclo,InicioCiclo,$S214+MOD(2-WEEKDAY($S214),7))+13),1,IF(N($W214)&gt;0,AVERAGEIFS($Z$5:$Z$1000,$U$5:$U$1000,ROW(),$V$5:$V$1000,"Sub"),$Z214)))</f>
        <v/>
      </c>
      <c r="AE214" s="62">
        <f>IF($V214="","",IF(AND(ISNUMBER($G214),$G214&lt;=IF($S214=MesCiclo,InicioCiclo,$S214+MOD(2-WEEKDAY($S214),7))+20),1,IF(N($W214)&gt;0,AVERAGEIFS($AA$5:$AA$1000,$U$5:$U$1000,ROW(),$V$5:$V$1000,"Sub"),$AA214)))</f>
        <v/>
      </c>
      <c r="AF214" s="62">
        <f>IF($V214="","",IF(AND(ISNUMBER($G214),$G214&lt;=IF($S214=MesCiclo,InicioCiclo,$S214+MOD(2-WEEKDAY($S214),7))+27),1,IF(N($W214)&gt;0,AVERAGEIFS($AB$5:$AB$1000,$U$5:$U$1000,ROW(),$V$5:$V$1000,"Sub"),$AB214)))</f>
        <v/>
      </c>
      <c r="AG214" s="62">
        <f>IF($V214&lt;&gt;"Macro","",IF(COUNTIFS($S$5:$S$1000,$S214,$V$5:$V$1000,"Macro",$H$5:$H$1000,"&gt;0")=0,1/COUNTIFS($S$5:$S$1000,$S214,$V$5:$V$1000,"Macro"),IF(AND(ISNUMBER($H214),N($H214)&gt;0),$H214,SUMIFS($H$5:$H$1000,$S$5:$S$1000,$S214,$V$5:$V$1000,"Macro")/COUNTIFS($S$5:$S$1000,$S214,$V$5:$V$1000,"Macro",$H$5:$H$1000,"&gt;0"))/(COUNTIFS($S$5:$S$1000,$S214,$V$5:$V$1000,"Macro")*SUMIFS($H$5:$H$1000,$S$5:$S$1000,$S214,$V$5:$V$1000,"Macro")/COUNTIFS($S$5:$S$1000,$S214,$V$5:$V$1000,"Macro",$H$5:$H$1000,"&gt;0"))))</f>
        <v/>
      </c>
      <c r="AH214" s="62" t="n"/>
      <c r="AI214" s="62" t="n"/>
      <c r="AJ214" s="62" t="n"/>
      <c r="AK214" s="62" t="n"/>
      <c r="AL214" s="62">
        <f>IF(LEFT($C214,11)="[Jefatura] ",IFERROR(MATCH("Riesgo Financiero|"&amp;MID($C214,12,500),rDname_ADM,0),0),"")</f>
        <v/>
      </c>
      <c r="AM214" s="62">
        <f>IF(N($AL214)&gt;0,INDEX(rIni_ADM,$AL214),IF(ISNUMBER($E214),$E214,""))</f>
        <v/>
      </c>
      <c r="AN214" s="62">
        <f>IF(N($AL214)&gt;0,INDEX(rLim_ADM,$AL214),IF(ISNUMBER($F214),$F214,""))</f>
        <v/>
      </c>
    </row>
    <row r="215">
      <c r="A215" s="56">
        <f>IF(NOT((COUNTA($B215:$D215)+COUNTA($G215:$L215)+COUNTA($Q215))&gt;0),"",IF($V215="Macro",COUNTIFS($V$5:$V215,"Macro",$S$5:$S215,$S215),IF(N($U215)=0,"?",COUNTIFS(INDEX($V$5:$V$1000,1):INDEX($V$5:$V$1000,$U215-4),"Macro",INDEX($S$5:$S$1000,1):INDEX($S$5:$S$1000,$U215-4),INDEX($S$5:$S$1000,$U215-4))&amp;"."&amp;COUNTIFS($U$5:$U215,$U215,$V$5:$V215,"Sub"))))</f>
        <v/>
      </c>
      <c r="B215" s="57" t="n"/>
      <c r="C215" s="58" t="n"/>
      <c r="D215" s="58" t="n"/>
      <c r="E215" s="59">
        <f>IF(N($AL215)&gt;0,INDEX(rIni_ADM,$AL215),"")</f>
        <v/>
      </c>
      <c r="F215" s="59">
        <f>IF(N($AL215)&gt;0,INDEX(rLim_ADM,$AL215),"")</f>
        <v/>
      </c>
      <c r="G215" s="59" t="n"/>
      <c r="H215" s="60" t="n"/>
      <c r="I215" s="60" t="n"/>
      <c r="J215" s="60" t="n"/>
      <c r="K215" s="60" t="n"/>
      <c r="L215" s="60" t="n"/>
      <c r="M215" s="61">
        <f>IF(NOT((COUNTA($B215:$D215)+COUNTA($G215:$L215)+COUNTA($Q215))&gt;0),"",IF($V215="Sub",IFERROR($X215/INDEX($W$5:$W$1000,$U215-4),""),IF(ISNUMBER($G215),1,IF(N($W215)&gt;0,AVERAGEIFS($X$5:$X$1000,$U$5:$U$1000,ROW(),$V$5:$V$1000,"Sub"),$X215))))</f>
        <v/>
      </c>
      <c r="N215" s="56">
        <f>IF(OR($M215="",$V215="Sub"),"",IF($M215&gt;=1,"Completado",IF($M215&gt;0,"En curso","Pendiente")))</f>
        <v/>
      </c>
      <c r="O215" s="56">
        <f>IF(OR(NOT((COUNTA($B215:$D215)+COUNTA($G215:$L215)+COUNTA($Q215))&gt;0),$V215="Sub"),"",IF(ISNUMBER($G215),IF(AND(ISNUMBER($AN215),$G215&gt;$AN215),"Cumplida con "&amp;($G215-$AN215)&amp;IF($G215-$AN215=1," día"," días")&amp;" de retraso","Cumplida"),IF(N($M215)&gt;=1,"Cumplida",IF(NOT(ISNUMBER($AN215)),"Sin fecha límite",IF($AN215&lt;FechaRef,"Vencida hace "&amp;(FechaRef-$AN215)&amp;IF(FechaRef-$AN215=1," día"," días"),IF($AN215=FechaRef,"Vence hoy",IF($AN215-FechaRef&lt;=DiasAlerta,"Vence en "&amp;($AN215-FechaRef)&amp;IF($AN215-FechaRef=1," día"," días"),"En plazo")))))))</f>
        <v/>
      </c>
      <c r="P215" s="62" t="n"/>
      <c r="Q215" s="58" t="n"/>
      <c r="R215" s="63">
        <f>IF(NOT((COUNTA($B215:$D215)+COUNTA($G215:$L215)+COUNTA($Q215))&gt;0),"",IF((IF($C215="","Falta el nombre de la actividad"&amp;" · ","")&amp;IF(AND($V215="Sub",N($U215)=0),"Subactividad sin macroactividad arriba"&amp;" · ","")&amp;IF($AM215="","Sin fecha de inicio"&amp;" · ","")&amp;IF($AN215="","Sin fecha límite"&amp;" · ","")&amp;IF(AND(LEFT($C215,11)="[Jefatura] ",N($AL215)=0),"No se encuentra en la hoja de la jefatura (elíjala de nuevo en la lista)"&amp;" · ","")&amp;IF(OR(AND($E215&lt;&gt;"",NOT(ISNUMBER($E215))),AND($F215&lt;&gt;"",NOT(ISNUMBER($F215))),AND($G215&lt;&gt;"",NOT(ISNUMBER($G215)))),"Fecha no válida"&amp;" · ","")&amp;IF(AND(ISNUMBER($AM215),ISNUMBER($AN215),$AM215&gt;$AN215),"Inicio posterior a fecha límite"&amp;" · ","")&amp;IF(AND($V215="Macro",$H215&lt;&gt;"",OR(NOT(ISNUMBER($H215)),$H215&lt;0,$H215&gt;1)),"Peso fuera de rango"&amp;" · ","")&amp;IF(AND($V215="Sub",$H215&lt;&gt;""),"Las subactividades no llevan peso (valen igual dentro de su macroactividad)"&amp;" · ","")&amp;IF(AND(N($W215)&gt;0,COUNT($I215:$L215)&gt;0),"Con subactividades: deje vacías las semanas (se calculan solas)"&amp;" · ","")&amp;IF((COUNTIF($I215:$L215,"&gt;1")+COUNTIF($I215:$L215,"&lt;0")+COUNTA($I215:$L215)-COUNT($I215:$L215))&gt;0,"Avance fuera de rango 0-100%"&amp;" · ","")&amp;IF(OR(AND($J215&lt;&gt;"",$J215&lt;$I215),AND($K215&lt;&gt;"",$K215&lt;MAX($I215:$J215)),AND($L215&lt;&gt;"",$L215&lt;MAX($I215:$K215))),"Avance semanal decreciente"&amp;" · ","")&amp;IF(AND(ISNUMBER($AN215),$AN215&lt;FechaRef,IF($V215="Sub",N($X215),N($M215))&lt;1),"Vencida"&amp;" · ","")&amp;IF(AND(ObsObligatoria="Sí",ISNUMBER($AN215),$AN215&lt;FechaRef,IF($V215="Sub",N($X215),N($M215))&lt;1,$Q215=""),"Vencida sin observación"&amp;" · ",""))="","✔ OK","⚠ "&amp;LEFT(IF($C215="","Falta el nombre de la actividad"&amp;" · ","")&amp;IF(AND($V215="Sub",N($U215)=0),"Subactividad sin macroactividad arriba"&amp;" · ","")&amp;IF($AM215="","Sin fecha de inicio"&amp;" · ","")&amp;IF($AN215="","Sin fecha límite"&amp;" · ","")&amp;IF(AND(LEFT($C215,11)="[Jefatura] ",N($AL215)=0),"No se encuentra en la hoja de la jefatura (elíjala de nuevo en la lista)"&amp;" · ","")&amp;IF(OR(AND($E215&lt;&gt;"",NOT(ISNUMBER($E215))),AND($F215&lt;&gt;"",NOT(ISNUMBER($F215))),AND($G215&lt;&gt;"",NOT(ISNUMBER($G215)))),"Fecha no válida"&amp;" · ","")&amp;IF(AND(ISNUMBER($AM215),ISNUMBER($AN215),$AM215&gt;$AN215),"Inicio posterior a fecha límite"&amp;" · ","")&amp;IF(AND($V215="Macro",$H215&lt;&gt;"",OR(NOT(ISNUMBER($H215)),$H215&lt;0,$H215&gt;1)),"Peso fuera de rango"&amp;" · ","")&amp;IF(AND($V215="Sub",$H215&lt;&gt;""),"Las subactividades no llevan peso (valen igual dentro de su macroactividad)"&amp;" · ","")&amp;IF(AND(N($W215)&gt;0,COUNT($I215:$L215)&gt;0),"Con subactividades: deje vacías las semanas (se calculan solas)"&amp;" · ","")&amp;IF((COUNTIF($I215:$L215,"&gt;1")+COUNTIF($I215:$L215,"&lt;0")+COUNTA($I215:$L215)-COUNT($I215:$L215))&gt;0,"Avance fuera de rango 0-100%"&amp;" · ","")&amp;IF(OR(AND($J215&lt;&gt;"",$J215&lt;$I215),AND($K215&lt;&gt;"",$K215&lt;MAX($I215:$J215)),AND($L215&lt;&gt;"",$L215&lt;MAX($I215:$K215))),"Avance semanal decreciente"&amp;" · ","")&amp;IF(AND(ISNUMBER($AN215),$AN215&lt;FechaRef,IF($V215="Sub",N($X215),N($M215))&lt;1),"Vencida"&amp;" · ","")&amp;IF(AND(ObsObligatoria="Sí",ISNUMBER($AN215),$AN215&lt;FechaRef,IF($V215="Sub",N($X215),N($M215))&lt;1,$Q215=""),"Vencida sin observación"&amp;" · ",""),LEN(IF($C215="","Falta el nombre de la actividad"&amp;" · ","")&amp;IF(AND($V215="Sub",N($U215)=0),"Subactividad sin macroactividad arriba"&amp;" · ","")&amp;IF($AM215="","Sin fecha de inicio"&amp;" · ","")&amp;IF($AN215="","Sin fecha límite"&amp;" · ","")&amp;IF(AND(LEFT($C215,11)="[Jefatura] ",N($AL215)=0),"No se encuentra en la hoja de la jefatura (elíjala de nuevo en la lista)"&amp;" · ","")&amp;IF(OR(AND($E215&lt;&gt;"",NOT(ISNUMBER($E215))),AND($F215&lt;&gt;"",NOT(ISNUMBER($F215))),AND($G215&lt;&gt;"",NOT(ISNUMBER($G215)))),"Fecha no válida"&amp;" · ","")&amp;IF(AND(ISNUMBER($AM215),ISNUMBER($AN215),$AM215&gt;$AN215),"Inicio posterior a fecha límite"&amp;" · ","")&amp;IF(AND($V215="Macro",$H215&lt;&gt;"",OR(NOT(ISNUMBER($H215)),$H215&lt;0,$H215&gt;1)),"Peso fuera de rango"&amp;" · ","")&amp;IF(AND($V215="Sub",$H215&lt;&gt;""),"Las subactividades no llevan peso (valen igual dentro de su macroactividad)"&amp;" · ","")&amp;IF(AND(N($W215)&gt;0,COUNT($I215:$L215)&gt;0),"Con subactividades: deje vacías las semanas (se calculan solas)"&amp;" · ","")&amp;IF((COUNTIF($I215:$L215,"&gt;1")+COUNTIF($I215:$L215,"&lt;0")+COUNTA($I215:$L215)-COUNT($I215:$L215))&gt;0,"Avance fuera de rango 0-100%"&amp;" · ","")&amp;IF(OR(AND($J215&lt;&gt;"",$J215&lt;$I215),AND($K215&lt;&gt;"",$K215&lt;MAX($I215:$J215)),AND($L215&lt;&gt;"",$L215&lt;MAX($I215:$K215))),"Avance semanal decreciente"&amp;" · ","")&amp;IF(AND(ISNUMBER($AN215),$AN215&lt;FechaRef,IF($V215="Sub",N($X215),N($M215))&lt;1),"Vencida"&amp;" · ","")&amp;IF(AND(ObsObligatoria="Sí",ISNUMBER($AN215),$AN215&lt;FechaRef,IF($V215="Sub",N($X215),N($M215))&lt;1,$Q215=""),"Vencida sin observación"&amp;" · ",""))-3)))</f>
        <v/>
      </c>
      <c r="S215" s="64">
        <f>IF(NOT((COUNTA($B215:$D215)+COUNTA($G215:$L215)+COUNTA($Q215))&gt;0),"",IF(AND($V215="Sub",N($U215)&gt;0),IF(ISNUMBER(INDEX($AM$5:$AM$1000,$U215-4)),DATE(YEAR(INDEX($AM$5:$AM$1000,$U215-4)),MONTH(INDEX($AM$5:$AM$1000,$U215-4)),1),IF(ISNUMBER(INDEX($AN$5:$AN$1000,$U215-4)),DATE(YEAR(INDEX($AN$5:$AN$1000,$U215-4)),MONTH(INDEX($AN$5:$AN$1000,$U215-4)),1),MesCiclo)),IF(ISNUMBER($AM215),DATE(YEAR($AM215),MONTH($AM215),1),IF(ISNUMBER($AN215),DATE(YEAR($AN215),MONTH($AN215),1),MesCiclo))))</f>
        <v/>
      </c>
      <c r="T215" s="62">
        <f>IF(OR($S215="",$S215&lt;&gt;MesCiclo,$V215&lt;&gt;"Macro"),"",COUNTIFS($S$5:$S215,MesCiclo,$V$5:$V215,"Macro"))</f>
        <v/>
      </c>
      <c r="U215" s="62">
        <f>IF($V215="","",IF($V215="Macro",ROW(),IFERROR(LOOKUP(2,1/($V$5:$V215="Macro"),ROW($V$5:$V215)),0)))</f>
        <v/>
      </c>
      <c r="V215" s="62">
        <f>IF(NOT((COUNTA($B215:$D215)+COUNTA($G215:$L215)+COUNTA($Q215))&gt;0),"",IF($B215="Subactividad","Sub","Macro"))</f>
        <v/>
      </c>
      <c r="W215" s="62">
        <f>IF($V215="Macro",COUNTIFS($U$5:$U$1000,ROW(),$V$5:$V$1000,"Sub"),"")</f>
        <v/>
      </c>
      <c r="X215" s="62">
        <f>IF($V215="","",IF(ISNUMBER($G215),1,IFERROR(LOOKUP(2,1/($I215:$L215&lt;&gt;""),$I215:$L215),0)))</f>
        <v/>
      </c>
      <c r="Y215" s="62">
        <f>IF($V215="","",IF(AND(ISNUMBER($G215),$G215&lt;=IF($S215=MesCiclo,InicioCiclo,$S215+MOD(2-WEEKDAY($S215),7))+6),1,IF(ISNUMBER($I215),$I215,0)))</f>
        <v/>
      </c>
      <c r="Z215" s="62">
        <f>IF($V215="","",IF(AND(ISNUMBER($G215),$G215&lt;=IF($S215=MesCiclo,InicioCiclo,$S215+MOD(2-WEEKDAY($S215),7))+13),1,IF(ISNUMBER($J215),$J215,$Y215)))</f>
        <v/>
      </c>
      <c r="AA215" s="62">
        <f>IF($V215="","",IF(AND(ISNUMBER($G215),$G215&lt;=IF($S215=MesCiclo,InicioCiclo,$S215+MOD(2-WEEKDAY($S215),7))+20),1,IF(ISNUMBER($K215),$K215,$Z215)))</f>
        <v/>
      </c>
      <c r="AB215" s="62">
        <f>IF($V215="","",IF(AND(ISNUMBER($G215),$G215&lt;=IF($S215=MesCiclo,InicioCiclo,$S215+MOD(2-WEEKDAY($S215),7))+27),1,IF(ISNUMBER($L215),$L215,$AA215)))</f>
        <v/>
      </c>
      <c r="AC215" s="62">
        <f>IF($V215="","",IF(AND(ISNUMBER($G215),$G215&lt;=IF($S215=MesCiclo,InicioCiclo,$S215+MOD(2-WEEKDAY($S215),7))+6),1,IF(N($W215)&gt;0,AVERAGEIFS($Y$5:$Y$1000,$U$5:$U$1000,ROW(),$V$5:$V$1000,"Sub"),$Y215)))</f>
        <v/>
      </c>
      <c r="AD215" s="62">
        <f>IF($V215="","",IF(AND(ISNUMBER($G215),$G215&lt;=IF($S215=MesCiclo,InicioCiclo,$S215+MOD(2-WEEKDAY($S215),7))+13),1,IF(N($W215)&gt;0,AVERAGEIFS($Z$5:$Z$1000,$U$5:$U$1000,ROW(),$V$5:$V$1000,"Sub"),$Z215)))</f>
        <v/>
      </c>
      <c r="AE215" s="62">
        <f>IF($V215="","",IF(AND(ISNUMBER($G215),$G215&lt;=IF($S215=MesCiclo,InicioCiclo,$S215+MOD(2-WEEKDAY($S215),7))+20),1,IF(N($W215)&gt;0,AVERAGEIFS($AA$5:$AA$1000,$U$5:$U$1000,ROW(),$V$5:$V$1000,"Sub"),$AA215)))</f>
        <v/>
      </c>
      <c r="AF215" s="62">
        <f>IF($V215="","",IF(AND(ISNUMBER($G215),$G215&lt;=IF($S215=MesCiclo,InicioCiclo,$S215+MOD(2-WEEKDAY($S215),7))+27),1,IF(N($W215)&gt;0,AVERAGEIFS($AB$5:$AB$1000,$U$5:$U$1000,ROW(),$V$5:$V$1000,"Sub"),$AB215)))</f>
        <v/>
      </c>
      <c r="AG215" s="62">
        <f>IF($V215&lt;&gt;"Macro","",IF(COUNTIFS($S$5:$S$1000,$S215,$V$5:$V$1000,"Macro",$H$5:$H$1000,"&gt;0")=0,1/COUNTIFS($S$5:$S$1000,$S215,$V$5:$V$1000,"Macro"),IF(AND(ISNUMBER($H215),N($H215)&gt;0),$H215,SUMIFS($H$5:$H$1000,$S$5:$S$1000,$S215,$V$5:$V$1000,"Macro")/COUNTIFS($S$5:$S$1000,$S215,$V$5:$V$1000,"Macro",$H$5:$H$1000,"&gt;0"))/(COUNTIFS($S$5:$S$1000,$S215,$V$5:$V$1000,"Macro")*SUMIFS($H$5:$H$1000,$S$5:$S$1000,$S215,$V$5:$V$1000,"Macro")/COUNTIFS($S$5:$S$1000,$S215,$V$5:$V$1000,"Macro",$H$5:$H$1000,"&gt;0"))))</f>
        <v/>
      </c>
      <c r="AH215" s="62" t="n"/>
      <c r="AI215" s="62" t="n"/>
      <c r="AJ215" s="62" t="n"/>
      <c r="AK215" s="62" t="n"/>
      <c r="AL215" s="62">
        <f>IF(LEFT($C215,11)="[Jefatura] ",IFERROR(MATCH("Riesgo Financiero|"&amp;MID($C215,12,500),rDname_ADM,0),0),"")</f>
        <v/>
      </c>
      <c r="AM215" s="62">
        <f>IF(N($AL215)&gt;0,INDEX(rIni_ADM,$AL215),IF(ISNUMBER($E215),$E215,""))</f>
        <v/>
      </c>
      <c r="AN215" s="62">
        <f>IF(N($AL215)&gt;0,INDEX(rLim_ADM,$AL215),IF(ISNUMBER($F215),$F215,""))</f>
        <v/>
      </c>
    </row>
    <row r="216">
      <c r="A216" s="56">
        <f>IF(NOT((COUNTA($B216:$D216)+COUNTA($G216:$L216)+COUNTA($Q216))&gt;0),"",IF($V216="Macro",COUNTIFS($V$5:$V216,"Macro",$S$5:$S216,$S216),IF(N($U216)=0,"?",COUNTIFS(INDEX($V$5:$V$1000,1):INDEX($V$5:$V$1000,$U216-4),"Macro",INDEX($S$5:$S$1000,1):INDEX($S$5:$S$1000,$U216-4),INDEX($S$5:$S$1000,$U216-4))&amp;"."&amp;COUNTIFS($U$5:$U216,$U216,$V$5:$V216,"Sub"))))</f>
        <v/>
      </c>
      <c r="B216" s="57" t="n"/>
      <c r="C216" s="58" t="n"/>
      <c r="D216" s="58" t="n"/>
      <c r="E216" s="59">
        <f>IF(N($AL216)&gt;0,INDEX(rIni_ADM,$AL216),"")</f>
        <v/>
      </c>
      <c r="F216" s="59">
        <f>IF(N($AL216)&gt;0,INDEX(rLim_ADM,$AL216),"")</f>
        <v/>
      </c>
      <c r="G216" s="59" t="n"/>
      <c r="H216" s="60" t="n"/>
      <c r="I216" s="60" t="n"/>
      <c r="J216" s="60" t="n"/>
      <c r="K216" s="60" t="n"/>
      <c r="L216" s="60" t="n"/>
      <c r="M216" s="61">
        <f>IF(NOT((COUNTA($B216:$D216)+COUNTA($G216:$L216)+COUNTA($Q216))&gt;0),"",IF($V216="Sub",IFERROR($X216/INDEX($W$5:$W$1000,$U216-4),""),IF(ISNUMBER($G216),1,IF(N($W216)&gt;0,AVERAGEIFS($X$5:$X$1000,$U$5:$U$1000,ROW(),$V$5:$V$1000,"Sub"),$X216))))</f>
        <v/>
      </c>
      <c r="N216" s="56">
        <f>IF(OR($M216="",$V216="Sub"),"",IF($M216&gt;=1,"Completado",IF($M216&gt;0,"En curso","Pendiente")))</f>
        <v/>
      </c>
      <c r="O216" s="56">
        <f>IF(OR(NOT((COUNTA($B216:$D216)+COUNTA($G216:$L216)+COUNTA($Q216))&gt;0),$V216="Sub"),"",IF(ISNUMBER($G216),IF(AND(ISNUMBER($AN216),$G216&gt;$AN216),"Cumplida con "&amp;($G216-$AN216)&amp;IF($G216-$AN216=1," día"," días")&amp;" de retraso","Cumplida"),IF(N($M216)&gt;=1,"Cumplida",IF(NOT(ISNUMBER($AN216)),"Sin fecha límite",IF($AN216&lt;FechaRef,"Vencida hace "&amp;(FechaRef-$AN216)&amp;IF(FechaRef-$AN216=1," día"," días"),IF($AN216=FechaRef,"Vence hoy",IF($AN216-FechaRef&lt;=DiasAlerta,"Vence en "&amp;($AN216-FechaRef)&amp;IF($AN216-FechaRef=1," día"," días"),"En plazo")))))))</f>
        <v/>
      </c>
      <c r="P216" s="62" t="n"/>
      <c r="Q216" s="58" t="n"/>
      <c r="R216" s="63">
        <f>IF(NOT((COUNTA($B216:$D216)+COUNTA($G216:$L216)+COUNTA($Q216))&gt;0),"",IF((IF($C216="","Falta el nombre de la actividad"&amp;" · ","")&amp;IF(AND($V216="Sub",N($U216)=0),"Subactividad sin macroactividad arriba"&amp;" · ","")&amp;IF($AM216="","Sin fecha de inicio"&amp;" · ","")&amp;IF($AN216="","Sin fecha límite"&amp;" · ","")&amp;IF(AND(LEFT($C216,11)="[Jefatura] ",N($AL216)=0),"No se encuentra en la hoja de la jefatura (elíjala de nuevo en la lista)"&amp;" · ","")&amp;IF(OR(AND($E216&lt;&gt;"",NOT(ISNUMBER($E216))),AND($F216&lt;&gt;"",NOT(ISNUMBER($F216))),AND($G216&lt;&gt;"",NOT(ISNUMBER($G216)))),"Fecha no válida"&amp;" · ","")&amp;IF(AND(ISNUMBER($AM216),ISNUMBER($AN216),$AM216&gt;$AN216),"Inicio posterior a fecha límite"&amp;" · ","")&amp;IF(AND($V216="Macro",$H216&lt;&gt;"",OR(NOT(ISNUMBER($H216)),$H216&lt;0,$H216&gt;1)),"Peso fuera de rango"&amp;" · ","")&amp;IF(AND($V216="Sub",$H216&lt;&gt;""),"Las subactividades no llevan peso (valen igual dentro de su macroactividad)"&amp;" · ","")&amp;IF(AND(N($W216)&gt;0,COUNT($I216:$L216)&gt;0),"Con subactividades: deje vacías las semanas (se calculan solas)"&amp;" · ","")&amp;IF((COUNTIF($I216:$L216,"&gt;1")+COUNTIF($I216:$L216,"&lt;0")+COUNTA($I216:$L216)-COUNT($I216:$L216))&gt;0,"Avance fuera de rango 0-100%"&amp;" · ","")&amp;IF(OR(AND($J216&lt;&gt;"",$J216&lt;$I216),AND($K216&lt;&gt;"",$K216&lt;MAX($I216:$J216)),AND($L216&lt;&gt;"",$L216&lt;MAX($I216:$K216))),"Avance semanal decreciente"&amp;" · ","")&amp;IF(AND(ISNUMBER($AN216),$AN216&lt;FechaRef,IF($V216="Sub",N($X216),N($M216))&lt;1),"Vencida"&amp;" · ","")&amp;IF(AND(ObsObligatoria="Sí",ISNUMBER($AN216),$AN216&lt;FechaRef,IF($V216="Sub",N($X216),N($M216))&lt;1,$Q216=""),"Vencida sin observación"&amp;" · ",""))="","✔ OK","⚠ "&amp;LEFT(IF($C216="","Falta el nombre de la actividad"&amp;" · ","")&amp;IF(AND($V216="Sub",N($U216)=0),"Subactividad sin macroactividad arriba"&amp;" · ","")&amp;IF($AM216="","Sin fecha de inicio"&amp;" · ","")&amp;IF($AN216="","Sin fecha límite"&amp;" · ","")&amp;IF(AND(LEFT($C216,11)="[Jefatura] ",N($AL216)=0),"No se encuentra en la hoja de la jefatura (elíjala de nuevo en la lista)"&amp;" · ","")&amp;IF(OR(AND($E216&lt;&gt;"",NOT(ISNUMBER($E216))),AND($F216&lt;&gt;"",NOT(ISNUMBER($F216))),AND($G216&lt;&gt;"",NOT(ISNUMBER($G216)))),"Fecha no válida"&amp;" · ","")&amp;IF(AND(ISNUMBER($AM216),ISNUMBER($AN216),$AM216&gt;$AN216),"Inicio posterior a fecha límite"&amp;" · ","")&amp;IF(AND($V216="Macro",$H216&lt;&gt;"",OR(NOT(ISNUMBER($H216)),$H216&lt;0,$H216&gt;1)),"Peso fuera de rango"&amp;" · ","")&amp;IF(AND($V216="Sub",$H216&lt;&gt;""),"Las subactividades no llevan peso (valen igual dentro de su macroactividad)"&amp;" · ","")&amp;IF(AND(N($W216)&gt;0,COUNT($I216:$L216)&gt;0),"Con subactividades: deje vacías las semanas (se calculan solas)"&amp;" · ","")&amp;IF((COUNTIF($I216:$L216,"&gt;1")+COUNTIF($I216:$L216,"&lt;0")+COUNTA($I216:$L216)-COUNT($I216:$L216))&gt;0,"Avance fuera de rango 0-100%"&amp;" · ","")&amp;IF(OR(AND($J216&lt;&gt;"",$J216&lt;$I216),AND($K216&lt;&gt;"",$K216&lt;MAX($I216:$J216)),AND($L216&lt;&gt;"",$L216&lt;MAX($I216:$K216))),"Avance semanal decreciente"&amp;" · ","")&amp;IF(AND(ISNUMBER($AN216),$AN216&lt;FechaRef,IF($V216="Sub",N($X216),N($M216))&lt;1),"Vencida"&amp;" · ","")&amp;IF(AND(ObsObligatoria="Sí",ISNUMBER($AN216),$AN216&lt;FechaRef,IF($V216="Sub",N($X216),N($M216))&lt;1,$Q216=""),"Vencida sin observación"&amp;" · ",""),LEN(IF($C216="","Falta el nombre de la actividad"&amp;" · ","")&amp;IF(AND($V216="Sub",N($U216)=0),"Subactividad sin macroactividad arriba"&amp;" · ","")&amp;IF($AM216="","Sin fecha de inicio"&amp;" · ","")&amp;IF($AN216="","Sin fecha límite"&amp;" · ","")&amp;IF(AND(LEFT($C216,11)="[Jefatura] ",N($AL216)=0),"No se encuentra en la hoja de la jefatura (elíjala de nuevo en la lista)"&amp;" · ","")&amp;IF(OR(AND($E216&lt;&gt;"",NOT(ISNUMBER($E216))),AND($F216&lt;&gt;"",NOT(ISNUMBER($F216))),AND($G216&lt;&gt;"",NOT(ISNUMBER($G216)))),"Fecha no válida"&amp;" · ","")&amp;IF(AND(ISNUMBER($AM216),ISNUMBER($AN216),$AM216&gt;$AN216),"Inicio posterior a fecha límite"&amp;" · ","")&amp;IF(AND($V216="Macro",$H216&lt;&gt;"",OR(NOT(ISNUMBER($H216)),$H216&lt;0,$H216&gt;1)),"Peso fuera de rango"&amp;" · ","")&amp;IF(AND($V216="Sub",$H216&lt;&gt;""),"Las subactividades no llevan peso (valen igual dentro de su macroactividad)"&amp;" · ","")&amp;IF(AND(N($W216)&gt;0,COUNT($I216:$L216)&gt;0),"Con subactividades: deje vacías las semanas (se calculan solas)"&amp;" · ","")&amp;IF((COUNTIF($I216:$L216,"&gt;1")+COUNTIF($I216:$L216,"&lt;0")+COUNTA($I216:$L216)-COUNT($I216:$L216))&gt;0,"Avance fuera de rango 0-100%"&amp;" · ","")&amp;IF(OR(AND($J216&lt;&gt;"",$J216&lt;$I216),AND($K216&lt;&gt;"",$K216&lt;MAX($I216:$J216)),AND($L216&lt;&gt;"",$L216&lt;MAX($I216:$K216))),"Avance semanal decreciente"&amp;" · ","")&amp;IF(AND(ISNUMBER($AN216),$AN216&lt;FechaRef,IF($V216="Sub",N($X216),N($M216))&lt;1),"Vencida"&amp;" · ","")&amp;IF(AND(ObsObligatoria="Sí",ISNUMBER($AN216),$AN216&lt;FechaRef,IF($V216="Sub",N($X216),N($M216))&lt;1,$Q216=""),"Vencida sin observación"&amp;" · ",""))-3)))</f>
        <v/>
      </c>
      <c r="S216" s="64">
        <f>IF(NOT((COUNTA($B216:$D216)+COUNTA($G216:$L216)+COUNTA($Q216))&gt;0),"",IF(AND($V216="Sub",N($U216)&gt;0),IF(ISNUMBER(INDEX($AM$5:$AM$1000,$U216-4)),DATE(YEAR(INDEX($AM$5:$AM$1000,$U216-4)),MONTH(INDEX($AM$5:$AM$1000,$U216-4)),1),IF(ISNUMBER(INDEX($AN$5:$AN$1000,$U216-4)),DATE(YEAR(INDEX($AN$5:$AN$1000,$U216-4)),MONTH(INDEX($AN$5:$AN$1000,$U216-4)),1),MesCiclo)),IF(ISNUMBER($AM216),DATE(YEAR($AM216),MONTH($AM216),1),IF(ISNUMBER($AN216),DATE(YEAR($AN216),MONTH($AN216),1),MesCiclo))))</f>
        <v/>
      </c>
      <c r="T216" s="62">
        <f>IF(OR($S216="",$S216&lt;&gt;MesCiclo,$V216&lt;&gt;"Macro"),"",COUNTIFS($S$5:$S216,MesCiclo,$V$5:$V216,"Macro"))</f>
        <v/>
      </c>
      <c r="U216" s="62">
        <f>IF($V216="","",IF($V216="Macro",ROW(),IFERROR(LOOKUP(2,1/($V$5:$V216="Macro"),ROW($V$5:$V216)),0)))</f>
        <v/>
      </c>
      <c r="V216" s="62">
        <f>IF(NOT((COUNTA($B216:$D216)+COUNTA($G216:$L216)+COUNTA($Q216))&gt;0),"",IF($B216="Subactividad","Sub","Macro"))</f>
        <v/>
      </c>
      <c r="W216" s="62">
        <f>IF($V216="Macro",COUNTIFS($U$5:$U$1000,ROW(),$V$5:$V$1000,"Sub"),"")</f>
        <v/>
      </c>
      <c r="X216" s="62">
        <f>IF($V216="","",IF(ISNUMBER($G216),1,IFERROR(LOOKUP(2,1/($I216:$L216&lt;&gt;""),$I216:$L216),0)))</f>
        <v/>
      </c>
      <c r="Y216" s="62">
        <f>IF($V216="","",IF(AND(ISNUMBER($G216),$G216&lt;=IF($S216=MesCiclo,InicioCiclo,$S216+MOD(2-WEEKDAY($S216),7))+6),1,IF(ISNUMBER($I216),$I216,0)))</f>
        <v/>
      </c>
      <c r="Z216" s="62">
        <f>IF($V216="","",IF(AND(ISNUMBER($G216),$G216&lt;=IF($S216=MesCiclo,InicioCiclo,$S216+MOD(2-WEEKDAY($S216),7))+13),1,IF(ISNUMBER($J216),$J216,$Y216)))</f>
        <v/>
      </c>
      <c r="AA216" s="62">
        <f>IF($V216="","",IF(AND(ISNUMBER($G216),$G216&lt;=IF($S216=MesCiclo,InicioCiclo,$S216+MOD(2-WEEKDAY($S216),7))+20),1,IF(ISNUMBER($K216),$K216,$Z216)))</f>
        <v/>
      </c>
      <c r="AB216" s="62">
        <f>IF($V216="","",IF(AND(ISNUMBER($G216),$G216&lt;=IF($S216=MesCiclo,InicioCiclo,$S216+MOD(2-WEEKDAY($S216),7))+27),1,IF(ISNUMBER($L216),$L216,$AA216)))</f>
        <v/>
      </c>
      <c r="AC216" s="62">
        <f>IF($V216="","",IF(AND(ISNUMBER($G216),$G216&lt;=IF($S216=MesCiclo,InicioCiclo,$S216+MOD(2-WEEKDAY($S216),7))+6),1,IF(N($W216)&gt;0,AVERAGEIFS($Y$5:$Y$1000,$U$5:$U$1000,ROW(),$V$5:$V$1000,"Sub"),$Y216)))</f>
        <v/>
      </c>
      <c r="AD216" s="62">
        <f>IF($V216="","",IF(AND(ISNUMBER($G216),$G216&lt;=IF($S216=MesCiclo,InicioCiclo,$S216+MOD(2-WEEKDAY($S216),7))+13),1,IF(N($W216)&gt;0,AVERAGEIFS($Z$5:$Z$1000,$U$5:$U$1000,ROW(),$V$5:$V$1000,"Sub"),$Z216)))</f>
        <v/>
      </c>
      <c r="AE216" s="62">
        <f>IF($V216="","",IF(AND(ISNUMBER($G216),$G216&lt;=IF($S216=MesCiclo,InicioCiclo,$S216+MOD(2-WEEKDAY($S216),7))+20),1,IF(N($W216)&gt;0,AVERAGEIFS($AA$5:$AA$1000,$U$5:$U$1000,ROW(),$V$5:$V$1000,"Sub"),$AA216)))</f>
        <v/>
      </c>
      <c r="AF216" s="62">
        <f>IF($V216="","",IF(AND(ISNUMBER($G216),$G216&lt;=IF($S216=MesCiclo,InicioCiclo,$S216+MOD(2-WEEKDAY($S216),7))+27),1,IF(N($W216)&gt;0,AVERAGEIFS($AB$5:$AB$1000,$U$5:$U$1000,ROW(),$V$5:$V$1000,"Sub"),$AB216)))</f>
        <v/>
      </c>
      <c r="AG216" s="62">
        <f>IF($V216&lt;&gt;"Macro","",IF(COUNTIFS($S$5:$S$1000,$S216,$V$5:$V$1000,"Macro",$H$5:$H$1000,"&gt;0")=0,1/COUNTIFS($S$5:$S$1000,$S216,$V$5:$V$1000,"Macro"),IF(AND(ISNUMBER($H216),N($H216)&gt;0),$H216,SUMIFS($H$5:$H$1000,$S$5:$S$1000,$S216,$V$5:$V$1000,"Macro")/COUNTIFS($S$5:$S$1000,$S216,$V$5:$V$1000,"Macro",$H$5:$H$1000,"&gt;0"))/(COUNTIFS($S$5:$S$1000,$S216,$V$5:$V$1000,"Macro")*SUMIFS($H$5:$H$1000,$S$5:$S$1000,$S216,$V$5:$V$1000,"Macro")/COUNTIFS($S$5:$S$1000,$S216,$V$5:$V$1000,"Macro",$H$5:$H$1000,"&gt;0"))))</f>
        <v/>
      </c>
      <c r="AH216" s="62" t="n"/>
      <c r="AI216" s="62" t="n"/>
      <c r="AJ216" s="62" t="n"/>
      <c r="AK216" s="62" t="n"/>
      <c r="AL216" s="62">
        <f>IF(LEFT($C216,11)="[Jefatura] ",IFERROR(MATCH("Riesgo Financiero|"&amp;MID($C216,12,500),rDname_ADM,0),0),"")</f>
        <v/>
      </c>
      <c r="AM216" s="62">
        <f>IF(N($AL216)&gt;0,INDEX(rIni_ADM,$AL216),IF(ISNUMBER($E216),$E216,""))</f>
        <v/>
      </c>
      <c r="AN216" s="62">
        <f>IF(N($AL216)&gt;0,INDEX(rLim_ADM,$AL216),IF(ISNUMBER($F216),$F216,""))</f>
        <v/>
      </c>
    </row>
    <row r="217">
      <c r="A217" s="56">
        <f>IF(NOT((COUNTA($B217:$D217)+COUNTA($G217:$L217)+COUNTA($Q217))&gt;0),"",IF($V217="Macro",COUNTIFS($V$5:$V217,"Macro",$S$5:$S217,$S217),IF(N($U217)=0,"?",COUNTIFS(INDEX($V$5:$V$1000,1):INDEX($V$5:$V$1000,$U217-4),"Macro",INDEX($S$5:$S$1000,1):INDEX($S$5:$S$1000,$U217-4),INDEX($S$5:$S$1000,$U217-4))&amp;"."&amp;COUNTIFS($U$5:$U217,$U217,$V$5:$V217,"Sub"))))</f>
        <v/>
      </c>
      <c r="B217" s="57" t="n"/>
      <c r="C217" s="58" t="n"/>
      <c r="D217" s="58" t="n"/>
      <c r="E217" s="59">
        <f>IF(N($AL217)&gt;0,INDEX(rIni_ADM,$AL217),"")</f>
        <v/>
      </c>
      <c r="F217" s="59">
        <f>IF(N($AL217)&gt;0,INDEX(rLim_ADM,$AL217),"")</f>
        <v/>
      </c>
      <c r="G217" s="59" t="n"/>
      <c r="H217" s="60" t="n"/>
      <c r="I217" s="60" t="n"/>
      <c r="J217" s="60" t="n"/>
      <c r="K217" s="60" t="n"/>
      <c r="L217" s="60" t="n"/>
      <c r="M217" s="61">
        <f>IF(NOT((COUNTA($B217:$D217)+COUNTA($G217:$L217)+COUNTA($Q217))&gt;0),"",IF($V217="Sub",IFERROR($X217/INDEX($W$5:$W$1000,$U217-4),""),IF(ISNUMBER($G217),1,IF(N($W217)&gt;0,AVERAGEIFS($X$5:$X$1000,$U$5:$U$1000,ROW(),$V$5:$V$1000,"Sub"),$X217))))</f>
        <v/>
      </c>
      <c r="N217" s="56">
        <f>IF(OR($M217="",$V217="Sub"),"",IF($M217&gt;=1,"Completado",IF($M217&gt;0,"En curso","Pendiente")))</f>
        <v/>
      </c>
      <c r="O217" s="56">
        <f>IF(OR(NOT((COUNTA($B217:$D217)+COUNTA($G217:$L217)+COUNTA($Q217))&gt;0),$V217="Sub"),"",IF(ISNUMBER($G217),IF(AND(ISNUMBER($AN217),$G217&gt;$AN217),"Cumplida con "&amp;($G217-$AN217)&amp;IF($G217-$AN217=1," día"," días")&amp;" de retraso","Cumplida"),IF(N($M217)&gt;=1,"Cumplida",IF(NOT(ISNUMBER($AN217)),"Sin fecha límite",IF($AN217&lt;FechaRef,"Vencida hace "&amp;(FechaRef-$AN217)&amp;IF(FechaRef-$AN217=1," día"," días"),IF($AN217=FechaRef,"Vence hoy",IF($AN217-FechaRef&lt;=DiasAlerta,"Vence en "&amp;($AN217-FechaRef)&amp;IF($AN217-FechaRef=1," día"," días"),"En plazo")))))))</f>
        <v/>
      </c>
      <c r="P217" s="62" t="n"/>
      <c r="Q217" s="58" t="n"/>
      <c r="R217" s="63">
        <f>IF(NOT((COUNTA($B217:$D217)+COUNTA($G217:$L217)+COUNTA($Q217))&gt;0),"",IF((IF($C217="","Falta el nombre de la actividad"&amp;" · ","")&amp;IF(AND($V217="Sub",N($U217)=0),"Subactividad sin macroactividad arriba"&amp;" · ","")&amp;IF($AM217="","Sin fecha de inicio"&amp;" · ","")&amp;IF($AN217="","Sin fecha límite"&amp;" · ","")&amp;IF(AND(LEFT($C217,11)="[Jefatura] ",N($AL217)=0),"No se encuentra en la hoja de la jefatura (elíjala de nuevo en la lista)"&amp;" · ","")&amp;IF(OR(AND($E217&lt;&gt;"",NOT(ISNUMBER($E217))),AND($F217&lt;&gt;"",NOT(ISNUMBER($F217))),AND($G217&lt;&gt;"",NOT(ISNUMBER($G217)))),"Fecha no válida"&amp;" · ","")&amp;IF(AND(ISNUMBER($AM217),ISNUMBER($AN217),$AM217&gt;$AN217),"Inicio posterior a fecha límite"&amp;" · ","")&amp;IF(AND($V217="Macro",$H217&lt;&gt;"",OR(NOT(ISNUMBER($H217)),$H217&lt;0,$H217&gt;1)),"Peso fuera de rango"&amp;" · ","")&amp;IF(AND($V217="Sub",$H217&lt;&gt;""),"Las subactividades no llevan peso (valen igual dentro de su macroactividad)"&amp;" · ","")&amp;IF(AND(N($W217)&gt;0,COUNT($I217:$L217)&gt;0),"Con subactividades: deje vacías las semanas (se calculan solas)"&amp;" · ","")&amp;IF((COUNTIF($I217:$L217,"&gt;1")+COUNTIF($I217:$L217,"&lt;0")+COUNTA($I217:$L217)-COUNT($I217:$L217))&gt;0,"Avance fuera de rango 0-100%"&amp;" · ","")&amp;IF(OR(AND($J217&lt;&gt;"",$J217&lt;$I217),AND($K217&lt;&gt;"",$K217&lt;MAX($I217:$J217)),AND($L217&lt;&gt;"",$L217&lt;MAX($I217:$K217))),"Avance semanal decreciente"&amp;" · ","")&amp;IF(AND(ISNUMBER($AN217),$AN217&lt;FechaRef,IF($V217="Sub",N($X217),N($M217))&lt;1),"Vencida"&amp;" · ","")&amp;IF(AND(ObsObligatoria="Sí",ISNUMBER($AN217),$AN217&lt;FechaRef,IF($V217="Sub",N($X217),N($M217))&lt;1,$Q217=""),"Vencida sin observación"&amp;" · ",""))="","✔ OK","⚠ "&amp;LEFT(IF($C217="","Falta el nombre de la actividad"&amp;" · ","")&amp;IF(AND($V217="Sub",N($U217)=0),"Subactividad sin macroactividad arriba"&amp;" · ","")&amp;IF($AM217="","Sin fecha de inicio"&amp;" · ","")&amp;IF($AN217="","Sin fecha límite"&amp;" · ","")&amp;IF(AND(LEFT($C217,11)="[Jefatura] ",N($AL217)=0),"No se encuentra en la hoja de la jefatura (elíjala de nuevo en la lista)"&amp;" · ","")&amp;IF(OR(AND($E217&lt;&gt;"",NOT(ISNUMBER($E217))),AND($F217&lt;&gt;"",NOT(ISNUMBER($F217))),AND($G217&lt;&gt;"",NOT(ISNUMBER($G217)))),"Fecha no válida"&amp;" · ","")&amp;IF(AND(ISNUMBER($AM217),ISNUMBER($AN217),$AM217&gt;$AN217),"Inicio posterior a fecha límite"&amp;" · ","")&amp;IF(AND($V217="Macro",$H217&lt;&gt;"",OR(NOT(ISNUMBER($H217)),$H217&lt;0,$H217&gt;1)),"Peso fuera de rango"&amp;" · ","")&amp;IF(AND($V217="Sub",$H217&lt;&gt;""),"Las subactividades no llevan peso (valen igual dentro de su macroactividad)"&amp;" · ","")&amp;IF(AND(N($W217)&gt;0,COUNT($I217:$L217)&gt;0),"Con subactividades: deje vacías las semanas (se calculan solas)"&amp;" · ","")&amp;IF((COUNTIF($I217:$L217,"&gt;1")+COUNTIF($I217:$L217,"&lt;0")+COUNTA($I217:$L217)-COUNT($I217:$L217))&gt;0,"Avance fuera de rango 0-100%"&amp;" · ","")&amp;IF(OR(AND($J217&lt;&gt;"",$J217&lt;$I217),AND($K217&lt;&gt;"",$K217&lt;MAX($I217:$J217)),AND($L217&lt;&gt;"",$L217&lt;MAX($I217:$K217))),"Avance semanal decreciente"&amp;" · ","")&amp;IF(AND(ISNUMBER($AN217),$AN217&lt;FechaRef,IF($V217="Sub",N($X217),N($M217))&lt;1),"Vencida"&amp;" · ","")&amp;IF(AND(ObsObligatoria="Sí",ISNUMBER($AN217),$AN217&lt;FechaRef,IF($V217="Sub",N($X217),N($M217))&lt;1,$Q217=""),"Vencida sin observación"&amp;" · ",""),LEN(IF($C217="","Falta el nombre de la actividad"&amp;" · ","")&amp;IF(AND($V217="Sub",N($U217)=0),"Subactividad sin macroactividad arriba"&amp;" · ","")&amp;IF($AM217="","Sin fecha de inicio"&amp;" · ","")&amp;IF($AN217="","Sin fecha límite"&amp;" · ","")&amp;IF(AND(LEFT($C217,11)="[Jefatura] ",N($AL217)=0),"No se encuentra en la hoja de la jefatura (elíjala de nuevo en la lista)"&amp;" · ","")&amp;IF(OR(AND($E217&lt;&gt;"",NOT(ISNUMBER($E217))),AND($F217&lt;&gt;"",NOT(ISNUMBER($F217))),AND($G217&lt;&gt;"",NOT(ISNUMBER($G217)))),"Fecha no válida"&amp;" · ","")&amp;IF(AND(ISNUMBER($AM217),ISNUMBER($AN217),$AM217&gt;$AN217),"Inicio posterior a fecha límite"&amp;" · ","")&amp;IF(AND($V217="Macro",$H217&lt;&gt;"",OR(NOT(ISNUMBER($H217)),$H217&lt;0,$H217&gt;1)),"Peso fuera de rango"&amp;" · ","")&amp;IF(AND($V217="Sub",$H217&lt;&gt;""),"Las subactividades no llevan peso (valen igual dentro de su macroactividad)"&amp;" · ","")&amp;IF(AND(N($W217)&gt;0,COUNT($I217:$L217)&gt;0),"Con subactividades: deje vacías las semanas (se calculan solas)"&amp;" · ","")&amp;IF((COUNTIF($I217:$L217,"&gt;1")+COUNTIF($I217:$L217,"&lt;0")+COUNTA($I217:$L217)-COUNT($I217:$L217))&gt;0,"Avance fuera de rango 0-100%"&amp;" · ","")&amp;IF(OR(AND($J217&lt;&gt;"",$J217&lt;$I217),AND($K217&lt;&gt;"",$K217&lt;MAX($I217:$J217)),AND($L217&lt;&gt;"",$L217&lt;MAX($I217:$K217))),"Avance semanal decreciente"&amp;" · ","")&amp;IF(AND(ISNUMBER($AN217),$AN217&lt;FechaRef,IF($V217="Sub",N($X217),N($M217))&lt;1),"Vencida"&amp;" · ","")&amp;IF(AND(ObsObligatoria="Sí",ISNUMBER($AN217),$AN217&lt;FechaRef,IF($V217="Sub",N($X217),N($M217))&lt;1,$Q217=""),"Vencida sin observación"&amp;" · ",""))-3)))</f>
        <v/>
      </c>
      <c r="S217" s="64">
        <f>IF(NOT((COUNTA($B217:$D217)+COUNTA($G217:$L217)+COUNTA($Q217))&gt;0),"",IF(AND($V217="Sub",N($U217)&gt;0),IF(ISNUMBER(INDEX($AM$5:$AM$1000,$U217-4)),DATE(YEAR(INDEX($AM$5:$AM$1000,$U217-4)),MONTH(INDEX($AM$5:$AM$1000,$U217-4)),1),IF(ISNUMBER(INDEX($AN$5:$AN$1000,$U217-4)),DATE(YEAR(INDEX($AN$5:$AN$1000,$U217-4)),MONTH(INDEX($AN$5:$AN$1000,$U217-4)),1),MesCiclo)),IF(ISNUMBER($AM217),DATE(YEAR($AM217),MONTH($AM217),1),IF(ISNUMBER($AN217),DATE(YEAR($AN217),MONTH($AN217),1),MesCiclo))))</f>
        <v/>
      </c>
      <c r="T217" s="62">
        <f>IF(OR($S217="",$S217&lt;&gt;MesCiclo,$V217&lt;&gt;"Macro"),"",COUNTIFS($S$5:$S217,MesCiclo,$V$5:$V217,"Macro"))</f>
        <v/>
      </c>
      <c r="U217" s="62">
        <f>IF($V217="","",IF($V217="Macro",ROW(),IFERROR(LOOKUP(2,1/($V$5:$V217="Macro"),ROW($V$5:$V217)),0)))</f>
        <v/>
      </c>
      <c r="V217" s="62">
        <f>IF(NOT((COUNTA($B217:$D217)+COUNTA($G217:$L217)+COUNTA($Q217))&gt;0),"",IF($B217="Subactividad","Sub","Macro"))</f>
        <v/>
      </c>
      <c r="W217" s="62">
        <f>IF($V217="Macro",COUNTIFS($U$5:$U$1000,ROW(),$V$5:$V$1000,"Sub"),"")</f>
        <v/>
      </c>
      <c r="X217" s="62">
        <f>IF($V217="","",IF(ISNUMBER($G217),1,IFERROR(LOOKUP(2,1/($I217:$L217&lt;&gt;""),$I217:$L217),0)))</f>
        <v/>
      </c>
      <c r="Y217" s="62">
        <f>IF($V217="","",IF(AND(ISNUMBER($G217),$G217&lt;=IF($S217=MesCiclo,InicioCiclo,$S217+MOD(2-WEEKDAY($S217),7))+6),1,IF(ISNUMBER($I217),$I217,0)))</f>
        <v/>
      </c>
      <c r="Z217" s="62">
        <f>IF($V217="","",IF(AND(ISNUMBER($G217),$G217&lt;=IF($S217=MesCiclo,InicioCiclo,$S217+MOD(2-WEEKDAY($S217),7))+13),1,IF(ISNUMBER($J217),$J217,$Y217)))</f>
        <v/>
      </c>
      <c r="AA217" s="62">
        <f>IF($V217="","",IF(AND(ISNUMBER($G217),$G217&lt;=IF($S217=MesCiclo,InicioCiclo,$S217+MOD(2-WEEKDAY($S217),7))+20),1,IF(ISNUMBER($K217),$K217,$Z217)))</f>
        <v/>
      </c>
      <c r="AB217" s="62">
        <f>IF($V217="","",IF(AND(ISNUMBER($G217),$G217&lt;=IF($S217=MesCiclo,InicioCiclo,$S217+MOD(2-WEEKDAY($S217),7))+27),1,IF(ISNUMBER($L217),$L217,$AA217)))</f>
        <v/>
      </c>
      <c r="AC217" s="62">
        <f>IF($V217="","",IF(AND(ISNUMBER($G217),$G217&lt;=IF($S217=MesCiclo,InicioCiclo,$S217+MOD(2-WEEKDAY($S217),7))+6),1,IF(N($W217)&gt;0,AVERAGEIFS($Y$5:$Y$1000,$U$5:$U$1000,ROW(),$V$5:$V$1000,"Sub"),$Y217)))</f>
        <v/>
      </c>
      <c r="AD217" s="62">
        <f>IF($V217="","",IF(AND(ISNUMBER($G217),$G217&lt;=IF($S217=MesCiclo,InicioCiclo,$S217+MOD(2-WEEKDAY($S217),7))+13),1,IF(N($W217)&gt;0,AVERAGEIFS($Z$5:$Z$1000,$U$5:$U$1000,ROW(),$V$5:$V$1000,"Sub"),$Z217)))</f>
        <v/>
      </c>
      <c r="AE217" s="62">
        <f>IF($V217="","",IF(AND(ISNUMBER($G217),$G217&lt;=IF($S217=MesCiclo,InicioCiclo,$S217+MOD(2-WEEKDAY($S217),7))+20),1,IF(N($W217)&gt;0,AVERAGEIFS($AA$5:$AA$1000,$U$5:$U$1000,ROW(),$V$5:$V$1000,"Sub"),$AA217)))</f>
        <v/>
      </c>
      <c r="AF217" s="62">
        <f>IF($V217="","",IF(AND(ISNUMBER($G217),$G217&lt;=IF($S217=MesCiclo,InicioCiclo,$S217+MOD(2-WEEKDAY($S217),7))+27),1,IF(N($W217)&gt;0,AVERAGEIFS($AB$5:$AB$1000,$U$5:$U$1000,ROW(),$V$5:$V$1000,"Sub"),$AB217)))</f>
        <v/>
      </c>
      <c r="AG217" s="62">
        <f>IF($V217&lt;&gt;"Macro","",IF(COUNTIFS($S$5:$S$1000,$S217,$V$5:$V$1000,"Macro",$H$5:$H$1000,"&gt;0")=0,1/COUNTIFS($S$5:$S$1000,$S217,$V$5:$V$1000,"Macro"),IF(AND(ISNUMBER($H217),N($H217)&gt;0),$H217,SUMIFS($H$5:$H$1000,$S$5:$S$1000,$S217,$V$5:$V$1000,"Macro")/COUNTIFS($S$5:$S$1000,$S217,$V$5:$V$1000,"Macro",$H$5:$H$1000,"&gt;0"))/(COUNTIFS($S$5:$S$1000,$S217,$V$5:$V$1000,"Macro")*SUMIFS($H$5:$H$1000,$S$5:$S$1000,$S217,$V$5:$V$1000,"Macro")/COUNTIFS($S$5:$S$1000,$S217,$V$5:$V$1000,"Macro",$H$5:$H$1000,"&gt;0"))))</f>
        <v/>
      </c>
      <c r="AH217" s="62" t="n"/>
      <c r="AI217" s="62" t="n"/>
      <c r="AJ217" s="62" t="n"/>
      <c r="AK217" s="62" t="n"/>
      <c r="AL217" s="62">
        <f>IF(LEFT($C217,11)="[Jefatura] ",IFERROR(MATCH("Riesgo Financiero|"&amp;MID($C217,12,500),rDname_ADM,0),0),"")</f>
        <v/>
      </c>
      <c r="AM217" s="62">
        <f>IF(N($AL217)&gt;0,INDEX(rIni_ADM,$AL217),IF(ISNUMBER($E217),$E217,""))</f>
        <v/>
      </c>
      <c r="AN217" s="62">
        <f>IF(N($AL217)&gt;0,INDEX(rLim_ADM,$AL217),IF(ISNUMBER($F217),$F217,""))</f>
        <v/>
      </c>
    </row>
    <row r="218">
      <c r="A218" s="56">
        <f>IF(NOT((COUNTA($B218:$D218)+COUNTA($G218:$L218)+COUNTA($Q218))&gt;0),"",IF($V218="Macro",COUNTIFS($V$5:$V218,"Macro",$S$5:$S218,$S218),IF(N($U218)=0,"?",COUNTIFS(INDEX($V$5:$V$1000,1):INDEX($V$5:$V$1000,$U218-4),"Macro",INDEX($S$5:$S$1000,1):INDEX($S$5:$S$1000,$U218-4),INDEX($S$5:$S$1000,$U218-4))&amp;"."&amp;COUNTIFS($U$5:$U218,$U218,$V$5:$V218,"Sub"))))</f>
        <v/>
      </c>
      <c r="B218" s="57" t="n"/>
      <c r="C218" s="58" t="n"/>
      <c r="D218" s="58" t="n"/>
      <c r="E218" s="59">
        <f>IF(N($AL218)&gt;0,INDEX(rIni_ADM,$AL218),"")</f>
        <v/>
      </c>
      <c r="F218" s="59">
        <f>IF(N($AL218)&gt;0,INDEX(rLim_ADM,$AL218),"")</f>
        <v/>
      </c>
      <c r="G218" s="59" t="n"/>
      <c r="H218" s="60" t="n"/>
      <c r="I218" s="60" t="n"/>
      <c r="J218" s="60" t="n"/>
      <c r="K218" s="60" t="n"/>
      <c r="L218" s="60" t="n"/>
      <c r="M218" s="61">
        <f>IF(NOT((COUNTA($B218:$D218)+COUNTA($G218:$L218)+COUNTA($Q218))&gt;0),"",IF($V218="Sub",IFERROR($X218/INDEX($W$5:$W$1000,$U218-4),""),IF(ISNUMBER($G218),1,IF(N($W218)&gt;0,AVERAGEIFS($X$5:$X$1000,$U$5:$U$1000,ROW(),$V$5:$V$1000,"Sub"),$X218))))</f>
        <v/>
      </c>
      <c r="N218" s="56">
        <f>IF(OR($M218="",$V218="Sub"),"",IF($M218&gt;=1,"Completado",IF($M218&gt;0,"En curso","Pendiente")))</f>
        <v/>
      </c>
      <c r="O218" s="56">
        <f>IF(OR(NOT((COUNTA($B218:$D218)+COUNTA($G218:$L218)+COUNTA($Q218))&gt;0),$V218="Sub"),"",IF(ISNUMBER($G218),IF(AND(ISNUMBER($AN218),$G218&gt;$AN218),"Cumplida con "&amp;($G218-$AN218)&amp;IF($G218-$AN218=1," día"," días")&amp;" de retraso","Cumplida"),IF(N($M218)&gt;=1,"Cumplida",IF(NOT(ISNUMBER($AN218)),"Sin fecha límite",IF($AN218&lt;FechaRef,"Vencida hace "&amp;(FechaRef-$AN218)&amp;IF(FechaRef-$AN218=1," día"," días"),IF($AN218=FechaRef,"Vence hoy",IF($AN218-FechaRef&lt;=DiasAlerta,"Vence en "&amp;($AN218-FechaRef)&amp;IF($AN218-FechaRef=1," día"," días"),"En plazo")))))))</f>
        <v/>
      </c>
      <c r="P218" s="62" t="n"/>
      <c r="Q218" s="58" t="n"/>
      <c r="R218" s="63">
        <f>IF(NOT((COUNTA($B218:$D218)+COUNTA($G218:$L218)+COUNTA($Q218))&gt;0),"",IF((IF($C218="","Falta el nombre de la actividad"&amp;" · ","")&amp;IF(AND($V218="Sub",N($U218)=0),"Subactividad sin macroactividad arriba"&amp;" · ","")&amp;IF($AM218="","Sin fecha de inicio"&amp;" · ","")&amp;IF($AN218="","Sin fecha límite"&amp;" · ","")&amp;IF(AND(LEFT($C218,11)="[Jefatura] ",N($AL218)=0),"No se encuentra en la hoja de la jefatura (elíjala de nuevo en la lista)"&amp;" · ","")&amp;IF(OR(AND($E218&lt;&gt;"",NOT(ISNUMBER($E218))),AND($F218&lt;&gt;"",NOT(ISNUMBER($F218))),AND($G218&lt;&gt;"",NOT(ISNUMBER($G218)))),"Fecha no válida"&amp;" · ","")&amp;IF(AND(ISNUMBER($AM218),ISNUMBER($AN218),$AM218&gt;$AN218),"Inicio posterior a fecha límite"&amp;" · ","")&amp;IF(AND($V218="Macro",$H218&lt;&gt;"",OR(NOT(ISNUMBER($H218)),$H218&lt;0,$H218&gt;1)),"Peso fuera de rango"&amp;" · ","")&amp;IF(AND($V218="Sub",$H218&lt;&gt;""),"Las subactividades no llevan peso (valen igual dentro de su macroactividad)"&amp;" · ","")&amp;IF(AND(N($W218)&gt;0,COUNT($I218:$L218)&gt;0),"Con subactividades: deje vacías las semanas (se calculan solas)"&amp;" · ","")&amp;IF((COUNTIF($I218:$L218,"&gt;1")+COUNTIF($I218:$L218,"&lt;0")+COUNTA($I218:$L218)-COUNT($I218:$L218))&gt;0,"Avance fuera de rango 0-100%"&amp;" · ","")&amp;IF(OR(AND($J218&lt;&gt;"",$J218&lt;$I218),AND($K218&lt;&gt;"",$K218&lt;MAX($I218:$J218)),AND($L218&lt;&gt;"",$L218&lt;MAX($I218:$K218))),"Avance semanal decreciente"&amp;" · ","")&amp;IF(AND(ISNUMBER($AN218),$AN218&lt;FechaRef,IF($V218="Sub",N($X218),N($M218))&lt;1),"Vencida"&amp;" · ","")&amp;IF(AND(ObsObligatoria="Sí",ISNUMBER($AN218),$AN218&lt;FechaRef,IF($V218="Sub",N($X218),N($M218))&lt;1,$Q218=""),"Vencida sin observación"&amp;" · ",""))="","✔ OK","⚠ "&amp;LEFT(IF($C218="","Falta el nombre de la actividad"&amp;" · ","")&amp;IF(AND($V218="Sub",N($U218)=0),"Subactividad sin macroactividad arriba"&amp;" · ","")&amp;IF($AM218="","Sin fecha de inicio"&amp;" · ","")&amp;IF($AN218="","Sin fecha límite"&amp;" · ","")&amp;IF(AND(LEFT($C218,11)="[Jefatura] ",N($AL218)=0),"No se encuentra en la hoja de la jefatura (elíjala de nuevo en la lista)"&amp;" · ","")&amp;IF(OR(AND($E218&lt;&gt;"",NOT(ISNUMBER($E218))),AND($F218&lt;&gt;"",NOT(ISNUMBER($F218))),AND($G218&lt;&gt;"",NOT(ISNUMBER($G218)))),"Fecha no válida"&amp;" · ","")&amp;IF(AND(ISNUMBER($AM218),ISNUMBER($AN218),$AM218&gt;$AN218),"Inicio posterior a fecha límite"&amp;" · ","")&amp;IF(AND($V218="Macro",$H218&lt;&gt;"",OR(NOT(ISNUMBER($H218)),$H218&lt;0,$H218&gt;1)),"Peso fuera de rango"&amp;" · ","")&amp;IF(AND($V218="Sub",$H218&lt;&gt;""),"Las subactividades no llevan peso (valen igual dentro de su macroactividad)"&amp;" · ","")&amp;IF(AND(N($W218)&gt;0,COUNT($I218:$L218)&gt;0),"Con subactividades: deje vacías las semanas (se calculan solas)"&amp;" · ","")&amp;IF((COUNTIF($I218:$L218,"&gt;1")+COUNTIF($I218:$L218,"&lt;0")+COUNTA($I218:$L218)-COUNT($I218:$L218))&gt;0,"Avance fuera de rango 0-100%"&amp;" · ","")&amp;IF(OR(AND($J218&lt;&gt;"",$J218&lt;$I218),AND($K218&lt;&gt;"",$K218&lt;MAX($I218:$J218)),AND($L218&lt;&gt;"",$L218&lt;MAX($I218:$K218))),"Avance semanal decreciente"&amp;" · ","")&amp;IF(AND(ISNUMBER($AN218),$AN218&lt;FechaRef,IF($V218="Sub",N($X218),N($M218))&lt;1),"Vencida"&amp;" · ","")&amp;IF(AND(ObsObligatoria="Sí",ISNUMBER($AN218),$AN218&lt;FechaRef,IF($V218="Sub",N($X218),N($M218))&lt;1,$Q218=""),"Vencida sin observación"&amp;" · ",""),LEN(IF($C218="","Falta el nombre de la actividad"&amp;" · ","")&amp;IF(AND($V218="Sub",N($U218)=0),"Subactividad sin macroactividad arriba"&amp;" · ","")&amp;IF($AM218="","Sin fecha de inicio"&amp;" · ","")&amp;IF($AN218="","Sin fecha límite"&amp;" · ","")&amp;IF(AND(LEFT($C218,11)="[Jefatura] ",N($AL218)=0),"No se encuentra en la hoja de la jefatura (elíjala de nuevo en la lista)"&amp;" · ","")&amp;IF(OR(AND($E218&lt;&gt;"",NOT(ISNUMBER($E218))),AND($F218&lt;&gt;"",NOT(ISNUMBER($F218))),AND($G218&lt;&gt;"",NOT(ISNUMBER($G218)))),"Fecha no válida"&amp;" · ","")&amp;IF(AND(ISNUMBER($AM218),ISNUMBER($AN218),$AM218&gt;$AN218),"Inicio posterior a fecha límite"&amp;" · ","")&amp;IF(AND($V218="Macro",$H218&lt;&gt;"",OR(NOT(ISNUMBER($H218)),$H218&lt;0,$H218&gt;1)),"Peso fuera de rango"&amp;" · ","")&amp;IF(AND($V218="Sub",$H218&lt;&gt;""),"Las subactividades no llevan peso (valen igual dentro de su macroactividad)"&amp;" · ","")&amp;IF(AND(N($W218)&gt;0,COUNT($I218:$L218)&gt;0),"Con subactividades: deje vacías las semanas (se calculan solas)"&amp;" · ","")&amp;IF((COUNTIF($I218:$L218,"&gt;1")+COUNTIF($I218:$L218,"&lt;0")+COUNTA($I218:$L218)-COUNT($I218:$L218))&gt;0,"Avance fuera de rango 0-100%"&amp;" · ","")&amp;IF(OR(AND($J218&lt;&gt;"",$J218&lt;$I218),AND($K218&lt;&gt;"",$K218&lt;MAX($I218:$J218)),AND($L218&lt;&gt;"",$L218&lt;MAX($I218:$K218))),"Avance semanal decreciente"&amp;" · ","")&amp;IF(AND(ISNUMBER($AN218),$AN218&lt;FechaRef,IF($V218="Sub",N($X218),N($M218))&lt;1),"Vencida"&amp;" · ","")&amp;IF(AND(ObsObligatoria="Sí",ISNUMBER($AN218),$AN218&lt;FechaRef,IF($V218="Sub",N($X218),N($M218))&lt;1,$Q218=""),"Vencida sin observación"&amp;" · ",""))-3)))</f>
        <v/>
      </c>
      <c r="S218" s="64">
        <f>IF(NOT((COUNTA($B218:$D218)+COUNTA($G218:$L218)+COUNTA($Q218))&gt;0),"",IF(AND($V218="Sub",N($U218)&gt;0),IF(ISNUMBER(INDEX($AM$5:$AM$1000,$U218-4)),DATE(YEAR(INDEX($AM$5:$AM$1000,$U218-4)),MONTH(INDEX($AM$5:$AM$1000,$U218-4)),1),IF(ISNUMBER(INDEX($AN$5:$AN$1000,$U218-4)),DATE(YEAR(INDEX($AN$5:$AN$1000,$U218-4)),MONTH(INDEX($AN$5:$AN$1000,$U218-4)),1),MesCiclo)),IF(ISNUMBER($AM218),DATE(YEAR($AM218),MONTH($AM218),1),IF(ISNUMBER($AN218),DATE(YEAR($AN218),MONTH($AN218),1),MesCiclo))))</f>
        <v/>
      </c>
      <c r="T218" s="62">
        <f>IF(OR($S218="",$S218&lt;&gt;MesCiclo,$V218&lt;&gt;"Macro"),"",COUNTIFS($S$5:$S218,MesCiclo,$V$5:$V218,"Macro"))</f>
        <v/>
      </c>
      <c r="U218" s="62">
        <f>IF($V218="","",IF($V218="Macro",ROW(),IFERROR(LOOKUP(2,1/($V$5:$V218="Macro"),ROW($V$5:$V218)),0)))</f>
        <v/>
      </c>
      <c r="V218" s="62">
        <f>IF(NOT((COUNTA($B218:$D218)+COUNTA($G218:$L218)+COUNTA($Q218))&gt;0),"",IF($B218="Subactividad","Sub","Macro"))</f>
        <v/>
      </c>
      <c r="W218" s="62">
        <f>IF($V218="Macro",COUNTIFS($U$5:$U$1000,ROW(),$V$5:$V$1000,"Sub"),"")</f>
        <v/>
      </c>
      <c r="X218" s="62">
        <f>IF($V218="","",IF(ISNUMBER($G218),1,IFERROR(LOOKUP(2,1/($I218:$L218&lt;&gt;""),$I218:$L218),0)))</f>
        <v/>
      </c>
      <c r="Y218" s="62">
        <f>IF($V218="","",IF(AND(ISNUMBER($G218),$G218&lt;=IF($S218=MesCiclo,InicioCiclo,$S218+MOD(2-WEEKDAY($S218),7))+6),1,IF(ISNUMBER($I218),$I218,0)))</f>
        <v/>
      </c>
      <c r="Z218" s="62">
        <f>IF($V218="","",IF(AND(ISNUMBER($G218),$G218&lt;=IF($S218=MesCiclo,InicioCiclo,$S218+MOD(2-WEEKDAY($S218),7))+13),1,IF(ISNUMBER($J218),$J218,$Y218)))</f>
        <v/>
      </c>
      <c r="AA218" s="62">
        <f>IF($V218="","",IF(AND(ISNUMBER($G218),$G218&lt;=IF($S218=MesCiclo,InicioCiclo,$S218+MOD(2-WEEKDAY($S218),7))+20),1,IF(ISNUMBER($K218),$K218,$Z218)))</f>
        <v/>
      </c>
      <c r="AB218" s="62">
        <f>IF($V218="","",IF(AND(ISNUMBER($G218),$G218&lt;=IF($S218=MesCiclo,InicioCiclo,$S218+MOD(2-WEEKDAY($S218),7))+27),1,IF(ISNUMBER($L218),$L218,$AA218)))</f>
        <v/>
      </c>
      <c r="AC218" s="62">
        <f>IF($V218="","",IF(AND(ISNUMBER($G218),$G218&lt;=IF($S218=MesCiclo,InicioCiclo,$S218+MOD(2-WEEKDAY($S218),7))+6),1,IF(N($W218)&gt;0,AVERAGEIFS($Y$5:$Y$1000,$U$5:$U$1000,ROW(),$V$5:$V$1000,"Sub"),$Y218)))</f>
        <v/>
      </c>
      <c r="AD218" s="62">
        <f>IF($V218="","",IF(AND(ISNUMBER($G218),$G218&lt;=IF($S218=MesCiclo,InicioCiclo,$S218+MOD(2-WEEKDAY($S218),7))+13),1,IF(N($W218)&gt;0,AVERAGEIFS($Z$5:$Z$1000,$U$5:$U$1000,ROW(),$V$5:$V$1000,"Sub"),$Z218)))</f>
        <v/>
      </c>
      <c r="AE218" s="62">
        <f>IF($V218="","",IF(AND(ISNUMBER($G218),$G218&lt;=IF($S218=MesCiclo,InicioCiclo,$S218+MOD(2-WEEKDAY($S218),7))+20),1,IF(N($W218)&gt;0,AVERAGEIFS($AA$5:$AA$1000,$U$5:$U$1000,ROW(),$V$5:$V$1000,"Sub"),$AA218)))</f>
        <v/>
      </c>
      <c r="AF218" s="62">
        <f>IF($V218="","",IF(AND(ISNUMBER($G218),$G218&lt;=IF($S218=MesCiclo,InicioCiclo,$S218+MOD(2-WEEKDAY($S218),7))+27),1,IF(N($W218)&gt;0,AVERAGEIFS($AB$5:$AB$1000,$U$5:$U$1000,ROW(),$V$5:$V$1000,"Sub"),$AB218)))</f>
        <v/>
      </c>
      <c r="AG218" s="62">
        <f>IF($V218&lt;&gt;"Macro","",IF(COUNTIFS($S$5:$S$1000,$S218,$V$5:$V$1000,"Macro",$H$5:$H$1000,"&gt;0")=0,1/COUNTIFS($S$5:$S$1000,$S218,$V$5:$V$1000,"Macro"),IF(AND(ISNUMBER($H218),N($H218)&gt;0),$H218,SUMIFS($H$5:$H$1000,$S$5:$S$1000,$S218,$V$5:$V$1000,"Macro")/COUNTIFS($S$5:$S$1000,$S218,$V$5:$V$1000,"Macro",$H$5:$H$1000,"&gt;0"))/(COUNTIFS($S$5:$S$1000,$S218,$V$5:$V$1000,"Macro")*SUMIFS($H$5:$H$1000,$S$5:$S$1000,$S218,$V$5:$V$1000,"Macro")/COUNTIFS($S$5:$S$1000,$S218,$V$5:$V$1000,"Macro",$H$5:$H$1000,"&gt;0"))))</f>
        <v/>
      </c>
      <c r="AH218" s="62" t="n"/>
      <c r="AI218" s="62" t="n"/>
      <c r="AJ218" s="62" t="n"/>
      <c r="AK218" s="62" t="n"/>
      <c r="AL218" s="62">
        <f>IF(LEFT($C218,11)="[Jefatura] ",IFERROR(MATCH("Riesgo Financiero|"&amp;MID($C218,12,500),rDname_ADM,0),0),"")</f>
        <v/>
      </c>
      <c r="AM218" s="62">
        <f>IF(N($AL218)&gt;0,INDEX(rIni_ADM,$AL218),IF(ISNUMBER($E218),$E218,""))</f>
        <v/>
      </c>
      <c r="AN218" s="62">
        <f>IF(N($AL218)&gt;0,INDEX(rLim_ADM,$AL218),IF(ISNUMBER($F218),$F218,""))</f>
        <v/>
      </c>
    </row>
    <row r="219">
      <c r="A219" s="56">
        <f>IF(NOT((COUNTA($B219:$D219)+COUNTA($G219:$L219)+COUNTA($Q219))&gt;0),"",IF($V219="Macro",COUNTIFS($V$5:$V219,"Macro",$S$5:$S219,$S219),IF(N($U219)=0,"?",COUNTIFS(INDEX($V$5:$V$1000,1):INDEX($V$5:$V$1000,$U219-4),"Macro",INDEX($S$5:$S$1000,1):INDEX($S$5:$S$1000,$U219-4),INDEX($S$5:$S$1000,$U219-4))&amp;"."&amp;COUNTIFS($U$5:$U219,$U219,$V$5:$V219,"Sub"))))</f>
        <v/>
      </c>
      <c r="B219" s="57" t="n"/>
      <c r="C219" s="58" t="n"/>
      <c r="D219" s="58" t="n"/>
      <c r="E219" s="59">
        <f>IF(N($AL219)&gt;0,INDEX(rIni_ADM,$AL219),"")</f>
        <v/>
      </c>
      <c r="F219" s="59">
        <f>IF(N($AL219)&gt;0,INDEX(rLim_ADM,$AL219),"")</f>
        <v/>
      </c>
      <c r="G219" s="59" t="n"/>
      <c r="H219" s="60" t="n"/>
      <c r="I219" s="60" t="n"/>
      <c r="J219" s="60" t="n"/>
      <c r="K219" s="60" t="n"/>
      <c r="L219" s="60" t="n"/>
      <c r="M219" s="61">
        <f>IF(NOT((COUNTA($B219:$D219)+COUNTA($G219:$L219)+COUNTA($Q219))&gt;0),"",IF($V219="Sub",IFERROR($X219/INDEX($W$5:$W$1000,$U219-4),""),IF(ISNUMBER($G219),1,IF(N($W219)&gt;0,AVERAGEIFS($X$5:$X$1000,$U$5:$U$1000,ROW(),$V$5:$V$1000,"Sub"),$X219))))</f>
        <v/>
      </c>
      <c r="N219" s="56">
        <f>IF(OR($M219="",$V219="Sub"),"",IF($M219&gt;=1,"Completado",IF($M219&gt;0,"En curso","Pendiente")))</f>
        <v/>
      </c>
      <c r="O219" s="56">
        <f>IF(OR(NOT((COUNTA($B219:$D219)+COUNTA($G219:$L219)+COUNTA($Q219))&gt;0),$V219="Sub"),"",IF(ISNUMBER($G219),IF(AND(ISNUMBER($AN219),$G219&gt;$AN219),"Cumplida con "&amp;($G219-$AN219)&amp;IF($G219-$AN219=1," día"," días")&amp;" de retraso","Cumplida"),IF(N($M219)&gt;=1,"Cumplida",IF(NOT(ISNUMBER($AN219)),"Sin fecha límite",IF($AN219&lt;FechaRef,"Vencida hace "&amp;(FechaRef-$AN219)&amp;IF(FechaRef-$AN219=1," día"," días"),IF($AN219=FechaRef,"Vence hoy",IF($AN219-FechaRef&lt;=DiasAlerta,"Vence en "&amp;($AN219-FechaRef)&amp;IF($AN219-FechaRef=1," día"," días"),"En plazo")))))))</f>
        <v/>
      </c>
      <c r="P219" s="62" t="n"/>
      <c r="Q219" s="58" t="n"/>
      <c r="R219" s="63">
        <f>IF(NOT((COUNTA($B219:$D219)+COUNTA($G219:$L219)+COUNTA($Q219))&gt;0),"",IF((IF($C219="","Falta el nombre de la actividad"&amp;" · ","")&amp;IF(AND($V219="Sub",N($U219)=0),"Subactividad sin macroactividad arriba"&amp;" · ","")&amp;IF($AM219="","Sin fecha de inicio"&amp;" · ","")&amp;IF($AN219="","Sin fecha límite"&amp;" · ","")&amp;IF(AND(LEFT($C219,11)="[Jefatura] ",N($AL219)=0),"No se encuentra en la hoja de la jefatura (elíjala de nuevo en la lista)"&amp;" · ","")&amp;IF(OR(AND($E219&lt;&gt;"",NOT(ISNUMBER($E219))),AND($F219&lt;&gt;"",NOT(ISNUMBER($F219))),AND($G219&lt;&gt;"",NOT(ISNUMBER($G219)))),"Fecha no válida"&amp;" · ","")&amp;IF(AND(ISNUMBER($AM219),ISNUMBER($AN219),$AM219&gt;$AN219),"Inicio posterior a fecha límite"&amp;" · ","")&amp;IF(AND($V219="Macro",$H219&lt;&gt;"",OR(NOT(ISNUMBER($H219)),$H219&lt;0,$H219&gt;1)),"Peso fuera de rango"&amp;" · ","")&amp;IF(AND($V219="Sub",$H219&lt;&gt;""),"Las subactividades no llevan peso (valen igual dentro de su macroactividad)"&amp;" · ","")&amp;IF(AND(N($W219)&gt;0,COUNT($I219:$L219)&gt;0),"Con subactividades: deje vacías las semanas (se calculan solas)"&amp;" · ","")&amp;IF((COUNTIF($I219:$L219,"&gt;1")+COUNTIF($I219:$L219,"&lt;0")+COUNTA($I219:$L219)-COUNT($I219:$L219))&gt;0,"Avance fuera de rango 0-100%"&amp;" · ","")&amp;IF(OR(AND($J219&lt;&gt;"",$J219&lt;$I219),AND($K219&lt;&gt;"",$K219&lt;MAX($I219:$J219)),AND($L219&lt;&gt;"",$L219&lt;MAX($I219:$K219))),"Avance semanal decreciente"&amp;" · ","")&amp;IF(AND(ISNUMBER($AN219),$AN219&lt;FechaRef,IF($V219="Sub",N($X219),N($M219))&lt;1),"Vencida"&amp;" · ","")&amp;IF(AND(ObsObligatoria="Sí",ISNUMBER($AN219),$AN219&lt;FechaRef,IF($V219="Sub",N($X219),N($M219))&lt;1,$Q219=""),"Vencida sin observación"&amp;" · ",""))="","✔ OK","⚠ "&amp;LEFT(IF($C219="","Falta el nombre de la actividad"&amp;" · ","")&amp;IF(AND($V219="Sub",N($U219)=0),"Subactividad sin macroactividad arriba"&amp;" · ","")&amp;IF($AM219="","Sin fecha de inicio"&amp;" · ","")&amp;IF($AN219="","Sin fecha límite"&amp;" · ","")&amp;IF(AND(LEFT($C219,11)="[Jefatura] ",N($AL219)=0),"No se encuentra en la hoja de la jefatura (elíjala de nuevo en la lista)"&amp;" · ","")&amp;IF(OR(AND($E219&lt;&gt;"",NOT(ISNUMBER($E219))),AND($F219&lt;&gt;"",NOT(ISNUMBER($F219))),AND($G219&lt;&gt;"",NOT(ISNUMBER($G219)))),"Fecha no válida"&amp;" · ","")&amp;IF(AND(ISNUMBER($AM219),ISNUMBER($AN219),$AM219&gt;$AN219),"Inicio posterior a fecha límite"&amp;" · ","")&amp;IF(AND($V219="Macro",$H219&lt;&gt;"",OR(NOT(ISNUMBER($H219)),$H219&lt;0,$H219&gt;1)),"Peso fuera de rango"&amp;" · ","")&amp;IF(AND($V219="Sub",$H219&lt;&gt;""),"Las subactividades no llevan peso (valen igual dentro de su macroactividad)"&amp;" · ","")&amp;IF(AND(N($W219)&gt;0,COUNT($I219:$L219)&gt;0),"Con subactividades: deje vacías las semanas (se calculan solas)"&amp;" · ","")&amp;IF((COUNTIF($I219:$L219,"&gt;1")+COUNTIF($I219:$L219,"&lt;0")+COUNTA($I219:$L219)-COUNT($I219:$L219))&gt;0,"Avance fuera de rango 0-100%"&amp;" · ","")&amp;IF(OR(AND($J219&lt;&gt;"",$J219&lt;$I219),AND($K219&lt;&gt;"",$K219&lt;MAX($I219:$J219)),AND($L219&lt;&gt;"",$L219&lt;MAX($I219:$K219))),"Avance semanal decreciente"&amp;" · ","")&amp;IF(AND(ISNUMBER($AN219),$AN219&lt;FechaRef,IF($V219="Sub",N($X219),N($M219))&lt;1),"Vencida"&amp;" · ","")&amp;IF(AND(ObsObligatoria="Sí",ISNUMBER($AN219),$AN219&lt;FechaRef,IF($V219="Sub",N($X219),N($M219))&lt;1,$Q219=""),"Vencida sin observación"&amp;" · ",""),LEN(IF($C219="","Falta el nombre de la actividad"&amp;" · ","")&amp;IF(AND($V219="Sub",N($U219)=0),"Subactividad sin macroactividad arriba"&amp;" · ","")&amp;IF($AM219="","Sin fecha de inicio"&amp;" · ","")&amp;IF($AN219="","Sin fecha límite"&amp;" · ","")&amp;IF(AND(LEFT($C219,11)="[Jefatura] ",N($AL219)=0),"No se encuentra en la hoja de la jefatura (elíjala de nuevo en la lista)"&amp;" · ","")&amp;IF(OR(AND($E219&lt;&gt;"",NOT(ISNUMBER($E219))),AND($F219&lt;&gt;"",NOT(ISNUMBER($F219))),AND($G219&lt;&gt;"",NOT(ISNUMBER($G219)))),"Fecha no válida"&amp;" · ","")&amp;IF(AND(ISNUMBER($AM219),ISNUMBER($AN219),$AM219&gt;$AN219),"Inicio posterior a fecha límite"&amp;" · ","")&amp;IF(AND($V219="Macro",$H219&lt;&gt;"",OR(NOT(ISNUMBER($H219)),$H219&lt;0,$H219&gt;1)),"Peso fuera de rango"&amp;" · ","")&amp;IF(AND($V219="Sub",$H219&lt;&gt;""),"Las subactividades no llevan peso (valen igual dentro de su macroactividad)"&amp;" · ","")&amp;IF(AND(N($W219)&gt;0,COUNT($I219:$L219)&gt;0),"Con subactividades: deje vacías las semanas (se calculan solas)"&amp;" · ","")&amp;IF((COUNTIF($I219:$L219,"&gt;1")+COUNTIF($I219:$L219,"&lt;0")+COUNTA($I219:$L219)-COUNT($I219:$L219))&gt;0,"Avance fuera de rango 0-100%"&amp;" · ","")&amp;IF(OR(AND($J219&lt;&gt;"",$J219&lt;$I219),AND($K219&lt;&gt;"",$K219&lt;MAX($I219:$J219)),AND($L219&lt;&gt;"",$L219&lt;MAX($I219:$K219))),"Avance semanal decreciente"&amp;" · ","")&amp;IF(AND(ISNUMBER($AN219),$AN219&lt;FechaRef,IF($V219="Sub",N($X219),N($M219))&lt;1),"Vencida"&amp;" · ","")&amp;IF(AND(ObsObligatoria="Sí",ISNUMBER($AN219),$AN219&lt;FechaRef,IF($V219="Sub",N($X219),N($M219))&lt;1,$Q219=""),"Vencida sin observación"&amp;" · ",""))-3)))</f>
        <v/>
      </c>
      <c r="S219" s="64">
        <f>IF(NOT((COUNTA($B219:$D219)+COUNTA($G219:$L219)+COUNTA($Q219))&gt;0),"",IF(AND($V219="Sub",N($U219)&gt;0),IF(ISNUMBER(INDEX($AM$5:$AM$1000,$U219-4)),DATE(YEAR(INDEX($AM$5:$AM$1000,$U219-4)),MONTH(INDEX($AM$5:$AM$1000,$U219-4)),1),IF(ISNUMBER(INDEX($AN$5:$AN$1000,$U219-4)),DATE(YEAR(INDEX($AN$5:$AN$1000,$U219-4)),MONTH(INDEX($AN$5:$AN$1000,$U219-4)),1),MesCiclo)),IF(ISNUMBER($AM219),DATE(YEAR($AM219),MONTH($AM219),1),IF(ISNUMBER($AN219),DATE(YEAR($AN219),MONTH($AN219),1),MesCiclo))))</f>
        <v/>
      </c>
      <c r="T219" s="62">
        <f>IF(OR($S219="",$S219&lt;&gt;MesCiclo,$V219&lt;&gt;"Macro"),"",COUNTIFS($S$5:$S219,MesCiclo,$V$5:$V219,"Macro"))</f>
        <v/>
      </c>
      <c r="U219" s="62">
        <f>IF($V219="","",IF($V219="Macro",ROW(),IFERROR(LOOKUP(2,1/($V$5:$V219="Macro"),ROW($V$5:$V219)),0)))</f>
        <v/>
      </c>
      <c r="V219" s="62">
        <f>IF(NOT((COUNTA($B219:$D219)+COUNTA($G219:$L219)+COUNTA($Q219))&gt;0),"",IF($B219="Subactividad","Sub","Macro"))</f>
        <v/>
      </c>
      <c r="W219" s="62">
        <f>IF($V219="Macro",COUNTIFS($U$5:$U$1000,ROW(),$V$5:$V$1000,"Sub"),"")</f>
        <v/>
      </c>
      <c r="X219" s="62">
        <f>IF($V219="","",IF(ISNUMBER($G219),1,IFERROR(LOOKUP(2,1/($I219:$L219&lt;&gt;""),$I219:$L219),0)))</f>
        <v/>
      </c>
      <c r="Y219" s="62">
        <f>IF($V219="","",IF(AND(ISNUMBER($G219),$G219&lt;=IF($S219=MesCiclo,InicioCiclo,$S219+MOD(2-WEEKDAY($S219),7))+6),1,IF(ISNUMBER($I219),$I219,0)))</f>
        <v/>
      </c>
      <c r="Z219" s="62">
        <f>IF($V219="","",IF(AND(ISNUMBER($G219),$G219&lt;=IF($S219=MesCiclo,InicioCiclo,$S219+MOD(2-WEEKDAY($S219),7))+13),1,IF(ISNUMBER($J219),$J219,$Y219)))</f>
        <v/>
      </c>
      <c r="AA219" s="62">
        <f>IF($V219="","",IF(AND(ISNUMBER($G219),$G219&lt;=IF($S219=MesCiclo,InicioCiclo,$S219+MOD(2-WEEKDAY($S219),7))+20),1,IF(ISNUMBER($K219),$K219,$Z219)))</f>
        <v/>
      </c>
      <c r="AB219" s="62">
        <f>IF($V219="","",IF(AND(ISNUMBER($G219),$G219&lt;=IF($S219=MesCiclo,InicioCiclo,$S219+MOD(2-WEEKDAY($S219),7))+27),1,IF(ISNUMBER($L219),$L219,$AA219)))</f>
        <v/>
      </c>
      <c r="AC219" s="62">
        <f>IF($V219="","",IF(AND(ISNUMBER($G219),$G219&lt;=IF($S219=MesCiclo,InicioCiclo,$S219+MOD(2-WEEKDAY($S219),7))+6),1,IF(N($W219)&gt;0,AVERAGEIFS($Y$5:$Y$1000,$U$5:$U$1000,ROW(),$V$5:$V$1000,"Sub"),$Y219)))</f>
        <v/>
      </c>
      <c r="AD219" s="62">
        <f>IF($V219="","",IF(AND(ISNUMBER($G219),$G219&lt;=IF($S219=MesCiclo,InicioCiclo,$S219+MOD(2-WEEKDAY($S219),7))+13),1,IF(N($W219)&gt;0,AVERAGEIFS($Z$5:$Z$1000,$U$5:$U$1000,ROW(),$V$5:$V$1000,"Sub"),$Z219)))</f>
        <v/>
      </c>
      <c r="AE219" s="62">
        <f>IF($V219="","",IF(AND(ISNUMBER($G219),$G219&lt;=IF($S219=MesCiclo,InicioCiclo,$S219+MOD(2-WEEKDAY($S219),7))+20),1,IF(N($W219)&gt;0,AVERAGEIFS($AA$5:$AA$1000,$U$5:$U$1000,ROW(),$V$5:$V$1000,"Sub"),$AA219)))</f>
        <v/>
      </c>
      <c r="AF219" s="62">
        <f>IF($V219="","",IF(AND(ISNUMBER($G219),$G219&lt;=IF($S219=MesCiclo,InicioCiclo,$S219+MOD(2-WEEKDAY($S219),7))+27),1,IF(N($W219)&gt;0,AVERAGEIFS($AB$5:$AB$1000,$U$5:$U$1000,ROW(),$V$5:$V$1000,"Sub"),$AB219)))</f>
        <v/>
      </c>
      <c r="AG219" s="62">
        <f>IF($V219&lt;&gt;"Macro","",IF(COUNTIFS($S$5:$S$1000,$S219,$V$5:$V$1000,"Macro",$H$5:$H$1000,"&gt;0")=0,1/COUNTIFS($S$5:$S$1000,$S219,$V$5:$V$1000,"Macro"),IF(AND(ISNUMBER($H219),N($H219)&gt;0),$H219,SUMIFS($H$5:$H$1000,$S$5:$S$1000,$S219,$V$5:$V$1000,"Macro")/COUNTIFS($S$5:$S$1000,$S219,$V$5:$V$1000,"Macro",$H$5:$H$1000,"&gt;0"))/(COUNTIFS($S$5:$S$1000,$S219,$V$5:$V$1000,"Macro")*SUMIFS($H$5:$H$1000,$S$5:$S$1000,$S219,$V$5:$V$1000,"Macro")/COUNTIFS($S$5:$S$1000,$S219,$V$5:$V$1000,"Macro",$H$5:$H$1000,"&gt;0"))))</f>
        <v/>
      </c>
      <c r="AH219" s="62" t="n"/>
      <c r="AI219" s="62" t="n"/>
      <c r="AJ219" s="62" t="n"/>
      <c r="AK219" s="62" t="n"/>
      <c r="AL219" s="62">
        <f>IF(LEFT($C219,11)="[Jefatura] ",IFERROR(MATCH("Riesgo Financiero|"&amp;MID($C219,12,500),rDname_ADM,0),0),"")</f>
        <v/>
      </c>
      <c r="AM219" s="62">
        <f>IF(N($AL219)&gt;0,INDEX(rIni_ADM,$AL219),IF(ISNUMBER($E219),$E219,""))</f>
        <v/>
      </c>
      <c r="AN219" s="62">
        <f>IF(N($AL219)&gt;0,INDEX(rLim_ADM,$AL219),IF(ISNUMBER($F219),$F219,""))</f>
        <v/>
      </c>
    </row>
    <row r="220">
      <c r="A220" s="56">
        <f>IF(NOT((COUNTA($B220:$D220)+COUNTA($G220:$L220)+COUNTA($Q220))&gt;0),"",IF($V220="Macro",COUNTIFS($V$5:$V220,"Macro",$S$5:$S220,$S220),IF(N($U220)=0,"?",COUNTIFS(INDEX($V$5:$V$1000,1):INDEX($V$5:$V$1000,$U220-4),"Macro",INDEX($S$5:$S$1000,1):INDEX($S$5:$S$1000,$U220-4),INDEX($S$5:$S$1000,$U220-4))&amp;"."&amp;COUNTIFS($U$5:$U220,$U220,$V$5:$V220,"Sub"))))</f>
        <v/>
      </c>
      <c r="B220" s="57" t="n"/>
      <c r="C220" s="58" t="n"/>
      <c r="D220" s="58" t="n"/>
      <c r="E220" s="59">
        <f>IF(N($AL220)&gt;0,INDEX(rIni_ADM,$AL220),"")</f>
        <v/>
      </c>
      <c r="F220" s="59">
        <f>IF(N($AL220)&gt;0,INDEX(rLim_ADM,$AL220),"")</f>
        <v/>
      </c>
      <c r="G220" s="59" t="n"/>
      <c r="H220" s="60" t="n"/>
      <c r="I220" s="60" t="n"/>
      <c r="J220" s="60" t="n"/>
      <c r="K220" s="60" t="n"/>
      <c r="L220" s="60" t="n"/>
      <c r="M220" s="61">
        <f>IF(NOT((COUNTA($B220:$D220)+COUNTA($G220:$L220)+COUNTA($Q220))&gt;0),"",IF($V220="Sub",IFERROR($X220/INDEX($W$5:$W$1000,$U220-4),""),IF(ISNUMBER($G220),1,IF(N($W220)&gt;0,AVERAGEIFS($X$5:$X$1000,$U$5:$U$1000,ROW(),$V$5:$V$1000,"Sub"),$X220))))</f>
        <v/>
      </c>
      <c r="N220" s="56">
        <f>IF(OR($M220="",$V220="Sub"),"",IF($M220&gt;=1,"Completado",IF($M220&gt;0,"En curso","Pendiente")))</f>
        <v/>
      </c>
      <c r="O220" s="56">
        <f>IF(OR(NOT((COUNTA($B220:$D220)+COUNTA($G220:$L220)+COUNTA($Q220))&gt;0),$V220="Sub"),"",IF(ISNUMBER($G220),IF(AND(ISNUMBER($AN220),$G220&gt;$AN220),"Cumplida con "&amp;($G220-$AN220)&amp;IF($G220-$AN220=1," día"," días")&amp;" de retraso","Cumplida"),IF(N($M220)&gt;=1,"Cumplida",IF(NOT(ISNUMBER($AN220)),"Sin fecha límite",IF($AN220&lt;FechaRef,"Vencida hace "&amp;(FechaRef-$AN220)&amp;IF(FechaRef-$AN220=1," día"," días"),IF($AN220=FechaRef,"Vence hoy",IF($AN220-FechaRef&lt;=DiasAlerta,"Vence en "&amp;($AN220-FechaRef)&amp;IF($AN220-FechaRef=1," día"," días"),"En plazo")))))))</f>
        <v/>
      </c>
      <c r="P220" s="62" t="n"/>
      <c r="Q220" s="58" t="n"/>
      <c r="R220" s="63">
        <f>IF(NOT((COUNTA($B220:$D220)+COUNTA($G220:$L220)+COUNTA($Q220))&gt;0),"",IF((IF($C220="","Falta el nombre de la actividad"&amp;" · ","")&amp;IF(AND($V220="Sub",N($U220)=0),"Subactividad sin macroactividad arriba"&amp;" · ","")&amp;IF($AM220="","Sin fecha de inicio"&amp;" · ","")&amp;IF($AN220="","Sin fecha límite"&amp;" · ","")&amp;IF(AND(LEFT($C220,11)="[Jefatura] ",N($AL220)=0),"No se encuentra en la hoja de la jefatura (elíjala de nuevo en la lista)"&amp;" · ","")&amp;IF(OR(AND($E220&lt;&gt;"",NOT(ISNUMBER($E220))),AND($F220&lt;&gt;"",NOT(ISNUMBER($F220))),AND($G220&lt;&gt;"",NOT(ISNUMBER($G220)))),"Fecha no válida"&amp;" · ","")&amp;IF(AND(ISNUMBER($AM220),ISNUMBER($AN220),$AM220&gt;$AN220),"Inicio posterior a fecha límite"&amp;" · ","")&amp;IF(AND($V220="Macro",$H220&lt;&gt;"",OR(NOT(ISNUMBER($H220)),$H220&lt;0,$H220&gt;1)),"Peso fuera de rango"&amp;" · ","")&amp;IF(AND($V220="Sub",$H220&lt;&gt;""),"Las subactividades no llevan peso (valen igual dentro de su macroactividad)"&amp;" · ","")&amp;IF(AND(N($W220)&gt;0,COUNT($I220:$L220)&gt;0),"Con subactividades: deje vacías las semanas (se calculan solas)"&amp;" · ","")&amp;IF((COUNTIF($I220:$L220,"&gt;1")+COUNTIF($I220:$L220,"&lt;0")+COUNTA($I220:$L220)-COUNT($I220:$L220))&gt;0,"Avance fuera de rango 0-100%"&amp;" · ","")&amp;IF(OR(AND($J220&lt;&gt;"",$J220&lt;$I220),AND($K220&lt;&gt;"",$K220&lt;MAX($I220:$J220)),AND($L220&lt;&gt;"",$L220&lt;MAX($I220:$K220))),"Avance semanal decreciente"&amp;" · ","")&amp;IF(AND(ISNUMBER($AN220),$AN220&lt;FechaRef,IF($V220="Sub",N($X220),N($M220))&lt;1),"Vencida"&amp;" · ","")&amp;IF(AND(ObsObligatoria="Sí",ISNUMBER($AN220),$AN220&lt;FechaRef,IF($V220="Sub",N($X220),N($M220))&lt;1,$Q220=""),"Vencida sin observación"&amp;" · ",""))="","✔ OK","⚠ "&amp;LEFT(IF($C220="","Falta el nombre de la actividad"&amp;" · ","")&amp;IF(AND($V220="Sub",N($U220)=0),"Subactividad sin macroactividad arriba"&amp;" · ","")&amp;IF($AM220="","Sin fecha de inicio"&amp;" · ","")&amp;IF($AN220="","Sin fecha límite"&amp;" · ","")&amp;IF(AND(LEFT($C220,11)="[Jefatura] ",N($AL220)=0),"No se encuentra en la hoja de la jefatura (elíjala de nuevo en la lista)"&amp;" · ","")&amp;IF(OR(AND($E220&lt;&gt;"",NOT(ISNUMBER($E220))),AND($F220&lt;&gt;"",NOT(ISNUMBER($F220))),AND($G220&lt;&gt;"",NOT(ISNUMBER($G220)))),"Fecha no válida"&amp;" · ","")&amp;IF(AND(ISNUMBER($AM220),ISNUMBER($AN220),$AM220&gt;$AN220),"Inicio posterior a fecha límite"&amp;" · ","")&amp;IF(AND($V220="Macro",$H220&lt;&gt;"",OR(NOT(ISNUMBER($H220)),$H220&lt;0,$H220&gt;1)),"Peso fuera de rango"&amp;" · ","")&amp;IF(AND($V220="Sub",$H220&lt;&gt;""),"Las subactividades no llevan peso (valen igual dentro de su macroactividad)"&amp;" · ","")&amp;IF(AND(N($W220)&gt;0,COUNT($I220:$L220)&gt;0),"Con subactividades: deje vacías las semanas (se calculan solas)"&amp;" · ","")&amp;IF((COUNTIF($I220:$L220,"&gt;1")+COUNTIF($I220:$L220,"&lt;0")+COUNTA($I220:$L220)-COUNT($I220:$L220))&gt;0,"Avance fuera de rango 0-100%"&amp;" · ","")&amp;IF(OR(AND($J220&lt;&gt;"",$J220&lt;$I220),AND($K220&lt;&gt;"",$K220&lt;MAX($I220:$J220)),AND($L220&lt;&gt;"",$L220&lt;MAX($I220:$K220))),"Avance semanal decreciente"&amp;" · ","")&amp;IF(AND(ISNUMBER($AN220),$AN220&lt;FechaRef,IF($V220="Sub",N($X220),N($M220))&lt;1),"Vencida"&amp;" · ","")&amp;IF(AND(ObsObligatoria="Sí",ISNUMBER($AN220),$AN220&lt;FechaRef,IF($V220="Sub",N($X220),N($M220))&lt;1,$Q220=""),"Vencida sin observación"&amp;" · ",""),LEN(IF($C220="","Falta el nombre de la actividad"&amp;" · ","")&amp;IF(AND($V220="Sub",N($U220)=0),"Subactividad sin macroactividad arriba"&amp;" · ","")&amp;IF($AM220="","Sin fecha de inicio"&amp;" · ","")&amp;IF($AN220="","Sin fecha límite"&amp;" · ","")&amp;IF(AND(LEFT($C220,11)="[Jefatura] ",N($AL220)=0),"No se encuentra en la hoja de la jefatura (elíjala de nuevo en la lista)"&amp;" · ","")&amp;IF(OR(AND($E220&lt;&gt;"",NOT(ISNUMBER($E220))),AND($F220&lt;&gt;"",NOT(ISNUMBER($F220))),AND($G220&lt;&gt;"",NOT(ISNUMBER($G220)))),"Fecha no válida"&amp;" · ","")&amp;IF(AND(ISNUMBER($AM220),ISNUMBER($AN220),$AM220&gt;$AN220),"Inicio posterior a fecha límite"&amp;" · ","")&amp;IF(AND($V220="Macro",$H220&lt;&gt;"",OR(NOT(ISNUMBER($H220)),$H220&lt;0,$H220&gt;1)),"Peso fuera de rango"&amp;" · ","")&amp;IF(AND($V220="Sub",$H220&lt;&gt;""),"Las subactividades no llevan peso (valen igual dentro de su macroactividad)"&amp;" · ","")&amp;IF(AND(N($W220)&gt;0,COUNT($I220:$L220)&gt;0),"Con subactividades: deje vacías las semanas (se calculan solas)"&amp;" · ","")&amp;IF((COUNTIF($I220:$L220,"&gt;1")+COUNTIF($I220:$L220,"&lt;0")+COUNTA($I220:$L220)-COUNT($I220:$L220))&gt;0,"Avance fuera de rango 0-100%"&amp;" · ","")&amp;IF(OR(AND($J220&lt;&gt;"",$J220&lt;$I220),AND($K220&lt;&gt;"",$K220&lt;MAX($I220:$J220)),AND($L220&lt;&gt;"",$L220&lt;MAX($I220:$K220))),"Avance semanal decreciente"&amp;" · ","")&amp;IF(AND(ISNUMBER($AN220),$AN220&lt;FechaRef,IF($V220="Sub",N($X220),N($M220))&lt;1),"Vencida"&amp;" · ","")&amp;IF(AND(ObsObligatoria="Sí",ISNUMBER($AN220),$AN220&lt;FechaRef,IF($V220="Sub",N($X220),N($M220))&lt;1,$Q220=""),"Vencida sin observación"&amp;" · ",""))-3)))</f>
        <v/>
      </c>
      <c r="S220" s="64">
        <f>IF(NOT((COUNTA($B220:$D220)+COUNTA($G220:$L220)+COUNTA($Q220))&gt;0),"",IF(AND($V220="Sub",N($U220)&gt;0),IF(ISNUMBER(INDEX($AM$5:$AM$1000,$U220-4)),DATE(YEAR(INDEX($AM$5:$AM$1000,$U220-4)),MONTH(INDEX($AM$5:$AM$1000,$U220-4)),1),IF(ISNUMBER(INDEX($AN$5:$AN$1000,$U220-4)),DATE(YEAR(INDEX($AN$5:$AN$1000,$U220-4)),MONTH(INDEX($AN$5:$AN$1000,$U220-4)),1),MesCiclo)),IF(ISNUMBER($AM220),DATE(YEAR($AM220),MONTH($AM220),1),IF(ISNUMBER($AN220),DATE(YEAR($AN220),MONTH($AN220),1),MesCiclo))))</f>
        <v/>
      </c>
      <c r="T220" s="62">
        <f>IF(OR($S220="",$S220&lt;&gt;MesCiclo,$V220&lt;&gt;"Macro"),"",COUNTIFS($S$5:$S220,MesCiclo,$V$5:$V220,"Macro"))</f>
        <v/>
      </c>
      <c r="U220" s="62">
        <f>IF($V220="","",IF($V220="Macro",ROW(),IFERROR(LOOKUP(2,1/($V$5:$V220="Macro"),ROW($V$5:$V220)),0)))</f>
        <v/>
      </c>
      <c r="V220" s="62">
        <f>IF(NOT((COUNTA($B220:$D220)+COUNTA($G220:$L220)+COUNTA($Q220))&gt;0),"",IF($B220="Subactividad","Sub","Macro"))</f>
        <v/>
      </c>
      <c r="W220" s="62">
        <f>IF($V220="Macro",COUNTIFS($U$5:$U$1000,ROW(),$V$5:$V$1000,"Sub"),"")</f>
        <v/>
      </c>
      <c r="X220" s="62">
        <f>IF($V220="","",IF(ISNUMBER($G220),1,IFERROR(LOOKUP(2,1/($I220:$L220&lt;&gt;""),$I220:$L220),0)))</f>
        <v/>
      </c>
      <c r="Y220" s="62">
        <f>IF($V220="","",IF(AND(ISNUMBER($G220),$G220&lt;=IF($S220=MesCiclo,InicioCiclo,$S220+MOD(2-WEEKDAY($S220),7))+6),1,IF(ISNUMBER($I220),$I220,0)))</f>
        <v/>
      </c>
      <c r="Z220" s="62">
        <f>IF($V220="","",IF(AND(ISNUMBER($G220),$G220&lt;=IF($S220=MesCiclo,InicioCiclo,$S220+MOD(2-WEEKDAY($S220),7))+13),1,IF(ISNUMBER($J220),$J220,$Y220)))</f>
        <v/>
      </c>
      <c r="AA220" s="62">
        <f>IF($V220="","",IF(AND(ISNUMBER($G220),$G220&lt;=IF($S220=MesCiclo,InicioCiclo,$S220+MOD(2-WEEKDAY($S220),7))+20),1,IF(ISNUMBER($K220),$K220,$Z220)))</f>
        <v/>
      </c>
      <c r="AB220" s="62">
        <f>IF($V220="","",IF(AND(ISNUMBER($G220),$G220&lt;=IF($S220=MesCiclo,InicioCiclo,$S220+MOD(2-WEEKDAY($S220),7))+27),1,IF(ISNUMBER($L220),$L220,$AA220)))</f>
        <v/>
      </c>
      <c r="AC220" s="62">
        <f>IF($V220="","",IF(AND(ISNUMBER($G220),$G220&lt;=IF($S220=MesCiclo,InicioCiclo,$S220+MOD(2-WEEKDAY($S220),7))+6),1,IF(N($W220)&gt;0,AVERAGEIFS($Y$5:$Y$1000,$U$5:$U$1000,ROW(),$V$5:$V$1000,"Sub"),$Y220)))</f>
        <v/>
      </c>
      <c r="AD220" s="62">
        <f>IF($V220="","",IF(AND(ISNUMBER($G220),$G220&lt;=IF($S220=MesCiclo,InicioCiclo,$S220+MOD(2-WEEKDAY($S220),7))+13),1,IF(N($W220)&gt;0,AVERAGEIFS($Z$5:$Z$1000,$U$5:$U$1000,ROW(),$V$5:$V$1000,"Sub"),$Z220)))</f>
        <v/>
      </c>
      <c r="AE220" s="62">
        <f>IF($V220="","",IF(AND(ISNUMBER($G220),$G220&lt;=IF($S220=MesCiclo,InicioCiclo,$S220+MOD(2-WEEKDAY($S220),7))+20),1,IF(N($W220)&gt;0,AVERAGEIFS($AA$5:$AA$1000,$U$5:$U$1000,ROW(),$V$5:$V$1000,"Sub"),$AA220)))</f>
        <v/>
      </c>
      <c r="AF220" s="62">
        <f>IF($V220="","",IF(AND(ISNUMBER($G220),$G220&lt;=IF($S220=MesCiclo,InicioCiclo,$S220+MOD(2-WEEKDAY($S220),7))+27),1,IF(N($W220)&gt;0,AVERAGEIFS($AB$5:$AB$1000,$U$5:$U$1000,ROW(),$V$5:$V$1000,"Sub"),$AB220)))</f>
        <v/>
      </c>
      <c r="AG220" s="62">
        <f>IF($V220&lt;&gt;"Macro","",IF(COUNTIFS($S$5:$S$1000,$S220,$V$5:$V$1000,"Macro",$H$5:$H$1000,"&gt;0")=0,1/COUNTIFS($S$5:$S$1000,$S220,$V$5:$V$1000,"Macro"),IF(AND(ISNUMBER($H220),N($H220)&gt;0),$H220,SUMIFS($H$5:$H$1000,$S$5:$S$1000,$S220,$V$5:$V$1000,"Macro")/COUNTIFS($S$5:$S$1000,$S220,$V$5:$V$1000,"Macro",$H$5:$H$1000,"&gt;0"))/(COUNTIFS($S$5:$S$1000,$S220,$V$5:$V$1000,"Macro")*SUMIFS($H$5:$H$1000,$S$5:$S$1000,$S220,$V$5:$V$1000,"Macro")/COUNTIFS($S$5:$S$1000,$S220,$V$5:$V$1000,"Macro",$H$5:$H$1000,"&gt;0"))))</f>
        <v/>
      </c>
      <c r="AH220" s="62" t="n"/>
      <c r="AI220" s="62" t="n"/>
      <c r="AJ220" s="62" t="n"/>
      <c r="AK220" s="62" t="n"/>
      <c r="AL220" s="62">
        <f>IF(LEFT($C220,11)="[Jefatura] ",IFERROR(MATCH("Riesgo Financiero|"&amp;MID($C220,12,500),rDname_ADM,0),0),"")</f>
        <v/>
      </c>
      <c r="AM220" s="62">
        <f>IF(N($AL220)&gt;0,INDEX(rIni_ADM,$AL220),IF(ISNUMBER($E220),$E220,""))</f>
        <v/>
      </c>
      <c r="AN220" s="62">
        <f>IF(N($AL220)&gt;0,INDEX(rLim_ADM,$AL220),IF(ISNUMBER($F220),$F220,""))</f>
        <v/>
      </c>
    </row>
    <row r="221">
      <c r="A221" s="56">
        <f>IF(NOT((COUNTA($B221:$D221)+COUNTA($G221:$L221)+COUNTA($Q221))&gt;0),"",IF($V221="Macro",COUNTIFS($V$5:$V221,"Macro",$S$5:$S221,$S221),IF(N($U221)=0,"?",COUNTIFS(INDEX($V$5:$V$1000,1):INDEX($V$5:$V$1000,$U221-4),"Macro",INDEX($S$5:$S$1000,1):INDEX($S$5:$S$1000,$U221-4),INDEX($S$5:$S$1000,$U221-4))&amp;"."&amp;COUNTIFS($U$5:$U221,$U221,$V$5:$V221,"Sub"))))</f>
        <v/>
      </c>
      <c r="B221" s="57" t="n"/>
      <c r="C221" s="58" t="n"/>
      <c r="D221" s="58" t="n"/>
      <c r="E221" s="59">
        <f>IF(N($AL221)&gt;0,INDEX(rIni_ADM,$AL221),"")</f>
        <v/>
      </c>
      <c r="F221" s="59">
        <f>IF(N($AL221)&gt;0,INDEX(rLim_ADM,$AL221),"")</f>
        <v/>
      </c>
      <c r="G221" s="59" t="n"/>
      <c r="H221" s="60" t="n"/>
      <c r="I221" s="60" t="n"/>
      <c r="J221" s="60" t="n"/>
      <c r="K221" s="60" t="n"/>
      <c r="L221" s="60" t="n"/>
      <c r="M221" s="61">
        <f>IF(NOT((COUNTA($B221:$D221)+COUNTA($G221:$L221)+COUNTA($Q221))&gt;0),"",IF($V221="Sub",IFERROR($X221/INDEX($W$5:$W$1000,$U221-4),""),IF(ISNUMBER($G221),1,IF(N($W221)&gt;0,AVERAGEIFS($X$5:$X$1000,$U$5:$U$1000,ROW(),$V$5:$V$1000,"Sub"),$X221))))</f>
        <v/>
      </c>
      <c r="N221" s="56">
        <f>IF(OR($M221="",$V221="Sub"),"",IF($M221&gt;=1,"Completado",IF($M221&gt;0,"En curso","Pendiente")))</f>
        <v/>
      </c>
      <c r="O221" s="56">
        <f>IF(OR(NOT((COUNTA($B221:$D221)+COUNTA($G221:$L221)+COUNTA($Q221))&gt;0),$V221="Sub"),"",IF(ISNUMBER($G221),IF(AND(ISNUMBER($AN221),$G221&gt;$AN221),"Cumplida con "&amp;($G221-$AN221)&amp;IF($G221-$AN221=1," día"," días")&amp;" de retraso","Cumplida"),IF(N($M221)&gt;=1,"Cumplida",IF(NOT(ISNUMBER($AN221)),"Sin fecha límite",IF($AN221&lt;FechaRef,"Vencida hace "&amp;(FechaRef-$AN221)&amp;IF(FechaRef-$AN221=1," día"," días"),IF($AN221=FechaRef,"Vence hoy",IF($AN221-FechaRef&lt;=DiasAlerta,"Vence en "&amp;($AN221-FechaRef)&amp;IF($AN221-FechaRef=1," día"," días"),"En plazo")))))))</f>
        <v/>
      </c>
      <c r="P221" s="62" t="n"/>
      <c r="Q221" s="58" t="n"/>
      <c r="R221" s="63">
        <f>IF(NOT((COUNTA($B221:$D221)+COUNTA($G221:$L221)+COUNTA($Q221))&gt;0),"",IF((IF($C221="","Falta el nombre de la actividad"&amp;" · ","")&amp;IF(AND($V221="Sub",N($U221)=0),"Subactividad sin macroactividad arriba"&amp;" · ","")&amp;IF($AM221="","Sin fecha de inicio"&amp;" · ","")&amp;IF($AN221="","Sin fecha límite"&amp;" · ","")&amp;IF(AND(LEFT($C221,11)="[Jefatura] ",N($AL221)=0),"No se encuentra en la hoja de la jefatura (elíjala de nuevo en la lista)"&amp;" · ","")&amp;IF(OR(AND($E221&lt;&gt;"",NOT(ISNUMBER($E221))),AND($F221&lt;&gt;"",NOT(ISNUMBER($F221))),AND($G221&lt;&gt;"",NOT(ISNUMBER($G221)))),"Fecha no válida"&amp;" · ","")&amp;IF(AND(ISNUMBER($AM221),ISNUMBER($AN221),$AM221&gt;$AN221),"Inicio posterior a fecha límite"&amp;" · ","")&amp;IF(AND($V221="Macro",$H221&lt;&gt;"",OR(NOT(ISNUMBER($H221)),$H221&lt;0,$H221&gt;1)),"Peso fuera de rango"&amp;" · ","")&amp;IF(AND($V221="Sub",$H221&lt;&gt;""),"Las subactividades no llevan peso (valen igual dentro de su macroactividad)"&amp;" · ","")&amp;IF(AND(N($W221)&gt;0,COUNT($I221:$L221)&gt;0),"Con subactividades: deje vacías las semanas (se calculan solas)"&amp;" · ","")&amp;IF((COUNTIF($I221:$L221,"&gt;1")+COUNTIF($I221:$L221,"&lt;0")+COUNTA($I221:$L221)-COUNT($I221:$L221))&gt;0,"Avance fuera de rango 0-100%"&amp;" · ","")&amp;IF(OR(AND($J221&lt;&gt;"",$J221&lt;$I221),AND($K221&lt;&gt;"",$K221&lt;MAX($I221:$J221)),AND($L221&lt;&gt;"",$L221&lt;MAX($I221:$K221))),"Avance semanal decreciente"&amp;" · ","")&amp;IF(AND(ISNUMBER($AN221),$AN221&lt;FechaRef,IF($V221="Sub",N($X221),N($M221))&lt;1),"Vencida"&amp;" · ","")&amp;IF(AND(ObsObligatoria="Sí",ISNUMBER($AN221),$AN221&lt;FechaRef,IF($V221="Sub",N($X221),N($M221))&lt;1,$Q221=""),"Vencida sin observación"&amp;" · ",""))="","✔ OK","⚠ "&amp;LEFT(IF($C221="","Falta el nombre de la actividad"&amp;" · ","")&amp;IF(AND($V221="Sub",N($U221)=0),"Subactividad sin macroactividad arriba"&amp;" · ","")&amp;IF($AM221="","Sin fecha de inicio"&amp;" · ","")&amp;IF($AN221="","Sin fecha límite"&amp;" · ","")&amp;IF(AND(LEFT($C221,11)="[Jefatura] ",N($AL221)=0),"No se encuentra en la hoja de la jefatura (elíjala de nuevo en la lista)"&amp;" · ","")&amp;IF(OR(AND($E221&lt;&gt;"",NOT(ISNUMBER($E221))),AND($F221&lt;&gt;"",NOT(ISNUMBER($F221))),AND($G221&lt;&gt;"",NOT(ISNUMBER($G221)))),"Fecha no válida"&amp;" · ","")&amp;IF(AND(ISNUMBER($AM221),ISNUMBER($AN221),$AM221&gt;$AN221),"Inicio posterior a fecha límite"&amp;" · ","")&amp;IF(AND($V221="Macro",$H221&lt;&gt;"",OR(NOT(ISNUMBER($H221)),$H221&lt;0,$H221&gt;1)),"Peso fuera de rango"&amp;" · ","")&amp;IF(AND($V221="Sub",$H221&lt;&gt;""),"Las subactividades no llevan peso (valen igual dentro de su macroactividad)"&amp;" · ","")&amp;IF(AND(N($W221)&gt;0,COUNT($I221:$L221)&gt;0),"Con subactividades: deje vacías las semanas (se calculan solas)"&amp;" · ","")&amp;IF((COUNTIF($I221:$L221,"&gt;1")+COUNTIF($I221:$L221,"&lt;0")+COUNTA($I221:$L221)-COUNT($I221:$L221))&gt;0,"Avance fuera de rango 0-100%"&amp;" · ","")&amp;IF(OR(AND($J221&lt;&gt;"",$J221&lt;$I221),AND($K221&lt;&gt;"",$K221&lt;MAX($I221:$J221)),AND($L221&lt;&gt;"",$L221&lt;MAX($I221:$K221))),"Avance semanal decreciente"&amp;" · ","")&amp;IF(AND(ISNUMBER($AN221),$AN221&lt;FechaRef,IF($V221="Sub",N($X221),N($M221))&lt;1),"Vencida"&amp;" · ","")&amp;IF(AND(ObsObligatoria="Sí",ISNUMBER($AN221),$AN221&lt;FechaRef,IF($V221="Sub",N($X221),N($M221))&lt;1,$Q221=""),"Vencida sin observación"&amp;" · ",""),LEN(IF($C221="","Falta el nombre de la actividad"&amp;" · ","")&amp;IF(AND($V221="Sub",N($U221)=0),"Subactividad sin macroactividad arriba"&amp;" · ","")&amp;IF($AM221="","Sin fecha de inicio"&amp;" · ","")&amp;IF($AN221="","Sin fecha límite"&amp;" · ","")&amp;IF(AND(LEFT($C221,11)="[Jefatura] ",N($AL221)=0),"No se encuentra en la hoja de la jefatura (elíjala de nuevo en la lista)"&amp;" · ","")&amp;IF(OR(AND($E221&lt;&gt;"",NOT(ISNUMBER($E221))),AND($F221&lt;&gt;"",NOT(ISNUMBER($F221))),AND($G221&lt;&gt;"",NOT(ISNUMBER($G221)))),"Fecha no válida"&amp;" · ","")&amp;IF(AND(ISNUMBER($AM221),ISNUMBER($AN221),$AM221&gt;$AN221),"Inicio posterior a fecha límite"&amp;" · ","")&amp;IF(AND($V221="Macro",$H221&lt;&gt;"",OR(NOT(ISNUMBER($H221)),$H221&lt;0,$H221&gt;1)),"Peso fuera de rango"&amp;" · ","")&amp;IF(AND($V221="Sub",$H221&lt;&gt;""),"Las subactividades no llevan peso (valen igual dentro de su macroactividad)"&amp;" · ","")&amp;IF(AND(N($W221)&gt;0,COUNT($I221:$L221)&gt;0),"Con subactividades: deje vacías las semanas (se calculan solas)"&amp;" · ","")&amp;IF((COUNTIF($I221:$L221,"&gt;1")+COUNTIF($I221:$L221,"&lt;0")+COUNTA($I221:$L221)-COUNT($I221:$L221))&gt;0,"Avance fuera de rango 0-100%"&amp;" · ","")&amp;IF(OR(AND($J221&lt;&gt;"",$J221&lt;$I221),AND($K221&lt;&gt;"",$K221&lt;MAX($I221:$J221)),AND($L221&lt;&gt;"",$L221&lt;MAX($I221:$K221))),"Avance semanal decreciente"&amp;" · ","")&amp;IF(AND(ISNUMBER($AN221),$AN221&lt;FechaRef,IF($V221="Sub",N($X221),N($M221))&lt;1),"Vencida"&amp;" · ","")&amp;IF(AND(ObsObligatoria="Sí",ISNUMBER($AN221),$AN221&lt;FechaRef,IF($V221="Sub",N($X221),N($M221))&lt;1,$Q221=""),"Vencida sin observación"&amp;" · ",""))-3)))</f>
        <v/>
      </c>
      <c r="S221" s="64">
        <f>IF(NOT((COUNTA($B221:$D221)+COUNTA($G221:$L221)+COUNTA($Q221))&gt;0),"",IF(AND($V221="Sub",N($U221)&gt;0),IF(ISNUMBER(INDEX($AM$5:$AM$1000,$U221-4)),DATE(YEAR(INDEX($AM$5:$AM$1000,$U221-4)),MONTH(INDEX($AM$5:$AM$1000,$U221-4)),1),IF(ISNUMBER(INDEX($AN$5:$AN$1000,$U221-4)),DATE(YEAR(INDEX($AN$5:$AN$1000,$U221-4)),MONTH(INDEX($AN$5:$AN$1000,$U221-4)),1),MesCiclo)),IF(ISNUMBER($AM221),DATE(YEAR($AM221),MONTH($AM221),1),IF(ISNUMBER($AN221),DATE(YEAR($AN221),MONTH($AN221),1),MesCiclo))))</f>
        <v/>
      </c>
      <c r="T221" s="62">
        <f>IF(OR($S221="",$S221&lt;&gt;MesCiclo,$V221&lt;&gt;"Macro"),"",COUNTIFS($S$5:$S221,MesCiclo,$V$5:$V221,"Macro"))</f>
        <v/>
      </c>
      <c r="U221" s="62">
        <f>IF($V221="","",IF($V221="Macro",ROW(),IFERROR(LOOKUP(2,1/($V$5:$V221="Macro"),ROW($V$5:$V221)),0)))</f>
        <v/>
      </c>
      <c r="V221" s="62">
        <f>IF(NOT((COUNTA($B221:$D221)+COUNTA($G221:$L221)+COUNTA($Q221))&gt;0),"",IF($B221="Subactividad","Sub","Macro"))</f>
        <v/>
      </c>
      <c r="W221" s="62">
        <f>IF($V221="Macro",COUNTIFS($U$5:$U$1000,ROW(),$V$5:$V$1000,"Sub"),"")</f>
        <v/>
      </c>
      <c r="X221" s="62">
        <f>IF($V221="","",IF(ISNUMBER($G221),1,IFERROR(LOOKUP(2,1/($I221:$L221&lt;&gt;""),$I221:$L221),0)))</f>
        <v/>
      </c>
      <c r="Y221" s="62">
        <f>IF($V221="","",IF(AND(ISNUMBER($G221),$G221&lt;=IF($S221=MesCiclo,InicioCiclo,$S221+MOD(2-WEEKDAY($S221),7))+6),1,IF(ISNUMBER($I221),$I221,0)))</f>
        <v/>
      </c>
      <c r="Z221" s="62">
        <f>IF($V221="","",IF(AND(ISNUMBER($G221),$G221&lt;=IF($S221=MesCiclo,InicioCiclo,$S221+MOD(2-WEEKDAY($S221),7))+13),1,IF(ISNUMBER($J221),$J221,$Y221)))</f>
        <v/>
      </c>
      <c r="AA221" s="62">
        <f>IF($V221="","",IF(AND(ISNUMBER($G221),$G221&lt;=IF($S221=MesCiclo,InicioCiclo,$S221+MOD(2-WEEKDAY($S221),7))+20),1,IF(ISNUMBER($K221),$K221,$Z221)))</f>
        <v/>
      </c>
      <c r="AB221" s="62">
        <f>IF($V221="","",IF(AND(ISNUMBER($G221),$G221&lt;=IF($S221=MesCiclo,InicioCiclo,$S221+MOD(2-WEEKDAY($S221),7))+27),1,IF(ISNUMBER($L221),$L221,$AA221)))</f>
        <v/>
      </c>
      <c r="AC221" s="62">
        <f>IF($V221="","",IF(AND(ISNUMBER($G221),$G221&lt;=IF($S221=MesCiclo,InicioCiclo,$S221+MOD(2-WEEKDAY($S221),7))+6),1,IF(N($W221)&gt;0,AVERAGEIFS($Y$5:$Y$1000,$U$5:$U$1000,ROW(),$V$5:$V$1000,"Sub"),$Y221)))</f>
        <v/>
      </c>
      <c r="AD221" s="62">
        <f>IF($V221="","",IF(AND(ISNUMBER($G221),$G221&lt;=IF($S221=MesCiclo,InicioCiclo,$S221+MOD(2-WEEKDAY($S221),7))+13),1,IF(N($W221)&gt;0,AVERAGEIFS($Z$5:$Z$1000,$U$5:$U$1000,ROW(),$V$5:$V$1000,"Sub"),$Z221)))</f>
        <v/>
      </c>
      <c r="AE221" s="62">
        <f>IF($V221="","",IF(AND(ISNUMBER($G221),$G221&lt;=IF($S221=MesCiclo,InicioCiclo,$S221+MOD(2-WEEKDAY($S221),7))+20),1,IF(N($W221)&gt;0,AVERAGEIFS($AA$5:$AA$1000,$U$5:$U$1000,ROW(),$V$5:$V$1000,"Sub"),$AA221)))</f>
        <v/>
      </c>
      <c r="AF221" s="62">
        <f>IF($V221="","",IF(AND(ISNUMBER($G221),$G221&lt;=IF($S221=MesCiclo,InicioCiclo,$S221+MOD(2-WEEKDAY($S221),7))+27),1,IF(N($W221)&gt;0,AVERAGEIFS($AB$5:$AB$1000,$U$5:$U$1000,ROW(),$V$5:$V$1000,"Sub"),$AB221)))</f>
        <v/>
      </c>
      <c r="AG221" s="62">
        <f>IF($V221&lt;&gt;"Macro","",IF(COUNTIFS($S$5:$S$1000,$S221,$V$5:$V$1000,"Macro",$H$5:$H$1000,"&gt;0")=0,1/COUNTIFS($S$5:$S$1000,$S221,$V$5:$V$1000,"Macro"),IF(AND(ISNUMBER($H221),N($H221)&gt;0),$H221,SUMIFS($H$5:$H$1000,$S$5:$S$1000,$S221,$V$5:$V$1000,"Macro")/COUNTIFS($S$5:$S$1000,$S221,$V$5:$V$1000,"Macro",$H$5:$H$1000,"&gt;0"))/(COUNTIFS($S$5:$S$1000,$S221,$V$5:$V$1000,"Macro")*SUMIFS($H$5:$H$1000,$S$5:$S$1000,$S221,$V$5:$V$1000,"Macro")/COUNTIFS($S$5:$S$1000,$S221,$V$5:$V$1000,"Macro",$H$5:$H$1000,"&gt;0"))))</f>
        <v/>
      </c>
      <c r="AH221" s="62" t="n"/>
      <c r="AI221" s="62" t="n"/>
      <c r="AJ221" s="62" t="n"/>
      <c r="AK221" s="62" t="n"/>
      <c r="AL221" s="62">
        <f>IF(LEFT($C221,11)="[Jefatura] ",IFERROR(MATCH("Riesgo Financiero|"&amp;MID($C221,12,500),rDname_ADM,0),0),"")</f>
        <v/>
      </c>
      <c r="AM221" s="62">
        <f>IF(N($AL221)&gt;0,INDEX(rIni_ADM,$AL221),IF(ISNUMBER($E221),$E221,""))</f>
        <v/>
      </c>
      <c r="AN221" s="62">
        <f>IF(N($AL221)&gt;0,INDEX(rLim_ADM,$AL221),IF(ISNUMBER($F221),$F221,""))</f>
        <v/>
      </c>
    </row>
    <row r="222">
      <c r="A222" s="56">
        <f>IF(NOT((COUNTA($B222:$D222)+COUNTA($G222:$L222)+COUNTA($Q222))&gt;0),"",IF($V222="Macro",COUNTIFS($V$5:$V222,"Macro",$S$5:$S222,$S222),IF(N($U222)=0,"?",COUNTIFS(INDEX($V$5:$V$1000,1):INDEX($V$5:$V$1000,$U222-4),"Macro",INDEX($S$5:$S$1000,1):INDEX($S$5:$S$1000,$U222-4),INDEX($S$5:$S$1000,$U222-4))&amp;"."&amp;COUNTIFS($U$5:$U222,$U222,$V$5:$V222,"Sub"))))</f>
        <v/>
      </c>
      <c r="B222" s="57" t="n"/>
      <c r="C222" s="58" t="n"/>
      <c r="D222" s="58" t="n"/>
      <c r="E222" s="59">
        <f>IF(N($AL222)&gt;0,INDEX(rIni_ADM,$AL222),"")</f>
        <v/>
      </c>
      <c r="F222" s="59">
        <f>IF(N($AL222)&gt;0,INDEX(rLim_ADM,$AL222),"")</f>
        <v/>
      </c>
      <c r="G222" s="59" t="n"/>
      <c r="H222" s="60" t="n"/>
      <c r="I222" s="60" t="n"/>
      <c r="J222" s="60" t="n"/>
      <c r="K222" s="60" t="n"/>
      <c r="L222" s="60" t="n"/>
      <c r="M222" s="61">
        <f>IF(NOT((COUNTA($B222:$D222)+COUNTA($G222:$L222)+COUNTA($Q222))&gt;0),"",IF($V222="Sub",IFERROR($X222/INDEX($W$5:$W$1000,$U222-4),""),IF(ISNUMBER($G222),1,IF(N($W222)&gt;0,AVERAGEIFS($X$5:$X$1000,$U$5:$U$1000,ROW(),$V$5:$V$1000,"Sub"),$X222))))</f>
        <v/>
      </c>
      <c r="N222" s="56">
        <f>IF(OR($M222="",$V222="Sub"),"",IF($M222&gt;=1,"Completado",IF($M222&gt;0,"En curso","Pendiente")))</f>
        <v/>
      </c>
      <c r="O222" s="56">
        <f>IF(OR(NOT((COUNTA($B222:$D222)+COUNTA($G222:$L222)+COUNTA($Q222))&gt;0),$V222="Sub"),"",IF(ISNUMBER($G222),IF(AND(ISNUMBER($AN222),$G222&gt;$AN222),"Cumplida con "&amp;($G222-$AN222)&amp;IF($G222-$AN222=1," día"," días")&amp;" de retraso","Cumplida"),IF(N($M222)&gt;=1,"Cumplida",IF(NOT(ISNUMBER($AN222)),"Sin fecha límite",IF($AN222&lt;FechaRef,"Vencida hace "&amp;(FechaRef-$AN222)&amp;IF(FechaRef-$AN222=1," día"," días"),IF($AN222=FechaRef,"Vence hoy",IF($AN222-FechaRef&lt;=DiasAlerta,"Vence en "&amp;($AN222-FechaRef)&amp;IF($AN222-FechaRef=1," día"," días"),"En plazo")))))))</f>
        <v/>
      </c>
      <c r="P222" s="62" t="n"/>
      <c r="Q222" s="58" t="n"/>
      <c r="R222" s="63">
        <f>IF(NOT((COUNTA($B222:$D222)+COUNTA($G222:$L222)+COUNTA($Q222))&gt;0),"",IF((IF($C222="","Falta el nombre de la actividad"&amp;" · ","")&amp;IF(AND($V222="Sub",N($U222)=0),"Subactividad sin macroactividad arriba"&amp;" · ","")&amp;IF($AM222="","Sin fecha de inicio"&amp;" · ","")&amp;IF($AN222="","Sin fecha límite"&amp;" · ","")&amp;IF(AND(LEFT($C222,11)="[Jefatura] ",N($AL222)=0),"No se encuentra en la hoja de la jefatura (elíjala de nuevo en la lista)"&amp;" · ","")&amp;IF(OR(AND($E222&lt;&gt;"",NOT(ISNUMBER($E222))),AND($F222&lt;&gt;"",NOT(ISNUMBER($F222))),AND($G222&lt;&gt;"",NOT(ISNUMBER($G222)))),"Fecha no válida"&amp;" · ","")&amp;IF(AND(ISNUMBER($AM222),ISNUMBER($AN222),$AM222&gt;$AN222),"Inicio posterior a fecha límite"&amp;" · ","")&amp;IF(AND($V222="Macro",$H222&lt;&gt;"",OR(NOT(ISNUMBER($H222)),$H222&lt;0,$H222&gt;1)),"Peso fuera de rango"&amp;" · ","")&amp;IF(AND($V222="Sub",$H222&lt;&gt;""),"Las subactividades no llevan peso (valen igual dentro de su macroactividad)"&amp;" · ","")&amp;IF(AND(N($W222)&gt;0,COUNT($I222:$L222)&gt;0),"Con subactividades: deje vacías las semanas (se calculan solas)"&amp;" · ","")&amp;IF((COUNTIF($I222:$L222,"&gt;1")+COUNTIF($I222:$L222,"&lt;0")+COUNTA($I222:$L222)-COUNT($I222:$L222))&gt;0,"Avance fuera de rango 0-100%"&amp;" · ","")&amp;IF(OR(AND($J222&lt;&gt;"",$J222&lt;$I222),AND($K222&lt;&gt;"",$K222&lt;MAX($I222:$J222)),AND($L222&lt;&gt;"",$L222&lt;MAX($I222:$K222))),"Avance semanal decreciente"&amp;" · ","")&amp;IF(AND(ISNUMBER($AN222),$AN222&lt;FechaRef,IF($V222="Sub",N($X222),N($M222))&lt;1),"Vencida"&amp;" · ","")&amp;IF(AND(ObsObligatoria="Sí",ISNUMBER($AN222),$AN222&lt;FechaRef,IF($V222="Sub",N($X222),N($M222))&lt;1,$Q222=""),"Vencida sin observación"&amp;" · ",""))="","✔ OK","⚠ "&amp;LEFT(IF($C222="","Falta el nombre de la actividad"&amp;" · ","")&amp;IF(AND($V222="Sub",N($U222)=0),"Subactividad sin macroactividad arriba"&amp;" · ","")&amp;IF($AM222="","Sin fecha de inicio"&amp;" · ","")&amp;IF($AN222="","Sin fecha límite"&amp;" · ","")&amp;IF(AND(LEFT($C222,11)="[Jefatura] ",N($AL222)=0),"No se encuentra en la hoja de la jefatura (elíjala de nuevo en la lista)"&amp;" · ","")&amp;IF(OR(AND($E222&lt;&gt;"",NOT(ISNUMBER($E222))),AND($F222&lt;&gt;"",NOT(ISNUMBER($F222))),AND($G222&lt;&gt;"",NOT(ISNUMBER($G222)))),"Fecha no válida"&amp;" · ","")&amp;IF(AND(ISNUMBER($AM222),ISNUMBER($AN222),$AM222&gt;$AN222),"Inicio posterior a fecha límite"&amp;" · ","")&amp;IF(AND($V222="Macro",$H222&lt;&gt;"",OR(NOT(ISNUMBER($H222)),$H222&lt;0,$H222&gt;1)),"Peso fuera de rango"&amp;" · ","")&amp;IF(AND($V222="Sub",$H222&lt;&gt;""),"Las subactividades no llevan peso (valen igual dentro de su macroactividad)"&amp;" · ","")&amp;IF(AND(N($W222)&gt;0,COUNT($I222:$L222)&gt;0),"Con subactividades: deje vacías las semanas (se calculan solas)"&amp;" · ","")&amp;IF((COUNTIF($I222:$L222,"&gt;1")+COUNTIF($I222:$L222,"&lt;0")+COUNTA($I222:$L222)-COUNT($I222:$L222))&gt;0,"Avance fuera de rango 0-100%"&amp;" · ","")&amp;IF(OR(AND($J222&lt;&gt;"",$J222&lt;$I222),AND($K222&lt;&gt;"",$K222&lt;MAX($I222:$J222)),AND($L222&lt;&gt;"",$L222&lt;MAX($I222:$K222))),"Avance semanal decreciente"&amp;" · ","")&amp;IF(AND(ISNUMBER($AN222),$AN222&lt;FechaRef,IF($V222="Sub",N($X222),N($M222))&lt;1),"Vencida"&amp;" · ","")&amp;IF(AND(ObsObligatoria="Sí",ISNUMBER($AN222),$AN222&lt;FechaRef,IF($V222="Sub",N($X222),N($M222))&lt;1,$Q222=""),"Vencida sin observación"&amp;" · ",""),LEN(IF($C222="","Falta el nombre de la actividad"&amp;" · ","")&amp;IF(AND($V222="Sub",N($U222)=0),"Subactividad sin macroactividad arriba"&amp;" · ","")&amp;IF($AM222="","Sin fecha de inicio"&amp;" · ","")&amp;IF($AN222="","Sin fecha límite"&amp;" · ","")&amp;IF(AND(LEFT($C222,11)="[Jefatura] ",N($AL222)=0),"No se encuentra en la hoja de la jefatura (elíjala de nuevo en la lista)"&amp;" · ","")&amp;IF(OR(AND($E222&lt;&gt;"",NOT(ISNUMBER($E222))),AND($F222&lt;&gt;"",NOT(ISNUMBER($F222))),AND($G222&lt;&gt;"",NOT(ISNUMBER($G222)))),"Fecha no válida"&amp;" · ","")&amp;IF(AND(ISNUMBER($AM222),ISNUMBER($AN222),$AM222&gt;$AN222),"Inicio posterior a fecha límite"&amp;" · ","")&amp;IF(AND($V222="Macro",$H222&lt;&gt;"",OR(NOT(ISNUMBER($H222)),$H222&lt;0,$H222&gt;1)),"Peso fuera de rango"&amp;" · ","")&amp;IF(AND($V222="Sub",$H222&lt;&gt;""),"Las subactividades no llevan peso (valen igual dentro de su macroactividad)"&amp;" · ","")&amp;IF(AND(N($W222)&gt;0,COUNT($I222:$L222)&gt;0),"Con subactividades: deje vacías las semanas (se calculan solas)"&amp;" · ","")&amp;IF((COUNTIF($I222:$L222,"&gt;1")+COUNTIF($I222:$L222,"&lt;0")+COUNTA($I222:$L222)-COUNT($I222:$L222))&gt;0,"Avance fuera de rango 0-100%"&amp;" · ","")&amp;IF(OR(AND($J222&lt;&gt;"",$J222&lt;$I222),AND($K222&lt;&gt;"",$K222&lt;MAX($I222:$J222)),AND($L222&lt;&gt;"",$L222&lt;MAX($I222:$K222))),"Avance semanal decreciente"&amp;" · ","")&amp;IF(AND(ISNUMBER($AN222),$AN222&lt;FechaRef,IF($V222="Sub",N($X222),N($M222))&lt;1),"Vencida"&amp;" · ","")&amp;IF(AND(ObsObligatoria="Sí",ISNUMBER($AN222),$AN222&lt;FechaRef,IF($V222="Sub",N($X222),N($M222))&lt;1,$Q222=""),"Vencida sin observación"&amp;" · ",""))-3)))</f>
        <v/>
      </c>
      <c r="S222" s="64">
        <f>IF(NOT((COUNTA($B222:$D222)+COUNTA($G222:$L222)+COUNTA($Q222))&gt;0),"",IF(AND($V222="Sub",N($U222)&gt;0),IF(ISNUMBER(INDEX($AM$5:$AM$1000,$U222-4)),DATE(YEAR(INDEX($AM$5:$AM$1000,$U222-4)),MONTH(INDEX($AM$5:$AM$1000,$U222-4)),1),IF(ISNUMBER(INDEX($AN$5:$AN$1000,$U222-4)),DATE(YEAR(INDEX($AN$5:$AN$1000,$U222-4)),MONTH(INDEX($AN$5:$AN$1000,$U222-4)),1),MesCiclo)),IF(ISNUMBER($AM222),DATE(YEAR($AM222),MONTH($AM222),1),IF(ISNUMBER($AN222),DATE(YEAR($AN222),MONTH($AN222),1),MesCiclo))))</f>
        <v/>
      </c>
      <c r="T222" s="62">
        <f>IF(OR($S222="",$S222&lt;&gt;MesCiclo,$V222&lt;&gt;"Macro"),"",COUNTIFS($S$5:$S222,MesCiclo,$V$5:$V222,"Macro"))</f>
        <v/>
      </c>
      <c r="U222" s="62">
        <f>IF($V222="","",IF($V222="Macro",ROW(),IFERROR(LOOKUP(2,1/($V$5:$V222="Macro"),ROW($V$5:$V222)),0)))</f>
        <v/>
      </c>
      <c r="V222" s="62">
        <f>IF(NOT((COUNTA($B222:$D222)+COUNTA($G222:$L222)+COUNTA($Q222))&gt;0),"",IF($B222="Subactividad","Sub","Macro"))</f>
        <v/>
      </c>
      <c r="W222" s="62">
        <f>IF($V222="Macro",COUNTIFS($U$5:$U$1000,ROW(),$V$5:$V$1000,"Sub"),"")</f>
        <v/>
      </c>
      <c r="X222" s="62">
        <f>IF($V222="","",IF(ISNUMBER($G222),1,IFERROR(LOOKUP(2,1/($I222:$L222&lt;&gt;""),$I222:$L222),0)))</f>
        <v/>
      </c>
      <c r="Y222" s="62">
        <f>IF($V222="","",IF(AND(ISNUMBER($G222),$G222&lt;=IF($S222=MesCiclo,InicioCiclo,$S222+MOD(2-WEEKDAY($S222),7))+6),1,IF(ISNUMBER($I222),$I222,0)))</f>
        <v/>
      </c>
      <c r="Z222" s="62">
        <f>IF($V222="","",IF(AND(ISNUMBER($G222),$G222&lt;=IF($S222=MesCiclo,InicioCiclo,$S222+MOD(2-WEEKDAY($S222),7))+13),1,IF(ISNUMBER($J222),$J222,$Y222)))</f>
        <v/>
      </c>
      <c r="AA222" s="62">
        <f>IF($V222="","",IF(AND(ISNUMBER($G222),$G222&lt;=IF($S222=MesCiclo,InicioCiclo,$S222+MOD(2-WEEKDAY($S222),7))+20),1,IF(ISNUMBER($K222),$K222,$Z222)))</f>
        <v/>
      </c>
      <c r="AB222" s="62">
        <f>IF($V222="","",IF(AND(ISNUMBER($G222),$G222&lt;=IF($S222=MesCiclo,InicioCiclo,$S222+MOD(2-WEEKDAY($S222),7))+27),1,IF(ISNUMBER($L222),$L222,$AA222)))</f>
        <v/>
      </c>
      <c r="AC222" s="62">
        <f>IF($V222="","",IF(AND(ISNUMBER($G222),$G222&lt;=IF($S222=MesCiclo,InicioCiclo,$S222+MOD(2-WEEKDAY($S222),7))+6),1,IF(N($W222)&gt;0,AVERAGEIFS($Y$5:$Y$1000,$U$5:$U$1000,ROW(),$V$5:$V$1000,"Sub"),$Y222)))</f>
        <v/>
      </c>
      <c r="AD222" s="62">
        <f>IF($V222="","",IF(AND(ISNUMBER($G222),$G222&lt;=IF($S222=MesCiclo,InicioCiclo,$S222+MOD(2-WEEKDAY($S222),7))+13),1,IF(N($W222)&gt;0,AVERAGEIFS($Z$5:$Z$1000,$U$5:$U$1000,ROW(),$V$5:$V$1000,"Sub"),$Z222)))</f>
        <v/>
      </c>
      <c r="AE222" s="62">
        <f>IF($V222="","",IF(AND(ISNUMBER($G222),$G222&lt;=IF($S222=MesCiclo,InicioCiclo,$S222+MOD(2-WEEKDAY($S222),7))+20),1,IF(N($W222)&gt;0,AVERAGEIFS($AA$5:$AA$1000,$U$5:$U$1000,ROW(),$V$5:$V$1000,"Sub"),$AA222)))</f>
        <v/>
      </c>
      <c r="AF222" s="62">
        <f>IF($V222="","",IF(AND(ISNUMBER($G222),$G222&lt;=IF($S222=MesCiclo,InicioCiclo,$S222+MOD(2-WEEKDAY($S222),7))+27),1,IF(N($W222)&gt;0,AVERAGEIFS($AB$5:$AB$1000,$U$5:$U$1000,ROW(),$V$5:$V$1000,"Sub"),$AB222)))</f>
        <v/>
      </c>
      <c r="AG222" s="62">
        <f>IF($V222&lt;&gt;"Macro","",IF(COUNTIFS($S$5:$S$1000,$S222,$V$5:$V$1000,"Macro",$H$5:$H$1000,"&gt;0")=0,1/COUNTIFS($S$5:$S$1000,$S222,$V$5:$V$1000,"Macro"),IF(AND(ISNUMBER($H222),N($H222)&gt;0),$H222,SUMIFS($H$5:$H$1000,$S$5:$S$1000,$S222,$V$5:$V$1000,"Macro")/COUNTIFS($S$5:$S$1000,$S222,$V$5:$V$1000,"Macro",$H$5:$H$1000,"&gt;0"))/(COUNTIFS($S$5:$S$1000,$S222,$V$5:$V$1000,"Macro")*SUMIFS($H$5:$H$1000,$S$5:$S$1000,$S222,$V$5:$V$1000,"Macro")/COUNTIFS($S$5:$S$1000,$S222,$V$5:$V$1000,"Macro",$H$5:$H$1000,"&gt;0"))))</f>
        <v/>
      </c>
      <c r="AH222" s="62" t="n"/>
      <c r="AI222" s="62" t="n"/>
      <c r="AJ222" s="62" t="n"/>
      <c r="AK222" s="62" t="n"/>
      <c r="AL222" s="62">
        <f>IF(LEFT($C222,11)="[Jefatura] ",IFERROR(MATCH("Riesgo Financiero|"&amp;MID($C222,12,500),rDname_ADM,0),0),"")</f>
        <v/>
      </c>
      <c r="AM222" s="62">
        <f>IF(N($AL222)&gt;0,INDEX(rIni_ADM,$AL222),IF(ISNUMBER($E222),$E222,""))</f>
        <v/>
      </c>
      <c r="AN222" s="62">
        <f>IF(N($AL222)&gt;0,INDEX(rLim_ADM,$AL222),IF(ISNUMBER($F222),$F222,""))</f>
        <v/>
      </c>
    </row>
    <row r="223">
      <c r="A223" s="56">
        <f>IF(NOT((COUNTA($B223:$D223)+COUNTA($G223:$L223)+COUNTA($Q223))&gt;0),"",IF($V223="Macro",COUNTIFS($V$5:$V223,"Macro",$S$5:$S223,$S223),IF(N($U223)=0,"?",COUNTIFS(INDEX($V$5:$V$1000,1):INDEX($V$5:$V$1000,$U223-4),"Macro",INDEX($S$5:$S$1000,1):INDEX($S$5:$S$1000,$U223-4),INDEX($S$5:$S$1000,$U223-4))&amp;"."&amp;COUNTIFS($U$5:$U223,$U223,$V$5:$V223,"Sub"))))</f>
        <v/>
      </c>
      <c r="B223" s="57" t="n"/>
      <c r="C223" s="58" t="n"/>
      <c r="D223" s="58" t="n"/>
      <c r="E223" s="59">
        <f>IF(N($AL223)&gt;0,INDEX(rIni_ADM,$AL223),"")</f>
        <v/>
      </c>
      <c r="F223" s="59">
        <f>IF(N($AL223)&gt;0,INDEX(rLim_ADM,$AL223),"")</f>
        <v/>
      </c>
      <c r="G223" s="59" t="n"/>
      <c r="H223" s="60" t="n"/>
      <c r="I223" s="60" t="n"/>
      <c r="J223" s="60" t="n"/>
      <c r="K223" s="60" t="n"/>
      <c r="L223" s="60" t="n"/>
      <c r="M223" s="61">
        <f>IF(NOT((COUNTA($B223:$D223)+COUNTA($G223:$L223)+COUNTA($Q223))&gt;0),"",IF($V223="Sub",IFERROR($X223/INDEX($W$5:$W$1000,$U223-4),""),IF(ISNUMBER($G223),1,IF(N($W223)&gt;0,AVERAGEIFS($X$5:$X$1000,$U$5:$U$1000,ROW(),$V$5:$V$1000,"Sub"),$X223))))</f>
        <v/>
      </c>
      <c r="N223" s="56">
        <f>IF(OR($M223="",$V223="Sub"),"",IF($M223&gt;=1,"Completado",IF($M223&gt;0,"En curso","Pendiente")))</f>
        <v/>
      </c>
      <c r="O223" s="56">
        <f>IF(OR(NOT((COUNTA($B223:$D223)+COUNTA($G223:$L223)+COUNTA($Q223))&gt;0),$V223="Sub"),"",IF(ISNUMBER($G223),IF(AND(ISNUMBER($AN223),$G223&gt;$AN223),"Cumplida con "&amp;($G223-$AN223)&amp;IF($G223-$AN223=1," día"," días")&amp;" de retraso","Cumplida"),IF(N($M223)&gt;=1,"Cumplida",IF(NOT(ISNUMBER($AN223)),"Sin fecha límite",IF($AN223&lt;FechaRef,"Vencida hace "&amp;(FechaRef-$AN223)&amp;IF(FechaRef-$AN223=1," día"," días"),IF($AN223=FechaRef,"Vence hoy",IF($AN223-FechaRef&lt;=DiasAlerta,"Vence en "&amp;($AN223-FechaRef)&amp;IF($AN223-FechaRef=1," día"," días"),"En plazo")))))))</f>
        <v/>
      </c>
      <c r="P223" s="62" t="n"/>
      <c r="Q223" s="58" t="n"/>
      <c r="R223" s="63">
        <f>IF(NOT((COUNTA($B223:$D223)+COUNTA($G223:$L223)+COUNTA($Q223))&gt;0),"",IF((IF($C223="","Falta el nombre de la actividad"&amp;" · ","")&amp;IF(AND($V223="Sub",N($U223)=0),"Subactividad sin macroactividad arriba"&amp;" · ","")&amp;IF($AM223="","Sin fecha de inicio"&amp;" · ","")&amp;IF($AN223="","Sin fecha límite"&amp;" · ","")&amp;IF(AND(LEFT($C223,11)="[Jefatura] ",N($AL223)=0),"No se encuentra en la hoja de la jefatura (elíjala de nuevo en la lista)"&amp;" · ","")&amp;IF(OR(AND($E223&lt;&gt;"",NOT(ISNUMBER($E223))),AND($F223&lt;&gt;"",NOT(ISNUMBER($F223))),AND($G223&lt;&gt;"",NOT(ISNUMBER($G223)))),"Fecha no válida"&amp;" · ","")&amp;IF(AND(ISNUMBER($AM223),ISNUMBER($AN223),$AM223&gt;$AN223),"Inicio posterior a fecha límite"&amp;" · ","")&amp;IF(AND($V223="Macro",$H223&lt;&gt;"",OR(NOT(ISNUMBER($H223)),$H223&lt;0,$H223&gt;1)),"Peso fuera de rango"&amp;" · ","")&amp;IF(AND($V223="Sub",$H223&lt;&gt;""),"Las subactividades no llevan peso (valen igual dentro de su macroactividad)"&amp;" · ","")&amp;IF(AND(N($W223)&gt;0,COUNT($I223:$L223)&gt;0),"Con subactividades: deje vacías las semanas (se calculan solas)"&amp;" · ","")&amp;IF((COUNTIF($I223:$L223,"&gt;1")+COUNTIF($I223:$L223,"&lt;0")+COUNTA($I223:$L223)-COUNT($I223:$L223))&gt;0,"Avance fuera de rango 0-100%"&amp;" · ","")&amp;IF(OR(AND($J223&lt;&gt;"",$J223&lt;$I223),AND($K223&lt;&gt;"",$K223&lt;MAX($I223:$J223)),AND($L223&lt;&gt;"",$L223&lt;MAX($I223:$K223))),"Avance semanal decreciente"&amp;" · ","")&amp;IF(AND(ISNUMBER($AN223),$AN223&lt;FechaRef,IF($V223="Sub",N($X223),N($M223))&lt;1),"Vencida"&amp;" · ","")&amp;IF(AND(ObsObligatoria="Sí",ISNUMBER($AN223),$AN223&lt;FechaRef,IF($V223="Sub",N($X223),N($M223))&lt;1,$Q223=""),"Vencida sin observación"&amp;" · ",""))="","✔ OK","⚠ "&amp;LEFT(IF($C223="","Falta el nombre de la actividad"&amp;" · ","")&amp;IF(AND($V223="Sub",N($U223)=0),"Subactividad sin macroactividad arriba"&amp;" · ","")&amp;IF($AM223="","Sin fecha de inicio"&amp;" · ","")&amp;IF($AN223="","Sin fecha límite"&amp;" · ","")&amp;IF(AND(LEFT($C223,11)="[Jefatura] ",N($AL223)=0),"No se encuentra en la hoja de la jefatura (elíjala de nuevo en la lista)"&amp;" · ","")&amp;IF(OR(AND($E223&lt;&gt;"",NOT(ISNUMBER($E223))),AND($F223&lt;&gt;"",NOT(ISNUMBER($F223))),AND($G223&lt;&gt;"",NOT(ISNUMBER($G223)))),"Fecha no válida"&amp;" · ","")&amp;IF(AND(ISNUMBER($AM223),ISNUMBER($AN223),$AM223&gt;$AN223),"Inicio posterior a fecha límite"&amp;" · ","")&amp;IF(AND($V223="Macro",$H223&lt;&gt;"",OR(NOT(ISNUMBER($H223)),$H223&lt;0,$H223&gt;1)),"Peso fuera de rango"&amp;" · ","")&amp;IF(AND($V223="Sub",$H223&lt;&gt;""),"Las subactividades no llevan peso (valen igual dentro de su macroactividad)"&amp;" · ","")&amp;IF(AND(N($W223)&gt;0,COUNT($I223:$L223)&gt;0),"Con subactividades: deje vacías las semanas (se calculan solas)"&amp;" · ","")&amp;IF((COUNTIF($I223:$L223,"&gt;1")+COUNTIF($I223:$L223,"&lt;0")+COUNTA($I223:$L223)-COUNT($I223:$L223))&gt;0,"Avance fuera de rango 0-100%"&amp;" · ","")&amp;IF(OR(AND($J223&lt;&gt;"",$J223&lt;$I223),AND($K223&lt;&gt;"",$K223&lt;MAX($I223:$J223)),AND($L223&lt;&gt;"",$L223&lt;MAX($I223:$K223))),"Avance semanal decreciente"&amp;" · ","")&amp;IF(AND(ISNUMBER($AN223),$AN223&lt;FechaRef,IF($V223="Sub",N($X223),N($M223))&lt;1),"Vencida"&amp;" · ","")&amp;IF(AND(ObsObligatoria="Sí",ISNUMBER($AN223),$AN223&lt;FechaRef,IF($V223="Sub",N($X223),N($M223))&lt;1,$Q223=""),"Vencida sin observación"&amp;" · ",""),LEN(IF($C223="","Falta el nombre de la actividad"&amp;" · ","")&amp;IF(AND($V223="Sub",N($U223)=0),"Subactividad sin macroactividad arriba"&amp;" · ","")&amp;IF($AM223="","Sin fecha de inicio"&amp;" · ","")&amp;IF($AN223="","Sin fecha límite"&amp;" · ","")&amp;IF(AND(LEFT($C223,11)="[Jefatura] ",N($AL223)=0),"No se encuentra en la hoja de la jefatura (elíjala de nuevo en la lista)"&amp;" · ","")&amp;IF(OR(AND($E223&lt;&gt;"",NOT(ISNUMBER($E223))),AND($F223&lt;&gt;"",NOT(ISNUMBER($F223))),AND($G223&lt;&gt;"",NOT(ISNUMBER($G223)))),"Fecha no válida"&amp;" · ","")&amp;IF(AND(ISNUMBER($AM223),ISNUMBER($AN223),$AM223&gt;$AN223),"Inicio posterior a fecha límite"&amp;" · ","")&amp;IF(AND($V223="Macro",$H223&lt;&gt;"",OR(NOT(ISNUMBER($H223)),$H223&lt;0,$H223&gt;1)),"Peso fuera de rango"&amp;" · ","")&amp;IF(AND($V223="Sub",$H223&lt;&gt;""),"Las subactividades no llevan peso (valen igual dentro de su macroactividad)"&amp;" · ","")&amp;IF(AND(N($W223)&gt;0,COUNT($I223:$L223)&gt;0),"Con subactividades: deje vacías las semanas (se calculan solas)"&amp;" · ","")&amp;IF((COUNTIF($I223:$L223,"&gt;1")+COUNTIF($I223:$L223,"&lt;0")+COUNTA($I223:$L223)-COUNT($I223:$L223))&gt;0,"Avance fuera de rango 0-100%"&amp;" · ","")&amp;IF(OR(AND($J223&lt;&gt;"",$J223&lt;$I223),AND($K223&lt;&gt;"",$K223&lt;MAX($I223:$J223)),AND($L223&lt;&gt;"",$L223&lt;MAX($I223:$K223))),"Avance semanal decreciente"&amp;" · ","")&amp;IF(AND(ISNUMBER($AN223),$AN223&lt;FechaRef,IF($V223="Sub",N($X223),N($M223))&lt;1),"Vencida"&amp;" · ","")&amp;IF(AND(ObsObligatoria="Sí",ISNUMBER($AN223),$AN223&lt;FechaRef,IF($V223="Sub",N($X223),N($M223))&lt;1,$Q223=""),"Vencida sin observación"&amp;" · ",""))-3)))</f>
        <v/>
      </c>
      <c r="S223" s="64">
        <f>IF(NOT((COUNTA($B223:$D223)+COUNTA($G223:$L223)+COUNTA($Q223))&gt;0),"",IF(AND($V223="Sub",N($U223)&gt;0),IF(ISNUMBER(INDEX($AM$5:$AM$1000,$U223-4)),DATE(YEAR(INDEX($AM$5:$AM$1000,$U223-4)),MONTH(INDEX($AM$5:$AM$1000,$U223-4)),1),IF(ISNUMBER(INDEX($AN$5:$AN$1000,$U223-4)),DATE(YEAR(INDEX($AN$5:$AN$1000,$U223-4)),MONTH(INDEX($AN$5:$AN$1000,$U223-4)),1),MesCiclo)),IF(ISNUMBER($AM223),DATE(YEAR($AM223),MONTH($AM223),1),IF(ISNUMBER($AN223),DATE(YEAR($AN223),MONTH($AN223),1),MesCiclo))))</f>
        <v/>
      </c>
      <c r="T223" s="62">
        <f>IF(OR($S223="",$S223&lt;&gt;MesCiclo,$V223&lt;&gt;"Macro"),"",COUNTIFS($S$5:$S223,MesCiclo,$V$5:$V223,"Macro"))</f>
        <v/>
      </c>
      <c r="U223" s="62">
        <f>IF($V223="","",IF($V223="Macro",ROW(),IFERROR(LOOKUP(2,1/($V$5:$V223="Macro"),ROW($V$5:$V223)),0)))</f>
        <v/>
      </c>
      <c r="V223" s="62">
        <f>IF(NOT((COUNTA($B223:$D223)+COUNTA($G223:$L223)+COUNTA($Q223))&gt;0),"",IF($B223="Subactividad","Sub","Macro"))</f>
        <v/>
      </c>
      <c r="W223" s="62">
        <f>IF($V223="Macro",COUNTIFS($U$5:$U$1000,ROW(),$V$5:$V$1000,"Sub"),"")</f>
        <v/>
      </c>
      <c r="X223" s="62">
        <f>IF($V223="","",IF(ISNUMBER($G223),1,IFERROR(LOOKUP(2,1/($I223:$L223&lt;&gt;""),$I223:$L223),0)))</f>
        <v/>
      </c>
      <c r="Y223" s="62">
        <f>IF($V223="","",IF(AND(ISNUMBER($G223),$G223&lt;=IF($S223=MesCiclo,InicioCiclo,$S223+MOD(2-WEEKDAY($S223),7))+6),1,IF(ISNUMBER($I223),$I223,0)))</f>
        <v/>
      </c>
      <c r="Z223" s="62">
        <f>IF($V223="","",IF(AND(ISNUMBER($G223),$G223&lt;=IF($S223=MesCiclo,InicioCiclo,$S223+MOD(2-WEEKDAY($S223),7))+13),1,IF(ISNUMBER($J223),$J223,$Y223)))</f>
        <v/>
      </c>
      <c r="AA223" s="62">
        <f>IF($V223="","",IF(AND(ISNUMBER($G223),$G223&lt;=IF($S223=MesCiclo,InicioCiclo,$S223+MOD(2-WEEKDAY($S223),7))+20),1,IF(ISNUMBER($K223),$K223,$Z223)))</f>
        <v/>
      </c>
      <c r="AB223" s="62">
        <f>IF($V223="","",IF(AND(ISNUMBER($G223),$G223&lt;=IF($S223=MesCiclo,InicioCiclo,$S223+MOD(2-WEEKDAY($S223),7))+27),1,IF(ISNUMBER($L223),$L223,$AA223)))</f>
        <v/>
      </c>
      <c r="AC223" s="62">
        <f>IF($V223="","",IF(AND(ISNUMBER($G223),$G223&lt;=IF($S223=MesCiclo,InicioCiclo,$S223+MOD(2-WEEKDAY($S223),7))+6),1,IF(N($W223)&gt;0,AVERAGEIFS($Y$5:$Y$1000,$U$5:$U$1000,ROW(),$V$5:$V$1000,"Sub"),$Y223)))</f>
        <v/>
      </c>
      <c r="AD223" s="62">
        <f>IF($V223="","",IF(AND(ISNUMBER($G223),$G223&lt;=IF($S223=MesCiclo,InicioCiclo,$S223+MOD(2-WEEKDAY($S223),7))+13),1,IF(N($W223)&gt;0,AVERAGEIFS($Z$5:$Z$1000,$U$5:$U$1000,ROW(),$V$5:$V$1000,"Sub"),$Z223)))</f>
        <v/>
      </c>
      <c r="AE223" s="62">
        <f>IF($V223="","",IF(AND(ISNUMBER($G223),$G223&lt;=IF($S223=MesCiclo,InicioCiclo,$S223+MOD(2-WEEKDAY($S223),7))+20),1,IF(N($W223)&gt;0,AVERAGEIFS($AA$5:$AA$1000,$U$5:$U$1000,ROW(),$V$5:$V$1000,"Sub"),$AA223)))</f>
        <v/>
      </c>
      <c r="AF223" s="62">
        <f>IF($V223="","",IF(AND(ISNUMBER($G223),$G223&lt;=IF($S223=MesCiclo,InicioCiclo,$S223+MOD(2-WEEKDAY($S223),7))+27),1,IF(N($W223)&gt;0,AVERAGEIFS($AB$5:$AB$1000,$U$5:$U$1000,ROW(),$V$5:$V$1000,"Sub"),$AB223)))</f>
        <v/>
      </c>
      <c r="AG223" s="62">
        <f>IF($V223&lt;&gt;"Macro","",IF(COUNTIFS($S$5:$S$1000,$S223,$V$5:$V$1000,"Macro",$H$5:$H$1000,"&gt;0")=0,1/COUNTIFS($S$5:$S$1000,$S223,$V$5:$V$1000,"Macro"),IF(AND(ISNUMBER($H223),N($H223)&gt;0),$H223,SUMIFS($H$5:$H$1000,$S$5:$S$1000,$S223,$V$5:$V$1000,"Macro")/COUNTIFS($S$5:$S$1000,$S223,$V$5:$V$1000,"Macro",$H$5:$H$1000,"&gt;0"))/(COUNTIFS($S$5:$S$1000,$S223,$V$5:$V$1000,"Macro")*SUMIFS($H$5:$H$1000,$S$5:$S$1000,$S223,$V$5:$V$1000,"Macro")/COUNTIFS($S$5:$S$1000,$S223,$V$5:$V$1000,"Macro",$H$5:$H$1000,"&gt;0"))))</f>
        <v/>
      </c>
      <c r="AH223" s="62" t="n"/>
      <c r="AI223" s="62" t="n"/>
      <c r="AJ223" s="62" t="n"/>
      <c r="AK223" s="62" t="n"/>
      <c r="AL223" s="62">
        <f>IF(LEFT($C223,11)="[Jefatura] ",IFERROR(MATCH("Riesgo Financiero|"&amp;MID($C223,12,500),rDname_ADM,0),0),"")</f>
        <v/>
      </c>
      <c r="AM223" s="62">
        <f>IF(N($AL223)&gt;0,INDEX(rIni_ADM,$AL223),IF(ISNUMBER($E223),$E223,""))</f>
        <v/>
      </c>
      <c r="AN223" s="62">
        <f>IF(N($AL223)&gt;0,INDEX(rLim_ADM,$AL223),IF(ISNUMBER($F223),$F223,""))</f>
        <v/>
      </c>
    </row>
    <row r="224">
      <c r="A224" s="56">
        <f>IF(NOT((COUNTA($B224:$D224)+COUNTA($G224:$L224)+COUNTA($Q224))&gt;0),"",IF($V224="Macro",COUNTIFS($V$5:$V224,"Macro",$S$5:$S224,$S224),IF(N($U224)=0,"?",COUNTIFS(INDEX($V$5:$V$1000,1):INDEX($V$5:$V$1000,$U224-4),"Macro",INDEX($S$5:$S$1000,1):INDEX($S$5:$S$1000,$U224-4),INDEX($S$5:$S$1000,$U224-4))&amp;"."&amp;COUNTIFS($U$5:$U224,$U224,$V$5:$V224,"Sub"))))</f>
        <v/>
      </c>
      <c r="B224" s="57" t="n"/>
      <c r="C224" s="58" t="n"/>
      <c r="D224" s="58" t="n"/>
      <c r="E224" s="59">
        <f>IF(N($AL224)&gt;0,INDEX(rIni_ADM,$AL224),"")</f>
        <v/>
      </c>
      <c r="F224" s="59">
        <f>IF(N($AL224)&gt;0,INDEX(rLim_ADM,$AL224),"")</f>
        <v/>
      </c>
      <c r="G224" s="59" t="n"/>
      <c r="H224" s="60" t="n"/>
      <c r="I224" s="60" t="n"/>
      <c r="J224" s="60" t="n"/>
      <c r="K224" s="60" t="n"/>
      <c r="L224" s="60" t="n"/>
      <c r="M224" s="61">
        <f>IF(NOT((COUNTA($B224:$D224)+COUNTA($G224:$L224)+COUNTA($Q224))&gt;0),"",IF($V224="Sub",IFERROR($X224/INDEX($W$5:$W$1000,$U224-4),""),IF(ISNUMBER($G224),1,IF(N($W224)&gt;0,AVERAGEIFS($X$5:$X$1000,$U$5:$U$1000,ROW(),$V$5:$V$1000,"Sub"),$X224))))</f>
        <v/>
      </c>
      <c r="N224" s="56">
        <f>IF(OR($M224="",$V224="Sub"),"",IF($M224&gt;=1,"Completado",IF($M224&gt;0,"En curso","Pendiente")))</f>
        <v/>
      </c>
      <c r="O224" s="56">
        <f>IF(OR(NOT((COUNTA($B224:$D224)+COUNTA($G224:$L224)+COUNTA($Q224))&gt;0),$V224="Sub"),"",IF(ISNUMBER($G224),IF(AND(ISNUMBER($AN224),$G224&gt;$AN224),"Cumplida con "&amp;($G224-$AN224)&amp;IF($G224-$AN224=1," día"," días")&amp;" de retraso","Cumplida"),IF(N($M224)&gt;=1,"Cumplida",IF(NOT(ISNUMBER($AN224)),"Sin fecha límite",IF($AN224&lt;FechaRef,"Vencida hace "&amp;(FechaRef-$AN224)&amp;IF(FechaRef-$AN224=1," día"," días"),IF($AN224=FechaRef,"Vence hoy",IF($AN224-FechaRef&lt;=DiasAlerta,"Vence en "&amp;($AN224-FechaRef)&amp;IF($AN224-FechaRef=1," día"," días"),"En plazo")))))))</f>
        <v/>
      </c>
      <c r="P224" s="62" t="n"/>
      <c r="Q224" s="58" t="n"/>
      <c r="R224" s="63">
        <f>IF(NOT((COUNTA($B224:$D224)+COUNTA($G224:$L224)+COUNTA($Q224))&gt;0),"",IF((IF($C224="","Falta el nombre de la actividad"&amp;" · ","")&amp;IF(AND($V224="Sub",N($U224)=0),"Subactividad sin macroactividad arriba"&amp;" · ","")&amp;IF($AM224="","Sin fecha de inicio"&amp;" · ","")&amp;IF($AN224="","Sin fecha límite"&amp;" · ","")&amp;IF(AND(LEFT($C224,11)="[Jefatura] ",N($AL224)=0),"No se encuentra en la hoja de la jefatura (elíjala de nuevo en la lista)"&amp;" · ","")&amp;IF(OR(AND($E224&lt;&gt;"",NOT(ISNUMBER($E224))),AND($F224&lt;&gt;"",NOT(ISNUMBER($F224))),AND($G224&lt;&gt;"",NOT(ISNUMBER($G224)))),"Fecha no válida"&amp;" · ","")&amp;IF(AND(ISNUMBER($AM224),ISNUMBER($AN224),$AM224&gt;$AN224),"Inicio posterior a fecha límite"&amp;" · ","")&amp;IF(AND($V224="Macro",$H224&lt;&gt;"",OR(NOT(ISNUMBER($H224)),$H224&lt;0,$H224&gt;1)),"Peso fuera de rango"&amp;" · ","")&amp;IF(AND($V224="Sub",$H224&lt;&gt;""),"Las subactividades no llevan peso (valen igual dentro de su macroactividad)"&amp;" · ","")&amp;IF(AND(N($W224)&gt;0,COUNT($I224:$L224)&gt;0),"Con subactividades: deje vacías las semanas (se calculan solas)"&amp;" · ","")&amp;IF((COUNTIF($I224:$L224,"&gt;1")+COUNTIF($I224:$L224,"&lt;0")+COUNTA($I224:$L224)-COUNT($I224:$L224))&gt;0,"Avance fuera de rango 0-100%"&amp;" · ","")&amp;IF(OR(AND($J224&lt;&gt;"",$J224&lt;$I224),AND($K224&lt;&gt;"",$K224&lt;MAX($I224:$J224)),AND($L224&lt;&gt;"",$L224&lt;MAX($I224:$K224))),"Avance semanal decreciente"&amp;" · ","")&amp;IF(AND(ISNUMBER($AN224),$AN224&lt;FechaRef,IF($V224="Sub",N($X224),N($M224))&lt;1),"Vencida"&amp;" · ","")&amp;IF(AND(ObsObligatoria="Sí",ISNUMBER($AN224),$AN224&lt;FechaRef,IF($V224="Sub",N($X224),N($M224))&lt;1,$Q224=""),"Vencida sin observación"&amp;" · ",""))="","✔ OK","⚠ "&amp;LEFT(IF($C224="","Falta el nombre de la actividad"&amp;" · ","")&amp;IF(AND($V224="Sub",N($U224)=0),"Subactividad sin macroactividad arriba"&amp;" · ","")&amp;IF($AM224="","Sin fecha de inicio"&amp;" · ","")&amp;IF($AN224="","Sin fecha límite"&amp;" · ","")&amp;IF(AND(LEFT($C224,11)="[Jefatura] ",N($AL224)=0),"No se encuentra en la hoja de la jefatura (elíjala de nuevo en la lista)"&amp;" · ","")&amp;IF(OR(AND($E224&lt;&gt;"",NOT(ISNUMBER($E224))),AND($F224&lt;&gt;"",NOT(ISNUMBER($F224))),AND($G224&lt;&gt;"",NOT(ISNUMBER($G224)))),"Fecha no válida"&amp;" · ","")&amp;IF(AND(ISNUMBER($AM224),ISNUMBER($AN224),$AM224&gt;$AN224),"Inicio posterior a fecha límite"&amp;" · ","")&amp;IF(AND($V224="Macro",$H224&lt;&gt;"",OR(NOT(ISNUMBER($H224)),$H224&lt;0,$H224&gt;1)),"Peso fuera de rango"&amp;" · ","")&amp;IF(AND($V224="Sub",$H224&lt;&gt;""),"Las subactividades no llevan peso (valen igual dentro de su macroactividad)"&amp;" · ","")&amp;IF(AND(N($W224)&gt;0,COUNT($I224:$L224)&gt;0),"Con subactividades: deje vacías las semanas (se calculan solas)"&amp;" · ","")&amp;IF((COUNTIF($I224:$L224,"&gt;1")+COUNTIF($I224:$L224,"&lt;0")+COUNTA($I224:$L224)-COUNT($I224:$L224))&gt;0,"Avance fuera de rango 0-100%"&amp;" · ","")&amp;IF(OR(AND($J224&lt;&gt;"",$J224&lt;$I224),AND($K224&lt;&gt;"",$K224&lt;MAX($I224:$J224)),AND($L224&lt;&gt;"",$L224&lt;MAX($I224:$K224))),"Avance semanal decreciente"&amp;" · ","")&amp;IF(AND(ISNUMBER($AN224),$AN224&lt;FechaRef,IF($V224="Sub",N($X224),N($M224))&lt;1),"Vencida"&amp;" · ","")&amp;IF(AND(ObsObligatoria="Sí",ISNUMBER($AN224),$AN224&lt;FechaRef,IF($V224="Sub",N($X224),N($M224))&lt;1,$Q224=""),"Vencida sin observación"&amp;" · ",""),LEN(IF($C224="","Falta el nombre de la actividad"&amp;" · ","")&amp;IF(AND($V224="Sub",N($U224)=0),"Subactividad sin macroactividad arriba"&amp;" · ","")&amp;IF($AM224="","Sin fecha de inicio"&amp;" · ","")&amp;IF($AN224="","Sin fecha límite"&amp;" · ","")&amp;IF(AND(LEFT($C224,11)="[Jefatura] ",N($AL224)=0),"No se encuentra en la hoja de la jefatura (elíjala de nuevo en la lista)"&amp;" · ","")&amp;IF(OR(AND($E224&lt;&gt;"",NOT(ISNUMBER($E224))),AND($F224&lt;&gt;"",NOT(ISNUMBER($F224))),AND($G224&lt;&gt;"",NOT(ISNUMBER($G224)))),"Fecha no válida"&amp;" · ","")&amp;IF(AND(ISNUMBER($AM224),ISNUMBER($AN224),$AM224&gt;$AN224),"Inicio posterior a fecha límite"&amp;" · ","")&amp;IF(AND($V224="Macro",$H224&lt;&gt;"",OR(NOT(ISNUMBER($H224)),$H224&lt;0,$H224&gt;1)),"Peso fuera de rango"&amp;" · ","")&amp;IF(AND($V224="Sub",$H224&lt;&gt;""),"Las subactividades no llevan peso (valen igual dentro de su macroactividad)"&amp;" · ","")&amp;IF(AND(N($W224)&gt;0,COUNT($I224:$L224)&gt;0),"Con subactividades: deje vacías las semanas (se calculan solas)"&amp;" · ","")&amp;IF((COUNTIF($I224:$L224,"&gt;1")+COUNTIF($I224:$L224,"&lt;0")+COUNTA($I224:$L224)-COUNT($I224:$L224))&gt;0,"Avance fuera de rango 0-100%"&amp;" · ","")&amp;IF(OR(AND($J224&lt;&gt;"",$J224&lt;$I224),AND($K224&lt;&gt;"",$K224&lt;MAX($I224:$J224)),AND($L224&lt;&gt;"",$L224&lt;MAX($I224:$K224))),"Avance semanal decreciente"&amp;" · ","")&amp;IF(AND(ISNUMBER($AN224),$AN224&lt;FechaRef,IF($V224="Sub",N($X224),N($M224))&lt;1),"Vencida"&amp;" · ","")&amp;IF(AND(ObsObligatoria="Sí",ISNUMBER($AN224),$AN224&lt;FechaRef,IF($V224="Sub",N($X224),N($M224))&lt;1,$Q224=""),"Vencida sin observación"&amp;" · ",""))-3)))</f>
        <v/>
      </c>
      <c r="S224" s="64">
        <f>IF(NOT((COUNTA($B224:$D224)+COUNTA($G224:$L224)+COUNTA($Q224))&gt;0),"",IF(AND($V224="Sub",N($U224)&gt;0),IF(ISNUMBER(INDEX($AM$5:$AM$1000,$U224-4)),DATE(YEAR(INDEX($AM$5:$AM$1000,$U224-4)),MONTH(INDEX($AM$5:$AM$1000,$U224-4)),1),IF(ISNUMBER(INDEX($AN$5:$AN$1000,$U224-4)),DATE(YEAR(INDEX($AN$5:$AN$1000,$U224-4)),MONTH(INDEX($AN$5:$AN$1000,$U224-4)),1),MesCiclo)),IF(ISNUMBER($AM224),DATE(YEAR($AM224),MONTH($AM224),1),IF(ISNUMBER($AN224),DATE(YEAR($AN224),MONTH($AN224),1),MesCiclo))))</f>
        <v/>
      </c>
      <c r="T224" s="62">
        <f>IF(OR($S224="",$S224&lt;&gt;MesCiclo,$V224&lt;&gt;"Macro"),"",COUNTIFS($S$5:$S224,MesCiclo,$V$5:$V224,"Macro"))</f>
        <v/>
      </c>
      <c r="U224" s="62">
        <f>IF($V224="","",IF($V224="Macro",ROW(),IFERROR(LOOKUP(2,1/($V$5:$V224="Macro"),ROW($V$5:$V224)),0)))</f>
        <v/>
      </c>
      <c r="V224" s="62">
        <f>IF(NOT((COUNTA($B224:$D224)+COUNTA($G224:$L224)+COUNTA($Q224))&gt;0),"",IF($B224="Subactividad","Sub","Macro"))</f>
        <v/>
      </c>
      <c r="W224" s="62">
        <f>IF($V224="Macro",COUNTIFS($U$5:$U$1000,ROW(),$V$5:$V$1000,"Sub"),"")</f>
        <v/>
      </c>
      <c r="X224" s="62">
        <f>IF($V224="","",IF(ISNUMBER($G224),1,IFERROR(LOOKUP(2,1/($I224:$L224&lt;&gt;""),$I224:$L224),0)))</f>
        <v/>
      </c>
      <c r="Y224" s="62">
        <f>IF($V224="","",IF(AND(ISNUMBER($G224),$G224&lt;=IF($S224=MesCiclo,InicioCiclo,$S224+MOD(2-WEEKDAY($S224),7))+6),1,IF(ISNUMBER($I224),$I224,0)))</f>
        <v/>
      </c>
      <c r="Z224" s="62">
        <f>IF($V224="","",IF(AND(ISNUMBER($G224),$G224&lt;=IF($S224=MesCiclo,InicioCiclo,$S224+MOD(2-WEEKDAY($S224),7))+13),1,IF(ISNUMBER($J224),$J224,$Y224)))</f>
        <v/>
      </c>
      <c r="AA224" s="62">
        <f>IF($V224="","",IF(AND(ISNUMBER($G224),$G224&lt;=IF($S224=MesCiclo,InicioCiclo,$S224+MOD(2-WEEKDAY($S224),7))+20),1,IF(ISNUMBER($K224),$K224,$Z224)))</f>
        <v/>
      </c>
      <c r="AB224" s="62">
        <f>IF($V224="","",IF(AND(ISNUMBER($G224),$G224&lt;=IF($S224=MesCiclo,InicioCiclo,$S224+MOD(2-WEEKDAY($S224),7))+27),1,IF(ISNUMBER($L224),$L224,$AA224)))</f>
        <v/>
      </c>
      <c r="AC224" s="62">
        <f>IF($V224="","",IF(AND(ISNUMBER($G224),$G224&lt;=IF($S224=MesCiclo,InicioCiclo,$S224+MOD(2-WEEKDAY($S224),7))+6),1,IF(N($W224)&gt;0,AVERAGEIFS($Y$5:$Y$1000,$U$5:$U$1000,ROW(),$V$5:$V$1000,"Sub"),$Y224)))</f>
        <v/>
      </c>
      <c r="AD224" s="62">
        <f>IF($V224="","",IF(AND(ISNUMBER($G224),$G224&lt;=IF($S224=MesCiclo,InicioCiclo,$S224+MOD(2-WEEKDAY($S224),7))+13),1,IF(N($W224)&gt;0,AVERAGEIFS($Z$5:$Z$1000,$U$5:$U$1000,ROW(),$V$5:$V$1000,"Sub"),$Z224)))</f>
        <v/>
      </c>
      <c r="AE224" s="62">
        <f>IF($V224="","",IF(AND(ISNUMBER($G224),$G224&lt;=IF($S224=MesCiclo,InicioCiclo,$S224+MOD(2-WEEKDAY($S224),7))+20),1,IF(N($W224)&gt;0,AVERAGEIFS($AA$5:$AA$1000,$U$5:$U$1000,ROW(),$V$5:$V$1000,"Sub"),$AA224)))</f>
        <v/>
      </c>
      <c r="AF224" s="62">
        <f>IF($V224="","",IF(AND(ISNUMBER($G224),$G224&lt;=IF($S224=MesCiclo,InicioCiclo,$S224+MOD(2-WEEKDAY($S224),7))+27),1,IF(N($W224)&gt;0,AVERAGEIFS($AB$5:$AB$1000,$U$5:$U$1000,ROW(),$V$5:$V$1000,"Sub"),$AB224)))</f>
        <v/>
      </c>
      <c r="AG224" s="62">
        <f>IF($V224&lt;&gt;"Macro","",IF(COUNTIFS($S$5:$S$1000,$S224,$V$5:$V$1000,"Macro",$H$5:$H$1000,"&gt;0")=0,1/COUNTIFS($S$5:$S$1000,$S224,$V$5:$V$1000,"Macro"),IF(AND(ISNUMBER($H224),N($H224)&gt;0),$H224,SUMIFS($H$5:$H$1000,$S$5:$S$1000,$S224,$V$5:$V$1000,"Macro")/COUNTIFS($S$5:$S$1000,$S224,$V$5:$V$1000,"Macro",$H$5:$H$1000,"&gt;0"))/(COUNTIFS($S$5:$S$1000,$S224,$V$5:$V$1000,"Macro")*SUMIFS($H$5:$H$1000,$S$5:$S$1000,$S224,$V$5:$V$1000,"Macro")/COUNTIFS($S$5:$S$1000,$S224,$V$5:$V$1000,"Macro",$H$5:$H$1000,"&gt;0"))))</f>
        <v/>
      </c>
      <c r="AH224" s="62" t="n"/>
      <c r="AI224" s="62" t="n"/>
      <c r="AJ224" s="62" t="n"/>
      <c r="AK224" s="62" t="n"/>
      <c r="AL224" s="62">
        <f>IF(LEFT($C224,11)="[Jefatura] ",IFERROR(MATCH("Riesgo Financiero|"&amp;MID($C224,12,500),rDname_ADM,0),0),"")</f>
        <v/>
      </c>
      <c r="AM224" s="62">
        <f>IF(N($AL224)&gt;0,INDEX(rIni_ADM,$AL224),IF(ISNUMBER($E224),$E224,""))</f>
        <v/>
      </c>
      <c r="AN224" s="62">
        <f>IF(N($AL224)&gt;0,INDEX(rLim_ADM,$AL224),IF(ISNUMBER($F224),$F224,""))</f>
        <v/>
      </c>
    </row>
    <row r="225">
      <c r="A225" s="56">
        <f>IF(NOT((COUNTA($B225:$D225)+COUNTA($G225:$L225)+COUNTA($Q225))&gt;0),"",IF($V225="Macro",COUNTIFS($V$5:$V225,"Macro",$S$5:$S225,$S225),IF(N($U225)=0,"?",COUNTIFS(INDEX($V$5:$V$1000,1):INDEX($V$5:$V$1000,$U225-4),"Macro",INDEX($S$5:$S$1000,1):INDEX($S$5:$S$1000,$U225-4),INDEX($S$5:$S$1000,$U225-4))&amp;"."&amp;COUNTIFS($U$5:$U225,$U225,$V$5:$V225,"Sub"))))</f>
        <v/>
      </c>
      <c r="B225" s="57" t="n"/>
      <c r="C225" s="58" t="n"/>
      <c r="D225" s="58" t="n"/>
      <c r="E225" s="59">
        <f>IF(N($AL225)&gt;0,INDEX(rIni_ADM,$AL225),"")</f>
        <v/>
      </c>
      <c r="F225" s="59">
        <f>IF(N($AL225)&gt;0,INDEX(rLim_ADM,$AL225),"")</f>
        <v/>
      </c>
      <c r="G225" s="59" t="n"/>
      <c r="H225" s="60" t="n"/>
      <c r="I225" s="60" t="n"/>
      <c r="J225" s="60" t="n"/>
      <c r="K225" s="60" t="n"/>
      <c r="L225" s="60" t="n"/>
      <c r="M225" s="61">
        <f>IF(NOT((COUNTA($B225:$D225)+COUNTA($G225:$L225)+COUNTA($Q225))&gt;0),"",IF($V225="Sub",IFERROR($X225/INDEX($W$5:$W$1000,$U225-4),""),IF(ISNUMBER($G225),1,IF(N($W225)&gt;0,AVERAGEIFS($X$5:$X$1000,$U$5:$U$1000,ROW(),$V$5:$V$1000,"Sub"),$X225))))</f>
        <v/>
      </c>
      <c r="N225" s="56">
        <f>IF(OR($M225="",$V225="Sub"),"",IF($M225&gt;=1,"Completado",IF($M225&gt;0,"En curso","Pendiente")))</f>
        <v/>
      </c>
      <c r="O225" s="56">
        <f>IF(OR(NOT((COUNTA($B225:$D225)+COUNTA($G225:$L225)+COUNTA($Q225))&gt;0),$V225="Sub"),"",IF(ISNUMBER($G225),IF(AND(ISNUMBER($AN225),$G225&gt;$AN225),"Cumplida con "&amp;($G225-$AN225)&amp;IF($G225-$AN225=1," día"," días")&amp;" de retraso","Cumplida"),IF(N($M225)&gt;=1,"Cumplida",IF(NOT(ISNUMBER($AN225)),"Sin fecha límite",IF($AN225&lt;FechaRef,"Vencida hace "&amp;(FechaRef-$AN225)&amp;IF(FechaRef-$AN225=1," día"," días"),IF($AN225=FechaRef,"Vence hoy",IF($AN225-FechaRef&lt;=DiasAlerta,"Vence en "&amp;($AN225-FechaRef)&amp;IF($AN225-FechaRef=1," día"," días"),"En plazo")))))))</f>
        <v/>
      </c>
      <c r="P225" s="62" t="n"/>
      <c r="Q225" s="58" t="n"/>
      <c r="R225" s="63">
        <f>IF(NOT((COUNTA($B225:$D225)+COUNTA($G225:$L225)+COUNTA($Q225))&gt;0),"",IF((IF($C225="","Falta el nombre de la actividad"&amp;" · ","")&amp;IF(AND($V225="Sub",N($U225)=0),"Subactividad sin macroactividad arriba"&amp;" · ","")&amp;IF($AM225="","Sin fecha de inicio"&amp;" · ","")&amp;IF($AN225="","Sin fecha límite"&amp;" · ","")&amp;IF(AND(LEFT($C225,11)="[Jefatura] ",N($AL225)=0),"No se encuentra en la hoja de la jefatura (elíjala de nuevo en la lista)"&amp;" · ","")&amp;IF(OR(AND($E225&lt;&gt;"",NOT(ISNUMBER($E225))),AND($F225&lt;&gt;"",NOT(ISNUMBER($F225))),AND($G225&lt;&gt;"",NOT(ISNUMBER($G225)))),"Fecha no válida"&amp;" · ","")&amp;IF(AND(ISNUMBER($AM225),ISNUMBER($AN225),$AM225&gt;$AN225),"Inicio posterior a fecha límite"&amp;" · ","")&amp;IF(AND($V225="Macro",$H225&lt;&gt;"",OR(NOT(ISNUMBER($H225)),$H225&lt;0,$H225&gt;1)),"Peso fuera de rango"&amp;" · ","")&amp;IF(AND($V225="Sub",$H225&lt;&gt;""),"Las subactividades no llevan peso (valen igual dentro de su macroactividad)"&amp;" · ","")&amp;IF(AND(N($W225)&gt;0,COUNT($I225:$L225)&gt;0),"Con subactividades: deje vacías las semanas (se calculan solas)"&amp;" · ","")&amp;IF((COUNTIF($I225:$L225,"&gt;1")+COUNTIF($I225:$L225,"&lt;0")+COUNTA($I225:$L225)-COUNT($I225:$L225))&gt;0,"Avance fuera de rango 0-100%"&amp;" · ","")&amp;IF(OR(AND($J225&lt;&gt;"",$J225&lt;$I225),AND($K225&lt;&gt;"",$K225&lt;MAX($I225:$J225)),AND($L225&lt;&gt;"",$L225&lt;MAX($I225:$K225))),"Avance semanal decreciente"&amp;" · ","")&amp;IF(AND(ISNUMBER($AN225),$AN225&lt;FechaRef,IF($V225="Sub",N($X225),N($M225))&lt;1),"Vencida"&amp;" · ","")&amp;IF(AND(ObsObligatoria="Sí",ISNUMBER($AN225),$AN225&lt;FechaRef,IF($V225="Sub",N($X225),N($M225))&lt;1,$Q225=""),"Vencida sin observación"&amp;" · ",""))="","✔ OK","⚠ "&amp;LEFT(IF($C225="","Falta el nombre de la actividad"&amp;" · ","")&amp;IF(AND($V225="Sub",N($U225)=0),"Subactividad sin macroactividad arriba"&amp;" · ","")&amp;IF($AM225="","Sin fecha de inicio"&amp;" · ","")&amp;IF($AN225="","Sin fecha límite"&amp;" · ","")&amp;IF(AND(LEFT($C225,11)="[Jefatura] ",N($AL225)=0),"No se encuentra en la hoja de la jefatura (elíjala de nuevo en la lista)"&amp;" · ","")&amp;IF(OR(AND($E225&lt;&gt;"",NOT(ISNUMBER($E225))),AND($F225&lt;&gt;"",NOT(ISNUMBER($F225))),AND($G225&lt;&gt;"",NOT(ISNUMBER($G225)))),"Fecha no válida"&amp;" · ","")&amp;IF(AND(ISNUMBER($AM225),ISNUMBER($AN225),$AM225&gt;$AN225),"Inicio posterior a fecha límite"&amp;" · ","")&amp;IF(AND($V225="Macro",$H225&lt;&gt;"",OR(NOT(ISNUMBER($H225)),$H225&lt;0,$H225&gt;1)),"Peso fuera de rango"&amp;" · ","")&amp;IF(AND($V225="Sub",$H225&lt;&gt;""),"Las subactividades no llevan peso (valen igual dentro de su macroactividad)"&amp;" · ","")&amp;IF(AND(N($W225)&gt;0,COUNT($I225:$L225)&gt;0),"Con subactividades: deje vacías las semanas (se calculan solas)"&amp;" · ","")&amp;IF((COUNTIF($I225:$L225,"&gt;1")+COUNTIF($I225:$L225,"&lt;0")+COUNTA($I225:$L225)-COUNT($I225:$L225))&gt;0,"Avance fuera de rango 0-100%"&amp;" · ","")&amp;IF(OR(AND($J225&lt;&gt;"",$J225&lt;$I225),AND($K225&lt;&gt;"",$K225&lt;MAX($I225:$J225)),AND($L225&lt;&gt;"",$L225&lt;MAX($I225:$K225))),"Avance semanal decreciente"&amp;" · ","")&amp;IF(AND(ISNUMBER($AN225),$AN225&lt;FechaRef,IF($V225="Sub",N($X225),N($M225))&lt;1),"Vencida"&amp;" · ","")&amp;IF(AND(ObsObligatoria="Sí",ISNUMBER($AN225),$AN225&lt;FechaRef,IF($V225="Sub",N($X225),N($M225))&lt;1,$Q225=""),"Vencida sin observación"&amp;" · ",""),LEN(IF($C225="","Falta el nombre de la actividad"&amp;" · ","")&amp;IF(AND($V225="Sub",N($U225)=0),"Subactividad sin macroactividad arriba"&amp;" · ","")&amp;IF($AM225="","Sin fecha de inicio"&amp;" · ","")&amp;IF($AN225="","Sin fecha límite"&amp;" · ","")&amp;IF(AND(LEFT($C225,11)="[Jefatura] ",N($AL225)=0),"No se encuentra en la hoja de la jefatura (elíjala de nuevo en la lista)"&amp;" · ","")&amp;IF(OR(AND($E225&lt;&gt;"",NOT(ISNUMBER($E225))),AND($F225&lt;&gt;"",NOT(ISNUMBER($F225))),AND($G225&lt;&gt;"",NOT(ISNUMBER($G225)))),"Fecha no válida"&amp;" · ","")&amp;IF(AND(ISNUMBER($AM225),ISNUMBER($AN225),$AM225&gt;$AN225),"Inicio posterior a fecha límite"&amp;" · ","")&amp;IF(AND($V225="Macro",$H225&lt;&gt;"",OR(NOT(ISNUMBER($H225)),$H225&lt;0,$H225&gt;1)),"Peso fuera de rango"&amp;" · ","")&amp;IF(AND($V225="Sub",$H225&lt;&gt;""),"Las subactividades no llevan peso (valen igual dentro de su macroactividad)"&amp;" · ","")&amp;IF(AND(N($W225)&gt;0,COUNT($I225:$L225)&gt;0),"Con subactividades: deje vacías las semanas (se calculan solas)"&amp;" · ","")&amp;IF((COUNTIF($I225:$L225,"&gt;1")+COUNTIF($I225:$L225,"&lt;0")+COUNTA($I225:$L225)-COUNT($I225:$L225))&gt;0,"Avance fuera de rango 0-100%"&amp;" · ","")&amp;IF(OR(AND($J225&lt;&gt;"",$J225&lt;$I225),AND($K225&lt;&gt;"",$K225&lt;MAX($I225:$J225)),AND($L225&lt;&gt;"",$L225&lt;MAX($I225:$K225))),"Avance semanal decreciente"&amp;" · ","")&amp;IF(AND(ISNUMBER($AN225),$AN225&lt;FechaRef,IF($V225="Sub",N($X225),N($M225))&lt;1),"Vencida"&amp;" · ","")&amp;IF(AND(ObsObligatoria="Sí",ISNUMBER($AN225),$AN225&lt;FechaRef,IF($V225="Sub",N($X225),N($M225))&lt;1,$Q225=""),"Vencida sin observación"&amp;" · ",""))-3)))</f>
        <v/>
      </c>
      <c r="S225" s="64">
        <f>IF(NOT((COUNTA($B225:$D225)+COUNTA($G225:$L225)+COUNTA($Q225))&gt;0),"",IF(AND($V225="Sub",N($U225)&gt;0),IF(ISNUMBER(INDEX($AM$5:$AM$1000,$U225-4)),DATE(YEAR(INDEX($AM$5:$AM$1000,$U225-4)),MONTH(INDEX($AM$5:$AM$1000,$U225-4)),1),IF(ISNUMBER(INDEX($AN$5:$AN$1000,$U225-4)),DATE(YEAR(INDEX($AN$5:$AN$1000,$U225-4)),MONTH(INDEX($AN$5:$AN$1000,$U225-4)),1),MesCiclo)),IF(ISNUMBER($AM225),DATE(YEAR($AM225),MONTH($AM225),1),IF(ISNUMBER($AN225),DATE(YEAR($AN225),MONTH($AN225),1),MesCiclo))))</f>
        <v/>
      </c>
      <c r="T225" s="62">
        <f>IF(OR($S225="",$S225&lt;&gt;MesCiclo,$V225&lt;&gt;"Macro"),"",COUNTIFS($S$5:$S225,MesCiclo,$V$5:$V225,"Macro"))</f>
        <v/>
      </c>
      <c r="U225" s="62">
        <f>IF($V225="","",IF($V225="Macro",ROW(),IFERROR(LOOKUP(2,1/($V$5:$V225="Macro"),ROW($V$5:$V225)),0)))</f>
        <v/>
      </c>
      <c r="V225" s="62">
        <f>IF(NOT((COUNTA($B225:$D225)+COUNTA($G225:$L225)+COUNTA($Q225))&gt;0),"",IF($B225="Subactividad","Sub","Macro"))</f>
        <v/>
      </c>
      <c r="W225" s="62">
        <f>IF($V225="Macro",COUNTIFS($U$5:$U$1000,ROW(),$V$5:$V$1000,"Sub"),"")</f>
        <v/>
      </c>
      <c r="X225" s="62">
        <f>IF($V225="","",IF(ISNUMBER($G225),1,IFERROR(LOOKUP(2,1/($I225:$L225&lt;&gt;""),$I225:$L225),0)))</f>
        <v/>
      </c>
      <c r="Y225" s="62">
        <f>IF($V225="","",IF(AND(ISNUMBER($G225),$G225&lt;=IF($S225=MesCiclo,InicioCiclo,$S225+MOD(2-WEEKDAY($S225),7))+6),1,IF(ISNUMBER($I225),$I225,0)))</f>
        <v/>
      </c>
      <c r="Z225" s="62">
        <f>IF($V225="","",IF(AND(ISNUMBER($G225),$G225&lt;=IF($S225=MesCiclo,InicioCiclo,$S225+MOD(2-WEEKDAY($S225),7))+13),1,IF(ISNUMBER($J225),$J225,$Y225)))</f>
        <v/>
      </c>
      <c r="AA225" s="62">
        <f>IF($V225="","",IF(AND(ISNUMBER($G225),$G225&lt;=IF($S225=MesCiclo,InicioCiclo,$S225+MOD(2-WEEKDAY($S225),7))+20),1,IF(ISNUMBER($K225),$K225,$Z225)))</f>
        <v/>
      </c>
      <c r="AB225" s="62">
        <f>IF($V225="","",IF(AND(ISNUMBER($G225),$G225&lt;=IF($S225=MesCiclo,InicioCiclo,$S225+MOD(2-WEEKDAY($S225),7))+27),1,IF(ISNUMBER($L225),$L225,$AA225)))</f>
        <v/>
      </c>
      <c r="AC225" s="62">
        <f>IF($V225="","",IF(AND(ISNUMBER($G225),$G225&lt;=IF($S225=MesCiclo,InicioCiclo,$S225+MOD(2-WEEKDAY($S225),7))+6),1,IF(N($W225)&gt;0,AVERAGEIFS($Y$5:$Y$1000,$U$5:$U$1000,ROW(),$V$5:$V$1000,"Sub"),$Y225)))</f>
        <v/>
      </c>
      <c r="AD225" s="62">
        <f>IF($V225="","",IF(AND(ISNUMBER($G225),$G225&lt;=IF($S225=MesCiclo,InicioCiclo,$S225+MOD(2-WEEKDAY($S225),7))+13),1,IF(N($W225)&gt;0,AVERAGEIFS($Z$5:$Z$1000,$U$5:$U$1000,ROW(),$V$5:$V$1000,"Sub"),$Z225)))</f>
        <v/>
      </c>
      <c r="AE225" s="62">
        <f>IF($V225="","",IF(AND(ISNUMBER($G225),$G225&lt;=IF($S225=MesCiclo,InicioCiclo,$S225+MOD(2-WEEKDAY($S225),7))+20),1,IF(N($W225)&gt;0,AVERAGEIFS($AA$5:$AA$1000,$U$5:$U$1000,ROW(),$V$5:$V$1000,"Sub"),$AA225)))</f>
        <v/>
      </c>
      <c r="AF225" s="62">
        <f>IF($V225="","",IF(AND(ISNUMBER($G225),$G225&lt;=IF($S225=MesCiclo,InicioCiclo,$S225+MOD(2-WEEKDAY($S225),7))+27),1,IF(N($W225)&gt;0,AVERAGEIFS($AB$5:$AB$1000,$U$5:$U$1000,ROW(),$V$5:$V$1000,"Sub"),$AB225)))</f>
        <v/>
      </c>
      <c r="AG225" s="62">
        <f>IF($V225&lt;&gt;"Macro","",IF(COUNTIFS($S$5:$S$1000,$S225,$V$5:$V$1000,"Macro",$H$5:$H$1000,"&gt;0")=0,1/COUNTIFS($S$5:$S$1000,$S225,$V$5:$V$1000,"Macro"),IF(AND(ISNUMBER($H225),N($H225)&gt;0),$H225,SUMIFS($H$5:$H$1000,$S$5:$S$1000,$S225,$V$5:$V$1000,"Macro")/COUNTIFS($S$5:$S$1000,$S225,$V$5:$V$1000,"Macro",$H$5:$H$1000,"&gt;0"))/(COUNTIFS($S$5:$S$1000,$S225,$V$5:$V$1000,"Macro")*SUMIFS($H$5:$H$1000,$S$5:$S$1000,$S225,$V$5:$V$1000,"Macro")/COUNTIFS($S$5:$S$1000,$S225,$V$5:$V$1000,"Macro",$H$5:$H$1000,"&gt;0"))))</f>
        <v/>
      </c>
      <c r="AH225" s="62" t="n"/>
      <c r="AI225" s="62" t="n"/>
      <c r="AJ225" s="62" t="n"/>
      <c r="AK225" s="62" t="n"/>
      <c r="AL225" s="62">
        <f>IF(LEFT($C225,11)="[Jefatura] ",IFERROR(MATCH("Riesgo Financiero|"&amp;MID($C225,12,500),rDname_ADM,0),0),"")</f>
        <v/>
      </c>
      <c r="AM225" s="62">
        <f>IF(N($AL225)&gt;0,INDEX(rIni_ADM,$AL225),IF(ISNUMBER($E225),$E225,""))</f>
        <v/>
      </c>
      <c r="AN225" s="62">
        <f>IF(N($AL225)&gt;0,INDEX(rLim_ADM,$AL225),IF(ISNUMBER($F225),$F225,""))</f>
        <v/>
      </c>
    </row>
    <row r="226">
      <c r="A226" s="56">
        <f>IF(NOT((COUNTA($B226:$D226)+COUNTA($G226:$L226)+COUNTA($Q226))&gt;0),"",IF($V226="Macro",COUNTIFS($V$5:$V226,"Macro",$S$5:$S226,$S226),IF(N($U226)=0,"?",COUNTIFS(INDEX($V$5:$V$1000,1):INDEX($V$5:$V$1000,$U226-4),"Macro",INDEX($S$5:$S$1000,1):INDEX($S$5:$S$1000,$U226-4),INDEX($S$5:$S$1000,$U226-4))&amp;"."&amp;COUNTIFS($U$5:$U226,$U226,$V$5:$V226,"Sub"))))</f>
        <v/>
      </c>
      <c r="B226" s="57" t="n"/>
      <c r="C226" s="58" t="n"/>
      <c r="D226" s="58" t="n"/>
      <c r="E226" s="59">
        <f>IF(N($AL226)&gt;0,INDEX(rIni_ADM,$AL226),"")</f>
        <v/>
      </c>
      <c r="F226" s="59">
        <f>IF(N($AL226)&gt;0,INDEX(rLim_ADM,$AL226),"")</f>
        <v/>
      </c>
      <c r="G226" s="59" t="n"/>
      <c r="H226" s="60" t="n"/>
      <c r="I226" s="60" t="n"/>
      <c r="J226" s="60" t="n"/>
      <c r="K226" s="60" t="n"/>
      <c r="L226" s="60" t="n"/>
      <c r="M226" s="61">
        <f>IF(NOT((COUNTA($B226:$D226)+COUNTA($G226:$L226)+COUNTA($Q226))&gt;0),"",IF($V226="Sub",IFERROR($X226/INDEX($W$5:$W$1000,$U226-4),""),IF(ISNUMBER($G226),1,IF(N($W226)&gt;0,AVERAGEIFS($X$5:$X$1000,$U$5:$U$1000,ROW(),$V$5:$V$1000,"Sub"),$X226))))</f>
        <v/>
      </c>
      <c r="N226" s="56">
        <f>IF(OR($M226="",$V226="Sub"),"",IF($M226&gt;=1,"Completado",IF($M226&gt;0,"En curso","Pendiente")))</f>
        <v/>
      </c>
      <c r="O226" s="56">
        <f>IF(OR(NOT((COUNTA($B226:$D226)+COUNTA($G226:$L226)+COUNTA($Q226))&gt;0),$V226="Sub"),"",IF(ISNUMBER($G226),IF(AND(ISNUMBER($AN226),$G226&gt;$AN226),"Cumplida con "&amp;($G226-$AN226)&amp;IF($G226-$AN226=1," día"," días")&amp;" de retraso","Cumplida"),IF(N($M226)&gt;=1,"Cumplida",IF(NOT(ISNUMBER($AN226)),"Sin fecha límite",IF($AN226&lt;FechaRef,"Vencida hace "&amp;(FechaRef-$AN226)&amp;IF(FechaRef-$AN226=1," día"," días"),IF($AN226=FechaRef,"Vence hoy",IF($AN226-FechaRef&lt;=DiasAlerta,"Vence en "&amp;($AN226-FechaRef)&amp;IF($AN226-FechaRef=1," día"," días"),"En plazo")))))))</f>
        <v/>
      </c>
      <c r="P226" s="62" t="n"/>
      <c r="Q226" s="58" t="n"/>
      <c r="R226" s="63">
        <f>IF(NOT((COUNTA($B226:$D226)+COUNTA($G226:$L226)+COUNTA($Q226))&gt;0),"",IF((IF($C226="","Falta el nombre de la actividad"&amp;" · ","")&amp;IF(AND($V226="Sub",N($U226)=0),"Subactividad sin macroactividad arriba"&amp;" · ","")&amp;IF($AM226="","Sin fecha de inicio"&amp;" · ","")&amp;IF($AN226="","Sin fecha límite"&amp;" · ","")&amp;IF(AND(LEFT($C226,11)="[Jefatura] ",N($AL226)=0),"No se encuentra en la hoja de la jefatura (elíjala de nuevo en la lista)"&amp;" · ","")&amp;IF(OR(AND($E226&lt;&gt;"",NOT(ISNUMBER($E226))),AND($F226&lt;&gt;"",NOT(ISNUMBER($F226))),AND($G226&lt;&gt;"",NOT(ISNUMBER($G226)))),"Fecha no válida"&amp;" · ","")&amp;IF(AND(ISNUMBER($AM226),ISNUMBER($AN226),$AM226&gt;$AN226),"Inicio posterior a fecha límite"&amp;" · ","")&amp;IF(AND($V226="Macro",$H226&lt;&gt;"",OR(NOT(ISNUMBER($H226)),$H226&lt;0,$H226&gt;1)),"Peso fuera de rango"&amp;" · ","")&amp;IF(AND($V226="Sub",$H226&lt;&gt;""),"Las subactividades no llevan peso (valen igual dentro de su macroactividad)"&amp;" · ","")&amp;IF(AND(N($W226)&gt;0,COUNT($I226:$L226)&gt;0),"Con subactividades: deje vacías las semanas (se calculan solas)"&amp;" · ","")&amp;IF((COUNTIF($I226:$L226,"&gt;1")+COUNTIF($I226:$L226,"&lt;0")+COUNTA($I226:$L226)-COUNT($I226:$L226))&gt;0,"Avance fuera de rango 0-100%"&amp;" · ","")&amp;IF(OR(AND($J226&lt;&gt;"",$J226&lt;$I226),AND($K226&lt;&gt;"",$K226&lt;MAX($I226:$J226)),AND($L226&lt;&gt;"",$L226&lt;MAX($I226:$K226))),"Avance semanal decreciente"&amp;" · ","")&amp;IF(AND(ISNUMBER($AN226),$AN226&lt;FechaRef,IF($V226="Sub",N($X226),N($M226))&lt;1),"Vencida"&amp;" · ","")&amp;IF(AND(ObsObligatoria="Sí",ISNUMBER($AN226),$AN226&lt;FechaRef,IF($V226="Sub",N($X226),N($M226))&lt;1,$Q226=""),"Vencida sin observación"&amp;" · ",""))="","✔ OK","⚠ "&amp;LEFT(IF($C226="","Falta el nombre de la actividad"&amp;" · ","")&amp;IF(AND($V226="Sub",N($U226)=0),"Subactividad sin macroactividad arriba"&amp;" · ","")&amp;IF($AM226="","Sin fecha de inicio"&amp;" · ","")&amp;IF($AN226="","Sin fecha límite"&amp;" · ","")&amp;IF(AND(LEFT($C226,11)="[Jefatura] ",N($AL226)=0),"No se encuentra en la hoja de la jefatura (elíjala de nuevo en la lista)"&amp;" · ","")&amp;IF(OR(AND($E226&lt;&gt;"",NOT(ISNUMBER($E226))),AND($F226&lt;&gt;"",NOT(ISNUMBER($F226))),AND($G226&lt;&gt;"",NOT(ISNUMBER($G226)))),"Fecha no válida"&amp;" · ","")&amp;IF(AND(ISNUMBER($AM226),ISNUMBER($AN226),$AM226&gt;$AN226),"Inicio posterior a fecha límite"&amp;" · ","")&amp;IF(AND($V226="Macro",$H226&lt;&gt;"",OR(NOT(ISNUMBER($H226)),$H226&lt;0,$H226&gt;1)),"Peso fuera de rango"&amp;" · ","")&amp;IF(AND($V226="Sub",$H226&lt;&gt;""),"Las subactividades no llevan peso (valen igual dentro de su macroactividad)"&amp;" · ","")&amp;IF(AND(N($W226)&gt;0,COUNT($I226:$L226)&gt;0),"Con subactividades: deje vacías las semanas (se calculan solas)"&amp;" · ","")&amp;IF((COUNTIF($I226:$L226,"&gt;1")+COUNTIF($I226:$L226,"&lt;0")+COUNTA($I226:$L226)-COUNT($I226:$L226))&gt;0,"Avance fuera de rango 0-100%"&amp;" · ","")&amp;IF(OR(AND($J226&lt;&gt;"",$J226&lt;$I226),AND($K226&lt;&gt;"",$K226&lt;MAX($I226:$J226)),AND($L226&lt;&gt;"",$L226&lt;MAX($I226:$K226))),"Avance semanal decreciente"&amp;" · ","")&amp;IF(AND(ISNUMBER($AN226),$AN226&lt;FechaRef,IF($V226="Sub",N($X226),N($M226))&lt;1),"Vencida"&amp;" · ","")&amp;IF(AND(ObsObligatoria="Sí",ISNUMBER($AN226),$AN226&lt;FechaRef,IF($V226="Sub",N($X226),N($M226))&lt;1,$Q226=""),"Vencida sin observación"&amp;" · ",""),LEN(IF($C226="","Falta el nombre de la actividad"&amp;" · ","")&amp;IF(AND($V226="Sub",N($U226)=0),"Subactividad sin macroactividad arriba"&amp;" · ","")&amp;IF($AM226="","Sin fecha de inicio"&amp;" · ","")&amp;IF($AN226="","Sin fecha límite"&amp;" · ","")&amp;IF(AND(LEFT($C226,11)="[Jefatura] ",N($AL226)=0),"No se encuentra en la hoja de la jefatura (elíjala de nuevo en la lista)"&amp;" · ","")&amp;IF(OR(AND($E226&lt;&gt;"",NOT(ISNUMBER($E226))),AND($F226&lt;&gt;"",NOT(ISNUMBER($F226))),AND($G226&lt;&gt;"",NOT(ISNUMBER($G226)))),"Fecha no válida"&amp;" · ","")&amp;IF(AND(ISNUMBER($AM226),ISNUMBER($AN226),$AM226&gt;$AN226),"Inicio posterior a fecha límite"&amp;" · ","")&amp;IF(AND($V226="Macro",$H226&lt;&gt;"",OR(NOT(ISNUMBER($H226)),$H226&lt;0,$H226&gt;1)),"Peso fuera de rango"&amp;" · ","")&amp;IF(AND($V226="Sub",$H226&lt;&gt;""),"Las subactividades no llevan peso (valen igual dentro de su macroactividad)"&amp;" · ","")&amp;IF(AND(N($W226)&gt;0,COUNT($I226:$L226)&gt;0),"Con subactividades: deje vacías las semanas (se calculan solas)"&amp;" · ","")&amp;IF((COUNTIF($I226:$L226,"&gt;1")+COUNTIF($I226:$L226,"&lt;0")+COUNTA($I226:$L226)-COUNT($I226:$L226))&gt;0,"Avance fuera de rango 0-100%"&amp;" · ","")&amp;IF(OR(AND($J226&lt;&gt;"",$J226&lt;$I226),AND($K226&lt;&gt;"",$K226&lt;MAX($I226:$J226)),AND($L226&lt;&gt;"",$L226&lt;MAX($I226:$K226))),"Avance semanal decreciente"&amp;" · ","")&amp;IF(AND(ISNUMBER($AN226),$AN226&lt;FechaRef,IF($V226="Sub",N($X226),N($M226))&lt;1),"Vencida"&amp;" · ","")&amp;IF(AND(ObsObligatoria="Sí",ISNUMBER($AN226),$AN226&lt;FechaRef,IF($V226="Sub",N($X226),N($M226))&lt;1,$Q226=""),"Vencida sin observación"&amp;" · ",""))-3)))</f>
        <v/>
      </c>
      <c r="S226" s="64">
        <f>IF(NOT((COUNTA($B226:$D226)+COUNTA($G226:$L226)+COUNTA($Q226))&gt;0),"",IF(AND($V226="Sub",N($U226)&gt;0),IF(ISNUMBER(INDEX($AM$5:$AM$1000,$U226-4)),DATE(YEAR(INDEX($AM$5:$AM$1000,$U226-4)),MONTH(INDEX($AM$5:$AM$1000,$U226-4)),1),IF(ISNUMBER(INDEX($AN$5:$AN$1000,$U226-4)),DATE(YEAR(INDEX($AN$5:$AN$1000,$U226-4)),MONTH(INDEX($AN$5:$AN$1000,$U226-4)),1),MesCiclo)),IF(ISNUMBER($AM226),DATE(YEAR($AM226),MONTH($AM226),1),IF(ISNUMBER($AN226),DATE(YEAR($AN226),MONTH($AN226),1),MesCiclo))))</f>
        <v/>
      </c>
      <c r="T226" s="62">
        <f>IF(OR($S226="",$S226&lt;&gt;MesCiclo,$V226&lt;&gt;"Macro"),"",COUNTIFS($S$5:$S226,MesCiclo,$V$5:$V226,"Macro"))</f>
        <v/>
      </c>
      <c r="U226" s="62">
        <f>IF($V226="","",IF($V226="Macro",ROW(),IFERROR(LOOKUP(2,1/($V$5:$V226="Macro"),ROW($V$5:$V226)),0)))</f>
        <v/>
      </c>
      <c r="V226" s="62">
        <f>IF(NOT((COUNTA($B226:$D226)+COUNTA($G226:$L226)+COUNTA($Q226))&gt;0),"",IF($B226="Subactividad","Sub","Macro"))</f>
        <v/>
      </c>
      <c r="W226" s="62">
        <f>IF($V226="Macro",COUNTIFS($U$5:$U$1000,ROW(),$V$5:$V$1000,"Sub"),"")</f>
        <v/>
      </c>
      <c r="X226" s="62">
        <f>IF($V226="","",IF(ISNUMBER($G226),1,IFERROR(LOOKUP(2,1/($I226:$L226&lt;&gt;""),$I226:$L226),0)))</f>
        <v/>
      </c>
      <c r="Y226" s="62">
        <f>IF($V226="","",IF(AND(ISNUMBER($G226),$G226&lt;=IF($S226=MesCiclo,InicioCiclo,$S226+MOD(2-WEEKDAY($S226),7))+6),1,IF(ISNUMBER($I226),$I226,0)))</f>
        <v/>
      </c>
      <c r="Z226" s="62">
        <f>IF($V226="","",IF(AND(ISNUMBER($G226),$G226&lt;=IF($S226=MesCiclo,InicioCiclo,$S226+MOD(2-WEEKDAY($S226),7))+13),1,IF(ISNUMBER($J226),$J226,$Y226)))</f>
        <v/>
      </c>
      <c r="AA226" s="62">
        <f>IF($V226="","",IF(AND(ISNUMBER($G226),$G226&lt;=IF($S226=MesCiclo,InicioCiclo,$S226+MOD(2-WEEKDAY($S226),7))+20),1,IF(ISNUMBER($K226),$K226,$Z226)))</f>
        <v/>
      </c>
      <c r="AB226" s="62">
        <f>IF($V226="","",IF(AND(ISNUMBER($G226),$G226&lt;=IF($S226=MesCiclo,InicioCiclo,$S226+MOD(2-WEEKDAY($S226),7))+27),1,IF(ISNUMBER($L226),$L226,$AA226)))</f>
        <v/>
      </c>
      <c r="AC226" s="62">
        <f>IF($V226="","",IF(AND(ISNUMBER($G226),$G226&lt;=IF($S226=MesCiclo,InicioCiclo,$S226+MOD(2-WEEKDAY($S226),7))+6),1,IF(N($W226)&gt;0,AVERAGEIFS($Y$5:$Y$1000,$U$5:$U$1000,ROW(),$V$5:$V$1000,"Sub"),$Y226)))</f>
        <v/>
      </c>
      <c r="AD226" s="62">
        <f>IF($V226="","",IF(AND(ISNUMBER($G226),$G226&lt;=IF($S226=MesCiclo,InicioCiclo,$S226+MOD(2-WEEKDAY($S226),7))+13),1,IF(N($W226)&gt;0,AVERAGEIFS($Z$5:$Z$1000,$U$5:$U$1000,ROW(),$V$5:$V$1000,"Sub"),$Z226)))</f>
        <v/>
      </c>
      <c r="AE226" s="62">
        <f>IF($V226="","",IF(AND(ISNUMBER($G226),$G226&lt;=IF($S226=MesCiclo,InicioCiclo,$S226+MOD(2-WEEKDAY($S226),7))+20),1,IF(N($W226)&gt;0,AVERAGEIFS($AA$5:$AA$1000,$U$5:$U$1000,ROW(),$V$5:$V$1000,"Sub"),$AA226)))</f>
        <v/>
      </c>
      <c r="AF226" s="62">
        <f>IF($V226="","",IF(AND(ISNUMBER($G226),$G226&lt;=IF($S226=MesCiclo,InicioCiclo,$S226+MOD(2-WEEKDAY($S226),7))+27),1,IF(N($W226)&gt;0,AVERAGEIFS($AB$5:$AB$1000,$U$5:$U$1000,ROW(),$V$5:$V$1000,"Sub"),$AB226)))</f>
        <v/>
      </c>
      <c r="AG226" s="62">
        <f>IF($V226&lt;&gt;"Macro","",IF(COUNTIFS($S$5:$S$1000,$S226,$V$5:$V$1000,"Macro",$H$5:$H$1000,"&gt;0")=0,1/COUNTIFS($S$5:$S$1000,$S226,$V$5:$V$1000,"Macro"),IF(AND(ISNUMBER($H226),N($H226)&gt;0),$H226,SUMIFS($H$5:$H$1000,$S$5:$S$1000,$S226,$V$5:$V$1000,"Macro")/COUNTIFS($S$5:$S$1000,$S226,$V$5:$V$1000,"Macro",$H$5:$H$1000,"&gt;0"))/(COUNTIFS($S$5:$S$1000,$S226,$V$5:$V$1000,"Macro")*SUMIFS($H$5:$H$1000,$S$5:$S$1000,$S226,$V$5:$V$1000,"Macro")/COUNTIFS($S$5:$S$1000,$S226,$V$5:$V$1000,"Macro",$H$5:$H$1000,"&gt;0"))))</f>
        <v/>
      </c>
      <c r="AH226" s="62" t="n"/>
      <c r="AI226" s="62" t="n"/>
      <c r="AJ226" s="62" t="n"/>
      <c r="AK226" s="62" t="n"/>
      <c r="AL226" s="62">
        <f>IF(LEFT($C226,11)="[Jefatura] ",IFERROR(MATCH("Riesgo Financiero|"&amp;MID($C226,12,500),rDname_ADM,0),0),"")</f>
        <v/>
      </c>
      <c r="AM226" s="62">
        <f>IF(N($AL226)&gt;0,INDEX(rIni_ADM,$AL226),IF(ISNUMBER($E226),$E226,""))</f>
        <v/>
      </c>
      <c r="AN226" s="62">
        <f>IF(N($AL226)&gt;0,INDEX(rLim_ADM,$AL226),IF(ISNUMBER($F226),$F226,""))</f>
        <v/>
      </c>
    </row>
    <row r="227">
      <c r="A227" s="56">
        <f>IF(NOT((COUNTA($B227:$D227)+COUNTA($G227:$L227)+COUNTA($Q227))&gt;0),"",IF($V227="Macro",COUNTIFS($V$5:$V227,"Macro",$S$5:$S227,$S227),IF(N($U227)=0,"?",COUNTIFS(INDEX($V$5:$V$1000,1):INDEX($V$5:$V$1000,$U227-4),"Macro",INDEX($S$5:$S$1000,1):INDEX($S$5:$S$1000,$U227-4),INDEX($S$5:$S$1000,$U227-4))&amp;"."&amp;COUNTIFS($U$5:$U227,$U227,$V$5:$V227,"Sub"))))</f>
        <v/>
      </c>
      <c r="B227" s="57" t="n"/>
      <c r="C227" s="58" t="n"/>
      <c r="D227" s="58" t="n"/>
      <c r="E227" s="59">
        <f>IF(N($AL227)&gt;0,INDEX(rIni_ADM,$AL227),"")</f>
        <v/>
      </c>
      <c r="F227" s="59">
        <f>IF(N($AL227)&gt;0,INDEX(rLim_ADM,$AL227),"")</f>
        <v/>
      </c>
      <c r="G227" s="59" t="n"/>
      <c r="H227" s="60" t="n"/>
      <c r="I227" s="60" t="n"/>
      <c r="J227" s="60" t="n"/>
      <c r="K227" s="60" t="n"/>
      <c r="L227" s="60" t="n"/>
      <c r="M227" s="61">
        <f>IF(NOT((COUNTA($B227:$D227)+COUNTA($G227:$L227)+COUNTA($Q227))&gt;0),"",IF($V227="Sub",IFERROR($X227/INDEX($W$5:$W$1000,$U227-4),""),IF(ISNUMBER($G227),1,IF(N($W227)&gt;0,AVERAGEIFS($X$5:$X$1000,$U$5:$U$1000,ROW(),$V$5:$V$1000,"Sub"),$X227))))</f>
        <v/>
      </c>
      <c r="N227" s="56">
        <f>IF(OR($M227="",$V227="Sub"),"",IF($M227&gt;=1,"Completado",IF($M227&gt;0,"En curso","Pendiente")))</f>
        <v/>
      </c>
      <c r="O227" s="56">
        <f>IF(OR(NOT((COUNTA($B227:$D227)+COUNTA($G227:$L227)+COUNTA($Q227))&gt;0),$V227="Sub"),"",IF(ISNUMBER($G227),IF(AND(ISNUMBER($AN227),$G227&gt;$AN227),"Cumplida con "&amp;($G227-$AN227)&amp;IF($G227-$AN227=1," día"," días")&amp;" de retraso","Cumplida"),IF(N($M227)&gt;=1,"Cumplida",IF(NOT(ISNUMBER($AN227)),"Sin fecha límite",IF($AN227&lt;FechaRef,"Vencida hace "&amp;(FechaRef-$AN227)&amp;IF(FechaRef-$AN227=1," día"," días"),IF($AN227=FechaRef,"Vence hoy",IF($AN227-FechaRef&lt;=DiasAlerta,"Vence en "&amp;($AN227-FechaRef)&amp;IF($AN227-FechaRef=1," día"," días"),"En plazo")))))))</f>
        <v/>
      </c>
      <c r="P227" s="62" t="n"/>
      <c r="Q227" s="58" t="n"/>
      <c r="R227" s="63">
        <f>IF(NOT((COUNTA($B227:$D227)+COUNTA($G227:$L227)+COUNTA($Q227))&gt;0),"",IF((IF($C227="","Falta el nombre de la actividad"&amp;" · ","")&amp;IF(AND($V227="Sub",N($U227)=0),"Subactividad sin macroactividad arriba"&amp;" · ","")&amp;IF($AM227="","Sin fecha de inicio"&amp;" · ","")&amp;IF($AN227="","Sin fecha límite"&amp;" · ","")&amp;IF(AND(LEFT($C227,11)="[Jefatura] ",N($AL227)=0),"No se encuentra en la hoja de la jefatura (elíjala de nuevo en la lista)"&amp;" · ","")&amp;IF(OR(AND($E227&lt;&gt;"",NOT(ISNUMBER($E227))),AND($F227&lt;&gt;"",NOT(ISNUMBER($F227))),AND($G227&lt;&gt;"",NOT(ISNUMBER($G227)))),"Fecha no válida"&amp;" · ","")&amp;IF(AND(ISNUMBER($AM227),ISNUMBER($AN227),$AM227&gt;$AN227),"Inicio posterior a fecha límite"&amp;" · ","")&amp;IF(AND($V227="Macro",$H227&lt;&gt;"",OR(NOT(ISNUMBER($H227)),$H227&lt;0,$H227&gt;1)),"Peso fuera de rango"&amp;" · ","")&amp;IF(AND($V227="Sub",$H227&lt;&gt;""),"Las subactividades no llevan peso (valen igual dentro de su macroactividad)"&amp;" · ","")&amp;IF(AND(N($W227)&gt;0,COUNT($I227:$L227)&gt;0),"Con subactividades: deje vacías las semanas (se calculan solas)"&amp;" · ","")&amp;IF((COUNTIF($I227:$L227,"&gt;1")+COUNTIF($I227:$L227,"&lt;0")+COUNTA($I227:$L227)-COUNT($I227:$L227))&gt;0,"Avance fuera de rango 0-100%"&amp;" · ","")&amp;IF(OR(AND($J227&lt;&gt;"",$J227&lt;$I227),AND($K227&lt;&gt;"",$K227&lt;MAX($I227:$J227)),AND($L227&lt;&gt;"",$L227&lt;MAX($I227:$K227))),"Avance semanal decreciente"&amp;" · ","")&amp;IF(AND(ISNUMBER($AN227),$AN227&lt;FechaRef,IF($V227="Sub",N($X227),N($M227))&lt;1),"Vencida"&amp;" · ","")&amp;IF(AND(ObsObligatoria="Sí",ISNUMBER($AN227),$AN227&lt;FechaRef,IF($V227="Sub",N($X227),N($M227))&lt;1,$Q227=""),"Vencida sin observación"&amp;" · ",""))="","✔ OK","⚠ "&amp;LEFT(IF($C227="","Falta el nombre de la actividad"&amp;" · ","")&amp;IF(AND($V227="Sub",N($U227)=0),"Subactividad sin macroactividad arriba"&amp;" · ","")&amp;IF($AM227="","Sin fecha de inicio"&amp;" · ","")&amp;IF($AN227="","Sin fecha límite"&amp;" · ","")&amp;IF(AND(LEFT($C227,11)="[Jefatura] ",N($AL227)=0),"No se encuentra en la hoja de la jefatura (elíjala de nuevo en la lista)"&amp;" · ","")&amp;IF(OR(AND($E227&lt;&gt;"",NOT(ISNUMBER($E227))),AND($F227&lt;&gt;"",NOT(ISNUMBER($F227))),AND($G227&lt;&gt;"",NOT(ISNUMBER($G227)))),"Fecha no válida"&amp;" · ","")&amp;IF(AND(ISNUMBER($AM227),ISNUMBER($AN227),$AM227&gt;$AN227),"Inicio posterior a fecha límite"&amp;" · ","")&amp;IF(AND($V227="Macro",$H227&lt;&gt;"",OR(NOT(ISNUMBER($H227)),$H227&lt;0,$H227&gt;1)),"Peso fuera de rango"&amp;" · ","")&amp;IF(AND($V227="Sub",$H227&lt;&gt;""),"Las subactividades no llevan peso (valen igual dentro de su macroactividad)"&amp;" · ","")&amp;IF(AND(N($W227)&gt;0,COUNT($I227:$L227)&gt;0),"Con subactividades: deje vacías las semanas (se calculan solas)"&amp;" · ","")&amp;IF((COUNTIF($I227:$L227,"&gt;1")+COUNTIF($I227:$L227,"&lt;0")+COUNTA($I227:$L227)-COUNT($I227:$L227))&gt;0,"Avance fuera de rango 0-100%"&amp;" · ","")&amp;IF(OR(AND($J227&lt;&gt;"",$J227&lt;$I227),AND($K227&lt;&gt;"",$K227&lt;MAX($I227:$J227)),AND($L227&lt;&gt;"",$L227&lt;MAX($I227:$K227))),"Avance semanal decreciente"&amp;" · ","")&amp;IF(AND(ISNUMBER($AN227),$AN227&lt;FechaRef,IF($V227="Sub",N($X227),N($M227))&lt;1),"Vencida"&amp;" · ","")&amp;IF(AND(ObsObligatoria="Sí",ISNUMBER($AN227),$AN227&lt;FechaRef,IF($V227="Sub",N($X227),N($M227))&lt;1,$Q227=""),"Vencida sin observación"&amp;" · ",""),LEN(IF($C227="","Falta el nombre de la actividad"&amp;" · ","")&amp;IF(AND($V227="Sub",N($U227)=0),"Subactividad sin macroactividad arriba"&amp;" · ","")&amp;IF($AM227="","Sin fecha de inicio"&amp;" · ","")&amp;IF($AN227="","Sin fecha límite"&amp;" · ","")&amp;IF(AND(LEFT($C227,11)="[Jefatura] ",N($AL227)=0),"No se encuentra en la hoja de la jefatura (elíjala de nuevo en la lista)"&amp;" · ","")&amp;IF(OR(AND($E227&lt;&gt;"",NOT(ISNUMBER($E227))),AND($F227&lt;&gt;"",NOT(ISNUMBER($F227))),AND($G227&lt;&gt;"",NOT(ISNUMBER($G227)))),"Fecha no válida"&amp;" · ","")&amp;IF(AND(ISNUMBER($AM227),ISNUMBER($AN227),$AM227&gt;$AN227),"Inicio posterior a fecha límite"&amp;" · ","")&amp;IF(AND($V227="Macro",$H227&lt;&gt;"",OR(NOT(ISNUMBER($H227)),$H227&lt;0,$H227&gt;1)),"Peso fuera de rango"&amp;" · ","")&amp;IF(AND($V227="Sub",$H227&lt;&gt;""),"Las subactividades no llevan peso (valen igual dentro de su macroactividad)"&amp;" · ","")&amp;IF(AND(N($W227)&gt;0,COUNT($I227:$L227)&gt;0),"Con subactividades: deje vacías las semanas (se calculan solas)"&amp;" · ","")&amp;IF((COUNTIF($I227:$L227,"&gt;1")+COUNTIF($I227:$L227,"&lt;0")+COUNTA($I227:$L227)-COUNT($I227:$L227))&gt;0,"Avance fuera de rango 0-100%"&amp;" · ","")&amp;IF(OR(AND($J227&lt;&gt;"",$J227&lt;$I227),AND($K227&lt;&gt;"",$K227&lt;MAX($I227:$J227)),AND($L227&lt;&gt;"",$L227&lt;MAX($I227:$K227))),"Avance semanal decreciente"&amp;" · ","")&amp;IF(AND(ISNUMBER($AN227),$AN227&lt;FechaRef,IF($V227="Sub",N($X227),N($M227))&lt;1),"Vencida"&amp;" · ","")&amp;IF(AND(ObsObligatoria="Sí",ISNUMBER($AN227),$AN227&lt;FechaRef,IF($V227="Sub",N($X227),N($M227))&lt;1,$Q227=""),"Vencida sin observación"&amp;" · ",""))-3)))</f>
        <v/>
      </c>
      <c r="S227" s="64">
        <f>IF(NOT((COUNTA($B227:$D227)+COUNTA($G227:$L227)+COUNTA($Q227))&gt;0),"",IF(AND($V227="Sub",N($U227)&gt;0),IF(ISNUMBER(INDEX($AM$5:$AM$1000,$U227-4)),DATE(YEAR(INDEX($AM$5:$AM$1000,$U227-4)),MONTH(INDEX($AM$5:$AM$1000,$U227-4)),1),IF(ISNUMBER(INDEX($AN$5:$AN$1000,$U227-4)),DATE(YEAR(INDEX($AN$5:$AN$1000,$U227-4)),MONTH(INDEX($AN$5:$AN$1000,$U227-4)),1),MesCiclo)),IF(ISNUMBER($AM227),DATE(YEAR($AM227),MONTH($AM227),1),IF(ISNUMBER($AN227),DATE(YEAR($AN227),MONTH($AN227),1),MesCiclo))))</f>
        <v/>
      </c>
      <c r="T227" s="62">
        <f>IF(OR($S227="",$S227&lt;&gt;MesCiclo,$V227&lt;&gt;"Macro"),"",COUNTIFS($S$5:$S227,MesCiclo,$V$5:$V227,"Macro"))</f>
        <v/>
      </c>
      <c r="U227" s="62">
        <f>IF($V227="","",IF($V227="Macro",ROW(),IFERROR(LOOKUP(2,1/($V$5:$V227="Macro"),ROW($V$5:$V227)),0)))</f>
        <v/>
      </c>
      <c r="V227" s="62">
        <f>IF(NOT((COUNTA($B227:$D227)+COUNTA($G227:$L227)+COUNTA($Q227))&gt;0),"",IF($B227="Subactividad","Sub","Macro"))</f>
        <v/>
      </c>
      <c r="W227" s="62">
        <f>IF($V227="Macro",COUNTIFS($U$5:$U$1000,ROW(),$V$5:$V$1000,"Sub"),"")</f>
        <v/>
      </c>
      <c r="X227" s="62">
        <f>IF($V227="","",IF(ISNUMBER($G227),1,IFERROR(LOOKUP(2,1/($I227:$L227&lt;&gt;""),$I227:$L227),0)))</f>
        <v/>
      </c>
      <c r="Y227" s="62">
        <f>IF($V227="","",IF(AND(ISNUMBER($G227),$G227&lt;=IF($S227=MesCiclo,InicioCiclo,$S227+MOD(2-WEEKDAY($S227),7))+6),1,IF(ISNUMBER($I227),$I227,0)))</f>
        <v/>
      </c>
      <c r="Z227" s="62">
        <f>IF($V227="","",IF(AND(ISNUMBER($G227),$G227&lt;=IF($S227=MesCiclo,InicioCiclo,$S227+MOD(2-WEEKDAY($S227),7))+13),1,IF(ISNUMBER($J227),$J227,$Y227)))</f>
        <v/>
      </c>
      <c r="AA227" s="62">
        <f>IF($V227="","",IF(AND(ISNUMBER($G227),$G227&lt;=IF($S227=MesCiclo,InicioCiclo,$S227+MOD(2-WEEKDAY($S227),7))+20),1,IF(ISNUMBER($K227),$K227,$Z227)))</f>
        <v/>
      </c>
      <c r="AB227" s="62">
        <f>IF($V227="","",IF(AND(ISNUMBER($G227),$G227&lt;=IF($S227=MesCiclo,InicioCiclo,$S227+MOD(2-WEEKDAY($S227),7))+27),1,IF(ISNUMBER($L227),$L227,$AA227)))</f>
        <v/>
      </c>
      <c r="AC227" s="62">
        <f>IF($V227="","",IF(AND(ISNUMBER($G227),$G227&lt;=IF($S227=MesCiclo,InicioCiclo,$S227+MOD(2-WEEKDAY($S227),7))+6),1,IF(N($W227)&gt;0,AVERAGEIFS($Y$5:$Y$1000,$U$5:$U$1000,ROW(),$V$5:$V$1000,"Sub"),$Y227)))</f>
        <v/>
      </c>
      <c r="AD227" s="62">
        <f>IF($V227="","",IF(AND(ISNUMBER($G227),$G227&lt;=IF($S227=MesCiclo,InicioCiclo,$S227+MOD(2-WEEKDAY($S227),7))+13),1,IF(N($W227)&gt;0,AVERAGEIFS($Z$5:$Z$1000,$U$5:$U$1000,ROW(),$V$5:$V$1000,"Sub"),$Z227)))</f>
        <v/>
      </c>
      <c r="AE227" s="62">
        <f>IF($V227="","",IF(AND(ISNUMBER($G227),$G227&lt;=IF($S227=MesCiclo,InicioCiclo,$S227+MOD(2-WEEKDAY($S227),7))+20),1,IF(N($W227)&gt;0,AVERAGEIFS($AA$5:$AA$1000,$U$5:$U$1000,ROW(),$V$5:$V$1000,"Sub"),$AA227)))</f>
        <v/>
      </c>
      <c r="AF227" s="62">
        <f>IF($V227="","",IF(AND(ISNUMBER($G227),$G227&lt;=IF($S227=MesCiclo,InicioCiclo,$S227+MOD(2-WEEKDAY($S227),7))+27),1,IF(N($W227)&gt;0,AVERAGEIFS($AB$5:$AB$1000,$U$5:$U$1000,ROW(),$V$5:$V$1000,"Sub"),$AB227)))</f>
        <v/>
      </c>
      <c r="AG227" s="62">
        <f>IF($V227&lt;&gt;"Macro","",IF(COUNTIFS($S$5:$S$1000,$S227,$V$5:$V$1000,"Macro",$H$5:$H$1000,"&gt;0")=0,1/COUNTIFS($S$5:$S$1000,$S227,$V$5:$V$1000,"Macro"),IF(AND(ISNUMBER($H227),N($H227)&gt;0),$H227,SUMIFS($H$5:$H$1000,$S$5:$S$1000,$S227,$V$5:$V$1000,"Macro")/COUNTIFS($S$5:$S$1000,$S227,$V$5:$V$1000,"Macro",$H$5:$H$1000,"&gt;0"))/(COUNTIFS($S$5:$S$1000,$S227,$V$5:$V$1000,"Macro")*SUMIFS($H$5:$H$1000,$S$5:$S$1000,$S227,$V$5:$V$1000,"Macro")/COUNTIFS($S$5:$S$1000,$S227,$V$5:$V$1000,"Macro",$H$5:$H$1000,"&gt;0"))))</f>
        <v/>
      </c>
      <c r="AH227" s="62" t="n"/>
      <c r="AI227" s="62" t="n"/>
      <c r="AJ227" s="62" t="n"/>
      <c r="AK227" s="62" t="n"/>
      <c r="AL227" s="62">
        <f>IF(LEFT($C227,11)="[Jefatura] ",IFERROR(MATCH("Riesgo Financiero|"&amp;MID($C227,12,500),rDname_ADM,0),0),"")</f>
        <v/>
      </c>
      <c r="AM227" s="62">
        <f>IF(N($AL227)&gt;0,INDEX(rIni_ADM,$AL227),IF(ISNUMBER($E227),$E227,""))</f>
        <v/>
      </c>
      <c r="AN227" s="62">
        <f>IF(N($AL227)&gt;0,INDEX(rLim_ADM,$AL227),IF(ISNUMBER($F227),$F227,""))</f>
        <v/>
      </c>
    </row>
    <row r="228">
      <c r="A228" s="56">
        <f>IF(NOT((COUNTA($B228:$D228)+COUNTA($G228:$L228)+COUNTA($Q228))&gt;0),"",IF($V228="Macro",COUNTIFS($V$5:$V228,"Macro",$S$5:$S228,$S228),IF(N($U228)=0,"?",COUNTIFS(INDEX($V$5:$V$1000,1):INDEX($V$5:$V$1000,$U228-4),"Macro",INDEX($S$5:$S$1000,1):INDEX($S$5:$S$1000,$U228-4),INDEX($S$5:$S$1000,$U228-4))&amp;"."&amp;COUNTIFS($U$5:$U228,$U228,$V$5:$V228,"Sub"))))</f>
        <v/>
      </c>
      <c r="B228" s="57" t="n"/>
      <c r="C228" s="58" t="n"/>
      <c r="D228" s="58" t="n"/>
      <c r="E228" s="59">
        <f>IF(N($AL228)&gt;0,INDEX(rIni_ADM,$AL228),"")</f>
        <v/>
      </c>
      <c r="F228" s="59">
        <f>IF(N($AL228)&gt;0,INDEX(rLim_ADM,$AL228),"")</f>
        <v/>
      </c>
      <c r="G228" s="59" t="n"/>
      <c r="H228" s="60" t="n"/>
      <c r="I228" s="60" t="n"/>
      <c r="J228" s="60" t="n"/>
      <c r="K228" s="60" t="n"/>
      <c r="L228" s="60" t="n"/>
      <c r="M228" s="61">
        <f>IF(NOT((COUNTA($B228:$D228)+COUNTA($G228:$L228)+COUNTA($Q228))&gt;0),"",IF($V228="Sub",IFERROR($X228/INDEX($W$5:$W$1000,$U228-4),""),IF(ISNUMBER($G228),1,IF(N($W228)&gt;0,AVERAGEIFS($X$5:$X$1000,$U$5:$U$1000,ROW(),$V$5:$V$1000,"Sub"),$X228))))</f>
        <v/>
      </c>
      <c r="N228" s="56">
        <f>IF(OR($M228="",$V228="Sub"),"",IF($M228&gt;=1,"Completado",IF($M228&gt;0,"En curso","Pendiente")))</f>
        <v/>
      </c>
      <c r="O228" s="56">
        <f>IF(OR(NOT((COUNTA($B228:$D228)+COUNTA($G228:$L228)+COUNTA($Q228))&gt;0),$V228="Sub"),"",IF(ISNUMBER($G228),IF(AND(ISNUMBER($AN228),$G228&gt;$AN228),"Cumplida con "&amp;($G228-$AN228)&amp;IF($G228-$AN228=1," día"," días")&amp;" de retraso","Cumplida"),IF(N($M228)&gt;=1,"Cumplida",IF(NOT(ISNUMBER($AN228)),"Sin fecha límite",IF($AN228&lt;FechaRef,"Vencida hace "&amp;(FechaRef-$AN228)&amp;IF(FechaRef-$AN228=1," día"," días"),IF($AN228=FechaRef,"Vence hoy",IF($AN228-FechaRef&lt;=DiasAlerta,"Vence en "&amp;($AN228-FechaRef)&amp;IF($AN228-FechaRef=1," día"," días"),"En plazo")))))))</f>
        <v/>
      </c>
      <c r="P228" s="62" t="n"/>
      <c r="Q228" s="58" t="n"/>
      <c r="R228" s="63">
        <f>IF(NOT((COUNTA($B228:$D228)+COUNTA($G228:$L228)+COUNTA($Q228))&gt;0),"",IF((IF($C228="","Falta el nombre de la actividad"&amp;" · ","")&amp;IF(AND($V228="Sub",N($U228)=0),"Subactividad sin macroactividad arriba"&amp;" · ","")&amp;IF($AM228="","Sin fecha de inicio"&amp;" · ","")&amp;IF($AN228="","Sin fecha límite"&amp;" · ","")&amp;IF(AND(LEFT($C228,11)="[Jefatura] ",N($AL228)=0),"No se encuentra en la hoja de la jefatura (elíjala de nuevo en la lista)"&amp;" · ","")&amp;IF(OR(AND($E228&lt;&gt;"",NOT(ISNUMBER($E228))),AND($F228&lt;&gt;"",NOT(ISNUMBER($F228))),AND($G228&lt;&gt;"",NOT(ISNUMBER($G228)))),"Fecha no válida"&amp;" · ","")&amp;IF(AND(ISNUMBER($AM228),ISNUMBER($AN228),$AM228&gt;$AN228),"Inicio posterior a fecha límite"&amp;" · ","")&amp;IF(AND($V228="Macro",$H228&lt;&gt;"",OR(NOT(ISNUMBER($H228)),$H228&lt;0,$H228&gt;1)),"Peso fuera de rango"&amp;" · ","")&amp;IF(AND($V228="Sub",$H228&lt;&gt;""),"Las subactividades no llevan peso (valen igual dentro de su macroactividad)"&amp;" · ","")&amp;IF(AND(N($W228)&gt;0,COUNT($I228:$L228)&gt;0),"Con subactividades: deje vacías las semanas (se calculan solas)"&amp;" · ","")&amp;IF((COUNTIF($I228:$L228,"&gt;1")+COUNTIF($I228:$L228,"&lt;0")+COUNTA($I228:$L228)-COUNT($I228:$L228))&gt;0,"Avance fuera de rango 0-100%"&amp;" · ","")&amp;IF(OR(AND($J228&lt;&gt;"",$J228&lt;$I228),AND($K228&lt;&gt;"",$K228&lt;MAX($I228:$J228)),AND($L228&lt;&gt;"",$L228&lt;MAX($I228:$K228))),"Avance semanal decreciente"&amp;" · ","")&amp;IF(AND(ISNUMBER($AN228),$AN228&lt;FechaRef,IF($V228="Sub",N($X228),N($M228))&lt;1),"Vencida"&amp;" · ","")&amp;IF(AND(ObsObligatoria="Sí",ISNUMBER($AN228),$AN228&lt;FechaRef,IF($V228="Sub",N($X228),N($M228))&lt;1,$Q228=""),"Vencida sin observación"&amp;" · ",""))="","✔ OK","⚠ "&amp;LEFT(IF($C228="","Falta el nombre de la actividad"&amp;" · ","")&amp;IF(AND($V228="Sub",N($U228)=0),"Subactividad sin macroactividad arriba"&amp;" · ","")&amp;IF($AM228="","Sin fecha de inicio"&amp;" · ","")&amp;IF($AN228="","Sin fecha límite"&amp;" · ","")&amp;IF(AND(LEFT($C228,11)="[Jefatura] ",N($AL228)=0),"No se encuentra en la hoja de la jefatura (elíjala de nuevo en la lista)"&amp;" · ","")&amp;IF(OR(AND($E228&lt;&gt;"",NOT(ISNUMBER($E228))),AND($F228&lt;&gt;"",NOT(ISNUMBER($F228))),AND($G228&lt;&gt;"",NOT(ISNUMBER($G228)))),"Fecha no válida"&amp;" · ","")&amp;IF(AND(ISNUMBER($AM228),ISNUMBER($AN228),$AM228&gt;$AN228),"Inicio posterior a fecha límite"&amp;" · ","")&amp;IF(AND($V228="Macro",$H228&lt;&gt;"",OR(NOT(ISNUMBER($H228)),$H228&lt;0,$H228&gt;1)),"Peso fuera de rango"&amp;" · ","")&amp;IF(AND($V228="Sub",$H228&lt;&gt;""),"Las subactividades no llevan peso (valen igual dentro de su macroactividad)"&amp;" · ","")&amp;IF(AND(N($W228)&gt;0,COUNT($I228:$L228)&gt;0),"Con subactividades: deje vacías las semanas (se calculan solas)"&amp;" · ","")&amp;IF((COUNTIF($I228:$L228,"&gt;1")+COUNTIF($I228:$L228,"&lt;0")+COUNTA($I228:$L228)-COUNT($I228:$L228))&gt;0,"Avance fuera de rango 0-100%"&amp;" · ","")&amp;IF(OR(AND($J228&lt;&gt;"",$J228&lt;$I228),AND($K228&lt;&gt;"",$K228&lt;MAX($I228:$J228)),AND($L228&lt;&gt;"",$L228&lt;MAX($I228:$K228))),"Avance semanal decreciente"&amp;" · ","")&amp;IF(AND(ISNUMBER($AN228),$AN228&lt;FechaRef,IF($V228="Sub",N($X228),N($M228))&lt;1),"Vencida"&amp;" · ","")&amp;IF(AND(ObsObligatoria="Sí",ISNUMBER($AN228),$AN228&lt;FechaRef,IF($V228="Sub",N($X228),N($M228))&lt;1,$Q228=""),"Vencida sin observación"&amp;" · ",""),LEN(IF($C228="","Falta el nombre de la actividad"&amp;" · ","")&amp;IF(AND($V228="Sub",N($U228)=0),"Subactividad sin macroactividad arriba"&amp;" · ","")&amp;IF($AM228="","Sin fecha de inicio"&amp;" · ","")&amp;IF($AN228="","Sin fecha límite"&amp;" · ","")&amp;IF(AND(LEFT($C228,11)="[Jefatura] ",N($AL228)=0),"No se encuentra en la hoja de la jefatura (elíjala de nuevo en la lista)"&amp;" · ","")&amp;IF(OR(AND($E228&lt;&gt;"",NOT(ISNUMBER($E228))),AND($F228&lt;&gt;"",NOT(ISNUMBER($F228))),AND($G228&lt;&gt;"",NOT(ISNUMBER($G228)))),"Fecha no válida"&amp;" · ","")&amp;IF(AND(ISNUMBER($AM228),ISNUMBER($AN228),$AM228&gt;$AN228),"Inicio posterior a fecha límite"&amp;" · ","")&amp;IF(AND($V228="Macro",$H228&lt;&gt;"",OR(NOT(ISNUMBER($H228)),$H228&lt;0,$H228&gt;1)),"Peso fuera de rango"&amp;" · ","")&amp;IF(AND($V228="Sub",$H228&lt;&gt;""),"Las subactividades no llevan peso (valen igual dentro de su macroactividad)"&amp;" · ","")&amp;IF(AND(N($W228)&gt;0,COUNT($I228:$L228)&gt;0),"Con subactividades: deje vacías las semanas (se calculan solas)"&amp;" · ","")&amp;IF((COUNTIF($I228:$L228,"&gt;1")+COUNTIF($I228:$L228,"&lt;0")+COUNTA($I228:$L228)-COUNT($I228:$L228))&gt;0,"Avance fuera de rango 0-100%"&amp;" · ","")&amp;IF(OR(AND($J228&lt;&gt;"",$J228&lt;$I228),AND($K228&lt;&gt;"",$K228&lt;MAX($I228:$J228)),AND($L228&lt;&gt;"",$L228&lt;MAX($I228:$K228))),"Avance semanal decreciente"&amp;" · ","")&amp;IF(AND(ISNUMBER($AN228),$AN228&lt;FechaRef,IF($V228="Sub",N($X228),N($M228))&lt;1),"Vencida"&amp;" · ","")&amp;IF(AND(ObsObligatoria="Sí",ISNUMBER($AN228),$AN228&lt;FechaRef,IF($V228="Sub",N($X228),N($M228))&lt;1,$Q228=""),"Vencida sin observación"&amp;" · ",""))-3)))</f>
        <v/>
      </c>
      <c r="S228" s="64">
        <f>IF(NOT((COUNTA($B228:$D228)+COUNTA($G228:$L228)+COUNTA($Q228))&gt;0),"",IF(AND($V228="Sub",N($U228)&gt;0),IF(ISNUMBER(INDEX($AM$5:$AM$1000,$U228-4)),DATE(YEAR(INDEX($AM$5:$AM$1000,$U228-4)),MONTH(INDEX($AM$5:$AM$1000,$U228-4)),1),IF(ISNUMBER(INDEX($AN$5:$AN$1000,$U228-4)),DATE(YEAR(INDEX($AN$5:$AN$1000,$U228-4)),MONTH(INDEX($AN$5:$AN$1000,$U228-4)),1),MesCiclo)),IF(ISNUMBER($AM228),DATE(YEAR($AM228),MONTH($AM228),1),IF(ISNUMBER($AN228),DATE(YEAR($AN228),MONTH($AN228),1),MesCiclo))))</f>
        <v/>
      </c>
      <c r="T228" s="62">
        <f>IF(OR($S228="",$S228&lt;&gt;MesCiclo,$V228&lt;&gt;"Macro"),"",COUNTIFS($S$5:$S228,MesCiclo,$V$5:$V228,"Macro"))</f>
        <v/>
      </c>
      <c r="U228" s="62">
        <f>IF($V228="","",IF($V228="Macro",ROW(),IFERROR(LOOKUP(2,1/($V$5:$V228="Macro"),ROW($V$5:$V228)),0)))</f>
        <v/>
      </c>
      <c r="V228" s="62">
        <f>IF(NOT((COUNTA($B228:$D228)+COUNTA($G228:$L228)+COUNTA($Q228))&gt;0),"",IF($B228="Subactividad","Sub","Macro"))</f>
        <v/>
      </c>
      <c r="W228" s="62">
        <f>IF($V228="Macro",COUNTIFS($U$5:$U$1000,ROW(),$V$5:$V$1000,"Sub"),"")</f>
        <v/>
      </c>
      <c r="X228" s="62">
        <f>IF($V228="","",IF(ISNUMBER($G228),1,IFERROR(LOOKUP(2,1/($I228:$L228&lt;&gt;""),$I228:$L228),0)))</f>
        <v/>
      </c>
      <c r="Y228" s="62">
        <f>IF($V228="","",IF(AND(ISNUMBER($G228),$G228&lt;=IF($S228=MesCiclo,InicioCiclo,$S228+MOD(2-WEEKDAY($S228),7))+6),1,IF(ISNUMBER($I228),$I228,0)))</f>
        <v/>
      </c>
      <c r="Z228" s="62">
        <f>IF($V228="","",IF(AND(ISNUMBER($G228),$G228&lt;=IF($S228=MesCiclo,InicioCiclo,$S228+MOD(2-WEEKDAY($S228),7))+13),1,IF(ISNUMBER($J228),$J228,$Y228)))</f>
        <v/>
      </c>
      <c r="AA228" s="62">
        <f>IF($V228="","",IF(AND(ISNUMBER($G228),$G228&lt;=IF($S228=MesCiclo,InicioCiclo,$S228+MOD(2-WEEKDAY($S228),7))+20),1,IF(ISNUMBER($K228),$K228,$Z228)))</f>
        <v/>
      </c>
      <c r="AB228" s="62">
        <f>IF($V228="","",IF(AND(ISNUMBER($G228),$G228&lt;=IF($S228=MesCiclo,InicioCiclo,$S228+MOD(2-WEEKDAY($S228),7))+27),1,IF(ISNUMBER($L228),$L228,$AA228)))</f>
        <v/>
      </c>
      <c r="AC228" s="62">
        <f>IF($V228="","",IF(AND(ISNUMBER($G228),$G228&lt;=IF($S228=MesCiclo,InicioCiclo,$S228+MOD(2-WEEKDAY($S228),7))+6),1,IF(N($W228)&gt;0,AVERAGEIFS($Y$5:$Y$1000,$U$5:$U$1000,ROW(),$V$5:$V$1000,"Sub"),$Y228)))</f>
        <v/>
      </c>
      <c r="AD228" s="62">
        <f>IF($V228="","",IF(AND(ISNUMBER($G228),$G228&lt;=IF($S228=MesCiclo,InicioCiclo,$S228+MOD(2-WEEKDAY($S228),7))+13),1,IF(N($W228)&gt;0,AVERAGEIFS($Z$5:$Z$1000,$U$5:$U$1000,ROW(),$V$5:$V$1000,"Sub"),$Z228)))</f>
        <v/>
      </c>
      <c r="AE228" s="62">
        <f>IF($V228="","",IF(AND(ISNUMBER($G228),$G228&lt;=IF($S228=MesCiclo,InicioCiclo,$S228+MOD(2-WEEKDAY($S228),7))+20),1,IF(N($W228)&gt;0,AVERAGEIFS($AA$5:$AA$1000,$U$5:$U$1000,ROW(),$V$5:$V$1000,"Sub"),$AA228)))</f>
        <v/>
      </c>
      <c r="AF228" s="62">
        <f>IF($V228="","",IF(AND(ISNUMBER($G228),$G228&lt;=IF($S228=MesCiclo,InicioCiclo,$S228+MOD(2-WEEKDAY($S228),7))+27),1,IF(N($W228)&gt;0,AVERAGEIFS($AB$5:$AB$1000,$U$5:$U$1000,ROW(),$V$5:$V$1000,"Sub"),$AB228)))</f>
        <v/>
      </c>
      <c r="AG228" s="62">
        <f>IF($V228&lt;&gt;"Macro","",IF(COUNTIFS($S$5:$S$1000,$S228,$V$5:$V$1000,"Macro",$H$5:$H$1000,"&gt;0")=0,1/COUNTIFS($S$5:$S$1000,$S228,$V$5:$V$1000,"Macro"),IF(AND(ISNUMBER($H228),N($H228)&gt;0),$H228,SUMIFS($H$5:$H$1000,$S$5:$S$1000,$S228,$V$5:$V$1000,"Macro")/COUNTIFS($S$5:$S$1000,$S228,$V$5:$V$1000,"Macro",$H$5:$H$1000,"&gt;0"))/(COUNTIFS($S$5:$S$1000,$S228,$V$5:$V$1000,"Macro")*SUMIFS($H$5:$H$1000,$S$5:$S$1000,$S228,$V$5:$V$1000,"Macro")/COUNTIFS($S$5:$S$1000,$S228,$V$5:$V$1000,"Macro",$H$5:$H$1000,"&gt;0"))))</f>
        <v/>
      </c>
      <c r="AH228" s="62" t="n"/>
      <c r="AI228" s="62" t="n"/>
      <c r="AJ228" s="62" t="n"/>
      <c r="AK228" s="62" t="n"/>
      <c r="AL228" s="62">
        <f>IF(LEFT($C228,11)="[Jefatura] ",IFERROR(MATCH("Riesgo Financiero|"&amp;MID($C228,12,500),rDname_ADM,0),0),"")</f>
        <v/>
      </c>
      <c r="AM228" s="62">
        <f>IF(N($AL228)&gt;0,INDEX(rIni_ADM,$AL228),IF(ISNUMBER($E228),$E228,""))</f>
        <v/>
      </c>
      <c r="AN228" s="62">
        <f>IF(N($AL228)&gt;0,INDEX(rLim_ADM,$AL228),IF(ISNUMBER($F228),$F228,""))</f>
        <v/>
      </c>
    </row>
    <row r="229">
      <c r="A229" s="56">
        <f>IF(NOT((COUNTA($B229:$D229)+COUNTA($G229:$L229)+COUNTA($Q229))&gt;0),"",IF($V229="Macro",COUNTIFS($V$5:$V229,"Macro",$S$5:$S229,$S229),IF(N($U229)=0,"?",COUNTIFS(INDEX($V$5:$V$1000,1):INDEX($V$5:$V$1000,$U229-4),"Macro",INDEX($S$5:$S$1000,1):INDEX($S$5:$S$1000,$U229-4),INDEX($S$5:$S$1000,$U229-4))&amp;"."&amp;COUNTIFS($U$5:$U229,$U229,$V$5:$V229,"Sub"))))</f>
        <v/>
      </c>
      <c r="B229" s="57" t="n"/>
      <c r="C229" s="58" t="n"/>
      <c r="D229" s="58" t="n"/>
      <c r="E229" s="59">
        <f>IF(N($AL229)&gt;0,INDEX(rIni_ADM,$AL229),"")</f>
        <v/>
      </c>
      <c r="F229" s="59">
        <f>IF(N($AL229)&gt;0,INDEX(rLim_ADM,$AL229),"")</f>
        <v/>
      </c>
      <c r="G229" s="59" t="n"/>
      <c r="H229" s="60" t="n"/>
      <c r="I229" s="60" t="n"/>
      <c r="J229" s="60" t="n"/>
      <c r="K229" s="60" t="n"/>
      <c r="L229" s="60" t="n"/>
      <c r="M229" s="61">
        <f>IF(NOT((COUNTA($B229:$D229)+COUNTA($G229:$L229)+COUNTA($Q229))&gt;0),"",IF($V229="Sub",IFERROR($X229/INDEX($W$5:$W$1000,$U229-4),""),IF(ISNUMBER($G229),1,IF(N($W229)&gt;0,AVERAGEIFS($X$5:$X$1000,$U$5:$U$1000,ROW(),$V$5:$V$1000,"Sub"),$X229))))</f>
        <v/>
      </c>
      <c r="N229" s="56">
        <f>IF(OR($M229="",$V229="Sub"),"",IF($M229&gt;=1,"Completado",IF($M229&gt;0,"En curso","Pendiente")))</f>
        <v/>
      </c>
      <c r="O229" s="56">
        <f>IF(OR(NOT((COUNTA($B229:$D229)+COUNTA($G229:$L229)+COUNTA($Q229))&gt;0),$V229="Sub"),"",IF(ISNUMBER($G229),IF(AND(ISNUMBER($AN229),$G229&gt;$AN229),"Cumplida con "&amp;($G229-$AN229)&amp;IF($G229-$AN229=1," día"," días")&amp;" de retraso","Cumplida"),IF(N($M229)&gt;=1,"Cumplida",IF(NOT(ISNUMBER($AN229)),"Sin fecha límite",IF($AN229&lt;FechaRef,"Vencida hace "&amp;(FechaRef-$AN229)&amp;IF(FechaRef-$AN229=1," día"," días"),IF($AN229=FechaRef,"Vence hoy",IF($AN229-FechaRef&lt;=DiasAlerta,"Vence en "&amp;($AN229-FechaRef)&amp;IF($AN229-FechaRef=1," día"," días"),"En plazo")))))))</f>
        <v/>
      </c>
      <c r="P229" s="62" t="n"/>
      <c r="Q229" s="58" t="n"/>
      <c r="R229" s="63">
        <f>IF(NOT((COUNTA($B229:$D229)+COUNTA($G229:$L229)+COUNTA($Q229))&gt;0),"",IF((IF($C229="","Falta el nombre de la actividad"&amp;" · ","")&amp;IF(AND($V229="Sub",N($U229)=0),"Subactividad sin macroactividad arriba"&amp;" · ","")&amp;IF($AM229="","Sin fecha de inicio"&amp;" · ","")&amp;IF($AN229="","Sin fecha límite"&amp;" · ","")&amp;IF(AND(LEFT($C229,11)="[Jefatura] ",N($AL229)=0),"No se encuentra en la hoja de la jefatura (elíjala de nuevo en la lista)"&amp;" · ","")&amp;IF(OR(AND($E229&lt;&gt;"",NOT(ISNUMBER($E229))),AND($F229&lt;&gt;"",NOT(ISNUMBER($F229))),AND($G229&lt;&gt;"",NOT(ISNUMBER($G229)))),"Fecha no válida"&amp;" · ","")&amp;IF(AND(ISNUMBER($AM229),ISNUMBER($AN229),$AM229&gt;$AN229),"Inicio posterior a fecha límite"&amp;" · ","")&amp;IF(AND($V229="Macro",$H229&lt;&gt;"",OR(NOT(ISNUMBER($H229)),$H229&lt;0,$H229&gt;1)),"Peso fuera de rango"&amp;" · ","")&amp;IF(AND($V229="Sub",$H229&lt;&gt;""),"Las subactividades no llevan peso (valen igual dentro de su macroactividad)"&amp;" · ","")&amp;IF(AND(N($W229)&gt;0,COUNT($I229:$L229)&gt;0),"Con subactividades: deje vacías las semanas (se calculan solas)"&amp;" · ","")&amp;IF((COUNTIF($I229:$L229,"&gt;1")+COUNTIF($I229:$L229,"&lt;0")+COUNTA($I229:$L229)-COUNT($I229:$L229))&gt;0,"Avance fuera de rango 0-100%"&amp;" · ","")&amp;IF(OR(AND($J229&lt;&gt;"",$J229&lt;$I229),AND($K229&lt;&gt;"",$K229&lt;MAX($I229:$J229)),AND($L229&lt;&gt;"",$L229&lt;MAX($I229:$K229))),"Avance semanal decreciente"&amp;" · ","")&amp;IF(AND(ISNUMBER($AN229),$AN229&lt;FechaRef,IF($V229="Sub",N($X229),N($M229))&lt;1),"Vencida"&amp;" · ","")&amp;IF(AND(ObsObligatoria="Sí",ISNUMBER($AN229),$AN229&lt;FechaRef,IF($V229="Sub",N($X229),N($M229))&lt;1,$Q229=""),"Vencida sin observación"&amp;" · ",""))="","✔ OK","⚠ "&amp;LEFT(IF($C229="","Falta el nombre de la actividad"&amp;" · ","")&amp;IF(AND($V229="Sub",N($U229)=0),"Subactividad sin macroactividad arriba"&amp;" · ","")&amp;IF($AM229="","Sin fecha de inicio"&amp;" · ","")&amp;IF($AN229="","Sin fecha límite"&amp;" · ","")&amp;IF(AND(LEFT($C229,11)="[Jefatura] ",N($AL229)=0),"No se encuentra en la hoja de la jefatura (elíjala de nuevo en la lista)"&amp;" · ","")&amp;IF(OR(AND($E229&lt;&gt;"",NOT(ISNUMBER($E229))),AND($F229&lt;&gt;"",NOT(ISNUMBER($F229))),AND($G229&lt;&gt;"",NOT(ISNUMBER($G229)))),"Fecha no válida"&amp;" · ","")&amp;IF(AND(ISNUMBER($AM229),ISNUMBER($AN229),$AM229&gt;$AN229),"Inicio posterior a fecha límite"&amp;" · ","")&amp;IF(AND($V229="Macro",$H229&lt;&gt;"",OR(NOT(ISNUMBER($H229)),$H229&lt;0,$H229&gt;1)),"Peso fuera de rango"&amp;" · ","")&amp;IF(AND($V229="Sub",$H229&lt;&gt;""),"Las subactividades no llevan peso (valen igual dentro de su macroactividad)"&amp;" · ","")&amp;IF(AND(N($W229)&gt;0,COUNT($I229:$L229)&gt;0),"Con subactividades: deje vacías las semanas (se calculan solas)"&amp;" · ","")&amp;IF((COUNTIF($I229:$L229,"&gt;1")+COUNTIF($I229:$L229,"&lt;0")+COUNTA($I229:$L229)-COUNT($I229:$L229))&gt;0,"Avance fuera de rango 0-100%"&amp;" · ","")&amp;IF(OR(AND($J229&lt;&gt;"",$J229&lt;$I229),AND($K229&lt;&gt;"",$K229&lt;MAX($I229:$J229)),AND($L229&lt;&gt;"",$L229&lt;MAX($I229:$K229))),"Avance semanal decreciente"&amp;" · ","")&amp;IF(AND(ISNUMBER($AN229),$AN229&lt;FechaRef,IF($V229="Sub",N($X229),N($M229))&lt;1),"Vencida"&amp;" · ","")&amp;IF(AND(ObsObligatoria="Sí",ISNUMBER($AN229),$AN229&lt;FechaRef,IF($V229="Sub",N($X229),N($M229))&lt;1,$Q229=""),"Vencida sin observación"&amp;" · ",""),LEN(IF($C229="","Falta el nombre de la actividad"&amp;" · ","")&amp;IF(AND($V229="Sub",N($U229)=0),"Subactividad sin macroactividad arriba"&amp;" · ","")&amp;IF($AM229="","Sin fecha de inicio"&amp;" · ","")&amp;IF($AN229="","Sin fecha límite"&amp;" · ","")&amp;IF(AND(LEFT($C229,11)="[Jefatura] ",N($AL229)=0),"No se encuentra en la hoja de la jefatura (elíjala de nuevo en la lista)"&amp;" · ","")&amp;IF(OR(AND($E229&lt;&gt;"",NOT(ISNUMBER($E229))),AND($F229&lt;&gt;"",NOT(ISNUMBER($F229))),AND($G229&lt;&gt;"",NOT(ISNUMBER($G229)))),"Fecha no válida"&amp;" · ","")&amp;IF(AND(ISNUMBER($AM229),ISNUMBER($AN229),$AM229&gt;$AN229),"Inicio posterior a fecha límite"&amp;" · ","")&amp;IF(AND($V229="Macro",$H229&lt;&gt;"",OR(NOT(ISNUMBER($H229)),$H229&lt;0,$H229&gt;1)),"Peso fuera de rango"&amp;" · ","")&amp;IF(AND($V229="Sub",$H229&lt;&gt;""),"Las subactividades no llevan peso (valen igual dentro de su macroactividad)"&amp;" · ","")&amp;IF(AND(N($W229)&gt;0,COUNT($I229:$L229)&gt;0),"Con subactividades: deje vacías las semanas (se calculan solas)"&amp;" · ","")&amp;IF((COUNTIF($I229:$L229,"&gt;1")+COUNTIF($I229:$L229,"&lt;0")+COUNTA($I229:$L229)-COUNT($I229:$L229))&gt;0,"Avance fuera de rango 0-100%"&amp;" · ","")&amp;IF(OR(AND($J229&lt;&gt;"",$J229&lt;$I229),AND($K229&lt;&gt;"",$K229&lt;MAX($I229:$J229)),AND($L229&lt;&gt;"",$L229&lt;MAX($I229:$K229))),"Avance semanal decreciente"&amp;" · ","")&amp;IF(AND(ISNUMBER($AN229),$AN229&lt;FechaRef,IF($V229="Sub",N($X229),N($M229))&lt;1),"Vencida"&amp;" · ","")&amp;IF(AND(ObsObligatoria="Sí",ISNUMBER($AN229),$AN229&lt;FechaRef,IF($V229="Sub",N($X229),N($M229))&lt;1,$Q229=""),"Vencida sin observación"&amp;" · ",""))-3)))</f>
        <v/>
      </c>
      <c r="S229" s="64">
        <f>IF(NOT((COUNTA($B229:$D229)+COUNTA($G229:$L229)+COUNTA($Q229))&gt;0),"",IF(AND($V229="Sub",N($U229)&gt;0),IF(ISNUMBER(INDEX($AM$5:$AM$1000,$U229-4)),DATE(YEAR(INDEX($AM$5:$AM$1000,$U229-4)),MONTH(INDEX($AM$5:$AM$1000,$U229-4)),1),IF(ISNUMBER(INDEX($AN$5:$AN$1000,$U229-4)),DATE(YEAR(INDEX($AN$5:$AN$1000,$U229-4)),MONTH(INDEX($AN$5:$AN$1000,$U229-4)),1),MesCiclo)),IF(ISNUMBER($AM229),DATE(YEAR($AM229),MONTH($AM229),1),IF(ISNUMBER($AN229),DATE(YEAR($AN229),MONTH($AN229),1),MesCiclo))))</f>
        <v/>
      </c>
      <c r="T229" s="62">
        <f>IF(OR($S229="",$S229&lt;&gt;MesCiclo,$V229&lt;&gt;"Macro"),"",COUNTIFS($S$5:$S229,MesCiclo,$V$5:$V229,"Macro"))</f>
        <v/>
      </c>
      <c r="U229" s="62">
        <f>IF($V229="","",IF($V229="Macro",ROW(),IFERROR(LOOKUP(2,1/($V$5:$V229="Macro"),ROW($V$5:$V229)),0)))</f>
        <v/>
      </c>
      <c r="V229" s="62">
        <f>IF(NOT((COUNTA($B229:$D229)+COUNTA($G229:$L229)+COUNTA($Q229))&gt;0),"",IF($B229="Subactividad","Sub","Macro"))</f>
        <v/>
      </c>
      <c r="W229" s="62">
        <f>IF($V229="Macro",COUNTIFS($U$5:$U$1000,ROW(),$V$5:$V$1000,"Sub"),"")</f>
        <v/>
      </c>
      <c r="X229" s="62">
        <f>IF($V229="","",IF(ISNUMBER($G229),1,IFERROR(LOOKUP(2,1/($I229:$L229&lt;&gt;""),$I229:$L229),0)))</f>
        <v/>
      </c>
      <c r="Y229" s="62">
        <f>IF($V229="","",IF(AND(ISNUMBER($G229),$G229&lt;=IF($S229=MesCiclo,InicioCiclo,$S229+MOD(2-WEEKDAY($S229),7))+6),1,IF(ISNUMBER($I229),$I229,0)))</f>
        <v/>
      </c>
      <c r="Z229" s="62">
        <f>IF($V229="","",IF(AND(ISNUMBER($G229),$G229&lt;=IF($S229=MesCiclo,InicioCiclo,$S229+MOD(2-WEEKDAY($S229),7))+13),1,IF(ISNUMBER($J229),$J229,$Y229)))</f>
        <v/>
      </c>
      <c r="AA229" s="62">
        <f>IF($V229="","",IF(AND(ISNUMBER($G229),$G229&lt;=IF($S229=MesCiclo,InicioCiclo,$S229+MOD(2-WEEKDAY($S229),7))+20),1,IF(ISNUMBER($K229),$K229,$Z229)))</f>
        <v/>
      </c>
      <c r="AB229" s="62">
        <f>IF($V229="","",IF(AND(ISNUMBER($G229),$G229&lt;=IF($S229=MesCiclo,InicioCiclo,$S229+MOD(2-WEEKDAY($S229),7))+27),1,IF(ISNUMBER($L229),$L229,$AA229)))</f>
        <v/>
      </c>
      <c r="AC229" s="62">
        <f>IF($V229="","",IF(AND(ISNUMBER($G229),$G229&lt;=IF($S229=MesCiclo,InicioCiclo,$S229+MOD(2-WEEKDAY($S229),7))+6),1,IF(N($W229)&gt;0,AVERAGEIFS($Y$5:$Y$1000,$U$5:$U$1000,ROW(),$V$5:$V$1000,"Sub"),$Y229)))</f>
        <v/>
      </c>
      <c r="AD229" s="62">
        <f>IF($V229="","",IF(AND(ISNUMBER($G229),$G229&lt;=IF($S229=MesCiclo,InicioCiclo,$S229+MOD(2-WEEKDAY($S229),7))+13),1,IF(N($W229)&gt;0,AVERAGEIFS($Z$5:$Z$1000,$U$5:$U$1000,ROW(),$V$5:$V$1000,"Sub"),$Z229)))</f>
        <v/>
      </c>
      <c r="AE229" s="62">
        <f>IF($V229="","",IF(AND(ISNUMBER($G229),$G229&lt;=IF($S229=MesCiclo,InicioCiclo,$S229+MOD(2-WEEKDAY($S229),7))+20),1,IF(N($W229)&gt;0,AVERAGEIFS($AA$5:$AA$1000,$U$5:$U$1000,ROW(),$V$5:$V$1000,"Sub"),$AA229)))</f>
        <v/>
      </c>
      <c r="AF229" s="62">
        <f>IF($V229="","",IF(AND(ISNUMBER($G229),$G229&lt;=IF($S229=MesCiclo,InicioCiclo,$S229+MOD(2-WEEKDAY($S229),7))+27),1,IF(N($W229)&gt;0,AVERAGEIFS($AB$5:$AB$1000,$U$5:$U$1000,ROW(),$V$5:$V$1000,"Sub"),$AB229)))</f>
        <v/>
      </c>
      <c r="AG229" s="62">
        <f>IF($V229&lt;&gt;"Macro","",IF(COUNTIFS($S$5:$S$1000,$S229,$V$5:$V$1000,"Macro",$H$5:$H$1000,"&gt;0")=0,1/COUNTIFS($S$5:$S$1000,$S229,$V$5:$V$1000,"Macro"),IF(AND(ISNUMBER($H229),N($H229)&gt;0),$H229,SUMIFS($H$5:$H$1000,$S$5:$S$1000,$S229,$V$5:$V$1000,"Macro")/COUNTIFS($S$5:$S$1000,$S229,$V$5:$V$1000,"Macro",$H$5:$H$1000,"&gt;0"))/(COUNTIFS($S$5:$S$1000,$S229,$V$5:$V$1000,"Macro")*SUMIFS($H$5:$H$1000,$S$5:$S$1000,$S229,$V$5:$V$1000,"Macro")/COUNTIFS($S$5:$S$1000,$S229,$V$5:$V$1000,"Macro",$H$5:$H$1000,"&gt;0"))))</f>
        <v/>
      </c>
      <c r="AH229" s="62" t="n"/>
      <c r="AI229" s="62" t="n"/>
      <c r="AJ229" s="62" t="n"/>
      <c r="AK229" s="62" t="n"/>
      <c r="AL229" s="62">
        <f>IF(LEFT($C229,11)="[Jefatura] ",IFERROR(MATCH("Riesgo Financiero|"&amp;MID($C229,12,500),rDname_ADM,0),0),"")</f>
        <v/>
      </c>
      <c r="AM229" s="62">
        <f>IF(N($AL229)&gt;0,INDEX(rIni_ADM,$AL229),IF(ISNUMBER($E229),$E229,""))</f>
        <v/>
      </c>
      <c r="AN229" s="62">
        <f>IF(N($AL229)&gt;0,INDEX(rLim_ADM,$AL229),IF(ISNUMBER($F229),$F229,""))</f>
        <v/>
      </c>
    </row>
    <row r="230">
      <c r="A230" s="56">
        <f>IF(NOT((COUNTA($B230:$D230)+COUNTA($G230:$L230)+COUNTA($Q230))&gt;0),"",IF($V230="Macro",COUNTIFS($V$5:$V230,"Macro",$S$5:$S230,$S230),IF(N($U230)=0,"?",COUNTIFS(INDEX($V$5:$V$1000,1):INDEX($V$5:$V$1000,$U230-4),"Macro",INDEX($S$5:$S$1000,1):INDEX($S$5:$S$1000,$U230-4),INDEX($S$5:$S$1000,$U230-4))&amp;"."&amp;COUNTIFS($U$5:$U230,$U230,$V$5:$V230,"Sub"))))</f>
        <v/>
      </c>
      <c r="B230" s="57" t="n"/>
      <c r="C230" s="58" t="n"/>
      <c r="D230" s="58" t="n"/>
      <c r="E230" s="59">
        <f>IF(N($AL230)&gt;0,INDEX(rIni_ADM,$AL230),"")</f>
        <v/>
      </c>
      <c r="F230" s="59">
        <f>IF(N($AL230)&gt;0,INDEX(rLim_ADM,$AL230),"")</f>
        <v/>
      </c>
      <c r="G230" s="59" t="n"/>
      <c r="H230" s="60" t="n"/>
      <c r="I230" s="60" t="n"/>
      <c r="J230" s="60" t="n"/>
      <c r="K230" s="60" t="n"/>
      <c r="L230" s="60" t="n"/>
      <c r="M230" s="61">
        <f>IF(NOT((COUNTA($B230:$D230)+COUNTA($G230:$L230)+COUNTA($Q230))&gt;0),"",IF($V230="Sub",IFERROR($X230/INDEX($W$5:$W$1000,$U230-4),""),IF(ISNUMBER($G230),1,IF(N($W230)&gt;0,AVERAGEIFS($X$5:$X$1000,$U$5:$U$1000,ROW(),$V$5:$V$1000,"Sub"),$X230))))</f>
        <v/>
      </c>
      <c r="N230" s="56">
        <f>IF(OR($M230="",$V230="Sub"),"",IF($M230&gt;=1,"Completado",IF($M230&gt;0,"En curso","Pendiente")))</f>
        <v/>
      </c>
      <c r="O230" s="56">
        <f>IF(OR(NOT((COUNTA($B230:$D230)+COUNTA($G230:$L230)+COUNTA($Q230))&gt;0),$V230="Sub"),"",IF(ISNUMBER($G230),IF(AND(ISNUMBER($AN230),$G230&gt;$AN230),"Cumplida con "&amp;($G230-$AN230)&amp;IF($G230-$AN230=1," día"," días")&amp;" de retraso","Cumplida"),IF(N($M230)&gt;=1,"Cumplida",IF(NOT(ISNUMBER($AN230)),"Sin fecha límite",IF($AN230&lt;FechaRef,"Vencida hace "&amp;(FechaRef-$AN230)&amp;IF(FechaRef-$AN230=1," día"," días"),IF($AN230=FechaRef,"Vence hoy",IF($AN230-FechaRef&lt;=DiasAlerta,"Vence en "&amp;($AN230-FechaRef)&amp;IF($AN230-FechaRef=1," día"," días"),"En plazo")))))))</f>
        <v/>
      </c>
      <c r="P230" s="62" t="n"/>
      <c r="Q230" s="58" t="n"/>
      <c r="R230" s="63">
        <f>IF(NOT((COUNTA($B230:$D230)+COUNTA($G230:$L230)+COUNTA($Q230))&gt;0),"",IF((IF($C230="","Falta el nombre de la actividad"&amp;" · ","")&amp;IF(AND($V230="Sub",N($U230)=0),"Subactividad sin macroactividad arriba"&amp;" · ","")&amp;IF($AM230="","Sin fecha de inicio"&amp;" · ","")&amp;IF($AN230="","Sin fecha límite"&amp;" · ","")&amp;IF(AND(LEFT($C230,11)="[Jefatura] ",N($AL230)=0),"No se encuentra en la hoja de la jefatura (elíjala de nuevo en la lista)"&amp;" · ","")&amp;IF(OR(AND($E230&lt;&gt;"",NOT(ISNUMBER($E230))),AND($F230&lt;&gt;"",NOT(ISNUMBER($F230))),AND($G230&lt;&gt;"",NOT(ISNUMBER($G230)))),"Fecha no válida"&amp;" · ","")&amp;IF(AND(ISNUMBER($AM230),ISNUMBER($AN230),$AM230&gt;$AN230),"Inicio posterior a fecha límite"&amp;" · ","")&amp;IF(AND($V230="Macro",$H230&lt;&gt;"",OR(NOT(ISNUMBER($H230)),$H230&lt;0,$H230&gt;1)),"Peso fuera de rango"&amp;" · ","")&amp;IF(AND($V230="Sub",$H230&lt;&gt;""),"Las subactividades no llevan peso (valen igual dentro de su macroactividad)"&amp;" · ","")&amp;IF(AND(N($W230)&gt;0,COUNT($I230:$L230)&gt;0),"Con subactividades: deje vacías las semanas (se calculan solas)"&amp;" · ","")&amp;IF((COUNTIF($I230:$L230,"&gt;1")+COUNTIF($I230:$L230,"&lt;0")+COUNTA($I230:$L230)-COUNT($I230:$L230))&gt;0,"Avance fuera de rango 0-100%"&amp;" · ","")&amp;IF(OR(AND($J230&lt;&gt;"",$J230&lt;$I230),AND($K230&lt;&gt;"",$K230&lt;MAX($I230:$J230)),AND($L230&lt;&gt;"",$L230&lt;MAX($I230:$K230))),"Avance semanal decreciente"&amp;" · ","")&amp;IF(AND(ISNUMBER($AN230),$AN230&lt;FechaRef,IF($V230="Sub",N($X230),N($M230))&lt;1),"Vencida"&amp;" · ","")&amp;IF(AND(ObsObligatoria="Sí",ISNUMBER($AN230),$AN230&lt;FechaRef,IF($V230="Sub",N($X230),N($M230))&lt;1,$Q230=""),"Vencida sin observación"&amp;" · ",""))="","✔ OK","⚠ "&amp;LEFT(IF($C230="","Falta el nombre de la actividad"&amp;" · ","")&amp;IF(AND($V230="Sub",N($U230)=0),"Subactividad sin macroactividad arriba"&amp;" · ","")&amp;IF($AM230="","Sin fecha de inicio"&amp;" · ","")&amp;IF($AN230="","Sin fecha límite"&amp;" · ","")&amp;IF(AND(LEFT($C230,11)="[Jefatura] ",N($AL230)=0),"No se encuentra en la hoja de la jefatura (elíjala de nuevo en la lista)"&amp;" · ","")&amp;IF(OR(AND($E230&lt;&gt;"",NOT(ISNUMBER($E230))),AND($F230&lt;&gt;"",NOT(ISNUMBER($F230))),AND($G230&lt;&gt;"",NOT(ISNUMBER($G230)))),"Fecha no válida"&amp;" · ","")&amp;IF(AND(ISNUMBER($AM230),ISNUMBER($AN230),$AM230&gt;$AN230),"Inicio posterior a fecha límite"&amp;" · ","")&amp;IF(AND($V230="Macro",$H230&lt;&gt;"",OR(NOT(ISNUMBER($H230)),$H230&lt;0,$H230&gt;1)),"Peso fuera de rango"&amp;" · ","")&amp;IF(AND($V230="Sub",$H230&lt;&gt;""),"Las subactividades no llevan peso (valen igual dentro de su macroactividad)"&amp;" · ","")&amp;IF(AND(N($W230)&gt;0,COUNT($I230:$L230)&gt;0),"Con subactividades: deje vacías las semanas (se calculan solas)"&amp;" · ","")&amp;IF((COUNTIF($I230:$L230,"&gt;1")+COUNTIF($I230:$L230,"&lt;0")+COUNTA($I230:$L230)-COUNT($I230:$L230))&gt;0,"Avance fuera de rango 0-100%"&amp;" · ","")&amp;IF(OR(AND($J230&lt;&gt;"",$J230&lt;$I230),AND($K230&lt;&gt;"",$K230&lt;MAX($I230:$J230)),AND($L230&lt;&gt;"",$L230&lt;MAX($I230:$K230))),"Avance semanal decreciente"&amp;" · ","")&amp;IF(AND(ISNUMBER($AN230),$AN230&lt;FechaRef,IF($V230="Sub",N($X230),N($M230))&lt;1),"Vencida"&amp;" · ","")&amp;IF(AND(ObsObligatoria="Sí",ISNUMBER($AN230),$AN230&lt;FechaRef,IF($V230="Sub",N($X230),N($M230))&lt;1,$Q230=""),"Vencida sin observación"&amp;" · ",""),LEN(IF($C230="","Falta el nombre de la actividad"&amp;" · ","")&amp;IF(AND($V230="Sub",N($U230)=0),"Subactividad sin macroactividad arriba"&amp;" · ","")&amp;IF($AM230="","Sin fecha de inicio"&amp;" · ","")&amp;IF($AN230="","Sin fecha límite"&amp;" · ","")&amp;IF(AND(LEFT($C230,11)="[Jefatura] ",N($AL230)=0),"No se encuentra en la hoja de la jefatura (elíjala de nuevo en la lista)"&amp;" · ","")&amp;IF(OR(AND($E230&lt;&gt;"",NOT(ISNUMBER($E230))),AND($F230&lt;&gt;"",NOT(ISNUMBER($F230))),AND($G230&lt;&gt;"",NOT(ISNUMBER($G230)))),"Fecha no válida"&amp;" · ","")&amp;IF(AND(ISNUMBER($AM230),ISNUMBER($AN230),$AM230&gt;$AN230),"Inicio posterior a fecha límite"&amp;" · ","")&amp;IF(AND($V230="Macro",$H230&lt;&gt;"",OR(NOT(ISNUMBER($H230)),$H230&lt;0,$H230&gt;1)),"Peso fuera de rango"&amp;" · ","")&amp;IF(AND($V230="Sub",$H230&lt;&gt;""),"Las subactividades no llevan peso (valen igual dentro de su macroactividad)"&amp;" · ","")&amp;IF(AND(N($W230)&gt;0,COUNT($I230:$L230)&gt;0),"Con subactividades: deje vacías las semanas (se calculan solas)"&amp;" · ","")&amp;IF((COUNTIF($I230:$L230,"&gt;1")+COUNTIF($I230:$L230,"&lt;0")+COUNTA($I230:$L230)-COUNT($I230:$L230))&gt;0,"Avance fuera de rango 0-100%"&amp;" · ","")&amp;IF(OR(AND($J230&lt;&gt;"",$J230&lt;$I230),AND($K230&lt;&gt;"",$K230&lt;MAX($I230:$J230)),AND($L230&lt;&gt;"",$L230&lt;MAX($I230:$K230))),"Avance semanal decreciente"&amp;" · ","")&amp;IF(AND(ISNUMBER($AN230),$AN230&lt;FechaRef,IF($V230="Sub",N($X230),N($M230))&lt;1),"Vencida"&amp;" · ","")&amp;IF(AND(ObsObligatoria="Sí",ISNUMBER($AN230),$AN230&lt;FechaRef,IF($V230="Sub",N($X230),N($M230))&lt;1,$Q230=""),"Vencida sin observación"&amp;" · ",""))-3)))</f>
        <v/>
      </c>
      <c r="S230" s="64">
        <f>IF(NOT((COUNTA($B230:$D230)+COUNTA($G230:$L230)+COUNTA($Q230))&gt;0),"",IF(AND($V230="Sub",N($U230)&gt;0),IF(ISNUMBER(INDEX($AM$5:$AM$1000,$U230-4)),DATE(YEAR(INDEX($AM$5:$AM$1000,$U230-4)),MONTH(INDEX($AM$5:$AM$1000,$U230-4)),1),IF(ISNUMBER(INDEX($AN$5:$AN$1000,$U230-4)),DATE(YEAR(INDEX($AN$5:$AN$1000,$U230-4)),MONTH(INDEX($AN$5:$AN$1000,$U230-4)),1),MesCiclo)),IF(ISNUMBER($AM230),DATE(YEAR($AM230),MONTH($AM230),1),IF(ISNUMBER($AN230),DATE(YEAR($AN230),MONTH($AN230),1),MesCiclo))))</f>
        <v/>
      </c>
      <c r="T230" s="62">
        <f>IF(OR($S230="",$S230&lt;&gt;MesCiclo,$V230&lt;&gt;"Macro"),"",COUNTIFS($S$5:$S230,MesCiclo,$V$5:$V230,"Macro"))</f>
        <v/>
      </c>
      <c r="U230" s="62">
        <f>IF($V230="","",IF($V230="Macro",ROW(),IFERROR(LOOKUP(2,1/($V$5:$V230="Macro"),ROW($V$5:$V230)),0)))</f>
        <v/>
      </c>
      <c r="V230" s="62">
        <f>IF(NOT((COUNTA($B230:$D230)+COUNTA($G230:$L230)+COUNTA($Q230))&gt;0),"",IF($B230="Subactividad","Sub","Macro"))</f>
        <v/>
      </c>
      <c r="W230" s="62">
        <f>IF($V230="Macro",COUNTIFS($U$5:$U$1000,ROW(),$V$5:$V$1000,"Sub"),"")</f>
        <v/>
      </c>
      <c r="X230" s="62">
        <f>IF($V230="","",IF(ISNUMBER($G230),1,IFERROR(LOOKUP(2,1/($I230:$L230&lt;&gt;""),$I230:$L230),0)))</f>
        <v/>
      </c>
      <c r="Y230" s="62">
        <f>IF($V230="","",IF(AND(ISNUMBER($G230),$G230&lt;=IF($S230=MesCiclo,InicioCiclo,$S230+MOD(2-WEEKDAY($S230),7))+6),1,IF(ISNUMBER($I230),$I230,0)))</f>
        <v/>
      </c>
      <c r="Z230" s="62">
        <f>IF($V230="","",IF(AND(ISNUMBER($G230),$G230&lt;=IF($S230=MesCiclo,InicioCiclo,$S230+MOD(2-WEEKDAY($S230),7))+13),1,IF(ISNUMBER($J230),$J230,$Y230)))</f>
        <v/>
      </c>
      <c r="AA230" s="62">
        <f>IF($V230="","",IF(AND(ISNUMBER($G230),$G230&lt;=IF($S230=MesCiclo,InicioCiclo,$S230+MOD(2-WEEKDAY($S230),7))+20),1,IF(ISNUMBER($K230),$K230,$Z230)))</f>
        <v/>
      </c>
      <c r="AB230" s="62">
        <f>IF($V230="","",IF(AND(ISNUMBER($G230),$G230&lt;=IF($S230=MesCiclo,InicioCiclo,$S230+MOD(2-WEEKDAY($S230),7))+27),1,IF(ISNUMBER($L230),$L230,$AA230)))</f>
        <v/>
      </c>
      <c r="AC230" s="62">
        <f>IF($V230="","",IF(AND(ISNUMBER($G230),$G230&lt;=IF($S230=MesCiclo,InicioCiclo,$S230+MOD(2-WEEKDAY($S230),7))+6),1,IF(N($W230)&gt;0,AVERAGEIFS($Y$5:$Y$1000,$U$5:$U$1000,ROW(),$V$5:$V$1000,"Sub"),$Y230)))</f>
        <v/>
      </c>
      <c r="AD230" s="62">
        <f>IF($V230="","",IF(AND(ISNUMBER($G230),$G230&lt;=IF($S230=MesCiclo,InicioCiclo,$S230+MOD(2-WEEKDAY($S230),7))+13),1,IF(N($W230)&gt;0,AVERAGEIFS($Z$5:$Z$1000,$U$5:$U$1000,ROW(),$V$5:$V$1000,"Sub"),$Z230)))</f>
        <v/>
      </c>
      <c r="AE230" s="62">
        <f>IF($V230="","",IF(AND(ISNUMBER($G230),$G230&lt;=IF($S230=MesCiclo,InicioCiclo,$S230+MOD(2-WEEKDAY($S230),7))+20),1,IF(N($W230)&gt;0,AVERAGEIFS($AA$5:$AA$1000,$U$5:$U$1000,ROW(),$V$5:$V$1000,"Sub"),$AA230)))</f>
        <v/>
      </c>
      <c r="AF230" s="62">
        <f>IF($V230="","",IF(AND(ISNUMBER($G230),$G230&lt;=IF($S230=MesCiclo,InicioCiclo,$S230+MOD(2-WEEKDAY($S230),7))+27),1,IF(N($W230)&gt;0,AVERAGEIFS($AB$5:$AB$1000,$U$5:$U$1000,ROW(),$V$5:$V$1000,"Sub"),$AB230)))</f>
        <v/>
      </c>
      <c r="AG230" s="62">
        <f>IF($V230&lt;&gt;"Macro","",IF(COUNTIFS($S$5:$S$1000,$S230,$V$5:$V$1000,"Macro",$H$5:$H$1000,"&gt;0")=0,1/COUNTIFS($S$5:$S$1000,$S230,$V$5:$V$1000,"Macro"),IF(AND(ISNUMBER($H230),N($H230)&gt;0),$H230,SUMIFS($H$5:$H$1000,$S$5:$S$1000,$S230,$V$5:$V$1000,"Macro")/COUNTIFS($S$5:$S$1000,$S230,$V$5:$V$1000,"Macro",$H$5:$H$1000,"&gt;0"))/(COUNTIFS($S$5:$S$1000,$S230,$V$5:$V$1000,"Macro")*SUMIFS($H$5:$H$1000,$S$5:$S$1000,$S230,$V$5:$V$1000,"Macro")/COUNTIFS($S$5:$S$1000,$S230,$V$5:$V$1000,"Macro",$H$5:$H$1000,"&gt;0"))))</f>
        <v/>
      </c>
      <c r="AH230" s="62" t="n"/>
      <c r="AI230" s="62" t="n"/>
      <c r="AJ230" s="62" t="n"/>
      <c r="AK230" s="62" t="n"/>
      <c r="AL230" s="62">
        <f>IF(LEFT($C230,11)="[Jefatura] ",IFERROR(MATCH("Riesgo Financiero|"&amp;MID($C230,12,500),rDname_ADM,0),0),"")</f>
        <v/>
      </c>
      <c r="AM230" s="62">
        <f>IF(N($AL230)&gt;0,INDEX(rIni_ADM,$AL230),IF(ISNUMBER($E230),$E230,""))</f>
        <v/>
      </c>
      <c r="AN230" s="62">
        <f>IF(N($AL230)&gt;0,INDEX(rLim_ADM,$AL230),IF(ISNUMBER($F230),$F230,""))</f>
        <v/>
      </c>
    </row>
    <row r="231">
      <c r="A231" s="56">
        <f>IF(NOT((COUNTA($B231:$D231)+COUNTA($G231:$L231)+COUNTA($Q231))&gt;0),"",IF($V231="Macro",COUNTIFS($V$5:$V231,"Macro",$S$5:$S231,$S231),IF(N($U231)=0,"?",COUNTIFS(INDEX($V$5:$V$1000,1):INDEX($V$5:$V$1000,$U231-4),"Macro",INDEX($S$5:$S$1000,1):INDEX($S$5:$S$1000,$U231-4),INDEX($S$5:$S$1000,$U231-4))&amp;"."&amp;COUNTIFS($U$5:$U231,$U231,$V$5:$V231,"Sub"))))</f>
        <v/>
      </c>
      <c r="B231" s="57" t="n"/>
      <c r="C231" s="58" t="n"/>
      <c r="D231" s="58" t="n"/>
      <c r="E231" s="59">
        <f>IF(N($AL231)&gt;0,INDEX(rIni_ADM,$AL231),"")</f>
        <v/>
      </c>
      <c r="F231" s="59">
        <f>IF(N($AL231)&gt;0,INDEX(rLim_ADM,$AL231),"")</f>
        <v/>
      </c>
      <c r="G231" s="59" t="n"/>
      <c r="H231" s="60" t="n"/>
      <c r="I231" s="60" t="n"/>
      <c r="J231" s="60" t="n"/>
      <c r="K231" s="60" t="n"/>
      <c r="L231" s="60" t="n"/>
      <c r="M231" s="61">
        <f>IF(NOT((COUNTA($B231:$D231)+COUNTA($G231:$L231)+COUNTA($Q231))&gt;0),"",IF($V231="Sub",IFERROR($X231/INDEX($W$5:$W$1000,$U231-4),""),IF(ISNUMBER($G231),1,IF(N($W231)&gt;0,AVERAGEIFS($X$5:$X$1000,$U$5:$U$1000,ROW(),$V$5:$V$1000,"Sub"),$X231))))</f>
        <v/>
      </c>
      <c r="N231" s="56">
        <f>IF(OR($M231="",$V231="Sub"),"",IF($M231&gt;=1,"Completado",IF($M231&gt;0,"En curso","Pendiente")))</f>
        <v/>
      </c>
      <c r="O231" s="56">
        <f>IF(OR(NOT((COUNTA($B231:$D231)+COUNTA($G231:$L231)+COUNTA($Q231))&gt;0),$V231="Sub"),"",IF(ISNUMBER($G231),IF(AND(ISNUMBER($AN231),$G231&gt;$AN231),"Cumplida con "&amp;($G231-$AN231)&amp;IF($G231-$AN231=1," día"," días")&amp;" de retraso","Cumplida"),IF(N($M231)&gt;=1,"Cumplida",IF(NOT(ISNUMBER($AN231)),"Sin fecha límite",IF($AN231&lt;FechaRef,"Vencida hace "&amp;(FechaRef-$AN231)&amp;IF(FechaRef-$AN231=1," día"," días"),IF($AN231=FechaRef,"Vence hoy",IF($AN231-FechaRef&lt;=DiasAlerta,"Vence en "&amp;($AN231-FechaRef)&amp;IF($AN231-FechaRef=1," día"," días"),"En plazo")))))))</f>
        <v/>
      </c>
      <c r="P231" s="62" t="n"/>
      <c r="Q231" s="58" t="n"/>
      <c r="R231" s="63">
        <f>IF(NOT((COUNTA($B231:$D231)+COUNTA($G231:$L231)+COUNTA($Q231))&gt;0),"",IF((IF($C231="","Falta el nombre de la actividad"&amp;" · ","")&amp;IF(AND($V231="Sub",N($U231)=0),"Subactividad sin macroactividad arriba"&amp;" · ","")&amp;IF($AM231="","Sin fecha de inicio"&amp;" · ","")&amp;IF($AN231="","Sin fecha límite"&amp;" · ","")&amp;IF(AND(LEFT($C231,11)="[Jefatura] ",N($AL231)=0),"No se encuentra en la hoja de la jefatura (elíjala de nuevo en la lista)"&amp;" · ","")&amp;IF(OR(AND($E231&lt;&gt;"",NOT(ISNUMBER($E231))),AND($F231&lt;&gt;"",NOT(ISNUMBER($F231))),AND($G231&lt;&gt;"",NOT(ISNUMBER($G231)))),"Fecha no válida"&amp;" · ","")&amp;IF(AND(ISNUMBER($AM231),ISNUMBER($AN231),$AM231&gt;$AN231),"Inicio posterior a fecha límite"&amp;" · ","")&amp;IF(AND($V231="Macro",$H231&lt;&gt;"",OR(NOT(ISNUMBER($H231)),$H231&lt;0,$H231&gt;1)),"Peso fuera de rango"&amp;" · ","")&amp;IF(AND($V231="Sub",$H231&lt;&gt;""),"Las subactividades no llevan peso (valen igual dentro de su macroactividad)"&amp;" · ","")&amp;IF(AND(N($W231)&gt;0,COUNT($I231:$L231)&gt;0),"Con subactividades: deje vacías las semanas (se calculan solas)"&amp;" · ","")&amp;IF((COUNTIF($I231:$L231,"&gt;1")+COUNTIF($I231:$L231,"&lt;0")+COUNTA($I231:$L231)-COUNT($I231:$L231))&gt;0,"Avance fuera de rango 0-100%"&amp;" · ","")&amp;IF(OR(AND($J231&lt;&gt;"",$J231&lt;$I231),AND($K231&lt;&gt;"",$K231&lt;MAX($I231:$J231)),AND($L231&lt;&gt;"",$L231&lt;MAX($I231:$K231))),"Avance semanal decreciente"&amp;" · ","")&amp;IF(AND(ISNUMBER($AN231),$AN231&lt;FechaRef,IF($V231="Sub",N($X231),N($M231))&lt;1),"Vencida"&amp;" · ","")&amp;IF(AND(ObsObligatoria="Sí",ISNUMBER($AN231),$AN231&lt;FechaRef,IF($V231="Sub",N($X231),N($M231))&lt;1,$Q231=""),"Vencida sin observación"&amp;" · ",""))="","✔ OK","⚠ "&amp;LEFT(IF($C231="","Falta el nombre de la actividad"&amp;" · ","")&amp;IF(AND($V231="Sub",N($U231)=0),"Subactividad sin macroactividad arriba"&amp;" · ","")&amp;IF($AM231="","Sin fecha de inicio"&amp;" · ","")&amp;IF($AN231="","Sin fecha límite"&amp;" · ","")&amp;IF(AND(LEFT($C231,11)="[Jefatura] ",N($AL231)=0),"No se encuentra en la hoja de la jefatura (elíjala de nuevo en la lista)"&amp;" · ","")&amp;IF(OR(AND($E231&lt;&gt;"",NOT(ISNUMBER($E231))),AND($F231&lt;&gt;"",NOT(ISNUMBER($F231))),AND($G231&lt;&gt;"",NOT(ISNUMBER($G231)))),"Fecha no válida"&amp;" · ","")&amp;IF(AND(ISNUMBER($AM231),ISNUMBER($AN231),$AM231&gt;$AN231),"Inicio posterior a fecha límite"&amp;" · ","")&amp;IF(AND($V231="Macro",$H231&lt;&gt;"",OR(NOT(ISNUMBER($H231)),$H231&lt;0,$H231&gt;1)),"Peso fuera de rango"&amp;" · ","")&amp;IF(AND($V231="Sub",$H231&lt;&gt;""),"Las subactividades no llevan peso (valen igual dentro de su macroactividad)"&amp;" · ","")&amp;IF(AND(N($W231)&gt;0,COUNT($I231:$L231)&gt;0),"Con subactividades: deje vacías las semanas (se calculan solas)"&amp;" · ","")&amp;IF((COUNTIF($I231:$L231,"&gt;1")+COUNTIF($I231:$L231,"&lt;0")+COUNTA($I231:$L231)-COUNT($I231:$L231))&gt;0,"Avance fuera de rango 0-100%"&amp;" · ","")&amp;IF(OR(AND($J231&lt;&gt;"",$J231&lt;$I231),AND($K231&lt;&gt;"",$K231&lt;MAX($I231:$J231)),AND($L231&lt;&gt;"",$L231&lt;MAX($I231:$K231))),"Avance semanal decreciente"&amp;" · ","")&amp;IF(AND(ISNUMBER($AN231),$AN231&lt;FechaRef,IF($V231="Sub",N($X231),N($M231))&lt;1),"Vencida"&amp;" · ","")&amp;IF(AND(ObsObligatoria="Sí",ISNUMBER($AN231),$AN231&lt;FechaRef,IF($V231="Sub",N($X231),N($M231))&lt;1,$Q231=""),"Vencida sin observación"&amp;" · ",""),LEN(IF($C231="","Falta el nombre de la actividad"&amp;" · ","")&amp;IF(AND($V231="Sub",N($U231)=0),"Subactividad sin macroactividad arriba"&amp;" · ","")&amp;IF($AM231="","Sin fecha de inicio"&amp;" · ","")&amp;IF($AN231="","Sin fecha límite"&amp;" · ","")&amp;IF(AND(LEFT($C231,11)="[Jefatura] ",N($AL231)=0),"No se encuentra en la hoja de la jefatura (elíjala de nuevo en la lista)"&amp;" · ","")&amp;IF(OR(AND($E231&lt;&gt;"",NOT(ISNUMBER($E231))),AND($F231&lt;&gt;"",NOT(ISNUMBER($F231))),AND($G231&lt;&gt;"",NOT(ISNUMBER($G231)))),"Fecha no válida"&amp;" · ","")&amp;IF(AND(ISNUMBER($AM231),ISNUMBER($AN231),$AM231&gt;$AN231),"Inicio posterior a fecha límite"&amp;" · ","")&amp;IF(AND($V231="Macro",$H231&lt;&gt;"",OR(NOT(ISNUMBER($H231)),$H231&lt;0,$H231&gt;1)),"Peso fuera de rango"&amp;" · ","")&amp;IF(AND($V231="Sub",$H231&lt;&gt;""),"Las subactividades no llevan peso (valen igual dentro de su macroactividad)"&amp;" · ","")&amp;IF(AND(N($W231)&gt;0,COUNT($I231:$L231)&gt;0),"Con subactividades: deje vacías las semanas (se calculan solas)"&amp;" · ","")&amp;IF((COUNTIF($I231:$L231,"&gt;1")+COUNTIF($I231:$L231,"&lt;0")+COUNTA($I231:$L231)-COUNT($I231:$L231))&gt;0,"Avance fuera de rango 0-100%"&amp;" · ","")&amp;IF(OR(AND($J231&lt;&gt;"",$J231&lt;$I231),AND($K231&lt;&gt;"",$K231&lt;MAX($I231:$J231)),AND($L231&lt;&gt;"",$L231&lt;MAX($I231:$K231))),"Avance semanal decreciente"&amp;" · ","")&amp;IF(AND(ISNUMBER($AN231),$AN231&lt;FechaRef,IF($V231="Sub",N($X231),N($M231))&lt;1),"Vencida"&amp;" · ","")&amp;IF(AND(ObsObligatoria="Sí",ISNUMBER($AN231),$AN231&lt;FechaRef,IF($V231="Sub",N($X231),N($M231))&lt;1,$Q231=""),"Vencida sin observación"&amp;" · ",""))-3)))</f>
        <v/>
      </c>
      <c r="S231" s="64">
        <f>IF(NOT((COUNTA($B231:$D231)+COUNTA($G231:$L231)+COUNTA($Q231))&gt;0),"",IF(AND($V231="Sub",N($U231)&gt;0),IF(ISNUMBER(INDEX($AM$5:$AM$1000,$U231-4)),DATE(YEAR(INDEX($AM$5:$AM$1000,$U231-4)),MONTH(INDEX($AM$5:$AM$1000,$U231-4)),1),IF(ISNUMBER(INDEX($AN$5:$AN$1000,$U231-4)),DATE(YEAR(INDEX($AN$5:$AN$1000,$U231-4)),MONTH(INDEX($AN$5:$AN$1000,$U231-4)),1),MesCiclo)),IF(ISNUMBER($AM231),DATE(YEAR($AM231),MONTH($AM231),1),IF(ISNUMBER($AN231),DATE(YEAR($AN231),MONTH($AN231),1),MesCiclo))))</f>
        <v/>
      </c>
      <c r="T231" s="62">
        <f>IF(OR($S231="",$S231&lt;&gt;MesCiclo,$V231&lt;&gt;"Macro"),"",COUNTIFS($S$5:$S231,MesCiclo,$V$5:$V231,"Macro"))</f>
        <v/>
      </c>
      <c r="U231" s="62">
        <f>IF($V231="","",IF($V231="Macro",ROW(),IFERROR(LOOKUP(2,1/($V$5:$V231="Macro"),ROW($V$5:$V231)),0)))</f>
        <v/>
      </c>
      <c r="V231" s="62">
        <f>IF(NOT((COUNTA($B231:$D231)+COUNTA($G231:$L231)+COUNTA($Q231))&gt;0),"",IF($B231="Subactividad","Sub","Macro"))</f>
        <v/>
      </c>
      <c r="W231" s="62">
        <f>IF($V231="Macro",COUNTIFS($U$5:$U$1000,ROW(),$V$5:$V$1000,"Sub"),"")</f>
        <v/>
      </c>
      <c r="X231" s="62">
        <f>IF($V231="","",IF(ISNUMBER($G231),1,IFERROR(LOOKUP(2,1/($I231:$L231&lt;&gt;""),$I231:$L231),0)))</f>
        <v/>
      </c>
      <c r="Y231" s="62">
        <f>IF($V231="","",IF(AND(ISNUMBER($G231),$G231&lt;=IF($S231=MesCiclo,InicioCiclo,$S231+MOD(2-WEEKDAY($S231),7))+6),1,IF(ISNUMBER($I231),$I231,0)))</f>
        <v/>
      </c>
      <c r="Z231" s="62">
        <f>IF($V231="","",IF(AND(ISNUMBER($G231),$G231&lt;=IF($S231=MesCiclo,InicioCiclo,$S231+MOD(2-WEEKDAY($S231),7))+13),1,IF(ISNUMBER($J231),$J231,$Y231)))</f>
        <v/>
      </c>
      <c r="AA231" s="62">
        <f>IF($V231="","",IF(AND(ISNUMBER($G231),$G231&lt;=IF($S231=MesCiclo,InicioCiclo,$S231+MOD(2-WEEKDAY($S231),7))+20),1,IF(ISNUMBER($K231),$K231,$Z231)))</f>
        <v/>
      </c>
      <c r="AB231" s="62">
        <f>IF($V231="","",IF(AND(ISNUMBER($G231),$G231&lt;=IF($S231=MesCiclo,InicioCiclo,$S231+MOD(2-WEEKDAY($S231),7))+27),1,IF(ISNUMBER($L231),$L231,$AA231)))</f>
        <v/>
      </c>
      <c r="AC231" s="62">
        <f>IF($V231="","",IF(AND(ISNUMBER($G231),$G231&lt;=IF($S231=MesCiclo,InicioCiclo,$S231+MOD(2-WEEKDAY($S231),7))+6),1,IF(N($W231)&gt;0,AVERAGEIFS($Y$5:$Y$1000,$U$5:$U$1000,ROW(),$V$5:$V$1000,"Sub"),$Y231)))</f>
        <v/>
      </c>
      <c r="AD231" s="62">
        <f>IF($V231="","",IF(AND(ISNUMBER($G231),$G231&lt;=IF($S231=MesCiclo,InicioCiclo,$S231+MOD(2-WEEKDAY($S231),7))+13),1,IF(N($W231)&gt;0,AVERAGEIFS($Z$5:$Z$1000,$U$5:$U$1000,ROW(),$V$5:$V$1000,"Sub"),$Z231)))</f>
        <v/>
      </c>
      <c r="AE231" s="62">
        <f>IF($V231="","",IF(AND(ISNUMBER($G231),$G231&lt;=IF($S231=MesCiclo,InicioCiclo,$S231+MOD(2-WEEKDAY($S231),7))+20),1,IF(N($W231)&gt;0,AVERAGEIFS($AA$5:$AA$1000,$U$5:$U$1000,ROW(),$V$5:$V$1000,"Sub"),$AA231)))</f>
        <v/>
      </c>
      <c r="AF231" s="62">
        <f>IF($V231="","",IF(AND(ISNUMBER($G231),$G231&lt;=IF($S231=MesCiclo,InicioCiclo,$S231+MOD(2-WEEKDAY($S231),7))+27),1,IF(N($W231)&gt;0,AVERAGEIFS($AB$5:$AB$1000,$U$5:$U$1000,ROW(),$V$5:$V$1000,"Sub"),$AB231)))</f>
        <v/>
      </c>
      <c r="AG231" s="62">
        <f>IF($V231&lt;&gt;"Macro","",IF(COUNTIFS($S$5:$S$1000,$S231,$V$5:$V$1000,"Macro",$H$5:$H$1000,"&gt;0")=0,1/COUNTIFS($S$5:$S$1000,$S231,$V$5:$V$1000,"Macro"),IF(AND(ISNUMBER($H231),N($H231)&gt;0),$H231,SUMIFS($H$5:$H$1000,$S$5:$S$1000,$S231,$V$5:$V$1000,"Macro")/COUNTIFS($S$5:$S$1000,$S231,$V$5:$V$1000,"Macro",$H$5:$H$1000,"&gt;0"))/(COUNTIFS($S$5:$S$1000,$S231,$V$5:$V$1000,"Macro")*SUMIFS($H$5:$H$1000,$S$5:$S$1000,$S231,$V$5:$V$1000,"Macro")/COUNTIFS($S$5:$S$1000,$S231,$V$5:$V$1000,"Macro",$H$5:$H$1000,"&gt;0"))))</f>
        <v/>
      </c>
      <c r="AH231" s="62" t="n"/>
      <c r="AI231" s="62" t="n"/>
      <c r="AJ231" s="62" t="n"/>
      <c r="AK231" s="62" t="n"/>
      <c r="AL231" s="62">
        <f>IF(LEFT($C231,11)="[Jefatura] ",IFERROR(MATCH("Riesgo Financiero|"&amp;MID($C231,12,500),rDname_ADM,0),0),"")</f>
        <v/>
      </c>
      <c r="AM231" s="62">
        <f>IF(N($AL231)&gt;0,INDEX(rIni_ADM,$AL231),IF(ISNUMBER($E231),$E231,""))</f>
        <v/>
      </c>
      <c r="AN231" s="62">
        <f>IF(N($AL231)&gt;0,INDEX(rLim_ADM,$AL231),IF(ISNUMBER($F231),$F231,""))</f>
        <v/>
      </c>
    </row>
    <row r="232">
      <c r="A232" s="56">
        <f>IF(NOT((COUNTA($B232:$D232)+COUNTA($G232:$L232)+COUNTA($Q232))&gt;0),"",IF($V232="Macro",COUNTIFS($V$5:$V232,"Macro",$S$5:$S232,$S232),IF(N($U232)=0,"?",COUNTIFS(INDEX($V$5:$V$1000,1):INDEX($V$5:$V$1000,$U232-4),"Macro",INDEX($S$5:$S$1000,1):INDEX($S$5:$S$1000,$U232-4),INDEX($S$5:$S$1000,$U232-4))&amp;"."&amp;COUNTIFS($U$5:$U232,$U232,$V$5:$V232,"Sub"))))</f>
        <v/>
      </c>
      <c r="B232" s="57" t="n"/>
      <c r="C232" s="58" t="n"/>
      <c r="D232" s="58" t="n"/>
      <c r="E232" s="59">
        <f>IF(N($AL232)&gt;0,INDEX(rIni_ADM,$AL232),"")</f>
        <v/>
      </c>
      <c r="F232" s="59">
        <f>IF(N($AL232)&gt;0,INDEX(rLim_ADM,$AL232),"")</f>
        <v/>
      </c>
      <c r="G232" s="59" t="n"/>
      <c r="H232" s="60" t="n"/>
      <c r="I232" s="60" t="n"/>
      <c r="J232" s="60" t="n"/>
      <c r="K232" s="60" t="n"/>
      <c r="L232" s="60" t="n"/>
      <c r="M232" s="61">
        <f>IF(NOT((COUNTA($B232:$D232)+COUNTA($G232:$L232)+COUNTA($Q232))&gt;0),"",IF($V232="Sub",IFERROR($X232/INDEX($W$5:$W$1000,$U232-4),""),IF(ISNUMBER($G232),1,IF(N($W232)&gt;0,AVERAGEIFS($X$5:$X$1000,$U$5:$U$1000,ROW(),$V$5:$V$1000,"Sub"),$X232))))</f>
        <v/>
      </c>
      <c r="N232" s="56">
        <f>IF(OR($M232="",$V232="Sub"),"",IF($M232&gt;=1,"Completado",IF($M232&gt;0,"En curso","Pendiente")))</f>
        <v/>
      </c>
      <c r="O232" s="56">
        <f>IF(OR(NOT((COUNTA($B232:$D232)+COUNTA($G232:$L232)+COUNTA($Q232))&gt;0),$V232="Sub"),"",IF(ISNUMBER($G232),IF(AND(ISNUMBER($AN232),$G232&gt;$AN232),"Cumplida con "&amp;($G232-$AN232)&amp;IF($G232-$AN232=1," día"," días")&amp;" de retraso","Cumplida"),IF(N($M232)&gt;=1,"Cumplida",IF(NOT(ISNUMBER($AN232)),"Sin fecha límite",IF($AN232&lt;FechaRef,"Vencida hace "&amp;(FechaRef-$AN232)&amp;IF(FechaRef-$AN232=1," día"," días"),IF($AN232=FechaRef,"Vence hoy",IF($AN232-FechaRef&lt;=DiasAlerta,"Vence en "&amp;($AN232-FechaRef)&amp;IF($AN232-FechaRef=1," día"," días"),"En plazo")))))))</f>
        <v/>
      </c>
      <c r="P232" s="62" t="n"/>
      <c r="Q232" s="58" t="n"/>
      <c r="R232" s="63">
        <f>IF(NOT((COUNTA($B232:$D232)+COUNTA($G232:$L232)+COUNTA($Q232))&gt;0),"",IF((IF($C232="","Falta el nombre de la actividad"&amp;" · ","")&amp;IF(AND($V232="Sub",N($U232)=0),"Subactividad sin macroactividad arriba"&amp;" · ","")&amp;IF($AM232="","Sin fecha de inicio"&amp;" · ","")&amp;IF($AN232="","Sin fecha límite"&amp;" · ","")&amp;IF(AND(LEFT($C232,11)="[Jefatura] ",N($AL232)=0),"No se encuentra en la hoja de la jefatura (elíjala de nuevo en la lista)"&amp;" · ","")&amp;IF(OR(AND($E232&lt;&gt;"",NOT(ISNUMBER($E232))),AND($F232&lt;&gt;"",NOT(ISNUMBER($F232))),AND($G232&lt;&gt;"",NOT(ISNUMBER($G232)))),"Fecha no válida"&amp;" · ","")&amp;IF(AND(ISNUMBER($AM232),ISNUMBER($AN232),$AM232&gt;$AN232),"Inicio posterior a fecha límite"&amp;" · ","")&amp;IF(AND($V232="Macro",$H232&lt;&gt;"",OR(NOT(ISNUMBER($H232)),$H232&lt;0,$H232&gt;1)),"Peso fuera de rango"&amp;" · ","")&amp;IF(AND($V232="Sub",$H232&lt;&gt;""),"Las subactividades no llevan peso (valen igual dentro de su macroactividad)"&amp;" · ","")&amp;IF(AND(N($W232)&gt;0,COUNT($I232:$L232)&gt;0),"Con subactividades: deje vacías las semanas (se calculan solas)"&amp;" · ","")&amp;IF((COUNTIF($I232:$L232,"&gt;1")+COUNTIF($I232:$L232,"&lt;0")+COUNTA($I232:$L232)-COUNT($I232:$L232))&gt;0,"Avance fuera de rango 0-100%"&amp;" · ","")&amp;IF(OR(AND($J232&lt;&gt;"",$J232&lt;$I232),AND($K232&lt;&gt;"",$K232&lt;MAX($I232:$J232)),AND($L232&lt;&gt;"",$L232&lt;MAX($I232:$K232))),"Avance semanal decreciente"&amp;" · ","")&amp;IF(AND(ISNUMBER($AN232),$AN232&lt;FechaRef,IF($V232="Sub",N($X232),N($M232))&lt;1),"Vencida"&amp;" · ","")&amp;IF(AND(ObsObligatoria="Sí",ISNUMBER($AN232),$AN232&lt;FechaRef,IF($V232="Sub",N($X232),N($M232))&lt;1,$Q232=""),"Vencida sin observación"&amp;" · ",""))="","✔ OK","⚠ "&amp;LEFT(IF($C232="","Falta el nombre de la actividad"&amp;" · ","")&amp;IF(AND($V232="Sub",N($U232)=0),"Subactividad sin macroactividad arriba"&amp;" · ","")&amp;IF($AM232="","Sin fecha de inicio"&amp;" · ","")&amp;IF($AN232="","Sin fecha límite"&amp;" · ","")&amp;IF(AND(LEFT($C232,11)="[Jefatura] ",N($AL232)=0),"No se encuentra en la hoja de la jefatura (elíjala de nuevo en la lista)"&amp;" · ","")&amp;IF(OR(AND($E232&lt;&gt;"",NOT(ISNUMBER($E232))),AND($F232&lt;&gt;"",NOT(ISNUMBER($F232))),AND($G232&lt;&gt;"",NOT(ISNUMBER($G232)))),"Fecha no válida"&amp;" · ","")&amp;IF(AND(ISNUMBER($AM232),ISNUMBER($AN232),$AM232&gt;$AN232),"Inicio posterior a fecha límite"&amp;" · ","")&amp;IF(AND($V232="Macro",$H232&lt;&gt;"",OR(NOT(ISNUMBER($H232)),$H232&lt;0,$H232&gt;1)),"Peso fuera de rango"&amp;" · ","")&amp;IF(AND($V232="Sub",$H232&lt;&gt;""),"Las subactividades no llevan peso (valen igual dentro de su macroactividad)"&amp;" · ","")&amp;IF(AND(N($W232)&gt;0,COUNT($I232:$L232)&gt;0),"Con subactividades: deje vacías las semanas (se calculan solas)"&amp;" · ","")&amp;IF((COUNTIF($I232:$L232,"&gt;1")+COUNTIF($I232:$L232,"&lt;0")+COUNTA($I232:$L232)-COUNT($I232:$L232))&gt;0,"Avance fuera de rango 0-100%"&amp;" · ","")&amp;IF(OR(AND($J232&lt;&gt;"",$J232&lt;$I232),AND($K232&lt;&gt;"",$K232&lt;MAX($I232:$J232)),AND($L232&lt;&gt;"",$L232&lt;MAX($I232:$K232))),"Avance semanal decreciente"&amp;" · ","")&amp;IF(AND(ISNUMBER($AN232),$AN232&lt;FechaRef,IF($V232="Sub",N($X232),N($M232))&lt;1),"Vencida"&amp;" · ","")&amp;IF(AND(ObsObligatoria="Sí",ISNUMBER($AN232),$AN232&lt;FechaRef,IF($V232="Sub",N($X232),N($M232))&lt;1,$Q232=""),"Vencida sin observación"&amp;" · ",""),LEN(IF($C232="","Falta el nombre de la actividad"&amp;" · ","")&amp;IF(AND($V232="Sub",N($U232)=0),"Subactividad sin macroactividad arriba"&amp;" · ","")&amp;IF($AM232="","Sin fecha de inicio"&amp;" · ","")&amp;IF($AN232="","Sin fecha límite"&amp;" · ","")&amp;IF(AND(LEFT($C232,11)="[Jefatura] ",N($AL232)=0),"No se encuentra en la hoja de la jefatura (elíjala de nuevo en la lista)"&amp;" · ","")&amp;IF(OR(AND($E232&lt;&gt;"",NOT(ISNUMBER($E232))),AND($F232&lt;&gt;"",NOT(ISNUMBER($F232))),AND($G232&lt;&gt;"",NOT(ISNUMBER($G232)))),"Fecha no válida"&amp;" · ","")&amp;IF(AND(ISNUMBER($AM232),ISNUMBER($AN232),$AM232&gt;$AN232),"Inicio posterior a fecha límite"&amp;" · ","")&amp;IF(AND($V232="Macro",$H232&lt;&gt;"",OR(NOT(ISNUMBER($H232)),$H232&lt;0,$H232&gt;1)),"Peso fuera de rango"&amp;" · ","")&amp;IF(AND($V232="Sub",$H232&lt;&gt;""),"Las subactividades no llevan peso (valen igual dentro de su macroactividad)"&amp;" · ","")&amp;IF(AND(N($W232)&gt;0,COUNT($I232:$L232)&gt;0),"Con subactividades: deje vacías las semanas (se calculan solas)"&amp;" · ","")&amp;IF((COUNTIF($I232:$L232,"&gt;1")+COUNTIF($I232:$L232,"&lt;0")+COUNTA($I232:$L232)-COUNT($I232:$L232))&gt;0,"Avance fuera de rango 0-100%"&amp;" · ","")&amp;IF(OR(AND($J232&lt;&gt;"",$J232&lt;$I232),AND($K232&lt;&gt;"",$K232&lt;MAX($I232:$J232)),AND($L232&lt;&gt;"",$L232&lt;MAX($I232:$K232))),"Avance semanal decreciente"&amp;" · ","")&amp;IF(AND(ISNUMBER($AN232),$AN232&lt;FechaRef,IF($V232="Sub",N($X232),N($M232))&lt;1),"Vencida"&amp;" · ","")&amp;IF(AND(ObsObligatoria="Sí",ISNUMBER($AN232),$AN232&lt;FechaRef,IF($V232="Sub",N($X232),N($M232))&lt;1,$Q232=""),"Vencida sin observación"&amp;" · ",""))-3)))</f>
        <v/>
      </c>
      <c r="S232" s="64">
        <f>IF(NOT((COUNTA($B232:$D232)+COUNTA($G232:$L232)+COUNTA($Q232))&gt;0),"",IF(AND($V232="Sub",N($U232)&gt;0),IF(ISNUMBER(INDEX($AM$5:$AM$1000,$U232-4)),DATE(YEAR(INDEX($AM$5:$AM$1000,$U232-4)),MONTH(INDEX($AM$5:$AM$1000,$U232-4)),1),IF(ISNUMBER(INDEX($AN$5:$AN$1000,$U232-4)),DATE(YEAR(INDEX($AN$5:$AN$1000,$U232-4)),MONTH(INDEX($AN$5:$AN$1000,$U232-4)),1),MesCiclo)),IF(ISNUMBER($AM232),DATE(YEAR($AM232),MONTH($AM232),1),IF(ISNUMBER($AN232),DATE(YEAR($AN232),MONTH($AN232),1),MesCiclo))))</f>
        <v/>
      </c>
      <c r="T232" s="62">
        <f>IF(OR($S232="",$S232&lt;&gt;MesCiclo,$V232&lt;&gt;"Macro"),"",COUNTIFS($S$5:$S232,MesCiclo,$V$5:$V232,"Macro"))</f>
        <v/>
      </c>
      <c r="U232" s="62">
        <f>IF($V232="","",IF($V232="Macro",ROW(),IFERROR(LOOKUP(2,1/($V$5:$V232="Macro"),ROW($V$5:$V232)),0)))</f>
        <v/>
      </c>
      <c r="V232" s="62">
        <f>IF(NOT((COUNTA($B232:$D232)+COUNTA($G232:$L232)+COUNTA($Q232))&gt;0),"",IF($B232="Subactividad","Sub","Macro"))</f>
        <v/>
      </c>
      <c r="W232" s="62">
        <f>IF($V232="Macro",COUNTIFS($U$5:$U$1000,ROW(),$V$5:$V$1000,"Sub"),"")</f>
        <v/>
      </c>
      <c r="X232" s="62">
        <f>IF($V232="","",IF(ISNUMBER($G232),1,IFERROR(LOOKUP(2,1/($I232:$L232&lt;&gt;""),$I232:$L232),0)))</f>
        <v/>
      </c>
      <c r="Y232" s="62">
        <f>IF($V232="","",IF(AND(ISNUMBER($G232),$G232&lt;=IF($S232=MesCiclo,InicioCiclo,$S232+MOD(2-WEEKDAY($S232),7))+6),1,IF(ISNUMBER($I232),$I232,0)))</f>
        <v/>
      </c>
      <c r="Z232" s="62">
        <f>IF($V232="","",IF(AND(ISNUMBER($G232),$G232&lt;=IF($S232=MesCiclo,InicioCiclo,$S232+MOD(2-WEEKDAY($S232),7))+13),1,IF(ISNUMBER($J232),$J232,$Y232)))</f>
        <v/>
      </c>
      <c r="AA232" s="62">
        <f>IF($V232="","",IF(AND(ISNUMBER($G232),$G232&lt;=IF($S232=MesCiclo,InicioCiclo,$S232+MOD(2-WEEKDAY($S232),7))+20),1,IF(ISNUMBER($K232),$K232,$Z232)))</f>
        <v/>
      </c>
      <c r="AB232" s="62">
        <f>IF($V232="","",IF(AND(ISNUMBER($G232),$G232&lt;=IF($S232=MesCiclo,InicioCiclo,$S232+MOD(2-WEEKDAY($S232),7))+27),1,IF(ISNUMBER($L232),$L232,$AA232)))</f>
        <v/>
      </c>
      <c r="AC232" s="62">
        <f>IF($V232="","",IF(AND(ISNUMBER($G232),$G232&lt;=IF($S232=MesCiclo,InicioCiclo,$S232+MOD(2-WEEKDAY($S232),7))+6),1,IF(N($W232)&gt;0,AVERAGEIFS($Y$5:$Y$1000,$U$5:$U$1000,ROW(),$V$5:$V$1000,"Sub"),$Y232)))</f>
        <v/>
      </c>
      <c r="AD232" s="62">
        <f>IF($V232="","",IF(AND(ISNUMBER($G232),$G232&lt;=IF($S232=MesCiclo,InicioCiclo,$S232+MOD(2-WEEKDAY($S232),7))+13),1,IF(N($W232)&gt;0,AVERAGEIFS($Z$5:$Z$1000,$U$5:$U$1000,ROW(),$V$5:$V$1000,"Sub"),$Z232)))</f>
        <v/>
      </c>
      <c r="AE232" s="62">
        <f>IF($V232="","",IF(AND(ISNUMBER($G232),$G232&lt;=IF($S232=MesCiclo,InicioCiclo,$S232+MOD(2-WEEKDAY($S232),7))+20),1,IF(N($W232)&gt;0,AVERAGEIFS($AA$5:$AA$1000,$U$5:$U$1000,ROW(),$V$5:$V$1000,"Sub"),$AA232)))</f>
        <v/>
      </c>
      <c r="AF232" s="62">
        <f>IF($V232="","",IF(AND(ISNUMBER($G232),$G232&lt;=IF($S232=MesCiclo,InicioCiclo,$S232+MOD(2-WEEKDAY($S232),7))+27),1,IF(N($W232)&gt;0,AVERAGEIFS($AB$5:$AB$1000,$U$5:$U$1000,ROW(),$V$5:$V$1000,"Sub"),$AB232)))</f>
        <v/>
      </c>
      <c r="AG232" s="62">
        <f>IF($V232&lt;&gt;"Macro","",IF(COUNTIFS($S$5:$S$1000,$S232,$V$5:$V$1000,"Macro",$H$5:$H$1000,"&gt;0")=0,1/COUNTIFS($S$5:$S$1000,$S232,$V$5:$V$1000,"Macro"),IF(AND(ISNUMBER($H232),N($H232)&gt;0),$H232,SUMIFS($H$5:$H$1000,$S$5:$S$1000,$S232,$V$5:$V$1000,"Macro")/COUNTIFS($S$5:$S$1000,$S232,$V$5:$V$1000,"Macro",$H$5:$H$1000,"&gt;0"))/(COUNTIFS($S$5:$S$1000,$S232,$V$5:$V$1000,"Macro")*SUMIFS($H$5:$H$1000,$S$5:$S$1000,$S232,$V$5:$V$1000,"Macro")/COUNTIFS($S$5:$S$1000,$S232,$V$5:$V$1000,"Macro",$H$5:$H$1000,"&gt;0"))))</f>
        <v/>
      </c>
      <c r="AH232" s="62" t="n"/>
      <c r="AI232" s="62" t="n"/>
      <c r="AJ232" s="62" t="n"/>
      <c r="AK232" s="62" t="n"/>
      <c r="AL232" s="62">
        <f>IF(LEFT($C232,11)="[Jefatura] ",IFERROR(MATCH("Riesgo Financiero|"&amp;MID($C232,12,500),rDname_ADM,0),0),"")</f>
        <v/>
      </c>
      <c r="AM232" s="62">
        <f>IF(N($AL232)&gt;0,INDEX(rIni_ADM,$AL232),IF(ISNUMBER($E232),$E232,""))</f>
        <v/>
      </c>
      <c r="AN232" s="62">
        <f>IF(N($AL232)&gt;0,INDEX(rLim_ADM,$AL232),IF(ISNUMBER($F232),$F232,""))</f>
        <v/>
      </c>
    </row>
    <row r="233">
      <c r="A233" s="56">
        <f>IF(NOT((COUNTA($B233:$D233)+COUNTA($G233:$L233)+COUNTA($Q233))&gt;0),"",IF($V233="Macro",COUNTIFS($V$5:$V233,"Macro",$S$5:$S233,$S233),IF(N($U233)=0,"?",COUNTIFS(INDEX($V$5:$V$1000,1):INDEX($V$5:$V$1000,$U233-4),"Macro",INDEX($S$5:$S$1000,1):INDEX($S$5:$S$1000,$U233-4),INDEX($S$5:$S$1000,$U233-4))&amp;"."&amp;COUNTIFS($U$5:$U233,$U233,$V$5:$V233,"Sub"))))</f>
        <v/>
      </c>
      <c r="B233" s="57" t="n"/>
      <c r="C233" s="58" t="n"/>
      <c r="D233" s="58" t="n"/>
      <c r="E233" s="59">
        <f>IF(N($AL233)&gt;0,INDEX(rIni_ADM,$AL233),"")</f>
        <v/>
      </c>
      <c r="F233" s="59">
        <f>IF(N($AL233)&gt;0,INDEX(rLim_ADM,$AL233),"")</f>
        <v/>
      </c>
      <c r="G233" s="59" t="n"/>
      <c r="H233" s="60" t="n"/>
      <c r="I233" s="60" t="n"/>
      <c r="J233" s="60" t="n"/>
      <c r="K233" s="60" t="n"/>
      <c r="L233" s="60" t="n"/>
      <c r="M233" s="61">
        <f>IF(NOT((COUNTA($B233:$D233)+COUNTA($G233:$L233)+COUNTA($Q233))&gt;0),"",IF($V233="Sub",IFERROR($X233/INDEX($W$5:$W$1000,$U233-4),""),IF(ISNUMBER($G233),1,IF(N($W233)&gt;0,AVERAGEIFS($X$5:$X$1000,$U$5:$U$1000,ROW(),$V$5:$V$1000,"Sub"),$X233))))</f>
        <v/>
      </c>
      <c r="N233" s="56">
        <f>IF(OR($M233="",$V233="Sub"),"",IF($M233&gt;=1,"Completado",IF($M233&gt;0,"En curso","Pendiente")))</f>
        <v/>
      </c>
      <c r="O233" s="56">
        <f>IF(OR(NOT((COUNTA($B233:$D233)+COUNTA($G233:$L233)+COUNTA($Q233))&gt;0),$V233="Sub"),"",IF(ISNUMBER($G233),IF(AND(ISNUMBER($AN233),$G233&gt;$AN233),"Cumplida con "&amp;($G233-$AN233)&amp;IF($G233-$AN233=1," día"," días")&amp;" de retraso","Cumplida"),IF(N($M233)&gt;=1,"Cumplida",IF(NOT(ISNUMBER($AN233)),"Sin fecha límite",IF($AN233&lt;FechaRef,"Vencida hace "&amp;(FechaRef-$AN233)&amp;IF(FechaRef-$AN233=1," día"," días"),IF($AN233=FechaRef,"Vence hoy",IF($AN233-FechaRef&lt;=DiasAlerta,"Vence en "&amp;($AN233-FechaRef)&amp;IF($AN233-FechaRef=1," día"," días"),"En plazo")))))))</f>
        <v/>
      </c>
      <c r="P233" s="62" t="n"/>
      <c r="Q233" s="58" t="n"/>
      <c r="R233" s="63">
        <f>IF(NOT((COUNTA($B233:$D233)+COUNTA($G233:$L233)+COUNTA($Q233))&gt;0),"",IF((IF($C233="","Falta el nombre de la actividad"&amp;" · ","")&amp;IF(AND($V233="Sub",N($U233)=0),"Subactividad sin macroactividad arriba"&amp;" · ","")&amp;IF($AM233="","Sin fecha de inicio"&amp;" · ","")&amp;IF($AN233="","Sin fecha límite"&amp;" · ","")&amp;IF(AND(LEFT($C233,11)="[Jefatura] ",N($AL233)=0),"No se encuentra en la hoja de la jefatura (elíjala de nuevo en la lista)"&amp;" · ","")&amp;IF(OR(AND($E233&lt;&gt;"",NOT(ISNUMBER($E233))),AND($F233&lt;&gt;"",NOT(ISNUMBER($F233))),AND($G233&lt;&gt;"",NOT(ISNUMBER($G233)))),"Fecha no válida"&amp;" · ","")&amp;IF(AND(ISNUMBER($AM233),ISNUMBER($AN233),$AM233&gt;$AN233),"Inicio posterior a fecha límite"&amp;" · ","")&amp;IF(AND($V233="Macro",$H233&lt;&gt;"",OR(NOT(ISNUMBER($H233)),$H233&lt;0,$H233&gt;1)),"Peso fuera de rango"&amp;" · ","")&amp;IF(AND($V233="Sub",$H233&lt;&gt;""),"Las subactividades no llevan peso (valen igual dentro de su macroactividad)"&amp;" · ","")&amp;IF(AND(N($W233)&gt;0,COUNT($I233:$L233)&gt;0),"Con subactividades: deje vacías las semanas (se calculan solas)"&amp;" · ","")&amp;IF((COUNTIF($I233:$L233,"&gt;1")+COUNTIF($I233:$L233,"&lt;0")+COUNTA($I233:$L233)-COUNT($I233:$L233))&gt;0,"Avance fuera de rango 0-100%"&amp;" · ","")&amp;IF(OR(AND($J233&lt;&gt;"",$J233&lt;$I233),AND($K233&lt;&gt;"",$K233&lt;MAX($I233:$J233)),AND($L233&lt;&gt;"",$L233&lt;MAX($I233:$K233))),"Avance semanal decreciente"&amp;" · ","")&amp;IF(AND(ISNUMBER($AN233),$AN233&lt;FechaRef,IF($V233="Sub",N($X233),N($M233))&lt;1),"Vencida"&amp;" · ","")&amp;IF(AND(ObsObligatoria="Sí",ISNUMBER($AN233),$AN233&lt;FechaRef,IF($V233="Sub",N($X233),N($M233))&lt;1,$Q233=""),"Vencida sin observación"&amp;" · ",""))="","✔ OK","⚠ "&amp;LEFT(IF($C233="","Falta el nombre de la actividad"&amp;" · ","")&amp;IF(AND($V233="Sub",N($U233)=0),"Subactividad sin macroactividad arriba"&amp;" · ","")&amp;IF($AM233="","Sin fecha de inicio"&amp;" · ","")&amp;IF($AN233="","Sin fecha límite"&amp;" · ","")&amp;IF(AND(LEFT($C233,11)="[Jefatura] ",N($AL233)=0),"No se encuentra en la hoja de la jefatura (elíjala de nuevo en la lista)"&amp;" · ","")&amp;IF(OR(AND($E233&lt;&gt;"",NOT(ISNUMBER($E233))),AND($F233&lt;&gt;"",NOT(ISNUMBER($F233))),AND($G233&lt;&gt;"",NOT(ISNUMBER($G233)))),"Fecha no válida"&amp;" · ","")&amp;IF(AND(ISNUMBER($AM233),ISNUMBER($AN233),$AM233&gt;$AN233),"Inicio posterior a fecha límite"&amp;" · ","")&amp;IF(AND($V233="Macro",$H233&lt;&gt;"",OR(NOT(ISNUMBER($H233)),$H233&lt;0,$H233&gt;1)),"Peso fuera de rango"&amp;" · ","")&amp;IF(AND($V233="Sub",$H233&lt;&gt;""),"Las subactividades no llevan peso (valen igual dentro de su macroactividad)"&amp;" · ","")&amp;IF(AND(N($W233)&gt;0,COUNT($I233:$L233)&gt;0),"Con subactividades: deje vacías las semanas (se calculan solas)"&amp;" · ","")&amp;IF((COUNTIF($I233:$L233,"&gt;1")+COUNTIF($I233:$L233,"&lt;0")+COUNTA($I233:$L233)-COUNT($I233:$L233))&gt;0,"Avance fuera de rango 0-100%"&amp;" · ","")&amp;IF(OR(AND($J233&lt;&gt;"",$J233&lt;$I233),AND($K233&lt;&gt;"",$K233&lt;MAX($I233:$J233)),AND($L233&lt;&gt;"",$L233&lt;MAX($I233:$K233))),"Avance semanal decreciente"&amp;" · ","")&amp;IF(AND(ISNUMBER($AN233),$AN233&lt;FechaRef,IF($V233="Sub",N($X233),N($M233))&lt;1),"Vencida"&amp;" · ","")&amp;IF(AND(ObsObligatoria="Sí",ISNUMBER($AN233),$AN233&lt;FechaRef,IF($V233="Sub",N($X233),N($M233))&lt;1,$Q233=""),"Vencida sin observación"&amp;" · ",""),LEN(IF($C233="","Falta el nombre de la actividad"&amp;" · ","")&amp;IF(AND($V233="Sub",N($U233)=0),"Subactividad sin macroactividad arriba"&amp;" · ","")&amp;IF($AM233="","Sin fecha de inicio"&amp;" · ","")&amp;IF($AN233="","Sin fecha límite"&amp;" · ","")&amp;IF(AND(LEFT($C233,11)="[Jefatura] ",N($AL233)=0),"No se encuentra en la hoja de la jefatura (elíjala de nuevo en la lista)"&amp;" · ","")&amp;IF(OR(AND($E233&lt;&gt;"",NOT(ISNUMBER($E233))),AND($F233&lt;&gt;"",NOT(ISNUMBER($F233))),AND($G233&lt;&gt;"",NOT(ISNUMBER($G233)))),"Fecha no válida"&amp;" · ","")&amp;IF(AND(ISNUMBER($AM233),ISNUMBER($AN233),$AM233&gt;$AN233),"Inicio posterior a fecha límite"&amp;" · ","")&amp;IF(AND($V233="Macro",$H233&lt;&gt;"",OR(NOT(ISNUMBER($H233)),$H233&lt;0,$H233&gt;1)),"Peso fuera de rango"&amp;" · ","")&amp;IF(AND($V233="Sub",$H233&lt;&gt;""),"Las subactividades no llevan peso (valen igual dentro de su macroactividad)"&amp;" · ","")&amp;IF(AND(N($W233)&gt;0,COUNT($I233:$L233)&gt;0),"Con subactividades: deje vacías las semanas (se calculan solas)"&amp;" · ","")&amp;IF((COUNTIF($I233:$L233,"&gt;1")+COUNTIF($I233:$L233,"&lt;0")+COUNTA($I233:$L233)-COUNT($I233:$L233))&gt;0,"Avance fuera de rango 0-100%"&amp;" · ","")&amp;IF(OR(AND($J233&lt;&gt;"",$J233&lt;$I233),AND($K233&lt;&gt;"",$K233&lt;MAX($I233:$J233)),AND($L233&lt;&gt;"",$L233&lt;MAX($I233:$K233))),"Avance semanal decreciente"&amp;" · ","")&amp;IF(AND(ISNUMBER($AN233),$AN233&lt;FechaRef,IF($V233="Sub",N($X233),N($M233))&lt;1),"Vencida"&amp;" · ","")&amp;IF(AND(ObsObligatoria="Sí",ISNUMBER($AN233),$AN233&lt;FechaRef,IF($V233="Sub",N($X233),N($M233))&lt;1,$Q233=""),"Vencida sin observación"&amp;" · ",""))-3)))</f>
        <v/>
      </c>
      <c r="S233" s="64">
        <f>IF(NOT((COUNTA($B233:$D233)+COUNTA($G233:$L233)+COUNTA($Q233))&gt;0),"",IF(AND($V233="Sub",N($U233)&gt;0),IF(ISNUMBER(INDEX($AM$5:$AM$1000,$U233-4)),DATE(YEAR(INDEX($AM$5:$AM$1000,$U233-4)),MONTH(INDEX($AM$5:$AM$1000,$U233-4)),1),IF(ISNUMBER(INDEX($AN$5:$AN$1000,$U233-4)),DATE(YEAR(INDEX($AN$5:$AN$1000,$U233-4)),MONTH(INDEX($AN$5:$AN$1000,$U233-4)),1),MesCiclo)),IF(ISNUMBER($AM233),DATE(YEAR($AM233),MONTH($AM233),1),IF(ISNUMBER($AN233),DATE(YEAR($AN233),MONTH($AN233),1),MesCiclo))))</f>
        <v/>
      </c>
      <c r="T233" s="62">
        <f>IF(OR($S233="",$S233&lt;&gt;MesCiclo,$V233&lt;&gt;"Macro"),"",COUNTIFS($S$5:$S233,MesCiclo,$V$5:$V233,"Macro"))</f>
        <v/>
      </c>
      <c r="U233" s="62">
        <f>IF($V233="","",IF($V233="Macro",ROW(),IFERROR(LOOKUP(2,1/($V$5:$V233="Macro"),ROW($V$5:$V233)),0)))</f>
        <v/>
      </c>
      <c r="V233" s="62">
        <f>IF(NOT((COUNTA($B233:$D233)+COUNTA($G233:$L233)+COUNTA($Q233))&gt;0),"",IF($B233="Subactividad","Sub","Macro"))</f>
        <v/>
      </c>
      <c r="W233" s="62">
        <f>IF($V233="Macro",COUNTIFS($U$5:$U$1000,ROW(),$V$5:$V$1000,"Sub"),"")</f>
        <v/>
      </c>
      <c r="X233" s="62">
        <f>IF($V233="","",IF(ISNUMBER($G233),1,IFERROR(LOOKUP(2,1/($I233:$L233&lt;&gt;""),$I233:$L233),0)))</f>
        <v/>
      </c>
      <c r="Y233" s="62">
        <f>IF($V233="","",IF(AND(ISNUMBER($G233),$G233&lt;=IF($S233=MesCiclo,InicioCiclo,$S233+MOD(2-WEEKDAY($S233),7))+6),1,IF(ISNUMBER($I233),$I233,0)))</f>
        <v/>
      </c>
      <c r="Z233" s="62">
        <f>IF($V233="","",IF(AND(ISNUMBER($G233),$G233&lt;=IF($S233=MesCiclo,InicioCiclo,$S233+MOD(2-WEEKDAY($S233),7))+13),1,IF(ISNUMBER($J233),$J233,$Y233)))</f>
        <v/>
      </c>
      <c r="AA233" s="62">
        <f>IF($V233="","",IF(AND(ISNUMBER($G233),$G233&lt;=IF($S233=MesCiclo,InicioCiclo,$S233+MOD(2-WEEKDAY($S233),7))+20),1,IF(ISNUMBER($K233),$K233,$Z233)))</f>
        <v/>
      </c>
      <c r="AB233" s="62">
        <f>IF($V233="","",IF(AND(ISNUMBER($G233),$G233&lt;=IF($S233=MesCiclo,InicioCiclo,$S233+MOD(2-WEEKDAY($S233),7))+27),1,IF(ISNUMBER($L233),$L233,$AA233)))</f>
        <v/>
      </c>
      <c r="AC233" s="62">
        <f>IF($V233="","",IF(AND(ISNUMBER($G233),$G233&lt;=IF($S233=MesCiclo,InicioCiclo,$S233+MOD(2-WEEKDAY($S233),7))+6),1,IF(N($W233)&gt;0,AVERAGEIFS($Y$5:$Y$1000,$U$5:$U$1000,ROW(),$V$5:$V$1000,"Sub"),$Y233)))</f>
        <v/>
      </c>
      <c r="AD233" s="62">
        <f>IF($V233="","",IF(AND(ISNUMBER($G233),$G233&lt;=IF($S233=MesCiclo,InicioCiclo,$S233+MOD(2-WEEKDAY($S233),7))+13),1,IF(N($W233)&gt;0,AVERAGEIFS($Z$5:$Z$1000,$U$5:$U$1000,ROW(),$V$5:$V$1000,"Sub"),$Z233)))</f>
        <v/>
      </c>
      <c r="AE233" s="62">
        <f>IF($V233="","",IF(AND(ISNUMBER($G233),$G233&lt;=IF($S233=MesCiclo,InicioCiclo,$S233+MOD(2-WEEKDAY($S233),7))+20),1,IF(N($W233)&gt;0,AVERAGEIFS($AA$5:$AA$1000,$U$5:$U$1000,ROW(),$V$5:$V$1000,"Sub"),$AA233)))</f>
        <v/>
      </c>
      <c r="AF233" s="62">
        <f>IF($V233="","",IF(AND(ISNUMBER($G233),$G233&lt;=IF($S233=MesCiclo,InicioCiclo,$S233+MOD(2-WEEKDAY($S233),7))+27),1,IF(N($W233)&gt;0,AVERAGEIFS($AB$5:$AB$1000,$U$5:$U$1000,ROW(),$V$5:$V$1000,"Sub"),$AB233)))</f>
        <v/>
      </c>
      <c r="AG233" s="62">
        <f>IF($V233&lt;&gt;"Macro","",IF(COUNTIFS($S$5:$S$1000,$S233,$V$5:$V$1000,"Macro",$H$5:$H$1000,"&gt;0")=0,1/COUNTIFS($S$5:$S$1000,$S233,$V$5:$V$1000,"Macro"),IF(AND(ISNUMBER($H233),N($H233)&gt;0),$H233,SUMIFS($H$5:$H$1000,$S$5:$S$1000,$S233,$V$5:$V$1000,"Macro")/COUNTIFS($S$5:$S$1000,$S233,$V$5:$V$1000,"Macro",$H$5:$H$1000,"&gt;0"))/(COUNTIFS($S$5:$S$1000,$S233,$V$5:$V$1000,"Macro")*SUMIFS($H$5:$H$1000,$S$5:$S$1000,$S233,$V$5:$V$1000,"Macro")/COUNTIFS($S$5:$S$1000,$S233,$V$5:$V$1000,"Macro",$H$5:$H$1000,"&gt;0"))))</f>
        <v/>
      </c>
      <c r="AH233" s="62" t="n"/>
      <c r="AI233" s="62" t="n"/>
      <c r="AJ233" s="62" t="n"/>
      <c r="AK233" s="62" t="n"/>
      <c r="AL233" s="62">
        <f>IF(LEFT($C233,11)="[Jefatura] ",IFERROR(MATCH("Riesgo Financiero|"&amp;MID($C233,12,500),rDname_ADM,0),0),"")</f>
        <v/>
      </c>
      <c r="AM233" s="62">
        <f>IF(N($AL233)&gt;0,INDEX(rIni_ADM,$AL233),IF(ISNUMBER($E233),$E233,""))</f>
        <v/>
      </c>
      <c r="AN233" s="62">
        <f>IF(N($AL233)&gt;0,INDEX(rLim_ADM,$AL233),IF(ISNUMBER($F233),$F233,""))</f>
        <v/>
      </c>
    </row>
    <row r="234">
      <c r="A234" s="56">
        <f>IF(NOT((COUNTA($B234:$D234)+COUNTA($G234:$L234)+COUNTA($Q234))&gt;0),"",IF($V234="Macro",COUNTIFS($V$5:$V234,"Macro",$S$5:$S234,$S234),IF(N($U234)=0,"?",COUNTIFS(INDEX($V$5:$V$1000,1):INDEX($V$5:$V$1000,$U234-4),"Macro",INDEX($S$5:$S$1000,1):INDEX($S$5:$S$1000,$U234-4),INDEX($S$5:$S$1000,$U234-4))&amp;"."&amp;COUNTIFS($U$5:$U234,$U234,$V$5:$V234,"Sub"))))</f>
        <v/>
      </c>
      <c r="B234" s="57" t="n"/>
      <c r="C234" s="58" t="n"/>
      <c r="D234" s="58" t="n"/>
      <c r="E234" s="59">
        <f>IF(N($AL234)&gt;0,INDEX(rIni_ADM,$AL234),"")</f>
        <v/>
      </c>
      <c r="F234" s="59">
        <f>IF(N($AL234)&gt;0,INDEX(rLim_ADM,$AL234),"")</f>
        <v/>
      </c>
      <c r="G234" s="59" t="n"/>
      <c r="H234" s="60" t="n"/>
      <c r="I234" s="60" t="n"/>
      <c r="J234" s="60" t="n"/>
      <c r="K234" s="60" t="n"/>
      <c r="L234" s="60" t="n"/>
      <c r="M234" s="61">
        <f>IF(NOT((COUNTA($B234:$D234)+COUNTA($G234:$L234)+COUNTA($Q234))&gt;0),"",IF($V234="Sub",IFERROR($X234/INDEX($W$5:$W$1000,$U234-4),""),IF(ISNUMBER($G234),1,IF(N($W234)&gt;0,AVERAGEIFS($X$5:$X$1000,$U$5:$U$1000,ROW(),$V$5:$V$1000,"Sub"),$X234))))</f>
        <v/>
      </c>
      <c r="N234" s="56">
        <f>IF(OR($M234="",$V234="Sub"),"",IF($M234&gt;=1,"Completado",IF($M234&gt;0,"En curso","Pendiente")))</f>
        <v/>
      </c>
      <c r="O234" s="56">
        <f>IF(OR(NOT((COUNTA($B234:$D234)+COUNTA($G234:$L234)+COUNTA($Q234))&gt;0),$V234="Sub"),"",IF(ISNUMBER($G234),IF(AND(ISNUMBER($AN234),$G234&gt;$AN234),"Cumplida con "&amp;($G234-$AN234)&amp;IF($G234-$AN234=1," día"," días")&amp;" de retraso","Cumplida"),IF(N($M234)&gt;=1,"Cumplida",IF(NOT(ISNUMBER($AN234)),"Sin fecha límite",IF($AN234&lt;FechaRef,"Vencida hace "&amp;(FechaRef-$AN234)&amp;IF(FechaRef-$AN234=1," día"," días"),IF($AN234=FechaRef,"Vence hoy",IF($AN234-FechaRef&lt;=DiasAlerta,"Vence en "&amp;($AN234-FechaRef)&amp;IF($AN234-FechaRef=1," día"," días"),"En plazo")))))))</f>
        <v/>
      </c>
      <c r="P234" s="62" t="n"/>
      <c r="Q234" s="58" t="n"/>
      <c r="R234" s="63">
        <f>IF(NOT((COUNTA($B234:$D234)+COUNTA($G234:$L234)+COUNTA($Q234))&gt;0),"",IF((IF($C234="","Falta el nombre de la actividad"&amp;" · ","")&amp;IF(AND($V234="Sub",N($U234)=0),"Subactividad sin macroactividad arriba"&amp;" · ","")&amp;IF($AM234="","Sin fecha de inicio"&amp;" · ","")&amp;IF($AN234="","Sin fecha límite"&amp;" · ","")&amp;IF(AND(LEFT($C234,11)="[Jefatura] ",N($AL234)=0),"No se encuentra en la hoja de la jefatura (elíjala de nuevo en la lista)"&amp;" · ","")&amp;IF(OR(AND($E234&lt;&gt;"",NOT(ISNUMBER($E234))),AND($F234&lt;&gt;"",NOT(ISNUMBER($F234))),AND($G234&lt;&gt;"",NOT(ISNUMBER($G234)))),"Fecha no válida"&amp;" · ","")&amp;IF(AND(ISNUMBER($AM234),ISNUMBER($AN234),$AM234&gt;$AN234),"Inicio posterior a fecha límite"&amp;" · ","")&amp;IF(AND($V234="Macro",$H234&lt;&gt;"",OR(NOT(ISNUMBER($H234)),$H234&lt;0,$H234&gt;1)),"Peso fuera de rango"&amp;" · ","")&amp;IF(AND($V234="Sub",$H234&lt;&gt;""),"Las subactividades no llevan peso (valen igual dentro de su macroactividad)"&amp;" · ","")&amp;IF(AND(N($W234)&gt;0,COUNT($I234:$L234)&gt;0),"Con subactividades: deje vacías las semanas (se calculan solas)"&amp;" · ","")&amp;IF((COUNTIF($I234:$L234,"&gt;1")+COUNTIF($I234:$L234,"&lt;0")+COUNTA($I234:$L234)-COUNT($I234:$L234))&gt;0,"Avance fuera de rango 0-100%"&amp;" · ","")&amp;IF(OR(AND($J234&lt;&gt;"",$J234&lt;$I234),AND($K234&lt;&gt;"",$K234&lt;MAX($I234:$J234)),AND($L234&lt;&gt;"",$L234&lt;MAX($I234:$K234))),"Avance semanal decreciente"&amp;" · ","")&amp;IF(AND(ISNUMBER($AN234),$AN234&lt;FechaRef,IF($V234="Sub",N($X234),N($M234))&lt;1),"Vencida"&amp;" · ","")&amp;IF(AND(ObsObligatoria="Sí",ISNUMBER($AN234),$AN234&lt;FechaRef,IF($V234="Sub",N($X234),N($M234))&lt;1,$Q234=""),"Vencida sin observación"&amp;" · ",""))="","✔ OK","⚠ "&amp;LEFT(IF($C234="","Falta el nombre de la actividad"&amp;" · ","")&amp;IF(AND($V234="Sub",N($U234)=0),"Subactividad sin macroactividad arriba"&amp;" · ","")&amp;IF($AM234="","Sin fecha de inicio"&amp;" · ","")&amp;IF($AN234="","Sin fecha límite"&amp;" · ","")&amp;IF(AND(LEFT($C234,11)="[Jefatura] ",N($AL234)=0),"No se encuentra en la hoja de la jefatura (elíjala de nuevo en la lista)"&amp;" · ","")&amp;IF(OR(AND($E234&lt;&gt;"",NOT(ISNUMBER($E234))),AND($F234&lt;&gt;"",NOT(ISNUMBER($F234))),AND($G234&lt;&gt;"",NOT(ISNUMBER($G234)))),"Fecha no válida"&amp;" · ","")&amp;IF(AND(ISNUMBER($AM234),ISNUMBER($AN234),$AM234&gt;$AN234),"Inicio posterior a fecha límite"&amp;" · ","")&amp;IF(AND($V234="Macro",$H234&lt;&gt;"",OR(NOT(ISNUMBER($H234)),$H234&lt;0,$H234&gt;1)),"Peso fuera de rango"&amp;" · ","")&amp;IF(AND($V234="Sub",$H234&lt;&gt;""),"Las subactividades no llevan peso (valen igual dentro de su macroactividad)"&amp;" · ","")&amp;IF(AND(N($W234)&gt;0,COUNT($I234:$L234)&gt;0),"Con subactividades: deje vacías las semanas (se calculan solas)"&amp;" · ","")&amp;IF((COUNTIF($I234:$L234,"&gt;1")+COUNTIF($I234:$L234,"&lt;0")+COUNTA($I234:$L234)-COUNT($I234:$L234))&gt;0,"Avance fuera de rango 0-100%"&amp;" · ","")&amp;IF(OR(AND($J234&lt;&gt;"",$J234&lt;$I234),AND($K234&lt;&gt;"",$K234&lt;MAX($I234:$J234)),AND($L234&lt;&gt;"",$L234&lt;MAX($I234:$K234))),"Avance semanal decreciente"&amp;" · ","")&amp;IF(AND(ISNUMBER($AN234),$AN234&lt;FechaRef,IF($V234="Sub",N($X234),N($M234))&lt;1),"Vencida"&amp;" · ","")&amp;IF(AND(ObsObligatoria="Sí",ISNUMBER($AN234),$AN234&lt;FechaRef,IF($V234="Sub",N($X234),N($M234))&lt;1,$Q234=""),"Vencida sin observación"&amp;" · ",""),LEN(IF($C234="","Falta el nombre de la actividad"&amp;" · ","")&amp;IF(AND($V234="Sub",N($U234)=0),"Subactividad sin macroactividad arriba"&amp;" · ","")&amp;IF($AM234="","Sin fecha de inicio"&amp;" · ","")&amp;IF($AN234="","Sin fecha límite"&amp;" · ","")&amp;IF(AND(LEFT($C234,11)="[Jefatura] ",N($AL234)=0),"No se encuentra en la hoja de la jefatura (elíjala de nuevo en la lista)"&amp;" · ","")&amp;IF(OR(AND($E234&lt;&gt;"",NOT(ISNUMBER($E234))),AND($F234&lt;&gt;"",NOT(ISNUMBER($F234))),AND($G234&lt;&gt;"",NOT(ISNUMBER($G234)))),"Fecha no válida"&amp;" · ","")&amp;IF(AND(ISNUMBER($AM234),ISNUMBER($AN234),$AM234&gt;$AN234),"Inicio posterior a fecha límite"&amp;" · ","")&amp;IF(AND($V234="Macro",$H234&lt;&gt;"",OR(NOT(ISNUMBER($H234)),$H234&lt;0,$H234&gt;1)),"Peso fuera de rango"&amp;" · ","")&amp;IF(AND($V234="Sub",$H234&lt;&gt;""),"Las subactividades no llevan peso (valen igual dentro de su macroactividad)"&amp;" · ","")&amp;IF(AND(N($W234)&gt;0,COUNT($I234:$L234)&gt;0),"Con subactividades: deje vacías las semanas (se calculan solas)"&amp;" · ","")&amp;IF((COUNTIF($I234:$L234,"&gt;1")+COUNTIF($I234:$L234,"&lt;0")+COUNTA($I234:$L234)-COUNT($I234:$L234))&gt;0,"Avance fuera de rango 0-100%"&amp;" · ","")&amp;IF(OR(AND($J234&lt;&gt;"",$J234&lt;$I234),AND($K234&lt;&gt;"",$K234&lt;MAX($I234:$J234)),AND($L234&lt;&gt;"",$L234&lt;MAX($I234:$K234))),"Avance semanal decreciente"&amp;" · ","")&amp;IF(AND(ISNUMBER($AN234),$AN234&lt;FechaRef,IF($V234="Sub",N($X234),N($M234))&lt;1),"Vencida"&amp;" · ","")&amp;IF(AND(ObsObligatoria="Sí",ISNUMBER($AN234),$AN234&lt;FechaRef,IF($V234="Sub",N($X234),N($M234))&lt;1,$Q234=""),"Vencida sin observación"&amp;" · ",""))-3)))</f>
        <v/>
      </c>
      <c r="S234" s="64">
        <f>IF(NOT((COUNTA($B234:$D234)+COUNTA($G234:$L234)+COUNTA($Q234))&gt;0),"",IF(AND($V234="Sub",N($U234)&gt;0),IF(ISNUMBER(INDEX($AM$5:$AM$1000,$U234-4)),DATE(YEAR(INDEX($AM$5:$AM$1000,$U234-4)),MONTH(INDEX($AM$5:$AM$1000,$U234-4)),1),IF(ISNUMBER(INDEX($AN$5:$AN$1000,$U234-4)),DATE(YEAR(INDEX($AN$5:$AN$1000,$U234-4)),MONTH(INDEX($AN$5:$AN$1000,$U234-4)),1),MesCiclo)),IF(ISNUMBER($AM234),DATE(YEAR($AM234),MONTH($AM234),1),IF(ISNUMBER($AN234),DATE(YEAR($AN234),MONTH($AN234),1),MesCiclo))))</f>
        <v/>
      </c>
      <c r="T234" s="62">
        <f>IF(OR($S234="",$S234&lt;&gt;MesCiclo,$V234&lt;&gt;"Macro"),"",COUNTIFS($S$5:$S234,MesCiclo,$V$5:$V234,"Macro"))</f>
        <v/>
      </c>
      <c r="U234" s="62">
        <f>IF($V234="","",IF($V234="Macro",ROW(),IFERROR(LOOKUP(2,1/($V$5:$V234="Macro"),ROW($V$5:$V234)),0)))</f>
        <v/>
      </c>
      <c r="V234" s="62">
        <f>IF(NOT((COUNTA($B234:$D234)+COUNTA($G234:$L234)+COUNTA($Q234))&gt;0),"",IF($B234="Subactividad","Sub","Macro"))</f>
        <v/>
      </c>
      <c r="W234" s="62">
        <f>IF($V234="Macro",COUNTIFS($U$5:$U$1000,ROW(),$V$5:$V$1000,"Sub"),"")</f>
        <v/>
      </c>
      <c r="X234" s="62">
        <f>IF($V234="","",IF(ISNUMBER($G234),1,IFERROR(LOOKUP(2,1/($I234:$L234&lt;&gt;""),$I234:$L234),0)))</f>
        <v/>
      </c>
      <c r="Y234" s="62">
        <f>IF($V234="","",IF(AND(ISNUMBER($G234),$G234&lt;=IF($S234=MesCiclo,InicioCiclo,$S234+MOD(2-WEEKDAY($S234),7))+6),1,IF(ISNUMBER($I234),$I234,0)))</f>
        <v/>
      </c>
      <c r="Z234" s="62">
        <f>IF($V234="","",IF(AND(ISNUMBER($G234),$G234&lt;=IF($S234=MesCiclo,InicioCiclo,$S234+MOD(2-WEEKDAY($S234),7))+13),1,IF(ISNUMBER($J234),$J234,$Y234)))</f>
        <v/>
      </c>
      <c r="AA234" s="62">
        <f>IF($V234="","",IF(AND(ISNUMBER($G234),$G234&lt;=IF($S234=MesCiclo,InicioCiclo,$S234+MOD(2-WEEKDAY($S234),7))+20),1,IF(ISNUMBER($K234),$K234,$Z234)))</f>
        <v/>
      </c>
      <c r="AB234" s="62">
        <f>IF($V234="","",IF(AND(ISNUMBER($G234),$G234&lt;=IF($S234=MesCiclo,InicioCiclo,$S234+MOD(2-WEEKDAY($S234),7))+27),1,IF(ISNUMBER($L234),$L234,$AA234)))</f>
        <v/>
      </c>
      <c r="AC234" s="62">
        <f>IF($V234="","",IF(AND(ISNUMBER($G234),$G234&lt;=IF($S234=MesCiclo,InicioCiclo,$S234+MOD(2-WEEKDAY($S234),7))+6),1,IF(N($W234)&gt;0,AVERAGEIFS($Y$5:$Y$1000,$U$5:$U$1000,ROW(),$V$5:$V$1000,"Sub"),$Y234)))</f>
        <v/>
      </c>
      <c r="AD234" s="62">
        <f>IF($V234="","",IF(AND(ISNUMBER($G234),$G234&lt;=IF($S234=MesCiclo,InicioCiclo,$S234+MOD(2-WEEKDAY($S234),7))+13),1,IF(N($W234)&gt;0,AVERAGEIFS($Z$5:$Z$1000,$U$5:$U$1000,ROW(),$V$5:$V$1000,"Sub"),$Z234)))</f>
        <v/>
      </c>
      <c r="AE234" s="62">
        <f>IF($V234="","",IF(AND(ISNUMBER($G234),$G234&lt;=IF($S234=MesCiclo,InicioCiclo,$S234+MOD(2-WEEKDAY($S234),7))+20),1,IF(N($W234)&gt;0,AVERAGEIFS($AA$5:$AA$1000,$U$5:$U$1000,ROW(),$V$5:$V$1000,"Sub"),$AA234)))</f>
        <v/>
      </c>
      <c r="AF234" s="62">
        <f>IF($V234="","",IF(AND(ISNUMBER($G234),$G234&lt;=IF($S234=MesCiclo,InicioCiclo,$S234+MOD(2-WEEKDAY($S234),7))+27),1,IF(N($W234)&gt;0,AVERAGEIFS($AB$5:$AB$1000,$U$5:$U$1000,ROW(),$V$5:$V$1000,"Sub"),$AB234)))</f>
        <v/>
      </c>
      <c r="AG234" s="62">
        <f>IF($V234&lt;&gt;"Macro","",IF(COUNTIFS($S$5:$S$1000,$S234,$V$5:$V$1000,"Macro",$H$5:$H$1000,"&gt;0")=0,1/COUNTIFS($S$5:$S$1000,$S234,$V$5:$V$1000,"Macro"),IF(AND(ISNUMBER($H234),N($H234)&gt;0),$H234,SUMIFS($H$5:$H$1000,$S$5:$S$1000,$S234,$V$5:$V$1000,"Macro")/COUNTIFS($S$5:$S$1000,$S234,$V$5:$V$1000,"Macro",$H$5:$H$1000,"&gt;0"))/(COUNTIFS($S$5:$S$1000,$S234,$V$5:$V$1000,"Macro")*SUMIFS($H$5:$H$1000,$S$5:$S$1000,$S234,$V$5:$V$1000,"Macro")/COUNTIFS($S$5:$S$1000,$S234,$V$5:$V$1000,"Macro",$H$5:$H$1000,"&gt;0"))))</f>
        <v/>
      </c>
      <c r="AH234" s="62" t="n"/>
      <c r="AI234" s="62" t="n"/>
      <c r="AJ234" s="62" t="n"/>
      <c r="AK234" s="62" t="n"/>
      <c r="AL234" s="62">
        <f>IF(LEFT($C234,11)="[Jefatura] ",IFERROR(MATCH("Riesgo Financiero|"&amp;MID($C234,12,500),rDname_ADM,0),0),"")</f>
        <v/>
      </c>
      <c r="AM234" s="62">
        <f>IF(N($AL234)&gt;0,INDEX(rIni_ADM,$AL234),IF(ISNUMBER($E234),$E234,""))</f>
        <v/>
      </c>
      <c r="AN234" s="62">
        <f>IF(N($AL234)&gt;0,INDEX(rLim_ADM,$AL234),IF(ISNUMBER($F234),$F234,""))</f>
        <v/>
      </c>
    </row>
    <row r="235">
      <c r="A235" s="56">
        <f>IF(NOT((COUNTA($B235:$D235)+COUNTA($G235:$L235)+COUNTA($Q235))&gt;0),"",IF($V235="Macro",COUNTIFS($V$5:$V235,"Macro",$S$5:$S235,$S235),IF(N($U235)=0,"?",COUNTIFS(INDEX($V$5:$V$1000,1):INDEX($V$5:$V$1000,$U235-4),"Macro",INDEX($S$5:$S$1000,1):INDEX($S$5:$S$1000,$U235-4),INDEX($S$5:$S$1000,$U235-4))&amp;"."&amp;COUNTIFS($U$5:$U235,$U235,$V$5:$V235,"Sub"))))</f>
        <v/>
      </c>
      <c r="B235" s="57" t="n"/>
      <c r="C235" s="58" t="n"/>
      <c r="D235" s="58" t="n"/>
      <c r="E235" s="59">
        <f>IF(N($AL235)&gt;0,INDEX(rIni_ADM,$AL235),"")</f>
        <v/>
      </c>
      <c r="F235" s="59">
        <f>IF(N($AL235)&gt;0,INDEX(rLim_ADM,$AL235),"")</f>
        <v/>
      </c>
      <c r="G235" s="59" t="n"/>
      <c r="H235" s="60" t="n"/>
      <c r="I235" s="60" t="n"/>
      <c r="J235" s="60" t="n"/>
      <c r="K235" s="60" t="n"/>
      <c r="L235" s="60" t="n"/>
      <c r="M235" s="61">
        <f>IF(NOT((COUNTA($B235:$D235)+COUNTA($G235:$L235)+COUNTA($Q235))&gt;0),"",IF($V235="Sub",IFERROR($X235/INDEX($W$5:$W$1000,$U235-4),""),IF(ISNUMBER($G235),1,IF(N($W235)&gt;0,AVERAGEIFS($X$5:$X$1000,$U$5:$U$1000,ROW(),$V$5:$V$1000,"Sub"),$X235))))</f>
        <v/>
      </c>
      <c r="N235" s="56">
        <f>IF(OR($M235="",$V235="Sub"),"",IF($M235&gt;=1,"Completado",IF($M235&gt;0,"En curso","Pendiente")))</f>
        <v/>
      </c>
      <c r="O235" s="56">
        <f>IF(OR(NOT((COUNTA($B235:$D235)+COUNTA($G235:$L235)+COUNTA($Q235))&gt;0),$V235="Sub"),"",IF(ISNUMBER($G235),IF(AND(ISNUMBER($AN235),$G235&gt;$AN235),"Cumplida con "&amp;($G235-$AN235)&amp;IF($G235-$AN235=1," día"," días")&amp;" de retraso","Cumplida"),IF(N($M235)&gt;=1,"Cumplida",IF(NOT(ISNUMBER($AN235)),"Sin fecha límite",IF($AN235&lt;FechaRef,"Vencida hace "&amp;(FechaRef-$AN235)&amp;IF(FechaRef-$AN235=1," día"," días"),IF($AN235=FechaRef,"Vence hoy",IF($AN235-FechaRef&lt;=DiasAlerta,"Vence en "&amp;($AN235-FechaRef)&amp;IF($AN235-FechaRef=1," día"," días"),"En plazo")))))))</f>
        <v/>
      </c>
      <c r="P235" s="62" t="n"/>
      <c r="Q235" s="58" t="n"/>
      <c r="R235" s="63">
        <f>IF(NOT((COUNTA($B235:$D235)+COUNTA($G235:$L235)+COUNTA($Q235))&gt;0),"",IF((IF($C235="","Falta el nombre de la actividad"&amp;" · ","")&amp;IF(AND($V235="Sub",N($U235)=0),"Subactividad sin macroactividad arriba"&amp;" · ","")&amp;IF($AM235="","Sin fecha de inicio"&amp;" · ","")&amp;IF($AN235="","Sin fecha límite"&amp;" · ","")&amp;IF(AND(LEFT($C235,11)="[Jefatura] ",N($AL235)=0),"No se encuentra en la hoja de la jefatura (elíjala de nuevo en la lista)"&amp;" · ","")&amp;IF(OR(AND($E235&lt;&gt;"",NOT(ISNUMBER($E235))),AND($F235&lt;&gt;"",NOT(ISNUMBER($F235))),AND($G235&lt;&gt;"",NOT(ISNUMBER($G235)))),"Fecha no válida"&amp;" · ","")&amp;IF(AND(ISNUMBER($AM235),ISNUMBER($AN235),$AM235&gt;$AN235),"Inicio posterior a fecha límite"&amp;" · ","")&amp;IF(AND($V235="Macro",$H235&lt;&gt;"",OR(NOT(ISNUMBER($H235)),$H235&lt;0,$H235&gt;1)),"Peso fuera de rango"&amp;" · ","")&amp;IF(AND($V235="Sub",$H235&lt;&gt;""),"Las subactividades no llevan peso (valen igual dentro de su macroactividad)"&amp;" · ","")&amp;IF(AND(N($W235)&gt;0,COUNT($I235:$L235)&gt;0),"Con subactividades: deje vacías las semanas (se calculan solas)"&amp;" · ","")&amp;IF((COUNTIF($I235:$L235,"&gt;1")+COUNTIF($I235:$L235,"&lt;0")+COUNTA($I235:$L235)-COUNT($I235:$L235))&gt;0,"Avance fuera de rango 0-100%"&amp;" · ","")&amp;IF(OR(AND($J235&lt;&gt;"",$J235&lt;$I235),AND($K235&lt;&gt;"",$K235&lt;MAX($I235:$J235)),AND($L235&lt;&gt;"",$L235&lt;MAX($I235:$K235))),"Avance semanal decreciente"&amp;" · ","")&amp;IF(AND(ISNUMBER($AN235),$AN235&lt;FechaRef,IF($V235="Sub",N($X235),N($M235))&lt;1),"Vencida"&amp;" · ","")&amp;IF(AND(ObsObligatoria="Sí",ISNUMBER($AN235),$AN235&lt;FechaRef,IF($V235="Sub",N($X235),N($M235))&lt;1,$Q235=""),"Vencida sin observación"&amp;" · ",""))="","✔ OK","⚠ "&amp;LEFT(IF($C235="","Falta el nombre de la actividad"&amp;" · ","")&amp;IF(AND($V235="Sub",N($U235)=0),"Subactividad sin macroactividad arriba"&amp;" · ","")&amp;IF($AM235="","Sin fecha de inicio"&amp;" · ","")&amp;IF($AN235="","Sin fecha límite"&amp;" · ","")&amp;IF(AND(LEFT($C235,11)="[Jefatura] ",N($AL235)=0),"No se encuentra en la hoja de la jefatura (elíjala de nuevo en la lista)"&amp;" · ","")&amp;IF(OR(AND($E235&lt;&gt;"",NOT(ISNUMBER($E235))),AND($F235&lt;&gt;"",NOT(ISNUMBER($F235))),AND($G235&lt;&gt;"",NOT(ISNUMBER($G235)))),"Fecha no válida"&amp;" · ","")&amp;IF(AND(ISNUMBER($AM235),ISNUMBER($AN235),$AM235&gt;$AN235),"Inicio posterior a fecha límite"&amp;" · ","")&amp;IF(AND($V235="Macro",$H235&lt;&gt;"",OR(NOT(ISNUMBER($H235)),$H235&lt;0,$H235&gt;1)),"Peso fuera de rango"&amp;" · ","")&amp;IF(AND($V235="Sub",$H235&lt;&gt;""),"Las subactividades no llevan peso (valen igual dentro de su macroactividad)"&amp;" · ","")&amp;IF(AND(N($W235)&gt;0,COUNT($I235:$L235)&gt;0),"Con subactividades: deje vacías las semanas (se calculan solas)"&amp;" · ","")&amp;IF((COUNTIF($I235:$L235,"&gt;1")+COUNTIF($I235:$L235,"&lt;0")+COUNTA($I235:$L235)-COUNT($I235:$L235))&gt;0,"Avance fuera de rango 0-100%"&amp;" · ","")&amp;IF(OR(AND($J235&lt;&gt;"",$J235&lt;$I235),AND($K235&lt;&gt;"",$K235&lt;MAX($I235:$J235)),AND($L235&lt;&gt;"",$L235&lt;MAX($I235:$K235))),"Avance semanal decreciente"&amp;" · ","")&amp;IF(AND(ISNUMBER($AN235),$AN235&lt;FechaRef,IF($V235="Sub",N($X235),N($M235))&lt;1),"Vencida"&amp;" · ","")&amp;IF(AND(ObsObligatoria="Sí",ISNUMBER($AN235),$AN235&lt;FechaRef,IF($V235="Sub",N($X235),N($M235))&lt;1,$Q235=""),"Vencida sin observación"&amp;" · ",""),LEN(IF($C235="","Falta el nombre de la actividad"&amp;" · ","")&amp;IF(AND($V235="Sub",N($U235)=0),"Subactividad sin macroactividad arriba"&amp;" · ","")&amp;IF($AM235="","Sin fecha de inicio"&amp;" · ","")&amp;IF($AN235="","Sin fecha límite"&amp;" · ","")&amp;IF(AND(LEFT($C235,11)="[Jefatura] ",N($AL235)=0),"No se encuentra en la hoja de la jefatura (elíjala de nuevo en la lista)"&amp;" · ","")&amp;IF(OR(AND($E235&lt;&gt;"",NOT(ISNUMBER($E235))),AND($F235&lt;&gt;"",NOT(ISNUMBER($F235))),AND($G235&lt;&gt;"",NOT(ISNUMBER($G235)))),"Fecha no válida"&amp;" · ","")&amp;IF(AND(ISNUMBER($AM235),ISNUMBER($AN235),$AM235&gt;$AN235),"Inicio posterior a fecha límite"&amp;" · ","")&amp;IF(AND($V235="Macro",$H235&lt;&gt;"",OR(NOT(ISNUMBER($H235)),$H235&lt;0,$H235&gt;1)),"Peso fuera de rango"&amp;" · ","")&amp;IF(AND($V235="Sub",$H235&lt;&gt;""),"Las subactividades no llevan peso (valen igual dentro de su macroactividad)"&amp;" · ","")&amp;IF(AND(N($W235)&gt;0,COUNT($I235:$L235)&gt;0),"Con subactividades: deje vacías las semanas (se calculan solas)"&amp;" · ","")&amp;IF((COUNTIF($I235:$L235,"&gt;1")+COUNTIF($I235:$L235,"&lt;0")+COUNTA($I235:$L235)-COUNT($I235:$L235))&gt;0,"Avance fuera de rango 0-100%"&amp;" · ","")&amp;IF(OR(AND($J235&lt;&gt;"",$J235&lt;$I235),AND($K235&lt;&gt;"",$K235&lt;MAX($I235:$J235)),AND($L235&lt;&gt;"",$L235&lt;MAX($I235:$K235))),"Avance semanal decreciente"&amp;" · ","")&amp;IF(AND(ISNUMBER($AN235),$AN235&lt;FechaRef,IF($V235="Sub",N($X235),N($M235))&lt;1),"Vencida"&amp;" · ","")&amp;IF(AND(ObsObligatoria="Sí",ISNUMBER($AN235),$AN235&lt;FechaRef,IF($V235="Sub",N($X235),N($M235))&lt;1,$Q235=""),"Vencida sin observación"&amp;" · ",""))-3)))</f>
        <v/>
      </c>
      <c r="S235" s="64">
        <f>IF(NOT((COUNTA($B235:$D235)+COUNTA($G235:$L235)+COUNTA($Q235))&gt;0),"",IF(AND($V235="Sub",N($U235)&gt;0),IF(ISNUMBER(INDEX($AM$5:$AM$1000,$U235-4)),DATE(YEAR(INDEX($AM$5:$AM$1000,$U235-4)),MONTH(INDEX($AM$5:$AM$1000,$U235-4)),1),IF(ISNUMBER(INDEX($AN$5:$AN$1000,$U235-4)),DATE(YEAR(INDEX($AN$5:$AN$1000,$U235-4)),MONTH(INDEX($AN$5:$AN$1000,$U235-4)),1),MesCiclo)),IF(ISNUMBER($AM235),DATE(YEAR($AM235),MONTH($AM235),1),IF(ISNUMBER($AN235),DATE(YEAR($AN235),MONTH($AN235),1),MesCiclo))))</f>
        <v/>
      </c>
      <c r="T235" s="62">
        <f>IF(OR($S235="",$S235&lt;&gt;MesCiclo,$V235&lt;&gt;"Macro"),"",COUNTIFS($S$5:$S235,MesCiclo,$V$5:$V235,"Macro"))</f>
        <v/>
      </c>
      <c r="U235" s="62">
        <f>IF($V235="","",IF($V235="Macro",ROW(),IFERROR(LOOKUP(2,1/($V$5:$V235="Macro"),ROW($V$5:$V235)),0)))</f>
        <v/>
      </c>
      <c r="V235" s="62">
        <f>IF(NOT((COUNTA($B235:$D235)+COUNTA($G235:$L235)+COUNTA($Q235))&gt;0),"",IF($B235="Subactividad","Sub","Macro"))</f>
        <v/>
      </c>
      <c r="W235" s="62">
        <f>IF($V235="Macro",COUNTIFS($U$5:$U$1000,ROW(),$V$5:$V$1000,"Sub"),"")</f>
        <v/>
      </c>
      <c r="X235" s="62">
        <f>IF($V235="","",IF(ISNUMBER($G235),1,IFERROR(LOOKUP(2,1/($I235:$L235&lt;&gt;""),$I235:$L235),0)))</f>
        <v/>
      </c>
      <c r="Y235" s="62">
        <f>IF($V235="","",IF(AND(ISNUMBER($G235),$G235&lt;=IF($S235=MesCiclo,InicioCiclo,$S235+MOD(2-WEEKDAY($S235),7))+6),1,IF(ISNUMBER($I235),$I235,0)))</f>
        <v/>
      </c>
      <c r="Z235" s="62">
        <f>IF($V235="","",IF(AND(ISNUMBER($G235),$G235&lt;=IF($S235=MesCiclo,InicioCiclo,$S235+MOD(2-WEEKDAY($S235),7))+13),1,IF(ISNUMBER($J235),$J235,$Y235)))</f>
        <v/>
      </c>
      <c r="AA235" s="62">
        <f>IF($V235="","",IF(AND(ISNUMBER($G235),$G235&lt;=IF($S235=MesCiclo,InicioCiclo,$S235+MOD(2-WEEKDAY($S235),7))+20),1,IF(ISNUMBER($K235),$K235,$Z235)))</f>
        <v/>
      </c>
      <c r="AB235" s="62">
        <f>IF($V235="","",IF(AND(ISNUMBER($G235),$G235&lt;=IF($S235=MesCiclo,InicioCiclo,$S235+MOD(2-WEEKDAY($S235),7))+27),1,IF(ISNUMBER($L235),$L235,$AA235)))</f>
        <v/>
      </c>
      <c r="AC235" s="62">
        <f>IF($V235="","",IF(AND(ISNUMBER($G235),$G235&lt;=IF($S235=MesCiclo,InicioCiclo,$S235+MOD(2-WEEKDAY($S235),7))+6),1,IF(N($W235)&gt;0,AVERAGEIFS($Y$5:$Y$1000,$U$5:$U$1000,ROW(),$V$5:$V$1000,"Sub"),$Y235)))</f>
        <v/>
      </c>
      <c r="AD235" s="62">
        <f>IF($V235="","",IF(AND(ISNUMBER($G235),$G235&lt;=IF($S235=MesCiclo,InicioCiclo,$S235+MOD(2-WEEKDAY($S235),7))+13),1,IF(N($W235)&gt;0,AVERAGEIFS($Z$5:$Z$1000,$U$5:$U$1000,ROW(),$V$5:$V$1000,"Sub"),$Z235)))</f>
        <v/>
      </c>
      <c r="AE235" s="62">
        <f>IF($V235="","",IF(AND(ISNUMBER($G235),$G235&lt;=IF($S235=MesCiclo,InicioCiclo,$S235+MOD(2-WEEKDAY($S235),7))+20),1,IF(N($W235)&gt;0,AVERAGEIFS($AA$5:$AA$1000,$U$5:$U$1000,ROW(),$V$5:$V$1000,"Sub"),$AA235)))</f>
        <v/>
      </c>
      <c r="AF235" s="62">
        <f>IF($V235="","",IF(AND(ISNUMBER($G235),$G235&lt;=IF($S235=MesCiclo,InicioCiclo,$S235+MOD(2-WEEKDAY($S235),7))+27),1,IF(N($W235)&gt;0,AVERAGEIFS($AB$5:$AB$1000,$U$5:$U$1000,ROW(),$V$5:$V$1000,"Sub"),$AB235)))</f>
        <v/>
      </c>
      <c r="AG235" s="62">
        <f>IF($V235&lt;&gt;"Macro","",IF(COUNTIFS($S$5:$S$1000,$S235,$V$5:$V$1000,"Macro",$H$5:$H$1000,"&gt;0")=0,1/COUNTIFS($S$5:$S$1000,$S235,$V$5:$V$1000,"Macro"),IF(AND(ISNUMBER($H235),N($H235)&gt;0),$H235,SUMIFS($H$5:$H$1000,$S$5:$S$1000,$S235,$V$5:$V$1000,"Macro")/COUNTIFS($S$5:$S$1000,$S235,$V$5:$V$1000,"Macro",$H$5:$H$1000,"&gt;0"))/(COUNTIFS($S$5:$S$1000,$S235,$V$5:$V$1000,"Macro")*SUMIFS($H$5:$H$1000,$S$5:$S$1000,$S235,$V$5:$V$1000,"Macro")/COUNTIFS($S$5:$S$1000,$S235,$V$5:$V$1000,"Macro",$H$5:$H$1000,"&gt;0"))))</f>
        <v/>
      </c>
      <c r="AH235" s="62" t="n"/>
      <c r="AI235" s="62" t="n"/>
      <c r="AJ235" s="62" t="n"/>
      <c r="AK235" s="62" t="n"/>
      <c r="AL235" s="62">
        <f>IF(LEFT($C235,11)="[Jefatura] ",IFERROR(MATCH("Riesgo Financiero|"&amp;MID($C235,12,500),rDname_ADM,0),0),"")</f>
        <v/>
      </c>
      <c r="AM235" s="62">
        <f>IF(N($AL235)&gt;0,INDEX(rIni_ADM,$AL235),IF(ISNUMBER($E235),$E235,""))</f>
        <v/>
      </c>
      <c r="AN235" s="62">
        <f>IF(N($AL235)&gt;0,INDEX(rLim_ADM,$AL235),IF(ISNUMBER($F235),$F235,""))</f>
        <v/>
      </c>
    </row>
    <row r="236">
      <c r="A236" s="56">
        <f>IF(NOT((COUNTA($B236:$D236)+COUNTA($G236:$L236)+COUNTA($Q236))&gt;0),"",IF($V236="Macro",COUNTIFS($V$5:$V236,"Macro",$S$5:$S236,$S236),IF(N($U236)=0,"?",COUNTIFS(INDEX($V$5:$V$1000,1):INDEX($V$5:$V$1000,$U236-4),"Macro",INDEX($S$5:$S$1000,1):INDEX($S$5:$S$1000,$U236-4),INDEX($S$5:$S$1000,$U236-4))&amp;"."&amp;COUNTIFS($U$5:$U236,$U236,$V$5:$V236,"Sub"))))</f>
        <v/>
      </c>
      <c r="B236" s="57" t="n"/>
      <c r="C236" s="58" t="n"/>
      <c r="D236" s="58" t="n"/>
      <c r="E236" s="59">
        <f>IF(N($AL236)&gt;0,INDEX(rIni_ADM,$AL236),"")</f>
        <v/>
      </c>
      <c r="F236" s="59">
        <f>IF(N($AL236)&gt;0,INDEX(rLim_ADM,$AL236),"")</f>
        <v/>
      </c>
      <c r="G236" s="59" t="n"/>
      <c r="H236" s="60" t="n"/>
      <c r="I236" s="60" t="n"/>
      <c r="J236" s="60" t="n"/>
      <c r="K236" s="60" t="n"/>
      <c r="L236" s="60" t="n"/>
      <c r="M236" s="61">
        <f>IF(NOT((COUNTA($B236:$D236)+COUNTA($G236:$L236)+COUNTA($Q236))&gt;0),"",IF($V236="Sub",IFERROR($X236/INDEX($W$5:$W$1000,$U236-4),""),IF(ISNUMBER($G236),1,IF(N($W236)&gt;0,AVERAGEIFS($X$5:$X$1000,$U$5:$U$1000,ROW(),$V$5:$V$1000,"Sub"),$X236))))</f>
        <v/>
      </c>
      <c r="N236" s="56">
        <f>IF(OR($M236="",$V236="Sub"),"",IF($M236&gt;=1,"Completado",IF($M236&gt;0,"En curso","Pendiente")))</f>
        <v/>
      </c>
      <c r="O236" s="56">
        <f>IF(OR(NOT((COUNTA($B236:$D236)+COUNTA($G236:$L236)+COUNTA($Q236))&gt;0),$V236="Sub"),"",IF(ISNUMBER($G236),IF(AND(ISNUMBER($AN236),$G236&gt;$AN236),"Cumplida con "&amp;($G236-$AN236)&amp;IF($G236-$AN236=1," día"," días")&amp;" de retraso","Cumplida"),IF(N($M236)&gt;=1,"Cumplida",IF(NOT(ISNUMBER($AN236)),"Sin fecha límite",IF($AN236&lt;FechaRef,"Vencida hace "&amp;(FechaRef-$AN236)&amp;IF(FechaRef-$AN236=1," día"," días"),IF($AN236=FechaRef,"Vence hoy",IF($AN236-FechaRef&lt;=DiasAlerta,"Vence en "&amp;($AN236-FechaRef)&amp;IF($AN236-FechaRef=1," día"," días"),"En plazo")))))))</f>
        <v/>
      </c>
      <c r="P236" s="62" t="n"/>
      <c r="Q236" s="58" t="n"/>
      <c r="R236" s="63">
        <f>IF(NOT((COUNTA($B236:$D236)+COUNTA($G236:$L236)+COUNTA($Q236))&gt;0),"",IF((IF($C236="","Falta el nombre de la actividad"&amp;" · ","")&amp;IF(AND($V236="Sub",N($U236)=0),"Subactividad sin macroactividad arriba"&amp;" · ","")&amp;IF($AM236="","Sin fecha de inicio"&amp;" · ","")&amp;IF($AN236="","Sin fecha límite"&amp;" · ","")&amp;IF(AND(LEFT($C236,11)="[Jefatura] ",N($AL236)=0),"No se encuentra en la hoja de la jefatura (elíjala de nuevo en la lista)"&amp;" · ","")&amp;IF(OR(AND($E236&lt;&gt;"",NOT(ISNUMBER($E236))),AND($F236&lt;&gt;"",NOT(ISNUMBER($F236))),AND($G236&lt;&gt;"",NOT(ISNUMBER($G236)))),"Fecha no válida"&amp;" · ","")&amp;IF(AND(ISNUMBER($AM236),ISNUMBER($AN236),$AM236&gt;$AN236),"Inicio posterior a fecha límite"&amp;" · ","")&amp;IF(AND($V236="Macro",$H236&lt;&gt;"",OR(NOT(ISNUMBER($H236)),$H236&lt;0,$H236&gt;1)),"Peso fuera de rango"&amp;" · ","")&amp;IF(AND($V236="Sub",$H236&lt;&gt;""),"Las subactividades no llevan peso (valen igual dentro de su macroactividad)"&amp;" · ","")&amp;IF(AND(N($W236)&gt;0,COUNT($I236:$L236)&gt;0),"Con subactividades: deje vacías las semanas (se calculan solas)"&amp;" · ","")&amp;IF((COUNTIF($I236:$L236,"&gt;1")+COUNTIF($I236:$L236,"&lt;0")+COUNTA($I236:$L236)-COUNT($I236:$L236))&gt;0,"Avance fuera de rango 0-100%"&amp;" · ","")&amp;IF(OR(AND($J236&lt;&gt;"",$J236&lt;$I236),AND($K236&lt;&gt;"",$K236&lt;MAX($I236:$J236)),AND($L236&lt;&gt;"",$L236&lt;MAX($I236:$K236))),"Avance semanal decreciente"&amp;" · ","")&amp;IF(AND(ISNUMBER($AN236),$AN236&lt;FechaRef,IF($V236="Sub",N($X236),N($M236))&lt;1),"Vencida"&amp;" · ","")&amp;IF(AND(ObsObligatoria="Sí",ISNUMBER($AN236),$AN236&lt;FechaRef,IF($V236="Sub",N($X236),N($M236))&lt;1,$Q236=""),"Vencida sin observación"&amp;" · ",""))="","✔ OK","⚠ "&amp;LEFT(IF($C236="","Falta el nombre de la actividad"&amp;" · ","")&amp;IF(AND($V236="Sub",N($U236)=0),"Subactividad sin macroactividad arriba"&amp;" · ","")&amp;IF($AM236="","Sin fecha de inicio"&amp;" · ","")&amp;IF($AN236="","Sin fecha límite"&amp;" · ","")&amp;IF(AND(LEFT($C236,11)="[Jefatura] ",N($AL236)=0),"No se encuentra en la hoja de la jefatura (elíjala de nuevo en la lista)"&amp;" · ","")&amp;IF(OR(AND($E236&lt;&gt;"",NOT(ISNUMBER($E236))),AND($F236&lt;&gt;"",NOT(ISNUMBER($F236))),AND($G236&lt;&gt;"",NOT(ISNUMBER($G236)))),"Fecha no válida"&amp;" · ","")&amp;IF(AND(ISNUMBER($AM236),ISNUMBER($AN236),$AM236&gt;$AN236),"Inicio posterior a fecha límite"&amp;" · ","")&amp;IF(AND($V236="Macro",$H236&lt;&gt;"",OR(NOT(ISNUMBER($H236)),$H236&lt;0,$H236&gt;1)),"Peso fuera de rango"&amp;" · ","")&amp;IF(AND($V236="Sub",$H236&lt;&gt;""),"Las subactividades no llevan peso (valen igual dentro de su macroactividad)"&amp;" · ","")&amp;IF(AND(N($W236)&gt;0,COUNT($I236:$L236)&gt;0),"Con subactividades: deje vacías las semanas (se calculan solas)"&amp;" · ","")&amp;IF((COUNTIF($I236:$L236,"&gt;1")+COUNTIF($I236:$L236,"&lt;0")+COUNTA($I236:$L236)-COUNT($I236:$L236))&gt;0,"Avance fuera de rango 0-100%"&amp;" · ","")&amp;IF(OR(AND($J236&lt;&gt;"",$J236&lt;$I236),AND($K236&lt;&gt;"",$K236&lt;MAX($I236:$J236)),AND($L236&lt;&gt;"",$L236&lt;MAX($I236:$K236))),"Avance semanal decreciente"&amp;" · ","")&amp;IF(AND(ISNUMBER($AN236),$AN236&lt;FechaRef,IF($V236="Sub",N($X236),N($M236))&lt;1),"Vencida"&amp;" · ","")&amp;IF(AND(ObsObligatoria="Sí",ISNUMBER($AN236),$AN236&lt;FechaRef,IF($V236="Sub",N($X236),N($M236))&lt;1,$Q236=""),"Vencida sin observación"&amp;" · ",""),LEN(IF($C236="","Falta el nombre de la actividad"&amp;" · ","")&amp;IF(AND($V236="Sub",N($U236)=0),"Subactividad sin macroactividad arriba"&amp;" · ","")&amp;IF($AM236="","Sin fecha de inicio"&amp;" · ","")&amp;IF($AN236="","Sin fecha límite"&amp;" · ","")&amp;IF(AND(LEFT($C236,11)="[Jefatura] ",N($AL236)=0),"No se encuentra en la hoja de la jefatura (elíjala de nuevo en la lista)"&amp;" · ","")&amp;IF(OR(AND($E236&lt;&gt;"",NOT(ISNUMBER($E236))),AND($F236&lt;&gt;"",NOT(ISNUMBER($F236))),AND($G236&lt;&gt;"",NOT(ISNUMBER($G236)))),"Fecha no válida"&amp;" · ","")&amp;IF(AND(ISNUMBER($AM236),ISNUMBER($AN236),$AM236&gt;$AN236),"Inicio posterior a fecha límite"&amp;" · ","")&amp;IF(AND($V236="Macro",$H236&lt;&gt;"",OR(NOT(ISNUMBER($H236)),$H236&lt;0,$H236&gt;1)),"Peso fuera de rango"&amp;" · ","")&amp;IF(AND($V236="Sub",$H236&lt;&gt;""),"Las subactividades no llevan peso (valen igual dentro de su macroactividad)"&amp;" · ","")&amp;IF(AND(N($W236)&gt;0,COUNT($I236:$L236)&gt;0),"Con subactividades: deje vacías las semanas (se calculan solas)"&amp;" · ","")&amp;IF((COUNTIF($I236:$L236,"&gt;1")+COUNTIF($I236:$L236,"&lt;0")+COUNTA($I236:$L236)-COUNT($I236:$L236))&gt;0,"Avance fuera de rango 0-100%"&amp;" · ","")&amp;IF(OR(AND($J236&lt;&gt;"",$J236&lt;$I236),AND($K236&lt;&gt;"",$K236&lt;MAX($I236:$J236)),AND($L236&lt;&gt;"",$L236&lt;MAX($I236:$K236))),"Avance semanal decreciente"&amp;" · ","")&amp;IF(AND(ISNUMBER($AN236),$AN236&lt;FechaRef,IF($V236="Sub",N($X236),N($M236))&lt;1),"Vencida"&amp;" · ","")&amp;IF(AND(ObsObligatoria="Sí",ISNUMBER($AN236),$AN236&lt;FechaRef,IF($V236="Sub",N($X236),N($M236))&lt;1,$Q236=""),"Vencida sin observación"&amp;" · ",""))-3)))</f>
        <v/>
      </c>
      <c r="S236" s="64">
        <f>IF(NOT((COUNTA($B236:$D236)+COUNTA($G236:$L236)+COUNTA($Q236))&gt;0),"",IF(AND($V236="Sub",N($U236)&gt;0),IF(ISNUMBER(INDEX($AM$5:$AM$1000,$U236-4)),DATE(YEAR(INDEX($AM$5:$AM$1000,$U236-4)),MONTH(INDEX($AM$5:$AM$1000,$U236-4)),1),IF(ISNUMBER(INDEX($AN$5:$AN$1000,$U236-4)),DATE(YEAR(INDEX($AN$5:$AN$1000,$U236-4)),MONTH(INDEX($AN$5:$AN$1000,$U236-4)),1),MesCiclo)),IF(ISNUMBER($AM236),DATE(YEAR($AM236),MONTH($AM236),1),IF(ISNUMBER($AN236),DATE(YEAR($AN236),MONTH($AN236),1),MesCiclo))))</f>
        <v/>
      </c>
      <c r="T236" s="62">
        <f>IF(OR($S236="",$S236&lt;&gt;MesCiclo,$V236&lt;&gt;"Macro"),"",COUNTIFS($S$5:$S236,MesCiclo,$V$5:$V236,"Macro"))</f>
        <v/>
      </c>
      <c r="U236" s="62">
        <f>IF($V236="","",IF($V236="Macro",ROW(),IFERROR(LOOKUP(2,1/($V$5:$V236="Macro"),ROW($V$5:$V236)),0)))</f>
        <v/>
      </c>
      <c r="V236" s="62">
        <f>IF(NOT((COUNTA($B236:$D236)+COUNTA($G236:$L236)+COUNTA($Q236))&gt;0),"",IF($B236="Subactividad","Sub","Macro"))</f>
        <v/>
      </c>
      <c r="W236" s="62">
        <f>IF($V236="Macro",COUNTIFS($U$5:$U$1000,ROW(),$V$5:$V$1000,"Sub"),"")</f>
        <v/>
      </c>
      <c r="X236" s="62">
        <f>IF($V236="","",IF(ISNUMBER($G236),1,IFERROR(LOOKUP(2,1/($I236:$L236&lt;&gt;""),$I236:$L236),0)))</f>
        <v/>
      </c>
      <c r="Y236" s="62">
        <f>IF($V236="","",IF(AND(ISNUMBER($G236),$G236&lt;=IF($S236=MesCiclo,InicioCiclo,$S236+MOD(2-WEEKDAY($S236),7))+6),1,IF(ISNUMBER($I236),$I236,0)))</f>
        <v/>
      </c>
      <c r="Z236" s="62">
        <f>IF($V236="","",IF(AND(ISNUMBER($G236),$G236&lt;=IF($S236=MesCiclo,InicioCiclo,$S236+MOD(2-WEEKDAY($S236),7))+13),1,IF(ISNUMBER($J236),$J236,$Y236)))</f>
        <v/>
      </c>
      <c r="AA236" s="62">
        <f>IF($V236="","",IF(AND(ISNUMBER($G236),$G236&lt;=IF($S236=MesCiclo,InicioCiclo,$S236+MOD(2-WEEKDAY($S236),7))+20),1,IF(ISNUMBER($K236),$K236,$Z236)))</f>
        <v/>
      </c>
      <c r="AB236" s="62">
        <f>IF($V236="","",IF(AND(ISNUMBER($G236),$G236&lt;=IF($S236=MesCiclo,InicioCiclo,$S236+MOD(2-WEEKDAY($S236),7))+27),1,IF(ISNUMBER($L236),$L236,$AA236)))</f>
        <v/>
      </c>
      <c r="AC236" s="62">
        <f>IF($V236="","",IF(AND(ISNUMBER($G236),$G236&lt;=IF($S236=MesCiclo,InicioCiclo,$S236+MOD(2-WEEKDAY($S236),7))+6),1,IF(N($W236)&gt;0,AVERAGEIFS($Y$5:$Y$1000,$U$5:$U$1000,ROW(),$V$5:$V$1000,"Sub"),$Y236)))</f>
        <v/>
      </c>
      <c r="AD236" s="62">
        <f>IF($V236="","",IF(AND(ISNUMBER($G236),$G236&lt;=IF($S236=MesCiclo,InicioCiclo,$S236+MOD(2-WEEKDAY($S236),7))+13),1,IF(N($W236)&gt;0,AVERAGEIFS($Z$5:$Z$1000,$U$5:$U$1000,ROW(),$V$5:$V$1000,"Sub"),$Z236)))</f>
        <v/>
      </c>
      <c r="AE236" s="62">
        <f>IF($V236="","",IF(AND(ISNUMBER($G236),$G236&lt;=IF($S236=MesCiclo,InicioCiclo,$S236+MOD(2-WEEKDAY($S236),7))+20),1,IF(N($W236)&gt;0,AVERAGEIFS($AA$5:$AA$1000,$U$5:$U$1000,ROW(),$V$5:$V$1000,"Sub"),$AA236)))</f>
        <v/>
      </c>
      <c r="AF236" s="62">
        <f>IF($V236="","",IF(AND(ISNUMBER($G236),$G236&lt;=IF($S236=MesCiclo,InicioCiclo,$S236+MOD(2-WEEKDAY($S236),7))+27),1,IF(N($W236)&gt;0,AVERAGEIFS($AB$5:$AB$1000,$U$5:$U$1000,ROW(),$V$5:$V$1000,"Sub"),$AB236)))</f>
        <v/>
      </c>
      <c r="AG236" s="62">
        <f>IF($V236&lt;&gt;"Macro","",IF(COUNTIFS($S$5:$S$1000,$S236,$V$5:$V$1000,"Macro",$H$5:$H$1000,"&gt;0")=0,1/COUNTIFS($S$5:$S$1000,$S236,$V$5:$V$1000,"Macro"),IF(AND(ISNUMBER($H236),N($H236)&gt;0),$H236,SUMIFS($H$5:$H$1000,$S$5:$S$1000,$S236,$V$5:$V$1000,"Macro")/COUNTIFS($S$5:$S$1000,$S236,$V$5:$V$1000,"Macro",$H$5:$H$1000,"&gt;0"))/(COUNTIFS($S$5:$S$1000,$S236,$V$5:$V$1000,"Macro")*SUMIFS($H$5:$H$1000,$S$5:$S$1000,$S236,$V$5:$V$1000,"Macro")/COUNTIFS($S$5:$S$1000,$S236,$V$5:$V$1000,"Macro",$H$5:$H$1000,"&gt;0"))))</f>
        <v/>
      </c>
      <c r="AH236" s="62" t="n"/>
      <c r="AI236" s="62" t="n"/>
      <c r="AJ236" s="62" t="n"/>
      <c r="AK236" s="62" t="n"/>
      <c r="AL236" s="62">
        <f>IF(LEFT($C236,11)="[Jefatura] ",IFERROR(MATCH("Riesgo Financiero|"&amp;MID($C236,12,500),rDname_ADM,0),0),"")</f>
        <v/>
      </c>
      <c r="AM236" s="62">
        <f>IF(N($AL236)&gt;0,INDEX(rIni_ADM,$AL236),IF(ISNUMBER($E236),$E236,""))</f>
        <v/>
      </c>
      <c r="AN236" s="62">
        <f>IF(N($AL236)&gt;0,INDEX(rLim_ADM,$AL236),IF(ISNUMBER($F236),$F236,""))</f>
        <v/>
      </c>
    </row>
    <row r="237">
      <c r="A237" s="56">
        <f>IF(NOT((COUNTA($B237:$D237)+COUNTA($G237:$L237)+COUNTA($Q237))&gt;0),"",IF($V237="Macro",COUNTIFS($V$5:$V237,"Macro",$S$5:$S237,$S237),IF(N($U237)=0,"?",COUNTIFS(INDEX($V$5:$V$1000,1):INDEX($V$5:$V$1000,$U237-4),"Macro",INDEX($S$5:$S$1000,1):INDEX($S$5:$S$1000,$U237-4),INDEX($S$5:$S$1000,$U237-4))&amp;"."&amp;COUNTIFS($U$5:$U237,$U237,$V$5:$V237,"Sub"))))</f>
        <v/>
      </c>
      <c r="B237" s="57" t="n"/>
      <c r="C237" s="58" t="n"/>
      <c r="D237" s="58" t="n"/>
      <c r="E237" s="59">
        <f>IF(N($AL237)&gt;0,INDEX(rIni_ADM,$AL237),"")</f>
        <v/>
      </c>
      <c r="F237" s="59">
        <f>IF(N($AL237)&gt;0,INDEX(rLim_ADM,$AL237),"")</f>
        <v/>
      </c>
      <c r="G237" s="59" t="n"/>
      <c r="H237" s="60" t="n"/>
      <c r="I237" s="60" t="n"/>
      <c r="J237" s="60" t="n"/>
      <c r="K237" s="60" t="n"/>
      <c r="L237" s="60" t="n"/>
      <c r="M237" s="61">
        <f>IF(NOT((COUNTA($B237:$D237)+COUNTA($G237:$L237)+COUNTA($Q237))&gt;0),"",IF($V237="Sub",IFERROR($X237/INDEX($W$5:$W$1000,$U237-4),""),IF(ISNUMBER($G237),1,IF(N($W237)&gt;0,AVERAGEIFS($X$5:$X$1000,$U$5:$U$1000,ROW(),$V$5:$V$1000,"Sub"),$X237))))</f>
        <v/>
      </c>
      <c r="N237" s="56">
        <f>IF(OR($M237="",$V237="Sub"),"",IF($M237&gt;=1,"Completado",IF($M237&gt;0,"En curso","Pendiente")))</f>
        <v/>
      </c>
      <c r="O237" s="56">
        <f>IF(OR(NOT((COUNTA($B237:$D237)+COUNTA($G237:$L237)+COUNTA($Q237))&gt;0),$V237="Sub"),"",IF(ISNUMBER($G237),IF(AND(ISNUMBER($AN237),$G237&gt;$AN237),"Cumplida con "&amp;($G237-$AN237)&amp;IF($G237-$AN237=1," día"," días")&amp;" de retraso","Cumplida"),IF(N($M237)&gt;=1,"Cumplida",IF(NOT(ISNUMBER($AN237)),"Sin fecha límite",IF($AN237&lt;FechaRef,"Vencida hace "&amp;(FechaRef-$AN237)&amp;IF(FechaRef-$AN237=1," día"," días"),IF($AN237=FechaRef,"Vence hoy",IF($AN237-FechaRef&lt;=DiasAlerta,"Vence en "&amp;($AN237-FechaRef)&amp;IF($AN237-FechaRef=1," día"," días"),"En plazo")))))))</f>
        <v/>
      </c>
      <c r="P237" s="62" t="n"/>
      <c r="Q237" s="58" t="n"/>
      <c r="R237" s="63">
        <f>IF(NOT((COUNTA($B237:$D237)+COUNTA($G237:$L237)+COUNTA($Q237))&gt;0),"",IF((IF($C237="","Falta el nombre de la actividad"&amp;" · ","")&amp;IF(AND($V237="Sub",N($U237)=0),"Subactividad sin macroactividad arriba"&amp;" · ","")&amp;IF($AM237="","Sin fecha de inicio"&amp;" · ","")&amp;IF($AN237="","Sin fecha límite"&amp;" · ","")&amp;IF(AND(LEFT($C237,11)="[Jefatura] ",N($AL237)=0),"No se encuentra en la hoja de la jefatura (elíjala de nuevo en la lista)"&amp;" · ","")&amp;IF(OR(AND($E237&lt;&gt;"",NOT(ISNUMBER($E237))),AND($F237&lt;&gt;"",NOT(ISNUMBER($F237))),AND($G237&lt;&gt;"",NOT(ISNUMBER($G237)))),"Fecha no válida"&amp;" · ","")&amp;IF(AND(ISNUMBER($AM237),ISNUMBER($AN237),$AM237&gt;$AN237),"Inicio posterior a fecha límite"&amp;" · ","")&amp;IF(AND($V237="Macro",$H237&lt;&gt;"",OR(NOT(ISNUMBER($H237)),$H237&lt;0,$H237&gt;1)),"Peso fuera de rango"&amp;" · ","")&amp;IF(AND($V237="Sub",$H237&lt;&gt;""),"Las subactividades no llevan peso (valen igual dentro de su macroactividad)"&amp;" · ","")&amp;IF(AND(N($W237)&gt;0,COUNT($I237:$L237)&gt;0),"Con subactividades: deje vacías las semanas (se calculan solas)"&amp;" · ","")&amp;IF((COUNTIF($I237:$L237,"&gt;1")+COUNTIF($I237:$L237,"&lt;0")+COUNTA($I237:$L237)-COUNT($I237:$L237))&gt;0,"Avance fuera de rango 0-100%"&amp;" · ","")&amp;IF(OR(AND($J237&lt;&gt;"",$J237&lt;$I237),AND($K237&lt;&gt;"",$K237&lt;MAX($I237:$J237)),AND($L237&lt;&gt;"",$L237&lt;MAX($I237:$K237))),"Avance semanal decreciente"&amp;" · ","")&amp;IF(AND(ISNUMBER($AN237),$AN237&lt;FechaRef,IF($V237="Sub",N($X237),N($M237))&lt;1),"Vencida"&amp;" · ","")&amp;IF(AND(ObsObligatoria="Sí",ISNUMBER($AN237),$AN237&lt;FechaRef,IF($V237="Sub",N($X237),N($M237))&lt;1,$Q237=""),"Vencida sin observación"&amp;" · ",""))="","✔ OK","⚠ "&amp;LEFT(IF($C237="","Falta el nombre de la actividad"&amp;" · ","")&amp;IF(AND($V237="Sub",N($U237)=0),"Subactividad sin macroactividad arriba"&amp;" · ","")&amp;IF($AM237="","Sin fecha de inicio"&amp;" · ","")&amp;IF($AN237="","Sin fecha límite"&amp;" · ","")&amp;IF(AND(LEFT($C237,11)="[Jefatura] ",N($AL237)=0),"No se encuentra en la hoja de la jefatura (elíjala de nuevo en la lista)"&amp;" · ","")&amp;IF(OR(AND($E237&lt;&gt;"",NOT(ISNUMBER($E237))),AND($F237&lt;&gt;"",NOT(ISNUMBER($F237))),AND($G237&lt;&gt;"",NOT(ISNUMBER($G237)))),"Fecha no válida"&amp;" · ","")&amp;IF(AND(ISNUMBER($AM237),ISNUMBER($AN237),$AM237&gt;$AN237),"Inicio posterior a fecha límite"&amp;" · ","")&amp;IF(AND($V237="Macro",$H237&lt;&gt;"",OR(NOT(ISNUMBER($H237)),$H237&lt;0,$H237&gt;1)),"Peso fuera de rango"&amp;" · ","")&amp;IF(AND($V237="Sub",$H237&lt;&gt;""),"Las subactividades no llevan peso (valen igual dentro de su macroactividad)"&amp;" · ","")&amp;IF(AND(N($W237)&gt;0,COUNT($I237:$L237)&gt;0),"Con subactividades: deje vacías las semanas (se calculan solas)"&amp;" · ","")&amp;IF((COUNTIF($I237:$L237,"&gt;1")+COUNTIF($I237:$L237,"&lt;0")+COUNTA($I237:$L237)-COUNT($I237:$L237))&gt;0,"Avance fuera de rango 0-100%"&amp;" · ","")&amp;IF(OR(AND($J237&lt;&gt;"",$J237&lt;$I237),AND($K237&lt;&gt;"",$K237&lt;MAX($I237:$J237)),AND($L237&lt;&gt;"",$L237&lt;MAX($I237:$K237))),"Avance semanal decreciente"&amp;" · ","")&amp;IF(AND(ISNUMBER($AN237),$AN237&lt;FechaRef,IF($V237="Sub",N($X237),N($M237))&lt;1),"Vencida"&amp;" · ","")&amp;IF(AND(ObsObligatoria="Sí",ISNUMBER($AN237),$AN237&lt;FechaRef,IF($V237="Sub",N($X237),N($M237))&lt;1,$Q237=""),"Vencida sin observación"&amp;" · ",""),LEN(IF($C237="","Falta el nombre de la actividad"&amp;" · ","")&amp;IF(AND($V237="Sub",N($U237)=0),"Subactividad sin macroactividad arriba"&amp;" · ","")&amp;IF($AM237="","Sin fecha de inicio"&amp;" · ","")&amp;IF($AN237="","Sin fecha límite"&amp;" · ","")&amp;IF(AND(LEFT($C237,11)="[Jefatura] ",N($AL237)=0),"No se encuentra en la hoja de la jefatura (elíjala de nuevo en la lista)"&amp;" · ","")&amp;IF(OR(AND($E237&lt;&gt;"",NOT(ISNUMBER($E237))),AND($F237&lt;&gt;"",NOT(ISNUMBER($F237))),AND($G237&lt;&gt;"",NOT(ISNUMBER($G237)))),"Fecha no válida"&amp;" · ","")&amp;IF(AND(ISNUMBER($AM237),ISNUMBER($AN237),$AM237&gt;$AN237),"Inicio posterior a fecha límite"&amp;" · ","")&amp;IF(AND($V237="Macro",$H237&lt;&gt;"",OR(NOT(ISNUMBER($H237)),$H237&lt;0,$H237&gt;1)),"Peso fuera de rango"&amp;" · ","")&amp;IF(AND($V237="Sub",$H237&lt;&gt;""),"Las subactividades no llevan peso (valen igual dentro de su macroactividad)"&amp;" · ","")&amp;IF(AND(N($W237)&gt;0,COUNT($I237:$L237)&gt;0),"Con subactividades: deje vacías las semanas (se calculan solas)"&amp;" · ","")&amp;IF((COUNTIF($I237:$L237,"&gt;1")+COUNTIF($I237:$L237,"&lt;0")+COUNTA($I237:$L237)-COUNT($I237:$L237))&gt;0,"Avance fuera de rango 0-100%"&amp;" · ","")&amp;IF(OR(AND($J237&lt;&gt;"",$J237&lt;$I237),AND($K237&lt;&gt;"",$K237&lt;MAX($I237:$J237)),AND($L237&lt;&gt;"",$L237&lt;MAX($I237:$K237))),"Avance semanal decreciente"&amp;" · ","")&amp;IF(AND(ISNUMBER($AN237),$AN237&lt;FechaRef,IF($V237="Sub",N($X237),N($M237))&lt;1),"Vencida"&amp;" · ","")&amp;IF(AND(ObsObligatoria="Sí",ISNUMBER($AN237),$AN237&lt;FechaRef,IF($V237="Sub",N($X237),N($M237))&lt;1,$Q237=""),"Vencida sin observación"&amp;" · ",""))-3)))</f>
        <v/>
      </c>
      <c r="S237" s="64">
        <f>IF(NOT((COUNTA($B237:$D237)+COUNTA($G237:$L237)+COUNTA($Q237))&gt;0),"",IF(AND($V237="Sub",N($U237)&gt;0),IF(ISNUMBER(INDEX($AM$5:$AM$1000,$U237-4)),DATE(YEAR(INDEX($AM$5:$AM$1000,$U237-4)),MONTH(INDEX($AM$5:$AM$1000,$U237-4)),1),IF(ISNUMBER(INDEX($AN$5:$AN$1000,$U237-4)),DATE(YEAR(INDEX($AN$5:$AN$1000,$U237-4)),MONTH(INDEX($AN$5:$AN$1000,$U237-4)),1),MesCiclo)),IF(ISNUMBER($AM237),DATE(YEAR($AM237),MONTH($AM237),1),IF(ISNUMBER($AN237),DATE(YEAR($AN237),MONTH($AN237),1),MesCiclo))))</f>
        <v/>
      </c>
      <c r="T237" s="62">
        <f>IF(OR($S237="",$S237&lt;&gt;MesCiclo,$V237&lt;&gt;"Macro"),"",COUNTIFS($S$5:$S237,MesCiclo,$V$5:$V237,"Macro"))</f>
        <v/>
      </c>
      <c r="U237" s="62">
        <f>IF($V237="","",IF($V237="Macro",ROW(),IFERROR(LOOKUP(2,1/($V$5:$V237="Macro"),ROW($V$5:$V237)),0)))</f>
        <v/>
      </c>
      <c r="V237" s="62">
        <f>IF(NOT((COUNTA($B237:$D237)+COUNTA($G237:$L237)+COUNTA($Q237))&gt;0),"",IF($B237="Subactividad","Sub","Macro"))</f>
        <v/>
      </c>
      <c r="W237" s="62">
        <f>IF($V237="Macro",COUNTIFS($U$5:$U$1000,ROW(),$V$5:$V$1000,"Sub"),"")</f>
        <v/>
      </c>
      <c r="X237" s="62">
        <f>IF($V237="","",IF(ISNUMBER($G237),1,IFERROR(LOOKUP(2,1/($I237:$L237&lt;&gt;""),$I237:$L237),0)))</f>
        <v/>
      </c>
      <c r="Y237" s="62">
        <f>IF($V237="","",IF(AND(ISNUMBER($G237),$G237&lt;=IF($S237=MesCiclo,InicioCiclo,$S237+MOD(2-WEEKDAY($S237),7))+6),1,IF(ISNUMBER($I237),$I237,0)))</f>
        <v/>
      </c>
      <c r="Z237" s="62">
        <f>IF($V237="","",IF(AND(ISNUMBER($G237),$G237&lt;=IF($S237=MesCiclo,InicioCiclo,$S237+MOD(2-WEEKDAY($S237),7))+13),1,IF(ISNUMBER($J237),$J237,$Y237)))</f>
        <v/>
      </c>
      <c r="AA237" s="62">
        <f>IF($V237="","",IF(AND(ISNUMBER($G237),$G237&lt;=IF($S237=MesCiclo,InicioCiclo,$S237+MOD(2-WEEKDAY($S237),7))+20),1,IF(ISNUMBER($K237),$K237,$Z237)))</f>
        <v/>
      </c>
      <c r="AB237" s="62">
        <f>IF($V237="","",IF(AND(ISNUMBER($G237),$G237&lt;=IF($S237=MesCiclo,InicioCiclo,$S237+MOD(2-WEEKDAY($S237),7))+27),1,IF(ISNUMBER($L237),$L237,$AA237)))</f>
        <v/>
      </c>
      <c r="AC237" s="62">
        <f>IF($V237="","",IF(AND(ISNUMBER($G237),$G237&lt;=IF($S237=MesCiclo,InicioCiclo,$S237+MOD(2-WEEKDAY($S237),7))+6),1,IF(N($W237)&gt;0,AVERAGEIFS($Y$5:$Y$1000,$U$5:$U$1000,ROW(),$V$5:$V$1000,"Sub"),$Y237)))</f>
        <v/>
      </c>
      <c r="AD237" s="62">
        <f>IF($V237="","",IF(AND(ISNUMBER($G237),$G237&lt;=IF($S237=MesCiclo,InicioCiclo,$S237+MOD(2-WEEKDAY($S237),7))+13),1,IF(N($W237)&gt;0,AVERAGEIFS($Z$5:$Z$1000,$U$5:$U$1000,ROW(),$V$5:$V$1000,"Sub"),$Z237)))</f>
        <v/>
      </c>
      <c r="AE237" s="62">
        <f>IF($V237="","",IF(AND(ISNUMBER($G237),$G237&lt;=IF($S237=MesCiclo,InicioCiclo,$S237+MOD(2-WEEKDAY($S237),7))+20),1,IF(N($W237)&gt;0,AVERAGEIFS($AA$5:$AA$1000,$U$5:$U$1000,ROW(),$V$5:$V$1000,"Sub"),$AA237)))</f>
        <v/>
      </c>
      <c r="AF237" s="62">
        <f>IF($V237="","",IF(AND(ISNUMBER($G237),$G237&lt;=IF($S237=MesCiclo,InicioCiclo,$S237+MOD(2-WEEKDAY($S237),7))+27),1,IF(N($W237)&gt;0,AVERAGEIFS($AB$5:$AB$1000,$U$5:$U$1000,ROW(),$V$5:$V$1000,"Sub"),$AB237)))</f>
        <v/>
      </c>
      <c r="AG237" s="62">
        <f>IF($V237&lt;&gt;"Macro","",IF(COUNTIFS($S$5:$S$1000,$S237,$V$5:$V$1000,"Macro",$H$5:$H$1000,"&gt;0")=0,1/COUNTIFS($S$5:$S$1000,$S237,$V$5:$V$1000,"Macro"),IF(AND(ISNUMBER($H237),N($H237)&gt;0),$H237,SUMIFS($H$5:$H$1000,$S$5:$S$1000,$S237,$V$5:$V$1000,"Macro")/COUNTIFS($S$5:$S$1000,$S237,$V$5:$V$1000,"Macro",$H$5:$H$1000,"&gt;0"))/(COUNTIFS($S$5:$S$1000,$S237,$V$5:$V$1000,"Macro")*SUMIFS($H$5:$H$1000,$S$5:$S$1000,$S237,$V$5:$V$1000,"Macro")/COUNTIFS($S$5:$S$1000,$S237,$V$5:$V$1000,"Macro",$H$5:$H$1000,"&gt;0"))))</f>
        <v/>
      </c>
      <c r="AH237" s="62" t="n"/>
      <c r="AI237" s="62" t="n"/>
      <c r="AJ237" s="62" t="n"/>
      <c r="AK237" s="62" t="n"/>
      <c r="AL237" s="62">
        <f>IF(LEFT($C237,11)="[Jefatura] ",IFERROR(MATCH("Riesgo Financiero|"&amp;MID($C237,12,500),rDname_ADM,0),0),"")</f>
        <v/>
      </c>
      <c r="AM237" s="62">
        <f>IF(N($AL237)&gt;0,INDEX(rIni_ADM,$AL237),IF(ISNUMBER($E237),$E237,""))</f>
        <v/>
      </c>
      <c r="AN237" s="62">
        <f>IF(N($AL237)&gt;0,INDEX(rLim_ADM,$AL237),IF(ISNUMBER($F237),$F237,""))</f>
        <v/>
      </c>
    </row>
    <row r="238">
      <c r="A238" s="56">
        <f>IF(NOT((COUNTA($B238:$D238)+COUNTA($G238:$L238)+COUNTA($Q238))&gt;0),"",IF($V238="Macro",COUNTIFS($V$5:$V238,"Macro",$S$5:$S238,$S238),IF(N($U238)=0,"?",COUNTIFS(INDEX($V$5:$V$1000,1):INDEX($V$5:$V$1000,$U238-4),"Macro",INDEX($S$5:$S$1000,1):INDEX($S$5:$S$1000,$U238-4),INDEX($S$5:$S$1000,$U238-4))&amp;"."&amp;COUNTIFS($U$5:$U238,$U238,$V$5:$V238,"Sub"))))</f>
        <v/>
      </c>
      <c r="B238" s="57" t="n"/>
      <c r="C238" s="58" t="n"/>
      <c r="D238" s="58" t="n"/>
      <c r="E238" s="59">
        <f>IF(N($AL238)&gt;0,INDEX(rIni_ADM,$AL238),"")</f>
        <v/>
      </c>
      <c r="F238" s="59">
        <f>IF(N($AL238)&gt;0,INDEX(rLim_ADM,$AL238),"")</f>
        <v/>
      </c>
      <c r="G238" s="59" t="n"/>
      <c r="H238" s="60" t="n"/>
      <c r="I238" s="60" t="n"/>
      <c r="J238" s="60" t="n"/>
      <c r="K238" s="60" t="n"/>
      <c r="L238" s="60" t="n"/>
      <c r="M238" s="61">
        <f>IF(NOT((COUNTA($B238:$D238)+COUNTA($G238:$L238)+COUNTA($Q238))&gt;0),"",IF($V238="Sub",IFERROR($X238/INDEX($W$5:$W$1000,$U238-4),""),IF(ISNUMBER($G238),1,IF(N($W238)&gt;0,AVERAGEIFS($X$5:$X$1000,$U$5:$U$1000,ROW(),$V$5:$V$1000,"Sub"),$X238))))</f>
        <v/>
      </c>
      <c r="N238" s="56">
        <f>IF(OR($M238="",$V238="Sub"),"",IF($M238&gt;=1,"Completado",IF($M238&gt;0,"En curso","Pendiente")))</f>
        <v/>
      </c>
      <c r="O238" s="56">
        <f>IF(OR(NOT((COUNTA($B238:$D238)+COUNTA($G238:$L238)+COUNTA($Q238))&gt;0),$V238="Sub"),"",IF(ISNUMBER($G238),IF(AND(ISNUMBER($AN238),$G238&gt;$AN238),"Cumplida con "&amp;($G238-$AN238)&amp;IF($G238-$AN238=1," día"," días")&amp;" de retraso","Cumplida"),IF(N($M238)&gt;=1,"Cumplida",IF(NOT(ISNUMBER($AN238)),"Sin fecha límite",IF($AN238&lt;FechaRef,"Vencida hace "&amp;(FechaRef-$AN238)&amp;IF(FechaRef-$AN238=1," día"," días"),IF($AN238=FechaRef,"Vence hoy",IF($AN238-FechaRef&lt;=DiasAlerta,"Vence en "&amp;($AN238-FechaRef)&amp;IF($AN238-FechaRef=1," día"," días"),"En plazo")))))))</f>
        <v/>
      </c>
      <c r="P238" s="62" t="n"/>
      <c r="Q238" s="58" t="n"/>
      <c r="R238" s="63">
        <f>IF(NOT((COUNTA($B238:$D238)+COUNTA($G238:$L238)+COUNTA($Q238))&gt;0),"",IF((IF($C238="","Falta el nombre de la actividad"&amp;" · ","")&amp;IF(AND($V238="Sub",N($U238)=0),"Subactividad sin macroactividad arriba"&amp;" · ","")&amp;IF($AM238="","Sin fecha de inicio"&amp;" · ","")&amp;IF($AN238="","Sin fecha límite"&amp;" · ","")&amp;IF(AND(LEFT($C238,11)="[Jefatura] ",N($AL238)=0),"No se encuentra en la hoja de la jefatura (elíjala de nuevo en la lista)"&amp;" · ","")&amp;IF(OR(AND($E238&lt;&gt;"",NOT(ISNUMBER($E238))),AND($F238&lt;&gt;"",NOT(ISNUMBER($F238))),AND($G238&lt;&gt;"",NOT(ISNUMBER($G238)))),"Fecha no válida"&amp;" · ","")&amp;IF(AND(ISNUMBER($AM238),ISNUMBER($AN238),$AM238&gt;$AN238),"Inicio posterior a fecha límite"&amp;" · ","")&amp;IF(AND($V238="Macro",$H238&lt;&gt;"",OR(NOT(ISNUMBER($H238)),$H238&lt;0,$H238&gt;1)),"Peso fuera de rango"&amp;" · ","")&amp;IF(AND($V238="Sub",$H238&lt;&gt;""),"Las subactividades no llevan peso (valen igual dentro de su macroactividad)"&amp;" · ","")&amp;IF(AND(N($W238)&gt;0,COUNT($I238:$L238)&gt;0),"Con subactividades: deje vacías las semanas (se calculan solas)"&amp;" · ","")&amp;IF((COUNTIF($I238:$L238,"&gt;1")+COUNTIF($I238:$L238,"&lt;0")+COUNTA($I238:$L238)-COUNT($I238:$L238))&gt;0,"Avance fuera de rango 0-100%"&amp;" · ","")&amp;IF(OR(AND($J238&lt;&gt;"",$J238&lt;$I238),AND($K238&lt;&gt;"",$K238&lt;MAX($I238:$J238)),AND($L238&lt;&gt;"",$L238&lt;MAX($I238:$K238))),"Avance semanal decreciente"&amp;" · ","")&amp;IF(AND(ISNUMBER($AN238),$AN238&lt;FechaRef,IF($V238="Sub",N($X238),N($M238))&lt;1),"Vencida"&amp;" · ","")&amp;IF(AND(ObsObligatoria="Sí",ISNUMBER($AN238),$AN238&lt;FechaRef,IF($V238="Sub",N($X238),N($M238))&lt;1,$Q238=""),"Vencida sin observación"&amp;" · ",""))="","✔ OK","⚠ "&amp;LEFT(IF($C238="","Falta el nombre de la actividad"&amp;" · ","")&amp;IF(AND($V238="Sub",N($U238)=0),"Subactividad sin macroactividad arriba"&amp;" · ","")&amp;IF($AM238="","Sin fecha de inicio"&amp;" · ","")&amp;IF($AN238="","Sin fecha límite"&amp;" · ","")&amp;IF(AND(LEFT($C238,11)="[Jefatura] ",N($AL238)=0),"No se encuentra en la hoja de la jefatura (elíjala de nuevo en la lista)"&amp;" · ","")&amp;IF(OR(AND($E238&lt;&gt;"",NOT(ISNUMBER($E238))),AND($F238&lt;&gt;"",NOT(ISNUMBER($F238))),AND($G238&lt;&gt;"",NOT(ISNUMBER($G238)))),"Fecha no válida"&amp;" · ","")&amp;IF(AND(ISNUMBER($AM238),ISNUMBER($AN238),$AM238&gt;$AN238),"Inicio posterior a fecha límite"&amp;" · ","")&amp;IF(AND($V238="Macro",$H238&lt;&gt;"",OR(NOT(ISNUMBER($H238)),$H238&lt;0,$H238&gt;1)),"Peso fuera de rango"&amp;" · ","")&amp;IF(AND($V238="Sub",$H238&lt;&gt;""),"Las subactividades no llevan peso (valen igual dentro de su macroactividad)"&amp;" · ","")&amp;IF(AND(N($W238)&gt;0,COUNT($I238:$L238)&gt;0),"Con subactividades: deje vacías las semanas (se calculan solas)"&amp;" · ","")&amp;IF((COUNTIF($I238:$L238,"&gt;1")+COUNTIF($I238:$L238,"&lt;0")+COUNTA($I238:$L238)-COUNT($I238:$L238))&gt;0,"Avance fuera de rango 0-100%"&amp;" · ","")&amp;IF(OR(AND($J238&lt;&gt;"",$J238&lt;$I238),AND($K238&lt;&gt;"",$K238&lt;MAX($I238:$J238)),AND($L238&lt;&gt;"",$L238&lt;MAX($I238:$K238))),"Avance semanal decreciente"&amp;" · ","")&amp;IF(AND(ISNUMBER($AN238),$AN238&lt;FechaRef,IF($V238="Sub",N($X238),N($M238))&lt;1),"Vencida"&amp;" · ","")&amp;IF(AND(ObsObligatoria="Sí",ISNUMBER($AN238),$AN238&lt;FechaRef,IF($V238="Sub",N($X238),N($M238))&lt;1,$Q238=""),"Vencida sin observación"&amp;" · ",""),LEN(IF($C238="","Falta el nombre de la actividad"&amp;" · ","")&amp;IF(AND($V238="Sub",N($U238)=0),"Subactividad sin macroactividad arriba"&amp;" · ","")&amp;IF($AM238="","Sin fecha de inicio"&amp;" · ","")&amp;IF($AN238="","Sin fecha límite"&amp;" · ","")&amp;IF(AND(LEFT($C238,11)="[Jefatura] ",N($AL238)=0),"No se encuentra en la hoja de la jefatura (elíjala de nuevo en la lista)"&amp;" · ","")&amp;IF(OR(AND($E238&lt;&gt;"",NOT(ISNUMBER($E238))),AND($F238&lt;&gt;"",NOT(ISNUMBER($F238))),AND($G238&lt;&gt;"",NOT(ISNUMBER($G238)))),"Fecha no válida"&amp;" · ","")&amp;IF(AND(ISNUMBER($AM238),ISNUMBER($AN238),$AM238&gt;$AN238),"Inicio posterior a fecha límite"&amp;" · ","")&amp;IF(AND($V238="Macro",$H238&lt;&gt;"",OR(NOT(ISNUMBER($H238)),$H238&lt;0,$H238&gt;1)),"Peso fuera de rango"&amp;" · ","")&amp;IF(AND($V238="Sub",$H238&lt;&gt;""),"Las subactividades no llevan peso (valen igual dentro de su macroactividad)"&amp;" · ","")&amp;IF(AND(N($W238)&gt;0,COUNT($I238:$L238)&gt;0),"Con subactividades: deje vacías las semanas (se calculan solas)"&amp;" · ","")&amp;IF((COUNTIF($I238:$L238,"&gt;1")+COUNTIF($I238:$L238,"&lt;0")+COUNTA($I238:$L238)-COUNT($I238:$L238))&gt;0,"Avance fuera de rango 0-100%"&amp;" · ","")&amp;IF(OR(AND($J238&lt;&gt;"",$J238&lt;$I238),AND($K238&lt;&gt;"",$K238&lt;MAX($I238:$J238)),AND($L238&lt;&gt;"",$L238&lt;MAX($I238:$K238))),"Avance semanal decreciente"&amp;" · ","")&amp;IF(AND(ISNUMBER($AN238),$AN238&lt;FechaRef,IF($V238="Sub",N($X238),N($M238))&lt;1),"Vencida"&amp;" · ","")&amp;IF(AND(ObsObligatoria="Sí",ISNUMBER($AN238),$AN238&lt;FechaRef,IF($V238="Sub",N($X238),N($M238))&lt;1,$Q238=""),"Vencida sin observación"&amp;" · ",""))-3)))</f>
        <v/>
      </c>
      <c r="S238" s="64">
        <f>IF(NOT((COUNTA($B238:$D238)+COUNTA($G238:$L238)+COUNTA($Q238))&gt;0),"",IF(AND($V238="Sub",N($U238)&gt;0),IF(ISNUMBER(INDEX($AM$5:$AM$1000,$U238-4)),DATE(YEAR(INDEX($AM$5:$AM$1000,$U238-4)),MONTH(INDEX($AM$5:$AM$1000,$U238-4)),1),IF(ISNUMBER(INDEX($AN$5:$AN$1000,$U238-4)),DATE(YEAR(INDEX($AN$5:$AN$1000,$U238-4)),MONTH(INDEX($AN$5:$AN$1000,$U238-4)),1),MesCiclo)),IF(ISNUMBER($AM238),DATE(YEAR($AM238),MONTH($AM238),1),IF(ISNUMBER($AN238),DATE(YEAR($AN238),MONTH($AN238),1),MesCiclo))))</f>
        <v/>
      </c>
      <c r="T238" s="62">
        <f>IF(OR($S238="",$S238&lt;&gt;MesCiclo,$V238&lt;&gt;"Macro"),"",COUNTIFS($S$5:$S238,MesCiclo,$V$5:$V238,"Macro"))</f>
        <v/>
      </c>
      <c r="U238" s="62">
        <f>IF($V238="","",IF($V238="Macro",ROW(),IFERROR(LOOKUP(2,1/($V$5:$V238="Macro"),ROW($V$5:$V238)),0)))</f>
        <v/>
      </c>
      <c r="V238" s="62">
        <f>IF(NOT((COUNTA($B238:$D238)+COUNTA($G238:$L238)+COUNTA($Q238))&gt;0),"",IF($B238="Subactividad","Sub","Macro"))</f>
        <v/>
      </c>
      <c r="W238" s="62">
        <f>IF($V238="Macro",COUNTIFS($U$5:$U$1000,ROW(),$V$5:$V$1000,"Sub"),"")</f>
        <v/>
      </c>
      <c r="X238" s="62">
        <f>IF($V238="","",IF(ISNUMBER($G238),1,IFERROR(LOOKUP(2,1/($I238:$L238&lt;&gt;""),$I238:$L238),0)))</f>
        <v/>
      </c>
      <c r="Y238" s="62">
        <f>IF($V238="","",IF(AND(ISNUMBER($G238),$G238&lt;=IF($S238=MesCiclo,InicioCiclo,$S238+MOD(2-WEEKDAY($S238),7))+6),1,IF(ISNUMBER($I238),$I238,0)))</f>
        <v/>
      </c>
      <c r="Z238" s="62">
        <f>IF($V238="","",IF(AND(ISNUMBER($G238),$G238&lt;=IF($S238=MesCiclo,InicioCiclo,$S238+MOD(2-WEEKDAY($S238),7))+13),1,IF(ISNUMBER($J238),$J238,$Y238)))</f>
        <v/>
      </c>
      <c r="AA238" s="62">
        <f>IF($V238="","",IF(AND(ISNUMBER($G238),$G238&lt;=IF($S238=MesCiclo,InicioCiclo,$S238+MOD(2-WEEKDAY($S238),7))+20),1,IF(ISNUMBER($K238),$K238,$Z238)))</f>
        <v/>
      </c>
      <c r="AB238" s="62">
        <f>IF($V238="","",IF(AND(ISNUMBER($G238),$G238&lt;=IF($S238=MesCiclo,InicioCiclo,$S238+MOD(2-WEEKDAY($S238),7))+27),1,IF(ISNUMBER($L238),$L238,$AA238)))</f>
        <v/>
      </c>
      <c r="AC238" s="62">
        <f>IF($V238="","",IF(AND(ISNUMBER($G238),$G238&lt;=IF($S238=MesCiclo,InicioCiclo,$S238+MOD(2-WEEKDAY($S238),7))+6),1,IF(N($W238)&gt;0,AVERAGEIFS($Y$5:$Y$1000,$U$5:$U$1000,ROW(),$V$5:$V$1000,"Sub"),$Y238)))</f>
        <v/>
      </c>
      <c r="AD238" s="62">
        <f>IF($V238="","",IF(AND(ISNUMBER($G238),$G238&lt;=IF($S238=MesCiclo,InicioCiclo,$S238+MOD(2-WEEKDAY($S238),7))+13),1,IF(N($W238)&gt;0,AVERAGEIFS($Z$5:$Z$1000,$U$5:$U$1000,ROW(),$V$5:$V$1000,"Sub"),$Z238)))</f>
        <v/>
      </c>
      <c r="AE238" s="62">
        <f>IF($V238="","",IF(AND(ISNUMBER($G238),$G238&lt;=IF($S238=MesCiclo,InicioCiclo,$S238+MOD(2-WEEKDAY($S238),7))+20),1,IF(N($W238)&gt;0,AVERAGEIFS($AA$5:$AA$1000,$U$5:$U$1000,ROW(),$V$5:$V$1000,"Sub"),$AA238)))</f>
        <v/>
      </c>
      <c r="AF238" s="62">
        <f>IF($V238="","",IF(AND(ISNUMBER($G238),$G238&lt;=IF($S238=MesCiclo,InicioCiclo,$S238+MOD(2-WEEKDAY($S238),7))+27),1,IF(N($W238)&gt;0,AVERAGEIFS($AB$5:$AB$1000,$U$5:$U$1000,ROW(),$V$5:$V$1000,"Sub"),$AB238)))</f>
        <v/>
      </c>
      <c r="AG238" s="62">
        <f>IF($V238&lt;&gt;"Macro","",IF(COUNTIFS($S$5:$S$1000,$S238,$V$5:$V$1000,"Macro",$H$5:$H$1000,"&gt;0")=0,1/COUNTIFS($S$5:$S$1000,$S238,$V$5:$V$1000,"Macro"),IF(AND(ISNUMBER($H238),N($H238)&gt;0),$H238,SUMIFS($H$5:$H$1000,$S$5:$S$1000,$S238,$V$5:$V$1000,"Macro")/COUNTIFS($S$5:$S$1000,$S238,$V$5:$V$1000,"Macro",$H$5:$H$1000,"&gt;0"))/(COUNTIFS($S$5:$S$1000,$S238,$V$5:$V$1000,"Macro")*SUMIFS($H$5:$H$1000,$S$5:$S$1000,$S238,$V$5:$V$1000,"Macro")/COUNTIFS($S$5:$S$1000,$S238,$V$5:$V$1000,"Macro",$H$5:$H$1000,"&gt;0"))))</f>
        <v/>
      </c>
      <c r="AH238" s="62" t="n"/>
      <c r="AI238" s="62" t="n"/>
      <c r="AJ238" s="62" t="n"/>
      <c r="AK238" s="62" t="n"/>
      <c r="AL238" s="62">
        <f>IF(LEFT($C238,11)="[Jefatura] ",IFERROR(MATCH("Riesgo Financiero|"&amp;MID($C238,12,500),rDname_ADM,0),0),"")</f>
        <v/>
      </c>
      <c r="AM238" s="62">
        <f>IF(N($AL238)&gt;0,INDEX(rIni_ADM,$AL238),IF(ISNUMBER($E238),$E238,""))</f>
        <v/>
      </c>
      <c r="AN238" s="62">
        <f>IF(N($AL238)&gt;0,INDEX(rLim_ADM,$AL238),IF(ISNUMBER($F238),$F238,""))</f>
        <v/>
      </c>
    </row>
    <row r="239">
      <c r="A239" s="56">
        <f>IF(NOT((COUNTA($B239:$D239)+COUNTA($G239:$L239)+COUNTA($Q239))&gt;0),"",IF($V239="Macro",COUNTIFS($V$5:$V239,"Macro",$S$5:$S239,$S239),IF(N($U239)=0,"?",COUNTIFS(INDEX($V$5:$V$1000,1):INDEX($V$5:$V$1000,$U239-4),"Macro",INDEX($S$5:$S$1000,1):INDEX($S$5:$S$1000,$U239-4),INDEX($S$5:$S$1000,$U239-4))&amp;"."&amp;COUNTIFS($U$5:$U239,$U239,$V$5:$V239,"Sub"))))</f>
        <v/>
      </c>
      <c r="B239" s="57" t="n"/>
      <c r="C239" s="58" t="n"/>
      <c r="D239" s="58" t="n"/>
      <c r="E239" s="59">
        <f>IF(N($AL239)&gt;0,INDEX(rIni_ADM,$AL239),"")</f>
        <v/>
      </c>
      <c r="F239" s="59">
        <f>IF(N($AL239)&gt;0,INDEX(rLim_ADM,$AL239),"")</f>
        <v/>
      </c>
      <c r="G239" s="59" t="n"/>
      <c r="H239" s="60" t="n"/>
      <c r="I239" s="60" t="n"/>
      <c r="J239" s="60" t="n"/>
      <c r="K239" s="60" t="n"/>
      <c r="L239" s="60" t="n"/>
      <c r="M239" s="61">
        <f>IF(NOT((COUNTA($B239:$D239)+COUNTA($G239:$L239)+COUNTA($Q239))&gt;0),"",IF($V239="Sub",IFERROR($X239/INDEX($W$5:$W$1000,$U239-4),""),IF(ISNUMBER($G239),1,IF(N($W239)&gt;0,AVERAGEIFS($X$5:$X$1000,$U$5:$U$1000,ROW(),$V$5:$V$1000,"Sub"),$X239))))</f>
        <v/>
      </c>
      <c r="N239" s="56">
        <f>IF(OR($M239="",$V239="Sub"),"",IF($M239&gt;=1,"Completado",IF($M239&gt;0,"En curso","Pendiente")))</f>
        <v/>
      </c>
      <c r="O239" s="56">
        <f>IF(OR(NOT((COUNTA($B239:$D239)+COUNTA($G239:$L239)+COUNTA($Q239))&gt;0),$V239="Sub"),"",IF(ISNUMBER($G239),IF(AND(ISNUMBER($AN239),$G239&gt;$AN239),"Cumplida con "&amp;($G239-$AN239)&amp;IF($G239-$AN239=1," día"," días")&amp;" de retraso","Cumplida"),IF(N($M239)&gt;=1,"Cumplida",IF(NOT(ISNUMBER($AN239)),"Sin fecha límite",IF($AN239&lt;FechaRef,"Vencida hace "&amp;(FechaRef-$AN239)&amp;IF(FechaRef-$AN239=1," día"," días"),IF($AN239=FechaRef,"Vence hoy",IF($AN239-FechaRef&lt;=DiasAlerta,"Vence en "&amp;($AN239-FechaRef)&amp;IF($AN239-FechaRef=1," día"," días"),"En plazo")))))))</f>
        <v/>
      </c>
      <c r="P239" s="62" t="n"/>
      <c r="Q239" s="58" t="n"/>
      <c r="R239" s="63">
        <f>IF(NOT((COUNTA($B239:$D239)+COUNTA($G239:$L239)+COUNTA($Q239))&gt;0),"",IF((IF($C239="","Falta el nombre de la actividad"&amp;" · ","")&amp;IF(AND($V239="Sub",N($U239)=0),"Subactividad sin macroactividad arriba"&amp;" · ","")&amp;IF($AM239="","Sin fecha de inicio"&amp;" · ","")&amp;IF($AN239="","Sin fecha límite"&amp;" · ","")&amp;IF(AND(LEFT($C239,11)="[Jefatura] ",N($AL239)=0),"No se encuentra en la hoja de la jefatura (elíjala de nuevo en la lista)"&amp;" · ","")&amp;IF(OR(AND($E239&lt;&gt;"",NOT(ISNUMBER($E239))),AND($F239&lt;&gt;"",NOT(ISNUMBER($F239))),AND($G239&lt;&gt;"",NOT(ISNUMBER($G239)))),"Fecha no válida"&amp;" · ","")&amp;IF(AND(ISNUMBER($AM239),ISNUMBER($AN239),$AM239&gt;$AN239),"Inicio posterior a fecha límite"&amp;" · ","")&amp;IF(AND($V239="Macro",$H239&lt;&gt;"",OR(NOT(ISNUMBER($H239)),$H239&lt;0,$H239&gt;1)),"Peso fuera de rango"&amp;" · ","")&amp;IF(AND($V239="Sub",$H239&lt;&gt;""),"Las subactividades no llevan peso (valen igual dentro de su macroactividad)"&amp;" · ","")&amp;IF(AND(N($W239)&gt;0,COUNT($I239:$L239)&gt;0),"Con subactividades: deje vacías las semanas (se calculan solas)"&amp;" · ","")&amp;IF((COUNTIF($I239:$L239,"&gt;1")+COUNTIF($I239:$L239,"&lt;0")+COUNTA($I239:$L239)-COUNT($I239:$L239))&gt;0,"Avance fuera de rango 0-100%"&amp;" · ","")&amp;IF(OR(AND($J239&lt;&gt;"",$J239&lt;$I239),AND($K239&lt;&gt;"",$K239&lt;MAX($I239:$J239)),AND($L239&lt;&gt;"",$L239&lt;MAX($I239:$K239))),"Avance semanal decreciente"&amp;" · ","")&amp;IF(AND(ISNUMBER($AN239),$AN239&lt;FechaRef,IF($V239="Sub",N($X239),N($M239))&lt;1),"Vencida"&amp;" · ","")&amp;IF(AND(ObsObligatoria="Sí",ISNUMBER($AN239),$AN239&lt;FechaRef,IF($V239="Sub",N($X239),N($M239))&lt;1,$Q239=""),"Vencida sin observación"&amp;" · ",""))="","✔ OK","⚠ "&amp;LEFT(IF($C239="","Falta el nombre de la actividad"&amp;" · ","")&amp;IF(AND($V239="Sub",N($U239)=0),"Subactividad sin macroactividad arriba"&amp;" · ","")&amp;IF($AM239="","Sin fecha de inicio"&amp;" · ","")&amp;IF($AN239="","Sin fecha límite"&amp;" · ","")&amp;IF(AND(LEFT($C239,11)="[Jefatura] ",N($AL239)=0),"No se encuentra en la hoja de la jefatura (elíjala de nuevo en la lista)"&amp;" · ","")&amp;IF(OR(AND($E239&lt;&gt;"",NOT(ISNUMBER($E239))),AND($F239&lt;&gt;"",NOT(ISNUMBER($F239))),AND($G239&lt;&gt;"",NOT(ISNUMBER($G239)))),"Fecha no válida"&amp;" · ","")&amp;IF(AND(ISNUMBER($AM239),ISNUMBER($AN239),$AM239&gt;$AN239),"Inicio posterior a fecha límite"&amp;" · ","")&amp;IF(AND($V239="Macro",$H239&lt;&gt;"",OR(NOT(ISNUMBER($H239)),$H239&lt;0,$H239&gt;1)),"Peso fuera de rango"&amp;" · ","")&amp;IF(AND($V239="Sub",$H239&lt;&gt;""),"Las subactividades no llevan peso (valen igual dentro de su macroactividad)"&amp;" · ","")&amp;IF(AND(N($W239)&gt;0,COUNT($I239:$L239)&gt;0),"Con subactividades: deje vacías las semanas (se calculan solas)"&amp;" · ","")&amp;IF((COUNTIF($I239:$L239,"&gt;1")+COUNTIF($I239:$L239,"&lt;0")+COUNTA($I239:$L239)-COUNT($I239:$L239))&gt;0,"Avance fuera de rango 0-100%"&amp;" · ","")&amp;IF(OR(AND($J239&lt;&gt;"",$J239&lt;$I239),AND($K239&lt;&gt;"",$K239&lt;MAX($I239:$J239)),AND($L239&lt;&gt;"",$L239&lt;MAX($I239:$K239))),"Avance semanal decreciente"&amp;" · ","")&amp;IF(AND(ISNUMBER($AN239),$AN239&lt;FechaRef,IF($V239="Sub",N($X239),N($M239))&lt;1),"Vencida"&amp;" · ","")&amp;IF(AND(ObsObligatoria="Sí",ISNUMBER($AN239),$AN239&lt;FechaRef,IF($V239="Sub",N($X239),N($M239))&lt;1,$Q239=""),"Vencida sin observación"&amp;" · ",""),LEN(IF($C239="","Falta el nombre de la actividad"&amp;" · ","")&amp;IF(AND($V239="Sub",N($U239)=0),"Subactividad sin macroactividad arriba"&amp;" · ","")&amp;IF($AM239="","Sin fecha de inicio"&amp;" · ","")&amp;IF($AN239="","Sin fecha límite"&amp;" · ","")&amp;IF(AND(LEFT($C239,11)="[Jefatura] ",N($AL239)=0),"No se encuentra en la hoja de la jefatura (elíjala de nuevo en la lista)"&amp;" · ","")&amp;IF(OR(AND($E239&lt;&gt;"",NOT(ISNUMBER($E239))),AND($F239&lt;&gt;"",NOT(ISNUMBER($F239))),AND($G239&lt;&gt;"",NOT(ISNUMBER($G239)))),"Fecha no válida"&amp;" · ","")&amp;IF(AND(ISNUMBER($AM239),ISNUMBER($AN239),$AM239&gt;$AN239),"Inicio posterior a fecha límite"&amp;" · ","")&amp;IF(AND($V239="Macro",$H239&lt;&gt;"",OR(NOT(ISNUMBER($H239)),$H239&lt;0,$H239&gt;1)),"Peso fuera de rango"&amp;" · ","")&amp;IF(AND($V239="Sub",$H239&lt;&gt;""),"Las subactividades no llevan peso (valen igual dentro de su macroactividad)"&amp;" · ","")&amp;IF(AND(N($W239)&gt;0,COUNT($I239:$L239)&gt;0),"Con subactividades: deje vacías las semanas (se calculan solas)"&amp;" · ","")&amp;IF((COUNTIF($I239:$L239,"&gt;1")+COUNTIF($I239:$L239,"&lt;0")+COUNTA($I239:$L239)-COUNT($I239:$L239))&gt;0,"Avance fuera de rango 0-100%"&amp;" · ","")&amp;IF(OR(AND($J239&lt;&gt;"",$J239&lt;$I239),AND($K239&lt;&gt;"",$K239&lt;MAX($I239:$J239)),AND($L239&lt;&gt;"",$L239&lt;MAX($I239:$K239))),"Avance semanal decreciente"&amp;" · ","")&amp;IF(AND(ISNUMBER($AN239),$AN239&lt;FechaRef,IF($V239="Sub",N($X239),N($M239))&lt;1),"Vencida"&amp;" · ","")&amp;IF(AND(ObsObligatoria="Sí",ISNUMBER($AN239),$AN239&lt;FechaRef,IF($V239="Sub",N($X239),N($M239))&lt;1,$Q239=""),"Vencida sin observación"&amp;" · ",""))-3)))</f>
        <v/>
      </c>
      <c r="S239" s="64">
        <f>IF(NOT((COUNTA($B239:$D239)+COUNTA($G239:$L239)+COUNTA($Q239))&gt;0),"",IF(AND($V239="Sub",N($U239)&gt;0),IF(ISNUMBER(INDEX($AM$5:$AM$1000,$U239-4)),DATE(YEAR(INDEX($AM$5:$AM$1000,$U239-4)),MONTH(INDEX($AM$5:$AM$1000,$U239-4)),1),IF(ISNUMBER(INDEX($AN$5:$AN$1000,$U239-4)),DATE(YEAR(INDEX($AN$5:$AN$1000,$U239-4)),MONTH(INDEX($AN$5:$AN$1000,$U239-4)),1),MesCiclo)),IF(ISNUMBER($AM239),DATE(YEAR($AM239),MONTH($AM239),1),IF(ISNUMBER($AN239),DATE(YEAR($AN239),MONTH($AN239),1),MesCiclo))))</f>
        <v/>
      </c>
      <c r="T239" s="62">
        <f>IF(OR($S239="",$S239&lt;&gt;MesCiclo,$V239&lt;&gt;"Macro"),"",COUNTIFS($S$5:$S239,MesCiclo,$V$5:$V239,"Macro"))</f>
        <v/>
      </c>
      <c r="U239" s="62">
        <f>IF($V239="","",IF($V239="Macro",ROW(),IFERROR(LOOKUP(2,1/($V$5:$V239="Macro"),ROW($V$5:$V239)),0)))</f>
        <v/>
      </c>
      <c r="V239" s="62">
        <f>IF(NOT((COUNTA($B239:$D239)+COUNTA($G239:$L239)+COUNTA($Q239))&gt;0),"",IF($B239="Subactividad","Sub","Macro"))</f>
        <v/>
      </c>
      <c r="W239" s="62">
        <f>IF($V239="Macro",COUNTIFS($U$5:$U$1000,ROW(),$V$5:$V$1000,"Sub"),"")</f>
        <v/>
      </c>
      <c r="X239" s="62">
        <f>IF($V239="","",IF(ISNUMBER($G239),1,IFERROR(LOOKUP(2,1/($I239:$L239&lt;&gt;""),$I239:$L239),0)))</f>
        <v/>
      </c>
      <c r="Y239" s="62">
        <f>IF($V239="","",IF(AND(ISNUMBER($G239),$G239&lt;=IF($S239=MesCiclo,InicioCiclo,$S239+MOD(2-WEEKDAY($S239),7))+6),1,IF(ISNUMBER($I239),$I239,0)))</f>
        <v/>
      </c>
      <c r="Z239" s="62">
        <f>IF($V239="","",IF(AND(ISNUMBER($G239),$G239&lt;=IF($S239=MesCiclo,InicioCiclo,$S239+MOD(2-WEEKDAY($S239),7))+13),1,IF(ISNUMBER($J239),$J239,$Y239)))</f>
        <v/>
      </c>
      <c r="AA239" s="62">
        <f>IF($V239="","",IF(AND(ISNUMBER($G239),$G239&lt;=IF($S239=MesCiclo,InicioCiclo,$S239+MOD(2-WEEKDAY($S239),7))+20),1,IF(ISNUMBER($K239),$K239,$Z239)))</f>
        <v/>
      </c>
      <c r="AB239" s="62">
        <f>IF($V239="","",IF(AND(ISNUMBER($G239),$G239&lt;=IF($S239=MesCiclo,InicioCiclo,$S239+MOD(2-WEEKDAY($S239),7))+27),1,IF(ISNUMBER($L239),$L239,$AA239)))</f>
        <v/>
      </c>
      <c r="AC239" s="62">
        <f>IF($V239="","",IF(AND(ISNUMBER($G239),$G239&lt;=IF($S239=MesCiclo,InicioCiclo,$S239+MOD(2-WEEKDAY($S239),7))+6),1,IF(N($W239)&gt;0,AVERAGEIFS($Y$5:$Y$1000,$U$5:$U$1000,ROW(),$V$5:$V$1000,"Sub"),$Y239)))</f>
        <v/>
      </c>
      <c r="AD239" s="62">
        <f>IF($V239="","",IF(AND(ISNUMBER($G239),$G239&lt;=IF($S239=MesCiclo,InicioCiclo,$S239+MOD(2-WEEKDAY($S239),7))+13),1,IF(N($W239)&gt;0,AVERAGEIFS($Z$5:$Z$1000,$U$5:$U$1000,ROW(),$V$5:$V$1000,"Sub"),$Z239)))</f>
        <v/>
      </c>
      <c r="AE239" s="62">
        <f>IF($V239="","",IF(AND(ISNUMBER($G239),$G239&lt;=IF($S239=MesCiclo,InicioCiclo,$S239+MOD(2-WEEKDAY($S239),7))+20),1,IF(N($W239)&gt;0,AVERAGEIFS($AA$5:$AA$1000,$U$5:$U$1000,ROW(),$V$5:$V$1000,"Sub"),$AA239)))</f>
        <v/>
      </c>
      <c r="AF239" s="62">
        <f>IF($V239="","",IF(AND(ISNUMBER($G239),$G239&lt;=IF($S239=MesCiclo,InicioCiclo,$S239+MOD(2-WEEKDAY($S239),7))+27),1,IF(N($W239)&gt;0,AVERAGEIFS($AB$5:$AB$1000,$U$5:$U$1000,ROW(),$V$5:$V$1000,"Sub"),$AB239)))</f>
        <v/>
      </c>
      <c r="AG239" s="62">
        <f>IF($V239&lt;&gt;"Macro","",IF(COUNTIFS($S$5:$S$1000,$S239,$V$5:$V$1000,"Macro",$H$5:$H$1000,"&gt;0")=0,1/COUNTIFS($S$5:$S$1000,$S239,$V$5:$V$1000,"Macro"),IF(AND(ISNUMBER($H239),N($H239)&gt;0),$H239,SUMIFS($H$5:$H$1000,$S$5:$S$1000,$S239,$V$5:$V$1000,"Macro")/COUNTIFS($S$5:$S$1000,$S239,$V$5:$V$1000,"Macro",$H$5:$H$1000,"&gt;0"))/(COUNTIFS($S$5:$S$1000,$S239,$V$5:$V$1000,"Macro")*SUMIFS($H$5:$H$1000,$S$5:$S$1000,$S239,$V$5:$V$1000,"Macro")/COUNTIFS($S$5:$S$1000,$S239,$V$5:$V$1000,"Macro",$H$5:$H$1000,"&gt;0"))))</f>
        <v/>
      </c>
      <c r="AH239" s="62" t="n"/>
      <c r="AI239" s="62" t="n"/>
      <c r="AJ239" s="62" t="n"/>
      <c r="AK239" s="62" t="n"/>
      <c r="AL239" s="62">
        <f>IF(LEFT($C239,11)="[Jefatura] ",IFERROR(MATCH("Riesgo Financiero|"&amp;MID($C239,12,500),rDname_ADM,0),0),"")</f>
        <v/>
      </c>
      <c r="AM239" s="62">
        <f>IF(N($AL239)&gt;0,INDEX(rIni_ADM,$AL239),IF(ISNUMBER($E239),$E239,""))</f>
        <v/>
      </c>
      <c r="AN239" s="62">
        <f>IF(N($AL239)&gt;0,INDEX(rLim_ADM,$AL239),IF(ISNUMBER($F239),$F239,""))</f>
        <v/>
      </c>
    </row>
    <row r="240">
      <c r="A240" s="56">
        <f>IF(NOT((COUNTA($B240:$D240)+COUNTA($G240:$L240)+COUNTA($Q240))&gt;0),"",IF($V240="Macro",COUNTIFS($V$5:$V240,"Macro",$S$5:$S240,$S240),IF(N($U240)=0,"?",COUNTIFS(INDEX($V$5:$V$1000,1):INDEX($V$5:$V$1000,$U240-4),"Macro",INDEX($S$5:$S$1000,1):INDEX($S$5:$S$1000,$U240-4),INDEX($S$5:$S$1000,$U240-4))&amp;"."&amp;COUNTIFS($U$5:$U240,$U240,$V$5:$V240,"Sub"))))</f>
        <v/>
      </c>
      <c r="B240" s="57" t="n"/>
      <c r="C240" s="58" t="n"/>
      <c r="D240" s="58" t="n"/>
      <c r="E240" s="59">
        <f>IF(N($AL240)&gt;0,INDEX(rIni_ADM,$AL240),"")</f>
        <v/>
      </c>
      <c r="F240" s="59">
        <f>IF(N($AL240)&gt;0,INDEX(rLim_ADM,$AL240),"")</f>
        <v/>
      </c>
      <c r="G240" s="59" t="n"/>
      <c r="H240" s="60" t="n"/>
      <c r="I240" s="60" t="n"/>
      <c r="J240" s="60" t="n"/>
      <c r="K240" s="60" t="n"/>
      <c r="L240" s="60" t="n"/>
      <c r="M240" s="61">
        <f>IF(NOT((COUNTA($B240:$D240)+COUNTA($G240:$L240)+COUNTA($Q240))&gt;0),"",IF($V240="Sub",IFERROR($X240/INDEX($W$5:$W$1000,$U240-4),""),IF(ISNUMBER($G240),1,IF(N($W240)&gt;0,AVERAGEIFS($X$5:$X$1000,$U$5:$U$1000,ROW(),$V$5:$V$1000,"Sub"),$X240))))</f>
        <v/>
      </c>
      <c r="N240" s="56">
        <f>IF(OR($M240="",$V240="Sub"),"",IF($M240&gt;=1,"Completado",IF($M240&gt;0,"En curso","Pendiente")))</f>
        <v/>
      </c>
      <c r="O240" s="56">
        <f>IF(OR(NOT((COUNTA($B240:$D240)+COUNTA($G240:$L240)+COUNTA($Q240))&gt;0),$V240="Sub"),"",IF(ISNUMBER($G240),IF(AND(ISNUMBER($AN240),$G240&gt;$AN240),"Cumplida con "&amp;($G240-$AN240)&amp;IF($G240-$AN240=1," día"," días")&amp;" de retraso","Cumplida"),IF(N($M240)&gt;=1,"Cumplida",IF(NOT(ISNUMBER($AN240)),"Sin fecha límite",IF($AN240&lt;FechaRef,"Vencida hace "&amp;(FechaRef-$AN240)&amp;IF(FechaRef-$AN240=1," día"," días"),IF($AN240=FechaRef,"Vence hoy",IF($AN240-FechaRef&lt;=DiasAlerta,"Vence en "&amp;($AN240-FechaRef)&amp;IF($AN240-FechaRef=1," día"," días"),"En plazo")))))))</f>
        <v/>
      </c>
      <c r="P240" s="62" t="n"/>
      <c r="Q240" s="58" t="n"/>
      <c r="R240" s="63">
        <f>IF(NOT((COUNTA($B240:$D240)+COUNTA($G240:$L240)+COUNTA($Q240))&gt;0),"",IF((IF($C240="","Falta el nombre de la actividad"&amp;" · ","")&amp;IF(AND($V240="Sub",N($U240)=0),"Subactividad sin macroactividad arriba"&amp;" · ","")&amp;IF($AM240="","Sin fecha de inicio"&amp;" · ","")&amp;IF($AN240="","Sin fecha límite"&amp;" · ","")&amp;IF(AND(LEFT($C240,11)="[Jefatura] ",N($AL240)=0),"No se encuentra en la hoja de la jefatura (elíjala de nuevo en la lista)"&amp;" · ","")&amp;IF(OR(AND($E240&lt;&gt;"",NOT(ISNUMBER($E240))),AND($F240&lt;&gt;"",NOT(ISNUMBER($F240))),AND($G240&lt;&gt;"",NOT(ISNUMBER($G240)))),"Fecha no válida"&amp;" · ","")&amp;IF(AND(ISNUMBER($AM240),ISNUMBER($AN240),$AM240&gt;$AN240),"Inicio posterior a fecha límite"&amp;" · ","")&amp;IF(AND($V240="Macro",$H240&lt;&gt;"",OR(NOT(ISNUMBER($H240)),$H240&lt;0,$H240&gt;1)),"Peso fuera de rango"&amp;" · ","")&amp;IF(AND($V240="Sub",$H240&lt;&gt;""),"Las subactividades no llevan peso (valen igual dentro de su macroactividad)"&amp;" · ","")&amp;IF(AND(N($W240)&gt;0,COUNT($I240:$L240)&gt;0),"Con subactividades: deje vacías las semanas (se calculan solas)"&amp;" · ","")&amp;IF((COUNTIF($I240:$L240,"&gt;1")+COUNTIF($I240:$L240,"&lt;0")+COUNTA($I240:$L240)-COUNT($I240:$L240))&gt;0,"Avance fuera de rango 0-100%"&amp;" · ","")&amp;IF(OR(AND($J240&lt;&gt;"",$J240&lt;$I240),AND($K240&lt;&gt;"",$K240&lt;MAX($I240:$J240)),AND($L240&lt;&gt;"",$L240&lt;MAX($I240:$K240))),"Avance semanal decreciente"&amp;" · ","")&amp;IF(AND(ISNUMBER($AN240),$AN240&lt;FechaRef,IF($V240="Sub",N($X240),N($M240))&lt;1),"Vencida"&amp;" · ","")&amp;IF(AND(ObsObligatoria="Sí",ISNUMBER($AN240),$AN240&lt;FechaRef,IF($V240="Sub",N($X240),N($M240))&lt;1,$Q240=""),"Vencida sin observación"&amp;" · ",""))="","✔ OK","⚠ "&amp;LEFT(IF($C240="","Falta el nombre de la actividad"&amp;" · ","")&amp;IF(AND($V240="Sub",N($U240)=0),"Subactividad sin macroactividad arriba"&amp;" · ","")&amp;IF($AM240="","Sin fecha de inicio"&amp;" · ","")&amp;IF($AN240="","Sin fecha límite"&amp;" · ","")&amp;IF(AND(LEFT($C240,11)="[Jefatura] ",N($AL240)=0),"No se encuentra en la hoja de la jefatura (elíjala de nuevo en la lista)"&amp;" · ","")&amp;IF(OR(AND($E240&lt;&gt;"",NOT(ISNUMBER($E240))),AND($F240&lt;&gt;"",NOT(ISNUMBER($F240))),AND($G240&lt;&gt;"",NOT(ISNUMBER($G240)))),"Fecha no válida"&amp;" · ","")&amp;IF(AND(ISNUMBER($AM240),ISNUMBER($AN240),$AM240&gt;$AN240),"Inicio posterior a fecha límite"&amp;" · ","")&amp;IF(AND($V240="Macro",$H240&lt;&gt;"",OR(NOT(ISNUMBER($H240)),$H240&lt;0,$H240&gt;1)),"Peso fuera de rango"&amp;" · ","")&amp;IF(AND($V240="Sub",$H240&lt;&gt;""),"Las subactividades no llevan peso (valen igual dentro de su macroactividad)"&amp;" · ","")&amp;IF(AND(N($W240)&gt;0,COUNT($I240:$L240)&gt;0),"Con subactividades: deje vacías las semanas (se calculan solas)"&amp;" · ","")&amp;IF((COUNTIF($I240:$L240,"&gt;1")+COUNTIF($I240:$L240,"&lt;0")+COUNTA($I240:$L240)-COUNT($I240:$L240))&gt;0,"Avance fuera de rango 0-100%"&amp;" · ","")&amp;IF(OR(AND($J240&lt;&gt;"",$J240&lt;$I240),AND($K240&lt;&gt;"",$K240&lt;MAX($I240:$J240)),AND($L240&lt;&gt;"",$L240&lt;MAX($I240:$K240))),"Avance semanal decreciente"&amp;" · ","")&amp;IF(AND(ISNUMBER($AN240),$AN240&lt;FechaRef,IF($V240="Sub",N($X240),N($M240))&lt;1),"Vencida"&amp;" · ","")&amp;IF(AND(ObsObligatoria="Sí",ISNUMBER($AN240),$AN240&lt;FechaRef,IF($V240="Sub",N($X240),N($M240))&lt;1,$Q240=""),"Vencida sin observación"&amp;" · ",""),LEN(IF($C240="","Falta el nombre de la actividad"&amp;" · ","")&amp;IF(AND($V240="Sub",N($U240)=0),"Subactividad sin macroactividad arriba"&amp;" · ","")&amp;IF($AM240="","Sin fecha de inicio"&amp;" · ","")&amp;IF($AN240="","Sin fecha límite"&amp;" · ","")&amp;IF(AND(LEFT($C240,11)="[Jefatura] ",N($AL240)=0),"No se encuentra en la hoja de la jefatura (elíjala de nuevo en la lista)"&amp;" · ","")&amp;IF(OR(AND($E240&lt;&gt;"",NOT(ISNUMBER($E240))),AND($F240&lt;&gt;"",NOT(ISNUMBER($F240))),AND($G240&lt;&gt;"",NOT(ISNUMBER($G240)))),"Fecha no válida"&amp;" · ","")&amp;IF(AND(ISNUMBER($AM240),ISNUMBER($AN240),$AM240&gt;$AN240),"Inicio posterior a fecha límite"&amp;" · ","")&amp;IF(AND($V240="Macro",$H240&lt;&gt;"",OR(NOT(ISNUMBER($H240)),$H240&lt;0,$H240&gt;1)),"Peso fuera de rango"&amp;" · ","")&amp;IF(AND($V240="Sub",$H240&lt;&gt;""),"Las subactividades no llevan peso (valen igual dentro de su macroactividad)"&amp;" · ","")&amp;IF(AND(N($W240)&gt;0,COUNT($I240:$L240)&gt;0),"Con subactividades: deje vacías las semanas (se calculan solas)"&amp;" · ","")&amp;IF((COUNTIF($I240:$L240,"&gt;1")+COUNTIF($I240:$L240,"&lt;0")+COUNTA($I240:$L240)-COUNT($I240:$L240))&gt;0,"Avance fuera de rango 0-100%"&amp;" · ","")&amp;IF(OR(AND($J240&lt;&gt;"",$J240&lt;$I240),AND($K240&lt;&gt;"",$K240&lt;MAX($I240:$J240)),AND($L240&lt;&gt;"",$L240&lt;MAX($I240:$K240))),"Avance semanal decreciente"&amp;" · ","")&amp;IF(AND(ISNUMBER($AN240),$AN240&lt;FechaRef,IF($V240="Sub",N($X240),N($M240))&lt;1),"Vencida"&amp;" · ","")&amp;IF(AND(ObsObligatoria="Sí",ISNUMBER($AN240),$AN240&lt;FechaRef,IF($V240="Sub",N($X240),N($M240))&lt;1,$Q240=""),"Vencida sin observación"&amp;" · ",""))-3)))</f>
        <v/>
      </c>
      <c r="S240" s="64">
        <f>IF(NOT((COUNTA($B240:$D240)+COUNTA($G240:$L240)+COUNTA($Q240))&gt;0),"",IF(AND($V240="Sub",N($U240)&gt;0),IF(ISNUMBER(INDEX($AM$5:$AM$1000,$U240-4)),DATE(YEAR(INDEX($AM$5:$AM$1000,$U240-4)),MONTH(INDEX($AM$5:$AM$1000,$U240-4)),1),IF(ISNUMBER(INDEX($AN$5:$AN$1000,$U240-4)),DATE(YEAR(INDEX($AN$5:$AN$1000,$U240-4)),MONTH(INDEX($AN$5:$AN$1000,$U240-4)),1),MesCiclo)),IF(ISNUMBER($AM240),DATE(YEAR($AM240),MONTH($AM240),1),IF(ISNUMBER($AN240),DATE(YEAR($AN240),MONTH($AN240),1),MesCiclo))))</f>
        <v/>
      </c>
      <c r="T240" s="62">
        <f>IF(OR($S240="",$S240&lt;&gt;MesCiclo,$V240&lt;&gt;"Macro"),"",COUNTIFS($S$5:$S240,MesCiclo,$V$5:$V240,"Macro"))</f>
        <v/>
      </c>
      <c r="U240" s="62">
        <f>IF($V240="","",IF($V240="Macro",ROW(),IFERROR(LOOKUP(2,1/($V$5:$V240="Macro"),ROW($V$5:$V240)),0)))</f>
        <v/>
      </c>
      <c r="V240" s="62">
        <f>IF(NOT((COUNTA($B240:$D240)+COUNTA($G240:$L240)+COUNTA($Q240))&gt;0),"",IF($B240="Subactividad","Sub","Macro"))</f>
        <v/>
      </c>
      <c r="W240" s="62">
        <f>IF($V240="Macro",COUNTIFS($U$5:$U$1000,ROW(),$V$5:$V$1000,"Sub"),"")</f>
        <v/>
      </c>
      <c r="X240" s="62">
        <f>IF($V240="","",IF(ISNUMBER($G240),1,IFERROR(LOOKUP(2,1/($I240:$L240&lt;&gt;""),$I240:$L240),0)))</f>
        <v/>
      </c>
      <c r="Y240" s="62">
        <f>IF($V240="","",IF(AND(ISNUMBER($G240),$G240&lt;=IF($S240=MesCiclo,InicioCiclo,$S240+MOD(2-WEEKDAY($S240),7))+6),1,IF(ISNUMBER($I240),$I240,0)))</f>
        <v/>
      </c>
      <c r="Z240" s="62">
        <f>IF($V240="","",IF(AND(ISNUMBER($G240),$G240&lt;=IF($S240=MesCiclo,InicioCiclo,$S240+MOD(2-WEEKDAY($S240),7))+13),1,IF(ISNUMBER($J240),$J240,$Y240)))</f>
        <v/>
      </c>
      <c r="AA240" s="62">
        <f>IF($V240="","",IF(AND(ISNUMBER($G240),$G240&lt;=IF($S240=MesCiclo,InicioCiclo,$S240+MOD(2-WEEKDAY($S240),7))+20),1,IF(ISNUMBER($K240),$K240,$Z240)))</f>
        <v/>
      </c>
      <c r="AB240" s="62">
        <f>IF($V240="","",IF(AND(ISNUMBER($G240),$G240&lt;=IF($S240=MesCiclo,InicioCiclo,$S240+MOD(2-WEEKDAY($S240),7))+27),1,IF(ISNUMBER($L240),$L240,$AA240)))</f>
        <v/>
      </c>
      <c r="AC240" s="62">
        <f>IF($V240="","",IF(AND(ISNUMBER($G240),$G240&lt;=IF($S240=MesCiclo,InicioCiclo,$S240+MOD(2-WEEKDAY($S240),7))+6),1,IF(N($W240)&gt;0,AVERAGEIFS($Y$5:$Y$1000,$U$5:$U$1000,ROW(),$V$5:$V$1000,"Sub"),$Y240)))</f>
        <v/>
      </c>
      <c r="AD240" s="62">
        <f>IF($V240="","",IF(AND(ISNUMBER($G240),$G240&lt;=IF($S240=MesCiclo,InicioCiclo,$S240+MOD(2-WEEKDAY($S240),7))+13),1,IF(N($W240)&gt;0,AVERAGEIFS($Z$5:$Z$1000,$U$5:$U$1000,ROW(),$V$5:$V$1000,"Sub"),$Z240)))</f>
        <v/>
      </c>
      <c r="AE240" s="62">
        <f>IF($V240="","",IF(AND(ISNUMBER($G240),$G240&lt;=IF($S240=MesCiclo,InicioCiclo,$S240+MOD(2-WEEKDAY($S240),7))+20),1,IF(N($W240)&gt;0,AVERAGEIFS($AA$5:$AA$1000,$U$5:$U$1000,ROW(),$V$5:$V$1000,"Sub"),$AA240)))</f>
        <v/>
      </c>
      <c r="AF240" s="62">
        <f>IF($V240="","",IF(AND(ISNUMBER($G240),$G240&lt;=IF($S240=MesCiclo,InicioCiclo,$S240+MOD(2-WEEKDAY($S240),7))+27),1,IF(N($W240)&gt;0,AVERAGEIFS($AB$5:$AB$1000,$U$5:$U$1000,ROW(),$V$5:$V$1000,"Sub"),$AB240)))</f>
        <v/>
      </c>
      <c r="AG240" s="62">
        <f>IF($V240&lt;&gt;"Macro","",IF(COUNTIFS($S$5:$S$1000,$S240,$V$5:$V$1000,"Macro",$H$5:$H$1000,"&gt;0")=0,1/COUNTIFS($S$5:$S$1000,$S240,$V$5:$V$1000,"Macro"),IF(AND(ISNUMBER($H240),N($H240)&gt;0),$H240,SUMIFS($H$5:$H$1000,$S$5:$S$1000,$S240,$V$5:$V$1000,"Macro")/COUNTIFS($S$5:$S$1000,$S240,$V$5:$V$1000,"Macro",$H$5:$H$1000,"&gt;0"))/(COUNTIFS($S$5:$S$1000,$S240,$V$5:$V$1000,"Macro")*SUMIFS($H$5:$H$1000,$S$5:$S$1000,$S240,$V$5:$V$1000,"Macro")/COUNTIFS($S$5:$S$1000,$S240,$V$5:$V$1000,"Macro",$H$5:$H$1000,"&gt;0"))))</f>
        <v/>
      </c>
      <c r="AH240" s="62" t="n"/>
      <c r="AI240" s="62" t="n"/>
      <c r="AJ240" s="62" t="n"/>
      <c r="AK240" s="62" t="n"/>
      <c r="AL240" s="62">
        <f>IF(LEFT($C240,11)="[Jefatura] ",IFERROR(MATCH("Riesgo Financiero|"&amp;MID($C240,12,500),rDname_ADM,0),0),"")</f>
        <v/>
      </c>
      <c r="AM240" s="62">
        <f>IF(N($AL240)&gt;0,INDEX(rIni_ADM,$AL240),IF(ISNUMBER($E240),$E240,""))</f>
        <v/>
      </c>
      <c r="AN240" s="62">
        <f>IF(N($AL240)&gt;0,INDEX(rLim_ADM,$AL240),IF(ISNUMBER($F240),$F240,""))</f>
        <v/>
      </c>
    </row>
    <row r="241">
      <c r="A241" s="56">
        <f>IF(NOT((COUNTA($B241:$D241)+COUNTA($G241:$L241)+COUNTA($Q241))&gt;0),"",IF($V241="Macro",COUNTIFS($V$5:$V241,"Macro",$S$5:$S241,$S241),IF(N($U241)=0,"?",COUNTIFS(INDEX($V$5:$V$1000,1):INDEX($V$5:$V$1000,$U241-4),"Macro",INDEX($S$5:$S$1000,1):INDEX($S$5:$S$1000,$U241-4),INDEX($S$5:$S$1000,$U241-4))&amp;"."&amp;COUNTIFS($U$5:$U241,$U241,$V$5:$V241,"Sub"))))</f>
        <v/>
      </c>
      <c r="B241" s="57" t="n"/>
      <c r="C241" s="58" t="n"/>
      <c r="D241" s="58" t="n"/>
      <c r="E241" s="59">
        <f>IF(N($AL241)&gt;0,INDEX(rIni_ADM,$AL241),"")</f>
        <v/>
      </c>
      <c r="F241" s="59">
        <f>IF(N($AL241)&gt;0,INDEX(rLim_ADM,$AL241),"")</f>
        <v/>
      </c>
      <c r="G241" s="59" t="n"/>
      <c r="H241" s="60" t="n"/>
      <c r="I241" s="60" t="n"/>
      <c r="J241" s="60" t="n"/>
      <c r="K241" s="60" t="n"/>
      <c r="L241" s="60" t="n"/>
      <c r="M241" s="61">
        <f>IF(NOT((COUNTA($B241:$D241)+COUNTA($G241:$L241)+COUNTA($Q241))&gt;0),"",IF($V241="Sub",IFERROR($X241/INDEX($W$5:$W$1000,$U241-4),""),IF(ISNUMBER($G241),1,IF(N($W241)&gt;0,AVERAGEIFS($X$5:$X$1000,$U$5:$U$1000,ROW(),$V$5:$V$1000,"Sub"),$X241))))</f>
        <v/>
      </c>
      <c r="N241" s="56">
        <f>IF(OR($M241="",$V241="Sub"),"",IF($M241&gt;=1,"Completado",IF($M241&gt;0,"En curso","Pendiente")))</f>
        <v/>
      </c>
      <c r="O241" s="56">
        <f>IF(OR(NOT((COUNTA($B241:$D241)+COUNTA($G241:$L241)+COUNTA($Q241))&gt;0),$V241="Sub"),"",IF(ISNUMBER($G241),IF(AND(ISNUMBER($AN241),$G241&gt;$AN241),"Cumplida con "&amp;($G241-$AN241)&amp;IF($G241-$AN241=1," día"," días")&amp;" de retraso","Cumplida"),IF(N($M241)&gt;=1,"Cumplida",IF(NOT(ISNUMBER($AN241)),"Sin fecha límite",IF($AN241&lt;FechaRef,"Vencida hace "&amp;(FechaRef-$AN241)&amp;IF(FechaRef-$AN241=1," día"," días"),IF($AN241=FechaRef,"Vence hoy",IF($AN241-FechaRef&lt;=DiasAlerta,"Vence en "&amp;($AN241-FechaRef)&amp;IF($AN241-FechaRef=1," día"," días"),"En plazo")))))))</f>
        <v/>
      </c>
      <c r="P241" s="62" t="n"/>
      <c r="Q241" s="58" t="n"/>
      <c r="R241" s="63">
        <f>IF(NOT((COUNTA($B241:$D241)+COUNTA($G241:$L241)+COUNTA($Q241))&gt;0),"",IF((IF($C241="","Falta el nombre de la actividad"&amp;" · ","")&amp;IF(AND($V241="Sub",N($U241)=0),"Subactividad sin macroactividad arriba"&amp;" · ","")&amp;IF($AM241="","Sin fecha de inicio"&amp;" · ","")&amp;IF($AN241="","Sin fecha límite"&amp;" · ","")&amp;IF(AND(LEFT($C241,11)="[Jefatura] ",N($AL241)=0),"No se encuentra en la hoja de la jefatura (elíjala de nuevo en la lista)"&amp;" · ","")&amp;IF(OR(AND($E241&lt;&gt;"",NOT(ISNUMBER($E241))),AND($F241&lt;&gt;"",NOT(ISNUMBER($F241))),AND($G241&lt;&gt;"",NOT(ISNUMBER($G241)))),"Fecha no válida"&amp;" · ","")&amp;IF(AND(ISNUMBER($AM241),ISNUMBER($AN241),$AM241&gt;$AN241),"Inicio posterior a fecha límite"&amp;" · ","")&amp;IF(AND($V241="Macro",$H241&lt;&gt;"",OR(NOT(ISNUMBER($H241)),$H241&lt;0,$H241&gt;1)),"Peso fuera de rango"&amp;" · ","")&amp;IF(AND($V241="Sub",$H241&lt;&gt;""),"Las subactividades no llevan peso (valen igual dentro de su macroactividad)"&amp;" · ","")&amp;IF(AND(N($W241)&gt;0,COUNT($I241:$L241)&gt;0),"Con subactividades: deje vacías las semanas (se calculan solas)"&amp;" · ","")&amp;IF((COUNTIF($I241:$L241,"&gt;1")+COUNTIF($I241:$L241,"&lt;0")+COUNTA($I241:$L241)-COUNT($I241:$L241))&gt;0,"Avance fuera de rango 0-100%"&amp;" · ","")&amp;IF(OR(AND($J241&lt;&gt;"",$J241&lt;$I241),AND($K241&lt;&gt;"",$K241&lt;MAX($I241:$J241)),AND($L241&lt;&gt;"",$L241&lt;MAX($I241:$K241))),"Avance semanal decreciente"&amp;" · ","")&amp;IF(AND(ISNUMBER($AN241),$AN241&lt;FechaRef,IF($V241="Sub",N($X241),N($M241))&lt;1),"Vencida"&amp;" · ","")&amp;IF(AND(ObsObligatoria="Sí",ISNUMBER($AN241),$AN241&lt;FechaRef,IF($V241="Sub",N($X241),N($M241))&lt;1,$Q241=""),"Vencida sin observación"&amp;" · ",""))="","✔ OK","⚠ "&amp;LEFT(IF($C241="","Falta el nombre de la actividad"&amp;" · ","")&amp;IF(AND($V241="Sub",N($U241)=0),"Subactividad sin macroactividad arriba"&amp;" · ","")&amp;IF($AM241="","Sin fecha de inicio"&amp;" · ","")&amp;IF($AN241="","Sin fecha límite"&amp;" · ","")&amp;IF(AND(LEFT($C241,11)="[Jefatura] ",N($AL241)=0),"No se encuentra en la hoja de la jefatura (elíjala de nuevo en la lista)"&amp;" · ","")&amp;IF(OR(AND($E241&lt;&gt;"",NOT(ISNUMBER($E241))),AND($F241&lt;&gt;"",NOT(ISNUMBER($F241))),AND($G241&lt;&gt;"",NOT(ISNUMBER($G241)))),"Fecha no válida"&amp;" · ","")&amp;IF(AND(ISNUMBER($AM241),ISNUMBER($AN241),$AM241&gt;$AN241),"Inicio posterior a fecha límite"&amp;" · ","")&amp;IF(AND($V241="Macro",$H241&lt;&gt;"",OR(NOT(ISNUMBER($H241)),$H241&lt;0,$H241&gt;1)),"Peso fuera de rango"&amp;" · ","")&amp;IF(AND($V241="Sub",$H241&lt;&gt;""),"Las subactividades no llevan peso (valen igual dentro de su macroactividad)"&amp;" · ","")&amp;IF(AND(N($W241)&gt;0,COUNT($I241:$L241)&gt;0),"Con subactividades: deje vacías las semanas (se calculan solas)"&amp;" · ","")&amp;IF((COUNTIF($I241:$L241,"&gt;1")+COUNTIF($I241:$L241,"&lt;0")+COUNTA($I241:$L241)-COUNT($I241:$L241))&gt;0,"Avance fuera de rango 0-100%"&amp;" · ","")&amp;IF(OR(AND($J241&lt;&gt;"",$J241&lt;$I241),AND($K241&lt;&gt;"",$K241&lt;MAX($I241:$J241)),AND($L241&lt;&gt;"",$L241&lt;MAX($I241:$K241))),"Avance semanal decreciente"&amp;" · ","")&amp;IF(AND(ISNUMBER($AN241),$AN241&lt;FechaRef,IF($V241="Sub",N($X241),N($M241))&lt;1),"Vencida"&amp;" · ","")&amp;IF(AND(ObsObligatoria="Sí",ISNUMBER($AN241),$AN241&lt;FechaRef,IF($V241="Sub",N($X241),N($M241))&lt;1,$Q241=""),"Vencida sin observación"&amp;" · ",""),LEN(IF($C241="","Falta el nombre de la actividad"&amp;" · ","")&amp;IF(AND($V241="Sub",N($U241)=0),"Subactividad sin macroactividad arriba"&amp;" · ","")&amp;IF($AM241="","Sin fecha de inicio"&amp;" · ","")&amp;IF($AN241="","Sin fecha límite"&amp;" · ","")&amp;IF(AND(LEFT($C241,11)="[Jefatura] ",N($AL241)=0),"No se encuentra en la hoja de la jefatura (elíjala de nuevo en la lista)"&amp;" · ","")&amp;IF(OR(AND($E241&lt;&gt;"",NOT(ISNUMBER($E241))),AND($F241&lt;&gt;"",NOT(ISNUMBER($F241))),AND($G241&lt;&gt;"",NOT(ISNUMBER($G241)))),"Fecha no válida"&amp;" · ","")&amp;IF(AND(ISNUMBER($AM241),ISNUMBER($AN241),$AM241&gt;$AN241),"Inicio posterior a fecha límite"&amp;" · ","")&amp;IF(AND($V241="Macro",$H241&lt;&gt;"",OR(NOT(ISNUMBER($H241)),$H241&lt;0,$H241&gt;1)),"Peso fuera de rango"&amp;" · ","")&amp;IF(AND($V241="Sub",$H241&lt;&gt;""),"Las subactividades no llevan peso (valen igual dentro de su macroactividad)"&amp;" · ","")&amp;IF(AND(N($W241)&gt;0,COUNT($I241:$L241)&gt;0),"Con subactividades: deje vacías las semanas (se calculan solas)"&amp;" · ","")&amp;IF((COUNTIF($I241:$L241,"&gt;1")+COUNTIF($I241:$L241,"&lt;0")+COUNTA($I241:$L241)-COUNT($I241:$L241))&gt;0,"Avance fuera de rango 0-100%"&amp;" · ","")&amp;IF(OR(AND($J241&lt;&gt;"",$J241&lt;$I241),AND($K241&lt;&gt;"",$K241&lt;MAX($I241:$J241)),AND($L241&lt;&gt;"",$L241&lt;MAX($I241:$K241))),"Avance semanal decreciente"&amp;" · ","")&amp;IF(AND(ISNUMBER($AN241),$AN241&lt;FechaRef,IF($V241="Sub",N($X241),N($M241))&lt;1),"Vencida"&amp;" · ","")&amp;IF(AND(ObsObligatoria="Sí",ISNUMBER($AN241),$AN241&lt;FechaRef,IF($V241="Sub",N($X241),N($M241))&lt;1,$Q241=""),"Vencida sin observación"&amp;" · ",""))-3)))</f>
        <v/>
      </c>
      <c r="S241" s="64">
        <f>IF(NOT((COUNTA($B241:$D241)+COUNTA($G241:$L241)+COUNTA($Q241))&gt;0),"",IF(AND($V241="Sub",N($U241)&gt;0),IF(ISNUMBER(INDEX($AM$5:$AM$1000,$U241-4)),DATE(YEAR(INDEX($AM$5:$AM$1000,$U241-4)),MONTH(INDEX($AM$5:$AM$1000,$U241-4)),1),IF(ISNUMBER(INDEX($AN$5:$AN$1000,$U241-4)),DATE(YEAR(INDEX($AN$5:$AN$1000,$U241-4)),MONTH(INDEX($AN$5:$AN$1000,$U241-4)),1),MesCiclo)),IF(ISNUMBER($AM241),DATE(YEAR($AM241),MONTH($AM241),1),IF(ISNUMBER($AN241),DATE(YEAR($AN241),MONTH($AN241),1),MesCiclo))))</f>
        <v/>
      </c>
      <c r="T241" s="62">
        <f>IF(OR($S241="",$S241&lt;&gt;MesCiclo,$V241&lt;&gt;"Macro"),"",COUNTIFS($S$5:$S241,MesCiclo,$V$5:$V241,"Macro"))</f>
        <v/>
      </c>
      <c r="U241" s="62">
        <f>IF($V241="","",IF($V241="Macro",ROW(),IFERROR(LOOKUP(2,1/($V$5:$V241="Macro"),ROW($V$5:$V241)),0)))</f>
        <v/>
      </c>
      <c r="V241" s="62">
        <f>IF(NOT((COUNTA($B241:$D241)+COUNTA($G241:$L241)+COUNTA($Q241))&gt;0),"",IF($B241="Subactividad","Sub","Macro"))</f>
        <v/>
      </c>
      <c r="W241" s="62">
        <f>IF($V241="Macro",COUNTIFS($U$5:$U$1000,ROW(),$V$5:$V$1000,"Sub"),"")</f>
        <v/>
      </c>
      <c r="X241" s="62">
        <f>IF($V241="","",IF(ISNUMBER($G241),1,IFERROR(LOOKUP(2,1/($I241:$L241&lt;&gt;""),$I241:$L241),0)))</f>
        <v/>
      </c>
      <c r="Y241" s="62">
        <f>IF($V241="","",IF(AND(ISNUMBER($G241),$G241&lt;=IF($S241=MesCiclo,InicioCiclo,$S241+MOD(2-WEEKDAY($S241),7))+6),1,IF(ISNUMBER($I241),$I241,0)))</f>
        <v/>
      </c>
      <c r="Z241" s="62">
        <f>IF($V241="","",IF(AND(ISNUMBER($G241),$G241&lt;=IF($S241=MesCiclo,InicioCiclo,$S241+MOD(2-WEEKDAY($S241),7))+13),1,IF(ISNUMBER($J241),$J241,$Y241)))</f>
        <v/>
      </c>
      <c r="AA241" s="62">
        <f>IF($V241="","",IF(AND(ISNUMBER($G241),$G241&lt;=IF($S241=MesCiclo,InicioCiclo,$S241+MOD(2-WEEKDAY($S241),7))+20),1,IF(ISNUMBER($K241),$K241,$Z241)))</f>
        <v/>
      </c>
      <c r="AB241" s="62">
        <f>IF($V241="","",IF(AND(ISNUMBER($G241),$G241&lt;=IF($S241=MesCiclo,InicioCiclo,$S241+MOD(2-WEEKDAY($S241),7))+27),1,IF(ISNUMBER($L241),$L241,$AA241)))</f>
        <v/>
      </c>
      <c r="AC241" s="62">
        <f>IF($V241="","",IF(AND(ISNUMBER($G241),$G241&lt;=IF($S241=MesCiclo,InicioCiclo,$S241+MOD(2-WEEKDAY($S241),7))+6),1,IF(N($W241)&gt;0,AVERAGEIFS($Y$5:$Y$1000,$U$5:$U$1000,ROW(),$V$5:$V$1000,"Sub"),$Y241)))</f>
        <v/>
      </c>
      <c r="AD241" s="62">
        <f>IF($V241="","",IF(AND(ISNUMBER($G241),$G241&lt;=IF($S241=MesCiclo,InicioCiclo,$S241+MOD(2-WEEKDAY($S241),7))+13),1,IF(N($W241)&gt;0,AVERAGEIFS($Z$5:$Z$1000,$U$5:$U$1000,ROW(),$V$5:$V$1000,"Sub"),$Z241)))</f>
        <v/>
      </c>
      <c r="AE241" s="62">
        <f>IF($V241="","",IF(AND(ISNUMBER($G241),$G241&lt;=IF($S241=MesCiclo,InicioCiclo,$S241+MOD(2-WEEKDAY($S241),7))+20),1,IF(N($W241)&gt;0,AVERAGEIFS($AA$5:$AA$1000,$U$5:$U$1000,ROW(),$V$5:$V$1000,"Sub"),$AA241)))</f>
        <v/>
      </c>
      <c r="AF241" s="62">
        <f>IF($V241="","",IF(AND(ISNUMBER($G241),$G241&lt;=IF($S241=MesCiclo,InicioCiclo,$S241+MOD(2-WEEKDAY($S241),7))+27),1,IF(N($W241)&gt;0,AVERAGEIFS($AB$5:$AB$1000,$U$5:$U$1000,ROW(),$V$5:$V$1000,"Sub"),$AB241)))</f>
        <v/>
      </c>
      <c r="AG241" s="62">
        <f>IF($V241&lt;&gt;"Macro","",IF(COUNTIFS($S$5:$S$1000,$S241,$V$5:$V$1000,"Macro",$H$5:$H$1000,"&gt;0")=0,1/COUNTIFS($S$5:$S$1000,$S241,$V$5:$V$1000,"Macro"),IF(AND(ISNUMBER($H241),N($H241)&gt;0),$H241,SUMIFS($H$5:$H$1000,$S$5:$S$1000,$S241,$V$5:$V$1000,"Macro")/COUNTIFS($S$5:$S$1000,$S241,$V$5:$V$1000,"Macro",$H$5:$H$1000,"&gt;0"))/(COUNTIFS($S$5:$S$1000,$S241,$V$5:$V$1000,"Macro")*SUMIFS($H$5:$H$1000,$S$5:$S$1000,$S241,$V$5:$V$1000,"Macro")/COUNTIFS($S$5:$S$1000,$S241,$V$5:$V$1000,"Macro",$H$5:$H$1000,"&gt;0"))))</f>
        <v/>
      </c>
      <c r="AH241" s="62" t="n"/>
      <c r="AI241" s="62" t="n"/>
      <c r="AJ241" s="62" t="n"/>
      <c r="AK241" s="62" t="n"/>
      <c r="AL241" s="62">
        <f>IF(LEFT($C241,11)="[Jefatura] ",IFERROR(MATCH("Riesgo Financiero|"&amp;MID($C241,12,500),rDname_ADM,0),0),"")</f>
        <v/>
      </c>
      <c r="AM241" s="62">
        <f>IF(N($AL241)&gt;0,INDEX(rIni_ADM,$AL241),IF(ISNUMBER($E241),$E241,""))</f>
        <v/>
      </c>
      <c r="AN241" s="62">
        <f>IF(N($AL241)&gt;0,INDEX(rLim_ADM,$AL241),IF(ISNUMBER($F241),$F241,""))</f>
        <v/>
      </c>
    </row>
    <row r="242">
      <c r="A242" s="56">
        <f>IF(NOT((COUNTA($B242:$D242)+COUNTA($G242:$L242)+COUNTA($Q242))&gt;0),"",IF($V242="Macro",COUNTIFS($V$5:$V242,"Macro",$S$5:$S242,$S242),IF(N($U242)=0,"?",COUNTIFS(INDEX($V$5:$V$1000,1):INDEX($V$5:$V$1000,$U242-4),"Macro",INDEX($S$5:$S$1000,1):INDEX($S$5:$S$1000,$U242-4),INDEX($S$5:$S$1000,$U242-4))&amp;"."&amp;COUNTIFS($U$5:$U242,$U242,$V$5:$V242,"Sub"))))</f>
        <v/>
      </c>
      <c r="B242" s="57" t="n"/>
      <c r="C242" s="58" t="n"/>
      <c r="D242" s="58" t="n"/>
      <c r="E242" s="59">
        <f>IF(N($AL242)&gt;0,INDEX(rIni_ADM,$AL242),"")</f>
        <v/>
      </c>
      <c r="F242" s="59">
        <f>IF(N($AL242)&gt;0,INDEX(rLim_ADM,$AL242),"")</f>
        <v/>
      </c>
      <c r="G242" s="59" t="n"/>
      <c r="H242" s="60" t="n"/>
      <c r="I242" s="60" t="n"/>
      <c r="J242" s="60" t="n"/>
      <c r="K242" s="60" t="n"/>
      <c r="L242" s="60" t="n"/>
      <c r="M242" s="61">
        <f>IF(NOT((COUNTA($B242:$D242)+COUNTA($G242:$L242)+COUNTA($Q242))&gt;0),"",IF($V242="Sub",IFERROR($X242/INDEX($W$5:$W$1000,$U242-4),""),IF(ISNUMBER($G242),1,IF(N($W242)&gt;0,AVERAGEIFS($X$5:$X$1000,$U$5:$U$1000,ROW(),$V$5:$V$1000,"Sub"),$X242))))</f>
        <v/>
      </c>
      <c r="N242" s="56">
        <f>IF(OR($M242="",$V242="Sub"),"",IF($M242&gt;=1,"Completado",IF($M242&gt;0,"En curso","Pendiente")))</f>
        <v/>
      </c>
      <c r="O242" s="56">
        <f>IF(OR(NOT((COUNTA($B242:$D242)+COUNTA($G242:$L242)+COUNTA($Q242))&gt;0),$V242="Sub"),"",IF(ISNUMBER($G242),IF(AND(ISNUMBER($AN242),$G242&gt;$AN242),"Cumplida con "&amp;($G242-$AN242)&amp;IF($G242-$AN242=1," día"," días")&amp;" de retraso","Cumplida"),IF(N($M242)&gt;=1,"Cumplida",IF(NOT(ISNUMBER($AN242)),"Sin fecha límite",IF($AN242&lt;FechaRef,"Vencida hace "&amp;(FechaRef-$AN242)&amp;IF(FechaRef-$AN242=1," día"," días"),IF($AN242=FechaRef,"Vence hoy",IF($AN242-FechaRef&lt;=DiasAlerta,"Vence en "&amp;($AN242-FechaRef)&amp;IF($AN242-FechaRef=1," día"," días"),"En plazo")))))))</f>
        <v/>
      </c>
      <c r="P242" s="62" t="n"/>
      <c r="Q242" s="58" t="n"/>
      <c r="R242" s="63">
        <f>IF(NOT((COUNTA($B242:$D242)+COUNTA($G242:$L242)+COUNTA($Q242))&gt;0),"",IF((IF($C242="","Falta el nombre de la actividad"&amp;" · ","")&amp;IF(AND($V242="Sub",N($U242)=0),"Subactividad sin macroactividad arriba"&amp;" · ","")&amp;IF($AM242="","Sin fecha de inicio"&amp;" · ","")&amp;IF($AN242="","Sin fecha límite"&amp;" · ","")&amp;IF(AND(LEFT($C242,11)="[Jefatura] ",N($AL242)=0),"No se encuentra en la hoja de la jefatura (elíjala de nuevo en la lista)"&amp;" · ","")&amp;IF(OR(AND($E242&lt;&gt;"",NOT(ISNUMBER($E242))),AND($F242&lt;&gt;"",NOT(ISNUMBER($F242))),AND($G242&lt;&gt;"",NOT(ISNUMBER($G242)))),"Fecha no válida"&amp;" · ","")&amp;IF(AND(ISNUMBER($AM242),ISNUMBER($AN242),$AM242&gt;$AN242),"Inicio posterior a fecha límite"&amp;" · ","")&amp;IF(AND($V242="Macro",$H242&lt;&gt;"",OR(NOT(ISNUMBER($H242)),$H242&lt;0,$H242&gt;1)),"Peso fuera de rango"&amp;" · ","")&amp;IF(AND($V242="Sub",$H242&lt;&gt;""),"Las subactividades no llevan peso (valen igual dentro de su macroactividad)"&amp;" · ","")&amp;IF(AND(N($W242)&gt;0,COUNT($I242:$L242)&gt;0),"Con subactividades: deje vacías las semanas (se calculan solas)"&amp;" · ","")&amp;IF((COUNTIF($I242:$L242,"&gt;1")+COUNTIF($I242:$L242,"&lt;0")+COUNTA($I242:$L242)-COUNT($I242:$L242))&gt;0,"Avance fuera de rango 0-100%"&amp;" · ","")&amp;IF(OR(AND($J242&lt;&gt;"",$J242&lt;$I242),AND($K242&lt;&gt;"",$K242&lt;MAX($I242:$J242)),AND($L242&lt;&gt;"",$L242&lt;MAX($I242:$K242))),"Avance semanal decreciente"&amp;" · ","")&amp;IF(AND(ISNUMBER($AN242),$AN242&lt;FechaRef,IF($V242="Sub",N($X242),N($M242))&lt;1),"Vencida"&amp;" · ","")&amp;IF(AND(ObsObligatoria="Sí",ISNUMBER($AN242),$AN242&lt;FechaRef,IF($V242="Sub",N($X242),N($M242))&lt;1,$Q242=""),"Vencida sin observación"&amp;" · ",""))="","✔ OK","⚠ "&amp;LEFT(IF($C242="","Falta el nombre de la actividad"&amp;" · ","")&amp;IF(AND($V242="Sub",N($U242)=0),"Subactividad sin macroactividad arriba"&amp;" · ","")&amp;IF($AM242="","Sin fecha de inicio"&amp;" · ","")&amp;IF($AN242="","Sin fecha límite"&amp;" · ","")&amp;IF(AND(LEFT($C242,11)="[Jefatura] ",N($AL242)=0),"No se encuentra en la hoja de la jefatura (elíjala de nuevo en la lista)"&amp;" · ","")&amp;IF(OR(AND($E242&lt;&gt;"",NOT(ISNUMBER($E242))),AND($F242&lt;&gt;"",NOT(ISNUMBER($F242))),AND($G242&lt;&gt;"",NOT(ISNUMBER($G242)))),"Fecha no válida"&amp;" · ","")&amp;IF(AND(ISNUMBER($AM242),ISNUMBER($AN242),$AM242&gt;$AN242),"Inicio posterior a fecha límite"&amp;" · ","")&amp;IF(AND($V242="Macro",$H242&lt;&gt;"",OR(NOT(ISNUMBER($H242)),$H242&lt;0,$H242&gt;1)),"Peso fuera de rango"&amp;" · ","")&amp;IF(AND($V242="Sub",$H242&lt;&gt;""),"Las subactividades no llevan peso (valen igual dentro de su macroactividad)"&amp;" · ","")&amp;IF(AND(N($W242)&gt;0,COUNT($I242:$L242)&gt;0),"Con subactividades: deje vacías las semanas (se calculan solas)"&amp;" · ","")&amp;IF((COUNTIF($I242:$L242,"&gt;1")+COUNTIF($I242:$L242,"&lt;0")+COUNTA($I242:$L242)-COUNT($I242:$L242))&gt;0,"Avance fuera de rango 0-100%"&amp;" · ","")&amp;IF(OR(AND($J242&lt;&gt;"",$J242&lt;$I242),AND($K242&lt;&gt;"",$K242&lt;MAX($I242:$J242)),AND($L242&lt;&gt;"",$L242&lt;MAX($I242:$K242))),"Avance semanal decreciente"&amp;" · ","")&amp;IF(AND(ISNUMBER($AN242),$AN242&lt;FechaRef,IF($V242="Sub",N($X242),N($M242))&lt;1),"Vencida"&amp;" · ","")&amp;IF(AND(ObsObligatoria="Sí",ISNUMBER($AN242),$AN242&lt;FechaRef,IF($V242="Sub",N($X242),N($M242))&lt;1,$Q242=""),"Vencida sin observación"&amp;" · ",""),LEN(IF($C242="","Falta el nombre de la actividad"&amp;" · ","")&amp;IF(AND($V242="Sub",N($U242)=0),"Subactividad sin macroactividad arriba"&amp;" · ","")&amp;IF($AM242="","Sin fecha de inicio"&amp;" · ","")&amp;IF($AN242="","Sin fecha límite"&amp;" · ","")&amp;IF(AND(LEFT($C242,11)="[Jefatura] ",N($AL242)=0),"No se encuentra en la hoja de la jefatura (elíjala de nuevo en la lista)"&amp;" · ","")&amp;IF(OR(AND($E242&lt;&gt;"",NOT(ISNUMBER($E242))),AND($F242&lt;&gt;"",NOT(ISNUMBER($F242))),AND($G242&lt;&gt;"",NOT(ISNUMBER($G242)))),"Fecha no válida"&amp;" · ","")&amp;IF(AND(ISNUMBER($AM242),ISNUMBER($AN242),$AM242&gt;$AN242),"Inicio posterior a fecha límite"&amp;" · ","")&amp;IF(AND($V242="Macro",$H242&lt;&gt;"",OR(NOT(ISNUMBER($H242)),$H242&lt;0,$H242&gt;1)),"Peso fuera de rango"&amp;" · ","")&amp;IF(AND($V242="Sub",$H242&lt;&gt;""),"Las subactividades no llevan peso (valen igual dentro de su macroactividad)"&amp;" · ","")&amp;IF(AND(N($W242)&gt;0,COUNT($I242:$L242)&gt;0),"Con subactividades: deje vacías las semanas (se calculan solas)"&amp;" · ","")&amp;IF((COUNTIF($I242:$L242,"&gt;1")+COUNTIF($I242:$L242,"&lt;0")+COUNTA($I242:$L242)-COUNT($I242:$L242))&gt;0,"Avance fuera de rango 0-100%"&amp;" · ","")&amp;IF(OR(AND($J242&lt;&gt;"",$J242&lt;$I242),AND($K242&lt;&gt;"",$K242&lt;MAX($I242:$J242)),AND($L242&lt;&gt;"",$L242&lt;MAX($I242:$K242))),"Avance semanal decreciente"&amp;" · ","")&amp;IF(AND(ISNUMBER($AN242),$AN242&lt;FechaRef,IF($V242="Sub",N($X242),N($M242))&lt;1),"Vencida"&amp;" · ","")&amp;IF(AND(ObsObligatoria="Sí",ISNUMBER($AN242),$AN242&lt;FechaRef,IF($V242="Sub",N($X242),N($M242))&lt;1,$Q242=""),"Vencida sin observación"&amp;" · ",""))-3)))</f>
        <v/>
      </c>
      <c r="S242" s="64">
        <f>IF(NOT((COUNTA($B242:$D242)+COUNTA($G242:$L242)+COUNTA($Q242))&gt;0),"",IF(AND($V242="Sub",N($U242)&gt;0),IF(ISNUMBER(INDEX($AM$5:$AM$1000,$U242-4)),DATE(YEAR(INDEX($AM$5:$AM$1000,$U242-4)),MONTH(INDEX($AM$5:$AM$1000,$U242-4)),1),IF(ISNUMBER(INDEX($AN$5:$AN$1000,$U242-4)),DATE(YEAR(INDEX($AN$5:$AN$1000,$U242-4)),MONTH(INDEX($AN$5:$AN$1000,$U242-4)),1),MesCiclo)),IF(ISNUMBER($AM242),DATE(YEAR($AM242),MONTH($AM242),1),IF(ISNUMBER($AN242),DATE(YEAR($AN242),MONTH($AN242),1),MesCiclo))))</f>
        <v/>
      </c>
      <c r="T242" s="62">
        <f>IF(OR($S242="",$S242&lt;&gt;MesCiclo,$V242&lt;&gt;"Macro"),"",COUNTIFS($S$5:$S242,MesCiclo,$V$5:$V242,"Macro"))</f>
        <v/>
      </c>
      <c r="U242" s="62">
        <f>IF($V242="","",IF($V242="Macro",ROW(),IFERROR(LOOKUP(2,1/($V$5:$V242="Macro"),ROW($V$5:$V242)),0)))</f>
        <v/>
      </c>
      <c r="V242" s="62">
        <f>IF(NOT((COUNTA($B242:$D242)+COUNTA($G242:$L242)+COUNTA($Q242))&gt;0),"",IF($B242="Subactividad","Sub","Macro"))</f>
        <v/>
      </c>
      <c r="W242" s="62">
        <f>IF($V242="Macro",COUNTIFS($U$5:$U$1000,ROW(),$V$5:$V$1000,"Sub"),"")</f>
        <v/>
      </c>
      <c r="X242" s="62">
        <f>IF($V242="","",IF(ISNUMBER($G242),1,IFERROR(LOOKUP(2,1/($I242:$L242&lt;&gt;""),$I242:$L242),0)))</f>
        <v/>
      </c>
      <c r="Y242" s="62">
        <f>IF($V242="","",IF(AND(ISNUMBER($G242),$G242&lt;=IF($S242=MesCiclo,InicioCiclo,$S242+MOD(2-WEEKDAY($S242),7))+6),1,IF(ISNUMBER($I242),$I242,0)))</f>
        <v/>
      </c>
      <c r="Z242" s="62">
        <f>IF($V242="","",IF(AND(ISNUMBER($G242),$G242&lt;=IF($S242=MesCiclo,InicioCiclo,$S242+MOD(2-WEEKDAY($S242),7))+13),1,IF(ISNUMBER($J242),$J242,$Y242)))</f>
        <v/>
      </c>
      <c r="AA242" s="62">
        <f>IF($V242="","",IF(AND(ISNUMBER($G242),$G242&lt;=IF($S242=MesCiclo,InicioCiclo,$S242+MOD(2-WEEKDAY($S242),7))+20),1,IF(ISNUMBER($K242),$K242,$Z242)))</f>
        <v/>
      </c>
      <c r="AB242" s="62">
        <f>IF($V242="","",IF(AND(ISNUMBER($G242),$G242&lt;=IF($S242=MesCiclo,InicioCiclo,$S242+MOD(2-WEEKDAY($S242),7))+27),1,IF(ISNUMBER($L242),$L242,$AA242)))</f>
        <v/>
      </c>
      <c r="AC242" s="62">
        <f>IF($V242="","",IF(AND(ISNUMBER($G242),$G242&lt;=IF($S242=MesCiclo,InicioCiclo,$S242+MOD(2-WEEKDAY($S242),7))+6),1,IF(N($W242)&gt;0,AVERAGEIFS($Y$5:$Y$1000,$U$5:$U$1000,ROW(),$V$5:$V$1000,"Sub"),$Y242)))</f>
        <v/>
      </c>
      <c r="AD242" s="62">
        <f>IF($V242="","",IF(AND(ISNUMBER($G242),$G242&lt;=IF($S242=MesCiclo,InicioCiclo,$S242+MOD(2-WEEKDAY($S242),7))+13),1,IF(N($W242)&gt;0,AVERAGEIFS($Z$5:$Z$1000,$U$5:$U$1000,ROW(),$V$5:$V$1000,"Sub"),$Z242)))</f>
        <v/>
      </c>
      <c r="AE242" s="62">
        <f>IF($V242="","",IF(AND(ISNUMBER($G242),$G242&lt;=IF($S242=MesCiclo,InicioCiclo,$S242+MOD(2-WEEKDAY($S242),7))+20),1,IF(N($W242)&gt;0,AVERAGEIFS($AA$5:$AA$1000,$U$5:$U$1000,ROW(),$V$5:$V$1000,"Sub"),$AA242)))</f>
        <v/>
      </c>
      <c r="AF242" s="62">
        <f>IF($V242="","",IF(AND(ISNUMBER($G242),$G242&lt;=IF($S242=MesCiclo,InicioCiclo,$S242+MOD(2-WEEKDAY($S242),7))+27),1,IF(N($W242)&gt;0,AVERAGEIFS($AB$5:$AB$1000,$U$5:$U$1000,ROW(),$V$5:$V$1000,"Sub"),$AB242)))</f>
        <v/>
      </c>
      <c r="AG242" s="62">
        <f>IF($V242&lt;&gt;"Macro","",IF(COUNTIFS($S$5:$S$1000,$S242,$V$5:$V$1000,"Macro",$H$5:$H$1000,"&gt;0")=0,1/COUNTIFS($S$5:$S$1000,$S242,$V$5:$V$1000,"Macro"),IF(AND(ISNUMBER($H242),N($H242)&gt;0),$H242,SUMIFS($H$5:$H$1000,$S$5:$S$1000,$S242,$V$5:$V$1000,"Macro")/COUNTIFS($S$5:$S$1000,$S242,$V$5:$V$1000,"Macro",$H$5:$H$1000,"&gt;0"))/(COUNTIFS($S$5:$S$1000,$S242,$V$5:$V$1000,"Macro")*SUMIFS($H$5:$H$1000,$S$5:$S$1000,$S242,$V$5:$V$1000,"Macro")/COUNTIFS($S$5:$S$1000,$S242,$V$5:$V$1000,"Macro",$H$5:$H$1000,"&gt;0"))))</f>
        <v/>
      </c>
      <c r="AH242" s="62" t="n"/>
      <c r="AI242" s="62" t="n"/>
      <c r="AJ242" s="62" t="n"/>
      <c r="AK242" s="62" t="n"/>
      <c r="AL242" s="62">
        <f>IF(LEFT($C242,11)="[Jefatura] ",IFERROR(MATCH("Riesgo Financiero|"&amp;MID($C242,12,500),rDname_ADM,0),0),"")</f>
        <v/>
      </c>
      <c r="AM242" s="62">
        <f>IF(N($AL242)&gt;0,INDEX(rIni_ADM,$AL242),IF(ISNUMBER($E242),$E242,""))</f>
        <v/>
      </c>
      <c r="AN242" s="62">
        <f>IF(N($AL242)&gt;0,INDEX(rLim_ADM,$AL242),IF(ISNUMBER($F242),$F242,""))</f>
        <v/>
      </c>
    </row>
    <row r="243">
      <c r="A243" s="56">
        <f>IF(NOT((COUNTA($B243:$D243)+COUNTA($G243:$L243)+COUNTA($Q243))&gt;0),"",IF($V243="Macro",COUNTIFS($V$5:$V243,"Macro",$S$5:$S243,$S243),IF(N($U243)=0,"?",COUNTIFS(INDEX($V$5:$V$1000,1):INDEX($V$5:$V$1000,$U243-4),"Macro",INDEX($S$5:$S$1000,1):INDEX($S$5:$S$1000,$U243-4),INDEX($S$5:$S$1000,$U243-4))&amp;"."&amp;COUNTIFS($U$5:$U243,$U243,$V$5:$V243,"Sub"))))</f>
        <v/>
      </c>
      <c r="B243" s="57" t="n"/>
      <c r="C243" s="58" t="n"/>
      <c r="D243" s="58" t="n"/>
      <c r="E243" s="59">
        <f>IF(N($AL243)&gt;0,INDEX(rIni_ADM,$AL243),"")</f>
        <v/>
      </c>
      <c r="F243" s="59">
        <f>IF(N($AL243)&gt;0,INDEX(rLim_ADM,$AL243),"")</f>
        <v/>
      </c>
      <c r="G243" s="59" t="n"/>
      <c r="H243" s="60" t="n"/>
      <c r="I243" s="60" t="n"/>
      <c r="J243" s="60" t="n"/>
      <c r="K243" s="60" t="n"/>
      <c r="L243" s="60" t="n"/>
      <c r="M243" s="61">
        <f>IF(NOT((COUNTA($B243:$D243)+COUNTA($G243:$L243)+COUNTA($Q243))&gt;0),"",IF($V243="Sub",IFERROR($X243/INDEX($W$5:$W$1000,$U243-4),""),IF(ISNUMBER($G243),1,IF(N($W243)&gt;0,AVERAGEIFS($X$5:$X$1000,$U$5:$U$1000,ROW(),$V$5:$V$1000,"Sub"),$X243))))</f>
        <v/>
      </c>
      <c r="N243" s="56">
        <f>IF(OR($M243="",$V243="Sub"),"",IF($M243&gt;=1,"Completado",IF($M243&gt;0,"En curso","Pendiente")))</f>
        <v/>
      </c>
      <c r="O243" s="56">
        <f>IF(OR(NOT((COUNTA($B243:$D243)+COUNTA($G243:$L243)+COUNTA($Q243))&gt;0),$V243="Sub"),"",IF(ISNUMBER($G243),IF(AND(ISNUMBER($AN243),$G243&gt;$AN243),"Cumplida con "&amp;($G243-$AN243)&amp;IF($G243-$AN243=1," día"," días")&amp;" de retraso","Cumplida"),IF(N($M243)&gt;=1,"Cumplida",IF(NOT(ISNUMBER($AN243)),"Sin fecha límite",IF($AN243&lt;FechaRef,"Vencida hace "&amp;(FechaRef-$AN243)&amp;IF(FechaRef-$AN243=1," día"," días"),IF($AN243=FechaRef,"Vence hoy",IF($AN243-FechaRef&lt;=DiasAlerta,"Vence en "&amp;($AN243-FechaRef)&amp;IF($AN243-FechaRef=1," día"," días"),"En plazo")))))))</f>
        <v/>
      </c>
      <c r="P243" s="62" t="n"/>
      <c r="Q243" s="58" t="n"/>
      <c r="R243" s="63">
        <f>IF(NOT((COUNTA($B243:$D243)+COUNTA($G243:$L243)+COUNTA($Q243))&gt;0),"",IF((IF($C243="","Falta el nombre de la actividad"&amp;" · ","")&amp;IF(AND($V243="Sub",N($U243)=0),"Subactividad sin macroactividad arriba"&amp;" · ","")&amp;IF($AM243="","Sin fecha de inicio"&amp;" · ","")&amp;IF($AN243="","Sin fecha límite"&amp;" · ","")&amp;IF(AND(LEFT($C243,11)="[Jefatura] ",N($AL243)=0),"No se encuentra en la hoja de la jefatura (elíjala de nuevo en la lista)"&amp;" · ","")&amp;IF(OR(AND($E243&lt;&gt;"",NOT(ISNUMBER($E243))),AND($F243&lt;&gt;"",NOT(ISNUMBER($F243))),AND($G243&lt;&gt;"",NOT(ISNUMBER($G243)))),"Fecha no válida"&amp;" · ","")&amp;IF(AND(ISNUMBER($AM243),ISNUMBER($AN243),$AM243&gt;$AN243),"Inicio posterior a fecha límite"&amp;" · ","")&amp;IF(AND($V243="Macro",$H243&lt;&gt;"",OR(NOT(ISNUMBER($H243)),$H243&lt;0,$H243&gt;1)),"Peso fuera de rango"&amp;" · ","")&amp;IF(AND($V243="Sub",$H243&lt;&gt;""),"Las subactividades no llevan peso (valen igual dentro de su macroactividad)"&amp;" · ","")&amp;IF(AND(N($W243)&gt;0,COUNT($I243:$L243)&gt;0),"Con subactividades: deje vacías las semanas (se calculan solas)"&amp;" · ","")&amp;IF((COUNTIF($I243:$L243,"&gt;1")+COUNTIF($I243:$L243,"&lt;0")+COUNTA($I243:$L243)-COUNT($I243:$L243))&gt;0,"Avance fuera de rango 0-100%"&amp;" · ","")&amp;IF(OR(AND($J243&lt;&gt;"",$J243&lt;$I243),AND($K243&lt;&gt;"",$K243&lt;MAX($I243:$J243)),AND($L243&lt;&gt;"",$L243&lt;MAX($I243:$K243))),"Avance semanal decreciente"&amp;" · ","")&amp;IF(AND(ISNUMBER($AN243),$AN243&lt;FechaRef,IF($V243="Sub",N($X243),N($M243))&lt;1),"Vencida"&amp;" · ","")&amp;IF(AND(ObsObligatoria="Sí",ISNUMBER($AN243),$AN243&lt;FechaRef,IF($V243="Sub",N($X243),N($M243))&lt;1,$Q243=""),"Vencida sin observación"&amp;" · ",""))="","✔ OK","⚠ "&amp;LEFT(IF($C243="","Falta el nombre de la actividad"&amp;" · ","")&amp;IF(AND($V243="Sub",N($U243)=0),"Subactividad sin macroactividad arriba"&amp;" · ","")&amp;IF($AM243="","Sin fecha de inicio"&amp;" · ","")&amp;IF($AN243="","Sin fecha límite"&amp;" · ","")&amp;IF(AND(LEFT($C243,11)="[Jefatura] ",N($AL243)=0),"No se encuentra en la hoja de la jefatura (elíjala de nuevo en la lista)"&amp;" · ","")&amp;IF(OR(AND($E243&lt;&gt;"",NOT(ISNUMBER($E243))),AND($F243&lt;&gt;"",NOT(ISNUMBER($F243))),AND($G243&lt;&gt;"",NOT(ISNUMBER($G243)))),"Fecha no válida"&amp;" · ","")&amp;IF(AND(ISNUMBER($AM243),ISNUMBER($AN243),$AM243&gt;$AN243),"Inicio posterior a fecha límite"&amp;" · ","")&amp;IF(AND($V243="Macro",$H243&lt;&gt;"",OR(NOT(ISNUMBER($H243)),$H243&lt;0,$H243&gt;1)),"Peso fuera de rango"&amp;" · ","")&amp;IF(AND($V243="Sub",$H243&lt;&gt;""),"Las subactividades no llevan peso (valen igual dentro de su macroactividad)"&amp;" · ","")&amp;IF(AND(N($W243)&gt;0,COUNT($I243:$L243)&gt;0),"Con subactividades: deje vacías las semanas (se calculan solas)"&amp;" · ","")&amp;IF((COUNTIF($I243:$L243,"&gt;1")+COUNTIF($I243:$L243,"&lt;0")+COUNTA($I243:$L243)-COUNT($I243:$L243))&gt;0,"Avance fuera de rango 0-100%"&amp;" · ","")&amp;IF(OR(AND($J243&lt;&gt;"",$J243&lt;$I243),AND($K243&lt;&gt;"",$K243&lt;MAX($I243:$J243)),AND($L243&lt;&gt;"",$L243&lt;MAX($I243:$K243))),"Avance semanal decreciente"&amp;" · ","")&amp;IF(AND(ISNUMBER($AN243),$AN243&lt;FechaRef,IF($V243="Sub",N($X243),N($M243))&lt;1),"Vencida"&amp;" · ","")&amp;IF(AND(ObsObligatoria="Sí",ISNUMBER($AN243),$AN243&lt;FechaRef,IF($V243="Sub",N($X243),N($M243))&lt;1,$Q243=""),"Vencida sin observación"&amp;" · ",""),LEN(IF($C243="","Falta el nombre de la actividad"&amp;" · ","")&amp;IF(AND($V243="Sub",N($U243)=0),"Subactividad sin macroactividad arriba"&amp;" · ","")&amp;IF($AM243="","Sin fecha de inicio"&amp;" · ","")&amp;IF($AN243="","Sin fecha límite"&amp;" · ","")&amp;IF(AND(LEFT($C243,11)="[Jefatura] ",N($AL243)=0),"No se encuentra en la hoja de la jefatura (elíjala de nuevo en la lista)"&amp;" · ","")&amp;IF(OR(AND($E243&lt;&gt;"",NOT(ISNUMBER($E243))),AND($F243&lt;&gt;"",NOT(ISNUMBER($F243))),AND($G243&lt;&gt;"",NOT(ISNUMBER($G243)))),"Fecha no válida"&amp;" · ","")&amp;IF(AND(ISNUMBER($AM243),ISNUMBER($AN243),$AM243&gt;$AN243),"Inicio posterior a fecha límite"&amp;" · ","")&amp;IF(AND($V243="Macro",$H243&lt;&gt;"",OR(NOT(ISNUMBER($H243)),$H243&lt;0,$H243&gt;1)),"Peso fuera de rango"&amp;" · ","")&amp;IF(AND($V243="Sub",$H243&lt;&gt;""),"Las subactividades no llevan peso (valen igual dentro de su macroactividad)"&amp;" · ","")&amp;IF(AND(N($W243)&gt;0,COUNT($I243:$L243)&gt;0),"Con subactividades: deje vacías las semanas (se calculan solas)"&amp;" · ","")&amp;IF((COUNTIF($I243:$L243,"&gt;1")+COUNTIF($I243:$L243,"&lt;0")+COUNTA($I243:$L243)-COUNT($I243:$L243))&gt;0,"Avance fuera de rango 0-100%"&amp;" · ","")&amp;IF(OR(AND($J243&lt;&gt;"",$J243&lt;$I243),AND($K243&lt;&gt;"",$K243&lt;MAX($I243:$J243)),AND($L243&lt;&gt;"",$L243&lt;MAX($I243:$K243))),"Avance semanal decreciente"&amp;" · ","")&amp;IF(AND(ISNUMBER($AN243),$AN243&lt;FechaRef,IF($V243="Sub",N($X243),N($M243))&lt;1),"Vencida"&amp;" · ","")&amp;IF(AND(ObsObligatoria="Sí",ISNUMBER($AN243),$AN243&lt;FechaRef,IF($V243="Sub",N($X243),N($M243))&lt;1,$Q243=""),"Vencida sin observación"&amp;" · ",""))-3)))</f>
        <v/>
      </c>
      <c r="S243" s="64">
        <f>IF(NOT((COUNTA($B243:$D243)+COUNTA($G243:$L243)+COUNTA($Q243))&gt;0),"",IF(AND($V243="Sub",N($U243)&gt;0),IF(ISNUMBER(INDEX($AM$5:$AM$1000,$U243-4)),DATE(YEAR(INDEX($AM$5:$AM$1000,$U243-4)),MONTH(INDEX($AM$5:$AM$1000,$U243-4)),1),IF(ISNUMBER(INDEX($AN$5:$AN$1000,$U243-4)),DATE(YEAR(INDEX($AN$5:$AN$1000,$U243-4)),MONTH(INDEX($AN$5:$AN$1000,$U243-4)),1),MesCiclo)),IF(ISNUMBER($AM243),DATE(YEAR($AM243),MONTH($AM243),1),IF(ISNUMBER($AN243),DATE(YEAR($AN243),MONTH($AN243),1),MesCiclo))))</f>
        <v/>
      </c>
      <c r="T243" s="62">
        <f>IF(OR($S243="",$S243&lt;&gt;MesCiclo,$V243&lt;&gt;"Macro"),"",COUNTIFS($S$5:$S243,MesCiclo,$V$5:$V243,"Macro"))</f>
        <v/>
      </c>
      <c r="U243" s="62">
        <f>IF($V243="","",IF($V243="Macro",ROW(),IFERROR(LOOKUP(2,1/($V$5:$V243="Macro"),ROW($V$5:$V243)),0)))</f>
        <v/>
      </c>
      <c r="V243" s="62">
        <f>IF(NOT((COUNTA($B243:$D243)+COUNTA($G243:$L243)+COUNTA($Q243))&gt;0),"",IF($B243="Subactividad","Sub","Macro"))</f>
        <v/>
      </c>
      <c r="W243" s="62">
        <f>IF($V243="Macro",COUNTIFS($U$5:$U$1000,ROW(),$V$5:$V$1000,"Sub"),"")</f>
        <v/>
      </c>
      <c r="X243" s="62">
        <f>IF($V243="","",IF(ISNUMBER($G243),1,IFERROR(LOOKUP(2,1/($I243:$L243&lt;&gt;""),$I243:$L243),0)))</f>
        <v/>
      </c>
      <c r="Y243" s="62">
        <f>IF($V243="","",IF(AND(ISNUMBER($G243),$G243&lt;=IF($S243=MesCiclo,InicioCiclo,$S243+MOD(2-WEEKDAY($S243),7))+6),1,IF(ISNUMBER($I243),$I243,0)))</f>
        <v/>
      </c>
      <c r="Z243" s="62">
        <f>IF($V243="","",IF(AND(ISNUMBER($G243),$G243&lt;=IF($S243=MesCiclo,InicioCiclo,$S243+MOD(2-WEEKDAY($S243),7))+13),1,IF(ISNUMBER($J243),$J243,$Y243)))</f>
        <v/>
      </c>
      <c r="AA243" s="62">
        <f>IF($V243="","",IF(AND(ISNUMBER($G243),$G243&lt;=IF($S243=MesCiclo,InicioCiclo,$S243+MOD(2-WEEKDAY($S243),7))+20),1,IF(ISNUMBER($K243),$K243,$Z243)))</f>
        <v/>
      </c>
      <c r="AB243" s="62">
        <f>IF($V243="","",IF(AND(ISNUMBER($G243),$G243&lt;=IF($S243=MesCiclo,InicioCiclo,$S243+MOD(2-WEEKDAY($S243),7))+27),1,IF(ISNUMBER($L243),$L243,$AA243)))</f>
        <v/>
      </c>
      <c r="AC243" s="62">
        <f>IF($V243="","",IF(AND(ISNUMBER($G243),$G243&lt;=IF($S243=MesCiclo,InicioCiclo,$S243+MOD(2-WEEKDAY($S243),7))+6),1,IF(N($W243)&gt;0,AVERAGEIFS($Y$5:$Y$1000,$U$5:$U$1000,ROW(),$V$5:$V$1000,"Sub"),$Y243)))</f>
        <v/>
      </c>
      <c r="AD243" s="62">
        <f>IF($V243="","",IF(AND(ISNUMBER($G243),$G243&lt;=IF($S243=MesCiclo,InicioCiclo,$S243+MOD(2-WEEKDAY($S243),7))+13),1,IF(N($W243)&gt;0,AVERAGEIFS($Z$5:$Z$1000,$U$5:$U$1000,ROW(),$V$5:$V$1000,"Sub"),$Z243)))</f>
        <v/>
      </c>
      <c r="AE243" s="62">
        <f>IF($V243="","",IF(AND(ISNUMBER($G243),$G243&lt;=IF($S243=MesCiclo,InicioCiclo,$S243+MOD(2-WEEKDAY($S243),7))+20),1,IF(N($W243)&gt;0,AVERAGEIFS($AA$5:$AA$1000,$U$5:$U$1000,ROW(),$V$5:$V$1000,"Sub"),$AA243)))</f>
        <v/>
      </c>
      <c r="AF243" s="62">
        <f>IF($V243="","",IF(AND(ISNUMBER($G243),$G243&lt;=IF($S243=MesCiclo,InicioCiclo,$S243+MOD(2-WEEKDAY($S243),7))+27),1,IF(N($W243)&gt;0,AVERAGEIFS($AB$5:$AB$1000,$U$5:$U$1000,ROW(),$V$5:$V$1000,"Sub"),$AB243)))</f>
        <v/>
      </c>
      <c r="AG243" s="62">
        <f>IF($V243&lt;&gt;"Macro","",IF(COUNTIFS($S$5:$S$1000,$S243,$V$5:$V$1000,"Macro",$H$5:$H$1000,"&gt;0")=0,1/COUNTIFS($S$5:$S$1000,$S243,$V$5:$V$1000,"Macro"),IF(AND(ISNUMBER($H243),N($H243)&gt;0),$H243,SUMIFS($H$5:$H$1000,$S$5:$S$1000,$S243,$V$5:$V$1000,"Macro")/COUNTIFS($S$5:$S$1000,$S243,$V$5:$V$1000,"Macro",$H$5:$H$1000,"&gt;0"))/(COUNTIFS($S$5:$S$1000,$S243,$V$5:$V$1000,"Macro")*SUMIFS($H$5:$H$1000,$S$5:$S$1000,$S243,$V$5:$V$1000,"Macro")/COUNTIFS($S$5:$S$1000,$S243,$V$5:$V$1000,"Macro",$H$5:$H$1000,"&gt;0"))))</f>
        <v/>
      </c>
      <c r="AH243" s="62" t="n"/>
      <c r="AI243" s="62" t="n"/>
      <c r="AJ243" s="62" t="n"/>
      <c r="AK243" s="62" t="n"/>
      <c r="AL243" s="62">
        <f>IF(LEFT($C243,11)="[Jefatura] ",IFERROR(MATCH("Riesgo Financiero|"&amp;MID($C243,12,500),rDname_ADM,0),0),"")</f>
        <v/>
      </c>
      <c r="AM243" s="62">
        <f>IF(N($AL243)&gt;0,INDEX(rIni_ADM,$AL243),IF(ISNUMBER($E243),$E243,""))</f>
        <v/>
      </c>
      <c r="AN243" s="62">
        <f>IF(N($AL243)&gt;0,INDEX(rLim_ADM,$AL243),IF(ISNUMBER($F243),$F243,""))</f>
        <v/>
      </c>
    </row>
    <row r="244">
      <c r="A244" s="56">
        <f>IF(NOT((COUNTA($B244:$D244)+COUNTA($G244:$L244)+COUNTA($Q244))&gt;0),"",IF($V244="Macro",COUNTIFS($V$5:$V244,"Macro",$S$5:$S244,$S244),IF(N($U244)=0,"?",COUNTIFS(INDEX($V$5:$V$1000,1):INDEX($V$5:$V$1000,$U244-4),"Macro",INDEX($S$5:$S$1000,1):INDEX($S$5:$S$1000,$U244-4),INDEX($S$5:$S$1000,$U244-4))&amp;"."&amp;COUNTIFS($U$5:$U244,$U244,$V$5:$V244,"Sub"))))</f>
        <v/>
      </c>
      <c r="B244" s="57" t="n"/>
      <c r="C244" s="58" t="n"/>
      <c r="D244" s="58" t="n"/>
      <c r="E244" s="59">
        <f>IF(N($AL244)&gt;0,INDEX(rIni_ADM,$AL244),"")</f>
        <v/>
      </c>
      <c r="F244" s="59">
        <f>IF(N($AL244)&gt;0,INDEX(rLim_ADM,$AL244),"")</f>
        <v/>
      </c>
      <c r="G244" s="59" t="n"/>
      <c r="H244" s="60" t="n"/>
      <c r="I244" s="60" t="n"/>
      <c r="J244" s="60" t="n"/>
      <c r="K244" s="60" t="n"/>
      <c r="L244" s="60" t="n"/>
      <c r="M244" s="61">
        <f>IF(NOT((COUNTA($B244:$D244)+COUNTA($G244:$L244)+COUNTA($Q244))&gt;0),"",IF($V244="Sub",IFERROR($X244/INDEX($W$5:$W$1000,$U244-4),""),IF(ISNUMBER($G244),1,IF(N($W244)&gt;0,AVERAGEIFS($X$5:$X$1000,$U$5:$U$1000,ROW(),$V$5:$V$1000,"Sub"),$X244))))</f>
        <v/>
      </c>
      <c r="N244" s="56">
        <f>IF(OR($M244="",$V244="Sub"),"",IF($M244&gt;=1,"Completado",IF($M244&gt;0,"En curso","Pendiente")))</f>
        <v/>
      </c>
      <c r="O244" s="56">
        <f>IF(OR(NOT((COUNTA($B244:$D244)+COUNTA($G244:$L244)+COUNTA($Q244))&gt;0),$V244="Sub"),"",IF(ISNUMBER($G244),IF(AND(ISNUMBER($AN244),$G244&gt;$AN244),"Cumplida con "&amp;($G244-$AN244)&amp;IF($G244-$AN244=1," día"," días")&amp;" de retraso","Cumplida"),IF(N($M244)&gt;=1,"Cumplida",IF(NOT(ISNUMBER($AN244)),"Sin fecha límite",IF($AN244&lt;FechaRef,"Vencida hace "&amp;(FechaRef-$AN244)&amp;IF(FechaRef-$AN244=1," día"," días"),IF($AN244=FechaRef,"Vence hoy",IF($AN244-FechaRef&lt;=DiasAlerta,"Vence en "&amp;($AN244-FechaRef)&amp;IF($AN244-FechaRef=1," día"," días"),"En plazo")))))))</f>
        <v/>
      </c>
      <c r="P244" s="62" t="n"/>
      <c r="Q244" s="58" t="n"/>
      <c r="R244" s="63">
        <f>IF(NOT((COUNTA($B244:$D244)+COUNTA($G244:$L244)+COUNTA($Q244))&gt;0),"",IF((IF($C244="","Falta el nombre de la actividad"&amp;" · ","")&amp;IF(AND($V244="Sub",N($U244)=0),"Subactividad sin macroactividad arriba"&amp;" · ","")&amp;IF($AM244="","Sin fecha de inicio"&amp;" · ","")&amp;IF($AN244="","Sin fecha límite"&amp;" · ","")&amp;IF(AND(LEFT($C244,11)="[Jefatura] ",N($AL244)=0),"No se encuentra en la hoja de la jefatura (elíjala de nuevo en la lista)"&amp;" · ","")&amp;IF(OR(AND($E244&lt;&gt;"",NOT(ISNUMBER($E244))),AND($F244&lt;&gt;"",NOT(ISNUMBER($F244))),AND($G244&lt;&gt;"",NOT(ISNUMBER($G244)))),"Fecha no válida"&amp;" · ","")&amp;IF(AND(ISNUMBER($AM244),ISNUMBER($AN244),$AM244&gt;$AN244),"Inicio posterior a fecha límite"&amp;" · ","")&amp;IF(AND($V244="Macro",$H244&lt;&gt;"",OR(NOT(ISNUMBER($H244)),$H244&lt;0,$H244&gt;1)),"Peso fuera de rango"&amp;" · ","")&amp;IF(AND($V244="Sub",$H244&lt;&gt;""),"Las subactividades no llevan peso (valen igual dentro de su macroactividad)"&amp;" · ","")&amp;IF(AND(N($W244)&gt;0,COUNT($I244:$L244)&gt;0),"Con subactividades: deje vacías las semanas (se calculan solas)"&amp;" · ","")&amp;IF((COUNTIF($I244:$L244,"&gt;1")+COUNTIF($I244:$L244,"&lt;0")+COUNTA($I244:$L244)-COUNT($I244:$L244))&gt;0,"Avance fuera de rango 0-100%"&amp;" · ","")&amp;IF(OR(AND($J244&lt;&gt;"",$J244&lt;$I244),AND($K244&lt;&gt;"",$K244&lt;MAX($I244:$J244)),AND($L244&lt;&gt;"",$L244&lt;MAX($I244:$K244))),"Avance semanal decreciente"&amp;" · ","")&amp;IF(AND(ISNUMBER($AN244),$AN244&lt;FechaRef,IF($V244="Sub",N($X244),N($M244))&lt;1),"Vencida"&amp;" · ","")&amp;IF(AND(ObsObligatoria="Sí",ISNUMBER($AN244),$AN244&lt;FechaRef,IF($V244="Sub",N($X244),N($M244))&lt;1,$Q244=""),"Vencida sin observación"&amp;" · ",""))="","✔ OK","⚠ "&amp;LEFT(IF($C244="","Falta el nombre de la actividad"&amp;" · ","")&amp;IF(AND($V244="Sub",N($U244)=0),"Subactividad sin macroactividad arriba"&amp;" · ","")&amp;IF($AM244="","Sin fecha de inicio"&amp;" · ","")&amp;IF($AN244="","Sin fecha límite"&amp;" · ","")&amp;IF(AND(LEFT($C244,11)="[Jefatura] ",N($AL244)=0),"No se encuentra en la hoja de la jefatura (elíjala de nuevo en la lista)"&amp;" · ","")&amp;IF(OR(AND($E244&lt;&gt;"",NOT(ISNUMBER($E244))),AND($F244&lt;&gt;"",NOT(ISNUMBER($F244))),AND($G244&lt;&gt;"",NOT(ISNUMBER($G244)))),"Fecha no válida"&amp;" · ","")&amp;IF(AND(ISNUMBER($AM244),ISNUMBER($AN244),$AM244&gt;$AN244),"Inicio posterior a fecha límite"&amp;" · ","")&amp;IF(AND($V244="Macro",$H244&lt;&gt;"",OR(NOT(ISNUMBER($H244)),$H244&lt;0,$H244&gt;1)),"Peso fuera de rango"&amp;" · ","")&amp;IF(AND($V244="Sub",$H244&lt;&gt;""),"Las subactividades no llevan peso (valen igual dentro de su macroactividad)"&amp;" · ","")&amp;IF(AND(N($W244)&gt;0,COUNT($I244:$L244)&gt;0),"Con subactividades: deje vacías las semanas (se calculan solas)"&amp;" · ","")&amp;IF((COUNTIF($I244:$L244,"&gt;1")+COUNTIF($I244:$L244,"&lt;0")+COUNTA($I244:$L244)-COUNT($I244:$L244))&gt;0,"Avance fuera de rango 0-100%"&amp;" · ","")&amp;IF(OR(AND($J244&lt;&gt;"",$J244&lt;$I244),AND($K244&lt;&gt;"",$K244&lt;MAX($I244:$J244)),AND($L244&lt;&gt;"",$L244&lt;MAX($I244:$K244))),"Avance semanal decreciente"&amp;" · ","")&amp;IF(AND(ISNUMBER($AN244),$AN244&lt;FechaRef,IF($V244="Sub",N($X244),N($M244))&lt;1),"Vencida"&amp;" · ","")&amp;IF(AND(ObsObligatoria="Sí",ISNUMBER($AN244),$AN244&lt;FechaRef,IF($V244="Sub",N($X244),N($M244))&lt;1,$Q244=""),"Vencida sin observación"&amp;" · ",""),LEN(IF($C244="","Falta el nombre de la actividad"&amp;" · ","")&amp;IF(AND($V244="Sub",N($U244)=0),"Subactividad sin macroactividad arriba"&amp;" · ","")&amp;IF($AM244="","Sin fecha de inicio"&amp;" · ","")&amp;IF($AN244="","Sin fecha límite"&amp;" · ","")&amp;IF(AND(LEFT($C244,11)="[Jefatura] ",N($AL244)=0),"No se encuentra en la hoja de la jefatura (elíjala de nuevo en la lista)"&amp;" · ","")&amp;IF(OR(AND($E244&lt;&gt;"",NOT(ISNUMBER($E244))),AND($F244&lt;&gt;"",NOT(ISNUMBER($F244))),AND($G244&lt;&gt;"",NOT(ISNUMBER($G244)))),"Fecha no válida"&amp;" · ","")&amp;IF(AND(ISNUMBER($AM244),ISNUMBER($AN244),$AM244&gt;$AN244),"Inicio posterior a fecha límite"&amp;" · ","")&amp;IF(AND($V244="Macro",$H244&lt;&gt;"",OR(NOT(ISNUMBER($H244)),$H244&lt;0,$H244&gt;1)),"Peso fuera de rango"&amp;" · ","")&amp;IF(AND($V244="Sub",$H244&lt;&gt;""),"Las subactividades no llevan peso (valen igual dentro de su macroactividad)"&amp;" · ","")&amp;IF(AND(N($W244)&gt;0,COUNT($I244:$L244)&gt;0),"Con subactividades: deje vacías las semanas (se calculan solas)"&amp;" · ","")&amp;IF((COUNTIF($I244:$L244,"&gt;1")+COUNTIF($I244:$L244,"&lt;0")+COUNTA($I244:$L244)-COUNT($I244:$L244))&gt;0,"Avance fuera de rango 0-100%"&amp;" · ","")&amp;IF(OR(AND($J244&lt;&gt;"",$J244&lt;$I244),AND($K244&lt;&gt;"",$K244&lt;MAX($I244:$J244)),AND($L244&lt;&gt;"",$L244&lt;MAX($I244:$K244))),"Avance semanal decreciente"&amp;" · ","")&amp;IF(AND(ISNUMBER($AN244),$AN244&lt;FechaRef,IF($V244="Sub",N($X244),N($M244))&lt;1),"Vencida"&amp;" · ","")&amp;IF(AND(ObsObligatoria="Sí",ISNUMBER($AN244),$AN244&lt;FechaRef,IF($V244="Sub",N($X244),N($M244))&lt;1,$Q244=""),"Vencida sin observación"&amp;" · ",""))-3)))</f>
        <v/>
      </c>
      <c r="S244" s="64">
        <f>IF(NOT((COUNTA($B244:$D244)+COUNTA($G244:$L244)+COUNTA($Q244))&gt;0),"",IF(AND($V244="Sub",N($U244)&gt;0),IF(ISNUMBER(INDEX($AM$5:$AM$1000,$U244-4)),DATE(YEAR(INDEX($AM$5:$AM$1000,$U244-4)),MONTH(INDEX($AM$5:$AM$1000,$U244-4)),1),IF(ISNUMBER(INDEX($AN$5:$AN$1000,$U244-4)),DATE(YEAR(INDEX($AN$5:$AN$1000,$U244-4)),MONTH(INDEX($AN$5:$AN$1000,$U244-4)),1),MesCiclo)),IF(ISNUMBER($AM244),DATE(YEAR($AM244),MONTH($AM244),1),IF(ISNUMBER($AN244),DATE(YEAR($AN244),MONTH($AN244),1),MesCiclo))))</f>
        <v/>
      </c>
      <c r="T244" s="62">
        <f>IF(OR($S244="",$S244&lt;&gt;MesCiclo,$V244&lt;&gt;"Macro"),"",COUNTIFS($S$5:$S244,MesCiclo,$V$5:$V244,"Macro"))</f>
        <v/>
      </c>
      <c r="U244" s="62">
        <f>IF($V244="","",IF($V244="Macro",ROW(),IFERROR(LOOKUP(2,1/($V$5:$V244="Macro"),ROW($V$5:$V244)),0)))</f>
        <v/>
      </c>
      <c r="V244" s="62">
        <f>IF(NOT((COUNTA($B244:$D244)+COUNTA($G244:$L244)+COUNTA($Q244))&gt;0),"",IF($B244="Subactividad","Sub","Macro"))</f>
        <v/>
      </c>
      <c r="W244" s="62">
        <f>IF($V244="Macro",COUNTIFS($U$5:$U$1000,ROW(),$V$5:$V$1000,"Sub"),"")</f>
        <v/>
      </c>
      <c r="X244" s="62">
        <f>IF($V244="","",IF(ISNUMBER($G244),1,IFERROR(LOOKUP(2,1/($I244:$L244&lt;&gt;""),$I244:$L244),0)))</f>
        <v/>
      </c>
      <c r="Y244" s="62">
        <f>IF($V244="","",IF(AND(ISNUMBER($G244),$G244&lt;=IF($S244=MesCiclo,InicioCiclo,$S244+MOD(2-WEEKDAY($S244),7))+6),1,IF(ISNUMBER($I244),$I244,0)))</f>
        <v/>
      </c>
      <c r="Z244" s="62">
        <f>IF($V244="","",IF(AND(ISNUMBER($G244),$G244&lt;=IF($S244=MesCiclo,InicioCiclo,$S244+MOD(2-WEEKDAY($S244),7))+13),1,IF(ISNUMBER($J244),$J244,$Y244)))</f>
        <v/>
      </c>
      <c r="AA244" s="62">
        <f>IF($V244="","",IF(AND(ISNUMBER($G244),$G244&lt;=IF($S244=MesCiclo,InicioCiclo,$S244+MOD(2-WEEKDAY($S244),7))+20),1,IF(ISNUMBER($K244),$K244,$Z244)))</f>
        <v/>
      </c>
      <c r="AB244" s="62">
        <f>IF($V244="","",IF(AND(ISNUMBER($G244),$G244&lt;=IF($S244=MesCiclo,InicioCiclo,$S244+MOD(2-WEEKDAY($S244),7))+27),1,IF(ISNUMBER($L244),$L244,$AA244)))</f>
        <v/>
      </c>
      <c r="AC244" s="62">
        <f>IF($V244="","",IF(AND(ISNUMBER($G244),$G244&lt;=IF($S244=MesCiclo,InicioCiclo,$S244+MOD(2-WEEKDAY($S244),7))+6),1,IF(N($W244)&gt;0,AVERAGEIFS($Y$5:$Y$1000,$U$5:$U$1000,ROW(),$V$5:$V$1000,"Sub"),$Y244)))</f>
        <v/>
      </c>
      <c r="AD244" s="62">
        <f>IF($V244="","",IF(AND(ISNUMBER($G244),$G244&lt;=IF($S244=MesCiclo,InicioCiclo,$S244+MOD(2-WEEKDAY($S244),7))+13),1,IF(N($W244)&gt;0,AVERAGEIFS($Z$5:$Z$1000,$U$5:$U$1000,ROW(),$V$5:$V$1000,"Sub"),$Z244)))</f>
        <v/>
      </c>
      <c r="AE244" s="62">
        <f>IF($V244="","",IF(AND(ISNUMBER($G244),$G244&lt;=IF($S244=MesCiclo,InicioCiclo,$S244+MOD(2-WEEKDAY($S244),7))+20),1,IF(N($W244)&gt;0,AVERAGEIFS($AA$5:$AA$1000,$U$5:$U$1000,ROW(),$V$5:$V$1000,"Sub"),$AA244)))</f>
        <v/>
      </c>
      <c r="AF244" s="62">
        <f>IF($V244="","",IF(AND(ISNUMBER($G244),$G244&lt;=IF($S244=MesCiclo,InicioCiclo,$S244+MOD(2-WEEKDAY($S244),7))+27),1,IF(N($W244)&gt;0,AVERAGEIFS($AB$5:$AB$1000,$U$5:$U$1000,ROW(),$V$5:$V$1000,"Sub"),$AB244)))</f>
        <v/>
      </c>
      <c r="AG244" s="62">
        <f>IF($V244&lt;&gt;"Macro","",IF(COUNTIFS($S$5:$S$1000,$S244,$V$5:$V$1000,"Macro",$H$5:$H$1000,"&gt;0")=0,1/COUNTIFS($S$5:$S$1000,$S244,$V$5:$V$1000,"Macro"),IF(AND(ISNUMBER($H244),N($H244)&gt;0),$H244,SUMIFS($H$5:$H$1000,$S$5:$S$1000,$S244,$V$5:$V$1000,"Macro")/COUNTIFS($S$5:$S$1000,$S244,$V$5:$V$1000,"Macro",$H$5:$H$1000,"&gt;0"))/(COUNTIFS($S$5:$S$1000,$S244,$V$5:$V$1000,"Macro")*SUMIFS($H$5:$H$1000,$S$5:$S$1000,$S244,$V$5:$V$1000,"Macro")/COUNTIFS($S$5:$S$1000,$S244,$V$5:$V$1000,"Macro",$H$5:$H$1000,"&gt;0"))))</f>
        <v/>
      </c>
      <c r="AH244" s="62" t="n"/>
      <c r="AI244" s="62" t="n"/>
      <c r="AJ244" s="62" t="n"/>
      <c r="AK244" s="62" t="n"/>
      <c r="AL244" s="62">
        <f>IF(LEFT($C244,11)="[Jefatura] ",IFERROR(MATCH("Riesgo Financiero|"&amp;MID($C244,12,500),rDname_ADM,0),0),"")</f>
        <v/>
      </c>
      <c r="AM244" s="62">
        <f>IF(N($AL244)&gt;0,INDEX(rIni_ADM,$AL244),IF(ISNUMBER($E244),$E244,""))</f>
        <v/>
      </c>
      <c r="AN244" s="62">
        <f>IF(N($AL244)&gt;0,INDEX(rLim_ADM,$AL244),IF(ISNUMBER($F244),$F244,""))</f>
        <v/>
      </c>
    </row>
    <row r="245">
      <c r="A245" s="56">
        <f>IF(NOT((COUNTA($B245:$D245)+COUNTA($G245:$L245)+COUNTA($Q245))&gt;0),"",IF($V245="Macro",COUNTIFS($V$5:$V245,"Macro",$S$5:$S245,$S245),IF(N($U245)=0,"?",COUNTIFS(INDEX($V$5:$V$1000,1):INDEX($V$5:$V$1000,$U245-4),"Macro",INDEX($S$5:$S$1000,1):INDEX($S$5:$S$1000,$U245-4),INDEX($S$5:$S$1000,$U245-4))&amp;"."&amp;COUNTIFS($U$5:$U245,$U245,$V$5:$V245,"Sub"))))</f>
        <v/>
      </c>
      <c r="B245" s="57" t="n"/>
      <c r="C245" s="58" t="n"/>
      <c r="D245" s="58" t="n"/>
      <c r="E245" s="59">
        <f>IF(N($AL245)&gt;0,INDEX(rIni_ADM,$AL245),"")</f>
        <v/>
      </c>
      <c r="F245" s="59">
        <f>IF(N($AL245)&gt;0,INDEX(rLim_ADM,$AL245),"")</f>
        <v/>
      </c>
      <c r="G245" s="59" t="n"/>
      <c r="H245" s="60" t="n"/>
      <c r="I245" s="60" t="n"/>
      <c r="J245" s="60" t="n"/>
      <c r="K245" s="60" t="n"/>
      <c r="L245" s="60" t="n"/>
      <c r="M245" s="61">
        <f>IF(NOT((COUNTA($B245:$D245)+COUNTA($G245:$L245)+COUNTA($Q245))&gt;0),"",IF($V245="Sub",IFERROR($X245/INDEX($W$5:$W$1000,$U245-4),""),IF(ISNUMBER($G245),1,IF(N($W245)&gt;0,AVERAGEIFS($X$5:$X$1000,$U$5:$U$1000,ROW(),$V$5:$V$1000,"Sub"),$X245))))</f>
        <v/>
      </c>
      <c r="N245" s="56">
        <f>IF(OR($M245="",$V245="Sub"),"",IF($M245&gt;=1,"Completado",IF($M245&gt;0,"En curso","Pendiente")))</f>
        <v/>
      </c>
      <c r="O245" s="56">
        <f>IF(OR(NOT((COUNTA($B245:$D245)+COUNTA($G245:$L245)+COUNTA($Q245))&gt;0),$V245="Sub"),"",IF(ISNUMBER($G245),IF(AND(ISNUMBER($AN245),$G245&gt;$AN245),"Cumplida con "&amp;($G245-$AN245)&amp;IF($G245-$AN245=1," día"," días")&amp;" de retraso","Cumplida"),IF(N($M245)&gt;=1,"Cumplida",IF(NOT(ISNUMBER($AN245)),"Sin fecha límite",IF($AN245&lt;FechaRef,"Vencida hace "&amp;(FechaRef-$AN245)&amp;IF(FechaRef-$AN245=1," día"," días"),IF($AN245=FechaRef,"Vence hoy",IF($AN245-FechaRef&lt;=DiasAlerta,"Vence en "&amp;($AN245-FechaRef)&amp;IF($AN245-FechaRef=1," día"," días"),"En plazo")))))))</f>
        <v/>
      </c>
      <c r="P245" s="62" t="n"/>
      <c r="Q245" s="58" t="n"/>
      <c r="R245" s="63">
        <f>IF(NOT((COUNTA($B245:$D245)+COUNTA($G245:$L245)+COUNTA($Q245))&gt;0),"",IF((IF($C245="","Falta el nombre de la actividad"&amp;" · ","")&amp;IF(AND($V245="Sub",N($U245)=0),"Subactividad sin macroactividad arriba"&amp;" · ","")&amp;IF($AM245="","Sin fecha de inicio"&amp;" · ","")&amp;IF($AN245="","Sin fecha límite"&amp;" · ","")&amp;IF(AND(LEFT($C245,11)="[Jefatura] ",N($AL245)=0),"No se encuentra en la hoja de la jefatura (elíjala de nuevo en la lista)"&amp;" · ","")&amp;IF(OR(AND($E245&lt;&gt;"",NOT(ISNUMBER($E245))),AND($F245&lt;&gt;"",NOT(ISNUMBER($F245))),AND($G245&lt;&gt;"",NOT(ISNUMBER($G245)))),"Fecha no válida"&amp;" · ","")&amp;IF(AND(ISNUMBER($AM245),ISNUMBER($AN245),$AM245&gt;$AN245),"Inicio posterior a fecha límite"&amp;" · ","")&amp;IF(AND($V245="Macro",$H245&lt;&gt;"",OR(NOT(ISNUMBER($H245)),$H245&lt;0,$H245&gt;1)),"Peso fuera de rango"&amp;" · ","")&amp;IF(AND($V245="Sub",$H245&lt;&gt;""),"Las subactividades no llevan peso (valen igual dentro de su macroactividad)"&amp;" · ","")&amp;IF(AND(N($W245)&gt;0,COUNT($I245:$L245)&gt;0),"Con subactividades: deje vacías las semanas (se calculan solas)"&amp;" · ","")&amp;IF((COUNTIF($I245:$L245,"&gt;1")+COUNTIF($I245:$L245,"&lt;0")+COUNTA($I245:$L245)-COUNT($I245:$L245))&gt;0,"Avance fuera de rango 0-100%"&amp;" · ","")&amp;IF(OR(AND($J245&lt;&gt;"",$J245&lt;$I245),AND($K245&lt;&gt;"",$K245&lt;MAX($I245:$J245)),AND($L245&lt;&gt;"",$L245&lt;MAX($I245:$K245))),"Avance semanal decreciente"&amp;" · ","")&amp;IF(AND(ISNUMBER($AN245),$AN245&lt;FechaRef,IF($V245="Sub",N($X245),N($M245))&lt;1),"Vencida"&amp;" · ","")&amp;IF(AND(ObsObligatoria="Sí",ISNUMBER($AN245),$AN245&lt;FechaRef,IF($V245="Sub",N($X245),N($M245))&lt;1,$Q245=""),"Vencida sin observación"&amp;" · ",""))="","✔ OK","⚠ "&amp;LEFT(IF($C245="","Falta el nombre de la actividad"&amp;" · ","")&amp;IF(AND($V245="Sub",N($U245)=0),"Subactividad sin macroactividad arriba"&amp;" · ","")&amp;IF($AM245="","Sin fecha de inicio"&amp;" · ","")&amp;IF($AN245="","Sin fecha límite"&amp;" · ","")&amp;IF(AND(LEFT($C245,11)="[Jefatura] ",N($AL245)=0),"No se encuentra en la hoja de la jefatura (elíjala de nuevo en la lista)"&amp;" · ","")&amp;IF(OR(AND($E245&lt;&gt;"",NOT(ISNUMBER($E245))),AND($F245&lt;&gt;"",NOT(ISNUMBER($F245))),AND($G245&lt;&gt;"",NOT(ISNUMBER($G245)))),"Fecha no válida"&amp;" · ","")&amp;IF(AND(ISNUMBER($AM245),ISNUMBER($AN245),$AM245&gt;$AN245),"Inicio posterior a fecha límite"&amp;" · ","")&amp;IF(AND($V245="Macro",$H245&lt;&gt;"",OR(NOT(ISNUMBER($H245)),$H245&lt;0,$H245&gt;1)),"Peso fuera de rango"&amp;" · ","")&amp;IF(AND($V245="Sub",$H245&lt;&gt;""),"Las subactividades no llevan peso (valen igual dentro de su macroactividad)"&amp;" · ","")&amp;IF(AND(N($W245)&gt;0,COUNT($I245:$L245)&gt;0),"Con subactividades: deje vacías las semanas (se calculan solas)"&amp;" · ","")&amp;IF((COUNTIF($I245:$L245,"&gt;1")+COUNTIF($I245:$L245,"&lt;0")+COUNTA($I245:$L245)-COUNT($I245:$L245))&gt;0,"Avance fuera de rango 0-100%"&amp;" · ","")&amp;IF(OR(AND($J245&lt;&gt;"",$J245&lt;$I245),AND($K245&lt;&gt;"",$K245&lt;MAX($I245:$J245)),AND($L245&lt;&gt;"",$L245&lt;MAX($I245:$K245))),"Avance semanal decreciente"&amp;" · ","")&amp;IF(AND(ISNUMBER($AN245),$AN245&lt;FechaRef,IF($V245="Sub",N($X245),N($M245))&lt;1),"Vencida"&amp;" · ","")&amp;IF(AND(ObsObligatoria="Sí",ISNUMBER($AN245),$AN245&lt;FechaRef,IF($V245="Sub",N($X245),N($M245))&lt;1,$Q245=""),"Vencida sin observación"&amp;" · ",""),LEN(IF($C245="","Falta el nombre de la actividad"&amp;" · ","")&amp;IF(AND($V245="Sub",N($U245)=0),"Subactividad sin macroactividad arriba"&amp;" · ","")&amp;IF($AM245="","Sin fecha de inicio"&amp;" · ","")&amp;IF($AN245="","Sin fecha límite"&amp;" · ","")&amp;IF(AND(LEFT($C245,11)="[Jefatura] ",N($AL245)=0),"No se encuentra en la hoja de la jefatura (elíjala de nuevo en la lista)"&amp;" · ","")&amp;IF(OR(AND($E245&lt;&gt;"",NOT(ISNUMBER($E245))),AND($F245&lt;&gt;"",NOT(ISNUMBER($F245))),AND($G245&lt;&gt;"",NOT(ISNUMBER($G245)))),"Fecha no válida"&amp;" · ","")&amp;IF(AND(ISNUMBER($AM245),ISNUMBER($AN245),$AM245&gt;$AN245),"Inicio posterior a fecha límite"&amp;" · ","")&amp;IF(AND($V245="Macro",$H245&lt;&gt;"",OR(NOT(ISNUMBER($H245)),$H245&lt;0,$H245&gt;1)),"Peso fuera de rango"&amp;" · ","")&amp;IF(AND($V245="Sub",$H245&lt;&gt;""),"Las subactividades no llevan peso (valen igual dentro de su macroactividad)"&amp;" · ","")&amp;IF(AND(N($W245)&gt;0,COUNT($I245:$L245)&gt;0),"Con subactividades: deje vacías las semanas (se calculan solas)"&amp;" · ","")&amp;IF((COUNTIF($I245:$L245,"&gt;1")+COUNTIF($I245:$L245,"&lt;0")+COUNTA($I245:$L245)-COUNT($I245:$L245))&gt;0,"Avance fuera de rango 0-100%"&amp;" · ","")&amp;IF(OR(AND($J245&lt;&gt;"",$J245&lt;$I245),AND($K245&lt;&gt;"",$K245&lt;MAX($I245:$J245)),AND($L245&lt;&gt;"",$L245&lt;MAX($I245:$K245))),"Avance semanal decreciente"&amp;" · ","")&amp;IF(AND(ISNUMBER($AN245),$AN245&lt;FechaRef,IF($V245="Sub",N($X245),N($M245))&lt;1),"Vencida"&amp;" · ","")&amp;IF(AND(ObsObligatoria="Sí",ISNUMBER($AN245),$AN245&lt;FechaRef,IF($V245="Sub",N($X245),N($M245))&lt;1,$Q245=""),"Vencida sin observación"&amp;" · ",""))-3)))</f>
        <v/>
      </c>
      <c r="S245" s="64">
        <f>IF(NOT((COUNTA($B245:$D245)+COUNTA($G245:$L245)+COUNTA($Q245))&gt;0),"",IF(AND($V245="Sub",N($U245)&gt;0),IF(ISNUMBER(INDEX($AM$5:$AM$1000,$U245-4)),DATE(YEAR(INDEX($AM$5:$AM$1000,$U245-4)),MONTH(INDEX($AM$5:$AM$1000,$U245-4)),1),IF(ISNUMBER(INDEX($AN$5:$AN$1000,$U245-4)),DATE(YEAR(INDEX($AN$5:$AN$1000,$U245-4)),MONTH(INDEX($AN$5:$AN$1000,$U245-4)),1),MesCiclo)),IF(ISNUMBER($AM245),DATE(YEAR($AM245),MONTH($AM245),1),IF(ISNUMBER($AN245),DATE(YEAR($AN245),MONTH($AN245),1),MesCiclo))))</f>
        <v/>
      </c>
      <c r="T245" s="62">
        <f>IF(OR($S245="",$S245&lt;&gt;MesCiclo,$V245&lt;&gt;"Macro"),"",COUNTIFS($S$5:$S245,MesCiclo,$V$5:$V245,"Macro"))</f>
        <v/>
      </c>
      <c r="U245" s="62">
        <f>IF($V245="","",IF($V245="Macro",ROW(),IFERROR(LOOKUP(2,1/($V$5:$V245="Macro"),ROW($V$5:$V245)),0)))</f>
        <v/>
      </c>
      <c r="V245" s="62">
        <f>IF(NOT((COUNTA($B245:$D245)+COUNTA($G245:$L245)+COUNTA($Q245))&gt;0),"",IF($B245="Subactividad","Sub","Macro"))</f>
        <v/>
      </c>
      <c r="W245" s="62">
        <f>IF($V245="Macro",COUNTIFS($U$5:$U$1000,ROW(),$V$5:$V$1000,"Sub"),"")</f>
        <v/>
      </c>
      <c r="X245" s="62">
        <f>IF($V245="","",IF(ISNUMBER($G245),1,IFERROR(LOOKUP(2,1/($I245:$L245&lt;&gt;""),$I245:$L245),0)))</f>
        <v/>
      </c>
      <c r="Y245" s="62">
        <f>IF($V245="","",IF(AND(ISNUMBER($G245),$G245&lt;=IF($S245=MesCiclo,InicioCiclo,$S245+MOD(2-WEEKDAY($S245),7))+6),1,IF(ISNUMBER($I245),$I245,0)))</f>
        <v/>
      </c>
      <c r="Z245" s="62">
        <f>IF($V245="","",IF(AND(ISNUMBER($G245),$G245&lt;=IF($S245=MesCiclo,InicioCiclo,$S245+MOD(2-WEEKDAY($S245),7))+13),1,IF(ISNUMBER($J245),$J245,$Y245)))</f>
        <v/>
      </c>
      <c r="AA245" s="62">
        <f>IF($V245="","",IF(AND(ISNUMBER($G245),$G245&lt;=IF($S245=MesCiclo,InicioCiclo,$S245+MOD(2-WEEKDAY($S245),7))+20),1,IF(ISNUMBER($K245),$K245,$Z245)))</f>
        <v/>
      </c>
      <c r="AB245" s="62">
        <f>IF($V245="","",IF(AND(ISNUMBER($G245),$G245&lt;=IF($S245=MesCiclo,InicioCiclo,$S245+MOD(2-WEEKDAY($S245),7))+27),1,IF(ISNUMBER($L245),$L245,$AA245)))</f>
        <v/>
      </c>
      <c r="AC245" s="62">
        <f>IF($V245="","",IF(AND(ISNUMBER($G245),$G245&lt;=IF($S245=MesCiclo,InicioCiclo,$S245+MOD(2-WEEKDAY($S245),7))+6),1,IF(N($W245)&gt;0,AVERAGEIFS($Y$5:$Y$1000,$U$5:$U$1000,ROW(),$V$5:$V$1000,"Sub"),$Y245)))</f>
        <v/>
      </c>
      <c r="AD245" s="62">
        <f>IF($V245="","",IF(AND(ISNUMBER($G245),$G245&lt;=IF($S245=MesCiclo,InicioCiclo,$S245+MOD(2-WEEKDAY($S245),7))+13),1,IF(N($W245)&gt;0,AVERAGEIFS($Z$5:$Z$1000,$U$5:$U$1000,ROW(),$V$5:$V$1000,"Sub"),$Z245)))</f>
        <v/>
      </c>
      <c r="AE245" s="62">
        <f>IF($V245="","",IF(AND(ISNUMBER($G245),$G245&lt;=IF($S245=MesCiclo,InicioCiclo,$S245+MOD(2-WEEKDAY($S245),7))+20),1,IF(N($W245)&gt;0,AVERAGEIFS($AA$5:$AA$1000,$U$5:$U$1000,ROW(),$V$5:$V$1000,"Sub"),$AA245)))</f>
        <v/>
      </c>
      <c r="AF245" s="62">
        <f>IF($V245="","",IF(AND(ISNUMBER($G245),$G245&lt;=IF($S245=MesCiclo,InicioCiclo,$S245+MOD(2-WEEKDAY($S245),7))+27),1,IF(N($W245)&gt;0,AVERAGEIFS($AB$5:$AB$1000,$U$5:$U$1000,ROW(),$V$5:$V$1000,"Sub"),$AB245)))</f>
        <v/>
      </c>
      <c r="AG245" s="62">
        <f>IF($V245&lt;&gt;"Macro","",IF(COUNTIFS($S$5:$S$1000,$S245,$V$5:$V$1000,"Macro",$H$5:$H$1000,"&gt;0")=0,1/COUNTIFS($S$5:$S$1000,$S245,$V$5:$V$1000,"Macro"),IF(AND(ISNUMBER($H245),N($H245)&gt;0),$H245,SUMIFS($H$5:$H$1000,$S$5:$S$1000,$S245,$V$5:$V$1000,"Macro")/COUNTIFS($S$5:$S$1000,$S245,$V$5:$V$1000,"Macro",$H$5:$H$1000,"&gt;0"))/(COUNTIFS($S$5:$S$1000,$S245,$V$5:$V$1000,"Macro")*SUMIFS($H$5:$H$1000,$S$5:$S$1000,$S245,$V$5:$V$1000,"Macro")/COUNTIFS($S$5:$S$1000,$S245,$V$5:$V$1000,"Macro",$H$5:$H$1000,"&gt;0"))))</f>
        <v/>
      </c>
      <c r="AH245" s="62" t="n"/>
      <c r="AI245" s="62" t="n"/>
      <c r="AJ245" s="62" t="n"/>
      <c r="AK245" s="62" t="n"/>
      <c r="AL245" s="62">
        <f>IF(LEFT($C245,11)="[Jefatura] ",IFERROR(MATCH("Riesgo Financiero|"&amp;MID($C245,12,500),rDname_ADM,0),0),"")</f>
        <v/>
      </c>
      <c r="AM245" s="62">
        <f>IF(N($AL245)&gt;0,INDEX(rIni_ADM,$AL245),IF(ISNUMBER($E245),$E245,""))</f>
        <v/>
      </c>
      <c r="AN245" s="62">
        <f>IF(N($AL245)&gt;0,INDEX(rLim_ADM,$AL245),IF(ISNUMBER($F245),$F245,""))</f>
        <v/>
      </c>
    </row>
    <row r="246">
      <c r="A246" s="56">
        <f>IF(NOT((COUNTA($B246:$D246)+COUNTA($G246:$L246)+COUNTA($Q246))&gt;0),"",IF($V246="Macro",COUNTIFS($V$5:$V246,"Macro",$S$5:$S246,$S246),IF(N($U246)=0,"?",COUNTIFS(INDEX($V$5:$V$1000,1):INDEX($V$5:$V$1000,$U246-4),"Macro",INDEX($S$5:$S$1000,1):INDEX($S$5:$S$1000,$U246-4),INDEX($S$5:$S$1000,$U246-4))&amp;"."&amp;COUNTIFS($U$5:$U246,$U246,$V$5:$V246,"Sub"))))</f>
        <v/>
      </c>
      <c r="B246" s="57" t="n"/>
      <c r="C246" s="58" t="n"/>
      <c r="D246" s="58" t="n"/>
      <c r="E246" s="59">
        <f>IF(N($AL246)&gt;0,INDEX(rIni_ADM,$AL246),"")</f>
        <v/>
      </c>
      <c r="F246" s="59">
        <f>IF(N($AL246)&gt;0,INDEX(rLim_ADM,$AL246),"")</f>
        <v/>
      </c>
      <c r="G246" s="59" t="n"/>
      <c r="H246" s="60" t="n"/>
      <c r="I246" s="60" t="n"/>
      <c r="J246" s="60" t="n"/>
      <c r="K246" s="60" t="n"/>
      <c r="L246" s="60" t="n"/>
      <c r="M246" s="61">
        <f>IF(NOT((COUNTA($B246:$D246)+COUNTA($G246:$L246)+COUNTA($Q246))&gt;0),"",IF($V246="Sub",IFERROR($X246/INDEX($W$5:$W$1000,$U246-4),""),IF(ISNUMBER($G246),1,IF(N($W246)&gt;0,AVERAGEIFS($X$5:$X$1000,$U$5:$U$1000,ROW(),$V$5:$V$1000,"Sub"),$X246))))</f>
        <v/>
      </c>
      <c r="N246" s="56">
        <f>IF(OR($M246="",$V246="Sub"),"",IF($M246&gt;=1,"Completado",IF($M246&gt;0,"En curso","Pendiente")))</f>
        <v/>
      </c>
      <c r="O246" s="56">
        <f>IF(OR(NOT((COUNTA($B246:$D246)+COUNTA($G246:$L246)+COUNTA($Q246))&gt;0),$V246="Sub"),"",IF(ISNUMBER($G246),IF(AND(ISNUMBER($AN246),$G246&gt;$AN246),"Cumplida con "&amp;($G246-$AN246)&amp;IF($G246-$AN246=1," día"," días")&amp;" de retraso","Cumplida"),IF(N($M246)&gt;=1,"Cumplida",IF(NOT(ISNUMBER($AN246)),"Sin fecha límite",IF($AN246&lt;FechaRef,"Vencida hace "&amp;(FechaRef-$AN246)&amp;IF(FechaRef-$AN246=1," día"," días"),IF($AN246=FechaRef,"Vence hoy",IF($AN246-FechaRef&lt;=DiasAlerta,"Vence en "&amp;($AN246-FechaRef)&amp;IF($AN246-FechaRef=1," día"," días"),"En plazo")))))))</f>
        <v/>
      </c>
      <c r="P246" s="62" t="n"/>
      <c r="Q246" s="58" t="n"/>
      <c r="R246" s="63">
        <f>IF(NOT((COUNTA($B246:$D246)+COUNTA($G246:$L246)+COUNTA($Q246))&gt;0),"",IF((IF($C246="","Falta el nombre de la actividad"&amp;" · ","")&amp;IF(AND($V246="Sub",N($U246)=0),"Subactividad sin macroactividad arriba"&amp;" · ","")&amp;IF($AM246="","Sin fecha de inicio"&amp;" · ","")&amp;IF($AN246="","Sin fecha límite"&amp;" · ","")&amp;IF(AND(LEFT($C246,11)="[Jefatura] ",N($AL246)=0),"No se encuentra en la hoja de la jefatura (elíjala de nuevo en la lista)"&amp;" · ","")&amp;IF(OR(AND($E246&lt;&gt;"",NOT(ISNUMBER($E246))),AND($F246&lt;&gt;"",NOT(ISNUMBER($F246))),AND($G246&lt;&gt;"",NOT(ISNUMBER($G246)))),"Fecha no válida"&amp;" · ","")&amp;IF(AND(ISNUMBER($AM246),ISNUMBER($AN246),$AM246&gt;$AN246),"Inicio posterior a fecha límite"&amp;" · ","")&amp;IF(AND($V246="Macro",$H246&lt;&gt;"",OR(NOT(ISNUMBER($H246)),$H246&lt;0,$H246&gt;1)),"Peso fuera de rango"&amp;" · ","")&amp;IF(AND($V246="Sub",$H246&lt;&gt;""),"Las subactividades no llevan peso (valen igual dentro de su macroactividad)"&amp;" · ","")&amp;IF(AND(N($W246)&gt;0,COUNT($I246:$L246)&gt;0),"Con subactividades: deje vacías las semanas (se calculan solas)"&amp;" · ","")&amp;IF((COUNTIF($I246:$L246,"&gt;1")+COUNTIF($I246:$L246,"&lt;0")+COUNTA($I246:$L246)-COUNT($I246:$L246))&gt;0,"Avance fuera de rango 0-100%"&amp;" · ","")&amp;IF(OR(AND($J246&lt;&gt;"",$J246&lt;$I246),AND($K246&lt;&gt;"",$K246&lt;MAX($I246:$J246)),AND($L246&lt;&gt;"",$L246&lt;MAX($I246:$K246))),"Avance semanal decreciente"&amp;" · ","")&amp;IF(AND(ISNUMBER($AN246),$AN246&lt;FechaRef,IF($V246="Sub",N($X246),N($M246))&lt;1),"Vencida"&amp;" · ","")&amp;IF(AND(ObsObligatoria="Sí",ISNUMBER($AN246),$AN246&lt;FechaRef,IF($V246="Sub",N($X246),N($M246))&lt;1,$Q246=""),"Vencida sin observación"&amp;" · ",""))="","✔ OK","⚠ "&amp;LEFT(IF($C246="","Falta el nombre de la actividad"&amp;" · ","")&amp;IF(AND($V246="Sub",N($U246)=0),"Subactividad sin macroactividad arriba"&amp;" · ","")&amp;IF($AM246="","Sin fecha de inicio"&amp;" · ","")&amp;IF($AN246="","Sin fecha límite"&amp;" · ","")&amp;IF(AND(LEFT($C246,11)="[Jefatura] ",N($AL246)=0),"No se encuentra en la hoja de la jefatura (elíjala de nuevo en la lista)"&amp;" · ","")&amp;IF(OR(AND($E246&lt;&gt;"",NOT(ISNUMBER($E246))),AND($F246&lt;&gt;"",NOT(ISNUMBER($F246))),AND($G246&lt;&gt;"",NOT(ISNUMBER($G246)))),"Fecha no válida"&amp;" · ","")&amp;IF(AND(ISNUMBER($AM246),ISNUMBER($AN246),$AM246&gt;$AN246),"Inicio posterior a fecha límite"&amp;" · ","")&amp;IF(AND($V246="Macro",$H246&lt;&gt;"",OR(NOT(ISNUMBER($H246)),$H246&lt;0,$H246&gt;1)),"Peso fuera de rango"&amp;" · ","")&amp;IF(AND($V246="Sub",$H246&lt;&gt;""),"Las subactividades no llevan peso (valen igual dentro de su macroactividad)"&amp;" · ","")&amp;IF(AND(N($W246)&gt;0,COUNT($I246:$L246)&gt;0),"Con subactividades: deje vacías las semanas (se calculan solas)"&amp;" · ","")&amp;IF((COUNTIF($I246:$L246,"&gt;1")+COUNTIF($I246:$L246,"&lt;0")+COUNTA($I246:$L246)-COUNT($I246:$L246))&gt;0,"Avance fuera de rango 0-100%"&amp;" · ","")&amp;IF(OR(AND($J246&lt;&gt;"",$J246&lt;$I246),AND($K246&lt;&gt;"",$K246&lt;MAX($I246:$J246)),AND($L246&lt;&gt;"",$L246&lt;MAX($I246:$K246))),"Avance semanal decreciente"&amp;" · ","")&amp;IF(AND(ISNUMBER($AN246),$AN246&lt;FechaRef,IF($V246="Sub",N($X246),N($M246))&lt;1),"Vencida"&amp;" · ","")&amp;IF(AND(ObsObligatoria="Sí",ISNUMBER($AN246),$AN246&lt;FechaRef,IF($V246="Sub",N($X246),N($M246))&lt;1,$Q246=""),"Vencida sin observación"&amp;" · ",""),LEN(IF($C246="","Falta el nombre de la actividad"&amp;" · ","")&amp;IF(AND($V246="Sub",N($U246)=0),"Subactividad sin macroactividad arriba"&amp;" · ","")&amp;IF($AM246="","Sin fecha de inicio"&amp;" · ","")&amp;IF($AN246="","Sin fecha límite"&amp;" · ","")&amp;IF(AND(LEFT($C246,11)="[Jefatura] ",N($AL246)=0),"No se encuentra en la hoja de la jefatura (elíjala de nuevo en la lista)"&amp;" · ","")&amp;IF(OR(AND($E246&lt;&gt;"",NOT(ISNUMBER($E246))),AND($F246&lt;&gt;"",NOT(ISNUMBER($F246))),AND($G246&lt;&gt;"",NOT(ISNUMBER($G246)))),"Fecha no válida"&amp;" · ","")&amp;IF(AND(ISNUMBER($AM246),ISNUMBER($AN246),$AM246&gt;$AN246),"Inicio posterior a fecha límite"&amp;" · ","")&amp;IF(AND($V246="Macro",$H246&lt;&gt;"",OR(NOT(ISNUMBER($H246)),$H246&lt;0,$H246&gt;1)),"Peso fuera de rango"&amp;" · ","")&amp;IF(AND($V246="Sub",$H246&lt;&gt;""),"Las subactividades no llevan peso (valen igual dentro de su macroactividad)"&amp;" · ","")&amp;IF(AND(N($W246)&gt;0,COUNT($I246:$L246)&gt;0),"Con subactividades: deje vacías las semanas (se calculan solas)"&amp;" · ","")&amp;IF((COUNTIF($I246:$L246,"&gt;1")+COUNTIF($I246:$L246,"&lt;0")+COUNTA($I246:$L246)-COUNT($I246:$L246))&gt;0,"Avance fuera de rango 0-100%"&amp;" · ","")&amp;IF(OR(AND($J246&lt;&gt;"",$J246&lt;$I246),AND($K246&lt;&gt;"",$K246&lt;MAX($I246:$J246)),AND($L246&lt;&gt;"",$L246&lt;MAX($I246:$K246))),"Avance semanal decreciente"&amp;" · ","")&amp;IF(AND(ISNUMBER($AN246),$AN246&lt;FechaRef,IF($V246="Sub",N($X246),N($M246))&lt;1),"Vencida"&amp;" · ","")&amp;IF(AND(ObsObligatoria="Sí",ISNUMBER($AN246),$AN246&lt;FechaRef,IF($V246="Sub",N($X246),N($M246))&lt;1,$Q246=""),"Vencida sin observación"&amp;" · ",""))-3)))</f>
        <v/>
      </c>
      <c r="S246" s="64">
        <f>IF(NOT((COUNTA($B246:$D246)+COUNTA($G246:$L246)+COUNTA($Q246))&gt;0),"",IF(AND($V246="Sub",N($U246)&gt;0),IF(ISNUMBER(INDEX($AM$5:$AM$1000,$U246-4)),DATE(YEAR(INDEX($AM$5:$AM$1000,$U246-4)),MONTH(INDEX($AM$5:$AM$1000,$U246-4)),1),IF(ISNUMBER(INDEX($AN$5:$AN$1000,$U246-4)),DATE(YEAR(INDEX($AN$5:$AN$1000,$U246-4)),MONTH(INDEX($AN$5:$AN$1000,$U246-4)),1),MesCiclo)),IF(ISNUMBER($AM246),DATE(YEAR($AM246),MONTH($AM246),1),IF(ISNUMBER($AN246),DATE(YEAR($AN246),MONTH($AN246),1),MesCiclo))))</f>
        <v/>
      </c>
      <c r="T246" s="62">
        <f>IF(OR($S246="",$S246&lt;&gt;MesCiclo,$V246&lt;&gt;"Macro"),"",COUNTIFS($S$5:$S246,MesCiclo,$V$5:$V246,"Macro"))</f>
        <v/>
      </c>
      <c r="U246" s="62">
        <f>IF($V246="","",IF($V246="Macro",ROW(),IFERROR(LOOKUP(2,1/($V$5:$V246="Macro"),ROW($V$5:$V246)),0)))</f>
        <v/>
      </c>
      <c r="V246" s="62">
        <f>IF(NOT((COUNTA($B246:$D246)+COUNTA($G246:$L246)+COUNTA($Q246))&gt;0),"",IF($B246="Subactividad","Sub","Macro"))</f>
        <v/>
      </c>
      <c r="W246" s="62">
        <f>IF($V246="Macro",COUNTIFS($U$5:$U$1000,ROW(),$V$5:$V$1000,"Sub"),"")</f>
        <v/>
      </c>
      <c r="X246" s="62">
        <f>IF($V246="","",IF(ISNUMBER($G246),1,IFERROR(LOOKUP(2,1/($I246:$L246&lt;&gt;""),$I246:$L246),0)))</f>
        <v/>
      </c>
      <c r="Y246" s="62">
        <f>IF($V246="","",IF(AND(ISNUMBER($G246),$G246&lt;=IF($S246=MesCiclo,InicioCiclo,$S246+MOD(2-WEEKDAY($S246),7))+6),1,IF(ISNUMBER($I246),$I246,0)))</f>
        <v/>
      </c>
      <c r="Z246" s="62">
        <f>IF($V246="","",IF(AND(ISNUMBER($G246),$G246&lt;=IF($S246=MesCiclo,InicioCiclo,$S246+MOD(2-WEEKDAY($S246),7))+13),1,IF(ISNUMBER($J246),$J246,$Y246)))</f>
        <v/>
      </c>
      <c r="AA246" s="62">
        <f>IF($V246="","",IF(AND(ISNUMBER($G246),$G246&lt;=IF($S246=MesCiclo,InicioCiclo,$S246+MOD(2-WEEKDAY($S246),7))+20),1,IF(ISNUMBER($K246),$K246,$Z246)))</f>
        <v/>
      </c>
      <c r="AB246" s="62">
        <f>IF($V246="","",IF(AND(ISNUMBER($G246),$G246&lt;=IF($S246=MesCiclo,InicioCiclo,$S246+MOD(2-WEEKDAY($S246),7))+27),1,IF(ISNUMBER($L246),$L246,$AA246)))</f>
        <v/>
      </c>
      <c r="AC246" s="62">
        <f>IF($V246="","",IF(AND(ISNUMBER($G246),$G246&lt;=IF($S246=MesCiclo,InicioCiclo,$S246+MOD(2-WEEKDAY($S246),7))+6),1,IF(N($W246)&gt;0,AVERAGEIFS($Y$5:$Y$1000,$U$5:$U$1000,ROW(),$V$5:$V$1000,"Sub"),$Y246)))</f>
        <v/>
      </c>
      <c r="AD246" s="62">
        <f>IF($V246="","",IF(AND(ISNUMBER($G246),$G246&lt;=IF($S246=MesCiclo,InicioCiclo,$S246+MOD(2-WEEKDAY($S246),7))+13),1,IF(N($W246)&gt;0,AVERAGEIFS($Z$5:$Z$1000,$U$5:$U$1000,ROW(),$V$5:$V$1000,"Sub"),$Z246)))</f>
        <v/>
      </c>
      <c r="AE246" s="62">
        <f>IF($V246="","",IF(AND(ISNUMBER($G246),$G246&lt;=IF($S246=MesCiclo,InicioCiclo,$S246+MOD(2-WEEKDAY($S246),7))+20),1,IF(N($W246)&gt;0,AVERAGEIFS($AA$5:$AA$1000,$U$5:$U$1000,ROW(),$V$5:$V$1000,"Sub"),$AA246)))</f>
        <v/>
      </c>
      <c r="AF246" s="62">
        <f>IF($V246="","",IF(AND(ISNUMBER($G246),$G246&lt;=IF($S246=MesCiclo,InicioCiclo,$S246+MOD(2-WEEKDAY($S246),7))+27),1,IF(N($W246)&gt;0,AVERAGEIFS($AB$5:$AB$1000,$U$5:$U$1000,ROW(),$V$5:$V$1000,"Sub"),$AB246)))</f>
        <v/>
      </c>
      <c r="AG246" s="62">
        <f>IF($V246&lt;&gt;"Macro","",IF(COUNTIFS($S$5:$S$1000,$S246,$V$5:$V$1000,"Macro",$H$5:$H$1000,"&gt;0")=0,1/COUNTIFS($S$5:$S$1000,$S246,$V$5:$V$1000,"Macro"),IF(AND(ISNUMBER($H246),N($H246)&gt;0),$H246,SUMIFS($H$5:$H$1000,$S$5:$S$1000,$S246,$V$5:$V$1000,"Macro")/COUNTIFS($S$5:$S$1000,$S246,$V$5:$V$1000,"Macro",$H$5:$H$1000,"&gt;0"))/(COUNTIFS($S$5:$S$1000,$S246,$V$5:$V$1000,"Macro")*SUMIFS($H$5:$H$1000,$S$5:$S$1000,$S246,$V$5:$V$1000,"Macro")/COUNTIFS($S$5:$S$1000,$S246,$V$5:$V$1000,"Macro",$H$5:$H$1000,"&gt;0"))))</f>
        <v/>
      </c>
      <c r="AH246" s="62" t="n"/>
      <c r="AI246" s="62" t="n"/>
      <c r="AJ246" s="62" t="n"/>
      <c r="AK246" s="62" t="n"/>
      <c r="AL246" s="62">
        <f>IF(LEFT($C246,11)="[Jefatura] ",IFERROR(MATCH("Riesgo Financiero|"&amp;MID($C246,12,500),rDname_ADM,0),0),"")</f>
        <v/>
      </c>
      <c r="AM246" s="62">
        <f>IF(N($AL246)&gt;0,INDEX(rIni_ADM,$AL246),IF(ISNUMBER($E246),$E246,""))</f>
        <v/>
      </c>
      <c r="AN246" s="62">
        <f>IF(N($AL246)&gt;0,INDEX(rLim_ADM,$AL246),IF(ISNUMBER($F246),$F246,""))</f>
        <v/>
      </c>
    </row>
    <row r="247">
      <c r="A247" s="56">
        <f>IF(NOT((COUNTA($B247:$D247)+COUNTA($G247:$L247)+COUNTA($Q247))&gt;0),"",IF($V247="Macro",COUNTIFS($V$5:$V247,"Macro",$S$5:$S247,$S247),IF(N($U247)=0,"?",COUNTIFS(INDEX($V$5:$V$1000,1):INDEX($V$5:$V$1000,$U247-4),"Macro",INDEX($S$5:$S$1000,1):INDEX($S$5:$S$1000,$U247-4),INDEX($S$5:$S$1000,$U247-4))&amp;"."&amp;COUNTIFS($U$5:$U247,$U247,$V$5:$V247,"Sub"))))</f>
        <v/>
      </c>
      <c r="B247" s="57" t="n"/>
      <c r="C247" s="58" t="n"/>
      <c r="D247" s="58" t="n"/>
      <c r="E247" s="59">
        <f>IF(N($AL247)&gt;0,INDEX(rIni_ADM,$AL247),"")</f>
        <v/>
      </c>
      <c r="F247" s="59">
        <f>IF(N($AL247)&gt;0,INDEX(rLim_ADM,$AL247),"")</f>
        <v/>
      </c>
      <c r="G247" s="59" t="n"/>
      <c r="H247" s="60" t="n"/>
      <c r="I247" s="60" t="n"/>
      <c r="J247" s="60" t="n"/>
      <c r="K247" s="60" t="n"/>
      <c r="L247" s="60" t="n"/>
      <c r="M247" s="61">
        <f>IF(NOT((COUNTA($B247:$D247)+COUNTA($G247:$L247)+COUNTA($Q247))&gt;0),"",IF($V247="Sub",IFERROR($X247/INDEX($W$5:$W$1000,$U247-4),""),IF(ISNUMBER($G247),1,IF(N($W247)&gt;0,AVERAGEIFS($X$5:$X$1000,$U$5:$U$1000,ROW(),$V$5:$V$1000,"Sub"),$X247))))</f>
        <v/>
      </c>
      <c r="N247" s="56">
        <f>IF(OR($M247="",$V247="Sub"),"",IF($M247&gt;=1,"Completado",IF($M247&gt;0,"En curso","Pendiente")))</f>
        <v/>
      </c>
      <c r="O247" s="56">
        <f>IF(OR(NOT((COUNTA($B247:$D247)+COUNTA($G247:$L247)+COUNTA($Q247))&gt;0),$V247="Sub"),"",IF(ISNUMBER($G247),IF(AND(ISNUMBER($AN247),$G247&gt;$AN247),"Cumplida con "&amp;($G247-$AN247)&amp;IF($G247-$AN247=1," día"," días")&amp;" de retraso","Cumplida"),IF(N($M247)&gt;=1,"Cumplida",IF(NOT(ISNUMBER($AN247)),"Sin fecha límite",IF($AN247&lt;FechaRef,"Vencida hace "&amp;(FechaRef-$AN247)&amp;IF(FechaRef-$AN247=1," día"," días"),IF($AN247=FechaRef,"Vence hoy",IF($AN247-FechaRef&lt;=DiasAlerta,"Vence en "&amp;($AN247-FechaRef)&amp;IF($AN247-FechaRef=1," día"," días"),"En plazo")))))))</f>
        <v/>
      </c>
      <c r="P247" s="62" t="n"/>
      <c r="Q247" s="58" t="n"/>
      <c r="R247" s="63">
        <f>IF(NOT((COUNTA($B247:$D247)+COUNTA($G247:$L247)+COUNTA($Q247))&gt;0),"",IF((IF($C247="","Falta el nombre de la actividad"&amp;" · ","")&amp;IF(AND($V247="Sub",N($U247)=0),"Subactividad sin macroactividad arriba"&amp;" · ","")&amp;IF($AM247="","Sin fecha de inicio"&amp;" · ","")&amp;IF($AN247="","Sin fecha límite"&amp;" · ","")&amp;IF(AND(LEFT($C247,11)="[Jefatura] ",N($AL247)=0),"No se encuentra en la hoja de la jefatura (elíjala de nuevo en la lista)"&amp;" · ","")&amp;IF(OR(AND($E247&lt;&gt;"",NOT(ISNUMBER($E247))),AND($F247&lt;&gt;"",NOT(ISNUMBER($F247))),AND($G247&lt;&gt;"",NOT(ISNUMBER($G247)))),"Fecha no válida"&amp;" · ","")&amp;IF(AND(ISNUMBER($AM247),ISNUMBER($AN247),$AM247&gt;$AN247),"Inicio posterior a fecha límite"&amp;" · ","")&amp;IF(AND($V247="Macro",$H247&lt;&gt;"",OR(NOT(ISNUMBER($H247)),$H247&lt;0,$H247&gt;1)),"Peso fuera de rango"&amp;" · ","")&amp;IF(AND($V247="Sub",$H247&lt;&gt;""),"Las subactividades no llevan peso (valen igual dentro de su macroactividad)"&amp;" · ","")&amp;IF(AND(N($W247)&gt;0,COUNT($I247:$L247)&gt;0),"Con subactividades: deje vacías las semanas (se calculan solas)"&amp;" · ","")&amp;IF((COUNTIF($I247:$L247,"&gt;1")+COUNTIF($I247:$L247,"&lt;0")+COUNTA($I247:$L247)-COUNT($I247:$L247))&gt;0,"Avance fuera de rango 0-100%"&amp;" · ","")&amp;IF(OR(AND($J247&lt;&gt;"",$J247&lt;$I247),AND($K247&lt;&gt;"",$K247&lt;MAX($I247:$J247)),AND($L247&lt;&gt;"",$L247&lt;MAX($I247:$K247))),"Avance semanal decreciente"&amp;" · ","")&amp;IF(AND(ISNUMBER($AN247),$AN247&lt;FechaRef,IF($V247="Sub",N($X247),N($M247))&lt;1),"Vencida"&amp;" · ","")&amp;IF(AND(ObsObligatoria="Sí",ISNUMBER($AN247),$AN247&lt;FechaRef,IF($V247="Sub",N($X247),N($M247))&lt;1,$Q247=""),"Vencida sin observación"&amp;" · ",""))="","✔ OK","⚠ "&amp;LEFT(IF($C247="","Falta el nombre de la actividad"&amp;" · ","")&amp;IF(AND($V247="Sub",N($U247)=0),"Subactividad sin macroactividad arriba"&amp;" · ","")&amp;IF($AM247="","Sin fecha de inicio"&amp;" · ","")&amp;IF($AN247="","Sin fecha límite"&amp;" · ","")&amp;IF(AND(LEFT($C247,11)="[Jefatura] ",N($AL247)=0),"No se encuentra en la hoja de la jefatura (elíjala de nuevo en la lista)"&amp;" · ","")&amp;IF(OR(AND($E247&lt;&gt;"",NOT(ISNUMBER($E247))),AND($F247&lt;&gt;"",NOT(ISNUMBER($F247))),AND($G247&lt;&gt;"",NOT(ISNUMBER($G247)))),"Fecha no válida"&amp;" · ","")&amp;IF(AND(ISNUMBER($AM247),ISNUMBER($AN247),$AM247&gt;$AN247),"Inicio posterior a fecha límite"&amp;" · ","")&amp;IF(AND($V247="Macro",$H247&lt;&gt;"",OR(NOT(ISNUMBER($H247)),$H247&lt;0,$H247&gt;1)),"Peso fuera de rango"&amp;" · ","")&amp;IF(AND($V247="Sub",$H247&lt;&gt;""),"Las subactividades no llevan peso (valen igual dentro de su macroactividad)"&amp;" · ","")&amp;IF(AND(N($W247)&gt;0,COUNT($I247:$L247)&gt;0),"Con subactividades: deje vacías las semanas (se calculan solas)"&amp;" · ","")&amp;IF((COUNTIF($I247:$L247,"&gt;1")+COUNTIF($I247:$L247,"&lt;0")+COUNTA($I247:$L247)-COUNT($I247:$L247))&gt;0,"Avance fuera de rango 0-100%"&amp;" · ","")&amp;IF(OR(AND($J247&lt;&gt;"",$J247&lt;$I247),AND($K247&lt;&gt;"",$K247&lt;MAX($I247:$J247)),AND($L247&lt;&gt;"",$L247&lt;MAX($I247:$K247))),"Avance semanal decreciente"&amp;" · ","")&amp;IF(AND(ISNUMBER($AN247),$AN247&lt;FechaRef,IF($V247="Sub",N($X247),N($M247))&lt;1),"Vencida"&amp;" · ","")&amp;IF(AND(ObsObligatoria="Sí",ISNUMBER($AN247),$AN247&lt;FechaRef,IF($V247="Sub",N($X247),N($M247))&lt;1,$Q247=""),"Vencida sin observación"&amp;" · ",""),LEN(IF($C247="","Falta el nombre de la actividad"&amp;" · ","")&amp;IF(AND($V247="Sub",N($U247)=0),"Subactividad sin macroactividad arriba"&amp;" · ","")&amp;IF($AM247="","Sin fecha de inicio"&amp;" · ","")&amp;IF($AN247="","Sin fecha límite"&amp;" · ","")&amp;IF(AND(LEFT($C247,11)="[Jefatura] ",N($AL247)=0),"No se encuentra en la hoja de la jefatura (elíjala de nuevo en la lista)"&amp;" · ","")&amp;IF(OR(AND($E247&lt;&gt;"",NOT(ISNUMBER($E247))),AND($F247&lt;&gt;"",NOT(ISNUMBER($F247))),AND($G247&lt;&gt;"",NOT(ISNUMBER($G247)))),"Fecha no válida"&amp;" · ","")&amp;IF(AND(ISNUMBER($AM247),ISNUMBER($AN247),$AM247&gt;$AN247),"Inicio posterior a fecha límite"&amp;" · ","")&amp;IF(AND($V247="Macro",$H247&lt;&gt;"",OR(NOT(ISNUMBER($H247)),$H247&lt;0,$H247&gt;1)),"Peso fuera de rango"&amp;" · ","")&amp;IF(AND($V247="Sub",$H247&lt;&gt;""),"Las subactividades no llevan peso (valen igual dentro de su macroactividad)"&amp;" · ","")&amp;IF(AND(N($W247)&gt;0,COUNT($I247:$L247)&gt;0),"Con subactividades: deje vacías las semanas (se calculan solas)"&amp;" · ","")&amp;IF((COUNTIF($I247:$L247,"&gt;1")+COUNTIF($I247:$L247,"&lt;0")+COUNTA($I247:$L247)-COUNT($I247:$L247))&gt;0,"Avance fuera de rango 0-100%"&amp;" · ","")&amp;IF(OR(AND($J247&lt;&gt;"",$J247&lt;$I247),AND($K247&lt;&gt;"",$K247&lt;MAX($I247:$J247)),AND($L247&lt;&gt;"",$L247&lt;MAX($I247:$K247))),"Avance semanal decreciente"&amp;" · ","")&amp;IF(AND(ISNUMBER($AN247),$AN247&lt;FechaRef,IF($V247="Sub",N($X247),N($M247))&lt;1),"Vencida"&amp;" · ","")&amp;IF(AND(ObsObligatoria="Sí",ISNUMBER($AN247),$AN247&lt;FechaRef,IF($V247="Sub",N($X247),N($M247))&lt;1,$Q247=""),"Vencida sin observación"&amp;" · ",""))-3)))</f>
        <v/>
      </c>
      <c r="S247" s="64">
        <f>IF(NOT((COUNTA($B247:$D247)+COUNTA($G247:$L247)+COUNTA($Q247))&gt;0),"",IF(AND($V247="Sub",N($U247)&gt;0),IF(ISNUMBER(INDEX($AM$5:$AM$1000,$U247-4)),DATE(YEAR(INDEX($AM$5:$AM$1000,$U247-4)),MONTH(INDEX($AM$5:$AM$1000,$U247-4)),1),IF(ISNUMBER(INDEX($AN$5:$AN$1000,$U247-4)),DATE(YEAR(INDEX($AN$5:$AN$1000,$U247-4)),MONTH(INDEX($AN$5:$AN$1000,$U247-4)),1),MesCiclo)),IF(ISNUMBER($AM247),DATE(YEAR($AM247),MONTH($AM247),1),IF(ISNUMBER($AN247),DATE(YEAR($AN247),MONTH($AN247),1),MesCiclo))))</f>
        <v/>
      </c>
      <c r="T247" s="62">
        <f>IF(OR($S247="",$S247&lt;&gt;MesCiclo,$V247&lt;&gt;"Macro"),"",COUNTIFS($S$5:$S247,MesCiclo,$V$5:$V247,"Macro"))</f>
        <v/>
      </c>
      <c r="U247" s="62">
        <f>IF($V247="","",IF($V247="Macro",ROW(),IFERROR(LOOKUP(2,1/($V$5:$V247="Macro"),ROW($V$5:$V247)),0)))</f>
        <v/>
      </c>
      <c r="V247" s="62">
        <f>IF(NOT((COUNTA($B247:$D247)+COUNTA($G247:$L247)+COUNTA($Q247))&gt;0),"",IF($B247="Subactividad","Sub","Macro"))</f>
        <v/>
      </c>
      <c r="W247" s="62">
        <f>IF($V247="Macro",COUNTIFS($U$5:$U$1000,ROW(),$V$5:$V$1000,"Sub"),"")</f>
        <v/>
      </c>
      <c r="X247" s="62">
        <f>IF($V247="","",IF(ISNUMBER($G247),1,IFERROR(LOOKUP(2,1/($I247:$L247&lt;&gt;""),$I247:$L247),0)))</f>
        <v/>
      </c>
      <c r="Y247" s="62">
        <f>IF($V247="","",IF(AND(ISNUMBER($G247),$G247&lt;=IF($S247=MesCiclo,InicioCiclo,$S247+MOD(2-WEEKDAY($S247),7))+6),1,IF(ISNUMBER($I247),$I247,0)))</f>
        <v/>
      </c>
      <c r="Z247" s="62">
        <f>IF($V247="","",IF(AND(ISNUMBER($G247),$G247&lt;=IF($S247=MesCiclo,InicioCiclo,$S247+MOD(2-WEEKDAY($S247),7))+13),1,IF(ISNUMBER($J247),$J247,$Y247)))</f>
        <v/>
      </c>
      <c r="AA247" s="62">
        <f>IF($V247="","",IF(AND(ISNUMBER($G247),$G247&lt;=IF($S247=MesCiclo,InicioCiclo,$S247+MOD(2-WEEKDAY($S247),7))+20),1,IF(ISNUMBER($K247),$K247,$Z247)))</f>
        <v/>
      </c>
      <c r="AB247" s="62">
        <f>IF($V247="","",IF(AND(ISNUMBER($G247),$G247&lt;=IF($S247=MesCiclo,InicioCiclo,$S247+MOD(2-WEEKDAY($S247),7))+27),1,IF(ISNUMBER($L247),$L247,$AA247)))</f>
        <v/>
      </c>
      <c r="AC247" s="62">
        <f>IF($V247="","",IF(AND(ISNUMBER($G247),$G247&lt;=IF($S247=MesCiclo,InicioCiclo,$S247+MOD(2-WEEKDAY($S247),7))+6),1,IF(N($W247)&gt;0,AVERAGEIFS($Y$5:$Y$1000,$U$5:$U$1000,ROW(),$V$5:$V$1000,"Sub"),$Y247)))</f>
        <v/>
      </c>
      <c r="AD247" s="62">
        <f>IF($V247="","",IF(AND(ISNUMBER($G247),$G247&lt;=IF($S247=MesCiclo,InicioCiclo,$S247+MOD(2-WEEKDAY($S247),7))+13),1,IF(N($W247)&gt;0,AVERAGEIFS($Z$5:$Z$1000,$U$5:$U$1000,ROW(),$V$5:$V$1000,"Sub"),$Z247)))</f>
        <v/>
      </c>
      <c r="AE247" s="62">
        <f>IF($V247="","",IF(AND(ISNUMBER($G247),$G247&lt;=IF($S247=MesCiclo,InicioCiclo,$S247+MOD(2-WEEKDAY($S247),7))+20),1,IF(N($W247)&gt;0,AVERAGEIFS($AA$5:$AA$1000,$U$5:$U$1000,ROW(),$V$5:$V$1000,"Sub"),$AA247)))</f>
        <v/>
      </c>
      <c r="AF247" s="62">
        <f>IF($V247="","",IF(AND(ISNUMBER($G247),$G247&lt;=IF($S247=MesCiclo,InicioCiclo,$S247+MOD(2-WEEKDAY($S247),7))+27),1,IF(N($W247)&gt;0,AVERAGEIFS($AB$5:$AB$1000,$U$5:$U$1000,ROW(),$V$5:$V$1000,"Sub"),$AB247)))</f>
        <v/>
      </c>
      <c r="AG247" s="62">
        <f>IF($V247&lt;&gt;"Macro","",IF(COUNTIFS($S$5:$S$1000,$S247,$V$5:$V$1000,"Macro",$H$5:$H$1000,"&gt;0")=0,1/COUNTIFS($S$5:$S$1000,$S247,$V$5:$V$1000,"Macro"),IF(AND(ISNUMBER($H247),N($H247)&gt;0),$H247,SUMIFS($H$5:$H$1000,$S$5:$S$1000,$S247,$V$5:$V$1000,"Macro")/COUNTIFS($S$5:$S$1000,$S247,$V$5:$V$1000,"Macro",$H$5:$H$1000,"&gt;0"))/(COUNTIFS($S$5:$S$1000,$S247,$V$5:$V$1000,"Macro")*SUMIFS($H$5:$H$1000,$S$5:$S$1000,$S247,$V$5:$V$1000,"Macro")/COUNTIFS($S$5:$S$1000,$S247,$V$5:$V$1000,"Macro",$H$5:$H$1000,"&gt;0"))))</f>
        <v/>
      </c>
      <c r="AH247" s="62" t="n"/>
      <c r="AI247" s="62" t="n"/>
      <c r="AJ247" s="62" t="n"/>
      <c r="AK247" s="62" t="n"/>
      <c r="AL247" s="62">
        <f>IF(LEFT($C247,11)="[Jefatura] ",IFERROR(MATCH("Riesgo Financiero|"&amp;MID($C247,12,500),rDname_ADM,0),0),"")</f>
        <v/>
      </c>
      <c r="AM247" s="62">
        <f>IF(N($AL247)&gt;0,INDEX(rIni_ADM,$AL247),IF(ISNUMBER($E247),$E247,""))</f>
        <v/>
      </c>
      <c r="AN247" s="62">
        <f>IF(N($AL247)&gt;0,INDEX(rLim_ADM,$AL247),IF(ISNUMBER($F247),$F247,""))</f>
        <v/>
      </c>
    </row>
    <row r="248">
      <c r="A248" s="56">
        <f>IF(NOT((COUNTA($B248:$D248)+COUNTA($G248:$L248)+COUNTA($Q248))&gt;0),"",IF($V248="Macro",COUNTIFS($V$5:$V248,"Macro",$S$5:$S248,$S248),IF(N($U248)=0,"?",COUNTIFS(INDEX($V$5:$V$1000,1):INDEX($V$5:$V$1000,$U248-4),"Macro",INDEX($S$5:$S$1000,1):INDEX($S$5:$S$1000,$U248-4),INDEX($S$5:$S$1000,$U248-4))&amp;"."&amp;COUNTIFS($U$5:$U248,$U248,$V$5:$V248,"Sub"))))</f>
        <v/>
      </c>
      <c r="B248" s="57" t="n"/>
      <c r="C248" s="58" t="n"/>
      <c r="D248" s="58" t="n"/>
      <c r="E248" s="59">
        <f>IF(N($AL248)&gt;0,INDEX(rIni_ADM,$AL248),"")</f>
        <v/>
      </c>
      <c r="F248" s="59">
        <f>IF(N($AL248)&gt;0,INDEX(rLim_ADM,$AL248),"")</f>
        <v/>
      </c>
      <c r="G248" s="59" t="n"/>
      <c r="H248" s="60" t="n"/>
      <c r="I248" s="60" t="n"/>
      <c r="J248" s="60" t="n"/>
      <c r="K248" s="60" t="n"/>
      <c r="L248" s="60" t="n"/>
      <c r="M248" s="61">
        <f>IF(NOT((COUNTA($B248:$D248)+COUNTA($G248:$L248)+COUNTA($Q248))&gt;0),"",IF($V248="Sub",IFERROR($X248/INDEX($W$5:$W$1000,$U248-4),""),IF(ISNUMBER($G248),1,IF(N($W248)&gt;0,AVERAGEIFS($X$5:$X$1000,$U$5:$U$1000,ROW(),$V$5:$V$1000,"Sub"),$X248))))</f>
        <v/>
      </c>
      <c r="N248" s="56">
        <f>IF(OR($M248="",$V248="Sub"),"",IF($M248&gt;=1,"Completado",IF($M248&gt;0,"En curso","Pendiente")))</f>
        <v/>
      </c>
      <c r="O248" s="56">
        <f>IF(OR(NOT((COUNTA($B248:$D248)+COUNTA($G248:$L248)+COUNTA($Q248))&gt;0),$V248="Sub"),"",IF(ISNUMBER($G248),IF(AND(ISNUMBER($AN248),$G248&gt;$AN248),"Cumplida con "&amp;($G248-$AN248)&amp;IF($G248-$AN248=1," día"," días")&amp;" de retraso","Cumplida"),IF(N($M248)&gt;=1,"Cumplida",IF(NOT(ISNUMBER($AN248)),"Sin fecha límite",IF($AN248&lt;FechaRef,"Vencida hace "&amp;(FechaRef-$AN248)&amp;IF(FechaRef-$AN248=1," día"," días"),IF($AN248=FechaRef,"Vence hoy",IF($AN248-FechaRef&lt;=DiasAlerta,"Vence en "&amp;($AN248-FechaRef)&amp;IF($AN248-FechaRef=1," día"," días"),"En plazo")))))))</f>
        <v/>
      </c>
      <c r="P248" s="62" t="n"/>
      <c r="Q248" s="58" t="n"/>
      <c r="R248" s="63">
        <f>IF(NOT((COUNTA($B248:$D248)+COUNTA($G248:$L248)+COUNTA($Q248))&gt;0),"",IF((IF($C248="","Falta el nombre de la actividad"&amp;" · ","")&amp;IF(AND($V248="Sub",N($U248)=0),"Subactividad sin macroactividad arriba"&amp;" · ","")&amp;IF($AM248="","Sin fecha de inicio"&amp;" · ","")&amp;IF($AN248="","Sin fecha límite"&amp;" · ","")&amp;IF(AND(LEFT($C248,11)="[Jefatura] ",N($AL248)=0),"No se encuentra en la hoja de la jefatura (elíjala de nuevo en la lista)"&amp;" · ","")&amp;IF(OR(AND($E248&lt;&gt;"",NOT(ISNUMBER($E248))),AND($F248&lt;&gt;"",NOT(ISNUMBER($F248))),AND($G248&lt;&gt;"",NOT(ISNUMBER($G248)))),"Fecha no válida"&amp;" · ","")&amp;IF(AND(ISNUMBER($AM248),ISNUMBER($AN248),$AM248&gt;$AN248),"Inicio posterior a fecha límite"&amp;" · ","")&amp;IF(AND($V248="Macro",$H248&lt;&gt;"",OR(NOT(ISNUMBER($H248)),$H248&lt;0,$H248&gt;1)),"Peso fuera de rango"&amp;" · ","")&amp;IF(AND($V248="Sub",$H248&lt;&gt;""),"Las subactividades no llevan peso (valen igual dentro de su macroactividad)"&amp;" · ","")&amp;IF(AND(N($W248)&gt;0,COUNT($I248:$L248)&gt;0),"Con subactividades: deje vacías las semanas (se calculan solas)"&amp;" · ","")&amp;IF((COUNTIF($I248:$L248,"&gt;1")+COUNTIF($I248:$L248,"&lt;0")+COUNTA($I248:$L248)-COUNT($I248:$L248))&gt;0,"Avance fuera de rango 0-100%"&amp;" · ","")&amp;IF(OR(AND($J248&lt;&gt;"",$J248&lt;$I248),AND($K248&lt;&gt;"",$K248&lt;MAX($I248:$J248)),AND($L248&lt;&gt;"",$L248&lt;MAX($I248:$K248))),"Avance semanal decreciente"&amp;" · ","")&amp;IF(AND(ISNUMBER($AN248),$AN248&lt;FechaRef,IF($V248="Sub",N($X248),N($M248))&lt;1),"Vencida"&amp;" · ","")&amp;IF(AND(ObsObligatoria="Sí",ISNUMBER($AN248),$AN248&lt;FechaRef,IF($V248="Sub",N($X248),N($M248))&lt;1,$Q248=""),"Vencida sin observación"&amp;" · ",""))="","✔ OK","⚠ "&amp;LEFT(IF($C248="","Falta el nombre de la actividad"&amp;" · ","")&amp;IF(AND($V248="Sub",N($U248)=0),"Subactividad sin macroactividad arriba"&amp;" · ","")&amp;IF($AM248="","Sin fecha de inicio"&amp;" · ","")&amp;IF($AN248="","Sin fecha límite"&amp;" · ","")&amp;IF(AND(LEFT($C248,11)="[Jefatura] ",N($AL248)=0),"No se encuentra en la hoja de la jefatura (elíjala de nuevo en la lista)"&amp;" · ","")&amp;IF(OR(AND($E248&lt;&gt;"",NOT(ISNUMBER($E248))),AND($F248&lt;&gt;"",NOT(ISNUMBER($F248))),AND($G248&lt;&gt;"",NOT(ISNUMBER($G248)))),"Fecha no válida"&amp;" · ","")&amp;IF(AND(ISNUMBER($AM248),ISNUMBER($AN248),$AM248&gt;$AN248),"Inicio posterior a fecha límite"&amp;" · ","")&amp;IF(AND($V248="Macro",$H248&lt;&gt;"",OR(NOT(ISNUMBER($H248)),$H248&lt;0,$H248&gt;1)),"Peso fuera de rango"&amp;" · ","")&amp;IF(AND($V248="Sub",$H248&lt;&gt;""),"Las subactividades no llevan peso (valen igual dentro de su macroactividad)"&amp;" · ","")&amp;IF(AND(N($W248)&gt;0,COUNT($I248:$L248)&gt;0),"Con subactividades: deje vacías las semanas (se calculan solas)"&amp;" · ","")&amp;IF((COUNTIF($I248:$L248,"&gt;1")+COUNTIF($I248:$L248,"&lt;0")+COUNTA($I248:$L248)-COUNT($I248:$L248))&gt;0,"Avance fuera de rango 0-100%"&amp;" · ","")&amp;IF(OR(AND($J248&lt;&gt;"",$J248&lt;$I248),AND($K248&lt;&gt;"",$K248&lt;MAX($I248:$J248)),AND($L248&lt;&gt;"",$L248&lt;MAX($I248:$K248))),"Avance semanal decreciente"&amp;" · ","")&amp;IF(AND(ISNUMBER($AN248),$AN248&lt;FechaRef,IF($V248="Sub",N($X248),N($M248))&lt;1),"Vencida"&amp;" · ","")&amp;IF(AND(ObsObligatoria="Sí",ISNUMBER($AN248),$AN248&lt;FechaRef,IF($V248="Sub",N($X248),N($M248))&lt;1,$Q248=""),"Vencida sin observación"&amp;" · ",""),LEN(IF($C248="","Falta el nombre de la actividad"&amp;" · ","")&amp;IF(AND($V248="Sub",N($U248)=0),"Subactividad sin macroactividad arriba"&amp;" · ","")&amp;IF($AM248="","Sin fecha de inicio"&amp;" · ","")&amp;IF($AN248="","Sin fecha límite"&amp;" · ","")&amp;IF(AND(LEFT($C248,11)="[Jefatura] ",N($AL248)=0),"No se encuentra en la hoja de la jefatura (elíjala de nuevo en la lista)"&amp;" · ","")&amp;IF(OR(AND($E248&lt;&gt;"",NOT(ISNUMBER($E248))),AND($F248&lt;&gt;"",NOT(ISNUMBER($F248))),AND($G248&lt;&gt;"",NOT(ISNUMBER($G248)))),"Fecha no válida"&amp;" · ","")&amp;IF(AND(ISNUMBER($AM248),ISNUMBER($AN248),$AM248&gt;$AN248),"Inicio posterior a fecha límite"&amp;" · ","")&amp;IF(AND($V248="Macro",$H248&lt;&gt;"",OR(NOT(ISNUMBER($H248)),$H248&lt;0,$H248&gt;1)),"Peso fuera de rango"&amp;" · ","")&amp;IF(AND($V248="Sub",$H248&lt;&gt;""),"Las subactividades no llevan peso (valen igual dentro de su macroactividad)"&amp;" · ","")&amp;IF(AND(N($W248)&gt;0,COUNT($I248:$L248)&gt;0),"Con subactividades: deje vacías las semanas (se calculan solas)"&amp;" · ","")&amp;IF((COUNTIF($I248:$L248,"&gt;1")+COUNTIF($I248:$L248,"&lt;0")+COUNTA($I248:$L248)-COUNT($I248:$L248))&gt;0,"Avance fuera de rango 0-100%"&amp;" · ","")&amp;IF(OR(AND($J248&lt;&gt;"",$J248&lt;$I248),AND($K248&lt;&gt;"",$K248&lt;MAX($I248:$J248)),AND($L248&lt;&gt;"",$L248&lt;MAX($I248:$K248))),"Avance semanal decreciente"&amp;" · ","")&amp;IF(AND(ISNUMBER($AN248),$AN248&lt;FechaRef,IF($V248="Sub",N($X248),N($M248))&lt;1),"Vencida"&amp;" · ","")&amp;IF(AND(ObsObligatoria="Sí",ISNUMBER($AN248),$AN248&lt;FechaRef,IF($V248="Sub",N($X248),N($M248))&lt;1,$Q248=""),"Vencida sin observación"&amp;" · ",""))-3)))</f>
        <v/>
      </c>
      <c r="S248" s="64">
        <f>IF(NOT((COUNTA($B248:$D248)+COUNTA($G248:$L248)+COUNTA($Q248))&gt;0),"",IF(AND($V248="Sub",N($U248)&gt;0),IF(ISNUMBER(INDEX($AM$5:$AM$1000,$U248-4)),DATE(YEAR(INDEX($AM$5:$AM$1000,$U248-4)),MONTH(INDEX($AM$5:$AM$1000,$U248-4)),1),IF(ISNUMBER(INDEX($AN$5:$AN$1000,$U248-4)),DATE(YEAR(INDEX($AN$5:$AN$1000,$U248-4)),MONTH(INDEX($AN$5:$AN$1000,$U248-4)),1),MesCiclo)),IF(ISNUMBER($AM248),DATE(YEAR($AM248),MONTH($AM248),1),IF(ISNUMBER($AN248),DATE(YEAR($AN248),MONTH($AN248),1),MesCiclo))))</f>
        <v/>
      </c>
      <c r="T248" s="62">
        <f>IF(OR($S248="",$S248&lt;&gt;MesCiclo,$V248&lt;&gt;"Macro"),"",COUNTIFS($S$5:$S248,MesCiclo,$V$5:$V248,"Macro"))</f>
        <v/>
      </c>
      <c r="U248" s="62">
        <f>IF($V248="","",IF($V248="Macro",ROW(),IFERROR(LOOKUP(2,1/($V$5:$V248="Macro"),ROW($V$5:$V248)),0)))</f>
        <v/>
      </c>
      <c r="V248" s="62">
        <f>IF(NOT((COUNTA($B248:$D248)+COUNTA($G248:$L248)+COUNTA($Q248))&gt;0),"",IF($B248="Subactividad","Sub","Macro"))</f>
        <v/>
      </c>
      <c r="W248" s="62">
        <f>IF($V248="Macro",COUNTIFS($U$5:$U$1000,ROW(),$V$5:$V$1000,"Sub"),"")</f>
        <v/>
      </c>
      <c r="X248" s="62">
        <f>IF($V248="","",IF(ISNUMBER($G248),1,IFERROR(LOOKUP(2,1/($I248:$L248&lt;&gt;""),$I248:$L248),0)))</f>
        <v/>
      </c>
      <c r="Y248" s="62">
        <f>IF($V248="","",IF(AND(ISNUMBER($G248),$G248&lt;=IF($S248=MesCiclo,InicioCiclo,$S248+MOD(2-WEEKDAY($S248),7))+6),1,IF(ISNUMBER($I248),$I248,0)))</f>
        <v/>
      </c>
      <c r="Z248" s="62">
        <f>IF($V248="","",IF(AND(ISNUMBER($G248),$G248&lt;=IF($S248=MesCiclo,InicioCiclo,$S248+MOD(2-WEEKDAY($S248),7))+13),1,IF(ISNUMBER($J248),$J248,$Y248)))</f>
        <v/>
      </c>
      <c r="AA248" s="62">
        <f>IF($V248="","",IF(AND(ISNUMBER($G248),$G248&lt;=IF($S248=MesCiclo,InicioCiclo,$S248+MOD(2-WEEKDAY($S248),7))+20),1,IF(ISNUMBER($K248),$K248,$Z248)))</f>
        <v/>
      </c>
      <c r="AB248" s="62">
        <f>IF($V248="","",IF(AND(ISNUMBER($G248),$G248&lt;=IF($S248=MesCiclo,InicioCiclo,$S248+MOD(2-WEEKDAY($S248),7))+27),1,IF(ISNUMBER($L248),$L248,$AA248)))</f>
        <v/>
      </c>
      <c r="AC248" s="62">
        <f>IF($V248="","",IF(AND(ISNUMBER($G248),$G248&lt;=IF($S248=MesCiclo,InicioCiclo,$S248+MOD(2-WEEKDAY($S248),7))+6),1,IF(N($W248)&gt;0,AVERAGEIFS($Y$5:$Y$1000,$U$5:$U$1000,ROW(),$V$5:$V$1000,"Sub"),$Y248)))</f>
        <v/>
      </c>
      <c r="AD248" s="62">
        <f>IF($V248="","",IF(AND(ISNUMBER($G248),$G248&lt;=IF($S248=MesCiclo,InicioCiclo,$S248+MOD(2-WEEKDAY($S248),7))+13),1,IF(N($W248)&gt;0,AVERAGEIFS($Z$5:$Z$1000,$U$5:$U$1000,ROW(),$V$5:$V$1000,"Sub"),$Z248)))</f>
        <v/>
      </c>
      <c r="AE248" s="62">
        <f>IF($V248="","",IF(AND(ISNUMBER($G248),$G248&lt;=IF($S248=MesCiclo,InicioCiclo,$S248+MOD(2-WEEKDAY($S248),7))+20),1,IF(N($W248)&gt;0,AVERAGEIFS($AA$5:$AA$1000,$U$5:$U$1000,ROW(),$V$5:$V$1000,"Sub"),$AA248)))</f>
        <v/>
      </c>
      <c r="AF248" s="62">
        <f>IF($V248="","",IF(AND(ISNUMBER($G248),$G248&lt;=IF($S248=MesCiclo,InicioCiclo,$S248+MOD(2-WEEKDAY($S248),7))+27),1,IF(N($W248)&gt;0,AVERAGEIFS($AB$5:$AB$1000,$U$5:$U$1000,ROW(),$V$5:$V$1000,"Sub"),$AB248)))</f>
        <v/>
      </c>
      <c r="AG248" s="62">
        <f>IF($V248&lt;&gt;"Macro","",IF(COUNTIFS($S$5:$S$1000,$S248,$V$5:$V$1000,"Macro",$H$5:$H$1000,"&gt;0")=0,1/COUNTIFS($S$5:$S$1000,$S248,$V$5:$V$1000,"Macro"),IF(AND(ISNUMBER($H248),N($H248)&gt;0),$H248,SUMIFS($H$5:$H$1000,$S$5:$S$1000,$S248,$V$5:$V$1000,"Macro")/COUNTIFS($S$5:$S$1000,$S248,$V$5:$V$1000,"Macro",$H$5:$H$1000,"&gt;0"))/(COUNTIFS($S$5:$S$1000,$S248,$V$5:$V$1000,"Macro")*SUMIFS($H$5:$H$1000,$S$5:$S$1000,$S248,$V$5:$V$1000,"Macro")/COUNTIFS($S$5:$S$1000,$S248,$V$5:$V$1000,"Macro",$H$5:$H$1000,"&gt;0"))))</f>
        <v/>
      </c>
      <c r="AH248" s="62" t="n"/>
      <c r="AI248" s="62" t="n"/>
      <c r="AJ248" s="62" t="n"/>
      <c r="AK248" s="62" t="n"/>
      <c r="AL248" s="62">
        <f>IF(LEFT($C248,11)="[Jefatura] ",IFERROR(MATCH("Riesgo Financiero|"&amp;MID($C248,12,500),rDname_ADM,0),0),"")</f>
        <v/>
      </c>
      <c r="AM248" s="62">
        <f>IF(N($AL248)&gt;0,INDEX(rIni_ADM,$AL248),IF(ISNUMBER($E248),$E248,""))</f>
        <v/>
      </c>
      <c r="AN248" s="62">
        <f>IF(N($AL248)&gt;0,INDEX(rLim_ADM,$AL248),IF(ISNUMBER($F248),$F248,""))</f>
        <v/>
      </c>
    </row>
    <row r="249">
      <c r="A249" s="56">
        <f>IF(NOT((COUNTA($B249:$D249)+COUNTA($G249:$L249)+COUNTA($Q249))&gt;0),"",IF($V249="Macro",COUNTIFS($V$5:$V249,"Macro",$S$5:$S249,$S249),IF(N($U249)=0,"?",COUNTIFS(INDEX($V$5:$V$1000,1):INDEX($V$5:$V$1000,$U249-4),"Macro",INDEX($S$5:$S$1000,1):INDEX($S$5:$S$1000,$U249-4),INDEX($S$5:$S$1000,$U249-4))&amp;"."&amp;COUNTIFS($U$5:$U249,$U249,$V$5:$V249,"Sub"))))</f>
        <v/>
      </c>
      <c r="B249" s="57" t="n"/>
      <c r="C249" s="58" t="n"/>
      <c r="D249" s="58" t="n"/>
      <c r="E249" s="59">
        <f>IF(N($AL249)&gt;0,INDEX(rIni_ADM,$AL249),"")</f>
        <v/>
      </c>
      <c r="F249" s="59">
        <f>IF(N($AL249)&gt;0,INDEX(rLim_ADM,$AL249),"")</f>
        <v/>
      </c>
      <c r="G249" s="59" t="n"/>
      <c r="H249" s="60" t="n"/>
      <c r="I249" s="60" t="n"/>
      <c r="J249" s="60" t="n"/>
      <c r="K249" s="60" t="n"/>
      <c r="L249" s="60" t="n"/>
      <c r="M249" s="61">
        <f>IF(NOT((COUNTA($B249:$D249)+COUNTA($G249:$L249)+COUNTA($Q249))&gt;0),"",IF($V249="Sub",IFERROR($X249/INDEX($W$5:$W$1000,$U249-4),""),IF(ISNUMBER($G249),1,IF(N($W249)&gt;0,AVERAGEIFS($X$5:$X$1000,$U$5:$U$1000,ROW(),$V$5:$V$1000,"Sub"),$X249))))</f>
        <v/>
      </c>
      <c r="N249" s="56">
        <f>IF(OR($M249="",$V249="Sub"),"",IF($M249&gt;=1,"Completado",IF($M249&gt;0,"En curso","Pendiente")))</f>
        <v/>
      </c>
      <c r="O249" s="56">
        <f>IF(OR(NOT((COUNTA($B249:$D249)+COUNTA($G249:$L249)+COUNTA($Q249))&gt;0),$V249="Sub"),"",IF(ISNUMBER($G249),IF(AND(ISNUMBER($AN249),$G249&gt;$AN249),"Cumplida con "&amp;($G249-$AN249)&amp;IF($G249-$AN249=1," día"," días")&amp;" de retraso","Cumplida"),IF(N($M249)&gt;=1,"Cumplida",IF(NOT(ISNUMBER($AN249)),"Sin fecha límite",IF($AN249&lt;FechaRef,"Vencida hace "&amp;(FechaRef-$AN249)&amp;IF(FechaRef-$AN249=1," día"," días"),IF($AN249=FechaRef,"Vence hoy",IF($AN249-FechaRef&lt;=DiasAlerta,"Vence en "&amp;($AN249-FechaRef)&amp;IF($AN249-FechaRef=1," día"," días"),"En plazo")))))))</f>
        <v/>
      </c>
      <c r="P249" s="62" t="n"/>
      <c r="Q249" s="58" t="n"/>
      <c r="R249" s="63">
        <f>IF(NOT((COUNTA($B249:$D249)+COUNTA($G249:$L249)+COUNTA($Q249))&gt;0),"",IF((IF($C249="","Falta el nombre de la actividad"&amp;" · ","")&amp;IF(AND($V249="Sub",N($U249)=0),"Subactividad sin macroactividad arriba"&amp;" · ","")&amp;IF($AM249="","Sin fecha de inicio"&amp;" · ","")&amp;IF($AN249="","Sin fecha límite"&amp;" · ","")&amp;IF(AND(LEFT($C249,11)="[Jefatura] ",N($AL249)=0),"No se encuentra en la hoja de la jefatura (elíjala de nuevo en la lista)"&amp;" · ","")&amp;IF(OR(AND($E249&lt;&gt;"",NOT(ISNUMBER($E249))),AND($F249&lt;&gt;"",NOT(ISNUMBER($F249))),AND($G249&lt;&gt;"",NOT(ISNUMBER($G249)))),"Fecha no válida"&amp;" · ","")&amp;IF(AND(ISNUMBER($AM249),ISNUMBER($AN249),$AM249&gt;$AN249),"Inicio posterior a fecha límite"&amp;" · ","")&amp;IF(AND($V249="Macro",$H249&lt;&gt;"",OR(NOT(ISNUMBER($H249)),$H249&lt;0,$H249&gt;1)),"Peso fuera de rango"&amp;" · ","")&amp;IF(AND($V249="Sub",$H249&lt;&gt;""),"Las subactividades no llevan peso (valen igual dentro de su macroactividad)"&amp;" · ","")&amp;IF(AND(N($W249)&gt;0,COUNT($I249:$L249)&gt;0),"Con subactividades: deje vacías las semanas (se calculan solas)"&amp;" · ","")&amp;IF((COUNTIF($I249:$L249,"&gt;1")+COUNTIF($I249:$L249,"&lt;0")+COUNTA($I249:$L249)-COUNT($I249:$L249))&gt;0,"Avance fuera de rango 0-100%"&amp;" · ","")&amp;IF(OR(AND($J249&lt;&gt;"",$J249&lt;$I249),AND($K249&lt;&gt;"",$K249&lt;MAX($I249:$J249)),AND($L249&lt;&gt;"",$L249&lt;MAX($I249:$K249))),"Avance semanal decreciente"&amp;" · ","")&amp;IF(AND(ISNUMBER($AN249),$AN249&lt;FechaRef,IF($V249="Sub",N($X249),N($M249))&lt;1),"Vencida"&amp;" · ","")&amp;IF(AND(ObsObligatoria="Sí",ISNUMBER($AN249),$AN249&lt;FechaRef,IF($V249="Sub",N($X249),N($M249))&lt;1,$Q249=""),"Vencida sin observación"&amp;" · ",""))="","✔ OK","⚠ "&amp;LEFT(IF($C249="","Falta el nombre de la actividad"&amp;" · ","")&amp;IF(AND($V249="Sub",N($U249)=0),"Subactividad sin macroactividad arriba"&amp;" · ","")&amp;IF($AM249="","Sin fecha de inicio"&amp;" · ","")&amp;IF($AN249="","Sin fecha límite"&amp;" · ","")&amp;IF(AND(LEFT($C249,11)="[Jefatura] ",N($AL249)=0),"No se encuentra en la hoja de la jefatura (elíjala de nuevo en la lista)"&amp;" · ","")&amp;IF(OR(AND($E249&lt;&gt;"",NOT(ISNUMBER($E249))),AND($F249&lt;&gt;"",NOT(ISNUMBER($F249))),AND($G249&lt;&gt;"",NOT(ISNUMBER($G249)))),"Fecha no válida"&amp;" · ","")&amp;IF(AND(ISNUMBER($AM249),ISNUMBER($AN249),$AM249&gt;$AN249),"Inicio posterior a fecha límite"&amp;" · ","")&amp;IF(AND($V249="Macro",$H249&lt;&gt;"",OR(NOT(ISNUMBER($H249)),$H249&lt;0,$H249&gt;1)),"Peso fuera de rango"&amp;" · ","")&amp;IF(AND($V249="Sub",$H249&lt;&gt;""),"Las subactividades no llevan peso (valen igual dentro de su macroactividad)"&amp;" · ","")&amp;IF(AND(N($W249)&gt;0,COUNT($I249:$L249)&gt;0),"Con subactividades: deje vacías las semanas (se calculan solas)"&amp;" · ","")&amp;IF((COUNTIF($I249:$L249,"&gt;1")+COUNTIF($I249:$L249,"&lt;0")+COUNTA($I249:$L249)-COUNT($I249:$L249))&gt;0,"Avance fuera de rango 0-100%"&amp;" · ","")&amp;IF(OR(AND($J249&lt;&gt;"",$J249&lt;$I249),AND($K249&lt;&gt;"",$K249&lt;MAX($I249:$J249)),AND($L249&lt;&gt;"",$L249&lt;MAX($I249:$K249))),"Avance semanal decreciente"&amp;" · ","")&amp;IF(AND(ISNUMBER($AN249),$AN249&lt;FechaRef,IF($V249="Sub",N($X249),N($M249))&lt;1),"Vencida"&amp;" · ","")&amp;IF(AND(ObsObligatoria="Sí",ISNUMBER($AN249),$AN249&lt;FechaRef,IF($V249="Sub",N($X249),N($M249))&lt;1,$Q249=""),"Vencida sin observación"&amp;" · ",""),LEN(IF($C249="","Falta el nombre de la actividad"&amp;" · ","")&amp;IF(AND($V249="Sub",N($U249)=0),"Subactividad sin macroactividad arriba"&amp;" · ","")&amp;IF($AM249="","Sin fecha de inicio"&amp;" · ","")&amp;IF($AN249="","Sin fecha límite"&amp;" · ","")&amp;IF(AND(LEFT($C249,11)="[Jefatura] ",N($AL249)=0),"No se encuentra en la hoja de la jefatura (elíjala de nuevo en la lista)"&amp;" · ","")&amp;IF(OR(AND($E249&lt;&gt;"",NOT(ISNUMBER($E249))),AND($F249&lt;&gt;"",NOT(ISNUMBER($F249))),AND($G249&lt;&gt;"",NOT(ISNUMBER($G249)))),"Fecha no válida"&amp;" · ","")&amp;IF(AND(ISNUMBER($AM249),ISNUMBER($AN249),$AM249&gt;$AN249),"Inicio posterior a fecha límite"&amp;" · ","")&amp;IF(AND($V249="Macro",$H249&lt;&gt;"",OR(NOT(ISNUMBER($H249)),$H249&lt;0,$H249&gt;1)),"Peso fuera de rango"&amp;" · ","")&amp;IF(AND($V249="Sub",$H249&lt;&gt;""),"Las subactividades no llevan peso (valen igual dentro de su macroactividad)"&amp;" · ","")&amp;IF(AND(N($W249)&gt;0,COUNT($I249:$L249)&gt;0),"Con subactividades: deje vacías las semanas (se calculan solas)"&amp;" · ","")&amp;IF((COUNTIF($I249:$L249,"&gt;1")+COUNTIF($I249:$L249,"&lt;0")+COUNTA($I249:$L249)-COUNT($I249:$L249))&gt;0,"Avance fuera de rango 0-100%"&amp;" · ","")&amp;IF(OR(AND($J249&lt;&gt;"",$J249&lt;$I249),AND($K249&lt;&gt;"",$K249&lt;MAX($I249:$J249)),AND($L249&lt;&gt;"",$L249&lt;MAX($I249:$K249))),"Avance semanal decreciente"&amp;" · ","")&amp;IF(AND(ISNUMBER($AN249),$AN249&lt;FechaRef,IF($V249="Sub",N($X249),N($M249))&lt;1),"Vencida"&amp;" · ","")&amp;IF(AND(ObsObligatoria="Sí",ISNUMBER($AN249),$AN249&lt;FechaRef,IF($V249="Sub",N($X249),N($M249))&lt;1,$Q249=""),"Vencida sin observación"&amp;" · ",""))-3)))</f>
        <v/>
      </c>
      <c r="S249" s="64">
        <f>IF(NOT((COUNTA($B249:$D249)+COUNTA($G249:$L249)+COUNTA($Q249))&gt;0),"",IF(AND($V249="Sub",N($U249)&gt;0),IF(ISNUMBER(INDEX($AM$5:$AM$1000,$U249-4)),DATE(YEAR(INDEX($AM$5:$AM$1000,$U249-4)),MONTH(INDEX($AM$5:$AM$1000,$U249-4)),1),IF(ISNUMBER(INDEX($AN$5:$AN$1000,$U249-4)),DATE(YEAR(INDEX($AN$5:$AN$1000,$U249-4)),MONTH(INDEX($AN$5:$AN$1000,$U249-4)),1),MesCiclo)),IF(ISNUMBER($AM249),DATE(YEAR($AM249),MONTH($AM249),1),IF(ISNUMBER($AN249),DATE(YEAR($AN249),MONTH($AN249),1),MesCiclo))))</f>
        <v/>
      </c>
      <c r="T249" s="62">
        <f>IF(OR($S249="",$S249&lt;&gt;MesCiclo,$V249&lt;&gt;"Macro"),"",COUNTIFS($S$5:$S249,MesCiclo,$V$5:$V249,"Macro"))</f>
        <v/>
      </c>
      <c r="U249" s="62">
        <f>IF($V249="","",IF($V249="Macro",ROW(),IFERROR(LOOKUP(2,1/($V$5:$V249="Macro"),ROW($V$5:$V249)),0)))</f>
        <v/>
      </c>
      <c r="V249" s="62">
        <f>IF(NOT((COUNTA($B249:$D249)+COUNTA($G249:$L249)+COUNTA($Q249))&gt;0),"",IF($B249="Subactividad","Sub","Macro"))</f>
        <v/>
      </c>
      <c r="W249" s="62">
        <f>IF($V249="Macro",COUNTIFS($U$5:$U$1000,ROW(),$V$5:$V$1000,"Sub"),"")</f>
        <v/>
      </c>
      <c r="X249" s="62">
        <f>IF($V249="","",IF(ISNUMBER($G249),1,IFERROR(LOOKUP(2,1/($I249:$L249&lt;&gt;""),$I249:$L249),0)))</f>
        <v/>
      </c>
      <c r="Y249" s="62">
        <f>IF($V249="","",IF(AND(ISNUMBER($G249),$G249&lt;=IF($S249=MesCiclo,InicioCiclo,$S249+MOD(2-WEEKDAY($S249),7))+6),1,IF(ISNUMBER($I249),$I249,0)))</f>
        <v/>
      </c>
      <c r="Z249" s="62">
        <f>IF($V249="","",IF(AND(ISNUMBER($G249),$G249&lt;=IF($S249=MesCiclo,InicioCiclo,$S249+MOD(2-WEEKDAY($S249),7))+13),1,IF(ISNUMBER($J249),$J249,$Y249)))</f>
        <v/>
      </c>
      <c r="AA249" s="62">
        <f>IF($V249="","",IF(AND(ISNUMBER($G249),$G249&lt;=IF($S249=MesCiclo,InicioCiclo,$S249+MOD(2-WEEKDAY($S249),7))+20),1,IF(ISNUMBER($K249),$K249,$Z249)))</f>
        <v/>
      </c>
      <c r="AB249" s="62">
        <f>IF($V249="","",IF(AND(ISNUMBER($G249),$G249&lt;=IF($S249=MesCiclo,InicioCiclo,$S249+MOD(2-WEEKDAY($S249),7))+27),1,IF(ISNUMBER($L249),$L249,$AA249)))</f>
        <v/>
      </c>
      <c r="AC249" s="62">
        <f>IF($V249="","",IF(AND(ISNUMBER($G249),$G249&lt;=IF($S249=MesCiclo,InicioCiclo,$S249+MOD(2-WEEKDAY($S249),7))+6),1,IF(N($W249)&gt;0,AVERAGEIFS($Y$5:$Y$1000,$U$5:$U$1000,ROW(),$V$5:$V$1000,"Sub"),$Y249)))</f>
        <v/>
      </c>
      <c r="AD249" s="62">
        <f>IF($V249="","",IF(AND(ISNUMBER($G249),$G249&lt;=IF($S249=MesCiclo,InicioCiclo,$S249+MOD(2-WEEKDAY($S249),7))+13),1,IF(N($W249)&gt;0,AVERAGEIFS($Z$5:$Z$1000,$U$5:$U$1000,ROW(),$V$5:$V$1000,"Sub"),$Z249)))</f>
        <v/>
      </c>
      <c r="AE249" s="62">
        <f>IF($V249="","",IF(AND(ISNUMBER($G249),$G249&lt;=IF($S249=MesCiclo,InicioCiclo,$S249+MOD(2-WEEKDAY($S249),7))+20),1,IF(N($W249)&gt;0,AVERAGEIFS($AA$5:$AA$1000,$U$5:$U$1000,ROW(),$V$5:$V$1000,"Sub"),$AA249)))</f>
        <v/>
      </c>
      <c r="AF249" s="62">
        <f>IF($V249="","",IF(AND(ISNUMBER($G249),$G249&lt;=IF($S249=MesCiclo,InicioCiclo,$S249+MOD(2-WEEKDAY($S249),7))+27),1,IF(N($W249)&gt;0,AVERAGEIFS($AB$5:$AB$1000,$U$5:$U$1000,ROW(),$V$5:$V$1000,"Sub"),$AB249)))</f>
        <v/>
      </c>
      <c r="AG249" s="62">
        <f>IF($V249&lt;&gt;"Macro","",IF(COUNTIFS($S$5:$S$1000,$S249,$V$5:$V$1000,"Macro",$H$5:$H$1000,"&gt;0")=0,1/COUNTIFS($S$5:$S$1000,$S249,$V$5:$V$1000,"Macro"),IF(AND(ISNUMBER($H249),N($H249)&gt;0),$H249,SUMIFS($H$5:$H$1000,$S$5:$S$1000,$S249,$V$5:$V$1000,"Macro")/COUNTIFS($S$5:$S$1000,$S249,$V$5:$V$1000,"Macro",$H$5:$H$1000,"&gt;0"))/(COUNTIFS($S$5:$S$1000,$S249,$V$5:$V$1000,"Macro")*SUMIFS($H$5:$H$1000,$S$5:$S$1000,$S249,$V$5:$V$1000,"Macro")/COUNTIFS($S$5:$S$1000,$S249,$V$5:$V$1000,"Macro",$H$5:$H$1000,"&gt;0"))))</f>
        <v/>
      </c>
      <c r="AH249" s="62" t="n"/>
      <c r="AI249" s="62" t="n"/>
      <c r="AJ249" s="62" t="n"/>
      <c r="AK249" s="62" t="n"/>
      <c r="AL249" s="62">
        <f>IF(LEFT($C249,11)="[Jefatura] ",IFERROR(MATCH("Riesgo Financiero|"&amp;MID($C249,12,500),rDname_ADM,0),0),"")</f>
        <v/>
      </c>
      <c r="AM249" s="62">
        <f>IF(N($AL249)&gt;0,INDEX(rIni_ADM,$AL249),IF(ISNUMBER($E249),$E249,""))</f>
        <v/>
      </c>
      <c r="AN249" s="62">
        <f>IF(N($AL249)&gt;0,INDEX(rLim_ADM,$AL249),IF(ISNUMBER($F249),$F249,""))</f>
        <v/>
      </c>
    </row>
    <row r="250">
      <c r="A250" s="56">
        <f>IF(NOT((COUNTA($B250:$D250)+COUNTA($G250:$L250)+COUNTA($Q250))&gt;0),"",IF($V250="Macro",COUNTIFS($V$5:$V250,"Macro",$S$5:$S250,$S250),IF(N($U250)=0,"?",COUNTIFS(INDEX($V$5:$V$1000,1):INDEX($V$5:$V$1000,$U250-4),"Macro",INDEX($S$5:$S$1000,1):INDEX($S$5:$S$1000,$U250-4),INDEX($S$5:$S$1000,$U250-4))&amp;"."&amp;COUNTIFS($U$5:$U250,$U250,$V$5:$V250,"Sub"))))</f>
        <v/>
      </c>
      <c r="B250" s="57" t="n"/>
      <c r="C250" s="58" t="n"/>
      <c r="D250" s="58" t="n"/>
      <c r="E250" s="59">
        <f>IF(N($AL250)&gt;0,INDEX(rIni_ADM,$AL250),"")</f>
        <v/>
      </c>
      <c r="F250" s="59">
        <f>IF(N($AL250)&gt;0,INDEX(rLim_ADM,$AL250),"")</f>
        <v/>
      </c>
      <c r="G250" s="59" t="n"/>
      <c r="H250" s="60" t="n"/>
      <c r="I250" s="60" t="n"/>
      <c r="J250" s="60" t="n"/>
      <c r="K250" s="60" t="n"/>
      <c r="L250" s="60" t="n"/>
      <c r="M250" s="61">
        <f>IF(NOT((COUNTA($B250:$D250)+COUNTA($G250:$L250)+COUNTA($Q250))&gt;0),"",IF($V250="Sub",IFERROR($X250/INDEX($W$5:$W$1000,$U250-4),""),IF(ISNUMBER($G250),1,IF(N($W250)&gt;0,AVERAGEIFS($X$5:$X$1000,$U$5:$U$1000,ROW(),$V$5:$V$1000,"Sub"),$X250))))</f>
        <v/>
      </c>
      <c r="N250" s="56">
        <f>IF(OR($M250="",$V250="Sub"),"",IF($M250&gt;=1,"Completado",IF($M250&gt;0,"En curso","Pendiente")))</f>
        <v/>
      </c>
      <c r="O250" s="56">
        <f>IF(OR(NOT((COUNTA($B250:$D250)+COUNTA($G250:$L250)+COUNTA($Q250))&gt;0),$V250="Sub"),"",IF(ISNUMBER($G250),IF(AND(ISNUMBER($AN250),$G250&gt;$AN250),"Cumplida con "&amp;($G250-$AN250)&amp;IF($G250-$AN250=1," día"," días")&amp;" de retraso","Cumplida"),IF(N($M250)&gt;=1,"Cumplida",IF(NOT(ISNUMBER($AN250)),"Sin fecha límite",IF($AN250&lt;FechaRef,"Vencida hace "&amp;(FechaRef-$AN250)&amp;IF(FechaRef-$AN250=1," día"," días"),IF($AN250=FechaRef,"Vence hoy",IF($AN250-FechaRef&lt;=DiasAlerta,"Vence en "&amp;($AN250-FechaRef)&amp;IF($AN250-FechaRef=1," día"," días"),"En plazo")))))))</f>
        <v/>
      </c>
      <c r="P250" s="62" t="n"/>
      <c r="Q250" s="58" t="n"/>
      <c r="R250" s="63">
        <f>IF(NOT((COUNTA($B250:$D250)+COUNTA($G250:$L250)+COUNTA($Q250))&gt;0),"",IF((IF($C250="","Falta el nombre de la actividad"&amp;" · ","")&amp;IF(AND($V250="Sub",N($U250)=0),"Subactividad sin macroactividad arriba"&amp;" · ","")&amp;IF($AM250="","Sin fecha de inicio"&amp;" · ","")&amp;IF($AN250="","Sin fecha límite"&amp;" · ","")&amp;IF(AND(LEFT($C250,11)="[Jefatura] ",N($AL250)=0),"No se encuentra en la hoja de la jefatura (elíjala de nuevo en la lista)"&amp;" · ","")&amp;IF(OR(AND($E250&lt;&gt;"",NOT(ISNUMBER($E250))),AND($F250&lt;&gt;"",NOT(ISNUMBER($F250))),AND($G250&lt;&gt;"",NOT(ISNUMBER($G250)))),"Fecha no válida"&amp;" · ","")&amp;IF(AND(ISNUMBER($AM250),ISNUMBER($AN250),$AM250&gt;$AN250),"Inicio posterior a fecha límite"&amp;" · ","")&amp;IF(AND($V250="Macro",$H250&lt;&gt;"",OR(NOT(ISNUMBER($H250)),$H250&lt;0,$H250&gt;1)),"Peso fuera de rango"&amp;" · ","")&amp;IF(AND($V250="Sub",$H250&lt;&gt;""),"Las subactividades no llevan peso (valen igual dentro de su macroactividad)"&amp;" · ","")&amp;IF(AND(N($W250)&gt;0,COUNT($I250:$L250)&gt;0),"Con subactividades: deje vacías las semanas (se calculan solas)"&amp;" · ","")&amp;IF((COUNTIF($I250:$L250,"&gt;1")+COUNTIF($I250:$L250,"&lt;0")+COUNTA($I250:$L250)-COUNT($I250:$L250))&gt;0,"Avance fuera de rango 0-100%"&amp;" · ","")&amp;IF(OR(AND($J250&lt;&gt;"",$J250&lt;$I250),AND($K250&lt;&gt;"",$K250&lt;MAX($I250:$J250)),AND($L250&lt;&gt;"",$L250&lt;MAX($I250:$K250))),"Avance semanal decreciente"&amp;" · ","")&amp;IF(AND(ISNUMBER($AN250),$AN250&lt;FechaRef,IF($V250="Sub",N($X250),N($M250))&lt;1),"Vencida"&amp;" · ","")&amp;IF(AND(ObsObligatoria="Sí",ISNUMBER($AN250),$AN250&lt;FechaRef,IF($V250="Sub",N($X250),N($M250))&lt;1,$Q250=""),"Vencida sin observación"&amp;" · ",""))="","✔ OK","⚠ "&amp;LEFT(IF($C250="","Falta el nombre de la actividad"&amp;" · ","")&amp;IF(AND($V250="Sub",N($U250)=0),"Subactividad sin macroactividad arriba"&amp;" · ","")&amp;IF($AM250="","Sin fecha de inicio"&amp;" · ","")&amp;IF($AN250="","Sin fecha límite"&amp;" · ","")&amp;IF(AND(LEFT($C250,11)="[Jefatura] ",N($AL250)=0),"No se encuentra en la hoja de la jefatura (elíjala de nuevo en la lista)"&amp;" · ","")&amp;IF(OR(AND($E250&lt;&gt;"",NOT(ISNUMBER($E250))),AND($F250&lt;&gt;"",NOT(ISNUMBER($F250))),AND($G250&lt;&gt;"",NOT(ISNUMBER($G250)))),"Fecha no válida"&amp;" · ","")&amp;IF(AND(ISNUMBER($AM250),ISNUMBER($AN250),$AM250&gt;$AN250),"Inicio posterior a fecha límite"&amp;" · ","")&amp;IF(AND($V250="Macro",$H250&lt;&gt;"",OR(NOT(ISNUMBER($H250)),$H250&lt;0,$H250&gt;1)),"Peso fuera de rango"&amp;" · ","")&amp;IF(AND($V250="Sub",$H250&lt;&gt;""),"Las subactividades no llevan peso (valen igual dentro de su macroactividad)"&amp;" · ","")&amp;IF(AND(N($W250)&gt;0,COUNT($I250:$L250)&gt;0),"Con subactividades: deje vacías las semanas (se calculan solas)"&amp;" · ","")&amp;IF((COUNTIF($I250:$L250,"&gt;1")+COUNTIF($I250:$L250,"&lt;0")+COUNTA($I250:$L250)-COUNT($I250:$L250))&gt;0,"Avance fuera de rango 0-100%"&amp;" · ","")&amp;IF(OR(AND($J250&lt;&gt;"",$J250&lt;$I250),AND($K250&lt;&gt;"",$K250&lt;MAX($I250:$J250)),AND($L250&lt;&gt;"",$L250&lt;MAX($I250:$K250))),"Avance semanal decreciente"&amp;" · ","")&amp;IF(AND(ISNUMBER($AN250),$AN250&lt;FechaRef,IF($V250="Sub",N($X250),N($M250))&lt;1),"Vencida"&amp;" · ","")&amp;IF(AND(ObsObligatoria="Sí",ISNUMBER($AN250),$AN250&lt;FechaRef,IF($V250="Sub",N($X250),N($M250))&lt;1,$Q250=""),"Vencida sin observación"&amp;" · ",""),LEN(IF($C250="","Falta el nombre de la actividad"&amp;" · ","")&amp;IF(AND($V250="Sub",N($U250)=0),"Subactividad sin macroactividad arriba"&amp;" · ","")&amp;IF($AM250="","Sin fecha de inicio"&amp;" · ","")&amp;IF($AN250="","Sin fecha límite"&amp;" · ","")&amp;IF(AND(LEFT($C250,11)="[Jefatura] ",N($AL250)=0),"No se encuentra en la hoja de la jefatura (elíjala de nuevo en la lista)"&amp;" · ","")&amp;IF(OR(AND($E250&lt;&gt;"",NOT(ISNUMBER($E250))),AND($F250&lt;&gt;"",NOT(ISNUMBER($F250))),AND($G250&lt;&gt;"",NOT(ISNUMBER($G250)))),"Fecha no válida"&amp;" · ","")&amp;IF(AND(ISNUMBER($AM250),ISNUMBER($AN250),$AM250&gt;$AN250),"Inicio posterior a fecha límite"&amp;" · ","")&amp;IF(AND($V250="Macro",$H250&lt;&gt;"",OR(NOT(ISNUMBER($H250)),$H250&lt;0,$H250&gt;1)),"Peso fuera de rango"&amp;" · ","")&amp;IF(AND($V250="Sub",$H250&lt;&gt;""),"Las subactividades no llevan peso (valen igual dentro de su macroactividad)"&amp;" · ","")&amp;IF(AND(N($W250)&gt;0,COUNT($I250:$L250)&gt;0),"Con subactividades: deje vacías las semanas (se calculan solas)"&amp;" · ","")&amp;IF((COUNTIF($I250:$L250,"&gt;1")+COUNTIF($I250:$L250,"&lt;0")+COUNTA($I250:$L250)-COUNT($I250:$L250))&gt;0,"Avance fuera de rango 0-100%"&amp;" · ","")&amp;IF(OR(AND($J250&lt;&gt;"",$J250&lt;$I250),AND($K250&lt;&gt;"",$K250&lt;MAX($I250:$J250)),AND($L250&lt;&gt;"",$L250&lt;MAX($I250:$K250))),"Avance semanal decreciente"&amp;" · ","")&amp;IF(AND(ISNUMBER($AN250),$AN250&lt;FechaRef,IF($V250="Sub",N($X250),N($M250))&lt;1),"Vencida"&amp;" · ","")&amp;IF(AND(ObsObligatoria="Sí",ISNUMBER($AN250),$AN250&lt;FechaRef,IF($V250="Sub",N($X250),N($M250))&lt;1,$Q250=""),"Vencida sin observación"&amp;" · ",""))-3)))</f>
        <v/>
      </c>
      <c r="S250" s="64">
        <f>IF(NOT((COUNTA($B250:$D250)+COUNTA($G250:$L250)+COUNTA($Q250))&gt;0),"",IF(AND($V250="Sub",N($U250)&gt;0),IF(ISNUMBER(INDEX($AM$5:$AM$1000,$U250-4)),DATE(YEAR(INDEX($AM$5:$AM$1000,$U250-4)),MONTH(INDEX($AM$5:$AM$1000,$U250-4)),1),IF(ISNUMBER(INDEX($AN$5:$AN$1000,$U250-4)),DATE(YEAR(INDEX($AN$5:$AN$1000,$U250-4)),MONTH(INDEX($AN$5:$AN$1000,$U250-4)),1),MesCiclo)),IF(ISNUMBER($AM250),DATE(YEAR($AM250),MONTH($AM250),1),IF(ISNUMBER($AN250),DATE(YEAR($AN250),MONTH($AN250),1),MesCiclo))))</f>
        <v/>
      </c>
      <c r="T250" s="62">
        <f>IF(OR($S250="",$S250&lt;&gt;MesCiclo,$V250&lt;&gt;"Macro"),"",COUNTIFS($S$5:$S250,MesCiclo,$V$5:$V250,"Macro"))</f>
        <v/>
      </c>
      <c r="U250" s="62">
        <f>IF($V250="","",IF($V250="Macro",ROW(),IFERROR(LOOKUP(2,1/($V$5:$V250="Macro"),ROW($V$5:$V250)),0)))</f>
        <v/>
      </c>
      <c r="V250" s="62">
        <f>IF(NOT((COUNTA($B250:$D250)+COUNTA($G250:$L250)+COUNTA($Q250))&gt;0),"",IF($B250="Subactividad","Sub","Macro"))</f>
        <v/>
      </c>
      <c r="W250" s="62">
        <f>IF($V250="Macro",COUNTIFS($U$5:$U$1000,ROW(),$V$5:$V$1000,"Sub"),"")</f>
        <v/>
      </c>
      <c r="X250" s="62">
        <f>IF($V250="","",IF(ISNUMBER($G250),1,IFERROR(LOOKUP(2,1/($I250:$L250&lt;&gt;""),$I250:$L250),0)))</f>
        <v/>
      </c>
      <c r="Y250" s="62">
        <f>IF($V250="","",IF(AND(ISNUMBER($G250),$G250&lt;=IF($S250=MesCiclo,InicioCiclo,$S250+MOD(2-WEEKDAY($S250),7))+6),1,IF(ISNUMBER($I250),$I250,0)))</f>
        <v/>
      </c>
      <c r="Z250" s="62">
        <f>IF($V250="","",IF(AND(ISNUMBER($G250),$G250&lt;=IF($S250=MesCiclo,InicioCiclo,$S250+MOD(2-WEEKDAY($S250),7))+13),1,IF(ISNUMBER($J250),$J250,$Y250)))</f>
        <v/>
      </c>
      <c r="AA250" s="62">
        <f>IF($V250="","",IF(AND(ISNUMBER($G250),$G250&lt;=IF($S250=MesCiclo,InicioCiclo,$S250+MOD(2-WEEKDAY($S250),7))+20),1,IF(ISNUMBER($K250),$K250,$Z250)))</f>
        <v/>
      </c>
      <c r="AB250" s="62">
        <f>IF($V250="","",IF(AND(ISNUMBER($G250),$G250&lt;=IF($S250=MesCiclo,InicioCiclo,$S250+MOD(2-WEEKDAY($S250),7))+27),1,IF(ISNUMBER($L250),$L250,$AA250)))</f>
        <v/>
      </c>
      <c r="AC250" s="62">
        <f>IF($V250="","",IF(AND(ISNUMBER($G250),$G250&lt;=IF($S250=MesCiclo,InicioCiclo,$S250+MOD(2-WEEKDAY($S250),7))+6),1,IF(N($W250)&gt;0,AVERAGEIFS($Y$5:$Y$1000,$U$5:$U$1000,ROW(),$V$5:$V$1000,"Sub"),$Y250)))</f>
        <v/>
      </c>
      <c r="AD250" s="62">
        <f>IF($V250="","",IF(AND(ISNUMBER($G250),$G250&lt;=IF($S250=MesCiclo,InicioCiclo,$S250+MOD(2-WEEKDAY($S250),7))+13),1,IF(N($W250)&gt;0,AVERAGEIFS($Z$5:$Z$1000,$U$5:$U$1000,ROW(),$V$5:$V$1000,"Sub"),$Z250)))</f>
        <v/>
      </c>
      <c r="AE250" s="62">
        <f>IF($V250="","",IF(AND(ISNUMBER($G250),$G250&lt;=IF($S250=MesCiclo,InicioCiclo,$S250+MOD(2-WEEKDAY($S250),7))+20),1,IF(N($W250)&gt;0,AVERAGEIFS($AA$5:$AA$1000,$U$5:$U$1000,ROW(),$V$5:$V$1000,"Sub"),$AA250)))</f>
        <v/>
      </c>
      <c r="AF250" s="62">
        <f>IF($V250="","",IF(AND(ISNUMBER($G250),$G250&lt;=IF($S250=MesCiclo,InicioCiclo,$S250+MOD(2-WEEKDAY($S250),7))+27),1,IF(N($W250)&gt;0,AVERAGEIFS($AB$5:$AB$1000,$U$5:$U$1000,ROW(),$V$5:$V$1000,"Sub"),$AB250)))</f>
        <v/>
      </c>
      <c r="AG250" s="62">
        <f>IF($V250&lt;&gt;"Macro","",IF(COUNTIFS($S$5:$S$1000,$S250,$V$5:$V$1000,"Macro",$H$5:$H$1000,"&gt;0")=0,1/COUNTIFS($S$5:$S$1000,$S250,$V$5:$V$1000,"Macro"),IF(AND(ISNUMBER($H250),N($H250)&gt;0),$H250,SUMIFS($H$5:$H$1000,$S$5:$S$1000,$S250,$V$5:$V$1000,"Macro")/COUNTIFS($S$5:$S$1000,$S250,$V$5:$V$1000,"Macro",$H$5:$H$1000,"&gt;0"))/(COUNTIFS($S$5:$S$1000,$S250,$V$5:$V$1000,"Macro")*SUMIFS($H$5:$H$1000,$S$5:$S$1000,$S250,$V$5:$V$1000,"Macro")/COUNTIFS($S$5:$S$1000,$S250,$V$5:$V$1000,"Macro",$H$5:$H$1000,"&gt;0"))))</f>
        <v/>
      </c>
      <c r="AH250" s="62" t="n"/>
      <c r="AI250" s="62" t="n"/>
      <c r="AJ250" s="62" t="n"/>
      <c r="AK250" s="62" t="n"/>
      <c r="AL250" s="62">
        <f>IF(LEFT($C250,11)="[Jefatura] ",IFERROR(MATCH("Riesgo Financiero|"&amp;MID($C250,12,500),rDname_ADM,0),0),"")</f>
        <v/>
      </c>
      <c r="AM250" s="62">
        <f>IF(N($AL250)&gt;0,INDEX(rIni_ADM,$AL250),IF(ISNUMBER($E250),$E250,""))</f>
        <v/>
      </c>
      <c r="AN250" s="62">
        <f>IF(N($AL250)&gt;0,INDEX(rLim_ADM,$AL250),IF(ISNUMBER($F250),$F250,""))</f>
        <v/>
      </c>
    </row>
    <row r="251">
      <c r="A251" s="56">
        <f>IF(NOT((COUNTA($B251:$D251)+COUNTA($G251:$L251)+COUNTA($Q251))&gt;0),"",IF($V251="Macro",COUNTIFS($V$5:$V251,"Macro",$S$5:$S251,$S251),IF(N($U251)=0,"?",COUNTIFS(INDEX($V$5:$V$1000,1):INDEX($V$5:$V$1000,$U251-4),"Macro",INDEX($S$5:$S$1000,1):INDEX($S$5:$S$1000,$U251-4),INDEX($S$5:$S$1000,$U251-4))&amp;"."&amp;COUNTIFS($U$5:$U251,$U251,$V$5:$V251,"Sub"))))</f>
        <v/>
      </c>
      <c r="B251" s="57" t="n"/>
      <c r="C251" s="58" t="n"/>
      <c r="D251" s="58" t="n"/>
      <c r="E251" s="59">
        <f>IF(N($AL251)&gt;0,INDEX(rIni_ADM,$AL251),"")</f>
        <v/>
      </c>
      <c r="F251" s="59">
        <f>IF(N($AL251)&gt;0,INDEX(rLim_ADM,$AL251),"")</f>
        <v/>
      </c>
      <c r="G251" s="59" t="n"/>
      <c r="H251" s="60" t="n"/>
      <c r="I251" s="60" t="n"/>
      <c r="J251" s="60" t="n"/>
      <c r="K251" s="60" t="n"/>
      <c r="L251" s="60" t="n"/>
      <c r="M251" s="61">
        <f>IF(NOT((COUNTA($B251:$D251)+COUNTA($G251:$L251)+COUNTA($Q251))&gt;0),"",IF($V251="Sub",IFERROR($X251/INDEX($W$5:$W$1000,$U251-4),""),IF(ISNUMBER($G251),1,IF(N($W251)&gt;0,AVERAGEIFS($X$5:$X$1000,$U$5:$U$1000,ROW(),$V$5:$V$1000,"Sub"),$X251))))</f>
        <v/>
      </c>
      <c r="N251" s="56">
        <f>IF(OR($M251="",$V251="Sub"),"",IF($M251&gt;=1,"Completado",IF($M251&gt;0,"En curso","Pendiente")))</f>
        <v/>
      </c>
      <c r="O251" s="56">
        <f>IF(OR(NOT((COUNTA($B251:$D251)+COUNTA($G251:$L251)+COUNTA($Q251))&gt;0),$V251="Sub"),"",IF(ISNUMBER($G251),IF(AND(ISNUMBER($AN251),$G251&gt;$AN251),"Cumplida con "&amp;($G251-$AN251)&amp;IF($G251-$AN251=1," día"," días")&amp;" de retraso","Cumplida"),IF(N($M251)&gt;=1,"Cumplida",IF(NOT(ISNUMBER($AN251)),"Sin fecha límite",IF($AN251&lt;FechaRef,"Vencida hace "&amp;(FechaRef-$AN251)&amp;IF(FechaRef-$AN251=1," día"," días"),IF($AN251=FechaRef,"Vence hoy",IF($AN251-FechaRef&lt;=DiasAlerta,"Vence en "&amp;($AN251-FechaRef)&amp;IF($AN251-FechaRef=1," día"," días"),"En plazo")))))))</f>
        <v/>
      </c>
      <c r="P251" s="62" t="n"/>
      <c r="Q251" s="58" t="n"/>
      <c r="R251" s="63">
        <f>IF(NOT((COUNTA($B251:$D251)+COUNTA($G251:$L251)+COUNTA($Q251))&gt;0),"",IF((IF($C251="","Falta el nombre de la actividad"&amp;" · ","")&amp;IF(AND($V251="Sub",N($U251)=0),"Subactividad sin macroactividad arriba"&amp;" · ","")&amp;IF($AM251="","Sin fecha de inicio"&amp;" · ","")&amp;IF($AN251="","Sin fecha límite"&amp;" · ","")&amp;IF(AND(LEFT($C251,11)="[Jefatura] ",N($AL251)=0),"No se encuentra en la hoja de la jefatura (elíjala de nuevo en la lista)"&amp;" · ","")&amp;IF(OR(AND($E251&lt;&gt;"",NOT(ISNUMBER($E251))),AND($F251&lt;&gt;"",NOT(ISNUMBER($F251))),AND($G251&lt;&gt;"",NOT(ISNUMBER($G251)))),"Fecha no válida"&amp;" · ","")&amp;IF(AND(ISNUMBER($AM251),ISNUMBER($AN251),$AM251&gt;$AN251),"Inicio posterior a fecha límite"&amp;" · ","")&amp;IF(AND($V251="Macro",$H251&lt;&gt;"",OR(NOT(ISNUMBER($H251)),$H251&lt;0,$H251&gt;1)),"Peso fuera de rango"&amp;" · ","")&amp;IF(AND($V251="Sub",$H251&lt;&gt;""),"Las subactividades no llevan peso (valen igual dentro de su macroactividad)"&amp;" · ","")&amp;IF(AND(N($W251)&gt;0,COUNT($I251:$L251)&gt;0),"Con subactividades: deje vacías las semanas (se calculan solas)"&amp;" · ","")&amp;IF((COUNTIF($I251:$L251,"&gt;1")+COUNTIF($I251:$L251,"&lt;0")+COUNTA($I251:$L251)-COUNT($I251:$L251))&gt;0,"Avance fuera de rango 0-100%"&amp;" · ","")&amp;IF(OR(AND($J251&lt;&gt;"",$J251&lt;$I251),AND($K251&lt;&gt;"",$K251&lt;MAX($I251:$J251)),AND($L251&lt;&gt;"",$L251&lt;MAX($I251:$K251))),"Avance semanal decreciente"&amp;" · ","")&amp;IF(AND(ISNUMBER($AN251),$AN251&lt;FechaRef,IF($V251="Sub",N($X251),N($M251))&lt;1),"Vencida"&amp;" · ","")&amp;IF(AND(ObsObligatoria="Sí",ISNUMBER($AN251),$AN251&lt;FechaRef,IF($V251="Sub",N($X251),N($M251))&lt;1,$Q251=""),"Vencida sin observación"&amp;" · ",""))="","✔ OK","⚠ "&amp;LEFT(IF($C251="","Falta el nombre de la actividad"&amp;" · ","")&amp;IF(AND($V251="Sub",N($U251)=0),"Subactividad sin macroactividad arriba"&amp;" · ","")&amp;IF($AM251="","Sin fecha de inicio"&amp;" · ","")&amp;IF($AN251="","Sin fecha límite"&amp;" · ","")&amp;IF(AND(LEFT($C251,11)="[Jefatura] ",N($AL251)=0),"No se encuentra en la hoja de la jefatura (elíjala de nuevo en la lista)"&amp;" · ","")&amp;IF(OR(AND($E251&lt;&gt;"",NOT(ISNUMBER($E251))),AND($F251&lt;&gt;"",NOT(ISNUMBER($F251))),AND($G251&lt;&gt;"",NOT(ISNUMBER($G251)))),"Fecha no válida"&amp;" · ","")&amp;IF(AND(ISNUMBER($AM251),ISNUMBER($AN251),$AM251&gt;$AN251),"Inicio posterior a fecha límite"&amp;" · ","")&amp;IF(AND($V251="Macro",$H251&lt;&gt;"",OR(NOT(ISNUMBER($H251)),$H251&lt;0,$H251&gt;1)),"Peso fuera de rango"&amp;" · ","")&amp;IF(AND($V251="Sub",$H251&lt;&gt;""),"Las subactividades no llevan peso (valen igual dentro de su macroactividad)"&amp;" · ","")&amp;IF(AND(N($W251)&gt;0,COUNT($I251:$L251)&gt;0),"Con subactividades: deje vacías las semanas (se calculan solas)"&amp;" · ","")&amp;IF((COUNTIF($I251:$L251,"&gt;1")+COUNTIF($I251:$L251,"&lt;0")+COUNTA($I251:$L251)-COUNT($I251:$L251))&gt;0,"Avance fuera de rango 0-100%"&amp;" · ","")&amp;IF(OR(AND($J251&lt;&gt;"",$J251&lt;$I251),AND($K251&lt;&gt;"",$K251&lt;MAX($I251:$J251)),AND($L251&lt;&gt;"",$L251&lt;MAX($I251:$K251))),"Avance semanal decreciente"&amp;" · ","")&amp;IF(AND(ISNUMBER($AN251),$AN251&lt;FechaRef,IF($V251="Sub",N($X251),N($M251))&lt;1),"Vencida"&amp;" · ","")&amp;IF(AND(ObsObligatoria="Sí",ISNUMBER($AN251),$AN251&lt;FechaRef,IF($V251="Sub",N($X251),N($M251))&lt;1,$Q251=""),"Vencida sin observación"&amp;" · ",""),LEN(IF($C251="","Falta el nombre de la actividad"&amp;" · ","")&amp;IF(AND($V251="Sub",N($U251)=0),"Subactividad sin macroactividad arriba"&amp;" · ","")&amp;IF($AM251="","Sin fecha de inicio"&amp;" · ","")&amp;IF($AN251="","Sin fecha límite"&amp;" · ","")&amp;IF(AND(LEFT($C251,11)="[Jefatura] ",N($AL251)=0),"No se encuentra en la hoja de la jefatura (elíjala de nuevo en la lista)"&amp;" · ","")&amp;IF(OR(AND($E251&lt;&gt;"",NOT(ISNUMBER($E251))),AND($F251&lt;&gt;"",NOT(ISNUMBER($F251))),AND($G251&lt;&gt;"",NOT(ISNUMBER($G251)))),"Fecha no válida"&amp;" · ","")&amp;IF(AND(ISNUMBER($AM251),ISNUMBER($AN251),$AM251&gt;$AN251),"Inicio posterior a fecha límite"&amp;" · ","")&amp;IF(AND($V251="Macro",$H251&lt;&gt;"",OR(NOT(ISNUMBER($H251)),$H251&lt;0,$H251&gt;1)),"Peso fuera de rango"&amp;" · ","")&amp;IF(AND($V251="Sub",$H251&lt;&gt;""),"Las subactividades no llevan peso (valen igual dentro de su macroactividad)"&amp;" · ","")&amp;IF(AND(N($W251)&gt;0,COUNT($I251:$L251)&gt;0),"Con subactividades: deje vacías las semanas (se calculan solas)"&amp;" · ","")&amp;IF((COUNTIF($I251:$L251,"&gt;1")+COUNTIF($I251:$L251,"&lt;0")+COUNTA($I251:$L251)-COUNT($I251:$L251))&gt;0,"Avance fuera de rango 0-100%"&amp;" · ","")&amp;IF(OR(AND($J251&lt;&gt;"",$J251&lt;$I251),AND($K251&lt;&gt;"",$K251&lt;MAX($I251:$J251)),AND($L251&lt;&gt;"",$L251&lt;MAX($I251:$K251))),"Avance semanal decreciente"&amp;" · ","")&amp;IF(AND(ISNUMBER($AN251),$AN251&lt;FechaRef,IF($V251="Sub",N($X251),N($M251))&lt;1),"Vencida"&amp;" · ","")&amp;IF(AND(ObsObligatoria="Sí",ISNUMBER($AN251),$AN251&lt;FechaRef,IF($V251="Sub",N($X251),N($M251))&lt;1,$Q251=""),"Vencida sin observación"&amp;" · ",""))-3)))</f>
        <v/>
      </c>
      <c r="S251" s="64">
        <f>IF(NOT((COUNTA($B251:$D251)+COUNTA($G251:$L251)+COUNTA($Q251))&gt;0),"",IF(AND($V251="Sub",N($U251)&gt;0),IF(ISNUMBER(INDEX($AM$5:$AM$1000,$U251-4)),DATE(YEAR(INDEX($AM$5:$AM$1000,$U251-4)),MONTH(INDEX($AM$5:$AM$1000,$U251-4)),1),IF(ISNUMBER(INDEX($AN$5:$AN$1000,$U251-4)),DATE(YEAR(INDEX($AN$5:$AN$1000,$U251-4)),MONTH(INDEX($AN$5:$AN$1000,$U251-4)),1),MesCiclo)),IF(ISNUMBER($AM251),DATE(YEAR($AM251),MONTH($AM251),1),IF(ISNUMBER($AN251),DATE(YEAR($AN251),MONTH($AN251),1),MesCiclo))))</f>
        <v/>
      </c>
      <c r="T251" s="62">
        <f>IF(OR($S251="",$S251&lt;&gt;MesCiclo,$V251&lt;&gt;"Macro"),"",COUNTIFS($S$5:$S251,MesCiclo,$V$5:$V251,"Macro"))</f>
        <v/>
      </c>
      <c r="U251" s="62">
        <f>IF($V251="","",IF($V251="Macro",ROW(),IFERROR(LOOKUP(2,1/($V$5:$V251="Macro"),ROW($V$5:$V251)),0)))</f>
        <v/>
      </c>
      <c r="V251" s="62">
        <f>IF(NOT((COUNTA($B251:$D251)+COUNTA($G251:$L251)+COUNTA($Q251))&gt;0),"",IF($B251="Subactividad","Sub","Macro"))</f>
        <v/>
      </c>
      <c r="W251" s="62">
        <f>IF($V251="Macro",COUNTIFS($U$5:$U$1000,ROW(),$V$5:$V$1000,"Sub"),"")</f>
        <v/>
      </c>
      <c r="X251" s="62">
        <f>IF($V251="","",IF(ISNUMBER($G251),1,IFERROR(LOOKUP(2,1/($I251:$L251&lt;&gt;""),$I251:$L251),0)))</f>
        <v/>
      </c>
      <c r="Y251" s="62">
        <f>IF($V251="","",IF(AND(ISNUMBER($G251),$G251&lt;=IF($S251=MesCiclo,InicioCiclo,$S251+MOD(2-WEEKDAY($S251),7))+6),1,IF(ISNUMBER($I251),$I251,0)))</f>
        <v/>
      </c>
      <c r="Z251" s="62">
        <f>IF($V251="","",IF(AND(ISNUMBER($G251),$G251&lt;=IF($S251=MesCiclo,InicioCiclo,$S251+MOD(2-WEEKDAY($S251),7))+13),1,IF(ISNUMBER($J251),$J251,$Y251)))</f>
        <v/>
      </c>
      <c r="AA251" s="62">
        <f>IF($V251="","",IF(AND(ISNUMBER($G251),$G251&lt;=IF($S251=MesCiclo,InicioCiclo,$S251+MOD(2-WEEKDAY($S251),7))+20),1,IF(ISNUMBER($K251),$K251,$Z251)))</f>
        <v/>
      </c>
      <c r="AB251" s="62">
        <f>IF($V251="","",IF(AND(ISNUMBER($G251),$G251&lt;=IF($S251=MesCiclo,InicioCiclo,$S251+MOD(2-WEEKDAY($S251),7))+27),1,IF(ISNUMBER($L251),$L251,$AA251)))</f>
        <v/>
      </c>
      <c r="AC251" s="62">
        <f>IF($V251="","",IF(AND(ISNUMBER($G251),$G251&lt;=IF($S251=MesCiclo,InicioCiclo,$S251+MOD(2-WEEKDAY($S251),7))+6),1,IF(N($W251)&gt;0,AVERAGEIFS($Y$5:$Y$1000,$U$5:$U$1000,ROW(),$V$5:$V$1000,"Sub"),$Y251)))</f>
        <v/>
      </c>
      <c r="AD251" s="62">
        <f>IF($V251="","",IF(AND(ISNUMBER($G251),$G251&lt;=IF($S251=MesCiclo,InicioCiclo,$S251+MOD(2-WEEKDAY($S251),7))+13),1,IF(N($W251)&gt;0,AVERAGEIFS($Z$5:$Z$1000,$U$5:$U$1000,ROW(),$V$5:$V$1000,"Sub"),$Z251)))</f>
        <v/>
      </c>
      <c r="AE251" s="62">
        <f>IF($V251="","",IF(AND(ISNUMBER($G251),$G251&lt;=IF($S251=MesCiclo,InicioCiclo,$S251+MOD(2-WEEKDAY($S251),7))+20),1,IF(N($W251)&gt;0,AVERAGEIFS($AA$5:$AA$1000,$U$5:$U$1000,ROW(),$V$5:$V$1000,"Sub"),$AA251)))</f>
        <v/>
      </c>
      <c r="AF251" s="62">
        <f>IF($V251="","",IF(AND(ISNUMBER($G251),$G251&lt;=IF($S251=MesCiclo,InicioCiclo,$S251+MOD(2-WEEKDAY($S251),7))+27),1,IF(N($W251)&gt;0,AVERAGEIFS($AB$5:$AB$1000,$U$5:$U$1000,ROW(),$V$5:$V$1000,"Sub"),$AB251)))</f>
        <v/>
      </c>
      <c r="AG251" s="62">
        <f>IF($V251&lt;&gt;"Macro","",IF(COUNTIFS($S$5:$S$1000,$S251,$V$5:$V$1000,"Macro",$H$5:$H$1000,"&gt;0")=0,1/COUNTIFS($S$5:$S$1000,$S251,$V$5:$V$1000,"Macro"),IF(AND(ISNUMBER($H251),N($H251)&gt;0),$H251,SUMIFS($H$5:$H$1000,$S$5:$S$1000,$S251,$V$5:$V$1000,"Macro")/COUNTIFS($S$5:$S$1000,$S251,$V$5:$V$1000,"Macro",$H$5:$H$1000,"&gt;0"))/(COUNTIFS($S$5:$S$1000,$S251,$V$5:$V$1000,"Macro")*SUMIFS($H$5:$H$1000,$S$5:$S$1000,$S251,$V$5:$V$1000,"Macro")/COUNTIFS($S$5:$S$1000,$S251,$V$5:$V$1000,"Macro",$H$5:$H$1000,"&gt;0"))))</f>
        <v/>
      </c>
      <c r="AH251" s="62" t="n"/>
      <c r="AI251" s="62" t="n"/>
      <c r="AJ251" s="62" t="n"/>
      <c r="AK251" s="62" t="n"/>
      <c r="AL251" s="62">
        <f>IF(LEFT($C251,11)="[Jefatura] ",IFERROR(MATCH("Riesgo Financiero|"&amp;MID($C251,12,500),rDname_ADM,0),0),"")</f>
        <v/>
      </c>
      <c r="AM251" s="62">
        <f>IF(N($AL251)&gt;0,INDEX(rIni_ADM,$AL251),IF(ISNUMBER($E251),$E251,""))</f>
        <v/>
      </c>
      <c r="AN251" s="62">
        <f>IF(N($AL251)&gt;0,INDEX(rLim_ADM,$AL251),IF(ISNUMBER($F251),$F251,""))</f>
        <v/>
      </c>
    </row>
    <row r="252">
      <c r="A252" s="56">
        <f>IF(NOT((COUNTA($B252:$D252)+COUNTA($G252:$L252)+COUNTA($Q252))&gt;0),"",IF($V252="Macro",COUNTIFS($V$5:$V252,"Macro",$S$5:$S252,$S252),IF(N($U252)=0,"?",COUNTIFS(INDEX($V$5:$V$1000,1):INDEX($V$5:$V$1000,$U252-4),"Macro",INDEX($S$5:$S$1000,1):INDEX($S$5:$S$1000,$U252-4),INDEX($S$5:$S$1000,$U252-4))&amp;"."&amp;COUNTIFS($U$5:$U252,$U252,$V$5:$V252,"Sub"))))</f>
        <v/>
      </c>
      <c r="B252" s="57" t="n"/>
      <c r="C252" s="58" t="n"/>
      <c r="D252" s="58" t="n"/>
      <c r="E252" s="59">
        <f>IF(N($AL252)&gt;0,INDEX(rIni_ADM,$AL252),"")</f>
        <v/>
      </c>
      <c r="F252" s="59">
        <f>IF(N($AL252)&gt;0,INDEX(rLim_ADM,$AL252),"")</f>
        <v/>
      </c>
      <c r="G252" s="59" t="n"/>
      <c r="H252" s="60" t="n"/>
      <c r="I252" s="60" t="n"/>
      <c r="J252" s="60" t="n"/>
      <c r="K252" s="60" t="n"/>
      <c r="L252" s="60" t="n"/>
      <c r="M252" s="61">
        <f>IF(NOT((COUNTA($B252:$D252)+COUNTA($G252:$L252)+COUNTA($Q252))&gt;0),"",IF($V252="Sub",IFERROR($X252/INDEX($W$5:$W$1000,$U252-4),""),IF(ISNUMBER($G252),1,IF(N($W252)&gt;0,AVERAGEIFS($X$5:$X$1000,$U$5:$U$1000,ROW(),$V$5:$V$1000,"Sub"),$X252))))</f>
        <v/>
      </c>
      <c r="N252" s="56">
        <f>IF(OR($M252="",$V252="Sub"),"",IF($M252&gt;=1,"Completado",IF($M252&gt;0,"En curso","Pendiente")))</f>
        <v/>
      </c>
      <c r="O252" s="56">
        <f>IF(OR(NOT((COUNTA($B252:$D252)+COUNTA($G252:$L252)+COUNTA($Q252))&gt;0),$V252="Sub"),"",IF(ISNUMBER($G252),IF(AND(ISNUMBER($AN252),$G252&gt;$AN252),"Cumplida con "&amp;($G252-$AN252)&amp;IF($G252-$AN252=1," día"," días")&amp;" de retraso","Cumplida"),IF(N($M252)&gt;=1,"Cumplida",IF(NOT(ISNUMBER($AN252)),"Sin fecha límite",IF($AN252&lt;FechaRef,"Vencida hace "&amp;(FechaRef-$AN252)&amp;IF(FechaRef-$AN252=1," día"," días"),IF($AN252=FechaRef,"Vence hoy",IF($AN252-FechaRef&lt;=DiasAlerta,"Vence en "&amp;($AN252-FechaRef)&amp;IF($AN252-FechaRef=1," día"," días"),"En plazo")))))))</f>
        <v/>
      </c>
      <c r="P252" s="62" t="n"/>
      <c r="Q252" s="58" t="n"/>
      <c r="R252" s="63">
        <f>IF(NOT((COUNTA($B252:$D252)+COUNTA($G252:$L252)+COUNTA($Q252))&gt;0),"",IF((IF($C252="","Falta el nombre de la actividad"&amp;" · ","")&amp;IF(AND($V252="Sub",N($U252)=0),"Subactividad sin macroactividad arriba"&amp;" · ","")&amp;IF($AM252="","Sin fecha de inicio"&amp;" · ","")&amp;IF($AN252="","Sin fecha límite"&amp;" · ","")&amp;IF(AND(LEFT($C252,11)="[Jefatura] ",N($AL252)=0),"No se encuentra en la hoja de la jefatura (elíjala de nuevo en la lista)"&amp;" · ","")&amp;IF(OR(AND($E252&lt;&gt;"",NOT(ISNUMBER($E252))),AND($F252&lt;&gt;"",NOT(ISNUMBER($F252))),AND($G252&lt;&gt;"",NOT(ISNUMBER($G252)))),"Fecha no válida"&amp;" · ","")&amp;IF(AND(ISNUMBER($AM252),ISNUMBER($AN252),$AM252&gt;$AN252),"Inicio posterior a fecha límite"&amp;" · ","")&amp;IF(AND($V252="Macro",$H252&lt;&gt;"",OR(NOT(ISNUMBER($H252)),$H252&lt;0,$H252&gt;1)),"Peso fuera de rango"&amp;" · ","")&amp;IF(AND($V252="Sub",$H252&lt;&gt;""),"Las subactividades no llevan peso (valen igual dentro de su macroactividad)"&amp;" · ","")&amp;IF(AND(N($W252)&gt;0,COUNT($I252:$L252)&gt;0),"Con subactividades: deje vacías las semanas (se calculan solas)"&amp;" · ","")&amp;IF((COUNTIF($I252:$L252,"&gt;1")+COUNTIF($I252:$L252,"&lt;0")+COUNTA($I252:$L252)-COUNT($I252:$L252))&gt;0,"Avance fuera de rango 0-100%"&amp;" · ","")&amp;IF(OR(AND($J252&lt;&gt;"",$J252&lt;$I252),AND($K252&lt;&gt;"",$K252&lt;MAX($I252:$J252)),AND($L252&lt;&gt;"",$L252&lt;MAX($I252:$K252))),"Avance semanal decreciente"&amp;" · ","")&amp;IF(AND(ISNUMBER($AN252),$AN252&lt;FechaRef,IF($V252="Sub",N($X252),N($M252))&lt;1),"Vencida"&amp;" · ","")&amp;IF(AND(ObsObligatoria="Sí",ISNUMBER($AN252),$AN252&lt;FechaRef,IF($V252="Sub",N($X252),N($M252))&lt;1,$Q252=""),"Vencida sin observación"&amp;" · ",""))="","✔ OK","⚠ "&amp;LEFT(IF($C252="","Falta el nombre de la actividad"&amp;" · ","")&amp;IF(AND($V252="Sub",N($U252)=0),"Subactividad sin macroactividad arriba"&amp;" · ","")&amp;IF($AM252="","Sin fecha de inicio"&amp;" · ","")&amp;IF($AN252="","Sin fecha límite"&amp;" · ","")&amp;IF(AND(LEFT($C252,11)="[Jefatura] ",N($AL252)=0),"No se encuentra en la hoja de la jefatura (elíjala de nuevo en la lista)"&amp;" · ","")&amp;IF(OR(AND($E252&lt;&gt;"",NOT(ISNUMBER($E252))),AND($F252&lt;&gt;"",NOT(ISNUMBER($F252))),AND($G252&lt;&gt;"",NOT(ISNUMBER($G252)))),"Fecha no válida"&amp;" · ","")&amp;IF(AND(ISNUMBER($AM252),ISNUMBER($AN252),$AM252&gt;$AN252),"Inicio posterior a fecha límite"&amp;" · ","")&amp;IF(AND($V252="Macro",$H252&lt;&gt;"",OR(NOT(ISNUMBER($H252)),$H252&lt;0,$H252&gt;1)),"Peso fuera de rango"&amp;" · ","")&amp;IF(AND($V252="Sub",$H252&lt;&gt;""),"Las subactividades no llevan peso (valen igual dentro de su macroactividad)"&amp;" · ","")&amp;IF(AND(N($W252)&gt;0,COUNT($I252:$L252)&gt;0),"Con subactividades: deje vacías las semanas (se calculan solas)"&amp;" · ","")&amp;IF((COUNTIF($I252:$L252,"&gt;1")+COUNTIF($I252:$L252,"&lt;0")+COUNTA($I252:$L252)-COUNT($I252:$L252))&gt;0,"Avance fuera de rango 0-100%"&amp;" · ","")&amp;IF(OR(AND($J252&lt;&gt;"",$J252&lt;$I252),AND($K252&lt;&gt;"",$K252&lt;MAX($I252:$J252)),AND($L252&lt;&gt;"",$L252&lt;MAX($I252:$K252))),"Avance semanal decreciente"&amp;" · ","")&amp;IF(AND(ISNUMBER($AN252),$AN252&lt;FechaRef,IF($V252="Sub",N($X252),N($M252))&lt;1),"Vencida"&amp;" · ","")&amp;IF(AND(ObsObligatoria="Sí",ISNUMBER($AN252),$AN252&lt;FechaRef,IF($V252="Sub",N($X252),N($M252))&lt;1,$Q252=""),"Vencida sin observación"&amp;" · ",""),LEN(IF($C252="","Falta el nombre de la actividad"&amp;" · ","")&amp;IF(AND($V252="Sub",N($U252)=0),"Subactividad sin macroactividad arriba"&amp;" · ","")&amp;IF($AM252="","Sin fecha de inicio"&amp;" · ","")&amp;IF($AN252="","Sin fecha límite"&amp;" · ","")&amp;IF(AND(LEFT($C252,11)="[Jefatura] ",N($AL252)=0),"No se encuentra en la hoja de la jefatura (elíjala de nuevo en la lista)"&amp;" · ","")&amp;IF(OR(AND($E252&lt;&gt;"",NOT(ISNUMBER($E252))),AND($F252&lt;&gt;"",NOT(ISNUMBER($F252))),AND($G252&lt;&gt;"",NOT(ISNUMBER($G252)))),"Fecha no válida"&amp;" · ","")&amp;IF(AND(ISNUMBER($AM252),ISNUMBER($AN252),$AM252&gt;$AN252),"Inicio posterior a fecha límite"&amp;" · ","")&amp;IF(AND($V252="Macro",$H252&lt;&gt;"",OR(NOT(ISNUMBER($H252)),$H252&lt;0,$H252&gt;1)),"Peso fuera de rango"&amp;" · ","")&amp;IF(AND($V252="Sub",$H252&lt;&gt;""),"Las subactividades no llevan peso (valen igual dentro de su macroactividad)"&amp;" · ","")&amp;IF(AND(N($W252)&gt;0,COUNT($I252:$L252)&gt;0),"Con subactividades: deje vacías las semanas (se calculan solas)"&amp;" · ","")&amp;IF((COUNTIF($I252:$L252,"&gt;1")+COUNTIF($I252:$L252,"&lt;0")+COUNTA($I252:$L252)-COUNT($I252:$L252))&gt;0,"Avance fuera de rango 0-100%"&amp;" · ","")&amp;IF(OR(AND($J252&lt;&gt;"",$J252&lt;$I252),AND($K252&lt;&gt;"",$K252&lt;MAX($I252:$J252)),AND($L252&lt;&gt;"",$L252&lt;MAX($I252:$K252))),"Avance semanal decreciente"&amp;" · ","")&amp;IF(AND(ISNUMBER($AN252),$AN252&lt;FechaRef,IF($V252="Sub",N($X252),N($M252))&lt;1),"Vencida"&amp;" · ","")&amp;IF(AND(ObsObligatoria="Sí",ISNUMBER($AN252),$AN252&lt;FechaRef,IF($V252="Sub",N($X252),N($M252))&lt;1,$Q252=""),"Vencida sin observación"&amp;" · ",""))-3)))</f>
        <v/>
      </c>
      <c r="S252" s="64">
        <f>IF(NOT((COUNTA($B252:$D252)+COUNTA($G252:$L252)+COUNTA($Q252))&gt;0),"",IF(AND($V252="Sub",N($U252)&gt;0),IF(ISNUMBER(INDEX($AM$5:$AM$1000,$U252-4)),DATE(YEAR(INDEX($AM$5:$AM$1000,$U252-4)),MONTH(INDEX($AM$5:$AM$1000,$U252-4)),1),IF(ISNUMBER(INDEX($AN$5:$AN$1000,$U252-4)),DATE(YEAR(INDEX($AN$5:$AN$1000,$U252-4)),MONTH(INDEX($AN$5:$AN$1000,$U252-4)),1),MesCiclo)),IF(ISNUMBER($AM252),DATE(YEAR($AM252),MONTH($AM252),1),IF(ISNUMBER($AN252),DATE(YEAR($AN252),MONTH($AN252),1),MesCiclo))))</f>
        <v/>
      </c>
      <c r="T252" s="62">
        <f>IF(OR($S252="",$S252&lt;&gt;MesCiclo,$V252&lt;&gt;"Macro"),"",COUNTIFS($S$5:$S252,MesCiclo,$V$5:$V252,"Macro"))</f>
        <v/>
      </c>
      <c r="U252" s="62">
        <f>IF($V252="","",IF($V252="Macro",ROW(),IFERROR(LOOKUP(2,1/($V$5:$V252="Macro"),ROW($V$5:$V252)),0)))</f>
        <v/>
      </c>
      <c r="V252" s="62">
        <f>IF(NOT((COUNTA($B252:$D252)+COUNTA($G252:$L252)+COUNTA($Q252))&gt;0),"",IF($B252="Subactividad","Sub","Macro"))</f>
        <v/>
      </c>
      <c r="W252" s="62">
        <f>IF($V252="Macro",COUNTIFS($U$5:$U$1000,ROW(),$V$5:$V$1000,"Sub"),"")</f>
        <v/>
      </c>
      <c r="X252" s="62">
        <f>IF($V252="","",IF(ISNUMBER($G252),1,IFERROR(LOOKUP(2,1/($I252:$L252&lt;&gt;""),$I252:$L252),0)))</f>
        <v/>
      </c>
      <c r="Y252" s="62">
        <f>IF($V252="","",IF(AND(ISNUMBER($G252),$G252&lt;=IF($S252=MesCiclo,InicioCiclo,$S252+MOD(2-WEEKDAY($S252),7))+6),1,IF(ISNUMBER($I252),$I252,0)))</f>
        <v/>
      </c>
      <c r="Z252" s="62">
        <f>IF($V252="","",IF(AND(ISNUMBER($G252),$G252&lt;=IF($S252=MesCiclo,InicioCiclo,$S252+MOD(2-WEEKDAY($S252),7))+13),1,IF(ISNUMBER($J252),$J252,$Y252)))</f>
        <v/>
      </c>
      <c r="AA252" s="62">
        <f>IF($V252="","",IF(AND(ISNUMBER($G252),$G252&lt;=IF($S252=MesCiclo,InicioCiclo,$S252+MOD(2-WEEKDAY($S252),7))+20),1,IF(ISNUMBER($K252),$K252,$Z252)))</f>
        <v/>
      </c>
      <c r="AB252" s="62">
        <f>IF($V252="","",IF(AND(ISNUMBER($G252),$G252&lt;=IF($S252=MesCiclo,InicioCiclo,$S252+MOD(2-WEEKDAY($S252),7))+27),1,IF(ISNUMBER($L252),$L252,$AA252)))</f>
        <v/>
      </c>
      <c r="AC252" s="62">
        <f>IF($V252="","",IF(AND(ISNUMBER($G252),$G252&lt;=IF($S252=MesCiclo,InicioCiclo,$S252+MOD(2-WEEKDAY($S252),7))+6),1,IF(N($W252)&gt;0,AVERAGEIFS($Y$5:$Y$1000,$U$5:$U$1000,ROW(),$V$5:$V$1000,"Sub"),$Y252)))</f>
        <v/>
      </c>
      <c r="AD252" s="62">
        <f>IF($V252="","",IF(AND(ISNUMBER($G252),$G252&lt;=IF($S252=MesCiclo,InicioCiclo,$S252+MOD(2-WEEKDAY($S252),7))+13),1,IF(N($W252)&gt;0,AVERAGEIFS($Z$5:$Z$1000,$U$5:$U$1000,ROW(),$V$5:$V$1000,"Sub"),$Z252)))</f>
        <v/>
      </c>
      <c r="AE252" s="62">
        <f>IF($V252="","",IF(AND(ISNUMBER($G252),$G252&lt;=IF($S252=MesCiclo,InicioCiclo,$S252+MOD(2-WEEKDAY($S252),7))+20),1,IF(N($W252)&gt;0,AVERAGEIFS($AA$5:$AA$1000,$U$5:$U$1000,ROW(),$V$5:$V$1000,"Sub"),$AA252)))</f>
        <v/>
      </c>
      <c r="AF252" s="62">
        <f>IF($V252="","",IF(AND(ISNUMBER($G252),$G252&lt;=IF($S252=MesCiclo,InicioCiclo,$S252+MOD(2-WEEKDAY($S252),7))+27),1,IF(N($W252)&gt;0,AVERAGEIFS($AB$5:$AB$1000,$U$5:$U$1000,ROW(),$V$5:$V$1000,"Sub"),$AB252)))</f>
        <v/>
      </c>
      <c r="AG252" s="62">
        <f>IF($V252&lt;&gt;"Macro","",IF(COUNTIFS($S$5:$S$1000,$S252,$V$5:$V$1000,"Macro",$H$5:$H$1000,"&gt;0")=0,1/COUNTIFS($S$5:$S$1000,$S252,$V$5:$V$1000,"Macro"),IF(AND(ISNUMBER($H252),N($H252)&gt;0),$H252,SUMIFS($H$5:$H$1000,$S$5:$S$1000,$S252,$V$5:$V$1000,"Macro")/COUNTIFS($S$5:$S$1000,$S252,$V$5:$V$1000,"Macro",$H$5:$H$1000,"&gt;0"))/(COUNTIFS($S$5:$S$1000,$S252,$V$5:$V$1000,"Macro")*SUMIFS($H$5:$H$1000,$S$5:$S$1000,$S252,$V$5:$V$1000,"Macro")/COUNTIFS($S$5:$S$1000,$S252,$V$5:$V$1000,"Macro",$H$5:$H$1000,"&gt;0"))))</f>
        <v/>
      </c>
      <c r="AH252" s="62" t="n"/>
      <c r="AI252" s="62" t="n"/>
      <c r="AJ252" s="62" t="n"/>
      <c r="AK252" s="62" t="n"/>
      <c r="AL252" s="62">
        <f>IF(LEFT($C252,11)="[Jefatura] ",IFERROR(MATCH("Riesgo Financiero|"&amp;MID($C252,12,500),rDname_ADM,0),0),"")</f>
        <v/>
      </c>
      <c r="AM252" s="62">
        <f>IF(N($AL252)&gt;0,INDEX(rIni_ADM,$AL252),IF(ISNUMBER($E252),$E252,""))</f>
        <v/>
      </c>
      <c r="AN252" s="62">
        <f>IF(N($AL252)&gt;0,INDEX(rLim_ADM,$AL252),IF(ISNUMBER($F252),$F252,""))</f>
        <v/>
      </c>
    </row>
    <row r="253">
      <c r="A253" s="56">
        <f>IF(NOT((COUNTA($B253:$D253)+COUNTA($G253:$L253)+COUNTA($Q253))&gt;0),"",IF($V253="Macro",COUNTIFS($V$5:$V253,"Macro",$S$5:$S253,$S253),IF(N($U253)=0,"?",COUNTIFS(INDEX($V$5:$V$1000,1):INDEX($V$5:$V$1000,$U253-4),"Macro",INDEX($S$5:$S$1000,1):INDEX($S$5:$S$1000,$U253-4),INDEX($S$5:$S$1000,$U253-4))&amp;"."&amp;COUNTIFS($U$5:$U253,$U253,$V$5:$V253,"Sub"))))</f>
        <v/>
      </c>
      <c r="B253" s="57" t="n"/>
      <c r="C253" s="58" t="n"/>
      <c r="D253" s="58" t="n"/>
      <c r="E253" s="59">
        <f>IF(N($AL253)&gt;0,INDEX(rIni_ADM,$AL253),"")</f>
        <v/>
      </c>
      <c r="F253" s="59">
        <f>IF(N($AL253)&gt;0,INDEX(rLim_ADM,$AL253),"")</f>
        <v/>
      </c>
      <c r="G253" s="59" t="n"/>
      <c r="H253" s="60" t="n"/>
      <c r="I253" s="60" t="n"/>
      <c r="J253" s="60" t="n"/>
      <c r="K253" s="60" t="n"/>
      <c r="L253" s="60" t="n"/>
      <c r="M253" s="61">
        <f>IF(NOT((COUNTA($B253:$D253)+COUNTA($G253:$L253)+COUNTA($Q253))&gt;0),"",IF($V253="Sub",IFERROR($X253/INDEX($W$5:$W$1000,$U253-4),""),IF(ISNUMBER($G253),1,IF(N($W253)&gt;0,AVERAGEIFS($X$5:$X$1000,$U$5:$U$1000,ROW(),$V$5:$V$1000,"Sub"),$X253))))</f>
        <v/>
      </c>
      <c r="N253" s="56">
        <f>IF(OR($M253="",$V253="Sub"),"",IF($M253&gt;=1,"Completado",IF($M253&gt;0,"En curso","Pendiente")))</f>
        <v/>
      </c>
      <c r="O253" s="56">
        <f>IF(OR(NOT((COUNTA($B253:$D253)+COUNTA($G253:$L253)+COUNTA($Q253))&gt;0),$V253="Sub"),"",IF(ISNUMBER($G253),IF(AND(ISNUMBER($AN253),$G253&gt;$AN253),"Cumplida con "&amp;($G253-$AN253)&amp;IF($G253-$AN253=1," día"," días")&amp;" de retraso","Cumplida"),IF(N($M253)&gt;=1,"Cumplida",IF(NOT(ISNUMBER($AN253)),"Sin fecha límite",IF($AN253&lt;FechaRef,"Vencida hace "&amp;(FechaRef-$AN253)&amp;IF(FechaRef-$AN253=1," día"," días"),IF($AN253=FechaRef,"Vence hoy",IF($AN253-FechaRef&lt;=DiasAlerta,"Vence en "&amp;($AN253-FechaRef)&amp;IF($AN253-FechaRef=1," día"," días"),"En plazo")))))))</f>
        <v/>
      </c>
      <c r="P253" s="62" t="n"/>
      <c r="Q253" s="58" t="n"/>
      <c r="R253" s="63">
        <f>IF(NOT((COUNTA($B253:$D253)+COUNTA($G253:$L253)+COUNTA($Q253))&gt;0),"",IF((IF($C253="","Falta el nombre de la actividad"&amp;" · ","")&amp;IF(AND($V253="Sub",N($U253)=0),"Subactividad sin macroactividad arriba"&amp;" · ","")&amp;IF($AM253="","Sin fecha de inicio"&amp;" · ","")&amp;IF($AN253="","Sin fecha límite"&amp;" · ","")&amp;IF(AND(LEFT($C253,11)="[Jefatura] ",N($AL253)=0),"No se encuentra en la hoja de la jefatura (elíjala de nuevo en la lista)"&amp;" · ","")&amp;IF(OR(AND($E253&lt;&gt;"",NOT(ISNUMBER($E253))),AND($F253&lt;&gt;"",NOT(ISNUMBER($F253))),AND($G253&lt;&gt;"",NOT(ISNUMBER($G253)))),"Fecha no válida"&amp;" · ","")&amp;IF(AND(ISNUMBER($AM253),ISNUMBER($AN253),$AM253&gt;$AN253),"Inicio posterior a fecha límite"&amp;" · ","")&amp;IF(AND($V253="Macro",$H253&lt;&gt;"",OR(NOT(ISNUMBER($H253)),$H253&lt;0,$H253&gt;1)),"Peso fuera de rango"&amp;" · ","")&amp;IF(AND($V253="Sub",$H253&lt;&gt;""),"Las subactividades no llevan peso (valen igual dentro de su macroactividad)"&amp;" · ","")&amp;IF(AND(N($W253)&gt;0,COUNT($I253:$L253)&gt;0),"Con subactividades: deje vacías las semanas (se calculan solas)"&amp;" · ","")&amp;IF((COUNTIF($I253:$L253,"&gt;1")+COUNTIF($I253:$L253,"&lt;0")+COUNTA($I253:$L253)-COUNT($I253:$L253))&gt;0,"Avance fuera de rango 0-100%"&amp;" · ","")&amp;IF(OR(AND($J253&lt;&gt;"",$J253&lt;$I253),AND($K253&lt;&gt;"",$K253&lt;MAX($I253:$J253)),AND($L253&lt;&gt;"",$L253&lt;MAX($I253:$K253))),"Avance semanal decreciente"&amp;" · ","")&amp;IF(AND(ISNUMBER($AN253),$AN253&lt;FechaRef,IF($V253="Sub",N($X253),N($M253))&lt;1),"Vencida"&amp;" · ","")&amp;IF(AND(ObsObligatoria="Sí",ISNUMBER($AN253),$AN253&lt;FechaRef,IF($V253="Sub",N($X253),N($M253))&lt;1,$Q253=""),"Vencida sin observación"&amp;" · ",""))="","✔ OK","⚠ "&amp;LEFT(IF($C253="","Falta el nombre de la actividad"&amp;" · ","")&amp;IF(AND($V253="Sub",N($U253)=0),"Subactividad sin macroactividad arriba"&amp;" · ","")&amp;IF($AM253="","Sin fecha de inicio"&amp;" · ","")&amp;IF($AN253="","Sin fecha límite"&amp;" · ","")&amp;IF(AND(LEFT($C253,11)="[Jefatura] ",N($AL253)=0),"No se encuentra en la hoja de la jefatura (elíjala de nuevo en la lista)"&amp;" · ","")&amp;IF(OR(AND($E253&lt;&gt;"",NOT(ISNUMBER($E253))),AND($F253&lt;&gt;"",NOT(ISNUMBER($F253))),AND($G253&lt;&gt;"",NOT(ISNUMBER($G253)))),"Fecha no válida"&amp;" · ","")&amp;IF(AND(ISNUMBER($AM253),ISNUMBER($AN253),$AM253&gt;$AN253),"Inicio posterior a fecha límite"&amp;" · ","")&amp;IF(AND($V253="Macro",$H253&lt;&gt;"",OR(NOT(ISNUMBER($H253)),$H253&lt;0,$H253&gt;1)),"Peso fuera de rango"&amp;" · ","")&amp;IF(AND($V253="Sub",$H253&lt;&gt;""),"Las subactividades no llevan peso (valen igual dentro de su macroactividad)"&amp;" · ","")&amp;IF(AND(N($W253)&gt;0,COUNT($I253:$L253)&gt;0),"Con subactividades: deje vacías las semanas (se calculan solas)"&amp;" · ","")&amp;IF((COUNTIF($I253:$L253,"&gt;1")+COUNTIF($I253:$L253,"&lt;0")+COUNTA($I253:$L253)-COUNT($I253:$L253))&gt;0,"Avance fuera de rango 0-100%"&amp;" · ","")&amp;IF(OR(AND($J253&lt;&gt;"",$J253&lt;$I253),AND($K253&lt;&gt;"",$K253&lt;MAX($I253:$J253)),AND($L253&lt;&gt;"",$L253&lt;MAX($I253:$K253))),"Avance semanal decreciente"&amp;" · ","")&amp;IF(AND(ISNUMBER($AN253),$AN253&lt;FechaRef,IF($V253="Sub",N($X253),N($M253))&lt;1),"Vencida"&amp;" · ","")&amp;IF(AND(ObsObligatoria="Sí",ISNUMBER($AN253),$AN253&lt;FechaRef,IF($V253="Sub",N($X253),N($M253))&lt;1,$Q253=""),"Vencida sin observación"&amp;" · ",""),LEN(IF($C253="","Falta el nombre de la actividad"&amp;" · ","")&amp;IF(AND($V253="Sub",N($U253)=0),"Subactividad sin macroactividad arriba"&amp;" · ","")&amp;IF($AM253="","Sin fecha de inicio"&amp;" · ","")&amp;IF($AN253="","Sin fecha límite"&amp;" · ","")&amp;IF(AND(LEFT($C253,11)="[Jefatura] ",N($AL253)=0),"No se encuentra en la hoja de la jefatura (elíjala de nuevo en la lista)"&amp;" · ","")&amp;IF(OR(AND($E253&lt;&gt;"",NOT(ISNUMBER($E253))),AND($F253&lt;&gt;"",NOT(ISNUMBER($F253))),AND($G253&lt;&gt;"",NOT(ISNUMBER($G253)))),"Fecha no válida"&amp;" · ","")&amp;IF(AND(ISNUMBER($AM253),ISNUMBER($AN253),$AM253&gt;$AN253),"Inicio posterior a fecha límite"&amp;" · ","")&amp;IF(AND($V253="Macro",$H253&lt;&gt;"",OR(NOT(ISNUMBER($H253)),$H253&lt;0,$H253&gt;1)),"Peso fuera de rango"&amp;" · ","")&amp;IF(AND($V253="Sub",$H253&lt;&gt;""),"Las subactividades no llevan peso (valen igual dentro de su macroactividad)"&amp;" · ","")&amp;IF(AND(N($W253)&gt;0,COUNT($I253:$L253)&gt;0),"Con subactividades: deje vacías las semanas (se calculan solas)"&amp;" · ","")&amp;IF((COUNTIF($I253:$L253,"&gt;1")+COUNTIF($I253:$L253,"&lt;0")+COUNTA($I253:$L253)-COUNT($I253:$L253))&gt;0,"Avance fuera de rango 0-100%"&amp;" · ","")&amp;IF(OR(AND($J253&lt;&gt;"",$J253&lt;$I253),AND($K253&lt;&gt;"",$K253&lt;MAX($I253:$J253)),AND($L253&lt;&gt;"",$L253&lt;MAX($I253:$K253))),"Avance semanal decreciente"&amp;" · ","")&amp;IF(AND(ISNUMBER($AN253),$AN253&lt;FechaRef,IF($V253="Sub",N($X253),N($M253))&lt;1),"Vencida"&amp;" · ","")&amp;IF(AND(ObsObligatoria="Sí",ISNUMBER($AN253),$AN253&lt;FechaRef,IF($V253="Sub",N($X253),N($M253))&lt;1,$Q253=""),"Vencida sin observación"&amp;" · ",""))-3)))</f>
        <v/>
      </c>
      <c r="S253" s="64">
        <f>IF(NOT((COUNTA($B253:$D253)+COUNTA($G253:$L253)+COUNTA($Q253))&gt;0),"",IF(AND($V253="Sub",N($U253)&gt;0),IF(ISNUMBER(INDEX($AM$5:$AM$1000,$U253-4)),DATE(YEAR(INDEX($AM$5:$AM$1000,$U253-4)),MONTH(INDEX($AM$5:$AM$1000,$U253-4)),1),IF(ISNUMBER(INDEX($AN$5:$AN$1000,$U253-4)),DATE(YEAR(INDEX($AN$5:$AN$1000,$U253-4)),MONTH(INDEX($AN$5:$AN$1000,$U253-4)),1),MesCiclo)),IF(ISNUMBER($AM253),DATE(YEAR($AM253),MONTH($AM253),1),IF(ISNUMBER($AN253),DATE(YEAR($AN253),MONTH($AN253),1),MesCiclo))))</f>
        <v/>
      </c>
      <c r="T253" s="62">
        <f>IF(OR($S253="",$S253&lt;&gt;MesCiclo,$V253&lt;&gt;"Macro"),"",COUNTIFS($S$5:$S253,MesCiclo,$V$5:$V253,"Macro"))</f>
        <v/>
      </c>
      <c r="U253" s="62">
        <f>IF($V253="","",IF($V253="Macro",ROW(),IFERROR(LOOKUP(2,1/($V$5:$V253="Macro"),ROW($V$5:$V253)),0)))</f>
        <v/>
      </c>
      <c r="V253" s="62">
        <f>IF(NOT((COUNTA($B253:$D253)+COUNTA($G253:$L253)+COUNTA($Q253))&gt;0),"",IF($B253="Subactividad","Sub","Macro"))</f>
        <v/>
      </c>
      <c r="W253" s="62">
        <f>IF($V253="Macro",COUNTIFS($U$5:$U$1000,ROW(),$V$5:$V$1000,"Sub"),"")</f>
        <v/>
      </c>
      <c r="X253" s="62">
        <f>IF($V253="","",IF(ISNUMBER($G253),1,IFERROR(LOOKUP(2,1/($I253:$L253&lt;&gt;""),$I253:$L253),0)))</f>
        <v/>
      </c>
      <c r="Y253" s="62">
        <f>IF($V253="","",IF(AND(ISNUMBER($G253),$G253&lt;=IF($S253=MesCiclo,InicioCiclo,$S253+MOD(2-WEEKDAY($S253),7))+6),1,IF(ISNUMBER($I253),$I253,0)))</f>
        <v/>
      </c>
      <c r="Z253" s="62">
        <f>IF($V253="","",IF(AND(ISNUMBER($G253),$G253&lt;=IF($S253=MesCiclo,InicioCiclo,$S253+MOD(2-WEEKDAY($S253),7))+13),1,IF(ISNUMBER($J253),$J253,$Y253)))</f>
        <v/>
      </c>
      <c r="AA253" s="62">
        <f>IF($V253="","",IF(AND(ISNUMBER($G253),$G253&lt;=IF($S253=MesCiclo,InicioCiclo,$S253+MOD(2-WEEKDAY($S253),7))+20),1,IF(ISNUMBER($K253),$K253,$Z253)))</f>
        <v/>
      </c>
      <c r="AB253" s="62">
        <f>IF($V253="","",IF(AND(ISNUMBER($G253),$G253&lt;=IF($S253=MesCiclo,InicioCiclo,$S253+MOD(2-WEEKDAY($S253),7))+27),1,IF(ISNUMBER($L253),$L253,$AA253)))</f>
        <v/>
      </c>
      <c r="AC253" s="62">
        <f>IF($V253="","",IF(AND(ISNUMBER($G253),$G253&lt;=IF($S253=MesCiclo,InicioCiclo,$S253+MOD(2-WEEKDAY($S253),7))+6),1,IF(N($W253)&gt;0,AVERAGEIFS($Y$5:$Y$1000,$U$5:$U$1000,ROW(),$V$5:$V$1000,"Sub"),$Y253)))</f>
        <v/>
      </c>
      <c r="AD253" s="62">
        <f>IF($V253="","",IF(AND(ISNUMBER($G253),$G253&lt;=IF($S253=MesCiclo,InicioCiclo,$S253+MOD(2-WEEKDAY($S253),7))+13),1,IF(N($W253)&gt;0,AVERAGEIFS($Z$5:$Z$1000,$U$5:$U$1000,ROW(),$V$5:$V$1000,"Sub"),$Z253)))</f>
        <v/>
      </c>
      <c r="AE253" s="62">
        <f>IF($V253="","",IF(AND(ISNUMBER($G253),$G253&lt;=IF($S253=MesCiclo,InicioCiclo,$S253+MOD(2-WEEKDAY($S253),7))+20),1,IF(N($W253)&gt;0,AVERAGEIFS($AA$5:$AA$1000,$U$5:$U$1000,ROW(),$V$5:$V$1000,"Sub"),$AA253)))</f>
        <v/>
      </c>
      <c r="AF253" s="62">
        <f>IF($V253="","",IF(AND(ISNUMBER($G253),$G253&lt;=IF($S253=MesCiclo,InicioCiclo,$S253+MOD(2-WEEKDAY($S253),7))+27),1,IF(N($W253)&gt;0,AVERAGEIFS($AB$5:$AB$1000,$U$5:$U$1000,ROW(),$V$5:$V$1000,"Sub"),$AB253)))</f>
        <v/>
      </c>
      <c r="AG253" s="62">
        <f>IF($V253&lt;&gt;"Macro","",IF(COUNTIFS($S$5:$S$1000,$S253,$V$5:$V$1000,"Macro",$H$5:$H$1000,"&gt;0")=0,1/COUNTIFS($S$5:$S$1000,$S253,$V$5:$V$1000,"Macro"),IF(AND(ISNUMBER($H253),N($H253)&gt;0),$H253,SUMIFS($H$5:$H$1000,$S$5:$S$1000,$S253,$V$5:$V$1000,"Macro")/COUNTIFS($S$5:$S$1000,$S253,$V$5:$V$1000,"Macro",$H$5:$H$1000,"&gt;0"))/(COUNTIFS($S$5:$S$1000,$S253,$V$5:$V$1000,"Macro")*SUMIFS($H$5:$H$1000,$S$5:$S$1000,$S253,$V$5:$V$1000,"Macro")/COUNTIFS($S$5:$S$1000,$S253,$V$5:$V$1000,"Macro",$H$5:$H$1000,"&gt;0"))))</f>
        <v/>
      </c>
      <c r="AH253" s="62" t="n"/>
      <c r="AI253" s="62" t="n"/>
      <c r="AJ253" s="62" t="n"/>
      <c r="AK253" s="62" t="n"/>
      <c r="AL253" s="62">
        <f>IF(LEFT($C253,11)="[Jefatura] ",IFERROR(MATCH("Riesgo Financiero|"&amp;MID($C253,12,500),rDname_ADM,0),0),"")</f>
        <v/>
      </c>
      <c r="AM253" s="62">
        <f>IF(N($AL253)&gt;0,INDEX(rIni_ADM,$AL253),IF(ISNUMBER($E253),$E253,""))</f>
        <v/>
      </c>
      <c r="AN253" s="62">
        <f>IF(N($AL253)&gt;0,INDEX(rLim_ADM,$AL253),IF(ISNUMBER($F253),$F253,""))</f>
        <v/>
      </c>
    </row>
    <row r="254">
      <c r="A254" s="56">
        <f>IF(NOT((COUNTA($B254:$D254)+COUNTA($G254:$L254)+COUNTA($Q254))&gt;0),"",IF($V254="Macro",COUNTIFS($V$5:$V254,"Macro",$S$5:$S254,$S254),IF(N($U254)=0,"?",COUNTIFS(INDEX($V$5:$V$1000,1):INDEX($V$5:$V$1000,$U254-4),"Macro",INDEX($S$5:$S$1000,1):INDEX($S$5:$S$1000,$U254-4),INDEX($S$5:$S$1000,$U254-4))&amp;"."&amp;COUNTIFS($U$5:$U254,$U254,$V$5:$V254,"Sub"))))</f>
        <v/>
      </c>
      <c r="B254" s="57" t="n"/>
      <c r="C254" s="58" t="n"/>
      <c r="D254" s="58" t="n"/>
      <c r="E254" s="59">
        <f>IF(N($AL254)&gt;0,INDEX(rIni_ADM,$AL254),"")</f>
        <v/>
      </c>
      <c r="F254" s="59">
        <f>IF(N($AL254)&gt;0,INDEX(rLim_ADM,$AL254),"")</f>
        <v/>
      </c>
      <c r="G254" s="59" t="n"/>
      <c r="H254" s="60" t="n"/>
      <c r="I254" s="60" t="n"/>
      <c r="J254" s="60" t="n"/>
      <c r="K254" s="60" t="n"/>
      <c r="L254" s="60" t="n"/>
      <c r="M254" s="61">
        <f>IF(NOT((COUNTA($B254:$D254)+COUNTA($G254:$L254)+COUNTA($Q254))&gt;0),"",IF($V254="Sub",IFERROR($X254/INDEX($W$5:$W$1000,$U254-4),""),IF(ISNUMBER($G254),1,IF(N($W254)&gt;0,AVERAGEIFS($X$5:$X$1000,$U$5:$U$1000,ROW(),$V$5:$V$1000,"Sub"),$X254))))</f>
        <v/>
      </c>
      <c r="N254" s="56">
        <f>IF(OR($M254="",$V254="Sub"),"",IF($M254&gt;=1,"Completado",IF($M254&gt;0,"En curso","Pendiente")))</f>
        <v/>
      </c>
      <c r="O254" s="56">
        <f>IF(OR(NOT((COUNTA($B254:$D254)+COUNTA($G254:$L254)+COUNTA($Q254))&gt;0),$V254="Sub"),"",IF(ISNUMBER($G254),IF(AND(ISNUMBER($AN254),$G254&gt;$AN254),"Cumplida con "&amp;($G254-$AN254)&amp;IF($G254-$AN254=1," día"," días")&amp;" de retraso","Cumplida"),IF(N($M254)&gt;=1,"Cumplida",IF(NOT(ISNUMBER($AN254)),"Sin fecha límite",IF($AN254&lt;FechaRef,"Vencida hace "&amp;(FechaRef-$AN254)&amp;IF(FechaRef-$AN254=1," día"," días"),IF($AN254=FechaRef,"Vence hoy",IF($AN254-FechaRef&lt;=DiasAlerta,"Vence en "&amp;($AN254-FechaRef)&amp;IF($AN254-FechaRef=1," día"," días"),"En plazo")))))))</f>
        <v/>
      </c>
      <c r="P254" s="62" t="n"/>
      <c r="Q254" s="58" t="n"/>
      <c r="R254" s="63">
        <f>IF(NOT((COUNTA($B254:$D254)+COUNTA($G254:$L254)+COUNTA($Q254))&gt;0),"",IF((IF($C254="","Falta el nombre de la actividad"&amp;" · ","")&amp;IF(AND($V254="Sub",N($U254)=0),"Subactividad sin macroactividad arriba"&amp;" · ","")&amp;IF($AM254="","Sin fecha de inicio"&amp;" · ","")&amp;IF($AN254="","Sin fecha límite"&amp;" · ","")&amp;IF(AND(LEFT($C254,11)="[Jefatura] ",N($AL254)=0),"No se encuentra en la hoja de la jefatura (elíjala de nuevo en la lista)"&amp;" · ","")&amp;IF(OR(AND($E254&lt;&gt;"",NOT(ISNUMBER($E254))),AND($F254&lt;&gt;"",NOT(ISNUMBER($F254))),AND($G254&lt;&gt;"",NOT(ISNUMBER($G254)))),"Fecha no válida"&amp;" · ","")&amp;IF(AND(ISNUMBER($AM254),ISNUMBER($AN254),$AM254&gt;$AN254),"Inicio posterior a fecha límite"&amp;" · ","")&amp;IF(AND($V254="Macro",$H254&lt;&gt;"",OR(NOT(ISNUMBER($H254)),$H254&lt;0,$H254&gt;1)),"Peso fuera de rango"&amp;" · ","")&amp;IF(AND($V254="Sub",$H254&lt;&gt;""),"Las subactividades no llevan peso (valen igual dentro de su macroactividad)"&amp;" · ","")&amp;IF(AND(N($W254)&gt;0,COUNT($I254:$L254)&gt;0),"Con subactividades: deje vacías las semanas (se calculan solas)"&amp;" · ","")&amp;IF((COUNTIF($I254:$L254,"&gt;1")+COUNTIF($I254:$L254,"&lt;0")+COUNTA($I254:$L254)-COUNT($I254:$L254))&gt;0,"Avance fuera de rango 0-100%"&amp;" · ","")&amp;IF(OR(AND($J254&lt;&gt;"",$J254&lt;$I254),AND($K254&lt;&gt;"",$K254&lt;MAX($I254:$J254)),AND($L254&lt;&gt;"",$L254&lt;MAX($I254:$K254))),"Avance semanal decreciente"&amp;" · ","")&amp;IF(AND(ISNUMBER($AN254),$AN254&lt;FechaRef,IF($V254="Sub",N($X254),N($M254))&lt;1),"Vencida"&amp;" · ","")&amp;IF(AND(ObsObligatoria="Sí",ISNUMBER($AN254),$AN254&lt;FechaRef,IF($V254="Sub",N($X254),N($M254))&lt;1,$Q254=""),"Vencida sin observación"&amp;" · ",""))="","✔ OK","⚠ "&amp;LEFT(IF($C254="","Falta el nombre de la actividad"&amp;" · ","")&amp;IF(AND($V254="Sub",N($U254)=0),"Subactividad sin macroactividad arriba"&amp;" · ","")&amp;IF($AM254="","Sin fecha de inicio"&amp;" · ","")&amp;IF($AN254="","Sin fecha límite"&amp;" · ","")&amp;IF(AND(LEFT($C254,11)="[Jefatura] ",N($AL254)=0),"No se encuentra en la hoja de la jefatura (elíjala de nuevo en la lista)"&amp;" · ","")&amp;IF(OR(AND($E254&lt;&gt;"",NOT(ISNUMBER($E254))),AND($F254&lt;&gt;"",NOT(ISNUMBER($F254))),AND($G254&lt;&gt;"",NOT(ISNUMBER($G254)))),"Fecha no válida"&amp;" · ","")&amp;IF(AND(ISNUMBER($AM254),ISNUMBER($AN254),$AM254&gt;$AN254),"Inicio posterior a fecha límite"&amp;" · ","")&amp;IF(AND($V254="Macro",$H254&lt;&gt;"",OR(NOT(ISNUMBER($H254)),$H254&lt;0,$H254&gt;1)),"Peso fuera de rango"&amp;" · ","")&amp;IF(AND($V254="Sub",$H254&lt;&gt;""),"Las subactividades no llevan peso (valen igual dentro de su macroactividad)"&amp;" · ","")&amp;IF(AND(N($W254)&gt;0,COUNT($I254:$L254)&gt;0),"Con subactividades: deje vacías las semanas (se calculan solas)"&amp;" · ","")&amp;IF((COUNTIF($I254:$L254,"&gt;1")+COUNTIF($I254:$L254,"&lt;0")+COUNTA($I254:$L254)-COUNT($I254:$L254))&gt;0,"Avance fuera de rango 0-100%"&amp;" · ","")&amp;IF(OR(AND($J254&lt;&gt;"",$J254&lt;$I254),AND($K254&lt;&gt;"",$K254&lt;MAX($I254:$J254)),AND($L254&lt;&gt;"",$L254&lt;MAX($I254:$K254))),"Avance semanal decreciente"&amp;" · ","")&amp;IF(AND(ISNUMBER($AN254),$AN254&lt;FechaRef,IF($V254="Sub",N($X254),N($M254))&lt;1),"Vencida"&amp;" · ","")&amp;IF(AND(ObsObligatoria="Sí",ISNUMBER($AN254),$AN254&lt;FechaRef,IF($V254="Sub",N($X254),N($M254))&lt;1,$Q254=""),"Vencida sin observación"&amp;" · ",""),LEN(IF($C254="","Falta el nombre de la actividad"&amp;" · ","")&amp;IF(AND($V254="Sub",N($U254)=0),"Subactividad sin macroactividad arriba"&amp;" · ","")&amp;IF($AM254="","Sin fecha de inicio"&amp;" · ","")&amp;IF($AN254="","Sin fecha límite"&amp;" · ","")&amp;IF(AND(LEFT($C254,11)="[Jefatura] ",N($AL254)=0),"No se encuentra en la hoja de la jefatura (elíjala de nuevo en la lista)"&amp;" · ","")&amp;IF(OR(AND($E254&lt;&gt;"",NOT(ISNUMBER($E254))),AND($F254&lt;&gt;"",NOT(ISNUMBER($F254))),AND($G254&lt;&gt;"",NOT(ISNUMBER($G254)))),"Fecha no válida"&amp;" · ","")&amp;IF(AND(ISNUMBER($AM254),ISNUMBER($AN254),$AM254&gt;$AN254),"Inicio posterior a fecha límite"&amp;" · ","")&amp;IF(AND($V254="Macro",$H254&lt;&gt;"",OR(NOT(ISNUMBER($H254)),$H254&lt;0,$H254&gt;1)),"Peso fuera de rango"&amp;" · ","")&amp;IF(AND($V254="Sub",$H254&lt;&gt;""),"Las subactividades no llevan peso (valen igual dentro de su macroactividad)"&amp;" · ","")&amp;IF(AND(N($W254)&gt;0,COUNT($I254:$L254)&gt;0),"Con subactividades: deje vacías las semanas (se calculan solas)"&amp;" · ","")&amp;IF((COUNTIF($I254:$L254,"&gt;1")+COUNTIF($I254:$L254,"&lt;0")+COUNTA($I254:$L254)-COUNT($I254:$L254))&gt;0,"Avance fuera de rango 0-100%"&amp;" · ","")&amp;IF(OR(AND($J254&lt;&gt;"",$J254&lt;$I254),AND($K254&lt;&gt;"",$K254&lt;MAX($I254:$J254)),AND($L254&lt;&gt;"",$L254&lt;MAX($I254:$K254))),"Avance semanal decreciente"&amp;" · ","")&amp;IF(AND(ISNUMBER($AN254),$AN254&lt;FechaRef,IF($V254="Sub",N($X254),N($M254))&lt;1),"Vencida"&amp;" · ","")&amp;IF(AND(ObsObligatoria="Sí",ISNUMBER($AN254),$AN254&lt;FechaRef,IF($V254="Sub",N($X254),N($M254))&lt;1,$Q254=""),"Vencida sin observación"&amp;" · ",""))-3)))</f>
        <v/>
      </c>
      <c r="S254" s="64">
        <f>IF(NOT((COUNTA($B254:$D254)+COUNTA($G254:$L254)+COUNTA($Q254))&gt;0),"",IF(AND($V254="Sub",N($U254)&gt;0),IF(ISNUMBER(INDEX($AM$5:$AM$1000,$U254-4)),DATE(YEAR(INDEX($AM$5:$AM$1000,$U254-4)),MONTH(INDEX($AM$5:$AM$1000,$U254-4)),1),IF(ISNUMBER(INDEX($AN$5:$AN$1000,$U254-4)),DATE(YEAR(INDEX($AN$5:$AN$1000,$U254-4)),MONTH(INDEX($AN$5:$AN$1000,$U254-4)),1),MesCiclo)),IF(ISNUMBER($AM254),DATE(YEAR($AM254),MONTH($AM254),1),IF(ISNUMBER($AN254),DATE(YEAR($AN254),MONTH($AN254),1),MesCiclo))))</f>
        <v/>
      </c>
      <c r="T254" s="62">
        <f>IF(OR($S254="",$S254&lt;&gt;MesCiclo,$V254&lt;&gt;"Macro"),"",COUNTIFS($S$5:$S254,MesCiclo,$V$5:$V254,"Macro"))</f>
        <v/>
      </c>
      <c r="U254" s="62">
        <f>IF($V254="","",IF($V254="Macro",ROW(),IFERROR(LOOKUP(2,1/($V$5:$V254="Macro"),ROW($V$5:$V254)),0)))</f>
        <v/>
      </c>
      <c r="V254" s="62">
        <f>IF(NOT((COUNTA($B254:$D254)+COUNTA($G254:$L254)+COUNTA($Q254))&gt;0),"",IF($B254="Subactividad","Sub","Macro"))</f>
        <v/>
      </c>
      <c r="W254" s="62">
        <f>IF($V254="Macro",COUNTIFS($U$5:$U$1000,ROW(),$V$5:$V$1000,"Sub"),"")</f>
        <v/>
      </c>
      <c r="X254" s="62">
        <f>IF($V254="","",IF(ISNUMBER($G254),1,IFERROR(LOOKUP(2,1/($I254:$L254&lt;&gt;""),$I254:$L254),0)))</f>
        <v/>
      </c>
      <c r="Y254" s="62">
        <f>IF($V254="","",IF(AND(ISNUMBER($G254),$G254&lt;=IF($S254=MesCiclo,InicioCiclo,$S254+MOD(2-WEEKDAY($S254),7))+6),1,IF(ISNUMBER($I254),$I254,0)))</f>
        <v/>
      </c>
      <c r="Z254" s="62">
        <f>IF($V254="","",IF(AND(ISNUMBER($G254),$G254&lt;=IF($S254=MesCiclo,InicioCiclo,$S254+MOD(2-WEEKDAY($S254),7))+13),1,IF(ISNUMBER($J254),$J254,$Y254)))</f>
        <v/>
      </c>
      <c r="AA254" s="62">
        <f>IF($V254="","",IF(AND(ISNUMBER($G254),$G254&lt;=IF($S254=MesCiclo,InicioCiclo,$S254+MOD(2-WEEKDAY($S254),7))+20),1,IF(ISNUMBER($K254),$K254,$Z254)))</f>
        <v/>
      </c>
      <c r="AB254" s="62">
        <f>IF($V254="","",IF(AND(ISNUMBER($G254),$G254&lt;=IF($S254=MesCiclo,InicioCiclo,$S254+MOD(2-WEEKDAY($S254),7))+27),1,IF(ISNUMBER($L254),$L254,$AA254)))</f>
        <v/>
      </c>
      <c r="AC254" s="62">
        <f>IF($V254="","",IF(AND(ISNUMBER($G254),$G254&lt;=IF($S254=MesCiclo,InicioCiclo,$S254+MOD(2-WEEKDAY($S254),7))+6),1,IF(N($W254)&gt;0,AVERAGEIFS($Y$5:$Y$1000,$U$5:$U$1000,ROW(),$V$5:$V$1000,"Sub"),$Y254)))</f>
        <v/>
      </c>
      <c r="AD254" s="62">
        <f>IF($V254="","",IF(AND(ISNUMBER($G254),$G254&lt;=IF($S254=MesCiclo,InicioCiclo,$S254+MOD(2-WEEKDAY($S254),7))+13),1,IF(N($W254)&gt;0,AVERAGEIFS($Z$5:$Z$1000,$U$5:$U$1000,ROW(),$V$5:$V$1000,"Sub"),$Z254)))</f>
        <v/>
      </c>
      <c r="AE254" s="62">
        <f>IF($V254="","",IF(AND(ISNUMBER($G254),$G254&lt;=IF($S254=MesCiclo,InicioCiclo,$S254+MOD(2-WEEKDAY($S254),7))+20),1,IF(N($W254)&gt;0,AVERAGEIFS($AA$5:$AA$1000,$U$5:$U$1000,ROW(),$V$5:$V$1000,"Sub"),$AA254)))</f>
        <v/>
      </c>
      <c r="AF254" s="62">
        <f>IF($V254="","",IF(AND(ISNUMBER($G254),$G254&lt;=IF($S254=MesCiclo,InicioCiclo,$S254+MOD(2-WEEKDAY($S254),7))+27),1,IF(N($W254)&gt;0,AVERAGEIFS($AB$5:$AB$1000,$U$5:$U$1000,ROW(),$V$5:$V$1000,"Sub"),$AB254)))</f>
        <v/>
      </c>
      <c r="AG254" s="62">
        <f>IF($V254&lt;&gt;"Macro","",IF(COUNTIFS($S$5:$S$1000,$S254,$V$5:$V$1000,"Macro",$H$5:$H$1000,"&gt;0")=0,1/COUNTIFS($S$5:$S$1000,$S254,$V$5:$V$1000,"Macro"),IF(AND(ISNUMBER($H254),N($H254)&gt;0),$H254,SUMIFS($H$5:$H$1000,$S$5:$S$1000,$S254,$V$5:$V$1000,"Macro")/COUNTIFS($S$5:$S$1000,$S254,$V$5:$V$1000,"Macro",$H$5:$H$1000,"&gt;0"))/(COUNTIFS($S$5:$S$1000,$S254,$V$5:$V$1000,"Macro")*SUMIFS($H$5:$H$1000,$S$5:$S$1000,$S254,$V$5:$V$1000,"Macro")/COUNTIFS($S$5:$S$1000,$S254,$V$5:$V$1000,"Macro",$H$5:$H$1000,"&gt;0"))))</f>
        <v/>
      </c>
      <c r="AH254" s="62" t="n"/>
      <c r="AI254" s="62" t="n"/>
      <c r="AJ254" s="62" t="n"/>
      <c r="AK254" s="62" t="n"/>
      <c r="AL254" s="62">
        <f>IF(LEFT($C254,11)="[Jefatura] ",IFERROR(MATCH("Riesgo Financiero|"&amp;MID($C254,12,500),rDname_ADM,0),0),"")</f>
        <v/>
      </c>
      <c r="AM254" s="62">
        <f>IF(N($AL254)&gt;0,INDEX(rIni_ADM,$AL254),IF(ISNUMBER($E254),$E254,""))</f>
        <v/>
      </c>
      <c r="AN254" s="62">
        <f>IF(N($AL254)&gt;0,INDEX(rLim_ADM,$AL254),IF(ISNUMBER($F254),$F254,""))</f>
        <v/>
      </c>
    </row>
    <row r="255">
      <c r="A255" s="56">
        <f>IF(NOT((COUNTA($B255:$D255)+COUNTA($G255:$L255)+COUNTA($Q255))&gt;0),"",IF($V255="Macro",COUNTIFS($V$5:$V255,"Macro",$S$5:$S255,$S255),IF(N($U255)=0,"?",COUNTIFS(INDEX($V$5:$V$1000,1):INDEX($V$5:$V$1000,$U255-4),"Macro",INDEX($S$5:$S$1000,1):INDEX($S$5:$S$1000,$U255-4),INDEX($S$5:$S$1000,$U255-4))&amp;"."&amp;COUNTIFS($U$5:$U255,$U255,$V$5:$V255,"Sub"))))</f>
        <v/>
      </c>
      <c r="B255" s="57" t="n"/>
      <c r="C255" s="58" t="n"/>
      <c r="D255" s="58" t="n"/>
      <c r="E255" s="59">
        <f>IF(N($AL255)&gt;0,INDEX(rIni_ADM,$AL255),"")</f>
        <v/>
      </c>
      <c r="F255" s="59">
        <f>IF(N($AL255)&gt;0,INDEX(rLim_ADM,$AL255),"")</f>
        <v/>
      </c>
      <c r="G255" s="59" t="n"/>
      <c r="H255" s="60" t="n"/>
      <c r="I255" s="60" t="n"/>
      <c r="J255" s="60" t="n"/>
      <c r="K255" s="60" t="n"/>
      <c r="L255" s="60" t="n"/>
      <c r="M255" s="61">
        <f>IF(NOT((COUNTA($B255:$D255)+COUNTA($G255:$L255)+COUNTA($Q255))&gt;0),"",IF($V255="Sub",IFERROR($X255/INDEX($W$5:$W$1000,$U255-4),""),IF(ISNUMBER($G255),1,IF(N($W255)&gt;0,AVERAGEIFS($X$5:$X$1000,$U$5:$U$1000,ROW(),$V$5:$V$1000,"Sub"),$X255))))</f>
        <v/>
      </c>
      <c r="N255" s="56">
        <f>IF(OR($M255="",$V255="Sub"),"",IF($M255&gt;=1,"Completado",IF($M255&gt;0,"En curso","Pendiente")))</f>
        <v/>
      </c>
      <c r="O255" s="56">
        <f>IF(OR(NOT((COUNTA($B255:$D255)+COUNTA($G255:$L255)+COUNTA($Q255))&gt;0),$V255="Sub"),"",IF(ISNUMBER($G255),IF(AND(ISNUMBER($AN255),$G255&gt;$AN255),"Cumplida con "&amp;($G255-$AN255)&amp;IF($G255-$AN255=1," día"," días")&amp;" de retraso","Cumplida"),IF(N($M255)&gt;=1,"Cumplida",IF(NOT(ISNUMBER($AN255)),"Sin fecha límite",IF($AN255&lt;FechaRef,"Vencida hace "&amp;(FechaRef-$AN255)&amp;IF(FechaRef-$AN255=1," día"," días"),IF($AN255=FechaRef,"Vence hoy",IF($AN255-FechaRef&lt;=DiasAlerta,"Vence en "&amp;($AN255-FechaRef)&amp;IF($AN255-FechaRef=1," día"," días"),"En plazo")))))))</f>
        <v/>
      </c>
      <c r="P255" s="62" t="n"/>
      <c r="Q255" s="58" t="n"/>
      <c r="R255" s="63">
        <f>IF(NOT((COUNTA($B255:$D255)+COUNTA($G255:$L255)+COUNTA($Q255))&gt;0),"",IF((IF($C255="","Falta el nombre de la actividad"&amp;" · ","")&amp;IF(AND($V255="Sub",N($U255)=0),"Subactividad sin macroactividad arriba"&amp;" · ","")&amp;IF($AM255="","Sin fecha de inicio"&amp;" · ","")&amp;IF($AN255="","Sin fecha límite"&amp;" · ","")&amp;IF(AND(LEFT($C255,11)="[Jefatura] ",N($AL255)=0),"No se encuentra en la hoja de la jefatura (elíjala de nuevo en la lista)"&amp;" · ","")&amp;IF(OR(AND($E255&lt;&gt;"",NOT(ISNUMBER($E255))),AND($F255&lt;&gt;"",NOT(ISNUMBER($F255))),AND($G255&lt;&gt;"",NOT(ISNUMBER($G255)))),"Fecha no válida"&amp;" · ","")&amp;IF(AND(ISNUMBER($AM255),ISNUMBER($AN255),$AM255&gt;$AN255),"Inicio posterior a fecha límite"&amp;" · ","")&amp;IF(AND($V255="Macro",$H255&lt;&gt;"",OR(NOT(ISNUMBER($H255)),$H255&lt;0,$H255&gt;1)),"Peso fuera de rango"&amp;" · ","")&amp;IF(AND($V255="Sub",$H255&lt;&gt;""),"Las subactividades no llevan peso (valen igual dentro de su macroactividad)"&amp;" · ","")&amp;IF(AND(N($W255)&gt;0,COUNT($I255:$L255)&gt;0),"Con subactividades: deje vacías las semanas (se calculan solas)"&amp;" · ","")&amp;IF((COUNTIF($I255:$L255,"&gt;1")+COUNTIF($I255:$L255,"&lt;0")+COUNTA($I255:$L255)-COUNT($I255:$L255))&gt;0,"Avance fuera de rango 0-100%"&amp;" · ","")&amp;IF(OR(AND($J255&lt;&gt;"",$J255&lt;$I255),AND($K255&lt;&gt;"",$K255&lt;MAX($I255:$J255)),AND($L255&lt;&gt;"",$L255&lt;MAX($I255:$K255))),"Avance semanal decreciente"&amp;" · ","")&amp;IF(AND(ISNUMBER($AN255),$AN255&lt;FechaRef,IF($V255="Sub",N($X255),N($M255))&lt;1),"Vencida"&amp;" · ","")&amp;IF(AND(ObsObligatoria="Sí",ISNUMBER($AN255),$AN255&lt;FechaRef,IF($V255="Sub",N($X255),N($M255))&lt;1,$Q255=""),"Vencida sin observación"&amp;" · ",""))="","✔ OK","⚠ "&amp;LEFT(IF($C255="","Falta el nombre de la actividad"&amp;" · ","")&amp;IF(AND($V255="Sub",N($U255)=0),"Subactividad sin macroactividad arriba"&amp;" · ","")&amp;IF($AM255="","Sin fecha de inicio"&amp;" · ","")&amp;IF($AN255="","Sin fecha límite"&amp;" · ","")&amp;IF(AND(LEFT($C255,11)="[Jefatura] ",N($AL255)=0),"No se encuentra en la hoja de la jefatura (elíjala de nuevo en la lista)"&amp;" · ","")&amp;IF(OR(AND($E255&lt;&gt;"",NOT(ISNUMBER($E255))),AND($F255&lt;&gt;"",NOT(ISNUMBER($F255))),AND($G255&lt;&gt;"",NOT(ISNUMBER($G255)))),"Fecha no válida"&amp;" · ","")&amp;IF(AND(ISNUMBER($AM255),ISNUMBER($AN255),$AM255&gt;$AN255),"Inicio posterior a fecha límite"&amp;" · ","")&amp;IF(AND($V255="Macro",$H255&lt;&gt;"",OR(NOT(ISNUMBER($H255)),$H255&lt;0,$H255&gt;1)),"Peso fuera de rango"&amp;" · ","")&amp;IF(AND($V255="Sub",$H255&lt;&gt;""),"Las subactividades no llevan peso (valen igual dentro de su macroactividad)"&amp;" · ","")&amp;IF(AND(N($W255)&gt;0,COUNT($I255:$L255)&gt;0),"Con subactividades: deje vacías las semanas (se calculan solas)"&amp;" · ","")&amp;IF((COUNTIF($I255:$L255,"&gt;1")+COUNTIF($I255:$L255,"&lt;0")+COUNTA($I255:$L255)-COUNT($I255:$L255))&gt;0,"Avance fuera de rango 0-100%"&amp;" · ","")&amp;IF(OR(AND($J255&lt;&gt;"",$J255&lt;$I255),AND($K255&lt;&gt;"",$K255&lt;MAX($I255:$J255)),AND($L255&lt;&gt;"",$L255&lt;MAX($I255:$K255))),"Avance semanal decreciente"&amp;" · ","")&amp;IF(AND(ISNUMBER($AN255),$AN255&lt;FechaRef,IF($V255="Sub",N($X255),N($M255))&lt;1),"Vencida"&amp;" · ","")&amp;IF(AND(ObsObligatoria="Sí",ISNUMBER($AN255),$AN255&lt;FechaRef,IF($V255="Sub",N($X255),N($M255))&lt;1,$Q255=""),"Vencida sin observación"&amp;" · ",""),LEN(IF($C255="","Falta el nombre de la actividad"&amp;" · ","")&amp;IF(AND($V255="Sub",N($U255)=0),"Subactividad sin macroactividad arriba"&amp;" · ","")&amp;IF($AM255="","Sin fecha de inicio"&amp;" · ","")&amp;IF($AN255="","Sin fecha límite"&amp;" · ","")&amp;IF(AND(LEFT($C255,11)="[Jefatura] ",N($AL255)=0),"No se encuentra en la hoja de la jefatura (elíjala de nuevo en la lista)"&amp;" · ","")&amp;IF(OR(AND($E255&lt;&gt;"",NOT(ISNUMBER($E255))),AND($F255&lt;&gt;"",NOT(ISNUMBER($F255))),AND($G255&lt;&gt;"",NOT(ISNUMBER($G255)))),"Fecha no válida"&amp;" · ","")&amp;IF(AND(ISNUMBER($AM255),ISNUMBER($AN255),$AM255&gt;$AN255),"Inicio posterior a fecha límite"&amp;" · ","")&amp;IF(AND($V255="Macro",$H255&lt;&gt;"",OR(NOT(ISNUMBER($H255)),$H255&lt;0,$H255&gt;1)),"Peso fuera de rango"&amp;" · ","")&amp;IF(AND($V255="Sub",$H255&lt;&gt;""),"Las subactividades no llevan peso (valen igual dentro de su macroactividad)"&amp;" · ","")&amp;IF(AND(N($W255)&gt;0,COUNT($I255:$L255)&gt;0),"Con subactividades: deje vacías las semanas (se calculan solas)"&amp;" · ","")&amp;IF((COUNTIF($I255:$L255,"&gt;1")+COUNTIF($I255:$L255,"&lt;0")+COUNTA($I255:$L255)-COUNT($I255:$L255))&gt;0,"Avance fuera de rango 0-100%"&amp;" · ","")&amp;IF(OR(AND($J255&lt;&gt;"",$J255&lt;$I255),AND($K255&lt;&gt;"",$K255&lt;MAX($I255:$J255)),AND($L255&lt;&gt;"",$L255&lt;MAX($I255:$K255))),"Avance semanal decreciente"&amp;" · ","")&amp;IF(AND(ISNUMBER($AN255),$AN255&lt;FechaRef,IF($V255="Sub",N($X255),N($M255))&lt;1),"Vencida"&amp;" · ","")&amp;IF(AND(ObsObligatoria="Sí",ISNUMBER($AN255),$AN255&lt;FechaRef,IF($V255="Sub",N($X255),N($M255))&lt;1,$Q255=""),"Vencida sin observación"&amp;" · ",""))-3)))</f>
        <v/>
      </c>
      <c r="S255" s="64">
        <f>IF(NOT((COUNTA($B255:$D255)+COUNTA($G255:$L255)+COUNTA($Q255))&gt;0),"",IF(AND($V255="Sub",N($U255)&gt;0),IF(ISNUMBER(INDEX($AM$5:$AM$1000,$U255-4)),DATE(YEAR(INDEX($AM$5:$AM$1000,$U255-4)),MONTH(INDEX($AM$5:$AM$1000,$U255-4)),1),IF(ISNUMBER(INDEX($AN$5:$AN$1000,$U255-4)),DATE(YEAR(INDEX($AN$5:$AN$1000,$U255-4)),MONTH(INDEX($AN$5:$AN$1000,$U255-4)),1),MesCiclo)),IF(ISNUMBER($AM255),DATE(YEAR($AM255),MONTH($AM255),1),IF(ISNUMBER($AN255),DATE(YEAR($AN255),MONTH($AN255),1),MesCiclo))))</f>
        <v/>
      </c>
      <c r="T255" s="62">
        <f>IF(OR($S255="",$S255&lt;&gt;MesCiclo,$V255&lt;&gt;"Macro"),"",COUNTIFS($S$5:$S255,MesCiclo,$V$5:$V255,"Macro"))</f>
        <v/>
      </c>
      <c r="U255" s="62">
        <f>IF($V255="","",IF($V255="Macro",ROW(),IFERROR(LOOKUP(2,1/($V$5:$V255="Macro"),ROW($V$5:$V255)),0)))</f>
        <v/>
      </c>
      <c r="V255" s="62">
        <f>IF(NOT((COUNTA($B255:$D255)+COUNTA($G255:$L255)+COUNTA($Q255))&gt;0),"",IF($B255="Subactividad","Sub","Macro"))</f>
        <v/>
      </c>
      <c r="W255" s="62">
        <f>IF($V255="Macro",COUNTIFS($U$5:$U$1000,ROW(),$V$5:$V$1000,"Sub"),"")</f>
        <v/>
      </c>
      <c r="X255" s="62">
        <f>IF($V255="","",IF(ISNUMBER($G255),1,IFERROR(LOOKUP(2,1/($I255:$L255&lt;&gt;""),$I255:$L255),0)))</f>
        <v/>
      </c>
      <c r="Y255" s="62">
        <f>IF($V255="","",IF(AND(ISNUMBER($G255),$G255&lt;=IF($S255=MesCiclo,InicioCiclo,$S255+MOD(2-WEEKDAY($S255),7))+6),1,IF(ISNUMBER($I255),$I255,0)))</f>
        <v/>
      </c>
      <c r="Z255" s="62">
        <f>IF($V255="","",IF(AND(ISNUMBER($G255),$G255&lt;=IF($S255=MesCiclo,InicioCiclo,$S255+MOD(2-WEEKDAY($S255),7))+13),1,IF(ISNUMBER($J255),$J255,$Y255)))</f>
        <v/>
      </c>
      <c r="AA255" s="62">
        <f>IF($V255="","",IF(AND(ISNUMBER($G255),$G255&lt;=IF($S255=MesCiclo,InicioCiclo,$S255+MOD(2-WEEKDAY($S255),7))+20),1,IF(ISNUMBER($K255),$K255,$Z255)))</f>
        <v/>
      </c>
      <c r="AB255" s="62">
        <f>IF($V255="","",IF(AND(ISNUMBER($G255),$G255&lt;=IF($S255=MesCiclo,InicioCiclo,$S255+MOD(2-WEEKDAY($S255),7))+27),1,IF(ISNUMBER($L255),$L255,$AA255)))</f>
        <v/>
      </c>
      <c r="AC255" s="62">
        <f>IF($V255="","",IF(AND(ISNUMBER($G255),$G255&lt;=IF($S255=MesCiclo,InicioCiclo,$S255+MOD(2-WEEKDAY($S255),7))+6),1,IF(N($W255)&gt;0,AVERAGEIFS($Y$5:$Y$1000,$U$5:$U$1000,ROW(),$V$5:$V$1000,"Sub"),$Y255)))</f>
        <v/>
      </c>
      <c r="AD255" s="62">
        <f>IF($V255="","",IF(AND(ISNUMBER($G255),$G255&lt;=IF($S255=MesCiclo,InicioCiclo,$S255+MOD(2-WEEKDAY($S255),7))+13),1,IF(N($W255)&gt;0,AVERAGEIFS($Z$5:$Z$1000,$U$5:$U$1000,ROW(),$V$5:$V$1000,"Sub"),$Z255)))</f>
        <v/>
      </c>
      <c r="AE255" s="62">
        <f>IF($V255="","",IF(AND(ISNUMBER($G255),$G255&lt;=IF($S255=MesCiclo,InicioCiclo,$S255+MOD(2-WEEKDAY($S255),7))+20),1,IF(N($W255)&gt;0,AVERAGEIFS($AA$5:$AA$1000,$U$5:$U$1000,ROW(),$V$5:$V$1000,"Sub"),$AA255)))</f>
        <v/>
      </c>
      <c r="AF255" s="62">
        <f>IF($V255="","",IF(AND(ISNUMBER($G255),$G255&lt;=IF($S255=MesCiclo,InicioCiclo,$S255+MOD(2-WEEKDAY($S255),7))+27),1,IF(N($W255)&gt;0,AVERAGEIFS($AB$5:$AB$1000,$U$5:$U$1000,ROW(),$V$5:$V$1000,"Sub"),$AB255)))</f>
        <v/>
      </c>
      <c r="AG255" s="62">
        <f>IF($V255&lt;&gt;"Macro","",IF(COUNTIFS($S$5:$S$1000,$S255,$V$5:$V$1000,"Macro",$H$5:$H$1000,"&gt;0")=0,1/COUNTIFS($S$5:$S$1000,$S255,$V$5:$V$1000,"Macro"),IF(AND(ISNUMBER($H255),N($H255)&gt;0),$H255,SUMIFS($H$5:$H$1000,$S$5:$S$1000,$S255,$V$5:$V$1000,"Macro")/COUNTIFS($S$5:$S$1000,$S255,$V$5:$V$1000,"Macro",$H$5:$H$1000,"&gt;0"))/(COUNTIFS($S$5:$S$1000,$S255,$V$5:$V$1000,"Macro")*SUMIFS($H$5:$H$1000,$S$5:$S$1000,$S255,$V$5:$V$1000,"Macro")/COUNTIFS($S$5:$S$1000,$S255,$V$5:$V$1000,"Macro",$H$5:$H$1000,"&gt;0"))))</f>
        <v/>
      </c>
      <c r="AH255" s="62" t="n"/>
      <c r="AI255" s="62" t="n"/>
      <c r="AJ255" s="62" t="n"/>
      <c r="AK255" s="62" t="n"/>
      <c r="AL255" s="62">
        <f>IF(LEFT($C255,11)="[Jefatura] ",IFERROR(MATCH("Riesgo Financiero|"&amp;MID($C255,12,500),rDname_ADM,0),0),"")</f>
        <v/>
      </c>
      <c r="AM255" s="62">
        <f>IF(N($AL255)&gt;0,INDEX(rIni_ADM,$AL255),IF(ISNUMBER($E255),$E255,""))</f>
        <v/>
      </c>
      <c r="AN255" s="62">
        <f>IF(N($AL255)&gt;0,INDEX(rLim_ADM,$AL255),IF(ISNUMBER($F255),$F255,""))</f>
        <v/>
      </c>
    </row>
    <row r="256">
      <c r="A256" s="56">
        <f>IF(NOT((COUNTA($B256:$D256)+COUNTA($G256:$L256)+COUNTA($Q256))&gt;0),"",IF($V256="Macro",COUNTIFS($V$5:$V256,"Macro",$S$5:$S256,$S256),IF(N($U256)=0,"?",COUNTIFS(INDEX($V$5:$V$1000,1):INDEX($V$5:$V$1000,$U256-4),"Macro",INDEX($S$5:$S$1000,1):INDEX($S$5:$S$1000,$U256-4),INDEX($S$5:$S$1000,$U256-4))&amp;"."&amp;COUNTIFS($U$5:$U256,$U256,$V$5:$V256,"Sub"))))</f>
        <v/>
      </c>
      <c r="B256" s="57" t="n"/>
      <c r="C256" s="58" t="n"/>
      <c r="D256" s="58" t="n"/>
      <c r="E256" s="59">
        <f>IF(N($AL256)&gt;0,INDEX(rIni_ADM,$AL256),"")</f>
        <v/>
      </c>
      <c r="F256" s="59">
        <f>IF(N($AL256)&gt;0,INDEX(rLim_ADM,$AL256),"")</f>
        <v/>
      </c>
      <c r="G256" s="59" t="n"/>
      <c r="H256" s="60" t="n"/>
      <c r="I256" s="60" t="n"/>
      <c r="J256" s="60" t="n"/>
      <c r="K256" s="60" t="n"/>
      <c r="L256" s="60" t="n"/>
      <c r="M256" s="61">
        <f>IF(NOT((COUNTA($B256:$D256)+COUNTA($G256:$L256)+COUNTA($Q256))&gt;0),"",IF($V256="Sub",IFERROR($X256/INDEX($W$5:$W$1000,$U256-4),""),IF(ISNUMBER($G256),1,IF(N($W256)&gt;0,AVERAGEIFS($X$5:$X$1000,$U$5:$U$1000,ROW(),$V$5:$V$1000,"Sub"),$X256))))</f>
        <v/>
      </c>
      <c r="N256" s="56">
        <f>IF(OR($M256="",$V256="Sub"),"",IF($M256&gt;=1,"Completado",IF($M256&gt;0,"En curso","Pendiente")))</f>
        <v/>
      </c>
      <c r="O256" s="56">
        <f>IF(OR(NOT((COUNTA($B256:$D256)+COUNTA($G256:$L256)+COUNTA($Q256))&gt;0),$V256="Sub"),"",IF(ISNUMBER($G256),IF(AND(ISNUMBER($AN256),$G256&gt;$AN256),"Cumplida con "&amp;($G256-$AN256)&amp;IF($G256-$AN256=1," día"," días")&amp;" de retraso","Cumplida"),IF(N($M256)&gt;=1,"Cumplida",IF(NOT(ISNUMBER($AN256)),"Sin fecha límite",IF($AN256&lt;FechaRef,"Vencida hace "&amp;(FechaRef-$AN256)&amp;IF(FechaRef-$AN256=1," día"," días"),IF($AN256=FechaRef,"Vence hoy",IF($AN256-FechaRef&lt;=DiasAlerta,"Vence en "&amp;($AN256-FechaRef)&amp;IF($AN256-FechaRef=1," día"," días"),"En plazo")))))))</f>
        <v/>
      </c>
      <c r="P256" s="62" t="n"/>
      <c r="Q256" s="58" t="n"/>
      <c r="R256" s="63">
        <f>IF(NOT((COUNTA($B256:$D256)+COUNTA($G256:$L256)+COUNTA($Q256))&gt;0),"",IF((IF($C256="","Falta el nombre de la actividad"&amp;" · ","")&amp;IF(AND($V256="Sub",N($U256)=0),"Subactividad sin macroactividad arriba"&amp;" · ","")&amp;IF($AM256="","Sin fecha de inicio"&amp;" · ","")&amp;IF($AN256="","Sin fecha límite"&amp;" · ","")&amp;IF(AND(LEFT($C256,11)="[Jefatura] ",N($AL256)=0),"No se encuentra en la hoja de la jefatura (elíjala de nuevo en la lista)"&amp;" · ","")&amp;IF(OR(AND($E256&lt;&gt;"",NOT(ISNUMBER($E256))),AND($F256&lt;&gt;"",NOT(ISNUMBER($F256))),AND($G256&lt;&gt;"",NOT(ISNUMBER($G256)))),"Fecha no válida"&amp;" · ","")&amp;IF(AND(ISNUMBER($AM256),ISNUMBER($AN256),$AM256&gt;$AN256),"Inicio posterior a fecha límite"&amp;" · ","")&amp;IF(AND($V256="Macro",$H256&lt;&gt;"",OR(NOT(ISNUMBER($H256)),$H256&lt;0,$H256&gt;1)),"Peso fuera de rango"&amp;" · ","")&amp;IF(AND($V256="Sub",$H256&lt;&gt;""),"Las subactividades no llevan peso (valen igual dentro de su macroactividad)"&amp;" · ","")&amp;IF(AND(N($W256)&gt;0,COUNT($I256:$L256)&gt;0),"Con subactividades: deje vacías las semanas (se calculan solas)"&amp;" · ","")&amp;IF((COUNTIF($I256:$L256,"&gt;1")+COUNTIF($I256:$L256,"&lt;0")+COUNTA($I256:$L256)-COUNT($I256:$L256))&gt;0,"Avance fuera de rango 0-100%"&amp;" · ","")&amp;IF(OR(AND($J256&lt;&gt;"",$J256&lt;$I256),AND($K256&lt;&gt;"",$K256&lt;MAX($I256:$J256)),AND($L256&lt;&gt;"",$L256&lt;MAX($I256:$K256))),"Avance semanal decreciente"&amp;" · ","")&amp;IF(AND(ISNUMBER($AN256),$AN256&lt;FechaRef,IF($V256="Sub",N($X256),N($M256))&lt;1),"Vencida"&amp;" · ","")&amp;IF(AND(ObsObligatoria="Sí",ISNUMBER($AN256),$AN256&lt;FechaRef,IF($V256="Sub",N($X256),N($M256))&lt;1,$Q256=""),"Vencida sin observación"&amp;" · ",""))="","✔ OK","⚠ "&amp;LEFT(IF($C256="","Falta el nombre de la actividad"&amp;" · ","")&amp;IF(AND($V256="Sub",N($U256)=0),"Subactividad sin macroactividad arriba"&amp;" · ","")&amp;IF($AM256="","Sin fecha de inicio"&amp;" · ","")&amp;IF($AN256="","Sin fecha límite"&amp;" · ","")&amp;IF(AND(LEFT($C256,11)="[Jefatura] ",N($AL256)=0),"No se encuentra en la hoja de la jefatura (elíjala de nuevo en la lista)"&amp;" · ","")&amp;IF(OR(AND($E256&lt;&gt;"",NOT(ISNUMBER($E256))),AND($F256&lt;&gt;"",NOT(ISNUMBER($F256))),AND($G256&lt;&gt;"",NOT(ISNUMBER($G256)))),"Fecha no válida"&amp;" · ","")&amp;IF(AND(ISNUMBER($AM256),ISNUMBER($AN256),$AM256&gt;$AN256),"Inicio posterior a fecha límite"&amp;" · ","")&amp;IF(AND($V256="Macro",$H256&lt;&gt;"",OR(NOT(ISNUMBER($H256)),$H256&lt;0,$H256&gt;1)),"Peso fuera de rango"&amp;" · ","")&amp;IF(AND($V256="Sub",$H256&lt;&gt;""),"Las subactividades no llevan peso (valen igual dentro de su macroactividad)"&amp;" · ","")&amp;IF(AND(N($W256)&gt;0,COUNT($I256:$L256)&gt;0),"Con subactividades: deje vacías las semanas (se calculan solas)"&amp;" · ","")&amp;IF((COUNTIF($I256:$L256,"&gt;1")+COUNTIF($I256:$L256,"&lt;0")+COUNTA($I256:$L256)-COUNT($I256:$L256))&gt;0,"Avance fuera de rango 0-100%"&amp;" · ","")&amp;IF(OR(AND($J256&lt;&gt;"",$J256&lt;$I256),AND($K256&lt;&gt;"",$K256&lt;MAX($I256:$J256)),AND($L256&lt;&gt;"",$L256&lt;MAX($I256:$K256))),"Avance semanal decreciente"&amp;" · ","")&amp;IF(AND(ISNUMBER($AN256),$AN256&lt;FechaRef,IF($V256="Sub",N($X256),N($M256))&lt;1),"Vencida"&amp;" · ","")&amp;IF(AND(ObsObligatoria="Sí",ISNUMBER($AN256),$AN256&lt;FechaRef,IF($V256="Sub",N($X256),N($M256))&lt;1,$Q256=""),"Vencida sin observación"&amp;" · ",""),LEN(IF($C256="","Falta el nombre de la actividad"&amp;" · ","")&amp;IF(AND($V256="Sub",N($U256)=0),"Subactividad sin macroactividad arriba"&amp;" · ","")&amp;IF($AM256="","Sin fecha de inicio"&amp;" · ","")&amp;IF($AN256="","Sin fecha límite"&amp;" · ","")&amp;IF(AND(LEFT($C256,11)="[Jefatura] ",N($AL256)=0),"No se encuentra en la hoja de la jefatura (elíjala de nuevo en la lista)"&amp;" · ","")&amp;IF(OR(AND($E256&lt;&gt;"",NOT(ISNUMBER($E256))),AND($F256&lt;&gt;"",NOT(ISNUMBER($F256))),AND($G256&lt;&gt;"",NOT(ISNUMBER($G256)))),"Fecha no válida"&amp;" · ","")&amp;IF(AND(ISNUMBER($AM256),ISNUMBER($AN256),$AM256&gt;$AN256),"Inicio posterior a fecha límite"&amp;" · ","")&amp;IF(AND($V256="Macro",$H256&lt;&gt;"",OR(NOT(ISNUMBER($H256)),$H256&lt;0,$H256&gt;1)),"Peso fuera de rango"&amp;" · ","")&amp;IF(AND($V256="Sub",$H256&lt;&gt;""),"Las subactividades no llevan peso (valen igual dentro de su macroactividad)"&amp;" · ","")&amp;IF(AND(N($W256)&gt;0,COUNT($I256:$L256)&gt;0),"Con subactividades: deje vacías las semanas (se calculan solas)"&amp;" · ","")&amp;IF((COUNTIF($I256:$L256,"&gt;1")+COUNTIF($I256:$L256,"&lt;0")+COUNTA($I256:$L256)-COUNT($I256:$L256))&gt;0,"Avance fuera de rango 0-100%"&amp;" · ","")&amp;IF(OR(AND($J256&lt;&gt;"",$J256&lt;$I256),AND($K256&lt;&gt;"",$K256&lt;MAX($I256:$J256)),AND($L256&lt;&gt;"",$L256&lt;MAX($I256:$K256))),"Avance semanal decreciente"&amp;" · ","")&amp;IF(AND(ISNUMBER($AN256),$AN256&lt;FechaRef,IF($V256="Sub",N($X256),N($M256))&lt;1),"Vencida"&amp;" · ","")&amp;IF(AND(ObsObligatoria="Sí",ISNUMBER($AN256),$AN256&lt;FechaRef,IF($V256="Sub",N($X256),N($M256))&lt;1,$Q256=""),"Vencida sin observación"&amp;" · ",""))-3)))</f>
        <v/>
      </c>
      <c r="S256" s="64">
        <f>IF(NOT((COUNTA($B256:$D256)+COUNTA($G256:$L256)+COUNTA($Q256))&gt;0),"",IF(AND($V256="Sub",N($U256)&gt;0),IF(ISNUMBER(INDEX($AM$5:$AM$1000,$U256-4)),DATE(YEAR(INDEX($AM$5:$AM$1000,$U256-4)),MONTH(INDEX($AM$5:$AM$1000,$U256-4)),1),IF(ISNUMBER(INDEX($AN$5:$AN$1000,$U256-4)),DATE(YEAR(INDEX($AN$5:$AN$1000,$U256-4)),MONTH(INDEX($AN$5:$AN$1000,$U256-4)),1),MesCiclo)),IF(ISNUMBER($AM256),DATE(YEAR($AM256),MONTH($AM256),1),IF(ISNUMBER($AN256),DATE(YEAR($AN256),MONTH($AN256),1),MesCiclo))))</f>
        <v/>
      </c>
      <c r="T256" s="62">
        <f>IF(OR($S256="",$S256&lt;&gt;MesCiclo,$V256&lt;&gt;"Macro"),"",COUNTIFS($S$5:$S256,MesCiclo,$V$5:$V256,"Macro"))</f>
        <v/>
      </c>
      <c r="U256" s="62">
        <f>IF($V256="","",IF($V256="Macro",ROW(),IFERROR(LOOKUP(2,1/($V$5:$V256="Macro"),ROW($V$5:$V256)),0)))</f>
        <v/>
      </c>
      <c r="V256" s="62">
        <f>IF(NOT((COUNTA($B256:$D256)+COUNTA($G256:$L256)+COUNTA($Q256))&gt;0),"",IF($B256="Subactividad","Sub","Macro"))</f>
        <v/>
      </c>
      <c r="W256" s="62">
        <f>IF($V256="Macro",COUNTIFS($U$5:$U$1000,ROW(),$V$5:$V$1000,"Sub"),"")</f>
        <v/>
      </c>
      <c r="X256" s="62">
        <f>IF($V256="","",IF(ISNUMBER($G256),1,IFERROR(LOOKUP(2,1/($I256:$L256&lt;&gt;""),$I256:$L256),0)))</f>
        <v/>
      </c>
      <c r="Y256" s="62">
        <f>IF($V256="","",IF(AND(ISNUMBER($G256),$G256&lt;=IF($S256=MesCiclo,InicioCiclo,$S256+MOD(2-WEEKDAY($S256),7))+6),1,IF(ISNUMBER($I256),$I256,0)))</f>
        <v/>
      </c>
      <c r="Z256" s="62">
        <f>IF($V256="","",IF(AND(ISNUMBER($G256),$G256&lt;=IF($S256=MesCiclo,InicioCiclo,$S256+MOD(2-WEEKDAY($S256),7))+13),1,IF(ISNUMBER($J256),$J256,$Y256)))</f>
        <v/>
      </c>
      <c r="AA256" s="62">
        <f>IF($V256="","",IF(AND(ISNUMBER($G256),$G256&lt;=IF($S256=MesCiclo,InicioCiclo,$S256+MOD(2-WEEKDAY($S256),7))+20),1,IF(ISNUMBER($K256),$K256,$Z256)))</f>
        <v/>
      </c>
      <c r="AB256" s="62">
        <f>IF($V256="","",IF(AND(ISNUMBER($G256),$G256&lt;=IF($S256=MesCiclo,InicioCiclo,$S256+MOD(2-WEEKDAY($S256),7))+27),1,IF(ISNUMBER($L256),$L256,$AA256)))</f>
        <v/>
      </c>
      <c r="AC256" s="62">
        <f>IF($V256="","",IF(AND(ISNUMBER($G256),$G256&lt;=IF($S256=MesCiclo,InicioCiclo,$S256+MOD(2-WEEKDAY($S256),7))+6),1,IF(N($W256)&gt;0,AVERAGEIFS($Y$5:$Y$1000,$U$5:$U$1000,ROW(),$V$5:$V$1000,"Sub"),$Y256)))</f>
        <v/>
      </c>
      <c r="AD256" s="62">
        <f>IF($V256="","",IF(AND(ISNUMBER($G256),$G256&lt;=IF($S256=MesCiclo,InicioCiclo,$S256+MOD(2-WEEKDAY($S256),7))+13),1,IF(N($W256)&gt;0,AVERAGEIFS($Z$5:$Z$1000,$U$5:$U$1000,ROW(),$V$5:$V$1000,"Sub"),$Z256)))</f>
        <v/>
      </c>
      <c r="AE256" s="62">
        <f>IF($V256="","",IF(AND(ISNUMBER($G256),$G256&lt;=IF($S256=MesCiclo,InicioCiclo,$S256+MOD(2-WEEKDAY($S256),7))+20),1,IF(N($W256)&gt;0,AVERAGEIFS($AA$5:$AA$1000,$U$5:$U$1000,ROW(),$V$5:$V$1000,"Sub"),$AA256)))</f>
        <v/>
      </c>
      <c r="AF256" s="62">
        <f>IF($V256="","",IF(AND(ISNUMBER($G256),$G256&lt;=IF($S256=MesCiclo,InicioCiclo,$S256+MOD(2-WEEKDAY($S256),7))+27),1,IF(N($W256)&gt;0,AVERAGEIFS($AB$5:$AB$1000,$U$5:$U$1000,ROW(),$V$5:$V$1000,"Sub"),$AB256)))</f>
        <v/>
      </c>
      <c r="AG256" s="62">
        <f>IF($V256&lt;&gt;"Macro","",IF(COUNTIFS($S$5:$S$1000,$S256,$V$5:$V$1000,"Macro",$H$5:$H$1000,"&gt;0")=0,1/COUNTIFS($S$5:$S$1000,$S256,$V$5:$V$1000,"Macro"),IF(AND(ISNUMBER($H256),N($H256)&gt;0),$H256,SUMIFS($H$5:$H$1000,$S$5:$S$1000,$S256,$V$5:$V$1000,"Macro")/COUNTIFS($S$5:$S$1000,$S256,$V$5:$V$1000,"Macro",$H$5:$H$1000,"&gt;0"))/(COUNTIFS($S$5:$S$1000,$S256,$V$5:$V$1000,"Macro")*SUMIFS($H$5:$H$1000,$S$5:$S$1000,$S256,$V$5:$V$1000,"Macro")/COUNTIFS($S$5:$S$1000,$S256,$V$5:$V$1000,"Macro",$H$5:$H$1000,"&gt;0"))))</f>
        <v/>
      </c>
      <c r="AH256" s="62" t="n"/>
      <c r="AI256" s="62" t="n"/>
      <c r="AJ256" s="62" t="n"/>
      <c r="AK256" s="62" t="n"/>
      <c r="AL256" s="62">
        <f>IF(LEFT($C256,11)="[Jefatura] ",IFERROR(MATCH("Riesgo Financiero|"&amp;MID($C256,12,500),rDname_ADM,0),0),"")</f>
        <v/>
      </c>
      <c r="AM256" s="62">
        <f>IF(N($AL256)&gt;0,INDEX(rIni_ADM,$AL256),IF(ISNUMBER($E256),$E256,""))</f>
        <v/>
      </c>
      <c r="AN256" s="62">
        <f>IF(N($AL256)&gt;0,INDEX(rLim_ADM,$AL256),IF(ISNUMBER($F256),$F256,""))</f>
        <v/>
      </c>
    </row>
    <row r="257">
      <c r="A257" s="56">
        <f>IF(NOT((COUNTA($B257:$D257)+COUNTA($G257:$L257)+COUNTA($Q257))&gt;0),"",IF($V257="Macro",COUNTIFS($V$5:$V257,"Macro",$S$5:$S257,$S257),IF(N($U257)=0,"?",COUNTIFS(INDEX($V$5:$V$1000,1):INDEX($V$5:$V$1000,$U257-4),"Macro",INDEX($S$5:$S$1000,1):INDEX($S$5:$S$1000,$U257-4),INDEX($S$5:$S$1000,$U257-4))&amp;"."&amp;COUNTIFS($U$5:$U257,$U257,$V$5:$V257,"Sub"))))</f>
        <v/>
      </c>
      <c r="B257" s="57" t="n"/>
      <c r="C257" s="58" t="n"/>
      <c r="D257" s="58" t="n"/>
      <c r="E257" s="59">
        <f>IF(N($AL257)&gt;0,INDEX(rIni_ADM,$AL257),"")</f>
        <v/>
      </c>
      <c r="F257" s="59">
        <f>IF(N($AL257)&gt;0,INDEX(rLim_ADM,$AL257),"")</f>
        <v/>
      </c>
      <c r="G257" s="59" t="n"/>
      <c r="H257" s="60" t="n"/>
      <c r="I257" s="60" t="n"/>
      <c r="J257" s="60" t="n"/>
      <c r="K257" s="60" t="n"/>
      <c r="L257" s="60" t="n"/>
      <c r="M257" s="61">
        <f>IF(NOT((COUNTA($B257:$D257)+COUNTA($G257:$L257)+COUNTA($Q257))&gt;0),"",IF($V257="Sub",IFERROR($X257/INDEX($W$5:$W$1000,$U257-4),""),IF(ISNUMBER($G257),1,IF(N($W257)&gt;0,AVERAGEIFS($X$5:$X$1000,$U$5:$U$1000,ROW(),$V$5:$V$1000,"Sub"),$X257))))</f>
        <v/>
      </c>
      <c r="N257" s="56">
        <f>IF(OR($M257="",$V257="Sub"),"",IF($M257&gt;=1,"Completado",IF($M257&gt;0,"En curso","Pendiente")))</f>
        <v/>
      </c>
      <c r="O257" s="56">
        <f>IF(OR(NOT((COUNTA($B257:$D257)+COUNTA($G257:$L257)+COUNTA($Q257))&gt;0),$V257="Sub"),"",IF(ISNUMBER($G257),IF(AND(ISNUMBER($AN257),$G257&gt;$AN257),"Cumplida con "&amp;($G257-$AN257)&amp;IF($G257-$AN257=1," día"," días")&amp;" de retraso","Cumplida"),IF(N($M257)&gt;=1,"Cumplida",IF(NOT(ISNUMBER($AN257)),"Sin fecha límite",IF($AN257&lt;FechaRef,"Vencida hace "&amp;(FechaRef-$AN257)&amp;IF(FechaRef-$AN257=1," día"," días"),IF($AN257=FechaRef,"Vence hoy",IF($AN257-FechaRef&lt;=DiasAlerta,"Vence en "&amp;($AN257-FechaRef)&amp;IF($AN257-FechaRef=1," día"," días"),"En plazo")))))))</f>
        <v/>
      </c>
      <c r="P257" s="62" t="n"/>
      <c r="Q257" s="58" t="n"/>
      <c r="R257" s="63">
        <f>IF(NOT((COUNTA($B257:$D257)+COUNTA($G257:$L257)+COUNTA($Q257))&gt;0),"",IF((IF($C257="","Falta el nombre de la actividad"&amp;" · ","")&amp;IF(AND($V257="Sub",N($U257)=0),"Subactividad sin macroactividad arriba"&amp;" · ","")&amp;IF($AM257="","Sin fecha de inicio"&amp;" · ","")&amp;IF($AN257="","Sin fecha límite"&amp;" · ","")&amp;IF(AND(LEFT($C257,11)="[Jefatura] ",N($AL257)=0),"No se encuentra en la hoja de la jefatura (elíjala de nuevo en la lista)"&amp;" · ","")&amp;IF(OR(AND($E257&lt;&gt;"",NOT(ISNUMBER($E257))),AND($F257&lt;&gt;"",NOT(ISNUMBER($F257))),AND($G257&lt;&gt;"",NOT(ISNUMBER($G257)))),"Fecha no válida"&amp;" · ","")&amp;IF(AND(ISNUMBER($AM257),ISNUMBER($AN257),$AM257&gt;$AN257),"Inicio posterior a fecha límite"&amp;" · ","")&amp;IF(AND($V257="Macro",$H257&lt;&gt;"",OR(NOT(ISNUMBER($H257)),$H257&lt;0,$H257&gt;1)),"Peso fuera de rango"&amp;" · ","")&amp;IF(AND($V257="Sub",$H257&lt;&gt;""),"Las subactividades no llevan peso (valen igual dentro de su macroactividad)"&amp;" · ","")&amp;IF(AND(N($W257)&gt;0,COUNT($I257:$L257)&gt;0),"Con subactividades: deje vacías las semanas (se calculan solas)"&amp;" · ","")&amp;IF((COUNTIF($I257:$L257,"&gt;1")+COUNTIF($I257:$L257,"&lt;0")+COUNTA($I257:$L257)-COUNT($I257:$L257))&gt;0,"Avance fuera de rango 0-100%"&amp;" · ","")&amp;IF(OR(AND($J257&lt;&gt;"",$J257&lt;$I257),AND($K257&lt;&gt;"",$K257&lt;MAX($I257:$J257)),AND($L257&lt;&gt;"",$L257&lt;MAX($I257:$K257))),"Avance semanal decreciente"&amp;" · ","")&amp;IF(AND(ISNUMBER($AN257),$AN257&lt;FechaRef,IF($V257="Sub",N($X257),N($M257))&lt;1),"Vencida"&amp;" · ","")&amp;IF(AND(ObsObligatoria="Sí",ISNUMBER($AN257),$AN257&lt;FechaRef,IF($V257="Sub",N($X257),N($M257))&lt;1,$Q257=""),"Vencida sin observación"&amp;" · ",""))="","✔ OK","⚠ "&amp;LEFT(IF($C257="","Falta el nombre de la actividad"&amp;" · ","")&amp;IF(AND($V257="Sub",N($U257)=0),"Subactividad sin macroactividad arriba"&amp;" · ","")&amp;IF($AM257="","Sin fecha de inicio"&amp;" · ","")&amp;IF($AN257="","Sin fecha límite"&amp;" · ","")&amp;IF(AND(LEFT($C257,11)="[Jefatura] ",N($AL257)=0),"No se encuentra en la hoja de la jefatura (elíjala de nuevo en la lista)"&amp;" · ","")&amp;IF(OR(AND($E257&lt;&gt;"",NOT(ISNUMBER($E257))),AND($F257&lt;&gt;"",NOT(ISNUMBER($F257))),AND($G257&lt;&gt;"",NOT(ISNUMBER($G257)))),"Fecha no válida"&amp;" · ","")&amp;IF(AND(ISNUMBER($AM257),ISNUMBER($AN257),$AM257&gt;$AN257),"Inicio posterior a fecha límite"&amp;" · ","")&amp;IF(AND($V257="Macro",$H257&lt;&gt;"",OR(NOT(ISNUMBER($H257)),$H257&lt;0,$H257&gt;1)),"Peso fuera de rango"&amp;" · ","")&amp;IF(AND($V257="Sub",$H257&lt;&gt;""),"Las subactividades no llevan peso (valen igual dentro de su macroactividad)"&amp;" · ","")&amp;IF(AND(N($W257)&gt;0,COUNT($I257:$L257)&gt;0),"Con subactividades: deje vacías las semanas (se calculan solas)"&amp;" · ","")&amp;IF((COUNTIF($I257:$L257,"&gt;1")+COUNTIF($I257:$L257,"&lt;0")+COUNTA($I257:$L257)-COUNT($I257:$L257))&gt;0,"Avance fuera de rango 0-100%"&amp;" · ","")&amp;IF(OR(AND($J257&lt;&gt;"",$J257&lt;$I257),AND($K257&lt;&gt;"",$K257&lt;MAX($I257:$J257)),AND($L257&lt;&gt;"",$L257&lt;MAX($I257:$K257))),"Avance semanal decreciente"&amp;" · ","")&amp;IF(AND(ISNUMBER($AN257),$AN257&lt;FechaRef,IF($V257="Sub",N($X257),N($M257))&lt;1),"Vencida"&amp;" · ","")&amp;IF(AND(ObsObligatoria="Sí",ISNUMBER($AN257),$AN257&lt;FechaRef,IF($V257="Sub",N($X257),N($M257))&lt;1,$Q257=""),"Vencida sin observación"&amp;" · ",""),LEN(IF($C257="","Falta el nombre de la actividad"&amp;" · ","")&amp;IF(AND($V257="Sub",N($U257)=0),"Subactividad sin macroactividad arriba"&amp;" · ","")&amp;IF($AM257="","Sin fecha de inicio"&amp;" · ","")&amp;IF($AN257="","Sin fecha límite"&amp;" · ","")&amp;IF(AND(LEFT($C257,11)="[Jefatura] ",N($AL257)=0),"No se encuentra en la hoja de la jefatura (elíjala de nuevo en la lista)"&amp;" · ","")&amp;IF(OR(AND($E257&lt;&gt;"",NOT(ISNUMBER($E257))),AND($F257&lt;&gt;"",NOT(ISNUMBER($F257))),AND($G257&lt;&gt;"",NOT(ISNUMBER($G257)))),"Fecha no válida"&amp;" · ","")&amp;IF(AND(ISNUMBER($AM257),ISNUMBER($AN257),$AM257&gt;$AN257),"Inicio posterior a fecha límite"&amp;" · ","")&amp;IF(AND($V257="Macro",$H257&lt;&gt;"",OR(NOT(ISNUMBER($H257)),$H257&lt;0,$H257&gt;1)),"Peso fuera de rango"&amp;" · ","")&amp;IF(AND($V257="Sub",$H257&lt;&gt;""),"Las subactividades no llevan peso (valen igual dentro de su macroactividad)"&amp;" · ","")&amp;IF(AND(N($W257)&gt;0,COUNT($I257:$L257)&gt;0),"Con subactividades: deje vacías las semanas (se calculan solas)"&amp;" · ","")&amp;IF((COUNTIF($I257:$L257,"&gt;1")+COUNTIF($I257:$L257,"&lt;0")+COUNTA($I257:$L257)-COUNT($I257:$L257))&gt;0,"Avance fuera de rango 0-100%"&amp;" · ","")&amp;IF(OR(AND($J257&lt;&gt;"",$J257&lt;$I257),AND($K257&lt;&gt;"",$K257&lt;MAX($I257:$J257)),AND($L257&lt;&gt;"",$L257&lt;MAX($I257:$K257))),"Avance semanal decreciente"&amp;" · ","")&amp;IF(AND(ISNUMBER($AN257),$AN257&lt;FechaRef,IF($V257="Sub",N($X257),N($M257))&lt;1),"Vencida"&amp;" · ","")&amp;IF(AND(ObsObligatoria="Sí",ISNUMBER($AN257),$AN257&lt;FechaRef,IF($V257="Sub",N($X257),N($M257))&lt;1,$Q257=""),"Vencida sin observación"&amp;" · ",""))-3)))</f>
        <v/>
      </c>
      <c r="S257" s="64">
        <f>IF(NOT((COUNTA($B257:$D257)+COUNTA($G257:$L257)+COUNTA($Q257))&gt;0),"",IF(AND($V257="Sub",N($U257)&gt;0),IF(ISNUMBER(INDEX($AM$5:$AM$1000,$U257-4)),DATE(YEAR(INDEX($AM$5:$AM$1000,$U257-4)),MONTH(INDEX($AM$5:$AM$1000,$U257-4)),1),IF(ISNUMBER(INDEX($AN$5:$AN$1000,$U257-4)),DATE(YEAR(INDEX($AN$5:$AN$1000,$U257-4)),MONTH(INDEX($AN$5:$AN$1000,$U257-4)),1),MesCiclo)),IF(ISNUMBER($AM257),DATE(YEAR($AM257),MONTH($AM257),1),IF(ISNUMBER($AN257),DATE(YEAR($AN257),MONTH($AN257),1),MesCiclo))))</f>
        <v/>
      </c>
      <c r="T257" s="62">
        <f>IF(OR($S257="",$S257&lt;&gt;MesCiclo,$V257&lt;&gt;"Macro"),"",COUNTIFS($S$5:$S257,MesCiclo,$V$5:$V257,"Macro"))</f>
        <v/>
      </c>
      <c r="U257" s="62">
        <f>IF($V257="","",IF($V257="Macro",ROW(),IFERROR(LOOKUP(2,1/($V$5:$V257="Macro"),ROW($V$5:$V257)),0)))</f>
        <v/>
      </c>
      <c r="V257" s="62">
        <f>IF(NOT((COUNTA($B257:$D257)+COUNTA($G257:$L257)+COUNTA($Q257))&gt;0),"",IF($B257="Subactividad","Sub","Macro"))</f>
        <v/>
      </c>
      <c r="W257" s="62">
        <f>IF($V257="Macro",COUNTIFS($U$5:$U$1000,ROW(),$V$5:$V$1000,"Sub"),"")</f>
        <v/>
      </c>
      <c r="X257" s="62">
        <f>IF($V257="","",IF(ISNUMBER($G257),1,IFERROR(LOOKUP(2,1/($I257:$L257&lt;&gt;""),$I257:$L257),0)))</f>
        <v/>
      </c>
      <c r="Y257" s="62">
        <f>IF($V257="","",IF(AND(ISNUMBER($G257),$G257&lt;=IF($S257=MesCiclo,InicioCiclo,$S257+MOD(2-WEEKDAY($S257),7))+6),1,IF(ISNUMBER($I257),$I257,0)))</f>
        <v/>
      </c>
      <c r="Z257" s="62">
        <f>IF($V257="","",IF(AND(ISNUMBER($G257),$G257&lt;=IF($S257=MesCiclo,InicioCiclo,$S257+MOD(2-WEEKDAY($S257),7))+13),1,IF(ISNUMBER($J257),$J257,$Y257)))</f>
        <v/>
      </c>
      <c r="AA257" s="62">
        <f>IF($V257="","",IF(AND(ISNUMBER($G257),$G257&lt;=IF($S257=MesCiclo,InicioCiclo,$S257+MOD(2-WEEKDAY($S257),7))+20),1,IF(ISNUMBER($K257),$K257,$Z257)))</f>
        <v/>
      </c>
      <c r="AB257" s="62">
        <f>IF($V257="","",IF(AND(ISNUMBER($G257),$G257&lt;=IF($S257=MesCiclo,InicioCiclo,$S257+MOD(2-WEEKDAY($S257),7))+27),1,IF(ISNUMBER($L257),$L257,$AA257)))</f>
        <v/>
      </c>
      <c r="AC257" s="62">
        <f>IF($V257="","",IF(AND(ISNUMBER($G257),$G257&lt;=IF($S257=MesCiclo,InicioCiclo,$S257+MOD(2-WEEKDAY($S257),7))+6),1,IF(N($W257)&gt;0,AVERAGEIFS($Y$5:$Y$1000,$U$5:$U$1000,ROW(),$V$5:$V$1000,"Sub"),$Y257)))</f>
        <v/>
      </c>
      <c r="AD257" s="62">
        <f>IF($V257="","",IF(AND(ISNUMBER($G257),$G257&lt;=IF($S257=MesCiclo,InicioCiclo,$S257+MOD(2-WEEKDAY($S257),7))+13),1,IF(N($W257)&gt;0,AVERAGEIFS($Z$5:$Z$1000,$U$5:$U$1000,ROW(),$V$5:$V$1000,"Sub"),$Z257)))</f>
        <v/>
      </c>
      <c r="AE257" s="62">
        <f>IF($V257="","",IF(AND(ISNUMBER($G257),$G257&lt;=IF($S257=MesCiclo,InicioCiclo,$S257+MOD(2-WEEKDAY($S257),7))+20),1,IF(N($W257)&gt;0,AVERAGEIFS($AA$5:$AA$1000,$U$5:$U$1000,ROW(),$V$5:$V$1000,"Sub"),$AA257)))</f>
        <v/>
      </c>
      <c r="AF257" s="62">
        <f>IF($V257="","",IF(AND(ISNUMBER($G257),$G257&lt;=IF($S257=MesCiclo,InicioCiclo,$S257+MOD(2-WEEKDAY($S257),7))+27),1,IF(N($W257)&gt;0,AVERAGEIFS($AB$5:$AB$1000,$U$5:$U$1000,ROW(),$V$5:$V$1000,"Sub"),$AB257)))</f>
        <v/>
      </c>
      <c r="AG257" s="62">
        <f>IF($V257&lt;&gt;"Macro","",IF(COUNTIFS($S$5:$S$1000,$S257,$V$5:$V$1000,"Macro",$H$5:$H$1000,"&gt;0")=0,1/COUNTIFS($S$5:$S$1000,$S257,$V$5:$V$1000,"Macro"),IF(AND(ISNUMBER($H257),N($H257)&gt;0),$H257,SUMIFS($H$5:$H$1000,$S$5:$S$1000,$S257,$V$5:$V$1000,"Macro")/COUNTIFS($S$5:$S$1000,$S257,$V$5:$V$1000,"Macro",$H$5:$H$1000,"&gt;0"))/(COUNTIFS($S$5:$S$1000,$S257,$V$5:$V$1000,"Macro")*SUMIFS($H$5:$H$1000,$S$5:$S$1000,$S257,$V$5:$V$1000,"Macro")/COUNTIFS($S$5:$S$1000,$S257,$V$5:$V$1000,"Macro",$H$5:$H$1000,"&gt;0"))))</f>
        <v/>
      </c>
      <c r="AH257" s="62" t="n"/>
      <c r="AI257" s="62" t="n"/>
      <c r="AJ257" s="62" t="n"/>
      <c r="AK257" s="62" t="n"/>
      <c r="AL257" s="62">
        <f>IF(LEFT($C257,11)="[Jefatura] ",IFERROR(MATCH("Riesgo Financiero|"&amp;MID($C257,12,500),rDname_ADM,0),0),"")</f>
        <v/>
      </c>
      <c r="AM257" s="62">
        <f>IF(N($AL257)&gt;0,INDEX(rIni_ADM,$AL257),IF(ISNUMBER($E257),$E257,""))</f>
        <v/>
      </c>
      <c r="AN257" s="62">
        <f>IF(N($AL257)&gt;0,INDEX(rLim_ADM,$AL257),IF(ISNUMBER($F257),$F257,""))</f>
        <v/>
      </c>
    </row>
    <row r="258">
      <c r="A258" s="56">
        <f>IF(NOT((COUNTA($B258:$D258)+COUNTA($G258:$L258)+COUNTA($Q258))&gt;0),"",IF($V258="Macro",COUNTIFS($V$5:$V258,"Macro",$S$5:$S258,$S258),IF(N($U258)=0,"?",COUNTIFS(INDEX($V$5:$V$1000,1):INDEX($V$5:$V$1000,$U258-4),"Macro",INDEX($S$5:$S$1000,1):INDEX($S$5:$S$1000,$U258-4),INDEX($S$5:$S$1000,$U258-4))&amp;"."&amp;COUNTIFS($U$5:$U258,$U258,$V$5:$V258,"Sub"))))</f>
        <v/>
      </c>
      <c r="B258" s="57" t="n"/>
      <c r="C258" s="58" t="n"/>
      <c r="D258" s="58" t="n"/>
      <c r="E258" s="59">
        <f>IF(N($AL258)&gt;0,INDEX(rIni_ADM,$AL258),"")</f>
        <v/>
      </c>
      <c r="F258" s="59">
        <f>IF(N($AL258)&gt;0,INDEX(rLim_ADM,$AL258),"")</f>
        <v/>
      </c>
      <c r="G258" s="59" t="n"/>
      <c r="H258" s="60" t="n"/>
      <c r="I258" s="60" t="n"/>
      <c r="J258" s="60" t="n"/>
      <c r="K258" s="60" t="n"/>
      <c r="L258" s="60" t="n"/>
      <c r="M258" s="61">
        <f>IF(NOT((COUNTA($B258:$D258)+COUNTA($G258:$L258)+COUNTA($Q258))&gt;0),"",IF($V258="Sub",IFERROR($X258/INDEX($W$5:$W$1000,$U258-4),""),IF(ISNUMBER($G258),1,IF(N($W258)&gt;0,AVERAGEIFS($X$5:$X$1000,$U$5:$U$1000,ROW(),$V$5:$V$1000,"Sub"),$X258))))</f>
        <v/>
      </c>
      <c r="N258" s="56">
        <f>IF(OR($M258="",$V258="Sub"),"",IF($M258&gt;=1,"Completado",IF($M258&gt;0,"En curso","Pendiente")))</f>
        <v/>
      </c>
      <c r="O258" s="56">
        <f>IF(OR(NOT((COUNTA($B258:$D258)+COUNTA($G258:$L258)+COUNTA($Q258))&gt;0),$V258="Sub"),"",IF(ISNUMBER($G258),IF(AND(ISNUMBER($AN258),$G258&gt;$AN258),"Cumplida con "&amp;($G258-$AN258)&amp;IF($G258-$AN258=1," día"," días")&amp;" de retraso","Cumplida"),IF(N($M258)&gt;=1,"Cumplida",IF(NOT(ISNUMBER($AN258)),"Sin fecha límite",IF($AN258&lt;FechaRef,"Vencida hace "&amp;(FechaRef-$AN258)&amp;IF(FechaRef-$AN258=1," día"," días"),IF($AN258=FechaRef,"Vence hoy",IF($AN258-FechaRef&lt;=DiasAlerta,"Vence en "&amp;($AN258-FechaRef)&amp;IF($AN258-FechaRef=1," día"," días"),"En plazo")))))))</f>
        <v/>
      </c>
      <c r="P258" s="62" t="n"/>
      <c r="Q258" s="58" t="n"/>
      <c r="R258" s="63">
        <f>IF(NOT((COUNTA($B258:$D258)+COUNTA($G258:$L258)+COUNTA($Q258))&gt;0),"",IF((IF($C258="","Falta el nombre de la actividad"&amp;" · ","")&amp;IF(AND($V258="Sub",N($U258)=0),"Subactividad sin macroactividad arriba"&amp;" · ","")&amp;IF($AM258="","Sin fecha de inicio"&amp;" · ","")&amp;IF($AN258="","Sin fecha límite"&amp;" · ","")&amp;IF(AND(LEFT($C258,11)="[Jefatura] ",N($AL258)=0),"No se encuentra en la hoja de la jefatura (elíjala de nuevo en la lista)"&amp;" · ","")&amp;IF(OR(AND($E258&lt;&gt;"",NOT(ISNUMBER($E258))),AND($F258&lt;&gt;"",NOT(ISNUMBER($F258))),AND($G258&lt;&gt;"",NOT(ISNUMBER($G258)))),"Fecha no válida"&amp;" · ","")&amp;IF(AND(ISNUMBER($AM258),ISNUMBER($AN258),$AM258&gt;$AN258),"Inicio posterior a fecha límite"&amp;" · ","")&amp;IF(AND($V258="Macro",$H258&lt;&gt;"",OR(NOT(ISNUMBER($H258)),$H258&lt;0,$H258&gt;1)),"Peso fuera de rango"&amp;" · ","")&amp;IF(AND($V258="Sub",$H258&lt;&gt;""),"Las subactividades no llevan peso (valen igual dentro de su macroactividad)"&amp;" · ","")&amp;IF(AND(N($W258)&gt;0,COUNT($I258:$L258)&gt;0),"Con subactividades: deje vacías las semanas (se calculan solas)"&amp;" · ","")&amp;IF((COUNTIF($I258:$L258,"&gt;1")+COUNTIF($I258:$L258,"&lt;0")+COUNTA($I258:$L258)-COUNT($I258:$L258))&gt;0,"Avance fuera de rango 0-100%"&amp;" · ","")&amp;IF(OR(AND($J258&lt;&gt;"",$J258&lt;$I258),AND($K258&lt;&gt;"",$K258&lt;MAX($I258:$J258)),AND($L258&lt;&gt;"",$L258&lt;MAX($I258:$K258))),"Avance semanal decreciente"&amp;" · ","")&amp;IF(AND(ISNUMBER($AN258),$AN258&lt;FechaRef,IF($V258="Sub",N($X258),N($M258))&lt;1),"Vencida"&amp;" · ","")&amp;IF(AND(ObsObligatoria="Sí",ISNUMBER($AN258),$AN258&lt;FechaRef,IF($V258="Sub",N($X258),N($M258))&lt;1,$Q258=""),"Vencida sin observación"&amp;" · ",""))="","✔ OK","⚠ "&amp;LEFT(IF($C258="","Falta el nombre de la actividad"&amp;" · ","")&amp;IF(AND($V258="Sub",N($U258)=0),"Subactividad sin macroactividad arriba"&amp;" · ","")&amp;IF($AM258="","Sin fecha de inicio"&amp;" · ","")&amp;IF($AN258="","Sin fecha límite"&amp;" · ","")&amp;IF(AND(LEFT($C258,11)="[Jefatura] ",N($AL258)=0),"No se encuentra en la hoja de la jefatura (elíjala de nuevo en la lista)"&amp;" · ","")&amp;IF(OR(AND($E258&lt;&gt;"",NOT(ISNUMBER($E258))),AND($F258&lt;&gt;"",NOT(ISNUMBER($F258))),AND($G258&lt;&gt;"",NOT(ISNUMBER($G258)))),"Fecha no válida"&amp;" · ","")&amp;IF(AND(ISNUMBER($AM258),ISNUMBER($AN258),$AM258&gt;$AN258),"Inicio posterior a fecha límite"&amp;" · ","")&amp;IF(AND($V258="Macro",$H258&lt;&gt;"",OR(NOT(ISNUMBER($H258)),$H258&lt;0,$H258&gt;1)),"Peso fuera de rango"&amp;" · ","")&amp;IF(AND($V258="Sub",$H258&lt;&gt;""),"Las subactividades no llevan peso (valen igual dentro de su macroactividad)"&amp;" · ","")&amp;IF(AND(N($W258)&gt;0,COUNT($I258:$L258)&gt;0),"Con subactividades: deje vacías las semanas (se calculan solas)"&amp;" · ","")&amp;IF((COUNTIF($I258:$L258,"&gt;1")+COUNTIF($I258:$L258,"&lt;0")+COUNTA($I258:$L258)-COUNT($I258:$L258))&gt;0,"Avance fuera de rango 0-100%"&amp;" · ","")&amp;IF(OR(AND($J258&lt;&gt;"",$J258&lt;$I258),AND($K258&lt;&gt;"",$K258&lt;MAX($I258:$J258)),AND($L258&lt;&gt;"",$L258&lt;MAX($I258:$K258))),"Avance semanal decreciente"&amp;" · ","")&amp;IF(AND(ISNUMBER($AN258),$AN258&lt;FechaRef,IF($V258="Sub",N($X258),N($M258))&lt;1),"Vencida"&amp;" · ","")&amp;IF(AND(ObsObligatoria="Sí",ISNUMBER($AN258),$AN258&lt;FechaRef,IF($V258="Sub",N($X258),N($M258))&lt;1,$Q258=""),"Vencida sin observación"&amp;" · ",""),LEN(IF($C258="","Falta el nombre de la actividad"&amp;" · ","")&amp;IF(AND($V258="Sub",N($U258)=0),"Subactividad sin macroactividad arriba"&amp;" · ","")&amp;IF($AM258="","Sin fecha de inicio"&amp;" · ","")&amp;IF($AN258="","Sin fecha límite"&amp;" · ","")&amp;IF(AND(LEFT($C258,11)="[Jefatura] ",N($AL258)=0),"No se encuentra en la hoja de la jefatura (elíjala de nuevo en la lista)"&amp;" · ","")&amp;IF(OR(AND($E258&lt;&gt;"",NOT(ISNUMBER($E258))),AND($F258&lt;&gt;"",NOT(ISNUMBER($F258))),AND($G258&lt;&gt;"",NOT(ISNUMBER($G258)))),"Fecha no válida"&amp;" · ","")&amp;IF(AND(ISNUMBER($AM258),ISNUMBER($AN258),$AM258&gt;$AN258),"Inicio posterior a fecha límite"&amp;" · ","")&amp;IF(AND($V258="Macro",$H258&lt;&gt;"",OR(NOT(ISNUMBER($H258)),$H258&lt;0,$H258&gt;1)),"Peso fuera de rango"&amp;" · ","")&amp;IF(AND($V258="Sub",$H258&lt;&gt;""),"Las subactividades no llevan peso (valen igual dentro de su macroactividad)"&amp;" · ","")&amp;IF(AND(N($W258)&gt;0,COUNT($I258:$L258)&gt;0),"Con subactividades: deje vacías las semanas (se calculan solas)"&amp;" · ","")&amp;IF((COUNTIF($I258:$L258,"&gt;1")+COUNTIF($I258:$L258,"&lt;0")+COUNTA($I258:$L258)-COUNT($I258:$L258))&gt;0,"Avance fuera de rango 0-100%"&amp;" · ","")&amp;IF(OR(AND($J258&lt;&gt;"",$J258&lt;$I258),AND($K258&lt;&gt;"",$K258&lt;MAX($I258:$J258)),AND($L258&lt;&gt;"",$L258&lt;MAX($I258:$K258))),"Avance semanal decreciente"&amp;" · ","")&amp;IF(AND(ISNUMBER($AN258),$AN258&lt;FechaRef,IF($V258="Sub",N($X258),N($M258))&lt;1),"Vencida"&amp;" · ","")&amp;IF(AND(ObsObligatoria="Sí",ISNUMBER($AN258),$AN258&lt;FechaRef,IF($V258="Sub",N($X258),N($M258))&lt;1,$Q258=""),"Vencida sin observación"&amp;" · ",""))-3)))</f>
        <v/>
      </c>
      <c r="S258" s="64">
        <f>IF(NOT((COUNTA($B258:$D258)+COUNTA($G258:$L258)+COUNTA($Q258))&gt;0),"",IF(AND($V258="Sub",N($U258)&gt;0),IF(ISNUMBER(INDEX($AM$5:$AM$1000,$U258-4)),DATE(YEAR(INDEX($AM$5:$AM$1000,$U258-4)),MONTH(INDEX($AM$5:$AM$1000,$U258-4)),1),IF(ISNUMBER(INDEX($AN$5:$AN$1000,$U258-4)),DATE(YEAR(INDEX($AN$5:$AN$1000,$U258-4)),MONTH(INDEX($AN$5:$AN$1000,$U258-4)),1),MesCiclo)),IF(ISNUMBER($AM258),DATE(YEAR($AM258),MONTH($AM258),1),IF(ISNUMBER($AN258),DATE(YEAR($AN258),MONTH($AN258),1),MesCiclo))))</f>
        <v/>
      </c>
      <c r="T258" s="62">
        <f>IF(OR($S258="",$S258&lt;&gt;MesCiclo,$V258&lt;&gt;"Macro"),"",COUNTIFS($S$5:$S258,MesCiclo,$V$5:$V258,"Macro"))</f>
        <v/>
      </c>
      <c r="U258" s="62">
        <f>IF($V258="","",IF($V258="Macro",ROW(),IFERROR(LOOKUP(2,1/($V$5:$V258="Macro"),ROW($V$5:$V258)),0)))</f>
        <v/>
      </c>
      <c r="V258" s="62">
        <f>IF(NOT((COUNTA($B258:$D258)+COUNTA($G258:$L258)+COUNTA($Q258))&gt;0),"",IF($B258="Subactividad","Sub","Macro"))</f>
        <v/>
      </c>
      <c r="W258" s="62">
        <f>IF($V258="Macro",COUNTIFS($U$5:$U$1000,ROW(),$V$5:$V$1000,"Sub"),"")</f>
        <v/>
      </c>
      <c r="X258" s="62">
        <f>IF($V258="","",IF(ISNUMBER($G258),1,IFERROR(LOOKUP(2,1/($I258:$L258&lt;&gt;""),$I258:$L258),0)))</f>
        <v/>
      </c>
      <c r="Y258" s="62">
        <f>IF($V258="","",IF(AND(ISNUMBER($G258),$G258&lt;=IF($S258=MesCiclo,InicioCiclo,$S258+MOD(2-WEEKDAY($S258),7))+6),1,IF(ISNUMBER($I258),$I258,0)))</f>
        <v/>
      </c>
      <c r="Z258" s="62">
        <f>IF($V258="","",IF(AND(ISNUMBER($G258),$G258&lt;=IF($S258=MesCiclo,InicioCiclo,$S258+MOD(2-WEEKDAY($S258),7))+13),1,IF(ISNUMBER($J258),$J258,$Y258)))</f>
        <v/>
      </c>
      <c r="AA258" s="62">
        <f>IF($V258="","",IF(AND(ISNUMBER($G258),$G258&lt;=IF($S258=MesCiclo,InicioCiclo,$S258+MOD(2-WEEKDAY($S258),7))+20),1,IF(ISNUMBER($K258),$K258,$Z258)))</f>
        <v/>
      </c>
      <c r="AB258" s="62">
        <f>IF($V258="","",IF(AND(ISNUMBER($G258),$G258&lt;=IF($S258=MesCiclo,InicioCiclo,$S258+MOD(2-WEEKDAY($S258),7))+27),1,IF(ISNUMBER($L258),$L258,$AA258)))</f>
        <v/>
      </c>
      <c r="AC258" s="62">
        <f>IF($V258="","",IF(AND(ISNUMBER($G258),$G258&lt;=IF($S258=MesCiclo,InicioCiclo,$S258+MOD(2-WEEKDAY($S258),7))+6),1,IF(N($W258)&gt;0,AVERAGEIFS($Y$5:$Y$1000,$U$5:$U$1000,ROW(),$V$5:$V$1000,"Sub"),$Y258)))</f>
        <v/>
      </c>
      <c r="AD258" s="62">
        <f>IF($V258="","",IF(AND(ISNUMBER($G258),$G258&lt;=IF($S258=MesCiclo,InicioCiclo,$S258+MOD(2-WEEKDAY($S258),7))+13),1,IF(N($W258)&gt;0,AVERAGEIFS($Z$5:$Z$1000,$U$5:$U$1000,ROW(),$V$5:$V$1000,"Sub"),$Z258)))</f>
        <v/>
      </c>
      <c r="AE258" s="62">
        <f>IF($V258="","",IF(AND(ISNUMBER($G258),$G258&lt;=IF($S258=MesCiclo,InicioCiclo,$S258+MOD(2-WEEKDAY($S258),7))+20),1,IF(N($W258)&gt;0,AVERAGEIFS($AA$5:$AA$1000,$U$5:$U$1000,ROW(),$V$5:$V$1000,"Sub"),$AA258)))</f>
        <v/>
      </c>
      <c r="AF258" s="62">
        <f>IF($V258="","",IF(AND(ISNUMBER($G258),$G258&lt;=IF($S258=MesCiclo,InicioCiclo,$S258+MOD(2-WEEKDAY($S258),7))+27),1,IF(N($W258)&gt;0,AVERAGEIFS($AB$5:$AB$1000,$U$5:$U$1000,ROW(),$V$5:$V$1000,"Sub"),$AB258)))</f>
        <v/>
      </c>
      <c r="AG258" s="62">
        <f>IF($V258&lt;&gt;"Macro","",IF(COUNTIFS($S$5:$S$1000,$S258,$V$5:$V$1000,"Macro",$H$5:$H$1000,"&gt;0")=0,1/COUNTIFS($S$5:$S$1000,$S258,$V$5:$V$1000,"Macro"),IF(AND(ISNUMBER($H258),N($H258)&gt;0),$H258,SUMIFS($H$5:$H$1000,$S$5:$S$1000,$S258,$V$5:$V$1000,"Macro")/COUNTIFS($S$5:$S$1000,$S258,$V$5:$V$1000,"Macro",$H$5:$H$1000,"&gt;0"))/(COUNTIFS($S$5:$S$1000,$S258,$V$5:$V$1000,"Macro")*SUMIFS($H$5:$H$1000,$S$5:$S$1000,$S258,$V$5:$V$1000,"Macro")/COUNTIFS($S$5:$S$1000,$S258,$V$5:$V$1000,"Macro",$H$5:$H$1000,"&gt;0"))))</f>
        <v/>
      </c>
      <c r="AH258" s="62" t="n"/>
      <c r="AI258" s="62" t="n"/>
      <c r="AJ258" s="62" t="n"/>
      <c r="AK258" s="62" t="n"/>
      <c r="AL258" s="62">
        <f>IF(LEFT($C258,11)="[Jefatura] ",IFERROR(MATCH("Riesgo Financiero|"&amp;MID($C258,12,500),rDname_ADM,0),0),"")</f>
        <v/>
      </c>
      <c r="AM258" s="62">
        <f>IF(N($AL258)&gt;0,INDEX(rIni_ADM,$AL258),IF(ISNUMBER($E258),$E258,""))</f>
        <v/>
      </c>
      <c r="AN258" s="62">
        <f>IF(N($AL258)&gt;0,INDEX(rLim_ADM,$AL258),IF(ISNUMBER($F258),$F258,""))</f>
        <v/>
      </c>
    </row>
    <row r="259">
      <c r="A259" s="56">
        <f>IF(NOT((COUNTA($B259:$D259)+COUNTA($G259:$L259)+COUNTA($Q259))&gt;0),"",IF($V259="Macro",COUNTIFS($V$5:$V259,"Macro",$S$5:$S259,$S259),IF(N($U259)=0,"?",COUNTIFS(INDEX($V$5:$V$1000,1):INDEX($V$5:$V$1000,$U259-4),"Macro",INDEX($S$5:$S$1000,1):INDEX($S$5:$S$1000,$U259-4),INDEX($S$5:$S$1000,$U259-4))&amp;"."&amp;COUNTIFS($U$5:$U259,$U259,$V$5:$V259,"Sub"))))</f>
        <v/>
      </c>
      <c r="B259" s="57" t="n"/>
      <c r="C259" s="58" t="n"/>
      <c r="D259" s="58" t="n"/>
      <c r="E259" s="59">
        <f>IF(N($AL259)&gt;0,INDEX(rIni_ADM,$AL259),"")</f>
        <v/>
      </c>
      <c r="F259" s="59">
        <f>IF(N($AL259)&gt;0,INDEX(rLim_ADM,$AL259),"")</f>
        <v/>
      </c>
      <c r="G259" s="59" t="n"/>
      <c r="H259" s="60" t="n"/>
      <c r="I259" s="60" t="n"/>
      <c r="J259" s="60" t="n"/>
      <c r="K259" s="60" t="n"/>
      <c r="L259" s="60" t="n"/>
      <c r="M259" s="61">
        <f>IF(NOT((COUNTA($B259:$D259)+COUNTA($G259:$L259)+COUNTA($Q259))&gt;0),"",IF($V259="Sub",IFERROR($X259/INDEX($W$5:$W$1000,$U259-4),""),IF(ISNUMBER($G259),1,IF(N($W259)&gt;0,AVERAGEIFS($X$5:$X$1000,$U$5:$U$1000,ROW(),$V$5:$V$1000,"Sub"),$X259))))</f>
        <v/>
      </c>
      <c r="N259" s="56">
        <f>IF(OR($M259="",$V259="Sub"),"",IF($M259&gt;=1,"Completado",IF($M259&gt;0,"En curso","Pendiente")))</f>
        <v/>
      </c>
      <c r="O259" s="56">
        <f>IF(OR(NOT((COUNTA($B259:$D259)+COUNTA($G259:$L259)+COUNTA($Q259))&gt;0),$V259="Sub"),"",IF(ISNUMBER($G259),IF(AND(ISNUMBER($AN259),$G259&gt;$AN259),"Cumplida con "&amp;($G259-$AN259)&amp;IF($G259-$AN259=1," día"," días")&amp;" de retraso","Cumplida"),IF(N($M259)&gt;=1,"Cumplida",IF(NOT(ISNUMBER($AN259)),"Sin fecha límite",IF($AN259&lt;FechaRef,"Vencida hace "&amp;(FechaRef-$AN259)&amp;IF(FechaRef-$AN259=1," día"," días"),IF($AN259=FechaRef,"Vence hoy",IF($AN259-FechaRef&lt;=DiasAlerta,"Vence en "&amp;($AN259-FechaRef)&amp;IF($AN259-FechaRef=1," día"," días"),"En plazo")))))))</f>
        <v/>
      </c>
      <c r="P259" s="62" t="n"/>
      <c r="Q259" s="58" t="n"/>
      <c r="R259" s="63">
        <f>IF(NOT((COUNTA($B259:$D259)+COUNTA($G259:$L259)+COUNTA($Q259))&gt;0),"",IF((IF($C259="","Falta el nombre de la actividad"&amp;" · ","")&amp;IF(AND($V259="Sub",N($U259)=0),"Subactividad sin macroactividad arriba"&amp;" · ","")&amp;IF($AM259="","Sin fecha de inicio"&amp;" · ","")&amp;IF($AN259="","Sin fecha límite"&amp;" · ","")&amp;IF(AND(LEFT($C259,11)="[Jefatura] ",N($AL259)=0),"No se encuentra en la hoja de la jefatura (elíjala de nuevo en la lista)"&amp;" · ","")&amp;IF(OR(AND($E259&lt;&gt;"",NOT(ISNUMBER($E259))),AND($F259&lt;&gt;"",NOT(ISNUMBER($F259))),AND($G259&lt;&gt;"",NOT(ISNUMBER($G259)))),"Fecha no válida"&amp;" · ","")&amp;IF(AND(ISNUMBER($AM259),ISNUMBER($AN259),$AM259&gt;$AN259),"Inicio posterior a fecha límite"&amp;" · ","")&amp;IF(AND($V259="Macro",$H259&lt;&gt;"",OR(NOT(ISNUMBER($H259)),$H259&lt;0,$H259&gt;1)),"Peso fuera de rango"&amp;" · ","")&amp;IF(AND($V259="Sub",$H259&lt;&gt;""),"Las subactividades no llevan peso (valen igual dentro de su macroactividad)"&amp;" · ","")&amp;IF(AND(N($W259)&gt;0,COUNT($I259:$L259)&gt;0),"Con subactividades: deje vacías las semanas (se calculan solas)"&amp;" · ","")&amp;IF((COUNTIF($I259:$L259,"&gt;1")+COUNTIF($I259:$L259,"&lt;0")+COUNTA($I259:$L259)-COUNT($I259:$L259))&gt;0,"Avance fuera de rango 0-100%"&amp;" · ","")&amp;IF(OR(AND($J259&lt;&gt;"",$J259&lt;$I259),AND($K259&lt;&gt;"",$K259&lt;MAX($I259:$J259)),AND($L259&lt;&gt;"",$L259&lt;MAX($I259:$K259))),"Avance semanal decreciente"&amp;" · ","")&amp;IF(AND(ISNUMBER($AN259),$AN259&lt;FechaRef,IF($V259="Sub",N($X259),N($M259))&lt;1),"Vencida"&amp;" · ","")&amp;IF(AND(ObsObligatoria="Sí",ISNUMBER($AN259),$AN259&lt;FechaRef,IF($V259="Sub",N($X259),N($M259))&lt;1,$Q259=""),"Vencida sin observación"&amp;" · ",""))="","✔ OK","⚠ "&amp;LEFT(IF($C259="","Falta el nombre de la actividad"&amp;" · ","")&amp;IF(AND($V259="Sub",N($U259)=0),"Subactividad sin macroactividad arriba"&amp;" · ","")&amp;IF($AM259="","Sin fecha de inicio"&amp;" · ","")&amp;IF($AN259="","Sin fecha límite"&amp;" · ","")&amp;IF(AND(LEFT($C259,11)="[Jefatura] ",N($AL259)=0),"No se encuentra en la hoja de la jefatura (elíjala de nuevo en la lista)"&amp;" · ","")&amp;IF(OR(AND($E259&lt;&gt;"",NOT(ISNUMBER($E259))),AND($F259&lt;&gt;"",NOT(ISNUMBER($F259))),AND($G259&lt;&gt;"",NOT(ISNUMBER($G259)))),"Fecha no válida"&amp;" · ","")&amp;IF(AND(ISNUMBER($AM259),ISNUMBER($AN259),$AM259&gt;$AN259),"Inicio posterior a fecha límite"&amp;" · ","")&amp;IF(AND($V259="Macro",$H259&lt;&gt;"",OR(NOT(ISNUMBER($H259)),$H259&lt;0,$H259&gt;1)),"Peso fuera de rango"&amp;" · ","")&amp;IF(AND($V259="Sub",$H259&lt;&gt;""),"Las subactividades no llevan peso (valen igual dentro de su macroactividad)"&amp;" · ","")&amp;IF(AND(N($W259)&gt;0,COUNT($I259:$L259)&gt;0),"Con subactividades: deje vacías las semanas (se calculan solas)"&amp;" · ","")&amp;IF((COUNTIF($I259:$L259,"&gt;1")+COUNTIF($I259:$L259,"&lt;0")+COUNTA($I259:$L259)-COUNT($I259:$L259))&gt;0,"Avance fuera de rango 0-100%"&amp;" · ","")&amp;IF(OR(AND($J259&lt;&gt;"",$J259&lt;$I259),AND($K259&lt;&gt;"",$K259&lt;MAX($I259:$J259)),AND($L259&lt;&gt;"",$L259&lt;MAX($I259:$K259))),"Avance semanal decreciente"&amp;" · ","")&amp;IF(AND(ISNUMBER($AN259),$AN259&lt;FechaRef,IF($V259="Sub",N($X259),N($M259))&lt;1),"Vencida"&amp;" · ","")&amp;IF(AND(ObsObligatoria="Sí",ISNUMBER($AN259),$AN259&lt;FechaRef,IF($V259="Sub",N($X259),N($M259))&lt;1,$Q259=""),"Vencida sin observación"&amp;" · ",""),LEN(IF($C259="","Falta el nombre de la actividad"&amp;" · ","")&amp;IF(AND($V259="Sub",N($U259)=0),"Subactividad sin macroactividad arriba"&amp;" · ","")&amp;IF($AM259="","Sin fecha de inicio"&amp;" · ","")&amp;IF($AN259="","Sin fecha límite"&amp;" · ","")&amp;IF(AND(LEFT($C259,11)="[Jefatura] ",N($AL259)=0),"No se encuentra en la hoja de la jefatura (elíjala de nuevo en la lista)"&amp;" · ","")&amp;IF(OR(AND($E259&lt;&gt;"",NOT(ISNUMBER($E259))),AND($F259&lt;&gt;"",NOT(ISNUMBER($F259))),AND($G259&lt;&gt;"",NOT(ISNUMBER($G259)))),"Fecha no válida"&amp;" · ","")&amp;IF(AND(ISNUMBER($AM259),ISNUMBER($AN259),$AM259&gt;$AN259),"Inicio posterior a fecha límite"&amp;" · ","")&amp;IF(AND($V259="Macro",$H259&lt;&gt;"",OR(NOT(ISNUMBER($H259)),$H259&lt;0,$H259&gt;1)),"Peso fuera de rango"&amp;" · ","")&amp;IF(AND($V259="Sub",$H259&lt;&gt;""),"Las subactividades no llevan peso (valen igual dentro de su macroactividad)"&amp;" · ","")&amp;IF(AND(N($W259)&gt;0,COUNT($I259:$L259)&gt;0),"Con subactividades: deje vacías las semanas (se calculan solas)"&amp;" · ","")&amp;IF((COUNTIF($I259:$L259,"&gt;1")+COUNTIF($I259:$L259,"&lt;0")+COUNTA($I259:$L259)-COUNT($I259:$L259))&gt;0,"Avance fuera de rango 0-100%"&amp;" · ","")&amp;IF(OR(AND($J259&lt;&gt;"",$J259&lt;$I259),AND($K259&lt;&gt;"",$K259&lt;MAX($I259:$J259)),AND($L259&lt;&gt;"",$L259&lt;MAX($I259:$K259))),"Avance semanal decreciente"&amp;" · ","")&amp;IF(AND(ISNUMBER($AN259),$AN259&lt;FechaRef,IF($V259="Sub",N($X259),N($M259))&lt;1),"Vencida"&amp;" · ","")&amp;IF(AND(ObsObligatoria="Sí",ISNUMBER($AN259),$AN259&lt;FechaRef,IF($V259="Sub",N($X259),N($M259))&lt;1,$Q259=""),"Vencida sin observación"&amp;" · ",""))-3)))</f>
        <v/>
      </c>
      <c r="S259" s="64">
        <f>IF(NOT((COUNTA($B259:$D259)+COUNTA($G259:$L259)+COUNTA($Q259))&gt;0),"",IF(AND($V259="Sub",N($U259)&gt;0),IF(ISNUMBER(INDEX($AM$5:$AM$1000,$U259-4)),DATE(YEAR(INDEX($AM$5:$AM$1000,$U259-4)),MONTH(INDEX($AM$5:$AM$1000,$U259-4)),1),IF(ISNUMBER(INDEX($AN$5:$AN$1000,$U259-4)),DATE(YEAR(INDEX($AN$5:$AN$1000,$U259-4)),MONTH(INDEX($AN$5:$AN$1000,$U259-4)),1),MesCiclo)),IF(ISNUMBER($AM259),DATE(YEAR($AM259),MONTH($AM259),1),IF(ISNUMBER($AN259),DATE(YEAR($AN259),MONTH($AN259),1),MesCiclo))))</f>
        <v/>
      </c>
      <c r="T259" s="62">
        <f>IF(OR($S259="",$S259&lt;&gt;MesCiclo,$V259&lt;&gt;"Macro"),"",COUNTIFS($S$5:$S259,MesCiclo,$V$5:$V259,"Macro"))</f>
        <v/>
      </c>
      <c r="U259" s="62">
        <f>IF($V259="","",IF($V259="Macro",ROW(),IFERROR(LOOKUP(2,1/($V$5:$V259="Macro"),ROW($V$5:$V259)),0)))</f>
        <v/>
      </c>
      <c r="V259" s="62">
        <f>IF(NOT((COUNTA($B259:$D259)+COUNTA($G259:$L259)+COUNTA($Q259))&gt;0),"",IF($B259="Subactividad","Sub","Macro"))</f>
        <v/>
      </c>
      <c r="W259" s="62">
        <f>IF($V259="Macro",COUNTIFS($U$5:$U$1000,ROW(),$V$5:$V$1000,"Sub"),"")</f>
        <v/>
      </c>
      <c r="X259" s="62">
        <f>IF($V259="","",IF(ISNUMBER($G259),1,IFERROR(LOOKUP(2,1/($I259:$L259&lt;&gt;""),$I259:$L259),0)))</f>
        <v/>
      </c>
      <c r="Y259" s="62">
        <f>IF($V259="","",IF(AND(ISNUMBER($G259),$G259&lt;=IF($S259=MesCiclo,InicioCiclo,$S259+MOD(2-WEEKDAY($S259),7))+6),1,IF(ISNUMBER($I259),$I259,0)))</f>
        <v/>
      </c>
      <c r="Z259" s="62">
        <f>IF($V259="","",IF(AND(ISNUMBER($G259),$G259&lt;=IF($S259=MesCiclo,InicioCiclo,$S259+MOD(2-WEEKDAY($S259),7))+13),1,IF(ISNUMBER($J259),$J259,$Y259)))</f>
        <v/>
      </c>
      <c r="AA259" s="62">
        <f>IF($V259="","",IF(AND(ISNUMBER($G259),$G259&lt;=IF($S259=MesCiclo,InicioCiclo,$S259+MOD(2-WEEKDAY($S259),7))+20),1,IF(ISNUMBER($K259),$K259,$Z259)))</f>
        <v/>
      </c>
      <c r="AB259" s="62">
        <f>IF($V259="","",IF(AND(ISNUMBER($G259),$G259&lt;=IF($S259=MesCiclo,InicioCiclo,$S259+MOD(2-WEEKDAY($S259),7))+27),1,IF(ISNUMBER($L259),$L259,$AA259)))</f>
        <v/>
      </c>
      <c r="AC259" s="62">
        <f>IF($V259="","",IF(AND(ISNUMBER($G259),$G259&lt;=IF($S259=MesCiclo,InicioCiclo,$S259+MOD(2-WEEKDAY($S259),7))+6),1,IF(N($W259)&gt;0,AVERAGEIFS($Y$5:$Y$1000,$U$5:$U$1000,ROW(),$V$5:$V$1000,"Sub"),$Y259)))</f>
        <v/>
      </c>
      <c r="AD259" s="62">
        <f>IF($V259="","",IF(AND(ISNUMBER($G259),$G259&lt;=IF($S259=MesCiclo,InicioCiclo,$S259+MOD(2-WEEKDAY($S259),7))+13),1,IF(N($W259)&gt;0,AVERAGEIFS($Z$5:$Z$1000,$U$5:$U$1000,ROW(),$V$5:$V$1000,"Sub"),$Z259)))</f>
        <v/>
      </c>
      <c r="AE259" s="62">
        <f>IF($V259="","",IF(AND(ISNUMBER($G259),$G259&lt;=IF($S259=MesCiclo,InicioCiclo,$S259+MOD(2-WEEKDAY($S259),7))+20),1,IF(N($W259)&gt;0,AVERAGEIFS($AA$5:$AA$1000,$U$5:$U$1000,ROW(),$V$5:$V$1000,"Sub"),$AA259)))</f>
        <v/>
      </c>
      <c r="AF259" s="62">
        <f>IF($V259="","",IF(AND(ISNUMBER($G259),$G259&lt;=IF($S259=MesCiclo,InicioCiclo,$S259+MOD(2-WEEKDAY($S259),7))+27),1,IF(N($W259)&gt;0,AVERAGEIFS($AB$5:$AB$1000,$U$5:$U$1000,ROW(),$V$5:$V$1000,"Sub"),$AB259)))</f>
        <v/>
      </c>
      <c r="AG259" s="62">
        <f>IF($V259&lt;&gt;"Macro","",IF(COUNTIFS($S$5:$S$1000,$S259,$V$5:$V$1000,"Macro",$H$5:$H$1000,"&gt;0")=0,1/COUNTIFS($S$5:$S$1000,$S259,$V$5:$V$1000,"Macro"),IF(AND(ISNUMBER($H259),N($H259)&gt;0),$H259,SUMIFS($H$5:$H$1000,$S$5:$S$1000,$S259,$V$5:$V$1000,"Macro")/COUNTIFS($S$5:$S$1000,$S259,$V$5:$V$1000,"Macro",$H$5:$H$1000,"&gt;0"))/(COUNTIFS($S$5:$S$1000,$S259,$V$5:$V$1000,"Macro")*SUMIFS($H$5:$H$1000,$S$5:$S$1000,$S259,$V$5:$V$1000,"Macro")/COUNTIFS($S$5:$S$1000,$S259,$V$5:$V$1000,"Macro",$H$5:$H$1000,"&gt;0"))))</f>
        <v/>
      </c>
      <c r="AH259" s="62" t="n"/>
      <c r="AI259" s="62" t="n"/>
      <c r="AJ259" s="62" t="n"/>
      <c r="AK259" s="62" t="n"/>
      <c r="AL259" s="62">
        <f>IF(LEFT($C259,11)="[Jefatura] ",IFERROR(MATCH("Riesgo Financiero|"&amp;MID($C259,12,500),rDname_ADM,0),0),"")</f>
        <v/>
      </c>
      <c r="AM259" s="62">
        <f>IF(N($AL259)&gt;0,INDEX(rIni_ADM,$AL259),IF(ISNUMBER($E259),$E259,""))</f>
        <v/>
      </c>
      <c r="AN259" s="62">
        <f>IF(N($AL259)&gt;0,INDEX(rLim_ADM,$AL259),IF(ISNUMBER($F259),$F259,""))</f>
        <v/>
      </c>
    </row>
    <row r="260">
      <c r="A260" s="56">
        <f>IF(NOT((COUNTA($B260:$D260)+COUNTA($G260:$L260)+COUNTA($Q260))&gt;0),"",IF($V260="Macro",COUNTIFS($V$5:$V260,"Macro",$S$5:$S260,$S260),IF(N($U260)=0,"?",COUNTIFS(INDEX($V$5:$V$1000,1):INDEX($V$5:$V$1000,$U260-4),"Macro",INDEX($S$5:$S$1000,1):INDEX($S$5:$S$1000,$U260-4),INDEX($S$5:$S$1000,$U260-4))&amp;"."&amp;COUNTIFS($U$5:$U260,$U260,$V$5:$V260,"Sub"))))</f>
        <v/>
      </c>
      <c r="B260" s="57" t="n"/>
      <c r="C260" s="58" t="n"/>
      <c r="D260" s="58" t="n"/>
      <c r="E260" s="59">
        <f>IF(N($AL260)&gt;0,INDEX(rIni_ADM,$AL260),"")</f>
        <v/>
      </c>
      <c r="F260" s="59">
        <f>IF(N($AL260)&gt;0,INDEX(rLim_ADM,$AL260),"")</f>
        <v/>
      </c>
      <c r="G260" s="59" t="n"/>
      <c r="H260" s="60" t="n"/>
      <c r="I260" s="60" t="n"/>
      <c r="J260" s="60" t="n"/>
      <c r="K260" s="60" t="n"/>
      <c r="L260" s="60" t="n"/>
      <c r="M260" s="61">
        <f>IF(NOT((COUNTA($B260:$D260)+COUNTA($G260:$L260)+COUNTA($Q260))&gt;0),"",IF($V260="Sub",IFERROR($X260/INDEX($W$5:$W$1000,$U260-4),""),IF(ISNUMBER($G260),1,IF(N($W260)&gt;0,AVERAGEIFS($X$5:$X$1000,$U$5:$U$1000,ROW(),$V$5:$V$1000,"Sub"),$X260))))</f>
        <v/>
      </c>
      <c r="N260" s="56">
        <f>IF(OR($M260="",$V260="Sub"),"",IF($M260&gt;=1,"Completado",IF($M260&gt;0,"En curso","Pendiente")))</f>
        <v/>
      </c>
      <c r="O260" s="56">
        <f>IF(OR(NOT((COUNTA($B260:$D260)+COUNTA($G260:$L260)+COUNTA($Q260))&gt;0),$V260="Sub"),"",IF(ISNUMBER($G260),IF(AND(ISNUMBER($AN260),$G260&gt;$AN260),"Cumplida con "&amp;($G260-$AN260)&amp;IF($G260-$AN260=1," día"," días")&amp;" de retraso","Cumplida"),IF(N($M260)&gt;=1,"Cumplida",IF(NOT(ISNUMBER($AN260)),"Sin fecha límite",IF($AN260&lt;FechaRef,"Vencida hace "&amp;(FechaRef-$AN260)&amp;IF(FechaRef-$AN260=1," día"," días"),IF($AN260=FechaRef,"Vence hoy",IF($AN260-FechaRef&lt;=DiasAlerta,"Vence en "&amp;($AN260-FechaRef)&amp;IF($AN260-FechaRef=1," día"," días"),"En plazo")))))))</f>
        <v/>
      </c>
      <c r="P260" s="62" t="n"/>
      <c r="Q260" s="58" t="n"/>
      <c r="R260" s="63">
        <f>IF(NOT((COUNTA($B260:$D260)+COUNTA($G260:$L260)+COUNTA($Q260))&gt;0),"",IF((IF($C260="","Falta el nombre de la actividad"&amp;" · ","")&amp;IF(AND($V260="Sub",N($U260)=0),"Subactividad sin macroactividad arriba"&amp;" · ","")&amp;IF($AM260="","Sin fecha de inicio"&amp;" · ","")&amp;IF($AN260="","Sin fecha límite"&amp;" · ","")&amp;IF(AND(LEFT($C260,11)="[Jefatura] ",N($AL260)=0),"No se encuentra en la hoja de la jefatura (elíjala de nuevo en la lista)"&amp;" · ","")&amp;IF(OR(AND($E260&lt;&gt;"",NOT(ISNUMBER($E260))),AND($F260&lt;&gt;"",NOT(ISNUMBER($F260))),AND($G260&lt;&gt;"",NOT(ISNUMBER($G260)))),"Fecha no válida"&amp;" · ","")&amp;IF(AND(ISNUMBER($AM260),ISNUMBER($AN260),$AM260&gt;$AN260),"Inicio posterior a fecha límite"&amp;" · ","")&amp;IF(AND($V260="Macro",$H260&lt;&gt;"",OR(NOT(ISNUMBER($H260)),$H260&lt;0,$H260&gt;1)),"Peso fuera de rango"&amp;" · ","")&amp;IF(AND($V260="Sub",$H260&lt;&gt;""),"Las subactividades no llevan peso (valen igual dentro de su macroactividad)"&amp;" · ","")&amp;IF(AND(N($W260)&gt;0,COUNT($I260:$L260)&gt;0),"Con subactividades: deje vacías las semanas (se calculan solas)"&amp;" · ","")&amp;IF((COUNTIF($I260:$L260,"&gt;1")+COUNTIF($I260:$L260,"&lt;0")+COUNTA($I260:$L260)-COUNT($I260:$L260))&gt;0,"Avance fuera de rango 0-100%"&amp;" · ","")&amp;IF(OR(AND($J260&lt;&gt;"",$J260&lt;$I260),AND($K260&lt;&gt;"",$K260&lt;MAX($I260:$J260)),AND($L260&lt;&gt;"",$L260&lt;MAX($I260:$K260))),"Avance semanal decreciente"&amp;" · ","")&amp;IF(AND(ISNUMBER($AN260),$AN260&lt;FechaRef,IF($V260="Sub",N($X260),N($M260))&lt;1),"Vencida"&amp;" · ","")&amp;IF(AND(ObsObligatoria="Sí",ISNUMBER($AN260),$AN260&lt;FechaRef,IF($V260="Sub",N($X260),N($M260))&lt;1,$Q260=""),"Vencida sin observación"&amp;" · ",""))="","✔ OK","⚠ "&amp;LEFT(IF($C260="","Falta el nombre de la actividad"&amp;" · ","")&amp;IF(AND($V260="Sub",N($U260)=0),"Subactividad sin macroactividad arriba"&amp;" · ","")&amp;IF($AM260="","Sin fecha de inicio"&amp;" · ","")&amp;IF($AN260="","Sin fecha límite"&amp;" · ","")&amp;IF(AND(LEFT($C260,11)="[Jefatura] ",N($AL260)=0),"No se encuentra en la hoja de la jefatura (elíjala de nuevo en la lista)"&amp;" · ","")&amp;IF(OR(AND($E260&lt;&gt;"",NOT(ISNUMBER($E260))),AND($F260&lt;&gt;"",NOT(ISNUMBER($F260))),AND($G260&lt;&gt;"",NOT(ISNUMBER($G260)))),"Fecha no válida"&amp;" · ","")&amp;IF(AND(ISNUMBER($AM260),ISNUMBER($AN260),$AM260&gt;$AN260),"Inicio posterior a fecha límite"&amp;" · ","")&amp;IF(AND($V260="Macro",$H260&lt;&gt;"",OR(NOT(ISNUMBER($H260)),$H260&lt;0,$H260&gt;1)),"Peso fuera de rango"&amp;" · ","")&amp;IF(AND($V260="Sub",$H260&lt;&gt;""),"Las subactividades no llevan peso (valen igual dentro de su macroactividad)"&amp;" · ","")&amp;IF(AND(N($W260)&gt;0,COUNT($I260:$L260)&gt;0),"Con subactividades: deje vacías las semanas (se calculan solas)"&amp;" · ","")&amp;IF((COUNTIF($I260:$L260,"&gt;1")+COUNTIF($I260:$L260,"&lt;0")+COUNTA($I260:$L260)-COUNT($I260:$L260))&gt;0,"Avance fuera de rango 0-100%"&amp;" · ","")&amp;IF(OR(AND($J260&lt;&gt;"",$J260&lt;$I260),AND($K260&lt;&gt;"",$K260&lt;MAX($I260:$J260)),AND($L260&lt;&gt;"",$L260&lt;MAX($I260:$K260))),"Avance semanal decreciente"&amp;" · ","")&amp;IF(AND(ISNUMBER($AN260),$AN260&lt;FechaRef,IF($V260="Sub",N($X260),N($M260))&lt;1),"Vencida"&amp;" · ","")&amp;IF(AND(ObsObligatoria="Sí",ISNUMBER($AN260),$AN260&lt;FechaRef,IF($V260="Sub",N($X260),N($M260))&lt;1,$Q260=""),"Vencida sin observación"&amp;" · ",""),LEN(IF($C260="","Falta el nombre de la actividad"&amp;" · ","")&amp;IF(AND($V260="Sub",N($U260)=0),"Subactividad sin macroactividad arriba"&amp;" · ","")&amp;IF($AM260="","Sin fecha de inicio"&amp;" · ","")&amp;IF($AN260="","Sin fecha límite"&amp;" · ","")&amp;IF(AND(LEFT($C260,11)="[Jefatura] ",N($AL260)=0),"No se encuentra en la hoja de la jefatura (elíjala de nuevo en la lista)"&amp;" · ","")&amp;IF(OR(AND($E260&lt;&gt;"",NOT(ISNUMBER($E260))),AND($F260&lt;&gt;"",NOT(ISNUMBER($F260))),AND($G260&lt;&gt;"",NOT(ISNUMBER($G260)))),"Fecha no válida"&amp;" · ","")&amp;IF(AND(ISNUMBER($AM260),ISNUMBER($AN260),$AM260&gt;$AN260),"Inicio posterior a fecha límite"&amp;" · ","")&amp;IF(AND($V260="Macro",$H260&lt;&gt;"",OR(NOT(ISNUMBER($H260)),$H260&lt;0,$H260&gt;1)),"Peso fuera de rango"&amp;" · ","")&amp;IF(AND($V260="Sub",$H260&lt;&gt;""),"Las subactividades no llevan peso (valen igual dentro de su macroactividad)"&amp;" · ","")&amp;IF(AND(N($W260)&gt;0,COUNT($I260:$L260)&gt;0),"Con subactividades: deje vacías las semanas (se calculan solas)"&amp;" · ","")&amp;IF((COUNTIF($I260:$L260,"&gt;1")+COUNTIF($I260:$L260,"&lt;0")+COUNTA($I260:$L260)-COUNT($I260:$L260))&gt;0,"Avance fuera de rango 0-100%"&amp;" · ","")&amp;IF(OR(AND($J260&lt;&gt;"",$J260&lt;$I260),AND($K260&lt;&gt;"",$K260&lt;MAX($I260:$J260)),AND($L260&lt;&gt;"",$L260&lt;MAX($I260:$K260))),"Avance semanal decreciente"&amp;" · ","")&amp;IF(AND(ISNUMBER($AN260),$AN260&lt;FechaRef,IF($V260="Sub",N($X260),N($M260))&lt;1),"Vencida"&amp;" · ","")&amp;IF(AND(ObsObligatoria="Sí",ISNUMBER($AN260),$AN260&lt;FechaRef,IF($V260="Sub",N($X260),N($M260))&lt;1,$Q260=""),"Vencida sin observación"&amp;" · ",""))-3)))</f>
        <v/>
      </c>
      <c r="S260" s="64">
        <f>IF(NOT((COUNTA($B260:$D260)+COUNTA($G260:$L260)+COUNTA($Q260))&gt;0),"",IF(AND($V260="Sub",N($U260)&gt;0),IF(ISNUMBER(INDEX($AM$5:$AM$1000,$U260-4)),DATE(YEAR(INDEX($AM$5:$AM$1000,$U260-4)),MONTH(INDEX($AM$5:$AM$1000,$U260-4)),1),IF(ISNUMBER(INDEX($AN$5:$AN$1000,$U260-4)),DATE(YEAR(INDEX($AN$5:$AN$1000,$U260-4)),MONTH(INDEX($AN$5:$AN$1000,$U260-4)),1),MesCiclo)),IF(ISNUMBER($AM260),DATE(YEAR($AM260),MONTH($AM260),1),IF(ISNUMBER($AN260),DATE(YEAR($AN260),MONTH($AN260),1),MesCiclo))))</f>
        <v/>
      </c>
      <c r="T260" s="62">
        <f>IF(OR($S260="",$S260&lt;&gt;MesCiclo,$V260&lt;&gt;"Macro"),"",COUNTIFS($S$5:$S260,MesCiclo,$V$5:$V260,"Macro"))</f>
        <v/>
      </c>
      <c r="U260" s="62">
        <f>IF($V260="","",IF($V260="Macro",ROW(),IFERROR(LOOKUP(2,1/($V$5:$V260="Macro"),ROW($V$5:$V260)),0)))</f>
        <v/>
      </c>
      <c r="V260" s="62">
        <f>IF(NOT((COUNTA($B260:$D260)+COUNTA($G260:$L260)+COUNTA($Q260))&gt;0),"",IF($B260="Subactividad","Sub","Macro"))</f>
        <v/>
      </c>
      <c r="W260" s="62">
        <f>IF($V260="Macro",COUNTIFS($U$5:$U$1000,ROW(),$V$5:$V$1000,"Sub"),"")</f>
        <v/>
      </c>
      <c r="X260" s="62">
        <f>IF($V260="","",IF(ISNUMBER($G260),1,IFERROR(LOOKUP(2,1/($I260:$L260&lt;&gt;""),$I260:$L260),0)))</f>
        <v/>
      </c>
      <c r="Y260" s="62">
        <f>IF($V260="","",IF(AND(ISNUMBER($G260),$G260&lt;=IF($S260=MesCiclo,InicioCiclo,$S260+MOD(2-WEEKDAY($S260),7))+6),1,IF(ISNUMBER($I260),$I260,0)))</f>
        <v/>
      </c>
      <c r="Z260" s="62">
        <f>IF($V260="","",IF(AND(ISNUMBER($G260),$G260&lt;=IF($S260=MesCiclo,InicioCiclo,$S260+MOD(2-WEEKDAY($S260),7))+13),1,IF(ISNUMBER($J260),$J260,$Y260)))</f>
        <v/>
      </c>
      <c r="AA260" s="62">
        <f>IF($V260="","",IF(AND(ISNUMBER($G260),$G260&lt;=IF($S260=MesCiclo,InicioCiclo,$S260+MOD(2-WEEKDAY($S260),7))+20),1,IF(ISNUMBER($K260),$K260,$Z260)))</f>
        <v/>
      </c>
      <c r="AB260" s="62">
        <f>IF($V260="","",IF(AND(ISNUMBER($G260),$G260&lt;=IF($S260=MesCiclo,InicioCiclo,$S260+MOD(2-WEEKDAY($S260),7))+27),1,IF(ISNUMBER($L260),$L260,$AA260)))</f>
        <v/>
      </c>
      <c r="AC260" s="62">
        <f>IF($V260="","",IF(AND(ISNUMBER($G260),$G260&lt;=IF($S260=MesCiclo,InicioCiclo,$S260+MOD(2-WEEKDAY($S260),7))+6),1,IF(N($W260)&gt;0,AVERAGEIFS($Y$5:$Y$1000,$U$5:$U$1000,ROW(),$V$5:$V$1000,"Sub"),$Y260)))</f>
        <v/>
      </c>
      <c r="AD260" s="62">
        <f>IF($V260="","",IF(AND(ISNUMBER($G260),$G260&lt;=IF($S260=MesCiclo,InicioCiclo,$S260+MOD(2-WEEKDAY($S260),7))+13),1,IF(N($W260)&gt;0,AVERAGEIFS($Z$5:$Z$1000,$U$5:$U$1000,ROW(),$V$5:$V$1000,"Sub"),$Z260)))</f>
        <v/>
      </c>
      <c r="AE260" s="62">
        <f>IF($V260="","",IF(AND(ISNUMBER($G260),$G260&lt;=IF($S260=MesCiclo,InicioCiclo,$S260+MOD(2-WEEKDAY($S260),7))+20),1,IF(N($W260)&gt;0,AVERAGEIFS($AA$5:$AA$1000,$U$5:$U$1000,ROW(),$V$5:$V$1000,"Sub"),$AA260)))</f>
        <v/>
      </c>
      <c r="AF260" s="62">
        <f>IF($V260="","",IF(AND(ISNUMBER($G260),$G260&lt;=IF($S260=MesCiclo,InicioCiclo,$S260+MOD(2-WEEKDAY($S260),7))+27),1,IF(N($W260)&gt;0,AVERAGEIFS($AB$5:$AB$1000,$U$5:$U$1000,ROW(),$V$5:$V$1000,"Sub"),$AB260)))</f>
        <v/>
      </c>
      <c r="AG260" s="62">
        <f>IF($V260&lt;&gt;"Macro","",IF(COUNTIFS($S$5:$S$1000,$S260,$V$5:$V$1000,"Macro",$H$5:$H$1000,"&gt;0")=0,1/COUNTIFS($S$5:$S$1000,$S260,$V$5:$V$1000,"Macro"),IF(AND(ISNUMBER($H260),N($H260)&gt;0),$H260,SUMIFS($H$5:$H$1000,$S$5:$S$1000,$S260,$V$5:$V$1000,"Macro")/COUNTIFS($S$5:$S$1000,$S260,$V$5:$V$1000,"Macro",$H$5:$H$1000,"&gt;0"))/(COUNTIFS($S$5:$S$1000,$S260,$V$5:$V$1000,"Macro")*SUMIFS($H$5:$H$1000,$S$5:$S$1000,$S260,$V$5:$V$1000,"Macro")/COUNTIFS($S$5:$S$1000,$S260,$V$5:$V$1000,"Macro",$H$5:$H$1000,"&gt;0"))))</f>
        <v/>
      </c>
      <c r="AH260" s="62" t="n"/>
      <c r="AI260" s="62" t="n"/>
      <c r="AJ260" s="62" t="n"/>
      <c r="AK260" s="62" t="n"/>
      <c r="AL260" s="62">
        <f>IF(LEFT($C260,11)="[Jefatura] ",IFERROR(MATCH("Riesgo Financiero|"&amp;MID($C260,12,500),rDname_ADM,0),0),"")</f>
        <v/>
      </c>
      <c r="AM260" s="62">
        <f>IF(N($AL260)&gt;0,INDEX(rIni_ADM,$AL260),IF(ISNUMBER($E260),$E260,""))</f>
        <v/>
      </c>
      <c r="AN260" s="62">
        <f>IF(N($AL260)&gt;0,INDEX(rLim_ADM,$AL260),IF(ISNUMBER($F260),$F260,""))</f>
        <v/>
      </c>
    </row>
    <row r="261">
      <c r="A261" s="56">
        <f>IF(NOT((COUNTA($B261:$D261)+COUNTA($G261:$L261)+COUNTA($Q261))&gt;0),"",IF($V261="Macro",COUNTIFS($V$5:$V261,"Macro",$S$5:$S261,$S261),IF(N($U261)=0,"?",COUNTIFS(INDEX($V$5:$V$1000,1):INDEX($V$5:$V$1000,$U261-4),"Macro",INDEX($S$5:$S$1000,1):INDEX($S$5:$S$1000,$U261-4),INDEX($S$5:$S$1000,$U261-4))&amp;"."&amp;COUNTIFS($U$5:$U261,$U261,$V$5:$V261,"Sub"))))</f>
        <v/>
      </c>
      <c r="B261" s="57" t="n"/>
      <c r="C261" s="58" t="n"/>
      <c r="D261" s="58" t="n"/>
      <c r="E261" s="59">
        <f>IF(N($AL261)&gt;0,INDEX(rIni_ADM,$AL261),"")</f>
        <v/>
      </c>
      <c r="F261" s="59">
        <f>IF(N($AL261)&gt;0,INDEX(rLim_ADM,$AL261),"")</f>
        <v/>
      </c>
      <c r="G261" s="59" t="n"/>
      <c r="H261" s="60" t="n"/>
      <c r="I261" s="60" t="n"/>
      <c r="J261" s="60" t="n"/>
      <c r="K261" s="60" t="n"/>
      <c r="L261" s="60" t="n"/>
      <c r="M261" s="61">
        <f>IF(NOT((COUNTA($B261:$D261)+COUNTA($G261:$L261)+COUNTA($Q261))&gt;0),"",IF($V261="Sub",IFERROR($X261/INDEX($W$5:$W$1000,$U261-4),""),IF(ISNUMBER($G261),1,IF(N($W261)&gt;0,AVERAGEIFS($X$5:$X$1000,$U$5:$U$1000,ROW(),$V$5:$V$1000,"Sub"),$X261))))</f>
        <v/>
      </c>
      <c r="N261" s="56">
        <f>IF(OR($M261="",$V261="Sub"),"",IF($M261&gt;=1,"Completado",IF($M261&gt;0,"En curso","Pendiente")))</f>
        <v/>
      </c>
      <c r="O261" s="56">
        <f>IF(OR(NOT((COUNTA($B261:$D261)+COUNTA($G261:$L261)+COUNTA($Q261))&gt;0),$V261="Sub"),"",IF(ISNUMBER($G261),IF(AND(ISNUMBER($AN261),$G261&gt;$AN261),"Cumplida con "&amp;($G261-$AN261)&amp;IF($G261-$AN261=1," día"," días")&amp;" de retraso","Cumplida"),IF(N($M261)&gt;=1,"Cumplida",IF(NOT(ISNUMBER($AN261)),"Sin fecha límite",IF($AN261&lt;FechaRef,"Vencida hace "&amp;(FechaRef-$AN261)&amp;IF(FechaRef-$AN261=1," día"," días"),IF($AN261=FechaRef,"Vence hoy",IF($AN261-FechaRef&lt;=DiasAlerta,"Vence en "&amp;($AN261-FechaRef)&amp;IF($AN261-FechaRef=1," día"," días"),"En plazo")))))))</f>
        <v/>
      </c>
      <c r="P261" s="62" t="n"/>
      <c r="Q261" s="58" t="n"/>
      <c r="R261" s="63">
        <f>IF(NOT((COUNTA($B261:$D261)+COUNTA($G261:$L261)+COUNTA($Q261))&gt;0),"",IF((IF($C261="","Falta el nombre de la actividad"&amp;" · ","")&amp;IF(AND($V261="Sub",N($U261)=0),"Subactividad sin macroactividad arriba"&amp;" · ","")&amp;IF($AM261="","Sin fecha de inicio"&amp;" · ","")&amp;IF($AN261="","Sin fecha límite"&amp;" · ","")&amp;IF(AND(LEFT($C261,11)="[Jefatura] ",N($AL261)=0),"No se encuentra en la hoja de la jefatura (elíjala de nuevo en la lista)"&amp;" · ","")&amp;IF(OR(AND($E261&lt;&gt;"",NOT(ISNUMBER($E261))),AND($F261&lt;&gt;"",NOT(ISNUMBER($F261))),AND($G261&lt;&gt;"",NOT(ISNUMBER($G261)))),"Fecha no válida"&amp;" · ","")&amp;IF(AND(ISNUMBER($AM261),ISNUMBER($AN261),$AM261&gt;$AN261),"Inicio posterior a fecha límite"&amp;" · ","")&amp;IF(AND($V261="Macro",$H261&lt;&gt;"",OR(NOT(ISNUMBER($H261)),$H261&lt;0,$H261&gt;1)),"Peso fuera de rango"&amp;" · ","")&amp;IF(AND($V261="Sub",$H261&lt;&gt;""),"Las subactividades no llevan peso (valen igual dentro de su macroactividad)"&amp;" · ","")&amp;IF(AND(N($W261)&gt;0,COUNT($I261:$L261)&gt;0),"Con subactividades: deje vacías las semanas (se calculan solas)"&amp;" · ","")&amp;IF((COUNTIF($I261:$L261,"&gt;1")+COUNTIF($I261:$L261,"&lt;0")+COUNTA($I261:$L261)-COUNT($I261:$L261))&gt;0,"Avance fuera de rango 0-100%"&amp;" · ","")&amp;IF(OR(AND($J261&lt;&gt;"",$J261&lt;$I261),AND($K261&lt;&gt;"",$K261&lt;MAX($I261:$J261)),AND($L261&lt;&gt;"",$L261&lt;MAX($I261:$K261))),"Avance semanal decreciente"&amp;" · ","")&amp;IF(AND(ISNUMBER($AN261),$AN261&lt;FechaRef,IF($V261="Sub",N($X261),N($M261))&lt;1),"Vencida"&amp;" · ","")&amp;IF(AND(ObsObligatoria="Sí",ISNUMBER($AN261),$AN261&lt;FechaRef,IF($V261="Sub",N($X261),N($M261))&lt;1,$Q261=""),"Vencida sin observación"&amp;" · ",""))="","✔ OK","⚠ "&amp;LEFT(IF($C261="","Falta el nombre de la actividad"&amp;" · ","")&amp;IF(AND($V261="Sub",N($U261)=0),"Subactividad sin macroactividad arriba"&amp;" · ","")&amp;IF($AM261="","Sin fecha de inicio"&amp;" · ","")&amp;IF($AN261="","Sin fecha límite"&amp;" · ","")&amp;IF(AND(LEFT($C261,11)="[Jefatura] ",N($AL261)=0),"No se encuentra en la hoja de la jefatura (elíjala de nuevo en la lista)"&amp;" · ","")&amp;IF(OR(AND($E261&lt;&gt;"",NOT(ISNUMBER($E261))),AND($F261&lt;&gt;"",NOT(ISNUMBER($F261))),AND($G261&lt;&gt;"",NOT(ISNUMBER($G261)))),"Fecha no válida"&amp;" · ","")&amp;IF(AND(ISNUMBER($AM261),ISNUMBER($AN261),$AM261&gt;$AN261),"Inicio posterior a fecha límite"&amp;" · ","")&amp;IF(AND($V261="Macro",$H261&lt;&gt;"",OR(NOT(ISNUMBER($H261)),$H261&lt;0,$H261&gt;1)),"Peso fuera de rango"&amp;" · ","")&amp;IF(AND($V261="Sub",$H261&lt;&gt;""),"Las subactividades no llevan peso (valen igual dentro de su macroactividad)"&amp;" · ","")&amp;IF(AND(N($W261)&gt;0,COUNT($I261:$L261)&gt;0),"Con subactividades: deje vacías las semanas (se calculan solas)"&amp;" · ","")&amp;IF((COUNTIF($I261:$L261,"&gt;1")+COUNTIF($I261:$L261,"&lt;0")+COUNTA($I261:$L261)-COUNT($I261:$L261))&gt;0,"Avance fuera de rango 0-100%"&amp;" · ","")&amp;IF(OR(AND($J261&lt;&gt;"",$J261&lt;$I261),AND($K261&lt;&gt;"",$K261&lt;MAX($I261:$J261)),AND($L261&lt;&gt;"",$L261&lt;MAX($I261:$K261))),"Avance semanal decreciente"&amp;" · ","")&amp;IF(AND(ISNUMBER($AN261),$AN261&lt;FechaRef,IF($V261="Sub",N($X261),N($M261))&lt;1),"Vencida"&amp;" · ","")&amp;IF(AND(ObsObligatoria="Sí",ISNUMBER($AN261),$AN261&lt;FechaRef,IF($V261="Sub",N($X261),N($M261))&lt;1,$Q261=""),"Vencida sin observación"&amp;" · ",""),LEN(IF($C261="","Falta el nombre de la actividad"&amp;" · ","")&amp;IF(AND($V261="Sub",N($U261)=0),"Subactividad sin macroactividad arriba"&amp;" · ","")&amp;IF($AM261="","Sin fecha de inicio"&amp;" · ","")&amp;IF($AN261="","Sin fecha límite"&amp;" · ","")&amp;IF(AND(LEFT($C261,11)="[Jefatura] ",N($AL261)=0),"No se encuentra en la hoja de la jefatura (elíjala de nuevo en la lista)"&amp;" · ","")&amp;IF(OR(AND($E261&lt;&gt;"",NOT(ISNUMBER($E261))),AND($F261&lt;&gt;"",NOT(ISNUMBER($F261))),AND($G261&lt;&gt;"",NOT(ISNUMBER($G261)))),"Fecha no válida"&amp;" · ","")&amp;IF(AND(ISNUMBER($AM261),ISNUMBER($AN261),$AM261&gt;$AN261),"Inicio posterior a fecha límite"&amp;" · ","")&amp;IF(AND($V261="Macro",$H261&lt;&gt;"",OR(NOT(ISNUMBER($H261)),$H261&lt;0,$H261&gt;1)),"Peso fuera de rango"&amp;" · ","")&amp;IF(AND($V261="Sub",$H261&lt;&gt;""),"Las subactividades no llevan peso (valen igual dentro de su macroactividad)"&amp;" · ","")&amp;IF(AND(N($W261)&gt;0,COUNT($I261:$L261)&gt;0),"Con subactividades: deje vacías las semanas (se calculan solas)"&amp;" · ","")&amp;IF((COUNTIF($I261:$L261,"&gt;1")+COUNTIF($I261:$L261,"&lt;0")+COUNTA($I261:$L261)-COUNT($I261:$L261))&gt;0,"Avance fuera de rango 0-100%"&amp;" · ","")&amp;IF(OR(AND($J261&lt;&gt;"",$J261&lt;$I261),AND($K261&lt;&gt;"",$K261&lt;MAX($I261:$J261)),AND($L261&lt;&gt;"",$L261&lt;MAX($I261:$K261))),"Avance semanal decreciente"&amp;" · ","")&amp;IF(AND(ISNUMBER($AN261),$AN261&lt;FechaRef,IF($V261="Sub",N($X261),N($M261))&lt;1),"Vencida"&amp;" · ","")&amp;IF(AND(ObsObligatoria="Sí",ISNUMBER($AN261),$AN261&lt;FechaRef,IF($V261="Sub",N($X261),N($M261))&lt;1,$Q261=""),"Vencida sin observación"&amp;" · ",""))-3)))</f>
        <v/>
      </c>
      <c r="S261" s="64">
        <f>IF(NOT((COUNTA($B261:$D261)+COUNTA($G261:$L261)+COUNTA($Q261))&gt;0),"",IF(AND($V261="Sub",N($U261)&gt;0),IF(ISNUMBER(INDEX($AM$5:$AM$1000,$U261-4)),DATE(YEAR(INDEX($AM$5:$AM$1000,$U261-4)),MONTH(INDEX($AM$5:$AM$1000,$U261-4)),1),IF(ISNUMBER(INDEX($AN$5:$AN$1000,$U261-4)),DATE(YEAR(INDEX($AN$5:$AN$1000,$U261-4)),MONTH(INDEX($AN$5:$AN$1000,$U261-4)),1),MesCiclo)),IF(ISNUMBER($AM261),DATE(YEAR($AM261),MONTH($AM261),1),IF(ISNUMBER($AN261),DATE(YEAR($AN261),MONTH($AN261),1),MesCiclo))))</f>
        <v/>
      </c>
      <c r="T261" s="62">
        <f>IF(OR($S261="",$S261&lt;&gt;MesCiclo,$V261&lt;&gt;"Macro"),"",COUNTIFS($S$5:$S261,MesCiclo,$V$5:$V261,"Macro"))</f>
        <v/>
      </c>
      <c r="U261" s="62">
        <f>IF($V261="","",IF($V261="Macro",ROW(),IFERROR(LOOKUP(2,1/($V$5:$V261="Macro"),ROW($V$5:$V261)),0)))</f>
        <v/>
      </c>
      <c r="V261" s="62">
        <f>IF(NOT((COUNTA($B261:$D261)+COUNTA($G261:$L261)+COUNTA($Q261))&gt;0),"",IF($B261="Subactividad","Sub","Macro"))</f>
        <v/>
      </c>
      <c r="W261" s="62">
        <f>IF($V261="Macro",COUNTIFS($U$5:$U$1000,ROW(),$V$5:$V$1000,"Sub"),"")</f>
        <v/>
      </c>
      <c r="X261" s="62">
        <f>IF($V261="","",IF(ISNUMBER($G261),1,IFERROR(LOOKUP(2,1/($I261:$L261&lt;&gt;""),$I261:$L261),0)))</f>
        <v/>
      </c>
      <c r="Y261" s="62">
        <f>IF($V261="","",IF(AND(ISNUMBER($G261),$G261&lt;=IF($S261=MesCiclo,InicioCiclo,$S261+MOD(2-WEEKDAY($S261),7))+6),1,IF(ISNUMBER($I261),$I261,0)))</f>
        <v/>
      </c>
      <c r="Z261" s="62">
        <f>IF($V261="","",IF(AND(ISNUMBER($G261),$G261&lt;=IF($S261=MesCiclo,InicioCiclo,$S261+MOD(2-WEEKDAY($S261),7))+13),1,IF(ISNUMBER($J261),$J261,$Y261)))</f>
        <v/>
      </c>
      <c r="AA261" s="62">
        <f>IF($V261="","",IF(AND(ISNUMBER($G261),$G261&lt;=IF($S261=MesCiclo,InicioCiclo,$S261+MOD(2-WEEKDAY($S261),7))+20),1,IF(ISNUMBER($K261),$K261,$Z261)))</f>
        <v/>
      </c>
      <c r="AB261" s="62">
        <f>IF($V261="","",IF(AND(ISNUMBER($G261),$G261&lt;=IF($S261=MesCiclo,InicioCiclo,$S261+MOD(2-WEEKDAY($S261),7))+27),1,IF(ISNUMBER($L261),$L261,$AA261)))</f>
        <v/>
      </c>
      <c r="AC261" s="62">
        <f>IF($V261="","",IF(AND(ISNUMBER($G261),$G261&lt;=IF($S261=MesCiclo,InicioCiclo,$S261+MOD(2-WEEKDAY($S261),7))+6),1,IF(N($W261)&gt;0,AVERAGEIFS($Y$5:$Y$1000,$U$5:$U$1000,ROW(),$V$5:$V$1000,"Sub"),$Y261)))</f>
        <v/>
      </c>
      <c r="AD261" s="62">
        <f>IF($V261="","",IF(AND(ISNUMBER($G261),$G261&lt;=IF($S261=MesCiclo,InicioCiclo,$S261+MOD(2-WEEKDAY($S261),7))+13),1,IF(N($W261)&gt;0,AVERAGEIFS($Z$5:$Z$1000,$U$5:$U$1000,ROW(),$V$5:$V$1000,"Sub"),$Z261)))</f>
        <v/>
      </c>
      <c r="AE261" s="62">
        <f>IF($V261="","",IF(AND(ISNUMBER($G261),$G261&lt;=IF($S261=MesCiclo,InicioCiclo,$S261+MOD(2-WEEKDAY($S261),7))+20),1,IF(N($W261)&gt;0,AVERAGEIFS($AA$5:$AA$1000,$U$5:$U$1000,ROW(),$V$5:$V$1000,"Sub"),$AA261)))</f>
        <v/>
      </c>
      <c r="AF261" s="62">
        <f>IF($V261="","",IF(AND(ISNUMBER($G261),$G261&lt;=IF($S261=MesCiclo,InicioCiclo,$S261+MOD(2-WEEKDAY($S261),7))+27),1,IF(N($W261)&gt;0,AVERAGEIFS($AB$5:$AB$1000,$U$5:$U$1000,ROW(),$V$5:$V$1000,"Sub"),$AB261)))</f>
        <v/>
      </c>
      <c r="AG261" s="62">
        <f>IF($V261&lt;&gt;"Macro","",IF(COUNTIFS($S$5:$S$1000,$S261,$V$5:$V$1000,"Macro",$H$5:$H$1000,"&gt;0")=0,1/COUNTIFS($S$5:$S$1000,$S261,$V$5:$V$1000,"Macro"),IF(AND(ISNUMBER($H261),N($H261)&gt;0),$H261,SUMIFS($H$5:$H$1000,$S$5:$S$1000,$S261,$V$5:$V$1000,"Macro")/COUNTIFS($S$5:$S$1000,$S261,$V$5:$V$1000,"Macro",$H$5:$H$1000,"&gt;0"))/(COUNTIFS($S$5:$S$1000,$S261,$V$5:$V$1000,"Macro")*SUMIFS($H$5:$H$1000,$S$5:$S$1000,$S261,$V$5:$V$1000,"Macro")/COUNTIFS($S$5:$S$1000,$S261,$V$5:$V$1000,"Macro",$H$5:$H$1000,"&gt;0"))))</f>
        <v/>
      </c>
      <c r="AH261" s="62" t="n"/>
      <c r="AI261" s="62" t="n"/>
      <c r="AJ261" s="62" t="n"/>
      <c r="AK261" s="62" t="n"/>
      <c r="AL261" s="62">
        <f>IF(LEFT($C261,11)="[Jefatura] ",IFERROR(MATCH("Riesgo Financiero|"&amp;MID($C261,12,500),rDname_ADM,0),0),"")</f>
        <v/>
      </c>
      <c r="AM261" s="62">
        <f>IF(N($AL261)&gt;0,INDEX(rIni_ADM,$AL261),IF(ISNUMBER($E261),$E261,""))</f>
        <v/>
      </c>
      <c r="AN261" s="62">
        <f>IF(N($AL261)&gt;0,INDEX(rLim_ADM,$AL261),IF(ISNUMBER($F261),$F261,""))</f>
        <v/>
      </c>
    </row>
    <row r="262">
      <c r="A262" s="56">
        <f>IF(NOT((COUNTA($B262:$D262)+COUNTA($G262:$L262)+COUNTA($Q262))&gt;0),"",IF($V262="Macro",COUNTIFS($V$5:$V262,"Macro",$S$5:$S262,$S262),IF(N($U262)=0,"?",COUNTIFS(INDEX($V$5:$V$1000,1):INDEX($V$5:$V$1000,$U262-4),"Macro",INDEX($S$5:$S$1000,1):INDEX($S$5:$S$1000,$U262-4),INDEX($S$5:$S$1000,$U262-4))&amp;"."&amp;COUNTIFS($U$5:$U262,$U262,$V$5:$V262,"Sub"))))</f>
        <v/>
      </c>
      <c r="B262" s="57" t="n"/>
      <c r="C262" s="58" t="n"/>
      <c r="D262" s="58" t="n"/>
      <c r="E262" s="59">
        <f>IF(N($AL262)&gt;0,INDEX(rIni_ADM,$AL262),"")</f>
        <v/>
      </c>
      <c r="F262" s="59">
        <f>IF(N($AL262)&gt;0,INDEX(rLim_ADM,$AL262),"")</f>
        <v/>
      </c>
      <c r="G262" s="59" t="n"/>
      <c r="H262" s="60" t="n"/>
      <c r="I262" s="60" t="n"/>
      <c r="J262" s="60" t="n"/>
      <c r="K262" s="60" t="n"/>
      <c r="L262" s="60" t="n"/>
      <c r="M262" s="61">
        <f>IF(NOT((COUNTA($B262:$D262)+COUNTA($G262:$L262)+COUNTA($Q262))&gt;0),"",IF($V262="Sub",IFERROR($X262/INDEX($W$5:$W$1000,$U262-4),""),IF(ISNUMBER($G262),1,IF(N($W262)&gt;0,AVERAGEIFS($X$5:$X$1000,$U$5:$U$1000,ROW(),$V$5:$V$1000,"Sub"),$X262))))</f>
        <v/>
      </c>
      <c r="N262" s="56">
        <f>IF(OR($M262="",$V262="Sub"),"",IF($M262&gt;=1,"Completado",IF($M262&gt;0,"En curso","Pendiente")))</f>
        <v/>
      </c>
      <c r="O262" s="56">
        <f>IF(OR(NOT((COUNTA($B262:$D262)+COUNTA($G262:$L262)+COUNTA($Q262))&gt;0),$V262="Sub"),"",IF(ISNUMBER($G262),IF(AND(ISNUMBER($AN262),$G262&gt;$AN262),"Cumplida con "&amp;($G262-$AN262)&amp;IF($G262-$AN262=1," día"," días")&amp;" de retraso","Cumplida"),IF(N($M262)&gt;=1,"Cumplida",IF(NOT(ISNUMBER($AN262)),"Sin fecha límite",IF($AN262&lt;FechaRef,"Vencida hace "&amp;(FechaRef-$AN262)&amp;IF(FechaRef-$AN262=1," día"," días"),IF($AN262=FechaRef,"Vence hoy",IF($AN262-FechaRef&lt;=DiasAlerta,"Vence en "&amp;($AN262-FechaRef)&amp;IF($AN262-FechaRef=1," día"," días"),"En plazo")))))))</f>
        <v/>
      </c>
      <c r="P262" s="62" t="n"/>
      <c r="Q262" s="58" t="n"/>
      <c r="R262" s="63">
        <f>IF(NOT((COUNTA($B262:$D262)+COUNTA($G262:$L262)+COUNTA($Q262))&gt;0),"",IF((IF($C262="","Falta el nombre de la actividad"&amp;" · ","")&amp;IF(AND($V262="Sub",N($U262)=0),"Subactividad sin macroactividad arriba"&amp;" · ","")&amp;IF($AM262="","Sin fecha de inicio"&amp;" · ","")&amp;IF($AN262="","Sin fecha límite"&amp;" · ","")&amp;IF(AND(LEFT($C262,11)="[Jefatura] ",N($AL262)=0),"No se encuentra en la hoja de la jefatura (elíjala de nuevo en la lista)"&amp;" · ","")&amp;IF(OR(AND($E262&lt;&gt;"",NOT(ISNUMBER($E262))),AND($F262&lt;&gt;"",NOT(ISNUMBER($F262))),AND($G262&lt;&gt;"",NOT(ISNUMBER($G262)))),"Fecha no válida"&amp;" · ","")&amp;IF(AND(ISNUMBER($AM262),ISNUMBER($AN262),$AM262&gt;$AN262),"Inicio posterior a fecha límite"&amp;" · ","")&amp;IF(AND($V262="Macro",$H262&lt;&gt;"",OR(NOT(ISNUMBER($H262)),$H262&lt;0,$H262&gt;1)),"Peso fuera de rango"&amp;" · ","")&amp;IF(AND($V262="Sub",$H262&lt;&gt;""),"Las subactividades no llevan peso (valen igual dentro de su macroactividad)"&amp;" · ","")&amp;IF(AND(N($W262)&gt;0,COUNT($I262:$L262)&gt;0),"Con subactividades: deje vacías las semanas (se calculan solas)"&amp;" · ","")&amp;IF((COUNTIF($I262:$L262,"&gt;1")+COUNTIF($I262:$L262,"&lt;0")+COUNTA($I262:$L262)-COUNT($I262:$L262))&gt;0,"Avance fuera de rango 0-100%"&amp;" · ","")&amp;IF(OR(AND($J262&lt;&gt;"",$J262&lt;$I262),AND($K262&lt;&gt;"",$K262&lt;MAX($I262:$J262)),AND($L262&lt;&gt;"",$L262&lt;MAX($I262:$K262))),"Avance semanal decreciente"&amp;" · ","")&amp;IF(AND(ISNUMBER($AN262),$AN262&lt;FechaRef,IF($V262="Sub",N($X262),N($M262))&lt;1),"Vencida"&amp;" · ","")&amp;IF(AND(ObsObligatoria="Sí",ISNUMBER($AN262),$AN262&lt;FechaRef,IF($V262="Sub",N($X262),N($M262))&lt;1,$Q262=""),"Vencida sin observación"&amp;" · ",""))="","✔ OK","⚠ "&amp;LEFT(IF($C262="","Falta el nombre de la actividad"&amp;" · ","")&amp;IF(AND($V262="Sub",N($U262)=0),"Subactividad sin macroactividad arriba"&amp;" · ","")&amp;IF($AM262="","Sin fecha de inicio"&amp;" · ","")&amp;IF($AN262="","Sin fecha límite"&amp;" · ","")&amp;IF(AND(LEFT($C262,11)="[Jefatura] ",N($AL262)=0),"No se encuentra en la hoja de la jefatura (elíjala de nuevo en la lista)"&amp;" · ","")&amp;IF(OR(AND($E262&lt;&gt;"",NOT(ISNUMBER($E262))),AND($F262&lt;&gt;"",NOT(ISNUMBER($F262))),AND($G262&lt;&gt;"",NOT(ISNUMBER($G262)))),"Fecha no válida"&amp;" · ","")&amp;IF(AND(ISNUMBER($AM262),ISNUMBER($AN262),$AM262&gt;$AN262),"Inicio posterior a fecha límite"&amp;" · ","")&amp;IF(AND($V262="Macro",$H262&lt;&gt;"",OR(NOT(ISNUMBER($H262)),$H262&lt;0,$H262&gt;1)),"Peso fuera de rango"&amp;" · ","")&amp;IF(AND($V262="Sub",$H262&lt;&gt;""),"Las subactividades no llevan peso (valen igual dentro de su macroactividad)"&amp;" · ","")&amp;IF(AND(N($W262)&gt;0,COUNT($I262:$L262)&gt;0),"Con subactividades: deje vacías las semanas (se calculan solas)"&amp;" · ","")&amp;IF((COUNTIF($I262:$L262,"&gt;1")+COUNTIF($I262:$L262,"&lt;0")+COUNTA($I262:$L262)-COUNT($I262:$L262))&gt;0,"Avance fuera de rango 0-100%"&amp;" · ","")&amp;IF(OR(AND($J262&lt;&gt;"",$J262&lt;$I262),AND($K262&lt;&gt;"",$K262&lt;MAX($I262:$J262)),AND($L262&lt;&gt;"",$L262&lt;MAX($I262:$K262))),"Avance semanal decreciente"&amp;" · ","")&amp;IF(AND(ISNUMBER($AN262),$AN262&lt;FechaRef,IF($V262="Sub",N($X262),N($M262))&lt;1),"Vencida"&amp;" · ","")&amp;IF(AND(ObsObligatoria="Sí",ISNUMBER($AN262),$AN262&lt;FechaRef,IF($V262="Sub",N($X262),N($M262))&lt;1,$Q262=""),"Vencida sin observación"&amp;" · ",""),LEN(IF($C262="","Falta el nombre de la actividad"&amp;" · ","")&amp;IF(AND($V262="Sub",N($U262)=0),"Subactividad sin macroactividad arriba"&amp;" · ","")&amp;IF($AM262="","Sin fecha de inicio"&amp;" · ","")&amp;IF($AN262="","Sin fecha límite"&amp;" · ","")&amp;IF(AND(LEFT($C262,11)="[Jefatura] ",N($AL262)=0),"No se encuentra en la hoja de la jefatura (elíjala de nuevo en la lista)"&amp;" · ","")&amp;IF(OR(AND($E262&lt;&gt;"",NOT(ISNUMBER($E262))),AND($F262&lt;&gt;"",NOT(ISNUMBER($F262))),AND($G262&lt;&gt;"",NOT(ISNUMBER($G262)))),"Fecha no válida"&amp;" · ","")&amp;IF(AND(ISNUMBER($AM262),ISNUMBER($AN262),$AM262&gt;$AN262),"Inicio posterior a fecha límite"&amp;" · ","")&amp;IF(AND($V262="Macro",$H262&lt;&gt;"",OR(NOT(ISNUMBER($H262)),$H262&lt;0,$H262&gt;1)),"Peso fuera de rango"&amp;" · ","")&amp;IF(AND($V262="Sub",$H262&lt;&gt;""),"Las subactividades no llevan peso (valen igual dentro de su macroactividad)"&amp;" · ","")&amp;IF(AND(N($W262)&gt;0,COUNT($I262:$L262)&gt;0),"Con subactividades: deje vacías las semanas (se calculan solas)"&amp;" · ","")&amp;IF((COUNTIF($I262:$L262,"&gt;1")+COUNTIF($I262:$L262,"&lt;0")+COUNTA($I262:$L262)-COUNT($I262:$L262))&gt;0,"Avance fuera de rango 0-100%"&amp;" · ","")&amp;IF(OR(AND($J262&lt;&gt;"",$J262&lt;$I262),AND($K262&lt;&gt;"",$K262&lt;MAX($I262:$J262)),AND($L262&lt;&gt;"",$L262&lt;MAX($I262:$K262))),"Avance semanal decreciente"&amp;" · ","")&amp;IF(AND(ISNUMBER($AN262),$AN262&lt;FechaRef,IF($V262="Sub",N($X262),N($M262))&lt;1),"Vencida"&amp;" · ","")&amp;IF(AND(ObsObligatoria="Sí",ISNUMBER($AN262),$AN262&lt;FechaRef,IF($V262="Sub",N($X262),N($M262))&lt;1,$Q262=""),"Vencida sin observación"&amp;" · ",""))-3)))</f>
        <v/>
      </c>
      <c r="S262" s="64">
        <f>IF(NOT((COUNTA($B262:$D262)+COUNTA($G262:$L262)+COUNTA($Q262))&gt;0),"",IF(AND($V262="Sub",N($U262)&gt;0),IF(ISNUMBER(INDEX($AM$5:$AM$1000,$U262-4)),DATE(YEAR(INDEX($AM$5:$AM$1000,$U262-4)),MONTH(INDEX($AM$5:$AM$1000,$U262-4)),1),IF(ISNUMBER(INDEX($AN$5:$AN$1000,$U262-4)),DATE(YEAR(INDEX($AN$5:$AN$1000,$U262-4)),MONTH(INDEX($AN$5:$AN$1000,$U262-4)),1),MesCiclo)),IF(ISNUMBER($AM262),DATE(YEAR($AM262),MONTH($AM262),1),IF(ISNUMBER($AN262),DATE(YEAR($AN262),MONTH($AN262),1),MesCiclo))))</f>
        <v/>
      </c>
      <c r="T262" s="62">
        <f>IF(OR($S262="",$S262&lt;&gt;MesCiclo,$V262&lt;&gt;"Macro"),"",COUNTIFS($S$5:$S262,MesCiclo,$V$5:$V262,"Macro"))</f>
        <v/>
      </c>
      <c r="U262" s="62">
        <f>IF($V262="","",IF($V262="Macro",ROW(),IFERROR(LOOKUP(2,1/($V$5:$V262="Macro"),ROW($V$5:$V262)),0)))</f>
        <v/>
      </c>
      <c r="V262" s="62">
        <f>IF(NOT((COUNTA($B262:$D262)+COUNTA($G262:$L262)+COUNTA($Q262))&gt;0),"",IF($B262="Subactividad","Sub","Macro"))</f>
        <v/>
      </c>
      <c r="W262" s="62">
        <f>IF($V262="Macro",COUNTIFS($U$5:$U$1000,ROW(),$V$5:$V$1000,"Sub"),"")</f>
        <v/>
      </c>
      <c r="X262" s="62">
        <f>IF($V262="","",IF(ISNUMBER($G262),1,IFERROR(LOOKUP(2,1/($I262:$L262&lt;&gt;""),$I262:$L262),0)))</f>
        <v/>
      </c>
      <c r="Y262" s="62">
        <f>IF($V262="","",IF(AND(ISNUMBER($G262),$G262&lt;=IF($S262=MesCiclo,InicioCiclo,$S262+MOD(2-WEEKDAY($S262),7))+6),1,IF(ISNUMBER($I262),$I262,0)))</f>
        <v/>
      </c>
      <c r="Z262" s="62">
        <f>IF($V262="","",IF(AND(ISNUMBER($G262),$G262&lt;=IF($S262=MesCiclo,InicioCiclo,$S262+MOD(2-WEEKDAY($S262),7))+13),1,IF(ISNUMBER($J262),$J262,$Y262)))</f>
        <v/>
      </c>
      <c r="AA262" s="62">
        <f>IF($V262="","",IF(AND(ISNUMBER($G262),$G262&lt;=IF($S262=MesCiclo,InicioCiclo,$S262+MOD(2-WEEKDAY($S262),7))+20),1,IF(ISNUMBER($K262),$K262,$Z262)))</f>
        <v/>
      </c>
      <c r="AB262" s="62">
        <f>IF($V262="","",IF(AND(ISNUMBER($G262),$G262&lt;=IF($S262=MesCiclo,InicioCiclo,$S262+MOD(2-WEEKDAY($S262),7))+27),1,IF(ISNUMBER($L262),$L262,$AA262)))</f>
        <v/>
      </c>
      <c r="AC262" s="62">
        <f>IF($V262="","",IF(AND(ISNUMBER($G262),$G262&lt;=IF($S262=MesCiclo,InicioCiclo,$S262+MOD(2-WEEKDAY($S262),7))+6),1,IF(N($W262)&gt;0,AVERAGEIFS($Y$5:$Y$1000,$U$5:$U$1000,ROW(),$V$5:$V$1000,"Sub"),$Y262)))</f>
        <v/>
      </c>
      <c r="AD262" s="62">
        <f>IF($V262="","",IF(AND(ISNUMBER($G262),$G262&lt;=IF($S262=MesCiclo,InicioCiclo,$S262+MOD(2-WEEKDAY($S262),7))+13),1,IF(N($W262)&gt;0,AVERAGEIFS($Z$5:$Z$1000,$U$5:$U$1000,ROW(),$V$5:$V$1000,"Sub"),$Z262)))</f>
        <v/>
      </c>
      <c r="AE262" s="62">
        <f>IF($V262="","",IF(AND(ISNUMBER($G262),$G262&lt;=IF($S262=MesCiclo,InicioCiclo,$S262+MOD(2-WEEKDAY($S262),7))+20),1,IF(N($W262)&gt;0,AVERAGEIFS($AA$5:$AA$1000,$U$5:$U$1000,ROW(),$V$5:$V$1000,"Sub"),$AA262)))</f>
        <v/>
      </c>
      <c r="AF262" s="62">
        <f>IF($V262="","",IF(AND(ISNUMBER($G262),$G262&lt;=IF($S262=MesCiclo,InicioCiclo,$S262+MOD(2-WEEKDAY($S262),7))+27),1,IF(N($W262)&gt;0,AVERAGEIFS($AB$5:$AB$1000,$U$5:$U$1000,ROW(),$V$5:$V$1000,"Sub"),$AB262)))</f>
        <v/>
      </c>
      <c r="AG262" s="62">
        <f>IF($V262&lt;&gt;"Macro","",IF(COUNTIFS($S$5:$S$1000,$S262,$V$5:$V$1000,"Macro",$H$5:$H$1000,"&gt;0")=0,1/COUNTIFS($S$5:$S$1000,$S262,$V$5:$V$1000,"Macro"),IF(AND(ISNUMBER($H262),N($H262)&gt;0),$H262,SUMIFS($H$5:$H$1000,$S$5:$S$1000,$S262,$V$5:$V$1000,"Macro")/COUNTIFS($S$5:$S$1000,$S262,$V$5:$V$1000,"Macro",$H$5:$H$1000,"&gt;0"))/(COUNTIFS($S$5:$S$1000,$S262,$V$5:$V$1000,"Macro")*SUMIFS($H$5:$H$1000,$S$5:$S$1000,$S262,$V$5:$V$1000,"Macro")/COUNTIFS($S$5:$S$1000,$S262,$V$5:$V$1000,"Macro",$H$5:$H$1000,"&gt;0"))))</f>
        <v/>
      </c>
      <c r="AH262" s="62" t="n"/>
      <c r="AI262" s="62" t="n"/>
      <c r="AJ262" s="62" t="n"/>
      <c r="AK262" s="62" t="n"/>
      <c r="AL262" s="62">
        <f>IF(LEFT($C262,11)="[Jefatura] ",IFERROR(MATCH("Riesgo Financiero|"&amp;MID($C262,12,500),rDname_ADM,0),0),"")</f>
        <v/>
      </c>
      <c r="AM262" s="62">
        <f>IF(N($AL262)&gt;0,INDEX(rIni_ADM,$AL262),IF(ISNUMBER($E262),$E262,""))</f>
        <v/>
      </c>
      <c r="AN262" s="62">
        <f>IF(N($AL262)&gt;0,INDEX(rLim_ADM,$AL262),IF(ISNUMBER($F262),$F262,""))</f>
        <v/>
      </c>
    </row>
    <row r="263">
      <c r="A263" s="56">
        <f>IF(NOT((COUNTA($B263:$D263)+COUNTA($G263:$L263)+COUNTA($Q263))&gt;0),"",IF($V263="Macro",COUNTIFS($V$5:$V263,"Macro",$S$5:$S263,$S263),IF(N($U263)=0,"?",COUNTIFS(INDEX($V$5:$V$1000,1):INDEX($V$5:$V$1000,$U263-4),"Macro",INDEX($S$5:$S$1000,1):INDEX($S$5:$S$1000,$U263-4),INDEX($S$5:$S$1000,$U263-4))&amp;"."&amp;COUNTIFS($U$5:$U263,$U263,$V$5:$V263,"Sub"))))</f>
        <v/>
      </c>
      <c r="B263" s="57" t="n"/>
      <c r="C263" s="58" t="n"/>
      <c r="D263" s="58" t="n"/>
      <c r="E263" s="59">
        <f>IF(N($AL263)&gt;0,INDEX(rIni_ADM,$AL263),"")</f>
        <v/>
      </c>
      <c r="F263" s="59">
        <f>IF(N($AL263)&gt;0,INDEX(rLim_ADM,$AL263),"")</f>
        <v/>
      </c>
      <c r="G263" s="59" t="n"/>
      <c r="H263" s="60" t="n"/>
      <c r="I263" s="60" t="n"/>
      <c r="J263" s="60" t="n"/>
      <c r="K263" s="60" t="n"/>
      <c r="L263" s="60" t="n"/>
      <c r="M263" s="61">
        <f>IF(NOT((COUNTA($B263:$D263)+COUNTA($G263:$L263)+COUNTA($Q263))&gt;0),"",IF($V263="Sub",IFERROR($X263/INDEX($W$5:$W$1000,$U263-4),""),IF(ISNUMBER($G263),1,IF(N($W263)&gt;0,AVERAGEIFS($X$5:$X$1000,$U$5:$U$1000,ROW(),$V$5:$V$1000,"Sub"),$X263))))</f>
        <v/>
      </c>
      <c r="N263" s="56">
        <f>IF(OR($M263="",$V263="Sub"),"",IF($M263&gt;=1,"Completado",IF($M263&gt;0,"En curso","Pendiente")))</f>
        <v/>
      </c>
      <c r="O263" s="56">
        <f>IF(OR(NOT((COUNTA($B263:$D263)+COUNTA($G263:$L263)+COUNTA($Q263))&gt;0),$V263="Sub"),"",IF(ISNUMBER($G263),IF(AND(ISNUMBER($AN263),$G263&gt;$AN263),"Cumplida con "&amp;($G263-$AN263)&amp;IF($G263-$AN263=1," día"," días")&amp;" de retraso","Cumplida"),IF(N($M263)&gt;=1,"Cumplida",IF(NOT(ISNUMBER($AN263)),"Sin fecha límite",IF($AN263&lt;FechaRef,"Vencida hace "&amp;(FechaRef-$AN263)&amp;IF(FechaRef-$AN263=1," día"," días"),IF($AN263=FechaRef,"Vence hoy",IF($AN263-FechaRef&lt;=DiasAlerta,"Vence en "&amp;($AN263-FechaRef)&amp;IF($AN263-FechaRef=1," día"," días"),"En plazo")))))))</f>
        <v/>
      </c>
      <c r="P263" s="62" t="n"/>
      <c r="Q263" s="58" t="n"/>
      <c r="R263" s="63">
        <f>IF(NOT((COUNTA($B263:$D263)+COUNTA($G263:$L263)+COUNTA($Q263))&gt;0),"",IF((IF($C263="","Falta el nombre de la actividad"&amp;" · ","")&amp;IF(AND($V263="Sub",N($U263)=0),"Subactividad sin macroactividad arriba"&amp;" · ","")&amp;IF($AM263="","Sin fecha de inicio"&amp;" · ","")&amp;IF($AN263="","Sin fecha límite"&amp;" · ","")&amp;IF(AND(LEFT($C263,11)="[Jefatura] ",N($AL263)=0),"No se encuentra en la hoja de la jefatura (elíjala de nuevo en la lista)"&amp;" · ","")&amp;IF(OR(AND($E263&lt;&gt;"",NOT(ISNUMBER($E263))),AND($F263&lt;&gt;"",NOT(ISNUMBER($F263))),AND($G263&lt;&gt;"",NOT(ISNUMBER($G263)))),"Fecha no válida"&amp;" · ","")&amp;IF(AND(ISNUMBER($AM263),ISNUMBER($AN263),$AM263&gt;$AN263),"Inicio posterior a fecha límite"&amp;" · ","")&amp;IF(AND($V263="Macro",$H263&lt;&gt;"",OR(NOT(ISNUMBER($H263)),$H263&lt;0,$H263&gt;1)),"Peso fuera de rango"&amp;" · ","")&amp;IF(AND($V263="Sub",$H263&lt;&gt;""),"Las subactividades no llevan peso (valen igual dentro de su macroactividad)"&amp;" · ","")&amp;IF(AND(N($W263)&gt;0,COUNT($I263:$L263)&gt;0),"Con subactividades: deje vacías las semanas (se calculan solas)"&amp;" · ","")&amp;IF((COUNTIF($I263:$L263,"&gt;1")+COUNTIF($I263:$L263,"&lt;0")+COUNTA($I263:$L263)-COUNT($I263:$L263))&gt;0,"Avance fuera de rango 0-100%"&amp;" · ","")&amp;IF(OR(AND($J263&lt;&gt;"",$J263&lt;$I263),AND($K263&lt;&gt;"",$K263&lt;MAX($I263:$J263)),AND($L263&lt;&gt;"",$L263&lt;MAX($I263:$K263))),"Avance semanal decreciente"&amp;" · ","")&amp;IF(AND(ISNUMBER($AN263),$AN263&lt;FechaRef,IF($V263="Sub",N($X263),N($M263))&lt;1),"Vencida"&amp;" · ","")&amp;IF(AND(ObsObligatoria="Sí",ISNUMBER($AN263),$AN263&lt;FechaRef,IF($V263="Sub",N($X263),N($M263))&lt;1,$Q263=""),"Vencida sin observación"&amp;" · ",""))="","✔ OK","⚠ "&amp;LEFT(IF($C263="","Falta el nombre de la actividad"&amp;" · ","")&amp;IF(AND($V263="Sub",N($U263)=0),"Subactividad sin macroactividad arriba"&amp;" · ","")&amp;IF($AM263="","Sin fecha de inicio"&amp;" · ","")&amp;IF($AN263="","Sin fecha límite"&amp;" · ","")&amp;IF(AND(LEFT($C263,11)="[Jefatura] ",N($AL263)=0),"No se encuentra en la hoja de la jefatura (elíjala de nuevo en la lista)"&amp;" · ","")&amp;IF(OR(AND($E263&lt;&gt;"",NOT(ISNUMBER($E263))),AND($F263&lt;&gt;"",NOT(ISNUMBER($F263))),AND($G263&lt;&gt;"",NOT(ISNUMBER($G263)))),"Fecha no válida"&amp;" · ","")&amp;IF(AND(ISNUMBER($AM263),ISNUMBER($AN263),$AM263&gt;$AN263),"Inicio posterior a fecha límite"&amp;" · ","")&amp;IF(AND($V263="Macro",$H263&lt;&gt;"",OR(NOT(ISNUMBER($H263)),$H263&lt;0,$H263&gt;1)),"Peso fuera de rango"&amp;" · ","")&amp;IF(AND($V263="Sub",$H263&lt;&gt;""),"Las subactividades no llevan peso (valen igual dentro de su macroactividad)"&amp;" · ","")&amp;IF(AND(N($W263)&gt;0,COUNT($I263:$L263)&gt;0),"Con subactividades: deje vacías las semanas (se calculan solas)"&amp;" · ","")&amp;IF((COUNTIF($I263:$L263,"&gt;1")+COUNTIF($I263:$L263,"&lt;0")+COUNTA($I263:$L263)-COUNT($I263:$L263))&gt;0,"Avance fuera de rango 0-100%"&amp;" · ","")&amp;IF(OR(AND($J263&lt;&gt;"",$J263&lt;$I263),AND($K263&lt;&gt;"",$K263&lt;MAX($I263:$J263)),AND($L263&lt;&gt;"",$L263&lt;MAX($I263:$K263))),"Avance semanal decreciente"&amp;" · ","")&amp;IF(AND(ISNUMBER($AN263),$AN263&lt;FechaRef,IF($V263="Sub",N($X263),N($M263))&lt;1),"Vencida"&amp;" · ","")&amp;IF(AND(ObsObligatoria="Sí",ISNUMBER($AN263),$AN263&lt;FechaRef,IF($V263="Sub",N($X263),N($M263))&lt;1,$Q263=""),"Vencida sin observación"&amp;" · ",""),LEN(IF($C263="","Falta el nombre de la actividad"&amp;" · ","")&amp;IF(AND($V263="Sub",N($U263)=0),"Subactividad sin macroactividad arriba"&amp;" · ","")&amp;IF($AM263="","Sin fecha de inicio"&amp;" · ","")&amp;IF($AN263="","Sin fecha límite"&amp;" · ","")&amp;IF(AND(LEFT($C263,11)="[Jefatura] ",N($AL263)=0),"No se encuentra en la hoja de la jefatura (elíjala de nuevo en la lista)"&amp;" · ","")&amp;IF(OR(AND($E263&lt;&gt;"",NOT(ISNUMBER($E263))),AND($F263&lt;&gt;"",NOT(ISNUMBER($F263))),AND($G263&lt;&gt;"",NOT(ISNUMBER($G263)))),"Fecha no válida"&amp;" · ","")&amp;IF(AND(ISNUMBER($AM263),ISNUMBER($AN263),$AM263&gt;$AN263),"Inicio posterior a fecha límite"&amp;" · ","")&amp;IF(AND($V263="Macro",$H263&lt;&gt;"",OR(NOT(ISNUMBER($H263)),$H263&lt;0,$H263&gt;1)),"Peso fuera de rango"&amp;" · ","")&amp;IF(AND($V263="Sub",$H263&lt;&gt;""),"Las subactividades no llevan peso (valen igual dentro de su macroactividad)"&amp;" · ","")&amp;IF(AND(N($W263)&gt;0,COUNT($I263:$L263)&gt;0),"Con subactividades: deje vacías las semanas (se calculan solas)"&amp;" · ","")&amp;IF((COUNTIF($I263:$L263,"&gt;1")+COUNTIF($I263:$L263,"&lt;0")+COUNTA($I263:$L263)-COUNT($I263:$L263))&gt;0,"Avance fuera de rango 0-100%"&amp;" · ","")&amp;IF(OR(AND($J263&lt;&gt;"",$J263&lt;$I263),AND($K263&lt;&gt;"",$K263&lt;MAX($I263:$J263)),AND($L263&lt;&gt;"",$L263&lt;MAX($I263:$K263))),"Avance semanal decreciente"&amp;" · ","")&amp;IF(AND(ISNUMBER($AN263),$AN263&lt;FechaRef,IF($V263="Sub",N($X263),N($M263))&lt;1),"Vencida"&amp;" · ","")&amp;IF(AND(ObsObligatoria="Sí",ISNUMBER($AN263),$AN263&lt;FechaRef,IF($V263="Sub",N($X263),N($M263))&lt;1,$Q263=""),"Vencida sin observación"&amp;" · ",""))-3)))</f>
        <v/>
      </c>
      <c r="S263" s="64">
        <f>IF(NOT((COUNTA($B263:$D263)+COUNTA($G263:$L263)+COUNTA($Q263))&gt;0),"",IF(AND($V263="Sub",N($U263)&gt;0),IF(ISNUMBER(INDEX($AM$5:$AM$1000,$U263-4)),DATE(YEAR(INDEX($AM$5:$AM$1000,$U263-4)),MONTH(INDEX($AM$5:$AM$1000,$U263-4)),1),IF(ISNUMBER(INDEX($AN$5:$AN$1000,$U263-4)),DATE(YEAR(INDEX($AN$5:$AN$1000,$U263-4)),MONTH(INDEX($AN$5:$AN$1000,$U263-4)),1),MesCiclo)),IF(ISNUMBER($AM263),DATE(YEAR($AM263),MONTH($AM263),1),IF(ISNUMBER($AN263),DATE(YEAR($AN263),MONTH($AN263),1),MesCiclo))))</f>
        <v/>
      </c>
      <c r="T263" s="62">
        <f>IF(OR($S263="",$S263&lt;&gt;MesCiclo,$V263&lt;&gt;"Macro"),"",COUNTIFS($S$5:$S263,MesCiclo,$V$5:$V263,"Macro"))</f>
        <v/>
      </c>
      <c r="U263" s="62">
        <f>IF($V263="","",IF($V263="Macro",ROW(),IFERROR(LOOKUP(2,1/($V$5:$V263="Macro"),ROW($V$5:$V263)),0)))</f>
        <v/>
      </c>
      <c r="V263" s="62">
        <f>IF(NOT((COUNTA($B263:$D263)+COUNTA($G263:$L263)+COUNTA($Q263))&gt;0),"",IF($B263="Subactividad","Sub","Macro"))</f>
        <v/>
      </c>
      <c r="W263" s="62">
        <f>IF($V263="Macro",COUNTIFS($U$5:$U$1000,ROW(),$V$5:$V$1000,"Sub"),"")</f>
        <v/>
      </c>
      <c r="X263" s="62">
        <f>IF($V263="","",IF(ISNUMBER($G263),1,IFERROR(LOOKUP(2,1/($I263:$L263&lt;&gt;""),$I263:$L263),0)))</f>
        <v/>
      </c>
      <c r="Y263" s="62">
        <f>IF($V263="","",IF(AND(ISNUMBER($G263),$G263&lt;=IF($S263=MesCiclo,InicioCiclo,$S263+MOD(2-WEEKDAY($S263),7))+6),1,IF(ISNUMBER($I263),$I263,0)))</f>
        <v/>
      </c>
      <c r="Z263" s="62">
        <f>IF($V263="","",IF(AND(ISNUMBER($G263),$G263&lt;=IF($S263=MesCiclo,InicioCiclo,$S263+MOD(2-WEEKDAY($S263),7))+13),1,IF(ISNUMBER($J263),$J263,$Y263)))</f>
        <v/>
      </c>
      <c r="AA263" s="62">
        <f>IF($V263="","",IF(AND(ISNUMBER($G263),$G263&lt;=IF($S263=MesCiclo,InicioCiclo,$S263+MOD(2-WEEKDAY($S263),7))+20),1,IF(ISNUMBER($K263),$K263,$Z263)))</f>
        <v/>
      </c>
      <c r="AB263" s="62">
        <f>IF($V263="","",IF(AND(ISNUMBER($G263),$G263&lt;=IF($S263=MesCiclo,InicioCiclo,$S263+MOD(2-WEEKDAY($S263),7))+27),1,IF(ISNUMBER($L263),$L263,$AA263)))</f>
        <v/>
      </c>
      <c r="AC263" s="62">
        <f>IF($V263="","",IF(AND(ISNUMBER($G263),$G263&lt;=IF($S263=MesCiclo,InicioCiclo,$S263+MOD(2-WEEKDAY($S263),7))+6),1,IF(N($W263)&gt;0,AVERAGEIFS($Y$5:$Y$1000,$U$5:$U$1000,ROW(),$V$5:$V$1000,"Sub"),$Y263)))</f>
        <v/>
      </c>
      <c r="AD263" s="62">
        <f>IF($V263="","",IF(AND(ISNUMBER($G263),$G263&lt;=IF($S263=MesCiclo,InicioCiclo,$S263+MOD(2-WEEKDAY($S263),7))+13),1,IF(N($W263)&gt;0,AVERAGEIFS($Z$5:$Z$1000,$U$5:$U$1000,ROW(),$V$5:$V$1000,"Sub"),$Z263)))</f>
        <v/>
      </c>
      <c r="AE263" s="62">
        <f>IF($V263="","",IF(AND(ISNUMBER($G263),$G263&lt;=IF($S263=MesCiclo,InicioCiclo,$S263+MOD(2-WEEKDAY($S263),7))+20),1,IF(N($W263)&gt;0,AVERAGEIFS($AA$5:$AA$1000,$U$5:$U$1000,ROW(),$V$5:$V$1000,"Sub"),$AA263)))</f>
        <v/>
      </c>
      <c r="AF263" s="62">
        <f>IF($V263="","",IF(AND(ISNUMBER($G263),$G263&lt;=IF($S263=MesCiclo,InicioCiclo,$S263+MOD(2-WEEKDAY($S263),7))+27),1,IF(N($W263)&gt;0,AVERAGEIFS($AB$5:$AB$1000,$U$5:$U$1000,ROW(),$V$5:$V$1000,"Sub"),$AB263)))</f>
        <v/>
      </c>
      <c r="AG263" s="62">
        <f>IF($V263&lt;&gt;"Macro","",IF(COUNTIFS($S$5:$S$1000,$S263,$V$5:$V$1000,"Macro",$H$5:$H$1000,"&gt;0")=0,1/COUNTIFS($S$5:$S$1000,$S263,$V$5:$V$1000,"Macro"),IF(AND(ISNUMBER($H263),N($H263)&gt;0),$H263,SUMIFS($H$5:$H$1000,$S$5:$S$1000,$S263,$V$5:$V$1000,"Macro")/COUNTIFS($S$5:$S$1000,$S263,$V$5:$V$1000,"Macro",$H$5:$H$1000,"&gt;0"))/(COUNTIFS($S$5:$S$1000,$S263,$V$5:$V$1000,"Macro")*SUMIFS($H$5:$H$1000,$S$5:$S$1000,$S263,$V$5:$V$1000,"Macro")/COUNTIFS($S$5:$S$1000,$S263,$V$5:$V$1000,"Macro",$H$5:$H$1000,"&gt;0"))))</f>
        <v/>
      </c>
      <c r="AH263" s="62" t="n"/>
      <c r="AI263" s="62" t="n"/>
      <c r="AJ263" s="62" t="n"/>
      <c r="AK263" s="62" t="n"/>
      <c r="AL263" s="62">
        <f>IF(LEFT($C263,11)="[Jefatura] ",IFERROR(MATCH("Riesgo Financiero|"&amp;MID($C263,12,500),rDname_ADM,0),0),"")</f>
        <v/>
      </c>
      <c r="AM263" s="62">
        <f>IF(N($AL263)&gt;0,INDEX(rIni_ADM,$AL263),IF(ISNUMBER($E263),$E263,""))</f>
        <v/>
      </c>
      <c r="AN263" s="62">
        <f>IF(N($AL263)&gt;0,INDEX(rLim_ADM,$AL263),IF(ISNUMBER($F263),$F263,""))</f>
        <v/>
      </c>
    </row>
    <row r="264">
      <c r="A264" s="56">
        <f>IF(NOT((COUNTA($B264:$D264)+COUNTA($G264:$L264)+COUNTA($Q264))&gt;0),"",IF($V264="Macro",COUNTIFS($V$5:$V264,"Macro",$S$5:$S264,$S264),IF(N($U264)=0,"?",COUNTIFS(INDEX($V$5:$V$1000,1):INDEX($V$5:$V$1000,$U264-4),"Macro",INDEX($S$5:$S$1000,1):INDEX($S$5:$S$1000,$U264-4),INDEX($S$5:$S$1000,$U264-4))&amp;"."&amp;COUNTIFS($U$5:$U264,$U264,$V$5:$V264,"Sub"))))</f>
        <v/>
      </c>
      <c r="B264" s="57" t="n"/>
      <c r="C264" s="58" t="n"/>
      <c r="D264" s="58" t="n"/>
      <c r="E264" s="59">
        <f>IF(N($AL264)&gt;0,INDEX(rIni_ADM,$AL264),"")</f>
        <v/>
      </c>
      <c r="F264" s="59">
        <f>IF(N($AL264)&gt;0,INDEX(rLim_ADM,$AL264),"")</f>
        <v/>
      </c>
      <c r="G264" s="59" t="n"/>
      <c r="H264" s="60" t="n"/>
      <c r="I264" s="60" t="n"/>
      <c r="J264" s="60" t="n"/>
      <c r="K264" s="60" t="n"/>
      <c r="L264" s="60" t="n"/>
      <c r="M264" s="61">
        <f>IF(NOT((COUNTA($B264:$D264)+COUNTA($G264:$L264)+COUNTA($Q264))&gt;0),"",IF($V264="Sub",IFERROR($X264/INDEX($W$5:$W$1000,$U264-4),""),IF(ISNUMBER($G264),1,IF(N($W264)&gt;0,AVERAGEIFS($X$5:$X$1000,$U$5:$U$1000,ROW(),$V$5:$V$1000,"Sub"),$X264))))</f>
        <v/>
      </c>
      <c r="N264" s="56">
        <f>IF(OR($M264="",$V264="Sub"),"",IF($M264&gt;=1,"Completado",IF($M264&gt;0,"En curso","Pendiente")))</f>
        <v/>
      </c>
      <c r="O264" s="56">
        <f>IF(OR(NOT((COUNTA($B264:$D264)+COUNTA($G264:$L264)+COUNTA($Q264))&gt;0),$V264="Sub"),"",IF(ISNUMBER($G264),IF(AND(ISNUMBER($AN264),$G264&gt;$AN264),"Cumplida con "&amp;($G264-$AN264)&amp;IF($G264-$AN264=1," día"," días")&amp;" de retraso","Cumplida"),IF(N($M264)&gt;=1,"Cumplida",IF(NOT(ISNUMBER($AN264)),"Sin fecha límite",IF($AN264&lt;FechaRef,"Vencida hace "&amp;(FechaRef-$AN264)&amp;IF(FechaRef-$AN264=1," día"," días"),IF($AN264=FechaRef,"Vence hoy",IF($AN264-FechaRef&lt;=DiasAlerta,"Vence en "&amp;($AN264-FechaRef)&amp;IF($AN264-FechaRef=1," día"," días"),"En plazo")))))))</f>
        <v/>
      </c>
      <c r="P264" s="62" t="n"/>
      <c r="Q264" s="58" t="n"/>
      <c r="R264" s="63">
        <f>IF(NOT((COUNTA($B264:$D264)+COUNTA($G264:$L264)+COUNTA($Q264))&gt;0),"",IF((IF($C264="","Falta el nombre de la actividad"&amp;" · ","")&amp;IF(AND($V264="Sub",N($U264)=0),"Subactividad sin macroactividad arriba"&amp;" · ","")&amp;IF($AM264="","Sin fecha de inicio"&amp;" · ","")&amp;IF($AN264="","Sin fecha límite"&amp;" · ","")&amp;IF(AND(LEFT($C264,11)="[Jefatura] ",N($AL264)=0),"No se encuentra en la hoja de la jefatura (elíjala de nuevo en la lista)"&amp;" · ","")&amp;IF(OR(AND($E264&lt;&gt;"",NOT(ISNUMBER($E264))),AND($F264&lt;&gt;"",NOT(ISNUMBER($F264))),AND($G264&lt;&gt;"",NOT(ISNUMBER($G264)))),"Fecha no válida"&amp;" · ","")&amp;IF(AND(ISNUMBER($AM264),ISNUMBER($AN264),$AM264&gt;$AN264),"Inicio posterior a fecha límite"&amp;" · ","")&amp;IF(AND($V264="Macro",$H264&lt;&gt;"",OR(NOT(ISNUMBER($H264)),$H264&lt;0,$H264&gt;1)),"Peso fuera de rango"&amp;" · ","")&amp;IF(AND($V264="Sub",$H264&lt;&gt;""),"Las subactividades no llevan peso (valen igual dentro de su macroactividad)"&amp;" · ","")&amp;IF(AND(N($W264)&gt;0,COUNT($I264:$L264)&gt;0),"Con subactividades: deje vacías las semanas (se calculan solas)"&amp;" · ","")&amp;IF((COUNTIF($I264:$L264,"&gt;1")+COUNTIF($I264:$L264,"&lt;0")+COUNTA($I264:$L264)-COUNT($I264:$L264))&gt;0,"Avance fuera de rango 0-100%"&amp;" · ","")&amp;IF(OR(AND($J264&lt;&gt;"",$J264&lt;$I264),AND($K264&lt;&gt;"",$K264&lt;MAX($I264:$J264)),AND($L264&lt;&gt;"",$L264&lt;MAX($I264:$K264))),"Avance semanal decreciente"&amp;" · ","")&amp;IF(AND(ISNUMBER($AN264),$AN264&lt;FechaRef,IF($V264="Sub",N($X264),N($M264))&lt;1),"Vencida"&amp;" · ","")&amp;IF(AND(ObsObligatoria="Sí",ISNUMBER($AN264),$AN264&lt;FechaRef,IF($V264="Sub",N($X264),N($M264))&lt;1,$Q264=""),"Vencida sin observación"&amp;" · ",""))="","✔ OK","⚠ "&amp;LEFT(IF($C264="","Falta el nombre de la actividad"&amp;" · ","")&amp;IF(AND($V264="Sub",N($U264)=0),"Subactividad sin macroactividad arriba"&amp;" · ","")&amp;IF($AM264="","Sin fecha de inicio"&amp;" · ","")&amp;IF($AN264="","Sin fecha límite"&amp;" · ","")&amp;IF(AND(LEFT($C264,11)="[Jefatura] ",N($AL264)=0),"No se encuentra en la hoja de la jefatura (elíjala de nuevo en la lista)"&amp;" · ","")&amp;IF(OR(AND($E264&lt;&gt;"",NOT(ISNUMBER($E264))),AND($F264&lt;&gt;"",NOT(ISNUMBER($F264))),AND($G264&lt;&gt;"",NOT(ISNUMBER($G264)))),"Fecha no válida"&amp;" · ","")&amp;IF(AND(ISNUMBER($AM264),ISNUMBER($AN264),$AM264&gt;$AN264),"Inicio posterior a fecha límite"&amp;" · ","")&amp;IF(AND($V264="Macro",$H264&lt;&gt;"",OR(NOT(ISNUMBER($H264)),$H264&lt;0,$H264&gt;1)),"Peso fuera de rango"&amp;" · ","")&amp;IF(AND($V264="Sub",$H264&lt;&gt;""),"Las subactividades no llevan peso (valen igual dentro de su macroactividad)"&amp;" · ","")&amp;IF(AND(N($W264)&gt;0,COUNT($I264:$L264)&gt;0),"Con subactividades: deje vacías las semanas (se calculan solas)"&amp;" · ","")&amp;IF((COUNTIF($I264:$L264,"&gt;1")+COUNTIF($I264:$L264,"&lt;0")+COUNTA($I264:$L264)-COUNT($I264:$L264))&gt;0,"Avance fuera de rango 0-100%"&amp;" · ","")&amp;IF(OR(AND($J264&lt;&gt;"",$J264&lt;$I264),AND($K264&lt;&gt;"",$K264&lt;MAX($I264:$J264)),AND($L264&lt;&gt;"",$L264&lt;MAX($I264:$K264))),"Avance semanal decreciente"&amp;" · ","")&amp;IF(AND(ISNUMBER($AN264),$AN264&lt;FechaRef,IF($V264="Sub",N($X264),N($M264))&lt;1),"Vencida"&amp;" · ","")&amp;IF(AND(ObsObligatoria="Sí",ISNUMBER($AN264),$AN264&lt;FechaRef,IF($V264="Sub",N($X264),N($M264))&lt;1,$Q264=""),"Vencida sin observación"&amp;" · ",""),LEN(IF($C264="","Falta el nombre de la actividad"&amp;" · ","")&amp;IF(AND($V264="Sub",N($U264)=0),"Subactividad sin macroactividad arriba"&amp;" · ","")&amp;IF($AM264="","Sin fecha de inicio"&amp;" · ","")&amp;IF($AN264="","Sin fecha límite"&amp;" · ","")&amp;IF(AND(LEFT($C264,11)="[Jefatura] ",N($AL264)=0),"No se encuentra en la hoja de la jefatura (elíjala de nuevo en la lista)"&amp;" · ","")&amp;IF(OR(AND($E264&lt;&gt;"",NOT(ISNUMBER($E264))),AND($F264&lt;&gt;"",NOT(ISNUMBER($F264))),AND($G264&lt;&gt;"",NOT(ISNUMBER($G264)))),"Fecha no válida"&amp;" · ","")&amp;IF(AND(ISNUMBER($AM264),ISNUMBER($AN264),$AM264&gt;$AN264),"Inicio posterior a fecha límite"&amp;" · ","")&amp;IF(AND($V264="Macro",$H264&lt;&gt;"",OR(NOT(ISNUMBER($H264)),$H264&lt;0,$H264&gt;1)),"Peso fuera de rango"&amp;" · ","")&amp;IF(AND($V264="Sub",$H264&lt;&gt;""),"Las subactividades no llevan peso (valen igual dentro de su macroactividad)"&amp;" · ","")&amp;IF(AND(N($W264)&gt;0,COUNT($I264:$L264)&gt;0),"Con subactividades: deje vacías las semanas (se calculan solas)"&amp;" · ","")&amp;IF((COUNTIF($I264:$L264,"&gt;1")+COUNTIF($I264:$L264,"&lt;0")+COUNTA($I264:$L264)-COUNT($I264:$L264))&gt;0,"Avance fuera de rango 0-100%"&amp;" · ","")&amp;IF(OR(AND($J264&lt;&gt;"",$J264&lt;$I264),AND($K264&lt;&gt;"",$K264&lt;MAX($I264:$J264)),AND($L264&lt;&gt;"",$L264&lt;MAX($I264:$K264))),"Avance semanal decreciente"&amp;" · ","")&amp;IF(AND(ISNUMBER($AN264),$AN264&lt;FechaRef,IF($V264="Sub",N($X264),N($M264))&lt;1),"Vencida"&amp;" · ","")&amp;IF(AND(ObsObligatoria="Sí",ISNUMBER($AN264),$AN264&lt;FechaRef,IF($V264="Sub",N($X264),N($M264))&lt;1,$Q264=""),"Vencida sin observación"&amp;" · ",""))-3)))</f>
        <v/>
      </c>
      <c r="S264" s="64">
        <f>IF(NOT((COUNTA($B264:$D264)+COUNTA($G264:$L264)+COUNTA($Q264))&gt;0),"",IF(AND($V264="Sub",N($U264)&gt;0),IF(ISNUMBER(INDEX($AM$5:$AM$1000,$U264-4)),DATE(YEAR(INDEX($AM$5:$AM$1000,$U264-4)),MONTH(INDEX($AM$5:$AM$1000,$U264-4)),1),IF(ISNUMBER(INDEX($AN$5:$AN$1000,$U264-4)),DATE(YEAR(INDEX($AN$5:$AN$1000,$U264-4)),MONTH(INDEX($AN$5:$AN$1000,$U264-4)),1),MesCiclo)),IF(ISNUMBER($AM264),DATE(YEAR($AM264),MONTH($AM264),1),IF(ISNUMBER($AN264),DATE(YEAR($AN264),MONTH($AN264),1),MesCiclo))))</f>
        <v/>
      </c>
      <c r="T264" s="62">
        <f>IF(OR($S264="",$S264&lt;&gt;MesCiclo,$V264&lt;&gt;"Macro"),"",COUNTIFS($S$5:$S264,MesCiclo,$V$5:$V264,"Macro"))</f>
        <v/>
      </c>
      <c r="U264" s="62">
        <f>IF($V264="","",IF($V264="Macro",ROW(),IFERROR(LOOKUP(2,1/($V$5:$V264="Macro"),ROW($V$5:$V264)),0)))</f>
        <v/>
      </c>
      <c r="V264" s="62">
        <f>IF(NOT((COUNTA($B264:$D264)+COUNTA($G264:$L264)+COUNTA($Q264))&gt;0),"",IF($B264="Subactividad","Sub","Macro"))</f>
        <v/>
      </c>
      <c r="W264" s="62">
        <f>IF($V264="Macro",COUNTIFS($U$5:$U$1000,ROW(),$V$5:$V$1000,"Sub"),"")</f>
        <v/>
      </c>
      <c r="X264" s="62">
        <f>IF($V264="","",IF(ISNUMBER($G264),1,IFERROR(LOOKUP(2,1/($I264:$L264&lt;&gt;""),$I264:$L264),0)))</f>
        <v/>
      </c>
      <c r="Y264" s="62">
        <f>IF($V264="","",IF(AND(ISNUMBER($G264),$G264&lt;=IF($S264=MesCiclo,InicioCiclo,$S264+MOD(2-WEEKDAY($S264),7))+6),1,IF(ISNUMBER($I264),$I264,0)))</f>
        <v/>
      </c>
      <c r="Z264" s="62">
        <f>IF($V264="","",IF(AND(ISNUMBER($G264),$G264&lt;=IF($S264=MesCiclo,InicioCiclo,$S264+MOD(2-WEEKDAY($S264),7))+13),1,IF(ISNUMBER($J264),$J264,$Y264)))</f>
        <v/>
      </c>
      <c r="AA264" s="62">
        <f>IF($V264="","",IF(AND(ISNUMBER($G264),$G264&lt;=IF($S264=MesCiclo,InicioCiclo,$S264+MOD(2-WEEKDAY($S264),7))+20),1,IF(ISNUMBER($K264),$K264,$Z264)))</f>
        <v/>
      </c>
      <c r="AB264" s="62">
        <f>IF($V264="","",IF(AND(ISNUMBER($G264),$G264&lt;=IF($S264=MesCiclo,InicioCiclo,$S264+MOD(2-WEEKDAY($S264),7))+27),1,IF(ISNUMBER($L264),$L264,$AA264)))</f>
        <v/>
      </c>
      <c r="AC264" s="62">
        <f>IF($V264="","",IF(AND(ISNUMBER($G264),$G264&lt;=IF($S264=MesCiclo,InicioCiclo,$S264+MOD(2-WEEKDAY($S264),7))+6),1,IF(N($W264)&gt;0,AVERAGEIFS($Y$5:$Y$1000,$U$5:$U$1000,ROW(),$V$5:$V$1000,"Sub"),$Y264)))</f>
        <v/>
      </c>
      <c r="AD264" s="62">
        <f>IF($V264="","",IF(AND(ISNUMBER($G264),$G264&lt;=IF($S264=MesCiclo,InicioCiclo,$S264+MOD(2-WEEKDAY($S264),7))+13),1,IF(N($W264)&gt;0,AVERAGEIFS($Z$5:$Z$1000,$U$5:$U$1000,ROW(),$V$5:$V$1000,"Sub"),$Z264)))</f>
        <v/>
      </c>
      <c r="AE264" s="62">
        <f>IF($V264="","",IF(AND(ISNUMBER($G264),$G264&lt;=IF($S264=MesCiclo,InicioCiclo,$S264+MOD(2-WEEKDAY($S264),7))+20),1,IF(N($W264)&gt;0,AVERAGEIFS($AA$5:$AA$1000,$U$5:$U$1000,ROW(),$V$5:$V$1000,"Sub"),$AA264)))</f>
        <v/>
      </c>
      <c r="AF264" s="62">
        <f>IF($V264="","",IF(AND(ISNUMBER($G264),$G264&lt;=IF($S264=MesCiclo,InicioCiclo,$S264+MOD(2-WEEKDAY($S264),7))+27),1,IF(N($W264)&gt;0,AVERAGEIFS($AB$5:$AB$1000,$U$5:$U$1000,ROW(),$V$5:$V$1000,"Sub"),$AB264)))</f>
        <v/>
      </c>
      <c r="AG264" s="62">
        <f>IF($V264&lt;&gt;"Macro","",IF(COUNTIFS($S$5:$S$1000,$S264,$V$5:$V$1000,"Macro",$H$5:$H$1000,"&gt;0")=0,1/COUNTIFS($S$5:$S$1000,$S264,$V$5:$V$1000,"Macro"),IF(AND(ISNUMBER($H264),N($H264)&gt;0),$H264,SUMIFS($H$5:$H$1000,$S$5:$S$1000,$S264,$V$5:$V$1000,"Macro")/COUNTIFS($S$5:$S$1000,$S264,$V$5:$V$1000,"Macro",$H$5:$H$1000,"&gt;0"))/(COUNTIFS($S$5:$S$1000,$S264,$V$5:$V$1000,"Macro")*SUMIFS($H$5:$H$1000,$S$5:$S$1000,$S264,$V$5:$V$1000,"Macro")/COUNTIFS($S$5:$S$1000,$S264,$V$5:$V$1000,"Macro",$H$5:$H$1000,"&gt;0"))))</f>
        <v/>
      </c>
      <c r="AH264" s="62" t="n"/>
      <c r="AI264" s="62" t="n"/>
      <c r="AJ264" s="62" t="n"/>
      <c r="AK264" s="62" t="n"/>
      <c r="AL264" s="62">
        <f>IF(LEFT($C264,11)="[Jefatura] ",IFERROR(MATCH("Riesgo Financiero|"&amp;MID($C264,12,500),rDname_ADM,0),0),"")</f>
        <v/>
      </c>
      <c r="AM264" s="62">
        <f>IF(N($AL264)&gt;0,INDEX(rIni_ADM,$AL264),IF(ISNUMBER($E264),$E264,""))</f>
        <v/>
      </c>
      <c r="AN264" s="62">
        <f>IF(N($AL264)&gt;0,INDEX(rLim_ADM,$AL264),IF(ISNUMBER($F264),$F264,""))</f>
        <v/>
      </c>
    </row>
    <row r="265">
      <c r="A265" s="56">
        <f>IF(NOT((COUNTA($B265:$D265)+COUNTA($G265:$L265)+COUNTA($Q265))&gt;0),"",IF($V265="Macro",COUNTIFS($V$5:$V265,"Macro",$S$5:$S265,$S265),IF(N($U265)=0,"?",COUNTIFS(INDEX($V$5:$V$1000,1):INDEX($V$5:$V$1000,$U265-4),"Macro",INDEX($S$5:$S$1000,1):INDEX($S$5:$S$1000,$U265-4),INDEX($S$5:$S$1000,$U265-4))&amp;"."&amp;COUNTIFS($U$5:$U265,$U265,$V$5:$V265,"Sub"))))</f>
        <v/>
      </c>
      <c r="B265" s="57" t="n"/>
      <c r="C265" s="58" t="n"/>
      <c r="D265" s="58" t="n"/>
      <c r="E265" s="59">
        <f>IF(N($AL265)&gt;0,INDEX(rIni_ADM,$AL265),"")</f>
        <v/>
      </c>
      <c r="F265" s="59">
        <f>IF(N($AL265)&gt;0,INDEX(rLim_ADM,$AL265),"")</f>
        <v/>
      </c>
      <c r="G265" s="59" t="n"/>
      <c r="H265" s="60" t="n"/>
      <c r="I265" s="60" t="n"/>
      <c r="J265" s="60" t="n"/>
      <c r="K265" s="60" t="n"/>
      <c r="L265" s="60" t="n"/>
      <c r="M265" s="61">
        <f>IF(NOT((COUNTA($B265:$D265)+COUNTA($G265:$L265)+COUNTA($Q265))&gt;0),"",IF($V265="Sub",IFERROR($X265/INDEX($W$5:$W$1000,$U265-4),""),IF(ISNUMBER($G265),1,IF(N($W265)&gt;0,AVERAGEIFS($X$5:$X$1000,$U$5:$U$1000,ROW(),$V$5:$V$1000,"Sub"),$X265))))</f>
        <v/>
      </c>
      <c r="N265" s="56">
        <f>IF(OR($M265="",$V265="Sub"),"",IF($M265&gt;=1,"Completado",IF($M265&gt;0,"En curso","Pendiente")))</f>
        <v/>
      </c>
      <c r="O265" s="56">
        <f>IF(OR(NOT((COUNTA($B265:$D265)+COUNTA($G265:$L265)+COUNTA($Q265))&gt;0),$V265="Sub"),"",IF(ISNUMBER($G265),IF(AND(ISNUMBER($AN265),$G265&gt;$AN265),"Cumplida con "&amp;($G265-$AN265)&amp;IF($G265-$AN265=1," día"," días")&amp;" de retraso","Cumplida"),IF(N($M265)&gt;=1,"Cumplida",IF(NOT(ISNUMBER($AN265)),"Sin fecha límite",IF($AN265&lt;FechaRef,"Vencida hace "&amp;(FechaRef-$AN265)&amp;IF(FechaRef-$AN265=1," día"," días"),IF($AN265=FechaRef,"Vence hoy",IF($AN265-FechaRef&lt;=DiasAlerta,"Vence en "&amp;($AN265-FechaRef)&amp;IF($AN265-FechaRef=1," día"," días"),"En plazo")))))))</f>
        <v/>
      </c>
      <c r="P265" s="62" t="n"/>
      <c r="Q265" s="58" t="n"/>
      <c r="R265" s="63">
        <f>IF(NOT((COUNTA($B265:$D265)+COUNTA($G265:$L265)+COUNTA($Q265))&gt;0),"",IF((IF($C265="","Falta el nombre de la actividad"&amp;" · ","")&amp;IF(AND($V265="Sub",N($U265)=0),"Subactividad sin macroactividad arriba"&amp;" · ","")&amp;IF($AM265="","Sin fecha de inicio"&amp;" · ","")&amp;IF($AN265="","Sin fecha límite"&amp;" · ","")&amp;IF(AND(LEFT($C265,11)="[Jefatura] ",N($AL265)=0),"No se encuentra en la hoja de la jefatura (elíjala de nuevo en la lista)"&amp;" · ","")&amp;IF(OR(AND($E265&lt;&gt;"",NOT(ISNUMBER($E265))),AND($F265&lt;&gt;"",NOT(ISNUMBER($F265))),AND($G265&lt;&gt;"",NOT(ISNUMBER($G265)))),"Fecha no válida"&amp;" · ","")&amp;IF(AND(ISNUMBER($AM265),ISNUMBER($AN265),$AM265&gt;$AN265),"Inicio posterior a fecha límite"&amp;" · ","")&amp;IF(AND($V265="Macro",$H265&lt;&gt;"",OR(NOT(ISNUMBER($H265)),$H265&lt;0,$H265&gt;1)),"Peso fuera de rango"&amp;" · ","")&amp;IF(AND($V265="Sub",$H265&lt;&gt;""),"Las subactividades no llevan peso (valen igual dentro de su macroactividad)"&amp;" · ","")&amp;IF(AND(N($W265)&gt;0,COUNT($I265:$L265)&gt;0),"Con subactividades: deje vacías las semanas (se calculan solas)"&amp;" · ","")&amp;IF((COUNTIF($I265:$L265,"&gt;1")+COUNTIF($I265:$L265,"&lt;0")+COUNTA($I265:$L265)-COUNT($I265:$L265))&gt;0,"Avance fuera de rango 0-100%"&amp;" · ","")&amp;IF(OR(AND($J265&lt;&gt;"",$J265&lt;$I265),AND($K265&lt;&gt;"",$K265&lt;MAX($I265:$J265)),AND($L265&lt;&gt;"",$L265&lt;MAX($I265:$K265))),"Avance semanal decreciente"&amp;" · ","")&amp;IF(AND(ISNUMBER($AN265),$AN265&lt;FechaRef,IF($V265="Sub",N($X265),N($M265))&lt;1),"Vencida"&amp;" · ","")&amp;IF(AND(ObsObligatoria="Sí",ISNUMBER($AN265),$AN265&lt;FechaRef,IF($V265="Sub",N($X265),N($M265))&lt;1,$Q265=""),"Vencida sin observación"&amp;" · ",""))="","✔ OK","⚠ "&amp;LEFT(IF($C265="","Falta el nombre de la actividad"&amp;" · ","")&amp;IF(AND($V265="Sub",N($U265)=0),"Subactividad sin macroactividad arriba"&amp;" · ","")&amp;IF($AM265="","Sin fecha de inicio"&amp;" · ","")&amp;IF($AN265="","Sin fecha límite"&amp;" · ","")&amp;IF(AND(LEFT($C265,11)="[Jefatura] ",N($AL265)=0),"No se encuentra en la hoja de la jefatura (elíjala de nuevo en la lista)"&amp;" · ","")&amp;IF(OR(AND($E265&lt;&gt;"",NOT(ISNUMBER($E265))),AND($F265&lt;&gt;"",NOT(ISNUMBER($F265))),AND($G265&lt;&gt;"",NOT(ISNUMBER($G265)))),"Fecha no válida"&amp;" · ","")&amp;IF(AND(ISNUMBER($AM265),ISNUMBER($AN265),$AM265&gt;$AN265),"Inicio posterior a fecha límite"&amp;" · ","")&amp;IF(AND($V265="Macro",$H265&lt;&gt;"",OR(NOT(ISNUMBER($H265)),$H265&lt;0,$H265&gt;1)),"Peso fuera de rango"&amp;" · ","")&amp;IF(AND($V265="Sub",$H265&lt;&gt;""),"Las subactividades no llevan peso (valen igual dentro de su macroactividad)"&amp;" · ","")&amp;IF(AND(N($W265)&gt;0,COUNT($I265:$L265)&gt;0),"Con subactividades: deje vacías las semanas (se calculan solas)"&amp;" · ","")&amp;IF((COUNTIF($I265:$L265,"&gt;1")+COUNTIF($I265:$L265,"&lt;0")+COUNTA($I265:$L265)-COUNT($I265:$L265))&gt;0,"Avance fuera de rango 0-100%"&amp;" · ","")&amp;IF(OR(AND($J265&lt;&gt;"",$J265&lt;$I265),AND($K265&lt;&gt;"",$K265&lt;MAX($I265:$J265)),AND($L265&lt;&gt;"",$L265&lt;MAX($I265:$K265))),"Avance semanal decreciente"&amp;" · ","")&amp;IF(AND(ISNUMBER($AN265),$AN265&lt;FechaRef,IF($V265="Sub",N($X265),N($M265))&lt;1),"Vencida"&amp;" · ","")&amp;IF(AND(ObsObligatoria="Sí",ISNUMBER($AN265),$AN265&lt;FechaRef,IF($V265="Sub",N($X265),N($M265))&lt;1,$Q265=""),"Vencida sin observación"&amp;" · ",""),LEN(IF($C265="","Falta el nombre de la actividad"&amp;" · ","")&amp;IF(AND($V265="Sub",N($U265)=0),"Subactividad sin macroactividad arriba"&amp;" · ","")&amp;IF($AM265="","Sin fecha de inicio"&amp;" · ","")&amp;IF($AN265="","Sin fecha límite"&amp;" · ","")&amp;IF(AND(LEFT($C265,11)="[Jefatura] ",N($AL265)=0),"No se encuentra en la hoja de la jefatura (elíjala de nuevo en la lista)"&amp;" · ","")&amp;IF(OR(AND($E265&lt;&gt;"",NOT(ISNUMBER($E265))),AND($F265&lt;&gt;"",NOT(ISNUMBER($F265))),AND($G265&lt;&gt;"",NOT(ISNUMBER($G265)))),"Fecha no válida"&amp;" · ","")&amp;IF(AND(ISNUMBER($AM265),ISNUMBER($AN265),$AM265&gt;$AN265),"Inicio posterior a fecha límite"&amp;" · ","")&amp;IF(AND($V265="Macro",$H265&lt;&gt;"",OR(NOT(ISNUMBER($H265)),$H265&lt;0,$H265&gt;1)),"Peso fuera de rango"&amp;" · ","")&amp;IF(AND($V265="Sub",$H265&lt;&gt;""),"Las subactividades no llevan peso (valen igual dentro de su macroactividad)"&amp;" · ","")&amp;IF(AND(N($W265)&gt;0,COUNT($I265:$L265)&gt;0),"Con subactividades: deje vacías las semanas (se calculan solas)"&amp;" · ","")&amp;IF((COUNTIF($I265:$L265,"&gt;1")+COUNTIF($I265:$L265,"&lt;0")+COUNTA($I265:$L265)-COUNT($I265:$L265))&gt;0,"Avance fuera de rango 0-100%"&amp;" · ","")&amp;IF(OR(AND($J265&lt;&gt;"",$J265&lt;$I265),AND($K265&lt;&gt;"",$K265&lt;MAX($I265:$J265)),AND($L265&lt;&gt;"",$L265&lt;MAX($I265:$K265))),"Avance semanal decreciente"&amp;" · ","")&amp;IF(AND(ISNUMBER($AN265),$AN265&lt;FechaRef,IF($V265="Sub",N($X265),N($M265))&lt;1),"Vencida"&amp;" · ","")&amp;IF(AND(ObsObligatoria="Sí",ISNUMBER($AN265),$AN265&lt;FechaRef,IF($V265="Sub",N($X265),N($M265))&lt;1,$Q265=""),"Vencida sin observación"&amp;" · ",""))-3)))</f>
        <v/>
      </c>
      <c r="S265" s="64">
        <f>IF(NOT((COUNTA($B265:$D265)+COUNTA($G265:$L265)+COUNTA($Q265))&gt;0),"",IF(AND($V265="Sub",N($U265)&gt;0),IF(ISNUMBER(INDEX($AM$5:$AM$1000,$U265-4)),DATE(YEAR(INDEX($AM$5:$AM$1000,$U265-4)),MONTH(INDEX($AM$5:$AM$1000,$U265-4)),1),IF(ISNUMBER(INDEX($AN$5:$AN$1000,$U265-4)),DATE(YEAR(INDEX($AN$5:$AN$1000,$U265-4)),MONTH(INDEX($AN$5:$AN$1000,$U265-4)),1),MesCiclo)),IF(ISNUMBER($AM265),DATE(YEAR($AM265),MONTH($AM265),1),IF(ISNUMBER($AN265),DATE(YEAR($AN265),MONTH($AN265),1),MesCiclo))))</f>
        <v/>
      </c>
      <c r="T265" s="62">
        <f>IF(OR($S265="",$S265&lt;&gt;MesCiclo,$V265&lt;&gt;"Macro"),"",COUNTIFS($S$5:$S265,MesCiclo,$V$5:$V265,"Macro"))</f>
        <v/>
      </c>
      <c r="U265" s="62">
        <f>IF($V265="","",IF($V265="Macro",ROW(),IFERROR(LOOKUP(2,1/($V$5:$V265="Macro"),ROW($V$5:$V265)),0)))</f>
        <v/>
      </c>
      <c r="V265" s="62">
        <f>IF(NOT((COUNTA($B265:$D265)+COUNTA($G265:$L265)+COUNTA($Q265))&gt;0),"",IF($B265="Subactividad","Sub","Macro"))</f>
        <v/>
      </c>
      <c r="W265" s="62">
        <f>IF($V265="Macro",COUNTIFS($U$5:$U$1000,ROW(),$V$5:$V$1000,"Sub"),"")</f>
        <v/>
      </c>
      <c r="X265" s="62">
        <f>IF($V265="","",IF(ISNUMBER($G265),1,IFERROR(LOOKUP(2,1/($I265:$L265&lt;&gt;""),$I265:$L265),0)))</f>
        <v/>
      </c>
      <c r="Y265" s="62">
        <f>IF($V265="","",IF(AND(ISNUMBER($G265),$G265&lt;=IF($S265=MesCiclo,InicioCiclo,$S265+MOD(2-WEEKDAY($S265),7))+6),1,IF(ISNUMBER($I265),$I265,0)))</f>
        <v/>
      </c>
      <c r="Z265" s="62">
        <f>IF($V265="","",IF(AND(ISNUMBER($G265),$G265&lt;=IF($S265=MesCiclo,InicioCiclo,$S265+MOD(2-WEEKDAY($S265),7))+13),1,IF(ISNUMBER($J265),$J265,$Y265)))</f>
        <v/>
      </c>
      <c r="AA265" s="62">
        <f>IF($V265="","",IF(AND(ISNUMBER($G265),$G265&lt;=IF($S265=MesCiclo,InicioCiclo,$S265+MOD(2-WEEKDAY($S265),7))+20),1,IF(ISNUMBER($K265),$K265,$Z265)))</f>
        <v/>
      </c>
      <c r="AB265" s="62">
        <f>IF($V265="","",IF(AND(ISNUMBER($G265),$G265&lt;=IF($S265=MesCiclo,InicioCiclo,$S265+MOD(2-WEEKDAY($S265),7))+27),1,IF(ISNUMBER($L265),$L265,$AA265)))</f>
        <v/>
      </c>
      <c r="AC265" s="62">
        <f>IF($V265="","",IF(AND(ISNUMBER($G265),$G265&lt;=IF($S265=MesCiclo,InicioCiclo,$S265+MOD(2-WEEKDAY($S265),7))+6),1,IF(N($W265)&gt;0,AVERAGEIFS($Y$5:$Y$1000,$U$5:$U$1000,ROW(),$V$5:$V$1000,"Sub"),$Y265)))</f>
        <v/>
      </c>
      <c r="AD265" s="62">
        <f>IF($V265="","",IF(AND(ISNUMBER($G265),$G265&lt;=IF($S265=MesCiclo,InicioCiclo,$S265+MOD(2-WEEKDAY($S265),7))+13),1,IF(N($W265)&gt;0,AVERAGEIFS($Z$5:$Z$1000,$U$5:$U$1000,ROW(),$V$5:$V$1000,"Sub"),$Z265)))</f>
        <v/>
      </c>
      <c r="AE265" s="62">
        <f>IF($V265="","",IF(AND(ISNUMBER($G265),$G265&lt;=IF($S265=MesCiclo,InicioCiclo,$S265+MOD(2-WEEKDAY($S265),7))+20),1,IF(N($W265)&gt;0,AVERAGEIFS($AA$5:$AA$1000,$U$5:$U$1000,ROW(),$V$5:$V$1000,"Sub"),$AA265)))</f>
        <v/>
      </c>
      <c r="AF265" s="62">
        <f>IF($V265="","",IF(AND(ISNUMBER($G265),$G265&lt;=IF($S265=MesCiclo,InicioCiclo,$S265+MOD(2-WEEKDAY($S265),7))+27),1,IF(N($W265)&gt;0,AVERAGEIFS($AB$5:$AB$1000,$U$5:$U$1000,ROW(),$V$5:$V$1000,"Sub"),$AB265)))</f>
        <v/>
      </c>
      <c r="AG265" s="62">
        <f>IF($V265&lt;&gt;"Macro","",IF(COUNTIFS($S$5:$S$1000,$S265,$V$5:$V$1000,"Macro",$H$5:$H$1000,"&gt;0")=0,1/COUNTIFS($S$5:$S$1000,$S265,$V$5:$V$1000,"Macro"),IF(AND(ISNUMBER($H265),N($H265)&gt;0),$H265,SUMIFS($H$5:$H$1000,$S$5:$S$1000,$S265,$V$5:$V$1000,"Macro")/COUNTIFS($S$5:$S$1000,$S265,$V$5:$V$1000,"Macro",$H$5:$H$1000,"&gt;0"))/(COUNTIFS($S$5:$S$1000,$S265,$V$5:$V$1000,"Macro")*SUMIFS($H$5:$H$1000,$S$5:$S$1000,$S265,$V$5:$V$1000,"Macro")/COUNTIFS($S$5:$S$1000,$S265,$V$5:$V$1000,"Macro",$H$5:$H$1000,"&gt;0"))))</f>
        <v/>
      </c>
      <c r="AH265" s="62" t="n"/>
      <c r="AI265" s="62" t="n"/>
      <c r="AJ265" s="62" t="n"/>
      <c r="AK265" s="62" t="n"/>
      <c r="AL265" s="62">
        <f>IF(LEFT($C265,11)="[Jefatura] ",IFERROR(MATCH("Riesgo Financiero|"&amp;MID($C265,12,500),rDname_ADM,0),0),"")</f>
        <v/>
      </c>
      <c r="AM265" s="62">
        <f>IF(N($AL265)&gt;0,INDEX(rIni_ADM,$AL265),IF(ISNUMBER($E265),$E265,""))</f>
        <v/>
      </c>
      <c r="AN265" s="62">
        <f>IF(N($AL265)&gt;0,INDEX(rLim_ADM,$AL265),IF(ISNUMBER($F265),$F265,""))</f>
        <v/>
      </c>
    </row>
    <row r="266">
      <c r="A266" s="56">
        <f>IF(NOT((COUNTA($B266:$D266)+COUNTA($G266:$L266)+COUNTA($Q266))&gt;0),"",IF($V266="Macro",COUNTIFS($V$5:$V266,"Macro",$S$5:$S266,$S266),IF(N($U266)=0,"?",COUNTIFS(INDEX($V$5:$V$1000,1):INDEX($V$5:$V$1000,$U266-4),"Macro",INDEX($S$5:$S$1000,1):INDEX($S$5:$S$1000,$U266-4),INDEX($S$5:$S$1000,$U266-4))&amp;"."&amp;COUNTIFS($U$5:$U266,$U266,$V$5:$V266,"Sub"))))</f>
        <v/>
      </c>
      <c r="B266" s="57" t="n"/>
      <c r="C266" s="58" t="n"/>
      <c r="D266" s="58" t="n"/>
      <c r="E266" s="59">
        <f>IF(N($AL266)&gt;0,INDEX(rIni_ADM,$AL266),"")</f>
        <v/>
      </c>
      <c r="F266" s="59">
        <f>IF(N($AL266)&gt;0,INDEX(rLim_ADM,$AL266),"")</f>
        <v/>
      </c>
      <c r="G266" s="59" t="n"/>
      <c r="H266" s="60" t="n"/>
      <c r="I266" s="60" t="n"/>
      <c r="J266" s="60" t="n"/>
      <c r="K266" s="60" t="n"/>
      <c r="L266" s="60" t="n"/>
      <c r="M266" s="61">
        <f>IF(NOT((COUNTA($B266:$D266)+COUNTA($G266:$L266)+COUNTA($Q266))&gt;0),"",IF($V266="Sub",IFERROR($X266/INDEX($W$5:$W$1000,$U266-4),""),IF(ISNUMBER($G266),1,IF(N($W266)&gt;0,AVERAGEIFS($X$5:$X$1000,$U$5:$U$1000,ROW(),$V$5:$V$1000,"Sub"),$X266))))</f>
        <v/>
      </c>
      <c r="N266" s="56">
        <f>IF(OR($M266="",$V266="Sub"),"",IF($M266&gt;=1,"Completado",IF($M266&gt;0,"En curso","Pendiente")))</f>
        <v/>
      </c>
      <c r="O266" s="56">
        <f>IF(OR(NOT((COUNTA($B266:$D266)+COUNTA($G266:$L266)+COUNTA($Q266))&gt;0),$V266="Sub"),"",IF(ISNUMBER($G266),IF(AND(ISNUMBER($AN266),$G266&gt;$AN266),"Cumplida con "&amp;($G266-$AN266)&amp;IF($G266-$AN266=1," día"," días")&amp;" de retraso","Cumplida"),IF(N($M266)&gt;=1,"Cumplida",IF(NOT(ISNUMBER($AN266)),"Sin fecha límite",IF($AN266&lt;FechaRef,"Vencida hace "&amp;(FechaRef-$AN266)&amp;IF(FechaRef-$AN266=1," día"," días"),IF($AN266=FechaRef,"Vence hoy",IF($AN266-FechaRef&lt;=DiasAlerta,"Vence en "&amp;($AN266-FechaRef)&amp;IF($AN266-FechaRef=1," día"," días"),"En plazo")))))))</f>
        <v/>
      </c>
      <c r="P266" s="62" t="n"/>
      <c r="Q266" s="58" t="n"/>
      <c r="R266" s="63">
        <f>IF(NOT((COUNTA($B266:$D266)+COUNTA($G266:$L266)+COUNTA($Q266))&gt;0),"",IF((IF($C266="","Falta el nombre de la actividad"&amp;" · ","")&amp;IF(AND($V266="Sub",N($U266)=0),"Subactividad sin macroactividad arriba"&amp;" · ","")&amp;IF($AM266="","Sin fecha de inicio"&amp;" · ","")&amp;IF($AN266="","Sin fecha límite"&amp;" · ","")&amp;IF(AND(LEFT($C266,11)="[Jefatura] ",N($AL266)=0),"No se encuentra en la hoja de la jefatura (elíjala de nuevo en la lista)"&amp;" · ","")&amp;IF(OR(AND($E266&lt;&gt;"",NOT(ISNUMBER($E266))),AND($F266&lt;&gt;"",NOT(ISNUMBER($F266))),AND($G266&lt;&gt;"",NOT(ISNUMBER($G266)))),"Fecha no válida"&amp;" · ","")&amp;IF(AND(ISNUMBER($AM266),ISNUMBER($AN266),$AM266&gt;$AN266),"Inicio posterior a fecha límite"&amp;" · ","")&amp;IF(AND($V266="Macro",$H266&lt;&gt;"",OR(NOT(ISNUMBER($H266)),$H266&lt;0,$H266&gt;1)),"Peso fuera de rango"&amp;" · ","")&amp;IF(AND($V266="Sub",$H266&lt;&gt;""),"Las subactividades no llevan peso (valen igual dentro de su macroactividad)"&amp;" · ","")&amp;IF(AND(N($W266)&gt;0,COUNT($I266:$L266)&gt;0),"Con subactividades: deje vacías las semanas (se calculan solas)"&amp;" · ","")&amp;IF((COUNTIF($I266:$L266,"&gt;1")+COUNTIF($I266:$L266,"&lt;0")+COUNTA($I266:$L266)-COUNT($I266:$L266))&gt;0,"Avance fuera de rango 0-100%"&amp;" · ","")&amp;IF(OR(AND($J266&lt;&gt;"",$J266&lt;$I266),AND($K266&lt;&gt;"",$K266&lt;MAX($I266:$J266)),AND($L266&lt;&gt;"",$L266&lt;MAX($I266:$K266))),"Avance semanal decreciente"&amp;" · ","")&amp;IF(AND(ISNUMBER($AN266),$AN266&lt;FechaRef,IF($V266="Sub",N($X266),N($M266))&lt;1),"Vencida"&amp;" · ","")&amp;IF(AND(ObsObligatoria="Sí",ISNUMBER($AN266),$AN266&lt;FechaRef,IF($V266="Sub",N($X266),N($M266))&lt;1,$Q266=""),"Vencida sin observación"&amp;" · ",""))="","✔ OK","⚠ "&amp;LEFT(IF($C266="","Falta el nombre de la actividad"&amp;" · ","")&amp;IF(AND($V266="Sub",N($U266)=0),"Subactividad sin macroactividad arriba"&amp;" · ","")&amp;IF($AM266="","Sin fecha de inicio"&amp;" · ","")&amp;IF($AN266="","Sin fecha límite"&amp;" · ","")&amp;IF(AND(LEFT($C266,11)="[Jefatura] ",N($AL266)=0),"No se encuentra en la hoja de la jefatura (elíjala de nuevo en la lista)"&amp;" · ","")&amp;IF(OR(AND($E266&lt;&gt;"",NOT(ISNUMBER($E266))),AND($F266&lt;&gt;"",NOT(ISNUMBER($F266))),AND($G266&lt;&gt;"",NOT(ISNUMBER($G266)))),"Fecha no válida"&amp;" · ","")&amp;IF(AND(ISNUMBER($AM266),ISNUMBER($AN266),$AM266&gt;$AN266),"Inicio posterior a fecha límite"&amp;" · ","")&amp;IF(AND($V266="Macro",$H266&lt;&gt;"",OR(NOT(ISNUMBER($H266)),$H266&lt;0,$H266&gt;1)),"Peso fuera de rango"&amp;" · ","")&amp;IF(AND($V266="Sub",$H266&lt;&gt;""),"Las subactividades no llevan peso (valen igual dentro de su macroactividad)"&amp;" · ","")&amp;IF(AND(N($W266)&gt;0,COUNT($I266:$L266)&gt;0),"Con subactividades: deje vacías las semanas (se calculan solas)"&amp;" · ","")&amp;IF((COUNTIF($I266:$L266,"&gt;1")+COUNTIF($I266:$L266,"&lt;0")+COUNTA($I266:$L266)-COUNT($I266:$L266))&gt;0,"Avance fuera de rango 0-100%"&amp;" · ","")&amp;IF(OR(AND($J266&lt;&gt;"",$J266&lt;$I266),AND($K266&lt;&gt;"",$K266&lt;MAX($I266:$J266)),AND($L266&lt;&gt;"",$L266&lt;MAX($I266:$K266))),"Avance semanal decreciente"&amp;" · ","")&amp;IF(AND(ISNUMBER($AN266),$AN266&lt;FechaRef,IF($V266="Sub",N($X266),N($M266))&lt;1),"Vencida"&amp;" · ","")&amp;IF(AND(ObsObligatoria="Sí",ISNUMBER($AN266),$AN266&lt;FechaRef,IF($V266="Sub",N($X266),N($M266))&lt;1,$Q266=""),"Vencida sin observación"&amp;" · ",""),LEN(IF($C266="","Falta el nombre de la actividad"&amp;" · ","")&amp;IF(AND($V266="Sub",N($U266)=0),"Subactividad sin macroactividad arriba"&amp;" · ","")&amp;IF($AM266="","Sin fecha de inicio"&amp;" · ","")&amp;IF($AN266="","Sin fecha límite"&amp;" · ","")&amp;IF(AND(LEFT($C266,11)="[Jefatura] ",N($AL266)=0),"No se encuentra en la hoja de la jefatura (elíjala de nuevo en la lista)"&amp;" · ","")&amp;IF(OR(AND($E266&lt;&gt;"",NOT(ISNUMBER($E266))),AND($F266&lt;&gt;"",NOT(ISNUMBER($F266))),AND($G266&lt;&gt;"",NOT(ISNUMBER($G266)))),"Fecha no válida"&amp;" · ","")&amp;IF(AND(ISNUMBER($AM266),ISNUMBER($AN266),$AM266&gt;$AN266),"Inicio posterior a fecha límite"&amp;" · ","")&amp;IF(AND($V266="Macro",$H266&lt;&gt;"",OR(NOT(ISNUMBER($H266)),$H266&lt;0,$H266&gt;1)),"Peso fuera de rango"&amp;" · ","")&amp;IF(AND($V266="Sub",$H266&lt;&gt;""),"Las subactividades no llevan peso (valen igual dentro de su macroactividad)"&amp;" · ","")&amp;IF(AND(N($W266)&gt;0,COUNT($I266:$L266)&gt;0),"Con subactividades: deje vacías las semanas (se calculan solas)"&amp;" · ","")&amp;IF((COUNTIF($I266:$L266,"&gt;1")+COUNTIF($I266:$L266,"&lt;0")+COUNTA($I266:$L266)-COUNT($I266:$L266))&gt;0,"Avance fuera de rango 0-100%"&amp;" · ","")&amp;IF(OR(AND($J266&lt;&gt;"",$J266&lt;$I266),AND($K266&lt;&gt;"",$K266&lt;MAX($I266:$J266)),AND($L266&lt;&gt;"",$L266&lt;MAX($I266:$K266))),"Avance semanal decreciente"&amp;" · ","")&amp;IF(AND(ISNUMBER($AN266),$AN266&lt;FechaRef,IF($V266="Sub",N($X266),N($M266))&lt;1),"Vencida"&amp;" · ","")&amp;IF(AND(ObsObligatoria="Sí",ISNUMBER($AN266),$AN266&lt;FechaRef,IF($V266="Sub",N($X266),N($M266))&lt;1,$Q266=""),"Vencida sin observación"&amp;" · ",""))-3)))</f>
        <v/>
      </c>
      <c r="S266" s="64">
        <f>IF(NOT((COUNTA($B266:$D266)+COUNTA($G266:$L266)+COUNTA($Q266))&gt;0),"",IF(AND($V266="Sub",N($U266)&gt;0),IF(ISNUMBER(INDEX($AM$5:$AM$1000,$U266-4)),DATE(YEAR(INDEX($AM$5:$AM$1000,$U266-4)),MONTH(INDEX($AM$5:$AM$1000,$U266-4)),1),IF(ISNUMBER(INDEX($AN$5:$AN$1000,$U266-4)),DATE(YEAR(INDEX($AN$5:$AN$1000,$U266-4)),MONTH(INDEX($AN$5:$AN$1000,$U266-4)),1),MesCiclo)),IF(ISNUMBER($AM266),DATE(YEAR($AM266),MONTH($AM266),1),IF(ISNUMBER($AN266),DATE(YEAR($AN266),MONTH($AN266),1),MesCiclo))))</f>
        <v/>
      </c>
      <c r="T266" s="62">
        <f>IF(OR($S266="",$S266&lt;&gt;MesCiclo,$V266&lt;&gt;"Macro"),"",COUNTIFS($S$5:$S266,MesCiclo,$V$5:$V266,"Macro"))</f>
        <v/>
      </c>
      <c r="U266" s="62">
        <f>IF($V266="","",IF($V266="Macro",ROW(),IFERROR(LOOKUP(2,1/($V$5:$V266="Macro"),ROW($V$5:$V266)),0)))</f>
        <v/>
      </c>
      <c r="V266" s="62">
        <f>IF(NOT((COUNTA($B266:$D266)+COUNTA($G266:$L266)+COUNTA($Q266))&gt;0),"",IF($B266="Subactividad","Sub","Macro"))</f>
        <v/>
      </c>
      <c r="W266" s="62">
        <f>IF($V266="Macro",COUNTIFS($U$5:$U$1000,ROW(),$V$5:$V$1000,"Sub"),"")</f>
        <v/>
      </c>
      <c r="X266" s="62">
        <f>IF($V266="","",IF(ISNUMBER($G266),1,IFERROR(LOOKUP(2,1/($I266:$L266&lt;&gt;""),$I266:$L266),0)))</f>
        <v/>
      </c>
      <c r="Y266" s="62">
        <f>IF($V266="","",IF(AND(ISNUMBER($G266),$G266&lt;=IF($S266=MesCiclo,InicioCiclo,$S266+MOD(2-WEEKDAY($S266),7))+6),1,IF(ISNUMBER($I266),$I266,0)))</f>
        <v/>
      </c>
      <c r="Z266" s="62">
        <f>IF($V266="","",IF(AND(ISNUMBER($G266),$G266&lt;=IF($S266=MesCiclo,InicioCiclo,$S266+MOD(2-WEEKDAY($S266),7))+13),1,IF(ISNUMBER($J266),$J266,$Y266)))</f>
        <v/>
      </c>
      <c r="AA266" s="62">
        <f>IF($V266="","",IF(AND(ISNUMBER($G266),$G266&lt;=IF($S266=MesCiclo,InicioCiclo,$S266+MOD(2-WEEKDAY($S266),7))+20),1,IF(ISNUMBER($K266),$K266,$Z266)))</f>
        <v/>
      </c>
      <c r="AB266" s="62">
        <f>IF($V266="","",IF(AND(ISNUMBER($G266),$G266&lt;=IF($S266=MesCiclo,InicioCiclo,$S266+MOD(2-WEEKDAY($S266),7))+27),1,IF(ISNUMBER($L266),$L266,$AA266)))</f>
        <v/>
      </c>
      <c r="AC266" s="62">
        <f>IF($V266="","",IF(AND(ISNUMBER($G266),$G266&lt;=IF($S266=MesCiclo,InicioCiclo,$S266+MOD(2-WEEKDAY($S266),7))+6),1,IF(N($W266)&gt;0,AVERAGEIFS($Y$5:$Y$1000,$U$5:$U$1000,ROW(),$V$5:$V$1000,"Sub"),$Y266)))</f>
        <v/>
      </c>
      <c r="AD266" s="62">
        <f>IF($V266="","",IF(AND(ISNUMBER($G266),$G266&lt;=IF($S266=MesCiclo,InicioCiclo,$S266+MOD(2-WEEKDAY($S266),7))+13),1,IF(N($W266)&gt;0,AVERAGEIFS($Z$5:$Z$1000,$U$5:$U$1000,ROW(),$V$5:$V$1000,"Sub"),$Z266)))</f>
        <v/>
      </c>
      <c r="AE266" s="62">
        <f>IF($V266="","",IF(AND(ISNUMBER($G266),$G266&lt;=IF($S266=MesCiclo,InicioCiclo,$S266+MOD(2-WEEKDAY($S266),7))+20),1,IF(N($W266)&gt;0,AVERAGEIFS($AA$5:$AA$1000,$U$5:$U$1000,ROW(),$V$5:$V$1000,"Sub"),$AA266)))</f>
        <v/>
      </c>
      <c r="AF266" s="62">
        <f>IF($V266="","",IF(AND(ISNUMBER($G266),$G266&lt;=IF($S266=MesCiclo,InicioCiclo,$S266+MOD(2-WEEKDAY($S266),7))+27),1,IF(N($W266)&gt;0,AVERAGEIFS($AB$5:$AB$1000,$U$5:$U$1000,ROW(),$V$5:$V$1000,"Sub"),$AB266)))</f>
        <v/>
      </c>
      <c r="AG266" s="62">
        <f>IF($V266&lt;&gt;"Macro","",IF(COUNTIFS($S$5:$S$1000,$S266,$V$5:$V$1000,"Macro",$H$5:$H$1000,"&gt;0")=0,1/COUNTIFS($S$5:$S$1000,$S266,$V$5:$V$1000,"Macro"),IF(AND(ISNUMBER($H266),N($H266)&gt;0),$H266,SUMIFS($H$5:$H$1000,$S$5:$S$1000,$S266,$V$5:$V$1000,"Macro")/COUNTIFS($S$5:$S$1000,$S266,$V$5:$V$1000,"Macro",$H$5:$H$1000,"&gt;0"))/(COUNTIFS($S$5:$S$1000,$S266,$V$5:$V$1000,"Macro")*SUMIFS($H$5:$H$1000,$S$5:$S$1000,$S266,$V$5:$V$1000,"Macro")/COUNTIFS($S$5:$S$1000,$S266,$V$5:$V$1000,"Macro",$H$5:$H$1000,"&gt;0"))))</f>
        <v/>
      </c>
      <c r="AH266" s="62" t="n"/>
      <c r="AI266" s="62" t="n"/>
      <c r="AJ266" s="62" t="n"/>
      <c r="AK266" s="62" t="n"/>
      <c r="AL266" s="62">
        <f>IF(LEFT($C266,11)="[Jefatura] ",IFERROR(MATCH("Riesgo Financiero|"&amp;MID($C266,12,500),rDname_ADM,0),0),"")</f>
        <v/>
      </c>
      <c r="AM266" s="62">
        <f>IF(N($AL266)&gt;0,INDEX(rIni_ADM,$AL266),IF(ISNUMBER($E266),$E266,""))</f>
        <v/>
      </c>
      <c r="AN266" s="62">
        <f>IF(N($AL266)&gt;0,INDEX(rLim_ADM,$AL266),IF(ISNUMBER($F266),$F266,""))</f>
        <v/>
      </c>
    </row>
    <row r="267">
      <c r="A267" s="56">
        <f>IF(NOT((COUNTA($B267:$D267)+COUNTA($G267:$L267)+COUNTA($Q267))&gt;0),"",IF($V267="Macro",COUNTIFS($V$5:$V267,"Macro",$S$5:$S267,$S267),IF(N($U267)=0,"?",COUNTIFS(INDEX($V$5:$V$1000,1):INDEX($V$5:$V$1000,$U267-4),"Macro",INDEX($S$5:$S$1000,1):INDEX($S$5:$S$1000,$U267-4),INDEX($S$5:$S$1000,$U267-4))&amp;"."&amp;COUNTIFS($U$5:$U267,$U267,$V$5:$V267,"Sub"))))</f>
        <v/>
      </c>
      <c r="B267" s="57" t="n"/>
      <c r="C267" s="58" t="n"/>
      <c r="D267" s="58" t="n"/>
      <c r="E267" s="59">
        <f>IF(N($AL267)&gt;0,INDEX(rIni_ADM,$AL267),"")</f>
        <v/>
      </c>
      <c r="F267" s="59">
        <f>IF(N($AL267)&gt;0,INDEX(rLim_ADM,$AL267),"")</f>
        <v/>
      </c>
      <c r="G267" s="59" t="n"/>
      <c r="H267" s="60" t="n"/>
      <c r="I267" s="60" t="n"/>
      <c r="J267" s="60" t="n"/>
      <c r="K267" s="60" t="n"/>
      <c r="L267" s="60" t="n"/>
      <c r="M267" s="61">
        <f>IF(NOT((COUNTA($B267:$D267)+COUNTA($G267:$L267)+COUNTA($Q267))&gt;0),"",IF($V267="Sub",IFERROR($X267/INDEX($W$5:$W$1000,$U267-4),""),IF(ISNUMBER($G267),1,IF(N($W267)&gt;0,AVERAGEIFS($X$5:$X$1000,$U$5:$U$1000,ROW(),$V$5:$V$1000,"Sub"),$X267))))</f>
        <v/>
      </c>
      <c r="N267" s="56">
        <f>IF(OR($M267="",$V267="Sub"),"",IF($M267&gt;=1,"Completado",IF($M267&gt;0,"En curso","Pendiente")))</f>
        <v/>
      </c>
      <c r="O267" s="56">
        <f>IF(OR(NOT((COUNTA($B267:$D267)+COUNTA($G267:$L267)+COUNTA($Q267))&gt;0),$V267="Sub"),"",IF(ISNUMBER($G267),IF(AND(ISNUMBER($AN267),$G267&gt;$AN267),"Cumplida con "&amp;($G267-$AN267)&amp;IF($G267-$AN267=1," día"," días")&amp;" de retraso","Cumplida"),IF(N($M267)&gt;=1,"Cumplida",IF(NOT(ISNUMBER($AN267)),"Sin fecha límite",IF($AN267&lt;FechaRef,"Vencida hace "&amp;(FechaRef-$AN267)&amp;IF(FechaRef-$AN267=1," día"," días"),IF($AN267=FechaRef,"Vence hoy",IF($AN267-FechaRef&lt;=DiasAlerta,"Vence en "&amp;($AN267-FechaRef)&amp;IF($AN267-FechaRef=1," día"," días"),"En plazo")))))))</f>
        <v/>
      </c>
      <c r="P267" s="62" t="n"/>
      <c r="Q267" s="58" t="n"/>
      <c r="R267" s="63">
        <f>IF(NOT((COUNTA($B267:$D267)+COUNTA($G267:$L267)+COUNTA($Q267))&gt;0),"",IF((IF($C267="","Falta el nombre de la actividad"&amp;" · ","")&amp;IF(AND($V267="Sub",N($U267)=0),"Subactividad sin macroactividad arriba"&amp;" · ","")&amp;IF($AM267="","Sin fecha de inicio"&amp;" · ","")&amp;IF($AN267="","Sin fecha límite"&amp;" · ","")&amp;IF(AND(LEFT($C267,11)="[Jefatura] ",N($AL267)=0),"No se encuentra en la hoja de la jefatura (elíjala de nuevo en la lista)"&amp;" · ","")&amp;IF(OR(AND($E267&lt;&gt;"",NOT(ISNUMBER($E267))),AND($F267&lt;&gt;"",NOT(ISNUMBER($F267))),AND($G267&lt;&gt;"",NOT(ISNUMBER($G267)))),"Fecha no válida"&amp;" · ","")&amp;IF(AND(ISNUMBER($AM267),ISNUMBER($AN267),$AM267&gt;$AN267),"Inicio posterior a fecha límite"&amp;" · ","")&amp;IF(AND($V267="Macro",$H267&lt;&gt;"",OR(NOT(ISNUMBER($H267)),$H267&lt;0,$H267&gt;1)),"Peso fuera de rango"&amp;" · ","")&amp;IF(AND($V267="Sub",$H267&lt;&gt;""),"Las subactividades no llevan peso (valen igual dentro de su macroactividad)"&amp;" · ","")&amp;IF(AND(N($W267)&gt;0,COUNT($I267:$L267)&gt;0),"Con subactividades: deje vacías las semanas (se calculan solas)"&amp;" · ","")&amp;IF((COUNTIF($I267:$L267,"&gt;1")+COUNTIF($I267:$L267,"&lt;0")+COUNTA($I267:$L267)-COUNT($I267:$L267))&gt;0,"Avance fuera de rango 0-100%"&amp;" · ","")&amp;IF(OR(AND($J267&lt;&gt;"",$J267&lt;$I267),AND($K267&lt;&gt;"",$K267&lt;MAX($I267:$J267)),AND($L267&lt;&gt;"",$L267&lt;MAX($I267:$K267))),"Avance semanal decreciente"&amp;" · ","")&amp;IF(AND(ISNUMBER($AN267),$AN267&lt;FechaRef,IF($V267="Sub",N($X267),N($M267))&lt;1),"Vencida"&amp;" · ","")&amp;IF(AND(ObsObligatoria="Sí",ISNUMBER($AN267),$AN267&lt;FechaRef,IF($V267="Sub",N($X267),N($M267))&lt;1,$Q267=""),"Vencida sin observación"&amp;" · ",""))="","✔ OK","⚠ "&amp;LEFT(IF($C267="","Falta el nombre de la actividad"&amp;" · ","")&amp;IF(AND($V267="Sub",N($U267)=0),"Subactividad sin macroactividad arriba"&amp;" · ","")&amp;IF($AM267="","Sin fecha de inicio"&amp;" · ","")&amp;IF($AN267="","Sin fecha límite"&amp;" · ","")&amp;IF(AND(LEFT($C267,11)="[Jefatura] ",N($AL267)=0),"No se encuentra en la hoja de la jefatura (elíjala de nuevo en la lista)"&amp;" · ","")&amp;IF(OR(AND($E267&lt;&gt;"",NOT(ISNUMBER($E267))),AND($F267&lt;&gt;"",NOT(ISNUMBER($F267))),AND($G267&lt;&gt;"",NOT(ISNUMBER($G267)))),"Fecha no válida"&amp;" · ","")&amp;IF(AND(ISNUMBER($AM267),ISNUMBER($AN267),$AM267&gt;$AN267),"Inicio posterior a fecha límite"&amp;" · ","")&amp;IF(AND($V267="Macro",$H267&lt;&gt;"",OR(NOT(ISNUMBER($H267)),$H267&lt;0,$H267&gt;1)),"Peso fuera de rango"&amp;" · ","")&amp;IF(AND($V267="Sub",$H267&lt;&gt;""),"Las subactividades no llevan peso (valen igual dentro de su macroactividad)"&amp;" · ","")&amp;IF(AND(N($W267)&gt;0,COUNT($I267:$L267)&gt;0),"Con subactividades: deje vacías las semanas (se calculan solas)"&amp;" · ","")&amp;IF((COUNTIF($I267:$L267,"&gt;1")+COUNTIF($I267:$L267,"&lt;0")+COUNTA($I267:$L267)-COUNT($I267:$L267))&gt;0,"Avance fuera de rango 0-100%"&amp;" · ","")&amp;IF(OR(AND($J267&lt;&gt;"",$J267&lt;$I267),AND($K267&lt;&gt;"",$K267&lt;MAX($I267:$J267)),AND($L267&lt;&gt;"",$L267&lt;MAX($I267:$K267))),"Avance semanal decreciente"&amp;" · ","")&amp;IF(AND(ISNUMBER($AN267),$AN267&lt;FechaRef,IF($V267="Sub",N($X267),N($M267))&lt;1),"Vencida"&amp;" · ","")&amp;IF(AND(ObsObligatoria="Sí",ISNUMBER($AN267),$AN267&lt;FechaRef,IF($V267="Sub",N($X267),N($M267))&lt;1,$Q267=""),"Vencida sin observación"&amp;" · ",""),LEN(IF($C267="","Falta el nombre de la actividad"&amp;" · ","")&amp;IF(AND($V267="Sub",N($U267)=0),"Subactividad sin macroactividad arriba"&amp;" · ","")&amp;IF($AM267="","Sin fecha de inicio"&amp;" · ","")&amp;IF($AN267="","Sin fecha límite"&amp;" · ","")&amp;IF(AND(LEFT($C267,11)="[Jefatura] ",N($AL267)=0),"No se encuentra en la hoja de la jefatura (elíjala de nuevo en la lista)"&amp;" · ","")&amp;IF(OR(AND($E267&lt;&gt;"",NOT(ISNUMBER($E267))),AND($F267&lt;&gt;"",NOT(ISNUMBER($F267))),AND($G267&lt;&gt;"",NOT(ISNUMBER($G267)))),"Fecha no válida"&amp;" · ","")&amp;IF(AND(ISNUMBER($AM267),ISNUMBER($AN267),$AM267&gt;$AN267),"Inicio posterior a fecha límite"&amp;" · ","")&amp;IF(AND($V267="Macro",$H267&lt;&gt;"",OR(NOT(ISNUMBER($H267)),$H267&lt;0,$H267&gt;1)),"Peso fuera de rango"&amp;" · ","")&amp;IF(AND($V267="Sub",$H267&lt;&gt;""),"Las subactividades no llevan peso (valen igual dentro de su macroactividad)"&amp;" · ","")&amp;IF(AND(N($W267)&gt;0,COUNT($I267:$L267)&gt;0),"Con subactividades: deje vacías las semanas (se calculan solas)"&amp;" · ","")&amp;IF((COUNTIF($I267:$L267,"&gt;1")+COUNTIF($I267:$L267,"&lt;0")+COUNTA($I267:$L267)-COUNT($I267:$L267))&gt;0,"Avance fuera de rango 0-100%"&amp;" · ","")&amp;IF(OR(AND($J267&lt;&gt;"",$J267&lt;$I267),AND($K267&lt;&gt;"",$K267&lt;MAX($I267:$J267)),AND($L267&lt;&gt;"",$L267&lt;MAX($I267:$K267))),"Avance semanal decreciente"&amp;" · ","")&amp;IF(AND(ISNUMBER($AN267),$AN267&lt;FechaRef,IF($V267="Sub",N($X267),N($M267))&lt;1),"Vencida"&amp;" · ","")&amp;IF(AND(ObsObligatoria="Sí",ISNUMBER($AN267),$AN267&lt;FechaRef,IF($V267="Sub",N($X267),N($M267))&lt;1,$Q267=""),"Vencida sin observación"&amp;" · ",""))-3)))</f>
        <v/>
      </c>
      <c r="S267" s="64">
        <f>IF(NOT((COUNTA($B267:$D267)+COUNTA($G267:$L267)+COUNTA($Q267))&gt;0),"",IF(AND($V267="Sub",N($U267)&gt;0),IF(ISNUMBER(INDEX($AM$5:$AM$1000,$U267-4)),DATE(YEAR(INDEX($AM$5:$AM$1000,$U267-4)),MONTH(INDEX($AM$5:$AM$1000,$U267-4)),1),IF(ISNUMBER(INDEX($AN$5:$AN$1000,$U267-4)),DATE(YEAR(INDEX($AN$5:$AN$1000,$U267-4)),MONTH(INDEX($AN$5:$AN$1000,$U267-4)),1),MesCiclo)),IF(ISNUMBER($AM267),DATE(YEAR($AM267),MONTH($AM267),1),IF(ISNUMBER($AN267),DATE(YEAR($AN267),MONTH($AN267),1),MesCiclo))))</f>
        <v/>
      </c>
      <c r="T267" s="62">
        <f>IF(OR($S267="",$S267&lt;&gt;MesCiclo,$V267&lt;&gt;"Macro"),"",COUNTIFS($S$5:$S267,MesCiclo,$V$5:$V267,"Macro"))</f>
        <v/>
      </c>
      <c r="U267" s="62">
        <f>IF($V267="","",IF($V267="Macro",ROW(),IFERROR(LOOKUP(2,1/($V$5:$V267="Macro"),ROW($V$5:$V267)),0)))</f>
        <v/>
      </c>
      <c r="V267" s="62">
        <f>IF(NOT((COUNTA($B267:$D267)+COUNTA($G267:$L267)+COUNTA($Q267))&gt;0),"",IF($B267="Subactividad","Sub","Macro"))</f>
        <v/>
      </c>
      <c r="W267" s="62">
        <f>IF($V267="Macro",COUNTIFS($U$5:$U$1000,ROW(),$V$5:$V$1000,"Sub"),"")</f>
        <v/>
      </c>
      <c r="X267" s="62">
        <f>IF($V267="","",IF(ISNUMBER($G267),1,IFERROR(LOOKUP(2,1/($I267:$L267&lt;&gt;""),$I267:$L267),0)))</f>
        <v/>
      </c>
      <c r="Y267" s="62">
        <f>IF($V267="","",IF(AND(ISNUMBER($G267),$G267&lt;=IF($S267=MesCiclo,InicioCiclo,$S267+MOD(2-WEEKDAY($S267),7))+6),1,IF(ISNUMBER($I267),$I267,0)))</f>
        <v/>
      </c>
      <c r="Z267" s="62">
        <f>IF($V267="","",IF(AND(ISNUMBER($G267),$G267&lt;=IF($S267=MesCiclo,InicioCiclo,$S267+MOD(2-WEEKDAY($S267),7))+13),1,IF(ISNUMBER($J267),$J267,$Y267)))</f>
        <v/>
      </c>
      <c r="AA267" s="62">
        <f>IF($V267="","",IF(AND(ISNUMBER($G267),$G267&lt;=IF($S267=MesCiclo,InicioCiclo,$S267+MOD(2-WEEKDAY($S267),7))+20),1,IF(ISNUMBER($K267),$K267,$Z267)))</f>
        <v/>
      </c>
      <c r="AB267" s="62">
        <f>IF($V267="","",IF(AND(ISNUMBER($G267),$G267&lt;=IF($S267=MesCiclo,InicioCiclo,$S267+MOD(2-WEEKDAY($S267),7))+27),1,IF(ISNUMBER($L267),$L267,$AA267)))</f>
        <v/>
      </c>
      <c r="AC267" s="62">
        <f>IF($V267="","",IF(AND(ISNUMBER($G267),$G267&lt;=IF($S267=MesCiclo,InicioCiclo,$S267+MOD(2-WEEKDAY($S267),7))+6),1,IF(N($W267)&gt;0,AVERAGEIFS($Y$5:$Y$1000,$U$5:$U$1000,ROW(),$V$5:$V$1000,"Sub"),$Y267)))</f>
        <v/>
      </c>
      <c r="AD267" s="62">
        <f>IF($V267="","",IF(AND(ISNUMBER($G267),$G267&lt;=IF($S267=MesCiclo,InicioCiclo,$S267+MOD(2-WEEKDAY($S267),7))+13),1,IF(N($W267)&gt;0,AVERAGEIFS($Z$5:$Z$1000,$U$5:$U$1000,ROW(),$V$5:$V$1000,"Sub"),$Z267)))</f>
        <v/>
      </c>
      <c r="AE267" s="62">
        <f>IF($V267="","",IF(AND(ISNUMBER($G267),$G267&lt;=IF($S267=MesCiclo,InicioCiclo,$S267+MOD(2-WEEKDAY($S267),7))+20),1,IF(N($W267)&gt;0,AVERAGEIFS($AA$5:$AA$1000,$U$5:$U$1000,ROW(),$V$5:$V$1000,"Sub"),$AA267)))</f>
        <v/>
      </c>
      <c r="AF267" s="62">
        <f>IF($V267="","",IF(AND(ISNUMBER($G267),$G267&lt;=IF($S267=MesCiclo,InicioCiclo,$S267+MOD(2-WEEKDAY($S267),7))+27),1,IF(N($W267)&gt;0,AVERAGEIFS($AB$5:$AB$1000,$U$5:$U$1000,ROW(),$V$5:$V$1000,"Sub"),$AB267)))</f>
        <v/>
      </c>
      <c r="AG267" s="62">
        <f>IF($V267&lt;&gt;"Macro","",IF(COUNTIFS($S$5:$S$1000,$S267,$V$5:$V$1000,"Macro",$H$5:$H$1000,"&gt;0")=0,1/COUNTIFS($S$5:$S$1000,$S267,$V$5:$V$1000,"Macro"),IF(AND(ISNUMBER($H267),N($H267)&gt;0),$H267,SUMIFS($H$5:$H$1000,$S$5:$S$1000,$S267,$V$5:$V$1000,"Macro")/COUNTIFS($S$5:$S$1000,$S267,$V$5:$V$1000,"Macro",$H$5:$H$1000,"&gt;0"))/(COUNTIFS($S$5:$S$1000,$S267,$V$5:$V$1000,"Macro")*SUMIFS($H$5:$H$1000,$S$5:$S$1000,$S267,$V$5:$V$1000,"Macro")/COUNTIFS($S$5:$S$1000,$S267,$V$5:$V$1000,"Macro",$H$5:$H$1000,"&gt;0"))))</f>
        <v/>
      </c>
      <c r="AH267" s="62" t="n"/>
      <c r="AI267" s="62" t="n"/>
      <c r="AJ267" s="62" t="n"/>
      <c r="AK267" s="62" t="n"/>
      <c r="AL267" s="62">
        <f>IF(LEFT($C267,11)="[Jefatura] ",IFERROR(MATCH("Riesgo Financiero|"&amp;MID($C267,12,500),rDname_ADM,0),0),"")</f>
        <v/>
      </c>
      <c r="AM267" s="62">
        <f>IF(N($AL267)&gt;0,INDEX(rIni_ADM,$AL267),IF(ISNUMBER($E267),$E267,""))</f>
        <v/>
      </c>
      <c r="AN267" s="62">
        <f>IF(N($AL267)&gt;0,INDEX(rLim_ADM,$AL267),IF(ISNUMBER($F267),$F267,""))</f>
        <v/>
      </c>
    </row>
    <row r="268">
      <c r="A268" s="56">
        <f>IF(NOT((COUNTA($B268:$D268)+COUNTA($G268:$L268)+COUNTA($Q268))&gt;0),"",IF($V268="Macro",COUNTIFS($V$5:$V268,"Macro",$S$5:$S268,$S268),IF(N($U268)=0,"?",COUNTIFS(INDEX($V$5:$V$1000,1):INDEX($V$5:$V$1000,$U268-4),"Macro",INDEX($S$5:$S$1000,1):INDEX($S$5:$S$1000,$U268-4),INDEX($S$5:$S$1000,$U268-4))&amp;"."&amp;COUNTIFS($U$5:$U268,$U268,$V$5:$V268,"Sub"))))</f>
        <v/>
      </c>
      <c r="B268" s="57" t="n"/>
      <c r="C268" s="58" t="n"/>
      <c r="D268" s="58" t="n"/>
      <c r="E268" s="59">
        <f>IF(N($AL268)&gt;0,INDEX(rIni_ADM,$AL268),"")</f>
        <v/>
      </c>
      <c r="F268" s="59">
        <f>IF(N($AL268)&gt;0,INDEX(rLim_ADM,$AL268),"")</f>
        <v/>
      </c>
      <c r="G268" s="59" t="n"/>
      <c r="H268" s="60" t="n"/>
      <c r="I268" s="60" t="n"/>
      <c r="J268" s="60" t="n"/>
      <c r="K268" s="60" t="n"/>
      <c r="L268" s="60" t="n"/>
      <c r="M268" s="61">
        <f>IF(NOT((COUNTA($B268:$D268)+COUNTA($G268:$L268)+COUNTA($Q268))&gt;0),"",IF($V268="Sub",IFERROR($X268/INDEX($W$5:$W$1000,$U268-4),""),IF(ISNUMBER($G268),1,IF(N($W268)&gt;0,AVERAGEIFS($X$5:$X$1000,$U$5:$U$1000,ROW(),$V$5:$V$1000,"Sub"),$X268))))</f>
        <v/>
      </c>
      <c r="N268" s="56">
        <f>IF(OR($M268="",$V268="Sub"),"",IF($M268&gt;=1,"Completado",IF($M268&gt;0,"En curso","Pendiente")))</f>
        <v/>
      </c>
      <c r="O268" s="56">
        <f>IF(OR(NOT((COUNTA($B268:$D268)+COUNTA($G268:$L268)+COUNTA($Q268))&gt;0),$V268="Sub"),"",IF(ISNUMBER($G268),IF(AND(ISNUMBER($AN268),$G268&gt;$AN268),"Cumplida con "&amp;($G268-$AN268)&amp;IF($G268-$AN268=1," día"," días")&amp;" de retraso","Cumplida"),IF(N($M268)&gt;=1,"Cumplida",IF(NOT(ISNUMBER($AN268)),"Sin fecha límite",IF($AN268&lt;FechaRef,"Vencida hace "&amp;(FechaRef-$AN268)&amp;IF(FechaRef-$AN268=1," día"," días"),IF($AN268=FechaRef,"Vence hoy",IF($AN268-FechaRef&lt;=DiasAlerta,"Vence en "&amp;($AN268-FechaRef)&amp;IF($AN268-FechaRef=1," día"," días"),"En plazo")))))))</f>
        <v/>
      </c>
      <c r="P268" s="62" t="n"/>
      <c r="Q268" s="58" t="n"/>
      <c r="R268" s="63">
        <f>IF(NOT((COUNTA($B268:$D268)+COUNTA($G268:$L268)+COUNTA($Q268))&gt;0),"",IF((IF($C268="","Falta el nombre de la actividad"&amp;" · ","")&amp;IF(AND($V268="Sub",N($U268)=0),"Subactividad sin macroactividad arriba"&amp;" · ","")&amp;IF($AM268="","Sin fecha de inicio"&amp;" · ","")&amp;IF($AN268="","Sin fecha límite"&amp;" · ","")&amp;IF(AND(LEFT($C268,11)="[Jefatura] ",N($AL268)=0),"No se encuentra en la hoja de la jefatura (elíjala de nuevo en la lista)"&amp;" · ","")&amp;IF(OR(AND($E268&lt;&gt;"",NOT(ISNUMBER($E268))),AND($F268&lt;&gt;"",NOT(ISNUMBER($F268))),AND($G268&lt;&gt;"",NOT(ISNUMBER($G268)))),"Fecha no válida"&amp;" · ","")&amp;IF(AND(ISNUMBER($AM268),ISNUMBER($AN268),$AM268&gt;$AN268),"Inicio posterior a fecha límite"&amp;" · ","")&amp;IF(AND($V268="Macro",$H268&lt;&gt;"",OR(NOT(ISNUMBER($H268)),$H268&lt;0,$H268&gt;1)),"Peso fuera de rango"&amp;" · ","")&amp;IF(AND($V268="Sub",$H268&lt;&gt;""),"Las subactividades no llevan peso (valen igual dentro de su macroactividad)"&amp;" · ","")&amp;IF(AND(N($W268)&gt;0,COUNT($I268:$L268)&gt;0),"Con subactividades: deje vacías las semanas (se calculan solas)"&amp;" · ","")&amp;IF((COUNTIF($I268:$L268,"&gt;1")+COUNTIF($I268:$L268,"&lt;0")+COUNTA($I268:$L268)-COUNT($I268:$L268))&gt;0,"Avance fuera de rango 0-100%"&amp;" · ","")&amp;IF(OR(AND($J268&lt;&gt;"",$J268&lt;$I268),AND($K268&lt;&gt;"",$K268&lt;MAX($I268:$J268)),AND($L268&lt;&gt;"",$L268&lt;MAX($I268:$K268))),"Avance semanal decreciente"&amp;" · ","")&amp;IF(AND(ISNUMBER($AN268),$AN268&lt;FechaRef,IF($V268="Sub",N($X268),N($M268))&lt;1),"Vencida"&amp;" · ","")&amp;IF(AND(ObsObligatoria="Sí",ISNUMBER($AN268),$AN268&lt;FechaRef,IF($V268="Sub",N($X268),N($M268))&lt;1,$Q268=""),"Vencida sin observación"&amp;" · ",""))="","✔ OK","⚠ "&amp;LEFT(IF($C268="","Falta el nombre de la actividad"&amp;" · ","")&amp;IF(AND($V268="Sub",N($U268)=0),"Subactividad sin macroactividad arriba"&amp;" · ","")&amp;IF($AM268="","Sin fecha de inicio"&amp;" · ","")&amp;IF($AN268="","Sin fecha límite"&amp;" · ","")&amp;IF(AND(LEFT($C268,11)="[Jefatura] ",N($AL268)=0),"No se encuentra en la hoja de la jefatura (elíjala de nuevo en la lista)"&amp;" · ","")&amp;IF(OR(AND($E268&lt;&gt;"",NOT(ISNUMBER($E268))),AND($F268&lt;&gt;"",NOT(ISNUMBER($F268))),AND($G268&lt;&gt;"",NOT(ISNUMBER($G268)))),"Fecha no válida"&amp;" · ","")&amp;IF(AND(ISNUMBER($AM268),ISNUMBER($AN268),$AM268&gt;$AN268),"Inicio posterior a fecha límite"&amp;" · ","")&amp;IF(AND($V268="Macro",$H268&lt;&gt;"",OR(NOT(ISNUMBER($H268)),$H268&lt;0,$H268&gt;1)),"Peso fuera de rango"&amp;" · ","")&amp;IF(AND($V268="Sub",$H268&lt;&gt;""),"Las subactividades no llevan peso (valen igual dentro de su macroactividad)"&amp;" · ","")&amp;IF(AND(N($W268)&gt;0,COUNT($I268:$L268)&gt;0),"Con subactividades: deje vacías las semanas (se calculan solas)"&amp;" · ","")&amp;IF((COUNTIF($I268:$L268,"&gt;1")+COUNTIF($I268:$L268,"&lt;0")+COUNTA($I268:$L268)-COUNT($I268:$L268))&gt;0,"Avance fuera de rango 0-100%"&amp;" · ","")&amp;IF(OR(AND($J268&lt;&gt;"",$J268&lt;$I268),AND($K268&lt;&gt;"",$K268&lt;MAX($I268:$J268)),AND($L268&lt;&gt;"",$L268&lt;MAX($I268:$K268))),"Avance semanal decreciente"&amp;" · ","")&amp;IF(AND(ISNUMBER($AN268),$AN268&lt;FechaRef,IF($V268="Sub",N($X268),N($M268))&lt;1),"Vencida"&amp;" · ","")&amp;IF(AND(ObsObligatoria="Sí",ISNUMBER($AN268),$AN268&lt;FechaRef,IF($V268="Sub",N($X268),N($M268))&lt;1,$Q268=""),"Vencida sin observación"&amp;" · ",""),LEN(IF($C268="","Falta el nombre de la actividad"&amp;" · ","")&amp;IF(AND($V268="Sub",N($U268)=0),"Subactividad sin macroactividad arriba"&amp;" · ","")&amp;IF($AM268="","Sin fecha de inicio"&amp;" · ","")&amp;IF($AN268="","Sin fecha límite"&amp;" · ","")&amp;IF(AND(LEFT($C268,11)="[Jefatura] ",N($AL268)=0),"No se encuentra en la hoja de la jefatura (elíjala de nuevo en la lista)"&amp;" · ","")&amp;IF(OR(AND($E268&lt;&gt;"",NOT(ISNUMBER($E268))),AND($F268&lt;&gt;"",NOT(ISNUMBER($F268))),AND($G268&lt;&gt;"",NOT(ISNUMBER($G268)))),"Fecha no válida"&amp;" · ","")&amp;IF(AND(ISNUMBER($AM268),ISNUMBER($AN268),$AM268&gt;$AN268),"Inicio posterior a fecha límite"&amp;" · ","")&amp;IF(AND($V268="Macro",$H268&lt;&gt;"",OR(NOT(ISNUMBER($H268)),$H268&lt;0,$H268&gt;1)),"Peso fuera de rango"&amp;" · ","")&amp;IF(AND($V268="Sub",$H268&lt;&gt;""),"Las subactividades no llevan peso (valen igual dentro de su macroactividad)"&amp;" · ","")&amp;IF(AND(N($W268)&gt;0,COUNT($I268:$L268)&gt;0),"Con subactividades: deje vacías las semanas (se calculan solas)"&amp;" · ","")&amp;IF((COUNTIF($I268:$L268,"&gt;1")+COUNTIF($I268:$L268,"&lt;0")+COUNTA($I268:$L268)-COUNT($I268:$L268))&gt;0,"Avance fuera de rango 0-100%"&amp;" · ","")&amp;IF(OR(AND($J268&lt;&gt;"",$J268&lt;$I268),AND($K268&lt;&gt;"",$K268&lt;MAX($I268:$J268)),AND($L268&lt;&gt;"",$L268&lt;MAX($I268:$K268))),"Avance semanal decreciente"&amp;" · ","")&amp;IF(AND(ISNUMBER($AN268),$AN268&lt;FechaRef,IF($V268="Sub",N($X268),N($M268))&lt;1),"Vencida"&amp;" · ","")&amp;IF(AND(ObsObligatoria="Sí",ISNUMBER($AN268),$AN268&lt;FechaRef,IF($V268="Sub",N($X268),N($M268))&lt;1,$Q268=""),"Vencida sin observación"&amp;" · ",""))-3)))</f>
        <v/>
      </c>
      <c r="S268" s="64">
        <f>IF(NOT((COUNTA($B268:$D268)+COUNTA($G268:$L268)+COUNTA($Q268))&gt;0),"",IF(AND($V268="Sub",N($U268)&gt;0),IF(ISNUMBER(INDEX($AM$5:$AM$1000,$U268-4)),DATE(YEAR(INDEX($AM$5:$AM$1000,$U268-4)),MONTH(INDEX($AM$5:$AM$1000,$U268-4)),1),IF(ISNUMBER(INDEX($AN$5:$AN$1000,$U268-4)),DATE(YEAR(INDEX($AN$5:$AN$1000,$U268-4)),MONTH(INDEX($AN$5:$AN$1000,$U268-4)),1),MesCiclo)),IF(ISNUMBER($AM268),DATE(YEAR($AM268),MONTH($AM268),1),IF(ISNUMBER($AN268),DATE(YEAR($AN268),MONTH($AN268),1),MesCiclo))))</f>
        <v/>
      </c>
      <c r="T268" s="62">
        <f>IF(OR($S268="",$S268&lt;&gt;MesCiclo,$V268&lt;&gt;"Macro"),"",COUNTIFS($S$5:$S268,MesCiclo,$V$5:$V268,"Macro"))</f>
        <v/>
      </c>
      <c r="U268" s="62">
        <f>IF($V268="","",IF($V268="Macro",ROW(),IFERROR(LOOKUP(2,1/($V$5:$V268="Macro"),ROW($V$5:$V268)),0)))</f>
        <v/>
      </c>
      <c r="V268" s="62">
        <f>IF(NOT((COUNTA($B268:$D268)+COUNTA($G268:$L268)+COUNTA($Q268))&gt;0),"",IF($B268="Subactividad","Sub","Macro"))</f>
        <v/>
      </c>
      <c r="W268" s="62">
        <f>IF($V268="Macro",COUNTIFS($U$5:$U$1000,ROW(),$V$5:$V$1000,"Sub"),"")</f>
        <v/>
      </c>
      <c r="X268" s="62">
        <f>IF($V268="","",IF(ISNUMBER($G268),1,IFERROR(LOOKUP(2,1/($I268:$L268&lt;&gt;""),$I268:$L268),0)))</f>
        <v/>
      </c>
      <c r="Y268" s="62">
        <f>IF($V268="","",IF(AND(ISNUMBER($G268),$G268&lt;=IF($S268=MesCiclo,InicioCiclo,$S268+MOD(2-WEEKDAY($S268),7))+6),1,IF(ISNUMBER($I268),$I268,0)))</f>
        <v/>
      </c>
      <c r="Z268" s="62">
        <f>IF($V268="","",IF(AND(ISNUMBER($G268),$G268&lt;=IF($S268=MesCiclo,InicioCiclo,$S268+MOD(2-WEEKDAY($S268),7))+13),1,IF(ISNUMBER($J268),$J268,$Y268)))</f>
        <v/>
      </c>
      <c r="AA268" s="62">
        <f>IF($V268="","",IF(AND(ISNUMBER($G268),$G268&lt;=IF($S268=MesCiclo,InicioCiclo,$S268+MOD(2-WEEKDAY($S268),7))+20),1,IF(ISNUMBER($K268),$K268,$Z268)))</f>
        <v/>
      </c>
      <c r="AB268" s="62">
        <f>IF($V268="","",IF(AND(ISNUMBER($G268),$G268&lt;=IF($S268=MesCiclo,InicioCiclo,$S268+MOD(2-WEEKDAY($S268),7))+27),1,IF(ISNUMBER($L268),$L268,$AA268)))</f>
        <v/>
      </c>
      <c r="AC268" s="62">
        <f>IF($V268="","",IF(AND(ISNUMBER($G268),$G268&lt;=IF($S268=MesCiclo,InicioCiclo,$S268+MOD(2-WEEKDAY($S268),7))+6),1,IF(N($W268)&gt;0,AVERAGEIFS($Y$5:$Y$1000,$U$5:$U$1000,ROW(),$V$5:$V$1000,"Sub"),$Y268)))</f>
        <v/>
      </c>
      <c r="AD268" s="62">
        <f>IF($V268="","",IF(AND(ISNUMBER($G268),$G268&lt;=IF($S268=MesCiclo,InicioCiclo,$S268+MOD(2-WEEKDAY($S268),7))+13),1,IF(N($W268)&gt;0,AVERAGEIFS($Z$5:$Z$1000,$U$5:$U$1000,ROW(),$V$5:$V$1000,"Sub"),$Z268)))</f>
        <v/>
      </c>
      <c r="AE268" s="62">
        <f>IF($V268="","",IF(AND(ISNUMBER($G268),$G268&lt;=IF($S268=MesCiclo,InicioCiclo,$S268+MOD(2-WEEKDAY($S268),7))+20),1,IF(N($W268)&gt;0,AVERAGEIFS($AA$5:$AA$1000,$U$5:$U$1000,ROW(),$V$5:$V$1000,"Sub"),$AA268)))</f>
        <v/>
      </c>
      <c r="AF268" s="62">
        <f>IF($V268="","",IF(AND(ISNUMBER($G268),$G268&lt;=IF($S268=MesCiclo,InicioCiclo,$S268+MOD(2-WEEKDAY($S268),7))+27),1,IF(N($W268)&gt;0,AVERAGEIFS($AB$5:$AB$1000,$U$5:$U$1000,ROW(),$V$5:$V$1000,"Sub"),$AB268)))</f>
        <v/>
      </c>
      <c r="AG268" s="62">
        <f>IF($V268&lt;&gt;"Macro","",IF(COUNTIFS($S$5:$S$1000,$S268,$V$5:$V$1000,"Macro",$H$5:$H$1000,"&gt;0")=0,1/COUNTIFS($S$5:$S$1000,$S268,$V$5:$V$1000,"Macro"),IF(AND(ISNUMBER($H268),N($H268)&gt;0),$H268,SUMIFS($H$5:$H$1000,$S$5:$S$1000,$S268,$V$5:$V$1000,"Macro")/COUNTIFS($S$5:$S$1000,$S268,$V$5:$V$1000,"Macro",$H$5:$H$1000,"&gt;0"))/(COUNTIFS($S$5:$S$1000,$S268,$V$5:$V$1000,"Macro")*SUMIFS($H$5:$H$1000,$S$5:$S$1000,$S268,$V$5:$V$1000,"Macro")/COUNTIFS($S$5:$S$1000,$S268,$V$5:$V$1000,"Macro",$H$5:$H$1000,"&gt;0"))))</f>
        <v/>
      </c>
      <c r="AH268" s="62" t="n"/>
      <c r="AI268" s="62" t="n"/>
      <c r="AJ268" s="62" t="n"/>
      <c r="AK268" s="62" t="n"/>
      <c r="AL268" s="62">
        <f>IF(LEFT($C268,11)="[Jefatura] ",IFERROR(MATCH("Riesgo Financiero|"&amp;MID($C268,12,500),rDname_ADM,0),0),"")</f>
        <v/>
      </c>
      <c r="AM268" s="62">
        <f>IF(N($AL268)&gt;0,INDEX(rIni_ADM,$AL268),IF(ISNUMBER($E268),$E268,""))</f>
        <v/>
      </c>
      <c r="AN268" s="62">
        <f>IF(N($AL268)&gt;0,INDEX(rLim_ADM,$AL268),IF(ISNUMBER($F268),$F268,""))</f>
        <v/>
      </c>
    </row>
    <row r="269">
      <c r="A269" s="56">
        <f>IF(NOT((COUNTA($B269:$D269)+COUNTA($G269:$L269)+COUNTA($Q269))&gt;0),"",IF($V269="Macro",COUNTIFS($V$5:$V269,"Macro",$S$5:$S269,$S269),IF(N($U269)=0,"?",COUNTIFS(INDEX($V$5:$V$1000,1):INDEX($V$5:$V$1000,$U269-4),"Macro",INDEX($S$5:$S$1000,1):INDEX($S$5:$S$1000,$U269-4),INDEX($S$5:$S$1000,$U269-4))&amp;"."&amp;COUNTIFS($U$5:$U269,$U269,$V$5:$V269,"Sub"))))</f>
        <v/>
      </c>
      <c r="B269" s="57" t="n"/>
      <c r="C269" s="58" t="n"/>
      <c r="D269" s="58" t="n"/>
      <c r="E269" s="59">
        <f>IF(N($AL269)&gt;0,INDEX(rIni_ADM,$AL269),"")</f>
        <v/>
      </c>
      <c r="F269" s="59">
        <f>IF(N($AL269)&gt;0,INDEX(rLim_ADM,$AL269),"")</f>
        <v/>
      </c>
      <c r="G269" s="59" t="n"/>
      <c r="H269" s="60" t="n"/>
      <c r="I269" s="60" t="n"/>
      <c r="J269" s="60" t="n"/>
      <c r="K269" s="60" t="n"/>
      <c r="L269" s="60" t="n"/>
      <c r="M269" s="61">
        <f>IF(NOT((COUNTA($B269:$D269)+COUNTA($G269:$L269)+COUNTA($Q269))&gt;0),"",IF($V269="Sub",IFERROR($X269/INDEX($W$5:$W$1000,$U269-4),""),IF(ISNUMBER($G269),1,IF(N($W269)&gt;0,AVERAGEIFS($X$5:$X$1000,$U$5:$U$1000,ROW(),$V$5:$V$1000,"Sub"),$X269))))</f>
        <v/>
      </c>
      <c r="N269" s="56">
        <f>IF(OR($M269="",$V269="Sub"),"",IF($M269&gt;=1,"Completado",IF($M269&gt;0,"En curso","Pendiente")))</f>
        <v/>
      </c>
      <c r="O269" s="56">
        <f>IF(OR(NOT((COUNTA($B269:$D269)+COUNTA($G269:$L269)+COUNTA($Q269))&gt;0),$V269="Sub"),"",IF(ISNUMBER($G269),IF(AND(ISNUMBER($AN269),$G269&gt;$AN269),"Cumplida con "&amp;($G269-$AN269)&amp;IF($G269-$AN269=1," día"," días")&amp;" de retraso","Cumplida"),IF(N($M269)&gt;=1,"Cumplida",IF(NOT(ISNUMBER($AN269)),"Sin fecha límite",IF($AN269&lt;FechaRef,"Vencida hace "&amp;(FechaRef-$AN269)&amp;IF(FechaRef-$AN269=1," día"," días"),IF($AN269=FechaRef,"Vence hoy",IF($AN269-FechaRef&lt;=DiasAlerta,"Vence en "&amp;($AN269-FechaRef)&amp;IF($AN269-FechaRef=1," día"," días"),"En plazo")))))))</f>
        <v/>
      </c>
      <c r="P269" s="62" t="n"/>
      <c r="Q269" s="58" t="n"/>
      <c r="R269" s="63">
        <f>IF(NOT((COUNTA($B269:$D269)+COUNTA($G269:$L269)+COUNTA($Q269))&gt;0),"",IF((IF($C269="","Falta el nombre de la actividad"&amp;" · ","")&amp;IF(AND($V269="Sub",N($U269)=0),"Subactividad sin macroactividad arriba"&amp;" · ","")&amp;IF($AM269="","Sin fecha de inicio"&amp;" · ","")&amp;IF($AN269="","Sin fecha límite"&amp;" · ","")&amp;IF(AND(LEFT($C269,11)="[Jefatura] ",N($AL269)=0),"No se encuentra en la hoja de la jefatura (elíjala de nuevo en la lista)"&amp;" · ","")&amp;IF(OR(AND($E269&lt;&gt;"",NOT(ISNUMBER($E269))),AND($F269&lt;&gt;"",NOT(ISNUMBER($F269))),AND($G269&lt;&gt;"",NOT(ISNUMBER($G269)))),"Fecha no válida"&amp;" · ","")&amp;IF(AND(ISNUMBER($AM269),ISNUMBER($AN269),$AM269&gt;$AN269),"Inicio posterior a fecha límite"&amp;" · ","")&amp;IF(AND($V269="Macro",$H269&lt;&gt;"",OR(NOT(ISNUMBER($H269)),$H269&lt;0,$H269&gt;1)),"Peso fuera de rango"&amp;" · ","")&amp;IF(AND($V269="Sub",$H269&lt;&gt;""),"Las subactividades no llevan peso (valen igual dentro de su macroactividad)"&amp;" · ","")&amp;IF(AND(N($W269)&gt;0,COUNT($I269:$L269)&gt;0),"Con subactividades: deje vacías las semanas (se calculan solas)"&amp;" · ","")&amp;IF((COUNTIF($I269:$L269,"&gt;1")+COUNTIF($I269:$L269,"&lt;0")+COUNTA($I269:$L269)-COUNT($I269:$L269))&gt;0,"Avance fuera de rango 0-100%"&amp;" · ","")&amp;IF(OR(AND($J269&lt;&gt;"",$J269&lt;$I269),AND($K269&lt;&gt;"",$K269&lt;MAX($I269:$J269)),AND($L269&lt;&gt;"",$L269&lt;MAX($I269:$K269))),"Avance semanal decreciente"&amp;" · ","")&amp;IF(AND(ISNUMBER($AN269),$AN269&lt;FechaRef,IF($V269="Sub",N($X269),N($M269))&lt;1),"Vencida"&amp;" · ","")&amp;IF(AND(ObsObligatoria="Sí",ISNUMBER($AN269),$AN269&lt;FechaRef,IF($V269="Sub",N($X269),N($M269))&lt;1,$Q269=""),"Vencida sin observación"&amp;" · ",""))="","✔ OK","⚠ "&amp;LEFT(IF($C269="","Falta el nombre de la actividad"&amp;" · ","")&amp;IF(AND($V269="Sub",N($U269)=0),"Subactividad sin macroactividad arriba"&amp;" · ","")&amp;IF($AM269="","Sin fecha de inicio"&amp;" · ","")&amp;IF($AN269="","Sin fecha límite"&amp;" · ","")&amp;IF(AND(LEFT($C269,11)="[Jefatura] ",N($AL269)=0),"No se encuentra en la hoja de la jefatura (elíjala de nuevo en la lista)"&amp;" · ","")&amp;IF(OR(AND($E269&lt;&gt;"",NOT(ISNUMBER($E269))),AND($F269&lt;&gt;"",NOT(ISNUMBER($F269))),AND($G269&lt;&gt;"",NOT(ISNUMBER($G269)))),"Fecha no válida"&amp;" · ","")&amp;IF(AND(ISNUMBER($AM269),ISNUMBER($AN269),$AM269&gt;$AN269),"Inicio posterior a fecha límite"&amp;" · ","")&amp;IF(AND($V269="Macro",$H269&lt;&gt;"",OR(NOT(ISNUMBER($H269)),$H269&lt;0,$H269&gt;1)),"Peso fuera de rango"&amp;" · ","")&amp;IF(AND($V269="Sub",$H269&lt;&gt;""),"Las subactividades no llevan peso (valen igual dentro de su macroactividad)"&amp;" · ","")&amp;IF(AND(N($W269)&gt;0,COUNT($I269:$L269)&gt;0),"Con subactividades: deje vacías las semanas (se calculan solas)"&amp;" · ","")&amp;IF((COUNTIF($I269:$L269,"&gt;1")+COUNTIF($I269:$L269,"&lt;0")+COUNTA($I269:$L269)-COUNT($I269:$L269))&gt;0,"Avance fuera de rango 0-100%"&amp;" · ","")&amp;IF(OR(AND($J269&lt;&gt;"",$J269&lt;$I269),AND($K269&lt;&gt;"",$K269&lt;MAX($I269:$J269)),AND($L269&lt;&gt;"",$L269&lt;MAX($I269:$K269))),"Avance semanal decreciente"&amp;" · ","")&amp;IF(AND(ISNUMBER($AN269),$AN269&lt;FechaRef,IF($V269="Sub",N($X269),N($M269))&lt;1),"Vencida"&amp;" · ","")&amp;IF(AND(ObsObligatoria="Sí",ISNUMBER($AN269),$AN269&lt;FechaRef,IF($V269="Sub",N($X269),N($M269))&lt;1,$Q269=""),"Vencida sin observación"&amp;" · ",""),LEN(IF($C269="","Falta el nombre de la actividad"&amp;" · ","")&amp;IF(AND($V269="Sub",N($U269)=0),"Subactividad sin macroactividad arriba"&amp;" · ","")&amp;IF($AM269="","Sin fecha de inicio"&amp;" · ","")&amp;IF($AN269="","Sin fecha límite"&amp;" · ","")&amp;IF(AND(LEFT($C269,11)="[Jefatura] ",N($AL269)=0),"No se encuentra en la hoja de la jefatura (elíjala de nuevo en la lista)"&amp;" · ","")&amp;IF(OR(AND($E269&lt;&gt;"",NOT(ISNUMBER($E269))),AND($F269&lt;&gt;"",NOT(ISNUMBER($F269))),AND($G269&lt;&gt;"",NOT(ISNUMBER($G269)))),"Fecha no válida"&amp;" · ","")&amp;IF(AND(ISNUMBER($AM269),ISNUMBER($AN269),$AM269&gt;$AN269),"Inicio posterior a fecha límite"&amp;" · ","")&amp;IF(AND($V269="Macro",$H269&lt;&gt;"",OR(NOT(ISNUMBER($H269)),$H269&lt;0,$H269&gt;1)),"Peso fuera de rango"&amp;" · ","")&amp;IF(AND($V269="Sub",$H269&lt;&gt;""),"Las subactividades no llevan peso (valen igual dentro de su macroactividad)"&amp;" · ","")&amp;IF(AND(N($W269)&gt;0,COUNT($I269:$L269)&gt;0),"Con subactividades: deje vacías las semanas (se calculan solas)"&amp;" · ","")&amp;IF((COUNTIF($I269:$L269,"&gt;1")+COUNTIF($I269:$L269,"&lt;0")+COUNTA($I269:$L269)-COUNT($I269:$L269))&gt;0,"Avance fuera de rango 0-100%"&amp;" · ","")&amp;IF(OR(AND($J269&lt;&gt;"",$J269&lt;$I269),AND($K269&lt;&gt;"",$K269&lt;MAX($I269:$J269)),AND($L269&lt;&gt;"",$L269&lt;MAX($I269:$K269))),"Avance semanal decreciente"&amp;" · ","")&amp;IF(AND(ISNUMBER($AN269),$AN269&lt;FechaRef,IF($V269="Sub",N($X269),N($M269))&lt;1),"Vencida"&amp;" · ","")&amp;IF(AND(ObsObligatoria="Sí",ISNUMBER($AN269),$AN269&lt;FechaRef,IF($V269="Sub",N($X269),N($M269))&lt;1,$Q269=""),"Vencida sin observación"&amp;" · ",""))-3)))</f>
        <v/>
      </c>
      <c r="S269" s="64">
        <f>IF(NOT((COUNTA($B269:$D269)+COUNTA($G269:$L269)+COUNTA($Q269))&gt;0),"",IF(AND($V269="Sub",N($U269)&gt;0),IF(ISNUMBER(INDEX($AM$5:$AM$1000,$U269-4)),DATE(YEAR(INDEX($AM$5:$AM$1000,$U269-4)),MONTH(INDEX($AM$5:$AM$1000,$U269-4)),1),IF(ISNUMBER(INDEX($AN$5:$AN$1000,$U269-4)),DATE(YEAR(INDEX($AN$5:$AN$1000,$U269-4)),MONTH(INDEX($AN$5:$AN$1000,$U269-4)),1),MesCiclo)),IF(ISNUMBER($AM269),DATE(YEAR($AM269),MONTH($AM269),1),IF(ISNUMBER($AN269),DATE(YEAR($AN269),MONTH($AN269),1),MesCiclo))))</f>
        <v/>
      </c>
      <c r="T269" s="62">
        <f>IF(OR($S269="",$S269&lt;&gt;MesCiclo,$V269&lt;&gt;"Macro"),"",COUNTIFS($S$5:$S269,MesCiclo,$V$5:$V269,"Macro"))</f>
        <v/>
      </c>
      <c r="U269" s="62">
        <f>IF($V269="","",IF($V269="Macro",ROW(),IFERROR(LOOKUP(2,1/($V$5:$V269="Macro"),ROW($V$5:$V269)),0)))</f>
        <v/>
      </c>
      <c r="V269" s="62">
        <f>IF(NOT((COUNTA($B269:$D269)+COUNTA($G269:$L269)+COUNTA($Q269))&gt;0),"",IF($B269="Subactividad","Sub","Macro"))</f>
        <v/>
      </c>
      <c r="W269" s="62">
        <f>IF($V269="Macro",COUNTIFS($U$5:$U$1000,ROW(),$V$5:$V$1000,"Sub"),"")</f>
        <v/>
      </c>
      <c r="X269" s="62">
        <f>IF($V269="","",IF(ISNUMBER($G269),1,IFERROR(LOOKUP(2,1/($I269:$L269&lt;&gt;""),$I269:$L269),0)))</f>
        <v/>
      </c>
      <c r="Y269" s="62">
        <f>IF($V269="","",IF(AND(ISNUMBER($G269),$G269&lt;=IF($S269=MesCiclo,InicioCiclo,$S269+MOD(2-WEEKDAY($S269),7))+6),1,IF(ISNUMBER($I269),$I269,0)))</f>
        <v/>
      </c>
      <c r="Z269" s="62">
        <f>IF($V269="","",IF(AND(ISNUMBER($G269),$G269&lt;=IF($S269=MesCiclo,InicioCiclo,$S269+MOD(2-WEEKDAY($S269),7))+13),1,IF(ISNUMBER($J269),$J269,$Y269)))</f>
        <v/>
      </c>
      <c r="AA269" s="62">
        <f>IF($V269="","",IF(AND(ISNUMBER($G269),$G269&lt;=IF($S269=MesCiclo,InicioCiclo,$S269+MOD(2-WEEKDAY($S269),7))+20),1,IF(ISNUMBER($K269),$K269,$Z269)))</f>
        <v/>
      </c>
      <c r="AB269" s="62">
        <f>IF($V269="","",IF(AND(ISNUMBER($G269),$G269&lt;=IF($S269=MesCiclo,InicioCiclo,$S269+MOD(2-WEEKDAY($S269),7))+27),1,IF(ISNUMBER($L269),$L269,$AA269)))</f>
        <v/>
      </c>
      <c r="AC269" s="62">
        <f>IF($V269="","",IF(AND(ISNUMBER($G269),$G269&lt;=IF($S269=MesCiclo,InicioCiclo,$S269+MOD(2-WEEKDAY($S269),7))+6),1,IF(N($W269)&gt;0,AVERAGEIFS($Y$5:$Y$1000,$U$5:$U$1000,ROW(),$V$5:$V$1000,"Sub"),$Y269)))</f>
        <v/>
      </c>
      <c r="AD269" s="62">
        <f>IF($V269="","",IF(AND(ISNUMBER($G269),$G269&lt;=IF($S269=MesCiclo,InicioCiclo,$S269+MOD(2-WEEKDAY($S269),7))+13),1,IF(N($W269)&gt;0,AVERAGEIFS($Z$5:$Z$1000,$U$5:$U$1000,ROW(),$V$5:$V$1000,"Sub"),$Z269)))</f>
        <v/>
      </c>
      <c r="AE269" s="62">
        <f>IF($V269="","",IF(AND(ISNUMBER($G269),$G269&lt;=IF($S269=MesCiclo,InicioCiclo,$S269+MOD(2-WEEKDAY($S269),7))+20),1,IF(N($W269)&gt;0,AVERAGEIFS($AA$5:$AA$1000,$U$5:$U$1000,ROW(),$V$5:$V$1000,"Sub"),$AA269)))</f>
        <v/>
      </c>
      <c r="AF269" s="62">
        <f>IF($V269="","",IF(AND(ISNUMBER($G269),$G269&lt;=IF($S269=MesCiclo,InicioCiclo,$S269+MOD(2-WEEKDAY($S269),7))+27),1,IF(N($W269)&gt;0,AVERAGEIFS($AB$5:$AB$1000,$U$5:$U$1000,ROW(),$V$5:$V$1000,"Sub"),$AB269)))</f>
        <v/>
      </c>
      <c r="AG269" s="62">
        <f>IF($V269&lt;&gt;"Macro","",IF(COUNTIFS($S$5:$S$1000,$S269,$V$5:$V$1000,"Macro",$H$5:$H$1000,"&gt;0")=0,1/COUNTIFS($S$5:$S$1000,$S269,$V$5:$V$1000,"Macro"),IF(AND(ISNUMBER($H269),N($H269)&gt;0),$H269,SUMIFS($H$5:$H$1000,$S$5:$S$1000,$S269,$V$5:$V$1000,"Macro")/COUNTIFS($S$5:$S$1000,$S269,$V$5:$V$1000,"Macro",$H$5:$H$1000,"&gt;0"))/(COUNTIFS($S$5:$S$1000,$S269,$V$5:$V$1000,"Macro")*SUMIFS($H$5:$H$1000,$S$5:$S$1000,$S269,$V$5:$V$1000,"Macro")/COUNTIFS($S$5:$S$1000,$S269,$V$5:$V$1000,"Macro",$H$5:$H$1000,"&gt;0"))))</f>
        <v/>
      </c>
      <c r="AH269" s="62" t="n"/>
      <c r="AI269" s="62" t="n"/>
      <c r="AJ269" s="62" t="n"/>
      <c r="AK269" s="62" t="n"/>
      <c r="AL269" s="62">
        <f>IF(LEFT($C269,11)="[Jefatura] ",IFERROR(MATCH("Riesgo Financiero|"&amp;MID($C269,12,500),rDname_ADM,0),0),"")</f>
        <v/>
      </c>
      <c r="AM269" s="62">
        <f>IF(N($AL269)&gt;0,INDEX(rIni_ADM,$AL269),IF(ISNUMBER($E269),$E269,""))</f>
        <v/>
      </c>
      <c r="AN269" s="62">
        <f>IF(N($AL269)&gt;0,INDEX(rLim_ADM,$AL269),IF(ISNUMBER($F269),$F269,""))</f>
        <v/>
      </c>
    </row>
    <row r="270">
      <c r="A270" s="56">
        <f>IF(NOT((COUNTA($B270:$D270)+COUNTA($G270:$L270)+COUNTA($Q270))&gt;0),"",IF($V270="Macro",COUNTIFS($V$5:$V270,"Macro",$S$5:$S270,$S270),IF(N($U270)=0,"?",COUNTIFS(INDEX($V$5:$V$1000,1):INDEX($V$5:$V$1000,$U270-4),"Macro",INDEX($S$5:$S$1000,1):INDEX($S$5:$S$1000,$U270-4),INDEX($S$5:$S$1000,$U270-4))&amp;"."&amp;COUNTIFS($U$5:$U270,$U270,$V$5:$V270,"Sub"))))</f>
        <v/>
      </c>
      <c r="B270" s="57" t="n"/>
      <c r="C270" s="58" t="n"/>
      <c r="D270" s="58" t="n"/>
      <c r="E270" s="59">
        <f>IF(N($AL270)&gt;0,INDEX(rIni_ADM,$AL270),"")</f>
        <v/>
      </c>
      <c r="F270" s="59">
        <f>IF(N($AL270)&gt;0,INDEX(rLim_ADM,$AL270),"")</f>
        <v/>
      </c>
      <c r="G270" s="59" t="n"/>
      <c r="H270" s="60" t="n"/>
      <c r="I270" s="60" t="n"/>
      <c r="J270" s="60" t="n"/>
      <c r="K270" s="60" t="n"/>
      <c r="L270" s="60" t="n"/>
      <c r="M270" s="61">
        <f>IF(NOT((COUNTA($B270:$D270)+COUNTA($G270:$L270)+COUNTA($Q270))&gt;0),"",IF($V270="Sub",IFERROR($X270/INDEX($W$5:$W$1000,$U270-4),""),IF(ISNUMBER($G270),1,IF(N($W270)&gt;0,AVERAGEIFS($X$5:$X$1000,$U$5:$U$1000,ROW(),$V$5:$V$1000,"Sub"),$X270))))</f>
        <v/>
      </c>
      <c r="N270" s="56">
        <f>IF(OR($M270="",$V270="Sub"),"",IF($M270&gt;=1,"Completado",IF($M270&gt;0,"En curso","Pendiente")))</f>
        <v/>
      </c>
      <c r="O270" s="56">
        <f>IF(OR(NOT((COUNTA($B270:$D270)+COUNTA($G270:$L270)+COUNTA($Q270))&gt;0),$V270="Sub"),"",IF(ISNUMBER($G270),IF(AND(ISNUMBER($AN270),$G270&gt;$AN270),"Cumplida con "&amp;($G270-$AN270)&amp;IF($G270-$AN270=1," día"," días")&amp;" de retraso","Cumplida"),IF(N($M270)&gt;=1,"Cumplida",IF(NOT(ISNUMBER($AN270)),"Sin fecha límite",IF($AN270&lt;FechaRef,"Vencida hace "&amp;(FechaRef-$AN270)&amp;IF(FechaRef-$AN270=1," día"," días"),IF($AN270=FechaRef,"Vence hoy",IF($AN270-FechaRef&lt;=DiasAlerta,"Vence en "&amp;($AN270-FechaRef)&amp;IF($AN270-FechaRef=1," día"," días"),"En plazo")))))))</f>
        <v/>
      </c>
      <c r="P270" s="62" t="n"/>
      <c r="Q270" s="58" t="n"/>
      <c r="R270" s="63">
        <f>IF(NOT((COUNTA($B270:$D270)+COUNTA($G270:$L270)+COUNTA($Q270))&gt;0),"",IF((IF($C270="","Falta el nombre de la actividad"&amp;" · ","")&amp;IF(AND($V270="Sub",N($U270)=0),"Subactividad sin macroactividad arriba"&amp;" · ","")&amp;IF($AM270="","Sin fecha de inicio"&amp;" · ","")&amp;IF($AN270="","Sin fecha límite"&amp;" · ","")&amp;IF(AND(LEFT($C270,11)="[Jefatura] ",N($AL270)=0),"No se encuentra en la hoja de la jefatura (elíjala de nuevo en la lista)"&amp;" · ","")&amp;IF(OR(AND($E270&lt;&gt;"",NOT(ISNUMBER($E270))),AND($F270&lt;&gt;"",NOT(ISNUMBER($F270))),AND($G270&lt;&gt;"",NOT(ISNUMBER($G270)))),"Fecha no válida"&amp;" · ","")&amp;IF(AND(ISNUMBER($AM270),ISNUMBER($AN270),$AM270&gt;$AN270),"Inicio posterior a fecha límite"&amp;" · ","")&amp;IF(AND($V270="Macro",$H270&lt;&gt;"",OR(NOT(ISNUMBER($H270)),$H270&lt;0,$H270&gt;1)),"Peso fuera de rango"&amp;" · ","")&amp;IF(AND($V270="Sub",$H270&lt;&gt;""),"Las subactividades no llevan peso (valen igual dentro de su macroactividad)"&amp;" · ","")&amp;IF(AND(N($W270)&gt;0,COUNT($I270:$L270)&gt;0),"Con subactividades: deje vacías las semanas (se calculan solas)"&amp;" · ","")&amp;IF((COUNTIF($I270:$L270,"&gt;1")+COUNTIF($I270:$L270,"&lt;0")+COUNTA($I270:$L270)-COUNT($I270:$L270))&gt;0,"Avance fuera de rango 0-100%"&amp;" · ","")&amp;IF(OR(AND($J270&lt;&gt;"",$J270&lt;$I270),AND($K270&lt;&gt;"",$K270&lt;MAX($I270:$J270)),AND($L270&lt;&gt;"",$L270&lt;MAX($I270:$K270))),"Avance semanal decreciente"&amp;" · ","")&amp;IF(AND(ISNUMBER($AN270),$AN270&lt;FechaRef,IF($V270="Sub",N($X270),N($M270))&lt;1),"Vencida"&amp;" · ","")&amp;IF(AND(ObsObligatoria="Sí",ISNUMBER($AN270),$AN270&lt;FechaRef,IF($V270="Sub",N($X270),N($M270))&lt;1,$Q270=""),"Vencida sin observación"&amp;" · ",""))="","✔ OK","⚠ "&amp;LEFT(IF($C270="","Falta el nombre de la actividad"&amp;" · ","")&amp;IF(AND($V270="Sub",N($U270)=0),"Subactividad sin macroactividad arriba"&amp;" · ","")&amp;IF($AM270="","Sin fecha de inicio"&amp;" · ","")&amp;IF($AN270="","Sin fecha límite"&amp;" · ","")&amp;IF(AND(LEFT($C270,11)="[Jefatura] ",N($AL270)=0),"No se encuentra en la hoja de la jefatura (elíjala de nuevo en la lista)"&amp;" · ","")&amp;IF(OR(AND($E270&lt;&gt;"",NOT(ISNUMBER($E270))),AND($F270&lt;&gt;"",NOT(ISNUMBER($F270))),AND($G270&lt;&gt;"",NOT(ISNUMBER($G270)))),"Fecha no válida"&amp;" · ","")&amp;IF(AND(ISNUMBER($AM270),ISNUMBER($AN270),$AM270&gt;$AN270),"Inicio posterior a fecha límite"&amp;" · ","")&amp;IF(AND($V270="Macro",$H270&lt;&gt;"",OR(NOT(ISNUMBER($H270)),$H270&lt;0,$H270&gt;1)),"Peso fuera de rango"&amp;" · ","")&amp;IF(AND($V270="Sub",$H270&lt;&gt;""),"Las subactividades no llevan peso (valen igual dentro de su macroactividad)"&amp;" · ","")&amp;IF(AND(N($W270)&gt;0,COUNT($I270:$L270)&gt;0),"Con subactividades: deje vacías las semanas (se calculan solas)"&amp;" · ","")&amp;IF((COUNTIF($I270:$L270,"&gt;1")+COUNTIF($I270:$L270,"&lt;0")+COUNTA($I270:$L270)-COUNT($I270:$L270))&gt;0,"Avance fuera de rango 0-100%"&amp;" · ","")&amp;IF(OR(AND($J270&lt;&gt;"",$J270&lt;$I270),AND($K270&lt;&gt;"",$K270&lt;MAX($I270:$J270)),AND($L270&lt;&gt;"",$L270&lt;MAX($I270:$K270))),"Avance semanal decreciente"&amp;" · ","")&amp;IF(AND(ISNUMBER($AN270),$AN270&lt;FechaRef,IF($V270="Sub",N($X270),N($M270))&lt;1),"Vencida"&amp;" · ","")&amp;IF(AND(ObsObligatoria="Sí",ISNUMBER($AN270),$AN270&lt;FechaRef,IF($V270="Sub",N($X270),N($M270))&lt;1,$Q270=""),"Vencida sin observación"&amp;" · ",""),LEN(IF($C270="","Falta el nombre de la actividad"&amp;" · ","")&amp;IF(AND($V270="Sub",N($U270)=0),"Subactividad sin macroactividad arriba"&amp;" · ","")&amp;IF($AM270="","Sin fecha de inicio"&amp;" · ","")&amp;IF($AN270="","Sin fecha límite"&amp;" · ","")&amp;IF(AND(LEFT($C270,11)="[Jefatura] ",N($AL270)=0),"No se encuentra en la hoja de la jefatura (elíjala de nuevo en la lista)"&amp;" · ","")&amp;IF(OR(AND($E270&lt;&gt;"",NOT(ISNUMBER($E270))),AND($F270&lt;&gt;"",NOT(ISNUMBER($F270))),AND($G270&lt;&gt;"",NOT(ISNUMBER($G270)))),"Fecha no válida"&amp;" · ","")&amp;IF(AND(ISNUMBER($AM270),ISNUMBER($AN270),$AM270&gt;$AN270),"Inicio posterior a fecha límite"&amp;" · ","")&amp;IF(AND($V270="Macro",$H270&lt;&gt;"",OR(NOT(ISNUMBER($H270)),$H270&lt;0,$H270&gt;1)),"Peso fuera de rango"&amp;" · ","")&amp;IF(AND($V270="Sub",$H270&lt;&gt;""),"Las subactividades no llevan peso (valen igual dentro de su macroactividad)"&amp;" · ","")&amp;IF(AND(N($W270)&gt;0,COUNT($I270:$L270)&gt;0),"Con subactividades: deje vacías las semanas (se calculan solas)"&amp;" · ","")&amp;IF((COUNTIF($I270:$L270,"&gt;1")+COUNTIF($I270:$L270,"&lt;0")+COUNTA($I270:$L270)-COUNT($I270:$L270))&gt;0,"Avance fuera de rango 0-100%"&amp;" · ","")&amp;IF(OR(AND($J270&lt;&gt;"",$J270&lt;$I270),AND($K270&lt;&gt;"",$K270&lt;MAX($I270:$J270)),AND($L270&lt;&gt;"",$L270&lt;MAX($I270:$K270))),"Avance semanal decreciente"&amp;" · ","")&amp;IF(AND(ISNUMBER($AN270),$AN270&lt;FechaRef,IF($V270="Sub",N($X270),N($M270))&lt;1),"Vencida"&amp;" · ","")&amp;IF(AND(ObsObligatoria="Sí",ISNUMBER($AN270),$AN270&lt;FechaRef,IF($V270="Sub",N($X270),N($M270))&lt;1,$Q270=""),"Vencida sin observación"&amp;" · ",""))-3)))</f>
        <v/>
      </c>
      <c r="S270" s="64">
        <f>IF(NOT((COUNTA($B270:$D270)+COUNTA($G270:$L270)+COUNTA($Q270))&gt;0),"",IF(AND($V270="Sub",N($U270)&gt;0),IF(ISNUMBER(INDEX($AM$5:$AM$1000,$U270-4)),DATE(YEAR(INDEX($AM$5:$AM$1000,$U270-4)),MONTH(INDEX($AM$5:$AM$1000,$U270-4)),1),IF(ISNUMBER(INDEX($AN$5:$AN$1000,$U270-4)),DATE(YEAR(INDEX($AN$5:$AN$1000,$U270-4)),MONTH(INDEX($AN$5:$AN$1000,$U270-4)),1),MesCiclo)),IF(ISNUMBER($AM270),DATE(YEAR($AM270),MONTH($AM270),1),IF(ISNUMBER($AN270),DATE(YEAR($AN270),MONTH($AN270),1),MesCiclo))))</f>
        <v/>
      </c>
      <c r="T270" s="62">
        <f>IF(OR($S270="",$S270&lt;&gt;MesCiclo,$V270&lt;&gt;"Macro"),"",COUNTIFS($S$5:$S270,MesCiclo,$V$5:$V270,"Macro"))</f>
        <v/>
      </c>
      <c r="U270" s="62">
        <f>IF($V270="","",IF($V270="Macro",ROW(),IFERROR(LOOKUP(2,1/($V$5:$V270="Macro"),ROW($V$5:$V270)),0)))</f>
        <v/>
      </c>
      <c r="V270" s="62">
        <f>IF(NOT((COUNTA($B270:$D270)+COUNTA($G270:$L270)+COUNTA($Q270))&gt;0),"",IF($B270="Subactividad","Sub","Macro"))</f>
        <v/>
      </c>
      <c r="W270" s="62">
        <f>IF($V270="Macro",COUNTIFS($U$5:$U$1000,ROW(),$V$5:$V$1000,"Sub"),"")</f>
        <v/>
      </c>
      <c r="X270" s="62">
        <f>IF($V270="","",IF(ISNUMBER($G270),1,IFERROR(LOOKUP(2,1/($I270:$L270&lt;&gt;""),$I270:$L270),0)))</f>
        <v/>
      </c>
      <c r="Y270" s="62">
        <f>IF($V270="","",IF(AND(ISNUMBER($G270),$G270&lt;=IF($S270=MesCiclo,InicioCiclo,$S270+MOD(2-WEEKDAY($S270),7))+6),1,IF(ISNUMBER($I270),$I270,0)))</f>
        <v/>
      </c>
      <c r="Z270" s="62">
        <f>IF($V270="","",IF(AND(ISNUMBER($G270),$G270&lt;=IF($S270=MesCiclo,InicioCiclo,$S270+MOD(2-WEEKDAY($S270),7))+13),1,IF(ISNUMBER($J270),$J270,$Y270)))</f>
        <v/>
      </c>
      <c r="AA270" s="62">
        <f>IF($V270="","",IF(AND(ISNUMBER($G270),$G270&lt;=IF($S270=MesCiclo,InicioCiclo,$S270+MOD(2-WEEKDAY($S270),7))+20),1,IF(ISNUMBER($K270),$K270,$Z270)))</f>
        <v/>
      </c>
      <c r="AB270" s="62">
        <f>IF($V270="","",IF(AND(ISNUMBER($G270),$G270&lt;=IF($S270=MesCiclo,InicioCiclo,$S270+MOD(2-WEEKDAY($S270),7))+27),1,IF(ISNUMBER($L270),$L270,$AA270)))</f>
        <v/>
      </c>
      <c r="AC270" s="62">
        <f>IF($V270="","",IF(AND(ISNUMBER($G270),$G270&lt;=IF($S270=MesCiclo,InicioCiclo,$S270+MOD(2-WEEKDAY($S270),7))+6),1,IF(N($W270)&gt;0,AVERAGEIFS($Y$5:$Y$1000,$U$5:$U$1000,ROW(),$V$5:$V$1000,"Sub"),$Y270)))</f>
        <v/>
      </c>
      <c r="AD270" s="62">
        <f>IF($V270="","",IF(AND(ISNUMBER($G270),$G270&lt;=IF($S270=MesCiclo,InicioCiclo,$S270+MOD(2-WEEKDAY($S270),7))+13),1,IF(N($W270)&gt;0,AVERAGEIFS($Z$5:$Z$1000,$U$5:$U$1000,ROW(),$V$5:$V$1000,"Sub"),$Z270)))</f>
        <v/>
      </c>
      <c r="AE270" s="62">
        <f>IF($V270="","",IF(AND(ISNUMBER($G270),$G270&lt;=IF($S270=MesCiclo,InicioCiclo,$S270+MOD(2-WEEKDAY($S270),7))+20),1,IF(N($W270)&gt;0,AVERAGEIFS($AA$5:$AA$1000,$U$5:$U$1000,ROW(),$V$5:$V$1000,"Sub"),$AA270)))</f>
        <v/>
      </c>
      <c r="AF270" s="62">
        <f>IF($V270="","",IF(AND(ISNUMBER($G270),$G270&lt;=IF($S270=MesCiclo,InicioCiclo,$S270+MOD(2-WEEKDAY($S270),7))+27),1,IF(N($W270)&gt;0,AVERAGEIFS($AB$5:$AB$1000,$U$5:$U$1000,ROW(),$V$5:$V$1000,"Sub"),$AB270)))</f>
        <v/>
      </c>
      <c r="AG270" s="62">
        <f>IF($V270&lt;&gt;"Macro","",IF(COUNTIFS($S$5:$S$1000,$S270,$V$5:$V$1000,"Macro",$H$5:$H$1000,"&gt;0")=0,1/COUNTIFS($S$5:$S$1000,$S270,$V$5:$V$1000,"Macro"),IF(AND(ISNUMBER($H270),N($H270)&gt;0),$H270,SUMIFS($H$5:$H$1000,$S$5:$S$1000,$S270,$V$5:$V$1000,"Macro")/COUNTIFS($S$5:$S$1000,$S270,$V$5:$V$1000,"Macro",$H$5:$H$1000,"&gt;0"))/(COUNTIFS($S$5:$S$1000,$S270,$V$5:$V$1000,"Macro")*SUMIFS($H$5:$H$1000,$S$5:$S$1000,$S270,$V$5:$V$1000,"Macro")/COUNTIFS($S$5:$S$1000,$S270,$V$5:$V$1000,"Macro",$H$5:$H$1000,"&gt;0"))))</f>
        <v/>
      </c>
      <c r="AH270" s="62" t="n"/>
      <c r="AI270" s="62" t="n"/>
      <c r="AJ270" s="62" t="n"/>
      <c r="AK270" s="62" t="n"/>
      <c r="AL270" s="62">
        <f>IF(LEFT($C270,11)="[Jefatura] ",IFERROR(MATCH("Riesgo Financiero|"&amp;MID($C270,12,500),rDname_ADM,0),0),"")</f>
        <v/>
      </c>
      <c r="AM270" s="62">
        <f>IF(N($AL270)&gt;0,INDEX(rIni_ADM,$AL270),IF(ISNUMBER($E270),$E270,""))</f>
        <v/>
      </c>
      <c r="AN270" s="62">
        <f>IF(N($AL270)&gt;0,INDEX(rLim_ADM,$AL270),IF(ISNUMBER($F270),$F270,""))</f>
        <v/>
      </c>
    </row>
    <row r="271">
      <c r="A271" s="56">
        <f>IF(NOT((COUNTA($B271:$D271)+COUNTA($G271:$L271)+COUNTA($Q271))&gt;0),"",IF($V271="Macro",COUNTIFS($V$5:$V271,"Macro",$S$5:$S271,$S271),IF(N($U271)=0,"?",COUNTIFS(INDEX($V$5:$V$1000,1):INDEX($V$5:$V$1000,$U271-4),"Macro",INDEX($S$5:$S$1000,1):INDEX($S$5:$S$1000,$U271-4),INDEX($S$5:$S$1000,$U271-4))&amp;"."&amp;COUNTIFS($U$5:$U271,$U271,$V$5:$V271,"Sub"))))</f>
        <v/>
      </c>
      <c r="B271" s="57" t="n"/>
      <c r="C271" s="58" t="n"/>
      <c r="D271" s="58" t="n"/>
      <c r="E271" s="59">
        <f>IF(N($AL271)&gt;0,INDEX(rIni_ADM,$AL271),"")</f>
        <v/>
      </c>
      <c r="F271" s="59">
        <f>IF(N($AL271)&gt;0,INDEX(rLim_ADM,$AL271),"")</f>
        <v/>
      </c>
      <c r="G271" s="59" t="n"/>
      <c r="H271" s="60" t="n"/>
      <c r="I271" s="60" t="n"/>
      <c r="J271" s="60" t="n"/>
      <c r="K271" s="60" t="n"/>
      <c r="L271" s="60" t="n"/>
      <c r="M271" s="61">
        <f>IF(NOT((COUNTA($B271:$D271)+COUNTA($G271:$L271)+COUNTA($Q271))&gt;0),"",IF($V271="Sub",IFERROR($X271/INDEX($W$5:$W$1000,$U271-4),""),IF(ISNUMBER($G271),1,IF(N($W271)&gt;0,AVERAGEIFS($X$5:$X$1000,$U$5:$U$1000,ROW(),$V$5:$V$1000,"Sub"),$X271))))</f>
        <v/>
      </c>
      <c r="N271" s="56">
        <f>IF(OR($M271="",$V271="Sub"),"",IF($M271&gt;=1,"Completado",IF($M271&gt;0,"En curso","Pendiente")))</f>
        <v/>
      </c>
      <c r="O271" s="56">
        <f>IF(OR(NOT((COUNTA($B271:$D271)+COUNTA($G271:$L271)+COUNTA($Q271))&gt;0),$V271="Sub"),"",IF(ISNUMBER($G271),IF(AND(ISNUMBER($AN271),$G271&gt;$AN271),"Cumplida con "&amp;($G271-$AN271)&amp;IF($G271-$AN271=1," día"," días")&amp;" de retraso","Cumplida"),IF(N($M271)&gt;=1,"Cumplida",IF(NOT(ISNUMBER($AN271)),"Sin fecha límite",IF($AN271&lt;FechaRef,"Vencida hace "&amp;(FechaRef-$AN271)&amp;IF(FechaRef-$AN271=1," día"," días"),IF($AN271=FechaRef,"Vence hoy",IF($AN271-FechaRef&lt;=DiasAlerta,"Vence en "&amp;($AN271-FechaRef)&amp;IF($AN271-FechaRef=1," día"," días"),"En plazo")))))))</f>
        <v/>
      </c>
      <c r="P271" s="62" t="n"/>
      <c r="Q271" s="58" t="n"/>
      <c r="R271" s="63">
        <f>IF(NOT((COUNTA($B271:$D271)+COUNTA($G271:$L271)+COUNTA($Q271))&gt;0),"",IF((IF($C271="","Falta el nombre de la actividad"&amp;" · ","")&amp;IF(AND($V271="Sub",N($U271)=0),"Subactividad sin macroactividad arriba"&amp;" · ","")&amp;IF($AM271="","Sin fecha de inicio"&amp;" · ","")&amp;IF($AN271="","Sin fecha límite"&amp;" · ","")&amp;IF(AND(LEFT($C271,11)="[Jefatura] ",N($AL271)=0),"No se encuentra en la hoja de la jefatura (elíjala de nuevo en la lista)"&amp;" · ","")&amp;IF(OR(AND($E271&lt;&gt;"",NOT(ISNUMBER($E271))),AND($F271&lt;&gt;"",NOT(ISNUMBER($F271))),AND($G271&lt;&gt;"",NOT(ISNUMBER($G271)))),"Fecha no válida"&amp;" · ","")&amp;IF(AND(ISNUMBER($AM271),ISNUMBER($AN271),$AM271&gt;$AN271),"Inicio posterior a fecha límite"&amp;" · ","")&amp;IF(AND($V271="Macro",$H271&lt;&gt;"",OR(NOT(ISNUMBER($H271)),$H271&lt;0,$H271&gt;1)),"Peso fuera de rango"&amp;" · ","")&amp;IF(AND($V271="Sub",$H271&lt;&gt;""),"Las subactividades no llevan peso (valen igual dentro de su macroactividad)"&amp;" · ","")&amp;IF(AND(N($W271)&gt;0,COUNT($I271:$L271)&gt;0),"Con subactividades: deje vacías las semanas (se calculan solas)"&amp;" · ","")&amp;IF((COUNTIF($I271:$L271,"&gt;1")+COUNTIF($I271:$L271,"&lt;0")+COUNTA($I271:$L271)-COUNT($I271:$L271))&gt;0,"Avance fuera de rango 0-100%"&amp;" · ","")&amp;IF(OR(AND($J271&lt;&gt;"",$J271&lt;$I271),AND($K271&lt;&gt;"",$K271&lt;MAX($I271:$J271)),AND($L271&lt;&gt;"",$L271&lt;MAX($I271:$K271))),"Avance semanal decreciente"&amp;" · ","")&amp;IF(AND(ISNUMBER($AN271),$AN271&lt;FechaRef,IF($V271="Sub",N($X271),N($M271))&lt;1),"Vencida"&amp;" · ","")&amp;IF(AND(ObsObligatoria="Sí",ISNUMBER($AN271),$AN271&lt;FechaRef,IF($V271="Sub",N($X271),N($M271))&lt;1,$Q271=""),"Vencida sin observación"&amp;" · ",""))="","✔ OK","⚠ "&amp;LEFT(IF($C271="","Falta el nombre de la actividad"&amp;" · ","")&amp;IF(AND($V271="Sub",N($U271)=0),"Subactividad sin macroactividad arriba"&amp;" · ","")&amp;IF($AM271="","Sin fecha de inicio"&amp;" · ","")&amp;IF($AN271="","Sin fecha límite"&amp;" · ","")&amp;IF(AND(LEFT($C271,11)="[Jefatura] ",N($AL271)=0),"No se encuentra en la hoja de la jefatura (elíjala de nuevo en la lista)"&amp;" · ","")&amp;IF(OR(AND($E271&lt;&gt;"",NOT(ISNUMBER($E271))),AND($F271&lt;&gt;"",NOT(ISNUMBER($F271))),AND($G271&lt;&gt;"",NOT(ISNUMBER($G271)))),"Fecha no válida"&amp;" · ","")&amp;IF(AND(ISNUMBER($AM271),ISNUMBER($AN271),$AM271&gt;$AN271),"Inicio posterior a fecha límite"&amp;" · ","")&amp;IF(AND($V271="Macro",$H271&lt;&gt;"",OR(NOT(ISNUMBER($H271)),$H271&lt;0,$H271&gt;1)),"Peso fuera de rango"&amp;" · ","")&amp;IF(AND($V271="Sub",$H271&lt;&gt;""),"Las subactividades no llevan peso (valen igual dentro de su macroactividad)"&amp;" · ","")&amp;IF(AND(N($W271)&gt;0,COUNT($I271:$L271)&gt;0),"Con subactividades: deje vacías las semanas (se calculan solas)"&amp;" · ","")&amp;IF((COUNTIF($I271:$L271,"&gt;1")+COUNTIF($I271:$L271,"&lt;0")+COUNTA($I271:$L271)-COUNT($I271:$L271))&gt;0,"Avance fuera de rango 0-100%"&amp;" · ","")&amp;IF(OR(AND($J271&lt;&gt;"",$J271&lt;$I271),AND($K271&lt;&gt;"",$K271&lt;MAX($I271:$J271)),AND($L271&lt;&gt;"",$L271&lt;MAX($I271:$K271))),"Avance semanal decreciente"&amp;" · ","")&amp;IF(AND(ISNUMBER($AN271),$AN271&lt;FechaRef,IF($V271="Sub",N($X271),N($M271))&lt;1),"Vencida"&amp;" · ","")&amp;IF(AND(ObsObligatoria="Sí",ISNUMBER($AN271),$AN271&lt;FechaRef,IF($V271="Sub",N($X271),N($M271))&lt;1,$Q271=""),"Vencida sin observación"&amp;" · ",""),LEN(IF($C271="","Falta el nombre de la actividad"&amp;" · ","")&amp;IF(AND($V271="Sub",N($U271)=0),"Subactividad sin macroactividad arriba"&amp;" · ","")&amp;IF($AM271="","Sin fecha de inicio"&amp;" · ","")&amp;IF($AN271="","Sin fecha límite"&amp;" · ","")&amp;IF(AND(LEFT($C271,11)="[Jefatura] ",N($AL271)=0),"No se encuentra en la hoja de la jefatura (elíjala de nuevo en la lista)"&amp;" · ","")&amp;IF(OR(AND($E271&lt;&gt;"",NOT(ISNUMBER($E271))),AND($F271&lt;&gt;"",NOT(ISNUMBER($F271))),AND($G271&lt;&gt;"",NOT(ISNUMBER($G271)))),"Fecha no válida"&amp;" · ","")&amp;IF(AND(ISNUMBER($AM271),ISNUMBER($AN271),$AM271&gt;$AN271),"Inicio posterior a fecha límite"&amp;" · ","")&amp;IF(AND($V271="Macro",$H271&lt;&gt;"",OR(NOT(ISNUMBER($H271)),$H271&lt;0,$H271&gt;1)),"Peso fuera de rango"&amp;" · ","")&amp;IF(AND($V271="Sub",$H271&lt;&gt;""),"Las subactividades no llevan peso (valen igual dentro de su macroactividad)"&amp;" · ","")&amp;IF(AND(N($W271)&gt;0,COUNT($I271:$L271)&gt;0),"Con subactividades: deje vacías las semanas (se calculan solas)"&amp;" · ","")&amp;IF((COUNTIF($I271:$L271,"&gt;1")+COUNTIF($I271:$L271,"&lt;0")+COUNTA($I271:$L271)-COUNT($I271:$L271))&gt;0,"Avance fuera de rango 0-100%"&amp;" · ","")&amp;IF(OR(AND($J271&lt;&gt;"",$J271&lt;$I271),AND($K271&lt;&gt;"",$K271&lt;MAX($I271:$J271)),AND($L271&lt;&gt;"",$L271&lt;MAX($I271:$K271))),"Avance semanal decreciente"&amp;" · ","")&amp;IF(AND(ISNUMBER($AN271),$AN271&lt;FechaRef,IF($V271="Sub",N($X271),N($M271))&lt;1),"Vencida"&amp;" · ","")&amp;IF(AND(ObsObligatoria="Sí",ISNUMBER($AN271),$AN271&lt;FechaRef,IF($V271="Sub",N($X271),N($M271))&lt;1,$Q271=""),"Vencida sin observación"&amp;" · ",""))-3)))</f>
        <v/>
      </c>
      <c r="S271" s="64">
        <f>IF(NOT((COUNTA($B271:$D271)+COUNTA($G271:$L271)+COUNTA($Q271))&gt;0),"",IF(AND($V271="Sub",N($U271)&gt;0),IF(ISNUMBER(INDEX($AM$5:$AM$1000,$U271-4)),DATE(YEAR(INDEX($AM$5:$AM$1000,$U271-4)),MONTH(INDEX($AM$5:$AM$1000,$U271-4)),1),IF(ISNUMBER(INDEX($AN$5:$AN$1000,$U271-4)),DATE(YEAR(INDEX($AN$5:$AN$1000,$U271-4)),MONTH(INDEX($AN$5:$AN$1000,$U271-4)),1),MesCiclo)),IF(ISNUMBER($AM271),DATE(YEAR($AM271),MONTH($AM271),1),IF(ISNUMBER($AN271),DATE(YEAR($AN271),MONTH($AN271),1),MesCiclo))))</f>
        <v/>
      </c>
      <c r="T271" s="62">
        <f>IF(OR($S271="",$S271&lt;&gt;MesCiclo,$V271&lt;&gt;"Macro"),"",COUNTIFS($S$5:$S271,MesCiclo,$V$5:$V271,"Macro"))</f>
        <v/>
      </c>
      <c r="U271" s="62">
        <f>IF($V271="","",IF($V271="Macro",ROW(),IFERROR(LOOKUP(2,1/($V$5:$V271="Macro"),ROW($V$5:$V271)),0)))</f>
        <v/>
      </c>
      <c r="V271" s="62">
        <f>IF(NOT((COUNTA($B271:$D271)+COUNTA($G271:$L271)+COUNTA($Q271))&gt;0),"",IF($B271="Subactividad","Sub","Macro"))</f>
        <v/>
      </c>
      <c r="W271" s="62">
        <f>IF($V271="Macro",COUNTIFS($U$5:$U$1000,ROW(),$V$5:$V$1000,"Sub"),"")</f>
        <v/>
      </c>
      <c r="X271" s="62">
        <f>IF($V271="","",IF(ISNUMBER($G271),1,IFERROR(LOOKUP(2,1/($I271:$L271&lt;&gt;""),$I271:$L271),0)))</f>
        <v/>
      </c>
      <c r="Y271" s="62">
        <f>IF($V271="","",IF(AND(ISNUMBER($G271),$G271&lt;=IF($S271=MesCiclo,InicioCiclo,$S271+MOD(2-WEEKDAY($S271),7))+6),1,IF(ISNUMBER($I271),$I271,0)))</f>
        <v/>
      </c>
      <c r="Z271" s="62">
        <f>IF($V271="","",IF(AND(ISNUMBER($G271),$G271&lt;=IF($S271=MesCiclo,InicioCiclo,$S271+MOD(2-WEEKDAY($S271),7))+13),1,IF(ISNUMBER($J271),$J271,$Y271)))</f>
        <v/>
      </c>
      <c r="AA271" s="62">
        <f>IF($V271="","",IF(AND(ISNUMBER($G271),$G271&lt;=IF($S271=MesCiclo,InicioCiclo,$S271+MOD(2-WEEKDAY($S271),7))+20),1,IF(ISNUMBER($K271),$K271,$Z271)))</f>
        <v/>
      </c>
      <c r="AB271" s="62">
        <f>IF($V271="","",IF(AND(ISNUMBER($G271),$G271&lt;=IF($S271=MesCiclo,InicioCiclo,$S271+MOD(2-WEEKDAY($S271),7))+27),1,IF(ISNUMBER($L271),$L271,$AA271)))</f>
        <v/>
      </c>
      <c r="AC271" s="62">
        <f>IF($V271="","",IF(AND(ISNUMBER($G271),$G271&lt;=IF($S271=MesCiclo,InicioCiclo,$S271+MOD(2-WEEKDAY($S271),7))+6),1,IF(N($W271)&gt;0,AVERAGEIFS($Y$5:$Y$1000,$U$5:$U$1000,ROW(),$V$5:$V$1000,"Sub"),$Y271)))</f>
        <v/>
      </c>
      <c r="AD271" s="62">
        <f>IF($V271="","",IF(AND(ISNUMBER($G271),$G271&lt;=IF($S271=MesCiclo,InicioCiclo,$S271+MOD(2-WEEKDAY($S271),7))+13),1,IF(N($W271)&gt;0,AVERAGEIFS($Z$5:$Z$1000,$U$5:$U$1000,ROW(),$V$5:$V$1000,"Sub"),$Z271)))</f>
        <v/>
      </c>
      <c r="AE271" s="62">
        <f>IF($V271="","",IF(AND(ISNUMBER($G271),$G271&lt;=IF($S271=MesCiclo,InicioCiclo,$S271+MOD(2-WEEKDAY($S271),7))+20),1,IF(N($W271)&gt;0,AVERAGEIFS($AA$5:$AA$1000,$U$5:$U$1000,ROW(),$V$5:$V$1000,"Sub"),$AA271)))</f>
        <v/>
      </c>
      <c r="AF271" s="62">
        <f>IF($V271="","",IF(AND(ISNUMBER($G271),$G271&lt;=IF($S271=MesCiclo,InicioCiclo,$S271+MOD(2-WEEKDAY($S271),7))+27),1,IF(N($W271)&gt;0,AVERAGEIFS($AB$5:$AB$1000,$U$5:$U$1000,ROW(),$V$5:$V$1000,"Sub"),$AB271)))</f>
        <v/>
      </c>
      <c r="AG271" s="62">
        <f>IF($V271&lt;&gt;"Macro","",IF(COUNTIFS($S$5:$S$1000,$S271,$V$5:$V$1000,"Macro",$H$5:$H$1000,"&gt;0")=0,1/COUNTIFS($S$5:$S$1000,$S271,$V$5:$V$1000,"Macro"),IF(AND(ISNUMBER($H271),N($H271)&gt;0),$H271,SUMIFS($H$5:$H$1000,$S$5:$S$1000,$S271,$V$5:$V$1000,"Macro")/COUNTIFS($S$5:$S$1000,$S271,$V$5:$V$1000,"Macro",$H$5:$H$1000,"&gt;0"))/(COUNTIFS($S$5:$S$1000,$S271,$V$5:$V$1000,"Macro")*SUMIFS($H$5:$H$1000,$S$5:$S$1000,$S271,$V$5:$V$1000,"Macro")/COUNTIFS($S$5:$S$1000,$S271,$V$5:$V$1000,"Macro",$H$5:$H$1000,"&gt;0"))))</f>
        <v/>
      </c>
      <c r="AH271" s="62" t="n"/>
      <c r="AI271" s="62" t="n"/>
      <c r="AJ271" s="62" t="n"/>
      <c r="AK271" s="62" t="n"/>
      <c r="AL271" s="62">
        <f>IF(LEFT($C271,11)="[Jefatura] ",IFERROR(MATCH("Riesgo Financiero|"&amp;MID($C271,12,500),rDname_ADM,0),0),"")</f>
        <v/>
      </c>
      <c r="AM271" s="62">
        <f>IF(N($AL271)&gt;0,INDEX(rIni_ADM,$AL271),IF(ISNUMBER($E271),$E271,""))</f>
        <v/>
      </c>
      <c r="AN271" s="62">
        <f>IF(N($AL271)&gt;0,INDEX(rLim_ADM,$AL271),IF(ISNUMBER($F271),$F271,""))</f>
        <v/>
      </c>
    </row>
    <row r="272">
      <c r="A272" s="56">
        <f>IF(NOT((COUNTA($B272:$D272)+COUNTA($G272:$L272)+COUNTA($Q272))&gt;0),"",IF($V272="Macro",COUNTIFS($V$5:$V272,"Macro",$S$5:$S272,$S272),IF(N($U272)=0,"?",COUNTIFS(INDEX($V$5:$V$1000,1):INDEX($V$5:$V$1000,$U272-4),"Macro",INDEX($S$5:$S$1000,1):INDEX($S$5:$S$1000,$U272-4),INDEX($S$5:$S$1000,$U272-4))&amp;"."&amp;COUNTIFS($U$5:$U272,$U272,$V$5:$V272,"Sub"))))</f>
        <v/>
      </c>
      <c r="B272" s="57" t="n"/>
      <c r="C272" s="58" t="n"/>
      <c r="D272" s="58" t="n"/>
      <c r="E272" s="59">
        <f>IF(N($AL272)&gt;0,INDEX(rIni_ADM,$AL272),"")</f>
        <v/>
      </c>
      <c r="F272" s="59">
        <f>IF(N($AL272)&gt;0,INDEX(rLim_ADM,$AL272),"")</f>
        <v/>
      </c>
      <c r="G272" s="59" t="n"/>
      <c r="H272" s="60" t="n"/>
      <c r="I272" s="60" t="n"/>
      <c r="J272" s="60" t="n"/>
      <c r="K272" s="60" t="n"/>
      <c r="L272" s="60" t="n"/>
      <c r="M272" s="61">
        <f>IF(NOT((COUNTA($B272:$D272)+COUNTA($G272:$L272)+COUNTA($Q272))&gt;0),"",IF($V272="Sub",IFERROR($X272/INDEX($W$5:$W$1000,$U272-4),""),IF(ISNUMBER($G272),1,IF(N($W272)&gt;0,AVERAGEIFS($X$5:$X$1000,$U$5:$U$1000,ROW(),$V$5:$V$1000,"Sub"),$X272))))</f>
        <v/>
      </c>
      <c r="N272" s="56">
        <f>IF(OR($M272="",$V272="Sub"),"",IF($M272&gt;=1,"Completado",IF($M272&gt;0,"En curso","Pendiente")))</f>
        <v/>
      </c>
      <c r="O272" s="56">
        <f>IF(OR(NOT((COUNTA($B272:$D272)+COUNTA($G272:$L272)+COUNTA($Q272))&gt;0),$V272="Sub"),"",IF(ISNUMBER($G272),IF(AND(ISNUMBER($AN272),$G272&gt;$AN272),"Cumplida con "&amp;($G272-$AN272)&amp;IF($G272-$AN272=1," día"," días")&amp;" de retraso","Cumplida"),IF(N($M272)&gt;=1,"Cumplida",IF(NOT(ISNUMBER($AN272)),"Sin fecha límite",IF($AN272&lt;FechaRef,"Vencida hace "&amp;(FechaRef-$AN272)&amp;IF(FechaRef-$AN272=1," día"," días"),IF($AN272=FechaRef,"Vence hoy",IF($AN272-FechaRef&lt;=DiasAlerta,"Vence en "&amp;($AN272-FechaRef)&amp;IF($AN272-FechaRef=1," día"," días"),"En plazo")))))))</f>
        <v/>
      </c>
      <c r="P272" s="62" t="n"/>
      <c r="Q272" s="58" t="n"/>
      <c r="R272" s="63">
        <f>IF(NOT((COUNTA($B272:$D272)+COUNTA($G272:$L272)+COUNTA($Q272))&gt;0),"",IF((IF($C272="","Falta el nombre de la actividad"&amp;" · ","")&amp;IF(AND($V272="Sub",N($U272)=0),"Subactividad sin macroactividad arriba"&amp;" · ","")&amp;IF($AM272="","Sin fecha de inicio"&amp;" · ","")&amp;IF($AN272="","Sin fecha límite"&amp;" · ","")&amp;IF(AND(LEFT($C272,11)="[Jefatura] ",N($AL272)=0),"No se encuentra en la hoja de la jefatura (elíjala de nuevo en la lista)"&amp;" · ","")&amp;IF(OR(AND($E272&lt;&gt;"",NOT(ISNUMBER($E272))),AND($F272&lt;&gt;"",NOT(ISNUMBER($F272))),AND($G272&lt;&gt;"",NOT(ISNUMBER($G272)))),"Fecha no válida"&amp;" · ","")&amp;IF(AND(ISNUMBER($AM272),ISNUMBER($AN272),$AM272&gt;$AN272),"Inicio posterior a fecha límite"&amp;" · ","")&amp;IF(AND($V272="Macro",$H272&lt;&gt;"",OR(NOT(ISNUMBER($H272)),$H272&lt;0,$H272&gt;1)),"Peso fuera de rango"&amp;" · ","")&amp;IF(AND($V272="Sub",$H272&lt;&gt;""),"Las subactividades no llevan peso (valen igual dentro de su macroactividad)"&amp;" · ","")&amp;IF(AND(N($W272)&gt;0,COUNT($I272:$L272)&gt;0),"Con subactividades: deje vacías las semanas (se calculan solas)"&amp;" · ","")&amp;IF((COUNTIF($I272:$L272,"&gt;1")+COUNTIF($I272:$L272,"&lt;0")+COUNTA($I272:$L272)-COUNT($I272:$L272))&gt;0,"Avance fuera de rango 0-100%"&amp;" · ","")&amp;IF(OR(AND($J272&lt;&gt;"",$J272&lt;$I272),AND($K272&lt;&gt;"",$K272&lt;MAX($I272:$J272)),AND($L272&lt;&gt;"",$L272&lt;MAX($I272:$K272))),"Avance semanal decreciente"&amp;" · ","")&amp;IF(AND(ISNUMBER($AN272),$AN272&lt;FechaRef,IF($V272="Sub",N($X272),N($M272))&lt;1),"Vencida"&amp;" · ","")&amp;IF(AND(ObsObligatoria="Sí",ISNUMBER($AN272),$AN272&lt;FechaRef,IF($V272="Sub",N($X272),N($M272))&lt;1,$Q272=""),"Vencida sin observación"&amp;" · ",""))="","✔ OK","⚠ "&amp;LEFT(IF($C272="","Falta el nombre de la actividad"&amp;" · ","")&amp;IF(AND($V272="Sub",N($U272)=0),"Subactividad sin macroactividad arriba"&amp;" · ","")&amp;IF($AM272="","Sin fecha de inicio"&amp;" · ","")&amp;IF($AN272="","Sin fecha límite"&amp;" · ","")&amp;IF(AND(LEFT($C272,11)="[Jefatura] ",N($AL272)=0),"No se encuentra en la hoja de la jefatura (elíjala de nuevo en la lista)"&amp;" · ","")&amp;IF(OR(AND($E272&lt;&gt;"",NOT(ISNUMBER($E272))),AND($F272&lt;&gt;"",NOT(ISNUMBER($F272))),AND($G272&lt;&gt;"",NOT(ISNUMBER($G272)))),"Fecha no válida"&amp;" · ","")&amp;IF(AND(ISNUMBER($AM272),ISNUMBER($AN272),$AM272&gt;$AN272),"Inicio posterior a fecha límite"&amp;" · ","")&amp;IF(AND($V272="Macro",$H272&lt;&gt;"",OR(NOT(ISNUMBER($H272)),$H272&lt;0,$H272&gt;1)),"Peso fuera de rango"&amp;" · ","")&amp;IF(AND($V272="Sub",$H272&lt;&gt;""),"Las subactividades no llevan peso (valen igual dentro de su macroactividad)"&amp;" · ","")&amp;IF(AND(N($W272)&gt;0,COUNT($I272:$L272)&gt;0),"Con subactividades: deje vacías las semanas (se calculan solas)"&amp;" · ","")&amp;IF((COUNTIF($I272:$L272,"&gt;1")+COUNTIF($I272:$L272,"&lt;0")+COUNTA($I272:$L272)-COUNT($I272:$L272))&gt;0,"Avance fuera de rango 0-100%"&amp;" · ","")&amp;IF(OR(AND($J272&lt;&gt;"",$J272&lt;$I272),AND($K272&lt;&gt;"",$K272&lt;MAX($I272:$J272)),AND($L272&lt;&gt;"",$L272&lt;MAX($I272:$K272))),"Avance semanal decreciente"&amp;" · ","")&amp;IF(AND(ISNUMBER($AN272),$AN272&lt;FechaRef,IF($V272="Sub",N($X272),N($M272))&lt;1),"Vencida"&amp;" · ","")&amp;IF(AND(ObsObligatoria="Sí",ISNUMBER($AN272),$AN272&lt;FechaRef,IF($V272="Sub",N($X272),N($M272))&lt;1,$Q272=""),"Vencida sin observación"&amp;" · ",""),LEN(IF($C272="","Falta el nombre de la actividad"&amp;" · ","")&amp;IF(AND($V272="Sub",N($U272)=0),"Subactividad sin macroactividad arriba"&amp;" · ","")&amp;IF($AM272="","Sin fecha de inicio"&amp;" · ","")&amp;IF($AN272="","Sin fecha límite"&amp;" · ","")&amp;IF(AND(LEFT($C272,11)="[Jefatura] ",N($AL272)=0),"No se encuentra en la hoja de la jefatura (elíjala de nuevo en la lista)"&amp;" · ","")&amp;IF(OR(AND($E272&lt;&gt;"",NOT(ISNUMBER($E272))),AND($F272&lt;&gt;"",NOT(ISNUMBER($F272))),AND($G272&lt;&gt;"",NOT(ISNUMBER($G272)))),"Fecha no válida"&amp;" · ","")&amp;IF(AND(ISNUMBER($AM272),ISNUMBER($AN272),$AM272&gt;$AN272),"Inicio posterior a fecha límite"&amp;" · ","")&amp;IF(AND($V272="Macro",$H272&lt;&gt;"",OR(NOT(ISNUMBER($H272)),$H272&lt;0,$H272&gt;1)),"Peso fuera de rango"&amp;" · ","")&amp;IF(AND($V272="Sub",$H272&lt;&gt;""),"Las subactividades no llevan peso (valen igual dentro de su macroactividad)"&amp;" · ","")&amp;IF(AND(N($W272)&gt;0,COUNT($I272:$L272)&gt;0),"Con subactividades: deje vacías las semanas (se calculan solas)"&amp;" · ","")&amp;IF((COUNTIF($I272:$L272,"&gt;1")+COUNTIF($I272:$L272,"&lt;0")+COUNTA($I272:$L272)-COUNT($I272:$L272))&gt;0,"Avance fuera de rango 0-100%"&amp;" · ","")&amp;IF(OR(AND($J272&lt;&gt;"",$J272&lt;$I272),AND($K272&lt;&gt;"",$K272&lt;MAX($I272:$J272)),AND($L272&lt;&gt;"",$L272&lt;MAX($I272:$K272))),"Avance semanal decreciente"&amp;" · ","")&amp;IF(AND(ISNUMBER($AN272),$AN272&lt;FechaRef,IF($V272="Sub",N($X272),N($M272))&lt;1),"Vencida"&amp;" · ","")&amp;IF(AND(ObsObligatoria="Sí",ISNUMBER($AN272),$AN272&lt;FechaRef,IF($V272="Sub",N($X272),N($M272))&lt;1,$Q272=""),"Vencida sin observación"&amp;" · ",""))-3)))</f>
        <v/>
      </c>
      <c r="S272" s="64">
        <f>IF(NOT((COUNTA($B272:$D272)+COUNTA($G272:$L272)+COUNTA($Q272))&gt;0),"",IF(AND($V272="Sub",N($U272)&gt;0),IF(ISNUMBER(INDEX($AM$5:$AM$1000,$U272-4)),DATE(YEAR(INDEX($AM$5:$AM$1000,$U272-4)),MONTH(INDEX($AM$5:$AM$1000,$U272-4)),1),IF(ISNUMBER(INDEX($AN$5:$AN$1000,$U272-4)),DATE(YEAR(INDEX($AN$5:$AN$1000,$U272-4)),MONTH(INDEX($AN$5:$AN$1000,$U272-4)),1),MesCiclo)),IF(ISNUMBER($AM272),DATE(YEAR($AM272),MONTH($AM272),1),IF(ISNUMBER($AN272),DATE(YEAR($AN272),MONTH($AN272),1),MesCiclo))))</f>
        <v/>
      </c>
      <c r="T272" s="62">
        <f>IF(OR($S272="",$S272&lt;&gt;MesCiclo,$V272&lt;&gt;"Macro"),"",COUNTIFS($S$5:$S272,MesCiclo,$V$5:$V272,"Macro"))</f>
        <v/>
      </c>
      <c r="U272" s="62">
        <f>IF($V272="","",IF($V272="Macro",ROW(),IFERROR(LOOKUP(2,1/($V$5:$V272="Macro"),ROW($V$5:$V272)),0)))</f>
        <v/>
      </c>
      <c r="V272" s="62">
        <f>IF(NOT((COUNTA($B272:$D272)+COUNTA($G272:$L272)+COUNTA($Q272))&gt;0),"",IF($B272="Subactividad","Sub","Macro"))</f>
        <v/>
      </c>
      <c r="W272" s="62">
        <f>IF($V272="Macro",COUNTIFS($U$5:$U$1000,ROW(),$V$5:$V$1000,"Sub"),"")</f>
        <v/>
      </c>
      <c r="X272" s="62">
        <f>IF($V272="","",IF(ISNUMBER($G272),1,IFERROR(LOOKUP(2,1/($I272:$L272&lt;&gt;""),$I272:$L272),0)))</f>
        <v/>
      </c>
      <c r="Y272" s="62">
        <f>IF($V272="","",IF(AND(ISNUMBER($G272),$G272&lt;=IF($S272=MesCiclo,InicioCiclo,$S272+MOD(2-WEEKDAY($S272),7))+6),1,IF(ISNUMBER($I272),$I272,0)))</f>
        <v/>
      </c>
      <c r="Z272" s="62">
        <f>IF($V272="","",IF(AND(ISNUMBER($G272),$G272&lt;=IF($S272=MesCiclo,InicioCiclo,$S272+MOD(2-WEEKDAY($S272),7))+13),1,IF(ISNUMBER($J272),$J272,$Y272)))</f>
        <v/>
      </c>
      <c r="AA272" s="62">
        <f>IF($V272="","",IF(AND(ISNUMBER($G272),$G272&lt;=IF($S272=MesCiclo,InicioCiclo,$S272+MOD(2-WEEKDAY($S272),7))+20),1,IF(ISNUMBER($K272),$K272,$Z272)))</f>
        <v/>
      </c>
      <c r="AB272" s="62">
        <f>IF($V272="","",IF(AND(ISNUMBER($G272),$G272&lt;=IF($S272=MesCiclo,InicioCiclo,$S272+MOD(2-WEEKDAY($S272),7))+27),1,IF(ISNUMBER($L272),$L272,$AA272)))</f>
        <v/>
      </c>
      <c r="AC272" s="62">
        <f>IF($V272="","",IF(AND(ISNUMBER($G272),$G272&lt;=IF($S272=MesCiclo,InicioCiclo,$S272+MOD(2-WEEKDAY($S272),7))+6),1,IF(N($W272)&gt;0,AVERAGEIFS($Y$5:$Y$1000,$U$5:$U$1000,ROW(),$V$5:$V$1000,"Sub"),$Y272)))</f>
        <v/>
      </c>
      <c r="AD272" s="62">
        <f>IF($V272="","",IF(AND(ISNUMBER($G272),$G272&lt;=IF($S272=MesCiclo,InicioCiclo,$S272+MOD(2-WEEKDAY($S272),7))+13),1,IF(N($W272)&gt;0,AVERAGEIFS($Z$5:$Z$1000,$U$5:$U$1000,ROW(),$V$5:$V$1000,"Sub"),$Z272)))</f>
        <v/>
      </c>
      <c r="AE272" s="62">
        <f>IF($V272="","",IF(AND(ISNUMBER($G272),$G272&lt;=IF($S272=MesCiclo,InicioCiclo,$S272+MOD(2-WEEKDAY($S272),7))+20),1,IF(N($W272)&gt;0,AVERAGEIFS($AA$5:$AA$1000,$U$5:$U$1000,ROW(),$V$5:$V$1000,"Sub"),$AA272)))</f>
        <v/>
      </c>
      <c r="AF272" s="62">
        <f>IF($V272="","",IF(AND(ISNUMBER($G272),$G272&lt;=IF($S272=MesCiclo,InicioCiclo,$S272+MOD(2-WEEKDAY($S272),7))+27),1,IF(N($W272)&gt;0,AVERAGEIFS($AB$5:$AB$1000,$U$5:$U$1000,ROW(),$V$5:$V$1000,"Sub"),$AB272)))</f>
        <v/>
      </c>
      <c r="AG272" s="62">
        <f>IF($V272&lt;&gt;"Macro","",IF(COUNTIFS($S$5:$S$1000,$S272,$V$5:$V$1000,"Macro",$H$5:$H$1000,"&gt;0")=0,1/COUNTIFS($S$5:$S$1000,$S272,$V$5:$V$1000,"Macro"),IF(AND(ISNUMBER($H272),N($H272)&gt;0),$H272,SUMIFS($H$5:$H$1000,$S$5:$S$1000,$S272,$V$5:$V$1000,"Macro")/COUNTIFS($S$5:$S$1000,$S272,$V$5:$V$1000,"Macro",$H$5:$H$1000,"&gt;0"))/(COUNTIFS($S$5:$S$1000,$S272,$V$5:$V$1000,"Macro")*SUMIFS($H$5:$H$1000,$S$5:$S$1000,$S272,$V$5:$V$1000,"Macro")/COUNTIFS($S$5:$S$1000,$S272,$V$5:$V$1000,"Macro",$H$5:$H$1000,"&gt;0"))))</f>
        <v/>
      </c>
      <c r="AH272" s="62" t="n"/>
      <c r="AI272" s="62" t="n"/>
      <c r="AJ272" s="62" t="n"/>
      <c r="AK272" s="62" t="n"/>
      <c r="AL272" s="62">
        <f>IF(LEFT($C272,11)="[Jefatura] ",IFERROR(MATCH("Riesgo Financiero|"&amp;MID($C272,12,500),rDname_ADM,0),0),"")</f>
        <v/>
      </c>
      <c r="AM272" s="62">
        <f>IF(N($AL272)&gt;0,INDEX(rIni_ADM,$AL272),IF(ISNUMBER($E272),$E272,""))</f>
        <v/>
      </c>
      <c r="AN272" s="62">
        <f>IF(N($AL272)&gt;0,INDEX(rLim_ADM,$AL272),IF(ISNUMBER($F272),$F272,""))</f>
        <v/>
      </c>
    </row>
    <row r="273">
      <c r="A273" s="56">
        <f>IF(NOT((COUNTA($B273:$D273)+COUNTA($G273:$L273)+COUNTA($Q273))&gt;0),"",IF($V273="Macro",COUNTIFS($V$5:$V273,"Macro",$S$5:$S273,$S273),IF(N($U273)=0,"?",COUNTIFS(INDEX($V$5:$V$1000,1):INDEX($V$5:$V$1000,$U273-4),"Macro",INDEX($S$5:$S$1000,1):INDEX($S$5:$S$1000,$U273-4),INDEX($S$5:$S$1000,$U273-4))&amp;"."&amp;COUNTIFS($U$5:$U273,$U273,$V$5:$V273,"Sub"))))</f>
        <v/>
      </c>
      <c r="B273" s="57" t="n"/>
      <c r="C273" s="58" t="n"/>
      <c r="D273" s="58" t="n"/>
      <c r="E273" s="59">
        <f>IF(N($AL273)&gt;0,INDEX(rIni_ADM,$AL273),"")</f>
        <v/>
      </c>
      <c r="F273" s="59">
        <f>IF(N($AL273)&gt;0,INDEX(rLim_ADM,$AL273),"")</f>
        <v/>
      </c>
      <c r="G273" s="59" t="n"/>
      <c r="H273" s="60" t="n"/>
      <c r="I273" s="60" t="n"/>
      <c r="J273" s="60" t="n"/>
      <c r="K273" s="60" t="n"/>
      <c r="L273" s="60" t="n"/>
      <c r="M273" s="61">
        <f>IF(NOT((COUNTA($B273:$D273)+COUNTA($G273:$L273)+COUNTA($Q273))&gt;0),"",IF($V273="Sub",IFERROR($X273/INDEX($W$5:$W$1000,$U273-4),""),IF(ISNUMBER($G273),1,IF(N($W273)&gt;0,AVERAGEIFS($X$5:$X$1000,$U$5:$U$1000,ROW(),$V$5:$V$1000,"Sub"),$X273))))</f>
        <v/>
      </c>
      <c r="N273" s="56">
        <f>IF(OR($M273="",$V273="Sub"),"",IF($M273&gt;=1,"Completado",IF($M273&gt;0,"En curso","Pendiente")))</f>
        <v/>
      </c>
      <c r="O273" s="56">
        <f>IF(OR(NOT((COUNTA($B273:$D273)+COUNTA($G273:$L273)+COUNTA($Q273))&gt;0),$V273="Sub"),"",IF(ISNUMBER($G273),IF(AND(ISNUMBER($AN273),$G273&gt;$AN273),"Cumplida con "&amp;($G273-$AN273)&amp;IF($G273-$AN273=1," día"," días")&amp;" de retraso","Cumplida"),IF(N($M273)&gt;=1,"Cumplida",IF(NOT(ISNUMBER($AN273)),"Sin fecha límite",IF($AN273&lt;FechaRef,"Vencida hace "&amp;(FechaRef-$AN273)&amp;IF(FechaRef-$AN273=1," día"," días"),IF($AN273=FechaRef,"Vence hoy",IF($AN273-FechaRef&lt;=DiasAlerta,"Vence en "&amp;($AN273-FechaRef)&amp;IF($AN273-FechaRef=1," día"," días"),"En plazo")))))))</f>
        <v/>
      </c>
      <c r="P273" s="62" t="n"/>
      <c r="Q273" s="58" t="n"/>
      <c r="R273" s="63">
        <f>IF(NOT((COUNTA($B273:$D273)+COUNTA($G273:$L273)+COUNTA($Q273))&gt;0),"",IF((IF($C273="","Falta el nombre de la actividad"&amp;" · ","")&amp;IF(AND($V273="Sub",N($U273)=0),"Subactividad sin macroactividad arriba"&amp;" · ","")&amp;IF($AM273="","Sin fecha de inicio"&amp;" · ","")&amp;IF($AN273="","Sin fecha límite"&amp;" · ","")&amp;IF(AND(LEFT($C273,11)="[Jefatura] ",N($AL273)=0),"No se encuentra en la hoja de la jefatura (elíjala de nuevo en la lista)"&amp;" · ","")&amp;IF(OR(AND($E273&lt;&gt;"",NOT(ISNUMBER($E273))),AND($F273&lt;&gt;"",NOT(ISNUMBER($F273))),AND($G273&lt;&gt;"",NOT(ISNUMBER($G273)))),"Fecha no válida"&amp;" · ","")&amp;IF(AND(ISNUMBER($AM273),ISNUMBER($AN273),$AM273&gt;$AN273),"Inicio posterior a fecha límite"&amp;" · ","")&amp;IF(AND($V273="Macro",$H273&lt;&gt;"",OR(NOT(ISNUMBER($H273)),$H273&lt;0,$H273&gt;1)),"Peso fuera de rango"&amp;" · ","")&amp;IF(AND($V273="Sub",$H273&lt;&gt;""),"Las subactividades no llevan peso (valen igual dentro de su macroactividad)"&amp;" · ","")&amp;IF(AND(N($W273)&gt;0,COUNT($I273:$L273)&gt;0),"Con subactividades: deje vacías las semanas (se calculan solas)"&amp;" · ","")&amp;IF((COUNTIF($I273:$L273,"&gt;1")+COUNTIF($I273:$L273,"&lt;0")+COUNTA($I273:$L273)-COUNT($I273:$L273))&gt;0,"Avance fuera de rango 0-100%"&amp;" · ","")&amp;IF(OR(AND($J273&lt;&gt;"",$J273&lt;$I273),AND($K273&lt;&gt;"",$K273&lt;MAX($I273:$J273)),AND($L273&lt;&gt;"",$L273&lt;MAX($I273:$K273))),"Avance semanal decreciente"&amp;" · ","")&amp;IF(AND(ISNUMBER($AN273),$AN273&lt;FechaRef,IF($V273="Sub",N($X273),N($M273))&lt;1),"Vencida"&amp;" · ","")&amp;IF(AND(ObsObligatoria="Sí",ISNUMBER($AN273),$AN273&lt;FechaRef,IF($V273="Sub",N($X273),N($M273))&lt;1,$Q273=""),"Vencida sin observación"&amp;" · ",""))="","✔ OK","⚠ "&amp;LEFT(IF($C273="","Falta el nombre de la actividad"&amp;" · ","")&amp;IF(AND($V273="Sub",N($U273)=0),"Subactividad sin macroactividad arriba"&amp;" · ","")&amp;IF($AM273="","Sin fecha de inicio"&amp;" · ","")&amp;IF($AN273="","Sin fecha límite"&amp;" · ","")&amp;IF(AND(LEFT($C273,11)="[Jefatura] ",N($AL273)=0),"No se encuentra en la hoja de la jefatura (elíjala de nuevo en la lista)"&amp;" · ","")&amp;IF(OR(AND($E273&lt;&gt;"",NOT(ISNUMBER($E273))),AND($F273&lt;&gt;"",NOT(ISNUMBER($F273))),AND($G273&lt;&gt;"",NOT(ISNUMBER($G273)))),"Fecha no válida"&amp;" · ","")&amp;IF(AND(ISNUMBER($AM273),ISNUMBER($AN273),$AM273&gt;$AN273),"Inicio posterior a fecha límite"&amp;" · ","")&amp;IF(AND($V273="Macro",$H273&lt;&gt;"",OR(NOT(ISNUMBER($H273)),$H273&lt;0,$H273&gt;1)),"Peso fuera de rango"&amp;" · ","")&amp;IF(AND($V273="Sub",$H273&lt;&gt;""),"Las subactividades no llevan peso (valen igual dentro de su macroactividad)"&amp;" · ","")&amp;IF(AND(N($W273)&gt;0,COUNT($I273:$L273)&gt;0),"Con subactividades: deje vacías las semanas (se calculan solas)"&amp;" · ","")&amp;IF((COUNTIF($I273:$L273,"&gt;1")+COUNTIF($I273:$L273,"&lt;0")+COUNTA($I273:$L273)-COUNT($I273:$L273))&gt;0,"Avance fuera de rango 0-100%"&amp;" · ","")&amp;IF(OR(AND($J273&lt;&gt;"",$J273&lt;$I273),AND($K273&lt;&gt;"",$K273&lt;MAX($I273:$J273)),AND($L273&lt;&gt;"",$L273&lt;MAX($I273:$K273))),"Avance semanal decreciente"&amp;" · ","")&amp;IF(AND(ISNUMBER($AN273),$AN273&lt;FechaRef,IF($V273="Sub",N($X273),N($M273))&lt;1),"Vencida"&amp;" · ","")&amp;IF(AND(ObsObligatoria="Sí",ISNUMBER($AN273),$AN273&lt;FechaRef,IF($V273="Sub",N($X273),N($M273))&lt;1,$Q273=""),"Vencida sin observación"&amp;" · ",""),LEN(IF($C273="","Falta el nombre de la actividad"&amp;" · ","")&amp;IF(AND($V273="Sub",N($U273)=0),"Subactividad sin macroactividad arriba"&amp;" · ","")&amp;IF($AM273="","Sin fecha de inicio"&amp;" · ","")&amp;IF($AN273="","Sin fecha límite"&amp;" · ","")&amp;IF(AND(LEFT($C273,11)="[Jefatura] ",N($AL273)=0),"No se encuentra en la hoja de la jefatura (elíjala de nuevo en la lista)"&amp;" · ","")&amp;IF(OR(AND($E273&lt;&gt;"",NOT(ISNUMBER($E273))),AND($F273&lt;&gt;"",NOT(ISNUMBER($F273))),AND($G273&lt;&gt;"",NOT(ISNUMBER($G273)))),"Fecha no válida"&amp;" · ","")&amp;IF(AND(ISNUMBER($AM273),ISNUMBER($AN273),$AM273&gt;$AN273),"Inicio posterior a fecha límite"&amp;" · ","")&amp;IF(AND($V273="Macro",$H273&lt;&gt;"",OR(NOT(ISNUMBER($H273)),$H273&lt;0,$H273&gt;1)),"Peso fuera de rango"&amp;" · ","")&amp;IF(AND($V273="Sub",$H273&lt;&gt;""),"Las subactividades no llevan peso (valen igual dentro de su macroactividad)"&amp;" · ","")&amp;IF(AND(N($W273)&gt;0,COUNT($I273:$L273)&gt;0),"Con subactividades: deje vacías las semanas (se calculan solas)"&amp;" · ","")&amp;IF((COUNTIF($I273:$L273,"&gt;1")+COUNTIF($I273:$L273,"&lt;0")+COUNTA($I273:$L273)-COUNT($I273:$L273))&gt;0,"Avance fuera de rango 0-100%"&amp;" · ","")&amp;IF(OR(AND($J273&lt;&gt;"",$J273&lt;$I273),AND($K273&lt;&gt;"",$K273&lt;MAX($I273:$J273)),AND($L273&lt;&gt;"",$L273&lt;MAX($I273:$K273))),"Avance semanal decreciente"&amp;" · ","")&amp;IF(AND(ISNUMBER($AN273),$AN273&lt;FechaRef,IF($V273="Sub",N($X273),N($M273))&lt;1),"Vencida"&amp;" · ","")&amp;IF(AND(ObsObligatoria="Sí",ISNUMBER($AN273),$AN273&lt;FechaRef,IF($V273="Sub",N($X273),N($M273))&lt;1,$Q273=""),"Vencida sin observación"&amp;" · ",""))-3)))</f>
        <v/>
      </c>
      <c r="S273" s="64">
        <f>IF(NOT((COUNTA($B273:$D273)+COUNTA($G273:$L273)+COUNTA($Q273))&gt;0),"",IF(AND($V273="Sub",N($U273)&gt;0),IF(ISNUMBER(INDEX($AM$5:$AM$1000,$U273-4)),DATE(YEAR(INDEX($AM$5:$AM$1000,$U273-4)),MONTH(INDEX($AM$5:$AM$1000,$U273-4)),1),IF(ISNUMBER(INDEX($AN$5:$AN$1000,$U273-4)),DATE(YEAR(INDEX($AN$5:$AN$1000,$U273-4)),MONTH(INDEX($AN$5:$AN$1000,$U273-4)),1),MesCiclo)),IF(ISNUMBER($AM273),DATE(YEAR($AM273),MONTH($AM273),1),IF(ISNUMBER($AN273),DATE(YEAR($AN273),MONTH($AN273),1),MesCiclo))))</f>
        <v/>
      </c>
      <c r="T273" s="62">
        <f>IF(OR($S273="",$S273&lt;&gt;MesCiclo,$V273&lt;&gt;"Macro"),"",COUNTIFS($S$5:$S273,MesCiclo,$V$5:$V273,"Macro"))</f>
        <v/>
      </c>
      <c r="U273" s="62">
        <f>IF($V273="","",IF($V273="Macro",ROW(),IFERROR(LOOKUP(2,1/($V$5:$V273="Macro"),ROW($V$5:$V273)),0)))</f>
        <v/>
      </c>
      <c r="V273" s="62">
        <f>IF(NOT((COUNTA($B273:$D273)+COUNTA($G273:$L273)+COUNTA($Q273))&gt;0),"",IF($B273="Subactividad","Sub","Macro"))</f>
        <v/>
      </c>
      <c r="W273" s="62">
        <f>IF($V273="Macro",COUNTIFS($U$5:$U$1000,ROW(),$V$5:$V$1000,"Sub"),"")</f>
        <v/>
      </c>
      <c r="X273" s="62">
        <f>IF($V273="","",IF(ISNUMBER($G273),1,IFERROR(LOOKUP(2,1/($I273:$L273&lt;&gt;""),$I273:$L273),0)))</f>
        <v/>
      </c>
      <c r="Y273" s="62">
        <f>IF($V273="","",IF(AND(ISNUMBER($G273),$G273&lt;=IF($S273=MesCiclo,InicioCiclo,$S273+MOD(2-WEEKDAY($S273),7))+6),1,IF(ISNUMBER($I273),$I273,0)))</f>
        <v/>
      </c>
      <c r="Z273" s="62">
        <f>IF($V273="","",IF(AND(ISNUMBER($G273),$G273&lt;=IF($S273=MesCiclo,InicioCiclo,$S273+MOD(2-WEEKDAY($S273),7))+13),1,IF(ISNUMBER($J273),$J273,$Y273)))</f>
        <v/>
      </c>
      <c r="AA273" s="62">
        <f>IF($V273="","",IF(AND(ISNUMBER($G273),$G273&lt;=IF($S273=MesCiclo,InicioCiclo,$S273+MOD(2-WEEKDAY($S273),7))+20),1,IF(ISNUMBER($K273),$K273,$Z273)))</f>
        <v/>
      </c>
      <c r="AB273" s="62">
        <f>IF($V273="","",IF(AND(ISNUMBER($G273),$G273&lt;=IF($S273=MesCiclo,InicioCiclo,$S273+MOD(2-WEEKDAY($S273),7))+27),1,IF(ISNUMBER($L273),$L273,$AA273)))</f>
        <v/>
      </c>
      <c r="AC273" s="62">
        <f>IF($V273="","",IF(AND(ISNUMBER($G273),$G273&lt;=IF($S273=MesCiclo,InicioCiclo,$S273+MOD(2-WEEKDAY($S273),7))+6),1,IF(N($W273)&gt;0,AVERAGEIFS($Y$5:$Y$1000,$U$5:$U$1000,ROW(),$V$5:$V$1000,"Sub"),$Y273)))</f>
        <v/>
      </c>
      <c r="AD273" s="62">
        <f>IF($V273="","",IF(AND(ISNUMBER($G273),$G273&lt;=IF($S273=MesCiclo,InicioCiclo,$S273+MOD(2-WEEKDAY($S273),7))+13),1,IF(N($W273)&gt;0,AVERAGEIFS($Z$5:$Z$1000,$U$5:$U$1000,ROW(),$V$5:$V$1000,"Sub"),$Z273)))</f>
        <v/>
      </c>
      <c r="AE273" s="62">
        <f>IF($V273="","",IF(AND(ISNUMBER($G273),$G273&lt;=IF($S273=MesCiclo,InicioCiclo,$S273+MOD(2-WEEKDAY($S273),7))+20),1,IF(N($W273)&gt;0,AVERAGEIFS($AA$5:$AA$1000,$U$5:$U$1000,ROW(),$V$5:$V$1000,"Sub"),$AA273)))</f>
        <v/>
      </c>
      <c r="AF273" s="62">
        <f>IF($V273="","",IF(AND(ISNUMBER($G273),$G273&lt;=IF($S273=MesCiclo,InicioCiclo,$S273+MOD(2-WEEKDAY($S273),7))+27),1,IF(N($W273)&gt;0,AVERAGEIFS($AB$5:$AB$1000,$U$5:$U$1000,ROW(),$V$5:$V$1000,"Sub"),$AB273)))</f>
        <v/>
      </c>
      <c r="AG273" s="62">
        <f>IF($V273&lt;&gt;"Macro","",IF(COUNTIFS($S$5:$S$1000,$S273,$V$5:$V$1000,"Macro",$H$5:$H$1000,"&gt;0")=0,1/COUNTIFS($S$5:$S$1000,$S273,$V$5:$V$1000,"Macro"),IF(AND(ISNUMBER($H273),N($H273)&gt;0),$H273,SUMIFS($H$5:$H$1000,$S$5:$S$1000,$S273,$V$5:$V$1000,"Macro")/COUNTIFS($S$5:$S$1000,$S273,$V$5:$V$1000,"Macro",$H$5:$H$1000,"&gt;0"))/(COUNTIFS($S$5:$S$1000,$S273,$V$5:$V$1000,"Macro")*SUMIFS($H$5:$H$1000,$S$5:$S$1000,$S273,$V$5:$V$1000,"Macro")/COUNTIFS($S$5:$S$1000,$S273,$V$5:$V$1000,"Macro",$H$5:$H$1000,"&gt;0"))))</f>
        <v/>
      </c>
      <c r="AH273" s="62" t="n"/>
      <c r="AI273" s="62" t="n"/>
      <c r="AJ273" s="62" t="n"/>
      <c r="AK273" s="62" t="n"/>
      <c r="AL273" s="62">
        <f>IF(LEFT($C273,11)="[Jefatura] ",IFERROR(MATCH("Riesgo Financiero|"&amp;MID($C273,12,500),rDname_ADM,0),0),"")</f>
        <v/>
      </c>
      <c r="AM273" s="62">
        <f>IF(N($AL273)&gt;0,INDEX(rIni_ADM,$AL273),IF(ISNUMBER($E273),$E273,""))</f>
        <v/>
      </c>
      <c r="AN273" s="62">
        <f>IF(N($AL273)&gt;0,INDEX(rLim_ADM,$AL273),IF(ISNUMBER($F273),$F273,""))</f>
        <v/>
      </c>
    </row>
    <row r="274">
      <c r="A274" s="56">
        <f>IF(NOT((COUNTA($B274:$D274)+COUNTA($G274:$L274)+COUNTA($Q274))&gt;0),"",IF($V274="Macro",COUNTIFS($V$5:$V274,"Macro",$S$5:$S274,$S274),IF(N($U274)=0,"?",COUNTIFS(INDEX($V$5:$V$1000,1):INDEX($V$5:$V$1000,$U274-4),"Macro",INDEX($S$5:$S$1000,1):INDEX($S$5:$S$1000,$U274-4),INDEX($S$5:$S$1000,$U274-4))&amp;"."&amp;COUNTIFS($U$5:$U274,$U274,$V$5:$V274,"Sub"))))</f>
        <v/>
      </c>
      <c r="B274" s="57" t="n"/>
      <c r="C274" s="58" t="n"/>
      <c r="D274" s="58" t="n"/>
      <c r="E274" s="59">
        <f>IF(N($AL274)&gt;0,INDEX(rIni_ADM,$AL274),"")</f>
        <v/>
      </c>
      <c r="F274" s="59">
        <f>IF(N($AL274)&gt;0,INDEX(rLim_ADM,$AL274),"")</f>
        <v/>
      </c>
      <c r="G274" s="59" t="n"/>
      <c r="H274" s="60" t="n"/>
      <c r="I274" s="60" t="n"/>
      <c r="J274" s="60" t="n"/>
      <c r="K274" s="60" t="n"/>
      <c r="L274" s="60" t="n"/>
      <c r="M274" s="61">
        <f>IF(NOT((COUNTA($B274:$D274)+COUNTA($G274:$L274)+COUNTA($Q274))&gt;0),"",IF($V274="Sub",IFERROR($X274/INDEX($W$5:$W$1000,$U274-4),""),IF(ISNUMBER($G274),1,IF(N($W274)&gt;0,AVERAGEIFS($X$5:$X$1000,$U$5:$U$1000,ROW(),$V$5:$V$1000,"Sub"),$X274))))</f>
        <v/>
      </c>
      <c r="N274" s="56">
        <f>IF(OR($M274="",$V274="Sub"),"",IF($M274&gt;=1,"Completado",IF($M274&gt;0,"En curso","Pendiente")))</f>
        <v/>
      </c>
      <c r="O274" s="56">
        <f>IF(OR(NOT((COUNTA($B274:$D274)+COUNTA($G274:$L274)+COUNTA($Q274))&gt;0),$V274="Sub"),"",IF(ISNUMBER($G274),IF(AND(ISNUMBER($AN274),$G274&gt;$AN274),"Cumplida con "&amp;($G274-$AN274)&amp;IF($G274-$AN274=1," día"," días")&amp;" de retraso","Cumplida"),IF(N($M274)&gt;=1,"Cumplida",IF(NOT(ISNUMBER($AN274)),"Sin fecha límite",IF($AN274&lt;FechaRef,"Vencida hace "&amp;(FechaRef-$AN274)&amp;IF(FechaRef-$AN274=1," día"," días"),IF($AN274=FechaRef,"Vence hoy",IF($AN274-FechaRef&lt;=DiasAlerta,"Vence en "&amp;($AN274-FechaRef)&amp;IF($AN274-FechaRef=1," día"," días"),"En plazo")))))))</f>
        <v/>
      </c>
      <c r="P274" s="62" t="n"/>
      <c r="Q274" s="58" t="n"/>
      <c r="R274" s="63">
        <f>IF(NOT((COUNTA($B274:$D274)+COUNTA($G274:$L274)+COUNTA($Q274))&gt;0),"",IF((IF($C274="","Falta el nombre de la actividad"&amp;" · ","")&amp;IF(AND($V274="Sub",N($U274)=0),"Subactividad sin macroactividad arriba"&amp;" · ","")&amp;IF($AM274="","Sin fecha de inicio"&amp;" · ","")&amp;IF($AN274="","Sin fecha límite"&amp;" · ","")&amp;IF(AND(LEFT($C274,11)="[Jefatura] ",N($AL274)=0),"No se encuentra en la hoja de la jefatura (elíjala de nuevo en la lista)"&amp;" · ","")&amp;IF(OR(AND($E274&lt;&gt;"",NOT(ISNUMBER($E274))),AND($F274&lt;&gt;"",NOT(ISNUMBER($F274))),AND($G274&lt;&gt;"",NOT(ISNUMBER($G274)))),"Fecha no válida"&amp;" · ","")&amp;IF(AND(ISNUMBER($AM274),ISNUMBER($AN274),$AM274&gt;$AN274),"Inicio posterior a fecha límite"&amp;" · ","")&amp;IF(AND($V274="Macro",$H274&lt;&gt;"",OR(NOT(ISNUMBER($H274)),$H274&lt;0,$H274&gt;1)),"Peso fuera de rango"&amp;" · ","")&amp;IF(AND($V274="Sub",$H274&lt;&gt;""),"Las subactividades no llevan peso (valen igual dentro de su macroactividad)"&amp;" · ","")&amp;IF(AND(N($W274)&gt;0,COUNT($I274:$L274)&gt;0),"Con subactividades: deje vacías las semanas (se calculan solas)"&amp;" · ","")&amp;IF((COUNTIF($I274:$L274,"&gt;1")+COUNTIF($I274:$L274,"&lt;0")+COUNTA($I274:$L274)-COUNT($I274:$L274))&gt;0,"Avance fuera de rango 0-100%"&amp;" · ","")&amp;IF(OR(AND($J274&lt;&gt;"",$J274&lt;$I274),AND($K274&lt;&gt;"",$K274&lt;MAX($I274:$J274)),AND($L274&lt;&gt;"",$L274&lt;MAX($I274:$K274))),"Avance semanal decreciente"&amp;" · ","")&amp;IF(AND(ISNUMBER($AN274),$AN274&lt;FechaRef,IF($V274="Sub",N($X274),N($M274))&lt;1),"Vencida"&amp;" · ","")&amp;IF(AND(ObsObligatoria="Sí",ISNUMBER($AN274),$AN274&lt;FechaRef,IF($V274="Sub",N($X274),N($M274))&lt;1,$Q274=""),"Vencida sin observación"&amp;" · ",""))="","✔ OK","⚠ "&amp;LEFT(IF($C274="","Falta el nombre de la actividad"&amp;" · ","")&amp;IF(AND($V274="Sub",N($U274)=0),"Subactividad sin macroactividad arriba"&amp;" · ","")&amp;IF($AM274="","Sin fecha de inicio"&amp;" · ","")&amp;IF($AN274="","Sin fecha límite"&amp;" · ","")&amp;IF(AND(LEFT($C274,11)="[Jefatura] ",N($AL274)=0),"No se encuentra en la hoja de la jefatura (elíjala de nuevo en la lista)"&amp;" · ","")&amp;IF(OR(AND($E274&lt;&gt;"",NOT(ISNUMBER($E274))),AND($F274&lt;&gt;"",NOT(ISNUMBER($F274))),AND($G274&lt;&gt;"",NOT(ISNUMBER($G274)))),"Fecha no válida"&amp;" · ","")&amp;IF(AND(ISNUMBER($AM274),ISNUMBER($AN274),$AM274&gt;$AN274),"Inicio posterior a fecha límite"&amp;" · ","")&amp;IF(AND($V274="Macro",$H274&lt;&gt;"",OR(NOT(ISNUMBER($H274)),$H274&lt;0,$H274&gt;1)),"Peso fuera de rango"&amp;" · ","")&amp;IF(AND($V274="Sub",$H274&lt;&gt;""),"Las subactividades no llevan peso (valen igual dentro de su macroactividad)"&amp;" · ","")&amp;IF(AND(N($W274)&gt;0,COUNT($I274:$L274)&gt;0),"Con subactividades: deje vacías las semanas (se calculan solas)"&amp;" · ","")&amp;IF((COUNTIF($I274:$L274,"&gt;1")+COUNTIF($I274:$L274,"&lt;0")+COUNTA($I274:$L274)-COUNT($I274:$L274))&gt;0,"Avance fuera de rango 0-100%"&amp;" · ","")&amp;IF(OR(AND($J274&lt;&gt;"",$J274&lt;$I274),AND($K274&lt;&gt;"",$K274&lt;MAX($I274:$J274)),AND($L274&lt;&gt;"",$L274&lt;MAX($I274:$K274))),"Avance semanal decreciente"&amp;" · ","")&amp;IF(AND(ISNUMBER($AN274),$AN274&lt;FechaRef,IF($V274="Sub",N($X274),N($M274))&lt;1),"Vencida"&amp;" · ","")&amp;IF(AND(ObsObligatoria="Sí",ISNUMBER($AN274),$AN274&lt;FechaRef,IF($V274="Sub",N($X274),N($M274))&lt;1,$Q274=""),"Vencida sin observación"&amp;" · ",""),LEN(IF($C274="","Falta el nombre de la actividad"&amp;" · ","")&amp;IF(AND($V274="Sub",N($U274)=0),"Subactividad sin macroactividad arriba"&amp;" · ","")&amp;IF($AM274="","Sin fecha de inicio"&amp;" · ","")&amp;IF($AN274="","Sin fecha límite"&amp;" · ","")&amp;IF(AND(LEFT($C274,11)="[Jefatura] ",N($AL274)=0),"No se encuentra en la hoja de la jefatura (elíjala de nuevo en la lista)"&amp;" · ","")&amp;IF(OR(AND($E274&lt;&gt;"",NOT(ISNUMBER($E274))),AND($F274&lt;&gt;"",NOT(ISNUMBER($F274))),AND($G274&lt;&gt;"",NOT(ISNUMBER($G274)))),"Fecha no válida"&amp;" · ","")&amp;IF(AND(ISNUMBER($AM274),ISNUMBER($AN274),$AM274&gt;$AN274),"Inicio posterior a fecha límite"&amp;" · ","")&amp;IF(AND($V274="Macro",$H274&lt;&gt;"",OR(NOT(ISNUMBER($H274)),$H274&lt;0,$H274&gt;1)),"Peso fuera de rango"&amp;" · ","")&amp;IF(AND($V274="Sub",$H274&lt;&gt;""),"Las subactividades no llevan peso (valen igual dentro de su macroactividad)"&amp;" · ","")&amp;IF(AND(N($W274)&gt;0,COUNT($I274:$L274)&gt;0),"Con subactividades: deje vacías las semanas (se calculan solas)"&amp;" · ","")&amp;IF((COUNTIF($I274:$L274,"&gt;1")+COUNTIF($I274:$L274,"&lt;0")+COUNTA($I274:$L274)-COUNT($I274:$L274))&gt;0,"Avance fuera de rango 0-100%"&amp;" · ","")&amp;IF(OR(AND($J274&lt;&gt;"",$J274&lt;$I274),AND($K274&lt;&gt;"",$K274&lt;MAX($I274:$J274)),AND($L274&lt;&gt;"",$L274&lt;MAX($I274:$K274))),"Avance semanal decreciente"&amp;" · ","")&amp;IF(AND(ISNUMBER($AN274),$AN274&lt;FechaRef,IF($V274="Sub",N($X274),N($M274))&lt;1),"Vencida"&amp;" · ","")&amp;IF(AND(ObsObligatoria="Sí",ISNUMBER($AN274),$AN274&lt;FechaRef,IF($V274="Sub",N($X274),N($M274))&lt;1,$Q274=""),"Vencida sin observación"&amp;" · ",""))-3)))</f>
        <v/>
      </c>
      <c r="S274" s="64">
        <f>IF(NOT((COUNTA($B274:$D274)+COUNTA($G274:$L274)+COUNTA($Q274))&gt;0),"",IF(AND($V274="Sub",N($U274)&gt;0),IF(ISNUMBER(INDEX($AM$5:$AM$1000,$U274-4)),DATE(YEAR(INDEX($AM$5:$AM$1000,$U274-4)),MONTH(INDEX($AM$5:$AM$1000,$U274-4)),1),IF(ISNUMBER(INDEX($AN$5:$AN$1000,$U274-4)),DATE(YEAR(INDEX($AN$5:$AN$1000,$U274-4)),MONTH(INDEX($AN$5:$AN$1000,$U274-4)),1),MesCiclo)),IF(ISNUMBER($AM274),DATE(YEAR($AM274),MONTH($AM274),1),IF(ISNUMBER($AN274),DATE(YEAR($AN274),MONTH($AN274),1),MesCiclo))))</f>
        <v/>
      </c>
      <c r="T274" s="62">
        <f>IF(OR($S274="",$S274&lt;&gt;MesCiclo,$V274&lt;&gt;"Macro"),"",COUNTIFS($S$5:$S274,MesCiclo,$V$5:$V274,"Macro"))</f>
        <v/>
      </c>
      <c r="U274" s="62">
        <f>IF($V274="","",IF($V274="Macro",ROW(),IFERROR(LOOKUP(2,1/($V$5:$V274="Macro"),ROW($V$5:$V274)),0)))</f>
        <v/>
      </c>
      <c r="V274" s="62">
        <f>IF(NOT((COUNTA($B274:$D274)+COUNTA($G274:$L274)+COUNTA($Q274))&gt;0),"",IF($B274="Subactividad","Sub","Macro"))</f>
        <v/>
      </c>
      <c r="W274" s="62">
        <f>IF($V274="Macro",COUNTIFS($U$5:$U$1000,ROW(),$V$5:$V$1000,"Sub"),"")</f>
        <v/>
      </c>
      <c r="X274" s="62">
        <f>IF($V274="","",IF(ISNUMBER($G274),1,IFERROR(LOOKUP(2,1/($I274:$L274&lt;&gt;""),$I274:$L274),0)))</f>
        <v/>
      </c>
      <c r="Y274" s="62">
        <f>IF($V274="","",IF(AND(ISNUMBER($G274),$G274&lt;=IF($S274=MesCiclo,InicioCiclo,$S274+MOD(2-WEEKDAY($S274),7))+6),1,IF(ISNUMBER($I274),$I274,0)))</f>
        <v/>
      </c>
      <c r="Z274" s="62">
        <f>IF($V274="","",IF(AND(ISNUMBER($G274),$G274&lt;=IF($S274=MesCiclo,InicioCiclo,$S274+MOD(2-WEEKDAY($S274),7))+13),1,IF(ISNUMBER($J274),$J274,$Y274)))</f>
        <v/>
      </c>
      <c r="AA274" s="62">
        <f>IF($V274="","",IF(AND(ISNUMBER($G274),$G274&lt;=IF($S274=MesCiclo,InicioCiclo,$S274+MOD(2-WEEKDAY($S274),7))+20),1,IF(ISNUMBER($K274),$K274,$Z274)))</f>
        <v/>
      </c>
      <c r="AB274" s="62">
        <f>IF($V274="","",IF(AND(ISNUMBER($G274),$G274&lt;=IF($S274=MesCiclo,InicioCiclo,$S274+MOD(2-WEEKDAY($S274),7))+27),1,IF(ISNUMBER($L274),$L274,$AA274)))</f>
        <v/>
      </c>
      <c r="AC274" s="62">
        <f>IF($V274="","",IF(AND(ISNUMBER($G274),$G274&lt;=IF($S274=MesCiclo,InicioCiclo,$S274+MOD(2-WEEKDAY($S274),7))+6),1,IF(N($W274)&gt;0,AVERAGEIFS($Y$5:$Y$1000,$U$5:$U$1000,ROW(),$V$5:$V$1000,"Sub"),$Y274)))</f>
        <v/>
      </c>
      <c r="AD274" s="62">
        <f>IF($V274="","",IF(AND(ISNUMBER($G274),$G274&lt;=IF($S274=MesCiclo,InicioCiclo,$S274+MOD(2-WEEKDAY($S274),7))+13),1,IF(N($W274)&gt;0,AVERAGEIFS($Z$5:$Z$1000,$U$5:$U$1000,ROW(),$V$5:$V$1000,"Sub"),$Z274)))</f>
        <v/>
      </c>
      <c r="AE274" s="62">
        <f>IF($V274="","",IF(AND(ISNUMBER($G274),$G274&lt;=IF($S274=MesCiclo,InicioCiclo,$S274+MOD(2-WEEKDAY($S274),7))+20),1,IF(N($W274)&gt;0,AVERAGEIFS($AA$5:$AA$1000,$U$5:$U$1000,ROW(),$V$5:$V$1000,"Sub"),$AA274)))</f>
        <v/>
      </c>
      <c r="AF274" s="62">
        <f>IF($V274="","",IF(AND(ISNUMBER($G274),$G274&lt;=IF($S274=MesCiclo,InicioCiclo,$S274+MOD(2-WEEKDAY($S274),7))+27),1,IF(N($W274)&gt;0,AVERAGEIFS($AB$5:$AB$1000,$U$5:$U$1000,ROW(),$V$5:$V$1000,"Sub"),$AB274)))</f>
        <v/>
      </c>
      <c r="AG274" s="62">
        <f>IF($V274&lt;&gt;"Macro","",IF(COUNTIFS($S$5:$S$1000,$S274,$V$5:$V$1000,"Macro",$H$5:$H$1000,"&gt;0")=0,1/COUNTIFS($S$5:$S$1000,$S274,$V$5:$V$1000,"Macro"),IF(AND(ISNUMBER($H274),N($H274)&gt;0),$H274,SUMIFS($H$5:$H$1000,$S$5:$S$1000,$S274,$V$5:$V$1000,"Macro")/COUNTIFS($S$5:$S$1000,$S274,$V$5:$V$1000,"Macro",$H$5:$H$1000,"&gt;0"))/(COUNTIFS($S$5:$S$1000,$S274,$V$5:$V$1000,"Macro")*SUMIFS($H$5:$H$1000,$S$5:$S$1000,$S274,$V$5:$V$1000,"Macro")/COUNTIFS($S$5:$S$1000,$S274,$V$5:$V$1000,"Macro",$H$5:$H$1000,"&gt;0"))))</f>
        <v/>
      </c>
      <c r="AH274" s="62" t="n"/>
      <c r="AI274" s="62" t="n"/>
      <c r="AJ274" s="62" t="n"/>
      <c r="AK274" s="62" t="n"/>
      <c r="AL274" s="62">
        <f>IF(LEFT($C274,11)="[Jefatura] ",IFERROR(MATCH("Riesgo Financiero|"&amp;MID($C274,12,500),rDname_ADM,0),0),"")</f>
        <v/>
      </c>
      <c r="AM274" s="62">
        <f>IF(N($AL274)&gt;0,INDEX(rIni_ADM,$AL274),IF(ISNUMBER($E274),$E274,""))</f>
        <v/>
      </c>
      <c r="AN274" s="62">
        <f>IF(N($AL274)&gt;0,INDEX(rLim_ADM,$AL274),IF(ISNUMBER($F274),$F274,""))</f>
        <v/>
      </c>
    </row>
    <row r="275">
      <c r="A275" s="56">
        <f>IF(NOT((COUNTA($B275:$D275)+COUNTA($G275:$L275)+COUNTA($Q275))&gt;0),"",IF($V275="Macro",COUNTIFS($V$5:$V275,"Macro",$S$5:$S275,$S275),IF(N($U275)=0,"?",COUNTIFS(INDEX($V$5:$V$1000,1):INDEX($V$5:$V$1000,$U275-4),"Macro",INDEX($S$5:$S$1000,1):INDEX($S$5:$S$1000,$U275-4),INDEX($S$5:$S$1000,$U275-4))&amp;"."&amp;COUNTIFS($U$5:$U275,$U275,$V$5:$V275,"Sub"))))</f>
        <v/>
      </c>
      <c r="B275" s="57" t="n"/>
      <c r="C275" s="58" t="n"/>
      <c r="D275" s="58" t="n"/>
      <c r="E275" s="59">
        <f>IF(N($AL275)&gt;0,INDEX(rIni_ADM,$AL275),"")</f>
        <v/>
      </c>
      <c r="F275" s="59">
        <f>IF(N($AL275)&gt;0,INDEX(rLim_ADM,$AL275),"")</f>
        <v/>
      </c>
      <c r="G275" s="59" t="n"/>
      <c r="H275" s="60" t="n"/>
      <c r="I275" s="60" t="n"/>
      <c r="J275" s="60" t="n"/>
      <c r="K275" s="60" t="n"/>
      <c r="L275" s="60" t="n"/>
      <c r="M275" s="61">
        <f>IF(NOT((COUNTA($B275:$D275)+COUNTA($G275:$L275)+COUNTA($Q275))&gt;0),"",IF($V275="Sub",IFERROR($X275/INDEX($W$5:$W$1000,$U275-4),""),IF(ISNUMBER($G275),1,IF(N($W275)&gt;0,AVERAGEIFS($X$5:$X$1000,$U$5:$U$1000,ROW(),$V$5:$V$1000,"Sub"),$X275))))</f>
        <v/>
      </c>
      <c r="N275" s="56">
        <f>IF(OR($M275="",$V275="Sub"),"",IF($M275&gt;=1,"Completado",IF($M275&gt;0,"En curso","Pendiente")))</f>
        <v/>
      </c>
      <c r="O275" s="56">
        <f>IF(OR(NOT((COUNTA($B275:$D275)+COUNTA($G275:$L275)+COUNTA($Q275))&gt;0),$V275="Sub"),"",IF(ISNUMBER($G275),IF(AND(ISNUMBER($AN275),$G275&gt;$AN275),"Cumplida con "&amp;($G275-$AN275)&amp;IF($G275-$AN275=1," día"," días")&amp;" de retraso","Cumplida"),IF(N($M275)&gt;=1,"Cumplida",IF(NOT(ISNUMBER($AN275)),"Sin fecha límite",IF($AN275&lt;FechaRef,"Vencida hace "&amp;(FechaRef-$AN275)&amp;IF(FechaRef-$AN275=1," día"," días"),IF($AN275=FechaRef,"Vence hoy",IF($AN275-FechaRef&lt;=DiasAlerta,"Vence en "&amp;($AN275-FechaRef)&amp;IF($AN275-FechaRef=1," día"," días"),"En plazo")))))))</f>
        <v/>
      </c>
      <c r="P275" s="62" t="n"/>
      <c r="Q275" s="58" t="n"/>
      <c r="R275" s="63">
        <f>IF(NOT((COUNTA($B275:$D275)+COUNTA($G275:$L275)+COUNTA($Q275))&gt;0),"",IF((IF($C275="","Falta el nombre de la actividad"&amp;" · ","")&amp;IF(AND($V275="Sub",N($U275)=0),"Subactividad sin macroactividad arriba"&amp;" · ","")&amp;IF($AM275="","Sin fecha de inicio"&amp;" · ","")&amp;IF($AN275="","Sin fecha límite"&amp;" · ","")&amp;IF(AND(LEFT($C275,11)="[Jefatura] ",N($AL275)=0),"No se encuentra en la hoja de la jefatura (elíjala de nuevo en la lista)"&amp;" · ","")&amp;IF(OR(AND($E275&lt;&gt;"",NOT(ISNUMBER($E275))),AND($F275&lt;&gt;"",NOT(ISNUMBER($F275))),AND($G275&lt;&gt;"",NOT(ISNUMBER($G275)))),"Fecha no válida"&amp;" · ","")&amp;IF(AND(ISNUMBER($AM275),ISNUMBER($AN275),$AM275&gt;$AN275),"Inicio posterior a fecha límite"&amp;" · ","")&amp;IF(AND($V275="Macro",$H275&lt;&gt;"",OR(NOT(ISNUMBER($H275)),$H275&lt;0,$H275&gt;1)),"Peso fuera de rango"&amp;" · ","")&amp;IF(AND($V275="Sub",$H275&lt;&gt;""),"Las subactividades no llevan peso (valen igual dentro de su macroactividad)"&amp;" · ","")&amp;IF(AND(N($W275)&gt;0,COUNT($I275:$L275)&gt;0),"Con subactividades: deje vacías las semanas (se calculan solas)"&amp;" · ","")&amp;IF((COUNTIF($I275:$L275,"&gt;1")+COUNTIF($I275:$L275,"&lt;0")+COUNTA($I275:$L275)-COUNT($I275:$L275))&gt;0,"Avance fuera de rango 0-100%"&amp;" · ","")&amp;IF(OR(AND($J275&lt;&gt;"",$J275&lt;$I275),AND($K275&lt;&gt;"",$K275&lt;MAX($I275:$J275)),AND($L275&lt;&gt;"",$L275&lt;MAX($I275:$K275))),"Avance semanal decreciente"&amp;" · ","")&amp;IF(AND(ISNUMBER($AN275),$AN275&lt;FechaRef,IF($V275="Sub",N($X275),N($M275))&lt;1),"Vencida"&amp;" · ","")&amp;IF(AND(ObsObligatoria="Sí",ISNUMBER($AN275),$AN275&lt;FechaRef,IF($V275="Sub",N($X275),N($M275))&lt;1,$Q275=""),"Vencida sin observación"&amp;" · ",""))="","✔ OK","⚠ "&amp;LEFT(IF($C275="","Falta el nombre de la actividad"&amp;" · ","")&amp;IF(AND($V275="Sub",N($U275)=0),"Subactividad sin macroactividad arriba"&amp;" · ","")&amp;IF($AM275="","Sin fecha de inicio"&amp;" · ","")&amp;IF($AN275="","Sin fecha límite"&amp;" · ","")&amp;IF(AND(LEFT($C275,11)="[Jefatura] ",N($AL275)=0),"No se encuentra en la hoja de la jefatura (elíjala de nuevo en la lista)"&amp;" · ","")&amp;IF(OR(AND($E275&lt;&gt;"",NOT(ISNUMBER($E275))),AND($F275&lt;&gt;"",NOT(ISNUMBER($F275))),AND($G275&lt;&gt;"",NOT(ISNUMBER($G275)))),"Fecha no válida"&amp;" · ","")&amp;IF(AND(ISNUMBER($AM275),ISNUMBER($AN275),$AM275&gt;$AN275),"Inicio posterior a fecha límite"&amp;" · ","")&amp;IF(AND($V275="Macro",$H275&lt;&gt;"",OR(NOT(ISNUMBER($H275)),$H275&lt;0,$H275&gt;1)),"Peso fuera de rango"&amp;" · ","")&amp;IF(AND($V275="Sub",$H275&lt;&gt;""),"Las subactividades no llevan peso (valen igual dentro de su macroactividad)"&amp;" · ","")&amp;IF(AND(N($W275)&gt;0,COUNT($I275:$L275)&gt;0),"Con subactividades: deje vacías las semanas (se calculan solas)"&amp;" · ","")&amp;IF((COUNTIF($I275:$L275,"&gt;1")+COUNTIF($I275:$L275,"&lt;0")+COUNTA($I275:$L275)-COUNT($I275:$L275))&gt;0,"Avance fuera de rango 0-100%"&amp;" · ","")&amp;IF(OR(AND($J275&lt;&gt;"",$J275&lt;$I275),AND($K275&lt;&gt;"",$K275&lt;MAX($I275:$J275)),AND($L275&lt;&gt;"",$L275&lt;MAX($I275:$K275))),"Avance semanal decreciente"&amp;" · ","")&amp;IF(AND(ISNUMBER($AN275),$AN275&lt;FechaRef,IF($V275="Sub",N($X275),N($M275))&lt;1),"Vencida"&amp;" · ","")&amp;IF(AND(ObsObligatoria="Sí",ISNUMBER($AN275),$AN275&lt;FechaRef,IF($V275="Sub",N($X275),N($M275))&lt;1,$Q275=""),"Vencida sin observación"&amp;" · ",""),LEN(IF($C275="","Falta el nombre de la actividad"&amp;" · ","")&amp;IF(AND($V275="Sub",N($U275)=0),"Subactividad sin macroactividad arriba"&amp;" · ","")&amp;IF($AM275="","Sin fecha de inicio"&amp;" · ","")&amp;IF($AN275="","Sin fecha límite"&amp;" · ","")&amp;IF(AND(LEFT($C275,11)="[Jefatura] ",N($AL275)=0),"No se encuentra en la hoja de la jefatura (elíjala de nuevo en la lista)"&amp;" · ","")&amp;IF(OR(AND($E275&lt;&gt;"",NOT(ISNUMBER($E275))),AND($F275&lt;&gt;"",NOT(ISNUMBER($F275))),AND($G275&lt;&gt;"",NOT(ISNUMBER($G275)))),"Fecha no válida"&amp;" · ","")&amp;IF(AND(ISNUMBER($AM275),ISNUMBER($AN275),$AM275&gt;$AN275),"Inicio posterior a fecha límite"&amp;" · ","")&amp;IF(AND($V275="Macro",$H275&lt;&gt;"",OR(NOT(ISNUMBER($H275)),$H275&lt;0,$H275&gt;1)),"Peso fuera de rango"&amp;" · ","")&amp;IF(AND($V275="Sub",$H275&lt;&gt;""),"Las subactividades no llevan peso (valen igual dentro de su macroactividad)"&amp;" · ","")&amp;IF(AND(N($W275)&gt;0,COUNT($I275:$L275)&gt;0),"Con subactividades: deje vacías las semanas (se calculan solas)"&amp;" · ","")&amp;IF((COUNTIF($I275:$L275,"&gt;1")+COUNTIF($I275:$L275,"&lt;0")+COUNTA($I275:$L275)-COUNT($I275:$L275))&gt;0,"Avance fuera de rango 0-100%"&amp;" · ","")&amp;IF(OR(AND($J275&lt;&gt;"",$J275&lt;$I275),AND($K275&lt;&gt;"",$K275&lt;MAX($I275:$J275)),AND($L275&lt;&gt;"",$L275&lt;MAX($I275:$K275))),"Avance semanal decreciente"&amp;" · ","")&amp;IF(AND(ISNUMBER($AN275),$AN275&lt;FechaRef,IF($V275="Sub",N($X275),N($M275))&lt;1),"Vencida"&amp;" · ","")&amp;IF(AND(ObsObligatoria="Sí",ISNUMBER($AN275),$AN275&lt;FechaRef,IF($V275="Sub",N($X275),N($M275))&lt;1,$Q275=""),"Vencida sin observación"&amp;" · ",""))-3)))</f>
        <v/>
      </c>
      <c r="S275" s="64">
        <f>IF(NOT((COUNTA($B275:$D275)+COUNTA($G275:$L275)+COUNTA($Q275))&gt;0),"",IF(AND($V275="Sub",N($U275)&gt;0),IF(ISNUMBER(INDEX($AM$5:$AM$1000,$U275-4)),DATE(YEAR(INDEX($AM$5:$AM$1000,$U275-4)),MONTH(INDEX($AM$5:$AM$1000,$U275-4)),1),IF(ISNUMBER(INDEX($AN$5:$AN$1000,$U275-4)),DATE(YEAR(INDEX($AN$5:$AN$1000,$U275-4)),MONTH(INDEX($AN$5:$AN$1000,$U275-4)),1),MesCiclo)),IF(ISNUMBER($AM275),DATE(YEAR($AM275),MONTH($AM275),1),IF(ISNUMBER($AN275),DATE(YEAR($AN275),MONTH($AN275),1),MesCiclo))))</f>
        <v/>
      </c>
      <c r="T275" s="62">
        <f>IF(OR($S275="",$S275&lt;&gt;MesCiclo,$V275&lt;&gt;"Macro"),"",COUNTIFS($S$5:$S275,MesCiclo,$V$5:$V275,"Macro"))</f>
        <v/>
      </c>
      <c r="U275" s="62">
        <f>IF($V275="","",IF($V275="Macro",ROW(),IFERROR(LOOKUP(2,1/($V$5:$V275="Macro"),ROW($V$5:$V275)),0)))</f>
        <v/>
      </c>
      <c r="V275" s="62">
        <f>IF(NOT((COUNTA($B275:$D275)+COUNTA($G275:$L275)+COUNTA($Q275))&gt;0),"",IF($B275="Subactividad","Sub","Macro"))</f>
        <v/>
      </c>
      <c r="W275" s="62">
        <f>IF($V275="Macro",COUNTIFS($U$5:$U$1000,ROW(),$V$5:$V$1000,"Sub"),"")</f>
        <v/>
      </c>
      <c r="X275" s="62">
        <f>IF($V275="","",IF(ISNUMBER($G275),1,IFERROR(LOOKUP(2,1/($I275:$L275&lt;&gt;""),$I275:$L275),0)))</f>
        <v/>
      </c>
      <c r="Y275" s="62">
        <f>IF($V275="","",IF(AND(ISNUMBER($G275),$G275&lt;=IF($S275=MesCiclo,InicioCiclo,$S275+MOD(2-WEEKDAY($S275),7))+6),1,IF(ISNUMBER($I275),$I275,0)))</f>
        <v/>
      </c>
      <c r="Z275" s="62">
        <f>IF($V275="","",IF(AND(ISNUMBER($G275),$G275&lt;=IF($S275=MesCiclo,InicioCiclo,$S275+MOD(2-WEEKDAY($S275),7))+13),1,IF(ISNUMBER($J275),$J275,$Y275)))</f>
        <v/>
      </c>
      <c r="AA275" s="62">
        <f>IF($V275="","",IF(AND(ISNUMBER($G275),$G275&lt;=IF($S275=MesCiclo,InicioCiclo,$S275+MOD(2-WEEKDAY($S275),7))+20),1,IF(ISNUMBER($K275),$K275,$Z275)))</f>
        <v/>
      </c>
      <c r="AB275" s="62">
        <f>IF($V275="","",IF(AND(ISNUMBER($G275),$G275&lt;=IF($S275=MesCiclo,InicioCiclo,$S275+MOD(2-WEEKDAY($S275),7))+27),1,IF(ISNUMBER($L275),$L275,$AA275)))</f>
        <v/>
      </c>
      <c r="AC275" s="62">
        <f>IF($V275="","",IF(AND(ISNUMBER($G275),$G275&lt;=IF($S275=MesCiclo,InicioCiclo,$S275+MOD(2-WEEKDAY($S275),7))+6),1,IF(N($W275)&gt;0,AVERAGEIFS($Y$5:$Y$1000,$U$5:$U$1000,ROW(),$V$5:$V$1000,"Sub"),$Y275)))</f>
        <v/>
      </c>
      <c r="AD275" s="62">
        <f>IF($V275="","",IF(AND(ISNUMBER($G275),$G275&lt;=IF($S275=MesCiclo,InicioCiclo,$S275+MOD(2-WEEKDAY($S275),7))+13),1,IF(N($W275)&gt;0,AVERAGEIFS($Z$5:$Z$1000,$U$5:$U$1000,ROW(),$V$5:$V$1000,"Sub"),$Z275)))</f>
        <v/>
      </c>
      <c r="AE275" s="62">
        <f>IF($V275="","",IF(AND(ISNUMBER($G275),$G275&lt;=IF($S275=MesCiclo,InicioCiclo,$S275+MOD(2-WEEKDAY($S275),7))+20),1,IF(N($W275)&gt;0,AVERAGEIFS($AA$5:$AA$1000,$U$5:$U$1000,ROW(),$V$5:$V$1000,"Sub"),$AA275)))</f>
        <v/>
      </c>
      <c r="AF275" s="62">
        <f>IF($V275="","",IF(AND(ISNUMBER($G275),$G275&lt;=IF($S275=MesCiclo,InicioCiclo,$S275+MOD(2-WEEKDAY($S275),7))+27),1,IF(N($W275)&gt;0,AVERAGEIFS($AB$5:$AB$1000,$U$5:$U$1000,ROW(),$V$5:$V$1000,"Sub"),$AB275)))</f>
        <v/>
      </c>
      <c r="AG275" s="62">
        <f>IF($V275&lt;&gt;"Macro","",IF(COUNTIFS($S$5:$S$1000,$S275,$V$5:$V$1000,"Macro",$H$5:$H$1000,"&gt;0")=0,1/COUNTIFS($S$5:$S$1000,$S275,$V$5:$V$1000,"Macro"),IF(AND(ISNUMBER($H275),N($H275)&gt;0),$H275,SUMIFS($H$5:$H$1000,$S$5:$S$1000,$S275,$V$5:$V$1000,"Macro")/COUNTIFS($S$5:$S$1000,$S275,$V$5:$V$1000,"Macro",$H$5:$H$1000,"&gt;0"))/(COUNTIFS($S$5:$S$1000,$S275,$V$5:$V$1000,"Macro")*SUMIFS($H$5:$H$1000,$S$5:$S$1000,$S275,$V$5:$V$1000,"Macro")/COUNTIFS($S$5:$S$1000,$S275,$V$5:$V$1000,"Macro",$H$5:$H$1000,"&gt;0"))))</f>
        <v/>
      </c>
      <c r="AH275" s="62" t="n"/>
      <c r="AI275" s="62" t="n"/>
      <c r="AJ275" s="62" t="n"/>
      <c r="AK275" s="62" t="n"/>
      <c r="AL275" s="62">
        <f>IF(LEFT($C275,11)="[Jefatura] ",IFERROR(MATCH("Riesgo Financiero|"&amp;MID($C275,12,500),rDname_ADM,0),0),"")</f>
        <v/>
      </c>
      <c r="AM275" s="62">
        <f>IF(N($AL275)&gt;0,INDEX(rIni_ADM,$AL275),IF(ISNUMBER($E275),$E275,""))</f>
        <v/>
      </c>
      <c r="AN275" s="62">
        <f>IF(N($AL275)&gt;0,INDEX(rLim_ADM,$AL275),IF(ISNUMBER($F275),$F275,""))</f>
        <v/>
      </c>
    </row>
    <row r="276">
      <c r="A276" s="56">
        <f>IF(NOT((COUNTA($B276:$D276)+COUNTA($G276:$L276)+COUNTA($Q276))&gt;0),"",IF($V276="Macro",COUNTIFS($V$5:$V276,"Macro",$S$5:$S276,$S276),IF(N($U276)=0,"?",COUNTIFS(INDEX($V$5:$V$1000,1):INDEX($V$5:$V$1000,$U276-4),"Macro",INDEX($S$5:$S$1000,1):INDEX($S$5:$S$1000,$U276-4),INDEX($S$5:$S$1000,$U276-4))&amp;"."&amp;COUNTIFS($U$5:$U276,$U276,$V$5:$V276,"Sub"))))</f>
        <v/>
      </c>
      <c r="B276" s="57" t="n"/>
      <c r="C276" s="58" t="n"/>
      <c r="D276" s="58" t="n"/>
      <c r="E276" s="59">
        <f>IF(N($AL276)&gt;0,INDEX(rIni_ADM,$AL276),"")</f>
        <v/>
      </c>
      <c r="F276" s="59">
        <f>IF(N($AL276)&gt;0,INDEX(rLim_ADM,$AL276),"")</f>
        <v/>
      </c>
      <c r="G276" s="59" t="n"/>
      <c r="H276" s="60" t="n"/>
      <c r="I276" s="60" t="n"/>
      <c r="J276" s="60" t="n"/>
      <c r="K276" s="60" t="n"/>
      <c r="L276" s="60" t="n"/>
      <c r="M276" s="61">
        <f>IF(NOT((COUNTA($B276:$D276)+COUNTA($G276:$L276)+COUNTA($Q276))&gt;0),"",IF($V276="Sub",IFERROR($X276/INDEX($W$5:$W$1000,$U276-4),""),IF(ISNUMBER($G276),1,IF(N($W276)&gt;0,AVERAGEIFS($X$5:$X$1000,$U$5:$U$1000,ROW(),$V$5:$V$1000,"Sub"),$X276))))</f>
        <v/>
      </c>
      <c r="N276" s="56">
        <f>IF(OR($M276="",$V276="Sub"),"",IF($M276&gt;=1,"Completado",IF($M276&gt;0,"En curso","Pendiente")))</f>
        <v/>
      </c>
      <c r="O276" s="56">
        <f>IF(OR(NOT((COUNTA($B276:$D276)+COUNTA($G276:$L276)+COUNTA($Q276))&gt;0),$V276="Sub"),"",IF(ISNUMBER($G276),IF(AND(ISNUMBER($AN276),$G276&gt;$AN276),"Cumplida con "&amp;($G276-$AN276)&amp;IF($G276-$AN276=1," día"," días")&amp;" de retraso","Cumplida"),IF(N($M276)&gt;=1,"Cumplida",IF(NOT(ISNUMBER($AN276)),"Sin fecha límite",IF($AN276&lt;FechaRef,"Vencida hace "&amp;(FechaRef-$AN276)&amp;IF(FechaRef-$AN276=1," día"," días"),IF($AN276=FechaRef,"Vence hoy",IF($AN276-FechaRef&lt;=DiasAlerta,"Vence en "&amp;($AN276-FechaRef)&amp;IF($AN276-FechaRef=1," día"," días"),"En plazo")))))))</f>
        <v/>
      </c>
      <c r="P276" s="62" t="n"/>
      <c r="Q276" s="58" t="n"/>
      <c r="R276" s="63">
        <f>IF(NOT((COUNTA($B276:$D276)+COUNTA($G276:$L276)+COUNTA($Q276))&gt;0),"",IF((IF($C276="","Falta el nombre de la actividad"&amp;" · ","")&amp;IF(AND($V276="Sub",N($U276)=0),"Subactividad sin macroactividad arriba"&amp;" · ","")&amp;IF($AM276="","Sin fecha de inicio"&amp;" · ","")&amp;IF($AN276="","Sin fecha límite"&amp;" · ","")&amp;IF(AND(LEFT($C276,11)="[Jefatura] ",N($AL276)=0),"No se encuentra en la hoja de la jefatura (elíjala de nuevo en la lista)"&amp;" · ","")&amp;IF(OR(AND($E276&lt;&gt;"",NOT(ISNUMBER($E276))),AND($F276&lt;&gt;"",NOT(ISNUMBER($F276))),AND($G276&lt;&gt;"",NOT(ISNUMBER($G276)))),"Fecha no válida"&amp;" · ","")&amp;IF(AND(ISNUMBER($AM276),ISNUMBER($AN276),$AM276&gt;$AN276),"Inicio posterior a fecha límite"&amp;" · ","")&amp;IF(AND($V276="Macro",$H276&lt;&gt;"",OR(NOT(ISNUMBER($H276)),$H276&lt;0,$H276&gt;1)),"Peso fuera de rango"&amp;" · ","")&amp;IF(AND($V276="Sub",$H276&lt;&gt;""),"Las subactividades no llevan peso (valen igual dentro de su macroactividad)"&amp;" · ","")&amp;IF(AND(N($W276)&gt;0,COUNT($I276:$L276)&gt;0),"Con subactividades: deje vacías las semanas (se calculan solas)"&amp;" · ","")&amp;IF((COUNTIF($I276:$L276,"&gt;1")+COUNTIF($I276:$L276,"&lt;0")+COUNTA($I276:$L276)-COUNT($I276:$L276))&gt;0,"Avance fuera de rango 0-100%"&amp;" · ","")&amp;IF(OR(AND($J276&lt;&gt;"",$J276&lt;$I276),AND($K276&lt;&gt;"",$K276&lt;MAX($I276:$J276)),AND($L276&lt;&gt;"",$L276&lt;MAX($I276:$K276))),"Avance semanal decreciente"&amp;" · ","")&amp;IF(AND(ISNUMBER($AN276),$AN276&lt;FechaRef,IF($V276="Sub",N($X276),N($M276))&lt;1),"Vencida"&amp;" · ","")&amp;IF(AND(ObsObligatoria="Sí",ISNUMBER($AN276),$AN276&lt;FechaRef,IF($V276="Sub",N($X276),N($M276))&lt;1,$Q276=""),"Vencida sin observación"&amp;" · ",""))="","✔ OK","⚠ "&amp;LEFT(IF($C276="","Falta el nombre de la actividad"&amp;" · ","")&amp;IF(AND($V276="Sub",N($U276)=0),"Subactividad sin macroactividad arriba"&amp;" · ","")&amp;IF($AM276="","Sin fecha de inicio"&amp;" · ","")&amp;IF($AN276="","Sin fecha límite"&amp;" · ","")&amp;IF(AND(LEFT($C276,11)="[Jefatura] ",N($AL276)=0),"No se encuentra en la hoja de la jefatura (elíjala de nuevo en la lista)"&amp;" · ","")&amp;IF(OR(AND($E276&lt;&gt;"",NOT(ISNUMBER($E276))),AND($F276&lt;&gt;"",NOT(ISNUMBER($F276))),AND($G276&lt;&gt;"",NOT(ISNUMBER($G276)))),"Fecha no válida"&amp;" · ","")&amp;IF(AND(ISNUMBER($AM276),ISNUMBER($AN276),$AM276&gt;$AN276),"Inicio posterior a fecha límite"&amp;" · ","")&amp;IF(AND($V276="Macro",$H276&lt;&gt;"",OR(NOT(ISNUMBER($H276)),$H276&lt;0,$H276&gt;1)),"Peso fuera de rango"&amp;" · ","")&amp;IF(AND($V276="Sub",$H276&lt;&gt;""),"Las subactividades no llevan peso (valen igual dentro de su macroactividad)"&amp;" · ","")&amp;IF(AND(N($W276)&gt;0,COUNT($I276:$L276)&gt;0),"Con subactividades: deje vacías las semanas (se calculan solas)"&amp;" · ","")&amp;IF((COUNTIF($I276:$L276,"&gt;1")+COUNTIF($I276:$L276,"&lt;0")+COUNTA($I276:$L276)-COUNT($I276:$L276))&gt;0,"Avance fuera de rango 0-100%"&amp;" · ","")&amp;IF(OR(AND($J276&lt;&gt;"",$J276&lt;$I276),AND($K276&lt;&gt;"",$K276&lt;MAX($I276:$J276)),AND($L276&lt;&gt;"",$L276&lt;MAX($I276:$K276))),"Avance semanal decreciente"&amp;" · ","")&amp;IF(AND(ISNUMBER($AN276),$AN276&lt;FechaRef,IF($V276="Sub",N($X276),N($M276))&lt;1),"Vencida"&amp;" · ","")&amp;IF(AND(ObsObligatoria="Sí",ISNUMBER($AN276),$AN276&lt;FechaRef,IF($V276="Sub",N($X276),N($M276))&lt;1,$Q276=""),"Vencida sin observación"&amp;" · ",""),LEN(IF($C276="","Falta el nombre de la actividad"&amp;" · ","")&amp;IF(AND($V276="Sub",N($U276)=0),"Subactividad sin macroactividad arriba"&amp;" · ","")&amp;IF($AM276="","Sin fecha de inicio"&amp;" · ","")&amp;IF($AN276="","Sin fecha límite"&amp;" · ","")&amp;IF(AND(LEFT($C276,11)="[Jefatura] ",N($AL276)=0),"No se encuentra en la hoja de la jefatura (elíjala de nuevo en la lista)"&amp;" · ","")&amp;IF(OR(AND($E276&lt;&gt;"",NOT(ISNUMBER($E276))),AND($F276&lt;&gt;"",NOT(ISNUMBER($F276))),AND($G276&lt;&gt;"",NOT(ISNUMBER($G276)))),"Fecha no válida"&amp;" · ","")&amp;IF(AND(ISNUMBER($AM276),ISNUMBER($AN276),$AM276&gt;$AN276),"Inicio posterior a fecha límite"&amp;" · ","")&amp;IF(AND($V276="Macro",$H276&lt;&gt;"",OR(NOT(ISNUMBER($H276)),$H276&lt;0,$H276&gt;1)),"Peso fuera de rango"&amp;" · ","")&amp;IF(AND($V276="Sub",$H276&lt;&gt;""),"Las subactividades no llevan peso (valen igual dentro de su macroactividad)"&amp;" · ","")&amp;IF(AND(N($W276)&gt;0,COUNT($I276:$L276)&gt;0),"Con subactividades: deje vacías las semanas (se calculan solas)"&amp;" · ","")&amp;IF((COUNTIF($I276:$L276,"&gt;1")+COUNTIF($I276:$L276,"&lt;0")+COUNTA($I276:$L276)-COUNT($I276:$L276))&gt;0,"Avance fuera de rango 0-100%"&amp;" · ","")&amp;IF(OR(AND($J276&lt;&gt;"",$J276&lt;$I276),AND($K276&lt;&gt;"",$K276&lt;MAX($I276:$J276)),AND($L276&lt;&gt;"",$L276&lt;MAX($I276:$K276))),"Avance semanal decreciente"&amp;" · ","")&amp;IF(AND(ISNUMBER($AN276),$AN276&lt;FechaRef,IF($V276="Sub",N($X276),N($M276))&lt;1),"Vencida"&amp;" · ","")&amp;IF(AND(ObsObligatoria="Sí",ISNUMBER($AN276),$AN276&lt;FechaRef,IF($V276="Sub",N($X276),N($M276))&lt;1,$Q276=""),"Vencida sin observación"&amp;" · ",""))-3)))</f>
        <v/>
      </c>
      <c r="S276" s="64">
        <f>IF(NOT((COUNTA($B276:$D276)+COUNTA($G276:$L276)+COUNTA($Q276))&gt;0),"",IF(AND($V276="Sub",N($U276)&gt;0),IF(ISNUMBER(INDEX($AM$5:$AM$1000,$U276-4)),DATE(YEAR(INDEX($AM$5:$AM$1000,$U276-4)),MONTH(INDEX($AM$5:$AM$1000,$U276-4)),1),IF(ISNUMBER(INDEX($AN$5:$AN$1000,$U276-4)),DATE(YEAR(INDEX($AN$5:$AN$1000,$U276-4)),MONTH(INDEX($AN$5:$AN$1000,$U276-4)),1),MesCiclo)),IF(ISNUMBER($AM276),DATE(YEAR($AM276),MONTH($AM276),1),IF(ISNUMBER($AN276),DATE(YEAR($AN276),MONTH($AN276),1),MesCiclo))))</f>
        <v/>
      </c>
      <c r="T276" s="62">
        <f>IF(OR($S276="",$S276&lt;&gt;MesCiclo,$V276&lt;&gt;"Macro"),"",COUNTIFS($S$5:$S276,MesCiclo,$V$5:$V276,"Macro"))</f>
        <v/>
      </c>
      <c r="U276" s="62">
        <f>IF($V276="","",IF($V276="Macro",ROW(),IFERROR(LOOKUP(2,1/($V$5:$V276="Macro"),ROW($V$5:$V276)),0)))</f>
        <v/>
      </c>
      <c r="V276" s="62">
        <f>IF(NOT((COUNTA($B276:$D276)+COUNTA($G276:$L276)+COUNTA($Q276))&gt;0),"",IF($B276="Subactividad","Sub","Macro"))</f>
        <v/>
      </c>
      <c r="W276" s="62">
        <f>IF($V276="Macro",COUNTIFS($U$5:$U$1000,ROW(),$V$5:$V$1000,"Sub"),"")</f>
        <v/>
      </c>
      <c r="X276" s="62">
        <f>IF($V276="","",IF(ISNUMBER($G276),1,IFERROR(LOOKUP(2,1/($I276:$L276&lt;&gt;""),$I276:$L276),0)))</f>
        <v/>
      </c>
      <c r="Y276" s="62">
        <f>IF($V276="","",IF(AND(ISNUMBER($G276),$G276&lt;=IF($S276=MesCiclo,InicioCiclo,$S276+MOD(2-WEEKDAY($S276),7))+6),1,IF(ISNUMBER($I276),$I276,0)))</f>
        <v/>
      </c>
      <c r="Z276" s="62">
        <f>IF($V276="","",IF(AND(ISNUMBER($G276),$G276&lt;=IF($S276=MesCiclo,InicioCiclo,$S276+MOD(2-WEEKDAY($S276),7))+13),1,IF(ISNUMBER($J276),$J276,$Y276)))</f>
        <v/>
      </c>
      <c r="AA276" s="62">
        <f>IF($V276="","",IF(AND(ISNUMBER($G276),$G276&lt;=IF($S276=MesCiclo,InicioCiclo,$S276+MOD(2-WEEKDAY($S276),7))+20),1,IF(ISNUMBER($K276),$K276,$Z276)))</f>
        <v/>
      </c>
      <c r="AB276" s="62">
        <f>IF($V276="","",IF(AND(ISNUMBER($G276),$G276&lt;=IF($S276=MesCiclo,InicioCiclo,$S276+MOD(2-WEEKDAY($S276),7))+27),1,IF(ISNUMBER($L276),$L276,$AA276)))</f>
        <v/>
      </c>
      <c r="AC276" s="62">
        <f>IF($V276="","",IF(AND(ISNUMBER($G276),$G276&lt;=IF($S276=MesCiclo,InicioCiclo,$S276+MOD(2-WEEKDAY($S276),7))+6),1,IF(N($W276)&gt;0,AVERAGEIFS($Y$5:$Y$1000,$U$5:$U$1000,ROW(),$V$5:$V$1000,"Sub"),$Y276)))</f>
        <v/>
      </c>
      <c r="AD276" s="62">
        <f>IF($V276="","",IF(AND(ISNUMBER($G276),$G276&lt;=IF($S276=MesCiclo,InicioCiclo,$S276+MOD(2-WEEKDAY($S276),7))+13),1,IF(N($W276)&gt;0,AVERAGEIFS($Z$5:$Z$1000,$U$5:$U$1000,ROW(),$V$5:$V$1000,"Sub"),$Z276)))</f>
        <v/>
      </c>
      <c r="AE276" s="62">
        <f>IF($V276="","",IF(AND(ISNUMBER($G276),$G276&lt;=IF($S276=MesCiclo,InicioCiclo,$S276+MOD(2-WEEKDAY($S276),7))+20),1,IF(N($W276)&gt;0,AVERAGEIFS($AA$5:$AA$1000,$U$5:$U$1000,ROW(),$V$5:$V$1000,"Sub"),$AA276)))</f>
        <v/>
      </c>
      <c r="AF276" s="62">
        <f>IF($V276="","",IF(AND(ISNUMBER($G276),$G276&lt;=IF($S276=MesCiclo,InicioCiclo,$S276+MOD(2-WEEKDAY($S276),7))+27),1,IF(N($W276)&gt;0,AVERAGEIFS($AB$5:$AB$1000,$U$5:$U$1000,ROW(),$V$5:$V$1000,"Sub"),$AB276)))</f>
        <v/>
      </c>
      <c r="AG276" s="62">
        <f>IF($V276&lt;&gt;"Macro","",IF(COUNTIFS($S$5:$S$1000,$S276,$V$5:$V$1000,"Macro",$H$5:$H$1000,"&gt;0")=0,1/COUNTIFS($S$5:$S$1000,$S276,$V$5:$V$1000,"Macro"),IF(AND(ISNUMBER($H276),N($H276)&gt;0),$H276,SUMIFS($H$5:$H$1000,$S$5:$S$1000,$S276,$V$5:$V$1000,"Macro")/COUNTIFS($S$5:$S$1000,$S276,$V$5:$V$1000,"Macro",$H$5:$H$1000,"&gt;0"))/(COUNTIFS($S$5:$S$1000,$S276,$V$5:$V$1000,"Macro")*SUMIFS($H$5:$H$1000,$S$5:$S$1000,$S276,$V$5:$V$1000,"Macro")/COUNTIFS($S$5:$S$1000,$S276,$V$5:$V$1000,"Macro",$H$5:$H$1000,"&gt;0"))))</f>
        <v/>
      </c>
      <c r="AH276" s="62" t="n"/>
      <c r="AI276" s="62" t="n"/>
      <c r="AJ276" s="62" t="n"/>
      <c r="AK276" s="62" t="n"/>
      <c r="AL276" s="62">
        <f>IF(LEFT($C276,11)="[Jefatura] ",IFERROR(MATCH("Riesgo Financiero|"&amp;MID($C276,12,500),rDname_ADM,0),0),"")</f>
        <v/>
      </c>
      <c r="AM276" s="62">
        <f>IF(N($AL276)&gt;0,INDEX(rIni_ADM,$AL276),IF(ISNUMBER($E276),$E276,""))</f>
        <v/>
      </c>
      <c r="AN276" s="62">
        <f>IF(N($AL276)&gt;0,INDEX(rLim_ADM,$AL276),IF(ISNUMBER($F276),$F276,""))</f>
        <v/>
      </c>
    </row>
    <row r="277">
      <c r="A277" s="56">
        <f>IF(NOT((COUNTA($B277:$D277)+COUNTA($G277:$L277)+COUNTA($Q277))&gt;0),"",IF($V277="Macro",COUNTIFS($V$5:$V277,"Macro",$S$5:$S277,$S277),IF(N($U277)=0,"?",COUNTIFS(INDEX($V$5:$V$1000,1):INDEX($V$5:$V$1000,$U277-4),"Macro",INDEX($S$5:$S$1000,1):INDEX($S$5:$S$1000,$U277-4),INDEX($S$5:$S$1000,$U277-4))&amp;"."&amp;COUNTIFS($U$5:$U277,$U277,$V$5:$V277,"Sub"))))</f>
        <v/>
      </c>
      <c r="B277" s="57" t="n"/>
      <c r="C277" s="58" t="n"/>
      <c r="D277" s="58" t="n"/>
      <c r="E277" s="59">
        <f>IF(N($AL277)&gt;0,INDEX(rIni_ADM,$AL277),"")</f>
        <v/>
      </c>
      <c r="F277" s="59">
        <f>IF(N($AL277)&gt;0,INDEX(rLim_ADM,$AL277),"")</f>
        <v/>
      </c>
      <c r="G277" s="59" t="n"/>
      <c r="H277" s="60" t="n"/>
      <c r="I277" s="60" t="n"/>
      <c r="J277" s="60" t="n"/>
      <c r="K277" s="60" t="n"/>
      <c r="L277" s="60" t="n"/>
      <c r="M277" s="61">
        <f>IF(NOT((COUNTA($B277:$D277)+COUNTA($G277:$L277)+COUNTA($Q277))&gt;0),"",IF($V277="Sub",IFERROR($X277/INDEX($W$5:$W$1000,$U277-4),""),IF(ISNUMBER($G277),1,IF(N($W277)&gt;0,AVERAGEIFS($X$5:$X$1000,$U$5:$U$1000,ROW(),$V$5:$V$1000,"Sub"),$X277))))</f>
        <v/>
      </c>
      <c r="N277" s="56">
        <f>IF(OR($M277="",$V277="Sub"),"",IF($M277&gt;=1,"Completado",IF($M277&gt;0,"En curso","Pendiente")))</f>
        <v/>
      </c>
      <c r="O277" s="56">
        <f>IF(OR(NOT((COUNTA($B277:$D277)+COUNTA($G277:$L277)+COUNTA($Q277))&gt;0),$V277="Sub"),"",IF(ISNUMBER($G277),IF(AND(ISNUMBER($AN277),$G277&gt;$AN277),"Cumplida con "&amp;($G277-$AN277)&amp;IF($G277-$AN277=1," día"," días")&amp;" de retraso","Cumplida"),IF(N($M277)&gt;=1,"Cumplida",IF(NOT(ISNUMBER($AN277)),"Sin fecha límite",IF($AN277&lt;FechaRef,"Vencida hace "&amp;(FechaRef-$AN277)&amp;IF(FechaRef-$AN277=1," día"," días"),IF($AN277=FechaRef,"Vence hoy",IF($AN277-FechaRef&lt;=DiasAlerta,"Vence en "&amp;($AN277-FechaRef)&amp;IF($AN277-FechaRef=1," día"," días"),"En plazo")))))))</f>
        <v/>
      </c>
      <c r="P277" s="62" t="n"/>
      <c r="Q277" s="58" t="n"/>
      <c r="R277" s="63">
        <f>IF(NOT((COUNTA($B277:$D277)+COUNTA($G277:$L277)+COUNTA($Q277))&gt;0),"",IF((IF($C277="","Falta el nombre de la actividad"&amp;" · ","")&amp;IF(AND($V277="Sub",N($U277)=0),"Subactividad sin macroactividad arriba"&amp;" · ","")&amp;IF($AM277="","Sin fecha de inicio"&amp;" · ","")&amp;IF($AN277="","Sin fecha límite"&amp;" · ","")&amp;IF(AND(LEFT($C277,11)="[Jefatura] ",N($AL277)=0),"No se encuentra en la hoja de la jefatura (elíjala de nuevo en la lista)"&amp;" · ","")&amp;IF(OR(AND($E277&lt;&gt;"",NOT(ISNUMBER($E277))),AND($F277&lt;&gt;"",NOT(ISNUMBER($F277))),AND($G277&lt;&gt;"",NOT(ISNUMBER($G277)))),"Fecha no válida"&amp;" · ","")&amp;IF(AND(ISNUMBER($AM277),ISNUMBER($AN277),$AM277&gt;$AN277),"Inicio posterior a fecha límite"&amp;" · ","")&amp;IF(AND($V277="Macro",$H277&lt;&gt;"",OR(NOT(ISNUMBER($H277)),$H277&lt;0,$H277&gt;1)),"Peso fuera de rango"&amp;" · ","")&amp;IF(AND($V277="Sub",$H277&lt;&gt;""),"Las subactividades no llevan peso (valen igual dentro de su macroactividad)"&amp;" · ","")&amp;IF(AND(N($W277)&gt;0,COUNT($I277:$L277)&gt;0),"Con subactividades: deje vacías las semanas (se calculan solas)"&amp;" · ","")&amp;IF((COUNTIF($I277:$L277,"&gt;1")+COUNTIF($I277:$L277,"&lt;0")+COUNTA($I277:$L277)-COUNT($I277:$L277))&gt;0,"Avance fuera de rango 0-100%"&amp;" · ","")&amp;IF(OR(AND($J277&lt;&gt;"",$J277&lt;$I277),AND($K277&lt;&gt;"",$K277&lt;MAX($I277:$J277)),AND($L277&lt;&gt;"",$L277&lt;MAX($I277:$K277))),"Avance semanal decreciente"&amp;" · ","")&amp;IF(AND(ISNUMBER($AN277),$AN277&lt;FechaRef,IF($V277="Sub",N($X277),N($M277))&lt;1),"Vencida"&amp;" · ","")&amp;IF(AND(ObsObligatoria="Sí",ISNUMBER($AN277),$AN277&lt;FechaRef,IF($V277="Sub",N($X277),N($M277))&lt;1,$Q277=""),"Vencida sin observación"&amp;" · ",""))="","✔ OK","⚠ "&amp;LEFT(IF($C277="","Falta el nombre de la actividad"&amp;" · ","")&amp;IF(AND($V277="Sub",N($U277)=0),"Subactividad sin macroactividad arriba"&amp;" · ","")&amp;IF($AM277="","Sin fecha de inicio"&amp;" · ","")&amp;IF($AN277="","Sin fecha límite"&amp;" · ","")&amp;IF(AND(LEFT($C277,11)="[Jefatura] ",N($AL277)=0),"No se encuentra en la hoja de la jefatura (elíjala de nuevo en la lista)"&amp;" · ","")&amp;IF(OR(AND($E277&lt;&gt;"",NOT(ISNUMBER($E277))),AND($F277&lt;&gt;"",NOT(ISNUMBER($F277))),AND($G277&lt;&gt;"",NOT(ISNUMBER($G277)))),"Fecha no válida"&amp;" · ","")&amp;IF(AND(ISNUMBER($AM277),ISNUMBER($AN277),$AM277&gt;$AN277),"Inicio posterior a fecha límite"&amp;" · ","")&amp;IF(AND($V277="Macro",$H277&lt;&gt;"",OR(NOT(ISNUMBER($H277)),$H277&lt;0,$H277&gt;1)),"Peso fuera de rango"&amp;" · ","")&amp;IF(AND($V277="Sub",$H277&lt;&gt;""),"Las subactividades no llevan peso (valen igual dentro de su macroactividad)"&amp;" · ","")&amp;IF(AND(N($W277)&gt;0,COUNT($I277:$L277)&gt;0),"Con subactividades: deje vacías las semanas (se calculan solas)"&amp;" · ","")&amp;IF((COUNTIF($I277:$L277,"&gt;1")+COUNTIF($I277:$L277,"&lt;0")+COUNTA($I277:$L277)-COUNT($I277:$L277))&gt;0,"Avance fuera de rango 0-100%"&amp;" · ","")&amp;IF(OR(AND($J277&lt;&gt;"",$J277&lt;$I277),AND($K277&lt;&gt;"",$K277&lt;MAX($I277:$J277)),AND($L277&lt;&gt;"",$L277&lt;MAX($I277:$K277))),"Avance semanal decreciente"&amp;" · ","")&amp;IF(AND(ISNUMBER($AN277),$AN277&lt;FechaRef,IF($V277="Sub",N($X277),N($M277))&lt;1),"Vencida"&amp;" · ","")&amp;IF(AND(ObsObligatoria="Sí",ISNUMBER($AN277),$AN277&lt;FechaRef,IF($V277="Sub",N($X277),N($M277))&lt;1,$Q277=""),"Vencida sin observación"&amp;" · ",""),LEN(IF($C277="","Falta el nombre de la actividad"&amp;" · ","")&amp;IF(AND($V277="Sub",N($U277)=0),"Subactividad sin macroactividad arriba"&amp;" · ","")&amp;IF($AM277="","Sin fecha de inicio"&amp;" · ","")&amp;IF($AN277="","Sin fecha límite"&amp;" · ","")&amp;IF(AND(LEFT($C277,11)="[Jefatura] ",N($AL277)=0),"No se encuentra en la hoja de la jefatura (elíjala de nuevo en la lista)"&amp;" · ","")&amp;IF(OR(AND($E277&lt;&gt;"",NOT(ISNUMBER($E277))),AND($F277&lt;&gt;"",NOT(ISNUMBER($F277))),AND($G277&lt;&gt;"",NOT(ISNUMBER($G277)))),"Fecha no válida"&amp;" · ","")&amp;IF(AND(ISNUMBER($AM277),ISNUMBER($AN277),$AM277&gt;$AN277),"Inicio posterior a fecha límite"&amp;" · ","")&amp;IF(AND($V277="Macro",$H277&lt;&gt;"",OR(NOT(ISNUMBER($H277)),$H277&lt;0,$H277&gt;1)),"Peso fuera de rango"&amp;" · ","")&amp;IF(AND($V277="Sub",$H277&lt;&gt;""),"Las subactividades no llevan peso (valen igual dentro de su macroactividad)"&amp;" · ","")&amp;IF(AND(N($W277)&gt;0,COUNT($I277:$L277)&gt;0),"Con subactividades: deje vacías las semanas (se calculan solas)"&amp;" · ","")&amp;IF((COUNTIF($I277:$L277,"&gt;1")+COUNTIF($I277:$L277,"&lt;0")+COUNTA($I277:$L277)-COUNT($I277:$L277))&gt;0,"Avance fuera de rango 0-100%"&amp;" · ","")&amp;IF(OR(AND($J277&lt;&gt;"",$J277&lt;$I277),AND($K277&lt;&gt;"",$K277&lt;MAX($I277:$J277)),AND($L277&lt;&gt;"",$L277&lt;MAX($I277:$K277))),"Avance semanal decreciente"&amp;" · ","")&amp;IF(AND(ISNUMBER($AN277),$AN277&lt;FechaRef,IF($V277="Sub",N($X277),N($M277))&lt;1),"Vencida"&amp;" · ","")&amp;IF(AND(ObsObligatoria="Sí",ISNUMBER($AN277),$AN277&lt;FechaRef,IF($V277="Sub",N($X277),N($M277))&lt;1,$Q277=""),"Vencida sin observación"&amp;" · ",""))-3)))</f>
        <v/>
      </c>
      <c r="S277" s="64">
        <f>IF(NOT((COUNTA($B277:$D277)+COUNTA($G277:$L277)+COUNTA($Q277))&gt;0),"",IF(AND($V277="Sub",N($U277)&gt;0),IF(ISNUMBER(INDEX($AM$5:$AM$1000,$U277-4)),DATE(YEAR(INDEX($AM$5:$AM$1000,$U277-4)),MONTH(INDEX($AM$5:$AM$1000,$U277-4)),1),IF(ISNUMBER(INDEX($AN$5:$AN$1000,$U277-4)),DATE(YEAR(INDEX($AN$5:$AN$1000,$U277-4)),MONTH(INDEX($AN$5:$AN$1000,$U277-4)),1),MesCiclo)),IF(ISNUMBER($AM277),DATE(YEAR($AM277),MONTH($AM277),1),IF(ISNUMBER($AN277),DATE(YEAR($AN277),MONTH($AN277),1),MesCiclo))))</f>
        <v/>
      </c>
      <c r="T277" s="62">
        <f>IF(OR($S277="",$S277&lt;&gt;MesCiclo,$V277&lt;&gt;"Macro"),"",COUNTIFS($S$5:$S277,MesCiclo,$V$5:$V277,"Macro"))</f>
        <v/>
      </c>
      <c r="U277" s="62">
        <f>IF($V277="","",IF($V277="Macro",ROW(),IFERROR(LOOKUP(2,1/($V$5:$V277="Macro"),ROW($V$5:$V277)),0)))</f>
        <v/>
      </c>
      <c r="V277" s="62">
        <f>IF(NOT((COUNTA($B277:$D277)+COUNTA($G277:$L277)+COUNTA($Q277))&gt;0),"",IF($B277="Subactividad","Sub","Macro"))</f>
        <v/>
      </c>
      <c r="W277" s="62">
        <f>IF($V277="Macro",COUNTIFS($U$5:$U$1000,ROW(),$V$5:$V$1000,"Sub"),"")</f>
        <v/>
      </c>
      <c r="X277" s="62">
        <f>IF($V277="","",IF(ISNUMBER($G277),1,IFERROR(LOOKUP(2,1/($I277:$L277&lt;&gt;""),$I277:$L277),0)))</f>
        <v/>
      </c>
      <c r="Y277" s="62">
        <f>IF($V277="","",IF(AND(ISNUMBER($G277),$G277&lt;=IF($S277=MesCiclo,InicioCiclo,$S277+MOD(2-WEEKDAY($S277),7))+6),1,IF(ISNUMBER($I277),$I277,0)))</f>
        <v/>
      </c>
      <c r="Z277" s="62">
        <f>IF($V277="","",IF(AND(ISNUMBER($G277),$G277&lt;=IF($S277=MesCiclo,InicioCiclo,$S277+MOD(2-WEEKDAY($S277),7))+13),1,IF(ISNUMBER($J277),$J277,$Y277)))</f>
        <v/>
      </c>
      <c r="AA277" s="62">
        <f>IF($V277="","",IF(AND(ISNUMBER($G277),$G277&lt;=IF($S277=MesCiclo,InicioCiclo,$S277+MOD(2-WEEKDAY($S277),7))+20),1,IF(ISNUMBER($K277),$K277,$Z277)))</f>
        <v/>
      </c>
      <c r="AB277" s="62">
        <f>IF($V277="","",IF(AND(ISNUMBER($G277),$G277&lt;=IF($S277=MesCiclo,InicioCiclo,$S277+MOD(2-WEEKDAY($S277),7))+27),1,IF(ISNUMBER($L277),$L277,$AA277)))</f>
        <v/>
      </c>
      <c r="AC277" s="62">
        <f>IF($V277="","",IF(AND(ISNUMBER($G277),$G277&lt;=IF($S277=MesCiclo,InicioCiclo,$S277+MOD(2-WEEKDAY($S277),7))+6),1,IF(N($W277)&gt;0,AVERAGEIFS($Y$5:$Y$1000,$U$5:$U$1000,ROW(),$V$5:$V$1000,"Sub"),$Y277)))</f>
        <v/>
      </c>
      <c r="AD277" s="62">
        <f>IF($V277="","",IF(AND(ISNUMBER($G277),$G277&lt;=IF($S277=MesCiclo,InicioCiclo,$S277+MOD(2-WEEKDAY($S277),7))+13),1,IF(N($W277)&gt;0,AVERAGEIFS($Z$5:$Z$1000,$U$5:$U$1000,ROW(),$V$5:$V$1000,"Sub"),$Z277)))</f>
        <v/>
      </c>
      <c r="AE277" s="62">
        <f>IF($V277="","",IF(AND(ISNUMBER($G277),$G277&lt;=IF($S277=MesCiclo,InicioCiclo,$S277+MOD(2-WEEKDAY($S277),7))+20),1,IF(N($W277)&gt;0,AVERAGEIFS($AA$5:$AA$1000,$U$5:$U$1000,ROW(),$V$5:$V$1000,"Sub"),$AA277)))</f>
        <v/>
      </c>
      <c r="AF277" s="62">
        <f>IF($V277="","",IF(AND(ISNUMBER($G277),$G277&lt;=IF($S277=MesCiclo,InicioCiclo,$S277+MOD(2-WEEKDAY($S277),7))+27),1,IF(N($W277)&gt;0,AVERAGEIFS($AB$5:$AB$1000,$U$5:$U$1000,ROW(),$V$5:$V$1000,"Sub"),$AB277)))</f>
        <v/>
      </c>
      <c r="AG277" s="62">
        <f>IF($V277&lt;&gt;"Macro","",IF(COUNTIFS($S$5:$S$1000,$S277,$V$5:$V$1000,"Macro",$H$5:$H$1000,"&gt;0")=0,1/COUNTIFS($S$5:$S$1000,$S277,$V$5:$V$1000,"Macro"),IF(AND(ISNUMBER($H277),N($H277)&gt;0),$H277,SUMIFS($H$5:$H$1000,$S$5:$S$1000,$S277,$V$5:$V$1000,"Macro")/COUNTIFS($S$5:$S$1000,$S277,$V$5:$V$1000,"Macro",$H$5:$H$1000,"&gt;0"))/(COUNTIFS($S$5:$S$1000,$S277,$V$5:$V$1000,"Macro")*SUMIFS($H$5:$H$1000,$S$5:$S$1000,$S277,$V$5:$V$1000,"Macro")/COUNTIFS($S$5:$S$1000,$S277,$V$5:$V$1000,"Macro",$H$5:$H$1000,"&gt;0"))))</f>
        <v/>
      </c>
      <c r="AH277" s="62" t="n"/>
      <c r="AI277" s="62" t="n"/>
      <c r="AJ277" s="62" t="n"/>
      <c r="AK277" s="62" t="n"/>
      <c r="AL277" s="62">
        <f>IF(LEFT($C277,11)="[Jefatura] ",IFERROR(MATCH("Riesgo Financiero|"&amp;MID($C277,12,500),rDname_ADM,0),0),"")</f>
        <v/>
      </c>
      <c r="AM277" s="62">
        <f>IF(N($AL277)&gt;0,INDEX(rIni_ADM,$AL277),IF(ISNUMBER($E277),$E277,""))</f>
        <v/>
      </c>
      <c r="AN277" s="62">
        <f>IF(N($AL277)&gt;0,INDEX(rLim_ADM,$AL277),IF(ISNUMBER($F277),$F277,""))</f>
        <v/>
      </c>
    </row>
    <row r="278">
      <c r="A278" s="56">
        <f>IF(NOT((COUNTA($B278:$D278)+COUNTA($G278:$L278)+COUNTA($Q278))&gt;0),"",IF($V278="Macro",COUNTIFS($V$5:$V278,"Macro",$S$5:$S278,$S278),IF(N($U278)=0,"?",COUNTIFS(INDEX($V$5:$V$1000,1):INDEX($V$5:$V$1000,$U278-4),"Macro",INDEX($S$5:$S$1000,1):INDEX($S$5:$S$1000,$U278-4),INDEX($S$5:$S$1000,$U278-4))&amp;"."&amp;COUNTIFS($U$5:$U278,$U278,$V$5:$V278,"Sub"))))</f>
        <v/>
      </c>
      <c r="B278" s="57" t="n"/>
      <c r="C278" s="58" t="n"/>
      <c r="D278" s="58" t="n"/>
      <c r="E278" s="59">
        <f>IF(N($AL278)&gt;0,INDEX(rIni_ADM,$AL278),"")</f>
        <v/>
      </c>
      <c r="F278" s="59">
        <f>IF(N($AL278)&gt;0,INDEX(rLim_ADM,$AL278),"")</f>
        <v/>
      </c>
      <c r="G278" s="59" t="n"/>
      <c r="H278" s="60" t="n"/>
      <c r="I278" s="60" t="n"/>
      <c r="J278" s="60" t="n"/>
      <c r="K278" s="60" t="n"/>
      <c r="L278" s="60" t="n"/>
      <c r="M278" s="61">
        <f>IF(NOT((COUNTA($B278:$D278)+COUNTA($G278:$L278)+COUNTA($Q278))&gt;0),"",IF($V278="Sub",IFERROR($X278/INDEX($W$5:$W$1000,$U278-4),""),IF(ISNUMBER($G278),1,IF(N($W278)&gt;0,AVERAGEIFS($X$5:$X$1000,$U$5:$U$1000,ROW(),$V$5:$V$1000,"Sub"),$X278))))</f>
        <v/>
      </c>
      <c r="N278" s="56">
        <f>IF(OR($M278="",$V278="Sub"),"",IF($M278&gt;=1,"Completado",IF($M278&gt;0,"En curso","Pendiente")))</f>
        <v/>
      </c>
      <c r="O278" s="56">
        <f>IF(OR(NOT((COUNTA($B278:$D278)+COUNTA($G278:$L278)+COUNTA($Q278))&gt;0),$V278="Sub"),"",IF(ISNUMBER($G278),IF(AND(ISNUMBER($AN278),$G278&gt;$AN278),"Cumplida con "&amp;($G278-$AN278)&amp;IF($G278-$AN278=1," día"," días")&amp;" de retraso","Cumplida"),IF(N($M278)&gt;=1,"Cumplida",IF(NOT(ISNUMBER($AN278)),"Sin fecha límite",IF($AN278&lt;FechaRef,"Vencida hace "&amp;(FechaRef-$AN278)&amp;IF(FechaRef-$AN278=1," día"," días"),IF($AN278=FechaRef,"Vence hoy",IF($AN278-FechaRef&lt;=DiasAlerta,"Vence en "&amp;($AN278-FechaRef)&amp;IF($AN278-FechaRef=1," día"," días"),"En plazo")))))))</f>
        <v/>
      </c>
      <c r="P278" s="62" t="n"/>
      <c r="Q278" s="58" t="n"/>
      <c r="R278" s="63">
        <f>IF(NOT((COUNTA($B278:$D278)+COUNTA($G278:$L278)+COUNTA($Q278))&gt;0),"",IF((IF($C278="","Falta el nombre de la actividad"&amp;" · ","")&amp;IF(AND($V278="Sub",N($U278)=0),"Subactividad sin macroactividad arriba"&amp;" · ","")&amp;IF($AM278="","Sin fecha de inicio"&amp;" · ","")&amp;IF($AN278="","Sin fecha límite"&amp;" · ","")&amp;IF(AND(LEFT($C278,11)="[Jefatura] ",N($AL278)=0),"No se encuentra en la hoja de la jefatura (elíjala de nuevo en la lista)"&amp;" · ","")&amp;IF(OR(AND($E278&lt;&gt;"",NOT(ISNUMBER($E278))),AND($F278&lt;&gt;"",NOT(ISNUMBER($F278))),AND($G278&lt;&gt;"",NOT(ISNUMBER($G278)))),"Fecha no válida"&amp;" · ","")&amp;IF(AND(ISNUMBER($AM278),ISNUMBER($AN278),$AM278&gt;$AN278),"Inicio posterior a fecha límite"&amp;" · ","")&amp;IF(AND($V278="Macro",$H278&lt;&gt;"",OR(NOT(ISNUMBER($H278)),$H278&lt;0,$H278&gt;1)),"Peso fuera de rango"&amp;" · ","")&amp;IF(AND($V278="Sub",$H278&lt;&gt;""),"Las subactividades no llevan peso (valen igual dentro de su macroactividad)"&amp;" · ","")&amp;IF(AND(N($W278)&gt;0,COUNT($I278:$L278)&gt;0),"Con subactividades: deje vacías las semanas (se calculan solas)"&amp;" · ","")&amp;IF((COUNTIF($I278:$L278,"&gt;1")+COUNTIF($I278:$L278,"&lt;0")+COUNTA($I278:$L278)-COUNT($I278:$L278))&gt;0,"Avance fuera de rango 0-100%"&amp;" · ","")&amp;IF(OR(AND($J278&lt;&gt;"",$J278&lt;$I278),AND($K278&lt;&gt;"",$K278&lt;MAX($I278:$J278)),AND($L278&lt;&gt;"",$L278&lt;MAX($I278:$K278))),"Avance semanal decreciente"&amp;" · ","")&amp;IF(AND(ISNUMBER($AN278),$AN278&lt;FechaRef,IF($V278="Sub",N($X278),N($M278))&lt;1),"Vencida"&amp;" · ","")&amp;IF(AND(ObsObligatoria="Sí",ISNUMBER($AN278),$AN278&lt;FechaRef,IF($V278="Sub",N($X278),N($M278))&lt;1,$Q278=""),"Vencida sin observación"&amp;" · ",""))="","✔ OK","⚠ "&amp;LEFT(IF($C278="","Falta el nombre de la actividad"&amp;" · ","")&amp;IF(AND($V278="Sub",N($U278)=0),"Subactividad sin macroactividad arriba"&amp;" · ","")&amp;IF($AM278="","Sin fecha de inicio"&amp;" · ","")&amp;IF($AN278="","Sin fecha límite"&amp;" · ","")&amp;IF(AND(LEFT($C278,11)="[Jefatura] ",N($AL278)=0),"No se encuentra en la hoja de la jefatura (elíjala de nuevo en la lista)"&amp;" · ","")&amp;IF(OR(AND($E278&lt;&gt;"",NOT(ISNUMBER($E278))),AND($F278&lt;&gt;"",NOT(ISNUMBER($F278))),AND($G278&lt;&gt;"",NOT(ISNUMBER($G278)))),"Fecha no válida"&amp;" · ","")&amp;IF(AND(ISNUMBER($AM278),ISNUMBER($AN278),$AM278&gt;$AN278),"Inicio posterior a fecha límite"&amp;" · ","")&amp;IF(AND($V278="Macro",$H278&lt;&gt;"",OR(NOT(ISNUMBER($H278)),$H278&lt;0,$H278&gt;1)),"Peso fuera de rango"&amp;" · ","")&amp;IF(AND($V278="Sub",$H278&lt;&gt;""),"Las subactividades no llevan peso (valen igual dentro de su macroactividad)"&amp;" · ","")&amp;IF(AND(N($W278)&gt;0,COUNT($I278:$L278)&gt;0),"Con subactividades: deje vacías las semanas (se calculan solas)"&amp;" · ","")&amp;IF((COUNTIF($I278:$L278,"&gt;1")+COUNTIF($I278:$L278,"&lt;0")+COUNTA($I278:$L278)-COUNT($I278:$L278))&gt;0,"Avance fuera de rango 0-100%"&amp;" · ","")&amp;IF(OR(AND($J278&lt;&gt;"",$J278&lt;$I278),AND($K278&lt;&gt;"",$K278&lt;MAX($I278:$J278)),AND($L278&lt;&gt;"",$L278&lt;MAX($I278:$K278))),"Avance semanal decreciente"&amp;" · ","")&amp;IF(AND(ISNUMBER($AN278),$AN278&lt;FechaRef,IF($V278="Sub",N($X278),N($M278))&lt;1),"Vencida"&amp;" · ","")&amp;IF(AND(ObsObligatoria="Sí",ISNUMBER($AN278),$AN278&lt;FechaRef,IF($V278="Sub",N($X278),N($M278))&lt;1,$Q278=""),"Vencida sin observación"&amp;" · ",""),LEN(IF($C278="","Falta el nombre de la actividad"&amp;" · ","")&amp;IF(AND($V278="Sub",N($U278)=0),"Subactividad sin macroactividad arriba"&amp;" · ","")&amp;IF($AM278="","Sin fecha de inicio"&amp;" · ","")&amp;IF($AN278="","Sin fecha límite"&amp;" · ","")&amp;IF(AND(LEFT($C278,11)="[Jefatura] ",N($AL278)=0),"No se encuentra en la hoja de la jefatura (elíjala de nuevo en la lista)"&amp;" · ","")&amp;IF(OR(AND($E278&lt;&gt;"",NOT(ISNUMBER($E278))),AND($F278&lt;&gt;"",NOT(ISNUMBER($F278))),AND($G278&lt;&gt;"",NOT(ISNUMBER($G278)))),"Fecha no válida"&amp;" · ","")&amp;IF(AND(ISNUMBER($AM278),ISNUMBER($AN278),$AM278&gt;$AN278),"Inicio posterior a fecha límite"&amp;" · ","")&amp;IF(AND($V278="Macro",$H278&lt;&gt;"",OR(NOT(ISNUMBER($H278)),$H278&lt;0,$H278&gt;1)),"Peso fuera de rango"&amp;" · ","")&amp;IF(AND($V278="Sub",$H278&lt;&gt;""),"Las subactividades no llevan peso (valen igual dentro de su macroactividad)"&amp;" · ","")&amp;IF(AND(N($W278)&gt;0,COUNT($I278:$L278)&gt;0),"Con subactividades: deje vacías las semanas (se calculan solas)"&amp;" · ","")&amp;IF((COUNTIF($I278:$L278,"&gt;1")+COUNTIF($I278:$L278,"&lt;0")+COUNTA($I278:$L278)-COUNT($I278:$L278))&gt;0,"Avance fuera de rango 0-100%"&amp;" · ","")&amp;IF(OR(AND($J278&lt;&gt;"",$J278&lt;$I278),AND($K278&lt;&gt;"",$K278&lt;MAX($I278:$J278)),AND($L278&lt;&gt;"",$L278&lt;MAX($I278:$K278))),"Avance semanal decreciente"&amp;" · ","")&amp;IF(AND(ISNUMBER($AN278),$AN278&lt;FechaRef,IF($V278="Sub",N($X278),N($M278))&lt;1),"Vencida"&amp;" · ","")&amp;IF(AND(ObsObligatoria="Sí",ISNUMBER($AN278),$AN278&lt;FechaRef,IF($V278="Sub",N($X278),N($M278))&lt;1,$Q278=""),"Vencida sin observación"&amp;" · ",""))-3)))</f>
        <v/>
      </c>
      <c r="S278" s="64">
        <f>IF(NOT((COUNTA($B278:$D278)+COUNTA($G278:$L278)+COUNTA($Q278))&gt;0),"",IF(AND($V278="Sub",N($U278)&gt;0),IF(ISNUMBER(INDEX($AM$5:$AM$1000,$U278-4)),DATE(YEAR(INDEX($AM$5:$AM$1000,$U278-4)),MONTH(INDEX($AM$5:$AM$1000,$U278-4)),1),IF(ISNUMBER(INDEX($AN$5:$AN$1000,$U278-4)),DATE(YEAR(INDEX($AN$5:$AN$1000,$U278-4)),MONTH(INDEX($AN$5:$AN$1000,$U278-4)),1),MesCiclo)),IF(ISNUMBER($AM278),DATE(YEAR($AM278),MONTH($AM278),1),IF(ISNUMBER($AN278),DATE(YEAR($AN278),MONTH($AN278),1),MesCiclo))))</f>
        <v/>
      </c>
      <c r="T278" s="62">
        <f>IF(OR($S278="",$S278&lt;&gt;MesCiclo,$V278&lt;&gt;"Macro"),"",COUNTIFS($S$5:$S278,MesCiclo,$V$5:$V278,"Macro"))</f>
        <v/>
      </c>
      <c r="U278" s="62">
        <f>IF($V278="","",IF($V278="Macro",ROW(),IFERROR(LOOKUP(2,1/($V$5:$V278="Macro"),ROW($V$5:$V278)),0)))</f>
        <v/>
      </c>
      <c r="V278" s="62">
        <f>IF(NOT((COUNTA($B278:$D278)+COUNTA($G278:$L278)+COUNTA($Q278))&gt;0),"",IF($B278="Subactividad","Sub","Macro"))</f>
        <v/>
      </c>
      <c r="W278" s="62">
        <f>IF($V278="Macro",COUNTIFS($U$5:$U$1000,ROW(),$V$5:$V$1000,"Sub"),"")</f>
        <v/>
      </c>
      <c r="X278" s="62">
        <f>IF($V278="","",IF(ISNUMBER($G278),1,IFERROR(LOOKUP(2,1/($I278:$L278&lt;&gt;""),$I278:$L278),0)))</f>
        <v/>
      </c>
      <c r="Y278" s="62">
        <f>IF($V278="","",IF(AND(ISNUMBER($G278),$G278&lt;=IF($S278=MesCiclo,InicioCiclo,$S278+MOD(2-WEEKDAY($S278),7))+6),1,IF(ISNUMBER($I278),$I278,0)))</f>
        <v/>
      </c>
      <c r="Z278" s="62">
        <f>IF($V278="","",IF(AND(ISNUMBER($G278),$G278&lt;=IF($S278=MesCiclo,InicioCiclo,$S278+MOD(2-WEEKDAY($S278),7))+13),1,IF(ISNUMBER($J278),$J278,$Y278)))</f>
        <v/>
      </c>
      <c r="AA278" s="62">
        <f>IF($V278="","",IF(AND(ISNUMBER($G278),$G278&lt;=IF($S278=MesCiclo,InicioCiclo,$S278+MOD(2-WEEKDAY($S278),7))+20),1,IF(ISNUMBER($K278),$K278,$Z278)))</f>
        <v/>
      </c>
      <c r="AB278" s="62">
        <f>IF($V278="","",IF(AND(ISNUMBER($G278),$G278&lt;=IF($S278=MesCiclo,InicioCiclo,$S278+MOD(2-WEEKDAY($S278),7))+27),1,IF(ISNUMBER($L278),$L278,$AA278)))</f>
        <v/>
      </c>
      <c r="AC278" s="62">
        <f>IF($V278="","",IF(AND(ISNUMBER($G278),$G278&lt;=IF($S278=MesCiclo,InicioCiclo,$S278+MOD(2-WEEKDAY($S278),7))+6),1,IF(N($W278)&gt;0,AVERAGEIFS($Y$5:$Y$1000,$U$5:$U$1000,ROW(),$V$5:$V$1000,"Sub"),$Y278)))</f>
        <v/>
      </c>
      <c r="AD278" s="62">
        <f>IF($V278="","",IF(AND(ISNUMBER($G278),$G278&lt;=IF($S278=MesCiclo,InicioCiclo,$S278+MOD(2-WEEKDAY($S278),7))+13),1,IF(N($W278)&gt;0,AVERAGEIFS($Z$5:$Z$1000,$U$5:$U$1000,ROW(),$V$5:$V$1000,"Sub"),$Z278)))</f>
        <v/>
      </c>
      <c r="AE278" s="62">
        <f>IF($V278="","",IF(AND(ISNUMBER($G278),$G278&lt;=IF($S278=MesCiclo,InicioCiclo,$S278+MOD(2-WEEKDAY($S278),7))+20),1,IF(N($W278)&gt;0,AVERAGEIFS($AA$5:$AA$1000,$U$5:$U$1000,ROW(),$V$5:$V$1000,"Sub"),$AA278)))</f>
        <v/>
      </c>
      <c r="AF278" s="62">
        <f>IF($V278="","",IF(AND(ISNUMBER($G278),$G278&lt;=IF($S278=MesCiclo,InicioCiclo,$S278+MOD(2-WEEKDAY($S278),7))+27),1,IF(N($W278)&gt;0,AVERAGEIFS($AB$5:$AB$1000,$U$5:$U$1000,ROW(),$V$5:$V$1000,"Sub"),$AB278)))</f>
        <v/>
      </c>
      <c r="AG278" s="62">
        <f>IF($V278&lt;&gt;"Macro","",IF(COUNTIFS($S$5:$S$1000,$S278,$V$5:$V$1000,"Macro",$H$5:$H$1000,"&gt;0")=0,1/COUNTIFS($S$5:$S$1000,$S278,$V$5:$V$1000,"Macro"),IF(AND(ISNUMBER($H278),N($H278)&gt;0),$H278,SUMIFS($H$5:$H$1000,$S$5:$S$1000,$S278,$V$5:$V$1000,"Macro")/COUNTIFS($S$5:$S$1000,$S278,$V$5:$V$1000,"Macro",$H$5:$H$1000,"&gt;0"))/(COUNTIFS($S$5:$S$1000,$S278,$V$5:$V$1000,"Macro")*SUMIFS($H$5:$H$1000,$S$5:$S$1000,$S278,$V$5:$V$1000,"Macro")/COUNTIFS($S$5:$S$1000,$S278,$V$5:$V$1000,"Macro",$H$5:$H$1000,"&gt;0"))))</f>
        <v/>
      </c>
      <c r="AH278" s="62" t="n"/>
      <c r="AI278" s="62" t="n"/>
      <c r="AJ278" s="62" t="n"/>
      <c r="AK278" s="62" t="n"/>
      <c r="AL278" s="62">
        <f>IF(LEFT($C278,11)="[Jefatura] ",IFERROR(MATCH("Riesgo Financiero|"&amp;MID($C278,12,500),rDname_ADM,0),0),"")</f>
        <v/>
      </c>
      <c r="AM278" s="62">
        <f>IF(N($AL278)&gt;0,INDEX(rIni_ADM,$AL278),IF(ISNUMBER($E278),$E278,""))</f>
        <v/>
      </c>
      <c r="AN278" s="62">
        <f>IF(N($AL278)&gt;0,INDEX(rLim_ADM,$AL278),IF(ISNUMBER($F278),$F278,""))</f>
        <v/>
      </c>
    </row>
    <row r="279">
      <c r="A279" s="56">
        <f>IF(NOT((COUNTA($B279:$D279)+COUNTA($G279:$L279)+COUNTA($Q279))&gt;0),"",IF($V279="Macro",COUNTIFS($V$5:$V279,"Macro",$S$5:$S279,$S279),IF(N($U279)=0,"?",COUNTIFS(INDEX($V$5:$V$1000,1):INDEX($V$5:$V$1000,$U279-4),"Macro",INDEX($S$5:$S$1000,1):INDEX($S$5:$S$1000,$U279-4),INDEX($S$5:$S$1000,$U279-4))&amp;"."&amp;COUNTIFS($U$5:$U279,$U279,$V$5:$V279,"Sub"))))</f>
        <v/>
      </c>
      <c r="B279" s="57" t="n"/>
      <c r="C279" s="58" t="n"/>
      <c r="D279" s="58" t="n"/>
      <c r="E279" s="59">
        <f>IF(N($AL279)&gt;0,INDEX(rIni_ADM,$AL279),"")</f>
        <v/>
      </c>
      <c r="F279" s="59">
        <f>IF(N($AL279)&gt;0,INDEX(rLim_ADM,$AL279),"")</f>
        <v/>
      </c>
      <c r="G279" s="59" t="n"/>
      <c r="H279" s="60" t="n"/>
      <c r="I279" s="60" t="n"/>
      <c r="J279" s="60" t="n"/>
      <c r="K279" s="60" t="n"/>
      <c r="L279" s="60" t="n"/>
      <c r="M279" s="61">
        <f>IF(NOT((COUNTA($B279:$D279)+COUNTA($G279:$L279)+COUNTA($Q279))&gt;0),"",IF($V279="Sub",IFERROR($X279/INDEX($W$5:$W$1000,$U279-4),""),IF(ISNUMBER($G279),1,IF(N($W279)&gt;0,AVERAGEIFS($X$5:$X$1000,$U$5:$U$1000,ROW(),$V$5:$V$1000,"Sub"),$X279))))</f>
        <v/>
      </c>
      <c r="N279" s="56">
        <f>IF(OR($M279="",$V279="Sub"),"",IF($M279&gt;=1,"Completado",IF($M279&gt;0,"En curso","Pendiente")))</f>
        <v/>
      </c>
      <c r="O279" s="56">
        <f>IF(OR(NOT((COUNTA($B279:$D279)+COUNTA($G279:$L279)+COUNTA($Q279))&gt;0),$V279="Sub"),"",IF(ISNUMBER($G279),IF(AND(ISNUMBER($AN279),$G279&gt;$AN279),"Cumplida con "&amp;($G279-$AN279)&amp;IF($G279-$AN279=1," día"," días")&amp;" de retraso","Cumplida"),IF(N($M279)&gt;=1,"Cumplida",IF(NOT(ISNUMBER($AN279)),"Sin fecha límite",IF($AN279&lt;FechaRef,"Vencida hace "&amp;(FechaRef-$AN279)&amp;IF(FechaRef-$AN279=1," día"," días"),IF($AN279=FechaRef,"Vence hoy",IF($AN279-FechaRef&lt;=DiasAlerta,"Vence en "&amp;($AN279-FechaRef)&amp;IF($AN279-FechaRef=1," día"," días"),"En plazo")))))))</f>
        <v/>
      </c>
      <c r="P279" s="62" t="n"/>
      <c r="Q279" s="58" t="n"/>
      <c r="R279" s="63">
        <f>IF(NOT((COUNTA($B279:$D279)+COUNTA($G279:$L279)+COUNTA($Q279))&gt;0),"",IF((IF($C279="","Falta el nombre de la actividad"&amp;" · ","")&amp;IF(AND($V279="Sub",N($U279)=0),"Subactividad sin macroactividad arriba"&amp;" · ","")&amp;IF($AM279="","Sin fecha de inicio"&amp;" · ","")&amp;IF($AN279="","Sin fecha límite"&amp;" · ","")&amp;IF(AND(LEFT($C279,11)="[Jefatura] ",N($AL279)=0),"No se encuentra en la hoja de la jefatura (elíjala de nuevo en la lista)"&amp;" · ","")&amp;IF(OR(AND($E279&lt;&gt;"",NOT(ISNUMBER($E279))),AND($F279&lt;&gt;"",NOT(ISNUMBER($F279))),AND($G279&lt;&gt;"",NOT(ISNUMBER($G279)))),"Fecha no válida"&amp;" · ","")&amp;IF(AND(ISNUMBER($AM279),ISNUMBER($AN279),$AM279&gt;$AN279),"Inicio posterior a fecha límite"&amp;" · ","")&amp;IF(AND($V279="Macro",$H279&lt;&gt;"",OR(NOT(ISNUMBER($H279)),$H279&lt;0,$H279&gt;1)),"Peso fuera de rango"&amp;" · ","")&amp;IF(AND($V279="Sub",$H279&lt;&gt;""),"Las subactividades no llevan peso (valen igual dentro de su macroactividad)"&amp;" · ","")&amp;IF(AND(N($W279)&gt;0,COUNT($I279:$L279)&gt;0),"Con subactividades: deje vacías las semanas (se calculan solas)"&amp;" · ","")&amp;IF((COUNTIF($I279:$L279,"&gt;1")+COUNTIF($I279:$L279,"&lt;0")+COUNTA($I279:$L279)-COUNT($I279:$L279))&gt;0,"Avance fuera de rango 0-100%"&amp;" · ","")&amp;IF(OR(AND($J279&lt;&gt;"",$J279&lt;$I279),AND($K279&lt;&gt;"",$K279&lt;MAX($I279:$J279)),AND($L279&lt;&gt;"",$L279&lt;MAX($I279:$K279))),"Avance semanal decreciente"&amp;" · ","")&amp;IF(AND(ISNUMBER($AN279),$AN279&lt;FechaRef,IF($V279="Sub",N($X279),N($M279))&lt;1),"Vencida"&amp;" · ","")&amp;IF(AND(ObsObligatoria="Sí",ISNUMBER($AN279),$AN279&lt;FechaRef,IF($V279="Sub",N($X279),N($M279))&lt;1,$Q279=""),"Vencida sin observación"&amp;" · ",""))="","✔ OK","⚠ "&amp;LEFT(IF($C279="","Falta el nombre de la actividad"&amp;" · ","")&amp;IF(AND($V279="Sub",N($U279)=0),"Subactividad sin macroactividad arriba"&amp;" · ","")&amp;IF($AM279="","Sin fecha de inicio"&amp;" · ","")&amp;IF($AN279="","Sin fecha límite"&amp;" · ","")&amp;IF(AND(LEFT($C279,11)="[Jefatura] ",N($AL279)=0),"No se encuentra en la hoja de la jefatura (elíjala de nuevo en la lista)"&amp;" · ","")&amp;IF(OR(AND($E279&lt;&gt;"",NOT(ISNUMBER($E279))),AND($F279&lt;&gt;"",NOT(ISNUMBER($F279))),AND($G279&lt;&gt;"",NOT(ISNUMBER($G279)))),"Fecha no válida"&amp;" · ","")&amp;IF(AND(ISNUMBER($AM279),ISNUMBER($AN279),$AM279&gt;$AN279),"Inicio posterior a fecha límite"&amp;" · ","")&amp;IF(AND($V279="Macro",$H279&lt;&gt;"",OR(NOT(ISNUMBER($H279)),$H279&lt;0,$H279&gt;1)),"Peso fuera de rango"&amp;" · ","")&amp;IF(AND($V279="Sub",$H279&lt;&gt;""),"Las subactividades no llevan peso (valen igual dentro de su macroactividad)"&amp;" · ","")&amp;IF(AND(N($W279)&gt;0,COUNT($I279:$L279)&gt;0),"Con subactividades: deje vacías las semanas (se calculan solas)"&amp;" · ","")&amp;IF((COUNTIF($I279:$L279,"&gt;1")+COUNTIF($I279:$L279,"&lt;0")+COUNTA($I279:$L279)-COUNT($I279:$L279))&gt;0,"Avance fuera de rango 0-100%"&amp;" · ","")&amp;IF(OR(AND($J279&lt;&gt;"",$J279&lt;$I279),AND($K279&lt;&gt;"",$K279&lt;MAX($I279:$J279)),AND($L279&lt;&gt;"",$L279&lt;MAX($I279:$K279))),"Avance semanal decreciente"&amp;" · ","")&amp;IF(AND(ISNUMBER($AN279),$AN279&lt;FechaRef,IF($V279="Sub",N($X279),N($M279))&lt;1),"Vencida"&amp;" · ","")&amp;IF(AND(ObsObligatoria="Sí",ISNUMBER($AN279),$AN279&lt;FechaRef,IF($V279="Sub",N($X279),N($M279))&lt;1,$Q279=""),"Vencida sin observación"&amp;" · ",""),LEN(IF($C279="","Falta el nombre de la actividad"&amp;" · ","")&amp;IF(AND($V279="Sub",N($U279)=0),"Subactividad sin macroactividad arriba"&amp;" · ","")&amp;IF($AM279="","Sin fecha de inicio"&amp;" · ","")&amp;IF($AN279="","Sin fecha límite"&amp;" · ","")&amp;IF(AND(LEFT($C279,11)="[Jefatura] ",N($AL279)=0),"No se encuentra en la hoja de la jefatura (elíjala de nuevo en la lista)"&amp;" · ","")&amp;IF(OR(AND($E279&lt;&gt;"",NOT(ISNUMBER($E279))),AND($F279&lt;&gt;"",NOT(ISNUMBER($F279))),AND($G279&lt;&gt;"",NOT(ISNUMBER($G279)))),"Fecha no válida"&amp;" · ","")&amp;IF(AND(ISNUMBER($AM279),ISNUMBER($AN279),$AM279&gt;$AN279),"Inicio posterior a fecha límite"&amp;" · ","")&amp;IF(AND($V279="Macro",$H279&lt;&gt;"",OR(NOT(ISNUMBER($H279)),$H279&lt;0,$H279&gt;1)),"Peso fuera de rango"&amp;" · ","")&amp;IF(AND($V279="Sub",$H279&lt;&gt;""),"Las subactividades no llevan peso (valen igual dentro de su macroactividad)"&amp;" · ","")&amp;IF(AND(N($W279)&gt;0,COUNT($I279:$L279)&gt;0),"Con subactividades: deje vacías las semanas (se calculan solas)"&amp;" · ","")&amp;IF((COUNTIF($I279:$L279,"&gt;1")+COUNTIF($I279:$L279,"&lt;0")+COUNTA($I279:$L279)-COUNT($I279:$L279))&gt;0,"Avance fuera de rango 0-100%"&amp;" · ","")&amp;IF(OR(AND($J279&lt;&gt;"",$J279&lt;$I279),AND($K279&lt;&gt;"",$K279&lt;MAX($I279:$J279)),AND($L279&lt;&gt;"",$L279&lt;MAX($I279:$K279))),"Avance semanal decreciente"&amp;" · ","")&amp;IF(AND(ISNUMBER($AN279),$AN279&lt;FechaRef,IF($V279="Sub",N($X279),N($M279))&lt;1),"Vencida"&amp;" · ","")&amp;IF(AND(ObsObligatoria="Sí",ISNUMBER($AN279),$AN279&lt;FechaRef,IF($V279="Sub",N($X279),N($M279))&lt;1,$Q279=""),"Vencida sin observación"&amp;" · ",""))-3)))</f>
        <v/>
      </c>
      <c r="S279" s="64">
        <f>IF(NOT((COUNTA($B279:$D279)+COUNTA($G279:$L279)+COUNTA($Q279))&gt;0),"",IF(AND($V279="Sub",N($U279)&gt;0),IF(ISNUMBER(INDEX($AM$5:$AM$1000,$U279-4)),DATE(YEAR(INDEX($AM$5:$AM$1000,$U279-4)),MONTH(INDEX($AM$5:$AM$1000,$U279-4)),1),IF(ISNUMBER(INDEX($AN$5:$AN$1000,$U279-4)),DATE(YEAR(INDEX($AN$5:$AN$1000,$U279-4)),MONTH(INDEX($AN$5:$AN$1000,$U279-4)),1),MesCiclo)),IF(ISNUMBER($AM279),DATE(YEAR($AM279),MONTH($AM279),1),IF(ISNUMBER($AN279),DATE(YEAR($AN279),MONTH($AN279),1),MesCiclo))))</f>
        <v/>
      </c>
      <c r="T279" s="62">
        <f>IF(OR($S279="",$S279&lt;&gt;MesCiclo,$V279&lt;&gt;"Macro"),"",COUNTIFS($S$5:$S279,MesCiclo,$V$5:$V279,"Macro"))</f>
        <v/>
      </c>
      <c r="U279" s="62">
        <f>IF($V279="","",IF($V279="Macro",ROW(),IFERROR(LOOKUP(2,1/($V$5:$V279="Macro"),ROW($V$5:$V279)),0)))</f>
        <v/>
      </c>
      <c r="V279" s="62">
        <f>IF(NOT((COUNTA($B279:$D279)+COUNTA($G279:$L279)+COUNTA($Q279))&gt;0),"",IF($B279="Subactividad","Sub","Macro"))</f>
        <v/>
      </c>
      <c r="W279" s="62">
        <f>IF($V279="Macro",COUNTIFS($U$5:$U$1000,ROW(),$V$5:$V$1000,"Sub"),"")</f>
        <v/>
      </c>
      <c r="X279" s="62">
        <f>IF($V279="","",IF(ISNUMBER($G279),1,IFERROR(LOOKUP(2,1/($I279:$L279&lt;&gt;""),$I279:$L279),0)))</f>
        <v/>
      </c>
      <c r="Y279" s="62">
        <f>IF($V279="","",IF(AND(ISNUMBER($G279),$G279&lt;=IF($S279=MesCiclo,InicioCiclo,$S279+MOD(2-WEEKDAY($S279),7))+6),1,IF(ISNUMBER($I279),$I279,0)))</f>
        <v/>
      </c>
      <c r="Z279" s="62">
        <f>IF($V279="","",IF(AND(ISNUMBER($G279),$G279&lt;=IF($S279=MesCiclo,InicioCiclo,$S279+MOD(2-WEEKDAY($S279),7))+13),1,IF(ISNUMBER($J279),$J279,$Y279)))</f>
        <v/>
      </c>
      <c r="AA279" s="62">
        <f>IF($V279="","",IF(AND(ISNUMBER($G279),$G279&lt;=IF($S279=MesCiclo,InicioCiclo,$S279+MOD(2-WEEKDAY($S279),7))+20),1,IF(ISNUMBER($K279),$K279,$Z279)))</f>
        <v/>
      </c>
      <c r="AB279" s="62">
        <f>IF($V279="","",IF(AND(ISNUMBER($G279),$G279&lt;=IF($S279=MesCiclo,InicioCiclo,$S279+MOD(2-WEEKDAY($S279),7))+27),1,IF(ISNUMBER($L279),$L279,$AA279)))</f>
        <v/>
      </c>
      <c r="AC279" s="62">
        <f>IF($V279="","",IF(AND(ISNUMBER($G279),$G279&lt;=IF($S279=MesCiclo,InicioCiclo,$S279+MOD(2-WEEKDAY($S279),7))+6),1,IF(N($W279)&gt;0,AVERAGEIFS($Y$5:$Y$1000,$U$5:$U$1000,ROW(),$V$5:$V$1000,"Sub"),$Y279)))</f>
        <v/>
      </c>
      <c r="AD279" s="62">
        <f>IF($V279="","",IF(AND(ISNUMBER($G279),$G279&lt;=IF($S279=MesCiclo,InicioCiclo,$S279+MOD(2-WEEKDAY($S279),7))+13),1,IF(N($W279)&gt;0,AVERAGEIFS($Z$5:$Z$1000,$U$5:$U$1000,ROW(),$V$5:$V$1000,"Sub"),$Z279)))</f>
        <v/>
      </c>
      <c r="AE279" s="62">
        <f>IF($V279="","",IF(AND(ISNUMBER($G279),$G279&lt;=IF($S279=MesCiclo,InicioCiclo,$S279+MOD(2-WEEKDAY($S279),7))+20),1,IF(N($W279)&gt;0,AVERAGEIFS($AA$5:$AA$1000,$U$5:$U$1000,ROW(),$V$5:$V$1000,"Sub"),$AA279)))</f>
        <v/>
      </c>
      <c r="AF279" s="62">
        <f>IF($V279="","",IF(AND(ISNUMBER($G279),$G279&lt;=IF($S279=MesCiclo,InicioCiclo,$S279+MOD(2-WEEKDAY($S279),7))+27),1,IF(N($W279)&gt;0,AVERAGEIFS($AB$5:$AB$1000,$U$5:$U$1000,ROW(),$V$5:$V$1000,"Sub"),$AB279)))</f>
        <v/>
      </c>
      <c r="AG279" s="62">
        <f>IF($V279&lt;&gt;"Macro","",IF(COUNTIFS($S$5:$S$1000,$S279,$V$5:$V$1000,"Macro",$H$5:$H$1000,"&gt;0")=0,1/COUNTIFS($S$5:$S$1000,$S279,$V$5:$V$1000,"Macro"),IF(AND(ISNUMBER($H279),N($H279)&gt;0),$H279,SUMIFS($H$5:$H$1000,$S$5:$S$1000,$S279,$V$5:$V$1000,"Macro")/COUNTIFS($S$5:$S$1000,$S279,$V$5:$V$1000,"Macro",$H$5:$H$1000,"&gt;0"))/(COUNTIFS($S$5:$S$1000,$S279,$V$5:$V$1000,"Macro")*SUMIFS($H$5:$H$1000,$S$5:$S$1000,$S279,$V$5:$V$1000,"Macro")/COUNTIFS($S$5:$S$1000,$S279,$V$5:$V$1000,"Macro",$H$5:$H$1000,"&gt;0"))))</f>
        <v/>
      </c>
      <c r="AH279" s="62" t="n"/>
      <c r="AI279" s="62" t="n"/>
      <c r="AJ279" s="62" t="n"/>
      <c r="AK279" s="62" t="n"/>
      <c r="AL279" s="62">
        <f>IF(LEFT($C279,11)="[Jefatura] ",IFERROR(MATCH("Riesgo Financiero|"&amp;MID($C279,12,500),rDname_ADM,0),0),"")</f>
        <v/>
      </c>
      <c r="AM279" s="62">
        <f>IF(N($AL279)&gt;0,INDEX(rIni_ADM,$AL279),IF(ISNUMBER($E279),$E279,""))</f>
        <v/>
      </c>
      <c r="AN279" s="62">
        <f>IF(N($AL279)&gt;0,INDEX(rLim_ADM,$AL279),IF(ISNUMBER($F279),$F279,""))</f>
        <v/>
      </c>
    </row>
    <row r="280">
      <c r="A280" s="56">
        <f>IF(NOT((COUNTA($B280:$D280)+COUNTA($G280:$L280)+COUNTA($Q280))&gt;0),"",IF($V280="Macro",COUNTIFS($V$5:$V280,"Macro",$S$5:$S280,$S280),IF(N($U280)=0,"?",COUNTIFS(INDEX($V$5:$V$1000,1):INDEX($V$5:$V$1000,$U280-4),"Macro",INDEX($S$5:$S$1000,1):INDEX($S$5:$S$1000,$U280-4),INDEX($S$5:$S$1000,$U280-4))&amp;"."&amp;COUNTIFS($U$5:$U280,$U280,$V$5:$V280,"Sub"))))</f>
        <v/>
      </c>
      <c r="B280" s="57" t="n"/>
      <c r="C280" s="58" t="n"/>
      <c r="D280" s="58" t="n"/>
      <c r="E280" s="59">
        <f>IF(N($AL280)&gt;0,INDEX(rIni_ADM,$AL280),"")</f>
        <v/>
      </c>
      <c r="F280" s="59">
        <f>IF(N($AL280)&gt;0,INDEX(rLim_ADM,$AL280),"")</f>
        <v/>
      </c>
      <c r="G280" s="59" t="n"/>
      <c r="H280" s="60" t="n"/>
      <c r="I280" s="60" t="n"/>
      <c r="J280" s="60" t="n"/>
      <c r="K280" s="60" t="n"/>
      <c r="L280" s="60" t="n"/>
      <c r="M280" s="61">
        <f>IF(NOT((COUNTA($B280:$D280)+COUNTA($G280:$L280)+COUNTA($Q280))&gt;0),"",IF($V280="Sub",IFERROR($X280/INDEX($W$5:$W$1000,$U280-4),""),IF(ISNUMBER($G280),1,IF(N($W280)&gt;0,AVERAGEIFS($X$5:$X$1000,$U$5:$U$1000,ROW(),$V$5:$V$1000,"Sub"),$X280))))</f>
        <v/>
      </c>
      <c r="N280" s="56">
        <f>IF(OR($M280="",$V280="Sub"),"",IF($M280&gt;=1,"Completado",IF($M280&gt;0,"En curso","Pendiente")))</f>
        <v/>
      </c>
      <c r="O280" s="56">
        <f>IF(OR(NOT((COUNTA($B280:$D280)+COUNTA($G280:$L280)+COUNTA($Q280))&gt;0),$V280="Sub"),"",IF(ISNUMBER($G280),IF(AND(ISNUMBER($AN280),$G280&gt;$AN280),"Cumplida con "&amp;($G280-$AN280)&amp;IF($G280-$AN280=1," día"," días")&amp;" de retraso","Cumplida"),IF(N($M280)&gt;=1,"Cumplida",IF(NOT(ISNUMBER($AN280)),"Sin fecha límite",IF($AN280&lt;FechaRef,"Vencida hace "&amp;(FechaRef-$AN280)&amp;IF(FechaRef-$AN280=1," día"," días"),IF($AN280=FechaRef,"Vence hoy",IF($AN280-FechaRef&lt;=DiasAlerta,"Vence en "&amp;($AN280-FechaRef)&amp;IF($AN280-FechaRef=1," día"," días"),"En plazo")))))))</f>
        <v/>
      </c>
      <c r="P280" s="62" t="n"/>
      <c r="Q280" s="58" t="n"/>
      <c r="R280" s="63">
        <f>IF(NOT((COUNTA($B280:$D280)+COUNTA($G280:$L280)+COUNTA($Q280))&gt;0),"",IF((IF($C280="","Falta el nombre de la actividad"&amp;" · ","")&amp;IF(AND($V280="Sub",N($U280)=0),"Subactividad sin macroactividad arriba"&amp;" · ","")&amp;IF($AM280="","Sin fecha de inicio"&amp;" · ","")&amp;IF($AN280="","Sin fecha límite"&amp;" · ","")&amp;IF(AND(LEFT($C280,11)="[Jefatura] ",N($AL280)=0),"No se encuentra en la hoja de la jefatura (elíjala de nuevo en la lista)"&amp;" · ","")&amp;IF(OR(AND($E280&lt;&gt;"",NOT(ISNUMBER($E280))),AND($F280&lt;&gt;"",NOT(ISNUMBER($F280))),AND($G280&lt;&gt;"",NOT(ISNUMBER($G280)))),"Fecha no válida"&amp;" · ","")&amp;IF(AND(ISNUMBER($AM280),ISNUMBER($AN280),$AM280&gt;$AN280),"Inicio posterior a fecha límite"&amp;" · ","")&amp;IF(AND($V280="Macro",$H280&lt;&gt;"",OR(NOT(ISNUMBER($H280)),$H280&lt;0,$H280&gt;1)),"Peso fuera de rango"&amp;" · ","")&amp;IF(AND($V280="Sub",$H280&lt;&gt;""),"Las subactividades no llevan peso (valen igual dentro de su macroactividad)"&amp;" · ","")&amp;IF(AND(N($W280)&gt;0,COUNT($I280:$L280)&gt;0),"Con subactividades: deje vacías las semanas (se calculan solas)"&amp;" · ","")&amp;IF((COUNTIF($I280:$L280,"&gt;1")+COUNTIF($I280:$L280,"&lt;0")+COUNTA($I280:$L280)-COUNT($I280:$L280))&gt;0,"Avance fuera de rango 0-100%"&amp;" · ","")&amp;IF(OR(AND($J280&lt;&gt;"",$J280&lt;$I280),AND($K280&lt;&gt;"",$K280&lt;MAX($I280:$J280)),AND($L280&lt;&gt;"",$L280&lt;MAX($I280:$K280))),"Avance semanal decreciente"&amp;" · ","")&amp;IF(AND(ISNUMBER($AN280),$AN280&lt;FechaRef,IF($V280="Sub",N($X280),N($M280))&lt;1),"Vencida"&amp;" · ","")&amp;IF(AND(ObsObligatoria="Sí",ISNUMBER($AN280),$AN280&lt;FechaRef,IF($V280="Sub",N($X280),N($M280))&lt;1,$Q280=""),"Vencida sin observación"&amp;" · ",""))="","✔ OK","⚠ "&amp;LEFT(IF($C280="","Falta el nombre de la actividad"&amp;" · ","")&amp;IF(AND($V280="Sub",N($U280)=0),"Subactividad sin macroactividad arriba"&amp;" · ","")&amp;IF($AM280="","Sin fecha de inicio"&amp;" · ","")&amp;IF($AN280="","Sin fecha límite"&amp;" · ","")&amp;IF(AND(LEFT($C280,11)="[Jefatura] ",N($AL280)=0),"No se encuentra en la hoja de la jefatura (elíjala de nuevo en la lista)"&amp;" · ","")&amp;IF(OR(AND($E280&lt;&gt;"",NOT(ISNUMBER($E280))),AND($F280&lt;&gt;"",NOT(ISNUMBER($F280))),AND($G280&lt;&gt;"",NOT(ISNUMBER($G280)))),"Fecha no válida"&amp;" · ","")&amp;IF(AND(ISNUMBER($AM280),ISNUMBER($AN280),$AM280&gt;$AN280),"Inicio posterior a fecha límite"&amp;" · ","")&amp;IF(AND($V280="Macro",$H280&lt;&gt;"",OR(NOT(ISNUMBER($H280)),$H280&lt;0,$H280&gt;1)),"Peso fuera de rango"&amp;" · ","")&amp;IF(AND($V280="Sub",$H280&lt;&gt;""),"Las subactividades no llevan peso (valen igual dentro de su macroactividad)"&amp;" · ","")&amp;IF(AND(N($W280)&gt;0,COUNT($I280:$L280)&gt;0),"Con subactividades: deje vacías las semanas (se calculan solas)"&amp;" · ","")&amp;IF((COUNTIF($I280:$L280,"&gt;1")+COUNTIF($I280:$L280,"&lt;0")+COUNTA($I280:$L280)-COUNT($I280:$L280))&gt;0,"Avance fuera de rango 0-100%"&amp;" · ","")&amp;IF(OR(AND($J280&lt;&gt;"",$J280&lt;$I280),AND($K280&lt;&gt;"",$K280&lt;MAX($I280:$J280)),AND($L280&lt;&gt;"",$L280&lt;MAX($I280:$K280))),"Avance semanal decreciente"&amp;" · ","")&amp;IF(AND(ISNUMBER($AN280),$AN280&lt;FechaRef,IF($V280="Sub",N($X280),N($M280))&lt;1),"Vencida"&amp;" · ","")&amp;IF(AND(ObsObligatoria="Sí",ISNUMBER($AN280),$AN280&lt;FechaRef,IF($V280="Sub",N($X280),N($M280))&lt;1,$Q280=""),"Vencida sin observación"&amp;" · ",""),LEN(IF($C280="","Falta el nombre de la actividad"&amp;" · ","")&amp;IF(AND($V280="Sub",N($U280)=0),"Subactividad sin macroactividad arriba"&amp;" · ","")&amp;IF($AM280="","Sin fecha de inicio"&amp;" · ","")&amp;IF($AN280="","Sin fecha límite"&amp;" · ","")&amp;IF(AND(LEFT($C280,11)="[Jefatura] ",N($AL280)=0),"No se encuentra en la hoja de la jefatura (elíjala de nuevo en la lista)"&amp;" · ","")&amp;IF(OR(AND($E280&lt;&gt;"",NOT(ISNUMBER($E280))),AND($F280&lt;&gt;"",NOT(ISNUMBER($F280))),AND($G280&lt;&gt;"",NOT(ISNUMBER($G280)))),"Fecha no válida"&amp;" · ","")&amp;IF(AND(ISNUMBER($AM280),ISNUMBER($AN280),$AM280&gt;$AN280),"Inicio posterior a fecha límite"&amp;" · ","")&amp;IF(AND($V280="Macro",$H280&lt;&gt;"",OR(NOT(ISNUMBER($H280)),$H280&lt;0,$H280&gt;1)),"Peso fuera de rango"&amp;" · ","")&amp;IF(AND($V280="Sub",$H280&lt;&gt;""),"Las subactividades no llevan peso (valen igual dentro de su macroactividad)"&amp;" · ","")&amp;IF(AND(N($W280)&gt;0,COUNT($I280:$L280)&gt;0),"Con subactividades: deje vacías las semanas (se calculan solas)"&amp;" · ","")&amp;IF((COUNTIF($I280:$L280,"&gt;1")+COUNTIF($I280:$L280,"&lt;0")+COUNTA($I280:$L280)-COUNT($I280:$L280))&gt;0,"Avance fuera de rango 0-100%"&amp;" · ","")&amp;IF(OR(AND($J280&lt;&gt;"",$J280&lt;$I280),AND($K280&lt;&gt;"",$K280&lt;MAX($I280:$J280)),AND($L280&lt;&gt;"",$L280&lt;MAX($I280:$K280))),"Avance semanal decreciente"&amp;" · ","")&amp;IF(AND(ISNUMBER($AN280),$AN280&lt;FechaRef,IF($V280="Sub",N($X280),N($M280))&lt;1),"Vencida"&amp;" · ","")&amp;IF(AND(ObsObligatoria="Sí",ISNUMBER($AN280),$AN280&lt;FechaRef,IF($V280="Sub",N($X280),N($M280))&lt;1,$Q280=""),"Vencida sin observación"&amp;" · ",""))-3)))</f>
        <v/>
      </c>
      <c r="S280" s="64">
        <f>IF(NOT((COUNTA($B280:$D280)+COUNTA($G280:$L280)+COUNTA($Q280))&gt;0),"",IF(AND($V280="Sub",N($U280)&gt;0),IF(ISNUMBER(INDEX($AM$5:$AM$1000,$U280-4)),DATE(YEAR(INDEX($AM$5:$AM$1000,$U280-4)),MONTH(INDEX($AM$5:$AM$1000,$U280-4)),1),IF(ISNUMBER(INDEX($AN$5:$AN$1000,$U280-4)),DATE(YEAR(INDEX($AN$5:$AN$1000,$U280-4)),MONTH(INDEX($AN$5:$AN$1000,$U280-4)),1),MesCiclo)),IF(ISNUMBER($AM280),DATE(YEAR($AM280),MONTH($AM280),1),IF(ISNUMBER($AN280),DATE(YEAR($AN280),MONTH($AN280),1),MesCiclo))))</f>
        <v/>
      </c>
      <c r="T280" s="62">
        <f>IF(OR($S280="",$S280&lt;&gt;MesCiclo,$V280&lt;&gt;"Macro"),"",COUNTIFS($S$5:$S280,MesCiclo,$V$5:$V280,"Macro"))</f>
        <v/>
      </c>
      <c r="U280" s="62">
        <f>IF($V280="","",IF($V280="Macro",ROW(),IFERROR(LOOKUP(2,1/($V$5:$V280="Macro"),ROW($V$5:$V280)),0)))</f>
        <v/>
      </c>
      <c r="V280" s="62">
        <f>IF(NOT((COUNTA($B280:$D280)+COUNTA($G280:$L280)+COUNTA($Q280))&gt;0),"",IF($B280="Subactividad","Sub","Macro"))</f>
        <v/>
      </c>
      <c r="W280" s="62">
        <f>IF($V280="Macro",COUNTIFS($U$5:$U$1000,ROW(),$V$5:$V$1000,"Sub"),"")</f>
        <v/>
      </c>
      <c r="X280" s="62">
        <f>IF($V280="","",IF(ISNUMBER($G280),1,IFERROR(LOOKUP(2,1/($I280:$L280&lt;&gt;""),$I280:$L280),0)))</f>
        <v/>
      </c>
      <c r="Y280" s="62">
        <f>IF($V280="","",IF(AND(ISNUMBER($G280),$G280&lt;=IF($S280=MesCiclo,InicioCiclo,$S280+MOD(2-WEEKDAY($S280),7))+6),1,IF(ISNUMBER($I280),$I280,0)))</f>
        <v/>
      </c>
      <c r="Z280" s="62">
        <f>IF($V280="","",IF(AND(ISNUMBER($G280),$G280&lt;=IF($S280=MesCiclo,InicioCiclo,$S280+MOD(2-WEEKDAY($S280),7))+13),1,IF(ISNUMBER($J280),$J280,$Y280)))</f>
        <v/>
      </c>
      <c r="AA280" s="62">
        <f>IF($V280="","",IF(AND(ISNUMBER($G280),$G280&lt;=IF($S280=MesCiclo,InicioCiclo,$S280+MOD(2-WEEKDAY($S280),7))+20),1,IF(ISNUMBER($K280),$K280,$Z280)))</f>
        <v/>
      </c>
      <c r="AB280" s="62">
        <f>IF($V280="","",IF(AND(ISNUMBER($G280),$G280&lt;=IF($S280=MesCiclo,InicioCiclo,$S280+MOD(2-WEEKDAY($S280),7))+27),1,IF(ISNUMBER($L280),$L280,$AA280)))</f>
        <v/>
      </c>
      <c r="AC280" s="62">
        <f>IF($V280="","",IF(AND(ISNUMBER($G280),$G280&lt;=IF($S280=MesCiclo,InicioCiclo,$S280+MOD(2-WEEKDAY($S280),7))+6),1,IF(N($W280)&gt;0,AVERAGEIFS($Y$5:$Y$1000,$U$5:$U$1000,ROW(),$V$5:$V$1000,"Sub"),$Y280)))</f>
        <v/>
      </c>
      <c r="AD280" s="62">
        <f>IF($V280="","",IF(AND(ISNUMBER($G280),$G280&lt;=IF($S280=MesCiclo,InicioCiclo,$S280+MOD(2-WEEKDAY($S280),7))+13),1,IF(N($W280)&gt;0,AVERAGEIFS($Z$5:$Z$1000,$U$5:$U$1000,ROW(),$V$5:$V$1000,"Sub"),$Z280)))</f>
        <v/>
      </c>
      <c r="AE280" s="62">
        <f>IF($V280="","",IF(AND(ISNUMBER($G280),$G280&lt;=IF($S280=MesCiclo,InicioCiclo,$S280+MOD(2-WEEKDAY($S280),7))+20),1,IF(N($W280)&gt;0,AVERAGEIFS($AA$5:$AA$1000,$U$5:$U$1000,ROW(),$V$5:$V$1000,"Sub"),$AA280)))</f>
        <v/>
      </c>
      <c r="AF280" s="62">
        <f>IF($V280="","",IF(AND(ISNUMBER($G280),$G280&lt;=IF($S280=MesCiclo,InicioCiclo,$S280+MOD(2-WEEKDAY($S280),7))+27),1,IF(N($W280)&gt;0,AVERAGEIFS($AB$5:$AB$1000,$U$5:$U$1000,ROW(),$V$5:$V$1000,"Sub"),$AB280)))</f>
        <v/>
      </c>
      <c r="AG280" s="62">
        <f>IF($V280&lt;&gt;"Macro","",IF(COUNTIFS($S$5:$S$1000,$S280,$V$5:$V$1000,"Macro",$H$5:$H$1000,"&gt;0")=0,1/COUNTIFS($S$5:$S$1000,$S280,$V$5:$V$1000,"Macro"),IF(AND(ISNUMBER($H280),N($H280)&gt;0),$H280,SUMIFS($H$5:$H$1000,$S$5:$S$1000,$S280,$V$5:$V$1000,"Macro")/COUNTIFS($S$5:$S$1000,$S280,$V$5:$V$1000,"Macro",$H$5:$H$1000,"&gt;0"))/(COUNTIFS($S$5:$S$1000,$S280,$V$5:$V$1000,"Macro")*SUMIFS($H$5:$H$1000,$S$5:$S$1000,$S280,$V$5:$V$1000,"Macro")/COUNTIFS($S$5:$S$1000,$S280,$V$5:$V$1000,"Macro",$H$5:$H$1000,"&gt;0"))))</f>
        <v/>
      </c>
      <c r="AH280" s="62" t="n"/>
      <c r="AI280" s="62" t="n"/>
      <c r="AJ280" s="62" t="n"/>
      <c r="AK280" s="62" t="n"/>
      <c r="AL280" s="62">
        <f>IF(LEFT($C280,11)="[Jefatura] ",IFERROR(MATCH("Riesgo Financiero|"&amp;MID($C280,12,500),rDname_ADM,0),0),"")</f>
        <v/>
      </c>
      <c r="AM280" s="62">
        <f>IF(N($AL280)&gt;0,INDEX(rIni_ADM,$AL280),IF(ISNUMBER($E280),$E280,""))</f>
        <v/>
      </c>
      <c r="AN280" s="62">
        <f>IF(N($AL280)&gt;0,INDEX(rLim_ADM,$AL280),IF(ISNUMBER($F280),$F280,""))</f>
        <v/>
      </c>
    </row>
    <row r="281">
      <c r="A281" s="56">
        <f>IF(NOT((COUNTA($B281:$D281)+COUNTA($G281:$L281)+COUNTA($Q281))&gt;0),"",IF($V281="Macro",COUNTIFS($V$5:$V281,"Macro",$S$5:$S281,$S281),IF(N($U281)=0,"?",COUNTIFS(INDEX($V$5:$V$1000,1):INDEX($V$5:$V$1000,$U281-4),"Macro",INDEX($S$5:$S$1000,1):INDEX($S$5:$S$1000,$U281-4),INDEX($S$5:$S$1000,$U281-4))&amp;"."&amp;COUNTIFS($U$5:$U281,$U281,$V$5:$V281,"Sub"))))</f>
        <v/>
      </c>
      <c r="B281" s="57" t="n"/>
      <c r="C281" s="58" t="n"/>
      <c r="D281" s="58" t="n"/>
      <c r="E281" s="59">
        <f>IF(N($AL281)&gt;0,INDEX(rIni_ADM,$AL281),"")</f>
        <v/>
      </c>
      <c r="F281" s="59">
        <f>IF(N($AL281)&gt;0,INDEX(rLim_ADM,$AL281),"")</f>
        <v/>
      </c>
      <c r="G281" s="59" t="n"/>
      <c r="H281" s="60" t="n"/>
      <c r="I281" s="60" t="n"/>
      <c r="J281" s="60" t="n"/>
      <c r="K281" s="60" t="n"/>
      <c r="L281" s="60" t="n"/>
      <c r="M281" s="61">
        <f>IF(NOT((COUNTA($B281:$D281)+COUNTA($G281:$L281)+COUNTA($Q281))&gt;0),"",IF($V281="Sub",IFERROR($X281/INDEX($W$5:$W$1000,$U281-4),""),IF(ISNUMBER($G281),1,IF(N($W281)&gt;0,AVERAGEIFS($X$5:$X$1000,$U$5:$U$1000,ROW(),$V$5:$V$1000,"Sub"),$X281))))</f>
        <v/>
      </c>
      <c r="N281" s="56">
        <f>IF(OR($M281="",$V281="Sub"),"",IF($M281&gt;=1,"Completado",IF($M281&gt;0,"En curso","Pendiente")))</f>
        <v/>
      </c>
      <c r="O281" s="56">
        <f>IF(OR(NOT((COUNTA($B281:$D281)+COUNTA($G281:$L281)+COUNTA($Q281))&gt;0),$V281="Sub"),"",IF(ISNUMBER($G281),IF(AND(ISNUMBER($AN281),$G281&gt;$AN281),"Cumplida con "&amp;($G281-$AN281)&amp;IF($G281-$AN281=1," día"," días")&amp;" de retraso","Cumplida"),IF(N($M281)&gt;=1,"Cumplida",IF(NOT(ISNUMBER($AN281)),"Sin fecha límite",IF($AN281&lt;FechaRef,"Vencida hace "&amp;(FechaRef-$AN281)&amp;IF(FechaRef-$AN281=1," día"," días"),IF($AN281=FechaRef,"Vence hoy",IF($AN281-FechaRef&lt;=DiasAlerta,"Vence en "&amp;($AN281-FechaRef)&amp;IF($AN281-FechaRef=1," día"," días"),"En plazo")))))))</f>
        <v/>
      </c>
      <c r="P281" s="62" t="n"/>
      <c r="Q281" s="58" t="n"/>
      <c r="R281" s="63">
        <f>IF(NOT((COUNTA($B281:$D281)+COUNTA($G281:$L281)+COUNTA($Q281))&gt;0),"",IF((IF($C281="","Falta el nombre de la actividad"&amp;" · ","")&amp;IF(AND($V281="Sub",N($U281)=0),"Subactividad sin macroactividad arriba"&amp;" · ","")&amp;IF($AM281="","Sin fecha de inicio"&amp;" · ","")&amp;IF($AN281="","Sin fecha límite"&amp;" · ","")&amp;IF(AND(LEFT($C281,11)="[Jefatura] ",N($AL281)=0),"No se encuentra en la hoja de la jefatura (elíjala de nuevo en la lista)"&amp;" · ","")&amp;IF(OR(AND($E281&lt;&gt;"",NOT(ISNUMBER($E281))),AND($F281&lt;&gt;"",NOT(ISNUMBER($F281))),AND($G281&lt;&gt;"",NOT(ISNUMBER($G281)))),"Fecha no válida"&amp;" · ","")&amp;IF(AND(ISNUMBER($AM281),ISNUMBER($AN281),$AM281&gt;$AN281),"Inicio posterior a fecha límite"&amp;" · ","")&amp;IF(AND($V281="Macro",$H281&lt;&gt;"",OR(NOT(ISNUMBER($H281)),$H281&lt;0,$H281&gt;1)),"Peso fuera de rango"&amp;" · ","")&amp;IF(AND($V281="Sub",$H281&lt;&gt;""),"Las subactividades no llevan peso (valen igual dentro de su macroactividad)"&amp;" · ","")&amp;IF(AND(N($W281)&gt;0,COUNT($I281:$L281)&gt;0),"Con subactividades: deje vacías las semanas (se calculan solas)"&amp;" · ","")&amp;IF((COUNTIF($I281:$L281,"&gt;1")+COUNTIF($I281:$L281,"&lt;0")+COUNTA($I281:$L281)-COUNT($I281:$L281))&gt;0,"Avance fuera de rango 0-100%"&amp;" · ","")&amp;IF(OR(AND($J281&lt;&gt;"",$J281&lt;$I281),AND($K281&lt;&gt;"",$K281&lt;MAX($I281:$J281)),AND($L281&lt;&gt;"",$L281&lt;MAX($I281:$K281))),"Avance semanal decreciente"&amp;" · ","")&amp;IF(AND(ISNUMBER($AN281),$AN281&lt;FechaRef,IF($V281="Sub",N($X281),N($M281))&lt;1),"Vencida"&amp;" · ","")&amp;IF(AND(ObsObligatoria="Sí",ISNUMBER($AN281),$AN281&lt;FechaRef,IF($V281="Sub",N($X281),N($M281))&lt;1,$Q281=""),"Vencida sin observación"&amp;" · ",""))="","✔ OK","⚠ "&amp;LEFT(IF($C281="","Falta el nombre de la actividad"&amp;" · ","")&amp;IF(AND($V281="Sub",N($U281)=0),"Subactividad sin macroactividad arriba"&amp;" · ","")&amp;IF($AM281="","Sin fecha de inicio"&amp;" · ","")&amp;IF($AN281="","Sin fecha límite"&amp;" · ","")&amp;IF(AND(LEFT($C281,11)="[Jefatura] ",N($AL281)=0),"No se encuentra en la hoja de la jefatura (elíjala de nuevo en la lista)"&amp;" · ","")&amp;IF(OR(AND($E281&lt;&gt;"",NOT(ISNUMBER($E281))),AND($F281&lt;&gt;"",NOT(ISNUMBER($F281))),AND($G281&lt;&gt;"",NOT(ISNUMBER($G281)))),"Fecha no válida"&amp;" · ","")&amp;IF(AND(ISNUMBER($AM281),ISNUMBER($AN281),$AM281&gt;$AN281),"Inicio posterior a fecha límite"&amp;" · ","")&amp;IF(AND($V281="Macro",$H281&lt;&gt;"",OR(NOT(ISNUMBER($H281)),$H281&lt;0,$H281&gt;1)),"Peso fuera de rango"&amp;" · ","")&amp;IF(AND($V281="Sub",$H281&lt;&gt;""),"Las subactividades no llevan peso (valen igual dentro de su macroactividad)"&amp;" · ","")&amp;IF(AND(N($W281)&gt;0,COUNT($I281:$L281)&gt;0),"Con subactividades: deje vacías las semanas (se calculan solas)"&amp;" · ","")&amp;IF((COUNTIF($I281:$L281,"&gt;1")+COUNTIF($I281:$L281,"&lt;0")+COUNTA($I281:$L281)-COUNT($I281:$L281))&gt;0,"Avance fuera de rango 0-100%"&amp;" · ","")&amp;IF(OR(AND($J281&lt;&gt;"",$J281&lt;$I281),AND($K281&lt;&gt;"",$K281&lt;MAX($I281:$J281)),AND($L281&lt;&gt;"",$L281&lt;MAX($I281:$K281))),"Avance semanal decreciente"&amp;" · ","")&amp;IF(AND(ISNUMBER($AN281),$AN281&lt;FechaRef,IF($V281="Sub",N($X281),N($M281))&lt;1),"Vencida"&amp;" · ","")&amp;IF(AND(ObsObligatoria="Sí",ISNUMBER($AN281),$AN281&lt;FechaRef,IF($V281="Sub",N($X281),N($M281))&lt;1,$Q281=""),"Vencida sin observación"&amp;" · ",""),LEN(IF($C281="","Falta el nombre de la actividad"&amp;" · ","")&amp;IF(AND($V281="Sub",N($U281)=0),"Subactividad sin macroactividad arriba"&amp;" · ","")&amp;IF($AM281="","Sin fecha de inicio"&amp;" · ","")&amp;IF($AN281="","Sin fecha límite"&amp;" · ","")&amp;IF(AND(LEFT($C281,11)="[Jefatura] ",N($AL281)=0),"No se encuentra en la hoja de la jefatura (elíjala de nuevo en la lista)"&amp;" · ","")&amp;IF(OR(AND($E281&lt;&gt;"",NOT(ISNUMBER($E281))),AND($F281&lt;&gt;"",NOT(ISNUMBER($F281))),AND($G281&lt;&gt;"",NOT(ISNUMBER($G281)))),"Fecha no válida"&amp;" · ","")&amp;IF(AND(ISNUMBER($AM281),ISNUMBER($AN281),$AM281&gt;$AN281),"Inicio posterior a fecha límite"&amp;" · ","")&amp;IF(AND($V281="Macro",$H281&lt;&gt;"",OR(NOT(ISNUMBER($H281)),$H281&lt;0,$H281&gt;1)),"Peso fuera de rango"&amp;" · ","")&amp;IF(AND($V281="Sub",$H281&lt;&gt;""),"Las subactividades no llevan peso (valen igual dentro de su macroactividad)"&amp;" · ","")&amp;IF(AND(N($W281)&gt;0,COUNT($I281:$L281)&gt;0),"Con subactividades: deje vacías las semanas (se calculan solas)"&amp;" · ","")&amp;IF((COUNTIF($I281:$L281,"&gt;1")+COUNTIF($I281:$L281,"&lt;0")+COUNTA($I281:$L281)-COUNT($I281:$L281))&gt;0,"Avance fuera de rango 0-100%"&amp;" · ","")&amp;IF(OR(AND($J281&lt;&gt;"",$J281&lt;$I281),AND($K281&lt;&gt;"",$K281&lt;MAX($I281:$J281)),AND($L281&lt;&gt;"",$L281&lt;MAX($I281:$K281))),"Avance semanal decreciente"&amp;" · ","")&amp;IF(AND(ISNUMBER($AN281),$AN281&lt;FechaRef,IF($V281="Sub",N($X281),N($M281))&lt;1),"Vencida"&amp;" · ","")&amp;IF(AND(ObsObligatoria="Sí",ISNUMBER($AN281),$AN281&lt;FechaRef,IF($V281="Sub",N($X281),N($M281))&lt;1,$Q281=""),"Vencida sin observación"&amp;" · ",""))-3)))</f>
        <v/>
      </c>
      <c r="S281" s="64">
        <f>IF(NOT((COUNTA($B281:$D281)+COUNTA($G281:$L281)+COUNTA($Q281))&gt;0),"",IF(AND($V281="Sub",N($U281)&gt;0),IF(ISNUMBER(INDEX($AM$5:$AM$1000,$U281-4)),DATE(YEAR(INDEX($AM$5:$AM$1000,$U281-4)),MONTH(INDEX($AM$5:$AM$1000,$U281-4)),1),IF(ISNUMBER(INDEX($AN$5:$AN$1000,$U281-4)),DATE(YEAR(INDEX($AN$5:$AN$1000,$U281-4)),MONTH(INDEX($AN$5:$AN$1000,$U281-4)),1),MesCiclo)),IF(ISNUMBER($AM281),DATE(YEAR($AM281),MONTH($AM281),1),IF(ISNUMBER($AN281),DATE(YEAR($AN281),MONTH($AN281),1),MesCiclo))))</f>
        <v/>
      </c>
      <c r="T281" s="62">
        <f>IF(OR($S281="",$S281&lt;&gt;MesCiclo,$V281&lt;&gt;"Macro"),"",COUNTIFS($S$5:$S281,MesCiclo,$V$5:$V281,"Macro"))</f>
        <v/>
      </c>
      <c r="U281" s="62">
        <f>IF($V281="","",IF($V281="Macro",ROW(),IFERROR(LOOKUP(2,1/($V$5:$V281="Macro"),ROW($V$5:$V281)),0)))</f>
        <v/>
      </c>
      <c r="V281" s="62">
        <f>IF(NOT((COUNTA($B281:$D281)+COUNTA($G281:$L281)+COUNTA($Q281))&gt;0),"",IF($B281="Subactividad","Sub","Macro"))</f>
        <v/>
      </c>
      <c r="W281" s="62">
        <f>IF($V281="Macro",COUNTIFS($U$5:$U$1000,ROW(),$V$5:$V$1000,"Sub"),"")</f>
        <v/>
      </c>
      <c r="X281" s="62">
        <f>IF($V281="","",IF(ISNUMBER($G281),1,IFERROR(LOOKUP(2,1/($I281:$L281&lt;&gt;""),$I281:$L281),0)))</f>
        <v/>
      </c>
      <c r="Y281" s="62">
        <f>IF($V281="","",IF(AND(ISNUMBER($G281),$G281&lt;=IF($S281=MesCiclo,InicioCiclo,$S281+MOD(2-WEEKDAY($S281),7))+6),1,IF(ISNUMBER($I281),$I281,0)))</f>
        <v/>
      </c>
      <c r="Z281" s="62">
        <f>IF($V281="","",IF(AND(ISNUMBER($G281),$G281&lt;=IF($S281=MesCiclo,InicioCiclo,$S281+MOD(2-WEEKDAY($S281),7))+13),1,IF(ISNUMBER($J281),$J281,$Y281)))</f>
        <v/>
      </c>
      <c r="AA281" s="62">
        <f>IF($V281="","",IF(AND(ISNUMBER($G281),$G281&lt;=IF($S281=MesCiclo,InicioCiclo,$S281+MOD(2-WEEKDAY($S281),7))+20),1,IF(ISNUMBER($K281),$K281,$Z281)))</f>
        <v/>
      </c>
      <c r="AB281" s="62">
        <f>IF($V281="","",IF(AND(ISNUMBER($G281),$G281&lt;=IF($S281=MesCiclo,InicioCiclo,$S281+MOD(2-WEEKDAY($S281),7))+27),1,IF(ISNUMBER($L281),$L281,$AA281)))</f>
        <v/>
      </c>
      <c r="AC281" s="62">
        <f>IF($V281="","",IF(AND(ISNUMBER($G281),$G281&lt;=IF($S281=MesCiclo,InicioCiclo,$S281+MOD(2-WEEKDAY($S281),7))+6),1,IF(N($W281)&gt;0,AVERAGEIFS($Y$5:$Y$1000,$U$5:$U$1000,ROW(),$V$5:$V$1000,"Sub"),$Y281)))</f>
        <v/>
      </c>
      <c r="AD281" s="62">
        <f>IF($V281="","",IF(AND(ISNUMBER($G281),$G281&lt;=IF($S281=MesCiclo,InicioCiclo,$S281+MOD(2-WEEKDAY($S281),7))+13),1,IF(N($W281)&gt;0,AVERAGEIFS($Z$5:$Z$1000,$U$5:$U$1000,ROW(),$V$5:$V$1000,"Sub"),$Z281)))</f>
        <v/>
      </c>
      <c r="AE281" s="62">
        <f>IF($V281="","",IF(AND(ISNUMBER($G281),$G281&lt;=IF($S281=MesCiclo,InicioCiclo,$S281+MOD(2-WEEKDAY($S281),7))+20),1,IF(N($W281)&gt;0,AVERAGEIFS($AA$5:$AA$1000,$U$5:$U$1000,ROW(),$V$5:$V$1000,"Sub"),$AA281)))</f>
        <v/>
      </c>
      <c r="AF281" s="62">
        <f>IF($V281="","",IF(AND(ISNUMBER($G281),$G281&lt;=IF($S281=MesCiclo,InicioCiclo,$S281+MOD(2-WEEKDAY($S281),7))+27),1,IF(N($W281)&gt;0,AVERAGEIFS($AB$5:$AB$1000,$U$5:$U$1000,ROW(),$V$5:$V$1000,"Sub"),$AB281)))</f>
        <v/>
      </c>
      <c r="AG281" s="62">
        <f>IF($V281&lt;&gt;"Macro","",IF(COUNTIFS($S$5:$S$1000,$S281,$V$5:$V$1000,"Macro",$H$5:$H$1000,"&gt;0")=0,1/COUNTIFS($S$5:$S$1000,$S281,$V$5:$V$1000,"Macro"),IF(AND(ISNUMBER($H281),N($H281)&gt;0),$H281,SUMIFS($H$5:$H$1000,$S$5:$S$1000,$S281,$V$5:$V$1000,"Macro")/COUNTIFS($S$5:$S$1000,$S281,$V$5:$V$1000,"Macro",$H$5:$H$1000,"&gt;0"))/(COUNTIFS($S$5:$S$1000,$S281,$V$5:$V$1000,"Macro")*SUMIFS($H$5:$H$1000,$S$5:$S$1000,$S281,$V$5:$V$1000,"Macro")/COUNTIFS($S$5:$S$1000,$S281,$V$5:$V$1000,"Macro",$H$5:$H$1000,"&gt;0"))))</f>
        <v/>
      </c>
      <c r="AH281" s="62" t="n"/>
      <c r="AI281" s="62" t="n"/>
      <c r="AJ281" s="62" t="n"/>
      <c r="AK281" s="62" t="n"/>
      <c r="AL281" s="62">
        <f>IF(LEFT($C281,11)="[Jefatura] ",IFERROR(MATCH("Riesgo Financiero|"&amp;MID($C281,12,500),rDname_ADM,0),0),"")</f>
        <v/>
      </c>
      <c r="AM281" s="62">
        <f>IF(N($AL281)&gt;0,INDEX(rIni_ADM,$AL281),IF(ISNUMBER($E281),$E281,""))</f>
        <v/>
      </c>
      <c r="AN281" s="62">
        <f>IF(N($AL281)&gt;0,INDEX(rLim_ADM,$AL281),IF(ISNUMBER($F281),$F281,""))</f>
        <v/>
      </c>
    </row>
    <row r="282">
      <c r="A282" s="56">
        <f>IF(NOT((COUNTA($B282:$D282)+COUNTA($G282:$L282)+COUNTA($Q282))&gt;0),"",IF($V282="Macro",COUNTIFS($V$5:$V282,"Macro",$S$5:$S282,$S282),IF(N($U282)=0,"?",COUNTIFS(INDEX($V$5:$V$1000,1):INDEX($V$5:$V$1000,$U282-4),"Macro",INDEX($S$5:$S$1000,1):INDEX($S$5:$S$1000,$U282-4),INDEX($S$5:$S$1000,$U282-4))&amp;"."&amp;COUNTIFS($U$5:$U282,$U282,$V$5:$V282,"Sub"))))</f>
        <v/>
      </c>
      <c r="B282" s="57" t="n"/>
      <c r="C282" s="58" t="n"/>
      <c r="D282" s="58" t="n"/>
      <c r="E282" s="59">
        <f>IF(N($AL282)&gt;0,INDEX(rIni_ADM,$AL282),"")</f>
        <v/>
      </c>
      <c r="F282" s="59">
        <f>IF(N($AL282)&gt;0,INDEX(rLim_ADM,$AL282),"")</f>
        <v/>
      </c>
      <c r="G282" s="59" t="n"/>
      <c r="H282" s="60" t="n"/>
      <c r="I282" s="60" t="n"/>
      <c r="J282" s="60" t="n"/>
      <c r="K282" s="60" t="n"/>
      <c r="L282" s="60" t="n"/>
      <c r="M282" s="61">
        <f>IF(NOT((COUNTA($B282:$D282)+COUNTA($G282:$L282)+COUNTA($Q282))&gt;0),"",IF($V282="Sub",IFERROR($X282/INDEX($W$5:$W$1000,$U282-4),""),IF(ISNUMBER($G282),1,IF(N($W282)&gt;0,AVERAGEIFS($X$5:$X$1000,$U$5:$U$1000,ROW(),$V$5:$V$1000,"Sub"),$X282))))</f>
        <v/>
      </c>
      <c r="N282" s="56">
        <f>IF(OR($M282="",$V282="Sub"),"",IF($M282&gt;=1,"Completado",IF($M282&gt;0,"En curso","Pendiente")))</f>
        <v/>
      </c>
      <c r="O282" s="56">
        <f>IF(OR(NOT((COUNTA($B282:$D282)+COUNTA($G282:$L282)+COUNTA($Q282))&gt;0),$V282="Sub"),"",IF(ISNUMBER($G282),IF(AND(ISNUMBER($AN282),$G282&gt;$AN282),"Cumplida con "&amp;($G282-$AN282)&amp;IF($G282-$AN282=1," día"," días")&amp;" de retraso","Cumplida"),IF(N($M282)&gt;=1,"Cumplida",IF(NOT(ISNUMBER($AN282)),"Sin fecha límite",IF($AN282&lt;FechaRef,"Vencida hace "&amp;(FechaRef-$AN282)&amp;IF(FechaRef-$AN282=1," día"," días"),IF($AN282=FechaRef,"Vence hoy",IF($AN282-FechaRef&lt;=DiasAlerta,"Vence en "&amp;($AN282-FechaRef)&amp;IF($AN282-FechaRef=1," día"," días"),"En plazo")))))))</f>
        <v/>
      </c>
      <c r="P282" s="62" t="n"/>
      <c r="Q282" s="58" t="n"/>
      <c r="R282" s="63">
        <f>IF(NOT((COUNTA($B282:$D282)+COUNTA($G282:$L282)+COUNTA($Q282))&gt;0),"",IF((IF($C282="","Falta el nombre de la actividad"&amp;" · ","")&amp;IF(AND($V282="Sub",N($U282)=0),"Subactividad sin macroactividad arriba"&amp;" · ","")&amp;IF($AM282="","Sin fecha de inicio"&amp;" · ","")&amp;IF($AN282="","Sin fecha límite"&amp;" · ","")&amp;IF(AND(LEFT($C282,11)="[Jefatura] ",N($AL282)=0),"No se encuentra en la hoja de la jefatura (elíjala de nuevo en la lista)"&amp;" · ","")&amp;IF(OR(AND($E282&lt;&gt;"",NOT(ISNUMBER($E282))),AND($F282&lt;&gt;"",NOT(ISNUMBER($F282))),AND($G282&lt;&gt;"",NOT(ISNUMBER($G282)))),"Fecha no válida"&amp;" · ","")&amp;IF(AND(ISNUMBER($AM282),ISNUMBER($AN282),$AM282&gt;$AN282),"Inicio posterior a fecha límite"&amp;" · ","")&amp;IF(AND($V282="Macro",$H282&lt;&gt;"",OR(NOT(ISNUMBER($H282)),$H282&lt;0,$H282&gt;1)),"Peso fuera de rango"&amp;" · ","")&amp;IF(AND($V282="Sub",$H282&lt;&gt;""),"Las subactividades no llevan peso (valen igual dentro de su macroactividad)"&amp;" · ","")&amp;IF(AND(N($W282)&gt;0,COUNT($I282:$L282)&gt;0),"Con subactividades: deje vacías las semanas (se calculan solas)"&amp;" · ","")&amp;IF((COUNTIF($I282:$L282,"&gt;1")+COUNTIF($I282:$L282,"&lt;0")+COUNTA($I282:$L282)-COUNT($I282:$L282))&gt;0,"Avance fuera de rango 0-100%"&amp;" · ","")&amp;IF(OR(AND($J282&lt;&gt;"",$J282&lt;$I282),AND($K282&lt;&gt;"",$K282&lt;MAX($I282:$J282)),AND($L282&lt;&gt;"",$L282&lt;MAX($I282:$K282))),"Avance semanal decreciente"&amp;" · ","")&amp;IF(AND(ISNUMBER($AN282),$AN282&lt;FechaRef,IF($V282="Sub",N($X282),N($M282))&lt;1),"Vencida"&amp;" · ","")&amp;IF(AND(ObsObligatoria="Sí",ISNUMBER($AN282),$AN282&lt;FechaRef,IF($V282="Sub",N($X282),N($M282))&lt;1,$Q282=""),"Vencida sin observación"&amp;" · ",""))="","✔ OK","⚠ "&amp;LEFT(IF($C282="","Falta el nombre de la actividad"&amp;" · ","")&amp;IF(AND($V282="Sub",N($U282)=0),"Subactividad sin macroactividad arriba"&amp;" · ","")&amp;IF($AM282="","Sin fecha de inicio"&amp;" · ","")&amp;IF($AN282="","Sin fecha límite"&amp;" · ","")&amp;IF(AND(LEFT($C282,11)="[Jefatura] ",N($AL282)=0),"No se encuentra en la hoja de la jefatura (elíjala de nuevo en la lista)"&amp;" · ","")&amp;IF(OR(AND($E282&lt;&gt;"",NOT(ISNUMBER($E282))),AND($F282&lt;&gt;"",NOT(ISNUMBER($F282))),AND($G282&lt;&gt;"",NOT(ISNUMBER($G282)))),"Fecha no válida"&amp;" · ","")&amp;IF(AND(ISNUMBER($AM282),ISNUMBER($AN282),$AM282&gt;$AN282),"Inicio posterior a fecha límite"&amp;" · ","")&amp;IF(AND($V282="Macro",$H282&lt;&gt;"",OR(NOT(ISNUMBER($H282)),$H282&lt;0,$H282&gt;1)),"Peso fuera de rango"&amp;" · ","")&amp;IF(AND($V282="Sub",$H282&lt;&gt;""),"Las subactividades no llevan peso (valen igual dentro de su macroactividad)"&amp;" · ","")&amp;IF(AND(N($W282)&gt;0,COUNT($I282:$L282)&gt;0),"Con subactividades: deje vacías las semanas (se calculan solas)"&amp;" · ","")&amp;IF((COUNTIF($I282:$L282,"&gt;1")+COUNTIF($I282:$L282,"&lt;0")+COUNTA($I282:$L282)-COUNT($I282:$L282))&gt;0,"Avance fuera de rango 0-100%"&amp;" · ","")&amp;IF(OR(AND($J282&lt;&gt;"",$J282&lt;$I282),AND($K282&lt;&gt;"",$K282&lt;MAX($I282:$J282)),AND($L282&lt;&gt;"",$L282&lt;MAX($I282:$K282))),"Avance semanal decreciente"&amp;" · ","")&amp;IF(AND(ISNUMBER($AN282),$AN282&lt;FechaRef,IF($V282="Sub",N($X282),N($M282))&lt;1),"Vencida"&amp;" · ","")&amp;IF(AND(ObsObligatoria="Sí",ISNUMBER($AN282),$AN282&lt;FechaRef,IF($V282="Sub",N($X282),N($M282))&lt;1,$Q282=""),"Vencida sin observación"&amp;" · ",""),LEN(IF($C282="","Falta el nombre de la actividad"&amp;" · ","")&amp;IF(AND($V282="Sub",N($U282)=0),"Subactividad sin macroactividad arriba"&amp;" · ","")&amp;IF($AM282="","Sin fecha de inicio"&amp;" · ","")&amp;IF($AN282="","Sin fecha límite"&amp;" · ","")&amp;IF(AND(LEFT($C282,11)="[Jefatura] ",N($AL282)=0),"No se encuentra en la hoja de la jefatura (elíjala de nuevo en la lista)"&amp;" · ","")&amp;IF(OR(AND($E282&lt;&gt;"",NOT(ISNUMBER($E282))),AND($F282&lt;&gt;"",NOT(ISNUMBER($F282))),AND($G282&lt;&gt;"",NOT(ISNUMBER($G282)))),"Fecha no válida"&amp;" · ","")&amp;IF(AND(ISNUMBER($AM282),ISNUMBER($AN282),$AM282&gt;$AN282),"Inicio posterior a fecha límite"&amp;" · ","")&amp;IF(AND($V282="Macro",$H282&lt;&gt;"",OR(NOT(ISNUMBER($H282)),$H282&lt;0,$H282&gt;1)),"Peso fuera de rango"&amp;" · ","")&amp;IF(AND($V282="Sub",$H282&lt;&gt;""),"Las subactividades no llevan peso (valen igual dentro de su macroactividad)"&amp;" · ","")&amp;IF(AND(N($W282)&gt;0,COUNT($I282:$L282)&gt;0),"Con subactividades: deje vacías las semanas (se calculan solas)"&amp;" · ","")&amp;IF((COUNTIF($I282:$L282,"&gt;1")+COUNTIF($I282:$L282,"&lt;0")+COUNTA($I282:$L282)-COUNT($I282:$L282))&gt;0,"Avance fuera de rango 0-100%"&amp;" · ","")&amp;IF(OR(AND($J282&lt;&gt;"",$J282&lt;$I282),AND($K282&lt;&gt;"",$K282&lt;MAX($I282:$J282)),AND($L282&lt;&gt;"",$L282&lt;MAX($I282:$K282))),"Avance semanal decreciente"&amp;" · ","")&amp;IF(AND(ISNUMBER($AN282),$AN282&lt;FechaRef,IF($V282="Sub",N($X282),N($M282))&lt;1),"Vencida"&amp;" · ","")&amp;IF(AND(ObsObligatoria="Sí",ISNUMBER($AN282),$AN282&lt;FechaRef,IF($V282="Sub",N($X282),N($M282))&lt;1,$Q282=""),"Vencida sin observación"&amp;" · ",""))-3)))</f>
        <v/>
      </c>
      <c r="S282" s="64">
        <f>IF(NOT((COUNTA($B282:$D282)+COUNTA($G282:$L282)+COUNTA($Q282))&gt;0),"",IF(AND($V282="Sub",N($U282)&gt;0),IF(ISNUMBER(INDEX($AM$5:$AM$1000,$U282-4)),DATE(YEAR(INDEX($AM$5:$AM$1000,$U282-4)),MONTH(INDEX($AM$5:$AM$1000,$U282-4)),1),IF(ISNUMBER(INDEX($AN$5:$AN$1000,$U282-4)),DATE(YEAR(INDEX($AN$5:$AN$1000,$U282-4)),MONTH(INDEX($AN$5:$AN$1000,$U282-4)),1),MesCiclo)),IF(ISNUMBER($AM282),DATE(YEAR($AM282),MONTH($AM282),1),IF(ISNUMBER($AN282),DATE(YEAR($AN282),MONTH($AN282),1),MesCiclo))))</f>
        <v/>
      </c>
      <c r="T282" s="62">
        <f>IF(OR($S282="",$S282&lt;&gt;MesCiclo,$V282&lt;&gt;"Macro"),"",COUNTIFS($S$5:$S282,MesCiclo,$V$5:$V282,"Macro"))</f>
        <v/>
      </c>
      <c r="U282" s="62">
        <f>IF($V282="","",IF($V282="Macro",ROW(),IFERROR(LOOKUP(2,1/($V$5:$V282="Macro"),ROW($V$5:$V282)),0)))</f>
        <v/>
      </c>
      <c r="V282" s="62">
        <f>IF(NOT((COUNTA($B282:$D282)+COUNTA($G282:$L282)+COUNTA($Q282))&gt;0),"",IF($B282="Subactividad","Sub","Macro"))</f>
        <v/>
      </c>
      <c r="W282" s="62">
        <f>IF($V282="Macro",COUNTIFS($U$5:$U$1000,ROW(),$V$5:$V$1000,"Sub"),"")</f>
        <v/>
      </c>
      <c r="X282" s="62">
        <f>IF($V282="","",IF(ISNUMBER($G282),1,IFERROR(LOOKUP(2,1/($I282:$L282&lt;&gt;""),$I282:$L282),0)))</f>
        <v/>
      </c>
      <c r="Y282" s="62">
        <f>IF($V282="","",IF(AND(ISNUMBER($G282),$G282&lt;=IF($S282=MesCiclo,InicioCiclo,$S282+MOD(2-WEEKDAY($S282),7))+6),1,IF(ISNUMBER($I282),$I282,0)))</f>
        <v/>
      </c>
      <c r="Z282" s="62">
        <f>IF($V282="","",IF(AND(ISNUMBER($G282),$G282&lt;=IF($S282=MesCiclo,InicioCiclo,$S282+MOD(2-WEEKDAY($S282),7))+13),1,IF(ISNUMBER($J282),$J282,$Y282)))</f>
        <v/>
      </c>
      <c r="AA282" s="62">
        <f>IF($V282="","",IF(AND(ISNUMBER($G282),$G282&lt;=IF($S282=MesCiclo,InicioCiclo,$S282+MOD(2-WEEKDAY($S282),7))+20),1,IF(ISNUMBER($K282),$K282,$Z282)))</f>
        <v/>
      </c>
      <c r="AB282" s="62">
        <f>IF($V282="","",IF(AND(ISNUMBER($G282),$G282&lt;=IF($S282=MesCiclo,InicioCiclo,$S282+MOD(2-WEEKDAY($S282),7))+27),1,IF(ISNUMBER($L282),$L282,$AA282)))</f>
        <v/>
      </c>
      <c r="AC282" s="62">
        <f>IF($V282="","",IF(AND(ISNUMBER($G282),$G282&lt;=IF($S282=MesCiclo,InicioCiclo,$S282+MOD(2-WEEKDAY($S282),7))+6),1,IF(N($W282)&gt;0,AVERAGEIFS($Y$5:$Y$1000,$U$5:$U$1000,ROW(),$V$5:$V$1000,"Sub"),$Y282)))</f>
        <v/>
      </c>
      <c r="AD282" s="62">
        <f>IF($V282="","",IF(AND(ISNUMBER($G282),$G282&lt;=IF($S282=MesCiclo,InicioCiclo,$S282+MOD(2-WEEKDAY($S282),7))+13),1,IF(N($W282)&gt;0,AVERAGEIFS($Z$5:$Z$1000,$U$5:$U$1000,ROW(),$V$5:$V$1000,"Sub"),$Z282)))</f>
        <v/>
      </c>
      <c r="AE282" s="62">
        <f>IF($V282="","",IF(AND(ISNUMBER($G282),$G282&lt;=IF($S282=MesCiclo,InicioCiclo,$S282+MOD(2-WEEKDAY($S282),7))+20),1,IF(N($W282)&gt;0,AVERAGEIFS($AA$5:$AA$1000,$U$5:$U$1000,ROW(),$V$5:$V$1000,"Sub"),$AA282)))</f>
        <v/>
      </c>
      <c r="AF282" s="62">
        <f>IF($V282="","",IF(AND(ISNUMBER($G282),$G282&lt;=IF($S282=MesCiclo,InicioCiclo,$S282+MOD(2-WEEKDAY($S282),7))+27),1,IF(N($W282)&gt;0,AVERAGEIFS($AB$5:$AB$1000,$U$5:$U$1000,ROW(),$V$5:$V$1000,"Sub"),$AB282)))</f>
        <v/>
      </c>
      <c r="AG282" s="62">
        <f>IF($V282&lt;&gt;"Macro","",IF(COUNTIFS($S$5:$S$1000,$S282,$V$5:$V$1000,"Macro",$H$5:$H$1000,"&gt;0")=0,1/COUNTIFS($S$5:$S$1000,$S282,$V$5:$V$1000,"Macro"),IF(AND(ISNUMBER($H282),N($H282)&gt;0),$H282,SUMIFS($H$5:$H$1000,$S$5:$S$1000,$S282,$V$5:$V$1000,"Macro")/COUNTIFS($S$5:$S$1000,$S282,$V$5:$V$1000,"Macro",$H$5:$H$1000,"&gt;0"))/(COUNTIFS($S$5:$S$1000,$S282,$V$5:$V$1000,"Macro")*SUMIFS($H$5:$H$1000,$S$5:$S$1000,$S282,$V$5:$V$1000,"Macro")/COUNTIFS($S$5:$S$1000,$S282,$V$5:$V$1000,"Macro",$H$5:$H$1000,"&gt;0"))))</f>
        <v/>
      </c>
      <c r="AH282" s="62" t="n"/>
      <c r="AI282" s="62" t="n"/>
      <c r="AJ282" s="62" t="n"/>
      <c r="AK282" s="62" t="n"/>
      <c r="AL282" s="62">
        <f>IF(LEFT($C282,11)="[Jefatura] ",IFERROR(MATCH("Riesgo Financiero|"&amp;MID($C282,12,500),rDname_ADM,0),0),"")</f>
        <v/>
      </c>
      <c r="AM282" s="62">
        <f>IF(N($AL282)&gt;0,INDEX(rIni_ADM,$AL282),IF(ISNUMBER($E282),$E282,""))</f>
        <v/>
      </c>
      <c r="AN282" s="62">
        <f>IF(N($AL282)&gt;0,INDEX(rLim_ADM,$AL282),IF(ISNUMBER($F282),$F282,""))</f>
        <v/>
      </c>
    </row>
    <row r="283">
      <c r="A283" s="56">
        <f>IF(NOT((COUNTA($B283:$D283)+COUNTA($G283:$L283)+COUNTA($Q283))&gt;0),"",IF($V283="Macro",COUNTIFS($V$5:$V283,"Macro",$S$5:$S283,$S283),IF(N($U283)=0,"?",COUNTIFS(INDEX($V$5:$V$1000,1):INDEX($V$5:$V$1000,$U283-4),"Macro",INDEX($S$5:$S$1000,1):INDEX($S$5:$S$1000,$U283-4),INDEX($S$5:$S$1000,$U283-4))&amp;"."&amp;COUNTIFS($U$5:$U283,$U283,$V$5:$V283,"Sub"))))</f>
        <v/>
      </c>
      <c r="B283" s="57" t="n"/>
      <c r="C283" s="58" t="n"/>
      <c r="D283" s="58" t="n"/>
      <c r="E283" s="59">
        <f>IF(N($AL283)&gt;0,INDEX(rIni_ADM,$AL283),"")</f>
        <v/>
      </c>
      <c r="F283" s="59">
        <f>IF(N($AL283)&gt;0,INDEX(rLim_ADM,$AL283),"")</f>
        <v/>
      </c>
      <c r="G283" s="59" t="n"/>
      <c r="H283" s="60" t="n"/>
      <c r="I283" s="60" t="n"/>
      <c r="J283" s="60" t="n"/>
      <c r="K283" s="60" t="n"/>
      <c r="L283" s="60" t="n"/>
      <c r="M283" s="61">
        <f>IF(NOT((COUNTA($B283:$D283)+COUNTA($G283:$L283)+COUNTA($Q283))&gt;0),"",IF($V283="Sub",IFERROR($X283/INDEX($W$5:$W$1000,$U283-4),""),IF(ISNUMBER($G283),1,IF(N($W283)&gt;0,AVERAGEIFS($X$5:$X$1000,$U$5:$U$1000,ROW(),$V$5:$V$1000,"Sub"),$X283))))</f>
        <v/>
      </c>
      <c r="N283" s="56">
        <f>IF(OR($M283="",$V283="Sub"),"",IF($M283&gt;=1,"Completado",IF($M283&gt;0,"En curso","Pendiente")))</f>
        <v/>
      </c>
      <c r="O283" s="56">
        <f>IF(OR(NOT((COUNTA($B283:$D283)+COUNTA($G283:$L283)+COUNTA($Q283))&gt;0),$V283="Sub"),"",IF(ISNUMBER($G283),IF(AND(ISNUMBER($AN283),$G283&gt;$AN283),"Cumplida con "&amp;($G283-$AN283)&amp;IF($G283-$AN283=1," día"," días")&amp;" de retraso","Cumplida"),IF(N($M283)&gt;=1,"Cumplida",IF(NOT(ISNUMBER($AN283)),"Sin fecha límite",IF($AN283&lt;FechaRef,"Vencida hace "&amp;(FechaRef-$AN283)&amp;IF(FechaRef-$AN283=1," día"," días"),IF($AN283=FechaRef,"Vence hoy",IF($AN283-FechaRef&lt;=DiasAlerta,"Vence en "&amp;($AN283-FechaRef)&amp;IF($AN283-FechaRef=1," día"," días"),"En plazo")))))))</f>
        <v/>
      </c>
      <c r="P283" s="62" t="n"/>
      <c r="Q283" s="58" t="n"/>
      <c r="R283" s="63">
        <f>IF(NOT((COUNTA($B283:$D283)+COUNTA($G283:$L283)+COUNTA($Q283))&gt;0),"",IF((IF($C283="","Falta el nombre de la actividad"&amp;" · ","")&amp;IF(AND($V283="Sub",N($U283)=0),"Subactividad sin macroactividad arriba"&amp;" · ","")&amp;IF($AM283="","Sin fecha de inicio"&amp;" · ","")&amp;IF($AN283="","Sin fecha límite"&amp;" · ","")&amp;IF(AND(LEFT($C283,11)="[Jefatura] ",N($AL283)=0),"No se encuentra en la hoja de la jefatura (elíjala de nuevo en la lista)"&amp;" · ","")&amp;IF(OR(AND($E283&lt;&gt;"",NOT(ISNUMBER($E283))),AND($F283&lt;&gt;"",NOT(ISNUMBER($F283))),AND($G283&lt;&gt;"",NOT(ISNUMBER($G283)))),"Fecha no válida"&amp;" · ","")&amp;IF(AND(ISNUMBER($AM283),ISNUMBER($AN283),$AM283&gt;$AN283),"Inicio posterior a fecha límite"&amp;" · ","")&amp;IF(AND($V283="Macro",$H283&lt;&gt;"",OR(NOT(ISNUMBER($H283)),$H283&lt;0,$H283&gt;1)),"Peso fuera de rango"&amp;" · ","")&amp;IF(AND($V283="Sub",$H283&lt;&gt;""),"Las subactividades no llevan peso (valen igual dentro de su macroactividad)"&amp;" · ","")&amp;IF(AND(N($W283)&gt;0,COUNT($I283:$L283)&gt;0),"Con subactividades: deje vacías las semanas (se calculan solas)"&amp;" · ","")&amp;IF((COUNTIF($I283:$L283,"&gt;1")+COUNTIF($I283:$L283,"&lt;0")+COUNTA($I283:$L283)-COUNT($I283:$L283))&gt;0,"Avance fuera de rango 0-100%"&amp;" · ","")&amp;IF(OR(AND($J283&lt;&gt;"",$J283&lt;$I283),AND($K283&lt;&gt;"",$K283&lt;MAX($I283:$J283)),AND($L283&lt;&gt;"",$L283&lt;MAX($I283:$K283))),"Avance semanal decreciente"&amp;" · ","")&amp;IF(AND(ISNUMBER($AN283),$AN283&lt;FechaRef,IF($V283="Sub",N($X283),N($M283))&lt;1),"Vencida"&amp;" · ","")&amp;IF(AND(ObsObligatoria="Sí",ISNUMBER($AN283),$AN283&lt;FechaRef,IF($V283="Sub",N($X283),N($M283))&lt;1,$Q283=""),"Vencida sin observación"&amp;" · ",""))="","✔ OK","⚠ "&amp;LEFT(IF($C283="","Falta el nombre de la actividad"&amp;" · ","")&amp;IF(AND($V283="Sub",N($U283)=0),"Subactividad sin macroactividad arriba"&amp;" · ","")&amp;IF($AM283="","Sin fecha de inicio"&amp;" · ","")&amp;IF($AN283="","Sin fecha límite"&amp;" · ","")&amp;IF(AND(LEFT($C283,11)="[Jefatura] ",N($AL283)=0),"No se encuentra en la hoja de la jefatura (elíjala de nuevo en la lista)"&amp;" · ","")&amp;IF(OR(AND($E283&lt;&gt;"",NOT(ISNUMBER($E283))),AND($F283&lt;&gt;"",NOT(ISNUMBER($F283))),AND($G283&lt;&gt;"",NOT(ISNUMBER($G283)))),"Fecha no válida"&amp;" · ","")&amp;IF(AND(ISNUMBER($AM283),ISNUMBER($AN283),$AM283&gt;$AN283),"Inicio posterior a fecha límite"&amp;" · ","")&amp;IF(AND($V283="Macro",$H283&lt;&gt;"",OR(NOT(ISNUMBER($H283)),$H283&lt;0,$H283&gt;1)),"Peso fuera de rango"&amp;" · ","")&amp;IF(AND($V283="Sub",$H283&lt;&gt;""),"Las subactividades no llevan peso (valen igual dentro de su macroactividad)"&amp;" · ","")&amp;IF(AND(N($W283)&gt;0,COUNT($I283:$L283)&gt;0),"Con subactividades: deje vacías las semanas (se calculan solas)"&amp;" · ","")&amp;IF((COUNTIF($I283:$L283,"&gt;1")+COUNTIF($I283:$L283,"&lt;0")+COUNTA($I283:$L283)-COUNT($I283:$L283))&gt;0,"Avance fuera de rango 0-100%"&amp;" · ","")&amp;IF(OR(AND($J283&lt;&gt;"",$J283&lt;$I283),AND($K283&lt;&gt;"",$K283&lt;MAX($I283:$J283)),AND($L283&lt;&gt;"",$L283&lt;MAX($I283:$K283))),"Avance semanal decreciente"&amp;" · ","")&amp;IF(AND(ISNUMBER($AN283),$AN283&lt;FechaRef,IF($V283="Sub",N($X283),N($M283))&lt;1),"Vencida"&amp;" · ","")&amp;IF(AND(ObsObligatoria="Sí",ISNUMBER($AN283),$AN283&lt;FechaRef,IF($V283="Sub",N($X283),N($M283))&lt;1,$Q283=""),"Vencida sin observación"&amp;" · ",""),LEN(IF($C283="","Falta el nombre de la actividad"&amp;" · ","")&amp;IF(AND($V283="Sub",N($U283)=0),"Subactividad sin macroactividad arriba"&amp;" · ","")&amp;IF($AM283="","Sin fecha de inicio"&amp;" · ","")&amp;IF($AN283="","Sin fecha límite"&amp;" · ","")&amp;IF(AND(LEFT($C283,11)="[Jefatura] ",N($AL283)=0),"No se encuentra en la hoja de la jefatura (elíjala de nuevo en la lista)"&amp;" · ","")&amp;IF(OR(AND($E283&lt;&gt;"",NOT(ISNUMBER($E283))),AND($F283&lt;&gt;"",NOT(ISNUMBER($F283))),AND($G283&lt;&gt;"",NOT(ISNUMBER($G283)))),"Fecha no válida"&amp;" · ","")&amp;IF(AND(ISNUMBER($AM283),ISNUMBER($AN283),$AM283&gt;$AN283),"Inicio posterior a fecha límite"&amp;" · ","")&amp;IF(AND($V283="Macro",$H283&lt;&gt;"",OR(NOT(ISNUMBER($H283)),$H283&lt;0,$H283&gt;1)),"Peso fuera de rango"&amp;" · ","")&amp;IF(AND($V283="Sub",$H283&lt;&gt;""),"Las subactividades no llevan peso (valen igual dentro de su macroactividad)"&amp;" · ","")&amp;IF(AND(N($W283)&gt;0,COUNT($I283:$L283)&gt;0),"Con subactividades: deje vacías las semanas (se calculan solas)"&amp;" · ","")&amp;IF((COUNTIF($I283:$L283,"&gt;1")+COUNTIF($I283:$L283,"&lt;0")+COUNTA($I283:$L283)-COUNT($I283:$L283))&gt;0,"Avance fuera de rango 0-100%"&amp;" · ","")&amp;IF(OR(AND($J283&lt;&gt;"",$J283&lt;$I283),AND($K283&lt;&gt;"",$K283&lt;MAX($I283:$J283)),AND($L283&lt;&gt;"",$L283&lt;MAX($I283:$K283))),"Avance semanal decreciente"&amp;" · ","")&amp;IF(AND(ISNUMBER($AN283),$AN283&lt;FechaRef,IF($V283="Sub",N($X283),N($M283))&lt;1),"Vencida"&amp;" · ","")&amp;IF(AND(ObsObligatoria="Sí",ISNUMBER($AN283),$AN283&lt;FechaRef,IF($V283="Sub",N($X283),N($M283))&lt;1,$Q283=""),"Vencida sin observación"&amp;" · ",""))-3)))</f>
        <v/>
      </c>
      <c r="S283" s="64">
        <f>IF(NOT((COUNTA($B283:$D283)+COUNTA($G283:$L283)+COUNTA($Q283))&gt;0),"",IF(AND($V283="Sub",N($U283)&gt;0),IF(ISNUMBER(INDEX($AM$5:$AM$1000,$U283-4)),DATE(YEAR(INDEX($AM$5:$AM$1000,$U283-4)),MONTH(INDEX($AM$5:$AM$1000,$U283-4)),1),IF(ISNUMBER(INDEX($AN$5:$AN$1000,$U283-4)),DATE(YEAR(INDEX($AN$5:$AN$1000,$U283-4)),MONTH(INDEX($AN$5:$AN$1000,$U283-4)),1),MesCiclo)),IF(ISNUMBER($AM283),DATE(YEAR($AM283),MONTH($AM283),1),IF(ISNUMBER($AN283),DATE(YEAR($AN283),MONTH($AN283),1),MesCiclo))))</f>
        <v/>
      </c>
      <c r="T283" s="62">
        <f>IF(OR($S283="",$S283&lt;&gt;MesCiclo,$V283&lt;&gt;"Macro"),"",COUNTIFS($S$5:$S283,MesCiclo,$V$5:$V283,"Macro"))</f>
        <v/>
      </c>
      <c r="U283" s="62">
        <f>IF($V283="","",IF($V283="Macro",ROW(),IFERROR(LOOKUP(2,1/($V$5:$V283="Macro"),ROW($V$5:$V283)),0)))</f>
        <v/>
      </c>
      <c r="V283" s="62">
        <f>IF(NOT((COUNTA($B283:$D283)+COUNTA($G283:$L283)+COUNTA($Q283))&gt;0),"",IF($B283="Subactividad","Sub","Macro"))</f>
        <v/>
      </c>
      <c r="W283" s="62">
        <f>IF($V283="Macro",COUNTIFS($U$5:$U$1000,ROW(),$V$5:$V$1000,"Sub"),"")</f>
        <v/>
      </c>
      <c r="X283" s="62">
        <f>IF($V283="","",IF(ISNUMBER($G283),1,IFERROR(LOOKUP(2,1/($I283:$L283&lt;&gt;""),$I283:$L283),0)))</f>
        <v/>
      </c>
      <c r="Y283" s="62">
        <f>IF($V283="","",IF(AND(ISNUMBER($G283),$G283&lt;=IF($S283=MesCiclo,InicioCiclo,$S283+MOD(2-WEEKDAY($S283),7))+6),1,IF(ISNUMBER($I283),$I283,0)))</f>
        <v/>
      </c>
      <c r="Z283" s="62">
        <f>IF($V283="","",IF(AND(ISNUMBER($G283),$G283&lt;=IF($S283=MesCiclo,InicioCiclo,$S283+MOD(2-WEEKDAY($S283),7))+13),1,IF(ISNUMBER($J283),$J283,$Y283)))</f>
        <v/>
      </c>
      <c r="AA283" s="62">
        <f>IF($V283="","",IF(AND(ISNUMBER($G283),$G283&lt;=IF($S283=MesCiclo,InicioCiclo,$S283+MOD(2-WEEKDAY($S283),7))+20),1,IF(ISNUMBER($K283),$K283,$Z283)))</f>
        <v/>
      </c>
      <c r="AB283" s="62">
        <f>IF($V283="","",IF(AND(ISNUMBER($G283),$G283&lt;=IF($S283=MesCiclo,InicioCiclo,$S283+MOD(2-WEEKDAY($S283),7))+27),1,IF(ISNUMBER($L283),$L283,$AA283)))</f>
        <v/>
      </c>
      <c r="AC283" s="62">
        <f>IF($V283="","",IF(AND(ISNUMBER($G283),$G283&lt;=IF($S283=MesCiclo,InicioCiclo,$S283+MOD(2-WEEKDAY($S283),7))+6),1,IF(N($W283)&gt;0,AVERAGEIFS($Y$5:$Y$1000,$U$5:$U$1000,ROW(),$V$5:$V$1000,"Sub"),$Y283)))</f>
        <v/>
      </c>
      <c r="AD283" s="62">
        <f>IF($V283="","",IF(AND(ISNUMBER($G283),$G283&lt;=IF($S283=MesCiclo,InicioCiclo,$S283+MOD(2-WEEKDAY($S283),7))+13),1,IF(N($W283)&gt;0,AVERAGEIFS($Z$5:$Z$1000,$U$5:$U$1000,ROW(),$V$5:$V$1000,"Sub"),$Z283)))</f>
        <v/>
      </c>
      <c r="AE283" s="62">
        <f>IF($V283="","",IF(AND(ISNUMBER($G283),$G283&lt;=IF($S283=MesCiclo,InicioCiclo,$S283+MOD(2-WEEKDAY($S283),7))+20),1,IF(N($W283)&gt;0,AVERAGEIFS($AA$5:$AA$1000,$U$5:$U$1000,ROW(),$V$5:$V$1000,"Sub"),$AA283)))</f>
        <v/>
      </c>
      <c r="AF283" s="62">
        <f>IF($V283="","",IF(AND(ISNUMBER($G283),$G283&lt;=IF($S283=MesCiclo,InicioCiclo,$S283+MOD(2-WEEKDAY($S283),7))+27),1,IF(N($W283)&gt;0,AVERAGEIFS($AB$5:$AB$1000,$U$5:$U$1000,ROW(),$V$5:$V$1000,"Sub"),$AB283)))</f>
        <v/>
      </c>
      <c r="AG283" s="62">
        <f>IF($V283&lt;&gt;"Macro","",IF(COUNTIFS($S$5:$S$1000,$S283,$V$5:$V$1000,"Macro",$H$5:$H$1000,"&gt;0")=0,1/COUNTIFS($S$5:$S$1000,$S283,$V$5:$V$1000,"Macro"),IF(AND(ISNUMBER($H283),N($H283)&gt;0),$H283,SUMIFS($H$5:$H$1000,$S$5:$S$1000,$S283,$V$5:$V$1000,"Macro")/COUNTIFS($S$5:$S$1000,$S283,$V$5:$V$1000,"Macro",$H$5:$H$1000,"&gt;0"))/(COUNTIFS($S$5:$S$1000,$S283,$V$5:$V$1000,"Macro")*SUMIFS($H$5:$H$1000,$S$5:$S$1000,$S283,$V$5:$V$1000,"Macro")/COUNTIFS($S$5:$S$1000,$S283,$V$5:$V$1000,"Macro",$H$5:$H$1000,"&gt;0"))))</f>
        <v/>
      </c>
      <c r="AH283" s="62" t="n"/>
      <c r="AI283" s="62" t="n"/>
      <c r="AJ283" s="62" t="n"/>
      <c r="AK283" s="62" t="n"/>
      <c r="AL283" s="62">
        <f>IF(LEFT($C283,11)="[Jefatura] ",IFERROR(MATCH("Riesgo Financiero|"&amp;MID($C283,12,500),rDname_ADM,0),0),"")</f>
        <v/>
      </c>
      <c r="AM283" s="62">
        <f>IF(N($AL283)&gt;0,INDEX(rIni_ADM,$AL283),IF(ISNUMBER($E283),$E283,""))</f>
        <v/>
      </c>
      <c r="AN283" s="62">
        <f>IF(N($AL283)&gt;0,INDEX(rLim_ADM,$AL283),IF(ISNUMBER($F283),$F283,""))</f>
        <v/>
      </c>
    </row>
    <row r="284">
      <c r="A284" s="56">
        <f>IF(NOT((COUNTA($B284:$D284)+COUNTA($G284:$L284)+COUNTA($Q284))&gt;0),"",IF($V284="Macro",COUNTIFS($V$5:$V284,"Macro",$S$5:$S284,$S284),IF(N($U284)=0,"?",COUNTIFS(INDEX($V$5:$V$1000,1):INDEX($V$5:$V$1000,$U284-4),"Macro",INDEX($S$5:$S$1000,1):INDEX($S$5:$S$1000,$U284-4),INDEX($S$5:$S$1000,$U284-4))&amp;"."&amp;COUNTIFS($U$5:$U284,$U284,$V$5:$V284,"Sub"))))</f>
        <v/>
      </c>
      <c r="B284" s="57" t="n"/>
      <c r="C284" s="58" t="n"/>
      <c r="D284" s="58" t="n"/>
      <c r="E284" s="59">
        <f>IF(N($AL284)&gt;0,INDEX(rIni_ADM,$AL284),"")</f>
        <v/>
      </c>
      <c r="F284" s="59">
        <f>IF(N($AL284)&gt;0,INDEX(rLim_ADM,$AL284),"")</f>
        <v/>
      </c>
      <c r="G284" s="59" t="n"/>
      <c r="H284" s="60" t="n"/>
      <c r="I284" s="60" t="n"/>
      <c r="J284" s="60" t="n"/>
      <c r="K284" s="60" t="n"/>
      <c r="L284" s="60" t="n"/>
      <c r="M284" s="61">
        <f>IF(NOT((COUNTA($B284:$D284)+COUNTA($G284:$L284)+COUNTA($Q284))&gt;0),"",IF($V284="Sub",IFERROR($X284/INDEX($W$5:$W$1000,$U284-4),""),IF(ISNUMBER($G284),1,IF(N($W284)&gt;0,AVERAGEIFS($X$5:$X$1000,$U$5:$U$1000,ROW(),$V$5:$V$1000,"Sub"),$X284))))</f>
        <v/>
      </c>
      <c r="N284" s="56">
        <f>IF(OR($M284="",$V284="Sub"),"",IF($M284&gt;=1,"Completado",IF($M284&gt;0,"En curso","Pendiente")))</f>
        <v/>
      </c>
      <c r="O284" s="56">
        <f>IF(OR(NOT((COUNTA($B284:$D284)+COUNTA($G284:$L284)+COUNTA($Q284))&gt;0),$V284="Sub"),"",IF(ISNUMBER($G284),IF(AND(ISNUMBER($AN284),$G284&gt;$AN284),"Cumplida con "&amp;($G284-$AN284)&amp;IF($G284-$AN284=1," día"," días")&amp;" de retraso","Cumplida"),IF(N($M284)&gt;=1,"Cumplida",IF(NOT(ISNUMBER($AN284)),"Sin fecha límite",IF($AN284&lt;FechaRef,"Vencida hace "&amp;(FechaRef-$AN284)&amp;IF(FechaRef-$AN284=1," día"," días"),IF($AN284=FechaRef,"Vence hoy",IF($AN284-FechaRef&lt;=DiasAlerta,"Vence en "&amp;($AN284-FechaRef)&amp;IF($AN284-FechaRef=1," día"," días"),"En plazo")))))))</f>
        <v/>
      </c>
      <c r="P284" s="62" t="n"/>
      <c r="Q284" s="58" t="n"/>
      <c r="R284" s="63">
        <f>IF(NOT((COUNTA($B284:$D284)+COUNTA($G284:$L284)+COUNTA($Q284))&gt;0),"",IF((IF($C284="","Falta el nombre de la actividad"&amp;" · ","")&amp;IF(AND($V284="Sub",N($U284)=0),"Subactividad sin macroactividad arriba"&amp;" · ","")&amp;IF($AM284="","Sin fecha de inicio"&amp;" · ","")&amp;IF($AN284="","Sin fecha límite"&amp;" · ","")&amp;IF(AND(LEFT($C284,11)="[Jefatura] ",N($AL284)=0),"No se encuentra en la hoja de la jefatura (elíjala de nuevo en la lista)"&amp;" · ","")&amp;IF(OR(AND($E284&lt;&gt;"",NOT(ISNUMBER($E284))),AND($F284&lt;&gt;"",NOT(ISNUMBER($F284))),AND($G284&lt;&gt;"",NOT(ISNUMBER($G284)))),"Fecha no válida"&amp;" · ","")&amp;IF(AND(ISNUMBER($AM284),ISNUMBER($AN284),$AM284&gt;$AN284),"Inicio posterior a fecha límite"&amp;" · ","")&amp;IF(AND($V284="Macro",$H284&lt;&gt;"",OR(NOT(ISNUMBER($H284)),$H284&lt;0,$H284&gt;1)),"Peso fuera de rango"&amp;" · ","")&amp;IF(AND($V284="Sub",$H284&lt;&gt;""),"Las subactividades no llevan peso (valen igual dentro de su macroactividad)"&amp;" · ","")&amp;IF(AND(N($W284)&gt;0,COUNT($I284:$L284)&gt;0),"Con subactividades: deje vacías las semanas (se calculan solas)"&amp;" · ","")&amp;IF((COUNTIF($I284:$L284,"&gt;1")+COUNTIF($I284:$L284,"&lt;0")+COUNTA($I284:$L284)-COUNT($I284:$L284))&gt;0,"Avance fuera de rango 0-100%"&amp;" · ","")&amp;IF(OR(AND($J284&lt;&gt;"",$J284&lt;$I284),AND($K284&lt;&gt;"",$K284&lt;MAX($I284:$J284)),AND($L284&lt;&gt;"",$L284&lt;MAX($I284:$K284))),"Avance semanal decreciente"&amp;" · ","")&amp;IF(AND(ISNUMBER($AN284),$AN284&lt;FechaRef,IF($V284="Sub",N($X284),N($M284))&lt;1),"Vencida"&amp;" · ","")&amp;IF(AND(ObsObligatoria="Sí",ISNUMBER($AN284),$AN284&lt;FechaRef,IF($V284="Sub",N($X284),N($M284))&lt;1,$Q284=""),"Vencida sin observación"&amp;" · ",""))="","✔ OK","⚠ "&amp;LEFT(IF($C284="","Falta el nombre de la actividad"&amp;" · ","")&amp;IF(AND($V284="Sub",N($U284)=0),"Subactividad sin macroactividad arriba"&amp;" · ","")&amp;IF($AM284="","Sin fecha de inicio"&amp;" · ","")&amp;IF($AN284="","Sin fecha límite"&amp;" · ","")&amp;IF(AND(LEFT($C284,11)="[Jefatura] ",N($AL284)=0),"No se encuentra en la hoja de la jefatura (elíjala de nuevo en la lista)"&amp;" · ","")&amp;IF(OR(AND($E284&lt;&gt;"",NOT(ISNUMBER($E284))),AND($F284&lt;&gt;"",NOT(ISNUMBER($F284))),AND($G284&lt;&gt;"",NOT(ISNUMBER($G284)))),"Fecha no válida"&amp;" · ","")&amp;IF(AND(ISNUMBER($AM284),ISNUMBER($AN284),$AM284&gt;$AN284),"Inicio posterior a fecha límite"&amp;" · ","")&amp;IF(AND($V284="Macro",$H284&lt;&gt;"",OR(NOT(ISNUMBER($H284)),$H284&lt;0,$H284&gt;1)),"Peso fuera de rango"&amp;" · ","")&amp;IF(AND($V284="Sub",$H284&lt;&gt;""),"Las subactividades no llevan peso (valen igual dentro de su macroactividad)"&amp;" · ","")&amp;IF(AND(N($W284)&gt;0,COUNT($I284:$L284)&gt;0),"Con subactividades: deje vacías las semanas (se calculan solas)"&amp;" · ","")&amp;IF((COUNTIF($I284:$L284,"&gt;1")+COUNTIF($I284:$L284,"&lt;0")+COUNTA($I284:$L284)-COUNT($I284:$L284))&gt;0,"Avance fuera de rango 0-100%"&amp;" · ","")&amp;IF(OR(AND($J284&lt;&gt;"",$J284&lt;$I284),AND($K284&lt;&gt;"",$K284&lt;MAX($I284:$J284)),AND($L284&lt;&gt;"",$L284&lt;MAX($I284:$K284))),"Avance semanal decreciente"&amp;" · ","")&amp;IF(AND(ISNUMBER($AN284),$AN284&lt;FechaRef,IF($V284="Sub",N($X284),N($M284))&lt;1),"Vencida"&amp;" · ","")&amp;IF(AND(ObsObligatoria="Sí",ISNUMBER($AN284),$AN284&lt;FechaRef,IF($V284="Sub",N($X284),N($M284))&lt;1,$Q284=""),"Vencida sin observación"&amp;" · ",""),LEN(IF($C284="","Falta el nombre de la actividad"&amp;" · ","")&amp;IF(AND($V284="Sub",N($U284)=0),"Subactividad sin macroactividad arriba"&amp;" · ","")&amp;IF($AM284="","Sin fecha de inicio"&amp;" · ","")&amp;IF($AN284="","Sin fecha límite"&amp;" · ","")&amp;IF(AND(LEFT($C284,11)="[Jefatura] ",N($AL284)=0),"No se encuentra en la hoja de la jefatura (elíjala de nuevo en la lista)"&amp;" · ","")&amp;IF(OR(AND($E284&lt;&gt;"",NOT(ISNUMBER($E284))),AND($F284&lt;&gt;"",NOT(ISNUMBER($F284))),AND($G284&lt;&gt;"",NOT(ISNUMBER($G284)))),"Fecha no válida"&amp;" · ","")&amp;IF(AND(ISNUMBER($AM284),ISNUMBER($AN284),$AM284&gt;$AN284),"Inicio posterior a fecha límite"&amp;" · ","")&amp;IF(AND($V284="Macro",$H284&lt;&gt;"",OR(NOT(ISNUMBER($H284)),$H284&lt;0,$H284&gt;1)),"Peso fuera de rango"&amp;" · ","")&amp;IF(AND($V284="Sub",$H284&lt;&gt;""),"Las subactividades no llevan peso (valen igual dentro de su macroactividad)"&amp;" · ","")&amp;IF(AND(N($W284)&gt;0,COUNT($I284:$L284)&gt;0),"Con subactividades: deje vacías las semanas (se calculan solas)"&amp;" · ","")&amp;IF((COUNTIF($I284:$L284,"&gt;1")+COUNTIF($I284:$L284,"&lt;0")+COUNTA($I284:$L284)-COUNT($I284:$L284))&gt;0,"Avance fuera de rango 0-100%"&amp;" · ","")&amp;IF(OR(AND($J284&lt;&gt;"",$J284&lt;$I284),AND($K284&lt;&gt;"",$K284&lt;MAX($I284:$J284)),AND($L284&lt;&gt;"",$L284&lt;MAX($I284:$K284))),"Avance semanal decreciente"&amp;" · ","")&amp;IF(AND(ISNUMBER($AN284),$AN284&lt;FechaRef,IF($V284="Sub",N($X284),N($M284))&lt;1),"Vencida"&amp;" · ","")&amp;IF(AND(ObsObligatoria="Sí",ISNUMBER($AN284),$AN284&lt;FechaRef,IF($V284="Sub",N($X284),N($M284))&lt;1,$Q284=""),"Vencida sin observación"&amp;" · ",""))-3)))</f>
        <v/>
      </c>
      <c r="S284" s="64">
        <f>IF(NOT((COUNTA($B284:$D284)+COUNTA($G284:$L284)+COUNTA($Q284))&gt;0),"",IF(AND($V284="Sub",N($U284)&gt;0),IF(ISNUMBER(INDEX($AM$5:$AM$1000,$U284-4)),DATE(YEAR(INDEX($AM$5:$AM$1000,$U284-4)),MONTH(INDEX($AM$5:$AM$1000,$U284-4)),1),IF(ISNUMBER(INDEX($AN$5:$AN$1000,$U284-4)),DATE(YEAR(INDEX($AN$5:$AN$1000,$U284-4)),MONTH(INDEX($AN$5:$AN$1000,$U284-4)),1),MesCiclo)),IF(ISNUMBER($AM284),DATE(YEAR($AM284),MONTH($AM284),1),IF(ISNUMBER($AN284),DATE(YEAR($AN284),MONTH($AN284),1),MesCiclo))))</f>
        <v/>
      </c>
      <c r="T284" s="62">
        <f>IF(OR($S284="",$S284&lt;&gt;MesCiclo,$V284&lt;&gt;"Macro"),"",COUNTIFS($S$5:$S284,MesCiclo,$V$5:$V284,"Macro"))</f>
        <v/>
      </c>
      <c r="U284" s="62">
        <f>IF($V284="","",IF($V284="Macro",ROW(),IFERROR(LOOKUP(2,1/($V$5:$V284="Macro"),ROW($V$5:$V284)),0)))</f>
        <v/>
      </c>
      <c r="V284" s="62">
        <f>IF(NOT((COUNTA($B284:$D284)+COUNTA($G284:$L284)+COUNTA($Q284))&gt;0),"",IF($B284="Subactividad","Sub","Macro"))</f>
        <v/>
      </c>
      <c r="W284" s="62">
        <f>IF($V284="Macro",COUNTIFS($U$5:$U$1000,ROW(),$V$5:$V$1000,"Sub"),"")</f>
        <v/>
      </c>
      <c r="X284" s="62">
        <f>IF($V284="","",IF(ISNUMBER($G284),1,IFERROR(LOOKUP(2,1/($I284:$L284&lt;&gt;""),$I284:$L284),0)))</f>
        <v/>
      </c>
      <c r="Y284" s="62">
        <f>IF($V284="","",IF(AND(ISNUMBER($G284),$G284&lt;=IF($S284=MesCiclo,InicioCiclo,$S284+MOD(2-WEEKDAY($S284),7))+6),1,IF(ISNUMBER($I284),$I284,0)))</f>
        <v/>
      </c>
      <c r="Z284" s="62">
        <f>IF($V284="","",IF(AND(ISNUMBER($G284),$G284&lt;=IF($S284=MesCiclo,InicioCiclo,$S284+MOD(2-WEEKDAY($S284),7))+13),1,IF(ISNUMBER($J284),$J284,$Y284)))</f>
        <v/>
      </c>
      <c r="AA284" s="62">
        <f>IF($V284="","",IF(AND(ISNUMBER($G284),$G284&lt;=IF($S284=MesCiclo,InicioCiclo,$S284+MOD(2-WEEKDAY($S284),7))+20),1,IF(ISNUMBER($K284),$K284,$Z284)))</f>
        <v/>
      </c>
      <c r="AB284" s="62">
        <f>IF($V284="","",IF(AND(ISNUMBER($G284),$G284&lt;=IF($S284=MesCiclo,InicioCiclo,$S284+MOD(2-WEEKDAY($S284),7))+27),1,IF(ISNUMBER($L284),$L284,$AA284)))</f>
        <v/>
      </c>
      <c r="AC284" s="62">
        <f>IF($V284="","",IF(AND(ISNUMBER($G284),$G284&lt;=IF($S284=MesCiclo,InicioCiclo,$S284+MOD(2-WEEKDAY($S284),7))+6),1,IF(N($W284)&gt;0,AVERAGEIFS($Y$5:$Y$1000,$U$5:$U$1000,ROW(),$V$5:$V$1000,"Sub"),$Y284)))</f>
        <v/>
      </c>
      <c r="AD284" s="62">
        <f>IF($V284="","",IF(AND(ISNUMBER($G284),$G284&lt;=IF($S284=MesCiclo,InicioCiclo,$S284+MOD(2-WEEKDAY($S284),7))+13),1,IF(N($W284)&gt;0,AVERAGEIFS($Z$5:$Z$1000,$U$5:$U$1000,ROW(),$V$5:$V$1000,"Sub"),$Z284)))</f>
        <v/>
      </c>
      <c r="AE284" s="62">
        <f>IF($V284="","",IF(AND(ISNUMBER($G284),$G284&lt;=IF($S284=MesCiclo,InicioCiclo,$S284+MOD(2-WEEKDAY($S284),7))+20),1,IF(N($W284)&gt;0,AVERAGEIFS($AA$5:$AA$1000,$U$5:$U$1000,ROW(),$V$5:$V$1000,"Sub"),$AA284)))</f>
        <v/>
      </c>
      <c r="AF284" s="62">
        <f>IF($V284="","",IF(AND(ISNUMBER($G284),$G284&lt;=IF($S284=MesCiclo,InicioCiclo,$S284+MOD(2-WEEKDAY($S284),7))+27),1,IF(N($W284)&gt;0,AVERAGEIFS($AB$5:$AB$1000,$U$5:$U$1000,ROW(),$V$5:$V$1000,"Sub"),$AB284)))</f>
        <v/>
      </c>
      <c r="AG284" s="62">
        <f>IF($V284&lt;&gt;"Macro","",IF(COUNTIFS($S$5:$S$1000,$S284,$V$5:$V$1000,"Macro",$H$5:$H$1000,"&gt;0")=0,1/COUNTIFS($S$5:$S$1000,$S284,$V$5:$V$1000,"Macro"),IF(AND(ISNUMBER($H284),N($H284)&gt;0),$H284,SUMIFS($H$5:$H$1000,$S$5:$S$1000,$S284,$V$5:$V$1000,"Macro")/COUNTIFS($S$5:$S$1000,$S284,$V$5:$V$1000,"Macro",$H$5:$H$1000,"&gt;0"))/(COUNTIFS($S$5:$S$1000,$S284,$V$5:$V$1000,"Macro")*SUMIFS($H$5:$H$1000,$S$5:$S$1000,$S284,$V$5:$V$1000,"Macro")/COUNTIFS($S$5:$S$1000,$S284,$V$5:$V$1000,"Macro",$H$5:$H$1000,"&gt;0"))))</f>
        <v/>
      </c>
      <c r="AH284" s="62" t="n"/>
      <c r="AI284" s="62" t="n"/>
      <c r="AJ284" s="62" t="n"/>
      <c r="AK284" s="62" t="n"/>
      <c r="AL284" s="62">
        <f>IF(LEFT($C284,11)="[Jefatura] ",IFERROR(MATCH("Riesgo Financiero|"&amp;MID($C284,12,500),rDname_ADM,0),0),"")</f>
        <v/>
      </c>
      <c r="AM284" s="62">
        <f>IF(N($AL284)&gt;0,INDEX(rIni_ADM,$AL284),IF(ISNUMBER($E284),$E284,""))</f>
        <v/>
      </c>
      <c r="AN284" s="62">
        <f>IF(N($AL284)&gt;0,INDEX(rLim_ADM,$AL284),IF(ISNUMBER($F284),$F284,""))</f>
        <v/>
      </c>
    </row>
    <row r="285">
      <c r="A285" s="56">
        <f>IF(NOT((COUNTA($B285:$D285)+COUNTA($G285:$L285)+COUNTA($Q285))&gt;0),"",IF($V285="Macro",COUNTIFS($V$5:$V285,"Macro",$S$5:$S285,$S285),IF(N($U285)=0,"?",COUNTIFS(INDEX($V$5:$V$1000,1):INDEX($V$5:$V$1000,$U285-4),"Macro",INDEX($S$5:$S$1000,1):INDEX($S$5:$S$1000,$U285-4),INDEX($S$5:$S$1000,$U285-4))&amp;"."&amp;COUNTIFS($U$5:$U285,$U285,$V$5:$V285,"Sub"))))</f>
        <v/>
      </c>
      <c r="B285" s="57" t="n"/>
      <c r="C285" s="58" t="n"/>
      <c r="D285" s="58" t="n"/>
      <c r="E285" s="59">
        <f>IF(N($AL285)&gt;0,INDEX(rIni_ADM,$AL285),"")</f>
        <v/>
      </c>
      <c r="F285" s="59">
        <f>IF(N($AL285)&gt;0,INDEX(rLim_ADM,$AL285),"")</f>
        <v/>
      </c>
      <c r="G285" s="59" t="n"/>
      <c r="H285" s="60" t="n"/>
      <c r="I285" s="60" t="n"/>
      <c r="J285" s="60" t="n"/>
      <c r="K285" s="60" t="n"/>
      <c r="L285" s="60" t="n"/>
      <c r="M285" s="61">
        <f>IF(NOT((COUNTA($B285:$D285)+COUNTA($G285:$L285)+COUNTA($Q285))&gt;0),"",IF($V285="Sub",IFERROR($X285/INDEX($W$5:$W$1000,$U285-4),""),IF(ISNUMBER($G285),1,IF(N($W285)&gt;0,AVERAGEIFS($X$5:$X$1000,$U$5:$U$1000,ROW(),$V$5:$V$1000,"Sub"),$X285))))</f>
        <v/>
      </c>
      <c r="N285" s="56">
        <f>IF(OR($M285="",$V285="Sub"),"",IF($M285&gt;=1,"Completado",IF($M285&gt;0,"En curso","Pendiente")))</f>
        <v/>
      </c>
      <c r="O285" s="56">
        <f>IF(OR(NOT((COUNTA($B285:$D285)+COUNTA($G285:$L285)+COUNTA($Q285))&gt;0),$V285="Sub"),"",IF(ISNUMBER($G285),IF(AND(ISNUMBER($AN285),$G285&gt;$AN285),"Cumplida con "&amp;($G285-$AN285)&amp;IF($G285-$AN285=1," día"," días")&amp;" de retraso","Cumplida"),IF(N($M285)&gt;=1,"Cumplida",IF(NOT(ISNUMBER($AN285)),"Sin fecha límite",IF($AN285&lt;FechaRef,"Vencida hace "&amp;(FechaRef-$AN285)&amp;IF(FechaRef-$AN285=1," día"," días"),IF($AN285=FechaRef,"Vence hoy",IF($AN285-FechaRef&lt;=DiasAlerta,"Vence en "&amp;($AN285-FechaRef)&amp;IF($AN285-FechaRef=1," día"," días"),"En plazo")))))))</f>
        <v/>
      </c>
      <c r="P285" s="62" t="n"/>
      <c r="Q285" s="58" t="n"/>
      <c r="R285" s="63">
        <f>IF(NOT((COUNTA($B285:$D285)+COUNTA($G285:$L285)+COUNTA($Q285))&gt;0),"",IF((IF($C285="","Falta el nombre de la actividad"&amp;" · ","")&amp;IF(AND($V285="Sub",N($U285)=0),"Subactividad sin macroactividad arriba"&amp;" · ","")&amp;IF($AM285="","Sin fecha de inicio"&amp;" · ","")&amp;IF($AN285="","Sin fecha límite"&amp;" · ","")&amp;IF(AND(LEFT($C285,11)="[Jefatura] ",N($AL285)=0),"No se encuentra en la hoja de la jefatura (elíjala de nuevo en la lista)"&amp;" · ","")&amp;IF(OR(AND($E285&lt;&gt;"",NOT(ISNUMBER($E285))),AND($F285&lt;&gt;"",NOT(ISNUMBER($F285))),AND($G285&lt;&gt;"",NOT(ISNUMBER($G285)))),"Fecha no válida"&amp;" · ","")&amp;IF(AND(ISNUMBER($AM285),ISNUMBER($AN285),$AM285&gt;$AN285),"Inicio posterior a fecha límite"&amp;" · ","")&amp;IF(AND($V285="Macro",$H285&lt;&gt;"",OR(NOT(ISNUMBER($H285)),$H285&lt;0,$H285&gt;1)),"Peso fuera de rango"&amp;" · ","")&amp;IF(AND($V285="Sub",$H285&lt;&gt;""),"Las subactividades no llevan peso (valen igual dentro de su macroactividad)"&amp;" · ","")&amp;IF(AND(N($W285)&gt;0,COUNT($I285:$L285)&gt;0),"Con subactividades: deje vacías las semanas (se calculan solas)"&amp;" · ","")&amp;IF((COUNTIF($I285:$L285,"&gt;1")+COUNTIF($I285:$L285,"&lt;0")+COUNTA($I285:$L285)-COUNT($I285:$L285))&gt;0,"Avance fuera de rango 0-100%"&amp;" · ","")&amp;IF(OR(AND($J285&lt;&gt;"",$J285&lt;$I285),AND($K285&lt;&gt;"",$K285&lt;MAX($I285:$J285)),AND($L285&lt;&gt;"",$L285&lt;MAX($I285:$K285))),"Avance semanal decreciente"&amp;" · ","")&amp;IF(AND(ISNUMBER($AN285),$AN285&lt;FechaRef,IF($V285="Sub",N($X285),N($M285))&lt;1),"Vencida"&amp;" · ","")&amp;IF(AND(ObsObligatoria="Sí",ISNUMBER($AN285),$AN285&lt;FechaRef,IF($V285="Sub",N($X285),N($M285))&lt;1,$Q285=""),"Vencida sin observación"&amp;" · ",""))="","✔ OK","⚠ "&amp;LEFT(IF($C285="","Falta el nombre de la actividad"&amp;" · ","")&amp;IF(AND($V285="Sub",N($U285)=0),"Subactividad sin macroactividad arriba"&amp;" · ","")&amp;IF($AM285="","Sin fecha de inicio"&amp;" · ","")&amp;IF($AN285="","Sin fecha límite"&amp;" · ","")&amp;IF(AND(LEFT($C285,11)="[Jefatura] ",N($AL285)=0),"No se encuentra en la hoja de la jefatura (elíjala de nuevo en la lista)"&amp;" · ","")&amp;IF(OR(AND($E285&lt;&gt;"",NOT(ISNUMBER($E285))),AND($F285&lt;&gt;"",NOT(ISNUMBER($F285))),AND($G285&lt;&gt;"",NOT(ISNUMBER($G285)))),"Fecha no válida"&amp;" · ","")&amp;IF(AND(ISNUMBER($AM285),ISNUMBER($AN285),$AM285&gt;$AN285),"Inicio posterior a fecha límite"&amp;" · ","")&amp;IF(AND($V285="Macro",$H285&lt;&gt;"",OR(NOT(ISNUMBER($H285)),$H285&lt;0,$H285&gt;1)),"Peso fuera de rango"&amp;" · ","")&amp;IF(AND($V285="Sub",$H285&lt;&gt;""),"Las subactividades no llevan peso (valen igual dentro de su macroactividad)"&amp;" · ","")&amp;IF(AND(N($W285)&gt;0,COUNT($I285:$L285)&gt;0),"Con subactividades: deje vacías las semanas (se calculan solas)"&amp;" · ","")&amp;IF((COUNTIF($I285:$L285,"&gt;1")+COUNTIF($I285:$L285,"&lt;0")+COUNTA($I285:$L285)-COUNT($I285:$L285))&gt;0,"Avance fuera de rango 0-100%"&amp;" · ","")&amp;IF(OR(AND($J285&lt;&gt;"",$J285&lt;$I285),AND($K285&lt;&gt;"",$K285&lt;MAX($I285:$J285)),AND($L285&lt;&gt;"",$L285&lt;MAX($I285:$K285))),"Avance semanal decreciente"&amp;" · ","")&amp;IF(AND(ISNUMBER($AN285),$AN285&lt;FechaRef,IF($V285="Sub",N($X285),N($M285))&lt;1),"Vencida"&amp;" · ","")&amp;IF(AND(ObsObligatoria="Sí",ISNUMBER($AN285),$AN285&lt;FechaRef,IF($V285="Sub",N($X285),N($M285))&lt;1,$Q285=""),"Vencida sin observación"&amp;" · ",""),LEN(IF($C285="","Falta el nombre de la actividad"&amp;" · ","")&amp;IF(AND($V285="Sub",N($U285)=0),"Subactividad sin macroactividad arriba"&amp;" · ","")&amp;IF($AM285="","Sin fecha de inicio"&amp;" · ","")&amp;IF($AN285="","Sin fecha límite"&amp;" · ","")&amp;IF(AND(LEFT($C285,11)="[Jefatura] ",N($AL285)=0),"No se encuentra en la hoja de la jefatura (elíjala de nuevo en la lista)"&amp;" · ","")&amp;IF(OR(AND($E285&lt;&gt;"",NOT(ISNUMBER($E285))),AND($F285&lt;&gt;"",NOT(ISNUMBER($F285))),AND($G285&lt;&gt;"",NOT(ISNUMBER($G285)))),"Fecha no válida"&amp;" · ","")&amp;IF(AND(ISNUMBER($AM285),ISNUMBER($AN285),$AM285&gt;$AN285),"Inicio posterior a fecha límite"&amp;" · ","")&amp;IF(AND($V285="Macro",$H285&lt;&gt;"",OR(NOT(ISNUMBER($H285)),$H285&lt;0,$H285&gt;1)),"Peso fuera de rango"&amp;" · ","")&amp;IF(AND($V285="Sub",$H285&lt;&gt;""),"Las subactividades no llevan peso (valen igual dentro de su macroactividad)"&amp;" · ","")&amp;IF(AND(N($W285)&gt;0,COUNT($I285:$L285)&gt;0),"Con subactividades: deje vacías las semanas (se calculan solas)"&amp;" · ","")&amp;IF((COUNTIF($I285:$L285,"&gt;1")+COUNTIF($I285:$L285,"&lt;0")+COUNTA($I285:$L285)-COUNT($I285:$L285))&gt;0,"Avance fuera de rango 0-100%"&amp;" · ","")&amp;IF(OR(AND($J285&lt;&gt;"",$J285&lt;$I285),AND($K285&lt;&gt;"",$K285&lt;MAX($I285:$J285)),AND($L285&lt;&gt;"",$L285&lt;MAX($I285:$K285))),"Avance semanal decreciente"&amp;" · ","")&amp;IF(AND(ISNUMBER($AN285),$AN285&lt;FechaRef,IF($V285="Sub",N($X285),N($M285))&lt;1),"Vencida"&amp;" · ","")&amp;IF(AND(ObsObligatoria="Sí",ISNUMBER($AN285),$AN285&lt;FechaRef,IF($V285="Sub",N($X285),N($M285))&lt;1,$Q285=""),"Vencida sin observación"&amp;" · ",""))-3)))</f>
        <v/>
      </c>
      <c r="S285" s="64">
        <f>IF(NOT((COUNTA($B285:$D285)+COUNTA($G285:$L285)+COUNTA($Q285))&gt;0),"",IF(AND($V285="Sub",N($U285)&gt;0),IF(ISNUMBER(INDEX($AM$5:$AM$1000,$U285-4)),DATE(YEAR(INDEX($AM$5:$AM$1000,$U285-4)),MONTH(INDEX($AM$5:$AM$1000,$U285-4)),1),IF(ISNUMBER(INDEX($AN$5:$AN$1000,$U285-4)),DATE(YEAR(INDEX($AN$5:$AN$1000,$U285-4)),MONTH(INDEX($AN$5:$AN$1000,$U285-4)),1),MesCiclo)),IF(ISNUMBER($AM285),DATE(YEAR($AM285),MONTH($AM285),1),IF(ISNUMBER($AN285),DATE(YEAR($AN285),MONTH($AN285),1),MesCiclo))))</f>
        <v/>
      </c>
      <c r="T285" s="62">
        <f>IF(OR($S285="",$S285&lt;&gt;MesCiclo,$V285&lt;&gt;"Macro"),"",COUNTIFS($S$5:$S285,MesCiclo,$V$5:$V285,"Macro"))</f>
        <v/>
      </c>
      <c r="U285" s="62">
        <f>IF($V285="","",IF($V285="Macro",ROW(),IFERROR(LOOKUP(2,1/($V$5:$V285="Macro"),ROW($V$5:$V285)),0)))</f>
        <v/>
      </c>
      <c r="V285" s="62">
        <f>IF(NOT((COUNTA($B285:$D285)+COUNTA($G285:$L285)+COUNTA($Q285))&gt;0),"",IF($B285="Subactividad","Sub","Macro"))</f>
        <v/>
      </c>
      <c r="W285" s="62">
        <f>IF($V285="Macro",COUNTIFS($U$5:$U$1000,ROW(),$V$5:$V$1000,"Sub"),"")</f>
        <v/>
      </c>
      <c r="X285" s="62">
        <f>IF($V285="","",IF(ISNUMBER($G285),1,IFERROR(LOOKUP(2,1/($I285:$L285&lt;&gt;""),$I285:$L285),0)))</f>
        <v/>
      </c>
      <c r="Y285" s="62">
        <f>IF($V285="","",IF(AND(ISNUMBER($G285),$G285&lt;=IF($S285=MesCiclo,InicioCiclo,$S285+MOD(2-WEEKDAY($S285),7))+6),1,IF(ISNUMBER($I285),$I285,0)))</f>
        <v/>
      </c>
      <c r="Z285" s="62">
        <f>IF($V285="","",IF(AND(ISNUMBER($G285),$G285&lt;=IF($S285=MesCiclo,InicioCiclo,$S285+MOD(2-WEEKDAY($S285),7))+13),1,IF(ISNUMBER($J285),$J285,$Y285)))</f>
        <v/>
      </c>
      <c r="AA285" s="62">
        <f>IF($V285="","",IF(AND(ISNUMBER($G285),$G285&lt;=IF($S285=MesCiclo,InicioCiclo,$S285+MOD(2-WEEKDAY($S285),7))+20),1,IF(ISNUMBER($K285),$K285,$Z285)))</f>
        <v/>
      </c>
      <c r="AB285" s="62">
        <f>IF($V285="","",IF(AND(ISNUMBER($G285),$G285&lt;=IF($S285=MesCiclo,InicioCiclo,$S285+MOD(2-WEEKDAY($S285),7))+27),1,IF(ISNUMBER($L285),$L285,$AA285)))</f>
        <v/>
      </c>
      <c r="AC285" s="62">
        <f>IF($V285="","",IF(AND(ISNUMBER($G285),$G285&lt;=IF($S285=MesCiclo,InicioCiclo,$S285+MOD(2-WEEKDAY($S285),7))+6),1,IF(N($W285)&gt;0,AVERAGEIFS($Y$5:$Y$1000,$U$5:$U$1000,ROW(),$V$5:$V$1000,"Sub"),$Y285)))</f>
        <v/>
      </c>
      <c r="AD285" s="62">
        <f>IF($V285="","",IF(AND(ISNUMBER($G285),$G285&lt;=IF($S285=MesCiclo,InicioCiclo,$S285+MOD(2-WEEKDAY($S285),7))+13),1,IF(N($W285)&gt;0,AVERAGEIFS($Z$5:$Z$1000,$U$5:$U$1000,ROW(),$V$5:$V$1000,"Sub"),$Z285)))</f>
        <v/>
      </c>
      <c r="AE285" s="62">
        <f>IF($V285="","",IF(AND(ISNUMBER($G285),$G285&lt;=IF($S285=MesCiclo,InicioCiclo,$S285+MOD(2-WEEKDAY($S285),7))+20),1,IF(N($W285)&gt;0,AVERAGEIFS($AA$5:$AA$1000,$U$5:$U$1000,ROW(),$V$5:$V$1000,"Sub"),$AA285)))</f>
        <v/>
      </c>
      <c r="AF285" s="62">
        <f>IF($V285="","",IF(AND(ISNUMBER($G285),$G285&lt;=IF($S285=MesCiclo,InicioCiclo,$S285+MOD(2-WEEKDAY($S285),7))+27),1,IF(N($W285)&gt;0,AVERAGEIFS($AB$5:$AB$1000,$U$5:$U$1000,ROW(),$V$5:$V$1000,"Sub"),$AB285)))</f>
        <v/>
      </c>
      <c r="AG285" s="62">
        <f>IF($V285&lt;&gt;"Macro","",IF(COUNTIFS($S$5:$S$1000,$S285,$V$5:$V$1000,"Macro",$H$5:$H$1000,"&gt;0")=0,1/COUNTIFS($S$5:$S$1000,$S285,$V$5:$V$1000,"Macro"),IF(AND(ISNUMBER($H285),N($H285)&gt;0),$H285,SUMIFS($H$5:$H$1000,$S$5:$S$1000,$S285,$V$5:$V$1000,"Macro")/COUNTIFS($S$5:$S$1000,$S285,$V$5:$V$1000,"Macro",$H$5:$H$1000,"&gt;0"))/(COUNTIFS($S$5:$S$1000,$S285,$V$5:$V$1000,"Macro")*SUMIFS($H$5:$H$1000,$S$5:$S$1000,$S285,$V$5:$V$1000,"Macro")/COUNTIFS($S$5:$S$1000,$S285,$V$5:$V$1000,"Macro",$H$5:$H$1000,"&gt;0"))))</f>
        <v/>
      </c>
      <c r="AH285" s="62" t="n"/>
      <c r="AI285" s="62" t="n"/>
      <c r="AJ285" s="62" t="n"/>
      <c r="AK285" s="62" t="n"/>
      <c r="AL285" s="62">
        <f>IF(LEFT($C285,11)="[Jefatura] ",IFERROR(MATCH("Riesgo Financiero|"&amp;MID($C285,12,500),rDname_ADM,0),0),"")</f>
        <v/>
      </c>
      <c r="AM285" s="62">
        <f>IF(N($AL285)&gt;0,INDEX(rIni_ADM,$AL285),IF(ISNUMBER($E285),$E285,""))</f>
        <v/>
      </c>
      <c r="AN285" s="62">
        <f>IF(N($AL285)&gt;0,INDEX(rLim_ADM,$AL285),IF(ISNUMBER($F285),$F285,""))</f>
        <v/>
      </c>
    </row>
    <row r="286">
      <c r="A286" s="56">
        <f>IF(NOT((COUNTA($B286:$D286)+COUNTA($G286:$L286)+COUNTA($Q286))&gt;0),"",IF($V286="Macro",COUNTIFS($V$5:$V286,"Macro",$S$5:$S286,$S286),IF(N($U286)=0,"?",COUNTIFS(INDEX($V$5:$V$1000,1):INDEX($V$5:$V$1000,$U286-4),"Macro",INDEX($S$5:$S$1000,1):INDEX($S$5:$S$1000,$U286-4),INDEX($S$5:$S$1000,$U286-4))&amp;"."&amp;COUNTIFS($U$5:$U286,$U286,$V$5:$V286,"Sub"))))</f>
        <v/>
      </c>
      <c r="B286" s="57" t="n"/>
      <c r="C286" s="58" t="n"/>
      <c r="D286" s="58" t="n"/>
      <c r="E286" s="59">
        <f>IF(N($AL286)&gt;0,INDEX(rIni_ADM,$AL286),"")</f>
        <v/>
      </c>
      <c r="F286" s="59">
        <f>IF(N($AL286)&gt;0,INDEX(rLim_ADM,$AL286),"")</f>
        <v/>
      </c>
      <c r="G286" s="59" t="n"/>
      <c r="H286" s="60" t="n"/>
      <c r="I286" s="60" t="n"/>
      <c r="J286" s="60" t="n"/>
      <c r="K286" s="60" t="n"/>
      <c r="L286" s="60" t="n"/>
      <c r="M286" s="61">
        <f>IF(NOT((COUNTA($B286:$D286)+COUNTA($G286:$L286)+COUNTA($Q286))&gt;0),"",IF($V286="Sub",IFERROR($X286/INDEX($W$5:$W$1000,$U286-4),""),IF(ISNUMBER($G286),1,IF(N($W286)&gt;0,AVERAGEIFS($X$5:$X$1000,$U$5:$U$1000,ROW(),$V$5:$V$1000,"Sub"),$X286))))</f>
        <v/>
      </c>
      <c r="N286" s="56">
        <f>IF(OR($M286="",$V286="Sub"),"",IF($M286&gt;=1,"Completado",IF($M286&gt;0,"En curso","Pendiente")))</f>
        <v/>
      </c>
      <c r="O286" s="56">
        <f>IF(OR(NOT((COUNTA($B286:$D286)+COUNTA($G286:$L286)+COUNTA($Q286))&gt;0),$V286="Sub"),"",IF(ISNUMBER($G286),IF(AND(ISNUMBER($AN286),$G286&gt;$AN286),"Cumplida con "&amp;($G286-$AN286)&amp;IF($G286-$AN286=1," día"," días")&amp;" de retraso","Cumplida"),IF(N($M286)&gt;=1,"Cumplida",IF(NOT(ISNUMBER($AN286)),"Sin fecha límite",IF($AN286&lt;FechaRef,"Vencida hace "&amp;(FechaRef-$AN286)&amp;IF(FechaRef-$AN286=1," día"," días"),IF($AN286=FechaRef,"Vence hoy",IF($AN286-FechaRef&lt;=DiasAlerta,"Vence en "&amp;($AN286-FechaRef)&amp;IF($AN286-FechaRef=1," día"," días"),"En plazo")))))))</f>
        <v/>
      </c>
      <c r="P286" s="62" t="n"/>
      <c r="Q286" s="58" t="n"/>
      <c r="R286" s="63">
        <f>IF(NOT((COUNTA($B286:$D286)+COUNTA($G286:$L286)+COUNTA($Q286))&gt;0),"",IF((IF($C286="","Falta el nombre de la actividad"&amp;" · ","")&amp;IF(AND($V286="Sub",N($U286)=0),"Subactividad sin macroactividad arriba"&amp;" · ","")&amp;IF($AM286="","Sin fecha de inicio"&amp;" · ","")&amp;IF($AN286="","Sin fecha límite"&amp;" · ","")&amp;IF(AND(LEFT($C286,11)="[Jefatura] ",N($AL286)=0),"No se encuentra en la hoja de la jefatura (elíjala de nuevo en la lista)"&amp;" · ","")&amp;IF(OR(AND($E286&lt;&gt;"",NOT(ISNUMBER($E286))),AND($F286&lt;&gt;"",NOT(ISNUMBER($F286))),AND($G286&lt;&gt;"",NOT(ISNUMBER($G286)))),"Fecha no válida"&amp;" · ","")&amp;IF(AND(ISNUMBER($AM286),ISNUMBER($AN286),$AM286&gt;$AN286),"Inicio posterior a fecha límite"&amp;" · ","")&amp;IF(AND($V286="Macro",$H286&lt;&gt;"",OR(NOT(ISNUMBER($H286)),$H286&lt;0,$H286&gt;1)),"Peso fuera de rango"&amp;" · ","")&amp;IF(AND($V286="Sub",$H286&lt;&gt;""),"Las subactividades no llevan peso (valen igual dentro de su macroactividad)"&amp;" · ","")&amp;IF(AND(N($W286)&gt;0,COUNT($I286:$L286)&gt;0),"Con subactividades: deje vacías las semanas (se calculan solas)"&amp;" · ","")&amp;IF((COUNTIF($I286:$L286,"&gt;1")+COUNTIF($I286:$L286,"&lt;0")+COUNTA($I286:$L286)-COUNT($I286:$L286))&gt;0,"Avance fuera de rango 0-100%"&amp;" · ","")&amp;IF(OR(AND($J286&lt;&gt;"",$J286&lt;$I286),AND($K286&lt;&gt;"",$K286&lt;MAX($I286:$J286)),AND($L286&lt;&gt;"",$L286&lt;MAX($I286:$K286))),"Avance semanal decreciente"&amp;" · ","")&amp;IF(AND(ISNUMBER($AN286),$AN286&lt;FechaRef,IF($V286="Sub",N($X286),N($M286))&lt;1),"Vencida"&amp;" · ","")&amp;IF(AND(ObsObligatoria="Sí",ISNUMBER($AN286),$AN286&lt;FechaRef,IF($V286="Sub",N($X286),N($M286))&lt;1,$Q286=""),"Vencida sin observación"&amp;" · ",""))="","✔ OK","⚠ "&amp;LEFT(IF($C286="","Falta el nombre de la actividad"&amp;" · ","")&amp;IF(AND($V286="Sub",N($U286)=0),"Subactividad sin macroactividad arriba"&amp;" · ","")&amp;IF($AM286="","Sin fecha de inicio"&amp;" · ","")&amp;IF($AN286="","Sin fecha límite"&amp;" · ","")&amp;IF(AND(LEFT($C286,11)="[Jefatura] ",N($AL286)=0),"No se encuentra en la hoja de la jefatura (elíjala de nuevo en la lista)"&amp;" · ","")&amp;IF(OR(AND($E286&lt;&gt;"",NOT(ISNUMBER($E286))),AND($F286&lt;&gt;"",NOT(ISNUMBER($F286))),AND($G286&lt;&gt;"",NOT(ISNUMBER($G286)))),"Fecha no válida"&amp;" · ","")&amp;IF(AND(ISNUMBER($AM286),ISNUMBER($AN286),$AM286&gt;$AN286),"Inicio posterior a fecha límite"&amp;" · ","")&amp;IF(AND($V286="Macro",$H286&lt;&gt;"",OR(NOT(ISNUMBER($H286)),$H286&lt;0,$H286&gt;1)),"Peso fuera de rango"&amp;" · ","")&amp;IF(AND($V286="Sub",$H286&lt;&gt;""),"Las subactividades no llevan peso (valen igual dentro de su macroactividad)"&amp;" · ","")&amp;IF(AND(N($W286)&gt;0,COUNT($I286:$L286)&gt;0),"Con subactividades: deje vacías las semanas (se calculan solas)"&amp;" · ","")&amp;IF((COUNTIF($I286:$L286,"&gt;1")+COUNTIF($I286:$L286,"&lt;0")+COUNTA($I286:$L286)-COUNT($I286:$L286))&gt;0,"Avance fuera de rango 0-100%"&amp;" · ","")&amp;IF(OR(AND($J286&lt;&gt;"",$J286&lt;$I286),AND($K286&lt;&gt;"",$K286&lt;MAX($I286:$J286)),AND($L286&lt;&gt;"",$L286&lt;MAX($I286:$K286))),"Avance semanal decreciente"&amp;" · ","")&amp;IF(AND(ISNUMBER($AN286),$AN286&lt;FechaRef,IF($V286="Sub",N($X286),N($M286))&lt;1),"Vencida"&amp;" · ","")&amp;IF(AND(ObsObligatoria="Sí",ISNUMBER($AN286),$AN286&lt;FechaRef,IF($V286="Sub",N($X286),N($M286))&lt;1,$Q286=""),"Vencida sin observación"&amp;" · ",""),LEN(IF($C286="","Falta el nombre de la actividad"&amp;" · ","")&amp;IF(AND($V286="Sub",N($U286)=0),"Subactividad sin macroactividad arriba"&amp;" · ","")&amp;IF($AM286="","Sin fecha de inicio"&amp;" · ","")&amp;IF($AN286="","Sin fecha límite"&amp;" · ","")&amp;IF(AND(LEFT($C286,11)="[Jefatura] ",N($AL286)=0),"No se encuentra en la hoja de la jefatura (elíjala de nuevo en la lista)"&amp;" · ","")&amp;IF(OR(AND($E286&lt;&gt;"",NOT(ISNUMBER($E286))),AND($F286&lt;&gt;"",NOT(ISNUMBER($F286))),AND($G286&lt;&gt;"",NOT(ISNUMBER($G286)))),"Fecha no válida"&amp;" · ","")&amp;IF(AND(ISNUMBER($AM286),ISNUMBER($AN286),$AM286&gt;$AN286),"Inicio posterior a fecha límite"&amp;" · ","")&amp;IF(AND($V286="Macro",$H286&lt;&gt;"",OR(NOT(ISNUMBER($H286)),$H286&lt;0,$H286&gt;1)),"Peso fuera de rango"&amp;" · ","")&amp;IF(AND($V286="Sub",$H286&lt;&gt;""),"Las subactividades no llevan peso (valen igual dentro de su macroactividad)"&amp;" · ","")&amp;IF(AND(N($W286)&gt;0,COUNT($I286:$L286)&gt;0),"Con subactividades: deje vacías las semanas (se calculan solas)"&amp;" · ","")&amp;IF((COUNTIF($I286:$L286,"&gt;1")+COUNTIF($I286:$L286,"&lt;0")+COUNTA($I286:$L286)-COUNT($I286:$L286))&gt;0,"Avance fuera de rango 0-100%"&amp;" · ","")&amp;IF(OR(AND($J286&lt;&gt;"",$J286&lt;$I286),AND($K286&lt;&gt;"",$K286&lt;MAX($I286:$J286)),AND($L286&lt;&gt;"",$L286&lt;MAX($I286:$K286))),"Avance semanal decreciente"&amp;" · ","")&amp;IF(AND(ISNUMBER($AN286),$AN286&lt;FechaRef,IF($V286="Sub",N($X286),N($M286))&lt;1),"Vencida"&amp;" · ","")&amp;IF(AND(ObsObligatoria="Sí",ISNUMBER($AN286),$AN286&lt;FechaRef,IF($V286="Sub",N($X286),N($M286))&lt;1,$Q286=""),"Vencida sin observación"&amp;" · ",""))-3)))</f>
        <v/>
      </c>
      <c r="S286" s="64">
        <f>IF(NOT((COUNTA($B286:$D286)+COUNTA($G286:$L286)+COUNTA($Q286))&gt;0),"",IF(AND($V286="Sub",N($U286)&gt;0),IF(ISNUMBER(INDEX($AM$5:$AM$1000,$U286-4)),DATE(YEAR(INDEX($AM$5:$AM$1000,$U286-4)),MONTH(INDEX($AM$5:$AM$1000,$U286-4)),1),IF(ISNUMBER(INDEX($AN$5:$AN$1000,$U286-4)),DATE(YEAR(INDEX($AN$5:$AN$1000,$U286-4)),MONTH(INDEX($AN$5:$AN$1000,$U286-4)),1),MesCiclo)),IF(ISNUMBER($AM286),DATE(YEAR($AM286),MONTH($AM286),1),IF(ISNUMBER($AN286),DATE(YEAR($AN286),MONTH($AN286),1),MesCiclo))))</f>
        <v/>
      </c>
      <c r="T286" s="62">
        <f>IF(OR($S286="",$S286&lt;&gt;MesCiclo,$V286&lt;&gt;"Macro"),"",COUNTIFS($S$5:$S286,MesCiclo,$V$5:$V286,"Macro"))</f>
        <v/>
      </c>
      <c r="U286" s="62">
        <f>IF($V286="","",IF($V286="Macro",ROW(),IFERROR(LOOKUP(2,1/($V$5:$V286="Macro"),ROW($V$5:$V286)),0)))</f>
        <v/>
      </c>
      <c r="V286" s="62">
        <f>IF(NOT((COUNTA($B286:$D286)+COUNTA($G286:$L286)+COUNTA($Q286))&gt;0),"",IF($B286="Subactividad","Sub","Macro"))</f>
        <v/>
      </c>
      <c r="W286" s="62">
        <f>IF($V286="Macro",COUNTIFS($U$5:$U$1000,ROW(),$V$5:$V$1000,"Sub"),"")</f>
        <v/>
      </c>
      <c r="X286" s="62">
        <f>IF($V286="","",IF(ISNUMBER($G286),1,IFERROR(LOOKUP(2,1/($I286:$L286&lt;&gt;""),$I286:$L286),0)))</f>
        <v/>
      </c>
      <c r="Y286" s="62">
        <f>IF($V286="","",IF(AND(ISNUMBER($G286),$G286&lt;=IF($S286=MesCiclo,InicioCiclo,$S286+MOD(2-WEEKDAY($S286),7))+6),1,IF(ISNUMBER($I286),$I286,0)))</f>
        <v/>
      </c>
      <c r="Z286" s="62">
        <f>IF($V286="","",IF(AND(ISNUMBER($G286),$G286&lt;=IF($S286=MesCiclo,InicioCiclo,$S286+MOD(2-WEEKDAY($S286),7))+13),1,IF(ISNUMBER($J286),$J286,$Y286)))</f>
        <v/>
      </c>
      <c r="AA286" s="62">
        <f>IF($V286="","",IF(AND(ISNUMBER($G286),$G286&lt;=IF($S286=MesCiclo,InicioCiclo,$S286+MOD(2-WEEKDAY($S286),7))+20),1,IF(ISNUMBER($K286),$K286,$Z286)))</f>
        <v/>
      </c>
      <c r="AB286" s="62">
        <f>IF($V286="","",IF(AND(ISNUMBER($G286),$G286&lt;=IF($S286=MesCiclo,InicioCiclo,$S286+MOD(2-WEEKDAY($S286),7))+27),1,IF(ISNUMBER($L286),$L286,$AA286)))</f>
        <v/>
      </c>
      <c r="AC286" s="62">
        <f>IF($V286="","",IF(AND(ISNUMBER($G286),$G286&lt;=IF($S286=MesCiclo,InicioCiclo,$S286+MOD(2-WEEKDAY($S286),7))+6),1,IF(N($W286)&gt;0,AVERAGEIFS($Y$5:$Y$1000,$U$5:$U$1000,ROW(),$V$5:$V$1000,"Sub"),$Y286)))</f>
        <v/>
      </c>
      <c r="AD286" s="62">
        <f>IF($V286="","",IF(AND(ISNUMBER($G286),$G286&lt;=IF($S286=MesCiclo,InicioCiclo,$S286+MOD(2-WEEKDAY($S286),7))+13),1,IF(N($W286)&gt;0,AVERAGEIFS($Z$5:$Z$1000,$U$5:$U$1000,ROW(),$V$5:$V$1000,"Sub"),$Z286)))</f>
        <v/>
      </c>
      <c r="AE286" s="62">
        <f>IF($V286="","",IF(AND(ISNUMBER($G286),$G286&lt;=IF($S286=MesCiclo,InicioCiclo,$S286+MOD(2-WEEKDAY($S286),7))+20),1,IF(N($W286)&gt;0,AVERAGEIFS($AA$5:$AA$1000,$U$5:$U$1000,ROW(),$V$5:$V$1000,"Sub"),$AA286)))</f>
        <v/>
      </c>
      <c r="AF286" s="62">
        <f>IF($V286="","",IF(AND(ISNUMBER($G286),$G286&lt;=IF($S286=MesCiclo,InicioCiclo,$S286+MOD(2-WEEKDAY($S286),7))+27),1,IF(N($W286)&gt;0,AVERAGEIFS($AB$5:$AB$1000,$U$5:$U$1000,ROW(),$V$5:$V$1000,"Sub"),$AB286)))</f>
        <v/>
      </c>
      <c r="AG286" s="62">
        <f>IF($V286&lt;&gt;"Macro","",IF(COUNTIFS($S$5:$S$1000,$S286,$V$5:$V$1000,"Macro",$H$5:$H$1000,"&gt;0")=0,1/COUNTIFS($S$5:$S$1000,$S286,$V$5:$V$1000,"Macro"),IF(AND(ISNUMBER($H286),N($H286)&gt;0),$H286,SUMIFS($H$5:$H$1000,$S$5:$S$1000,$S286,$V$5:$V$1000,"Macro")/COUNTIFS($S$5:$S$1000,$S286,$V$5:$V$1000,"Macro",$H$5:$H$1000,"&gt;0"))/(COUNTIFS($S$5:$S$1000,$S286,$V$5:$V$1000,"Macro")*SUMIFS($H$5:$H$1000,$S$5:$S$1000,$S286,$V$5:$V$1000,"Macro")/COUNTIFS($S$5:$S$1000,$S286,$V$5:$V$1000,"Macro",$H$5:$H$1000,"&gt;0"))))</f>
        <v/>
      </c>
      <c r="AH286" s="62" t="n"/>
      <c r="AI286" s="62" t="n"/>
      <c r="AJ286" s="62" t="n"/>
      <c r="AK286" s="62" t="n"/>
      <c r="AL286" s="62">
        <f>IF(LEFT($C286,11)="[Jefatura] ",IFERROR(MATCH("Riesgo Financiero|"&amp;MID($C286,12,500),rDname_ADM,0),0),"")</f>
        <v/>
      </c>
      <c r="AM286" s="62">
        <f>IF(N($AL286)&gt;0,INDEX(rIni_ADM,$AL286),IF(ISNUMBER($E286),$E286,""))</f>
        <v/>
      </c>
      <c r="AN286" s="62">
        <f>IF(N($AL286)&gt;0,INDEX(rLim_ADM,$AL286),IF(ISNUMBER($F286),$F286,""))</f>
        <v/>
      </c>
    </row>
    <row r="287">
      <c r="A287" s="56">
        <f>IF(NOT((COUNTA($B287:$D287)+COUNTA($G287:$L287)+COUNTA($Q287))&gt;0),"",IF($V287="Macro",COUNTIFS($V$5:$V287,"Macro",$S$5:$S287,$S287),IF(N($U287)=0,"?",COUNTIFS(INDEX($V$5:$V$1000,1):INDEX($V$5:$V$1000,$U287-4),"Macro",INDEX($S$5:$S$1000,1):INDEX($S$5:$S$1000,$U287-4),INDEX($S$5:$S$1000,$U287-4))&amp;"."&amp;COUNTIFS($U$5:$U287,$U287,$V$5:$V287,"Sub"))))</f>
        <v/>
      </c>
      <c r="B287" s="57" t="n"/>
      <c r="C287" s="58" t="n"/>
      <c r="D287" s="58" t="n"/>
      <c r="E287" s="59">
        <f>IF(N($AL287)&gt;0,INDEX(rIni_ADM,$AL287),"")</f>
        <v/>
      </c>
      <c r="F287" s="59">
        <f>IF(N($AL287)&gt;0,INDEX(rLim_ADM,$AL287),"")</f>
        <v/>
      </c>
      <c r="G287" s="59" t="n"/>
      <c r="H287" s="60" t="n"/>
      <c r="I287" s="60" t="n"/>
      <c r="J287" s="60" t="n"/>
      <c r="K287" s="60" t="n"/>
      <c r="L287" s="60" t="n"/>
      <c r="M287" s="61">
        <f>IF(NOT((COUNTA($B287:$D287)+COUNTA($G287:$L287)+COUNTA($Q287))&gt;0),"",IF($V287="Sub",IFERROR($X287/INDEX($W$5:$W$1000,$U287-4),""),IF(ISNUMBER($G287),1,IF(N($W287)&gt;0,AVERAGEIFS($X$5:$X$1000,$U$5:$U$1000,ROW(),$V$5:$V$1000,"Sub"),$X287))))</f>
        <v/>
      </c>
      <c r="N287" s="56">
        <f>IF(OR($M287="",$V287="Sub"),"",IF($M287&gt;=1,"Completado",IF($M287&gt;0,"En curso","Pendiente")))</f>
        <v/>
      </c>
      <c r="O287" s="56">
        <f>IF(OR(NOT((COUNTA($B287:$D287)+COUNTA($G287:$L287)+COUNTA($Q287))&gt;0),$V287="Sub"),"",IF(ISNUMBER($G287),IF(AND(ISNUMBER($AN287),$G287&gt;$AN287),"Cumplida con "&amp;($G287-$AN287)&amp;IF($G287-$AN287=1," día"," días")&amp;" de retraso","Cumplida"),IF(N($M287)&gt;=1,"Cumplida",IF(NOT(ISNUMBER($AN287)),"Sin fecha límite",IF($AN287&lt;FechaRef,"Vencida hace "&amp;(FechaRef-$AN287)&amp;IF(FechaRef-$AN287=1," día"," días"),IF($AN287=FechaRef,"Vence hoy",IF($AN287-FechaRef&lt;=DiasAlerta,"Vence en "&amp;($AN287-FechaRef)&amp;IF($AN287-FechaRef=1," día"," días"),"En plazo")))))))</f>
        <v/>
      </c>
      <c r="P287" s="62" t="n"/>
      <c r="Q287" s="58" t="n"/>
      <c r="R287" s="63">
        <f>IF(NOT((COUNTA($B287:$D287)+COUNTA($G287:$L287)+COUNTA($Q287))&gt;0),"",IF((IF($C287="","Falta el nombre de la actividad"&amp;" · ","")&amp;IF(AND($V287="Sub",N($U287)=0),"Subactividad sin macroactividad arriba"&amp;" · ","")&amp;IF($AM287="","Sin fecha de inicio"&amp;" · ","")&amp;IF($AN287="","Sin fecha límite"&amp;" · ","")&amp;IF(AND(LEFT($C287,11)="[Jefatura] ",N($AL287)=0),"No se encuentra en la hoja de la jefatura (elíjala de nuevo en la lista)"&amp;" · ","")&amp;IF(OR(AND($E287&lt;&gt;"",NOT(ISNUMBER($E287))),AND($F287&lt;&gt;"",NOT(ISNUMBER($F287))),AND($G287&lt;&gt;"",NOT(ISNUMBER($G287)))),"Fecha no válida"&amp;" · ","")&amp;IF(AND(ISNUMBER($AM287),ISNUMBER($AN287),$AM287&gt;$AN287),"Inicio posterior a fecha límite"&amp;" · ","")&amp;IF(AND($V287="Macro",$H287&lt;&gt;"",OR(NOT(ISNUMBER($H287)),$H287&lt;0,$H287&gt;1)),"Peso fuera de rango"&amp;" · ","")&amp;IF(AND($V287="Sub",$H287&lt;&gt;""),"Las subactividades no llevan peso (valen igual dentro de su macroactividad)"&amp;" · ","")&amp;IF(AND(N($W287)&gt;0,COUNT($I287:$L287)&gt;0),"Con subactividades: deje vacías las semanas (se calculan solas)"&amp;" · ","")&amp;IF((COUNTIF($I287:$L287,"&gt;1")+COUNTIF($I287:$L287,"&lt;0")+COUNTA($I287:$L287)-COUNT($I287:$L287))&gt;0,"Avance fuera de rango 0-100%"&amp;" · ","")&amp;IF(OR(AND($J287&lt;&gt;"",$J287&lt;$I287),AND($K287&lt;&gt;"",$K287&lt;MAX($I287:$J287)),AND($L287&lt;&gt;"",$L287&lt;MAX($I287:$K287))),"Avance semanal decreciente"&amp;" · ","")&amp;IF(AND(ISNUMBER($AN287),$AN287&lt;FechaRef,IF($V287="Sub",N($X287),N($M287))&lt;1),"Vencida"&amp;" · ","")&amp;IF(AND(ObsObligatoria="Sí",ISNUMBER($AN287),$AN287&lt;FechaRef,IF($V287="Sub",N($X287),N($M287))&lt;1,$Q287=""),"Vencida sin observación"&amp;" · ",""))="","✔ OK","⚠ "&amp;LEFT(IF($C287="","Falta el nombre de la actividad"&amp;" · ","")&amp;IF(AND($V287="Sub",N($U287)=0),"Subactividad sin macroactividad arriba"&amp;" · ","")&amp;IF($AM287="","Sin fecha de inicio"&amp;" · ","")&amp;IF($AN287="","Sin fecha límite"&amp;" · ","")&amp;IF(AND(LEFT($C287,11)="[Jefatura] ",N($AL287)=0),"No se encuentra en la hoja de la jefatura (elíjala de nuevo en la lista)"&amp;" · ","")&amp;IF(OR(AND($E287&lt;&gt;"",NOT(ISNUMBER($E287))),AND($F287&lt;&gt;"",NOT(ISNUMBER($F287))),AND($G287&lt;&gt;"",NOT(ISNUMBER($G287)))),"Fecha no válida"&amp;" · ","")&amp;IF(AND(ISNUMBER($AM287),ISNUMBER($AN287),$AM287&gt;$AN287),"Inicio posterior a fecha límite"&amp;" · ","")&amp;IF(AND($V287="Macro",$H287&lt;&gt;"",OR(NOT(ISNUMBER($H287)),$H287&lt;0,$H287&gt;1)),"Peso fuera de rango"&amp;" · ","")&amp;IF(AND($V287="Sub",$H287&lt;&gt;""),"Las subactividades no llevan peso (valen igual dentro de su macroactividad)"&amp;" · ","")&amp;IF(AND(N($W287)&gt;0,COUNT($I287:$L287)&gt;0),"Con subactividades: deje vacías las semanas (se calculan solas)"&amp;" · ","")&amp;IF((COUNTIF($I287:$L287,"&gt;1")+COUNTIF($I287:$L287,"&lt;0")+COUNTA($I287:$L287)-COUNT($I287:$L287))&gt;0,"Avance fuera de rango 0-100%"&amp;" · ","")&amp;IF(OR(AND($J287&lt;&gt;"",$J287&lt;$I287),AND($K287&lt;&gt;"",$K287&lt;MAX($I287:$J287)),AND($L287&lt;&gt;"",$L287&lt;MAX($I287:$K287))),"Avance semanal decreciente"&amp;" · ","")&amp;IF(AND(ISNUMBER($AN287),$AN287&lt;FechaRef,IF($V287="Sub",N($X287),N($M287))&lt;1),"Vencida"&amp;" · ","")&amp;IF(AND(ObsObligatoria="Sí",ISNUMBER($AN287),$AN287&lt;FechaRef,IF($V287="Sub",N($X287),N($M287))&lt;1,$Q287=""),"Vencida sin observación"&amp;" · ",""),LEN(IF($C287="","Falta el nombre de la actividad"&amp;" · ","")&amp;IF(AND($V287="Sub",N($U287)=0),"Subactividad sin macroactividad arriba"&amp;" · ","")&amp;IF($AM287="","Sin fecha de inicio"&amp;" · ","")&amp;IF($AN287="","Sin fecha límite"&amp;" · ","")&amp;IF(AND(LEFT($C287,11)="[Jefatura] ",N($AL287)=0),"No se encuentra en la hoja de la jefatura (elíjala de nuevo en la lista)"&amp;" · ","")&amp;IF(OR(AND($E287&lt;&gt;"",NOT(ISNUMBER($E287))),AND($F287&lt;&gt;"",NOT(ISNUMBER($F287))),AND($G287&lt;&gt;"",NOT(ISNUMBER($G287)))),"Fecha no válida"&amp;" · ","")&amp;IF(AND(ISNUMBER($AM287),ISNUMBER($AN287),$AM287&gt;$AN287),"Inicio posterior a fecha límite"&amp;" · ","")&amp;IF(AND($V287="Macro",$H287&lt;&gt;"",OR(NOT(ISNUMBER($H287)),$H287&lt;0,$H287&gt;1)),"Peso fuera de rango"&amp;" · ","")&amp;IF(AND($V287="Sub",$H287&lt;&gt;""),"Las subactividades no llevan peso (valen igual dentro de su macroactividad)"&amp;" · ","")&amp;IF(AND(N($W287)&gt;0,COUNT($I287:$L287)&gt;0),"Con subactividades: deje vacías las semanas (se calculan solas)"&amp;" · ","")&amp;IF((COUNTIF($I287:$L287,"&gt;1")+COUNTIF($I287:$L287,"&lt;0")+COUNTA($I287:$L287)-COUNT($I287:$L287))&gt;0,"Avance fuera de rango 0-100%"&amp;" · ","")&amp;IF(OR(AND($J287&lt;&gt;"",$J287&lt;$I287),AND($K287&lt;&gt;"",$K287&lt;MAX($I287:$J287)),AND($L287&lt;&gt;"",$L287&lt;MAX($I287:$K287))),"Avance semanal decreciente"&amp;" · ","")&amp;IF(AND(ISNUMBER($AN287),$AN287&lt;FechaRef,IF($V287="Sub",N($X287),N($M287))&lt;1),"Vencida"&amp;" · ","")&amp;IF(AND(ObsObligatoria="Sí",ISNUMBER($AN287),$AN287&lt;FechaRef,IF($V287="Sub",N($X287),N($M287))&lt;1,$Q287=""),"Vencida sin observación"&amp;" · ",""))-3)))</f>
        <v/>
      </c>
      <c r="S287" s="64">
        <f>IF(NOT((COUNTA($B287:$D287)+COUNTA($G287:$L287)+COUNTA($Q287))&gt;0),"",IF(AND($V287="Sub",N($U287)&gt;0),IF(ISNUMBER(INDEX($AM$5:$AM$1000,$U287-4)),DATE(YEAR(INDEX($AM$5:$AM$1000,$U287-4)),MONTH(INDEX($AM$5:$AM$1000,$U287-4)),1),IF(ISNUMBER(INDEX($AN$5:$AN$1000,$U287-4)),DATE(YEAR(INDEX($AN$5:$AN$1000,$U287-4)),MONTH(INDEX($AN$5:$AN$1000,$U287-4)),1),MesCiclo)),IF(ISNUMBER($AM287),DATE(YEAR($AM287),MONTH($AM287),1),IF(ISNUMBER($AN287),DATE(YEAR($AN287),MONTH($AN287),1),MesCiclo))))</f>
        <v/>
      </c>
      <c r="T287" s="62">
        <f>IF(OR($S287="",$S287&lt;&gt;MesCiclo,$V287&lt;&gt;"Macro"),"",COUNTIFS($S$5:$S287,MesCiclo,$V$5:$V287,"Macro"))</f>
        <v/>
      </c>
      <c r="U287" s="62">
        <f>IF($V287="","",IF($V287="Macro",ROW(),IFERROR(LOOKUP(2,1/($V$5:$V287="Macro"),ROW($V$5:$V287)),0)))</f>
        <v/>
      </c>
      <c r="V287" s="62">
        <f>IF(NOT((COUNTA($B287:$D287)+COUNTA($G287:$L287)+COUNTA($Q287))&gt;0),"",IF($B287="Subactividad","Sub","Macro"))</f>
        <v/>
      </c>
      <c r="W287" s="62">
        <f>IF($V287="Macro",COUNTIFS($U$5:$U$1000,ROW(),$V$5:$V$1000,"Sub"),"")</f>
        <v/>
      </c>
      <c r="X287" s="62">
        <f>IF($V287="","",IF(ISNUMBER($G287),1,IFERROR(LOOKUP(2,1/($I287:$L287&lt;&gt;""),$I287:$L287),0)))</f>
        <v/>
      </c>
      <c r="Y287" s="62">
        <f>IF($V287="","",IF(AND(ISNUMBER($G287),$G287&lt;=IF($S287=MesCiclo,InicioCiclo,$S287+MOD(2-WEEKDAY($S287),7))+6),1,IF(ISNUMBER($I287),$I287,0)))</f>
        <v/>
      </c>
      <c r="Z287" s="62">
        <f>IF($V287="","",IF(AND(ISNUMBER($G287),$G287&lt;=IF($S287=MesCiclo,InicioCiclo,$S287+MOD(2-WEEKDAY($S287),7))+13),1,IF(ISNUMBER($J287),$J287,$Y287)))</f>
        <v/>
      </c>
      <c r="AA287" s="62">
        <f>IF($V287="","",IF(AND(ISNUMBER($G287),$G287&lt;=IF($S287=MesCiclo,InicioCiclo,$S287+MOD(2-WEEKDAY($S287),7))+20),1,IF(ISNUMBER($K287),$K287,$Z287)))</f>
        <v/>
      </c>
      <c r="AB287" s="62">
        <f>IF($V287="","",IF(AND(ISNUMBER($G287),$G287&lt;=IF($S287=MesCiclo,InicioCiclo,$S287+MOD(2-WEEKDAY($S287),7))+27),1,IF(ISNUMBER($L287),$L287,$AA287)))</f>
        <v/>
      </c>
      <c r="AC287" s="62">
        <f>IF($V287="","",IF(AND(ISNUMBER($G287),$G287&lt;=IF($S287=MesCiclo,InicioCiclo,$S287+MOD(2-WEEKDAY($S287),7))+6),1,IF(N($W287)&gt;0,AVERAGEIFS($Y$5:$Y$1000,$U$5:$U$1000,ROW(),$V$5:$V$1000,"Sub"),$Y287)))</f>
        <v/>
      </c>
      <c r="AD287" s="62">
        <f>IF($V287="","",IF(AND(ISNUMBER($G287),$G287&lt;=IF($S287=MesCiclo,InicioCiclo,$S287+MOD(2-WEEKDAY($S287),7))+13),1,IF(N($W287)&gt;0,AVERAGEIFS($Z$5:$Z$1000,$U$5:$U$1000,ROW(),$V$5:$V$1000,"Sub"),$Z287)))</f>
        <v/>
      </c>
      <c r="AE287" s="62">
        <f>IF($V287="","",IF(AND(ISNUMBER($G287),$G287&lt;=IF($S287=MesCiclo,InicioCiclo,$S287+MOD(2-WEEKDAY($S287),7))+20),1,IF(N($W287)&gt;0,AVERAGEIFS($AA$5:$AA$1000,$U$5:$U$1000,ROW(),$V$5:$V$1000,"Sub"),$AA287)))</f>
        <v/>
      </c>
      <c r="AF287" s="62">
        <f>IF($V287="","",IF(AND(ISNUMBER($G287),$G287&lt;=IF($S287=MesCiclo,InicioCiclo,$S287+MOD(2-WEEKDAY($S287),7))+27),1,IF(N($W287)&gt;0,AVERAGEIFS($AB$5:$AB$1000,$U$5:$U$1000,ROW(),$V$5:$V$1000,"Sub"),$AB287)))</f>
        <v/>
      </c>
      <c r="AG287" s="62">
        <f>IF($V287&lt;&gt;"Macro","",IF(COUNTIFS($S$5:$S$1000,$S287,$V$5:$V$1000,"Macro",$H$5:$H$1000,"&gt;0")=0,1/COUNTIFS($S$5:$S$1000,$S287,$V$5:$V$1000,"Macro"),IF(AND(ISNUMBER($H287),N($H287)&gt;0),$H287,SUMIFS($H$5:$H$1000,$S$5:$S$1000,$S287,$V$5:$V$1000,"Macro")/COUNTIFS($S$5:$S$1000,$S287,$V$5:$V$1000,"Macro",$H$5:$H$1000,"&gt;0"))/(COUNTIFS($S$5:$S$1000,$S287,$V$5:$V$1000,"Macro")*SUMIFS($H$5:$H$1000,$S$5:$S$1000,$S287,$V$5:$V$1000,"Macro")/COUNTIFS($S$5:$S$1000,$S287,$V$5:$V$1000,"Macro",$H$5:$H$1000,"&gt;0"))))</f>
        <v/>
      </c>
      <c r="AH287" s="62" t="n"/>
      <c r="AI287" s="62" t="n"/>
      <c r="AJ287" s="62" t="n"/>
      <c r="AK287" s="62" t="n"/>
      <c r="AL287" s="62">
        <f>IF(LEFT($C287,11)="[Jefatura] ",IFERROR(MATCH("Riesgo Financiero|"&amp;MID($C287,12,500),rDname_ADM,0),0),"")</f>
        <v/>
      </c>
      <c r="AM287" s="62">
        <f>IF(N($AL287)&gt;0,INDEX(rIni_ADM,$AL287),IF(ISNUMBER($E287),$E287,""))</f>
        <v/>
      </c>
      <c r="AN287" s="62">
        <f>IF(N($AL287)&gt;0,INDEX(rLim_ADM,$AL287),IF(ISNUMBER($F287),$F287,""))</f>
        <v/>
      </c>
    </row>
    <row r="288">
      <c r="A288" s="56">
        <f>IF(NOT((COUNTA($B288:$D288)+COUNTA($G288:$L288)+COUNTA($Q288))&gt;0),"",IF($V288="Macro",COUNTIFS($V$5:$V288,"Macro",$S$5:$S288,$S288),IF(N($U288)=0,"?",COUNTIFS(INDEX($V$5:$V$1000,1):INDEX($V$5:$V$1000,$U288-4),"Macro",INDEX($S$5:$S$1000,1):INDEX($S$5:$S$1000,$U288-4),INDEX($S$5:$S$1000,$U288-4))&amp;"."&amp;COUNTIFS($U$5:$U288,$U288,$V$5:$V288,"Sub"))))</f>
        <v/>
      </c>
      <c r="B288" s="57" t="n"/>
      <c r="C288" s="58" t="n"/>
      <c r="D288" s="58" t="n"/>
      <c r="E288" s="59">
        <f>IF(N($AL288)&gt;0,INDEX(rIni_ADM,$AL288),"")</f>
        <v/>
      </c>
      <c r="F288" s="59">
        <f>IF(N($AL288)&gt;0,INDEX(rLim_ADM,$AL288),"")</f>
        <v/>
      </c>
      <c r="G288" s="59" t="n"/>
      <c r="H288" s="60" t="n"/>
      <c r="I288" s="60" t="n"/>
      <c r="J288" s="60" t="n"/>
      <c r="K288" s="60" t="n"/>
      <c r="L288" s="60" t="n"/>
      <c r="M288" s="61">
        <f>IF(NOT((COUNTA($B288:$D288)+COUNTA($G288:$L288)+COUNTA($Q288))&gt;0),"",IF($V288="Sub",IFERROR($X288/INDEX($W$5:$W$1000,$U288-4),""),IF(ISNUMBER($G288),1,IF(N($W288)&gt;0,AVERAGEIFS($X$5:$X$1000,$U$5:$U$1000,ROW(),$V$5:$V$1000,"Sub"),$X288))))</f>
        <v/>
      </c>
      <c r="N288" s="56">
        <f>IF(OR($M288="",$V288="Sub"),"",IF($M288&gt;=1,"Completado",IF($M288&gt;0,"En curso","Pendiente")))</f>
        <v/>
      </c>
      <c r="O288" s="56">
        <f>IF(OR(NOT((COUNTA($B288:$D288)+COUNTA($G288:$L288)+COUNTA($Q288))&gt;0),$V288="Sub"),"",IF(ISNUMBER($G288),IF(AND(ISNUMBER($AN288),$G288&gt;$AN288),"Cumplida con "&amp;($G288-$AN288)&amp;IF($G288-$AN288=1," día"," días")&amp;" de retraso","Cumplida"),IF(N($M288)&gt;=1,"Cumplida",IF(NOT(ISNUMBER($AN288)),"Sin fecha límite",IF($AN288&lt;FechaRef,"Vencida hace "&amp;(FechaRef-$AN288)&amp;IF(FechaRef-$AN288=1," día"," días"),IF($AN288=FechaRef,"Vence hoy",IF($AN288-FechaRef&lt;=DiasAlerta,"Vence en "&amp;($AN288-FechaRef)&amp;IF($AN288-FechaRef=1," día"," días"),"En plazo")))))))</f>
        <v/>
      </c>
      <c r="P288" s="62" t="n"/>
      <c r="Q288" s="58" t="n"/>
      <c r="R288" s="63">
        <f>IF(NOT((COUNTA($B288:$D288)+COUNTA($G288:$L288)+COUNTA($Q288))&gt;0),"",IF((IF($C288="","Falta el nombre de la actividad"&amp;" · ","")&amp;IF(AND($V288="Sub",N($U288)=0),"Subactividad sin macroactividad arriba"&amp;" · ","")&amp;IF($AM288="","Sin fecha de inicio"&amp;" · ","")&amp;IF($AN288="","Sin fecha límite"&amp;" · ","")&amp;IF(AND(LEFT($C288,11)="[Jefatura] ",N($AL288)=0),"No se encuentra en la hoja de la jefatura (elíjala de nuevo en la lista)"&amp;" · ","")&amp;IF(OR(AND($E288&lt;&gt;"",NOT(ISNUMBER($E288))),AND($F288&lt;&gt;"",NOT(ISNUMBER($F288))),AND($G288&lt;&gt;"",NOT(ISNUMBER($G288)))),"Fecha no válida"&amp;" · ","")&amp;IF(AND(ISNUMBER($AM288),ISNUMBER($AN288),$AM288&gt;$AN288),"Inicio posterior a fecha límite"&amp;" · ","")&amp;IF(AND($V288="Macro",$H288&lt;&gt;"",OR(NOT(ISNUMBER($H288)),$H288&lt;0,$H288&gt;1)),"Peso fuera de rango"&amp;" · ","")&amp;IF(AND($V288="Sub",$H288&lt;&gt;""),"Las subactividades no llevan peso (valen igual dentro de su macroactividad)"&amp;" · ","")&amp;IF(AND(N($W288)&gt;0,COUNT($I288:$L288)&gt;0),"Con subactividades: deje vacías las semanas (se calculan solas)"&amp;" · ","")&amp;IF((COUNTIF($I288:$L288,"&gt;1")+COUNTIF($I288:$L288,"&lt;0")+COUNTA($I288:$L288)-COUNT($I288:$L288))&gt;0,"Avance fuera de rango 0-100%"&amp;" · ","")&amp;IF(OR(AND($J288&lt;&gt;"",$J288&lt;$I288),AND($K288&lt;&gt;"",$K288&lt;MAX($I288:$J288)),AND($L288&lt;&gt;"",$L288&lt;MAX($I288:$K288))),"Avance semanal decreciente"&amp;" · ","")&amp;IF(AND(ISNUMBER($AN288),$AN288&lt;FechaRef,IF($V288="Sub",N($X288),N($M288))&lt;1),"Vencida"&amp;" · ","")&amp;IF(AND(ObsObligatoria="Sí",ISNUMBER($AN288),$AN288&lt;FechaRef,IF($V288="Sub",N($X288),N($M288))&lt;1,$Q288=""),"Vencida sin observación"&amp;" · ",""))="","✔ OK","⚠ "&amp;LEFT(IF($C288="","Falta el nombre de la actividad"&amp;" · ","")&amp;IF(AND($V288="Sub",N($U288)=0),"Subactividad sin macroactividad arriba"&amp;" · ","")&amp;IF($AM288="","Sin fecha de inicio"&amp;" · ","")&amp;IF($AN288="","Sin fecha límite"&amp;" · ","")&amp;IF(AND(LEFT($C288,11)="[Jefatura] ",N($AL288)=0),"No se encuentra en la hoja de la jefatura (elíjala de nuevo en la lista)"&amp;" · ","")&amp;IF(OR(AND($E288&lt;&gt;"",NOT(ISNUMBER($E288))),AND($F288&lt;&gt;"",NOT(ISNUMBER($F288))),AND($G288&lt;&gt;"",NOT(ISNUMBER($G288)))),"Fecha no válida"&amp;" · ","")&amp;IF(AND(ISNUMBER($AM288),ISNUMBER($AN288),$AM288&gt;$AN288),"Inicio posterior a fecha límite"&amp;" · ","")&amp;IF(AND($V288="Macro",$H288&lt;&gt;"",OR(NOT(ISNUMBER($H288)),$H288&lt;0,$H288&gt;1)),"Peso fuera de rango"&amp;" · ","")&amp;IF(AND($V288="Sub",$H288&lt;&gt;""),"Las subactividades no llevan peso (valen igual dentro de su macroactividad)"&amp;" · ","")&amp;IF(AND(N($W288)&gt;0,COUNT($I288:$L288)&gt;0),"Con subactividades: deje vacías las semanas (se calculan solas)"&amp;" · ","")&amp;IF((COUNTIF($I288:$L288,"&gt;1")+COUNTIF($I288:$L288,"&lt;0")+COUNTA($I288:$L288)-COUNT($I288:$L288))&gt;0,"Avance fuera de rango 0-100%"&amp;" · ","")&amp;IF(OR(AND($J288&lt;&gt;"",$J288&lt;$I288),AND($K288&lt;&gt;"",$K288&lt;MAX($I288:$J288)),AND($L288&lt;&gt;"",$L288&lt;MAX($I288:$K288))),"Avance semanal decreciente"&amp;" · ","")&amp;IF(AND(ISNUMBER($AN288),$AN288&lt;FechaRef,IF($V288="Sub",N($X288),N($M288))&lt;1),"Vencida"&amp;" · ","")&amp;IF(AND(ObsObligatoria="Sí",ISNUMBER($AN288),$AN288&lt;FechaRef,IF($V288="Sub",N($X288),N($M288))&lt;1,$Q288=""),"Vencida sin observación"&amp;" · ",""),LEN(IF($C288="","Falta el nombre de la actividad"&amp;" · ","")&amp;IF(AND($V288="Sub",N($U288)=0),"Subactividad sin macroactividad arriba"&amp;" · ","")&amp;IF($AM288="","Sin fecha de inicio"&amp;" · ","")&amp;IF($AN288="","Sin fecha límite"&amp;" · ","")&amp;IF(AND(LEFT($C288,11)="[Jefatura] ",N($AL288)=0),"No se encuentra en la hoja de la jefatura (elíjala de nuevo en la lista)"&amp;" · ","")&amp;IF(OR(AND($E288&lt;&gt;"",NOT(ISNUMBER($E288))),AND($F288&lt;&gt;"",NOT(ISNUMBER($F288))),AND($G288&lt;&gt;"",NOT(ISNUMBER($G288)))),"Fecha no válida"&amp;" · ","")&amp;IF(AND(ISNUMBER($AM288),ISNUMBER($AN288),$AM288&gt;$AN288),"Inicio posterior a fecha límite"&amp;" · ","")&amp;IF(AND($V288="Macro",$H288&lt;&gt;"",OR(NOT(ISNUMBER($H288)),$H288&lt;0,$H288&gt;1)),"Peso fuera de rango"&amp;" · ","")&amp;IF(AND($V288="Sub",$H288&lt;&gt;""),"Las subactividades no llevan peso (valen igual dentro de su macroactividad)"&amp;" · ","")&amp;IF(AND(N($W288)&gt;0,COUNT($I288:$L288)&gt;0),"Con subactividades: deje vacías las semanas (se calculan solas)"&amp;" · ","")&amp;IF((COUNTIF($I288:$L288,"&gt;1")+COUNTIF($I288:$L288,"&lt;0")+COUNTA($I288:$L288)-COUNT($I288:$L288))&gt;0,"Avance fuera de rango 0-100%"&amp;" · ","")&amp;IF(OR(AND($J288&lt;&gt;"",$J288&lt;$I288),AND($K288&lt;&gt;"",$K288&lt;MAX($I288:$J288)),AND($L288&lt;&gt;"",$L288&lt;MAX($I288:$K288))),"Avance semanal decreciente"&amp;" · ","")&amp;IF(AND(ISNUMBER($AN288),$AN288&lt;FechaRef,IF($V288="Sub",N($X288),N($M288))&lt;1),"Vencida"&amp;" · ","")&amp;IF(AND(ObsObligatoria="Sí",ISNUMBER($AN288),$AN288&lt;FechaRef,IF($V288="Sub",N($X288),N($M288))&lt;1,$Q288=""),"Vencida sin observación"&amp;" · ",""))-3)))</f>
        <v/>
      </c>
      <c r="S288" s="64">
        <f>IF(NOT((COUNTA($B288:$D288)+COUNTA($G288:$L288)+COUNTA($Q288))&gt;0),"",IF(AND($V288="Sub",N($U288)&gt;0),IF(ISNUMBER(INDEX($AM$5:$AM$1000,$U288-4)),DATE(YEAR(INDEX($AM$5:$AM$1000,$U288-4)),MONTH(INDEX($AM$5:$AM$1000,$U288-4)),1),IF(ISNUMBER(INDEX($AN$5:$AN$1000,$U288-4)),DATE(YEAR(INDEX($AN$5:$AN$1000,$U288-4)),MONTH(INDEX($AN$5:$AN$1000,$U288-4)),1),MesCiclo)),IF(ISNUMBER($AM288),DATE(YEAR($AM288),MONTH($AM288),1),IF(ISNUMBER($AN288),DATE(YEAR($AN288),MONTH($AN288),1),MesCiclo))))</f>
        <v/>
      </c>
      <c r="T288" s="62">
        <f>IF(OR($S288="",$S288&lt;&gt;MesCiclo,$V288&lt;&gt;"Macro"),"",COUNTIFS($S$5:$S288,MesCiclo,$V$5:$V288,"Macro"))</f>
        <v/>
      </c>
      <c r="U288" s="62">
        <f>IF($V288="","",IF($V288="Macro",ROW(),IFERROR(LOOKUP(2,1/($V$5:$V288="Macro"),ROW($V$5:$V288)),0)))</f>
        <v/>
      </c>
      <c r="V288" s="62">
        <f>IF(NOT((COUNTA($B288:$D288)+COUNTA($G288:$L288)+COUNTA($Q288))&gt;0),"",IF($B288="Subactividad","Sub","Macro"))</f>
        <v/>
      </c>
      <c r="W288" s="62">
        <f>IF($V288="Macro",COUNTIFS($U$5:$U$1000,ROW(),$V$5:$V$1000,"Sub"),"")</f>
        <v/>
      </c>
      <c r="X288" s="62">
        <f>IF($V288="","",IF(ISNUMBER($G288),1,IFERROR(LOOKUP(2,1/($I288:$L288&lt;&gt;""),$I288:$L288),0)))</f>
        <v/>
      </c>
      <c r="Y288" s="62">
        <f>IF($V288="","",IF(AND(ISNUMBER($G288),$G288&lt;=IF($S288=MesCiclo,InicioCiclo,$S288+MOD(2-WEEKDAY($S288),7))+6),1,IF(ISNUMBER($I288),$I288,0)))</f>
        <v/>
      </c>
      <c r="Z288" s="62">
        <f>IF($V288="","",IF(AND(ISNUMBER($G288),$G288&lt;=IF($S288=MesCiclo,InicioCiclo,$S288+MOD(2-WEEKDAY($S288),7))+13),1,IF(ISNUMBER($J288),$J288,$Y288)))</f>
        <v/>
      </c>
      <c r="AA288" s="62">
        <f>IF($V288="","",IF(AND(ISNUMBER($G288),$G288&lt;=IF($S288=MesCiclo,InicioCiclo,$S288+MOD(2-WEEKDAY($S288),7))+20),1,IF(ISNUMBER($K288),$K288,$Z288)))</f>
        <v/>
      </c>
      <c r="AB288" s="62">
        <f>IF($V288="","",IF(AND(ISNUMBER($G288),$G288&lt;=IF($S288=MesCiclo,InicioCiclo,$S288+MOD(2-WEEKDAY($S288),7))+27),1,IF(ISNUMBER($L288),$L288,$AA288)))</f>
        <v/>
      </c>
      <c r="AC288" s="62">
        <f>IF($V288="","",IF(AND(ISNUMBER($G288),$G288&lt;=IF($S288=MesCiclo,InicioCiclo,$S288+MOD(2-WEEKDAY($S288),7))+6),1,IF(N($W288)&gt;0,AVERAGEIFS($Y$5:$Y$1000,$U$5:$U$1000,ROW(),$V$5:$V$1000,"Sub"),$Y288)))</f>
        <v/>
      </c>
      <c r="AD288" s="62">
        <f>IF($V288="","",IF(AND(ISNUMBER($G288),$G288&lt;=IF($S288=MesCiclo,InicioCiclo,$S288+MOD(2-WEEKDAY($S288),7))+13),1,IF(N($W288)&gt;0,AVERAGEIFS($Z$5:$Z$1000,$U$5:$U$1000,ROW(),$V$5:$V$1000,"Sub"),$Z288)))</f>
        <v/>
      </c>
      <c r="AE288" s="62">
        <f>IF($V288="","",IF(AND(ISNUMBER($G288),$G288&lt;=IF($S288=MesCiclo,InicioCiclo,$S288+MOD(2-WEEKDAY($S288),7))+20),1,IF(N($W288)&gt;0,AVERAGEIFS($AA$5:$AA$1000,$U$5:$U$1000,ROW(),$V$5:$V$1000,"Sub"),$AA288)))</f>
        <v/>
      </c>
      <c r="AF288" s="62">
        <f>IF($V288="","",IF(AND(ISNUMBER($G288),$G288&lt;=IF($S288=MesCiclo,InicioCiclo,$S288+MOD(2-WEEKDAY($S288),7))+27),1,IF(N($W288)&gt;0,AVERAGEIFS($AB$5:$AB$1000,$U$5:$U$1000,ROW(),$V$5:$V$1000,"Sub"),$AB288)))</f>
        <v/>
      </c>
      <c r="AG288" s="62">
        <f>IF($V288&lt;&gt;"Macro","",IF(COUNTIFS($S$5:$S$1000,$S288,$V$5:$V$1000,"Macro",$H$5:$H$1000,"&gt;0")=0,1/COUNTIFS($S$5:$S$1000,$S288,$V$5:$V$1000,"Macro"),IF(AND(ISNUMBER($H288),N($H288)&gt;0),$H288,SUMIFS($H$5:$H$1000,$S$5:$S$1000,$S288,$V$5:$V$1000,"Macro")/COUNTIFS($S$5:$S$1000,$S288,$V$5:$V$1000,"Macro",$H$5:$H$1000,"&gt;0"))/(COUNTIFS($S$5:$S$1000,$S288,$V$5:$V$1000,"Macro")*SUMIFS($H$5:$H$1000,$S$5:$S$1000,$S288,$V$5:$V$1000,"Macro")/COUNTIFS($S$5:$S$1000,$S288,$V$5:$V$1000,"Macro",$H$5:$H$1000,"&gt;0"))))</f>
        <v/>
      </c>
      <c r="AH288" s="62" t="n"/>
      <c r="AI288" s="62" t="n"/>
      <c r="AJ288" s="62" t="n"/>
      <c r="AK288" s="62" t="n"/>
      <c r="AL288" s="62">
        <f>IF(LEFT($C288,11)="[Jefatura] ",IFERROR(MATCH("Riesgo Financiero|"&amp;MID($C288,12,500),rDname_ADM,0),0),"")</f>
        <v/>
      </c>
      <c r="AM288" s="62">
        <f>IF(N($AL288)&gt;0,INDEX(rIni_ADM,$AL288),IF(ISNUMBER($E288),$E288,""))</f>
        <v/>
      </c>
      <c r="AN288" s="62">
        <f>IF(N($AL288)&gt;0,INDEX(rLim_ADM,$AL288),IF(ISNUMBER($F288),$F288,""))</f>
        <v/>
      </c>
    </row>
    <row r="289">
      <c r="A289" s="56">
        <f>IF(NOT((COUNTA($B289:$D289)+COUNTA($G289:$L289)+COUNTA($Q289))&gt;0),"",IF($V289="Macro",COUNTIFS($V$5:$V289,"Macro",$S$5:$S289,$S289),IF(N($U289)=0,"?",COUNTIFS(INDEX($V$5:$V$1000,1):INDEX($V$5:$V$1000,$U289-4),"Macro",INDEX($S$5:$S$1000,1):INDEX($S$5:$S$1000,$U289-4),INDEX($S$5:$S$1000,$U289-4))&amp;"."&amp;COUNTIFS($U$5:$U289,$U289,$V$5:$V289,"Sub"))))</f>
        <v/>
      </c>
      <c r="B289" s="57" t="n"/>
      <c r="C289" s="58" t="n"/>
      <c r="D289" s="58" t="n"/>
      <c r="E289" s="59">
        <f>IF(N($AL289)&gt;0,INDEX(rIni_ADM,$AL289),"")</f>
        <v/>
      </c>
      <c r="F289" s="59">
        <f>IF(N($AL289)&gt;0,INDEX(rLim_ADM,$AL289),"")</f>
        <v/>
      </c>
      <c r="G289" s="59" t="n"/>
      <c r="H289" s="60" t="n"/>
      <c r="I289" s="60" t="n"/>
      <c r="J289" s="60" t="n"/>
      <c r="K289" s="60" t="n"/>
      <c r="L289" s="60" t="n"/>
      <c r="M289" s="61">
        <f>IF(NOT((COUNTA($B289:$D289)+COUNTA($G289:$L289)+COUNTA($Q289))&gt;0),"",IF($V289="Sub",IFERROR($X289/INDEX($W$5:$W$1000,$U289-4),""),IF(ISNUMBER($G289),1,IF(N($W289)&gt;0,AVERAGEIFS($X$5:$X$1000,$U$5:$U$1000,ROW(),$V$5:$V$1000,"Sub"),$X289))))</f>
        <v/>
      </c>
      <c r="N289" s="56">
        <f>IF(OR($M289="",$V289="Sub"),"",IF($M289&gt;=1,"Completado",IF($M289&gt;0,"En curso","Pendiente")))</f>
        <v/>
      </c>
      <c r="O289" s="56">
        <f>IF(OR(NOT((COUNTA($B289:$D289)+COUNTA($G289:$L289)+COUNTA($Q289))&gt;0),$V289="Sub"),"",IF(ISNUMBER($G289),IF(AND(ISNUMBER($AN289),$G289&gt;$AN289),"Cumplida con "&amp;($G289-$AN289)&amp;IF($G289-$AN289=1," día"," días")&amp;" de retraso","Cumplida"),IF(N($M289)&gt;=1,"Cumplida",IF(NOT(ISNUMBER($AN289)),"Sin fecha límite",IF($AN289&lt;FechaRef,"Vencida hace "&amp;(FechaRef-$AN289)&amp;IF(FechaRef-$AN289=1," día"," días"),IF($AN289=FechaRef,"Vence hoy",IF($AN289-FechaRef&lt;=DiasAlerta,"Vence en "&amp;($AN289-FechaRef)&amp;IF($AN289-FechaRef=1," día"," días"),"En plazo")))))))</f>
        <v/>
      </c>
      <c r="P289" s="62" t="n"/>
      <c r="Q289" s="58" t="n"/>
      <c r="R289" s="63">
        <f>IF(NOT((COUNTA($B289:$D289)+COUNTA($G289:$L289)+COUNTA($Q289))&gt;0),"",IF((IF($C289="","Falta el nombre de la actividad"&amp;" · ","")&amp;IF(AND($V289="Sub",N($U289)=0),"Subactividad sin macroactividad arriba"&amp;" · ","")&amp;IF($AM289="","Sin fecha de inicio"&amp;" · ","")&amp;IF($AN289="","Sin fecha límite"&amp;" · ","")&amp;IF(AND(LEFT($C289,11)="[Jefatura] ",N($AL289)=0),"No se encuentra en la hoja de la jefatura (elíjala de nuevo en la lista)"&amp;" · ","")&amp;IF(OR(AND($E289&lt;&gt;"",NOT(ISNUMBER($E289))),AND($F289&lt;&gt;"",NOT(ISNUMBER($F289))),AND($G289&lt;&gt;"",NOT(ISNUMBER($G289)))),"Fecha no válida"&amp;" · ","")&amp;IF(AND(ISNUMBER($AM289),ISNUMBER($AN289),$AM289&gt;$AN289),"Inicio posterior a fecha límite"&amp;" · ","")&amp;IF(AND($V289="Macro",$H289&lt;&gt;"",OR(NOT(ISNUMBER($H289)),$H289&lt;0,$H289&gt;1)),"Peso fuera de rango"&amp;" · ","")&amp;IF(AND($V289="Sub",$H289&lt;&gt;""),"Las subactividades no llevan peso (valen igual dentro de su macroactividad)"&amp;" · ","")&amp;IF(AND(N($W289)&gt;0,COUNT($I289:$L289)&gt;0),"Con subactividades: deje vacías las semanas (se calculan solas)"&amp;" · ","")&amp;IF((COUNTIF($I289:$L289,"&gt;1")+COUNTIF($I289:$L289,"&lt;0")+COUNTA($I289:$L289)-COUNT($I289:$L289))&gt;0,"Avance fuera de rango 0-100%"&amp;" · ","")&amp;IF(OR(AND($J289&lt;&gt;"",$J289&lt;$I289),AND($K289&lt;&gt;"",$K289&lt;MAX($I289:$J289)),AND($L289&lt;&gt;"",$L289&lt;MAX($I289:$K289))),"Avance semanal decreciente"&amp;" · ","")&amp;IF(AND(ISNUMBER($AN289),$AN289&lt;FechaRef,IF($V289="Sub",N($X289),N($M289))&lt;1),"Vencida"&amp;" · ","")&amp;IF(AND(ObsObligatoria="Sí",ISNUMBER($AN289),$AN289&lt;FechaRef,IF($V289="Sub",N($X289),N($M289))&lt;1,$Q289=""),"Vencida sin observación"&amp;" · ",""))="","✔ OK","⚠ "&amp;LEFT(IF($C289="","Falta el nombre de la actividad"&amp;" · ","")&amp;IF(AND($V289="Sub",N($U289)=0),"Subactividad sin macroactividad arriba"&amp;" · ","")&amp;IF($AM289="","Sin fecha de inicio"&amp;" · ","")&amp;IF($AN289="","Sin fecha límite"&amp;" · ","")&amp;IF(AND(LEFT($C289,11)="[Jefatura] ",N($AL289)=0),"No se encuentra en la hoja de la jefatura (elíjala de nuevo en la lista)"&amp;" · ","")&amp;IF(OR(AND($E289&lt;&gt;"",NOT(ISNUMBER($E289))),AND($F289&lt;&gt;"",NOT(ISNUMBER($F289))),AND($G289&lt;&gt;"",NOT(ISNUMBER($G289)))),"Fecha no válida"&amp;" · ","")&amp;IF(AND(ISNUMBER($AM289),ISNUMBER($AN289),$AM289&gt;$AN289),"Inicio posterior a fecha límite"&amp;" · ","")&amp;IF(AND($V289="Macro",$H289&lt;&gt;"",OR(NOT(ISNUMBER($H289)),$H289&lt;0,$H289&gt;1)),"Peso fuera de rango"&amp;" · ","")&amp;IF(AND($V289="Sub",$H289&lt;&gt;""),"Las subactividades no llevan peso (valen igual dentro de su macroactividad)"&amp;" · ","")&amp;IF(AND(N($W289)&gt;0,COUNT($I289:$L289)&gt;0),"Con subactividades: deje vacías las semanas (se calculan solas)"&amp;" · ","")&amp;IF((COUNTIF($I289:$L289,"&gt;1")+COUNTIF($I289:$L289,"&lt;0")+COUNTA($I289:$L289)-COUNT($I289:$L289))&gt;0,"Avance fuera de rango 0-100%"&amp;" · ","")&amp;IF(OR(AND($J289&lt;&gt;"",$J289&lt;$I289),AND($K289&lt;&gt;"",$K289&lt;MAX($I289:$J289)),AND($L289&lt;&gt;"",$L289&lt;MAX($I289:$K289))),"Avance semanal decreciente"&amp;" · ","")&amp;IF(AND(ISNUMBER($AN289),$AN289&lt;FechaRef,IF($V289="Sub",N($X289),N($M289))&lt;1),"Vencida"&amp;" · ","")&amp;IF(AND(ObsObligatoria="Sí",ISNUMBER($AN289),$AN289&lt;FechaRef,IF($V289="Sub",N($X289),N($M289))&lt;1,$Q289=""),"Vencida sin observación"&amp;" · ",""),LEN(IF($C289="","Falta el nombre de la actividad"&amp;" · ","")&amp;IF(AND($V289="Sub",N($U289)=0),"Subactividad sin macroactividad arriba"&amp;" · ","")&amp;IF($AM289="","Sin fecha de inicio"&amp;" · ","")&amp;IF($AN289="","Sin fecha límite"&amp;" · ","")&amp;IF(AND(LEFT($C289,11)="[Jefatura] ",N($AL289)=0),"No se encuentra en la hoja de la jefatura (elíjala de nuevo en la lista)"&amp;" · ","")&amp;IF(OR(AND($E289&lt;&gt;"",NOT(ISNUMBER($E289))),AND($F289&lt;&gt;"",NOT(ISNUMBER($F289))),AND($G289&lt;&gt;"",NOT(ISNUMBER($G289)))),"Fecha no válida"&amp;" · ","")&amp;IF(AND(ISNUMBER($AM289),ISNUMBER($AN289),$AM289&gt;$AN289),"Inicio posterior a fecha límite"&amp;" · ","")&amp;IF(AND($V289="Macro",$H289&lt;&gt;"",OR(NOT(ISNUMBER($H289)),$H289&lt;0,$H289&gt;1)),"Peso fuera de rango"&amp;" · ","")&amp;IF(AND($V289="Sub",$H289&lt;&gt;""),"Las subactividades no llevan peso (valen igual dentro de su macroactividad)"&amp;" · ","")&amp;IF(AND(N($W289)&gt;0,COUNT($I289:$L289)&gt;0),"Con subactividades: deje vacías las semanas (se calculan solas)"&amp;" · ","")&amp;IF((COUNTIF($I289:$L289,"&gt;1")+COUNTIF($I289:$L289,"&lt;0")+COUNTA($I289:$L289)-COUNT($I289:$L289))&gt;0,"Avance fuera de rango 0-100%"&amp;" · ","")&amp;IF(OR(AND($J289&lt;&gt;"",$J289&lt;$I289),AND($K289&lt;&gt;"",$K289&lt;MAX($I289:$J289)),AND($L289&lt;&gt;"",$L289&lt;MAX($I289:$K289))),"Avance semanal decreciente"&amp;" · ","")&amp;IF(AND(ISNUMBER($AN289),$AN289&lt;FechaRef,IF($V289="Sub",N($X289),N($M289))&lt;1),"Vencida"&amp;" · ","")&amp;IF(AND(ObsObligatoria="Sí",ISNUMBER($AN289),$AN289&lt;FechaRef,IF($V289="Sub",N($X289),N($M289))&lt;1,$Q289=""),"Vencida sin observación"&amp;" · ",""))-3)))</f>
        <v/>
      </c>
      <c r="S289" s="64">
        <f>IF(NOT((COUNTA($B289:$D289)+COUNTA($G289:$L289)+COUNTA($Q289))&gt;0),"",IF(AND($V289="Sub",N($U289)&gt;0),IF(ISNUMBER(INDEX($AM$5:$AM$1000,$U289-4)),DATE(YEAR(INDEX($AM$5:$AM$1000,$U289-4)),MONTH(INDEX($AM$5:$AM$1000,$U289-4)),1),IF(ISNUMBER(INDEX($AN$5:$AN$1000,$U289-4)),DATE(YEAR(INDEX($AN$5:$AN$1000,$U289-4)),MONTH(INDEX($AN$5:$AN$1000,$U289-4)),1),MesCiclo)),IF(ISNUMBER($AM289),DATE(YEAR($AM289),MONTH($AM289),1),IF(ISNUMBER($AN289),DATE(YEAR($AN289),MONTH($AN289),1),MesCiclo))))</f>
        <v/>
      </c>
      <c r="T289" s="62">
        <f>IF(OR($S289="",$S289&lt;&gt;MesCiclo,$V289&lt;&gt;"Macro"),"",COUNTIFS($S$5:$S289,MesCiclo,$V$5:$V289,"Macro"))</f>
        <v/>
      </c>
      <c r="U289" s="62">
        <f>IF($V289="","",IF($V289="Macro",ROW(),IFERROR(LOOKUP(2,1/($V$5:$V289="Macro"),ROW($V$5:$V289)),0)))</f>
        <v/>
      </c>
      <c r="V289" s="62">
        <f>IF(NOT((COUNTA($B289:$D289)+COUNTA($G289:$L289)+COUNTA($Q289))&gt;0),"",IF($B289="Subactividad","Sub","Macro"))</f>
        <v/>
      </c>
      <c r="W289" s="62">
        <f>IF($V289="Macro",COUNTIFS($U$5:$U$1000,ROW(),$V$5:$V$1000,"Sub"),"")</f>
        <v/>
      </c>
      <c r="X289" s="62">
        <f>IF($V289="","",IF(ISNUMBER($G289),1,IFERROR(LOOKUP(2,1/($I289:$L289&lt;&gt;""),$I289:$L289),0)))</f>
        <v/>
      </c>
      <c r="Y289" s="62">
        <f>IF($V289="","",IF(AND(ISNUMBER($G289),$G289&lt;=IF($S289=MesCiclo,InicioCiclo,$S289+MOD(2-WEEKDAY($S289),7))+6),1,IF(ISNUMBER($I289),$I289,0)))</f>
        <v/>
      </c>
      <c r="Z289" s="62">
        <f>IF($V289="","",IF(AND(ISNUMBER($G289),$G289&lt;=IF($S289=MesCiclo,InicioCiclo,$S289+MOD(2-WEEKDAY($S289),7))+13),1,IF(ISNUMBER($J289),$J289,$Y289)))</f>
        <v/>
      </c>
      <c r="AA289" s="62">
        <f>IF($V289="","",IF(AND(ISNUMBER($G289),$G289&lt;=IF($S289=MesCiclo,InicioCiclo,$S289+MOD(2-WEEKDAY($S289),7))+20),1,IF(ISNUMBER($K289),$K289,$Z289)))</f>
        <v/>
      </c>
      <c r="AB289" s="62">
        <f>IF($V289="","",IF(AND(ISNUMBER($G289),$G289&lt;=IF($S289=MesCiclo,InicioCiclo,$S289+MOD(2-WEEKDAY($S289),7))+27),1,IF(ISNUMBER($L289),$L289,$AA289)))</f>
        <v/>
      </c>
      <c r="AC289" s="62">
        <f>IF($V289="","",IF(AND(ISNUMBER($G289),$G289&lt;=IF($S289=MesCiclo,InicioCiclo,$S289+MOD(2-WEEKDAY($S289),7))+6),1,IF(N($W289)&gt;0,AVERAGEIFS($Y$5:$Y$1000,$U$5:$U$1000,ROW(),$V$5:$V$1000,"Sub"),$Y289)))</f>
        <v/>
      </c>
      <c r="AD289" s="62">
        <f>IF($V289="","",IF(AND(ISNUMBER($G289),$G289&lt;=IF($S289=MesCiclo,InicioCiclo,$S289+MOD(2-WEEKDAY($S289),7))+13),1,IF(N($W289)&gt;0,AVERAGEIFS($Z$5:$Z$1000,$U$5:$U$1000,ROW(),$V$5:$V$1000,"Sub"),$Z289)))</f>
        <v/>
      </c>
      <c r="AE289" s="62">
        <f>IF($V289="","",IF(AND(ISNUMBER($G289),$G289&lt;=IF($S289=MesCiclo,InicioCiclo,$S289+MOD(2-WEEKDAY($S289),7))+20),1,IF(N($W289)&gt;0,AVERAGEIFS($AA$5:$AA$1000,$U$5:$U$1000,ROW(),$V$5:$V$1000,"Sub"),$AA289)))</f>
        <v/>
      </c>
      <c r="AF289" s="62">
        <f>IF($V289="","",IF(AND(ISNUMBER($G289),$G289&lt;=IF($S289=MesCiclo,InicioCiclo,$S289+MOD(2-WEEKDAY($S289),7))+27),1,IF(N($W289)&gt;0,AVERAGEIFS($AB$5:$AB$1000,$U$5:$U$1000,ROW(),$V$5:$V$1000,"Sub"),$AB289)))</f>
        <v/>
      </c>
      <c r="AG289" s="62">
        <f>IF($V289&lt;&gt;"Macro","",IF(COUNTIFS($S$5:$S$1000,$S289,$V$5:$V$1000,"Macro",$H$5:$H$1000,"&gt;0")=0,1/COUNTIFS($S$5:$S$1000,$S289,$V$5:$V$1000,"Macro"),IF(AND(ISNUMBER($H289),N($H289)&gt;0),$H289,SUMIFS($H$5:$H$1000,$S$5:$S$1000,$S289,$V$5:$V$1000,"Macro")/COUNTIFS($S$5:$S$1000,$S289,$V$5:$V$1000,"Macro",$H$5:$H$1000,"&gt;0"))/(COUNTIFS($S$5:$S$1000,$S289,$V$5:$V$1000,"Macro")*SUMIFS($H$5:$H$1000,$S$5:$S$1000,$S289,$V$5:$V$1000,"Macro")/COUNTIFS($S$5:$S$1000,$S289,$V$5:$V$1000,"Macro",$H$5:$H$1000,"&gt;0"))))</f>
        <v/>
      </c>
      <c r="AH289" s="62" t="n"/>
      <c r="AI289" s="62" t="n"/>
      <c r="AJ289" s="62" t="n"/>
      <c r="AK289" s="62" t="n"/>
      <c r="AL289" s="62">
        <f>IF(LEFT($C289,11)="[Jefatura] ",IFERROR(MATCH("Riesgo Financiero|"&amp;MID($C289,12,500),rDname_ADM,0),0),"")</f>
        <v/>
      </c>
      <c r="AM289" s="62">
        <f>IF(N($AL289)&gt;0,INDEX(rIni_ADM,$AL289),IF(ISNUMBER($E289),$E289,""))</f>
        <v/>
      </c>
      <c r="AN289" s="62">
        <f>IF(N($AL289)&gt;0,INDEX(rLim_ADM,$AL289),IF(ISNUMBER($F289),$F289,""))</f>
        <v/>
      </c>
    </row>
    <row r="290">
      <c r="A290" s="56">
        <f>IF(NOT((COUNTA($B290:$D290)+COUNTA($G290:$L290)+COUNTA($Q290))&gt;0),"",IF($V290="Macro",COUNTIFS($V$5:$V290,"Macro",$S$5:$S290,$S290),IF(N($U290)=0,"?",COUNTIFS(INDEX($V$5:$V$1000,1):INDEX($V$5:$V$1000,$U290-4),"Macro",INDEX($S$5:$S$1000,1):INDEX($S$5:$S$1000,$U290-4),INDEX($S$5:$S$1000,$U290-4))&amp;"."&amp;COUNTIFS($U$5:$U290,$U290,$V$5:$V290,"Sub"))))</f>
        <v/>
      </c>
      <c r="B290" s="57" t="n"/>
      <c r="C290" s="58" t="n"/>
      <c r="D290" s="58" t="n"/>
      <c r="E290" s="59">
        <f>IF(N($AL290)&gt;0,INDEX(rIni_ADM,$AL290),"")</f>
        <v/>
      </c>
      <c r="F290" s="59">
        <f>IF(N($AL290)&gt;0,INDEX(rLim_ADM,$AL290),"")</f>
        <v/>
      </c>
      <c r="G290" s="59" t="n"/>
      <c r="H290" s="60" t="n"/>
      <c r="I290" s="60" t="n"/>
      <c r="J290" s="60" t="n"/>
      <c r="K290" s="60" t="n"/>
      <c r="L290" s="60" t="n"/>
      <c r="M290" s="61">
        <f>IF(NOT((COUNTA($B290:$D290)+COUNTA($G290:$L290)+COUNTA($Q290))&gt;0),"",IF($V290="Sub",IFERROR($X290/INDEX($W$5:$W$1000,$U290-4),""),IF(ISNUMBER($G290),1,IF(N($W290)&gt;0,AVERAGEIFS($X$5:$X$1000,$U$5:$U$1000,ROW(),$V$5:$V$1000,"Sub"),$X290))))</f>
        <v/>
      </c>
      <c r="N290" s="56">
        <f>IF(OR($M290="",$V290="Sub"),"",IF($M290&gt;=1,"Completado",IF($M290&gt;0,"En curso","Pendiente")))</f>
        <v/>
      </c>
      <c r="O290" s="56">
        <f>IF(OR(NOT((COUNTA($B290:$D290)+COUNTA($G290:$L290)+COUNTA($Q290))&gt;0),$V290="Sub"),"",IF(ISNUMBER($G290),IF(AND(ISNUMBER($AN290),$G290&gt;$AN290),"Cumplida con "&amp;($G290-$AN290)&amp;IF($G290-$AN290=1," día"," días")&amp;" de retraso","Cumplida"),IF(N($M290)&gt;=1,"Cumplida",IF(NOT(ISNUMBER($AN290)),"Sin fecha límite",IF($AN290&lt;FechaRef,"Vencida hace "&amp;(FechaRef-$AN290)&amp;IF(FechaRef-$AN290=1," día"," días"),IF($AN290=FechaRef,"Vence hoy",IF($AN290-FechaRef&lt;=DiasAlerta,"Vence en "&amp;($AN290-FechaRef)&amp;IF($AN290-FechaRef=1," día"," días"),"En plazo")))))))</f>
        <v/>
      </c>
      <c r="P290" s="62" t="n"/>
      <c r="Q290" s="58" t="n"/>
      <c r="R290" s="63">
        <f>IF(NOT((COUNTA($B290:$D290)+COUNTA($G290:$L290)+COUNTA($Q290))&gt;0),"",IF((IF($C290="","Falta el nombre de la actividad"&amp;" · ","")&amp;IF(AND($V290="Sub",N($U290)=0),"Subactividad sin macroactividad arriba"&amp;" · ","")&amp;IF($AM290="","Sin fecha de inicio"&amp;" · ","")&amp;IF($AN290="","Sin fecha límite"&amp;" · ","")&amp;IF(AND(LEFT($C290,11)="[Jefatura] ",N($AL290)=0),"No se encuentra en la hoja de la jefatura (elíjala de nuevo en la lista)"&amp;" · ","")&amp;IF(OR(AND($E290&lt;&gt;"",NOT(ISNUMBER($E290))),AND($F290&lt;&gt;"",NOT(ISNUMBER($F290))),AND($G290&lt;&gt;"",NOT(ISNUMBER($G290)))),"Fecha no válida"&amp;" · ","")&amp;IF(AND(ISNUMBER($AM290),ISNUMBER($AN290),$AM290&gt;$AN290),"Inicio posterior a fecha límite"&amp;" · ","")&amp;IF(AND($V290="Macro",$H290&lt;&gt;"",OR(NOT(ISNUMBER($H290)),$H290&lt;0,$H290&gt;1)),"Peso fuera de rango"&amp;" · ","")&amp;IF(AND($V290="Sub",$H290&lt;&gt;""),"Las subactividades no llevan peso (valen igual dentro de su macroactividad)"&amp;" · ","")&amp;IF(AND(N($W290)&gt;0,COUNT($I290:$L290)&gt;0),"Con subactividades: deje vacías las semanas (se calculan solas)"&amp;" · ","")&amp;IF((COUNTIF($I290:$L290,"&gt;1")+COUNTIF($I290:$L290,"&lt;0")+COUNTA($I290:$L290)-COUNT($I290:$L290))&gt;0,"Avance fuera de rango 0-100%"&amp;" · ","")&amp;IF(OR(AND($J290&lt;&gt;"",$J290&lt;$I290),AND($K290&lt;&gt;"",$K290&lt;MAX($I290:$J290)),AND($L290&lt;&gt;"",$L290&lt;MAX($I290:$K290))),"Avance semanal decreciente"&amp;" · ","")&amp;IF(AND(ISNUMBER($AN290),$AN290&lt;FechaRef,IF($V290="Sub",N($X290),N($M290))&lt;1),"Vencida"&amp;" · ","")&amp;IF(AND(ObsObligatoria="Sí",ISNUMBER($AN290),$AN290&lt;FechaRef,IF($V290="Sub",N($X290),N($M290))&lt;1,$Q290=""),"Vencida sin observación"&amp;" · ",""))="","✔ OK","⚠ "&amp;LEFT(IF($C290="","Falta el nombre de la actividad"&amp;" · ","")&amp;IF(AND($V290="Sub",N($U290)=0),"Subactividad sin macroactividad arriba"&amp;" · ","")&amp;IF($AM290="","Sin fecha de inicio"&amp;" · ","")&amp;IF($AN290="","Sin fecha límite"&amp;" · ","")&amp;IF(AND(LEFT($C290,11)="[Jefatura] ",N($AL290)=0),"No se encuentra en la hoja de la jefatura (elíjala de nuevo en la lista)"&amp;" · ","")&amp;IF(OR(AND($E290&lt;&gt;"",NOT(ISNUMBER($E290))),AND($F290&lt;&gt;"",NOT(ISNUMBER($F290))),AND($G290&lt;&gt;"",NOT(ISNUMBER($G290)))),"Fecha no válida"&amp;" · ","")&amp;IF(AND(ISNUMBER($AM290),ISNUMBER($AN290),$AM290&gt;$AN290),"Inicio posterior a fecha límite"&amp;" · ","")&amp;IF(AND($V290="Macro",$H290&lt;&gt;"",OR(NOT(ISNUMBER($H290)),$H290&lt;0,$H290&gt;1)),"Peso fuera de rango"&amp;" · ","")&amp;IF(AND($V290="Sub",$H290&lt;&gt;""),"Las subactividades no llevan peso (valen igual dentro de su macroactividad)"&amp;" · ","")&amp;IF(AND(N($W290)&gt;0,COUNT($I290:$L290)&gt;0),"Con subactividades: deje vacías las semanas (se calculan solas)"&amp;" · ","")&amp;IF((COUNTIF($I290:$L290,"&gt;1")+COUNTIF($I290:$L290,"&lt;0")+COUNTA($I290:$L290)-COUNT($I290:$L290))&gt;0,"Avance fuera de rango 0-100%"&amp;" · ","")&amp;IF(OR(AND($J290&lt;&gt;"",$J290&lt;$I290),AND($K290&lt;&gt;"",$K290&lt;MAX($I290:$J290)),AND($L290&lt;&gt;"",$L290&lt;MAX($I290:$K290))),"Avance semanal decreciente"&amp;" · ","")&amp;IF(AND(ISNUMBER($AN290),$AN290&lt;FechaRef,IF($V290="Sub",N($X290),N($M290))&lt;1),"Vencida"&amp;" · ","")&amp;IF(AND(ObsObligatoria="Sí",ISNUMBER($AN290),$AN290&lt;FechaRef,IF($V290="Sub",N($X290),N($M290))&lt;1,$Q290=""),"Vencida sin observación"&amp;" · ",""),LEN(IF($C290="","Falta el nombre de la actividad"&amp;" · ","")&amp;IF(AND($V290="Sub",N($U290)=0),"Subactividad sin macroactividad arriba"&amp;" · ","")&amp;IF($AM290="","Sin fecha de inicio"&amp;" · ","")&amp;IF($AN290="","Sin fecha límite"&amp;" · ","")&amp;IF(AND(LEFT($C290,11)="[Jefatura] ",N($AL290)=0),"No se encuentra en la hoja de la jefatura (elíjala de nuevo en la lista)"&amp;" · ","")&amp;IF(OR(AND($E290&lt;&gt;"",NOT(ISNUMBER($E290))),AND($F290&lt;&gt;"",NOT(ISNUMBER($F290))),AND($G290&lt;&gt;"",NOT(ISNUMBER($G290)))),"Fecha no válida"&amp;" · ","")&amp;IF(AND(ISNUMBER($AM290),ISNUMBER($AN290),$AM290&gt;$AN290),"Inicio posterior a fecha límite"&amp;" · ","")&amp;IF(AND($V290="Macro",$H290&lt;&gt;"",OR(NOT(ISNUMBER($H290)),$H290&lt;0,$H290&gt;1)),"Peso fuera de rango"&amp;" · ","")&amp;IF(AND($V290="Sub",$H290&lt;&gt;""),"Las subactividades no llevan peso (valen igual dentro de su macroactividad)"&amp;" · ","")&amp;IF(AND(N($W290)&gt;0,COUNT($I290:$L290)&gt;0),"Con subactividades: deje vacías las semanas (se calculan solas)"&amp;" · ","")&amp;IF((COUNTIF($I290:$L290,"&gt;1")+COUNTIF($I290:$L290,"&lt;0")+COUNTA($I290:$L290)-COUNT($I290:$L290))&gt;0,"Avance fuera de rango 0-100%"&amp;" · ","")&amp;IF(OR(AND($J290&lt;&gt;"",$J290&lt;$I290),AND($K290&lt;&gt;"",$K290&lt;MAX($I290:$J290)),AND($L290&lt;&gt;"",$L290&lt;MAX($I290:$K290))),"Avance semanal decreciente"&amp;" · ","")&amp;IF(AND(ISNUMBER($AN290),$AN290&lt;FechaRef,IF($V290="Sub",N($X290),N($M290))&lt;1),"Vencida"&amp;" · ","")&amp;IF(AND(ObsObligatoria="Sí",ISNUMBER($AN290),$AN290&lt;FechaRef,IF($V290="Sub",N($X290),N($M290))&lt;1,$Q290=""),"Vencida sin observación"&amp;" · ",""))-3)))</f>
        <v/>
      </c>
      <c r="S290" s="64">
        <f>IF(NOT((COUNTA($B290:$D290)+COUNTA($G290:$L290)+COUNTA($Q290))&gt;0),"",IF(AND($V290="Sub",N($U290)&gt;0),IF(ISNUMBER(INDEX($AM$5:$AM$1000,$U290-4)),DATE(YEAR(INDEX($AM$5:$AM$1000,$U290-4)),MONTH(INDEX($AM$5:$AM$1000,$U290-4)),1),IF(ISNUMBER(INDEX($AN$5:$AN$1000,$U290-4)),DATE(YEAR(INDEX($AN$5:$AN$1000,$U290-4)),MONTH(INDEX($AN$5:$AN$1000,$U290-4)),1),MesCiclo)),IF(ISNUMBER($AM290),DATE(YEAR($AM290),MONTH($AM290),1),IF(ISNUMBER($AN290),DATE(YEAR($AN290),MONTH($AN290),1),MesCiclo))))</f>
        <v/>
      </c>
      <c r="T290" s="62">
        <f>IF(OR($S290="",$S290&lt;&gt;MesCiclo,$V290&lt;&gt;"Macro"),"",COUNTIFS($S$5:$S290,MesCiclo,$V$5:$V290,"Macro"))</f>
        <v/>
      </c>
      <c r="U290" s="62">
        <f>IF($V290="","",IF($V290="Macro",ROW(),IFERROR(LOOKUP(2,1/($V$5:$V290="Macro"),ROW($V$5:$V290)),0)))</f>
        <v/>
      </c>
      <c r="V290" s="62">
        <f>IF(NOT((COUNTA($B290:$D290)+COUNTA($G290:$L290)+COUNTA($Q290))&gt;0),"",IF($B290="Subactividad","Sub","Macro"))</f>
        <v/>
      </c>
      <c r="W290" s="62">
        <f>IF($V290="Macro",COUNTIFS($U$5:$U$1000,ROW(),$V$5:$V$1000,"Sub"),"")</f>
        <v/>
      </c>
      <c r="X290" s="62">
        <f>IF($V290="","",IF(ISNUMBER($G290),1,IFERROR(LOOKUP(2,1/($I290:$L290&lt;&gt;""),$I290:$L290),0)))</f>
        <v/>
      </c>
      <c r="Y290" s="62">
        <f>IF($V290="","",IF(AND(ISNUMBER($G290),$G290&lt;=IF($S290=MesCiclo,InicioCiclo,$S290+MOD(2-WEEKDAY($S290),7))+6),1,IF(ISNUMBER($I290),$I290,0)))</f>
        <v/>
      </c>
      <c r="Z290" s="62">
        <f>IF($V290="","",IF(AND(ISNUMBER($G290),$G290&lt;=IF($S290=MesCiclo,InicioCiclo,$S290+MOD(2-WEEKDAY($S290),7))+13),1,IF(ISNUMBER($J290),$J290,$Y290)))</f>
        <v/>
      </c>
      <c r="AA290" s="62">
        <f>IF($V290="","",IF(AND(ISNUMBER($G290),$G290&lt;=IF($S290=MesCiclo,InicioCiclo,$S290+MOD(2-WEEKDAY($S290),7))+20),1,IF(ISNUMBER($K290),$K290,$Z290)))</f>
        <v/>
      </c>
      <c r="AB290" s="62">
        <f>IF($V290="","",IF(AND(ISNUMBER($G290),$G290&lt;=IF($S290=MesCiclo,InicioCiclo,$S290+MOD(2-WEEKDAY($S290),7))+27),1,IF(ISNUMBER($L290),$L290,$AA290)))</f>
        <v/>
      </c>
      <c r="AC290" s="62">
        <f>IF($V290="","",IF(AND(ISNUMBER($G290),$G290&lt;=IF($S290=MesCiclo,InicioCiclo,$S290+MOD(2-WEEKDAY($S290),7))+6),1,IF(N($W290)&gt;0,AVERAGEIFS($Y$5:$Y$1000,$U$5:$U$1000,ROW(),$V$5:$V$1000,"Sub"),$Y290)))</f>
        <v/>
      </c>
      <c r="AD290" s="62">
        <f>IF($V290="","",IF(AND(ISNUMBER($G290),$G290&lt;=IF($S290=MesCiclo,InicioCiclo,$S290+MOD(2-WEEKDAY($S290),7))+13),1,IF(N($W290)&gt;0,AVERAGEIFS($Z$5:$Z$1000,$U$5:$U$1000,ROW(),$V$5:$V$1000,"Sub"),$Z290)))</f>
        <v/>
      </c>
      <c r="AE290" s="62">
        <f>IF($V290="","",IF(AND(ISNUMBER($G290),$G290&lt;=IF($S290=MesCiclo,InicioCiclo,$S290+MOD(2-WEEKDAY($S290),7))+20),1,IF(N($W290)&gt;0,AVERAGEIFS($AA$5:$AA$1000,$U$5:$U$1000,ROW(),$V$5:$V$1000,"Sub"),$AA290)))</f>
        <v/>
      </c>
      <c r="AF290" s="62">
        <f>IF($V290="","",IF(AND(ISNUMBER($G290),$G290&lt;=IF($S290=MesCiclo,InicioCiclo,$S290+MOD(2-WEEKDAY($S290),7))+27),1,IF(N($W290)&gt;0,AVERAGEIFS($AB$5:$AB$1000,$U$5:$U$1000,ROW(),$V$5:$V$1000,"Sub"),$AB290)))</f>
        <v/>
      </c>
      <c r="AG290" s="62">
        <f>IF($V290&lt;&gt;"Macro","",IF(COUNTIFS($S$5:$S$1000,$S290,$V$5:$V$1000,"Macro",$H$5:$H$1000,"&gt;0")=0,1/COUNTIFS($S$5:$S$1000,$S290,$V$5:$V$1000,"Macro"),IF(AND(ISNUMBER($H290),N($H290)&gt;0),$H290,SUMIFS($H$5:$H$1000,$S$5:$S$1000,$S290,$V$5:$V$1000,"Macro")/COUNTIFS($S$5:$S$1000,$S290,$V$5:$V$1000,"Macro",$H$5:$H$1000,"&gt;0"))/(COUNTIFS($S$5:$S$1000,$S290,$V$5:$V$1000,"Macro")*SUMIFS($H$5:$H$1000,$S$5:$S$1000,$S290,$V$5:$V$1000,"Macro")/COUNTIFS($S$5:$S$1000,$S290,$V$5:$V$1000,"Macro",$H$5:$H$1000,"&gt;0"))))</f>
        <v/>
      </c>
      <c r="AH290" s="62" t="n"/>
      <c r="AI290" s="62" t="n"/>
      <c r="AJ290" s="62" t="n"/>
      <c r="AK290" s="62" t="n"/>
      <c r="AL290" s="62">
        <f>IF(LEFT($C290,11)="[Jefatura] ",IFERROR(MATCH("Riesgo Financiero|"&amp;MID($C290,12,500),rDname_ADM,0),0),"")</f>
        <v/>
      </c>
      <c r="AM290" s="62">
        <f>IF(N($AL290)&gt;0,INDEX(rIni_ADM,$AL290),IF(ISNUMBER($E290),$E290,""))</f>
        <v/>
      </c>
      <c r="AN290" s="62">
        <f>IF(N($AL290)&gt;0,INDEX(rLim_ADM,$AL290),IF(ISNUMBER($F290),$F290,""))</f>
        <v/>
      </c>
    </row>
    <row r="291">
      <c r="A291" s="56">
        <f>IF(NOT((COUNTA($B291:$D291)+COUNTA($G291:$L291)+COUNTA($Q291))&gt;0),"",IF($V291="Macro",COUNTIFS($V$5:$V291,"Macro",$S$5:$S291,$S291),IF(N($U291)=0,"?",COUNTIFS(INDEX($V$5:$V$1000,1):INDEX($V$5:$V$1000,$U291-4),"Macro",INDEX($S$5:$S$1000,1):INDEX($S$5:$S$1000,$U291-4),INDEX($S$5:$S$1000,$U291-4))&amp;"."&amp;COUNTIFS($U$5:$U291,$U291,$V$5:$V291,"Sub"))))</f>
        <v/>
      </c>
      <c r="B291" s="57" t="n"/>
      <c r="C291" s="58" t="n"/>
      <c r="D291" s="58" t="n"/>
      <c r="E291" s="59">
        <f>IF(N($AL291)&gt;0,INDEX(rIni_ADM,$AL291),"")</f>
        <v/>
      </c>
      <c r="F291" s="59">
        <f>IF(N($AL291)&gt;0,INDEX(rLim_ADM,$AL291),"")</f>
        <v/>
      </c>
      <c r="G291" s="59" t="n"/>
      <c r="H291" s="60" t="n"/>
      <c r="I291" s="60" t="n"/>
      <c r="J291" s="60" t="n"/>
      <c r="K291" s="60" t="n"/>
      <c r="L291" s="60" t="n"/>
      <c r="M291" s="61">
        <f>IF(NOT((COUNTA($B291:$D291)+COUNTA($G291:$L291)+COUNTA($Q291))&gt;0),"",IF($V291="Sub",IFERROR($X291/INDEX($W$5:$W$1000,$U291-4),""),IF(ISNUMBER($G291),1,IF(N($W291)&gt;0,AVERAGEIFS($X$5:$X$1000,$U$5:$U$1000,ROW(),$V$5:$V$1000,"Sub"),$X291))))</f>
        <v/>
      </c>
      <c r="N291" s="56">
        <f>IF(OR($M291="",$V291="Sub"),"",IF($M291&gt;=1,"Completado",IF($M291&gt;0,"En curso","Pendiente")))</f>
        <v/>
      </c>
      <c r="O291" s="56">
        <f>IF(OR(NOT((COUNTA($B291:$D291)+COUNTA($G291:$L291)+COUNTA($Q291))&gt;0),$V291="Sub"),"",IF(ISNUMBER($G291),IF(AND(ISNUMBER($AN291),$G291&gt;$AN291),"Cumplida con "&amp;($G291-$AN291)&amp;IF($G291-$AN291=1," día"," días")&amp;" de retraso","Cumplida"),IF(N($M291)&gt;=1,"Cumplida",IF(NOT(ISNUMBER($AN291)),"Sin fecha límite",IF($AN291&lt;FechaRef,"Vencida hace "&amp;(FechaRef-$AN291)&amp;IF(FechaRef-$AN291=1," día"," días"),IF($AN291=FechaRef,"Vence hoy",IF($AN291-FechaRef&lt;=DiasAlerta,"Vence en "&amp;($AN291-FechaRef)&amp;IF($AN291-FechaRef=1," día"," días"),"En plazo")))))))</f>
        <v/>
      </c>
      <c r="P291" s="62" t="n"/>
      <c r="Q291" s="58" t="n"/>
      <c r="R291" s="63">
        <f>IF(NOT((COUNTA($B291:$D291)+COUNTA($G291:$L291)+COUNTA($Q291))&gt;0),"",IF((IF($C291="","Falta el nombre de la actividad"&amp;" · ","")&amp;IF(AND($V291="Sub",N($U291)=0),"Subactividad sin macroactividad arriba"&amp;" · ","")&amp;IF($AM291="","Sin fecha de inicio"&amp;" · ","")&amp;IF($AN291="","Sin fecha límite"&amp;" · ","")&amp;IF(AND(LEFT($C291,11)="[Jefatura] ",N($AL291)=0),"No se encuentra en la hoja de la jefatura (elíjala de nuevo en la lista)"&amp;" · ","")&amp;IF(OR(AND($E291&lt;&gt;"",NOT(ISNUMBER($E291))),AND($F291&lt;&gt;"",NOT(ISNUMBER($F291))),AND($G291&lt;&gt;"",NOT(ISNUMBER($G291)))),"Fecha no válida"&amp;" · ","")&amp;IF(AND(ISNUMBER($AM291),ISNUMBER($AN291),$AM291&gt;$AN291),"Inicio posterior a fecha límite"&amp;" · ","")&amp;IF(AND($V291="Macro",$H291&lt;&gt;"",OR(NOT(ISNUMBER($H291)),$H291&lt;0,$H291&gt;1)),"Peso fuera de rango"&amp;" · ","")&amp;IF(AND($V291="Sub",$H291&lt;&gt;""),"Las subactividades no llevan peso (valen igual dentro de su macroactividad)"&amp;" · ","")&amp;IF(AND(N($W291)&gt;0,COUNT($I291:$L291)&gt;0),"Con subactividades: deje vacías las semanas (se calculan solas)"&amp;" · ","")&amp;IF((COUNTIF($I291:$L291,"&gt;1")+COUNTIF($I291:$L291,"&lt;0")+COUNTA($I291:$L291)-COUNT($I291:$L291))&gt;0,"Avance fuera de rango 0-100%"&amp;" · ","")&amp;IF(OR(AND($J291&lt;&gt;"",$J291&lt;$I291),AND($K291&lt;&gt;"",$K291&lt;MAX($I291:$J291)),AND($L291&lt;&gt;"",$L291&lt;MAX($I291:$K291))),"Avance semanal decreciente"&amp;" · ","")&amp;IF(AND(ISNUMBER($AN291),$AN291&lt;FechaRef,IF($V291="Sub",N($X291),N($M291))&lt;1),"Vencida"&amp;" · ","")&amp;IF(AND(ObsObligatoria="Sí",ISNUMBER($AN291),$AN291&lt;FechaRef,IF($V291="Sub",N($X291),N($M291))&lt;1,$Q291=""),"Vencida sin observación"&amp;" · ",""))="","✔ OK","⚠ "&amp;LEFT(IF($C291="","Falta el nombre de la actividad"&amp;" · ","")&amp;IF(AND($V291="Sub",N($U291)=0),"Subactividad sin macroactividad arriba"&amp;" · ","")&amp;IF($AM291="","Sin fecha de inicio"&amp;" · ","")&amp;IF($AN291="","Sin fecha límite"&amp;" · ","")&amp;IF(AND(LEFT($C291,11)="[Jefatura] ",N($AL291)=0),"No se encuentra en la hoja de la jefatura (elíjala de nuevo en la lista)"&amp;" · ","")&amp;IF(OR(AND($E291&lt;&gt;"",NOT(ISNUMBER($E291))),AND($F291&lt;&gt;"",NOT(ISNUMBER($F291))),AND($G291&lt;&gt;"",NOT(ISNUMBER($G291)))),"Fecha no válida"&amp;" · ","")&amp;IF(AND(ISNUMBER($AM291),ISNUMBER($AN291),$AM291&gt;$AN291),"Inicio posterior a fecha límite"&amp;" · ","")&amp;IF(AND($V291="Macro",$H291&lt;&gt;"",OR(NOT(ISNUMBER($H291)),$H291&lt;0,$H291&gt;1)),"Peso fuera de rango"&amp;" · ","")&amp;IF(AND($V291="Sub",$H291&lt;&gt;""),"Las subactividades no llevan peso (valen igual dentro de su macroactividad)"&amp;" · ","")&amp;IF(AND(N($W291)&gt;0,COUNT($I291:$L291)&gt;0),"Con subactividades: deje vacías las semanas (se calculan solas)"&amp;" · ","")&amp;IF((COUNTIF($I291:$L291,"&gt;1")+COUNTIF($I291:$L291,"&lt;0")+COUNTA($I291:$L291)-COUNT($I291:$L291))&gt;0,"Avance fuera de rango 0-100%"&amp;" · ","")&amp;IF(OR(AND($J291&lt;&gt;"",$J291&lt;$I291),AND($K291&lt;&gt;"",$K291&lt;MAX($I291:$J291)),AND($L291&lt;&gt;"",$L291&lt;MAX($I291:$K291))),"Avance semanal decreciente"&amp;" · ","")&amp;IF(AND(ISNUMBER($AN291),$AN291&lt;FechaRef,IF($V291="Sub",N($X291),N($M291))&lt;1),"Vencida"&amp;" · ","")&amp;IF(AND(ObsObligatoria="Sí",ISNUMBER($AN291),$AN291&lt;FechaRef,IF($V291="Sub",N($X291),N($M291))&lt;1,$Q291=""),"Vencida sin observación"&amp;" · ",""),LEN(IF($C291="","Falta el nombre de la actividad"&amp;" · ","")&amp;IF(AND($V291="Sub",N($U291)=0),"Subactividad sin macroactividad arriba"&amp;" · ","")&amp;IF($AM291="","Sin fecha de inicio"&amp;" · ","")&amp;IF($AN291="","Sin fecha límite"&amp;" · ","")&amp;IF(AND(LEFT($C291,11)="[Jefatura] ",N($AL291)=0),"No se encuentra en la hoja de la jefatura (elíjala de nuevo en la lista)"&amp;" · ","")&amp;IF(OR(AND($E291&lt;&gt;"",NOT(ISNUMBER($E291))),AND($F291&lt;&gt;"",NOT(ISNUMBER($F291))),AND($G291&lt;&gt;"",NOT(ISNUMBER($G291)))),"Fecha no válida"&amp;" · ","")&amp;IF(AND(ISNUMBER($AM291),ISNUMBER($AN291),$AM291&gt;$AN291),"Inicio posterior a fecha límite"&amp;" · ","")&amp;IF(AND($V291="Macro",$H291&lt;&gt;"",OR(NOT(ISNUMBER($H291)),$H291&lt;0,$H291&gt;1)),"Peso fuera de rango"&amp;" · ","")&amp;IF(AND($V291="Sub",$H291&lt;&gt;""),"Las subactividades no llevan peso (valen igual dentro de su macroactividad)"&amp;" · ","")&amp;IF(AND(N($W291)&gt;0,COUNT($I291:$L291)&gt;0),"Con subactividades: deje vacías las semanas (se calculan solas)"&amp;" · ","")&amp;IF((COUNTIF($I291:$L291,"&gt;1")+COUNTIF($I291:$L291,"&lt;0")+COUNTA($I291:$L291)-COUNT($I291:$L291))&gt;0,"Avance fuera de rango 0-100%"&amp;" · ","")&amp;IF(OR(AND($J291&lt;&gt;"",$J291&lt;$I291),AND($K291&lt;&gt;"",$K291&lt;MAX($I291:$J291)),AND($L291&lt;&gt;"",$L291&lt;MAX($I291:$K291))),"Avance semanal decreciente"&amp;" · ","")&amp;IF(AND(ISNUMBER($AN291),$AN291&lt;FechaRef,IF($V291="Sub",N($X291),N($M291))&lt;1),"Vencida"&amp;" · ","")&amp;IF(AND(ObsObligatoria="Sí",ISNUMBER($AN291),$AN291&lt;FechaRef,IF($V291="Sub",N($X291),N($M291))&lt;1,$Q291=""),"Vencida sin observación"&amp;" · ",""))-3)))</f>
        <v/>
      </c>
      <c r="S291" s="64">
        <f>IF(NOT((COUNTA($B291:$D291)+COUNTA($G291:$L291)+COUNTA($Q291))&gt;0),"",IF(AND($V291="Sub",N($U291)&gt;0),IF(ISNUMBER(INDEX($AM$5:$AM$1000,$U291-4)),DATE(YEAR(INDEX($AM$5:$AM$1000,$U291-4)),MONTH(INDEX($AM$5:$AM$1000,$U291-4)),1),IF(ISNUMBER(INDEX($AN$5:$AN$1000,$U291-4)),DATE(YEAR(INDEX($AN$5:$AN$1000,$U291-4)),MONTH(INDEX($AN$5:$AN$1000,$U291-4)),1),MesCiclo)),IF(ISNUMBER($AM291),DATE(YEAR($AM291),MONTH($AM291),1),IF(ISNUMBER($AN291),DATE(YEAR($AN291),MONTH($AN291),1),MesCiclo))))</f>
        <v/>
      </c>
      <c r="T291" s="62">
        <f>IF(OR($S291="",$S291&lt;&gt;MesCiclo,$V291&lt;&gt;"Macro"),"",COUNTIFS($S$5:$S291,MesCiclo,$V$5:$V291,"Macro"))</f>
        <v/>
      </c>
      <c r="U291" s="62">
        <f>IF($V291="","",IF($V291="Macro",ROW(),IFERROR(LOOKUP(2,1/($V$5:$V291="Macro"),ROW($V$5:$V291)),0)))</f>
        <v/>
      </c>
      <c r="V291" s="62">
        <f>IF(NOT((COUNTA($B291:$D291)+COUNTA($G291:$L291)+COUNTA($Q291))&gt;0),"",IF($B291="Subactividad","Sub","Macro"))</f>
        <v/>
      </c>
      <c r="W291" s="62">
        <f>IF($V291="Macro",COUNTIFS($U$5:$U$1000,ROW(),$V$5:$V$1000,"Sub"),"")</f>
        <v/>
      </c>
      <c r="X291" s="62">
        <f>IF($V291="","",IF(ISNUMBER($G291),1,IFERROR(LOOKUP(2,1/($I291:$L291&lt;&gt;""),$I291:$L291),0)))</f>
        <v/>
      </c>
      <c r="Y291" s="62">
        <f>IF($V291="","",IF(AND(ISNUMBER($G291),$G291&lt;=IF($S291=MesCiclo,InicioCiclo,$S291+MOD(2-WEEKDAY($S291),7))+6),1,IF(ISNUMBER($I291),$I291,0)))</f>
        <v/>
      </c>
      <c r="Z291" s="62">
        <f>IF($V291="","",IF(AND(ISNUMBER($G291),$G291&lt;=IF($S291=MesCiclo,InicioCiclo,$S291+MOD(2-WEEKDAY($S291),7))+13),1,IF(ISNUMBER($J291),$J291,$Y291)))</f>
        <v/>
      </c>
      <c r="AA291" s="62">
        <f>IF($V291="","",IF(AND(ISNUMBER($G291),$G291&lt;=IF($S291=MesCiclo,InicioCiclo,$S291+MOD(2-WEEKDAY($S291),7))+20),1,IF(ISNUMBER($K291),$K291,$Z291)))</f>
        <v/>
      </c>
      <c r="AB291" s="62">
        <f>IF($V291="","",IF(AND(ISNUMBER($G291),$G291&lt;=IF($S291=MesCiclo,InicioCiclo,$S291+MOD(2-WEEKDAY($S291),7))+27),1,IF(ISNUMBER($L291),$L291,$AA291)))</f>
        <v/>
      </c>
      <c r="AC291" s="62">
        <f>IF($V291="","",IF(AND(ISNUMBER($G291),$G291&lt;=IF($S291=MesCiclo,InicioCiclo,$S291+MOD(2-WEEKDAY($S291),7))+6),1,IF(N($W291)&gt;0,AVERAGEIFS($Y$5:$Y$1000,$U$5:$U$1000,ROW(),$V$5:$V$1000,"Sub"),$Y291)))</f>
        <v/>
      </c>
      <c r="AD291" s="62">
        <f>IF($V291="","",IF(AND(ISNUMBER($G291),$G291&lt;=IF($S291=MesCiclo,InicioCiclo,$S291+MOD(2-WEEKDAY($S291),7))+13),1,IF(N($W291)&gt;0,AVERAGEIFS($Z$5:$Z$1000,$U$5:$U$1000,ROW(),$V$5:$V$1000,"Sub"),$Z291)))</f>
        <v/>
      </c>
      <c r="AE291" s="62">
        <f>IF($V291="","",IF(AND(ISNUMBER($G291),$G291&lt;=IF($S291=MesCiclo,InicioCiclo,$S291+MOD(2-WEEKDAY($S291),7))+20),1,IF(N($W291)&gt;0,AVERAGEIFS($AA$5:$AA$1000,$U$5:$U$1000,ROW(),$V$5:$V$1000,"Sub"),$AA291)))</f>
        <v/>
      </c>
      <c r="AF291" s="62">
        <f>IF($V291="","",IF(AND(ISNUMBER($G291),$G291&lt;=IF($S291=MesCiclo,InicioCiclo,$S291+MOD(2-WEEKDAY($S291),7))+27),1,IF(N($W291)&gt;0,AVERAGEIFS($AB$5:$AB$1000,$U$5:$U$1000,ROW(),$V$5:$V$1000,"Sub"),$AB291)))</f>
        <v/>
      </c>
      <c r="AG291" s="62">
        <f>IF($V291&lt;&gt;"Macro","",IF(COUNTIFS($S$5:$S$1000,$S291,$V$5:$V$1000,"Macro",$H$5:$H$1000,"&gt;0")=0,1/COUNTIFS($S$5:$S$1000,$S291,$V$5:$V$1000,"Macro"),IF(AND(ISNUMBER($H291),N($H291)&gt;0),$H291,SUMIFS($H$5:$H$1000,$S$5:$S$1000,$S291,$V$5:$V$1000,"Macro")/COUNTIFS($S$5:$S$1000,$S291,$V$5:$V$1000,"Macro",$H$5:$H$1000,"&gt;0"))/(COUNTIFS($S$5:$S$1000,$S291,$V$5:$V$1000,"Macro")*SUMIFS($H$5:$H$1000,$S$5:$S$1000,$S291,$V$5:$V$1000,"Macro")/COUNTIFS($S$5:$S$1000,$S291,$V$5:$V$1000,"Macro",$H$5:$H$1000,"&gt;0"))))</f>
        <v/>
      </c>
      <c r="AH291" s="62" t="n"/>
      <c r="AI291" s="62" t="n"/>
      <c r="AJ291" s="62" t="n"/>
      <c r="AK291" s="62" t="n"/>
      <c r="AL291" s="62">
        <f>IF(LEFT($C291,11)="[Jefatura] ",IFERROR(MATCH("Riesgo Financiero|"&amp;MID($C291,12,500),rDname_ADM,0),0),"")</f>
        <v/>
      </c>
      <c r="AM291" s="62">
        <f>IF(N($AL291)&gt;0,INDEX(rIni_ADM,$AL291),IF(ISNUMBER($E291),$E291,""))</f>
        <v/>
      </c>
      <c r="AN291" s="62">
        <f>IF(N($AL291)&gt;0,INDEX(rLim_ADM,$AL291),IF(ISNUMBER($F291),$F291,""))</f>
        <v/>
      </c>
    </row>
    <row r="292">
      <c r="A292" s="56">
        <f>IF(NOT((COUNTA($B292:$D292)+COUNTA($G292:$L292)+COUNTA($Q292))&gt;0),"",IF($V292="Macro",COUNTIFS($V$5:$V292,"Macro",$S$5:$S292,$S292),IF(N($U292)=0,"?",COUNTIFS(INDEX($V$5:$V$1000,1):INDEX($V$5:$V$1000,$U292-4),"Macro",INDEX($S$5:$S$1000,1):INDEX($S$5:$S$1000,$U292-4),INDEX($S$5:$S$1000,$U292-4))&amp;"."&amp;COUNTIFS($U$5:$U292,$U292,$V$5:$V292,"Sub"))))</f>
        <v/>
      </c>
      <c r="B292" s="57" t="n"/>
      <c r="C292" s="58" t="n"/>
      <c r="D292" s="58" t="n"/>
      <c r="E292" s="59">
        <f>IF(N($AL292)&gt;0,INDEX(rIni_ADM,$AL292),"")</f>
        <v/>
      </c>
      <c r="F292" s="59">
        <f>IF(N($AL292)&gt;0,INDEX(rLim_ADM,$AL292),"")</f>
        <v/>
      </c>
      <c r="G292" s="59" t="n"/>
      <c r="H292" s="60" t="n"/>
      <c r="I292" s="60" t="n"/>
      <c r="J292" s="60" t="n"/>
      <c r="K292" s="60" t="n"/>
      <c r="L292" s="60" t="n"/>
      <c r="M292" s="61">
        <f>IF(NOT((COUNTA($B292:$D292)+COUNTA($G292:$L292)+COUNTA($Q292))&gt;0),"",IF($V292="Sub",IFERROR($X292/INDEX($W$5:$W$1000,$U292-4),""),IF(ISNUMBER($G292),1,IF(N($W292)&gt;0,AVERAGEIFS($X$5:$X$1000,$U$5:$U$1000,ROW(),$V$5:$V$1000,"Sub"),$X292))))</f>
        <v/>
      </c>
      <c r="N292" s="56">
        <f>IF(OR($M292="",$V292="Sub"),"",IF($M292&gt;=1,"Completado",IF($M292&gt;0,"En curso","Pendiente")))</f>
        <v/>
      </c>
      <c r="O292" s="56">
        <f>IF(OR(NOT((COUNTA($B292:$D292)+COUNTA($G292:$L292)+COUNTA($Q292))&gt;0),$V292="Sub"),"",IF(ISNUMBER($G292),IF(AND(ISNUMBER($AN292),$G292&gt;$AN292),"Cumplida con "&amp;($G292-$AN292)&amp;IF($G292-$AN292=1," día"," días")&amp;" de retraso","Cumplida"),IF(N($M292)&gt;=1,"Cumplida",IF(NOT(ISNUMBER($AN292)),"Sin fecha límite",IF($AN292&lt;FechaRef,"Vencida hace "&amp;(FechaRef-$AN292)&amp;IF(FechaRef-$AN292=1," día"," días"),IF($AN292=FechaRef,"Vence hoy",IF($AN292-FechaRef&lt;=DiasAlerta,"Vence en "&amp;($AN292-FechaRef)&amp;IF($AN292-FechaRef=1," día"," días"),"En plazo")))))))</f>
        <v/>
      </c>
      <c r="P292" s="62" t="n"/>
      <c r="Q292" s="58" t="n"/>
      <c r="R292" s="63">
        <f>IF(NOT((COUNTA($B292:$D292)+COUNTA($G292:$L292)+COUNTA($Q292))&gt;0),"",IF((IF($C292="","Falta el nombre de la actividad"&amp;" · ","")&amp;IF(AND($V292="Sub",N($U292)=0),"Subactividad sin macroactividad arriba"&amp;" · ","")&amp;IF($AM292="","Sin fecha de inicio"&amp;" · ","")&amp;IF($AN292="","Sin fecha límite"&amp;" · ","")&amp;IF(AND(LEFT($C292,11)="[Jefatura] ",N($AL292)=0),"No se encuentra en la hoja de la jefatura (elíjala de nuevo en la lista)"&amp;" · ","")&amp;IF(OR(AND($E292&lt;&gt;"",NOT(ISNUMBER($E292))),AND($F292&lt;&gt;"",NOT(ISNUMBER($F292))),AND($G292&lt;&gt;"",NOT(ISNUMBER($G292)))),"Fecha no válida"&amp;" · ","")&amp;IF(AND(ISNUMBER($AM292),ISNUMBER($AN292),$AM292&gt;$AN292),"Inicio posterior a fecha límite"&amp;" · ","")&amp;IF(AND($V292="Macro",$H292&lt;&gt;"",OR(NOT(ISNUMBER($H292)),$H292&lt;0,$H292&gt;1)),"Peso fuera de rango"&amp;" · ","")&amp;IF(AND($V292="Sub",$H292&lt;&gt;""),"Las subactividades no llevan peso (valen igual dentro de su macroactividad)"&amp;" · ","")&amp;IF(AND(N($W292)&gt;0,COUNT($I292:$L292)&gt;0),"Con subactividades: deje vacías las semanas (se calculan solas)"&amp;" · ","")&amp;IF((COUNTIF($I292:$L292,"&gt;1")+COUNTIF($I292:$L292,"&lt;0")+COUNTA($I292:$L292)-COUNT($I292:$L292))&gt;0,"Avance fuera de rango 0-100%"&amp;" · ","")&amp;IF(OR(AND($J292&lt;&gt;"",$J292&lt;$I292),AND($K292&lt;&gt;"",$K292&lt;MAX($I292:$J292)),AND($L292&lt;&gt;"",$L292&lt;MAX($I292:$K292))),"Avance semanal decreciente"&amp;" · ","")&amp;IF(AND(ISNUMBER($AN292),$AN292&lt;FechaRef,IF($V292="Sub",N($X292),N($M292))&lt;1),"Vencida"&amp;" · ","")&amp;IF(AND(ObsObligatoria="Sí",ISNUMBER($AN292),$AN292&lt;FechaRef,IF($V292="Sub",N($X292),N($M292))&lt;1,$Q292=""),"Vencida sin observación"&amp;" · ",""))="","✔ OK","⚠ "&amp;LEFT(IF($C292="","Falta el nombre de la actividad"&amp;" · ","")&amp;IF(AND($V292="Sub",N($U292)=0),"Subactividad sin macroactividad arriba"&amp;" · ","")&amp;IF($AM292="","Sin fecha de inicio"&amp;" · ","")&amp;IF($AN292="","Sin fecha límite"&amp;" · ","")&amp;IF(AND(LEFT($C292,11)="[Jefatura] ",N($AL292)=0),"No se encuentra en la hoja de la jefatura (elíjala de nuevo en la lista)"&amp;" · ","")&amp;IF(OR(AND($E292&lt;&gt;"",NOT(ISNUMBER($E292))),AND($F292&lt;&gt;"",NOT(ISNUMBER($F292))),AND($G292&lt;&gt;"",NOT(ISNUMBER($G292)))),"Fecha no válida"&amp;" · ","")&amp;IF(AND(ISNUMBER($AM292),ISNUMBER($AN292),$AM292&gt;$AN292),"Inicio posterior a fecha límite"&amp;" · ","")&amp;IF(AND($V292="Macro",$H292&lt;&gt;"",OR(NOT(ISNUMBER($H292)),$H292&lt;0,$H292&gt;1)),"Peso fuera de rango"&amp;" · ","")&amp;IF(AND($V292="Sub",$H292&lt;&gt;""),"Las subactividades no llevan peso (valen igual dentro de su macroactividad)"&amp;" · ","")&amp;IF(AND(N($W292)&gt;0,COUNT($I292:$L292)&gt;0),"Con subactividades: deje vacías las semanas (se calculan solas)"&amp;" · ","")&amp;IF((COUNTIF($I292:$L292,"&gt;1")+COUNTIF($I292:$L292,"&lt;0")+COUNTA($I292:$L292)-COUNT($I292:$L292))&gt;0,"Avance fuera de rango 0-100%"&amp;" · ","")&amp;IF(OR(AND($J292&lt;&gt;"",$J292&lt;$I292),AND($K292&lt;&gt;"",$K292&lt;MAX($I292:$J292)),AND($L292&lt;&gt;"",$L292&lt;MAX($I292:$K292))),"Avance semanal decreciente"&amp;" · ","")&amp;IF(AND(ISNUMBER($AN292),$AN292&lt;FechaRef,IF($V292="Sub",N($X292),N($M292))&lt;1),"Vencida"&amp;" · ","")&amp;IF(AND(ObsObligatoria="Sí",ISNUMBER($AN292),$AN292&lt;FechaRef,IF($V292="Sub",N($X292),N($M292))&lt;1,$Q292=""),"Vencida sin observación"&amp;" · ",""),LEN(IF($C292="","Falta el nombre de la actividad"&amp;" · ","")&amp;IF(AND($V292="Sub",N($U292)=0),"Subactividad sin macroactividad arriba"&amp;" · ","")&amp;IF($AM292="","Sin fecha de inicio"&amp;" · ","")&amp;IF($AN292="","Sin fecha límite"&amp;" · ","")&amp;IF(AND(LEFT($C292,11)="[Jefatura] ",N($AL292)=0),"No se encuentra en la hoja de la jefatura (elíjala de nuevo en la lista)"&amp;" · ","")&amp;IF(OR(AND($E292&lt;&gt;"",NOT(ISNUMBER($E292))),AND($F292&lt;&gt;"",NOT(ISNUMBER($F292))),AND($G292&lt;&gt;"",NOT(ISNUMBER($G292)))),"Fecha no válida"&amp;" · ","")&amp;IF(AND(ISNUMBER($AM292),ISNUMBER($AN292),$AM292&gt;$AN292),"Inicio posterior a fecha límite"&amp;" · ","")&amp;IF(AND($V292="Macro",$H292&lt;&gt;"",OR(NOT(ISNUMBER($H292)),$H292&lt;0,$H292&gt;1)),"Peso fuera de rango"&amp;" · ","")&amp;IF(AND($V292="Sub",$H292&lt;&gt;""),"Las subactividades no llevan peso (valen igual dentro de su macroactividad)"&amp;" · ","")&amp;IF(AND(N($W292)&gt;0,COUNT($I292:$L292)&gt;0),"Con subactividades: deje vacías las semanas (se calculan solas)"&amp;" · ","")&amp;IF((COUNTIF($I292:$L292,"&gt;1")+COUNTIF($I292:$L292,"&lt;0")+COUNTA($I292:$L292)-COUNT($I292:$L292))&gt;0,"Avance fuera de rango 0-100%"&amp;" · ","")&amp;IF(OR(AND($J292&lt;&gt;"",$J292&lt;$I292),AND($K292&lt;&gt;"",$K292&lt;MAX($I292:$J292)),AND($L292&lt;&gt;"",$L292&lt;MAX($I292:$K292))),"Avance semanal decreciente"&amp;" · ","")&amp;IF(AND(ISNUMBER($AN292),$AN292&lt;FechaRef,IF($V292="Sub",N($X292),N($M292))&lt;1),"Vencida"&amp;" · ","")&amp;IF(AND(ObsObligatoria="Sí",ISNUMBER($AN292),$AN292&lt;FechaRef,IF($V292="Sub",N($X292),N($M292))&lt;1,$Q292=""),"Vencida sin observación"&amp;" · ",""))-3)))</f>
        <v/>
      </c>
      <c r="S292" s="64">
        <f>IF(NOT((COUNTA($B292:$D292)+COUNTA($G292:$L292)+COUNTA($Q292))&gt;0),"",IF(AND($V292="Sub",N($U292)&gt;0),IF(ISNUMBER(INDEX($AM$5:$AM$1000,$U292-4)),DATE(YEAR(INDEX($AM$5:$AM$1000,$U292-4)),MONTH(INDEX($AM$5:$AM$1000,$U292-4)),1),IF(ISNUMBER(INDEX($AN$5:$AN$1000,$U292-4)),DATE(YEAR(INDEX($AN$5:$AN$1000,$U292-4)),MONTH(INDEX($AN$5:$AN$1000,$U292-4)),1),MesCiclo)),IF(ISNUMBER($AM292),DATE(YEAR($AM292),MONTH($AM292),1),IF(ISNUMBER($AN292),DATE(YEAR($AN292),MONTH($AN292),1),MesCiclo))))</f>
        <v/>
      </c>
      <c r="T292" s="62">
        <f>IF(OR($S292="",$S292&lt;&gt;MesCiclo,$V292&lt;&gt;"Macro"),"",COUNTIFS($S$5:$S292,MesCiclo,$V$5:$V292,"Macro"))</f>
        <v/>
      </c>
      <c r="U292" s="62">
        <f>IF($V292="","",IF($V292="Macro",ROW(),IFERROR(LOOKUP(2,1/($V$5:$V292="Macro"),ROW($V$5:$V292)),0)))</f>
        <v/>
      </c>
      <c r="V292" s="62">
        <f>IF(NOT((COUNTA($B292:$D292)+COUNTA($G292:$L292)+COUNTA($Q292))&gt;0),"",IF($B292="Subactividad","Sub","Macro"))</f>
        <v/>
      </c>
      <c r="W292" s="62">
        <f>IF($V292="Macro",COUNTIFS($U$5:$U$1000,ROW(),$V$5:$V$1000,"Sub"),"")</f>
        <v/>
      </c>
      <c r="X292" s="62">
        <f>IF($V292="","",IF(ISNUMBER($G292),1,IFERROR(LOOKUP(2,1/($I292:$L292&lt;&gt;""),$I292:$L292),0)))</f>
        <v/>
      </c>
      <c r="Y292" s="62">
        <f>IF($V292="","",IF(AND(ISNUMBER($G292),$G292&lt;=IF($S292=MesCiclo,InicioCiclo,$S292+MOD(2-WEEKDAY($S292),7))+6),1,IF(ISNUMBER($I292),$I292,0)))</f>
        <v/>
      </c>
      <c r="Z292" s="62">
        <f>IF($V292="","",IF(AND(ISNUMBER($G292),$G292&lt;=IF($S292=MesCiclo,InicioCiclo,$S292+MOD(2-WEEKDAY($S292),7))+13),1,IF(ISNUMBER($J292),$J292,$Y292)))</f>
        <v/>
      </c>
      <c r="AA292" s="62">
        <f>IF($V292="","",IF(AND(ISNUMBER($G292),$G292&lt;=IF($S292=MesCiclo,InicioCiclo,$S292+MOD(2-WEEKDAY($S292),7))+20),1,IF(ISNUMBER($K292),$K292,$Z292)))</f>
        <v/>
      </c>
      <c r="AB292" s="62">
        <f>IF($V292="","",IF(AND(ISNUMBER($G292),$G292&lt;=IF($S292=MesCiclo,InicioCiclo,$S292+MOD(2-WEEKDAY($S292),7))+27),1,IF(ISNUMBER($L292),$L292,$AA292)))</f>
        <v/>
      </c>
      <c r="AC292" s="62">
        <f>IF($V292="","",IF(AND(ISNUMBER($G292),$G292&lt;=IF($S292=MesCiclo,InicioCiclo,$S292+MOD(2-WEEKDAY($S292),7))+6),1,IF(N($W292)&gt;0,AVERAGEIFS($Y$5:$Y$1000,$U$5:$U$1000,ROW(),$V$5:$V$1000,"Sub"),$Y292)))</f>
        <v/>
      </c>
      <c r="AD292" s="62">
        <f>IF($V292="","",IF(AND(ISNUMBER($G292),$G292&lt;=IF($S292=MesCiclo,InicioCiclo,$S292+MOD(2-WEEKDAY($S292),7))+13),1,IF(N($W292)&gt;0,AVERAGEIFS($Z$5:$Z$1000,$U$5:$U$1000,ROW(),$V$5:$V$1000,"Sub"),$Z292)))</f>
        <v/>
      </c>
      <c r="AE292" s="62">
        <f>IF($V292="","",IF(AND(ISNUMBER($G292),$G292&lt;=IF($S292=MesCiclo,InicioCiclo,$S292+MOD(2-WEEKDAY($S292),7))+20),1,IF(N($W292)&gt;0,AVERAGEIFS($AA$5:$AA$1000,$U$5:$U$1000,ROW(),$V$5:$V$1000,"Sub"),$AA292)))</f>
        <v/>
      </c>
      <c r="AF292" s="62">
        <f>IF($V292="","",IF(AND(ISNUMBER($G292),$G292&lt;=IF($S292=MesCiclo,InicioCiclo,$S292+MOD(2-WEEKDAY($S292),7))+27),1,IF(N($W292)&gt;0,AVERAGEIFS($AB$5:$AB$1000,$U$5:$U$1000,ROW(),$V$5:$V$1000,"Sub"),$AB292)))</f>
        <v/>
      </c>
      <c r="AG292" s="62">
        <f>IF($V292&lt;&gt;"Macro","",IF(COUNTIFS($S$5:$S$1000,$S292,$V$5:$V$1000,"Macro",$H$5:$H$1000,"&gt;0")=0,1/COUNTIFS($S$5:$S$1000,$S292,$V$5:$V$1000,"Macro"),IF(AND(ISNUMBER($H292),N($H292)&gt;0),$H292,SUMIFS($H$5:$H$1000,$S$5:$S$1000,$S292,$V$5:$V$1000,"Macro")/COUNTIFS($S$5:$S$1000,$S292,$V$5:$V$1000,"Macro",$H$5:$H$1000,"&gt;0"))/(COUNTIFS($S$5:$S$1000,$S292,$V$5:$V$1000,"Macro")*SUMIFS($H$5:$H$1000,$S$5:$S$1000,$S292,$V$5:$V$1000,"Macro")/COUNTIFS($S$5:$S$1000,$S292,$V$5:$V$1000,"Macro",$H$5:$H$1000,"&gt;0"))))</f>
        <v/>
      </c>
      <c r="AH292" s="62" t="n"/>
      <c r="AI292" s="62" t="n"/>
      <c r="AJ292" s="62" t="n"/>
      <c r="AK292" s="62" t="n"/>
      <c r="AL292" s="62">
        <f>IF(LEFT($C292,11)="[Jefatura] ",IFERROR(MATCH("Riesgo Financiero|"&amp;MID($C292,12,500),rDname_ADM,0),0),"")</f>
        <v/>
      </c>
      <c r="AM292" s="62">
        <f>IF(N($AL292)&gt;0,INDEX(rIni_ADM,$AL292),IF(ISNUMBER($E292),$E292,""))</f>
        <v/>
      </c>
      <c r="AN292" s="62">
        <f>IF(N($AL292)&gt;0,INDEX(rLim_ADM,$AL292),IF(ISNUMBER($F292),$F292,""))</f>
        <v/>
      </c>
    </row>
    <row r="293">
      <c r="A293" s="56">
        <f>IF(NOT((COUNTA($B293:$D293)+COUNTA($G293:$L293)+COUNTA($Q293))&gt;0),"",IF($V293="Macro",COUNTIFS($V$5:$V293,"Macro",$S$5:$S293,$S293),IF(N($U293)=0,"?",COUNTIFS(INDEX($V$5:$V$1000,1):INDEX($V$5:$V$1000,$U293-4),"Macro",INDEX($S$5:$S$1000,1):INDEX($S$5:$S$1000,$U293-4),INDEX($S$5:$S$1000,$U293-4))&amp;"."&amp;COUNTIFS($U$5:$U293,$U293,$V$5:$V293,"Sub"))))</f>
        <v/>
      </c>
      <c r="B293" s="57" t="n"/>
      <c r="C293" s="58" t="n"/>
      <c r="D293" s="58" t="n"/>
      <c r="E293" s="59">
        <f>IF(N($AL293)&gt;0,INDEX(rIni_ADM,$AL293),"")</f>
        <v/>
      </c>
      <c r="F293" s="59">
        <f>IF(N($AL293)&gt;0,INDEX(rLim_ADM,$AL293),"")</f>
        <v/>
      </c>
      <c r="G293" s="59" t="n"/>
      <c r="H293" s="60" t="n"/>
      <c r="I293" s="60" t="n"/>
      <c r="J293" s="60" t="n"/>
      <c r="K293" s="60" t="n"/>
      <c r="L293" s="60" t="n"/>
      <c r="M293" s="61">
        <f>IF(NOT((COUNTA($B293:$D293)+COUNTA($G293:$L293)+COUNTA($Q293))&gt;0),"",IF($V293="Sub",IFERROR($X293/INDEX($W$5:$W$1000,$U293-4),""),IF(ISNUMBER($G293),1,IF(N($W293)&gt;0,AVERAGEIFS($X$5:$X$1000,$U$5:$U$1000,ROW(),$V$5:$V$1000,"Sub"),$X293))))</f>
        <v/>
      </c>
      <c r="N293" s="56">
        <f>IF(OR($M293="",$V293="Sub"),"",IF($M293&gt;=1,"Completado",IF($M293&gt;0,"En curso","Pendiente")))</f>
        <v/>
      </c>
      <c r="O293" s="56">
        <f>IF(OR(NOT((COUNTA($B293:$D293)+COUNTA($G293:$L293)+COUNTA($Q293))&gt;0),$V293="Sub"),"",IF(ISNUMBER($G293),IF(AND(ISNUMBER($AN293),$G293&gt;$AN293),"Cumplida con "&amp;($G293-$AN293)&amp;IF($G293-$AN293=1," día"," días")&amp;" de retraso","Cumplida"),IF(N($M293)&gt;=1,"Cumplida",IF(NOT(ISNUMBER($AN293)),"Sin fecha límite",IF($AN293&lt;FechaRef,"Vencida hace "&amp;(FechaRef-$AN293)&amp;IF(FechaRef-$AN293=1," día"," días"),IF($AN293=FechaRef,"Vence hoy",IF($AN293-FechaRef&lt;=DiasAlerta,"Vence en "&amp;($AN293-FechaRef)&amp;IF($AN293-FechaRef=1," día"," días"),"En plazo")))))))</f>
        <v/>
      </c>
      <c r="P293" s="62" t="n"/>
      <c r="Q293" s="58" t="n"/>
      <c r="R293" s="63">
        <f>IF(NOT((COUNTA($B293:$D293)+COUNTA($G293:$L293)+COUNTA($Q293))&gt;0),"",IF((IF($C293="","Falta el nombre de la actividad"&amp;" · ","")&amp;IF(AND($V293="Sub",N($U293)=0),"Subactividad sin macroactividad arriba"&amp;" · ","")&amp;IF($AM293="","Sin fecha de inicio"&amp;" · ","")&amp;IF($AN293="","Sin fecha límite"&amp;" · ","")&amp;IF(AND(LEFT($C293,11)="[Jefatura] ",N($AL293)=0),"No se encuentra en la hoja de la jefatura (elíjala de nuevo en la lista)"&amp;" · ","")&amp;IF(OR(AND($E293&lt;&gt;"",NOT(ISNUMBER($E293))),AND($F293&lt;&gt;"",NOT(ISNUMBER($F293))),AND($G293&lt;&gt;"",NOT(ISNUMBER($G293)))),"Fecha no válida"&amp;" · ","")&amp;IF(AND(ISNUMBER($AM293),ISNUMBER($AN293),$AM293&gt;$AN293),"Inicio posterior a fecha límite"&amp;" · ","")&amp;IF(AND($V293="Macro",$H293&lt;&gt;"",OR(NOT(ISNUMBER($H293)),$H293&lt;0,$H293&gt;1)),"Peso fuera de rango"&amp;" · ","")&amp;IF(AND($V293="Sub",$H293&lt;&gt;""),"Las subactividades no llevan peso (valen igual dentro de su macroactividad)"&amp;" · ","")&amp;IF(AND(N($W293)&gt;0,COUNT($I293:$L293)&gt;0),"Con subactividades: deje vacías las semanas (se calculan solas)"&amp;" · ","")&amp;IF((COUNTIF($I293:$L293,"&gt;1")+COUNTIF($I293:$L293,"&lt;0")+COUNTA($I293:$L293)-COUNT($I293:$L293))&gt;0,"Avance fuera de rango 0-100%"&amp;" · ","")&amp;IF(OR(AND($J293&lt;&gt;"",$J293&lt;$I293),AND($K293&lt;&gt;"",$K293&lt;MAX($I293:$J293)),AND($L293&lt;&gt;"",$L293&lt;MAX($I293:$K293))),"Avance semanal decreciente"&amp;" · ","")&amp;IF(AND(ISNUMBER($AN293),$AN293&lt;FechaRef,IF($V293="Sub",N($X293),N($M293))&lt;1),"Vencida"&amp;" · ","")&amp;IF(AND(ObsObligatoria="Sí",ISNUMBER($AN293),$AN293&lt;FechaRef,IF($V293="Sub",N($X293),N($M293))&lt;1,$Q293=""),"Vencida sin observación"&amp;" · ",""))="","✔ OK","⚠ "&amp;LEFT(IF($C293="","Falta el nombre de la actividad"&amp;" · ","")&amp;IF(AND($V293="Sub",N($U293)=0),"Subactividad sin macroactividad arriba"&amp;" · ","")&amp;IF($AM293="","Sin fecha de inicio"&amp;" · ","")&amp;IF($AN293="","Sin fecha límite"&amp;" · ","")&amp;IF(AND(LEFT($C293,11)="[Jefatura] ",N($AL293)=0),"No se encuentra en la hoja de la jefatura (elíjala de nuevo en la lista)"&amp;" · ","")&amp;IF(OR(AND($E293&lt;&gt;"",NOT(ISNUMBER($E293))),AND($F293&lt;&gt;"",NOT(ISNUMBER($F293))),AND($G293&lt;&gt;"",NOT(ISNUMBER($G293)))),"Fecha no válida"&amp;" · ","")&amp;IF(AND(ISNUMBER($AM293),ISNUMBER($AN293),$AM293&gt;$AN293),"Inicio posterior a fecha límite"&amp;" · ","")&amp;IF(AND($V293="Macro",$H293&lt;&gt;"",OR(NOT(ISNUMBER($H293)),$H293&lt;0,$H293&gt;1)),"Peso fuera de rango"&amp;" · ","")&amp;IF(AND($V293="Sub",$H293&lt;&gt;""),"Las subactividades no llevan peso (valen igual dentro de su macroactividad)"&amp;" · ","")&amp;IF(AND(N($W293)&gt;0,COUNT($I293:$L293)&gt;0),"Con subactividades: deje vacías las semanas (se calculan solas)"&amp;" · ","")&amp;IF((COUNTIF($I293:$L293,"&gt;1")+COUNTIF($I293:$L293,"&lt;0")+COUNTA($I293:$L293)-COUNT($I293:$L293))&gt;0,"Avance fuera de rango 0-100%"&amp;" · ","")&amp;IF(OR(AND($J293&lt;&gt;"",$J293&lt;$I293),AND($K293&lt;&gt;"",$K293&lt;MAX($I293:$J293)),AND($L293&lt;&gt;"",$L293&lt;MAX($I293:$K293))),"Avance semanal decreciente"&amp;" · ","")&amp;IF(AND(ISNUMBER($AN293),$AN293&lt;FechaRef,IF($V293="Sub",N($X293),N($M293))&lt;1),"Vencida"&amp;" · ","")&amp;IF(AND(ObsObligatoria="Sí",ISNUMBER($AN293),$AN293&lt;FechaRef,IF($V293="Sub",N($X293),N($M293))&lt;1,$Q293=""),"Vencida sin observación"&amp;" · ",""),LEN(IF($C293="","Falta el nombre de la actividad"&amp;" · ","")&amp;IF(AND($V293="Sub",N($U293)=0),"Subactividad sin macroactividad arriba"&amp;" · ","")&amp;IF($AM293="","Sin fecha de inicio"&amp;" · ","")&amp;IF($AN293="","Sin fecha límite"&amp;" · ","")&amp;IF(AND(LEFT($C293,11)="[Jefatura] ",N($AL293)=0),"No se encuentra en la hoja de la jefatura (elíjala de nuevo en la lista)"&amp;" · ","")&amp;IF(OR(AND($E293&lt;&gt;"",NOT(ISNUMBER($E293))),AND($F293&lt;&gt;"",NOT(ISNUMBER($F293))),AND($G293&lt;&gt;"",NOT(ISNUMBER($G293)))),"Fecha no válida"&amp;" · ","")&amp;IF(AND(ISNUMBER($AM293),ISNUMBER($AN293),$AM293&gt;$AN293),"Inicio posterior a fecha límite"&amp;" · ","")&amp;IF(AND($V293="Macro",$H293&lt;&gt;"",OR(NOT(ISNUMBER($H293)),$H293&lt;0,$H293&gt;1)),"Peso fuera de rango"&amp;" · ","")&amp;IF(AND($V293="Sub",$H293&lt;&gt;""),"Las subactividades no llevan peso (valen igual dentro de su macroactividad)"&amp;" · ","")&amp;IF(AND(N($W293)&gt;0,COUNT($I293:$L293)&gt;0),"Con subactividades: deje vacías las semanas (se calculan solas)"&amp;" · ","")&amp;IF((COUNTIF($I293:$L293,"&gt;1")+COUNTIF($I293:$L293,"&lt;0")+COUNTA($I293:$L293)-COUNT($I293:$L293))&gt;0,"Avance fuera de rango 0-100%"&amp;" · ","")&amp;IF(OR(AND($J293&lt;&gt;"",$J293&lt;$I293),AND($K293&lt;&gt;"",$K293&lt;MAX($I293:$J293)),AND($L293&lt;&gt;"",$L293&lt;MAX($I293:$K293))),"Avance semanal decreciente"&amp;" · ","")&amp;IF(AND(ISNUMBER($AN293),$AN293&lt;FechaRef,IF($V293="Sub",N($X293),N($M293))&lt;1),"Vencida"&amp;" · ","")&amp;IF(AND(ObsObligatoria="Sí",ISNUMBER($AN293),$AN293&lt;FechaRef,IF($V293="Sub",N($X293),N($M293))&lt;1,$Q293=""),"Vencida sin observación"&amp;" · ",""))-3)))</f>
        <v/>
      </c>
      <c r="S293" s="64">
        <f>IF(NOT((COUNTA($B293:$D293)+COUNTA($G293:$L293)+COUNTA($Q293))&gt;0),"",IF(AND($V293="Sub",N($U293)&gt;0),IF(ISNUMBER(INDEX($AM$5:$AM$1000,$U293-4)),DATE(YEAR(INDEX($AM$5:$AM$1000,$U293-4)),MONTH(INDEX($AM$5:$AM$1000,$U293-4)),1),IF(ISNUMBER(INDEX($AN$5:$AN$1000,$U293-4)),DATE(YEAR(INDEX($AN$5:$AN$1000,$U293-4)),MONTH(INDEX($AN$5:$AN$1000,$U293-4)),1),MesCiclo)),IF(ISNUMBER($AM293),DATE(YEAR($AM293),MONTH($AM293),1),IF(ISNUMBER($AN293),DATE(YEAR($AN293),MONTH($AN293),1),MesCiclo))))</f>
        <v/>
      </c>
      <c r="T293" s="62">
        <f>IF(OR($S293="",$S293&lt;&gt;MesCiclo,$V293&lt;&gt;"Macro"),"",COUNTIFS($S$5:$S293,MesCiclo,$V$5:$V293,"Macro"))</f>
        <v/>
      </c>
      <c r="U293" s="62">
        <f>IF($V293="","",IF($V293="Macro",ROW(),IFERROR(LOOKUP(2,1/($V$5:$V293="Macro"),ROW($V$5:$V293)),0)))</f>
        <v/>
      </c>
      <c r="V293" s="62">
        <f>IF(NOT((COUNTA($B293:$D293)+COUNTA($G293:$L293)+COUNTA($Q293))&gt;0),"",IF($B293="Subactividad","Sub","Macro"))</f>
        <v/>
      </c>
      <c r="W293" s="62">
        <f>IF($V293="Macro",COUNTIFS($U$5:$U$1000,ROW(),$V$5:$V$1000,"Sub"),"")</f>
        <v/>
      </c>
      <c r="X293" s="62">
        <f>IF($V293="","",IF(ISNUMBER($G293),1,IFERROR(LOOKUP(2,1/($I293:$L293&lt;&gt;""),$I293:$L293),0)))</f>
        <v/>
      </c>
      <c r="Y293" s="62">
        <f>IF($V293="","",IF(AND(ISNUMBER($G293),$G293&lt;=IF($S293=MesCiclo,InicioCiclo,$S293+MOD(2-WEEKDAY($S293),7))+6),1,IF(ISNUMBER($I293),$I293,0)))</f>
        <v/>
      </c>
      <c r="Z293" s="62">
        <f>IF($V293="","",IF(AND(ISNUMBER($G293),$G293&lt;=IF($S293=MesCiclo,InicioCiclo,$S293+MOD(2-WEEKDAY($S293),7))+13),1,IF(ISNUMBER($J293),$J293,$Y293)))</f>
        <v/>
      </c>
      <c r="AA293" s="62">
        <f>IF($V293="","",IF(AND(ISNUMBER($G293),$G293&lt;=IF($S293=MesCiclo,InicioCiclo,$S293+MOD(2-WEEKDAY($S293),7))+20),1,IF(ISNUMBER($K293),$K293,$Z293)))</f>
        <v/>
      </c>
      <c r="AB293" s="62">
        <f>IF($V293="","",IF(AND(ISNUMBER($G293),$G293&lt;=IF($S293=MesCiclo,InicioCiclo,$S293+MOD(2-WEEKDAY($S293),7))+27),1,IF(ISNUMBER($L293),$L293,$AA293)))</f>
        <v/>
      </c>
      <c r="AC293" s="62">
        <f>IF($V293="","",IF(AND(ISNUMBER($G293),$G293&lt;=IF($S293=MesCiclo,InicioCiclo,$S293+MOD(2-WEEKDAY($S293),7))+6),1,IF(N($W293)&gt;0,AVERAGEIFS($Y$5:$Y$1000,$U$5:$U$1000,ROW(),$V$5:$V$1000,"Sub"),$Y293)))</f>
        <v/>
      </c>
      <c r="AD293" s="62">
        <f>IF($V293="","",IF(AND(ISNUMBER($G293),$G293&lt;=IF($S293=MesCiclo,InicioCiclo,$S293+MOD(2-WEEKDAY($S293),7))+13),1,IF(N($W293)&gt;0,AVERAGEIFS($Z$5:$Z$1000,$U$5:$U$1000,ROW(),$V$5:$V$1000,"Sub"),$Z293)))</f>
        <v/>
      </c>
      <c r="AE293" s="62">
        <f>IF($V293="","",IF(AND(ISNUMBER($G293),$G293&lt;=IF($S293=MesCiclo,InicioCiclo,$S293+MOD(2-WEEKDAY($S293),7))+20),1,IF(N($W293)&gt;0,AVERAGEIFS($AA$5:$AA$1000,$U$5:$U$1000,ROW(),$V$5:$V$1000,"Sub"),$AA293)))</f>
        <v/>
      </c>
      <c r="AF293" s="62">
        <f>IF($V293="","",IF(AND(ISNUMBER($G293),$G293&lt;=IF($S293=MesCiclo,InicioCiclo,$S293+MOD(2-WEEKDAY($S293),7))+27),1,IF(N($W293)&gt;0,AVERAGEIFS($AB$5:$AB$1000,$U$5:$U$1000,ROW(),$V$5:$V$1000,"Sub"),$AB293)))</f>
        <v/>
      </c>
      <c r="AG293" s="62">
        <f>IF($V293&lt;&gt;"Macro","",IF(COUNTIFS($S$5:$S$1000,$S293,$V$5:$V$1000,"Macro",$H$5:$H$1000,"&gt;0")=0,1/COUNTIFS($S$5:$S$1000,$S293,$V$5:$V$1000,"Macro"),IF(AND(ISNUMBER($H293),N($H293)&gt;0),$H293,SUMIFS($H$5:$H$1000,$S$5:$S$1000,$S293,$V$5:$V$1000,"Macro")/COUNTIFS($S$5:$S$1000,$S293,$V$5:$V$1000,"Macro",$H$5:$H$1000,"&gt;0"))/(COUNTIFS($S$5:$S$1000,$S293,$V$5:$V$1000,"Macro")*SUMIFS($H$5:$H$1000,$S$5:$S$1000,$S293,$V$5:$V$1000,"Macro")/COUNTIFS($S$5:$S$1000,$S293,$V$5:$V$1000,"Macro",$H$5:$H$1000,"&gt;0"))))</f>
        <v/>
      </c>
      <c r="AH293" s="62" t="n"/>
      <c r="AI293" s="62" t="n"/>
      <c r="AJ293" s="62" t="n"/>
      <c r="AK293" s="62" t="n"/>
      <c r="AL293" s="62">
        <f>IF(LEFT($C293,11)="[Jefatura] ",IFERROR(MATCH("Riesgo Financiero|"&amp;MID($C293,12,500),rDname_ADM,0),0),"")</f>
        <v/>
      </c>
      <c r="AM293" s="62">
        <f>IF(N($AL293)&gt;0,INDEX(rIni_ADM,$AL293),IF(ISNUMBER($E293),$E293,""))</f>
        <v/>
      </c>
      <c r="AN293" s="62">
        <f>IF(N($AL293)&gt;0,INDEX(rLim_ADM,$AL293),IF(ISNUMBER($F293),$F293,""))</f>
        <v/>
      </c>
    </row>
    <row r="294">
      <c r="A294" s="56">
        <f>IF(NOT((COUNTA($B294:$D294)+COUNTA($G294:$L294)+COUNTA($Q294))&gt;0),"",IF($V294="Macro",COUNTIFS($V$5:$V294,"Macro",$S$5:$S294,$S294),IF(N($U294)=0,"?",COUNTIFS(INDEX($V$5:$V$1000,1):INDEX($V$5:$V$1000,$U294-4),"Macro",INDEX($S$5:$S$1000,1):INDEX($S$5:$S$1000,$U294-4),INDEX($S$5:$S$1000,$U294-4))&amp;"."&amp;COUNTIFS($U$5:$U294,$U294,$V$5:$V294,"Sub"))))</f>
        <v/>
      </c>
      <c r="B294" s="57" t="n"/>
      <c r="C294" s="58" t="n"/>
      <c r="D294" s="58" t="n"/>
      <c r="E294" s="59">
        <f>IF(N($AL294)&gt;0,INDEX(rIni_ADM,$AL294),"")</f>
        <v/>
      </c>
      <c r="F294" s="59">
        <f>IF(N($AL294)&gt;0,INDEX(rLim_ADM,$AL294),"")</f>
        <v/>
      </c>
      <c r="G294" s="59" t="n"/>
      <c r="H294" s="60" t="n"/>
      <c r="I294" s="60" t="n"/>
      <c r="J294" s="60" t="n"/>
      <c r="K294" s="60" t="n"/>
      <c r="L294" s="60" t="n"/>
      <c r="M294" s="61">
        <f>IF(NOT((COUNTA($B294:$D294)+COUNTA($G294:$L294)+COUNTA($Q294))&gt;0),"",IF($V294="Sub",IFERROR($X294/INDEX($W$5:$W$1000,$U294-4),""),IF(ISNUMBER($G294),1,IF(N($W294)&gt;0,AVERAGEIFS($X$5:$X$1000,$U$5:$U$1000,ROW(),$V$5:$V$1000,"Sub"),$X294))))</f>
        <v/>
      </c>
      <c r="N294" s="56">
        <f>IF(OR($M294="",$V294="Sub"),"",IF($M294&gt;=1,"Completado",IF($M294&gt;0,"En curso","Pendiente")))</f>
        <v/>
      </c>
      <c r="O294" s="56">
        <f>IF(OR(NOT((COUNTA($B294:$D294)+COUNTA($G294:$L294)+COUNTA($Q294))&gt;0),$V294="Sub"),"",IF(ISNUMBER($G294),IF(AND(ISNUMBER($AN294),$G294&gt;$AN294),"Cumplida con "&amp;($G294-$AN294)&amp;IF($G294-$AN294=1," día"," días")&amp;" de retraso","Cumplida"),IF(N($M294)&gt;=1,"Cumplida",IF(NOT(ISNUMBER($AN294)),"Sin fecha límite",IF($AN294&lt;FechaRef,"Vencida hace "&amp;(FechaRef-$AN294)&amp;IF(FechaRef-$AN294=1," día"," días"),IF($AN294=FechaRef,"Vence hoy",IF($AN294-FechaRef&lt;=DiasAlerta,"Vence en "&amp;($AN294-FechaRef)&amp;IF($AN294-FechaRef=1," día"," días"),"En plazo")))))))</f>
        <v/>
      </c>
      <c r="P294" s="62" t="n"/>
      <c r="Q294" s="58" t="n"/>
      <c r="R294" s="63">
        <f>IF(NOT((COUNTA($B294:$D294)+COUNTA($G294:$L294)+COUNTA($Q294))&gt;0),"",IF((IF($C294="","Falta el nombre de la actividad"&amp;" · ","")&amp;IF(AND($V294="Sub",N($U294)=0),"Subactividad sin macroactividad arriba"&amp;" · ","")&amp;IF($AM294="","Sin fecha de inicio"&amp;" · ","")&amp;IF($AN294="","Sin fecha límite"&amp;" · ","")&amp;IF(AND(LEFT($C294,11)="[Jefatura] ",N($AL294)=0),"No se encuentra en la hoja de la jefatura (elíjala de nuevo en la lista)"&amp;" · ","")&amp;IF(OR(AND($E294&lt;&gt;"",NOT(ISNUMBER($E294))),AND($F294&lt;&gt;"",NOT(ISNUMBER($F294))),AND($G294&lt;&gt;"",NOT(ISNUMBER($G294)))),"Fecha no válida"&amp;" · ","")&amp;IF(AND(ISNUMBER($AM294),ISNUMBER($AN294),$AM294&gt;$AN294),"Inicio posterior a fecha límite"&amp;" · ","")&amp;IF(AND($V294="Macro",$H294&lt;&gt;"",OR(NOT(ISNUMBER($H294)),$H294&lt;0,$H294&gt;1)),"Peso fuera de rango"&amp;" · ","")&amp;IF(AND($V294="Sub",$H294&lt;&gt;""),"Las subactividades no llevan peso (valen igual dentro de su macroactividad)"&amp;" · ","")&amp;IF(AND(N($W294)&gt;0,COUNT($I294:$L294)&gt;0),"Con subactividades: deje vacías las semanas (se calculan solas)"&amp;" · ","")&amp;IF((COUNTIF($I294:$L294,"&gt;1")+COUNTIF($I294:$L294,"&lt;0")+COUNTA($I294:$L294)-COUNT($I294:$L294))&gt;0,"Avance fuera de rango 0-100%"&amp;" · ","")&amp;IF(OR(AND($J294&lt;&gt;"",$J294&lt;$I294),AND($K294&lt;&gt;"",$K294&lt;MAX($I294:$J294)),AND($L294&lt;&gt;"",$L294&lt;MAX($I294:$K294))),"Avance semanal decreciente"&amp;" · ","")&amp;IF(AND(ISNUMBER($AN294),$AN294&lt;FechaRef,IF($V294="Sub",N($X294),N($M294))&lt;1),"Vencida"&amp;" · ","")&amp;IF(AND(ObsObligatoria="Sí",ISNUMBER($AN294),$AN294&lt;FechaRef,IF($V294="Sub",N($X294),N($M294))&lt;1,$Q294=""),"Vencida sin observación"&amp;" · ",""))="","✔ OK","⚠ "&amp;LEFT(IF($C294="","Falta el nombre de la actividad"&amp;" · ","")&amp;IF(AND($V294="Sub",N($U294)=0),"Subactividad sin macroactividad arriba"&amp;" · ","")&amp;IF($AM294="","Sin fecha de inicio"&amp;" · ","")&amp;IF($AN294="","Sin fecha límite"&amp;" · ","")&amp;IF(AND(LEFT($C294,11)="[Jefatura] ",N($AL294)=0),"No se encuentra en la hoja de la jefatura (elíjala de nuevo en la lista)"&amp;" · ","")&amp;IF(OR(AND($E294&lt;&gt;"",NOT(ISNUMBER($E294))),AND($F294&lt;&gt;"",NOT(ISNUMBER($F294))),AND($G294&lt;&gt;"",NOT(ISNUMBER($G294)))),"Fecha no válida"&amp;" · ","")&amp;IF(AND(ISNUMBER($AM294),ISNUMBER($AN294),$AM294&gt;$AN294),"Inicio posterior a fecha límite"&amp;" · ","")&amp;IF(AND($V294="Macro",$H294&lt;&gt;"",OR(NOT(ISNUMBER($H294)),$H294&lt;0,$H294&gt;1)),"Peso fuera de rango"&amp;" · ","")&amp;IF(AND($V294="Sub",$H294&lt;&gt;""),"Las subactividades no llevan peso (valen igual dentro de su macroactividad)"&amp;" · ","")&amp;IF(AND(N($W294)&gt;0,COUNT($I294:$L294)&gt;0),"Con subactividades: deje vacías las semanas (se calculan solas)"&amp;" · ","")&amp;IF((COUNTIF($I294:$L294,"&gt;1")+COUNTIF($I294:$L294,"&lt;0")+COUNTA($I294:$L294)-COUNT($I294:$L294))&gt;0,"Avance fuera de rango 0-100%"&amp;" · ","")&amp;IF(OR(AND($J294&lt;&gt;"",$J294&lt;$I294),AND($K294&lt;&gt;"",$K294&lt;MAX($I294:$J294)),AND($L294&lt;&gt;"",$L294&lt;MAX($I294:$K294))),"Avance semanal decreciente"&amp;" · ","")&amp;IF(AND(ISNUMBER($AN294),$AN294&lt;FechaRef,IF($V294="Sub",N($X294),N($M294))&lt;1),"Vencida"&amp;" · ","")&amp;IF(AND(ObsObligatoria="Sí",ISNUMBER($AN294),$AN294&lt;FechaRef,IF($V294="Sub",N($X294),N($M294))&lt;1,$Q294=""),"Vencida sin observación"&amp;" · ",""),LEN(IF($C294="","Falta el nombre de la actividad"&amp;" · ","")&amp;IF(AND($V294="Sub",N($U294)=0),"Subactividad sin macroactividad arriba"&amp;" · ","")&amp;IF($AM294="","Sin fecha de inicio"&amp;" · ","")&amp;IF($AN294="","Sin fecha límite"&amp;" · ","")&amp;IF(AND(LEFT($C294,11)="[Jefatura] ",N($AL294)=0),"No se encuentra en la hoja de la jefatura (elíjala de nuevo en la lista)"&amp;" · ","")&amp;IF(OR(AND($E294&lt;&gt;"",NOT(ISNUMBER($E294))),AND($F294&lt;&gt;"",NOT(ISNUMBER($F294))),AND($G294&lt;&gt;"",NOT(ISNUMBER($G294)))),"Fecha no válida"&amp;" · ","")&amp;IF(AND(ISNUMBER($AM294),ISNUMBER($AN294),$AM294&gt;$AN294),"Inicio posterior a fecha límite"&amp;" · ","")&amp;IF(AND($V294="Macro",$H294&lt;&gt;"",OR(NOT(ISNUMBER($H294)),$H294&lt;0,$H294&gt;1)),"Peso fuera de rango"&amp;" · ","")&amp;IF(AND($V294="Sub",$H294&lt;&gt;""),"Las subactividades no llevan peso (valen igual dentro de su macroactividad)"&amp;" · ","")&amp;IF(AND(N($W294)&gt;0,COUNT($I294:$L294)&gt;0),"Con subactividades: deje vacías las semanas (se calculan solas)"&amp;" · ","")&amp;IF((COUNTIF($I294:$L294,"&gt;1")+COUNTIF($I294:$L294,"&lt;0")+COUNTA($I294:$L294)-COUNT($I294:$L294))&gt;0,"Avance fuera de rango 0-100%"&amp;" · ","")&amp;IF(OR(AND($J294&lt;&gt;"",$J294&lt;$I294),AND($K294&lt;&gt;"",$K294&lt;MAX($I294:$J294)),AND($L294&lt;&gt;"",$L294&lt;MAX($I294:$K294))),"Avance semanal decreciente"&amp;" · ","")&amp;IF(AND(ISNUMBER($AN294),$AN294&lt;FechaRef,IF($V294="Sub",N($X294),N($M294))&lt;1),"Vencida"&amp;" · ","")&amp;IF(AND(ObsObligatoria="Sí",ISNUMBER($AN294),$AN294&lt;FechaRef,IF($V294="Sub",N($X294),N($M294))&lt;1,$Q294=""),"Vencida sin observación"&amp;" · ",""))-3)))</f>
        <v/>
      </c>
      <c r="S294" s="64">
        <f>IF(NOT((COUNTA($B294:$D294)+COUNTA($G294:$L294)+COUNTA($Q294))&gt;0),"",IF(AND($V294="Sub",N($U294)&gt;0),IF(ISNUMBER(INDEX($AM$5:$AM$1000,$U294-4)),DATE(YEAR(INDEX($AM$5:$AM$1000,$U294-4)),MONTH(INDEX($AM$5:$AM$1000,$U294-4)),1),IF(ISNUMBER(INDEX($AN$5:$AN$1000,$U294-4)),DATE(YEAR(INDEX($AN$5:$AN$1000,$U294-4)),MONTH(INDEX($AN$5:$AN$1000,$U294-4)),1),MesCiclo)),IF(ISNUMBER($AM294),DATE(YEAR($AM294),MONTH($AM294),1),IF(ISNUMBER($AN294),DATE(YEAR($AN294),MONTH($AN294),1),MesCiclo))))</f>
        <v/>
      </c>
      <c r="T294" s="62">
        <f>IF(OR($S294="",$S294&lt;&gt;MesCiclo,$V294&lt;&gt;"Macro"),"",COUNTIFS($S$5:$S294,MesCiclo,$V$5:$V294,"Macro"))</f>
        <v/>
      </c>
      <c r="U294" s="62">
        <f>IF($V294="","",IF($V294="Macro",ROW(),IFERROR(LOOKUP(2,1/($V$5:$V294="Macro"),ROW($V$5:$V294)),0)))</f>
        <v/>
      </c>
      <c r="V294" s="62">
        <f>IF(NOT((COUNTA($B294:$D294)+COUNTA($G294:$L294)+COUNTA($Q294))&gt;0),"",IF($B294="Subactividad","Sub","Macro"))</f>
        <v/>
      </c>
      <c r="W294" s="62">
        <f>IF($V294="Macro",COUNTIFS($U$5:$U$1000,ROW(),$V$5:$V$1000,"Sub"),"")</f>
        <v/>
      </c>
      <c r="X294" s="62">
        <f>IF($V294="","",IF(ISNUMBER($G294),1,IFERROR(LOOKUP(2,1/($I294:$L294&lt;&gt;""),$I294:$L294),0)))</f>
        <v/>
      </c>
      <c r="Y294" s="62">
        <f>IF($V294="","",IF(AND(ISNUMBER($G294),$G294&lt;=IF($S294=MesCiclo,InicioCiclo,$S294+MOD(2-WEEKDAY($S294),7))+6),1,IF(ISNUMBER($I294),$I294,0)))</f>
        <v/>
      </c>
      <c r="Z294" s="62">
        <f>IF($V294="","",IF(AND(ISNUMBER($G294),$G294&lt;=IF($S294=MesCiclo,InicioCiclo,$S294+MOD(2-WEEKDAY($S294),7))+13),1,IF(ISNUMBER($J294),$J294,$Y294)))</f>
        <v/>
      </c>
      <c r="AA294" s="62">
        <f>IF($V294="","",IF(AND(ISNUMBER($G294),$G294&lt;=IF($S294=MesCiclo,InicioCiclo,$S294+MOD(2-WEEKDAY($S294),7))+20),1,IF(ISNUMBER($K294),$K294,$Z294)))</f>
        <v/>
      </c>
      <c r="AB294" s="62">
        <f>IF($V294="","",IF(AND(ISNUMBER($G294),$G294&lt;=IF($S294=MesCiclo,InicioCiclo,$S294+MOD(2-WEEKDAY($S294),7))+27),1,IF(ISNUMBER($L294),$L294,$AA294)))</f>
        <v/>
      </c>
      <c r="AC294" s="62">
        <f>IF($V294="","",IF(AND(ISNUMBER($G294),$G294&lt;=IF($S294=MesCiclo,InicioCiclo,$S294+MOD(2-WEEKDAY($S294),7))+6),1,IF(N($W294)&gt;0,AVERAGEIFS($Y$5:$Y$1000,$U$5:$U$1000,ROW(),$V$5:$V$1000,"Sub"),$Y294)))</f>
        <v/>
      </c>
      <c r="AD294" s="62">
        <f>IF($V294="","",IF(AND(ISNUMBER($G294),$G294&lt;=IF($S294=MesCiclo,InicioCiclo,$S294+MOD(2-WEEKDAY($S294),7))+13),1,IF(N($W294)&gt;0,AVERAGEIFS($Z$5:$Z$1000,$U$5:$U$1000,ROW(),$V$5:$V$1000,"Sub"),$Z294)))</f>
        <v/>
      </c>
      <c r="AE294" s="62">
        <f>IF($V294="","",IF(AND(ISNUMBER($G294),$G294&lt;=IF($S294=MesCiclo,InicioCiclo,$S294+MOD(2-WEEKDAY($S294),7))+20),1,IF(N($W294)&gt;0,AVERAGEIFS($AA$5:$AA$1000,$U$5:$U$1000,ROW(),$V$5:$V$1000,"Sub"),$AA294)))</f>
        <v/>
      </c>
      <c r="AF294" s="62">
        <f>IF($V294="","",IF(AND(ISNUMBER($G294),$G294&lt;=IF($S294=MesCiclo,InicioCiclo,$S294+MOD(2-WEEKDAY($S294),7))+27),1,IF(N($W294)&gt;0,AVERAGEIFS($AB$5:$AB$1000,$U$5:$U$1000,ROW(),$V$5:$V$1000,"Sub"),$AB294)))</f>
        <v/>
      </c>
      <c r="AG294" s="62">
        <f>IF($V294&lt;&gt;"Macro","",IF(COUNTIFS($S$5:$S$1000,$S294,$V$5:$V$1000,"Macro",$H$5:$H$1000,"&gt;0")=0,1/COUNTIFS($S$5:$S$1000,$S294,$V$5:$V$1000,"Macro"),IF(AND(ISNUMBER($H294),N($H294)&gt;0),$H294,SUMIFS($H$5:$H$1000,$S$5:$S$1000,$S294,$V$5:$V$1000,"Macro")/COUNTIFS($S$5:$S$1000,$S294,$V$5:$V$1000,"Macro",$H$5:$H$1000,"&gt;0"))/(COUNTIFS($S$5:$S$1000,$S294,$V$5:$V$1000,"Macro")*SUMIFS($H$5:$H$1000,$S$5:$S$1000,$S294,$V$5:$V$1000,"Macro")/COUNTIFS($S$5:$S$1000,$S294,$V$5:$V$1000,"Macro",$H$5:$H$1000,"&gt;0"))))</f>
        <v/>
      </c>
      <c r="AH294" s="62" t="n"/>
      <c r="AI294" s="62" t="n"/>
      <c r="AJ294" s="62" t="n"/>
      <c r="AK294" s="62" t="n"/>
      <c r="AL294" s="62">
        <f>IF(LEFT($C294,11)="[Jefatura] ",IFERROR(MATCH("Riesgo Financiero|"&amp;MID($C294,12,500),rDname_ADM,0),0),"")</f>
        <v/>
      </c>
      <c r="AM294" s="62">
        <f>IF(N($AL294)&gt;0,INDEX(rIni_ADM,$AL294),IF(ISNUMBER($E294),$E294,""))</f>
        <v/>
      </c>
      <c r="AN294" s="62">
        <f>IF(N($AL294)&gt;0,INDEX(rLim_ADM,$AL294),IF(ISNUMBER($F294),$F294,""))</f>
        <v/>
      </c>
    </row>
    <row r="295">
      <c r="A295" s="56">
        <f>IF(NOT((COUNTA($B295:$D295)+COUNTA($G295:$L295)+COUNTA($Q295))&gt;0),"",IF($V295="Macro",COUNTIFS($V$5:$V295,"Macro",$S$5:$S295,$S295),IF(N($U295)=0,"?",COUNTIFS(INDEX($V$5:$V$1000,1):INDEX($V$5:$V$1000,$U295-4),"Macro",INDEX($S$5:$S$1000,1):INDEX($S$5:$S$1000,$U295-4),INDEX($S$5:$S$1000,$U295-4))&amp;"."&amp;COUNTIFS($U$5:$U295,$U295,$V$5:$V295,"Sub"))))</f>
        <v/>
      </c>
      <c r="B295" s="57" t="n"/>
      <c r="C295" s="58" t="n"/>
      <c r="D295" s="58" t="n"/>
      <c r="E295" s="59">
        <f>IF(N($AL295)&gt;0,INDEX(rIni_ADM,$AL295),"")</f>
        <v/>
      </c>
      <c r="F295" s="59">
        <f>IF(N($AL295)&gt;0,INDEX(rLim_ADM,$AL295),"")</f>
        <v/>
      </c>
      <c r="G295" s="59" t="n"/>
      <c r="H295" s="60" t="n"/>
      <c r="I295" s="60" t="n"/>
      <c r="J295" s="60" t="n"/>
      <c r="K295" s="60" t="n"/>
      <c r="L295" s="60" t="n"/>
      <c r="M295" s="61">
        <f>IF(NOT((COUNTA($B295:$D295)+COUNTA($G295:$L295)+COUNTA($Q295))&gt;0),"",IF($V295="Sub",IFERROR($X295/INDEX($W$5:$W$1000,$U295-4),""),IF(ISNUMBER($G295),1,IF(N($W295)&gt;0,AVERAGEIFS($X$5:$X$1000,$U$5:$U$1000,ROW(),$V$5:$V$1000,"Sub"),$X295))))</f>
        <v/>
      </c>
      <c r="N295" s="56">
        <f>IF(OR($M295="",$V295="Sub"),"",IF($M295&gt;=1,"Completado",IF($M295&gt;0,"En curso","Pendiente")))</f>
        <v/>
      </c>
      <c r="O295" s="56">
        <f>IF(OR(NOT((COUNTA($B295:$D295)+COUNTA($G295:$L295)+COUNTA($Q295))&gt;0),$V295="Sub"),"",IF(ISNUMBER($G295),IF(AND(ISNUMBER($AN295),$G295&gt;$AN295),"Cumplida con "&amp;($G295-$AN295)&amp;IF($G295-$AN295=1," día"," días")&amp;" de retraso","Cumplida"),IF(N($M295)&gt;=1,"Cumplida",IF(NOT(ISNUMBER($AN295)),"Sin fecha límite",IF($AN295&lt;FechaRef,"Vencida hace "&amp;(FechaRef-$AN295)&amp;IF(FechaRef-$AN295=1," día"," días"),IF($AN295=FechaRef,"Vence hoy",IF($AN295-FechaRef&lt;=DiasAlerta,"Vence en "&amp;($AN295-FechaRef)&amp;IF($AN295-FechaRef=1," día"," días"),"En plazo")))))))</f>
        <v/>
      </c>
      <c r="P295" s="62" t="n"/>
      <c r="Q295" s="58" t="n"/>
      <c r="R295" s="63">
        <f>IF(NOT((COUNTA($B295:$D295)+COUNTA($G295:$L295)+COUNTA($Q295))&gt;0),"",IF((IF($C295="","Falta el nombre de la actividad"&amp;" · ","")&amp;IF(AND($V295="Sub",N($U295)=0),"Subactividad sin macroactividad arriba"&amp;" · ","")&amp;IF($AM295="","Sin fecha de inicio"&amp;" · ","")&amp;IF($AN295="","Sin fecha límite"&amp;" · ","")&amp;IF(AND(LEFT($C295,11)="[Jefatura] ",N($AL295)=0),"No se encuentra en la hoja de la jefatura (elíjala de nuevo en la lista)"&amp;" · ","")&amp;IF(OR(AND($E295&lt;&gt;"",NOT(ISNUMBER($E295))),AND($F295&lt;&gt;"",NOT(ISNUMBER($F295))),AND($G295&lt;&gt;"",NOT(ISNUMBER($G295)))),"Fecha no válida"&amp;" · ","")&amp;IF(AND(ISNUMBER($AM295),ISNUMBER($AN295),$AM295&gt;$AN295),"Inicio posterior a fecha límite"&amp;" · ","")&amp;IF(AND($V295="Macro",$H295&lt;&gt;"",OR(NOT(ISNUMBER($H295)),$H295&lt;0,$H295&gt;1)),"Peso fuera de rango"&amp;" · ","")&amp;IF(AND($V295="Sub",$H295&lt;&gt;""),"Las subactividades no llevan peso (valen igual dentro de su macroactividad)"&amp;" · ","")&amp;IF(AND(N($W295)&gt;0,COUNT($I295:$L295)&gt;0),"Con subactividades: deje vacías las semanas (se calculan solas)"&amp;" · ","")&amp;IF((COUNTIF($I295:$L295,"&gt;1")+COUNTIF($I295:$L295,"&lt;0")+COUNTA($I295:$L295)-COUNT($I295:$L295))&gt;0,"Avance fuera de rango 0-100%"&amp;" · ","")&amp;IF(OR(AND($J295&lt;&gt;"",$J295&lt;$I295),AND($K295&lt;&gt;"",$K295&lt;MAX($I295:$J295)),AND($L295&lt;&gt;"",$L295&lt;MAX($I295:$K295))),"Avance semanal decreciente"&amp;" · ","")&amp;IF(AND(ISNUMBER($AN295),$AN295&lt;FechaRef,IF($V295="Sub",N($X295),N($M295))&lt;1),"Vencida"&amp;" · ","")&amp;IF(AND(ObsObligatoria="Sí",ISNUMBER($AN295),$AN295&lt;FechaRef,IF($V295="Sub",N($X295),N($M295))&lt;1,$Q295=""),"Vencida sin observación"&amp;" · ",""))="","✔ OK","⚠ "&amp;LEFT(IF($C295="","Falta el nombre de la actividad"&amp;" · ","")&amp;IF(AND($V295="Sub",N($U295)=0),"Subactividad sin macroactividad arriba"&amp;" · ","")&amp;IF($AM295="","Sin fecha de inicio"&amp;" · ","")&amp;IF($AN295="","Sin fecha límite"&amp;" · ","")&amp;IF(AND(LEFT($C295,11)="[Jefatura] ",N($AL295)=0),"No se encuentra en la hoja de la jefatura (elíjala de nuevo en la lista)"&amp;" · ","")&amp;IF(OR(AND($E295&lt;&gt;"",NOT(ISNUMBER($E295))),AND($F295&lt;&gt;"",NOT(ISNUMBER($F295))),AND($G295&lt;&gt;"",NOT(ISNUMBER($G295)))),"Fecha no válida"&amp;" · ","")&amp;IF(AND(ISNUMBER($AM295),ISNUMBER($AN295),$AM295&gt;$AN295),"Inicio posterior a fecha límite"&amp;" · ","")&amp;IF(AND($V295="Macro",$H295&lt;&gt;"",OR(NOT(ISNUMBER($H295)),$H295&lt;0,$H295&gt;1)),"Peso fuera de rango"&amp;" · ","")&amp;IF(AND($V295="Sub",$H295&lt;&gt;""),"Las subactividades no llevan peso (valen igual dentro de su macroactividad)"&amp;" · ","")&amp;IF(AND(N($W295)&gt;0,COUNT($I295:$L295)&gt;0),"Con subactividades: deje vacías las semanas (se calculan solas)"&amp;" · ","")&amp;IF((COUNTIF($I295:$L295,"&gt;1")+COUNTIF($I295:$L295,"&lt;0")+COUNTA($I295:$L295)-COUNT($I295:$L295))&gt;0,"Avance fuera de rango 0-100%"&amp;" · ","")&amp;IF(OR(AND($J295&lt;&gt;"",$J295&lt;$I295),AND($K295&lt;&gt;"",$K295&lt;MAX($I295:$J295)),AND($L295&lt;&gt;"",$L295&lt;MAX($I295:$K295))),"Avance semanal decreciente"&amp;" · ","")&amp;IF(AND(ISNUMBER($AN295),$AN295&lt;FechaRef,IF($V295="Sub",N($X295),N($M295))&lt;1),"Vencida"&amp;" · ","")&amp;IF(AND(ObsObligatoria="Sí",ISNUMBER($AN295),$AN295&lt;FechaRef,IF($V295="Sub",N($X295),N($M295))&lt;1,$Q295=""),"Vencida sin observación"&amp;" · ",""),LEN(IF($C295="","Falta el nombre de la actividad"&amp;" · ","")&amp;IF(AND($V295="Sub",N($U295)=0),"Subactividad sin macroactividad arriba"&amp;" · ","")&amp;IF($AM295="","Sin fecha de inicio"&amp;" · ","")&amp;IF($AN295="","Sin fecha límite"&amp;" · ","")&amp;IF(AND(LEFT($C295,11)="[Jefatura] ",N($AL295)=0),"No se encuentra en la hoja de la jefatura (elíjala de nuevo en la lista)"&amp;" · ","")&amp;IF(OR(AND($E295&lt;&gt;"",NOT(ISNUMBER($E295))),AND($F295&lt;&gt;"",NOT(ISNUMBER($F295))),AND($G295&lt;&gt;"",NOT(ISNUMBER($G295)))),"Fecha no válida"&amp;" · ","")&amp;IF(AND(ISNUMBER($AM295),ISNUMBER($AN295),$AM295&gt;$AN295),"Inicio posterior a fecha límite"&amp;" · ","")&amp;IF(AND($V295="Macro",$H295&lt;&gt;"",OR(NOT(ISNUMBER($H295)),$H295&lt;0,$H295&gt;1)),"Peso fuera de rango"&amp;" · ","")&amp;IF(AND($V295="Sub",$H295&lt;&gt;""),"Las subactividades no llevan peso (valen igual dentro de su macroactividad)"&amp;" · ","")&amp;IF(AND(N($W295)&gt;0,COUNT($I295:$L295)&gt;0),"Con subactividades: deje vacías las semanas (se calculan solas)"&amp;" · ","")&amp;IF((COUNTIF($I295:$L295,"&gt;1")+COUNTIF($I295:$L295,"&lt;0")+COUNTA($I295:$L295)-COUNT($I295:$L295))&gt;0,"Avance fuera de rango 0-100%"&amp;" · ","")&amp;IF(OR(AND($J295&lt;&gt;"",$J295&lt;$I295),AND($K295&lt;&gt;"",$K295&lt;MAX($I295:$J295)),AND($L295&lt;&gt;"",$L295&lt;MAX($I295:$K295))),"Avance semanal decreciente"&amp;" · ","")&amp;IF(AND(ISNUMBER($AN295),$AN295&lt;FechaRef,IF($V295="Sub",N($X295),N($M295))&lt;1),"Vencida"&amp;" · ","")&amp;IF(AND(ObsObligatoria="Sí",ISNUMBER($AN295),$AN295&lt;FechaRef,IF($V295="Sub",N($X295),N($M295))&lt;1,$Q295=""),"Vencida sin observación"&amp;" · ",""))-3)))</f>
        <v/>
      </c>
      <c r="S295" s="64">
        <f>IF(NOT((COUNTA($B295:$D295)+COUNTA($G295:$L295)+COUNTA($Q295))&gt;0),"",IF(AND($V295="Sub",N($U295)&gt;0),IF(ISNUMBER(INDEX($AM$5:$AM$1000,$U295-4)),DATE(YEAR(INDEX($AM$5:$AM$1000,$U295-4)),MONTH(INDEX($AM$5:$AM$1000,$U295-4)),1),IF(ISNUMBER(INDEX($AN$5:$AN$1000,$U295-4)),DATE(YEAR(INDEX($AN$5:$AN$1000,$U295-4)),MONTH(INDEX($AN$5:$AN$1000,$U295-4)),1),MesCiclo)),IF(ISNUMBER($AM295),DATE(YEAR($AM295),MONTH($AM295),1),IF(ISNUMBER($AN295),DATE(YEAR($AN295),MONTH($AN295),1),MesCiclo))))</f>
        <v/>
      </c>
      <c r="T295" s="62">
        <f>IF(OR($S295="",$S295&lt;&gt;MesCiclo,$V295&lt;&gt;"Macro"),"",COUNTIFS($S$5:$S295,MesCiclo,$V$5:$V295,"Macro"))</f>
        <v/>
      </c>
      <c r="U295" s="62">
        <f>IF($V295="","",IF($V295="Macro",ROW(),IFERROR(LOOKUP(2,1/($V$5:$V295="Macro"),ROW($V$5:$V295)),0)))</f>
        <v/>
      </c>
      <c r="V295" s="62">
        <f>IF(NOT((COUNTA($B295:$D295)+COUNTA($G295:$L295)+COUNTA($Q295))&gt;0),"",IF($B295="Subactividad","Sub","Macro"))</f>
        <v/>
      </c>
      <c r="W295" s="62">
        <f>IF($V295="Macro",COUNTIFS($U$5:$U$1000,ROW(),$V$5:$V$1000,"Sub"),"")</f>
        <v/>
      </c>
      <c r="X295" s="62">
        <f>IF($V295="","",IF(ISNUMBER($G295),1,IFERROR(LOOKUP(2,1/($I295:$L295&lt;&gt;""),$I295:$L295),0)))</f>
        <v/>
      </c>
      <c r="Y295" s="62">
        <f>IF($V295="","",IF(AND(ISNUMBER($G295),$G295&lt;=IF($S295=MesCiclo,InicioCiclo,$S295+MOD(2-WEEKDAY($S295),7))+6),1,IF(ISNUMBER($I295),$I295,0)))</f>
        <v/>
      </c>
      <c r="Z295" s="62">
        <f>IF($V295="","",IF(AND(ISNUMBER($G295),$G295&lt;=IF($S295=MesCiclo,InicioCiclo,$S295+MOD(2-WEEKDAY($S295),7))+13),1,IF(ISNUMBER($J295),$J295,$Y295)))</f>
        <v/>
      </c>
      <c r="AA295" s="62">
        <f>IF($V295="","",IF(AND(ISNUMBER($G295),$G295&lt;=IF($S295=MesCiclo,InicioCiclo,$S295+MOD(2-WEEKDAY($S295),7))+20),1,IF(ISNUMBER($K295),$K295,$Z295)))</f>
        <v/>
      </c>
      <c r="AB295" s="62">
        <f>IF($V295="","",IF(AND(ISNUMBER($G295),$G295&lt;=IF($S295=MesCiclo,InicioCiclo,$S295+MOD(2-WEEKDAY($S295),7))+27),1,IF(ISNUMBER($L295),$L295,$AA295)))</f>
        <v/>
      </c>
      <c r="AC295" s="62">
        <f>IF($V295="","",IF(AND(ISNUMBER($G295),$G295&lt;=IF($S295=MesCiclo,InicioCiclo,$S295+MOD(2-WEEKDAY($S295),7))+6),1,IF(N($W295)&gt;0,AVERAGEIFS($Y$5:$Y$1000,$U$5:$U$1000,ROW(),$V$5:$V$1000,"Sub"),$Y295)))</f>
        <v/>
      </c>
      <c r="AD295" s="62">
        <f>IF($V295="","",IF(AND(ISNUMBER($G295),$G295&lt;=IF($S295=MesCiclo,InicioCiclo,$S295+MOD(2-WEEKDAY($S295),7))+13),1,IF(N($W295)&gt;0,AVERAGEIFS($Z$5:$Z$1000,$U$5:$U$1000,ROW(),$V$5:$V$1000,"Sub"),$Z295)))</f>
        <v/>
      </c>
      <c r="AE295" s="62">
        <f>IF($V295="","",IF(AND(ISNUMBER($G295),$G295&lt;=IF($S295=MesCiclo,InicioCiclo,$S295+MOD(2-WEEKDAY($S295),7))+20),1,IF(N($W295)&gt;0,AVERAGEIFS($AA$5:$AA$1000,$U$5:$U$1000,ROW(),$V$5:$V$1000,"Sub"),$AA295)))</f>
        <v/>
      </c>
      <c r="AF295" s="62">
        <f>IF($V295="","",IF(AND(ISNUMBER($G295),$G295&lt;=IF($S295=MesCiclo,InicioCiclo,$S295+MOD(2-WEEKDAY($S295),7))+27),1,IF(N($W295)&gt;0,AVERAGEIFS($AB$5:$AB$1000,$U$5:$U$1000,ROW(),$V$5:$V$1000,"Sub"),$AB295)))</f>
        <v/>
      </c>
      <c r="AG295" s="62">
        <f>IF($V295&lt;&gt;"Macro","",IF(COUNTIFS($S$5:$S$1000,$S295,$V$5:$V$1000,"Macro",$H$5:$H$1000,"&gt;0")=0,1/COUNTIFS($S$5:$S$1000,$S295,$V$5:$V$1000,"Macro"),IF(AND(ISNUMBER($H295),N($H295)&gt;0),$H295,SUMIFS($H$5:$H$1000,$S$5:$S$1000,$S295,$V$5:$V$1000,"Macro")/COUNTIFS($S$5:$S$1000,$S295,$V$5:$V$1000,"Macro",$H$5:$H$1000,"&gt;0"))/(COUNTIFS($S$5:$S$1000,$S295,$V$5:$V$1000,"Macro")*SUMIFS($H$5:$H$1000,$S$5:$S$1000,$S295,$V$5:$V$1000,"Macro")/COUNTIFS($S$5:$S$1000,$S295,$V$5:$V$1000,"Macro",$H$5:$H$1000,"&gt;0"))))</f>
        <v/>
      </c>
      <c r="AH295" s="62" t="n"/>
      <c r="AI295" s="62" t="n"/>
      <c r="AJ295" s="62" t="n"/>
      <c r="AK295" s="62" t="n"/>
      <c r="AL295" s="62">
        <f>IF(LEFT($C295,11)="[Jefatura] ",IFERROR(MATCH("Riesgo Financiero|"&amp;MID($C295,12,500),rDname_ADM,0),0),"")</f>
        <v/>
      </c>
      <c r="AM295" s="62">
        <f>IF(N($AL295)&gt;0,INDEX(rIni_ADM,$AL295),IF(ISNUMBER($E295),$E295,""))</f>
        <v/>
      </c>
      <c r="AN295" s="62">
        <f>IF(N($AL295)&gt;0,INDEX(rLim_ADM,$AL295),IF(ISNUMBER($F295),$F295,""))</f>
        <v/>
      </c>
    </row>
    <row r="296">
      <c r="A296" s="56">
        <f>IF(NOT((COUNTA($B296:$D296)+COUNTA($G296:$L296)+COUNTA($Q296))&gt;0),"",IF($V296="Macro",COUNTIFS($V$5:$V296,"Macro",$S$5:$S296,$S296),IF(N($U296)=0,"?",COUNTIFS(INDEX($V$5:$V$1000,1):INDEX($V$5:$V$1000,$U296-4),"Macro",INDEX($S$5:$S$1000,1):INDEX($S$5:$S$1000,$U296-4),INDEX($S$5:$S$1000,$U296-4))&amp;"."&amp;COUNTIFS($U$5:$U296,$U296,$V$5:$V296,"Sub"))))</f>
        <v/>
      </c>
      <c r="B296" s="57" t="n"/>
      <c r="C296" s="58" t="n"/>
      <c r="D296" s="58" t="n"/>
      <c r="E296" s="59">
        <f>IF(N($AL296)&gt;0,INDEX(rIni_ADM,$AL296),"")</f>
        <v/>
      </c>
      <c r="F296" s="59">
        <f>IF(N($AL296)&gt;0,INDEX(rLim_ADM,$AL296),"")</f>
        <v/>
      </c>
      <c r="G296" s="59" t="n"/>
      <c r="H296" s="60" t="n"/>
      <c r="I296" s="60" t="n"/>
      <c r="J296" s="60" t="n"/>
      <c r="K296" s="60" t="n"/>
      <c r="L296" s="60" t="n"/>
      <c r="M296" s="61">
        <f>IF(NOT((COUNTA($B296:$D296)+COUNTA($G296:$L296)+COUNTA($Q296))&gt;0),"",IF($V296="Sub",IFERROR($X296/INDEX($W$5:$W$1000,$U296-4),""),IF(ISNUMBER($G296),1,IF(N($W296)&gt;0,AVERAGEIFS($X$5:$X$1000,$U$5:$U$1000,ROW(),$V$5:$V$1000,"Sub"),$X296))))</f>
        <v/>
      </c>
      <c r="N296" s="56">
        <f>IF(OR($M296="",$V296="Sub"),"",IF($M296&gt;=1,"Completado",IF($M296&gt;0,"En curso","Pendiente")))</f>
        <v/>
      </c>
      <c r="O296" s="56">
        <f>IF(OR(NOT((COUNTA($B296:$D296)+COUNTA($G296:$L296)+COUNTA($Q296))&gt;0),$V296="Sub"),"",IF(ISNUMBER($G296),IF(AND(ISNUMBER($AN296),$G296&gt;$AN296),"Cumplida con "&amp;($G296-$AN296)&amp;IF($G296-$AN296=1," día"," días")&amp;" de retraso","Cumplida"),IF(N($M296)&gt;=1,"Cumplida",IF(NOT(ISNUMBER($AN296)),"Sin fecha límite",IF($AN296&lt;FechaRef,"Vencida hace "&amp;(FechaRef-$AN296)&amp;IF(FechaRef-$AN296=1," día"," días"),IF($AN296=FechaRef,"Vence hoy",IF($AN296-FechaRef&lt;=DiasAlerta,"Vence en "&amp;($AN296-FechaRef)&amp;IF($AN296-FechaRef=1," día"," días"),"En plazo")))))))</f>
        <v/>
      </c>
      <c r="P296" s="62" t="n"/>
      <c r="Q296" s="58" t="n"/>
      <c r="R296" s="63">
        <f>IF(NOT((COUNTA($B296:$D296)+COUNTA($G296:$L296)+COUNTA($Q296))&gt;0),"",IF((IF($C296="","Falta el nombre de la actividad"&amp;" · ","")&amp;IF(AND($V296="Sub",N($U296)=0),"Subactividad sin macroactividad arriba"&amp;" · ","")&amp;IF($AM296="","Sin fecha de inicio"&amp;" · ","")&amp;IF($AN296="","Sin fecha límite"&amp;" · ","")&amp;IF(AND(LEFT($C296,11)="[Jefatura] ",N($AL296)=0),"No se encuentra en la hoja de la jefatura (elíjala de nuevo en la lista)"&amp;" · ","")&amp;IF(OR(AND($E296&lt;&gt;"",NOT(ISNUMBER($E296))),AND($F296&lt;&gt;"",NOT(ISNUMBER($F296))),AND($G296&lt;&gt;"",NOT(ISNUMBER($G296)))),"Fecha no válida"&amp;" · ","")&amp;IF(AND(ISNUMBER($AM296),ISNUMBER($AN296),$AM296&gt;$AN296),"Inicio posterior a fecha límite"&amp;" · ","")&amp;IF(AND($V296="Macro",$H296&lt;&gt;"",OR(NOT(ISNUMBER($H296)),$H296&lt;0,$H296&gt;1)),"Peso fuera de rango"&amp;" · ","")&amp;IF(AND($V296="Sub",$H296&lt;&gt;""),"Las subactividades no llevan peso (valen igual dentro de su macroactividad)"&amp;" · ","")&amp;IF(AND(N($W296)&gt;0,COUNT($I296:$L296)&gt;0),"Con subactividades: deje vacías las semanas (se calculan solas)"&amp;" · ","")&amp;IF((COUNTIF($I296:$L296,"&gt;1")+COUNTIF($I296:$L296,"&lt;0")+COUNTA($I296:$L296)-COUNT($I296:$L296))&gt;0,"Avance fuera de rango 0-100%"&amp;" · ","")&amp;IF(OR(AND($J296&lt;&gt;"",$J296&lt;$I296),AND($K296&lt;&gt;"",$K296&lt;MAX($I296:$J296)),AND($L296&lt;&gt;"",$L296&lt;MAX($I296:$K296))),"Avance semanal decreciente"&amp;" · ","")&amp;IF(AND(ISNUMBER($AN296),$AN296&lt;FechaRef,IF($V296="Sub",N($X296),N($M296))&lt;1),"Vencida"&amp;" · ","")&amp;IF(AND(ObsObligatoria="Sí",ISNUMBER($AN296),$AN296&lt;FechaRef,IF($V296="Sub",N($X296),N($M296))&lt;1,$Q296=""),"Vencida sin observación"&amp;" · ",""))="","✔ OK","⚠ "&amp;LEFT(IF($C296="","Falta el nombre de la actividad"&amp;" · ","")&amp;IF(AND($V296="Sub",N($U296)=0),"Subactividad sin macroactividad arriba"&amp;" · ","")&amp;IF($AM296="","Sin fecha de inicio"&amp;" · ","")&amp;IF($AN296="","Sin fecha límite"&amp;" · ","")&amp;IF(AND(LEFT($C296,11)="[Jefatura] ",N($AL296)=0),"No se encuentra en la hoja de la jefatura (elíjala de nuevo en la lista)"&amp;" · ","")&amp;IF(OR(AND($E296&lt;&gt;"",NOT(ISNUMBER($E296))),AND($F296&lt;&gt;"",NOT(ISNUMBER($F296))),AND($G296&lt;&gt;"",NOT(ISNUMBER($G296)))),"Fecha no válida"&amp;" · ","")&amp;IF(AND(ISNUMBER($AM296),ISNUMBER($AN296),$AM296&gt;$AN296),"Inicio posterior a fecha límite"&amp;" · ","")&amp;IF(AND($V296="Macro",$H296&lt;&gt;"",OR(NOT(ISNUMBER($H296)),$H296&lt;0,$H296&gt;1)),"Peso fuera de rango"&amp;" · ","")&amp;IF(AND($V296="Sub",$H296&lt;&gt;""),"Las subactividades no llevan peso (valen igual dentro de su macroactividad)"&amp;" · ","")&amp;IF(AND(N($W296)&gt;0,COUNT($I296:$L296)&gt;0),"Con subactividades: deje vacías las semanas (se calculan solas)"&amp;" · ","")&amp;IF((COUNTIF($I296:$L296,"&gt;1")+COUNTIF($I296:$L296,"&lt;0")+COUNTA($I296:$L296)-COUNT($I296:$L296))&gt;0,"Avance fuera de rango 0-100%"&amp;" · ","")&amp;IF(OR(AND($J296&lt;&gt;"",$J296&lt;$I296),AND($K296&lt;&gt;"",$K296&lt;MAX($I296:$J296)),AND($L296&lt;&gt;"",$L296&lt;MAX($I296:$K296))),"Avance semanal decreciente"&amp;" · ","")&amp;IF(AND(ISNUMBER($AN296),$AN296&lt;FechaRef,IF($V296="Sub",N($X296),N($M296))&lt;1),"Vencida"&amp;" · ","")&amp;IF(AND(ObsObligatoria="Sí",ISNUMBER($AN296),$AN296&lt;FechaRef,IF($V296="Sub",N($X296),N($M296))&lt;1,$Q296=""),"Vencida sin observación"&amp;" · ",""),LEN(IF($C296="","Falta el nombre de la actividad"&amp;" · ","")&amp;IF(AND($V296="Sub",N($U296)=0),"Subactividad sin macroactividad arriba"&amp;" · ","")&amp;IF($AM296="","Sin fecha de inicio"&amp;" · ","")&amp;IF($AN296="","Sin fecha límite"&amp;" · ","")&amp;IF(AND(LEFT($C296,11)="[Jefatura] ",N($AL296)=0),"No se encuentra en la hoja de la jefatura (elíjala de nuevo en la lista)"&amp;" · ","")&amp;IF(OR(AND($E296&lt;&gt;"",NOT(ISNUMBER($E296))),AND($F296&lt;&gt;"",NOT(ISNUMBER($F296))),AND($G296&lt;&gt;"",NOT(ISNUMBER($G296)))),"Fecha no válida"&amp;" · ","")&amp;IF(AND(ISNUMBER($AM296),ISNUMBER($AN296),$AM296&gt;$AN296),"Inicio posterior a fecha límite"&amp;" · ","")&amp;IF(AND($V296="Macro",$H296&lt;&gt;"",OR(NOT(ISNUMBER($H296)),$H296&lt;0,$H296&gt;1)),"Peso fuera de rango"&amp;" · ","")&amp;IF(AND($V296="Sub",$H296&lt;&gt;""),"Las subactividades no llevan peso (valen igual dentro de su macroactividad)"&amp;" · ","")&amp;IF(AND(N($W296)&gt;0,COUNT($I296:$L296)&gt;0),"Con subactividades: deje vacías las semanas (se calculan solas)"&amp;" · ","")&amp;IF((COUNTIF($I296:$L296,"&gt;1")+COUNTIF($I296:$L296,"&lt;0")+COUNTA($I296:$L296)-COUNT($I296:$L296))&gt;0,"Avance fuera de rango 0-100%"&amp;" · ","")&amp;IF(OR(AND($J296&lt;&gt;"",$J296&lt;$I296),AND($K296&lt;&gt;"",$K296&lt;MAX($I296:$J296)),AND($L296&lt;&gt;"",$L296&lt;MAX($I296:$K296))),"Avance semanal decreciente"&amp;" · ","")&amp;IF(AND(ISNUMBER($AN296),$AN296&lt;FechaRef,IF($V296="Sub",N($X296),N($M296))&lt;1),"Vencida"&amp;" · ","")&amp;IF(AND(ObsObligatoria="Sí",ISNUMBER($AN296),$AN296&lt;FechaRef,IF($V296="Sub",N($X296),N($M296))&lt;1,$Q296=""),"Vencida sin observación"&amp;" · ",""))-3)))</f>
        <v/>
      </c>
      <c r="S296" s="64">
        <f>IF(NOT((COUNTA($B296:$D296)+COUNTA($G296:$L296)+COUNTA($Q296))&gt;0),"",IF(AND($V296="Sub",N($U296)&gt;0),IF(ISNUMBER(INDEX($AM$5:$AM$1000,$U296-4)),DATE(YEAR(INDEX($AM$5:$AM$1000,$U296-4)),MONTH(INDEX($AM$5:$AM$1000,$U296-4)),1),IF(ISNUMBER(INDEX($AN$5:$AN$1000,$U296-4)),DATE(YEAR(INDEX($AN$5:$AN$1000,$U296-4)),MONTH(INDEX($AN$5:$AN$1000,$U296-4)),1),MesCiclo)),IF(ISNUMBER($AM296),DATE(YEAR($AM296),MONTH($AM296),1),IF(ISNUMBER($AN296),DATE(YEAR($AN296),MONTH($AN296),1),MesCiclo))))</f>
        <v/>
      </c>
      <c r="T296" s="62">
        <f>IF(OR($S296="",$S296&lt;&gt;MesCiclo,$V296&lt;&gt;"Macro"),"",COUNTIFS($S$5:$S296,MesCiclo,$V$5:$V296,"Macro"))</f>
        <v/>
      </c>
      <c r="U296" s="62">
        <f>IF($V296="","",IF($V296="Macro",ROW(),IFERROR(LOOKUP(2,1/($V$5:$V296="Macro"),ROW($V$5:$V296)),0)))</f>
        <v/>
      </c>
      <c r="V296" s="62">
        <f>IF(NOT((COUNTA($B296:$D296)+COUNTA($G296:$L296)+COUNTA($Q296))&gt;0),"",IF($B296="Subactividad","Sub","Macro"))</f>
        <v/>
      </c>
      <c r="W296" s="62">
        <f>IF($V296="Macro",COUNTIFS($U$5:$U$1000,ROW(),$V$5:$V$1000,"Sub"),"")</f>
        <v/>
      </c>
      <c r="X296" s="62">
        <f>IF($V296="","",IF(ISNUMBER($G296),1,IFERROR(LOOKUP(2,1/($I296:$L296&lt;&gt;""),$I296:$L296),0)))</f>
        <v/>
      </c>
      <c r="Y296" s="62">
        <f>IF($V296="","",IF(AND(ISNUMBER($G296),$G296&lt;=IF($S296=MesCiclo,InicioCiclo,$S296+MOD(2-WEEKDAY($S296),7))+6),1,IF(ISNUMBER($I296),$I296,0)))</f>
        <v/>
      </c>
      <c r="Z296" s="62">
        <f>IF($V296="","",IF(AND(ISNUMBER($G296),$G296&lt;=IF($S296=MesCiclo,InicioCiclo,$S296+MOD(2-WEEKDAY($S296),7))+13),1,IF(ISNUMBER($J296),$J296,$Y296)))</f>
        <v/>
      </c>
      <c r="AA296" s="62">
        <f>IF($V296="","",IF(AND(ISNUMBER($G296),$G296&lt;=IF($S296=MesCiclo,InicioCiclo,$S296+MOD(2-WEEKDAY($S296),7))+20),1,IF(ISNUMBER($K296),$K296,$Z296)))</f>
        <v/>
      </c>
      <c r="AB296" s="62">
        <f>IF($V296="","",IF(AND(ISNUMBER($G296),$G296&lt;=IF($S296=MesCiclo,InicioCiclo,$S296+MOD(2-WEEKDAY($S296),7))+27),1,IF(ISNUMBER($L296),$L296,$AA296)))</f>
        <v/>
      </c>
      <c r="AC296" s="62">
        <f>IF($V296="","",IF(AND(ISNUMBER($G296),$G296&lt;=IF($S296=MesCiclo,InicioCiclo,$S296+MOD(2-WEEKDAY($S296),7))+6),1,IF(N($W296)&gt;0,AVERAGEIFS($Y$5:$Y$1000,$U$5:$U$1000,ROW(),$V$5:$V$1000,"Sub"),$Y296)))</f>
        <v/>
      </c>
      <c r="AD296" s="62">
        <f>IF($V296="","",IF(AND(ISNUMBER($G296),$G296&lt;=IF($S296=MesCiclo,InicioCiclo,$S296+MOD(2-WEEKDAY($S296),7))+13),1,IF(N($W296)&gt;0,AVERAGEIFS($Z$5:$Z$1000,$U$5:$U$1000,ROW(),$V$5:$V$1000,"Sub"),$Z296)))</f>
        <v/>
      </c>
      <c r="AE296" s="62">
        <f>IF($V296="","",IF(AND(ISNUMBER($G296),$G296&lt;=IF($S296=MesCiclo,InicioCiclo,$S296+MOD(2-WEEKDAY($S296),7))+20),1,IF(N($W296)&gt;0,AVERAGEIFS($AA$5:$AA$1000,$U$5:$U$1000,ROW(),$V$5:$V$1000,"Sub"),$AA296)))</f>
        <v/>
      </c>
      <c r="AF296" s="62">
        <f>IF($V296="","",IF(AND(ISNUMBER($G296),$G296&lt;=IF($S296=MesCiclo,InicioCiclo,$S296+MOD(2-WEEKDAY($S296),7))+27),1,IF(N($W296)&gt;0,AVERAGEIFS($AB$5:$AB$1000,$U$5:$U$1000,ROW(),$V$5:$V$1000,"Sub"),$AB296)))</f>
        <v/>
      </c>
      <c r="AG296" s="62">
        <f>IF($V296&lt;&gt;"Macro","",IF(COUNTIFS($S$5:$S$1000,$S296,$V$5:$V$1000,"Macro",$H$5:$H$1000,"&gt;0")=0,1/COUNTIFS($S$5:$S$1000,$S296,$V$5:$V$1000,"Macro"),IF(AND(ISNUMBER($H296),N($H296)&gt;0),$H296,SUMIFS($H$5:$H$1000,$S$5:$S$1000,$S296,$V$5:$V$1000,"Macro")/COUNTIFS($S$5:$S$1000,$S296,$V$5:$V$1000,"Macro",$H$5:$H$1000,"&gt;0"))/(COUNTIFS($S$5:$S$1000,$S296,$V$5:$V$1000,"Macro")*SUMIFS($H$5:$H$1000,$S$5:$S$1000,$S296,$V$5:$V$1000,"Macro")/COUNTIFS($S$5:$S$1000,$S296,$V$5:$V$1000,"Macro",$H$5:$H$1000,"&gt;0"))))</f>
        <v/>
      </c>
      <c r="AH296" s="62" t="n"/>
      <c r="AI296" s="62" t="n"/>
      <c r="AJ296" s="62" t="n"/>
      <c r="AK296" s="62" t="n"/>
      <c r="AL296" s="62">
        <f>IF(LEFT($C296,11)="[Jefatura] ",IFERROR(MATCH("Riesgo Financiero|"&amp;MID($C296,12,500),rDname_ADM,0),0),"")</f>
        <v/>
      </c>
      <c r="AM296" s="62">
        <f>IF(N($AL296)&gt;0,INDEX(rIni_ADM,$AL296),IF(ISNUMBER($E296),$E296,""))</f>
        <v/>
      </c>
      <c r="AN296" s="62">
        <f>IF(N($AL296)&gt;0,INDEX(rLim_ADM,$AL296),IF(ISNUMBER($F296),$F296,""))</f>
        <v/>
      </c>
    </row>
    <row r="297">
      <c r="A297" s="56">
        <f>IF(NOT((COUNTA($B297:$D297)+COUNTA($G297:$L297)+COUNTA($Q297))&gt;0),"",IF($V297="Macro",COUNTIFS($V$5:$V297,"Macro",$S$5:$S297,$S297),IF(N($U297)=0,"?",COUNTIFS(INDEX($V$5:$V$1000,1):INDEX($V$5:$V$1000,$U297-4),"Macro",INDEX($S$5:$S$1000,1):INDEX($S$5:$S$1000,$U297-4),INDEX($S$5:$S$1000,$U297-4))&amp;"."&amp;COUNTIFS($U$5:$U297,$U297,$V$5:$V297,"Sub"))))</f>
        <v/>
      </c>
      <c r="B297" s="57" t="n"/>
      <c r="C297" s="58" t="n"/>
      <c r="D297" s="58" t="n"/>
      <c r="E297" s="59">
        <f>IF(N($AL297)&gt;0,INDEX(rIni_ADM,$AL297),"")</f>
        <v/>
      </c>
      <c r="F297" s="59">
        <f>IF(N($AL297)&gt;0,INDEX(rLim_ADM,$AL297),"")</f>
        <v/>
      </c>
      <c r="G297" s="59" t="n"/>
      <c r="H297" s="60" t="n"/>
      <c r="I297" s="60" t="n"/>
      <c r="J297" s="60" t="n"/>
      <c r="K297" s="60" t="n"/>
      <c r="L297" s="60" t="n"/>
      <c r="M297" s="61">
        <f>IF(NOT((COUNTA($B297:$D297)+COUNTA($G297:$L297)+COUNTA($Q297))&gt;0),"",IF($V297="Sub",IFERROR($X297/INDEX($W$5:$W$1000,$U297-4),""),IF(ISNUMBER($G297),1,IF(N($W297)&gt;0,AVERAGEIFS($X$5:$X$1000,$U$5:$U$1000,ROW(),$V$5:$V$1000,"Sub"),$X297))))</f>
        <v/>
      </c>
      <c r="N297" s="56">
        <f>IF(OR($M297="",$V297="Sub"),"",IF($M297&gt;=1,"Completado",IF($M297&gt;0,"En curso","Pendiente")))</f>
        <v/>
      </c>
      <c r="O297" s="56">
        <f>IF(OR(NOT((COUNTA($B297:$D297)+COUNTA($G297:$L297)+COUNTA($Q297))&gt;0),$V297="Sub"),"",IF(ISNUMBER($G297),IF(AND(ISNUMBER($AN297),$G297&gt;$AN297),"Cumplida con "&amp;($G297-$AN297)&amp;IF($G297-$AN297=1," día"," días")&amp;" de retraso","Cumplida"),IF(N($M297)&gt;=1,"Cumplida",IF(NOT(ISNUMBER($AN297)),"Sin fecha límite",IF($AN297&lt;FechaRef,"Vencida hace "&amp;(FechaRef-$AN297)&amp;IF(FechaRef-$AN297=1," día"," días"),IF($AN297=FechaRef,"Vence hoy",IF($AN297-FechaRef&lt;=DiasAlerta,"Vence en "&amp;($AN297-FechaRef)&amp;IF($AN297-FechaRef=1," día"," días"),"En plazo")))))))</f>
        <v/>
      </c>
      <c r="P297" s="62" t="n"/>
      <c r="Q297" s="58" t="n"/>
      <c r="R297" s="63">
        <f>IF(NOT((COUNTA($B297:$D297)+COUNTA($G297:$L297)+COUNTA($Q297))&gt;0),"",IF((IF($C297="","Falta el nombre de la actividad"&amp;" · ","")&amp;IF(AND($V297="Sub",N($U297)=0),"Subactividad sin macroactividad arriba"&amp;" · ","")&amp;IF($AM297="","Sin fecha de inicio"&amp;" · ","")&amp;IF($AN297="","Sin fecha límite"&amp;" · ","")&amp;IF(AND(LEFT($C297,11)="[Jefatura] ",N($AL297)=0),"No se encuentra en la hoja de la jefatura (elíjala de nuevo en la lista)"&amp;" · ","")&amp;IF(OR(AND($E297&lt;&gt;"",NOT(ISNUMBER($E297))),AND($F297&lt;&gt;"",NOT(ISNUMBER($F297))),AND($G297&lt;&gt;"",NOT(ISNUMBER($G297)))),"Fecha no válida"&amp;" · ","")&amp;IF(AND(ISNUMBER($AM297),ISNUMBER($AN297),$AM297&gt;$AN297),"Inicio posterior a fecha límite"&amp;" · ","")&amp;IF(AND($V297="Macro",$H297&lt;&gt;"",OR(NOT(ISNUMBER($H297)),$H297&lt;0,$H297&gt;1)),"Peso fuera de rango"&amp;" · ","")&amp;IF(AND($V297="Sub",$H297&lt;&gt;""),"Las subactividades no llevan peso (valen igual dentro de su macroactividad)"&amp;" · ","")&amp;IF(AND(N($W297)&gt;0,COUNT($I297:$L297)&gt;0),"Con subactividades: deje vacías las semanas (se calculan solas)"&amp;" · ","")&amp;IF((COUNTIF($I297:$L297,"&gt;1")+COUNTIF($I297:$L297,"&lt;0")+COUNTA($I297:$L297)-COUNT($I297:$L297))&gt;0,"Avance fuera de rango 0-100%"&amp;" · ","")&amp;IF(OR(AND($J297&lt;&gt;"",$J297&lt;$I297),AND($K297&lt;&gt;"",$K297&lt;MAX($I297:$J297)),AND($L297&lt;&gt;"",$L297&lt;MAX($I297:$K297))),"Avance semanal decreciente"&amp;" · ","")&amp;IF(AND(ISNUMBER($AN297),$AN297&lt;FechaRef,IF($V297="Sub",N($X297),N($M297))&lt;1),"Vencida"&amp;" · ","")&amp;IF(AND(ObsObligatoria="Sí",ISNUMBER($AN297),$AN297&lt;FechaRef,IF($V297="Sub",N($X297),N($M297))&lt;1,$Q297=""),"Vencida sin observación"&amp;" · ",""))="","✔ OK","⚠ "&amp;LEFT(IF($C297="","Falta el nombre de la actividad"&amp;" · ","")&amp;IF(AND($V297="Sub",N($U297)=0),"Subactividad sin macroactividad arriba"&amp;" · ","")&amp;IF($AM297="","Sin fecha de inicio"&amp;" · ","")&amp;IF($AN297="","Sin fecha límite"&amp;" · ","")&amp;IF(AND(LEFT($C297,11)="[Jefatura] ",N($AL297)=0),"No se encuentra en la hoja de la jefatura (elíjala de nuevo en la lista)"&amp;" · ","")&amp;IF(OR(AND($E297&lt;&gt;"",NOT(ISNUMBER($E297))),AND($F297&lt;&gt;"",NOT(ISNUMBER($F297))),AND($G297&lt;&gt;"",NOT(ISNUMBER($G297)))),"Fecha no válida"&amp;" · ","")&amp;IF(AND(ISNUMBER($AM297),ISNUMBER($AN297),$AM297&gt;$AN297),"Inicio posterior a fecha límite"&amp;" · ","")&amp;IF(AND($V297="Macro",$H297&lt;&gt;"",OR(NOT(ISNUMBER($H297)),$H297&lt;0,$H297&gt;1)),"Peso fuera de rango"&amp;" · ","")&amp;IF(AND($V297="Sub",$H297&lt;&gt;""),"Las subactividades no llevan peso (valen igual dentro de su macroactividad)"&amp;" · ","")&amp;IF(AND(N($W297)&gt;0,COUNT($I297:$L297)&gt;0),"Con subactividades: deje vacías las semanas (se calculan solas)"&amp;" · ","")&amp;IF((COUNTIF($I297:$L297,"&gt;1")+COUNTIF($I297:$L297,"&lt;0")+COUNTA($I297:$L297)-COUNT($I297:$L297))&gt;0,"Avance fuera de rango 0-100%"&amp;" · ","")&amp;IF(OR(AND($J297&lt;&gt;"",$J297&lt;$I297),AND($K297&lt;&gt;"",$K297&lt;MAX($I297:$J297)),AND($L297&lt;&gt;"",$L297&lt;MAX($I297:$K297))),"Avance semanal decreciente"&amp;" · ","")&amp;IF(AND(ISNUMBER($AN297),$AN297&lt;FechaRef,IF($V297="Sub",N($X297),N($M297))&lt;1),"Vencida"&amp;" · ","")&amp;IF(AND(ObsObligatoria="Sí",ISNUMBER($AN297),$AN297&lt;FechaRef,IF($V297="Sub",N($X297),N($M297))&lt;1,$Q297=""),"Vencida sin observación"&amp;" · ",""),LEN(IF($C297="","Falta el nombre de la actividad"&amp;" · ","")&amp;IF(AND($V297="Sub",N($U297)=0),"Subactividad sin macroactividad arriba"&amp;" · ","")&amp;IF($AM297="","Sin fecha de inicio"&amp;" · ","")&amp;IF($AN297="","Sin fecha límite"&amp;" · ","")&amp;IF(AND(LEFT($C297,11)="[Jefatura] ",N($AL297)=0),"No se encuentra en la hoja de la jefatura (elíjala de nuevo en la lista)"&amp;" · ","")&amp;IF(OR(AND($E297&lt;&gt;"",NOT(ISNUMBER($E297))),AND($F297&lt;&gt;"",NOT(ISNUMBER($F297))),AND($G297&lt;&gt;"",NOT(ISNUMBER($G297)))),"Fecha no válida"&amp;" · ","")&amp;IF(AND(ISNUMBER($AM297),ISNUMBER($AN297),$AM297&gt;$AN297),"Inicio posterior a fecha límite"&amp;" · ","")&amp;IF(AND($V297="Macro",$H297&lt;&gt;"",OR(NOT(ISNUMBER($H297)),$H297&lt;0,$H297&gt;1)),"Peso fuera de rango"&amp;" · ","")&amp;IF(AND($V297="Sub",$H297&lt;&gt;""),"Las subactividades no llevan peso (valen igual dentro de su macroactividad)"&amp;" · ","")&amp;IF(AND(N($W297)&gt;0,COUNT($I297:$L297)&gt;0),"Con subactividades: deje vacías las semanas (se calculan solas)"&amp;" · ","")&amp;IF((COUNTIF($I297:$L297,"&gt;1")+COUNTIF($I297:$L297,"&lt;0")+COUNTA($I297:$L297)-COUNT($I297:$L297))&gt;0,"Avance fuera de rango 0-100%"&amp;" · ","")&amp;IF(OR(AND($J297&lt;&gt;"",$J297&lt;$I297),AND($K297&lt;&gt;"",$K297&lt;MAX($I297:$J297)),AND($L297&lt;&gt;"",$L297&lt;MAX($I297:$K297))),"Avance semanal decreciente"&amp;" · ","")&amp;IF(AND(ISNUMBER($AN297),$AN297&lt;FechaRef,IF($V297="Sub",N($X297),N($M297))&lt;1),"Vencida"&amp;" · ","")&amp;IF(AND(ObsObligatoria="Sí",ISNUMBER($AN297),$AN297&lt;FechaRef,IF($V297="Sub",N($X297),N($M297))&lt;1,$Q297=""),"Vencida sin observación"&amp;" · ",""))-3)))</f>
        <v/>
      </c>
      <c r="S297" s="64">
        <f>IF(NOT((COUNTA($B297:$D297)+COUNTA($G297:$L297)+COUNTA($Q297))&gt;0),"",IF(AND($V297="Sub",N($U297)&gt;0),IF(ISNUMBER(INDEX($AM$5:$AM$1000,$U297-4)),DATE(YEAR(INDEX($AM$5:$AM$1000,$U297-4)),MONTH(INDEX($AM$5:$AM$1000,$U297-4)),1),IF(ISNUMBER(INDEX($AN$5:$AN$1000,$U297-4)),DATE(YEAR(INDEX($AN$5:$AN$1000,$U297-4)),MONTH(INDEX($AN$5:$AN$1000,$U297-4)),1),MesCiclo)),IF(ISNUMBER($AM297),DATE(YEAR($AM297),MONTH($AM297),1),IF(ISNUMBER($AN297),DATE(YEAR($AN297),MONTH($AN297),1),MesCiclo))))</f>
        <v/>
      </c>
      <c r="T297" s="62">
        <f>IF(OR($S297="",$S297&lt;&gt;MesCiclo,$V297&lt;&gt;"Macro"),"",COUNTIFS($S$5:$S297,MesCiclo,$V$5:$V297,"Macro"))</f>
        <v/>
      </c>
      <c r="U297" s="62">
        <f>IF($V297="","",IF($V297="Macro",ROW(),IFERROR(LOOKUP(2,1/($V$5:$V297="Macro"),ROW($V$5:$V297)),0)))</f>
        <v/>
      </c>
      <c r="V297" s="62">
        <f>IF(NOT((COUNTA($B297:$D297)+COUNTA($G297:$L297)+COUNTA($Q297))&gt;0),"",IF($B297="Subactividad","Sub","Macro"))</f>
        <v/>
      </c>
      <c r="W297" s="62">
        <f>IF($V297="Macro",COUNTIFS($U$5:$U$1000,ROW(),$V$5:$V$1000,"Sub"),"")</f>
        <v/>
      </c>
      <c r="X297" s="62">
        <f>IF($V297="","",IF(ISNUMBER($G297),1,IFERROR(LOOKUP(2,1/($I297:$L297&lt;&gt;""),$I297:$L297),0)))</f>
        <v/>
      </c>
      <c r="Y297" s="62">
        <f>IF($V297="","",IF(AND(ISNUMBER($G297),$G297&lt;=IF($S297=MesCiclo,InicioCiclo,$S297+MOD(2-WEEKDAY($S297),7))+6),1,IF(ISNUMBER($I297),$I297,0)))</f>
        <v/>
      </c>
      <c r="Z297" s="62">
        <f>IF($V297="","",IF(AND(ISNUMBER($G297),$G297&lt;=IF($S297=MesCiclo,InicioCiclo,$S297+MOD(2-WEEKDAY($S297),7))+13),1,IF(ISNUMBER($J297),$J297,$Y297)))</f>
        <v/>
      </c>
      <c r="AA297" s="62">
        <f>IF($V297="","",IF(AND(ISNUMBER($G297),$G297&lt;=IF($S297=MesCiclo,InicioCiclo,$S297+MOD(2-WEEKDAY($S297),7))+20),1,IF(ISNUMBER($K297),$K297,$Z297)))</f>
        <v/>
      </c>
      <c r="AB297" s="62">
        <f>IF($V297="","",IF(AND(ISNUMBER($G297),$G297&lt;=IF($S297=MesCiclo,InicioCiclo,$S297+MOD(2-WEEKDAY($S297),7))+27),1,IF(ISNUMBER($L297),$L297,$AA297)))</f>
        <v/>
      </c>
      <c r="AC297" s="62">
        <f>IF($V297="","",IF(AND(ISNUMBER($G297),$G297&lt;=IF($S297=MesCiclo,InicioCiclo,$S297+MOD(2-WEEKDAY($S297),7))+6),1,IF(N($W297)&gt;0,AVERAGEIFS($Y$5:$Y$1000,$U$5:$U$1000,ROW(),$V$5:$V$1000,"Sub"),$Y297)))</f>
        <v/>
      </c>
      <c r="AD297" s="62">
        <f>IF($V297="","",IF(AND(ISNUMBER($G297),$G297&lt;=IF($S297=MesCiclo,InicioCiclo,$S297+MOD(2-WEEKDAY($S297),7))+13),1,IF(N($W297)&gt;0,AVERAGEIFS($Z$5:$Z$1000,$U$5:$U$1000,ROW(),$V$5:$V$1000,"Sub"),$Z297)))</f>
        <v/>
      </c>
      <c r="AE297" s="62">
        <f>IF($V297="","",IF(AND(ISNUMBER($G297),$G297&lt;=IF($S297=MesCiclo,InicioCiclo,$S297+MOD(2-WEEKDAY($S297),7))+20),1,IF(N($W297)&gt;0,AVERAGEIFS($AA$5:$AA$1000,$U$5:$U$1000,ROW(),$V$5:$V$1000,"Sub"),$AA297)))</f>
        <v/>
      </c>
      <c r="AF297" s="62">
        <f>IF($V297="","",IF(AND(ISNUMBER($G297),$G297&lt;=IF($S297=MesCiclo,InicioCiclo,$S297+MOD(2-WEEKDAY($S297),7))+27),1,IF(N($W297)&gt;0,AVERAGEIFS($AB$5:$AB$1000,$U$5:$U$1000,ROW(),$V$5:$V$1000,"Sub"),$AB297)))</f>
        <v/>
      </c>
      <c r="AG297" s="62">
        <f>IF($V297&lt;&gt;"Macro","",IF(COUNTIFS($S$5:$S$1000,$S297,$V$5:$V$1000,"Macro",$H$5:$H$1000,"&gt;0")=0,1/COUNTIFS($S$5:$S$1000,$S297,$V$5:$V$1000,"Macro"),IF(AND(ISNUMBER($H297),N($H297)&gt;0),$H297,SUMIFS($H$5:$H$1000,$S$5:$S$1000,$S297,$V$5:$V$1000,"Macro")/COUNTIFS($S$5:$S$1000,$S297,$V$5:$V$1000,"Macro",$H$5:$H$1000,"&gt;0"))/(COUNTIFS($S$5:$S$1000,$S297,$V$5:$V$1000,"Macro")*SUMIFS($H$5:$H$1000,$S$5:$S$1000,$S297,$V$5:$V$1000,"Macro")/COUNTIFS($S$5:$S$1000,$S297,$V$5:$V$1000,"Macro",$H$5:$H$1000,"&gt;0"))))</f>
        <v/>
      </c>
      <c r="AH297" s="62" t="n"/>
      <c r="AI297" s="62" t="n"/>
      <c r="AJ297" s="62" t="n"/>
      <c r="AK297" s="62" t="n"/>
      <c r="AL297" s="62">
        <f>IF(LEFT($C297,11)="[Jefatura] ",IFERROR(MATCH("Riesgo Financiero|"&amp;MID($C297,12,500),rDname_ADM,0),0),"")</f>
        <v/>
      </c>
      <c r="AM297" s="62">
        <f>IF(N($AL297)&gt;0,INDEX(rIni_ADM,$AL297),IF(ISNUMBER($E297),$E297,""))</f>
        <v/>
      </c>
      <c r="AN297" s="62">
        <f>IF(N($AL297)&gt;0,INDEX(rLim_ADM,$AL297),IF(ISNUMBER($F297),$F297,""))</f>
        <v/>
      </c>
    </row>
    <row r="298">
      <c r="A298" s="56">
        <f>IF(NOT((COUNTA($B298:$D298)+COUNTA($G298:$L298)+COUNTA($Q298))&gt;0),"",IF($V298="Macro",COUNTIFS($V$5:$V298,"Macro",$S$5:$S298,$S298),IF(N($U298)=0,"?",COUNTIFS(INDEX($V$5:$V$1000,1):INDEX($V$5:$V$1000,$U298-4),"Macro",INDEX($S$5:$S$1000,1):INDEX($S$5:$S$1000,$U298-4),INDEX($S$5:$S$1000,$U298-4))&amp;"."&amp;COUNTIFS($U$5:$U298,$U298,$V$5:$V298,"Sub"))))</f>
        <v/>
      </c>
      <c r="B298" s="57" t="n"/>
      <c r="C298" s="58" t="n"/>
      <c r="D298" s="58" t="n"/>
      <c r="E298" s="59">
        <f>IF(N($AL298)&gt;0,INDEX(rIni_ADM,$AL298),"")</f>
        <v/>
      </c>
      <c r="F298" s="59">
        <f>IF(N($AL298)&gt;0,INDEX(rLim_ADM,$AL298),"")</f>
        <v/>
      </c>
      <c r="G298" s="59" t="n"/>
      <c r="H298" s="60" t="n"/>
      <c r="I298" s="60" t="n"/>
      <c r="J298" s="60" t="n"/>
      <c r="K298" s="60" t="n"/>
      <c r="L298" s="60" t="n"/>
      <c r="M298" s="61">
        <f>IF(NOT((COUNTA($B298:$D298)+COUNTA($G298:$L298)+COUNTA($Q298))&gt;0),"",IF($V298="Sub",IFERROR($X298/INDEX($W$5:$W$1000,$U298-4),""),IF(ISNUMBER($G298),1,IF(N($W298)&gt;0,AVERAGEIFS($X$5:$X$1000,$U$5:$U$1000,ROW(),$V$5:$V$1000,"Sub"),$X298))))</f>
        <v/>
      </c>
      <c r="N298" s="56">
        <f>IF(OR($M298="",$V298="Sub"),"",IF($M298&gt;=1,"Completado",IF($M298&gt;0,"En curso","Pendiente")))</f>
        <v/>
      </c>
      <c r="O298" s="56">
        <f>IF(OR(NOT((COUNTA($B298:$D298)+COUNTA($G298:$L298)+COUNTA($Q298))&gt;0),$V298="Sub"),"",IF(ISNUMBER($G298),IF(AND(ISNUMBER($AN298),$G298&gt;$AN298),"Cumplida con "&amp;($G298-$AN298)&amp;IF($G298-$AN298=1," día"," días")&amp;" de retraso","Cumplida"),IF(N($M298)&gt;=1,"Cumplida",IF(NOT(ISNUMBER($AN298)),"Sin fecha límite",IF($AN298&lt;FechaRef,"Vencida hace "&amp;(FechaRef-$AN298)&amp;IF(FechaRef-$AN298=1," día"," días"),IF($AN298=FechaRef,"Vence hoy",IF($AN298-FechaRef&lt;=DiasAlerta,"Vence en "&amp;($AN298-FechaRef)&amp;IF($AN298-FechaRef=1," día"," días"),"En plazo")))))))</f>
        <v/>
      </c>
      <c r="P298" s="62" t="n"/>
      <c r="Q298" s="58" t="n"/>
      <c r="R298" s="63">
        <f>IF(NOT((COUNTA($B298:$D298)+COUNTA($G298:$L298)+COUNTA($Q298))&gt;0),"",IF((IF($C298="","Falta el nombre de la actividad"&amp;" · ","")&amp;IF(AND($V298="Sub",N($U298)=0),"Subactividad sin macroactividad arriba"&amp;" · ","")&amp;IF($AM298="","Sin fecha de inicio"&amp;" · ","")&amp;IF($AN298="","Sin fecha límite"&amp;" · ","")&amp;IF(AND(LEFT($C298,11)="[Jefatura] ",N($AL298)=0),"No se encuentra en la hoja de la jefatura (elíjala de nuevo en la lista)"&amp;" · ","")&amp;IF(OR(AND($E298&lt;&gt;"",NOT(ISNUMBER($E298))),AND($F298&lt;&gt;"",NOT(ISNUMBER($F298))),AND($G298&lt;&gt;"",NOT(ISNUMBER($G298)))),"Fecha no válida"&amp;" · ","")&amp;IF(AND(ISNUMBER($AM298),ISNUMBER($AN298),$AM298&gt;$AN298),"Inicio posterior a fecha límite"&amp;" · ","")&amp;IF(AND($V298="Macro",$H298&lt;&gt;"",OR(NOT(ISNUMBER($H298)),$H298&lt;0,$H298&gt;1)),"Peso fuera de rango"&amp;" · ","")&amp;IF(AND($V298="Sub",$H298&lt;&gt;""),"Las subactividades no llevan peso (valen igual dentro de su macroactividad)"&amp;" · ","")&amp;IF(AND(N($W298)&gt;0,COUNT($I298:$L298)&gt;0),"Con subactividades: deje vacías las semanas (se calculan solas)"&amp;" · ","")&amp;IF((COUNTIF($I298:$L298,"&gt;1")+COUNTIF($I298:$L298,"&lt;0")+COUNTA($I298:$L298)-COUNT($I298:$L298))&gt;0,"Avance fuera de rango 0-100%"&amp;" · ","")&amp;IF(OR(AND($J298&lt;&gt;"",$J298&lt;$I298),AND($K298&lt;&gt;"",$K298&lt;MAX($I298:$J298)),AND($L298&lt;&gt;"",$L298&lt;MAX($I298:$K298))),"Avance semanal decreciente"&amp;" · ","")&amp;IF(AND(ISNUMBER($AN298),$AN298&lt;FechaRef,IF($V298="Sub",N($X298),N($M298))&lt;1),"Vencida"&amp;" · ","")&amp;IF(AND(ObsObligatoria="Sí",ISNUMBER($AN298),$AN298&lt;FechaRef,IF($V298="Sub",N($X298),N($M298))&lt;1,$Q298=""),"Vencida sin observación"&amp;" · ",""))="","✔ OK","⚠ "&amp;LEFT(IF($C298="","Falta el nombre de la actividad"&amp;" · ","")&amp;IF(AND($V298="Sub",N($U298)=0),"Subactividad sin macroactividad arriba"&amp;" · ","")&amp;IF($AM298="","Sin fecha de inicio"&amp;" · ","")&amp;IF($AN298="","Sin fecha límite"&amp;" · ","")&amp;IF(AND(LEFT($C298,11)="[Jefatura] ",N($AL298)=0),"No se encuentra en la hoja de la jefatura (elíjala de nuevo en la lista)"&amp;" · ","")&amp;IF(OR(AND($E298&lt;&gt;"",NOT(ISNUMBER($E298))),AND($F298&lt;&gt;"",NOT(ISNUMBER($F298))),AND($G298&lt;&gt;"",NOT(ISNUMBER($G298)))),"Fecha no válida"&amp;" · ","")&amp;IF(AND(ISNUMBER($AM298),ISNUMBER($AN298),$AM298&gt;$AN298),"Inicio posterior a fecha límite"&amp;" · ","")&amp;IF(AND($V298="Macro",$H298&lt;&gt;"",OR(NOT(ISNUMBER($H298)),$H298&lt;0,$H298&gt;1)),"Peso fuera de rango"&amp;" · ","")&amp;IF(AND($V298="Sub",$H298&lt;&gt;""),"Las subactividades no llevan peso (valen igual dentro de su macroactividad)"&amp;" · ","")&amp;IF(AND(N($W298)&gt;0,COUNT($I298:$L298)&gt;0),"Con subactividades: deje vacías las semanas (se calculan solas)"&amp;" · ","")&amp;IF((COUNTIF($I298:$L298,"&gt;1")+COUNTIF($I298:$L298,"&lt;0")+COUNTA($I298:$L298)-COUNT($I298:$L298))&gt;0,"Avance fuera de rango 0-100%"&amp;" · ","")&amp;IF(OR(AND($J298&lt;&gt;"",$J298&lt;$I298),AND($K298&lt;&gt;"",$K298&lt;MAX($I298:$J298)),AND($L298&lt;&gt;"",$L298&lt;MAX($I298:$K298))),"Avance semanal decreciente"&amp;" · ","")&amp;IF(AND(ISNUMBER($AN298),$AN298&lt;FechaRef,IF($V298="Sub",N($X298),N($M298))&lt;1),"Vencida"&amp;" · ","")&amp;IF(AND(ObsObligatoria="Sí",ISNUMBER($AN298),$AN298&lt;FechaRef,IF($V298="Sub",N($X298),N($M298))&lt;1,$Q298=""),"Vencida sin observación"&amp;" · ",""),LEN(IF($C298="","Falta el nombre de la actividad"&amp;" · ","")&amp;IF(AND($V298="Sub",N($U298)=0),"Subactividad sin macroactividad arriba"&amp;" · ","")&amp;IF($AM298="","Sin fecha de inicio"&amp;" · ","")&amp;IF($AN298="","Sin fecha límite"&amp;" · ","")&amp;IF(AND(LEFT($C298,11)="[Jefatura] ",N($AL298)=0),"No se encuentra en la hoja de la jefatura (elíjala de nuevo en la lista)"&amp;" · ","")&amp;IF(OR(AND($E298&lt;&gt;"",NOT(ISNUMBER($E298))),AND($F298&lt;&gt;"",NOT(ISNUMBER($F298))),AND($G298&lt;&gt;"",NOT(ISNUMBER($G298)))),"Fecha no válida"&amp;" · ","")&amp;IF(AND(ISNUMBER($AM298),ISNUMBER($AN298),$AM298&gt;$AN298),"Inicio posterior a fecha límite"&amp;" · ","")&amp;IF(AND($V298="Macro",$H298&lt;&gt;"",OR(NOT(ISNUMBER($H298)),$H298&lt;0,$H298&gt;1)),"Peso fuera de rango"&amp;" · ","")&amp;IF(AND($V298="Sub",$H298&lt;&gt;""),"Las subactividades no llevan peso (valen igual dentro de su macroactividad)"&amp;" · ","")&amp;IF(AND(N($W298)&gt;0,COUNT($I298:$L298)&gt;0),"Con subactividades: deje vacías las semanas (se calculan solas)"&amp;" · ","")&amp;IF((COUNTIF($I298:$L298,"&gt;1")+COUNTIF($I298:$L298,"&lt;0")+COUNTA($I298:$L298)-COUNT($I298:$L298))&gt;0,"Avance fuera de rango 0-100%"&amp;" · ","")&amp;IF(OR(AND($J298&lt;&gt;"",$J298&lt;$I298),AND($K298&lt;&gt;"",$K298&lt;MAX($I298:$J298)),AND($L298&lt;&gt;"",$L298&lt;MAX($I298:$K298))),"Avance semanal decreciente"&amp;" · ","")&amp;IF(AND(ISNUMBER($AN298),$AN298&lt;FechaRef,IF($V298="Sub",N($X298),N($M298))&lt;1),"Vencida"&amp;" · ","")&amp;IF(AND(ObsObligatoria="Sí",ISNUMBER($AN298),$AN298&lt;FechaRef,IF($V298="Sub",N($X298),N($M298))&lt;1,$Q298=""),"Vencida sin observación"&amp;" · ",""))-3)))</f>
        <v/>
      </c>
      <c r="S298" s="64">
        <f>IF(NOT((COUNTA($B298:$D298)+COUNTA($G298:$L298)+COUNTA($Q298))&gt;0),"",IF(AND($V298="Sub",N($U298)&gt;0),IF(ISNUMBER(INDEX($AM$5:$AM$1000,$U298-4)),DATE(YEAR(INDEX($AM$5:$AM$1000,$U298-4)),MONTH(INDEX($AM$5:$AM$1000,$U298-4)),1),IF(ISNUMBER(INDEX($AN$5:$AN$1000,$U298-4)),DATE(YEAR(INDEX($AN$5:$AN$1000,$U298-4)),MONTH(INDEX($AN$5:$AN$1000,$U298-4)),1),MesCiclo)),IF(ISNUMBER($AM298),DATE(YEAR($AM298),MONTH($AM298),1),IF(ISNUMBER($AN298),DATE(YEAR($AN298),MONTH($AN298),1),MesCiclo))))</f>
        <v/>
      </c>
      <c r="T298" s="62">
        <f>IF(OR($S298="",$S298&lt;&gt;MesCiclo,$V298&lt;&gt;"Macro"),"",COUNTIFS($S$5:$S298,MesCiclo,$V$5:$V298,"Macro"))</f>
        <v/>
      </c>
      <c r="U298" s="62">
        <f>IF($V298="","",IF($V298="Macro",ROW(),IFERROR(LOOKUP(2,1/($V$5:$V298="Macro"),ROW($V$5:$V298)),0)))</f>
        <v/>
      </c>
      <c r="V298" s="62">
        <f>IF(NOT((COUNTA($B298:$D298)+COUNTA($G298:$L298)+COUNTA($Q298))&gt;0),"",IF($B298="Subactividad","Sub","Macro"))</f>
        <v/>
      </c>
      <c r="W298" s="62">
        <f>IF($V298="Macro",COUNTIFS($U$5:$U$1000,ROW(),$V$5:$V$1000,"Sub"),"")</f>
        <v/>
      </c>
      <c r="X298" s="62">
        <f>IF($V298="","",IF(ISNUMBER($G298),1,IFERROR(LOOKUP(2,1/($I298:$L298&lt;&gt;""),$I298:$L298),0)))</f>
        <v/>
      </c>
      <c r="Y298" s="62">
        <f>IF($V298="","",IF(AND(ISNUMBER($G298),$G298&lt;=IF($S298=MesCiclo,InicioCiclo,$S298+MOD(2-WEEKDAY($S298),7))+6),1,IF(ISNUMBER($I298),$I298,0)))</f>
        <v/>
      </c>
      <c r="Z298" s="62">
        <f>IF($V298="","",IF(AND(ISNUMBER($G298),$G298&lt;=IF($S298=MesCiclo,InicioCiclo,$S298+MOD(2-WEEKDAY($S298),7))+13),1,IF(ISNUMBER($J298),$J298,$Y298)))</f>
        <v/>
      </c>
      <c r="AA298" s="62">
        <f>IF($V298="","",IF(AND(ISNUMBER($G298),$G298&lt;=IF($S298=MesCiclo,InicioCiclo,$S298+MOD(2-WEEKDAY($S298),7))+20),1,IF(ISNUMBER($K298),$K298,$Z298)))</f>
        <v/>
      </c>
      <c r="AB298" s="62">
        <f>IF($V298="","",IF(AND(ISNUMBER($G298),$G298&lt;=IF($S298=MesCiclo,InicioCiclo,$S298+MOD(2-WEEKDAY($S298),7))+27),1,IF(ISNUMBER($L298),$L298,$AA298)))</f>
        <v/>
      </c>
      <c r="AC298" s="62">
        <f>IF($V298="","",IF(AND(ISNUMBER($G298),$G298&lt;=IF($S298=MesCiclo,InicioCiclo,$S298+MOD(2-WEEKDAY($S298),7))+6),1,IF(N($W298)&gt;0,AVERAGEIFS($Y$5:$Y$1000,$U$5:$U$1000,ROW(),$V$5:$V$1000,"Sub"),$Y298)))</f>
        <v/>
      </c>
      <c r="AD298" s="62">
        <f>IF($V298="","",IF(AND(ISNUMBER($G298),$G298&lt;=IF($S298=MesCiclo,InicioCiclo,$S298+MOD(2-WEEKDAY($S298),7))+13),1,IF(N($W298)&gt;0,AVERAGEIFS($Z$5:$Z$1000,$U$5:$U$1000,ROW(),$V$5:$V$1000,"Sub"),$Z298)))</f>
        <v/>
      </c>
      <c r="AE298" s="62">
        <f>IF($V298="","",IF(AND(ISNUMBER($G298),$G298&lt;=IF($S298=MesCiclo,InicioCiclo,$S298+MOD(2-WEEKDAY($S298),7))+20),1,IF(N($W298)&gt;0,AVERAGEIFS($AA$5:$AA$1000,$U$5:$U$1000,ROW(),$V$5:$V$1000,"Sub"),$AA298)))</f>
        <v/>
      </c>
      <c r="AF298" s="62">
        <f>IF($V298="","",IF(AND(ISNUMBER($G298),$G298&lt;=IF($S298=MesCiclo,InicioCiclo,$S298+MOD(2-WEEKDAY($S298),7))+27),1,IF(N($W298)&gt;0,AVERAGEIFS($AB$5:$AB$1000,$U$5:$U$1000,ROW(),$V$5:$V$1000,"Sub"),$AB298)))</f>
        <v/>
      </c>
      <c r="AG298" s="62">
        <f>IF($V298&lt;&gt;"Macro","",IF(COUNTIFS($S$5:$S$1000,$S298,$V$5:$V$1000,"Macro",$H$5:$H$1000,"&gt;0")=0,1/COUNTIFS($S$5:$S$1000,$S298,$V$5:$V$1000,"Macro"),IF(AND(ISNUMBER($H298),N($H298)&gt;0),$H298,SUMIFS($H$5:$H$1000,$S$5:$S$1000,$S298,$V$5:$V$1000,"Macro")/COUNTIFS($S$5:$S$1000,$S298,$V$5:$V$1000,"Macro",$H$5:$H$1000,"&gt;0"))/(COUNTIFS($S$5:$S$1000,$S298,$V$5:$V$1000,"Macro")*SUMIFS($H$5:$H$1000,$S$5:$S$1000,$S298,$V$5:$V$1000,"Macro")/COUNTIFS($S$5:$S$1000,$S298,$V$5:$V$1000,"Macro",$H$5:$H$1000,"&gt;0"))))</f>
        <v/>
      </c>
      <c r="AH298" s="62" t="n"/>
      <c r="AI298" s="62" t="n"/>
      <c r="AJ298" s="62" t="n"/>
      <c r="AK298" s="62" t="n"/>
      <c r="AL298" s="62">
        <f>IF(LEFT($C298,11)="[Jefatura] ",IFERROR(MATCH("Riesgo Financiero|"&amp;MID($C298,12,500),rDname_ADM,0),0),"")</f>
        <v/>
      </c>
      <c r="AM298" s="62">
        <f>IF(N($AL298)&gt;0,INDEX(rIni_ADM,$AL298),IF(ISNUMBER($E298),$E298,""))</f>
        <v/>
      </c>
      <c r="AN298" s="62">
        <f>IF(N($AL298)&gt;0,INDEX(rLim_ADM,$AL298),IF(ISNUMBER($F298),$F298,""))</f>
        <v/>
      </c>
    </row>
    <row r="299">
      <c r="A299" s="56">
        <f>IF(NOT((COUNTA($B299:$D299)+COUNTA($G299:$L299)+COUNTA($Q299))&gt;0),"",IF($V299="Macro",COUNTIFS($V$5:$V299,"Macro",$S$5:$S299,$S299),IF(N($U299)=0,"?",COUNTIFS(INDEX($V$5:$V$1000,1):INDEX($V$5:$V$1000,$U299-4),"Macro",INDEX($S$5:$S$1000,1):INDEX($S$5:$S$1000,$U299-4),INDEX($S$5:$S$1000,$U299-4))&amp;"."&amp;COUNTIFS($U$5:$U299,$U299,$V$5:$V299,"Sub"))))</f>
        <v/>
      </c>
      <c r="B299" s="57" t="n"/>
      <c r="C299" s="58" t="n"/>
      <c r="D299" s="58" t="n"/>
      <c r="E299" s="59">
        <f>IF(N($AL299)&gt;0,INDEX(rIni_ADM,$AL299),"")</f>
        <v/>
      </c>
      <c r="F299" s="59">
        <f>IF(N($AL299)&gt;0,INDEX(rLim_ADM,$AL299),"")</f>
        <v/>
      </c>
      <c r="G299" s="59" t="n"/>
      <c r="H299" s="60" t="n"/>
      <c r="I299" s="60" t="n"/>
      <c r="J299" s="60" t="n"/>
      <c r="K299" s="60" t="n"/>
      <c r="L299" s="60" t="n"/>
      <c r="M299" s="61">
        <f>IF(NOT((COUNTA($B299:$D299)+COUNTA($G299:$L299)+COUNTA($Q299))&gt;0),"",IF($V299="Sub",IFERROR($X299/INDEX($W$5:$W$1000,$U299-4),""),IF(ISNUMBER($G299),1,IF(N($W299)&gt;0,AVERAGEIFS($X$5:$X$1000,$U$5:$U$1000,ROW(),$V$5:$V$1000,"Sub"),$X299))))</f>
        <v/>
      </c>
      <c r="N299" s="56">
        <f>IF(OR($M299="",$V299="Sub"),"",IF($M299&gt;=1,"Completado",IF($M299&gt;0,"En curso","Pendiente")))</f>
        <v/>
      </c>
      <c r="O299" s="56">
        <f>IF(OR(NOT((COUNTA($B299:$D299)+COUNTA($G299:$L299)+COUNTA($Q299))&gt;0),$V299="Sub"),"",IF(ISNUMBER($G299),IF(AND(ISNUMBER($AN299),$G299&gt;$AN299),"Cumplida con "&amp;($G299-$AN299)&amp;IF($G299-$AN299=1," día"," días")&amp;" de retraso","Cumplida"),IF(N($M299)&gt;=1,"Cumplida",IF(NOT(ISNUMBER($AN299)),"Sin fecha límite",IF($AN299&lt;FechaRef,"Vencida hace "&amp;(FechaRef-$AN299)&amp;IF(FechaRef-$AN299=1," día"," días"),IF($AN299=FechaRef,"Vence hoy",IF($AN299-FechaRef&lt;=DiasAlerta,"Vence en "&amp;($AN299-FechaRef)&amp;IF($AN299-FechaRef=1," día"," días"),"En plazo")))))))</f>
        <v/>
      </c>
      <c r="P299" s="62" t="n"/>
      <c r="Q299" s="58" t="n"/>
      <c r="R299" s="63">
        <f>IF(NOT((COUNTA($B299:$D299)+COUNTA($G299:$L299)+COUNTA($Q299))&gt;0),"",IF((IF($C299="","Falta el nombre de la actividad"&amp;" · ","")&amp;IF(AND($V299="Sub",N($U299)=0),"Subactividad sin macroactividad arriba"&amp;" · ","")&amp;IF($AM299="","Sin fecha de inicio"&amp;" · ","")&amp;IF($AN299="","Sin fecha límite"&amp;" · ","")&amp;IF(AND(LEFT($C299,11)="[Jefatura] ",N($AL299)=0),"No se encuentra en la hoja de la jefatura (elíjala de nuevo en la lista)"&amp;" · ","")&amp;IF(OR(AND($E299&lt;&gt;"",NOT(ISNUMBER($E299))),AND($F299&lt;&gt;"",NOT(ISNUMBER($F299))),AND($G299&lt;&gt;"",NOT(ISNUMBER($G299)))),"Fecha no válida"&amp;" · ","")&amp;IF(AND(ISNUMBER($AM299),ISNUMBER($AN299),$AM299&gt;$AN299),"Inicio posterior a fecha límite"&amp;" · ","")&amp;IF(AND($V299="Macro",$H299&lt;&gt;"",OR(NOT(ISNUMBER($H299)),$H299&lt;0,$H299&gt;1)),"Peso fuera de rango"&amp;" · ","")&amp;IF(AND($V299="Sub",$H299&lt;&gt;""),"Las subactividades no llevan peso (valen igual dentro de su macroactividad)"&amp;" · ","")&amp;IF(AND(N($W299)&gt;0,COUNT($I299:$L299)&gt;0),"Con subactividades: deje vacías las semanas (se calculan solas)"&amp;" · ","")&amp;IF((COUNTIF($I299:$L299,"&gt;1")+COUNTIF($I299:$L299,"&lt;0")+COUNTA($I299:$L299)-COUNT($I299:$L299))&gt;0,"Avance fuera de rango 0-100%"&amp;" · ","")&amp;IF(OR(AND($J299&lt;&gt;"",$J299&lt;$I299),AND($K299&lt;&gt;"",$K299&lt;MAX($I299:$J299)),AND($L299&lt;&gt;"",$L299&lt;MAX($I299:$K299))),"Avance semanal decreciente"&amp;" · ","")&amp;IF(AND(ISNUMBER($AN299),$AN299&lt;FechaRef,IF($V299="Sub",N($X299),N($M299))&lt;1),"Vencida"&amp;" · ","")&amp;IF(AND(ObsObligatoria="Sí",ISNUMBER($AN299),$AN299&lt;FechaRef,IF($V299="Sub",N($X299),N($M299))&lt;1,$Q299=""),"Vencida sin observación"&amp;" · ",""))="","✔ OK","⚠ "&amp;LEFT(IF($C299="","Falta el nombre de la actividad"&amp;" · ","")&amp;IF(AND($V299="Sub",N($U299)=0),"Subactividad sin macroactividad arriba"&amp;" · ","")&amp;IF($AM299="","Sin fecha de inicio"&amp;" · ","")&amp;IF($AN299="","Sin fecha límite"&amp;" · ","")&amp;IF(AND(LEFT($C299,11)="[Jefatura] ",N($AL299)=0),"No se encuentra en la hoja de la jefatura (elíjala de nuevo en la lista)"&amp;" · ","")&amp;IF(OR(AND($E299&lt;&gt;"",NOT(ISNUMBER($E299))),AND($F299&lt;&gt;"",NOT(ISNUMBER($F299))),AND($G299&lt;&gt;"",NOT(ISNUMBER($G299)))),"Fecha no válida"&amp;" · ","")&amp;IF(AND(ISNUMBER($AM299),ISNUMBER($AN299),$AM299&gt;$AN299),"Inicio posterior a fecha límite"&amp;" · ","")&amp;IF(AND($V299="Macro",$H299&lt;&gt;"",OR(NOT(ISNUMBER($H299)),$H299&lt;0,$H299&gt;1)),"Peso fuera de rango"&amp;" · ","")&amp;IF(AND($V299="Sub",$H299&lt;&gt;""),"Las subactividades no llevan peso (valen igual dentro de su macroactividad)"&amp;" · ","")&amp;IF(AND(N($W299)&gt;0,COUNT($I299:$L299)&gt;0),"Con subactividades: deje vacías las semanas (se calculan solas)"&amp;" · ","")&amp;IF((COUNTIF($I299:$L299,"&gt;1")+COUNTIF($I299:$L299,"&lt;0")+COUNTA($I299:$L299)-COUNT($I299:$L299))&gt;0,"Avance fuera de rango 0-100%"&amp;" · ","")&amp;IF(OR(AND($J299&lt;&gt;"",$J299&lt;$I299),AND($K299&lt;&gt;"",$K299&lt;MAX($I299:$J299)),AND($L299&lt;&gt;"",$L299&lt;MAX($I299:$K299))),"Avance semanal decreciente"&amp;" · ","")&amp;IF(AND(ISNUMBER($AN299),$AN299&lt;FechaRef,IF($V299="Sub",N($X299),N($M299))&lt;1),"Vencida"&amp;" · ","")&amp;IF(AND(ObsObligatoria="Sí",ISNUMBER($AN299),$AN299&lt;FechaRef,IF($V299="Sub",N($X299),N($M299))&lt;1,$Q299=""),"Vencida sin observación"&amp;" · ",""),LEN(IF($C299="","Falta el nombre de la actividad"&amp;" · ","")&amp;IF(AND($V299="Sub",N($U299)=0),"Subactividad sin macroactividad arriba"&amp;" · ","")&amp;IF($AM299="","Sin fecha de inicio"&amp;" · ","")&amp;IF($AN299="","Sin fecha límite"&amp;" · ","")&amp;IF(AND(LEFT($C299,11)="[Jefatura] ",N($AL299)=0),"No se encuentra en la hoja de la jefatura (elíjala de nuevo en la lista)"&amp;" · ","")&amp;IF(OR(AND($E299&lt;&gt;"",NOT(ISNUMBER($E299))),AND($F299&lt;&gt;"",NOT(ISNUMBER($F299))),AND($G299&lt;&gt;"",NOT(ISNUMBER($G299)))),"Fecha no válida"&amp;" · ","")&amp;IF(AND(ISNUMBER($AM299),ISNUMBER($AN299),$AM299&gt;$AN299),"Inicio posterior a fecha límite"&amp;" · ","")&amp;IF(AND($V299="Macro",$H299&lt;&gt;"",OR(NOT(ISNUMBER($H299)),$H299&lt;0,$H299&gt;1)),"Peso fuera de rango"&amp;" · ","")&amp;IF(AND($V299="Sub",$H299&lt;&gt;""),"Las subactividades no llevan peso (valen igual dentro de su macroactividad)"&amp;" · ","")&amp;IF(AND(N($W299)&gt;0,COUNT($I299:$L299)&gt;0),"Con subactividades: deje vacías las semanas (se calculan solas)"&amp;" · ","")&amp;IF((COUNTIF($I299:$L299,"&gt;1")+COUNTIF($I299:$L299,"&lt;0")+COUNTA($I299:$L299)-COUNT($I299:$L299))&gt;0,"Avance fuera de rango 0-100%"&amp;" · ","")&amp;IF(OR(AND($J299&lt;&gt;"",$J299&lt;$I299),AND($K299&lt;&gt;"",$K299&lt;MAX($I299:$J299)),AND($L299&lt;&gt;"",$L299&lt;MAX($I299:$K299))),"Avance semanal decreciente"&amp;" · ","")&amp;IF(AND(ISNUMBER($AN299),$AN299&lt;FechaRef,IF($V299="Sub",N($X299),N($M299))&lt;1),"Vencida"&amp;" · ","")&amp;IF(AND(ObsObligatoria="Sí",ISNUMBER($AN299),$AN299&lt;FechaRef,IF($V299="Sub",N($X299),N($M299))&lt;1,$Q299=""),"Vencida sin observación"&amp;" · ",""))-3)))</f>
        <v/>
      </c>
      <c r="S299" s="64">
        <f>IF(NOT((COUNTA($B299:$D299)+COUNTA($G299:$L299)+COUNTA($Q299))&gt;0),"",IF(AND($V299="Sub",N($U299)&gt;0),IF(ISNUMBER(INDEX($AM$5:$AM$1000,$U299-4)),DATE(YEAR(INDEX($AM$5:$AM$1000,$U299-4)),MONTH(INDEX($AM$5:$AM$1000,$U299-4)),1),IF(ISNUMBER(INDEX($AN$5:$AN$1000,$U299-4)),DATE(YEAR(INDEX($AN$5:$AN$1000,$U299-4)),MONTH(INDEX($AN$5:$AN$1000,$U299-4)),1),MesCiclo)),IF(ISNUMBER($AM299),DATE(YEAR($AM299),MONTH($AM299),1),IF(ISNUMBER($AN299),DATE(YEAR($AN299),MONTH($AN299),1),MesCiclo))))</f>
        <v/>
      </c>
      <c r="T299" s="62">
        <f>IF(OR($S299="",$S299&lt;&gt;MesCiclo,$V299&lt;&gt;"Macro"),"",COUNTIFS($S$5:$S299,MesCiclo,$V$5:$V299,"Macro"))</f>
        <v/>
      </c>
      <c r="U299" s="62">
        <f>IF($V299="","",IF($V299="Macro",ROW(),IFERROR(LOOKUP(2,1/($V$5:$V299="Macro"),ROW($V$5:$V299)),0)))</f>
        <v/>
      </c>
      <c r="V299" s="62">
        <f>IF(NOT((COUNTA($B299:$D299)+COUNTA($G299:$L299)+COUNTA($Q299))&gt;0),"",IF($B299="Subactividad","Sub","Macro"))</f>
        <v/>
      </c>
      <c r="W299" s="62">
        <f>IF($V299="Macro",COUNTIFS($U$5:$U$1000,ROW(),$V$5:$V$1000,"Sub"),"")</f>
        <v/>
      </c>
      <c r="X299" s="62">
        <f>IF($V299="","",IF(ISNUMBER($G299),1,IFERROR(LOOKUP(2,1/($I299:$L299&lt;&gt;""),$I299:$L299),0)))</f>
        <v/>
      </c>
      <c r="Y299" s="62">
        <f>IF($V299="","",IF(AND(ISNUMBER($G299),$G299&lt;=IF($S299=MesCiclo,InicioCiclo,$S299+MOD(2-WEEKDAY($S299),7))+6),1,IF(ISNUMBER($I299),$I299,0)))</f>
        <v/>
      </c>
      <c r="Z299" s="62">
        <f>IF($V299="","",IF(AND(ISNUMBER($G299),$G299&lt;=IF($S299=MesCiclo,InicioCiclo,$S299+MOD(2-WEEKDAY($S299),7))+13),1,IF(ISNUMBER($J299),$J299,$Y299)))</f>
        <v/>
      </c>
      <c r="AA299" s="62">
        <f>IF($V299="","",IF(AND(ISNUMBER($G299),$G299&lt;=IF($S299=MesCiclo,InicioCiclo,$S299+MOD(2-WEEKDAY($S299),7))+20),1,IF(ISNUMBER($K299),$K299,$Z299)))</f>
        <v/>
      </c>
      <c r="AB299" s="62">
        <f>IF($V299="","",IF(AND(ISNUMBER($G299),$G299&lt;=IF($S299=MesCiclo,InicioCiclo,$S299+MOD(2-WEEKDAY($S299),7))+27),1,IF(ISNUMBER($L299),$L299,$AA299)))</f>
        <v/>
      </c>
      <c r="AC299" s="62">
        <f>IF($V299="","",IF(AND(ISNUMBER($G299),$G299&lt;=IF($S299=MesCiclo,InicioCiclo,$S299+MOD(2-WEEKDAY($S299),7))+6),1,IF(N($W299)&gt;0,AVERAGEIFS($Y$5:$Y$1000,$U$5:$U$1000,ROW(),$V$5:$V$1000,"Sub"),$Y299)))</f>
        <v/>
      </c>
      <c r="AD299" s="62">
        <f>IF($V299="","",IF(AND(ISNUMBER($G299),$G299&lt;=IF($S299=MesCiclo,InicioCiclo,$S299+MOD(2-WEEKDAY($S299),7))+13),1,IF(N($W299)&gt;0,AVERAGEIFS($Z$5:$Z$1000,$U$5:$U$1000,ROW(),$V$5:$V$1000,"Sub"),$Z299)))</f>
        <v/>
      </c>
      <c r="AE299" s="62">
        <f>IF($V299="","",IF(AND(ISNUMBER($G299),$G299&lt;=IF($S299=MesCiclo,InicioCiclo,$S299+MOD(2-WEEKDAY($S299),7))+20),1,IF(N($W299)&gt;0,AVERAGEIFS($AA$5:$AA$1000,$U$5:$U$1000,ROW(),$V$5:$V$1000,"Sub"),$AA299)))</f>
        <v/>
      </c>
      <c r="AF299" s="62">
        <f>IF($V299="","",IF(AND(ISNUMBER($G299),$G299&lt;=IF($S299=MesCiclo,InicioCiclo,$S299+MOD(2-WEEKDAY($S299),7))+27),1,IF(N($W299)&gt;0,AVERAGEIFS($AB$5:$AB$1000,$U$5:$U$1000,ROW(),$V$5:$V$1000,"Sub"),$AB299)))</f>
        <v/>
      </c>
      <c r="AG299" s="62">
        <f>IF($V299&lt;&gt;"Macro","",IF(COUNTIFS($S$5:$S$1000,$S299,$V$5:$V$1000,"Macro",$H$5:$H$1000,"&gt;0")=0,1/COUNTIFS($S$5:$S$1000,$S299,$V$5:$V$1000,"Macro"),IF(AND(ISNUMBER($H299),N($H299)&gt;0),$H299,SUMIFS($H$5:$H$1000,$S$5:$S$1000,$S299,$V$5:$V$1000,"Macro")/COUNTIFS($S$5:$S$1000,$S299,$V$5:$V$1000,"Macro",$H$5:$H$1000,"&gt;0"))/(COUNTIFS($S$5:$S$1000,$S299,$V$5:$V$1000,"Macro")*SUMIFS($H$5:$H$1000,$S$5:$S$1000,$S299,$V$5:$V$1000,"Macro")/COUNTIFS($S$5:$S$1000,$S299,$V$5:$V$1000,"Macro",$H$5:$H$1000,"&gt;0"))))</f>
        <v/>
      </c>
      <c r="AH299" s="62" t="n"/>
      <c r="AI299" s="62" t="n"/>
      <c r="AJ299" s="62" t="n"/>
      <c r="AK299" s="62" t="n"/>
      <c r="AL299" s="62">
        <f>IF(LEFT($C299,11)="[Jefatura] ",IFERROR(MATCH("Riesgo Financiero|"&amp;MID($C299,12,500),rDname_ADM,0),0),"")</f>
        <v/>
      </c>
      <c r="AM299" s="62">
        <f>IF(N($AL299)&gt;0,INDEX(rIni_ADM,$AL299),IF(ISNUMBER($E299),$E299,""))</f>
        <v/>
      </c>
      <c r="AN299" s="62">
        <f>IF(N($AL299)&gt;0,INDEX(rLim_ADM,$AL299),IF(ISNUMBER($F299),$F299,""))</f>
        <v/>
      </c>
    </row>
    <row r="300">
      <c r="A300" s="56">
        <f>IF(NOT((COUNTA($B300:$D300)+COUNTA($G300:$L300)+COUNTA($Q300))&gt;0),"",IF($V300="Macro",COUNTIFS($V$5:$V300,"Macro",$S$5:$S300,$S300),IF(N($U300)=0,"?",COUNTIFS(INDEX($V$5:$V$1000,1):INDEX($V$5:$V$1000,$U300-4),"Macro",INDEX($S$5:$S$1000,1):INDEX($S$5:$S$1000,$U300-4),INDEX($S$5:$S$1000,$U300-4))&amp;"."&amp;COUNTIFS($U$5:$U300,$U300,$V$5:$V300,"Sub"))))</f>
        <v/>
      </c>
      <c r="B300" s="57" t="n"/>
      <c r="C300" s="58" t="n"/>
      <c r="D300" s="58" t="n"/>
      <c r="E300" s="59">
        <f>IF(N($AL300)&gt;0,INDEX(rIni_ADM,$AL300),"")</f>
        <v/>
      </c>
      <c r="F300" s="59">
        <f>IF(N($AL300)&gt;0,INDEX(rLim_ADM,$AL300),"")</f>
        <v/>
      </c>
      <c r="G300" s="59" t="n"/>
      <c r="H300" s="60" t="n"/>
      <c r="I300" s="60" t="n"/>
      <c r="J300" s="60" t="n"/>
      <c r="K300" s="60" t="n"/>
      <c r="L300" s="60" t="n"/>
      <c r="M300" s="61">
        <f>IF(NOT((COUNTA($B300:$D300)+COUNTA($G300:$L300)+COUNTA($Q300))&gt;0),"",IF($V300="Sub",IFERROR($X300/INDEX($W$5:$W$1000,$U300-4),""),IF(ISNUMBER($G300),1,IF(N($W300)&gt;0,AVERAGEIFS($X$5:$X$1000,$U$5:$U$1000,ROW(),$V$5:$V$1000,"Sub"),$X300))))</f>
        <v/>
      </c>
      <c r="N300" s="56">
        <f>IF(OR($M300="",$V300="Sub"),"",IF($M300&gt;=1,"Completado",IF($M300&gt;0,"En curso","Pendiente")))</f>
        <v/>
      </c>
      <c r="O300" s="56">
        <f>IF(OR(NOT((COUNTA($B300:$D300)+COUNTA($G300:$L300)+COUNTA($Q300))&gt;0),$V300="Sub"),"",IF(ISNUMBER($G300),IF(AND(ISNUMBER($AN300),$G300&gt;$AN300),"Cumplida con "&amp;($G300-$AN300)&amp;IF($G300-$AN300=1," día"," días")&amp;" de retraso","Cumplida"),IF(N($M300)&gt;=1,"Cumplida",IF(NOT(ISNUMBER($AN300)),"Sin fecha límite",IF($AN300&lt;FechaRef,"Vencida hace "&amp;(FechaRef-$AN300)&amp;IF(FechaRef-$AN300=1," día"," días"),IF($AN300=FechaRef,"Vence hoy",IF($AN300-FechaRef&lt;=DiasAlerta,"Vence en "&amp;($AN300-FechaRef)&amp;IF($AN300-FechaRef=1," día"," días"),"En plazo")))))))</f>
        <v/>
      </c>
      <c r="P300" s="62" t="n"/>
      <c r="Q300" s="58" t="n"/>
      <c r="R300" s="63">
        <f>IF(NOT((COUNTA($B300:$D300)+COUNTA($G300:$L300)+COUNTA($Q300))&gt;0),"",IF((IF($C300="","Falta el nombre de la actividad"&amp;" · ","")&amp;IF(AND($V300="Sub",N($U300)=0),"Subactividad sin macroactividad arriba"&amp;" · ","")&amp;IF($AM300="","Sin fecha de inicio"&amp;" · ","")&amp;IF($AN300="","Sin fecha límite"&amp;" · ","")&amp;IF(AND(LEFT($C300,11)="[Jefatura] ",N($AL300)=0),"No se encuentra en la hoja de la jefatura (elíjala de nuevo en la lista)"&amp;" · ","")&amp;IF(OR(AND($E300&lt;&gt;"",NOT(ISNUMBER($E300))),AND($F300&lt;&gt;"",NOT(ISNUMBER($F300))),AND($G300&lt;&gt;"",NOT(ISNUMBER($G300)))),"Fecha no válida"&amp;" · ","")&amp;IF(AND(ISNUMBER($AM300),ISNUMBER($AN300),$AM300&gt;$AN300),"Inicio posterior a fecha límite"&amp;" · ","")&amp;IF(AND($V300="Macro",$H300&lt;&gt;"",OR(NOT(ISNUMBER($H300)),$H300&lt;0,$H300&gt;1)),"Peso fuera de rango"&amp;" · ","")&amp;IF(AND($V300="Sub",$H300&lt;&gt;""),"Las subactividades no llevan peso (valen igual dentro de su macroactividad)"&amp;" · ","")&amp;IF(AND(N($W300)&gt;0,COUNT($I300:$L300)&gt;0),"Con subactividades: deje vacías las semanas (se calculan solas)"&amp;" · ","")&amp;IF((COUNTIF($I300:$L300,"&gt;1")+COUNTIF($I300:$L300,"&lt;0")+COUNTA($I300:$L300)-COUNT($I300:$L300))&gt;0,"Avance fuera de rango 0-100%"&amp;" · ","")&amp;IF(OR(AND($J300&lt;&gt;"",$J300&lt;$I300),AND($K300&lt;&gt;"",$K300&lt;MAX($I300:$J300)),AND($L300&lt;&gt;"",$L300&lt;MAX($I300:$K300))),"Avance semanal decreciente"&amp;" · ","")&amp;IF(AND(ISNUMBER($AN300),$AN300&lt;FechaRef,IF($V300="Sub",N($X300),N($M300))&lt;1),"Vencida"&amp;" · ","")&amp;IF(AND(ObsObligatoria="Sí",ISNUMBER($AN300),$AN300&lt;FechaRef,IF($V300="Sub",N($X300),N($M300))&lt;1,$Q300=""),"Vencida sin observación"&amp;" · ",""))="","✔ OK","⚠ "&amp;LEFT(IF($C300="","Falta el nombre de la actividad"&amp;" · ","")&amp;IF(AND($V300="Sub",N($U300)=0),"Subactividad sin macroactividad arriba"&amp;" · ","")&amp;IF($AM300="","Sin fecha de inicio"&amp;" · ","")&amp;IF($AN300="","Sin fecha límite"&amp;" · ","")&amp;IF(AND(LEFT($C300,11)="[Jefatura] ",N($AL300)=0),"No se encuentra en la hoja de la jefatura (elíjala de nuevo en la lista)"&amp;" · ","")&amp;IF(OR(AND($E300&lt;&gt;"",NOT(ISNUMBER($E300))),AND($F300&lt;&gt;"",NOT(ISNUMBER($F300))),AND($G300&lt;&gt;"",NOT(ISNUMBER($G300)))),"Fecha no válida"&amp;" · ","")&amp;IF(AND(ISNUMBER($AM300),ISNUMBER($AN300),$AM300&gt;$AN300),"Inicio posterior a fecha límite"&amp;" · ","")&amp;IF(AND($V300="Macro",$H300&lt;&gt;"",OR(NOT(ISNUMBER($H300)),$H300&lt;0,$H300&gt;1)),"Peso fuera de rango"&amp;" · ","")&amp;IF(AND($V300="Sub",$H300&lt;&gt;""),"Las subactividades no llevan peso (valen igual dentro de su macroactividad)"&amp;" · ","")&amp;IF(AND(N($W300)&gt;0,COUNT($I300:$L300)&gt;0),"Con subactividades: deje vacías las semanas (se calculan solas)"&amp;" · ","")&amp;IF((COUNTIF($I300:$L300,"&gt;1")+COUNTIF($I300:$L300,"&lt;0")+COUNTA($I300:$L300)-COUNT($I300:$L300))&gt;0,"Avance fuera de rango 0-100%"&amp;" · ","")&amp;IF(OR(AND($J300&lt;&gt;"",$J300&lt;$I300),AND($K300&lt;&gt;"",$K300&lt;MAX($I300:$J300)),AND($L300&lt;&gt;"",$L300&lt;MAX($I300:$K300))),"Avance semanal decreciente"&amp;" · ","")&amp;IF(AND(ISNUMBER($AN300),$AN300&lt;FechaRef,IF($V300="Sub",N($X300),N($M300))&lt;1),"Vencida"&amp;" · ","")&amp;IF(AND(ObsObligatoria="Sí",ISNUMBER($AN300),$AN300&lt;FechaRef,IF($V300="Sub",N($X300),N($M300))&lt;1,$Q300=""),"Vencida sin observación"&amp;" · ",""),LEN(IF($C300="","Falta el nombre de la actividad"&amp;" · ","")&amp;IF(AND($V300="Sub",N($U300)=0),"Subactividad sin macroactividad arriba"&amp;" · ","")&amp;IF($AM300="","Sin fecha de inicio"&amp;" · ","")&amp;IF($AN300="","Sin fecha límite"&amp;" · ","")&amp;IF(AND(LEFT($C300,11)="[Jefatura] ",N($AL300)=0),"No se encuentra en la hoja de la jefatura (elíjala de nuevo en la lista)"&amp;" · ","")&amp;IF(OR(AND($E300&lt;&gt;"",NOT(ISNUMBER($E300))),AND($F300&lt;&gt;"",NOT(ISNUMBER($F300))),AND($G300&lt;&gt;"",NOT(ISNUMBER($G300)))),"Fecha no válida"&amp;" · ","")&amp;IF(AND(ISNUMBER($AM300),ISNUMBER($AN300),$AM300&gt;$AN300),"Inicio posterior a fecha límite"&amp;" · ","")&amp;IF(AND($V300="Macro",$H300&lt;&gt;"",OR(NOT(ISNUMBER($H300)),$H300&lt;0,$H300&gt;1)),"Peso fuera de rango"&amp;" · ","")&amp;IF(AND($V300="Sub",$H300&lt;&gt;""),"Las subactividades no llevan peso (valen igual dentro de su macroactividad)"&amp;" · ","")&amp;IF(AND(N($W300)&gt;0,COUNT($I300:$L300)&gt;0),"Con subactividades: deje vacías las semanas (se calculan solas)"&amp;" · ","")&amp;IF((COUNTIF($I300:$L300,"&gt;1")+COUNTIF($I300:$L300,"&lt;0")+COUNTA($I300:$L300)-COUNT($I300:$L300))&gt;0,"Avance fuera de rango 0-100%"&amp;" · ","")&amp;IF(OR(AND($J300&lt;&gt;"",$J300&lt;$I300),AND($K300&lt;&gt;"",$K300&lt;MAX($I300:$J300)),AND($L300&lt;&gt;"",$L300&lt;MAX($I300:$K300))),"Avance semanal decreciente"&amp;" · ","")&amp;IF(AND(ISNUMBER($AN300),$AN300&lt;FechaRef,IF($V300="Sub",N($X300),N($M300))&lt;1),"Vencida"&amp;" · ","")&amp;IF(AND(ObsObligatoria="Sí",ISNUMBER($AN300),$AN300&lt;FechaRef,IF($V300="Sub",N($X300),N($M300))&lt;1,$Q300=""),"Vencida sin observación"&amp;" · ",""))-3)))</f>
        <v/>
      </c>
      <c r="S300" s="64">
        <f>IF(NOT((COUNTA($B300:$D300)+COUNTA($G300:$L300)+COUNTA($Q300))&gt;0),"",IF(AND($V300="Sub",N($U300)&gt;0),IF(ISNUMBER(INDEX($AM$5:$AM$1000,$U300-4)),DATE(YEAR(INDEX($AM$5:$AM$1000,$U300-4)),MONTH(INDEX($AM$5:$AM$1000,$U300-4)),1),IF(ISNUMBER(INDEX($AN$5:$AN$1000,$U300-4)),DATE(YEAR(INDEX($AN$5:$AN$1000,$U300-4)),MONTH(INDEX($AN$5:$AN$1000,$U300-4)),1),MesCiclo)),IF(ISNUMBER($AM300),DATE(YEAR($AM300),MONTH($AM300),1),IF(ISNUMBER($AN300),DATE(YEAR($AN300),MONTH($AN300),1),MesCiclo))))</f>
        <v/>
      </c>
      <c r="T300" s="62">
        <f>IF(OR($S300="",$S300&lt;&gt;MesCiclo,$V300&lt;&gt;"Macro"),"",COUNTIFS($S$5:$S300,MesCiclo,$V$5:$V300,"Macro"))</f>
        <v/>
      </c>
      <c r="U300" s="62">
        <f>IF($V300="","",IF($V300="Macro",ROW(),IFERROR(LOOKUP(2,1/($V$5:$V300="Macro"),ROW($V$5:$V300)),0)))</f>
        <v/>
      </c>
      <c r="V300" s="62">
        <f>IF(NOT((COUNTA($B300:$D300)+COUNTA($G300:$L300)+COUNTA($Q300))&gt;0),"",IF($B300="Subactividad","Sub","Macro"))</f>
        <v/>
      </c>
      <c r="W300" s="62">
        <f>IF($V300="Macro",COUNTIFS($U$5:$U$1000,ROW(),$V$5:$V$1000,"Sub"),"")</f>
        <v/>
      </c>
      <c r="X300" s="62">
        <f>IF($V300="","",IF(ISNUMBER($G300),1,IFERROR(LOOKUP(2,1/($I300:$L300&lt;&gt;""),$I300:$L300),0)))</f>
        <v/>
      </c>
      <c r="Y300" s="62">
        <f>IF($V300="","",IF(AND(ISNUMBER($G300),$G300&lt;=IF($S300=MesCiclo,InicioCiclo,$S300+MOD(2-WEEKDAY($S300),7))+6),1,IF(ISNUMBER($I300),$I300,0)))</f>
        <v/>
      </c>
      <c r="Z300" s="62">
        <f>IF($V300="","",IF(AND(ISNUMBER($G300),$G300&lt;=IF($S300=MesCiclo,InicioCiclo,$S300+MOD(2-WEEKDAY($S300),7))+13),1,IF(ISNUMBER($J300),$J300,$Y300)))</f>
        <v/>
      </c>
      <c r="AA300" s="62">
        <f>IF($V300="","",IF(AND(ISNUMBER($G300),$G300&lt;=IF($S300=MesCiclo,InicioCiclo,$S300+MOD(2-WEEKDAY($S300),7))+20),1,IF(ISNUMBER($K300),$K300,$Z300)))</f>
        <v/>
      </c>
      <c r="AB300" s="62">
        <f>IF($V300="","",IF(AND(ISNUMBER($G300),$G300&lt;=IF($S300=MesCiclo,InicioCiclo,$S300+MOD(2-WEEKDAY($S300),7))+27),1,IF(ISNUMBER($L300),$L300,$AA300)))</f>
        <v/>
      </c>
      <c r="AC300" s="62">
        <f>IF($V300="","",IF(AND(ISNUMBER($G300),$G300&lt;=IF($S300=MesCiclo,InicioCiclo,$S300+MOD(2-WEEKDAY($S300),7))+6),1,IF(N($W300)&gt;0,AVERAGEIFS($Y$5:$Y$1000,$U$5:$U$1000,ROW(),$V$5:$V$1000,"Sub"),$Y300)))</f>
        <v/>
      </c>
      <c r="AD300" s="62">
        <f>IF($V300="","",IF(AND(ISNUMBER($G300),$G300&lt;=IF($S300=MesCiclo,InicioCiclo,$S300+MOD(2-WEEKDAY($S300),7))+13),1,IF(N($W300)&gt;0,AVERAGEIFS($Z$5:$Z$1000,$U$5:$U$1000,ROW(),$V$5:$V$1000,"Sub"),$Z300)))</f>
        <v/>
      </c>
      <c r="AE300" s="62">
        <f>IF($V300="","",IF(AND(ISNUMBER($G300),$G300&lt;=IF($S300=MesCiclo,InicioCiclo,$S300+MOD(2-WEEKDAY($S300),7))+20),1,IF(N($W300)&gt;0,AVERAGEIFS($AA$5:$AA$1000,$U$5:$U$1000,ROW(),$V$5:$V$1000,"Sub"),$AA300)))</f>
        <v/>
      </c>
      <c r="AF300" s="62">
        <f>IF($V300="","",IF(AND(ISNUMBER($G300),$G300&lt;=IF($S300=MesCiclo,InicioCiclo,$S300+MOD(2-WEEKDAY($S300),7))+27),1,IF(N($W300)&gt;0,AVERAGEIFS($AB$5:$AB$1000,$U$5:$U$1000,ROW(),$V$5:$V$1000,"Sub"),$AB300)))</f>
        <v/>
      </c>
      <c r="AG300" s="62">
        <f>IF($V300&lt;&gt;"Macro","",IF(COUNTIFS($S$5:$S$1000,$S300,$V$5:$V$1000,"Macro",$H$5:$H$1000,"&gt;0")=0,1/COUNTIFS($S$5:$S$1000,$S300,$V$5:$V$1000,"Macro"),IF(AND(ISNUMBER($H300),N($H300)&gt;0),$H300,SUMIFS($H$5:$H$1000,$S$5:$S$1000,$S300,$V$5:$V$1000,"Macro")/COUNTIFS($S$5:$S$1000,$S300,$V$5:$V$1000,"Macro",$H$5:$H$1000,"&gt;0"))/(COUNTIFS($S$5:$S$1000,$S300,$V$5:$V$1000,"Macro")*SUMIFS($H$5:$H$1000,$S$5:$S$1000,$S300,$V$5:$V$1000,"Macro")/COUNTIFS($S$5:$S$1000,$S300,$V$5:$V$1000,"Macro",$H$5:$H$1000,"&gt;0"))))</f>
        <v/>
      </c>
      <c r="AH300" s="62" t="n"/>
      <c r="AI300" s="62" t="n"/>
      <c r="AJ300" s="62" t="n"/>
      <c r="AK300" s="62" t="n"/>
      <c r="AL300" s="62">
        <f>IF(LEFT($C300,11)="[Jefatura] ",IFERROR(MATCH("Riesgo Financiero|"&amp;MID($C300,12,500),rDname_ADM,0),0),"")</f>
        <v/>
      </c>
      <c r="AM300" s="62">
        <f>IF(N($AL300)&gt;0,INDEX(rIni_ADM,$AL300),IF(ISNUMBER($E300),$E300,""))</f>
        <v/>
      </c>
      <c r="AN300" s="62">
        <f>IF(N($AL300)&gt;0,INDEX(rLim_ADM,$AL300),IF(ISNUMBER($F300),$F300,""))</f>
        <v/>
      </c>
    </row>
    <row r="301">
      <c r="A301" s="56">
        <f>IF(NOT((COUNTA($B301:$D301)+COUNTA($G301:$L301)+COUNTA($Q301))&gt;0),"",IF($V301="Macro",COUNTIFS($V$5:$V301,"Macro",$S$5:$S301,$S301),IF(N($U301)=0,"?",COUNTIFS(INDEX($V$5:$V$1000,1):INDEX($V$5:$V$1000,$U301-4),"Macro",INDEX($S$5:$S$1000,1):INDEX($S$5:$S$1000,$U301-4),INDEX($S$5:$S$1000,$U301-4))&amp;"."&amp;COUNTIFS($U$5:$U301,$U301,$V$5:$V301,"Sub"))))</f>
        <v/>
      </c>
      <c r="B301" s="57" t="n"/>
      <c r="C301" s="58" t="n"/>
      <c r="D301" s="58" t="n"/>
      <c r="E301" s="59">
        <f>IF(N($AL301)&gt;0,INDEX(rIni_ADM,$AL301),"")</f>
        <v/>
      </c>
      <c r="F301" s="59">
        <f>IF(N($AL301)&gt;0,INDEX(rLim_ADM,$AL301),"")</f>
        <v/>
      </c>
      <c r="G301" s="59" t="n"/>
      <c r="H301" s="60" t="n"/>
      <c r="I301" s="60" t="n"/>
      <c r="J301" s="60" t="n"/>
      <c r="K301" s="60" t="n"/>
      <c r="L301" s="60" t="n"/>
      <c r="M301" s="61">
        <f>IF(NOT((COUNTA($B301:$D301)+COUNTA($G301:$L301)+COUNTA($Q301))&gt;0),"",IF($V301="Sub",IFERROR($X301/INDEX($W$5:$W$1000,$U301-4),""),IF(ISNUMBER($G301),1,IF(N($W301)&gt;0,AVERAGEIFS($X$5:$X$1000,$U$5:$U$1000,ROW(),$V$5:$V$1000,"Sub"),$X301))))</f>
        <v/>
      </c>
      <c r="N301" s="56">
        <f>IF(OR($M301="",$V301="Sub"),"",IF($M301&gt;=1,"Completado",IF($M301&gt;0,"En curso","Pendiente")))</f>
        <v/>
      </c>
      <c r="O301" s="56">
        <f>IF(OR(NOT((COUNTA($B301:$D301)+COUNTA($G301:$L301)+COUNTA($Q301))&gt;0),$V301="Sub"),"",IF(ISNUMBER($G301),IF(AND(ISNUMBER($AN301),$G301&gt;$AN301),"Cumplida con "&amp;($G301-$AN301)&amp;IF($G301-$AN301=1," día"," días")&amp;" de retraso","Cumplida"),IF(N($M301)&gt;=1,"Cumplida",IF(NOT(ISNUMBER($AN301)),"Sin fecha límite",IF($AN301&lt;FechaRef,"Vencida hace "&amp;(FechaRef-$AN301)&amp;IF(FechaRef-$AN301=1," día"," días"),IF($AN301=FechaRef,"Vence hoy",IF($AN301-FechaRef&lt;=DiasAlerta,"Vence en "&amp;($AN301-FechaRef)&amp;IF($AN301-FechaRef=1," día"," días"),"En plazo")))))))</f>
        <v/>
      </c>
      <c r="P301" s="62" t="n"/>
      <c r="Q301" s="58" t="n"/>
      <c r="R301" s="63">
        <f>IF(NOT((COUNTA($B301:$D301)+COUNTA($G301:$L301)+COUNTA($Q301))&gt;0),"",IF((IF($C301="","Falta el nombre de la actividad"&amp;" · ","")&amp;IF(AND($V301="Sub",N($U301)=0),"Subactividad sin macroactividad arriba"&amp;" · ","")&amp;IF($AM301="","Sin fecha de inicio"&amp;" · ","")&amp;IF($AN301="","Sin fecha límite"&amp;" · ","")&amp;IF(AND(LEFT($C301,11)="[Jefatura] ",N($AL301)=0),"No se encuentra en la hoja de la jefatura (elíjala de nuevo en la lista)"&amp;" · ","")&amp;IF(OR(AND($E301&lt;&gt;"",NOT(ISNUMBER($E301))),AND($F301&lt;&gt;"",NOT(ISNUMBER($F301))),AND($G301&lt;&gt;"",NOT(ISNUMBER($G301)))),"Fecha no válida"&amp;" · ","")&amp;IF(AND(ISNUMBER($AM301),ISNUMBER($AN301),$AM301&gt;$AN301),"Inicio posterior a fecha límite"&amp;" · ","")&amp;IF(AND($V301="Macro",$H301&lt;&gt;"",OR(NOT(ISNUMBER($H301)),$H301&lt;0,$H301&gt;1)),"Peso fuera de rango"&amp;" · ","")&amp;IF(AND($V301="Sub",$H301&lt;&gt;""),"Las subactividades no llevan peso (valen igual dentro de su macroactividad)"&amp;" · ","")&amp;IF(AND(N($W301)&gt;0,COUNT($I301:$L301)&gt;0),"Con subactividades: deje vacías las semanas (se calculan solas)"&amp;" · ","")&amp;IF((COUNTIF($I301:$L301,"&gt;1")+COUNTIF($I301:$L301,"&lt;0")+COUNTA($I301:$L301)-COUNT($I301:$L301))&gt;0,"Avance fuera de rango 0-100%"&amp;" · ","")&amp;IF(OR(AND($J301&lt;&gt;"",$J301&lt;$I301),AND($K301&lt;&gt;"",$K301&lt;MAX($I301:$J301)),AND($L301&lt;&gt;"",$L301&lt;MAX($I301:$K301))),"Avance semanal decreciente"&amp;" · ","")&amp;IF(AND(ISNUMBER($AN301),$AN301&lt;FechaRef,IF($V301="Sub",N($X301),N($M301))&lt;1),"Vencida"&amp;" · ","")&amp;IF(AND(ObsObligatoria="Sí",ISNUMBER($AN301),$AN301&lt;FechaRef,IF($V301="Sub",N($X301),N($M301))&lt;1,$Q301=""),"Vencida sin observación"&amp;" · ",""))="","✔ OK","⚠ "&amp;LEFT(IF($C301="","Falta el nombre de la actividad"&amp;" · ","")&amp;IF(AND($V301="Sub",N($U301)=0),"Subactividad sin macroactividad arriba"&amp;" · ","")&amp;IF($AM301="","Sin fecha de inicio"&amp;" · ","")&amp;IF($AN301="","Sin fecha límite"&amp;" · ","")&amp;IF(AND(LEFT($C301,11)="[Jefatura] ",N($AL301)=0),"No se encuentra en la hoja de la jefatura (elíjala de nuevo en la lista)"&amp;" · ","")&amp;IF(OR(AND($E301&lt;&gt;"",NOT(ISNUMBER($E301))),AND($F301&lt;&gt;"",NOT(ISNUMBER($F301))),AND($G301&lt;&gt;"",NOT(ISNUMBER($G301)))),"Fecha no válida"&amp;" · ","")&amp;IF(AND(ISNUMBER($AM301),ISNUMBER($AN301),$AM301&gt;$AN301),"Inicio posterior a fecha límite"&amp;" · ","")&amp;IF(AND($V301="Macro",$H301&lt;&gt;"",OR(NOT(ISNUMBER($H301)),$H301&lt;0,$H301&gt;1)),"Peso fuera de rango"&amp;" · ","")&amp;IF(AND($V301="Sub",$H301&lt;&gt;""),"Las subactividades no llevan peso (valen igual dentro de su macroactividad)"&amp;" · ","")&amp;IF(AND(N($W301)&gt;0,COUNT($I301:$L301)&gt;0),"Con subactividades: deje vacías las semanas (se calculan solas)"&amp;" · ","")&amp;IF((COUNTIF($I301:$L301,"&gt;1")+COUNTIF($I301:$L301,"&lt;0")+COUNTA($I301:$L301)-COUNT($I301:$L301))&gt;0,"Avance fuera de rango 0-100%"&amp;" · ","")&amp;IF(OR(AND($J301&lt;&gt;"",$J301&lt;$I301),AND($K301&lt;&gt;"",$K301&lt;MAX($I301:$J301)),AND($L301&lt;&gt;"",$L301&lt;MAX($I301:$K301))),"Avance semanal decreciente"&amp;" · ","")&amp;IF(AND(ISNUMBER($AN301),$AN301&lt;FechaRef,IF($V301="Sub",N($X301),N($M301))&lt;1),"Vencida"&amp;" · ","")&amp;IF(AND(ObsObligatoria="Sí",ISNUMBER($AN301),$AN301&lt;FechaRef,IF($V301="Sub",N($X301),N($M301))&lt;1,$Q301=""),"Vencida sin observación"&amp;" · ",""),LEN(IF($C301="","Falta el nombre de la actividad"&amp;" · ","")&amp;IF(AND($V301="Sub",N($U301)=0),"Subactividad sin macroactividad arriba"&amp;" · ","")&amp;IF($AM301="","Sin fecha de inicio"&amp;" · ","")&amp;IF($AN301="","Sin fecha límite"&amp;" · ","")&amp;IF(AND(LEFT($C301,11)="[Jefatura] ",N($AL301)=0),"No se encuentra en la hoja de la jefatura (elíjala de nuevo en la lista)"&amp;" · ","")&amp;IF(OR(AND($E301&lt;&gt;"",NOT(ISNUMBER($E301))),AND($F301&lt;&gt;"",NOT(ISNUMBER($F301))),AND($G301&lt;&gt;"",NOT(ISNUMBER($G301)))),"Fecha no válida"&amp;" · ","")&amp;IF(AND(ISNUMBER($AM301),ISNUMBER($AN301),$AM301&gt;$AN301),"Inicio posterior a fecha límite"&amp;" · ","")&amp;IF(AND($V301="Macro",$H301&lt;&gt;"",OR(NOT(ISNUMBER($H301)),$H301&lt;0,$H301&gt;1)),"Peso fuera de rango"&amp;" · ","")&amp;IF(AND($V301="Sub",$H301&lt;&gt;""),"Las subactividades no llevan peso (valen igual dentro de su macroactividad)"&amp;" · ","")&amp;IF(AND(N($W301)&gt;0,COUNT($I301:$L301)&gt;0),"Con subactividades: deje vacías las semanas (se calculan solas)"&amp;" · ","")&amp;IF((COUNTIF($I301:$L301,"&gt;1")+COUNTIF($I301:$L301,"&lt;0")+COUNTA($I301:$L301)-COUNT($I301:$L301))&gt;0,"Avance fuera de rango 0-100%"&amp;" · ","")&amp;IF(OR(AND($J301&lt;&gt;"",$J301&lt;$I301),AND($K301&lt;&gt;"",$K301&lt;MAX($I301:$J301)),AND($L301&lt;&gt;"",$L301&lt;MAX($I301:$K301))),"Avance semanal decreciente"&amp;" · ","")&amp;IF(AND(ISNUMBER($AN301),$AN301&lt;FechaRef,IF($V301="Sub",N($X301),N($M301))&lt;1),"Vencida"&amp;" · ","")&amp;IF(AND(ObsObligatoria="Sí",ISNUMBER($AN301),$AN301&lt;FechaRef,IF($V301="Sub",N($X301),N($M301))&lt;1,$Q301=""),"Vencida sin observación"&amp;" · ",""))-3)))</f>
        <v/>
      </c>
      <c r="S301" s="64">
        <f>IF(NOT((COUNTA($B301:$D301)+COUNTA($G301:$L301)+COUNTA($Q301))&gt;0),"",IF(AND($V301="Sub",N($U301)&gt;0),IF(ISNUMBER(INDEX($AM$5:$AM$1000,$U301-4)),DATE(YEAR(INDEX($AM$5:$AM$1000,$U301-4)),MONTH(INDEX($AM$5:$AM$1000,$U301-4)),1),IF(ISNUMBER(INDEX($AN$5:$AN$1000,$U301-4)),DATE(YEAR(INDEX($AN$5:$AN$1000,$U301-4)),MONTH(INDEX($AN$5:$AN$1000,$U301-4)),1),MesCiclo)),IF(ISNUMBER($AM301),DATE(YEAR($AM301),MONTH($AM301),1),IF(ISNUMBER($AN301),DATE(YEAR($AN301),MONTH($AN301),1),MesCiclo))))</f>
        <v/>
      </c>
      <c r="T301" s="62">
        <f>IF(OR($S301="",$S301&lt;&gt;MesCiclo,$V301&lt;&gt;"Macro"),"",COUNTIFS($S$5:$S301,MesCiclo,$V$5:$V301,"Macro"))</f>
        <v/>
      </c>
      <c r="U301" s="62">
        <f>IF($V301="","",IF($V301="Macro",ROW(),IFERROR(LOOKUP(2,1/($V$5:$V301="Macro"),ROW($V$5:$V301)),0)))</f>
        <v/>
      </c>
      <c r="V301" s="62">
        <f>IF(NOT((COUNTA($B301:$D301)+COUNTA($G301:$L301)+COUNTA($Q301))&gt;0),"",IF($B301="Subactividad","Sub","Macro"))</f>
        <v/>
      </c>
      <c r="W301" s="62">
        <f>IF($V301="Macro",COUNTIFS($U$5:$U$1000,ROW(),$V$5:$V$1000,"Sub"),"")</f>
        <v/>
      </c>
      <c r="X301" s="62">
        <f>IF($V301="","",IF(ISNUMBER($G301),1,IFERROR(LOOKUP(2,1/($I301:$L301&lt;&gt;""),$I301:$L301),0)))</f>
        <v/>
      </c>
      <c r="Y301" s="62">
        <f>IF($V301="","",IF(AND(ISNUMBER($G301),$G301&lt;=IF($S301=MesCiclo,InicioCiclo,$S301+MOD(2-WEEKDAY($S301),7))+6),1,IF(ISNUMBER($I301),$I301,0)))</f>
        <v/>
      </c>
      <c r="Z301" s="62">
        <f>IF($V301="","",IF(AND(ISNUMBER($G301),$G301&lt;=IF($S301=MesCiclo,InicioCiclo,$S301+MOD(2-WEEKDAY($S301),7))+13),1,IF(ISNUMBER($J301),$J301,$Y301)))</f>
        <v/>
      </c>
      <c r="AA301" s="62">
        <f>IF($V301="","",IF(AND(ISNUMBER($G301),$G301&lt;=IF($S301=MesCiclo,InicioCiclo,$S301+MOD(2-WEEKDAY($S301),7))+20),1,IF(ISNUMBER($K301),$K301,$Z301)))</f>
        <v/>
      </c>
      <c r="AB301" s="62">
        <f>IF($V301="","",IF(AND(ISNUMBER($G301),$G301&lt;=IF($S301=MesCiclo,InicioCiclo,$S301+MOD(2-WEEKDAY($S301),7))+27),1,IF(ISNUMBER($L301),$L301,$AA301)))</f>
        <v/>
      </c>
      <c r="AC301" s="62">
        <f>IF($V301="","",IF(AND(ISNUMBER($G301),$G301&lt;=IF($S301=MesCiclo,InicioCiclo,$S301+MOD(2-WEEKDAY($S301),7))+6),1,IF(N($W301)&gt;0,AVERAGEIFS($Y$5:$Y$1000,$U$5:$U$1000,ROW(),$V$5:$V$1000,"Sub"),$Y301)))</f>
        <v/>
      </c>
      <c r="AD301" s="62">
        <f>IF($V301="","",IF(AND(ISNUMBER($G301),$G301&lt;=IF($S301=MesCiclo,InicioCiclo,$S301+MOD(2-WEEKDAY($S301),7))+13),1,IF(N($W301)&gt;0,AVERAGEIFS($Z$5:$Z$1000,$U$5:$U$1000,ROW(),$V$5:$V$1000,"Sub"),$Z301)))</f>
        <v/>
      </c>
      <c r="AE301" s="62">
        <f>IF($V301="","",IF(AND(ISNUMBER($G301),$G301&lt;=IF($S301=MesCiclo,InicioCiclo,$S301+MOD(2-WEEKDAY($S301),7))+20),1,IF(N($W301)&gt;0,AVERAGEIFS($AA$5:$AA$1000,$U$5:$U$1000,ROW(),$V$5:$V$1000,"Sub"),$AA301)))</f>
        <v/>
      </c>
      <c r="AF301" s="62">
        <f>IF($V301="","",IF(AND(ISNUMBER($G301),$G301&lt;=IF($S301=MesCiclo,InicioCiclo,$S301+MOD(2-WEEKDAY($S301),7))+27),1,IF(N($W301)&gt;0,AVERAGEIFS($AB$5:$AB$1000,$U$5:$U$1000,ROW(),$V$5:$V$1000,"Sub"),$AB301)))</f>
        <v/>
      </c>
      <c r="AG301" s="62">
        <f>IF($V301&lt;&gt;"Macro","",IF(COUNTIFS($S$5:$S$1000,$S301,$V$5:$V$1000,"Macro",$H$5:$H$1000,"&gt;0")=0,1/COUNTIFS($S$5:$S$1000,$S301,$V$5:$V$1000,"Macro"),IF(AND(ISNUMBER($H301),N($H301)&gt;0),$H301,SUMIFS($H$5:$H$1000,$S$5:$S$1000,$S301,$V$5:$V$1000,"Macro")/COUNTIFS($S$5:$S$1000,$S301,$V$5:$V$1000,"Macro",$H$5:$H$1000,"&gt;0"))/(COUNTIFS($S$5:$S$1000,$S301,$V$5:$V$1000,"Macro")*SUMIFS($H$5:$H$1000,$S$5:$S$1000,$S301,$V$5:$V$1000,"Macro")/COUNTIFS($S$5:$S$1000,$S301,$V$5:$V$1000,"Macro",$H$5:$H$1000,"&gt;0"))))</f>
        <v/>
      </c>
      <c r="AH301" s="62" t="n"/>
      <c r="AI301" s="62" t="n"/>
      <c r="AJ301" s="62" t="n"/>
      <c r="AK301" s="62" t="n"/>
      <c r="AL301" s="62">
        <f>IF(LEFT($C301,11)="[Jefatura] ",IFERROR(MATCH("Riesgo Financiero|"&amp;MID($C301,12,500),rDname_ADM,0),0),"")</f>
        <v/>
      </c>
      <c r="AM301" s="62">
        <f>IF(N($AL301)&gt;0,INDEX(rIni_ADM,$AL301),IF(ISNUMBER($E301),$E301,""))</f>
        <v/>
      </c>
      <c r="AN301" s="62">
        <f>IF(N($AL301)&gt;0,INDEX(rLim_ADM,$AL301),IF(ISNUMBER($F301),$F301,""))</f>
        <v/>
      </c>
    </row>
    <row r="302">
      <c r="A302" s="56">
        <f>IF(NOT((COUNTA($B302:$D302)+COUNTA($G302:$L302)+COUNTA($Q302))&gt;0),"",IF($V302="Macro",COUNTIFS($V$5:$V302,"Macro",$S$5:$S302,$S302),IF(N($U302)=0,"?",COUNTIFS(INDEX($V$5:$V$1000,1):INDEX($V$5:$V$1000,$U302-4),"Macro",INDEX($S$5:$S$1000,1):INDEX($S$5:$S$1000,$U302-4),INDEX($S$5:$S$1000,$U302-4))&amp;"."&amp;COUNTIFS($U$5:$U302,$U302,$V$5:$V302,"Sub"))))</f>
        <v/>
      </c>
      <c r="B302" s="57" t="n"/>
      <c r="C302" s="58" t="n"/>
      <c r="D302" s="58" t="n"/>
      <c r="E302" s="59">
        <f>IF(N($AL302)&gt;0,INDEX(rIni_ADM,$AL302),"")</f>
        <v/>
      </c>
      <c r="F302" s="59">
        <f>IF(N($AL302)&gt;0,INDEX(rLim_ADM,$AL302),"")</f>
        <v/>
      </c>
      <c r="G302" s="59" t="n"/>
      <c r="H302" s="60" t="n"/>
      <c r="I302" s="60" t="n"/>
      <c r="J302" s="60" t="n"/>
      <c r="K302" s="60" t="n"/>
      <c r="L302" s="60" t="n"/>
      <c r="M302" s="61">
        <f>IF(NOT((COUNTA($B302:$D302)+COUNTA($G302:$L302)+COUNTA($Q302))&gt;0),"",IF($V302="Sub",IFERROR($X302/INDEX($W$5:$W$1000,$U302-4),""),IF(ISNUMBER($G302),1,IF(N($W302)&gt;0,AVERAGEIFS($X$5:$X$1000,$U$5:$U$1000,ROW(),$V$5:$V$1000,"Sub"),$X302))))</f>
        <v/>
      </c>
      <c r="N302" s="56">
        <f>IF(OR($M302="",$V302="Sub"),"",IF($M302&gt;=1,"Completado",IF($M302&gt;0,"En curso","Pendiente")))</f>
        <v/>
      </c>
      <c r="O302" s="56">
        <f>IF(OR(NOT((COUNTA($B302:$D302)+COUNTA($G302:$L302)+COUNTA($Q302))&gt;0),$V302="Sub"),"",IF(ISNUMBER($G302),IF(AND(ISNUMBER($AN302),$G302&gt;$AN302),"Cumplida con "&amp;($G302-$AN302)&amp;IF($G302-$AN302=1," día"," días")&amp;" de retraso","Cumplida"),IF(N($M302)&gt;=1,"Cumplida",IF(NOT(ISNUMBER($AN302)),"Sin fecha límite",IF($AN302&lt;FechaRef,"Vencida hace "&amp;(FechaRef-$AN302)&amp;IF(FechaRef-$AN302=1," día"," días"),IF($AN302=FechaRef,"Vence hoy",IF($AN302-FechaRef&lt;=DiasAlerta,"Vence en "&amp;($AN302-FechaRef)&amp;IF($AN302-FechaRef=1," día"," días"),"En plazo")))))))</f>
        <v/>
      </c>
      <c r="P302" s="62" t="n"/>
      <c r="Q302" s="58" t="n"/>
      <c r="R302" s="63">
        <f>IF(NOT((COUNTA($B302:$D302)+COUNTA($G302:$L302)+COUNTA($Q302))&gt;0),"",IF((IF($C302="","Falta el nombre de la actividad"&amp;" · ","")&amp;IF(AND($V302="Sub",N($U302)=0),"Subactividad sin macroactividad arriba"&amp;" · ","")&amp;IF($AM302="","Sin fecha de inicio"&amp;" · ","")&amp;IF($AN302="","Sin fecha límite"&amp;" · ","")&amp;IF(AND(LEFT($C302,11)="[Jefatura] ",N($AL302)=0),"No se encuentra en la hoja de la jefatura (elíjala de nuevo en la lista)"&amp;" · ","")&amp;IF(OR(AND($E302&lt;&gt;"",NOT(ISNUMBER($E302))),AND($F302&lt;&gt;"",NOT(ISNUMBER($F302))),AND($G302&lt;&gt;"",NOT(ISNUMBER($G302)))),"Fecha no válida"&amp;" · ","")&amp;IF(AND(ISNUMBER($AM302),ISNUMBER($AN302),$AM302&gt;$AN302),"Inicio posterior a fecha límite"&amp;" · ","")&amp;IF(AND($V302="Macro",$H302&lt;&gt;"",OR(NOT(ISNUMBER($H302)),$H302&lt;0,$H302&gt;1)),"Peso fuera de rango"&amp;" · ","")&amp;IF(AND($V302="Sub",$H302&lt;&gt;""),"Las subactividades no llevan peso (valen igual dentro de su macroactividad)"&amp;" · ","")&amp;IF(AND(N($W302)&gt;0,COUNT($I302:$L302)&gt;0),"Con subactividades: deje vacías las semanas (se calculan solas)"&amp;" · ","")&amp;IF((COUNTIF($I302:$L302,"&gt;1")+COUNTIF($I302:$L302,"&lt;0")+COUNTA($I302:$L302)-COUNT($I302:$L302))&gt;0,"Avance fuera de rango 0-100%"&amp;" · ","")&amp;IF(OR(AND($J302&lt;&gt;"",$J302&lt;$I302),AND($K302&lt;&gt;"",$K302&lt;MAX($I302:$J302)),AND($L302&lt;&gt;"",$L302&lt;MAX($I302:$K302))),"Avance semanal decreciente"&amp;" · ","")&amp;IF(AND(ISNUMBER($AN302),$AN302&lt;FechaRef,IF($V302="Sub",N($X302),N($M302))&lt;1),"Vencida"&amp;" · ","")&amp;IF(AND(ObsObligatoria="Sí",ISNUMBER($AN302),$AN302&lt;FechaRef,IF($V302="Sub",N($X302),N($M302))&lt;1,$Q302=""),"Vencida sin observación"&amp;" · ",""))="","✔ OK","⚠ "&amp;LEFT(IF($C302="","Falta el nombre de la actividad"&amp;" · ","")&amp;IF(AND($V302="Sub",N($U302)=0),"Subactividad sin macroactividad arriba"&amp;" · ","")&amp;IF($AM302="","Sin fecha de inicio"&amp;" · ","")&amp;IF($AN302="","Sin fecha límite"&amp;" · ","")&amp;IF(AND(LEFT($C302,11)="[Jefatura] ",N($AL302)=0),"No se encuentra en la hoja de la jefatura (elíjala de nuevo en la lista)"&amp;" · ","")&amp;IF(OR(AND($E302&lt;&gt;"",NOT(ISNUMBER($E302))),AND($F302&lt;&gt;"",NOT(ISNUMBER($F302))),AND($G302&lt;&gt;"",NOT(ISNUMBER($G302)))),"Fecha no válida"&amp;" · ","")&amp;IF(AND(ISNUMBER($AM302),ISNUMBER($AN302),$AM302&gt;$AN302),"Inicio posterior a fecha límite"&amp;" · ","")&amp;IF(AND($V302="Macro",$H302&lt;&gt;"",OR(NOT(ISNUMBER($H302)),$H302&lt;0,$H302&gt;1)),"Peso fuera de rango"&amp;" · ","")&amp;IF(AND($V302="Sub",$H302&lt;&gt;""),"Las subactividades no llevan peso (valen igual dentro de su macroactividad)"&amp;" · ","")&amp;IF(AND(N($W302)&gt;0,COUNT($I302:$L302)&gt;0),"Con subactividades: deje vacías las semanas (se calculan solas)"&amp;" · ","")&amp;IF((COUNTIF($I302:$L302,"&gt;1")+COUNTIF($I302:$L302,"&lt;0")+COUNTA($I302:$L302)-COUNT($I302:$L302))&gt;0,"Avance fuera de rango 0-100%"&amp;" · ","")&amp;IF(OR(AND($J302&lt;&gt;"",$J302&lt;$I302),AND($K302&lt;&gt;"",$K302&lt;MAX($I302:$J302)),AND($L302&lt;&gt;"",$L302&lt;MAX($I302:$K302))),"Avance semanal decreciente"&amp;" · ","")&amp;IF(AND(ISNUMBER($AN302),$AN302&lt;FechaRef,IF($V302="Sub",N($X302),N($M302))&lt;1),"Vencida"&amp;" · ","")&amp;IF(AND(ObsObligatoria="Sí",ISNUMBER($AN302),$AN302&lt;FechaRef,IF($V302="Sub",N($X302),N($M302))&lt;1,$Q302=""),"Vencida sin observación"&amp;" · ",""),LEN(IF($C302="","Falta el nombre de la actividad"&amp;" · ","")&amp;IF(AND($V302="Sub",N($U302)=0),"Subactividad sin macroactividad arriba"&amp;" · ","")&amp;IF($AM302="","Sin fecha de inicio"&amp;" · ","")&amp;IF($AN302="","Sin fecha límite"&amp;" · ","")&amp;IF(AND(LEFT($C302,11)="[Jefatura] ",N($AL302)=0),"No se encuentra en la hoja de la jefatura (elíjala de nuevo en la lista)"&amp;" · ","")&amp;IF(OR(AND($E302&lt;&gt;"",NOT(ISNUMBER($E302))),AND($F302&lt;&gt;"",NOT(ISNUMBER($F302))),AND($G302&lt;&gt;"",NOT(ISNUMBER($G302)))),"Fecha no válida"&amp;" · ","")&amp;IF(AND(ISNUMBER($AM302),ISNUMBER($AN302),$AM302&gt;$AN302),"Inicio posterior a fecha límite"&amp;" · ","")&amp;IF(AND($V302="Macro",$H302&lt;&gt;"",OR(NOT(ISNUMBER($H302)),$H302&lt;0,$H302&gt;1)),"Peso fuera de rango"&amp;" · ","")&amp;IF(AND($V302="Sub",$H302&lt;&gt;""),"Las subactividades no llevan peso (valen igual dentro de su macroactividad)"&amp;" · ","")&amp;IF(AND(N($W302)&gt;0,COUNT($I302:$L302)&gt;0),"Con subactividades: deje vacías las semanas (se calculan solas)"&amp;" · ","")&amp;IF((COUNTIF($I302:$L302,"&gt;1")+COUNTIF($I302:$L302,"&lt;0")+COUNTA($I302:$L302)-COUNT($I302:$L302))&gt;0,"Avance fuera de rango 0-100%"&amp;" · ","")&amp;IF(OR(AND($J302&lt;&gt;"",$J302&lt;$I302),AND($K302&lt;&gt;"",$K302&lt;MAX($I302:$J302)),AND($L302&lt;&gt;"",$L302&lt;MAX($I302:$K302))),"Avance semanal decreciente"&amp;" · ","")&amp;IF(AND(ISNUMBER($AN302),$AN302&lt;FechaRef,IF($V302="Sub",N($X302),N($M302))&lt;1),"Vencida"&amp;" · ","")&amp;IF(AND(ObsObligatoria="Sí",ISNUMBER($AN302),$AN302&lt;FechaRef,IF($V302="Sub",N($X302),N($M302))&lt;1,$Q302=""),"Vencida sin observación"&amp;" · ",""))-3)))</f>
        <v/>
      </c>
      <c r="S302" s="64">
        <f>IF(NOT((COUNTA($B302:$D302)+COUNTA($G302:$L302)+COUNTA($Q302))&gt;0),"",IF(AND($V302="Sub",N($U302)&gt;0),IF(ISNUMBER(INDEX($AM$5:$AM$1000,$U302-4)),DATE(YEAR(INDEX($AM$5:$AM$1000,$U302-4)),MONTH(INDEX($AM$5:$AM$1000,$U302-4)),1),IF(ISNUMBER(INDEX($AN$5:$AN$1000,$U302-4)),DATE(YEAR(INDEX($AN$5:$AN$1000,$U302-4)),MONTH(INDEX($AN$5:$AN$1000,$U302-4)),1),MesCiclo)),IF(ISNUMBER($AM302),DATE(YEAR($AM302),MONTH($AM302),1),IF(ISNUMBER($AN302),DATE(YEAR($AN302),MONTH($AN302),1),MesCiclo))))</f>
        <v/>
      </c>
      <c r="T302" s="62">
        <f>IF(OR($S302="",$S302&lt;&gt;MesCiclo,$V302&lt;&gt;"Macro"),"",COUNTIFS($S$5:$S302,MesCiclo,$V$5:$V302,"Macro"))</f>
        <v/>
      </c>
      <c r="U302" s="62">
        <f>IF($V302="","",IF($V302="Macro",ROW(),IFERROR(LOOKUP(2,1/($V$5:$V302="Macro"),ROW($V$5:$V302)),0)))</f>
        <v/>
      </c>
      <c r="V302" s="62">
        <f>IF(NOT((COUNTA($B302:$D302)+COUNTA($G302:$L302)+COUNTA($Q302))&gt;0),"",IF($B302="Subactividad","Sub","Macro"))</f>
        <v/>
      </c>
      <c r="W302" s="62">
        <f>IF($V302="Macro",COUNTIFS($U$5:$U$1000,ROW(),$V$5:$V$1000,"Sub"),"")</f>
        <v/>
      </c>
      <c r="X302" s="62">
        <f>IF($V302="","",IF(ISNUMBER($G302),1,IFERROR(LOOKUP(2,1/($I302:$L302&lt;&gt;""),$I302:$L302),0)))</f>
        <v/>
      </c>
      <c r="Y302" s="62">
        <f>IF($V302="","",IF(AND(ISNUMBER($G302),$G302&lt;=IF($S302=MesCiclo,InicioCiclo,$S302+MOD(2-WEEKDAY($S302),7))+6),1,IF(ISNUMBER($I302),$I302,0)))</f>
        <v/>
      </c>
      <c r="Z302" s="62">
        <f>IF($V302="","",IF(AND(ISNUMBER($G302),$G302&lt;=IF($S302=MesCiclo,InicioCiclo,$S302+MOD(2-WEEKDAY($S302),7))+13),1,IF(ISNUMBER($J302),$J302,$Y302)))</f>
        <v/>
      </c>
      <c r="AA302" s="62">
        <f>IF($V302="","",IF(AND(ISNUMBER($G302),$G302&lt;=IF($S302=MesCiclo,InicioCiclo,$S302+MOD(2-WEEKDAY($S302),7))+20),1,IF(ISNUMBER($K302),$K302,$Z302)))</f>
        <v/>
      </c>
      <c r="AB302" s="62">
        <f>IF($V302="","",IF(AND(ISNUMBER($G302),$G302&lt;=IF($S302=MesCiclo,InicioCiclo,$S302+MOD(2-WEEKDAY($S302),7))+27),1,IF(ISNUMBER($L302),$L302,$AA302)))</f>
        <v/>
      </c>
      <c r="AC302" s="62">
        <f>IF($V302="","",IF(AND(ISNUMBER($G302),$G302&lt;=IF($S302=MesCiclo,InicioCiclo,$S302+MOD(2-WEEKDAY($S302),7))+6),1,IF(N($W302)&gt;0,AVERAGEIFS($Y$5:$Y$1000,$U$5:$U$1000,ROW(),$V$5:$V$1000,"Sub"),$Y302)))</f>
        <v/>
      </c>
      <c r="AD302" s="62">
        <f>IF($V302="","",IF(AND(ISNUMBER($G302),$G302&lt;=IF($S302=MesCiclo,InicioCiclo,$S302+MOD(2-WEEKDAY($S302),7))+13),1,IF(N($W302)&gt;0,AVERAGEIFS($Z$5:$Z$1000,$U$5:$U$1000,ROW(),$V$5:$V$1000,"Sub"),$Z302)))</f>
        <v/>
      </c>
      <c r="AE302" s="62">
        <f>IF($V302="","",IF(AND(ISNUMBER($G302),$G302&lt;=IF($S302=MesCiclo,InicioCiclo,$S302+MOD(2-WEEKDAY($S302),7))+20),1,IF(N($W302)&gt;0,AVERAGEIFS($AA$5:$AA$1000,$U$5:$U$1000,ROW(),$V$5:$V$1000,"Sub"),$AA302)))</f>
        <v/>
      </c>
      <c r="AF302" s="62">
        <f>IF($V302="","",IF(AND(ISNUMBER($G302),$G302&lt;=IF($S302=MesCiclo,InicioCiclo,$S302+MOD(2-WEEKDAY($S302),7))+27),1,IF(N($W302)&gt;0,AVERAGEIFS($AB$5:$AB$1000,$U$5:$U$1000,ROW(),$V$5:$V$1000,"Sub"),$AB302)))</f>
        <v/>
      </c>
      <c r="AG302" s="62">
        <f>IF($V302&lt;&gt;"Macro","",IF(COUNTIFS($S$5:$S$1000,$S302,$V$5:$V$1000,"Macro",$H$5:$H$1000,"&gt;0")=0,1/COUNTIFS($S$5:$S$1000,$S302,$V$5:$V$1000,"Macro"),IF(AND(ISNUMBER($H302),N($H302)&gt;0),$H302,SUMIFS($H$5:$H$1000,$S$5:$S$1000,$S302,$V$5:$V$1000,"Macro")/COUNTIFS($S$5:$S$1000,$S302,$V$5:$V$1000,"Macro",$H$5:$H$1000,"&gt;0"))/(COUNTIFS($S$5:$S$1000,$S302,$V$5:$V$1000,"Macro")*SUMIFS($H$5:$H$1000,$S$5:$S$1000,$S302,$V$5:$V$1000,"Macro")/COUNTIFS($S$5:$S$1000,$S302,$V$5:$V$1000,"Macro",$H$5:$H$1000,"&gt;0"))))</f>
        <v/>
      </c>
      <c r="AH302" s="62" t="n"/>
      <c r="AI302" s="62" t="n"/>
      <c r="AJ302" s="62" t="n"/>
      <c r="AK302" s="62" t="n"/>
      <c r="AL302" s="62">
        <f>IF(LEFT($C302,11)="[Jefatura] ",IFERROR(MATCH("Riesgo Financiero|"&amp;MID($C302,12,500),rDname_ADM,0),0),"")</f>
        <v/>
      </c>
      <c r="AM302" s="62">
        <f>IF(N($AL302)&gt;0,INDEX(rIni_ADM,$AL302),IF(ISNUMBER($E302),$E302,""))</f>
        <v/>
      </c>
      <c r="AN302" s="62">
        <f>IF(N($AL302)&gt;0,INDEX(rLim_ADM,$AL302),IF(ISNUMBER($F302),$F302,""))</f>
        <v/>
      </c>
    </row>
    <row r="303">
      <c r="A303" s="56">
        <f>IF(NOT((COUNTA($B303:$D303)+COUNTA($G303:$L303)+COUNTA($Q303))&gt;0),"",IF($V303="Macro",COUNTIFS($V$5:$V303,"Macro",$S$5:$S303,$S303),IF(N($U303)=0,"?",COUNTIFS(INDEX($V$5:$V$1000,1):INDEX($V$5:$V$1000,$U303-4),"Macro",INDEX($S$5:$S$1000,1):INDEX($S$5:$S$1000,$U303-4),INDEX($S$5:$S$1000,$U303-4))&amp;"."&amp;COUNTIFS($U$5:$U303,$U303,$V$5:$V303,"Sub"))))</f>
        <v/>
      </c>
      <c r="B303" s="57" t="n"/>
      <c r="C303" s="58" t="n"/>
      <c r="D303" s="58" t="n"/>
      <c r="E303" s="59">
        <f>IF(N($AL303)&gt;0,INDEX(rIni_ADM,$AL303),"")</f>
        <v/>
      </c>
      <c r="F303" s="59">
        <f>IF(N($AL303)&gt;0,INDEX(rLim_ADM,$AL303),"")</f>
        <v/>
      </c>
      <c r="G303" s="59" t="n"/>
      <c r="H303" s="60" t="n"/>
      <c r="I303" s="60" t="n"/>
      <c r="J303" s="60" t="n"/>
      <c r="K303" s="60" t="n"/>
      <c r="L303" s="60" t="n"/>
      <c r="M303" s="61">
        <f>IF(NOT((COUNTA($B303:$D303)+COUNTA($G303:$L303)+COUNTA($Q303))&gt;0),"",IF($V303="Sub",IFERROR($X303/INDEX($W$5:$W$1000,$U303-4),""),IF(ISNUMBER($G303),1,IF(N($W303)&gt;0,AVERAGEIFS($X$5:$X$1000,$U$5:$U$1000,ROW(),$V$5:$V$1000,"Sub"),$X303))))</f>
        <v/>
      </c>
      <c r="N303" s="56">
        <f>IF(OR($M303="",$V303="Sub"),"",IF($M303&gt;=1,"Completado",IF($M303&gt;0,"En curso","Pendiente")))</f>
        <v/>
      </c>
      <c r="O303" s="56">
        <f>IF(OR(NOT((COUNTA($B303:$D303)+COUNTA($G303:$L303)+COUNTA($Q303))&gt;0),$V303="Sub"),"",IF(ISNUMBER($G303),IF(AND(ISNUMBER($AN303),$G303&gt;$AN303),"Cumplida con "&amp;($G303-$AN303)&amp;IF($G303-$AN303=1," día"," días")&amp;" de retraso","Cumplida"),IF(N($M303)&gt;=1,"Cumplida",IF(NOT(ISNUMBER($AN303)),"Sin fecha límite",IF($AN303&lt;FechaRef,"Vencida hace "&amp;(FechaRef-$AN303)&amp;IF(FechaRef-$AN303=1," día"," días"),IF($AN303=FechaRef,"Vence hoy",IF($AN303-FechaRef&lt;=DiasAlerta,"Vence en "&amp;($AN303-FechaRef)&amp;IF($AN303-FechaRef=1," día"," días"),"En plazo")))))))</f>
        <v/>
      </c>
      <c r="P303" s="62" t="n"/>
      <c r="Q303" s="58" t="n"/>
      <c r="R303" s="63">
        <f>IF(NOT((COUNTA($B303:$D303)+COUNTA($G303:$L303)+COUNTA($Q303))&gt;0),"",IF((IF($C303="","Falta el nombre de la actividad"&amp;" · ","")&amp;IF(AND($V303="Sub",N($U303)=0),"Subactividad sin macroactividad arriba"&amp;" · ","")&amp;IF($AM303="","Sin fecha de inicio"&amp;" · ","")&amp;IF($AN303="","Sin fecha límite"&amp;" · ","")&amp;IF(AND(LEFT($C303,11)="[Jefatura] ",N($AL303)=0),"No se encuentra en la hoja de la jefatura (elíjala de nuevo en la lista)"&amp;" · ","")&amp;IF(OR(AND($E303&lt;&gt;"",NOT(ISNUMBER($E303))),AND($F303&lt;&gt;"",NOT(ISNUMBER($F303))),AND($G303&lt;&gt;"",NOT(ISNUMBER($G303)))),"Fecha no válida"&amp;" · ","")&amp;IF(AND(ISNUMBER($AM303),ISNUMBER($AN303),$AM303&gt;$AN303),"Inicio posterior a fecha límite"&amp;" · ","")&amp;IF(AND($V303="Macro",$H303&lt;&gt;"",OR(NOT(ISNUMBER($H303)),$H303&lt;0,$H303&gt;1)),"Peso fuera de rango"&amp;" · ","")&amp;IF(AND($V303="Sub",$H303&lt;&gt;""),"Las subactividades no llevan peso (valen igual dentro de su macroactividad)"&amp;" · ","")&amp;IF(AND(N($W303)&gt;0,COUNT($I303:$L303)&gt;0),"Con subactividades: deje vacías las semanas (se calculan solas)"&amp;" · ","")&amp;IF((COUNTIF($I303:$L303,"&gt;1")+COUNTIF($I303:$L303,"&lt;0")+COUNTA($I303:$L303)-COUNT($I303:$L303))&gt;0,"Avance fuera de rango 0-100%"&amp;" · ","")&amp;IF(OR(AND($J303&lt;&gt;"",$J303&lt;$I303),AND($K303&lt;&gt;"",$K303&lt;MAX($I303:$J303)),AND($L303&lt;&gt;"",$L303&lt;MAX($I303:$K303))),"Avance semanal decreciente"&amp;" · ","")&amp;IF(AND(ISNUMBER($AN303),$AN303&lt;FechaRef,IF($V303="Sub",N($X303),N($M303))&lt;1),"Vencida"&amp;" · ","")&amp;IF(AND(ObsObligatoria="Sí",ISNUMBER($AN303),$AN303&lt;FechaRef,IF($V303="Sub",N($X303),N($M303))&lt;1,$Q303=""),"Vencida sin observación"&amp;" · ",""))="","✔ OK","⚠ "&amp;LEFT(IF($C303="","Falta el nombre de la actividad"&amp;" · ","")&amp;IF(AND($V303="Sub",N($U303)=0),"Subactividad sin macroactividad arriba"&amp;" · ","")&amp;IF($AM303="","Sin fecha de inicio"&amp;" · ","")&amp;IF($AN303="","Sin fecha límite"&amp;" · ","")&amp;IF(AND(LEFT($C303,11)="[Jefatura] ",N($AL303)=0),"No se encuentra en la hoja de la jefatura (elíjala de nuevo en la lista)"&amp;" · ","")&amp;IF(OR(AND($E303&lt;&gt;"",NOT(ISNUMBER($E303))),AND($F303&lt;&gt;"",NOT(ISNUMBER($F303))),AND($G303&lt;&gt;"",NOT(ISNUMBER($G303)))),"Fecha no válida"&amp;" · ","")&amp;IF(AND(ISNUMBER($AM303),ISNUMBER($AN303),$AM303&gt;$AN303),"Inicio posterior a fecha límite"&amp;" · ","")&amp;IF(AND($V303="Macro",$H303&lt;&gt;"",OR(NOT(ISNUMBER($H303)),$H303&lt;0,$H303&gt;1)),"Peso fuera de rango"&amp;" · ","")&amp;IF(AND($V303="Sub",$H303&lt;&gt;""),"Las subactividades no llevan peso (valen igual dentro de su macroactividad)"&amp;" · ","")&amp;IF(AND(N($W303)&gt;0,COUNT($I303:$L303)&gt;0),"Con subactividades: deje vacías las semanas (se calculan solas)"&amp;" · ","")&amp;IF((COUNTIF($I303:$L303,"&gt;1")+COUNTIF($I303:$L303,"&lt;0")+COUNTA($I303:$L303)-COUNT($I303:$L303))&gt;0,"Avance fuera de rango 0-100%"&amp;" · ","")&amp;IF(OR(AND($J303&lt;&gt;"",$J303&lt;$I303),AND($K303&lt;&gt;"",$K303&lt;MAX($I303:$J303)),AND($L303&lt;&gt;"",$L303&lt;MAX($I303:$K303))),"Avance semanal decreciente"&amp;" · ","")&amp;IF(AND(ISNUMBER($AN303),$AN303&lt;FechaRef,IF($V303="Sub",N($X303),N($M303))&lt;1),"Vencida"&amp;" · ","")&amp;IF(AND(ObsObligatoria="Sí",ISNUMBER($AN303),$AN303&lt;FechaRef,IF($V303="Sub",N($X303),N($M303))&lt;1,$Q303=""),"Vencida sin observación"&amp;" · ",""),LEN(IF($C303="","Falta el nombre de la actividad"&amp;" · ","")&amp;IF(AND($V303="Sub",N($U303)=0),"Subactividad sin macroactividad arriba"&amp;" · ","")&amp;IF($AM303="","Sin fecha de inicio"&amp;" · ","")&amp;IF($AN303="","Sin fecha límite"&amp;" · ","")&amp;IF(AND(LEFT($C303,11)="[Jefatura] ",N($AL303)=0),"No se encuentra en la hoja de la jefatura (elíjala de nuevo en la lista)"&amp;" · ","")&amp;IF(OR(AND($E303&lt;&gt;"",NOT(ISNUMBER($E303))),AND($F303&lt;&gt;"",NOT(ISNUMBER($F303))),AND($G303&lt;&gt;"",NOT(ISNUMBER($G303)))),"Fecha no válida"&amp;" · ","")&amp;IF(AND(ISNUMBER($AM303),ISNUMBER($AN303),$AM303&gt;$AN303),"Inicio posterior a fecha límite"&amp;" · ","")&amp;IF(AND($V303="Macro",$H303&lt;&gt;"",OR(NOT(ISNUMBER($H303)),$H303&lt;0,$H303&gt;1)),"Peso fuera de rango"&amp;" · ","")&amp;IF(AND($V303="Sub",$H303&lt;&gt;""),"Las subactividades no llevan peso (valen igual dentro de su macroactividad)"&amp;" · ","")&amp;IF(AND(N($W303)&gt;0,COUNT($I303:$L303)&gt;0),"Con subactividades: deje vacías las semanas (se calculan solas)"&amp;" · ","")&amp;IF((COUNTIF($I303:$L303,"&gt;1")+COUNTIF($I303:$L303,"&lt;0")+COUNTA($I303:$L303)-COUNT($I303:$L303))&gt;0,"Avance fuera de rango 0-100%"&amp;" · ","")&amp;IF(OR(AND($J303&lt;&gt;"",$J303&lt;$I303),AND($K303&lt;&gt;"",$K303&lt;MAX($I303:$J303)),AND($L303&lt;&gt;"",$L303&lt;MAX($I303:$K303))),"Avance semanal decreciente"&amp;" · ","")&amp;IF(AND(ISNUMBER($AN303),$AN303&lt;FechaRef,IF($V303="Sub",N($X303),N($M303))&lt;1),"Vencida"&amp;" · ","")&amp;IF(AND(ObsObligatoria="Sí",ISNUMBER($AN303),$AN303&lt;FechaRef,IF($V303="Sub",N($X303),N($M303))&lt;1,$Q303=""),"Vencida sin observación"&amp;" · ",""))-3)))</f>
        <v/>
      </c>
      <c r="S303" s="64">
        <f>IF(NOT((COUNTA($B303:$D303)+COUNTA($G303:$L303)+COUNTA($Q303))&gt;0),"",IF(AND($V303="Sub",N($U303)&gt;0),IF(ISNUMBER(INDEX($AM$5:$AM$1000,$U303-4)),DATE(YEAR(INDEX($AM$5:$AM$1000,$U303-4)),MONTH(INDEX($AM$5:$AM$1000,$U303-4)),1),IF(ISNUMBER(INDEX($AN$5:$AN$1000,$U303-4)),DATE(YEAR(INDEX($AN$5:$AN$1000,$U303-4)),MONTH(INDEX($AN$5:$AN$1000,$U303-4)),1),MesCiclo)),IF(ISNUMBER($AM303),DATE(YEAR($AM303),MONTH($AM303),1),IF(ISNUMBER($AN303),DATE(YEAR($AN303),MONTH($AN303),1),MesCiclo))))</f>
        <v/>
      </c>
      <c r="T303" s="62">
        <f>IF(OR($S303="",$S303&lt;&gt;MesCiclo,$V303&lt;&gt;"Macro"),"",COUNTIFS($S$5:$S303,MesCiclo,$V$5:$V303,"Macro"))</f>
        <v/>
      </c>
      <c r="U303" s="62">
        <f>IF($V303="","",IF($V303="Macro",ROW(),IFERROR(LOOKUP(2,1/($V$5:$V303="Macro"),ROW($V$5:$V303)),0)))</f>
        <v/>
      </c>
      <c r="V303" s="62">
        <f>IF(NOT((COUNTA($B303:$D303)+COUNTA($G303:$L303)+COUNTA($Q303))&gt;0),"",IF($B303="Subactividad","Sub","Macro"))</f>
        <v/>
      </c>
      <c r="W303" s="62">
        <f>IF($V303="Macro",COUNTIFS($U$5:$U$1000,ROW(),$V$5:$V$1000,"Sub"),"")</f>
        <v/>
      </c>
      <c r="X303" s="62">
        <f>IF($V303="","",IF(ISNUMBER($G303),1,IFERROR(LOOKUP(2,1/($I303:$L303&lt;&gt;""),$I303:$L303),0)))</f>
        <v/>
      </c>
      <c r="Y303" s="62">
        <f>IF($V303="","",IF(AND(ISNUMBER($G303),$G303&lt;=IF($S303=MesCiclo,InicioCiclo,$S303+MOD(2-WEEKDAY($S303),7))+6),1,IF(ISNUMBER($I303),$I303,0)))</f>
        <v/>
      </c>
      <c r="Z303" s="62">
        <f>IF($V303="","",IF(AND(ISNUMBER($G303),$G303&lt;=IF($S303=MesCiclo,InicioCiclo,$S303+MOD(2-WEEKDAY($S303),7))+13),1,IF(ISNUMBER($J303),$J303,$Y303)))</f>
        <v/>
      </c>
      <c r="AA303" s="62">
        <f>IF($V303="","",IF(AND(ISNUMBER($G303),$G303&lt;=IF($S303=MesCiclo,InicioCiclo,$S303+MOD(2-WEEKDAY($S303),7))+20),1,IF(ISNUMBER($K303),$K303,$Z303)))</f>
        <v/>
      </c>
      <c r="AB303" s="62">
        <f>IF($V303="","",IF(AND(ISNUMBER($G303),$G303&lt;=IF($S303=MesCiclo,InicioCiclo,$S303+MOD(2-WEEKDAY($S303),7))+27),1,IF(ISNUMBER($L303),$L303,$AA303)))</f>
        <v/>
      </c>
      <c r="AC303" s="62">
        <f>IF($V303="","",IF(AND(ISNUMBER($G303),$G303&lt;=IF($S303=MesCiclo,InicioCiclo,$S303+MOD(2-WEEKDAY($S303),7))+6),1,IF(N($W303)&gt;0,AVERAGEIFS($Y$5:$Y$1000,$U$5:$U$1000,ROW(),$V$5:$V$1000,"Sub"),$Y303)))</f>
        <v/>
      </c>
      <c r="AD303" s="62">
        <f>IF($V303="","",IF(AND(ISNUMBER($G303),$G303&lt;=IF($S303=MesCiclo,InicioCiclo,$S303+MOD(2-WEEKDAY($S303),7))+13),1,IF(N($W303)&gt;0,AVERAGEIFS($Z$5:$Z$1000,$U$5:$U$1000,ROW(),$V$5:$V$1000,"Sub"),$Z303)))</f>
        <v/>
      </c>
      <c r="AE303" s="62">
        <f>IF($V303="","",IF(AND(ISNUMBER($G303),$G303&lt;=IF($S303=MesCiclo,InicioCiclo,$S303+MOD(2-WEEKDAY($S303),7))+20),1,IF(N($W303)&gt;0,AVERAGEIFS($AA$5:$AA$1000,$U$5:$U$1000,ROW(),$V$5:$V$1000,"Sub"),$AA303)))</f>
        <v/>
      </c>
      <c r="AF303" s="62">
        <f>IF($V303="","",IF(AND(ISNUMBER($G303),$G303&lt;=IF($S303=MesCiclo,InicioCiclo,$S303+MOD(2-WEEKDAY($S303),7))+27),1,IF(N($W303)&gt;0,AVERAGEIFS($AB$5:$AB$1000,$U$5:$U$1000,ROW(),$V$5:$V$1000,"Sub"),$AB303)))</f>
        <v/>
      </c>
      <c r="AG303" s="62">
        <f>IF($V303&lt;&gt;"Macro","",IF(COUNTIFS($S$5:$S$1000,$S303,$V$5:$V$1000,"Macro",$H$5:$H$1000,"&gt;0")=0,1/COUNTIFS($S$5:$S$1000,$S303,$V$5:$V$1000,"Macro"),IF(AND(ISNUMBER($H303),N($H303)&gt;0),$H303,SUMIFS($H$5:$H$1000,$S$5:$S$1000,$S303,$V$5:$V$1000,"Macro")/COUNTIFS($S$5:$S$1000,$S303,$V$5:$V$1000,"Macro",$H$5:$H$1000,"&gt;0"))/(COUNTIFS($S$5:$S$1000,$S303,$V$5:$V$1000,"Macro")*SUMIFS($H$5:$H$1000,$S$5:$S$1000,$S303,$V$5:$V$1000,"Macro")/COUNTIFS($S$5:$S$1000,$S303,$V$5:$V$1000,"Macro",$H$5:$H$1000,"&gt;0"))))</f>
        <v/>
      </c>
      <c r="AH303" s="62" t="n"/>
      <c r="AI303" s="62" t="n"/>
      <c r="AJ303" s="62" t="n"/>
      <c r="AK303" s="62" t="n"/>
      <c r="AL303" s="62">
        <f>IF(LEFT($C303,11)="[Jefatura] ",IFERROR(MATCH("Riesgo Financiero|"&amp;MID($C303,12,500),rDname_ADM,0),0),"")</f>
        <v/>
      </c>
      <c r="AM303" s="62">
        <f>IF(N($AL303)&gt;0,INDEX(rIni_ADM,$AL303),IF(ISNUMBER($E303),$E303,""))</f>
        <v/>
      </c>
      <c r="AN303" s="62">
        <f>IF(N($AL303)&gt;0,INDEX(rLim_ADM,$AL303),IF(ISNUMBER($F303),$F303,""))</f>
        <v/>
      </c>
    </row>
    <row r="304">
      <c r="A304" s="56">
        <f>IF(NOT((COUNTA($B304:$D304)+COUNTA($G304:$L304)+COUNTA($Q304))&gt;0),"",IF($V304="Macro",COUNTIFS($V$5:$V304,"Macro",$S$5:$S304,$S304),IF(N($U304)=0,"?",COUNTIFS(INDEX($V$5:$V$1000,1):INDEX($V$5:$V$1000,$U304-4),"Macro",INDEX($S$5:$S$1000,1):INDEX($S$5:$S$1000,$U304-4),INDEX($S$5:$S$1000,$U304-4))&amp;"."&amp;COUNTIFS($U$5:$U304,$U304,$V$5:$V304,"Sub"))))</f>
        <v/>
      </c>
      <c r="B304" s="57" t="n"/>
      <c r="C304" s="58" t="n"/>
      <c r="D304" s="58" t="n"/>
      <c r="E304" s="59">
        <f>IF(N($AL304)&gt;0,INDEX(rIni_ADM,$AL304),"")</f>
        <v/>
      </c>
      <c r="F304" s="59">
        <f>IF(N($AL304)&gt;0,INDEX(rLim_ADM,$AL304),"")</f>
        <v/>
      </c>
      <c r="G304" s="59" t="n"/>
      <c r="H304" s="60" t="n"/>
      <c r="I304" s="60" t="n"/>
      <c r="J304" s="60" t="n"/>
      <c r="K304" s="60" t="n"/>
      <c r="L304" s="60" t="n"/>
      <c r="M304" s="61">
        <f>IF(NOT((COUNTA($B304:$D304)+COUNTA($G304:$L304)+COUNTA($Q304))&gt;0),"",IF($V304="Sub",IFERROR($X304/INDEX($W$5:$W$1000,$U304-4),""),IF(ISNUMBER($G304),1,IF(N($W304)&gt;0,AVERAGEIFS($X$5:$X$1000,$U$5:$U$1000,ROW(),$V$5:$V$1000,"Sub"),$X304))))</f>
        <v/>
      </c>
      <c r="N304" s="56">
        <f>IF(OR($M304="",$V304="Sub"),"",IF($M304&gt;=1,"Completado",IF($M304&gt;0,"En curso","Pendiente")))</f>
        <v/>
      </c>
      <c r="O304" s="56">
        <f>IF(OR(NOT((COUNTA($B304:$D304)+COUNTA($G304:$L304)+COUNTA($Q304))&gt;0),$V304="Sub"),"",IF(ISNUMBER($G304),IF(AND(ISNUMBER($AN304),$G304&gt;$AN304),"Cumplida con "&amp;($G304-$AN304)&amp;IF($G304-$AN304=1," día"," días")&amp;" de retraso","Cumplida"),IF(N($M304)&gt;=1,"Cumplida",IF(NOT(ISNUMBER($AN304)),"Sin fecha límite",IF($AN304&lt;FechaRef,"Vencida hace "&amp;(FechaRef-$AN304)&amp;IF(FechaRef-$AN304=1," día"," días"),IF($AN304=FechaRef,"Vence hoy",IF($AN304-FechaRef&lt;=DiasAlerta,"Vence en "&amp;($AN304-FechaRef)&amp;IF($AN304-FechaRef=1," día"," días"),"En plazo")))))))</f>
        <v/>
      </c>
      <c r="P304" s="62" t="n"/>
      <c r="Q304" s="58" t="n"/>
      <c r="R304" s="63">
        <f>IF(NOT((COUNTA($B304:$D304)+COUNTA($G304:$L304)+COUNTA($Q304))&gt;0),"",IF((IF($C304="","Falta el nombre de la actividad"&amp;" · ","")&amp;IF(AND($V304="Sub",N($U304)=0),"Subactividad sin macroactividad arriba"&amp;" · ","")&amp;IF($AM304="","Sin fecha de inicio"&amp;" · ","")&amp;IF($AN304="","Sin fecha límite"&amp;" · ","")&amp;IF(AND(LEFT($C304,11)="[Jefatura] ",N($AL304)=0),"No se encuentra en la hoja de la jefatura (elíjala de nuevo en la lista)"&amp;" · ","")&amp;IF(OR(AND($E304&lt;&gt;"",NOT(ISNUMBER($E304))),AND($F304&lt;&gt;"",NOT(ISNUMBER($F304))),AND($G304&lt;&gt;"",NOT(ISNUMBER($G304)))),"Fecha no válida"&amp;" · ","")&amp;IF(AND(ISNUMBER($AM304),ISNUMBER($AN304),$AM304&gt;$AN304),"Inicio posterior a fecha límite"&amp;" · ","")&amp;IF(AND($V304="Macro",$H304&lt;&gt;"",OR(NOT(ISNUMBER($H304)),$H304&lt;0,$H304&gt;1)),"Peso fuera de rango"&amp;" · ","")&amp;IF(AND($V304="Sub",$H304&lt;&gt;""),"Las subactividades no llevan peso (valen igual dentro de su macroactividad)"&amp;" · ","")&amp;IF(AND(N($W304)&gt;0,COUNT($I304:$L304)&gt;0),"Con subactividades: deje vacías las semanas (se calculan solas)"&amp;" · ","")&amp;IF((COUNTIF($I304:$L304,"&gt;1")+COUNTIF($I304:$L304,"&lt;0")+COUNTA($I304:$L304)-COUNT($I304:$L304))&gt;0,"Avance fuera de rango 0-100%"&amp;" · ","")&amp;IF(OR(AND($J304&lt;&gt;"",$J304&lt;$I304),AND($K304&lt;&gt;"",$K304&lt;MAX($I304:$J304)),AND($L304&lt;&gt;"",$L304&lt;MAX($I304:$K304))),"Avance semanal decreciente"&amp;" · ","")&amp;IF(AND(ISNUMBER($AN304),$AN304&lt;FechaRef,IF($V304="Sub",N($X304),N($M304))&lt;1),"Vencida"&amp;" · ","")&amp;IF(AND(ObsObligatoria="Sí",ISNUMBER($AN304),$AN304&lt;FechaRef,IF($V304="Sub",N($X304),N($M304))&lt;1,$Q304=""),"Vencida sin observación"&amp;" · ",""))="","✔ OK","⚠ "&amp;LEFT(IF($C304="","Falta el nombre de la actividad"&amp;" · ","")&amp;IF(AND($V304="Sub",N($U304)=0),"Subactividad sin macroactividad arriba"&amp;" · ","")&amp;IF($AM304="","Sin fecha de inicio"&amp;" · ","")&amp;IF($AN304="","Sin fecha límite"&amp;" · ","")&amp;IF(AND(LEFT($C304,11)="[Jefatura] ",N($AL304)=0),"No se encuentra en la hoja de la jefatura (elíjala de nuevo en la lista)"&amp;" · ","")&amp;IF(OR(AND($E304&lt;&gt;"",NOT(ISNUMBER($E304))),AND($F304&lt;&gt;"",NOT(ISNUMBER($F304))),AND($G304&lt;&gt;"",NOT(ISNUMBER($G304)))),"Fecha no válida"&amp;" · ","")&amp;IF(AND(ISNUMBER($AM304),ISNUMBER($AN304),$AM304&gt;$AN304),"Inicio posterior a fecha límite"&amp;" · ","")&amp;IF(AND($V304="Macro",$H304&lt;&gt;"",OR(NOT(ISNUMBER($H304)),$H304&lt;0,$H304&gt;1)),"Peso fuera de rango"&amp;" · ","")&amp;IF(AND($V304="Sub",$H304&lt;&gt;""),"Las subactividades no llevan peso (valen igual dentro de su macroactividad)"&amp;" · ","")&amp;IF(AND(N($W304)&gt;0,COUNT($I304:$L304)&gt;0),"Con subactividades: deje vacías las semanas (se calculan solas)"&amp;" · ","")&amp;IF((COUNTIF($I304:$L304,"&gt;1")+COUNTIF($I304:$L304,"&lt;0")+COUNTA($I304:$L304)-COUNT($I304:$L304))&gt;0,"Avance fuera de rango 0-100%"&amp;" · ","")&amp;IF(OR(AND($J304&lt;&gt;"",$J304&lt;$I304),AND($K304&lt;&gt;"",$K304&lt;MAX($I304:$J304)),AND($L304&lt;&gt;"",$L304&lt;MAX($I304:$K304))),"Avance semanal decreciente"&amp;" · ","")&amp;IF(AND(ISNUMBER($AN304),$AN304&lt;FechaRef,IF($V304="Sub",N($X304),N($M304))&lt;1),"Vencida"&amp;" · ","")&amp;IF(AND(ObsObligatoria="Sí",ISNUMBER($AN304),$AN304&lt;FechaRef,IF($V304="Sub",N($X304),N($M304))&lt;1,$Q304=""),"Vencida sin observación"&amp;" · ",""),LEN(IF($C304="","Falta el nombre de la actividad"&amp;" · ","")&amp;IF(AND($V304="Sub",N($U304)=0),"Subactividad sin macroactividad arriba"&amp;" · ","")&amp;IF($AM304="","Sin fecha de inicio"&amp;" · ","")&amp;IF($AN304="","Sin fecha límite"&amp;" · ","")&amp;IF(AND(LEFT($C304,11)="[Jefatura] ",N($AL304)=0),"No se encuentra en la hoja de la jefatura (elíjala de nuevo en la lista)"&amp;" · ","")&amp;IF(OR(AND($E304&lt;&gt;"",NOT(ISNUMBER($E304))),AND($F304&lt;&gt;"",NOT(ISNUMBER($F304))),AND($G304&lt;&gt;"",NOT(ISNUMBER($G304)))),"Fecha no válida"&amp;" · ","")&amp;IF(AND(ISNUMBER($AM304),ISNUMBER($AN304),$AM304&gt;$AN304),"Inicio posterior a fecha límite"&amp;" · ","")&amp;IF(AND($V304="Macro",$H304&lt;&gt;"",OR(NOT(ISNUMBER($H304)),$H304&lt;0,$H304&gt;1)),"Peso fuera de rango"&amp;" · ","")&amp;IF(AND($V304="Sub",$H304&lt;&gt;""),"Las subactividades no llevan peso (valen igual dentro de su macroactividad)"&amp;" · ","")&amp;IF(AND(N($W304)&gt;0,COUNT($I304:$L304)&gt;0),"Con subactividades: deje vacías las semanas (se calculan solas)"&amp;" · ","")&amp;IF((COUNTIF($I304:$L304,"&gt;1")+COUNTIF($I304:$L304,"&lt;0")+COUNTA($I304:$L304)-COUNT($I304:$L304))&gt;0,"Avance fuera de rango 0-100%"&amp;" · ","")&amp;IF(OR(AND($J304&lt;&gt;"",$J304&lt;$I304),AND($K304&lt;&gt;"",$K304&lt;MAX($I304:$J304)),AND($L304&lt;&gt;"",$L304&lt;MAX($I304:$K304))),"Avance semanal decreciente"&amp;" · ","")&amp;IF(AND(ISNUMBER($AN304),$AN304&lt;FechaRef,IF($V304="Sub",N($X304),N($M304))&lt;1),"Vencida"&amp;" · ","")&amp;IF(AND(ObsObligatoria="Sí",ISNUMBER($AN304),$AN304&lt;FechaRef,IF($V304="Sub",N($X304),N($M304))&lt;1,$Q304=""),"Vencida sin observación"&amp;" · ",""))-3)))</f>
        <v/>
      </c>
      <c r="S304" s="64">
        <f>IF(NOT((COUNTA($B304:$D304)+COUNTA($G304:$L304)+COUNTA($Q304))&gt;0),"",IF(AND($V304="Sub",N($U304)&gt;0),IF(ISNUMBER(INDEX($AM$5:$AM$1000,$U304-4)),DATE(YEAR(INDEX($AM$5:$AM$1000,$U304-4)),MONTH(INDEX($AM$5:$AM$1000,$U304-4)),1),IF(ISNUMBER(INDEX($AN$5:$AN$1000,$U304-4)),DATE(YEAR(INDEX($AN$5:$AN$1000,$U304-4)),MONTH(INDEX($AN$5:$AN$1000,$U304-4)),1),MesCiclo)),IF(ISNUMBER($AM304),DATE(YEAR($AM304),MONTH($AM304),1),IF(ISNUMBER($AN304),DATE(YEAR($AN304),MONTH($AN304),1),MesCiclo))))</f>
        <v/>
      </c>
      <c r="T304" s="62">
        <f>IF(OR($S304="",$S304&lt;&gt;MesCiclo,$V304&lt;&gt;"Macro"),"",COUNTIFS($S$5:$S304,MesCiclo,$V$5:$V304,"Macro"))</f>
        <v/>
      </c>
      <c r="U304" s="62">
        <f>IF($V304="","",IF($V304="Macro",ROW(),IFERROR(LOOKUP(2,1/($V$5:$V304="Macro"),ROW($V$5:$V304)),0)))</f>
        <v/>
      </c>
      <c r="V304" s="62">
        <f>IF(NOT((COUNTA($B304:$D304)+COUNTA($G304:$L304)+COUNTA($Q304))&gt;0),"",IF($B304="Subactividad","Sub","Macro"))</f>
        <v/>
      </c>
      <c r="W304" s="62">
        <f>IF($V304="Macro",COUNTIFS($U$5:$U$1000,ROW(),$V$5:$V$1000,"Sub"),"")</f>
        <v/>
      </c>
      <c r="X304" s="62">
        <f>IF($V304="","",IF(ISNUMBER($G304),1,IFERROR(LOOKUP(2,1/($I304:$L304&lt;&gt;""),$I304:$L304),0)))</f>
        <v/>
      </c>
      <c r="Y304" s="62">
        <f>IF($V304="","",IF(AND(ISNUMBER($G304),$G304&lt;=IF($S304=MesCiclo,InicioCiclo,$S304+MOD(2-WEEKDAY($S304),7))+6),1,IF(ISNUMBER($I304),$I304,0)))</f>
        <v/>
      </c>
      <c r="Z304" s="62">
        <f>IF($V304="","",IF(AND(ISNUMBER($G304),$G304&lt;=IF($S304=MesCiclo,InicioCiclo,$S304+MOD(2-WEEKDAY($S304),7))+13),1,IF(ISNUMBER($J304),$J304,$Y304)))</f>
        <v/>
      </c>
      <c r="AA304" s="62">
        <f>IF($V304="","",IF(AND(ISNUMBER($G304),$G304&lt;=IF($S304=MesCiclo,InicioCiclo,$S304+MOD(2-WEEKDAY($S304),7))+20),1,IF(ISNUMBER($K304),$K304,$Z304)))</f>
        <v/>
      </c>
      <c r="AB304" s="62">
        <f>IF($V304="","",IF(AND(ISNUMBER($G304),$G304&lt;=IF($S304=MesCiclo,InicioCiclo,$S304+MOD(2-WEEKDAY($S304),7))+27),1,IF(ISNUMBER($L304),$L304,$AA304)))</f>
        <v/>
      </c>
      <c r="AC304" s="62">
        <f>IF($V304="","",IF(AND(ISNUMBER($G304),$G304&lt;=IF($S304=MesCiclo,InicioCiclo,$S304+MOD(2-WEEKDAY($S304),7))+6),1,IF(N($W304)&gt;0,AVERAGEIFS($Y$5:$Y$1000,$U$5:$U$1000,ROW(),$V$5:$V$1000,"Sub"),$Y304)))</f>
        <v/>
      </c>
      <c r="AD304" s="62">
        <f>IF($V304="","",IF(AND(ISNUMBER($G304),$G304&lt;=IF($S304=MesCiclo,InicioCiclo,$S304+MOD(2-WEEKDAY($S304),7))+13),1,IF(N($W304)&gt;0,AVERAGEIFS($Z$5:$Z$1000,$U$5:$U$1000,ROW(),$V$5:$V$1000,"Sub"),$Z304)))</f>
        <v/>
      </c>
      <c r="AE304" s="62">
        <f>IF($V304="","",IF(AND(ISNUMBER($G304),$G304&lt;=IF($S304=MesCiclo,InicioCiclo,$S304+MOD(2-WEEKDAY($S304),7))+20),1,IF(N($W304)&gt;0,AVERAGEIFS($AA$5:$AA$1000,$U$5:$U$1000,ROW(),$V$5:$V$1000,"Sub"),$AA304)))</f>
        <v/>
      </c>
      <c r="AF304" s="62">
        <f>IF($V304="","",IF(AND(ISNUMBER($G304),$G304&lt;=IF($S304=MesCiclo,InicioCiclo,$S304+MOD(2-WEEKDAY($S304),7))+27),1,IF(N($W304)&gt;0,AVERAGEIFS($AB$5:$AB$1000,$U$5:$U$1000,ROW(),$V$5:$V$1000,"Sub"),$AB304)))</f>
        <v/>
      </c>
      <c r="AG304" s="62">
        <f>IF($V304&lt;&gt;"Macro","",IF(COUNTIFS($S$5:$S$1000,$S304,$V$5:$V$1000,"Macro",$H$5:$H$1000,"&gt;0")=0,1/COUNTIFS($S$5:$S$1000,$S304,$V$5:$V$1000,"Macro"),IF(AND(ISNUMBER($H304),N($H304)&gt;0),$H304,SUMIFS($H$5:$H$1000,$S$5:$S$1000,$S304,$V$5:$V$1000,"Macro")/COUNTIFS($S$5:$S$1000,$S304,$V$5:$V$1000,"Macro",$H$5:$H$1000,"&gt;0"))/(COUNTIFS($S$5:$S$1000,$S304,$V$5:$V$1000,"Macro")*SUMIFS($H$5:$H$1000,$S$5:$S$1000,$S304,$V$5:$V$1000,"Macro")/COUNTIFS($S$5:$S$1000,$S304,$V$5:$V$1000,"Macro",$H$5:$H$1000,"&gt;0"))))</f>
        <v/>
      </c>
      <c r="AH304" s="62" t="n"/>
      <c r="AI304" s="62" t="n"/>
      <c r="AJ304" s="62" t="n"/>
      <c r="AK304" s="62" t="n"/>
      <c r="AL304" s="62">
        <f>IF(LEFT($C304,11)="[Jefatura] ",IFERROR(MATCH("Riesgo Financiero|"&amp;MID($C304,12,500),rDname_ADM,0),0),"")</f>
        <v/>
      </c>
      <c r="AM304" s="62">
        <f>IF(N($AL304)&gt;0,INDEX(rIni_ADM,$AL304),IF(ISNUMBER($E304),$E304,""))</f>
        <v/>
      </c>
      <c r="AN304" s="62">
        <f>IF(N($AL304)&gt;0,INDEX(rLim_ADM,$AL304),IF(ISNUMBER($F304),$F304,""))</f>
        <v/>
      </c>
    </row>
  </sheetData>
  <sheetProtection selectLockedCells="0" selectUnlockedCells="0" sheet="1" objects="0" insertRows="1" insertHyperlinks="1" autoFilter="0" scenarios="0" formatColumns="0" deleteColumns="1" insertColumns="1" pivotTables="1" deleteRows="1" formatCells="1" formatRows="0" sort="0"/>
  <mergeCells count="6">
    <mergeCell ref="A1:S1"/>
    <mergeCell ref="M3:O3"/>
    <mergeCell ref="E3:J3"/>
    <mergeCell ref="A2:S2"/>
    <mergeCell ref="K3:L3"/>
    <mergeCell ref="Q3:S3"/>
  </mergeCells>
  <conditionalFormatting sqref="M3:O3">
    <cfRule type="expression" priority="1" dxfId="8" stopIfTrue="1">
      <formula>COUNTIFS($S$5:$S$1000,MesCiclo,$O$5:$O$1000,"Vencida*")&gt;0</formula>
    </cfRule>
    <cfRule type="expression" priority="2" dxfId="9" stopIfTrue="1">
      <formula>COUNTIFS($S$5:$S$1000,MesCiclo,$O$5:$O$1000,"Vence*")&gt;0</formula>
    </cfRule>
    <cfRule type="expression" priority="3" dxfId="0">
      <formula>TRUE</formula>
    </cfRule>
  </conditionalFormatting>
  <conditionalFormatting sqref="Q3:S3">
    <cfRule type="expression" priority="4" dxfId="9" stopIfTrue="1">
      <formula>(COUNTIFS('Administración'!$D$5:$D$1000,"Riesgo Financiero",'Administración'!$S$5:$S$1000,MesCiclo,'Administración'!$V$5:$V$1000,"Macro")-COUNTIFS('Administración'!$D$5:$D$1000,"Riesgo Financiero",'Administración'!$S$5:$S$1000,MesCiclo,'Administración'!$V$5:$V$1000,"Macro",'Administración'!$AH$5:$AH$1000,"&gt;0"))&gt;0</formula>
    </cfRule>
    <cfRule type="expression" priority="5" dxfId="0">
      <formula>COUNTIFS('Administración'!$D$5:$D$1000,"Riesgo Financiero",'Administración'!$S$5:$S$1000,MesCiclo,'Administración'!$V$5:$V$1000,"Macro")&gt;0</formula>
    </cfRule>
  </conditionalFormatting>
  <conditionalFormatting sqref="C5:C1000">
    <cfRule type="expression" priority="6" dxfId="10" stopIfTrue="1">
      <formula>LEFT($C5,11)="[Jefatura] "</formula>
    </cfRule>
    <cfRule type="expression" priority="9" dxfId="11">
      <formula>$V5="Sub"</formula>
    </cfRule>
  </conditionalFormatting>
  <conditionalFormatting sqref="A5:C1000">
    <cfRule type="expression" priority="7" dxfId="5" stopIfTrue="1">
      <formula>AND($V5="Macro",$C5="")</formula>
    </cfRule>
    <cfRule type="expression" priority="8" dxfId="23">
      <formula>$V5="Macro"</formula>
    </cfRule>
  </conditionalFormatting>
  <conditionalFormatting sqref="N5:N1000">
    <cfRule type="expression" priority="10" dxfId="0">
      <formula>$N5="Completado"</formula>
    </cfRule>
    <cfRule type="expression" priority="11" dxfId="4">
      <formula>$N5="En curso"</formula>
    </cfRule>
    <cfRule type="expression" priority="12" dxfId="5">
      <formula>$N5="Pendiente"</formula>
    </cfRule>
  </conditionalFormatting>
  <conditionalFormatting sqref="O5:O1000">
    <cfRule type="expression" priority="13" dxfId="8" stopIfTrue="1">
      <formula>LEFT($O5,7)="Vencida"</formula>
    </cfRule>
    <cfRule type="expression" priority="14" dxfId="9" stopIfTrue="1">
      <formula>LEFT($O5,5)="Vence"</formula>
    </cfRule>
    <cfRule type="expression" priority="15" dxfId="0" stopIfTrue="1">
      <formula>LEFT($O5,8)="Cumplida"</formula>
    </cfRule>
    <cfRule type="expression" priority="16" dxfId="13" stopIfTrue="1">
      <formula>$O5="En plazo"</formula>
    </cfRule>
    <cfRule type="expression" priority="17" dxfId="5">
      <formula>$O5="Sin fecha límite"</formula>
    </cfRule>
  </conditionalFormatting>
  <conditionalFormatting sqref="M5:M1000">
    <cfRule type="expression" priority="18" dxfId="14" stopIfTrue="1">
      <formula>$V5="Sub"</formula>
    </cfRule>
    <cfRule type="expression" priority="19" dxfId="0">
      <formula>AND(ISNUMBER($M5),$M5&gt;=1)</formula>
    </cfRule>
    <cfRule type="dataBar" priority="20">
      <dataBar showValue="1">
        <cfvo type="num" val="0"/>
        <cfvo type="num" val="1"/>
        <color rgb="005B9BD5"/>
      </dataBar>
    </cfRule>
  </conditionalFormatting>
  <conditionalFormatting sqref="G5:G1000">
    <cfRule type="expression" priority="21" dxfId="0">
      <formula>ISNUMBER($G5)</formula>
    </cfRule>
  </conditionalFormatting>
  <conditionalFormatting sqref="F5:F1000">
    <cfRule type="expression" priority="22" dxfId="6" stopIfTrue="1">
      <formula>AND(ISNUMBER($AN5),$AN5&lt;FechaRef,IF($V5="Sub",N($X5),N($M5))&lt;1)</formula>
    </cfRule>
    <cfRule type="expression" priority="23" dxfId="7">
      <formula>AND(ISNUMBER($AN5),$AN5&gt;=FechaRef,$AN5-FechaRef&lt;=DiasAlerta,IF($V5="Sub",N($X5),N($M5))&lt;1)</formula>
    </cfRule>
  </conditionalFormatting>
  <conditionalFormatting sqref="E5:F1000">
    <cfRule type="expression" priority="24" dxfId="10" stopIfTrue="1">
      <formula>AND(N($AL5)&gt;0)</formula>
    </cfRule>
    <cfRule type="expression" priority="25" dxfId="5" stopIfTrue="1">
      <formula>AND((COUNTA($B5:$D5)+COUNTA($G5:$L5)+COUNTA($Q5))&gt;0,$AM5="")</formula>
    </cfRule>
    <cfRule type="expression" priority="26" dxfId="6">
      <formula>AND(ISNUMBER($E5),ISNUMBER($F5),$E5&gt;$F5)</formula>
    </cfRule>
  </conditionalFormatting>
  <conditionalFormatting sqref="H5:H1000">
    <cfRule type="expression" priority="27" dxfId="5" stopIfTrue="1">
      <formula>AND($V5="Sub",$H5&lt;&gt;"")</formula>
    </cfRule>
    <cfRule type="expression" priority="28" dxfId="15" stopIfTrue="1">
      <formula>$V5="Sub"</formula>
    </cfRule>
  </conditionalFormatting>
  <conditionalFormatting sqref="I5:L1000">
    <cfRule type="expression" priority="29" dxfId="5" stopIfTrue="1">
      <formula>AND(N($W5)&gt;0,I5&lt;&gt;"")</formula>
    </cfRule>
    <cfRule type="expression" priority="30" dxfId="15" stopIfTrue="1">
      <formula>OR(N($W5)&gt;0,ISNUMBER($G5))</formula>
    </cfRule>
    <cfRule type="expression" priority="31" dxfId="5" stopIfTrue="1">
      <formula>AND(I5&lt;&gt;"",OR(NOT(ISNUMBER(I5)),I5&gt;1,I5&lt;0))</formula>
    </cfRule>
  </conditionalFormatting>
  <conditionalFormatting sqref="J5:L1000">
    <cfRule type="expression" priority="32" dxfId="6">
      <formula>AND(J5&lt;&gt;"",J5&lt;MAX($I5:I5))</formula>
    </cfRule>
  </conditionalFormatting>
  <conditionalFormatting sqref="Q5:Q1000">
    <cfRule type="expression" priority="33" dxfId="5">
      <formula>AND(ObsObligatoria="Sí",ISNUMBER($F5),$F5&lt;FechaRef,IF($V5="Sub",N($X5),N($M5))&lt;1,$Q5="")</formula>
    </cfRule>
  </conditionalFormatting>
  <conditionalFormatting sqref="R5:R1000">
    <cfRule type="expression" priority="34" dxfId="5">
      <formula>LEFT($R5,1)="⚠"</formula>
    </cfRule>
    <cfRule type="expression" priority="35" dxfId="16">
      <formula>LEFT($R5,1)="✔"</formula>
    </cfRule>
  </conditionalFormatting>
  <conditionalFormatting sqref="S5:S1000">
    <cfRule type="expression" priority="36" dxfId="1">
      <formula>AND($S5&lt;&gt;"",$S5=MesCiclo)</formula>
    </cfRule>
  </conditionalFormatting>
  <dataValidations count="6">
    <dataValidation sqref="E5:F1000" showDropDown="0" showInputMessage="1" showErrorMessage="1" allowBlank="1" errorTitle="Fecha no permitida" error="Si la actividad es de la jefatura ([Jefatura]), las fechas las pone la jefatura y no se pueden cambiar. En sus actividades propias escriba una fecha válida (dd/mm/aaaa)." promptTitle="Fechas" prompt="En actividades [Jefatura] las fechas aparecen solas (las pone la jefatura). En las propias, escriba la fecha." type="custom">
      <formula1>AND(LEFT($C5,11)&lt;&gt;"[Jefatura] ",ISNUMBER(E5),E5&gt;36526)</formula1>
    </dataValidation>
    <dataValidation sqref="B5:B1000" showDropDown="0" showInputMessage="1" showErrorMessage="1" allowBlank="1" errorTitle="Tipo no válido" error="Elija Macroactividad o Subactividad." promptTitle="Tipo" prompt="Macroactividad (lleva peso) o Subactividad (va debajo de su macroactividad). Vacío = Macroactividad." type="list">
      <formula1>"Macroactividad,Subactividad"</formula1>
    </dataValidation>
    <dataValidation sqref="G5:G1000" showDropDown="0" showInputMessage="1" showErrorMessage="1" allowBlank="1" errorTitle="Fecha no válida" error="Ingrese una fecha válida (dd/mm/aaaa)." promptTitle="Fecha de cumplimiento" prompt="Escriba la fecha en que se cumplió. La actividad queda al 100% y ya no aparece vencida." type="date" operator="greaterThan">
      <formula1>36526</formula1>
    </dataValidation>
    <dataValidation sqref="H5:H1000" showDropDown="0" showInputMessage="1" showErrorMessage="1" allowBlank="1" errorTitle="Peso no permitido" error="Las subactividades NO llevan peso (su avance se promedia en la macroactividad). En una macroactividad ingrese un porcentaje entre 0% y 100% (por ejemplo 40%)." promptTitle="Peso (solo macroactividades)" prompt="Opcional. Vacío = todas las macroactividades del mes valen igual. Si escribe pesos, se ajustan solos a 100%. Las subactividades no llevan peso." type="custom">
      <formula1>AND(LEFT($B5,3)&lt;&gt;"Sub",ISNUMBER(H5),H5&gt;=0,H5&lt;=1)</formula1>
    </dataValidation>
    <dataValidation sqref="I5:L1000" showDropDown="0" showInputMessage="1" showErrorMessage="1" allowBlank="1" errorTitle="Avance no válido" error="Ingrese un porcentaje entre 0% y 100%. Deje la celda vacía si la semana no ha llegado." promptTitle="Avance parcial (opcional)" prompt="% TOTAL logrado hasta esta semana. Cuando termine, escriba la Fecha de cumplimiento. Si la macroactividad tiene subactividades, déjelo vacío." type="decimal" operator="between">
      <formula1>0</formula1>
      <formula2>1</formula2>
    </dataValidation>
    <dataValidation sqref="C5:C1000" showDropDown="0" showInputMessage="1" showErrorMessage="0" allowBlank="1" promptTitle="Actividad" prompt="Escriba el nombre, o elija en la lista una actividad delegada por la jefatura." type="list">
      <formula1>ListaDeleg_RF</formula1>
    </dataValidation>
  </dataValidations>
  <pageMargins left="0.4" right="0.4" top="0.5" bottom="0.5" header="0.5" footer="0.5"/>
  <pageSetup orientation="landscape" paperSize="1" fitToHeight="0" fitToWidth="1"/>
  <headerFooter>
    <oddHeader/>
    <oddFooter>&amp;C&amp;A – Página &amp;P de &amp;N</oddFooter>
    <evenHeader/>
    <evenFooter/>
    <firstHeader/>
    <firstFooter/>
  </headerFooter>
  <tableParts count="1">
    <tablePart xmlns:r="http://schemas.openxmlformats.org/officeDocument/2006/relationships" r:id="rId1"/>
  </tableParts>
</worksheet>
</file>

<file path=xl/worksheets/sheet9.xml><?xml version="1.0" encoding="utf-8"?>
<worksheet xmlns="http://schemas.openxmlformats.org/spreadsheetml/2006/main">
  <sheetPr>
    <tabColor rgb="00548235"/>
    <outlinePr summaryBelow="1" summaryRight="1"/>
    <pageSetUpPr fitToPage="1"/>
  </sheetPr>
  <dimension ref="A1:Q104"/>
  <sheetViews>
    <sheetView showGridLines="0" zoomScale="90" workbookViewId="0">
      <pane xSplit="2" ySplit="4" topLeftCell="C5" activePane="bottomRight" state="frozen"/>
      <selection pane="topRight"/>
      <selection pane="bottomLeft"/>
      <selection pane="bottomRight" activeCell="A1" sqref="A1"/>
    </sheetView>
  </sheetViews>
  <sheetFormatPr baseColWidth="8" defaultRowHeight="15"/>
  <cols>
    <col width="7" customWidth="1" min="1" max="1"/>
    <col width="50" customWidth="1" min="2" max="2"/>
    <col width="12" customWidth="1" min="3" max="3"/>
    <col width="12" customWidth="1" min="4" max="4"/>
    <col width="16" customWidth="1" min="5" max="5"/>
    <col width="11" customWidth="1" min="6" max="6"/>
    <col width="11" customWidth="1" min="7" max="7"/>
    <col width="11" customWidth="1" min="8" max="8"/>
    <col width="11" customWidth="1" min="9" max="9"/>
    <col width="12" customWidth="1" min="10" max="10"/>
    <col width="13" customWidth="1" min="11" max="11"/>
    <col width="20" customWidth="1" min="12" max="12"/>
    <col width="46" customWidth="1" min="13" max="13"/>
    <col hidden="1" width="13" customWidth="1" min="14" max="14"/>
    <col hidden="1" width="13" customWidth="1" min="15" max="15"/>
    <col hidden="1" width="13" customWidth="1" min="16" max="16"/>
    <col hidden="1" width="13" customWidth="1" min="17" max="17"/>
  </cols>
  <sheetData>
    <row r="1" ht="28" customHeight="1">
      <c r="A1" s="82" t="inlineStr">
        <is>
          <t>Actividades del mes por semana – Riesgo Financiero</t>
        </is>
      </c>
      <c r="B1" s="82" t="n"/>
      <c r="C1" s="82" t="n"/>
      <c r="D1" s="82" t="n"/>
      <c r="E1" s="82" t="n"/>
      <c r="F1" s="82" t="n"/>
      <c r="G1" s="82" t="n"/>
      <c r="H1" s="82" t="n"/>
      <c r="I1" s="82" t="n"/>
      <c r="J1" s="82" t="n"/>
      <c r="K1" s="82" t="n"/>
      <c r="L1" s="82" t="n"/>
      <c r="M1" s="82" t="n"/>
    </row>
    <row r="2" ht="34" customHeight="1">
      <c r="A2" s="74" t="inlineStr">
        <is>
          <t>HOJA AUTOMÁTICA Y BLOQUEADA: muestra solo las actividades del mes indicado abajo, tomadas de «Cronograma R. Financiero». No hay que escribir nada aquí. Muestra SOLO las macroactividades (sus subactividades se ven en el Cronograma; su avance ya está incluido). La barra de color marca las semanas en que cada actividad está programada y dentro aparece el avance de esa semana. La columna «Alerta de plazo» indica lo vencido y lo que está por vencer.</t>
        </is>
      </c>
      <c r="B2" s="74" t="n"/>
      <c r="C2" s="74" t="n"/>
      <c r="D2" s="74" t="n"/>
      <c r="E2" s="74" t="n"/>
      <c r="F2" s="74" t="n"/>
      <c r="G2" s="74" t="n"/>
      <c r="H2" s="74" t="n"/>
      <c r="I2" s="74" t="n"/>
      <c r="J2" s="74" t="n"/>
      <c r="K2" s="74" t="n"/>
      <c r="L2" s="74" t="n"/>
      <c r="M2" s="74" t="n"/>
    </row>
    <row r="3">
      <c r="A3" s="75" t="inlineStr">
        <is>
          <t>Mes:</t>
        </is>
      </c>
      <c r="B3" s="76">
        <f>MesCiclo</f>
        <v/>
      </c>
      <c r="E3" s="77" t="inlineStr">
        <is>
          <t>Semana del:</t>
        </is>
      </c>
      <c r="F3" s="78">
        <f>(InicioCiclo+0)</f>
        <v/>
      </c>
      <c r="G3" s="78">
        <f>(InicioCiclo+7)</f>
        <v/>
      </c>
      <c r="H3" s="78">
        <f>(InicioCiclo+14)</f>
        <v/>
      </c>
      <c r="I3" s="78">
        <f>(InicioCiclo+21)</f>
        <v/>
      </c>
    </row>
    <row r="4" ht="34" customHeight="1">
      <c r="A4" s="54" t="inlineStr">
        <is>
          <t>N°</t>
        </is>
      </c>
      <c r="B4" s="54" t="inlineStr">
        <is>
          <t>Actividad</t>
        </is>
      </c>
      <c r="C4" s="54" t="inlineStr">
        <is>
          <t>Fecha de inicio</t>
        </is>
      </c>
      <c r="D4" s="54" t="inlineStr">
        <is>
          <t>Fecha límite</t>
        </is>
      </c>
      <c r="E4" s="54" t="inlineStr">
        <is>
          <t>Semana de entrega</t>
        </is>
      </c>
      <c r="F4" s="69" t="inlineStr">
        <is>
          <t>Semana 1</t>
        </is>
      </c>
      <c r="G4" s="69" t="inlineStr">
        <is>
          <t>Semana 2</t>
        </is>
      </c>
      <c r="H4" s="69" t="inlineStr">
        <is>
          <t>Semana 3</t>
        </is>
      </c>
      <c r="I4" s="69" t="inlineStr">
        <is>
          <t>Semana 4</t>
        </is>
      </c>
      <c r="J4" s="54" t="inlineStr">
        <is>
          <t>% Avance actual</t>
        </is>
      </c>
      <c r="K4" s="54" t="inlineStr">
        <is>
          <t>Estado</t>
        </is>
      </c>
      <c r="L4" s="54" t="inlineStr">
        <is>
          <t>Alerta de plazo</t>
        </is>
      </c>
      <c r="M4" s="54" t="inlineStr">
        <is>
          <t>Observaciones</t>
        </is>
      </c>
      <c r="N4" t="inlineStr">
        <is>
          <t>Fila origen (aux)</t>
        </is>
      </c>
      <c r="O4" t="inlineStr">
        <is>
          <t>Tipo (aux)</t>
        </is>
      </c>
      <c r="P4" t="inlineStr">
        <is>
          <t>N subactividades (aux)</t>
        </is>
      </c>
      <c r="Q4" t="inlineStr">
        <is>
          <t>N° alerta de plazo (aux)</t>
        </is>
      </c>
    </row>
    <row r="5">
      <c r="A5" s="56">
        <f>IF($N5="","",INDEX('Cronograma R. Financiero'!$A$5:$A$1000,$N5))</f>
        <v/>
      </c>
      <c r="B5" s="62">
        <f>IF($N5="","",IF($O5="Sub","      ↳  "&amp;INDEX('Cronograma R. Financiero'!$C$5:$C$1000,$N5),INDEX('Cronograma R. Financiero'!$C$5:$C$1000,$N5)&amp;""))</f>
        <v/>
      </c>
      <c r="C5" s="79">
        <f>IF($N5="","",IF(INDEX('Cronograma R. Financiero'!$AM$5:$AM$1000,$N5)="","",INDEX('Cronograma R. Financiero'!$AM$5:$AM$1000,$N5)))</f>
        <v/>
      </c>
      <c r="D5" s="79">
        <f>IF($N5="","",IF(INDEX('Cronograma R. Financiero'!$AN$5:$AN$1000,$N5)="","",INDEX('Cronograma R. Financiero'!$AN$5:$AN$1000,$N5)))</f>
        <v/>
      </c>
      <c r="E5" s="56">
        <f>IF($N5="","",IF(NOT(ISNUMBER($D5)),"",IF($D5&lt;InicioCiclo,"Antes del ciclo",IF($D5&gt;=InicioCiclo+28,"Después del ciclo","Semana "&amp;(INT(($D5-InicioCiclo)/7)+1)))))</f>
        <v/>
      </c>
      <c r="F5" s="61">
        <f>IF($N5="","",IF($P5&gt;0,IF(1&lt;=SemanaActual,INDEX('Cronograma R. Financiero'!$AC$5:$AC$1000,$N5),""),IF(INDEX('Cronograma R. Financiero'!$I$5:$I$1000,$N5)="","",INDEX('Cronograma R. Financiero'!$I$5:$I$1000,$N5))))</f>
        <v/>
      </c>
      <c r="G5" s="61">
        <f>IF($N5="","",IF($P5&gt;0,IF(2&lt;=SemanaActual,INDEX('Cronograma R. Financiero'!$AD$5:$AD$1000,$N5),""),IF(INDEX('Cronograma R. Financiero'!$J$5:$J$1000,$N5)="","",INDEX('Cronograma R. Financiero'!$J$5:$J$1000,$N5))))</f>
        <v/>
      </c>
      <c r="H5" s="61">
        <f>IF($N5="","",IF($P5&gt;0,IF(3&lt;=SemanaActual,INDEX('Cronograma R. Financiero'!$AE$5:$AE$1000,$N5),""),IF(INDEX('Cronograma R. Financiero'!$K$5:$K$1000,$N5)="","",INDEX('Cronograma R. Financiero'!$K$5:$K$1000,$N5))))</f>
        <v/>
      </c>
      <c r="I5" s="61">
        <f>IF($N5="","",IF($P5&gt;0,IF(4&lt;=SemanaActual,INDEX('Cronograma R. Financiero'!$AF$5:$AF$1000,$N5),""),IF(INDEX('Cronograma R. Financiero'!$L$5:$L$1000,$N5)="","",INDEX('Cronograma R. Financiero'!$L$5:$L$1000,$N5))))</f>
        <v/>
      </c>
      <c r="J5" s="61">
        <f>IF($N5="","",INDEX('Cronograma R. Financiero'!$M$5:$M$1000,$N5))</f>
        <v/>
      </c>
      <c r="K5" s="56">
        <f>IF($N5="","",IF(N($J5)&gt;=1,"Completado",IF(AND(ISNUMBER($D5),$D5&lt;FechaRef),"Vencida",IF(N($J5)&gt;0,"En curso","Pendiente"))))</f>
        <v/>
      </c>
      <c r="L5" s="56">
        <f>IF($N5="","",INDEX('Cronograma R. Financiero'!$O$5:$O$1000,$N5)&amp;"")</f>
        <v/>
      </c>
      <c r="M5" s="62">
        <f>IF($N5="","",INDEX('Cronograma R. Financiero'!$Q$5:$Q$1000,$N5)&amp;"")</f>
        <v/>
      </c>
      <c r="N5">
        <f>IFERROR(MATCH(ROW()-4,rOrden_RF,0),"")</f>
        <v/>
      </c>
      <c r="O5">
        <f>IF($N5="","",INDEX('Cronograma R. Financiero'!$V$5:$V$1000,$N5))</f>
        <v/>
      </c>
      <c r="P5">
        <f>IF($N5="","",N(INDEX('Cronograma R. Financiero'!$W$5:$W$1000,$N5)))</f>
        <v/>
      </c>
      <c r="Q5">
        <f>IF(OR(LEFT($L5,7)="Vencida",LEFT($L5,5)="Vence"),SUMPRODUCT(--(LEFT($L$5:$L5,7)="Vencida"))+SUMPRODUCT(--(LEFT($L$5:$L5,5)="Vence")),"")</f>
        <v/>
      </c>
    </row>
    <row r="6">
      <c r="A6" s="56">
        <f>IF($N6="","",INDEX('Cronograma R. Financiero'!$A$5:$A$1000,$N6))</f>
        <v/>
      </c>
      <c r="B6" s="62">
        <f>IF($N6="","",IF($O6="Sub","      ↳  "&amp;INDEX('Cronograma R. Financiero'!$C$5:$C$1000,$N6),INDEX('Cronograma R. Financiero'!$C$5:$C$1000,$N6)&amp;""))</f>
        <v/>
      </c>
      <c r="C6" s="79">
        <f>IF($N6="","",IF(INDEX('Cronograma R. Financiero'!$AM$5:$AM$1000,$N6)="","",INDEX('Cronograma R. Financiero'!$AM$5:$AM$1000,$N6)))</f>
        <v/>
      </c>
      <c r="D6" s="79">
        <f>IF($N6="","",IF(INDEX('Cronograma R. Financiero'!$AN$5:$AN$1000,$N6)="","",INDEX('Cronograma R. Financiero'!$AN$5:$AN$1000,$N6)))</f>
        <v/>
      </c>
      <c r="E6" s="56">
        <f>IF($N6="","",IF(NOT(ISNUMBER($D6)),"",IF($D6&lt;InicioCiclo,"Antes del ciclo",IF($D6&gt;=InicioCiclo+28,"Después del ciclo","Semana "&amp;(INT(($D6-InicioCiclo)/7)+1)))))</f>
        <v/>
      </c>
      <c r="F6" s="61">
        <f>IF($N6="","",IF($P6&gt;0,IF(1&lt;=SemanaActual,INDEX('Cronograma R. Financiero'!$AC$5:$AC$1000,$N6),""),IF(INDEX('Cronograma R. Financiero'!$I$5:$I$1000,$N6)="","",INDEX('Cronograma R. Financiero'!$I$5:$I$1000,$N6))))</f>
        <v/>
      </c>
      <c r="G6" s="61">
        <f>IF($N6="","",IF($P6&gt;0,IF(2&lt;=SemanaActual,INDEX('Cronograma R. Financiero'!$AD$5:$AD$1000,$N6),""),IF(INDEX('Cronograma R. Financiero'!$J$5:$J$1000,$N6)="","",INDEX('Cronograma R. Financiero'!$J$5:$J$1000,$N6))))</f>
        <v/>
      </c>
      <c r="H6" s="61">
        <f>IF($N6="","",IF($P6&gt;0,IF(3&lt;=SemanaActual,INDEX('Cronograma R. Financiero'!$AE$5:$AE$1000,$N6),""),IF(INDEX('Cronograma R. Financiero'!$K$5:$K$1000,$N6)="","",INDEX('Cronograma R. Financiero'!$K$5:$K$1000,$N6))))</f>
        <v/>
      </c>
      <c r="I6" s="61">
        <f>IF($N6="","",IF($P6&gt;0,IF(4&lt;=SemanaActual,INDEX('Cronograma R. Financiero'!$AF$5:$AF$1000,$N6),""),IF(INDEX('Cronograma R. Financiero'!$L$5:$L$1000,$N6)="","",INDEX('Cronograma R. Financiero'!$L$5:$L$1000,$N6))))</f>
        <v/>
      </c>
      <c r="J6" s="61">
        <f>IF($N6="","",INDEX('Cronograma R. Financiero'!$M$5:$M$1000,$N6))</f>
        <v/>
      </c>
      <c r="K6" s="56">
        <f>IF($N6="","",IF(N($J6)&gt;=1,"Completado",IF(AND(ISNUMBER($D6),$D6&lt;FechaRef),"Vencida",IF(N($J6)&gt;0,"En curso","Pendiente"))))</f>
        <v/>
      </c>
      <c r="L6" s="56">
        <f>IF($N6="","",INDEX('Cronograma R. Financiero'!$O$5:$O$1000,$N6)&amp;"")</f>
        <v/>
      </c>
      <c r="M6" s="62">
        <f>IF($N6="","",INDEX('Cronograma R. Financiero'!$Q$5:$Q$1000,$N6)&amp;"")</f>
        <v/>
      </c>
      <c r="N6">
        <f>IFERROR(MATCH(ROW()-4,rOrden_RF,0),"")</f>
        <v/>
      </c>
      <c r="O6">
        <f>IF($N6="","",INDEX('Cronograma R. Financiero'!$V$5:$V$1000,$N6))</f>
        <v/>
      </c>
      <c r="P6">
        <f>IF($N6="","",N(INDEX('Cronograma R. Financiero'!$W$5:$W$1000,$N6)))</f>
        <v/>
      </c>
      <c r="Q6">
        <f>IF(OR(LEFT($L6,7)="Vencida",LEFT($L6,5)="Vence"),SUMPRODUCT(--(LEFT($L$5:$L6,7)="Vencida"))+SUMPRODUCT(--(LEFT($L$5:$L6,5)="Vence")),"")</f>
        <v/>
      </c>
    </row>
    <row r="7">
      <c r="A7" s="56">
        <f>IF($N7="","",INDEX('Cronograma R. Financiero'!$A$5:$A$1000,$N7))</f>
        <v/>
      </c>
      <c r="B7" s="62">
        <f>IF($N7="","",IF($O7="Sub","      ↳  "&amp;INDEX('Cronograma R. Financiero'!$C$5:$C$1000,$N7),INDEX('Cronograma R. Financiero'!$C$5:$C$1000,$N7)&amp;""))</f>
        <v/>
      </c>
      <c r="C7" s="79">
        <f>IF($N7="","",IF(INDEX('Cronograma R. Financiero'!$AM$5:$AM$1000,$N7)="","",INDEX('Cronograma R. Financiero'!$AM$5:$AM$1000,$N7)))</f>
        <v/>
      </c>
      <c r="D7" s="79">
        <f>IF($N7="","",IF(INDEX('Cronograma R. Financiero'!$AN$5:$AN$1000,$N7)="","",INDEX('Cronograma R. Financiero'!$AN$5:$AN$1000,$N7)))</f>
        <v/>
      </c>
      <c r="E7" s="56">
        <f>IF($N7="","",IF(NOT(ISNUMBER($D7)),"",IF($D7&lt;InicioCiclo,"Antes del ciclo",IF($D7&gt;=InicioCiclo+28,"Después del ciclo","Semana "&amp;(INT(($D7-InicioCiclo)/7)+1)))))</f>
        <v/>
      </c>
      <c r="F7" s="61">
        <f>IF($N7="","",IF($P7&gt;0,IF(1&lt;=SemanaActual,INDEX('Cronograma R. Financiero'!$AC$5:$AC$1000,$N7),""),IF(INDEX('Cronograma R. Financiero'!$I$5:$I$1000,$N7)="","",INDEX('Cronograma R. Financiero'!$I$5:$I$1000,$N7))))</f>
        <v/>
      </c>
      <c r="G7" s="61">
        <f>IF($N7="","",IF($P7&gt;0,IF(2&lt;=SemanaActual,INDEX('Cronograma R. Financiero'!$AD$5:$AD$1000,$N7),""),IF(INDEX('Cronograma R. Financiero'!$J$5:$J$1000,$N7)="","",INDEX('Cronograma R. Financiero'!$J$5:$J$1000,$N7))))</f>
        <v/>
      </c>
      <c r="H7" s="61">
        <f>IF($N7="","",IF($P7&gt;0,IF(3&lt;=SemanaActual,INDEX('Cronograma R. Financiero'!$AE$5:$AE$1000,$N7),""),IF(INDEX('Cronograma R. Financiero'!$K$5:$K$1000,$N7)="","",INDEX('Cronograma R. Financiero'!$K$5:$K$1000,$N7))))</f>
        <v/>
      </c>
      <c r="I7" s="61">
        <f>IF($N7="","",IF($P7&gt;0,IF(4&lt;=SemanaActual,INDEX('Cronograma R. Financiero'!$AF$5:$AF$1000,$N7),""),IF(INDEX('Cronograma R. Financiero'!$L$5:$L$1000,$N7)="","",INDEX('Cronograma R. Financiero'!$L$5:$L$1000,$N7))))</f>
        <v/>
      </c>
      <c r="J7" s="61">
        <f>IF($N7="","",INDEX('Cronograma R. Financiero'!$M$5:$M$1000,$N7))</f>
        <v/>
      </c>
      <c r="K7" s="56">
        <f>IF($N7="","",IF(N($J7)&gt;=1,"Completado",IF(AND(ISNUMBER($D7),$D7&lt;FechaRef),"Vencida",IF(N($J7)&gt;0,"En curso","Pendiente"))))</f>
        <v/>
      </c>
      <c r="L7" s="56">
        <f>IF($N7="","",INDEX('Cronograma R. Financiero'!$O$5:$O$1000,$N7)&amp;"")</f>
        <v/>
      </c>
      <c r="M7" s="62">
        <f>IF($N7="","",INDEX('Cronograma R. Financiero'!$Q$5:$Q$1000,$N7)&amp;"")</f>
        <v/>
      </c>
      <c r="N7">
        <f>IFERROR(MATCH(ROW()-4,rOrden_RF,0),"")</f>
        <v/>
      </c>
      <c r="O7">
        <f>IF($N7="","",INDEX('Cronograma R. Financiero'!$V$5:$V$1000,$N7))</f>
        <v/>
      </c>
      <c r="P7">
        <f>IF($N7="","",N(INDEX('Cronograma R. Financiero'!$W$5:$W$1000,$N7)))</f>
        <v/>
      </c>
      <c r="Q7">
        <f>IF(OR(LEFT($L7,7)="Vencida",LEFT($L7,5)="Vence"),SUMPRODUCT(--(LEFT($L$5:$L7,7)="Vencida"))+SUMPRODUCT(--(LEFT($L$5:$L7,5)="Vence")),"")</f>
        <v/>
      </c>
    </row>
    <row r="8">
      <c r="A8" s="56">
        <f>IF($N8="","",INDEX('Cronograma R. Financiero'!$A$5:$A$1000,$N8))</f>
        <v/>
      </c>
      <c r="B8" s="62">
        <f>IF($N8="","",IF($O8="Sub","      ↳  "&amp;INDEX('Cronograma R. Financiero'!$C$5:$C$1000,$N8),INDEX('Cronograma R. Financiero'!$C$5:$C$1000,$N8)&amp;""))</f>
        <v/>
      </c>
      <c r="C8" s="79">
        <f>IF($N8="","",IF(INDEX('Cronograma R. Financiero'!$AM$5:$AM$1000,$N8)="","",INDEX('Cronograma R. Financiero'!$AM$5:$AM$1000,$N8)))</f>
        <v/>
      </c>
      <c r="D8" s="79">
        <f>IF($N8="","",IF(INDEX('Cronograma R. Financiero'!$AN$5:$AN$1000,$N8)="","",INDEX('Cronograma R. Financiero'!$AN$5:$AN$1000,$N8)))</f>
        <v/>
      </c>
      <c r="E8" s="56">
        <f>IF($N8="","",IF(NOT(ISNUMBER($D8)),"",IF($D8&lt;InicioCiclo,"Antes del ciclo",IF($D8&gt;=InicioCiclo+28,"Después del ciclo","Semana "&amp;(INT(($D8-InicioCiclo)/7)+1)))))</f>
        <v/>
      </c>
      <c r="F8" s="61">
        <f>IF($N8="","",IF($P8&gt;0,IF(1&lt;=SemanaActual,INDEX('Cronograma R. Financiero'!$AC$5:$AC$1000,$N8),""),IF(INDEX('Cronograma R. Financiero'!$I$5:$I$1000,$N8)="","",INDEX('Cronograma R. Financiero'!$I$5:$I$1000,$N8))))</f>
        <v/>
      </c>
      <c r="G8" s="61">
        <f>IF($N8="","",IF($P8&gt;0,IF(2&lt;=SemanaActual,INDEX('Cronograma R. Financiero'!$AD$5:$AD$1000,$N8),""),IF(INDEX('Cronograma R. Financiero'!$J$5:$J$1000,$N8)="","",INDEX('Cronograma R. Financiero'!$J$5:$J$1000,$N8))))</f>
        <v/>
      </c>
      <c r="H8" s="61">
        <f>IF($N8="","",IF($P8&gt;0,IF(3&lt;=SemanaActual,INDEX('Cronograma R. Financiero'!$AE$5:$AE$1000,$N8),""),IF(INDEX('Cronograma R. Financiero'!$K$5:$K$1000,$N8)="","",INDEX('Cronograma R. Financiero'!$K$5:$K$1000,$N8))))</f>
        <v/>
      </c>
      <c r="I8" s="61">
        <f>IF($N8="","",IF($P8&gt;0,IF(4&lt;=SemanaActual,INDEX('Cronograma R. Financiero'!$AF$5:$AF$1000,$N8),""),IF(INDEX('Cronograma R. Financiero'!$L$5:$L$1000,$N8)="","",INDEX('Cronograma R. Financiero'!$L$5:$L$1000,$N8))))</f>
        <v/>
      </c>
      <c r="J8" s="61">
        <f>IF($N8="","",INDEX('Cronograma R. Financiero'!$M$5:$M$1000,$N8))</f>
        <v/>
      </c>
      <c r="K8" s="56">
        <f>IF($N8="","",IF(N($J8)&gt;=1,"Completado",IF(AND(ISNUMBER($D8),$D8&lt;FechaRef),"Vencida",IF(N($J8)&gt;0,"En curso","Pendiente"))))</f>
        <v/>
      </c>
      <c r="L8" s="56">
        <f>IF($N8="","",INDEX('Cronograma R. Financiero'!$O$5:$O$1000,$N8)&amp;"")</f>
        <v/>
      </c>
      <c r="M8" s="62">
        <f>IF($N8="","",INDEX('Cronograma R. Financiero'!$Q$5:$Q$1000,$N8)&amp;"")</f>
        <v/>
      </c>
      <c r="N8">
        <f>IFERROR(MATCH(ROW()-4,rOrden_RF,0),"")</f>
        <v/>
      </c>
      <c r="O8">
        <f>IF($N8="","",INDEX('Cronograma R. Financiero'!$V$5:$V$1000,$N8))</f>
        <v/>
      </c>
      <c r="P8">
        <f>IF($N8="","",N(INDEX('Cronograma R. Financiero'!$W$5:$W$1000,$N8)))</f>
        <v/>
      </c>
      <c r="Q8">
        <f>IF(OR(LEFT($L8,7)="Vencida",LEFT($L8,5)="Vence"),SUMPRODUCT(--(LEFT($L$5:$L8,7)="Vencida"))+SUMPRODUCT(--(LEFT($L$5:$L8,5)="Vence")),"")</f>
        <v/>
      </c>
    </row>
    <row r="9">
      <c r="A9" s="56">
        <f>IF($N9="","",INDEX('Cronograma R. Financiero'!$A$5:$A$1000,$N9))</f>
        <v/>
      </c>
      <c r="B9" s="62">
        <f>IF($N9="","",IF($O9="Sub","      ↳  "&amp;INDEX('Cronograma R. Financiero'!$C$5:$C$1000,$N9),INDEX('Cronograma R. Financiero'!$C$5:$C$1000,$N9)&amp;""))</f>
        <v/>
      </c>
      <c r="C9" s="79">
        <f>IF($N9="","",IF(INDEX('Cronograma R. Financiero'!$AM$5:$AM$1000,$N9)="","",INDEX('Cronograma R. Financiero'!$AM$5:$AM$1000,$N9)))</f>
        <v/>
      </c>
      <c r="D9" s="79">
        <f>IF($N9="","",IF(INDEX('Cronograma R. Financiero'!$AN$5:$AN$1000,$N9)="","",INDEX('Cronograma R. Financiero'!$AN$5:$AN$1000,$N9)))</f>
        <v/>
      </c>
      <c r="E9" s="56">
        <f>IF($N9="","",IF(NOT(ISNUMBER($D9)),"",IF($D9&lt;InicioCiclo,"Antes del ciclo",IF($D9&gt;=InicioCiclo+28,"Después del ciclo","Semana "&amp;(INT(($D9-InicioCiclo)/7)+1)))))</f>
        <v/>
      </c>
      <c r="F9" s="61">
        <f>IF($N9="","",IF($P9&gt;0,IF(1&lt;=SemanaActual,INDEX('Cronograma R. Financiero'!$AC$5:$AC$1000,$N9),""),IF(INDEX('Cronograma R. Financiero'!$I$5:$I$1000,$N9)="","",INDEX('Cronograma R. Financiero'!$I$5:$I$1000,$N9))))</f>
        <v/>
      </c>
      <c r="G9" s="61">
        <f>IF($N9="","",IF($P9&gt;0,IF(2&lt;=SemanaActual,INDEX('Cronograma R. Financiero'!$AD$5:$AD$1000,$N9),""),IF(INDEX('Cronograma R. Financiero'!$J$5:$J$1000,$N9)="","",INDEX('Cronograma R. Financiero'!$J$5:$J$1000,$N9))))</f>
        <v/>
      </c>
      <c r="H9" s="61">
        <f>IF($N9="","",IF($P9&gt;0,IF(3&lt;=SemanaActual,INDEX('Cronograma R. Financiero'!$AE$5:$AE$1000,$N9),""),IF(INDEX('Cronograma R. Financiero'!$K$5:$K$1000,$N9)="","",INDEX('Cronograma R. Financiero'!$K$5:$K$1000,$N9))))</f>
        <v/>
      </c>
      <c r="I9" s="61">
        <f>IF($N9="","",IF($P9&gt;0,IF(4&lt;=SemanaActual,INDEX('Cronograma R. Financiero'!$AF$5:$AF$1000,$N9),""),IF(INDEX('Cronograma R. Financiero'!$L$5:$L$1000,$N9)="","",INDEX('Cronograma R. Financiero'!$L$5:$L$1000,$N9))))</f>
        <v/>
      </c>
      <c r="J9" s="61">
        <f>IF($N9="","",INDEX('Cronograma R. Financiero'!$M$5:$M$1000,$N9))</f>
        <v/>
      </c>
      <c r="K9" s="56">
        <f>IF($N9="","",IF(N($J9)&gt;=1,"Completado",IF(AND(ISNUMBER($D9),$D9&lt;FechaRef),"Vencida",IF(N($J9)&gt;0,"En curso","Pendiente"))))</f>
        <v/>
      </c>
      <c r="L9" s="56">
        <f>IF($N9="","",INDEX('Cronograma R. Financiero'!$O$5:$O$1000,$N9)&amp;"")</f>
        <v/>
      </c>
      <c r="M9" s="62">
        <f>IF($N9="","",INDEX('Cronograma R. Financiero'!$Q$5:$Q$1000,$N9)&amp;"")</f>
        <v/>
      </c>
      <c r="N9">
        <f>IFERROR(MATCH(ROW()-4,rOrden_RF,0),"")</f>
        <v/>
      </c>
      <c r="O9">
        <f>IF($N9="","",INDEX('Cronograma R. Financiero'!$V$5:$V$1000,$N9))</f>
        <v/>
      </c>
      <c r="P9">
        <f>IF($N9="","",N(INDEX('Cronograma R. Financiero'!$W$5:$W$1000,$N9)))</f>
        <v/>
      </c>
      <c r="Q9">
        <f>IF(OR(LEFT($L9,7)="Vencida",LEFT($L9,5)="Vence"),SUMPRODUCT(--(LEFT($L$5:$L9,7)="Vencida"))+SUMPRODUCT(--(LEFT($L$5:$L9,5)="Vence")),"")</f>
        <v/>
      </c>
    </row>
    <row r="10">
      <c r="A10" s="56">
        <f>IF($N10="","",INDEX('Cronograma R. Financiero'!$A$5:$A$1000,$N10))</f>
        <v/>
      </c>
      <c r="B10" s="62">
        <f>IF($N10="","",IF($O10="Sub","      ↳  "&amp;INDEX('Cronograma R. Financiero'!$C$5:$C$1000,$N10),INDEX('Cronograma R. Financiero'!$C$5:$C$1000,$N10)&amp;""))</f>
        <v/>
      </c>
      <c r="C10" s="79">
        <f>IF($N10="","",IF(INDEX('Cronograma R. Financiero'!$AM$5:$AM$1000,$N10)="","",INDEX('Cronograma R. Financiero'!$AM$5:$AM$1000,$N10)))</f>
        <v/>
      </c>
      <c r="D10" s="79">
        <f>IF($N10="","",IF(INDEX('Cronograma R. Financiero'!$AN$5:$AN$1000,$N10)="","",INDEX('Cronograma R. Financiero'!$AN$5:$AN$1000,$N10)))</f>
        <v/>
      </c>
      <c r="E10" s="56">
        <f>IF($N10="","",IF(NOT(ISNUMBER($D10)),"",IF($D10&lt;InicioCiclo,"Antes del ciclo",IF($D10&gt;=InicioCiclo+28,"Después del ciclo","Semana "&amp;(INT(($D10-InicioCiclo)/7)+1)))))</f>
        <v/>
      </c>
      <c r="F10" s="61">
        <f>IF($N10="","",IF($P10&gt;0,IF(1&lt;=SemanaActual,INDEX('Cronograma R. Financiero'!$AC$5:$AC$1000,$N10),""),IF(INDEX('Cronograma R. Financiero'!$I$5:$I$1000,$N10)="","",INDEX('Cronograma R. Financiero'!$I$5:$I$1000,$N10))))</f>
        <v/>
      </c>
      <c r="G10" s="61">
        <f>IF($N10="","",IF($P10&gt;0,IF(2&lt;=SemanaActual,INDEX('Cronograma R. Financiero'!$AD$5:$AD$1000,$N10),""),IF(INDEX('Cronograma R. Financiero'!$J$5:$J$1000,$N10)="","",INDEX('Cronograma R. Financiero'!$J$5:$J$1000,$N10))))</f>
        <v/>
      </c>
      <c r="H10" s="61">
        <f>IF($N10="","",IF($P10&gt;0,IF(3&lt;=SemanaActual,INDEX('Cronograma R. Financiero'!$AE$5:$AE$1000,$N10),""),IF(INDEX('Cronograma R. Financiero'!$K$5:$K$1000,$N10)="","",INDEX('Cronograma R. Financiero'!$K$5:$K$1000,$N10))))</f>
        <v/>
      </c>
      <c r="I10" s="61">
        <f>IF($N10="","",IF($P10&gt;0,IF(4&lt;=SemanaActual,INDEX('Cronograma R. Financiero'!$AF$5:$AF$1000,$N10),""),IF(INDEX('Cronograma R. Financiero'!$L$5:$L$1000,$N10)="","",INDEX('Cronograma R. Financiero'!$L$5:$L$1000,$N10))))</f>
        <v/>
      </c>
      <c r="J10" s="61">
        <f>IF($N10="","",INDEX('Cronograma R. Financiero'!$M$5:$M$1000,$N10))</f>
        <v/>
      </c>
      <c r="K10" s="56">
        <f>IF($N10="","",IF(N($J10)&gt;=1,"Completado",IF(AND(ISNUMBER($D10),$D10&lt;FechaRef),"Vencida",IF(N($J10)&gt;0,"En curso","Pendiente"))))</f>
        <v/>
      </c>
      <c r="L10" s="56">
        <f>IF($N10="","",INDEX('Cronograma R. Financiero'!$O$5:$O$1000,$N10)&amp;"")</f>
        <v/>
      </c>
      <c r="M10" s="62">
        <f>IF($N10="","",INDEX('Cronograma R. Financiero'!$Q$5:$Q$1000,$N10)&amp;"")</f>
        <v/>
      </c>
      <c r="N10">
        <f>IFERROR(MATCH(ROW()-4,rOrden_RF,0),"")</f>
        <v/>
      </c>
      <c r="O10">
        <f>IF($N10="","",INDEX('Cronograma R. Financiero'!$V$5:$V$1000,$N10))</f>
        <v/>
      </c>
      <c r="P10">
        <f>IF($N10="","",N(INDEX('Cronograma R. Financiero'!$W$5:$W$1000,$N10)))</f>
        <v/>
      </c>
      <c r="Q10">
        <f>IF(OR(LEFT($L10,7)="Vencida",LEFT($L10,5)="Vence"),SUMPRODUCT(--(LEFT($L$5:$L10,7)="Vencida"))+SUMPRODUCT(--(LEFT($L$5:$L10,5)="Vence")),"")</f>
        <v/>
      </c>
    </row>
    <row r="11">
      <c r="A11" s="56">
        <f>IF($N11="","",INDEX('Cronograma R. Financiero'!$A$5:$A$1000,$N11))</f>
        <v/>
      </c>
      <c r="B11" s="62">
        <f>IF($N11="","",IF($O11="Sub","      ↳  "&amp;INDEX('Cronograma R. Financiero'!$C$5:$C$1000,$N11),INDEX('Cronograma R. Financiero'!$C$5:$C$1000,$N11)&amp;""))</f>
        <v/>
      </c>
      <c r="C11" s="79">
        <f>IF($N11="","",IF(INDEX('Cronograma R. Financiero'!$AM$5:$AM$1000,$N11)="","",INDEX('Cronograma R. Financiero'!$AM$5:$AM$1000,$N11)))</f>
        <v/>
      </c>
      <c r="D11" s="79">
        <f>IF($N11="","",IF(INDEX('Cronograma R. Financiero'!$AN$5:$AN$1000,$N11)="","",INDEX('Cronograma R. Financiero'!$AN$5:$AN$1000,$N11)))</f>
        <v/>
      </c>
      <c r="E11" s="56">
        <f>IF($N11="","",IF(NOT(ISNUMBER($D11)),"",IF($D11&lt;InicioCiclo,"Antes del ciclo",IF($D11&gt;=InicioCiclo+28,"Después del ciclo","Semana "&amp;(INT(($D11-InicioCiclo)/7)+1)))))</f>
        <v/>
      </c>
      <c r="F11" s="61">
        <f>IF($N11="","",IF($P11&gt;0,IF(1&lt;=SemanaActual,INDEX('Cronograma R. Financiero'!$AC$5:$AC$1000,$N11),""),IF(INDEX('Cronograma R. Financiero'!$I$5:$I$1000,$N11)="","",INDEX('Cronograma R. Financiero'!$I$5:$I$1000,$N11))))</f>
        <v/>
      </c>
      <c r="G11" s="61">
        <f>IF($N11="","",IF($P11&gt;0,IF(2&lt;=SemanaActual,INDEX('Cronograma R. Financiero'!$AD$5:$AD$1000,$N11),""),IF(INDEX('Cronograma R. Financiero'!$J$5:$J$1000,$N11)="","",INDEX('Cronograma R. Financiero'!$J$5:$J$1000,$N11))))</f>
        <v/>
      </c>
      <c r="H11" s="61">
        <f>IF($N11="","",IF($P11&gt;0,IF(3&lt;=SemanaActual,INDEX('Cronograma R. Financiero'!$AE$5:$AE$1000,$N11),""),IF(INDEX('Cronograma R. Financiero'!$K$5:$K$1000,$N11)="","",INDEX('Cronograma R. Financiero'!$K$5:$K$1000,$N11))))</f>
        <v/>
      </c>
      <c r="I11" s="61">
        <f>IF($N11="","",IF($P11&gt;0,IF(4&lt;=SemanaActual,INDEX('Cronograma R. Financiero'!$AF$5:$AF$1000,$N11),""),IF(INDEX('Cronograma R. Financiero'!$L$5:$L$1000,$N11)="","",INDEX('Cronograma R. Financiero'!$L$5:$L$1000,$N11))))</f>
        <v/>
      </c>
      <c r="J11" s="61">
        <f>IF($N11="","",INDEX('Cronograma R. Financiero'!$M$5:$M$1000,$N11))</f>
        <v/>
      </c>
      <c r="K11" s="56">
        <f>IF($N11="","",IF(N($J11)&gt;=1,"Completado",IF(AND(ISNUMBER($D11),$D11&lt;FechaRef),"Vencida",IF(N($J11)&gt;0,"En curso","Pendiente"))))</f>
        <v/>
      </c>
      <c r="L11" s="56">
        <f>IF($N11="","",INDEX('Cronograma R. Financiero'!$O$5:$O$1000,$N11)&amp;"")</f>
        <v/>
      </c>
      <c r="M11" s="62">
        <f>IF($N11="","",INDEX('Cronograma R. Financiero'!$Q$5:$Q$1000,$N11)&amp;"")</f>
        <v/>
      </c>
      <c r="N11">
        <f>IFERROR(MATCH(ROW()-4,rOrden_RF,0),"")</f>
        <v/>
      </c>
      <c r="O11">
        <f>IF($N11="","",INDEX('Cronograma R. Financiero'!$V$5:$V$1000,$N11))</f>
        <v/>
      </c>
      <c r="P11">
        <f>IF($N11="","",N(INDEX('Cronograma R. Financiero'!$W$5:$W$1000,$N11)))</f>
        <v/>
      </c>
      <c r="Q11">
        <f>IF(OR(LEFT($L11,7)="Vencida",LEFT($L11,5)="Vence"),SUMPRODUCT(--(LEFT($L$5:$L11,7)="Vencida"))+SUMPRODUCT(--(LEFT($L$5:$L11,5)="Vence")),"")</f>
        <v/>
      </c>
    </row>
    <row r="12">
      <c r="A12" s="56">
        <f>IF($N12="","",INDEX('Cronograma R. Financiero'!$A$5:$A$1000,$N12))</f>
        <v/>
      </c>
      <c r="B12" s="62">
        <f>IF($N12="","",IF($O12="Sub","      ↳  "&amp;INDEX('Cronograma R. Financiero'!$C$5:$C$1000,$N12),INDEX('Cronograma R. Financiero'!$C$5:$C$1000,$N12)&amp;""))</f>
        <v/>
      </c>
      <c r="C12" s="79">
        <f>IF($N12="","",IF(INDEX('Cronograma R. Financiero'!$AM$5:$AM$1000,$N12)="","",INDEX('Cronograma R. Financiero'!$AM$5:$AM$1000,$N12)))</f>
        <v/>
      </c>
      <c r="D12" s="79">
        <f>IF($N12="","",IF(INDEX('Cronograma R. Financiero'!$AN$5:$AN$1000,$N12)="","",INDEX('Cronograma R. Financiero'!$AN$5:$AN$1000,$N12)))</f>
        <v/>
      </c>
      <c r="E12" s="56">
        <f>IF($N12="","",IF(NOT(ISNUMBER($D12)),"",IF($D12&lt;InicioCiclo,"Antes del ciclo",IF($D12&gt;=InicioCiclo+28,"Después del ciclo","Semana "&amp;(INT(($D12-InicioCiclo)/7)+1)))))</f>
        <v/>
      </c>
      <c r="F12" s="61">
        <f>IF($N12="","",IF($P12&gt;0,IF(1&lt;=SemanaActual,INDEX('Cronograma R. Financiero'!$AC$5:$AC$1000,$N12),""),IF(INDEX('Cronograma R. Financiero'!$I$5:$I$1000,$N12)="","",INDEX('Cronograma R. Financiero'!$I$5:$I$1000,$N12))))</f>
        <v/>
      </c>
      <c r="G12" s="61">
        <f>IF($N12="","",IF($P12&gt;0,IF(2&lt;=SemanaActual,INDEX('Cronograma R. Financiero'!$AD$5:$AD$1000,$N12),""),IF(INDEX('Cronograma R. Financiero'!$J$5:$J$1000,$N12)="","",INDEX('Cronograma R. Financiero'!$J$5:$J$1000,$N12))))</f>
        <v/>
      </c>
      <c r="H12" s="61">
        <f>IF($N12="","",IF($P12&gt;0,IF(3&lt;=SemanaActual,INDEX('Cronograma R. Financiero'!$AE$5:$AE$1000,$N12),""),IF(INDEX('Cronograma R. Financiero'!$K$5:$K$1000,$N12)="","",INDEX('Cronograma R. Financiero'!$K$5:$K$1000,$N12))))</f>
        <v/>
      </c>
      <c r="I12" s="61">
        <f>IF($N12="","",IF($P12&gt;0,IF(4&lt;=SemanaActual,INDEX('Cronograma R. Financiero'!$AF$5:$AF$1000,$N12),""),IF(INDEX('Cronograma R. Financiero'!$L$5:$L$1000,$N12)="","",INDEX('Cronograma R. Financiero'!$L$5:$L$1000,$N12))))</f>
        <v/>
      </c>
      <c r="J12" s="61">
        <f>IF($N12="","",INDEX('Cronograma R. Financiero'!$M$5:$M$1000,$N12))</f>
        <v/>
      </c>
      <c r="K12" s="56">
        <f>IF($N12="","",IF(N($J12)&gt;=1,"Completado",IF(AND(ISNUMBER($D12),$D12&lt;FechaRef),"Vencida",IF(N($J12)&gt;0,"En curso","Pendiente"))))</f>
        <v/>
      </c>
      <c r="L12" s="56">
        <f>IF($N12="","",INDEX('Cronograma R. Financiero'!$O$5:$O$1000,$N12)&amp;"")</f>
        <v/>
      </c>
      <c r="M12" s="62">
        <f>IF($N12="","",INDEX('Cronograma R. Financiero'!$Q$5:$Q$1000,$N12)&amp;"")</f>
        <v/>
      </c>
      <c r="N12">
        <f>IFERROR(MATCH(ROW()-4,rOrden_RF,0),"")</f>
        <v/>
      </c>
      <c r="O12">
        <f>IF($N12="","",INDEX('Cronograma R. Financiero'!$V$5:$V$1000,$N12))</f>
        <v/>
      </c>
      <c r="P12">
        <f>IF($N12="","",N(INDEX('Cronograma R. Financiero'!$W$5:$W$1000,$N12)))</f>
        <v/>
      </c>
      <c r="Q12">
        <f>IF(OR(LEFT($L12,7)="Vencida",LEFT($L12,5)="Vence"),SUMPRODUCT(--(LEFT($L$5:$L12,7)="Vencida"))+SUMPRODUCT(--(LEFT($L$5:$L12,5)="Vence")),"")</f>
        <v/>
      </c>
    </row>
    <row r="13">
      <c r="A13" s="56">
        <f>IF($N13="","",INDEX('Cronograma R. Financiero'!$A$5:$A$1000,$N13))</f>
        <v/>
      </c>
      <c r="B13" s="62">
        <f>IF($N13="","",IF($O13="Sub","      ↳  "&amp;INDEX('Cronograma R. Financiero'!$C$5:$C$1000,$N13),INDEX('Cronograma R. Financiero'!$C$5:$C$1000,$N13)&amp;""))</f>
        <v/>
      </c>
      <c r="C13" s="79">
        <f>IF($N13="","",IF(INDEX('Cronograma R. Financiero'!$AM$5:$AM$1000,$N13)="","",INDEX('Cronograma R. Financiero'!$AM$5:$AM$1000,$N13)))</f>
        <v/>
      </c>
      <c r="D13" s="79">
        <f>IF($N13="","",IF(INDEX('Cronograma R. Financiero'!$AN$5:$AN$1000,$N13)="","",INDEX('Cronograma R. Financiero'!$AN$5:$AN$1000,$N13)))</f>
        <v/>
      </c>
      <c r="E13" s="56">
        <f>IF($N13="","",IF(NOT(ISNUMBER($D13)),"",IF($D13&lt;InicioCiclo,"Antes del ciclo",IF($D13&gt;=InicioCiclo+28,"Después del ciclo","Semana "&amp;(INT(($D13-InicioCiclo)/7)+1)))))</f>
        <v/>
      </c>
      <c r="F13" s="61">
        <f>IF($N13="","",IF($P13&gt;0,IF(1&lt;=SemanaActual,INDEX('Cronograma R. Financiero'!$AC$5:$AC$1000,$N13),""),IF(INDEX('Cronograma R. Financiero'!$I$5:$I$1000,$N13)="","",INDEX('Cronograma R. Financiero'!$I$5:$I$1000,$N13))))</f>
        <v/>
      </c>
      <c r="G13" s="61">
        <f>IF($N13="","",IF($P13&gt;0,IF(2&lt;=SemanaActual,INDEX('Cronograma R. Financiero'!$AD$5:$AD$1000,$N13),""),IF(INDEX('Cronograma R. Financiero'!$J$5:$J$1000,$N13)="","",INDEX('Cronograma R. Financiero'!$J$5:$J$1000,$N13))))</f>
        <v/>
      </c>
      <c r="H13" s="61">
        <f>IF($N13="","",IF($P13&gt;0,IF(3&lt;=SemanaActual,INDEX('Cronograma R. Financiero'!$AE$5:$AE$1000,$N13),""),IF(INDEX('Cronograma R. Financiero'!$K$5:$K$1000,$N13)="","",INDEX('Cronograma R. Financiero'!$K$5:$K$1000,$N13))))</f>
        <v/>
      </c>
      <c r="I13" s="61">
        <f>IF($N13="","",IF($P13&gt;0,IF(4&lt;=SemanaActual,INDEX('Cronograma R. Financiero'!$AF$5:$AF$1000,$N13),""),IF(INDEX('Cronograma R. Financiero'!$L$5:$L$1000,$N13)="","",INDEX('Cronograma R. Financiero'!$L$5:$L$1000,$N13))))</f>
        <v/>
      </c>
      <c r="J13" s="61">
        <f>IF($N13="","",INDEX('Cronograma R. Financiero'!$M$5:$M$1000,$N13))</f>
        <v/>
      </c>
      <c r="K13" s="56">
        <f>IF($N13="","",IF(N($J13)&gt;=1,"Completado",IF(AND(ISNUMBER($D13),$D13&lt;FechaRef),"Vencida",IF(N($J13)&gt;0,"En curso","Pendiente"))))</f>
        <v/>
      </c>
      <c r="L13" s="56">
        <f>IF($N13="","",INDEX('Cronograma R. Financiero'!$O$5:$O$1000,$N13)&amp;"")</f>
        <v/>
      </c>
      <c r="M13" s="62">
        <f>IF($N13="","",INDEX('Cronograma R. Financiero'!$Q$5:$Q$1000,$N13)&amp;"")</f>
        <v/>
      </c>
      <c r="N13">
        <f>IFERROR(MATCH(ROW()-4,rOrden_RF,0),"")</f>
        <v/>
      </c>
      <c r="O13">
        <f>IF($N13="","",INDEX('Cronograma R. Financiero'!$V$5:$V$1000,$N13))</f>
        <v/>
      </c>
      <c r="P13">
        <f>IF($N13="","",N(INDEX('Cronograma R. Financiero'!$W$5:$W$1000,$N13)))</f>
        <v/>
      </c>
      <c r="Q13">
        <f>IF(OR(LEFT($L13,7)="Vencida",LEFT($L13,5)="Vence"),SUMPRODUCT(--(LEFT($L$5:$L13,7)="Vencida"))+SUMPRODUCT(--(LEFT($L$5:$L13,5)="Vence")),"")</f>
        <v/>
      </c>
    </row>
    <row r="14">
      <c r="A14" s="56">
        <f>IF($N14="","",INDEX('Cronograma R. Financiero'!$A$5:$A$1000,$N14))</f>
        <v/>
      </c>
      <c r="B14" s="62">
        <f>IF($N14="","",IF($O14="Sub","      ↳  "&amp;INDEX('Cronograma R. Financiero'!$C$5:$C$1000,$N14),INDEX('Cronograma R. Financiero'!$C$5:$C$1000,$N14)&amp;""))</f>
        <v/>
      </c>
      <c r="C14" s="79">
        <f>IF($N14="","",IF(INDEX('Cronograma R. Financiero'!$AM$5:$AM$1000,$N14)="","",INDEX('Cronograma R. Financiero'!$AM$5:$AM$1000,$N14)))</f>
        <v/>
      </c>
      <c r="D14" s="79">
        <f>IF($N14="","",IF(INDEX('Cronograma R. Financiero'!$AN$5:$AN$1000,$N14)="","",INDEX('Cronograma R. Financiero'!$AN$5:$AN$1000,$N14)))</f>
        <v/>
      </c>
      <c r="E14" s="56">
        <f>IF($N14="","",IF(NOT(ISNUMBER($D14)),"",IF($D14&lt;InicioCiclo,"Antes del ciclo",IF($D14&gt;=InicioCiclo+28,"Después del ciclo","Semana "&amp;(INT(($D14-InicioCiclo)/7)+1)))))</f>
        <v/>
      </c>
      <c r="F14" s="61">
        <f>IF($N14="","",IF($P14&gt;0,IF(1&lt;=SemanaActual,INDEX('Cronograma R. Financiero'!$AC$5:$AC$1000,$N14),""),IF(INDEX('Cronograma R. Financiero'!$I$5:$I$1000,$N14)="","",INDEX('Cronograma R. Financiero'!$I$5:$I$1000,$N14))))</f>
        <v/>
      </c>
      <c r="G14" s="61">
        <f>IF($N14="","",IF($P14&gt;0,IF(2&lt;=SemanaActual,INDEX('Cronograma R. Financiero'!$AD$5:$AD$1000,$N14),""),IF(INDEX('Cronograma R. Financiero'!$J$5:$J$1000,$N14)="","",INDEX('Cronograma R. Financiero'!$J$5:$J$1000,$N14))))</f>
        <v/>
      </c>
      <c r="H14" s="61">
        <f>IF($N14="","",IF($P14&gt;0,IF(3&lt;=SemanaActual,INDEX('Cronograma R. Financiero'!$AE$5:$AE$1000,$N14),""),IF(INDEX('Cronograma R. Financiero'!$K$5:$K$1000,$N14)="","",INDEX('Cronograma R. Financiero'!$K$5:$K$1000,$N14))))</f>
        <v/>
      </c>
      <c r="I14" s="61">
        <f>IF($N14="","",IF($P14&gt;0,IF(4&lt;=SemanaActual,INDEX('Cronograma R. Financiero'!$AF$5:$AF$1000,$N14),""),IF(INDEX('Cronograma R. Financiero'!$L$5:$L$1000,$N14)="","",INDEX('Cronograma R. Financiero'!$L$5:$L$1000,$N14))))</f>
        <v/>
      </c>
      <c r="J14" s="61">
        <f>IF($N14="","",INDEX('Cronograma R. Financiero'!$M$5:$M$1000,$N14))</f>
        <v/>
      </c>
      <c r="K14" s="56">
        <f>IF($N14="","",IF(N($J14)&gt;=1,"Completado",IF(AND(ISNUMBER($D14),$D14&lt;FechaRef),"Vencida",IF(N($J14)&gt;0,"En curso","Pendiente"))))</f>
        <v/>
      </c>
      <c r="L14" s="56">
        <f>IF($N14="","",INDEX('Cronograma R. Financiero'!$O$5:$O$1000,$N14)&amp;"")</f>
        <v/>
      </c>
      <c r="M14" s="62">
        <f>IF($N14="","",INDEX('Cronograma R. Financiero'!$Q$5:$Q$1000,$N14)&amp;"")</f>
        <v/>
      </c>
      <c r="N14">
        <f>IFERROR(MATCH(ROW()-4,rOrden_RF,0),"")</f>
        <v/>
      </c>
      <c r="O14">
        <f>IF($N14="","",INDEX('Cronograma R. Financiero'!$V$5:$V$1000,$N14))</f>
        <v/>
      </c>
      <c r="P14">
        <f>IF($N14="","",N(INDEX('Cronograma R. Financiero'!$W$5:$W$1000,$N14)))</f>
        <v/>
      </c>
      <c r="Q14">
        <f>IF(OR(LEFT($L14,7)="Vencida",LEFT($L14,5)="Vence"),SUMPRODUCT(--(LEFT($L$5:$L14,7)="Vencida"))+SUMPRODUCT(--(LEFT($L$5:$L14,5)="Vence")),"")</f>
        <v/>
      </c>
    </row>
    <row r="15">
      <c r="A15" s="56">
        <f>IF($N15="","",INDEX('Cronograma R. Financiero'!$A$5:$A$1000,$N15))</f>
        <v/>
      </c>
      <c r="B15" s="62">
        <f>IF($N15="","",IF($O15="Sub","      ↳  "&amp;INDEX('Cronograma R. Financiero'!$C$5:$C$1000,$N15),INDEX('Cronograma R. Financiero'!$C$5:$C$1000,$N15)&amp;""))</f>
        <v/>
      </c>
      <c r="C15" s="79">
        <f>IF($N15="","",IF(INDEX('Cronograma R. Financiero'!$AM$5:$AM$1000,$N15)="","",INDEX('Cronograma R. Financiero'!$AM$5:$AM$1000,$N15)))</f>
        <v/>
      </c>
      <c r="D15" s="79">
        <f>IF($N15="","",IF(INDEX('Cronograma R. Financiero'!$AN$5:$AN$1000,$N15)="","",INDEX('Cronograma R. Financiero'!$AN$5:$AN$1000,$N15)))</f>
        <v/>
      </c>
      <c r="E15" s="56">
        <f>IF($N15="","",IF(NOT(ISNUMBER($D15)),"",IF($D15&lt;InicioCiclo,"Antes del ciclo",IF($D15&gt;=InicioCiclo+28,"Después del ciclo","Semana "&amp;(INT(($D15-InicioCiclo)/7)+1)))))</f>
        <v/>
      </c>
      <c r="F15" s="61">
        <f>IF($N15="","",IF($P15&gt;0,IF(1&lt;=SemanaActual,INDEX('Cronograma R. Financiero'!$AC$5:$AC$1000,$N15),""),IF(INDEX('Cronograma R. Financiero'!$I$5:$I$1000,$N15)="","",INDEX('Cronograma R. Financiero'!$I$5:$I$1000,$N15))))</f>
        <v/>
      </c>
      <c r="G15" s="61">
        <f>IF($N15="","",IF($P15&gt;0,IF(2&lt;=SemanaActual,INDEX('Cronograma R. Financiero'!$AD$5:$AD$1000,$N15),""),IF(INDEX('Cronograma R. Financiero'!$J$5:$J$1000,$N15)="","",INDEX('Cronograma R. Financiero'!$J$5:$J$1000,$N15))))</f>
        <v/>
      </c>
      <c r="H15" s="61">
        <f>IF($N15="","",IF($P15&gt;0,IF(3&lt;=SemanaActual,INDEX('Cronograma R. Financiero'!$AE$5:$AE$1000,$N15),""),IF(INDEX('Cronograma R. Financiero'!$K$5:$K$1000,$N15)="","",INDEX('Cronograma R. Financiero'!$K$5:$K$1000,$N15))))</f>
        <v/>
      </c>
      <c r="I15" s="61">
        <f>IF($N15="","",IF($P15&gt;0,IF(4&lt;=SemanaActual,INDEX('Cronograma R. Financiero'!$AF$5:$AF$1000,$N15),""),IF(INDEX('Cronograma R. Financiero'!$L$5:$L$1000,$N15)="","",INDEX('Cronograma R. Financiero'!$L$5:$L$1000,$N15))))</f>
        <v/>
      </c>
      <c r="J15" s="61">
        <f>IF($N15="","",INDEX('Cronograma R. Financiero'!$M$5:$M$1000,$N15))</f>
        <v/>
      </c>
      <c r="K15" s="56">
        <f>IF($N15="","",IF(N($J15)&gt;=1,"Completado",IF(AND(ISNUMBER($D15),$D15&lt;FechaRef),"Vencida",IF(N($J15)&gt;0,"En curso","Pendiente"))))</f>
        <v/>
      </c>
      <c r="L15" s="56">
        <f>IF($N15="","",INDEX('Cronograma R. Financiero'!$O$5:$O$1000,$N15)&amp;"")</f>
        <v/>
      </c>
      <c r="M15" s="62">
        <f>IF($N15="","",INDEX('Cronograma R. Financiero'!$Q$5:$Q$1000,$N15)&amp;"")</f>
        <v/>
      </c>
      <c r="N15">
        <f>IFERROR(MATCH(ROW()-4,rOrden_RF,0),"")</f>
        <v/>
      </c>
      <c r="O15">
        <f>IF($N15="","",INDEX('Cronograma R. Financiero'!$V$5:$V$1000,$N15))</f>
        <v/>
      </c>
      <c r="P15">
        <f>IF($N15="","",N(INDEX('Cronograma R. Financiero'!$W$5:$W$1000,$N15)))</f>
        <v/>
      </c>
      <c r="Q15">
        <f>IF(OR(LEFT($L15,7)="Vencida",LEFT($L15,5)="Vence"),SUMPRODUCT(--(LEFT($L$5:$L15,7)="Vencida"))+SUMPRODUCT(--(LEFT($L$5:$L15,5)="Vence")),"")</f>
        <v/>
      </c>
    </row>
    <row r="16">
      <c r="A16" s="56">
        <f>IF($N16="","",INDEX('Cronograma R. Financiero'!$A$5:$A$1000,$N16))</f>
        <v/>
      </c>
      <c r="B16" s="62">
        <f>IF($N16="","",IF($O16="Sub","      ↳  "&amp;INDEX('Cronograma R. Financiero'!$C$5:$C$1000,$N16),INDEX('Cronograma R. Financiero'!$C$5:$C$1000,$N16)&amp;""))</f>
        <v/>
      </c>
      <c r="C16" s="79">
        <f>IF($N16="","",IF(INDEX('Cronograma R. Financiero'!$AM$5:$AM$1000,$N16)="","",INDEX('Cronograma R. Financiero'!$AM$5:$AM$1000,$N16)))</f>
        <v/>
      </c>
      <c r="D16" s="79">
        <f>IF($N16="","",IF(INDEX('Cronograma R. Financiero'!$AN$5:$AN$1000,$N16)="","",INDEX('Cronograma R. Financiero'!$AN$5:$AN$1000,$N16)))</f>
        <v/>
      </c>
      <c r="E16" s="56">
        <f>IF($N16="","",IF(NOT(ISNUMBER($D16)),"",IF($D16&lt;InicioCiclo,"Antes del ciclo",IF($D16&gt;=InicioCiclo+28,"Después del ciclo","Semana "&amp;(INT(($D16-InicioCiclo)/7)+1)))))</f>
        <v/>
      </c>
      <c r="F16" s="61">
        <f>IF($N16="","",IF($P16&gt;0,IF(1&lt;=SemanaActual,INDEX('Cronograma R. Financiero'!$AC$5:$AC$1000,$N16),""),IF(INDEX('Cronograma R. Financiero'!$I$5:$I$1000,$N16)="","",INDEX('Cronograma R. Financiero'!$I$5:$I$1000,$N16))))</f>
        <v/>
      </c>
      <c r="G16" s="61">
        <f>IF($N16="","",IF($P16&gt;0,IF(2&lt;=SemanaActual,INDEX('Cronograma R. Financiero'!$AD$5:$AD$1000,$N16),""),IF(INDEX('Cronograma R. Financiero'!$J$5:$J$1000,$N16)="","",INDEX('Cronograma R. Financiero'!$J$5:$J$1000,$N16))))</f>
        <v/>
      </c>
      <c r="H16" s="61">
        <f>IF($N16="","",IF($P16&gt;0,IF(3&lt;=SemanaActual,INDEX('Cronograma R. Financiero'!$AE$5:$AE$1000,$N16),""),IF(INDEX('Cronograma R. Financiero'!$K$5:$K$1000,$N16)="","",INDEX('Cronograma R. Financiero'!$K$5:$K$1000,$N16))))</f>
        <v/>
      </c>
      <c r="I16" s="61">
        <f>IF($N16="","",IF($P16&gt;0,IF(4&lt;=SemanaActual,INDEX('Cronograma R. Financiero'!$AF$5:$AF$1000,$N16),""),IF(INDEX('Cronograma R. Financiero'!$L$5:$L$1000,$N16)="","",INDEX('Cronograma R. Financiero'!$L$5:$L$1000,$N16))))</f>
        <v/>
      </c>
      <c r="J16" s="61">
        <f>IF($N16="","",INDEX('Cronograma R. Financiero'!$M$5:$M$1000,$N16))</f>
        <v/>
      </c>
      <c r="K16" s="56">
        <f>IF($N16="","",IF(N($J16)&gt;=1,"Completado",IF(AND(ISNUMBER($D16),$D16&lt;FechaRef),"Vencida",IF(N($J16)&gt;0,"En curso","Pendiente"))))</f>
        <v/>
      </c>
      <c r="L16" s="56">
        <f>IF($N16="","",INDEX('Cronograma R. Financiero'!$O$5:$O$1000,$N16)&amp;"")</f>
        <v/>
      </c>
      <c r="M16" s="62">
        <f>IF($N16="","",INDEX('Cronograma R. Financiero'!$Q$5:$Q$1000,$N16)&amp;"")</f>
        <v/>
      </c>
      <c r="N16">
        <f>IFERROR(MATCH(ROW()-4,rOrden_RF,0),"")</f>
        <v/>
      </c>
      <c r="O16">
        <f>IF($N16="","",INDEX('Cronograma R. Financiero'!$V$5:$V$1000,$N16))</f>
        <v/>
      </c>
      <c r="P16">
        <f>IF($N16="","",N(INDEX('Cronograma R. Financiero'!$W$5:$W$1000,$N16)))</f>
        <v/>
      </c>
      <c r="Q16">
        <f>IF(OR(LEFT($L16,7)="Vencida",LEFT($L16,5)="Vence"),SUMPRODUCT(--(LEFT($L$5:$L16,7)="Vencida"))+SUMPRODUCT(--(LEFT($L$5:$L16,5)="Vence")),"")</f>
        <v/>
      </c>
    </row>
    <row r="17">
      <c r="A17" s="56">
        <f>IF($N17="","",INDEX('Cronograma R. Financiero'!$A$5:$A$1000,$N17))</f>
        <v/>
      </c>
      <c r="B17" s="62">
        <f>IF($N17="","",IF($O17="Sub","      ↳  "&amp;INDEX('Cronograma R. Financiero'!$C$5:$C$1000,$N17),INDEX('Cronograma R. Financiero'!$C$5:$C$1000,$N17)&amp;""))</f>
        <v/>
      </c>
      <c r="C17" s="79">
        <f>IF($N17="","",IF(INDEX('Cronograma R. Financiero'!$AM$5:$AM$1000,$N17)="","",INDEX('Cronograma R. Financiero'!$AM$5:$AM$1000,$N17)))</f>
        <v/>
      </c>
      <c r="D17" s="79">
        <f>IF($N17="","",IF(INDEX('Cronograma R. Financiero'!$AN$5:$AN$1000,$N17)="","",INDEX('Cronograma R. Financiero'!$AN$5:$AN$1000,$N17)))</f>
        <v/>
      </c>
      <c r="E17" s="56">
        <f>IF($N17="","",IF(NOT(ISNUMBER($D17)),"",IF($D17&lt;InicioCiclo,"Antes del ciclo",IF($D17&gt;=InicioCiclo+28,"Después del ciclo","Semana "&amp;(INT(($D17-InicioCiclo)/7)+1)))))</f>
        <v/>
      </c>
      <c r="F17" s="61">
        <f>IF($N17="","",IF($P17&gt;0,IF(1&lt;=SemanaActual,INDEX('Cronograma R. Financiero'!$AC$5:$AC$1000,$N17),""),IF(INDEX('Cronograma R. Financiero'!$I$5:$I$1000,$N17)="","",INDEX('Cronograma R. Financiero'!$I$5:$I$1000,$N17))))</f>
        <v/>
      </c>
      <c r="G17" s="61">
        <f>IF($N17="","",IF($P17&gt;0,IF(2&lt;=SemanaActual,INDEX('Cronograma R. Financiero'!$AD$5:$AD$1000,$N17),""),IF(INDEX('Cronograma R. Financiero'!$J$5:$J$1000,$N17)="","",INDEX('Cronograma R. Financiero'!$J$5:$J$1000,$N17))))</f>
        <v/>
      </c>
      <c r="H17" s="61">
        <f>IF($N17="","",IF($P17&gt;0,IF(3&lt;=SemanaActual,INDEX('Cronograma R. Financiero'!$AE$5:$AE$1000,$N17),""),IF(INDEX('Cronograma R. Financiero'!$K$5:$K$1000,$N17)="","",INDEX('Cronograma R. Financiero'!$K$5:$K$1000,$N17))))</f>
        <v/>
      </c>
      <c r="I17" s="61">
        <f>IF($N17="","",IF($P17&gt;0,IF(4&lt;=SemanaActual,INDEX('Cronograma R. Financiero'!$AF$5:$AF$1000,$N17),""),IF(INDEX('Cronograma R. Financiero'!$L$5:$L$1000,$N17)="","",INDEX('Cronograma R. Financiero'!$L$5:$L$1000,$N17))))</f>
        <v/>
      </c>
      <c r="J17" s="61">
        <f>IF($N17="","",INDEX('Cronograma R. Financiero'!$M$5:$M$1000,$N17))</f>
        <v/>
      </c>
      <c r="K17" s="56">
        <f>IF($N17="","",IF(N($J17)&gt;=1,"Completado",IF(AND(ISNUMBER($D17),$D17&lt;FechaRef),"Vencida",IF(N($J17)&gt;0,"En curso","Pendiente"))))</f>
        <v/>
      </c>
      <c r="L17" s="56">
        <f>IF($N17="","",INDEX('Cronograma R. Financiero'!$O$5:$O$1000,$N17)&amp;"")</f>
        <v/>
      </c>
      <c r="M17" s="62">
        <f>IF($N17="","",INDEX('Cronograma R. Financiero'!$Q$5:$Q$1000,$N17)&amp;"")</f>
        <v/>
      </c>
      <c r="N17">
        <f>IFERROR(MATCH(ROW()-4,rOrden_RF,0),"")</f>
        <v/>
      </c>
      <c r="O17">
        <f>IF($N17="","",INDEX('Cronograma R. Financiero'!$V$5:$V$1000,$N17))</f>
        <v/>
      </c>
      <c r="P17">
        <f>IF($N17="","",N(INDEX('Cronograma R. Financiero'!$W$5:$W$1000,$N17)))</f>
        <v/>
      </c>
      <c r="Q17">
        <f>IF(OR(LEFT($L17,7)="Vencida",LEFT($L17,5)="Vence"),SUMPRODUCT(--(LEFT($L$5:$L17,7)="Vencida"))+SUMPRODUCT(--(LEFT($L$5:$L17,5)="Vence")),"")</f>
        <v/>
      </c>
    </row>
    <row r="18">
      <c r="A18" s="56">
        <f>IF($N18="","",INDEX('Cronograma R. Financiero'!$A$5:$A$1000,$N18))</f>
        <v/>
      </c>
      <c r="B18" s="62">
        <f>IF($N18="","",IF($O18="Sub","      ↳  "&amp;INDEX('Cronograma R. Financiero'!$C$5:$C$1000,$N18),INDEX('Cronograma R. Financiero'!$C$5:$C$1000,$N18)&amp;""))</f>
        <v/>
      </c>
      <c r="C18" s="79">
        <f>IF($N18="","",IF(INDEX('Cronograma R. Financiero'!$AM$5:$AM$1000,$N18)="","",INDEX('Cronograma R. Financiero'!$AM$5:$AM$1000,$N18)))</f>
        <v/>
      </c>
      <c r="D18" s="79">
        <f>IF($N18="","",IF(INDEX('Cronograma R. Financiero'!$AN$5:$AN$1000,$N18)="","",INDEX('Cronograma R. Financiero'!$AN$5:$AN$1000,$N18)))</f>
        <v/>
      </c>
      <c r="E18" s="56">
        <f>IF($N18="","",IF(NOT(ISNUMBER($D18)),"",IF($D18&lt;InicioCiclo,"Antes del ciclo",IF($D18&gt;=InicioCiclo+28,"Después del ciclo","Semana "&amp;(INT(($D18-InicioCiclo)/7)+1)))))</f>
        <v/>
      </c>
      <c r="F18" s="61">
        <f>IF($N18="","",IF($P18&gt;0,IF(1&lt;=SemanaActual,INDEX('Cronograma R. Financiero'!$AC$5:$AC$1000,$N18),""),IF(INDEX('Cronograma R. Financiero'!$I$5:$I$1000,$N18)="","",INDEX('Cronograma R. Financiero'!$I$5:$I$1000,$N18))))</f>
        <v/>
      </c>
      <c r="G18" s="61">
        <f>IF($N18="","",IF($P18&gt;0,IF(2&lt;=SemanaActual,INDEX('Cronograma R. Financiero'!$AD$5:$AD$1000,$N18),""),IF(INDEX('Cronograma R. Financiero'!$J$5:$J$1000,$N18)="","",INDEX('Cronograma R. Financiero'!$J$5:$J$1000,$N18))))</f>
        <v/>
      </c>
      <c r="H18" s="61">
        <f>IF($N18="","",IF($P18&gt;0,IF(3&lt;=SemanaActual,INDEX('Cronograma R. Financiero'!$AE$5:$AE$1000,$N18),""),IF(INDEX('Cronograma R. Financiero'!$K$5:$K$1000,$N18)="","",INDEX('Cronograma R. Financiero'!$K$5:$K$1000,$N18))))</f>
        <v/>
      </c>
      <c r="I18" s="61">
        <f>IF($N18="","",IF($P18&gt;0,IF(4&lt;=SemanaActual,INDEX('Cronograma R. Financiero'!$AF$5:$AF$1000,$N18),""),IF(INDEX('Cronograma R. Financiero'!$L$5:$L$1000,$N18)="","",INDEX('Cronograma R. Financiero'!$L$5:$L$1000,$N18))))</f>
        <v/>
      </c>
      <c r="J18" s="61">
        <f>IF($N18="","",INDEX('Cronograma R. Financiero'!$M$5:$M$1000,$N18))</f>
        <v/>
      </c>
      <c r="K18" s="56">
        <f>IF($N18="","",IF(N($J18)&gt;=1,"Completado",IF(AND(ISNUMBER($D18),$D18&lt;FechaRef),"Vencida",IF(N($J18)&gt;0,"En curso","Pendiente"))))</f>
        <v/>
      </c>
      <c r="L18" s="56">
        <f>IF($N18="","",INDEX('Cronograma R. Financiero'!$O$5:$O$1000,$N18)&amp;"")</f>
        <v/>
      </c>
      <c r="M18" s="62">
        <f>IF($N18="","",INDEX('Cronograma R. Financiero'!$Q$5:$Q$1000,$N18)&amp;"")</f>
        <v/>
      </c>
      <c r="N18">
        <f>IFERROR(MATCH(ROW()-4,rOrden_RF,0),"")</f>
        <v/>
      </c>
      <c r="O18">
        <f>IF($N18="","",INDEX('Cronograma R. Financiero'!$V$5:$V$1000,$N18))</f>
        <v/>
      </c>
      <c r="P18">
        <f>IF($N18="","",N(INDEX('Cronograma R. Financiero'!$W$5:$W$1000,$N18)))</f>
        <v/>
      </c>
      <c r="Q18">
        <f>IF(OR(LEFT($L18,7)="Vencida",LEFT($L18,5)="Vence"),SUMPRODUCT(--(LEFT($L$5:$L18,7)="Vencida"))+SUMPRODUCT(--(LEFT($L$5:$L18,5)="Vence")),"")</f>
        <v/>
      </c>
    </row>
    <row r="19">
      <c r="A19" s="56">
        <f>IF($N19="","",INDEX('Cronograma R. Financiero'!$A$5:$A$1000,$N19))</f>
        <v/>
      </c>
      <c r="B19" s="62">
        <f>IF($N19="","",IF($O19="Sub","      ↳  "&amp;INDEX('Cronograma R. Financiero'!$C$5:$C$1000,$N19),INDEX('Cronograma R. Financiero'!$C$5:$C$1000,$N19)&amp;""))</f>
        <v/>
      </c>
      <c r="C19" s="79">
        <f>IF($N19="","",IF(INDEX('Cronograma R. Financiero'!$AM$5:$AM$1000,$N19)="","",INDEX('Cronograma R. Financiero'!$AM$5:$AM$1000,$N19)))</f>
        <v/>
      </c>
      <c r="D19" s="79">
        <f>IF($N19="","",IF(INDEX('Cronograma R. Financiero'!$AN$5:$AN$1000,$N19)="","",INDEX('Cronograma R. Financiero'!$AN$5:$AN$1000,$N19)))</f>
        <v/>
      </c>
      <c r="E19" s="56">
        <f>IF($N19="","",IF(NOT(ISNUMBER($D19)),"",IF($D19&lt;InicioCiclo,"Antes del ciclo",IF($D19&gt;=InicioCiclo+28,"Después del ciclo","Semana "&amp;(INT(($D19-InicioCiclo)/7)+1)))))</f>
        <v/>
      </c>
      <c r="F19" s="61">
        <f>IF($N19="","",IF($P19&gt;0,IF(1&lt;=SemanaActual,INDEX('Cronograma R. Financiero'!$AC$5:$AC$1000,$N19),""),IF(INDEX('Cronograma R. Financiero'!$I$5:$I$1000,$N19)="","",INDEX('Cronograma R. Financiero'!$I$5:$I$1000,$N19))))</f>
        <v/>
      </c>
      <c r="G19" s="61">
        <f>IF($N19="","",IF($P19&gt;0,IF(2&lt;=SemanaActual,INDEX('Cronograma R. Financiero'!$AD$5:$AD$1000,$N19),""),IF(INDEX('Cronograma R. Financiero'!$J$5:$J$1000,$N19)="","",INDEX('Cronograma R. Financiero'!$J$5:$J$1000,$N19))))</f>
        <v/>
      </c>
      <c r="H19" s="61">
        <f>IF($N19="","",IF($P19&gt;0,IF(3&lt;=SemanaActual,INDEX('Cronograma R. Financiero'!$AE$5:$AE$1000,$N19),""),IF(INDEX('Cronograma R. Financiero'!$K$5:$K$1000,$N19)="","",INDEX('Cronograma R. Financiero'!$K$5:$K$1000,$N19))))</f>
        <v/>
      </c>
      <c r="I19" s="61">
        <f>IF($N19="","",IF($P19&gt;0,IF(4&lt;=SemanaActual,INDEX('Cronograma R. Financiero'!$AF$5:$AF$1000,$N19),""),IF(INDEX('Cronograma R. Financiero'!$L$5:$L$1000,$N19)="","",INDEX('Cronograma R. Financiero'!$L$5:$L$1000,$N19))))</f>
        <v/>
      </c>
      <c r="J19" s="61">
        <f>IF($N19="","",INDEX('Cronograma R. Financiero'!$M$5:$M$1000,$N19))</f>
        <v/>
      </c>
      <c r="K19" s="56">
        <f>IF($N19="","",IF(N($J19)&gt;=1,"Completado",IF(AND(ISNUMBER($D19),$D19&lt;FechaRef),"Vencida",IF(N($J19)&gt;0,"En curso","Pendiente"))))</f>
        <v/>
      </c>
      <c r="L19" s="56">
        <f>IF($N19="","",INDEX('Cronograma R. Financiero'!$O$5:$O$1000,$N19)&amp;"")</f>
        <v/>
      </c>
      <c r="M19" s="62">
        <f>IF($N19="","",INDEX('Cronograma R. Financiero'!$Q$5:$Q$1000,$N19)&amp;"")</f>
        <v/>
      </c>
      <c r="N19">
        <f>IFERROR(MATCH(ROW()-4,rOrden_RF,0),"")</f>
        <v/>
      </c>
      <c r="O19">
        <f>IF($N19="","",INDEX('Cronograma R. Financiero'!$V$5:$V$1000,$N19))</f>
        <v/>
      </c>
      <c r="P19">
        <f>IF($N19="","",N(INDEX('Cronograma R. Financiero'!$W$5:$W$1000,$N19)))</f>
        <v/>
      </c>
      <c r="Q19">
        <f>IF(OR(LEFT($L19,7)="Vencida",LEFT($L19,5)="Vence"),SUMPRODUCT(--(LEFT($L$5:$L19,7)="Vencida"))+SUMPRODUCT(--(LEFT($L$5:$L19,5)="Vence")),"")</f>
        <v/>
      </c>
    </row>
    <row r="20">
      <c r="A20" s="56">
        <f>IF($N20="","",INDEX('Cronograma R. Financiero'!$A$5:$A$1000,$N20))</f>
        <v/>
      </c>
      <c r="B20" s="62">
        <f>IF($N20="","",IF($O20="Sub","      ↳  "&amp;INDEX('Cronograma R. Financiero'!$C$5:$C$1000,$N20),INDEX('Cronograma R. Financiero'!$C$5:$C$1000,$N20)&amp;""))</f>
        <v/>
      </c>
      <c r="C20" s="79">
        <f>IF($N20="","",IF(INDEX('Cronograma R. Financiero'!$AM$5:$AM$1000,$N20)="","",INDEX('Cronograma R. Financiero'!$AM$5:$AM$1000,$N20)))</f>
        <v/>
      </c>
      <c r="D20" s="79">
        <f>IF($N20="","",IF(INDEX('Cronograma R. Financiero'!$AN$5:$AN$1000,$N20)="","",INDEX('Cronograma R. Financiero'!$AN$5:$AN$1000,$N20)))</f>
        <v/>
      </c>
      <c r="E20" s="56">
        <f>IF($N20="","",IF(NOT(ISNUMBER($D20)),"",IF($D20&lt;InicioCiclo,"Antes del ciclo",IF($D20&gt;=InicioCiclo+28,"Después del ciclo","Semana "&amp;(INT(($D20-InicioCiclo)/7)+1)))))</f>
        <v/>
      </c>
      <c r="F20" s="61">
        <f>IF($N20="","",IF($P20&gt;0,IF(1&lt;=SemanaActual,INDEX('Cronograma R. Financiero'!$AC$5:$AC$1000,$N20),""),IF(INDEX('Cronograma R. Financiero'!$I$5:$I$1000,$N20)="","",INDEX('Cronograma R. Financiero'!$I$5:$I$1000,$N20))))</f>
        <v/>
      </c>
      <c r="G20" s="61">
        <f>IF($N20="","",IF($P20&gt;0,IF(2&lt;=SemanaActual,INDEX('Cronograma R. Financiero'!$AD$5:$AD$1000,$N20),""),IF(INDEX('Cronograma R. Financiero'!$J$5:$J$1000,$N20)="","",INDEX('Cronograma R. Financiero'!$J$5:$J$1000,$N20))))</f>
        <v/>
      </c>
      <c r="H20" s="61">
        <f>IF($N20="","",IF($P20&gt;0,IF(3&lt;=SemanaActual,INDEX('Cronograma R. Financiero'!$AE$5:$AE$1000,$N20),""),IF(INDEX('Cronograma R. Financiero'!$K$5:$K$1000,$N20)="","",INDEX('Cronograma R. Financiero'!$K$5:$K$1000,$N20))))</f>
        <v/>
      </c>
      <c r="I20" s="61">
        <f>IF($N20="","",IF($P20&gt;0,IF(4&lt;=SemanaActual,INDEX('Cronograma R. Financiero'!$AF$5:$AF$1000,$N20),""),IF(INDEX('Cronograma R. Financiero'!$L$5:$L$1000,$N20)="","",INDEX('Cronograma R. Financiero'!$L$5:$L$1000,$N20))))</f>
        <v/>
      </c>
      <c r="J20" s="61">
        <f>IF($N20="","",INDEX('Cronograma R. Financiero'!$M$5:$M$1000,$N20))</f>
        <v/>
      </c>
      <c r="K20" s="56">
        <f>IF($N20="","",IF(N($J20)&gt;=1,"Completado",IF(AND(ISNUMBER($D20),$D20&lt;FechaRef),"Vencida",IF(N($J20)&gt;0,"En curso","Pendiente"))))</f>
        <v/>
      </c>
      <c r="L20" s="56">
        <f>IF($N20="","",INDEX('Cronograma R. Financiero'!$O$5:$O$1000,$N20)&amp;"")</f>
        <v/>
      </c>
      <c r="M20" s="62">
        <f>IF($N20="","",INDEX('Cronograma R. Financiero'!$Q$5:$Q$1000,$N20)&amp;"")</f>
        <v/>
      </c>
      <c r="N20">
        <f>IFERROR(MATCH(ROW()-4,rOrden_RF,0),"")</f>
        <v/>
      </c>
      <c r="O20">
        <f>IF($N20="","",INDEX('Cronograma R. Financiero'!$V$5:$V$1000,$N20))</f>
        <v/>
      </c>
      <c r="P20">
        <f>IF($N20="","",N(INDEX('Cronograma R. Financiero'!$W$5:$W$1000,$N20)))</f>
        <v/>
      </c>
      <c r="Q20">
        <f>IF(OR(LEFT($L20,7)="Vencida",LEFT($L20,5)="Vence"),SUMPRODUCT(--(LEFT($L$5:$L20,7)="Vencida"))+SUMPRODUCT(--(LEFT($L$5:$L20,5)="Vence")),"")</f>
        <v/>
      </c>
    </row>
    <row r="21">
      <c r="A21" s="56">
        <f>IF($N21="","",INDEX('Cronograma R. Financiero'!$A$5:$A$1000,$N21))</f>
        <v/>
      </c>
      <c r="B21" s="62">
        <f>IF($N21="","",IF($O21="Sub","      ↳  "&amp;INDEX('Cronograma R. Financiero'!$C$5:$C$1000,$N21),INDEX('Cronograma R. Financiero'!$C$5:$C$1000,$N21)&amp;""))</f>
        <v/>
      </c>
      <c r="C21" s="79">
        <f>IF($N21="","",IF(INDEX('Cronograma R. Financiero'!$AM$5:$AM$1000,$N21)="","",INDEX('Cronograma R. Financiero'!$AM$5:$AM$1000,$N21)))</f>
        <v/>
      </c>
      <c r="D21" s="79">
        <f>IF($N21="","",IF(INDEX('Cronograma R. Financiero'!$AN$5:$AN$1000,$N21)="","",INDEX('Cronograma R. Financiero'!$AN$5:$AN$1000,$N21)))</f>
        <v/>
      </c>
      <c r="E21" s="56">
        <f>IF($N21="","",IF(NOT(ISNUMBER($D21)),"",IF($D21&lt;InicioCiclo,"Antes del ciclo",IF($D21&gt;=InicioCiclo+28,"Después del ciclo","Semana "&amp;(INT(($D21-InicioCiclo)/7)+1)))))</f>
        <v/>
      </c>
      <c r="F21" s="61">
        <f>IF($N21="","",IF($P21&gt;0,IF(1&lt;=SemanaActual,INDEX('Cronograma R. Financiero'!$AC$5:$AC$1000,$N21),""),IF(INDEX('Cronograma R. Financiero'!$I$5:$I$1000,$N21)="","",INDEX('Cronograma R. Financiero'!$I$5:$I$1000,$N21))))</f>
        <v/>
      </c>
      <c r="G21" s="61">
        <f>IF($N21="","",IF($P21&gt;0,IF(2&lt;=SemanaActual,INDEX('Cronograma R. Financiero'!$AD$5:$AD$1000,$N21),""),IF(INDEX('Cronograma R. Financiero'!$J$5:$J$1000,$N21)="","",INDEX('Cronograma R. Financiero'!$J$5:$J$1000,$N21))))</f>
        <v/>
      </c>
      <c r="H21" s="61">
        <f>IF($N21="","",IF($P21&gt;0,IF(3&lt;=SemanaActual,INDEX('Cronograma R. Financiero'!$AE$5:$AE$1000,$N21),""),IF(INDEX('Cronograma R. Financiero'!$K$5:$K$1000,$N21)="","",INDEX('Cronograma R. Financiero'!$K$5:$K$1000,$N21))))</f>
        <v/>
      </c>
      <c r="I21" s="61">
        <f>IF($N21="","",IF($P21&gt;0,IF(4&lt;=SemanaActual,INDEX('Cronograma R. Financiero'!$AF$5:$AF$1000,$N21),""),IF(INDEX('Cronograma R. Financiero'!$L$5:$L$1000,$N21)="","",INDEX('Cronograma R. Financiero'!$L$5:$L$1000,$N21))))</f>
        <v/>
      </c>
      <c r="J21" s="61">
        <f>IF($N21="","",INDEX('Cronograma R. Financiero'!$M$5:$M$1000,$N21))</f>
        <v/>
      </c>
      <c r="K21" s="56">
        <f>IF($N21="","",IF(N($J21)&gt;=1,"Completado",IF(AND(ISNUMBER($D21),$D21&lt;FechaRef),"Vencida",IF(N($J21)&gt;0,"En curso","Pendiente"))))</f>
        <v/>
      </c>
      <c r="L21" s="56">
        <f>IF($N21="","",INDEX('Cronograma R. Financiero'!$O$5:$O$1000,$N21)&amp;"")</f>
        <v/>
      </c>
      <c r="M21" s="62">
        <f>IF($N21="","",INDEX('Cronograma R. Financiero'!$Q$5:$Q$1000,$N21)&amp;"")</f>
        <v/>
      </c>
      <c r="N21">
        <f>IFERROR(MATCH(ROW()-4,rOrden_RF,0),"")</f>
        <v/>
      </c>
      <c r="O21">
        <f>IF($N21="","",INDEX('Cronograma R. Financiero'!$V$5:$V$1000,$N21))</f>
        <v/>
      </c>
      <c r="P21">
        <f>IF($N21="","",N(INDEX('Cronograma R. Financiero'!$W$5:$W$1000,$N21)))</f>
        <v/>
      </c>
      <c r="Q21">
        <f>IF(OR(LEFT($L21,7)="Vencida",LEFT($L21,5)="Vence"),SUMPRODUCT(--(LEFT($L$5:$L21,7)="Vencida"))+SUMPRODUCT(--(LEFT($L$5:$L21,5)="Vence")),"")</f>
        <v/>
      </c>
    </row>
    <row r="22">
      <c r="A22" s="56">
        <f>IF($N22="","",INDEX('Cronograma R. Financiero'!$A$5:$A$1000,$N22))</f>
        <v/>
      </c>
      <c r="B22" s="62">
        <f>IF($N22="","",IF($O22="Sub","      ↳  "&amp;INDEX('Cronograma R. Financiero'!$C$5:$C$1000,$N22),INDEX('Cronograma R. Financiero'!$C$5:$C$1000,$N22)&amp;""))</f>
        <v/>
      </c>
      <c r="C22" s="79">
        <f>IF($N22="","",IF(INDEX('Cronograma R. Financiero'!$AM$5:$AM$1000,$N22)="","",INDEX('Cronograma R. Financiero'!$AM$5:$AM$1000,$N22)))</f>
        <v/>
      </c>
      <c r="D22" s="79">
        <f>IF($N22="","",IF(INDEX('Cronograma R. Financiero'!$AN$5:$AN$1000,$N22)="","",INDEX('Cronograma R. Financiero'!$AN$5:$AN$1000,$N22)))</f>
        <v/>
      </c>
      <c r="E22" s="56">
        <f>IF($N22="","",IF(NOT(ISNUMBER($D22)),"",IF($D22&lt;InicioCiclo,"Antes del ciclo",IF($D22&gt;=InicioCiclo+28,"Después del ciclo","Semana "&amp;(INT(($D22-InicioCiclo)/7)+1)))))</f>
        <v/>
      </c>
      <c r="F22" s="61">
        <f>IF($N22="","",IF($P22&gt;0,IF(1&lt;=SemanaActual,INDEX('Cronograma R. Financiero'!$AC$5:$AC$1000,$N22),""),IF(INDEX('Cronograma R. Financiero'!$I$5:$I$1000,$N22)="","",INDEX('Cronograma R. Financiero'!$I$5:$I$1000,$N22))))</f>
        <v/>
      </c>
      <c r="G22" s="61">
        <f>IF($N22="","",IF($P22&gt;0,IF(2&lt;=SemanaActual,INDEX('Cronograma R. Financiero'!$AD$5:$AD$1000,$N22),""),IF(INDEX('Cronograma R. Financiero'!$J$5:$J$1000,$N22)="","",INDEX('Cronograma R. Financiero'!$J$5:$J$1000,$N22))))</f>
        <v/>
      </c>
      <c r="H22" s="61">
        <f>IF($N22="","",IF($P22&gt;0,IF(3&lt;=SemanaActual,INDEX('Cronograma R. Financiero'!$AE$5:$AE$1000,$N22),""),IF(INDEX('Cronograma R. Financiero'!$K$5:$K$1000,$N22)="","",INDEX('Cronograma R. Financiero'!$K$5:$K$1000,$N22))))</f>
        <v/>
      </c>
      <c r="I22" s="61">
        <f>IF($N22="","",IF($P22&gt;0,IF(4&lt;=SemanaActual,INDEX('Cronograma R. Financiero'!$AF$5:$AF$1000,$N22),""),IF(INDEX('Cronograma R. Financiero'!$L$5:$L$1000,$N22)="","",INDEX('Cronograma R. Financiero'!$L$5:$L$1000,$N22))))</f>
        <v/>
      </c>
      <c r="J22" s="61">
        <f>IF($N22="","",INDEX('Cronograma R. Financiero'!$M$5:$M$1000,$N22))</f>
        <v/>
      </c>
      <c r="K22" s="56">
        <f>IF($N22="","",IF(N($J22)&gt;=1,"Completado",IF(AND(ISNUMBER($D22),$D22&lt;FechaRef),"Vencida",IF(N($J22)&gt;0,"En curso","Pendiente"))))</f>
        <v/>
      </c>
      <c r="L22" s="56">
        <f>IF($N22="","",INDEX('Cronograma R. Financiero'!$O$5:$O$1000,$N22)&amp;"")</f>
        <v/>
      </c>
      <c r="M22" s="62">
        <f>IF($N22="","",INDEX('Cronograma R. Financiero'!$Q$5:$Q$1000,$N22)&amp;"")</f>
        <v/>
      </c>
      <c r="N22">
        <f>IFERROR(MATCH(ROW()-4,rOrden_RF,0),"")</f>
        <v/>
      </c>
      <c r="O22">
        <f>IF($N22="","",INDEX('Cronograma R. Financiero'!$V$5:$V$1000,$N22))</f>
        <v/>
      </c>
      <c r="P22">
        <f>IF($N22="","",N(INDEX('Cronograma R. Financiero'!$W$5:$W$1000,$N22)))</f>
        <v/>
      </c>
      <c r="Q22">
        <f>IF(OR(LEFT($L22,7)="Vencida",LEFT($L22,5)="Vence"),SUMPRODUCT(--(LEFT($L$5:$L22,7)="Vencida"))+SUMPRODUCT(--(LEFT($L$5:$L22,5)="Vence")),"")</f>
        <v/>
      </c>
    </row>
    <row r="23">
      <c r="A23" s="56">
        <f>IF($N23="","",INDEX('Cronograma R. Financiero'!$A$5:$A$1000,$N23))</f>
        <v/>
      </c>
      <c r="B23" s="62">
        <f>IF($N23="","",IF($O23="Sub","      ↳  "&amp;INDEX('Cronograma R. Financiero'!$C$5:$C$1000,$N23),INDEX('Cronograma R. Financiero'!$C$5:$C$1000,$N23)&amp;""))</f>
        <v/>
      </c>
      <c r="C23" s="79">
        <f>IF($N23="","",IF(INDEX('Cronograma R. Financiero'!$AM$5:$AM$1000,$N23)="","",INDEX('Cronograma R. Financiero'!$AM$5:$AM$1000,$N23)))</f>
        <v/>
      </c>
      <c r="D23" s="79">
        <f>IF($N23="","",IF(INDEX('Cronograma R. Financiero'!$AN$5:$AN$1000,$N23)="","",INDEX('Cronograma R. Financiero'!$AN$5:$AN$1000,$N23)))</f>
        <v/>
      </c>
      <c r="E23" s="56">
        <f>IF($N23="","",IF(NOT(ISNUMBER($D23)),"",IF($D23&lt;InicioCiclo,"Antes del ciclo",IF($D23&gt;=InicioCiclo+28,"Después del ciclo","Semana "&amp;(INT(($D23-InicioCiclo)/7)+1)))))</f>
        <v/>
      </c>
      <c r="F23" s="61">
        <f>IF($N23="","",IF($P23&gt;0,IF(1&lt;=SemanaActual,INDEX('Cronograma R. Financiero'!$AC$5:$AC$1000,$N23),""),IF(INDEX('Cronograma R. Financiero'!$I$5:$I$1000,$N23)="","",INDEX('Cronograma R. Financiero'!$I$5:$I$1000,$N23))))</f>
        <v/>
      </c>
      <c r="G23" s="61">
        <f>IF($N23="","",IF($P23&gt;0,IF(2&lt;=SemanaActual,INDEX('Cronograma R. Financiero'!$AD$5:$AD$1000,$N23),""),IF(INDEX('Cronograma R. Financiero'!$J$5:$J$1000,$N23)="","",INDEX('Cronograma R. Financiero'!$J$5:$J$1000,$N23))))</f>
        <v/>
      </c>
      <c r="H23" s="61">
        <f>IF($N23="","",IF($P23&gt;0,IF(3&lt;=SemanaActual,INDEX('Cronograma R. Financiero'!$AE$5:$AE$1000,$N23),""),IF(INDEX('Cronograma R. Financiero'!$K$5:$K$1000,$N23)="","",INDEX('Cronograma R. Financiero'!$K$5:$K$1000,$N23))))</f>
        <v/>
      </c>
      <c r="I23" s="61">
        <f>IF($N23="","",IF($P23&gt;0,IF(4&lt;=SemanaActual,INDEX('Cronograma R. Financiero'!$AF$5:$AF$1000,$N23),""),IF(INDEX('Cronograma R. Financiero'!$L$5:$L$1000,$N23)="","",INDEX('Cronograma R. Financiero'!$L$5:$L$1000,$N23))))</f>
        <v/>
      </c>
      <c r="J23" s="61">
        <f>IF($N23="","",INDEX('Cronograma R. Financiero'!$M$5:$M$1000,$N23))</f>
        <v/>
      </c>
      <c r="K23" s="56">
        <f>IF($N23="","",IF(N($J23)&gt;=1,"Completado",IF(AND(ISNUMBER($D23),$D23&lt;FechaRef),"Vencida",IF(N($J23)&gt;0,"En curso","Pendiente"))))</f>
        <v/>
      </c>
      <c r="L23" s="56">
        <f>IF($N23="","",INDEX('Cronograma R. Financiero'!$O$5:$O$1000,$N23)&amp;"")</f>
        <v/>
      </c>
      <c r="M23" s="62">
        <f>IF($N23="","",INDEX('Cronograma R. Financiero'!$Q$5:$Q$1000,$N23)&amp;"")</f>
        <v/>
      </c>
      <c r="N23">
        <f>IFERROR(MATCH(ROW()-4,rOrden_RF,0),"")</f>
        <v/>
      </c>
      <c r="O23">
        <f>IF($N23="","",INDEX('Cronograma R. Financiero'!$V$5:$V$1000,$N23))</f>
        <v/>
      </c>
      <c r="P23">
        <f>IF($N23="","",N(INDEX('Cronograma R. Financiero'!$W$5:$W$1000,$N23)))</f>
        <v/>
      </c>
      <c r="Q23">
        <f>IF(OR(LEFT($L23,7)="Vencida",LEFT($L23,5)="Vence"),SUMPRODUCT(--(LEFT($L$5:$L23,7)="Vencida"))+SUMPRODUCT(--(LEFT($L$5:$L23,5)="Vence")),"")</f>
        <v/>
      </c>
    </row>
    <row r="24">
      <c r="A24" s="56">
        <f>IF($N24="","",INDEX('Cronograma R. Financiero'!$A$5:$A$1000,$N24))</f>
        <v/>
      </c>
      <c r="B24" s="62">
        <f>IF($N24="","",IF($O24="Sub","      ↳  "&amp;INDEX('Cronograma R. Financiero'!$C$5:$C$1000,$N24),INDEX('Cronograma R. Financiero'!$C$5:$C$1000,$N24)&amp;""))</f>
        <v/>
      </c>
      <c r="C24" s="79">
        <f>IF($N24="","",IF(INDEX('Cronograma R. Financiero'!$AM$5:$AM$1000,$N24)="","",INDEX('Cronograma R. Financiero'!$AM$5:$AM$1000,$N24)))</f>
        <v/>
      </c>
      <c r="D24" s="79">
        <f>IF($N24="","",IF(INDEX('Cronograma R. Financiero'!$AN$5:$AN$1000,$N24)="","",INDEX('Cronograma R. Financiero'!$AN$5:$AN$1000,$N24)))</f>
        <v/>
      </c>
      <c r="E24" s="56">
        <f>IF($N24="","",IF(NOT(ISNUMBER($D24)),"",IF($D24&lt;InicioCiclo,"Antes del ciclo",IF($D24&gt;=InicioCiclo+28,"Después del ciclo","Semana "&amp;(INT(($D24-InicioCiclo)/7)+1)))))</f>
        <v/>
      </c>
      <c r="F24" s="61">
        <f>IF($N24="","",IF($P24&gt;0,IF(1&lt;=SemanaActual,INDEX('Cronograma R. Financiero'!$AC$5:$AC$1000,$N24),""),IF(INDEX('Cronograma R. Financiero'!$I$5:$I$1000,$N24)="","",INDEX('Cronograma R. Financiero'!$I$5:$I$1000,$N24))))</f>
        <v/>
      </c>
      <c r="G24" s="61">
        <f>IF($N24="","",IF($P24&gt;0,IF(2&lt;=SemanaActual,INDEX('Cronograma R. Financiero'!$AD$5:$AD$1000,$N24),""),IF(INDEX('Cronograma R. Financiero'!$J$5:$J$1000,$N24)="","",INDEX('Cronograma R. Financiero'!$J$5:$J$1000,$N24))))</f>
        <v/>
      </c>
      <c r="H24" s="61">
        <f>IF($N24="","",IF($P24&gt;0,IF(3&lt;=SemanaActual,INDEX('Cronograma R. Financiero'!$AE$5:$AE$1000,$N24),""),IF(INDEX('Cronograma R. Financiero'!$K$5:$K$1000,$N24)="","",INDEX('Cronograma R. Financiero'!$K$5:$K$1000,$N24))))</f>
        <v/>
      </c>
      <c r="I24" s="61">
        <f>IF($N24="","",IF($P24&gt;0,IF(4&lt;=SemanaActual,INDEX('Cronograma R. Financiero'!$AF$5:$AF$1000,$N24),""),IF(INDEX('Cronograma R. Financiero'!$L$5:$L$1000,$N24)="","",INDEX('Cronograma R. Financiero'!$L$5:$L$1000,$N24))))</f>
        <v/>
      </c>
      <c r="J24" s="61">
        <f>IF($N24="","",INDEX('Cronograma R. Financiero'!$M$5:$M$1000,$N24))</f>
        <v/>
      </c>
      <c r="K24" s="56">
        <f>IF($N24="","",IF(N($J24)&gt;=1,"Completado",IF(AND(ISNUMBER($D24),$D24&lt;FechaRef),"Vencida",IF(N($J24)&gt;0,"En curso","Pendiente"))))</f>
        <v/>
      </c>
      <c r="L24" s="56">
        <f>IF($N24="","",INDEX('Cronograma R. Financiero'!$O$5:$O$1000,$N24)&amp;"")</f>
        <v/>
      </c>
      <c r="M24" s="62">
        <f>IF($N24="","",INDEX('Cronograma R. Financiero'!$Q$5:$Q$1000,$N24)&amp;"")</f>
        <v/>
      </c>
      <c r="N24">
        <f>IFERROR(MATCH(ROW()-4,rOrden_RF,0),"")</f>
        <v/>
      </c>
      <c r="O24">
        <f>IF($N24="","",INDEX('Cronograma R. Financiero'!$V$5:$V$1000,$N24))</f>
        <v/>
      </c>
      <c r="P24">
        <f>IF($N24="","",N(INDEX('Cronograma R. Financiero'!$W$5:$W$1000,$N24)))</f>
        <v/>
      </c>
      <c r="Q24">
        <f>IF(OR(LEFT($L24,7)="Vencida",LEFT($L24,5)="Vence"),SUMPRODUCT(--(LEFT($L$5:$L24,7)="Vencida"))+SUMPRODUCT(--(LEFT($L$5:$L24,5)="Vence")),"")</f>
        <v/>
      </c>
    </row>
    <row r="25">
      <c r="A25" s="56">
        <f>IF($N25="","",INDEX('Cronograma R. Financiero'!$A$5:$A$1000,$N25))</f>
        <v/>
      </c>
      <c r="B25" s="62">
        <f>IF($N25="","",IF($O25="Sub","      ↳  "&amp;INDEX('Cronograma R. Financiero'!$C$5:$C$1000,$N25),INDEX('Cronograma R. Financiero'!$C$5:$C$1000,$N25)&amp;""))</f>
        <v/>
      </c>
      <c r="C25" s="79">
        <f>IF($N25="","",IF(INDEX('Cronograma R. Financiero'!$AM$5:$AM$1000,$N25)="","",INDEX('Cronograma R. Financiero'!$AM$5:$AM$1000,$N25)))</f>
        <v/>
      </c>
      <c r="D25" s="79">
        <f>IF($N25="","",IF(INDEX('Cronograma R. Financiero'!$AN$5:$AN$1000,$N25)="","",INDEX('Cronograma R. Financiero'!$AN$5:$AN$1000,$N25)))</f>
        <v/>
      </c>
      <c r="E25" s="56">
        <f>IF($N25="","",IF(NOT(ISNUMBER($D25)),"",IF($D25&lt;InicioCiclo,"Antes del ciclo",IF($D25&gt;=InicioCiclo+28,"Después del ciclo","Semana "&amp;(INT(($D25-InicioCiclo)/7)+1)))))</f>
        <v/>
      </c>
      <c r="F25" s="61">
        <f>IF($N25="","",IF($P25&gt;0,IF(1&lt;=SemanaActual,INDEX('Cronograma R. Financiero'!$AC$5:$AC$1000,$N25),""),IF(INDEX('Cronograma R. Financiero'!$I$5:$I$1000,$N25)="","",INDEX('Cronograma R. Financiero'!$I$5:$I$1000,$N25))))</f>
        <v/>
      </c>
      <c r="G25" s="61">
        <f>IF($N25="","",IF($P25&gt;0,IF(2&lt;=SemanaActual,INDEX('Cronograma R. Financiero'!$AD$5:$AD$1000,$N25),""),IF(INDEX('Cronograma R. Financiero'!$J$5:$J$1000,$N25)="","",INDEX('Cronograma R. Financiero'!$J$5:$J$1000,$N25))))</f>
        <v/>
      </c>
      <c r="H25" s="61">
        <f>IF($N25="","",IF($P25&gt;0,IF(3&lt;=SemanaActual,INDEX('Cronograma R. Financiero'!$AE$5:$AE$1000,$N25),""),IF(INDEX('Cronograma R. Financiero'!$K$5:$K$1000,$N25)="","",INDEX('Cronograma R. Financiero'!$K$5:$K$1000,$N25))))</f>
        <v/>
      </c>
      <c r="I25" s="61">
        <f>IF($N25="","",IF($P25&gt;0,IF(4&lt;=SemanaActual,INDEX('Cronograma R. Financiero'!$AF$5:$AF$1000,$N25),""),IF(INDEX('Cronograma R. Financiero'!$L$5:$L$1000,$N25)="","",INDEX('Cronograma R. Financiero'!$L$5:$L$1000,$N25))))</f>
        <v/>
      </c>
      <c r="J25" s="61">
        <f>IF($N25="","",INDEX('Cronograma R. Financiero'!$M$5:$M$1000,$N25))</f>
        <v/>
      </c>
      <c r="K25" s="56">
        <f>IF($N25="","",IF(N($J25)&gt;=1,"Completado",IF(AND(ISNUMBER($D25),$D25&lt;FechaRef),"Vencida",IF(N($J25)&gt;0,"En curso","Pendiente"))))</f>
        <v/>
      </c>
      <c r="L25" s="56">
        <f>IF($N25="","",INDEX('Cronograma R. Financiero'!$O$5:$O$1000,$N25)&amp;"")</f>
        <v/>
      </c>
      <c r="M25" s="62">
        <f>IF($N25="","",INDEX('Cronograma R. Financiero'!$Q$5:$Q$1000,$N25)&amp;"")</f>
        <v/>
      </c>
      <c r="N25">
        <f>IFERROR(MATCH(ROW()-4,rOrden_RF,0),"")</f>
        <v/>
      </c>
      <c r="O25">
        <f>IF($N25="","",INDEX('Cronograma R. Financiero'!$V$5:$V$1000,$N25))</f>
        <v/>
      </c>
      <c r="P25">
        <f>IF($N25="","",N(INDEX('Cronograma R. Financiero'!$W$5:$W$1000,$N25)))</f>
        <v/>
      </c>
      <c r="Q25">
        <f>IF(OR(LEFT($L25,7)="Vencida",LEFT($L25,5)="Vence"),SUMPRODUCT(--(LEFT($L$5:$L25,7)="Vencida"))+SUMPRODUCT(--(LEFT($L$5:$L25,5)="Vence")),"")</f>
        <v/>
      </c>
    </row>
    <row r="26">
      <c r="A26" s="56">
        <f>IF($N26="","",INDEX('Cronograma R. Financiero'!$A$5:$A$1000,$N26))</f>
        <v/>
      </c>
      <c r="B26" s="62">
        <f>IF($N26="","",IF($O26="Sub","      ↳  "&amp;INDEX('Cronograma R. Financiero'!$C$5:$C$1000,$N26),INDEX('Cronograma R. Financiero'!$C$5:$C$1000,$N26)&amp;""))</f>
        <v/>
      </c>
      <c r="C26" s="79">
        <f>IF($N26="","",IF(INDEX('Cronograma R. Financiero'!$AM$5:$AM$1000,$N26)="","",INDEX('Cronograma R. Financiero'!$AM$5:$AM$1000,$N26)))</f>
        <v/>
      </c>
      <c r="D26" s="79">
        <f>IF($N26="","",IF(INDEX('Cronograma R. Financiero'!$AN$5:$AN$1000,$N26)="","",INDEX('Cronograma R. Financiero'!$AN$5:$AN$1000,$N26)))</f>
        <v/>
      </c>
      <c r="E26" s="56">
        <f>IF($N26="","",IF(NOT(ISNUMBER($D26)),"",IF($D26&lt;InicioCiclo,"Antes del ciclo",IF($D26&gt;=InicioCiclo+28,"Después del ciclo","Semana "&amp;(INT(($D26-InicioCiclo)/7)+1)))))</f>
        <v/>
      </c>
      <c r="F26" s="61">
        <f>IF($N26="","",IF($P26&gt;0,IF(1&lt;=SemanaActual,INDEX('Cronograma R. Financiero'!$AC$5:$AC$1000,$N26),""),IF(INDEX('Cronograma R. Financiero'!$I$5:$I$1000,$N26)="","",INDEX('Cronograma R. Financiero'!$I$5:$I$1000,$N26))))</f>
        <v/>
      </c>
      <c r="G26" s="61">
        <f>IF($N26="","",IF($P26&gt;0,IF(2&lt;=SemanaActual,INDEX('Cronograma R. Financiero'!$AD$5:$AD$1000,$N26),""),IF(INDEX('Cronograma R. Financiero'!$J$5:$J$1000,$N26)="","",INDEX('Cronograma R. Financiero'!$J$5:$J$1000,$N26))))</f>
        <v/>
      </c>
      <c r="H26" s="61">
        <f>IF($N26="","",IF($P26&gt;0,IF(3&lt;=SemanaActual,INDEX('Cronograma R. Financiero'!$AE$5:$AE$1000,$N26),""),IF(INDEX('Cronograma R. Financiero'!$K$5:$K$1000,$N26)="","",INDEX('Cronograma R. Financiero'!$K$5:$K$1000,$N26))))</f>
        <v/>
      </c>
      <c r="I26" s="61">
        <f>IF($N26="","",IF($P26&gt;0,IF(4&lt;=SemanaActual,INDEX('Cronograma R. Financiero'!$AF$5:$AF$1000,$N26),""),IF(INDEX('Cronograma R. Financiero'!$L$5:$L$1000,$N26)="","",INDEX('Cronograma R. Financiero'!$L$5:$L$1000,$N26))))</f>
        <v/>
      </c>
      <c r="J26" s="61">
        <f>IF($N26="","",INDEX('Cronograma R. Financiero'!$M$5:$M$1000,$N26))</f>
        <v/>
      </c>
      <c r="K26" s="56">
        <f>IF($N26="","",IF(N($J26)&gt;=1,"Completado",IF(AND(ISNUMBER($D26),$D26&lt;FechaRef),"Vencida",IF(N($J26)&gt;0,"En curso","Pendiente"))))</f>
        <v/>
      </c>
      <c r="L26" s="56">
        <f>IF($N26="","",INDEX('Cronograma R. Financiero'!$O$5:$O$1000,$N26)&amp;"")</f>
        <v/>
      </c>
      <c r="M26" s="62">
        <f>IF($N26="","",INDEX('Cronograma R. Financiero'!$Q$5:$Q$1000,$N26)&amp;"")</f>
        <v/>
      </c>
      <c r="N26">
        <f>IFERROR(MATCH(ROW()-4,rOrden_RF,0),"")</f>
        <v/>
      </c>
      <c r="O26">
        <f>IF($N26="","",INDEX('Cronograma R. Financiero'!$V$5:$V$1000,$N26))</f>
        <v/>
      </c>
      <c r="P26">
        <f>IF($N26="","",N(INDEX('Cronograma R. Financiero'!$W$5:$W$1000,$N26)))</f>
        <v/>
      </c>
      <c r="Q26">
        <f>IF(OR(LEFT($L26,7)="Vencida",LEFT($L26,5)="Vence"),SUMPRODUCT(--(LEFT($L$5:$L26,7)="Vencida"))+SUMPRODUCT(--(LEFT($L$5:$L26,5)="Vence")),"")</f>
        <v/>
      </c>
    </row>
    <row r="27">
      <c r="A27" s="56">
        <f>IF($N27="","",INDEX('Cronograma R. Financiero'!$A$5:$A$1000,$N27))</f>
        <v/>
      </c>
      <c r="B27" s="62">
        <f>IF($N27="","",IF($O27="Sub","      ↳  "&amp;INDEX('Cronograma R. Financiero'!$C$5:$C$1000,$N27),INDEX('Cronograma R. Financiero'!$C$5:$C$1000,$N27)&amp;""))</f>
        <v/>
      </c>
      <c r="C27" s="79">
        <f>IF($N27="","",IF(INDEX('Cronograma R. Financiero'!$AM$5:$AM$1000,$N27)="","",INDEX('Cronograma R. Financiero'!$AM$5:$AM$1000,$N27)))</f>
        <v/>
      </c>
      <c r="D27" s="79">
        <f>IF($N27="","",IF(INDEX('Cronograma R. Financiero'!$AN$5:$AN$1000,$N27)="","",INDEX('Cronograma R. Financiero'!$AN$5:$AN$1000,$N27)))</f>
        <v/>
      </c>
      <c r="E27" s="56">
        <f>IF($N27="","",IF(NOT(ISNUMBER($D27)),"",IF($D27&lt;InicioCiclo,"Antes del ciclo",IF($D27&gt;=InicioCiclo+28,"Después del ciclo","Semana "&amp;(INT(($D27-InicioCiclo)/7)+1)))))</f>
        <v/>
      </c>
      <c r="F27" s="61">
        <f>IF($N27="","",IF($P27&gt;0,IF(1&lt;=SemanaActual,INDEX('Cronograma R. Financiero'!$AC$5:$AC$1000,$N27),""),IF(INDEX('Cronograma R. Financiero'!$I$5:$I$1000,$N27)="","",INDEX('Cronograma R. Financiero'!$I$5:$I$1000,$N27))))</f>
        <v/>
      </c>
      <c r="G27" s="61">
        <f>IF($N27="","",IF($P27&gt;0,IF(2&lt;=SemanaActual,INDEX('Cronograma R. Financiero'!$AD$5:$AD$1000,$N27),""),IF(INDEX('Cronograma R. Financiero'!$J$5:$J$1000,$N27)="","",INDEX('Cronograma R. Financiero'!$J$5:$J$1000,$N27))))</f>
        <v/>
      </c>
      <c r="H27" s="61">
        <f>IF($N27="","",IF($P27&gt;0,IF(3&lt;=SemanaActual,INDEX('Cronograma R. Financiero'!$AE$5:$AE$1000,$N27),""),IF(INDEX('Cronograma R. Financiero'!$K$5:$K$1000,$N27)="","",INDEX('Cronograma R. Financiero'!$K$5:$K$1000,$N27))))</f>
        <v/>
      </c>
      <c r="I27" s="61">
        <f>IF($N27="","",IF($P27&gt;0,IF(4&lt;=SemanaActual,INDEX('Cronograma R. Financiero'!$AF$5:$AF$1000,$N27),""),IF(INDEX('Cronograma R. Financiero'!$L$5:$L$1000,$N27)="","",INDEX('Cronograma R. Financiero'!$L$5:$L$1000,$N27))))</f>
        <v/>
      </c>
      <c r="J27" s="61">
        <f>IF($N27="","",INDEX('Cronograma R. Financiero'!$M$5:$M$1000,$N27))</f>
        <v/>
      </c>
      <c r="K27" s="56">
        <f>IF($N27="","",IF(N($J27)&gt;=1,"Completado",IF(AND(ISNUMBER($D27),$D27&lt;FechaRef),"Vencida",IF(N($J27)&gt;0,"En curso","Pendiente"))))</f>
        <v/>
      </c>
      <c r="L27" s="56">
        <f>IF($N27="","",INDEX('Cronograma R. Financiero'!$O$5:$O$1000,$N27)&amp;"")</f>
        <v/>
      </c>
      <c r="M27" s="62">
        <f>IF($N27="","",INDEX('Cronograma R. Financiero'!$Q$5:$Q$1000,$N27)&amp;"")</f>
        <v/>
      </c>
      <c r="N27">
        <f>IFERROR(MATCH(ROW()-4,rOrden_RF,0),"")</f>
        <v/>
      </c>
      <c r="O27">
        <f>IF($N27="","",INDEX('Cronograma R. Financiero'!$V$5:$V$1000,$N27))</f>
        <v/>
      </c>
      <c r="P27">
        <f>IF($N27="","",N(INDEX('Cronograma R. Financiero'!$W$5:$W$1000,$N27)))</f>
        <v/>
      </c>
      <c r="Q27">
        <f>IF(OR(LEFT($L27,7)="Vencida",LEFT($L27,5)="Vence"),SUMPRODUCT(--(LEFT($L$5:$L27,7)="Vencida"))+SUMPRODUCT(--(LEFT($L$5:$L27,5)="Vence")),"")</f>
        <v/>
      </c>
    </row>
    <row r="28">
      <c r="A28" s="56">
        <f>IF($N28="","",INDEX('Cronograma R. Financiero'!$A$5:$A$1000,$N28))</f>
        <v/>
      </c>
      <c r="B28" s="62">
        <f>IF($N28="","",IF($O28="Sub","      ↳  "&amp;INDEX('Cronograma R. Financiero'!$C$5:$C$1000,$N28),INDEX('Cronograma R. Financiero'!$C$5:$C$1000,$N28)&amp;""))</f>
        <v/>
      </c>
      <c r="C28" s="79">
        <f>IF($N28="","",IF(INDEX('Cronograma R. Financiero'!$AM$5:$AM$1000,$N28)="","",INDEX('Cronograma R. Financiero'!$AM$5:$AM$1000,$N28)))</f>
        <v/>
      </c>
      <c r="D28" s="79">
        <f>IF($N28="","",IF(INDEX('Cronograma R. Financiero'!$AN$5:$AN$1000,$N28)="","",INDEX('Cronograma R. Financiero'!$AN$5:$AN$1000,$N28)))</f>
        <v/>
      </c>
      <c r="E28" s="56">
        <f>IF($N28="","",IF(NOT(ISNUMBER($D28)),"",IF($D28&lt;InicioCiclo,"Antes del ciclo",IF($D28&gt;=InicioCiclo+28,"Después del ciclo","Semana "&amp;(INT(($D28-InicioCiclo)/7)+1)))))</f>
        <v/>
      </c>
      <c r="F28" s="61">
        <f>IF($N28="","",IF($P28&gt;0,IF(1&lt;=SemanaActual,INDEX('Cronograma R. Financiero'!$AC$5:$AC$1000,$N28),""),IF(INDEX('Cronograma R. Financiero'!$I$5:$I$1000,$N28)="","",INDEX('Cronograma R. Financiero'!$I$5:$I$1000,$N28))))</f>
        <v/>
      </c>
      <c r="G28" s="61">
        <f>IF($N28="","",IF($P28&gt;0,IF(2&lt;=SemanaActual,INDEX('Cronograma R. Financiero'!$AD$5:$AD$1000,$N28),""),IF(INDEX('Cronograma R. Financiero'!$J$5:$J$1000,$N28)="","",INDEX('Cronograma R. Financiero'!$J$5:$J$1000,$N28))))</f>
        <v/>
      </c>
      <c r="H28" s="61">
        <f>IF($N28="","",IF($P28&gt;0,IF(3&lt;=SemanaActual,INDEX('Cronograma R. Financiero'!$AE$5:$AE$1000,$N28),""),IF(INDEX('Cronograma R. Financiero'!$K$5:$K$1000,$N28)="","",INDEX('Cronograma R. Financiero'!$K$5:$K$1000,$N28))))</f>
        <v/>
      </c>
      <c r="I28" s="61">
        <f>IF($N28="","",IF($P28&gt;0,IF(4&lt;=SemanaActual,INDEX('Cronograma R. Financiero'!$AF$5:$AF$1000,$N28),""),IF(INDEX('Cronograma R. Financiero'!$L$5:$L$1000,$N28)="","",INDEX('Cronograma R. Financiero'!$L$5:$L$1000,$N28))))</f>
        <v/>
      </c>
      <c r="J28" s="61">
        <f>IF($N28="","",INDEX('Cronograma R. Financiero'!$M$5:$M$1000,$N28))</f>
        <v/>
      </c>
      <c r="K28" s="56">
        <f>IF($N28="","",IF(N($J28)&gt;=1,"Completado",IF(AND(ISNUMBER($D28),$D28&lt;FechaRef),"Vencida",IF(N($J28)&gt;0,"En curso","Pendiente"))))</f>
        <v/>
      </c>
      <c r="L28" s="56">
        <f>IF($N28="","",INDEX('Cronograma R. Financiero'!$O$5:$O$1000,$N28)&amp;"")</f>
        <v/>
      </c>
      <c r="M28" s="62">
        <f>IF($N28="","",INDEX('Cronograma R. Financiero'!$Q$5:$Q$1000,$N28)&amp;"")</f>
        <v/>
      </c>
      <c r="N28">
        <f>IFERROR(MATCH(ROW()-4,rOrden_RF,0),"")</f>
        <v/>
      </c>
      <c r="O28">
        <f>IF($N28="","",INDEX('Cronograma R. Financiero'!$V$5:$V$1000,$N28))</f>
        <v/>
      </c>
      <c r="P28">
        <f>IF($N28="","",N(INDEX('Cronograma R. Financiero'!$W$5:$W$1000,$N28)))</f>
        <v/>
      </c>
      <c r="Q28">
        <f>IF(OR(LEFT($L28,7)="Vencida",LEFT($L28,5)="Vence"),SUMPRODUCT(--(LEFT($L$5:$L28,7)="Vencida"))+SUMPRODUCT(--(LEFT($L$5:$L28,5)="Vence")),"")</f>
        <v/>
      </c>
    </row>
    <row r="29">
      <c r="A29" s="56">
        <f>IF($N29="","",INDEX('Cronograma R. Financiero'!$A$5:$A$1000,$N29))</f>
        <v/>
      </c>
      <c r="B29" s="62">
        <f>IF($N29="","",IF($O29="Sub","      ↳  "&amp;INDEX('Cronograma R. Financiero'!$C$5:$C$1000,$N29),INDEX('Cronograma R. Financiero'!$C$5:$C$1000,$N29)&amp;""))</f>
        <v/>
      </c>
      <c r="C29" s="79">
        <f>IF($N29="","",IF(INDEX('Cronograma R. Financiero'!$AM$5:$AM$1000,$N29)="","",INDEX('Cronograma R. Financiero'!$AM$5:$AM$1000,$N29)))</f>
        <v/>
      </c>
      <c r="D29" s="79">
        <f>IF($N29="","",IF(INDEX('Cronograma R. Financiero'!$AN$5:$AN$1000,$N29)="","",INDEX('Cronograma R. Financiero'!$AN$5:$AN$1000,$N29)))</f>
        <v/>
      </c>
      <c r="E29" s="56">
        <f>IF($N29="","",IF(NOT(ISNUMBER($D29)),"",IF($D29&lt;InicioCiclo,"Antes del ciclo",IF($D29&gt;=InicioCiclo+28,"Después del ciclo","Semana "&amp;(INT(($D29-InicioCiclo)/7)+1)))))</f>
        <v/>
      </c>
      <c r="F29" s="61">
        <f>IF($N29="","",IF($P29&gt;0,IF(1&lt;=SemanaActual,INDEX('Cronograma R. Financiero'!$AC$5:$AC$1000,$N29),""),IF(INDEX('Cronograma R. Financiero'!$I$5:$I$1000,$N29)="","",INDEX('Cronograma R. Financiero'!$I$5:$I$1000,$N29))))</f>
        <v/>
      </c>
      <c r="G29" s="61">
        <f>IF($N29="","",IF($P29&gt;0,IF(2&lt;=SemanaActual,INDEX('Cronograma R. Financiero'!$AD$5:$AD$1000,$N29),""),IF(INDEX('Cronograma R. Financiero'!$J$5:$J$1000,$N29)="","",INDEX('Cronograma R. Financiero'!$J$5:$J$1000,$N29))))</f>
        <v/>
      </c>
      <c r="H29" s="61">
        <f>IF($N29="","",IF($P29&gt;0,IF(3&lt;=SemanaActual,INDEX('Cronograma R. Financiero'!$AE$5:$AE$1000,$N29),""),IF(INDEX('Cronograma R. Financiero'!$K$5:$K$1000,$N29)="","",INDEX('Cronograma R. Financiero'!$K$5:$K$1000,$N29))))</f>
        <v/>
      </c>
      <c r="I29" s="61">
        <f>IF($N29="","",IF($P29&gt;0,IF(4&lt;=SemanaActual,INDEX('Cronograma R. Financiero'!$AF$5:$AF$1000,$N29),""),IF(INDEX('Cronograma R. Financiero'!$L$5:$L$1000,$N29)="","",INDEX('Cronograma R. Financiero'!$L$5:$L$1000,$N29))))</f>
        <v/>
      </c>
      <c r="J29" s="61">
        <f>IF($N29="","",INDEX('Cronograma R. Financiero'!$M$5:$M$1000,$N29))</f>
        <v/>
      </c>
      <c r="K29" s="56">
        <f>IF($N29="","",IF(N($J29)&gt;=1,"Completado",IF(AND(ISNUMBER($D29),$D29&lt;FechaRef),"Vencida",IF(N($J29)&gt;0,"En curso","Pendiente"))))</f>
        <v/>
      </c>
      <c r="L29" s="56">
        <f>IF($N29="","",INDEX('Cronograma R. Financiero'!$O$5:$O$1000,$N29)&amp;"")</f>
        <v/>
      </c>
      <c r="M29" s="62">
        <f>IF($N29="","",INDEX('Cronograma R. Financiero'!$Q$5:$Q$1000,$N29)&amp;"")</f>
        <v/>
      </c>
      <c r="N29">
        <f>IFERROR(MATCH(ROW()-4,rOrden_RF,0),"")</f>
        <v/>
      </c>
      <c r="O29">
        <f>IF($N29="","",INDEX('Cronograma R. Financiero'!$V$5:$V$1000,$N29))</f>
        <v/>
      </c>
      <c r="P29">
        <f>IF($N29="","",N(INDEX('Cronograma R. Financiero'!$W$5:$W$1000,$N29)))</f>
        <v/>
      </c>
      <c r="Q29">
        <f>IF(OR(LEFT($L29,7)="Vencida",LEFT($L29,5)="Vence"),SUMPRODUCT(--(LEFT($L$5:$L29,7)="Vencida"))+SUMPRODUCT(--(LEFT($L$5:$L29,5)="Vence")),"")</f>
        <v/>
      </c>
    </row>
    <row r="30">
      <c r="A30" s="56">
        <f>IF($N30="","",INDEX('Cronograma R. Financiero'!$A$5:$A$1000,$N30))</f>
        <v/>
      </c>
      <c r="B30" s="62">
        <f>IF($N30="","",IF($O30="Sub","      ↳  "&amp;INDEX('Cronograma R. Financiero'!$C$5:$C$1000,$N30),INDEX('Cronograma R. Financiero'!$C$5:$C$1000,$N30)&amp;""))</f>
        <v/>
      </c>
      <c r="C30" s="79">
        <f>IF($N30="","",IF(INDEX('Cronograma R. Financiero'!$AM$5:$AM$1000,$N30)="","",INDEX('Cronograma R. Financiero'!$AM$5:$AM$1000,$N30)))</f>
        <v/>
      </c>
      <c r="D30" s="79">
        <f>IF($N30="","",IF(INDEX('Cronograma R. Financiero'!$AN$5:$AN$1000,$N30)="","",INDEX('Cronograma R. Financiero'!$AN$5:$AN$1000,$N30)))</f>
        <v/>
      </c>
      <c r="E30" s="56">
        <f>IF($N30="","",IF(NOT(ISNUMBER($D30)),"",IF($D30&lt;InicioCiclo,"Antes del ciclo",IF($D30&gt;=InicioCiclo+28,"Después del ciclo","Semana "&amp;(INT(($D30-InicioCiclo)/7)+1)))))</f>
        <v/>
      </c>
      <c r="F30" s="61">
        <f>IF($N30="","",IF($P30&gt;0,IF(1&lt;=SemanaActual,INDEX('Cronograma R. Financiero'!$AC$5:$AC$1000,$N30),""),IF(INDEX('Cronograma R. Financiero'!$I$5:$I$1000,$N30)="","",INDEX('Cronograma R. Financiero'!$I$5:$I$1000,$N30))))</f>
        <v/>
      </c>
      <c r="G30" s="61">
        <f>IF($N30="","",IF($P30&gt;0,IF(2&lt;=SemanaActual,INDEX('Cronograma R. Financiero'!$AD$5:$AD$1000,$N30),""),IF(INDEX('Cronograma R. Financiero'!$J$5:$J$1000,$N30)="","",INDEX('Cronograma R. Financiero'!$J$5:$J$1000,$N30))))</f>
        <v/>
      </c>
      <c r="H30" s="61">
        <f>IF($N30="","",IF($P30&gt;0,IF(3&lt;=SemanaActual,INDEX('Cronograma R. Financiero'!$AE$5:$AE$1000,$N30),""),IF(INDEX('Cronograma R. Financiero'!$K$5:$K$1000,$N30)="","",INDEX('Cronograma R. Financiero'!$K$5:$K$1000,$N30))))</f>
        <v/>
      </c>
      <c r="I30" s="61">
        <f>IF($N30="","",IF($P30&gt;0,IF(4&lt;=SemanaActual,INDEX('Cronograma R. Financiero'!$AF$5:$AF$1000,$N30),""),IF(INDEX('Cronograma R. Financiero'!$L$5:$L$1000,$N30)="","",INDEX('Cronograma R. Financiero'!$L$5:$L$1000,$N30))))</f>
        <v/>
      </c>
      <c r="J30" s="61">
        <f>IF($N30="","",INDEX('Cronograma R. Financiero'!$M$5:$M$1000,$N30))</f>
        <v/>
      </c>
      <c r="K30" s="56">
        <f>IF($N30="","",IF(N($J30)&gt;=1,"Completado",IF(AND(ISNUMBER($D30),$D30&lt;FechaRef),"Vencida",IF(N($J30)&gt;0,"En curso","Pendiente"))))</f>
        <v/>
      </c>
      <c r="L30" s="56">
        <f>IF($N30="","",INDEX('Cronograma R. Financiero'!$O$5:$O$1000,$N30)&amp;"")</f>
        <v/>
      </c>
      <c r="M30" s="62">
        <f>IF($N30="","",INDEX('Cronograma R. Financiero'!$Q$5:$Q$1000,$N30)&amp;"")</f>
        <v/>
      </c>
      <c r="N30">
        <f>IFERROR(MATCH(ROW()-4,rOrden_RF,0),"")</f>
        <v/>
      </c>
      <c r="O30">
        <f>IF($N30="","",INDEX('Cronograma R. Financiero'!$V$5:$V$1000,$N30))</f>
        <v/>
      </c>
      <c r="P30">
        <f>IF($N30="","",N(INDEX('Cronograma R. Financiero'!$W$5:$W$1000,$N30)))</f>
        <v/>
      </c>
      <c r="Q30">
        <f>IF(OR(LEFT($L30,7)="Vencida",LEFT($L30,5)="Vence"),SUMPRODUCT(--(LEFT($L$5:$L30,7)="Vencida"))+SUMPRODUCT(--(LEFT($L$5:$L30,5)="Vence")),"")</f>
        <v/>
      </c>
    </row>
    <row r="31">
      <c r="A31" s="56">
        <f>IF($N31="","",INDEX('Cronograma R. Financiero'!$A$5:$A$1000,$N31))</f>
        <v/>
      </c>
      <c r="B31" s="62">
        <f>IF($N31="","",IF($O31="Sub","      ↳  "&amp;INDEX('Cronograma R. Financiero'!$C$5:$C$1000,$N31),INDEX('Cronograma R. Financiero'!$C$5:$C$1000,$N31)&amp;""))</f>
        <v/>
      </c>
      <c r="C31" s="79">
        <f>IF($N31="","",IF(INDEX('Cronograma R. Financiero'!$AM$5:$AM$1000,$N31)="","",INDEX('Cronograma R. Financiero'!$AM$5:$AM$1000,$N31)))</f>
        <v/>
      </c>
      <c r="D31" s="79">
        <f>IF($N31="","",IF(INDEX('Cronograma R. Financiero'!$AN$5:$AN$1000,$N31)="","",INDEX('Cronograma R. Financiero'!$AN$5:$AN$1000,$N31)))</f>
        <v/>
      </c>
      <c r="E31" s="56">
        <f>IF($N31="","",IF(NOT(ISNUMBER($D31)),"",IF($D31&lt;InicioCiclo,"Antes del ciclo",IF($D31&gt;=InicioCiclo+28,"Después del ciclo","Semana "&amp;(INT(($D31-InicioCiclo)/7)+1)))))</f>
        <v/>
      </c>
      <c r="F31" s="61">
        <f>IF($N31="","",IF($P31&gt;0,IF(1&lt;=SemanaActual,INDEX('Cronograma R. Financiero'!$AC$5:$AC$1000,$N31),""),IF(INDEX('Cronograma R. Financiero'!$I$5:$I$1000,$N31)="","",INDEX('Cronograma R. Financiero'!$I$5:$I$1000,$N31))))</f>
        <v/>
      </c>
      <c r="G31" s="61">
        <f>IF($N31="","",IF($P31&gt;0,IF(2&lt;=SemanaActual,INDEX('Cronograma R. Financiero'!$AD$5:$AD$1000,$N31),""),IF(INDEX('Cronograma R. Financiero'!$J$5:$J$1000,$N31)="","",INDEX('Cronograma R. Financiero'!$J$5:$J$1000,$N31))))</f>
        <v/>
      </c>
      <c r="H31" s="61">
        <f>IF($N31="","",IF($P31&gt;0,IF(3&lt;=SemanaActual,INDEX('Cronograma R. Financiero'!$AE$5:$AE$1000,$N31),""),IF(INDEX('Cronograma R. Financiero'!$K$5:$K$1000,$N31)="","",INDEX('Cronograma R. Financiero'!$K$5:$K$1000,$N31))))</f>
        <v/>
      </c>
      <c r="I31" s="61">
        <f>IF($N31="","",IF($P31&gt;0,IF(4&lt;=SemanaActual,INDEX('Cronograma R. Financiero'!$AF$5:$AF$1000,$N31),""),IF(INDEX('Cronograma R. Financiero'!$L$5:$L$1000,$N31)="","",INDEX('Cronograma R. Financiero'!$L$5:$L$1000,$N31))))</f>
        <v/>
      </c>
      <c r="J31" s="61">
        <f>IF($N31="","",INDEX('Cronograma R. Financiero'!$M$5:$M$1000,$N31))</f>
        <v/>
      </c>
      <c r="K31" s="56">
        <f>IF($N31="","",IF(N($J31)&gt;=1,"Completado",IF(AND(ISNUMBER($D31),$D31&lt;FechaRef),"Vencida",IF(N($J31)&gt;0,"En curso","Pendiente"))))</f>
        <v/>
      </c>
      <c r="L31" s="56">
        <f>IF($N31="","",INDEX('Cronograma R. Financiero'!$O$5:$O$1000,$N31)&amp;"")</f>
        <v/>
      </c>
      <c r="M31" s="62">
        <f>IF($N31="","",INDEX('Cronograma R. Financiero'!$Q$5:$Q$1000,$N31)&amp;"")</f>
        <v/>
      </c>
      <c r="N31">
        <f>IFERROR(MATCH(ROW()-4,rOrden_RF,0),"")</f>
        <v/>
      </c>
      <c r="O31">
        <f>IF($N31="","",INDEX('Cronograma R. Financiero'!$V$5:$V$1000,$N31))</f>
        <v/>
      </c>
      <c r="P31">
        <f>IF($N31="","",N(INDEX('Cronograma R. Financiero'!$W$5:$W$1000,$N31)))</f>
        <v/>
      </c>
      <c r="Q31">
        <f>IF(OR(LEFT($L31,7)="Vencida",LEFT($L31,5)="Vence"),SUMPRODUCT(--(LEFT($L$5:$L31,7)="Vencida"))+SUMPRODUCT(--(LEFT($L$5:$L31,5)="Vence")),"")</f>
        <v/>
      </c>
    </row>
    <row r="32">
      <c r="A32" s="56">
        <f>IF($N32="","",INDEX('Cronograma R. Financiero'!$A$5:$A$1000,$N32))</f>
        <v/>
      </c>
      <c r="B32" s="62">
        <f>IF($N32="","",IF($O32="Sub","      ↳  "&amp;INDEX('Cronograma R. Financiero'!$C$5:$C$1000,$N32),INDEX('Cronograma R. Financiero'!$C$5:$C$1000,$N32)&amp;""))</f>
        <v/>
      </c>
      <c r="C32" s="79">
        <f>IF($N32="","",IF(INDEX('Cronograma R. Financiero'!$AM$5:$AM$1000,$N32)="","",INDEX('Cronograma R. Financiero'!$AM$5:$AM$1000,$N32)))</f>
        <v/>
      </c>
      <c r="D32" s="79">
        <f>IF($N32="","",IF(INDEX('Cronograma R. Financiero'!$AN$5:$AN$1000,$N32)="","",INDEX('Cronograma R. Financiero'!$AN$5:$AN$1000,$N32)))</f>
        <v/>
      </c>
      <c r="E32" s="56">
        <f>IF($N32="","",IF(NOT(ISNUMBER($D32)),"",IF($D32&lt;InicioCiclo,"Antes del ciclo",IF($D32&gt;=InicioCiclo+28,"Después del ciclo","Semana "&amp;(INT(($D32-InicioCiclo)/7)+1)))))</f>
        <v/>
      </c>
      <c r="F32" s="61">
        <f>IF($N32="","",IF($P32&gt;0,IF(1&lt;=SemanaActual,INDEX('Cronograma R. Financiero'!$AC$5:$AC$1000,$N32),""),IF(INDEX('Cronograma R. Financiero'!$I$5:$I$1000,$N32)="","",INDEX('Cronograma R. Financiero'!$I$5:$I$1000,$N32))))</f>
        <v/>
      </c>
      <c r="G32" s="61">
        <f>IF($N32="","",IF($P32&gt;0,IF(2&lt;=SemanaActual,INDEX('Cronograma R. Financiero'!$AD$5:$AD$1000,$N32),""),IF(INDEX('Cronograma R. Financiero'!$J$5:$J$1000,$N32)="","",INDEX('Cronograma R. Financiero'!$J$5:$J$1000,$N32))))</f>
        <v/>
      </c>
      <c r="H32" s="61">
        <f>IF($N32="","",IF($P32&gt;0,IF(3&lt;=SemanaActual,INDEX('Cronograma R. Financiero'!$AE$5:$AE$1000,$N32),""),IF(INDEX('Cronograma R. Financiero'!$K$5:$K$1000,$N32)="","",INDEX('Cronograma R. Financiero'!$K$5:$K$1000,$N32))))</f>
        <v/>
      </c>
      <c r="I32" s="61">
        <f>IF($N32="","",IF($P32&gt;0,IF(4&lt;=SemanaActual,INDEX('Cronograma R. Financiero'!$AF$5:$AF$1000,$N32),""),IF(INDEX('Cronograma R. Financiero'!$L$5:$L$1000,$N32)="","",INDEX('Cronograma R. Financiero'!$L$5:$L$1000,$N32))))</f>
        <v/>
      </c>
      <c r="J32" s="61">
        <f>IF($N32="","",INDEX('Cronograma R. Financiero'!$M$5:$M$1000,$N32))</f>
        <v/>
      </c>
      <c r="K32" s="56">
        <f>IF($N32="","",IF(N($J32)&gt;=1,"Completado",IF(AND(ISNUMBER($D32),$D32&lt;FechaRef),"Vencida",IF(N($J32)&gt;0,"En curso","Pendiente"))))</f>
        <v/>
      </c>
      <c r="L32" s="56">
        <f>IF($N32="","",INDEX('Cronograma R. Financiero'!$O$5:$O$1000,$N32)&amp;"")</f>
        <v/>
      </c>
      <c r="M32" s="62">
        <f>IF($N32="","",INDEX('Cronograma R. Financiero'!$Q$5:$Q$1000,$N32)&amp;"")</f>
        <v/>
      </c>
      <c r="N32">
        <f>IFERROR(MATCH(ROW()-4,rOrden_RF,0),"")</f>
        <v/>
      </c>
      <c r="O32">
        <f>IF($N32="","",INDEX('Cronograma R. Financiero'!$V$5:$V$1000,$N32))</f>
        <v/>
      </c>
      <c r="P32">
        <f>IF($N32="","",N(INDEX('Cronograma R. Financiero'!$W$5:$W$1000,$N32)))</f>
        <v/>
      </c>
      <c r="Q32">
        <f>IF(OR(LEFT($L32,7)="Vencida",LEFT($L32,5)="Vence"),SUMPRODUCT(--(LEFT($L$5:$L32,7)="Vencida"))+SUMPRODUCT(--(LEFT($L$5:$L32,5)="Vence")),"")</f>
        <v/>
      </c>
    </row>
    <row r="33">
      <c r="A33" s="56">
        <f>IF($N33="","",INDEX('Cronograma R. Financiero'!$A$5:$A$1000,$N33))</f>
        <v/>
      </c>
      <c r="B33" s="62">
        <f>IF($N33="","",IF($O33="Sub","      ↳  "&amp;INDEX('Cronograma R. Financiero'!$C$5:$C$1000,$N33),INDEX('Cronograma R. Financiero'!$C$5:$C$1000,$N33)&amp;""))</f>
        <v/>
      </c>
      <c r="C33" s="79">
        <f>IF($N33="","",IF(INDEX('Cronograma R. Financiero'!$AM$5:$AM$1000,$N33)="","",INDEX('Cronograma R. Financiero'!$AM$5:$AM$1000,$N33)))</f>
        <v/>
      </c>
      <c r="D33" s="79">
        <f>IF($N33="","",IF(INDEX('Cronograma R. Financiero'!$AN$5:$AN$1000,$N33)="","",INDEX('Cronograma R. Financiero'!$AN$5:$AN$1000,$N33)))</f>
        <v/>
      </c>
      <c r="E33" s="56">
        <f>IF($N33="","",IF(NOT(ISNUMBER($D33)),"",IF($D33&lt;InicioCiclo,"Antes del ciclo",IF($D33&gt;=InicioCiclo+28,"Después del ciclo","Semana "&amp;(INT(($D33-InicioCiclo)/7)+1)))))</f>
        <v/>
      </c>
      <c r="F33" s="61">
        <f>IF($N33="","",IF($P33&gt;0,IF(1&lt;=SemanaActual,INDEX('Cronograma R. Financiero'!$AC$5:$AC$1000,$N33),""),IF(INDEX('Cronograma R. Financiero'!$I$5:$I$1000,$N33)="","",INDEX('Cronograma R. Financiero'!$I$5:$I$1000,$N33))))</f>
        <v/>
      </c>
      <c r="G33" s="61">
        <f>IF($N33="","",IF($P33&gt;0,IF(2&lt;=SemanaActual,INDEX('Cronograma R. Financiero'!$AD$5:$AD$1000,$N33),""),IF(INDEX('Cronograma R. Financiero'!$J$5:$J$1000,$N33)="","",INDEX('Cronograma R. Financiero'!$J$5:$J$1000,$N33))))</f>
        <v/>
      </c>
      <c r="H33" s="61">
        <f>IF($N33="","",IF($P33&gt;0,IF(3&lt;=SemanaActual,INDEX('Cronograma R. Financiero'!$AE$5:$AE$1000,$N33),""),IF(INDEX('Cronograma R. Financiero'!$K$5:$K$1000,$N33)="","",INDEX('Cronograma R. Financiero'!$K$5:$K$1000,$N33))))</f>
        <v/>
      </c>
      <c r="I33" s="61">
        <f>IF($N33="","",IF($P33&gt;0,IF(4&lt;=SemanaActual,INDEX('Cronograma R. Financiero'!$AF$5:$AF$1000,$N33),""),IF(INDEX('Cronograma R. Financiero'!$L$5:$L$1000,$N33)="","",INDEX('Cronograma R. Financiero'!$L$5:$L$1000,$N33))))</f>
        <v/>
      </c>
      <c r="J33" s="61">
        <f>IF($N33="","",INDEX('Cronograma R. Financiero'!$M$5:$M$1000,$N33))</f>
        <v/>
      </c>
      <c r="K33" s="56">
        <f>IF($N33="","",IF(N($J33)&gt;=1,"Completado",IF(AND(ISNUMBER($D33),$D33&lt;FechaRef),"Vencida",IF(N($J33)&gt;0,"En curso","Pendiente"))))</f>
        <v/>
      </c>
      <c r="L33" s="56">
        <f>IF($N33="","",INDEX('Cronograma R. Financiero'!$O$5:$O$1000,$N33)&amp;"")</f>
        <v/>
      </c>
      <c r="M33" s="62">
        <f>IF($N33="","",INDEX('Cronograma R. Financiero'!$Q$5:$Q$1000,$N33)&amp;"")</f>
        <v/>
      </c>
      <c r="N33">
        <f>IFERROR(MATCH(ROW()-4,rOrden_RF,0),"")</f>
        <v/>
      </c>
      <c r="O33">
        <f>IF($N33="","",INDEX('Cronograma R. Financiero'!$V$5:$V$1000,$N33))</f>
        <v/>
      </c>
      <c r="P33">
        <f>IF($N33="","",N(INDEX('Cronograma R. Financiero'!$W$5:$W$1000,$N33)))</f>
        <v/>
      </c>
      <c r="Q33">
        <f>IF(OR(LEFT($L33,7)="Vencida",LEFT($L33,5)="Vence"),SUMPRODUCT(--(LEFT($L$5:$L33,7)="Vencida"))+SUMPRODUCT(--(LEFT($L$5:$L33,5)="Vence")),"")</f>
        <v/>
      </c>
    </row>
    <row r="34">
      <c r="A34" s="56">
        <f>IF($N34="","",INDEX('Cronograma R. Financiero'!$A$5:$A$1000,$N34))</f>
        <v/>
      </c>
      <c r="B34" s="62">
        <f>IF($N34="","",IF($O34="Sub","      ↳  "&amp;INDEX('Cronograma R. Financiero'!$C$5:$C$1000,$N34),INDEX('Cronograma R. Financiero'!$C$5:$C$1000,$N34)&amp;""))</f>
        <v/>
      </c>
      <c r="C34" s="79">
        <f>IF($N34="","",IF(INDEX('Cronograma R. Financiero'!$AM$5:$AM$1000,$N34)="","",INDEX('Cronograma R. Financiero'!$AM$5:$AM$1000,$N34)))</f>
        <v/>
      </c>
      <c r="D34" s="79">
        <f>IF($N34="","",IF(INDEX('Cronograma R. Financiero'!$AN$5:$AN$1000,$N34)="","",INDEX('Cronograma R. Financiero'!$AN$5:$AN$1000,$N34)))</f>
        <v/>
      </c>
      <c r="E34" s="56">
        <f>IF($N34="","",IF(NOT(ISNUMBER($D34)),"",IF($D34&lt;InicioCiclo,"Antes del ciclo",IF($D34&gt;=InicioCiclo+28,"Después del ciclo","Semana "&amp;(INT(($D34-InicioCiclo)/7)+1)))))</f>
        <v/>
      </c>
      <c r="F34" s="61">
        <f>IF($N34="","",IF($P34&gt;0,IF(1&lt;=SemanaActual,INDEX('Cronograma R. Financiero'!$AC$5:$AC$1000,$N34),""),IF(INDEX('Cronograma R. Financiero'!$I$5:$I$1000,$N34)="","",INDEX('Cronograma R. Financiero'!$I$5:$I$1000,$N34))))</f>
        <v/>
      </c>
      <c r="G34" s="61">
        <f>IF($N34="","",IF($P34&gt;0,IF(2&lt;=SemanaActual,INDEX('Cronograma R. Financiero'!$AD$5:$AD$1000,$N34),""),IF(INDEX('Cronograma R. Financiero'!$J$5:$J$1000,$N34)="","",INDEX('Cronograma R. Financiero'!$J$5:$J$1000,$N34))))</f>
        <v/>
      </c>
      <c r="H34" s="61">
        <f>IF($N34="","",IF($P34&gt;0,IF(3&lt;=SemanaActual,INDEX('Cronograma R. Financiero'!$AE$5:$AE$1000,$N34),""),IF(INDEX('Cronograma R. Financiero'!$K$5:$K$1000,$N34)="","",INDEX('Cronograma R. Financiero'!$K$5:$K$1000,$N34))))</f>
        <v/>
      </c>
      <c r="I34" s="61">
        <f>IF($N34="","",IF($P34&gt;0,IF(4&lt;=SemanaActual,INDEX('Cronograma R. Financiero'!$AF$5:$AF$1000,$N34),""),IF(INDEX('Cronograma R. Financiero'!$L$5:$L$1000,$N34)="","",INDEX('Cronograma R. Financiero'!$L$5:$L$1000,$N34))))</f>
        <v/>
      </c>
      <c r="J34" s="61">
        <f>IF($N34="","",INDEX('Cronograma R. Financiero'!$M$5:$M$1000,$N34))</f>
        <v/>
      </c>
      <c r="K34" s="56">
        <f>IF($N34="","",IF(N($J34)&gt;=1,"Completado",IF(AND(ISNUMBER($D34),$D34&lt;FechaRef),"Vencida",IF(N($J34)&gt;0,"En curso","Pendiente"))))</f>
        <v/>
      </c>
      <c r="L34" s="56">
        <f>IF($N34="","",INDEX('Cronograma R. Financiero'!$O$5:$O$1000,$N34)&amp;"")</f>
        <v/>
      </c>
      <c r="M34" s="62">
        <f>IF($N34="","",INDEX('Cronograma R. Financiero'!$Q$5:$Q$1000,$N34)&amp;"")</f>
        <v/>
      </c>
      <c r="N34">
        <f>IFERROR(MATCH(ROW()-4,rOrden_RF,0),"")</f>
        <v/>
      </c>
      <c r="O34">
        <f>IF($N34="","",INDEX('Cronograma R. Financiero'!$V$5:$V$1000,$N34))</f>
        <v/>
      </c>
      <c r="P34">
        <f>IF($N34="","",N(INDEX('Cronograma R. Financiero'!$W$5:$W$1000,$N34)))</f>
        <v/>
      </c>
      <c r="Q34">
        <f>IF(OR(LEFT($L34,7)="Vencida",LEFT($L34,5)="Vence"),SUMPRODUCT(--(LEFT($L$5:$L34,7)="Vencida"))+SUMPRODUCT(--(LEFT($L$5:$L34,5)="Vence")),"")</f>
        <v/>
      </c>
    </row>
    <row r="35">
      <c r="A35" s="56">
        <f>IF($N35="","",INDEX('Cronograma R. Financiero'!$A$5:$A$1000,$N35))</f>
        <v/>
      </c>
      <c r="B35" s="62">
        <f>IF($N35="","",IF($O35="Sub","      ↳  "&amp;INDEX('Cronograma R. Financiero'!$C$5:$C$1000,$N35),INDEX('Cronograma R. Financiero'!$C$5:$C$1000,$N35)&amp;""))</f>
        <v/>
      </c>
      <c r="C35" s="79">
        <f>IF($N35="","",IF(INDEX('Cronograma R. Financiero'!$AM$5:$AM$1000,$N35)="","",INDEX('Cronograma R. Financiero'!$AM$5:$AM$1000,$N35)))</f>
        <v/>
      </c>
      <c r="D35" s="79">
        <f>IF($N35="","",IF(INDEX('Cronograma R. Financiero'!$AN$5:$AN$1000,$N35)="","",INDEX('Cronograma R. Financiero'!$AN$5:$AN$1000,$N35)))</f>
        <v/>
      </c>
      <c r="E35" s="56">
        <f>IF($N35="","",IF(NOT(ISNUMBER($D35)),"",IF($D35&lt;InicioCiclo,"Antes del ciclo",IF($D35&gt;=InicioCiclo+28,"Después del ciclo","Semana "&amp;(INT(($D35-InicioCiclo)/7)+1)))))</f>
        <v/>
      </c>
      <c r="F35" s="61">
        <f>IF($N35="","",IF($P35&gt;0,IF(1&lt;=SemanaActual,INDEX('Cronograma R. Financiero'!$AC$5:$AC$1000,$N35),""),IF(INDEX('Cronograma R. Financiero'!$I$5:$I$1000,$N35)="","",INDEX('Cronograma R. Financiero'!$I$5:$I$1000,$N35))))</f>
        <v/>
      </c>
      <c r="G35" s="61">
        <f>IF($N35="","",IF($P35&gt;0,IF(2&lt;=SemanaActual,INDEX('Cronograma R. Financiero'!$AD$5:$AD$1000,$N35),""),IF(INDEX('Cronograma R. Financiero'!$J$5:$J$1000,$N35)="","",INDEX('Cronograma R. Financiero'!$J$5:$J$1000,$N35))))</f>
        <v/>
      </c>
      <c r="H35" s="61">
        <f>IF($N35="","",IF($P35&gt;0,IF(3&lt;=SemanaActual,INDEX('Cronograma R. Financiero'!$AE$5:$AE$1000,$N35),""),IF(INDEX('Cronograma R. Financiero'!$K$5:$K$1000,$N35)="","",INDEX('Cronograma R. Financiero'!$K$5:$K$1000,$N35))))</f>
        <v/>
      </c>
      <c r="I35" s="61">
        <f>IF($N35="","",IF($P35&gt;0,IF(4&lt;=SemanaActual,INDEX('Cronograma R. Financiero'!$AF$5:$AF$1000,$N35),""),IF(INDEX('Cronograma R. Financiero'!$L$5:$L$1000,$N35)="","",INDEX('Cronograma R. Financiero'!$L$5:$L$1000,$N35))))</f>
        <v/>
      </c>
      <c r="J35" s="61">
        <f>IF($N35="","",INDEX('Cronograma R. Financiero'!$M$5:$M$1000,$N35))</f>
        <v/>
      </c>
      <c r="K35" s="56">
        <f>IF($N35="","",IF(N($J35)&gt;=1,"Completado",IF(AND(ISNUMBER($D35),$D35&lt;FechaRef),"Vencida",IF(N($J35)&gt;0,"En curso","Pendiente"))))</f>
        <v/>
      </c>
      <c r="L35" s="56">
        <f>IF($N35="","",INDEX('Cronograma R. Financiero'!$O$5:$O$1000,$N35)&amp;"")</f>
        <v/>
      </c>
      <c r="M35" s="62">
        <f>IF($N35="","",INDEX('Cronograma R. Financiero'!$Q$5:$Q$1000,$N35)&amp;"")</f>
        <v/>
      </c>
      <c r="N35">
        <f>IFERROR(MATCH(ROW()-4,rOrden_RF,0),"")</f>
        <v/>
      </c>
      <c r="O35">
        <f>IF($N35="","",INDEX('Cronograma R. Financiero'!$V$5:$V$1000,$N35))</f>
        <v/>
      </c>
      <c r="P35">
        <f>IF($N35="","",N(INDEX('Cronograma R. Financiero'!$W$5:$W$1000,$N35)))</f>
        <v/>
      </c>
      <c r="Q35">
        <f>IF(OR(LEFT($L35,7)="Vencida",LEFT($L35,5)="Vence"),SUMPRODUCT(--(LEFT($L$5:$L35,7)="Vencida"))+SUMPRODUCT(--(LEFT($L$5:$L35,5)="Vence")),"")</f>
        <v/>
      </c>
    </row>
    <row r="36">
      <c r="A36" s="56">
        <f>IF($N36="","",INDEX('Cronograma R. Financiero'!$A$5:$A$1000,$N36))</f>
        <v/>
      </c>
      <c r="B36" s="62">
        <f>IF($N36="","",IF($O36="Sub","      ↳  "&amp;INDEX('Cronograma R. Financiero'!$C$5:$C$1000,$N36),INDEX('Cronograma R. Financiero'!$C$5:$C$1000,$N36)&amp;""))</f>
        <v/>
      </c>
      <c r="C36" s="79">
        <f>IF($N36="","",IF(INDEX('Cronograma R. Financiero'!$AM$5:$AM$1000,$N36)="","",INDEX('Cronograma R. Financiero'!$AM$5:$AM$1000,$N36)))</f>
        <v/>
      </c>
      <c r="D36" s="79">
        <f>IF($N36="","",IF(INDEX('Cronograma R. Financiero'!$AN$5:$AN$1000,$N36)="","",INDEX('Cronograma R. Financiero'!$AN$5:$AN$1000,$N36)))</f>
        <v/>
      </c>
      <c r="E36" s="56">
        <f>IF($N36="","",IF(NOT(ISNUMBER($D36)),"",IF($D36&lt;InicioCiclo,"Antes del ciclo",IF($D36&gt;=InicioCiclo+28,"Después del ciclo","Semana "&amp;(INT(($D36-InicioCiclo)/7)+1)))))</f>
        <v/>
      </c>
      <c r="F36" s="61">
        <f>IF($N36="","",IF($P36&gt;0,IF(1&lt;=SemanaActual,INDEX('Cronograma R. Financiero'!$AC$5:$AC$1000,$N36),""),IF(INDEX('Cronograma R. Financiero'!$I$5:$I$1000,$N36)="","",INDEX('Cronograma R. Financiero'!$I$5:$I$1000,$N36))))</f>
        <v/>
      </c>
      <c r="G36" s="61">
        <f>IF($N36="","",IF($P36&gt;0,IF(2&lt;=SemanaActual,INDEX('Cronograma R. Financiero'!$AD$5:$AD$1000,$N36),""),IF(INDEX('Cronograma R. Financiero'!$J$5:$J$1000,$N36)="","",INDEX('Cronograma R. Financiero'!$J$5:$J$1000,$N36))))</f>
        <v/>
      </c>
      <c r="H36" s="61">
        <f>IF($N36="","",IF($P36&gt;0,IF(3&lt;=SemanaActual,INDEX('Cronograma R. Financiero'!$AE$5:$AE$1000,$N36),""),IF(INDEX('Cronograma R. Financiero'!$K$5:$K$1000,$N36)="","",INDEX('Cronograma R. Financiero'!$K$5:$K$1000,$N36))))</f>
        <v/>
      </c>
      <c r="I36" s="61">
        <f>IF($N36="","",IF($P36&gt;0,IF(4&lt;=SemanaActual,INDEX('Cronograma R. Financiero'!$AF$5:$AF$1000,$N36),""),IF(INDEX('Cronograma R. Financiero'!$L$5:$L$1000,$N36)="","",INDEX('Cronograma R. Financiero'!$L$5:$L$1000,$N36))))</f>
        <v/>
      </c>
      <c r="J36" s="61">
        <f>IF($N36="","",INDEX('Cronograma R. Financiero'!$M$5:$M$1000,$N36))</f>
        <v/>
      </c>
      <c r="K36" s="56">
        <f>IF($N36="","",IF(N($J36)&gt;=1,"Completado",IF(AND(ISNUMBER($D36),$D36&lt;FechaRef),"Vencida",IF(N($J36)&gt;0,"En curso","Pendiente"))))</f>
        <v/>
      </c>
      <c r="L36" s="56">
        <f>IF($N36="","",INDEX('Cronograma R. Financiero'!$O$5:$O$1000,$N36)&amp;"")</f>
        <v/>
      </c>
      <c r="M36" s="62">
        <f>IF($N36="","",INDEX('Cronograma R. Financiero'!$Q$5:$Q$1000,$N36)&amp;"")</f>
        <v/>
      </c>
      <c r="N36">
        <f>IFERROR(MATCH(ROW()-4,rOrden_RF,0),"")</f>
        <v/>
      </c>
      <c r="O36">
        <f>IF($N36="","",INDEX('Cronograma R. Financiero'!$V$5:$V$1000,$N36))</f>
        <v/>
      </c>
      <c r="P36">
        <f>IF($N36="","",N(INDEX('Cronograma R. Financiero'!$W$5:$W$1000,$N36)))</f>
        <v/>
      </c>
      <c r="Q36">
        <f>IF(OR(LEFT($L36,7)="Vencida",LEFT($L36,5)="Vence"),SUMPRODUCT(--(LEFT($L$5:$L36,7)="Vencida"))+SUMPRODUCT(--(LEFT($L$5:$L36,5)="Vence")),"")</f>
        <v/>
      </c>
    </row>
    <row r="37">
      <c r="A37" s="56">
        <f>IF($N37="","",INDEX('Cronograma R. Financiero'!$A$5:$A$1000,$N37))</f>
        <v/>
      </c>
      <c r="B37" s="62">
        <f>IF($N37="","",IF($O37="Sub","      ↳  "&amp;INDEX('Cronograma R. Financiero'!$C$5:$C$1000,$N37),INDEX('Cronograma R. Financiero'!$C$5:$C$1000,$N37)&amp;""))</f>
        <v/>
      </c>
      <c r="C37" s="79">
        <f>IF($N37="","",IF(INDEX('Cronograma R. Financiero'!$AM$5:$AM$1000,$N37)="","",INDEX('Cronograma R. Financiero'!$AM$5:$AM$1000,$N37)))</f>
        <v/>
      </c>
      <c r="D37" s="79">
        <f>IF($N37="","",IF(INDEX('Cronograma R. Financiero'!$AN$5:$AN$1000,$N37)="","",INDEX('Cronograma R. Financiero'!$AN$5:$AN$1000,$N37)))</f>
        <v/>
      </c>
      <c r="E37" s="56">
        <f>IF($N37="","",IF(NOT(ISNUMBER($D37)),"",IF($D37&lt;InicioCiclo,"Antes del ciclo",IF($D37&gt;=InicioCiclo+28,"Después del ciclo","Semana "&amp;(INT(($D37-InicioCiclo)/7)+1)))))</f>
        <v/>
      </c>
      <c r="F37" s="61">
        <f>IF($N37="","",IF($P37&gt;0,IF(1&lt;=SemanaActual,INDEX('Cronograma R. Financiero'!$AC$5:$AC$1000,$N37),""),IF(INDEX('Cronograma R. Financiero'!$I$5:$I$1000,$N37)="","",INDEX('Cronograma R. Financiero'!$I$5:$I$1000,$N37))))</f>
        <v/>
      </c>
      <c r="G37" s="61">
        <f>IF($N37="","",IF($P37&gt;0,IF(2&lt;=SemanaActual,INDEX('Cronograma R. Financiero'!$AD$5:$AD$1000,$N37),""),IF(INDEX('Cronograma R. Financiero'!$J$5:$J$1000,$N37)="","",INDEX('Cronograma R. Financiero'!$J$5:$J$1000,$N37))))</f>
        <v/>
      </c>
      <c r="H37" s="61">
        <f>IF($N37="","",IF($P37&gt;0,IF(3&lt;=SemanaActual,INDEX('Cronograma R. Financiero'!$AE$5:$AE$1000,$N37),""),IF(INDEX('Cronograma R. Financiero'!$K$5:$K$1000,$N37)="","",INDEX('Cronograma R. Financiero'!$K$5:$K$1000,$N37))))</f>
        <v/>
      </c>
      <c r="I37" s="61">
        <f>IF($N37="","",IF($P37&gt;0,IF(4&lt;=SemanaActual,INDEX('Cronograma R. Financiero'!$AF$5:$AF$1000,$N37),""),IF(INDEX('Cronograma R. Financiero'!$L$5:$L$1000,$N37)="","",INDEX('Cronograma R. Financiero'!$L$5:$L$1000,$N37))))</f>
        <v/>
      </c>
      <c r="J37" s="61">
        <f>IF($N37="","",INDEX('Cronograma R. Financiero'!$M$5:$M$1000,$N37))</f>
        <v/>
      </c>
      <c r="K37" s="56">
        <f>IF($N37="","",IF(N($J37)&gt;=1,"Completado",IF(AND(ISNUMBER($D37),$D37&lt;FechaRef),"Vencida",IF(N($J37)&gt;0,"En curso","Pendiente"))))</f>
        <v/>
      </c>
      <c r="L37" s="56">
        <f>IF($N37="","",INDEX('Cronograma R. Financiero'!$O$5:$O$1000,$N37)&amp;"")</f>
        <v/>
      </c>
      <c r="M37" s="62">
        <f>IF($N37="","",INDEX('Cronograma R. Financiero'!$Q$5:$Q$1000,$N37)&amp;"")</f>
        <v/>
      </c>
      <c r="N37">
        <f>IFERROR(MATCH(ROW()-4,rOrden_RF,0),"")</f>
        <v/>
      </c>
      <c r="O37">
        <f>IF($N37="","",INDEX('Cronograma R. Financiero'!$V$5:$V$1000,$N37))</f>
        <v/>
      </c>
      <c r="P37">
        <f>IF($N37="","",N(INDEX('Cronograma R. Financiero'!$W$5:$W$1000,$N37)))</f>
        <v/>
      </c>
      <c r="Q37">
        <f>IF(OR(LEFT($L37,7)="Vencida",LEFT($L37,5)="Vence"),SUMPRODUCT(--(LEFT($L$5:$L37,7)="Vencida"))+SUMPRODUCT(--(LEFT($L$5:$L37,5)="Vence")),"")</f>
        <v/>
      </c>
    </row>
    <row r="38">
      <c r="A38" s="56">
        <f>IF($N38="","",INDEX('Cronograma R. Financiero'!$A$5:$A$1000,$N38))</f>
        <v/>
      </c>
      <c r="B38" s="62">
        <f>IF($N38="","",IF($O38="Sub","      ↳  "&amp;INDEX('Cronograma R. Financiero'!$C$5:$C$1000,$N38),INDEX('Cronograma R. Financiero'!$C$5:$C$1000,$N38)&amp;""))</f>
        <v/>
      </c>
      <c r="C38" s="79">
        <f>IF($N38="","",IF(INDEX('Cronograma R. Financiero'!$AM$5:$AM$1000,$N38)="","",INDEX('Cronograma R. Financiero'!$AM$5:$AM$1000,$N38)))</f>
        <v/>
      </c>
      <c r="D38" s="79">
        <f>IF($N38="","",IF(INDEX('Cronograma R. Financiero'!$AN$5:$AN$1000,$N38)="","",INDEX('Cronograma R. Financiero'!$AN$5:$AN$1000,$N38)))</f>
        <v/>
      </c>
      <c r="E38" s="56">
        <f>IF($N38="","",IF(NOT(ISNUMBER($D38)),"",IF($D38&lt;InicioCiclo,"Antes del ciclo",IF($D38&gt;=InicioCiclo+28,"Después del ciclo","Semana "&amp;(INT(($D38-InicioCiclo)/7)+1)))))</f>
        <v/>
      </c>
      <c r="F38" s="61">
        <f>IF($N38="","",IF($P38&gt;0,IF(1&lt;=SemanaActual,INDEX('Cronograma R. Financiero'!$AC$5:$AC$1000,$N38),""),IF(INDEX('Cronograma R. Financiero'!$I$5:$I$1000,$N38)="","",INDEX('Cronograma R. Financiero'!$I$5:$I$1000,$N38))))</f>
        <v/>
      </c>
      <c r="G38" s="61">
        <f>IF($N38="","",IF($P38&gt;0,IF(2&lt;=SemanaActual,INDEX('Cronograma R. Financiero'!$AD$5:$AD$1000,$N38),""),IF(INDEX('Cronograma R. Financiero'!$J$5:$J$1000,$N38)="","",INDEX('Cronograma R. Financiero'!$J$5:$J$1000,$N38))))</f>
        <v/>
      </c>
      <c r="H38" s="61">
        <f>IF($N38="","",IF($P38&gt;0,IF(3&lt;=SemanaActual,INDEX('Cronograma R. Financiero'!$AE$5:$AE$1000,$N38),""),IF(INDEX('Cronograma R. Financiero'!$K$5:$K$1000,$N38)="","",INDEX('Cronograma R. Financiero'!$K$5:$K$1000,$N38))))</f>
        <v/>
      </c>
      <c r="I38" s="61">
        <f>IF($N38="","",IF($P38&gt;0,IF(4&lt;=SemanaActual,INDEX('Cronograma R. Financiero'!$AF$5:$AF$1000,$N38),""),IF(INDEX('Cronograma R. Financiero'!$L$5:$L$1000,$N38)="","",INDEX('Cronograma R. Financiero'!$L$5:$L$1000,$N38))))</f>
        <v/>
      </c>
      <c r="J38" s="61">
        <f>IF($N38="","",INDEX('Cronograma R. Financiero'!$M$5:$M$1000,$N38))</f>
        <v/>
      </c>
      <c r="K38" s="56">
        <f>IF($N38="","",IF(N($J38)&gt;=1,"Completado",IF(AND(ISNUMBER($D38),$D38&lt;FechaRef),"Vencida",IF(N($J38)&gt;0,"En curso","Pendiente"))))</f>
        <v/>
      </c>
      <c r="L38" s="56">
        <f>IF($N38="","",INDEX('Cronograma R. Financiero'!$O$5:$O$1000,$N38)&amp;"")</f>
        <v/>
      </c>
      <c r="M38" s="62">
        <f>IF($N38="","",INDEX('Cronograma R. Financiero'!$Q$5:$Q$1000,$N38)&amp;"")</f>
        <v/>
      </c>
      <c r="N38">
        <f>IFERROR(MATCH(ROW()-4,rOrden_RF,0),"")</f>
        <v/>
      </c>
      <c r="O38">
        <f>IF($N38="","",INDEX('Cronograma R. Financiero'!$V$5:$V$1000,$N38))</f>
        <v/>
      </c>
      <c r="P38">
        <f>IF($N38="","",N(INDEX('Cronograma R. Financiero'!$W$5:$W$1000,$N38)))</f>
        <v/>
      </c>
      <c r="Q38">
        <f>IF(OR(LEFT($L38,7)="Vencida",LEFT($L38,5)="Vence"),SUMPRODUCT(--(LEFT($L$5:$L38,7)="Vencida"))+SUMPRODUCT(--(LEFT($L$5:$L38,5)="Vence")),"")</f>
        <v/>
      </c>
    </row>
    <row r="39">
      <c r="A39" s="56">
        <f>IF($N39="","",INDEX('Cronograma R. Financiero'!$A$5:$A$1000,$N39))</f>
        <v/>
      </c>
      <c r="B39" s="62">
        <f>IF($N39="","",IF($O39="Sub","      ↳  "&amp;INDEX('Cronograma R. Financiero'!$C$5:$C$1000,$N39),INDEX('Cronograma R. Financiero'!$C$5:$C$1000,$N39)&amp;""))</f>
        <v/>
      </c>
      <c r="C39" s="79">
        <f>IF($N39="","",IF(INDEX('Cronograma R. Financiero'!$AM$5:$AM$1000,$N39)="","",INDEX('Cronograma R. Financiero'!$AM$5:$AM$1000,$N39)))</f>
        <v/>
      </c>
      <c r="D39" s="79">
        <f>IF($N39="","",IF(INDEX('Cronograma R. Financiero'!$AN$5:$AN$1000,$N39)="","",INDEX('Cronograma R. Financiero'!$AN$5:$AN$1000,$N39)))</f>
        <v/>
      </c>
      <c r="E39" s="56">
        <f>IF($N39="","",IF(NOT(ISNUMBER($D39)),"",IF($D39&lt;InicioCiclo,"Antes del ciclo",IF($D39&gt;=InicioCiclo+28,"Después del ciclo","Semana "&amp;(INT(($D39-InicioCiclo)/7)+1)))))</f>
        <v/>
      </c>
      <c r="F39" s="61">
        <f>IF($N39="","",IF($P39&gt;0,IF(1&lt;=SemanaActual,INDEX('Cronograma R. Financiero'!$AC$5:$AC$1000,$N39),""),IF(INDEX('Cronograma R. Financiero'!$I$5:$I$1000,$N39)="","",INDEX('Cronograma R. Financiero'!$I$5:$I$1000,$N39))))</f>
        <v/>
      </c>
      <c r="G39" s="61">
        <f>IF($N39="","",IF($P39&gt;0,IF(2&lt;=SemanaActual,INDEX('Cronograma R. Financiero'!$AD$5:$AD$1000,$N39),""),IF(INDEX('Cronograma R. Financiero'!$J$5:$J$1000,$N39)="","",INDEX('Cronograma R. Financiero'!$J$5:$J$1000,$N39))))</f>
        <v/>
      </c>
      <c r="H39" s="61">
        <f>IF($N39="","",IF($P39&gt;0,IF(3&lt;=SemanaActual,INDEX('Cronograma R. Financiero'!$AE$5:$AE$1000,$N39),""),IF(INDEX('Cronograma R. Financiero'!$K$5:$K$1000,$N39)="","",INDEX('Cronograma R. Financiero'!$K$5:$K$1000,$N39))))</f>
        <v/>
      </c>
      <c r="I39" s="61">
        <f>IF($N39="","",IF($P39&gt;0,IF(4&lt;=SemanaActual,INDEX('Cronograma R. Financiero'!$AF$5:$AF$1000,$N39),""),IF(INDEX('Cronograma R. Financiero'!$L$5:$L$1000,$N39)="","",INDEX('Cronograma R. Financiero'!$L$5:$L$1000,$N39))))</f>
        <v/>
      </c>
      <c r="J39" s="61">
        <f>IF($N39="","",INDEX('Cronograma R. Financiero'!$M$5:$M$1000,$N39))</f>
        <v/>
      </c>
      <c r="K39" s="56">
        <f>IF($N39="","",IF(N($J39)&gt;=1,"Completado",IF(AND(ISNUMBER($D39),$D39&lt;FechaRef),"Vencida",IF(N($J39)&gt;0,"En curso","Pendiente"))))</f>
        <v/>
      </c>
      <c r="L39" s="56">
        <f>IF($N39="","",INDEX('Cronograma R. Financiero'!$O$5:$O$1000,$N39)&amp;"")</f>
        <v/>
      </c>
      <c r="M39" s="62">
        <f>IF($N39="","",INDEX('Cronograma R. Financiero'!$Q$5:$Q$1000,$N39)&amp;"")</f>
        <v/>
      </c>
      <c r="N39">
        <f>IFERROR(MATCH(ROW()-4,rOrden_RF,0),"")</f>
        <v/>
      </c>
      <c r="O39">
        <f>IF($N39="","",INDEX('Cronograma R. Financiero'!$V$5:$V$1000,$N39))</f>
        <v/>
      </c>
      <c r="P39">
        <f>IF($N39="","",N(INDEX('Cronograma R. Financiero'!$W$5:$W$1000,$N39)))</f>
        <v/>
      </c>
      <c r="Q39">
        <f>IF(OR(LEFT($L39,7)="Vencida",LEFT($L39,5)="Vence"),SUMPRODUCT(--(LEFT($L$5:$L39,7)="Vencida"))+SUMPRODUCT(--(LEFT($L$5:$L39,5)="Vence")),"")</f>
        <v/>
      </c>
    </row>
    <row r="40">
      <c r="A40" s="56">
        <f>IF($N40="","",INDEX('Cronograma R. Financiero'!$A$5:$A$1000,$N40))</f>
        <v/>
      </c>
      <c r="B40" s="62">
        <f>IF($N40="","",IF($O40="Sub","      ↳  "&amp;INDEX('Cronograma R. Financiero'!$C$5:$C$1000,$N40),INDEX('Cronograma R. Financiero'!$C$5:$C$1000,$N40)&amp;""))</f>
        <v/>
      </c>
      <c r="C40" s="79">
        <f>IF($N40="","",IF(INDEX('Cronograma R. Financiero'!$AM$5:$AM$1000,$N40)="","",INDEX('Cronograma R. Financiero'!$AM$5:$AM$1000,$N40)))</f>
        <v/>
      </c>
      <c r="D40" s="79">
        <f>IF($N40="","",IF(INDEX('Cronograma R. Financiero'!$AN$5:$AN$1000,$N40)="","",INDEX('Cronograma R. Financiero'!$AN$5:$AN$1000,$N40)))</f>
        <v/>
      </c>
      <c r="E40" s="56">
        <f>IF($N40="","",IF(NOT(ISNUMBER($D40)),"",IF($D40&lt;InicioCiclo,"Antes del ciclo",IF($D40&gt;=InicioCiclo+28,"Después del ciclo","Semana "&amp;(INT(($D40-InicioCiclo)/7)+1)))))</f>
        <v/>
      </c>
      <c r="F40" s="61">
        <f>IF($N40="","",IF($P40&gt;0,IF(1&lt;=SemanaActual,INDEX('Cronograma R. Financiero'!$AC$5:$AC$1000,$N40),""),IF(INDEX('Cronograma R. Financiero'!$I$5:$I$1000,$N40)="","",INDEX('Cronograma R. Financiero'!$I$5:$I$1000,$N40))))</f>
        <v/>
      </c>
      <c r="G40" s="61">
        <f>IF($N40="","",IF($P40&gt;0,IF(2&lt;=SemanaActual,INDEX('Cronograma R. Financiero'!$AD$5:$AD$1000,$N40),""),IF(INDEX('Cronograma R. Financiero'!$J$5:$J$1000,$N40)="","",INDEX('Cronograma R. Financiero'!$J$5:$J$1000,$N40))))</f>
        <v/>
      </c>
      <c r="H40" s="61">
        <f>IF($N40="","",IF($P40&gt;0,IF(3&lt;=SemanaActual,INDEX('Cronograma R. Financiero'!$AE$5:$AE$1000,$N40),""),IF(INDEX('Cronograma R. Financiero'!$K$5:$K$1000,$N40)="","",INDEX('Cronograma R. Financiero'!$K$5:$K$1000,$N40))))</f>
        <v/>
      </c>
      <c r="I40" s="61">
        <f>IF($N40="","",IF($P40&gt;0,IF(4&lt;=SemanaActual,INDEX('Cronograma R. Financiero'!$AF$5:$AF$1000,$N40),""),IF(INDEX('Cronograma R. Financiero'!$L$5:$L$1000,$N40)="","",INDEX('Cronograma R. Financiero'!$L$5:$L$1000,$N40))))</f>
        <v/>
      </c>
      <c r="J40" s="61">
        <f>IF($N40="","",INDEX('Cronograma R. Financiero'!$M$5:$M$1000,$N40))</f>
        <v/>
      </c>
      <c r="K40" s="56">
        <f>IF($N40="","",IF(N($J40)&gt;=1,"Completado",IF(AND(ISNUMBER($D40),$D40&lt;FechaRef),"Vencida",IF(N($J40)&gt;0,"En curso","Pendiente"))))</f>
        <v/>
      </c>
      <c r="L40" s="56">
        <f>IF($N40="","",INDEX('Cronograma R. Financiero'!$O$5:$O$1000,$N40)&amp;"")</f>
        <v/>
      </c>
      <c r="M40" s="62">
        <f>IF($N40="","",INDEX('Cronograma R. Financiero'!$Q$5:$Q$1000,$N40)&amp;"")</f>
        <v/>
      </c>
      <c r="N40">
        <f>IFERROR(MATCH(ROW()-4,rOrden_RF,0),"")</f>
        <v/>
      </c>
      <c r="O40">
        <f>IF($N40="","",INDEX('Cronograma R. Financiero'!$V$5:$V$1000,$N40))</f>
        <v/>
      </c>
      <c r="P40">
        <f>IF($N40="","",N(INDEX('Cronograma R. Financiero'!$W$5:$W$1000,$N40)))</f>
        <v/>
      </c>
      <c r="Q40">
        <f>IF(OR(LEFT($L40,7)="Vencida",LEFT($L40,5)="Vence"),SUMPRODUCT(--(LEFT($L$5:$L40,7)="Vencida"))+SUMPRODUCT(--(LEFT($L$5:$L40,5)="Vence")),"")</f>
        <v/>
      </c>
    </row>
    <row r="41">
      <c r="A41" s="56">
        <f>IF($N41="","",INDEX('Cronograma R. Financiero'!$A$5:$A$1000,$N41))</f>
        <v/>
      </c>
      <c r="B41" s="62">
        <f>IF($N41="","",IF($O41="Sub","      ↳  "&amp;INDEX('Cronograma R. Financiero'!$C$5:$C$1000,$N41),INDEX('Cronograma R. Financiero'!$C$5:$C$1000,$N41)&amp;""))</f>
        <v/>
      </c>
      <c r="C41" s="79">
        <f>IF($N41="","",IF(INDEX('Cronograma R. Financiero'!$AM$5:$AM$1000,$N41)="","",INDEX('Cronograma R. Financiero'!$AM$5:$AM$1000,$N41)))</f>
        <v/>
      </c>
      <c r="D41" s="79">
        <f>IF($N41="","",IF(INDEX('Cronograma R. Financiero'!$AN$5:$AN$1000,$N41)="","",INDEX('Cronograma R. Financiero'!$AN$5:$AN$1000,$N41)))</f>
        <v/>
      </c>
      <c r="E41" s="56">
        <f>IF($N41="","",IF(NOT(ISNUMBER($D41)),"",IF($D41&lt;InicioCiclo,"Antes del ciclo",IF($D41&gt;=InicioCiclo+28,"Después del ciclo","Semana "&amp;(INT(($D41-InicioCiclo)/7)+1)))))</f>
        <v/>
      </c>
      <c r="F41" s="61">
        <f>IF($N41="","",IF($P41&gt;0,IF(1&lt;=SemanaActual,INDEX('Cronograma R. Financiero'!$AC$5:$AC$1000,$N41),""),IF(INDEX('Cronograma R. Financiero'!$I$5:$I$1000,$N41)="","",INDEX('Cronograma R. Financiero'!$I$5:$I$1000,$N41))))</f>
        <v/>
      </c>
      <c r="G41" s="61">
        <f>IF($N41="","",IF($P41&gt;0,IF(2&lt;=SemanaActual,INDEX('Cronograma R. Financiero'!$AD$5:$AD$1000,$N41),""),IF(INDEX('Cronograma R. Financiero'!$J$5:$J$1000,$N41)="","",INDEX('Cronograma R. Financiero'!$J$5:$J$1000,$N41))))</f>
        <v/>
      </c>
      <c r="H41" s="61">
        <f>IF($N41="","",IF($P41&gt;0,IF(3&lt;=SemanaActual,INDEX('Cronograma R. Financiero'!$AE$5:$AE$1000,$N41),""),IF(INDEX('Cronograma R. Financiero'!$K$5:$K$1000,$N41)="","",INDEX('Cronograma R. Financiero'!$K$5:$K$1000,$N41))))</f>
        <v/>
      </c>
      <c r="I41" s="61">
        <f>IF($N41="","",IF($P41&gt;0,IF(4&lt;=SemanaActual,INDEX('Cronograma R. Financiero'!$AF$5:$AF$1000,$N41),""),IF(INDEX('Cronograma R. Financiero'!$L$5:$L$1000,$N41)="","",INDEX('Cronograma R. Financiero'!$L$5:$L$1000,$N41))))</f>
        <v/>
      </c>
      <c r="J41" s="61">
        <f>IF($N41="","",INDEX('Cronograma R. Financiero'!$M$5:$M$1000,$N41))</f>
        <v/>
      </c>
      <c r="K41" s="56">
        <f>IF($N41="","",IF(N($J41)&gt;=1,"Completado",IF(AND(ISNUMBER($D41),$D41&lt;FechaRef),"Vencida",IF(N($J41)&gt;0,"En curso","Pendiente"))))</f>
        <v/>
      </c>
      <c r="L41" s="56">
        <f>IF($N41="","",INDEX('Cronograma R. Financiero'!$O$5:$O$1000,$N41)&amp;"")</f>
        <v/>
      </c>
      <c r="M41" s="62">
        <f>IF($N41="","",INDEX('Cronograma R. Financiero'!$Q$5:$Q$1000,$N41)&amp;"")</f>
        <v/>
      </c>
      <c r="N41">
        <f>IFERROR(MATCH(ROW()-4,rOrden_RF,0),"")</f>
        <v/>
      </c>
      <c r="O41">
        <f>IF($N41="","",INDEX('Cronograma R. Financiero'!$V$5:$V$1000,$N41))</f>
        <v/>
      </c>
      <c r="P41">
        <f>IF($N41="","",N(INDEX('Cronograma R. Financiero'!$W$5:$W$1000,$N41)))</f>
        <v/>
      </c>
      <c r="Q41">
        <f>IF(OR(LEFT($L41,7)="Vencida",LEFT($L41,5)="Vence"),SUMPRODUCT(--(LEFT($L$5:$L41,7)="Vencida"))+SUMPRODUCT(--(LEFT($L$5:$L41,5)="Vence")),"")</f>
        <v/>
      </c>
    </row>
    <row r="42">
      <c r="A42" s="56">
        <f>IF($N42="","",INDEX('Cronograma R. Financiero'!$A$5:$A$1000,$N42))</f>
        <v/>
      </c>
      <c r="B42" s="62">
        <f>IF($N42="","",IF($O42="Sub","      ↳  "&amp;INDEX('Cronograma R. Financiero'!$C$5:$C$1000,$N42),INDEX('Cronograma R. Financiero'!$C$5:$C$1000,$N42)&amp;""))</f>
        <v/>
      </c>
      <c r="C42" s="79">
        <f>IF($N42="","",IF(INDEX('Cronograma R. Financiero'!$AM$5:$AM$1000,$N42)="","",INDEX('Cronograma R. Financiero'!$AM$5:$AM$1000,$N42)))</f>
        <v/>
      </c>
      <c r="D42" s="79">
        <f>IF($N42="","",IF(INDEX('Cronograma R. Financiero'!$AN$5:$AN$1000,$N42)="","",INDEX('Cronograma R. Financiero'!$AN$5:$AN$1000,$N42)))</f>
        <v/>
      </c>
      <c r="E42" s="56">
        <f>IF($N42="","",IF(NOT(ISNUMBER($D42)),"",IF($D42&lt;InicioCiclo,"Antes del ciclo",IF($D42&gt;=InicioCiclo+28,"Después del ciclo","Semana "&amp;(INT(($D42-InicioCiclo)/7)+1)))))</f>
        <v/>
      </c>
      <c r="F42" s="61">
        <f>IF($N42="","",IF($P42&gt;0,IF(1&lt;=SemanaActual,INDEX('Cronograma R. Financiero'!$AC$5:$AC$1000,$N42),""),IF(INDEX('Cronograma R. Financiero'!$I$5:$I$1000,$N42)="","",INDEX('Cronograma R. Financiero'!$I$5:$I$1000,$N42))))</f>
        <v/>
      </c>
      <c r="G42" s="61">
        <f>IF($N42="","",IF($P42&gt;0,IF(2&lt;=SemanaActual,INDEX('Cronograma R. Financiero'!$AD$5:$AD$1000,$N42),""),IF(INDEX('Cronograma R. Financiero'!$J$5:$J$1000,$N42)="","",INDEX('Cronograma R. Financiero'!$J$5:$J$1000,$N42))))</f>
        <v/>
      </c>
      <c r="H42" s="61">
        <f>IF($N42="","",IF($P42&gt;0,IF(3&lt;=SemanaActual,INDEX('Cronograma R. Financiero'!$AE$5:$AE$1000,$N42),""),IF(INDEX('Cronograma R. Financiero'!$K$5:$K$1000,$N42)="","",INDEX('Cronograma R. Financiero'!$K$5:$K$1000,$N42))))</f>
        <v/>
      </c>
      <c r="I42" s="61">
        <f>IF($N42="","",IF($P42&gt;0,IF(4&lt;=SemanaActual,INDEX('Cronograma R. Financiero'!$AF$5:$AF$1000,$N42),""),IF(INDEX('Cronograma R. Financiero'!$L$5:$L$1000,$N42)="","",INDEX('Cronograma R. Financiero'!$L$5:$L$1000,$N42))))</f>
        <v/>
      </c>
      <c r="J42" s="61">
        <f>IF($N42="","",INDEX('Cronograma R. Financiero'!$M$5:$M$1000,$N42))</f>
        <v/>
      </c>
      <c r="K42" s="56">
        <f>IF($N42="","",IF(N($J42)&gt;=1,"Completado",IF(AND(ISNUMBER($D42),$D42&lt;FechaRef),"Vencida",IF(N($J42)&gt;0,"En curso","Pendiente"))))</f>
        <v/>
      </c>
      <c r="L42" s="56">
        <f>IF($N42="","",INDEX('Cronograma R. Financiero'!$O$5:$O$1000,$N42)&amp;"")</f>
        <v/>
      </c>
      <c r="M42" s="62">
        <f>IF($N42="","",INDEX('Cronograma R. Financiero'!$Q$5:$Q$1000,$N42)&amp;"")</f>
        <v/>
      </c>
      <c r="N42">
        <f>IFERROR(MATCH(ROW()-4,rOrden_RF,0),"")</f>
        <v/>
      </c>
      <c r="O42">
        <f>IF($N42="","",INDEX('Cronograma R. Financiero'!$V$5:$V$1000,$N42))</f>
        <v/>
      </c>
      <c r="P42">
        <f>IF($N42="","",N(INDEX('Cronograma R. Financiero'!$W$5:$W$1000,$N42)))</f>
        <v/>
      </c>
      <c r="Q42">
        <f>IF(OR(LEFT($L42,7)="Vencida",LEFT($L42,5)="Vence"),SUMPRODUCT(--(LEFT($L$5:$L42,7)="Vencida"))+SUMPRODUCT(--(LEFT($L$5:$L42,5)="Vence")),"")</f>
        <v/>
      </c>
    </row>
    <row r="43">
      <c r="A43" s="56">
        <f>IF($N43="","",INDEX('Cronograma R. Financiero'!$A$5:$A$1000,$N43))</f>
        <v/>
      </c>
      <c r="B43" s="62">
        <f>IF($N43="","",IF($O43="Sub","      ↳  "&amp;INDEX('Cronograma R. Financiero'!$C$5:$C$1000,$N43),INDEX('Cronograma R. Financiero'!$C$5:$C$1000,$N43)&amp;""))</f>
        <v/>
      </c>
      <c r="C43" s="79">
        <f>IF($N43="","",IF(INDEX('Cronograma R. Financiero'!$AM$5:$AM$1000,$N43)="","",INDEX('Cronograma R. Financiero'!$AM$5:$AM$1000,$N43)))</f>
        <v/>
      </c>
      <c r="D43" s="79">
        <f>IF($N43="","",IF(INDEX('Cronograma R. Financiero'!$AN$5:$AN$1000,$N43)="","",INDEX('Cronograma R. Financiero'!$AN$5:$AN$1000,$N43)))</f>
        <v/>
      </c>
      <c r="E43" s="56">
        <f>IF($N43="","",IF(NOT(ISNUMBER($D43)),"",IF($D43&lt;InicioCiclo,"Antes del ciclo",IF($D43&gt;=InicioCiclo+28,"Después del ciclo","Semana "&amp;(INT(($D43-InicioCiclo)/7)+1)))))</f>
        <v/>
      </c>
      <c r="F43" s="61">
        <f>IF($N43="","",IF($P43&gt;0,IF(1&lt;=SemanaActual,INDEX('Cronograma R. Financiero'!$AC$5:$AC$1000,$N43),""),IF(INDEX('Cronograma R. Financiero'!$I$5:$I$1000,$N43)="","",INDEX('Cronograma R. Financiero'!$I$5:$I$1000,$N43))))</f>
        <v/>
      </c>
      <c r="G43" s="61">
        <f>IF($N43="","",IF($P43&gt;0,IF(2&lt;=SemanaActual,INDEX('Cronograma R. Financiero'!$AD$5:$AD$1000,$N43),""),IF(INDEX('Cronograma R. Financiero'!$J$5:$J$1000,$N43)="","",INDEX('Cronograma R. Financiero'!$J$5:$J$1000,$N43))))</f>
        <v/>
      </c>
      <c r="H43" s="61">
        <f>IF($N43="","",IF($P43&gt;0,IF(3&lt;=SemanaActual,INDEX('Cronograma R. Financiero'!$AE$5:$AE$1000,$N43),""),IF(INDEX('Cronograma R. Financiero'!$K$5:$K$1000,$N43)="","",INDEX('Cronograma R. Financiero'!$K$5:$K$1000,$N43))))</f>
        <v/>
      </c>
      <c r="I43" s="61">
        <f>IF($N43="","",IF($P43&gt;0,IF(4&lt;=SemanaActual,INDEX('Cronograma R. Financiero'!$AF$5:$AF$1000,$N43),""),IF(INDEX('Cronograma R. Financiero'!$L$5:$L$1000,$N43)="","",INDEX('Cronograma R. Financiero'!$L$5:$L$1000,$N43))))</f>
        <v/>
      </c>
      <c r="J43" s="61">
        <f>IF($N43="","",INDEX('Cronograma R. Financiero'!$M$5:$M$1000,$N43))</f>
        <v/>
      </c>
      <c r="K43" s="56">
        <f>IF($N43="","",IF(N($J43)&gt;=1,"Completado",IF(AND(ISNUMBER($D43),$D43&lt;FechaRef),"Vencida",IF(N($J43)&gt;0,"En curso","Pendiente"))))</f>
        <v/>
      </c>
      <c r="L43" s="56">
        <f>IF($N43="","",INDEX('Cronograma R. Financiero'!$O$5:$O$1000,$N43)&amp;"")</f>
        <v/>
      </c>
      <c r="M43" s="62">
        <f>IF($N43="","",INDEX('Cronograma R. Financiero'!$Q$5:$Q$1000,$N43)&amp;"")</f>
        <v/>
      </c>
      <c r="N43">
        <f>IFERROR(MATCH(ROW()-4,rOrden_RF,0),"")</f>
        <v/>
      </c>
      <c r="O43">
        <f>IF($N43="","",INDEX('Cronograma R. Financiero'!$V$5:$V$1000,$N43))</f>
        <v/>
      </c>
      <c r="P43">
        <f>IF($N43="","",N(INDEX('Cronograma R. Financiero'!$W$5:$W$1000,$N43)))</f>
        <v/>
      </c>
      <c r="Q43">
        <f>IF(OR(LEFT($L43,7)="Vencida",LEFT($L43,5)="Vence"),SUMPRODUCT(--(LEFT($L$5:$L43,7)="Vencida"))+SUMPRODUCT(--(LEFT($L$5:$L43,5)="Vence")),"")</f>
        <v/>
      </c>
    </row>
    <row r="44">
      <c r="A44" s="56">
        <f>IF($N44="","",INDEX('Cronograma R. Financiero'!$A$5:$A$1000,$N44))</f>
        <v/>
      </c>
      <c r="B44" s="62">
        <f>IF($N44="","",IF($O44="Sub","      ↳  "&amp;INDEX('Cronograma R. Financiero'!$C$5:$C$1000,$N44),INDEX('Cronograma R. Financiero'!$C$5:$C$1000,$N44)&amp;""))</f>
        <v/>
      </c>
      <c r="C44" s="79">
        <f>IF($N44="","",IF(INDEX('Cronograma R. Financiero'!$AM$5:$AM$1000,$N44)="","",INDEX('Cronograma R. Financiero'!$AM$5:$AM$1000,$N44)))</f>
        <v/>
      </c>
      <c r="D44" s="79">
        <f>IF($N44="","",IF(INDEX('Cronograma R. Financiero'!$AN$5:$AN$1000,$N44)="","",INDEX('Cronograma R. Financiero'!$AN$5:$AN$1000,$N44)))</f>
        <v/>
      </c>
      <c r="E44" s="56">
        <f>IF($N44="","",IF(NOT(ISNUMBER($D44)),"",IF($D44&lt;InicioCiclo,"Antes del ciclo",IF($D44&gt;=InicioCiclo+28,"Después del ciclo","Semana "&amp;(INT(($D44-InicioCiclo)/7)+1)))))</f>
        <v/>
      </c>
      <c r="F44" s="61">
        <f>IF($N44="","",IF($P44&gt;0,IF(1&lt;=SemanaActual,INDEX('Cronograma R. Financiero'!$AC$5:$AC$1000,$N44),""),IF(INDEX('Cronograma R. Financiero'!$I$5:$I$1000,$N44)="","",INDEX('Cronograma R. Financiero'!$I$5:$I$1000,$N44))))</f>
        <v/>
      </c>
      <c r="G44" s="61">
        <f>IF($N44="","",IF($P44&gt;0,IF(2&lt;=SemanaActual,INDEX('Cronograma R. Financiero'!$AD$5:$AD$1000,$N44),""),IF(INDEX('Cronograma R. Financiero'!$J$5:$J$1000,$N44)="","",INDEX('Cronograma R. Financiero'!$J$5:$J$1000,$N44))))</f>
        <v/>
      </c>
      <c r="H44" s="61">
        <f>IF($N44="","",IF($P44&gt;0,IF(3&lt;=SemanaActual,INDEX('Cronograma R. Financiero'!$AE$5:$AE$1000,$N44),""),IF(INDEX('Cronograma R. Financiero'!$K$5:$K$1000,$N44)="","",INDEX('Cronograma R. Financiero'!$K$5:$K$1000,$N44))))</f>
        <v/>
      </c>
      <c r="I44" s="61">
        <f>IF($N44="","",IF($P44&gt;0,IF(4&lt;=SemanaActual,INDEX('Cronograma R. Financiero'!$AF$5:$AF$1000,$N44),""),IF(INDEX('Cronograma R. Financiero'!$L$5:$L$1000,$N44)="","",INDEX('Cronograma R. Financiero'!$L$5:$L$1000,$N44))))</f>
        <v/>
      </c>
      <c r="J44" s="61">
        <f>IF($N44="","",INDEX('Cronograma R. Financiero'!$M$5:$M$1000,$N44))</f>
        <v/>
      </c>
      <c r="K44" s="56">
        <f>IF($N44="","",IF(N($J44)&gt;=1,"Completado",IF(AND(ISNUMBER($D44),$D44&lt;FechaRef),"Vencida",IF(N($J44)&gt;0,"En curso","Pendiente"))))</f>
        <v/>
      </c>
      <c r="L44" s="56">
        <f>IF($N44="","",INDEX('Cronograma R. Financiero'!$O$5:$O$1000,$N44)&amp;"")</f>
        <v/>
      </c>
      <c r="M44" s="62">
        <f>IF($N44="","",INDEX('Cronograma R. Financiero'!$Q$5:$Q$1000,$N44)&amp;"")</f>
        <v/>
      </c>
      <c r="N44">
        <f>IFERROR(MATCH(ROW()-4,rOrden_RF,0),"")</f>
        <v/>
      </c>
      <c r="O44">
        <f>IF($N44="","",INDEX('Cronograma R. Financiero'!$V$5:$V$1000,$N44))</f>
        <v/>
      </c>
      <c r="P44">
        <f>IF($N44="","",N(INDEX('Cronograma R. Financiero'!$W$5:$W$1000,$N44)))</f>
        <v/>
      </c>
      <c r="Q44">
        <f>IF(OR(LEFT($L44,7)="Vencida",LEFT($L44,5)="Vence"),SUMPRODUCT(--(LEFT($L$5:$L44,7)="Vencida"))+SUMPRODUCT(--(LEFT($L$5:$L44,5)="Vence")),"")</f>
        <v/>
      </c>
    </row>
    <row r="45">
      <c r="A45" s="56">
        <f>IF($N45="","",INDEX('Cronograma R. Financiero'!$A$5:$A$1000,$N45))</f>
        <v/>
      </c>
      <c r="B45" s="62">
        <f>IF($N45="","",IF($O45="Sub","      ↳  "&amp;INDEX('Cronograma R. Financiero'!$C$5:$C$1000,$N45),INDEX('Cronograma R. Financiero'!$C$5:$C$1000,$N45)&amp;""))</f>
        <v/>
      </c>
      <c r="C45" s="79">
        <f>IF($N45="","",IF(INDEX('Cronograma R. Financiero'!$AM$5:$AM$1000,$N45)="","",INDEX('Cronograma R. Financiero'!$AM$5:$AM$1000,$N45)))</f>
        <v/>
      </c>
      <c r="D45" s="79">
        <f>IF($N45="","",IF(INDEX('Cronograma R. Financiero'!$AN$5:$AN$1000,$N45)="","",INDEX('Cronograma R. Financiero'!$AN$5:$AN$1000,$N45)))</f>
        <v/>
      </c>
      <c r="E45" s="56">
        <f>IF($N45="","",IF(NOT(ISNUMBER($D45)),"",IF($D45&lt;InicioCiclo,"Antes del ciclo",IF($D45&gt;=InicioCiclo+28,"Después del ciclo","Semana "&amp;(INT(($D45-InicioCiclo)/7)+1)))))</f>
        <v/>
      </c>
      <c r="F45" s="61">
        <f>IF($N45="","",IF($P45&gt;0,IF(1&lt;=SemanaActual,INDEX('Cronograma R. Financiero'!$AC$5:$AC$1000,$N45),""),IF(INDEX('Cronograma R. Financiero'!$I$5:$I$1000,$N45)="","",INDEX('Cronograma R. Financiero'!$I$5:$I$1000,$N45))))</f>
        <v/>
      </c>
      <c r="G45" s="61">
        <f>IF($N45="","",IF($P45&gt;0,IF(2&lt;=SemanaActual,INDEX('Cronograma R. Financiero'!$AD$5:$AD$1000,$N45),""),IF(INDEX('Cronograma R. Financiero'!$J$5:$J$1000,$N45)="","",INDEX('Cronograma R. Financiero'!$J$5:$J$1000,$N45))))</f>
        <v/>
      </c>
      <c r="H45" s="61">
        <f>IF($N45="","",IF($P45&gt;0,IF(3&lt;=SemanaActual,INDEX('Cronograma R. Financiero'!$AE$5:$AE$1000,$N45),""),IF(INDEX('Cronograma R. Financiero'!$K$5:$K$1000,$N45)="","",INDEX('Cronograma R. Financiero'!$K$5:$K$1000,$N45))))</f>
        <v/>
      </c>
      <c r="I45" s="61">
        <f>IF($N45="","",IF($P45&gt;0,IF(4&lt;=SemanaActual,INDEX('Cronograma R. Financiero'!$AF$5:$AF$1000,$N45),""),IF(INDEX('Cronograma R. Financiero'!$L$5:$L$1000,$N45)="","",INDEX('Cronograma R. Financiero'!$L$5:$L$1000,$N45))))</f>
        <v/>
      </c>
      <c r="J45" s="61">
        <f>IF($N45="","",INDEX('Cronograma R. Financiero'!$M$5:$M$1000,$N45))</f>
        <v/>
      </c>
      <c r="K45" s="56">
        <f>IF($N45="","",IF(N($J45)&gt;=1,"Completado",IF(AND(ISNUMBER($D45),$D45&lt;FechaRef),"Vencida",IF(N($J45)&gt;0,"En curso","Pendiente"))))</f>
        <v/>
      </c>
      <c r="L45" s="56">
        <f>IF($N45="","",INDEX('Cronograma R. Financiero'!$O$5:$O$1000,$N45)&amp;"")</f>
        <v/>
      </c>
      <c r="M45" s="62">
        <f>IF($N45="","",INDEX('Cronograma R. Financiero'!$Q$5:$Q$1000,$N45)&amp;"")</f>
        <v/>
      </c>
      <c r="N45">
        <f>IFERROR(MATCH(ROW()-4,rOrden_RF,0),"")</f>
        <v/>
      </c>
      <c r="O45">
        <f>IF($N45="","",INDEX('Cronograma R. Financiero'!$V$5:$V$1000,$N45))</f>
        <v/>
      </c>
      <c r="P45">
        <f>IF($N45="","",N(INDEX('Cronograma R. Financiero'!$W$5:$W$1000,$N45)))</f>
        <v/>
      </c>
      <c r="Q45">
        <f>IF(OR(LEFT($L45,7)="Vencida",LEFT($L45,5)="Vence"),SUMPRODUCT(--(LEFT($L$5:$L45,7)="Vencida"))+SUMPRODUCT(--(LEFT($L$5:$L45,5)="Vence")),"")</f>
        <v/>
      </c>
    </row>
    <row r="46">
      <c r="A46" s="56">
        <f>IF($N46="","",INDEX('Cronograma R. Financiero'!$A$5:$A$1000,$N46))</f>
        <v/>
      </c>
      <c r="B46" s="62">
        <f>IF($N46="","",IF($O46="Sub","      ↳  "&amp;INDEX('Cronograma R. Financiero'!$C$5:$C$1000,$N46),INDEX('Cronograma R. Financiero'!$C$5:$C$1000,$N46)&amp;""))</f>
        <v/>
      </c>
      <c r="C46" s="79">
        <f>IF($N46="","",IF(INDEX('Cronograma R. Financiero'!$AM$5:$AM$1000,$N46)="","",INDEX('Cronograma R. Financiero'!$AM$5:$AM$1000,$N46)))</f>
        <v/>
      </c>
      <c r="D46" s="79">
        <f>IF($N46="","",IF(INDEX('Cronograma R. Financiero'!$AN$5:$AN$1000,$N46)="","",INDEX('Cronograma R. Financiero'!$AN$5:$AN$1000,$N46)))</f>
        <v/>
      </c>
      <c r="E46" s="56">
        <f>IF($N46="","",IF(NOT(ISNUMBER($D46)),"",IF($D46&lt;InicioCiclo,"Antes del ciclo",IF($D46&gt;=InicioCiclo+28,"Después del ciclo","Semana "&amp;(INT(($D46-InicioCiclo)/7)+1)))))</f>
        <v/>
      </c>
      <c r="F46" s="61">
        <f>IF($N46="","",IF($P46&gt;0,IF(1&lt;=SemanaActual,INDEX('Cronograma R. Financiero'!$AC$5:$AC$1000,$N46),""),IF(INDEX('Cronograma R. Financiero'!$I$5:$I$1000,$N46)="","",INDEX('Cronograma R. Financiero'!$I$5:$I$1000,$N46))))</f>
        <v/>
      </c>
      <c r="G46" s="61">
        <f>IF($N46="","",IF($P46&gt;0,IF(2&lt;=SemanaActual,INDEX('Cronograma R. Financiero'!$AD$5:$AD$1000,$N46),""),IF(INDEX('Cronograma R. Financiero'!$J$5:$J$1000,$N46)="","",INDEX('Cronograma R. Financiero'!$J$5:$J$1000,$N46))))</f>
        <v/>
      </c>
      <c r="H46" s="61">
        <f>IF($N46="","",IF($P46&gt;0,IF(3&lt;=SemanaActual,INDEX('Cronograma R. Financiero'!$AE$5:$AE$1000,$N46),""),IF(INDEX('Cronograma R. Financiero'!$K$5:$K$1000,$N46)="","",INDEX('Cronograma R. Financiero'!$K$5:$K$1000,$N46))))</f>
        <v/>
      </c>
      <c r="I46" s="61">
        <f>IF($N46="","",IF($P46&gt;0,IF(4&lt;=SemanaActual,INDEX('Cronograma R. Financiero'!$AF$5:$AF$1000,$N46),""),IF(INDEX('Cronograma R. Financiero'!$L$5:$L$1000,$N46)="","",INDEX('Cronograma R. Financiero'!$L$5:$L$1000,$N46))))</f>
        <v/>
      </c>
      <c r="J46" s="61">
        <f>IF($N46="","",INDEX('Cronograma R. Financiero'!$M$5:$M$1000,$N46))</f>
        <v/>
      </c>
      <c r="K46" s="56">
        <f>IF($N46="","",IF(N($J46)&gt;=1,"Completado",IF(AND(ISNUMBER($D46),$D46&lt;FechaRef),"Vencida",IF(N($J46)&gt;0,"En curso","Pendiente"))))</f>
        <v/>
      </c>
      <c r="L46" s="56">
        <f>IF($N46="","",INDEX('Cronograma R. Financiero'!$O$5:$O$1000,$N46)&amp;"")</f>
        <v/>
      </c>
      <c r="M46" s="62">
        <f>IF($N46="","",INDEX('Cronograma R. Financiero'!$Q$5:$Q$1000,$N46)&amp;"")</f>
        <v/>
      </c>
      <c r="N46">
        <f>IFERROR(MATCH(ROW()-4,rOrden_RF,0),"")</f>
        <v/>
      </c>
      <c r="O46">
        <f>IF($N46="","",INDEX('Cronograma R. Financiero'!$V$5:$V$1000,$N46))</f>
        <v/>
      </c>
      <c r="P46">
        <f>IF($N46="","",N(INDEX('Cronograma R. Financiero'!$W$5:$W$1000,$N46)))</f>
        <v/>
      </c>
      <c r="Q46">
        <f>IF(OR(LEFT($L46,7)="Vencida",LEFT($L46,5)="Vence"),SUMPRODUCT(--(LEFT($L$5:$L46,7)="Vencida"))+SUMPRODUCT(--(LEFT($L$5:$L46,5)="Vence")),"")</f>
        <v/>
      </c>
    </row>
    <row r="47">
      <c r="A47" s="56">
        <f>IF($N47="","",INDEX('Cronograma R. Financiero'!$A$5:$A$1000,$N47))</f>
        <v/>
      </c>
      <c r="B47" s="62">
        <f>IF($N47="","",IF($O47="Sub","      ↳  "&amp;INDEX('Cronograma R. Financiero'!$C$5:$C$1000,$N47),INDEX('Cronograma R. Financiero'!$C$5:$C$1000,$N47)&amp;""))</f>
        <v/>
      </c>
      <c r="C47" s="79">
        <f>IF($N47="","",IF(INDEX('Cronograma R. Financiero'!$AM$5:$AM$1000,$N47)="","",INDEX('Cronograma R. Financiero'!$AM$5:$AM$1000,$N47)))</f>
        <v/>
      </c>
      <c r="D47" s="79">
        <f>IF($N47="","",IF(INDEX('Cronograma R. Financiero'!$AN$5:$AN$1000,$N47)="","",INDEX('Cronograma R. Financiero'!$AN$5:$AN$1000,$N47)))</f>
        <v/>
      </c>
      <c r="E47" s="56">
        <f>IF($N47="","",IF(NOT(ISNUMBER($D47)),"",IF($D47&lt;InicioCiclo,"Antes del ciclo",IF($D47&gt;=InicioCiclo+28,"Después del ciclo","Semana "&amp;(INT(($D47-InicioCiclo)/7)+1)))))</f>
        <v/>
      </c>
      <c r="F47" s="61">
        <f>IF($N47="","",IF($P47&gt;0,IF(1&lt;=SemanaActual,INDEX('Cronograma R. Financiero'!$AC$5:$AC$1000,$N47),""),IF(INDEX('Cronograma R. Financiero'!$I$5:$I$1000,$N47)="","",INDEX('Cronograma R. Financiero'!$I$5:$I$1000,$N47))))</f>
        <v/>
      </c>
      <c r="G47" s="61">
        <f>IF($N47="","",IF($P47&gt;0,IF(2&lt;=SemanaActual,INDEX('Cronograma R. Financiero'!$AD$5:$AD$1000,$N47),""),IF(INDEX('Cronograma R. Financiero'!$J$5:$J$1000,$N47)="","",INDEX('Cronograma R. Financiero'!$J$5:$J$1000,$N47))))</f>
        <v/>
      </c>
      <c r="H47" s="61">
        <f>IF($N47="","",IF($P47&gt;0,IF(3&lt;=SemanaActual,INDEX('Cronograma R. Financiero'!$AE$5:$AE$1000,$N47),""),IF(INDEX('Cronograma R. Financiero'!$K$5:$K$1000,$N47)="","",INDEX('Cronograma R. Financiero'!$K$5:$K$1000,$N47))))</f>
        <v/>
      </c>
      <c r="I47" s="61">
        <f>IF($N47="","",IF($P47&gt;0,IF(4&lt;=SemanaActual,INDEX('Cronograma R. Financiero'!$AF$5:$AF$1000,$N47),""),IF(INDEX('Cronograma R. Financiero'!$L$5:$L$1000,$N47)="","",INDEX('Cronograma R. Financiero'!$L$5:$L$1000,$N47))))</f>
        <v/>
      </c>
      <c r="J47" s="61">
        <f>IF($N47="","",INDEX('Cronograma R. Financiero'!$M$5:$M$1000,$N47))</f>
        <v/>
      </c>
      <c r="K47" s="56">
        <f>IF($N47="","",IF(N($J47)&gt;=1,"Completado",IF(AND(ISNUMBER($D47),$D47&lt;FechaRef),"Vencida",IF(N($J47)&gt;0,"En curso","Pendiente"))))</f>
        <v/>
      </c>
      <c r="L47" s="56">
        <f>IF($N47="","",INDEX('Cronograma R. Financiero'!$O$5:$O$1000,$N47)&amp;"")</f>
        <v/>
      </c>
      <c r="M47" s="62">
        <f>IF($N47="","",INDEX('Cronograma R. Financiero'!$Q$5:$Q$1000,$N47)&amp;"")</f>
        <v/>
      </c>
      <c r="N47">
        <f>IFERROR(MATCH(ROW()-4,rOrden_RF,0),"")</f>
        <v/>
      </c>
      <c r="O47">
        <f>IF($N47="","",INDEX('Cronograma R. Financiero'!$V$5:$V$1000,$N47))</f>
        <v/>
      </c>
      <c r="P47">
        <f>IF($N47="","",N(INDEX('Cronograma R. Financiero'!$W$5:$W$1000,$N47)))</f>
        <v/>
      </c>
      <c r="Q47">
        <f>IF(OR(LEFT($L47,7)="Vencida",LEFT($L47,5)="Vence"),SUMPRODUCT(--(LEFT($L$5:$L47,7)="Vencida"))+SUMPRODUCT(--(LEFT($L$5:$L47,5)="Vence")),"")</f>
        <v/>
      </c>
    </row>
    <row r="48">
      <c r="A48" s="56">
        <f>IF($N48="","",INDEX('Cronograma R. Financiero'!$A$5:$A$1000,$N48))</f>
        <v/>
      </c>
      <c r="B48" s="62">
        <f>IF($N48="","",IF($O48="Sub","      ↳  "&amp;INDEX('Cronograma R. Financiero'!$C$5:$C$1000,$N48),INDEX('Cronograma R. Financiero'!$C$5:$C$1000,$N48)&amp;""))</f>
        <v/>
      </c>
      <c r="C48" s="79">
        <f>IF($N48="","",IF(INDEX('Cronograma R. Financiero'!$AM$5:$AM$1000,$N48)="","",INDEX('Cronograma R. Financiero'!$AM$5:$AM$1000,$N48)))</f>
        <v/>
      </c>
      <c r="D48" s="79">
        <f>IF($N48="","",IF(INDEX('Cronograma R. Financiero'!$AN$5:$AN$1000,$N48)="","",INDEX('Cronograma R. Financiero'!$AN$5:$AN$1000,$N48)))</f>
        <v/>
      </c>
      <c r="E48" s="56">
        <f>IF($N48="","",IF(NOT(ISNUMBER($D48)),"",IF($D48&lt;InicioCiclo,"Antes del ciclo",IF($D48&gt;=InicioCiclo+28,"Después del ciclo","Semana "&amp;(INT(($D48-InicioCiclo)/7)+1)))))</f>
        <v/>
      </c>
      <c r="F48" s="61">
        <f>IF($N48="","",IF($P48&gt;0,IF(1&lt;=SemanaActual,INDEX('Cronograma R. Financiero'!$AC$5:$AC$1000,$N48),""),IF(INDEX('Cronograma R. Financiero'!$I$5:$I$1000,$N48)="","",INDEX('Cronograma R. Financiero'!$I$5:$I$1000,$N48))))</f>
        <v/>
      </c>
      <c r="G48" s="61">
        <f>IF($N48="","",IF($P48&gt;0,IF(2&lt;=SemanaActual,INDEX('Cronograma R. Financiero'!$AD$5:$AD$1000,$N48),""),IF(INDEX('Cronograma R. Financiero'!$J$5:$J$1000,$N48)="","",INDEX('Cronograma R. Financiero'!$J$5:$J$1000,$N48))))</f>
        <v/>
      </c>
      <c r="H48" s="61">
        <f>IF($N48="","",IF($P48&gt;0,IF(3&lt;=SemanaActual,INDEX('Cronograma R. Financiero'!$AE$5:$AE$1000,$N48),""),IF(INDEX('Cronograma R. Financiero'!$K$5:$K$1000,$N48)="","",INDEX('Cronograma R. Financiero'!$K$5:$K$1000,$N48))))</f>
        <v/>
      </c>
      <c r="I48" s="61">
        <f>IF($N48="","",IF($P48&gt;0,IF(4&lt;=SemanaActual,INDEX('Cronograma R. Financiero'!$AF$5:$AF$1000,$N48),""),IF(INDEX('Cronograma R. Financiero'!$L$5:$L$1000,$N48)="","",INDEX('Cronograma R. Financiero'!$L$5:$L$1000,$N48))))</f>
        <v/>
      </c>
      <c r="J48" s="61">
        <f>IF($N48="","",INDEX('Cronograma R. Financiero'!$M$5:$M$1000,$N48))</f>
        <v/>
      </c>
      <c r="K48" s="56">
        <f>IF($N48="","",IF(N($J48)&gt;=1,"Completado",IF(AND(ISNUMBER($D48),$D48&lt;FechaRef),"Vencida",IF(N($J48)&gt;0,"En curso","Pendiente"))))</f>
        <v/>
      </c>
      <c r="L48" s="56">
        <f>IF($N48="","",INDEX('Cronograma R. Financiero'!$O$5:$O$1000,$N48)&amp;"")</f>
        <v/>
      </c>
      <c r="M48" s="62">
        <f>IF($N48="","",INDEX('Cronograma R. Financiero'!$Q$5:$Q$1000,$N48)&amp;"")</f>
        <v/>
      </c>
      <c r="N48">
        <f>IFERROR(MATCH(ROW()-4,rOrden_RF,0),"")</f>
        <v/>
      </c>
      <c r="O48">
        <f>IF($N48="","",INDEX('Cronograma R. Financiero'!$V$5:$V$1000,$N48))</f>
        <v/>
      </c>
      <c r="P48">
        <f>IF($N48="","",N(INDEX('Cronograma R. Financiero'!$W$5:$W$1000,$N48)))</f>
        <v/>
      </c>
      <c r="Q48">
        <f>IF(OR(LEFT($L48,7)="Vencida",LEFT($L48,5)="Vence"),SUMPRODUCT(--(LEFT($L$5:$L48,7)="Vencida"))+SUMPRODUCT(--(LEFT($L$5:$L48,5)="Vence")),"")</f>
        <v/>
      </c>
    </row>
    <row r="49">
      <c r="A49" s="56">
        <f>IF($N49="","",INDEX('Cronograma R. Financiero'!$A$5:$A$1000,$N49))</f>
        <v/>
      </c>
      <c r="B49" s="62">
        <f>IF($N49="","",IF($O49="Sub","      ↳  "&amp;INDEX('Cronograma R. Financiero'!$C$5:$C$1000,$N49),INDEX('Cronograma R. Financiero'!$C$5:$C$1000,$N49)&amp;""))</f>
        <v/>
      </c>
      <c r="C49" s="79">
        <f>IF($N49="","",IF(INDEX('Cronograma R. Financiero'!$AM$5:$AM$1000,$N49)="","",INDEX('Cronograma R. Financiero'!$AM$5:$AM$1000,$N49)))</f>
        <v/>
      </c>
      <c r="D49" s="79">
        <f>IF($N49="","",IF(INDEX('Cronograma R. Financiero'!$AN$5:$AN$1000,$N49)="","",INDEX('Cronograma R. Financiero'!$AN$5:$AN$1000,$N49)))</f>
        <v/>
      </c>
      <c r="E49" s="56">
        <f>IF($N49="","",IF(NOT(ISNUMBER($D49)),"",IF($D49&lt;InicioCiclo,"Antes del ciclo",IF($D49&gt;=InicioCiclo+28,"Después del ciclo","Semana "&amp;(INT(($D49-InicioCiclo)/7)+1)))))</f>
        <v/>
      </c>
      <c r="F49" s="61">
        <f>IF($N49="","",IF($P49&gt;0,IF(1&lt;=SemanaActual,INDEX('Cronograma R. Financiero'!$AC$5:$AC$1000,$N49),""),IF(INDEX('Cronograma R. Financiero'!$I$5:$I$1000,$N49)="","",INDEX('Cronograma R. Financiero'!$I$5:$I$1000,$N49))))</f>
        <v/>
      </c>
      <c r="G49" s="61">
        <f>IF($N49="","",IF($P49&gt;0,IF(2&lt;=SemanaActual,INDEX('Cronograma R. Financiero'!$AD$5:$AD$1000,$N49),""),IF(INDEX('Cronograma R. Financiero'!$J$5:$J$1000,$N49)="","",INDEX('Cronograma R. Financiero'!$J$5:$J$1000,$N49))))</f>
        <v/>
      </c>
      <c r="H49" s="61">
        <f>IF($N49="","",IF($P49&gt;0,IF(3&lt;=SemanaActual,INDEX('Cronograma R. Financiero'!$AE$5:$AE$1000,$N49),""),IF(INDEX('Cronograma R. Financiero'!$K$5:$K$1000,$N49)="","",INDEX('Cronograma R. Financiero'!$K$5:$K$1000,$N49))))</f>
        <v/>
      </c>
      <c r="I49" s="61">
        <f>IF($N49="","",IF($P49&gt;0,IF(4&lt;=SemanaActual,INDEX('Cronograma R. Financiero'!$AF$5:$AF$1000,$N49),""),IF(INDEX('Cronograma R. Financiero'!$L$5:$L$1000,$N49)="","",INDEX('Cronograma R. Financiero'!$L$5:$L$1000,$N49))))</f>
        <v/>
      </c>
      <c r="J49" s="61">
        <f>IF($N49="","",INDEX('Cronograma R. Financiero'!$M$5:$M$1000,$N49))</f>
        <v/>
      </c>
      <c r="K49" s="56">
        <f>IF($N49="","",IF(N($J49)&gt;=1,"Completado",IF(AND(ISNUMBER($D49),$D49&lt;FechaRef),"Vencida",IF(N($J49)&gt;0,"En curso","Pendiente"))))</f>
        <v/>
      </c>
      <c r="L49" s="56">
        <f>IF($N49="","",INDEX('Cronograma R. Financiero'!$O$5:$O$1000,$N49)&amp;"")</f>
        <v/>
      </c>
      <c r="M49" s="62">
        <f>IF($N49="","",INDEX('Cronograma R. Financiero'!$Q$5:$Q$1000,$N49)&amp;"")</f>
        <v/>
      </c>
      <c r="N49">
        <f>IFERROR(MATCH(ROW()-4,rOrden_RF,0),"")</f>
        <v/>
      </c>
      <c r="O49">
        <f>IF($N49="","",INDEX('Cronograma R. Financiero'!$V$5:$V$1000,$N49))</f>
        <v/>
      </c>
      <c r="P49">
        <f>IF($N49="","",N(INDEX('Cronograma R. Financiero'!$W$5:$W$1000,$N49)))</f>
        <v/>
      </c>
      <c r="Q49">
        <f>IF(OR(LEFT($L49,7)="Vencida",LEFT($L49,5)="Vence"),SUMPRODUCT(--(LEFT($L$5:$L49,7)="Vencida"))+SUMPRODUCT(--(LEFT($L$5:$L49,5)="Vence")),"")</f>
        <v/>
      </c>
    </row>
    <row r="50">
      <c r="A50" s="56">
        <f>IF($N50="","",INDEX('Cronograma R. Financiero'!$A$5:$A$1000,$N50))</f>
        <v/>
      </c>
      <c r="B50" s="62">
        <f>IF($N50="","",IF($O50="Sub","      ↳  "&amp;INDEX('Cronograma R. Financiero'!$C$5:$C$1000,$N50),INDEX('Cronograma R. Financiero'!$C$5:$C$1000,$N50)&amp;""))</f>
        <v/>
      </c>
      <c r="C50" s="79">
        <f>IF($N50="","",IF(INDEX('Cronograma R. Financiero'!$AM$5:$AM$1000,$N50)="","",INDEX('Cronograma R. Financiero'!$AM$5:$AM$1000,$N50)))</f>
        <v/>
      </c>
      <c r="D50" s="79">
        <f>IF($N50="","",IF(INDEX('Cronograma R. Financiero'!$AN$5:$AN$1000,$N50)="","",INDEX('Cronograma R. Financiero'!$AN$5:$AN$1000,$N50)))</f>
        <v/>
      </c>
      <c r="E50" s="56">
        <f>IF($N50="","",IF(NOT(ISNUMBER($D50)),"",IF($D50&lt;InicioCiclo,"Antes del ciclo",IF($D50&gt;=InicioCiclo+28,"Después del ciclo","Semana "&amp;(INT(($D50-InicioCiclo)/7)+1)))))</f>
        <v/>
      </c>
      <c r="F50" s="61">
        <f>IF($N50="","",IF($P50&gt;0,IF(1&lt;=SemanaActual,INDEX('Cronograma R. Financiero'!$AC$5:$AC$1000,$N50),""),IF(INDEX('Cronograma R. Financiero'!$I$5:$I$1000,$N50)="","",INDEX('Cronograma R. Financiero'!$I$5:$I$1000,$N50))))</f>
        <v/>
      </c>
      <c r="G50" s="61">
        <f>IF($N50="","",IF($P50&gt;0,IF(2&lt;=SemanaActual,INDEX('Cronograma R. Financiero'!$AD$5:$AD$1000,$N50),""),IF(INDEX('Cronograma R. Financiero'!$J$5:$J$1000,$N50)="","",INDEX('Cronograma R. Financiero'!$J$5:$J$1000,$N50))))</f>
        <v/>
      </c>
      <c r="H50" s="61">
        <f>IF($N50="","",IF($P50&gt;0,IF(3&lt;=SemanaActual,INDEX('Cronograma R. Financiero'!$AE$5:$AE$1000,$N50),""),IF(INDEX('Cronograma R. Financiero'!$K$5:$K$1000,$N50)="","",INDEX('Cronograma R. Financiero'!$K$5:$K$1000,$N50))))</f>
        <v/>
      </c>
      <c r="I50" s="61">
        <f>IF($N50="","",IF($P50&gt;0,IF(4&lt;=SemanaActual,INDEX('Cronograma R. Financiero'!$AF$5:$AF$1000,$N50),""),IF(INDEX('Cronograma R. Financiero'!$L$5:$L$1000,$N50)="","",INDEX('Cronograma R. Financiero'!$L$5:$L$1000,$N50))))</f>
        <v/>
      </c>
      <c r="J50" s="61">
        <f>IF($N50="","",INDEX('Cronograma R. Financiero'!$M$5:$M$1000,$N50))</f>
        <v/>
      </c>
      <c r="K50" s="56">
        <f>IF($N50="","",IF(N($J50)&gt;=1,"Completado",IF(AND(ISNUMBER($D50),$D50&lt;FechaRef),"Vencida",IF(N($J50)&gt;0,"En curso","Pendiente"))))</f>
        <v/>
      </c>
      <c r="L50" s="56">
        <f>IF($N50="","",INDEX('Cronograma R. Financiero'!$O$5:$O$1000,$N50)&amp;"")</f>
        <v/>
      </c>
      <c r="M50" s="62">
        <f>IF($N50="","",INDEX('Cronograma R. Financiero'!$Q$5:$Q$1000,$N50)&amp;"")</f>
        <v/>
      </c>
      <c r="N50">
        <f>IFERROR(MATCH(ROW()-4,rOrden_RF,0),"")</f>
        <v/>
      </c>
      <c r="O50">
        <f>IF($N50="","",INDEX('Cronograma R. Financiero'!$V$5:$V$1000,$N50))</f>
        <v/>
      </c>
      <c r="P50">
        <f>IF($N50="","",N(INDEX('Cronograma R. Financiero'!$W$5:$W$1000,$N50)))</f>
        <v/>
      </c>
      <c r="Q50">
        <f>IF(OR(LEFT($L50,7)="Vencida",LEFT($L50,5)="Vence"),SUMPRODUCT(--(LEFT($L$5:$L50,7)="Vencida"))+SUMPRODUCT(--(LEFT($L$5:$L50,5)="Vence")),"")</f>
        <v/>
      </c>
    </row>
    <row r="51">
      <c r="A51" s="56">
        <f>IF($N51="","",INDEX('Cronograma R. Financiero'!$A$5:$A$1000,$N51))</f>
        <v/>
      </c>
      <c r="B51" s="62">
        <f>IF($N51="","",IF($O51="Sub","      ↳  "&amp;INDEX('Cronograma R. Financiero'!$C$5:$C$1000,$N51),INDEX('Cronograma R. Financiero'!$C$5:$C$1000,$N51)&amp;""))</f>
        <v/>
      </c>
      <c r="C51" s="79">
        <f>IF($N51="","",IF(INDEX('Cronograma R. Financiero'!$AM$5:$AM$1000,$N51)="","",INDEX('Cronograma R. Financiero'!$AM$5:$AM$1000,$N51)))</f>
        <v/>
      </c>
      <c r="D51" s="79">
        <f>IF($N51="","",IF(INDEX('Cronograma R. Financiero'!$AN$5:$AN$1000,$N51)="","",INDEX('Cronograma R. Financiero'!$AN$5:$AN$1000,$N51)))</f>
        <v/>
      </c>
      <c r="E51" s="56">
        <f>IF($N51="","",IF(NOT(ISNUMBER($D51)),"",IF($D51&lt;InicioCiclo,"Antes del ciclo",IF($D51&gt;=InicioCiclo+28,"Después del ciclo","Semana "&amp;(INT(($D51-InicioCiclo)/7)+1)))))</f>
        <v/>
      </c>
      <c r="F51" s="61">
        <f>IF($N51="","",IF($P51&gt;0,IF(1&lt;=SemanaActual,INDEX('Cronograma R. Financiero'!$AC$5:$AC$1000,$N51),""),IF(INDEX('Cronograma R. Financiero'!$I$5:$I$1000,$N51)="","",INDEX('Cronograma R. Financiero'!$I$5:$I$1000,$N51))))</f>
        <v/>
      </c>
      <c r="G51" s="61">
        <f>IF($N51="","",IF($P51&gt;0,IF(2&lt;=SemanaActual,INDEX('Cronograma R. Financiero'!$AD$5:$AD$1000,$N51),""),IF(INDEX('Cronograma R. Financiero'!$J$5:$J$1000,$N51)="","",INDEX('Cronograma R. Financiero'!$J$5:$J$1000,$N51))))</f>
        <v/>
      </c>
      <c r="H51" s="61">
        <f>IF($N51="","",IF($P51&gt;0,IF(3&lt;=SemanaActual,INDEX('Cronograma R. Financiero'!$AE$5:$AE$1000,$N51),""),IF(INDEX('Cronograma R. Financiero'!$K$5:$K$1000,$N51)="","",INDEX('Cronograma R. Financiero'!$K$5:$K$1000,$N51))))</f>
        <v/>
      </c>
      <c r="I51" s="61">
        <f>IF($N51="","",IF($P51&gt;0,IF(4&lt;=SemanaActual,INDEX('Cronograma R. Financiero'!$AF$5:$AF$1000,$N51),""),IF(INDEX('Cronograma R. Financiero'!$L$5:$L$1000,$N51)="","",INDEX('Cronograma R. Financiero'!$L$5:$L$1000,$N51))))</f>
        <v/>
      </c>
      <c r="J51" s="61">
        <f>IF($N51="","",INDEX('Cronograma R. Financiero'!$M$5:$M$1000,$N51))</f>
        <v/>
      </c>
      <c r="K51" s="56">
        <f>IF($N51="","",IF(N($J51)&gt;=1,"Completado",IF(AND(ISNUMBER($D51),$D51&lt;FechaRef),"Vencida",IF(N($J51)&gt;0,"En curso","Pendiente"))))</f>
        <v/>
      </c>
      <c r="L51" s="56">
        <f>IF($N51="","",INDEX('Cronograma R. Financiero'!$O$5:$O$1000,$N51)&amp;"")</f>
        <v/>
      </c>
      <c r="M51" s="62">
        <f>IF($N51="","",INDEX('Cronograma R. Financiero'!$Q$5:$Q$1000,$N51)&amp;"")</f>
        <v/>
      </c>
      <c r="N51">
        <f>IFERROR(MATCH(ROW()-4,rOrden_RF,0),"")</f>
        <v/>
      </c>
      <c r="O51">
        <f>IF($N51="","",INDEX('Cronograma R. Financiero'!$V$5:$V$1000,$N51))</f>
        <v/>
      </c>
      <c r="P51">
        <f>IF($N51="","",N(INDEX('Cronograma R. Financiero'!$W$5:$W$1000,$N51)))</f>
        <v/>
      </c>
      <c r="Q51">
        <f>IF(OR(LEFT($L51,7)="Vencida",LEFT($L51,5)="Vence"),SUMPRODUCT(--(LEFT($L$5:$L51,7)="Vencida"))+SUMPRODUCT(--(LEFT($L$5:$L51,5)="Vence")),"")</f>
        <v/>
      </c>
    </row>
    <row r="52">
      <c r="A52" s="56">
        <f>IF($N52="","",INDEX('Cronograma R. Financiero'!$A$5:$A$1000,$N52))</f>
        <v/>
      </c>
      <c r="B52" s="62">
        <f>IF($N52="","",IF($O52="Sub","      ↳  "&amp;INDEX('Cronograma R. Financiero'!$C$5:$C$1000,$N52),INDEX('Cronograma R. Financiero'!$C$5:$C$1000,$N52)&amp;""))</f>
        <v/>
      </c>
      <c r="C52" s="79">
        <f>IF($N52="","",IF(INDEX('Cronograma R. Financiero'!$AM$5:$AM$1000,$N52)="","",INDEX('Cronograma R. Financiero'!$AM$5:$AM$1000,$N52)))</f>
        <v/>
      </c>
      <c r="D52" s="79">
        <f>IF($N52="","",IF(INDEX('Cronograma R. Financiero'!$AN$5:$AN$1000,$N52)="","",INDEX('Cronograma R. Financiero'!$AN$5:$AN$1000,$N52)))</f>
        <v/>
      </c>
      <c r="E52" s="56">
        <f>IF($N52="","",IF(NOT(ISNUMBER($D52)),"",IF($D52&lt;InicioCiclo,"Antes del ciclo",IF($D52&gt;=InicioCiclo+28,"Después del ciclo","Semana "&amp;(INT(($D52-InicioCiclo)/7)+1)))))</f>
        <v/>
      </c>
      <c r="F52" s="61">
        <f>IF($N52="","",IF($P52&gt;0,IF(1&lt;=SemanaActual,INDEX('Cronograma R. Financiero'!$AC$5:$AC$1000,$N52),""),IF(INDEX('Cronograma R. Financiero'!$I$5:$I$1000,$N52)="","",INDEX('Cronograma R. Financiero'!$I$5:$I$1000,$N52))))</f>
        <v/>
      </c>
      <c r="G52" s="61">
        <f>IF($N52="","",IF($P52&gt;0,IF(2&lt;=SemanaActual,INDEX('Cronograma R. Financiero'!$AD$5:$AD$1000,$N52),""),IF(INDEX('Cronograma R. Financiero'!$J$5:$J$1000,$N52)="","",INDEX('Cronograma R. Financiero'!$J$5:$J$1000,$N52))))</f>
        <v/>
      </c>
      <c r="H52" s="61">
        <f>IF($N52="","",IF($P52&gt;0,IF(3&lt;=SemanaActual,INDEX('Cronograma R. Financiero'!$AE$5:$AE$1000,$N52),""),IF(INDEX('Cronograma R. Financiero'!$K$5:$K$1000,$N52)="","",INDEX('Cronograma R. Financiero'!$K$5:$K$1000,$N52))))</f>
        <v/>
      </c>
      <c r="I52" s="61">
        <f>IF($N52="","",IF($P52&gt;0,IF(4&lt;=SemanaActual,INDEX('Cronograma R. Financiero'!$AF$5:$AF$1000,$N52),""),IF(INDEX('Cronograma R. Financiero'!$L$5:$L$1000,$N52)="","",INDEX('Cronograma R. Financiero'!$L$5:$L$1000,$N52))))</f>
        <v/>
      </c>
      <c r="J52" s="61">
        <f>IF($N52="","",INDEX('Cronograma R. Financiero'!$M$5:$M$1000,$N52))</f>
        <v/>
      </c>
      <c r="K52" s="56">
        <f>IF($N52="","",IF(N($J52)&gt;=1,"Completado",IF(AND(ISNUMBER($D52),$D52&lt;FechaRef),"Vencida",IF(N($J52)&gt;0,"En curso","Pendiente"))))</f>
        <v/>
      </c>
      <c r="L52" s="56">
        <f>IF($N52="","",INDEX('Cronograma R. Financiero'!$O$5:$O$1000,$N52)&amp;"")</f>
        <v/>
      </c>
      <c r="M52" s="62">
        <f>IF($N52="","",INDEX('Cronograma R. Financiero'!$Q$5:$Q$1000,$N52)&amp;"")</f>
        <v/>
      </c>
      <c r="N52">
        <f>IFERROR(MATCH(ROW()-4,rOrden_RF,0),"")</f>
        <v/>
      </c>
      <c r="O52">
        <f>IF($N52="","",INDEX('Cronograma R. Financiero'!$V$5:$V$1000,$N52))</f>
        <v/>
      </c>
      <c r="P52">
        <f>IF($N52="","",N(INDEX('Cronograma R. Financiero'!$W$5:$W$1000,$N52)))</f>
        <v/>
      </c>
      <c r="Q52">
        <f>IF(OR(LEFT($L52,7)="Vencida",LEFT($L52,5)="Vence"),SUMPRODUCT(--(LEFT($L$5:$L52,7)="Vencida"))+SUMPRODUCT(--(LEFT($L$5:$L52,5)="Vence")),"")</f>
        <v/>
      </c>
    </row>
    <row r="53">
      <c r="A53" s="56">
        <f>IF($N53="","",INDEX('Cronograma R. Financiero'!$A$5:$A$1000,$N53))</f>
        <v/>
      </c>
      <c r="B53" s="62">
        <f>IF($N53="","",IF($O53="Sub","      ↳  "&amp;INDEX('Cronograma R. Financiero'!$C$5:$C$1000,$N53),INDEX('Cronograma R. Financiero'!$C$5:$C$1000,$N53)&amp;""))</f>
        <v/>
      </c>
      <c r="C53" s="79">
        <f>IF($N53="","",IF(INDEX('Cronograma R. Financiero'!$AM$5:$AM$1000,$N53)="","",INDEX('Cronograma R. Financiero'!$AM$5:$AM$1000,$N53)))</f>
        <v/>
      </c>
      <c r="D53" s="79">
        <f>IF($N53="","",IF(INDEX('Cronograma R. Financiero'!$AN$5:$AN$1000,$N53)="","",INDEX('Cronograma R. Financiero'!$AN$5:$AN$1000,$N53)))</f>
        <v/>
      </c>
      <c r="E53" s="56">
        <f>IF($N53="","",IF(NOT(ISNUMBER($D53)),"",IF($D53&lt;InicioCiclo,"Antes del ciclo",IF($D53&gt;=InicioCiclo+28,"Después del ciclo","Semana "&amp;(INT(($D53-InicioCiclo)/7)+1)))))</f>
        <v/>
      </c>
      <c r="F53" s="61">
        <f>IF($N53="","",IF($P53&gt;0,IF(1&lt;=SemanaActual,INDEX('Cronograma R. Financiero'!$AC$5:$AC$1000,$N53),""),IF(INDEX('Cronograma R. Financiero'!$I$5:$I$1000,$N53)="","",INDEX('Cronograma R. Financiero'!$I$5:$I$1000,$N53))))</f>
        <v/>
      </c>
      <c r="G53" s="61">
        <f>IF($N53="","",IF($P53&gt;0,IF(2&lt;=SemanaActual,INDEX('Cronograma R. Financiero'!$AD$5:$AD$1000,$N53),""),IF(INDEX('Cronograma R. Financiero'!$J$5:$J$1000,$N53)="","",INDEX('Cronograma R. Financiero'!$J$5:$J$1000,$N53))))</f>
        <v/>
      </c>
      <c r="H53" s="61">
        <f>IF($N53="","",IF($P53&gt;0,IF(3&lt;=SemanaActual,INDEX('Cronograma R. Financiero'!$AE$5:$AE$1000,$N53),""),IF(INDEX('Cronograma R. Financiero'!$K$5:$K$1000,$N53)="","",INDEX('Cronograma R. Financiero'!$K$5:$K$1000,$N53))))</f>
        <v/>
      </c>
      <c r="I53" s="61">
        <f>IF($N53="","",IF($P53&gt;0,IF(4&lt;=SemanaActual,INDEX('Cronograma R. Financiero'!$AF$5:$AF$1000,$N53),""),IF(INDEX('Cronograma R. Financiero'!$L$5:$L$1000,$N53)="","",INDEX('Cronograma R. Financiero'!$L$5:$L$1000,$N53))))</f>
        <v/>
      </c>
      <c r="J53" s="61">
        <f>IF($N53="","",INDEX('Cronograma R. Financiero'!$M$5:$M$1000,$N53))</f>
        <v/>
      </c>
      <c r="K53" s="56">
        <f>IF($N53="","",IF(N($J53)&gt;=1,"Completado",IF(AND(ISNUMBER($D53),$D53&lt;FechaRef),"Vencida",IF(N($J53)&gt;0,"En curso","Pendiente"))))</f>
        <v/>
      </c>
      <c r="L53" s="56">
        <f>IF($N53="","",INDEX('Cronograma R. Financiero'!$O$5:$O$1000,$N53)&amp;"")</f>
        <v/>
      </c>
      <c r="M53" s="62">
        <f>IF($N53="","",INDEX('Cronograma R. Financiero'!$Q$5:$Q$1000,$N53)&amp;"")</f>
        <v/>
      </c>
      <c r="N53">
        <f>IFERROR(MATCH(ROW()-4,rOrden_RF,0),"")</f>
        <v/>
      </c>
      <c r="O53">
        <f>IF($N53="","",INDEX('Cronograma R. Financiero'!$V$5:$V$1000,$N53))</f>
        <v/>
      </c>
      <c r="P53">
        <f>IF($N53="","",N(INDEX('Cronograma R. Financiero'!$W$5:$W$1000,$N53)))</f>
        <v/>
      </c>
      <c r="Q53">
        <f>IF(OR(LEFT($L53,7)="Vencida",LEFT($L53,5)="Vence"),SUMPRODUCT(--(LEFT($L$5:$L53,7)="Vencida"))+SUMPRODUCT(--(LEFT($L$5:$L53,5)="Vence")),"")</f>
        <v/>
      </c>
    </row>
    <row r="54">
      <c r="A54" s="56">
        <f>IF($N54="","",INDEX('Cronograma R. Financiero'!$A$5:$A$1000,$N54))</f>
        <v/>
      </c>
      <c r="B54" s="62">
        <f>IF($N54="","",IF($O54="Sub","      ↳  "&amp;INDEX('Cronograma R. Financiero'!$C$5:$C$1000,$N54),INDEX('Cronograma R. Financiero'!$C$5:$C$1000,$N54)&amp;""))</f>
        <v/>
      </c>
      <c r="C54" s="79">
        <f>IF($N54="","",IF(INDEX('Cronograma R. Financiero'!$AM$5:$AM$1000,$N54)="","",INDEX('Cronograma R. Financiero'!$AM$5:$AM$1000,$N54)))</f>
        <v/>
      </c>
      <c r="D54" s="79">
        <f>IF($N54="","",IF(INDEX('Cronograma R. Financiero'!$AN$5:$AN$1000,$N54)="","",INDEX('Cronograma R. Financiero'!$AN$5:$AN$1000,$N54)))</f>
        <v/>
      </c>
      <c r="E54" s="56">
        <f>IF($N54="","",IF(NOT(ISNUMBER($D54)),"",IF($D54&lt;InicioCiclo,"Antes del ciclo",IF($D54&gt;=InicioCiclo+28,"Después del ciclo","Semana "&amp;(INT(($D54-InicioCiclo)/7)+1)))))</f>
        <v/>
      </c>
      <c r="F54" s="61">
        <f>IF($N54="","",IF($P54&gt;0,IF(1&lt;=SemanaActual,INDEX('Cronograma R. Financiero'!$AC$5:$AC$1000,$N54),""),IF(INDEX('Cronograma R. Financiero'!$I$5:$I$1000,$N54)="","",INDEX('Cronograma R. Financiero'!$I$5:$I$1000,$N54))))</f>
        <v/>
      </c>
      <c r="G54" s="61">
        <f>IF($N54="","",IF($P54&gt;0,IF(2&lt;=SemanaActual,INDEX('Cronograma R. Financiero'!$AD$5:$AD$1000,$N54),""),IF(INDEX('Cronograma R. Financiero'!$J$5:$J$1000,$N54)="","",INDEX('Cronograma R. Financiero'!$J$5:$J$1000,$N54))))</f>
        <v/>
      </c>
      <c r="H54" s="61">
        <f>IF($N54="","",IF($P54&gt;0,IF(3&lt;=SemanaActual,INDEX('Cronograma R. Financiero'!$AE$5:$AE$1000,$N54),""),IF(INDEX('Cronograma R. Financiero'!$K$5:$K$1000,$N54)="","",INDEX('Cronograma R. Financiero'!$K$5:$K$1000,$N54))))</f>
        <v/>
      </c>
      <c r="I54" s="61">
        <f>IF($N54="","",IF($P54&gt;0,IF(4&lt;=SemanaActual,INDEX('Cronograma R. Financiero'!$AF$5:$AF$1000,$N54),""),IF(INDEX('Cronograma R. Financiero'!$L$5:$L$1000,$N54)="","",INDEX('Cronograma R. Financiero'!$L$5:$L$1000,$N54))))</f>
        <v/>
      </c>
      <c r="J54" s="61">
        <f>IF($N54="","",INDEX('Cronograma R. Financiero'!$M$5:$M$1000,$N54))</f>
        <v/>
      </c>
      <c r="K54" s="56">
        <f>IF($N54="","",IF(N($J54)&gt;=1,"Completado",IF(AND(ISNUMBER($D54),$D54&lt;FechaRef),"Vencida",IF(N($J54)&gt;0,"En curso","Pendiente"))))</f>
        <v/>
      </c>
      <c r="L54" s="56">
        <f>IF($N54="","",INDEX('Cronograma R. Financiero'!$O$5:$O$1000,$N54)&amp;"")</f>
        <v/>
      </c>
      <c r="M54" s="62">
        <f>IF($N54="","",INDEX('Cronograma R. Financiero'!$Q$5:$Q$1000,$N54)&amp;"")</f>
        <v/>
      </c>
      <c r="N54">
        <f>IFERROR(MATCH(ROW()-4,rOrden_RF,0),"")</f>
        <v/>
      </c>
      <c r="O54">
        <f>IF($N54="","",INDEX('Cronograma R. Financiero'!$V$5:$V$1000,$N54))</f>
        <v/>
      </c>
      <c r="P54">
        <f>IF($N54="","",N(INDEX('Cronograma R. Financiero'!$W$5:$W$1000,$N54)))</f>
        <v/>
      </c>
      <c r="Q54">
        <f>IF(OR(LEFT($L54,7)="Vencida",LEFT($L54,5)="Vence"),SUMPRODUCT(--(LEFT($L$5:$L54,7)="Vencida"))+SUMPRODUCT(--(LEFT($L$5:$L54,5)="Vence")),"")</f>
        <v/>
      </c>
    </row>
    <row r="55">
      <c r="A55" s="56">
        <f>IF($N55="","",INDEX('Cronograma R. Financiero'!$A$5:$A$1000,$N55))</f>
        <v/>
      </c>
      <c r="B55" s="62">
        <f>IF($N55="","",IF($O55="Sub","      ↳  "&amp;INDEX('Cronograma R. Financiero'!$C$5:$C$1000,$N55),INDEX('Cronograma R. Financiero'!$C$5:$C$1000,$N55)&amp;""))</f>
        <v/>
      </c>
      <c r="C55" s="79">
        <f>IF($N55="","",IF(INDEX('Cronograma R. Financiero'!$AM$5:$AM$1000,$N55)="","",INDEX('Cronograma R. Financiero'!$AM$5:$AM$1000,$N55)))</f>
        <v/>
      </c>
      <c r="D55" s="79">
        <f>IF($N55="","",IF(INDEX('Cronograma R. Financiero'!$AN$5:$AN$1000,$N55)="","",INDEX('Cronograma R. Financiero'!$AN$5:$AN$1000,$N55)))</f>
        <v/>
      </c>
      <c r="E55" s="56">
        <f>IF($N55="","",IF(NOT(ISNUMBER($D55)),"",IF($D55&lt;InicioCiclo,"Antes del ciclo",IF($D55&gt;=InicioCiclo+28,"Después del ciclo","Semana "&amp;(INT(($D55-InicioCiclo)/7)+1)))))</f>
        <v/>
      </c>
      <c r="F55" s="61">
        <f>IF($N55="","",IF($P55&gt;0,IF(1&lt;=SemanaActual,INDEX('Cronograma R. Financiero'!$AC$5:$AC$1000,$N55),""),IF(INDEX('Cronograma R. Financiero'!$I$5:$I$1000,$N55)="","",INDEX('Cronograma R. Financiero'!$I$5:$I$1000,$N55))))</f>
        <v/>
      </c>
      <c r="G55" s="61">
        <f>IF($N55="","",IF($P55&gt;0,IF(2&lt;=SemanaActual,INDEX('Cronograma R. Financiero'!$AD$5:$AD$1000,$N55),""),IF(INDEX('Cronograma R. Financiero'!$J$5:$J$1000,$N55)="","",INDEX('Cronograma R. Financiero'!$J$5:$J$1000,$N55))))</f>
        <v/>
      </c>
      <c r="H55" s="61">
        <f>IF($N55="","",IF($P55&gt;0,IF(3&lt;=SemanaActual,INDEX('Cronograma R. Financiero'!$AE$5:$AE$1000,$N55),""),IF(INDEX('Cronograma R. Financiero'!$K$5:$K$1000,$N55)="","",INDEX('Cronograma R. Financiero'!$K$5:$K$1000,$N55))))</f>
        <v/>
      </c>
      <c r="I55" s="61">
        <f>IF($N55="","",IF($P55&gt;0,IF(4&lt;=SemanaActual,INDEX('Cronograma R. Financiero'!$AF$5:$AF$1000,$N55),""),IF(INDEX('Cronograma R. Financiero'!$L$5:$L$1000,$N55)="","",INDEX('Cronograma R. Financiero'!$L$5:$L$1000,$N55))))</f>
        <v/>
      </c>
      <c r="J55" s="61">
        <f>IF($N55="","",INDEX('Cronograma R. Financiero'!$M$5:$M$1000,$N55))</f>
        <v/>
      </c>
      <c r="K55" s="56">
        <f>IF($N55="","",IF(N($J55)&gt;=1,"Completado",IF(AND(ISNUMBER($D55),$D55&lt;FechaRef),"Vencida",IF(N($J55)&gt;0,"En curso","Pendiente"))))</f>
        <v/>
      </c>
      <c r="L55" s="56">
        <f>IF($N55="","",INDEX('Cronograma R. Financiero'!$O$5:$O$1000,$N55)&amp;"")</f>
        <v/>
      </c>
      <c r="M55" s="62">
        <f>IF($N55="","",INDEX('Cronograma R. Financiero'!$Q$5:$Q$1000,$N55)&amp;"")</f>
        <v/>
      </c>
      <c r="N55">
        <f>IFERROR(MATCH(ROW()-4,rOrden_RF,0),"")</f>
        <v/>
      </c>
      <c r="O55">
        <f>IF($N55="","",INDEX('Cronograma R. Financiero'!$V$5:$V$1000,$N55))</f>
        <v/>
      </c>
      <c r="P55">
        <f>IF($N55="","",N(INDEX('Cronograma R. Financiero'!$W$5:$W$1000,$N55)))</f>
        <v/>
      </c>
      <c r="Q55">
        <f>IF(OR(LEFT($L55,7)="Vencida",LEFT($L55,5)="Vence"),SUMPRODUCT(--(LEFT($L$5:$L55,7)="Vencida"))+SUMPRODUCT(--(LEFT($L$5:$L55,5)="Vence")),"")</f>
        <v/>
      </c>
    </row>
    <row r="56">
      <c r="A56" s="56">
        <f>IF($N56="","",INDEX('Cronograma R. Financiero'!$A$5:$A$1000,$N56))</f>
        <v/>
      </c>
      <c r="B56" s="62">
        <f>IF($N56="","",IF($O56="Sub","      ↳  "&amp;INDEX('Cronograma R. Financiero'!$C$5:$C$1000,$N56),INDEX('Cronograma R. Financiero'!$C$5:$C$1000,$N56)&amp;""))</f>
        <v/>
      </c>
      <c r="C56" s="79">
        <f>IF($N56="","",IF(INDEX('Cronograma R. Financiero'!$AM$5:$AM$1000,$N56)="","",INDEX('Cronograma R. Financiero'!$AM$5:$AM$1000,$N56)))</f>
        <v/>
      </c>
      <c r="D56" s="79">
        <f>IF($N56="","",IF(INDEX('Cronograma R. Financiero'!$AN$5:$AN$1000,$N56)="","",INDEX('Cronograma R. Financiero'!$AN$5:$AN$1000,$N56)))</f>
        <v/>
      </c>
      <c r="E56" s="56">
        <f>IF($N56="","",IF(NOT(ISNUMBER($D56)),"",IF($D56&lt;InicioCiclo,"Antes del ciclo",IF($D56&gt;=InicioCiclo+28,"Después del ciclo","Semana "&amp;(INT(($D56-InicioCiclo)/7)+1)))))</f>
        <v/>
      </c>
      <c r="F56" s="61">
        <f>IF($N56="","",IF($P56&gt;0,IF(1&lt;=SemanaActual,INDEX('Cronograma R. Financiero'!$AC$5:$AC$1000,$N56),""),IF(INDEX('Cronograma R. Financiero'!$I$5:$I$1000,$N56)="","",INDEX('Cronograma R. Financiero'!$I$5:$I$1000,$N56))))</f>
        <v/>
      </c>
      <c r="G56" s="61">
        <f>IF($N56="","",IF($P56&gt;0,IF(2&lt;=SemanaActual,INDEX('Cronograma R. Financiero'!$AD$5:$AD$1000,$N56),""),IF(INDEX('Cronograma R. Financiero'!$J$5:$J$1000,$N56)="","",INDEX('Cronograma R. Financiero'!$J$5:$J$1000,$N56))))</f>
        <v/>
      </c>
      <c r="H56" s="61">
        <f>IF($N56="","",IF($P56&gt;0,IF(3&lt;=SemanaActual,INDEX('Cronograma R. Financiero'!$AE$5:$AE$1000,$N56),""),IF(INDEX('Cronograma R. Financiero'!$K$5:$K$1000,$N56)="","",INDEX('Cronograma R. Financiero'!$K$5:$K$1000,$N56))))</f>
        <v/>
      </c>
      <c r="I56" s="61">
        <f>IF($N56="","",IF($P56&gt;0,IF(4&lt;=SemanaActual,INDEX('Cronograma R. Financiero'!$AF$5:$AF$1000,$N56),""),IF(INDEX('Cronograma R. Financiero'!$L$5:$L$1000,$N56)="","",INDEX('Cronograma R. Financiero'!$L$5:$L$1000,$N56))))</f>
        <v/>
      </c>
      <c r="J56" s="61">
        <f>IF($N56="","",INDEX('Cronograma R. Financiero'!$M$5:$M$1000,$N56))</f>
        <v/>
      </c>
      <c r="K56" s="56">
        <f>IF($N56="","",IF(N($J56)&gt;=1,"Completado",IF(AND(ISNUMBER($D56),$D56&lt;FechaRef),"Vencida",IF(N($J56)&gt;0,"En curso","Pendiente"))))</f>
        <v/>
      </c>
      <c r="L56" s="56">
        <f>IF($N56="","",INDEX('Cronograma R. Financiero'!$O$5:$O$1000,$N56)&amp;"")</f>
        <v/>
      </c>
      <c r="M56" s="62">
        <f>IF($N56="","",INDEX('Cronograma R. Financiero'!$Q$5:$Q$1000,$N56)&amp;"")</f>
        <v/>
      </c>
      <c r="N56">
        <f>IFERROR(MATCH(ROW()-4,rOrden_RF,0),"")</f>
        <v/>
      </c>
      <c r="O56">
        <f>IF($N56="","",INDEX('Cronograma R. Financiero'!$V$5:$V$1000,$N56))</f>
        <v/>
      </c>
      <c r="P56">
        <f>IF($N56="","",N(INDEX('Cronograma R. Financiero'!$W$5:$W$1000,$N56)))</f>
        <v/>
      </c>
      <c r="Q56">
        <f>IF(OR(LEFT($L56,7)="Vencida",LEFT($L56,5)="Vence"),SUMPRODUCT(--(LEFT($L$5:$L56,7)="Vencida"))+SUMPRODUCT(--(LEFT($L$5:$L56,5)="Vence")),"")</f>
        <v/>
      </c>
    </row>
    <row r="57">
      <c r="A57" s="56">
        <f>IF($N57="","",INDEX('Cronograma R. Financiero'!$A$5:$A$1000,$N57))</f>
        <v/>
      </c>
      <c r="B57" s="62">
        <f>IF($N57="","",IF($O57="Sub","      ↳  "&amp;INDEX('Cronograma R. Financiero'!$C$5:$C$1000,$N57),INDEX('Cronograma R. Financiero'!$C$5:$C$1000,$N57)&amp;""))</f>
        <v/>
      </c>
      <c r="C57" s="79">
        <f>IF($N57="","",IF(INDEX('Cronograma R. Financiero'!$AM$5:$AM$1000,$N57)="","",INDEX('Cronograma R. Financiero'!$AM$5:$AM$1000,$N57)))</f>
        <v/>
      </c>
      <c r="D57" s="79">
        <f>IF($N57="","",IF(INDEX('Cronograma R. Financiero'!$AN$5:$AN$1000,$N57)="","",INDEX('Cronograma R. Financiero'!$AN$5:$AN$1000,$N57)))</f>
        <v/>
      </c>
      <c r="E57" s="56">
        <f>IF($N57="","",IF(NOT(ISNUMBER($D57)),"",IF($D57&lt;InicioCiclo,"Antes del ciclo",IF($D57&gt;=InicioCiclo+28,"Después del ciclo","Semana "&amp;(INT(($D57-InicioCiclo)/7)+1)))))</f>
        <v/>
      </c>
      <c r="F57" s="61">
        <f>IF($N57="","",IF($P57&gt;0,IF(1&lt;=SemanaActual,INDEX('Cronograma R. Financiero'!$AC$5:$AC$1000,$N57),""),IF(INDEX('Cronograma R. Financiero'!$I$5:$I$1000,$N57)="","",INDEX('Cronograma R. Financiero'!$I$5:$I$1000,$N57))))</f>
        <v/>
      </c>
      <c r="G57" s="61">
        <f>IF($N57="","",IF($P57&gt;0,IF(2&lt;=SemanaActual,INDEX('Cronograma R. Financiero'!$AD$5:$AD$1000,$N57),""),IF(INDEX('Cronograma R. Financiero'!$J$5:$J$1000,$N57)="","",INDEX('Cronograma R. Financiero'!$J$5:$J$1000,$N57))))</f>
        <v/>
      </c>
      <c r="H57" s="61">
        <f>IF($N57="","",IF($P57&gt;0,IF(3&lt;=SemanaActual,INDEX('Cronograma R. Financiero'!$AE$5:$AE$1000,$N57),""),IF(INDEX('Cronograma R. Financiero'!$K$5:$K$1000,$N57)="","",INDEX('Cronograma R. Financiero'!$K$5:$K$1000,$N57))))</f>
        <v/>
      </c>
      <c r="I57" s="61">
        <f>IF($N57="","",IF($P57&gt;0,IF(4&lt;=SemanaActual,INDEX('Cronograma R. Financiero'!$AF$5:$AF$1000,$N57),""),IF(INDEX('Cronograma R. Financiero'!$L$5:$L$1000,$N57)="","",INDEX('Cronograma R. Financiero'!$L$5:$L$1000,$N57))))</f>
        <v/>
      </c>
      <c r="J57" s="61">
        <f>IF($N57="","",INDEX('Cronograma R. Financiero'!$M$5:$M$1000,$N57))</f>
        <v/>
      </c>
      <c r="K57" s="56">
        <f>IF($N57="","",IF(N($J57)&gt;=1,"Completado",IF(AND(ISNUMBER($D57),$D57&lt;FechaRef),"Vencida",IF(N($J57)&gt;0,"En curso","Pendiente"))))</f>
        <v/>
      </c>
      <c r="L57" s="56">
        <f>IF($N57="","",INDEX('Cronograma R. Financiero'!$O$5:$O$1000,$N57)&amp;"")</f>
        <v/>
      </c>
      <c r="M57" s="62">
        <f>IF($N57="","",INDEX('Cronograma R. Financiero'!$Q$5:$Q$1000,$N57)&amp;"")</f>
        <v/>
      </c>
      <c r="N57">
        <f>IFERROR(MATCH(ROW()-4,rOrden_RF,0),"")</f>
        <v/>
      </c>
      <c r="O57">
        <f>IF($N57="","",INDEX('Cronograma R. Financiero'!$V$5:$V$1000,$N57))</f>
        <v/>
      </c>
      <c r="P57">
        <f>IF($N57="","",N(INDEX('Cronograma R. Financiero'!$W$5:$W$1000,$N57)))</f>
        <v/>
      </c>
      <c r="Q57">
        <f>IF(OR(LEFT($L57,7)="Vencida",LEFT($L57,5)="Vence"),SUMPRODUCT(--(LEFT($L$5:$L57,7)="Vencida"))+SUMPRODUCT(--(LEFT($L$5:$L57,5)="Vence")),"")</f>
        <v/>
      </c>
    </row>
    <row r="58">
      <c r="A58" s="56">
        <f>IF($N58="","",INDEX('Cronograma R. Financiero'!$A$5:$A$1000,$N58))</f>
        <v/>
      </c>
      <c r="B58" s="62">
        <f>IF($N58="","",IF($O58="Sub","      ↳  "&amp;INDEX('Cronograma R. Financiero'!$C$5:$C$1000,$N58),INDEX('Cronograma R. Financiero'!$C$5:$C$1000,$N58)&amp;""))</f>
        <v/>
      </c>
      <c r="C58" s="79">
        <f>IF($N58="","",IF(INDEX('Cronograma R. Financiero'!$AM$5:$AM$1000,$N58)="","",INDEX('Cronograma R. Financiero'!$AM$5:$AM$1000,$N58)))</f>
        <v/>
      </c>
      <c r="D58" s="79">
        <f>IF($N58="","",IF(INDEX('Cronograma R. Financiero'!$AN$5:$AN$1000,$N58)="","",INDEX('Cronograma R. Financiero'!$AN$5:$AN$1000,$N58)))</f>
        <v/>
      </c>
      <c r="E58" s="56">
        <f>IF($N58="","",IF(NOT(ISNUMBER($D58)),"",IF($D58&lt;InicioCiclo,"Antes del ciclo",IF($D58&gt;=InicioCiclo+28,"Después del ciclo","Semana "&amp;(INT(($D58-InicioCiclo)/7)+1)))))</f>
        <v/>
      </c>
      <c r="F58" s="61">
        <f>IF($N58="","",IF($P58&gt;0,IF(1&lt;=SemanaActual,INDEX('Cronograma R. Financiero'!$AC$5:$AC$1000,$N58),""),IF(INDEX('Cronograma R. Financiero'!$I$5:$I$1000,$N58)="","",INDEX('Cronograma R. Financiero'!$I$5:$I$1000,$N58))))</f>
        <v/>
      </c>
      <c r="G58" s="61">
        <f>IF($N58="","",IF($P58&gt;0,IF(2&lt;=SemanaActual,INDEX('Cronograma R. Financiero'!$AD$5:$AD$1000,$N58),""),IF(INDEX('Cronograma R. Financiero'!$J$5:$J$1000,$N58)="","",INDEX('Cronograma R. Financiero'!$J$5:$J$1000,$N58))))</f>
        <v/>
      </c>
      <c r="H58" s="61">
        <f>IF($N58="","",IF($P58&gt;0,IF(3&lt;=SemanaActual,INDEX('Cronograma R. Financiero'!$AE$5:$AE$1000,$N58),""),IF(INDEX('Cronograma R. Financiero'!$K$5:$K$1000,$N58)="","",INDEX('Cronograma R. Financiero'!$K$5:$K$1000,$N58))))</f>
        <v/>
      </c>
      <c r="I58" s="61">
        <f>IF($N58="","",IF($P58&gt;0,IF(4&lt;=SemanaActual,INDEX('Cronograma R. Financiero'!$AF$5:$AF$1000,$N58),""),IF(INDEX('Cronograma R. Financiero'!$L$5:$L$1000,$N58)="","",INDEX('Cronograma R. Financiero'!$L$5:$L$1000,$N58))))</f>
        <v/>
      </c>
      <c r="J58" s="61">
        <f>IF($N58="","",INDEX('Cronograma R. Financiero'!$M$5:$M$1000,$N58))</f>
        <v/>
      </c>
      <c r="K58" s="56">
        <f>IF($N58="","",IF(N($J58)&gt;=1,"Completado",IF(AND(ISNUMBER($D58),$D58&lt;FechaRef),"Vencida",IF(N($J58)&gt;0,"En curso","Pendiente"))))</f>
        <v/>
      </c>
      <c r="L58" s="56">
        <f>IF($N58="","",INDEX('Cronograma R. Financiero'!$O$5:$O$1000,$N58)&amp;"")</f>
        <v/>
      </c>
      <c r="M58" s="62">
        <f>IF($N58="","",INDEX('Cronograma R. Financiero'!$Q$5:$Q$1000,$N58)&amp;"")</f>
        <v/>
      </c>
      <c r="N58">
        <f>IFERROR(MATCH(ROW()-4,rOrden_RF,0),"")</f>
        <v/>
      </c>
      <c r="O58">
        <f>IF($N58="","",INDEX('Cronograma R. Financiero'!$V$5:$V$1000,$N58))</f>
        <v/>
      </c>
      <c r="P58">
        <f>IF($N58="","",N(INDEX('Cronograma R. Financiero'!$W$5:$W$1000,$N58)))</f>
        <v/>
      </c>
      <c r="Q58">
        <f>IF(OR(LEFT($L58,7)="Vencida",LEFT($L58,5)="Vence"),SUMPRODUCT(--(LEFT($L$5:$L58,7)="Vencida"))+SUMPRODUCT(--(LEFT($L$5:$L58,5)="Vence")),"")</f>
        <v/>
      </c>
    </row>
    <row r="59">
      <c r="A59" s="56">
        <f>IF($N59="","",INDEX('Cronograma R. Financiero'!$A$5:$A$1000,$N59))</f>
        <v/>
      </c>
      <c r="B59" s="62">
        <f>IF($N59="","",IF($O59="Sub","      ↳  "&amp;INDEX('Cronograma R. Financiero'!$C$5:$C$1000,$N59),INDEX('Cronograma R. Financiero'!$C$5:$C$1000,$N59)&amp;""))</f>
        <v/>
      </c>
      <c r="C59" s="79">
        <f>IF($N59="","",IF(INDEX('Cronograma R. Financiero'!$AM$5:$AM$1000,$N59)="","",INDEX('Cronograma R. Financiero'!$AM$5:$AM$1000,$N59)))</f>
        <v/>
      </c>
      <c r="D59" s="79">
        <f>IF($N59="","",IF(INDEX('Cronograma R. Financiero'!$AN$5:$AN$1000,$N59)="","",INDEX('Cronograma R. Financiero'!$AN$5:$AN$1000,$N59)))</f>
        <v/>
      </c>
      <c r="E59" s="56">
        <f>IF($N59="","",IF(NOT(ISNUMBER($D59)),"",IF($D59&lt;InicioCiclo,"Antes del ciclo",IF($D59&gt;=InicioCiclo+28,"Después del ciclo","Semana "&amp;(INT(($D59-InicioCiclo)/7)+1)))))</f>
        <v/>
      </c>
      <c r="F59" s="61">
        <f>IF($N59="","",IF($P59&gt;0,IF(1&lt;=SemanaActual,INDEX('Cronograma R. Financiero'!$AC$5:$AC$1000,$N59),""),IF(INDEX('Cronograma R. Financiero'!$I$5:$I$1000,$N59)="","",INDEX('Cronograma R. Financiero'!$I$5:$I$1000,$N59))))</f>
        <v/>
      </c>
      <c r="G59" s="61">
        <f>IF($N59="","",IF($P59&gt;0,IF(2&lt;=SemanaActual,INDEX('Cronograma R. Financiero'!$AD$5:$AD$1000,$N59),""),IF(INDEX('Cronograma R. Financiero'!$J$5:$J$1000,$N59)="","",INDEX('Cronograma R. Financiero'!$J$5:$J$1000,$N59))))</f>
        <v/>
      </c>
      <c r="H59" s="61">
        <f>IF($N59="","",IF($P59&gt;0,IF(3&lt;=SemanaActual,INDEX('Cronograma R. Financiero'!$AE$5:$AE$1000,$N59),""),IF(INDEX('Cronograma R. Financiero'!$K$5:$K$1000,$N59)="","",INDEX('Cronograma R. Financiero'!$K$5:$K$1000,$N59))))</f>
        <v/>
      </c>
      <c r="I59" s="61">
        <f>IF($N59="","",IF($P59&gt;0,IF(4&lt;=SemanaActual,INDEX('Cronograma R. Financiero'!$AF$5:$AF$1000,$N59),""),IF(INDEX('Cronograma R. Financiero'!$L$5:$L$1000,$N59)="","",INDEX('Cronograma R. Financiero'!$L$5:$L$1000,$N59))))</f>
        <v/>
      </c>
      <c r="J59" s="61">
        <f>IF($N59="","",INDEX('Cronograma R. Financiero'!$M$5:$M$1000,$N59))</f>
        <v/>
      </c>
      <c r="K59" s="56">
        <f>IF($N59="","",IF(N($J59)&gt;=1,"Completado",IF(AND(ISNUMBER($D59),$D59&lt;FechaRef),"Vencida",IF(N($J59)&gt;0,"En curso","Pendiente"))))</f>
        <v/>
      </c>
      <c r="L59" s="56">
        <f>IF($N59="","",INDEX('Cronograma R. Financiero'!$O$5:$O$1000,$N59)&amp;"")</f>
        <v/>
      </c>
      <c r="M59" s="62">
        <f>IF($N59="","",INDEX('Cronograma R. Financiero'!$Q$5:$Q$1000,$N59)&amp;"")</f>
        <v/>
      </c>
      <c r="N59">
        <f>IFERROR(MATCH(ROW()-4,rOrden_RF,0),"")</f>
        <v/>
      </c>
      <c r="O59">
        <f>IF($N59="","",INDEX('Cronograma R. Financiero'!$V$5:$V$1000,$N59))</f>
        <v/>
      </c>
      <c r="P59">
        <f>IF($N59="","",N(INDEX('Cronograma R. Financiero'!$W$5:$W$1000,$N59)))</f>
        <v/>
      </c>
      <c r="Q59">
        <f>IF(OR(LEFT($L59,7)="Vencida",LEFT($L59,5)="Vence"),SUMPRODUCT(--(LEFT($L$5:$L59,7)="Vencida"))+SUMPRODUCT(--(LEFT($L$5:$L59,5)="Vence")),"")</f>
        <v/>
      </c>
    </row>
    <row r="60">
      <c r="A60" s="56">
        <f>IF($N60="","",INDEX('Cronograma R. Financiero'!$A$5:$A$1000,$N60))</f>
        <v/>
      </c>
      <c r="B60" s="62">
        <f>IF($N60="","",IF($O60="Sub","      ↳  "&amp;INDEX('Cronograma R. Financiero'!$C$5:$C$1000,$N60),INDEX('Cronograma R. Financiero'!$C$5:$C$1000,$N60)&amp;""))</f>
        <v/>
      </c>
      <c r="C60" s="79">
        <f>IF($N60="","",IF(INDEX('Cronograma R. Financiero'!$AM$5:$AM$1000,$N60)="","",INDEX('Cronograma R. Financiero'!$AM$5:$AM$1000,$N60)))</f>
        <v/>
      </c>
      <c r="D60" s="79">
        <f>IF($N60="","",IF(INDEX('Cronograma R. Financiero'!$AN$5:$AN$1000,$N60)="","",INDEX('Cronograma R. Financiero'!$AN$5:$AN$1000,$N60)))</f>
        <v/>
      </c>
      <c r="E60" s="56">
        <f>IF($N60="","",IF(NOT(ISNUMBER($D60)),"",IF($D60&lt;InicioCiclo,"Antes del ciclo",IF($D60&gt;=InicioCiclo+28,"Después del ciclo","Semana "&amp;(INT(($D60-InicioCiclo)/7)+1)))))</f>
        <v/>
      </c>
      <c r="F60" s="61">
        <f>IF($N60="","",IF($P60&gt;0,IF(1&lt;=SemanaActual,INDEX('Cronograma R. Financiero'!$AC$5:$AC$1000,$N60),""),IF(INDEX('Cronograma R. Financiero'!$I$5:$I$1000,$N60)="","",INDEX('Cronograma R. Financiero'!$I$5:$I$1000,$N60))))</f>
        <v/>
      </c>
      <c r="G60" s="61">
        <f>IF($N60="","",IF($P60&gt;0,IF(2&lt;=SemanaActual,INDEX('Cronograma R. Financiero'!$AD$5:$AD$1000,$N60),""),IF(INDEX('Cronograma R. Financiero'!$J$5:$J$1000,$N60)="","",INDEX('Cronograma R. Financiero'!$J$5:$J$1000,$N60))))</f>
        <v/>
      </c>
      <c r="H60" s="61">
        <f>IF($N60="","",IF($P60&gt;0,IF(3&lt;=SemanaActual,INDEX('Cronograma R. Financiero'!$AE$5:$AE$1000,$N60),""),IF(INDEX('Cronograma R. Financiero'!$K$5:$K$1000,$N60)="","",INDEX('Cronograma R. Financiero'!$K$5:$K$1000,$N60))))</f>
        <v/>
      </c>
      <c r="I60" s="61">
        <f>IF($N60="","",IF($P60&gt;0,IF(4&lt;=SemanaActual,INDEX('Cronograma R. Financiero'!$AF$5:$AF$1000,$N60),""),IF(INDEX('Cronograma R. Financiero'!$L$5:$L$1000,$N60)="","",INDEX('Cronograma R. Financiero'!$L$5:$L$1000,$N60))))</f>
        <v/>
      </c>
      <c r="J60" s="61">
        <f>IF($N60="","",INDEX('Cronograma R. Financiero'!$M$5:$M$1000,$N60))</f>
        <v/>
      </c>
      <c r="K60" s="56">
        <f>IF($N60="","",IF(N($J60)&gt;=1,"Completado",IF(AND(ISNUMBER($D60),$D60&lt;FechaRef),"Vencida",IF(N($J60)&gt;0,"En curso","Pendiente"))))</f>
        <v/>
      </c>
      <c r="L60" s="56">
        <f>IF($N60="","",INDEX('Cronograma R. Financiero'!$O$5:$O$1000,$N60)&amp;"")</f>
        <v/>
      </c>
      <c r="M60" s="62">
        <f>IF($N60="","",INDEX('Cronograma R. Financiero'!$Q$5:$Q$1000,$N60)&amp;"")</f>
        <v/>
      </c>
      <c r="N60">
        <f>IFERROR(MATCH(ROW()-4,rOrden_RF,0),"")</f>
        <v/>
      </c>
      <c r="O60">
        <f>IF($N60="","",INDEX('Cronograma R. Financiero'!$V$5:$V$1000,$N60))</f>
        <v/>
      </c>
      <c r="P60">
        <f>IF($N60="","",N(INDEX('Cronograma R. Financiero'!$W$5:$W$1000,$N60)))</f>
        <v/>
      </c>
      <c r="Q60">
        <f>IF(OR(LEFT($L60,7)="Vencida",LEFT($L60,5)="Vence"),SUMPRODUCT(--(LEFT($L$5:$L60,7)="Vencida"))+SUMPRODUCT(--(LEFT($L$5:$L60,5)="Vence")),"")</f>
        <v/>
      </c>
    </row>
    <row r="61">
      <c r="A61" s="56">
        <f>IF($N61="","",INDEX('Cronograma R. Financiero'!$A$5:$A$1000,$N61))</f>
        <v/>
      </c>
      <c r="B61" s="62">
        <f>IF($N61="","",IF($O61="Sub","      ↳  "&amp;INDEX('Cronograma R. Financiero'!$C$5:$C$1000,$N61),INDEX('Cronograma R. Financiero'!$C$5:$C$1000,$N61)&amp;""))</f>
        <v/>
      </c>
      <c r="C61" s="79">
        <f>IF($N61="","",IF(INDEX('Cronograma R. Financiero'!$AM$5:$AM$1000,$N61)="","",INDEX('Cronograma R. Financiero'!$AM$5:$AM$1000,$N61)))</f>
        <v/>
      </c>
      <c r="D61" s="79">
        <f>IF($N61="","",IF(INDEX('Cronograma R. Financiero'!$AN$5:$AN$1000,$N61)="","",INDEX('Cronograma R. Financiero'!$AN$5:$AN$1000,$N61)))</f>
        <v/>
      </c>
      <c r="E61" s="56">
        <f>IF($N61="","",IF(NOT(ISNUMBER($D61)),"",IF($D61&lt;InicioCiclo,"Antes del ciclo",IF($D61&gt;=InicioCiclo+28,"Después del ciclo","Semana "&amp;(INT(($D61-InicioCiclo)/7)+1)))))</f>
        <v/>
      </c>
      <c r="F61" s="61">
        <f>IF($N61="","",IF($P61&gt;0,IF(1&lt;=SemanaActual,INDEX('Cronograma R. Financiero'!$AC$5:$AC$1000,$N61),""),IF(INDEX('Cronograma R. Financiero'!$I$5:$I$1000,$N61)="","",INDEX('Cronograma R. Financiero'!$I$5:$I$1000,$N61))))</f>
        <v/>
      </c>
      <c r="G61" s="61">
        <f>IF($N61="","",IF($P61&gt;0,IF(2&lt;=SemanaActual,INDEX('Cronograma R. Financiero'!$AD$5:$AD$1000,$N61),""),IF(INDEX('Cronograma R. Financiero'!$J$5:$J$1000,$N61)="","",INDEX('Cronograma R. Financiero'!$J$5:$J$1000,$N61))))</f>
        <v/>
      </c>
      <c r="H61" s="61">
        <f>IF($N61="","",IF($P61&gt;0,IF(3&lt;=SemanaActual,INDEX('Cronograma R. Financiero'!$AE$5:$AE$1000,$N61),""),IF(INDEX('Cronograma R. Financiero'!$K$5:$K$1000,$N61)="","",INDEX('Cronograma R. Financiero'!$K$5:$K$1000,$N61))))</f>
        <v/>
      </c>
      <c r="I61" s="61">
        <f>IF($N61="","",IF($P61&gt;0,IF(4&lt;=SemanaActual,INDEX('Cronograma R. Financiero'!$AF$5:$AF$1000,$N61),""),IF(INDEX('Cronograma R. Financiero'!$L$5:$L$1000,$N61)="","",INDEX('Cronograma R. Financiero'!$L$5:$L$1000,$N61))))</f>
        <v/>
      </c>
      <c r="J61" s="61">
        <f>IF($N61="","",INDEX('Cronograma R. Financiero'!$M$5:$M$1000,$N61))</f>
        <v/>
      </c>
      <c r="K61" s="56">
        <f>IF($N61="","",IF(N($J61)&gt;=1,"Completado",IF(AND(ISNUMBER($D61),$D61&lt;FechaRef),"Vencida",IF(N($J61)&gt;0,"En curso","Pendiente"))))</f>
        <v/>
      </c>
      <c r="L61" s="56">
        <f>IF($N61="","",INDEX('Cronograma R. Financiero'!$O$5:$O$1000,$N61)&amp;"")</f>
        <v/>
      </c>
      <c r="M61" s="62">
        <f>IF($N61="","",INDEX('Cronograma R. Financiero'!$Q$5:$Q$1000,$N61)&amp;"")</f>
        <v/>
      </c>
      <c r="N61">
        <f>IFERROR(MATCH(ROW()-4,rOrden_RF,0),"")</f>
        <v/>
      </c>
      <c r="O61">
        <f>IF($N61="","",INDEX('Cronograma R. Financiero'!$V$5:$V$1000,$N61))</f>
        <v/>
      </c>
      <c r="P61">
        <f>IF($N61="","",N(INDEX('Cronograma R. Financiero'!$W$5:$W$1000,$N61)))</f>
        <v/>
      </c>
      <c r="Q61">
        <f>IF(OR(LEFT($L61,7)="Vencida",LEFT($L61,5)="Vence"),SUMPRODUCT(--(LEFT($L$5:$L61,7)="Vencida"))+SUMPRODUCT(--(LEFT($L$5:$L61,5)="Vence")),"")</f>
        <v/>
      </c>
    </row>
    <row r="62">
      <c r="A62" s="56">
        <f>IF($N62="","",INDEX('Cronograma R. Financiero'!$A$5:$A$1000,$N62))</f>
        <v/>
      </c>
      <c r="B62" s="62">
        <f>IF($N62="","",IF($O62="Sub","      ↳  "&amp;INDEX('Cronograma R. Financiero'!$C$5:$C$1000,$N62),INDEX('Cronograma R. Financiero'!$C$5:$C$1000,$N62)&amp;""))</f>
        <v/>
      </c>
      <c r="C62" s="79">
        <f>IF($N62="","",IF(INDEX('Cronograma R. Financiero'!$AM$5:$AM$1000,$N62)="","",INDEX('Cronograma R. Financiero'!$AM$5:$AM$1000,$N62)))</f>
        <v/>
      </c>
      <c r="D62" s="79">
        <f>IF($N62="","",IF(INDEX('Cronograma R. Financiero'!$AN$5:$AN$1000,$N62)="","",INDEX('Cronograma R. Financiero'!$AN$5:$AN$1000,$N62)))</f>
        <v/>
      </c>
      <c r="E62" s="56">
        <f>IF($N62="","",IF(NOT(ISNUMBER($D62)),"",IF($D62&lt;InicioCiclo,"Antes del ciclo",IF($D62&gt;=InicioCiclo+28,"Después del ciclo","Semana "&amp;(INT(($D62-InicioCiclo)/7)+1)))))</f>
        <v/>
      </c>
      <c r="F62" s="61">
        <f>IF($N62="","",IF($P62&gt;0,IF(1&lt;=SemanaActual,INDEX('Cronograma R. Financiero'!$AC$5:$AC$1000,$N62),""),IF(INDEX('Cronograma R. Financiero'!$I$5:$I$1000,$N62)="","",INDEX('Cronograma R. Financiero'!$I$5:$I$1000,$N62))))</f>
        <v/>
      </c>
      <c r="G62" s="61">
        <f>IF($N62="","",IF($P62&gt;0,IF(2&lt;=SemanaActual,INDEX('Cronograma R. Financiero'!$AD$5:$AD$1000,$N62),""),IF(INDEX('Cronograma R. Financiero'!$J$5:$J$1000,$N62)="","",INDEX('Cronograma R. Financiero'!$J$5:$J$1000,$N62))))</f>
        <v/>
      </c>
      <c r="H62" s="61">
        <f>IF($N62="","",IF($P62&gt;0,IF(3&lt;=SemanaActual,INDEX('Cronograma R. Financiero'!$AE$5:$AE$1000,$N62),""),IF(INDEX('Cronograma R. Financiero'!$K$5:$K$1000,$N62)="","",INDEX('Cronograma R. Financiero'!$K$5:$K$1000,$N62))))</f>
        <v/>
      </c>
      <c r="I62" s="61">
        <f>IF($N62="","",IF($P62&gt;0,IF(4&lt;=SemanaActual,INDEX('Cronograma R. Financiero'!$AF$5:$AF$1000,$N62),""),IF(INDEX('Cronograma R. Financiero'!$L$5:$L$1000,$N62)="","",INDEX('Cronograma R. Financiero'!$L$5:$L$1000,$N62))))</f>
        <v/>
      </c>
      <c r="J62" s="61">
        <f>IF($N62="","",INDEX('Cronograma R. Financiero'!$M$5:$M$1000,$N62))</f>
        <v/>
      </c>
      <c r="K62" s="56">
        <f>IF($N62="","",IF(N($J62)&gt;=1,"Completado",IF(AND(ISNUMBER($D62),$D62&lt;FechaRef),"Vencida",IF(N($J62)&gt;0,"En curso","Pendiente"))))</f>
        <v/>
      </c>
      <c r="L62" s="56">
        <f>IF($N62="","",INDEX('Cronograma R. Financiero'!$O$5:$O$1000,$N62)&amp;"")</f>
        <v/>
      </c>
      <c r="M62" s="62">
        <f>IF($N62="","",INDEX('Cronograma R. Financiero'!$Q$5:$Q$1000,$N62)&amp;"")</f>
        <v/>
      </c>
      <c r="N62">
        <f>IFERROR(MATCH(ROW()-4,rOrden_RF,0),"")</f>
        <v/>
      </c>
      <c r="O62">
        <f>IF($N62="","",INDEX('Cronograma R. Financiero'!$V$5:$V$1000,$N62))</f>
        <v/>
      </c>
      <c r="P62">
        <f>IF($N62="","",N(INDEX('Cronograma R. Financiero'!$W$5:$W$1000,$N62)))</f>
        <v/>
      </c>
      <c r="Q62">
        <f>IF(OR(LEFT($L62,7)="Vencida",LEFT($L62,5)="Vence"),SUMPRODUCT(--(LEFT($L$5:$L62,7)="Vencida"))+SUMPRODUCT(--(LEFT($L$5:$L62,5)="Vence")),"")</f>
        <v/>
      </c>
    </row>
    <row r="63">
      <c r="A63" s="56">
        <f>IF($N63="","",INDEX('Cronograma R. Financiero'!$A$5:$A$1000,$N63))</f>
        <v/>
      </c>
      <c r="B63" s="62">
        <f>IF($N63="","",IF($O63="Sub","      ↳  "&amp;INDEX('Cronograma R. Financiero'!$C$5:$C$1000,$N63),INDEX('Cronograma R. Financiero'!$C$5:$C$1000,$N63)&amp;""))</f>
        <v/>
      </c>
      <c r="C63" s="79">
        <f>IF($N63="","",IF(INDEX('Cronograma R. Financiero'!$AM$5:$AM$1000,$N63)="","",INDEX('Cronograma R. Financiero'!$AM$5:$AM$1000,$N63)))</f>
        <v/>
      </c>
      <c r="D63" s="79">
        <f>IF($N63="","",IF(INDEX('Cronograma R. Financiero'!$AN$5:$AN$1000,$N63)="","",INDEX('Cronograma R. Financiero'!$AN$5:$AN$1000,$N63)))</f>
        <v/>
      </c>
      <c r="E63" s="56">
        <f>IF($N63="","",IF(NOT(ISNUMBER($D63)),"",IF($D63&lt;InicioCiclo,"Antes del ciclo",IF($D63&gt;=InicioCiclo+28,"Después del ciclo","Semana "&amp;(INT(($D63-InicioCiclo)/7)+1)))))</f>
        <v/>
      </c>
      <c r="F63" s="61">
        <f>IF($N63="","",IF($P63&gt;0,IF(1&lt;=SemanaActual,INDEX('Cronograma R. Financiero'!$AC$5:$AC$1000,$N63),""),IF(INDEX('Cronograma R. Financiero'!$I$5:$I$1000,$N63)="","",INDEX('Cronograma R. Financiero'!$I$5:$I$1000,$N63))))</f>
        <v/>
      </c>
      <c r="G63" s="61">
        <f>IF($N63="","",IF($P63&gt;0,IF(2&lt;=SemanaActual,INDEX('Cronograma R. Financiero'!$AD$5:$AD$1000,$N63),""),IF(INDEX('Cronograma R. Financiero'!$J$5:$J$1000,$N63)="","",INDEX('Cronograma R. Financiero'!$J$5:$J$1000,$N63))))</f>
        <v/>
      </c>
      <c r="H63" s="61">
        <f>IF($N63="","",IF($P63&gt;0,IF(3&lt;=SemanaActual,INDEX('Cronograma R. Financiero'!$AE$5:$AE$1000,$N63),""),IF(INDEX('Cronograma R. Financiero'!$K$5:$K$1000,$N63)="","",INDEX('Cronograma R. Financiero'!$K$5:$K$1000,$N63))))</f>
        <v/>
      </c>
      <c r="I63" s="61">
        <f>IF($N63="","",IF($P63&gt;0,IF(4&lt;=SemanaActual,INDEX('Cronograma R. Financiero'!$AF$5:$AF$1000,$N63),""),IF(INDEX('Cronograma R. Financiero'!$L$5:$L$1000,$N63)="","",INDEX('Cronograma R. Financiero'!$L$5:$L$1000,$N63))))</f>
        <v/>
      </c>
      <c r="J63" s="61">
        <f>IF($N63="","",INDEX('Cronograma R. Financiero'!$M$5:$M$1000,$N63))</f>
        <v/>
      </c>
      <c r="K63" s="56">
        <f>IF($N63="","",IF(N($J63)&gt;=1,"Completado",IF(AND(ISNUMBER($D63),$D63&lt;FechaRef),"Vencida",IF(N($J63)&gt;0,"En curso","Pendiente"))))</f>
        <v/>
      </c>
      <c r="L63" s="56">
        <f>IF($N63="","",INDEX('Cronograma R. Financiero'!$O$5:$O$1000,$N63)&amp;"")</f>
        <v/>
      </c>
      <c r="M63" s="62">
        <f>IF($N63="","",INDEX('Cronograma R. Financiero'!$Q$5:$Q$1000,$N63)&amp;"")</f>
        <v/>
      </c>
      <c r="N63">
        <f>IFERROR(MATCH(ROW()-4,rOrden_RF,0),"")</f>
        <v/>
      </c>
      <c r="O63">
        <f>IF($N63="","",INDEX('Cronograma R. Financiero'!$V$5:$V$1000,$N63))</f>
        <v/>
      </c>
      <c r="P63">
        <f>IF($N63="","",N(INDEX('Cronograma R. Financiero'!$W$5:$W$1000,$N63)))</f>
        <v/>
      </c>
      <c r="Q63">
        <f>IF(OR(LEFT($L63,7)="Vencida",LEFT($L63,5)="Vence"),SUMPRODUCT(--(LEFT($L$5:$L63,7)="Vencida"))+SUMPRODUCT(--(LEFT($L$5:$L63,5)="Vence")),"")</f>
        <v/>
      </c>
    </row>
    <row r="64">
      <c r="A64" s="56">
        <f>IF($N64="","",INDEX('Cronograma R. Financiero'!$A$5:$A$1000,$N64))</f>
        <v/>
      </c>
      <c r="B64" s="62">
        <f>IF($N64="","",IF($O64="Sub","      ↳  "&amp;INDEX('Cronograma R. Financiero'!$C$5:$C$1000,$N64),INDEX('Cronograma R. Financiero'!$C$5:$C$1000,$N64)&amp;""))</f>
        <v/>
      </c>
      <c r="C64" s="79">
        <f>IF($N64="","",IF(INDEX('Cronograma R. Financiero'!$AM$5:$AM$1000,$N64)="","",INDEX('Cronograma R. Financiero'!$AM$5:$AM$1000,$N64)))</f>
        <v/>
      </c>
      <c r="D64" s="79">
        <f>IF($N64="","",IF(INDEX('Cronograma R. Financiero'!$AN$5:$AN$1000,$N64)="","",INDEX('Cronograma R. Financiero'!$AN$5:$AN$1000,$N64)))</f>
        <v/>
      </c>
      <c r="E64" s="56">
        <f>IF($N64="","",IF(NOT(ISNUMBER($D64)),"",IF($D64&lt;InicioCiclo,"Antes del ciclo",IF($D64&gt;=InicioCiclo+28,"Después del ciclo","Semana "&amp;(INT(($D64-InicioCiclo)/7)+1)))))</f>
        <v/>
      </c>
      <c r="F64" s="61">
        <f>IF($N64="","",IF($P64&gt;0,IF(1&lt;=SemanaActual,INDEX('Cronograma R. Financiero'!$AC$5:$AC$1000,$N64),""),IF(INDEX('Cronograma R. Financiero'!$I$5:$I$1000,$N64)="","",INDEX('Cronograma R. Financiero'!$I$5:$I$1000,$N64))))</f>
        <v/>
      </c>
      <c r="G64" s="61">
        <f>IF($N64="","",IF($P64&gt;0,IF(2&lt;=SemanaActual,INDEX('Cronograma R. Financiero'!$AD$5:$AD$1000,$N64),""),IF(INDEX('Cronograma R. Financiero'!$J$5:$J$1000,$N64)="","",INDEX('Cronograma R. Financiero'!$J$5:$J$1000,$N64))))</f>
        <v/>
      </c>
      <c r="H64" s="61">
        <f>IF($N64="","",IF($P64&gt;0,IF(3&lt;=SemanaActual,INDEX('Cronograma R. Financiero'!$AE$5:$AE$1000,$N64),""),IF(INDEX('Cronograma R. Financiero'!$K$5:$K$1000,$N64)="","",INDEX('Cronograma R. Financiero'!$K$5:$K$1000,$N64))))</f>
        <v/>
      </c>
      <c r="I64" s="61">
        <f>IF($N64="","",IF($P64&gt;0,IF(4&lt;=SemanaActual,INDEX('Cronograma R. Financiero'!$AF$5:$AF$1000,$N64),""),IF(INDEX('Cronograma R. Financiero'!$L$5:$L$1000,$N64)="","",INDEX('Cronograma R. Financiero'!$L$5:$L$1000,$N64))))</f>
        <v/>
      </c>
      <c r="J64" s="61">
        <f>IF($N64="","",INDEX('Cronograma R. Financiero'!$M$5:$M$1000,$N64))</f>
        <v/>
      </c>
      <c r="K64" s="56">
        <f>IF($N64="","",IF(N($J64)&gt;=1,"Completado",IF(AND(ISNUMBER($D64),$D64&lt;FechaRef),"Vencida",IF(N($J64)&gt;0,"En curso","Pendiente"))))</f>
        <v/>
      </c>
      <c r="L64" s="56">
        <f>IF($N64="","",INDEX('Cronograma R. Financiero'!$O$5:$O$1000,$N64)&amp;"")</f>
        <v/>
      </c>
      <c r="M64" s="62">
        <f>IF($N64="","",INDEX('Cronograma R. Financiero'!$Q$5:$Q$1000,$N64)&amp;"")</f>
        <v/>
      </c>
      <c r="N64">
        <f>IFERROR(MATCH(ROW()-4,rOrden_RF,0),"")</f>
        <v/>
      </c>
      <c r="O64">
        <f>IF($N64="","",INDEX('Cronograma R. Financiero'!$V$5:$V$1000,$N64))</f>
        <v/>
      </c>
      <c r="P64">
        <f>IF($N64="","",N(INDEX('Cronograma R. Financiero'!$W$5:$W$1000,$N64)))</f>
        <v/>
      </c>
      <c r="Q64">
        <f>IF(OR(LEFT($L64,7)="Vencida",LEFT($L64,5)="Vence"),SUMPRODUCT(--(LEFT($L$5:$L64,7)="Vencida"))+SUMPRODUCT(--(LEFT($L$5:$L64,5)="Vence")),"")</f>
        <v/>
      </c>
    </row>
    <row r="65">
      <c r="A65" s="56">
        <f>IF($N65="","",INDEX('Cronograma R. Financiero'!$A$5:$A$1000,$N65))</f>
        <v/>
      </c>
      <c r="B65" s="62">
        <f>IF($N65="","",IF($O65="Sub","      ↳  "&amp;INDEX('Cronograma R. Financiero'!$C$5:$C$1000,$N65),INDEX('Cronograma R. Financiero'!$C$5:$C$1000,$N65)&amp;""))</f>
        <v/>
      </c>
      <c r="C65" s="79">
        <f>IF($N65="","",IF(INDEX('Cronograma R. Financiero'!$AM$5:$AM$1000,$N65)="","",INDEX('Cronograma R. Financiero'!$AM$5:$AM$1000,$N65)))</f>
        <v/>
      </c>
      <c r="D65" s="79">
        <f>IF($N65="","",IF(INDEX('Cronograma R. Financiero'!$AN$5:$AN$1000,$N65)="","",INDEX('Cronograma R. Financiero'!$AN$5:$AN$1000,$N65)))</f>
        <v/>
      </c>
      <c r="E65" s="56">
        <f>IF($N65="","",IF(NOT(ISNUMBER($D65)),"",IF($D65&lt;InicioCiclo,"Antes del ciclo",IF($D65&gt;=InicioCiclo+28,"Después del ciclo","Semana "&amp;(INT(($D65-InicioCiclo)/7)+1)))))</f>
        <v/>
      </c>
      <c r="F65" s="61">
        <f>IF($N65="","",IF($P65&gt;0,IF(1&lt;=SemanaActual,INDEX('Cronograma R. Financiero'!$AC$5:$AC$1000,$N65),""),IF(INDEX('Cronograma R. Financiero'!$I$5:$I$1000,$N65)="","",INDEX('Cronograma R. Financiero'!$I$5:$I$1000,$N65))))</f>
        <v/>
      </c>
      <c r="G65" s="61">
        <f>IF($N65="","",IF($P65&gt;0,IF(2&lt;=SemanaActual,INDEX('Cronograma R. Financiero'!$AD$5:$AD$1000,$N65),""),IF(INDEX('Cronograma R. Financiero'!$J$5:$J$1000,$N65)="","",INDEX('Cronograma R. Financiero'!$J$5:$J$1000,$N65))))</f>
        <v/>
      </c>
      <c r="H65" s="61">
        <f>IF($N65="","",IF($P65&gt;0,IF(3&lt;=SemanaActual,INDEX('Cronograma R. Financiero'!$AE$5:$AE$1000,$N65),""),IF(INDEX('Cronograma R. Financiero'!$K$5:$K$1000,$N65)="","",INDEX('Cronograma R. Financiero'!$K$5:$K$1000,$N65))))</f>
        <v/>
      </c>
      <c r="I65" s="61">
        <f>IF($N65="","",IF($P65&gt;0,IF(4&lt;=SemanaActual,INDEX('Cronograma R. Financiero'!$AF$5:$AF$1000,$N65),""),IF(INDEX('Cronograma R. Financiero'!$L$5:$L$1000,$N65)="","",INDEX('Cronograma R. Financiero'!$L$5:$L$1000,$N65))))</f>
        <v/>
      </c>
      <c r="J65" s="61">
        <f>IF($N65="","",INDEX('Cronograma R. Financiero'!$M$5:$M$1000,$N65))</f>
        <v/>
      </c>
      <c r="K65" s="56">
        <f>IF($N65="","",IF(N($J65)&gt;=1,"Completado",IF(AND(ISNUMBER($D65),$D65&lt;FechaRef),"Vencida",IF(N($J65)&gt;0,"En curso","Pendiente"))))</f>
        <v/>
      </c>
      <c r="L65" s="56">
        <f>IF($N65="","",INDEX('Cronograma R. Financiero'!$O$5:$O$1000,$N65)&amp;"")</f>
        <v/>
      </c>
      <c r="M65" s="62">
        <f>IF($N65="","",INDEX('Cronograma R. Financiero'!$Q$5:$Q$1000,$N65)&amp;"")</f>
        <v/>
      </c>
      <c r="N65">
        <f>IFERROR(MATCH(ROW()-4,rOrden_RF,0),"")</f>
        <v/>
      </c>
      <c r="O65">
        <f>IF($N65="","",INDEX('Cronograma R. Financiero'!$V$5:$V$1000,$N65))</f>
        <v/>
      </c>
      <c r="P65">
        <f>IF($N65="","",N(INDEX('Cronograma R. Financiero'!$W$5:$W$1000,$N65)))</f>
        <v/>
      </c>
      <c r="Q65">
        <f>IF(OR(LEFT($L65,7)="Vencida",LEFT($L65,5)="Vence"),SUMPRODUCT(--(LEFT($L$5:$L65,7)="Vencida"))+SUMPRODUCT(--(LEFT($L$5:$L65,5)="Vence")),"")</f>
        <v/>
      </c>
    </row>
    <row r="66">
      <c r="A66" s="56">
        <f>IF($N66="","",INDEX('Cronograma R. Financiero'!$A$5:$A$1000,$N66))</f>
        <v/>
      </c>
      <c r="B66" s="62">
        <f>IF($N66="","",IF($O66="Sub","      ↳  "&amp;INDEX('Cronograma R. Financiero'!$C$5:$C$1000,$N66),INDEX('Cronograma R. Financiero'!$C$5:$C$1000,$N66)&amp;""))</f>
        <v/>
      </c>
      <c r="C66" s="79">
        <f>IF($N66="","",IF(INDEX('Cronograma R. Financiero'!$AM$5:$AM$1000,$N66)="","",INDEX('Cronograma R. Financiero'!$AM$5:$AM$1000,$N66)))</f>
        <v/>
      </c>
      <c r="D66" s="79">
        <f>IF($N66="","",IF(INDEX('Cronograma R. Financiero'!$AN$5:$AN$1000,$N66)="","",INDEX('Cronograma R. Financiero'!$AN$5:$AN$1000,$N66)))</f>
        <v/>
      </c>
      <c r="E66" s="56">
        <f>IF($N66="","",IF(NOT(ISNUMBER($D66)),"",IF($D66&lt;InicioCiclo,"Antes del ciclo",IF($D66&gt;=InicioCiclo+28,"Después del ciclo","Semana "&amp;(INT(($D66-InicioCiclo)/7)+1)))))</f>
        <v/>
      </c>
      <c r="F66" s="61">
        <f>IF($N66="","",IF($P66&gt;0,IF(1&lt;=SemanaActual,INDEX('Cronograma R. Financiero'!$AC$5:$AC$1000,$N66),""),IF(INDEX('Cronograma R. Financiero'!$I$5:$I$1000,$N66)="","",INDEX('Cronograma R. Financiero'!$I$5:$I$1000,$N66))))</f>
        <v/>
      </c>
      <c r="G66" s="61">
        <f>IF($N66="","",IF($P66&gt;0,IF(2&lt;=SemanaActual,INDEX('Cronograma R. Financiero'!$AD$5:$AD$1000,$N66),""),IF(INDEX('Cronograma R. Financiero'!$J$5:$J$1000,$N66)="","",INDEX('Cronograma R. Financiero'!$J$5:$J$1000,$N66))))</f>
        <v/>
      </c>
      <c r="H66" s="61">
        <f>IF($N66="","",IF($P66&gt;0,IF(3&lt;=SemanaActual,INDEX('Cronograma R. Financiero'!$AE$5:$AE$1000,$N66),""),IF(INDEX('Cronograma R. Financiero'!$K$5:$K$1000,$N66)="","",INDEX('Cronograma R. Financiero'!$K$5:$K$1000,$N66))))</f>
        <v/>
      </c>
      <c r="I66" s="61">
        <f>IF($N66="","",IF($P66&gt;0,IF(4&lt;=SemanaActual,INDEX('Cronograma R. Financiero'!$AF$5:$AF$1000,$N66),""),IF(INDEX('Cronograma R. Financiero'!$L$5:$L$1000,$N66)="","",INDEX('Cronograma R. Financiero'!$L$5:$L$1000,$N66))))</f>
        <v/>
      </c>
      <c r="J66" s="61">
        <f>IF($N66="","",INDEX('Cronograma R. Financiero'!$M$5:$M$1000,$N66))</f>
        <v/>
      </c>
      <c r="K66" s="56">
        <f>IF($N66="","",IF(N($J66)&gt;=1,"Completado",IF(AND(ISNUMBER($D66),$D66&lt;FechaRef),"Vencida",IF(N($J66)&gt;0,"En curso","Pendiente"))))</f>
        <v/>
      </c>
      <c r="L66" s="56">
        <f>IF($N66="","",INDEX('Cronograma R. Financiero'!$O$5:$O$1000,$N66)&amp;"")</f>
        <v/>
      </c>
      <c r="M66" s="62">
        <f>IF($N66="","",INDEX('Cronograma R. Financiero'!$Q$5:$Q$1000,$N66)&amp;"")</f>
        <v/>
      </c>
      <c r="N66">
        <f>IFERROR(MATCH(ROW()-4,rOrden_RF,0),"")</f>
        <v/>
      </c>
      <c r="O66">
        <f>IF($N66="","",INDEX('Cronograma R. Financiero'!$V$5:$V$1000,$N66))</f>
        <v/>
      </c>
      <c r="P66">
        <f>IF($N66="","",N(INDEX('Cronograma R. Financiero'!$W$5:$W$1000,$N66)))</f>
        <v/>
      </c>
      <c r="Q66">
        <f>IF(OR(LEFT($L66,7)="Vencida",LEFT($L66,5)="Vence"),SUMPRODUCT(--(LEFT($L$5:$L66,7)="Vencida"))+SUMPRODUCT(--(LEFT($L$5:$L66,5)="Vence")),"")</f>
        <v/>
      </c>
    </row>
    <row r="67">
      <c r="A67" s="56">
        <f>IF($N67="","",INDEX('Cronograma R. Financiero'!$A$5:$A$1000,$N67))</f>
        <v/>
      </c>
      <c r="B67" s="62">
        <f>IF($N67="","",IF($O67="Sub","      ↳  "&amp;INDEX('Cronograma R. Financiero'!$C$5:$C$1000,$N67),INDEX('Cronograma R. Financiero'!$C$5:$C$1000,$N67)&amp;""))</f>
        <v/>
      </c>
      <c r="C67" s="79">
        <f>IF($N67="","",IF(INDEX('Cronograma R. Financiero'!$AM$5:$AM$1000,$N67)="","",INDEX('Cronograma R. Financiero'!$AM$5:$AM$1000,$N67)))</f>
        <v/>
      </c>
      <c r="D67" s="79">
        <f>IF($N67="","",IF(INDEX('Cronograma R. Financiero'!$AN$5:$AN$1000,$N67)="","",INDEX('Cronograma R. Financiero'!$AN$5:$AN$1000,$N67)))</f>
        <v/>
      </c>
      <c r="E67" s="56">
        <f>IF($N67="","",IF(NOT(ISNUMBER($D67)),"",IF($D67&lt;InicioCiclo,"Antes del ciclo",IF($D67&gt;=InicioCiclo+28,"Después del ciclo","Semana "&amp;(INT(($D67-InicioCiclo)/7)+1)))))</f>
        <v/>
      </c>
      <c r="F67" s="61">
        <f>IF($N67="","",IF($P67&gt;0,IF(1&lt;=SemanaActual,INDEX('Cronograma R. Financiero'!$AC$5:$AC$1000,$N67),""),IF(INDEX('Cronograma R. Financiero'!$I$5:$I$1000,$N67)="","",INDEX('Cronograma R. Financiero'!$I$5:$I$1000,$N67))))</f>
        <v/>
      </c>
      <c r="G67" s="61">
        <f>IF($N67="","",IF($P67&gt;0,IF(2&lt;=SemanaActual,INDEX('Cronograma R. Financiero'!$AD$5:$AD$1000,$N67),""),IF(INDEX('Cronograma R. Financiero'!$J$5:$J$1000,$N67)="","",INDEX('Cronograma R. Financiero'!$J$5:$J$1000,$N67))))</f>
        <v/>
      </c>
      <c r="H67" s="61">
        <f>IF($N67="","",IF($P67&gt;0,IF(3&lt;=SemanaActual,INDEX('Cronograma R. Financiero'!$AE$5:$AE$1000,$N67),""),IF(INDEX('Cronograma R. Financiero'!$K$5:$K$1000,$N67)="","",INDEX('Cronograma R. Financiero'!$K$5:$K$1000,$N67))))</f>
        <v/>
      </c>
      <c r="I67" s="61">
        <f>IF($N67="","",IF($P67&gt;0,IF(4&lt;=SemanaActual,INDEX('Cronograma R. Financiero'!$AF$5:$AF$1000,$N67),""),IF(INDEX('Cronograma R. Financiero'!$L$5:$L$1000,$N67)="","",INDEX('Cronograma R. Financiero'!$L$5:$L$1000,$N67))))</f>
        <v/>
      </c>
      <c r="J67" s="61">
        <f>IF($N67="","",INDEX('Cronograma R. Financiero'!$M$5:$M$1000,$N67))</f>
        <v/>
      </c>
      <c r="K67" s="56">
        <f>IF($N67="","",IF(N($J67)&gt;=1,"Completado",IF(AND(ISNUMBER($D67),$D67&lt;FechaRef),"Vencida",IF(N($J67)&gt;0,"En curso","Pendiente"))))</f>
        <v/>
      </c>
      <c r="L67" s="56">
        <f>IF($N67="","",INDEX('Cronograma R. Financiero'!$O$5:$O$1000,$N67)&amp;"")</f>
        <v/>
      </c>
      <c r="M67" s="62">
        <f>IF($N67="","",INDEX('Cronograma R. Financiero'!$Q$5:$Q$1000,$N67)&amp;"")</f>
        <v/>
      </c>
      <c r="N67">
        <f>IFERROR(MATCH(ROW()-4,rOrden_RF,0),"")</f>
        <v/>
      </c>
      <c r="O67">
        <f>IF($N67="","",INDEX('Cronograma R. Financiero'!$V$5:$V$1000,$N67))</f>
        <v/>
      </c>
      <c r="P67">
        <f>IF($N67="","",N(INDEX('Cronograma R. Financiero'!$W$5:$W$1000,$N67)))</f>
        <v/>
      </c>
      <c r="Q67">
        <f>IF(OR(LEFT($L67,7)="Vencida",LEFT($L67,5)="Vence"),SUMPRODUCT(--(LEFT($L$5:$L67,7)="Vencida"))+SUMPRODUCT(--(LEFT($L$5:$L67,5)="Vence")),"")</f>
        <v/>
      </c>
    </row>
    <row r="68">
      <c r="A68" s="56">
        <f>IF($N68="","",INDEX('Cronograma R. Financiero'!$A$5:$A$1000,$N68))</f>
        <v/>
      </c>
      <c r="B68" s="62">
        <f>IF($N68="","",IF($O68="Sub","      ↳  "&amp;INDEX('Cronograma R. Financiero'!$C$5:$C$1000,$N68),INDEX('Cronograma R. Financiero'!$C$5:$C$1000,$N68)&amp;""))</f>
        <v/>
      </c>
      <c r="C68" s="79">
        <f>IF($N68="","",IF(INDEX('Cronograma R. Financiero'!$AM$5:$AM$1000,$N68)="","",INDEX('Cronograma R. Financiero'!$AM$5:$AM$1000,$N68)))</f>
        <v/>
      </c>
      <c r="D68" s="79">
        <f>IF($N68="","",IF(INDEX('Cronograma R. Financiero'!$AN$5:$AN$1000,$N68)="","",INDEX('Cronograma R. Financiero'!$AN$5:$AN$1000,$N68)))</f>
        <v/>
      </c>
      <c r="E68" s="56">
        <f>IF($N68="","",IF(NOT(ISNUMBER($D68)),"",IF($D68&lt;InicioCiclo,"Antes del ciclo",IF($D68&gt;=InicioCiclo+28,"Después del ciclo","Semana "&amp;(INT(($D68-InicioCiclo)/7)+1)))))</f>
        <v/>
      </c>
      <c r="F68" s="61">
        <f>IF($N68="","",IF($P68&gt;0,IF(1&lt;=SemanaActual,INDEX('Cronograma R. Financiero'!$AC$5:$AC$1000,$N68),""),IF(INDEX('Cronograma R. Financiero'!$I$5:$I$1000,$N68)="","",INDEX('Cronograma R. Financiero'!$I$5:$I$1000,$N68))))</f>
        <v/>
      </c>
      <c r="G68" s="61">
        <f>IF($N68="","",IF($P68&gt;0,IF(2&lt;=SemanaActual,INDEX('Cronograma R. Financiero'!$AD$5:$AD$1000,$N68),""),IF(INDEX('Cronograma R. Financiero'!$J$5:$J$1000,$N68)="","",INDEX('Cronograma R. Financiero'!$J$5:$J$1000,$N68))))</f>
        <v/>
      </c>
      <c r="H68" s="61">
        <f>IF($N68="","",IF($P68&gt;0,IF(3&lt;=SemanaActual,INDEX('Cronograma R. Financiero'!$AE$5:$AE$1000,$N68),""),IF(INDEX('Cronograma R. Financiero'!$K$5:$K$1000,$N68)="","",INDEX('Cronograma R. Financiero'!$K$5:$K$1000,$N68))))</f>
        <v/>
      </c>
      <c r="I68" s="61">
        <f>IF($N68="","",IF($P68&gt;0,IF(4&lt;=SemanaActual,INDEX('Cronograma R. Financiero'!$AF$5:$AF$1000,$N68),""),IF(INDEX('Cronograma R. Financiero'!$L$5:$L$1000,$N68)="","",INDEX('Cronograma R. Financiero'!$L$5:$L$1000,$N68))))</f>
        <v/>
      </c>
      <c r="J68" s="61">
        <f>IF($N68="","",INDEX('Cronograma R. Financiero'!$M$5:$M$1000,$N68))</f>
        <v/>
      </c>
      <c r="K68" s="56">
        <f>IF($N68="","",IF(N($J68)&gt;=1,"Completado",IF(AND(ISNUMBER($D68),$D68&lt;FechaRef),"Vencida",IF(N($J68)&gt;0,"En curso","Pendiente"))))</f>
        <v/>
      </c>
      <c r="L68" s="56">
        <f>IF($N68="","",INDEX('Cronograma R. Financiero'!$O$5:$O$1000,$N68)&amp;"")</f>
        <v/>
      </c>
      <c r="M68" s="62">
        <f>IF($N68="","",INDEX('Cronograma R. Financiero'!$Q$5:$Q$1000,$N68)&amp;"")</f>
        <v/>
      </c>
      <c r="N68">
        <f>IFERROR(MATCH(ROW()-4,rOrden_RF,0),"")</f>
        <v/>
      </c>
      <c r="O68">
        <f>IF($N68="","",INDEX('Cronograma R. Financiero'!$V$5:$V$1000,$N68))</f>
        <v/>
      </c>
      <c r="P68">
        <f>IF($N68="","",N(INDEX('Cronograma R. Financiero'!$W$5:$W$1000,$N68)))</f>
        <v/>
      </c>
      <c r="Q68">
        <f>IF(OR(LEFT($L68,7)="Vencida",LEFT($L68,5)="Vence"),SUMPRODUCT(--(LEFT($L$5:$L68,7)="Vencida"))+SUMPRODUCT(--(LEFT($L$5:$L68,5)="Vence")),"")</f>
        <v/>
      </c>
    </row>
    <row r="69">
      <c r="A69" s="56">
        <f>IF($N69="","",INDEX('Cronograma R. Financiero'!$A$5:$A$1000,$N69))</f>
        <v/>
      </c>
      <c r="B69" s="62">
        <f>IF($N69="","",IF($O69="Sub","      ↳  "&amp;INDEX('Cronograma R. Financiero'!$C$5:$C$1000,$N69),INDEX('Cronograma R. Financiero'!$C$5:$C$1000,$N69)&amp;""))</f>
        <v/>
      </c>
      <c r="C69" s="79">
        <f>IF($N69="","",IF(INDEX('Cronograma R. Financiero'!$AM$5:$AM$1000,$N69)="","",INDEX('Cronograma R. Financiero'!$AM$5:$AM$1000,$N69)))</f>
        <v/>
      </c>
      <c r="D69" s="79">
        <f>IF($N69="","",IF(INDEX('Cronograma R. Financiero'!$AN$5:$AN$1000,$N69)="","",INDEX('Cronograma R. Financiero'!$AN$5:$AN$1000,$N69)))</f>
        <v/>
      </c>
      <c r="E69" s="56">
        <f>IF($N69="","",IF(NOT(ISNUMBER($D69)),"",IF($D69&lt;InicioCiclo,"Antes del ciclo",IF($D69&gt;=InicioCiclo+28,"Después del ciclo","Semana "&amp;(INT(($D69-InicioCiclo)/7)+1)))))</f>
        <v/>
      </c>
      <c r="F69" s="61">
        <f>IF($N69="","",IF($P69&gt;0,IF(1&lt;=SemanaActual,INDEX('Cronograma R. Financiero'!$AC$5:$AC$1000,$N69),""),IF(INDEX('Cronograma R. Financiero'!$I$5:$I$1000,$N69)="","",INDEX('Cronograma R. Financiero'!$I$5:$I$1000,$N69))))</f>
        <v/>
      </c>
      <c r="G69" s="61">
        <f>IF($N69="","",IF($P69&gt;0,IF(2&lt;=SemanaActual,INDEX('Cronograma R. Financiero'!$AD$5:$AD$1000,$N69),""),IF(INDEX('Cronograma R. Financiero'!$J$5:$J$1000,$N69)="","",INDEX('Cronograma R. Financiero'!$J$5:$J$1000,$N69))))</f>
        <v/>
      </c>
      <c r="H69" s="61">
        <f>IF($N69="","",IF($P69&gt;0,IF(3&lt;=SemanaActual,INDEX('Cronograma R. Financiero'!$AE$5:$AE$1000,$N69),""),IF(INDEX('Cronograma R. Financiero'!$K$5:$K$1000,$N69)="","",INDEX('Cronograma R. Financiero'!$K$5:$K$1000,$N69))))</f>
        <v/>
      </c>
      <c r="I69" s="61">
        <f>IF($N69="","",IF($P69&gt;0,IF(4&lt;=SemanaActual,INDEX('Cronograma R. Financiero'!$AF$5:$AF$1000,$N69),""),IF(INDEX('Cronograma R. Financiero'!$L$5:$L$1000,$N69)="","",INDEX('Cronograma R. Financiero'!$L$5:$L$1000,$N69))))</f>
        <v/>
      </c>
      <c r="J69" s="61">
        <f>IF($N69="","",INDEX('Cronograma R. Financiero'!$M$5:$M$1000,$N69))</f>
        <v/>
      </c>
      <c r="K69" s="56">
        <f>IF($N69="","",IF(N($J69)&gt;=1,"Completado",IF(AND(ISNUMBER($D69),$D69&lt;FechaRef),"Vencida",IF(N($J69)&gt;0,"En curso","Pendiente"))))</f>
        <v/>
      </c>
      <c r="L69" s="56">
        <f>IF($N69="","",INDEX('Cronograma R. Financiero'!$O$5:$O$1000,$N69)&amp;"")</f>
        <v/>
      </c>
      <c r="M69" s="62">
        <f>IF($N69="","",INDEX('Cronograma R. Financiero'!$Q$5:$Q$1000,$N69)&amp;"")</f>
        <v/>
      </c>
      <c r="N69">
        <f>IFERROR(MATCH(ROW()-4,rOrden_RF,0),"")</f>
        <v/>
      </c>
      <c r="O69">
        <f>IF($N69="","",INDEX('Cronograma R. Financiero'!$V$5:$V$1000,$N69))</f>
        <v/>
      </c>
      <c r="P69">
        <f>IF($N69="","",N(INDEX('Cronograma R. Financiero'!$W$5:$W$1000,$N69)))</f>
        <v/>
      </c>
      <c r="Q69">
        <f>IF(OR(LEFT($L69,7)="Vencida",LEFT($L69,5)="Vence"),SUMPRODUCT(--(LEFT($L$5:$L69,7)="Vencida"))+SUMPRODUCT(--(LEFT($L$5:$L69,5)="Vence")),"")</f>
        <v/>
      </c>
    </row>
    <row r="70">
      <c r="A70" s="56">
        <f>IF($N70="","",INDEX('Cronograma R. Financiero'!$A$5:$A$1000,$N70))</f>
        <v/>
      </c>
      <c r="B70" s="62">
        <f>IF($N70="","",IF($O70="Sub","      ↳  "&amp;INDEX('Cronograma R. Financiero'!$C$5:$C$1000,$N70),INDEX('Cronograma R. Financiero'!$C$5:$C$1000,$N70)&amp;""))</f>
        <v/>
      </c>
      <c r="C70" s="79">
        <f>IF($N70="","",IF(INDEX('Cronograma R. Financiero'!$AM$5:$AM$1000,$N70)="","",INDEX('Cronograma R. Financiero'!$AM$5:$AM$1000,$N70)))</f>
        <v/>
      </c>
      <c r="D70" s="79">
        <f>IF($N70="","",IF(INDEX('Cronograma R. Financiero'!$AN$5:$AN$1000,$N70)="","",INDEX('Cronograma R. Financiero'!$AN$5:$AN$1000,$N70)))</f>
        <v/>
      </c>
      <c r="E70" s="56">
        <f>IF($N70="","",IF(NOT(ISNUMBER($D70)),"",IF($D70&lt;InicioCiclo,"Antes del ciclo",IF($D70&gt;=InicioCiclo+28,"Después del ciclo","Semana "&amp;(INT(($D70-InicioCiclo)/7)+1)))))</f>
        <v/>
      </c>
      <c r="F70" s="61">
        <f>IF($N70="","",IF($P70&gt;0,IF(1&lt;=SemanaActual,INDEX('Cronograma R. Financiero'!$AC$5:$AC$1000,$N70),""),IF(INDEX('Cronograma R. Financiero'!$I$5:$I$1000,$N70)="","",INDEX('Cronograma R. Financiero'!$I$5:$I$1000,$N70))))</f>
        <v/>
      </c>
      <c r="G70" s="61">
        <f>IF($N70="","",IF($P70&gt;0,IF(2&lt;=SemanaActual,INDEX('Cronograma R. Financiero'!$AD$5:$AD$1000,$N70),""),IF(INDEX('Cronograma R. Financiero'!$J$5:$J$1000,$N70)="","",INDEX('Cronograma R. Financiero'!$J$5:$J$1000,$N70))))</f>
        <v/>
      </c>
      <c r="H70" s="61">
        <f>IF($N70="","",IF($P70&gt;0,IF(3&lt;=SemanaActual,INDEX('Cronograma R. Financiero'!$AE$5:$AE$1000,$N70),""),IF(INDEX('Cronograma R. Financiero'!$K$5:$K$1000,$N70)="","",INDEX('Cronograma R. Financiero'!$K$5:$K$1000,$N70))))</f>
        <v/>
      </c>
      <c r="I70" s="61">
        <f>IF($N70="","",IF($P70&gt;0,IF(4&lt;=SemanaActual,INDEX('Cronograma R. Financiero'!$AF$5:$AF$1000,$N70),""),IF(INDEX('Cronograma R. Financiero'!$L$5:$L$1000,$N70)="","",INDEX('Cronograma R. Financiero'!$L$5:$L$1000,$N70))))</f>
        <v/>
      </c>
      <c r="J70" s="61">
        <f>IF($N70="","",INDEX('Cronograma R. Financiero'!$M$5:$M$1000,$N70))</f>
        <v/>
      </c>
      <c r="K70" s="56">
        <f>IF($N70="","",IF(N($J70)&gt;=1,"Completado",IF(AND(ISNUMBER($D70),$D70&lt;FechaRef),"Vencida",IF(N($J70)&gt;0,"En curso","Pendiente"))))</f>
        <v/>
      </c>
      <c r="L70" s="56">
        <f>IF($N70="","",INDEX('Cronograma R. Financiero'!$O$5:$O$1000,$N70)&amp;"")</f>
        <v/>
      </c>
      <c r="M70" s="62">
        <f>IF($N70="","",INDEX('Cronograma R. Financiero'!$Q$5:$Q$1000,$N70)&amp;"")</f>
        <v/>
      </c>
      <c r="N70">
        <f>IFERROR(MATCH(ROW()-4,rOrden_RF,0),"")</f>
        <v/>
      </c>
      <c r="O70">
        <f>IF($N70="","",INDEX('Cronograma R. Financiero'!$V$5:$V$1000,$N70))</f>
        <v/>
      </c>
      <c r="P70">
        <f>IF($N70="","",N(INDEX('Cronograma R. Financiero'!$W$5:$W$1000,$N70)))</f>
        <v/>
      </c>
      <c r="Q70">
        <f>IF(OR(LEFT($L70,7)="Vencida",LEFT($L70,5)="Vence"),SUMPRODUCT(--(LEFT($L$5:$L70,7)="Vencida"))+SUMPRODUCT(--(LEFT($L$5:$L70,5)="Vence")),"")</f>
        <v/>
      </c>
    </row>
    <row r="71">
      <c r="A71" s="56">
        <f>IF($N71="","",INDEX('Cronograma R. Financiero'!$A$5:$A$1000,$N71))</f>
        <v/>
      </c>
      <c r="B71" s="62">
        <f>IF($N71="","",IF($O71="Sub","      ↳  "&amp;INDEX('Cronograma R. Financiero'!$C$5:$C$1000,$N71),INDEX('Cronograma R. Financiero'!$C$5:$C$1000,$N71)&amp;""))</f>
        <v/>
      </c>
      <c r="C71" s="79">
        <f>IF($N71="","",IF(INDEX('Cronograma R. Financiero'!$AM$5:$AM$1000,$N71)="","",INDEX('Cronograma R. Financiero'!$AM$5:$AM$1000,$N71)))</f>
        <v/>
      </c>
      <c r="D71" s="79">
        <f>IF($N71="","",IF(INDEX('Cronograma R. Financiero'!$AN$5:$AN$1000,$N71)="","",INDEX('Cronograma R. Financiero'!$AN$5:$AN$1000,$N71)))</f>
        <v/>
      </c>
      <c r="E71" s="56">
        <f>IF($N71="","",IF(NOT(ISNUMBER($D71)),"",IF($D71&lt;InicioCiclo,"Antes del ciclo",IF($D71&gt;=InicioCiclo+28,"Después del ciclo","Semana "&amp;(INT(($D71-InicioCiclo)/7)+1)))))</f>
        <v/>
      </c>
      <c r="F71" s="61">
        <f>IF($N71="","",IF($P71&gt;0,IF(1&lt;=SemanaActual,INDEX('Cronograma R. Financiero'!$AC$5:$AC$1000,$N71),""),IF(INDEX('Cronograma R. Financiero'!$I$5:$I$1000,$N71)="","",INDEX('Cronograma R. Financiero'!$I$5:$I$1000,$N71))))</f>
        <v/>
      </c>
      <c r="G71" s="61">
        <f>IF($N71="","",IF($P71&gt;0,IF(2&lt;=SemanaActual,INDEX('Cronograma R. Financiero'!$AD$5:$AD$1000,$N71),""),IF(INDEX('Cronograma R. Financiero'!$J$5:$J$1000,$N71)="","",INDEX('Cronograma R. Financiero'!$J$5:$J$1000,$N71))))</f>
        <v/>
      </c>
      <c r="H71" s="61">
        <f>IF($N71="","",IF($P71&gt;0,IF(3&lt;=SemanaActual,INDEX('Cronograma R. Financiero'!$AE$5:$AE$1000,$N71),""),IF(INDEX('Cronograma R. Financiero'!$K$5:$K$1000,$N71)="","",INDEX('Cronograma R. Financiero'!$K$5:$K$1000,$N71))))</f>
        <v/>
      </c>
      <c r="I71" s="61">
        <f>IF($N71="","",IF($P71&gt;0,IF(4&lt;=SemanaActual,INDEX('Cronograma R. Financiero'!$AF$5:$AF$1000,$N71),""),IF(INDEX('Cronograma R. Financiero'!$L$5:$L$1000,$N71)="","",INDEX('Cronograma R. Financiero'!$L$5:$L$1000,$N71))))</f>
        <v/>
      </c>
      <c r="J71" s="61">
        <f>IF($N71="","",INDEX('Cronograma R. Financiero'!$M$5:$M$1000,$N71))</f>
        <v/>
      </c>
      <c r="K71" s="56">
        <f>IF($N71="","",IF(N($J71)&gt;=1,"Completado",IF(AND(ISNUMBER($D71),$D71&lt;FechaRef),"Vencida",IF(N($J71)&gt;0,"En curso","Pendiente"))))</f>
        <v/>
      </c>
      <c r="L71" s="56">
        <f>IF($N71="","",INDEX('Cronograma R. Financiero'!$O$5:$O$1000,$N71)&amp;"")</f>
        <v/>
      </c>
      <c r="M71" s="62">
        <f>IF($N71="","",INDEX('Cronograma R. Financiero'!$Q$5:$Q$1000,$N71)&amp;"")</f>
        <v/>
      </c>
      <c r="N71">
        <f>IFERROR(MATCH(ROW()-4,rOrden_RF,0),"")</f>
        <v/>
      </c>
      <c r="O71">
        <f>IF($N71="","",INDEX('Cronograma R. Financiero'!$V$5:$V$1000,$N71))</f>
        <v/>
      </c>
      <c r="P71">
        <f>IF($N71="","",N(INDEX('Cronograma R. Financiero'!$W$5:$W$1000,$N71)))</f>
        <v/>
      </c>
      <c r="Q71">
        <f>IF(OR(LEFT($L71,7)="Vencida",LEFT($L71,5)="Vence"),SUMPRODUCT(--(LEFT($L$5:$L71,7)="Vencida"))+SUMPRODUCT(--(LEFT($L$5:$L71,5)="Vence")),"")</f>
        <v/>
      </c>
    </row>
    <row r="72">
      <c r="A72" s="56">
        <f>IF($N72="","",INDEX('Cronograma R. Financiero'!$A$5:$A$1000,$N72))</f>
        <v/>
      </c>
      <c r="B72" s="62">
        <f>IF($N72="","",IF($O72="Sub","      ↳  "&amp;INDEX('Cronograma R. Financiero'!$C$5:$C$1000,$N72),INDEX('Cronograma R. Financiero'!$C$5:$C$1000,$N72)&amp;""))</f>
        <v/>
      </c>
      <c r="C72" s="79">
        <f>IF($N72="","",IF(INDEX('Cronograma R. Financiero'!$AM$5:$AM$1000,$N72)="","",INDEX('Cronograma R. Financiero'!$AM$5:$AM$1000,$N72)))</f>
        <v/>
      </c>
      <c r="D72" s="79">
        <f>IF($N72="","",IF(INDEX('Cronograma R. Financiero'!$AN$5:$AN$1000,$N72)="","",INDEX('Cronograma R. Financiero'!$AN$5:$AN$1000,$N72)))</f>
        <v/>
      </c>
      <c r="E72" s="56">
        <f>IF($N72="","",IF(NOT(ISNUMBER($D72)),"",IF($D72&lt;InicioCiclo,"Antes del ciclo",IF($D72&gt;=InicioCiclo+28,"Después del ciclo","Semana "&amp;(INT(($D72-InicioCiclo)/7)+1)))))</f>
        <v/>
      </c>
      <c r="F72" s="61">
        <f>IF($N72="","",IF($P72&gt;0,IF(1&lt;=SemanaActual,INDEX('Cronograma R. Financiero'!$AC$5:$AC$1000,$N72),""),IF(INDEX('Cronograma R. Financiero'!$I$5:$I$1000,$N72)="","",INDEX('Cronograma R. Financiero'!$I$5:$I$1000,$N72))))</f>
        <v/>
      </c>
      <c r="G72" s="61">
        <f>IF($N72="","",IF($P72&gt;0,IF(2&lt;=SemanaActual,INDEX('Cronograma R. Financiero'!$AD$5:$AD$1000,$N72),""),IF(INDEX('Cronograma R. Financiero'!$J$5:$J$1000,$N72)="","",INDEX('Cronograma R. Financiero'!$J$5:$J$1000,$N72))))</f>
        <v/>
      </c>
      <c r="H72" s="61">
        <f>IF($N72="","",IF($P72&gt;0,IF(3&lt;=SemanaActual,INDEX('Cronograma R. Financiero'!$AE$5:$AE$1000,$N72),""),IF(INDEX('Cronograma R. Financiero'!$K$5:$K$1000,$N72)="","",INDEX('Cronograma R. Financiero'!$K$5:$K$1000,$N72))))</f>
        <v/>
      </c>
      <c r="I72" s="61">
        <f>IF($N72="","",IF($P72&gt;0,IF(4&lt;=SemanaActual,INDEX('Cronograma R. Financiero'!$AF$5:$AF$1000,$N72),""),IF(INDEX('Cronograma R. Financiero'!$L$5:$L$1000,$N72)="","",INDEX('Cronograma R. Financiero'!$L$5:$L$1000,$N72))))</f>
        <v/>
      </c>
      <c r="J72" s="61">
        <f>IF($N72="","",INDEX('Cronograma R. Financiero'!$M$5:$M$1000,$N72))</f>
        <v/>
      </c>
      <c r="K72" s="56">
        <f>IF($N72="","",IF(N($J72)&gt;=1,"Completado",IF(AND(ISNUMBER($D72),$D72&lt;FechaRef),"Vencida",IF(N($J72)&gt;0,"En curso","Pendiente"))))</f>
        <v/>
      </c>
      <c r="L72" s="56">
        <f>IF($N72="","",INDEX('Cronograma R. Financiero'!$O$5:$O$1000,$N72)&amp;"")</f>
        <v/>
      </c>
      <c r="M72" s="62">
        <f>IF($N72="","",INDEX('Cronograma R. Financiero'!$Q$5:$Q$1000,$N72)&amp;"")</f>
        <v/>
      </c>
      <c r="N72">
        <f>IFERROR(MATCH(ROW()-4,rOrden_RF,0),"")</f>
        <v/>
      </c>
      <c r="O72">
        <f>IF($N72="","",INDEX('Cronograma R. Financiero'!$V$5:$V$1000,$N72))</f>
        <v/>
      </c>
      <c r="P72">
        <f>IF($N72="","",N(INDEX('Cronograma R. Financiero'!$W$5:$W$1000,$N72)))</f>
        <v/>
      </c>
      <c r="Q72">
        <f>IF(OR(LEFT($L72,7)="Vencida",LEFT($L72,5)="Vence"),SUMPRODUCT(--(LEFT($L$5:$L72,7)="Vencida"))+SUMPRODUCT(--(LEFT($L$5:$L72,5)="Vence")),"")</f>
        <v/>
      </c>
    </row>
    <row r="73">
      <c r="A73" s="56">
        <f>IF($N73="","",INDEX('Cronograma R. Financiero'!$A$5:$A$1000,$N73))</f>
        <v/>
      </c>
      <c r="B73" s="62">
        <f>IF($N73="","",IF($O73="Sub","      ↳  "&amp;INDEX('Cronograma R. Financiero'!$C$5:$C$1000,$N73),INDEX('Cronograma R. Financiero'!$C$5:$C$1000,$N73)&amp;""))</f>
        <v/>
      </c>
      <c r="C73" s="79">
        <f>IF($N73="","",IF(INDEX('Cronograma R. Financiero'!$AM$5:$AM$1000,$N73)="","",INDEX('Cronograma R. Financiero'!$AM$5:$AM$1000,$N73)))</f>
        <v/>
      </c>
      <c r="D73" s="79">
        <f>IF($N73="","",IF(INDEX('Cronograma R. Financiero'!$AN$5:$AN$1000,$N73)="","",INDEX('Cronograma R. Financiero'!$AN$5:$AN$1000,$N73)))</f>
        <v/>
      </c>
      <c r="E73" s="56">
        <f>IF($N73="","",IF(NOT(ISNUMBER($D73)),"",IF($D73&lt;InicioCiclo,"Antes del ciclo",IF($D73&gt;=InicioCiclo+28,"Después del ciclo","Semana "&amp;(INT(($D73-InicioCiclo)/7)+1)))))</f>
        <v/>
      </c>
      <c r="F73" s="61">
        <f>IF($N73="","",IF($P73&gt;0,IF(1&lt;=SemanaActual,INDEX('Cronograma R. Financiero'!$AC$5:$AC$1000,$N73),""),IF(INDEX('Cronograma R. Financiero'!$I$5:$I$1000,$N73)="","",INDEX('Cronograma R. Financiero'!$I$5:$I$1000,$N73))))</f>
        <v/>
      </c>
      <c r="G73" s="61">
        <f>IF($N73="","",IF($P73&gt;0,IF(2&lt;=SemanaActual,INDEX('Cronograma R. Financiero'!$AD$5:$AD$1000,$N73),""),IF(INDEX('Cronograma R. Financiero'!$J$5:$J$1000,$N73)="","",INDEX('Cronograma R. Financiero'!$J$5:$J$1000,$N73))))</f>
        <v/>
      </c>
      <c r="H73" s="61">
        <f>IF($N73="","",IF($P73&gt;0,IF(3&lt;=SemanaActual,INDEX('Cronograma R. Financiero'!$AE$5:$AE$1000,$N73),""),IF(INDEX('Cronograma R. Financiero'!$K$5:$K$1000,$N73)="","",INDEX('Cronograma R. Financiero'!$K$5:$K$1000,$N73))))</f>
        <v/>
      </c>
      <c r="I73" s="61">
        <f>IF($N73="","",IF($P73&gt;0,IF(4&lt;=SemanaActual,INDEX('Cronograma R. Financiero'!$AF$5:$AF$1000,$N73),""),IF(INDEX('Cronograma R. Financiero'!$L$5:$L$1000,$N73)="","",INDEX('Cronograma R. Financiero'!$L$5:$L$1000,$N73))))</f>
        <v/>
      </c>
      <c r="J73" s="61">
        <f>IF($N73="","",INDEX('Cronograma R. Financiero'!$M$5:$M$1000,$N73))</f>
        <v/>
      </c>
      <c r="K73" s="56">
        <f>IF($N73="","",IF(N($J73)&gt;=1,"Completado",IF(AND(ISNUMBER($D73),$D73&lt;FechaRef),"Vencida",IF(N($J73)&gt;0,"En curso","Pendiente"))))</f>
        <v/>
      </c>
      <c r="L73" s="56">
        <f>IF($N73="","",INDEX('Cronograma R. Financiero'!$O$5:$O$1000,$N73)&amp;"")</f>
        <v/>
      </c>
      <c r="M73" s="62">
        <f>IF($N73="","",INDEX('Cronograma R. Financiero'!$Q$5:$Q$1000,$N73)&amp;"")</f>
        <v/>
      </c>
      <c r="N73">
        <f>IFERROR(MATCH(ROW()-4,rOrden_RF,0),"")</f>
        <v/>
      </c>
      <c r="O73">
        <f>IF($N73="","",INDEX('Cronograma R. Financiero'!$V$5:$V$1000,$N73))</f>
        <v/>
      </c>
      <c r="P73">
        <f>IF($N73="","",N(INDEX('Cronograma R. Financiero'!$W$5:$W$1000,$N73)))</f>
        <v/>
      </c>
      <c r="Q73">
        <f>IF(OR(LEFT($L73,7)="Vencida",LEFT($L73,5)="Vence"),SUMPRODUCT(--(LEFT($L$5:$L73,7)="Vencida"))+SUMPRODUCT(--(LEFT($L$5:$L73,5)="Vence")),"")</f>
        <v/>
      </c>
    </row>
    <row r="74">
      <c r="A74" s="56">
        <f>IF($N74="","",INDEX('Cronograma R. Financiero'!$A$5:$A$1000,$N74))</f>
        <v/>
      </c>
      <c r="B74" s="62">
        <f>IF($N74="","",IF($O74="Sub","      ↳  "&amp;INDEX('Cronograma R. Financiero'!$C$5:$C$1000,$N74),INDEX('Cronograma R. Financiero'!$C$5:$C$1000,$N74)&amp;""))</f>
        <v/>
      </c>
      <c r="C74" s="79">
        <f>IF($N74="","",IF(INDEX('Cronograma R. Financiero'!$AM$5:$AM$1000,$N74)="","",INDEX('Cronograma R. Financiero'!$AM$5:$AM$1000,$N74)))</f>
        <v/>
      </c>
      <c r="D74" s="79">
        <f>IF($N74="","",IF(INDEX('Cronograma R. Financiero'!$AN$5:$AN$1000,$N74)="","",INDEX('Cronograma R. Financiero'!$AN$5:$AN$1000,$N74)))</f>
        <v/>
      </c>
      <c r="E74" s="56">
        <f>IF($N74="","",IF(NOT(ISNUMBER($D74)),"",IF($D74&lt;InicioCiclo,"Antes del ciclo",IF($D74&gt;=InicioCiclo+28,"Después del ciclo","Semana "&amp;(INT(($D74-InicioCiclo)/7)+1)))))</f>
        <v/>
      </c>
      <c r="F74" s="61">
        <f>IF($N74="","",IF($P74&gt;0,IF(1&lt;=SemanaActual,INDEX('Cronograma R. Financiero'!$AC$5:$AC$1000,$N74),""),IF(INDEX('Cronograma R. Financiero'!$I$5:$I$1000,$N74)="","",INDEX('Cronograma R. Financiero'!$I$5:$I$1000,$N74))))</f>
        <v/>
      </c>
      <c r="G74" s="61">
        <f>IF($N74="","",IF($P74&gt;0,IF(2&lt;=SemanaActual,INDEX('Cronograma R. Financiero'!$AD$5:$AD$1000,$N74),""),IF(INDEX('Cronograma R. Financiero'!$J$5:$J$1000,$N74)="","",INDEX('Cronograma R. Financiero'!$J$5:$J$1000,$N74))))</f>
        <v/>
      </c>
      <c r="H74" s="61">
        <f>IF($N74="","",IF($P74&gt;0,IF(3&lt;=SemanaActual,INDEX('Cronograma R. Financiero'!$AE$5:$AE$1000,$N74),""),IF(INDEX('Cronograma R. Financiero'!$K$5:$K$1000,$N74)="","",INDEX('Cronograma R. Financiero'!$K$5:$K$1000,$N74))))</f>
        <v/>
      </c>
      <c r="I74" s="61">
        <f>IF($N74="","",IF($P74&gt;0,IF(4&lt;=SemanaActual,INDEX('Cronograma R. Financiero'!$AF$5:$AF$1000,$N74),""),IF(INDEX('Cronograma R. Financiero'!$L$5:$L$1000,$N74)="","",INDEX('Cronograma R. Financiero'!$L$5:$L$1000,$N74))))</f>
        <v/>
      </c>
      <c r="J74" s="61">
        <f>IF($N74="","",INDEX('Cronograma R. Financiero'!$M$5:$M$1000,$N74))</f>
        <v/>
      </c>
      <c r="K74" s="56">
        <f>IF($N74="","",IF(N($J74)&gt;=1,"Completado",IF(AND(ISNUMBER($D74),$D74&lt;FechaRef),"Vencida",IF(N($J74)&gt;0,"En curso","Pendiente"))))</f>
        <v/>
      </c>
      <c r="L74" s="56">
        <f>IF($N74="","",INDEX('Cronograma R. Financiero'!$O$5:$O$1000,$N74)&amp;"")</f>
        <v/>
      </c>
      <c r="M74" s="62">
        <f>IF($N74="","",INDEX('Cronograma R. Financiero'!$Q$5:$Q$1000,$N74)&amp;"")</f>
        <v/>
      </c>
      <c r="N74">
        <f>IFERROR(MATCH(ROW()-4,rOrden_RF,0),"")</f>
        <v/>
      </c>
      <c r="O74">
        <f>IF($N74="","",INDEX('Cronograma R. Financiero'!$V$5:$V$1000,$N74))</f>
        <v/>
      </c>
      <c r="P74">
        <f>IF($N74="","",N(INDEX('Cronograma R. Financiero'!$W$5:$W$1000,$N74)))</f>
        <v/>
      </c>
      <c r="Q74">
        <f>IF(OR(LEFT($L74,7)="Vencida",LEFT($L74,5)="Vence"),SUMPRODUCT(--(LEFT($L$5:$L74,7)="Vencida"))+SUMPRODUCT(--(LEFT($L$5:$L74,5)="Vence")),"")</f>
        <v/>
      </c>
    </row>
    <row r="75">
      <c r="A75" s="56">
        <f>IF($N75="","",INDEX('Cronograma R. Financiero'!$A$5:$A$1000,$N75))</f>
        <v/>
      </c>
      <c r="B75" s="62">
        <f>IF($N75="","",IF($O75="Sub","      ↳  "&amp;INDEX('Cronograma R. Financiero'!$C$5:$C$1000,$N75),INDEX('Cronograma R. Financiero'!$C$5:$C$1000,$N75)&amp;""))</f>
        <v/>
      </c>
      <c r="C75" s="79">
        <f>IF($N75="","",IF(INDEX('Cronograma R. Financiero'!$AM$5:$AM$1000,$N75)="","",INDEX('Cronograma R. Financiero'!$AM$5:$AM$1000,$N75)))</f>
        <v/>
      </c>
      <c r="D75" s="79">
        <f>IF($N75="","",IF(INDEX('Cronograma R. Financiero'!$AN$5:$AN$1000,$N75)="","",INDEX('Cronograma R. Financiero'!$AN$5:$AN$1000,$N75)))</f>
        <v/>
      </c>
      <c r="E75" s="56">
        <f>IF($N75="","",IF(NOT(ISNUMBER($D75)),"",IF($D75&lt;InicioCiclo,"Antes del ciclo",IF($D75&gt;=InicioCiclo+28,"Después del ciclo","Semana "&amp;(INT(($D75-InicioCiclo)/7)+1)))))</f>
        <v/>
      </c>
      <c r="F75" s="61">
        <f>IF($N75="","",IF($P75&gt;0,IF(1&lt;=SemanaActual,INDEX('Cronograma R. Financiero'!$AC$5:$AC$1000,$N75),""),IF(INDEX('Cronograma R. Financiero'!$I$5:$I$1000,$N75)="","",INDEX('Cronograma R. Financiero'!$I$5:$I$1000,$N75))))</f>
        <v/>
      </c>
      <c r="G75" s="61">
        <f>IF($N75="","",IF($P75&gt;0,IF(2&lt;=SemanaActual,INDEX('Cronograma R. Financiero'!$AD$5:$AD$1000,$N75),""),IF(INDEX('Cronograma R. Financiero'!$J$5:$J$1000,$N75)="","",INDEX('Cronograma R. Financiero'!$J$5:$J$1000,$N75))))</f>
        <v/>
      </c>
      <c r="H75" s="61">
        <f>IF($N75="","",IF($P75&gt;0,IF(3&lt;=SemanaActual,INDEX('Cronograma R. Financiero'!$AE$5:$AE$1000,$N75),""),IF(INDEX('Cronograma R. Financiero'!$K$5:$K$1000,$N75)="","",INDEX('Cronograma R. Financiero'!$K$5:$K$1000,$N75))))</f>
        <v/>
      </c>
      <c r="I75" s="61">
        <f>IF($N75="","",IF($P75&gt;0,IF(4&lt;=SemanaActual,INDEX('Cronograma R. Financiero'!$AF$5:$AF$1000,$N75),""),IF(INDEX('Cronograma R. Financiero'!$L$5:$L$1000,$N75)="","",INDEX('Cronograma R. Financiero'!$L$5:$L$1000,$N75))))</f>
        <v/>
      </c>
      <c r="J75" s="61">
        <f>IF($N75="","",INDEX('Cronograma R. Financiero'!$M$5:$M$1000,$N75))</f>
        <v/>
      </c>
      <c r="K75" s="56">
        <f>IF($N75="","",IF(N($J75)&gt;=1,"Completado",IF(AND(ISNUMBER($D75),$D75&lt;FechaRef),"Vencida",IF(N($J75)&gt;0,"En curso","Pendiente"))))</f>
        <v/>
      </c>
      <c r="L75" s="56">
        <f>IF($N75="","",INDEX('Cronograma R. Financiero'!$O$5:$O$1000,$N75)&amp;"")</f>
        <v/>
      </c>
      <c r="M75" s="62">
        <f>IF($N75="","",INDEX('Cronograma R. Financiero'!$Q$5:$Q$1000,$N75)&amp;"")</f>
        <v/>
      </c>
      <c r="N75">
        <f>IFERROR(MATCH(ROW()-4,rOrden_RF,0),"")</f>
        <v/>
      </c>
      <c r="O75">
        <f>IF($N75="","",INDEX('Cronograma R. Financiero'!$V$5:$V$1000,$N75))</f>
        <v/>
      </c>
      <c r="P75">
        <f>IF($N75="","",N(INDEX('Cronograma R. Financiero'!$W$5:$W$1000,$N75)))</f>
        <v/>
      </c>
      <c r="Q75">
        <f>IF(OR(LEFT($L75,7)="Vencida",LEFT($L75,5)="Vence"),SUMPRODUCT(--(LEFT($L$5:$L75,7)="Vencida"))+SUMPRODUCT(--(LEFT($L$5:$L75,5)="Vence")),"")</f>
        <v/>
      </c>
    </row>
    <row r="76">
      <c r="A76" s="56">
        <f>IF($N76="","",INDEX('Cronograma R. Financiero'!$A$5:$A$1000,$N76))</f>
        <v/>
      </c>
      <c r="B76" s="62">
        <f>IF($N76="","",IF($O76="Sub","      ↳  "&amp;INDEX('Cronograma R. Financiero'!$C$5:$C$1000,$N76),INDEX('Cronograma R. Financiero'!$C$5:$C$1000,$N76)&amp;""))</f>
        <v/>
      </c>
      <c r="C76" s="79">
        <f>IF($N76="","",IF(INDEX('Cronograma R. Financiero'!$AM$5:$AM$1000,$N76)="","",INDEX('Cronograma R. Financiero'!$AM$5:$AM$1000,$N76)))</f>
        <v/>
      </c>
      <c r="D76" s="79">
        <f>IF($N76="","",IF(INDEX('Cronograma R. Financiero'!$AN$5:$AN$1000,$N76)="","",INDEX('Cronograma R. Financiero'!$AN$5:$AN$1000,$N76)))</f>
        <v/>
      </c>
      <c r="E76" s="56">
        <f>IF($N76="","",IF(NOT(ISNUMBER($D76)),"",IF($D76&lt;InicioCiclo,"Antes del ciclo",IF($D76&gt;=InicioCiclo+28,"Después del ciclo","Semana "&amp;(INT(($D76-InicioCiclo)/7)+1)))))</f>
        <v/>
      </c>
      <c r="F76" s="61">
        <f>IF($N76="","",IF($P76&gt;0,IF(1&lt;=SemanaActual,INDEX('Cronograma R. Financiero'!$AC$5:$AC$1000,$N76),""),IF(INDEX('Cronograma R. Financiero'!$I$5:$I$1000,$N76)="","",INDEX('Cronograma R. Financiero'!$I$5:$I$1000,$N76))))</f>
        <v/>
      </c>
      <c r="G76" s="61">
        <f>IF($N76="","",IF($P76&gt;0,IF(2&lt;=SemanaActual,INDEX('Cronograma R. Financiero'!$AD$5:$AD$1000,$N76),""),IF(INDEX('Cronograma R. Financiero'!$J$5:$J$1000,$N76)="","",INDEX('Cronograma R. Financiero'!$J$5:$J$1000,$N76))))</f>
        <v/>
      </c>
      <c r="H76" s="61">
        <f>IF($N76="","",IF($P76&gt;0,IF(3&lt;=SemanaActual,INDEX('Cronograma R. Financiero'!$AE$5:$AE$1000,$N76),""),IF(INDEX('Cronograma R. Financiero'!$K$5:$K$1000,$N76)="","",INDEX('Cronograma R. Financiero'!$K$5:$K$1000,$N76))))</f>
        <v/>
      </c>
      <c r="I76" s="61">
        <f>IF($N76="","",IF($P76&gt;0,IF(4&lt;=SemanaActual,INDEX('Cronograma R. Financiero'!$AF$5:$AF$1000,$N76),""),IF(INDEX('Cronograma R. Financiero'!$L$5:$L$1000,$N76)="","",INDEX('Cronograma R. Financiero'!$L$5:$L$1000,$N76))))</f>
        <v/>
      </c>
      <c r="J76" s="61">
        <f>IF($N76="","",INDEX('Cronograma R. Financiero'!$M$5:$M$1000,$N76))</f>
        <v/>
      </c>
      <c r="K76" s="56">
        <f>IF($N76="","",IF(N($J76)&gt;=1,"Completado",IF(AND(ISNUMBER($D76),$D76&lt;FechaRef),"Vencida",IF(N($J76)&gt;0,"En curso","Pendiente"))))</f>
        <v/>
      </c>
      <c r="L76" s="56">
        <f>IF($N76="","",INDEX('Cronograma R. Financiero'!$O$5:$O$1000,$N76)&amp;"")</f>
        <v/>
      </c>
      <c r="M76" s="62">
        <f>IF($N76="","",INDEX('Cronograma R. Financiero'!$Q$5:$Q$1000,$N76)&amp;"")</f>
        <v/>
      </c>
      <c r="N76">
        <f>IFERROR(MATCH(ROW()-4,rOrden_RF,0),"")</f>
        <v/>
      </c>
      <c r="O76">
        <f>IF($N76="","",INDEX('Cronograma R. Financiero'!$V$5:$V$1000,$N76))</f>
        <v/>
      </c>
      <c r="P76">
        <f>IF($N76="","",N(INDEX('Cronograma R. Financiero'!$W$5:$W$1000,$N76)))</f>
        <v/>
      </c>
      <c r="Q76">
        <f>IF(OR(LEFT($L76,7)="Vencida",LEFT($L76,5)="Vence"),SUMPRODUCT(--(LEFT($L$5:$L76,7)="Vencida"))+SUMPRODUCT(--(LEFT($L$5:$L76,5)="Vence")),"")</f>
        <v/>
      </c>
    </row>
    <row r="77">
      <c r="A77" s="56">
        <f>IF($N77="","",INDEX('Cronograma R. Financiero'!$A$5:$A$1000,$N77))</f>
        <v/>
      </c>
      <c r="B77" s="62">
        <f>IF($N77="","",IF($O77="Sub","      ↳  "&amp;INDEX('Cronograma R. Financiero'!$C$5:$C$1000,$N77),INDEX('Cronograma R. Financiero'!$C$5:$C$1000,$N77)&amp;""))</f>
        <v/>
      </c>
      <c r="C77" s="79">
        <f>IF($N77="","",IF(INDEX('Cronograma R. Financiero'!$AM$5:$AM$1000,$N77)="","",INDEX('Cronograma R. Financiero'!$AM$5:$AM$1000,$N77)))</f>
        <v/>
      </c>
      <c r="D77" s="79">
        <f>IF($N77="","",IF(INDEX('Cronograma R. Financiero'!$AN$5:$AN$1000,$N77)="","",INDEX('Cronograma R. Financiero'!$AN$5:$AN$1000,$N77)))</f>
        <v/>
      </c>
      <c r="E77" s="56">
        <f>IF($N77="","",IF(NOT(ISNUMBER($D77)),"",IF($D77&lt;InicioCiclo,"Antes del ciclo",IF($D77&gt;=InicioCiclo+28,"Después del ciclo","Semana "&amp;(INT(($D77-InicioCiclo)/7)+1)))))</f>
        <v/>
      </c>
      <c r="F77" s="61">
        <f>IF($N77="","",IF($P77&gt;0,IF(1&lt;=SemanaActual,INDEX('Cronograma R. Financiero'!$AC$5:$AC$1000,$N77),""),IF(INDEX('Cronograma R. Financiero'!$I$5:$I$1000,$N77)="","",INDEX('Cronograma R. Financiero'!$I$5:$I$1000,$N77))))</f>
        <v/>
      </c>
      <c r="G77" s="61">
        <f>IF($N77="","",IF($P77&gt;0,IF(2&lt;=SemanaActual,INDEX('Cronograma R. Financiero'!$AD$5:$AD$1000,$N77),""),IF(INDEX('Cronograma R. Financiero'!$J$5:$J$1000,$N77)="","",INDEX('Cronograma R. Financiero'!$J$5:$J$1000,$N77))))</f>
        <v/>
      </c>
      <c r="H77" s="61">
        <f>IF($N77="","",IF($P77&gt;0,IF(3&lt;=SemanaActual,INDEX('Cronograma R. Financiero'!$AE$5:$AE$1000,$N77),""),IF(INDEX('Cronograma R. Financiero'!$K$5:$K$1000,$N77)="","",INDEX('Cronograma R. Financiero'!$K$5:$K$1000,$N77))))</f>
        <v/>
      </c>
      <c r="I77" s="61">
        <f>IF($N77="","",IF($P77&gt;0,IF(4&lt;=SemanaActual,INDEX('Cronograma R. Financiero'!$AF$5:$AF$1000,$N77),""),IF(INDEX('Cronograma R. Financiero'!$L$5:$L$1000,$N77)="","",INDEX('Cronograma R. Financiero'!$L$5:$L$1000,$N77))))</f>
        <v/>
      </c>
      <c r="J77" s="61">
        <f>IF($N77="","",INDEX('Cronograma R. Financiero'!$M$5:$M$1000,$N77))</f>
        <v/>
      </c>
      <c r="K77" s="56">
        <f>IF($N77="","",IF(N($J77)&gt;=1,"Completado",IF(AND(ISNUMBER($D77),$D77&lt;FechaRef),"Vencida",IF(N($J77)&gt;0,"En curso","Pendiente"))))</f>
        <v/>
      </c>
      <c r="L77" s="56">
        <f>IF($N77="","",INDEX('Cronograma R. Financiero'!$O$5:$O$1000,$N77)&amp;"")</f>
        <v/>
      </c>
      <c r="M77" s="62">
        <f>IF($N77="","",INDEX('Cronograma R. Financiero'!$Q$5:$Q$1000,$N77)&amp;"")</f>
        <v/>
      </c>
      <c r="N77">
        <f>IFERROR(MATCH(ROW()-4,rOrden_RF,0),"")</f>
        <v/>
      </c>
      <c r="O77">
        <f>IF($N77="","",INDEX('Cronograma R. Financiero'!$V$5:$V$1000,$N77))</f>
        <v/>
      </c>
      <c r="P77">
        <f>IF($N77="","",N(INDEX('Cronograma R. Financiero'!$W$5:$W$1000,$N77)))</f>
        <v/>
      </c>
      <c r="Q77">
        <f>IF(OR(LEFT($L77,7)="Vencida",LEFT($L77,5)="Vence"),SUMPRODUCT(--(LEFT($L$5:$L77,7)="Vencida"))+SUMPRODUCT(--(LEFT($L$5:$L77,5)="Vence")),"")</f>
        <v/>
      </c>
    </row>
    <row r="78">
      <c r="A78" s="56">
        <f>IF($N78="","",INDEX('Cronograma R. Financiero'!$A$5:$A$1000,$N78))</f>
        <v/>
      </c>
      <c r="B78" s="62">
        <f>IF($N78="","",IF($O78="Sub","      ↳  "&amp;INDEX('Cronograma R. Financiero'!$C$5:$C$1000,$N78),INDEX('Cronograma R. Financiero'!$C$5:$C$1000,$N78)&amp;""))</f>
        <v/>
      </c>
      <c r="C78" s="79">
        <f>IF($N78="","",IF(INDEX('Cronograma R. Financiero'!$AM$5:$AM$1000,$N78)="","",INDEX('Cronograma R. Financiero'!$AM$5:$AM$1000,$N78)))</f>
        <v/>
      </c>
      <c r="D78" s="79">
        <f>IF($N78="","",IF(INDEX('Cronograma R. Financiero'!$AN$5:$AN$1000,$N78)="","",INDEX('Cronograma R. Financiero'!$AN$5:$AN$1000,$N78)))</f>
        <v/>
      </c>
      <c r="E78" s="56">
        <f>IF($N78="","",IF(NOT(ISNUMBER($D78)),"",IF($D78&lt;InicioCiclo,"Antes del ciclo",IF($D78&gt;=InicioCiclo+28,"Después del ciclo","Semana "&amp;(INT(($D78-InicioCiclo)/7)+1)))))</f>
        <v/>
      </c>
      <c r="F78" s="61">
        <f>IF($N78="","",IF($P78&gt;0,IF(1&lt;=SemanaActual,INDEX('Cronograma R. Financiero'!$AC$5:$AC$1000,$N78),""),IF(INDEX('Cronograma R. Financiero'!$I$5:$I$1000,$N78)="","",INDEX('Cronograma R. Financiero'!$I$5:$I$1000,$N78))))</f>
        <v/>
      </c>
      <c r="G78" s="61">
        <f>IF($N78="","",IF($P78&gt;0,IF(2&lt;=SemanaActual,INDEX('Cronograma R. Financiero'!$AD$5:$AD$1000,$N78),""),IF(INDEX('Cronograma R. Financiero'!$J$5:$J$1000,$N78)="","",INDEX('Cronograma R. Financiero'!$J$5:$J$1000,$N78))))</f>
        <v/>
      </c>
      <c r="H78" s="61">
        <f>IF($N78="","",IF($P78&gt;0,IF(3&lt;=SemanaActual,INDEX('Cronograma R. Financiero'!$AE$5:$AE$1000,$N78),""),IF(INDEX('Cronograma R. Financiero'!$K$5:$K$1000,$N78)="","",INDEX('Cronograma R. Financiero'!$K$5:$K$1000,$N78))))</f>
        <v/>
      </c>
      <c r="I78" s="61">
        <f>IF($N78="","",IF($P78&gt;0,IF(4&lt;=SemanaActual,INDEX('Cronograma R. Financiero'!$AF$5:$AF$1000,$N78),""),IF(INDEX('Cronograma R. Financiero'!$L$5:$L$1000,$N78)="","",INDEX('Cronograma R. Financiero'!$L$5:$L$1000,$N78))))</f>
        <v/>
      </c>
      <c r="J78" s="61">
        <f>IF($N78="","",INDEX('Cronograma R. Financiero'!$M$5:$M$1000,$N78))</f>
        <v/>
      </c>
      <c r="K78" s="56">
        <f>IF($N78="","",IF(N($J78)&gt;=1,"Completado",IF(AND(ISNUMBER($D78),$D78&lt;FechaRef),"Vencida",IF(N($J78)&gt;0,"En curso","Pendiente"))))</f>
        <v/>
      </c>
      <c r="L78" s="56">
        <f>IF($N78="","",INDEX('Cronograma R. Financiero'!$O$5:$O$1000,$N78)&amp;"")</f>
        <v/>
      </c>
      <c r="M78" s="62">
        <f>IF($N78="","",INDEX('Cronograma R. Financiero'!$Q$5:$Q$1000,$N78)&amp;"")</f>
        <v/>
      </c>
      <c r="N78">
        <f>IFERROR(MATCH(ROW()-4,rOrden_RF,0),"")</f>
        <v/>
      </c>
      <c r="O78">
        <f>IF($N78="","",INDEX('Cronograma R. Financiero'!$V$5:$V$1000,$N78))</f>
        <v/>
      </c>
      <c r="P78">
        <f>IF($N78="","",N(INDEX('Cronograma R. Financiero'!$W$5:$W$1000,$N78)))</f>
        <v/>
      </c>
      <c r="Q78">
        <f>IF(OR(LEFT($L78,7)="Vencida",LEFT($L78,5)="Vence"),SUMPRODUCT(--(LEFT($L$5:$L78,7)="Vencida"))+SUMPRODUCT(--(LEFT($L$5:$L78,5)="Vence")),"")</f>
        <v/>
      </c>
    </row>
    <row r="79">
      <c r="A79" s="56">
        <f>IF($N79="","",INDEX('Cronograma R. Financiero'!$A$5:$A$1000,$N79))</f>
        <v/>
      </c>
      <c r="B79" s="62">
        <f>IF($N79="","",IF($O79="Sub","      ↳  "&amp;INDEX('Cronograma R. Financiero'!$C$5:$C$1000,$N79),INDEX('Cronograma R. Financiero'!$C$5:$C$1000,$N79)&amp;""))</f>
        <v/>
      </c>
      <c r="C79" s="79">
        <f>IF($N79="","",IF(INDEX('Cronograma R. Financiero'!$AM$5:$AM$1000,$N79)="","",INDEX('Cronograma R. Financiero'!$AM$5:$AM$1000,$N79)))</f>
        <v/>
      </c>
      <c r="D79" s="79">
        <f>IF($N79="","",IF(INDEX('Cronograma R. Financiero'!$AN$5:$AN$1000,$N79)="","",INDEX('Cronograma R. Financiero'!$AN$5:$AN$1000,$N79)))</f>
        <v/>
      </c>
      <c r="E79" s="56">
        <f>IF($N79="","",IF(NOT(ISNUMBER($D79)),"",IF($D79&lt;InicioCiclo,"Antes del ciclo",IF($D79&gt;=InicioCiclo+28,"Después del ciclo","Semana "&amp;(INT(($D79-InicioCiclo)/7)+1)))))</f>
        <v/>
      </c>
      <c r="F79" s="61">
        <f>IF($N79="","",IF($P79&gt;0,IF(1&lt;=SemanaActual,INDEX('Cronograma R. Financiero'!$AC$5:$AC$1000,$N79),""),IF(INDEX('Cronograma R. Financiero'!$I$5:$I$1000,$N79)="","",INDEX('Cronograma R. Financiero'!$I$5:$I$1000,$N79))))</f>
        <v/>
      </c>
      <c r="G79" s="61">
        <f>IF($N79="","",IF($P79&gt;0,IF(2&lt;=SemanaActual,INDEX('Cronograma R. Financiero'!$AD$5:$AD$1000,$N79),""),IF(INDEX('Cronograma R. Financiero'!$J$5:$J$1000,$N79)="","",INDEX('Cronograma R. Financiero'!$J$5:$J$1000,$N79))))</f>
        <v/>
      </c>
      <c r="H79" s="61">
        <f>IF($N79="","",IF($P79&gt;0,IF(3&lt;=SemanaActual,INDEX('Cronograma R. Financiero'!$AE$5:$AE$1000,$N79),""),IF(INDEX('Cronograma R. Financiero'!$K$5:$K$1000,$N79)="","",INDEX('Cronograma R. Financiero'!$K$5:$K$1000,$N79))))</f>
        <v/>
      </c>
      <c r="I79" s="61">
        <f>IF($N79="","",IF($P79&gt;0,IF(4&lt;=SemanaActual,INDEX('Cronograma R. Financiero'!$AF$5:$AF$1000,$N79),""),IF(INDEX('Cronograma R. Financiero'!$L$5:$L$1000,$N79)="","",INDEX('Cronograma R. Financiero'!$L$5:$L$1000,$N79))))</f>
        <v/>
      </c>
      <c r="J79" s="61">
        <f>IF($N79="","",INDEX('Cronograma R. Financiero'!$M$5:$M$1000,$N79))</f>
        <v/>
      </c>
      <c r="K79" s="56">
        <f>IF($N79="","",IF(N($J79)&gt;=1,"Completado",IF(AND(ISNUMBER($D79),$D79&lt;FechaRef),"Vencida",IF(N($J79)&gt;0,"En curso","Pendiente"))))</f>
        <v/>
      </c>
      <c r="L79" s="56">
        <f>IF($N79="","",INDEX('Cronograma R. Financiero'!$O$5:$O$1000,$N79)&amp;"")</f>
        <v/>
      </c>
      <c r="M79" s="62">
        <f>IF($N79="","",INDEX('Cronograma R. Financiero'!$Q$5:$Q$1000,$N79)&amp;"")</f>
        <v/>
      </c>
      <c r="N79">
        <f>IFERROR(MATCH(ROW()-4,rOrden_RF,0),"")</f>
        <v/>
      </c>
      <c r="O79">
        <f>IF($N79="","",INDEX('Cronograma R. Financiero'!$V$5:$V$1000,$N79))</f>
        <v/>
      </c>
      <c r="P79">
        <f>IF($N79="","",N(INDEX('Cronograma R. Financiero'!$W$5:$W$1000,$N79)))</f>
        <v/>
      </c>
      <c r="Q79">
        <f>IF(OR(LEFT($L79,7)="Vencida",LEFT($L79,5)="Vence"),SUMPRODUCT(--(LEFT($L$5:$L79,7)="Vencida"))+SUMPRODUCT(--(LEFT($L$5:$L79,5)="Vence")),"")</f>
        <v/>
      </c>
    </row>
    <row r="80">
      <c r="A80" s="56">
        <f>IF($N80="","",INDEX('Cronograma R. Financiero'!$A$5:$A$1000,$N80))</f>
        <v/>
      </c>
      <c r="B80" s="62">
        <f>IF($N80="","",IF($O80="Sub","      ↳  "&amp;INDEX('Cronograma R. Financiero'!$C$5:$C$1000,$N80),INDEX('Cronograma R. Financiero'!$C$5:$C$1000,$N80)&amp;""))</f>
        <v/>
      </c>
      <c r="C80" s="79">
        <f>IF($N80="","",IF(INDEX('Cronograma R. Financiero'!$AM$5:$AM$1000,$N80)="","",INDEX('Cronograma R. Financiero'!$AM$5:$AM$1000,$N80)))</f>
        <v/>
      </c>
      <c r="D80" s="79">
        <f>IF($N80="","",IF(INDEX('Cronograma R. Financiero'!$AN$5:$AN$1000,$N80)="","",INDEX('Cronograma R. Financiero'!$AN$5:$AN$1000,$N80)))</f>
        <v/>
      </c>
      <c r="E80" s="56">
        <f>IF($N80="","",IF(NOT(ISNUMBER($D80)),"",IF($D80&lt;InicioCiclo,"Antes del ciclo",IF($D80&gt;=InicioCiclo+28,"Después del ciclo","Semana "&amp;(INT(($D80-InicioCiclo)/7)+1)))))</f>
        <v/>
      </c>
      <c r="F80" s="61">
        <f>IF($N80="","",IF($P80&gt;0,IF(1&lt;=SemanaActual,INDEX('Cronograma R. Financiero'!$AC$5:$AC$1000,$N80),""),IF(INDEX('Cronograma R. Financiero'!$I$5:$I$1000,$N80)="","",INDEX('Cronograma R. Financiero'!$I$5:$I$1000,$N80))))</f>
        <v/>
      </c>
      <c r="G80" s="61">
        <f>IF($N80="","",IF($P80&gt;0,IF(2&lt;=SemanaActual,INDEX('Cronograma R. Financiero'!$AD$5:$AD$1000,$N80),""),IF(INDEX('Cronograma R. Financiero'!$J$5:$J$1000,$N80)="","",INDEX('Cronograma R. Financiero'!$J$5:$J$1000,$N80))))</f>
        <v/>
      </c>
      <c r="H80" s="61">
        <f>IF($N80="","",IF($P80&gt;0,IF(3&lt;=SemanaActual,INDEX('Cronograma R. Financiero'!$AE$5:$AE$1000,$N80),""),IF(INDEX('Cronograma R. Financiero'!$K$5:$K$1000,$N80)="","",INDEX('Cronograma R. Financiero'!$K$5:$K$1000,$N80))))</f>
        <v/>
      </c>
      <c r="I80" s="61">
        <f>IF($N80="","",IF($P80&gt;0,IF(4&lt;=SemanaActual,INDEX('Cronograma R. Financiero'!$AF$5:$AF$1000,$N80),""),IF(INDEX('Cronograma R. Financiero'!$L$5:$L$1000,$N80)="","",INDEX('Cronograma R. Financiero'!$L$5:$L$1000,$N80))))</f>
        <v/>
      </c>
      <c r="J80" s="61">
        <f>IF($N80="","",INDEX('Cronograma R. Financiero'!$M$5:$M$1000,$N80))</f>
        <v/>
      </c>
      <c r="K80" s="56">
        <f>IF($N80="","",IF(N($J80)&gt;=1,"Completado",IF(AND(ISNUMBER($D80),$D80&lt;FechaRef),"Vencida",IF(N($J80)&gt;0,"En curso","Pendiente"))))</f>
        <v/>
      </c>
      <c r="L80" s="56">
        <f>IF($N80="","",INDEX('Cronograma R. Financiero'!$O$5:$O$1000,$N80)&amp;"")</f>
        <v/>
      </c>
      <c r="M80" s="62">
        <f>IF($N80="","",INDEX('Cronograma R. Financiero'!$Q$5:$Q$1000,$N80)&amp;"")</f>
        <v/>
      </c>
      <c r="N80">
        <f>IFERROR(MATCH(ROW()-4,rOrden_RF,0),"")</f>
        <v/>
      </c>
      <c r="O80">
        <f>IF($N80="","",INDEX('Cronograma R. Financiero'!$V$5:$V$1000,$N80))</f>
        <v/>
      </c>
      <c r="P80">
        <f>IF($N80="","",N(INDEX('Cronograma R. Financiero'!$W$5:$W$1000,$N80)))</f>
        <v/>
      </c>
      <c r="Q80">
        <f>IF(OR(LEFT($L80,7)="Vencida",LEFT($L80,5)="Vence"),SUMPRODUCT(--(LEFT($L$5:$L80,7)="Vencida"))+SUMPRODUCT(--(LEFT($L$5:$L80,5)="Vence")),"")</f>
        <v/>
      </c>
    </row>
    <row r="81">
      <c r="A81" s="56">
        <f>IF($N81="","",INDEX('Cronograma R. Financiero'!$A$5:$A$1000,$N81))</f>
        <v/>
      </c>
      <c r="B81" s="62">
        <f>IF($N81="","",IF($O81="Sub","      ↳  "&amp;INDEX('Cronograma R. Financiero'!$C$5:$C$1000,$N81),INDEX('Cronograma R. Financiero'!$C$5:$C$1000,$N81)&amp;""))</f>
        <v/>
      </c>
      <c r="C81" s="79">
        <f>IF($N81="","",IF(INDEX('Cronograma R. Financiero'!$AM$5:$AM$1000,$N81)="","",INDEX('Cronograma R. Financiero'!$AM$5:$AM$1000,$N81)))</f>
        <v/>
      </c>
      <c r="D81" s="79">
        <f>IF($N81="","",IF(INDEX('Cronograma R. Financiero'!$AN$5:$AN$1000,$N81)="","",INDEX('Cronograma R. Financiero'!$AN$5:$AN$1000,$N81)))</f>
        <v/>
      </c>
      <c r="E81" s="56">
        <f>IF($N81="","",IF(NOT(ISNUMBER($D81)),"",IF($D81&lt;InicioCiclo,"Antes del ciclo",IF($D81&gt;=InicioCiclo+28,"Después del ciclo","Semana "&amp;(INT(($D81-InicioCiclo)/7)+1)))))</f>
        <v/>
      </c>
      <c r="F81" s="61">
        <f>IF($N81="","",IF($P81&gt;0,IF(1&lt;=SemanaActual,INDEX('Cronograma R. Financiero'!$AC$5:$AC$1000,$N81),""),IF(INDEX('Cronograma R. Financiero'!$I$5:$I$1000,$N81)="","",INDEX('Cronograma R. Financiero'!$I$5:$I$1000,$N81))))</f>
        <v/>
      </c>
      <c r="G81" s="61">
        <f>IF($N81="","",IF($P81&gt;0,IF(2&lt;=SemanaActual,INDEX('Cronograma R. Financiero'!$AD$5:$AD$1000,$N81),""),IF(INDEX('Cronograma R. Financiero'!$J$5:$J$1000,$N81)="","",INDEX('Cronograma R. Financiero'!$J$5:$J$1000,$N81))))</f>
        <v/>
      </c>
      <c r="H81" s="61">
        <f>IF($N81="","",IF($P81&gt;0,IF(3&lt;=SemanaActual,INDEX('Cronograma R. Financiero'!$AE$5:$AE$1000,$N81),""),IF(INDEX('Cronograma R. Financiero'!$K$5:$K$1000,$N81)="","",INDEX('Cronograma R. Financiero'!$K$5:$K$1000,$N81))))</f>
        <v/>
      </c>
      <c r="I81" s="61">
        <f>IF($N81="","",IF($P81&gt;0,IF(4&lt;=SemanaActual,INDEX('Cronograma R. Financiero'!$AF$5:$AF$1000,$N81),""),IF(INDEX('Cronograma R. Financiero'!$L$5:$L$1000,$N81)="","",INDEX('Cronograma R. Financiero'!$L$5:$L$1000,$N81))))</f>
        <v/>
      </c>
      <c r="J81" s="61">
        <f>IF($N81="","",INDEX('Cronograma R. Financiero'!$M$5:$M$1000,$N81))</f>
        <v/>
      </c>
      <c r="K81" s="56">
        <f>IF($N81="","",IF(N($J81)&gt;=1,"Completado",IF(AND(ISNUMBER($D81),$D81&lt;FechaRef),"Vencida",IF(N($J81)&gt;0,"En curso","Pendiente"))))</f>
        <v/>
      </c>
      <c r="L81" s="56">
        <f>IF($N81="","",INDEX('Cronograma R. Financiero'!$O$5:$O$1000,$N81)&amp;"")</f>
        <v/>
      </c>
      <c r="M81" s="62">
        <f>IF($N81="","",INDEX('Cronograma R. Financiero'!$Q$5:$Q$1000,$N81)&amp;"")</f>
        <v/>
      </c>
      <c r="N81">
        <f>IFERROR(MATCH(ROW()-4,rOrden_RF,0),"")</f>
        <v/>
      </c>
      <c r="O81">
        <f>IF($N81="","",INDEX('Cronograma R. Financiero'!$V$5:$V$1000,$N81))</f>
        <v/>
      </c>
      <c r="P81">
        <f>IF($N81="","",N(INDEX('Cronograma R. Financiero'!$W$5:$W$1000,$N81)))</f>
        <v/>
      </c>
      <c r="Q81">
        <f>IF(OR(LEFT($L81,7)="Vencida",LEFT($L81,5)="Vence"),SUMPRODUCT(--(LEFT($L$5:$L81,7)="Vencida"))+SUMPRODUCT(--(LEFT($L$5:$L81,5)="Vence")),"")</f>
        <v/>
      </c>
    </row>
    <row r="82">
      <c r="A82" s="56">
        <f>IF($N82="","",INDEX('Cronograma R. Financiero'!$A$5:$A$1000,$N82))</f>
        <v/>
      </c>
      <c r="B82" s="62">
        <f>IF($N82="","",IF($O82="Sub","      ↳  "&amp;INDEX('Cronograma R. Financiero'!$C$5:$C$1000,$N82),INDEX('Cronograma R. Financiero'!$C$5:$C$1000,$N82)&amp;""))</f>
        <v/>
      </c>
      <c r="C82" s="79">
        <f>IF($N82="","",IF(INDEX('Cronograma R. Financiero'!$AM$5:$AM$1000,$N82)="","",INDEX('Cronograma R. Financiero'!$AM$5:$AM$1000,$N82)))</f>
        <v/>
      </c>
      <c r="D82" s="79">
        <f>IF($N82="","",IF(INDEX('Cronograma R. Financiero'!$AN$5:$AN$1000,$N82)="","",INDEX('Cronograma R. Financiero'!$AN$5:$AN$1000,$N82)))</f>
        <v/>
      </c>
      <c r="E82" s="56">
        <f>IF($N82="","",IF(NOT(ISNUMBER($D82)),"",IF($D82&lt;InicioCiclo,"Antes del ciclo",IF($D82&gt;=InicioCiclo+28,"Después del ciclo","Semana "&amp;(INT(($D82-InicioCiclo)/7)+1)))))</f>
        <v/>
      </c>
      <c r="F82" s="61">
        <f>IF($N82="","",IF($P82&gt;0,IF(1&lt;=SemanaActual,INDEX('Cronograma R. Financiero'!$AC$5:$AC$1000,$N82),""),IF(INDEX('Cronograma R. Financiero'!$I$5:$I$1000,$N82)="","",INDEX('Cronograma R. Financiero'!$I$5:$I$1000,$N82))))</f>
        <v/>
      </c>
      <c r="G82" s="61">
        <f>IF($N82="","",IF($P82&gt;0,IF(2&lt;=SemanaActual,INDEX('Cronograma R. Financiero'!$AD$5:$AD$1000,$N82),""),IF(INDEX('Cronograma R. Financiero'!$J$5:$J$1000,$N82)="","",INDEX('Cronograma R. Financiero'!$J$5:$J$1000,$N82))))</f>
        <v/>
      </c>
      <c r="H82" s="61">
        <f>IF($N82="","",IF($P82&gt;0,IF(3&lt;=SemanaActual,INDEX('Cronograma R. Financiero'!$AE$5:$AE$1000,$N82),""),IF(INDEX('Cronograma R. Financiero'!$K$5:$K$1000,$N82)="","",INDEX('Cronograma R. Financiero'!$K$5:$K$1000,$N82))))</f>
        <v/>
      </c>
      <c r="I82" s="61">
        <f>IF($N82="","",IF($P82&gt;0,IF(4&lt;=SemanaActual,INDEX('Cronograma R. Financiero'!$AF$5:$AF$1000,$N82),""),IF(INDEX('Cronograma R. Financiero'!$L$5:$L$1000,$N82)="","",INDEX('Cronograma R. Financiero'!$L$5:$L$1000,$N82))))</f>
        <v/>
      </c>
      <c r="J82" s="61">
        <f>IF($N82="","",INDEX('Cronograma R. Financiero'!$M$5:$M$1000,$N82))</f>
        <v/>
      </c>
      <c r="K82" s="56">
        <f>IF($N82="","",IF(N($J82)&gt;=1,"Completado",IF(AND(ISNUMBER($D82),$D82&lt;FechaRef),"Vencida",IF(N($J82)&gt;0,"En curso","Pendiente"))))</f>
        <v/>
      </c>
      <c r="L82" s="56">
        <f>IF($N82="","",INDEX('Cronograma R. Financiero'!$O$5:$O$1000,$N82)&amp;"")</f>
        <v/>
      </c>
      <c r="M82" s="62">
        <f>IF($N82="","",INDEX('Cronograma R. Financiero'!$Q$5:$Q$1000,$N82)&amp;"")</f>
        <v/>
      </c>
      <c r="N82">
        <f>IFERROR(MATCH(ROW()-4,rOrden_RF,0),"")</f>
        <v/>
      </c>
      <c r="O82">
        <f>IF($N82="","",INDEX('Cronograma R. Financiero'!$V$5:$V$1000,$N82))</f>
        <v/>
      </c>
      <c r="P82">
        <f>IF($N82="","",N(INDEX('Cronograma R. Financiero'!$W$5:$W$1000,$N82)))</f>
        <v/>
      </c>
      <c r="Q82">
        <f>IF(OR(LEFT($L82,7)="Vencida",LEFT($L82,5)="Vence"),SUMPRODUCT(--(LEFT($L$5:$L82,7)="Vencida"))+SUMPRODUCT(--(LEFT($L$5:$L82,5)="Vence")),"")</f>
        <v/>
      </c>
    </row>
    <row r="83">
      <c r="A83" s="56">
        <f>IF($N83="","",INDEX('Cronograma R. Financiero'!$A$5:$A$1000,$N83))</f>
        <v/>
      </c>
      <c r="B83" s="62">
        <f>IF($N83="","",IF($O83="Sub","      ↳  "&amp;INDEX('Cronograma R. Financiero'!$C$5:$C$1000,$N83),INDEX('Cronograma R. Financiero'!$C$5:$C$1000,$N83)&amp;""))</f>
        <v/>
      </c>
      <c r="C83" s="79">
        <f>IF($N83="","",IF(INDEX('Cronograma R. Financiero'!$AM$5:$AM$1000,$N83)="","",INDEX('Cronograma R. Financiero'!$AM$5:$AM$1000,$N83)))</f>
        <v/>
      </c>
      <c r="D83" s="79">
        <f>IF($N83="","",IF(INDEX('Cronograma R. Financiero'!$AN$5:$AN$1000,$N83)="","",INDEX('Cronograma R. Financiero'!$AN$5:$AN$1000,$N83)))</f>
        <v/>
      </c>
      <c r="E83" s="56">
        <f>IF($N83="","",IF(NOT(ISNUMBER($D83)),"",IF($D83&lt;InicioCiclo,"Antes del ciclo",IF($D83&gt;=InicioCiclo+28,"Después del ciclo","Semana "&amp;(INT(($D83-InicioCiclo)/7)+1)))))</f>
        <v/>
      </c>
      <c r="F83" s="61">
        <f>IF($N83="","",IF($P83&gt;0,IF(1&lt;=SemanaActual,INDEX('Cronograma R. Financiero'!$AC$5:$AC$1000,$N83),""),IF(INDEX('Cronograma R. Financiero'!$I$5:$I$1000,$N83)="","",INDEX('Cronograma R. Financiero'!$I$5:$I$1000,$N83))))</f>
        <v/>
      </c>
      <c r="G83" s="61">
        <f>IF($N83="","",IF($P83&gt;0,IF(2&lt;=SemanaActual,INDEX('Cronograma R. Financiero'!$AD$5:$AD$1000,$N83),""),IF(INDEX('Cronograma R. Financiero'!$J$5:$J$1000,$N83)="","",INDEX('Cronograma R. Financiero'!$J$5:$J$1000,$N83))))</f>
        <v/>
      </c>
      <c r="H83" s="61">
        <f>IF($N83="","",IF($P83&gt;0,IF(3&lt;=SemanaActual,INDEX('Cronograma R. Financiero'!$AE$5:$AE$1000,$N83),""),IF(INDEX('Cronograma R. Financiero'!$K$5:$K$1000,$N83)="","",INDEX('Cronograma R. Financiero'!$K$5:$K$1000,$N83))))</f>
        <v/>
      </c>
      <c r="I83" s="61">
        <f>IF($N83="","",IF($P83&gt;0,IF(4&lt;=SemanaActual,INDEX('Cronograma R. Financiero'!$AF$5:$AF$1000,$N83),""),IF(INDEX('Cronograma R. Financiero'!$L$5:$L$1000,$N83)="","",INDEX('Cronograma R. Financiero'!$L$5:$L$1000,$N83))))</f>
        <v/>
      </c>
      <c r="J83" s="61">
        <f>IF($N83="","",INDEX('Cronograma R. Financiero'!$M$5:$M$1000,$N83))</f>
        <v/>
      </c>
      <c r="K83" s="56">
        <f>IF($N83="","",IF(N($J83)&gt;=1,"Completado",IF(AND(ISNUMBER($D83),$D83&lt;FechaRef),"Vencida",IF(N($J83)&gt;0,"En curso","Pendiente"))))</f>
        <v/>
      </c>
      <c r="L83" s="56">
        <f>IF($N83="","",INDEX('Cronograma R. Financiero'!$O$5:$O$1000,$N83)&amp;"")</f>
        <v/>
      </c>
      <c r="M83" s="62">
        <f>IF($N83="","",INDEX('Cronograma R. Financiero'!$Q$5:$Q$1000,$N83)&amp;"")</f>
        <v/>
      </c>
      <c r="N83">
        <f>IFERROR(MATCH(ROW()-4,rOrden_RF,0),"")</f>
        <v/>
      </c>
      <c r="O83">
        <f>IF($N83="","",INDEX('Cronograma R. Financiero'!$V$5:$V$1000,$N83))</f>
        <v/>
      </c>
      <c r="P83">
        <f>IF($N83="","",N(INDEX('Cronograma R. Financiero'!$W$5:$W$1000,$N83)))</f>
        <v/>
      </c>
      <c r="Q83">
        <f>IF(OR(LEFT($L83,7)="Vencida",LEFT($L83,5)="Vence"),SUMPRODUCT(--(LEFT($L$5:$L83,7)="Vencida"))+SUMPRODUCT(--(LEFT($L$5:$L83,5)="Vence")),"")</f>
        <v/>
      </c>
    </row>
    <row r="84">
      <c r="A84" s="56">
        <f>IF($N84="","",INDEX('Cronograma R. Financiero'!$A$5:$A$1000,$N84))</f>
        <v/>
      </c>
      <c r="B84" s="62">
        <f>IF($N84="","",IF($O84="Sub","      ↳  "&amp;INDEX('Cronograma R. Financiero'!$C$5:$C$1000,$N84),INDEX('Cronograma R. Financiero'!$C$5:$C$1000,$N84)&amp;""))</f>
        <v/>
      </c>
      <c r="C84" s="79">
        <f>IF($N84="","",IF(INDEX('Cronograma R. Financiero'!$AM$5:$AM$1000,$N84)="","",INDEX('Cronograma R. Financiero'!$AM$5:$AM$1000,$N84)))</f>
        <v/>
      </c>
      <c r="D84" s="79">
        <f>IF($N84="","",IF(INDEX('Cronograma R. Financiero'!$AN$5:$AN$1000,$N84)="","",INDEX('Cronograma R. Financiero'!$AN$5:$AN$1000,$N84)))</f>
        <v/>
      </c>
      <c r="E84" s="56">
        <f>IF($N84="","",IF(NOT(ISNUMBER($D84)),"",IF($D84&lt;InicioCiclo,"Antes del ciclo",IF($D84&gt;=InicioCiclo+28,"Después del ciclo","Semana "&amp;(INT(($D84-InicioCiclo)/7)+1)))))</f>
        <v/>
      </c>
      <c r="F84" s="61">
        <f>IF($N84="","",IF($P84&gt;0,IF(1&lt;=SemanaActual,INDEX('Cronograma R. Financiero'!$AC$5:$AC$1000,$N84),""),IF(INDEX('Cronograma R. Financiero'!$I$5:$I$1000,$N84)="","",INDEX('Cronograma R. Financiero'!$I$5:$I$1000,$N84))))</f>
        <v/>
      </c>
      <c r="G84" s="61">
        <f>IF($N84="","",IF($P84&gt;0,IF(2&lt;=SemanaActual,INDEX('Cronograma R. Financiero'!$AD$5:$AD$1000,$N84),""),IF(INDEX('Cronograma R. Financiero'!$J$5:$J$1000,$N84)="","",INDEX('Cronograma R. Financiero'!$J$5:$J$1000,$N84))))</f>
        <v/>
      </c>
      <c r="H84" s="61">
        <f>IF($N84="","",IF($P84&gt;0,IF(3&lt;=SemanaActual,INDEX('Cronograma R. Financiero'!$AE$5:$AE$1000,$N84),""),IF(INDEX('Cronograma R. Financiero'!$K$5:$K$1000,$N84)="","",INDEX('Cronograma R. Financiero'!$K$5:$K$1000,$N84))))</f>
        <v/>
      </c>
      <c r="I84" s="61">
        <f>IF($N84="","",IF($P84&gt;0,IF(4&lt;=SemanaActual,INDEX('Cronograma R. Financiero'!$AF$5:$AF$1000,$N84),""),IF(INDEX('Cronograma R. Financiero'!$L$5:$L$1000,$N84)="","",INDEX('Cronograma R. Financiero'!$L$5:$L$1000,$N84))))</f>
        <v/>
      </c>
      <c r="J84" s="61">
        <f>IF($N84="","",INDEX('Cronograma R. Financiero'!$M$5:$M$1000,$N84))</f>
        <v/>
      </c>
      <c r="K84" s="56">
        <f>IF($N84="","",IF(N($J84)&gt;=1,"Completado",IF(AND(ISNUMBER($D84),$D84&lt;FechaRef),"Vencida",IF(N($J84)&gt;0,"En curso","Pendiente"))))</f>
        <v/>
      </c>
      <c r="L84" s="56">
        <f>IF($N84="","",INDEX('Cronograma R. Financiero'!$O$5:$O$1000,$N84)&amp;"")</f>
        <v/>
      </c>
      <c r="M84" s="62">
        <f>IF($N84="","",INDEX('Cronograma R. Financiero'!$Q$5:$Q$1000,$N84)&amp;"")</f>
        <v/>
      </c>
      <c r="N84">
        <f>IFERROR(MATCH(ROW()-4,rOrden_RF,0),"")</f>
        <v/>
      </c>
      <c r="O84">
        <f>IF($N84="","",INDEX('Cronograma R. Financiero'!$V$5:$V$1000,$N84))</f>
        <v/>
      </c>
      <c r="P84">
        <f>IF($N84="","",N(INDEX('Cronograma R. Financiero'!$W$5:$W$1000,$N84)))</f>
        <v/>
      </c>
      <c r="Q84">
        <f>IF(OR(LEFT($L84,7)="Vencida",LEFT($L84,5)="Vence"),SUMPRODUCT(--(LEFT($L$5:$L84,7)="Vencida"))+SUMPRODUCT(--(LEFT($L$5:$L84,5)="Vence")),"")</f>
        <v/>
      </c>
    </row>
    <row r="85">
      <c r="A85" s="56">
        <f>IF($N85="","",INDEX('Cronograma R. Financiero'!$A$5:$A$1000,$N85))</f>
        <v/>
      </c>
      <c r="B85" s="62">
        <f>IF($N85="","",IF($O85="Sub","      ↳  "&amp;INDEX('Cronograma R. Financiero'!$C$5:$C$1000,$N85),INDEX('Cronograma R. Financiero'!$C$5:$C$1000,$N85)&amp;""))</f>
        <v/>
      </c>
      <c r="C85" s="79">
        <f>IF($N85="","",IF(INDEX('Cronograma R. Financiero'!$AM$5:$AM$1000,$N85)="","",INDEX('Cronograma R. Financiero'!$AM$5:$AM$1000,$N85)))</f>
        <v/>
      </c>
      <c r="D85" s="79">
        <f>IF($N85="","",IF(INDEX('Cronograma R. Financiero'!$AN$5:$AN$1000,$N85)="","",INDEX('Cronograma R. Financiero'!$AN$5:$AN$1000,$N85)))</f>
        <v/>
      </c>
      <c r="E85" s="56">
        <f>IF($N85="","",IF(NOT(ISNUMBER($D85)),"",IF($D85&lt;InicioCiclo,"Antes del ciclo",IF($D85&gt;=InicioCiclo+28,"Después del ciclo","Semana "&amp;(INT(($D85-InicioCiclo)/7)+1)))))</f>
        <v/>
      </c>
      <c r="F85" s="61">
        <f>IF($N85="","",IF($P85&gt;0,IF(1&lt;=SemanaActual,INDEX('Cronograma R. Financiero'!$AC$5:$AC$1000,$N85),""),IF(INDEX('Cronograma R. Financiero'!$I$5:$I$1000,$N85)="","",INDEX('Cronograma R. Financiero'!$I$5:$I$1000,$N85))))</f>
        <v/>
      </c>
      <c r="G85" s="61">
        <f>IF($N85="","",IF($P85&gt;0,IF(2&lt;=SemanaActual,INDEX('Cronograma R. Financiero'!$AD$5:$AD$1000,$N85),""),IF(INDEX('Cronograma R. Financiero'!$J$5:$J$1000,$N85)="","",INDEX('Cronograma R. Financiero'!$J$5:$J$1000,$N85))))</f>
        <v/>
      </c>
      <c r="H85" s="61">
        <f>IF($N85="","",IF($P85&gt;0,IF(3&lt;=SemanaActual,INDEX('Cronograma R. Financiero'!$AE$5:$AE$1000,$N85),""),IF(INDEX('Cronograma R. Financiero'!$K$5:$K$1000,$N85)="","",INDEX('Cronograma R. Financiero'!$K$5:$K$1000,$N85))))</f>
        <v/>
      </c>
      <c r="I85" s="61">
        <f>IF($N85="","",IF($P85&gt;0,IF(4&lt;=SemanaActual,INDEX('Cronograma R. Financiero'!$AF$5:$AF$1000,$N85),""),IF(INDEX('Cronograma R. Financiero'!$L$5:$L$1000,$N85)="","",INDEX('Cronograma R. Financiero'!$L$5:$L$1000,$N85))))</f>
        <v/>
      </c>
      <c r="J85" s="61">
        <f>IF($N85="","",INDEX('Cronograma R. Financiero'!$M$5:$M$1000,$N85))</f>
        <v/>
      </c>
      <c r="K85" s="56">
        <f>IF($N85="","",IF(N($J85)&gt;=1,"Completado",IF(AND(ISNUMBER($D85),$D85&lt;FechaRef),"Vencida",IF(N($J85)&gt;0,"En curso","Pendiente"))))</f>
        <v/>
      </c>
      <c r="L85" s="56">
        <f>IF($N85="","",INDEX('Cronograma R. Financiero'!$O$5:$O$1000,$N85)&amp;"")</f>
        <v/>
      </c>
      <c r="M85" s="62">
        <f>IF($N85="","",INDEX('Cronograma R. Financiero'!$Q$5:$Q$1000,$N85)&amp;"")</f>
        <v/>
      </c>
      <c r="N85">
        <f>IFERROR(MATCH(ROW()-4,rOrden_RF,0),"")</f>
        <v/>
      </c>
      <c r="O85">
        <f>IF($N85="","",INDEX('Cronograma R. Financiero'!$V$5:$V$1000,$N85))</f>
        <v/>
      </c>
      <c r="P85">
        <f>IF($N85="","",N(INDEX('Cronograma R. Financiero'!$W$5:$W$1000,$N85)))</f>
        <v/>
      </c>
      <c r="Q85">
        <f>IF(OR(LEFT($L85,7)="Vencida",LEFT($L85,5)="Vence"),SUMPRODUCT(--(LEFT($L$5:$L85,7)="Vencida"))+SUMPRODUCT(--(LEFT($L$5:$L85,5)="Vence")),"")</f>
        <v/>
      </c>
    </row>
    <row r="86">
      <c r="A86" s="56">
        <f>IF($N86="","",INDEX('Cronograma R. Financiero'!$A$5:$A$1000,$N86))</f>
        <v/>
      </c>
      <c r="B86" s="62">
        <f>IF($N86="","",IF($O86="Sub","      ↳  "&amp;INDEX('Cronograma R. Financiero'!$C$5:$C$1000,$N86),INDEX('Cronograma R. Financiero'!$C$5:$C$1000,$N86)&amp;""))</f>
        <v/>
      </c>
      <c r="C86" s="79">
        <f>IF($N86="","",IF(INDEX('Cronograma R. Financiero'!$AM$5:$AM$1000,$N86)="","",INDEX('Cronograma R. Financiero'!$AM$5:$AM$1000,$N86)))</f>
        <v/>
      </c>
      <c r="D86" s="79">
        <f>IF($N86="","",IF(INDEX('Cronograma R. Financiero'!$AN$5:$AN$1000,$N86)="","",INDEX('Cronograma R. Financiero'!$AN$5:$AN$1000,$N86)))</f>
        <v/>
      </c>
      <c r="E86" s="56">
        <f>IF($N86="","",IF(NOT(ISNUMBER($D86)),"",IF($D86&lt;InicioCiclo,"Antes del ciclo",IF($D86&gt;=InicioCiclo+28,"Después del ciclo","Semana "&amp;(INT(($D86-InicioCiclo)/7)+1)))))</f>
        <v/>
      </c>
      <c r="F86" s="61">
        <f>IF($N86="","",IF($P86&gt;0,IF(1&lt;=SemanaActual,INDEX('Cronograma R. Financiero'!$AC$5:$AC$1000,$N86),""),IF(INDEX('Cronograma R. Financiero'!$I$5:$I$1000,$N86)="","",INDEX('Cronograma R. Financiero'!$I$5:$I$1000,$N86))))</f>
        <v/>
      </c>
      <c r="G86" s="61">
        <f>IF($N86="","",IF($P86&gt;0,IF(2&lt;=SemanaActual,INDEX('Cronograma R. Financiero'!$AD$5:$AD$1000,$N86),""),IF(INDEX('Cronograma R. Financiero'!$J$5:$J$1000,$N86)="","",INDEX('Cronograma R. Financiero'!$J$5:$J$1000,$N86))))</f>
        <v/>
      </c>
      <c r="H86" s="61">
        <f>IF($N86="","",IF($P86&gt;0,IF(3&lt;=SemanaActual,INDEX('Cronograma R. Financiero'!$AE$5:$AE$1000,$N86),""),IF(INDEX('Cronograma R. Financiero'!$K$5:$K$1000,$N86)="","",INDEX('Cronograma R. Financiero'!$K$5:$K$1000,$N86))))</f>
        <v/>
      </c>
      <c r="I86" s="61">
        <f>IF($N86="","",IF($P86&gt;0,IF(4&lt;=SemanaActual,INDEX('Cronograma R. Financiero'!$AF$5:$AF$1000,$N86),""),IF(INDEX('Cronograma R. Financiero'!$L$5:$L$1000,$N86)="","",INDEX('Cronograma R. Financiero'!$L$5:$L$1000,$N86))))</f>
        <v/>
      </c>
      <c r="J86" s="61">
        <f>IF($N86="","",INDEX('Cronograma R. Financiero'!$M$5:$M$1000,$N86))</f>
        <v/>
      </c>
      <c r="K86" s="56">
        <f>IF($N86="","",IF(N($J86)&gt;=1,"Completado",IF(AND(ISNUMBER($D86),$D86&lt;FechaRef),"Vencida",IF(N($J86)&gt;0,"En curso","Pendiente"))))</f>
        <v/>
      </c>
      <c r="L86" s="56">
        <f>IF($N86="","",INDEX('Cronograma R. Financiero'!$O$5:$O$1000,$N86)&amp;"")</f>
        <v/>
      </c>
      <c r="M86" s="62">
        <f>IF($N86="","",INDEX('Cronograma R. Financiero'!$Q$5:$Q$1000,$N86)&amp;"")</f>
        <v/>
      </c>
      <c r="N86">
        <f>IFERROR(MATCH(ROW()-4,rOrden_RF,0),"")</f>
        <v/>
      </c>
      <c r="O86">
        <f>IF($N86="","",INDEX('Cronograma R. Financiero'!$V$5:$V$1000,$N86))</f>
        <v/>
      </c>
      <c r="P86">
        <f>IF($N86="","",N(INDEX('Cronograma R. Financiero'!$W$5:$W$1000,$N86)))</f>
        <v/>
      </c>
      <c r="Q86">
        <f>IF(OR(LEFT($L86,7)="Vencida",LEFT($L86,5)="Vence"),SUMPRODUCT(--(LEFT($L$5:$L86,7)="Vencida"))+SUMPRODUCT(--(LEFT($L$5:$L86,5)="Vence")),"")</f>
        <v/>
      </c>
    </row>
    <row r="87">
      <c r="A87" s="56">
        <f>IF($N87="","",INDEX('Cronograma R. Financiero'!$A$5:$A$1000,$N87))</f>
        <v/>
      </c>
      <c r="B87" s="62">
        <f>IF($N87="","",IF($O87="Sub","      ↳  "&amp;INDEX('Cronograma R. Financiero'!$C$5:$C$1000,$N87),INDEX('Cronograma R. Financiero'!$C$5:$C$1000,$N87)&amp;""))</f>
        <v/>
      </c>
      <c r="C87" s="79">
        <f>IF($N87="","",IF(INDEX('Cronograma R. Financiero'!$AM$5:$AM$1000,$N87)="","",INDEX('Cronograma R. Financiero'!$AM$5:$AM$1000,$N87)))</f>
        <v/>
      </c>
      <c r="D87" s="79">
        <f>IF($N87="","",IF(INDEX('Cronograma R. Financiero'!$AN$5:$AN$1000,$N87)="","",INDEX('Cronograma R. Financiero'!$AN$5:$AN$1000,$N87)))</f>
        <v/>
      </c>
      <c r="E87" s="56">
        <f>IF($N87="","",IF(NOT(ISNUMBER($D87)),"",IF($D87&lt;InicioCiclo,"Antes del ciclo",IF($D87&gt;=InicioCiclo+28,"Después del ciclo","Semana "&amp;(INT(($D87-InicioCiclo)/7)+1)))))</f>
        <v/>
      </c>
      <c r="F87" s="61">
        <f>IF($N87="","",IF($P87&gt;0,IF(1&lt;=SemanaActual,INDEX('Cronograma R. Financiero'!$AC$5:$AC$1000,$N87),""),IF(INDEX('Cronograma R. Financiero'!$I$5:$I$1000,$N87)="","",INDEX('Cronograma R. Financiero'!$I$5:$I$1000,$N87))))</f>
        <v/>
      </c>
      <c r="G87" s="61">
        <f>IF($N87="","",IF($P87&gt;0,IF(2&lt;=SemanaActual,INDEX('Cronograma R. Financiero'!$AD$5:$AD$1000,$N87),""),IF(INDEX('Cronograma R. Financiero'!$J$5:$J$1000,$N87)="","",INDEX('Cronograma R. Financiero'!$J$5:$J$1000,$N87))))</f>
        <v/>
      </c>
      <c r="H87" s="61">
        <f>IF($N87="","",IF($P87&gt;0,IF(3&lt;=SemanaActual,INDEX('Cronograma R. Financiero'!$AE$5:$AE$1000,$N87),""),IF(INDEX('Cronograma R. Financiero'!$K$5:$K$1000,$N87)="","",INDEX('Cronograma R. Financiero'!$K$5:$K$1000,$N87))))</f>
        <v/>
      </c>
      <c r="I87" s="61">
        <f>IF($N87="","",IF($P87&gt;0,IF(4&lt;=SemanaActual,INDEX('Cronograma R. Financiero'!$AF$5:$AF$1000,$N87),""),IF(INDEX('Cronograma R. Financiero'!$L$5:$L$1000,$N87)="","",INDEX('Cronograma R. Financiero'!$L$5:$L$1000,$N87))))</f>
        <v/>
      </c>
      <c r="J87" s="61">
        <f>IF($N87="","",INDEX('Cronograma R. Financiero'!$M$5:$M$1000,$N87))</f>
        <v/>
      </c>
      <c r="K87" s="56">
        <f>IF($N87="","",IF(N($J87)&gt;=1,"Completado",IF(AND(ISNUMBER($D87),$D87&lt;FechaRef),"Vencida",IF(N($J87)&gt;0,"En curso","Pendiente"))))</f>
        <v/>
      </c>
      <c r="L87" s="56">
        <f>IF($N87="","",INDEX('Cronograma R. Financiero'!$O$5:$O$1000,$N87)&amp;"")</f>
        <v/>
      </c>
      <c r="M87" s="62">
        <f>IF($N87="","",INDEX('Cronograma R. Financiero'!$Q$5:$Q$1000,$N87)&amp;"")</f>
        <v/>
      </c>
      <c r="N87">
        <f>IFERROR(MATCH(ROW()-4,rOrden_RF,0),"")</f>
        <v/>
      </c>
      <c r="O87">
        <f>IF($N87="","",INDEX('Cronograma R. Financiero'!$V$5:$V$1000,$N87))</f>
        <v/>
      </c>
      <c r="P87">
        <f>IF($N87="","",N(INDEX('Cronograma R. Financiero'!$W$5:$W$1000,$N87)))</f>
        <v/>
      </c>
      <c r="Q87">
        <f>IF(OR(LEFT($L87,7)="Vencida",LEFT($L87,5)="Vence"),SUMPRODUCT(--(LEFT($L$5:$L87,7)="Vencida"))+SUMPRODUCT(--(LEFT($L$5:$L87,5)="Vence")),"")</f>
        <v/>
      </c>
    </row>
    <row r="88">
      <c r="A88" s="56">
        <f>IF($N88="","",INDEX('Cronograma R. Financiero'!$A$5:$A$1000,$N88))</f>
        <v/>
      </c>
      <c r="B88" s="62">
        <f>IF($N88="","",IF($O88="Sub","      ↳  "&amp;INDEX('Cronograma R. Financiero'!$C$5:$C$1000,$N88),INDEX('Cronograma R. Financiero'!$C$5:$C$1000,$N88)&amp;""))</f>
        <v/>
      </c>
      <c r="C88" s="79">
        <f>IF($N88="","",IF(INDEX('Cronograma R. Financiero'!$AM$5:$AM$1000,$N88)="","",INDEX('Cronograma R. Financiero'!$AM$5:$AM$1000,$N88)))</f>
        <v/>
      </c>
      <c r="D88" s="79">
        <f>IF($N88="","",IF(INDEX('Cronograma R. Financiero'!$AN$5:$AN$1000,$N88)="","",INDEX('Cronograma R. Financiero'!$AN$5:$AN$1000,$N88)))</f>
        <v/>
      </c>
      <c r="E88" s="56">
        <f>IF($N88="","",IF(NOT(ISNUMBER($D88)),"",IF($D88&lt;InicioCiclo,"Antes del ciclo",IF($D88&gt;=InicioCiclo+28,"Después del ciclo","Semana "&amp;(INT(($D88-InicioCiclo)/7)+1)))))</f>
        <v/>
      </c>
      <c r="F88" s="61">
        <f>IF($N88="","",IF($P88&gt;0,IF(1&lt;=SemanaActual,INDEX('Cronograma R. Financiero'!$AC$5:$AC$1000,$N88),""),IF(INDEX('Cronograma R. Financiero'!$I$5:$I$1000,$N88)="","",INDEX('Cronograma R. Financiero'!$I$5:$I$1000,$N88))))</f>
        <v/>
      </c>
      <c r="G88" s="61">
        <f>IF($N88="","",IF($P88&gt;0,IF(2&lt;=SemanaActual,INDEX('Cronograma R. Financiero'!$AD$5:$AD$1000,$N88),""),IF(INDEX('Cronograma R. Financiero'!$J$5:$J$1000,$N88)="","",INDEX('Cronograma R. Financiero'!$J$5:$J$1000,$N88))))</f>
        <v/>
      </c>
      <c r="H88" s="61">
        <f>IF($N88="","",IF($P88&gt;0,IF(3&lt;=SemanaActual,INDEX('Cronograma R. Financiero'!$AE$5:$AE$1000,$N88),""),IF(INDEX('Cronograma R. Financiero'!$K$5:$K$1000,$N88)="","",INDEX('Cronograma R. Financiero'!$K$5:$K$1000,$N88))))</f>
        <v/>
      </c>
      <c r="I88" s="61">
        <f>IF($N88="","",IF($P88&gt;0,IF(4&lt;=SemanaActual,INDEX('Cronograma R. Financiero'!$AF$5:$AF$1000,$N88),""),IF(INDEX('Cronograma R. Financiero'!$L$5:$L$1000,$N88)="","",INDEX('Cronograma R. Financiero'!$L$5:$L$1000,$N88))))</f>
        <v/>
      </c>
      <c r="J88" s="61">
        <f>IF($N88="","",INDEX('Cronograma R. Financiero'!$M$5:$M$1000,$N88))</f>
        <v/>
      </c>
      <c r="K88" s="56">
        <f>IF($N88="","",IF(N($J88)&gt;=1,"Completado",IF(AND(ISNUMBER($D88),$D88&lt;FechaRef),"Vencida",IF(N($J88)&gt;0,"En curso","Pendiente"))))</f>
        <v/>
      </c>
      <c r="L88" s="56">
        <f>IF($N88="","",INDEX('Cronograma R. Financiero'!$O$5:$O$1000,$N88)&amp;"")</f>
        <v/>
      </c>
      <c r="M88" s="62">
        <f>IF($N88="","",INDEX('Cronograma R. Financiero'!$Q$5:$Q$1000,$N88)&amp;"")</f>
        <v/>
      </c>
      <c r="N88">
        <f>IFERROR(MATCH(ROW()-4,rOrden_RF,0),"")</f>
        <v/>
      </c>
      <c r="O88">
        <f>IF($N88="","",INDEX('Cronograma R. Financiero'!$V$5:$V$1000,$N88))</f>
        <v/>
      </c>
      <c r="P88">
        <f>IF($N88="","",N(INDEX('Cronograma R. Financiero'!$W$5:$W$1000,$N88)))</f>
        <v/>
      </c>
      <c r="Q88">
        <f>IF(OR(LEFT($L88,7)="Vencida",LEFT($L88,5)="Vence"),SUMPRODUCT(--(LEFT($L$5:$L88,7)="Vencida"))+SUMPRODUCT(--(LEFT($L$5:$L88,5)="Vence")),"")</f>
        <v/>
      </c>
    </row>
    <row r="89">
      <c r="A89" s="56">
        <f>IF($N89="","",INDEX('Cronograma R. Financiero'!$A$5:$A$1000,$N89))</f>
        <v/>
      </c>
      <c r="B89" s="62">
        <f>IF($N89="","",IF($O89="Sub","      ↳  "&amp;INDEX('Cronograma R. Financiero'!$C$5:$C$1000,$N89),INDEX('Cronograma R. Financiero'!$C$5:$C$1000,$N89)&amp;""))</f>
        <v/>
      </c>
      <c r="C89" s="79">
        <f>IF($N89="","",IF(INDEX('Cronograma R. Financiero'!$AM$5:$AM$1000,$N89)="","",INDEX('Cronograma R. Financiero'!$AM$5:$AM$1000,$N89)))</f>
        <v/>
      </c>
      <c r="D89" s="79">
        <f>IF($N89="","",IF(INDEX('Cronograma R. Financiero'!$AN$5:$AN$1000,$N89)="","",INDEX('Cronograma R. Financiero'!$AN$5:$AN$1000,$N89)))</f>
        <v/>
      </c>
      <c r="E89" s="56">
        <f>IF($N89="","",IF(NOT(ISNUMBER($D89)),"",IF($D89&lt;InicioCiclo,"Antes del ciclo",IF($D89&gt;=InicioCiclo+28,"Después del ciclo","Semana "&amp;(INT(($D89-InicioCiclo)/7)+1)))))</f>
        <v/>
      </c>
      <c r="F89" s="61">
        <f>IF($N89="","",IF($P89&gt;0,IF(1&lt;=SemanaActual,INDEX('Cronograma R. Financiero'!$AC$5:$AC$1000,$N89),""),IF(INDEX('Cronograma R. Financiero'!$I$5:$I$1000,$N89)="","",INDEX('Cronograma R. Financiero'!$I$5:$I$1000,$N89))))</f>
        <v/>
      </c>
      <c r="G89" s="61">
        <f>IF($N89="","",IF($P89&gt;0,IF(2&lt;=SemanaActual,INDEX('Cronograma R. Financiero'!$AD$5:$AD$1000,$N89),""),IF(INDEX('Cronograma R. Financiero'!$J$5:$J$1000,$N89)="","",INDEX('Cronograma R. Financiero'!$J$5:$J$1000,$N89))))</f>
        <v/>
      </c>
      <c r="H89" s="61">
        <f>IF($N89="","",IF($P89&gt;0,IF(3&lt;=SemanaActual,INDEX('Cronograma R. Financiero'!$AE$5:$AE$1000,$N89),""),IF(INDEX('Cronograma R. Financiero'!$K$5:$K$1000,$N89)="","",INDEX('Cronograma R. Financiero'!$K$5:$K$1000,$N89))))</f>
        <v/>
      </c>
      <c r="I89" s="61">
        <f>IF($N89="","",IF($P89&gt;0,IF(4&lt;=SemanaActual,INDEX('Cronograma R. Financiero'!$AF$5:$AF$1000,$N89),""),IF(INDEX('Cronograma R. Financiero'!$L$5:$L$1000,$N89)="","",INDEX('Cronograma R. Financiero'!$L$5:$L$1000,$N89))))</f>
        <v/>
      </c>
      <c r="J89" s="61">
        <f>IF($N89="","",INDEX('Cronograma R. Financiero'!$M$5:$M$1000,$N89))</f>
        <v/>
      </c>
      <c r="K89" s="56">
        <f>IF($N89="","",IF(N($J89)&gt;=1,"Completado",IF(AND(ISNUMBER($D89),$D89&lt;FechaRef),"Vencida",IF(N($J89)&gt;0,"En curso","Pendiente"))))</f>
        <v/>
      </c>
      <c r="L89" s="56">
        <f>IF($N89="","",INDEX('Cronograma R. Financiero'!$O$5:$O$1000,$N89)&amp;"")</f>
        <v/>
      </c>
      <c r="M89" s="62">
        <f>IF($N89="","",INDEX('Cronograma R. Financiero'!$Q$5:$Q$1000,$N89)&amp;"")</f>
        <v/>
      </c>
      <c r="N89">
        <f>IFERROR(MATCH(ROW()-4,rOrden_RF,0),"")</f>
        <v/>
      </c>
      <c r="O89">
        <f>IF($N89="","",INDEX('Cronograma R. Financiero'!$V$5:$V$1000,$N89))</f>
        <v/>
      </c>
      <c r="P89">
        <f>IF($N89="","",N(INDEX('Cronograma R. Financiero'!$W$5:$W$1000,$N89)))</f>
        <v/>
      </c>
      <c r="Q89">
        <f>IF(OR(LEFT($L89,7)="Vencida",LEFT($L89,5)="Vence"),SUMPRODUCT(--(LEFT($L$5:$L89,7)="Vencida"))+SUMPRODUCT(--(LEFT($L$5:$L89,5)="Vence")),"")</f>
        <v/>
      </c>
    </row>
    <row r="90">
      <c r="A90" s="56">
        <f>IF($N90="","",INDEX('Cronograma R. Financiero'!$A$5:$A$1000,$N90))</f>
        <v/>
      </c>
      <c r="B90" s="62">
        <f>IF($N90="","",IF($O90="Sub","      ↳  "&amp;INDEX('Cronograma R. Financiero'!$C$5:$C$1000,$N90),INDEX('Cronograma R. Financiero'!$C$5:$C$1000,$N90)&amp;""))</f>
        <v/>
      </c>
      <c r="C90" s="79">
        <f>IF($N90="","",IF(INDEX('Cronograma R. Financiero'!$AM$5:$AM$1000,$N90)="","",INDEX('Cronograma R. Financiero'!$AM$5:$AM$1000,$N90)))</f>
        <v/>
      </c>
      <c r="D90" s="79">
        <f>IF($N90="","",IF(INDEX('Cronograma R. Financiero'!$AN$5:$AN$1000,$N90)="","",INDEX('Cronograma R. Financiero'!$AN$5:$AN$1000,$N90)))</f>
        <v/>
      </c>
      <c r="E90" s="56">
        <f>IF($N90="","",IF(NOT(ISNUMBER($D90)),"",IF($D90&lt;InicioCiclo,"Antes del ciclo",IF($D90&gt;=InicioCiclo+28,"Después del ciclo","Semana "&amp;(INT(($D90-InicioCiclo)/7)+1)))))</f>
        <v/>
      </c>
      <c r="F90" s="61">
        <f>IF($N90="","",IF($P90&gt;0,IF(1&lt;=SemanaActual,INDEX('Cronograma R. Financiero'!$AC$5:$AC$1000,$N90),""),IF(INDEX('Cronograma R. Financiero'!$I$5:$I$1000,$N90)="","",INDEX('Cronograma R. Financiero'!$I$5:$I$1000,$N90))))</f>
        <v/>
      </c>
      <c r="G90" s="61">
        <f>IF($N90="","",IF($P90&gt;0,IF(2&lt;=SemanaActual,INDEX('Cronograma R. Financiero'!$AD$5:$AD$1000,$N90),""),IF(INDEX('Cronograma R. Financiero'!$J$5:$J$1000,$N90)="","",INDEX('Cronograma R. Financiero'!$J$5:$J$1000,$N90))))</f>
        <v/>
      </c>
      <c r="H90" s="61">
        <f>IF($N90="","",IF($P90&gt;0,IF(3&lt;=SemanaActual,INDEX('Cronograma R. Financiero'!$AE$5:$AE$1000,$N90),""),IF(INDEX('Cronograma R. Financiero'!$K$5:$K$1000,$N90)="","",INDEX('Cronograma R. Financiero'!$K$5:$K$1000,$N90))))</f>
        <v/>
      </c>
      <c r="I90" s="61">
        <f>IF($N90="","",IF($P90&gt;0,IF(4&lt;=SemanaActual,INDEX('Cronograma R. Financiero'!$AF$5:$AF$1000,$N90),""),IF(INDEX('Cronograma R. Financiero'!$L$5:$L$1000,$N90)="","",INDEX('Cronograma R. Financiero'!$L$5:$L$1000,$N90))))</f>
        <v/>
      </c>
      <c r="J90" s="61">
        <f>IF($N90="","",INDEX('Cronograma R. Financiero'!$M$5:$M$1000,$N90))</f>
        <v/>
      </c>
      <c r="K90" s="56">
        <f>IF($N90="","",IF(N($J90)&gt;=1,"Completado",IF(AND(ISNUMBER($D90),$D90&lt;FechaRef),"Vencida",IF(N($J90)&gt;0,"En curso","Pendiente"))))</f>
        <v/>
      </c>
      <c r="L90" s="56">
        <f>IF($N90="","",INDEX('Cronograma R. Financiero'!$O$5:$O$1000,$N90)&amp;"")</f>
        <v/>
      </c>
      <c r="M90" s="62">
        <f>IF($N90="","",INDEX('Cronograma R. Financiero'!$Q$5:$Q$1000,$N90)&amp;"")</f>
        <v/>
      </c>
      <c r="N90">
        <f>IFERROR(MATCH(ROW()-4,rOrden_RF,0),"")</f>
        <v/>
      </c>
      <c r="O90">
        <f>IF($N90="","",INDEX('Cronograma R. Financiero'!$V$5:$V$1000,$N90))</f>
        <v/>
      </c>
      <c r="P90">
        <f>IF($N90="","",N(INDEX('Cronograma R. Financiero'!$W$5:$W$1000,$N90)))</f>
        <v/>
      </c>
      <c r="Q90">
        <f>IF(OR(LEFT($L90,7)="Vencida",LEFT($L90,5)="Vence"),SUMPRODUCT(--(LEFT($L$5:$L90,7)="Vencida"))+SUMPRODUCT(--(LEFT($L$5:$L90,5)="Vence")),"")</f>
        <v/>
      </c>
    </row>
    <row r="91">
      <c r="A91" s="56">
        <f>IF($N91="","",INDEX('Cronograma R. Financiero'!$A$5:$A$1000,$N91))</f>
        <v/>
      </c>
      <c r="B91" s="62">
        <f>IF($N91="","",IF($O91="Sub","      ↳  "&amp;INDEX('Cronograma R. Financiero'!$C$5:$C$1000,$N91),INDEX('Cronograma R. Financiero'!$C$5:$C$1000,$N91)&amp;""))</f>
        <v/>
      </c>
      <c r="C91" s="79">
        <f>IF($N91="","",IF(INDEX('Cronograma R. Financiero'!$AM$5:$AM$1000,$N91)="","",INDEX('Cronograma R. Financiero'!$AM$5:$AM$1000,$N91)))</f>
        <v/>
      </c>
      <c r="D91" s="79">
        <f>IF($N91="","",IF(INDEX('Cronograma R. Financiero'!$AN$5:$AN$1000,$N91)="","",INDEX('Cronograma R. Financiero'!$AN$5:$AN$1000,$N91)))</f>
        <v/>
      </c>
      <c r="E91" s="56">
        <f>IF($N91="","",IF(NOT(ISNUMBER($D91)),"",IF($D91&lt;InicioCiclo,"Antes del ciclo",IF($D91&gt;=InicioCiclo+28,"Después del ciclo","Semana "&amp;(INT(($D91-InicioCiclo)/7)+1)))))</f>
        <v/>
      </c>
      <c r="F91" s="61">
        <f>IF($N91="","",IF($P91&gt;0,IF(1&lt;=SemanaActual,INDEX('Cronograma R. Financiero'!$AC$5:$AC$1000,$N91),""),IF(INDEX('Cronograma R. Financiero'!$I$5:$I$1000,$N91)="","",INDEX('Cronograma R. Financiero'!$I$5:$I$1000,$N91))))</f>
        <v/>
      </c>
      <c r="G91" s="61">
        <f>IF($N91="","",IF($P91&gt;0,IF(2&lt;=SemanaActual,INDEX('Cronograma R. Financiero'!$AD$5:$AD$1000,$N91),""),IF(INDEX('Cronograma R. Financiero'!$J$5:$J$1000,$N91)="","",INDEX('Cronograma R. Financiero'!$J$5:$J$1000,$N91))))</f>
        <v/>
      </c>
      <c r="H91" s="61">
        <f>IF($N91="","",IF($P91&gt;0,IF(3&lt;=SemanaActual,INDEX('Cronograma R. Financiero'!$AE$5:$AE$1000,$N91),""),IF(INDEX('Cronograma R. Financiero'!$K$5:$K$1000,$N91)="","",INDEX('Cronograma R. Financiero'!$K$5:$K$1000,$N91))))</f>
        <v/>
      </c>
      <c r="I91" s="61">
        <f>IF($N91="","",IF($P91&gt;0,IF(4&lt;=SemanaActual,INDEX('Cronograma R. Financiero'!$AF$5:$AF$1000,$N91),""),IF(INDEX('Cronograma R. Financiero'!$L$5:$L$1000,$N91)="","",INDEX('Cronograma R. Financiero'!$L$5:$L$1000,$N91))))</f>
        <v/>
      </c>
      <c r="J91" s="61">
        <f>IF($N91="","",INDEX('Cronograma R. Financiero'!$M$5:$M$1000,$N91))</f>
        <v/>
      </c>
      <c r="K91" s="56">
        <f>IF($N91="","",IF(N($J91)&gt;=1,"Completado",IF(AND(ISNUMBER($D91),$D91&lt;FechaRef),"Vencida",IF(N($J91)&gt;0,"En curso","Pendiente"))))</f>
        <v/>
      </c>
      <c r="L91" s="56">
        <f>IF($N91="","",INDEX('Cronograma R. Financiero'!$O$5:$O$1000,$N91)&amp;"")</f>
        <v/>
      </c>
      <c r="M91" s="62">
        <f>IF($N91="","",INDEX('Cronograma R. Financiero'!$Q$5:$Q$1000,$N91)&amp;"")</f>
        <v/>
      </c>
      <c r="N91">
        <f>IFERROR(MATCH(ROW()-4,rOrden_RF,0),"")</f>
        <v/>
      </c>
      <c r="O91">
        <f>IF($N91="","",INDEX('Cronograma R. Financiero'!$V$5:$V$1000,$N91))</f>
        <v/>
      </c>
      <c r="P91">
        <f>IF($N91="","",N(INDEX('Cronograma R. Financiero'!$W$5:$W$1000,$N91)))</f>
        <v/>
      </c>
      <c r="Q91">
        <f>IF(OR(LEFT($L91,7)="Vencida",LEFT($L91,5)="Vence"),SUMPRODUCT(--(LEFT($L$5:$L91,7)="Vencida"))+SUMPRODUCT(--(LEFT($L$5:$L91,5)="Vence")),"")</f>
        <v/>
      </c>
    </row>
    <row r="92">
      <c r="A92" s="56">
        <f>IF($N92="","",INDEX('Cronograma R. Financiero'!$A$5:$A$1000,$N92))</f>
        <v/>
      </c>
      <c r="B92" s="62">
        <f>IF($N92="","",IF($O92="Sub","      ↳  "&amp;INDEX('Cronograma R. Financiero'!$C$5:$C$1000,$N92),INDEX('Cronograma R. Financiero'!$C$5:$C$1000,$N92)&amp;""))</f>
        <v/>
      </c>
      <c r="C92" s="79">
        <f>IF($N92="","",IF(INDEX('Cronograma R. Financiero'!$AM$5:$AM$1000,$N92)="","",INDEX('Cronograma R. Financiero'!$AM$5:$AM$1000,$N92)))</f>
        <v/>
      </c>
      <c r="D92" s="79">
        <f>IF($N92="","",IF(INDEX('Cronograma R. Financiero'!$AN$5:$AN$1000,$N92)="","",INDEX('Cronograma R. Financiero'!$AN$5:$AN$1000,$N92)))</f>
        <v/>
      </c>
      <c r="E92" s="56">
        <f>IF($N92="","",IF(NOT(ISNUMBER($D92)),"",IF($D92&lt;InicioCiclo,"Antes del ciclo",IF($D92&gt;=InicioCiclo+28,"Después del ciclo","Semana "&amp;(INT(($D92-InicioCiclo)/7)+1)))))</f>
        <v/>
      </c>
      <c r="F92" s="61">
        <f>IF($N92="","",IF($P92&gt;0,IF(1&lt;=SemanaActual,INDEX('Cronograma R. Financiero'!$AC$5:$AC$1000,$N92),""),IF(INDEX('Cronograma R. Financiero'!$I$5:$I$1000,$N92)="","",INDEX('Cronograma R. Financiero'!$I$5:$I$1000,$N92))))</f>
        <v/>
      </c>
      <c r="G92" s="61">
        <f>IF($N92="","",IF($P92&gt;0,IF(2&lt;=SemanaActual,INDEX('Cronograma R. Financiero'!$AD$5:$AD$1000,$N92),""),IF(INDEX('Cronograma R. Financiero'!$J$5:$J$1000,$N92)="","",INDEX('Cronograma R. Financiero'!$J$5:$J$1000,$N92))))</f>
        <v/>
      </c>
      <c r="H92" s="61">
        <f>IF($N92="","",IF($P92&gt;0,IF(3&lt;=SemanaActual,INDEX('Cronograma R. Financiero'!$AE$5:$AE$1000,$N92),""),IF(INDEX('Cronograma R. Financiero'!$K$5:$K$1000,$N92)="","",INDEX('Cronograma R. Financiero'!$K$5:$K$1000,$N92))))</f>
        <v/>
      </c>
      <c r="I92" s="61">
        <f>IF($N92="","",IF($P92&gt;0,IF(4&lt;=SemanaActual,INDEX('Cronograma R. Financiero'!$AF$5:$AF$1000,$N92),""),IF(INDEX('Cronograma R. Financiero'!$L$5:$L$1000,$N92)="","",INDEX('Cronograma R. Financiero'!$L$5:$L$1000,$N92))))</f>
        <v/>
      </c>
      <c r="J92" s="61">
        <f>IF($N92="","",INDEX('Cronograma R. Financiero'!$M$5:$M$1000,$N92))</f>
        <v/>
      </c>
      <c r="K92" s="56">
        <f>IF($N92="","",IF(N($J92)&gt;=1,"Completado",IF(AND(ISNUMBER($D92),$D92&lt;FechaRef),"Vencida",IF(N($J92)&gt;0,"En curso","Pendiente"))))</f>
        <v/>
      </c>
      <c r="L92" s="56">
        <f>IF($N92="","",INDEX('Cronograma R. Financiero'!$O$5:$O$1000,$N92)&amp;"")</f>
        <v/>
      </c>
      <c r="M92" s="62">
        <f>IF($N92="","",INDEX('Cronograma R. Financiero'!$Q$5:$Q$1000,$N92)&amp;"")</f>
        <v/>
      </c>
      <c r="N92">
        <f>IFERROR(MATCH(ROW()-4,rOrden_RF,0),"")</f>
        <v/>
      </c>
      <c r="O92">
        <f>IF($N92="","",INDEX('Cronograma R. Financiero'!$V$5:$V$1000,$N92))</f>
        <v/>
      </c>
      <c r="P92">
        <f>IF($N92="","",N(INDEX('Cronograma R. Financiero'!$W$5:$W$1000,$N92)))</f>
        <v/>
      </c>
      <c r="Q92">
        <f>IF(OR(LEFT($L92,7)="Vencida",LEFT($L92,5)="Vence"),SUMPRODUCT(--(LEFT($L$5:$L92,7)="Vencida"))+SUMPRODUCT(--(LEFT($L$5:$L92,5)="Vence")),"")</f>
        <v/>
      </c>
    </row>
    <row r="93">
      <c r="A93" s="56">
        <f>IF($N93="","",INDEX('Cronograma R. Financiero'!$A$5:$A$1000,$N93))</f>
        <v/>
      </c>
      <c r="B93" s="62">
        <f>IF($N93="","",IF($O93="Sub","      ↳  "&amp;INDEX('Cronograma R. Financiero'!$C$5:$C$1000,$N93),INDEX('Cronograma R. Financiero'!$C$5:$C$1000,$N93)&amp;""))</f>
        <v/>
      </c>
      <c r="C93" s="79">
        <f>IF($N93="","",IF(INDEX('Cronograma R. Financiero'!$AM$5:$AM$1000,$N93)="","",INDEX('Cronograma R. Financiero'!$AM$5:$AM$1000,$N93)))</f>
        <v/>
      </c>
      <c r="D93" s="79">
        <f>IF($N93="","",IF(INDEX('Cronograma R. Financiero'!$AN$5:$AN$1000,$N93)="","",INDEX('Cronograma R. Financiero'!$AN$5:$AN$1000,$N93)))</f>
        <v/>
      </c>
      <c r="E93" s="56">
        <f>IF($N93="","",IF(NOT(ISNUMBER($D93)),"",IF($D93&lt;InicioCiclo,"Antes del ciclo",IF($D93&gt;=InicioCiclo+28,"Después del ciclo","Semana "&amp;(INT(($D93-InicioCiclo)/7)+1)))))</f>
        <v/>
      </c>
      <c r="F93" s="61">
        <f>IF($N93="","",IF($P93&gt;0,IF(1&lt;=SemanaActual,INDEX('Cronograma R. Financiero'!$AC$5:$AC$1000,$N93),""),IF(INDEX('Cronograma R. Financiero'!$I$5:$I$1000,$N93)="","",INDEX('Cronograma R. Financiero'!$I$5:$I$1000,$N93))))</f>
        <v/>
      </c>
      <c r="G93" s="61">
        <f>IF($N93="","",IF($P93&gt;0,IF(2&lt;=SemanaActual,INDEX('Cronograma R. Financiero'!$AD$5:$AD$1000,$N93),""),IF(INDEX('Cronograma R. Financiero'!$J$5:$J$1000,$N93)="","",INDEX('Cronograma R. Financiero'!$J$5:$J$1000,$N93))))</f>
        <v/>
      </c>
      <c r="H93" s="61">
        <f>IF($N93="","",IF($P93&gt;0,IF(3&lt;=SemanaActual,INDEX('Cronograma R. Financiero'!$AE$5:$AE$1000,$N93),""),IF(INDEX('Cronograma R. Financiero'!$K$5:$K$1000,$N93)="","",INDEX('Cronograma R. Financiero'!$K$5:$K$1000,$N93))))</f>
        <v/>
      </c>
      <c r="I93" s="61">
        <f>IF($N93="","",IF($P93&gt;0,IF(4&lt;=SemanaActual,INDEX('Cronograma R. Financiero'!$AF$5:$AF$1000,$N93),""),IF(INDEX('Cronograma R. Financiero'!$L$5:$L$1000,$N93)="","",INDEX('Cronograma R. Financiero'!$L$5:$L$1000,$N93))))</f>
        <v/>
      </c>
      <c r="J93" s="61">
        <f>IF($N93="","",INDEX('Cronograma R. Financiero'!$M$5:$M$1000,$N93))</f>
        <v/>
      </c>
      <c r="K93" s="56">
        <f>IF($N93="","",IF(N($J93)&gt;=1,"Completado",IF(AND(ISNUMBER($D93),$D93&lt;FechaRef),"Vencida",IF(N($J93)&gt;0,"En curso","Pendiente"))))</f>
        <v/>
      </c>
      <c r="L93" s="56">
        <f>IF($N93="","",INDEX('Cronograma R. Financiero'!$O$5:$O$1000,$N93)&amp;"")</f>
        <v/>
      </c>
      <c r="M93" s="62">
        <f>IF($N93="","",INDEX('Cronograma R. Financiero'!$Q$5:$Q$1000,$N93)&amp;"")</f>
        <v/>
      </c>
      <c r="N93">
        <f>IFERROR(MATCH(ROW()-4,rOrden_RF,0),"")</f>
        <v/>
      </c>
      <c r="O93">
        <f>IF($N93="","",INDEX('Cronograma R. Financiero'!$V$5:$V$1000,$N93))</f>
        <v/>
      </c>
      <c r="P93">
        <f>IF($N93="","",N(INDEX('Cronograma R. Financiero'!$W$5:$W$1000,$N93)))</f>
        <v/>
      </c>
      <c r="Q93">
        <f>IF(OR(LEFT($L93,7)="Vencida",LEFT($L93,5)="Vence"),SUMPRODUCT(--(LEFT($L$5:$L93,7)="Vencida"))+SUMPRODUCT(--(LEFT($L$5:$L93,5)="Vence")),"")</f>
        <v/>
      </c>
    </row>
    <row r="94">
      <c r="A94" s="56">
        <f>IF($N94="","",INDEX('Cronograma R. Financiero'!$A$5:$A$1000,$N94))</f>
        <v/>
      </c>
      <c r="B94" s="62">
        <f>IF($N94="","",IF($O94="Sub","      ↳  "&amp;INDEX('Cronograma R. Financiero'!$C$5:$C$1000,$N94),INDEX('Cronograma R. Financiero'!$C$5:$C$1000,$N94)&amp;""))</f>
        <v/>
      </c>
      <c r="C94" s="79">
        <f>IF($N94="","",IF(INDEX('Cronograma R. Financiero'!$AM$5:$AM$1000,$N94)="","",INDEX('Cronograma R. Financiero'!$AM$5:$AM$1000,$N94)))</f>
        <v/>
      </c>
      <c r="D94" s="79">
        <f>IF($N94="","",IF(INDEX('Cronograma R. Financiero'!$AN$5:$AN$1000,$N94)="","",INDEX('Cronograma R. Financiero'!$AN$5:$AN$1000,$N94)))</f>
        <v/>
      </c>
      <c r="E94" s="56">
        <f>IF($N94="","",IF(NOT(ISNUMBER($D94)),"",IF($D94&lt;InicioCiclo,"Antes del ciclo",IF($D94&gt;=InicioCiclo+28,"Después del ciclo","Semana "&amp;(INT(($D94-InicioCiclo)/7)+1)))))</f>
        <v/>
      </c>
      <c r="F94" s="61">
        <f>IF($N94="","",IF($P94&gt;0,IF(1&lt;=SemanaActual,INDEX('Cronograma R. Financiero'!$AC$5:$AC$1000,$N94),""),IF(INDEX('Cronograma R. Financiero'!$I$5:$I$1000,$N94)="","",INDEX('Cronograma R. Financiero'!$I$5:$I$1000,$N94))))</f>
        <v/>
      </c>
      <c r="G94" s="61">
        <f>IF($N94="","",IF($P94&gt;0,IF(2&lt;=SemanaActual,INDEX('Cronograma R. Financiero'!$AD$5:$AD$1000,$N94),""),IF(INDEX('Cronograma R. Financiero'!$J$5:$J$1000,$N94)="","",INDEX('Cronograma R. Financiero'!$J$5:$J$1000,$N94))))</f>
        <v/>
      </c>
      <c r="H94" s="61">
        <f>IF($N94="","",IF($P94&gt;0,IF(3&lt;=SemanaActual,INDEX('Cronograma R. Financiero'!$AE$5:$AE$1000,$N94),""),IF(INDEX('Cronograma R. Financiero'!$K$5:$K$1000,$N94)="","",INDEX('Cronograma R. Financiero'!$K$5:$K$1000,$N94))))</f>
        <v/>
      </c>
      <c r="I94" s="61">
        <f>IF($N94="","",IF($P94&gt;0,IF(4&lt;=SemanaActual,INDEX('Cronograma R. Financiero'!$AF$5:$AF$1000,$N94),""),IF(INDEX('Cronograma R. Financiero'!$L$5:$L$1000,$N94)="","",INDEX('Cronograma R. Financiero'!$L$5:$L$1000,$N94))))</f>
        <v/>
      </c>
      <c r="J94" s="61">
        <f>IF($N94="","",INDEX('Cronograma R. Financiero'!$M$5:$M$1000,$N94))</f>
        <v/>
      </c>
      <c r="K94" s="56">
        <f>IF($N94="","",IF(N($J94)&gt;=1,"Completado",IF(AND(ISNUMBER($D94),$D94&lt;FechaRef),"Vencida",IF(N($J94)&gt;0,"En curso","Pendiente"))))</f>
        <v/>
      </c>
      <c r="L94" s="56">
        <f>IF($N94="","",INDEX('Cronograma R. Financiero'!$O$5:$O$1000,$N94)&amp;"")</f>
        <v/>
      </c>
      <c r="M94" s="62">
        <f>IF($N94="","",INDEX('Cronograma R. Financiero'!$Q$5:$Q$1000,$N94)&amp;"")</f>
        <v/>
      </c>
      <c r="N94">
        <f>IFERROR(MATCH(ROW()-4,rOrden_RF,0),"")</f>
        <v/>
      </c>
      <c r="O94">
        <f>IF($N94="","",INDEX('Cronograma R. Financiero'!$V$5:$V$1000,$N94))</f>
        <v/>
      </c>
      <c r="P94">
        <f>IF($N94="","",N(INDEX('Cronograma R. Financiero'!$W$5:$W$1000,$N94)))</f>
        <v/>
      </c>
      <c r="Q94">
        <f>IF(OR(LEFT($L94,7)="Vencida",LEFT($L94,5)="Vence"),SUMPRODUCT(--(LEFT($L$5:$L94,7)="Vencida"))+SUMPRODUCT(--(LEFT($L$5:$L94,5)="Vence")),"")</f>
        <v/>
      </c>
    </row>
    <row r="95">
      <c r="A95" s="56">
        <f>IF($N95="","",INDEX('Cronograma R. Financiero'!$A$5:$A$1000,$N95))</f>
        <v/>
      </c>
      <c r="B95" s="62">
        <f>IF($N95="","",IF($O95="Sub","      ↳  "&amp;INDEX('Cronograma R. Financiero'!$C$5:$C$1000,$N95),INDEX('Cronograma R. Financiero'!$C$5:$C$1000,$N95)&amp;""))</f>
        <v/>
      </c>
      <c r="C95" s="79">
        <f>IF($N95="","",IF(INDEX('Cronograma R. Financiero'!$AM$5:$AM$1000,$N95)="","",INDEX('Cronograma R. Financiero'!$AM$5:$AM$1000,$N95)))</f>
        <v/>
      </c>
      <c r="D95" s="79">
        <f>IF($N95="","",IF(INDEX('Cronograma R. Financiero'!$AN$5:$AN$1000,$N95)="","",INDEX('Cronograma R. Financiero'!$AN$5:$AN$1000,$N95)))</f>
        <v/>
      </c>
      <c r="E95" s="56">
        <f>IF($N95="","",IF(NOT(ISNUMBER($D95)),"",IF($D95&lt;InicioCiclo,"Antes del ciclo",IF($D95&gt;=InicioCiclo+28,"Después del ciclo","Semana "&amp;(INT(($D95-InicioCiclo)/7)+1)))))</f>
        <v/>
      </c>
      <c r="F95" s="61">
        <f>IF($N95="","",IF($P95&gt;0,IF(1&lt;=SemanaActual,INDEX('Cronograma R. Financiero'!$AC$5:$AC$1000,$N95),""),IF(INDEX('Cronograma R. Financiero'!$I$5:$I$1000,$N95)="","",INDEX('Cronograma R. Financiero'!$I$5:$I$1000,$N95))))</f>
        <v/>
      </c>
      <c r="G95" s="61">
        <f>IF($N95="","",IF($P95&gt;0,IF(2&lt;=SemanaActual,INDEX('Cronograma R. Financiero'!$AD$5:$AD$1000,$N95),""),IF(INDEX('Cronograma R. Financiero'!$J$5:$J$1000,$N95)="","",INDEX('Cronograma R. Financiero'!$J$5:$J$1000,$N95))))</f>
        <v/>
      </c>
      <c r="H95" s="61">
        <f>IF($N95="","",IF($P95&gt;0,IF(3&lt;=SemanaActual,INDEX('Cronograma R. Financiero'!$AE$5:$AE$1000,$N95),""),IF(INDEX('Cronograma R. Financiero'!$K$5:$K$1000,$N95)="","",INDEX('Cronograma R. Financiero'!$K$5:$K$1000,$N95))))</f>
        <v/>
      </c>
      <c r="I95" s="61">
        <f>IF($N95="","",IF($P95&gt;0,IF(4&lt;=SemanaActual,INDEX('Cronograma R. Financiero'!$AF$5:$AF$1000,$N95),""),IF(INDEX('Cronograma R. Financiero'!$L$5:$L$1000,$N95)="","",INDEX('Cronograma R. Financiero'!$L$5:$L$1000,$N95))))</f>
        <v/>
      </c>
      <c r="J95" s="61">
        <f>IF($N95="","",INDEX('Cronograma R. Financiero'!$M$5:$M$1000,$N95))</f>
        <v/>
      </c>
      <c r="K95" s="56">
        <f>IF($N95="","",IF(N($J95)&gt;=1,"Completado",IF(AND(ISNUMBER($D95),$D95&lt;FechaRef),"Vencida",IF(N($J95)&gt;0,"En curso","Pendiente"))))</f>
        <v/>
      </c>
      <c r="L95" s="56">
        <f>IF($N95="","",INDEX('Cronograma R. Financiero'!$O$5:$O$1000,$N95)&amp;"")</f>
        <v/>
      </c>
      <c r="M95" s="62">
        <f>IF($N95="","",INDEX('Cronograma R. Financiero'!$Q$5:$Q$1000,$N95)&amp;"")</f>
        <v/>
      </c>
      <c r="N95">
        <f>IFERROR(MATCH(ROW()-4,rOrden_RF,0),"")</f>
        <v/>
      </c>
      <c r="O95">
        <f>IF($N95="","",INDEX('Cronograma R. Financiero'!$V$5:$V$1000,$N95))</f>
        <v/>
      </c>
      <c r="P95">
        <f>IF($N95="","",N(INDEX('Cronograma R. Financiero'!$W$5:$W$1000,$N95)))</f>
        <v/>
      </c>
      <c r="Q95">
        <f>IF(OR(LEFT($L95,7)="Vencida",LEFT($L95,5)="Vence"),SUMPRODUCT(--(LEFT($L$5:$L95,7)="Vencida"))+SUMPRODUCT(--(LEFT($L$5:$L95,5)="Vence")),"")</f>
        <v/>
      </c>
    </row>
    <row r="96">
      <c r="A96" s="56">
        <f>IF($N96="","",INDEX('Cronograma R. Financiero'!$A$5:$A$1000,$N96))</f>
        <v/>
      </c>
      <c r="B96" s="62">
        <f>IF($N96="","",IF($O96="Sub","      ↳  "&amp;INDEX('Cronograma R. Financiero'!$C$5:$C$1000,$N96),INDEX('Cronograma R. Financiero'!$C$5:$C$1000,$N96)&amp;""))</f>
        <v/>
      </c>
      <c r="C96" s="79">
        <f>IF($N96="","",IF(INDEX('Cronograma R. Financiero'!$AM$5:$AM$1000,$N96)="","",INDEX('Cronograma R. Financiero'!$AM$5:$AM$1000,$N96)))</f>
        <v/>
      </c>
      <c r="D96" s="79">
        <f>IF($N96="","",IF(INDEX('Cronograma R. Financiero'!$AN$5:$AN$1000,$N96)="","",INDEX('Cronograma R. Financiero'!$AN$5:$AN$1000,$N96)))</f>
        <v/>
      </c>
      <c r="E96" s="56">
        <f>IF($N96="","",IF(NOT(ISNUMBER($D96)),"",IF($D96&lt;InicioCiclo,"Antes del ciclo",IF($D96&gt;=InicioCiclo+28,"Después del ciclo","Semana "&amp;(INT(($D96-InicioCiclo)/7)+1)))))</f>
        <v/>
      </c>
      <c r="F96" s="61">
        <f>IF($N96="","",IF($P96&gt;0,IF(1&lt;=SemanaActual,INDEX('Cronograma R. Financiero'!$AC$5:$AC$1000,$N96),""),IF(INDEX('Cronograma R. Financiero'!$I$5:$I$1000,$N96)="","",INDEX('Cronograma R. Financiero'!$I$5:$I$1000,$N96))))</f>
        <v/>
      </c>
      <c r="G96" s="61">
        <f>IF($N96="","",IF($P96&gt;0,IF(2&lt;=SemanaActual,INDEX('Cronograma R. Financiero'!$AD$5:$AD$1000,$N96),""),IF(INDEX('Cronograma R. Financiero'!$J$5:$J$1000,$N96)="","",INDEX('Cronograma R. Financiero'!$J$5:$J$1000,$N96))))</f>
        <v/>
      </c>
      <c r="H96" s="61">
        <f>IF($N96="","",IF($P96&gt;0,IF(3&lt;=SemanaActual,INDEX('Cronograma R. Financiero'!$AE$5:$AE$1000,$N96),""),IF(INDEX('Cronograma R. Financiero'!$K$5:$K$1000,$N96)="","",INDEX('Cronograma R. Financiero'!$K$5:$K$1000,$N96))))</f>
        <v/>
      </c>
      <c r="I96" s="61">
        <f>IF($N96="","",IF($P96&gt;0,IF(4&lt;=SemanaActual,INDEX('Cronograma R. Financiero'!$AF$5:$AF$1000,$N96),""),IF(INDEX('Cronograma R. Financiero'!$L$5:$L$1000,$N96)="","",INDEX('Cronograma R. Financiero'!$L$5:$L$1000,$N96))))</f>
        <v/>
      </c>
      <c r="J96" s="61">
        <f>IF($N96="","",INDEX('Cronograma R. Financiero'!$M$5:$M$1000,$N96))</f>
        <v/>
      </c>
      <c r="K96" s="56">
        <f>IF($N96="","",IF(N($J96)&gt;=1,"Completado",IF(AND(ISNUMBER($D96),$D96&lt;FechaRef),"Vencida",IF(N($J96)&gt;0,"En curso","Pendiente"))))</f>
        <v/>
      </c>
      <c r="L96" s="56">
        <f>IF($N96="","",INDEX('Cronograma R. Financiero'!$O$5:$O$1000,$N96)&amp;"")</f>
        <v/>
      </c>
      <c r="M96" s="62">
        <f>IF($N96="","",INDEX('Cronograma R. Financiero'!$Q$5:$Q$1000,$N96)&amp;"")</f>
        <v/>
      </c>
      <c r="N96">
        <f>IFERROR(MATCH(ROW()-4,rOrden_RF,0),"")</f>
        <v/>
      </c>
      <c r="O96">
        <f>IF($N96="","",INDEX('Cronograma R. Financiero'!$V$5:$V$1000,$N96))</f>
        <v/>
      </c>
      <c r="P96">
        <f>IF($N96="","",N(INDEX('Cronograma R. Financiero'!$W$5:$W$1000,$N96)))</f>
        <v/>
      </c>
      <c r="Q96">
        <f>IF(OR(LEFT($L96,7)="Vencida",LEFT($L96,5)="Vence"),SUMPRODUCT(--(LEFT($L$5:$L96,7)="Vencida"))+SUMPRODUCT(--(LEFT($L$5:$L96,5)="Vence")),"")</f>
        <v/>
      </c>
    </row>
    <row r="97">
      <c r="A97" s="56">
        <f>IF($N97="","",INDEX('Cronograma R. Financiero'!$A$5:$A$1000,$N97))</f>
        <v/>
      </c>
      <c r="B97" s="62">
        <f>IF($N97="","",IF($O97="Sub","      ↳  "&amp;INDEX('Cronograma R. Financiero'!$C$5:$C$1000,$N97),INDEX('Cronograma R. Financiero'!$C$5:$C$1000,$N97)&amp;""))</f>
        <v/>
      </c>
      <c r="C97" s="79">
        <f>IF($N97="","",IF(INDEX('Cronograma R. Financiero'!$AM$5:$AM$1000,$N97)="","",INDEX('Cronograma R. Financiero'!$AM$5:$AM$1000,$N97)))</f>
        <v/>
      </c>
      <c r="D97" s="79">
        <f>IF($N97="","",IF(INDEX('Cronograma R. Financiero'!$AN$5:$AN$1000,$N97)="","",INDEX('Cronograma R. Financiero'!$AN$5:$AN$1000,$N97)))</f>
        <v/>
      </c>
      <c r="E97" s="56">
        <f>IF($N97="","",IF(NOT(ISNUMBER($D97)),"",IF($D97&lt;InicioCiclo,"Antes del ciclo",IF($D97&gt;=InicioCiclo+28,"Después del ciclo","Semana "&amp;(INT(($D97-InicioCiclo)/7)+1)))))</f>
        <v/>
      </c>
      <c r="F97" s="61">
        <f>IF($N97="","",IF($P97&gt;0,IF(1&lt;=SemanaActual,INDEX('Cronograma R. Financiero'!$AC$5:$AC$1000,$N97),""),IF(INDEX('Cronograma R. Financiero'!$I$5:$I$1000,$N97)="","",INDEX('Cronograma R. Financiero'!$I$5:$I$1000,$N97))))</f>
        <v/>
      </c>
      <c r="G97" s="61">
        <f>IF($N97="","",IF($P97&gt;0,IF(2&lt;=SemanaActual,INDEX('Cronograma R. Financiero'!$AD$5:$AD$1000,$N97),""),IF(INDEX('Cronograma R. Financiero'!$J$5:$J$1000,$N97)="","",INDEX('Cronograma R. Financiero'!$J$5:$J$1000,$N97))))</f>
        <v/>
      </c>
      <c r="H97" s="61">
        <f>IF($N97="","",IF($P97&gt;0,IF(3&lt;=SemanaActual,INDEX('Cronograma R. Financiero'!$AE$5:$AE$1000,$N97),""),IF(INDEX('Cronograma R. Financiero'!$K$5:$K$1000,$N97)="","",INDEX('Cronograma R. Financiero'!$K$5:$K$1000,$N97))))</f>
        <v/>
      </c>
      <c r="I97" s="61">
        <f>IF($N97="","",IF($P97&gt;0,IF(4&lt;=SemanaActual,INDEX('Cronograma R. Financiero'!$AF$5:$AF$1000,$N97),""),IF(INDEX('Cronograma R. Financiero'!$L$5:$L$1000,$N97)="","",INDEX('Cronograma R. Financiero'!$L$5:$L$1000,$N97))))</f>
        <v/>
      </c>
      <c r="J97" s="61">
        <f>IF($N97="","",INDEX('Cronograma R. Financiero'!$M$5:$M$1000,$N97))</f>
        <v/>
      </c>
      <c r="K97" s="56">
        <f>IF($N97="","",IF(N($J97)&gt;=1,"Completado",IF(AND(ISNUMBER($D97),$D97&lt;FechaRef),"Vencida",IF(N($J97)&gt;0,"En curso","Pendiente"))))</f>
        <v/>
      </c>
      <c r="L97" s="56">
        <f>IF($N97="","",INDEX('Cronograma R. Financiero'!$O$5:$O$1000,$N97)&amp;"")</f>
        <v/>
      </c>
      <c r="M97" s="62">
        <f>IF($N97="","",INDEX('Cronograma R. Financiero'!$Q$5:$Q$1000,$N97)&amp;"")</f>
        <v/>
      </c>
      <c r="N97">
        <f>IFERROR(MATCH(ROW()-4,rOrden_RF,0),"")</f>
        <v/>
      </c>
      <c r="O97">
        <f>IF($N97="","",INDEX('Cronograma R. Financiero'!$V$5:$V$1000,$N97))</f>
        <v/>
      </c>
      <c r="P97">
        <f>IF($N97="","",N(INDEX('Cronograma R. Financiero'!$W$5:$W$1000,$N97)))</f>
        <v/>
      </c>
      <c r="Q97">
        <f>IF(OR(LEFT($L97,7)="Vencida",LEFT($L97,5)="Vence"),SUMPRODUCT(--(LEFT($L$5:$L97,7)="Vencida"))+SUMPRODUCT(--(LEFT($L$5:$L97,5)="Vence")),"")</f>
        <v/>
      </c>
    </row>
    <row r="98">
      <c r="A98" s="56">
        <f>IF($N98="","",INDEX('Cronograma R. Financiero'!$A$5:$A$1000,$N98))</f>
        <v/>
      </c>
      <c r="B98" s="62">
        <f>IF($N98="","",IF($O98="Sub","      ↳  "&amp;INDEX('Cronograma R. Financiero'!$C$5:$C$1000,$N98),INDEX('Cronograma R. Financiero'!$C$5:$C$1000,$N98)&amp;""))</f>
        <v/>
      </c>
      <c r="C98" s="79">
        <f>IF($N98="","",IF(INDEX('Cronograma R. Financiero'!$AM$5:$AM$1000,$N98)="","",INDEX('Cronograma R. Financiero'!$AM$5:$AM$1000,$N98)))</f>
        <v/>
      </c>
      <c r="D98" s="79">
        <f>IF($N98="","",IF(INDEX('Cronograma R. Financiero'!$AN$5:$AN$1000,$N98)="","",INDEX('Cronograma R. Financiero'!$AN$5:$AN$1000,$N98)))</f>
        <v/>
      </c>
      <c r="E98" s="56">
        <f>IF($N98="","",IF(NOT(ISNUMBER($D98)),"",IF($D98&lt;InicioCiclo,"Antes del ciclo",IF($D98&gt;=InicioCiclo+28,"Después del ciclo","Semana "&amp;(INT(($D98-InicioCiclo)/7)+1)))))</f>
        <v/>
      </c>
      <c r="F98" s="61">
        <f>IF($N98="","",IF($P98&gt;0,IF(1&lt;=SemanaActual,INDEX('Cronograma R. Financiero'!$AC$5:$AC$1000,$N98),""),IF(INDEX('Cronograma R. Financiero'!$I$5:$I$1000,$N98)="","",INDEX('Cronograma R. Financiero'!$I$5:$I$1000,$N98))))</f>
        <v/>
      </c>
      <c r="G98" s="61">
        <f>IF($N98="","",IF($P98&gt;0,IF(2&lt;=SemanaActual,INDEX('Cronograma R. Financiero'!$AD$5:$AD$1000,$N98),""),IF(INDEX('Cronograma R. Financiero'!$J$5:$J$1000,$N98)="","",INDEX('Cronograma R. Financiero'!$J$5:$J$1000,$N98))))</f>
        <v/>
      </c>
      <c r="H98" s="61">
        <f>IF($N98="","",IF($P98&gt;0,IF(3&lt;=SemanaActual,INDEX('Cronograma R. Financiero'!$AE$5:$AE$1000,$N98),""),IF(INDEX('Cronograma R. Financiero'!$K$5:$K$1000,$N98)="","",INDEX('Cronograma R. Financiero'!$K$5:$K$1000,$N98))))</f>
        <v/>
      </c>
      <c r="I98" s="61">
        <f>IF($N98="","",IF($P98&gt;0,IF(4&lt;=SemanaActual,INDEX('Cronograma R. Financiero'!$AF$5:$AF$1000,$N98),""),IF(INDEX('Cronograma R. Financiero'!$L$5:$L$1000,$N98)="","",INDEX('Cronograma R. Financiero'!$L$5:$L$1000,$N98))))</f>
        <v/>
      </c>
      <c r="J98" s="61">
        <f>IF($N98="","",INDEX('Cronograma R. Financiero'!$M$5:$M$1000,$N98))</f>
        <v/>
      </c>
      <c r="K98" s="56">
        <f>IF($N98="","",IF(N($J98)&gt;=1,"Completado",IF(AND(ISNUMBER($D98),$D98&lt;FechaRef),"Vencida",IF(N($J98)&gt;0,"En curso","Pendiente"))))</f>
        <v/>
      </c>
      <c r="L98" s="56">
        <f>IF($N98="","",INDEX('Cronograma R. Financiero'!$O$5:$O$1000,$N98)&amp;"")</f>
        <v/>
      </c>
      <c r="M98" s="62">
        <f>IF($N98="","",INDEX('Cronograma R. Financiero'!$Q$5:$Q$1000,$N98)&amp;"")</f>
        <v/>
      </c>
      <c r="N98">
        <f>IFERROR(MATCH(ROW()-4,rOrden_RF,0),"")</f>
        <v/>
      </c>
      <c r="O98">
        <f>IF($N98="","",INDEX('Cronograma R. Financiero'!$V$5:$V$1000,$N98))</f>
        <v/>
      </c>
      <c r="P98">
        <f>IF($N98="","",N(INDEX('Cronograma R. Financiero'!$W$5:$W$1000,$N98)))</f>
        <v/>
      </c>
      <c r="Q98">
        <f>IF(OR(LEFT($L98,7)="Vencida",LEFT($L98,5)="Vence"),SUMPRODUCT(--(LEFT($L$5:$L98,7)="Vencida"))+SUMPRODUCT(--(LEFT($L$5:$L98,5)="Vence")),"")</f>
        <v/>
      </c>
    </row>
    <row r="99">
      <c r="A99" s="56">
        <f>IF($N99="","",INDEX('Cronograma R. Financiero'!$A$5:$A$1000,$N99))</f>
        <v/>
      </c>
      <c r="B99" s="62">
        <f>IF($N99="","",IF($O99="Sub","      ↳  "&amp;INDEX('Cronograma R. Financiero'!$C$5:$C$1000,$N99),INDEX('Cronograma R. Financiero'!$C$5:$C$1000,$N99)&amp;""))</f>
        <v/>
      </c>
      <c r="C99" s="79">
        <f>IF($N99="","",IF(INDEX('Cronograma R. Financiero'!$AM$5:$AM$1000,$N99)="","",INDEX('Cronograma R. Financiero'!$AM$5:$AM$1000,$N99)))</f>
        <v/>
      </c>
      <c r="D99" s="79">
        <f>IF($N99="","",IF(INDEX('Cronograma R. Financiero'!$AN$5:$AN$1000,$N99)="","",INDEX('Cronograma R. Financiero'!$AN$5:$AN$1000,$N99)))</f>
        <v/>
      </c>
      <c r="E99" s="56">
        <f>IF($N99="","",IF(NOT(ISNUMBER($D99)),"",IF($D99&lt;InicioCiclo,"Antes del ciclo",IF($D99&gt;=InicioCiclo+28,"Después del ciclo","Semana "&amp;(INT(($D99-InicioCiclo)/7)+1)))))</f>
        <v/>
      </c>
      <c r="F99" s="61">
        <f>IF($N99="","",IF($P99&gt;0,IF(1&lt;=SemanaActual,INDEX('Cronograma R. Financiero'!$AC$5:$AC$1000,$N99),""),IF(INDEX('Cronograma R. Financiero'!$I$5:$I$1000,$N99)="","",INDEX('Cronograma R. Financiero'!$I$5:$I$1000,$N99))))</f>
        <v/>
      </c>
      <c r="G99" s="61">
        <f>IF($N99="","",IF($P99&gt;0,IF(2&lt;=SemanaActual,INDEX('Cronograma R. Financiero'!$AD$5:$AD$1000,$N99),""),IF(INDEX('Cronograma R. Financiero'!$J$5:$J$1000,$N99)="","",INDEX('Cronograma R. Financiero'!$J$5:$J$1000,$N99))))</f>
        <v/>
      </c>
      <c r="H99" s="61">
        <f>IF($N99="","",IF($P99&gt;0,IF(3&lt;=SemanaActual,INDEX('Cronograma R. Financiero'!$AE$5:$AE$1000,$N99),""),IF(INDEX('Cronograma R. Financiero'!$K$5:$K$1000,$N99)="","",INDEX('Cronograma R. Financiero'!$K$5:$K$1000,$N99))))</f>
        <v/>
      </c>
      <c r="I99" s="61">
        <f>IF($N99="","",IF($P99&gt;0,IF(4&lt;=SemanaActual,INDEX('Cronograma R. Financiero'!$AF$5:$AF$1000,$N99),""),IF(INDEX('Cronograma R. Financiero'!$L$5:$L$1000,$N99)="","",INDEX('Cronograma R. Financiero'!$L$5:$L$1000,$N99))))</f>
        <v/>
      </c>
      <c r="J99" s="61">
        <f>IF($N99="","",INDEX('Cronograma R. Financiero'!$M$5:$M$1000,$N99))</f>
        <v/>
      </c>
      <c r="K99" s="56">
        <f>IF($N99="","",IF(N($J99)&gt;=1,"Completado",IF(AND(ISNUMBER($D99),$D99&lt;FechaRef),"Vencida",IF(N($J99)&gt;0,"En curso","Pendiente"))))</f>
        <v/>
      </c>
      <c r="L99" s="56">
        <f>IF($N99="","",INDEX('Cronograma R. Financiero'!$O$5:$O$1000,$N99)&amp;"")</f>
        <v/>
      </c>
      <c r="M99" s="62">
        <f>IF($N99="","",INDEX('Cronograma R. Financiero'!$Q$5:$Q$1000,$N99)&amp;"")</f>
        <v/>
      </c>
      <c r="N99">
        <f>IFERROR(MATCH(ROW()-4,rOrden_RF,0),"")</f>
        <v/>
      </c>
      <c r="O99">
        <f>IF($N99="","",INDEX('Cronograma R. Financiero'!$V$5:$V$1000,$N99))</f>
        <v/>
      </c>
      <c r="P99">
        <f>IF($N99="","",N(INDEX('Cronograma R. Financiero'!$W$5:$W$1000,$N99)))</f>
        <v/>
      </c>
      <c r="Q99">
        <f>IF(OR(LEFT($L99,7)="Vencida",LEFT($L99,5)="Vence"),SUMPRODUCT(--(LEFT($L$5:$L99,7)="Vencida"))+SUMPRODUCT(--(LEFT($L$5:$L99,5)="Vence")),"")</f>
        <v/>
      </c>
    </row>
    <row r="100">
      <c r="A100" s="56">
        <f>IF($N100="","",INDEX('Cronograma R. Financiero'!$A$5:$A$1000,$N100))</f>
        <v/>
      </c>
      <c r="B100" s="62">
        <f>IF($N100="","",IF($O100="Sub","      ↳  "&amp;INDEX('Cronograma R. Financiero'!$C$5:$C$1000,$N100),INDEX('Cronograma R. Financiero'!$C$5:$C$1000,$N100)&amp;""))</f>
        <v/>
      </c>
      <c r="C100" s="79">
        <f>IF($N100="","",IF(INDEX('Cronograma R. Financiero'!$AM$5:$AM$1000,$N100)="","",INDEX('Cronograma R. Financiero'!$AM$5:$AM$1000,$N100)))</f>
        <v/>
      </c>
      <c r="D100" s="79">
        <f>IF($N100="","",IF(INDEX('Cronograma R. Financiero'!$AN$5:$AN$1000,$N100)="","",INDEX('Cronograma R. Financiero'!$AN$5:$AN$1000,$N100)))</f>
        <v/>
      </c>
      <c r="E100" s="56">
        <f>IF($N100="","",IF(NOT(ISNUMBER($D100)),"",IF($D100&lt;InicioCiclo,"Antes del ciclo",IF($D100&gt;=InicioCiclo+28,"Después del ciclo","Semana "&amp;(INT(($D100-InicioCiclo)/7)+1)))))</f>
        <v/>
      </c>
      <c r="F100" s="61">
        <f>IF($N100="","",IF($P100&gt;0,IF(1&lt;=SemanaActual,INDEX('Cronograma R. Financiero'!$AC$5:$AC$1000,$N100),""),IF(INDEX('Cronograma R. Financiero'!$I$5:$I$1000,$N100)="","",INDEX('Cronograma R. Financiero'!$I$5:$I$1000,$N100))))</f>
        <v/>
      </c>
      <c r="G100" s="61">
        <f>IF($N100="","",IF($P100&gt;0,IF(2&lt;=SemanaActual,INDEX('Cronograma R. Financiero'!$AD$5:$AD$1000,$N100),""),IF(INDEX('Cronograma R. Financiero'!$J$5:$J$1000,$N100)="","",INDEX('Cronograma R. Financiero'!$J$5:$J$1000,$N100))))</f>
        <v/>
      </c>
      <c r="H100" s="61">
        <f>IF($N100="","",IF($P100&gt;0,IF(3&lt;=SemanaActual,INDEX('Cronograma R. Financiero'!$AE$5:$AE$1000,$N100),""),IF(INDEX('Cronograma R. Financiero'!$K$5:$K$1000,$N100)="","",INDEX('Cronograma R. Financiero'!$K$5:$K$1000,$N100))))</f>
        <v/>
      </c>
      <c r="I100" s="61">
        <f>IF($N100="","",IF($P100&gt;0,IF(4&lt;=SemanaActual,INDEX('Cronograma R. Financiero'!$AF$5:$AF$1000,$N100),""),IF(INDEX('Cronograma R. Financiero'!$L$5:$L$1000,$N100)="","",INDEX('Cronograma R. Financiero'!$L$5:$L$1000,$N100))))</f>
        <v/>
      </c>
      <c r="J100" s="61">
        <f>IF($N100="","",INDEX('Cronograma R. Financiero'!$M$5:$M$1000,$N100))</f>
        <v/>
      </c>
      <c r="K100" s="56">
        <f>IF($N100="","",IF(N($J100)&gt;=1,"Completado",IF(AND(ISNUMBER($D100),$D100&lt;FechaRef),"Vencida",IF(N($J100)&gt;0,"En curso","Pendiente"))))</f>
        <v/>
      </c>
      <c r="L100" s="56">
        <f>IF($N100="","",INDEX('Cronograma R. Financiero'!$O$5:$O$1000,$N100)&amp;"")</f>
        <v/>
      </c>
      <c r="M100" s="62">
        <f>IF($N100="","",INDEX('Cronograma R. Financiero'!$Q$5:$Q$1000,$N100)&amp;"")</f>
        <v/>
      </c>
      <c r="N100">
        <f>IFERROR(MATCH(ROW()-4,rOrden_RF,0),"")</f>
        <v/>
      </c>
      <c r="O100">
        <f>IF($N100="","",INDEX('Cronograma R. Financiero'!$V$5:$V$1000,$N100))</f>
        <v/>
      </c>
      <c r="P100">
        <f>IF($N100="","",N(INDEX('Cronograma R. Financiero'!$W$5:$W$1000,$N100)))</f>
        <v/>
      </c>
      <c r="Q100">
        <f>IF(OR(LEFT($L100,7)="Vencida",LEFT($L100,5)="Vence"),SUMPRODUCT(--(LEFT($L$5:$L100,7)="Vencida"))+SUMPRODUCT(--(LEFT($L$5:$L100,5)="Vence")),"")</f>
        <v/>
      </c>
    </row>
    <row r="101">
      <c r="A101" s="56">
        <f>IF($N101="","",INDEX('Cronograma R. Financiero'!$A$5:$A$1000,$N101))</f>
        <v/>
      </c>
      <c r="B101" s="62">
        <f>IF($N101="","",IF($O101="Sub","      ↳  "&amp;INDEX('Cronograma R. Financiero'!$C$5:$C$1000,$N101),INDEX('Cronograma R. Financiero'!$C$5:$C$1000,$N101)&amp;""))</f>
        <v/>
      </c>
      <c r="C101" s="79">
        <f>IF($N101="","",IF(INDEX('Cronograma R. Financiero'!$AM$5:$AM$1000,$N101)="","",INDEX('Cronograma R. Financiero'!$AM$5:$AM$1000,$N101)))</f>
        <v/>
      </c>
      <c r="D101" s="79">
        <f>IF($N101="","",IF(INDEX('Cronograma R. Financiero'!$AN$5:$AN$1000,$N101)="","",INDEX('Cronograma R. Financiero'!$AN$5:$AN$1000,$N101)))</f>
        <v/>
      </c>
      <c r="E101" s="56">
        <f>IF($N101="","",IF(NOT(ISNUMBER($D101)),"",IF($D101&lt;InicioCiclo,"Antes del ciclo",IF($D101&gt;=InicioCiclo+28,"Después del ciclo","Semana "&amp;(INT(($D101-InicioCiclo)/7)+1)))))</f>
        <v/>
      </c>
      <c r="F101" s="61">
        <f>IF($N101="","",IF($P101&gt;0,IF(1&lt;=SemanaActual,INDEX('Cronograma R. Financiero'!$AC$5:$AC$1000,$N101),""),IF(INDEX('Cronograma R. Financiero'!$I$5:$I$1000,$N101)="","",INDEX('Cronograma R. Financiero'!$I$5:$I$1000,$N101))))</f>
        <v/>
      </c>
      <c r="G101" s="61">
        <f>IF($N101="","",IF($P101&gt;0,IF(2&lt;=SemanaActual,INDEX('Cronograma R. Financiero'!$AD$5:$AD$1000,$N101),""),IF(INDEX('Cronograma R. Financiero'!$J$5:$J$1000,$N101)="","",INDEX('Cronograma R. Financiero'!$J$5:$J$1000,$N101))))</f>
        <v/>
      </c>
      <c r="H101" s="61">
        <f>IF($N101="","",IF($P101&gt;0,IF(3&lt;=SemanaActual,INDEX('Cronograma R. Financiero'!$AE$5:$AE$1000,$N101),""),IF(INDEX('Cronograma R. Financiero'!$K$5:$K$1000,$N101)="","",INDEX('Cronograma R. Financiero'!$K$5:$K$1000,$N101))))</f>
        <v/>
      </c>
      <c r="I101" s="61">
        <f>IF($N101="","",IF($P101&gt;0,IF(4&lt;=SemanaActual,INDEX('Cronograma R. Financiero'!$AF$5:$AF$1000,$N101),""),IF(INDEX('Cronograma R. Financiero'!$L$5:$L$1000,$N101)="","",INDEX('Cronograma R. Financiero'!$L$5:$L$1000,$N101))))</f>
        <v/>
      </c>
      <c r="J101" s="61">
        <f>IF($N101="","",INDEX('Cronograma R. Financiero'!$M$5:$M$1000,$N101))</f>
        <v/>
      </c>
      <c r="K101" s="56">
        <f>IF($N101="","",IF(N($J101)&gt;=1,"Completado",IF(AND(ISNUMBER($D101),$D101&lt;FechaRef),"Vencida",IF(N($J101)&gt;0,"En curso","Pendiente"))))</f>
        <v/>
      </c>
      <c r="L101" s="56">
        <f>IF($N101="","",INDEX('Cronograma R. Financiero'!$O$5:$O$1000,$N101)&amp;"")</f>
        <v/>
      </c>
      <c r="M101" s="62">
        <f>IF($N101="","",INDEX('Cronograma R. Financiero'!$Q$5:$Q$1000,$N101)&amp;"")</f>
        <v/>
      </c>
      <c r="N101">
        <f>IFERROR(MATCH(ROW()-4,rOrden_RF,0),"")</f>
        <v/>
      </c>
      <c r="O101">
        <f>IF($N101="","",INDEX('Cronograma R. Financiero'!$V$5:$V$1000,$N101))</f>
        <v/>
      </c>
      <c r="P101">
        <f>IF($N101="","",N(INDEX('Cronograma R. Financiero'!$W$5:$W$1000,$N101)))</f>
        <v/>
      </c>
      <c r="Q101">
        <f>IF(OR(LEFT($L101,7)="Vencida",LEFT($L101,5)="Vence"),SUMPRODUCT(--(LEFT($L$5:$L101,7)="Vencida"))+SUMPRODUCT(--(LEFT($L$5:$L101,5)="Vence")),"")</f>
        <v/>
      </c>
    </row>
    <row r="102">
      <c r="A102" s="56">
        <f>IF($N102="","",INDEX('Cronograma R. Financiero'!$A$5:$A$1000,$N102))</f>
        <v/>
      </c>
      <c r="B102" s="62">
        <f>IF($N102="","",IF($O102="Sub","      ↳  "&amp;INDEX('Cronograma R. Financiero'!$C$5:$C$1000,$N102),INDEX('Cronograma R. Financiero'!$C$5:$C$1000,$N102)&amp;""))</f>
        <v/>
      </c>
      <c r="C102" s="79">
        <f>IF($N102="","",IF(INDEX('Cronograma R. Financiero'!$AM$5:$AM$1000,$N102)="","",INDEX('Cronograma R. Financiero'!$AM$5:$AM$1000,$N102)))</f>
        <v/>
      </c>
      <c r="D102" s="79">
        <f>IF($N102="","",IF(INDEX('Cronograma R. Financiero'!$AN$5:$AN$1000,$N102)="","",INDEX('Cronograma R. Financiero'!$AN$5:$AN$1000,$N102)))</f>
        <v/>
      </c>
      <c r="E102" s="56">
        <f>IF($N102="","",IF(NOT(ISNUMBER($D102)),"",IF($D102&lt;InicioCiclo,"Antes del ciclo",IF($D102&gt;=InicioCiclo+28,"Después del ciclo","Semana "&amp;(INT(($D102-InicioCiclo)/7)+1)))))</f>
        <v/>
      </c>
      <c r="F102" s="61">
        <f>IF($N102="","",IF($P102&gt;0,IF(1&lt;=SemanaActual,INDEX('Cronograma R. Financiero'!$AC$5:$AC$1000,$N102),""),IF(INDEX('Cronograma R. Financiero'!$I$5:$I$1000,$N102)="","",INDEX('Cronograma R. Financiero'!$I$5:$I$1000,$N102))))</f>
        <v/>
      </c>
      <c r="G102" s="61">
        <f>IF($N102="","",IF($P102&gt;0,IF(2&lt;=SemanaActual,INDEX('Cronograma R. Financiero'!$AD$5:$AD$1000,$N102),""),IF(INDEX('Cronograma R. Financiero'!$J$5:$J$1000,$N102)="","",INDEX('Cronograma R. Financiero'!$J$5:$J$1000,$N102))))</f>
        <v/>
      </c>
      <c r="H102" s="61">
        <f>IF($N102="","",IF($P102&gt;0,IF(3&lt;=SemanaActual,INDEX('Cronograma R. Financiero'!$AE$5:$AE$1000,$N102),""),IF(INDEX('Cronograma R. Financiero'!$K$5:$K$1000,$N102)="","",INDEX('Cronograma R. Financiero'!$K$5:$K$1000,$N102))))</f>
        <v/>
      </c>
      <c r="I102" s="61">
        <f>IF($N102="","",IF($P102&gt;0,IF(4&lt;=SemanaActual,INDEX('Cronograma R. Financiero'!$AF$5:$AF$1000,$N102),""),IF(INDEX('Cronograma R. Financiero'!$L$5:$L$1000,$N102)="","",INDEX('Cronograma R. Financiero'!$L$5:$L$1000,$N102))))</f>
        <v/>
      </c>
      <c r="J102" s="61">
        <f>IF($N102="","",INDEX('Cronograma R. Financiero'!$M$5:$M$1000,$N102))</f>
        <v/>
      </c>
      <c r="K102" s="56">
        <f>IF($N102="","",IF(N($J102)&gt;=1,"Completado",IF(AND(ISNUMBER($D102),$D102&lt;FechaRef),"Vencida",IF(N($J102)&gt;0,"En curso","Pendiente"))))</f>
        <v/>
      </c>
      <c r="L102" s="56">
        <f>IF($N102="","",INDEX('Cronograma R. Financiero'!$O$5:$O$1000,$N102)&amp;"")</f>
        <v/>
      </c>
      <c r="M102" s="62">
        <f>IF($N102="","",INDEX('Cronograma R. Financiero'!$Q$5:$Q$1000,$N102)&amp;"")</f>
        <v/>
      </c>
      <c r="N102">
        <f>IFERROR(MATCH(ROW()-4,rOrden_RF,0),"")</f>
        <v/>
      </c>
      <c r="O102">
        <f>IF($N102="","",INDEX('Cronograma R. Financiero'!$V$5:$V$1000,$N102))</f>
        <v/>
      </c>
      <c r="P102">
        <f>IF($N102="","",N(INDEX('Cronograma R. Financiero'!$W$5:$W$1000,$N102)))</f>
        <v/>
      </c>
      <c r="Q102">
        <f>IF(OR(LEFT($L102,7)="Vencida",LEFT($L102,5)="Vence"),SUMPRODUCT(--(LEFT($L$5:$L102,7)="Vencida"))+SUMPRODUCT(--(LEFT($L$5:$L102,5)="Vence")),"")</f>
        <v/>
      </c>
    </row>
    <row r="103">
      <c r="A103" s="56">
        <f>IF($N103="","",INDEX('Cronograma R. Financiero'!$A$5:$A$1000,$N103))</f>
        <v/>
      </c>
      <c r="B103" s="62">
        <f>IF($N103="","",IF($O103="Sub","      ↳  "&amp;INDEX('Cronograma R. Financiero'!$C$5:$C$1000,$N103),INDEX('Cronograma R. Financiero'!$C$5:$C$1000,$N103)&amp;""))</f>
        <v/>
      </c>
      <c r="C103" s="79">
        <f>IF($N103="","",IF(INDEX('Cronograma R. Financiero'!$AM$5:$AM$1000,$N103)="","",INDEX('Cronograma R. Financiero'!$AM$5:$AM$1000,$N103)))</f>
        <v/>
      </c>
      <c r="D103" s="79">
        <f>IF($N103="","",IF(INDEX('Cronograma R. Financiero'!$AN$5:$AN$1000,$N103)="","",INDEX('Cronograma R. Financiero'!$AN$5:$AN$1000,$N103)))</f>
        <v/>
      </c>
      <c r="E103" s="56">
        <f>IF($N103="","",IF(NOT(ISNUMBER($D103)),"",IF($D103&lt;InicioCiclo,"Antes del ciclo",IF($D103&gt;=InicioCiclo+28,"Después del ciclo","Semana "&amp;(INT(($D103-InicioCiclo)/7)+1)))))</f>
        <v/>
      </c>
      <c r="F103" s="61">
        <f>IF($N103="","",IF($P103&gt;0,IF(1&lt;=SemanaActual,INDEX('Cronograma R. Financiero'!$AC$5:$AC$1000,$N103),""),IF(INDEX('Cronograma R. Financiero'!$I$5:$I$1000,$N103)="","",INDEX('Cronograma R. Financiero'!$I$5:$I$1000,$N103))))</f>
        <v/>
      </c>
      <c r="G103" s="61">
        <f>IF($N103="","",IF($P103&gt;0,IF(2&lt;=SemanaActual,INDEX('Cronograma R. Financiero'!$AD$5:$AD$1000,$N103),""),IF(INDEX('Cronograma R. Financiero'!$J$5:$J$1000,$N103)="","",INDEX('Cronograma R. Financiero'!$J$5:$J$1000,$N103))))</f>
        <v/>
      </c>
      <c r="H103" s="61">
        <f>IF($N103="","",IF($P103&gt;0,IF(3&lt;=SemanaActual,INDEX('Cronograma R. Financiero'!$AE$5:$AE$1000,$N103),""),IF(INDEX('Cronograma R. Financiero'!$K$5:$K$1000,$N103)="","",INDEX('Cronograma R. Financiero'!$K$5:$K$1000,$N103))))</f>
        <v/>
      </c>
      <c r="I103" s="61">
        <f>IF($N103="","",IF($P103&gt;0,IF(4&lt;=SemanaActual,INDEX('Cronograma R. Financiero'!$AF$5:$AF$1000,$N103),""),IF(INDEX('Cronograma R. Financiero'!$L$5:$L$1000,$N103)="","",INDEX('Cronograma R. Financiero'!$L$5:$L$1000,$N103))))</f>
        <v/>
      </c>
      <c r="J103" s="61">
        <f>IF($N103="","",INDEX('Cronograma R. Financiero'!$M$5:$M$1000,$N103))</f>
        <v/>
      </c>
      <c r="K103" s="56">
        <f>IF($N103="","",IF(N($J103)&gt;=1,"Completado",IF(AND(ISNUMBER($D103),$D103&lt;FechaRef),"Vencida",IF(N($J103)&gt;0,"En curso","Pendiente"))))</f>
        <v/>
      </c>
      <c r="L103" s="56">
        <f>IF($N103="","",INDEX('Cronograma R. Financiero'!$O$5:$O$1000,$N103)&amp;"")</f>
        <v/>
      </c>
      <c r="M103" s="62">
        <f>IF($N103="","",INDEX('Cronograma R. Financiero'!$Q$5:$Q$1000,$N103)&amp;"")</f>
        <v/>
      </c>
      <c r="N103">
        <f>IFERROR(MATCH(ROW()-4,rOrden_RF,0),"")</f>
        <v/>
      </c>
      <c r="O103">
        <f>IF($N103="","",INDEX('Cronograma R. Financiero'!$V$5:$V$1000,$N103))</f>
        <v/>
      </c>
      <c r="P103">
        <f>IF($N103="","",N(INDEX('Cronograma R. Financiero'!$W$5:$W$1000,$N103)))</f>
        <v/>
      </c>
      <c r="Q103">
        <f>IF(OR(LEFT($L103,7)="Vencida",LEFT($L103,5)="Vence"),SUMPRODUCT(--(LEFT($L$5:$L103,7)="Vencida"))+SUMPRODUCT(--(LEFT($L$5:$L103,5)="Vence")),"")</f>
        <v/>
      </c>
    </row>
    <row r="104">
      <c r="A104" s="56">
        <f>IF($N104="","",INDEX('Cronograma R. Financiero'!$A$5:$A$1000,$N104))</f>
        <v/>
      </c>
      <c r="B104" s="62">
        <f>IF($N104="","",IF($O104="Sub","      ↳  "&amp;INDEX('Cronograma R. Financiero'!$C$5:$C$1000,$N104),INDEX('Cronograma R. Financiero'!$C$5:$C$1000,$N104)&amp;""))</f>
        <v/>
      </c>
      <c r="C104" s="79">
        <f>IF($N104="","",IF(INDEX('Cronograma R. Financiero'!$AM$5:$AM$1000,$N104)="","",INDEX('Cronograma R. Financiero'!$AM$5:$AM$1000,$N104)))</f>
        <v/>
      </c>
      <c r="D104" s="79">
        <f>IF($N104="","",IF(INDEX('Cronograma R. Financiero'!$AN$5:$AN$1000,$N104)="","",INDEX('Cronograma R. Financiero'!$AN$5:$AN$1000,$N104)))</f>
        <v/>
      </c>
      <c r="E104" s="56">
        <f>IF($N104="","",IF(NOT(ISNUMBER($D104)),"",IF($D104&lt;InicioCiclo,"Antes del ciclo",IF($D104&gt;=InicioCiclo+28,"Después del ciclo","Semana "&amp;(INT(($D104-InicioCiclo)/7)+1)))))</f>
        <v/>
      </c>
      <c r="F104" s="61">
        <f>IF($N104="","",IF($P104&gt;0,IF(1&lt;=SemanaActual,INDEX('Cronograma R. Financiero'!$AC$5:$AC$1000,$N104),""),IF(INDEX('Cronograma R. Financiero'!$I$5:$I$1000,$N104)="","",INDEX('Cronograma R. Financiero'!$I$5:$I$1000,$N104))))</f>
        <v/>
      </c>
      <c r="G104" s="61">
        <f>IF($N104="","",IF($P104&gt;0,IF(2&lt;=SemanaActual,INDEX('Cronograma R. Financiero'!$AD$5:$AD$1000,$N104),""),IF(INDEX('Cronograma R. Financiero'!$J$5:$J$1000,$N104)="","",INDEX('Cronograma R. Financiero'!$J$5:$J$1000,$N104))))</f>
        <v/>
      </c>
      <c r="H104" s="61">
        <f>IF($N104="","",IF($P104&gt;0,IF(3&lt;=SemanaActual,INDEX('Cronograma R. Financiero'!$AE$5:$AE$1000,$N104),""),IF(INDEX('Cronograma R. Financiero'!$K$5:$K$1000,$N104)="","",INDEX('Cronograma R. Financiero'!$K$5:$K$1000,$N104))))</f>
        <v/>
      </c>
      <c r="I104" s="61">
        <f>IF($N104="","",IF($P104&gt;0,IF(4&lt;=SemanaActual,INDEX('Cronograma R. Financiero'!$AF$5:$AF$1000,$N104),""),IF(INDEX('Cronograma R. Financiero'!$L$5:$L$1000,$N104)="","",INDEX('Cronograma R. Financiero'!$L$5:$L$1000,$N104))))</f>
        <v/>
      </c>
      <c r="J104" s="61">
        <f>IF($N104="","",INDEX('Cronograma R. Financiero'!$M$5:$M$1000,$N104))</f>
        <v/>
      </c>
      <c r="K104" s="56">
        <f>IF($N104="","",IF(N($J104)&gt;=1,"Completado",IF(AND(ISNUMBER($D104),$D104&lt;FechaRef),"Vencida",IF(N($J104)&gt;0,"En curso","Pendiente"))))</f>
        <v/>
      </c>
      <c r="L104" s="56">
        <f>IF($N104="","",INDEX('Cronograma R. Financiero'!$O$5:$O$1000,$N104)&amp;"")</f>
        <v/>
      </c>
      <c r="M104" s="62">
        <f>IF($N104="","",INDEX('Cronograma R. Financiero'!$Q$5:$Q$1000,$N104)&amp;"")</f>
        <v/>
      </c>
      <c r="N104">
        <f>IFERROR(MATCH(ROW()-4,rOrden_RF,0),"")</f>
        <v/>
      </c>
      <c r="O104">
        <f>IF($N104="","",INDEX('Cronograma R. Financiero'!$V$5:$V$1000,$N104))</f>
        <v/>
      </c>
      <c r="P104">
        <f>IF($N104="","",N(INDEX('Cronograma R. Financiero'!$W$5:$W$1000,$N104)))</f>
        <v/>
      </c>
      <c r="Q104">
        <f>IF(OR(LEFT($L104,7)="Vencida",LEFT($L104,5)="Vence"),SUMPRODUCT(--(LEFT($L$5:$L104,7)="Vencida"))+SUMPRODUCT(--(LEFT($L$5:$L104,5)="Vence")),"")</f>
        <v/>
      </c>
    </row>
  </sheetData>
  <sheetProtection selectLockedCells="0" selectUnlockedCells="0" sheet="1" objects="0" insertRows="1" insertHyperlinks="1" autoFilter="0" scenarios="0" formatColumns="0" deleteColumns="1" insertColumns="1" pivotTables="1" deleteRows="1" formatCells="1" formatRows="0" sort="0"/>
  <mergeCells count="2">
    <mergeCell ref="A2:M2"/>
    <mergeCell ref="A1:M1"/>
  </mergeCells>
  <conditionalFormatting sqref="F5:I104">
    <cfRule type="expression" priority="1" dxfId="6" stopIfTrue="1">
      <formula>AND(AND(ISNUMBER($C5),ISNUMBER($D5),$C5&lt;=InicioCiclo+7*(COLUMN(F5)-6)+6,$D5&gt;=InicioCiclo+7*(COLUMN(F5)-6)),$K5="Vencida")</formula>
    </cfRule>
    <cfRule type="expression" priority="2" dxfId="24">
      <formula>AND(ISNUMBER($C5),ISNUMBER($D5),$C5&lt;=InicioCiclo+7*(COLUMN(F5)-6)+6,$D5&gt;=InicioCiclo+7*(COLUMN(F5)-6))</formula>
    </cfRule>
  </conditionalFormatting>
  <conditionalFormatting sqref="K5:K104">
    <cfRule type="expression" priority="3" dxfId="0">
      <formula>$K5="Completado"</formula>
    </cfRule>
    <cfRule type="expression" priority="4" dxfId="6">
      <formula>$K5="Vencida"</formula>
    </cfRule>
    <cfRule type="expression" priority="5" dxfId="4">
      <formula>$K5="En curso"</formula>
    </cfRule>
    <cfRule type="expression" priority="6" dxfId="5">
      <formula>$K5="Pendiente"</formula>
    </cfRule>
  </conditionalFormatting>
  <conditionalFormatting sqref="L5:L104">
    <cfRule type="expression" priority="7" dxfId="8" stopIfTrue="1">
      <formula>LEFT($L5,7)="Vencida"</formula>
    </cfRule>
    <cfRule type="expression" priority="8" dxfId="9" stopIfTrue="1">
      <formula>LEFT($L5,5)="Vence"</formula>
    </cfRule>
    <cfRule type="expression" priority="9" dxfId="0" stopIfTrue="1">
      <formula>LEFT($L5,8)="Cumplida"</formula>
    </cfRule>
    <cfRule type="expression" priority="10" dxfId="13" stopIfTrue="1">
      <formula>$L5="En plazo"</formula>
    </cfRule>
    <cfRule type="expression" priority="11" dxfId="5">
      <formula>$L5="Sin fecha límite"</formula>
    </cfRule>
  </conditionalFormatting>
  <conditionalFormatting sqref="E5:E104">
    <cfRule type="expression" priority="12" dxfId="1">
      <formula>$E5="Semana "&amp;SemanaActual</formula>
    </cfRule>
  </conditionalFormatting>
  <conditionalFormatting sqref="J5:J104">
    <cfRule type="dataBar" priority="13">
      <dataBar showValue="1">
        <cfvo type="num" val="0"/>
        <cfvo type="num" val="1"/>
        <color rgb="005B9BD5"/>
      </dataBar>
    </cfRule>
  </conditionalFormatting>
  <conditionalFormatting sqref="F4:I4">
    <cfRule type="expression" priority="14" dxfId="1">
      <formula>COLUMN(F4)-5=SemanaActual</formula>
    </cfRule>
  </conditionalFormatting>
  <conditionalFormatting sqref="F3:I3">
    <cfRule type="expression" priority="15" dxfId="1">
      <formula>COLUMN(F3)-5=SemanaActual</formula>
    </cfRule>
  </conditionalFormatting>
  <pageMargins left="0.4" right="0.4" top="0.5" bottom="0.5" header="0.5" footer="0.5"/>
  <pageSetup orientation="landscape" paperSize="1" fitToHeight="0" fitToWidth="1"/>
  <headerFooter>
    <oddHeader/>
    <oddFooter>&amp;C&amp;A – Página &amp;P de &amp;N</oddFooter>
    <evenHeader/>
    <evenFooter/>
    <firstHeader/>
    <firstFooter/>
  </headerFooter>
  <tableParts count="1">
    <tablePart xmlns:r="http://schemas.openxmlformats.org/officeDocument/2006/relationships" r:id="rId1"/>
  </tableParts>
</worksheet>
</file>

<file path=xl/worksheets/sheet10.xml><?xml version="1.0" encoding="utf-8"?>
<worksheet xmlns="http://schemas.openxmlformats.org/spreadsheetml/2006/main">
  <sheetPr>
    <tabColor rgb="002E75B6"/>
    <outlinePr summaryBelow="1" summaryRight="1"/>
    <pageSetUpPr fitToPage="1"/>
  </sheetPr>
  <dimension ref="A1:AN304"/>
  <sheetViews>
    <sheetView showGridLines="0" zoomScale="90" workbookViewId="0">
      <pane xSplit="3" ySplit="4" topLeftCell="D5" activePane="bottomRight" state="frozen"/>
      <selection pane="topRight"/>
      <selection pane="bottomLeft"/>
      <selection pane="bottomRight" activeCell="A1" sqref="A1"/>
    </sheetView>
  </sheetViews>
  <sheetFormatPr baseColWidth="8" defaultRowHeight="15"/>
  <cols>
    <col width="7" customWidth="1" min="1" max="1"/>
    <col width="15" customWidth="1" min="2" max="2"/>
    <col width="48" customWidth="1" min="3" max="3"/>
    <col hidden="1" width="22" customWidth="1" min="4" max="4"/>
    <col width="12" customWidth="1" min="5" max="5"/>
    <col width="12" customWidth="1" min="6" max="6"/>
    <col width="14" customWidth="1" min="7" max="7"/>
    <col width="12" customWidth="1" min="8" max="8"/>
    <col width="10" customWidth="1" min="9" max="9"/>
    <col width="10" customWidth="1" min="10" max="10"/>
    <col width="10" customWidth="1" min="11" max="11"/>
    <col width="10" customWidth="1" min="12" max="12"/>
    <col width="12" customWidth="1" min="13" max="13"/>
    <col width="12" customWidth="1" min="14" max="14"/>
    <col width="24" customWidth="1" min="15" max="15"/>
    <col hidden="1" width="30" customWidth="1" min="16" max="16"/>
    <col width="36" customWidth="1" min="17" max="17"/>
    <col width="44" customWidth="1" min="18" max="18"/>
    <col width="14"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s>
  <sheetData>
    <row r="1" ht="28" customHeight="1">
      <c r="A1" s="84" t="inlineStr">
        <is>
          <t>Cronograma – Asistente Técnico de Riesgo</t>
        </is>
      </c>
      <c r="B1" s="84" t="n"/>
      <c r="C1" s="84" t="n"/>
      <c r="D1" s="84" t="n"/>
      <c r="E1" s="84" t="n"/>
      <c r="F1" s="84" t="n"/>
      <c r="G1" s="84" t="n"/>
      <c r="H1" s="84" t="n"/>
      <c r="I1" s="84" t="n"/>
      <c r="J1" s="84" t="n"/>
      <c r="K1" s="84" t="n"/>
      <c r="L1" s="84" t="n"/>
      <c r="M1" s="84" t="n"/>
      <c r="N1" s="84" t="n"/>
      <c r="O1" s="84" t="n"/>
      <c r="P1" s="84" t="n"/>
      <c r="Q1" s="84" t="n"/>
      <c r="R1" s="84" t="n"/>
      <c r="S1" s="84" t="n"/>
    </row>
    <row r="2" ht="44" customHeight="1">
      <c r="A2" s="48" t="inlineStr">
        <is>
          <t>Llene solo las celdas GRIS SUAVE; las AZUL CLARO son automáticas. En «Tipo» elija Macroactividad o Subactividad: las subactividades van en las filas de ABAJO de su macroactividad (se ven con ↳) y su promedio da el % de la macroactividad. Cuando termine algo, escriba la FECHA DE CUMPLIMIENTO: queda al 100% y ya no aparece vencido. Si quiere registrar avances parciales, escriba en cada semana el % total logrado hasta esa semana. Cada mes agregue sus actividades debajo de las anteriores (no borre los meses pasados: quedan como historial).</t>
        </is>
      </c>
      <c r="B2" s="48" t="n"/>
      <c r="C2" s="48" t="n"/>
      <c r="D2" s="48" t="n"/>
      <c r="E2" s="48" t="n"/>
      <c r="F2" s="48" t="n"/>
      <c r="G2" s="48" t="n"/>
      <c r="H2" s="48" t="n"/>
      <c r="I2" s="48" t="n"/>
      <c r="J2" s="48" t="n"/>
      <c r="K2" s="48" t="n"/>
      <c r="L2" s="48" t="n"/>
      <c r="M2" s="48" t="n"/>
      <c r="N2" s="48" t="n"/>
      <c r="O2" s="48" t="n"/>
      <c r="P2" s="48" t="n"/>
      <c r="Q2" s="48" t="n"/>
      <c r="R2" s="48" t="n"/>
      <c r="S2" s="48" t="n"/>
    </row>
    <row r="3" ht="22" customHeight="1">
      <c r="A3" s="49" t="inlineStr">
        <is>
          <t>Llenar</t>
        </is>
      </c>
      <c r="B3" s="50" t="inlineStr">
        <is>
          <t>Automático</t>
        </is>
      </c>
      <c r="C3" s="85" t="inlineStr">
        <is>
          <t>Macroactividad (fila resaltada)</t>
        </is>
      </c>
      <c r="E3" s="6" t="inlineStr">
        <is>
          <t>Peso: solo macroactividades. Si lo deja vacío valen igual; si lo escribe, se ajusta solo a 100%.</t>
        </is>
      </c>
      <c r="F3" s="6" t="n"/>
      <c r="G3" s="6" t="n"/>
      <c r="H3" s="6" t="n"/>
      <c r="I3" s="6" t="n"/>
      <c r="J3" s="6" t="n"/>
      <c r="K3" s="52" t="inlineStr">
        <is>
          <t>Plazos del mes:</t>
        </is>
      </c>
      <c r="M3" s="43">
        <f>COUNTIFS($S$5:$S$1000,MesCiclo,$O$5:$O$1000,"Vencida*")&amp;" vencida(s)  ·  "&amp;COUNTIFS($S$5:$S$1000,MesCiclo,$O$5:$O$1000,"Vence*")&amp;" por vencer"</f>
        <v/>
      </c>
      <c r="N3" s="43" t="n"/>
      <c r="O3" s="43" t="n"/>
      <c r="Q3" s="45">
        <f>IF(COUNTIFS('Administración'!$D$5:$D$1000,"Asistente Técnico de Riesgo",'Administración'!$S$5:$S$1000,MesCiclo,'Administración'!$V$5:$V$1000,"Macro")=0,"Sin actividades delegadas por la jefatura este mes","★ La jefatura le delegó "&amp;COUNTIFS('Administración'!$D$5:$D$1000,"Asistente Técnico de Riesgo",'Administración'!$S$5:$S$1000,MesCiclo,'Administración'!$V$5:$V$1000,"Macro")&amp;" actividad(es) este mes · "&amp;(COUNTIFS('Administración'!$D$5:$D$1000,"Asistente Técnico de Riesgo",'Administración'!$S$5:$S$1000,MesCiclo,'Administración'!$V$5:$V$1000,"Macro")-COUNTIFS('Administración'!$D$5:$D$1000,"Asistente Técnico de Riesgo",'Administración'!$S$5:$S$1000,MesCiclo,'Administración'!$V$5:$V$1000,"Macro",'Administración'!$AH$5:$AH$1000,"&gt;0"))&amp;" pendiente(s) de agregar (elíjalas en la lista de «Actividad»). Cuentan en su avance del mes.")</f>
        <v/>
      </c>
      <c r="R3" s="45" t="n"/>
      <c r="S3" s="45" t="n"/>
    </row>
    <row r="4" ht="42" customHeight="1">
      <c r="A4" s="54" t="inlineStr">
        <is>
          <t>N°</t>
        </is>
      </c>
      <c r="B4" s="7" t="inlineStr">
        <is>
          <t>Tipo</t>
        </is>
      </c>
      <c r="C4" s="7" t="inlineStr">
        <is>
          <t>Actividad</t>
        </is>
      </c>
      <c r="D4" s="7" t="inlineStr">
        <is>
          <t>Delegar a</t>
        </is>
      </c>
      <c r="E4" s="7" t="inlineStr">
        <is>
          <t>Fecha de inicio</t>
        </is>
      </c>
      <c r="F4" s="7" t="inlineStr">
        <is>
          <t>Fecha límite</t>
        </is>
      </c>
      <c r="G4" s="7" t="inlineStr">
        <is>
          <t>Fecha de cumplimiento</t>
        </is>
      </c>
      <c r="H4" s="7" t="inlineStr">
        <is>
          <t>Peso (%)</t>
        </is>
      </c>
      <c r="I4" s="7" t="inlineStr">
        <is>
          <t>Avance Semana 1 (%)</t>
        </is>
      </c>
      <c r="J4" s="7" t="inlineStr">
        <is>
          <t>Avance Semana 2 (%)</t>
        </is>
      </c>
      <c r="K4" s="7" t="inlineStr">
        <is>
          <t>Avance Semana 3 (%)</t>
        </is>
      </c>
      <c r="L4" s="7" t="inlineStr">
        <is>
          <t>Avance Semana 4 (%)</t>
        </is>
      </c>
      <c r="M4" s="54" t="inlineStr">
        <is>
          <t>% de Avance Total Actual</t>
        </is>
      </c>
      <c r="N4" s="54" t="inlineStr">
        <is>
          <t>Estado</t>
        </is>
      </c>
      <c r="O4" s="54" t="inlineStr">
        <is>
          <t>Alerta de plazo</t>
        </is>
      </c>
      <c r="P4" s="54" t="inlineStr">
        <is>
          <t>Seguimiento de la delegación</t>
        </is>
      </c>
      <c r="Q4" s="7" t="inlineStr">
        <is>
          <t>Observaciones</t>
        </is>
      </c>
      <c r="R4" s="54" t="inlineStr">
        <is>
          <t>Revisión automática (alertas)</t>
        </is>
      </c>
      <c r="S4" s="54" t="inlineStr">
        <is>
          <t>Mes</t>
        </is>
      </c>
      <c r="T4" s="54" t="inlineStr">
        <is>
          <t>Orden en el mes (aux)</t>
        </is>
      </c>
      <c r="U4" s="54" t="inlineStr">
        <is>
          <t>Grupo (aux)</t>
        </is>
      </c>
      <c r="V4" s="54" t="inlineStr">
        <is>
          <t>Tipo (aux)</t>
        </is>
      </c>
      <c r="W4" s="54" t="inlineStr">
        <is>
          <t>N subactividades (aux)</t>
        </is>
      </c>
      <c r="X4" s="54" t="inlineStr">
        <is>
          <t>Avance propio (aux)</t>
        </is>
      </c>
      <c r="Y4" s="54" t="inlineStr">
        <is>
          <t>Propio S1 (aux)</t>
        </is>
      </c>
      <c r="Z4" s="54" t="inlineStr">
        <is>
          <t>Propio S2 (aux)</t>
        </is>
      </c>
      <c r="AA4" s="54" t="inlineStr">
        <is>
          <t>Propio S3 (aux)</t>
        </is>
      </c>
      <c r="AB4" s="54" t="inlineStr">
        <is>
          <t>Propio S4 (aux)</t>
        </is>
      </c>
      <c r="AC4" s="54" t="inlineStr">
        <is>
          <t>Efectivo S1 (aux)</t>
        </is>
      </c>
      <c r="AD4" s="54" t="inlineStr">
        <is>
          <t>Efectivo S2 (aux)</t>
        </is>
      </c>
      <c r="AE4" s="54" t="inlineStr">
        <is>
          <t>Efectivo S3 (aux)</t>
        </is>
      </c>
      <c r="AF4" s="54" t="inlineStr">
        <is>
          <t>Efectivo S4 (aux)</t>
        </is>
      </c>
      <c r="AG4" s="54" t="inlineStr">
        <is>
          <t>Peso efectivo (aux)</t>
        </is>
      </c>
      <c r="AH4" s="54" t="inlineStr">
        <is>
          <t>Fila en el puesto (aux)</t>
        </is>
      </c>
      <c r="AI4" s="54" t="inlineStr">
        <is>
          <t>N° delegada en el mes (aux)</t>
        </is>
      </c>
      <c r="AJ4" s="54" t="inlineStr">
        <is>
          <t>Clave delegada (aux)</t>
        </is>
      </c>
      <c r="AK4" s="54" t="inlineStr">
        <is>
          <t>Clave puesto-actividad (aux)</t>
        </is>
      </c>
      <c r="AL4" s="54" t="inlineStr">
        <is>
          <t>Fila en Administración (aux)</t>
        </is>
      </c>
      <c r="AM4" s="54" t="inlineStr">
        <is>
          <t>Inicio efectivo (aux)</t>
        </is>
      </c>
      <c r="AN4" s="54" t="inlineStr">
        <is>
          <t>Límite efectivo (aux)</t>
        </is>
      </c>
    </row>
    <row r="5">
      <c r="A5" s="56">
        <f>IF(NOT((COUNTA($B5:$D5)+COUNTA($G5:$L5)+COUNTA($Q5))&gt;0),"",IF($V5="Macro",COUNTIFS($V$5:$V5,"Macro",$S$5:$S5,$S5),IF(N($U5)=0,"?",COUNTIFS(INDEX($V$5:$V$1000,1):INDEX($V$5:$V$1000,$U5-4),"Macro",INDEX($S$5:$S$1000,1):INDEX($S$5:$S$1000,$U5-4),INDEX($S$5:$S$1000,$U5-4))&amp;"."&amp;COUNTIFS($U$5:$U5,$U5,$V$5:$V5,"Sub"))))</f>
        <v/>
      </c>
      <c r="B5" s="57" t="n"/>
      <c r="C5" s="58" t="n"/>
      <c r="D5" s="58" t="n"/>
      <c r="E5" s="59">
        <f>IF(N($AL5)&gt;0,INDEX(rIni_ADM,$AL5),"")</f>
        <v/>
      </c>
      <c r="F5" s="59">
        <f>IF(N($AL5)&gt;0,INDEX(rLim_ADM,$AL5),"")</f>
        <v/>
      </c>
      <c r="G5" s="59" t="n"/>
      <c r="H5" s="60" t="n"/>
      <c r="I5" s="60" t="n"/>
      <c r="J5" s="60" t="n"/>
      <c r="K5" s="60" t="n"/>
      <c r="L5" s="60" t="n"/>
      <c r="M5" s="61">
        <f>IF(NOT((COUNTA($B5:$D5)+COUNTA($G5:$L5)+COUNTA($Q5))&gt;0),"",IF($V5="Sub",IFERROR($X5/INDEX($W$5:$W$1000,$U5-4),""),IF(ISNUMBER($G5),1,IF(N($W5)&gt;0,AVERAGEIFS($X$5:$X$1000,$U$5:$U$1000,ROW(),$V$5:$V$1000,"Sub"),$X5))))</f>
        <v/>
      </c>
      <c r="N5" s="56">
        <f>IF(OR($M5="",$V5="Sub"),"",IF($M5&gt;=1,"Completado",IF($M5&gt;0,"En curso","Pendiente")))</f>
        <v/>
      </c>
      <c r="O5" s="56">
        <f>IF(OR(NOT((COUNTA($B5:$D5)+COUNTA($G5:$L5)+COUNTA($Q5))&gt;0),$V5="Sub"),"",IF(ISNUMBER($G5),IF(AND(ISNUMBER($AN5),$G5&gt;$AN5),"Cumplida con "&amp;($G5-$AN5)&amp;IF($G5-$AN5=1," día"," días")&amp;" de retraso","Cumplida"),IF(N($M5)&gt;=1,"Cumplida",IF(NOT(ISNUMBER($AN5)),"Sin fecha límite",IF($AN5&lt;FechaRef,"Vencida hace "&amp;(FechaRef-$AN5)&amp;IF(FechaRef-$AN5=1," día"," días"),IF($AN5=FechaRef,"Vence hoy",IF($AN5-FechaRef&lt;=DiasAlerta,"Vence en "&amp;($AN5-FechaRef)&amp;IF($AN5-FechaRef=1," día"," días"),"En plazo")))))))</f>
        <v/>
      </c>
      <c r="P5" s="62" t="n"/>
      <c r="Q5" s="58" t="n"/>
      <c r="R5" s="63">
        <f>IF(NOT((COUNTA($B5:$D5)+COUNTA($G5:$L5)+COUNTA($Q5))&gt;0),"",IF((IF($C5="","Falta el nombre de la actividad"&amp;" · ","")&amp;IF(AND($V5="Sub",N($U5)=0),"Subactividad sin macroactividad arriba"&amp;" · ","")&amp;IF($AM5="","Sin fecha de inicio"&amp;" · ","")&amp;IF($AN5="","Sin fecha límite"&amp;" · ","")&amp;IF(AND(LEFT($C5,11)="[Jefatura] ",N($AL5)=0),"No se encuentra en la hoja de la jefatura (elíjala de nuevo en la lista)"&amp;" · ","")&amp;IF(OR(AND($E5&lt;&gt;"",NOT(ISNUMBER($E5))),AND($F5&lt;&gt;"",NOT(ISNUMBER($F5))),AND($G5&lt;&gt;"",NOT(ISNUMBER($G5)))),"Fecha no válida"&amp;" · ","")&amp;IF(AND(ISNUMBER($AM5),ISNUMBER($AN5),$AM5&gt;$AN5),"Inicio posterior a fecha límite"&amp;" · ","")&amp;IF(AND($V5="Macro",$H5&lt;&gt;"",OR(NOT(ISNUMBER($H5)),$H5&lt;0,$H5&gt;1)),"Peso fuera de rango"&amp;" · ","")&amp;IF(AND($V5="Sub",$H5&lt;&gt;""),"Las subactividades no llevan peso (valen igual dentro de su macroactividad)"&amp;" · ","")&amp;IF(AND(N($W5)&gt;0,COUNT($I5:$L5)&gt;0),"Con subactividades: deje vacías las semanas (se calculan solas)"&amp;" · ","")&amp;IF((COUNTIF($I5:$L5,"&gt;1")+COUNTIF($I5:$L5,"&lt;0")+COUNTA($I5:$L5)-COUNT($I5:$L5))&gt;0,"Avance fuera de rango 0-100%"&amp;" · ","")&amp;IF(OR(AND($J5&lt;&gt;"",$J5&lt;$I5),AND($K5&lt;&gt;"",$K5&lt;MAX($I5:$J5)),AND($L5&lt;&gt;"",$L5&lt;MAX($I5:$K5))),"Avance semanal decreciente"&amp;" · ","")&amp;IF(AND(ISNUMBER($AN5),$AN5&lt;FechaRef,IF($V5="Sub",N($X5),N($M5))&lt;1),"Vencida"&amp;" · ","")&amp;IF(AND(ObsObligatoria="Sí",ISNUMBER($AN5),$AN5&lt;FechaRef,IF($V5="Sub",N($X5),N($M5))&lt;1,$Q5=""),"Vencida sin observación"&amp;" · ",""))="","✔ OK","⚠ "&amp;LEFT(IF($C5="","Falta el nombre de la actividad"&amp;" · ","")&amp;IF(AND($V5="Sub",N($U5)=0),"Subactividad sin macroactividad arriba"&amp;" · ","")&amp;IF($AM5="","Sin fecha de inicio"&amp;" · ","")&amp;IF($AN5="","Sin fecha límite"&amp;" · ","")&amp;IF(AND(LEFT($C5,11)="[Jefatura] ",N($AL5)=0),"No se encuentra en la hoja de la jefatura (elíjala de nuevo en la lista)"&amp;" · ","")&amp;IF(OR(AND($E5&lt;&gt;"",NOT(ISNUMBER($E5))),AND($F5&lt;&gt;"",NOT(ISNUMBER($F5))),AND($G5&lt;&gt;"",NOT(ISNUMBER($G5)))),"Fecha no válida"&amp;" · ","")&amp;IF(AND(ISNUMBER($AM5),ISNUMBER($AN5),$AM5&gt;$AN5),"Inicio posterior a fecha límite"&amp;" · ","")&amp;IF(AND($V5="Macro",$H5&lt;&gt;"",OR(NOT(ISNUMBER($H5)),$H5&lt;0,$H5&gt;1)),"Peso fuera de rango"&amp;" · ","")&amp;IF(AND($V5="Sub",$H5&lt;&gt;""),"Las subactividades no llevan peso (valen igual dentro de su macroactividad)"&amp;" · ","")&amp;IF(AND(N($W5)&gt;0,COUNT($I5:$L5)&gt;0),"Con subactividades: deje vacías las semanas (se calculan solas)"&amp;" · ","")&amp;IF((COUNTIF($I5:$L5,"&gt;1")+COUNTIF($I5:$L5,"&lt;0")+COUNTA($I5:$L5)-COUNT($I5:$L5))&gt;0,"Avance fuera de rango 0-100%"&amp;" · ","")&amp;IF(OR(AND($J5&lt;&gt;"",$J5&lt;$I5),AND($K5&lt;&gt;"",$K5&lt;MAX($I5:$J5)),AND($L5&lt;&gt;"",$L5&lt;MAX($I5:$K5))),"Avance semanal decreciente"&amp;" · ","")&amp;IF(AND(ISNUMBER($AN5),$AN5&lt;FechaRef,IF($V5="Sub",N($X5),N($M5))&lt;1),"Vencida"&amp;" · ","")&amp;IF(AND(ObsObligatoria="Sí",ISNUMBER($AN5),$AN5&lt;FechaRef,IF($V5="Sub",N($X5),N($M5))&lt;1,$Q5=""),"Vencida sin observación"&amp;" · ",""),LEN(IF($C5="","Falta el nombre de la actividad"&amp;" · ","")&amp;IF(AND($V5="Sub",N($U5)=0),"Subactividad sin macroactividad arriba"&amp;" · ","")&amp;IF($AM5="","Sin fecha de inicio"&amp;" · ","")&amp;IF($AN5="","Sin fecha límite"&amp;" · ","")&amp;IF(AND(LEFT($C5,11)="[Jefatura] ",N($AL5)=0),"No se encuentra en la hoja de la jefatura (elíjala de nuevo en la lista)"&amp;" · ","")&amp;IF(OR(AND($E5&lt;&gt;"",NOT(ISNUMBER($E5))),AND($F5&lt;&gt;"",NOT(ISNUMBER($F5))),AND($G5&lt;&gt;"",NOT(ISNUMBER($G5)))),"Fecha no válida"&amp;" · ","")&amp;IF(AND(ISNUMBER($AM5),ISNUMBER($AN5),$AM5&gt;$AN5),"Inicio posterior a fecha límite"&amp;" · ","")&amp;IF(AND($V5="Macro",$H5&lt;&gt;"",OR(NOT(ISNUMBER($H5)),$H5&lt;0,$H5&gt;1)),"Peso fuera de rango"&amp;" · ","")&amp;IF(AND($V5="Sub",$H5&lt;&gt;""),"Las subactividades no llevan peso (valen igual dentro de su macroactividad)"&amp;" · ","")&amp;IF(AND(N($W5)&gt;0,COUNT($I5:$L5)&gt;0),"Con subactividades: deje vacías las semanas (se calculan solas)"&amp;" · ","")&amp;IF((COUNTIF($I5:$L5,"&gt;1")+COUNTIF($I5:$L5,"&lt;0")+COUNTA($I5:$L5)-COUNT($I5:$L5))&gt;0,"Avance fuera de rango 0-100%"&amp;" · ","")&amp;IF(OR(AND($J5&lt;&gt;"",$J5&lt;$I5),AND($K5&lt;&gt;"",$K5&lt;MAX($I5:$J5)),AND($L5&lt;&gt;"",$L5&lt;MAX($I5:$K5))),"Avance semanal decreciente"&amp;" · ","")&amp;IF(AND(ISNUMBER($AN5),$AN5&lt;FechaRef,IF($V5="Sub",N($X5),N($M5))&lt;1),"Vencida"&amp;" · ","")&amp;IF(AND(ObsObligatoria="Sí",ISNUMBER($AN5),$AN5&lt;FechaRef,IF($V5="Sub",N($X5),N($M5))&lt;1,$Q5=""),"Vencida sin observación"&amp;" · ",""))-3)))</f>
        <v/>
      </c>
      <c r="S5" s="64">
        <f>IF(NOT((COUNTA($B5:$D5)+COUNTA($G5:$L5)+COUNTA($Q5))&gt;0),"",IF(AND($V5="Sub",N($U5)&gt;0),IF(ISNUMBER(INDEX($AM$5:$AM$1000,$U5-4)),DATE(YEAR(INDEX($AM$5:$AM$1000,$U5-4)),MONTH(INDEX($AM$5:$AM$1000,$U5-4)),1),IF(ISNUMBER(INDEX($AN$5:$AN$1000,$U5-4)),DATE(YEAR(INDEX($AN$5:$AN$1000,$U5-4)),MONTH(INDEX($AN$5:$AN$1000,$U5-4)),1),MesCiclo)),IF(ISNUMBER($AM5),DATE(YEAR($AM5),MONTH($AM5),1),IF(ISNUMBER($AN5),DATE(YEAR($AN5),MONTH($AN5),1),MesCiclo))))</f>
        <v/>
      </c>
      <c r="T5" s="62">
        <f>IF(OR($S5="",$S5&lt;&gt;MesCiclo,$V5&lt;&gt;"Macro"),"",COUNTIFS($S$5:$S5,MesCiclo,$V$5:$V5,"Macro"))</f>
        <v/>
      </c>
      <c r="U5" s="62">
        <f>IF($V5="","",IF($V5="Macro",ROW(),IFERROR(LOOKUP(2,1/($V$5:$V5="Macro"),ROW($V$5:$V5)),0)))</f>
        <v/>
      </c>
      <c r="V5" s="62">
        <f>IF(NOT((COUNTA($B5:$D5)+COUNTA($G5:$L5)+COUNTA($Q5))&gt;0),"",IF($B5="Subactividad","Sub","Macro"))</f>
        <v/>
      </c>
      <c r="W5" s="62">
        <f>IF($V5="Macro",COUNTIFS($U$5:$U$1000,ROW(),$V$5:$V$1000,"Sub"),"")</f>
        <v/>
      </c>
      <c r="X5" s="62">
        <f>IF($V5="","",IF(ISNUMBER($G5),1,IFERROR(LOOKUP(2,1/($I5:$L5&lt;&gt;""),$I5:$L5),0)))</f>
        <v/>
      </c>
      <c r="Y5" s="62">
        <f>IF($V5="","",IF(AND(ISNUMBER($G5),$G5&lt;=IF($S5=MesCiclo,InicioCiclo,$S5+MOD(2-WEEKDAY($S5),7))+6),1,IF(ISNUMBER($I5),$I5,0)))</f>
        <v/>
      </c>
      <c r="Z5" s="62">
        <f>IF($V5="","",IF(AND(ISNUMBER($G5),$G5&lt;=IF($S5=MesCiclo,InicioCiclo,$S5+MOD(2-WEEKDAY($S5),7))+13),1,IF(ISNUMBER($J5),$J5,$Y5)))</f>
        <v/>
      </c>
      <c r="AA5" s="62">
        <f>IF($V5="","",IF(AND(ISNUMBER($G5),$G5&lt;=IF($S5=MesCiclo,InicioCiclo,$S5+MOD(2-WEEKDAY($S5),7))+20),1,IF(ISNUMBER($K5),$K5,$Z5)))</f>
        <v/>
      </c>
      <c r="AB5" s="62">
        <f>IF($V5="","",IF(AND(ISNUMBER($G5),$G5&lt;=IF($S5=MesCiclo,InicioCiclo,$S5+MOD(2-WEEKDAY($S5),7))+27),1,IF(ISNUMBER($L5),$L5,$AA5)))</f>
        <v/>
      </c>
      <c r="AC5" s="62">
        <f>IF($V5="","",IF(AND(ISNUMBER($G5),$G5&lt;=IF($S5=MesCiclo,InicioCiclo,$S5+MOD(2-WEEKDAY($S5),7))+6),1,IF(N($W5)&gt;0,AVERAGEIFS($Y$5:$Y$1000,$U$5:$U$1000,ROW(),$V$5:$V$1000,"Sub"),$Y5)))</f>
        <v/>
      </c>
      <c r="AD5" s="62">
        <f>IF($V5="","",IF(AND(ISNUMBER($G5),$G5&lt;=IF($S5=MesCiclo,InicioCiclo,$S5+MOD(2-WEEKDAY($S5),7))+13),1,IF(N($W5)&gt;0,AVERAGEIFS($Z$5:$Z$1000,$U$5:$U$1000,ROW(),$V$5:$V$1000,"Sub"),$Z5)))</f>
        <v/>
      </c>
      <c r="AE5" s="62">
        <f>IF($V5="","",IF(AND(ISNUMBER($G5),$G5&lt;=IF($S5=MesCiclo,InicioCiclo,$S5+MOD(2-WEEKDAY($S5),7))+20),1,IF(N($W5)&gt;0,AVERAGEIFS($AA$5:$AA$1000,$U$5:$U$1000,ROW(),$V$5:$V$1000,"Sub"),$AA5)))</f>
        <v/>
      </c>
      <c r="AF5" s="62">
        <f>IF($V5="","",IF(AND(ISNUMBER($G5),$G5&lt;=IF($S5=MesCiclo,InicioCiclo,$S5+MOD(2-WEEKDAY($S5),7))+27),1,IF(N($W5)&gt;0,AVERAGEIFS($AB$5:$AB$1000,$U$5:$U$1000,ROW(),$V$5:$V$1000,"Sub"),$AB5)))</f>
        <v/>
      </c>
      <c r="AG5" s="62">
        <f>IF($V5&lt;&gt;"Macro","",IF(COUNTIFS($S$5:$S$1000,$S5,$V$5:$V$1000,"Macro",$H$5:$H$1000,"&gt;0")=0,1/COUNTIFS($S$5:$S$1000,$S5,$V$5:$V$1000,"Macro"),IF(AND(ISNUMBER($H5),N($H5)&gt;0),$H5,SUMIFS($H$5:$H$1000,$S$5:$S$1000,$S5,$V$5:$V$1000,"Macro")/COUNTIFS($S$5:$S$1000,$S5,$V$5:$V$1000,"Macro",$H$5:$H$1000,"&gt;0"))/(COUNTIFS($S$5:$S$1000,$S5,$V$5:$V$1000,"Macro")*SUMIFS($H$5:$H$1000,$S$5:$S$1000,$S5,$V$5:$V$1000,"Macro")/COUNTIFS($S$5:$S$1000,$S5,$V$5:$V$1000,"Macro",$H$5:$H$1000,"&gt;0"))))</f>
        <v/>
      </c>
      <c r="AH5" s="62" t="n"/>
      <c r="AI5" s="62" t="n"/>
      <c r="AJ5" s="62" t="n"/>
      <c r="AK5" s="62" t="n"/>
      <c r="AL5" s="62">
        <f>IF(LEFT($C5,11)="[Jefatura] ",IFERROR(MATCH("Asistente Técnico de Riesgo|"&amp;MID($C5,12,500),rDname_ADM,0),0),"")</f>
        <v/>
      </c>
      <c r="AM5" s="62">
        <f>IF(N($AL5)&gt;0,INDEX(rIni_ADM,$AL5),IF(ISNUMBER($E5),$E5,""))</f>
        <v/>
      </c>
      <c r="AN5" s="62">
        <f>IF(N($AL5)&gt;0,INDEX(rLim_ADM,$AL5),IF(ISNUMBER($F5),$F5,""))</f>
        <v/>
      </c>
    </row>
    <row r="6">
      <c r="A6" s="56">
        <f>IF(NOT((COUNTA($B6:$D6)+COUNTA($G6:$L6)+COUNTA($Q6))&gt;0),"",IF($V6="Macro",COUNTIFS($V$5:$V6,"Macro",$S$5:$S6,$S6),IF(N($U6)=0,"?",COUNTIFS(INDEX($V$5:$V$1000,1):INDEX($V$5:$V$1000,$U6-4),"Macro",INDEX($S$5:$S$1000,1):INDEX($S$5:$S$1000,$U6-4),INDEX($S$5:$S$1000,$U6-4))&amp;"."&amp;COUNTIFS($U$5:$U6,$U6,$V$5:$V6,"Sub"))))</f>
        <v/>
      </c>
      <c r="B6" s="57" t="n"/>
      <c r="C6" s="58" t="n"/>
      <c r="D6" s="58" t="n"/>
      <c r="E6" s="59">
        <f>IF(N($AL6)&gt;0,INDEX(rIni_ADM,$AL6),"")</f>
        <v/>
      </c>
      <c r="F6" s="59">
        <f>IF(N($AL6)&gt;0,INDEX(rLim_ADM,$AL6),"")</f>
        <v/>
      </c>
      <c r="G6" s="59" t="n"/>
      <c r="H6" s="60" t="n"/>
      <c r="I6" s="60" t="n"/>
      <c r="J6" s="60" t="n"/>
      <c r="K6" s="60" t="n"/>
      <c r="L6" s="60" t="n"/>
      <c r="M6" s="61">
        <f>IF(NOT((COUNTA($B6:$D6)+COUNTA($G6:$L6)+COUNTA($Q6))&gt;0),"",IF($V6="Sub",IFERROR($X6/INDEX($W$5:$W$1000,$U6-4),""),IF(ISNUMBER($G6),1,IF(N($W6)&gt;0,AVERAGEIFS($X$5:$X$1000,$U$5:$U$1000,ROW(),$V$5:$V$1000,"Sub"),$X6))))</f>
        <v/>
      </c>
      <c r="N6" s="56">
        <f>IF(OR($M6="",$V6="Sub"),"",IF($M6&gt;=1,"Completado",IF($M6&gt;0,"En curso","Pendiente")))</f>
        <v/>
      </c>
      <c r="O6" s="56">
        <f>IF(OR(NOT((COUNTA($B6:$D6)+COUNTA($G6:$L6)+COUNTA($Q6))&gt;0),$V6="Sub"),"",IF(ISNUMBER($G6),IF(AND(ISNUMBER($AN6),$G6&gt;$AN6),"Cumplida con "&amp;($G6-$AN6)&amp;IF($G6-$AN6=1," día"," días")&amp;" de retraso","Cumplida"),IF(N($M6)&gt;=1,"Cumplida",IF(NOT(ISNUMBER($AN6)),"Sin fecha límite",IF($AN6&lt;FechaRef,"Vencida hace "&amp;(FechaRef-$AN6)&amp;IF(FechaRef-$AN6=1," día"," días"),IF($AN6=FechaRef,"Vence hoy",IF($AN6-FechaRef&lt;=DiasAlerta,"Vence en "&amp;($AN6-FechaRef)&amp;IF($AN6-FechaRef=1," día"," días"),"En plazo")))))))</f>
        <v/>
      </c>
      <c r="P6" s="62" t="n"/>
      <c r="Q6" s="58" t="n"/>
      <c r="R6" s="63">
        <f>IF(NOT((COUNTA($B6:$D6)+COUNTA($G6:$L6)+COUNTA($Q6))&gt;0),"",IF((IF($C6="","Falta el nombre de la actividad"&amp;" · ","")&amp;IF(AND($V6="Sub",N($U6)=0),"Subactividad sin macroactividad arriba"&amp;" · ","")&amp;IF($AM6="","Sin fecha de inicio"&amp;" · ","")&amp;IF($AN6="","Sin fecha límite"&amp;" · ","")&amp;IF(AND(LEFT($C6,11)="[Jefatura] ",N($AL6)=0),"No se encuentra en la hoja de la jefatura (elíjala de nuevo en la lista)"&amp;" · ","")&amp;IF(OR(AND($E6&lt;&gt;"",NOT(ISNUMBER($E6))),AND($F6&lt;&gt;"",NOT(ISNUMBER($F6))),AND($G6&lt;&gt;"",NOT(ISNUMBER($G6)))),"Fecha no válida"&amp;" · ","")&amp;IF(AND(ISNUMBER($AM6),ISNUMBER($AN6),$AM6&gt;$AN6),"Inicio posterior a fecha límite"&amp;" · ","")&amp;IF(AND($V6="Macro",$H6&lt;&gt;"",OR(NOT(ISNUMBER($H6)),$H6&lt;0,$H6&gt;1)),"Peso fuera de rango"&amp;" · ","")&amp;IF(AND($V6="Sub",$H6&lt;&gt;""),"Las subactividades no llevan peso (valen igual dentro de su macroactividad)"&amp;" · ","")&amp;IF(AND(N($W6)&gt;0,COUNT($I6:$L6)&gt;0),"Con subactividades: deje vacías las semanas (se calculan solas)"&amp;" · ","")&amp;IF((COUNTIF($I6:$L6,"&gt;1")+COUNTIF($I6:$L6,"&lt;0")+COUNTA($I6:$L6)-COUNT($I6:$L6))&gt;0,"Avance fuera de rango 0-100%"&amp;" · ","")&amp;IF(OR(AND($J6&lt;&gt;"",$J6&lt;$I6),AND($K6&lt;&gt;"",$K6&lt;MAX($I6:$J6)),AND($L6&lt;&gt;"",$L6&lt;MAX($I6:$K6))),"Avance semanal decreciente"&amp;" · ","")&amp;IF(AND(ISNUMBER($AN6),$AN6&lt;FechaRef,IF($V6="Sub",N($X6),N($M6))&lt;1),"Vencida"&amp;" · ","")&amp;IF(AND(ObsObligatoria="Sí",ISNUMBER($AN6),$AN6&lt;FechaRef,IF($V6="Sub",N($X6),N($M6))&lt;1,$Q6=""),"Vencida sin observación"&amp;" · ",""))="","✔ OK","⚠ "&amp;LEFT(IF($C6="","Falta el nombre de la actividad"&amp;" · ","")&amp;IF(AND($V6="Sub",N($U6)=0),"Subactividad sin macroactividad arriba"&amp;" · ","")&amp;IF($AM6="","Sin fecha de inicio"&amp;" · ","")&amp;IF($AN6="","Sin fecha límite"&amp;" · ","")&amp;IF(AND(LEFT($C6,11)="[Jefatura] ",N($AL6)=0),"No se encuentra en la hoja de la jefatura (elíjala de nuevo en la lista)"&amp;" · ","")&amp;IF(OR(AND($E6&lt;&gt;"",NOT(ISNUMBER($E6))),AND($F6&lt;&gt;"",NOT(ISNUMBER($F6))),AND($G6&lt;&gt;"",NOT(ISNUMBER($G6)))),"Fecha no válida"&amp;" · ","")&amp;IF(AND(ISNUMBER($AM6),ISNUMBER($AN6),$AM6&gt;$AN6),"Inicio posterior a fecha límite"&amp;" · ","")&amp;IF(AND($V6="Macro",$H6&lt;&gt;"",OR(NOT(ISNUMBER($H6)),$H6&lt;0,$H6&gt;1)),"Peso fuera de rango"&amp;" · ","")&amp;IF(AND($V6="Sub",$H6&lt;&gt;""),"Las subactividades no llevan peso (valen igual dentro de su macroactividad)"&amp;" · ","")&amp;IF(AND(N($W6)&gt;0,COUNT($I6:$L6)&gt;0),"Con subactividades: deje vacías las semanas (se calculan solas)"&amp;" · ","")&amp;IF((COUNTIF($I6:$L6,"&gt;1")+COUNTIF($I6:$L6,"&lt;0")+COUNTA($I6:$L6)-COUNT($I6:$L6))&gt;0,"Avance fuera de rango 0-100%"&amp;" · ","")&amp;IF(OR(AND($J6&lt;&gt;"",$J6&lt;$I6),AND($K6&lt;&gt;"",$K6&lt;MAX($I6:$J6)),AND($L6&lt;&gt;"",$L6&lt;MAX($I6:$K6))),"Avance semanal decreciente"&amp;" · ","")&amp;IF(AND(ISNUMBER($AN6),$AN6&lt;FechaRef,IF($V6="Sub",N($X6),N($M6))&lt;1),"Vencida"&amp;" · ","")&amp;IF(AND(ObsObligatoria="Sí",ISNUMBER($AN6),$AN6&lt;FechaRef,IF($V6="Sub",N($X6),N($M6))&lt;1,$Q6=""),"Vencida sin observación"&amp;" · ",""),LEN(IF($C6="","Falta el nombre de la actividad"&amp;" · ","")&amp;IF(AND($V6="Sub",N($U6)=0),"Subactividad sin macroactividad arriba"&amp;" · ","")&amp;IF($AM6="","Sin fecha de inicio"&amp;" · ","")&amp;IF($AN6="","Sin fecha límite"&amp;" · ","")&amp;IF(AND(LEFT($C6,11)="[Jefatura] ",N($AL6)=0),"No se encuentra en la hoja de la jefatura (elíjala de nuevo en la lista)"&amp;" · ","")&amp;IF(OR(AND($E6&lt;&gt;"",NOT(ISNUMBER($E6))),AND($F6&lt;&gt;"",NOT(ISNUMBER($F6))),AND($G6&lt;&gt;"",NOT(ISNUMBER($G6)))),"Fecha no válida"&amp;" · ","")&amp;IF(AND(ISNUMBER($AM6),ISNUMBER($AN6),$AM6&gt;$AN6),"Inicio posterior a fecha límite"&amp;" · ","")&amp;IF(AND($V6="Macro",$H6&lt;&gt;"",OR(NOT(ISNUMBER($H6)),$H6&lt;0,$H6&gt;1)),"Peso fuera de rango"&amp;" · ","")&amp;IF(AND($V6="Sub",$H6&lt;&gt;""),"Las subactividades no llevan peso (valen igual dentro de su macroactividad)"&amp;" · ","")&amp;IF(AND(N($W6)&gt;0,COUNT($I6:$L6)&gt;0),"Con subactividades: deje vacías las semanas (se calculan solas)"&amp;" · ","")&amp;IF((COUNTIF($I6:$L6,"&gt;1")+COUNTIF($I6:$L6,"&lt;0")+COUNTA($I6:$L6)-COUNT($I6:$L6))&gt;0,"Avance fuera de rango 0-100%"&amp;" · ","")&amp;IF(OR(AND($J6&lt;&gt;"",$J6&lt;$I6),AND($K6&lt;&gt;"",$K6&lt;MAX($I6:$J6)),AND($L6&lt;&gt;"",$L6&lt;MAX($I6:$K6))),"Avance semanal decreciente"&amp;" · ","")&amp;IF(AND(ISNUMBER($AN6),$AN6&lt;FechaRef,IF($V6="Sub",N($X6),N($M6))&lt;1),"Vencida"&amp;" · ","")&amp;IF(AND(ObsObligatoria="Sí",ISNUMBER($AN6),$AN6&lt;FechaRef,IF($V6="Sub",N($X6),N($M6))&lt;1,$Q6=""),"Vencida sin observación"&amp;" · ",""))-3)))</f>
        <v/>
      </c>
      <c r="S6" s="64">
        <f>IF(NOT((COUNTA($B6:$D6)+COUNTA($G6:$L6)+COUNTA($Q6))&gt;0),"",IF(AND($V6="Sub",N($U6)&gt;0),IF(ISNUMBER(INDEX($AM$5:$AM$1000,$U6-4)),DATE(YEAR(INDEX($AM$5:$AM$1000,$U6-4)),MONTH(INDEX($AM$5:$AM$1000,$U6-4)),1),IF(ISNUMBER(INDEX($AN$5:$AN$1000,$U6-4)),DATE(YEAR(INDEX($AN$5:$AN$1000,$U6-4)),MONTH(INDEX($AN$5:$AN$1000,$U6-4)),1),MesCiclo)),IF(ISNUMBER($AM6),DATE(YEAR($AM6),MONTH($AM6),1),IF(ISNUMBER($AN6),DATE(YEAR($AN6),MONTH($AN6),1),MesCiclo))))</f>
        <v/>
      </c>
      <c r="T6" s="62">
        <f>IF(OR($S6="",$S6&lt;&gt;MesCiclo,$V6&lt;&gt;"Macro"),"",COUNTIFS($S$5:$S6,MesCiclo,$V$5:$V6,"Macro"))</f>
        <v/>
      </c>
      <c r="U6" s="62">
        <f>IF($V6="","",IF($V6="Macro",ROW(),IFERROR(LOOKUP(2,1/($V$5:$V6="Macro"),ROW($V$5:$V6)),0)))</f>
        <v/>
      </c>
      <c r="V6" s="62">
        <f>IF(NOT((COUNTA($B6:$D6)+COUNTA($G6:$L6)+COUNTA($Q6))&gt;0),"",IF($B6="Subactividad","Sub","Macro"))</f>
        <v/>
      </c>
      <c r="W6" s="62">
        <f>IF($V6="Macro",COUNTIFS($U$5:$U$1000,ROW(),$V$5:$V$1000,"Sub"),"")</f>
        <v/>
      </c>
      <c r="X6" s="62">
        <f>IF($V6="","",IF(ISNUMBER($G6),1,IFERROR(LOOKUP(2,1/($I6:$L6&lt;&gt;""),$I6:$L6),0)))</f>
        <v/>
      </c>
      <c r="Y6" s="62">
        <f>IF($V6="","",IF(AND(ISNUMBER($G6),$G6&lt;=IF($S6=MesCiclo,InicioCiclo,$S6+MOD(2-WEEKDAY($S6),7))+6),1,IF(ISNUMBER($I6),$I6,0)))</f>
        <v/>
      </c>
      <c r="Z6" s="62">
        <f>IF($V6="","",IF(AND(ISNUMBER($G6),$G6&lt;=IF($S6=MesCiclo,InicioCiclo,$S6+MOD(2-WEEKDAY($S6),7))+13),1,IF(ISNUMBER($J6),$J6,$Y6)))</f>
        <v/>
      </c>
      <c r="AA6" s="62">
        <f>IF($V6="","",IF(AND(ISNUMBER($G6),$G6&lt;=IF($S6=MesCiclo,InicioCiclo,$S6+MOD(2-WEEKDAY($S6),7))+20),1,IF(ISNUMBER($K6),$K6,$Z6)))</f>
        <v/>
      </c>
      <c r="AB6" s="62">
        <f>IF($V6="","",IF(AND(ISNUMBER($G6),$G6&lt;=IF($S6=MesCiclo,InicioCiclo,$S6+MOD(2-WEEKDAY($S6),7))+27),1,IF(ISNUMBER($L6),$L6,$AA6)))</f>
        <v/>
      </c>
      <c r="AC6" s="62">
        <f>IF($V6="","",IF(AND(ISNUMBER($G6),$G6&lt;=IF($S6=MesCiclo,InicioCiclo,$S6+MOD(2-WEEKDAY($S6),7))+6),1,IF(N($W6)&gt;0,AVERAGEIFS($Y$5:$Y$1000,$U$5:$U$1000,ROW(),$V$5:$V$1000,"Sub"),$Y6)))</f>
        <v/>
      </c>
      <c r="AD6" s="62">
        <f>IF($V6="","",IF(AND(ISNUMBER($G6),$G6&lt;=IF($S6=MesCiclo,InicioCiclo,$S6+MOD(2-WEEKDAY($S6),7))+13),1,IF(N($W6)&gt;0,AVERAGEIFS($Z$5:$Z$1000,$U$5:$U$1000,ROW(),$V$5:$V$1000,"Sub"),$Z6)))</f>
        <v/>
      </c>
      <c r="AE6" s="62">
        <f>IF($V6="","",IF(AND(ISNUMBER($G6),$G6&lt;=IF($S6=MesCiclo,InicioCiclo,$S6+MOD(2-WEEKDAY($S6),7))+20),1,IF(N($W6)&gt;0,AVERAGEIFS($AA$5:$AA$1000,$U$5:$U$1000,ROW(),$V$5:$V$1000,"Sub"),$AA6)))</f>
        <v/>
      </c>
      <c r="AF6" s="62">
        <f>IF($V6="","",IF(AND(ISNUMBER($G6),$G6&lt;=IF($S6=MesCiclo,InicioCiclo,$S6+MOD(2-WEEKDAY($S6),7))+27),1,IF(N($W6)&gt;0,AVERAGEIFS($AB$5:$AB$1000,$U$5:$U$1000,ROW(),$V$5:$V$1000,"Sub"),$AB6)))</f>
        <v/>
      </c>
      <c r="AG6" s="62">
        <f>IF($V6&lt;&gt;"Macro","",IF(COUNTIFS($S$5:$S$1000,$S6,$V$5:$V$1000,"Macro",$H$5:$H$1000,"&gt;0")=0,1/COUNTIFS($S$5:$S$1000,$S6,$V$5:$V$1000,"Macro"),IF(AND(ISNUMBER($H6),N($H6)&gt;0),$H6,SUMIFS($H$5:$H$1000,$S$5:$S$1000,$S6,$V$5:$V$1000,"Macro")/COUNTIFS($S$5:$S$1000,$S6,$V$5:$V$1000,"Macro",$H$5:$H$1000,"&gt;0"))/(COUNTIFS($S$5:$S$1000,$S6,$V$5:$V$1000,"Macro")*SUMIFS($H$5:$H$1000,$S$5:$S$1000,$S6,$V$5:$V$1000,"Macro")/COUNTIFS($S$5:$S$1000,$S6,$V$5:$V$1000,"Macro",$H$5:$H$1000,"&gt;0"))))</f>
        <v/>
      </c>
      <c r="AH6" s="62" t="n"/>
      <c r="AI6" s="62" t="n"/>
      <c r="AJ6" s="62" t="n"/>
      <c r="AK6" s="62" t="n"/>
      <c r="AL6" s="62">
        <f>IF(LEFT($C6,11)="[Jefatura] ",IFERROR(MATCH("Asistente Técnico de Riesgo|"&amp;MID($C6,12,500),rDname_ADM,0),0),"")</f>
        <v/>
      </c>
      <c r="AM6" s="62">
        <f>IF(N($AL6)&gt;0,INDEX(rIni_ADM,$AL6),IF(ISNUMBER($E6),$E6,""))</f>
        <v/>
      </c>
      <c r="AN6" s="62">
        <f>IF(N($AL6)&gt;0,INDEX(rLim_ADM,$AL6),IF(ISNUMBER($F6),$F6,""))</f>
        <v/>
      </c>
    </row>
    <row r="7">
      <c r="A7" s="56">
        <f>IF(NOT((COUNTA($B7:$D7)+COUNTA($G7:$L7)+COUNTA($Q7))&gt;0),"",IF($V7="Macro",COUNTIFS($V$5:$V7,"Macro",$S$5:$S7,$S7),IF(N($U7)=0,"?",COUNTIFS(INDEX($V$5:$V$1000,1):INDEX($V$5:$V$1000,$U7-4),"Macro",INDEX($S$5:$S$1000,1):INDEX($S$5:$S$1000,$U7-4),INDEX($S$5:$S$1000,$U7-4))&amp;"."&amp;COUNTIFS($U$5:$U7,$U7,$V$5:$V7,"Sub"))))</f>
        <v/>
      </c>
      <c r="B7" s="57" t="n"/>
      <c r="C7" s="58" t="n"/>
      <c r="D7" s="58" t="n"/>
      <c r="E7" s="59">
        <f>IF(N($AL7)&gt;0,INDEX(rIni_ADM,$AL7),"")</f>
        <v/>
      </c>
      <c r="F7" s="59">
        <f>IF(N($AL7)&gt;0,INDEX(rLim_ADM,$AL7),"")</f>
        <v/>
      </c>
      <c r="G7" s="59" t="n"/>
      <c r="H7" s="60" t="n"/>
      <c r="I7" s="60" t="n"/>
      <c r="J7" s="60" t="n"/>
      <c r="K7" s="60" t="n"/>
      <c r="L7" s="60" t="n"/>
      <c r="M7" s="61">
        <f>IF(NOT((COUNTA($B7:$D7)+COUNTA($G7:$L7)+COUNTA($Q7))&gt;0),"",IF($V7="Sub",IFERROR($X7/INDEX($W$5:$W$1000,$U7-4),""),IF(ISNUMBER($G7),1,IF(N($W7)&gt;0,AVERAGEIFS($X$5:$X$1000,$U$5:$U$1000,ROW(),$V$5:$V$1000,"Sub"),$X7))))</f>
        <v/>
      </c>
      <c r="N7" s="56">
        <f>IF(OR($M7="",$V7="Sub"),"",IF($M7&gt;=1,"Completado",IF($M7&gt;0,"En curso","Pendiente")))</f>
        <v/>
      </c>
      <c r="O7" s="56">
        <f>IF(OR(NOT((COUNTA($B7:$D7)+COUNTA($G7:$L7)+COUNTA($Q7))&gt;0),$V7="Sub"),"",IF(ISNUMBER($G7),IF(AND(ISNUMBER($AN7),$G7&gt;$AN7),"Cumplida con "&amp;($G7-$AN7)&amp;IF($G7-$AN7=1," día"," días")&amp;" de retraso","Cumplida"),IF(N($M7)&gt;=1,"Cumplida",IF(NOT(ISNUMBER($AN7)),"Sin fecha límite",IF($AN7&lt;FechaRef,"Vencida hace "&amp;(FechaRef-$AN7)&amp;IF(FechaRef-$AN7=1," día"," días"),IF($AN7=FechaRef,"Vence hoy",IF($AN7-FechaRef&lt;=DiasAlerta,"Vence en "&amp;($AN7-FechaRef)&amp;IF($AN7-FechaRef=1," día"," días"),"En plazo")))))))</f>
        <v/>
      </c>
      <c r="P7" s="62" t="n"/>
      <c r="Q7" s="58" t="n"/>
      <c r="R7" s="63">
        <f>IF(NOT((COUNTA($B7:$D7)+COUNTA($G7:$L7)+COUNTA($Q7))&gt;0),"",IF((IF($C7="","Falta el nombre de la actividad"&amp;" · ","")&amp;IF(AND($V7="Sub",N($U7)=0),"Subactividad sin macroactividad arriba"&amp;" · ","")&amp;IF($AM7="","Sin fecha de inicio"&amp;" · ","")&amp;IF($AN7="","Sin fecha límite"&amp;" · ","")&amp;IF(AND(LEFT($C7,11)="[Jefatura] ",N($AL7)=0),"No se encuentra en la hoja de la jefatura (elíjala de nuevo en la lista)"&amp;" · ","")&amp;IF(OR(AND($E7&lt;&gt;"",NOT(ISNUMBER($E7))),AND($F7&lt;&gt;"",NOT(ISNUMBER($F7))),AND($G7&lt;&gt;"",NOT(ISNUMBER($G7)))),"Fecha no válida"&amp;" · ","")&amp;IF(AND(ISNUMBER($AM7),ISNUMBER($AN7),$AM7&gt;$AN7),"Inicio posterior a fecha límite"&amp;" · ","")&amp;IF(AND($V7="Macro",$H7&lt;&gt;"",OR(NOT(ISNUMBER($H7)),$H7&lt;0,$H7&gt;1)),"Peso fuera de rango"&amp;" · ","")&amp;IF(AND($V7="Sub",$H7&lt;&gt;""),"Las subactividades no llevan peso (valen igual dentro de su macroactividad)"&amp;" · ","")&amp;IF(AND(N($W7)&gt;0,COUNT($I7:$L7)&gt;0),"Con subactividades: deje vacías las semanas (se calculan solas)"&amp;" · ","")&amp;IF((COUNTIF($I7:$L7,"&gt;1")+COUNTIF($I7:$L7,"&lt;0")+COUNTA($I7:$L7)-COUNT($I7:$L7))&gt;0,"Avance fuera de rango 0-100%"&amp;" · ","")&amp;IF(OR(AND($J7&lt;&gt;"",$J7&lt;$I7),AND($K7&lt;&gt;"",$K7&lt;MAX($I7:$J7)),AND($L7&lt;&gt;"",$L7&lt;MAX($I7:$K7))),"Avance semanal decreciente"&amp;" · ","")&amp;IF(AND(ISNUMBER($AN7),$AN7&lt;FechaRef,IF($V7="Sub",N($X7),N($M7))&lt;1),"Vencida"&amp;" · ","")&amp;IF(AND(ObsObligatoria="Sí",ISNUMBER($AN7),$AN7&lt;FechaRef,IF($V7="Sub",N($X7),N($M7))&lt;1,$Q7=""),"Vencida sin observación"&amp;" · ",""))="","✔ OK","⚠ "&amp;LEFT(IF($C7="","Falta el nombre de la actividad"&amp;" · ","")&amp;IF(AND($V7="Sub",N($U7)=0),"Subactividad sin macroactividad arriba"&amp;" · ","")&amp;IF($AM7="","Sin fecha de inicio"&amp;" · ","")&amp;IF($AN7="","Sin fecha límite"&amp;" · ","")&amp;IF(AND(LEFT($C7,11)="[Jefatura] ",N($AL7)=0),"No se encuentra en la hoja de la jefatura (elíjala de nuevo en la lista)"&amp;" · ","")&amp;IF(OR(AND($E7&lt;&gt;"",NOT(ISNUMBER($E7))),AND($F7&lt;&gt;"",NOT(ISNUMBER($F7))),AND($G7&lt;&gt;"",NOT(ISNUMBER($G7)))),"Fecha no válida"&amp;" · ","")&amp;IF(AND(ISNUMBER($AM7),ISNUMBER($AN7),$AM7&gt;$AN7),"Inicio posterior a fecha límite"&amp;" · ","")&amp;IF(AND($V7="Macro",$H7&lt;&gt;"",OR(NOT(ISNUMBER($H7)),$H7&lt;0,$H7&gt;1)),"Peso fuera de rango"&amp;" · ","")&amp;IF(AND($V7="Sub",$H7&lt;&gt;""),"Las subactividades no llevan peso (valen igual dentro de su macroactividad)"&amp;" · ","")&amp;IF(AND(N($W7)&gt;0,COUNT($I7:$L7)&gt;0),"Con subactividades: deje vacías las semanas (se calculan solas)"&amp;" · ","")&amp;IF((COUNTIF($I7:$L7,"&gt;1")+COUNTIF($I7:$L7,"&lt;0")+COUNTA($I7:$L7)-COUNT($I7:$L7))&gt;0,"Avance fuera de rango 0-100%"&amp;" · ","")&amp;IF(OR(AND($J7&lt;&gt;"",$J7&lt;$I7),AND($K7&lt;&gt;"",$K7&lt;MAX($I7:$J7)),AND($L7&lt;&gt;"",$L7&lt;MAX($I7:$K7))),"Avance semanal decreciente"&amp;" · ","")&amp;IF(AND(ISNUMBER($AN7),$AN7&lt;FechaRef,IF($V7="Sub",N($X7),N($M7))&lt;1),"Vencida"&amp;" · ","")&amp;IF(AND(ObsObligatoria="Sí",ISNUMBER($AN7),$AN7&lt;FechaRef,IF($V7="Sub",N($X7),N($M7))&lt;1,$Q7=""),"Vencida sin observación"&amp;" · ",""),LEN(IF($C7="","Falta el nombre de la actividad"&amp;" · ","")&amp;IF(AND($V7="Sub",N($U7)=0),"Subactividad sin macroactividad arriba"&amp;" · ","")&amp;IF($AM7="","Sin fecha de inicio"&amp;" · ","")&amp;IF($AN7="","Sin fecha límite"&amp;" · ","")&amp;IF(AND(LEFT($C7,11)="[Jefatura] ",N($AL7)=0),"No se encuentra en la hoja de la jefatura (elíjala de nuevo en la lista)"&amp;" · ","")&amp;IF(OR(AND($E7&lt;&gt;"",NOT(ISNUMBER($E7))),AND($F7&lt;&gt;"",NOT(ISNUMBER($F7))),AND($G7&lt;&gt;"",NOT(ISNUMBER($G7)))),"Fecha no válida"&amp;" · ","")&amp;IF(AND(ISNUMBER($AM7),ISNUMBER($AN7),$AM7&gt;$AN7),"Inicio posterior a fecha límite"&amp;" · ","")&amp;IF(AND($V7="Macro",$H7&lt;&gt;"",OR(NOT(ISNUMBER($H7)),$H7&lt;0,$H7&gt;1)),"Peso fuera de rango"&amp;" · ","")&amp;IF(AND($V7="Sub",$H7&lt;&gt;""),"Las subactividades no llevan peso (valen igual dentro de su macroactividad)"&amp;" · ","")&amp;IF(AND(N($W7)&gt;0,COUNT($I7:$L7)&gt;0),"Con subactividades: deje vacías las semanas (se calculan solas)"&amp;" · ","")&amp;IF((COUNTIF($I7:$L7,"&gt;1")+COUNTIF($I7:$L7,"&lt;0")+COUNTA($I7:$L7)-COUNT($I7:$L7))&gt;0,"Avance fuera de rango 0-100%"&amp;" · ","")&amp;IF(OR(AND($J7&lt;&gt;"",$J7&lt;$I7),AND($K7&lt;&gt;"",$K7&lt;MAX($I7:$J7)),AND($L7&lt;&gt;"",$L7&lt;MAX($I7:$K7))),"Avance semanal decreciente"&amp;" · ","")&amp;IF(AND(ISNUMBER($AN7),$AN7&lt;FechaRef,IF($V7="Sub",N($X7),N($M7))&lt;1),"Vencida"&amp;" · ","")&amp;IF(AND(ObsObligatoria="Sí",ISNUMBER($AN7),$AN7&lt;FechaRef,IF($V7="Sub",N($X7),N($M7))&lt;1,$Q7=""),"Vencida sin observación"&amp;" · ",""))-3)))</f>
        <v/>
      </c>
      <c r="S7" s="64">
        <f>IF(NOT((COUNTA($B7:$D7)+COUNTA($G7:$L7)+COUNTA($Q7))&gt;0),"",IF(AND($V7="Sub",N($U7)&gt;0),IF(ISNUMBER(INDEX($AM$5:$AM$1000,$U7-4)),DATE(YEAR(INDEX($AM$5:$AM$1000,$U7-4)),MONTH(INDEX($AM$5:$AM$1000,$U7-4)),1),IF(ISNUMBER(INDEX($AN$5:$AN$1000,$U7-4)),DATE(YEAR(INDEX($AN$5:$AN$1000,$U7-4)),MONTH(INDEX($AN$5:$AN$1000,$U7-4)),1),MesCiclo)),IF(ISNUMBER($AM7),DATE(YEAR($AM7),MONTH($AM7),1),IF(ISNUMBER($AN7),DATE(YEAR($AN7),MONTH($AN7),1),MesCiclo))))</f>
        <v/>
      </c>
      <c r="T7" s="62">
        <f>IF(OR($S7="",$S7&lt;&gt;MesCiclo,$V7&lt;&gt;"Macro"),"",COUNTIFS($S$5:$S7,MesCiclo,$V$5:$V7,"Macro"))</f>
        <v/>
      </c>
      <c r="U7" s="62">
        <f>IF($V7="","",IF($V7="Macro",ROW(),IFERROR(LOOKUP(2,1/($V$5:$V7="Macro"),ROW($V$5:$V7)),0)))</f>
        <v/>
      </c>
      <c r="V7" s="62">
        <f>IF(NOT((COUNTA($B7:$D7)+COUNTA($G7:$L7)+COUNTA($Q7))&gt;0),"",IF($B7="Subactividad","Sub","Macro"))</f>
        <v/>
      </c>
      <c r="W7" s="62">
        <f>IF($V7="Macro",COUNTIFS($U$5:$U$1000,ROW(),$V$5:$V$1000,"Sub"),"")</f>
        <v/>
      </c>
      <c r="X7" s="62">
        <f>IF($V7="","",IF(ISNUMBER($G7),1,IFERROR(LOOKUP(2,1/($I7:$L7&lt;&gt;""),$I7:$L7),0)))</f>
        <v/>
      </c>
      <c r="Y7" s="62">
        <f>IF($V7="","",IF(AND(ISNUMBER($G7),$G7&lt;=IF($S7=MesCiclo,InicioCiclo,$S7+MOD(2-WEEKDAY($S7),7))+6),1,IF(ISNUMBER($I7),$I7,0)))</f>
        <v/>
      </c>
      <c r="Z7" s="62">
        <f>IF($V7="","",IF(AND(ISNUMBER($G7),$G7&lt;=IF($S7=MesCiclo,InicioCiclo,$S7+MOD(2-WEEKDAY($S7),7))+13),1,IF(ISNUMBER($J7),$J7,$Y7)))</f>
        <v/>
      </c>
      <c r="AA7" s="62">
        <f>IF($V7="","",IF(AND(ISNUMBER($G7),$G7&lt;=IF($S7=MesCiclo,InicioCiclo,$S7+MOD(2-WEEKDAY($S7),7))+20),1,IF(ISNUMBER($K7),$K7,$Z7)))</f>
        <v/>
      </c>
      <c r="AB7" s="62">
        <f>IF($V7="","",IF(AND(ISNUMBER($G7),$G7&lt;=IF($S7=MesCiclo,InicioCiclo,$S7+MOD(2-WEEKDAY($S7),7))+27),1,IF(ISNUMBER($L7),$L7,$AA7)))</f>
        <v/>
      </c>
      <c r="AC7" s="62">
        <f>IF($V7="","",IF(AND(ISNUMBER($G7),$G7&lt;=IF($S7=MesCiclo,InicioCiclo,$S7+MOD(2-WEEKDAY($S7),7))+6),1,IF(N($W7)&gt;0,AVERAGEIFS($Y$5:$Y$1000,$U$5:$U$1000,ROW(),$V$5:$V$1000,"Sub"),$Y7)))</f>
        <v/>
      </c>
      <c r="AD7" s="62">
        <f>IF($V7="","",IF(AND(ISNUMBER($G7),$G7&lt;=IF($S7=MesCiclo,InicioCiclo,$S7+MOD(2-WEEKDAY($S7),7))+13),1,IF(N($W7)&gt;0,AVERAGEIFS($Z$5:$Z$1000,$U$5:$U$1000,ROW(),$V$5:$V$1000,"Sub"),$Z7)))</f>
        <v/>
      </c>
      <c r="AE7" s="62">
        <f>IF($V7="","",IF(AND(ISNUMBER($G7),$G7&lt;=IF($S7=MesCiclo,InicioCiclo,$S7+MOD(2-WEEKDAY($S7),7))+20),1,IF(N($W7)&gt;0,AVERAGEIFS($AA$5:$AA$1000,$U$5:$U$1000,ROW(),$V$5:$V$1000,"Sub"),$AA7)))</f>
        <v/>
      </c>
      <c r="AF7" s="62">
        <f>IF($V7="","",IF(AND(ISNUMBER($G7),$G7&lt;=IF($S7=MesCiclo,InicioCiclo,$S7+MOD(2-WEEKDAY($S7),7))+27),1,IF(N($W7)&gt;0,AVERAGEIFS($AB$5:$AB$1000,$U$5:$U$1000,ROW(),$V$5:$V$1000,"Sub"),$AB7)))</f>
        <v/>
      </c>
      <c r="AG7" s="62">
        <f>IF($V7&lt;&gt;"Macro","",IF(COUNTIFS($S$5:$S$1000,$S7,$V$5:$V$1000,"Macro",$H$5:$H$1000,"&gt;0")=0,1/COUNTIFS($S$5:$S$1000,$S7,$V$5:$V$1000,"Macro"),IF(AND(ISNUMBER($H7),N($H7)&gt;0),$H7,SUMIFS($H$5:$H$1000,$S$5:$S$1000,$S7,$V$5:$V$1000,"Macro")/COUNTIFS($S$5:$S$1000,$S7,$V$5:$V$1000,"Macro",$H$5:$H$1000,"&gt;0"))/(COUNTIFS($S$5:$S$1000,$S7,$V$5:$V$1000,"Macro")*SUMIFS($H$5:$H$1000,$S$5:$S$1000,$S7,$V$5:$V$1000,"Macro")/COUNTIFS($S$5:$S$1000,$S7,$V$5:$V$1000,"Macro",$H$5:$H$1000,"&gt;0"))))</f>
        <v/>
      </c>
      <c r="AH7" s="62" t="n"/>
      <c r="AI7" s="62" t="n"/>
      <c r="AJ7" s="62" t="n"/>
      <c r="AK7" s="62" t="n"/>
      <c r="AL7" s="62">
        <f>IF(LEFT($C7,11)="[Jefatura] ",IFERROR(MATCH("Asistente Técnico de Riesgo|"&amp;MID($C7,12,500),rDname_ADM,0),0),"")</f>
        <v/>
      </c>
      <c r="AM7" s="62">
        <f>IF(N($AL7)&gt;0,INDEX(rIni_ADM,$AL7),IF(ISNUMBER($E7),$E7,""))</f>
        <v/>
      </c>
      <c r="AN7" s="62">
        <f>IF(N($AL7)&gt;0,INDEX(rLim_ADM,$AL7),IF(ISNUMBER($F7),$F7,""))</f>
        <v/>
      </c>
    </row>
    <row r="8">
      <c r="A8" s="56">
        <f>IF(NOT((COUNTA($B8:$D8)+COUNTA($G8:$L8)+COUNTA($Q8))&gt;0),"",IF($V8="Macro",COUNTIFS($V$5:$V8,"Macro",$S$5:$S8,$S8),IF(N($U8)=0,"?",COUNTIFS(INDEX($V$5:$V$1000,1):INDEX($V$5:$V$1000,$U8-4),"Macro",INDEX($S$5:$S$1000,1):INDEX($S$5:$S$1000,$U8-4),INDEX($S$5:$S$1000,$U8-4))&amp;"."&amp;COUNTIFS($U$5:$U8,$U8,$V$5:$V8,"Sub"))))</f>
        <v/>
      </c>
      <c r="B8" s="57" t="n"/>
      <c r="C8" s="58" t="n"/>
      <c r="D8" s="58" t="n"/>
      <c r="E8" s="59">
        <f>IF(N($AL8)&gt;0,INDEX(rIni_ADM,$AL8),"")</f>
        <v/>
      </c>
      <c r="F8" s="59">
        <f>IF(N($AL8)&gt;0,INDEX(rLim_ADM,$AL8),"")</f>
        <v/>
      </c>
      <c r="G8" s="59" t="n"/>
      <c r="H8" s="60" t="n"/>
      <c r="I8" s="60" t="n"/>
      <c r="J8" s="60" t="n"/>
      <c r="K8" s="60" t="n"/>
      <c r="L8" s="60" t="n"/>
      <c r="M8" s="61">
        <f>IF(NOT((COUNTA($B8:$D8)+COUNTA($G8:$L8)+COUNTA($Q8))&gt;0),"",IF($V8="Sub",IFERROR($X8/INDEX($W$5:$W$1000,$U8-4),""),IF(ISNUMBER($G8),1,IF(N($W8)&gt;0,AVERAGEIFS($X$5:$X$1000,$U$5:$U$1000,ROW(),$V$5:$V$1000,"Sub"),$X8))))</f>
        <v/>
      </c>
      <c r="N8" s="56">
        <f>IF(OR($M8="",$V8="Sub"),"",IF($M8&gt;=1,"Completado",IF($M8&gt;0,"En curso","Pendiente")))</f>
        <v/>
      </c>
      <c r="O8" s="56">
        <f>IF(OR(NOT((COUNTA($B8:$D8)+COUNTA($G8:$L8)+COUNTA($Q8))&gt;0),$V8="Sub"),"",IF(ISNUMBER($G8),IF(AND(ISNUMBER($AN8),$G8&gt;$AN8),"Cumplida con "&amp;($G8-$AN8)&amp;IF($G8-$AN8=1," día"," días")&amp;" de retraso","Cumplida"),IF(N($M8)&gt;=1,"Cumplida",IF(NOT(ISNUMBER($AN8)),"Sin fecha límite",IF($AN8&lt;FechaRef,"Vencida hace "&amp;(FechaRef-$AN8)&amp;IF(FechaRef-$AN8=1," día"," días"),IF($AN8=FechaRef,"Vence hoy",IF($AN8-FechaRef&lt;=DiasAlerta,"Vence en "&amp;($AN8-FechaRef)&amp;IF($AN8-FechaRef=1," día"," días"),"En plazo")))))))</f>
        <v/>
      </c>
      <c r="P8" s="62" t="n"/>
      <c r="Q8" s="58" t="n"/>
      <c r="R8" s="63">
        <f>IF(NOT((COUNTA($B8:$D8)+COUNTA($G8:$L8)+COUNTA($Q8))&gt;0),"",IF((IF($C8="","Falta el nombre de la actividad"&amp;" · ","")&amp;IF(AND($V8="Sub",N($U8)=0),"Subactividad sin macroactividad arriba"&amp;" · ","")&amp;IF($AM8="","Sin fecha de inicio"&amp;" · ","")&amp;IF($AN8="","Sin fecha límite"&amp;" · ","")&amp;IF(AND(LEFT($C8,11)="[Jefatura] ",N($AL8)=0),"No se encuentra en la hoja de la jefatura (elíjala de nuevo en la lista)"&amp;" · ","")&amp;IF(OR(AND($E8&lt;&gt;"",NOT(ISNUMBER($E8))),AND($F8&lt;&gt;"",NOT(ISNUMBER($F8))),AND($G8&lt;&gt;"",NOT(ISNUMBER($G8)))),"Fecha no válida"&amp;" · ","")&amp;IF(AND(ISNUMBER($AM8),ISNUMBER($AN8),$AM8&gt;$AN8),"Inicio posterior a fecha límite"&amp;" · ","")&amp;IF(AND($V8="Macro",$H8&lt;&gt;"",OR(NOT(ISNUMBER($H8)),$H8&lt;0,$H8&gt;1)),"Peso fuera de rango"&amp;" · ","")&amp;IF(AND($V8="Sub",$H8&lt;&gt;""),"Las subactividades no llevan peso (valen igual dentro de su macroactividad)"&amp;" · ","")&amp;IF(AND(N($W8)&gt;0,COUNT($I8:$L8)&gt;0),"Con subactividades: deje vacías las semanas (se calculan solas)"&amp;" · ","")&amp;IF((COUNTIF($I8:$L8,"&gt;1")+COUNTIF($I8:$L8,"&lt;0")+COUNTA($I8:$L8)-COUNT($I8:$L8))&gt;0,"Avance fuera de rango 0-100%"&amp;" · ","")&amp;IF(OR(AND($J8&lt;&gt;"",$J8&lt;$I8),AND($K8&lt;&gt;"",$K8&lt;MAX($I8:$J8)),AND($L8&lt;&gt;"",$L8&lt;MAX($I8:$K8))),"Avance semanal decreciente"&amp;" · ","")&amp;IF(AND(ISNUMBER($AN8),$AN8&lt;FechaRef,IF($V8="Sub",N($X8),N($M8))&lt;1),"Vencida"&amp;" · ","")&amp;IF(AND(ObsObligatoria="Sí",ISNUMBER($AN8),$AN8&lt;FechaRef,IF($V8="Sub",N($X8),N($M8))&lt;1,$Q8=""),"Vencida sin observación"&amp;" · ",""))="","✔ OK","⚠ "&amp;LEFT(IF($C8="","Falta el nombre de la actividad"&amp;" · ","")&amp;IF(AND($V8="Sub",N($U8)=0),"Subactividad sin macroactividad arriba"&amp;" · ","")&amp;IF($AM8="","Sin fecha de inicio"&amp;" · ","")&amp;IF($AN8="","Sin fecha límite"&amp;" · ","")&amp;IF(AND(LEFT($C8,11)="[Jefatura] ",N($AL8)=0),"No se encuentra en la hoja de la jefatura (elíjala de nuevo en la lista)"&amp;" · ","")&amp;IF(OR(AND($E8&lt;&gt;"",NOT(ISNUMBER($E8))),AND($F8&lt;&gt;"",NOT(ISNUMBER($F8))),AND($G8&lt;&gt;"",NOT(ISNUMBER($G8)))),"Fecha no válida"&amp;" · ","")&amp;IF(AND(ISNUMBER($AM8),ISNUMBER($AN8),$AM8&gt;$AN8),"Inicio posterior a fecha límite"&amp;" · ","")&amp;IF(AND($V8="Macro",$H8&lt;&gt;"",OR(NOT(ISNUMBER($H8)),$H8&lt;0,$H8&gt;1)),"Peso fuera de rango"&amp;" · ","")&amp;IF(AND($V8="Sub",$H8&lt;&gt;""),"Las subactividades no llevan peso (valen igual dentro de su macroactividad)"&amp;" · ","")&amp;IF(AND(N($W8)&gt;0,COUNT($I8:$L8)&gt;0),"Con subactividades: deje vacías las semanas (se calculan solas)"&amp;" · ","")&amp;IF((COUNTIF($I8:$L8,"&gt;1")+COUNTIF($I8:$L8,"&lt;0")+COUNTA($I8:$L8)-COUNT($I8:$L8))&gt;0,"Avance fuera de rango 0-100%"&amp;" · ","")&amp;IF(OR(AND($J8&lt;&gt;"",$J8&lt;$I8),AND($K8&lt;&gt;"",$K8&lt;MAX($I8:$J8)),AND($L8&lt;&gt;"",$L8&lt;MAX($I8:$K8))),"Avance semanal decreciente"&amp;" · ","")&amp;IF(AND(ISNUMBER($AN8),$AN8&lt;FechaRef,IF($V8="Sub",N($X8),N($M8))&lt;1),"Vencida"&amp;" · ","")&amp;IF(AND(ObsObligatoria="Sí",ISNUMBER($AN8),$AN8&lt;FechaRef,IF($V8="Sub",N($X8),N($M8))&lt;1,$Q8=""),"Vencida sin observación"&amp;" · ",""),LEN(IF($C8="","Falta el nombre de la actividad"&amp;" · ","")&amp;IF(AND($V8="Sub",N($U8)=0),"Subactividad sin macroactividad arriba"&amp;" · ","")&amp;IF($AM8="","Sin fecha de inicio"&amp;" · ","")&amp;IF($AN8="","Sin fecha límite"&amp;" · ","")&amp;IF(AND(LEFT($C8,11)="[Jefatura] ",N($AL8)=0),"No se encuentra en la hoja de la jefatura (elíjala de nuevo en la lista)"&amp;" · ","")&amp;IF(OR(AND($E8&lt;&gt;"",NOT(ISNUMBER($E8))),AND($F8&lt;&gt;"",NOT(ISNUMBER($F8))),AND($G8&lt;&gt;"",NOT(ISNUMBER($G8)))),"Fecha no válida"&amp;" · ","")&amp;IF(AND(ISNUMBER($AM8),ISNUMBER($AN8),$AM8&gt;$AN8),"Inicio posterior a fecha límite"&amp;" · ","")&amp;IF(AND($V8="Macro",$H8&lt;&gt;"",OR(NOT(ISNUMBER($H8)),$H8&lt;0,$H8&gt;1)),"Peso fuera de rango"&amp;" · ","")&amp;IF(AND($V8="Sub",$H8&lt;&gt;""),"Las subactividades no llevan peso (valen igual dentro de su macroactividad)"&amp;" · ","")&amp;IF(AND(N($W8)&gt;0,COUNT($I8:$L8)&gt;0),"Con subactividades: deje vacías las semanas (se calculan solas)"&amp;" · ","")&amp;IF((COUNTIF($I8:$L8,"&gt;1")+COUNTIF($I8:$L8,"&lt;0")+COUNTA($I8:$L8)-COUNT($I8:$L8))&gt;0,"Avance fuera de rango 0-100%"&amp;" · ","")&amp;IF(OR(AND($J8&lt;&gt;"",$J8&lt;$I8),AND($K8&lt;&gt;"",$K8&lt;MAX($I8:$J8)),AND($L8&lt;&gt;"",$L8&lt;MAX($I8:$K8))),"Avance semanal decreciente"&amp;" · ","")&amp;IF(AND(ISNUMBER($AN8),$AN8&lt;FechaRef,IF($V8="Sub",N($X8),N($M8))&lt;1),"Vencida"&amp;" · ","")&amp;IF(AND(ObsObligatoria="Sí",ISNUMBER($AN8),$AN8&lt;FechaRef,IF($V8="Sub",N($X8),N($M8))&lt;1,$Q8=""),"Vencida sin observación"&amp;" · ",""))-3)))</f>
        <v/>
      </c>
      <c r="S8" s="64">
        <f>IF(NOT((COUNTA($B8:$D8)+COUNTA($G8:$L8)+COUNTA($Q8))&gt;0),"",IF(AND($V8="Sub",N($U8)&gt;0),IF(ISNUMBER(INDEX($AM$5:$AM$1000,$U8-4)),DATE(YEAR(INDEX($AM$5:$AM$1000,$U8-4)),MONTH(INDEX($AM$5:$AM$1000,$U8-4)),1),IF(ISNUMBER(INDEX($AN$5:$AN$1000,$U8-4)),DATE(YEAR(INDEX($AN$5:$AN$1000,$U8-4)),MONTH(INDEX($AN$5:$AN$1000,$U8-4)),1),MesCiclo)),IF(ISNUMBER($AM8),DATE(YEAR($AM8),MONTH($AM8),1),IF(ISNUMBER($AN8),DATE(YEAR($AN8),MONTH($AN8),1),MesCiclo))))</f>
        <v/>
      </c>
      <c r="T8" s="62">
        <f>IF(OR($S8="",$S8&lt;&gt;MesCiclo,$V8&lt;&gt;"Macro"),"",COUNTIFS($S$5:$S8,MesCiclo,$V$5:$V8,"Macro"))</f>
        <v/>
      </c>
      <c r="U8" s="62">
        <f>IF($V8="","",IF($V8="Macro",ROW(),IFERROR(LOOKUP(2,1/($V$5:$V8="Macro"),ROW($V$5:$V8)),0)))</f>
        <v/>
      </c>
      <c r="V8" s="62">
        <f>IF(NOT((COUNTA($B8:$D8)+COUNTA($G8:$L8)+COUNTA($Q8))&gt;0),"",IF($B8="Subactividad","Sub","Macro"))</f>
        <v/>
      </c>
      <c r="W8" s="62">
        <f>IF($V8="Macro",COUNTIFS($U$5:$U$1000,ROW(),$V$5:$V$1000,"Sub"),"")</f>
        <v/>
      </c>
      <c r="X8" s="62">
        <f>IF($V8="","",IF(ISNUMBER($G8),1,IFERROR(LOOKUP(2,1/($I8:$L8&lt;&gt;""),$I8:$L8),0)))</f>
        <v/>
      </c>
      <c r="Y8" s="62">
        <f>IF($V8="","",IF(AND(ISNUMBER($G8),$G8&lt;=IF($S8=MesCiclo,InicioCiclo,$S8+MOD(2-WEEKDAY($S8),7))+6),1,IF(ISNUMBER($I8),$I8,0)))</f>
        <v/>
      </c>
      <c r="Z8" s="62">
        <f>IF($V8="","",IF(AND(ISNUMBER($G8),$G8&lt;=IF($S8=MesCiclo,InicioCiclo,$S8+MOD(2-WEEKDAY($S8),7))+13),1,IF(ISNUMBER($J8),$J8,$Y8)))</f>
        <v/>
      </c>
      <c r="AA8" s="62">
        <f>IF($V8="","",IF(AND(ISNUMBER($G8),$G8&lt;=IF($S8=MesCiclo,InicioCiclo,$S8+MOD(2-WEEKDAY($S8),7))+20),1,IF(ISNUMBER($K8),$K8,$Z8)))</f>
        <v/>
      </c>
      <c r="AB8" s="62">
        <f>IF($V8="","",IF(AND(ISNUMBER($G8),$G8&lt;=IF($S8=MesCiclo,InicioCiclo,$S8+MOD(2-WEEKDAY($S8),7))+27),1,IF(ISNUMBER($L8),$L8,$AA8)))</f>
        <v/>
      </c>
      <c r="AC8" s="62">
        <f>IF($V8="","",IF(AND(ISNUMBER($G8),$G8&lt;=IF($S8=MesCiclo,InicioCiclo,$S8+MOD(2-WEEKDAY($S8),7))+6),1,IF(N($W8)&gt;0,AVERAGEIFS($Y$5:$Y$1000,$U$5:$U$1000,ROW(),$V$5:$V$1000,"Sub"),$Y8)))</f>
        <v/>
      </c>
      <c r="AD8" s="62">
        <f>IF($V8="","",IF(AND(ISNUMBER($G8),$G8&lt;=IF($S8=MesCiclo,InicioCiclo,$S8+MOD(2-WEEKDAY($S8),7))+13),1,IF(N($W8)&gt;0,AVERAGEIFS($Z$5:$Z$1000,$U$5:$U$1000,ROW(),$V$5:$V$1000,"Sub"),$Z8)))</f>
        <v/>
      </c>
      <c r="AE8" s="62">
        <f>IF($V8="","",IF(AND(ISNUMBER($G8),$G8&lt;=IF($S8=MesCiclo,InicioCiclo,$S8+MOD(2-WEEKDAY($S8),7))+20),1,IF(N($W8)&gt;0,AVERAGEIFS($AA$5:$AA$1000,$U$5:$U$1000,ROW(),$V$5:$V$1000,"Sub"),$AA8)))</f>
        <v/>
      </c>
      <c r="AF8" s="62">
        <f>IF($V8="","",IF(AND(ISNUMBER($G8),$G8&lt;=IF($S8=MesCiclo,InicioCiclo,$S8+MOD(2-WEEKDAY($S8),7))+27),1,IF(N($W8)&gt;0,AVERAGEIFS($AB$5:$AB$1000,$U$5:$U$1000,ROW(),$V$5:$V$1000,"Sub"),$AB8)))</f>
        <v/>
      </c>
      <c r="AG8" s="62">
        <f>IF($V8&lt;&gt;"Macro","",IF(COUNTIFS($S$5:$S$1000,$S8,$V$5:$V$1000,"Macro",$H$5:$H$1000,"&gt;0")=0,1/COUNTIFS($S$5:$S$1000,$S8,$V$5:$V$1000,"Macro"),IF(AND(ISNUMBER($H8),N($H8)&gt;0),$H8,SUMIFS($H$5:$H$1000,$S$5:$S$1000,$S8,$V$5:$V$1000,"Macro")/COUNTIFS($S$5:$S$1000,$S8,$V$5:$V$1000,"Macro",$H$5:$H$1000,"&gt;0"))/(COUNTIFS($S$5:$S$1000,$S8,$V$5:$V$1000,"Macro")*SUMIFS($H$5:$H$1000,$S$5:$S$1000,$S8,$V$5:$V$1000,"Macro")/COUNTIFS($S$5:$S$1000,$S8,$V$5:$V$1000,"Macro",$H$5:$H$1000,"&gt;0"))))</f>
        <v/>
      </c>
      <c r="AH8" s="62" t="n"/>
      <c r="AI8" s="62" t="n"/>
      <c r="AJ8" s="62" t="n"/>
      <c r="AK8" s="62" t="n"/>
      <c r="AL8" s="62">
        <f>IF(LEFT($C8,11)="[Jefatura] ",IFERROR(MATCH("Asistente Técnico de Riesgo|"&amp;MID($C8,12,500),rDname_ADM,0),0),"")</f>
        <v/>
      </c>
      <c r="AM8" s="62">
        <f>IF(N($AL8)&gt;0,INDEX(rIni_ADM,$AL8),IF(ISNUMBER($E8),$E8,""))</f>
        <v/>
      </c>
      <c r="AN8" s="62">
        <f>IF(N($AL8)&gt;0,INDEX(rLim_ADM,$AL8),IF(ISNUMBER($F8),$F8,""))</f>
        <v/>
      </c>
    </row>
    <row r="9">
      <c r="A9" s="56">
        <f>IF(NOT((COUNTA($B9:$D9)+COUNTA($G9:$L9)+COUNTA($Q9))&gt;0),"",IF($V9="Macro",COUNTIFS($V$5:$V9,"Macro",$S$5:$S9,$S9),IF(N($U9)=0,"?",COUNTIFS(INDEX($V$5:$V$1000,1):INDEX($V$5:$V$1000,$U9-4),"Macro",INDEX($S$5:$S$1000,1):INDEX($S$5:$S$1000,$U9-4),INDEX($S$5:$S$1000,$U9-4))&amp;"."&amp;COUNTIFS($U$5:$U9,$U9,$V$5:$V9,"Sub"))))</f>
        <v/>
      </c>
      <c r="B9" s="57" t="n"/>
      <c r="C9" s="58" t="n"/>
      <c r="D9" s="58" t="n"/>
      <c r="E9" s="59">
        <f>IF(N($AL9)&gt;0,INDEX(rIni_ADM,$AL9),"")</f>
        <v/>
      </c>
      <c r="F9" s="59">
        <f>IF(N($AL9)&gt;0,INDEX(rLim_ADM,$AL9),"")</f>
        <v/>
      </c>
      <c r="G9" s="59" t="n"/>
      <c r="H9" s="60" t="n"/>
      <c r="I9" s="60" t="n"/>
      <c r="J9" s="60" t="n"/>
      <c r="K9" s="60" t="n"/>
      <c r="L9" s="60" t="n"/>
      <c r="M9" s="61">
        <f>IF(NOT((COUNTA($B9:$D9)+COUNTA($G9:$L9)+COUNTA($Q9))&gt;0),"",IF($V9="Sub",IFERROR($X9/INDEX($W$5:$W$1000,$U9-4),""),IF(ISNUMBER($G9),1,IF(N($W9)&gt;0,AVERAGEIFS($X$5:$X$1000,$U$5:$U$1000,ROW(),$V$5:$V$1000,"Sub"),$X9))))</f>
        <v/>
      </c>
      <c r="N9" s="56">
        <f>IF(OR($M9="",$V9="Sub"),"",IF($M9&gt;=1,"Completado",IF($M9&gt;0,"En curso","Pendiente")))</f>
        <v/>
      </c>
      <c r="O9" s="56">
        <f>IF(OR(NOT((COUNTA($B9:$D9)+COUNTA($G9:$L9)+COUNTA($Q9))&gt;0),$V9="Sub"),"",IF(ISNUMBER($G9),IF(AND(ISNUMBER($AN9),$G9&gt;$AN9),"Cumplida con "&amp;($G9-$AN9)&amp;IF($G9-$AN9=1," día"," días")&amp;" de retraso","Cumplida"),IF(N($M9)&gt;=1,"Cumplida",IF(NOT(ISNUMBER($AN9)),"Sin fecha límite",IF($AN9&lt;FechaRef,"Vencida hace "&amp;(FechaRef-$AN9)&amp;IF(FechaRef-$AN9=1," día"," días"),IF($AN9=FechaRef,"Vence hoy",IF($AN9-FechaRef&lt;=DiasAlerta,"Vence en "&amp;($AN9-FechaRef)&amp;IF($AN9-FechaRef=1," día"," días"),"En plazo")))))))</f>
        <v/>
      </c>
      <c r="P9" s="62" t="n"/>
      <c r="Q9" s="58" t="n"/>
      <c r="R9" s="63">
        <f>IF(NOT((COUNTA($B9:$D9)+COUNTA($G9:$L9)+COUNTA($Q9))&gt;0),"",IF((IF($C9="","Falta el nombre de la actividad"&amp;" · ","")&amp;IF(AND($V9="Sub",N($U9)=0),"Subactividad sin macroactividad arriba"&amp;" · ","")&amp;IF($AM9="","Sin fecha de inicio"&amp;" · ","")&amp;IF($AN9="","Sin fecha límite"&amp;" · ","")&amp;IF(AND(LEFT($C9,11)="[Jefatura] ",N($AL9)=0),"No se encuentra en la hoja de la jefatura (elíjala de nuevo en la lista)"&amp;" · ","")&amp;IF(OR(AND($E9&lt;&gt;"",NOT(ISNUMBER($E9))),AND($F9&lt;&gt;"",NOT(ISNUMBER($F9))),AND($G9&lt;&gt;"",NOT(ISNUMBER($G9)))),"Fecha no válida"&amp;" · ","")&amp;IF(AND(ISNUMBER($AM9),ISNUMBER($AN9),$AM9&gt;$AN9),"Inicio posterior a fecha límite"&amp;" · ","")&amp;IF(AND($V9="Macro",$H9&lt;&gt;"",OR(NOT(ISNUMBER($H9)),$H9&lt;0,$H9&gt;1)),"Peso fuera de rango"&amp;" · ","")&amp;IF(AND($V9="Sub",$H9&lt;&gt;""),"Las subactividades no llevan peso (valen igual dentro de su macroactividad)"&amp;" · ","")&amp;IF(AND(N($W9)&gt;0,COUNT($I9:$L9)&gt;0),"Con subactividades: deje vacías las semanas (se calculan solas)"&amp;" · ","")&amp;IF((COUNTIF($I9:$L9,"&gt;1")+COUNTIF($I9:$L9,"&lt;0")+COUNTA($I9:$L9)-COUNT($I9:$L9))&gt;0,"Avance fuera de rango 0-100%"&amp;" · ","")&amp;IF(OR(AND($J9&lt;&gt;"",$J9&lt;$I9),AND($K9&lt;&gt;"",$K9&lt;MAX($I9:$J9)),AND($L9&lt;&gt;"",$L9&lt;MAX($I9:$K9))),"Avance semanal decreciente"&amp;" · ","")&amp;IF(AND(ISNUMBER($AN9),$AN9&lt;FechaRef,IF($V9="Sub",N($X9),N($M9))&lt;1),"Vencida"&amp;" · ","")&amp;IF(AND(ObsObligatoria="Sí",ISNUMBER($AN9),$AN9&lt;FechaRef,IF($V9="Sub",N($X9),N($M9))&lt;1,$Q9=""),"Vencida sin observación"&amp;" · ",""))="","✔ OK","⚠ "&amp;LEFT(IF($C9="","Falta el nombre de la actividad"&amp;" · ","")&amp;IF(AND($V9="Sub",N($U9)=0),"Subactividad sin macroactividad arriba"&amp;" · ","")&amp;IF($AM9="","Sin fecha de inicio"&amp;" · ","")&amp;IF($AN9="","Sin fecha límite"&amp;" · ","")&amp;IF(AND(LEFT($C9,11)="[Jefatura] ",N($AL9)=0),"No se encuentra en la hoja de la jefatura (elíjala de nuevo en la lista)"&amp;" · ","")&amp;IF(OR(AND($E9&lt;&gt;"",NOT(ISNUMBER($E9))),AND($F9&lt;&gt;"",NOT(ISNUMBER($F9))),AND($G9&lt;&gt;"",NOT(ISNUMBER($G9)))),"Fecha no válida"&amp;" · ","")&amp;IF(AND(ISNUMBER($AM9),ISNUMBER($AN9),$AM9&gt;$AN9),"Inicio posterior a fecha límite"&amp;" · ","")&amp;IF(AND($V9="Macro",$H9&lt;&gt;"",OR(NOT(ISNUMBER($H9)),$H9&lt;0,$H9&gt;1)),"Peso fuera de rango"&amp;" · ","")&amp;IF(AND($V9="Sub",$H9&lt;&gt;""),"Las subactividades no llevan peso (valen igual dentro de su macroactividad)"&amp;" · ","")&amp;IF(AND(N($W9)&gt;0,COUNT($I9:$L9)&gt;0),"Con subactividades: deje vacías las semanas (se calculan solas)"&amp;" · ","")&amp;IF((COUNTIF($I9:$L9,"&gt;1")+COUNTIF($I9:$L9,"&lt;0")+COUNTA($I9:$L9)-COUNT($I9:$L9))&gt;0,"Avance fuera de rango 0-100%"&amp;" · ","")&amp;IF(OR(AND($J9&lt;&gt;"",$J9&lt;$I9),AND($K9&lt;&gt;"",$K9&lt;MAX($I9:$J9)),AND($L9&lt;&gt;"",$L9&lt;MAX($I9:$K9))),"Avance semanal decreciente"&amp;" · ","")&amp;IF(AND(ISNUMBER($AN9),$AN9&lt;FechaRef,IF($V9="Sub",N($X9),N($M9))&lt;1),"Vencida"&amp;" · ","")&amp;IF(AND(ObsObligatoria="Sí",ISNUMBER($AN9),$AN9&lt;FechaRef,IF($V9="Sub",N($X9),N($M9))&lt;1,$Q9=""),"Vencida sin observación"&amp;" · ",""),LEN(IF($C9="","Falta el nombre de la actividad"&amp;" · ","")&amp;IF(AND($V9="Sub",N($U9)=0),"Subactividad sin macroactividad arriba"&amp;" · ","")&amp;IF($AM9="","Sin fecha de inicio"&amp;" · ","")&amp;IF($AN9="","Sin fecha límite"&amp;" · ","")&amp;IF(AND(LEFT($C9,11)="[Jefatura] ",N($AL9)=0),"No se encuentra en la hoja de la jefatura (elíjala de nuevo en la lista)"&amp;" · ","")&amp;IF(OR(AND($E9&lt;&gt;"",NOT(ISNUMBER($E9))),AND($F9&lt;&gt;"",NOT(ISNUMBER($F9))),AND($G9&lt;&gt;"",NOT(ISNUMBER($G9)))),"Fecha no válida"&amp;" · ","")&amp;IF(AND(ISNUMBER($AM9),ISNUMBER($AN9),$AM9&gt;$AN9),"Inicio posterior a fecha límite"&amp;" · ","")&amp;IF(AND($V9="Macro",$H9&lt;&gt;"",OR(NOT(ISNUMBER($H9)),$H9&lt;0,$H9&gt;1)),"Peso fuera de rango"&amp;" · ","")&amp;IF(AND($V9="Sub",$H9&lt;&gt;""),"Las subactividades no llevan peso (valen igual dentro de su macroactividad)"&amp;" · ","")&amp;IF(AND(N($W9)&gt;0,COUNT($I9:$L9)&gt;0),"Con subactividades: deje vacías las semanas (se calculan solas)"&amp;" · ","")&amp;IF((COUNTIF($I9:$L9,"&gt;1")+COUNTIF($I9:$L9,"&lt;0")+COUNTA($I9:$L9)-COUNT($I9:$L9))&gt;0,"Avance fuera de rango 0-100%"&amp;" · ","")&amp;IF(OR(AND($J9&lt;&gt;"",$J9&lt;$I9),AND($K9&lt;&gt;"",$K9&lt;MAX($I9:$J9)),AND($L9&lt;&gt;"",$L9&lt;MAX($I9:$K9))),"Avance semanal decreciente"&amp;" · ","")&amp;IF(AND(ISNUMBER($AN9),$AN9&lt;FechaRef,IF($V9="Sub",N($X9),N($M9))&lt;1),"Vencida"&amp;" · ","")&amp;IF(AND(ObsObligatoria="Sí",ISNUMBER($AN9),$AN9&lt;FechaRef,IF($V9="Sub",N($X9),N($M9))&lt;1,$Q9=""),"Vencida sin observación"&amp;" · ",""))-3)))</f>
        <v/>
      </c>
      <c r="S9" s="64">
        <f>IF(NOT((COUNTA($B9:$D9)+COUNTA($G9:$L9)+COUNTA($Q9))&gt;0),"",IF(AND($V9="Sub",N($U9)&gt;0),IF(ISNUMBER(INDEX($AM$5:$AM$1000,$U9-4)),DATE(YEAR(INDEX($AM$5:$AM$1000,$U9-4)),MONTH(INDEX($AM$5:$AM$1000,$U9-4)),1),IF(ISNUMBER(INDEX($AN$5:$AN$1000,$U9-4)),DATE(YEAR(INDEX($AN$5:$AN$1000,$U9-4)),MONTH(INDEX($AN$5:$AN$1000,$U9-4)),1),MesCiclo)),IF(ISNUMBER($AM9),DATE(YEAR($AM9),MONTH($AM9),1),IF(ISNUMBER($AN9),DATE(YEAR($AN9),MONTH($AN9),1),MesCiclo))))</f>
        <v/>
      </c>
      <c r="T9" s="62">
        <f>IF(OR($S9="",$S9&lt;&gt;MesCiclo,$V9&lt;&gt;"Macro"),"",COUNTIFS($S$5:$S9,MesCiclo,$V$5:$V9,"Macro"))</f>
        <v/>
      </c>
      <c r="U9" s="62">
        <f>IF($V9="","",IF($V9="Macro",ROW(),IFERROR(LOOKUP(2,1/($V$5:$V9="Macro"),ROW($V$5:$V9)),0)))</f>
        <v/>
      </c>
      <c r="V9" s="62">
        <f>IF(NOT((COUNTA($B9:$D9)+COUNTA($G9:$L9)+COUNTA($Q9))&gt;0),"",IF($B9="Subactividad","Sub","Macro"))</f>
        <v/>
      </c>
      <c r="W9" s="62">
        <f>IF($V9="Macro",COUNTIFS($U$5:$U$1000,ROW(),$V$5:$V$1000,"Sub"),"")</f>
        <v/>
      </c>
      <c r="X9" s="62">
        <f>IF($V9="","",IF(ISNUMBER($G9),1,IFERROR(LOOKUP(2,1/($I9:$L9&lt;&gt;""),$I9:$L9),0)))</f>
        <v/>
      </c>
      <c r="Y9" s="62">
        <f>IF($V9="","",IF(AND(ISNUMBER($G9),$G9&lt;=IF($S9=MesCiclo,InicioCiclo,$S9+MOD(2-WEEKDAY($S9),7))+6),1,IF(ISNUMBER($I9),$I9,0)))</f>
        <v/>
      </c>
      <c r="Z9" s="62">
        <f>IF($V9="","",IF(AND(ISNUMBER($G9),$G9&lt;=IF($S9=MesCiclo,InicioCiclo,$S9+MOD(2-WEEKDAY($S9),7))+13),1,IF(ISNUMBER($J9),$J9,$Y9)))</f>
        <v/>
      </c>
      <c r="AA9" s="62">
        <f>IF($V9="","",IF(AND(ISNUMBER($G9),$G9&lt;=IF($S9=MesCiclo,InicioCiclo,$S9+MOD(2-WEEKDAY($S9),7))+20),1,IF(ISNUMBER($K9),$K9,$Z9)))</f>
        <v/>
      </c>
      <c r="AB9" s="62">
        <f>IF($V9="","",IF(AND(ISNUMBER($G9),$G9&lt;=IF($S9=MesCiclo,InicioCiclo,$S9+MOD(2-WEEKDAY($S9),7))+27),1,IF(ISNUMBER($L9),$L9,$AA9)))</f>
        <v/>
      </c>
      <c r="AC9" s="62">
        <f>IF($V9="","",IF(AND(ISNUMBER($G9),$G9&lt;=IF($S9=MesCiclo,InicioCiclo,$S9+MOD(2-WEEKDAY($S9),7))+6),1,IF(N($W9)&gt;0,AVERAGEIFS($Y$5:$Y$1000,$U$5:$U$1000,ROW(),$V$5:$V$1000,"Sub"),$Y9)))</f>
        <v/>
      </c>
      <c r="AD9" s="62">
        <f>IF($V9="","",IF(AND(ISNUMBER($G9),$G9&lt;=IF($S9=MesCiclo,InicioCiclo,$S9+MOD(2-WEEKDAY($S9),7))+13),1,IF(N($W9)&gt;0,AVERAGEIFS($Z$5:$Z$1000,$U$5:$U$1000,ROW(),$V$5:$V$1000,"Sub"),$Z9)))</f>
        <v/>
      </c>
      <c r="AE9" s="62">
        <f>IF($V9="","",IF(AND(ISNUMBER($G9),$G9&lt;=IF($S9=MesCiclo,InicioCiclo,$S9+MOD(2-WEEKDAY($S9),7))+20),1,IF(N($W9)&gt;0,AVERAGEIFS($AA$5:$AA$1000,$U$5:$U$1000,ROW(),$V$5:$V$1000,"Sub"),$AA9)))</f>
        <v/>
      </c>
      <c r="AF9" s="62">
        <f>IF($V9="","",IF(AND(ISNUMBER($G9),$G9&lt;=IF($S9=MesCiclo,InicioCiclo,$S9+MOD(2-WEEKDAY($S9),7))+27),1,IF(N($W9)&gt;0,AVERAGEIFS($AB$5:$AB$1000,$U$5:$U$1000,ROW(),$V$5:$V$1000,"Sub"),$AB9)))</f>
        <v/>
      </c>
      <c r="AG9" s="62">
        <f>IF($V9&lt;&gt;"Macro","",IF(COUNTIFS($S$5:$S$1000,$S9,$V$5:$V$1000,"Macro",$H$5:$H$1000,"&gt;0")=0,1/COUNTIFS($S$5:$S$1000,$S9,$V$5:$V$1000,"Macro"),IF(AND(ISNUMBER($H9),N($H9)&gt;0),$H9,SUMIFS($H$5:$H$1000,$S$5:$S$1000,$S9,$V$5:$V$1000,"Macro")/COUNTIFS($S$5:$S$1000,$S9,$V$5:$V$1000,"Macro",$H$5:$H$1000,"&gt;0"))/(COUNTIFS($S$5:$S$1000,$S9,$V$5:$V$1000,"Macro")*SUMIFS($H$5:$H$1000,$S$5:$S$1000,$S9,$V$5:$V$1000,"Macro")/COUNTIFS($S$5:$S$1000,$S9,$V$5:$V$1000,"Macro",$H$5:$H$1000,"&gt;0"))))</f>
        <v/>
      </c>
      <c r="AH9" s="62" t="n"/>
      <c r="AI9" s="62" t="n"/>
      <c r="AJ9" s="62" t="n"/>
      <c r="AK9" s="62" t="n"/>
      <c r="AL9" s="62">
        <f>IF(LEFT($C9,11)="[Jefatura] ",IFERROR(MATCH("Asistente Técnico de Riesgo|"&amp;MID($C9,12,500),rDname_ADM,0),0),"")</f>
        <v/>
      </c>
      <c r="AM9" s="62">
        <f>IF(N($AL9)&gt;0,INDEX(rIni_ADM,$AL9),IF(ISNUMBER($E9),$E9,""))</f>
        <v/>
      </c>
      <c r="AN9" s="62">
        <f>IF(N($AL9)&gt;0,INDEX(rLim_ADM,$AL9),IF(ISNUMBER($F9),$F9,""))</f>
        <v/>
      </c>
    </row>
    <row r="10">
      <c r="A10" s="56">
        <f>IF(NOT((COUNTA($B10:$D10)+COUNTA($G10:$L10)+COUNTA($Q10))&gt;0),"",IF($V10="Macro",COUNTIFS($V$5:$V10,"Macro",$S$5:$S10,$S10),IF(N($U10)=0,"?",COUNTIFS(INDEX($V$5:$V$1000,1):INDEX($V$5:$V$1000,$U10-4),"Macro",INDEX($S$5:$S$1000,1):INDEX($S$5:$S$1000,$U10-4),INDEX($S$5:$S$1000,$U10-4))&amp;"."&amp;COUNTIFS($U$5:$U10,$U10,$V$5:$V10,"Sub"))))</f>
        <v/>
      </c>
      <c r="B10" s="57" t="n"/>
      <c r="C10" s="58" t="n"/>
      <c r="D10" s="58" t="n"/>
      <c r="E10" s="59">
        <f>IF(N($AL10)&gt;0,INDEX(rIni_ADM,$AL10),"")</f>
        <v/>
      </c>
      <c r="F10" s="59">
        <f>IF(N($AL10)&gt;0,INDEX(rLim_ADM,$AL10),"")</f>
        <v/>
      </c>
      <c r="G10" s="59" t="n"/>
      <c r="H10" s="60" t="n"/>
      <c r="I10" s="60" t="n"/>
      <c r="J10" s="60" t="n"/>
      <c r="K10" s="60" t="n"/>
      <c r="L10" s="60" t="n"/>
      <c r="M10" s="61">
        <f>IF(NOT((COUNTA($B10:$D10)+COUNTA($G10:$L10)+COUNTA($Q10))&gt;0),"",IF($V10="Sub",IFERROR($X10/INDEX($W$5:$W$1000,$U10-4),""),IF(ISNUMBER($G10),1,IF(N($W10)&gt;0,AVERAGEIFS($X$5:$X$1000,$U$5:$U$1000,ROW(),$V$5:$V$1000,"Sub"),$X10))))</f>
        <v/>
      </c>
      <c r="N10" s="56">
        <f>IF(OR($M10="",$V10="Sub"),"",IF($M10&gt;=1,"Completado",IF($M10&gt;0,"En curso","Pendiente")))</f>
        <v/>
      </c>
      <c r="O10" s="56">
        <f>IF(OR(NOT((COUNTA($B10:$D10)+COUNTA($G10:$L10)+COUNTA($Q10))&gt;0),$V10="Sub"),"",IF(ISNUMBER($G10),IF(AND(ISNUMBER($AN10),$G10&gt;$AN10),"Cumplida con "&amp;($G10-$AN10)&amp;IF($G10-$AN10=1," día"," días")&amp;" de retraso","Cumplida"),IF(N($M10)&gt;=1,"Cumplida",IF(NOT(ISNUMBER($AN10)),"Sin fecha límite",IF($AN10&lt;FechaRef,"Vencida hace "&amp;(FechaRef-$AN10)&amp;IF(FechaRef-$AN10=1," día"," días"),IF($AN10=FechaRef,"Vence hoy",IF($AN10-FechaRef&lt;=DiasAlerta,"Vence en "&amp;($AN10-FechaRef)&amp;IF($AN10-FechaRef=1," día"," días"),"En plazo")))))))</f>
        <v/>
      </c>
      <c r="P10" s="62" t="n"/>
      <c r="Q10" s="58" t="n"/>
      <c r="R10" s="63">
        <f>IF(NOT((COUNTA($B10:$D10)+COUNTA($G10:$L10)+COUNTA($Q10))&gt;0),"",IF((IF($C10="","Falta el nombre de la actividad"&amp;" · ","")&amp;IF(AND($V10="Sub",N($U10)=0),"Subactividad sin macroactividad arriba"&amp;" · ","")&amp;IF($AM10="","Sin fecha de inicio"&amp;" · ","")&amp;IF($AN10="","Sin fecha límite"&amp;" · ","")&amp;IF(AND(LEFT($C10,11)="[Jefatura] ",N($AL10)=0),"No se encuentra en la hoja de la jefatura (elíjala de nuevo en la lista)"&amp;" · ","")&amp;IF(OR(AND($E10&lt;&gt;"",NOT(ISNUMBER($E10))),AND($F10&lt;&gt;"",NOT(ISNUMBER($F10))),AND($G10&lt;&gt;"",NOT(ISNUMBER($G10)))),"Fecha no válida"&amp;" · ","")&amp;IF(AND(ISNUMBER($AM10),ISNUMBER($AN10),$AM10&gt;$AN10),"Inicio posterior a fecha límite"&amp;" · ","")&amp;IF(AND($V10="Macro",$H10&lt;&gt;"",OR(NOT(ISNUMBER($H10)),$H10&lt;0,$H10&gt;1)),"Peso fuera de rango"&amp;" · ","")&amp;IF(AND($V10="Sub",$H10&lt;&gt;""),"Las subactividades no llevan peso (valen igual dentro de su macroactividad)"&amp;" · ","")&amp;IF(AND(N($W10)&gt;0,COUNT($I10:$L10)&gt;0),"Con subactividades: deje vacías las semanas (se calculan solas)"&amp;" · ","")&amp;IF((COUNTIF($I10:$L10,"&gt;1")+COUNTIF($I10:$L10,"&lt;0")+COUNTA($I10:$L10)-COUNT($I10:$L10))&gt;0,"Avance fuera de rango 0-100%"&amp;" · ","")&amp;IF(OR(AND($J10&lt;&gt;"",$J10&lt;$I10),AND($K10&lt;&gt;"",$K10&lt;MAX($I10:$J10)),AND($L10&lt;&gt;"",$L10&lt;MAX($I10:$K10))),"Avance semanal decreciente"&amp;" · ","")&amp;IF(AND(ISNUMBER($AN10),$AN10&lt;FechaRef,IF($V10="Sub",N($X10),N($M10))&lt;1),"Vencida"&amp;" · ","")&amp;IF(AND(ObsObligatoria="Sí",ISNUMBER($AN10),$AN10&lt;FechaRef,IF($V10="Sub",N($X10),N($M10))&lt;1,$Q10=""),"Vencida sin observación"&amp;" · ",""))="","✔ OK","⚠ "&amp;LEFT(IF($C10="","Falta el nombre de la actividad"&amp;" · ","")&amp;IF(AND($V10="Sub",N($U10)=0),"Subactividad sin macroactividad arriba"&amp;" · ","")&amp;IF($AM10="","Sin fecha de inicio"&amp;" · ","")&amp;IF($AN10="","Sin fecha límite"&amp;" · ","")&amp;IF(AND(LEFT($C10,11)="[Jefatura] ",N($AL10)=0),"No se encuentra en la hoja de la jefatura (elíjala de nuevo en la lista)"&amp;" · ","")&amp;IF(OR(AND($E10&lt;&gt;"",NOT(ISNUMBER($E10))),AND($F10&lt;&gt;"",NOT(ISNUMBER($F10))),AND($G10&lt;&gt;"",NOT(ISNUMBER($G10)))),"Fecha no válida"&amp;" · ","")&amp;IF(AND(ISNUMBER($AM10),ISNUMBER($AN10),$AM10&gt;$AN10),"Inicio posterior a fecha límite"&amp;" · ","")&amp;IF(AND($V10="Macro",$H10&lt;&gt;"",OR(NOT(ISNUMBER($H10)),$H10&lt;0,$H10&gt;1)),"Peso fuera de rango"&amp;" · ","")&amp;IF(AND($V10="Sub",$H10&lt;&gt;""),"Las subactividades no llevan peso (valen igual dentro de su macroactividad)"&amp;" · ","")&amp;IF(AND(N($W10)&gt;0,COUNT($I10:$L10)&gt;0),"Con subactividades: deje vacías las semanas (se calculan solas)"&amp;" · ","")&amp;IF((COUNTIF($I10:$L10,"&gt;1")+COUNTIF($I10:$L10,"&lt;0")+COUNTA($I10:$L10)-COUNT($I10:$L10))&gt;0,"Avance fuera de rango 0-100%"&amp;" · ","")&amp;IF(OR(AND($J10&lt;&gt;"",$J10&lt;$I10),AND($K10&lt;&gt;"",$K10&lt;MAX($I10:$J10)),AND($L10&lt;&gt;"",$L10&lt;MAX($I10:$K10))),"Avance semanal decreciente"&amp;" · ","")&amp;IF(AND(ISNUMBER($AN10),$AN10&lt;FechaRef,IF($V10="Sub",N($X10),N($M10))&lt;1),"Vencida"&amp;" · ","")&amp;IF(AND(ObsObligatoria="Sí",ISNUMBER($AN10),$AN10&lt;FechaRef,IF($V10="Sub",N($X10),N($M10))&lt;1,$Q10=""),"Vencida sin observación"&amp;" · ",""),LEN(IF($C10="","Falta el nombre de la actividad"&amp;" · ","")&amp;IF(AND($V10="Sub",N($U10)=0),"Subactividad sin macroactividad arriba"&amp;" · ","")&amp;IF($AM10="","Sin fecha de inicio"&amp;" · ","")&amp;IF($AN10="","Sin fecha límite"&amp;" · ","")&amp;IF(AND(LEFT($C10,11)="[Jefatura] ",N($AL10)=0),"No se encuentra en la hoja de la jefatura (elíjala de nuevo en la lista)"&amp;" · ","")&amp;IF(OR(AND($E10&lt;&gt;"",NOT(ISNUMBER($E10))),AND($F10&lt;&gt;"",NOT(ISNUMBER($F10))),AND($G10&lt;&gt;"",NOT(ISNUMBER($G10)))),"Fecha no válida"&amp;" · ","")&amp;IF(AND(ISNUMBER($AM10),ISNUMBER($AN10),$AM10&gt;$AN10),"Inicio posterior a fecha límite"&amp;" · ","")&amp;IF(AND($V10="Macro",$H10&lt;&gt;"",OR(NOT(ISNUMBER($H10)),$H10&lt;0,$H10&gt;1)),"Peso fuera de rango"&amp;" · ","")&amp;IF(AND($V10="Sub",$H10&lt;&gt;""),"Las subactividades no llevan peso (valen igual dentro de su macroactividad)"&amp;" · ","")&amp;IF(AND(N($W10)&gt;0,COUNT($I10:$L10)&gt;0),"Con subactividades: deje vacías las semanas (se calculan solas)"&amp;" · ","")&amp;IF((COUNTIF($I10:$L10,"&gt;1")+COUNTIF($I10:$L10,"&lt;0")+COUNTA($I10:$L10)-COUNT($I10:$L10))&gt;0,"Avance fuera de rango 0-100%"&amp;" · ","")&amp;IF(OR(AND($J10&lt;&gt;"",$J10&lt;$I10),AND($K10&lt;&gt;"",$K10&lt;MAX($I10:$J10)),AND($L10&lt;&gt;"",$L10&lt;MAX($I10:$K10))),"Avance semanal decreciente"&amp;" · ","")&amp;IF(AND(ISNUMBER($AN10),$AN10&lt;FechaRef,IF($V10="Sub",N($X10),N($M10))&lt;1),"Vencida"&amp;" · ","")&amp;IF(AND(ObsObligatoria="Sí",ISNUMBER($AN10),$AN10&lt;FechaRef,IF($V10="Sub",N($X10),N($M10))&lt;1,$Q10=""),"Vencida sin observación"&amp;" · ",""))-3)))</f>
        <v/>
      </c>
      <c r="S10" s="64">
        <f>IF(NOT((COUNTA($B10:$D10)+COUNTA($G10:$L10)+COUNTA($Q10))&gt;0),"",IF(AND($V10="Sub",N($U10)&gt;0),IF(ISNUMBER(INDEX($AM$5:$AM$1000,$U10-4)),DATE(YEAR(INDEX($AM$5:$AM$1000,$U10-4)),MONTH(INDEX($AM$5:$AM$1000,$U10-4)),1),IF(ISNUMBER(INDEX($AN$5:$AN$1000,$U10-4)),DATE(YEAR(INDEX($AN$5:$AN$1000,$U10-4)),MONTH(INDEX($AN$5:$AN$1000,$U10-4)),1),MesCiclo)),IF(ISNUMBER($AM10),DATE(YEAR($AM10),MONTH($AM10),1),IF(ISNUMBER($AN10),DATE(YEAR($AN10),MONTH($AN10),1),MesCiclo))))</f>
        <v/>
      </c>
      <c r="T10" s="62">
        <f>IF(OR($S10="",$S10&lt;&gt;MesCiclo,$V10&lt;&gt;"Macro"),"",COUNTIFS($S$5:$S10,MesCiclo,$V$5:$V10,"Macro"))</f>
        <v/>
      </c>
      <c r="U10" s="62">
        <f>IF($V10="","",IF($V10="Macro",ROW(),IFERROR(LOOKUP(2,1/($V$5:$V10="Macro"),ROW($V$5:$V10)),0)))</f>
        <v/>
      </c>
      <c r="V10" s="62">
        <f>IF(NOT((COUNTA($B10:$D10)+COUNTA($G10:$L10)+COUNTA($Q10))&gt;0),"",IF($B10="Subactividad","Sub","Macro"))</f>
        <v/>
      </c>
      <c r="W10" s="62">
        <f>IF($V10="Macro",COUNTIFS($U$5:$U$1000,ROW(),$V$5:$V$1000,"Sub"),"")</f>
        <v/>
      </c>
      <c r="X10" s="62">
        <f>IF($V10="","",IF(ISNUMBER($G10),1,IFERROR(LOOKUP(2,1/($I10:$L10&lt;&gt;""),$I10:$L10),0)))</f>
        <v/>
      </c>
      <c r="Y10" s="62">
        <f>IF($V10="","",IF(AND(ISNUMBER($G10),$G10&lt;=IF($S10=MesCiclo,InicioCiclo,$S10+MOD(2-WEEKDAY($S10),7))+6),1,IF(ISNUMBER($I10),$I10,0)))</f>
        <v/>
      </c>
      <c r="Z10" s="62">
        <f>IF($V10="","",IF(AND(ISNUMBER($G10),$G10&lt;=IF($S10=MesCiclo,InicioCiclo,$S10+MOD(2-WEEKDAY($S10),7))+13),1,IF(ISNUMBER($J10),$J10,$Y10)))</f>
        <v/>
      </c>
      <c r="AA10" s="62">
        <f>IF($V10="","",IF(AND(ISNUMBER($G10),$G10&lt;=IF($S10=MesCiclo,InicioCiclo,$S10+MOD(2-WEEKDAY($S10),7))+20),1,IF(ISNUMBER($K10),$K10,$Z10)))</f>
        <v/>
      </c>
      <c r="AB10" s="62">
        <f>IF($V10="","",IF(AND(ISNUMBER($G10),$G10&lt;=IF($S10=MesCiclo,InicioCiclo,$S10+MOD(2-WEEKDAY($S10),7))+27),1,IF(ISNUMBER($L10),$L10,$AA10)))</f>
        <v/>
      </c>
      <c r="AC10" s="62">
        <f>IF($V10="","",IF(AND(ISNUMBER($G10),$G10&lt;=IF($S10=MesCiclo,InicioCiclo,$S10+MOD(2-WEEKDAY($S10),7))+6),1,IF(N($W10)&gt;0,AVERAGEIFS($Y$5:$Y$1000,$U$5:$U$1000,ROW(),$V$5:$V$1000,"Sub"),$Y10)))</f>
        <v/>
      </c>
      <c r="AD10" s="62">
        <f>IF($V10="","",IF(AND(ISNUMBER($G10),$G10&lt;=IF($S10=MesCiclo,InicioCiclo,$S10+MOD(2-WEEKDAY($S10),7))+13),1,IF(N($W10)&gt;0,AVERAGEIFS($Z$5:$Z$1000,$U$5:$U$1000,ROW(),$V$5:$V$1000,"Sub"),$Z10)))</f>
        <v/>
      </c>
      <c r="AE10" s="62">
        <f>IF($V10="","",IF(AND(ISNUMBER($G10),$G10&lt;=IF($S10=MesCiclo,InicioCiclo,$S10+MOD(2-WEEKDAY($S10),7))+20),1,IF(N($W10)&gt;0,AVERAGEIFS($AA$5:$AA$1000,$U$5:$U$1000,ROW(),$V$5:$V$1000,"Sub"),$AA10)))</f>
        <v/>
      </c>
      <c r="AF10" s="62">
        <f>IF($V10="","",IF(AND(ISNUMBER($G10),$G10&lt;=IF($S10=MesCiclo,InicioCiclo,$S10+MOD(2-WEEKDAY($S10),7))+27),1,IF(N($W10)&gt;0,AVERAGEIFS($AB$5:$AB$1000,$U$5:$U$1000,ROW(),$V$5:$V$1000,"Sub"),$AB10)))</f>
        <v/>
      </c>
      <c r="AG10" s="62">
        <f>IF($V10&lt;&gt;"Macro","",IF(COUNTIFS($S$5:$S$1000,$S10,$V$5:$V$1000,"Macro",$H$5:$H$1000,"&gt;0")=0,1/COUNTIFS($S$5:$S$1000,$S10,$V$5:$V$1000,"Macro"),IF(AND(ISNUMBER($H10),N($H10)&gt;0),$H10,SUMIFS($H$5:$H$1000,$S$5:$S$1000,$S10,$V$5:$V$1000,"Macro")/COUNTIFS($S$5:$S$1000,$S10,$V$5:$V$1000,"Macro",$H$5:$H$1000,"&gt;0"))/(COUNTIFS($S$5:$S$1000,$S10,$V$5:$V$1000,"Macro")*SUMIFS($H$5:$H$1000,$S$5:$S$1000,$S10,$V$5:$V$1000,"Macro")/COUNTIFS($S$5:$S$1000,$S10,$V$5:$V$1000,"Macro",$H$5:$H$1000,"&gt;0"))))</f>
        <v/>
      </c>
      <c r="AH10" s="62" t="n"/>
      <c r="AI10" s="62" t="n"/>
      <c r="AJ10" s="62" t="n"/>
      <c r="AK10" s="62" t="n"/>
      <c r="AL10" s="62">
        <f>IF(LEFT($C10,11)="[Jefatura] ",IFERROR(MATCH("Asistente Técnico de Riesgo|"&amp;MID($C10,12,500),rDname_ADM,0),0),"")</f>
        <v/>
      </c>
      <c r="AM10" s="62">
        <f>IF(N($AL10)&gt;0,INDEX(rIni_ADM,$AL10),IF(ISNUMBER($E10),$E10,""))</f>
        <v/>
      </c>
      <c r="AN10" s="62">
        <f>IF(N($AL10)&gt;0,INDEX(rLim_ADM,$AL10),IF(ISNUMBER($F10),$F10,""))</f>
        <v/>
      </c>
    </row>
    <row r="11">
      <c r="A11" s="56">
        <f>IF(NOT((COUNTA($B11:$D11)+COUNTA($G11:$L11)+COUNTA($Q11))&gt;0),"",IF($V11="Macro",COUNTIFS($V$5:$V11,"Macro",$S$5:$S11,$S11),IF(N($U11)=0,"?",COUNTIFS(INDEX($V$5:$V$1000,1):INDEX($V$5:$V$1000,$U11-4),"Macro",INDEX($S$5:$S$1000,1):INDEX($S$5:$S$1000,$U11-4),INDEX($S$5:$S$1000,$U11-4))&amp;"."&amp;COUNTIFS($U$5:$U11,$U11,$V$5:$V11,"Sub"))))</f>
        <v/>
      </c>
      <c r="B11" s="57" t="n"/>
      <c r="C11" s="58" t="n"/>
      <c r="D11" s="58" t="n"/>
      <c r="E11" s="59">
        <f>IF(N($AL11)&gt;0,INDEX(rIni_ADM,$AL11),"")</f>
        <v/>
      </c>
      <c r="F11" s="59">
        <f>IF(N($AL11)&gt;0,INDEX(rLim_ADM,$AL11),"")</f>
        <v/>
      </c>
      <c r="G11" s="59" t="n"/>
      <c r="H11" s="60" t="n"/>
      <c r="I11" s="60" t="n"/>
      <c r="J11" s="60" t="n"/>
      <c r="K11" s="60" t="n"/>
      <c r="L11" s="60" t="n"/>
      <c r="M11" s="61">
        <f>IF(NOT((COUNTA($B11:$D11)+COUNTA($G11:$L11)+COUNTA($Q11))&gt;0),"",IF($V11="Sub",IFERROR($X11/INDEX($W$5:$W$1000,$U11-4),""),IF(ISNUMBER($G11),1,IF(N($W11)&gt;0,AVERAGEIFS($X$5:$X$1000,$U$5:$U$1000,ROW(),$V$5:$V$1000,"Sub"),$X11))))</f>
        <v/>
      </c>
      <c r="N11" s="56">
        <f>IF(OR($M11="",$V11="Sub"),"",IF($M11&gt;=1,"Completado",IF($M11&gt;0,"En curso","Pendiente")))</f>
        <v/>
      </c>
      <c r="O11" s="56">
        <f>IF(OR(NOT((COUNTA($B11:$D11)+COUNTA($G11:$L11)+COUNTA($Q11))&gt;0),$V11="Sub"),"",IF(ISNUMBER($G11),IF(AND(ISNUMBER($AN11),$G11&gt;$AN11),"Cumplida con "&amp;($G11-$AN11)&amp;IF($G11-$AN11=1," día"," días")&amp;" de retraso","Cumplida"),IF(N($M11)&gt;=1,"Cumplida",IF(NOT(ISNUMBER($AN11)),"Sin fecha límite",IF($AN11&lt;FechaRef,"Vencida hace "&amp;(FechaRef-$AN11)&amp;IF(FechaRef-$AN11=1," día"," días"),IF($AN11=FechaRef,"Vence hoy",IF($AN11-FechaRef&lt;=DiasAlerta,"Vence en "&amp;($AN11-FechaRef)&amp;IF($AN11-FechaRef=1," día"," días"),"En plazo")))))))</f>
        <v/>
      </c>
      <c r="P11" s="62" t="n"/>
      <c r="Q11" s="58" t="n"/>
      <c r="R11" s="63">
        <f>IF(NOT((COUNTA($B11:$D11)+COUNTA($G11:$L11)+COUNTA($Q11))&gt;0),"",IF((IF($C11="","Falta el nombre de la actividad"&amp;" · ","")&amp;IF(AND($V11="Sub",N($U11)=0),"Subactividad sin macroactividad arriba"&amp;" · ","")&amp;IF($AM11="","Sin fecha de inicio"&amp;" · ","")&amp;IF($AN11="","Sin fecha límite"&amp;" · ","")&amp;IF(AND(LEFT($C11,11)="[Jefatura] ",N($AL11)=0),"No se encuentra en la hoja de la jefatura (elíjala de nuevo en la lista)"&amp;" · ","")&amp;IF(OR(AND($E11&lt;&gt;"",NOT(ISNUMBER($E11))),AND($F11&lt;&gt;"",NOT(ISNUMBER($F11))),AND($G11&lt;&gt;"",NOT(ISNUMBER($G11)))),"Fecha no válida"&amp;" · ","")&amp;IF(AND(ISNUMBER($AM11),ISNUMBER($AN11),$AM11&gt;$AN11),"Inicio posterior a fecha límite"&amp;" · ","")&amp;IF(AND($V11="Macro",$H11&lt;&gt;"",OR(NOT(ISNUMBER($H11)),$H11&lt;0,$H11&gt;1)),"Peso fuera de rango"&amp;" · ","")&amp;IF(AND($V11="Sub",$H11&lt;&gt;""),"Las subactividades no llevan peso (valen igual dentro de su macroactividad)"&amp;" · ","")&amp;IF(AND(N($W11)&gt;0,COUNT($I11:$L11)&gt;0),"Con subactividades: deje vacías las semanas (se calculan solas)"&amp;" · ","")&amp;IF((COUNTIF($I11:$L11,"&gt;1")+COUNTIF($I11:$L11,"&lt;0")+COUNTA($I11:$L11)-COUNT($I11:$L11))&gt;0,"Avance fuera de rango 0-100%"&amp;" · ","")&amp;IF(OR(AND($J11&lt;&gt;"",$J11&lt;$I11),AND($K11&lt;&gt;"",$K11&lt;MAX($I11:$J11)),AND($L11&lt;&gt;"",$L11&lt;MAX($I11:$K11))),"Avance semanal decreciente"&amp;" · ","")&amp;IF(AND(ISNUMBER($AN11),$AN11&lt;FechaRef,IF($V11="Sub",N($X11),N($M11))&lt;1),"Vencida"&amp;" · ","")&amp;IF(AND(ObsObligatoria="Sí",ISNUMBER($AN11),$AN11&lt;FechaRef,IF($V11="Sub",N($X11),N($M11))&lt;1,$Q11=""),"Vencida sin observación"&amp;" · ",""))="","✔ OK","⚠ "&amp;LEFT(IF($C11="","Falta el nombre de la actividad"&amp;" · ","")&amp;IF(AND($V11="Sub",N($U11)=0),"Subactividad sin macroactividad arriba"&amp;" · ","")&amp;IF($AM11="","Sin fecha de inicio"&amp;" · ","")&amp;IF($AN11="","Sin fecha límite"&amp;" · ","")&amp;IF(AND(LEFT($C11,11)="[Jefatura] ",N($AL11)=0),"No se encuentra en la hoja de la jefatura (elíjala de nuevo en la lista)"&amp;" · ","")&amp;IF(OR(AND($E11&lt;&gt;"",NOT(ISNUMBER($E11))),AND($F11&lt;&gt;"",NOT(ISNUMBER($F11))),AND($G11&lt;&gt;"",NOT(ISNUMBER($G11)))),"Fecha no válida"&amp;" · ","")&amp;IF(AND(ISNUMBER($AM11),ISNUMBER($AN11),$AM11&gt;$AN11),"Inicio posterior a fecha límite"&amp;" · ","")&amp;IF(AND($V11="Macro",$H11&lt;&gt;"",OR(NOT(ISNUMBER($H11)),$H11&lt;0,$H11&gt;1)),"Peso fuera de rango"&amp;" · ","")&amp;IF(AND($V11="Sub",$H11&lt;&gt;""),"Las subactividades no llevan peso (valen igual dentro de su macroactividad)"&amp;" · ","")&amp;IF(AND(N($W11)&gt;0,COUNT($I11:$L11)&gt;0),"Con subactividades: deje vacías las semanas (se calculan solas)"&amp;" · ","")&amp;IF((COUNTIF($I11:$L11,"&gt;1")+COUNTIF($I11:$L11,"&lt;0")+COUNTA($I11:$L11)-COUNT($I11:$L11))&gt;0,"Avance fuera de rango 0-100%"&amp;" · ","")&amp;IF(OR(AND($J11&lt;&gt;"",$J11&lt;$I11),AND($K11&lt;&gt;"",$K11&lt;MAX($I11:$J11)),AND($L11&lt;&gt;"",$L11&lt;MAX($I11:$K11))),"Avance semanal decreciente"&amp;" · ","")&amp;IF(AND(ISNUMBER($AN11),$AN11&lt;FechaRef,IF($V11="Sub",N($X11),N($M11))&lt;1),"Vencida"&amp;" · ","")&amp;IF(AND(ObsObligatoria="Sí",ISNUMBER($AN11),$AN11&lt;FechaRef,IF($V11="Sub",N($X11),N($M11))&lt;1,$Q11=""),"Vencida sin observación"&amp;" · ",""),LEN(IF($C11="","Falta el nombre de la actividad"&amp;" · ","")&amp;IF(AND($V11="Sub",N($U11)=0),"Subactividad sin macroactividad arriba"&amp;" · ","")&amp;IF($AM11="","Sin fecha de inicio"&amp;" · ","")&amp;IF($AN11="","Sin fecha límite"&amp;" · ","")&amp;IF(AND(LEFT($C11,11)="[Jefatura] ",N($AL11)=0),"No se encuentra en la hoja de la jefatura (elíjala de nuevo en la lista)"&amp;" · ","")&amp;IF(OR(AND($E11&lt;&gt;"",NOT(ISNUMBER($E11))),AND($F11&lt;&gt;"",NOT(ISNUMBER($F11))),AND($G11&lt;&gt;"",NOT(ISNUMBER($G11)))),"Fecha no válida"&amp;" · ","")&amp;IF(AND(ISNUMBER($AM11),ISNUMBER($AN11),$AM11&gt;$AN11),"Inicio posterior a fecha límite"&amp;" · ","")&amp;IF(AND($V11="Macro",$H11&lt;&gt;"",OR(NOT(ISNUMBER($H11)),$H11&lt;0,$H11&gt;1)),"Peso fuera de rango"&amp;" · ","")&amp;IF(AND($V11="Sub",$H11&lt;&gt;""),"Las subactividades no llevan peso (valen igual dentro de su macroactividad)"&amp;" · ","")&amp;IF(AND(N($W11)&gt;0,COUNT($I11:$L11)&gt;0),"Con subactividades: deje vacías las semanas (se calculan solas)"&amp;" · ","")&amp;IF((COUNTIF($I11:$L11,"&gt;1")+COUNTIF($I11:$L11,"&lt;0")+COUNTA($I11:$L11)-COUNT($I11:$L11))&gt;0,"Avance fuera de rango 0-100%"&amp;" · ","")&amp;IF(OR(AND($J11&lt;&gt;"",$J11&lt;$I11),AND($K11&lt;&gt;"",$K11&lt;MAX($I11:$J11)),AND($L11&lt;&gt;"",$L11&lt;MAX($I11:$K11))),"Avance semanal decreciente"&amp;" · ","")&amp;IF(AND(ISNUMBER($AN11),$AN11&lt;FechaRef,IF($V11="Sub",N($X11),N($M11))&lt;1),"Vencida"&amp;" · ","")&amp;IF(AND(ObsObligatoria="Sí",ISNUMBER($AN11),$AN11&lt;FechaRef,IF($V11="Sub",N($X11),N($M11))&lt;1,$Q11=""),"Vencida sin observación"&amp;" · ",""))-3)))</f>
        <v/>
      </c>
      <c r="S11" s="64">
        <f>IF(NOT((COUNTA($B11:$D11)+COUNTA($G11:$L11)+COUNTA($Q11))&gt;0),"",IF(AND($V11="Sub",N($U11)&gt;0),IF(ISNUMBER(INDEX($AM$5:$AM$1000,$U11-4)),DATE(YEAR(INDEX($AM$5:$AM$1000,$U11-4)),MONTH(INDEX($AM$5:$AM$1000,$U11-4)),1),IF(ISNUMBER(INDEX($AN$5:$AN$1000,$U11-4)),DATE(YEAR(INDEX($AN$5:$AN$1000,$U11-4)),MONTH(INDEX($AN$5:$AN$1000,$U11-4)),1),MesCiclo)),IF(ISNUMBER($AM11),DATE(YEAR($AM11),MONTH($AM11),1),IF(ISNUMBER($AN11),DATE(YEAR($AN11),MONTH($AN11),1),MesCiclo))))</f>
        <v/>
      </c>
      <c r="T11" s="62">
        <f>IF(OR($S11="",$S11&lt;&gt;MesCiclo,$V11&lt;&gt;"Macro"),"",COUNTIFS($S$5:$S11,MesCiclo,$V$5:$V11,"Macro"))</f>
        <v/>
      </c>
      <c r="U11" s="62">
        <f>IF($V11="","",IF($V11="Macro",ROW(),IFERROR(LOOKUP(2,1/($V$5:$V11="Macro"),ROW($V$5:$V11)),0)))</f>
        <v/>
      </c>
      <c r="V11" s="62">
        <f>IF(NOT((COUNTA($B11:$D11)+COUNTA($G11:$L11)+COUNTA($Q11))&gt;0),"",IF($B11="Subactividad","Sub","Macro"))</f>
        <v/>
      </c>
      <c r="W11" s="62">
        <f>IF($V11="Macro",COUNTIFS($U$5:$U$1000,ROW(),$V$5:$V$1000,"Sub"),"")</f>
        <v/>
      </c>
      <c r="X11" s="62">
        <f>IF($V11="","",IF(ISNUMBER($G11),1,IFERROR(LOOKUP(2,1/($I11:$L11&lt;&gt;""),$I11:$L11),0)))</f>
        <v/>
      </c>
      <c r="Y11" s="62">
        <f>IF($V11="","",IF(AND(ISNUMBER($G11),$G11&lt;=IF($S11=MesCiclo,InicioCiclo,$S11+MOD(2-WEEKDAY($S11),7))+6),1,IF(ISNUMBER($I11),$I11,0)))</f>
        <v/>
      </c>
      <c r="Z11" s="62">
        <f>IF($V11="","",IF(AND(ISNUMBER($G11),$G11&lt;=IF($S11=MesCiclo,InicioCiclo,$S11+MOD(2-WEEKDAY($S11),7))+13),1,IF(ISNUMBER($J11),$J11,$Y11)))</f>
        <v/>
      </c>
      <c r="AA11" s="62">
        <f>IF($V11="","",IF(AND(ISNUMBER($G11),$G11&lt;=IF($S11=MesCiclo,InicioCiclo,$S11+MOD(2-WEEKDAY($S11),7))+20),1,IF(ISNUMBER($K11),$K11,$Z11)))</f>
        <v/>
      </c>
      <c r="AB11" s="62">
        <f>IF($V11="","",IF(AND(ISNUMBER($G11),$G11&lt;=IF($S11=MesCiclo,InicioCiclo,$S11+MOD(2-WEEKDAY($S11),7))+27),1,IF(ISNUMBER($L11),$L11,$AA11)))</f>
        <v/>
      </c>
      <c r="AC11" s="62">
        <f>IF($V11="","",IF(AND(ISNUMBER($G11),$G11&lt;=IF($S11=MesCiclo,InicioCiclo,$S11+MOD(2-WEEKDAY($S11),7))+6),1,IF(N($W11)&gt;0,AVERAGEIFS($Y$5:$Y$1000,$U$5:$U$1000,ROW(),$V$5:$V$1000,"Sub"),$Y11)))</f>
        <v/>
      </c>
      <c r="AD11" s="62">
        <f>IF($V11="","",IF(AND(ISNUMBER($G11),$G11&lt;=IF($S11=MesCiclo,InicioCiclo,$S11+MOD(2-WEEKDAY($S11),7))+13),1,IF(N($W11)&gt;0,AVERAGEIFS($Z$5:$Z$1000,$U$5:$U$1000,ROW(),$V$5:$V$1000,"Sub"),$Z11)))</f>
        <v/>
      </c>
      <c r="AE11" s="62">
        <f>IF($V11="","",IF(AND(ISNUMBER($G11),$G11&lt;=IF($S11=MesCiclo,InicioCiclo,$S11+MOD(2-WEEKDAY($S11),7))+20),1,IF(N($W11)&gt;0,AVERAGEIFS($AA$5:$AA$1000,$U$5:$U$1000,ROW(),$V$5:$V$1000,"Sub"),$AA11)))</f>
        <v/>
      </c>
      <c r="AF11" s="62">
        <f>IF($V11="","",IF(AND(ISNUMBER($G11),$G11&lt;=IF($S11=MesCiclo,InicioCiclo,$S11+MOD(2-WEEKDAY($S11),7))+27),1,IF(N($W11)&gt;0,AVERAGEIFS($AB$5:$AB$1000,$U$5:$U$1000,ROW(),$V$5:$V$1000,"Sub"),$AB11)))</f>
        <v/>
      </c>
      <c r="AG11" s="62">
        <f>IF($V11&lt;&gt;"Macro","",IF(COUNTIFS($S$5:$S$1000,$S11,$V$5:$V$1000,"Macro",$H$5:$H$1000,"&gt;0")=0,1/COUNTIFS($S$5:$S$1000,$S11,$V$5:$V$1000,"Macro"),IF(AND(ISNUMBER($H11),N($H11)&gt;0),$H11,SUMIFS($H$5:$H$1000,$S$5:$S$1000,$S11,$V$5:$V$1000,"Macro")/COUNTIFS($S$5:$S$1000,$S11,$V$5:$V$1000,"Macro",$H$5:$H$1000,"&gt;0"))/(COUNTIFS($S$5:$S$1000,$S11,$V$5:$V$1000,"Macro")*SUMIFS($H$5:$H$1000,$S$5:$S$1000,$S11,$V$5:$V$1000,"Macro")/COUNTIFS($S$5:$S$1000,$S11,$V$5:$V$1000,"Macro",$H$5:$H$1000,"&gt;0"))))</f>
        <v/>
      </c>
      <c r="AH11" s="62" t="n"/>
      <c r="AI11" s="62" t="n"/>
      <c r="AJ11" s="62" t="n"/>
      <c r="AK11" s="62" t="n"/>
      <c r="AL11" s="62">
        <f>IF(LEFT($C11,11)="[Jefatura] ",IFERROR(MATCH("Asistente Técnico de Riesgo|"&amp;MID($C11,12,500),rDname_ADM,0),0),"")</f>
        <v/>
      </c>
      <c r="AM11" s="62">
        <f>IF(N($AL11)&gt;0,INDEX(rIni_ADM,$AL11),IF(ISNUMBER($E11),$E11,""))</f>
        <v/>
      </c>
      <c r="AN11" s="62">
        <f>IF(N($AL11)&gt;0,INDEX(rLim_ADM,$AL11),IF(ISNUMBER($F11),$F11,""))</f>
        <v/>
      </c>
    </row>
    <row r="12">
      <c r="A12" s="56">
        <f>IF(NOT((COUNTA($B12:$D12)+COUNTA($G12:$L12)+COUNTA($Q12))&gt;0),"",IF($V12="Macro",COUNTIFS($V$5:$V12,"Macro",$S$5:$S12,$S12),IF(N($U12)=0,"?",COUNTIFS(INDEX($V$5:$V$1000,1):INDEX($V$5:$V$1000,$U12-4),"Macro",INDEX($S$5:$S$1000,1):INDEX($S$5:$S$1000,$U12-4),INDEX($S$5:$S$1000,$U12-4))&amp;"."&amp;COUNTIFS($U$5:$U12,$U12,$V$5:$V12,"Sub"))))</f>
        <v/>
      </c>
      <c r="B12" s="57" t="n"/>
      <c r="C12" s="58" t="n"/>
      <c r="D12" s="58" t="n"/>
      <c r="E12" s="59">
        <f>IF(N($AL12)&gt;0,INDEX(rIni_ADM,$AL12),"")</f>
        <v/>
      </c>
      <c r="F12" s="59">
        <f>IF(N($AL12)&gt;0,INDEX(rLim_ADM,$AL12),"")</f>
        <v/>
      </c>
      <c r="G12" s="59" t="n"/>
      <c r="H12" s="60" t="n"/>
      <c r="I12" s="60" t="n"/>
      <c r="J12" s="60" t="n"/>
      <c r="K12" s="60" t="n"/>
      <c r="L12" s="60" t="n"/>
      <c r="M12" s="61">
        <f>IF(NOT((COUNTA($B12:$D12)+COUNTA($G12:$L12)+COUNTA($Q12))&gt;0),"",IF($V12="Sub",IFERROR($X12/INDEX($W$5:$W$1000,$U12-4),""),IF(ISNUMBER($G12),1,IF(N($W12)&gt;0,AVERAGEIFS($X$5:$X$1000,$U$5:$U$1000,ROW(),$V$5:$V$1000,"Sub"),$X12))))</f>
        <v/>
      </c>
      <c r="N12" s="56">
        <f>IF(OR($M12="",$V12="Sub"),"",IF($M12&gt;=1,"Completado",IF($M12&gt;0,"En curso","Pendiente")))</f>
        <v/>
      </c>
      <c r="O12" s="56">
        <f>IF(OR(NOT((COUNTA($B12:$D12)+COUNTA($G12:$L12)+COUNTA($Q12))&gt;0),$V12="Sub"),"",IF(ISNUMBER($G12),IF(AND(ISNUMBER($AN12),$G12&gt;$AN12),"Cumplida con "&amp;($G12-$AN12)&amp;IF($G12-$AN12=1," día"," días")&amp;" de retraso","Cumplida"),IF(N($M12)&gt;=1,"Cumplida",IF(NOT(ISNUMBER($AN12)),"Sin fecha límite",IF($AN12&lt;FechaRef,"Vencida hace "&amp;(FechaRef-$AN12)&amp;IF(FechaRef-$AN12=1," día"," días"),IF($AN12=FechaRef,"Vence hoy",IF($AN12-FechaRef&lt;=DiasAlerta,"Vence en "&amp;($AN12-FechaRef)&amp;IF($AN12-FechaRef=1," día"," días"),"En plazo")))))))</f>
        <v/>
      </c>
      <c r="P12" s="62" t="n"/>
      <c r="Q12" s="58" t="n"/>
      <c r="R12" s="63">
        <f>IF(NOT((COUNTA($B12:$D12)+COUNTA($G12:$L12)+COUNTA($Q12))&gt;0),"",IF((IF($C12="","Falta el nombre de la actividad"&amp;" · ","")&amp;IF(AND($V12="Sub",N($U12)=0),"Subactividad sin macroactividad arriba"&amp;" · ","")&amp;IF($AM12="","Sin fecha de inicio"&amp;" · ","")&amp;IF($AN12="","Sin fecha límite"&amp;" · ","")&amp;IF(AND(LEFT($C12,11)="[Jefatura] ",N($AL12)=0),"No se encuentra en la hoja de la jefatura (elíjala de nuevo en la lista)"&amp;" · ","")&amp;IF(OR(AND($E12&lt;&gt;"",NOT(ISNUMBER($E12))),AND($F12&lt;&gt;"",NOT(ISNUMBER($F12))),AND($G12&lt;&gt;"",NOT(ISNUMBER($G12)))),"Fecha no válida"&amp;" · ","")&amp;IF(AND(ISNUMBER($AM12),ISNUMBER($AN12),$AM12&gt;$AN12),"Inicio posterior a fecha límite"&amp;" · ","")&amp;IF(AND($V12="Macro",$H12&lt;&gt;"",OR(NOT(ISNUMBER($H12)),$H12&lt;0,$H12&gt;1)),"Peso fuera de rango"&amp;" · ","")&amp;IF(AND($V12="Sub",$H12&lt;&gt;""),"Las subactividades no llevan peso (valen igual dentro de su macroactividad)"&amp;" · ","")&amp;IF(AND(N($W12)&gt;0,COUNT($I12:$L12)&gt;0),"Con subactividades: deje vacías las semanas (se calculan solas)"&amp;" · ","")&amp;IF((COUNTIF($I12:$L12,"&gt;1")+COUNTIF($I12:$L12,"&lt;0")+COUNTA($I12:$L12)-COUNT($I12:$L12))&gt;0,"Avance fuera de rango 0-100%"&amp;" · ","")&amp;IF(OR(AND($J12&lt;&gt;"",$J12&lt;$I12),AND($K12&lt;&gt;"",$K12&lt;MAX($I12:$J12)),AND($L12&lt;&gt;"",$L12&lt;MAX($I12:$K12))),"Avance semanal decreciente"&amp;" · ","")&amp;IF(AND(ISNUMBER($AN12),$AN12&lt;FechaRef,IF($V12="Sub",N($X12),N($M12))&lt;1),"Vencida"&amp;" · ","")&amp;IF(AND(ObsObligatoria="Sí",ISNUMBER($AN12),$AN12&lt;FechaRef,IF($V12="Sub",N($X12),N($M12))&lt;1,$Q12=""),"Vencida sin observación"&amp;" · ",""))="","✔ OK","⚠ "&amp;LEFT(IF($C12="","Falta el nombre de la actividad"&amp;" · ","")&amp;IF(AND($V12="Sub",N($U12)=0),"Subactividad sin macroactividad arriba"&amp;" · ","")&amp;IF($AM12="","Sin fecha de inicio"&amp;" · ","")&amp;IF($AN12="","Sin fecha límite"&amp;" · ","")&amp;IF(AND(LEFT($C12,11)="[Jefatura] ",N($AL12)=0),"No se encuentra en la hoja de la jefatura (elíjala de nuevo en la lista)"&amp;" · ","")&amp;IF(OR(AND($E12&lt;&gt;"",NOT(ISNUMBER($E12))),AND($F12&lt;&gt;"",NOT(ISNUMBER($F12))),AND($G12&lt;&gt;"",NOT(ISNUMBER($G12)))),"Fecha no válida"&amp;" · ","")&amp;IF(AND(ISNUMBER($AM12),ISNUMBER($AN12),$AM12&gt;$AN12),"Inicio posterior a fecha límite"&amp;" · ","")&amp;IF(AND($V12="Macro",$H12&lt;&gt;"",OR(NOT(ISNUMBER($H12)),$H12&lt;0,$H12&gt;1)),"Peso fuera de rango"&amp;" · ","")&amp;IF(AND($V12="Sub",$H12&lt;&gt;""),"Las subactividades no llevan peso (valen igual dentro de su macroactividad)"&amp;" · ","")&amp;IF(AND(N($W12)&gt;0,COUNT($I12:$L12)&gt;0),"Con subactividades: deje vacías las semanas (se calculan solas)"&amp;" · ","")&amp;IF((COUNTIF($I12:$L12,"&gt;1")+COUNTIF($I12:$L12,"&lt;0")+COUNTA($I12:$L12)-COUNT($I12:$L12))&gt;0,"Avance fuera de rango 0-100%"&amp;" · ","")&amp;IF(OR(AND($J12&lt;&gt;"",$J12&lt;$I12),AND($K12&lt;&gt;"",$K12&lt;MAX($I12:$J12)),AND($L12&lt;&gt;"",$L12&lt;MAX($I12:$K12))),"Avance semanal decreciente"&amp;" · ","")&amp;IF(AND(ISNUMBER($AN12),$AN12&lt;FechaRef,IF($V12="Sub",N($X12),N($M12))&lt;1),"Vencida"&amp;" · ","")&amp;IF(AND(ObsObligatoria="Sí",ISNUMBER($AN12),$AN12&lt;FechaRef,IF($V12="Sub",N($X12),N($M12))&lt;1,$Q12=""),"Vencida sin observación"&amp;" · ",""),LEN(IF($C12="","Falta el nombre de la actividad"&amp;" · ","")&amp;IF(AND($V12="Sub",N($U12)=0),"Subactividad sin macroactividad arriba"&amp;" · ","")&amp;IF($AM12="","Sin fecha de inicio"&amp;" · ","")&amp;IF($AN12="","Sin fecha límite"&amp;" · ","")&amp;IF(AND(LEFT($C12,11)="[Jefatura] ",N($AL12)=0),"No se encuentra en la hoja de la jefatura (elíjala de nuevo en la lista)"&amp;" · ","")&amp;IF(OR(AND($E12&lt;&gt;"",NOT(ISNUMBER($E12))),AND($F12&lt;&gt;"",NOT(ISNUMBER($F12))),AND($G12&lt;&gt;"",NOT(ISNUMBER($G12)))),"Fecha no válida"&amp;" · ","")&amp;IF(AND(ISNUMBER($AM12),ISNUMBER($AN12),$AM12&gt;$AN12),"Inicio posterior a fecha límite"&amp;" · ","")&amp;IF(AND($V12="Macro",$H12&lt;&gt;"",OR(NOT(ISNUMBER($H12)),$H12&lt;0,$H12&gt;1)),"Peso fuera de rango"&amp;" · ","")&amp;IF(AND($V12="Sub",$H12&lt;&gt;""),"Las subactividades no llevan peso (valen igual dentro de su macroactividad)"&amp;" · ","")&amp;IF(AND(N($W12)&gt;0,COUNT($I12:$L12)&gt;0),"Con subactividades: deje vacías las semanas (se calculan solas)"&amp;" · ","")&amp;IF((COUNTIF($I12:$L12,"&gt;1")+COUNTIF($I12:$L12,"&lt;0")+COUNTA($I12:$L12)-COUNT($I12:$L12))&gt;0,"Avance fuera de rango 0-100%"&amp;" · ","")&amp;IF(OR(AND($J12&lt;&gt;"",$J12&lt;$I12),AND($K12&lt;&gt;"",$K12&lt;MAX($I12:$J12)),AND($L12&lt;&gt;"",$L12&lt;MAX($I12:$K12))),"Avance semanal decreciente"&amp;" · ","")&amp;IF(AND(ISNUMBER($AN12),$AN12&lt;FechaRef,IF($V12="Sub",N($X12),N($M12))&lt;1),"Vencida"&amp;" · ","")&amp;IF(AND(ObsObligatoria="Sí",ISNUMBER($AN12),$AN12&lt;FechaRef,IF($V12="Sub",N($X12),N($M12))&lt;1,$Q12=""),"Vencida sin observación"&amp;" · ",""))-3)))</f>
        <v/>
      </c>
      <c r="S12" s="64">
        <f>IF(NOT((COUNTA($B12:$D12)+COUNTA($G12:$L12)+COUNTA($Q12))&gt;0),"",IF(AND($V12="Sub",N($U12)&gt;0),IF(ISNUMBER(INDEX($AM$5:$AM$1000,$U12-4)),DATE(YEAR(INDEX($AM$5:$AM$1000,$U12-4)),MONTH(INDEX($AM$5:$AM$1000,$U12-4)),1),IF(ISNUMBER(INDEX($AN$5:$AN$1000,$U12-4)),DATE(YEAR(INDEX($AN$5:$AN$1000,$U12-4)),MONTH(INDEX($AN$5:$AN$1000,$U12-4)),1),MesCiclo)),IF(ISNUMBER($AM12),DATE(YEAR($AM12),MONTH($AM12),1),IF(ISNUMBER($AN12),DATE(YEAR($AN12),MONTH($AN12),1),MesCiclo))))</f>
        <v/>
      </c>
      <c r="T12" s="62">
        <f>IF(OR($S12="",$S12&lt;&gt;MesCiclo,$V12&lt;&gt;"Macro"),"",COUNTIFS($S$5:$S12,MesCiclo,$V$5:$V12,"Macro"))</f>
        <v/>
      </c>
      <c r="U12" s="62">
        <f>IF($V12="","",IF($V12="Macro",ROW(),IFERROR(LOOKUP(2,1/($V$5:$V12="Macro"),ROW($V$5:$V12)),0)))</f>
        <v/>
      </c>
      <c r="V12" s="62">
        <f>IF(NOT((COUNTA($B12:$D12)+COUNTA($G12:$L12)+COUNTA($Q12))&gt;0),"",IF($B12="Subactividad","Sub","Macro"))</f>
        <v/>
      </c>
      <c r="W12" s="62">
        <f>IF($V12="Macro",COUNTIFS($U$5:$U$1000,ROW(),$V$5:$V$1000,"Sub"),"")</f>
        <v/>
      </c>
      <c r="X12" s="62">
        <f>IF($V12="","",IF(ISNUMBER($G12),1,IFERROR(LOOKUP(2,1/($I12:$L12&lt;&gt;""),$I12:$L12),0)))</f>
        <v/>
      </c>
      <c r="Y12" s="62">
        <f>IF($V12="","",IF(AND(ISNUMBER($G12),$G12&lt;=IF($S12=MesCiclo,InicioCiclo,$S12+MOD(2-WEEKDAY($S12),7))+6),1,IF(ISNUMBER($I12),$I12,0)))</f>
        <v/>
      </c>
      <c r="Z12" s="62">
        <f>IF($V12="","",IF(AND(ISNUMBER($G12),$G12&lt;=IF($S12=MesCiclo,InicioCiclo,$S12+MOD(2-WEEKDAY($S12),7))+13),1,IF(ISNUMBER($J12),$J12,$Y12)))</f>
        <v/>
      </c>
      <c r="AA12" s="62">
        <f>IF($V12="","",IF(AND(ISNUMBER($G12),$G12&lt;=IF($S12=MesCiclo,InicioCiclo,$S12+MOD(2-WEEKDAY($S12),7))+20),1,IF(ISNUMBER($K12),$K12,$Z12)))</f>
        <v/>
      </c>
      <c r="AB12" s="62">
        <f>IF($V12="","",IF(AND(ISNUMBER($G12),$G12&lt;=IF($S12=MesCiclo,InicioCiclo,$S12+MOD(2-WEEKDAY($S12),7))+27),1,IF(ISNUMBER($L12),$L12,$AA12)))</f>
        <v/>
      </c>
      <c r="AC12" s="62">
        <f>IF($V12="","",IF(AND(ISNUMBER($G12),$G12&lt;=IF($S12=MesCiclo,InicioCiclo,$S12+MOD(2-WEEKDAY($S12),7))+6),1,IF(N($W12)&gt;0,AVERAGEIFS($Y$5:$Y$1000,$U$5:$U$1000,ROW(),$V$5:$V$1000,"Sub"),$Y12)))</f>
        <v/>
      </c>
      <c r="AD12" s="62">
        <f>IF($V12="","",IF(AND(ISNUMBER($G12),$G12&lt;=IF($S12=MesCiclo,InicioCiclo,$S12+MOD(2-WEEKDAY($S12),7))+13),1,IF(N($W12)&gt;0,AVERAGEIFS($Z$5:$Z$1000,$U$5:$U$1000,ROW(),$V$5:$V$1000,"Sub"),$Z12)))</f>
        <v/>
      </c>
      <c r="AE12" s="62">
        <f>IF($V12="","",IF(AND(ISNUMBER($G12),$G12&lt;=IF($S12=MesCiclo,InicioCiclo,$S12+MOD(2-WEEKDAY($S12),7))+20),1,IF(N($W12)&gt;0,AVERAGEIFS($AA$5:$AA$1000,$U$5:$U$1000,ROW(),$V$5:$V$1000,"Sub"),$AA12)))</f>
        <v/>
      </c>
      <c r="AF12" s="62">
        <f>IF($V12="","",IF(AND(ISNUMBER($G12),$G12&lt;=IF($S12=MesCiclo,InicioCiclo,$S12+MOD(2-WEEKDAY($S12),7))+27),1,IF(N($W12)&gt;0,AVERAGEIFS($AB$5:$AB$1000,$U$5:$U$1000,ROW(),$V$5:$V$1000,"Sub"),$AB12)))</f>
        <v/>
      </c>
      <c r="AG12" s="62">
        <f>IF($V12&lt;&gt;"Macro","",IF(COUNTIFS($S$5:$S$1000,$S12,$V$5:$V$1000,"Macro",$H$5:$H$1000,"&gt;0")=0,1/COUNTIFS($S$5:$S$1000,$S12,$V$5:$V$1000,"Macro"),IF(AND(ISNUMBER($H12),N($H12)&gt;0),$H12,SUMIFS($H$5:$H$1000,$S$5:$S$1000,$S12,$V$5:$V$1000,"Macro")/COUNTIFS($S$5:$S$1000,$S12,$V$5:$V$1000,"Macro",$H$5:$H$1000,"&gt;0"))/(COUNTIFS($S$5:$S$1000,$S12,$V$5:$V$1000,"Macro")*SUMIFS($H$5:$H$1000,$S$5:$S$1000,$S12,$V$5:$V$1000,"Macro")/COUNTIFS($S$5:$S$1000,$S12,$V$5:$V$1000,"Macro",$H$5:$H$1000,"&gt;0"))))</f>
        <v/>
      </c>
      <c r="AH12" s="62" t="n"/>
      <c r="AI12" s="62" t="n"/>
      <c r="AJ12" s="62" t="n"/>
      <c r="AK12" s="62" t="n"/>
      <c r="AL12" s="62">
        <f>IF(LEFT($C12,11)="[Jefatura] ",IFERROR(MATCH("Asistente Técnico de Riesgo|"&amp;MID($C12,12,500),rDname_ADM,0),0),"")</f>
        <v/>
      </c>
      <c r="AM12" s="62">
        <f>IF(N($AL12)&gt;0,INDEX(rIni_ADM,$AL12),IF(ISNUMBER($E12),$E12,""))</f>
        <v/>
      </c>
      <c r="AN12" s="62">
        <f>IF(N($AL12)&gt;0,INDEX(rLim_ADM,$AL12),IF(ISNUMBER($F12),$F12,""))</f>
        <v/>
      </c>
    </row>
    <row r="13">
      <c r="A13" s="56">
        <f>IF(NOT((COUNTA($B13:$D13)+COUNTA($G13:$L13)+COUNTA($Q13))&gt;0),"",IF($V13="Macro",COUNTIFS($V$5:$V13,"Macro",$S$5:$S13,$S13),IF(N($U13)=0,"?",COUNTIFS(INDEX($V$5:$V$1000,1):INDEX($V$5:$V$1000,$U13-4),"Macro",INDEX($S$5:$S$1000,1):INDEX($S$5:$S$1000,$U13-4),INDEX($S$5:$S$1000,$U13-4))&amp;"."&amp;COUNTIFS($U$5:$U13,$U13,$V$5:$V13,"Sub"))))</f>
        <v/>
      </c>
      <c r="B13" s="57" t="n"/>
      <c r="C13" s="58" t="n"/>
      <c r="D13" s="58" t="n"/>
      <c r="E13" s="59">
        <f>IF(N($AL13)&gt;0,INDEX(rIni_ADM,$AL13),"")</f>
        <v/>
      </c>
      <c r="F13" s="59">
        <f>IF(N($AL13)&gt;0,INDEX(rLim_ADM,$AL13),"")</f>
        <v/>
      </c>
      <c r="G13" s="59" t="n"/>
      <c r="H13" s="60" t="n"/>
      <c r="I13" s="60" t="n"/>
      <c r="J13" s="60" t="n"/>
      <c r="K13" s="60" t="n"/>
      <c r="L13" s="60" t="n"/>
      <c r="M13" s="61">
        <f>IF(NOT((COUNTA($B13:$D13)+COUNTA($G13:$L13)+COUNTA($Q13))&gt;0),"",IF($V13="Sub",IFERROR($X13/INDEX($W$5:$W$1000,$U13-4),""),IF(ISNUMBER($G13),1,IF(N($W13)&gt;0,AVERAGEIFS($X$5:$X$1000,$U$5:$U$1000,ROW(),$V$5:$V$1000,"Sub"),$X13))))</f>
        <v/>
      </c>
      <c r="N13" s="56">
        <f>IF(OR($M13="",$V13="Sub"),"",IF($M13&gt;=1,"Completado",IF($M13&gt;0,"En curso","Pendiente")))</f>
        <v/>
      </c>
      <c r="O13" s="56">
        <f>IF(OR(NOT((COUNTA($B13:$D13)+COUNTA($G13:$L13)+COUNTA($Q13))&gt;0),$V13="Sub"),"",IF(ISNUMBER($G13),IF(AND(ISNUMBER($AN13),$G13&gt;$AN13),"Cumplida con "&amp;($G13-$AN13)&amp;IF($G13-$AN13=1," día"," días")&amp;" de retraso","Cumplida"),IF(N($M13)&gt;=1,"Cumplida",IF(NOT(ISNUMBER($AN13)),"Sin fecha límite",IF($AN13&lt;FechaRef,"Vencida hace "&amp;(FechaRef-$AN13)&amp;IF(FechaRef-$AN13=1," día"," días"),IF($AN13=FechaRef,"Vence hoy",IF($AN13-FechaRef&lt;=DiasAlerta,"Vence en "&amp;($AN13-FechaRef)&amp;IF($AN13-FechaRef=1," día"," días"),"En plazo")))))))</f>
        <v/>
      </c>
      <c r="P13" s="62" t="n"/>
      <c r="Q13" s="58" t="n"/>
      <c r="R13" s="63">
        <f>IF(NOT((COUNTA($B13:$D13)+COUNTA($G13:$L13)+COUNTA($Q13))&gt;0),"",IF((IF($C13="","Falta el nombre de la actividad"&amp;" · ","")&amp;IF(AND($V13="Sub",N($U13)=0),"Subactividad sin macroactividad arriba"&amp;" · ","")&amp;IF($AM13="","Sin fecha de inicio"&amp;" · ","")&amp;IF($AN13="","Sin fecha límite"&amp;" · ","")&amp;IF(AND(LEFT($C13,11)="[Jefatura] ",N($AL13)=0),"No se encuentra en la hoja de la jefatura (elíjala de nuevo en la lista)"&amp;" · ","")&amp;IF(OR(AND($E13&lt;&gt;"",NOT(ISNUMBER($E13))),AND($F13&lt;&gt;"",NOT(ISNUMBER($F13))),AND($G13&lt;&gt;"",NOT(ISNUMBER($G13)))),"Fecha no válida"&amp;" · ","")&amp;IF(AND(ISNUMBER($AM13),ISNUMBER($AN13),$AM13&gt;$AN13),"Inicio posterior a fecha límite"&amp;" · ","")&amp;IF(AND($V13="Macro",$H13&lt;&gt;"",OR(NOT(ISNUMBER($H13)),$H13&lt;0,$H13&gt;1)),"Peso fuera de rango"&amp;" · ","")&amp;IF(AND($V13="Sub",$H13&lt;&gt;""),"Las subactividades no llevan peso (valen igual dentro de su macroactividad)"&amp;" · ","")&amp;IF(AND(N($W13)&gt;0,COUNT($I13:$L13)&gt;0),"Con subactividades: deje vacías las semanas (se calculan solas)"&amp;" · ","")&amp;IF((COUNTIF($I13:$L13,"&gt;1")+COUNTIF($I13:$L13,"&lt;0")+COUNTA($I13:$L13)-COUNT($I13:$L13))&gt;0,"Avance fuera de rango 0-100%"&amp;" · ","")&amp;IF(OR(AND($J13&lt;&gt;"",$J13&lt;$I13),AND($K13&lt;&gt;"",$K13&lt;MAX($I13:$J13)),AND($L13&lt;&gt;"",$L13&lt;MAX($I13:$K13))),"Avance semanal decreciente"&amp;" · ","")&amp;IF(AND(ISNUMBER($AN13),$AN13&lt;FechaRef,IF($V13="Sub",N($X13),N($M13))&lt;1),"Vencida"&amp;" · ","")&amp;IF(AND(ObsObligatoria="Sí",ISNUMBER($AN13),$AN13&lt;FechaRef,IF($V13="Sub",N($X13),N($M13))&lt;1,$Q13=""),"Vencida sin observación"&amp;" · ",""))="","✔ OK","⚠ "&amp;LEFT(IF($C13="","Falta el nombre de la actividad"&amp;" · ","")&amp;IF(AND($V13="Sub",N($U13)=0),"Subactividad sin macroactividad arriba"&amp;" · ","")&amp;IF($AM13="","Sin fecha de inicio"&amp;" · ","")&amp;IF($AN13="","Sin fecha límite"&amp;" · ","")&amp;IF(AND(LEFT($C13,11)="[Jefatura] ",N($AL13)=0),"No se encuentra en la hoja de la jefatura (elíjala de nuevo en la lista)"&amp;" · ","")&amp;IF(OR(AND($E13&lt;&gt;"",NOT(ISNUMBER($E13))),AND($F13&lt;&gt;"",NOT(ISNUMBER($F13))),AND($G13&lt;&gt;"",NOT(ISNUMBER($G13)))),"Fecha no válida"&amp;" · ","")&amp;IF(AND(ISNUMBER($AM13),ISNUMBER($AN13),$AM13&gt;$AN13),"Inicio posterior a fecha límite"&amp;" · ","")&amp;IF(AND($V13="Macro",$H13&lt;&gt;"",OR(NOT(ISNUMBER($H13)),$H13&lt;0,$H13&gt;1)),"Peso fuera de rango"&amp;" · ","")&amp;IF(AND($V13="Sub",$H13&lt;&gt;""),"Las subactividades no llevan peso (valen igual dentro de su macroactividad)"&amp;" · ","")&amp;IF(AND(N($W13)&gt;0,COUNT($I13:$L13)&gt;0),"Con subactividades: deje vacías las semanas (se calculan solas)"&amp;" · ","")&amp;IF((COUNTIF($I13:$L13,"&gt;1")+COUNTIF($I13:$L13,"&lt;0")+COUNTA($I13:$L13)-COUNT($I13:$L13))&gt;0,"Avance fuera de rango 0-100%"&amp;" · ","")&amp;IF(OR(AND($J13&lt;&gt;"",$J13&lt;$I13),AND($K13&lt;&gt;"",$K13&lt;MAX($I13:$J13)),AND($L13&lt;&gt;"",$L13&lt;MAX($I13:$K13))),"Avance semanal decreciente"&amp;" · ","")&amp;IF(AND(ISNUMBER($AN13),$AN13&lt;FechaRef,IF($V13="Sub",N($X13),N($M13))&lt;1),"Vencida"&amp;" · ","")&amp;IF(AND(ObsObligatoria="Sí",ISNUMBER($AN13),$AN13&lt;FechaRef,IF($V13="Sub",N($X13),N($M13))&lt;1,$Q13=""),"Vencida sin observación"&amp;" · ",""),LEN(IF($C13="","Falta el nombre de la actividad"&amp;" · ","")&amp;IF(AND($V13="Sub",N($U13)=0),"Subactividad sin macroactividad arriba"&amp;" · ","")&amp;IF($AM13="","Sin fecha de inicio"&amp;" · ","")&amp;IF($AN13="","Sin fecha límite"&amp;" · ","")&amp;IF(AND(LEFT($C13,11)="[Jefatura] ",N($AL13)=0),"No se encuentra en la hoja de la jefatura (elíjala de nuevo en la lista)"&amp;" · ","")&amp;IF(OR(AND($E13&lt;&gt;"",NOT(ISNUMBER($E13))),AND($F13&lt;&gt;"",NOT(ISNUMBER($F13))),AND($G13&lt;&gt;"",NOT(ISNUMBER($G13)))),"Fecha no válida"&amp;" · ","")&amp;IF(AND(ISNUMBER($AM13),ISNUMBER($AN13),$AM13&gt;$AN13),"Inicio posterior a fecha límite"&amp;" · ","")&amp;IF(AND($V13="Macro",$H13&lt;&gt;"",OR(NOT(ISNUMBER($H13)),$H13&lt;0,$H13&gt;1)),"Peso fuera de rango"&amp;" · ","")&amp;IF(AND($V13="Sub",$H13&lt;&gt;""),"Las subactividades no llevan peso (valen igual dentro de su macroactividad)"&amp;" · ","")&amp;IF(AND(N($W13)&gt;0,COUNT($I13:$L13)&gt;0),"Con subactividades: deje vacías las semanas (se calculan solas)"&amp;" · ","")&amp;IF((COUNTIF($I13:$L13,"&gt;1")+COUNTIF($I13:$L13,"&lt;0")+COUNTA($I13:$L13)-COUNT($I13:$L13))&gt;0,"Avance fuera de rango 0-100%"&amp;" · ","")&amp;IF(OR(AND($J13&lt;&gt;"",$J13&lt;$I13),AND($K13&lt;&gt;"",$K13&lt;MAX($I13:$J13)),AND($L13&lt;&gt;"",$L13&lt;MAX($I13:$K13))),"Avance semanal decreciente"&amp;" · ","")&amp;IF(AND(ISNUMBER($AN13),$AN13&lt;FechaRef,IF($V13="Sub",N($X13),N($M13))&lt;1),"Vencida"&amp;" · ","")&amp;IF(AND(ObsObligatoria="Sí",ISNUMBER($AN13),$AN13&lt;FechaRef,IF($V13="Sub",N($X13),N($M13))&lt;1,$Q13=""),"Vencida sin observación"&amp;" · ",""))-3)))</f>
        <v/>
      </c>
      <c r="S13" s="64">
        <f>IF(NOT((COUNTA($B13:$D13)+COUNTA($G13:$L13)+COUNTA($Q13))&gt;0),"",IF(AND($V13="Sub",N($U13)&gt;0),IF(ISNUMBER(INDEX($AM$5:$AM$1000,$U13-4)),DATE(YEAR(INDEX($AM$5:$AM$1000,$U13-4)),MONTH(INDEX($AM$5:$AM$1000,$U13-4)),1),IF(ISNUMBER(INDEX($AN$5:$AN$1000,$U13-4)),DATE(YEAR(INDEX($AN$5:$AN$1000,$U13-4)),MONTH(INDEX($AN$5:$AN$1000,$U13-4)),1),MesCiclo)),IF(ISNUMBER($AM13),DATE(YEAR($AM13),MONTH($AM13),1),IF(ISNUMBER($AN13),DATE(YEAR($AN13),MONTH($AN13),1),MesCiclo))))</f>
        <v/>
      </c>
      <c r="T13" s="62">
        <f>IF(OR($S13="",$S13&lt;&gt;MesCiclo,$V13&lt;&gt;"Macro"),"",COUNTIFS($S$5:$S13,MesCiclo,$V$5:$V13,"Macro"))</f>
        <v/>
      </c>
      <c r="U13" s="62">
        <f>IF($V13="","",IF($V13="Macro",ROW(),IFERROR(LOOKUP(2,1/($V$5:$V13="Macro"),ROW($V$5:$V13)),0)))</f>
        <v/>
      </c>
      <c r="V13" s="62">
        <f>IF(NOT((COUNTA($B13:$D13)+COUNTA($G13:$L13)+COUNTA($Q13))&gt;0),"",IF($B13="Subactividad","Sub","Macro"))</f>
        <v/>
      </c>
      <c r="W13" s="62">
        <f>IF($V13="Macro",COUNTIFS($U$5:$U$1000,ROW(),$V$5:$V$1000,"Sub"),"")</f>
        <v/>
      </c>
      <c r="X13" s="62">
        <f>IF($V13="","",IF(ISNUMBER($G13),1,IFERROR(LOOKUP(2,1/($I13:$L13&lt;&gt;""),$I13:$L13),0)))</f>
        <v/>
      </c>
      <c r="Y13" s="62">
        <f>IF($V13="","",IF(AND(ISNUMBER($G13),$G13&lt;=IF($S13=MesCiclo,InicioCiclo,$S13+MOD(2-WEEKDAY($S13),7))+6),1,IF(ISNUMBER($I13),$I13,0)))</f>
        <v/>
      </c>
      <c r="Z13" s="62">
        <f>IF($V13="","",IF(AND(ISNUMBER($G13),$G13&lt;=IF($S13=MesCiclo,InicioCiclo,$S13+MOD(2-WEEKDAY($S13),7))+13),1,IF(ISNUMBER($J13),$J13,$Y13)))</f>
        <v/>
      </c>
      <c r="AA13" s="62">
        <f>IF($V13="","",IF(AND(ISNUMBER($G13),$G13&lt;=IF($S13=MesCiclo,InicioCiclo,$S13+MOD(2-WEEKDAY($S13),7))+20),1,IF(ISNUMBER($K13),$K13,$Z13)))</f>
        <v/>
      </c>
      <c r="AB13" s="62">
        <f>IF($V13="","",IF(AND(ISNUMBER($G13),$G13&lt;=IF($S13=MesCiclo,InicioCiclo,$S13+MOD(2-WEEKDAY($S13),7))+27),1,IF(ISNUMBER($L13),$L13,$AA13)))</f>
        <v/>
      </c>
      <c r="AC13" s="62">
        <f>IF($V13="","",IF(AND(ISNUMBER($G13),$G13&lt;=IF($S13=MesCiclo,InicioCiclo,$S13+MOD(2-WEEKDAY($S13),7))+6),1,IF(N($W13)&gt;0,AVERAGEIFS($Y$5:$Y$1000,$U$5:$U$1000,ROW(),$V$5:$V$1000,"Sub"),$Y13)))</f>
        <v/>
      </c>
      <c r="AD13" s="62">
        <f>IF($V13="","",IF(AND(ISNUMBER($G13),$G13&lt;=IF($S13=MesCiclo,InicioCiclo,$S13+MOD(2-WEEKDAY($S13),7))+13),1,IF(N($W13)&gt;0,AVERAGEIFS($Z$5:$Z$1000,$U$5:$U$1000,ROW(),$V$5:$V$1000,"Sub"),$Z13)))</f>
        <v/>
      </c>
      <c r="AE13" s="62">
        <f>IF($V13="","",IF(AND(ISNUMBER($G13),$G13&lt;=IF($S13=MesCiclo,InicioCiclo,$S13+MOD(2-WEEKDAY($S13),7))+20),1,IF(N($W13)&gt;0,AVERAGEIFS($AA$5:$AA$1000,$U$5:$U$1000,ROW(),$V$5:$V$1000,"Sub"),$AA13)))</f>
        <v/>
      </c>
      <c r="AF13" s="62">
        <f>IF($V13="","",IF(AND(ISNUMBER($G13),$G13&lt;=IF($S13=MesCiclo,InicioCiclo,$S13+MOD(2-WEEKDAY($S13),7))+27),1,IF(N($W13)&gt;0,AVERAGEIFS($AB$5:$AB$1000,$U$5:$U$1000,ROW(),$V$5:$V$1000,"Sub"),$AB13)))</f>
        <v/>
      </c>
      <c r="AG13" s="62">
        <f>IF($V13&lt;&gt;"Macro","",IF(COUNTIFS($S$5:$S$1000,$S13,$V$5:$V$1000,"Macro",$H$5:$H$1000,"&gt;0")=0,1/COUNTIFS($S$5:$S$1000,$S13,$V$5:$V$1000,"Macro"),IF(AND(ISNUMBER($H13),N($H13)&gt;0),$H13,SUMIFS($H$5:$H$1000,$S$5:$S$1000,$S13,$V$5:$V$1000,"Macro")/COUNTIFS($S$5:$S$1000,$S13,$V$5:$V$1000,"Macro",$H$5:$H$1000,"&gt;0"))/(COUNTIFS($S$5:$S$1000,$S13,$V$5:$V$1000,"Macro")*SUMIFS($H$5:$H$1000,$S$5:$S$1000,$S13,$V$5:$V$1000,"Macro")/COUNTIFS($S$5:$S$1000,$S13,$V$5:$V$1000,"Macro",$H$5:$H$1000,"&gt;0"))))</f>
        <v/>
      </c>
      <c r="AH13" s="62" t="n"/>
      <c r="AI13" s="62" t="n"/>
      <c r="AJ13" s="62" t="n"/>
      <c r="AK13" s="62" t="n"/>
      <c r="AL13" s="62">
        <f>IF(LEFT($C13,11)="[Jefatura] ",IFERROR(MATCH("Asistente Técnico de Riesgo|"&amp;MID($C13,12,500),rDname_ADM,0),0),"")</f>
        <v/>
      </c>
      <c r="AM13" s="62">
        <f>IF(N($AL13)&gt;0,INDEX(rIni_ADM,$AL13),IF(ISNUMBER($E13),$E13,""))</f>
        <v/>
      </c>
      <c r="AN13" s="62">
        <f>IF(N($AL13)&gt;0,INDEX(rLim_ADM,$AL13),IF(ISNUMBER($F13),$F13,""))</f>
        <v/>
      </c>
    </row>
    <row r="14">
      <c r="A14" s="56">
        <f>IF(NOT((COUNTA($B14:$D14)+COUNTA($G14:$L14)+COUNTA($Q14))&gt;0),"",IF($V14="Macro",COUNTIFS($V$5:$V14,"Macro",$S$5:$S14,$S14),IF(N($U14)=0,"?",COUNTIFS(INDEX($V$5:$V$1000,1):INDEX($V$5:$V$1000,$U14-4),"Macro",INDEX($S$5:$S$1000,1):INDEX($S$5:$S$1000,$U14-4),INDEX($S$5:$S$1000,$U14-4))&amp;"."&amp;COUNTIFS($U$5:$U14,$U14,$V$5:$V14,"Sub"))))</f>
        <v/>
      </c>
      <c r="B14" s="57" t="n"/>
      <c r="C14" s="58" t="n"/>
      <c r="D14" s="58" t="n"/>
      <c r="E14" s="59">
        <f>IF(N($AL14)&gt;0,INDEX(rIni_ADM,$AL14),"")</f>
        <v/>
      </c>
      <c r="F14" s="59">
        <f>IF(N($AL14)&gt;0,INDEX(rLim_ADM,$AL14),"")</f>
        <v/>
      </c>
      <c r="G14" s="59" t="n"/>
      <c r="H14" s="60" t="n"/>
      <c r="I14" s="60" t="n"/>
      <c r="J14" s="60" t="n"/>
      <c r="K14" s="60" t="n"/>
      <c r="L14" s="60" t="n"/>
      <c r="M14" s="61">
        <f>IF(NOT((COUNTA($B14:$D14)+COUNTA($G14:$L14)+COUNTA($Q14))&gt;0),"",IF($V14="Sub",IFERROR($X14/INDEX($W$5:$W$1000,$U14-4),""),IF(ISNUMBER($G14),1,IF(N($W14)&gt;0,AVERAGEIFS($X$5:$X$1000,$U$5:$U$1000,ROW(),$V$5:$V$1000,"Sub"),$X14))))</f>
        <v/>
      </c>
      <c r="N14" s="56">
        <f>IF(OR($M14="",$V14="Sub"),"",IF($M14&gt;=1,"Completado",IF($M14&gt;0,"En curso","Pendiente")))</f>
        <v/>
      </c>
      <c r="O14" s="56">
        <f>IF(OR(NOT((COUNTA($B14:$D14)+COUNTA($G14:$L14)+COUNTA($Q14))&gt;0),$V14="Sub"),"",IF(ISNUMBER($G14),IF(AND(ISNUMBER($AN14),$G14&gt;$AN14),"Cumplida con "&amp;($G14-$AN14)&amp;IF($G14-$AN14=1," día"," días")&amp;" de retraso","Cumplida"),IF(N($M14)&gt;=1,"Cumplida",IF(NOT(ISNUMBER($AN14)),"Sin fecha límite",IF($AN14&lt;FechaRef,"Vencida hace "&amp;(FechaRef-$AN14)&amp;IF(FechaRef-$AN14=1," día"," días"),IF($AN14=FechaRef,"Vence hoy",IF($AN14-FechaRef&lt;=DiasAlerta,"Vence en "&amp;($AN14-FechaRef)&amp;IF($AN14-FechaRef=1," día"," días"),"En plazo")))))))</f>
        <v/>
      </c>
      <c r="P14" s="62" t="n"/>
      <c r="Q14" s="58" t="n"/>
      <c r="R14" s="63">
        <f>IF(NOT((COUNTA($B14:$D14)+COUNTA($G14:$L14)+COUNTA($Q14))&gt;0),"",IF((IF($C14="","Falta el nombre de la actividad"&amp;" · ","")&amp;IF(AND($V14="Sub",N($U14)=0),"Subactividad sin macroactividad arriba"&amp;" · ","")&amp;IF($AM14="","Sin fecha de inicio"&amp;" · ","")&amp;IF($AN14="","Sin fecha límite"&amp;" · ","")&amp;IF(AND(LEFT($C14,11)="[Jefatura] ",N($AL14)=0),"No se encuentra en la hoja de la jefatura (elíjala de nuevo en la lista)"&amp;" · ","")&amp;IF(OR(AND($E14&lt;&gt;"",NOT(ISNUMBER($E14))),AND($F14&lt;&gt;"",NOT(ISNUMBER($F14))),AND($G14&lt;&gt;"",NOT(ISNUMBER($G14)))),"Fecha no válida"&amp;" · ","")&amp;IF(AND(ISNUMBER($AM14),ISNUMBER($AN14),$AM14&gt;$AN14),"Inicio posterior a fecha límite"&amp;" · ","")&amp;IF(AND($V14="Macro",$H14&lt;&gt;"",OR(NOT(ISNUMBER($H14)),$H14&lt;0,$H14&gt;1)),"Peso fuera de rango"&amp;" · ","")&amp;IF(AND($V14="Sub",$H14&lt;&gt;""),"Las subactividades no llevan peso (valen igual dentro de su macroactividad)"&amp;" · ","")&amp;IF(AND(N($W14)&gt;0,COUNT($I14:$L14)&gt;0),"Con subactividades: deje vacías las semanas (se calculan solas)"&amp;" · ","")&amp;IF((COUNTIF($I14:$L14,"&gt;1")+COUNTIF($I14:$L14,"&lt;0")+COUNTA($I14:$L14)-COUNT($I14:$L14))&gt;0,"Avance fuera de rango 0-100%"&amp;" · ","")&amp;IF(OR(AND($J14&lt;&gt;"",$J14&lt;$I14),AND($K14&lt;&gt;"",$K14&lt;MAX($I14:$J14)),AND($L14&lt;&gt;"",$L14&lt;MAX($I14:$K14))),"Avance semanal decreciente"&amp;" · ","")&amp;IF(AND(ISNUMBER($AN14),$AN14&lt;FechaRef,IF($V14="Sub",N($X14),N($M14))&lt;1),"Vencida"&amp;" · ","")&amp;IF(AND(ObsObligatoria="Sí",ISNUMBER($AN14),$AN14&lt;FechaRef,IF($V14="Sub",N($X14),N($M14))&lt;1,$Q14=""),"Vencida sin observación"&amp;" · ",""))="","✔ OK","⚠ "&amp;LEFT(IF($C14="","Falta el nombre de la actividad"&amp;" · ","")&amp;IF(AND($V14="Sub",N($U14)=0),"Subactividad sin macroactividad arriba"&amp;" · ","")&amp;IF($AM14="","Sin fecha de inicio"&amp;" · ","")&amp;IF($AN14="","Sin fecha límite"&amp;" · ","")&amp;IF(AND(LEFT($C14,11)="[Jefatura] ",N($AL14)=0),"No se encuentra en la hoja de la jefatura (elíjala de nuevo en la lista)"&amp;" · ","")&amp;IF(OR(AND($E14&lt;&gt;"",NOT(ISNUMBER($E14))),AND($F14&lt;&gt;"",NOT(ISNUMBER($F14))),AND($G14&lt;&gt;"",NOT(ISNUMBER($G14)))),"Fecha no válida"&amp;" · ","")&amp;IF(AND(ISNUMBER($AM14),ISNUMBER($AN14),$AM14&gt;$AN14),"Inicio posterior a fecha límite"&amp;" · ","")&amp;IF(AND($V14="Macro",$H14&lt;&gt;"",OR(NOT(ISNUMBER($H14)),$H14&lt;0,$H14&gt;1)),"Peso fuera de rango"&amp;" · ","")&amp;IF(AND($V14="Sub",$H14&lt;&gt;""),"Las subactividades no llevan peso (valen igual dentro de su macroactividad)"&amp;" · ","")&amp;IF(AND(N($W14)&gt;0,COUNT($I14:$L14)&gt;0),"Con subactividades: deje vacías las semanas (se calculan solas)"&amp;" · ","")&amp;IF((COUNTIF($I14:$L14,"&gt;1")+COUNTIF($I14:$L14,"&lt;0")+COUNTA($I14:$L14)-COUNT($I14:$L14))&gt;0,"Avance fuera de rango 0-100%"&amp;" · ","")&amp;IF(OR(AND($J14&lt;&gt;"",$J14&lt;$I14),AND($K14&lt;&gt;"",$K14&lt;MAX($I14:$J14)),AND($L14&lt;&gt;"",$L14&lt;MAX($I14:$K14))),"Avance semanal decreciente"&amp;" · ","")&amp;IF(AND(ISNUMBER($AN14),$AN14&lt;FechaRef,IF($V14="Sub",N($X14),N($M14))&lt;1),"Vencida"&amp;" · ","")&amp;IF(AND(ObsObligatoria="Sí",ISNUMBER($AN14),$AN14&lt;FechaRef,IF($V14="Sub",N($X14),N($M14))&lt;1,$Q14=""),"Vencida sin observación"&amp;" · ",""),LEN(IF($C14="","Falta el nombre de la actividad"&amp;" · ","")&amp;IF(AND($V14="Sub",N($U14)=0),"Subactividad sin macroactividad arriba"&amp;" · ","")&amp;IF($AM14="","Sin fecha de inicio"&amp;" · ","")&amp;IF($AN14="","Sin fecha límite"&amp;" · ","")&amp;IF(AND(LEFT($C14,11)="[Jefatura] ",N($AL14)=0),"No se encuentra en la hoja de la jefatura (elíjala de nuevo en la lista)"&amp;" · ","")&amp;IF(OR(AND($E14&lt;&gt;"",NOT(ISNUMBER($E14))),AND($F14&lt;&gt;"",NOT(ISNUMBER($F14))),AND($G14&lt;&gt;"",NOT(ISNUMBER($G14)))),"Fecha no válida"&amp;" · ","")&amp;IF(AND(ISNUMBER($AM14),ISNUMBER($AN14),$AM14&gt;$AN14),"Inicio posterior a fecha límite"&amp;" · ","")&amp;IF(AND($V14="Macro",$H14&lt;&gt;"",OR(NOT(ISNUMBER($H14)),$H14&lt;0,$H14&gt;1)),"Peso fuera de rango"&amp;" · ","")&amp;IF(AND($V14="Sub",$H14&lt;&gt;""),"Las subactividades no llevan peso (valen igual dentro de su macroactividad)"&amp;" · ","")&amp;IF(AND(N($W14)&gt;0,COUNT($I14:$L14)&gt;0),"Con subactividades: deje vacías las semanas (se calculan solas)"&amp;" · ","")&amp;IF((COUNTIF($I14:$L14,"&gt;1")+COUNTIF($I14:$L14,"&lt;0")+COUNTA($I14:$L14)-COUNT($I14:$L14))&gt;0,"Avance fuera de rango 0-100%"&amp;" · ","")&amp;IF(OR(AND($J14&lt;&gt;"",$J14&lt;$I14),AND($K14&lt;&gt;"",$K14&lt;MAX($I14:$J14)),AND($L14&lt;&gt;"",$L14&lt;MAX($I14:$K14))),"Avance semanal decreciente"&amp;" · ","")&amp;IF(AND(ISNUMBER($AN14),$AN14&lt;FechaRef,IF($V14="Sub",N($X14),N($M14))&lt;1),"Vencida"&amp;" · ","")&amp;IF(AND(ObsObligatoria="Sí",ISNUMBER($AN14),$AN14&lt;FechaRef,IF($V14="Sub",N($X14),N($M14))&lt;1,$Q14=""),"Vencida sin observación"&amp;" · ",""))-3)))</f>
        <v/>
      </c>
      <c r="S14" s="64">
        <f>IF(NOT((COUNTA($B14:$D14)+COUNTA($G14:$L14)+COUNTA($Q14))&gt;0),"",IF(AND($V14="Sub",N($U14)&gt;0),IF(ISNUMBER(INDEX($AM$5:$AM$1000,$U14-4)),DATE(YEAR(INDEX($AM$5:$AM$1000,$U14-4)),MONTH(INDEX($AM$5:$AM$1000,$U14-4)),1),IF(ISNUMBER(INDEX($AN$5:$AN$1000,$U14-4)),DATE(YEAR(INDEX($AN$5:$AN$1000,$U14-4)),MONTH(INDEX($AN$5:$AN$1000,$U14-4)),1),MesCiclo)),IF(ISNUMBER($AM14),DATE(YEAR($AM14),MONTH($AM14),1),IF(ISNUMBER($AN14),DATE(YEAR($AN14),MONTH($AN14),1),MesCiclo))))</f>
        <v/>
      </c>
      <c r="T14" s="62">
        <f>IF(OR($S14="",$S14&lt;&gt;MesCiclo,$V14&lt;&gt;"Macro"),"",COUNTIFS($S$5:$S14,MesCiclo,$V$5:$V14,"Macro"))</f>
        <v/>
      </c>
      <c r="U14" s="62">
        <f>IF($V14="","",IF($V14="Macro",ROW(),IFERROR(LOOKUP(2,1/($V$5:$V14="Macro"),ROW($V$5:$V14)),0)))</f>
        <v/>
      </c>
      <c r="V14" s="62">
        <f>IF(NOT((COUNTA($B14:$D14)+COUNTA($G14:$L14)+COUNTA($Q14))&gt;0),"",IF($B14="Subactividad","Sub","Macro"))</f>
        <v/>
      </c>
      <c r="W14" s="62">
        <f>IF($V14="Macro",COUNTIFS($U$5:$U$1000,ROW(),$V$5:$V$1000,"Sub"),"")</f>
        <v/>
      </c>
      <c r="X14" s="62">
        <f>IF($V14="","",IF(ISNUMBER($G14),1,IFERROR(LOOKUP(2,1/($I14:$L14&lt;&gt;""),$I14:$L14),0)))</f>
        <v/>
      </c>
      <c r="Y14" s="62">
        <f>IF($V14="","",IF(AND(ISNUMBER($G14),$G14&lt;=IF($S14=MesCiclo,InicioCiclo,$S14+MOD(2-WEEKDAY($S14),7))+6),1,IF(ISNUMBER($I14),$I14,0)))</f>
        <v/>
      </c>
      <c r="Z14" s="62">
        <f>IF($V14="","",IF(AND(ISNUMBER($G14),$G14&lt;=IF($S14=MesCiclo,InicioCiclo,$S14+MOD(2-WEEKDAY($S14),7))+13),1,IF(ISNUMBER($J14),$J14,$Y14)))</f>
        <v/>
      </c>
      <c r="AA14" s="62">
        <f>IF($V14="","",IF(AND(ISNUMBER($G14),$G14&lt;=IF($S14=MesCiclo,InicioCiclo,$S14+MOD(2-WEEKDAY($S14),7))+20),1,IF(ISNUMBER($K14),$K14,$Z14)))</f>
        <v/>
      </c>
      <c r="AB14" s="62">
        <f>IF($V14="","",IF(AND(ISNUMBER($G14),$G14&lt;=IF($S14=MesCiclo,InicioCiclo,$S14+MOD(2-WEEKDAY($S14),7))+27),1,IF(ISNUMBER($L14),$L14,$AA14)))</f>
        <v/>
      </c>
      <c r="AC14" s="62">
        <f>IF($V14="","",IF(AND(ISNUMBER($G14),$G14&lt;=IF($S14=MesCiclo,InicioCiclo,$S14+MOD(2-WEEKDAY($S14),7))+6),1,IF(N($W14)&gt;0,AVERAGEIFS($Y$5:$Y$1000,$U$5:$U$1000,ROW(),$V$5:$V$1000,"Sub"),$Y14)))</f>
        <v/>
      </c>
      <c r="AD14" s="62">
        <f>IF($V14="","",IF(AND(ISNUMBER($G14),$G14&lt;=IF($S14=MesCiclo,InicioCiclo,$S14+MOD(2-WEEKDAY($S14),7))+13),1,IF(N($W14)&gt;0,AVERAGEIFS($Z$5:$Z$1000,$U$5:$U$1000,ROW(),$V$5:$V$1000,"Sub"),$Z14)))</f>
        <v/>
      </c>
      <c r="AE14" s="62">
        <f>IF($V14="","",IF(AND(ISNUMBER($G14),$G14&lt;=IF($S14=MesCiclo,InicioCiclo,$S14+MOD(2-WEEKDAY($S14),7))+20),1,IF(N($W14)&gt;0,AVERAGEIFS($AA$5:$AA$1000,$U$5:$U$1000,ROW(),$V$5:$V$1000,"Sub"),$AA14)))</f>
        <v/>
      </c>
      <c r="AF14" s="62">
        <f>IF($V14="","",IF(AND(ISNUMBER($G14),$G14&lt;=IF($S14=MesCiclo,InicioCiclo,$S14+MOD(2-WEEKDAY($S14),7))+27),1,IF(N($W14)&gt;0,AVERAGEIFS($AB$5:$AB$1000,$U$5:$U$1000,ROW(),$V$5:$V$1000,"Sub"),$AB14)))</f>
        <v/>
      </c>
      <c r="AG14" s="62">
        <f>IF($V14&lt;&gt;"Macro","",IF(COUNTIFS($S$5:$S$1000,$S14,$V$5:$V$1000,"Macro",$H$5:$H$1000,"&gt;0")=0,1/COUNTIFS($S$5:$S$1000,$S14,$V$5:$V$1000,"Macro"),IF(AND(ISNUMBER($H14),N($H14)&gt;0),$H14,SUMIFS($H$5:$H$1000,$S$5:$S$1000,$S14,$V$5:$V$1000,"Macro")/COUNTIFS($S$5:$S$1000,$S14,$V$5:$V$1000,"Macro",$H$5:$H$1000,"&gt;0"))/(COUNTIFS($S$5:$S$1000,$S14,$V$5:$V$1000,"Macro")*SUMIFS($H$5:$H$1000,$S$5:$S$1000,$S14,$V$5:$V$1000,"Macro")/COUNTIFS($S$5:$S$1000,$S14,$V$5:$V$1000,"Macro",$H$5:$H$1000,"&gt;0"))))</f>
        <v/>
      </c>
      <c r="AH14" s="62" t="n"/>
      <c r="AI14" s="62" t="n"/>
      <c r="AJ14" s="62" t="n"/>
      <c r="AK14" s="62" t="n"/>
      <c r="AL14" s="62">
        <f>IF(LEFT($C14,11)="[Jefatura] ",IFERROR(MATCH("Asistente Técnico de Riesgo|"&amp;MID($C14,12,500),rDname_ADM,0),0),"")</f>
        <v/>
      </c>
      <c r="AM14" s="62">
        <f>IF(N($AL14)&gt;0,INDEX(rIni_ADM,$AL14),IF(ISNUMBER($E14),$E14,""))</f>
        <v/>
      </c>
      <c r="AN14" s="62">
        <f>IF(N($AL14)&gt;0,INDEX(rLim_ADM,$AL14),IF(ISNUMBER($F14),$F14,""))</f>
        <v/>
      </c>
    </row>
    <row r="15">
      <c r="A15" s="56">
        <f>IF(NOT((COUNTA($B15:$D15)+COUNTA($G15:$L15)+COUNTA($Q15))&gt;0),"",IF($V15="Macro",COUNTIFS($V$5:$V15,"Macro",$S$5:$S15,$S15),IF(N($U15)=0,"?",COUNTIFS(INDEX($V$5:$V$1000,1):INDEX($V$5:$V$1000,$U15-4),"Macro",INDEX($S$5:$S$1000,1):INDEX($S$5:$S$1000,$U15-4),INDEX($S$5:$S$1000,$U15-4))&amp;"."&amp;COUNTIFS($U$5:$U15,$U15,$V$5:$V15,"Sub"))))</f>
        <v/>
      </c>
      <c r="B15" s="57" t="n"/>
      <c r="C15" s="58" t="n"/>
      <c r="D15" s="58" t="n"/>
      <c r="E15" s="59">
        <f>IF(N($AL15)&gt;0,INDEX(rIni_ADM,$AL15),"")</f>
        <v/>
      </c>
      <c r="F15" s="59">
        <f>IF(N($AL15)&gt;0,INDEX(rLim_ADM,$AL15),"")</f>
        <v/>
      </c>
      <c r="G15" s="59" t="n"/>
      <c r="H15" s="60" t="n"/>
      <c r="I15" s="60" t="n"/>
      <c r="J15" s="60" t="n"/>
      <c r="K15" s="60" t="n"/>
      <c r="L15" s="60" t="n"/>
      <c r="M15" s="61">
        <f>IF(NOT((COUNTA($B15:$D15)+COUNTA($G15:$L15)+COUNTA($Q15))&gt;0),"",IF($V15="Sub",IFERROR($X15/INDEX($W$5:$W$1000,$U15-4),""),IF(ISNUMBER($G15),1,IF(N($W15)&gt;0,AVERAGEIFS($X$5:$X$1000,$U$5:$U$1000,ROW(),$V$5:$V$1000,"Sub"),$X15))))</f>
        <v/>
      </c>
      <c r="N15" s="56">
        <f>IF(OR($M15="",$V15="Sub"),"",IF($M15&gt;=1,"Completado",IF($M15&gt;0,"En curso","Pendiente")))</f>
        <v/>
      </c>
      <c r="O15" s="56">
        <f>IF(OR(NOT((COUNTA($B15:$D15)+COUNTA($G15:$L15)+COUNTA($Q15))&gt;0),$V15="Sub"),"",IF(ISNUMBER($G15),IF(AND(ISNUMBER($AN15),$G15&gt;$AN15),"Cumplida con "&amp;($G15-$AN15)&amp;IF($G15-$AN15=1," día"," días")&amp;" de retraso","Cumplida"),IF(N($M15)&gt;=1,"Cumplida",IF(NOT(ISNUMBER($AN15)),"Sin fecha límite",IF($AN15&lt;FechaRef,"Vencida hace "&amp;(FechaRef-$AN15)&amp;IF(FechaRef-$AN15=1," día"," días"),IF($AN15=FechaRef,"Vence hoy",IF($AN15-FechaRef&lt;=DiasAlerta,"Vence en "&amp;($AN15-FechaRef)&amp;IF($AN15-FechaRef=1," día"," días"),"En plazo")))))))</f>
        <v/>
      </c>
      <c r="P15" s="62" t="n"/>
      <c r="Q15" s="58" t="n"/>
      <c r="R15" s="63">
        <f>IF(NOT((COUNTA($B15:$D15)+COUNTA($G15:$L15)+COUNTA($Q15))&gt;0),"",IF((IF($C15="","Falta el nombre de la actividad"&amp;" · ","")&amp;IF(AND($V15="Sub",N($U15)=0),"Subactividad sin macroactividad arriba"&amp;" · ","")&amp;IF($AM15="","Sin fecha de inicio"&amp;" · ","")&amp;IF($AN15="","Sin fecha límite"&amp;" · ","")&amp;IF(AND(LEFT($C15,11)="[Jefatura] ",N($AL15)=0),"No se encuentra en la hoja de la jefatura (elíjala de nuevo en la lista)"&amp;" · ","")&amp;IF(OR(AND($E15&lt;&gt;"",NOT(ISNUMBER($E15))),AND($F15&lt;&gt;"",NOT(ISNUMBER($F15))),AND($G15&lt;&gt;"",NOT(ISNUMBER($G15)))),"Fecha no válida"&amp;" · ","")&amp;IF(AND(ISNUMBER($AM15),ISNUMBER($AN15),$AM15&gt;$AN15),"Inicio posterior a fecha límite"&amp;" · ","")&amp;IF(AND($V15="Macro",$H15&lt;&gt;"",OR(NOT(ISNUMBER($H15)),$H15&lt;0,$H15&gt;1)),"Peso fuera de rango"&amp;" · ","")&amp;IF(AND($V15="Sub",$H15&lt;&gt;""),"Las subactividades no llevan peso (valen igual dentro de su macroactividad)"&amp;" · ","")&amp;IF(AND(N($W15)&gt;0,COUNT($I15:$L15)&gt;0),"Con subactividades: deje vacías las semanas (se calculan solas)"&amp;" · ","")&amp;IF((COUNTIF($I15:$L15,"&gt;1")+COUNTIF($I15:$L15,"&lt;0")+COUNTA($I15:$L15)-COUNT($I15:$L15))&gt;0,"Avance fuera de rango 0-100%"&amp;" · ","")&amp;IF(OR(AND($J15&lt;&gt;"",$J15&lt;$I15),AND($K15&lt;&gt;"",$K15&lt;MAX($I15:$J15)),AND($L15&lt;&gt;"",$L15&lt;MAX($I15:$K15))),"Avance semanal decreciente"&amp;" · ","")&amp;IF(AND(ISNUMBER($AN15),$AN15&lt;FechaRef,IF($V15="Sub",N($X15),N($M15))&lt;1),"Vencida"&amp;" · ","")&amp;IF(AND(ObsObligatoria="Sí",ISNUMBER($AN15),$AN15&lt;FechaRef,IF($V15="Sub",N($X15),N($M15))&lt;1,$Q15=""),"Vencida sin observación"&amp;" · ",""))="","✔ OK","⚠ "&amp;LEFT(IF($C15="","Falta el nombre de la actividad"&amp;" · ","")&amp;IF(AND($V15="Sub",N($U15)=0),"Subactividad sin macroactividad arriba"&amp;" · ","")&amp;IF($AM15="","Sin fecha de inicio"&amp;" · ","")&amp;IF($AN15="","Sin fecha límite"&amp;" · ","")&amp;IF(AND(LEFT($C15,11)="[Jefatura] ",N($AL15)=0),"No se encuentra en la hoja de la jefatura (elíjala de nuevo en la lista)"&amp;" · ","")&amp;IF(OR(AND($E15&lt;&gt;"",NOT(ISNUMBER($E15))),AND($F15&lt;&gt;"",NOT(ISNUMBER($F15))),AND($G15&lt;&gt;"",NOT(ISNUMBER($G15)))),"Fecha no válida"&amp;" · ","")&amp;IF(AND(ISNUMBER($AM15),ISNUMBER($AN15),$AM15&gt;$AN15),"Inicio posterior a fecha límite"&amp;" · ","")&amp;IF(AND($V15="Macro",$H15&lt;&gt;"",OR(NOT(ISNUMBER($H15)),$H15&lt;0,$H15&gt;1)),"Peso fuera de rango"&amp;" · ","")&amp;IF(AND($V15="Sub",$H15&lt;&gt;""),"Las subactividades no llevan peso (valen igual dentro de su macroactividad)"&amp;" · ","")&amp;IF(AND(N($W15)&gt;0,COUNT($I15:$L15)&gt;0),"Con subactividades: deje vacías las semanas (se calculan solas)"&amp;" · ","")&amp;IF((COUNTIF($I15:$L15,"&gt;1")+COUNTIF($I15:$L15,"&lt;0")+COUNTA($I15:$L15)-COUNT($I15:$L15))&gt;0,"Avance fuera de rango 0-100%"&amp;" · ","")&amp;IF(OR(AND($J15&lt;&gt;"",$J15&lt;$I15),AND($K15&lt;&gt;"",$K15&lt;MAX($I15:$J15)),AND($L15&lt;&gt;"",$L15&lt;MAX($I15:$K15))),"Avance semanal decreciente"&amp;" · ","")&amp;IF(AND(ISNUMBER($AN15),$AN15&lt;FechaRef,IF($V15="Sub",N($X15),N($M15))&lt;1),"Vencida"&amp;" · ","")&amp;IF(AND(ObsObligatoria="Sí",ISNUMBER($AN15),$AN15&lt;FechaRef,IF($V15="Sub",N($X15),N($M15))&lt;1,$Q15=""),"Vencida sin observación"&amp;" · ",""),LEN(IF($C15="","Falta el nombre de la actividad"&amp;" · ","")&amp;IF(AND($V15="Sub",N($U15)=0),"Subactividad sin macroactividad arriba"&amp;" · ","")&amp;IF($AM15="","Sin fecha de inicio"&amp;" · ","")&amp;IF($AN15="","Sin fecha límite"&amp;" · ","")&amp;IF(AND(LEFT($C15,11)="[Jefatura] ",N($AL15)=0),"No se encuentra en la hoja de la jefatura (elíjala de nuevo en la lista)"&amp;" · ","")&amp;IF(OR(AND($E15&lt;&gt;"",NOT(ISNUMBER($E15))),AND($F15&lt;&gt;"",NOT(ISNUMBER($F15))),AND($G15&lt;&gt;"",NOT(ISNUMBER($G15)))),"Fecha no válida"&amp;" · ","")&amp;IF(AND(ISNUMBER($AM15),ISNUMBER($AN15),$AM15&gt;$AN15),"Inicio posterior a fecha límite"&amp;" · ","")&amp;IF(AND($V15="Macro",$H15&lt;&gt;"",OR(NOT(ISNUMBER($H15)),$H15&lt;0,$H15&gt;1)),"Peso fuera de rango"&amp;" · ","")&amp;IF(AND($V15="Sub",$H15&lt;&gt;""),"Las subactividades no llevan peso (valen igual dentro de su macroactividad)"&amp;" · ","")&amp;IF(AND(N($W15)&gt;0,COUNT($I15:$L15)&gt;0),"Con subactividades: deje vacías las semanas (se calculan solas)"&amp;" · ","")&amp;IF((COUNTIF($I15:$L15,"&gt;1")+COUNTIF($I15:$L15,"&lt;0")+COUNTA($I15:$L15)-COUNT($I15:$L15))&gt;0,"Avance fuera de rango 0-100%"&amp;" · ","")&amp;IF(OR(AND($J15&lt;&gt;"",$J15&lt;$I15),AND($K15&lt;&gt;"",$K15&lt;MAX($I15:$J15)),AND($L15&lt;&gt;"",$L15&lt;MAX($I15:$K15))),"Avance semanal decreciente"&amp;" · ","")&amp;IF(AND(ISNUMBER($AN15),$AN15&lt;FechaRef,IF($V15="Sub",N($X15),N($M15))&lt;1),"Vencida"&amp;" · ","")&amp;IF(AND(ObsObligatoria="Sí",ISNUMBER($AN15),$AN15&lt;FechaRef,IF($V15="Sub",N($X15),N($M15))&lt;1,$Q15=""),"Vencida sin observación"&amp;" · ",""))-3)))</f>
        <v/>
      </c>
      <c r="S15" s="64">
        <f>IF(NOT((COUNTA($B15:$D15)+COUNTA($G15:$L15)+COUNTA($Q15))&gt;0),"",IF(AND($V15="Sub",N($U15)&gt;0),IF(ISNUMBER(INDEX($AM$5:$AM$1000,$U15-4)),DATE(YEAR(INDEX($AM$5:$AM$1000,$U15-4)),MONTH(INDEX($AM$5:$AM$1000,$U15-4)),1),IF(ISNUMBER(INDEX($AN$5:$AN$1000,$U15-4)),DATE(YEAR(INDEX($AN$5:$AN$1000,$U15-4)),MONTH(INDEX($AN$5:$AN$1000,$U15-4)),1),MesCiclo)),IF(ISNUMBER($AM15),DATE(YEAR($AM15),MONTH($AM15),1),IF(ISNUMBER($AN15),DATE(YEAR($AN15),MONTH($AN15),1),MesCiclo))))</f>
        <v/>
      </c>
      <c r="T15" s="62">
        <f>IF(OR($S15="",$S15&lt;&gt;MesCiclo,$V15&lt;&gt;"Macro"),"",COUNTIFS($S$5:$S15,MesCiclo,$V$5:$V15,"Macro"))</f>
        <v/>
      </c>
      <c r="U15" s="62">
        <f>IF($V15="","",IF($V15="Macro",ROW(),IFERROR(LOOKUP(2,1/($V$5:$V15="Macro"),ROW($V$5:$V15)),0)))</f>
        <v/>
      </c>
      <c r="V15" s="62">
        <f>IF(NOT((COUNTA($B15:$D15)+COUNTA($G15:$L15)+COUNTA($Q15))&gt;0),"",IF($B15="Subactividad","Sub","Macro"))</f>
        <v/>
      </c>
      <c r="W15" s="62">
        <f>IF($V15="Macro",COUNTIFS($U$5:$U$1000,ROW(),$V$5:$V$1000,"Sub"),"")</f>
        <v/>
      </c>
      <c r="X15" s="62">
        <f>IF($V15="","",IF(ISNUMBER($G15),1,IFERROR(LOOKUP(2,1/($I15:$L15&lt;&gt;""),$I15:$L15),0)))</f>
        <v/>
      </c>
      <c r="Y15" s="62">
        <f>IF($V15="","",IF(AND(ISNUMBER($G15),$G15&lt;=IF($S15=MesCiclo,InicioCiclo,$S15+MOD(2-WEEKDAY($S15),7))+6),1,IF(ISNUMBER($I15),$I15,0)))</f>
        <v/>
      </c>
      <c r="Z15" s="62">
        <f>IF($V15="","",IF(AND(ISNUMBER($G15),$G15&lt;=IF($S15=MesCiclo,InicioCiclo,$S15+MOD(2-WEEKDAY($S15),7))+13),1,IF(ISNUMBER($J15),$J15,$Y15)))</f>
        <v/>
      </c>
      <c r="AA15" s="62">
        <f>IF($V15="","",IF(AND(ISNUMBER($G15),$G15&lt;=IF($S15=MesCiclo,InicioCiclo,$S15+MOD(2-WEEKDAY($S15),7))+20),1,IF(ISNUMBER($K15),$K15,$Z15)))</f>
        <v/>
      </c>
      <c r="AB15" s="62">
        <f>IF($V15="","",IF(AND(ISNUMBER($G15),$G15&lt;=IF($S15=MesCiclo,InicioCiclo,$S15+MOD(2-WEEKDAY($S15),7))+27),1,IF(ISNUMBER($L15),$L15,$AA15)))</f>
        <v/>
      </c>
      <c r="AC15" s="62">
        <f>IF($V15="","",IF(AND(ISNUMBER($G15),$G15&lt;=IF($S15=MesCiclo,InicioCiclo,$S15+MOD(2-WEEKDAY($S15),7))+6),1,IF(N($W15)&gt;0,AVERAGEIFS($Y$5:$Y$1000,$U$5:$U$1000,ROW(),$V$5:$V$1000,"Sub"),$Y15)))</f>
        <v/>
      </c>
      <c r="AD15" s="62">
        <f>IF($V15="","",IF(AND(ISNUMBER($G15),$G15&lt;=IF($S15=MesCiclo,InicioCiclo,$S15+MOD(2-WEEKDAY($S15),7))+13),1,IF(N($W15)&gt;0,AVERAGEIFS($Z$5:$Z$1000,$U$5:$U$1000,ROW(),$V$5:$V$1000,"Sub"),$Z15)))</f>
        <v/>
      </c>
      <c r="AE15" s="62">
        <f>IF($V15="","",IF(AND(ISNUMBER($G15),$G15&lt;=IF($S15=MesCiclo,InicioCiclo,$S15+MOD(2-WEEKDAY($S15),7))+20),1,IF(N($W15)&gt;0,AVERAGEIFS($AA$5:$AA$1000,$U$5:$U$1000,ROW(),$V$5:$V$1000,"Sub"),$AA15)))</f>
        <v/>
      </c>
      <c r="AF15" s="62">
        <f>IF($V15="","",IF(AND(ISNUMBER($G15),$G15&lt;=IF($S15=MesCiclo,InicioCiclo,$S15+MOD(2-WEEKDAY($S15),7))+27),1,IF(N($W15)&gt;0,AVERAGEIFS($AB$5:$AB$1000,$U$5:$U$1000,ROW(),$V$5:$V$1000,"Sub"),$AB15)))</f>
        <v/>
      </c>
      <c r="AG15" s="62">
        <f>IF($V15&lt;&gt;"Macro","",IF(COUNTIFS($S$5:$S$1000,$S15,$V$5:$V$1000,"Macro",$H$5:$H$1000,"&gt;0")=0,1/COUNTIFS($S$5:$S$1000,$S15,$V$5:$V$1000,"Macro"),IF(AND(ISNUMBER($H15),N($H15)&gt;0),$H15,SUMIFS($H$5:$H$1000,$S$5:$S$1000,$S15,$V$5:$V$1000,"Macro")/COUNTIFS($S$5:$S$1000,$S15,$V$5:$V$1000,"Macro",$H$5:$H$1000,"&gt;0"))/(COUNTIFS($S$5:$S$1000,$S15,$V$5:$V$1000,"Macro")*SUMIFS($H$5:$H$1000,$S$5:$S$1000,$S15,$V$5:$V$1000,"Macro")/COUNTIFS($S$5:$S$1000,$S15,$V$5:$V$1000,"Macro",$H$5:$H$1000,"&gt;0"))))</f>
        <v/>
      </c>
      <c r="AH15" s="62" t="n"/>
      <c r="AI15" s="62" t="n"/>
      <c r="AJ15" s="62" t="n"/>
      <c r="AK15" s="62" t="n"/>
      <c r="AL15" s="62">
        <f>IF(LEFT($C15,11)="[Jefatura] ",IFERROR(MATCH("Asistente Técnico de Riesgo|"&amp;MID($C15,12,500),rDname_ADM,0),0),"")</f>
        <v/>
      </c>
      <c r="AM15" s="62">
        <f>IF(N($AL15)&gt;0,INDEX(rIni_ADM,$AL15),IF(ISNUMBER($E15),$E15,""))</f>
        <v/>
      </c>
      <c r="AN15" s="62">
        <f>IF(N($AL15)&gt;0,INDEX(rLim_ADM,$AL15),IF(ISNUMBER($F15),$F15,""))</f>
        <v/>
      </c>
    </row>
    <row r="16">
      <c r="A16" s="56">
        <f>IF(NOT((COUNTA($B16:$D16)+COUNTA($G16:$L16)+COUNTA($Q16))&gt;0),"",IF($V16="Macro",COUNTIFS($V$5:$V16,"Macro",$S$5:$S16,$S16),IF(N($U16)=0,"?",COUNTIFS(INDEX($V$5:$V$1000,1):INDEX($V$5:$V$1000,$U16-4),"Macro",INDEX($S$5:$S$1000,1):INDEX($S$5:$S$1000,$U16-4),INDEX($S$5:$S$1000,$U16-4))&amp;"."&amp;COUNTIFS($U$5:$U16,$U16,$V$5:$V16,"Sub"))))</f>
        <v/>
      </c>
      <c r="B16" s="57" t="n"/>
      <c r="C16" s="58" t="n"/>
      <c r="D16" s="58" t="n"/>
      <c r="E16" s="59">
        <f>IF(N($AL16)&gt;0,INDEX(rIni_ADM,$AL16),"")</f>
        <v/>
      </c>
      <c r="F16" s="59">
        <f>IF(N($AL16)&gt;0,INDEX(rLim_ADM,$AL16),"")</f>
        <v/>
      </c>
      <c r="G16" s="59" t="n"/>
      <c r="H16" s="60" t="n"/>
      <c r="I16" s="60" t="n"/>
      <c r="J16" s="60" t="n"/>
      <c r="K16" s="60" t="n"/>
      <c r="L16" s="60" t="n"/>
      <c r="M16" s="61">
        <f>IF(NOT((COUNTA($B16:$D16)+COUNTA($G16:$L16)+COUNTA($Q16))&gt;0),"",IF($V16="Sub",IFERROR($X16/INDEX($W$5:$W$1000,$U16-4),""),IF(ISNUMBER($G16),1,IF(N($W16)&gt;0,AVERAGEIFS($X$5:$X$1000,$U$5:$U$1000,ROW(),$V$5:$V$1000,"Sub"),$X16))))</f>
        <v/>
      </c>
      <c r="N16" s="56">
        <f>IF(OR($M16="",$V16="Sub"),"",IF($M16&gt;=1,"Completado",IF($M16&gt;0,"En curso","Pendiente")))</f>
        <v/>
      </c>
      <c r="O16" s="56">
        <f>IF(OR(NOT((COUNTA($B16:$D16)+COUNTA($G16:$L16)+COUNTA($Q16))&gt;0),$V16="Sub"),"",IF(ISNUMBER($G16),IF(AND(ISNUMBER($AN16),$G16&gt;$AN16),"Cumplida con "&amp;($G16-$AN16)&amp;IF($G16-$AN16=1," día"," días")&amp;" de retraso","Cumplida"),IF(N($M16)&gt;=1,"Cumplida",IF(NOT(ISNUMBER($AN16)),"Sin fecha límite",IF($AN16&lt;FechaRef,"Vencida hace "&amp;(FechaRef-$AN16)&amp;IF(FechaRef-$AN16=1," día"," días"),IF($AN16=FechaRef,"Vence hoy",IF($AN16-FechaRef&lt;=DiasAlerta,"Vence en "&amp;($AN16-FechaRef)&amp;IF($AN16-FechaRef=1," día"," días"),"En plazo")))))))</f>
        <v/>
      </c>
      <c r="P16" s="62" t="n"/>
      <c r="Q16" s="58" t="n"/>
      <c r="R16" s="63">
        <f>IF(NOT((COUNTA($B16:$D16)+COUNTA($G16:$L16)+COUNTA($Q16))&gt;0),"",IF((IF($C16="","Falta el nombre de la actividad"&amp;" · ","")&amp;IF(AND($V16="Sub",N($U16)=0),"Subactividad sin macroactividad arriba"&amp;" · ","")&amp;IF($AM16="","Sin fecha de inicio"&amp;" · ","")&amp;IF($AN16="","Sin fecha límite"&amp;" · ","")&amp;IF(AND(LEFT($C16,11)="[Jefatura] ",N($AL16)=0),"No se encuentra en la hoja de la jefatura (elíjala de nuevo en la lista)"&amp;" · ","")&amp;IF(OR(AND($E16&lt;&gt;"",NOT(ISNUMBER($E16))),AND($F16&lt;&gt;"",NOT(ISNUMBER($F16))),AND($G16&lt;&gt;"",NOT(ISNUMBER($G16)))),"Fecha no válida"&amp;" · ","")&amp;IF(AND(ISNUMBER($AM16),ISNUMBER($AN16),$AM16&gt;$AN16),"Inicio posterior a fecha límite"&amp;" · ","")&amp;IF(AND($V16="Macro",$H16&lt;&gt;"",OR(NOT(ISNUMBER($H16)),$H16&lt;0,$H16&gt;1)),"Peso fuera de rango"&amp;" · ","")&amp;IF(AND($V16="Sub",$H16&lt;&gt;""),"Las subactividades no llevan peso (valen igual dentro de su macroactividad)"&amp;" · ","")&amp;IF(AND(N($W16)&gt;0,COUNT($I16:$L16)&gt;0),"Con subactividades: deje vacías las semanas (se calculan solas)"&amp;" · ","")&amp;IF((COUNTIF($I16:$L16,"&gt;1")+COUNTIF($I16:$L16,"&lt;0")+COUNTA($I16:$L16)-COUNT($I16:$L16))&gt;0,"Avance fuera de rango 0-100%"&amp;" · ","")&amp;IF(OR(AND($J16&lt;&gt;"",$J16&lt;$I16),AND($K16&lt;&gt;"",$K16&lt;MAX($I16:$J16)),AND($L16&lt;&gt;"",$L16&lt;MAX($I16:$K16))),"Avance semanal decreciente"&amp;" · ","")&amp;IF(AND(ISNUMBER($AN16),$AN16&lt;FechaRef,IF($V16="Sub",N($X16),N($M16))&lt;1),"Vencida"&amp;" · ","")&amp;IF(AND(ObsObligatoria="Sí",ISNUMBER($AN16),$AN16&lt;FechaRef,IF($V16="Sub",N($X16),N($M16))&lt;1,$Q16=""),"Vencida sin observación"&amp;" · ",""))="","✔ OK","⚠ "&amp;LEFT(IF($C16="","Falta el nombre de la actividad"&amp;" · ","")&amp;IF(AND($V16="Sub",N($U16)=0),"Subactividad sin macroactividad arriba"&amp;" · ","")&amp;IF($AM16="","Sin fecha de inicio"&amp;" · ","")&amp;IF($AN16="","Sin fecha límite"&amp;" · ","")&amp;IF(AND(LEFT($C16,11)="[Jefatura] ",N($AL16)=0),"No se encuentra en la hoja de la jefatura (elíjala de nuevo en la lista)"&amp;" · ","")&amp;IF(OR(AND($E16&lt;&gt;"",NOT(ISNUMBER($E16))),AND($F16&lt;&gt;"",NOT(ISNUMBER($F16))),AND($G16&lt;&gt;"",NOT(ISNUMBER($G16)))),"Fecha no válida"&amp;" · ","")&amp;IF(AND(ISNUMBER($AM16),ISNUMBER($AN16),$AM16&gt;$AN16),"Inicio posterior a fecha límite"&amp;" · ","")&amp;IF(AND($V16="Macro",$H16&lt;&gt;"",OR(NOT(ISNUMBER($H16)),$H16&lt;0,$H16&gt;1)),"Peso fuera de rango"&amp;" · ","")&amp;IF(AND($V16="Sub",$H16&lt;&gt;""),"Las subactividades no llevan peso (valen igual dentro de su macroactividad)"&amp;" · ","")&amp;IF(AND(N($W16)&gt;0,COUNT($I16:$L16)&gt;0),"Con subactividades: deje vacías las semanas (se calculan solas)"&amp;" · ","")&amp;IF((COUNTIF($I16:$L16,"&gt;1")+COUNTIF($I16:$L16,"&lt;0")+COUNTA($I16:$L16)-COUNT($I16:$L16))&gt;0,"Avance fuera de rango 0-100%"&amp;" · ","")&amp;IF(OR(AND($J16&lt;&gt;"",$J16&lt;$I16),AND($K16&lt;&gt;"",$K16&lt;MAX($I16:$J16)),AND($L16&lt;&gt;"",$L16&lt;MAX($I16:$K16))),"Avance semanal decreciente"&amp;" · ","")&amp;IF(AND(ISNUMBER($AN16),$AN16&lt;FechaRef,IF($V16="Sub",N($X16),N($M16))&lt;1),"Vencida"&amp;" · ","")&amp;IF(AND(ObsObligatoria="Sí",ISNUMBER($AN16),$AN16&lt;FechaRef,IF($V16="Sub",N($X16),N($M16))&lt;1,$Q16=""),"Vencida sin observación"&amp;" · ",""),LEN(IF($C16="","Falta el nombre de la actividad"&amp;" · ","")&amp;IF(AND($V16="Sub",N($U16)=0),"Subactividad sin macroactividad arriba"&amp;" · ","")&amp;IF($AM16="","Sin fecha de inicio"&amp;" · ","")&amp;IF($AN16="","Sin fecha límite"&amp;" · ","")&amp;IF(AND(LEFT($C16,11)="[Jefatura] ",N($AL16)=0),"No se encuentra en la hoja de la jefatura (elíjala de nuevo en la lista)"&amp;" · ","")&amp;IF(OR(AND($E16&lt;&gt;"",NOT(ISNUMBER($E16))),AND($F16&lt;&gt;"",NOT(ISNUMBER($F16))),AND($G16&lt;&gt;"",NOT(ISNUMBER($G16)))),"Fecha no válida"&amp;" · ","")&amp;IF(AND(ISNUMBER($AM16),ISNUMBER($AN16),$AM16&gt;$AN16),"Inicio posterior a fecha límite"&amp;" · ","")&amp;IF(AND($V16="Macro",$H16&lt;&gt;"",OR(NOT(ISNUMBER($H16)),$H16&lt;0,$H16&gt;1)),"Peso fuera de rango"&amp;" · ","")&amp;IF(AND($V16="Sub",$H16&lt;&gt;""),"Las subactividades no llevan peso (valen igual dentro de su macroactividad)"&amp;" · ","")&amp;IF(AND(N($W16)&gt;0,COUNT($I16:$L16)&gt;0),"Con subactividades: deje vacías las semanas (se calculan solas)"&amp;" · ","")&amp;IF((COUNTIF($I16:$L16,"&gt;1")+COUNTIF($I16:$L16,"&lt;0")+COUNTA($I16:$L16)-COUNT($I16:$L16))&gt;0,"Avance fuera de rango 0-100%"&amp;" · ","")&amp;IF(OR(AND($J16&lt;&gt;"",$J16&lt;$I16),AND($K16&lt;&gt;"",$K16&lt;MAX($I16:$J16)),AND($L16&lt;&gt;"",$L16&lt;MAX($I16:$K16))),"Avance semanal decreciente"&amp;" · ","")&amp;IF(AND(ISNUMBER($AN16),$AN16&lt;FechaRef,IF($V16="Sub",N($X16),N($M16))&lt;1),"Vencida"&amp;" · ","")&amp;IF(AND(ObsObligatoria="Sí",ISNUMBER($AN16),$AN16&lt;FechaRef,IF($V16="Sub",N($X16),N($M16))&lt;1,$Q16=""),"Vencida sin observación"&amp;" · ",""))-3)))</f>
        <v/>
      </c>
      <c r="S16" s="64">
        <f>IF(NOT((COUNTA($B16:$D16)+COUNTA($G16:$L16)+COUNTA($Q16))&gt;0),"",IF(AND($V16="Sub",N($U16)&gt;0),IF(ISNUMBER(INDEX($AM$5:$AM$1000,$U16-4)),DATE(YEAR(INDEX($AM$5:$AM$1000,$U16-4)),MONTH(INDEX($AM$5:$AM$1000,$U16-4)),1),IF(ISNUMBER(INDEX($AN$5:$AN$1000,$U16-4)),DATE(YEAR(INDEX($AN$5:$AN$1000,$U16-4)),MONTH(INDEX($AN$5:$AN$1000,$U16-4)),1),MesCiclo)),IF(ISNUMBER($AM16),DATE(YEAR($AM16),MONTH($AM16),1),IF(ISNUMBER($AN16),DATE(YEAR($AN16),MONTH($AN16),1),MesCiclo))))</f>
        <v/>
      </c>
      <c r="T16" s="62">
        <f>IF(OR($S16="",$S16&lt;&gt;MesCiclo,$V16&lt;&gt;"Macro"),"",COUNTIFS($S$5:$S16,MesCiclo,$V$5:$V16,"Macro"))</f>
        <v/>
      </c>
      <c r="U16" s="62">
        <f>IF($V16="","",IF($V16="Macro",ROW(),IFERROR(LOOKUP(2,1/($V$5:$V16="Macro"),ROW($V$5:$V16)),0)))</f>
        <v/>
      </c>
      <c r="V16" s="62">
        <f>IF(NOT((COUNTA($B16:$D16)+COUNTA($G16:$L16)+COUNTA($Q16))&gt;0),"",IF($B16="Subactividad","Sub","Macro"))</f>
        <v/>
      </c>
      <c r="W16" s="62">
        <f>IF($V16="Macro",COUNTIFS($U$5:$U$1000,ROW(),$V$5:$V$1000,"Sub"),"")</f>
        <v/>
      </c>
      <c r="X16" s="62">
        <f>IF($V16="","",IF(ISNUMBER($G16),1,IFERROR(LOOKUP(2,1/($I16:$L16&lt;&gt;""),$I16:$L16),0)))</f>
        <v/>
      </c>
      <c r="Y16" s="62">
        <f>IF($V16="","",IF(AND(ISNUMBER($G16),$G16&lt;=IF($S16=MesCiclo,InicioCiclo,$S16+MOD(2-WEEKDAY($S16),7))+6),1,IF(ISNUMBER($I16),$I16,0)))</f>
        <v/>
      </c>
      <c r="Z16" s="62">
        <f>IF($V16="","",IF(AND(ISNUMBER($G16),$G16&lt;=IF($S16=MesCiclo,InicioCiclo,$S16+MOD(2-WEEKDAY($S16),7))+13),1,IF(ISNUMBER($J16),$J16,$Y16)))</f>
        <v/>
      </c>
      <c r="AA16" s="62">
        <f>IF($V16="","",IF(AND(ISNUMBER($G16),$G16&lt;=IF($S16=MesCiclo,InicioCiclo,$S16+MOD(2-WEEKDAY($S16),7))+20),1,IF(ISNUMBER($K16),$K16,$Z16)))</f>
        <v/>
      </c>
      <c r="AB16" s="62">
        <f>IF($V16="","",IF(AND(ISNUMBER($G16),$G16&lt;=IF($S16=MesCiclo,InicioCiclo,$S16+MOD(2-WEEKDAY($S16),7))+27),1,IF(ISNUMBER($L16),$L16,$AA16)))</f>
        <v/>
      </c>
      <c r="AC16" s="62">
        <f>IF($V16="","",IF(AND(ISNUMBER($G16),$G16&lt;=IF($S16=MesCiclo,InicioCiclo,$S16+MOD(2-WEEKDAY($S16),7))+6),1,IF(N($W16)&gt;0,AVERAGEIFS($Y$5:$Y$1000,$U$5:$U$1000,ROW(),$V$5:$V$1000,"Sub"),$Y16)))</f>
        <v/>
      </c>
      <c r="AD16" s="62">
        <f>IF($V16="","",IF(AND(ISNUMBER($G16),$G16&lt;=IF($S16=MesCiclo,InicioCiclo,$S16+MOD(2-WEEKDAY($S16),7))+13),1,IF(N($W16)&gt;0,AVERAGEIFS($Z$5:$Z$1000,$U$5:$U$1000,ROW(),$V$5:$V$1000,"Sub"),$Z16)))</f>
        <v/>
      </c>
      <c r="AE16" s="62">
        <f>IF($V16="","",IF(AND(ISNUMBER($G16),$G16&lt;=IF($S16=MesCiclo,InicioCiclo,$S16+MOD(2-WEEKDAY($S16),7))+20),1,IF(N($W16)&gt;0,AVERAGEIFS($AA$5:$AA$1000,$U$5:$U$1000,ROW(),$V$5:$V$1000,"Sub"),$AA16)))</f>
        <v/>
      </c>
      <c r="AF16" s="62">
        <f>IF($V16="","",IF(AND(ISNUMBER($G16),$G16&lt;=IF($S16=MesCiclo,InicioCiclo,$S16+MOD(2-WEEKDAY($S16),7))+27),1,IF(N($W16)&gt;0,AVERAGEIFS($AB$5:$AB$1000,$U$5:$U$1000,ROW(),$V$5:$V$1000,"Sub"),$AB16)))</f>
        <v/>
      </c>
      <c r="AG16" s="62">
        <f>IF($V16&lt;&gt;"Macro","",IF(COUNTIFS($S$5:$S$1000,$S16,$V$5:$V$1000,"Macro",$H$5:$H$1000,"&gt;0")=0,1/COUNTIFS($S$5:$S$1000,$S16,$V$5:$V$1000,"Macro"),IF(AND(ISNUMBER($H16),N($H16)&gt;0),$H16,SUMIFS($H$5:$H$1000,$S$5:$S$1000,$S16,$V$5:$V$1000,"Macro")/COUNTIFS($S$5:$S$1000,$S16,$V$5:$V$1000,"Macro",$H$5:$H$1000,"&gt;0"))/(COUNTIFS($S$5:$S$1000,$S16,$V$5:$V$1000,"Macro")*SUMIFS($H$5:$H$1000,$S$5:$S$1000,$S16,$V$5:$V$1000,"Macro")/COUNTIFS($S$5:$S$1000,$S16,$V$5:$V$1000,"Macro",$H$5:$H$1000,"&gt;0"))))</f>
        <v/>
      </c>
      <c r="AH16" s="62" t="n"/>
      <c r="AI16" s="62" t="n"/>
      <c r="AJ16" s="62" t="n"/>
      <c r="AK16" s="62" t="n"/>
      <c r="AL16" s="62">
        <f>IF(LEFT($C16,11)="[Jefatura] ",IFERROR(MATCH("Asistente Técnico de Riesgo|"&amp;MID($C16,12,500),rDname_ADM,0),0),"")</f>
        <v/>
      </c>
      <c r="AM16" s="62">
        <f>IF(N($AL16)&gt;0,INDEX(rIni_ADM,$AL16),IF(ISNUMBER($E16),$E16,""))</f>
        <v/>
      </c>
      <c r="AN16" s="62">
        <f>IF(N($AL16)&gt;0,INDEX(rLim_ADM,$AL16),IF(ISNUMBER($F16),$F16,""))</f>
        <v/>
      </c>
    </row>
    <row r="17">
      <c r="A17" s="56">
        <f>IF(NOT((COUNTA($B17:$D17)+COUNTA($G17:$L17)+COUNTA($Q17))&gt;0),"",IF($V17="Macro",COUNTIFS($V$5:$V17,"Macro",$S$5:$S17,$S17),IF(N($U17)=0,"?",COUNTIFS(INDEX($V$5:$V$1000,1):INDEX($V$5:$V$1000,$U17-4),"Macro",INDEX($S$5:$S$1000,1):INDEX($S$5:$S$1000,$U17-4),INDEX($S$5:$S$1000,$U17-4))&amp;"."&amp;COUNTIFS($U$5:$U17,$U17,$V$5:$V17,"Sub"))))</f>
        <v/>
      </c>
      <c r="B17" s="57" t="n"/>
      <c r="C17" s="58" t="n"/>
      <c r="D17" s="58" t="n"/>
      <c r="E17" s="59">
        <f>IF(N($AL17)&gt;0,INDEX(rIni_ADM,$AL17),"")</f>
        <v/>
      </c>
      <c r="F17" s="59">
        <f>IF(N($AL17)&gt;0,INDEX(rLim_ADM,$AL17),"")</f>
        <v/>
      </c>
      <c r="G17" s="59" t="n"/>
      <c r="H17" s="60" t="n"/>
      <c r="I17" s="60" t="n"/>
      <c r="J17" s="60" t="n"/>
      <c r="K17" s="60" t="n"/>
      <c r="L17" s="60" t="n"/>
      <c r="M17" s="61">
        <f>IF(NOT((COUNTA($B17:$D17)+COUNTA($G17:$L17)+COUNTA($Q17))&gt;0),"",IF($V17="Sub",IFERROR($X17/INDEX($W$5:$W$1000,$U17-4),""),IF(ISNUMBER($G17),1,IF(N($W17)&gt;0,AVERAGEIFS($X$5:$X$1000,$U$5:$U$1000,ROW(),$V$5:$V$1000,"Sub"),$X17))))</f>
        <v/>
      </c>
      <c r="N17" s="56">
        <f>IF(OR($M17="",$V17="Sub"),"",IF($M17&gt;=1,"Completado",IF($M17&gt;0,"En curso","Pendiente")))</f>
        <v/>
      </c>
      <c r="O17" s="56">
        <f>IF(OR(NOT((COUNTA($B17:$D17)+COUNTA($G17:$L17)+COUNTA($Q17))&gt;0),$V17="Sub"),"",IF(ISNUMBER($G17),IF(AND(ISNUMBER($AN17),$G17&gt;$AN17),"Cumplida con "&amp;($G17-$AN17)&amp;IF($G17-$AN17=1," día"," días")&amp;" de retraso","Cumplida"),IF(N($M17)&gt;=1,"Cumplida",IF(NOT(ISNUMBER($AN17)),"Sin fecha límite",IF($AN17&lt;FechaRef,"Vencida hace "&amp;(FechaRef-$AN17)&amp;IF(FechaRef-$AN17=1," día"," días"),IF($AN17=FechaRef,"Vence hoy",IF($AN17-FechaRef&lt;=DiasAlerta,"Vence en "&amp;($AN17-FechaRef)&amp;IF($AN17-FechaRef=1," día"," días"),"En plazo")))))))</f>
        <v/>
      </c>
      <c r="P17" s="62" t="n"/>
      <c r="Q17" s="58" t="n"/>
      <c r="R17" s="63">
        <f>IF(NOT((COUNTA($B17:$D17)+COUNTA($G17:$L17)+COUNTA($Q17))&gt;0),"",IF((IF($C17="","Falta el nombre de la actividad"&amp;" · ","")&amp;IF(AND($V17="Sub",N($U17)=0),"Subactividad sin macroactividad arriba"&amp;" · ","")&amp;IF($AM17="","Sin fecha de inicio"&amp;" · ","")&amp;IF($AN17="","Sin fecha límite"&amp;" · ","")&amp;IF(AND(LEFT($C17,11)="[Jefatura] ",N($AL17)=0),"No se encuentra en la hoja de la jefatura (elíjala de nuevo en la lista)"&amp;" · ","")&amp;IF(OR(AND($E17&lt;&gt;"",NOT(ISNUMBER($E17))),AND($F17&lt;&gt;"",NOT(ISNUMBER($F17))),AND($G17&lt;&gt;"",NOT(ISNUMBER($G17)))),"Fecha no válida"&amp;" · ","")&amp;IF(AND(ISNUMBER($AM17),ISNUMBER($AN17),$AM17&gt;$AN17),"Inicio posterior a fecha límite"&amp;" · ","")&amp;IF(AND($V17="Macro",$H17&lt;&gt;"",OR(NOT(ISNUMBER($H17)),$H17&lt;0,$H17&gt;1)),"Peso fuera de rango"&amp;" · ","")&amp;IF(AND($V17="Sub",$H17&lt;&gt;""),"Las subactividades no llevan peso (valen igual dentro de su macroactividad)"&amp;" · ","")&amp;IF(AND(N($W17)&gt;0,COUNT($I17:$L17)&gt;0),"Con subactividades: deje vacías las semanas (se calculan solas)"&amp;" · ","")&amp;IF((COUNTIF($I17:$L17,"&gt;1")+COUNTIF($I17:$L17,"&lt;0")+COUNTA($I17:$L17)-COUNT($I17:$L17))&gt;0,"Avance fuera de rango 0-100%"&amp;" · ","")&amp;IF(OR(AND($J17&lt;&gt;"",$J17&lt;$I17),AND($K17&lt;&gt;"",$K17&lt;MAX($I17:$J17)),AND($L17&lt;&gt;"",$L17&lt;MAX($I17:$K17))),"Avance semanal decreciente"&amp;" · ","")&amp;IF(AND(ISNUMBER($AN17),$AN17&lt;FechaRef,IF($V17="Sub",N($X17),N($M17))&lt;1),"Vencida"&amp;" · ","")&amp;IF(AND(ObsObligatoria="Sí",ISNUMBER($AN17),$AN17&lt;FechaRef,IF($V17="Sub",N($X17),N($M17))&lt;1,$Q17=""),"Vencida sin observación"&amp;" · ",""))="","✔ OK","⚠ "&amp;LEFT(IF($C17="","Falta el nombre de la actividad"&amp;" · ","")&amp;IF(AND($V17="Sub",N($U17)=0),"Subactividad sin macroactividad arriba"&amp;" · ","")&amp;IF($AM17="","Sin fecha de inicio"&amp;" · ","")&amp;IF($AN17="","Sin fecha límite"&amp;" · ","")&amp;IF(AND(LEFT($C17,11)="[Jefatura] ",N($AL17)=0),"No se encuentra en la hoja de la jefatura (elíjala de nuevo en la lista)"&amp;" · ","")&amp;IF(OR(AND($E17&lt;&gt;"",NOT(ISNUMBER($E17))),AND($F17&lt;&gt;"",NOT(ISNUMBER($F17))),AND($G17&lt;&gt;"",NOT(ISNUMBER($G17)))),"Fecha no válida"&amp;" · ","")&amp;IF(AND(ISNUMBER($AM17),ISNUMBER($AN17),$AM17&gt;$AN17),"Inicio posterior a fecha límite"&amp;" · ","")&amp;IF(AND($V17="Macro",$H17&lt;&gt;"",OR(NOT(ISNUMBER($H17)),$H17&lt;0,$H17&gt;1)),"Peso fuera de rango"&amp;" · ","")&amp;IF(AND($V17="Sub",$H17&lt;&gt;""),"Las subactividades no llevan peso (valen igual dentro de su macroactividad)"&amp;" · ","")&amp;IF(AND(N($W17)&gt;0,COUNT($I17:$L17)&gt;0),"Con subactividades: deje vacías las semanas (se calculan solas)"&amp;" · ","")&amp;IF((COUNTIF($I17:$L17,"&gt;1")+COUNTIF($I17:$L17,"&lt;0")+COUNTA($I17:$L17)-COUNT($I17:$L17))&gt;0,"Avance fuera de rango 0-100%"&amp;" · ","")&amp;IF(OR(AND($J17&lt;&gt;"",$J17&lt;$I17),AND($K17&lt;&gt;"",$K17&lt;MAX($I17:$J17)),AND($L17&lt;&gt;"",$L17&lt;MAX($I17:$K17))),"Avance semanal decreciente"&amp;" · ","")&amp;IF(AND(ISNUMBER($AN17),$AN17&lt;FechaRef,IF($V17="Sub",N($X17),N($M17))&lt;1),"Vencida"&amp;" · ","")&amp;IF(AND(ObsObligatoria="Sí",ISNUMBER($AN17),$AN17&lt;FechaRef,IF($V17="Sub",N($X17),N($M17))&lt;1,$Q17=""),"Vencida sin observación"&amp;" · ",""),LEN(IF($C17="","Falta el nombre de la actividad"&amp;" · ","")&amp;IF(AND($V17="Sub",N($U17)=0),"Subactividad sin macroactividad arriba"&amp;" · ","")&amp;IF($AM17="","Sin fecha de inicio"&amp;" · ","")&amp;IF($AN17="","Sin fecha límite"&amp;" · ","")&amp;IF(AND(LEFT($C17,11)="[Jefatura] ",N($AL17)=0),"No se encuentra en la hoja de la jefatura (elíjala de nuevo en la lista)"&amp;" · ","")&amp;IF(OR(AND($E17&lt;&gt;"",NOT(ISNUMBER($E17))),AND($F17&lt;&gt;"",NOT(ISNUMBER($F17))),AND($G17&lt;&gt;"",NOT(ISNUMBER($G17)))),"Fecha no válida"&amp;" · ","")&amp;IF(AND(ISNUMBER($AM17),ISNUMBER($AN17),$AM17&gt;$AN17),"Inicio posterior a fecha límite"&amp;" · ","")&amp;IF(AND($V17="Macro",$H17&lt;&gt;"",OR(NOT(ISNUMBER($H17)),$H17&lt;0,$H17&gt;1)),"Peso fuera de rango"&amp;" · ","")&amp;IF(AND($V17="Sub",$H17&lt;&gt;""),"Las subactividades no llevan peso (valen igual dentro de su macroactividad)"&amp;" · ","")&amp;IF(AND(N($W17)&gt;0,COUNT($I17:$L17)&gt;0),"Con subactividades: deje vacías las semanas (se calculan solas)"&amp;" · ","")&amp;IF((COUNTIF($I17:$L17,"&gt;1")+COUNTIF($I17:$L17,"&lt;0")+COUNTA($I17:$L17)-COUNT($I17:$L17))&gt;0,"Avance fuera de rango 0-100%"&amp;" · ","")&amp;IF(OR(AND($J17&lt;&gt;"",$J17&lt;$I17),AND($K17&lt;&gt;"",$K17&lt;MAX($I17:$J17)),AND($L17&lt;&gt;"",$L17&lt;MAX($I17:$K17))),"Avance semanal decreciente"&amp;" · ","")&amp;IF(AND(ISNUMBER($AN17),$AN17&lt;FechaRef,IF($V17="Sub",N($X17),N($M17))&lt;1),"Vencida"&amp;" · ","")&amp;IF(AND(ObsObligatoria="Sí",ISNUMBER($AN17),$AN17&lt;FechaRef,IF($V17="Sub",N($X17),N($M17))&lt;1,$Q17=""),"Vencida sin observación"&amp;" · ",""))-3)))</f>
        <v/>
      </c>
      <c r="S17" s="64">
        <f>IF(NOT((COUNTA($B17:$D17)+COUNTA($G17:$L17)+COUNTA($Q17))&gt;0),"",IF(AND($V17="Sub",N($U17)&gt;0),IF(ISNUMBER(INDEX($AM$5:$AM$1000,$U17-4)),DATE(YEAR(INDEX($AM$5:$AM$1000,$U17-4)),MONTH(INDEX($AM$5:$AM$1000,$U17-4)),1),IF(ISNUMBER(INDEX($AN$5:$AN$1000,$U17-4)),DATE(YEAR(INDEX($AN$5:$AN$1000,$U17-4)),MONTH(INDEX($AN$5:$AN$1000,$U17-4)),1),MesCiclo)),IF(ISNUMBER($AM17),DATE(YEAR($AM17),MONTH($AM17),1),IF(ISNUMBER($AN17),DATE(YEAR($AN17),MONTH($AN17),1),MesCiclo))))</f>
        <v/>
      </c>
      <c r="T17" s="62">
        <f>IF(OR($S17="",$S17&lt;&gt;MesCiclo,$V17&lt;&gt;"Macro"),"",COUNTIFS($S$5:$S17,MesCiclo,$V$5:$V17,"Macro"))</f>
        <v/>
      </c>
      <c r="U17" s="62">
        <f>IF($V17="","",IF($V17="Macro",ROW(),IFERROR(LOOKUP(2,1/($V$5:$V17="Macro"),ROW($V$5:$V17)),0)))</f>
        <v/>
      </c>
      <c r="V17" s="62">
        <f>IF(NOT((COUNTA($B17:$D17)+COUNTA($G17:$L17)+COUNTA($Q17))&gt;0),"",IF($B17="Subactividad","Sub","Macro"))</f>
        <v/>
      </c>
      <c r="W17" s="62">
        <f>IF($V17="Macro",COUNTIFS($U$5:$U$1000,ROW(),$V$5:$V$1000,"Sub"),"")</f>
        <v/>
      </c>
      <c r="X17" s="62">
        <f>IF($V17="","",IF(ISNUMBER($G17),1,IFERROR(LOOKUP(2,1/($I17:$L17&lt;&gt;""),$I17:$L17),0)))</f>
        <v/>
      </c>
      <c r="Y17" s="62">
        <f>IF($V17="","",IF(AND(ISNUMBER($G17),$G17&lt;=IF($S17=MesCiclo,InicioCiclo,$S17+MOD(2-WEEKDAY($S17),7))+6),1,IF(ISNUMBER($I17),$I17,0)))</f>
        <v/>
      </c>
      <c r="Z17" s="62">
        <f>IF($V17="","",IF(AND(ISNUMBER($G17),$G17&lt;=IF($S17=MesCiclo,InicioCiclo,$S17+MOD(2-WEEKDAY($S17),7))+13),1,IF(ISNUMBER($J17),$J17,$Y17)))</f>
        <v/>
      </c>
      <c r="AA17" s="62">
        <f>IF($V17="","",IF(AND(ISNUMBER($G17),$G17&lt;=IF($S17=MesCiclo,InicioCiclo,$S17+MOD(2-WEEKDAY($S17),7))+20),1,IF(ISNUMBER($K17),$K17,$Z17)))</f>
        <v/>
      </c>
      <c r="AB17" s="62">
        <f>IF($V17="","",IF(AND(ISNUMBER($G17),$G17&lt;=IF($S17=MesCiclo,InicioCiclo,$S17+MOD(2-WEEKDAY($S17),7))+27),1,IF(ISNUMBER($L17),$L17,$AA17)))</f>
        <v/>
      </c>
      <c r="AC17" s="62">
        <f>IF($V17="","",IF(AND(ISNUMBER($G17),$G17&lt;=IF($S17=MesCiclo,InicioCiclo,$S17+MOD(2-WEEKDAY($S17),7))+6),1,IF(N($W17)&gt;0,AVERAGEIFS($Y$5:$Y$1000,$U$5:$U$1000,ROW(),$V$5:$V$1000,"Sub"),$Y17)))</f>
        <v/>
      </c>
      <c r="AD17" s="62">
        <f>IF($V17="","",IF(AND(ISNUMBER($G17),$G17&lt;=IF($S17=MesCiclo,InicioCiclo,$S17+MOD(2-WEEKDAY($S17),7))+13),1,IF(N($W17)&gt;0,AVERAGEIFS($Z$5:$Z$1000,$U$5:$U$1000,ROW(),$V$5:$V$1000,"Sub"),$Z17)))</f>
        <v/>
      </c>
      <c r="AE17" s="62">
        <f>IF($V17="","",IF(AND(ISNUMBER($G17),$G17&lt;=IF($S17=MesCiclo,InicioCiclo,$S17+MOD(2-WEEKDAY($S17),7))+20),1,IF(N($W17)&gt;0,AVERAGEIFS($AA$5:$AA$1000,$U$5:$U$1000,ROW(),$V$5:$V$1000,"Sub"),$AA17)))</f>
        <v/>
      </c>
      <c r="AF17" s="62">
        <f>IF($V17="","",IF(AND(ISNUMBER($G17),$G17&lt;=IF($S17=MesCiclo,InicioCiclo,$S17+MOD(2-WEEKDAY($S17),7))+27),1,IF(N($W17)&gt;0,AVERAGEIFS($AB$5:$AB$1000,$U$5:$U$1000,ROW(),$V$5:$V$1000,"Sub"),$AB17)))</f>
        <v/>
      </c>
      <c r="AG17" s="62">
        <f>IF($V17&lt;&gt;"Macro","",IF(COUNTIFS($S$5:$S$1000,$S17,$V$5:$V$1000,"Macro",$H$5:$H$1000,"&gt;0")=0,1/COUNTIFS($S$5:$S$1000,$S17,$V$5:$V$1000,"Macro"),IF(AND(ISNUMBER($H17),N($H17)&gt;0),$H17,SUMIFS($H$5:$H$1000,$S$5:$S$1000,$S17,$V$5:$V$1000,"Macro")/COUNTIFS($S$5:$S$1000,$S17,$V$5:$V$1000,"Macro",$H$5:$H$1000,"&gt;0"))/(COUNTIFS($S$5:$S$1000,$S17,$V$5:$V$1000,"Macro")*SUMIFS($H$5:$H$1000,$S$5:$S$1000,$S17,$V$5:$V$1000,"Macro")/COUNTIFS($S$5:$S$1000,$S17,$V$5:$V$1000,"Macro",$H$5:$H$1000,"&gt;0"))))</f>
        <v/>
      </c>
      <c r="AH17" s="62" t="n"/>
      <c r="AI17" s="62" t="n"/>
      <c r="AJ17" s="62" t="n"/>
      <c r="AK17" s="62" t="n"/>
      <c r="AL17" s="62">
        <f>IF(LEFT($C17,11)="[Jefatura] ",IFERROR(MATCH("Asistente Técnico de Riesgo|"&amp;MID($C17,12,500),rDname_ADM,0),0),"")</f>
        <v/>
      </c>
      <c r="AM17" s="62">
        <f>IF(N($AL17)&gt;0,INDEX(rIni_ADM,$AL17),IF(ISNUMBER($E17),$E17,""))</f>
        <v/>
      </c>
      <c r="AN17" s="62">
        <f>IF(N($AL17)&gt;0,INDEX(rLim_ADM,$AL17),IF(ISNUMBER($F17),$F17,""))</f>
        <v/>
      </c>
    </row>
    <row r="18">
      <c r="A18" s="56">
        <f>IF(NOT((COUNTA($B18:$D18)+COUNTA($G18:$L18)+COUNTA($Q18))&gt;0),"",IF($V18="Macro",COUNTIFS($V$5:$V18,"Macro",$S$5:$S18,$S18),IF(N($U18)=0,"?",COUNTIFS(INDEX($V$5:$V$1000,1):INDEX($V$5:$V$1000,$U18-4),"Macro",INDEX($S$5:$S$1000,1):INDEX($S$5:$S$1000,$U18-4),INDEX($S$5:$S$1000,$U18-4))&amp;"."&amp;COUNTIFS($U$5:$U18,$U18,$V$5:$V18,"Sub"))))</f>
        <v/>
      </c>
      <c r="B18" s="57" t="n"/>
      <c r="C18" s="58" t="n"/>
      <c r="D18" s="58" t="n"/>
      <c r="E18" s="59">
        <f>IF(N($AL18)&gt;0,INDEX(rIni_ADM,$AL18),"")</f>
        <v/>
      </c>
      <c r="F18" s="59">
        <f>IF(N($AL18)&gt;0,INDEX(rLim_ADM,$AL18),"")</f>
        <v/>
      </c>
      <c r="G18" s="59" t="n"/>
      <c r="H18" s="60" t="n"/>
      <c r="I18" s="60" t="n"/>
      <c r="J18" s="60" t="n"/>
      <c r="K18" s="60" t="n"/>
      <c r="L18" s="60" t="n"/>
      <c r="M18" s="61">
        <f>IF(NOT((COUNTA($B18:$D18)+COUNTA($G18:$L18)+COUNTA($Q18))&gt;0),"",IF($V18="Sub",IFERROR($X18/INDEX($W$5:$W$1000,$U18-4),""),IF(ISNUMBER($G18),1,IF(N($W18)&gt;0,AVERAGEIFS($X$5:$X$1000,$U$5:$U$1000,ROW(),$V$5:$V$1000,"Sub"),$X18))))</f>
        <v/>
      </c>
      <c r="N18" s="56">
        <f>IF(OR($M18="",$V18="Sub"),"",IF($M18&gt;=1,"Completado",IF($M18&gt;0,"En curso","Pendiente")))</f>
        <v/>
      </c>
      <c r="O18" s="56">
        <f>IF(OR(NOT((COUNTA($B18:$D18)+COUNTA($G18:$L18)+COUNTA($Q18))&gt;0),$V18="Sub"),"",IF(ISNUMBER($G18),IF(AND(ISNUMBER($AN18),$G18&gt;$AN18),"Cumplida con "&amp;($G18-$AN18)&amp;IF($G18-$AN18=1," día"," días")&amp;" de retraso","Cumplida"),IF(N($M18)&gt;=1,"Cumplida",IF(NOT(ISNUMBER($AN18)),"Sin fecha límite",IF($AN18&lt;FechaRef,"Vencida hace "&amp;(FechaRef-$AN18)&amp;IF(FechaRef-$AN18=1," día"," días"),IF($AN18=FechaRef,"Vence hoy",IF($AN18-FechaRef&lt;=DiasAlerta,"Vence en "&amp;($AN18-FechaRef)&amp;IF($AN18-FechaRef=1," día"," días"),"En plazo")))))))</f>
        <v/>
      </c>
      <c r="P18" s="62" t="n"/>
      <c r="Q18" s="58" t="n"/>
      <c r="R18" s="63">
        <f>IF(NOT((COUNTA($B18:$D18)+COUNTA($G18:$L18)+COUNTA($Q18))&gt;0),"",IF((IF($C18="","Falta el nombre de la actividad"&amp;" · ","")&amp;IF(AND($V18="Sub",N($U18)=0),"Subactividad sin macroactividad arriba"&amp;" · ","")&amp;IF($AM18="","Sin fecha de inicio"&amp;" · ","")&amp;IF($AN18="","Sin fecha límite"&amp;" · ","")&amp;IF(AND(LEFT($C18,11)="[Jefatura] ",N($AL18)=0),"No se encuentra en la hoja de la jefatura (elíjala de nuevo en la lista)"&amp;" · ","")&amp;IF(OR(AND($E18&lt;&gt;"",NOT(ISNUMBER($E18))),AND($F18&lt;&gt;"",NOT(ISNUMBER($F18))),AND($G18&lt;&gt;"",NOT(ISNUMBER($G18)))),"Fecha no válida"&amp;" · ","")&amp;IF(AND(ISNUMBER($AM18),ISNUMBER($AN18),$AM18&gt;$AN18),"Inicio posterior a fecha límite"&amp;" · ","")&amp;IF(AND($V18="Macro",$H18&lt;&gt;"",OR(NOT(ISNUMBER($H18)),$H18&lt;0,$H18&gt;1)),"Peso fuera de rango"&amp;" · ","")&amp;IF(AND($V18="Sub",$H18&lt;&gt;""),"Las subactividades no llevan peso (valen igual dentro de su macroactividad)"&amp;" · ","")&amp;IF(AND(N($W18)&gt;0,COUNT($I18:$L18)&gt;0),"Con subactividades: deje vacías las semanas (se calculan solas)"&amp;" · ","")&amp;IF((COUNTIF($I18:$L18,"&gt;1")+COUNTIF($I18:$L18,"&lt;0")+COUNTA($I18:$L18)-COUNT($I18:$L18))&gt;0,"Avance fuera de rango 0-100%"&amp;" · ","")&amp;IF(OR(AND($J18&lt;&gt;"",$J18&lt;$I18),AND($K18&lt;&gt;"",$K18&lt;MAX($I18:$J18)),AND($L18&lt;&gt;"",$L18&lt;MAX($I18:$K18))),"Avance semanal decreciente"&amp;" · ","")&amp;IF(AND(ISNUMBER($AN18),$AN18&lt;FechaRef,IF($V18="Sub",N($X18),N($M18))&lt;1),"Vencida"&amp;" · ","")&amp;IF(AND(ObsObligatoria="Sí",ISNUMBER($AN18),$AN18&lt;FechaRef,IF($V18="Sub",N($X18),N($M18))&lt;1,$Q18=""),"Vencida sin observación"&amp;" · ",""))="","✔ OK","⚠ "&amp;LEFT(IF($C18="","Falta el nombre de la actividad"&amp;" · ","")&amp;IF(AND($V18="Sub",N($U18)=0),"Subactividad sin macroactividad arriba"&amp;" · ","")&amp;IF($AM18="","Sin fecha de inicio"&amp;" · ","")&amp;IF($AN18="","Sin fecha límite"&amp;" · ","")&amp;IF(AND(LEFT($C18,11)="[Jefatura] ",N($AL18)=0),"No se encuentra en la hoja de la jefatura (elíjala de nuevo en la lista)"&amp;" · ","")&amp;IF(OR(AND($E18&lt;&gt;"",NOT(ISNUMBER($E18))),AND($F18&lt;&gt;"",NOT(ISNUMBER($F18))),AND($G18&lt;&gt;"",NOT(ISNUMBER($G18)))),"Fecha no válida"&amp;" · ","")&amp;IF(AND(ISNUMBER($AM18),ISNUMBER($AN18),$AM18&gt;$AN18),"Inicio posterior a fecha límite"&amp;" · ","")&amp;IF(AND($V18="Macro",$H18&lt;&gt;"",OR(NOT(ISNUMBER($H18)),$H18&lt;0,$H18&gt;1)),"Peso fuera de rango"&amp;" · ","")&amp;IF(AND($V18="Sub",$H18&lt;&gt;""),"Las subactividades no llevan peso (valen igual dentro de su macroactividad)"&amp;" · ","")&amp;IF(AND(N($W18)&gt;0,COUNT($I18:$L18)&gt;0),"Con subactividades: deje vacías las semanas (se calculan solas)"&amp;" · ","")&amp;IF((COUNTIF($I18:$L18,"&gt;1")+COUNTIF($I18:$L18,"&lt;0")+COUNTA($I18:$L18)-COUNT($I18:$L18))&gt;0,"Avance fuera de rango 0-100%"&amp;" · ","")&amp;IF(OR(AND($J18&lt;&gt;"",$J18&lt;$I18),AND($K18&lt;&gt;"",$K18&lt;MAX($I18:$J18)),AND($L18&lt;&gt;"",$L18&lt;MAX($I18:$K18))),"Avance semanal decreciente"&amp;" · ","")&amp;IF(AND(ISNUMBER($AN18),$AN18&lt;FechaRef,IF($V18="Sub",N($X18),N($M18))&lt;1),"Vencida"&amp;" · ","")&amp;IF(AND(ObsObligatoria="Sí",ISNUMBER($AN18),$AN18&lt;FechaRef,IF($V18="Sub",N($X18),N($M18))&lt;1,$Q18=""),"Vencida sin observación"&amp;" · ",""),LEN(IF($C18="","Falta el nombre de la actividad"&amp;" · ","")&amp;IF(AND($V18="Sub",N($U18)=0),"Subactividad sin macroactividad arriba"&amp;" · ","")&amp;IF($AM18="","Sin fecha de inicio"&amp;" · ","")&amp;IF($AN18="","Sin fecha límite"&amp;" · ","")&amp;IF(AND(LEFT($C18,11)="[Jefatura] ",N($AL18)=0),"No se encuentra en la hoja de la jefatura (elíjala de nuevo en la lista)"&amp;" · ","")&amp;IF(OR(AND($E18&lt;&gt;"",NOT(ISNUMBER($E18))),AND($F18&lt;&gt;"",NOT(ISNUMBER($F18))),AND($G18&lt;&gt;"",NOT(ISNUMBER($G18)))),"Fecha no válida"&amp;" · ","")&amp;IF(AND(ISNUMBER($AM18),ISNUMBER($AN18),$AM18&gt;$AN18),"Inicio posterior a fecha límite"&amp;" · ","")&amp;IF(AND($V18="Macro",$H18&lt;&gt;"",OR(NOT(ISNUMBER($H18)),$H18&lt;0,$H18&gt;1)),"Peso fuera de rango"&amp;" · ","")&amp;IF(AND($V18="Sub",$H18&lt;&gt;""),"Las subactividades no llevan peso (valen igual dentro de su macroactividad)"&amp;" · ","")&amp;IF(AND(N($W18)&gt;0,COUNT($I18:$L18)&gt;0),"Con subactividades: deje vacías las semanas (se calculan solas)"&amp;" · ","")&amp;IF((COUNTIF($I18:$L18,"&gt;1")+COUNTIF($I18:$L18,"&lt;0")+COUNTA($I18:$L18)-COUNT($I18:$L18))&gt;0,"Avance fuera de rango 0-100%"&amp;" · ","")&amp;IF(OR(AND($J18&lt;&gt;"",$J18&lt;$I18),AND($K18&lt;&gt;"",$K18&lt;MAX($I18:$J18)),AND($L18&lt;&gt;"",$L18&lt;MAX($I18:$K18))),"Avance semanal decreciente"&amp;" · ","")&amp;IF(AND(ISNUMBER($AN18),$AN18&lt;FechaRef,IF($V18="Sub",N($X18),N($M18))&lt;1),"Vencida"&amp;" · ","")&amp;IF(AND(ObsObligatoria="Sí",ISNUMBER($AN18),$AN18&lt;FechaRef,IF($V18="Sub",N($X18),N($M18))&lt;1,$Q18=""),"Vencida sin observación"&amp;" · ",""))-3)))</f>
        <v/>
      </c>
      <c r="S18" s="64">
        <f>IF(NOT((COUNTA($B18:$D18)+COUNTA($G18:$L18)+COUNTA($Q18))&gt;0),"",IF(AND($V18="Sub",N($U18)&gt;0),IF(ISNUMBER(INDEX($AM$5:$AM$1000,$U18-4)),DATE(YEAR(INDEX($AM$5:$AM$1000,$U18-4)),MONTH(INDEX($AM$5:$AM$1000,$U18-4)),1),IF(ISNUMBER(INDEX($AN$5:$AN$1000,$U18-4)),DATE(YEAR(INDEX($AN$5:$AN$1000,$U18-4)),MONTH(INDEX($AN$5:$AN$1000,$U18-4)),1),MesCiclo)),IF(ISNUMBER($AM18),DATE(YEAR($AM18),MONTH($AM18),1),IF(ISNUMBER($AN18),DATE(YEAR($AN18),MONTH($AN18),1),MesCiclo))))</f>
        <v/>
      </c>
      <c r="T18" s="62">
        <f>IF(OR($S18="",$S18&lt;&gt;MesCiclo,$V18&lt;&gt;"Macro"),"",COUNTIFS($S$5:$S18,MesCiclo,$V$5:$V18,"Macro"))</f>
        <v/>
      </c>
      <c r="U18" s="62">
        <f>IF($V18="","",IF($V18="Macro",ROW(),IFERROR(LOOKUP(2,1/($V$5:$V18="Macro"),ROW($V$5:$V18)),0)))</f>
        <v/>
      </c>
      <c r="V18" s="62">
        <f>IF(NOT((COUNTA($B18:$D18)+COUNTA($G18:$L18)+COUNTA($Q18))&gt;0),"",IF($B18="Subactividad","Sub","Macro"))</f>
        <v/>
      </c>
      <c r="W18" s="62">
        <f>IF($V18="Macro",COUNTIFS($U$5:$U$1000,ROW(),$V$5:$V$1000,"Sub"),"")</f>
        <v/>
      </c>
      <c r="X18" s="62">
        <f>IF($V18="","",IF(ISNUMBER($G18),1,IFERROR(LOOKUP(2,1/($I18:$L18&lt;&gt;""),$I18:$L18),0)))</f>
        <v/>
      </c>
      <c r="Y18" s="62">
        <f>IF($V18="","",IF(AND(ISNUMBER($G18),$G18&lt;=IF($S18=MesCiclo,InicioCiclo,$S18+MOD(2-WEEKDAY($S18),7))+6),1,IF(ISNUMBER($I18),$I18,0)))</f>
        <v/>
      </c>
      <c r="Z18" s="62">
        <f>IF($V18="","",IF(AND(ISNUMBER($G18),$G18&lt;=IF($S18=MesCiclo,InicioCiclo,$S18+MOD(2-WEEKDAY($S18),7))+13),1,IF(ISNUMBER($J18),$J18,$Y18)))</f>
        <v/>
      </c>
      <c r="AA18" s="62">
        <f>IF($V18="","",IF(AND(ISNUMBER($G18),$G18&lt;=IF($S18=MesCiclo,InicioCiclo,$S18+MOD(2-WEEKDAY($S18),7))+20),1,IF(ISNUMBER($K18),$K18,$Z18)))</f>
        <v/>
      </c>
      <c r="AB18" s="62">
        <f>IF($V18="","",IF(AND(ISNUMBER($G18),$G18&lt;=IF($S18=MesCiclo,InicioCiclo,$S18+MOD(2-WEEKDAY($S18),7))+27),1,IF(ISNUMBER($L18),$L18,$AA18)))</f>
        <v/>
      </c>
      <c r="AC18" s="62">
        <f>IF($V18="","",IF(AND(ISNUMBER($G18),$G18&lt;=IF($S18=MesCiclo,InicioCiclo,$S18+MOD(2-WEEKDAY($S18),7))+6),1,IF(N($W18)&gt;0,AVERAGEIFS($Y$5:$Y$1000,$U$5:$U$1000,ROW(),$V$5:$V$1000,"Sub"),$Y18)))</f>
        <v/>
      </c>
      <c r="AD18" s="62">
        <f>IF($V18="","",IF(AND(ISNUMBER($G18),$G18&lt;=IF($S18=MesCiclo,InicioCiclo,$S18+MOD(2-WEEKDAY($S18),7))+13),1,IF(N($W18)&gt;0,AVERAGEIFS($Z$5:$Z$1000,$U$5:$U$1000,ROW(),$V$5:$V$1000,"Sub"),$Z18)))</f>
        <v/>
      </c>
      <c r="AE18" s="62">
        <f>IF($V18="","",IF(AND(ISNUMBER($G18),$G18&lt;=IF($S18=MesCiclo,InicioCiclo,$S18+MOD(2-WEEKDAY($S18),7))+20),1,IF(N($W18)&gt;0,AVERAGEIFS($AA$5:$AA$1000,$U$5:$U$1000,ROW(),$V$5:$V$1000,"Sub"),$AA18)))</f>
        <v/>
      </c>
      <c r="AF18" s="62">
        <f>IF($V18="","",IF(AND(ISNUMBER($G18),$G18&lt;=IF($S18=MesCiclo,InicioCiclo,$S18+MOD(2-WEEKDAY($S18),7))+27),1,IF(N($W18)&gt;0,AVERAGEIFS($AB$5:$AB$1000,$U$5:$U$1000,ROW(),$V$5:$V$1000,"Sub"),$AB18)))</f>
        <v/>
      </c>
      <c r="AG18" s="62">
        <f>IF($V18&lt;&gt;"Macro","",IF(COUNTIFS($S$5:$S$1000,$S18,$V$5:$V$1000,"Macro",$H$5:$H$1000,"&gt;0")=0,1/COUNTIFS($S$5:$S$1000,$S18,$V$5:$V$1000,"Macro"),IF(AND(ISNUMBER($H18),N($H18)&gt;0),$H18,SUMIFS($H$5:$H$1000,$S$5:$S$1000,$S18,$V$5:$V$1000,"Macro")/COUNTIFS($S$5:$S$1000,$S18,$V$5:$V$1000,"Macro",$H$5:$H$1000,"&gt;0"))/(COUNTIFS($S$5:$S$1000,$S18,$V$5:$V$1000,"Macro")*SUMIFS($H$5:$H$1000,$S$5:$S$1000,$S18,$V$5:$V$1000,"Macro")/COUNTIFS($S$5:$S$1000,$S18,$V$5:$V$1000,"Macro",$H$5:$H$1000,"&gt;0"))))</f>
        <v/>
      </c>
      <c r="AH18" s="62" t="n"/>
      <c r="AI18" s="62" t="n"/>
      <c r="AJ18" s="62" t="n"/>
      <c r="AK18" s="62" t="n"/>
      <c r="AL18" s="62">
        <f>IF(LEFT($C18,11)="[Jefatura] ",IFERROR(MATCH("Asistente Técnico de Riesgo|"&amp;MID($C18,12,500),rDname_ADM,0),0),"")</f>
        <v/>
      </c>
      <c r="AM18" s="62">
        <f>IF(N($AL18)&gt;0,INDEX(rIni_ADM,$AL18),IF(ISNUMBER($E18),$E18,""))</f>
        <v/>
      </c>
      <c r="AN18" s="62">
        <f>IF(N($AL18)&gt;0,INDEX(rLim_ADM,$AL18),IF(ISNUMBER($F18),$F18,""))</f>
        <v/>
      </c>
    </row>
    <row r="19">
      <c r="A19" s="56">
        <f>IF(NOT((COUNTA($B19:$D19)+COUNTA($G19:$L19)+COUNTA($Q19))&gt;0),"",IF($V19="Macro",COUNTIFS($V$5:$V19,"Macro",$S$5:$S19,$S19),IF(N($U19)=0,"?",COUNTIFS(INDEX($V$5:$V$1000,1):INDEX($V$5:$V$1000,$U19-4),"Macro",INDEX($S$5:$S$1000,1):INDEX($S$5:$S$1000,$U19-4),INDEX($S$5:$S$1000,$U19-4))&amp;"."&amp;COUNTIFS($U$5:$U19,$U19,$V$5:$V19,"Sub"))))</f>
        <v/>
      </c>
      <c r="B19" s="57" t="n"/>
      <c r="C19" s="58" t="n"/>
      <c r="D19" s="58" t="n"/>
      <c r="E19" s="59">
        <f>IF(N($AL19)&gt;0,INDEX(rIni_ADM,$AL19),"")</f>
        <v/>
      </c>
      <c r="F19" s="59">
        <f>IF(N($AL19)&gt;0,INDEX(rLim_ADM,$AL19),"")</f>
        <v/>
      </c>
      <c r="G19" s="59" t="n"/>
      <c r="H19" s="60" t="n"/>
      <c r="I19" s="60" t="n"/>
      <c r="J19" s="60" t="n"/>
      <c r="K19" s="60" t="n"/>
      <c r="L19" s="60" t="n"/>
      <c r="M19" s="61">
        <f>IF(NOT((COUNTA($B19:$D19)+COUNTA($G19:$L19)+COUNTA($Q19))&gt;0),"",IF($V19="Sub",IFERROR($X19/INDEX($W$5:$W$1000,$U19-4),""),IF(ISNUMBER($G19),1,IF(N($W19)&gt;0,AVERAGEIFS($X$5:$X$1000,$U$5:$U$1000,ROW(),$V$5:$V$1000,"Sub"),$X19))))</f>
        <v/>
      </c>
      <c r="N19" s="56">
        <f>IF(OR($M19="",$V19="Sub"),"",IF($M19&gt;=1,"Completado",IF($M19&gt;0,"En curso","Pendiente")))</f>
        <v/>
      </c>
      <c r="O19" s="56">
        <f>IF(OR(NOT((COUNTA($B19:$D19)+COUNTA($G19:$L19)+COUNTA($Q19))&gt;0),$V19="Sub"),"",IF(ISNUMBER($G19),IF(AND(ISNUMBER($AN19),$G19&gt;$AN19),"Cumplida con "&amp;($G19-$AN19)&amp;IF($G19-$AN19=1," día"," días")&amp;" de retraso","Cumplida"),IF(N($M19)&gt;=1,"Cumplida",IF(NOT(ISNUMBER($AN19)),"Sin fecha límite",IF($AN19&lt;FechaRef,"Vencida hace "&amp;(FechaRef-$AN19)&amp;IF(FechaRef-$AN19=1," día"," días"),IF($AN19=FechaRef,"Vence hoy",IF($AN19-FechaRef&lt;=DiasAlerta,"Vence en "&amp;($AN19-FechaRef)&amp;IF($AN19-FechaRef=1," día"," días"),"En plazo")))))))</f>
        <v/>
      </c>
      <c r="P19" s="62" t="n"/>
      <c r="Q19" s="58" t="n"/>
      <c r="R19" s="63">
        <f>IF(NOT((COUNTA($B19:$D19)+COUNTA($G19:$L19)+COUNTA($Q19))&gt;0),"",IF((IF($C19="","Falta el nombre de la actividad"&amp;" · ","")&amp;IF(AND($V19="Sub",N($U19)=0),"Subactividad sin macroactividad arriba"&amp;" · ","")&amp;IF($AM19="","Sin fecha de inicio"&amp;" · ","")&amp;IF($AN19="","Sin fecha límite"&amp;" · ","")&amp;IF(AND(LEFT($C19,11)="[Jefatura] ",N($AL19)=0),"No se encuentra en la hoja de la jefatura (elíjala de nuevo en la lista)"&amp;" · ","")&amp;IF(OR(AND($E19&lt;&gt;"",NOT(ISNUMBER($E19))),AND($F19&lt;&gt;"",NOT(ISNUMBER($F19))),AND($G19&lt;&gt;"",NOT(ISNUMBER($G19)))),"Fecha no válida"&amp;" · ","")&amp;IF(AND(ISNUMBER($AM19),ISNUMBER($AN19),$AM19&gt;$AN19),"Inicio posterior a fecha límite"&amp;" · ","")&amp;IF(AND($V19="Macro",$H19&lt;&gt;"",OR(NOT(ISNUMBER($H19)),$H19&lt;0,$H19&gt;1)),"Peso fuera de rango"&amp;" · ","")&amp;IF(AND($V19="Sub",$H19&lt;&gt;""),"Las subactividades no llevan peso (valen igual dentro de su macroactividad)"&amp;" · ","")&amp;IF(AND(N($W19)&gt;0,COUNT($I19:$L19)&gt;0),"Con subactividades: deje vacías las semanas (se calculan solas)"&amp;" · ","")&amp;IF((COUNTIF($I19:$L19,"&gt;1")+COUNTIF($I19:$L19,"&lt;0")+COUNTA($I19:$L19)-COUNT($I19:$L19))&gt;0,"Avance fuera de rango 0-100%"&amp;" · ","")&amp;IF(OR(AND($J19&lt;&gt;"",$J19&lt;$I19),AND($K19&lt;&gt;"",$K19&lt;MAX($I19:$J19)),AND($L19&lt;&gt;"",$L19&lt;MAX($I19:$K19))),"Avance semanal decreciente"&amp;" · ","")&amp;IF(AND(ISNUMBER($AN19),$AN19&lt;FechaRef,IF($V19="Sub",N($X19),N($M19))&lt;1),"Vencida"&amp;" · ","")&amp;IF(AND(ObsObligatoria="Sí",ISNUMBER($AN19),$AN19&lt;FechaRef,IF($V19="Sub",N($X19),N($M19))&lt;1,$Q19=""),"Vencida sin observación"&amp;" · ",""))="","✔ OK","⚠ "&amp;LEFT(IF($C19="","Falta el nombre de la actividad"&amp;" · ","")&amp;IF(AND($V19="Sub",N($U19)=0),"Subactividad sin macroactividad arriba"&amp;" · ","")&amp;IF($AM19="","Sin fecha de inicio"&amp;" · ","")&amp;IF($AN19="","Sin fecha límite"&amp;" · ","")&amp;IF(AND(LEFT($C19,11)="[Jefatura] ",N($AL19)=0),"No se encuentra en la hoja de la jefatura (elíjala de nuevo en la lista)"&amp;" · ","")&amp;IF(OR(AND($E19&lt;&gt;"",NOT(ISNUMBER($E19))),AND($F19&lt;&gt;"",NOT(ISNUMBER($F19))),AND($G19&lt;&gt;"",NOT(ISNUMBER($G19)))),"Fecha no válida"&amp;" · ","")&amp;IF(AND(ISNUMBER($AM19),ISNUMBER($AN19),$AM19&gt;$AN19),"Inicio posterior a fecha límite"&amp;" · ","")&amp;IF(AND($V19="Macro",$H19&lt;&gt;"",OR(NOT(ISNUMBER($H19)),$H19&lt;0,$H19&gt;1)),"Peso fuera de rango"&amp;" · ","")&amp;IF(AND($V19="Sub",$H19&lt;&gt;""),"Las subactividades no llevan peso (valen igual dentro de su macroactividad)"&amp;" · ","")&amp;IF(AND(N($W19)&gt;0,COUNT($I19:$L19)&gt;0),"Con subactividades: deje vacías las semanas (se calculan solas)"&amp;" · ","")&amp;IF((COUNTIF($I19:$L19,"&gt;1")+COUNTIF($I19:$L19,"&lt;0")+COUNTA($I19:$L19)-COUNT($I19:$L19))&gt;0,"Avance fuera de rango 0-100%"&amp;" · ","")&amp;IF(OR(AND($J19&lt;&gt;"",$J19&lt;$I19),AND($K19&lt;&gt;"",$K19&lt;MAX($I19:$J19)),AND($L19&lt;&gt;"",$L19&lt;MAX($I19:$K19))),"Avance semanal decreciente"&amp;" · ","")&amp;IF(AND(ISNUMBER($AN19),$AN19&lt;FechaRef,IF($V19="Sub",N($X19),N($M19))&lt;1),"Vencida"&amp;" · ","")&amp;IF(AND(ObsObligatoria="Sí",ISNUMBER($AN19),$AN19&lt;FechaRef,IF($V19="Sub",N($X19),N($M19))&lt;1,$Q19=""),"Vencida sin observación"&amp;" · ",""),LEN(IF($C19="","Falta el nombre de la actividad"&amp;" · ","")&amp;IF(AND($V19="Sub",N($U19)=0),"Subactividad sin macroactividad arriba"&amp;" · ","")&amp;IF($AM19="","Sin fecha de inicio"&amp;" · ","")&amp;IF($AN19="","Sin fecha límite"&amp;" · ","")&amp;IF(AND(LEFT($C19,11)="[Jefatura] ",N($AL19)=0),"No se encuentra en la hoja de la jefatura (elíjala de nuevo en la lista)"&amp;" · ","")&amp;IF(OR(AND($E19&lt;&gt;"",NOT(ISNUMBER($E19))),AND($F19&lt;&gt;"",NOT(ISNUMBER($F19))),AND($G19&lt;&gt;"",NOT(ISNUMBER($G19)))),"Fecha no válida"&amp;" · ","")&amp;IF(AND(ISNUMBER($AM19),ISNUMBER($AN19),$AM19&gt;$AN19),"Inicio posterior a fecha límite"&amp;" · ","")&amp;IF(AND($V19="Macro",$H19&lt;&gt;"",OR(NOT(ISNUMBER($H19)),$H19&lt;0,$H19&gt;1)),"Peso fuera de rango"&amp;" · ","")&amp;IF(AND($V19="Sub",$H19&lt;&gt;""),"Las subactividades no llevan peso (valen igual dentro de su macroactividad)"&amp;" · ","")&amp;IF(AND(N($W19)&gt;0,COUNT($I19:$L19)&gt;0),"Con subactividades: deje vacías las semanas (se calculan solas)"&amp;" · ","")&amp;IF((COUNTIF($I19:$L19,"&gt;1")+COUNTIF($I19:$L19,"&lt;0")+COUNTA($I19:$L19)-COUNT($I19:$L19))&gt;0,"Avance fuera de rango 0-100%"&amp;" · ","")&amp;IF(OR(AND($J19&lt;&gt;"",$J19&lt;$I19),AND($K19&lt;&gt;"",$K19&lt;MAX($I19:$J19)),AND($L19&lt;&gt;"",$L19&lt;MAX($I19:$K19))),"Avance semanal decreciente"&amp;" · ","")&amp;IF(AND(ISNUMBER($AN19),$AN19&lt;FechaRef,IF($V19="Sub",N($X19),N($M19))&lt;1),"Vencida"&amp;" · ","")&amp;IF(AND(ObsObligatoria="Sí",ISNUMBER($AN19),$AN19&lt;FechaRef,IF($V19="Sub",N($X19),N($M19))&lt;1,$Q19=""),"Vencida sin observación"&amp;" · ",""))-3)))</f>
        <v/>
      </c>
      <c r="S19" s="64">
        <f>IF(NOT((COUNTA($B19:$D19)+COUNTA($G19:$L19)+COUNTA($Q19))&gt;0),"",IF(AND($V19="Sub",N($U19)&gt;0),IF(ISNUMBER(INDEX($AM$5:$AM$1000,$U19-4)),DATE(YEAR(INDEX($AM$5:$AM$1000,$U19-4)),MONTH(INDEX($AM$5:$AM$1000,$U19-4)),1),IF(ISNUMBER(INDEX($AN$5:$AN$1000,$U19-4)),DATE(YEAR(INDEX($AN$5:$AN$1000,$U19-4)),MONTH(INDEX($AN$5:$AN$1000,$U19-4)),1),MesCiclo)),IF(ISNUMBER($AM19),DATE(YEAR($AM19),MONTH($AM19),1),IF(ISNUMBER($AN19),DATE(YEAR($AN19),MONTH($AN19),1),MesCiclo))))</f>
        <v/>
      </c>
      <c r="T19" s="62">
        <f>IF(OR($S19="",$S19&lt;&gt;MesCiclo,$V19&lt;&gt;"Macro"),"",COUNTIFS($S$5:$S19,MesCiclo,$V$5:$V19,"Macro"))</f>
        <v/>
      </c>
      <c r="U19" s="62">
        <f>IF($V19="","",IF($V19="Macro",ROW(),IFERROR(LOOKUP(2,1/($V$5:$V19="Macro"),ROW($V$5:$V19)),0)))</f>
        <v/>
      </c>
      <c r="V19" s="62">
        <f>IF(NOT((COUNTA($B19:$D19)+COUNTA($G19:$L19)+COUNTA($Q19))&gt;0),"",IF($B19="Subactividad","Sub","Macro"))</f>
        <v/>
      </c>
      <c r="W19" s="62">
        <f>IF($V19="Macro",COUNTIFS($U$5:$U$1000,ROW(),$V$5:$V$1000,"Sub"),"")</f>
        <v/>
      </c>
      <c r="X19" s="62">
        <f>IF($V19="","",IF(ISNUMBER($G19),1,IFERROR(LOOKUP(2,1/($I19:$L19&lt;&gt;""),$I19:$L19),0)))</f>
        <v/>
      </c>
      <c r="Y19" s="62">
        <f>IF($V19="","",IF(AND(ISNUMBER($G19),$G19&lt;=IF($S19=MesCiclo,InicioCiclo,$S19+MOD(2-WEEKDAY($S19),7))+6),1,IF(ISNUMBER($I19),$I19,0)))</f>
        <v/>
      </c>
      <c r="Z19" s="62">
        <f>IF($V19="","",IF(AND(ISNUMBER($G19),$G19&lt;=IF($S19=MesCiclo,InicioCiclo,$S19+MOD(2-WEEKDAY($S19),7))+13),1,IF(ISNUMBER($J19),$J19,$Y19)))</f>
        <v/>
      </c>
      <c r="AA19" s="62">
        <f>IF($V19="","",IF(AND(ISNUMBER($G19),$G19&lt;=IF($S19=MesCiclo,InicioCiclo,$S19+MOD(2-WEEKDAY($S19),7))+20),1,IF(ISNUMBER($K19),$K19,$Z19)))</f>
        <v/>
      </c>
      <c r="AB19" s="62">
        <f>IF($V19="","",IF(AND(ISNUMBER($G19),$G19&lt;=IF($S19=MesCiclo,InicioCiclo,$S19+MOD(2-WEEKDAY($S19),7))+27),1,IF(ISNUMBER($L19),$L19,$AA19)))</f>
        <v/>
      </c>
      <c r="AC19" s="62">
        <f>IF($V19="","",IF(AND(ISNUMBER($G19),$G19&lt;=IF($S19=MesCiclo,InicioCiclo,$S19+MOD(2-WEEKDAY($S19),7))+6),1,IF(N($W19)&gt;0,AVERAGEIFS($Y$5:$Y$1000,$U$5:$U$1000,ROW(),$V$5:$V$1000,"Sub"),$Y19)))</f>
        <v/>
      </c>
      <c r="AD19" s="62">
        <f>IF($V19="","",IF(AND(ISNUMBER($G19),$G19&lt;=IF($S19=MesCiclo,InicioCiclo,$S19+MOD(2-WEEKDAY($S19),7))+13),1,IF(N($W19)&gt;0,AVERAGEIFS($Z$5:$Z$1000,$U$5:$U$1000,ROW(),$V$5:$V$1000,"Sub"),$Z19)))</f>
        <v/>
      </c>
      <c r="AE19" s="62">
        <f>IF($V19="","",IF(AND(ISNUMBER($G19),$G19&lt;=IF($S19=MesCiclo,InicioCiclo,$S19+MOD(2-WEEKDAY($S19),7))+20),1,IF(N($W19)&gt;0,AVERAGEIFS($AA$5:$AA$1000,$U$5:$U$1000,ROW(),$V$5:$V$1000,"Sub"),$AA19)))</f>
        <v/>
      </c>
      <c r="AF19" s="62">
        <f>IF($V19="","",IF(AND(ISNUMBER($G19),$G19&lt;=IF($S19=MesCiclo,InicioCiclo,$S19+MOD(2-WEEKDAY($S19),7))+27),1,IF(N($W19)&gt;0,AVERAGEIFS($AB$5:$AB$1000,$U$5:$U$1000,ROW(),$V$5:$V$1000,"Sub"),$AB19)))</f>
        <v/>
      </c>
      <c r="AG19" s="62">
        <f>IF($V19&lt;&gt;"Macro","",IF(COUNTIFS($S$5:$S$1000,$S19,$V$5:$V$1000,"Macro",$H$5:$H$1000,"&gt;0")=0,1/COUNTIFS($S$5:$S$1000,$S19,$V$5:$V$1000,"Macro"),IF(AND(ISNUMBER($H19),N($H19)&gt;0),$H19,SUMIFS($H$5:$H$1000,$S$5:$S$1000,$S19,$V$5:$V$1000,"Macro")/COUNTIFS($S$5:$S$1000,$S19,$V$5:$V$1000,"Macro",$H$5:$H$1000,"&gt;0"))/(COUNTIFS($S$5:$S$1000,$S19,$V$5:$V$1000,"Macro")*SUMIFS($H$5:$H$1000,$S$5:$S$1000,$S19,$V$5:$V$1000,"Macro")/COUNTIFS($S$5:$S$1000,$S19,$V$5:$V$1000,"Macro",$H$5:$H$1000,"&gt;0"))))</f>
        <v/>
      </c>
      <c r="AH19" s="62" t="n"/>
      <c r="AI19" s="62" t="n"/>
      <c r="AJ19" s="62" t="n"/>
      <c r="AK19" s="62" t="n"/>
      <c r="AL19" s="62">
        <f>IF(LEFT($C19,11)="[Jefatura] ",IFERROR(MATCH("Asistente Técnico de Riesgo|"&amp;MID($C19,12,500),rDname_ADM,0),0),"")</f>
        <v/>
      </c>
      <c r="AM19" s="62">
        <f>IF(N($AL19)&gt;0,INDEX(rIni_ADM,$AL19),IF(ISNUMBER($E19),$E19,""))</f>
        <v/>
      </c>
      <c r="AN19" s="62">
        <f>IF(N($AL19)&gt;0,INDEX(rLim_ADM,$AL19),IF(ISNUMBER($F19),$F19,""))</f>
        <v/>
      </c>
    </row>
    <row r="20">
      <c r="A20" s="56">
        <f>IF(NOT((COUNTA($B20:$D20)+COUNTA($G20:$L20)+COUNTA($Q20))&gt;0),"",IF($V20="Macro",COUNTIFS($V$5:$V20,"Macro",$S$5:$S20,$S20),IF(N($U20)=0,"?",COUNTIFS(INDEX($V$5:$V$1000,1):INDEX($V$5:$V$1000,$U20-4),"Macro",INDEX($S$5:$S$1000,1):INDEX($S$5:$S$1000,$U20-4),INDEX($S$5:$S$1000,$U20-4))&amp;"."&amp;COUNTIFS($U$5:$U20,$U20,$V$5:$V20,"Sub"))))</f>
        <v/>
      </c>
      <c r="B20" s="57" t="n"/>
      <c r="C20" s="58" t="n"/>
      <c r="D20" s="58" t="n"/>
      <c r="E20" s="59">
        <f>IF(N($AL20)&gt;0,INDEX(rIni_ADM,$AL20),"")</f>
        <v/>
      </c>
      <c r="F20" s="59">
        <f>IF(N($AL20)&gt;0,INDEX(rLim_ADM,$AL20),"")</f>
        <v/>
      </c>
      <c r="G20" s="59" t="n"/>
      <c r="H20" s="60" t="n"/>
      <c r="I20" s="60" t="n"/>
      <c r="J20" s="60" t="n"/>
      <c r="K20" s="60" t="n"/>
      <c r="L20" s="60" t="n"/>
      <c r="M20" s="61">
        <f>IF(NOT((COUNTA($B20:$D20)+COUNTA($G20:$L20)+COUNTA($Q20))&gt;0),"",IF($V20="Sub",IFERROR($X20/INDEX($W$5:$W$1000,$U20-4),""),IF(ISNUMBER($G20),1,IF(N($W20)&gt;0,AVERAGEIFS($X$5:$X$1000,$U$5:$U$1000,ROW(),$V$5:$V$1000,"Sub"),$X20))))</f>
        <v/>
      </c>
      <c r="N20" s="56">
        <f>IF(OR($M20="",$V20="Sub"),"",IF($M20&gt;=1,"Completado",IF($M20&gt;0,"En curso","Pendiente")))</f>
        <v/>
      </c>
      <c r="O20" s="56">
        <f>IF(OR(NOT((COUNTA($B20:$D20)+COUNTA($G20:$L20)+COUNTA($Q20))&gt;0),$V20="Sub"),"",IF(ISNUMBER($G20),IF(AND(ISNUMBER($AN20),$G20&gt;$AN20),"Cumplida con "&amp;($G20-$AN20)&amp;IF($G20-$AN20=1," día"," días")&amp;" de retraso","Cumplida"),IF(N($M20)&gt;=1,"Cumplida",IF(NOT(ISNUMBER($AN20)),"Sin fecha límite",IF($AN20&lt;FechaRef,"Vencida hace "&amp;(FechaRef-$AN20)&amp;IF(FechaRef-$AN20=1," día"," días"),IF($AN20=FechaRef,"Vence hoy",IF($AN20-FechaRef&lt;=DiasAlerta,"Vence en "&amp;($AN20-FechaRef)&amp;IF($AN20-FechaRef=1," día"," días"),"En plazo")))))))</f>
        <v/>
      </c>
      <c r="P20" s="62" t="n"/>
      <c r="Q20" s="58" t="n"/>
      <c r="R20" s="63">
        <f>IF(NOT((COUNTA($B20:$D20)+COUNTA($G20:$L20)+COUNTA($Q20))&gt;0),"",IF((IF($C20="","Falta el nombre de la actividad"&amp;" · ","")&amp;IF(AND($V20="Sub",N($U20)=0),"Subactividad sin macroactividad arriba"&amp;" · ","")&amp;IF($AM20="","Sin fecha de inicio"&amp;" · ","")&amp;IF($AN20="","Sin fecha límite"&amp;" · ","")&amp;IF(AND(LEFT($C20,11)="[Jefatura] ",N($AL20)=0),"No se encuentra en la hoja de la jefatura (elíjala de nuevo en la lista)"&amp;" · ","")&amp;IF(OR(AND($E20&lt;&gt;"",NOT(ISNUMBER($E20))),AND($F20&lt;&gt;"",NOT(ISNUMBER($F20))),AND($G20&lt;&gt;"",NOT(ISNUMBER($G20)))),"Fecha no válida"&amp;" · ","")&amp;IF(AND(ISNUMBER($AM20),ISNUMBER($AN20),$AM20&gt;$AN20),"Inicio posterior a fecha límite"&amp;" · ","")&amp;IF(AND($V20="Macro",$H20&lt;&gt;"",OR(NOT(ISNUMBER($H20)),$H20&lt;0,$H20&gt;1)),"Peso fuera de rango"&amp;" · ","")&amp;IF(AND($V20="Sub",$H20&lt;&gt;""),"Las subactividades no llevan peso (valen igual dentro de su macroactividad)"&amp;" · ","")&amp;IF(AND(N($W20)&gt;0,COUNT($I20:$L20)&gt;0),"Con subactividades: deje vacías las semanas (se calculan solas)"&amp;" · ","")&amp;IF((COUNTIF($I20:$L20,"&gt;1")+COUNTIF($I20:$L20,"&lt;0")+COUNTA($I20:$L20)-COUNT($I20:$L20))&gt;0,"Avance fuera de rango 0-100%"&amp;" · ","")&amp;IF(OR(AND($J20&lt;&gt;"",$J20&lt;$I20),AND($K20&lt;&gt;"",$K20&lt;MAX($I20:$J20)),AND($L20&lt;&gt;"",$L20&lt;MAX($I20:$K20))),"Avance semanal decreciente"&amp;" · ","")&amp;IF(AND(ISNUMBER($AN20),$AN20&lt;FechaRef,IF($V20="Sub",N($X20),N($M20))&lt;1),"Vencida"&amp;" · ","")&amp;IF(AND(ObsObligatoria="Sí",ISNUMBER($AN20),$AN20&lt;FechaRef,IF($V20="Sub",N($X20),N($M20))&lt;1,$Q20=""),"Vencida sin observación"&amp;" · ",""))="","✔ OK","⚠ "&amp;LEFT(IF($C20="","Falta el nombre de la actividad"&amp;" · ","")&amp;IF(AND($V20="Sub",N($U20)=0),"Subactividad sin macroactividad arriba"&amp;" · ","")&amp;IF($AM20="","Sin fecha de inicio"&amp;" · ","")&amp;IF($AN20="","Sin fecha límite"&amp;" · ","")&amp;IF(AND(LEFT($C20,11)="[Jefatura] ",N($AL20)=0),"No se encuentra en la hoja de la jefatura (elíjala de nuevo en la lista)"&amp;" · ","")&amp;IF(OR(AND($E20&lt;&gt;"",NOT(ISNUMBER($E20))),AND($F20&lt;&gt;"",NOT(ISNUMBER($F20))),AND($G20&lt;&gt;"",NOT(ISNUMBER($G20)))),"Fecha no válida"&amp;" · ","")&amp;IF(AND(ISNUMBER($AM20),ISNUMBER($AN20),$AM20&gt;$AN20),"Inicio posterior a fecha límite"&amp;" · ","")&amp;IF(AND($V20="Macro",$H20&lt;&gt;"",OR(NOT(ISNUMBER($H20)),$H20&lt;0,$H20&gt;1)),"Peso fuera de rango"&amp;" · ","")&amp;IF(AND($V20="Sub",$H20&lt;&gt;""),"Las subactividades no llevan peso (valen igual dentro de su macroactividad)"&amp;" · ","")&amp;IF(AND(N($W20)&gt;0,COUNT($I20:$L20)&gt;0),"Con subactividades: deje vacías las semanas (se calculan solas)"&amp;" · ","")&amp;IF((COUNTIF($I20:$L20,"&gt;1")+COUNTIF($I20:$L20,"&lt;0")+COUNTA($I20:$L20)-COUNT($I20:$L20))&gt;0,"Avance fuera de rango 0-100%"&amp;" · ","")&amp;IF(OR(AND($J20&lt;&gt;"",$J20&lt;$I20),AND($K20&lt;&gt;"",$K20&lt;MAX($I20:$J20)),AND($L20&lt;&gt;"",$L20&lt;MAX($I20:$K20))),"Avance semanal decreciente"&amp;" · ","")&amp;IF(AND(ISNUMBER($AN20),$AN20&lt;FechaRef,IF($V20="Sub",N($X20),N($M20))&lt;1),"Vencida"&amp;" · ","")&amp;IF(AND(ObsObligatoria="Sí",ISNUMBER($AN20),$AN20&lt;FechaRef,IF($V20="Sub",N($X20),N($M20))&lt;1,$Q20=""),"Vencida sin observación"&amp;" · ",""),LEN(IF($C20="","Falta el nombre de la actividad"&amp;" · ","")&amp;IF(AND($V20="Sub",N($U20)=0),"Subactividad sin macroactividad arriba"&amp;" · ","")&amp;IF($AM20="","Sin fecha de inicio"&amp;" · ","")&amp;IF($AN20="","Sin fecha límite"&amp;" · ","")&amp;IF(AND(LEFT($C20,11)="[Jefatura] ",N($AL20)=0),"No se encuentra en la hoja de la jefatura (elíjala de nuevo en la lista)"&amp;" · ","")&amp;IF(OR(AND($E20&lt;&gt;"",NOT(ISNUMBER($E20))),AND($F20&lt;&gt;"",NOT(ISNUMBER($F20))),AND($G20&lt;&gt;"",NOT(ISNUMBER($G20)))),"Fecha no válida"&amp;" · ","")&amp;IF(AND(ISNUMBER($AM20),ISNUMBER($AN20),$AM20&gt;$AN20),"Inicio posterior a fecha límite"&amp;" · ","")&amp;IF(AND($V20="Macro",$H20&lt;&gt;"",OR(NOT(ISNUMBER($H20)),$H20&lt;0,$H20&gt;1)),"Peso fuera de rango"&amp;" · ","")&amp;IF(AND($V20="Sub",$H20&lt;&gt;""),"Las subactividades no llevan peso (valen igual dentro de su macroactividad)"&amp;" · ","")&amp;IF(AND(N($W20)&gt;0,COUNT($I20:$L20)&gt;0),"Con subactividades: deje vacías las semanas (se calculan solas)"&amp;" · ","")&amp;IF((COUNTIF($I20:$L20,"&gt;1")+COUNTIF($I20:$L20,"&lt;0")+COUNTA($I20:$L20)-COUNT($I20:$L20))&gt;0,"Avance fuera de rango 0-100%"&amp;" · ","")&amp;IF(OR(AND($J20&lt;&gt;"",$J20&lt;$I20),AND($K20&lt;&gt;"",$K20&lt;MAX($I20:$J20)),AND($L20&lt;&gt;"",$L20&lt;MAX($I20:$K20))),"Avance semanal decreciente"&amp;" · ","")&amp;IF(AND(ISNUMBER($AN20),$AN20&lt;FechaRef,IF($V20="Sub",N($X20),N($M20))&lt;1),"Vencida"&amp;" · ","")&amp;IF(AND(ObsObligatoria="Sí",ISNUMBER($AN20),$AN20&lt;FechaRef,IF($V20="Sub",N($X20),N($M20))&lt;1,$Q20=""),"Vencida sin observación"&amp;" · ",""))-3)))</f>
        <v/>
      </c>
      <c r="S20" s="64">
        <f>IF(NOT((COUNTA($B20:$D20)+COUNTA($G20:$L20)+COUNTA($Q20))&gt;0),"",IF(AND($V20="Sub",N($U20)&gt;0),IF(ISNUMBER(INDEX($AM$5:$AM$1000,$U20-4)),DATE(YEAR(INDEX($AM$5:$AM$1000,$U20-4)),MONTH(INDEX($AM$5:$AM$1000,$U20-4)),1),IF(ISNUMBER(INDEX($AN$5:$AN$1000,$U20-4)),DATE(YEAR(INDEX($AN$5:$AN$1000,$U20-4)),MONTH(INDEX($AN$5:$AN$1000,$U20-4)),1),MesCiclo)),IF(ISNUMBER($AM20),DATE(YEAR($AM20),MONTH($AM20),1),IF(ISNUMBER($AN20),DATE(YEAR($AN20),MONTH($AN20),1),MesCiclo))))</f>
        <v/>
      </c>
      <c r="T20" s="62">
        <f>IF(OR($S20="",$S20&lt;&gt;MesCiclo,$V20&lt;&gt;"Macro"),"",COUNTIFS($S$5:$S20,MesCiclo,$V$5:$V20,"Macro"))</f>
        <v/>
      </c>
      <c r="U20" s="62">
        <f>IF($V20="","",IF($V20="Macro",ROW(),IFERROR(LOOKUP(2,1/($V$5:$V20="Macro"),ROW($V$5:$V20)),0)))</f>
        <v/>
      </c>
      <c r="V20" s="62">
        <f>IF(NOT((COUNTA($B20:$D20)+COUNTA($G20:$L20)+COUNTA($Q20))&gt;0),"",IF($B20="Subactividad","Sub","Macro"))</f>
        <v/>
      </c>
      <c r="W20" s="62">
        <f>IF($V20="Macro",COUNTIFS($U$5:$U$1000,ROW(),$V$5:$V$1000,"Sub"),"")</f>
        <v/>
      </c>
      <c r="X20" s="62">
        <f>IF($V20="","",IF(ISNUMBER($G20),1,IFERROR(LOOKUP(2,1/($I20:$L20&lt;&gt;""),$I20:$L20),0)))</f>
        <v/>
      </c>
      <c r="Y20" s="62">
        <f>IF($V20="","",IF(AND(ISNUMBER($G20),$G20&lt;=IF($S20=MesCiclo,InicioCiclo,$S20+MOD(2-WEEKDAY($S20),7))+6),1,IF(ISNUMBER($I20),$I20,0)))</f>
        <v/>
      </c>
      <c r="Z20" s="62">
        <f>IF($V20="","",IF(AND(ISNUMBER($G20),$G20&lt;=IF($S20=MesCiclo,InicioCiclo,$S20+MOD(2-WEEKDAY($S20),7))+13),1,IF(ISNUMBER($J20),$J20,$Y20)))</f>
        <v/>
      </c>
      <c r="AA20" s="62">
        <f>IF($V20="","",IF(AND(ISNUMBER($G20),$G20&lt;=IF($S20=MesCiclo,InicioCiclo,$S20+MOD(2-WEEKDAY($S20),7))+20),1,IF(ISNUMBER($K20),$K20,$Z20)))</f>
        <v/>
      </c>
      <c r="AB20" s="62">
        <f>IF($V20="","",IF(AND(ISNUMBER($G20),$G20&lt;=IF($S20=MesCiclo,InicioCiclo,$S20+MOD(2-WEEKDAY($S20),7))+27),1,IF(ISNUMBER($L20),$L20,$AA20)))</f>
        <v/>
      </c>
      <c r="AC20" s="62">
        <f>IF($V20="","",IF(AND(ISNUMBER($G20),$G20&lt;=IF($S20=MesCiclo,InicioCiclo,$S20+MOD(2-WEEKDAY($S20),7))+6),1,IF(N($W20)&gt;0,AVERAGEIFS($Y$5:$Y$1000,$U$5:$U$1000,ROW(),$V$5:$V$1000,"Sub"),$Y20)))</f>
        <v/>
      </c>
      <c r="AD20" s="62">
        <f>IF($V20="","",IF(AND(ISNUMBER($G20),$G20&lt;=IF($S20=MesCiclo,InicioCiclo,$S20+MOD(2-WEEKDAY($S20),7))+13),1,IF(N($W20)&gt;0,AVERAGEIFS($Z$5:$Z$1000,$U$5:$U$1000,ROW(),$V$5:$V$1000,"Sub"),$Z20)))</f>
        <v/>
      </c>
      <c r="AE20" s="62">
        <f>IF($V20="","",IF(AND(ISNUMBER($G20),$G20&lt;=IF($S20=MesCiclo,InicioCiclo,$S20+MOD(2-WEEKDAY($S20),7))+20),1,IF(N($W20)&gt;0,AVERAGEIFS($AA$5:$AA$1000,$U$5:$U$1000,ROW(),$V$5:$V$1000,"Sub"),$AA20)))</f>
        <v/>
      </c>
      <c r="AF20" s="62">
        <f>IF($V20="","",IF(AND(ISNUMBER($G20),$G20&lt;=IF($S20=MesCiclo,InicioCiclo,$S20+MOD(2-WEEKDAY($S20),7))+27),1,IF(N($W20)&gt;0,AVERAGEIFS($AB$5:$AB$1000,$U$5:$U$1000,ROW(),$V$5:$V$1000,"Sub"),$AB20)))</f>
        <v/>
      </c>
      <c r="AG20" s="62">
        <f>IF($V20&lt;&gt;"Macro","",IF(COUNTIFS($S$5:$S$1000,$S20,$V$5:$V$1000,"Macro",$H$5:$H$1000,"&gt;0")=0,1/COUNTIFS($S$5:$S$1000,$S20,$V$5:$V$1000,"Macro"),IF(AND(ISNUMBER($H20),N($H20)&gt;0),$H20,SUMIFS($H$5:$H$1000,$S$5:$S$1000,$S20,$V$5:$V$1000,"Macro")/COUNTIFS($S$5:$S$1000,$S20,$V$5:$V$1000,"Macro",$H$5:$H$1000,"&gt;0"))/(COUNTIFS($S$5:$S$1000,$S20,$V$5:$V$1000,"Macro")*SUMIFS($H$5:$H$1000,$S$5:$S$1000,$S20,$V$5:$V$1000,"Macro")/COUNTIFS($S$5:$S$1000,$S20,$V$5:$V$1000,"Macro",$H$5:$H$1000,"&gt;0"))))</f>
        <v/>
      </c>
      <c r="AH20" s="62" t="n"/>
      <c r="AI20" s="62" t="n"/>
      <c r="AJ20" s="62" t="n"/>
      <c r="AK20" s="62" t="n"/>
      <c r="AL20" s="62">
        <f>IF(LEFT($C20,11)="[Jefatura] ",IFERROR(MATCH("Asistente Técnico de Riesgo|"&amp;MID($C20,12,500),rDname_ADM,0),0),"")</f>
        <v/>
      </c>
      <c r="AM20" s="62">
        <f>IF(N($AL20)&gt;0,INDEX(rIni_ADM,$AL20),IF(ISNUMBER($E20),$E20,""))</f>
        <v/>
      </c>
      <c r="AN20" s="62">
        <f>IF(N($AL20)&gt;0,INDEX(rLim_ADM,$AL20),IF(ISNUMBER($F20),$F20,""))</f>
        <v/>
      </c>
    </row>
    <row r="21">
      <c r="A21" s="56">
        <f>IF(NOT((COUNTA($B21:$D21)+COUNTA($G21:$L21)+COUNTA($Q21))&gt;0),"",IF($V21="Macro",COUNTIFS($V$5:$V21,"Macro",$S$5:$S21,$S21),IF(N($U21)=0,"?",COUNTIFS(INDEX($V$5:$V$1000,1):INDEX($V$5:$V$1000,$U21-4),"Macro",INDEX($S$5:$S$1000,1):INDEX($S$5:$S$1000,$U21-4),INDEX($S$5:$S$1000,$U21-4))&amp;"."&amp;COUNTIFS($U$5:$U21,$U21,$V$5:$V21,"Sub"))))</f>
        <v/>
      </c>
      <c r="B21" s="57" t="n"/>
      <c r="C21" s="58" t="n"/>
      <c r="D21" s="58" t="n"/>
      <c r="E21" s="59">
        <f>IF(N($AL21)&gt;0,INDEX(rIni_ADM,$AL21),"")</f>
        <v/>
      </c>
      <c r="F21" s="59">
        <f>IF(N($AL21)&gt;0,INDEX(rLim_ADM,$AL21),"")</f>
        <v/>
      </c>
      <c r="G21" s="59" t="n"/>
      <c r="H21" s="60" t="n"/>
      <c r="I21" s="60" t="n"/>
      <c r="J21" s="60" t="n"/>
      <c r="K21" s="60" t="n"/>
      <c r="L21" s="60" t="n"/>
      <c r="M21" s="61">
        <f>IF(NOT((COUNTA($B21:$D21)+COUNTA($G21:$L21)+COUNTA($Q21))&gt;0),"",IF($V21="Sub",IFERROR($X21/INDEX($W$5:$W$1000,$U21-4),""),IF(ISNUMBER($G21),1,IF(N($W21)&gt;0,AVERAGEIFS($X$5:$X$1000,$U$5:$U$1000,ROW(),$V$5:$V$1000,"Sub"),$X21))))</f>
        <v/>
      </c>
      <c r="N21" s="56">
        <f>IF(OR($M21="",$V21="Sub"),"",IF($M21&gt;=1,"Completado",IF($M21&gt;0,"En curso","Pendiente")))</f>
        <v/>
      </c>
      <c r="O21" s="56">
        <f>IF(OR(NOT((COUNTA($B21:$D21)+COUNTA($G21:$L21)+COUNTA($Q21))&gt;0),$V21="Sub"),"",IF(ISNUMBER($G21),IF(AND(ISNUMBER($AN21),$G21&gt;$AN21),"Cumplida con "&amp;($G21-$AN21)&amp;IF($G21-$AN21=1," día"," días")&amp;" de retraso","Cumplida"),IF(N($M21)&gt;=1,"Cumplida",IF(NOT(ISNUMBER($AN21)),"Sin fecha límite",IF($AN21&lt;FechaRef,"Vencida hace "&amp;(FechaRef-$AN21)&amp;IF(FechaRef-$AN21=1," día"," días"),IF($AN21=FechaRef,"Vence hoy",IF($AN21-FechaRef&lt;=DiasAlerta,"Vence en "&amp;($AN21-FechaRef)&amp;IF($AN21-FechaRef=1," día"," días"),"En plazo")))))))</f>
        <v/>
      </c>
      <c r="P21" s="62" t="n"/>
      <c r="Q21" s="58" t="n"/>
      <c r="R21" s="63">
        <f>IF(NOT((COUNTA($B21:$D21)+COUNTA($G21:$L21)+COUNTA($Q21))&gt;0),"",IF((IF($C21="","Falta el nombre de la actividad"&amp;" · ","")&amp;IF(AND($V21="Sub",N($U21)=0),"Subactividad sin macroactividad arriba"&amp;" · ","")&amp;IF($AM21="","Sin fecha de inicio"&amp;" · ","")&amp;IF($AN21="","Sin fecha límite"&amp;" · ","")&amp;IF(AND(LEFT($C21,11)="[Jefatura] ",N($AL21)=0),"No se encuentra en la hoja de la jefatura (elíjala de nuevo en la lista)"&amp;" · ","")&amp;IF(OR(AND($E21&lt;&gt;"",NOT(ISNUMBER($E21))),AND($F21&lt;&gt;"",NOT(ISNUMBER($F21))),AND($G21&lt;&gt;"",NOT(ISNUMBER($G21)))),"Fecha no válida"&amp;" · ","")&amp;IF(AND(ISNUMBER($AM21),ISNUMBER($AN21),$AM21&gt;$AN21),"Inicio posterior a fecha límite"&amp;" · ","")&amp;IF(AND($V21="Macro",$H21&lt;&gt;"",OR(NOT(ISNUMBER($H21)),$H21&lt;0,$H21&gt;1)),"Peso fuera de rango"&amp;" · ","")&amp;IF(AND($V21="Sub",$H21&lt;&gt;""),"Las subactividades no llevan peso (valen igual dentro de su macroactividad)"&amp;" · ","")&amp;IF(AND(N($W21)&gt;0,COUNT($I21:$L21)&gt;0),"Con subactividades: deje vacías las semanas (se calculan solas)"&amp;" · ","")&amp;IF((COUNTIF($I21:$L21,"&gt;1")+COUNTIF($I21:$L21,"&lt;0")+COUNTA($I21:$L21)-COUNT($I21:$L21))&gt;0,"Avance fuera de rango 0-100%"&amp;" · ","")&amp;IF(OR(AND($J21&lt;&gt;"",$J21&lt;$I21),AND($K21&lt;&gt;"",$K21&lt;MAX($I21:$J21)),AND($L21&lt;&gt;"",$L21&lt;MAX($I21:$K21))),"Avance semanal decreciente"&amp;" · ","")&amp;IF(AND(ISNUMBER($AN21),$AN21&lt;FechaRef,IF($V21="Sub",N($X21),N($M21))&lt;1),"Vencida"&amp;" · ","")&amp;IF(AND(ObsObligatoria="Sí",ISNUMBER($AN21),$AN21&lt;FechaRef,IF($V21="Sub",N($X21),N($M21))&lt;1,$Q21=""),"Vencida sin observación"&amp;" · ",""))="","✔ OK","⚠ "&amp;LEFT(IF($C21="","Falta el nombre de la actividad"&amp;" · ","")&amp;IF(AND($V21="Sub",N($U21)=0),"Subactividad sin macroactividad arriba"&amp;" · ","")&amp;IF($AM21="","Sin fecha de inicio"&amp;" · ","")&amp;IF($AN21="","Sin fecha límite"&amp;" · ","")&amp;IF(AND(LEFT($C21,11)="[Jefatura] ",N($AL21)=0),"No se encuentra en la hoja de la jefatura (elíjala de nuevo en la lista)"&amp;" · ","")&amp;IF(OR(AND($E21&lt;&gt;"",NOT(ISNUMBER($E21))),AND($F21&lt;&gt;"",NOT(ISNUMBER($F21))),AND($G21&lt;&gt;"",NOT(ISNUMBER($G21)))),"Fecha no válida"&amp;" · ","")&amp;IF(AND(ISNUMBER($AM21),ISNUMBER($AN21),$AM21&gt;$AN21),"Inicio posterior a fecha límite"&amp;" · ","")&amp;IF(AND($V21="Macro",$H21&lt;&gt;"",OR(NOT(ISNUMBER($H21)),$H21&lt;0,$H21&gt;1)),"Peso fuera de rango"&amp;" · ","")&amp;IF(AND($V21="Sub",$H21&lt;&gt;""),"Las subactividades no llevan peso (valen igual dentro de su macroactividad)"&amp;" · ","")&amp;IF(AND(N($W21)&gt;0,COUNT($I21:$L21)&gt;0),"Con subactividades: deje vacías las semanas (se calculan solas)"&amp;" · ","")&amp;IF((COUNTIF($I21:$L21,"&gt;1")+COUNTIF($I21:$L21,"&lt;0")+COUNTA($I21:$L21)-COUNT($I21:$L21))&gt;0,"Avance fuera de rango 0-100%"&amp;" · ","")&amp;IF(OR(AND($J21&lt;&gt;"",$J21&lt;$I21),AND($K21&lt;&gt;"",$K21&lt;MAX($I21:$J21)),AND($L21&lt;&gt;"",$L21&lt;MAX($I21:$K21))),"Avance semanal decreciente"&amp;" · ","")&amp;IF(AND(ISNUMBER($AN21),$AN21&lt;FechaRef,IF($V21="Sub",N($X21),N($M21))&lt;1),"Vencida"&amp;" · ","")&amp;IF(AND(ObsObligatoria="Sí",ISNUMBER($AN21),$AN21&lt;FechaRef,IF($V21="Sub",N($X21),N($M21))&lt;1,$Q21=""),"Vencida sin observación"&amp;" · ",""),LEN(IF($C21="","Falta el nombre de la actividad"&amp;" · ","")&amp;IF(AND($V21="Sub",N($U21)=0),"Subactividad sin macroactividad arriba"&amp;" · ","")&amp;IF($AM21="","Sin fecha de inicio"&amp;" · ","")&amp;IF($AN21="","Sin fecha límite"&amp;" · ","")&amp;IF(AND(LEFT($C21,11)="[Jefatura] ",N($AL21)=0),"No se encuentra en la hoja de la jefatura (elíjala de nuevo en la lista)"&amp;" · ","")&amp;IF(OR(AND($E21&lt;&gt;"",NOT(ISNUMBER($E21))),AND($F21&lt;&gt;"",NOT(ISNUMBER($F21))),AND($G21&lt;&gt;"",NOT(ISNUMBER($G21)))),"Fecha no válida"&amp;" · ","")&amp;IF(AND(ISNUMBER($AM21),ISNUMBER($AN21),$AM21&gt;$AN21),"Inicio posterior a fecha límite"&amp;" · ","")&amp;IF(AND($V21="Macro",$H21&lt;&gt;"",OR(NOT(ISNUMBER($H21)),$H21&lt;0,$H21&gt;1)),"Peso fuera de rango"&amp;" · ","")&amp;IF(AND($V21="Sub",$H21&lt;&gt;""),"Las subactividades no llevan peso (valen igual dentro de su macroactividad)"&amp;" · ","")&amp;IF(AND(N($W21)&gt;0,COUNT($I21:$L21)&gt;0),"Con subactividades: deje vacías las semanas (se calculan solas)"&amp;" · ","")&amp;IF((COUNTIF($I21:$L21,"&gt;1")+COUNTIF($I21:$L21,"&lt;0")+COUNTA($I21:$L21)-COUNT($I21:$L21))&gt;0,"Avance fuera de rango 0-100%"&amp;" · ","")&amp;IF(OR(AND($J21&lt;&gt;"",$J21&lt;$I21),AND($K21&lt;&gt;"",$K21&lt;MAX($I21:$J21)),AND($L21&lt;&gt;"",$L21&lt;MAX($I21:$K21))),"Avance semanal decreciente"&amp;" · ","")&amp;IF(AND(ISNUMBER($AN21),$AN21&lt;FechaRef,IF($V21="Sub",N($X21),N($M21))&lt;1),"Vencida"&amp;" · ","")&amp;IF(AND(ObsObligatoria="Sí",ISNUMBER($AN21),$AN21&lt;FechaRef,IF($V21="Sub",N($X21),N($M21))&lt;1,$Q21=""),"Vencida sin observación"&amp;" · ",""))-3)))</f>
        <v/>
      </c>
      <c r="S21" s="64">
        <f>IF(NOT((COUNTA($B21:$D21)+COUNTA($G21:$L21)+COUNTA($Q21))&gt;0),"",IF(AND($V21="Sub",N($U21)&gt;0),IF(ISNUMBER(INDEX($AM$5:$AM$1000,$U21-4)),DATE(YEAR(INDEX($AM$5:$AM$1000,$U21-4)),MONTH(INDEX($AM$5:$AM$1000,$U21-4)),1),IF(ISNUMBER(INDEX($AN$5:$AN$1000,$U21-4)),DATE(YEAR(INDEX($AN$5:$AN$1000,$U21-4)),MONTH(INDEX($AN$5:$AN$1000,$U21-4)),1),MesCiclo)),IF(ISNUMBER($AM21),DATE(YEAR($AM21),MONTH($AM21),1),IF(ISNUMBER($AN21),DATE(YEAR($AN21),MONTH($AN21),1),MesCiclo))))</f>
        <v/>
      </c>
      <c r="T21" s="62">
        <f>IF(OR($S21="",$S21&lt;&gt;MesCiclo,$V21&lt;&gt;"Macro"),"",COUNTIFS($S$5:$S21,MesCiclo,$V$5:$V21,"Macro"))</f>
        <v/>
      </c>
      <c r="U21" s="62">
        <f>IF($V21="","",IF($V21="Macro",ROW(),IFERROR(LOOKUP(2,1/($V$5:$V21="Macro"),ROW($V$5:$V21)),0)))</f>
        <v/>
      </c>
      <c r="V21" s="62">
        <f>IF(NOT((COUNTA($B21:$D21)+COUNTA($G21:$L21)+COUNTA($Q21))&gt;0),"",IF($B21="Subactividad","Sub","Macro"))</f>
        <v/>
      </c>
      <c r="W21" s="62">
        <f>IF($V21="Macro",COUNTIFS($U$5:$U$1000,ROW(),$V$5:$V$1000,"Sub"),"")</f>
        <v/>
      </c>
      <c r="X21" s="62">
        <f>IF($V21="","",IF(ISNUMBER($G21),1,IFERROR(LOOKUP(2,1/($I21:$L21&lt;&gt;""),$I21:$L21),0)))</f>
        <v/>
      </c>
      <c r="Y21" s="62">
        <f>IF($V21="","",IF(AND(ISNUMBER($G21),$G21&lt;=IF($S21=MesCiclo,InicioCiclo,$S21+MOD(2-WEEKDAY($S21),7))+6),1,IF(ISNUMBER($I21),$I21,0)))</f>
        <v/>
      </c>
      <c r="Z21" s="62">
        <f>IF($V21="","",IF(AND(ISNUMBER($G21),$G21&lt;=IF($S21=MesCiclo,InicioCiclo,$S21+MOD(2-WEEKDAY($S21),7))+13),1,IF(ISNUMBER($J21),$J21,$Y21)))</f>
        <v/>
      </c>
      <c r="AA21" s="62">
        <f>IF($V21="","",IF(AND(ISNUMBER($G21),$G21&lt;=IF($S21=MesCiclo,InicioCiclo,$S21+MOD(2-WEEKDAY($S21),7))+20),1,IF(ISNUMBER($K21),$K21,$Z21)))</f>
        <v/>
      </c>
      <c r="AB21" s="62">
        <f>IF($V21="","",IF(AND(ISNUMBER($G21),$G21&lt;=IF($S21=MesCiclo,InicioCiclo,$S21+MOD(2-WEEKDAY($S21),7))+27),1,IF(ISNUMBER($L21),$L21,$AA21)))</f>
        <v/>
      </c>
      <c r="AC21" s="62">
        <f>IF($V21="","",IF(AND(ISNUMBER($G21),$G21&lt;=IF($S21=MesCiclo,InicioCiclo,$S21+MOD(2-WEEKDAY($S21),7))+6),1,IF(N($W21)&gt;0,AVERAGEIFS($Y$5:$Y$1000,$U$5:$U$1000,ROW(),$V$5:$V$1000,"Sub"),$Y21)))</f>
        <v/>
      </c>
      <c r="AD21" s="62">
        <f>IF($V21="","",IF(AND(ISNUMBER($G21),$G21&lt;=IF($S21=MesCiclo,InicioCiclo,$S21+MOD(2-WEEKDAY($S21),7))+13),1,IF(N($W21)&gt;0,AVERAGEIFS($Z$5:$Z$1000,$U$5:$U$1000,ROW(),$V$5:$V$1000,"Sub"),$Z21)))</f>
        <v/>
      </c>
      <c r="AE21" s="62">
        <f>IF($V21="","",IF(AND(ISNUMBER($G21),$G21&lt;=IF($S21=MesCiclo,InicioCiclo,$S21+MOD(2-WEEKDAY($S21),7))+20),1,IF(N($W21)&gt;0,AVERAGEIFS($AA$5:$AA$1000,$U$5:$U$1000,ROW(),$V$5:$V$1000,"Sub"),$AA21)))</f>
        <v/>
      </c>
      <c r="AF21" s="62">
        <f>IF($V21="","",IF(AND(ISNUMBER($G21),$G21&lt;=IF($S21=MesCiclo,InicioCiclo,$S21+MOD(2-WEEKDAY($S21),7))+27),1,IF(N($W21)&gt;0,AVERAGEIFS($AB$5:$AB$1000,$U$5:$U$1000,ROW(),$V$5:$V$1000,"Sub"),$AB21)))</f>
        <v/>
      </c>
      <c r="AG21" s="62">
        <f>IF($V21&lt;&gt;"Macro","",IF(COUNTIFS($S$5:$S$1000,$S21,$V$5:$V$1000,"Macro",$H$5:$H$1000,"&gt;0")=0,1/COUNTIFS($S$5:$S$1000,$S21,$V$5:$V$1000,"Macro"),IF(AND(ISNUMBER($H21),N($H21)&gt;0),$H21,SUMIFS($H$5:$H$1000,$S$5:$S$1000,$S21,$V$5:$V$1000,"Macro")/COUNTIFS($S$5:$S$1000,$S21,$V$5:$V$1000,"Macro",$H$5:$H$1000,"&gt;0"))/(COUNTIFS($S$5:$S$1000,$S21,$V$5:$V$1000,"Macro")*SUMIFS($H$5:$H$1000,$S$5:$S$1000,$S21,$V$5:$V$1000,"Macro")/COUNTIFS($S$5:$S$1000,$S21,$V$5:$V$1000,"Macro",$H$5:$H$1000,"&gt;0"))))</f>
        <v/>
      </c>
      <c r="AH21" s="62" t="n"/>
      <c r="AI21" s="62" t="n"/>
      <c r="AJ21" s="62" t="n"/>
      <c r="AK21" s="62" t="n"/>
      <c r="AL21" s="62">
        <f>IF(LEFT($C21,11)="[Jefatura] ",IFERROR(MATCH("Asistente Técnico de Riesgo|"&amp;MID($C21,12,500),rDname_ADM,0),0),"")</f>
        <v/>
      </c>
      <c r="AM21" s="62">
        <f>IF(N($AL21)&gt;0,INDEX(rIni_ADM,$AL21),IF(ISNUMBER($E21),$E21,""))</f>
        <v/>
      </c>
      <c r="AN21" s="62">
        <f>IF(N($AL21)&gt;0,INDEX(rLim_ADM,$AL21),IF(ISNUMBER($F21),$F21,""))</f>
        <v/>
      </c>
    </row>
    <row r="22">
      <c r="A22" s="56">
        <f>IF(NOT((COUNTA($B22:$D22)+COUNTA($G22:$L22)+COUNTA($Q22))&gt;0),"",IF($V22="Macro",COUNTIFS($V$5:$V22,"Macro",$S$5:$S22,$S22),IF(N($U22)=0,"?",COUNTIFS(INDEX($V$5:$V$1000,1):INDEX($V$5:$V$1000,$U22-4),"Macro",INDEX($S$5:$S$1000,1):INDEX($S$5:$S$1000,$U22-4),INDEX($S$5:$S$1000,$U22-4))&amp;"."&amp;COUNTIFS($U$5:$U22,$U22,$V$5:$V22,"Sub"))))</f>
        <v/>
      </c>
      <c r="B22" s="57" t="n"/>
      <c r="C22" s="58" t="n"/>
      <c r="D22" s="58" t="n"/>
      <c r="E22" s="59">
        <f>IF(N($AL22)&gt;0,INDEX(rIni_ADM,$AL22),"")</f>
        <v/>
      </c>
      <c r="F22" s="59">
        <f>IF(N($AL22)&gt;0,INDEX(rLim_ADM,$AL22),"")</f>
        <v/>
      </c>
      <c r="G22" s="59" t="n"/>
      <c r="H22" s="60" t="n"/>
      <c r="I22" s="60" t="n"/>
      <c r="J22" s="60" t="n"/>
      <c r="K22" s="60" t="n"/>
      <c r="L22" s="60" t="n"/>
      <c r="M22" s="61">
        <f>IF(NOT((COUNTA($B22:$D22)+COUNTA($G22:$L22)+COUNTA($Q22))&gt;0),"",IF($V22="Sub",IFERROR($X22/INDEX($W$5:$W$1000,$U22-4),""),IF(ISNUMBER($G22),1,IF(N($W22)&gt;0,AVERAGEIFS($X$5:$X$1000,$U$5:$U$1000,ROW(),$V$5:$V$1000,"Sub"),$X22))))</f>
        <v/>
      </c>
      <c r="N22" s="56">
        <f>IF(OR($M22="",$V22="Sub"),"",IF($M22&gt;=1,"Completado",IF($M22&gt;0,"En curso","Pendiente")))</f>
        <v/>
      </c>
      <c r="O22" s="56">
        <f>IF(OR(NOT((COUNTA($B22:$D22)+COUNTA($G22:$L22)+COUNTA($Q22))&gt;0),$V22="Sub"),"",IF(ISNUMBER($G22),IF(AND(ISNUMBER($AN22),$G22&gt;$AN22),"Cumplida con "&amp;($G22-$AN22)&amp;IF($G22-$AN22=1," día"," días")&amp;" de retraso","Cumplida"),IF(N($M22)&gt;=1,"Cumplida",IF(NOT(ISNUMBER($AN22)),"Sin fecha límite",IF($AN22&lt;FechaRef,"Vencida hace "&amp;(FechaRef-$AN22)&amp;IF(FechaRef-$AN22=1," día"," días"),IF($AN22=FechaRef,"Vence hoy",IF($AN22-FechaRef&lt;=DiasAlerta,"Vence en "&amp;($AN22-FechaRef)&amp;IF($AN22-FechaRef=1," día"," días"),"En plazo")))))))</f>
        <v/>
      </c>
      <c r="P22" s="62" t="n"/>
      <c r="Q22" s="58" t="n"/>
      <c r="R22" s="63">
        <f>IF(NOT((COUNTA($B22:$D22)+COUNTA($G22:$L22)+COUNTA($Q22))&gt;0),"",IF((IF($C22="","Falta el nombre de la actividad"&amp;" · ","")&amp;IF(AND($V22="Sub",N($U22)=0),"Subactividad sin macroactividad arriba"&amp;" · ","")&amp;IF($AM22="","Sin fecha de inicio"&amp;" · ","")&amp;IF($AN22="","Sin fecha límite"&amp;" · ","")&amp;IF(AND(LEFT($C22,11)="[Jefatura] ",N($AL22)=0),"No se encuentra en la hoja de la jefatura (elíjala de nuevo en la lista)"&amp;" · ","")&amp;IF(OR(AND($E22&lt;&gt;"",NOT(ISNUMBER($E22))),AND($F22&lt;&gt;"",NOT(ISNUMBER($F22))),AND($G22&lt;&gt;"",NOT(ISNUMBER($G22)))),"Fecha no válida"&amp;" · ","")&amp;IF(AND(ISNUMBER($AM22),ISNUMBER($AN22),$AM22&gt;$AN22),"Inicio posterior a fecha límite"&amp;" · ","")&amp;IF(AND($V22="Macro",$H22&lt;&gt;"",OR(NOT(ISNUMBER($H22)),$H22&lt;0,$H22&gt;1)),"Peso fuera de rango"&amp;" · ","")&amp;IF(AND($V22="Sub",$H22&lt;&gt;""),"Las subactividades no llevan peso (valen igual dentro de su macroactividad)"&amp;" · ","")&amp;IF(AND(N($W22)&gt;0,COUNT($I22:$L22)&gt;0),"Con subactividades: deje vacías las semanas (se calculan solas)"&amp;" · ","")&amp;IF((COUNTIF($I22:$L22,"&gt;1")+COUNTIF($I22:$L22,"&lt;0")+COUNTA($I22:$L22)-COUNT($I22:$L22))&gt;0,"Avance fuera de rango 0-100%"&amp;" · ","")&amp;IF(OR(AND($J22&lt;&gt;"",$J22&lt;$I22),AND($K22&lt;&gt;"",$K22&lt;MAX($I22:$J22)),AND($L22&lt;&gt;"",$L22&lt;MAX($I22:$K22))),"Avance semanal decreciente"&amp;" · ","")&amp;IF(AND(ISNUMBER($AN22),$AN22&lt;FechaRef,IF($V22="Sub",N($X22),N($M22))&lt;1),"Vencida"&amp;" · ","")&amp;IF(AND(ObsObligatoria="Sí",ISNUMBER($AN22),$AN22&lt;FechaRef,IF($V22="Sub",N($X22),N($M22))&lt;1,$Q22=""),"Vencida sin observación"&amp;" · ",""))="","✔ OK","⚠ "&amp;LEFT(IF($C22="","Falta el nombre de la actividad"&amp;" · ","")&amp;IF(AND($V22="Sub",N($U22)=0),"Subactividad sin macroactividad arriba"&amp;" · ","")&amp;IF($AM22="","Sin fecha de inicio"&amp;" · ","")&amp;IF($AN22="","Sin fecha límite"&amp;" · ","")&amp;IF(AND(LEFT($C22,11)="[Jefatura] ",N($AL22)=0),"No se encuentra en la hoja de la jefatura (elíjala de nuevo en la lista)"&amp;" · ","")&amp;IF(OR(AND($E22&lt;&gt;"",NOT(ISNUMBER($E22))),AND($F22&lt;&gt;"",NOT(ISNUMBER($F22))),AND($G22&lt;&gt;"",NOT(ISNUMBER($G22)))),"Fecha no válida"&amp;" · ","")&amp;IF(AND(ISNUMBER($AM22),ISNUMBER($AN22),$AM22&gt;$AN22),"Inicio posterior a fecha límite"&amp;" · ","")&amp;IF(AND($V22="Macro",$H22&lt;&gt;"",OR(NOT(ISNUMBER($H22)),$H22&lt;0,$H22&gt;1)),"Peso fuera de rango"&amp;" · ","")&amp;IF(AND($V22="Sub",$H22&lt;&gt;""),"Las subactividades no llevan peso (valen igual dentro de su macroactividad)"&amp;" · ","")&amp;IF(AND(N($W22)&gt;0,COUNT($I22:$L22)&gt;0),"Con subactividades: deje vacías las semanas (se calculan solas)"&amp;" · ","")&amp;IF((COUNTIF($I22:$L22,"&gt;1")+COUNTIF($I22:$L22,"&lt;0")+COUNTA($I22:$L22)-COUNT($I22:$L22))&gt;0,"Avance fuera de rango 0-100%"&amp;" · ","")&amp;IF(OR(AND($J22&lt;&gt;"",$J22&lt;$I22),AND($K22&lt;&gt;"",$K22&lt;MAX($I22:$J22)),AND($L22&lt;&gt;"",$L22&lt;MAX($I22:$K22))),"Avance semanal decreciente"&amp;" · ","")&amp;IF(AND(ISNUMBER($AN22),$AN22&lt;FechaRef,IF($V22="Sub",N($X22),N($M22))&lt;1),"Vencida"&amp;" · ","")&amp;IF(AND(ObsObligatoria="Sí",ISNUMBER($AN22),$AN22&lt;FechaRef,IF($V22="Sub",N($X22),N($M22))&lt;1,$Q22=""),"Vencida sin observación"&amp;" · ",""),LEN(IF($C22="","Falta el nombre de la actividad"&amp;" · ","")&amp;IF(AND($V22="Sub",N($U22)=0),"Subactividad sin macroactividad arriba"&amp;" · ","")&amp;IF($AM22="","Sin fecha de inicio"&amp;" · ","")&amp;IF($AN22="","Sin fecha límite"&amp;" · ","")&amp;IF(AND(LEFT($C22,11)="[Jefatura] ",N($AL22)=0),"No se encuentra en la hoja de la jefatura (elíjala de nuevo en la lista)"&amp;" · ","")&amp;IF(OR(AND($E22&lt;&gt;"",NOT(ISNUMBER($E22))),AND($F22&lt;&gt;"",NOT(ISNUMBER($F22))),AND($G22&lt;&gt;"",NOT(ISNUMBER($G22)))),"Fecha no válida"&amp;" · ","")&amp;IF(AND(ISNUMBER($AM22),ISNUMBER($AN22),$AM22&gt;$AN22),"Inicio posterior a fecha límite"&amp;" · ","")&amp;IF(AND($V22="Macro",$H22&lt;&gt;"",OR(NOT(ISNUMBER($H22)),$H22&lt;0,$H22&gt;1)),"Peso fuera de rango"&amp;" · ","")&amp;IF(AND($V22="Sub",$H22&lt;&gt;""),"Las subactividades no llevan peso (valen igual dentro de su macroactividad)"&amp;" · ","")&amp;IF(AND(N($W22)&gt;0,COUNT($I22:$L22)&gt;0),"Con subactividades: deje vacías las semanas (se calculan solas)"&amp;" · ","")&amp;IF((COUNTIF($I22:$L22,"&gt;1")+COUNTIF($I22:$L22,"&lt;0")+COUNTA($I22:$L22)-COUNT($I22:$L22))&gt;0,"Avance fuera de rango 0-100%"&amp;" · ","")&amp;IF(OR(AND($J22&lt;&gt;"",$J22&lt;$I22),AND($K22&lt;&gt;"",$K22&lt;MAX($I22:$J22)),AND($L22&lt;&gt;"",$L22&lt;MAX($I22:$K22))),"Avance semanal decreciente"&amp;" · ","")&amp;IF(AND(ISNUMBER($AN22),$AN22&lt;FechaRef,IF($V22="Sub",N($X22),N($M22))&lt;1),"Vencida"&amp;" · ","")&amp;IF(AND(ObsObligatoria="Sí",ISNUMBER($AN22),$AN22&lt;FechaRef,IF($V22="Sub",N($X22),N($M22))&lt;1,$Q22=""),"Vencida sin observación"&amp;" · ",""))-3)))</f>
        <v/>
      </c>
      <c r="S22" s="64">
        <f>IF(NOT((COUNTA($B22:$D22)+COUNTA($G22:$L22)+COUNTA($Q22))&gt;0),"",IF(AND($V22="Sub",N($U22)&gt;0),IF(ISNUMBER(INDEX($AM$5:$AM$1000,$U22-4)),DATE(YEAR(INDEX($AM$5:$AM$1000,$U22-4)),MONTH(INDEX($AM$5:$AM$1000,$U22-4)),1),IF(ISNUMBER(INDEX($AN$5:$AN$1000,$U22-4)),DATE(YEAR(INDEX($AN$5:$AN$1000,$U22-4)),MONTH(INDEX($AN$5:$AN$1000,$U22-4)),1),MesCiclo)),IF(ISNUMBER($AM22),DATE(YEAR($AM22),MONTH($AM22),1),IF(ISNUMBER($AN22),DATE(YEAR($AN22),MONTH($AN22),1),MesCiclo))))</f>
        <v/>
      </c>
      <c r="T22" s="62">
        <f>IF(OR($S22="",$S22&lt;&gt;MesCiclo,$V22&lt;&gt;"Macro"),"",COUNTIFS($S$5:$S22,MesCiclo,$V$5:$V22,"Macro"))</f>
        <v/>
      </c>
      <c r="U22" s="62">
        <f>IF($V22="","",IF($V22="Macro",ROW(),IFERROR(LOOKUP(2,1/($V$5:$V22="Macro"),ROW($V$5:$V22)),0)))</f>
        <v/>
      </c>
      <c r="V22" s="62">
        <f>IF(NOT((COUNTA($B22:$D22)+COUNTA($G22:$L22)+COUNTA($Q22))&gt;0),"",IF($B22="Subactividad","Sub","Macro"))</f>
        <v/>
      </c>
      <c r="W22" s="62">
        <f>IF($V22="Macro",COUNTIFS($U$5:$U$1000,ROW(),$V$5:$V$1000,"Sub"),"")</f>
        <v/>
      </c>
      <c r="X22" s="62">
        <f>IF($V22="","",IF(ISNUMBER($G22),1,IFERROR(LOOKUP(2,1/($I22:$L22&lt;&gt;""),$I22:$L22),0)))</f>
        <v/>
      </c>
      <c r="Y22" s="62">
        <f>IF($V22="","",IF(AND(ISNUMBER($G22),$G22&lt;=IF($S22=MesCiclo,InicioCiclo,$S22+MOD(2-WEEKDAY($S22),7))+6),1,IF(ISNUMBER($I22),$I22,0)))</f>
        <v/>
      </c>
      <c r="Z22" s="62">
        <f>IF($V22="","",IF(AND(ISNUMBER($G22),$G22&lt;=IF($S22=MesCiclo,InicioCiclo,$S22+MOD(2-WEEKDAY($S22),7))+13),1,IF(ISNUMBER($J22),$J22,$Y22)))</f>
        <v/>
      </c>
      <c r="AA22" s="62">
        <f>IF($V22="","",IF(AND(ISNUMBER($G22),$G22&lt;=IF($S22=MesCiclo,InicioCiclo,$S22+MOD(2-WEEKDAY($S22),7))+20),1,IF(ISNUMBER($K22),$K22,$Z22)))</f>
        <v/>
      </c>
      <c r="AB22" s="62">
        <f>IF($V22="","",IF(AND(ISNUMBER($G22),$G22&lt;=IF($S22=MesCiclo,InicioCiclo,$S22+MOD(2-WEEKDAY($S22),7))+27),1,IF(ISNUMBER($L22),$L22,$AA22)))</f>
        <v/>
      </c>
      <c r="AC22" s="62">
        <f>IF($V22="","",IF(AND(ISNUMBER($G22),$G22&lt;=IF($S22=MesCiclo,InicioCiclo,$S22+MOD(2-WEEKDAY($S22),7))+6),1,IF(N($W22)&gt;0,AVERAGEIFS($Y$5:$Y$1000,$U$5:$U$1000,ROW(),$V$5:$V$1000,"Sub"),$Y22)))</f>
        <v/>
      </c>
      <c r="AD22" s="62">
        <f>IF($V22="","",IF(AND(ISNUMBER($G22),$G22&lt;=IF($S22=MesCiclo,InicioCiclo,$S22+MOD(2-WEEKDAY($S22),7))+13),1,IF(N($W22)&gt;0,AVERAGEIFS($Z$5:$Z$1000,$U$5:$U$1000,ROW(),$V$5:$V$1000,"Sub"),$Z22)))</f>
        <v/>
      </c>
      <c r="AE22" s="62">
        <f>IF($V22="","",IF(AND(ISNUMBER($G22),$G22&lt;=IF($S22=MesCiclo,InicioCiclo,$S22+MOD(2-WEEKDAY($S22),7))+20),1,IF(N($W22)&gt;0,AVERAGEIFS($AA$5:$AA$1000,$U$5:$U$1000,ROW(),$V$5:$V$1000,"Sub"),$AA22)))</f>
        <v/>
      </c>
      <c r="AF22" s="62">
        <f>IF($V22="","",IF(AND(ISNUMBER($G22),$G22&lt;=IF($S22=MesCiclo,InicioCiclo,$S22+MOD(2-WEEKDAY($S22),7))+27),1,IF(N($W22)&gt;0,AVERAGEIFS($AB$5:$AB$1000,$U$5:$U$1000,ROW(),$V$5:$V$1000,"Sub"),$AB22)))</f>
        <v/>
      </c>
      <c r="AG22" s="62">
        <f>IF($V22&lt;&gt;"Macro","",IF(COUNTIFS($S$5:$S$1000,$S22,$V$5:$V$1000,"Macro",$H$5:$H$1000,"&gt;0")=0,1/COUNTIFS($S$5:$S$1000,$S22,$V$5:$V$1000,"Macro"),IF(AND(ISNUMBER($H22),N($H22)&gt;0),$H22,SUMIFS($H$5:$H$1000,$S$5:$S$1000,$S22,$V$5:$V$1000,"Macro")/COUNTIFS($S$5:$S$1000,$S22,$V$5:$V$1000,"Macro",$H$5:$H$1000,"&gt;0"))/(COUNTIFS($S$5:$S$1000,$S22,$V$5:$V$1000,"Macro")*SUMIFS($H$5:$H$1000,$S$5:$S$1000,$S22,$V$5:$V$1000,"Macro")/COUNTIFS($S$5:$S$1000,$S22,$V$5:$V$1000,"Macro",$H$5:$H$1000,"&gt;0"))))</f>
        <v/>
      </c>
      <c r="AH22" s="62" t="n"/>
      <c r="AI22" s="62" t="n"/>
      <c r="AJ22" s="62" t="n"/>
      <c r="AK22" s="62" t="n"/>
      <c r="AL22" s="62">
        <f>IF(LEFT($C22,11)="[Jefatura] ",IFERROR(MATCH("Asistente Técnico de Riesgo|"&amp;MID($C22,12,500),rDname_ADM,0),0),"")</f>
        <v/>
      </c>
      <c r="AM22" s="62">
        <f>IF(N($AL22)&gt;0,INDEX(rIni_ADM,$AL22),IF(ISNUMBER($E22),$E22,""))</f>
        <v/>
      </c>
      <c r="AN22" s="62">
        <f>IF(N($AL22)&gt;0,INDEX(rLim_ADM,$AL22),IF(ISNUMBER($F22),$F22,""))</f>
        <v/>
      </c>
    </row>
    <row r="23">
      <c r="A23" s="56">
        <f>IF(NOT((COUNTA($B23:$D23)+COUNTA($G23:$L23)+COUNTA($Q23))&gt;0),"",IF($V23="Macro",COUNTIFS($V$5:$V23,"Macro",$S$5:$S23,$S23),IF(N($U23)=0,"?",COUNTIFS(INDEX($V$5:$V$1000,1):INDEX($V$5:$V$1000,$U23-4),"Macro",INDEX($S$5:$S$1000,1):INDEX($S$5:$S$1000,$U23-4),INDEX($S$5:$S$1000,$U23-4))&amp;"."&amp;COUNTIFS($U$5:$U23,$U23,$V$5:$V23,"Sub"))))</f>
        <v/>
      </c>
      <c r="B23" s="57" t="n"/>
      <c r="C23" s="58" t="n"/>
      <c r="D23" s="58" t="n"/>
      <c r="E23" s="59">
        <f>IF(N($AL23)&gt;0,INDEX(rIni_ADM,$AL23),"")</f>
        <v/>
      </c>
      <c r="F23" s="59">
        <f>IF(N($AL23)&gt;0,INDEX(rLim_ADM,$AL23),"")</f>
        <v/>
      </c>
      <c r="G23" s="59" t="n"/>
      <c r="H23" s="60" t="n"/>
      <c r="I23" s="60" t="n"/>
      <c r="J23" s="60" t="n"/>
      <c r="K23" s="60" t="n"/>
      <c r="L23" s="60" t="n"/>
      <c r="M23" s="61">
        <f>IF(NOT((COUNTA($B23:$D23)+COUNTA($G23:$L23)+COUNTA($Q23))&gt;0),"",IF($V23="Sub",IFERROR($X23/INDEX($W$5:$W$1000,$U23-4),""),IF(ISNUMBER($G23),1,IF(N($W23)&gt;0,AVERAGEIFS($X$5:$X$1000,$U$5:$U$1000,ROW(),$V$5:$V$1000,"Sub"),$X23))))</f>
        <v/>
      </c>
      <c r="N23" s="56">
        <f>IF(OR($M23="",$V23="Sub"),"",IF($M23&gt;=1,"Completado",IF($M23&gt;0,"En curso","Pendiente")))</f>
        <v/>
      </c>
      <c r="O23" s="56">
        <f>IF(OR(NOT((COUNTA($B23:$D23)+COUNTA($G23:$L23)+COUNTA($Q23))&gt;0),$V23="Sub"),"",IF(ISNUMBER($G23),IF(AND(ISNUMBER($AN23),$G23&gt;$AN23),"Cumplida con "&amp;($G23-$AN23)&amp;IF($G23-$AN23=1," día"," días")&amp;" de retraso","Cumplida"),IF(N($M23)&gt;=1,"Cumplida",IF(NOT(ISNUMBER($AN23)),"Sin fecha límite",IF($AN23&lt;FechaRef,"Vencida hace "&amp;(FechaRef-$AN23)&amp;IF(FechaRef-$AN23=1," día"," días"),IF($AN23=FechaRef,"Vence hoy",IF($AN23-FechaRef&lt;=DiasAlerta,"Vence en "&amp;($AN23-FechaRef)&amp;IF($AN23-FechaRef=1," día"," días"),"En plazo")))))))</f>
        <v/>
      </c>
      <c r="P23" s="62" t="n"/>
      <c r="Q23" s="58" t="n"/>
      <c r="R23" s="63">
        <f>IF(NOT((COUNTA($B23:$D23)+COUNTA($G23:$L23)+COUNTA($Q23))&gt;0),"",IF((IF($C23="","Falta el nombre de la actividad"&amp;" · ","")&amp;IF(AND($V23="Sub",N($U23)=0),"Subactividad sin macroactividad arriba"&amp;" · ","")&amp;IF($AM23="","Sin fecha de inicio"&amp;" · ","")&amp;IF($AN23="","Sin fecha límite"&amp;" · ","")&amp;IF(AND(LEFT($C23,11)="[Jefatura] ",N($AL23)=0),"No se encuentra en la hoja de la jefatura (elíjala de nuevo en la lista)"&amp;" · ","")&amp;IF(OR(AND($E23&lt;&gt;"",NOT(ISNUMBER($E23))),AND($F23&lt;&gt;"",NOT(ISNUMBER($F23))),AND($G23&lt;&gt;"",NOT(ISNUMBER($G23)))),"Fecha no válida"&amp;" · ","")&amp;IF(AND(ISNUMBER($AM23),ISNUMBER($AN23),$AM23&gt;$AN23),"Inicio posterior a fecha límite"&amp;" · ","")&amp;IF(AND($V23="Macro",$H23&lt;&gt;"",OR(NOT(ISNUMBER($H23)),$H23&lt;0,$H23&gt;1)),"Peso fuera de rango"&amp;" · ","")&amp;IF(AND($V23="Sub",$H23&lt;&gt;""),"Las subactividades no llevan peso (valen igual dentro de su macroactividad)"&amp;" · ","")&amp;IF(AND(N($W23)&gt;0,COUNT($I23:$L23)&gt;0),"Con subactividades: deje vacías las semanas (se calculan solas)"&amp;" · ","")&amp;IF((COUNTIF($I23:$L23,"&gt;1")+COUNTIF($I23:$L23,"&lt;0")+COUNTA($I23:$L23)-COUNT($I23:$L23))&gt;0,"Avance fuera de rango 0-100%"&amp;" · ","")&amp;IF(OR(AND($J23&lt;&gt;"",$J23&lt;$I23),AND($K23&lt;&gt;"",$K23&lt;MAX($I23:$J23)),AND($L23&lt;&gt;"",$L23&lt;MAX($I23:$K23))),"Avance semanal decreciente"&amp;" · ","")&amp;IF(AND(ISNUMBER($AN23),$AN23&lt;FechaRef,IF($V23="Sub",N($X23),N($M23))&lt;1),"Vencida"&amp;" · ","")&amp;IF(AND(ObsObligatoria="Sí",ISNUMBER($AN23),$AN23&lt;FechaRef,IF($V23="Sub",N($X23),N($M23))&lt;1,$Q23=""),"Vencida sin observación"&amp;" · ",""))="","✔ OK","⚠ "&amp;LEFT(IF($C23="","Falta el nombre de la actividad"&amp;" · ","")&amp;IF(AND($V23="Sub",N($U23)=0),"Subactividad sin macroactividad arriba"&amp;" · ","")&amp;IF($AM23="","Sin fecha de inicio"&amp;" · ","")&amp;IF($AN23="","Sin fecha límite"&amp;" · ","")&amp;IF(AND(LEFT($C23,11)="[Jefatura] ",N($AL23)=0),"No se encuentra en la hoja de la jefatura (elíjala de nuevo en la lista)"&amp;" · ","")&amp;IF(OR(AND($E23&lt;&gt;"",NOT(ISNUMBER($E23))),AND($F23&lt;&gt;"",NOT(ISNUMBER($F23))),AND($G23&lt;&gt;"",NOT(ISNUMBER($G23)))),"Fecha no válida"&amp;" · ","")&amp;IF(AND(ISNUMBER($AM23),ISNUMBER($AN23),$AM23&gt;$AN23),"Inicio posterior a fecha límite"&amp;" · ","")&amp;IF(AND($V23="Macro",$H23&lt;&gt;"",OR(NOT(ISNUMBER($H23)),$H23&lt;0,$H23&gt;1)),"Peso fuera de rango"&amp;" · ","")&amp;IF(AND($V23="Sub",$H23&lt;&gt;""),"Las subactividades no llevan peso (valen igual dentro de su macroactividad)"&amp;" · ","")&amp;IF(AND(N($W23)&gt;0,COUNT($I23:$L23)&gt;0),"Con subactividades: deje vacías las semanas (se calculan solas)"&amp;" · ","")&amp;IF((COUNTIF($I23:$L23,"&gt;1")+COUNTIF($I23:$L23,"&lt;0")+COUNTA($I23:$L23)-COUNT($I23:$L23))&gt;0,"Avance fuera de rango 0-100%"&amp;" · ","")&amp;IF(OR(AND($J23&lt;&gt;"",$J23&lt;$I23),AND($K23&lt;&gt;"",$K23&lt;MAX($I23:$J23)),AND($L23&lt;&gt;"",$L23&lt;MAX($I23:$K23))),"Avance semanal decreciente"&amp;" · ","")&amp;IF(AND(ISNUMBER($AN23),$AN23&lt;FechaRef,IF($V23="Sub",N($X23),N($M23))&lt;1),"Vencida"&amp;" · ","")&amp;IF(AND(ObsObligatoria="Sí",ISNUMBER($AN23),$AN23&lt;FechaRef,IF($V23="Sub",N($X23),N($M23))&lt;1,$Q23=""),"Vencida sin observación"&amp;" · ",""),LEN(IF($C23="","Falta el nombre de la actividad"&amp;" · ","")&amp;IF(AND($V23="Sub",N($U23)=0),"Subactividad sin macroactividad arriba"&amp;" · ","")&amp;IF($AM23="","Sin fecha de inicio"&amp;" · ","")&amp;IF($AN23="","Sin fecha límite"&amp;" · ","")&amp;IF(AND(LEFT($C23,11)="[Jefatura] ",N($AL23)=0),"No se encuentra en la hoja de la jefatura (elíjala de nuevo en la lista)"&amp;" · ","")&amp;IF(OR(AND($E23&lt;&gt;"",NOT(ISNUMBER($E23))),AND($F23&lt;&gt;"",NOT(ISNUMBER($F23))),AND($G23&lt;&gt;"",NOT(ISNUMBER($G23)))),"Fecha no válida"&amp;" · ","")&amp;IF(AND(ISNUMBER($AM23),ISNUMBER($AN23),$AM23&gt;$AN23),"Inicio posterior a fecha límite"&amp;" · ","")&amp;IF(AND($V23="Macro",$H23&lt;&gt;"",OR(NOT(ISNUMBER($H23)),$H23&lt;0,$H23&gt;1)),"Peso fuera de rango"&amp;" · ","")&amp;IF(AND($V23="Sub",$H23&lt;&gt;""),"Las subactividades no llevan peso (valen igual dentro de su macroactividad)"&amp;" · ","")&amp;IF(AND(N($W23)&gt;0,COUNT($I23:$L23)&gt;0),"Con subactividades: deje vacías las semanas (se calculan solas)"&amp;" · ","")&amp;IF((COUNTIF($I23:$L23,"&gt;1")+COUNTIF($I23:$L23,"&lt;0")+COUNTA($I23:$L23)-COUNT($I23:$L23))&gt;0,"Avance fuera de rango 0-100%"&amp;" · ","")&amp;IF(OR(AND($J23&lt;&gt;"",$J23&lt;$I23),AND($K23&lt;&gt;"",$K23&lt;MAX($I23:$J23)),AND($L23&lt;&gt;"",$L23&lt;MAX($I23:$K23))),"Avance semanal decreciente"&amp;" · ","")&amp;IF(AND(ISNUMBER($AN23),$AN23&lt;FechaRef,IF($V23="Sub",N($X23),N($M23))&lt;1),"Vencida"&amp;" · ","")&amp;IF(AND(ObsObligatoria="Sí",ISNUMBER($AN23),$AN23&lt;FechaRef,IF($V23="Sub",N($X23),N($M23))&lt;1,$Q23=""),"Vencida sin observación"&amp;" · ",""))-3)))</f>
        <v/>
      </c>
      <c r="S23" s="64">
        <f>IF(NOT((COUNTA($B23:$D23)+COUNTA($G23:$L23)+COUNTA($Q23))&gt;0),"",IF(AND($V23="Sub",N($U23)&gt;0),IF(ISNUMBER(INDEX($AM$5:$AM$1000,$U23-4)),DATE(YEAR(INDEX($AM$5:$AM$1000,$U23-4)),MONTH(INDEX($AM$5:$AM$1000,$U23-4)),1),IF(ISNUMBER(INDEX($AN$5:$AN$1000,$U23-4)),DATE(YEAR(INDEX($AN$5:$AN$1000,$U23-4)),MONTH(INDEX($AN$5:$AN$1000,$U23-4)),1),MesCiclo)),IF(ISNUMBER($AM23),DATE(YEAR($AM23),MONTH($AM23),1),IF(ISNUMBER($AN23),DATE(YEAR($AN23),MONTH($AN23),1),MesCiclo))))</f>
        <v/>
      </c>
      <c r="T23" s="62">
        <f>IF(OR($S23="",$S23&lt;&gt;MesCiclo,$V23&lt;&gt;"Macro"),"",COUNTIFS($S$5:$S23,MesCiclo,$V$5:$V23,"Macro"))</f>
        <v/>
      </c>
      <c r="U23" s="62">
        <f>IF($V23="","",IF($V23="Macro",ROW(),IFERROR(LOOKUP(2,1/($V$5:$V23="Macro"),ROW($V$5:$V23)),0)))</f>
        <v/>
      </c>
      <c r="V23" s="62">
        <f>IF(NOT((COUNTA($B23:$D23)+COUNTA($G23:$L23)+COUNTA($Q23))&gt;0),"",IF($B23="Subactividad","Sub","Macro"))</f>
        <v/>
      </c>
      <c r="W23" s="62">
        <f>IF($V23="Macro",COUNTIFS($U$5:$U$1000,ROW(),$V$5:$V$1000,"Sub"),"")</f>
        <v/>
      </c>
      <c r="X23" s="62">
        <f>IF($V23="","",IF(ISNUMBER($G23),1,IFERROR(LOOKUP(2,1/($I23:$L23&lt;&gt;""),$I23:$L23),0)))</f>
        <v/>
      </c>
      <c r="Y23" s="62">
        <f>IF($V23="","",IF(AND(ISNUMBER($G23),$G23&lt;=IF($S23=MesCiclo,InicioCiclo,$S23+MOD(2-WEEKDAY($S23),7))+6),1,IF(ISNUMBER($I23),$I23,0)))</f>
        <v/>
      </c>
      <c r="Z23" s="62">
        <f>IF($V23="","",IF(AND(ISNUMBER($G23),$G23&lt;=IF($S23=MesCiclo,InicioCiclo,$S23+MOD(2-WEEKDAY($S23),7))+13),1,IF(ISNUMBER($J23),$J23,$Y23)))</f>
        <v/>
      </c>
      <c r="AA23" s="62">
        <f>IF($V23="","",IF(AND(ISNUMBER($G23),$G23&lt;=IF($S23=MesCiclo,InicioCiclo,$S23+MOD(2-WEEKDAY($S23),7))+20),1,IF(ISNUMBER($K23),$K23,$Z23)))</f>
        <v/>
      </c>
      <c r="AB23" s="62">
        <f>IF($V23="","",IF(AND(ISNUMBER($G23),$G23&lt;=IF($S23=MesCiclo,InicioCiclo,$S23+MOD(2-WEEKDAY($S23),7))+27),1,IF(ISNUMBER($L23),$L23,$AA23)))</f>
        <v/>
      </c>
      <c r="AC23" s="62">
        <f>IF($V23="","",IF(AND(ISNUMBER($G23),$G23&lt;=IF($S23=MesCiclo,InicioCiclo,$S23+MOD(2-WEEKDAY($S23),7))+6),1,IF(N($W23)&gt;0,AVERAGEIFS($Y$5:$Y$1000,$U$5:$U$1000,ROW(),$V$5:$V$1000,"Sub"),$Y23)))</f>
        <v/>
      </c>
      <c r="AD23" s="62">
        <f>IF($V23="","",IF(AND(ISNUMBER($G23),$G23&lt;=IF($S23=MesCiclo,InicioCiclo,$S23+MOD(2-WEEKDAY($S23),7))+13),1,IF(N($W23)&gt;0,AVERAGEIFS($Z$5:$Z$1000,$U$5:$U$1000,ROW(),$V$5:$V$1000,"Sub"),$Z23)))</f>
        <v/>
      </c>
      <c r="AE23" s="62">
        <f>IF($V23="","",IF(AND(ISNUMBER($G23),$G23&lt;=IF($S23=MesCiclo,InicioCiclo,$S23+MOD(2-WEEKDAY($S23),7))+20),1,IF(N($W23)&gt;0,AVERAGEIFS($AA$5:$AA$1000,$U$5:$U$1000,ROW(),$V$5:$V$1000,"Sub"),$AA23)))</f>
        <v/>
      </c>
      <c r="AF23" s="62">
        <f>IF($V23="","",IF(AND(ISNUMBER($G23),$G23&lt;=IF($S23=MesCiclo,InicioCiclo,$S23+MOD(2-WEEKDAY($S23),7))+27),1,IF(N($W23)&gt;0,AVERAGEIFS($AB$5:$AB$1000,$U$5:$U$1000,ROW(),$V$5:$V$1000,"Sub"),$AB23)))</f>
        <v/>
      </c>
      <c r="AG23" s="62">
        <f>IF($V23&lt;&gt;"Macro","",IF(COUNTIFS($S$5:$S$1000,$S23,$V$5:$V$1000,"Macro",$H$5:$H$1000,"&gt;0")=0,1/COUNTIFS($S$5:$S$1000,$S23,$V$5:$V$1000,"Macro"),IF(AND(ISNUMBER($H23),N($H23)&gt;0),$H23,SUMIFS($H$5:$H$1000,$S$5:$S$1000,$S23,$V$5:$V$1000,"Macro")/COUNTIFS($S$5:$S$1000,$S23,$V$5:$V$1000,"Macro",$H$5:$H$1000,"&gt;0"))/(COUNTIFS($S$5:$S$1000,$S23,$V$5:$V$1000,"Macro")*SUMIFS($H$5:$H$1000,$S$5:$S$1000,$S23,$V$5:$V$1000,"Macro")/COUNTIFS($S$5:$S$1000,$S23,$V$5:$V$1000,"Macro",$H$5:$H$1000,"&gt;0"))))</f>
        <v/>
      </c>
      <c r="AH23" s="62" t="n"/>
      <c r="AI23" s="62" t="n"/>
      <c r="AJ23" s="62" t="n"/>
      <c r="AK23" s="62" t="n"/>
      <c r="AL23" s="62">
        <f>IF(LEFT($C23,11)="[Jefatura] ",IFERROR(MATCH("Asistente Técnico de Riesgo|"&amp;MID($C23,12,500),rDname_ADM,0),0),"")</f>
        <v/>
      </c>
      <c r="AM23" s="62">
        <f>IF(N($AL23)&gt;0,INDEX(rIni_ADM,$AL23),IF(ISNUMBER($E23),$E23,""))</f>
        <v/>
      </c>
      <c r="AN23" s="62">
        <f>IF(N($AL23)&gt;0,INDEX(rLim_ADM,$AL23),IF(ISNUMBER($F23),$F23,""))</f>
        <v/>
      </c>
    </row>
    <row r="24">
      <c r="A24" s="56">
        <f>IF(NOT((COUNTA($B24:$D24)+COUNTA($G24:$L24)+COUNTA($Q24))&gt;0),"",IF($V24="Macro",COUNTIFS($V$5:$V24,"Macro",$S$5:$S24,$S24),IF(N($U24)=0,"?",COUNTIFS(INDEX($V$5:$V$1000,1):INDEX($V$5:$V$1000,$U24-4),"Macro",INDEX($S$5:$S$1000,1):INDEX($S$5:$S$1000,$U24-4),INDEX($S$5:$S$1000,$U24-4))&amp;"."&amp;COUNTIFS($U$5:$U24,$U24,$V$5:$V24,"Sub"))))</f>
        <v/>
      </c>
      <c r="B24" s="57" t="n"/>
      <c r="C24" s="58" t="n"/>
      <c r="D24" s="58" t="n"/>
      <c r="E24" s="59">
        <f>IF(N($AL24)&gt;0,INDEX(rIni_ADM,$AL24),"")</f>
        <v/>
      </c>
      <c r="F24" s="59">
        <f>IF(N($AL24)&gt;0,INDEX(rLim_ADM,$AL24),"")</f>
        <v/>
      </c>
      <c r="G24" s="59" t="n"/>
      <c r="H24" s="60" t="n"/>
      <c r="I24" s="60" t="n"/>
      <c r="J24" s="60" t="n"/>
      <c r="K24" s="60" t="n"/>
      <c r="L24" s="60" t="n"/>
      <c r="M24" s="61">
        <f>IF(NOT((COUNTA($B24:$D24)+COUNTA($G24:$L24)+COUNTA($Q24))&gt;0),"",IF($V24="Sub",IFERROR($X24/INDEX($W$5:$W$1000,$U24-4),""),IF(ISNUMBER($G24),1,IF(N($W24)&gt;0,AVERAGEIFS($X$5:$X$1000,$U$5:$U$1000,ROW(),$V$5:$V$1000,"Sub"),$X24))))</f>
        <v/>
      </c>
      <c r="N24" s="56">
        <f>IF(OR($M24="",$V24="Sub"),"",IF($M24&gt;=1,"Completado",IF($M24&gt;0,"En curso","Pendiente")))</f>
        <v/>
      </c>
      <c r="O24" s="56">
        <f>IF(OR(NOT((COUNTA($B24:$D24)+COUNTA($G24:$L24)+COUNTA($Q24))&gt;0),$V24="Sub"),"",IF(ISNUMBER($G24),IF(AND(ISNUMBER($AN24),$G24&gt;$AN24),"Cumplida con "&amp;($G24-$AN24)&amp;IF($G24-$AN24=1," día"," días")&amp;" de retraso","Cumplida"),IF(N($M24)&gt;=1,"Cumplida",IF(NOT(ISNUMBER($AN24)),"Sin fecha límite",IF($AN24&lt;FechaRef,"Vencida hace "&amp;(FechaRef-$AN24)&amp;IF(FechaRef-$AN24=1," día"," días"),IF($AN24=FechaRef,"Vence hoy",IF($AN24-FechaRef&lt;=DiasAlerta,"Vence en "&amp;($AN24-FechaRef)&amp;IF($AN24-FechaRef=1," día"," días"),"En plazo")))))))</f>
        <v/>
      </c>
      <c r="P24" s="62" t="n"/>
      <c r="Q24" s="58" t="n"/>
      <c r="R24" s="63">
        <f>IF(NOT((COUNTA($B24:$D24)+COUNTA($G24:$L24)+COUNTA($Q24))&gt;0),"",IF((IF($C24="","Falta el nombre de la actividad"&amp;" · ","")&amp;IF(AND($V24="Sub",N($U24)=0),"Subactividad sin macroactividad arriba"&amp;" · ","")&amp;IF($AM24="","Sin fecha de inicio"&amp;" · ","")&amp;IF($AN24="","Sin fecha límite"&amp;" · ","")&amp;IF(AND(LEFT($C24,11)="[Jefatura] ",N($AL24)=0),"No se encuentra en la hoja de la jefatura (elíjala de nuevo en la lista)"&amp;" · ","")&amp;IF(OR(AND($E24&lt;&gt;"",NOT(ISNUMBER($E24))),AND($F24&lt;&gt;"",NOT(ISNUMBER($F24))),AND($G24&lt;&gt;"",NOT(ISNUMBER($G24)))),"Fecha no válida"&amp;" · ","")&amp;IF(AND(ISNUMBER($AM24),ISNUMBER($AN24),$AM24&gt;$AN24),"Inicio posterior a fecha límite"&amp;" · ","")&amp;IF(AND($V24="Macro",$H24&lt;&gt;"",OR(NOT(ISNUMBER($H24)),$H24&lt;0,$H24&gt;1)),"Peso fuera de rango"&amp;" · ","")&amp;IF(AND($V24="Sub",$H24&lt;&gt;""),"Las subactividades no llevan peso (valen igual dentro de su macroactividad)"&amp;" · ","")&amp;IF(AND(N($W24)&gt;0,COUNT($I24:$L24)&gt;0),"Con subactividades: deje vacías las semanas (se calculan solas)"&amp;" · ","")&amp;IF((COUNTIF($I24:$L24,"&gt;1")+COUNTIF($I24:$L24,"&lt;0")+COUNTA($I24:$L24)-COUNT($I24:$L24))&gt;0,"Avance fuera de rango 0-100%"&amp;" · ","")&amp;IF(OR(AND($J24&lt;&gt;"",$J24&lt;$I24),AND($K24&lt;&gt;"",$K24&lt;MAX($I24:$J24)),AND($L24&lt;&gt;"",$L24&lt;MAX($I24:$K24))),"Avance semanal decreciente"&amp;" · ","")&amp;IF(AND(ISNUMBER($AN24),$AN24&lt;FechaRef,IF($V24="Sub",N($X24),N($M24))&lt;1),"Vencida"&amp;" · ","")&amp;IF(AND(ObsObligatoria="Sí",ISNUMBER($AN24),$AN24&lt;FechaRef,IF($V24="Sub",N($X24),N($M24))&lt;1,$Q24=""),"Vencida sin observación"&amp;" · ",""))="","✔ OK","⚠ "&amp;LEFT(IF($C24="","Falta el nombre de la actividad"&amp;" · ","")&amp;IF(AND($V24="Sub",N($U24)=0),"Subactividad sin macroactividad arriba"&amp;" · ","")&amp;IF($AM24="","Sin fecha de inicio"&amp;" · ","")&amp;IF($AN24="","Sin fecha límite"&amp;" · ","")&amp;IF(AND(LEFT($C24,11)="[Jefatura] ",N($AL24)=0),"No se encuentra en la hoja de la jefatura (elíjala de nuevo en la lista)"&amp;" · ","")&amp;IF(OR(AND($E24&lt;&gt;"",NOT(ISNUMBER($E24))),AND($F24&lt;&gt;"",NOT(ISNUMBER($F24))),AND($G24&lt;&gt;"",NOT(ISNUMBER($G24)))),"Fecha no válida"&amp;" · ","")&amp;IF(AND(ISNUMBER($AM24),ISNUMBER($AN24),$AM24&gt;$AN24),"Inicio posterior a fecha límite"&amp;" · ","")&amp;IF(AND($V24="Macro",$H24&lt;&gt;"",OR(NOT(ISNUMBER($H24)),$H24&lt;0,$H24&gt;1)),"Peso fuera de rango"&amp;" · ","")&amp;IF(AND($V24="Sub",$H24&lt;&gt;""),"Las subactividades no llevan peso (valen igual dentro de su macroactividad)"&amp;" · ","")&amp;IF(AND(N($W24)&gt;0,COUNT($I24:$L24)&gt;0),"Con subactividades: deje vacías las semanas (se calculan solas)"&amp;" · ","")&amp;IF((COUNTIF($I24:$L24,"&gt;1")+COUNTIF($I24:$L24,"&lt;0")+COUNTA($I24:$L24)-COUNT($I24:$L24))&gt;0,"Avance fuera de rango 0-100%"&amp;" · ","")&amp;IF(OR(AND($J24&lt;&gt;"",$J24&lt;$I24),AND($K24&lt;&gt;"",$K24&lt;MAX($I24:$J24)),AND($L24&lt;&gt;"",$L24&lt;MAX($I24:$K24))),"Avance semanal decreciente"&amp;" · ","")&amp;IF(AND(ISNUMBER($AN24),$AN24&lt;FechaRef,IF($V24="Sub",N($X24),N($M24))&lt;1),"Vencida"&amp;" · ","")&amp;IF(AND(ObsObligatoria="Sí",ISNUMBER($AN24),$AN24&lt;FechaRef,IF($V24="Sub",N($X24),N($M24))&lt;1,$Q24=""),"Vencida sin observación"&amp;" · ",""),LEN(IF($C24="","Falta el nombre de la actividad"&amp;" · ","")&amp;IF(AND($V24="Sub",N($U24)=0),"Subactividad sin macroactividad arriba"&amp;" · ","")&amp;IF($AM24="","Sin fecha de inicio"&amp;" · ","")&amp;IF($AN24="","Sin fecha límite"&amp;" · ","")&amp;IF(AND(LEFT($C24,11)="[Jefatura] ",N($AL24)=0),"No se encuentra en la hoja de la jefatura (elíjala de nuevo en la lista)"&amp;" · ","")&amp;IF(OR(AND($E24&lt;&gt;"",NOT(ISNUMBER($E24))),AND($F24&lt;&gt;"",NOT(ISNUMBER($F24))),AND($G24&lt;&gt;"",NOT(ISNUMBER($G24)))),"Fecha no válida"&amp;" · ","")&amp;IF(AND(ISNUMBER($AM24),ISNUMBER($AN24),$AM24&gt;$AN24),"Inicio posterior a fecha límite"&amp;" · ","")&amp;IF(AND($V24="Macro",$H24&lt;&gt;"",OR(NOT(ISNUMBER($H24)),$H24&lt;0,$H24&gt;1)),"Peso fuera de rango"&amp;" · ","")&amp;IF(AND($V24="Sub",$H24&lt;&gt;""),"Las subactividades no llevan peso (valen igual dentro de su macroactividad)"&amp;" · ","")&amp;IF(AND(N($W24)&gt;0,COUNT($I24:$L24)&gt;0),"Con subactividades: deje vacías las semanas (se calculan solas)"&amp;" · ","")&amp;IF((COUNTIF($I24:$L24,"&gt;1")+COUNTIF($I24:$L24,"&lt;0")+COUNTA($I24:$L24)-COUNT($I24:$L24))&gt;0,"Avance fuera de rango 0-100%"&amp;" · ","")&amp;IF(OR(AND($J24&lt;&gt;"",$J24&lt;$I24),AND($K24&lt;&gt;"",$K24&lt;MAX($I24:$J24)),AND($L24&lt;&gt;"",$L24&lt;MAX($I24:$K24))),"Avance semanal decreciente"&amp;" · ","")&amp;IF(AND(ISNUMBER($AN24),$AN24&lt;FechaRef,IF($V24="Sub",N($X24),N($M24))&lt;1),"Vencida"&amp;" · ","")&amp;IF(AND(ObsObligatoria="Sí",ISNUMBER($AN24),$AN24&lt;FechaRef,IF($V24="Sub",N($X24),N($M24))&lt;1,$Q24=""),"Vencida sin observación"&amp;" · ",""))-3)))</f>
        <v/>
      </c>
      <c r="S24" s="64">
        <f>IF(NOT((COUNTA($B24:$D24)+COUNTA($G24:$L24)+COUNTA($Q24))&gt;0),"",IF(AND($V24="Sub",N($U24)&gt;0),IF(ISNUMBER(INDEX($AM$5:$AM$1000,$U24-4)),DATE(YEAR(INDEX($AM$5:$AM$1000,$U24-4)),MONTH(INDEX($AM$5:$AM$1000,$U24-4)),1),IF(ISNUMBER(INDEX($AN$5:$AN$1000,$U24-4)),DATE(YEAR(INDEX($AN$5:$AN$1000,$U24-4)),MONTH(INDEX($AN$5:$AN$1000,$U24-4)),1),MesCiclo)),IF(ISNUMBER($AM24),DATE(YEAR($AM24),MONTH($AM24),1),IF(ISNUMBER($AN24),DATE(YEAR($AN24),MONTH($AN24),1),MesCiclo))))</f>
        <v/>
      </c>
      <c r="T24" s="62">
        <f>IF(OR($S24="",$S24&lt;&gt;MesCiclo,$V24&lt;&gt;"Macro"),"",COUNTIFS($S$5:$S24,MesCiclo,$V$5:$V24,"Macro"))</f>
        <v/>
      </c>
      <c r="U24" s="62">
        <f>IF($V24="","",IF($V24="Macro",ROW(),IFERROR(LOOKUP(2,1/($V$5:$V24="Macro"),ROW($V$5:$V24)),0)))</f>
        <v/>
      </c>
      <c r="V24" s="62">
        <f>IF(NOT((COUNTA($B24:$D24)+COUNTA($G24:$L24)+COUNTA($Q24))&gt;0),"",IF($B24="Subactividad","Sub","Macro"))</f>
        <v/>
      </c>
      <c r="W24" s="62">
        <f>IF($V24="Macro",COUNTIFS($U$5:$U$1000,ROW(),$V$5:$V$1000,"Sub"),"")</f>
        <v/>
      </c>
      <c r="X24" s="62">
        <f>IF($V24="","",IF(ISNUMBER($G24),1,IFERROR(LOOKUP(2,1/($I24:$L24&lt;&gt;""),$I24:$L24),0)))</f>
        <v/>
      </c>
      <c r="Y24" s="62">
        <f>IF($V24="","",IF(AND(ISNUMBER($G24),$G24&lt;=IF($S24=MesCiclo,InicioCiclo,$S24+MOD(2-WEEKDAY($S24),7))+6),1,IF(ISNUMBER($I24),$I24,0)))</f>
        <v/>
      </c>
      <c r="Z24" s="62">
        <f>IF($V24="","",IF(AND(ISNUMBER($G24),$G24&lt;=IF($S24=MesCiclo,InicioCiclo,$S24+MOD(2-WEEKDAY($S24),7))+13),1,IF(ISNUMBER($J24),$J24,$Y24)))</f>
        <v/>
      </c>
      <c r="AA24" s="62">
        <f>IF($V24="","",IF(AND(ISNUMBER($G24),$G24&lt;=IF($S24=MesCiclo,InicioCiclo,$S24+MOD(2-WEEKDAY($S24),7))+20),1,IF(ISNUMBER($K24),$K24,$Z24)))</f>
        <v/>
      </c>
      <c r="AB24" s="62">
        <f>IF($V24="","",IF(AND(ISNUMBER($G24),$G24&lt;=IF($S24=MesCiclo,InicioCiclo,$S24+MOD(2-WEEKDAY($S24),7))+27),1,IF(ISNUMBER($L24),$L24,$AA24)))</f>
        <v/>
      </c>
      <c r="AC24" s="62">
        <f>IF($V24="","",IF(AND(ISNUMBER($G24),$G24&lt;=IF($S24=MesCiclo,InicioCiclo,$S24+MOD(2-WEEKDAY($S24),7))+6),1,IF(N($W24)&gt;0,AVERAGEIFS($Y$5:$Y$1000,$U$5:$U$1000,ROW(),$V$5:$V$1000,"Sub"),$Y24)))</f>
        <v/>
      </c>
      <c r="AD24" s="62">
        <f>IF($V24="","",IF(AND(ISNUMBER($G24),$G24&lt;=IF($S24=MesCiclo,InicioCiclo,$S24+MOD(2-WEEKDAY($S24),7))+13),1,IF(N($W24)&gt;0,AVERAGEIFS($Z$5:$Z$1000,$U$5:$U$1000,ROW(),$V$5:$V$1000,"Sub"),$Z24)))</f>
        <v/>
      </c>
      <c r="AE24" s="62">
        <f>IF($V24="","",IF(AND(ISNUMBER($G24),$G24&lt;=IF($S24=MesCiclo,InicioCiclo,$S24+MOD(2-WEEKDAY($S24),7))+20),1,IF(N($W24)&gt;0,AVERAGEIFS($AA$5:$AA$1000,$U$5:$U$1000,ROW(),$V$5:$V$1000,"Sub"),$AA24)))</f>
        <v/>
      </c>
      <c r="AF24" s="62">
        <f>IF($V24="","",IF(AND(ISNUMBER($G24),$G24&lt;=IF($S24=MesCiclo,InicioCiclo,$S24+MOD(2-WEEKDAY($S24),7))+27),1,IF(N($W24)&gt;0,AVERAGEIFS($AB$5:$AB$1000,$U$5:$U$1000,ROW(),$V$5:$V$1000,"Sub"),$AB24)))</f>
        <v/>
      </c>
      <c r="AG24" s="62">
        <f>IF($V24&lt;&gt;"Macro","",IF(COUNTIFS($S$5:$S$1000,$S24,$V$5:$V$1000,"Macro",$H$5:$H$1000,"&gt;0")=0,1/COUNTIFS($S$5:$S$1000,$S24,$V$5:$V$1000,"Macro"),IF(AND(ISNUMBER($H24),N($H24)&gt;0),$H24,SUMIFS($H$5:$H$1000,$S$5:$S$1000,$S24,$V$5:$V$1000,"Macro")/COUNTIFS($S$5:$S$1000,$S24,$V$5:$V$1000,"Macro",$H$5:$H$1000,"&gt;0"))/(COUNTIFS($S$5:$S$1000,$S24,$V$5:$V$1000,"Macro")*SUMIFS($H$5:$H$1000,$S$5:$S$1000,$S24,$V$5:$V$1000,"Macro")/COUNTIFS($S$5:$S$1000,$S24,$V$5:$V$1000,"Macro",$H$5:$H$1000,"&gt;0"))))</f>
        <v/>
      </c>
      <c r="AH24" s="62" t="n"/>
      <c r="AI24" s="62" t="n"/>
      <c r="AJ24" s="62" t="n"/>
      <c r="AK24" s="62" t="n"/>
      <c r="AL24" s="62">
        <f>IF(LEFT($C24,11)="[Jefatura] ",IFERROR(MATCH("Asistente Técnico de Riesgo|"&amp;MID($C24,12,500),rDname_ADM,0),0),"")</f>
        <v/>
      </c>
      <c r="AM24" s="62">
        <f>IF(N($AL24)&gt;0,INDEX(rIni_ADM,$AL24),IF(ISNUMBER($E24),$E24,""))</f>
        <v/>
      </c>
      <c r="AN24" s="62">
        <f>IF(N($AL24)&gt;0,INDEX(rLim_ADM,$AL24),IF(ISNUMBER($F24),$F24,""))</f>
        <v/>
      </c>
    </row>
    <row r="25">
      <c r="A25" s="56">
        <f>IF(NOT((COUNTA($B25:$D25)+COUNTA($G25:$L25)+COUNTA($Q25))&gt;0),"",IF($V25="Macro",COUNTIFS($V$5:$V25,"Macro",$S$5:$S25,$S25),IF(N($U25)=0,"?",COUNTIFS(INDEX($V$5:$V$1000,1):INDEX($V$5:$V$1000,$U25-4),"Macro",INDEX($S$5:$S$1000,1):INDEX($S$5:$S$1000,$U25-4),INDEX($S$5:$S$1000,$U25-4))&amp;"."&amp;COUNTIFS($U$5:$U25,$U25,$V$5:$V25,"Sub"))))</f>
        <v/>
      </c>
      <c r="B25" s="57" t="n"/>
      <c r="C25" s="58" t="n"/>
      <c r="D25" s="58" t="n"/>
      <c r="E25" s="59">
        <f>IF(N($AL25)&gt;0,INDEX(rIni_ADM,$AL25),"")</f>
        <v/>
      </c>
      <c r="F25" s="59">
        <f>IF(N($AL25)&gt;0,INDEX(rLim_ADM,$AL25),"")</f>
        <v/>
      </c>
      <c r="G25" s="59" t="n"/>
      <c r="H25" s="60" t="n"/>
      <c r="I25" s="60" t="n"/>
      <c r="J25" s="60" t="n"/>
      <c r="K25" s="60" t="n"/>
      <c r="L25" s="60" t="n"/>
      <c r="M25" s="61">
        <f>IF(NOT((COUNTA($B25:$D25)+COUNTA($G25:$L25)+COUNTA($Q25))&gt;0),"",IF($V25="Sub",IFERROR($X25/INDEX($W$5:$W$1000,$U25-4),""),IF(ISNUMBER($G25),1,IF(N($W25)&gt;0,AVERAGEIFS($X$5:$X$1000,$U$5:$U$1000,ROW(),$V$5:$V$1000,"Sub"),$X25))))</f>
        <v/>
      </c>
      <c r="N25" s="56">
        <f>IF(OR($M25="",$V25="Sub"),"",IF($M25&gt;=1,"Completado",IF($M25&gt;0,"En curso","Pendiente")))</f>
        <v/>
      </c>
      <c r="O25" s="56">
        <f>IF(OR(NOT((COUNTA($B25:$D25)+COUNTA($G25:$L25)+COUNTA($Q25))&gt;0),$V25="Sub"),"",IF(ISNUMBER($G25),IF(AND(ISNUMBER($AN25),$G25&gt;$AN25),"Cumplida con "&amp;($G25-$AN25)&amp;IF($G25-$AN25=1," día"," días")&amp;" de retraso","Cumplida"),IF(N($M25)&gt;=1,"Cumplida",IF(NOT(ISNUMBER($AN25)),"Sin fecha límite",IF($AN25&lt;FechaRef,"Vencida hace "&amp;(FechaRef-$AN25)&amp;IF(FechaRef-$AN25=1," día"," días"),IF($AN25=FechaRef,"Vence hoy",IF($AN25-FechaRef&lt;=DiasAlerta,"Vence en "&amp;($AN25-FechaRef)&amp;IF($AN25-FechaRef=1," día"," días"),"En plazo")))))))</f>
        <v/>
      </c>
      <c r="P25" s="62" t="n"/>
      <c r="Q25" s="58" t="n"/>
      <c r="R25" s="63">
        <f>IF(NOT((COUNTA($B25:$D25)+COUNTA($G25:$L25)+COUNTA($Q25))&gt;0),"",IF((IF($C25="","Falta el nombre de la actividad"&amp;" · ","")&amp;IF(AND($V25="Sub",N($U25)=0),"Subactividad sin macroactividad arriba"&amp;" · ","")&amp;IF($AM25="","Sin fecha de inicio"&amp;" · ","")&amp;IF($AN25="","Sin fecha límite"&amp;" · ","")&amp;IF(AND(LEFT($C25,11)="[Jefatura] ",N($AL25)=0),"No se encuentra en la hoja de la jefatura (elíjala de nuevo en la lista)"&amp;" · ","")&amp;IF(OR(AND($E25&lt;&gt;"",NOT(ISNUMBER($E25))),AND($F25&lt;&gt;"",NOT(ISNUMBER($F25))),AND($G25&lt;&gt;"",NOT(ISNUMBER($G25)))),"Fecha no válida"&amp;" · ","")&amp;IF(AND(ISNUMBER($AM25),ISNUMBER($AN25),$AM25&gt;$AN25),"Inicio posterior a fecha límite"&amp;" · ","")&amp;IF(AND($V25="Macro",$H25&lt;&gt;"",OR(NOT(ISNUMBER($H25)),$H25&lt;0,$H25&gt;1)),"Peso fuera de rango"&amp;" · ","")&amp;IF(AND($V25="Sub",$H25&lt;&gt;""),"Las subactividades no llevan peso (valen igual dentro de su macroactividad)"&amp;" · ","")&amp;IF(AND(N($W25)&gt;0,COUNT($I25:$L25)&gt;0),"Con subactividades: deje vacías las semanas (se calculan solas)"&amp;" · ","")&amp;IF((COUNTIF($I25:$L25,"&gt;1")+COUNTIF($I25:$L25,"&lt;0")+COUNTA($I25:$L25)-COUNT($I25:$L25))&gt;0,"Avance fuera de rango 0-100%"&amp;" · ","")&amp;IF(OR(AND($J25&lt;&gt;"",$J25&lt;$I25),AND($K25&lt;&gt;"",$K25&lt;MAX($I25:$J25)),AND($L25&lt;&gt;"",$L25&lt;MAX($I25:$K25))),"Avance semanal decreciente"&amp;" · ","")&amp;IF(AND(ISNUMBER($AN25),$AN25&lt;FechaRef,IF($V25="Sub",N($X25),N($M25))&lt;1),"Vencida"&amp;" · ","")&amp;IF(AND(ObsObligatoria="Sí",ISNUMBER($AN25),$AN25&lt;FechaRef,IF($V25="Sub",N($X25),N($M25))&lt;1,$Q25=""),"Vencida sin observación"&amp;" · ",""))="","✔ OK","⚠ "&amp;LEFT(IF($C25="","Falta el nombre de la actividad"&amp;" · ","")&amp;IF(AND($V25="Sub",N($U25)=0),"Subactividad sin macroactividad arriba"&amp;" · ","")&amp;IF($AM25="","Sin fecha de inicio"&amp;" · ","")&amp;IF($AN25="","Sin fecha límite"&amp;" · ","")&amp;IF(AND(LEFT($C25,11)="[Jefatura] ",N($AL25)=0),"No se encuentra en la hoja de la jefatura (elíjala de nuevo en la lista)"&amp;" · ","")&amp;IF(OR(AND($E25&lt;&gt;"",NOT(ISNUMBER($E25))),AND($F25&lt;&gt;"",NOT(ISNUMBER($F25))),AND($G25&lt;&gt;"",NOT(ISNUMBER($G25)))),"Fecha no válida"&amp;" · ","")&amp;IF(AND(ISNUMBER($AM25),ISNUMBER($AN25),$AM25&gt;$AN25),"Inicio posterior a fecha límite"&amp;" · ","")&amp;IF(AND($V25="Macro",$H25&lt;&gt;"",OR(NOT(ISNUMBER($H25)),$H25&lt;0,$H25&gt;1)),"Peso fuera de rango"&amp;" · ","")&amp;IF(AND($V25="Sub",$H25&lt;&gt;""),"Las subactividades no llevan peso (valen igual dentro de su macroactividad)"&amp;" · ","")&amp;IF(AND(N($W25)&gt;0,COUNT($I25:$L25)&gt;0),"Con subactividades: deje vacías las semanas (se calculan solas)"&amp;" · ","")&amp;IF((COUNTIF($I25:$L25,"&gt;1")+COUNTIF($I25:$L25,"&lt;0")+COUNTA($I25:$L25)-COUNT($I25:$L25))&gt;0,"Avance fuera de rango 0-100%"&amp;" · ","")&amp;IF(OR(AND($J25&lt;&gt;"",$J25&lt;$I25),AND($K25&lt;&gt;"",$K25&lt;MAX($I25:$J25)),AND($L25&lt;&gt;"",$L25&lt;MAX($I25:$K25))),"Avance semanal decreciente"&amp;" · ","")&amp;IF(AND(ISNUMBER($AN25),$AN25&lt;FechaRef,IF($V25="Sub",N($X25),N($M25))&lt;1),"Vencida"&amp;" · ","")&amp;IF(AND(ObsObligatoria="Sí",ISNUMBER($AN25),$AN25&lt;FechaRef,IF($V25="Sub",N($X25),N($M25))&lt;1,$Q25=""),"Vencida sin observación"&amp;" · ",""),LEN(IF($C25="","Falta el nombre de la actividad"&amp;" · ","")&amp;IF(AND($V25="Sub",N($U25)=0),"Subactividad sin macroactividad arriba"&amp;" · ","")&amp;IF($AM25="","Sin fecha de inicio"&amp;" · ","")&amp;IF($AN25="","Sin fecha límite"&amp;" · ","")&amp;IF(AND(LEFT($C25,11)="[Jefatura] ",N($AL25)=0),"No se encuentra en la hoja de la jefatura (elíjala de nuevo en la lista)"&amp;" · ","")&amp;IF(OR(AND($E25&lt;&gt;"",NOT(ISNUMBER($E25))),AND($F25&lt;&gt;"",NOT(ISNUMBER($F25))),AND($G25&lt;&gt;"",NOT(ISNUMBER($G25)))),"Fecha no válida"&amp;" · ","")&amp;IF(AND(ISNUMBER($AM25),ISNUMBER($AN25),$AM25&gt;$AN25),"Inicio posterior a fecha límite"&amp;" · ","")&amp;IF(AND($V25="Macro",$H25&lt;&gt;"",OR(NOT(ISNUMBER($H25)),$H25&lt;0,$H25&gt;1)),"Peso fuera de rango"&amp;" · ","")&amp;IF(AND($V25="Sub",$H25&lt;&gt;""),"Las subactividades no llevan peso (valen igual dentro de su macroactividad)"&amp;" · ","")&amp;IF(AND(N($W25)&gt;0,COUNT($I25:$L25)&gt;0),"Con subactividades: deje vacías las semanas (se calculan solas)"&amp;" · ","")&amp;IF((COUNTIF($I25:$L25,"&gt;1")+COUNTIF($I25:$L25,"&lt;0")+COUNTA($I25:$L25)-COUNT($I25:$L25))&gt;0,"Avance fuera de rango 0-100%"&amp;" · ","")&amp;IF(OR(AND($J25&lt;&gt;"",$J25&lt;$I25),AND($K25&lt;&gt;"",$K25&lt;MAX($I25:$J25)),AND($L25&lt;&gt;"",$L25&lt;MAX($I25:$K25))),"Avance semanal decreciente"&amp;" · ","")&amp;IF(AND(ISNUMBER($AN25),$AN25&lt;FechaRef,IF($V25="Sub",N($X25),N($M25))&lt;1),"Vencida"&amp;" · ","")&amp;IF(AND(ObsObligatoria="Sí",ISNUMBER($AN25),$AN25&lt;FechaRef,IF($V25="Sub",N($X25),N($M25))&lt;1,$Q25=""),"Vencida sin observación"&amp;" · ",""))-3)))</f>
        <v/>
      </c>
      <c r="S25" s="64">
        <f>IF(NOT((COUNTA($B25:$D25)+COUNTA($G25:$L25)+COUNTA($Q25))&gt;0),"",IF(AND($V25="Sub",N($U25)&gt;0),IF(ISNUMBER(INDEX($AM$5:$AM$1000,$U25-4)),DATE(YEAR(INDEX($AM$5:$AM$1000,$U25-4)),MONTH(INDEX($AM$5:$AM$1000,$U25-4)),1),IF(ISNUMBER(INDEX($AN$5:$AN$1000,$U25-4)),DATE(YEAR(INDEX($AN$5:$AN$1000,$U25-4)),MONTH(INDEX($AN$5:$AN$1000,$U25-4)),1),MesCiclo)),IF(ISNUMBER($AM25),DATE(YEAR($AM25),MONTH($AM25),1),IF(ISNUMBER($AN25),DATE(YEAR($AN25),MONTH($AN25),1),MesCiclo))))</f>
        <v/>
      </c>
      <c r="T25" s="62">
        <f>IF(OR($S25="",$S25&lt;&gt;MesCiclo,$V25&lt;&gt;"Macro"),"",COUNTIFS($S$5:$S25,MesCiclo,$V$5:$V25,"Macro"))</f>
        <v/>
      </c>
      <c r="U25" s="62">
        <f>IF($V25="","",IF($V25="Macro",ROW(),IFERROR(LOOKUP(2,1/($V$5:$V25="Macro"),ROW($V$5:$V25)),0)))</f>
        <v/>
      </c>
      <c r="V25" s="62">
        <f>IF(NOT((COUNTA($B25:$D25)+COUNTA($G25:$L25)+COUNTA($Q25))&gt;0),"",IF($B25="Subactividad","Sub","Macro"))</f>
        <v/>
      </c>
      <c r="W25" s="62">
        <f>IF($V25="Macro",COUNTIFS($U$5:$U$1000,ROW(),$V$5:$V$1000,"Sub"),"")</f>
        <v/>
      </c>
      <c r="X25" s="62">
        <f>IF($V25="","",IF(ISNUMBER($G25),1,IFERROR(LOOKUP(2,1/($I25:$L25&lt;&gt;""),$I25:$L25),0)))</f>
        <v/>
      </c>
      <c r="Y25" s="62">
        <f>IF($V25="","",IF(AND(ISNUMBER($G25),$G25&lt;=IF($S25=MesCiclo,InicioCiclo,$S25+MOD(2-WEEKDAY($S25),7))+6),1,IF(ISNUMBER($I25),$I25,0)))</f>
        <v/>
      </c>
      <c r="Z25" s="62">
        <f>IF($V25="","",IF(AND(ISNUMBER($G25),$G25&lt;=IF($S25=MesCiclo,InicioCiclo,$S25+MOD(2-WEEKDAY($S25),7))+13),1,IF(ISNUMBER($J25),$J25,$Y25)))</f>
        <v/>
      </c>
      <c r="AA25" s="62">
        <f>IF($V25="","",IF(AND(ISNUMBER($G25),$G25&lt;=IF($S25=MesCiclo,InicioCiclo,$S25+MOD(2-WEEKDAY($S25),7))+20),1,IF(ISNUMBER($K25),$K25,$Z25)))</f>
        <v/>
      </c>
      <c r="AB25" s="62">
        <f>IF($V25="","",IF(AND(ISNUMBER($G25),$G25&lt;=IF($S25=MesCiclo,InicioCiclo,$S25+MOD(2-WEEKDAY($S25),7))+27),1,IF(ISNUMBER($L25),$L25,$AA25)))</f>
        <v/>
      </c>
      <c r="AC25" s="62">
        <f>IF($V25="","",IF(AND(ISNUMBER($G25),$G25&lt;=IF($S25=MesCiclo,InicioCiclo,$S25+MOD(2-WEEKDAY($S25),7))+6),1,IF(N($W25)&gt;0,AVERAGEIFS($Y$5:$Y$1000,$U$5:$U$1000,ROW(),$V$5:$V$1000,"Sub"),$Y25)))</f>
        <v/>
      </c>
      <c r="AD25" s="62">
        <f>IF($V25="","",IF(AND(ISNUMBER($G25),$G25&lt;=IF($S25=MesCiclo,InicioCiclo,$S25+MOD(2-WEEKDAY($S25),7))+13),1,IF(N($W25)&gt;0,AVERAGEIFS($Z$5:$Z$1000,$U$5:$U$1000,ROW(),$V$5:$V$1000,"Sub"),$Z25)))</f>
        <v/>
      </c>
      <c r="AE25" s="62">
        <f>IF($V25="","",IF(AND(ISNUMBER($G25),$G25&lt;=IF($S25=MesCiclo,InicioCiclo,$S25+MOD(2-WEEKDAY($S25),7))+20),1,IF(N($W25)&gt;0,AVERAGEIFS($AA$5:$AA$1000,$U$5:$U$1000,ROW(),$V$5:$V$1000,"Sub"),$AA25)))</f>
        <v/>
      </c>
      <c r="AF25" s="62">
        <f>IF($V25="","",IF(AND(ISNUMBER($G25),$G25&lt;=IF($S25=MesCiclo,InicioCiclo,$S25+MOD(2-WEEKDAY($S25),7))+27),1,IF(N($W25)&gt;0,AVERAGEIFS($AB$5:$AB$1000,$U$5:$U$1000,ROW(),$V$5:$V$1000,"Sub"),$AB25)))</f>
        <v/>
      </c>
      <c r="AG25" s="62">
        <f>IF($V25&lt;&gt;"Macro","",IF(COUNTIFS($S$5:$S$1000,$S25,$V$5:$V$1000,"Macro",$H$5:$H$1000,"&gt;0")=0,1/COUNTIFS($S$5:$S$1000,$S25,$V$5:$V$1000,"Macro"),IF(AND(ISNUMBER($H25),N($H25)&gt;0),$H25,SUMIFS($H$5:$H$1000,$S$5:$S$1000,$S25,$V$5:$V$1000,"Macro")/COUNTIFS($S$5:$S$1000,$S25,$V$5:$V$1000,"Macro",$H$5:$H$1000,"&gt;0"))/(COUNTIFS($S$5:$S$1000,$S25,$V$5:$V$1000,"Macro")*SUMIFS($H$5:$H$1000,$S$5:$S$1000,$S25,$V$5:$V$1000,"Macro")/COUNTIFS($S$5:$S$1000,$S25,$V$5:$V$1000,"Macro",$H$5:$H$1000,"&gt;0"))))</f>
        <v/>
      </c>
      <c r="AH25" s="62" t="n"/>
      <c r="AI25" s="62" t="n"/>
      <c r="AJ25" s="62" t="n"/>
      <c r="AK25" s="62" t="n"/>
      <c r="AL25" s="62">
        <f>IF(LEFT($C25,11)="[Jefatura] ",IFERROR(MATCH("Asistente Técnico de Riesgo|"&amp;MID($C25,12,500),rDname_ADM,0),0),"")</f>
        <v/>
      </c>
      <c r="AM25" s="62">
        <f>IF(N($AL25)&gt;0,INDEX(rIni_ADM,$AL25),IF(ISNUMBER($E25),$E25,""))</f>
        <v/>
      </c>
      <c r="AN25" s="62">
        <f>IF(N($AL25)&gt;0,INDEX(rLim_ADM,$AL25),IF(ISNUMBER($F25),$F25,""))</f>
        <v/>
      </c>
    </row>
    <row r="26">
      <c r="A26" s="56">
        <f>IF(NOT((COUNTA($B26:$D26)+COUNTA($G26:$L26)+COUNTA($Q26))&gt;0),"",IF($V26="Macro",COUNTIFS($V$5:$V26,"Macro",$S$5:$S26,$S26),IF(N($U26)=0,"?",COUNTIFS(INDEX($V$5:$V$1000,1):INDEX($V$5:$V$1000,$U26-4),"Macro",INDEX($S$5:$S$1000,1):INDEX($S$5:$S$1000,$U26-4),INDEX($S$5:$S$1000,$U26-4))&amp;"."&amp;COUNTIFS($U$5:$U26,$U26,$V$5:$V26,"Sub"))))</f>
        <v/>
      </c>
      <c r="B26" s="57" t="n"/>
      <c r="C26" s="58" t="n"/>
      <c r="D26" s="58" t="n"/>
      <c r="E26" s="59">
        <f>IF(N($AL26)&gt;0,INDEX(rIni_ADM,$AL26),"")</f>
        <v/>
      </c>
      <c r="F26" s="59">
        <f>IF(N($AL26)&gt;0,INDEX(rLim_ADM,$AL26),"")</f>
        <v/>
      </c>
      <c r="G26" s="59" t="n"/>
      <c r="H26" s="60" t="n"/>
      <c r="I26" s="60" t="n"/>
      <c r="J26" s="60" t="n"/>
      <c r="K26" s="60" t="n"/>
      <c r="L26" s="60" t="n"/>
      <c r="M26" s="61">
        <f>IF(NOT((COUNTA($B26:$D26)+COUNTA($G26:$L26)+COUNTA($Q26))&gt;0),"",IF($V26="Sub",IFERROR($X26/INDEX($W$5:$W$1000,$U26-4),""),IF(ISNUMBER($G26),1,IF(N($W26)&gt;0,AVERAGEIFS($X$5:$X$1000,$U$5:$U$1000,ROW(),$V$5:$V$1000,"Sub"),$X26))))</f>
        <v/>
      </c>
      <c r="N26" s="56">
        <f>IF(OR($M26="",$V26="Sub"),"",IF($M26&gt;=1,"Completado",IF($M26&gt;0,"En curso","Pendiente")))</f>
        <v/>
      </c>
      <c r="O26" s="56">
        <f>IF(OR(NOT((COUNTA($B26:$D26)+COUNTA($G26:$L26)+COUNTA($Q26))&gt;0),$V26="Sub"),"",IF(ISNUMBER($G26),IF(AND(ISNUMBER($AN26),$G26&gt;$AN26),"Cumplida con "&amp;($G26-$AN26)&amp;IF($G26-$AN26=1," día"," días")&amp;" de retraso","Cumplida"),IF(N($M26)&gt;=1,"Cumplida",IF(NOT(ISNUMBER($AN26)),"Sin fecha límite",IF($AN26&lt;FechaRef,"Vencida hace "&amp;(FechaRef-$AN26)&amp;IF(FechaRef-$AN26=1," día"," días"),IF($AN26=FechaRef,"Vence hoy",IF($AN26-FechaRef&lt;=DiasAlerta,"Vence en "&amp;($AN26-FechaRef)&amp;IF($AN26-FechaRef=1," día"," días"),"En plazo")))))))</f>
        <v/>
      </c>
      <c r="P26" s="62" t="n"/>
      <c r="Q26" s="58" t="n"/>
      <c r="R26" s="63">
        <f>IF(NOT((COUNTA($B26:$D26)+COUNTA($G26:$L26)+COUNTA($Q26))&gt;0),"",IF((IF($C26="","Falta el nombre de la actividad"&amp;" · ","")&amp;IF(AND($V26="Sub",N($U26)=0),"Subactividad sin macroactividad arriba"&amp;" · ","")&amp;IF($AM26="","Sin fecha de inicio"&amp;" · ","")&amp;IF($AN26="","Sin fecha límite"&amp;" · ","")&amp;IF(AND(LEFT($C26,11)="[Jefatura] ",N($AL26)=0),"No se encuentra en la hoja de la jefatura (elíjala de nuevo en la lista)"&amp;" · ","")&amp;IF(OR(AND($E26&lt;&gt;"",NOT(ISNUMBER($E26))),AND($F26&lt;&gt;"",NOT(ISNUMBER($F26))),AND($G26&lt;&gt;"",NOT(ISNUMBER($G26)))),"Fecha no válida"&amp;" · ","")&amp;IF(AND(ISNUMBER($AM26),ISNUMBER($AN26),$AM26&gt;$AN26),"Inicio posterior a fecha límite"&amp;" · ","")&amp;IF(AND($V26="Macro",$H26&lt;&gt;"",OR(NOT(ISNUMBER($H26)),$H26&lt;0,$H26&gt;1)),"Peso fuera de rango"&amp;" · ","")&amp;IF(AND($V26="Sub",$H26&lt;&gt;""),"Las subactividades no llevan peso (valen igual dentro de su macroactividad)"&amp;" · ","")&amp;IF(AND(N($W26)&gt;0,COUNT($I26:$L26)&gt;0),"Con subactividades: deje vacías las semanas (se calculan solas)"&amp;" · ","")&amp;IF((COUNTIF($I26:$L26,"&gt;1")+COUNTIF($I26:$L26,"&lt;0")+COUNTA($I26:$L26)-COUNT($I26:$L26))&gt;0,"Avance fuera de rango 0-100%"&amp;" · ","")&amp;IF(OR(AND($J26&lt;&gt;"",$J26&lt;$I26),AND($K26&lt;&gt;"",$K26&lt;MAX($I26:$J26)),AND($L26&lt;&gt;"",$L26&lt;MAX($I26:$K26))),"Avance semanal decreciente"&amp;" · ","")&amp;IF(AND(ISNUMBER($AN26),$AN26&lt;FechaRef,IF($V26="Sub",N($X26),N($M26))&lt;1),"Vencida"&amp;" · ","")&amp;IF(AND(ObsObligatoria="Sí",ISNUMBER($AN26),$AN26&lt;FechaRef,IF($V26="Sub",N($X26),N($M26))&lt;1,$Q26=""),"Vencida sin observación"&amp;" · ",""))="","✔ OK","⚠ "&amp;LEFT(IF($C26="","Falta el nombre de la actividad"&amp;" · ","")&amp;IF(AND($V26="Sub",N($U26)=0),"Subactividad sin macroactividad arriba"&amp;" · ","")&amp;IF($AM26="","Sin fecha de inicio"&amp;" · ","")&amp;IF($AN26="","Sin fecha límite"&amp;" · ","")&amp;IF(AND(LEFT($C26,11)="[Jefatura] ",N($AL26)=0),"No se encuentra en la hoja de la jefatura (elíjala de nuevo en la lista)"&amp;" · ","")&amp;IF(OR(AND($E26&lt;&gt;"",NOT(ISNUMBER($E26))),AND($F26&lt;&gt;"",NOT(ISNUMBER($F26))),AND($G26&lt;&gt;"",NOT(ISNUMBER($G26)))),"Fecha no válida"&amp;" · ","")&amp;IF(AND(ISNUMBER($AM26),ISNUMBER($AN26),$AM26&gt;$AN26),"Inicio posterior a fecha límite"&amp;" · ","")&amp;IF(AND($V26="Macro",$H26&lt;&gt;"",OR(NOT(ISNUMBER($H26)),$H26&lt;0,$H26&gt;1)),"Peso fuera de rango"&amp;" · ","")&amp;IF(AND($V26="Sub",$H26&lt;&gt;""),"Las subactividades no llevan peso (valen igual dentro de su macroactividad)"&amp;" · ","")&amp;IF(AND(N($W26)&gt;0,COUNT($I26:$L26)&gt;0),"Con subactividades: deje vacías las semanas (se calculan solas)"&amp;" · ","")&amp;IF((COUNTIF($I26:$L26,"&gt;1")+COUNTIF($I26:$L26,"&lt;0")+COUNTA($I26:$L26)-COUNT($I26:$L26))&gt;0,"Avance fuera de rango 0-100%"&amp;" · ","")&amp;IF(OR(AND($J26&lt;&gt;"",$J26&lt;$I26),AND($K26&lt;&gt;"",$K26&lt;MAX($I26:$J26)),AND($L26&lt;&gt;"",$L26&lt;MAX($I26:$K26))),"Avance semanal decreciente"&amp;" · ","")&amp;IF(AND(ISNUMBER($AN26),$AN26&lt;FechaRef,IF($V26="Sub",N($X26),N($M26))&lt;1),"Vencida"&amp;" · ","")&amp;IF(AND(ObsObligatoria="Sí",ISNUMBER($AN26),$AN26&lt;FechaRef,IF($V26="Sub",N($X26),N($M26))&lt;1,$Q26=""),"Vencida sin observación"&amp;" · ",""),LEN(IF($C26="","Falta el nombre de la actividad"&amp;" · ","")&amp;IF(AND($V26="Sub",N($U26)=0),"Subactividad sin macroactividad arriba"&amp;" · ","")&amp;IF($AM26="","Sin fecha de inicio"&amp;" · ","")&amp;IF($AN26="","Sin fecha límite"&amp;" · ","")&amp;IF(AND(LEFT($C26,11)="[Jefatura] ",N($AL26)=0),"No se encuentra en la hoja de la jefatura (elíjala de nuevo en la lista)"&amp;" · ","")&amp;IF(OR(AND($E26&lt;&gt;"",NOT(ISNUMBER($E26))),AND($F26&lt;&gt;"",NOT(ISNUMBER($F26))),AND($G26&lt;&gt;"",NOT(ISNUMBER($G26)))),"Fecha no válida"&amp;" · ","")&amp;IF(AND(ISNUMBER($AM26),ISNUMBER($AN26),$AM26&gt;$AN26),"Inicio posterior a fecha límite"&amp;" · ","")&amp;IF(AND($V26="Macro",$H26&lt;&gt;"",OR(NOT(ISNUMBER($H26)),$H26&lt;0,$H26&gt;1)),"Peso fuera de rango"&amp;" · ","")&amp;IF(AND($V26="Sub",$H26&lt;&gt;""),"Las subactividades no llevan peso (valen igual dentro de su macroactividad)"&amp;" · ","")&amp;IF(AND(N($W26)&gt;0,COUNT($I26:$L26)&gt;0),"Con subactividades: deje vacías las semanas (se calculan solas)"&amp;" · ","")&amp;IF((COUNTIF($I26:$L26,"&gt;1")+COUNTIF($I26:$L26,"&lt;0")+COUNTA($I26:$L26)-COUNT($I26:$L26))&gt;0,"Avance fuera de rango 0-100%"&amp;" · ","")&amp;IF(OR(AND($J26&lt;&gt;"",$J26&lt;$I26),AND($K26&lt;&gt;"",$K26&lt;MAX($I26:$J26)),AND($L26&lt;&gt;"",$L26&lt;MAX($I26:$K26))),"Avance semanal decreciente"&amp;" · ","")&amp;IF(AND(ISNUMBER($AN26),$AN26&lt;FechaRef,IF($V26="Sub",N($X26),N($M26))&lt;1),"Vencida"&amp;" · ","")&amp;IF(AND(ObsObligatoria="Sí",ISNUMBER($AN26),$AN26&lt;FechaRef,IF($V26="Sub",N($X26),N($M26))&lt;1,$Q26=""),"Vencida sin observación"&amp;" · ",""))-3)))</f>
        <v/>
      </c>
      <c r="S26" s="64">
        <f>IF(NOT((COUNTA($B26:$D26)+COUNTA($G26:$L26)+COUNTA($Q26))&gt;0),"",IF(AND($V26="Sub",N($U26)&gt;0),IF(ISNUMBER(INDEX($AM$5:$AM$1000,$U26-4)),DATE(YEAR(INDEX($AM$5:$AM$1000,$U26-4)),MONTH(INDEX($AM$5:$AM$1000,$U26-4)),1),IF(ISNUMBER(INDEX($AN$5:$AN$1000,$U26-4)),DATE(YEAR(INDEX($AN$5:$AN$1000,$U26-4)),MONTH(INDEX($AN$5:$AN$1000,$U26-4)),1),MesCiclo)),IF(ISNUMBER($AM26),DATE(YEAR($AM26),MONTH($AM26),1),IF(ISNUMBER($AN26),DATE(YEAR($AN26),MONTH($AN26),1),MesCiclo))))</f>
        <v/>
      </c>
      <c r="T26" s="62">
        <f>IF(OR($S26="",$S26&lt;&gt;MesCiclo,$V26&lt;&gt;"Macro"),"",COUNTIFS($S$5:$S26,MesCiclo,$V$5:$V26,"Macro"))</f>
        <v/>
      </c>
      <c r="U26" s="62">
        <f>IF($V26="","",IF($V26="Macro",ROW(),IFERROR(LOOKUP(2,1/($V$5:$V26="Macro"),ROW($V$5:$V26)),0)))</f>
        <v/>
      </c>
      <c r="V26" s="62">
        <f>IF(NOT((COUNTA($B26:$D26)+COUNTA($G26:$L26)+COUNTA($Q26))&gt;0),"",IF($B26="Subactividad","Sub","Macro"))</f>
        <v/>
      </c>
      <c r="W26" s="62">
        <f>IF($V26="Macro",COUNTIFS($U$5:$U$1000,ROW(),$V$5:$V$1000,"Sub"),"")</f>
        <v/>
      </c>
      <c r="X26" s="62">
        <f>IF($V26="","",IF(ISNUMBER($G26),1,IFERROR(LOOKUP(2,1/($I26:$L26&lt;&gt;""),$I26:$L26),0)))</f>
        <v/>
      </c>
      <c r="Y26" s="62">
        <f>IF($V26="","",IF(AND(ISNUMBER($G26),$G26&lt;=IF($S26=MesCiclo,InicioCiclo,$S26+MOD(2-WEEKDAY($S26),7))+6),1,IF(ISNUMBER($I26),$I26,0)))</f>
        <v/>
      </c>
      <c r="Z26" s="62">
        <f>IF($V26="","",IF(AND(ISNUMBER($G26),$G26&lt;=IF($S26=MesCiclo,InicioCiclo,$S26+MOD(2-WEEKDAY($S26),7))+13),1,IF(ISNUMBER($J26),$J26,$Y26)))</f>
        <v/>
      </c>
      <c r="AA26" s="62">
        <f>IF($V26="","",IF(AND(ISNUMBER($G26),$G26&lt;=IF($S26=MesCiclo,InicioCiclo,$S26+MOD(2-WEEKDAY($S26),7))+20),1,IF(ISNUMBER($K26),$K26,$Z26)))</f>
        <v/>
      </c>
      <c r="AB26" s="62">
        <f>IF($V26="","",IF(AND(ISNUMBER($G26),$G26&lt;=IF($S26=MesCiclo,InicioCiclo,$S26+MOD(2-WEEKDAY($S26),7))+27),1,IF(ISNUMBER($L26),$L26,$AA26)))</f>
        <v/>
      </c>
      <c r="AC26" s="62">
        <f>IF($V26="","",IF(AND(ISNUMBER($G26),$G26&lt;=IF($S26=MesCiclo,InicioCiclo,$S26+MOD(2-WEEKDAY($S26),7))+6),1,IF(N($W26)&gt;0,AVERAGEIFS($Y$5:$Y$1000,$U$5:$U$1000,ROW(),$V$5:$V$1000,"Sub"),$Y26)))</f>
        <v/>
      </c>
      <c r="AD26" s="62">
        <f>IF($V26="","",IF(AND(ISNUMBER($G26),$G26&lt;=IF($S26=MesCiclo,InicioCiclo,$S26+MOD(2-WEEKDAY($S26),7))+13),1,IF(N($W26)&gt;0,AVERAGEIFS($Z$5:$Z$1000,$U$5:$U$1000,ROW(),$V$5:$V$1000,"Sub"),$Z26)))</f>
        <v/>
      </c>
      <c r="AE26" s="62">
        <f>IF($V26="","",IF(AND(ISNUMBER($G26),$G26&lt;=IF($S26=MesCiclo,InicioCiclo,$S26+MOD(2-WEEKDAY($S26),7))+20),1,IF(N($W26)&gt;0,AVERAGEIFS($AA$5:$AA$1000,$U$5:$U$1000,ROW(),$V$5:$V$1000,"Sub"),$AA26)))</f>
        <v/>
      </c>
      <c r="AF26" s="62">
        <f>IF($V26="","",IF(AND(ISNUMBER($G26),$G26&lt;=IF($S26=MesCiclo,InicioCiclo,$S26+MOD(2-WEEKDAY($S26),7))+27),1,IF(N($W26)&gt;0,AVERAGEIFS($AB$5:$AB$1000,$U$5:$U$1000,ROW(),$V$5:$V$1000,"Sub"),$AB26)))</f>
        <v/>
      </c>
      <c r="AG26" s="62">
        <f>IF($V26&lt;&gt;"Macro","",IF(COUNTIFS($S$5:$S$1000,$S26,$V$5:$V$1000,"Macro",$H$5:$H$1000,"&gt;0")=0,1/COUNTIFS($S$5:$S$1000,$S26,$V$5:$V$1000,"Macro"),IF(AND(ISNUMBER($H26),N($H26)&gt;0),$H26,SUMIFS($H$5:$H$1000,$S$5:$S$1000,$S26,$V$5:$V$1000,"Macro")/COUNTIFS($S$5:$S$1000,$S26,$V$5:$V$1000,"Macro",$H$5:$H$1000,"&gt;0"))/(COUNTIFS($S$5:$S$1000,$S26,$V$5:$V$1000,"Macro")*SUMIFS($H$5:$H$1000,$S$5:$S$1000,$S26,$V$5:$V$1000,"Macro")/COUNTIFS($S$5:$S$1000,$S26,$V$5:$V$1000,"Macro",$H$5:$H$1000,"&gt;0"))))</f>
        <v/>
      </c>
      <c r="AH26" s="62" t="n"/>
      <c r="AI26" s="62" t="n"/>
      <c r="AJ26" s="62" t="n"/>
      <c r="AK26" s="62" t="n"/>
      <c r="AL26" s="62">
        <f>IF(LEFT($C26,11)="[Jefatura] ",IFERROR(MATCH("Asistente Técnico de Riesgo|"&amp;MID($C26,12,500),rDname_ADM,0),0),"")</f>
        <v/>
      </c>
      <c r="AM26" s="62">
        <f>IF(N($AL26)&gt;0,INDEX(rIni_ADM,$AL26),IF(ISNUMBER($E26),$E26,""))</f>
        <v/>
      </c>
      <c r="AN26" s="62">
        <f>IF(N($AL26)&gt;0,INDEX(rLim_ADM,$AL26),IF(ISNUMBER($F26),$F26,""))</f>
        <v/>
      </c>
    </row>
    <row r="27">
      <c r="A27" s="56">
        <f>IF(NOT((COUNTA($B27:$D27)+COUNTA($G27:$L27)+COUNTA($Q27))&gt;0),"",IF($V27="Macro",COUNTIFS($V$5:$V27,"Macro",$S$5:$S27,$S27),IF(N($U27)=0,"?",COUNTIFS(INDEX($V$5:$V$1000,1):INDEX($V$5:$V$1000,$U27-4),"Macro",INDEX($S$5:$S$1000,1):INDEX($S$5:$S$1000,$U27-4),INDEX($S$5:$S$1000,$U27-4))&amp;"."&amp;COUNTIFS($U$5:$U27,$U27,$V$5:$V27,"Sub"))))</f>
        <v/>
      </c>
      <c r="B27" s="57" t="n"/>
      <c r="C27" s="58" t="n"/>
      <c r="D27" s="58" t="n"/>
      <c r="E27" s="59">
        <f>IF(N($AL27)&gt;0,INDEX(rIni_ADM,$AL27),"")</f>
        <v/>
      </c>
      <c r="F27" s="59">
        <f>IF(N($AL27)&gt;0,INDEX(rLim_ADM,$AL27),"")</f>
        <v/>
      </c>
      <c r="G27" s="59" t="n"/>
      <c r="H27" s="60" t="n"/>
      <c r="I27" s="60" t="n"/>
      <c r="J27" s="60" t="n"/>
      <c r="K27" s="60" t="n"/>
      <c r="L27" s="60" t="n"/>
      <c r="M27" s="61">
        <f>IF(NOT((COUNTA($B27:$D27)+COUNTA($G27:$L27)+COUNTA($Q27))&gt;0),"",IF($V27="Sub",IFERROR($X27/INDEX($W$5:$W$1000,$U27-4),""),IF(ISNUMBER($G27),1,IF(N($W27)&gt;0,AVERAGEIFS($X$5:$X$1000,$U$5:$U$1000,ROW(),$V$5:$V$1000,"Sub"),$X27))))</f>
        <v/>
      </c>
      <c r="N27" s="56">
        <f>IF(OR($M27="",$V27="Sub"),"",IF($M27&gt;=1,"Completado",IF($M27&gt;0,"En curso","Pendiente")))</f>
        <v/>
      </c>
      <c r="O27" s="56">
        <f>IF(OR(NOT((COUNTA($B27:$D27)+COUNTA($G27:$L27)+COUNTA($Q27))&gt;0),$V27="Sub"),"",IF(ISNUMBER($G27),IF(AND(ISNUMBER($AN27),$G27&gt;$AN27),"Cumplida con "&amp;($G27-$AN27)&amp;IF($G27-$AN27=1," día"," días")&amp;" de retraso","Cumplida"),IF(N($M27)&gt;=1,"Cumplida",IF(NOT(ISNUMBER($AN27)),"Sin fecha límite",IF($AN27&lt;FechaRef,"Vencida hace "&amp;(FechaRef-$AN27)&amp;IF(FechaRef-$AN27=1," día"," días"),IF($AN27=FechaRef,"Vence hoy",IF($AN27-FechaRef&lt;=DiasAlerta,"Vence en "&amp;($AN27-FechaRef)&amp;IF($AN27-FechaRef=1," día"," días"),"En plazo")))))))</f>
        <v/>
      </c>
      <c r="P27" s="62" t="n"/>
      <c r="Q27" s="58" t="n"/>
      <c r="R27" s="63">
        <f>IF(NOT((COUNTA($B27:$D27)+COUNTA($G27:$L27)+COUNTA($Q27))&gt;0),"",IF((IF($C27="","Falta el nombre de la actividad"&amp;" · ","")&amp;IF(AND($V27="Sub",N($U27)=0),"Subactividad sin macroactividad arriba"&amp;" · ","")&amp;IF($AM27="","Sin fecha de inicio"&amp;" · ","")&amp;IF($AN27="","Sin fecha límite"&amp;" · ","")&amp;IF(AND(LEFT($C27,11)="[Jefatura] ",N($AL27)=0),"No se encuentra en la hoja de la jefatura (elíjala de nuevo en la lista)"&amp;" · ","")&amp;IF(OR(AND($E27&lt;&gt;"",NOT(ISNUMBER($E27))),AND($F27&lt;&gt;"",NOT(ISNUMBER($F27))),AND($G27&lt;&gt;"",NOT(ISNUMBER($G27)))),"Fecha no válida"&amp;" · ","")&amp;IF(AND(ISNUMBER($AM27),ISNUMBER($AN27),$AM27&gt;$AN27),"Inicio posterior a fecha límite"&amp;" · ","")&amp;IF(AND($V27="Macro",$H27&lt;&gt;"",OR(NOT(ISNUMBER($H27)),$H27&lt;0,$H27&gt;1)),"Peso fuera de rango"&amp;" · ","")&amp;IF(AND($V27="Sub",$H27&lt;&gt;""),"Las subactividades no llevan peso (valen igual dentro de su macroactividad)"&amp;" · ","")&amp;IF(AND(N($W27)&gt;0,COUNT($I27:$L27)&gt;0),"Con subactividades: deje vacías las semanas (se calculan solas)"&amp;" · ","")&amp;IF((COUNTIF($I27:$L27,"&gt;1")+COUNTIF($I27:$L27,"&lt;0")+COUNTA($I27:$L27)-COUNT($I27:$L27))&gt;0,"Avance fuera de rango 0-100%"&amp;" · ","")&amp;IF(OR(AND($J27&lt;&gt;"",$J27&lt;$I27),AND($K27&lt;&gt;"",$K27&lt;MAX($I27:$J27)),AND($L27&lt;&gt;"",$L27&lt;MAX($I27:$K27))),"Avance semanal decreciente"&amp;" · ","")&amp;IF(AND(ISNUMBER($AN27),$AN27&lt;FechaRef,IF($V27="Sub",N($X27),N($M27))&lt;1),"Vencida"&amp;" · ","")&amp;IF(AND(ObsObligatoria="Sí",ISNUMBER($AN27),$AN27&lt;FechaRef,IF($V27="Sub",N($X27),N($M27))&lt;1,$Q27=""),"Vencida sin observación"&amp;" · ",""))="","✔ OK","⚠ "&amp;LEFT(IF($C27="","Falta el nombre de la actividad"&amp;" · ","")&amp;IF(AND($V27="Sub",N($U27)=0),"Subactividad sin macroactividad arriba"&amp;" · ","")&amp;IF($AM27="","Sin fecha de inicio"&amp;" · ","")&amp;IF($AN27="","Sin fecha límite"&amp;" · ","")&amp;IF(AND(LEFT($C27,11)="[Jefatura] ",N($AL27)=0),"No se encuentra en la hoja de la jefatura (elíjala de nuevo en la lista)"&amp;" · ","")&amp;IF(OR(AND($E27&lt;&gt;"",NOT(ISNUMBER($E27))),AND($F27&lt;&gt;"",NOT(ISNUMBER($F27))),AND($G27&lt;&gt;"",NOT(ISNUMBER($G27)))),"Fecha no válida"&amp;" · ","")&amp;IF(AND(ISNUMBER($AM27),ISNUMBER($AN27),$AM27&gt;$AN27),"Inicio posterior a fecha límite"&amp;" · ","")&amp;IF(AND($V27="Macro",$H27&lt;&gt;"",OR(NOT(ISNUMBER($H27)),$H27&lt;0,$H27&gt;1)),"Peso fuera de rango"&amp;" · ","")&amp;IF(AND($V27="Sub",$H27&lt;&gt;""),"Las subactividades no llevan peso (valen igual dentro de su macroactividad)"&amp;" · ","")&amp;IF(AND(N($W27)&gt;0,COUNT($I27:$L27)&gt;0),"Con subactividades: deje vacías las semanas (se calculan solas)"&amp;" · ","")&amp;IF((COUNTIF($I27:$L27,"&gt;1")+COUNTIF($I27:$L27,"&lt;0")+COUNTA($I27:$L27)-COUNT($I27:$L27))&gt;0,"Avance fuera de rango 0-100%"&amp;" · ","")&amp;IF(OR(AND($J27&lt;&gt;"",$J27&lt;$I27),AND($K27&lt;&gt;"",$K27&lt;MAX($I27:$J27)),AND($L27&lt;&gt;"",$L27&lt;MAX($I27:$K27))),"Avance semanal decreciente"&amp;" · ","")&amp;IF(AND(ISNUMBER($AN27),$AN27&lt;FechaRef,IF($V27="Sub",N($X27),N($M27))&lt;1),"Vencida"&amp;" · ","")&amp;IF(AND(ObsObligatoria="Sí",ISNUMBER($AN27),$AN27&lt;FechaRef,IF($V27="Sub",N($X27),N($M27))&lt;1,$Q27=""),"Vencida sin observación"&amp;" · ",""),LEN(IF($C27="","Falta el nombre de la actividad"&amp;" · ","")&amp;IF(AND($V27="Sub",N($U27)=0),"Subactividad sin macroactividad arriba"&amp;" · ","")&amp;IF($AM27="","Sin fecha de inicio"&amp;" · ","")&amp;IF($AN27="","Sin fecha límite"&amp;" · ","")&amp;IF(AND(LEFT($C27,11)="[Jefatura] ",N($AL27)=0),"No se encuentra en la hoja de la jefatura (elíjala de nuevo en la lista)"&amp;" · ","")&amp;IF(OR(AND($E27&lt;&gt;"",NOT(ISNUMBER($E27))),AND($F27&lt;&gt;"",NOT(ISNUMBER($F27))),AND($G27&lt;&gt;"",NOT(ISNUMBER($G27)))),"Fecha no válida"&amp;" · ","")&amp;IF(AND(ISNUMBER($AM27),ISNUMBER($AN27),$AM27&gt;$AN27),"Inicio posterior a fecha límite"&amp;" · ","")&amp;IF(AND($V27="Macro",$H27&lt;&gt;"",OR(NOT(ISNUMBER($H27)),$H27&lt;0,$H27&gt;1)),"Peso fuera de rango"&amp;" · ","")&amp;IF(AND($V27="Sub",$H27&lt;&gt;""),"Las subactividades no llevan peso (valen igual dentro de su macroactividad)"&amp;" · ","")&amp;IF(AND(N($W27)&gt;0,COUNT($I27:$L27)&gt;0),"Con subactividades: deje vacías las semanas (se calculan solas)"&amp;" · ","")&amp;IF((COUNTIF($I27:$L27,"&gt;1")+COUNTIF($I27:$L27,"&lt;0")+COUNTA($I27:$L27)-COUNT($I27:$L27))&gt;0,"Avance fuera de rango 0-100%"&amp;" · ","")&amp;IF(OR(AND($J27&lt;&gt;"",$J27&lt;$I27),AND($K27&lt;&gt;"",$K27&lt;MAX($I27:$J27)),AND($L27&lt;&gt;"",$L27&lt;MAX($I27:$K27))),"Avance semanal decreciente"&amp;" · ","")&amp;IF(AND(ISNUMBER($AN27),$AN27&lt;FechaRef,IF($V27="Sub",N($X27),N($M27))&lt;1),"Vencida"&amp;" · ","")&amp;IF(AND(ObsObligatoria="Sí",ISNUMBER($AN27),$AN27&lt;FechaRef,IF($V27="Sub",N($X27),N($M27))&lt;1,$Q27=""),"Vencida sin observación"&amp;" · ",""))-3)))</f>
        <v/>
      </c>
      <c r="S27" s="64">
        <f>IF(NOT((COUNTA($B27:$D27)+COUNTA($G27:$L27)+COUNTA($Q27))&gt;0),"",IF(AND($V27="Sub",N($U27)&gt;0),IF(ISNUMBER(INDEX($AM$5:$AM$1000,$U27-4)),DATE(YEAR(INDEX($AM$5:$AM$1000,$U27-4)),MONTH(INDEX($AM$5:$AM$1000,$U27-4)),1),IF(ISNUMBER(INDEX($AN$5:$AN$1000,$U27-4)),DATE(YEAR(INDEX($AN$5:$AN$1000,$U27-4)),MONTH(INDEX($AN$5:$AN$1000,$U27-4)),1),MesCiclo)),IF(ISNUMBER($AM27),DATE(YEAR($AM27),MONTH($AM27),1),IF(ISNUMBER($AN27),DATE(YEAR($AN27),MONTH($AN27),1),MesCiclo))))</f>
        <v/>
      </c>
      <c r="T27" s="62">
        <f>IF(OR($S27="",$S27&lt;&gt;MesCiclo,$V27&lt;&gt;"Macro"),"",COUNTIFS($S$5:$S27,MesCiclo,$V$5:$V27,"Macro"))</f>
        <v/>
      </c>
      <c r="U27" s="62">
        <f>IF($V27="","",IF($V27="Macro",ROW(),IFERROR(LOOKUP(2,1/($V$5:$V27="Macro"),ROW($V$5:$V27)),0)))</f>
        <v/>
      </c>
      <c r="V27" s="62">
        <f>IF(NOT((COUNTA($B27:$D27)+COUNTA($G27:$L27)+COUNTA($Q27))&gt;0),"",IF($B27="Subactividad","Sub","Macro"))</f>
        <v/>
      </c>
      <c r="W27" s="62">
        <f>IF($V27="Macro",COUNTIFS($U$5:$U$1000,ROW(),$V$5:$V$1000,"Sub"),"")</f>
        <v/>
      </c>
      <c r="X27" s="62">
        <f>IF($V27="","",IF(ISNUMBER($G27),1,IFERROR(LOOKUP(2,1/($I27:$L27&lt;&gt;""),$I27:$L27),0)))</f>
        <v/>
      </c>
      <c r="Y27" s="62">
        <f>IF($V27="","",IF(AND(ISNUMBER($G27),$G27&lt;=IF($S27=MesCiclo,InicioCiclo,$S27+MOD(2-WEEKDAY($S27),7))+6),1,IF(ISNUMBER($I27),$I27,0)))</f>
        <v/>
      </c>
      <c r="Z27" s="62">
        <f>IF($V27="","",IF(AND(ISNUMBER($G27),$G27&lt;=IF($S27=MesCiclo,InicioCiclo,$S27+MOD(2-WEEKDAY($S27),7))+13),1,IF(ISNUMBER($J27),$J27,$Y27)))</f>
        <v/>
      </c>
      <c r="AA27" s="62">
        <f>IF($V27="","",IF(AND(ISNUMBER($G27),$G27&lt;=IF($S27=MesCiclo,InicioCiclo,$S27+MOD(2-WEEKDAY($S27),7))+20),1,IF(ISNUMBER($K27),$K27,$Z27)))</f>
        <v/>
      </c>
      <c r="AB27" s="62">
        <f>IF($V27="","",IF(AND(ISNUMBER($G27),$G27&lt;=IF($S27=MesCiclo,InicioCiclo,$S27+MOD(2-WEEKDAY($S27),7))+27),1,IF(ISNUMBER($L27),$L27,$AA27)))</f>
        <v/>
      </c>
      <c r="AC27" s="62">
        <f>IF($V27="","",IF(AND(ISNUMBER($G27),$G27&lt;=IF($S27=MesCiclo,InicioCiclo,$S27+MOD(2-WEEKDAY($S27),7))+6),1,IF(N($W27)&gt;0,AVERAGEIFS($Y$5:$Y$1000,$U$5:$U$1000,ROW(),$V$5:$V$1000,"Sub"),$Y27)))</f>
        <v/>
      </c>
      <c r="AD27" s="62">
        <f>IF($V27="","",IF(AND(ISNUMBER($G27),$G27&lt;=IF($S27=MesCiclo,InicioCiclo,$S27+MOD(2-WEEKDAY($S27),7))+13),1,IF(N($W27)&gt;0,AVERAGEIFS($Z$5:$Z$1000,$U$5:$U$1000,ROW(),$V$5:$V$1000,"Sub"),$Z27)))</f>
        <v/>
      </c>
      <c r="AE27" s="62">
        <f>IF($V27="","",IF(AND(ISNUMBER($G27),$G27&lt;=IF($S27=MesCiclo,InicioCiclo,$S27+MOD(2-WEEKDAY($S27),7))+20),1,IF(N($W27)&gt;0,AVERAGEIFS($AA$5:$AA$1000,$U$5:$U$1000,ROW(),$V$5:$V$1000,"Sub"),$AA27)))</f>
        <v/>
      </c>
      <c r="AF27" s="62">
        <f>IF($V27="","",IF(AND(ISNUMBER($G27),$G27&lt;=IF($S27=MesCiclo,InicioCiclo,$S27+MOD(2-WEEKDAY($S27),7))+27),1,IF(N($W27)&gt;0,AVERAGEIFS($AB$5:$AB$1000,$U$5:$U$1000,ROW(),$V$5:$V$1000,"Sub"),$AB27)))</f>
        <v/>
      </c>
      <c r="AG27" s="62">
        <f>IF($V27&lt;&gt;"Macro","",IF(COUNTIFS($S$5:$S$1000,$S27,$V$5:$V$1000,"Macro",$H$5:$H$1000,"&gt;0")=0,1/COUNTIFS($S$5:$S$1000,$S27,$V$5:$V$1000,"Macro"),IF(AND(ISNUMBER($H27),N($H27)&gt;0),$H27,SUMIFS($H$5:$H$1000,$S$5:$S$1000,$S27,$V$5:$V$1000,"Macro")/COUNTIFS($S$5:$S$1000,$S27,$V$5:$V$1000,"Macro",$H$5:$H$1000,"&gt;0"))/(COUNTIFS($S$5:$S$1000,$S27,$V$5:$V$1000,"Macro")*SUMIFS($H$5:$H$1000,$S$5:$S$1000,$S27,$V$5:$V$1000,"Macro")/COUNTIFS($S$5:$S$1000,$S27,$V$5:$V$1000,"Macro",$H$5:$H$1000,"&gt;0"))))</f>
        <v/>
      </c>
      <c r="AH27" s="62" t="n"/>
      <c r="AI27" s="62" t="n"/>
      <c r="AJ27" s="62" t="n"/>
      <c r="AK27" s="62" t="n"/>
      <c r="AL27" s="62">
        <f>IF(LEFT($C27,11)="[Jefatura] ",IFERROR(MATCH("Asistente Técnico de Riesgo|"&amp;MID($C27,12,500),rDname_ADM,0),0),"")</f>
        <v/>
      </c>
      <c r="AM27" s="62">
        <f>IF(N($AL27)&gt;0,INDEX(rIni_ADM,$AL27),IF(ISNUMBER($E27),$E27,""))</f>
        <v/>
      </c>
      <c r="AN27" s="62">
        <f>IF(N($AL27)&gt;0,INDEX(rLim_ADM,$AL27),IF(ISNUMBER($F27),$F27,""))</f>
        <v/>
      </c>
    </row>
    <row r="28">
      <c r="A28" s="56">
        <f>IF(NOT((COUNTA($B28:$D28)+COUNTA($G28:$L28)+COUNTA($Q28))&gt;0),"",IF($V28="Macro",COUNTIFS($V$5:$V28,"Macro",$S$5:$S28,$S28),IF(N($U28)=0,"?",COUNTIFS(INDEX($V$5:$V$1000,1):INDEX($V$5:$V$1000,$U28-4),"Macro",INDEX($S$5:$S$1000,1):INDEX($S$5:$S$1000,$U28-4),INDEX($S$5:$S$1000,$U28-4))&amp;"."&amp;COUNTIFS($U$5:$U28,$U28,$V$5:$V28,"Sub"))))</f>
        <v/>
      </c>
      <c r="B28" s="57" t="n"/>
      <c r="C28" s="58" t="n"/>
      <c r="D28" s="58" t="n"/>
      <c r="E28" s="59">
        <f>IF(N($AL28)&gt;0,INDEX(rIni_ADM,$AL28),"")</f>
        <v/>
      </c>
      <c r="F28" s="59">
        <f>IF(N($AL28)&gt;0,INDEX(rLim_ADM,$AL28),"")</f>
        <v/>
      </c>
      <c r="G28" s="59" t="n"/>
      <c r="H28" s="60" t="n"/>
      <c r="I28" s="60" t="n"/>
      <c r="J28" s="60" t="n"/>
      <c r="K28" s="60" t="n"/>
      <c r="L28" s="60" t="n"/>
      <c r="M28" s="61">
        <f>IF(NOT((COUNTA($B28:$D28)+COUNTA($G28:$L28)+COUNTA($Q28))&gt;0),"",IF($V28="Sub",IFERROR($X28/INDEX($W$5:$W$1000,$U28-4),""),IF(ISNUMBER($G28),1,IF(N($W28)&gt;0,AVERAGEIFS($X$5:$X$1000,$U$5:$U$1000,ROW(),$V$5:$V$1000,"Sub"),$X28))))</f>
        <v/>
      </c>
      <c r="N28" s="56">
        <f>IF(OR($M28="",$V28="Sub"),"",IF($M28&gt;=1,"Completado",IF($M28&gt;0,"En curso","Pendiente")))</f>
        <v/>
      </c>
      <c r="O28" s="56">
        <f>IF(OR(NOT((COUNTA($B28:$D28)+COUNTA($G28:$L28)+COUNTA($Q28))&gt;0),$V28="Sub"),"",IF(ISNUMBER($G28),IF(AND(ISNUMBER($AN28),$G28&gt;$AN28),"Cumplida con "&amp;($G28-$AN28)&amp;IF($G28-$AN28=1," día"," días")&amp;" de retraso","Cumplida"),IF(N($M28)&gt;=1,"Cumplida",IF(NOT(ISNUMBER($AN28)),"Sin fecha límite",IF($AN28&lt;FechaRef,"Vencida hace "&amp;(FechaRef-$AN28)&amp;IF(FechaRef-$AN28=1," día"," días"),IF($AN28=FechaRef,"Vence hoy",IF($AN28-FechaRef&lt;=DiasAlerta,"Vence en "&amp;($AN28-FechaRef)&amp;IF($AN28-FechaRef=1," día"," días"),"En plazo")))))))</f>
        <v/>
      </c>
      <c r="P28" s="62" t="n"/>
      <c r="Q28" s="58" t="n"/>
      <c r="R28" s="63">
        <f>IF(NOT((COUNTA($B28:$D28)+COUNTA($G28:$L28)+COUNTA($Q28))&gt;0),"",IF((IF($C28="","Falta el nombre de la actividad"&amp;" · ","")&amp;IF(AND($V28="Sub",N($U28)=0),"Subactividad sin macroactividad arriba"&amp;" · ","")&amp;IF($AM28="","Sin fecha de inicio"&amp;" · ","")&amp;IF($AN28="","Sin fecha límite"&amp;" · ","")&amp;IF(AND(LEFT($C28,11)="[Jefatura] ",N($AL28)=0),"No se encuentra en la hoja de la jefatura (elíjala de nuevo en la lista)"&amp;" · ","")&amp;IF(OR(AND($E28&lt;&gt;"",NOT(ISNUMBER($E28))),AND($F28&lt;&gt;"",NOT(ISNUMBER($F28))),AND($G28&lt;&gt;"",NOT(ISNUMBER($G28)))),"Fecha no válida"&amp;" · ","")&amp;IF(AND(ISNUMBER($AM28),ISNUMBER($AN28),$AM28&gt;$AN28),"Inicio posterior a fecha límite"&amp;" · ","")&amp;IF(AND($V28="Macro",$H28&lt;&gt;"",OR(NOT(ISNUMBER($H28)),$H28&lt;0,$H28&gt;1)),"Peso fuera de rango"&amp;" · ","")&amp;IF(AND($V28="Sub",$H28&lt;&gt;""),"Las subactividades no llevan peso (valen igual dentro de su macroactividad)"&amp;" · ","")&amp;IF(AND(N($W28)&gt;0,COUNT($I28:$L28)&gt;0),"Con subactividades: deje vacías las semanas (se calculan solas)"&amp;" · ","")&amp;IF((COUNTIF($I28:$L28,"&gt;1")+COUNTIF($I28:$L28,"&lt;0")+COUNTA($I28:$L28)-COUNT($I28:$L28))&gt;0,"Avance fuera de rango 0-100%"&amp;" · ","")&amp;IF(OR(AND($J28&lt;&gt;"",$J28&lt;$I28),AND($K28&lt;&gt;"",$K28&lt;MAX($I28:$J28)),AND($L28&lt;&gt;"",$L28&lt;MAX($I28:$K28))),"Avance semanal decreciente"&amp;" · ","")&amp;IF(AND(ISNUMBER($AN28),$AN28&lt;FechaRef,IF($V28="Sub",N($X28),N($M28))&lt;1),"Vencida"&amp;" · ","")&amp;IF(AND(ObsObligatoria="Sí",ISNUMBER($AN28),$AN28&lt;FechaRef,IF($V28="Sub",N($X28),N($M28))&lt;1,$Q28=""),"Vencida sin observación"&amp;" · ",""))="","✔ OK","⚠ "&amp;LEFT(IF($C28="","Falta el nombre de la actividad"&amp;" · ","")&amp;IF(AND($V28="Sub",N($U28)=0),"Subactividad sin macroactividad arriba"&amp;" · ","")&amp;IF($AM28="","Sin fecha de inicio"&amp;" · ","")&amp;IF($AN28="","Sin fecha límite"&amp;" · ","")&amp;IF(AND(LEFT($C28,11)="[Jefatura] ",N($AL28)=0),"No se encuentra en la hoja de la jefatura (elíjala de nuevo en la lista)"&amp;" · ","")&amp;IF(OR(AND($E28&lt;&gt;"",NOT(ISNUMBER($E28))),AND($F28&lt;&gt;"",NOT(ISNUMBER($F28))),AND($G28&lt;&gt;"",NOT(ISNUMBER($G28)))),"Fecha no válida"&amp;" · ","")&amp;IF(AND(ISNUMBER($AM28),ISNUMBER($AN28),$AM28&gt;$AN28),"Inicio posterior a fecha límite"&amp;" · ","")&amp;IF(AND($V28="Macro",$H28&lt;&gt;"",OR(NOT(ISNUMBER($H28)),$H28&lt;0,$H28&gt;1)),"Peso fuera de rango"&amp;" · ","")&amp;IF(AND($V28="Sub",$H28&lt;&gt;""),"Las subactividades no llevan peso (valen igual dentro de su macroactividad)"&amp;" · ","")&amp;IF(AND(N($W28)&gt;0,COUNT($I28:$L28)&gt;0),"Con subactividades: deje vacías las semanas (se calculan solas)"&amp;" · ","")&amp;IF((COUNTIF($I28:$L28,"&gt;1")+COUNTIF($I28:$L28,"&lt;0")+COUNTA($I28:$L28)-COUNT($I28:$L28))&gt;0,"Avance fuera de rango 0-100%"&amp;" · ","")&amp;IF(OR(AND($J28&lt;&gt;"",$J28&lt;$I28),AND($K28&lt;&gt;"",$K28&lt;MAX($I28:$J28)),AND($L28&lt;&gt;"",$L28&lt;MAX($I28:$K28))),"Avance semanal decreciente"&amp;" · ","")&amp;IF(AND(ISNUMBER($AN28),$AN28&lt;FechaRef,IF($V28="Sub",N($X28),N($M28))&lt;1),"Vencida"&amp;" · ","")&amp;IF(AND(ObsObligatoria="Sí",ISNUMBER($AN28),$AN28&lt;FechaRef,IF($V28="Sub",N($X28),N($M28))&lt;1,$Q28=""),"Vencida sin observación"&amp;" · ",""),LEN(IF($C28="","Falta el nombre de la actividad"&amp;" · ","")&amp;IF(AND($V28="Sub",N($U28)=0),"Subactividad sin macroactividad arriba"&amp;" · ","")&amp;IF($AM28="","Sin fecha de inicio"&amp;" · ","")&amp;IF($AN28="","Sin fecha límite"&amp;" · ","")&amp;IF(AND(LEFT($C28,11)="[Jefatura] ",N($AL28)=0),"No se encuentra en la hoja de la jefatura (elíjala de nuevo en la lista)"&amp;" · ","")&amp;IF(OR(AND($E28&lt;&gt;"",NOT(ISNUMBER($E28))),AND($F28&lt;&gt;"",NOT(ISNUMBER($F28))),AND($G28&lt;&gt;"",NOT(ISNUMBER($G28)))),"Fecha no válida"&amp;" · ","")&amp;IF(AND(ISNUMBER($AM28),ISNUMBER($AN28),$AM28&gt;$AN28),"Inicio posterior a fecha límite"&amp;" · ","")&amp;IF(AND($V28="Macro",$H28&lt;&gt;"",OR(NOT(ISNUMBER($H28)),$H28&lt;0,$H28&gt;1)),"Peso fuera de rango"&amp;" · ","")&amp;IF(AND($V28="Sub",$H28&lt;&gt;""),"Las subactividades no llevan peso (valen igual dentro de su macroactividad)"&amp;" · ","")&amp;IF(AND(N($W28)&gt;0,COUNT($I28:$L28)&gt;0),"Con subactividades: deje vacías las semanas (se calculan solas)"&amp;" · ","")&amp;IF((COUNTIF($I28:$L28,"&gt;1")+COUNTIF($I28:$L28,"&lt;0")+COUNTA($I28:$L28)-COUNT($I28:$L28))&gt;0,"Avance fuera de rango 0-100%"&amp;" · ","")&amp;IF(OR(AND($J28&lt;&gt;"",$J28&lt;$I28),AND($K28&lt;&gt;"",$K28&lt;MAX($I28:$J28)),AND($L28&lt;&gt;"",$L28&lt;MAX($I28:$K28))),"Avance semanal decreciente"&amp;" · ","")&amp;IF(AND(ISNUMBER($AN28),$AN28&lt;FechaRef,IF($V28="Sub",N($X28),N($M28))&lt;1),"Vencida"&amp;" · ","")&amp;IF(AND(ObsObligatoria="Sí",ISNUMBER($AN28),$AN28&lt;FechaRef,IF($V28="Sub",N($X28),N($M28))&lt;1,$Q28=""),"Vencida sin observación"&amp;" · ",""))-3)))</f>
        <v/>
      </c>
      <c r="S28" s="64">
        <f>IF(NOT((COUNTA($B28:$D28)+COUNTA($G28:$L28)+COUNTA($Q28))&gt;0),"",IF(AND($V28="Sub",N($U28)&gt;0),IF(ISNUMBER(INDEX($AM$5:$AM$1000,$U28-4)),DATE(YEAR(INDEX($AM$5:$AM$1000,$U28-4)),MONTH(INDEX($AM$5:$AM$1000,$U28-4)),1),IF(ISNUMBER(INDEX($AN$5:$AN$1000,$U28-4)),DATE(YEAR(INDEX($AN$5:$AN$1000,$U28-4)),MONTH(INDEX($AN$5:$AN$1000,$U28-4)),1),MesCiclo)),IF(ISNUMBER($AM28),DATE(YEAR($AM28),MONTH($AM28),1),IF(ISNUMBER($AN28),DATE(YEAR($AN28),MONTH($AN28),1),MesCiclo))))</f>
        <v/>
      </c>
      <c r="T28" s="62">
        <f>IF(OR($S28="",$S28&lt;&gt;MesCiclo,$V28&lt;&gt;"Macro"),"",COUNTIFS($S$5:$S28,MesCiclo,$V$5:$V28,"Macro"))</f>
        <v/>
      </c>
      <c r="U28" s="62">
        <f>IF($V28="","",IF($V28="Macro",ROW(),IFERROR(LOOKUP(2,1/($V$5:$V28="Macro"),ROW($V$5:$V28)),0)))</f>
        <v/>
      </c>
      <c r="V28" s="62">
        <f>IF(NOT((COUNTA($B28:$D28)+COUNTA($G28:$L28)+COUNTA($Q28))&gt;0),"",IF($B28="Subactividad","Sub","Macro"))</f>
        <v/>
      </c>
      <c r="W28" s="62">
        <f>IF($V28="Macro",COUNTIFS($U$5:$U$1000,ROW(),$V$5:$V$1000,"Sub"),"")</f>
        <v/>
      </c>
      <c r="X28" s="62">
        <f>IF($V28="","",IF(ISNUMBER($G28),1,IFERROR(LOOKUP(2,1/($I28:$L28&lt;&gt;""),$I28:$L28),0)))</f>
        <v/>
      </c>
      <c r="Y28" s="62">
        <f>IF($V28="","",IF(AND(ISNUMBER($G28),$G28&lt;=IF($S28=MesCiclo,InicioCiclo,$S28+MOD(2-WEEKDAY($S28),7))+6),1,IF(ISNUMBER($I28),$I28,0)))</f>
        <v/>
      </c>
      <c r="Z28" s="62">
        <f>IF($V28="","",IF(AND(ISNUMBER($G28),$G28&lt;=IF($S28=MesCiclo,InicioCiclo,$S28+MOD(2-WEEKDAY($S28),7))+13),1,IF(ISNUMBER($J28),$J28,$Y28)))</f>
        <v/>
      </c>
      <c r="AA28" s="62">
        <f>IF($V28="","",IF(AND(ISNUMBER($G28),$G28&lt;=IF($S28=MesCiclo,InicioCiclo,$S28+MOD(2-WEEKDAY($S28),7))+20),1,IF(ISNUMBER($K28),$K28,$Z28)))</f>
        <v/>
      </c>
      <c r="AB28" s="62">
        <f>IF($V28="","",IF(AND(ISNUMBER($G28),$G28&lt;=IF($S28=MesCiclo,InicioCiclo,$S28+MOD(2-WEEKDAY($S28),7))+27),1,IF(ISNUMBER($L28),$L28,$AA28)))</f>
        <v/>
      </c>
      <c r="AC28" s="62">
        <f>IF($V28="","",IF(AND(ISNUMBER($G28),$G28&lt;=IF($S28=MesCiclo,InicioCiclo,$S28+MOD(2-WEEKDAY($S28),7))+6),1,IF(N($W28)&gt;0,AVERAGEIFS($Y$5:$Y$1000,$U$5:$U$1000,ROW(),$V$5:$V$1000,"Sub"),$Y28)))</f>
        <v/>
      </c>
      <c r="AD28" s="62">
        <f>IF($V28="","",IF(AND(ISNUMBER($G28),$G28&lt;=IF($S28=MesCiclo,InicioCiclo,$S28+MOD(2-WEEKDAY($S28),7))+13),1,IF(N($W28)&gt;0,AVERAGEIFS($Z$5:$Z$1000,$U$5:$U$1000,ROW(),$V$5:$V$1000,"Sub"),$Z28)))</f>
        <v/>
      </c>
      <c r="AE28" s="62">
        <f>IF($V28="","",IF(AND(ISNUMBER($G28),$G28&lt;=IF($S28=MesCiclo,InicioCiclo,$S28+MOD(2-WEEKDAY($S28),7))+20),1,IF(N($W28)&gt;0,AVERAGEIFS($AA$5:$AA$1000,$U$5:$U$1000,ROW(),$V$5:$V$1000,"Sub"),$AA28)))</f>
        <v/>
      </c>
      <c r="AF28" s="62">
        <f>IF($V28="","",IF(AND(ISNUMBER($G28),$G28&lt;=IF($S28=MesCiclo,InicioCiclo,$S28+MOD(2-WEEKDAY($S28),7))+27),1,IF(N($W28)&gt;0,AVERAGEIFS($AB$5:$AB$1000,$U$5:$U$1000,ROW(),$V$5:$V$1000,"Sub"),$AB28)))</f>
        <v/>
      </c>
      <c r="AG28" s="62">
        <f>IF($V28&lt;&gt;"Macro","",IF(COUNTIFS($S$5:$S$1000,$S28,$V$5:$V$1000,"Macro",$H$5:$H$1000,"&gt;0")=0,1/COUNTIFS($S$5:$S$1000,$S28,$V$5:$V$1000,"Macro"),IF(AND(ISNUMBER($H28),N($H28)&gt;0),$H28,SUMIFS($H$5:$H$1000,$S$5:$S$1000,$S28,$V$5:$V$1000,"Macro")/COUNTIFS($S$5:$S$1000,$S28,$V$5:$V$1000,"Macro",$H$5:$H$1000,"&gt;0"))/(COUNTIFS($S$5:$S$1000,$S28,$V$5:$V$1000,"Macro")*SUMIFS($H$5:$H$1000,$S$5:$S$1000,$S28,$V$5:$V$1000,"Macro")/COUNTIFS($S$5:$S$1000,$S28,$V$5:$V$1000,"Macro",$H$5:$H$1000,"&gt;0"))))</f>
        <v/>
      </c>
      <c r="AH28" s="62" t="n"/>
      <c r="AI28" s="62" t="n"/>
      <c r="AJ28" s="62" t="n"/>
      <c r="AK28" s="62" t="n"/>
      <c r="AL28" s="62">
        <f>IF(LEFT($C28,11)="[Jefatura] ",IFERROR(MATCH("Asistente Técnico de Riesgo|"&amp;MID($C28,12,500),rDname_ADM,0),0),"")</f>
        <v/>
      </c>
      <c r="AM28" s="62">
        <f>IF(N($AL28)&gt;0,INDEX(rIni_ADM,$AL28),IF(ISNUMBER($E28),$E28,""))</f>
        <v/>
      </c>
      <c r="AN28" s="62">
        <f>IF(N($AL28)&gt;0,INDEX(rLim_ADM,$AL28),IF(ISNUMBER($F28),$F28,""))</f>
        <v/>
      </c>
    </row>
    <row r="29">
      <c r="A29" s="56">
        <f>IF(NOT((COUNTA($B29:$D29)+COUNTA($G29:$L29)+COUNTA($Q29))&gt;0),"",IF($V29="Macro",COUNTIFS($V$5:$V29,"Macro",$S$5:$S29,$S29),IF(N($U29)=0,"?",COUNTIFS(INDEX($V$5:$V$1000,1):INDEX($V$5:$V$1000,$U29-4),"Macro",INDEX($S$5:$S$1000,1):INDEX($S$5:$S$1000,$U29-4),INDEX($S$5:$S$1000,$U29-4))&amp;"."&amp;COUNTIFS($U$5:$U29,$U29,$V$5:$V29,"Sub"))))</f>
        <v/>
      </c>
      <c r="B29" s="57" t="n"/>
      <c r="C29" s="58" t="n"/>
      <c r="D29" s="58" t="n"/>
      <c r="E29" s="59">
        <f>IF(N($AL29)&gt;0,INDEX(rIni_ADM,$AL29),"")</f>
        <v/>
      </c>
      <c r="F29" s="59">
        <f>IF(N($AL29)&gt;0,INDEX(rLim_ADM,$AL29),"")</f>
        <v/>
      </c>
      <c r="G29" s="59" t="n"/>
      <c r="H29" s="60" t="n"/>
      <c r="I29" s="60" t="n"/>
      <c r="J29" s="60" t="n"/>
      <c r="K29" s="60" t="n"/>
      <c r="L29" s="60" t="n"/>
      <c r="M29" s="61">
        <f>IF(NOT((COUNTA($B29:$D29)+COUNTA($G29:$L29)+COUNTA($Q29))&gt;0),"",IF($V29="Sub",IFERROR($X29/INDEX($W$5:$W$1000,$U29-4),""),IF(ISNUMBER($G29),1,IF(N($W29)&gt;0,AVERAGEIFS($X$5:$X$1000,$U$5:$U$1000,ROW(),$V$5:$V$1000,"Sub"),$X29))))</f>
        <v/>
      </c>
      <c r="N29" s="56">
        <f>IF(OR($M29="",$V29="Sub"),"",IF($M29&gt;=1,"Completado",IF($M29&gt;0,"En curso","Pendiente")))</f>
        <v/>
      </c>
      <c r="O29" s="56">
        <f>IF(OR(NOT((COUNTA($B29:$D29)+COUNTA($G29:$L29)+COUNTA($Q29))&gt;0),$V29="Sub"),"",IF(ISNUMBER($G29),IF(AND(ISNUMBER($AN29),$G29&gt;$AN29),"Cumplida con "&amp;($G29-$AN29)&amp;IF($G29-$AN29=1," día"," días")&amp;" de retraso","Cumplida"),IF(N($M29)&gt;=1,"Cumplida",IF(NOT(ISNUMBER($AN29)),"Sin fecha límite",IF($AN29&lt;FechaRef,"Vencida hace "&amp;(FechaRef-$AN29)&amp;IF(FechaRef-$AN29=1," día"," días"),IF($AN29=FechaRef,"Vence hoy",IF($AN29-FechaRef&lt;=DiasAlerta,"Vence en "&amp;($AN29-FechaRef)&amp;IF($AN29-FechaRef=1," día"," días"),"En plazo")))))))</f>
        <v/>
      </c>
      <c r="P29" s="62" t="n"/>
      <c r="Q29" s="58" t="n"/>
      <c r="R29" s="63">
        <f>IF(NOT((COUNTA($B29:$D29)+COUNTA($G29:$L29)+COUNTA($Q29))&gt;0),"",IF((IF($C29="","Falta el nombre de la actividad"&amp;" · ","")&amp;IF(AND($V29="Sub",N($U29)=0),"Subactividad sin macroactividad arriba"&amp;" · ","")&amp;IF($AM29="","Sin fecha de inicio"&amp;" · ","")&amp;IF($AN29="","Sin fecha límite"&amp;" · ","")&amp;IF(AND(LEFT($C29,11)="[Jefatura] ",N($AL29)=0),"No se encuentra en la hoja de la jefatura (elíjala de nuevo en la lista)"&amp;" · ","")&amp;IF(OR(AND($E29&lt;&gt;"",NOT(ISNUMBER($E29))),AND($F29&lt;&gt;"",NOT(ISNUMBER($F29))),AND($G29&lt;&gt;"",NOT(ISNUMBER($G29)))),"Fecha no válida"&amp;" · ","")&amp;IF(AND(ISNUMBER($AM29),ISNUMBER($AN29),$AM29&gt;$AN29),"Inicio posterior a fecha límite"&amp;" · ","")&amp;IF(AND($V29="Macro",$H29&lt;&gt;"",OR(NOT(ISNUMBER($H29)),$H29&lt;0,$H29&gt;1)),"Peso fuera de rango"&amp;" · ","")&amp;IF(AND($V29="Sub",$H29&lt;&gt;""),"Las subactividades no llevan peso (valen igual dentro de su macroactividad)"&amp;" · ","")&amp;IF(AND(N($W29)&gt;0,COUNT($I29:$L29)&gt;0),"Con subactividades: deje vacías las semanas (se calculan solas)"&amp;" · ","")&amp;IF((COUNTIF($I29:$L29,"&gt;1")+COUNTIF($I29:$L29,"&lt;0")+COUNTA($I29:$L29)-COUNT($I29:$L29))&gt;0,"Avance fuera de rango 0-100%"&amp;" · ","")&amp;IF(OR(AND($J29&lt;&gt;"",$J29&lt;$I29),AND($K29&lt;&gt;"",$K29&lt;MAX($I29:$J29)),AND($L29&lt;&gt;"",$L29&lt;MAX($I29:$K29))),"Avance semanal decreciente"&amp;" · ","")&amp;IF(AND(ISNUMBER($AN29),$AN29&lt;FechaRef,IF($V29="Sub",N($X29),N($M29))&lt;1),"Vencida"&amp;" · ","")&amp;IF(AND(ObsObligatoria="Sí",ISNUMBER($AN29),$AN29&lt;FechaRef,IF($V29="Sub",N($X29),N($M29))&lt;1,$Q29=""),"Vencida sin observación"&amp;" · ",""))="","✔ OK","⚠ "&amp;LEFT(IF($C29="","Falta el nombre de la actividad"&amp;" · ","")&amp;IF(AND($V29="Sub",N($U29)=0),"Subactividad sin macroactividad arriba"&amp;" · ","")&amp;IF($AM29="","Sin fecha de inicio"&amp;" · ","")&amp;IF($AN29="","Sin fecha límite"&amp;" · ","")&amp;IF(AND(LEFT($C29,11)="[Jefatura] ",N($AL29)=0),"No se encuentra en la hoja de la jefatura (elíjala de nuevo en la lista)"&amp;" · ","")&amp;IF(OR(AND($E29&lt;&gt;"",NOT(ISNUMBER($E29))),AND($F29&lt;&gt;"",NOT(ISNUMBER($F29))),AND($G29&lt;&gt;"",NOT(ISNUMBER($G29)))),"Fecha no válida"&amp;" · ","")&amp;IF(AND(ISNUMBER($AM29),ISNUMBER($AN29),$AM29&gt;$AN29),"Inicio posterior a fecha límite"&amp;" · ","")&amp;IF(AND($V29="Macro",$H29&lt;&gt;"",OR(NOT(ISNUMBER($H29)),$H29&lt;0,$H29&gt;1)),"Peso fuera de rango"&amp;" · ","")&amp;IF(AND($V29="Sub",$H29&lt;&gt;""),"Las subactividades no llevan peso (valen igual dentro de su macroactividad)"&amp;" · ","")&amp;IF(AND(N($W29)&gt;0,COUNT($I29:$L29)&gt;0),"Con subactividades: deje vacías las semanas (se calculan solas)"&amp;" · ","")&amp;IF((COUNTIF($I29:$L29,"&gt;1")+COUNTIF($I29:$L29,"&lt;0")+COUNTA($I29:$L29)-COUNT($I29:$L29))&gt;0,"Avance fuera de rango 0-100%"&amp;" · ","")&amp;IF(OR(AND($J29&lt;&gt;"",$J29&lt;$I29),AND($K29&lt;&gt;"",$K29&lt;MAX($I29:$J29)),AND($L29&lt;&gt;"",$L29&lt;MAX($I29:$K29))),"Avance semanal decreciente"&amp;" · ","")&amp;IF(AND(ISNUMBER($AN29),$AN29&lt;FechaRef,IF($V29="Sub",N($X29),N($M29))&lt;1),"Vencida"&amp;" · ","")&amp;IF(AND(ObsObligatoria="Sí",ISNUMBER($AN29),$AN29&lt;FechaRef,IF($V29="Sub",N($X29),N($M29))&lt;1,$Q29=""),"Vencida sin observación"&amp;" · ",""),LEN(IF($C29="","Falta el nombre de la actividad"&amp;" · ","")&amp;IF(AND($V29="Sub",N($U29)=0),"Subactividad sin macroactividad arriba"&amp;" · ","")&amp;IF($AM29="","Sin fecha de inicio"&amp;" · ","")&amp;IF($AN29="","Sin fecha límite"&amp;" · ","")&amp;IF(AND(LEFT($C29,11)="[Jefatura] ",N($AL29)=0),"No se encuentra en la hoja de la jefatura (elíjala de nuevo en la lista)"&amp;" · ","")&amp;IF(OR(AND($E29&lt;&gt;"",NOT(ISNUMBER($E29))),AND($F29&lt;&gt;"",NOT(ISNUMBER($F29))),AND($G29&lt;&gt;"",NOT(ISNUMBER($G29)))),"Fecha no válida"&amp;" · ","")&amp;IF(AND(ISNUMBER($AM29),ISNUMBER($AN29),$AM29&gt;$AN29),"Inicio posterior a fecha límite"&amp;" · ","")&amp;IF(AND($V29="Macro",$H29&lt;&gt;"",OR(NOT(ISNUMBER($H29)),$H29&lt;0,$H29&gt;1)),"Peso fuera de rango"&amp;" · ","")&amp;IF(AND($V29="Sub",$H29&lt;&gt;""),"Las subactividades no llevan peso (valen igual dentro de su macroactividad)"&amp;" · ","")&amp;IF(AND(N($W29)&gt;0,COUNT($I29:$L29)&gt;0),"Con subactividades: deje vacías las semanas (se calculan solas)"&amp;" · ","")&amp;IF((COUNTIF($I29:$L29,"&gt;1")+COUNTIF($I29:$L29,"&lt;0")+COUNTA($I29:$L29)-COUNT($I29:$L29))&gt;0,"Avance fuera de rango 0-100%"&amp;" · ","")&amp;IF(OR(AND($J29&lt;&gt;"",$J29&lt;$I29),AND($K29&lt;&gt;"",$K29&lt;MAX($I29:$J29)),AND($L29&lt;&gt;"",$L29&lt;MAX($I29:$K29))),"Avance semanal decreciente"&amp;" · ","")&amp;IF(AND(ISNUMBER($AN29),$AN29&lt;FechaRef,IF($V29="Sub",N($X29),N($M29))&lt;1),"Vencida"&amp;" · ","")&amp;IF(AND(ObsObligatoria="Sí",ISNUMBER($AN29),$AN29&lt;FechaRef,IF($V29="Sub",N($X29),N($M29))&lt;1,$Q29=""),"Vencida sin observación"&amp;" · ",""))-3)))</f>
        <v/>
      </c>
      <c r="S29" s="64">
        <f>IF(NOT((COUNTA($B29:$D29)+COUNTA($G29:$L29)+COUNTA($Q29))&gt;0),"",IF(AND($V29="Sub",N($U29)&gt;0),IF(ISNUMBER(INDEX($AM$5:$AM$1000,$U29-4)),DATE(YEAR(INDEX($AM$5:$AM$1000,$U29-4)),MONTH(INDEX($AM$5:$AM$1000,$U29-4)),1),IF(ISNUMBER(INDEX($AN$5:$AN$1000,$U29-4)),DATE(YEAR(INDEX($AN$5:$AN$1000,$U29-4)),MONTH(INDEX($AN$5:$AN$1000,$U29-4)),1),MesCiclo)),IF(ISNUMBER($AM29),DATE(YEAR($AM29),MONTH($AM29),1),IF(ISNUMBER($AN29),DATE(YEAR($AN29),MONTH($AN29),1),MesCiclo))))</f>
        <v/>
      </c>
      <c r="T29" s="62">
        <f>IF(OR($S29="",$S29&lt;&gt;MesCiclo,$V29&lt;&gt;"Macro"),"",COUNTIFS($S$5:$S29,MesCiclo,$V$5:$V29,"Macro"))</f>
        <v/>
      </c>
      <c r="U29" s="62">
        <f>IF($V29="","",IF($V29="Macro",ROW(),IFERROR(LOOKUP(2,1/($V$5:$V29="Macro"),ROW($V$5:$V29)),0)))</f>
        <v/>
      </c>
      <c r="V29" s="62">
        <f>IF(NOT((COUNTA($B29:$D29)+COUNTA($G29:$L29)+COUNTA($Q29))&gt;0),"",IF($B29="Subactividad","Sub","Macro"))</f>
        <v/>
      </c>
      <c r="W29" s="62">
        <f>IF($V29="Macro",COUNTIFS($U$5:$U$1000,ROW(),$V$5:$V$1000,"Sub"),"")</f>
        <v/>
      </c>
      <c r="X29" s="62">
        <f>IF($V29="","",IF(ISNUMBER($G29),1,IFERROR(LOOKUP(2,1/($I29:$L29&lt;&gt;""),$I29:$L29),0)))</f>
        <v/>
      </c>
      <c r="Y29" s="62">
        <f>IF($V29="","",IF(AND(ISNUMBER($G29),$G29&lt;=IF($S29=MesCiclo,InicioCiclo,$S29+MOD(2-WEEKDAY($S29),7))+6),1,IF(ISNUMBER($I29),$I29,0)))</f>
        <v/>
      </c>
      <c r="Z29" s="62">
        <f>IF($V29="","",IF(AND(ISNUMBER($G29),$G29&lt;=IF($S29=MesCiclo,InicioCiclo,$S29+MOD(2-WEEKDAY($S29),7))+13),1,IF(ISNUMBER($J29),$J29,$Y29)))</f>
        <v/>
      </c>
      <c r="AA29" s="62">
        <f>IF($V29="","",IF(AND(ISNUMBER($G29),$G29&lt;=IF($S29=MesCiclo,InicioCiclo,$S29+MOD(2-WEEKDAY($S29),7))+20),1,IF(ISNUMBER($K29),$K29,$Z29)))</f>
        <v/>
      </c>
      <c r="AB29" s="62">
        <f>IF($V29="","",IF(AND(ISNUMBER($G29),$G29&lt;=IF($S29=MesCiclo,InicioCiclo,$S29+MOD(2-WEEKDAY($S29),7))+27),1,IF(ISNUMBER($L29),$L29,$AA29)))</f>
        <v/>
      </c>
      <c r="AC29" s="62">
        <f>IF($V29="","",IF(AND(ISNUMBER($G29),$G29&lt;=IF($S29=MesCiclo,InicioCiclo,$S29+MOD(2-WEEKDAY($S29),7))+6),1,IF(N($W29)&gt;0,AVERAGEIFS($Y$5:$Y$1000,$U$5:$U$1000,ROW(),$V$5:$V$1000,"Sub"),$Y29)))</f>
        <v/>
      </c>
      <c r="AD29" s="62">
        <f>IF($V29="","",IF(AND(ISNUMBER($G29),$G29&lt;=IF($S29=MesCiclo,InicioCiclo,$S29+MOD(2-WEEKDAY($S29),7))+13),1,IF(N($W29)&gt;0,AVERAGEIFS($Z$5:$Z$1000,$U$5:$U$1000,ROW(),$V$5:$V$1000,"Sub"),$Z29)))</f>
        <v/>
      </c>
      <c r="AE29" s="62">
        <f>IF($V29="","",IF(AND(ISNUMBER($G29),$G29&lt;=IF($S29=MesCiclo,InicioCiclo,$S29+MOD(2-WEEKDAY($S29),7))+20),1,IF(N($W29)&gt;0,AVERAGEIFS($AA$5:$AA$1000,$U$5:$U$1000,ROW(),$V$5:$V$1000,"Sub"),$AA29)))</f>
        <v/>
      </c>
      <c r="AF29" s="62">
        <f>IF($V29="","",IF(AND(ISNUMBER($G29),$G29&lt;=IF($S29=MesCiclo,InicioCiclo,$S29+MOD(2-WEEKDAY($S29),7))+27),1,IF(N($W29)&gt;0,AVERAGEIFS($AB$5:$AB$1000,$U$5:$U$1000,ROW(),$V$5:$V$1000,"Sub"),$AB29)))</f>
        <v/>
      </c>
      <c r="AG29" s="62">
        <f>IF($V29&lt;&gt;"Macro","",IF(COUNTIFS($S$5:$S$1000,$S29,$V$5:$V$1000,"Macro",$H$5:$H$1000,"&gt;0")=0,1/COUNTIFS($S$5:$S$1000,$S29,$V$5:$V$1000,"Macro"),IF(AND(ISNUMBER($H29),N($H29)&gt;0),$H29,SUMIFS($H$5:$H$1000,$S$5:$S$1000,$S29,$V$5:$V$1000,"Macro")/COUNTIFS($S$5:$S$1000,$S29,$V$5:$V$1000,"Macro",$H$5:$H$1000,"&gt;0"))/(COUNTIFS($S$5:$S$1000,$S29,$V$5:$V$1000,"Macro")*SUMIFS($H$5:$H$1000,$S$5:$S$1000,$S29,$V$5:$V$1000,"Macro")/COUNTIFS($S$5:$S$1000,$S29,$V$5:$V$1000,"Macro",$H$5:$H$1000,"&gt;0"))))</f>
        <v/>
      </c>
      <c r="AH29" s="62" t="n"/>
      <c r="AI29" s="62" t="n"/>
      <c r="AJ29" s="62" t="n"/>
      <c r="AK29" s="62" t="n"/>
      <c r="AL29" s="62">
        <f>IF(LEFT($C29,11)="[Jefatura] ",IFERROR(MATCH("Asistente Técnico de Riesgo|"&amp;MID($C29,12,500),rDname_ADM,0),0),"")</f>
        <v/>
      </c>
      <c r="AM29" s="62">
        <f>IF(N($AL29)&gt;0,INDEX(rIni_ADM,$AL29),IF(ISNUMBER($E29),$E29,""))</f>
        <v/>
      </c>
      <c r="AN29" s="62">
        <f>IF(N($AL29)&gt;0,INDEX(rLim_ADM,$AL29),IF(ISNUMBER($F29),$F29,""))</f>
        <v/>
      </c>
    </row>
    <row r="30">
      <c r="A30" s="56">
        <f>IF(NOT((COUNTA($B30:$D30)+COUNTA($G30:$L30)+COUNTA($Q30))&gt;0),"",IF($V30="Macro",COUNTIFS($V$5:$V30,"Macro",$S$5:$S30,$S30),IF(N($U30)=0,"?",COUNTIFS(INDEX($V$5:$V$1000,1):INDEX($V$5:$V$1000,$U30-4),"Macro",INDEX($S$5:$S$1000,1):INDEX($S$5:$S$1000,$U30-4),INDEX($S$5:$S$1000,$U30-4))&amp;"."&amp;COUNTIFS($U$5:$U30,$U30,$V$5:$V30,"Sub"))))</f>
        <v/>
      </c>
      <c r="B30" s="57" t="n"/>
      <c r="C30" s="58" t="n"/>
      <c r="D30" s="58" t="n"/>
      <c r="E30" s="59">
        <f>IF(N($AL30)&gt;0,INDEX(rIni_ADM,$AL30),"")</f>
        <v/>
      </c>
      <c r="F30" s="59">
        <f>IF(N($AL30)&gt;0,INDEX(rLim_ADM,$AL30),"")</f>
        <v/>
      </c>
      <c r="G30" s="59" t="n"/>
      <c r="H30" s="60" t="n"/>
      <c r="I30" s="60" t="n"/>
      <c r="J30" s="60" t="n"/>
      <c r="K30" s="60" t="n"/>
      <c r="L30" s="60" t="n"/>
      <c r="M30" s="61">
        <f>IF(NOT((COUNTA($B30:$D30)+COUNTA($G30:$L30)+COUNTA($Q30))&gt;0),"",IF($V30="Sub",IFERROR($X30/INDEX($W$5:$W$1000,$U30-4),""),IF(ISNUMBER($G30),1,IF(N($W30)&gt;0,AVERAGEIFS($X$5:$X$1000,$U$5:$U$1000,ROW(),$V$5:$V$1000,"Sub"),$X30))))</f>
        <v/>
      </c>
      <c r="N30" s="56">
        <f>IF(OR($M30="",$V30="Sub"),"",IF($M30&gt;=1,"Completado",IF($M30&gt;0,"En curso","Pendiente")))</f>
        <v/>
      </c>
      <c r="O30" s="56">
        <f>IF(OR(NOT((COUNTA($B30:$D30)+COUNTA($G30:$L30)+COUNTA($Q30))&gt;0),$V30="Sub"),"",IF(ISNUMBER($G30),IF(AND(ISNUMBER($AN30),$G30&gt;$AN30),"Cumplida con "&amp;($G30-$AN30)&amp;IF($G30-$AN30=1," día"," días")&amp;" de retraso","Cumplida"),IF(N($M30)&gt;=1,"Cumplida",IF(NOT(ISNUMBER($AN30)),"Sin fecha límite",IF($AN30&lt;FechaRef,"Vencida hace "&amp;(FechaRef-$AN30)&amp;IF(FechaRef-$AN30=1," día"," días"),IF($AN30=FechaRef,"Vence hoy",IF($AN30-FechaRef&lt;=DiasAlerta,"Vence en "&amp;($AN30-FechaRef)&amp;IF($AN30-FechaRef=1," día"," días"),"En plazo")))))))</f>
        <v/>
      </c>
      <c r="P30" s="62" t="n"/>
      <c r="Q30" s="58" t="n"/>
      <c r="R30" s="63">
        <f>IF(NOT((COUNTA($B30:$D30)+COUNTA($G30:$L30)+COUNTA($Q30))&gt;0),"",IF((IF($C30="","Falta el nombre de la actividad"&amp;" · ","")&amp;IF(AND($V30="Sub",N($U30)=0),"Subactividad sin macroactividad arriba"&amp;" · ","")&amp;IF($AM30="","Sin fecha de inicio"&amp;" · ","")&amp;IF($AN30="","Sin fecha límite"&amp;" · ","")&amp;IF(AND(LEFT($C30,11)="[Jefatura] ",N($AL30)=0),"No se encuentra en la hoja de la jefatura (elíjala de nuevo en la lista)"&amp;" · ","")&amp;IF(OR(AND($E30&lt;&gt;"",NOT(ISNUMBER($E30))),AND($F30&lt;&gt;"",NOT(ISNUMBER($F30))),AND($G30&lt;&gt;"",NOT(ISNUMBER($G30)))),"Fecha no válida"&amp;" · ","")&amp;IF(AND(ISNUMBER($AM30),ISNUMBER($AN30),$AM30&gt;$AN30),"Inicio posterior a fecha límite"&amp;" · ","")&amp;IF(AND($V30="Macro",$H30&lt;&gt;"",OR(NOT(ISNUMBER($H30)),$H30&lt;0,$H30&gt;1)),"Peso fuera de rango"&amp;" · ","")&amp;IF(AND($V30="Sub",$H30&lt;&gt;""),"Las subactividades no llevan peso (valen igual dentro de su macroactividad)"&amp;" · ","")&amp;IF(AND(N($W30)&gt;0,COUNT($I30:$L30)&gt;0),"Con subactividades: deje vacías las semanas (se calculan solas)"&amp;" · ","")&amp;IF((COUNTIF($I30:$L30,"&gt;1")+COUNTIF($I30:$L30,"&lt;0")+COUNTA($I30:$L30)-COUNT($I30:$L30))&gt;0,"Avance fuera de rango 0-100%"&amp;" · ","")&amp;IF(OR(AND($J30&lt;&gt;"",$J30&lt;$I30),AND($K30&lt;&gt;"",$K30&lt;MAX($I30:$J30)),AND($L30&lt;&gt;"",$L30&lt;MAX($I30:$K30))),"Avance semanal decreciente"&amp;" · ","")&amp;IF(AND(ISNUMBER($AN30),$AN30&lt;FechaRef,IF($V30="Sub",N($X30),N($M30))&lt;1),"Vencida"&amp;" · ","")&amp;IF(AND(ObsObligatoria="Sí",ISNUMBER($AN30),$AN30&lt;FechaRef,IF($V30="Sub",N($X30),N($M30))&lt;1,$Q30=""),"Vencida sin observación"&amp;" · ",""))="","✔ OK","⚠ "&amp;LEFT(IF($C30="","Falta el nombre de la actividad"&amp;" · ","")&amp;IF(AND($V30="Sub",N($U30)=0),"Subactividad sin macroactividad arriba"&amp;" · ","")&amp;IF($AM30="","Sin fecha de inicio"&amp;" · ","")&amp;IF($AN30="","Sin fecha límite"&amp;" · ","")&amp;IF(AND(LEFT($C30,11)="[Jefatura] ",N($AL30)=0),"No se encuentra en la hoja de la jefatura (elíjala de nuevo en la lista)"&amp;" · ","")&amp;IF(OR(AND($E30&lt;&gt;"",NOT(ISNUMBER($E30))),AND($F30&lt;&gt;"",NOT(ISNUMBER($F30))),AND($G30&lt;&gt;"",NOT(ISNUMBER($G30)))),"Fecha no válida"&amp;" · ","")&amp;IF(AND(ISNUMBER($AM30),ISNUMBER($AN30),$AM30&gt;$AN30),"Inicio posterior a fecha límite"&amp;" · ","")&amp;IF(AND($V30="Macro",$H30&lt;&gt;"",OR(NOT(ISNUMBER($H30)),$H30&lt;0,$H30&gt;1)),"Peso fuera de rango"&amp;" · ","")&amp;IF(AND($V30="Sub",$H30&lt;&gt;""),"Las subactividades no llevan peso (valen igual dentro de su macroactividad)"&amp;" · ","")&amp;IF(AND(N($W30)&gt;0,COUNT($I30:$L30)&gt;0),"Con subactividades: deje vacías las semanas (se calculan solas)"&amp;" · ","")&amp;IF((COUNTIF($I30:$L30,"&gt;1")+COUNTIF($I30:$L30,"&lt;0")+COUNTA($I30:$L30)-COUNT($I30:$L30))&gt;0,"Avance fuera de rango 0-100%"&amp;" · ","")&amp;IF(OR(AND($J30&lt;&gt;"",$J30&lt;$I30),AND($K30&lt;&gt;"",$K30&lt;MAX($I30:$J30)),AND($L30&lt;&gt;"",$L30&lt;MAX($I30:$K30))),"Avance semanal decreciente"&amp;" · ","")&amp;IF(AND(ISNUMBER($AN30),$AN30&lt;FechaRef,IF($V30="Sub",N($X30),N($M30))&lt;1),"Vencida"&amp;" · ","")&amp;IF(AND(ObsObligatoria="Sí",ISNUMBER($AN30),$AN30&lt;FechaRef,IF($V30="Sub",N($X30),N($M30))&lt;1,$Q30=""),"Vencida sin observación"&amp;" · ",""),LEN(IF($C30="","Falta el nombre de la actividad"&amp;" · ","")&amp;IF(AND($V30="Sub",N($U30)=0),"Subactividad sin macroactividad arriba"&amp;" · ","")&amp;IF($AM30="","Sin fecha de inicio"&amp;" · ","")&amp;IF($AN30="","Sin fecha límite"&amp;" · ","")&amp;IF(AND(LEFT($C30,11)="[Jefatura] ",N($AL30)=0),"No se encuentra en la hoja de la jefatura (elíjala de nuevo en la lista)"&amp;" · ","")&amp;IF(OR(AND($E30&lt;&gt;"",NOT(ISNUMBER($E30))),AND($F30&lt;&gt;"",NOT(ISNUMBER($F30))),AND($G30&lt;&gt;"",NOT(ISNUMBER($G30)))),"Fecha no válida"&amp;" · ","")&amp;IF(AND(ISNUMBER($AM30),ISNUMBER($AN30),$AM30&gt;$AN30),"Inicio posterior a fecha límite"&amp;" · ","")&amp;IF(AND($V30="Macro",$H30&lt;&gt;"",OR(NOT(ISNUMBER($H30)),$H30&lt;0,$H30&gt;1)),"Peso fuera de rango"&amp;" · ","")&amp;IF(AND($V30="Sub",$H30&lt;&gt;""),"Las subactividades no llevan peso (valen igual dentro de su macroactividad)"&amp;" · ","")&amp;IF(AND(N($W30)&gt;0,COUNT($I30:$L30)&gt;0),"Con subactividades: deje vacías las semanas (se calculan solas)"&amp;" · ","")&amp;IF((COUNTIF($I30:$L30,"&gt;1")+COUNTIF($I30:$L30,"&lt;0")+COUNTA($I30:$L30)-COUNT($I30:$L30))&gt;0,"Avance fuera de rango 0-100%"&amp;" · ","")&amp;IF(OR(AND($J30&lt;&gt;"",$J30&lt;$I30),AND($K30&lt;&gt;"",$K30&lt;MAX($I30:$J30)),AND($L30&lt;&gt;"",$L30&lt;MAX($I30:$K30))),"Avance semanal decreciente"&amp;" · ","")&amp;IF(AND(ISNUMBER($AN30),$AN30&lt;FechaRef,IF($V30="Sub",N($X30),N($M30))&lt;1),"Vencida"&amp;" · ","")&amp;IF(AND(ObsObligatoria="Sí",ISNUMBER($AN30),$AN30&lt;FechaRef,IF($V30="Sub",N($X30),N($M30))&lt;1,$Q30=""),"Vencida sin observación"&amp;" · ",""))-3)))</f>
        <v/>
      </c>
      <c r="S30" s="64">
        <f>IF(NOT((COUNTA($B30:$D30)+COUNTA($G30:$L30)+COUNTA($Q30))&gt;0),"",IF(AND($V30="Sub",N($U30)&gt;0),IF(ISNUMBER(INDEX($AM$5:$AM$1000,$U30-4)),DATE(YEAR(INDEX($AM$5:$AM$1000,$U30-4)),MONTH(INDEX($AM$5:$AM$1000,$U30-4)),1),IF(ISNUMBER(INDEX($AN$5:$AN$1000,$U30-4)),DATE(YEAR(INDEX($AN$5:$AN$1000,$U30-4)),MONTH(INDEX($AN$5:$AN$1000,$U30-4)),1),MesCiclo)),IF(ISNUMBER($AM30),DATE(YEAR($AM30),MONTH($AM30),1),IF(ISNUMBER($AN30),DATE(YEAR($AN30),MONTH($AN30),1),MesCiclo))))</f>
        <v/>
      </c>
      <c r="T30" s="62">
        <f>IF(OR($S30="",$S30&lt;&gt;MesCiclo,$V30&lt;&gt;"Macro"),"",COUNTIFS($S$5:$S30,MesCiclo,$V$5:$V30,"Macro"))</f>
        <v/>
      </c>
      <c r="U30" s="62">
        <f>IF($V30="","",IF($V30="Macro",ROW(),IFERROR(LOOKUP(2,1/($V$5:$V30="Macro"),ROW($V$5:$V30)),0)))</f>
        <v/>
      </c>
      <c r="V30" s="62">
        <f>IF(NOT((COUNTA($B30:$D30)+COUNTA($G30:$L30)+COUNTA($Q30))&gt;0),"",IF($B30="Subactividad","Sub","Macro"))</f>
        <v/>
      </c>
      <c r="W30" s="62">
        <f>IF($V30="Macro",COUNTIFS($U$5:$U$1000,ROW(),$V$5:$V$1000,"Sub"),"")</f>
        <v/>
      </c>
      <c r="X30" s="62">
        <f>IF($V30="","",IF(ISNUMBER($G30),1,IFERROR(LOOKUP(2,1/($I30:$L30&lt;&gt;""),$I30:$L30),0)))</f>
        <v/>
      </c>
      <c r="Y30" s="62">
        <f>IF($V30="","",IF(AND(ISNUMBER($G30),$G30&lt;=IF($S30=MesCiclo,InicioCiclo,$S30+MOD(2-WEEKDAY($S30),7))+6),1,IF(ISNUMBER($I30),$I30,0)))</f>
        <v/>
      </c>
      <c r="Z30" s="62">
        <f>IF($V30="","",IF(AND(ISNUMBER($G30),$G30&lt;=IF($S30=MesCiclo,InicioCiclo,$S30+MOD(2-WEEKDAY($S30),7))+13),1,IF(ISNUMBER($J30),$J30,$Y30)))</f>
        <v/>
      </c>
      <c r="AA30" s="62">
        <f>IF($V30="","",IF(AND(ISNUMBER($G30),$G30&lt;=IF($S30=MesCiclo,InicioCiclo,$S30+MOD(2-WEEKDAY($S30),7))+20),1,IF(ISNUMBER($K30),$K30,$Z30)))</f>
        <v/>
      </c>
      <c r="AB30" s="62">
        <f>IF($V30="","",IF(AND(ISNUMBER($G30),$G30&lt;=IF($S30=MesCiclo,InicioCiclo,$S30+MOD(2-WEEKDAY($S30),7))+27),1,IF(ISNUMBER($L30),$L30,$AA30)))</f>
        <v/>
      </c>
      <c r="AC30" s="62">
        <f>IF($V30="","",IF(AND(ISNUMBER($G30),$G30&lt;=IF($S30=MesCiclo,InicioCiclo,$S30+MOD(2-WEEKDAY($S30),7))+6),1,IF(N($W30)&gt;0,AVERAGEIFS($Y$5:$Y$1000,$U$5:$U$1000,ROW(),$V$5:$V$1000,"Sub"),$Y30)))</f>
        <v/>
      </c>
      <c r="AD30" s="62">
        <f>IF($V30="","",IF(AND(ISNUMBER($G30),$G30&lt;=IF($S30=MesCiclo,InicioCiclo,$S30+MOD(2-WEEKDAY($S30),7))+13),1,IF(N($W30)&gt;0,AVERAGEIFS($Z$5:$Z$1000,$U$5:$U$1000,ROW(),$V$5:$V$1000,"Sub"),$Z30)))</f>
        <v/>
      </c>
      <c r="AE30" s="62">
        <f>IF($V30="","",IF(AND(ISNUMBER($G30),$G30&lt;=IF($S30=MesCiclo,InicioCiclo,$S30+MOD(2-WEEKDAY($S30),7))+20),1,IF(N($W30)&gt;0,AVERAGEIFS($AA$5:$AA$1000,$U$5:$U$1000,ROW(),$V$5:$V$1000,"Sub"),$AA30)))</f>
        <v/>
      </c>
      <c r="AF30" s="62">
        <f>IF($V30="","",IF(AND(ISNUMBER($G30),$G30&lt;=IF($S30=MesCiclo,InicioCiclo,$S30+MOD(2-WEEKDAY($S30),7))+27),1,IF(N($W30)&gt;0,AVERAGEIFS($AB$5:$AB$1000,$U$5:$U$1000,ROW(),$V$5:$V$1000,"Sub"),$AB30)))</f>
        <v/>
      </c>
      <c r="AG30" s="62">
        <f>IF($V30&lt;&gt;"Macro","",IF(COUNTIFS($S$5:$S$1000,$S30,$V$5:$V$1000,"Macro",$H$5:$H$1000,"&gt;0")=0,1/COUNTIFS($S$5:$S$1000,$S30,$V$5:$V$1000,"Macro"),IF(AND(ISNUMBER($H30),N($H30)&gt;0),$H30,SUMIFS($H$5:$H$1000,$S$5:$S$1000,$S30,$V$5:$V$1000,"Macro")/COUNTIFS($S$5:$S$1000,$S30,$V$5:$V$1000,"Macro",$H$5:$H$1000,"&gt;0"))/(COUNTIFS($S$5:$S$1000,$S30,$V$5:$V$1000,"Macro")*SUMIFS($H$5:$H$1000,$S$5:$S$1000,$S30,$V$5:$V$1000,"Macro")/COUNTIFS($S$5:$S$1000,$S30,$V$5:$V$1000,"Macro",$H$5:$H$1000,"&gt;0"))))</f>
        <v/>
      </c>
      <c r="AH30" s="62" t="n"/>
      <c r="AI30" s="62" t="n"/>
      <c r="AJ30" s="62" t="n"/>
      <c r="AK30" s="62" t="n"/>
      <c r="AL30" s="62">
        <f>IF(LEFT($C30,11)="[Jefatura] ",IFERROR(MATCH("Asistente Técnico de Riesgo|"&amp;MID($C30,12,500),rDname_ADM,0),0),"")</f>
        <v/>
      </c>
      <c r="AM30" s="62">
        <f>IF(N($AL30)&gt;0,INDEX(rIni_ADM,$AL30),IF(ISNUMBER($E30),$E30,""))</f>
        <v/>
      </c>
      <c r="AN30" s="62">
        <f>IF(N($AL30)&gt;0,INDEX(rLim_ADM,$AL30),IF(ISNUMBER($F30),$F30,""))</f>
        <v/>
      </c>
    </row>
    <row r="31">
      <c r="A31" s="56">
        <f>IF(NOT((COUNTA($B31:$D31)+COUNTA($G31:$L31)+COUNTA($Q31))&gt;0),"",IF($V31="Macro",COUNTIFS($V$5:$V31,"Macro",$S$5:$S31,$S31),IF(N($U31)=0,"?",COUNTIFS(INDEX($V$5:$V$1000,1):INDEX($V$5:$V$1000,$U31-4),"Macro",INDEX($S$5:$S$1000,1):INDEX($S$5:$S$1000,$U31-4),INDEX($S$5:$S$1000,$U31-4))&amp;"."&amp;COUNTIFS($U$5:$U31,$U31,$V$5:$V31,"Sub"))))</f>
        <v/>
      </c>
      <c r="B31" s="57" t="n"/>
      <c r="C31" s="58" t="n"/>
      <c r="D31" s="58" t="n"/>
      <c r="E31" s="59">
        <f>IF(N($AL31)&gt;0,INDEX(rIni_ADM,$AL31),"")</f>
        <v/>
      </c>
      <c r="F31" s="59">
        <f>IF(N($AL31)&gt;0,INDEX(rLim_ADM,$AL31),"")</f>
        <v/>
      </c>
      <c r="G31" s="59" t="n"/>
      <c r="H31" s="60" t="n"/>
      <c r="I31" s="60" t="n"/>
      <c r="J31" s="60" t="n"/>
      <c r="K31" s="60" t="n"/>
      <c r="L31" s="60" t="n"/>
      <c r="M31" s="61">
        <f>IF(NOT((COUNTA($B31:$D31)+COUNTA($G31:$L31)+COUNTA($Q31))&gt;0),"",IF($V31="Sub",IFERROR($X31/INDEX($W$5:$W$1000,$U31-4),""),IF(ISNUMBER($G31),1,IF(N($W31)&gt;0,AVERAGEIFS($X$5:$X$1000,$U$5:$U$1000,ROW(),$V$5:$V$1000,"Sub"),$X31))))</f>
        <v/>
      </c>
      <c r="N31" s="56">
        <f>IF(OR($M31="",$V31="Sub"),"",IF($M31&gt;=1,"Completado",IF($M31&gt;0,"En curso","Pendiente")))</f>
        <v/>
      </c>
      <c r="O31" s="56">
        <f>IF(OR(NOT((COUNTA($B31:$D31)+COUNTA($G31:$L31)+COUNTA($Q31))&gt;0),$V31="Sub"),"",IF(ISNUMBER($G31),IF(AND(ISNUMBER($AN31),$G31&gt;$AN31),"Cumplida con "&amp;($G31-$AN31)&amp;IF($G31-$AN31=1," día"," días")&amp;" de retraso","Cumplida"),IF(N($M31)&gt;=1,"Cumplida",IF(NOT(ISNUMBER($AN31)),"Sin fecha límite",IF($AN31&lt;FechaRef,"Vencida hace "&amp;(FechaRef-$AN31)&amp;IF(FechaRef-$AN31=1," día"," días"),IF($AN31=FechaRef,"Vence hoy",IF($AN31-FechaRef&lt;=DiasAlerta,"Vence en "&amp;($AN31-FechaRef)&amp;IF($AN31-FechaRef=1," día"," días"),"En plazo")))))))</f>
        <v/>
      </c>
      <c r="P31" s="62" t="n"/>
      <c r="Q31" s="58" t="n"/>
      <c r="R31" s="63">
        <f>IF(NOT((COUNTA($B31:$D31)+COUNTA($G31:$L31)+COUNTA($Q31))&gt;0),"",IF((IF($C31="","Falta el nombre de la actividad"&amp;" · ","")&amp;IF(AND($V31="Sub",N($U31)=0),"Subactividad sin macroactividad arriba"&amp;" · ","")&amp;IF($AM31="","Sin fecha de inicio"&amp;" · ","")&amp;IF($AN31="","Sin fecha límite"&amp;" · ","")&amp;IF(AND(LEFT($C31,11)="[Jefatura] ",N($AL31)=0),"No se encuentra en la hoja de la jefatura (elíjala de nuevo en la lista)"&amp;" · ","")&amp;IF(OR(AND($E31&lt;&gt;"",NOT(ISNUMBER($E31))),AND($F31&lt;&gt;"",NOT(ISNUMBER($F31))),AND($G31&lt;&gt;"",NOT(ISNUMBER($G31)))),"Fecha no válida"&amp;" · ","")&amp;IF(AND(ISNUMBER($AM31),ISNUMBER($AN31),$AM31&gt;$AN31),"Inicio posterior a fecha límite"&amp;" · ","")&amp;IF(AND($V31="Macro",$H31&lt;&gt;"",OR(NOT(ISNUMBER($H31)),$H31&lt;0,$H31&gt;1)),"Peso fuera de rango"&amp;" · ","")&amp;IF(AND($V31="Sub",$H31&lt;&gt;""),"Las subactividades no llevan peso (valen igual dentro de su macroactividad)"&amp;" · ","")&amp;IF(AND(N($W31)&gt;0,COUNT($I31:$L31)&gt;0),"Con subactividades: deje vacías las semanas (se calculan solas)"&amp;" · ","")&amp;IF((COUNTIF($I31:$L31,"&gt;1")+COUNTIF($I31:$L31,"&lt;0")+COUNTA($I31:$L31)-COUNT($I31:$L31))&gt;0,"Avance fuera de rango 0-100%"&amp;" · ","")&amp;IF(OR(AND($J31&lt;&gt;"",$J31&lt;$I31),AND($K31&lt;&gt;"",$K31&lt;MAX($I31:$J31)),AND($L31&lt;&gt;"",$L31&lt;MAX($I31:$K31))),"Avance semanal decreciente"&amp;" · ","")&amp;IF(AND(ISNUMBER($AN31),$AN31&lt;FechaRef,IF($V31="Sub",N($X31),N($M31))&lt;1),"Vencida"&amp;" · ","")&amp;IF(AND(ObsObligatoria="Sí",ISNUMBER($AN31),$AN31&lt;FechaRef,IF($V31="Sub",N($X31),N($M31))&lt;1,$Q31=""),"Vencida sin observación"&amp;" · ",""))="","✔ OK","⚠ "&amp;LEFT(IF($C31="","Falta el nombre de la actividad"&amp;" · ","")&amp;IF(AND($V31="Sub",N($U31)=0),"Subactividad sin macroactividad arriba"&amp;" · ","")&amp;IF($AM31="","Sin fecha de inicio"&amp;" · ","")&amp;IF($AN31="","Sin fecha límite"&amp;" · ","")&amp;IF(AND(LEFT($C31,11)="[Jefatura] ",N($AL31)=0),"No se encuentra en la hoja de la jefatura (elíjala de nuevo en la lista)"&amp;" · ","")&amp;IF(OR(AND($E31&lt;&gt;"",NOT(ISNUMBER($E31))),AND($F31&lt;&gt;"",NOT(ISNUMBER($F31))),AND($G31&lt;&gt;"",NOT(ISNUMBER($G31)))),"Fecha no válida"&amp;" · ","")&amp;IF(AND(ISNUMBER($AM31),ISNUMBER($AN31),$AM31&gt;$AN31),"Inicio posterior a fecha límite"&amp;" · ","")&amp;IF(AND($V31="Macro",$H31&lt;&gt;"",OR(NOT(ISNUMBER($H31)),$H31&lt;0,$H31&gt;1)),"Peso fuera de rango"&amp;" · ","")&amp;IF(AND($V31="Sub",$H31&lt;&gt;""),"Las subactividades no llevan peso (valen igual dentro de su macroactividad)"&amp;" · ","")&amp;IF(AND(N($W31)&gt;0,COUNT($I31:$L31)&gt;0),"Con subactividades: deje vacías las semanas (se calculan solas)"&amp;" · ","")&amp;IF((COUNTIF($I31:$L31,"&gt;1")+COUNTIF($I31:$L31,"&lt;0")+COUNTA($I31:$L31)-COUNT($I31:$L31))&gt;0,"Avance fuera de rango 0-100%"&amp;" · ","")&amp;IF(OR(AND($J31&lt;&gt;"",$J31&lt;$I31),AND($K31&lt;&gt;"",$K31&lt;MAX($I31:$J31)),AND($L31&lt;&gt;"",$L31&lt;MAX($I31:$K31))),"Avance semanal decreciente"&amp;" · ","")&amp;IF(AND(ISNUMBER($AN31),$AN31&lt;FechaRef,IF($V31="Sub",N($X31),N($M31))&lt;1),"Vencida"&amp;" · ","")&amp;IF(AND(ObsObligatoria="Sí",ISNUMBER($AN31),$AN31&lt;FechaRef,IF($V31="Sub",N($X31),N($M31))&lt;1,$Q31=""),"Vencida sin observación"&amp;" · ",""),LEN(IF($C31="","Falta el nombre de la actividad"&amp;" · ","")&amp;IF(AND($V31="Sub",N($U31)=0),"Subactividad sin macroactividad arriba"&amp;" · ","")&amp;IF($AM31="","Sin fecha de inicio"&amp;" · ","")&amp;IF($AN31="","Sin fecha límite"&amp;" · ","")&amp;IF(AND(LEFT($C31,11)="[Jefatura] ",N($AL31)=0),"No se encuentra en la hoja de la jefatura (elíjala de nuevo en la lista)"&amp;" · ","")&amp;IF(OR(AND($E31&lt;&gt;"",NOT(ISNUMBER($E31))),AND($F31&lt;&gt;"",NOT(ISNUMBER($F31))),AND($G31&lt;&gt;"",NOT(ISNUMBER($G31)))),"Fecha no válida"&amp;" · ","")&amp;IF(AND(ISNUMBER($AM31),ISNUMBER($AN31),$AM31&gt;$AN31),"Inicio posterior a fecha límite"&amp;" · ","")&amp;IF(AND($V31="Macro",$H31&lt;&gt;"",OR(NOT(ISNUMBER($H31)),$H31&lt;0,$H31&gt;1)),"Peso fuera de rango"&amp;" · ","")&amp;IF(AND($V31="Sub",$H31&lt;&gt;""),"Las subactividades no llevan peso (valen igual dentro de su macroactividad)"&amp;" · ","")&amp;IF(AND(N($W31)&gt;0,COUNT($I31:$L31)&gt;0),"Con subactividades: deje vacías las semanas (se calculan solas)"&amp;" · ","")&amp;IF((COUNTIF($I31:$L31,"&gt;1")+COUNTIF($I31:$L31,"&lt;0")+COUNTA($I31:$L31)-COUNT($I31:$L31))&gt;0,"Avance fuera de rango 0-100%"&amp;" · ","")&amp;IF(OR(AND($J31&lt;&gt;"",$J31&lt;$I31),AND($K31&lt;&gt;"",$K31&lt;MAX($I31:$J31)),AND($L31&lt;&gt;"",$L31&lt;MAX($I31:$K31))),"Avance semanal decreciente"&amp;" · ","")&amp;IF(AND(ISNUMBER($AN31),$AN31&lt;FechaRef,IF($V31="Sub",N($X31),N($M31))&lt;1),"Vencida"&amp;" · ","")&amp;IF(AND(ObsObligatoria="Sí",ISNUMBER($AN31),$AN31&lt;FechaRef,IF($V31="Sub",N($X31),N($M31))&lt;1,$Q31=""),"Vencida sin observación"&amp;" · ",""))-3)))</f>
        <v/>
      </c>
      <c r="S31" s="64">
        <f>IF(NOT((COUNTA($B31:$D31)+COUNTA($G31:$L31)+COUNTA($Q31))&gt;0),"",IF(AND($V31="Sub",N($U31)&gt;0),IF(ISNUMBER(INDEX($AM$5:$AM$1000,$U31-4)),DATE(YEAR(INDEX($AM$5:$AM$1000,$U31-4)),MONTH(INDEX($AM$5:$AM$1000,$U31-4)),1),IF(ISNUMBER(INDEX($AN$5:$AN$1000,$U31-4)),DATE(YEAR(INDEX($AN$5:$AN$1000,$U31-4)),MONTH(INDEX($AN$5:$AN$1000,$U31-4)),1),MesCiclo)),IF(ISNUMBER($AM31),DATE(YEAR($AM31),MONTH($AM31),1),IF(ISNUMBER($AN31),DATE(YEAR($AN31),MONTH($AN31),1),MesCiclo))))</f>
        <v/>
      </c>
      <c r="T31" s="62">
        <f>IF(OR($S31="",$S31&lt;&gt;MesCiclo,$V31&lt;&gt;"Macro"),"",COUNTIFS($S$5:$S31,MesCiclo,$V$5:$V31,"Macro"))</f>
        <v/>
      </c>
      <c r="U31" s="62">
        <f>IF($V31="","",IF($V31="Macro",ROW(),IFERROR(LOOKUP(2,1/($V$5:$V31="Macro"),ROW($V$5:$V31)),0)))</f>
        <v/>
      </c>
      <c r="V31" s="62">
        <f>IF(NOT((COUNTA($B31:$D31)+COUNTA($G31:$L31)+COUNTA($Q31))&gt;0),"",IF($B31="Subactividad","Sub","Macro"))</f>
        <v/>
      </c>
      <c r="W31" s="62">
        <f>IF($V31="Macro",COUNTIFS($U$5:$U$1000,ROW(),$V$5:$V$1000,"Sub"),"")</f>
        <v/>
      </c>
      <c r="X31" s="62">
        <f>IF($V31="","",IF(ISNUMBER($G31),1,IFERROR(LOOKUP(2,1/($I31:$L31&lt;&gt;""),$I31:$L31),0)))</f>
        <v/>
      </c>
      <c r="Y31" s="62">
        <f>IF($V31="","",IF(AND(ISNUMBER($G31),$G31&lt;=IF($S31=MesCiclo,InicioCiclo,$S31+MOD(2-WEEKDAY($S31),7))+6),1,IF(ISNUMBER($I31),$I31,0)))</f>
        <v/>
      </c>
      <c r="Z31" s="62">
        <f>IF($V31="","",IF(AND(ISNUMBER($G31),$G31&lt;=IF($S31=MesCiclo,InicioCiclo,$S31+MOD(2-WEEKDAY($S31),7))+13),1,IF(ISNUMBER($J31),$J31,$Y31)))</f>
        <v/>
      </c>
      <c r="AA31" s="62">
        <f>IF($V31="","",IF(AND(ISNUMBER($G31),$G31&lt;=IF($S31=MesCiclo,InicioCiclo,$S31+MOD(2-WEEKDAY($S31),7))+20),1,IF(ISNUMBER($K31),$K31,$Z31)))</f>
        <v/>
      </c>
      <c r="AB31" s="62">
        <f>IF($V31="","",IF(AND(ISNUMBER($G31),$G31&lt;=IF($S31=MesCiclo,InicioCiclo,$S31+MOD(2-WEEKDAY($S31),7))+27),1,IF(ISNUMBER($L31),$L31,$AA31)))</f>
        <v/>
      </c>
      <c r="AC31" s="62">
        <f>IF($V31="","",IF(AND(ISNUMBER($G31),$G31&lt;=IF($S31=MesCiclo,InicioCiclo,$S31+MOD(2-WEEKDAY($S31),7))+6),1,IF(N($W31)&gt;0,AVERAGEIFS($Y$5:$Y$1000,$U$5:$U$1000,ROW(),$V$5:$V$1000,"Sub"),$Y31)))</f>
        <v/>
      </c>
      <c r="AD31" s="62">
        <f>IF($V31="","",IF(AND(ISNUMBER($G31),$G31&lt;=IF($S31=MesCiclo,InicioCiclo,$S31+MOD(2-WEEKDAY($S31),7))+13),1,IF(N($W31)&gt;0,AVERAGEIFS($Z$5:$Z$1000,$U$5:$U$1000,ROW(),$V$5:$V$1000,"Sub"),$Z31)))</f>
        <v/>
      </c>
      <c r="AE31" s="62">
        <f>IF($V31="","",IF(AND(ISNUMBER($G31),$G31&lt;=IF($S31=MesCiclo,InicioCiclo,$S31+MOD(2-WEEKDAY($S31),7))+20),1,IF(N($W31)&gt;0,AVERAGEIFS($AA$5:$AA$1000,$U$5:$U$1000,ROW(),$V$5:$V$1000,"Sub"),$AA31)))</f>
        <v/>
      </c>
      <c r="AF31" s="62">
        <f>IF($V31="","",IF(AND(ISNUMBER($G31),$G31&lt;=IF($S31=MesCiclo,InicioCiclo,$S31+MOD(2-WEEKDAY($S31),7))+27),1,IF(N($W31)&gt;0,AVERAGEIFS($AB$5:$AB$1000,$U$5:$U$1000,ROW(),$V$5:$V$1000,"Sub"),$AB31)))</f>
        <v/>
      </c>
      <c r="AG31" s="62">
        <f>IF($V31&lt;&gt;"Macro","",IF(COUNTIFS($S$5:$S$1000,$S31,$V$5:$V$1000,"Macro",$H$5:$H$1000,"&gt;0")=0,1/COUNTIFS($S$5:$S$1000,$S31,$V$5:$V$1000,"Macro"),IF(AND(ISNUMBER($H31),N($H31)&gt;0),$H31,SUMIFS($H$5:$H$1000,$S$5:$S$1000,$S31,$V$5:$V$1000,"Macro")/COUNTIFS($S$5:$S$1000,$S31,$V$5:$V$1000,"Macro",$H$5:$H$1000,"&gt;0"))/(COUNTIFS($S$5:$S$1000,$S31,$V$5:$V$1000,"Macro")*SUMIFS($H$5:$H$1000,$S$5:$S$1000,$S31,$V$5:$V$1000,"Macro")/COUNTIFS($S$5:$S$1000,$S31,$V$5:$V$1000,"Macro",$H$5:$H$1000,"&gt;0"))))</f>
        <v/>
      </c>
      <c r="AH31" s="62" t="n"/>
      <c r="AI31" s="62" t="n"/>
      <c r="AJ31" s="62" t="n"/>
      <c r="AK31" s="62" t="n"/>
      <c r="AL31" s="62">
        <f>IF(LEFT($C31,11)="[Jefatura] ",IFERROR(MATCH("Asistente Técnico de Riesgo|"&amp;MID($C31,12,500),rDname_ADM,0),0),"")</f>
        <v/>
      </c>
      <c r="AM31" s="62">
        <f>IF(N($AL31)&gt;0,INDEX(rIni_ADM,$AL31),IF(ISNUMBER($E31),$E31,""))</f>
        <v/>
      </c>
      <c r="AN31" s="62">
        <f>IF(N($AL31)&gt;0,INDEX(rLim_ADM,$AL31),IF(ISNUMBER($F31),$F31,""))</f>
        <v/>
      </c>
    </row>
    <row r="32">
      <c r="A32" s="56">
        <f>IF(NOT((COUNTA($B32:$D32)+COUNTA($G32:$L32)+COUNTA($Q32))&gt;0),"",IF($V32="Macro",COUNTIFS($V$5:$V32,"Macro",$S$5:$S32,$S32),IF(N($U32)=0,"?",COUNTIFS(INDEX($V$5:$V$1000,1):INDEX($V$5:$V$1000,$U32-4),"Macro",INDEX($S$5:$S$1000,1):INDEX($S$5:$S$1000,$U32-4),INDEX($S$5:$S$1000,$U32-4))&amp;"."&amp;COUNTIFS($U$5:$U32,$U32,$V$5:$V32,"Sub"))))</f>
        <v/>
      </c>
      <c r="B32" s="57" t="n"/>
      <c r="C32" s="58" t="n"/>
      <c r="D32" s="58" t="n"/>
      <c r="E32" s="59">
        <f>IF(N($AL32)&gt;0,INDEX(rIni_ADM,$AL32),"")</f>
        <v/>
      </c>
      <c r="F32" s="59">
        <f>IF(N($AL32)&gt;0,INDEX(rLim_ADM,$AL32),"")</f>
        <v/>
      </c>
      <c r="G32" s="59" t="n"/>
      <c r="H32" s="60" t="n"/>
      <c r="I32" s="60" t="n"/>
      <c r="J32" s="60" t="n"/>
      <c r="K32" s="60" t="n"/>
      <c r="L32" s="60" t="n"/>
      <c r="M32" s="61">
        <f>IF(NOT((COUNTA($B32:$D32)+COUNTA($G32:$L32)+COUNTA($Q32))&gt;0),"",IF($V32="Sub",IFERROR($X32/INDEX($W$5:$W$1000,$U32-4),""),IF(ISNUMBER($G32),1,IF(N($W32)&gt;0,AVERAGEIFS($X$5:$X$1000,$U$5:$U$1000,ROW(),$V$5:$V$1000,"Sub"),$X32))))</f>
        <v/>
      </c>
      <c r="N32" s="56">
        <f>IF(OR($M32="",$V32="Sub"),"",IF($M32&gt;=1,"Completado",IF($M32&gt;0,"En curso","Pendiente")))</f>
        <v/>
      </c>
      <c r="O32" s="56">
        <f>IF(OR(NOT((COUNTA($B32:$D32)+COUNTA($G32:$L32)+COUNTA($Q32))&gt;0),$V32="Sub"),"",IF(ISNUMBER($G32),IF(AND(ISNUMBER($AN32),$G32&gt;$AN32),"Cumplida con "&amp;($G32-$AN32)&amp;IF($G32-$AN32=1," día"," días")&amp;" de retraso","Cumplida"),IF(N($M32)&gt;=1,"Cumplida",IF(NOT(ISNUMBER($AN32)),"Sin fecha límite",IF($AN32&lt;FechaRef,"Vencida hace "&amp;(FechaRef-$AN32)&amp;IF(FechaRef-$AN32=1," día"," días"),IF($AN32=FechaRef,"Vence hoy",IF($AN32-FechaRef&lt;=DiasAlerta,"Vence en "&amp;($AN32-FechaRef)&amp;IF($AN32-FechaRef=1," día"," días"),"En plazo")))))))</f>
        <v/>
      </c>
      <c r="P32" s="62" t="n"/>
      <c r="Q32" s="58" t="n"/>
      <c r="R32" s="63">
        <f>IF(NOT((COUNTA($B32:$D32)+COUNTA($G32:$L32)+COUNTA($Q32))&gt;0),"",IF((IF($C32="","Falta el nombre de la actividad"&amp;" · ","")&amp;IF(AND($V32="Sub",N($U32)=0),"Subactividad sin macroactividad arriba"&amp;" · ","")&amp;IF($AM32="","Sin fecha de inicio"&amp;" · ","")&amp;IF($AN32="","Sin fecha límite"&amp;" · ","")&amp;IF(AND(LEFT($C32,11)="[Jefatura] ",N($AL32)=0),"No se encuentra en la hoja de la jefatura (elíjala de nuevo en la lista)"&amp;" · ","")&amp;IF(OR(AND($E32&lt;&gt;"",NOT(ISNUMBER($E32))),AND($F32&lt;&gt;"",NOT(ISNUMBER($F32))),AND($G32&lt;&gt;"",NOT(ISNUMBER($G32)))),"Fecha no válida"&amp;" · ","")&amp;IF(AND(ISNUMBER($AM32),ISNUMBER($AN32),$AM32&gt;$AN32),"Inicio posterior a fecha límite"&amp;" · ","")&amp;IF(AND($V32="Macro",$H32&lt;&gt;"",OR(NOT(ISNUMBER($H32)),$H32&lt;0,$H32&gt;1)),"Peso fuera de rango"&amp;" · ","")&amp;IF(AND($V32="Sub",$H32&lt;&gt;""),"Las subactividades no llevan peso (valen igual dentro de su macroactividad)"&amp;" · ","")&amp;IF(AND(N($W32)&gt;0,COUNT($I32:$L32)&gt;0),"Con subactividades: deje vacías las semanas (se calculan solas)"&amp;" · ","")&amp;IF((COUNTIF($I32:$L32,"&gt;1")+COUNTIF($I32:$L32,"&lt;0")+COUNTA($I32:$L32)-COUNT($I32:$L32))&gt;0,"Avance fuera de rango 0-100%"&amp;" · ","")&amp;IF(OR(AND($J32&lt;&gt;"",$J32&lt;$I32),AND($K32&lt;&gt;"",$K32&lt;MAX($I32:$J32)),AND($L32&lt;&gt;"",$L32&lt;MAX($I32:$K32))),"Avance semanal decreciente"&amp;" · ","")&amp;IF(AND(ISNUMBER($AN32),$AN32&lt;FechaRef,IF($V32="Sub",N($X32),N($M32))&lt;1),"Vencida"&amp;" · ","")&amp;IF(AND(ObsObligatoria="Sí",ISNUMBER($AN32),$AN32&lt;FechaRef,IF($V32="Sub",N($X32),N($M32))&lt;1,$Q32=""),"Vencida sin observación"&amp;" · ",""))="","✔ OK","⚠ "&amp;LEFT(IF($C32="","Falta el nombre de la actividad"&amp;" · ","")&amp;IF(AND($V32="Sub",N($U32)=0),"Subactividad sin macroactividad arriba"&amp;" · ","")&amp;IF($AM32="","Sin fecha de inicio"&amp;" · ","")&amp;IF($AN32="","Sin fecha límite"&amp;" · ","")&amp;IF(AND(LEFT($C32,11)="[Jefatura] ",N($AL32)=0),"No se encuentra en la hoja de la jefatura (elíjala de nuevo en la lista)"&amp;" · ","")&amp;IF(OR(AND($E32&lt;&gt;"",NOT(ISNUMBER($E32))),AND($F32&lt;&gt;"",NOT(ISNUMBER($F32))),AND($G32&lt;&gt;"",NOT(ISNUMBER($G32)))),"Fecha no válida"&amp;" · ","")&amp;IF(AND(ISNUMBER($AM32),ISNUMBER($AN32),$AM32&gt;$AN32),"Inicio posterior a fecha límite"&amp;" · ","")&amp;IF(AND($V32="Macro",$H32&lt;&gt;"",OR(NOT(ISNUMBER($H32)),$H32&lt;0,$H32&gt;1)),"Peso fuera de rango"&amp;" · ","")&amp;IF(AND($V32="Sub",$H32&lt;&gt;""),"Las subactividades no llevan peso (valen igual dentro de su macroactividad)"&amp;" · ","")&amp;IF(AND(N($W32)&gt;0,COUNT($I32:$L32)&gt;0),"Con subactividades: deje vacías las semanas (se calculan solas)"&amp;" · ","")&amp;IF((COUNTIF($I32:$L32,"&gt;1")+COUNTIF($I32:$L32,"&lt;0")+COUNTA($I32:$L32)-COUNT($I32:$L32))&gt;0,"Avance fuera de rango 0-100%"&amp;" · ","")&amp;IF(OR(AND($J32&lt;&gt;"",$J32&lt;$I32),AND($K32&lt;&gt;"",$K32&lt;MAX($I32:$J32)),AND($L32&lt;&gt;"",$L32&lt;MAX($I32:$K32))),"Avance semanal decreciente"&amp;" · ","")&amp;IF(AND(ISNUMBER($AN32),$AN32&lt;FechaRef,IF($V32="Sub",N($X32),N($M32))&lt;1),"Vencida"&amp;" · ","")&amp;IF(AND(ObsObligatoria="Sí",ISNUMBER($AN32),$AN32&lt;FechaRef,IF($V32="Sub",N($X32),N($M32))&lt;1,$Q32=""),"Vencida sin observación"&amp;" · ",""),LEN(IF($C32="","Falta el nombre de la actividad"&amp;" · ","")&amp;IF(AND($V32="Sub",N($U32)=0),"Subactividad sin macroactividad arriba"&amp;" · ","")&amp;IF($AM32="","Sin fecha de inicio"&amp;" · ","")&amp;IF($AN32="","Sin fecha límite"&amp;" · ","")&amp;IF(AND(LEFT($C32,11)="[Jefatura] ",N($AL32)=0),"No se encuentra en la hoja de la jefatura (elíjala de nuevo en la lista)"&amp;" · ","")&amp;IF(OR(AND($E32&lt;&gt;"",NOT(ISNUMBER($E32))),AND($F32&lt;&gt;"",NOT(ISNUMBER($F32))),AND($G32&lt;&gt;"",NOT(ISNUMBER($G32)))),"Fecha no válida"&amp;" · ","")&amp;IF(AND(ISNUMBER($AM32),ISNUMBER($AN32),$AM32&gt;$AN32),"Inicio posterior a fecha límite"&amp;" · ","")&amp;IF(AND($V32="Macro",$H32&lt;&gt;"",OR(NOT(ISNUMBER($H32)),$H32&lt;0,$H32&gt;1)),"Peso fuera de rango"&amp;" · ","")&amp;IF(AND($V32="Sub",$H32&lt;&gt;""),"Las subactividades no llevan peso (valen igual dentro de su macroactividad)"&amp;" · ","")&amp;IF(AND(N($W32)&gt;0,COUNT($I32:$L32)&gt;0),"Con subactividades: deje vacías las semanas (se calculan solas)"&amp;" · ","")&amp;IF((COUNTIF($I32:$L32,"&gt;1")+COUNTIF($I32:$L32,"&lt;0")+COUNTA($I32:$L32)-COUNT($I32:$L32))&gt;0,"Avance fuera de rango 0-100%"&amp;" · ","")&amp;IF(OR(AND($J32&lt;&gt;"",$J32&lt;$I32),AND($K32&lt;&gt;"",$K32&lt;MAX($I32:$J32)),AND($L32&lt;&gt;"",$L32&lt;MAX($I32:$K32))),"Avance semanal decreciente"&amp;" · ","")&amp;IF(AND(ISNUMBER($AN32),$AN32&lt;FechaRef,IF($V32="Sub",N($X32),N($M32))&lt;1),"Vencida"&amp;" · ","")&amp;IF(AND(ObsObligatoria="Sí",ISNUMBER($AN32),$AN32&lt;FechaRef,IF($V32="Sub",N($X32),N($M32))&lt;1,$Q32=""),"Vencida sin observación"&amp;" · ",""))-3)))</f>
        <v/>
      </c>
      <c r="S32" s="64">
        <f>IF(NOT((COUNTA($B32:$D32)+COUNTA($G32:$L32)+COUNTA($Q32))&gt;0),"",IF(AND($V32="Sub",N($U32)&gt;0),IF(ISNUMBER(INDEX($AM$5:$AM$1000,$U32-4)),DATE(YEAR(INDEX($AM$5:$AM$1000,$U32-4)),MONTH(INDEX($AM$5:$AM$1000,$U32-4)),1),IF(ISNUMBER(INDEX($AN$5:$AN$1000,$U32-4)),DATE(YEAR(INDEX($AN$5:$AN$1000,$U32-4)),MONTH(INDEX($AN$5:$AN$1000,$U32-4)),1),MesCiclo)),IF(ISNUMBER($AM32),DATE(YEAR($AM32),MONTH($AM32),1),IF(ISNUMBER($AN32),DATE(YEAR($AN32),MONTH($AN32),1),MesCiclo))))</f>
        <v/>
      </c>
      <c r="T32" s="62">
        <f>IF(OR($S32="",$S32&lt;&gt;MesCiclo,$V32&lt;&gt;"Macro"),"",COUNTIFS($S$5:$S32,MesCiclo,$V$5:$V32,"Macro"))</f>
        <v/>
      </c>
      <c r="U32" s="62">
        <f>IF($V32="","",IF($V32="Macro",ROW(),IFERROR(LOOKUP(2,1/($V$5:$V32="Macro"),ROW($V$5:$V32)),0)))</f>
        <v/>
      </c>
      <c r="V32" s="62">
        <f>IF(NOT((COUNTA($B32:$D32)+COUNTA($G32:$L32)+COUNTA($Q32))&gt;0),"",IF($B32="Subactividad","Sub","Macro"))</f>
        <v/>
      </c>
      <c r="W32" s="62">
        <f>IF($V32="Macro",COUNTIFS($U$5:$U$1000,ROW(),$V$5:$V$1000,"Sub"),"")</f>
        <v/>
      </c>
      <c r="X32" s="62">
        <f>IF($V32="","",IF(ISNUMBER($G32),1,IFERROR(LOOKUP(2,1/($I32:$L32&lt;&gt;""),$I32:$L32),0)))</f>
        <v/>
      </c>
      <c r="Y32" s="62">
        <f>IF($V32="","",IF(AND(ISNUMBER($G32),$G32&lt;=IF($S32=MesCiclo,InicioCiclo,$S32+MOD(2-WEEKDAY($S32),7))+6),1,IF(ISNUMBER($I32),$I32,0)))</f>
        <v/>
      </c>
      <c r="Z32" s="62">
        <f>IF($V32="","",IF(AND(ISNUMBER($G32),$G32&lt;=IF($S32=MesCiclo,InicioCiclo,$S32+MOD(2-WEEKDAY($S32),7))+13),1,IF(ISNUMBER($J32),$J32,$Y32)))</f>
        <v/>
      </c>
      <c r="AA32" s="62">
        <f>IF($V32="","",IF(AND(ISNUMBER($G32),$G32&lt;=IF($S32=MesCiclo,InicioCiclo,$S32+MOD(2-WEEKDAY($S32),7))+20),1,IF(ISNUMBER($K32),$K32,$Z32)))</f>
        <v/>
      </c>
      <c r="AB32" s="62">
        <f>IF($V32="","",IF(AND(ISNUMBER($G32),$G32&lt;=IF($S32=MesCiclo,InicioCiclo,$S32+MOD(2-WEEKDAY($S32),7))+27),1,IF(ISNUMBER($L32),$L32,$AA32)))</f>
        <v/>
      </c>
      <c r="AC32" s="62">
        <f>IF($V32="","",IF(AND(ISNUMBER($G32),$G32&lt;=IF($S32=MesCiclo,InicioCiclo,$S32+MOD(2-WEEKDAY($S32),7))+6),1,IF(N($W32)&gt;0,AVERAGEIFS($Y$5:$Y$1000,$U$5:$U$1000,ROW(),$V$5:$V$1000,"Sub"),$Y32)))</f>
        <v/>
      </c>
      <c r="AD32" s="62">
        <f>IF($V32="","",IF(AND(ISNUMBER($G32),$G32&lt;=IF($S32=MesCiclo,InicioCiclo,$S32+MOD(2-WEEKDAY($S32),7))+13),1,IF(N($W32)&gt;0,AVERAGEIFS($Z$5:$Z$1000,$U$5:$U$1000,ROW(),$V$5:$V$1000,"Sub"),$Z32)))</f>
        <v/>
      </c>
      <c r="AE32" s="62">
        <f>IF($V32="","",IF(AND(ISNUMBER($G32),$G32&lt;=IF($S32=MesCiclo,InicioCiclo,$S32+MOD(2-WEEKDAY($S32),7))+20),1,IF(N($W32)&gt;0,AVERAGEIFS($AA$5:$AA$1000,$U$5:$U$1000,ROW(),$V$5:$V$1000,"Sub"),$AA32)))</f>
        <v/>
      </c>
      <c r="AF32" s="62">
        <f>IF($V32="","",IF(AND(ISNUMBER($G32),$G32&lt;=IF($S32=MesCiclo,InicioCiclo,$S32+MOD(2-WEEKDAY($S32),7))+27),1,IF(N($W32)&gt;0,AVERAGEIFS($AB$5:$AB$1000,$U$5:$U$1000,ROW(),$V$5:$V$1000,"Sub"),$AB32)))</f>
        <v/>
      </c>
      <c r="AG32" s="62">
        <f>IF($V32&lt;&gt;"Macro","",IF(COUNTIFS($S$5:$S$1000,$S32,$V$5:$V$1000,"Macro",$H$5:$H$1000,"&gt;0")=0,1/COUNTIFS($S$5:$S$1000,$S32,$V$5:$V$1000,"Macro"),IF(AND(ISNUMBER($H32),N($H32)&gt;0),$H32,SUMIFS($H$5:$H$1000,$S$5:$S$1000,$S32,$V$5:$V$1000,"Macro")/COUNTIFS($S$5:$S$1000,$S32,$V$5:$V$1000,"Macro",$H$5:$H$1000,"&gt;0"))/(COUNTIFS($S$5:$S$1000,$S32,$V$5:$V$1000,"Macro")*SUMIFS($H$5:$H$1000,$S$5:$S$1000,$S32,$V$5:$V$1000,"Macro")/COUNTIFS($S$5:$S$1000,$S32,$V$5:$V$1000,"Macro",$H$5:$H$1000,"&gt;0"))))</f>
        <v/>
      </c>
      <c r="AH32" s="62" t="n"/>
      <c r="AI32" s="62" t="n"/>
      <c r="AJ32" s="62" t="n"/>
      <c r="AK32" s="62" t="n"/>
      <c r="AL32" s="62">
        <f>IF(LEFT($C32,11)="[Jefatura] ",IFERROR(MATCH("Asistente Técnico de Riesgo|"&amp;MID($C32,12,500),rDname_ADM,0),0),"")</f>
        <v/>
      </c>
      <c r="AM32" s="62">
        <f>IF(N($AL32)&gt;0,INDEX(rIni_ADM,$AL32),IF(ISNUMBER($E32),$E32,""))</f>
        <v/>
      </c>
      <c r="AN32" s="62">
        <f>IF(N($AL32)&gt;0,INDEX(rLim_ADM,$AL32),IF(ISNUMBER($F32),$F32,""))</f>
        <v/>
      </c>
    </row>
    <row r="33">
      <c r="A33" s="56">
        <f>IF(NOT((COUNTA($B33:$D33)+COUNTA($G33:$L33)+COUNTA($Q33))&gt;0),"",IF($V33="Macro",COUNTIFS($V$5:$V33,"Macro",$S$5:$S33,$S33),IF(N($U33)=0,"?",COUNTIFS(INDEX($V$5:$V$1000,1):INDEX($V$5:$V$1000,$U33-4),"Macro",INDEX($S$5:$S$1000,1):INDEX($S$5:$S$1000,$U33-4),INDEX($S$5:$S$1000,$U33-4))&amp;"."&amp;COUNTIFS($U$5:$U33,$U33,$V$5:$V33,"Sub"))))</f>
        <v/>
      </c>
      <c r="B33" s="57" t="n"/>
      <c r="C33" s="58" t="n"/>
      <c r="D33" s="58" t="n"/>
      <c r="E33" s="59">
        <f>IF(N($AL33)&gt;0,INDEX(rIni_ADM,$AL33),"")</f>
        <v/>
      </c>
      <c r="F33" s="59">
        <f>IF(N($AL33)&gt;0,INDEX(rLim_ADM,$AL33),"")</f>
        <v/>
      </c>
      <c r="G33" s="59" t="n"/>
      <c r="H33" s="60" t="n"/>
      <c r="I33" s="60" t="n"/>
      <c r="J33" s="60" t="n"/>
      <c r="K33" s="60" t="n"/>
      <c r="L33" s="60" t="n"/>
      <c r="M33" s="61">
        <f>IF(NOT((COUNTA($B33:$D33)+COUNTA($G33:$L33)+COUNTA($Q33))&gt;0),"",IF($V33="Sub",IFERROR($X33/INDEX($W$5:$W$1000,$U33-4),""),IF(ISNUMBER($G33),1,IF(N($W33)&gt;0,AVERAGEIFS($X$5:$X$1000,$U$5:$U$1000,ROW(),$V$5:$V$1000,"Sub"),$X33))))</f>
        <v/>
      </c>
      <c r="N33" s="56">
        <f>IF(OR($M33="",$V33="Sub"),"",IF($M33&gt;=1,"Completado",IF($M33&gt;0,"En curso","Pendiente")))</f>
        <v/>
      </c>
      <c r="O33" s="56">
        <f>IF(OR(NOT((COUNTA($B33:$D33)+COUNTA($G33:$L33)+COUNTA($Q33))&gt;0),$V33="Sub"),"",IF(ISNUMBER($G33),IF(AND(ISNUMBER($AN33),$G33&gt;$AN33),"Cumplida con "&amp;($G33-$AN33)&amp;IF($G33-$AN33=1," día"," días")&amp;" de retraso","Cumplida"),IF(N($M33)&gt;=1,"Cumplida",IF(NOT(ISNUMBER($AN33)),"Sin fecha límite",IF($AN33&lt;FechaRef,"Vencida hace "&amp;(FechaRef-$AN33)&amp;IF(FechaRef-$AN33=1," día"," días"),IF($AN33=FechaRef,"Vence hoy",IF($AN33-FechaRef&lt;=DiasAlerta,"Vence en "&amp;($AN33-FechaRef)&amp;IF($AN33-FechaRef=1," día"," días"),"En plazo")))))))</f>
        <v/>
      </c>
      <c r="P33" s="62" t="n"/>
      <c r="Q33" s="58" t="n"/>
      <c r="R33" s="63">
        <f>IF(NOT((COUNTA($B33:$D33)+COUNTA($G33:$L33)+COUNTA($Q33))&gt;0),"",IF((IF($C33="","Falta el nombre de la actividad"&amp;" · ","")&amp;IF(AND($V33="Sub",N($U33)=0),"Subactividad sin macroactividad arriba"&amp;" · ","")&amp;IF($AM33="","Sin fecha de inicio"&amp;" · ","")&amp;IF($AN33="","Sin fecha límite"&amp;" · ","")&amp;IF(AND(LEFT($C33,11)="[Jefatura] ",N($AL33)=0),"No se encuentra en la hoja de la jefatura (elíjala de nuevo en la lista)"&amp;" · ","")&amp;IF(OR(AND($E33&lt;&gt;"",NOT(ISNUMBER($E33))),AND($F33&lt;&gt;"",NOT(ISNUMBER($F33))),AND($G33&lt;&gt;"",NOT(ISNUMBER($G33)))),"Fecha no válida"&amp;" · ","")&amp;IF(AND(ISNUMBER($AM33),ISNUMBER($AN33),$AM33&gt;$AN33),"Inicio posterior a fecha límite"&amp;" · ","")&amp;IF(AND($V33="Macro",$H33&lt;&gt;"",OR(NOT(ISNUMBER($H33)),$H33&lt;0,$H33&gt;1)),"Peso fuera de rango"&amp;" · ","")&amp;IF(AND($V33="Sub",$H33&lt;&gt;""),"Las subactividades no llevan peso (valen igual dentro de su macroactividad)"&amp;" · ","")&amp;IF(AND(N($W33)&gt;0,COUNT($I33:$L33)&gt;0),"Con subactividades: deje vacías las semanas (se calculan solas)"&amp;" · ","")&amp;IF((COUNTIF($I33:$L33,"&gt;1")+COUNTIF($I33:$L33,"&lt;0")+COUNTA($I33:$L33)-COUNT($I33:$L33))&gt;0,"Avance fuera de rango 0-100%"&amp;" · ","")&amp;IF(OR(AND($J33&lt;&gt;"",$J33&lt;$I33),AND($K33&lt;&gt;"",$K33&lt;MAX($I33:$J33)),AND($L33&lt;&gt;"",$L33&lt;MAX($I33:$K33))),"Avance semanal decreciente"&amp;" · ","")&amp;IF(AND(ISNUMBER($AN33),$AN33&lt;FechaRef,IF($V33="Sub",N($X33),N($M33))&lt;1),"Vencida"&amp;" · ","")&amp;IF(AND(ObsObligatoria="Sí",ISNUMBER($AN33),$AN33&lt;FechaRef,IF($V33="Sub",N($X33),N($M33))&lt;1,$Q33=""),"Vencida sin observación"&amp;" · ",""))="","✔ OK","⚠ "&amp;LEFT(IF($C33="","Falta el nombre de la actividad"&amp;" · ","")&amp;IF(AND($V33="Sub",N($U33)=0),"Subactividad sin macroactividad arriba"&amp;" · ","")&amp;IF($AM33="","Sin fecha de inicio"&amp;" · ","")&amp;IF($AN33="","Sin fecha límite"&amp;" · ","")&amp;IF(AND(LEFT($C33,11)="[Jefatura] ",N($AL33)=0),"No se encuentra en la hoja de la jefatura (elíjala de nuevo en la lista)"&amp;" · ","")&amp;IF(OR(AND($E33&lt;&gt;"",NOT(ISNUMBER($E33))),AND($F33&lt;&gt;"",NOT(ISNUMBER($F33))),AND($G33&lt;&gt;"",NOT(ISNUMBER($G33)))),"Fecha no válida"&amp;" · ","")&amp;IF(AND(ISNUMBER($AM33),ISNUMBER($AN33),$AM33&gt;$AN33),"Inicio posterior a fecha límite"&amp;" · ","")&amp;IF(AND($V33="Macro",$H33&lt;&gt;"",OR(NOT(ISNUMBER($H33)),$H33&lt;0,$H33&gt;1)),"Peso fuera de rango"&amp;" · ","")&amp;IF(AND($V33="Sub",$H33&lt;&gt;""),"Las subactividades no llevan peso (valen igual dentro de su macroactividad)"&amp;" · ","")&amp;IF(AND(N($W33)&gt;0,COUNT($I33:$L33)&gt;0),"Con subactividades: deje vacías las semanas (se calculan solas)"&amp;" · ","")&amp;IF((COUNTIF($I33:$L33,"&gt;1")+COUNTIF($I33:$L33,"&lt;0")+COUNTA($I33:$L33)-COUNT($I33:$L33))&gt;0,"Avance fuera de rango 0-100%"&amp;" · ","")&amp;IF(OR(AND($J33&lt;&gt;"",$J33&lt;$I33),AND($K33&lt;&gt;"",$K33&lt;MAX($I33:$J33)),AND($L33&lt;&gt;"",$L33&lt;MAX($I33:$K33))),"Avance semanal decreciente"&amp;" · ","")&amp;IF(AND(ISNUMBER($AN33),$AN33&lt;FechaRef,IF($V33="Sub",N($X33),N($M33))&lt;1),"Vencida"&amp;" · ","")&amp;IF(AND(ObsObligatoria="Sí",ISNUMBER($AN33),$AN33&lt;FechaRef,IF($V33="Sub",N($X33),N($M33))&lt;1,$Q33=""),"Vencida sin observación"&amp;" · ",""),LEN(IF($C33="","Falta el nombre de la actividad"&amp;" · ","")&amp;IF(AND($V33="Sub",N($U33)=0),"Subactividad sin macroactividad arriba"&amp;" · ","")&amp;IF($AM33="","Sin fecha de inicio"&amp;" · ","")&amp;IF($AN33="","Sin fecha límite"&amp;" · ","")&amp;IF(AND(LEFT($C33,11)="[Jefatura] ",N($AL33)=0),"No se encuentra en la hoja de la jefatura (elíjala de nuevo en la lista)"&amp;" · ","")&amp;IF(OR(AND($E33&lt;&gt;"",NOT(ISNUMBER($E33))),AND($F33&lt;&gt;"",NOT(ISNUMBER($F33))),AND($G33&lt;&gt;"",NOT(ISNUMBER($G33)))),"Fecha no válida"&amp;" · ","")&amp;IF(AND(ISNUMBER($AM33),ISNUMBER($AN33),$AM33&gt;$AN33),"Inicio posterior a fecha límite"&amp;" · ","")&amp;IF(AND($V33="Macro",$H33&lt;&gt;"",OR(NOT(ISNUMBER($H33)),$H33&lt;0,$H33&gt;1)),"Peso fuera de rango"&amp;" · ","")&amp;IF(AND($V33="Sub",$H33&lt;&gt;""),"Las subactividades no llevan peso (valen igual dentro de su macroactividad)"&amp;" · ","")&amp;IF(AND(N($W33)&gt;0,COUNT($I33:$L33)&gt;0),"Con subactividades: deje vacías las semanas (se calculan solas)"&amp;" · ","")&amp;IF((COUNTIF($I33:$L33,"&gt;1")+COUNTIF($I33:$L33,"&lt;0")+COUNTA($I33:$L33)-COUNT($I33:$L33))&gt;0,"Avance fuera de rango 0-100%"&amp;" · ","")&amp;IF(OR(AND($J33&lt;&gt;"",$J33&lt;$I33),AND($K33&lt;&gt;"",$K33&lt;MAX($I33:$J33)),AND($L33&lt;&gt;"",$L33&lt;MAX($I33:$K33))),"Avance semanal decreciente"&amp;" · ","")&amp;IF(AND(ISNUMBER($AN33),$AN33&lt;FechaRef,IF($V33="Sub",N($X33),N($M33))&lt;1),"Vencida"&amp;" · ","")&amp;IF(AND(ObsObligatoria="Sí",ISNUMBER($AN33),$AN33&lt;FechaRef,IF($V33="Sub",N($X33),N($M33))&lt;1,$Q33=""),"Vencida sin observación"&amp;" · ",""))-3)))</f>
        <v/>
      </c>
      <c r="S33" s="64">
        <f>IF(NOT((COUNTA($B33:$D33)+COUNTA($G33:$L33)+COUNTA($Q33))&gt;0),"",IF(AND($V33="Sub",N($U33)&gt;0),IF(ISNUMBER(INDEX($AM$5:$AM$1000,$U33-4)),DATE(YEAR(INDEX($AM$5:$AM$1000,$U33-4)),MONTH(INDEX($AM$5:$AM$1000,$U33-4)),1),IF(ISNUMBER(INDEX($AN$5:$AN$1000,$U33-4)),DATE(YEAR(INDEX($AN$5:$AN$1000,$U33-4)),MONTH(INDEX($AN$5:$AN$1000,$U33-4)),1),MesCiclo)),IF(ISNUMBER($AM33),DATE(YEAR($AM33),MONTH($AM33),1),IF(ISNUMBER($AN33),DATE(YEAR($AN33),MONTH($AN33),1),MesCiclo))))</f>
        <v/>
      </c>
      <c r="T33" s="62">
        <f>IF(OR($S33="",$S33&lt;&gt;MesCiclo,$V33&lt;&gt;"Macro"),"",COUNTIFS($S$5:$S33,MesCiclo,$V$5:$V33,"Macro"))</f>
        <v/>
      </c>
      <c r="U33" s="62">
        <f>IF($V33="","",IF($V33="Macro",ROW(),IFERROR(LOOKUP(2,1/($V$5:$V33="Macro"),ROW($V$5:$V33)),0)))</f>
        <v/>
      </c>
      <c r="V33" s="62">
        <f>IF(NOT((COUNTA($B33:$D33)+COUNTA($G33:$L33)+COUNTA($Q33))&gt;0),"",IF($B33="Subactividad","Sub","Macro"))</f>
        <v/>
      </c>
      <c r="W33" s="62">
        <f>IF($V33="Macro",COUNTIFS($U$5:$U$1000,ROW(),$V$5:$V$1000,"Sub"),"")</f>
        <v/>
      </c>
      <c r="X33" s="62">
        <f>IF($V33="","",IF(ISNUMBER($G33),1,IFERROR(LOOKUP(2,1/($I33:$L33&lt;&gt;""),$I33:$L33),0)))</f>
        <v/>
      </c>
      <c r="Y33" s="62">
        <f>IF($V33="","",IF(AND(ISNUMBER($G33),$G33&lt;=IF($S33=MesCiclo,InicioCiclo,$S33+MOD(2-WEEKDAY($S33),7))+6),1,IF(ISNUMBER($I33),$I33,0)))</f>
        <v/>
      </c>
      <c r="Z33" s="62">
        <f>IF($V33="","",IF(AND(ISNUMBER($G33),$G33&lt;=IF($S33=MesCiclo,InicioCiclo,$S33+MOD(2-WEEKDAY($S33),7))+13),1,IF(ISNUMBER($J33),$J33,$Y33)))</f>
        <v/>
      </c>
      <c r="AA33" s="62">
        <f>IF($V33="","",IF(AND(ISNUMBER($G33),$G33&lt;=IF($S33=MesCiclo,InicioCiclo,$S33+MOD(2-WEEKDAY($S33),7))+20),1,IF(ISNUMBER($K33),$K33,$Z33)))</f>
        <v/>
      </c>
      <c r="AB33" s="62">
        <f>IF($V33="","",IF(AND(ISNUMBER($G33),$G33&lt;=IF($S33=MesCiclo,InicioCiclo,$S33+MOD(2-WEEKDAY($S33),7))+27),1,IF(ISNUMBER($L33),$L33,$AA33)))</f>
        <v/>
      </c>
      <c r="AC33" s="62">
        <f>IF($V33="","",IF(AND(ISNUMBER($G33),$G33&lt;=IF($S33=MesCiclo,InicioCiclo,$S33+MOD(2-WEEKDAY($S33),7))+6),1,IF(N($W33)&gt;0,AVERAGEIFS($Y$5:$Y$1000,$U$5:$U$1000,ROW(),$V$5:$V$1000,"Sub"),$Y33)))</f>
        <v/>
      </c>
      <c r="AD33" s="62">
        <f>IF($V33="","",IF(AND(ISNUMBER($G33),$G33&lt;=IF($S33=MesCiclo,InicioCiclo,$S33+MOD(2-WEEKDAY($S33),7))+13),1,IF(N($W33)&gt;0,AVERAGEIFS($Z$5:$Z$1000,$U$5:$U$1000,ROW(),$V$5:$V$1000,"Sub"),$Z33)))</f>
        <v/>
      </c>
      <c r="AE33" s="62">
        <f>IF($V33="","",IF(AND(ISNUMBER($G33),$G33&lt;=IF($S33=MesCiclo,InicioCiclo,$S33+MOD(2-WEEKDAY($S33),7))+20),1,IF(N($W33)&gt;0,AVERAGEIFS($AA$5:$AA$1000,$U$5:$U$1000,ROW(),$V$5:$V$1000,"Sub"),$AA33)))</f>
        <v/>
      </c>
      <c r="AF33" s="62">
        <f>IF($V33="","",IF(AND(ISNUMBER($G33),$G33&lt;=IF($S33=MesCiclo,InicioCiclo,$S33+MOD(2-WEEKDAY($S33),7))+27),1,IF(N($W33)&gt;0,AVERAGEIFS($AB$5:$AB$1000,$U$5:$U$1000,ROW(),$V$5:$V$1000,"Sub"),$AB33)))</f>
        <v/>
      </c>
      <c r="AG33" s="62">
        <f>IF($V33&lt;&gt;"Macro","",IF(COUNTIFS($S$5:$S$1000,$S33,$V$5:$V$1000,"Macro",$H$5:$H$1000,"&gt;0")=0,1/COUNTIFS($S$5:$S$1000,$S33,$V$5:$V$1000,"Macro"),IF(AND(ISNUMBER($H33),N($H33)&gt;0),$H33,SUMIFS($H$5:$H$1000,$S$5:$S$1000,$S33,$V$5:$V$1000,"Macro")/COUNTIFS($S$5:$S$1000,$S33,$V$5:$V$1000,"Macro",$H$5:$H$1000,"&gt;0"))/(COUNTIFS($S$5:$S$1000,$S33,$V$5:$V$1000,"Macro")*SUMIFS($H$5:$H$1000,$S$5:$S$1000,$S33,$V$5:$V$1000,"Macro")/COUNTIFS($S$5:$S$1000,$S33,$V$5:$V$1000,"Macro",$H$5:$H$1000,"&gt;0"))))</f>
        <v/>
      </c>
      <c r="AH33" s="62" t="n"/>
      <c r="AI33" s="62" t="n"/>
      <c r="AJ33" s="62" t="n"/>
      <c r="AK33" s="62" t="n"/>
      <c r="AL33" s="62">
        <f>IF(LEFT($C33,11)="[Jefatura] ",IFERROR(MATCH("Asistente Técnico de Riesgo|"&amp;MID($C33,12,500),rDname_ADM,0),0),"")</f>
        <v/>
      </c>
      <c r="AM33" s="62">
        <f>IF(N($AL33)&gt;0,INDEX(rIni_ADM,$AL33),IF(ISNUMBER($E33),$E33,""))</f>
        <v/>
      </c>
      <c r="AN33" s="62">
        <f>IF(N($AL33)&gt;0,INDEX(rLim_ADM,$AL33),IF(ISNUMBER($F33),$F33,""))</f>
        <v/>
      </c>
    </row>
    <row r="34">
      <c r="A34" s="56">
        <f>IF(NOT((COUNTA($B34:$D34)+COUNTA($G34:$L34)+COUNTA($Q34))&gt;0),"",IF($V34="Macro",COUNTIFS($V$5:$V34,"Macro",$S$5:$S34,$S34),IF(N($U34)=0,"?",COUNTIFS(INDEX($V$5:$V$1000,1):INDEX($V$5:$V$1000,$U34-4),"Macro",INDEX($S$5:$S$1000,1):INDEX($S$5:$S$1000,$U34-4),INDEX($S$5:$S$1000,$U34-4))&amp;"."&amp;COUNTIFS($U$5:$U34,$U34,$V$5:$V34,"Sub"))))</f>
        <v/>
      </c>
      <c r="B34" s="57" t="n"/>
      <c r="C34" s="58" t="n"/>
      <c r="D34" s="58" t="n"/>
      <c r="E34" s="59">
        <f>IF(N($AL34)&gt;0,INDEX(rIni_ADM,$AL34),"")</f>
        <v/>
      </c>
      <c r="F34" s="59">
        <f>IF(N($AL34)&gt;0,INDEX(rLim_ADM,$AL34),"")</f>
        <v/>
      </c>
      <c r="G34" s="59" t="n"/>
      <c r="H34" s="60" t="n"/>
      <c r="I34" s="60" t="n"/>
      <c r="J34" s="60" t="n"/>
      <c r="K34" s="60" t="n"/>
      <c r="L34" s="60" t="n"/>
      <c r="M34" s="61">
        <f>IF(NOT((COUNTA($B34:$D34)+COUNTA($G34:$L34)+COUNTA($Q34))&gt;0),"",IF($V34="Sub",IFERROR($X34/INDEX($W$5:$W$1000,$U34-4),""),IF(ISNUMBER($G34),1,IF(N($W34)&gt;0,AVERAGEIFS($X$5:$X$1000,$U$5:$U$1000,ROW(),$V$5:$V$1000,"Sub"),$X34))))</f>
        <v/>
      </c>
      <c r="N34" s="56">
        <f>IF(OR($M34="",$V34="Sub"),"",IF($M34&gt;=1,"Completado",IF($M34&gt;0,"En curso","Pendiente")))</f>
        <v/>
      </c>
      <c r="O34" s="56">
        <f>IF(OR(NOT((COUNTA($B34:$D34)+COUNTA($G34:$L34)+COUNTA($Q34))&gt;0),$V34="Sub"),"",IF(ISNUMBER($G34),IF(AND(ISNUMBER($AN34),$G34&gt;$AN34),"Cumplida con "&amp;($G34-$AN34)&amp;IF($G34-$AN34=1," día"," días")&amp;" de retraso","Cumplida"),IF(N($M34)&gt;=1,"Cumplida",IF(NOT(ISNUMBER($AN34)),"Sin fecha límite",IF($AN34&lt;FechaRef,"Vencida hace "&amp;(FechaRef-$AN34)&amp;IF(FechaRef-$AN34=1," día"," días"),IF($AN34=FechaRef,"Vence hoy",IF($AN34-FechaRef&lt;=DiasAlerta,"Vence en "&amp;($AN34-FechaRef)&amp;IF($AN34-FechaRef=1," día"," días"),"En plazo")))))))</f>
        <v/>
      </c>
      <c r="P34" s="62" t="n"/>
      <c r="Q34" s="58" t="n"/>
      <c r="R34" s="63">
        <f>IF(NOT((COUNTA($B34:$D34)+COUNTA($G34:$L34)+COUNTA($Q34))&gt;0),"",IF((IF($C34="","Falta el nombre de la actividad"&amp;" · ","")&amp;IF(AND($V34="Sub",N($U34)=0),"Subactividad sin macroactividad arriba"&amp;" · ","")&amp;IF($AM34="","Sin fecha de inicio"&amp;" · ","")&amp;IF($AN34="","Sin fecha límite"&amp;" · ","")&amp;IF(AND(LEFT($C34,11)="[Jefatura] ",N($AL34)=0),"No se encuentra en la hoja de la jefatura (elíjala de nuevo en la lista)"&amp;" · ","")&amp;IF(OR(AND($E34&lt;&gt;"",NOT(ISNUMBER($E34))),AND($F34&lt;&gt;"",NOT(ISNUMBER($F34))),AND($G34&lt;&gt;"",NOT(ISNUMBER($G34)))),"Fecha no válida"&amp;" · ","")&amp;IF(AND(ISNUMBER($AM34),ISNUMBER($AN34),$AM34&gt;$AN34),"Inicio posterior a fecha límite"&amp;" · ","")&amp;IF(AND($V34="Macro",$H34&lt;&gt;"",OR(NOT(ISNUMBER($H34)),$H34&lt;0,$H34&gt;1)),"Peso fuera de rango"&amp;" · ","")&amp;IF(AND($V34="Sub",$H34&lt;&gt;""),"Las subactividades no llevan peso (valen igual dentro de su macroactividad)"&amp;" · ","")&amp;IF(AND(N($W34)&gt;0,COUNT($I34:$L34)&gt;0),"Con subactividades: deje vacías las semanas (se calculan solas)"&amp;" · ","")&amp;IF((COUNTIF($I34:$L34,"&gt;1")+COUNTIF($I34:$L34,"&lt;0")+COUNTA($I34:$L34)-COUNT($I34:$L34))&gt;0,"Avance fuera de rango 0-100%"&amp;" · ","")&amp;IF(OR(AND($J34&lt;&gt;"",$J34&lt;$I34),AND($K34&lt;&gt;"",$K34&lt;MAX($I34:$J34)),AND($L34&lt;&gt;"",$L34&lt;MAX($I34:$K34))),"Avance semanal decreciente"&amp;" · ","")&amp;IF(AND(ISNUMBER($AN34),$AN34&lt;FechaRef,IF($V34="Sub",N($X34),N($M34))&lt;1),"Vencida"&amp;" · ","")&amp;IF(AND(ObsObligatoria="Sí",ISNUMBER($AN34),$AN34&lt;FechaRef,IF($V34="Sub",N($X34),N($M34))&lt;1,$Q34=""),"Vencida sin observación"&amp;" · ",""))="","✔ OK","⚠ "&amp;LEFT(IF($C34="","Falta el nombre de la actividad"&amp;" · ","")&amp;IF(AND($V34="Sub",N($U34)=0),"Subactividad sin macroactividad arriba"&amp;" · ","")&amp;IF($AM34="","Sin fecha de inicio"&amp;" · ","")&amp;IF($AN34="","Sin fecha límite"&amp;" · ","")&amp;IF(AND(LEFT($C34,11)="[Jefatura] ",N($AL34)=0),"No se encuentra en la hoja de la jefatura (elíjala de nuevo en la lista)"&amp;" · ","")&amp;IF(OR(AND($E34&lt;&gt;"",NOT(ISNUMBER($E34))),AND($F34&lt;&gt;"",NOT(ISNUMBER($F34))),AND($G34&lt;&gt;"",NOT(ISNUMBER($G34)))),"Fecha no válida"&amp;" · ","")&amp;IF(AND(ISNUMBER($AM34),ISNUMBER($AN34),$AM34&gt;$AN34),"Inicio posterior a fecha límite"&amp;" · ","")&amp;IF(AND($V34="Macro",$H34&lt;&gt;"",OR(NOT(ISNUMBER($H34)),$H34&lt;0,$H34&gt;1)),"Peso fuera de rango"&amp;" · ","")&amp;IF(AND($V34="Sub",$H34&lt;&gt;""),"Las subactividades no llevan peso (valen igual dentro de su macroactividad)"&amp;" · ","")&amp;IF(AND(N($W34)&gt;0,COUNT($I34:$L34)&gt;0),"Con subactividades: deje vacías las semanas (se calculan solas)"&amp;" · ","")&amp;IF((COUNTIF($I34:$L34,"&gt;1")+COUNTIF($I34:$L34,"&lt;0")+COUNTA($I34:$L34)-COUNT($I34:$L34))&gt;0,"Avance fuera de rango 0-100%"&amp;" · ","")&amp;IF(OR(AND($J34&lt;&gt;"",$J34&lt;$I34),AND($K34&lt;&gt;"",$K34&lt;MAX($I34:$J34)),AND($L34&lt;&gt;"",$L34&lt;MAX($I34:$K34))),"Avance semanal decreciente"&amp;" · ","")&amp;IF(AND(ISNUMBER($AN34),$AN34&lt;FechaRef,IF($V34="Sub",N($X34),N($M34))&lt;1),"Vencida"&amp;" · ","")&amp;IF(AND(ObsObligatoria="Sí",ISNUMBER($AN34),$AN34&lt;FechaRef,IF($V34="Sub",N($X34),N($M34))&lt;1,$Q34=""),"Vencida sin observación"&amp;" · ",""),LEN(IF($C34="","Falta el nombre de la actividad"&amp;" · ","")&amp;IF(AND($V34="Sub",N($U34)=0),"Subactividad sin macroactividad arriba"&amp;" · ","")&amp;IF($AM34="","Sin fecha de inicio"&amp;" · ","")&amp;IF($AN34="","Sin fecha límite"&amp;" · ","")&amp;IF(AND(LEFT($C34,11)="[Jefatura] ",N($AL34)=0),"No se encuentra en la hoja de la jefatura (elíjala de nuevo en la lista)"&amp;" · ","")&amp;IF(OR(AND($E34&lt;&gt;"",NOT(ISNUMBER($E34))),AND($F34&lt;&gt;"",NOT(ISNUMBER($F34))),AND($G34&lt;&gt;"",NOT(ISNUMBER($G34)))),"Fecha no válida"&amp;" · ","")&amp;IF(AND(ISNUMBER($AM34),ISNUMBER($AN34),$AM34&gt;$AN34),"Inicio posterior a fecha límite"&amp;" · ","")&amp;IF(AND($V34="Macro",$H34&lt;&gt;"",OR(NOT(ISNUMBER($H34)),$H34&lt;0,$H34&gt;1)),"Peso fuera de rango"&amp;" · ","")&amp;IF(AND($V34="Sub",$H34&lt;&gt;""),"Las subactividades no llevan peso (valen igual dentro de su macroactividad)"&amp;" · ","")&amp;IF(AND(N($W34)&gt;0,COUNT($I34:$L34)&gt;0),"Con subactividades: deje vacías las semanas (se calculan solas)"&amp;" · ","")&amp;IF((COUNTIF($I34:$L34,"&gt;1")+COUNTIF($I34:$L34,"&lt;0")+COUNTA($I34:$L34)-COUNT($I34:$L34))&gt;0,"Avance fuera de rango 0-100%"&amp;" · ","")&amp;IF(OR(AND($J34&lt;&gt;"",$J34&lt;$I34),AND($K34&lt;&gt;"",$K34&lt;MAX($I34:$J34)),AND($L34&lt;&gt;"",$L34&lt;MAX($I34:$K34))),"Avance semanal decreciente"&amp;" · ","")&amp;IF(AND(ISNUMBER($AN34),$AN34&lt;FechaRef,IF($V34="Sub",N($X34),N($M34))&lt;1),"Vencida"&amp;" · ","")&amp;IF(AND(ObsObligatoria="Sí",ISNUMBER($AN34),$AN34&lt;FechaRef,IF($V34="Sub",N($X34),N($M34))&lt;1,$Q34=""),"Vencida sin observación"&amp;" · ",""))-3)))</f>
        <v/>
      </c>
      <c r="S34" s="64">
        <f>IF(NOT((COUNTA($B34:$D34)+COUNTA($G34:$L34)+COUNTA($Q34))&gt;0),"",IF(AND($V34="Sub",N($U34)&gt;0),IF(ISNUMBER(INDEX($AM$5:$AM$1000,$U34-4)),DATE(YEAR(INDEX($AM$5:$AM$1000,$U34-4)),MONTH(INDEX($AM$5:$AM$1000,$U34-4)),1),IF(ISNUMBER(INDEX($AN$5:$AN$1000,$U34-4)),DATE(YEAR(INDEX($AN$5:$AN$1000,$U34-4)),MONTH(INDEX($AN$5:$AN$1000,$U34-4)),1),MesCiclo)),IF(ISNUMBER($AM34),DATE(YEAR($AM34),MONTH($AM34),1),IF(ISNUMBER($AN34),DATE(YEAR($AN34),MONTH($AN34),1),MesCiclo))))</f>
        <v/>
      </c>
      <c r="T34" s="62">
        <f>IF(OR($S34="",$S34&lt;&gt;MesCiclo,$V34&lt;&gt;"Macro"),"",COUNTIFS($S$5:$S34,MesCiclo,$V$5:$V34,"Macro"))</f>
        <v/>
      </c>
      <c r="U34" s="62">
        <f>IF($V34="","",IF($V34="Macro",ROW(),IFERROR(LOOKUP(2,1/($V$5:$V34="Macro"),ROW($V$5:$V34)),0)))</f>
        <v/>
      </c>
      <c r="V34" s="62">
        <f>IF(NOT((COUNTA($B34:$D34)+COUNTA($G34:$L34)+COUNTA($Q34))&gt;0),"",IF($B34="Subactividad","Sub","Macro"))</f>
        <v/>
      </c>
      <c r="W34" s="62">
        <f>IF($V34="Macro",COUNTIFS($U$5:$U$1000,ROW(),$V$5:$V$1000,"Sub"),"")</f>
        <v/>
      </c>
      <c r="X34" s="62">
        <f>IF($V34="","",IF(ISNUMBER($G34),1,IFERROR(LOOKUP(2,1/($I34:$L34&lt;&gt;""),$I34:$L34),0)))</f>
        <v/>
      </c>
      <c r="Y34" s="62">
        <f>IF($V34="","",IF(AND(ISNUMBER($G34),$G34&lt;=IF($S34=MesCiclo,InicioCiclo,$S34+MOD(2-WEEKDAY($S34),7))+6),1,IF(ISNUMBER($I34),$I34,0)))</f>
        <v/>
      </c>
      <c r="Z34" s="62">
        <f>IF($V34="","",IF(AND(ISNUMBER($G34),$G34&lt;=IF($S34=MesCiclo,InicioCiclo,$S34+MOD(2-WEEKDAY($S34),7))+13),1,IF(ISNUMBER($J34),$J34,$Y34)))</f>
        <v/>
      </c>
      <c r="AA34" s="62">
        <f>IF($V34="","",IF(AND(ISNUMBER($G34),$G34&lt;=IF($S34=MesCiclo,InicioCiclo,$S34+MOD(2-WEEKDAY($S34),7))+20),1,IF(ISNUMBER($K34),$K34,$Z34)))</f>
        <v/>
      </c>
      <c r="AB34" s="62">
        <f>IF($V34="","",IF(AND(ISNUMBER($G34),$G34&lt;=IF($S34=MesCiclo,InicioCiclo,$S34+MOD(2-WEEKDAY($S34),7))+27),1,IF(ISNUMBER($L34),$L34,$AA34)))</f>
        <v/>
      </c>
      <c r="AC34" s="62">
        <f>IF($V34="","",IF(AND(ISNUMBER($G34),$G34&lt;=IF($S34=MesCiclo,InicioCiclo,$S34+MOD(2-WEEKDAY($S34),7))+6),1,IF(N($W34)&gt;0,AVERAGEIFS($Y$5:$Y$1000,$U$5:$U$1000,ROW(),$V$5:$V$1000,"Sub"),$Y34)))</f>
        <v/>
      </c>
      <c r="AD34" s="62">
        <f>IF($V34="","",IF(AND(ISNUMBER($G34),$G34&lt;=IF($S34=MesCiclo,InicioCiclo,$S34+MOD(2-WEEKDAY($S34),7))+13),1,IF(N($W34)&gt;0,AVERAGEIFS($Z$5:$Z$1000,$U$5:$U$1000,ROW(),$V$5:$V$1000,"Sub"),$Z34)))</f>
        <v/>
      </c>
      <c r="AE34" s="62">
        <f>IF($V34="","",IF(AND(ISNUMBER($G34),$G34&lt;=IF($S34=MesCiclo,InicioCiclo,$S34+MOD(2-WEEKDAY($S34),7))+20),1,IF(N($W34)&gt;0,AVERAGEIFS($AA$5:$AA$1000,$U$5:$U$1000,ROW(),$V$5:$V$1000,"Sub"),$AA34)))</f>
        <v/>
      </c>
      <c r="AF34" s="62">
        <f>IF($V34="","",IF(AND(ISNUMBER($G34),$G34&lt;=IF($S34=MesCiclo,InicioCiclo,$S34+MOD(2-WEEKDAY($S34),7))+27),1,IF(N($W34)&gt;0,AVERAGEIFS($AB$5:$AB$1000,$U$5:$U$1000,ROW(),$V$5:$V$1000,"Sub"),$AB34)))</f>
        <v/>
      </c>
      <c r="AG34" s="62">
        <f>IF($V34&lt;&gt;"Macro","",IF(COUNTIFS($S$5:$S$1000,$S34,$V$5:$V$1000,"Macro",$H$5:$H$1000,"&gt;0")=0,1/COUNTIFS($S$5:$S$1000,$S34,$V$5:$V$1000,"Macro"),IF(AND(ISNUMBER($H34),N($H34)&gt;0),$H34,SUMIFS($H$5:$H$1000,$S$5:$S$1000,$S34,$V$5:$V$1000,"Macro")/COUNTIFS($S$5:$S$1000,$S34,$V$5:$V$1000,"Macro",$H$5:$H$1000,"&gt;0"))/(COUNTIFS($S$5:$S$1000,$S34,$V$5:$V$1000,"Macro")*SUMIFS($H$5:$H$1000,$S$5:$S$1000,$S34,$V$5:$V$1000,"Macro")/COUNTIFS($S$5:$S$1000,$S34,$V$5:$V$1000,"Macro",$H$5:$H$1000,"&gt;0"))))</f>
        <v/>
      </c>
      <c r="AH34" s="62" t="n"/>
      <c r="AI34" s="62" t="n"/>
      <c r="AJ34" s="62" t="n"/>
      <c r="AK34" s="62" t="n"/>
      <c r="AL34" s="62">
        <f>IF(LEFT($C34,11)="[Jefatura] ",IFERROR(MATCH("Asistente Técnico de Riesgo|"&amp;MID($C34,12,500),rDname_ADM,0),0),"")</f>
        <v/>
      </c>
      <c r="AM34" s="62">
        <f>IF(N($AL34)&gt;0,INDEX(rIni_ADM,$AL34),IF(ISNUMBER($E34),$E34,""))</f>
        <v/>
      </c>
      <c r="AN34" s="62">
        <f>IF(N($AL34)&gt;0,INDEX(rLim_ADM,$AL34),IF(ISNUMBER($F34),$F34,""))</f>
        <v/>
      </c>
    </row>
    <row r="35">
      <c r="A35" s="56">
        <f>IF(NOT((COUNTA($B35:$D35)+COUNTA($G35:$L35)+COUNTA($Q35))&gt;0),"",IF($V35="Macro",COUNTIFS($V$5:$V35,"Macro",$S$5:$S35,$S35),IF(N($U35)=0,"?",COUNTIFS(INDEX($V$5:$V$1000,1):INDEX($V$5:$V$1000,$U35-4),"Macro",INDEX($S$5:$S$1000,1):INDEX($S$5:$S$1000,$U35-4),INDEX($S$5:$S$1000,$U35-4))&amp;"."&amp;COUNTIFS($U$5:$U35,$U35,$V$5:$V35,"Sub"))))</f>
        <v/>
      </c>
      <c r="B35" s="57" t="n"/>
      <c r="C35" s="58" t="n"/>
      <c r="D35" s="58" t="n"/>
      <c r="E35" s="59">
        <f>IF(N($AL35)&gt;0,INDEX(rIni_ADM,$AL35),"")</f>
        <v/>
      </c>
      <c r="F35" s="59">
        <f>IF(N($AL35)&gt;0,INDEX(rLim_ADM,$AL35),"")</f>
        <v/>
      </c>
      <c r="G35" s="59" t="n"/>
      <c r="H35" s="60" t="n"/>
      <c r="I35" s="60" t="n"/>
      <c r="J35" s="60" t="n"/>
      <c r="K35" s="60" t="n"/>
      <c r="L35" s="60" t="n"/>
      <c r="M35" s="61">
        <f>IF(NOT((COUNTA($B35:$D35)+COUNTA($G35:$L35)+COUNTA($Q35))&gt;0),"",IF($V35="Sub",IFERROR($X35/INDEX($W$5:$W$1000,$U35-4),""),IF(ISNUMBER($G35),1,IF(N($W35)&gt;0,AVERAGEIFS($X$5:$X$1000,$U$5:$U$1000,ROW(),$V$5:$V$1000,"Sub"),$X35))))</f>
        <v/>
      </c>
      <c r="N35" s="56">
        <f>IF(OR($M35="",$V35="Sub"),"",IF($M35&gt;=1,"Completado",IF($M35&gt;0,"En curso","Pendiente")))</f>
        <v/>
      </c>
      <c r="O35" s="56">
        <f>IF(OR(NOT((COUNTA($B35:$D35)+COUNTA($G35:$L35)+COUNTA($Q35))&gt;0),$V35="Sub"),"",IF(ISNUMBER($G35),IF(AND(ISNUMBER($AN35),$G35&gt;$AN35),"Cumplida con "&amp;($G35-$AN35)&amp;IF($G35-$AN35=1," día"," días")&amp;" de retraso","Cumplida"),IF(N($M35)&gt;=1,"Cumplida",IF(NOT(ISNUMBER($AN35)),"Sin fecha límite",IF($AN35&lt;FechaRef,"Vencida hace "&amp;(FechaRef-$AN35)&amp;IF(FechaRef-$AN35=1," día"," días"),IF($AN35=FechaRef,"Vence hoy",IF($AN35-FechaRef&lt;=DiasAlerta,"Vence en "&amp;($AN35-FechaRef)&amp;IF($AN35-FechaRef=1," día"," días"),"En plazo")))))))</f>
        <v/>
      </c>
      <c r="P35" s="62" t="n"/>
      <c r="Q35" s="58" t="n"/>
      <c r="R35" s="63">
        <f>IF(NOT((COUNTA($B35:$D35)+COUNTA($G35:$L35)+COUNTA($Q35))&gt;0),"",IF((IF($C35="","Falta el nombre de la actividad"&amp;" · ","")&amp;IF(AND($V35="Sub",N($U35)=0),"Subactividad sin macroactividad arriba"&amp;" · ","")&amp;IF($AM35="","Sin fecha de inicio"&amp;" · ","")&amp;IF($AN35="","Sin fecha límite"&amp;" · ","")&amp;IF(AND(LEFT($C35,11)="[Jefatura] ",N($AL35)=0),"No se encuentra en la hoja de la jefatura (elíjala de nuevo en la lista)"&amp;" · ","")&amp;IF(OR(AND($E35&lt;&gt;"",NOT(ISNUMBER($E35))),AND($F35&lt;&gt;"",NOT(ISNUMBER($F35))),AND($G35&lt;&gt;"",NOT(ISNUMBER($G35)))),"Fecha no válida"&amp;" · ","")&amp;IF(AND(ISNUMBER($AM35),ISNUMBER($AN35),$AM35&gt;$AN35),"Inicio posterior a fecha límite"&amp;" · ","")&amp;IF(AND($V35="Macro",$H35&lt;&gt;"",OR(NOT(ISNUMBER($H35)),$H35&lt;0,$H35&gt;1)),"Peso fuera de rango"&amp;" · ","")&amp;IF(AND($V35="Sub",$H35&lt;&gt;""),"Las subactividades no llevan peso (valen igual dentro de su macroactividad)"&amp;" · ","")&amp;IF(AND(N($W35)&gt;0,COUNT($I35:$L35)&gt;0),"Con subactividades: deje vacías las semanas (se calculan solas)"&amp;" · ","")&amp;IF((COUNTIF($I35:$L35,"&gt;1")+COUNTIF($I35:$L35,"&lt;0")+COUNTA($I35:$L35)-COUNT($I35:$L35))&gt;0,"Avance fuera de rango 0-100%"&amp;" · ","")&amp;IF(OR(AND($J35&lt;&gt;"",$J35&lt;$I35),AND($K35&lt;&gt;"",$K35&lt;MAX($I35:$J35)),AND($L35&lt;&gt;"",$L35&lt;MAX($I35:$K35))),"Avance semanal decreciente"&amp;" · ","")&amp;IF(AND(ISNUMBER($AN35),$AN35&lt;FechaRef,IF($V35="Sub",N($X35),N($M35))&lt;1),"Vencida"&amp;" · ","")&amp;IF(AND(ObsObligatoria="Sí",ISNUMBER($AN35),$AN35&lt;FechaRef,IF($V35="Sub",N($X35),N($M35))&lt;1,$Q35=""),"Vencida sin observación"&amp;" · ",""))="","✔ OK","⚠ "&amp;LEFT(IF($C35="","Falta el nombre de la actividad"&amp;" · ","")&amp;IF(AND($V35="Sub",N($U35)=0),"Subactividad sin macroactividad arriba"&amp;" · ","")&amp;IF($AM35="","Sin fecha de inicio"&amp;" · ","")&amp;IF($AN35="","Sin fecha límite"&amp;" · ","")&amp;IF(AND(LEFT($C35,11)="[Jefatura] ",N($AL35)=0),"No se encuentra en la hoja de la jefatura (elíjala de nuevo en la lista)"&amp;" · ","")&amp;IF(OR(AND($E35&lt;&gt;"",NOT(ISNUMBER($E35))),AND($F35&lt;&gt;"",NOT(ISNUMBER($F35))),AND($G35&lt;&gt;"",NOT(ISNUMBER($G35)))),"Fecha no válida"&amp;" · ","")&amp;IF(AND(ISNUMBER($AM35),ISNUMBER($AN35),$AM35&gt;$AN35),"Inicio posterior a fecha límite"&amp;" · ","")&amp;IF(AND($V35="Macro",$H35&lt;&gt;"",OR(NOT(ISNUMBER($H35)),$H35&lt;0,$H35&gt;1)),"Peso fuera de rango"&amp;" · ","")&amp;IF(AND($V35="Sub",$H35&lt;&gt;""),"Las subactividades no llevan peso (valen igual dentro de su macroactividad)"&amp;" · ","")&amp;IF(AND(N($W35)&gt;0,COUNT($I35:$L35)&gt;0),"Con subactividades: deje vacías las semanas (se calculan solas)"&amp;" · ","")&amp;IF((COUNTIF($I35:$L35,"&gt;1")+COUNTIF($I35:$L35,"&lt;0")+COUNTA($I35:$L35)-COUNT($I35:$L35))&gt;0,"Avance fuera de rango 0-100%"&amp;" · ","")&amp;IF(OR(AND($J35&lt;&gt;"",$J35&lt;$I35),AND($K35&lt;&gt;"",$K35&lt;MAX($I35:$J35)),AND($L35&lt;&gt;"",$L35&lt;MAX($I35:$K35))),"Avance semanal decreciente"&amp;" · ","")&amp;IF(AND(ISNUMBER($AN35),$AN35&lt;FechaRef,IF($V35="Sub",N($X35),N($M35))&lt;1),"Vencida"&amp;" · ","")&amp;IF(AND(ObsObligatoria="Sí",ISNUMBER($AN35),$AN35&lt;FechaRef,IF($V35="Sub",N($X35),N($M35))&lt;1,$Q35=""),"Vencida sin observación"&amp;" · ",""),LEN(IF($C35="","Falta el nombre de la actividad"&amp;" · ","")&amp;IF(AND($V35="Sub",N($U35)=0),"Subactividad sin macroactividad arriba"&amp;" · ","")&amp;IF($AM35="","Sin fecha de inicio"&amp;" · ","")&amp;IF($AN35="","Sin fecha límite"&amp;" · ","")&amp;IF(AND(LEFT($C35,11)="[Jefatura] ",N($AL35)=0),"No se encuentra en la hoja de la jefatura (elíjala de nuevo en la lista)"&amp;" · ","")&amp;IF(OR(AND($E35&lt;&gt;"",NOT(ISNUMBER($E35))),AND($F35&lt;&gt;"",NOT(ISNUMBER($F35))),AND($G35&lt;&gt;"",NOT(ISNUMBER($G35)))),"Fecha no válida"&amp;" · ","")&amp;IF(AND(ISNUMBER($AM35),ISNUMBER($AN35),$AM35&gt;$AN35),"Inicio posterior a fecha límite"&amp;" · ","")&amp;IF(AND($V35="Macro",$H35&lt;&gt;"",OR(NOT(ISNUMBER($H35)),$H35&lt;0,$H35&gt;1)),"Peso fuera de rango"&amp;" · ","")&amp;IF(AND($V35="Sub",$H35&lt;&gt;""),"Las subactividades no llevan peso (valen igual dentro de su macroactividad)"&amp;" · ","")&amp;IF(AND(N($W35)&gt;0,COUNT($I35:$L35)&gt;0),"Con subactividades: deje vacías las semanas (se calculan solas)"&amp;" · ","")&amp;IF((COUNTIF($I35:$L35,"&gt;1")+COUNTIF($I35:$L35,"&lt;0")+COUNTA($I35:$L35)-COUNT($I35:$L35))&gt;0,"Avance fuera de rango 0-100%"&amp;" · ","")&amp;IF(OR(AND($J35&lt;&gt;"",$J35&lt;$I35),AND($K35&lt;&gt;"",$K35&lt;MAX($I35:$J35)),AND($L35&lt;&gt;"",$L35&lt;MAX($I35:$K35))),"Avance semanal decreciente"&amp;" · ","")&amp;IF(AND(ISNUMBER($AN35),$AN35&lt;FechaRef,IF($V35="Sub",N($X35),N($M35))&lt;1),"Vencida"&amp;" · ","")&amp;IF(AND(ObsObligatoria="Sí",ISNUMBER($AN35),$AN35&lt;FechaRef,IF($V35="Sub",N($X35),N($M35))&lt;1,$Q35=""),"Vencida sin observación"&amp;" · ",""))-3)))</f>
        <v/>
      </c>
      <c r="S35" s="64">
        <f>IF(NOT((COUNTA($B35:$D35)+COUNTA($G35:$L35)+COUNTA($Q35))&gt;0),"",IF(AND($V35="Sub",N($U35)&gt;0),IF(ISNUMBER(INDEX($AM$5:$AM$1000,$U35-4)),DATE(YEAR(INDEX($AM$5:$AM$1000,$U35-4)),MONTH(INDEX($AM$5:$AM$1000,$U35-4)),1),IF(ISNUMBER(INDEX($AN$5:$AN$1000,$U35-4)),DATE(YEAR(INDEX($AN$5:$AN$1000,$U35-4)),MONTH(INDEX($AN$5:$AN$1000,$U35-4)),1),MesCiclo)),IF(ISNUMBER($AM35),DATE(YEAR($AM35),MONTH($AM35),1),IF(ISNUMBER($AN35),DATE(YEAR($AN35),MONTH($AN35),1),MesCiclo))))</f>
        <v/>
      </c>
      <c r="T35" s="62">
        <f>IF(OR($S35="",$S35&lt;&gt;MesCiclo,$V35&lt;&gt;"Macro"),"",COUNTIFS($S$5:$S35,MesCiclo,$V$5:$V35,"Macro"))</f>
        <v/>
      </c>
      <c r="U35" s="62">
        <f>IF($V35="","",IF($V35="Macro",ROW(),IFERROR(LOOKUP(2,1/($V$5:$V35="Macro"),ROW($V$5:$V35)),0)))</f>
        <v/>
      </c>
      <c r="V35" s="62">
        <f>IF(NOT((COUNTA($B35:$D35)+COUNTA($G35:$L35)+COUNTA($Q35))&gt;0),"",IF($B35="Subactividad","Sub","Macro"))</f>
        <v/>
      </c>
      <c r="W35" s="62">
        <f>IF($V35="Macro",COUNTIFS($U$5:$U$1000,ROW(),$V$5:$V$1000,"Sub"),"")</f>
        <v/>
      </c>
      <c r="X35" s="62">
        <f>IF($V35="","",IF(ISNUMBER($G35),1,IFERROR(LOOKUP(2,1/($I35:$L35&lt;&gt;""),$I35:$L35),0)))</f>
        <v/>
      </c>
      <c r="Y35" s="62">
        <f>IF($V35="","",IF(AND(ISNUMBER($G35),$G35&lt;=IF($S35=MesCiclo,InicioCiclo,$S35+MOD(2-WEEKDAY($S35),7))+6),1,IF(ISNUMBER($I35),$I35,0)))</f>
        <v/>
      </c>
      <c r="Z35" s="62">
        <f>IF($V35="","",IF(AND(ISNUMBER($G35),$G35&lt;=IF($S35=MesCiclo,InicioCiclo,$S35+MOD(2-WEEKDAY($S35),7))+13),1,IF(ISNUMBER($J35),$J35,$Y35)))</f>
        <v/>
      </c>
      <c r="AA35" s="62">
        <f>IF($V35="","",IF(AND(ISNUMBER($G35),$G35&lt;=IF($S35=MesCiclo,InicioCiclo,$S35+MOD(2-WEEKDAY($S35),7))+20),1,IF(ISNUMBER($K35),$K35,$Z35)))</f>
        <v/>
      </c>
      <c r="AB35" s="62">
        <f>IF($V35="","",IF(AND(ISNUMBER($G35),$G35&lt;=IF($S35=MesCiclo,InicioCiclo,$S35+MOD(2-WEEKDAY($S35),7))+27),1,IF(ISNUMBER($L35),$L35,$AA35)))</f>
        <v/>
      </c>
      <c r="AC35" s="62">
        <f>IF($V35="","",IF(AND(ISNUMBER($G35),$G35&lt;=IF($S35=MesCiclo,InicioCiclo,$S35+MOD(2-WEEKDAY($S35),7))+6),1,IF(N($W35)&gt;0,AVERAGEIFS($Y$5:$Y$1000,$U$5:$U$1000,ROW(),$V$5:$V$1000,"Sub"),$Y35)))</f>
        <v/>
      </c>
      <c r="AD35" s="62">
        <f>IF($V35="","",IF(AND(ISNUMBER($G35),$G35&lt;=IF($S35=MesCiclo,InicioCiclo,$S35+MOD(2-WEEKDAY($S35),7))+13),1,IF(N($W35)&gt;0,AVERAGEIFS($Z$5:$Z$1000,$U$5:$U$1000,ROW(),$V$5:$V$1000,"Sub"),$Z35)))</f>
        <v/>
      </c>
      <c r="AE35" s="62">
        <f>IF($V35="","",IF(AND(ISNUMBER($G35),$G35&lt;=IF($S35=MesCiclo,InicioCiclo,$S35+MOD(2-WEEKDAY($S35),7))+20),1,IF(N($W35)&gt;0,AVERAGEIFS($AA$5:$AA$1000,$U$5:$U$1000,ROW(),$V$5:$V$1000,"Sub"),$AA35)))</f>
        <v/>
      </c>
      <c r="AF35" s="62">
        <f>IF($V35="","",IF(AND(ISNUMBER($G35),$G35&lt;=IF($S35=MesCiclo,InicioCiclo,$S35+MOD(2-WEEKDAY($S35),7))+27),1,IF(N($W35)&gt;0,AVERAGEIFS($AB$5:$AB$1000,$U$5:$U$1000,ROW(),$V$5:$V$1000,"Sub"),$AB35)))</f>
        <v/>
      </c>
      <c r="AG35" s="62">
        <f>IF($V35&lt;&gt;"Macro","",IF(COUNTIFS($S$5:$S$1000,$S35,$V$5:$V$1000,"Macro",$H$5:$H$1000,"&gt;0")=0,1/COUNTIFS($S$5:$S$1000,$S35,$V$5:$V$1000,"Macro"),IF(AND(ISNUMBER($H35),N($H35)&gt;0),$H35,SUMIFS($H$5:$H$1000,$S$5:$S$1000,$S35,$V$5:$V$1000,"Macro")/COUNTIFS($S$5:$S$1000,$S35,$V$5:$V$1000,"Macro",$H$5:$H$1000,"&gt;0"))/(COUNTIFS($S$5:$S$1000,$S35,$V$5:$V$1000,"Macro")*SUMIFS($H$5:$H$1000,$S$5:$S$1000,$S35,$V$5:$V$1000,"Macro")/COUNTIFS($S$5:$S$1000,$S35,$V$5:$V$1000,"Macro",$H$5:$H$1000,"&gt;0"))))</f>
        <v/>
      </c>
      <c r="AH35" s="62" t="n"/>
      <c r="AI35" s="62" t="n"/>
      <c r="AJ35" s="62" t="n"/>
      <c r="AK35" s="62" t="n"/>
      <c r="AL35" s="62">
        <f>IF(LEFT($C35,11)="[Jefatura] ",IFERROR(MATCH("Asistente Técnico de Riesgo|"&amp;MID($C35,12,500),rDname_ADM,0),0),"")</f>
        <v/>
      </c>
      <c r="AM35" s="62">
        <f>IF(N($AL35)&gt;0,INDEX(rIni_ADM,$AL35),IF(ISNUMBER($E35),$E35,""))</f>
        <v/>
      </c>
      <c r="AN35" s="62">
        <f>IF(N($AL35)&gt;0,INDEX(rLim_ADM,$AL35),IF(ISNUMBER($F35),$F35,""))</f>
        <v/>
      </c>
    </row>
    <row r="36">
      <c r="A36" s="56">
        <f>IF(NOT((COUNTA($B36:$D36)+COUNTA($G36:$L36)+COUNTA($Q36))&gt;0),"",IF($V36="Macro",COUNTIFS($V$5:$V36,"Macro",$S$5:$S36,$S36),IF(N($U36)=0,"?",COUNTIFS(INDEX($V$5:$V$1000,1):INDEX($V$5:$V$1000,$U36-4),"Macro",INDEX($S$5:$S$1000,1):INDEX($S$5:$S$1000,$U36-4),INDEX($S$5:$S$1000,$U36-4))&amp;"."&amp;COUNTIFS($U$5:$U36,$U36,$V$5:$V36,"Sub"))))</f>
        <v/>
      </c>
      <c r="B36" s="57" t="n"/>
      <c r="C36" s="58" t="n"/>
      <c r="D36" s="58" t="n"/>
      <c r="E36" s="59">
        <f>IF(N($AL36)&gt;0,INDEX(rIni_ADM,$AL36),"")</f>
        <v/>
      </c>
      <c r="F36" s="59">
        <f>IF(N($AL36)&gt;0,INDEX(rLim_ADM,$AL36),"")</f>
        <v/>
      </c>
      <c r="G36" s="59" t="n"/>
      <c r="H36" s="60" t="n"/>
      <c r="I36" s="60" t="n"/>
      <c r="J36" s="60" t="n"/>
      <c r="K36" s="60" t="n"/>
      <c r="L36" s="60" t="n"/>
      <c r="M36" s="61">
        <f>IF(NOT((COUNTA($B36:$D36)+COUNTA($G36:$L36)+COUNTA($Q36))&gt;0),"",IF($V36="Sub",IFERROR($X36/INDEX($W$5:$W$1000,$U36-4),""),IF(ISNUMBER($G36),1,IF(N($W36)&gt;0,AVERAGEIFS($X$5:$X$1000,$U$5:$U$1000,ROW(),$V$5:$V$1000,"Sub"),$X36))))</f>
        <v/>
      </c>
      <c r="N36" s="56">
        <f>IF(OR($M36="",$V36="Sub"),"",IF($M36&gt;=1,"Completado",IF($M36&gt;0,"En curso","Pendiente")))</f>
        <v/>
      </c>
      <c r="O36" s="56">
        <f>IF(OR(NOT((COUNTA($B36:$D36)+COUNTA($G36:$L36)+COUNTA($Q36))&gt;0),$V36="Sub"),"",IF(ISNUMBER($G36),IF(AND(ISNUMBER($AN36),$G36&gt;$AN36),"Cumplida con "&amp;($G36-$AN36)&amp;IF($G36-$AN36=1," día"," días")&amp;" de retraso","Cumplida"),IF(N($M36)&gt;=1,"Cumplida",IF(NOT(ISNUMBER($AN36)),"Sin fecha límite",IF($AN36&lt;FechaRef,"Vencida hace "&amp;(FechaRef-$AN36)&amp;IF(FechaRef-$AN36=1," día"," días"),IF($AN36=FechaRef,"Vence hoy",IF($AN36-FechaRef&lt;=DiasAlerta,"Vence en "&amp;($AN36-FechaRef)&amp;IF($AN36-FechaRef=1," día"," días"),"En plazo")))))))</f>
        <v/>
      </c>
      <c r="P36" s="62" t="n"/>
      <c r="Q36" s="58" t="n"/>
      <c r="R36" s="63">
        <f>IF(NOT((COUNTA($B36:$D36)+COUNTA($G36:$L36)+COUNTA($Q36))&gt;0),"",IF((IF($C36="","Falta el nombre de la actividad"&amp;" · ","")&amp;IF(AND($V36="Sub",N($U36)=0),"Subactividad sin macroactividad arriba"&amp;" · ","")&amp;IF($AM36="","Sin fecha de inicio"&amp;" · ","")&amp;IF($AN36="","Sin fecha límite"&amp;" · ","")&amp;IF(AND(LEFT($C36,11)="[Jefatura] ",N($AL36)=0),"No se encuentra en la hoja de la jefatura (elíjala de nuevo en la lista)"&amp;" · ","")&amp;IF(OR(AND($E36&lt;&gt;"",NOT(ISNUMBER($E36))),AND($F36&lt;&gt;"",NOT(ISNUMBER($F36))),AND($G36&lt;&gt;"",NOT(ISNUMBER($G36)))),"Fecha no válida"&amp;" · ","")&amp;IF(AND(ISNUMBER($AM36),ISNUMBER($AN36),$AM36&gt;$AN36),"Inicio posterior a fecha límite"&amp;" · ","")&amp;IF(AND($V36="Macro",$H36&lt;&gt;"",OR(NOT(ISNUMBER($H36)),$H36&lt;0,$H36&gt;1)),"Peso fuera de rango"&amp;" · ","")&amp;IF(AND($V36="Sub",$H36&lt;&gt;""),"Las subactividades no llevan peso (valen igual dentro de su macroactividad)"&amp;" · ","")&amp;IF(AND(N($W36)&gt;0,COUNT($I36:$L36)&gt;0),"Con subactividades: deje vacías las semanas (se calculan solas)"&amp;" · ","")&amp;IF((COUNTIF($I36:$L36,"&gt;1")+COUNTIF($I36:$L36,"&lt;0")+COUNTA($I36:$L36)-COUNT($I36:$L36))&gt;0,"Avance fuera de rango 0-100%"&amp;" · ","")&amp;IF(OR(AND($J36&lt;&gt;"",$J36&lt;$I36),AND($K36&lt;&gt;"",$K36&lt;MAX($I36:$J36)),AND($L36&lt;&gt;"",$L36&lt;MAX($I36:$K36))),"Avance semanal decreciente"&amp;" · ","")&amp;IF(AND(ISNUMBER($AN36),$AN36&lt;FechaRef,IF($V36="Sub",N($X36),N($M36))&lt;1),"Vencida"&amp;" · ","")&amp;IF(AND(ObsObligatoria="Sí",ISNUMBER($AN36),$AN36&lt;FechaRef,IF($V36="Sub",N($X36),N($M36))&lt;1,$Q36=""),"Vencida sin observación"&amp;" · ",""))="","✔ OK","⚠ "&amp;LEFT(IF($C36="","Falta el nombre de la actividad"&amp;" · ","")&amp;IF(AND($V36="Sub",N($U36)=0),"Subactividad sin macroactividad arriba"&amp;" · ","")&amp;IF($AM36="","Sin fecha de inicio"&amp;" · ","")&amp;IF($AN36="","Sin fecha límite"&amp;" · ","")&amp;IF(AND(LEFT($C36,11)="[Jefatura] ",N($AL36)=0),"No se encuentra en la hoja de la jefatura (elíjala de nuevo en la lista)"&amp;" · ","")&amp;IF(OR(AND($E36&lt;&gt;"",NOT(ISNUMBER($E36))),AND($F36&lt;&gt;"",NOT(ISNUMBER($F36))),AND($G36&lt;&gt;"",NOT(ISNUMBER($G36)))),"Fecha no válida"&amp;" · ","")&amp;IF(AND(ISNUMBER($AM36),ISNUMBER($AN36),$AM36&gt;$AN36),"Inicio posterior a fecha límite"&amp;" · ","")&amp;IF(AND($V36="Macro",$H36&lt;&gt;"",OR(NOT(ISNUMBER($H36)),$H36&lt;0,$H36&gt;1)),"Peso fuera de rango"&amp;" · ","")&amp;IF(AND($V36="Sub",$H36&lt;&gt;""),"Las subactividades no llevan peso (valen igual dentro de su macroactividad)"&amp;" · ","")&amp;IF(AND(N($W36)&gt;0,COUNT($I36:$L36)&gt;0),"Con subactividades: deje vacías las semanas (se calculan solas)"&amp;" · ","")&amp;IF((COUNTIF($I36:$L36,"&gt;1")+COUNTIF($I36:$L36,"&lt;0")+COUNTA($I36:$L36)-COUNT($I36:$L36))&gt;0,"Avance fuera de rango 0-100%"&amp;" · ","")&amp;IF(OR(AND($J36&lt;&gt;"",$J36&lt;$I36),AND($K36&lt;&gt;"",$K36&lt;MAX($I36:$J36)),AND($L36&lt;&gt;"",$L36&lt;MAX($I36:$K36))),"Avance semanal decreciente"&amp;" · ","")&amp;IF(AND(ISNUMBER($AN36),$AN36&lt;FechaRef,IF($V36="Sub",N($X36),N($M36))&lt;1),"Vencida"&amp;" · ","")&amp;IF(AND(ObsObligatoria="Sí",ISNUMBER($AN36),$AN36&lt;FechaRef,IF($V36="Sub",N($X36),N($M36))&lt;1,$Q36=""),"Vencida sin observación"&amp;" · ",""),LEN(IF($C36="","Falta el nombre de la actividad"&amp;" · ","")&amp;IF(AND($V36="Sub",N($U36)=0),"Subactividad sin macroactividad arriba"&amp;" · ","")&amp;IF($AM36="","Sin fecha de inicio"&amp;" · ","")&amp;IF($AN36="","Sin fecha límite"&amp;" · ","")&amp;IF(AND(LEFT($C36,11)="[Jefatura] ",N($AL36)=0),"No se encuentra en la hoja de la jefatura (elíjala de nuevo en la lista)"&amp;" · ","")&amp;IF(OR(AND($E36&lt;&gt;"",NOT(ISNUMBER($E36))),AND($F36&lt;&gt;"",NOT(ISNUMBER($F36))),AND($G36&lt;&gt;"",NOT(ISNUMBER($G36)))),"Fecha no válida"&amp;" · ","")&amp;IF(AND(ISNUMBER($AM36),ISNUMBER($AN36),$AM36&gt;$AN36),"Inicio posterior a fecha límite"&amp;" · ","")&amp;IF(AND($V36="Macro",$H36&lt;&gt;"",OR(NOT(ISNUMBER($H36)),$H36&lt;0,$H36&gt;1)),"Peso fuera de rango"&amp;" · ","")&amp;IF(AND($V36="Sub",$H36&lt;&gt;""),"Las subactividades no llevan peso (valen igual dentro de su macroactividad)"&amp;" · ","")&amp;IF(AND(N($W36)&gt;0,COUNT($I36:$L36)&gt;0),"Con subactividades: deje vacías las semanas (se calculan solas)"&amp;" · ","")&amp;IF((COUNTIF($I36:$L36,"&gt;1")+COUNTIF($I36:$L36,"&lt;0")+COUNTA($I36:$L36)-COUNT($I36:$L36))&gt;0,"Avance fuera de rango 0-100%"&amp;" · ","")&amp;IF(OR(AND($J36&lt;&gt;"",$J36&lt;$I36),AND($K36&lt;&gt;"",$K36&lt;MAX($I36:$J36)),AND($L36&lt;&gt;"",$L36&lt;MAX($I36:$K36))),"Avance semanal decreciente"&amp;" · ","")&amp;IF(AND(ISNUMBER($AN36),$AN36&lt;FechaRef,IF($V36="Sub",N($X36),N($M36))&lt;1),"Vencida"&amp;" · ","")&amp;IF(AND(ObsObligatoria="Sí",ISNUMBER($AN36),$AN36&lt;FechaRef,IF($V36="Sub",N($X36),N($M36))&lt;1,$Q36=""),"Vencida sin observación"&amp;" · ",""))-3)))</f>
        <v/>
      </c>
      <c r="S36" s="64">
        <f>IF(NOT((COUNTA($B36:$D36)+COUNTA($G36:$L36)+COUNTA($Q36))&gt;0),"",IF(AND($V36="Sub",N($U36)&gt;0),IF(ISNUMBER(INDEX($AM$5:$AM$1000,$U36-4)),DATE(YEAR(INDEX($AM$5:$AM$1000,$U36-4)),MONTH(INDEX($AM$5:$AM$1000,$U36-4)),1),IF(ISNUMBER(INDEX($AN$5:$AN$1000,$U36-4)),DATE(YEAR(INDEX($AN$5:$AN$1000,$U36-4)),MONTH(INDEX($AN$5:$AN$1000,$U36-4)),1),MesCiclo)),IF(ISNUMBER($AM36),DATE(YEAR($AM36),MONTH($AM36),1),IF(ISNUMBER($AN36),DATE(YEAR($AN36),MONTH($AN36),1),MesCiclo))))</f>
        <v/>
      </c>
      <c r="T36" s="62">
        <f>IF(OR($S36="",$S36&lt;&gt;MesCiclo,$V36&lt;&gt;"Macro"),"",COUNTIFS($S$5:$S36,MesCiclo,$V$5:$V36,"Macro"))</f>
        <v/>
      </c>
      <c r="U36" s="62">
        <f>IF($V36="","",IF($V36="Macro",ROW(),IFERROR(LOOKUP(2,1/($V$5:$V36="Macro"),ROW($V$5:$V36)),0)))</f>
        <v/>
      </c>
      <c r="V36" s="62">
        <f>IF(NOT((COUNTA($B36:$D36)+COUNTA($G36:$L36)+COUNTA($Q36))&gt;0),"",IF($B36="Subactividad","Sub","Macro"))</f>
        <v/>
      </c>
      <c r="W36" s="62">
        <f>IF($V36="Macro",COUNTIFS($U$5:$U$1000,ROW(),$V$5:$V$1000,"Sub"),"")</f>
        <v/>
      </c>
      <c r="X36" s="62">
        <f>IF($V36="","",IF(ISNUMBER($G36),1,IFERROR(LOOKUP(2,1/($I36:$L36&lt;&gt;""),$I36:$L36),0)))</f>
        <v/>
      </c>
      <c r="Y36" s="62">
        <f>IF($V36="","",IF(AND(ISNUMBER($G36),$G36&lt;=IF($S36=MesCiclo,InicioCiclo,$S36+MOD(2-WEEKDAY($S36),7))+6),1,IF(ISNUMBER($I36),$I36,0)))</f>
        <v/>
      </c>
      <c r="Z36" s="62">
        <f>IF($V36="","",IF(AND(ISNUMBER($G36),$G36&lt;=IF($S36=MesCiclo,InicioCiclo,$S36+MOD(2-WEEKDAY($S36),7))+13),1,IF(ISNUMBER($J36),$J36,$Y36)))</f>
        <v/>
      </c>
      <c r="AA36" s="62">
        <f>IF($V36="","",IF(AND(ISNUMBER($G36),$G36&lt;=IF($S36=MesCiclo,InicioCiclo,$S36+MOD(2-WEEKDAY($S36),7))+20),1,IF(ISNUMBER($K36),$K36,$Z36)))</f>
        <v/>
      </c>
      <c r="AB36" s="62">
        <f>IF($V36="","",IF(AND(ISNUMBER($G36),$G36&lt;=IF($S36=MesCiclo,InicioCiclo,$S36+MOD(2-WEEKDAY($S36),7))+27),1,IF(ISNUMBER($L36),$L36,$AA36)))</f>
        <v/>
      </c>
      <c r="AC36" s="62">
        <f>IF($V36="","",IF(AND(ISNUMBER($G36),$G36&lt;=IF($S36=MesCiclo,InicioCiclo,$S36+MOD(2-WEEKDAY($S36),7))+6),1,IF(N($W36)&gt;0,AVERAGEIFS($Y$5:$Y$1000,$U$5:$U$1000,ROW(),$V$5:$V$1000,"Sub"),$Y36)))</f>
        <v/>
      </c>
      <c r="AD36" s="62">
        <f>IF($V36="","",IF(AND(ISNUMBER($G36),$G36&lt;=IF($S36=MesCiclo,InicioCiclo,$S36+MOD(2-WEEKDAY($S36),7))+13),1,IF(N($W36)&gt;0,AVERAGEIFS($Z$5:$Z$1000,$U$5:$U$1000,ROW(),$V$5:$V$1000,"Sub"),$Z36)))</f>
        <v/>
      </c>
      <c r="AE36" s="62">
        <f>IF($V36="","",IF(AND(ISNUMBER($G36),$G36&lt;=IF($S36=MesCiclo,InicioCiclo,$S36+MOD(2-WEEKDAY($S36),7))+20),1,IF(N($W36)&gt;0,AVERAGEIFS($AA$5:$AA$1000,$U$5:$U$1000,ROW(),$V$5:$V$1000,"Sub"),$AA36)))</f>
        <v/>
      </c>
      <c r="AF36" s="62">
        <f>IF($V36="","",IF(AND(ISNUMBER($G36),$G36&lt;=IF($S36=MesCiclo,InicioCiclo,$S36+MOD(2-WEEKDAY($S36),7))+27),1,IF(N($W36)&gt;0,AVERAGEIFS($AB$5:$AB$1000,$U$5:$U$1000,ROW(),$V$5:$V$1000,"Sub"),$AB36)))</f>
        <v/>
      </c>
      <c r="AG36" s="62">
        <f>IF($V36&lt;&gt;"Macro","",IF(COUNTIFS($S$5:$S$1000,$S36,$V$5:$V$1000,"Macro",$H$5:$H$1000,"&gt;0")=0,1/COUNTIFS($S$5:$S$1000,$S36,$V$5:$V$1000,"Macro"),IF(AND(ISNUMBER($H36),N($H36)&gt;0),$H36,SUMIFS($H$5:$H$1000,$S$5:$S$1000,$S36,$V$5:$V$1000,"Macro")/COUNTIFS($S$5:$S$1000,$S36,$V$5:$V$1000,"Macro",$H$5:$H$1000,"&gt;0"))/(COUNTIFS($S$5:$S$1000,$S36,$V$5:$V$1000,"Macro")*SUMIFS($H$5:$H$1000,$S$5:$S$1000,$S36,$V$5:$V$1000,"Macro")/COUNTIFS($S$5:$S$1000,$S36,$V$5:$V$1000,"Macro",$H$5:$H$1000,"&gt;0"))))</f>
        <v/>
      </c>
      <c r="AH36" s="62" t="n"/>
      <c r="AI36" s="62" t="n"/>
      <c r="AJ36" s="62" t="n"/>
      <c r="AK36" s="62" t="n"/>
      <c r="AL36" s="62">
        <f>IF(LEFT($C36,11)="[Jefatura] ",IFERROR(MATCH("Asistente Técnico de Riesgo|"&amp;MID($C36,12,500),rDname_ADM,0),0),"")</f>
        <v/>
      </c>
      <c r="AM36" s="62">
        <f>IF(N($AL36)&gt;0,INDEX(rIni_ADM,$AL36),IF(ISNUMBER($E36),$E36,""))</f>
        <v/>
      </c>
      <c r="AN36" s="62">
        <f>IF(N($AL36)&gt;0,INDEX(rLim_ADM,$AL36),IF(ISNUMBER($F36),$F36,""))</f>
        <v/>
      </c>
    </row>
    <row r="37">
      <c r="A37" s="56">
        <f>IF(NOT((COUNTA($B37:$D37)+COUNTA($G37:$L37)+COUNTA($Q37))&gt;0),"",IF($V37="Macro",COUNTIFS($V$5:$V37,"Macro",$S$5:$S37,$S37),IF(N($U37)=0,"?",COUNTIFS(INDEX($V$5:$V$1000,1):INDEX($V$5:$V$1000,$U37-4),"Macro",INDEX($S$5:$S$1000,1):INDEX($S$5:$S$1000,$U37-4),INDEX($S$5:$S$1000,$U37-4))&amp;"."&amp;COUNTIFS($U$5:$U37,$U37,$V$5:$V37,"Sub"))))</f>
        <v/>
      </c>
      <c r="B37" s="57" t="n"/>
      <c r="C37" s="58" t="n"/>
      <c r="D37" s="58" t="n"/>
      <c r="E37" s="59">
        <f>IF(N($AL37)&gt;0,INDEX(rIni_ADM,$AL37),"")</f>
        <v/>
      </c>
      <c r="F37" s="59">
        <f>IF(N($AL37)&gt;0,INDEX(rLim_ADM,$AL37),"")</f>
        <v/>
      </c>
      <c r="G37" s="59" t="n"/>
      <c r="H37" s="60" t="n"/>
      <c r="I37" s="60" t="n"/>
      <c r="J37" s="60" t="n"/>
      <c r="K37" s="60" t="n"/>
      <c r="L37" s="60" t="n"/>
      <c r="M37" s="61">
        <f>IF(NOT((COUNTA($B37:$D37)+COUNTA($G37:$L37)+COUNTA($Q37))&gt;0),"",IF($V37="Sub",IFERROR($X37/INDEX($W$5:$W$1000,$U37-4),""),IF(ISNUMBER($G37),1,IF(N($W37)&gt;0,AVERAGEIFS($X$5:$X$1000,$U$5:$U$1000,ROW(),$V$5:$V$1000,"Sub"),$X37))))</f>
        <v/>
      </c>
      <c r="N37" s="56">
        <f>IF(OR($M37="",$V37="Sub"),"",IF($M37&gt;=1,"Completado",IF($M37&gt;0,"En curso","Pendiente")))</f>
        <v/>
      </c>
      <c r="O37" s="56">
        <f>IF(OR(NOT((COUNTA($B37:$D37)+COUNTA($G37:$L37)+COUNTA($Q37))&gt;0),$V37="Sub"),"",IF(ISNUMBER($G37),IF(AND(ISNUMBER($AN37),$G37&gt;$AN37),"Cumplida con "&amp;($G37-$AN37)&amp;IF($G37-$AN37=1," día"," días")&amp;" de retraso","Cumplida"),IF(N($M37)&gt;=1,"Cumplida",IF(NOT(ISNUMBER($AN37)),"Sin fecha límite",IF($AN37&lt;FechaRef,"Vencida hace "&amp;(FechaRef-$AN37)&amp;IF(FechaRef-$AN37=1," día"," días"),IF($AN37=FechaRef,"Vence hoy",IF($AN37-FechaRef&lt;=DiasAlerta,"Vence en "&amp;($AN37-FechaRef)&amp;IF($AN37-FechaRef=1," día"," días"),"En plazo")))))))</f>
        <v/>
      </c>
      <c r="P37" s="62" t="n"/>
      <c r="Q37" s="58" t="n"/>
      <c r="R37" s="63">
        <f>IF(NOT((COUNTA($B37:$D37)+COUNTA($G37:$L37)+COUNTA($Q37))&gt;0),"",IF((IF($C37="","Falta el nombre de la actividad"&amp;" · ","")&amp;IF(AND($V37="Sub",N($U37)=0),"Subactividad sin macroactividad arriba"&amp;" · ","")&amp;IF($AM37="","Sin fecha de inicio"&amp;" · ","")&amp;IF($AN37="","Sin fecha límite"&amp;" · ","")&amp;IF(AND(LEFT($C37,11)="[Jefatura] ",N($AL37)=0),"No se encuentra en la hoja de la jefatura (elíjala de nuevo en la lista)"&amp;" · ","")&amp;IF(OR(AND($E37&lt;&gt;"",NOT(ISNUMBER($E37))),AND($F37&lt;&gt;"",NOT(ISNUMBER($F37))),AND($G37&lt;&gt;"",NOT(ISNUMBER($G37)))),"Fecha no válida"&amp;" · ","")&amp;IF(AND(ISNUMBER($AM37),ISNUMBER($AN37),$AM37&gt;$AN37),"Inicio posterior a fecha límite"&amp;" · ","")&amp;IF(AND($V37="Macro",$H37&lt;&gt;"",OR(NOT(ISNUMBER($H37)),$H37&lt;0,$H37&gt;1)),"Peso fuera de rango"&amp;" · ","")&amp;IF(AND($V37="Sub",$H37&lt;&gt;""),"Las subactividades no llevan peso (valen igual dentro de su macroactividad)"&amp;" · ","")&amp;IF(AND(N($W37)&gt;0,COUNT($I37:$L37)&gt;0),"Con subactividades: deje vacías las semanas (se calculan solas)"&amp;" · ","")&amp;IF((COUNTIF($I37:$L37,"&gt;1")+COUNTIF($I37:$L37,"&lt;0")+COUNTA($I37:$L37)-COUNT($I37:$L37))&gt;0,"Avance fuera de rango 0-100%"&amp;" · ","")&amp;IF(OR(AND($J37&lt;&gt;"",$J37&lt;$I37),AND($K37&lt;&gt;"",$K37&lt;MAX($I37:$J37)),AND($L37&lt;&gt;"",$L37&lt;MAX($I37:$K37))),"Avance semanal decreciente"&amp;" · ","")&amp;IF(AND(ISNUMBER($AN37),$AN37&lt;FechaRef,IF($V37="Sub",N($X37),N($M37))&lt;1),"Vencida"&amp;" · ","")&amp;IF(AND(ObsObligatoria="Sí",ISNUMBER($AN37),$AN37&lt;FechaRef,IF($V37="Sub",N($X37),N($M37))&lt;1,$Q37=""),"Vencida sin observación"&amp;" · ",""))="","✔ OK","⚠ "&amp;LEFT(IF($C37="","Falta el nombre de la actividad"&amp;" · ","")&amp;IF(AND($V37="Sub",N($U37)=0),"Subactividad sin macroactividad arriba"&amp;" · ","")&amp;IF($AM37="","Sin fecha de inicio"&amp;" · ","")&amp;IF($AN37="","Sin fecha límite"&amp;" · ","")&amp;IF(AND(LEFT($C37,11)="[Jefatura] ",N($AL37)=0),"No se encuentra en la hoja de la jefatura (elíjala de nuevo en la lista)"&amp;" · ","")&amp;IF(OR(AND($E37&lt;&gt;"",NOT(ISNUMBER($E37))),AND($F37&lt;&gt;"",NOT(ISNUMBER($F37))),AND($G37&lt;&gt;"",NOT(ISNUMBER($G37)))),"Fecha no válida"&amp;" · ","")&amp;IF(AND(ISNUMBER($AM37),ISNUMBER($AN37),$AM37&gt;$AN37),"Inicio posterior a fecha límite"&amp;" · ","")&amp;IF(AND($V37="Macro",$H37&lt;&gt;"",OR(NOT(ISNUMBER($H37)),$H37&lt;0,$H37&gt;1)),"Peso fuera de rango"&amp;" · ","")&amp;IF(AND($V37="Sub",$H37&lt;&gt;""),"Las subactividades no llevan peso (valen igual dentro de su macroactividad)"&amp;" · ","")&amp;IF(AND(N($W37)&gt;0,COUNT($I37:$L37)&gt;0),"Con subactividades: deje vacías las semanas (se calculan solas)"&amp;" · ","")&amp;IF((COUNTIF($I37:$L37,"&gt;1")+COUNTIF($I37:$L37,"&lt;0")+COUNTA($I37:$L37)-COUNT($I37:$L37))&gt;0,"Avance fuera de rango 0-100%"&amp;" · ","")&amp;IF(OR(AND($J37&lt;&gt;"",$J37&lt;$I37),AND($K37&lt;&gt;"",$K37&lt;MAX($I37:$J37)),AND($L37&lt;&gt;"",$L37&lt;MAX($I37:$K37))),"Avance semanal decreciente"&amp;" · ","")&amp;IF(AND(ISNUMBER($AN37),$AN37&lt;FechaRef,IF($V37="Sub",N($X37),N($M37))&lt;1),"Vencida"&amp;" · ","")&amp;IF(AND(ObsObligatoria="Sí",ISNUMBER($AN37),$AN37&lt;FechaRef,IF($V37="Sub",N($X37),N($M37))&lt;1,$Q37=""),"Vencida sin observación"&amp;" · ",""),LEN(IF($C37="","Falta el nombre de la actividad"&amp;" · ","")&amp;IF(AND($V37="Sub",N($U37)=0),"Subactividad sin macroactividad arriba"&amp;" · ","")&amp;IF($AM37="","Sin fecha de inicio"&amp;" · ","")&amp;IF($AN37="","Sin fecha límite"&amp;" · ","")&amp;IF(AND(LEFT($C37,11)="[Jefatura] ",N($AL37)=0),"No se encuentra en la hoja de la jefatura (elíjala de nuevo en la lista)"&amp;" · ","")&amp;IF(OR(AND($E37&lt;&gt;"",NOT(ISNUMBER($E37))),AND($F37&lt;&gt;"",NOT(ISNUMBER($F37))),AND($G37&lt;&gt;"",NOT(ISNUMBER($G37)))),"Fecha no válida"&amp;" · ","")&amp;IF(AND(ISNUMBER($AM37),ISNUMBER($AN37),$AM37&gt;$AN37),"Inicio posterior a fecha límite"&amp;" · ","")&amp;IF(AND($V37="Macro",$H37&lt;&gt;"",OR(NOT(ISNUMBER($H37)),$H37&lt;0,$H37&gt;1)),"Peso fuera de rango"&amp;" · ","")&amp;IF(AND($V37="Sub",$H37&lt;&gt;""),"Las subactividades no llevan peso (valen igual dentro de su macroactividad)"&amp;" · ","")&amp;IF(AND(N($W37)&gt;0,COUNT($I37:$L37)&gt;0),"Con subactividades: deje vacías las semanas (se calculan solas)"&amp;" · ","")&amp;IF((COUNTIF($I37:$L37,"&gt;1")+COUNTIF($I37:$L37,"&lt;0")+COUNTA($I37:$L37)-COUNT($I37:$L37))&gt;0,"Avance fuera de rango 0-100%"&amp;" · ","")&amp;IF(OR(AND($J37&lt;&gt;"",$J37&lt;$I37),AND($K37&lt;&gt;"",$K37&lt;MAX($I37:$J37)),AND($L37&lt;&gt;"",$L37&lt;MAX($I37:$K37))),"Avance semanal decreciente"&amp;" · ","")&amp;IF(AND(ISNUMBER($AN37),$AN37&lt;FechaRef,IF($V37="Sub",N($X37),N($M37))&lt;1),"Vencida"&amp;" · ","")&amp;IF(AND(ObsObligatoria="Sí",ISNUMBER($AN37),$AN37&lt;FechaRef,IF($V37="Sub",N($X37),N($M37))&lt;1,$Q37=""),"Vencida sin observación"&amp;" · ",""))-3)))</f>
        <v/>
      </c>
      <c r="S37" s="64">
        <f>IF(NOT((COUNTA($B37:$D37)+COUNTA($G37:$L37)+COUNTA($Q37))&gt;0),"",IF(AND($V37="Sub",N($U37)&gt;0),IF(ISNUMBER(INDEX($AM$5:$AM$1000,$U37-4)),DATE(YEAR(INDEX($AM$5:$AM$1000,$U37-4)),MONTH(INDEX($AM$5:$AM$1000,$U37-4)),1),IF(ISNUMBER(INDEX($AN$5:$AN$1000,$U37-4)),DATE(YEAR(INDEX($AN$5:$AN$1000,$U37-4)),MONTH(INDEX($AN$5:$AN$1000,$U37-4)),1),MesCiclo)),IF(ISNUMBER($AM37),DATE(YEAR($AM37),MONTH($AM37),1),IF(ISNUMBER($AN37),DATE(YEAR($AN37),MONTH($AN37),1),MesCiclo))))</f>
        <v/>
      </c>
      <c r="T37" s="62">
        <f>IF(OR($S37="",$S37&lt;&gt;MesCiclo,$V37&lt;&gt;"Macro"),"",COUNTIFS($S$5:$S37,MesCiclo,$V$5:$V37,"Macro"))</f>
        <v/>
      </c>
      <c r="U37" s="62">
        <f>IF($V37="","",IF($V37="Macro",ROW(),IFERROR(LOOKUP(2,1/($V$5:$V37="Macro"),ROW($V$5:$V37)),0)))</f>
        <v/>
      </c>
      <c r="V37" s="62">
        <f>IF(NOT((COUNTA($B37:$D37)+COUNTA($G37:$L37)+COUNTA($Q37))&gt;0),"",IF($B37="Subactividad","Sub","Macro"))</f>
        <v/>
      </c>
      <c r="W37" s="62">
        <f>IF($V37="Macro",COUNTIFS($U$5:$U$1000,ROW(),$V$5:$V$1000,"Sub"),"")</f>
        <v/>
      </c>
      <c r="X37" s="62">
        <f>IF($V37="","",IF(ISNUMBER($G37),1,IFERROR(LOOKUP(2,1/($I37:$L37&lt;&gt;""),$I37:$L37),0)))</f>
        <v/>
      </c>
      <c r="Y37" s="62">
        <f>IF($V37="","",IF(AND(ISNUMBER($G37),$G37&lt;=IF($S37=MesCiclo,InicioCiclo,$S37+MOD(2-WEEKDAY($S37),7))+6),1,IF(ISNUMBER($I37),$I37,0)))</f>
        <v/>
      </c>
      <c r="Z37" s="62">
        <f>IF($V37="","",IF(AND(ISNUMBER($G37),$G37&lt;=IF($S37=MesCiclo,InicioCiclo,$S37+MOD(2-WEEKDAY($S37),7))+13),1,IF(ISNUMBER($J37),$J37,$Y37)))</f>
        <v/>
      </c>
      <c r="AA37" s="62">
        <f>IF($V37="","",IF(AND(ISNUMBER($G37),$G37&lt;=IF($S37=MesCiclo,InicioCiclo,$S37+MOD(2-WEEKDAY($S37),7))+20),1,IF(ISNUMBER($K37),$K37,$Z37)))</f>
        <v/>
      </c>
      <c r="AB37" s="62">
        <f>IF($V37="","",IF(AND(ISNUMBER($G37),$G37&lt;=IF($S37=MesCiclo,InicioCiclo,$S37+MOD(2-WEEKDAY($S37),7))+27),1,IF(ISNUMBER($L37),$L37,$AA37)))</f>
        <v/>
      </c>
      <c r="AC37" s="62">
        <f>IF($V37="","",IF(AND(ISNUMBER($G37),$G37&lt;=IF($S37=MesCiclo,InicioCiclo,$S37+MOD(2-WEEKDAY($S37),7))+6),1,IF(N($W37)&gt;0,AVERAGEIFS($Y$5:$Y$1000,$U$5:$U$1000,ROW(),$V$5:$V$1000,"Sub"),$Y37)))</f>
        <v/>
      </c>
      <c r="AD37" s="62">
        <f>IF($V37="","",IF(AND(ISNUMBER($G37),$G37&lt;=IF($S37=MesCiclo,InicioCiclo,$S37+MOD(2-WEEKDAY($S37),7))+13),1,IF(N($W37)&gt;0,AVERAGEIFS($Z$5:$Z$1000,$U$5:$U$1000,ROW(),$V$5:$V$1000,"Sub"),$Z37)))</f>
        <v/>
      </c>
      <c r="AE37" s="62">
        <f>IF($V37="","",IF(AND(ISNUMBER($G37),$G37&lt;=IF($S37=MesCiclo,InicioCiclo,$S37+MOD(2-WEEKDAY($S37),7))+20),1,IF(N($W37)&gt;0,AVERAGEIFS($AA$5:$AA$1000,$U$5:$U$1000,ROW(),$V$5:$V$1000,"Sub"),$AA37)))</f>
        <v/>
      </c>
      <c r="AF37" s="62">
        <f>IF($V37="","",IF(AND(ISNUMBER($G37),$G37&lt;=IF($S37=MesCiclo,InicioCiclo,$S37+MOD(2-WEEKDAY($S37),7))+27),1,IF(N($W37)&gt;0,AVERAGEIFS($AB$5:$AB$1000,$U$5:$U$1000,ROW(),$V$5:$V$1000,"Sub"),$AB37)))</f>
        <v/>
      </c>
      <c r="AG37" s="62">
        <f>IF($V37&lt;&gt;"Macro","",IF(COUNTIFS($S$5:$S$1000,$S37,$V$5:$V$1000,"Macro",$H$5:$H$1000,"&gt;0")=0,1/COUNTIFS($S$5:$S$1000,$S37,$V$5:$V$1000,"Macro"),IF(AND(ISNUMBER($H37),N($H37)&gt;0),$H37,SUMIFS($H$5:$H$1000,$S$5:$S$1000,$S37,$V$5:$V$1000,"Macro")/COUNTIFS($S$5:$S$1000,$S37,$V$5:$V$1000,"Macro",$H$5:$H$1000,"&gt;0"))/(COUNTIFS($S$5:$S$1000,$S37,$V$5:$V$1000,"Macro")*SUMIFS($H$5:$H$1000,$S$5:$S$1000,$S37,$V$5:$V$1000,"Macro")/COUNTIFS($S$5:$S$1000,$S37,$V$5:$V$1000,"Macro",$H$5:$H$1000,"&gt;0"))))</f>
        <v/>
      </c>
      <c r="AH37" s="62" t="n"/>
      <c r="AI37" s="62" t="n"/>
      <c r="AJ37" s="62" t="n"/>
      <c r="AK37" s="62" t="n"/>
      <c r="AL37" s="62">
        <f>IF(LEFT($C37,11)="[Jefatura] ",IFERROR(MATCH("Asistente Técnico de Riesgo|"&amp;MID($C37,12,500),rDname_ADM,0),0),"")</f>
        <v/>
      </c>
      <c r="AM37" s="62">
        <f>IF(N($AL37)&gt;0,INDEX(rIni_ADM,$AL37),IF(ISNUMBER($E37),$E37,""))</f>
        <v/>
      </c>
      <c r="AN37" s="62">
        <f>IF(N($AL37)&gt;0,INDEX(rLim_ADM,$AL37),IF(ISNUMBER($F37),$F37,""))</f>
        <v/>
      </c>
    </row>
    <row r="38">
      <c r="A38" s="56">
        <f>IF(NOT((COUNTA($B38:$D38)+COUNTA($G38:$L38)+COUNTA($Q38))&gt;0),"",IF($V38="Macro",COUNTIFS($V$5:$V38,"Macro",$S$5:$S38,$S38),IF(N($U38)=0,"?",COUNTIFS(INDEX($V$5:$V$1000,1):INDEX($V$5:$V$1000,$U38-4),"Macro",INDEX($S$5:$S$1000,1):INDEX($S$5:$S$1000,$U38-4),INDEX($S$5:$S$1000,$U38-4))&amp;"."&amp;COUNTIFS($U$5:$U38,$U38,$V$5:$V38,"Sub"))))</f>
        <v/>
      </c>
      <c r="B38" s="57" t="n"/>
      <c r="C38" s="58" t="n"/>
      <c r="D38" s="58" t="n"/>
      <c r="E38" s="59">
        <f>IF(N($AL38)&gt;0,INDEX(rIni_ADM,$AL38),"")</f>
        <v/>
      </c>
      <c r="F38" s="59">
        <f>IF(N($AL38)&gt;0,INDEX(rLim_ADM,$AL38),"")</f>
        <v/>
      </c>
      <c r="G38" s="59" t="n"/>
      <c r="H38" s="60" t="n"/>
      <c r="I38" s="60" t="n"/>
      <c r="J38" s="60" t="n"/>
      <c r="K38" s="60" t="n"/>
      <c r="L38" s="60" t="n"/>
      <c r="M38" s="61">
        <f>IF(NOT((COUNTA($B38:$D38)+COUNTA($G38:$L38)+COUNTA($Q38))&gt;0),"",IF($V38="Sub",IFERROR($X38/INDEX($W$5:$W$1000,$U38-4),""),IF(ISNUMBER($G38),1,IF(N($W38)&gt;0,AVERAGEIFS($X$5:$X$1000,$U$5:$U$1000,ROW(),$V$5:$V$1000,"Sub"),$X38))))</f>
        <v/>
      </c>
      <c r="N38" s="56">
        <f>IF(OR($M38="",$V38="Sub"),"",IF($M38&gt;=1,"Completado",IF($M38&gt;0,"En curso","Pendiente")))</f>
        <v/>
      </c>
      <c r="O38" s="56">
        <f>IF(OR(NOT((COUNTA($B38:$D38)+COUNTA($G38:$L38)+COUNTA($Q38))&gt;0),$V38="Sub"),"",IF(ISNUMBER($G38),IF(AND(ISNUMBER($AN38),$G38&gt;$AN38),"Cumplida con "&amp;($G38-$AN38)&amp;IF($G38-$AN38=1," día"," días")&amp;" de retraso","Cumplida"),IF(N($M38)&gt;=1,"Cumplida",IF(NOT(ISNUMBER($AN38)),"Sin fecha límite",IF($AN38&lt;FechaRef,"Vencida hace "&amp;(FechaRef-$AN38)&amp;IF(FechaRef-$AN38=1," día"," días"),IF($AN38=FechaRef,"Vence hoy",IF($AN38-FechaRef&lt;=DiasAlerta,"Vence en "&amp;($AN38-FechaRef)&amp;IF($AN38-FechaRef=1," día"," días"),"En plazo")))))))</f>
        <v/>
      </c>
      <c r="P38" s="62" t="n"/>
      <c r="Q38" s="58" t="n"/>
      <c r="R38" s="63">
        <f>IF(NOT((COUNTA($B38:$D38)+COUNTA($G38:$L38)+COUNTA($Q38))&gt;0),"",IF((IF($C38="","Falta el nombre de la actividad"&amp;" · ","")&amp;IF(AND($V38="Sub",N($U38)=0),"Subactividad sin macroactividad arriba"&amp;" · ","")&amp;IF($AM38="","Sin fecha de inicio"&amp;" · ","")&amp;IF($AN38="","Sin fecha límite"&amp;" · ","")&amp;IF(AND(LEFT($C38,11)="[Jefatura] ",N($AL38)=0),"No se encuentra en la hoja de la jefatura (elíjala de nuevo en la lista)"&amp;" · ","")&amp;IF(OR(AND($E38&lt;&gt;"",NOT(ISNUMBER($E38))),AND($F38&lt;&gt;"",NOT(ISNUMBER($F38))),AND($G38&lt;&gt;"",NOT(ISNUMBER($G38)))),"Fecha no válida"&amp;" · ","")&amp;IF(AND(ISNUMBER($AM38),ISNUMBER($AN38),$AM38&gt;$AN38),"Inicio posterior a fecha límite"&amp;" · ","")&amp;IF(AND($V38="Macro",$H38&lt;&gt;"",OR(NOT(ISNUMBER($H38)),$H38&lt;0,$H38&gt;1)),"Peso fuera de rango"&amp;" · ","")&amp;IF(AND($V38="Sub",$H38&lt;&gt;""),"Las subactividades no llevan peso (valen igual dentro de su macroactividad)"&amp;" · ","")&amp;IF(AND(N($W38)&gt;0,COUNT($I38:$L38)&gt;0),"Con subactividades: deje vacías las semanas (se calculan solas)"&amp;" · ","")&amp;IF((COUNTIF($I38:$L38,"&gt;1")+COUNTIF($I38:$L38,"&lt;0")+COUNTA($I38:$L38)-COUNT($I38:$L38))&gt;0,"Avance fuera de rango 0-100%"&amp;" · ","")&amp;IF(OR(AND($J38&lt;&gt;"",$J38&lt;$I38),AND($K38&lt;&gt;"",$K38&lt;MAX($I38:$J38)),AND($L38&lt;&gt;"",$L38&lt;MAX($I38:$K38))),"Avance semanal decreciente"&amp;" · ","")&amp;IF(AND(ISNUMBER($AN38),$AN38&lt;FechaRef,IF($V38="Sub",N($X38),N($M38))&lt;1),"Vencida"&amp;" · ","")&amp;IF(AND(ObsObligatoria="Sí",ISNUMBER($AN38),$AN38&lt;FechaRef,IF($V38="Sub",N($X38),N($M38))&lt;1,$Q38=""),"Vencida sin observación"&amp;" · ",""))="","✔ OK","⚠ "&amp;LEFT(IF($C38="","Falta el nombre de la actividad"&amp;" · ","")&amp;IF(AND($V38="Sub",N($U38)=0),"Subactividad sin macroactividad arriba"&amp;" · ","")&amp;IF($AM38="","Sin fecha de inicio"&amp;" · ","")&amp;IF($AN38="","Sin fecha límite"&amp;" · ","")&amp;IF(AND(LEFT($C38,11)="[Jefatura] ",N($AL38)=0),"No se encuentra en la hoja de la jefatura (elíjala de nuevo en la lista)"&amp;" · ","")&amp;IF(OR(AND($E38&lt;&gt;"",NOT(ISNUMBER($E38))),AND($F38&lt;&gt;"",NOT(ISNUMBER($F38))),AND($G38&lt;&gt;"",NOT(ISNUMBER($G38)))),"Fecha no válida"&amp;" · ","")&amp;IF(AND(ISNUMBER($AM38),ISNUMBER($AN38),$AM38&gt;$AN38),"Inicio posterior a fecha límite"&amp;" · ","")&amp;IF(AND($V38="Macro",$H38&lt;&gt;"",OR(NOT(ISNUMBER($H38)),$H38&lt;0,$H38&gt;1)),"Peso fuera de rango"&amp;" · ","")&amp;IF(AND($V38="Sub",$H38&lt;&gt;""),"Las subactividades no llevan peso (valen igual dentro de su macroactividad)"&amp;" · ","")&amp;IF(AND(N($W38)&gt;0,COUNT($I38:$L38)&gt;0),"Con subactividades: deje vacías las semanas (se calculan solas)"&amp;" · ","")&amp;IF((COUNTIF($I38:$L38,"&gt;1")+COUNTIF($I38:$L38,"&lt;0")+COUNTA($I38:$L38)-COUNT($I38:$L38))&gt;0,"Avance fuera de rango 0-100%"&amp;" · ","")&amp;IF(OR(AND($J38&lt;&gt;"",$J38&lt;$I38),AND($K38&lt;&gt;"",$K38&lt;MAX($I38:$J38)),AND($L38&lt;&gt;"",$L38&lt;MAX($I38:$K38))),"Avance semanal decreciente"&amp;" · ","")&amp;IF(AND(ISNUMBER($AN38),$AN38&lt;FechaRef,IF($V38="Sub",N($X38),N($M38))&lt;1),"Vencida"&amp;" · ","")&amp;IF(AND(ObsObligatoria="Sí",ISNUMBER($AN38),$AN38&lt;FechaRef,IF($V38="Sub",N($X38),N($M38))&lt;1,$Q38=""),"Vencida sin observación"&amp;" · ",""),LEN(IF($C38="","Falta el nombre de la actividad"&amp;" · ","")&amp;IF(AND($V38="Sub",N($U38)=0),"Subactividad sin macroactividad arriba"&amp;" · ","")&amp;IF($AM38="","Sin fecha de inicio"&amp;" · ","")&amp;IF($AN38="","Sin fecha límite"&amp;" · ","")&amp;IF(AND(LEFT($C38,11)="[Jefatura] ",N($AL38)=0),"No se encuentra en la hoja de la jefatura (elíjala de nuevo en la lista)"&amp;" · ","")&amp;IF(OR(AND($E38&lt;&gt;"",NOT(ISNUMBER($E38))),AND($F38&lt;&gt;"",NOT(ISNUMBER($F38))),AND($G38&lt;&gt;"",NOT(ISNUMBER($G38)))),"Fecha no válida"&amp;" · ","")&amp;IF(AND(ISNUMBER($AM38),ISNUMBER($AN38),$AM38&gt;$AN38),"Inicio posterior a fecha límite"&amp;" · ","")&amp;IF(AND($V38="Macro",$H38&lt;&gt;"",OR(NOT(ISNUMBER($H38)),$H38&lt;0,$H38&gt;1)),"Peso fuera de rango"&amp;" · ","")&amp;IF(AND($V38="Sub",$H38&lt;&gt;""),"Las subactividades no llevan peso (valen igual dentro de su macroactividad)"&amp;" · ","")&amp;IF(AND(N($W38)&gt;0,COUNT($I38:$L38)&gt;0),"Con subactividades: deje vacías las semanas (se calculan solas)"&amp;" · ","")&amp;IF((COUNTIF($I38:$L38,"&gt;1")+COUNTIF($I38:$L38,"&lt;0")+COUNTA($I38:$L38)-COUNT($I38:$L38))&gt;0,"Avance fuera de rango 0-100%"&amp;" · ","")&amp;IF(OR(AND($J38&lt;&gt;"",$J38&lt;$I38),AND($K38&lt;&gt;"",$K38&lt;MAX($I38:$J38)),AND($L38&lt;&gt;"",$L38&lt;MAX($I38:$K38))),"Avance semanal decreciente"&amp;" · ","")&amp;IF(AND(ISNUMBER($AN38),$AN38&lt;FechaRef,IF($V38="Sub",N($X38),N($M38))&lt;1),"Vencida"&amp;" · ","")&amp;IF(AND(ObsObligatoria="Sí",ISNUMBER($AN38),$AN38&lt;FechaRef,IF($V38="Sub",N($X38),N($M38))&lt;1,$Q38=""),"Vencida sin observación"&amp;" · ",""))-3)))</f>
        <v/>
      </c>
      <c r="S38" s="64">
        <f>IF(NOT((COUNTA($B38:$D38)+COUNTA($G38:$L38)+COUNTA($Q38))&gt;0),"",IF(AND($V38="Sub",N($U38)&gt;0),IF(ISNUMBER(INDEX($AM$5:$AM$1000,$U38-4)),DATE(YEAR(INDEX($AM$5:$AM$1000,$U38-4)),MONTH(INDEX($AM$5:$AM$1000,$U38-4)),1),IF(ISNUMBER(INDEX($AN$5:$AN$1000,$U38-4)),DATE(YEAR(INDEX($AN$5:$AN$1000,$U38-4)),MONTH(INDEX($AN$5:$AN$1000,$U38-4)),1),MesCiclo)),IF(ISNUMBER($AM38),DATE(YEAR($AM38),MONTH($AM38),1),IF(ISNUMBER($AN38),DATE(YEAR($AN38),MONTH($AN38),1),MesCiclo))))</f>
        <v/>
      </c>
      <c r="T38" s="62">
        <f>IF(OR($S38="",$S38&lt;&gt;MesCiclo,$V38&lt;&gt;"Macro"),"",COUNTIFS($S$5:$S38,MesCiclo,$V$5:$V38,"Macro"))</f>
        <v/>
      </c>
      <c r="U38" s="62">
        <f>IF($V38="","",IF($V38="Macro",ROW(),IFERROR(LOOKUP(2,1/($V$5:$V38="Macro"),ROW($V$5:$V38)),0)))</f>
        <v/>
      </c>
      <c r="V38" s="62">
        <f>IF(NOT((COUNTA($B38:$D38)+COUNTA($G38:$L38)+COUNTA($Q38))&gt;0),"",IF($B38="Subactividad","Sub","Macro"))</f>
        <v/>
      </c>
      <c r="W38" s="62">
        <f>IF($V38="Macro",COUNTIFS($U$5:$U$1000,ROW(),$V$5:$V$1000,"Sub"),"")</f>
        <v/>
      </c>
      <c r="X38" s="62">
        <f>IF($V38="","",IF(ISNUMBER($G38),1,IFERROR(LOOKUP(2,1/($I38:$L38&lt;&gt;""),$I38:$L38),0)))</f>
        <v/>
      </c>
      <c r="Y38" s="62">
        <f>IF($V38="","",IF(AND(ISNUMBER($G38),$G38&lt;=IF($S38=MesCiclo,InicioCiclo,$S38+MOD(2-WEEKDAY($S38),7))+6),1,IF(ISNUMBER($I38),$I38,0)))</f>
        <v/>
      </c>
      <c r="Z38" s="62">
        <f>IF($V38="","",IF(AND(ISNUMBER($G38),$G38&lt;=IF($S38=MesCiclo,InicioCiclo,$S38+MOD(2-WEEKDAY($S38),7))+13),1,IF(ISNUMBER($J38),$J38,$Y38)))</f>
        <v/>
      </c>
      <c r="AA38" s="62">
        <f>IF($V38="","",IF(AND(ISNUMBER($G38),$G38&lt;=IF($S38=MesCiclo,InicioCiclo,$S38+MOD(2-WEEKDAY($S38),7))+20),1,IF(ISNUMBER($K38),$K38,$Z38)))</f>
        <v/>
      </c>
      <c r="AB38" s="62">
        <f>IF($V38="","",IF(AND(ISNUMBER($G38),$G38&lt;=IF($S38=MesCiclo,InicioCiclo,$S38+MOD(2-WEEKDAY($S38),7))+27),1,IF(ISNUMBER($L38),$L38,$AA38)))</f>
        <v/>
      </c>
      <c r="AC38" s="62">
        <f>IF($V38="","",IF(AND(ISNUMBER($G38),$G38&lt;=IF($S38=MesCiclo,InicioCiclo,$S38+MOD(2-WEEKDAY($S38),7))+6),1,IF(N($W38)&gt;0,AVERAGEIFS($Y$5:$Y$1000,$U$5:$U$1000,ROW(),$V$5:$V$1000,"Sub"),$Y38)))</f>
        <v/>
      </c>
      <c r="AD38" s="62">
        <f>IF($V38="","",IF(AND(ISNUMBER($G38),$G38&lt;=IF($S38=MesCiclo,InicioCiclo,$S38+MOD(2-WEEKDAY($S38),7))+13),1,IF(N($W38)&gt;0,AVERAGEIFS($Z$5:$Z$1000,$U$5:$U$1000,ROW(),$V$5:$V$1000,"Sub"),$Z38)))</f>
        <v/>
      </c>
      <c r="AE38" s="62">
        <f>IF($V38="","",IF(AND(ISNUMBER($G38),$G38&lt;=IF($S38=MesCiclo,InicioCiclo,$S38+MOD(2-WEEKDAY($S38),7))+20),1,IF(N($W38)&gt;0,AVERAGEIFS($AA$5:$AA$1000,$U$5:$U$1000,ROW(),$V$5:$V$1000,"Sub"),$AA38)))</f>
        <v/>
      </c>
      <c r="AF38" s="62">
        <f>IF($V38="","",IF(AND(ISNUMBER($G38),$G38&lt;=IF($S38=MesCiclo,InicioCiclo,$S38+MOD(2-WEEKDAY($S38),7))+27),1,IF(N($W38)&gt;0,AVERAGEIFS($AB$5:$AB$1000,$U$5:$U$1000,ROW(),$V$5:$V$1000,"Sub"),$AB38)))</f>
        <v/>
      </c>
      <c r="AG38" s="62">
        <f>IF($V38&lt;&gt;"Macro","",IF(COUNTIFS($S$5:$S$1000,$S38,$V$5:$V$1000,"Macro",$H$5:$H$1000,"&gt;0")=0,1/COUNTIFS($S$5:$S$1000,$S38,$V$5:$V$1000,"Macro"),IF(AND(ISNUMBER($H38),N($H38)&gt;0),$H38,SUMIFS($H$5:$H$1000,$S$5:$S$1000,$S38,$V$5:$V$1000,"Macro")/COUNTIFS($S$5:$S$1000,$S38,$V$5:$V$1000,"Macro",$H$5:$H$1000,"&gt;0"))/(COUNTIFS($S$5:$S$1000,$S38,$V$5:$V$1000,"Macro")*SUMIFS($H$5:$H$1000,$S$5:$S$1000,$S38,$V$5:$V$1000,"Macro")/COUNTIFS($S$5:$S$1000,$S38,$V$5:$V$1000,"Macro",$H$5:$H$1000,"&gt;0"))))</f>
        <v/>
      </c>
      <c r="AH38" s="62" t="n"/>
      <c r="AI38" s="62" t="n"/>
      <c r="AJ38" s="62" t="n"/>
      <c r="AK38" s="62" t="n"/>
      <c r="AL38" s="62">
        <f>IF(LEFT($C38,11)="[Jefatura] ",IFERROR(MATCH("Asistente Técnico de Riesgo|"&amp;MID($C38,12,500),rDname_ADM,0),0),"")</f>
        <v/>
      </c>
      <c r="AM38" s="62">
        <f>IF(N($AL38)&gt;0,INDEX(rIni_ADM,$AL38),IF(ISNUMBER($E38),$E38,""))</f>
        <v/>
      </c>
      <c r="AN38" s="62">
        <f>IF(N($AL38)&gt;0,INDEX(rLim_ADM,$AL38),IF(ISNUMBER($F38),$F38,""))</f>
        <v/>
      </c>
    </row>
    <row r="39">
      <c r="A39" s="56">
        <f>IF(NOT((COUNTA($B39:$D39)+COUNTA($G39:$L39)+COUNTA($Q39))&gt;0),"",IF($V39="Macro",COUNTIFS($V$5:$V39,"Macro",$S$5:$S39,$S39),IF(N($U39)=0,"?",COUNTIFS(INDEX($V$5:$V$1000,1):INDEX($V$5:$V$1000,$U39-4),"Macro",INDEX($S$5:$S$1000,1):INDEX($S$5:$S$1000,$U39-4),INDEX($S$5:$S$1000,$U39-4))&amp;"."&amp;COUNTIFS($U$5:$U39,$U39,$V$5:$V39,"Sub"))))</f>
        <v/>
      </c>
      <c r="B39" s="57" t="n"/>
      <c r="C39" s="58" t="n"/>
      <c r="D39" s="58" t="n"/>
      <c r="E39" s="59">
        <f>IF(N($AL39)&gt;0,INDEX(rIni_ADM,$AL39),"")</f>
        <v/>
      </c>
      <c r="F39" s="59">
        <f>IF(N($AL39)&gt;0,INDEX(rLim_ADM,$AL39),"")</f>
        <v/>
      </c>
      <c r="G39" s="59" t="n"/>
      <c r="H39" s="60" t="n"/>
      <c r="I39" s="60" t="n"/>
      <c r="J39" s="60" t="n"/>
      <c r="K39" s="60" t="n"/>
      <c r="L39" s="60" t="n"/>
      <c r="M39" s="61">
        <f>IF(NOT((COUNTA($B39:$D39)+COUNTA($G39:$L39)+COUNTA($Q39))&gt;0),"",IF($V39="Sub",IFERROR($X39/INDEX($W$5:$W$1000,$U39-4),""),IF(ISNUMBER($G39),1,IF(N($W39)&gt;0,AVERAGEIFS($X$5:$X$1000,$U$5:$U$1000,ROW(),$V$5:$V$1000,"Sub"),$X39))))</f>
        <v/>
      </c>
      <c r="N39" s="56">
        <f>IF(OR($M39="",$V39="Sub"),"",IF($M39&gt;=1,"Completado",IF($M39&gt;0,"En curso","Pendiente")))</f>
        <v/>
      </c>
      <c r="O39" s="56">
        <f>IF(OR(NOT((COUNTA($B39:$D39)+COUNTA($G39:$L39)+COUNTA($Q39))&gt;0),$V39="Sub"),"",IF(ISNUMBER($G39),IF(AND(ISNUMBER($AN39),$G39&gt;$AN39),"Cumplida con "&amp;($G39-$AN39)&amp;IF($G39-$AN39=1," día"," días")&amp;" de retraso","Cumplida"),IF(N($M39)&gt;=1,"Cumplida",IF(NOT(ISNUMBER($AN39)),"Sin fecha límite",IF($AN39&lt;FechaRef,"Vencida hace "&amp;(FechaRef-$AN39)&amp;IF(FechaRef-$AN39=1," día"," días"),IF($AN39=FechaRef,"Vence hoy",IF($AN39-FechaRef&lt;=DiasAlerta,"Vence en "&amp;($AN39-FechaRef)&amp;IF($AN39-FechaRef=1," día"," días"),"En plazo")))))))</f>
        <v/>
      </c>
      <c r="P39" s="62" t="n"/>
      <c r="Q39" s="58" t="n"/>
      <c r="R39" s="63">
        <f>IF(NOT((COUNTA($B39:$D39)+COUNTA($G39:$L39)+COUNTA($Q39))&gt;0),"",IF((IF($C39="","Falta el nombre de la actividad"&amp;" · ","")&amp;IF(AND($V39="Sub",N($U39)=0),"Subactividad sin macroactividad arriba"&amp;" · ","")&amp;IF($AM39="","Sin fecha de inicio"&amp;" · ","")&amp;IF($AN39="","Sin fecha límite"&amp;" · ","")&amp;IF(AND(LEFT($C39,11)="[Jefatura] ",N($AL39)=0),"No se encuentra en la hoja de la jefatura (elíjala de nuevo en la lista)"&amp;" · ","")&amp;IF(OR(AND($E39&lt;&gt;"",NOT(ISNUMBER($E39))),AND($F39&lt;&gt;"",NOT(ISNUMBER($F39))),AND($G39&lt;&gt;"",NOT(ISNUMBER($G39)))),"Fecha no válida"&amp;" · ","")&amp;IF(AND(ISNUMBER($AM39),ISNUMBER($AN39),$AM39&gt;$AN39),"Inicio posterior a fecha límite"&amp;" · ","")&amp;IF(AND($V39="Macro",$H39&lt;&gt;"",OR(NOT(ISNUMBER($H39)),$H39&lt;0,$H39&gt;1)),"Peso fuera de rango"&amp;" · ","")&amp;IF(AND($V39="Sub",$H39&lt;&gt;""),"Las subactividades no llevan peso (valen igual dentro de su macroactividad)"&amp;" · ","")&amp;IF(AND(N($W39)&gt;0,COUNT($I39:$L39)&gt;0),"Con subactividades: deje vacías las semanas (se calculan solas)"&amp;" · ","")&amp;IF((COUNTIF($I39:$L39,"&gt;1")+COUNTIF($I39:$L39,"&lt;0")+COUNTA($I39:$L39)-COUNT($I39:$L39))&gt;0,"Avance fuera de rango 0-100%"&amp;" · ","")&amp;IF(OR(AND($J39&lt;&gt;"",$J39&lt;$I39),AND($K39&lt;&gt;"",$K39&lt;MAX($I39:$J39)),AND($L39&lt;&gt;"",$L39&lt;MAX($I39:$K39))),"Avance semanal decreciente"&amp;" · ","")&amp;IF(AND(ISNUMBER($AN39),$AN39&lt;FechaRef,IF($V39="Sub",N($X39),N($M39))&lt;1),"Vencida"&amp;" · ","")&amp;IF(AND(ObsObligatoria="Sí",ISNUMBER($AN39),$AN39&lt;FechaRef,IF($V39="Sub",N($X39),N($M39))&lt;1,$Q39=""),"Vencida sin observación"&amp;" · ",""))="","✔ OK","⚠ "&amp;LEFT(IF($C39="","Falta el nombre de la actividad"&amp;" · ","")&amp;IF(AND($V39="Sub",N($U39)=0),"Subactividad sin macroactividad arriba"&amp;" · ","")&amp;IF($AM39="","Sin fecha de inicio"&amp;" · ","")&amp;IF($AN39="","Sin fecha límite"&amp;" · ","")&amp;IF(AND(LEFT($C39,11)="[Jefatura] ",N($AL39)=0),"No se encuentra en la hoja de la jefatura (elíjala de nuevo en la lista)"&amp;" · ","")&amp;IF(OR(AND($E39&lt;&gt;"",NOT(ISNUMBER($E39))),AND($F39&lt;&gt;"",NOT(ISNUMBER($F39))),AND($G39&lt;&gt;"",NOT(ISNUMBER($G39)))),"Fecha no válida"&amp;" · ","")&amp;IF(AND(ISNUMBER($AM39),ISNUMBER($AN39),$AM39&gt;$AN39),"Inicio posterior a fecha límite"&amp;" · ","")&amp;IF(AND($V39="Macro",$H39&lt;&gt;"",OR(NOT(ISNUMBER($H39)),$H39&lt;0,$H39&gt;1)),"Peso fuera de rango"&amp;" · ","")&amp;IF(AND($V39="Sub",$H39&lt;&gt;""),"Las subactividades no llevan peso (valen igual dentro de su macroactividad)"&amp;" · ","")&amp;IF(AND(N($W39)&gt;0,COUNT($I39:$L39)&gt;0),"Con subactividades: deje vacías las semanas (se calculan solas)"&amp;" · ","")&amp;IF((COUNTIF($I39:$L39,"&gt;1")+COUNTIF($I39:$L39,"&lt;0")+COUNTA($I39:$L39)-COUNT($I39:$L39))&gt;0,"Avance fuera de rango 0-100%"&amp;" · ","")&amp;IF(OR(AND($J39&lt;&gt;"",$J39&lt;$I39),AND($K39&lt;&gt;"",$K39&lt;MAX($I39:$J39)),AND($L39&lt;&gt;"",$L39&lt;MAX($I39:$K39))),"Avance semanal decreciente"&amp;" · ","")&amp;IF(AND(ISNUMBER($AN39),$AN39&lt;FechaRef,IF($V39="Sub",N($X39),N($M39))&lt;1),"Vencida"&amp;" · ","")&amp;IF(AND(ObsObligatoria="Sí",ISNUMBER($AN39),$AN39&lt;FechaRef,IF($V39="Sub",N($X39),N($M39))&lt;1,$Q39=""),"Vencida sin observación"&amp;" · ",""),LEN(IF($C39="","Falta el nombre de la actividad"&amp;" · ","")&amp;IF(AND($V39="Sub",N($U39)=0),"Subactividad sin macroactividad arriba"&amp;" · ","")&amp;IF($AM39="","Sin fecha de inicio"&amp;" · ","")&amp;IF($AN39="","Sin fecha límite"&amp;" · ","")&amp;IF(AND(LEFT($C39,11)="[Jefatura] ",N($AL39)=0),"No se encuentra en la hoja de la jefatura (elíjala de nuevo en la lista)"&amp;" · ","")&amp;IF(OR(AND($E39&lt;&gt;"",NOT(ISNUMBER($E39))),AND($F39&lt;&gt;"",NOT(ISNUMBER($F39))),AND($G39&lt;&gt;"",NOT(ISNUMBER($G39)))),"Fecha no válida"&amp;" · ","")&amp;IF(AND(ISNUMBER($AM39),ISNUMBER($AN39),$AM39&gt;$AN39),"Inicio posterior a fecha límite"&amp;" · ","")&amp;IF(AND($V39="Macro",$H39&lt;&gt;"",OR(NOT(ISNUMBER($H39)),$H39&lt;0,$H39&gt;1)),"Peso fuera de rango"&amp;" · ","")&amp;IF(AND($V39="Sub",$H39&lt;&gt;""),"Las subactividades no llevan peso (valen igual dentro de su macroactividad)"&amp;" · ","")&amp;IF(AND(N($W39)&gt;0,COUNT($I39:$L39)&gt;0),"Con subactividades: deje vacías las semanas (se calculan solas)"&amp;" · ","")&amp;IF((COUNTIF($I39:$L39,"&gt;1")+COUNTIF($I39:$L39,"&lt;0")+COUNTA($I39:$L39)-COUNT($I39:$L39))&gt;0,"Avance fuera de rango 0-100%"&amp;" · ","")&amp;IF(OR(AND($J39&lt;&gt;"",$J39&lt;$I39),AND($K39&lt;&gt;"",$K39&lt;MAX($I39:$J39)),AND($L39&lt;&gt;"",$L39&lt;MAX($I39:$K39))),"Avance semanal decreciente"&amp;" · ","")&amp;IF(AND(ISNUMBER($AN39),$AN39&lt;FechaRef,IF($V39="Sub",N($X39),N($M39))&lt;1),"Vencida"&amp;" · ","")&amp;IF(AND(ObsObligatoria="Sí",ISNUMBER($AN39),$AN39&lt;FechaRef,IF($V39="Sub",N($X39),N($M39))&lt;1,$Q39=""),"Vencida sin observación"&amp;" · ",""))-3)))</f>
        <v/>
      </c>
      <c r="S39" s="64">
        <f>IF(NOT((COUNTA($B39:$D39)+COUNTA($G39:$L39)+COUNTA($Q39))&gt;0),"",IF(AND($V39="Sub",N($U39)&gt;0),IF(ISNUMBER(INDEX($AM$5:$AM$1000,$U39-4)),DATE(YEAR(INDEX($AM$5:$AM$1000,$U39-4)),MONTH(INDEX($AM$5:$AM$1000,$U39-4)),1),IF(ISNUMBER(INDEX($AN$5:$AN$1000,$U39-4)),DATE(YEAR(INDEX($AN$5:$AN$1000,$U39-4)),MONTH(INDEX($AN$5:$AN$1000,$U39-4)),1),MesCiclo)),IF(ISNUMBER($AM39),DATE(YEAR($AM39),MONTH($AM39),1),IF(ISNUMBER($AN39),DATE(YEAR($AN39),MONTH($AN39),1),MesCiclo))))</f>
        <v/>
      </c>
      <c r="T39" s="62">
        <f>IF(OR($S39="",$S39&lt;&gt;MesCiclo,$V39&lt;&gt;"Macro"),"",COUNTIFS($S$5:$S39,MesCiclo,$V$5:$V39,"Macro"))</f>
        <v/>
      </c>
      <c r="U39" s="62">
        <f>IF($V39="","",IF($V39="Macro",ROW(),IFERROR(LOOKUP(2,1/($V$5:$V39="Macro"),ROW($V$5:$V39)),0)))</f>
        <v/>
      </c>
      <c r="V39" s="62">
        <f>IF(NOT((COUNTA($B39:$D39)+COUNTA($G39:$L39)+COUNTA($Q39))&gt;0),"",IF($B39="Subactividad","Sub","Macro"))</f>
        <v/>
      </c>
      <c r="W39" s="62">
        <f>IF($V39="Macro",COUNTIFS($U$5:$U$1000,ROW(),$V$5:$V$1000,"Sub"),"")</f>
        <v/>
      </c>
      <c r="X39" s="62">
        <f>IF($V39="","",IF(ISNUMBER($G39),1,IFERROR(LOOKUP(2,1/($I39:$L39&lt;&gt;""),$I39:$L39),0)))</f>
        <v/>
      </c>
      <c r="Y39" s="62">
        <f>IF($V39="","",IF(AND(ISNUMBER($G39),$G39&lt;=IF($S39=MesCiclo,InicioCiclo,$S39+MOD(2-WEEKDAY($S39),7))+6),1,IF(ISNUMBER($I39),$I39,0)))</f>
        <v/>
      </c>
      <c r="Z39" s="62">
        <f>IF($V39="","",IF(AND(ISNUMBER($G39),$G39&lt;=IF($S39=MesCiclo,InicioCiclo,$S39+MOD(2-WEEKDAY($S39),7))+13),1,IF(ISNUMBER($J39),$J39,$Y39)))</f>
        <v/>
      </c>
      <c r="AA39" s="62">
        <f>IF($V39="","",IF(AND(ISNUMBER($G39),$G39&lt;=IF($S39=MesCiclo,InicioCiclo,$S39+MOD(2-WEEKDAY($S39),7))+20),1,IF(ISNUMBER($K39),$K39,$Z39)))</f>
        <v/>
      </c>
      <c r="AB39" s="62">
        <f>IF($V39="","",IF(AND(ISNUMBER($G39),$G39&lt;=IF($S39=MesCiclo,InicioCiclo,$S39+MOD(2-WEEKDAY($S39),7))+27),1,IF(ISNUMBER($L39),$L39,$AA39)))</f>
        <v/>
      </c>
      <c r="AC39" s="62">
        <f>IF($V39="","",IF(AND(ISNUMBER($G39),$G39&lt;=IF($S39=MesCiclo,InicioCiclo,$S39+MOD(2-WEEKDAY($S39),7))+6),1,IF(N($W39)&gt;0,AVERAGEIFS($Y$5:$Y$1000,$U$5:$U$1000,ROW(),$V$5:$V$1000,"Sub"),$Y39)))</f>
        <v/>
      </c>
      <c r="AD39" s="62">
        <f>IF($V39="","",IF(AND(ISNUMBER($G39),$G39&lt;=IF($S39=MesCiclo,InicioCiclo,$S39+MOD(2-WEEKDAY($S39),7))+13),1,IF(N($W39)&gt;0,AVERAGEIFS($Z$5:$Z$1000,$U$5:$U$1000,ROW(),$V$5:$V$1000,"Sub"),$Z39)))</f>
        <v/>
      </c>
      <c r="AE39" s="62">
        <f>IF($V39="","",IF(AND(ISNUMBER($G39),$G39&lt;=IF($S39=MesCiclo,InicioCiclo,$S39+MOD(2-WEEKDAY($S39),7))+20),1,IF(N($W39)&gt;0,AVERAGEIFS($AA$5:$AA$1000,$U$5:$U$1000,ROW(),$V$5:$V$1000,"Sub"),$AA39)))</f>
        <v/>
      </c>
      <c r="AF39" s="62">
        <f>IF($V39="","",IF(AND(ISNUMBER($G39),$G39&lt;=IF($S39=MesCiclo,InicioCiclo,$S39+MOD(2-WEEKDAY($S39),7))+27),1,IF(N($W39)&gt;0,AVERAGEIFS($AB$5:$AB$1000,$U$5:$U$1000,ROW(),$V$5:$V$1000,"Sub"),$AB39)))</f>
        <v/>
      </c>
      <c r="AG39" s="62">
        <f>IF($V39&lt;&gt;"Macro","",IF(COUNTIFS($S$5:$S$1000,$S39,$V$5:$V$1000,"Macro",$H$5:$H$1000,"&gt;0")=0,1/COUNTIFS($S$5:$S$1000,$S39,$V$5:$V$1000,"Macro"),IF(AND(ISNUMBER($H39),N($H39)&gt;0),$H39,SUMIFS($H$5:$H$1000,$S$5:$S$1000,$S39,$V$5:$V$1000,"Macro")/COUNTIFS($S$5:$S$1000,$S39,$V$5:$V$1000,"Macro",$H$5:$H$1000,"&gt;0"))/(COUNTIFS($S$5:$S$1000,$S39,$V$5:$V$1000,"Macro")*SUMIFS($H$5:$H$1000,$S$5:$S$1000,$S39,$V$5:$V$1000,"Macro")/COUNTIFS($S$5:$S$1000,$S39,$V$5:$V$1000,"Macro",$H$5:$H$1000,"&gt;0"))))</f>
        <v/>
      </c>
      <c r="AH39" s="62" t="n"/>
      <c r="AI39" s="62" t="n"/>
      <c r="AJ39" s="62" t="n"/>
      <c r="AK39" s="62" t="n"/>
      <c r="AL39" s="62">
        <f>IF(LEFT($C39,11)="[Jefatura] ",IFERROR(MATCH("Asistente Técnico de Riesgo|"&amp;MID($C39,12,500),rDname_ADM,0),0),"")</f>
        <v/>
      </c>
      <c r="AM39" s="62">
        <f>IF(N($AL39)&gt;0,INDEX(rIni_ADM,$AL39),IF(ISNUMBER($E39),$E39,""))</f>
        <v/>
      </c>
      <c r="AN39" s="62">
        <f>IF(N($AL39)&gt;0,INDEX(rLim_ADM,$AL39),IF(ISNUMBER($F39),$F39,""))</f>
        <v/>
      </c>
    </row>
    <row r="40">
      <c r="A40" s="56">
        <f>IF(NOT((COUNTA($B40:$D40)+COUNTA($G40:$L40)+COUNTA($Q40))&gt;0),"",IF($V40="Macro",COUNTIFS($V$5:$V40,"Macro",$S$5:$S40,$S40),IF(N($U40)=0,"?",COUNTIFS(INDEX($V$5:$V$1000,1):INDEX($V$5:$V$1000,$U40-4),"Macro",INDEX($S$5:$S$1000,1):INDEX($S$5:$S$1000,$U40-4),INDEX($S$5:$S$1000,$U40-4))&amp;"."&amp;COUNTIFS($U$5:$U40,$U40,$V$5:$V40,"Sub"))))</f>
        <v/>
      </c>
      <c r="B40" s="57" t="n"/>
      <c r="C40" s="58" t="n"/>
      <c r="D40" s="58" t="n"/>
      <c r="E40" s="59">
        <f>IF(N($AL40)&gt;0,INDEX(rIni_ADM,$AL40),"")</f>
        <v/>
      </c>
      <c r="F40" s="59">
        <f>IF(N($AL40)&gt;0,INDEX(rLim_ADM,$AL40),"")</f>
        <v/>
      </c>
      <c r="G40" s="59" t="n"/>
      <c r="H40" s="60" t="n"/>
      <c r="I40" s="60" t="n"/>
      <c r="J40" s="60" t="n"/>
      <c r="K40" s="60" t="n"/>
      <c r="L40" s="60" t="n"/>
      <c r="M40" s="61">
        <f>IF(NOT((COUNTA($B40:$D40)+COUNTA($G40:$L40)+COUNTA($Q40))&gt;0),"",IF($V40="Sub",IFERROR($X40/INDEX($W$5:$W$1000,$U40-4),""),IF(ISNUMBER($G40),1,IF(N($W40)&gt;0,AVERAGEIFS($X$5:$X$1000,$U$5:$U$1000,ROW(),$V$5:$V$1000,"Sub"),$X40))))</f>
        <v/>
      </c>
      <c r="N40" s="56">
        <f>IF(OR($M40="",$V40="Sub"),"",IF($M40&gt;=1,"Completado",IF($M40&gt;0,"En curso","Pendiente")))</f>
        <v/>
      </c>
      <c r="O40" s="56">
        <f>IF(OR(NOT((COUNTA($B40:$D40)+COUNTA($G40:$L40)+COUNTA($Q40))&gt;0),$V40="Sub"),"",IF(ISNUMBER($G40),IF(AND(ISNUMBER($AN40),$G40&gt;$AN40),"Cumplida con "&amp;($G40-$AN40)&amp;IF($G40-$AN40=1," día"," días")&amp;" de retraso","Cumplida"),IF(N($M40)&gt;=1,"Cumplida",IF(NOT(ISNUMBER($AN40)),"Sin fecha límite",IF($AN40&lt;FechaRef,"Vencida hace "&amp;(FechaRef-$AN40)&amp;IF(FechaRef-$AN40=1," día"," días"),IF($AN40=FechaRef,"Vence hoy",IF($AN40-FechaRef&lt;=DiasAlerta,"Vence en "&amp;($AN40-FechaRef)&amp;IF($AN40-FechaRef=1," día"," días"),"En plazo")))))))</f>
        <v/>
      </c>
      <c r="P40" s="62" t="n"/>
      <c r="Q40" s="58" t="n"/>
      <c r="R40" s="63">
        <f>IF(NOT((COUNTA($B40:$D40)+COUNTA($G40:$L40)+COUNTA($Q40))&gt;0),"",IF((IF($C40="","Falta el nombre de la actividad"&amp;" · ","")&amp;IF(AND($V40="Sub",N($U40)=0),"Subactividad sin macroactividad arriba"&amp;" · ","")&amp;IF($AM40="","Sin fecha de inicio"&amp;" · ","")&amp;IF($AN40="","Sin fecha límite"&amp;" · ","")&amp;IF(AND(LEFT($C40,11)="[Jefatura] ",N($AL40)=0),"No se encuentra en la hoja de la jefatura (elíjala de nuevo en la lista)"&amp;" · ","")&amp;IF(OR(AND($E40&lt;&gt;"",NOT(ISNUMBER($E40))),AND($F40&lt;&gt;"",NOT(ISNUMBER($F40))),AND($G40&lt;&gt;"",NOT(ISNUMBER($G40)))),"Fecha no válida"&amp;" · ","")&amp;IF(AND(ISNUMBER($AM40),ISNUMBER($AN40),$AM40&gt;$AN40),"Inicio posterior a fecha límite"&amp;" · ","")&amp;IF(AND($V40="Macro",$H40&lt;&gt;"",OR(NOT(ISNUMBER($H40)),$H40&lt;0,$H40&gt;1)),"Peso fuera de rango"&amp;" · ","")&amp;IF(AND($V40="Sub",$H40&lt;&gt;""),"Las subactividades no llevan peso (valen igual dentro de su macroactividad)"&amp;" · ","")&amp;IF(AND(N($W40)&gt;0,COUNT($I40:$L40)&gt;0),"Con subactividades: deje vacías las semanas (se calculan solas)"&amp;" · ","")&amp;IF((COUNTIF($I40:$L40,"&gt;1")+COUNTIF($I40:$L40,"&lt;0")+COUNTA($I40:$L40)-COUNT($I40:$L40))&gt;0,"Avance fuera de rango 0-100%"&amp;" · ","")&amp;IF(OR(AND($J40&lt;&gt;"",$J40&lt;$I40),AND($K40&lt;&gt;"",$K40&lt;MAX($I40:$J40)),AND($L40&lt;&gt;"",$L40&lt;MAX($I40:$K40))),"Avance semanal decreciente"&amp;" · ","")&amp;IF(AND(ISNUMBER($AN40),$AN40&lt;FechaRef,IF($V40="Sub",N($X40),N($M40))&lt;1),"Vencida"&amp;" · ","")&amp;IF(AND(ObsObligatoria="Sí",ISNUMBER($AN40),$AN40&lt;FechaRef,IF($V40="Sub",N($X40),N($M40))&lt;1,$Q40=""),"Vencida sin observación"&amp;" · ",""))="","✔ OK","⚠ "&amp;LEFT(IF($C40="","Falta el nombre de la actividad"&amp;" · ","")&amp;IF(AND($V40="Sub",N($U40)=0),"Subactividad sin macroactividad arriba"&amp;" · ","")&amp;IF($AM40="","Sin fecha de inicio"&amp;" · ","")&amp;IF($AN40="","Sin fecha límite"&amp;" · ","")&amp;IF(AND(LEFT($C40,11)="[Jefatura] ",N($AL40)=0),"No se encuentra en la hoja de la jefatura (elíjala de nuevo en la lista)"&amp;" · ","")&amp;IF(OR(AND($E40&lt;&gt;"",NOT(ISNUMBER($E40))),AND($F40&lt;&gt;"",NOT(ISNUMBER($F40))),AND($G40&lt;&gt;"",NOT(ISNUMBER($G40)))),"Fecha no válida"&amp;" · ","")&amp;IF(AND(ISNUMBER($AM40),ISNUMBER($AN40),$AM40&gt;$AN40),"Inicio posterior a fecha límite"&amp;" · ","")&amp;IF(AND($V40="Macro",$H40&lt;&gt;"",OR(NOT(ISNUMBER($H40)),$H40&lt;0,$H40&gt;1)),"Peso fuera de rango"&amp;" · ","")&amp;IF(AND($V40="Sub",$H40&lt;&gt;""),"Las subactividades no llevan peso (valen igual dentro de su macroactividad)"&amp;" · ","")&amp;IF(AND(N($W40)&gt;0,COUNT($I40:$L40)&gt;0),"Con subactividades: deje vacías las semanas (se calculan solas)"&amp;" · ","")&amp;IF((COUNTIF($I40:$L40,"&gt;1")+COUNTIF($I40:$L40,"&lt;0")+COUNTA($I40:$L40)-COUNT($I40:$L40))&gt;0,"Avance fuera de rango 0-100%"&amp;" · ","")&amp;IF(OR(AND($J40&lt;&gt;"",$J40&lt;$I40),AND($K40&lt;&gt;"",$K40&lt;MAX($I40:$J40)),AND($L40&lt;&gt;"",$L40&lt;MAX($I40:$K40))),"Avance semanal decreciente"&amp;" · ","")&amp;IF(AND(ISNUMBER($AN40),$AN40&lt;FechaRef,IF($V40="Sub",N($X40),N($M40))&lt;1),"Vencida"&amp;" · ","")&amp;IF(AND(ObsObligatoria="Sí",ISNUMBER($AN40),$AN40&lt;FechaRef,IF($V40="Sub",N($X40),N($M40))&lt;1,$Q40=""),"Vencida sin observación"&amp;" · ",""),LEN(IF($C40="","Falta el nombre de la actividad"&amp;" · ","")&amp;IF(AND($V40="Sub",N($U40)=0),"Subactividad sin macroactividad arriba"&amp;" · ","")&amp;IF($AM40="","Sin fecha de inicio"&amp;" · ","")&amp;IF($AN40="","Sin fecha límite"&amp;" · ","")&amp;IF(AND(LEFT($C40,11)="[Jefatura] ",N($AL40)=0),"No se encuentra en la hoja de la jefatura (elíjala de nuevo en la lista)"&amp;" · ","")&amp;IF(OR(AND($E40&lt;&gt;"",NOT(ISNUMBER($E40))),AND($F40&lt;&gt;"",NOT(ISNUMBER($F40))),AND($G40&lt;&gt;"",NOT(ISNUMBER($G40)))),"Fecha no válida"&amp;" · ","")&amp;IF(AND(ISNUMBER($AM40),ISNUMBER($AN40),$AM40&gt;$AN40),"Inicio posterior a fecha límite"&amp;" · ","")&amp;IF(AND($V40="Macro",$H40&lt;&gt;"",OR(NOT(ISNUMBER($H40)),$H40&lt;0,$H40&gt;1)),"Peso fuera de rango"&amp;" · ","")&amp;IF(AND($V40="Sub",$H40&lt;&gt;""),"Las subactividades no llevan peso (valen igual dentro de su macroactividad)"&amp;" · ","")&amp;IF(AND(N($W40)&gt;0,COUNT($I40:$L40)&gt;0),"Con subactividades: deje vacías las semanas (se calculan solas)"&amp;" · ","")&amp;IF((COUNTIF($I40:$L40,"&gt;1")+COUNTIF($I40:$L40,"&lt;0")+COUNTA($I40:$L40)-COUNT($I40:$L40))&gt;0,"Avance fuera de rango 0-100%"&amp;" · ","")&amp;IF(OR(AND($J40&lt;&gt;"",$J40&lt;$I40),AND($K40&lt;&gt;"",$K40&lt;MAX($I40:$J40)),AND($L40&lt;&gt;"",$L40&lt;MAX($I40:$K40))),"Avance semanal decreciente"&amp;" · ","")&amp;IF(AND(ISNUMBER($AN40),$AN40&lt;FechaRef,IF($V40="Sub",N($X40),N($M40))&lt;1),"Vencida"&amp;" · ","")&amp;IF(AND(ObsObligatoria="Sí",ISNUMBER($AN40),$AN40&lt;FechaRef,IF($V40="Sub",N($X40),N($M40))&lt;1,$Q40=""),"Vencida sin observación"&amp;" · ",""))-3)))</f>
        <v/>
      </c>
      <c r="S40" s="64">
        <f>IF(NOT((COUNTA($B40:$D40)+COUNTA($G40:$L40)+COUNTA($Q40))&gt;0),"",IF(AND($V40="Sub",N($U40)&gt;0),IF(ISNUMBER(INDEX($AM$5:$AM$1000,$U40-4)),DATE(YEAR(INDEX($AM$5:$AM$1000,$U40-4)),MONTH(INDEX($AM$5:$AM$1000,$U40-4)),1),IF(ISNUMBER(INDEX($AN$5:$AN$1000,$U40-4)),DATE(YEAR(INDEX($AN$5:$AN$1000,$U40-4)),MONTH(INDEX($AN$5:$AN$1000,$U40-4)),1),MesCiclo)),IF(ISNUMBER($AM40),DATE(YEAR($AM40),MONTH($AM40),1),IF(ISNUMBER($AN40),DATE(YEAR($AN40),MONTH($AN40),1),MesCiclo))))</f>
        <v/>
      </c>
      <c r="T40" s="62">
        <f>IF(OR($S40="",$S40&lt;&gt;MesCiclo,$V40&lt;&gt;"Macro"),"",COUNTIFS($S$5:$S40,MesCiclo,$V$5:$V40,"Macro"))</f>
        <v/>
      </c>
      <c r="U40" s="62">
        <f>IF($V40="","",IF($V40="Macro",ROW(),IFERROR(LOOKUP(2,1/($V$5:$V40="Macro"),ROW($V$5:$V40)),0)))</f>
        <v/>
      </c>
      <c r="V40" s="62">
        <f>IF(NOT((COUNTA($B40:$D40)+COUNTA($G40:$L40)+COUNTA($Q40))&gt;0),"",IF($B40="Subactividad","Sub","Macro"))</f>
        <v/>
      </c>
      <c r="W40" s="62">
        <f>IF($V40="Macro",COUNTIFS($U$5:$U$1000,ROW(),$V$5:$V$1000,"Sub"),"")</f>
        <v/>
      </c>
      <c r="X40" s="62">
        <f>IF($V40="","",IF(ISNUMBER($G40),1,IFERROR(LOOKUP(2,1/($I40:$L40&lt;&gt;""),$I40:$L40),0)))</f>
        <v/>
      </c>
      <c r="Y40" s="62">
        <f>IF($V40="","",IF(AND(ISNUMBER($G40),$G40&lt;=IF($S40=MesCiclo,InicioCiclo,$S40+MOD(2-WEEKDAY($S40),7))+6),1,IF(ISNUMBER($I40),$I40,0)))</f>
        <v/>
      </c>
      <c r="Z40" s="62">
        <f>IF($V40="","",IF(AND(ISNUMBER($G40),$G40&lt;=IF($S40=MesCiclo,InicioCiclo,$S40+MOD(2-WEEKDAY($S40),7))+13),1,IF(ISNUMBER($J40),$J40,$Y40)))</f>
        <v/>
      </c>
      <c r="AA40" s="62">
        <f>IF($V40="","",IF(AND(ISNUMBER($G40),$G40&lt;=IF($S40=MesCiclo,InicioCiclo,$S40+MOD(2-WEEKDAY($S40),7))+20),1,IF(ISNUMBER($K40),$K40,$Z40)))</f>
        <v/>
      </c>
      <c r="AB40" s="62">
        <f>IF($V40="","",IF(AND(ISNUMBER($G40),$G40&lt;=IF($S40=MesCiclo,InicioCiclo,$S40+MOD(2-WEEKDAY($S40),7))+27),1,IF(ISNUMBER($L40),$L40,$AA40)))</f>
        <v/>
      </c>
      <c r="AC40" s="62">
        <f>IF($V40="","",IF(AND(ISNUMBER($G40),$G40&lt;=IF($S40=MesCiclo,InicioCiclo,$S40+MOD(2-WEEKDAY($S40),7))+6),1,IF(N($W40)&gt;0,AVERAGEIFS($Y$5:$Y$1000,$U$5:$U$1000,ROW(),$V$5:$V$1000,"Sub"),$Y40)))</f>
        <v/>
      </c>
      <c r="AD40" s="62">
        <f>IF($V40="","",IF(AND(ISNUMBER($G40),$G40&lt;=IF($S40=MesCiclo,InicioCiclo,$S40+MOD(2-WEEKDAY($S40),7))+13),1,IF(N($W40)&gt;0,AVERAGEIFS($Z$5:$Z$1000,$U$5:$U$1000,ROW(),$V$5:$V$1000,"Sub"),$Z40)))</f>
        <v/>
      </c>
      <c r="AE40" s="62">
        <f>IF($V40="","",IF(AND(ISNUMBER($G40),$G40&lt;=IF($S40=MesCiclo,InicioCiclo,$S40+MOD(2-WEEKDAY($S40),7))+20),1,IF(N($W40)&gt;0,AVERAGEIFS($AA$5:$AA$1000,$U$5:$U$1000,ROW(),$V$5:$V$1000,"Sub"),$AA40)))</f>
        <v/>
      </c>
      <c r="AF40" s="62">
        <f>IF($V40="","",IF(AND(ISNUMBER($G40),$G40&lt;=IF($S40=MesCiclo,InicioCiclo,$S40+MOD(2-WEEKDAY($S40),7))+27),1,IF(N($W40)&gt;0,AVERAGEIFS($AB$5:$AB$1000,$U$5:$U$1000,ROW(),$V$5:$V$1000,"Sub"),$AB40)))</f>
        <v/>
      </c>
      <c r="AG40" s="62">
        <f>IF($V40&lt;&gt;"Macro","",IF(COUNTIFS($S$5:$S$1000,$S40,$V$5:$V$1000,"Macro",$H$5:$H$1000,"&gt;0")=0,1/COUNTIFS($S$5:$S$1000,$S40,$V$5:$V$1000,"Macro"),IF(AND(ISNUMBER($H40),N($H40)&gt;0),$H40,SUMIFS($H$5:$H$1000,$S$5:$S$1000,$S40,$V$5:$V$1000,"Macro")/COUNTIFS($S$5:$S$1000,$S40,$V$5:$V$1000,"Macro",$H$5:$H$1000,"&gt;0"))/(COUNTIFS($S$5:$S$1000,$S40,$V$5:$V$1000,"Macro")*SUMIFS($H$5:$H$1000,$S$5:$S$1000,$S40,$V$5:$V$1000,"Macro")/COUNTIFS($S$5:$S$1000,$S40,$V$5:$V$1000,"Macro",$H$5:$H$1000,"&gt;0"))))</f>
        <v/>
      </c>
      <c r="AH40" s="62" t="n"/>
      <c r="AI40" s="62" t="n"/>
      <c r="AJ40" s="62" t="n"/>
      <c r="AK40" s="62" t="n"/>
      <c r="AL40" s="62">
        <f>IF(LEFT($C40,11)="[Jefatura] ",IFERROR(MATCH("Asistente Técnico de Riesgo|"&amp;MID($C40,12,500),rDname_ADM,0),0),"")</f>
        <v/>
      </c>
      <c r="AM40" s="62">
        <f>IF(N($AL40)&gt;0,INDEX(rIni_ADM,$AL40),IF(ISNUMBER($E40),$E40,""))</f>
        <v/>
      </c>
      <c r="AN40" s="62">
        <f>IF(N($AL40)&gt;0,INDEX(rLim_ADM,$AL40),IF(ISNUMBER($F40),$F40,""))</f>
        <v/>
      </c>
    </row>
    <row r="41">
      <c r="A41" s="56">
        <f>IF(NOT((COUNTA($B41:$D41)+COUNTA($G41:$L41)+COUNTA($Q41))&gt;0),"",IF($V41="Macro",COUNTIFS($V$5:$V41,"Macro",$S$5:$S41,$S41),IF(N($U41)=0,"?",COUNTIFS(INDEX($V$5:$V$1000,1):INDEX($V$5:$V$1000,$U41-4),"Macro",INDEX($S$5:$S$1000,1):INDEX($S$5:$S$1000,$U41-4),INDEX($S$5:$S$1000,$U41-4))&amp;"."&amp;COUNTIFS($U$5:$U41,$U41,$V$5:$V41,"Sub"))))</f>
        <v/>
      </c>
      <c r="B41" s="57" t="n"/>
      <c r="C41" s="58" t="n"/>
      <c r="D41" s="58" t="n"/>
      <c r="E41" s="59">
        <f>IF(N($AL41)&gt;0,INDEX(rIni_ADM,$AL41),"")</f>
        <v/>
      </c>
      <c r="F41" s="59">
        <f>IF(N($AL41)&gt;0,INDEX(rLim_ADM,$AL41),"")</f>
        <v/>
      </c>
      <c r="G41" s="59" t="n"/>
      <c r="H41" s="60" t="n"/>
      <c r="I41" s="60" t="n"/>
      <c r="J41" s="60" t="n"/>
      <c r="K41" s="60" t="n"/>
      <c r="L41" s="60" t="n"/>
      <c r="M41" s="61">
        <f>IF(NOT((COUNTA($B41:$D41)+COUNTA($G41:$L41)+COUNTA($Q41))&gt;0),"",IF($V41="Sub",IFERROR($X41/INDEX($W$5:$W$1000,$U41-4),""),IF(ISNUMBER($G41),1,IF(N($W41)&gt;0,AVERAGEIFS($X$5:$X$1000,$U$5:$U$1000,ROW(),$V$5:$V$1000,"Sub"),$X41))))</f>
        <v/>
      </c>
      <c r="N41" s="56">
        <f>IF(OR($M41="",$V41="Sub"),"",IF($M41&gt;=1,"Completado",IF($M41&gt;0,"En curso","Pendiente")))</f>
        <v/>
      </c>
      <c r="O41" s="56">
        <f>IF(OR(NOT((COUNTA($B41:$D41)+COUNTA($G41:$L41)+COUNTA($Q41))&gt;0),$V41="Sub"),"",IF(ISNUMBER($G41),IF(AND(ISNUMBER($AN41),$G41&gt;$AN41),"Cumplida con "&amp;($G41-$AN41)&amp;IF($G41-$AN41=1," día"," días")&amp;" de retraso","Cumplida"),IF(N($M41)&gt;=1,"Cumplida",IF(NOT(ISNUMBER($AN41)),"Sin fecha límite",IF($AN41&lt;FechaRef,"Vencida hace "&amp;(FechaRef-$AN41)&amp;IF(FechaRef-$AN41=1," día"," días"),IF($AN41=FechaRef,"Vence hoy",IF($AN41-FechaRef&lt;=DiasAlerta,"Vence en "&amp;($AN41-FechaRef)&amp;IF($AN41-FechaRef=1," día"," días"),"En plazo")))))))</f>
        <v/>
      </c>
      <c r="P41" s="62" t="n"/>
      <c r="Q41" s="58" t="n"/>
      <c r="R41" s="63">
        <f>IF(NOT((COUNTA($B41:$D41)+COUNTA($G41:$L41)+COUNTA($Q41))&gt;0),"",IF((IF($C41="","Falta el nombre de la actividad"&amp;" · ","")&amp;IF(AND($V41="Sub",N($U41)=0),"Subactividad sin macroactividad arriba"&amp;" · ","")&amp;IF($AM41="","Sin fecha de inicio"&amp;" · ","")&amp;IF($AN41="","Sin fecha límite"&amp;" · ","")&amp;IF(AND(LEFT($C41,11)="[Jefatura] ",N($AL41)=0),"No se encuentra en la hoja de la jefatura (elíjala de nuevo en la lista)"&amp;" · ","")&amp;IF(OR(AND($E41&lt;&gt;"",NOT(ISNUMBER($E41))),AND($F41&lt;&gt;"",NOT(ISNUMBER($F41))),AND($G41&lt;&gt;"",NOT(ISNUMBER($G41)))),"Fecha no válida"&amp;" · ","")&amp;IF(AND(ISNUMBER($AM41),ISNUMBER($AN41),$AM41&gt;$AN41),"Inicio posterior a fecha límite"&amp;" · ","")&amp;IF(AND($V41="Macro",$H41&lt;&gt;"",OR(NOT(ISNUMBER($H41)),$H41&lt;0,$H41&gt;1)),"Peso fuera de rango"&amp;" · ","")&amp;IF(AND($V41="Sub",$H41&lt;&gt;""),"Las subactividades no llevan peso (valen igual dentro de su macroactividad)"&amp;" · ","")&amp;IF(AND(N($W41)&gt;0,COUNT($I41:$L41)&gt;0),"Con subactividades: deje vacías las semanas (se calculan solas)"&amp;" · ","")&amp;IF((COUNTIF($I41:$L41,"&gt;1")+COUNTIF($I41:$L41,"&lt;0")+COUNTA($I41:$L41)-COUNT($I41:$L41))&gt;0,"Avance fuera de rango 0-100%"&amp;" · ","")&amp;IF(OR(AND($J41&lt;&gt;"",$J41&lt;$I41),AND($K41&lt;&gt;"",$K41&lt;MAX($I41:$J41)),AND($L41&lt;&gt;"",$L41&lt;MAX($I41:$K41))),"Avance semanal decreciente"&amp;" · ","")&amp;IF(AND(ISNUMBER($AN41),$AN41&lt;FechaRef,IF($V41="Sub",N($X41),N($M41))&lt;1),"Vencida"&amp;" · ","")&amp;IF(AND(ObsObligatoria="Sí",ISNUMBER($AN41),$AN41&lt;FechaRef,IF($V41="Sub",N($X41),N($M41))&lt;1,$Q41=""),"Vencida sin observación"&amp;" · ",""))="","✔ OK","⚠ "&amp;LEFT(IF($C41="","Falta el nombre de la actividad"&amp;" · ","")&amp;IF(AND($V41="Sub",N($U41)=0),"Subactividad sin macroactividad arriba"&amp;" · ","")&amp;IF($AM41="","Sin fecha de inicio"&amp;" · ","")&amp;IF($AN41="","Sin fecha límite"&amp;" · ","")&amp;IF(AND(LEFT($C41,11)="[Jefatura] ",N($AL41)=0),"No se encuentra en la hoja de la jefatura (elíjala de nuevo en la lista)"&amp;" · ","")&amp;IF(OR(AND($E41&lt;&gt;"",NOT(ISNUMBER($E41))),AND($F41&lt;&gt;"",NOT(ISNUMBER($F41))),AND($G41&lt;&gt;"",NOT(ISNUMBER($G41)))),"Fecha no válida"&amp;" · ","")&amp;IF(AND(ISNUMBER($AM41),ISNUMBER($AN41),$AM41&gt;$AN41),"Inicio posterior a fecha límite"&amp;" · ","")&amp;IF(AND($V41="Macro",$H41&lt;&gt;"",OR(NOT(ISNUMBER($H41)),$H41&lt;0,$H41&gt;1)),"Peso fuera de rango"&amp;" · ","")&amp;IF(AND($V41="Sub",$H41&lt;&gt;""),"Las subactividades no llevan peso (valen igual dentro de su macroactividad)"&amp;" · ","")&amp;IF(AND(N($W41)&gt;0,COUNT($I41:$L41)&gt;0),"Con subactividades: deje vacías las semanas (se calculan solas)"&amp;" · ","")&amp;IF((COUNTIF($I41:$L41,"&gt;1")+COUNTIF($I41:$L41,"&lt;0")+COUNTA($I41:$L41)-COUNT($I41:$L41))&gt;0,"Avance fuera de rango 0-100%"&amp;" · ","")&amp;IF(OR(AND($J41&lt;&gt;"",$J41&lt;$I41),AND($K41&lt;&gt;"",$K41&lt;MAX($I41:$J41)),AND($L41&lt;&gt;"",$L41&lt;MAX($I41:$K41))),"Avance semanal decreciente"&amp;" · ","")&amp;IF(AND(ISNUMBER($AN41),$AN41&lt;FechaRef,IF($V41="Sub",N($X41),N($M41))&lt;1),"Vencida"&amp;" · ","")&amp;IF(AND(ObsObligatoria="Sí",ISNUMBER($AN41),$AN41&lt;FechaRef,IF($V41="Sub",N($X41),N($M41))&lt;1,$Q41=""),"Vencida sin observación"&amp;" · ",""),LEN(IF($C41="","Falta el nombre de la actividad"&amp;" · ","")&amp;IF(AND($V41="Sub",N($U41)=0),"Subactividad sin macroactividad arriba"&amp;" · ","")&amp;IF($AM41="","Sin fecha de inicio"&amp;" · ","")&amp;IF($AN41="","Sin fecha límite"&amp;" · ","")&amp;IF(AND(LEFT($C41,11)="[Jefatura] ",N($AL41)=0),"No se encuentra en la hoja de la jefatura (elíjala de nuevo en la lista)"&amp;" · ","")&amp;IF(OR(AND($E41&lt;&gt;"",NOT(ISNUMBER($E41))),AND($F41&lt;&gt;"",NOT(ISNUMBER($F41))),AND($G41&lt;&gt;"",NOT(ISNUMBER($G41)))),"Fecha no válida"&amp;" · ","")&amp;IF(AND(ISNUMBER($AM41),ISNUMBER($AN41),$AM41&gt;$AN41),"Inicio posterior a fecha límite"&amp;" · ","")&amp;IF(AND($V41="Macro",$H41&lt;&gt;"",OR(NOT(ISNUMBER($H41)),$H41&lt;0,$H41&gt;1)),"Peso fuera de rango"&amp;" · ","")&amp;IF(AND($V41="Sub",$H41&lt;&gt;""),"Las subactividades no llevan peso (valen igual dentro de su macroactividad)"&amp;" · ","")&amp;IF(AND(N($W41)&gt;0,COUNT($I41:$L41)&gt;0),"Con subactividades: deje vacías las semanas (se calculan solas)"&amp;" · ","")&amp;IF((COUNTIF($I41:$L41,"&gt;1")+COUNTIF($I41:$L41,"&lt;0")+COUNTA($I41:$L41)-COUNT($I41:$L41))&gt;0,"Avance fuera de rango 0-100%"&amp;" · ","")&amp;IF(OR(AND($J41&lt;&gt;"",$J41&lt;$I41),AND($K41&lt;&gt;"",$K41&lt;MAX($I41:$J41)),AND($L41&lt;&gt;"",$L41&lt;MAX($I41:$K41))),"Avance semanal decreciente"&amp;" · ","")&amp;IF(AND(ISNUMBER($AN41),$AN41&lt;FechaRef,IF($V41="Sub",N($X41),N($M41))&lt;1),"Vencida"&amp;" · ","")&amp;IF(AND(ObsObligatoria="Sí",ISNUMBER($AN41),$AN41&lt;FechaRef,IF($V41="Sub",N($X41),N($M41))&lt;1,$Q41=""),"Vencida sin observación"&amp;" · ",""))-3)))</f>
        <v/>
      </c>
      <c r="S41" s="64">
        <f>IF(NOT((COUNTA($B41:$D41)+COUNTA($G41:$L41)+COUNTA($Q41))&gt;0),"",IF(AND($V41="Sub",N($U41)&gt;0),IF(ISNUMBER(INDEX($AM$5:$AM$1000,$U41-4)),DATE(YEAR(INDEX($AM$5:$AM$1000,$U41-4)),MONTH(INDEX($AM$5:$AM$1000,$U41-4)),1),IF(ISNUMBER(INDEX($AN$5:$AN$1000,$U41-4)),DATE(YEAR(INDEX($AN$5:$AN$1000,$U41-4)),MONTH(INDEX($AN$5:$AN$1000,$U41-4)),1),MesCiclo)),IF(ISNUMBER($AM41),DATE(YEAR($AM41),MONTH($AM41),1),IF(ISNUMBER($AN41),DATE(YEAR($AN41),MONTH($AN41),1),MesCiclo))))</f>
        <v/>
      </c>
      <c r="T41" s="62">
        <f>IF(OR($S41="",$S41&lt;&gt;MesCiclo,$V41&lt;&gt;"Macro"),"",COUNTIFS($S$5:$S41,MesCiclo,$V$5:$V41,"Macro"))</f>
        <v/>
      </c>
      <c r="U41" s="62">
        <f>IF($V41="","",IF($V41="Macro",ROW(),IFERROR(LOOKUP(2,1/($V$5:$V41="Macro"),ROW($V$5:$V41)),0)))</f>
        <v/>
      </c>
      <c r="V41" s="62">
        <f>IF(NOT((COUNTA($B41:$D41)+COUNTA($G41:$L41)+COUNTA($Q41))&gt;0),"",IF($B41="Subactividad","Sub","Macro"))</f>
        <v/>
      </c>
      <c r="W41" s="62">
        <f>IF($V41="Macro",COUNTIFS($U$5:$U$1000,ROW(),$V$5:$V$1000,"Sub"),"")</f>
        <v/>
      </c>
      <c r="X41" s="62">
        <f>IF($V41="","",IF(ISNUMBER($G41),1,IFERROR(LOOKUP(2,1/($I41:$L41&lt;&gt;""),$I41:$L41),0)))</f>
        <v/>
      </c>
      <c r="Y41" s="62">
        <f>IF($V41="","",IF(AND(ISNUMBER($G41),$G41&lt;=IF($S41=MesCiclo,InicioCiclo,$S41+MOD(2-WEEKDAY($S41),7))+6),1,IF(ISNUMBER($I41),$I41,0)))</f>
        <v/>
      </c>
      <c r="Z41" s="62">
        <f>IF($V41="","",IF(AND(ISNUMBER($G41),$G41&lt;=IF($S41=MesCiclo,InicioCiclo,$S41+MOD(2-WEEKDAY($S41),7))+13),1,IF(ISNUMBER($J41),$J41,$Y41)))</f>
        <v/>
      </c>
      <c r="AA41" s="62">
        <f>IF($V41="","",IF(AND(ISNUMBER($G41),$G41&lt;=IF($S41=MesCiclo,InicioCiclo,$S41+MOD(2-WEEKDAY($S41),7))+20),1,IF(ISNUMBER($K41),$K41,$Z41)))</f>
        <v/>
      </c>
      <c r="AB41" s="62">
        <f>IF($V41="","",IF(AND(ISNUMBER($G41),$G41&lt;=IF($S41=MesCiclo,InicioCiclo,$S41+MOD(2-WEEKDAY($S41),7))+27),1,IF(ISNUMBER($L41),$L41,$AA41)))</f>
        <v/>
      </c>
      <c r="AC41" s="62">
        <f>IF($V41="","",IF(AND(ISNUMBER($G41),$G41&lt;=IF($S41=MesCiclo,InicioCiclo,$S41+MOD(2-WEEKDAY($S41),7))+6),1,IF(N($W41)&gt;0,AVERAGEIFS($Y$5:$Y$1000,$U$5:$U$1000,ROW(),$V$5:$V$1000,"Sub"),$Y41)))</f>
        <v/>
      </c>
      <c r="AD41" s="62">
        <f>IF($V41="","",IF(AND(ISNUMBER($G41),$G41&lt;=IF($S41=MesCiclo,InicioCiclo,$S41+MOD(2-WEEKDAY($S41),7))+13),1,IF(N($W41)&gt;0,AVERAGEIFS($Z$5:$Z$1000,$U$5:$U$1000,ROW(),$V$5:$V$1000,"Sub"),$Z41)))</f>
        <v/>
      </c>
      <c r="AE41" s="62">
        <f>IF($V41="","",IF(AND(ISNUMBER($G41),$G41&lt;=IF($S41=MesCiclo,InicioCiclo,$S41+MOD(2-WEEKDAY($S41),7))+20),1,IF(N($W41)&gt;0,AVERAGEIFS($AA$5:$AA$1000,$U$5:$U$1000,ROW(),$V$5:$V$1000,"Sub"),$AA41)))</f>
        <v/>
      </c>
      <c r="AF41" s="62">
        <f>IF($V41="","",IF(AND(ISNUMBER($G41),$G41&lt;=IF($S41=MesCiclo,InicioCiclo,$S41+MOD(2-WEEKDAY($S41),7))+27),1,IF(N($W41)&gt;0,AVERAGEIFS($AB$5:$AB$1000,$U$5:$U$1000,ROW(),$V$5:$V$1000,"Sub"),$AB41)))</f>
        <v/>
      </c>
      <c r="AG41" s="62">
        <f>IF($V41&lt;&gt;"Macro","",IF(COUNTIFS($S$5:$S$1000,$S41,$V$5:$V$1000,"Macro",$H$5:$H$1000,"&gt;0")=0,1/COUNTIFS($S$5:$S$1000,$S41,$V$5:$V$1000,"Macro"),IF(AND(ISNUMBER($H41),N($H41)&gt;0),$H41,SUMIFS($H$5:$H$1000,$S$5:$S$1000,$S41,$V$5:$V$1000,"Macro")/COUNTIFS($S$5:$S$1000,$S41,$V$5:$V$1000,"Macro",$H$5:$H$1000,"&gt;0"))/(COUNTIFS($S$5:$S$1000,$S41,$V$5:$V$1000,"Macro")*SUMIFS($H$5:$H$1000,$S$5:$S$1000,$S41,$V$5:$V$1000,"Macro")/COUNTIFS($S$5:$S$1000,$S41,$V$5:$V$1000,"Macro",$H$5:$H$1000,"&gt;0"))))</f>
        <v/>
      </c>
      <c r="AH41" s="62" t="n"/>
      <c r="AI41" s="62" t="n"/>
      <c r="AJ41" s="62" t="n"/>
      <c r="AK41" s="62" t="n"/>
      <c r="AL41" s="62">
        <f>IF(LEFT($C41,11)="[Jefatura] ",IFERROR(MATCH("Asistente Técnico de Riesgo|"&amp;MID($C41,12,500),rDname_ADM,0),0),"")</f>
        <v/>
      </c>
      <c r="AM41" s="62">
        <f>IF(N($AL41)&gt;0,INDEX(rIni_ADM,$AL41),IF(ISNUMBER($E41),$E41,""))</f>
        <v/>
      </c>
      <c r="AN41" s="62">
        <f>IF(N($AL41)&gt;0,INDEX(rLim_ADM,$AL41),IF(ISNUMBER($F41),$F41,""))</f>
        <v/>
      </c>
    </row>
    <row r="42">
      <c r="A42" s="56">
        <f>IF(NOT((COUNTA($B42:$D42)+COUNTA($G42:$L42)+COUNTA($Q42))&gt;0),"",IF($V42="Macro",COUNTIFS($V$5:$V42,"Macro",$S$5:$S42,$S42),IF(N($U42)=0,"?",COUNTIFS(INDEX($V$5:$V$1000,1):INDEX($V$5:$V$1000,$U42-4),"Macro",INDEX($S$5:$S$1000,1):INDEX($S$5:$S$1000,$U42-4),INDEX($S$5:$S$1000,$U42-4))&amp;"."&amp;COUNTIFS($U$5:$U42,$U42,$V$5:$V42,"Sub"))))</f>
        <v/>
      </c>
      <c r="B42" s="57" t="n"/>
      <c r="C42" s="58" t="n"/>
      <c r="D42" s="58" t="n"/>
      <c r="E42" s="59">
        <f>IF(N($AL42)&gt;0,INDEX(rIni_ADM,$AL42),"")</f>
        <v/>
      </c>
      <c r="F42" s="59">
        <f>IF(N($AL42)&gt;0,INDEX(rLim_ADM,$AL42),"")</f>
        <v/>
      </c>
      <c r="G42" s="59" t="n"/>
      <c r="H42" s="60" t="n"/>
      <c r="I42" s="60" t="n"/>
      <c r="J42" s="60" t="n"/>
      <c r="K42" s="60" t="n"/>
      <c r="L42" s="60" t="n"/>
      <c r="M42" s="61">
        <f>IF(NOT((COUNTA($B42:$D42)+COUNTA($G42:$L42)+COUNTA($Q42))&gt;0),"",IF($V42="Sub",IFERROR($X42/INDEX($W$5:$W$1000,$U42-4),""),IF(ISNUMBER($G42),1,IF(N($W42)&gt;0,AVERAGEIFS($X$5:$X$1000,$U$5:$U$1000,ROW(),$V$5:$V$1000,"Sub"),$X42))))</f>
        <v/>
      </c>
      <c r="N42" s="56">
        <f>IF(OR($M42="",$V42="Sub"),"",IF($M42&gt;=1,"Completado",IF($M42&gt;0,"En curso","Pendiente")))</f>
        <v/>
      </c>
      <c r="O42" s="56">
        <f>IF(OR(NOT((COUNTA($B42:$D42)+COUNTA($G42:$L42)+COUNTA($Q42))&gt;0),$V42="Sub"),"",IF(ISNUMBER($G42),IF(AND(ISNUMBER($AN42),$G42&gt;$AN42),"Cumplida con "&amp;($G42-$AN42)&amp;IF($G42-$AN42=1," día"," días")&amp;" de retraso","Cumplida"),IF(N($M42)&gt;=1,"Cumplida",IF(NOT(ISNUMBER($AN42)),"Sin fecha límite",IF($AN42&lt;FechaRef,"Vencida hace "&amp;(FechaRef-$AN42)&amp;IF(FechaRef-$AN42=1," día"," días"),IF($AN42=FechaRef,"Vence hoy",IF($AN42-FechaRef&lt;=DiasAlerta,"Vence en "&amp;($AN42-FechaRef)&amp;IF($AN42-FechaRef=1," día"," días"),"En plazo")))))))</f>
        <v/>
      </c>
      <c r="P42" s="62" t="n"/>
      <c r="Q42" s="58" t="n"/>
      <c r="R42" s="63">
        <f>IF(NOT((COUNTA($B42:$D42)+COUNTA($G42:$L42)+COUNTA($Q42))&gt;0),"",IF((IF($C42="","Falta el nombre de la actividad"&amp;" · ","")&amp;IF(AND($V42="Sub",N($U42)=0),"Subactividad sin macroactividad arriba"&amp;" · ","")&amp;IF($AM42="","Sin fecha de inicio"&amp;" · ","")&amp;IF($AN42="","Sin fecha límite"&amp;" · ","")&amp;IF(AND(LEFT($C42,11)="[Jefatura] ",N($AL42)=0),"No se encuentra en la hoja de la jefatura (elíjala de nuevo en la lista)"&amp;" · ","")&amp;IF(OR(AND($E42&lt;&gt;"",NOT(ISNUMBER($E42))),AND($F42&lt;&gt;"",NOT(ISNUMBER($F42))),AND($G42&lt;&gt;"",NOT(ISNUMBER($G42)))),"Fecha no válida"&amp;" · ","")&amp;IF(AND(ISNUMBER($AM42),ISNUMBER($AN42),$AM42&gt;$AN42),"Inicio posterior a fecha límite"&amp;" · ","")&amp;IF(AND($V42="Macro",$H42&lt;&gt;"",OR(NOT(ISNUMBER($H42)),$H42&lt;0,$H42&gt;1)),"Peso fuera de rango"&amp;" · ","")&amp;IF(AND($V42="Sub",$H42&lt;&gt;""),"Las subactividades no llevan peso (valen igual dentro de su macroactividad)"&amp;" · ","")&amp;IF(AND(N($W42)&gt;0,COUNT($I42:$L42)&gt;0),"Con subactividades: deje vacías las semanas (se calculan solas)"&amp;" · ","")&amp;IF((COUNTIF($I42:$L42,"&gt;1")+COUNTIF($I42:$L42,"&lt;0")+COUNTA($I42:$L42)-COUNT($I42:$L42))&gt;0,"Avance fuera de rango 0-100%"&amp;" · ","")&amp;IF(OR(AND($J42&lt;&gt;"",$J42&lt;$I42),AND($K42&lt;&gt;"",$K42&lt;MAX($I42:$J42)),AND($L42&lt;&gt;"",$L42&lt;MAX($I42:$K42))),"Avance semanal decreciente"&amp;" · ","")&amp;IF(AND(ISNUMBER($AN42),$AN42&lt;FechaRef,IF($V42="Sub",N($X42),N($M42))&lt;1),"Vencida"&amp;" · ","")&amp;IF(AND(ObsObligatoria="Sí",ISNUMBER($AN42),$AN42&lt;FechaRef,IF($V42="Sub",N($X42),N($M42))&lt;1,$Q42=""),"Vencida sin observación"&amp;" · ",""))="","✔ OK","⚠ "&amp;LEFT(IF($C42="","Falta el nombre de la actividad"&amp;" · ","")&amp;IF(AND($V42="Sub",N($U42)=0),"Subactividad sin macroactividad arriba"&amp;" · ","")&amp;IF($AM42="","Sin fecha de inicio"&amp;" · ","")&amp;IF($AN42="","Sin fecha límite"&amp;" · ","")&amp;IF(AND(LEFT($C42,11)="[Jefatura] ",N($AL42)=0),"No se encuentra en la hoja de la jefatura (elíjala de nuevo en la lista)"&amp;" · ","")&amp;IF(OR(AND($E42&lt;&gt;"",NOT(ISNUMBER($E42))),AND($F42&lt;&gt;"",NOT(ISNUMBER($F42))),AND($G42&lt;&gt;"",NOT(ISNUMBER($G42)))),"Fecha no válida"&amp;" · ","")&amp;IF(AND(ISNUMBER($AM42),ISNUMBER($AN42),$AM42&gt;$AN42),"Inicio posterior a fecha límite"&amp;" · ","")&amp;IF(AND($V42="Macro",$H42&lt;&gt;"",OR(NOT(ISNUMBER($H42)),$H42&lt;0,$H42&gt;1)),"Peso fuera de rango"&amp;" · ","")&amp;IF(AND($V42="Sub",$H42&lt;&gt;""),"Las subactividades no llevan peso (valen igual dentro de su macroactividad)"&amp;" · ","")&amp;IF(AND(N($W42)&gt;0,COUNT($I42:$L42)&gt;0),"Con subactividades: deje vacías las semanas (se calculan solas)"&amp;" · ","")&amp;IF((COUNTIF($I42:$L42,"&gt;1")+COUNTIF($I42:$L42,"&lt;0")+COUNTA($I42:$L42)-COUNT($I42:$L42))&gt;0,"Avance fuera de rango 0-100%"&amp;" · ","")&amp;IF(OR(AND($J42&lt;&gt;"",$J42&lt;$I42),AND($K42&lt;&gt;"",$K42&lt;MAX($I42:$J42)),AND($L42&lt;&gt;"",$L42&lt;MAX($I42:$K42))),"Avance semanal decreciente"&amp;" · ","")&amp;IF(AND(ISNUMBER($AN42),$AN42&lt;FechaRef,IF($V42="Sub",N($X42),N($M42))&lt;1),"Vencida"&amp;" · ","")&amp;IF(AND(ObsObligatoria="Sí",ISNUMBER($AN42),$AN42&lt;FechaRef,IF($V42="Sub",N($X42),N($M42))&lt;1,$Q42=""),"Vencida sin observación"&amp;" · ",""),LEN(IF($C42="","Falta el nombre de la actividad"&amp;" · ","")&amp;IF(AND($V42="Sub",N($U42)=0),"Subactividad sin macroactividad arriba"&amp;" · ","")&amp;IF($AM42="","Sin fecha de inicio"&amp;" · ","")&amp;IF($AN42="","Sin fecha límite"&amp;" · ","")&amp;IF(AND(LEFT($C42,11)="[Jefatura] ",N($AL42)=0),"No se encuentra en la hoja de la jefatura (elíjala de nuevo en la lista)"&amp;" · ","")&amp;IF(OR(AND($E42&lt;&gt;"",NOT(ISNUMBER($E42))),AND($F42&lt;&gt;"",NOT(ISNUMBER($F42))),AND($G42&lt;&gt;"",NOT(ISNUMBER($G42)))),"Fecha no válida"&amp;" · ","")&amp;IF(AND(ISNUMBER($AM42),ISNUMBER($AN42),$AM42&gt;$AN42),"Inicio posterior a fecha límite"&amp;" · ","")&amp;IF(AND($V42="Macro",$H42&lt;&gt;"",OR(NOT(ISNUMBER($H42)),$H42&lt;0,$H42&gt;1)),"Peso fuera de rango"&amp;" · ","")&amp;IF(AND($V42="Sub",$H42&lt;&gt;""),"Las subactividades no llevan peso (valen igual dentro de su macroactividad)"&amp;" · ","")&amp;IF(AND(N($W42)&gt;0,COUNT($I42:$L42)&gt;0),"Con subactividades: deje vacías las semanas (se calculan solas)"&amp;" · ","")&amp;IF((COUNTIF($I42:$L42,"&gt;1")+COUNTIF($I42:$L42,"&lt;0")+COUNTA($I42:$L42)-COUNT($I42:$L42))&gt;0,"Avance fuera de rango 0-100%"&amp;" · ","")&amp;IF(OR(AND($J42&lt;&gt;"",$J42&lt;$I42),AND($K42&lt;&gt;"",$K42&lt;MAX($I42:$J42)),AND($L42&lt;&gt;"",$L42&lt;MAX($I42:$K42))),"Avance semanal decreciente"&amp;" · ","")&amp;IF(AND(ISNUMBER($AN42),$AN42&lt;FechaRef,IF($V42="Sub",N($X42),N($M42))&lt;1),"Vencida"&amp;" · ","")&amp;IF(AND(ObsObligatoria="Sí",ISNUMBER($AN42),$AN42&lt;FechaRef,IF($V42="Sub",N($X42),N($M42))&lt;1,$Q42=""),"Vencida sin observación"&amp;" · ",""))-3)))</f>
        <v/>
      </c>
      <c r="S42" s="64">
        <f>IF(NOT((COUNTA($B42:$D42)+COUNTA($G42:$L42)+COUNTA($Q42))&gt;0),"",IF(AND($V42="Sub",N($U42)&gt;0),IF(ISNUMBER(INDEX($AM$5:$AM$1000,$U42-4)),DATE(YEAR(INDEX($AM$5:$AM$1000,$U42-4)),MONTH(INDEX($AM$5:$AM$1000,$U42-4)),1),IF(ISNUMBER(INDEX($AN$5:$AN$1000,$U42-4)),DATE(YEAR(INDEX($AN$5:$AN$1000,$U42-4)),MONTH(INDEX($AN$5:$AN$1000,$U42-4)),1),MesCiclo)),IF(ISNUMBER($AM42),DATE(YEAR($AM42),MONTH($AM42),1),IF(ISNUMBER($AN42),DATE(YEAR($AN42),MONTH($AN42),1),MesCiclo))))</f>
        <v/>
      </c>
      <c r="T42" s="62">
        <f>IF(OR($S42="",$S42&lt;&gt;MesCiclo,$V42&lt;&gt;"Macro"),"",COUNTIFS($S$5:$S42,MesCiclo,$V$5:$V42,"Macro"))</f>
        <v/>
      </c>
      <c r="U42" s="62">
        <f>IF($V42="","",IF($V42="Macro",ROW(),IFERROR(LOOKUP(2,1/($V$5:$V42="Macro"),ROW($V$5:$V42)),0)))</f>
        <v/>
      </c>
      <c r="V42" s="62">
        <f>IF(NOT((COUNTA($B42:$D42)+COUNTA($G42:$L42)+COUNTA($Q42))&gt;0),"",IF($B42="Subactividad","Sub","Macro"))</f>
        <v/>
      </c>
      <c r="W42" s="62">
        <f>IF($V42="Macro",COUNTIFS($U$5:$U$1000,ROW(),$V$5:$V$1000,"Sub"),"")</f>
        <v/>
      </c>
      <c r="X42" s="62">
        <f>IF($V42="","",IF(ISNUMBER($G42),1,IFERROR(LOOKUP(2,1/($I42:$L42&lt;&gt;""),$I42:$L42),0)))</f>
        <v/>
      </c>
      <c r="Y42" s="62">
        <f>IF($V42="","",IF(AND(ISNUMBER($G42),$G42&lt;=IF($S42=MesCiclo,InicioCiclo,$S42+MOD(2-WEEKDAY($S42),7))+6),1,IF(ISNUMBER($I42),$I42,0)))</f>
        <v/>
      </c>
      <c r="Z42" s="62">
        <f>IF($V42="","",IF(AND(ISNUMBER($G42),$G42&lt;=IF($S42=MesCiclo,InicioCiclo,$S42+MOD(2-WEEKDAY($S42),7))+13),1,IF(ISNUMBER($J42),$J42,$Y42)))</f>
        <v/>
      </c>
      <c r="AA42" s="62">
        <f>IF($V42="","",IF(AND(ISNUMBER($G42),$G42&lt;=IF($S42=MesCiclo,InicioCiclo,$S42+MOD(2-WEEKDAY($S42),7))+20),1,IF(ISNUMBER($K42),$K42,$Z42)))</f>
        <v/>
      </c>
      <c r="AB42" s="62">
        <f>IF($V42="","",IF(AND(ISNUMBER($G42),$G42&lt;=IF($S42=MesCiclo,InicioCiclo,$S42+MOD(2-WEEKDAY($S42),7))+27),1,IF(ISNUMBER($L42),$L42,$AA42)))</f>
        <v/>
      </c>
      <c r="AC42" s="62">
        <f>IF($V42="","",IF(AND(ISNUMBER($G42),$G42&lt;=IF($S42=MesCiclo,InicioCiclo,$S42+MOD(2-WEEKDAY($S42),7))+6),1,IF(N($W42)&gt;0,AVERAGEIFS($Y$5:$Y$1000,$U$5:$U$1000,ROW(),$V$5:$V$1000,"Sub"),$Y42)))</f>
        <v/>
      </c>
      <c r="AD42" s="62">
        <f>IF($V42="","",IF(AND(ISNUMBER($G42),$G42&lt;=IF($S42=MesCiclo,InicioCiclo,$S42+MOD(2-WEEKDAY($S42),7))+13),1,IF(N($W42)&gt;0,AVERAGEIFS($Z$5:$Z$1000,$U$5:$U$1000,ROW(),$V$5:$V$1000,"Sub"),$Z42)))</f>
        <v/>
      </c>
      <c r="AE42" s="62">
        <f>IF($V42="","",IF(AND(ISNUMBER($G42),$G42&lt;=IF($S42=MesCiclo,InicioCiclo,$S42+MOD(2-WEEKDAY($S42),7))+20),1,IF(N($W42)&gt;0,AVERAGEIFS($AA$5:$AA$1000,$U$5:$U$1000,ROW(),$V$5:$V$1000,"Sub"),$AA42)))</f>
        <v/>
      </c>
      <c r="AF42" s="62">
        <f>IF($V42="","",IF(AND(ISNUMBER($G42),$G42&lt;=IF($S42=MesCiclo,InicioCiclo,$S42+MOD(2-WEEKDAY($S42),7))+27),1,IF(N($W42)&gt;0,AVERAGEIFS($AB$5:$AB$1000,$U$5:$U$1000,ROW(),$V$5:$V$1000,"Sub"),$AB42)))</f>
        <v/>
      </c>
      <c r="AG42" s="62">
        <f>IF($V42&lt;&gt;"Macro","",IF(COUNTIFS($S$5:$S$1000,$S42,$V$5:$V$1000,"Macro",$H$5:$H$1000,"&gt;0")=0,1/COUNTIFS($S$5:$S$1000,$S42,$V$5:$V$1000,"Macro"),IF(AND(ISNUMBER($H42),N($H42)&gt;0),$H42,SUMIFS($H$5:$H$1000,$S$5:$S$1000,$S42,$V$5:$V$1000,"Macro")/COUNTIFS($S$5:$S$1000,$S42,$V$5:$V$1000,"Macro",$H$5:$H$1000,"&gt;0"))/(COUNTIFS($S$5:$S$1000,$S42,$V$5:$V$1000,"Macro")*SUMIFS($H$5:$H$1000,$S$5:$S$1000,$S42,$V$5:$V$1000,"Macro")/COUNTIFS($S$5:$S$1000,$S42,$V$5:$V$1000,"Macro",$H$5:$H$1000,"&gt;0"))))</f>
        <v/>
      </c>
      <c r="AH42" s="62" t="n"/>
      <c r="AI42" s="62" t="n"/>
      <c r="AJ42" s="62" t="n"/>
      <c r="AK42" s="62" t="n"/>
      <c r="AL42" s="62">
        <f>IF(LEFT($C42,11)="[Jefatura] ",IFERROR(MATCH("Asistente Técnico de Riesgo|"&amp;MID($C42,12,500),rDname_ADM,0),0),"")</f>
        <v/>
      </c>
      <c r="AM42" s="62">
        <f>IF(N($AL42)&gt;0,INDEX(rIni_ADM,$AL42),IF(ISNUMBER($E42),$E42,""))</f>
        <v/>
      </c>
      <c r="AN42" s="62">
        <f>IF(N($AL42)&gt;0,INDEX(rLim_ADM,$AL42),IF(ISNUMBER($F42),$F42,""))</f>
        <v/>
      </c>
    </row>
    <row r="43">
      <c r="A43" s="56">
        <f>IF(NOT((COUNTA($B43:$D43)+COUNTA($G43:$L43)+COUNTA($Q43))&gt;0),"",IF($V43="Macro",COUNTIFS($V$5:$V43,"Macro",$S$5:$S43,$S43),IF(N($U43)=0,"?",COUNTIFS(INDEX($V$5:$V$1000,1):INDEX($V$5:$V$1000,$U43-4),"Macro",INDEX($S$5:$S$1000,1):INDEX($S$5:$S$1000,$U43-4),INDEX($S$5:$S$1000,$U43-4))&amp;"."&amp;COUNTIFS($U$5:$U43,$U43,$V$5:$V43,"Sub"))))</f>
        <v/>
      </c>
      <c r="B43" s="57" t="n"/>
      <c r="C43" s="58" t="n"/>
      <c r="D43" s="58" t="n"/>
      <c r="E43" s="59">
        <f>IF(N($AL43)&gt;0,INDEX(rIni_ADM,$AL43),"")</f>
        <v/>
      </c>
      <c r="F43" s="59">
        <f>IF(N($AL43)&gt;0,INDEX(rLim_ADM,$AL43),"")</f>
        <v/>
      </c>
      <c r="G43" s="59" t="n"/>
      <c r="H43" s="60" t="n"/>
      <c r="I43" s="60" t="n"/>
      <c r="J43" s="60" t="n"/>
      <c r="K43" s="60" t="n"/>
      <c r="L43" s="60" t="n"/>
      <c r="M43" s="61">
        <f>IF(NOT((COUNTA($B43:$D43)+COUNTA($G43:$L43)+COUNTA($Q43))&gt;0),"",IF($V43="Sub",IFERROR($X43/INDEX($W$5:$W$1000,$U43-4),""),IF(ISNUMBER($G43),1,IF(N($W43)&gt;0,AVERAGEIFS($X$5:$X$1000,$U$5:$U$1000,ROW(),$V$5:$V$1000,"Sub"),$X43))))</f>
        <v/>
      </c>
      <c r="N43" s="56">
        <f>IF(OR($M43="",$V43="Sub"),"",IF($M43&gt;=1,"Completado",IF($M43&gt;0,"En curso","Pendiente")))</f>
        <v/>
      </c>
      <c r="O43" s="56">
        <f>IF(OR(NOT((COUNTA($B43:$D43)+COUNTA($G43:$L43)+COUNTA($Q43))&gt;0),$V43="Sub"),"",IF(ISNUMBER($G43),IF(AND(ISNUMBER($AN43),$G43&gt;$AN43),"Cumplida con "&amp;($G43-$AN43)&amp;IF($G43-$AN43=1," día"," días")&amp;" de retraso","Cumplida"),IF(N($M43)&gt;=1,"Cumplida",IF(NOT(ISNUMBER($AN43)),"Sin fecha límite",IF($AN43&lt;FechaRef,"Vencida hace "&amp;(FechaRef-$AN43)&amp;IF(FechaRef-$AN43=1," día"," días"),IF($AN43=FechaRef,"Vence hoy",IF($AN43-FechaRef&lt;=DiasAlerta,"Vence en "&amp;($AN43-FechaRef)&amp;IF($AN43-FechaRef=1," día"," días"),"En plazo")))))))</f>
        <v/>
      </c>
      <c r="P43" s="62" t="n"/>
      <c r="Q43" s="58" t="n"/>
      <c r="R43" s="63">
        <f>IF(NOT((COUNTA($B43:$D43)+COUNTA($G43:$L43)+COUNTA($Q43))&gt;0),"",IF((IF($C43="","Falta el nombre de la actividad"&amp;" · ","")&amp;IF(AND($V43="Sub",N($U43)=0),"Subactividad sin macroactividad arriba"&amp;" · ","")&amp;IF($AM43="","Sin fecha de inicio"&amp;" · ","")&amp;IF($AN43="","Sin fecha límite"&amp;" · ","")&amp;IF(AND(LEFT($C43,11)="[Jefatura] ",N($AL43)=0),"No se encuentra en la hoja de la jefatura (elíjala de nuevo en la lista)"&amp;" · ","")&amp;IF(OR(AND($E43&lt;&gt;"",NOT(ISNUMBER($E43))),AND($F43&lt;&gt;"",NOT(ISNUMBER($F43))),AND($G43&lt;&gt;"",NOT(ISNUMBER($G43)))),"Fecha no válida"&amp;" · ","")&amp;IF(AND(ISNUMBER($AM43),ISNUMBER($AN43),$AM43&gt;$AN43),"Inicio posterior a fecha límite"&amp;" · ","")&amp;IF(AND($V43="Macro",$H43&lt;&gt;"",OR(NOT(ISNUMBER($H43)),$H43&lt;0,$H43&gt;1)),"Peso fuera de rango"&amp;" · ","")&amp;IF(AND($V43="Sub",$H43&lt;&gt;""),"Las subactividades no llevan peso (valen igual dentro de su macroactividad)"&amp;" · ","")&amp;IF(AND(N($W43)&gt;0,COUNT($I43:$L43)&gt;0),"Con subactividades: deje vacías las semanas (se calculan solas)"&amp;" · ","")&amp;IF((COUNTIF($I43:$L43,"&gt;1")+COUNTIF($I43:$L43,"&lt;0")+COUNTA($I43:$L43)-COUNT($I43:$L43))&gt;0,"Avance fuera de rango 0-100%"&amp;" · ","")&amp;IF(OR(AND($J43&lt;&gt;"",$J43&lt;$I43),AND($K43&lt;&gt;"",$K43&lt;MAX($I43:$J43)),AND($L43&lt;&gt;"",$L43&lt;MAX($I43:$K43))),"Avance semanal decreciente"&amp;" · ","")&amp;IF(AND(ISNUMBER($AN43),$AN43&lt;FechaRef,IF($V43="Sub",N($X43),N($M43))&lt;1),"Vencida"&amp;" · ","")&amp;IF(AND(ObsObligatoria="Sí",ISNUMBER($AN43),$AN43&lt;FechaRef,IF($V43="Sub",N($X43),N($M43))&lt;1,$Q43=""),"Vencida sin observación"&amp;" · ",""))="","✔ OK","⚠ "&amp;LEFT(IF($C43="","Falta el nombre de la actividad"&amp;" · ","")&amp;IF(AND($V43="Sub",N($U43)=0),"Subactividad sin macroactividad arriba"&amp;" · ","")&amp;IF($AM43="","Sin fecha de inicio"&amp;" · ","")&amp;IF($AN43="","Sin fecha límite"&amp;" · ","")&amp;IF(AND(LEFT($C43,11)="[Jefatura] ",N($AL43)=0),"No se encuentra en la hoja de la jefatura (elíjala de nuevo en la lista)"&amp;" · ","")&amp;IF(OR(AND($E43&lt;&gt;"",NOT(ISNUMBER($E43))),AND($F43&lt;&gt;"",NOT(ISNUMBER($F43))),AND($G43&lt;&gt;"",NOT(ISNUMBER($G43)))),"Fecha no válida"&amp;" · ","")&amp;IF(AND(ISNUMBER($AM43),ISNUMBER($AN43),$AM43&gt;$AN43),"Inicio posterior a fecha límite"&amp;" · ","")&amp;IF(AND($V43="Macro",$H43&lt;&gt;"",OR(NOT(ISNUMBER($H43)),$H43&lt;0,$H43&gt;1)),"Peso fuera de rango"&amp;" · ","")&amp;IF(AND($V43="Sub",$H43&lt;&gt;""),"Las subactividades no llevan peso (valen igual dentro de su macroactividad)"&amp;" · ","")&amp;IF(AND(N($W43)&gt;0,COUNT($I43:$L43)&gt;0),"Con subactividades: deje vacías las semanas (se calculan solas)"&amp;" · ","")&amp;IF((COUNTIF($I43:$L43,"&gt;1")+COUNTIF($I43:$L43,"&lt;0")+COUNTA($I43:$L43)-COUNT($I43:$L43))&gt;0,"Avance fuera de rango 0-100%"&amp;" · ","")&amp;IF(OR(AND($J43&lt;&gt;"",$J43&lt;$I43),AND($K43&lt;&gt;"",$K43&lt;MAX($I43:$J43)),AND($L43&lt;&gt;"",$L43&lt;MAX($I43:$K43))),"Avance semanal decreciente"&amp;" · ","")&amp;IF(AND(ISNUMBER($AN43),$AN43&lt;FechaRef,IF($V43="Sub",N($X43),N($M43))&lt;1),"Vencida"&amp;" · ","")&amp;IF(AND(ObsObligatoria="Sí",ISNUMBER($AN43),$AN43&lt;FechaRef,IF($V43="Sub",N($X43),N($M43))&lt;1,$Q43=""),"Vencida sin observación"&amp;" · ",""),LEN(IF($C43="","Falta el nombre de la actividad"&amp;" · ","")&amp;IF(AND($V43="Sub",N($U43)=0),"Subactividad sin macroactividad arriba"&amp;" · ","")&amp;IF($AM43="","Sin fecha de inicio"&amp;" · ","")&amp;IF($AN43="","Sin fecha límite"&amp;" · ","")&amp;IF(AND(LEFT($C43,11)="[Jefatura] ",N($AL43)=0),"No se encuentra en la hoja de la jefatura (elíjala de nuevo en la lista)"&amp;" · ","")&amp;IF(OR(AND($E43&lt;&gt;"",NOT(ISNUMBER($E43))),AND($F43&lt;&gt;"",NOT(ISNUMBER($F43))),AND($G43&lt;&gt;"",NOT(ISNUMBER($G43)))),"Fecha no válida"&amp;" · ","")&amp;IF(AND(ISNUMBER($AM43),ISNUMBER($AN43),$AM43&gt;$AN43),"Inicio posterior a fecha límite"&amp;" · ","")&amp;IF(AND($V43="Macro",$H43&lt;&gt;"",OR(NOT(ISNUMBER($H43)),$H43&lt;0,$H43&gt;1)),"Peso fuera de rango"&amp;" · ","")&amp;IF(AND($V43="Sub",$H43&lt;&gt;""),"Las subactividades no llevan peso (valen igual dentro de su macroactividad)"&amp;" · ","")&amp;IF(AND(N($W43)&gt;0,COUNT($I43:$L43)&gt;0),"Con subactividades: deje vacías las semanas (se calculan solas)"&amp;" · ","")&amp;IF((COUNTIF($I43:$L43,"&gt;1")+COUNTIF($I43:$L43,"&lt;0")+COUNTA($I43:$L43)-COUNT($I43:$L43))&gt;0,"Avance fuera de rango 0-100%"&amp;" · ","")&amp;IF(OR(AND($J43&lt;&gt;"",$J43&lt;$I43),AND($K43&lt;&gt;"",$K43&lt;MAX($I43:$J43)),AND($L43&lt;&gt;"",$L43&lt;MAX($I43:$K43))),"Avance semanal decreciente"&amp;" · ","")&amp;IF(AND(ISNUMBER($AN43),$AN43&lt;FechaRef,IF($V43="Sub",N($X43),N($M43))&lt;1),"Vencida"&amp;" · ","")&amp;IF(AND(ObsObligatoria="Sí",ISNUMBER($AN43),$AN43&lt;FechaRef,IF($V43="Sub",N($X43),N($M43))&lt;1,$Q43=""),"Vencida sin observación"&amp;" · ",""))-3)))</f>
        <v/>
      </c>
      <c r="S43" s="64">
        <f>IF(NOT((COUNTA($B43:$D43)+COUNTA($G43:$L43)+COUNTA($Q43))&gt;0),"",IF(AND($V43="Sub",N($U43)&gt;0),IF(ISNUMBER(INDEX($AM$5:$AM$1000,$U43-4)),DATE(YEAR(INDEX($AM$5:$AM$1000,$U43-4)),MONTH(INDEX($AM$5:$AM$1000,$U43-4)),1),IF(ISNUMBER(INDEX($AN$5:$AN$1000,$U43-4)),DATE(YEAR(INDEX($AN$5:$AN$1000,$U43-4)),MONTH(INDEX($AN$5:$AN$1000,$U43-4)),1),MesCiclo)),IF(ISNUMBER($AM43),DATE(YEAR($AM43),MONTH($AM43),1),IF(ISNUMBER($AN43),DATE(YEAR($AN43),MONTH($AN43),1),MesCiclo))))</f>
        <v/>
      </c>
      <c r="T43" s="62">
        <f>IF(OR($S43="",$S43&lt;&gt;MesCiclo,$V43&lt;&gt;"Macro"),"",COUNTIFS($S$5:$S43,MesCiclo,$V$5:$V43,"Macro"))</f>
        <v/>
      </c>
      <c r="U43" s="62">
        <f>IF($V43="","",IF($V43="Macro",ROW(),IFERROR(LOOKUP(2,1/($V$5:$V43="Macro"),ROW($V$5:$V43)),0)))</f>
        <v/>
      </c>
      <c r="V43" s="62">
        <f>IF(NOT((COUNTA($B43:$D43)+COUNTA($G43:$L43)+COUNTA($Q43))&gt;0),"",IF($B43="Subactividad","Sub","Macro"))</f>
        <v/>
      </c>
      <c r="W43" s="62">
        <f>IF($V43="Macro",COUNTIFS($U$5:$U$1000,ROW(),$V$5:$V$1000,"Sub"),"")</f>
        <v/>
      </c>
      <c r="X43" s="62">
        <f>IF($V43="","",IF(ISNUMBER($G43),1,IFERROR(LOOKUP(2,1/($I43:$L43&lt;&gt;""),$I43:$L43),0)))</f>
        <v/>
      </c>
      <c r="Y43" s="62">
        <f>IF($V43="","",IF(AND(ISNUMBER($G43),$G43&lt;=IF($S43=MesCiclo,InicioCiclo,$S43+MOD(2-WEEKDAY($S43),7))+6),1,IF(ISNUMBER($I43),$I43,0)))</f>
        <v/>
      </c>
      <c r="Z43" s="62">
        <f>IF($V43="","",IF(AND(ISNUMBER($G43),$G43&lt;=IF($S43=MesCiclo,InicioCiclo,$S43+MOD(2-WEEKDAY($S43),7))+13),1,IF(ISNUMBER($J43),$J43,$Y43)))</f>
        <v/>
      </c>
      <c r="AA43" s="62">
        <f>IF($V43="","",IF(AND(ISNUMBER($G43),$G43&lt;=IF($S43=MesCiclo,InicioCiclo,$S43+MOD(2-WEEKDAY($S43),7))+20),1,IF(ISNUMBER($K43),$K43,$Z43)))</f>
        <v/>
      </c>
      <c r="AB43" s="62">
        <f>IF($V43="","",IF(AND(ISNUMBER($G43),$G43&lt;=IF($S43=MesCiclo,InicioCiclo,$S43+MOD(2-WEEKDAY($S43),7))+27),1,IF(ISNUMBER($L43),$L43,$AA43)))</f>
        <v/>
      </c>
      <c r="AC43" s="62">
        <f>IF($V43="","",IF(AND(ISNUMBER($G43),$G43&lt;=IF($S43=MesCiclo,InicioCiclo,$S43+MOD(2-WEEKDAY($S43),7))+6),1,IF(N($W43)&gt;0,AVERAGEIFS($Y$5:$Y$1000,$U$5:$U$1000,ROW(),$V$5:$V$1000,"Sub"),$Y43)))</f>
        <v/>
      </c>
      <c r="AD43" s="62">
        <f>IF($V43="","",IF(AND(ISNUMBER($G43),$G43&lt;=IF($S43=MesCiclo,InicioCiclo,$S43+MOD(2-WEEKDAY($S43),7))+13),1,IF(N($W43)&gt;0,AVERAGEIFS($Z$5:$Z$1000,$U$5:$U$1000,ROW(),$V$5:$V$1000,"Sub"),$Z43)))</f>
        <v/>
      </c>
      <c r="AE43" s="62">
        <f>IF($V43="","",IF(AND(ISNUMBER($G43),$G43&lt;=IF($S43=MesCiclo,InicioCiclo,$S43+MOD(2-WEEKDAY($S43),7))+20),1,IF(N($W43)&gt;0,AVERAGEIFS($AA$5:$AA$1000,$U$5:$U$1000,ROW(),$V$5:$V$1000,"Sub"),$AA43)))</f>
        <v/>
      </c>
      <c r="AF43" s="62">
        <f>IF($V43="","",IF(AND(ISNUMBER($G43),$G43&lt;=IF($S43=MesCiclo,InicioCiclo,$S43+MOD(2-WEEKDAY($S43),7))+27),1,IF(N($W43)&gt;0,AVERAGEIFS($AB$5:$AB$1000,$U$5:$U$1000,ROW(),$V$5:$V$1000,"Sub"),$AB43)))</f>
        <v/>
      </c>
      <c r="AG43" s="62">
        <f>IF($V43&lt;&gt;"Macro","",IF(COUNTIFS($S$5:$S$1000,$S43,$V$5:$V$1000,"Macro",$H$5:$H$1000,"&gt;0")=0,1/COUNTIFS($S$5:$S$1000,$S43,$V$5:$V$1000,"Macro"),IF(AND(ISNUMBER($H43),N($H43)&gt;0),$H43,SUMIFS($H$5:$H$1000,$S$5:$S$1000,$S43,$V$5:$V$1000,"Macro")/COUNTIFS($S$5:$S$1000,$S43,$V$5:$V$1000,"Macro",$H$5:$H$1000,"&gt;0"))/(COUNTIFS($S$5:$S$1000,$S43,$V$5:$V$1000,"Macro")*SUMIFS($H$5:$H$1000,$S$5:$S$1000,$S43,$V$5:$V$1000,"Macro")/COUNTIFS($S$5:$S$1000,$S43,$V$5:$V$1000,"Macro",$H$5:$H$1000,"&gt;0"))))</f>
        <v/>
      </c>
      <c r="AH43" s="62" t="n"/>
      <c r="AI43" s="62" t="n"/>
      <c r="AJ43" s="62" t="n"/>
      <c r="AK43" s="62" t="n"/>
      <c r="AL43" s="62">
        <f>IF(LEFT($C43,11)="[Jefatura] ",IFERROR(MATCH("Asistente Técnico de Riesgo|"&amp;MID($C43,12,500),rDname_ADM,0),0),"")</f>
        <v/>
      </c>
      <c r="AM43" s="62">
        <f>IF(N($AL43)&gt;0,INDEX(rIni_ADM,$AL43),IF(ISNUMBER($E43),$E43,""))</f>
        <v/>
      </c>
      <c r="AN43" s="62">
        <f>IF(N($AL43)&gt;0,INDEX(rLim_ADM,$AL43),IF(ISNUMBER($F43),$F43,""))</f>
        <v/>
      </c>
    </row>
    <row r="44">
      <c r="A44" s="56">
        <f>IF(NOT((COUNTA($B44:$D44)+COUNTA($G44:$L44)+COUNTA($Q44))&gt;0),"",IF($V44="Macro",COUNTIFS($V$5:$V44,"Macro",$S$5:$S44,$S44),IF(N($U44)=0,"?",COUNTIFS(INDEX($V$5:$V$1000,1):INDEX($V$5:$V$1000,$U44-4),"Macro",INDEX($S$5:$S$1000,1):INDEX($S$5:$S$1000,$U44-4),INDEX($S$5:$S$1000,$U44-4))&amp;"."&amp;COUNTIFS($U$5:$U44,$U44,$V$5:$V44,"Sub"))))</f>
        <v/>
      </c>
      <c r="B44" s="57" t="n"/>
      <c r="C44" s="58" t="n"/>
      <c r="D44" s="58" t="n"/>
      <c r="E44" s="59">
        <f>IF(N($AL44)&gt;0,INDEX(rIni_ADM,$AL44),"")</f>
        <v/>
      </c>
      <c r="F44" s="59">
        <f>IF(N($AL44)&gt;0,INDEX(rLim_ADM,$AL44),"")</f>
        <v/>
      </c>
      <c r="G44" s="59" t="n"/>
      <c r="H44" s="60" t="n"/>
      <c r="I44" s="60" t="n"/>
      <c r="J44" s="60" t="n"/>
      <c r="K44" s="60" t="n"/>
      <c r="L44" s="60" t="n"/>
      <c r="M44" s="61">
        <f>IF(NOT((COUNTA($B44:$D44)+COUNTA($G44:$L44)+COUNTA($Q44))&gt;0),"",IF($V44="Sub",IFERROR($X44/INDEX($W$5:$W$1000,$U44-4),""),IF(ISNUMBER($G44),1,IF(N($W44)&gt;0,AVERAGEIFS($X$5:$X$1000,$U$5:$U$1000,ROW(),$V$5:$V$1000,"Sub"),$X44))))</f>
        <v/>
      </c>
      <c r="N44" s="56">
        <f>IF(OR($M44="",$V44="Sub"),"",IF($M44&gt;=1,"Completado",IF($M44&gt;0,"En curso","Pendiente")))</f>
        <v/>
      </c>
      <c r="O44" s="56">
        <f>IF(OR(NOT((COUNTA($B44:$D44)+COUNTA($G44:$L44)+COUNTA($Q44))&gt;0),$V44="Sub"),"",IF(ISNUMBER($G44),IF(AND(ISNUMBER($AN44),$G44&gt;$AN44),"Cumplida con "&amp;($G44-$AN44)&amp;IF($G44-$AN44=1," día"," días")&amp;" de retraso","Cumplida"),IF(N($M44)&gt;=1,"Cumplida",IF(NOT(ISNUMBER($AN44)),"Sin fecha límite",IF($AN44&lt;FechaRef,"Vencida hace "&amp;(FechaRef-$AN44)&amp;IF(FechaRef-$AN44=1," día"," días"),IF($AN44=FechaRef,"Vence hoy",IF($AN44-FechaRef&lt;=DiasAlerta,"Vence en "&amp;($AN44-FechaRef)&amp;IF($AN44-FechaRef=1," día"," días"),"En plazo")))))))</f>
        <v/>
      </c>
      <c r="P44" s="62" t="n"/>
      <c r="Q44" s="58" t="n"/>
      <c r="R44" s="63">
        <f>IF(NOT((COUNTA($B44:$D44)+COUNTA($G44:$L44)+COUNTA($Q44))&gt;0),"",IF((IF($C44="","Falta el nombre de la actividad"&amp;" · ","")&amp;IF(AND($V44="Sub",N($U44)=0),"Subactividad sin macroactividad arriba"&amp;" · ","")&amp;IF($AM44="","Sin fecha de inicio"&amp;" · ","")&amp;IF($AN44="","Sin fecha límite"&amp;" · ","")&amp;IF(AND(LEFT($C44,11)="[Jefatura] ",N($AL44)=0),"No se encuentra en la hoja de la jefatura (elíjala de nuevo en la lista)"&amp;" · ","")&amp;IF(OR(AND($E44&lt;&gt;"",NOT(ISNUMBER($E44))),AND($F44&lt;&gt;"",NOT(ISNUMBER($F44))),AND($G44&lt;&gt;"",NOT(ISNUMBER($G44)))),"Fecha no válida"&amp;" · ","")&amp;IF(AND(ISNUMBER($AM44),ISNUMBER($AN44),$AM44&gt;$AN44),"Inicio posterior a fecha límite"&amp;" · ","")&amp;IF(AND($V44="Macro",$H44&lt;&gt;"",OR(NOT(ISNUMBER($H44)),$H44&lt;0,$H44&gt;1)),"Peso fuera de rango"&amp;" · ","")&amp;IF(AND($V44="Sub",$H44&lt;&gt;""),"Las subactividades no llevan peso (valen igual dentro de su macroactividad)"&amp;" · ","")&amp;IF(AND(N($W44)&gt;0,COUNT($I44:$L44)&gt;0),"Con subactividades: deje vacías las semanas (se calculan solas)"&amp;" · ","")&amp;IF((COUNTIF($I44:$L44,"&gt;1")+COUNTIF($I44:$L44,"&lt;0")+COUNTA($I44:$L44)-COUNT($I44:$L44))&gt;0,"Avance fuera de rango 0-100%"&amp;" · ","")&amp;IF(OR(AND($J44&lt;&gt;"",$J44&lt;$I44),AND($K44&lt;&gt;"",$K44&lt;MAX($I44:$J44)),AND($L44&lt;&gt;"",$L44&lt;MAX($I44:$K44))),"Avance semanal decreciente"&amp;" · ","")&amp;IF(AND(ISNUMBER($AN44),$AN44&lt;FechaRef,IF($V44="Sub",N($X44),N($M44))&lt;1),"Vencida"&amp;" · ","")&amp;IF(AND(ObsObligatoria="Sí",ISNUMBER($AN44),$AN44&lt;FechaRef,IF($V44="Sub",N($X44),N($M44))&lt;1,$Q44=""),"Vencida sin observación"&amp;" · ",""))="","✔ OK","⚠ "&amp;LEFT(IF($C44="","Falta el nombre de la actividad"&amp;" · ","")&amp;IF(AND($V44="Sub",N($U44)=0),"Subactividad sin macroactividad arriba"&amp;" · ","")&amp;IF($AM44="","Sin fecha de inicio"&amp;" · ","")&amp;IF($AN44="","Sin fecha límite"&amp;" · ","")&amp;IF(AND(LEFT($C44,11)="[Jefatura] ",N($AL44)=0),"No se encuentra en la hoja de la jefatura (elíjala de nuevo en la lista)"&amp;" · ","")&amp;IF(OR(AND($E44&lt;&gt;"",NOT(ISNUMBER($E44))),AND($F44&lt;&gt;"",NOT(ISNUMBER($F44))),AND($G44&lt;&gt;"",NOT(ISNUMBER($G44)))),"Fecha no válida"&amp;" · ","")&amp;IF(AND(ISNUMBER($AM44),ISNUMBER($AN44),$AM44&gt;$AN44),"Inicio posterior a fecha límite"&amp;" · ","")&amp;IF(AND($V44="Macro",$H44&lt;&gt;"",OR(NOT(ISNUMBER($H44)),$H44&lt;0,$H44&gt;1)),"Peso fuera de rango"&amp;" · ","")&amp;IF(AND($V44="Sub",$H44&lt;&gt;""),"Las subactividades no llevan peso (valen igual dentro de su macroactividad)"&amp;" · ","")&amp;IF(AND(N($W44)&gt;0,COUNT($I44:$L44)&gt;0),"Con subactividades: deje vacías las semanas (se calculan solas)"&amp;" · ","")&amp;IF((COUNTIF($I44:$L44,"&gt;1")+COUNTIF($I44:$L44,"&lt;0")+COUNTA($I44:$L44)-COUNT($I44:$L44))&gt;0,"Avance fuera de rango 0-100%"&amp;" · ","")&amp;IF(OR(AND($J44&lt;&gt;"",$J44&lt;$I44),AND($K44&lt;&gt;"",$K44&lt;MAX($I44:$J44)),AND($L44&lt;&gt;"",$L44&lt;MAX($I44:$K44))),"Avance semanal decreciente"&amp;" · ","")&amp;IF(AND(ISNUMBER($AN44),$AN44&lt;FechaRef,IF($V44="Sub",N($X44),N($M44))&lt;1),"Vencida"&amp;" · ","")&amp;IF(AND(ObsObligatoria="Sí",ISNUMBER($AN44),$AN44&lt;FechaRef,IF($V44="Sub",N($X44),N($M44))&lt;1,$Q44=""),"Vencida sin observación"&amp;" · ",""),LEN(IF($C44="","Falta el nombre de la actividad"&amp;" · ","")&amp;IF(AND($V44="Sub",N($U44)=0),"Subactividad sin macroactividad arriba"&amp;" · ","")&amp;IF($AM44="","Sin fecha de inicio"&amp;" · ","")&amp;IF($AN44="","Sin fecha límite"&amp;" · ","")&amp;IF(AND(LEFT($C44,11)="[Jefatura] ",N($AL44)=0),"No se encuentra en la hoja de la jefatura (elíjala de nuevo en la lista)"&amp;" · ","")&amp;IF(OR(AND($E44&lt;&gt;"",NOT(ISNUMBER($E44))),AND($F44&lt;&gt;"",NOT(ISNUMBER($F44))),AND($G44&lt;&gt;"",NOT(ISNUMBER($G44)))),"Fecha no válida"&amp;" · ","")&amp;IF(AND(ISNUMBER($AM44),ISNUMBER($AN44),$AM44&gt;$AN44),"Inicio posterior a fecha límite"&amp;" · ","")&amp;IF(AND($V44="Macro",$H44&lt;&gt;"",OR(NOT(ISNUMBER($H44)),$H44&lt;0,$H44&gt;1)),"Peso fuera de rango"&amp;" · ","")&amp;IF(AND($V44="Sub",$H44&lt;&gt;""),"Las subactividades no llevan peso (valen igual dentro de su macroactividad)"&amp;" · ","")&amp;IF(AND(N($W44)&gt;0,COUNT($I44:$L44)&gt;0),"Con subactividades: deje vacías las semanas (se calculan solas)"&amp;" · ","")&amp;IF((COUNTIF($I44:$L44,"&gt;1")+COUNTIF($I44:$L44,"&lt;0")+COUNTA($I44:$L44)-COUNT($I44:$L44))&gt;0,"Avance fuera de rango 0-100%"&amp;" · ","")&amp;IF(OR(AND($J44&lt;&gt;"",$J44&lt;$I44),AND($K44&lt;&gt;"",$K44&lt;MAX($I44:$J44)),AND($L44&lt;&gt;"",$L44&lt;MAX($I44:$K44))),"Avance semanal decreciente"&amp;" · ","")&amp;IF(AND(ISNUMBER($AN44),$AN44&lt;FechaRef,IF($V44="Sub",N($X44),N($M44))&lt;1),"Vencida"&amp;" · ","")&amp;IF(AND(ObsObligatoria="Sí",ISNUMBER($AN44),$AN44&lt;FechaRef,IF($V44="Sub",N($X44),N($M44))&lt;1,$Q44=""),"Vencida sin observación"&amp;" · ",""))-3)))</f>
        <v/>
      </c>
      <c r="S44" s="64">
        <f>IF(NOT((COUNTA($B44:$D44)+COUNTA($G44:$L44)+COUNTA($Q44))&gt;0),"",IF(AND($V44="Sub",N($U44)&gt;0),IF(ISNUMBER(INDEX($AM$5:$AM$1000,$U44-4)),DATE(YEAR(INDEX($AM$5:$AM$1000,$U44-4)),MONTH(INDEX($AM$5:$AM$1000,$U44-4)),1),IF(ISNUMBER(INDEX($AN$5:$AN$1000,$U44-4)),DATE(YEAR(INDEX($AN$5:$AN$1000,$U44-4)),MONTH(INDEX($AN$5:$AN$1000,$U44-4)),1),MesCiclo)),IF(ISNUMBER($AM44),DATE(YEAR($AM44),MONTH($AM44),1),IF(ISNUMBER($AN44),DATE(YEAR($AN44),MONTH($AN44),1),MesCiclo))))</f>
        <v/>
      </c>
      <c r="T44" s="62">
        <f>IF(OR($S44="",$S44&lt;&gt;MesCiclo,$V44&lt;&gt;"Macro"),"",COUNTIFS($S$5:$S44,MesCiclo,$V$5:$V44,"Macro"))</f>
        <v/>
      </c>
      <c r="U44" s="62">
        <f>IF($V44="","",IF($V44="Macro",ROW(),IFERROR(LOOKUP(2,1/($V$5:$V44="Macro"),ROW($V$5:$V44)),0)))</f>
        <v/>
      </c>
      <c r="V44" s="62">
        <f>IF(NOT((COUNTA($B44:$D44)+COUNTA($G44:$L44)+COUNTA($Q44))&gt;0),"",IF($B44="Subactividad","Sub","Macro"))</f>
        <v/>
      </c>
      <c r="W44" s="62">
        <f>IF($V44="Macro",COUNTIFS($U$5:$U$1000,ROW(),$V$5:$V$1000,"Sub"),"")</f>
        <v/>
      </c>
      <c r="X44" s="62">
        <f>IF($V44="","",IF(ISNUMBER($G44),1,IFERROR(LOOKUP(2,1/($I44:$L44&lt;&gt;""),$I44:$L44),0)))</f>
        <v/>
      </c>
      <c r="Y44" s="62">
        <f>IF($V44="","",IF(AND(ISNUMBER($G44),$G44&lt;=IF($S44=MesCiclo,InicioCiclo,$S44+MOD(2-WEEKDAY($S44),7))+6),1,IF(ISNUMBER($I44),$I44,0)))</f>
        <v/>
      </c>
      <c r="Z44" s="62">
        <f>IF($V44="","",IF(AND(ISNUMBER($G44),$G44&lt;=IF($S44=MesCiclo,InicioCiclo,$S44+MOD(2-WEEKDAY($S44),7))+13),1,IF(ISNUMBER($J44),$J44,$Y44)))</f>
        <v/>
      </c>
      <c r="AA44" s="62">
        <f>IF($V44="","",IF(AND(ISNUMBER($G44),$G44&lt;=IF($S44=MesCiclo,InicioCiclo,$S44+MOD(2-WEEKDAY($S44),7))+20),1,IF(ISNUMBER($K44),$K44,$Z44)))</f>
        <v/>
      </c>
      <c r="AB44" s="62">
        <f>IF($V44="","",IF(AND(ISNUMBER($G44),$G44&lt;=IF($S44=MesCiclo,InicioCiclo,$S44+MOD(2-WEEKDAY($S44),7))+27),1,IF(ISNUMBER($L44),$L44,$AA44)))</f>
        <v/>
      </c>
      <c r="AC44" s="62">
        <f>IF($V44="","",IF(AND(ISNUMBER($G44),$G44&lt;=IF($S44=MesCiclo,InicioCiclo,$S44+MOD(2-WEEKDAY($S44),7))+6),1,IF(N($W44)&gt;0,AVERAGEIFS($Y$5:$Y$1000,$U$5:$U$1000,ROW(),$V$5:$V$1000,"Sub"),$Y44)))</f>
        <v/>
      </c>
      <c r="AD44" s="62">
        <f>IF($V44="","",IF(AND(ISNUMBER($G44),$G44&lt;=IF($S44=MesCiclo,InicioCiclo,$S44+MOD(2-WEEKDAY($S44),7))+13),1,IF(N($W44)&gt;0,AVERAGEIFS($Z$5:$Z$1000,$U$5:$U$1000,ROW(),$V$5:$V$1000,"Sub"),$Z44)))</f>
        <v/>
      </c>
      <c r="AE44" s="62">
        <f>IF($V44="","",IF(AND(ISNUMBER($G44),$G44&lt;=IF($S44=MesCiclo,InicioCiclo,$S44+MOD(2-WEEKDAY($S44),7))+20),1,IF(N($W44)&gt;0,AVERAGEIFS($AA$5:$AA$1000,$U$5:$U$1000,ROW(),$V$5:$V$1000,"Sub"),$AA44)))</f>
        <v/>
      </c>
      <c r="AF44" s="62">
        <f>IF($V44="","",IF(AND(ISNUMBER($G44),$G44&lt;=IF($S44=MesCiclo,InicioCiclo,$S44+MOD(2-WEEKDAY($S44),7))+27),1,IF(N($W44)&gt;0,AVERAGEIFS($AB$5:$AB$1000,$U$5:$U$1000,ROW(),$V$5:$V$1000,"Sub"),$AB44)))</f>
        <v/>
      </c>
      <c r="AG44" s="62">
        <f>IF($V44&lt;&gt;"Macro","",IF(COUNTIFS($S$5:$S$1000,$S44,$V$5:$V$1000,"Macro",$H$5:$H$1000,"&gt;0")=0,1/COUNTIFS($S$5:$S$1000,$S44,$V$5:$V$1000,"Macro"),IF(AND(ISNUMBER($H44),N($H44)&gt;0),$H44,SUMIFS($H$5:$H$1000,$S$5:$S$1000,$S44,$V$5:$V$1000,"Macro")/COUNTIFS($S$5:$S$1000,$S44,$V$5:$V$1000,"Macro",$H$5:$H$1000,"&gt;0"))/(COUNTIFS($S$5:$S$1000,$S44,$V$5:$V$1000,"Macro")*SUMIFS($H$5:$H$1000,$S$5:$S$1000,$S44,$V$5:$V$1000,"Macro")/COUNTIFS($S$5:$S$1000,$S44,$V$5:$V$1000,"Macro",$H$5:$H$1000,"&gt;0"))))</f>
        <v/>
      </c>
      <c r="AH44" s="62" t="n"/>
      <c r="AI44" s="62" t="n"/>
      <c r="AJ44" s="62" t="n"/>
      <c r="AK44" s="62" t="n"/>
      <c r="AL44" s="62">
        <f>IF(LEFT($C44,11)="[Jefatura] ",IFERROR(MATCH("Asistente Técnico de Riesgo|"&amp;MID($C44,12,500),rDname_ADM,0),0),"")</f>
        <v/>
      </c>
      <c r="AM44" s="62">
        <f>IF(N($AL44)&gt;0,INDEX(rIni_ADM,$AL44),IF(ISNUMBER($E44),$E44,""))</f>
        <v/>
      </c>
      <c r="AN44" s="62">
        <f>IF(N($AL44)&gt;0,INDEX(rLim_ADM,$AL44),IF(ISNUMBER($F44),$F44,""))</f>
        <v/>
      </c>
    </row>
    <row r="45">
      <c r="A45" s="56">
        <f>IF(NOT((COUNTA($B45:$D45)+COUNTA($G45:$L45)+COUNTA($Q45))&gt;0),"",IF($V45="Macro",COUNTIFS($V$5:$V45,"Macro",$S$5:$S45,$S45),IF(N($U45)=0,"?",COUNTIFS(INDEX($V$5:$V$1000,1):INDEX($V$5:$V$1000,$U45-4),"Macro",INDEX($S$5:$S$1000,1):INDEX($S$5:$S$1000,$U45-4),INDEX($S$5:$S$1000,$U45-4))&amp;"."&amp;COUNTIFS($U$5:$U45,$U45,$V$5:$V45,"Sub"))))</f>
        <v/>
      </c>
      <c r="B45" s="57" t="n"/>
      <c r="C45" s="58" t="n"/>
      <c r="D45" s="58" t="n"/>
      <c r="E45" s="59">
        <f>IF(N($AL45)&gt;0,INDEX(rIni_ADM,$AL45),"")</f>
        <v/>
      </c>
      <c r="F45" s="59">
        <f>IF(N($AL45)&gt;0,INDEX(rLim_ADM,$AL45),"")</f>
        <v/>
      </c>
      <c r="G45" s="59" t="n"/>
      <c r="H45" s="60" t="n"/>
      <c r="I45" s="60" t="n"/>
      <c r="J45" s="60" t="n"/>
      <c r="K45" s="60" t="n"/>
      <c r="L45" s="60" t="n"/>
      <c r="M45" s="61">
        <f>IF(NOT((COUNTA($B45:$D45)+COUNTA($G45:$L45)+COUNTA($Q45))&gt;0),"",IF($V45="Sub",IFERROR($X45/INDEX($W$5:$W$1000,$U45-4),""),IF(ISNUMBER($G45),1,IF(N($W45)&gt;0,AVERAGEIFS($X$5:$X$1000,$U$5:$U$1000,ROW(),$V$5:$V$1000,"Sub"),$X45))))</f>
        <v/>
      </c>
      <c r="N45" s="56">
        <f>IF(OR($M45="",$V45="Sub"),"",IF($M45&gt;=1,"Completado",IF($M45&gt;0,"En curso","Pendiente")))</f>
        <v/>
      </c>
      <c r="O45" s="56">
        <f>IF(OR(NOT((COUNTA($B45:$D45)+COUNTA($G45:$L45)+COUNTA($Q45))&gt;0),$V45="Sub"),"",IF(ISNUMBER($G45),IF(AND(ISNUMBER($AN45),$G45&gt;$AN45),"Cumplida con "&amp;($G45-$AN45)&amp;IF($G45-$AN45=1," día"," días")&amp;" de retraso","Cumplida"),IF(N($M45)&gt;=1,"Cumplida",IF(NOT(ISNUMBER($AN45)),"Sin fecha límite",IF($AN45&lt;FechaRef,"Vencida hace "&amp;(FechaRef-$AN45)&amp;IF(FechaRef-$AN45=1," día"," días"),IF($AN45=FechaRef,"Vence hoy",IF($AN45-FechaRef&lt;=DiasAlerta,"Vence en "&amp;($AN45-FechaRef)&amp;IF($AN45-FechaRef=1," día"," días"),"En plazo")))))))</f>
        <v/>
      </c>
      <c r="P45" s="62" t="n"/>
      <c r="Q45" s="58" t="n"/>
      <c r="R45" s="63">
        <f>IF(NOT((COUNTA($B45:$D45)+COUNTA($G45:$L45)+COUNTA($Q45))&gt;0),"",IF((IF($C45="","Falta el nombre de la actividad"&amp;" · ","")&amp;IF(AND($V45="Sub",N($U45)=0),"Subactividad sin macroactividad arriba"&amp;" · ","")&amp;IF($AM45="","Sin fecha de inicio"&amp;" · ","")&amp;IF($AN45="","Sin fecha límite"&amp;" · ","")&amp;IF(AND(LEFT($C45,11)="[Jefatura] ",N($AL45)=0),"No se encuentra en la hoja de la jefatura (elíjala de nuevo en la lista)"&amp;" · ","")&amp;IF(OR(AND($E45&lt;&gt;"",NOT(ISNUMBER($E45))),AND($F45&lt;&gt;"",NOT(ISNUMBER($F45))),AND($G45&lt;&gt;"",NOT(ISNUMBER($G45)))),"Fecha no válida"&amp;" · ","")&amp;IF(AND(ISNUMBER($AM45),ISNUMBER($AN45),$AM45&gt;$AN45),"Inicio posterior a fecha límite"&amp;" · ","")&amp;IF(AND($V45="Macro",$H45&lt;&gt;"",OR(NOT(ISNUMBER($H45)),$H45&lt;0,$H45&gt;1)),"Peso fuera de rango"&amp;" · ","")&amp;IF(AND($V45="Sub",$H45&lt;&gt;""),"Las subactividades no llevan peso (valen igual dentro de su macroactividad)"&amp;" · ","")&amp;IF(AND(N($W45)&gt;0,COUNT($I45:$L45)&gt;0),"Con subactividades: deje vacías las semanas (se calculan solas)"&amp;" · ","")&amp;IF((COUNTIF($I45:$L45,"&gt;1")+COUNTIF($I45:$L45,"&lt;0")+COUNTA($I45:$L45)-COUNT($I45:$L45))&gt;0,"Avance fuera de rango 0-100%"&amp;" · ","")&amp;IF(OR(AND($J45&lt;&gt;"",$J45&lt;$I45),AND($K45&lt;&gt;"",$K45&lt;MAX($I45:$J45)),AND($L45&lt;&gt;"",$L45&lt;MAX($I45:$K45))),"Avance semanal decreciente"&amp;" · ","")&amp;IF(AND(ISNUMBER($AN45),$AN45&lt;FechaRef,IF($V45="Sub",N($X45),N($M45))&lt;1),"Vencida"&amp;" · ","")&amp;IF(AND(ObsObligatoria="Sí",ISNUMBER($AN45),$AN45&lt;FechaRef,IF($V45="Sub",N($X45),N($M45))&lt;1,$Q45=""),"Vencida sin observación"&amp;" · ",""))="","✔ OK","⚠ "&amp;LEFT(IF($C45="","Falta el nombre de la actividad"&amp;" · ","")&amp;IF(AND($V45="Sub",N($U45)=0),"Subactividad sin macroactividad arriba"&amp;" · ","")&amp;IF($AM45="","Sin fecha de inicio"&amp;" · ","")&amp;IF($AN45="","Sin fecha límite"&amp;" · ","")&amp;IF(AND(LEFT($C45,11)="[Jefatura] ",N($AL45)=0),"No se encuentra en la hoja de la jefatura (elíjala de nuevo en la lista)"&amp;" · ","")&amp;IF(OR(AND($E45&lt;&gt;"",NOT(ISNUMBER($E45))),AND($F45&lt;&gt;"",NOT(ISNUMBER($F45))),AND($G45&lt;&gt;"",NOT(ISNUMBER($G45)))),"Fecha no válida"&amp;" · ","")&amp;IF(AND(ISNUMBER($AM45),ISNUMBER($AN45),$AM45&gt;$AN45),"Inicio posterior a fecha límite"&amp;" · ","")&amp;IF(AND($V45="Macro",$H45&lt;&gt;"",OR(NOT(ISNUMBER($H45)),$H45&lt;0,$H45&gt;1)),"Peso fuera de rango"&amp;" · ","")&amp;IF(AND($V45="Sub",$H45&lt;&gt;""),"Las subactividades no llevan peso (valen igual dentro de su macroactividad)"&amp;" · ","")&amp;IF(AND(N($W45)&gt;0,COUNT($I45:$L45)&gt;0),"Con subactividades: deje vacías las semanas (se calculan solas)"&amp;" · ","")&amp;IF((COUNTIF($I45:$L45,"&gt;1")+COUNTIF($I45:$L45,"&lt;0")+COUNTA($I45:$L45)-COUNT($I45:$L45))&gt;0,"Avance fuera de rango 0-100%"&amp;" · ","")&amp;IF(OR(AND($J45&lt;&gt;"",$J45&lt;$I45),AND($K45&lt;&gt;"",$K45&lt;MAX($I45:$J45)),AND($L45&lt;&gt;"",$L45&lt;MAX($I45:$K45))),"Avance semanal decreciente"&amp;" · ","")&amp;IF(AND(ISNUMBER($AN45),$AN45&lt;FechaRef,IF($V45="Sub",N($X45),N($M45))&lt;1),"Vencida"&amp;" · ","")&amp;IF(AND(ObsObligatoria="Sí",ISNUMBER($AN45),$AN45&lt;FechaRef,IF($V45="Sub",N($X45),N($M45))&lt;1,$Q45=""),"Vencida sin observación"&amp;" · ",""),LEN(IF($C45="","Falta el nombre de la actividad"&amp;" · ","")&amp;IF(AND($V45="Sub",N($U45)=0),"Subactividad sin macroactividad arriba"&amp;" · ","")&amp;IF($AM45="","Sin fecha de inicio"&amp;" · ","")&amp;IF($AN45="","Sin fecha límite"&amp;" · ","")&amp;IF(AND(LEFT($C45,11)="[Jefatura] ",N($AL45)=0),"No se encuentra en la hoja de la jefatura (elíjala de nuevo en la lista)"&amp;" · ","")&amp;IF(OR(AND($E45&lt;&gt;"",NOT(ISNUMBER($E45))),AND($F45&lt;&gt;"",NOT(ISNUMBER($F45))),AND($G45&lt;&gt;"",NOT(ISNUMBER($G45)))),"Fecha no válida"&amp;" · ","")&amp;IF(AND(ISNUMBER($AM45),ISNUMBER($AN45),$AM45&gt;$AN45),"Inicio posterior a fecha límite"&amp;" · ","")&amp;IF(AND($V45="Macro",$H45&lt;&gt;"",OR(NOT(ISNUMBER($H45)),$H45&lt;0,$H45&gt;1)),"Peso fuera de rango"&amp;" · ","")&amp;IF(AND($V45="Sub",$H45&lt;&gt;""),"Las subactividades no llevan peso (valen igual dentro de su macroactividad)"&amp;" · ","")&amp;IF(AND(N($W45)&gt;0,COUNT($I45:$L45)&gt;0),"Con subactividades: deje vacías las semanas (se calculan solas)"&amp;" · ","")&amp;IF((COUNTIF($I45:$L45,"&gt;1")+COUNTIF($I45:$L45,"&lt;0")+COUNTA($I45:$L45)-COUNT($I45:$L45))&gt;0,"Avance fuera de rango 0-100%"&amp;" · ","")&amp;IF(OR(AND($J45&lt;&gt;"",$J45&lt;$I45),AND($K45&lt;&gt;"",$K45&lt;MAX($I45:$J45)),AND($L45&lt;&gt;"",$L45&lt;MAX($I45:$K45))),"Avance semanal decreciente"&amp;" · ","")&amp;IF(AND(ISNUMBER($AN45),$AN45&lt;FechaRef,IF($V45="Sub",N($X45),N($M45))&lt;1),"Vencida"&amp;" · ","")&amp;IF(AND(ObsObligatoria="Sí",ISNUMBER($AN45),$AN45&lt;FechaRef,IF($V45="Sub",N($X45),N($M45))&lt;1,$Q45=""),"Vencida sin observación"&amp;" · ",""))-3)))</f>
        <v/>
      </c>
      <c r="S45" s="64">
        <f>IF(NOT((COUNTA($B45:$D45)+COUNTA($G45:$L45)+COUNTA($Q45))&gt;0),"",IF(AND($V45="Sub",N($U45)&gt;0),IF(ISNUMBER(INDEX($AM$5:$AM$1000,$U45-4)),DATE(YEAR(INDEX($AM$5:$AM$1000,$U45-4)),MONTH(INDEX($AM$5:$AM$1000,$U45-4)),1),IF(ISNUMBER(INDEX($AN$5:$AN$1000,$U45-4)),DATE(YEAR(INDEX($AN$5:$AN$1000,$U45-4)),MONTH(INDEX($AN$5:$AN$1000,$U45-4)),1),MesCiclo)),IF(ISNUMBER($AM45),DATE(YEAR($AM45),MONTH($AM45),1),IF(ISNUMBER($AN45),DATE(YEAR($AN45),MONTH($AN45),1),MesCiclo))))</f>
        <v/>
      </c>
      <c r="T45" s="62">
        <f>IF(OR($S45="",$S45&lt;&gt;MesCiclo,$V45&lt;&gt;"Macro"),"",COUNTIFS($S$5:$S45,MesCiclo,$V$5:$V45,"Macro"))</f>
        <v/>
      </c>
      <c r="U45" s="62">
        <f>IF($V45="","",IF($V45="Macro",ROW(),IFERROR(LOOKUP(2,1/($V$5:$V45="Macro"),ROW($V$5:$V45)),0)))</f>
        <v/>
      </c>
      <c r="V45" s="62">
        <f>IF(NOT((COUNTA($B45:$D45)+COUNTA($G45:$L45)+COUNTA($Q45))&gt;0),"",IF($B45="Subactividad","Sub","Macro"))</f>
        <v/>
      </c>
      <c r="W45" s="62">
        <f>IF($V45="Macro",COUNTIFS($U$5:$U$1000,ROW(),$V$5:$V$1000,"Sub"),"")</f>
        <v/>
      </c>
      <c r="X45" s="62">
        <f>IF($V45="","",IF(ISNUMBER($G45),1,IFERROR(LOOKUP(2,1/($I45:$L45&lt;&gt;""),$I45:$L45),0)))</f>
        <v/>
      </c>
      <c r="Y45" s="62">
        <f>IF($V45="","",IF(AND(ISNUMBER($G45),$G45&lt;=IF($S45=MesCiclo,InicioCiclo,$S45+MOD(2-WEEKDAY($S45),7))+6),1,IF(ISNUMBER($I45),$I45,0)))</f>
        <v/>
      </c>
      <c r="Z45" s="62">
        <f>IF($V45="","",IF(AND(ISNUMBER($G45),$G45&lt;=IF($S45=MesCiclo,InicioCiclo,$S45+MOD(2-WEEKDAY($S45),7))+13),1,IF(ISNUMBER($J45),$J45,$Y45)))</f>
        <v/>
      </c>
      <c r="AA45" s="62">
        <f>IF($V45="","",IF(AND(ISNUMBER($G45),$G45&lt;=IF($S45=MesCiclo,InicioCiclo,$S45+MOD(2-WEEKDAY($S45),7))+20),1,IF(ISNUMBER($K45),$K45,$Z45)))</f>
        <v/>
      </c>
      <c r="AB45" s="62">
        <f>IF($V45="","",IF(AND(ISNUMBER($G45),$G45&lt;=IF($S45=MesCiclo,InicioCiclo,$S45+MOD(2-WEEKDAY($S45),7))+27),1,IF(ISNUMBER($L45),$L45,$AA45)))</f>
        <v/>
      </c>
      <c r="AC45" s="62">
        <f>IF($V45="","",IF(AND(ISNUMBER($G45),$G45&lt;=IF($S45=MesCiclo,InicioCiclo,$S45+MOD(2-WEEKDAY($S45),7))+6),1,IF(N($W45)&gt;0,AVERAGEIFS($Y$5:$Y$1000,$U$5:$U$1000,ROW(),$V$5:$V$1000,"Sub"),$Y45)))</f>
        <v/>
      </c>
      <c r="AD45" s="62">
        <f>IF($V45="","",IF(AND(ISNUMBER($G45),$G45&lt;=IF($S45=MesCiclo,InicioCiclo,$S45+MOD(2-WEEKDAY($S45),7))+13),1,IF(N($W45)&gt;0,AVERAGEIFS($Z$5:$Z$1000,$U$5:$U$1000,ROW(),$V$5:$V$1000,"Sub"),$Z45)))</f>
        <v/>
      </c>
      <c r="AE45" s="62">
        <f>IF($V45="","",IF(AND(ISNUMBER($G45),$G45&lt;=IF($S45=MesCiclo,InicioCiclo,$S45+MOD(2-WEEKDAY($S45),7))+20),1,IF(N($W45)&gt;0,AVERAGEIFS($AA$5:$AA$1000,$U$5:$U$1000,ROW(),$V$5:$V$1000,"Sub"),$AA45)))</f>
        <v/>
      </c>
      <c r="AF45" s="62">
        <f>IF($V45="","",IF(AND(ISNUMBER($G45),$G45&lt;=IF($S45=MesCiclo,InicioCiclo,$S45+MOD(2-WEEKDAY($S45),7))+27),1,IF(N($W45)&gt;0,AVERAGEIFS($AB$5:$AB$1000,$U$5:$U$1000,ROW(),$V$5:$V$1000,"Sub"),$AB45)))</f>
        <v/>
      </c>
      <c r="AG45" s="62">
        <f>IF($V45&lt;&gt;"Macro","",IF(COUNTIFS($S$5:$S$1000,$S45,$V$5:$V$1000,"Macro",$H$5:$H$1000,"&gt;0")=0,1/COUNTIFS($S$5:$S$1000,$S45,$V$5:$V$1000,"Macro"),IF(AND(ISNUMBER($H45),N($H45)&gt;0),$H45,SUMIFS($H$5:$H$1000,$S$5:$S$1000,$S45,$V$5:$V$1000,"Macro")/COUNTIFS($S$5:$S$1000,$S45,$V$5:$V$1000,"Macro",$H$5:$H$1000,"&gt;0"))/(COUNTIFS($S$5:$S$1000,$S45,$V$5:$V$1000,"Macro")*SUMIFS($H$5:$H$1000,$S$5:$S$1000,$S45,$V$5:$V$1000,"Macro")/COUNTIFS($S$5:$S$1000,$S45,$V$5:$V$1000,"Macro",$H$5:$H$1000,"&gt;0"))))</f>
        <v/>
      </c>
      <c r="AH45" s="62" t="n"/>
      <c r="AI45" s="62" t="n"/>
      <c r="AJ45" s="62" t="n"/>
      <c r="AK45" s="62" t="n"/>
      <c r="AL45" s="62">
        <f>IF(LEFT($C45,11)="[Jefatura] ",IFERROR(MATCH("Asistente Técnico de Riesgo|"&amp;MID($C45,12,500),rDname_ADM,0),0),"")</f>
        <v/>
      </c>
      <c r="AM45" s="62">
        <f>IF(N($AL45)&gt;0,INDEX(rIni_ADM,$AL45),IF(ISNUMBER($E45),$E45,""))</f>
        <v/>
      </c>
      <c r="AN45" s="62">
        <f>IF(N($AL45)&gt;0,INDEX(rLim_ADM,$AL45),IF(ISNUMBER($F45),$F45,""))</f>
        <v/>
      </c>
    </row>
    <row r="46">
      <c r="A46" s="56">
        <f>IF(NOT((COUNTA($B46:$D46)+COUNTA($G46:$L46)+COUNTA($Q46))&gt;0),"",IF($V46="Macro",COUNTIFS($V$5:$V46,"Macro",$S$5:$S46,$S46),IF(N($U46)=0,"?",COUNTIFS(INDEX($V$5:$V$1000,1):INDEX($V$5:$V$1000,$U46-4),"Macro",INDEX($S$5:$S$1000,1):INDEX($S$5:$S$1000,$U46-4),INDEX($S$5:$S$1000,$U46-4))&amp;"."&amp;COUNTIFS($U$5:$U46,$U46,$V$5:$V46,"Sub"))))</f>
        <v/>
      </c>
      <c r="B46" s="57" t="n"/>
      <c r="C46" s="58" t="n"/>
      <c r="D46" s="58" t="n"/>
      <c r="E46" s="59">
        <f>IF(N($AL46)&gt;0,INDEX(rIni_ADM,$AL46),"")</f>
        <v/>
      </c>
      <c r="F46" s="59">
        <f>IF(N($AL46)&gt;0,INDEX(rLim_ADM,$AL46),"")</f>
        <v/>
      </c>
      <c r="G46" s="59" t="n"/>
      <c r="H46" s="60" t="n"/>
      <c r="I46" s="60" t="n"/>
      <c r="J46" s="60" t="n"/>
      <c r="K46" s="60" t="n"/>
      <c r="L46" s="60" t="n"/>
      <c r="M46" s="61">
        <f>IF(NOT((COUNTA($B46:$D46)+COUNTA($G46:$L46)+COUNTA($Q46))&gt;0),"",IF($V46="Sub",IFERROR($X46/INDEX($W$5:$W$1000,$U46-4),""),IF(ISNUMBER($G46),1,IF(N($W46)&gt;0,AVERAGEIFS($X$5:$X$1000,$U$5:$U$1000,ROW(),$V$5:$V$1000,"Sub"),$X46))))</f>
        <v/>
      </c>
      <c r="N46" s="56">
        <f>IF(OR($M46="",$V46="Sub"),"",IF($M46&gt;=1,"Completado",IF($M46&gt;0,"En curso","Pendiente")))</f>
        <v/>
      </c>
      <c r="O46" s="56">
        <f>IF(OR(NOT((COUNTA($B46:$D46)+COUNTA($G46:$L46)+COUNTA($Q46))&gt;0),$V46="Sub"),"",IF(ISNUMBER($G46),IF(AND(ISNUMBER($AN46),$G46&gt;$AN46),"Cumplida con "&amp;($G46-$AN46)&amp;IF($G46-$AN46=1," día"," días")&amp;" de retraso","Cumplida"),IF(N($M46)&gt;=1,"Cumplida",IF(NOT(ISNUMBER($AN46)),"Sin fecha límite",IF($AN46&lt;FechaRef,"Vencida hace "&amp;(FechaRef-$AN46)&amp;IF(FechaRef-$AN46=1," día"," días"),IF($AN46=FechaRef,"Vence hoy",IF($AN46-FechaRef&lt;=DiasAlerta,"Vence en "&amp;($AN46-FechaRef)&amp;IF($AN46-FechaRef=1," día"," días"),"En plazo")))))))</f>
        <v/>
      </c>
      <c r="P46" s="62" t="n"/>
      <c r="Q46" s="58" t="n"/>
      <c r="R46" s="63">
        <f>IF(NOT((COUNTA($B46:$D46)+COUNTA($G46:$L46)+COUNTA($Q46))&gt;0),"",IF((IF($C46="","Falta el nombre de la actividad"&amp;" · ","")&amp;IF(AND($V46="Sub",N($U46)=0),"Subactividad sin macroactividad arriba"&amp;" · ","")&amp;IF($AM46="","Sin fecha de inicio"&amp;" · ","")&amp;IF($AN46="","Sin fecha límite"&amp;" · ","")&amp;IF(AND(LEFT($C46,11)="[Jefatura] ",N($AL46)=0),"No se encuentra en la hoja de la jefatura (elíjala de nuevo en la lista)"&amp;" · ","")&amp;IF(OR(AND($E46&lt;&gt;"",NOT(ISNUMBER($E46))),AND($F46&lt;&gt;"",NOT(ISNUMBER($F46))),AND($G46&lt;&gt;"",NOT(ISNUMBER($G46)))),"Fecha no válida"&amp;" · ","")&amp;IF(AND(ISNUMBER($AM46),ISNUMBER($AN46),$AM46&gt;$AN46),"Inicio posterior a fecha límite"&amp;" · ","")&amp;IF(AND($V46="Macro",$H46&lt;&gt;"",OR(NOT(ISNUMBER($H46)),$H46&lt;0,$H46&gt;1)),"Peso fuera de rango"&amp;" · ","")&amp;IF(AND($V46="Sub",$H46&lt;&gt;""),"Las subactividades no llevan peso (valen igual dentro de su macroactividad)"&amp;" · ","")&amp;IF(AND(N($W46)&gt;0,COUNT($I46:$L46)&gt;0),"Con subactividades: deje vacías las semanas (se calculan solas)"&amp;" · ","")&amp;IF((COUNTIF($I46:$L46,"&gt;1")+COUNTIF($I46:$L46,"&lt;0")+COUNTA($I46:$L46)-COUNT($I46:$L46))&gt;0,"Avance fuera de rango 0-100%"&amp;" · ","")&amp;IF(OR(AND($J46&lt;&gt;"",$J46&lt;$I46),AND($K46&lt;&gt;"",$K46&lt;MAX($I46:$J46)),AND($L46&lt;&gt;"",$L46&lt;MAX($I46:$K46))),"Avance semanal decreciente"&amp;" · ","")&amp;IF(AND(ISNUMBER($AN46),$AN46&lt;FechaRef,IF($V46="Sub",N($X46),N($M46))&lt;1),"Vencida"&amp;" · ","")&amp;IF(AND(ObsObligatoria="Sí",ISNUMBER($AN46),$AN46&lt;FechaRef,IF($V46="Sub",N($X46),N($M46))&lt;1,$Q46=""),"Vencida sin observación"&amp;" · ",""))="","✔ OK","⚠ "&amp;LEFT(IF($C46="","Falta el nombre de la actividad"&amp;" · ","")&amp;IF(AND($V46="Sub",N($U46)=0),"Subactividad sin macroactividad arriba"&amp;" · ","")&amp;IF($AM46="","Sin fecha de inicio"&amp;" · ","")&amp;IF($AN46="","Sin fecha límite"&amp;" · ","")&amp;IF(AND(LEFT($C46,11)="[Jefatura] ",N($AL46)=0),"No se encuentra en la hoja de la jefatura (elíjala de nuevo en la lista)"&amp;" · ","")&amp;IF(OR(AND($E46&lt;&gt;"",NOT(ISNUMBER($E46))),AND($F46&lt;&gt;"",NOT(ISNUMBER($F46))),AND($G46&lt;&gt;"",NOT(ISNUMBER($G46)))),"Fecha no válida"&amp;" · ","")&amp;IF(AND(ISNUMBER($AM46),ISNUMBER($AN46),$AM46&gt;$AN46),"Inicio posterior a fecha límite"&amp;" · ","")&amp;IF(AND($V46="Macro",$H46&lt;&gt;"",OR(NOT(ISNUMBER($H46)),$H46&lt;0,$H46&gt;1)),"Peso fuera de rango"&amp;" · ","")&amp;IF(AND($V46="Sub",$H46&lt;&gt;""),"Las subactividades no llevan peso (valen igual dentro de su macroactividad)"&amp;" · ","")&amp;IF(AND(N($W46)&gt;0,COUNT($I46:$L46)&gt;0),"Con subactividades: deje vacías las semanas (se calculan solas)"&amp;" · ","")&amp;IF((COUNTIF($I46:$L46,"&gt;1")+COUNTIF($I46:$L46,"&lt;0")+COUNTA($I46:$L46)-COUNT($I46:$L46))&gt;0,"Avance fuera de rango 0-100%"&amp;" · ","")&amp;IF(OR(AND($J46&lt;&gt;"",$J46&lt;$I46),AND($K46&lt;&gt;"",$K46&lt;MAX($I46:$J46)),AND($L46&lt;&gt;"",$L46&lt;MAX($I46:$K46))),"Avance semanal decreciente"&amp;" · ","")&amp;IF(AND(ISNUMBER($AN46),$AN46&lt;FechaRef,IF($V46="Sub",N($X46),N($M46))&lt;1),"Vencida"&amp;" · ","")&amp;IF(AND(ObsObligatoria="Sí",ISNUMBER($AN46),$AN46&lt;FechaRef,IF($V46="Sub",N($X46),N($M46))&lt;1,$Q46=""),"Vencida sin observación"&amp;" · ",""),LEN(IF($C46="","Falta el nombre de la actividad"&amp;" · ","")&amp;IF(AND($V46="Sub",N($U46)=0),"Subactividad sin macroactividad arriba"&amp;" · ","")&amp;IF($AM46="","Sin fecha de inicio"&amp;" · ","")&amp;IF($AN46="","Sin fecha límite"&amp;" · ","")&amp;IF(AND(LEFT($C46,11)="[Jefatura] ",N($AL46)=0),"No se encuentra en la hoja de la jefatura (elíjala de nuevo en la lista)"&amp;" · ","")&amp;IF(OR(AND($E46&lt;&gt;"",NOT(ISNUMBER($E46))),AND($F46&lt;&gt;"",NOT(ISNUMBER($F46))),AND($G46&lt;&gt;"",NOT(ISNUMBER($G46)))),"Fecha no válida"&amp;" · ","")&amp;IF(AND(ISNUMBER($AM46),ISNUMBER($AN46),$AM46&gt;$AN46),"Inicio posterior a fecha límite"&amp;" · ","")&amp;IF(AND($V46="Macro",$H46&lt;&gt;"",OR(NOT(ISNUMBER($H46)),$H46&lt;0,$H46&gt;1)),"Peso fuera de rango"&amp;" · ","")&amp;IF(AND($V46="Sub",$H46&lt;&gt;""),"Las subactividades no llevan peso (valen igual dentro de su macroactividad)"&amp;" · ","")&amp;IF(AND(N($W46)&gt;0,COUNT($I46:$L46)&gt;0),"Con subactividades: deje vacías las semanas (se calculan solas)"&amp;" · ","")&amp;IF((COUNTIF($I46:$L46,"&gt;1")+COUNTIF($I46:$L46,"&lt;0")+COUNTA($I46:$L46)-COUNT($I46:$L46))&gt;0,"Avance fuera de rango 0-100%"&amp;" · ","")&amp;IF(OR(AND($J46&lt;&gt;"",$J46&lt;$I46),AND($K46&lt;&gt;"",$K46&lt;MAX($I46:$J46)),AND($L46&lt;&gt;"",$L46&lt;MAX($I46:$K46))),"Avance semanal decreciente"&amp;" · ","")&amp;IF(AND(ISNUMBER($AN46),$AN46&lt;FechaRef,IF($V46="Sub",N($X46),N($M46))&lt;1),"Vencida"&amp;" · ","")&amp;IF(AND(ObsObligatoria="Sí",ISNUMBER($AN46),$AN46&lt;FechaRef,IF($V46="Sub",N($X46),N($M46))&lt;1,$Q46=""),"Vencida sin observación"&amp;" · ",""))-3)))</f>
        <v/>
      </c>
      <c r="S46" s="64">
        <f>IF(NOT((COUNTA($B46:$D46)+COUNTA($G46:$L46)+COUNTA($Q46))&gt;0),"",IF(AND($V46="Sub",N($U46)&gt;0),IF(ISNUMBER(INDEX($AM$5:$AM$1000,$U46-4)),DATE(YEAR(INDEX($AM$5:$AM$1000,$U46-4)),MONTH(INDEX($AM$5:$AM$1000,$U46-4)),1),IF(ISNUMBER(INDEX($AN$5:$AN$1000,$U46-4)),DATE(YEAR(INDEX($AN$5:$AN$1000,$U46-4)),MONTH(INDEX($AN$5:$AN$1000,$U46-4)),1),MesCiclo)),IF(ISNUMBER($AM46),DATE(YEAR($AM46),MONTH($AM46),1),IF(ISNUMBER($AN46),DATE(YEAR($AN46),MONTH($AN46),1),MesCiclo))))</f>
        <v/>
      </c>
      <c r="T46" s="62">
        <f>IF(OR($S46="",$S46&lt;&gt;MesCiclo,$V46&lt;&gt;"Macro"),"",COUNTIFS($S$5:$S46,MesCiclo,$V$5:$V46,"Macro"))</f>
        <v/>
      </c>
      <c r="U46" s="62">
        <f>IF($V46="","",IF($V46="Macro",ROW(),IFERROR(LOOKUP(2,1/($V$5:$V46="Macro"),ROW($V$5:$V46)),0)))</f>
        <v/>
      </c>
      <c r="V46" s="62">
        <f>IF(NOT((COUNTA($B46:$D46)+COUNTA($G46:$L46)+COUNTA($Q46))&gt;0),"",IF($B46="Subactividad","Sub","Macro"))</f>
        <v/>
      </c>
      <c r="W46" s="62">
        <f>IF($V46="Macro",COUNTIFS($U$5:$U$1000,ROW(),$V$5:$V$1000,"Sub"),"")</f>
        <v/>
      </c>
      <c r="X46" s="62">
        <f>IF($V46="","",IF(ISNUMBER($G46),1,IFERROR(LOOKUP(2,1/($I46:$L46&lt;&gt;""),$I46:$L46),0)))</f>
        <v/>
      </c>
      <c r="Y46" s="62">
        <f>IF($V46="","",IF(AND(ISNUMBER($G46),$G46&lt;=IF($S46=MesCiclo,InicioCiclo,$S46+MOD(2-WEEKDAY($S46),7))+6),1,IF(ISNUMBER($I46),$I46,0)))</f>
        <v/>
      </c>
      <c r="Z46" s="62">
        <f>IF($V46="","",IF(AND(ISNUMBER($G46),$G46&lt;=IF($S46=MesCiclo,InicioCiclo,$S46+MOD(2-WEEKDAY($S46),7))+13),1,IF(ISNUMBER($J46),$J46,$Y46)))</f>
        <v/>
      </c>
      <c r="AA46" s="62">
        <f>IF($V46="","",IF(AND(ISNUMBER($G46),$G46&lt;=IF($S46=MesCiclo,InicioCiclo,$S46+MOD(2-WEEKDAY($S46),7))+20),1,IF(ISNUMBER($K46),$K46,$Z46)))</f>
        <v/>
      </c>
      <c r="AB46" s="62">
        <f>IF($V46="","",IF(AND(ISNUMBER($G46),$G46&lt;=IF($S46=MesCiclo,InicioCiclo,$S46+MOD(2-WEEKDAY($S46),7))+27),1,IF(ISNUMBER($L46),$L46,$AA46)))</f>
        <v/>
      </c>
      <c r="AC46" s="62">
        <f>IF($V46="","",IF(AND(ISNUMBER($G46),$G46&lt;=IF($S46=MesCiclo,InicioCiclo,$S46+MOD(2-WEEKDAY($S46),7))+6),1,IF(N($W46)&gt;0,AVERAGEIFS($Y$5:$Y$1000,$U$5:$U$1000,ROW(),$V$5:$V$1000,"Sub"),$Y46)))</f>
        <v/>
      </c>
      <c r="AD46" s="62">
        <f>IF($V46="","",IF(AND(ISNUMBER($G46),$G46&lt;=IF($S46=MesCiclo,InicioCiclo,$S46+MOD(2-WEEKDAY($S46),7))+13),1,IF(N($W46)&gt;0,AVERAGEIFS($Z$5:$Z$1000,$U$5:$U$1000,ROW(),$V$5:$V$1000,"Sub"),$Z46)))</f>
        <v/>
      </c>
      <c r="AE46" s="62">
        <f>IF($V46="","",IF(AND(ISNUMBER($G46),$G46&lt;=IF($S46=MesCiclo,InicioCiclo,$S46+MOD(2-WEEKDAY($S46),7))+20),1,IF(N($W46)&gt;0,AVERAGEIFS($AA$5:$AA$1000,$U$5:$U$1000,ROW(),$V$5:$V$1000,"Sub"),$AA46)))</f>
        <v/>
      </c>
      <c r="AF46" s="62">
        <f>IF($V46="","",IF(AND(ISNUMBER($G46),$G46&lt;=IF($S46=MesCiclo,InicioCiclo,$S46+MOD(2-WEEKDAY($S46),7))+27),1,IF(N($W46)&gt;0,AVERAGEIFS($AB$5:$AB$1000,$U$5:$U$1000,ROW(),$V$5:$V$1000,"Sub"),$AB46)))</f>
        <v/>
      </c>
      <c r="AG46" s="62">
        <f>IF($V46&lt;&gt;"Macro","",IF(COUNTIFS($S$5:$S$1000,$S46,$V$5:$V$1000,"Macro",$H$5:$H$1000,"&gt;0")=0,1/COUNTIFS($S$5:$S$1000,$S46,$V$5:$V$1000,"Macro"),IF(AND(ISNUMBER($H46),N($H46)&gt;0),$H46,SUMIFS($H$5:$H$1000,$S$5:$S$1000,$S46,$V$5:$V$1000,"Macro")/COUNTIFS($S$5:$S$1000,$S46,$V$5:$V$1000,"Macro",$H$5:$H$1000,"&gt;0"))/(COUNTIFS($S$5:$S$1000,$S46,$V$5:$V$1000,"Macro")*SUMIFS($H$5:$H$1000,$S$5:$S$1000,$S46,$V$5:$V$1000,"Macro")/COUNTIFS($S$5:$S$1000,$S46,$V$5:$V$1000,"Macro",$H$5:$H$1000,"&gt;0"))))</f>
        <v/>
      </c>
      <c r="AH46" s="62" t="n"/>
      <c r="AI46" s="62" t="n"/>
      <c r="AJ46" s="62" t="n"/>
      <c r="AK46" s="62" t="n"/>
      <c r="AL46" s="62">
        <f>IF(LEFT($C46,11)="[Jefatura] ",IFERROR(MATCH("Asistente Técnico de Riesgo|"&amp;MID($C46,12,500),rDname_ADM,0),0),"")</f>
        <v/>
      </c>
      <c r="AM46" s="62">
        <f>IF(N($AL46)&gt;0,INDEX(rIni_ADM,$AL46),IF(ISNUMBER($E46),$E46,""))</f>
        <v/>
      </c>
      <c r="AN46" s="62">
        <f>IF(N($AL46)&gt;0,INDEX(rLim_ADM,$AL46),IF(ISNUMBER($F46),$F46,""))</f>
        <v/>
      </c>
    </row>
    <row r="47">
      <c r="A47" s="56">
        <f>IF(NOT((COUNTA($B47:$D47)+COUNTA($G47:$L47)+COUNTA($Q47))&gt;0),"",IF($V47="Macro",COUNTIFS($V$5:$V47,"Macro",$S$5:$S47,$S47),IF(N($U47)=0,"?",COUNTIFS(INDEX($V$5:$V$1000,1):INDEX($V$5:$V$1000,$U47-4),"Macro",INDEX($S$5:$S$1000,1):INDEX($S$5:$S$1000,$U47-4),INDEX($S$5:$S$1000,$U47-4))&amp;"."&amp;COUNTIFS($U$5:$U47,$U47,$V$5:$V47,"Sub"))))</f>
        <v/>
      </c>
      <c r="B47" s="57" t="n"/>
      <c r="C47" s="58" t="n"/>
      <c r="D47" s="58" t="n"/>
      <c r="E47" s="59">
        <f>IF(N($AL47)&gt;0,INDEX(rIni_ADM,$AL47),"")</f>
        <v/>
      </c>
      <c r="F47" s="59">
        <f>IF(N($AL47)&gt;0,INDEX(rLim_ADM,$AL47),"")</f>
        <v/>
      </c>
      <c r="G47" s="59" t="n"/>
      <c r="H47" s="60" t="n"/>
      <c r="I47" s="60" t="n"/>
      <c r="J47" s="60" t="n"/>
      <c r="K47" s="60" t="n"/>
      <c r="L47" s="60" t="n"/>
      <c r="M47" s="61">
        <f>IF(NOT((COUNTA($B47:$D47)+COUNTA($G47:$L47)+COUNTA($Q47))&gt;0),"",IF($V47="Sub",IFERROR($X47/INDEX($W$5:$W$1000,$U47-4),""),IF(ISNUMBER($G47),1,IF(N($W47)&gt;0,AVERAGEIFS($X$5:$X$1000,$U$5:$U$1000,ROW(),$V$5:$V$1000,"Sub"),$X47))))</f>
        <v/>
      </c>
      <c r="N47" s="56">
        <f>IF(OR($M47="",$V47="Sub"),"",IF($M47&gt;=1,"Completado",IF($M47&gt;0,"En curso","Pendiente")))</f>
        <v/>
      </c>
      <c r="O47" s="56">
        <f>IF(OR(NOT((COUNTA($B47:$D47)+COUNTA($G47:$L47)+COUNTA($Q47))&gt;0),$V47="Sub"),"",IF(ISNUMBER($G47),IF(AND(ISNUMBER($AN47),$G47&gt;$AN47),"Cumplida con "&amp;($G47-$AN47)&amp;IF($G47-$AN47=1," día"," días")&amp;" de retraso","Cumplida"),IF(N($M47)&gt;=1,"Cumplida",IF(NOT(ISNUMBER($AN47)),"Sin fecha límite",IF($AN47&lt;FechaRef,"Vencida hace "&amp;(FechaRef-$AN47)&amp;IF(FechaRef-$AN47=1," día"," días"),IF($AN47=FechaRef,"Vence hoy",IF($AN47-FechaRef&lt;=DiasAlerta,"Vence en "&amp;($AN47-FechaRef)&amp;IF($AN47-FechaRef=1," día"," días"),"En plazo")))))))</f>
        <v/>
      </c>
      <c r="P47" s="62" t="n"/>
      <c r="Q47" s="58" t="n"/>
      <c r="R47" s="63">
        <f>IF(NOT((COUNTA($B47:$D47)+COUNTA($G47:$L47)+COUNTA($Q47))&gt;0),"",IF((IF($C47="","Falta el nombre de la actividad"&amp;" · ","")&amp;IF(AND($V47="Sub",N($U47)=0),"Subactividad sin macroactividad arriba"&amp;" · ","")&amp;IF($AM47="","Sin fecha de inicio"&amp;" · ","")&amp;IF($AN47="","Sin fecha límite"&amp;" · ","")&amp;IF(AND(LEFT($C47,11)="[Jefatura] ",N($AL47)=0),"No se encuentra en la hoja de la jefatura (elíjala de nuevo en la lista)"&amp;" · ","")&amp;IF(OR(AND($E47&lt;&gt;"",NOT(ISNUMBER($E47))),AND($F47&lt;&gt;"",NOT(ISNUMBER($F47))),AND($G47&lt;&gt;"",NOT(ISNUMBER($G47)))),"Fecha no válida"&amp;" · ","")&amp;IF(AND(ISNUMBER($AM47),ISNUMBER($AN47),$AM47&gt;$AN47),"Inicio posterior a fecha límite"&amp;" · ","")&amp;IF(AND($V47="Macro",$H47&lt;&gt;"",OR(NOT(ISNUMBER($H47)),$H47&lt;0,$H47&gt;1)),"Peso fuera de rango"&amp;" · ","")&amp;IF(AND($V47="Sub",$H47&lt;&gt;""),"Las subactividades no llevan peso (valen igual dentro de su macroactividad)"&amp;" · ","")&amp;IF(AND(N($W47)&gt;0,COUNT($I47:$L47)&gt;0),"Con subactividades: deje vacías las semanas (se calculan solas)"&amp;" · ","")&amp;IF((COUNTIF($I47:$L47,"&gt;1")+COUNTIF($I47:$L47,"&lt;0")+COUNTA($I47:$L47)-COUNT($I47:$L47))&gt;0,"Avance fuera de rango 0-100%"&amp;" · ","")&amp;IF(OR(AND($J47&lt;&gt;"",$J47&lt;$I47),AND($K47&lt;&gt;"",$K47&lt;MAX($I47:$J47)),AND($L47&lt;&gt;"",$L47&lt;MAX($I47:$K47))),"Avance semanal decreciente"&amp;" · ","")&amp;IF(AND(ISNUMBER($AN47),$AN47&lt;FechaRef,IF($V47="Sub",N($X47),N($M47))&lt;1),"Vencida"&amp;" · ","")&amp;IF(AND(ObsObligatoria="Sí",ISNUMBER($AN47),$AN47&lt;FechaRef,IF($V47="Sub",N($X47),N($M47))&lt;1,$Q47=""),"Vencida sin observación"&amp;" · ",""))="","✔ OK","⚠ "&amp;LEFT(IF($C47="","Falta el nombre de la actividad"&amp;" · ","")&amp;IF(AND($V47="Sub",N($U47)=0),"Subactividad sin macroactividad arriba"&amp;" · ","")&amp;IF($AM47="","Sin fecha de inicio"&amp;" · ","")&amp;IF($AN47="","Sin fecha límite"&amp;" · ","")&amp;IF(AND(LEFT($C47,11)="[Jefatura] ",N($AL47)=0),"No se encuentra en la hoja de la jefatura (elíjala de nuevo en la lista)"&amp;" · ","")&amp;IF(OR(AND($E47&lt;&gt;"",NOT(ISNUMBER($E47))),AND($F47&lt;&gt;"",NOT(ISNUMBER($F47))),AND($G47&lt;&gt;"",NOT(ISNUMBER($G47)))),"Fecha no válida"&amp;" · ","")&amp;IF(AND(ISNUMBER($AM47),ISNUMBER($AN47),$AM47&gt;$AN47),"Inicio posterior a fecha límite"&amp;" · ","")&amp;IF(AND($V47="Macro",$H47&lt;&gt;"",OR(NOT(ISNUMBER($H47)),$H47&lt;0,$H47&gt;1)),"Peso fuera de rango"&amp;" · ","")&amp;IF(AND($V47="Sub",$H47&lt;&gt;""),"Las subactividades no llevan peso (valen igual dentro de su macroactividad)"&amp;" · ","")&amp;IF(AND(N($W47)&gt;0,COUNT($I47:$L47)&gt;0),"Con subactividades: deje vacías las semanas (se calculan solas)"&amp;" · ","")&amp;IF((COUNTIF($I47:$L47,"&gt;1")+COUNTIF($I47:$L47,"&lt;0")+COUNTA($I47:$L47)-COUNT($I47:$L47))&gt;0,"Avance fuera de rango 0-100%"&amp;" · ","")&amp;IF(OR(AND($J47&lt;&gt;"",$J47&lt;$I47),AND($K47&lt;&gt;"",$K47&lt;MAX($I47:$J47)),AND($L47&lt;&gt;"",$L47&lt;MAX($I47:$K47))),"Avance semanal decreciente"&amp;" · ","")&amp;IF(AND(ISNUMBER($AN47),$AN47&lt;FechaRef,IF($V47="Sub",N($X47),N($M47))&lt;1),"Vencida"&amp;" · ","")&amp;IF(AND(ObsObligatoria="Sí",ISNUMBER($AN47),$AN47&lt;FechaRef,IF($V47="Sub",N($X47),N($M47))&lt;1,$Q47=""),"Vencida sin observación"&amp;" · ",""),LEN(IF($C47="","Falta el nombre de la actividad"&amp;" · ","")&amp;IF(AND($V47="Sub",N($U47)=0),"Subactividad sin macroactividad arriba"&amp;" · ","")&amp;IF($AM47="","Sin fecha de inicio"&amp;" · ","")&amp;IF($AN47="","Sin fecha límite"&amp;" · ","")&amp;IF(AND(LEFT($C47,11)="[Jefatura] ",N($AL47)=0),"No se encuentra en la hoja de la jefatura (elíjala de nuevo en la lista)"&amp;" · ","")&amp;IF(OR(AND($E47&lt;&gt;"",NOT(ISNUMBER($E47))),AND($F47&lt;&gt;"",NOT(ISNUMBER($F47))),AND($G47&lt;&gt;"",NOT(ISNUMBER($G47)))),"Fecha no válida"&amp;" · ","")&amp;IF(AND(ISNUMBER($AM47),ISNUMBER($AN47),$AM47&gt;$AN47),"Inicio posterior a fecha límite"&amp;" · ","")&amp;IF(AND($V47="Macro",$H47&lt;&gt;"",OR(NOT(ISNUMBER($H47)),$H47&lt;0,$H47&gt;1)),"Peso fuera de rango"&amp;" · ","")&amp;IF(AND($V47="Sub",$H47&lt;&gt;""),"Las subactividades no llevan peso (valen igual dentro de su macroactividad)"&amp;" · ","")&amp;IF(AND(N($W47)&gt;0,COUNT($I47:$L47)&gt;0),"Con subactividades: deje vacías las semanas (se calculan solas)"&amp;" · ","")&amp;IF((COUNTIF($I47:$L47,"&gt;1")+COUNTIF($I47:$L47,"&lt;0")+COUNTA($I47:$L47)-COUNT($I47:$L47))&gt;0,"Avance fuera de rango 0-100%"&amp;" · ","")&amp;IF(OR(AND($J47&lt;&gt;"",$J47&lt;$I47),AND($K47&lt;&gt;"",$K47&lt;MAX($I47:$J47)),AND($L47&lt;&gt;"",$L47&lt;MAX($I47:$K47))),"Avance semanal decreciente"&amp;" · ","")&amp;IF(AND(ISNUMBER($AN47),$AN47&lt;FechaRef,IF($V47="Sub",N($X47),N($M47))&lt;1),"Vencida"&amp;" · ","")&amp;IF(AND(ObsObligatoria="Sí",ISNUMBER($AN47),$AN47&lt;FechaRef,IF($V47="Sub",N($X47),N($M47))&lt;1,$Q47=""),"Vencida sin observación"&amp;" · ",""))-3)))</f>
        <v/>
      </c>
      <c r="S47" s="64">
        <f>IF(NOT((COUNTA($B47:$D47)+COUNTA($G47:$L47)+COUNTA($Q47))&gt;0),"",IF(AND($V47="Sub",N($U47)&gt;0),IF(ISNUMBER(INDEX($AM$5:$AM$1000,$U47-4)),DATE(YEAR(INDEX($AM$5:$AM$1000,$U47-4)),MONTH(INDEX($AM$5:$AM$1000,$U47-4)),1),IF(ISNUMBER(INDEX($AN$5:$AN$1000,$U47-4)),DATE(YEAR(INDEX($AN$5:$AN$1000,$U47-4)),MONTH(INDEX($AN$5:$AN$1000,$U47-4)),1),MesCiclo)),IF(ISNUMBER($AM47),DATE(YEAR($AM47),MONTH($AM47),1),IF(ISNUMBER($AN47),DATE(YEAR($AN47),MONTH($AN47),1),MesCiclo))))</f>
        <v/>
      </c>
      <c r="T47" s="62">
        <f>IF(OR($S47="",$S47&lt;&gt;MesCiclo,$V47&lt;&gt;"Macro"),"",COUNTIFS($S$5:$S47,MesCiclo,$V$5:$V47,"Macro"))</f>
        <v/>
      </c>
      <c r="U47" s="62">
        <f>IF($V47="","",IF($V47="Macro",ROW(),IFERROR(LOOKUP(2,1/($V$5:$V47="Macro"),ROW($V$5:$V47)),0)))</f>
        <v/>
      </c>
      <c r="V47" s="62">
        <f>IF(NOT((COUNTA($B47:$D47)+COUNTA($G47:$L47)+COUNTA($Q47))&gt;0),"",IF($B47="Subactividad","Sub","Macro"))</f>
        <v/>
      </c>
      <c r="W47" s="62">
        <f>IF($V47="Macro",COUNTIFS($U$5:$U$1000,ROW(),$V$5:$V$1000,"Sub"),"")</f>
        <v/>
      </c>
      <c r="X47" s="62">
        <f>IF($V47="","",IF(ISNUMBER($G47),1,IFERROR(LOOKUP(2,1/($I47:$L47&lt;&gt;""),$I47:$L47),0)))</f>
        <v/>
      </c>
      <c r="Y47" s="62">
        <f>IF($V47="","",IF(AND(ISNUMBER($G47),$G47&lt;=IF($S47=MesCiclo,InicioCiclo,$S47+MOD(2-WEEKDAY($S47),7))+6),1,IF(ISNUMBER($I47),$I47,0)))</f>
        <v/>
      </c>
      <c r="Z47" s="62">
        <f>IF($V47="","",IF(AND(ISNUMBER($G47),$G47&lt;=IF($S47=MesCiclo,InicioCiclo,$S47+MOD(2-WEEKDAY($S47),7))+13),1,IF(ISNUMBER($J47),$J47,$Y47)))</f>
        <v/>
      </c>
      <c r="AA47" s="62">
        <f>IF($V47="","",IF(AND(ISNUMBER($G47),$G47&lt;=IF($S47=MesCiclo,InicioCiclo,$S47+MOD(2-WEEKDAY($S47),7))+20),1,IF(ISNUMBER($K47),$K47,$Z47)))</f>
        <v/>
      </c>
      <c r="AB47" s="62">
        <f>IF($V47="","",IF(AND(ISNUMBER($G47),$G47&lt;=IF($S47=MesCiclo,InicioCiclo,$S47+MOD(2-WEEKDAY($S47),7))+27),1,IF(ISNUMBER($L47),$L47,$AA47)))</f>
        <v/>
      </c>
      <c r="AC47" s="62">
        <f>IF($V47="","",IF(AND(ISNUMBER($G47),$G47&lt;=IF($S47=MesCiclo,InicioCiclo,$S47+MOD(2-WEEKDAY($S47),7))+6),1,IF(N($W47)&gt;0,AVERAGEIFS($Y$5:$Y$1000,$U$5:$U$1000,ROW(),$V$5:$V$1000,"Sub"),$Y47)))</f>
        <v/>
      </c>
      <c r="AD47" s="62">
        <f>IF($V47="","",IF(AND(ISNUMBER($G47),$G47&lt;=IF($S47=MesCiclo,InicioCiclo,$S47+MOD(2-WEEKDAY($S47),7))+13),1,IF(N($W47)&gt;0,AVERAGEIFS($Z$5:$Z$1000,$U$5:$U$1000,ROW(),$V$5:$V$1000,"Sub"),$Z47)))</f>
        <v/>
      </c>
      <c r="AE47" s="62">
        <f>IF($V47="","",IF(AND(ISNUMBER($G47),$G47&lt;=IF($S47=MesCiclo,InicioCiclo,$S47+MOD(2-WEEKDAY($S47),7))+20),1,IF(N($W47)&gt;0,AVERAGEIFS($AA$5:$AA$1000,$U$5:$U$1000,ROW(),$V$5:$V$1000,"Sub"),$AA47)))</f>
        <v/>
      </c>
      <c r="AF47" s="62">
        <f>IF($V47="","",IF(AND(ISNUMBER($G47),$G47&lt;=IF($S47=MesCiclo,InicioCiclo,$S47+MOD(2-WEEKDAY($S47),7))+27),1,IF(N($W47)&gt;0,AVERAGEIFS($AB$5:$AB$1000,$U$5:$U$1000,ROW(),$V$5:$V$1000,"Sub"),$AB47)))</f>
        <v/>
      </c>
      <c r="AG47" s="62">
        <f>IF($V47&lt;&gt;"Macro","",IF(COUNTIFS($S$5:$S$1000,$S47,$V$5:$V$1000,"Macro",$H$5:$H$1000,"&gt;0")=0,1/COUNTIFS($S$5:$S$1000,$S47,$V$5:$V$1000,"Macro"),IF(AND(ISNUMBER($H47),N($H47)&gt;0),$H47,SUMIFS($H$5:$H$1000,$S$5:$S$1000,$S47,$V$5:$V$1000,"Macro")/COUNTIFS($S$5:$S$1000,$S47,$V$5:$V$1000,"Macro",$H$5:$H$1000,"&gt;0"))/(COUNTIFS($S$5:$S$1000,$S47,$V$5:$V$1000,"Macro")*SUMIFS($H$5:$H$1000,$S$5:$S$1000,$S47,$V$5:$V$1000,"Macro")/COUNTIFS($S$5:$S$1000,$S47,$V$5:$V$1000,"Macro",$H$5:$H$1000,"&gt;0"))))</f>
        <v/>
      </c>
      <c r="AH47" s="62" t="n"/>
      <c r="AI47" s="62" t="n"/>
      <c r="AJ47" s="62" t="n"/>
      <c r="AK47" s="62" t="n"/>
      <c r="AL47" s="62">
        <f>IF(LEFT($C47,11)="[Jefatura] ",IFERROR(MATCH("Asistente Técnico de Riesgo|"&amp;MID($C47,12,500),rDname_ADM,0),0),"")</f>
        <v/>
      </c>
      <c r="AM47" s="62">
        <f>IF(N($AL47)&gt;0,INDEX(rIni_ADM,$AL47),IF(ISNUMBER($E47),$E47,""))</f>
        <v/>
      </c>
      <c r="AN47" s="62">
        <f>IF(N($AL47)&gt;0,INDEX(rLim_ADM,$AL47),IF(ISNUMBER($F47),$F47,""))</f>
        <v/>
      </c>
    </row>
    <row r="48">
      <c r="A48" s="56">
        <f>IF(NOT((COUNTA($B48:$D48)+COUNTA($G48:$L48)+COUNTA($Q48))&gt;0),"",IF($V48="Macro",COUNTIFS($V$5:$V48,"Macro",$S$5:$S48,$S48),IF(N($U48)=0,"?",COUNTIFS(INDEX($V$5:$V$1000,1):INDEX($V$5:$V$1000,$U48-4),"Macro",INDEX($S$5:$S$1000,1):INDEX($S$5:$S$1000,$U48-4),INDEX($S$5:$S$1000,$U48-4))&amp;"."&amp;COUNTIFS($U$5:$U48,$U48,$V$5:$V48,"Sub"))))</f>
        <v/>
      </c>
      <c r="B48" s="57" t="n"/>
      <c r="C48" s="58" t="n"/>
      <c r="D48" s="58" t="n"/>
      <c r="E48" s="59">
        <f>IF(N($AL48)&gt;0,INDEX(rIni_ADM,$AL48),"")</f>
        <v/>
      </c>
      <c r="F48" s="59">
        <f>IF(N($AL48)&gt;0,INDEX(rLim_ADM,$AL48),"")</f>
        <v/>
      </c>
      <c r="G48" s="59" t="n"/>
      <c r="H48" s="60" t="n"/>
      <c r="I48" s="60" t="n"/>
      <c r="J48" s="60" t="n"/>
      <c r="K48" s="60" t="n"/>
      <c r="L48" s="60" t="n"/>
      <c r="M48" s="61">
        <f>IF(NOT((COUNTA($B48:$D48)+COUNTA($G48:$L48)+COUNTA($Q48))&gt;0),"",IF($V48="Sub",IFERROR($X48/INDEX($W$5:$W$1000,$U48-4),""),IF(ISNUMBER($G48),1,IF(N($W48)&gt;0,AVERAGEIFS($X$5:$X$1000,$U$5:$U$1000,ROW(),$V$5:$V$1000,"Sub"),$X48))))</f>
        <v/>
      </c>
      <c r="N48" s="56">
        <f>IF(OR($M48="",$V48="Sub"),"",IF($M48&gt;=1,"Completado",IF($M48&gt;0,"En curso","Pendiente")))</f>
        <v/>
      </c>
      <c r="O48" s="56">
        <f>IF(OR(NOT((COUNTA($B48:$D48)+COUNTA($G48:$L48)+COUNTA($Q48))&gt;0),$V48="Sub"),"",IF(ISNUMBER($G48),IF(AND(ISNUMBER($AN48),$G48&gt;$AN48),"Cumplida con "&amp;($G48-$AN48)&amp;IF($G48-$AN48=1," día"," días")&amp;" de retraso","Cumplida"),IF(N($M48)&gt;=1,"Cumplida",IF(NOT(ISNUMBER($AN48)),"Sin fecha límite",IF($AN48&lt;FechaRef,"Vencida hace "&amp;(FechaRef-$AN48)&amp;IF(FechaRef-$AN48=1," día"," días"),IF($AN48=FechaRef,"Vence hoy",IF($AN48-FechaRef&lt;=DiasAlerta,"Vence en "&amp;($AN48-FechaRef)&amp;IF($AN48-FechaRef=1," día"," días"),"En plazo")))))))</f>
        <v/>
      </c>
      <c r="P48" s="62" t="n"/>
      <c r="Q48" s="58" t="n"/>
      <c r="R48" s="63">
        <f>IF(NOT((COUNTA($B48:$D48)+COUNTA($G48:$L48)+COUNTA($Q48))&gt;0),"",IF((IF($C48="","Falta el nombre de la actividad"&amp;" · ","")&amp;IF(AND($V48="Sub",N($U48)=0),"Subactividad sin macroactividad arriba"&amp;" · ","")&amp;IF($AM48="","Sin fecha de inicio"&amp;" · ","")&amp;IF($AN48="","Sin fecha límite"&amp;" · ","")&amp;IF(AND(LEFT($C48,11)="[Jefatura] ",N($AL48)=0),"No se encuentra en la hoja de la jefatura (elíjala de nuevo en la lista)"&amp;" · ","")&amp;IF(OR(AND($E48&lt;&gt;"",NOT(ISNUMBER($E48))),AND($F48&lt;&gt;"",NOT(ISNUMBER($F48))),AND($G48&lt;&gt;"",NOT(ISNUMBER($G48)))),"Fecha no válida"&amp;" · ","")&amp;IF(AND(ISNUMBER($AM48),ISNUMBER($AN48),$AM48&gt;$AN48),"Inicio posterior a fecha límite"&amp;" · ","")&amp;IF(AND($V48="Macro",$H48&lt;&gt;"",OR(NOT(ISNUMBER($H48)),$H48&lt;0,$H48&gt;1)),"Peso fuera de rango"&amp;" · ","")&amp;IF(AND($V48="Sub",$H48&lt;&gt;""),"Las subactividades no llevan peso (valen igual dentro de su macroactividad)"&amp;" · ","")&amp;IF(AND(N($W48)&gt;0,COUNT($I48:$L48)&gt;0),"Con subactividades: deje vacías las semanas (se calculan solas)"&amp;" · ","")&amp;IF((COUNTIF($I48:$L48,"&gt;1")+COUNTIF($I48:$L48,"&lt;0")+COUNTA($I48:$L48)-COUNT($I48:$L48))&gt;0,"Avance fuera de rango 0-100%"&amp;" · ","")&amp;IF(OR(AND($J48&lt;&gt;"",$J48&lt;$I48),AND($K48&lt;&gt;"",$K48&lt;MAX($I48:$J48)),AND($L48&lt;&gt;"",$L48&lt;MAX($I48:$K48))),"Avance semanal decreciente"&amp;" · ","")&amp;IF(AND(ISNUMBER($AN48),$AN48&lt;FechaRef,IF($V48="Sub",N($X48),N($M48))&lt;1),"Vencida"&amp;" · ","")&amp;IF(AND(ObsObligatoria="Sí",ISNUMBER($AN48),$AN48&lt;FechaRef,IF($V48="Sub",N($X48),N($M48))&lt;1,$Q48=""),"Vencida sin observación"&amp;" · ",""))="","✔ OK","⚠ "&amp;LEFT(IF($C48="","Falta el nombre de la actividad"&amp;" · ","")&amp;IF(AND($V48="Sub",N($U48)=0),"Subactividad sin macroactividad arriba"&amp;" · ","")&amp;IF($AM48="","Sin fecha de inicio"&amp;" · ","")&amp;IF($AN48="","Sin fecha límite"&amp;" · ","")&amp;IF(AND(LEFT($C48,11)="[Jefatura] ",N($AL48)=0),"No se encuentra en la hoja de la jefatura (elíjala de nuevo en la lista)"&amp;" · ","")&amp;IF(OR(AND($E48&lt;&gt;"",NOT(ISNUMBER($E48))),AND($F48&lt;&gt;"",NOT(ISNUMBER($F48))),AND($G48&lt;&gt;"",NOT(ISNUMBER($G48)))),"Fecha no válida"&amp;" · ","")&amp;IF(AND(ISNUMBER($AM48),ISNUMBER($AN48),$AM48&gt;$AN48),"Inicio posterior a fecha límite"&amp;" · ","")&amp;IF(AND($V48="Macro",$H48&lt;&gt;"",OR(NOT(ISNUMBER($H48)),$H48&lt;0,$H48&gt;1)),"Peso fuera de rango"&amp;" · ","")&amp;IF(AND($V48="Sub",$H48&lt;&gt;""),"Las subactividades no llevan peso (valen igual dentro de su macroactividad)"&amp;" · ","")&amp;IF(AND(N($W48)&gt;0,COUNT($I48:$L48)&gt;0),"Con subactividades: deje vacías las semanas (se calculan solas)"&amp;" · ","")&amp;IF((COUNTIF($I48:$L48,"&gt;1")+COUNTIF($I48:$L48,"&lt;0")+COUNTA($I48:$L48)-COUNT($I48:$L48))&gt;0,"Avance fuera de rango 0-100%"&amp;" · ","")&amp;IF(OR(AND($J48&lt;&gt;"",$J48&lt;$I48),AND($K48&lt;&gt;"",$K48&lt;MAX($I48:$J48)),AND($L48&lt;&gt;"",$L48&lt;MAX($I48:$K48))),"Avance semanal decreciente"&amp;" · ","")&amp;IF(AND(ISNUMBER($AN48),$AN48&lt;FechaRef,IF($V48="Sub",N($X48),N($M48))&lt;1),"Vencida"&amp;" · ","")&amp;IF(AND(ObsObligatoria="Sí",ISNUMBER($AN48),$AN48&lt;FechaRef,IF($V48="Sub",N($X48),N($M48))&lt;1,$Q48=""),"Vencida sin observación"&amp;" · ",""),LEN(IF($C48="","Falta el nombre de la actividad"&amp;" · ","")&amp;IF(AND($V48="Sub",N($U48)=0),"Subactividad sin macroactividad arriba"&amp;" · ","")&amp;IF($AM48="","Sin fecha de inicio"&amp;" · ","")&amp;IF($AN48="","Sin fecha límite"&amp;" · ","")&amp;IF(AND(LEFT($C48,11)="[Jefatura] ",N($AL48)=0),"No se encuentra en la hoja de la jefatura (elíjala de nuevo en la lista)"&amp;" · ","")&amp;IF(OR(AND($E48&lt;&gt;"",NOT(ISNUMBER($E48))),AND($F48&lt;&gt;"",NOT(ISNUMBER($F48))),AND($G48&lt;&gt;"",NOT(ISNUMBER($G48)))),"Fecha no válida"&amp;" · ","")&amp;IF(AND(ISNUMBER($AM48),ISNUMBER($AN48),$AM48&gt;$AN48),"Inicio posterior a fecha límite"&amp;" · ","")&amp;IF(AND($V48="Macro",$H48&lt;&gt;"",OR(NOT(ISNUMBER($H48)),$H48&lt;0,$H48&gt;1)),"Peso fuera de rango"&amp;" · ","")&amp;IF(AND($V48="Sub",$H48&lt;&gt;""),"Las subactividades no llevan peso (valen igual dentro de su macroactividad)"&amp;" · ","")&amp;IF(AND(N($W48)&gt;0,COUNT($I48:$L48)&gt;0),"Con subactividades: deje vacías las semanas (se calculan solas)"&amp;" · ","")&amp;IF((COUNTIF($I48:$L48,"&gt;1")+COUNTIF($I48:$L48,"&lt;0")+COUNTA($I48:$L48)-COUNT($I48:$L48))&gt;0,"Avance fuera de rango 0-100%"&amp;" · ","")&amp;IF(OR(AND($J48&lt;&gt;"",$J48&lt;$I48),AND($K48&lt;&gt;"",$K48&lt;MAX($I48:$J48)),AND($L48&lt;&gt;"",$L48&lt;MAX($I48:$K48))),"Avance semanal decreciente"&amp;" · ","")&amp;IF(AND(ISNUMBER($AN48),$AN48&lt;FechaRef,IF($V48="Sub",N($X48),N($M48))&lt;1),"Vencida"&amp;" · ","")&amp;IF(AND(ObsObligatoria="Sí",ISNUMBER($AN48),$AN48&lt;FechaRef,IF($V48="Sub",N($X48),N($M48))&lt;1,$Q48=""),"Vencida sin observación"&amp;" · ",""))-3)))</f>
        <v/>
      </c>
      <c r="S48" s="64">
        <f>IF(NOT((COUNTA($B48:$D48)+COUNTA($G48:$L48)+COUNTA($Q48))&gt;0),"",IF(AND($V48="Sub",N($U48)&gt;0),IF(ISNUMBER(INDEX($AM$5:$AM$1000,$U48-4)),DATE(YEAR(INDEX($AM$5:$AM$1000,$U48-4)),MONTH(INDEX($AM$5:$AM$1000,$U48-4)),1),IF(ISNUMBER(INDEX($AN$5:$AN$1000,$U48-4)),DATE(YEAR(INDEX($AN$5:$AN$1000,$U48-4)),MONTH(INDEX($AN$5:$AN$1000,$U48-4)),1),MesCiclo)),IF(ISNUMBER($AM48),DATE(YEAR($AM48),MONTH($AM48),1),IF(ISNUMBER($AN48),DATE(YEAR($AN48),MONTH($AN48),1),MesCiclo))))</f>
        <v/>
      </c>
      <c r="T48" s="62">
        <f>IF(OR($S48="",$S48&lt;&gt;MesCiclo,$V48&lt;&gt;"Macro"),"",COUNTIFS($S$5:$S48,MesCiclo,$V$5:$V48,"Macro"))</f>
        <v/>
      </c>
      <c r="U48" s="62">
        <f>IF($V48="","",IF($V48="Macro",ROW(),IFERROR(LOOKUP(2,1/($V$5:$V48="Macro"),ROW($V$5:$V48)),0)))</f>
        <v/>
      </c>
      <c r="V48" s="62">
        <f>IF(NOT((COUNTA($B48:$D48)+COUNTA($G48:$L48)+COUNTA($Q48))&gt;0),"",IF($B48="Subactividad","Sub","Macro"))</f>
        <v/>
      </c>
      <c r="W48" s="62">
        <f>IF($V48="Macro",COUNTIFS($U$5:$U$1000,ROW(),$V$5:$V$1000,"Sub"),"")</f>
        <v/>
      </c>
      <c r="X48" s="62">
        <f>IF($V48="","",IF(ISNUMBER($G48),1,IFERROR(LOOKUP(2,1/($I48:$L48&lt;&gt;""),$I48:$L48),0)))</f>
        <v/>
      </c>
      <c r="Y48" s="62">
        <f>IF($V48="","",IF(AND(ISNUMBER($G48),$G48&lt;=IF($S48=MesCiclo,InicioCiclo,$S48+MOD(2-WEEKDAY($S48),7))+6),1,IF(ISNUMBER($I48),$I48,0)))</f>
        <v/>
      </c>
      <c r="Z48" s="62">
        <f>IF($V48="","",IF(AND(ISNUMBER($G48),$G48&lt;=IF($S48=MesCiclo,InicioCiclo,$S48+MOD(2-WEEKDAY($S48),7))+13),1,IF(ISNUMBER($J48),$J48,$Y48)))</f>
        <v/>
      </c>
      <c r="AA48" s="62">
        <f>IF($V48="","",IF(AND(ISNUMBER($G48),$G48&lt;=IF($S48=MesCiclo,InicioCiclo,$S48+MOD(2-WEEKDAY($S48),7))+20),1,IF(ISNUMBER($K48),$K48,$Z48)))</f>
        <v/>
      </c>
      <c r="AB48" s="62">
        <f>IF($V48="","",IF(AND(ISNUMBER($G48),$G48&lt;=IF($S48=MesCiclo,InicioCiclo,$S48+MOD(2-WEEKDAY($S48),7))+27),1,IF(ISNUMBER($L48),$L48,$AA48)))</f>
        <v/>
      </c>
      <c r="AC48" s="62">
        <f>IF($V48="","",IF(AND(ISNUMBER($G48),$G48&lt;=IF($S48=MesCiclo,InicioCiclo,$S48+MOD(2-WEEKDAY($S48),7))+6),1,IF(N($W48)&gt;0,AVERAGEIFS($Y$5:$Y$1000,$U$5:$U$1000,ROW(),$V$5:$V$1000,"Sub"),$Y48)))</f>
        <v/>
      </c>
      <c r="AD48" s="62">
        <f>IF($V48="","",IF(AND(ISNUMBER($G48),$G48&lt;=IF($S48=MesCiclo,InicioCiclo,$S48+MOD(2-WEEKDAY($S48),7))+13),1,IF(N($W48)&gt;0,AVERAGEIFS($Z$5:$Z$1000,$U$5:$U$1000,ROW(),$V$5:$V$1000,"Sub"),$Z48)))</f>
        <v/>
      </c>
      <c r="AE48" s="62">
        <f>IF($V48="","",IF(AND(ISNUMBER($G48),$G48&lt;=IF($S48=MesCiclo,InicioCiclo,$S48+MOD(2-WEEKDAY($S48),7))+20),1,IF(N($W48)&gt;0,AVERAGEIFS($AA$5:$AA$1000,$U$5:$U$1000,ROW(),$V$5:$V$1000,"Sub"),$AA48)))</f>
        <v/>
      </c>
      <c r="AF48" s="62">
        <f>IF($V48="","",IF(AND(ISNUMBER($G48),$G48&lt;=IF($S48=MesCiclo,InicioCiclo,$S48+MOD(2-WEEKDAY($S48),7))+27),1,IF(N($W48)&gt;0,AVERAGEIFS($AB$5:$AB$1000,$U$5:$U$1000,ROW(),$V$5:$V$1000,"Sub"),$AB48)))</f>
        <v/>
      </c>
      <c r="AG48" s="62">
        <f>IF($V48&lt;&gt;"Macro","",IF(COUNTIFS($S$5:$S$1000,$S48,$V$5:$V$1000,"Macro",$H$5:$H$1000,"&gt;0")=0,1/COUNTIFS($S$5:$S$1000,$S48,$V$5:$V$1000,"Macro"),IF(AND(ISNUMBER($H48),N($H48)&gt;0),$H48,SUMIFS($H$5:$H$1000,$S$5:$S$1000,$S48,$V$5:$V$1000,"Macro")/COUNTIFS($S$5:$S$1000,$S48,$V$5:$V$1000,"Macro",$H$5:$H$1000,"&gt;0"))/(COUNTIFS($S$5:$S$1000,$S48,$V$5:$V$1000,"Macro")*SUMIFS($H$5:$H$1000,$S$5:$S$1000,$S48,$V$5:$V$1000,"Macro")/COUNTIFS($S$5:$S$1000,$S48,$V$5:$V$1000,"Macro",$H$5:$H$1000,"&gt;0"))))</f>
        <v/>
      </c>
      <c r="AH48" s="62" t="n"/>
      <c r="AI48" s="62" t="n"/>
      <c r="AJ48" s="62" t="n"/>
      <c r="AK48" s="62" t="n"/>
      <c r="AL48" s="62">
        <f>IF(LEFT($C48,11)="[Jefatura] ",IFERROR(MATCH("Asistente Técnico de Riesgo|"&amp;MID($C48,12,500),rDname_ADM,0),0),"")</f>
        <v/>
      </c>
      <c r="AM48" s="62">
        <f>IF(N($AL48)&gt;0,INDEX(rIni_ADM,$AL48),IF(ISNUMBER($E48),$E48,""))</f>
        <v/>
      </c>
      <c r="AN48" s="62">
        <f>IF(N($AL48)&gt;0,INDEX(rLim_ADM,$AL48),IF(ISNUMBER($F48),$F48,""))</f>
        <v/>
      </c>
    </row>
    <row r="49">
      <c r="A49" s="56">
        <f>IF(NOT((COUNTA($B49:$D49)+COUNTA($G49:$L49)+COUNTA($Q49))&gt;0),"",IF($V49="Macro",COUNTIFS($V$5:$V49,"Macro",$S$5:$S49,$S49),IF(N($U49)=0,"?",COUNTIFS(INDEX($V$5:$V$1000,1):INDEX($V$5:$V$1000,$U49-4),"Macro",INDEX($S$5:$S$1000,1):INDEX($S$5:$S$1000,$U49-4),INDEX($S$5:$S$1000,$U49-4))&amp;"."&amp;COUNTIFS($U$5:$U49,$U49,$V$5:$V49,"Sub"))))</f>
        <v/>
      </c>
      <c r="B49" s="57" t="n"/>
      <c r="C49" s="58" t="n"/>
      <c r="D49" s="58" t="n"/>
      <c r="E49" s="59">
        <f>IF(N($AL49)&gt;0,INDEX(rIni_ADM,$AL49),"")</f>
        <v/>
      </c>
      <c r="F49" s="59">
        <f>IF(N($AL49)&gt;0,INDEX(rLim_ADM,$AL49),"")</f>
        <v/>
      </c>
      <c r="G49" s="59" t="n"/>
      <c r="H49" s="60" t="n"/>
      <c r="I49" s="60" t="n"/>
      <c r="J49" s="60" t="n"/>
      <c r="K49" s="60" t="n"/>
      <c r="L49" s="60" t="n"/>
      <c r="M49" s="61">
        <f>IF(NOT((COUNTA($B49:$D49)+COUNTA($G49:$L49)+COUNTA($Q49))&gt;0),"",IF($V49="Sub",IFERROR($X49/INDEX($W$5:$W$1000,$U49-4),""),IF(ISNUMBER($G49),1,IF(N($W49)&gt;0,AVERAGEIFS($X$5:$X$1000,$U$5:$U$1000,ROW(),$V$5:$V$1000,"Sub"),$X49))))</f>
        <v/>
      </c>
      <c r="N49" s="56">
        <f>IF(OR($M49="",$V49="Sub"),"",IF($M49&gt;=1,"Completado",IF($M49&gt;0,"En curso","Pendiente")))</f>
        <v/>
      </c>
      <c r="O49" s="56">
        <f>IF(OR(NOT((COUNTA($B49:$D49)+COUNTA($G49:$L49)+COUNTA($Q49))&gt;0),$V49="Sub"),"",IF(ISNUMBER($G49),IF(AND(ISNUMBER($AN49),$G49&gt;$AN49),"Cumplida con "&amp;($G49-$AN49)&amp;IF($G49-$AN49=1," día"," días")&amp;" de retraso","Cumplida"),IF(N($M49)&gt;=1,"Cumplida",IF(NOT(ISNUMBER($AN49)),"Sin fecha límite",IF($AN49&lt;FechaRef,"Vencida hace "&amp;(FechaRef-$AN49)&amp;IF(FechaRef-$AN49=1," día"," días"),IF($AN49=FechaRef,"Vence hoy",IF($AN49-FechaRef&lt;=DiasAlerta,"Vence en "&amp;($AN49-FechaRef)&amp;IF($AN49-FechaRef=1," día"," días"),"En plazo")))))))</f>
        <v/>
      </c>
      <c r="P49" s="62" t="n"/>
      <c r="Q49" s="58" t="n"/>
      <c r="R49" s="63">
        <f>IF(NOT((COUNTA($B49:$D49)+COUNTA($G49:$L49)+COUNTA($Q49))&gt;0),"",IF((IF($C49="","Falta el nombre de la actividad"&amp;" · ","")&amp;IF(AND($V49="Sub",N($U49)=0),"Subactividad sin macroactividad arriba"&amp;" · ","")&amp;IF($AM49="","Sin fecha de inicio"&amp;" · ","")&amp;IF($AN49="","Sin fecha límite"&amp;" · ","")&amp;IF(AND(LEFT($C49,11)="[Jefatura] ",N($AL49)=0),"No se encuentra en la hoja de la jefatura (elíjala de nuevo en la lista)"&amp;" · ","")&amp;IF(OR(AND($E49&lt;&gt;"",NOT(ISNUMBER($E49))),AND($F49&lt;&gt;"",NOT(ISNUMBER($F49))),AND($G49&lt;&gt;"",NOT(ISNUMBER($G49)))),"Fecha no válida"&amp;" · ","")&amp;IF(AND(ISNUMBER($AM49),ISNUMBER($AN49),$AM49&gt;$AN49),"Inicio posterior a fecha límite"&amp;" · ","")&amp;IF(AND($V49="Macro",$H49&lt;&gt;"",OR(NOT(ISNUMBER($H49)),$H49&lt;0,$H49&gt;1)),"Peso fuera de rango"&amp;" · ","")&amp;IF(AND($V49="Sub",$H49&lt;&gt;""),"Las subactividades no llevan peso (valen igual dentro de su macroactividad)"&amp;" · ","")&amp;IF(AND(N($W49)&gt;0,COUNT($I49:$L49)&gt;0),"Con subactividades: deje vacías las semanas (se calculan solas)"&amp;" · ","")&amp;IF((COUNTIF($I49:$L49,"&gt;1")+COUNTIF($I49:$L49,"&lt;0")+COUNTA($I49:$L49)-COUNT($I49:$L49))&gt;0,"Avance fuera de rango 0-100%"&amp;" · ","")&amp;IF(OR(AND($J49&lt;&gt;"",$J49&lt;$I49),AND($K49&lt;&gt;"",$K49&lt;MAX($I49:$J49)),AND($L49&lt;&gt;"",$L49&lt;MAX($I49:$K49))),"Avance semanal decreciente"&amp;" · ","")&amp;IF(AND(ISNUMBER($AN49),$AN49&lt;FechaRef,IF($V49="Sub",N($X49),N($M49))&lt;1),"Vencida"&amp;" · ","")&amp;IF(AND(ObsObligatoria="Sí",ISNUMBER($AN49),$AN49&lt;FechaRef,IF($V49="Sub",N($X49),N($M49))&lt;1,$Q49=""),"Vencida sin observación"&amp;" · ",""))="","✔ OK","⚠ "&amp;LEFT(IF($C49="","Falta el nombre de la actividad"&amp;" · ","")&amp;IF(AND($V49="Sub",N($U49)=0),"Subactividad sin macroactividad arriba"&amp;" · ","")&amp;IF($AM49="","Sin fecha de inicio"&amp;" · ","")&amp;IF($AN49="","Sin fecha límite"&amp;" · ","")&amp;IF(AND(LEFT($C49,11)="[Jefatura] ",N($AL49)=0),"No se encuentra en la hoja de la jefatura (elíjala de nuevo en la lista)"&amp;" · ","")&amp;IF(OR(AND($E49&lt;&gt;"",NOT(ISNUMBER($E49))),AND($F49&lt;&gt;"",NOT(ISNUMBER($F49))),AND($G49&lt;&gt;"",NOT(ISNUMBER($G49)))),"Fecha no válida"&amp;" · ","")&amp;IF(AND(ISNUMBER($AM49),ISNUMBER($AN49),$AM49&gt;$AN49),"Inicio posterior a fecha límite"&amp;" · ","")&amp;IF(AND($V49="Macro",$H49&lt;&gt;"",OR(NOT(ISNUMBER($H49)),$H49&lt;0,$H49&gt;1)),"Peso fuera de rango"&amp;" · ","")&amp;IF(AND($V49="Sub",$H49&lt;&gt;""),"Las subactividades no llevan peso (valen igual dentro de su macroactividad)"&amp;" · ","")&amp;IF(AND(N($W49)&gt;0,COUNT($I49:$L49)&gt;0),"Con subactividades: deje vacías las semanas (se calculan solas)"&amp;" · ","")&amp;IF((COUNTIF($I49:$L49,"&gt;1")+COUNTIF($I49:$L49,"&lt;0")+COUNTA($I49:$L49)-COUNT($I49:$L49))&gt;0,"Avance fuera de rango 0-100%"&amp;" · ","")&amp;IF(OR(AND($J49&lt;&gt;"",$J49&lt;$I49),AND($K49&lt;&gt;"",$K49&lt;MAX($I49:$J49)),AND($L49&lt;&gt;"",$L49&lt;MAX($I49:$K49))),"Avance semanal decreciente"&amp;" · ","")&amp;IF(AND(ISNUMBER($AN49),$AN49&lt;FechaRef,IF($V49="Sub",N($X49),N($M49))&lt;1),"Vencida"&amp;" · ","")&amp;IF(AND(ObsObligatoria="Sí",ISNUMBER($AN49),$AN49&lt;FechaRef,IF($V49="Sub",N($X49),N($M49))&lt;1,$Q49=""),"Vencida sin observación"&amp;" · ",""),LEN(IF($C49="","Falta el nombre de la actividad"&amp;" · ","")&amp;IF(AND($V49="Sub",N($U49)=0),"Subactividad sin macroactividad arriba"&amp;" · ","")&amp;IF($AM49="","Sin fecha de inicio"&amp;" · ","")&amp;IF($AN49="","Sin fecha límite"&amp;" · ","")&amp;IF(AND(LEFT($C49,11)="[Jefatura] ",N($AL49)=0),"No se encuentra en la hoja de la jefatura (elíjala de nuevo en la lista)"&amp;" · ","")&amp;IF(OR(AND($E49&lt;&gt;"",NOT(ISNUMBER($E49))),AND($F49&lt;&gt;"",NOT(ISNUMBER($F49))),AND($G49&lt;&gt;"",NOT(ISNUMBER($G49)))),"Fecha no válida"&amp;" · ","")&amp;IF(AND(ISNUMBER($AM49),ISNUMBER($AN49),$AM49&gt;$AN49),"Inicio posterior a fecha límite"&amp;" · ","")&amp;IF(AND($V49="Macro",$H49&lt;&gt;"",OR(NOT(ISNUMBER($H49)),$H49&lt;0,$H49&gt;1)),"Peso fuera de rango"&amp;" · ","")&amp;IF(AND($V49="Sub",$H49&lt;&gt;""),"Las subactividades no llevan peso (valen igual dentro de su macroactividad)"&amp;" · ","")&amp;IF(AND(N($W49)&gt;0,COUNT($I49:$L49)&gt;0),"Con subactividades: deje vacías las semanas (se calculan solas)"&amp;" · ","")&amp;IF((COUNTIF($I49:$L49,"&gt;1")+COUNTIF($I49:$L49,"&lt;0")+COUNTA($I49:$L49)-COUNT($I49:$L49))&gt;0,"Avance fuera de rango 0-100%"&amp;" · ","")&amp;IF(OR(AND($J49&lt;&gt;"",$J49&lt;$I49),AND($K49&lt;&gt;"",$K49&lt;MAX($I49:$J49)),AND($L49&lt;&gt;"",$L49&lt;MAX($I49:$K49))),"Avance semanal decreciente"&amp;" · ","")&amp;IF(AND(ISNUMBER($AN49),$AN49&lt;FechaRef,IF($V49="Sub",N($X49),N($M49))&lt;1),"Vencida"&amp;" · ","")&amp;IF(AND(ObsObligatoria="Sí",ISNUMBER($AN49),$AN49&lt;FechaRef,IF($V49="Sub",N($X49),N($M49))&lt;1,$Q49=""),"Vencida sin observación"&amp;" · ",""))-3)))</f>
        <v/>
      </c>
      <c r="S49" s="64">
        <f>IF(NOT((COUNTA($B49:$D49)+COUNTA($G49:$L49)+COUNTA($Q49))&gt;0),"",IF(AND($V49="Sub",N($U49)&gt;0),IF(ISNUMBER(INDEX($AM$5:$AM$1000,$U49-4)),DATE(YEAR(INDEX($AM$5:$AM$1000,$U49-4)),MONTH(INDEX($AM$5:$AM$1000,$U49-4)),1),IF(ISNUMBER(INDEX($AN$5:$AN$1000,$U49-4)),DATE(YEAR(INDEX($AN$5:$AN$1000,$U49-4)),MONTH(INDEX($AN$5:$AN$1000,$U49-4)),1),MesCiclo)),IF(ISNUMBER($AM49),DATE(YEAR($AM49),MONTH($AM49),1),IF(ISNUMBER($AN49),DATE(YEAR($AN49),MONTH($AN49),1),MesCiclo))))</f>
        <v/>
      </c>
      <c r="T49" s="62">
        <f>IF(OR($S49="",$S49&lt;&gt;MesCiclo,$V49&lt;&gt;"Macro"),"",COUNTIFS($S$5:$S49,MesCiclo,$V$5:$V49,"Macro"))</f>
        <v/>
      </c>
      <c r="U49" s="62">
        <f>IF($V49="","",IF($V49="Macro",ROW(),IFERROR(LOOKUP(2,1/($V$5:$V49="Macro"),ROW($V$5:$V49)),0)))</f>
        <v/>
      </c>
      <c r="V49" s="62">
        <f>IF(NOT((COUNTA($B49:$D49)+COUNTA($G49:$L49)+COUNTA($Q49))&gt;0),"",IF($B49="Subactividad","Sub","Macro"))</f>
        <v/>
      </c>
      <c r="W49" s="62">
        <f>IF($V49="Macro",COUNTIFS($U$5:$U$1000,ROW(),$V$5:$V$1000,"Sub"),"")</f>
        <v/>
      </c>
      <c r="X49" s="62">
        <f>IF($V49="","",IF(ISNUMBER($G49),1,IFERROR(LOOKUP(2,1/($I49:$L49&lt;&gt;""),$I49:$L49),0)))</f>
        <v/>
      </c>
      <c r="Y49" s="62">
        <f>IF($V49="","",IF(AND(ISNUMBER($G49),$G49&lt;=IF($S49=MesCiclo,InicioCiclo,$S49+MOD(2-WEEKDAY($S49),7))+6),1,IF(ISNUMBER($I49),$I49,0)))</f>
        <v/>
      </c>
      <c r="Z49" s="62">
        <f>IF($V49="","",IF(AND(ISNUMBER($G49),$G49&lt;=IF($S49=MesCiclo,InicioCiclo,$S49+MOD(2-WEEKDAY($S49),7))+13),1,IF(ISNUMBER($J49),$J49,$Y49)))</f>
        <v/>
      </c>
      <c r="AA49" s="62">
        <f>IF($V49="","",IF(AND(ISNUMBER($G49),$G49&lt;=IF($S49=MesCiclo,InicioCiclo,$S49+MOD(2-WEEKDAY($S49),7))+20),1,IF(ISNUMBER($K49),$K49,$Z49)))</f>
        <v/>
      </c>
      <c r="AB49" s="62">
        <f>IF($V49="","",IF(AND(ISNUMBER($G49),$G49&lt;=IF($S49=MesCiclo,InicioCiclo,$S49+MOD(2-WEEKDAY($S49),7))+27),1,IF(ISNUMBER($L49),$L49,$AA49)))</f>
        <v/>
      </c>
      <c r="AC49" s="62">
        <f>IF($V49="","",IF(AND(ISNUMBER($G49),$G49&lt;=IF($S49=MesCiclo,InicioCiclo,$S49+MOD(2-WEEKDAY($S49),7))+6),1,IF(N($W49)&gt;0,AVERAGEIFS($Y$5:$Y$1000,$U$5:$U$1000,ROW(),$V$5:$V$1000,"Sub"),$Y49)))</f>
        <v/>
      </c>
      <c r="AD49" s="62">
        <f>IF($V49="","",IF(AND(ISNUMBER($G49),$G49&lt;=IF($S49=MesCiclo,InicioCiclo,$S49+MOD(2-WEEKDAY($S49),7))+13),1,IF(N($W49)&gt;0,AVERAGEIFS($Z$5:$Z$1000,$U$5:$U$1000,ROW(),$V$5:$V$1000,"Sub"),$Z49)))</f>
        <v/>
      </c>
      <c r="AE49" s="62">
        <f>IF($V49="","",IF(AND(ISNUMBER($G49),$G49&lt;=IF($S49=MesCiclo,InicioCiclo,$S49+MOD(2-WEEKDAY($S49),7))+20),1,IF(N($W49)&gt;0,AVERAGEIFS($AA$5:$AA$1000,$U$5:$U$1000,ROW(),$V$5:$V$1000,"Sub"),$AA49)))</f>
        <v/>
      </c>
      <c r="AF49" s="62">
        <f>IF($V49="","",IF(AND(ISNUMBER($G49),$G49&lt;=IF($S49=MesCiclo,InicioCiclo,$S49+MOD(2-WEEKDAY($S49),7))+27),1,IF(N($W49)&gt;0,AVERAGEIFS($AB$5:$AB$1000,$U$5:$U$1000,ROW(),$V$5:$V$1000,"Sub"),$AB49)))</f>
        <v/>
      </c>
      <c r="AG49" s="62">
        <f>IF($V49&lt;&gt;"Macro","",IF(COUNTIFS($S$5:$S$1000,$S49,$V$5:$V$1000,"Macro",$H$5:$H$1000,"&gt;0")=0,1/COUNTIFS($S$5:$S$1000,$S49,$V$5:$V$1000,"Macro"),IF(AND(ISNUMBER($H49),N($H49)&gt;0),$H49,SUMIFS($H$5:$H$1000,$S$5:$S$1000,$S49,$V$5:$V$1000,"Macro")/COUNTIFS($S$5:$S$1000,$S49,$V$5:$V$1000,"Macro",$H$5:$H$1000,"&gt;0"))/(COUNTIFS($S$5:$S$1000,$S49,$V$5:$V$1000,"Macro")*SUMIFS($H$5:$H$1000,$S$5:$S$1000,$S49,$V$5:$V$1000,"Macro")/COUNTIFS($S$5:$S$1000,$S49,$V$5:$V$1000,"Macro",$H$5:$H$1000,"&gt;0"))))</f>
        <v/>
      </c>
      <c r="AH49" s="62" t="n"/>
      <c r="AI49" s="62" t="n"/>
      <c r="AJ49" s="62" t="n"/>
      <c r="AK49" s="62" t="n"/>
      <c r="AL49" s="62">
        <f>IF(LEFT($C49,11)="[Jefatura] ",IFERROR(MATCH("Asistente Técnico de Riesgo|"&amp;MID($C49,12,500),rDname_ADM,0),0),"")</f>
        <v/>
      </c>
      <c r="AM49" s="62">
        <f>IF(N($AL49)&gt;0,INDEX(rIni_ADM,$AL49),IF(ISNUMBER($E49),$E49,""))</f>
        <v/>
      </c>
      <c r="AN49" s="62">
        <f>IF(N($AL49)&gt;0,INDEX(rLim_ADM,$AL49),IF(ISNUMBER($F49),$F49,""))</f>
        <v/>
      </c>
    </row>
    <row r="50">
      <c r="A50" s="56">
        <f>IF(NOT((COUNTA($B50:$D50)+COUNTA($G50:$L50)+COUNTA($Q50))&gt;0),"",IF($V50="Macro",COUNTIFS($V$5:$V50,"Macro",$S$5:$S50,$S50),IF(N($U50)=0,"?",COUNTIFS(INDEX($V$5:$V$1000,1):INDEX($V$5:$V$1000,$U50-4),"Macro",INDEX($S$5:$S$1000,1):INDEX($S$5:$S$1000,$U50-4),INDEX($S$5:$S$1000,$U50-4))&amp;"."&amp;COUNTIFS($U$5:$U50,$U50,$V$5:$V50,"Sub"))))</f>
        <v/>
      </c>
      <c r="B50" s="57" t="n"/>
      <c r="C50" s="58" t="n"/>
      <c r="D50" s="58" t="n"/>
      <c r="E50" s="59">
        <f>IF(N($AL50)&gt;0,INDEX(rIni_ADM,$AL50),"")</f>
        <v/>
      </c>
      <c r="F50" s="59">
        <f>IF(N($AL50)&gt;0,INDEX(rLim_ADM,$AL50),"")</f>
        <v/>
      </c>
      <c r="G50" s="59" t="n"/>
      <c r="H50" s="60" t="n"/>
      <c r="I50" s="60" t="n"/>
      <c r="J50" s="60" t="n"/>
      <c r="K50" s="60" t="n"/>
      <c r="L50" s="60" t="n"/>
      <c r="M50" s="61">
        <f>IF(NOT((COUNTA($B50:$D50)+COUNTA($G50:$L50)+COUNTA($Q50))&gt;0),"",IF($V50="Sub",IFERROR($X50/INDEX($W$5:$W$1000,$U50-4),""),IF(ISNUMBER($G50),1,IF(N($W50)&gt;0,AVERAGEIFS($X$5:$X$1000,$U$5:$U$1000,ROW(),$V$5:$V$1000,"Sub"),$X50))))</f>
        <v/>
      </c>
      <c r="N50" s="56">
        <f>IF(OR($M50="",$V50="Sub"),"",IF($M50&gt;=1,"Completado",IF($M50&gt;0,"En curso","Pendiente")))</f>
        <v/>
      </c>
      <c r="O50" s="56">
        <f>IF(OR(NOT((COUNTA($B50:$D50)+COUNTA($G50:$L50)+COUNTA($Q50))&gt;0),$V50="Sub"),"",IF(ISNUMBER($G50),IF(AND(ISNUMBER($AN50),$G50&gt;$AN50),"Cumplida con "&amp;($G50-$AN50)&amp;IF($G50-$AN50=1," día"," días")&amp;" de retraso","Cumplida"),IF(N($M50)&gt;=1,"Cumplida",IF(NOT(ISNUMBER($AN50)),"Sin fecha límite",IF($AN50&lt;FechaRef,"Vencida hace "&amp;(FechaRef-$AN50)&amp;IF(FechaRef-$AN50=1," día"," días"),IF($AN50=FechaRef,"Vence hoy",IF($AN50-FechaRef&lt;=DiasAlerta,"Vence en "&amp;($AN50-FechaRef)&amp;IF($AN50-FechaRef=1," día"," días"),"En plazo")))))))</f>
        <v/>
      </c>
      <c r="P50" s="62" t="n"/>
      <c r="Q50" s="58" t="n"/>
      <c r="R50" s="63">
        <f>IF(NOT((COUNTA($B50:$D50)+COUNTA($G50:$L50)+COUNTA($Q50))&gt;0),"",IF((IF($C50="","Falta el nombre de la actividad"&amp;" · ","")&amp;IF(AND($V50="Sub",N($U50)=0),"Subactividad sin macroactividad arriba"&amp;" · ","")&amp;IF($AM50="","Sin fecha de inicio"&amp;" · ","")&amp;IF($AN50="","Sin fecha límite"&amp;" · ","")&amp;IF(AND(LEFT($C50,11)="[Jefatura] ",N($AL50)=0),"No se encuentra en la hoja de la jefatura (elíjala de nuevo en la lista)"&amp;" · ","")&amp;IF(OR(AND($E50&lt;&gt;"",NOT(ISNUMBER($E50))),AND($F50&lt;&gt;"",NOT(ISNUMBER($F50))),AND($G50&lt;&gt;"",NOT(ISNUMBER($G50)))),"Fecha no válida"&amp;" · ","")&amp;IF(AND(ISNUMBER($AM50),ISNUMBER($AN50),$AM50&gt;$AN50),"Inicio posterior a fecha límite"&amp;" · ","")&amp;IF(AND($V50="Macro",$H50&lt;&gt;"",OR(NOT(ISNUMBER($H50)),$H50&lt;0,$H50&gt;1)),"Peso fuera de rango"&amp;" · ","")&amp;IF(AND($V50="Sub",$H50&lt;&gt;""),"Las subactividades no llevan peso (valen igual dentro de su macroactividad)"&amp;" · ","")&amp;IF(AND(N($W50)&gt;0,COUNT($I50:$L50)&gt;0),"Con subactividades: deje vacías las semanas (se calculan solas)"&amp;" · ","")&amp;IF((COUNTIF($I50:$L50,"&gt;1")+COUNTIF($I50:$L50,"&lt;0")+COUNTA($I50:$L50)-COUNT($I50:$L50))&gt;0,"Avance fuera de rango 0-100%"&amp;" · ","")&amp;IF(OR(AND($J50&lt;&gt;"",$J50&lt;$I50),AND($K50&lt;&gt;"",$K50&lt;MAX($I50:$J50)),AND($L50&lt;&gt;"",$L50&lt;MAX($I50:$K50))),"Avance semanal decreciente"&amp;" · ","")&amp;IF(AND(ISNUMBER($AN50),$AN50&lt;FechaRef,IF($V50="Sub",N($X50),N($M50))&lt;1),"Vencida"&amp;" · ","")&amp;IF(AND(ObsObligatoria="Sí",ISNUMBER($AN50),$AN50&lt;FechaRef,IF($V50="Sub",N($X50),N($M50))&lt;1,$Q50=""),"Vencida sin observación"&amp;" · ",""))="","✔ OK","⚠ "&amp;LEFT(IF($C50="","Falta el nombre de la actividad"&amp;" · ","")&amp;IF(AND($V50="Sub",N($U50)=0),"Subactividad sin macroactividad arriba"&amp;" · ","")&amp;IF($AM50="","Sin fecha de inicio"&amp;" · ","")&amp;IF($AN50="","Sin fecha límite"&amp;" · ","")&amp;IF(AND(LEFT($C50,11)="[Jefatura] ",N($AL50)=0),"No se encuentra en la hoja de la jefatura (elíjala de nuevo en la lista)"&amp;" · ","")&amp;IF(OR(AND($E50&lt;&gt;"",NOT(ISNUMBER($E50))),AND($F50&lt;&gt;"",NOT(ISNUMBER($F50))),AND($G50&lt;&gt;"",NOT(ISNUMBER($G50)))),"Fecha no válida"&amp;" · ","")&amp;IF(AND(ISNUMBER($AM50),ISNUMBER($AN50),$AM50&gt;$AN50),"Inicio posterior a fecha límite"&amp;" · ","")&amp;IF(AND($V50="Macro",$H50&lt;&gt;"",OR(NOT(ISNUMBER($H50)),$H50&lt;0,$H50&gt;1)),"Peso fuera de rango"&amp;" · ","")&amp;IF(AND($V50="Sub",$H50&lt;&gt;""),"Las subactividades no llevan peso (valen igual dentro de su macroactividad)"&amp;" · ","")&amp;IF(AND(N($W50)&gt;0,COUNT($I50:$L50)&gt;0),"Con subactividades: deje vacías las semanas (se calculan solas)"&amp;" · ","")&amp;IF((COUNTIF($I50:$L50,"&gt;1")+COUNTIF($I50:$L50,"&lt;0")+COUNTA($I50:$L50)-COUNT($I50:$L50))&gt;0,"Avance fuera de rango 0-100%"&amp;" · ","")&amp;IF(OR(AND($J50&lt;&gt;"",$J50&lt;$I50),AND($K50&lt;&gt;"",$K50&lt;MAX($I50:$J50)),AND($L50&lt;&gt;"",$L50&lt;MAX($I50:$K50))),"Avance semanal decreciente"&amp;" · ","")&amp;IF(AND(ISNUMBER($AN50),$AN50&lt;FechaRef,IF($V50="Sub",N($X50),N($M50))&lt;1),"Vencida"&amp;" · ","")&amp;IF(AND(ObsObligatoria="Sí",ISNUMBER($AN50),$AN50&lt;FechaRef,IF($V50="Sub",N($X50),N($M50))&lt;1,$Q50=""),"Vencida sin observación"&amp;" · ",""),LEN(IF($C50="","Falta el nombre de la actividad"&amp;" · ","")&amp;IF(AND($V50="Sub",N($U50)=0),"Subactividad sin macroactividad arriba"&amp;" · ","")&amp;IF($AM50="","Sin fecha de inicio"&amp;" · ","")&amp;IF($AN50="","Sin fecha límite"&amp;" · ","")&amp;IF(AND(LEFT($C50,11)="[Jefatura] ",N($AL50)=0),"No se encuentra en la hoja de la jefatura (elíjala de nuevo en la lista)"&amp;" · ","")&amp;IF(OR(AND($E50&lt;&gt;"",NOT(ISNUMBER($E50))),AND($F50&lt;&gt;"",NOT(ISNUMBER($F50))),AND($G50&lt;&gt;"",NOT(ISNUMBER($G50)))),"Fecha no válida"&amp;" · ","")&amp;IF(AND(ISNUMBER($AM50),ISNUMBER($AN50),$AM50&gt;$AN50),"Inicio posterior a fecha límite"&amp;" · ","")&amp;IF(AND($V50="Macro",$H50&lt;&gt;"",OR(NOT(ISNUMBER($H50)),$H50&lt;0,$H50&gt;1)),"Peso fuera de rango"&amp;" · ","")&amp;IF(AND($V50="Sub",$H50&lt;&gt;""),"Las subactividades no llevan peso (valen igual dentro de su macroactividad)"&amp;" · ","")&amp;IF(AND(N($W50)&gt;0,COUNT($I50:$L50)&gt;0),"Con subactividades: deje vacías las semanas (se calculan solas)"&amp;" · ","")&amp;IF((COUNTIF($I50:$L50,"&gt;1")+COUNTIF($I50:$L50,"&lt;0")+COUNTA($I50:$L50)-COUNT($I50:$L50))&gt;0,"Avance fuera de rango 0-100%"&amp;" · ","")&amp;IF(OR(AND($J50&lt;&gt;"",$J50&lt;$I50),AND($K50&lt;&gt;"",$K50&lt;MAX($I50:$J50)),AND($L50&lt;&gt;"",$L50&lt;MAX($I50:$K50))),"Avance semanal decreciente"&amp;" · ","")&amp;IF(AND(ISNUMBER($AN50),$AN50&lt;FechaRef,IF($V50="Sub",N($X50),N($M50))&lt;1),"Vencida"&amp;" · ","")&amp;IF(AND(ObsObligatoria="Sí",ISNUMBER($AN50),$AN50&lt;FechaRef,IF($V50="Sub",N($X50),N($M50))&lt;1,$Q50=""),"Vencida sin observación"&amp;" · ",""))-3)))</f>
        <v/>
      </c>
      <c r="S50" s="64">
        <f>IF(NOT((COUNTA($B50:$D50)+COUNTA($G50:$L50)+COUNTA($Q50))&gt;0),"",IF(AND($V50="Sub",N($U50)&gt;0),IF(ISNUMBER(INDEX($AM$5:$AM$1000,$U50-4)),DATE(YEAR(INDEX($AM$5:$AM$1000,$U50-4)),MONTH(INDEX($AM$5:$AM$1000,$U50-4)),1),IF(ISNUMBER(INDEX($AN$5:$AN$1000,$U50-4)),DATE(YEAR(INDEX($AN$5:$AN$1000,$U50-4)),MONTH(INDEX($AN$5:$AN$1000,$U50-4)),1),MesCiclo)),IF(ISNUMBER($AM50),DATE(YEAR($AM50),MONTH($AM50),1),IF(ISNUMBER($AN50),DATE(YEAR($AN50),MONTH($AN50),1),MesCiclo))))</f>
        <v/>
      </c>
      <c r="T50" s="62">
        <f>IF(OR($S50="",$S50&lt;&gt;MesCiclo,$V50&lt;&gt;"Macro"),"",COUNTIFS($S$5:$S50,MesCiclo,$V$5:$V50,"Macro"))</f>
        <v/>
      </c>
      <c r="U50" s="62">
        <f>IF($V50="","",IF($V50="Macro",ROW(),IFERROR(LOOKUP(2,1/($V$5:$V50="Macro"),ROW($V$5:$V50)),0)))</f>
        <v/>
      </c>
      <c r="V50" s="62">
        <f>IF(NOT((COUNTA($B50:$D50)+COUNTA($G50:$L50)+COUNTA($Q50))&gt;0),"",IF($B50="Subactividad","Sub","Macro"))</f>
        <v/>
      </c>
      <c r="W50" s="62">
        <f>IF($V50="Macro",COUNTIFS($U$5:$U$1000,ROW(),$V$5:$V$1000,"Sub"),"")</f>
        <v/>
      </c>
      <c r="X50" s="62">
        <f>IF($V50="","",IF(ISNUMBER($G50),1,IFERROR(LOOKUP(2,1/($I50:$L50&lt;&gt;""),$I50:$L50),0)))</f>
        <v/>
      </c>
      <c r="Y50" s="62">
        <f>IF($V50="","",IF(AND(ISNUMBER($G50),$G50&lt;=IF($S50=MesCiclo,InicioCiclo,$S50+MOD(2-WEEKDAY($S50),7))+6),1,IF(ISNUMBER($I50),$I50,0)))</f>
        <v/>
      </c>
      <c r="Z50" s="62">
        <f>IF($V50="","",IF(AND(ISNUMBER($G50),$G50&lt;=IF($S50=MesCiclo,InicioCiclo,$S50+MOD(2-WEEKDAY($S50),7))+13),1,IF(ISNUMBER($J50),$J50,$Y50)))</f>
        <v/>
      </c>
      <c r="AA50" s="62">
        <f>IF($V50="","",IF(AND(ISNUMBER($G50),$G50&lt;=IF($S50=MesCiclo,InicioCiclo,$S50+MOD(2-WEEKDAY($S50),7))+20),1,IF(ISNUMBER($K50),$K50,$Z50)))</f>
        <v/>
      </c>
      <c r="AB50" s="62">
        <f>IF($V50="","",IF(AND(ISNUMBER($G50),$G50&lt;=IF($S50=MesCiclo,InicioCiclo,$S50+MOD(2-WEEKDAY($S50),7))+27),1,IF(ISNUMBER($L50),$L50,$AA50)))</f>
        <v/>
      </c>
      <c r="AC50" s="62">
        <f>IF($V50="","",IF(AND(ISNUMBER($G50),$G50&lt;=IF($S50=MesCiclo,InicioCiclo,$S50+MOD(2-WEEKDAY($S50),7))+6),1,IF(N($W50)&gt;0,AVERAGEIFS($Y$5:$Y$1000,$U$5:$U$1000,ROW(),$V$5:$V$1000,"Sub"),$Y50)))</f>
        <v/>
      </c>
      <c r="AD50" s="62">
        <f>IF($V50="","",IF(AND(ISNUMBER($G50),$G50&lt;=IF($S50=MesCiclo,InicioCiclo,$S50+MOD(2-WEEKDAY($S50),7))+13),1,IF(N($W50)&gt;0,AVERAGEIFS($Z$5:$Z$1000,$U$5:$U$1000,ROW(),$V$5:$V$1000,"Sub"),$Z50)))</f>
        <v/>
      </c>
      <c r="AE50" s="62">
        <f>IF($V50="","",IF(AND(ISNUMBER($G50),$G50&lt;=IF($S50=MesCiclo,InicioCiclo,$S50+MOD(2-WEEKDAY($S50),7))+20),1,IF(N($W50)&gt;0,AVERAGEIFS($AA$5:$AA$1000,$U$5:$U$1000,ROW(),$V$5:$V$1000,"Sub"),$AA50)))</f>
        <v/>
      </c>
      <c r="AF50" s="62">
        <f>IF($V50="","",IF(AND(ISNUMBER($G50),$G50&lt;=IF($S50=MesCiclo,InicioCiclo,$S50+MOD(2-WEEKDAY($S50),7))+27),1,IF(N($W50)&gt;0,AVERAGEIFS($AB$5:$AB$1000,$U$5:$U$1000,ROW(),$V$5:$V$1000,"Sub"),$AB50)))</f>
        <v/>
      </c>
      <c r="AG50" s="62">
        <f>IF($V50&lt;&gt;"Macro","",IF(COUNTIFS($S$5:$S$1000,$S50,$V$5:$V$1000,"Macro",$H$5:$H$1000,"&gt;0")=0,1/COUNTIFS($S$5:$S$1000,$S50,$V$5:$V$1000,"Macro"),IF(AND(ISNUMBER($H50),N($H50)&gt;0),$H50,SUMIFS($H$5:$H$1000,$S$5:$S$1000,$S50,$V$5:$V$1000,"Macro")/COUNTIFS($S$5:$S$1000,$S50,$V$5:$V$1000,"Macro",$H$5:$H$1000,"&gt;0"))/(COUNTIFS($S$5:$S$1000,$S50,$V$5:$V$1000,"Macro")*SUMIFS($H$5:$H$1000,$S$5:$S$1000,$S50,$V$5:$V$1000,"Macro")/COUNTIFS($S$5:$S$1000,$S50,$V$5:$V$1000,"Macro",$H$5:$H$1000,"&gt;0"))))</f>
        <v/>
      </c>
      <c r="AH50" s="62" t="n"/>
      <c r="AI50" s="62" t="n"/>
      <c r="AJ50" s="62" t="n"/>
      <c r="AK50" s="62" t="n"/>
      <c r="AL50" s="62">
        <f>IF(LEFT($C50,11)="[Jefatura] ",IFERROR(MATCH("Asistente Técnico de Riesgo|"&amp;MID($C50,12,500),rDname_ADM,0),0),"")</f>
        <v/>
      </c>
      <c r="AM50" s="62">
        <f>IF(N($AL50)&gt;0,INDEX(rIni_ADM,$AL50),IF(ISNUMBER($E50),$E50,""))</f>
        <v/>
      </c>
      <c r="AN50" s="62">
        <f>IF(N($AL50)&gt;0,INDEX(rLim_ADM,$AL50),IF(ISNUMBER($F50),$F50,""))</f>
        <v/>
      </c>
    </row>
    <row r="51">
      <c r="A51" s="56">
        <f>IF(NOT((COUNTA($B51:$D51)+COUNTA($G51:$L51)+COUNTA($Q51))&gt;0),"",IF($V51="Macro",COUNTIFS($V$5:$V51,"Macro",$S$5:$S51,$S51),IF(N($U51)=0,"?",COUNTIFS(INDEX($V$5:$V$1000,1):INDEX($V$5:$V$1000,$U51-4),"Macro",INDEX($S$5:$S$1000,1):INDEX($S$5:$S$1000,$U51-4),INDEX($S$5:$S$1000,$U51-4))&amp;"."&amp;COUNTIFS($U$5:$U51,$U51,$V$5:$V51,"Sub"))))</f>
        <v/>
      </c>
      <c r="B51" s="57" t="n"/>
      <c r="C51" s="58" t="n"/>
      <c r="D51" s="58" t="n"/>
      <c r="E51" s="59">
        <f>IF(N($AL51)&gt;0,INDEX(rIni_ADM,$AL51),"")</f>
        <v/>
      </c>
      <c r="F51" s="59">
        <f>IF(N($AL51)&gt;0,INDEX(rLim_ADM,$AL51),"")</f>
        <v/>
      </c>
      <c r="G51" s="59" t="n"/>
      <c r="H51" s="60" t="n"/>
      <c r="I51" s="60" t="n"/>
      <c r="J51" s="60" t="n"/>
      <c r="K51" s="60" t="n"/>
      <c r="L51" s="60" t="n"/>
      <c r="M51" s="61">
        <f>IF(NOT((COUNTA($B51:$D51)+COUNTA($G51:$L51)+COUNTA($Q51))&gt;0),"",IF($V51="Sub",IFERROR($X51/INDEX($W$5:$W$1000,$U51-4),""),IF(ISNUMBER($G51),1,IF(N($W51)&gt;0,AVERAGEIFS($X$5:$X$1000,$U$5:$U$1000,ROW(),$V$5:$V$1000,"Sub"),$X51))))</f>
        <v/>
      </c>
      <c r="N51" s="56">
        <f>IF(OR($M51="",$V51="Sub"),"",IF($M51&gt;=1,"Completado",IF($M51&gt;0,"En curso","Pendiente")))</f>
        <v/>
      </c>
      <c r="O51" s="56">
        <f>IF(OR(NOT((COUNTA($B51:$D51)+COUNTA($G51:$L51)+COUNTA($Q51))&gt;0),$V51="Sub"),"",IF(ISNUMBER($G51),IF(AND(ISNUMBER($AN51),$G51&gt;$AN51),"Cumplida con "&amp;($G51-$AN51)&amp;IF($G51-$AN51=1," día"," días")&amp;" de retraso","Cumplida"),IF(N($M51)&gt;=1,"Cumplida",IF(NOT(ISNUMBER($AN51)),"Sin fecha límite",IF($AN51&lt;FechaRef,"Vencida hace "&amp;(FechaRef-$AN51)&amp;IF(FechaRef-$AN51=1," día"," días"),IF($AN51=FechaRef,"Vence hoy",IF($AN51-FechaRef&lt;=DiasAlerta,"Vence en "&amp;($AN51-FechaRef)&amp;IF($AN51-FechaRef=1," día"," días"),"En plazo")))))))</f>
        <v/>
      </c>
      <c r="P51" s="62" t="n"/>
      <c r="Q51" s="58" t="n"/>
      <c r="R51" s="63">
        <f>IF(NOT((COUNTA($B51:$D51)+COUNTA($G51:$L51)+COUNTA($Q51))&gt;0),"",IF((IF($C51="","Falta el nombre de la actividad"&amp;" · ","")&amp;IF(AND($V51="Sub",N($U51)=0),"Subactividad sin macroactividad arriba"&amp;" · ","")&amp;IF($AM51="","Sin fecha de inicio"&amp;" · ","")&amp;IF($AN51="","Sin fecha límite"&amp;" · ","")&amp;IF(AND(LEFT($C51,11)="[Jefatura] ",N($AL51)=0),"No se encuentra en la hoja de la jefatura (elíjala de nuevo en la lista)"&amp;" · ","")&amp;IF(OR(AND($E51&lt;&gt;"",NOT(ISNUMBER($E51))),AND($F51&lt;&gt;"",NOT(ISNUMBER($F51))),AND($G51&lt;&gt;"",NOT(ISNUMBER($G51)))),"Fecha no válida"&amp;" · ","")&amp;IF(AND(ISNUMBER($AM51),ISNUMBER($AN51),$AM51&gt;$AN51),"Inicio posterior a fecha límite"&amp;" · ","")&amp;IF(AND($V51="Macro",$H51&lt;&gt;"",OR(NOT(ISNUMBER($H51)),$H51&lt;0,$H51&gt;1)),"Peso fuera de rango"&amp;" · ","")&amp;IF(AND($V51="Sub",$H51&lt;&gt;""),"Las subactividades no llevan peso (valen igual dentro de su macroactividad)"&amp;" · ","")&amp;IF(AND(N($W51)&gt;0,COUNT($I51:$L51)&gt;0),"Con subactividades: deje vacías las semanas (se calculan solas)"&amp;" · ","")&amp;IF((COUNTIF($I51:$L51,"&gt;1")+COUNTIF($I51:$L51,"&lt;0")+COUNTA($I51:$L51)-COUNT($I51:$L51))&gt;0,"Avance fuera de rango 0-100%"&amp;" · ","")&amp;IF(OR(AND($J51&lt;&gt;"",$J51&lt;$I51),AND($K51&lt;&gt;"",$K51&lt;MAX($I51:$J51)),AND($L51&lt;&gt;"",$L51&lt;MAX($I51:$K51))),"Avance semanal decreciente"&amp;" · ","")&amp;IF(AND(ISNUMBER($AN51),$AN51&lt;FechaRef,IF($V51="Sub",N($X51),N($M51))&lt;1),"Vencida"&amp;" · ","")&amp;IF(AND(ObsObligatoria="Sí",ISNUMBER($AN51),$AN51&lt;FechaRef,IF($V51="Sub",N($X51),N($M51))&lt;1,$Q51=""),"Vencida sin observación"&amp;" · ",""))="","✔ OK","⚠ "&amp;LEFT(IF($C51="","Falta el nombre de la actividad"&amp;" · ","")&amp;IF(AND($V51="Sub",N($U51)=0),"Subactividad sin macroactividad arriba"&amp;" · ","")&amp;IF($AM51="","Sin fecha de inicio"&amp;" · ","")&amp;IF($AN51="","Sin fecha límite"&amp;" · ","")&amp;IF(AND(LEFT($C51,11)="[Jefatura] ",N($AL51)=0),"No se encuentra en la hoja de la jefatura (elíjala de nuevo en la lista)"&amp;" · ","")&amp;IF(OR(AND($E51&lt;&gt;"",NOT(ISNUMBER($E51))),AND($F51&lt;&gt;"",NOT(ISNUMBER($F51))),AND($G51&lt;&gt;"",NOT(ISNUMBER($G51)))),"Fecha no válida"&amp;" · ","")&amp;IF(AND(ISNUMBER($AM51),ISNUMBER($AN51),$AM51&gt;$AN51),"Inicio posterior a fecha límite"&amp;" · ","")&amp;IF(AND($V51="Macro",$H51&lt;&gt;"",OR(NOT(ISNUMBER($H51)),$H51&lt;0,$H51&gt;1)),"Peso fuera de rango"&amp;" · ","")&amp;IF(AND($V51="Sub",$H51&lt;&gt;""),"Las subactividades no llevan peso (valen igual dentro de su macroactividad)"&amp;" · ","")&amp;IF(AND(N($W51)&gt;0,COUNT($I51:$L51)&gt;0),"Con subactividades: deje vacías las semanas (se calculan solas)"&amp;" · ","")&amp;IF((COUNTIF($I51:$L51,"&gt;1")+COUNTIF($I51:$L51,"&lt;0")+COUNTA($I51:$L51)-COUNT($I51:$L51))&gt;0,"Avance fuera de rango 0-100%"&amp;" · ","")&amp;IF(OR(AND($J51&lt;&gt;"",$J51&lt;$I51),AND($K51&lt;&gt;"",$K51&lt;MAX($I51:$J51)),AND($L51&lt;&gt;"",$L51&lt;MAX($I51:$K51))),"Avance semanal decreciente"&amp;" · ","")&amp;IF(AND(ISNUMBER($AN51),$AN51&lt;FechaRef,IF($V51="Sub",N($X51),N($M51))&lt;1),"Vencida"&amp;" · ","")&amp;IF(AND(ObsObligatoria="Sí",ISNUMBER($AN51),$AN51&lt;FechaRef,IF($V51="Sub",N($X51),N($M51))&lt;1,$Q51=""),"Vencida sin observación"&amp;" · ",""),LEN(IF($C51="","Falta el nombre de la actividad"&amp;" · ","")&amp;IF(AND($V51="Sub",N($U51)=0),"Subactividad sin macroactividad arriba"&amp;" · ","")&amp;IF($AM51="","Sin fecha de inicio"&amp;" · ","")&amp;IF($AN51="","Sin fecha límite"&amp;" · ","")&amp;IF(AND(LEFT($C51,11)="[Jefatura] ",N($AL51)=0),"No se encuentra en la hoja de la jefatura (elíjala de nuevo en la lista)"&amp;" · ","")&amp;IF(OR(AND($E51&lt;&gt;"",NOT(ISNUMBER($E51))),AND($F51&lt;&gt;"",NOT(ISNUMBER($F51))),AND($G51&lt;&gt;"",NOT(ISNUMBER($G51)))),"Fecha no válida"&amp;" · ","")&amp;IF(AND(ISNUMBER($AM51),ISNUMBER($AN51),$AM51&gt;$AN51),"Inicio posterior a fecha límite"&amp;" · ","")&amp;IF(AND($V51="Macro",$H51&lt;&gt;"",OR(NOT(ISNUMBER($H51)),$H51&lt;0,$H51&gt;1)),"Peso fuera de rango"&amp;" · ","")&amp;IF(AND($V51="Sub",$H51&lt;&gt;""),"Las subactividades no llevan peso (valen igual dentro de su macroactividad)"&amp;" · ","")&amp;IF(AND(N($W51)&gt;0,COUNT($I51:$L51)&gt;0),"Con subactividades: deje vacías las semanas (se calculan solas)"&amp;" · ","")&amp;IF((COUNTIF($I51:$L51,"&gt;1")+COUNTIF($I51:$L51,"&lt;0")+COUNTA($I51:$L51)-COUNT($I51:$L51))&gt;0,"Avance fuera de rango 0-100%"&amp;" · ","")&amp;IF(OR(AND($J51&lt;&gt;"",$J51&lt;$I51),AND($K51&lt;&gt;"",$K51&lt;MAX($I51:$J51)),AND($L51&lt;&gt;"",$L51&lt;MAX($I51:$K51))),"Avance semanal decreciente"&amp;" · ","")&amp;IF(AND(ISNUMBER($AN51),$AN51&lt;FechaRef,IF($V51="Sub",N($X51),N($M51))&lt;1),"Vencida"&amp;" · ","")&amp;IF(AND(ObsObligatoria="Sí",ISNUMBER($AN51),$AN51&lt;FechaRef,IF($V51="Sub",N($X51),N($M51))&lt;1,$Q51=""),"Vencida sin observación"&amp;" · ",""))-3)))</f>
        <v/>
      </c>
      <c r="S51" s="64">
        <f>IF(NOT((COUNTA($B51:$D51)+COUNTA($G51:$L51)+COUNTA($Q51))&gt;0),"",IF(AND($V51="Sub",N($U51)&gt;0),IF(ISNUMBER(INDEX($AM$5:$AM$1000,$U51-4)),DATE(YEAR(INDEX($AM$5:$AM$1000,$U51-4)),MONTH(INDEX($AM$5:$AM$1000,$U51-4)),1),IF(ISNUMBER(INDEX($AN$5:$AN$1000,$U51-4)),DATE(YEAR(INDEX($AN$5:$AN$1000,$U51-4)),MONTH(INDEX($AN$5:$AN$1000,$U51-4)),1),MesCiclo)),IF(ISNUMBER($AM51),DATE(YEAR($AM51),MONTH($AM51),1),IF(ISNUMBER($AN51),DATE(YEAR($AN51),MONTH($AN51),1),MesCiclo))))</f>
        <v/>
      </c>
      <c r="T51" s="62">
        <f>IF(OR($S51="",$S51&lt;&gt;MesCiclo,$V51&lt;&gt;"Macro"),"",COUNTIFS($S$5:$S51,MesCiclo,$V$5:$V51,"Macro"))</f>
        <v/>
      </c>
      <c r="U51" s="62">
        <f>IF($V51="","",IF($V51="Macro",ROW(),IFERROR(LOOKUP(2,1/($V$5:$V51="Macro"),ROW($V$5:$V51)),0)))</f>
        <v/>
      </c>
      <c r="V51" s="62">
        <f>IF(NOT((COUNTA($B51:$D51)+COUNTA($G51:$L51)+COUNTA($Q51))&gt;0),"",IF($B51="Subactividad","Sub","Macro"))</f>
        <v/>
      </c>
      <c r="W51" s="62">
        <f>IF($V51="Macro",COUNTIFS($U$5:$U$1000,ROW(),$V$5:$V$1000,"Sub"),"")</f>
        <v/>
      </c>
      <c r="X51" s="62">
        <f>IF($V51="","",IF(ISNUMBER($G51),1,IFERROR(LOOKUP(2,1/($I51:$L51&lt;&gt;""),$I51:$L51),0)))</f>
        <v/>
      </c>
      <c r="Y51" s="62">
        <f>IF($V51="","",IF(AND(ISNUMBER($G51),$G51&lt;=IF($S51=MesCiclo,InicioCiclo,$S51+MOD(2-WEEKDAY($S51),7))+6),1,IF(ISNUMBER($I51),$I51,0)))</f>
        <v/>
      </c>
      <c r="Z51" s="62">
        <f>IF($V51="","",IF(AND(ISNUMBER($G51),$G51&lt;=IF($S51=MesCiclo,InicioCiclo,$S51+MOD(2-WEEKDAY($S51),7))+13),1,IF(ISNUMBER($J51),$J51,$Y51)))</f>
        <v/>
      </c>
      <c r="AA51" s="62">
        <f>IF($V51="","",IF(AND(ISNUMBER($G51),$G51&lt;=IF($S51=MesCiclo,InicioCiclo,$S51+MOD(2-WEEKDAY($S51),7))+20),1,IF(ISNUMBER($K51),$K51,$Z51)))</f>
        <v/>
      </c>
      <c r="AB51" s="62">
        <f>IF($V51="","",IF(AND(ISNUMBER($G51),$G51&lt;=IF($S51=MesCiclo,InicioCiclo,$S51+MOD(2-WEEKDAY($S51),7))+27),1,IF(ISNUMBER($L51),$L51,$AA51)))</f>
        <v/>
      </c>
      <c r="AC51" s="62">
        <f>IF($V51="","",IF(AND(ISNUMBER($G51),$G51&lt;=IF($S51=MesCiclo,InicioCiclo,$S51+MOD(2-WEEKDAY($S51),7))+6),1,IF(N($W51)&gt;0,AVERAGEIFS($Y$5:$Y$1000,$U$5:$U$1000,ROW(),$V$5:$V$1000,"Sub"),$Y51)))</f>
        <v/>
      </c>
      <c r="AD51" s="62">
        <f>IF($V51="","",IF(AND(ISNUMBER($G51),$G51&lt;=IF($S51=MesCiclo,InicioCiclo,$S51+MOD(2-WEEKDAY($S51),7))+13),1,IF(N($W51)&gt;0,AVERAGEIFS($Z$5:$Z$1000,$U$5:$U$1000,ROW(),$V$5:$V$1000,"Sub"),$Z51)))</f>
        <v/>
      </c>
      <c r="AE51" s="62">
        <f>IF($V51="","",IF(AND(ISNUMBER($G51),$G51&lt;=IF($S51=MesCiclo,InicioCiclo,$S51+MOD(2-WEEKDAY($S51),7))+20),1,IF(N($W51)&gt;0,AVERAGEIFS($AA$5:$AA$1000,$U$5:$U$1000,ROW(),$V$5:$V$1000,"Sub"),$AA51)))</f>
        <v/>
      </c>
      <c r="AF51" s="62">
        <f>IF($V51="","",IF(AND(ISNUMBER($G51),$G51&lt;=IF($S51=MesCiclo,InicioCiclo,$S51+MOD(2-WEEKDAY($S51),7))+27),1,IF(N($W51)&gt;0,AVERAGEIFS($AB$5:$AB$1000,$U$5:$U$1000,ROW(),$V$5:$V$1000,"Sub"),$AB51)))</f>
        <v/>
      </c>
      <c r="AG51" s="62">
        <f>IF($V51&lt;&gt;"Macro","",IF(COUNTIFS($S$5:$S$1000,$S51,$V$5:$V$1000,"Macro",$H$5:$H$1000,"&gt;0")=0,1/COUNTIFS($S$5:$S$1000,$S51,$V$5:$V$1000,"Macro"),IF(AND(ISNUMBER($H51),N($H51)&gt;0),$H51,SUMIFS($H$5:$H$1000,$S$5:$S$1000,$S51,$V$5:$V$1000,"Macro")/COUNTIFS($S$5:$S$1000,$S51,$V$5:$V$1000,"Macro",$H$5:$H$1000,"&gt;0"))/(COUNTIFS($S$5:$S$1000,$S51,$V$5:$V$1000,"Macro")*SUMIFS($H$5:$H$1000,$S$5:$S$1000,$S51,$V$5:$V$1000,"Macro")/COUNTIFS($S$5:$S$1000,$S51,$V$5:$V$1000,"Macro",$H$5:$H$1000,"&gt;0"))))</f>
        <v/>
      </c>
      <c r="AH51" s="62" t="n"/>
      <c r="AI51" s="62" t="n"/>
      <c r="AJ51" s="62" t="n"/>
      <c r="AK51" s="62" t="n"/>
      <c r="AL51" s="62">
        <f>IF(LEFT($C51,11)="[Jefatura] ",IFERROR(MATCH("Asistente Técnico de Riesgo|"&amp;MID($C51,12,500),rDname_ADM,0),0),"")</f>
        <v/>
      </c>
      <c r="AM51" s="62">
        <f>IF(N($AL51)&gt;0,INDEX(rIni_ADM,$AL51),IF(ISNUMBER($E51),$E51,""))</f>
        <v/>
      </c>
      <c r="AN51" s="62">
        <f>IF(N($AL51)&gt;0,INDEX(rLim_ADM,$AL51),IF(ISNUMBER($F51),$F51,""))</f>
        <v/>
      </c>
    </row>
    <row r="52">
      <c r="A52" s="56">
        <f>IF(NOT((COUNTA($B52:$D52)+COUNTA($G52:$L52)+COUNTA($Q52))&gt;0),"",IF($V52="Macro",COUNTIFS($V$5:$V52,"Macro",$S$5:$S52,$S52),IF(N($U52)=0,"?",COUNTIFS(INDEX($V$5:$V$1000,1):INDEX($V$5:$V$1000,$U52-4),"Macro",INDEX($S$5:$S$1000,1):INDEX($S$5:$S$1000,$U52-4),INDEX($S$5:$S$1000,$U52-4))&amp;"."&amp;COUNTIFS($U$5:$U52,$U52,$V$5:$V52,"Sub"))))</f>
        <v/>
      </c>
      <c r="B52" s="57" t="n"/>
      <c r="C52" s="58" t="n"/>
      <c r="D52" s="58" t="n"/>
      <c r="E52" s="59">
        <f>IF(N($AL52)&gt;0,INDEX(rIni_ADM,$AL52),"")</f>
        <v/>
      </c>
      <c r="F52" s="59">
        <f>IF(N($AL52)&gt;0,INDEX(rLim_ADM,$AL52),"")</f>
        <v/>
      </c>
      <c r="G52" s="59" t="n"/>
      <c r="H52" s="60" t="n"/>
      <c r="I52" s="60" t="n"/>
      <c r="J52" s="60" t="n"/>
      <c r="K52" s="60" t="n"/>
      <c r="L52" s="60" t="n"/>
      <c r="M52" s="61">
        <f>IF(NOT((COUNTA($B52:$D52)+COUNTA($G52:$L52)+COUNTA($Q52))&gt;0),"",IF($V52="Sub",IFERROR($X52/INDEX($W$5:$W$1000,$U52-4),""),IF(ISNUMBER($G52),1,IF(N($W52)&gt;0,AVERAGEIFS($X$5:$X$1000,$U$5:$U$1000,ROW(),$V$5:$V$1000,"Sub"),$X52))))</f>
        <v/>
      </c>
      <c r="N52" s="56">
        <f>IF(OR($M52="",$V52="Sub"),"",IF($M52&gt;=1,"Completado",IF($M52&gt;0,"En curso","Pendiente")))</f>
        <v/>
      </c>
      <c r="O52" s="56">
        <f>IF(OR(NOT((COUNTA($B52:$D52)+COUNTA($G52:$L52)+COUNTA($Q52))&gt;0),$V52="Sub"),"",IF(ISNUMBER($G52),IF(AND(ISNUMBER($AN52),$G52&gt;$AN52),"Cumplida con "&amp;($G52-$AN52)&amp;IF($G52-$AN52=1," día"," días")&amp;" de retraso","Cumplida"),IF(N($M52)&gt;=1,"Cumplida",IF(NOT(ISNUMBER($AN52)),"Sin fecha límite",IF($AN52&lt;FechaRef,"Vencida hace "&amp;(FechaRef-$AN52)&amp;IF(FechaRef-$AN52=1," día"," días"),IF($AN52=FechaRef,"Vence hoy",IF($AN52-FechaRef&lt;=DiasAlerta,"Vence en "&amp;($AN52-FechaRef)&amp;IF($AN52-FechaRef=1," día"," días"),"En plazo")))))))</f>
        <v/>
      </c>
      <c r="P52" s="62" t="n"/>
      <c r="Q52" s="58" t="n"/>
      <c r="R52" s="63">
        <f>IF(NOT((COUNTA($B52:$D52)+COUNTA($G52:$L52)+COUNTA($Q52))&gt;0),"",IF((IF($C52="","Falta el nombre de la actividad"&amp;" · ","")&amp;IF(AND($V52="Sub",N($U52)=0),"Subactividad sin macroactividad arriba"&amp;" · ","")&amp;IF($AM52="","Sin fecha de inicio"&amp;" · ","")&amp;IF($AN52="","Sin fecha límite"&amp;" · ","")&amp;IF(AND(LEFT($C52,11)="[Jefatura] ",N($AL52)=0),"No se encuentra en la hoja de la jefatura (elíjala de nuevo en la lista)"&amp;" · ","")&amp;IF(OR(AND($E52&lt;&gt;"",NOT(ISNUMBER($E52))),AND($F52&lt;&gt;"",NOT(ISNUMBER($F52))),AND($G52&lt;&gt;"",NOT(ISNUMBER($G52)))),"Fecha no válida"&amp;" · ","")&amp;IF(AND(ISNUMBER($AM52),ISNUMBER($AN52),$AM52&gt;$AN52),"Inicio posterior a fecha límite"&amp;" · ","")&amp;IF(AND($V52="Macro",$H52&lt;&gt;"",OR(NOT(ISNUMBER($H52)),$H52&lt;0,$H52&gt;1)),"Peso fuera de rango"&amp;" · ","")&amp;IF(AND($V52="Sub",$H52&lt;&gt;""),"Las subactividades no llevan peso (valen igual dentro de su macroactividad)"&amp;" · ","")&amp;IF(AND(N($W52)&gt;0,COUNT($I52:$L52)&gt;0),"Con subactividades: deje vacías las semanas (se calculan solas)"&amp;" · ","")&amp;IF((COUNTIF($I52:$L52,"&gt;1")+COUNTIF($I52:$L52,"&lt;0")+COUNTA($I52:$L52)-COUNT($I52:$L52))&gt;0,"Avance fuera de rango 0-100%"&amp;" · ","")&amp;IF(OR(AND($J52&lt;&gt;"",$J52&lt;$I52),AND($K52&lt;&gt;"",$K52&lt;MAX($I52:$J52)),AND($L52&lt;&gt;"",$L52&lt;MAX($I52:$K52))),"Avance semanal decreciente"&amp;" · ","")&amp;IF(AND(ISNUMBER($AN52),$AN52&lt;FechaRef,IF($V52="Sub",N($X52),N($M52))&lt;1),"Vencida"&amp;" · ","")&amp;IF(AND(ObsObligatoria="Sí",ISNUMBER($AN52),$AN52&lt;FechaRef,IF($V52="Sub",N($X52),N($M52))&lt;1,$Q52=""),"Vencida sin observación"&amp;" · ",""))="","✔ OK","⚠ "&amp;LEFT(IF($C52="","Falta el nombre de la actividad"&amp;" · ","")&amp;IF(AND($V52="Sub",N($U52)=0),"Subactividad sin macroactividad arriba"&amp;" · ","")&amp;IF($AM52="","Sin fecha de inicio"&amp;" · ","")&amp;IF($AN52="","Sin fecha límite"&amp;" · ","")&amp;IF(AND(LEFT($C52,11)="[Jefatura] ",N($AL52)=0),"No se encuentra en la hoja de la jefatura (elíjala de nuevo en la lista)"&amp;" · ","")&amp;IF(OR(AND($E52&lt;&gt;"",NOT(ISNUMBER($E52))),AND($F52&lt;&gt;"",NOT(ISNUMBER($F52))),AND($G52&lt;&gt;"",NOT(ISNUMBER($G52)))),"Fecha no válida"&amp;" · ","")&amp;IF(AND(ISNUMBER($AM52),ISNUMBER($AN52),$AM52&gt;$AN52),"Inicio posterior a fecha límite"&amp;" · ","")&amp;IF(AND($V52="Macro",$H52&lt;&gt;"",OR(NOT(ISNUMBER($H52)),$H52&lt;0,$H52&gt;1)),"Peso fuera de rango"&amp;" · ","")&amp;IF(AND($V52="Sub",$H52&lt;&gt;""),"Las subactividades no llevan peso (valen igual dentro de su macroactividad)"&amp;" · ","")&amp;IF(AND(N($W52)&gt;0,COUNT($I52:$L52)&gt;0),"Con subactividades: deje vacías las semanas (se calculan solas)"&amp;" · ","")&amp;IF((COUNTIF($I52:$L52,"&gt;1")+COUNTIF($I52:$L52,"&lt;0")+COUNTA($I52:$L52)-COUNT($I52:$L52))&gt;0,"Avance fuera de rango 0-100%"&amp;" · ","")&amp;IF(OR(AND($J52&lt;&gt;"",$J52&lt;$I52),AND($K52&lt;&gt;"",$K52&lt;MAX($I52:$J52)),AND($L52&lt;&gt;"",$L52&lt;MAX($I52:$K52))),"Avance semanal decreciente"&amp;" · ","")&amp;IF(AND(ISNUMBER($AN52),$AN52&lt;FechaRef,IF($V52="Sub",N($X52),N($M52))&lt;1),"Vencida"&amp;" · ","")&amp;IF(AND(ObsObligatoria="Sí",ISNUMBER($AN52),$AN52&lt;FechaRef,IF($V52="Sub",N($X52),N($M52))&lt;1,$Q52=""),"Vencida sin observación"&amp;" · ",""),LEN(IF($C52="","Falta el nombre de la actividad"&amp;" · ","")&amp;IF(AND($V52="Sub",N($U52)=0),"Subactividad sin macroactividad arriba"&amp;" · ","")&amp;IF($AM52="","Sin fecha de inicio"&amp;" · ","")&amp;IF($AN52="","Sin fecha límite"&amp;" · ","")&amp;IF(AND(LEFT($C52,11)="[Jefatura] ",N($AL52)=0),"No se encuentra en la hoja de la jefatura (elíjala de nuevo en la lista)"&amp;" · ","")&amp;IF(OR(AND($E52&lt;&gt;"",NOT(ISNUMBER($E52))),AND($F52&lt;&gt;"",NOT(ISNUMBER($F52))),AND($G52&lt;&gt;"",NOT(ISNUMBER($G52)))),"Fecha no válida"&amp;" · ","")&amp;IF(AND(ISNUMBER($AM52),ISNUMBER($AN52),$AM52&gt;$AN52),"Inicio posterior a fecha límite"&amp;" · ","")&amp;IF(AND($V52="Macro",$H52&lt;&gt;"",OR(NOT(ISNUMBER($H52)),$H52&lt;0,$H52&gt;1)),"Peso fuera de rango"&amp;" · ","")&amp;IF(AND($V52="Sub",$H52&lt;&gt;""),"Las subactividades no llevan peso (valen igual dentro de su macroactividad)"&amp;" · ","")&amp;IF(AND(N($W52)&gt;0,COUNT($I52:$L52)&gt;0),"Con subactividades: deje vacías las semanas (se calculan solas)"&amp;" · ","")&amp;IF((COUNTIF($I52:$L52,"&gt;1")+COUNTIF($I52:$L52,"&lt;0")+COUNTA($I52:$L52)-COUNT($I52:$L52))&gt;0,"Avance fuera de rango 0-100%"&amp;" · ","")&amp;IF(OR(AND($J52&lt;&gt;"",$J52&lt;$I52),AND($K52&lt;&gt;"",$K52&lt;MAX($I52:$J52)),AND($L52&lt;&gt;"",$L52&lt;MAX($I52:$K52))),"Avance semanal decreciente"&amp;" · ","")&amp;IF(AND(ISNUMBER($AN52),$AN52&lt;FechaRef,IF($V52="Sub",N($X52),N($M52))&lt;1),"Vencida"&amp;" · ","")&amp;IF(AND(ObsObligatoria="Sí",ISNUMBER($AN52),$AN52&lt;FechaRef,IF($V52="Sub",N($X52),N($M52))&lt;1,$Q52=""),"Vencida sin observación"&amp;" · ",""))-3)))</f>
        <v/>
      </c>
      <c r="S52" s="64">
        <f>IF(NOT((COUNTA($B52:$D52)+COUNTA($G52:$L52)+COUNTA($Q52))&gt;0),"",IF(AND($V52="Sub",N($U52)&gt;0),IF(ISNUMBER(INDEX($AM$5:$AM$1000,$U52-4)),DATE(YEAR(INDEX($AM$5:$AM$1000,$U52-4)),MONTH(INDEX($AM$5:$AM$1000,$U52-4)),1),IF(ISNUMBER(INDEX($AN$5:$AN$1000,$U52-4)),DATE(YEAR(INDEX($AN$5:$AN$1000,$U52-4)),MONTH(INDEX($AN$5:$AN$1000,$U52-4)),1),MesCiclo)),IF(ISNUMBER($AM52),DATE(YEAR($AM52),MONTH($AM52),1),IF(ISNUMBER($AN52),DATE(YEAR($AN52),MONTH($AN52),1),MesCiclo))))</f>
        <v/>
      </c>
      <c r="T52" s="62">
        <f>IF(OR($S52="",$S52&lt;&gt;MesCiclo,$V52&lt;&gt;"Macro"),"",COUNTIFS($S$5:$S52,MesCiclo,$V$5:$V52,"Macro"))</f>
        <v/>
      </c>
      <c r="U52" s="62">
        <f>IF($V52="","",IF($V52="Macro",ROW(),IFERROR(LOOKUP(2,1/($V$5:$V52="Macro"),ROW($V$5:$V52)),0)))</f>
        <v/>
      </c>
      <c r="V52" s="62">
        <f>IF(NOT((COUNTA($B52:$D52)+COUNTA($G52:$L52)+COUNTA($Q52))&gt;0),"",IF($B52="Subactividad","Sub","Macro"))</f>
        <v/>
      </c>
      <c r="W52" s="62">
        <f>IF($V52="Macro",COUNTIFS($U$5:$U$1000,ROW(),$V$5:$V$1000,"Sub"),"")</f>
        <v/>
      </c>
      <c r="X52" s="62">
        <f>IF($V52="","",IF(ISNUMBER($G52),1,IFERROR(LOOKUP(2,1/($I52:$L52&lt;&gt;""),$I52:$L52),0)))</f>
        <v/>
      </c>
      <c r="Y52" s="62">
        <f>IF($V52="","",IF(AND(ISNUMBER($G52),$G52&lt;=IF($S52=MesCiclo,InicioCiclo,$S52+MOD(2-WEEKDAY($S52),7))+6),1,IF(ISNUMBER($I52),$I52,0)))</f>
        <v/>
      </c>
      <c r="Z52" s="62">
        <f>IF($V52="","",IF(AND(ISNUMBER($G52),$G52&lt;=IF($S52=MesCiclo,InicioCiclo,$S52+MOD(2-WEEKDAY($S52),7))+13),1,IF(ISNUMBER($J52),$J52,$Y52)))</f>
        <v/>
      </c>
      <c r="AA52" s="62">
        <f>IF($V52="","",IF(AND(ISNUMBER($G52),$G52&lt;=IF($S52=MesCiclo,InicioCiclo,$S52+MOD(2-WEEKDAY($S52),7))+20),1,IF(ISNUMBER($K52),$K52,$Z52)))</f>
        <v/>
      </c>
      <c r="AB52" s="62">
        <f>IF($V52="","",IF(AND(ISNUMBER($G52),$G52&lt;=IF($S52=MesCiclo,InicioCiclo,$S52+MOD(2-WEEKDAY($S52),7))+27),1,IF(ISNUMBER($L52),$L52,$AA52)))</f>
        <v/>
      </c>
      <c r="AC52" s="62">
        <f>IF($V52="","",IF(AND(ISNUMBER($G52),$G52&lt;=IF($S52=MesCiclo,InicioCiclo,$S52+MOD(2-WEEKDAY($S52),7))+6),1,IF(N($W52)&gt;0,AVERAGEIFS($Y$5:$Y$1000,$U$5:$U$1000,ROW(),$V$5:$V$1000,"Sub"),$Y52)))</f>
        <v/>
      </c>
      <c r="AD52" s="62">
        <f>IF($V52="","",IF(AND(ISNUMBER($G52),$G52&lt;=IF($S52=MesCiclo,InicioCiclo,$S52+MOD(2-WEEKDAY($S52),7))+13),1,IF(N($W52)&gt;0,AVERAGEIFS($Z$5:$Z$1000,$U$5:$U$1000,ROW(),$V$5:$V$1000,"Sub"),$Z52)))</f>
        <v/>
      </c>
      <c r="AE52" s="62">
        <f>IF($V52="","",IF(AND(ISNUMBER($G52),$G52&lt;=IF($S52=MesCiclo,InicioCiclo,$S52+MOD(2-WEEKDAY($S52),7))+20),1,IF(N($W52)&gt;0,AVERAGEIFS($AA$5:$AA$1000,$U$5:$U$1000,ROW(),$V$5:$V$1000,"Sub"),$AA52)))</f>
        <v/>
      </c>
      <c r="AF52" s="62">
        <f>IF($V52="","",IF(AND(ISNUMBER($G52),$G52&lt;=IF($S52=MesCiclo,InicioCiclo,$S52+MOD(2-WEEKDAY($S52),7))+27),1,IF(N($W52)&gt;0,AVERAGEIFS($AB$5:$AB$1000,$U$5:$U$1000,ROW(),$V$5:$V$1000,"Sub"),$AB52)))</f>
        <v/>
      </c>
      <c r="AG52" s="62">
        <f>IF($V52&lt;&gt;"Macro","",IF(COUNTIFS($S$5:$S$1000,$S52,$V$5:$V$1000,"Macro",$H$5:$H$1000,"&gt;0")=0,1/COUNTIFS($S$5:$S$1000,$S52,$V$5:$V$1000,"Macro"),IF(AND(ISNUMBER($H52),N($H52)&gt;0),$H52,SUMIFS($H$5:$H$1000,$S$5:$S$1000,$S52,$V$5:$V$1000,"Macro")/COUNTIFS($S$5:$S$1000,$S52,$V$5:$V$1000,"Macro",$H$5:$H$1000,"&gt;0"))/(COUNTIFS($S$5:$S$1000,$S52,$V$5:$V$1000,"Macro")*SUMIFS($H$5:$H$1000,$S$5:$S$1000,$S52,$V$5:$V$1000,"Macro")/COUNTIFS($S$5:$S$1000,$S52,$V$5:$V$1000,"Macro",$H$5:$H$1000,"&gt;0"))))</f>
        <v/>
      </c>
      <c r="AH52" s="62" t="n"/>
      <c r="AI52" s="62" t="n"/>
      <c r="AJ52" s="62" t="n"/>
      <c r="AK52" s="62" t="n"/>
      <c r="AL52" s="62">
        <f>IF(LEFT($C52,11)="[Jefatura] ",IFERROR(MATCH("Asistente Técnico de Riesgo|"&amp;MID($C52,12,500),rDname_ADM,0),0),"")</f>
        <v/>
      </c>
      <c r="AM52" s="62">
        <f>IF(N($AL52)&gt;0,INDEX(rIni_ADM,$AL52),IF(ISNUMBER($E52),$E52,""))</f>
        <v/>
      </c>
      <c r="AN52" s="62">
        <f>IF(N($AL52)&gt;0,INDEX(rLim_ADM,$AL52),IF(ISNUMBER($F52),$F52,""))</f>
        <v/>
      </c>
    </row>
    <row r="53">
      <c r="A53" s="56">
        <f>IF(NOT((COUNTA($B53:$D53)+COUNTA($G53:$L53)+COUNTA($Q53))&gt;0),"",IF($V53="Macro",COUNTIFS($V$5:$V53,"Macro",$S$5:$S53,$S53),IF(N($U53)=0,"?",COUNTIFS(INDEX($V$5:$V$1000,1):INDEX($V$5:$V$1000,$U53-4),"Macro",INDEX($S$5:$S$1000,1):INDEX($S$5:$S$1000,$U53-4),INDEX($S$5:$S$1000,$U53-4))&amp;"."&amp;COUNTIFS($U$5:$U53,$U53,$V$5:$V53,"Sub"))))</f>
        <v/>
      </c>
      <c r="B53" s="57" t="n"/>
      <c r="C53" s="58" t="n"/>
      <c r="D53" s="58" t="n"/>
      <c r="E53" s="59">
        <f>IF(N($AL53)&gt;0,INDEX(rIni_ADM,$AL53),"")</f>
        <v/>
      </c>
      <c r="F53" s="59">
        <f>IF(N($AL53)&gt;0,INDEX(rLim_ADM,$AL53),"")</f>
        <v/>
      </c>
      <c r="G53" s="59" t="n"/>
      <c r="H53" s="60" t="n"/>
      <c r="I53" s="60" t="n"/>
      <c r="J53" s="60" t="n"/>
      <c r="K53" s="60" t="n"/>
      <c r="L53" s="60" t="n"/>
      <c r="M53" s="61">
        <f>IF(NOT((COUNTA($B53:$D53)+COUNTA($G53:$L53)+COUNTA($Q53))&gt;0),"",IF($V53="Sub",IFERROR($X53/INDEX($W$5:$W$1000,$U53-4),""),IF(ISNUMBER($G53),1,IF(N($W53)&gt;0,AVERAGEIFS($X$5:$X$1000,$U$5:$U$1000,ROW(),$V$5:$V$1000,"Sub"),$X53))))</f>
        <v/>
      </c>
      <c r="N53" s="56">
        <f>IF(OR($M53="",$V53="Sub"),"",IF($M53&gt;=1,"Completado",IF($M53&gt;0,"En curso","Pendiente")))</f>
        <v/>
      </c>
      <c r="O53" s="56">
        <f>IF(OR(NOT((COUNTA($B53:$D53)+COUNTA($G53:$L53)+COUNTA($Q53))&gt;0),$V53="Sub"),"",IF(ISNUMBER($G53),IF(AND(ISNUMBER($AN53),$G53&gt;$AN53),"Cumplida con "&amp;($G53-$AN53)&amp;IF($G53-$AN53=1," día"," días")&amp;" de retraso","Cumplida"),IF(N($M53)&gt;=1,"Cumplida",IF(NOT(ISNUMBER($AN53)),"Sin fecha límite",IF($AN53&lt;FechaRef,"Vencida hace "&amp;(FechaRef-$AN53)&amp;IF(FechaRef-$AN53=1," día"," días"),IF($AN53=FechaRef,"Vence hoy",IF($AN53-FechaRef&lt;=DiasAlerta,"Vence en "&amp;($AN53-FechaRef)&amp;IF($AN53-FechaRef=1," día"," días"),"En plazo")))))))</f>
        <v/>
      </c>
      <c r="P53" s="62" t="n"/>
      <c r="Q53" s="58" t="n"/>
      <c r="R53" s="63">
        <f>IF(NOT((COUNTA($B53:$D53)+COUNTA($G53:$L53)+COUNTA($Q53))&gt;0),"",IF((IF($C53="","Falta el nombre de la actividad"&amp;" · ","")&amp;IF(AND($V53="Sub",N($U53)=0),"Subactividad sin macroactividad arriba"&amp;" · ","")&amp;IF($AM53="","Sin fecha de inicio"&amp;" · ","")&amp;IF($AN53="","Sin fecha límite"&amp;" · ","")&amp;IF(AND(LEFT($C53,11)="[Jefatura] ",N($AL53)=0),"No se encuentra en la hoja de la jefatura (elíjala de nuevo en la lista)"&amp;" · ","")&amp;IF(OR(AND($E53&lt;&gt;"",NOT(ISNUMBER($E53))),AND($F53&lt;&gt;"",NOT(ISNUMBER($F53))),AND($G53&lt;&gt;"",NOT(ISNUMBER($G53)))),"Fecha no válida"&amp;" · ","")&amp;IF(AND(ISNUMBER($AM53),ISNUMBER($AN53),$AM53&gt;$AN53),"Inicio posterior a fecha límite"&amp;" · ","")&amp;IF(AND($V53="Macro",$H53&lt;&gt;"",OR(NOT(ISNUMBER($H53)),$H53&lt;0,$H53&gt;1)),"Peso fuera de rango"&amp;" · ","")&amp;IF(AND($V53="Sub",$H53&lt;&gt;""),"Las subactividades no llevan peso (valen igual dentro de su macroactividad)"&amp;" · ","")&amp;IF(AND(N($W53)&gt;0,COUNT($I53:$L53)&gt;0),"Con subactividades: deje vacías las semanas (se calculan solas)"&amp;" · ","")&amp;IF((COUNTIF($I53:$L53,"&gt;1")+COUNTIF($I53:$L53,"&lt;0")+COUNTA($I53:$L53)-COUNT($I53:$L53))&gt;0,"Avance fuera de rango 0-100%"&amp;" · ","")&amp;IF(OR(AND($J53&lt;&gt;"",$J53&lt;$I53),AND($K53&lt;&gt;"",$K53&lt;MAX($I53:$J53)),AND($L53&lt;&gt;"",$L53&lt;MAX($I53:$K53))),"Avance semanal decreciente"&amp;" · ","")&amp;IF(AND(ISNUMBER($AN53),$AN53&lt;FechaRef,IF($V53="Sub",N($X53),N($M53))&lt;1),"Vencida"&amp;" · ","")&amp;IF(AND(ObsObligatoria="Sí",ISNUMBER($AN53),$AN53&lt;FechaRef,IF($V53="Sub",N($X53),N($M53))&lt;1,$Q53=""),"Vencida sin observación"&amp;" · ",""))="","✔ OK","⚠ "&amp;LEFT(IF($C53="","Falta el nombre de la actividad"&amp;" · ","")&amp;IF(AND($V53="Sub",N($U53)=0),"Subactividad sin macroactividad arriba"&amp;" · ","")&amp;IF($AM53="","Sin fecha de inicio"&amp;" · ","")&amp;IF($AN53="","Sin fecha límite"&amp;" · ","")&amp;IF(AND(LEFT($C53,11)="[Jefatura] ",N($AL53)=0),"No se encuentra en la hoja de la jefatura (elíjala de nuevo en la lista)"&amp;" · ","")&amp;IF(OR(AND($E53&lt;&gt;"",NOT(ISNUMBER($E53))),AND($F53&lt;&gt;"",NOT(ISNUMBER($F53))),AND($G53&lt;&gt;"",NOT(ISNUMBER($G53)))),"Fecha no válida"&amp;" · ","")&amp;IF(AND(ISNUMBER($AM53),ISNUMBER($AN53),$AM53&gt;$AN53),"Inicio posterior a fecha límite"&amp;" · ","")&amp;IF(AND($V53="Macro",$H53&lt;&gt;"",OR(NOT(ISNUMBER($H53)),$H53&lt;0,$H53&gt;1)),"Peso fuera de rango"&amp;" · ","")&amp;IF(AND($V53="Sub",$H53&lt;&gt;""),"Las subactividades no llevan peso (valen igual dentro de su macroactividad)"&amp;" · ","")&amp;IF(AND(N($W53)&gt;0,COUNT($I53:$L53)&gt;0),"Con subactividades: deje vacías las semanas (se calculan solas)"&amp;" · ","")&amp;IF((COUNTIF($I53:$L53,"&gt;1")+COUNTIF($I53:$L53,"&lt;0")+COUNTA($I53:$L53)-COUNT($I53:$L53))&gt;0,"Avance fuera de rango 0-100%"&amp;" · ","")&amp;IF(OR(AND($J53&lt;&gt;"",$J53&lt;$I53),AND($K53&lt;&gt;"",$K53&lt;MAX($I53:$J53)),AND($L53&lt;&gt;"",$L53&lt;MAX($I53:$K53))),"Avance semanal decreciente"&amp;" · ","")&amp;IF(AND(ISNUMBER($AN53),$AN53&lt;FechaRef,IF($V53="Sub",N($X53),N($M53))&lt;1),"Vencida"&amp;" · ","")&amp;IF(AND(ObsObligatoria="Sí",ISNUMBER($AN53),$AN53&lt;FechaRef,IF($V53="Sub",N($X53),N($M53))&lt;1,$Q53=""),"Vencida sin observación"&amp;" · ",""),LEN(IF($C53="","Falta el nombre de la actividad"&amp;" · ","")&amp;IF(AND($V53="Sub",N($U53)=0),"Subactividad sin macroactividad arriba"&amp;" · ","")&amp;IF($AM53="","Sin fecha de inicio"&amp;" · ","")&amp;IF($AN53="","Sin fecha límite"&amp;" · ","")&amp;IF(AND(LEFT($C53,11)="[Jefatura] ",N($AL53)=0),"No se encuentra en la hoja de la jefatura (elíjala de nuevo en la lista)"&amp;" · ","")&amp;IF(OR(AND($E53&lt;&gt;"",NOT(ISNUMBER($E53))),AND($F53&lt;&gt;"",NOT(ISNUMBER($F53))),AND($G53&lt;&gt;"",NOT(ISNUMBER($G53)))),"Fecha no válida"&amp;" · ","")&amp;IF(AND(ISNUMBER($AM53),ISNUMBER($AN53),$AM53&gt;$AN53),"Inicio posterior a fecha límite"&amp;" · ","")&amp;IF(AND($V53="Macro",$H53&lt;&gt;"",OR(NOT(ISNUMBER($H53)),$H53&lt;0,$H53&gt;1)),"Peso fuera de rango"&amp;" · ","")&amp;IF(AND($V53="Sub",$H53&lt;&gt;""),"Las subactividades no llevan peso (valen igual dentro de su macroactividad)"&amp;" · ","")&amp;IF(AND(N($W53)&gt;0,COUNT($I53:$L53)&gt;0),"Con subactividades: deje vacías las semanas (se calculan solas)"&amp;" · ","")&amp;IF((COUNTIF($I53:$L53,"&gt;1")+COUNTIF($I53:$L53,"&lt;0")+COUNTA($I53:$L53)-COUNT($I53:$L53))&gt;0,"Avance fuera de rango 0-100%"&amp;" · ","")&amp;IF(OR(AND($J53&lt;&gt;"",$J53&lt;$I53),AND($K53&lt;&gt;"",$K53&lt;MAX($I53:$J53)),AND($L53&lt;&gt;"",$L53&lt;MAX($I53:$K53))),"Avance semanal decreciente"&amp;" · ","")&amp;IF(AND(ISNUMBER($AN53),$AN53&lt;FechaRef,IF($V53="Sub",N($X53),N($M53))&lt;1),"Vencida"&amp;" · ","")&amp;IF(AND(ObsObligatoria="Sí",ISNUMBER($AN53),$AN53&lt;FechaRef,IF($V53="Sub",N($X53),N($M53))&lt;1,$Q53=""),"Vencida sin observación"&amp;" · ",""))-3)))</f>
        <v/>
      </c>
      <c r="S53" s="64">
        <f>IF(NOT((COUNTA($B53:$D53)+COUNTA($G53:$L53)+COUNTA($Q53))&gt;0),"",IF(AND($V53="Sub",N($U53)&gt;0),IF(ISNUMBER(INDEX($AM$5:$AM$1000,$U53-4)),DATE(YEAR(INDEX($AM$5:$AM$1000,$U53-4)),MONTH(INDEX($AM$5:$AM$1000,$U53-4)),1),IF(ISNUMBER(INDEX($AN$5:$AN$1000,$U53-4)),DATE(YEAR(INDEX($AN$5:$AN$1000,$U53-4)),MONTH(INDEX($AN$5:$AN$1000,$U53-4)),1),MesCiclo)),IF(ISNUMBER($AM53),DATE(YEAR($AM53),MONTH($AM53),1),IF(ISNUMBER($AN53),DATE(YEAR($AN53),MONTH($AN53),1),MesCiclo))))</f>
        <v/>
      </c>
      <c r="T53" s="62">
        <f>IF(OR($S53="",$S53&lt;&gt;MesCiclo,$V53&lt;&gt;"Macro"),"",COUNTIFS($S$5:$S53,MesCiclo,$V$5:$V53,"Macro"))</f>
        <v/>
      </c>
      <c r="U53" s="62">
        <f>IF($V53="","",IF($V53="Macro",ROW(),IFERROR(LOOKUP(2,1/($V$5:$V53="Macro"),ROW($V$5:$V53)),0)))</f>
        <v/>
      </c>
      <c r="V53" s="62">
        <f>IF(NOT((COUNTA($B53:$D53)+COUNTA($G53:$L53)+COUNTA($Q53))&gt;0),"",IF($B53="Subactividad","Sub","Macro"))</f>
        <v/>
      </c>
      <c r="W53" s="62">
        <f>IF($V53="Macro",COUNTIFS($U$5:$U$1000,ROW(),$V$5:$V$1000,"Sub"),"")</f>
        <v/>
      </c>
      <c r="X53" s="62">
        <f>IF($V53="","",IF(ISNUMBER($G53),1,IFERROR(LOOKUP(2,1/($I53:$L53&lt;&gt;""),$I53:$L53),0)))</f>
        <v/>
      </c>
      <c r="Y53" s="62">
        <f>IF($V53="","",IF(AND(ISNUMBER($G53),$G53&lt;=IF($S53=MesCiclo,InicioCiclo,$S53+MOD(2-WEEKDAY($S53),7))+6),1,IF(ISNUMBER($I53),$I53,0)))</f>
        <v/>
      </c>
      <c r="Z53" s="62">
        <f>IF($V53="","",IF(AND(ISNUMBER($G53),$G53&lt;=IF($S53=MesCiclo,InicioCiclo,$S53+MOD(2-WEEKDAY($S53),7))+13),1,IF(ISNUMBER($J53),$J53,$Y53)))</f>
        <v/>
      </c>
      <c r="AA53" s="62">
        <f>IF($V53="","",IF(AND(ISNUMBER($G53),$G53&lt;=IF($S53=MesCiclo,InicioCiclo,$S53+MOD(2-WEEKDAY($S53),7))+20),1,IF(ISNUMBER($K53),$K53,$Z53)))</f>
        <v/>
      </c>
      <c r="AB53" s="62">
        <f>IF($V53="","",IF(AND(ISNUMBER($G53),$G53&lt;=IF($S53=MesCiclo,InicioCiclo,$S53+MOD(2-WEEKDAY($S53),7))+27),1,IF(ISNUMBER($L53),$L53,$AA53)))</f>
        <v/>
      </c>
      <c r="AC53" s="62">
        <f>IF($V53="","",IF(AND(ISNUMBER($G53),$G53&lt;=IF($S53=MesCiclo,InicioCiclo,$S53+MOD(2-WEEKDAY($S53),7))+6),1,IF(N($W53)&gt;0,AVERAGEIFS($Y$5:$Y$1000,$U$5:$U$1000,ROW(),$V$5:$V$1000,"Sub"),$Y53)))</f>
        <v/>
      </c>
      <c r="AD53" s="62">
        <f>IF($V53="","",IF(AND(ISNUMBER($G53),$G53&lt;=IF($S53=MesCiclo,InicioCiclo,$S53+MOD(2-WEEKDAY($S53),7))+13),1,IF(N($W53)&gt;0,AVERAGEIFS($Z$5:$Z$1000,$U$5:$U$1000,ROW(),$V$5:$V$1000,"Sub"),$Z53)))</f>
        <v/>
      </c>
      <c r="AE53" s="62">
        <f>IF($V53="","",IF(AND(ISNUMBER($G53),$G53&lt;=IF($S53=MesCiclo,InicioCiclo,$S53+MOD(2-WEEKDAY($S53),7))+20),1,IF(N($W53)&gt;0,AVERAGEIFS($AA$5:$AA$1000,$U$5:$U$1000,ROW(),$V$5:$V$1000,"Sub"),$AA53)))</f>
        <v/>
      </c>
      <c r="AF53" s="62">
        <f>IF($V53="","",IF(AND(ISNUMBER($G53),$G53&lt;=IF($S53=MesCiclo,InicioCiclo,$S53+MOD(2-WEEKDAY($S53),7))+27),1,IF(N($W53)&gt;0,AVERAGEIFS($AB$5:$AB$1000,$U$5:$U$1000,ROW(),$V$5:$V$1000,"Sub"),$AB53)))</f>
        <v/>
      </c>
      <c r="AG53" s="62">
        <f>IF($V53&lt;&gt;"Macro","",IF(COUNTIFS($S$5:$S$1000,$S53,$V$5:$V$1000,"Macro",$H$5:$H$1000,"&gt;0")=0,1/COUNTIFS($S$5:$S$1000,$S53,$V$5:$V$1000,"Macro"),IF(AND(ISNUMBER($H53),N($H53)&gt;0),$H53,SUMIFS($H$5:$H$1000,$S$5:$S$1000,$S53,$V$5:$V$1000,"Macro")/COUNTIFS($S$5:$S$1000,$S53,$V$5:$V$1000,"Macro",$H$5:$H$1000,"&gt;0"))/(COUNTIFS($S$5:$S$1000,$S53,$V$5:$V$1000,"Macro")*SUMIFS($H$5:$H$1000,$S$5:$S$1000,$S53,$V$5:$V$1000,"Macro")/COUNTIFS($S$5:$S$1000,$S53,$V$5:$V$1000,"Macro",$H$5:$H$1000,"&gt;0"))))</f>
        <v/>
      </c>
      <c r="AH53" s="62" t="n"/>
      <c r="AI53" s="62" t="n"/>
      <c r="AJ53" s="62" t="n"/>
      <c r="AK53" s="62" t="n"/>
      <c r="AL53" s="62">
        <f>IF(LEFT($C53,11)="[Jefatura] ",IFERROR(MATCH("Asistente Técnico de Riesgo|"&amp;MID($C53,12,500),rDname_ADM,0),0),"")</f>
        <v/>
      </c>
      <c r="AM53" s="62">
        <f>IF(N($AL53)&gt;0,INDEX(rIni_ADM,$AL53),IF(ISNUMBER($E53),$E53,""))</f>
        <v/>
      </c>
      <c r="AN53" s="62">
        <f>IF(N($AL53)&gt;0,INDEX(rLim_ADM,$AL53),IF(ISNUMBER($F53),$F53,""))</f>
        <v/>
      </c>
    </row>
    <row r="54">
      <c r="A54" s="56">
        <f>IF(NOT((COUNTA($B54:$D54)+COUNTA($G54:$L54)+COUNTA($Q54))&gt;0),"",IF($V54="Macro",COUNTIFS($V$5:$V54,"Macro",$S$5:$S54,$S54),IF(N($U54)=0,"?",COUNTIFS(INDEX($V$5:$V$1000,1):INDEX($V$5:$V$1000,$U54-4),"Macro",INDEX($S$5:$S$1000,1):INDEX($S$5:$S$1000,$U54-4),INDEX($S$5:$S$1000,$U54-4))&amp;"."&amp;COUNTIFS($U$5:$U54,$U54,$V$5:$V54,"Sub"))))</f>
        <v/>
      </c>
      <c r="B54" s="57" t="n"/>
      <c r="C54" s="58" t="n"/>
      <c r="D54" s="58" t="n"/>
      <c r="E54" s="59">
        <f>IF(N($AL54)&gt;0,INDEX(rIni_ADM,$AL54),"")</f>
        <v/>
      </c>
      <c r="F54" s="59">
        <f>IF(N($AL54)&gt;0,INDEX(rLim_ADM,$AL54),"")</f>
        <v/>
      </c>
      <c r="G54" s="59" t="n"/>
      <c r="H54" s="60" t="n"/>
      <c r="I54" s="60" t="n"/>
      <c r="J54" s="60" t="n"/>
      <c r="K54" s="60" t="n"/>
      <c r="L54" s="60" t="n"/>
      <c r="M54" s="61">
        <f>IF(NOT((COUNTA($B54:$D54)+COUNTA($G54:$L54)+COUNTA($Q54))&gt;0),"",IF($V54="Sub",IFERROR($X54/INDEX($W$5:$W$1000,$U54-4),""),IF(ISNUMBER($G54),1,IF(N($W54)&gt;0,AVERAGEIFS($X$5:$X$1000,$U$5:$U$1000,ROW(),$V$5:$V$1000,"Sub"),$X54))))</f>
        <v/>
      </c>
      <c r="N54" s="56">
        <f>IF(OR($M54="",$V54="Sub"),"",IF($M54&gt;=1,"Completado",IF($M54&gt;0,"En curso","Pendiente")))</f>
        <v/>
      </c>
      <c r="O54" s="56">
        <f>IF(OR(NOT((COUNTA($B54:$D54)+COUNTA($G54:$L54)+COUNTA($Q54))&gt;0),$V54="Sub"),"",IF(ISNUMBER($G54),IF(AND(ISNUMBER($AN54),$G54&gt;$AN54),"Cumplida con "&amp;($G54-$AN54)&amp;IF($G54-$AN54=1," día"," días")&amp;" de retraso","Cumplida"),IF(N($M54)&gt;=1,"Cumplida",IF(NOT(ISNUMBER($AN54)),"Sin fecha límite",IF($AN54&lt;FechaRef,"Vencida hace "&amp;(FechaRef-$AN54)&amp;IF(FechaRef-$AN54=1," día"," días"),IF($AN54=FechaRef,"Vence hoy",IF($AN54-FechaRef&lt;=DiasAlerta,"Vence en "&amp;($AN54-FechaRef)&amp;IF($AN54-FechaRef=1," día"," días"),"En plazo")))))))</f>
        <v/>
      </c>
      <c r="P54" s="62" t="n"/>
      <c r="Q54" s="58" t="n"/>
      <c r="R54" s="63">
        <f>IF(NOT((COUNTA($B54:$D54)+COUNTA($G54:$L54)+COUNTA($Q54))&gt;0),"",IF((IF($C54="","Falta el nombre de la actividad"&amp;" · ","")&amp;IF(AND($V54="Sub",N($U54)=0),"Subactividad sin macroactividad arriba"&amp;" · ","")&amp;IF($AM54="","Sin fecha de inicio"&amp;" · ","")&amp;IF($AN54="","Sin fecha límite"&amp;" · ","")&amp;IF(AND(LEFT($C54,11)="[Jefatura] ",N($AL54)=0),"No se encuentra en la hoja de la jefatura (elíjala de nuevo en la lista)"&amp;" · ","")&amp;IF(OR(AND($E54&lt;&gt;"",NOT(ISNUMBER($E54))),AND($F54&lt;&gt;"",NOT(ISNUMBER($F54))),AND($G54&lt;&gt;"",NOT(ISNUMBER($G54)))),"Fecha no válida"&amp;" · ","")&amp;IF(AND(ISNUMBER($AM54),ISNUMBER($AN54),$AM54&gt;$AN54),"Inicio posterior a fecha límite"&amp;" · ","")&amp;IF(AND($V54="Macro",$H54&lt;&gt;"",OR(NOT(ISNUMBER($H54)),$H54&lt;0,$H54&gt;1)),"Peso fuera de rango"&amp;" · ","")&amp;IF(AND($V54="Sub",$H54&lt;&gt;""),"Las subactividades no llevan peso (valen igual dentro de su macroactividad)"&amp;" · ","")&amp;IF(AND(N($W54)&gt;0,COUNT($I54:$L54)&gt;0),"Con subactividades: deje vacías las semanas (se calculan solas)"&amp;" · ","")&amp;IF((COUNTIF($I54:$L54,"&gt;1")+COUNTIF($I54:$L54,"&lt;0")+COUNTA($I54:$L54)-COUNT($I54:$L54))&gt;0,"Avance fuera de rango 0-100%"&amp;" · ","")&amp;IF(OR(AND($J54&lt;&gt;"",$J54&lt;$I54),AND($K54&lt;&gt;"",$K54&lt;MAX($I54:$J54)),AND($L54&lt;&gt;"",$L54&lt;MAX($I54:$K54))),"Avance semanal decreciente"&amp;" · ","")&amp;IF(AND(ISNUMBER($AN54),$AN54&lt;FechaRef,IF($V54="Sub",N($X54),N($M54))&lt;1),"Vencida"&amp;" · ","")&amp;IF(AND(ObsObligatoria="Sí",ISNUMBER($AN54),$AN54&lt;FechaRef,IF($V54="Sub",N($X54),N($M54))&lt;1,$Q54=""),"Vencida sin observación"&amp;" · ",""))="","✔ OK","⚠ "&amp;LEFT(IF($C54="","Falta el nombre de la actividad"&amp;" · ","")&amp;IF(AND($V54="Sub",N($U54)=0),"Subactividad sin macroactividad arriba"&amp;" · ","")&amp;IF($AM54="","Sin fecha de inicio"&amp;" · ","")&amp;IF($AN54="","Sin fecha límite"&amp;" · ","")&amp;IF(AND(LEFT($C54,11)="[Jefatura] ",N($AL54)=0),"No se encuentra en la hoja de la jefatura (elíjala de nuevo en la lista)"&amp;" · ","")&amp;IF(OR(AND($E54&lt;&gt;"",NOT(ISNUMBER($E54))),AND($F54&lt;&gt;"",NOT(ISNUMBER($F54))),AND($G54&lt;&gt;"",NOT(ISNUMBER($G54)))),"Fecha no válida"&amp;" · ","")&amp;IF(AND(ISNUMBER($AM54),ISNUMBER($AN54),$AM54&gt;$AN54),"Inicio posterior a fecha límite"&amp;" · ","")&amp;IF(AND($V54="Macro",$H54&lt;&gt;"",OR(NOT(ISNUMBER($H54)),$H54&lt;0,$H54&gt;1)),"Peso fuera de rango"&amp;" · ","")&amp;IF(AND($V54="Sub",$H54&lt;&gt;""),"Las subactividades no llevan peso (valen igual dentro de su macroactividad)"&amp;" · ","")&amp;IF(AND(N($W54)&gt;0,COUNT($I54:$L54)&gt;0),"Con subactividades: deje vacías las semanas (se calculan solas)"&amp;" · ","")&amp;IF((COUNTIF($I54:$L54,"&gt;1")+COUNTIF($I54:$L54,"&lt;0")+COUNTA($I54:$L54)-COUNT($I54:$L54))&gt;0,"Avance fuera de rango 0-100%"&amp;" · ","")&amp;IF(OR(AND($J54&lt;&gt;"",$J54&lt;$I54),AND($K54&lt;&gt;"",$K54&lt;MAX($I54:$J54)),AND($L54&lt;&gt;"",$L54&lt;MAX($I54:$K54))),"Avance semanal decreciente"&amp;" · ","")&amp;IF(AND(ISNUMBER($AN54),$AN54&lt;FechaRef,IF($V54="Sub",N($X54),N($M54))&lt;1),"Vencida"&amp;" · ","")&amp;IF(AND(ObsObligatoria="Sí",ISNUMBER($AN54),$AN54&lt;FechaRef,IF($V54="Sub",N($X54),N($M54))&lt;1,$Q54=""),"Vencida sin observación"&amp;" · ",""),LEN(IF($C54="","Falta el nombre de la actividad"&amp;" · ","")&amp;IF(AND($V54="Sub",N($U54)=0),"Subactividad sin macroactividad arriba"&amp;" · ","")&amp;IF($AM54="","Sin fecha de inicio"&amp;" · ","")&amp;IF($AN54="","Sin fecha límite"&amp;" · ","")&amp;IF(AND(LEFT($C54,11)="[Jefatura] ",N($AL54)=0),"No se encuentra en la hoja de la jefatura (elíjala de nuevo en la lista)"&amp;" · ","")&amp;IF(OR(AND($E54&lt;&gt;"",NOT(ISNUMBER($E54))),AND($F54&lt;&gt;"",NOT(ISNUMBER($F54))),AND($G54&lt;&gt;"",NOT(ISNUMBER($G54)))),"Fecha no válida"&amp;" · ","")&amp;IF(AND(ISNUMBER($AM54),ISNUMBER($AN54),$AM54&gt;$AN54),"Inicio posterior a fecha límite"&amp;" · ","")&amp;IF(AND($V54="Macro",$H54&lt;&gt;"",OR(NOT(ISNUMBER($H54)),$H54&lt;0,$H54&gt;1)),"Peso fuera de rango"&amp;" · ","")&amp;IF(AND($V54="Sub",$H54&lt;&gt;""),"Las subactividades no llevan peso (valen igual dentro de su macroactividad)"&amp;" · ","")&amp;IF(AND(N($W54)&gt;0,COUNT($I54:$L54)&gt;0),"Con subactividades: deje vacías las semanas (se calculan solas)"&amp;" · ","")&amp;IF((COUNTIF($I54:$L54,"&gt;1")+COUNTIF($I54:$L54,"&lt;0")+COUNTA($I54:$L54)-COUNT($I54:$L54))&gt;0,"Avance fuera de rango 0-100%"&amp;" · ","")&amp;IF(OR(AND($J54&lt;&gt;"",$J54&lt;$I54),AND($K54&lt;&gt;"",$K54&lt;MAX($I54:$J54)),AND($L54&lt;&gt;"",$L54&lt;MAX($I54:$K54))),"Avance semanal decreciente"&amp;" · ","")&amp;IF(AND(ISNUMBER($AN54),$AN54&lt;FechaRef,IF($V54="Sub",N($X54),N($M54))&lt;1),"Vencida"&amp;" · ","")&amp;IF(AND(ObsObligatoria="Sí",ISNUMBER($AN54),$AN54&lt;FechaRef,IF($V54="Sub",N($X54),N($M54))&lt;1,$Q54=""),"Vencida sin observación"&amp;" · ",""))-3)))</f>
        <v/>
      </c>
      <c r="S54" s="64">
        <f>IF(NOT((COUNTA($B54:$D54)+COUNTA($G54:$L54)+COUNTA($Q54))&gt;0),"",IF(AND($V54="Sub",N($U54)&gt;0),IF(ISNUMBER(INDEX($AM$5:$AM$1000,$U54-4)),DATE(YEAR(INDEX($AM$5:$AM$1000,$U54-4)),MONTH(INDEX($AM$5:$AM$1000,$U54-4)),1),IF(ISNUMBER(INDEX($AN$5:$AN$1000,$U54-4)),DATE(YEAR(INDEX($AN$5:$AN$1000,$U54-4)),MONTH(INDEX($AN$5:$AN$1000,$U54-4)),1),MesCiclo)),IF(ISNUMBER($AM54),DATE(YEAR($AM54),MONTH($AM54),1),IF(ISNUMBER($AN54),DATE(YEAR($AN54),MONTH($AN54),1),MesCiclo))))</f>
        <v/>
      </c>
      <c r="T54" s="62">
        <f>IF(OR($S54="",$S54&lt;&gt;MesCiclo,$V54&lt;&gt;"Macro"),"",COUNTIFS($S$5:$S54,MesCiclo,$V$5:$V54,"Macro"))</f>
        <v/>
      </c>
      <c r="U54" s="62">
        <f>IF($V54="","",IF($V54="Macro",ROW(),IFERROR(LOOKUP(2,1/($V$5:$V54="Macro"),ROW($V$5:$V54)),0)))</f>
        <v/>
      </c>
      <c r="V54" s="62">
        <f>IF(NOT((COUNTA($B54:$D54)+COUNTA($G54:$L54)+COUNTA($Q54))&gt;0),"",IF($B54="Subactividad","Sub","Macro"))</f>
        <v/>
      </c>
      <c r="W54" s="62">
        <f>IF($V54="Macro",COUNTIFS($U$5:$U$1000,ROW(),$V$5:$V$1000,"Sub"),"")</f>
        <v/>
      </c>
      <c r="X54" s="62">
        <f>IF($V54="","",IF(ISNUMBER($G54),1,IFERROR(LOOKUP(2,1/($I54:$L54&lt;&gt;""),$I54:$L54),0)))</f>
        <v/>
      </c>
      <c r="Y54" s="62">
        <f>IF($V54="","",IF(AND(ISNUMBER($G54),$G54&lt;=IF($S54=MesCiclo,InicioCiclo,$S54+MOD(2-WEEKDAY($S54),7))+6),1,IF(ISNUMBER($I54),$I54,0)))</f>
        <v/>
      </c>
      <c r="Z54" s="62">
        <f>IF($V54="","",IF(AND(ISNUMBER($G54),$G54&lt;=IF($S54=MesCiclo,InicioCiclo,$S54+MOD(2-WEEKDAY($S54),7))+13),1,IF(ISNUMBER($J54),$J54,$Y54)))</f>
        <v/>
      </c>
      <c r="AA54" s="62">
        <f>IF($V54="","",IF(AND(ISNUMBER($G54),$G54&lt;=IF($S54=MesCiclo,InicioCiclo,$S54+MOD(2-WEEKDAY($S54),7))+20),1,IF(ISNUMBER($K54),$K54,$Z54)))</f>
        <v/>
      </c>
      <c r="AB54" s="62">
        <f>IF($V54="","",IF(AND(ISNUMBER($G54),$G54&lt;=IF($S54=MesCiclo,InicioCiclo,$S54+MOD(2-WEEKDAY($S54),7))+27),1,IF(ISNUMBER($L54),$L54,$AA54)))</f>
        <v/>
      </c>
      <c r="AC54" s="62">
        <f>IF($V54="","",IF(AND(ISNUMBER($G54),$G54&lt;=IF($S54=MesCiclo,InicioCiclo,$S54+MOD(2-WEEKDAY($S54),7))+6),1,IF(N($W54)&gt;0,AVERAGEIFS($Y$5:$Y$1000,$U$5:$U$1000,ROW(),$V$5:$V$1000,"Sub"),$Y54)))</f>
        <v/>
      </c>
      <c r="AD54" s="62">
        <f>IF($V54="","",IF(AND(ISNUMBER($G54),$G54&lt;=IF($S54=MesCiclo,InicioCiclo,$S54+MOD(2-WEEKDAY($S54),7))+13),1,IF(N($W54)&gt;0,AVERAGEIFS($Z$5:$Z$1000,$U$5:$U$1000,ROW(),$V$5:$V$1000,"Sub"),$Z54)))</f>
        <v/>
      </c>
      <c r="AE54" s="62">
        <f>IF($V54="","",IF(AND(ISNUMBER($G54),$G54&lt;=IF($S54=MesCiclo,InicioCiclo,$S54+MOD(2-WEEKDAY($S54),7))+20),1,IF(N($W54)&gt;0,AVERAGEIFS($AA$5:$AA$1000,$U$5:$U$1000,ROW(),$V$5:$V$1000,"Sub"),$AA54)))</f>
        <v/>
      </c>
      <c r="AF54" s="62">
        <f>IF($V54="","",IF(AND(ISNUMBER($G54),$G54&lt;=IF($S54=MesCiclo,InicioCiclo,$S54+MOD(2-WEEKDAY($S54),7))+27),1,IF(N($W54)&gt;0,AVERAGEIFS($AB$5:$AB$1000,$U$5:$U$1000,ROW(),$V$5:$V$1000,"Sub"),$AB54)))</f>
        <v/>
      </c>
      <c r="AG54" s="62">
        <f>IF($V54&lt;&gt;"Macro","",IF(COUNTIFS($S$5:$S$1000,$S54,$V$5:$V$1000,"Macro",$H$5:$H$1000,"&gt;0")=0,1/COUNTIFS($S$5:$S$1000,$S54,$V$5:$V$1000,"Macro"),IF(AND(ISNUMBER($H54),N($H54)&gt;0),$H54,SUMIFS($H$5:$H$1000,$S$5:$S$1000,$S54,$V$5:$V$1000,"Macro")/COUNTIFS($S$5:$S$1000,$S54,$V$5:$V$1000,"Macro",$H$5:$H$1000,"&gt;0"))/(COUNTIFS($S$5:$S$1000,$S54,$V$5:$V$1000,"Macro")*SUMIFS($H$5:$H$1000,$S$5:$S$1000,$S54,$V$5:$V$1000,"Macro")/COUNTIFS($S$5:$S$1000,$S54,$V$5:$V$1000,"Macro",$H$5:$H$1000,"&gt;0"))))</f>
        <v/>
      </c>
      <c r="AH54" s="62" t="n"/>
      <c r="AI54" s="62" t="n"/>
      <c r="AJ54" s="62" t="n"/>
      <c r="AK54" s="62" t="n"/>
      <c r="AL54" s="62">
        <f>IF(LEFT($C54,11)="[Jefatura] ",IFERROR(MATCH("Asistente Técnico de Riesgo|"&amp;MID($C54,12,500),rDname_ADM,0),0),"")</f>
        <v/>
      </c>
      <c r="AM54" s="62">
        <f>IF(N($AL54)&gt;0,INDEX(rIni_ADM,$AL54),IF(ISNUMBER($E54),$E54,""))</f>
        <v/>
      </c>
      <c r="AN54" s="62">
        <f>IF(N($AL54)&gt;0,INDEX(rLim_ADM,$AL54),IF(ISNUMBER($F54),$F54,""))</f>
        <v/>
      </c>
    </row>
    <row r="55">
      <c r="A55" s="56">
        <f>IF(NOT((COUNTA($B55:$D55)+COUNTA($G55:$L55)+COUNTA($Q55))&gt;0),"",IF($V55="Macro",COUNTIFS($V$5:$V55,"Macro",$S$5:$S55,$S55),IF(N($U55)=0,"?",COUNTIFS(INDEX($V$5:$V$1000,1):INDEX($V$5:$V$1000,$U55-4),"Macro",INDEX($S$5:$S$1000,1):INDEX($S$5:$S$1000,$U55-4),INDEX($S$5:$S$1000,$U55-4))&amp;"."&amp;COUNTIFS($U$5:$U55,$U55,$V$5:$V55,"Sub"))))</f>
        <v/>
      </c>
      <c r="B55" s="57" t="n"/>
      <c r="C55" s="58" t="n"/>
      <c r="D55" s="58" t="n"/>
      <c r="E55" s="59">
        <f>IF(N($AL55)&gt;0,INDEX(rIni_ADM,$AL55),"")</f>
        <v/>
      </c>
      <c r="F55" s="59">
        <f>IF(N($AL55)&gt;0,INDEX(rLim_ADM,$AL55),"")</f>
        <v/>
      </c>
      <c r="G55" s="59" t="n"/>
      <c r="H55" s="60" t="n"/>
      <c r="I55" s="60" t="n"/>
      <c r="J55" s="60" t="n"/>
      <c r="K55" s="60" t="n"/>
      <c r="L55" s="60" t="n"/>
      <c r="M55" s="61">
        <f>IF(NOT((COUNTA($B55:$D55)+COUNTA($G55:$L55)+COUNTA($Q55))&gt;0),"",IF($V55="Sub",IFERROR($X55/INDEX($W$5:$W$1000,$U55-4),""),IF(ISNUMBER($G55),1,IF(N($W55)&gt;0,AVERAGEIFS($X$5:$X$1000,$U$5:$U$1000,ROW(),$V$5:$V$1000,"Sub"),$X55))))</f>
        <v/>
      </c>
      <c r="N55" s="56">
        <f>IF(OR($M55="",$V55="Sub"),"",IF($M55&gt;=1,"Completado",IF($M55&gt;0,"En curso","Pendiente")))</f>
        <v/>
      </c>
      <c r="O55" s="56">
        <f>IF(OR(NOT((COUNTA($B55:$D55)+COUNTA($G55:$L55)+COUNTA($Q55))&gt;0),$V55="Sub"),"",IF(ISNUMBER($G55),IF(AND(ISNUMBER($AN55),$G55&gt;$AN55),"Cumplida con "&amp;($G55-$AN55)&amp;IF($G55-$AN55=1," día"," días")&amp;" de retraso","Cumplida"),IF(N($M55)&gt;=1,"Cumplida",IF(NOT(ISNUMBER($AN55)),"Sin fecha límite",IF($AN55&lt;FechaRef,"Vencida hace "&amp;(FechaRef-$AN55)&amp;IF(FechaRef-$AN55=1," día"," días"),IF($AN55=FechaRef,"Vence hoy",IF($AN55-FechaRef&lt;=DiasAlerta,"Vence en "&amp;($AN55-FechaRef)&amp;IF($AN55-FechaRef=1," día"," días"),"En plazo")))))))</f>
        <v/>
      </c>
      <c r="P55" s="62" t="n"/>
      <c r="Q55" s="58" t="n"/>
      <c r="R55" s="63">
        <f>IF(NOT((COUNTA($B55:$D55)+COUNTA($G55:$L55)+COUNTA($Q55))&gt;0),"",IF((IF($C55="","Falta el nombre de la actividad"&amp;" · ","")&amp;IF(AND($V55="Sub",N($U55)=0),"Subactividad sin macroactividad arriba"&amp;" · ","")&amp;IF($AM55="","Sin fecha de inicio"&amp;" · ","")&amp;IF($AN55="","Sin fecha límite"&amp;" · ","")&amp;IF(AND(LEFT($C55,11)="[Jefatura] ",N($AL55)=0),"No se encuentra en la hoja de la jefatura (elíjala de nuevo en la lista)"&amp;" · ","")&amp;IF(OR(AND($E55&lt;&gt;"",NOT(ISNUMBER($E55))),AND($F55&lt;&gt;"",NOT(ISNUMBER($F55))),AND($G55&lt;&gt;"",NOT(ISNUMBER($G55)))),"Fecha no válida"&amp;" · ","")&amp;IF(AND(ISNUMBER($AM55),ISNUMBER($AN55),$AM55&gt;$AN55),"Inicio posterior a fecha límite"&amp;" · ","")&amp;IF(AND($V55="Macro",$H55&lt;&gt;"",OR(NOT(ISNUMBER($H55)),$H55&lt;0,$H55&gt;1)),"Peso fuera de rango"&amp;" · ","")&amp;IF(AND($V55="Sub",$H55&lt;&gt;""),"Las subactividades no llevan peso (valen igual dentro de su macroactividad)"&amp;" · ","")&amp;IF(AND(N($W55)&gt;0,COUNT($I55:$L55)&gt;0),"Con subactividades: deje vacías las semanas (se calculan solas)"&amp;" · ","")&amp;IF((COUNTIF($I55:$L55,"&gt;1")+COUNTIF($I55:$L55,"&lt;0")+COUNTA($I55:$L55)-COUNT($I55:$L55))&gt;0,"Avance fuera de rango 0-100%"&amp;" · ","")&amp;IF(OR(AND($J55&lt;&gt;"",$J55&lt;$I55),AND($K55&lt;&gt;"",$K55&lt;MAX($I55:$J55)),AND($L55&lt;&gt;"",$L55&lt;MAX($I55:$K55))),"Avance semanal decreciente"&amp;" · ","")&amp;IF(AND(ISNUMBER($AN55),$AN55&lt;FechaRef,IF($V55="Sub",N($X55),N($M55))&lt;1),"Vencida"&amp;" · ","")&amp;IF(AND(ObsObligatoria="Sí",ISNUMBER($AN55),$AN55&lt;FechaRef,IF($V55="Sub",N($X55),N($M55))&lt;1,$Q55=""),"Vencida sin observación"&amp;" · ",""))="","✔ OK","⚠ "&amp;LEFT(IF($C55="","Falta el nombre de la actividad"&amp;" · ","")&amp;IF(AND($V55="Sub",N($U55)=0),"Subactividad sin macroactividad arriba"&amp;" · ","")&amp;IF($AM55="","Sin fecha de inicio"&amp;" · ","")&amp;IF($AN55="","Sin fecha límite"&amp;" · ","")&amp;IF(AND(LEFT($C55,11)="[Jefatura] ",N($AL55)=0),"No se encuentra en la hoja de la jefatura (elíjala de nuevo en la lista)"&amp;" · ","")&amp;IF(OR(AND($E55&lt;&gt;"",NOT(ISNUMBER($E55))),AND($F55&lt;&gt;"",NOT(ISNUMBER($F55))),AND($G55&lt;&gt;"",NOT(ISNUMBER($G55)))),"Fecha no válida"&amp;" · ","")&amp;IF(AND(ISNUMBER($AM55),ISNUMBER($AN55),$AM55&gt;$AN55),"Inicio posterior a fecha límite"&amp;" · ","")&amp;IF(AND($V55="Macro",$H55&lt;&gt;"",OR(NOT(ISNUMBER($H55)),$H55&lt;0,$H55&gt;1)),"Peso fuera de rango"&amp;" · ","")&amp;IF(AND($V55="Sub",$H55&lt;&gt;""),"Las subactividades no llevan peso (valen igual dentro de su macroactividad)"&amp;" · ","")&amp;IF(AND(N($W55)&gt;0,COUNT($I55:$L55)&gt;0),"Con subactividades: deje vacías las semanas (se calculan solas)"&amp;" · ","")&amp;IF((COUNTIF($I55:$L55,"&gt;1")+COUNTIF($I55:$L55,"&lt;0")+COUNTA($I55:$L55)-COUNT($I55:$L55))&gt;0,"Avance fuera de rango 0-100%"&amp;" · ","")&amp;IF(OR(AND($J55&lt;&gt;"",$J55&lt;$I55),AND($K55&lt;&gt;"",$K55&lt;MAX($I55:$J55)),AND($L55&lt;&gt;"",$L55&lt;MAX($I55:$K55))),"Avance semanal decreciente"&amp;" · ","")&amp;IF(AND(ISNUMBER($AN55),$AN55&lt;FechaRef,IF($V55="Sub",N($X55),N($M55))&lt;1),"Vencida"&amp;" · ","")&amp;IF(AND(ObsObligatoria="Sí",ISNUMBER($AN55),$AN55&lt;FechaRef,IF($V55="Sub",N($X55),N($M55))&lt;1,$Q55=""),"Vencida sin observación"&amp;" · ",""),LEN(IF($C55="","Falta el nombre de la actividad"&amp;" · ","")&amp;IF(AND($V55="Sub",N($U55)=0),"Subactividad sin macroactividad arriba"&amp;" · ","")&amp;IF($AM55="","Sin fecha de inicio"&amp;" · ","")&amp;IF($AN55="","Sin fecha límite"&amp;" · ","")&amp;IF(AND(LEFT($C55,11)="[Jefatura] ",N($AL55)=0),"No se encuentra en la hoja de la jefatura (elíjala de nuevo en la lista)"&amp;" · ","")&amp;IF(OR(AND($E55&lt;&gt;"",NOT(ISNUMBER($E55))),AND($F55&lt;&gt;"",NOT(ISNUMBER($F55))),AND($G55&lt;&gt;"",NOT(ISNUMBER($G55)))),"Fecha no válida"&amp;" · ","")&amp;IF(AND(ISNUMBER($AM55),ISNUMBER($AN55),$AM55&gt;$AN55),"Inicio posterior a fecha límite"&amp;" · ","")&amp;IF(AND($V55="Macro",$H55&lt;&gt;"",OR(NOT(ISNUMBER($H55)),$H55&lt;0,$H55&gt;1)),"Peso fuera de rango"&amp;" · ","")&amp;IF(AND($V55="Sub",$H55&lt;&gt;""),"Las subactividades no llevan peso (valen igual dentro de su macroactividad)"&amp;" · ","")&amp;IF(AND(N($W55)&gt;0,COUNT($I55:$L55)&gt;0),"Con subactividades: deje vacías las semanas (se calculan solas)"&amp;" · ","")&amp;IF((COUNTIF($I55:$L55,"&gt;1")+COUNTIF($I55:$L55,"&lt;0")+COUNTA($I55:$L55)-COUNT($I55:$L55))&gt;0,"Avance fuera de rango 0-100%"&amp;" · ","")&amp;IF(OR(AND($J55&lt;&gt;"",$J55&lt;$I55),AND($K55&lt;&gt;"",$K55&lt;MAX($I55:$J55)),AND($L55&lt;&gt;"",$L55&lt;MAX($I55:$K55))),"Avance semanal decreciente"&amp;" · ","")&amp;IF(AND(ISNUMBER($AN55),$AN55&lt;FechaRef,IF($V55="Sub",N($X55),N($M55))&lt;1),"Vencida"&amp;" · ","")&amp;IF(AND(ObsObligatoria="Sí",ISNUMBER($AN55),$AN55&lt;FechaRef,IF($V55="Sub",N($X55),N($M55))&lt;1,$Q55=""),"Vencida sin observación"&amp;" · ",""))-3)))</f>
        <v/>
      </c>
      <c r="S55" s="64">
        <f>IF(NOT((COUNTA($B55:$D55)+COUNTA($G55:$L55)+COUNTA($Q55))&gt;0),"",IF(AND($V55="Sub",N($U55)&gt;0),IF(ISNUMBER(INDEX($AM$5:$AM$1000,$U55-4)),DATE(YEAR(INDEX($AM$5:$AM$1000,$U55-4)),MONTH(INDEX($AM$5:$AM$1000,$U55-4)),1),IF(ISNUMBER(INDEX($AN$5:$AN$1000,$U55-4)),DATE(YEAR(INDEX($AN$5:$AN$1000,$U55-4)),MONTH(INDEX($AN$5:$AN$1000,$U55-4)),1),MesCiclo)),IF(ISNUMBER($AM55),DATE(YEAR($AM55),MONTH($AM55),1),IF(ISNUMBER($AN55),DATE(YEAR($AN55),MONTH($AN55),1),MesCiclo))))</f>
        <v/>
      </c>
      <c r="T55" s="62">
        <f>IF(OR($S55="",$S55&lt;&gt;MesCiclo,$V55&lt;&gt;"Macro"),"",COUNTIFS($S$5:$S55,MesCiclo,$V$5:$V55,"Macro"))</f>
        <v/>
      </c>
      <c r="U55" s="62">
        <f>IF($V55="","",IF($V55="Macro",ROW(),IFERROR(LOOKUP(2,1/($V$5:$V55="Macro"),ROW($V$5:$V55)),0)))</f>
        <v/>
      </c>
      <c r="V55" s="62">
        <f>IF(NOT((COUNTA($B55:$D55)+COUNTA($G55:$L55)+COUNTA($Q55))&gt;0),"",IF($B55="Subactividad","Sub","Macro"))</f>
        <v/>
      </c>
      <c r="W55" s="62">
        <f>IF($V55="Macro",COUNTIFS($U$5:$U$1000,ROW(),$V$5:$V$1000,"Sub"),"")</f>
        <v/>
      </c>
      <c r="X55" s="62">
        <f>IF($V55="","",IF(ISNUMBER($G55),1,IFERROR(LOOKUP(2,1/($I55:$L55&lt;&gt;""),$I55:$L55),0)))</f>
        <v/>
      </c>
      <c r="Y55" s="62">
        <f>IF($V55="","",IF(AND(ISNUMBER($G55),$G55&lt;=IF($S55=MesCiclo,InicioCiclo,$S55+MOD(2-WEEKDAY($S55),7))+6),1,IF(ISNUMBER($I55),$I55,0)))</f>
        <v/>
      </c>
      <c r="Z55" s="62">
        <f>IF($V55="","",IF(AND(ISNUMBER($G55),$G55&lt;=IF($S55=MesCiclo,InicioCiclo,$S55+MOD(2-WEEKDAY($S55),7))+13),1,IF(ISNUMBER($J55),$J55,$Y55)))</f>
        <v/>
      </c>
      <c r="AA55" s="62">
        <f>IF($V55="","",IF(AND(ISNUMBER($G55),$G55&lt;=IF($S55=MesCiclo,InicioCiclo,$S55+MOD(2-WEEKDAY($S55),7))+20),1,IF(ISNUMBER($K55),$K55,$Z55)))</f>
        <v/>
      </c>
      <c r="AB55" s="62">
        <f>IF($V55="","",IF(AND(ISNUMBER($G55),$G55&lt;=IF($S55=MesCiclo,InicioCiclo,$S55+MOD(2-WEEKDAY($S55),7))+27),1,IF(ISNUMBER($L55),$L55,$AA55)))</f>
        <v/>
      </c>
      <c r="AC55" s="62">
        <f>IF($V55="","",IF(AND(ISNUMBER($G55),$G55&lt;=IF($S55=MesCiclo,InicioCiclo,$S55+MOD(2-WEEKDAY($S55),7))+6),1,IF(N($W55)&gt;0,AVERAGEIFS($Y$5:$Y$1000,$U$5:$U$1000,ROW(),$V$5:$V$1000,"Sub"),$Y55)))</f>
        <v/>
      </c>
      <c r="AD55" s="62">
        <f>IF($V55="","",IF(AND(ISNUMBER($G55),$G55&lt;=IF($S55=MesCiclo,InicioCiclo,$S55+MOD(2-WEEKDAY($S55),7))+13),1,IF(N($W55)&gt;0,AVERAGEIFS($Z$5:$Z$1000,$U$5:$U$1000,ROW(),$V$5:$V$1000,"Sub"),$Z55)))</f>
        <v/>
      </c>
      <c r="AE55" s="62">
        <f>IF($V55="","",IF(AND(ISNUMBER($G55),$G55&lt;=IF($S55=MesCiclo,InicioCiclo,$S55+MOD(2-WEEKDAY($S55),7))+20),1,IF(N($W55)&gt;0,AVERAGEIFS($AA$5:$AA$1000,$U$5:$U$1000,ROW(),$V$5:$V$1000,"Sub"),$AA55)))</f>
        <v/>
      </c>
      <c r="AF55" s="62">
        <f>IF($V55="","",IF(AND(ISNUMBER($G55),$G55&lt;=IF($S55=MesCiclo,InicioCiclo,$S55+MOD(2-WEEKDAY($S55),7))+27),1,IF(N($W55)&gt;0,AVERAGEIFS($AB$5:$AB$1000,$U$5:$U$1000,ROW(),$V$5:$V$1000,"Sub"),$AB55)))</f>
        <v/>
      </c>
      <c r="AG55" s="62">
        <f>IF($V55&lt;&gt;"Macro","",IF(COUNTIFS($S$5:$S$1000,$S55,$V$5:$V$1000,"Macro",$H$5:$H$1000,"&gt;0")=0,1/COUNTIFS($S$5:$S$1000,$S55,$V$5:$V$1000,"Macro"),IF(AND(ISNUMBER($H55),N($H55)&gt;0),$H55,SUMIFS($H$5:$H$1000,$S$5:$S$1000,$S55,$V$5:$V$1000,"Macro")/COUNTIFS($S$5:$S$1000,$S55,$V$5:$V$1000,"Macro",$H$5:$H$1000,"&gt;0"))/(COUNTIFS($S$5:$S$1000,$S55,$V$5:$V$1000,"Macro")*SUMIFS($H$5:$H$1000,$S$5:$S$1000,$S55,$V$5:$V$1000,"Macro")/COUNTIFS($S$5:$S$1000,$S55,$V$5:$V$1000,"Macro",$H$5:$H$1000,"&gt;0"))))</f>
        <v/>
      </c>
      <c r="AH55" s="62" t="n"/>
      <c r="AI55" s="62" t="n"/>
      <c r="AJ55" s="62" t="n"/>
      <c r="AK55" s="62" t="n"/>
      <c r="AL55" s="62">
        <f>IF(LEFT($C55,11)="[Jefatura] ",IFERROR(MATCH("Asistente Técnico de Riesgo|"&amp;MID($C55,12,500),rDname_ADM,0),0),"")</f>
        <v/>
      </c>
      <c r="AM55" s="62">
        <f>IF(N($AL55)&gt;0,INDEX(rIni_ADM,$AL55),IF(ISNUMBER($E55),$E55,""))</f>
        <v/>
      </c>
      <c r="AN55" s="62">
        <f>IF(N($AL55)&gt;0,INDEX(rLim_ADM,$AL55),IF(ISNUMBER($F55),$F55,""))</f>
        <v/>
      </c>
    </row>
    <row r="56">
      <c r="A56" s="56">
        <f>IF(NOT((COUNTA($B56:$D56)+COUNTA($G56:$L56)+COUNTA($Q56))&gt;0),"",IF($V56="Macro",COUNTIFS($V$5:$V56,"Macro",$S$5:$S56,$S56),IF(N($U56)=0,"?",COUNTIFS(INDEX($V$5:$V$1000,1):INDEX($V$5:$V$1000,$U56-4),"Macro",INDEX($S$5:$S$1000,1):INDEX($S$5:$S$1000,$U56-4),INDEX($S$5:$S$1000,$U56-4))&amp;"."&amp;COUNTIFS($U$5:$U56,$U56,$V$5:$V56,"Sub"))))</f>
        <v/>
      </c>
      <c r="B56" s="57" t="n"/>
      <c r="C56" s="58" t="n"/>
      <c r="D56" s="58" t="n"/>
      <c r="E56" s="59">
        <f>IF(N($AL56)&gt;0,INDEX(rIni_ADM,$AL56),"")</f>
        <v/>
      </c>
      <c r="F56" s="59">
        <f>IF(N($AL56)&gt;0,INDEX(rLim_ADM,$AL56),"")</f>
        <v/>
      </c>
      <c r="G56" s="59" t="n"/>
      <c r="H56" s="60" t="n"/>
      <c r="I56" s="60" t="n"/>
      <c r="J56" s="60" t="n"/>
      <c r="K56" s="60" t="n"/>
      <c r="L56" s="60" t="n"/>
      <c r="M56" s="61">
        <f>IF(NOT((COUNTA($B56:$D56)+COUNTA($G56:$L56)+COUNTA($Q56))&gt;0),"",IF($V56="Sub",IFERROR($X56/INDEX($W$5:$W$1000,$U56-4),""),IF(ISNUMBER($G56),1,IF(N($W56)&gt;0,AVERAGEIFS($X$5:$X$1000,$U$5:$U$1000,ROW(),$V$5:$V$1000,"Sub"),$X56))))</f>
        <v/>
      </c>
      <c r="N56" s="56">
        <f>IF(OR($M56="",$V56="Sub"),"",IF($M56&gt;=1,"Completado",IF($M56&gt;0,"En curso","Pendiente")))</f>
        <v/>
      </c>
      <c r="O56" s="56">
        <f>IF(OR(NOT((COUNTA($B56:$D56)+COUNTA($G56:$L56)+COUNTA($Q56))&gt;0),$V56="Sub"),"",IF(ISNUMBER($G56),IF(AND(ISNUMBER($AN56),$G56&gt;$AN56),"Cumplida con "&amp;($G56-$AN56)&amp;IF($G56-$AN56=1," día"," días")&amp;" de retraso","Cumplida"),IF(N($M56)&gt;=1,"Cumplida",IF(NOT(ISNUMBER($AN56)),"Sin fecha límite",IF($AN56&lt;FechaRef,"Vencida hace "&amp;(FechaRef-$AN56)&amp;IF(FechaRef-$AN56=1," día"," días"),IF($AN56=FechaRef,"Vence hoy",IF($AN56-FechaRef&lt;=DiasAlerta,"Vence en "&amp;($AN56-FechaRef)&amp;IF($AN56-FechaRef=1," día"," días"),"En plazo")))))))</f>
        <v/>
      </c>
      <c r="P56" s="62" t="n"/>
      <c r="Q56" s="58" t="n"/>
      <c r="R56" s="63">
        <f>IF(NOT((COUNTA($B56:$D56)+COUNTA($G56:$L56)+COUNTA($Q56))&gt;0),"",IF((IF($C56="","Falta el nombre de la actividad"&amp;" · ","")&amp;IF(AND($V56="Sub",N($U56)=0),"Subactividad sin macroactividad arriba"&amp;" · ","")&amp;IF($AM56="","Sin fecha de inicio"&amp;" · ","")&amp;IF($AN56="","Sin fecha límite"&amp;" · ","")&amp;IF(AND(LEFT($C56,11)="[Jefatura] ",N($AL56)=0),"No se encuentra en la hoja de la jefatura (elíjala de nuevo en la lista)"&amp;" · ","")&amp;IF(OR(AND($E56&lt;&gt;"",NOT(ISNUMBER($E56))),AND($F56&lt;&gt;"",NOT(ISNUMBER($F56))),AND($G56&lt;&gt;"",NOT(ISNUMBER($G56)))),"Fecha no válida"&amp;" · ","")&amp;IF(AND(ISNUMBER($AM56),ISNUMBER($AN56),$AM56&gt;$AN56),"Inicio posterior a fecha límite"&amp;" · ","")&amp;IF(AND($V56="Macro",$H56&lt;&gt;"",OR(NOT(ISNUMBER($H56)),$H56&lt;0,$H56&gt;1)),"Peso fuera de rango"&amp;" · ","")&amp;IF(AND($V56="Sub",$H56&lt;&gt;""),"Las subactividades no llevan peso (valen igual dentro de su macroactividad)"&amp;" · ","")&amp;IF(AND(N($W56)&gt;0,COUNT($I56:$L56)&gt;0),"Con subactividades: deje vacías las semanas (se calculan solas)"&amp;" · ","")&amp;IF((COUNTIF($I56:$L56,"&gt;1")+COUNTIF($I56:$L56,"&lt;0")+COUNTA($I56:$L56)-COUNT($I56:$L56))&gt;0,"Avance fuera de rango 0-100%"&amp;" · ","")&amp;IF(OR(AND($J56&lt;&gt;"",$J56&lt;$I56),AND($K56&lt;&gt;"",$K56&lt;MAX($I56:$J56)),AND($L56&lt;&gt;"",$L56&lt;MAX($I56:$K56))),"Avance semanal decreciente"&amp;" · ","")&amp;IF(AND(ISNUMBER($AN56),$AN56&lt;FechaRef,IF($V56="Sub",N($X56),N($M56))&lt;1),"Vencida"&amp;" · ","")&amp;IF(AND(ObsObligatoria="Sí",ISNUMBER($AN56),$AN56&lt;FechaRef,IF($V56="Sub",N($X56),N($M56))&lt;1,$Q56=""),"Vencida sin observación"&amp;" · ",""))="","✔ OK","⚠ "&amp;LEFT(IF($C56="","Falta el nombre de la actividad"&amp;" · ","")&amp;IF(AND($V56="Sub",N($U56)=0),"Subactividad sin macroactividad arriba"&amp;" · ","")&amp;IF($AM56="","Sin fecha de inicio"&amp;" · ","")&amp;IF($AN56="","Sin fecha límite"&amp;" · ","")&amp;IF(AND(LEFT($C56,11)="[Jefatura] ",N($AL56)=0),"No se encuentra en la hoja de la jefatura (elíjala de nuevo en la lista)"&amp;" · ","")&amp;IF(OR(AND($E56&lt;&gt;"",NOT(ISNUMBER($E56))),AND($F56&lt;&gt;"",NOT(ISNUMBER($F56))),AND($G56&lt;&gt;"",NOT(ISNUMBER($G56)))),"Fecha no válida"&amp;" · ","")&amp;IF(AND(ISNUMBER($AM56),ISNUMBER($AN56),$AM56&gt;$AN56),"Inicio posterior a fecha límite"&amp;" · ","")&amp;IF(AND($V56="Macro",$H56&lt;&gt;"",OR(NOT(ISNUMBER($H56)),$H56&lt;0,$H56&gt;1)),"Peso fuera de rango"&amp;" · ","")&amp;IF(AND($V56="Sub",$H56&lt;&gt;""),"Las subactividades no llevan peso (valen igual dentro de su macroactividad)"&amp;" · ","")&amp;IF(AND(N($W56)&gt;0,COUNT($I56:$L56)&gt;0),"Con subactividades: deje vacías las semanas (se calculan solas)"&amp;" · ","")&amp;IF((COUNTIF($I56:$L56,"&gt;1")+COUNTIF($I56:$L56,"&lt;0")+COUNTA($I56:$L56)-COUNT($I56:$L56))&gt;0,"Avance fuera de rango 0-100%"&amp;" · ","")&amp;IF(OR(AND($J56&lt;&gt;"",$J56&lt;$I56),AND($K56&lt;&gt;"",$K56&lt;MAX($I56:$J56)),AND($L56&lt;&gt;"",$L56&lt;MAX($I56:$K56))),"Avance semanal decreciente"&amp;" · ","")&amp;IF(AND(ISNUMBER($AN56),$AN56&lt;FechaRef,IF($V56="Sub",N($X56),N($M56))&lt;1),"Vencida"&amp;" · ","")&amp;IF(AND(ObsObligatoria="Sí",ISNUMBER($AN56),$AN56&lt;FechaRef,IF($V56="Sub",N($X56),N($M56))&lt;1,$Q56=""),"Vencida sin observación"&amp;" · ",""),LEN(IF($C56="","Falta el nombre de la actividad"&amp;" · ","")&amp;IF(AND($V56="Sub",N($U56)=0),"Subactividad sin macroactividad arriba"&amp;" · ","")&amp;IF($AM56="","Sin fecha de inicio"&amp;" · ","")&amp;IF($AN56="","Sin fecha límite"&amp;" · ","")&amp;IF(AND(LEFT($C56,11)="[Jefatura] ",N($AL56)=0),"No se encuentra en la hoja de la jefatura (elíjala de nuevo en la lista)"&amp;" · ","")&amp;IF(OR(AND($E56&lt;&gt;"",NOT(ISNUMBER($E56))),AND($F56&lt;&gt;"",NOT(ISNUMBER($F56))),AND($G56&lt;&gt;"",NOT(ISNUMBER($G56)))),"Fecha no válida"&amp;" · ","")&amp;IF(AND(ISNUMBER($AM56),ISNUMBER($AN56),$AM56&gt;$AN56),"Inicio posterior a fecha límite"&amp;" · ","")&amp;IF(AND($V56="Macro",$H56&lt;&gt;"",OR(NOT(ISNUMBER($H56)),$H56&lt;0,$H56&gt;1)),"Peso fuera de rango"&amp;" · ","")&amp;IF(AND($V56="Sub",$H56&lt;&gt;""),"Las subactividades no llevan peso (valen igual dentro de su macroactividad)"&amp;" · ","")&amp;IF(AND(N($W56)&gt;0,COUNT($I56:$L56)&gt;0),"Con subactividades: deje vacías las semanas (se calculan solas)"&amp;" · ","")&amp;IF((COUNTIF($I56:$L56,"&gt;1")+COUNTIF($I56:$L56,"&lt;0")+COUNTA($I56:$L56)-COUNT($I56:$L56))&gt;0,"Avance fuera de rango 0-100%"&amp;" · ","")&amp;IF(OR(AND($J56&lt;&gt;"",$J56&lt;$I56),AND($K56&lt;&gt;"",$K56&lt;MAX($I56:$J56)),AND($L56&lt;&gt;"",$L56&lt;MAX($I56:$K56))),"Avance semanal decreciente"&amp;" · ","")&amp;IF(AND(ISNUMBER($AN56),$AN56&lt;FechaRef,IF($V56="Sub",N($X56),N($M56))&lt;1),"Vencida"&amp;" · ","")&amp;IF(AND(ObsObligatoria="Sí",ISNUMBER($AN56),$AN56&lt;FechaRef,IF($V56="Sub",N($X56),N($M56))&lt;1,$Q56=""),"Vencida sin observación"&amp;" · ",""))-3)))</f>
        <v/>
      </c>
      <c r="S56" s="64">
        <f>IF(NOT((COUNTA($B56:$D56)+COUNTA($G56:$L56)+COUNTA($Q56))&gt;0),"",IF(AND($V56="Sub",N($U56)&gt;0),IF(ISNUMBER(INDEX($AM$5:$AM$1000,$U56-4)),DATE(YEAR(INDEX($AM$5:$AM$1000,$U56-4)),MONTH(INDEX($AM$5:$AM$1000,$U56-4)),1),IF(ISNUMBER(INDEX($AN$5:$AN$1000,$U56-4)),DATE(YEAR(INDEX($AN$5:$AN$1000,$U56-4)),MONTH(INDEX($AN$5:$AN$1000,$U56-4)),1),MesCiclo)),IF(ISNUMBER($AM56),DATE(YEAR($AM56),MONTH($AM56),1),IF(ISNUMBER($AN56),DATE(YEAR($AN56),MONTH($AN56),1),MesCiclo))))</f>
        <v/>
      </c>
      <c r="T56" s="62">
        <f>IF(OR($S56="",$S56&lt;&gt;MesCiclo,$V56&lt;&gt;"Macro"),"",COUNTIFS($S$5:$S56,MesCiclo,$V$5:$V56,"Macro"))</f>
        <v/>
      </c>
      <c r="U56" s="62">
        <f>IF($V56="","",IF($V56="Macro",ROW(),IFERROR(LOOKUP(2,1/($V$5:$V56="Macro"),ROW($V$5:$V56)),0)))</f>
        <v/>
      </c>
      <c r="V56" s="62">
        <f>IF(NOT((COUNTA($B56:$D56)+COUNTA($G56:$L56)+COUNTA($Q56))&gt;0),"",IF($B56="Subactividad","Sub","Macro"))</f>
        <v/>
      </c>
      <c r="W56" s="62">
        <f>IF($V56="Macro",COUNTIFS($U$5:$U$1000,ROW(),$V$5:$V$1000,"Sub"),"")</f>
        <v/>
      </c>
      <c r="X56" s="62">
        <f>IF($V56="","",IF(ISNUMBER($G56),1,IFERROR(LOOKUP(2,1/($I56:$L56&lt;&gt;""),$I56:$L56),0)))</f>
        <v/>
      </c>
      <c r="Y56" s="62">
        <f>IF($V56="","",IF(AND(ISNUMBER($G56),$G56&lt;=IF($S56=MesCiclo,InicioCiclo,$S56+MOD(2-WEEKDAY($S56),7))+6),1,IF(ISNUMBER($I56),$I56,0)))</f>
        <v/>
      </c>
      <c r="Z56" s="62">
        <f>IF($V56="","",IF(AND(ISNUMBER($G56),$G56&lt;=IF($S56=MesCiclo,InicioCiclo,$S56+MOD(2-WEEKDAY($S56),7))+13),1,IF(ISNUMBER($J56),$J56,$Y56)))</f>
        <v/>
      </c>
      <c r="AA56" s="62">
        <f>IF($V56="","",IF(AND(ISNUMBER($G56),$G56&lt;=IF($S56=MesCiclo,InicioCiclo,$S56+MOD(2-WEEKDAY($S56),7))+20),1,IF(ISNUMBER($K56),$K56,$Z56)))</f>
        <v/>
      </c>
      <c r="AB56" s="62">
        <f>IF($V56="","",IF(AND(ISNUMBER($G56),$G56&lt;=IF($S56=MesCiclo,InicioCiclo,$S56+MOD(2-WEEKDAY($S56),7))+27),1,IF(ISNUMBER($L56),$L56,$AA56)))</f>
        <v/>
      </c>
      <c r="AC56" s="62">
        <f>IF($V56="","",IF(AND(ISNUMBER($G56),$G56&lt;=IF($S56=MesCiclo,InicioCiclo,$S56+MOD(2-WEEKDAY($S56),7))+6),1,IF(N($W56)&gt;0,AVERAGEIFS($Y$5:$Y$1000,$U$5:$U$1000,ROW(),$V$5:$V$1000,"Sub"),$Y56)))</f>
        <v/>
      </c>
      <c r="AD56" s="62">
        <f>IF($V56="","",IF(AND(ISNUMBER($G56),$G56&lt;=IF($S56=MesCiclo,InicioCiclo,$S56+MOD(2-WEEKDAY($S56),7))+13),1,IF(N($W56)&gt;0,AVERAGEIFS($Z$5:$Z$1000,$U$5:$U$1000,ROW(),$V$5:$V$1000,"Sub"),$Z56)))</f>
        <v/>
      </c>
      <c r="AE56" s="62">
        <f>IF($V56="","",IF(AND(ISNUMBER($G56),$G56&lt;=IF($S56=MesCiclo,InicioCiclo,$S56+MOD(2-WEEKDAY($S56),7))+20),1,IF(N($W56)&gt;0,AVERAGEIFS($AA$5:$AA$1000,$U$5:$U$1000,ROW(),$V$5:$V$1000,"Sub"),$AA56)))</f>
        <v/>
      </c>
      <c r="AF56" s="62">
        <f>IF($V56="","",IF(AND(ISNUMBER($G56),$G56&lt;=IF($S56=MesCiclo,InicioCiclo,$S56+MOD(2-WEEKDAY($S56),7))+27),1,IF(N($W56)&gt;0,AVERAGEIFS($AB$5:$AB$1000,$U$5:$U$1000,ROW(),$V$5:$V$1000,"Sub"),$AB56)))</f>
        <v/>
      </c>
      <c r="AG56" s="62">
        <f>IF($V56&lt;&gt;"Macro","",IF(COUNTIFS($S$5:$S$1000,$S56,$V$5:$V$1000,"Macro",$H$5:$H$1000,"&gt;0")=0,1/COUNTIFS($S$5:$S$1000,$S56,$V$5:$V$1000,"Macro"),IF(AND(ISNUMBER($H56),N($H56)&gt;0),$H56,SUMIFS($H$5:$H$1000,$S$5:$S$1000,$S56,$V$5:$V$1000,"Macro")/COUNTIFS($S$5:$S$1000,$S56,$V$5:$V$1000,"Macro",$H$5:$H$1000,"&gt;0"))/(COUNTIFS($S$5:$S$1000,$S56,$V$5:$V$1000,"Macro")*SUMIFS($H$5:$H$1000,$S$5:$S$1000,$S56,$V$5:$V$1000,"Macro")/COUNTIFS($S$5:$S$1000,$S56,$V$5:$V$1000,"Macro",$H$5:$H$1000,"&gt;0"))))</f>
        <v/>
      </c>
      <c r="AH56" s="62" t="n"/>
      <c r="AI56" s="62" t="n"/>
      <c r="AJ56" s="62" t="n"/>
      <c r="AK56" s="62" t="n"/>
      <c r="AL56" s="62">
        <f>IF(LEFT($C56,11)="[Jefatura] ",IFERROR(MATCH("Asistente Técnico de Riesgo|"&amp;MID($C56,12,500),rDname_ADM,0),0),"")</f>
        <v/>
      </c>
      <c r="AM56" s="62">
        <f>IF(N($AL56)&gt;0,INDEX(rIni_ADM,$AL56),IF(ISNUMBER($E56),$E56,""))</f>
        <v/>
      </c>
      <c r="AN56" s="62">
        <f>IF(N($AL56)&gt;0,INDEX(rLim_ADM,$AL56),IF(ISNUMBER($F56),$F56,""))</f>
        <v/>
      </c>
    </row>
    <row r="57">
      <c r="A57" s="56">
        <f>IF(NOT((COUNTA($B57:$D57)+COUNTA($G57:$L57)+COUNTA($Q57))&gt;0),"",IF($V57="Macro",COUNTIFS($V$5:$V57,"Macro",$S$5:$S57,$S57),IF(N($U57)=0,"?",COUNTIFS(INDEX($V$5:$V$1000,1):INDEX($V$5:$V$1000,$U57-4),"Macro",INDEX($S$5:$S$1000,1):INDEX($S$5:$S$1000,$U57-4),INDEX($S$5:$S$1000,$U57-4))&amp;"."&amp;COUNTIFS($U$5:$U57,$U57,$V$5:$V57,"Sub"))))</f>
        <v/>
      </c>
      <c r="B57" s="57" t="n"/>
      <c r="C57" s="58" t="n"/>
      <c r="D57" s="58" t="n"/>
      <c r="E57" s="59">
        <f>IF(N($AL57)&gt;0,INDEX(rIni_ADM,$AL57),"")</f>
        <v/>
      </c>
      <c r="F57" s="59">
        <f>IF(N($AL57)&gt;0,INDEX(rLim_ADM,$AL57),"")</f>
        <v/>
      </c>
      <c r="G57" s="59" t="n"/>
      <c r="H57" s="60" t="n"/>
      <c r="I57" s="60" t="n"/>
      <c r="J57" s="60" t="n"/>
      <c r="K57" s="60" t="n"/>
      <c r="L57" s="60" t="n"/>
      <c r="M57" s="61">
        <f>IF(NOT((COUNTA($B57:$D57)+COUNTA($G57:$L57)+COUNTA($Q57))&gt;0),"",IF($V57="Sub",IFERROR($X57/INDEX($W$5:$W$1000,$U57-4),""),IF(ISNUMBER($G57),1,IF(N($W57)&gt;0,AVERAGEIFS($X$5:$X$1000,$U$5:$U$1000,ROW(),$V$5:$V$1000,"Sub"),$X57))))</f>
        <v/>
      </c>
      <c r="N57" s="56">
        <f>IF(OR($M57="",$V57="Sub"),"",IF($M57&gt;=1,"Completado",IF($M57&gt;0,"En curso","Pendiente")))</f>
        <v/>
      </c>
      <c r="O57" s="56">
        <f>IF(OR(NOT((COUNTA($B57:$D57)+COUNTA($G57:$L57)+COUNTA($Q57))&gt;0),$V57="Sub"),"",IF(ISNUMBER($G57),IF(AND(ISNUMBER($AN57),$G57&gt;$AN57),"Cumplida con "&amp;($G57-$AN57)&amp;IF($G57-$AN57=1," día"," días")&amp;" de retraso","Cumplida"),IF(N($M57)&gt;=1,"Cumplida",IF(NOT(ISNUMBER($AN57)),"Sin fecha límite",IF($AN57&lt;FechaRef,"Vencida hace "&amp;(FechaRef-$AN57)&amp;IF(FechaRef-$AN57=1," día"," días"),IF($AN57=FechaRef,"Vence hoy",IF($AN57-FechaRef&lt;=DiasAlerta,"Vence en "&amp;($AN57-FechaRef)&amp;IF($AN57-FechaRef=1," día"," días"),"En plazo")))))))</f>
        <v/>
      </c>
      <c r="P57" s="62" t="n"/>
      <c r="Q57" s="58" t="n"/>
      <c r="R57" s="63">
        <f>IF(NOT((COUNTA($B57:$D57)+COUNTA($G57:$L57)+COUNTA($Q57))&gt;0),"",IF((IF($C57="","Falta el nombre de la actividad"&amp;" · ","")&amp;IF(AND($V57="Sub",N($U57)=0),"Subactividad sin macroactividad arriba"&amp;" · ","")&amp;IF($AM57="","Sin fecha de inicio"&amp;" · ","")&amp;IF($AN57="","Sin fecha límite"&amp;" · ","")&amp;IF(AND(LEFT($C57,11)="[Jefatura] ",N($AL57)=0),"No se encuentra en la hoja de la jefatura (elíjala de nuevo en la lista)"&amp;" · ","")&amp;IF(OR(AND($E57&lt;&gt;"",NOT(ISNUMBER($E57))),AND($F57&lt;&gt;"",NOT(ISNUMBER($F57))),AND($G57&lt;&gt;"",NOT(ISNUMBER($G57)))),"Fecha no válida"&amp;" · ","")&amp;IF(AND(ISNUMBER($AM57),ISNUMBER($AN57),$AM57&gt;$AN57),"Inicio posterior a fecha límite"&amp;" · ","")&amp;IF(AND($V57="Macro",$H57&lt;&gt;"",OR(NOT(ISNUMBER($H57)),$H57&lt;0,$H57&gt;1)),"Peso fuera de rango"&amp;" · ","")&amp;IF(AND($V57="Sub",$H57&lt;&gt;""),"Las subactividades no llevan peso (valen igual dentro de su macroactividad)"&amp;" · ","")&amp;IF(AND(N($W57)&gt;0,COUNT($I57:$L57)&gt;0),"Con subactividades: deje vacías las semanas (se calculan solas)"&amp;" · ","")&amp;IF((COUNTIF($I57:$L57,"&gt;1")+COUNTIF($I57:$L57,"&lt;0")+COUNTA($I57:$L57)-COUNT($I57:$L57))&gt;0,"Avance fuera de rango 0-100%"&amp;" · ","")&amp;IF(OR(AND($J57&lt;&gt;"",$J57&lt;$I57),AND($K57&lt;&gt;"",$K57&lt;MAX($I57:$J57)),AND($L57&lt;&gt;"",$L57&lt;MAX($I57:$K57))),"Avance semanal decreciente"&amp;" · ","")&amp;IF(AND(ISNUMBER($AN57),$AN57&lt;FechaRef,IF($V57="Sub",N($X57),N($M57))&lt;1),"Vencida"&amp;" · ","")&amp;IF(AND(ObsObligatoria="Sí",ISNUMBER($AN57),$AN57&lt;FechaRef,IF($V57="Sub",N($X57),N($M57))&lt;1,$Q57=""),"Vencida sin observación"&amp;" · ",""))="","✔ OK","⚠ "&amp;LEFT(IF($C57="","Falta el nombre de la actividad"&amp;" · ","")&amp;IF(AND($V57="Sub",N($U57)=0),"Subactividad sin macroactividad arriba"&amp;" · ","")&amp;IF($AM57="","Sin fecha de inicio"&amp;" · ","")&amp;IF($AN57="","Sin fecha límite"&amp;" · ","")&amp;IF(AND(LEFT($C57,11)="[Jefatura] ",N($AL57)=0),"No se encuentra en la hoja de la jefatura (elíjala de nuevo en la lista)"&amp;" · ","")&amp;IF(OR(AND($E57&lt;&gt;"",NOT(ISNUMBER($E57))),AND($F57&lt;&gt;"",NOT(ISNUMBER($F57))),AND($G57&lt;&gt;"",NOT(ISNUMBER($G57)))),"Fecha no válida"&amp;" · ","")&amp;IF(AND(ISNUMBER($AM57),ISNUMBER($AN57),$AM57&gt;$AN57),"Inicio posterior a fecha límite"&amp;" · ","")&amp;IF(AND($V57="Macro",$H57&lt;&gt;"",OR(NOT(ISNUMBER($H57)),$H57&lt;0,$H57&gt;1)),"Peso fuera de rango"&amp;" · ","")&amp;IF(AND($V57="Sub",$H57&lt;&gt;""),"Las subactividades no llevan peso (valen igual dentro de su macroactividad)"&amp;" · ","")&amp;IF(AND(N($W57)&gt;0,COUNT($I57:$L57)&gt;0),"Con subactividades: deje vacías las semanas (se calculan solas)"&amp;" · ","")&amp;IF((COUNTIF($I57:$L57,"&gt;1")+COUNTIF($I57:$L57,"&lt;0")+COUNTA($I57:$L57)-COUNT($I57:$L57))&gt;0,"Avance fuera de rango 0-100%"&amp;" · ","")&amp;IF(OR(AND($J57&lt;&gt;"",$J57&lt;$I57),AND($K57&lt;&gt;"",$K57&lt;MAX($I57:$J57)),AND($L57&lt;&gt;"",$L57&lt;MAX($I57:$K57))),"Avance semanal decreciente"&amp;" · ","")&amp;IF(AND(ISNUMBER($AN57),$AN57&lt;FechaRef,IF($V57="Sub",N($X57),N($M57))&lt;1),"Vencida"&amp;" · ","")&amp;IF(AND(ObsObligatoria="Sí",ISNUMBER($AN57),$AN57&lt;FechaRef,IF($V57="Sub",N($X57),N($M57))&lt;1,$Q57=""),"Vencida sin observación"&amp;" · ",""),LEN(IF($C57="","Falta el nombre de la actividad"&amp;" · ","")&amp;IF(AND($V57="Sub",N($U57)=0),"Subactividad sin macroactividad arriba"&amp;" · ","")&amp;IF($AM57="","Sin fecha de inicio"&amp;" · ","")&amp;IF($AN57="","Sin fecha límite"&amp;" · ","")&amp;IF(AND(LEFT($C57,11)="[Jefatura] ",N($AL57)=0),"No se encuentra en la hoja de la jefatura (elíjala de nuevo en la lista)"&amp;" · ","")&amp;IF(OR(AND($E57&lt;&gt;"",NOT(ISNUMBER($E57))),AND($F57&lt;&gt;"",NOT(ISNUMBER($F57))),AND($G57&lt;&gt;"",NOT(ISNUMBER($G57)))),"Fecha no válida"&amp;" · ","")&amp;IF(AND(ISNUMBER($AM57),ISNUMBER($AN57),$AM57&gt;$AN57),"Inicio posterior a fecha límite"&amp;" · ","")&amp;IF(AND($V57="Macro",$H57&lt;&gt;"",OR(NOT(ISNUMBER($H57)),$H57&lt;0,$H57&gt;1)),"Peso fuera de rango"&amp;" · ","")&amp;IF(AND($V57="Sub",$H57&lt;&gt;""),"Las subactividades no llevan peso (valen igual dentro de su macroactividad)"&amp;" · ","")&amp;IF(AND(N($W57)&gt;0,COUNT($I57:$L57)&gt;0),"Con subactividades: deje vacías las semanas (se calculan solas)"&amp;" · ","")&amp;IF((COUNTIF($I57:$L57,"&gt;1")+COUNTIF($I57:$L57,"&lt;0")+COUNTA($I57:$L57)-COUNT($I57:$L57))&gt;0,"Avance fuera de rango 0-100%"&amp;" · ","")&amp;IF(OR(AND($J57&lt;&gt;"",$J57&lt;$I57),AND($K57&lt;&gt;"",$K57&lt;MAX($I57:$J57)),AND($L57&lt;&gt;"",$L57&lt;MAX($I57:$K57))),"Avance semanal decreciente"&amp;" · ","")&amp;IF(AND(ISNUMBER($AN57),$AN57&lt;FechaRef,IF($V57="Sub",N($X57),N($M57))&lt;1),"Vencida"&amp;" · ","")&amp;IF(AND(ObsObligatoria="Sí",ISNUMBER($AN57),$AN57&lt;FechaRef,IF($V57="Sub",N($X57),N($M57))&lt;1,$Q57=""),"Vencida sin observación"&amp;" · ",""))-3)))</f>
        <v/>
      </c>
      <c r="S57" s="64">
        <f>IF(NOT((COUNTA($B57:$D57)+COUNTA($G57:$L57)+COUNTA($Q57))&gt;0),"",IF(AND($V57="Sub",N($U57)&gt;0),IF(ISNUMBER(INDEX($AM$5:$AM$1000,$U57-4)),DATE(YEAR(INDEX($AM$5:$AM$1000,$U57-4)),MONTH(INDEX($AM$5:$AM$1000,$U57-4)),1),IF(ISNUMBER(INDEX($AN$5:$AN$1000,$U57-4)),DATE(YEAR(INDEX($AN$5:$AN$1000,$U57-4)),MONTH(INDEX($AN$5:$AN$1000,$U57-4)),1),MesCiclo)),IF(ISNUMBER($AM57),DATE(YEAR($AM57),MONTH($AM57),1),IF(ISNUMBER($AN57),DATE(YEAR($AN57),MONTH($AN57),1),MesCiclo))))</f>
        <v/>
      </c>
      <c r="T57" s="62">
        <f>IF(OR($S57="",$S57&lt;&gt;MesCiclo,$V57&lt;&gt;"Macro"),"",COUNTIFS($S$5:$S57,MesCiclo,$V$5:$V57,"Macro"))</f>
        <v/>
      </c>
      <c r="U57" s="62">
        <f>IF($V57="","",IF($V57="Macro",ROW(),IFERROR(LOOKUP(2,1/($V$5:$V57="Macro"),ROW($V$5:$V57)),0)))</f>
        <v/>
      </c>
      <c r="V57" s="62">
        <f>IF(NOT((COUNTA($B57:$D57)+COUNTA($G57:$L57)+COUNTA($Q57))&gt;0),"",IF($B57="Subactividad","Sub","Macro"))</f>
        <v/>
      </c>
      <c r="W57" s="62">
        <f>IF($V57="Macro",COUNTIFS($U$5:$U$1000,ROW(),$V$5:$V$1000,"Sub"),"")</f>
        <v/>
      </c>
      <c r="X57" s="62">
        <f>IF($V57="","",IF(ISNUMBER($G57),1,IFERROR(LOOKUP(2,1/($I57:$L57&lt;&gt;""),$I57:$L57),0)))</f>
        <v/>
      </c>
      <c r="Y57" s="62">
        <f>IF($V57="","",IF(AND(ISNUMBER($G57),$G57&lt;=IF($S57=MesCiclo,InicioCiclo,$S57+MOD(2-WEEKDAY($S57),7))+6),1,IF(ISNUMBER($I57),$I57,0)))</f>
        <v/>
      </c>
      <c r="Z57" s="62">
        <f>IF($V57="","",IF(AND(ISNUMBER($G57),$G57&lt;=IF($S57=MesCiclo,InicioCiclo,$S57+MOD(2-WEEKDAY($S57),7))+13),1,IF(ISNUMBER($J57),$J57,$Y57)))</f>
        <v/>
      </c>
      <c r="AA57" s="62">
        <f>IF($V57="","",IF(AND(ISNUMBER($G57),$G57&lt;=IF($S57=MesCiclo,InicioCiclo,$S57+MOD(2-WEEKDAY($S57),7))+20),1,IF(ISNUMBER($K57),$K57,$Z57)))</f>
        <v/>
      </c>
      <c r="AB57" s="62">
        <f>IF($V57="","",IF(AND(ISNUMBER($G57),$G57&lt;=IF($S57=MesCiclo,InicioCiclo,$S57+MOD(2-WEEKDAY($S57),7))+27),1,IF(ISNUMBER($L57),$L57,$AA57)))</f>
        <v/>
      </c>
      <c r="AC57" s="62">
        <f>IF($V57="","",IF(AND(ISNUMBER($G57),$G57&lt;=IF($S57=MesCiclo,InicioCiclo,$S57+MOD(2-WEEKDAY($S57),7))+6),1,IF(N($W57)&gt;0,AVERAGEIFS($Y$5:$Y$1000,$U$5:$U$1000,ROW(),$V$5:$V$1000,"Sub"),$Y57)))</f>
        <v/>
      </c>
      <c r="AD57" s="62">
        <f>IF($V57="","",IF(AND(ISNUMBER($G57),$G57&lt;=IF($S57=MesCiclo,InicioCiclo,$S57+MOD(2-WEEKDAY($S57),7))+13),1,IF(N($W57)&gt;0,AVERAGEIFS($Z$5:$Z$1000,$U$5:$U$1000,ROW(),$V$5:$V$1000,"Sub"),$Z57)))</f>
        <v/>
      </c>
      <c r="AE57" s="62">
        <f>IF($V57="","",IF(AND(ISNUMBER($G57),$G57&lt;=IF($S57=MesCiclo,InicioCiclo,$S57+MOD(2-WEEKDAY($S57),7))+20),1,IF(N($W57)&gt;0,AVERAGEIFS($AA$5:$AA$1000,$U$5:$U$1000,ROW(),$V$5:$V$1000,"Sub"),$AA57)))</f>
        <v/>
      </c>
      <c r="AF57" s="62">
        <f>IF($V57="","",IF(AND(ISNUMBER($G57),$G57&lt;=IF($S57=MesCiclo,InicioCiclo,$S57+MOD(2-WEEKDAY($S57),7))+27),1,IF(N($W57)&gt;0,AVERAGEIFS($AB$5:$AB$1000,$U$5:$U$1000,ROW(),$V$5:$V$1000,"Sub"),$AB57)))</f>
        <v/>
      </c>
      <c r="AG57" s="62">
        <f>IF($V57&lt;&gt;"Macro","",IF(COUNTIFS($S$5:$S$1000,$S57,$V$5:$V$1000,"Macro",$H$5:$H$1000,"&gt;0")=0,1/COUNTIFS($S$5:$S$1000,$S57,$V$5:$V$1000,"Macro"),IF(AND(ISNUMBER($H57),N($H57)&gt;0),$H57,SUMIFS($H$5:$H$1000,$S$5:$S$1000,$S57,$V$5:$V$1000,"Macro")/COUNTIFS($S$5:$S$1000,$S57,$V$5:$V$1000,"Macro",$H$5:$H$1000,"&gt;0"))/(COUNTIFS($S$5:$S$1000,$S57,$V$5:$V$1000,"Macro")*SUMIFS($H$5:$H$1000,$S$5:$S$1000,$S57,$V$5:$V$1000,"Macro")/COUNTIFS($S$5:$S$1000,$S57,$V$5:$V$1000,"Macro",$H$5:$H$1000,"&gt;0"))))</f>
        <v/>
      </c>
      <c r="AH57" s="62" t="n"/>
      <c r="AI57" s="62" t="n"/>
      <c r="AJ57" s="62" t="n"/>
      <c r="AK57" s="62" t="n"/>
      <c r="AL57" s="62">
        <f>IF(LEFT($C57,11)="[Jefatura] ",IFERROR(MATCH("Asistente Técnico de Riesgo|"&amp;MID($C57,12,500),rDname_ADM,0),0),"")</f>
        <v/>
      </c>
      <c r="AM57" s="62">
        <f>IF(N($AL57)&gt;0,INDEX(rIni_ADM,$AL57),IF(ISNUMBER($E57),$E57,""))</f>
        <v/>
      </c>
      <c r="AN57" s="62">
        <f>IF(N($AL57)&gt;0,INDEX(rLim_ADM,$AL57),IF(ISNUMBER($F57),$F57,""))</f>
        <v/>
      </c>
    </row>
    <row r="58">
      <c r="A58" s="56">
        <f>IF(NOT((COUNTA($B58:$D58)+COUNTA($G58:$L58)+COUNTA($Q58))&gt;0),"",IF($V58="Macro",COUNTIFS($V$5:$V58,"Macro",$S$5:$S58,$S58),IF(N($U58)=0,"?",COUNTIFS(INDEX($V$5:$V$1000,1):INDEX($V$5:$V$1000,$U58-4),"Macro",INDEX($S$5:$S$1000,1):INDEX($S$5:$S$1000,$U58-4),INDEX($S$5:$S$1000,$U58-4))&amp;"."&amp;COUNTIFS($U$5:$U58,$U58,$V$5:$V58,"Sub"))))</f>
        <v/>
      </c>
      <c r="B58" s="57" t="n"/>
      <c r="C58" s="58" t="n"/>
      <c r="D58" s="58" t="n"/>
      <c r="E58" s="59">
        <f>IF(N($AL58)&gt;0,INDEX(rIni_ADM,$AL58),"")</f>
        <v/>
      </c>
      <c r="F58" s="59">
        <f>IF(N($AL58)&gt;0,INDEX(rLim_ADM,$AL58),"")</f>
        <v/>
      </c>
      <c r="G58" s="59" t="n"/>
      <c r="H58" s="60" t="n"/>
      <c r="I58" s="60" t="n"/>
      <c r="J58" s="60" t="n"/>
      <c r="K58" s="60" t="n"/>
      <c r="L58" s="60" t="n"/>
      <c r="M58" s="61">
        <f>IF(NOT((COUNTA($B58:$D58)+COUNTA($G58:$L58)+COUNTA($Q58))&gt;0),"",IF($V58="Sub",IFERROR($X58/INDEX($W$5:$W$1000,$U58-4),""),IF(ISNUMBER($G58),1,IF(N($W58)&gt;0,AVERAGEIFS($X$5:$X$1000,$U$5:$U$1000,ROW(),$V$5:$V$1000,"Sub"),$X58))))</f>
        <v/>
      </c>
      <c r="N58" s="56">
        <f>IF(OR($M58="",$V58="Sub"),"",IF($M58&gt;=1,"Completado",IF($M58&gt;0,"En curso","Pendiente")))</f>
        <v/>
      </c>
      <c r="O58" s="56">
        <f>IF(OR(NOT((COUNTA($B58:$D58)+COUNTA($G58:$L58)+COUNTA($Q58))&gt;0),$V58="Sub"),"",IF(ISNUMBER($G58),IF(AND(ISNUMBER($AN58),$G58&gt;$AN58),"Cumplida con "&amp;($G58-$AN58)&amp;IF($G58-$AN58=1," día"," días")&amp;" de retraso","Cumplida"),IF(N($M58)&gt;=1,"Cumplida",IF(NOT(ISNUMBER($AN58)),"Sin fecha límite",IF($AN58&lt;FechaRef,"Vencida hace "&amp;(FechaRef-$AN58)&amp;IF(FechaRef-$AN58=1," día"," días"),IF($AN58=FechaRef,"Vence hoy",IF($AN58-FechaRef&lt;=DiasAlerta,"Vence en "&amp;($AN58-FechaRef)&amp;IF($AN58-FechaRef=1," día"," días"),"En plazo")))))))</f>
        <v/>
      </c>
      <c r="P58" s="62" t="n"/>
      <c r="Q58" s="58" t="n"/>
      <c r="R58" s="63">
        <f>IF(NOT((COUNTA($B58:$D58)+COUNTA($G58:$L58)+COUNTA($Q58))&gt;0),"",IF((IF($C58="","Falta el nombre de la actividad"&amp;" · ","")&amp;IF(AND($V58="Sub",N($U58)=0),"Subactividad sin macroactividad arriba"&amp;" · ","")&amp;IF($AM58="","Sin fecha de inicio"&amp;" · ","")&amp;IF($AN58="","Sin fecha límite"&amp;" · ","")&amp;IF(AND(LEFT($C58,11)="[Jefatura] ",N($AL58)=0),"No se encuentra en la hoja de la jefatura (elíjala de nuevo en la lista)"&amp;" · ","")&amp;IF(OR(AND($E58&lt;&gt;"",NOT(ISNUMBER($E58))),AND($F58&lt;&gt;"",NOT(ISNUMBER($F58))),AND($G58&lt;&gt;"",NOT(ISNUMBER($G58)))),"Fecha no válida"&amp;" · ","")&amp;IF(AND(ISNUMBER($AM58),ISNUMBER($AN58),$AM58&gt;$AN58),"Inicio posterior a fecha límite"&amp;" · ","")&amp;IF(AND($V58="Macro",$H58&lt;&gt;"",OR(NOT(ISNUMBER($H58)),$H58&lt;0,$H58&gt;1)),"Peso fuera de rango"&amp;" · ","")&amp;IF(AND($V58="Sub",$H58&lt;&gt;""),"Las subactividades no llevan peso (valen igual dentro de su macroactividad)"&amp;" · ","")&amp;IF(AND(N($W58)&gt;0,COUNT($I58:$L58)&gt;0),"Con subactividades: deje vacías las semanas (se calculan solas)"&amp;" · ","")&amp;IF((COUNTIF($I58:$L58,"&gt;1")+COUNTIF($I58:$L58,"&lt;0")+COUNTA($I58:$L58)-COUNT($I58:$L58))&gt;0,"Avance fuera de rango 0-100%"&amp;" · ","")&amp;IF(OR(AND($J58&lt;&gt;"",$J58&lt;$I58),AND($K58&lt;&gt;"",$K58&lt;MAX($I58:$J58)),AND($L58&lt;&gt;"",$L58&lt;MAX($I58:$K58))),"Avance semanal decreciente"&amp;" · ","")&amp;IF(AND(ISNUMBER($AN58),$AN58&lt;FechaRef,IF($V58="Sub",N($X58),N($M58))&lt;1),"Vencida"&amp;" · ","")&amp;IF(AND(ObsObligatoria="Sí",ISNUMBER($AN58),$AN58&lt;FechaRef,IF($V58="Sub",N($X58),N($M58))&lt;1,$Q58=""),"Vencida sin observación"&amp;" · ",""))="","✔ OK","⚠ "&amp;LEFT(IF($C58="","Falta el nombre de la actividad"&amp;" · ","")&amp;IF(AND($V58="Sub",N($U58)=0),"Subactividad sin macroactividad arriba"&amp;" · ","")&amp;IF($AM58="","Sin fecha de inicio"&amp;" · ","")&amp;IF($AN58="","Sin fecha límite"&amp;" · ","")&amp;IF(AND(LEFT($C58,11)="[Jefatura] ",N($AL58)=0),"No se encuentra en la hoja de la jefatura (elíjala de nuevo en la lista)"&amp;" · ","")&amp;IF(OR(AND($E58&lt;&gt;"",NOT(ISNUMBER($E58))),AND($F58&lt;&gt;"",NOT(ISNUMBER($F58))),AND($G58&lt;&gt;"",NOT(ISNUMBER($G58)))),"Fecha no válida"&amp;" · ","")&amp;IF(AND(ISNUMBER($AM58),ISNUMBER($AN58),$AM58&gt;$AN58),"Inicio posterior a fecha límite"&amp;" · ","")&amp;IF(AND($V58="Macro",$H58&lt;&gt;"",OR(NOT(ISNUMBER($H58)),$H58&lt;0,$H58&gt;1)),"Peso fuera de rango"&amp;" · ","")&amp;IF(AND($V58="Sub",$H58&lt;&gt;""),"Las subactividades no llevan peso (valen igual dentro de su macroactividad)"&amp;" · ","")&amp;IF(AND(N($W58)&gt;0,COUNT($I58:$L58)&gt;0),"Con subactividades: deje vacías las semanas (se calculan solas)"&amp;" · ","")&amp;IF((COUNTIF($I58:$L58,"&gt;1")+COUNTIF($I58:$L58,"&lt;0")+COUNTA($I58:$L58)-COUNT($I58:$L58))&gt;0,"Avance fuera de rango 0-100%"&amp;" · ","")&amp;IF(OR(AND($J58&lt;&gt;"",$J58&lt;$I58),AND($K58&lt;&gt;"",$K58&lt;MAX($I58:$J58)),AND($L58&lt;&gt;"",$L58&lt;MAX($I58:$K58))),"Avance semanal decreciente"&amp;" · ","")&amp;IF(AND(ISNUMBER($AN58),$AN58&lt;FechaRef,IF($V58="Sub",N($X58),N($M58))&lt;1),"Vencida"&amp;" · ","")&amp;IF(AND(ObsObligatoria="Sí",ISNUMBER($AN58),$AN58&lt;FechaRef,IF($V58="Sub",N($X58),N($M58))&lt;1,$Q58=""),"Vencida sin observación"&amp;" · ",""),LEN(IF($C58="","Falta el nombre de la actividad"&amp;" · ","")&amp;IF(AND($V58="Sub",N($U58)=0),"Subactividad sin macroactividad arriba"&amp;" · ","")&amp;IF($AM58="","Sin fecha de inicio"&amp;" · ","")&amp;IF($AN58="","Sin fecha límite"&amp;" · ","")&amp;IF(AND(LEFT($C58,11)="[Jefatura] ",N($AL58)=0),"No se encuentra en la hoja de la jefatura (elíjala de nuevo en la lista)"&amp;" · ","")&amp;IF(OR(AND($E58&lt;&gt;"",NOT(ISNUMBER($E58))),AND($F58&lt;&gt;"",NOT(ISNUMBER($F58))),AND($G58&lt;&gt;"",NOT(ISNUMBER($G58)))),"Fecha no válida"&amp;" · ","")&amp;IF(AND(ISNUMBER($AM58),ISNUMBER($AN58),$AM58&gt;$AN58),"Inicio posterior a fecha límite"&amp;" · ","")&amp;IF(AND($V58="Macro",$H58&lt;&gt;"",OR(NOT(ISNUMBER($H58)),$H58&lt;0,$H58&gt;1)),"Peso fuera de rango"&amp;" · ","")&amp;IF(AND($V58="Sub",$H58&lt;&gt;""),"Las subactividades no llevan peso (valen igual dentro de su macroactividad)"&amp;" · ","")&amp;IF(AND(N($W58)&gt;0,COUNT($I58:$L58)&gt;0),"Con subactividades: deje vacías las semanas (se calculan solas)"&amp;" · ","")&amp;IF((COUNTIF($I58:$L58,"&gt;1")+COUNTIF($I58:$L58,"&lt;0")+COUNTA($I58:$L58)-COUNT($I58:$L58))&gt;0,"Avance fuera de rango 0-100%"&amp;" · ","")&amp;IF(OR(AND($J58&lt;&gt;"",$J58&lt;$I58),AND($K58&lt;&gt;"",$K58&lt;MAX($I58:$J58)),AND($L58&lt;&gt;"",$L58&lt;MAX($I58:$K58))),"Avance semanal decreciente"&amp;" · ","")&amp;IF(AND(ISNUMBER($AN58),$AN58&lt;FechaRef,IF($V58="Sub",N($X58),N($M58))&lt;1),"Vencida"&amp;" · ","")&amp;IF(AND(ObsObligatoria="Sí",ISNUMBER($AN58),$AN58&lt;FechaRef,IF($V58="Sub",N($X58),N($M58))&lt;1,$Q58=""),"Vencida sin observación"&amp;" · ",""))-3)))</f>
        <v/>
      </c>
      <c r="S58" s="64">
        <f>IF(NOT((COUNTA($B58:$D58)+COUNTA($G58:$L58)+COUNTA($Q58))&gt;0),"",IF(AND($V58="Sub",N($U58)&gt;0),IF(ISNUMBER(INDEX($AM$5:$AM$1000,$U58-4)),DATE(YEAR(INDEX($AM$5:$AM$1000,$U58-4)),MONTH(INDEX($AM$5:$AM$1000,$U58-4)),1),IF(ISNUMBER(INDEX($AN$5:$AN$1000,$U58-4)),DATE(YEAR(INDEX($AN$5:$AN$1000,$U58-4)),MONTH(INDEX($AN$5:$AN$1000,$U58-4)),1),MesCiclo)),IF(ISNUMBER($AM58),DATE(YEAR($AM58),MONTH($AM58),1),IF(ISNUMBER($AN58),DATE(YEAR($AN58),MONTH($AN58),1),MesCiclo))))</f>
        <v/>
      </c>
      <c r="T58" s="62">
        <f>IF(OR($S58="",$S58&lt;&gt;MesCiclo,$V58&lt;&gt;"Macro"),"",COUNTIFS($S$5:$S58,MesCiclo,$V$5:$V58,"Macro"))</f>
        <v/>
      </c>
      <c r="U58" s="62">
        <f>IF($V58="","",IF($V58="Macro",ROW(),IFERROR(LOOKUP(2,1/($V$5:$V58="Macro"),ROW($V$5:$V58)),0)))</f>
        <v/>
      </c>
      <c r="V58" s="62">
        <f>IF(NOT((COUNTA($B58:$D58)+COUNTA($G58:$L58)+COUNTA($Q58))&gt;0),"",IF($B58="Subactividad","Sub","Macro"))</f>
        <v/>
      </c>
      <c r="W58" s="62">
        <f>IF($V58="Macro",COUNTIFS($U$5:$U$1000,ROW(),$V$5:$V$1000,"Sub"),"")</f>
        <v/>
      </c>
      <c r="X58" s="62">
        <f>IF($V58="","",IF(ISNUMBER($G58),1,IFERROR(LOOKUP(2,1/($I58:$L58&lt;&gt;""),$I58:$L58),0)))</f>
        <v/>
      </c>
      <c r="Y58" s="62">
        <f>IF($V58="","",IF(AND(ISNUMBER($G58),$G58&lt;=IF($S58=MesCiclo,InicioCiclo,$S58+MOD(2-WEEKDAY($S58),7))+6),1,IF(ISNUMBER($I58),$I58,0)))</f>
        <v/>
      </c>
      <c r="Z58" s="62">
        <f>IF($V58="","",IF(AND(ISNUMBER($G58),$G58&lt;=IF($S58=MesCiclo,InicioCiclo,$S58+MOD(2-WEEKDAY($S58),7))+13),1,IF(ISNUMBER($J58),$J58,$Y58)))</f>
        <v/>
      </c>
      <c r="AA58" s="62">
        <f>IF($V58="","",IF(AND(ISNUMBER($G58),$G58&lt;=IF($S58=MesCiclo,InicioCiclo,$S58+MOD(2-WEEKDAY($S58),7))+20),1,IF(ISNUMBER($K58),$K58,$Z58)))</f>
        <v/>
      </c>
      <c r="AB58" s="62">
        <f>IF($V58="","",IF(AND(ISNUMBER($G58),$G58&lt;=IF($S58=MesCiclo,InicioCiclo,$S58+MOD(2-WEEKDAY($S58),7))+27),1,IF(ISNUMBER($L58),$L58,$AA58)))</f>
        <v/>
      </c>
      <c r="AC58" s="62">
        <f>IF($V58="","",IF(AND(ISNUMBER($G58),$G58&lt;=IF($S58=MesCiclo,InicioCiclo,$S58+MOD(2-WEEKDAY($S58),7))+6),1,IF(N($W58)&gt;0,AVERAGEIFS($Y$5:$Y$1000,$U$5:$U$1000,ROW(),$V$5:$V$1000,"Sub"),$Y58)))</f>
        <v/>
      </c>
      <c r="AD58" s="62">
        <f>IF($V58="","",IF(AND(ISNUMBER($G58),$G58&lt;=IF($S58=MesCiclo,InicioCiclo,$S58+MOD(2-WEEKDAY($S58),7))+13),1,IF(N($W58)&gt;0,AVERAGEIFS($Z$5:$Z$1000,$U$5:$U$1000,ROW(),$V$5:$V$1000,"Sub"),$Z58)))</f>
        <v/>
      </c>
      <c r="AE58" s="62">
        <f>IF($V58="","",IF(AND(ISNUMBER($G58),$G58&lt;=IF($S58=MesCiclo,InicioCiclo,$S58+MOD(2-WEEKDAY($S58),7))+20),1,IF(N($W58)&gt;0,AVERAGEIFS($AA$5:$AA$1000,$U$5:$U$1000,ROW(),$V$5:$V$1000,"Sub"),$AA58)))</f>
        <v/>
      </c>
      <c r="AF58" s="62">
        <f>IF($V58="","",IF(AND(ISNUMBER($G58),$G58&lt;=IF($S58=MesCiclo,InicioCiclo,$S58+MOD(2-WEEKDAY($S58),7))+27),1,IF(N($W58)&gt;0,AVERAGEIFS($AB$5:$AB$1000,$U$5:$U$1000,ROW(),$V$5:$V$1000,"Sub"),$AB58)))</f>
        <v/>
      </c>
      <c r="AG58" s="62">
        <f>IF($V58&lt;&gt;"Macro","",IF(COUNTIFS($S$5:$S$1000,$S58,$V$5:$V$1000,"Macro",$H$5:$H$1000,"&gt;0")=0,1/COUNTIFS($S$5:$S$1000,$S58,$V$5:$V$1000,"Macro"),IF(AND(ISNUMBER($H58),N($H58)&gt;0),$H58,SUMIFS($H$5:$H$1000,$S$5:$S$1000,$S58,$V$5:$V$1000,"Macro")/COUNTIFS($S$5:$S$1000,$S58,$V$5:$V$1000,"Macro",$H$5:$H$1000,"&gt;0"))/(COUNTIFS($S$5:$S$1000,$S58,$V$5:$V$1000,"Macro")*SUMIFS($H$5:$H$1000,$S$5:$S$1000,$S58,$V$5:$V$1000,"Macro")/COUNTIFS($S$5:$S$1000,$S58,$V$5:$V$1000,"Macro",$H$5:$H$1000,"&gt;0"))))</f>
        <v/>
      </c>
      <c r="AH58" s="62" t="n"/>
      <c r="AI58" s="62" t="n"/>
      <c r="AJ58" s="62" t="n"/>
      <c r="AK58" s="62" t="n"/>
      <c r="AL58" s="62">
        <f>IF(LEFT($C58,11)="[Jefatura] ",IFERROR(MATCH("Asistente Técnico de Riesgo|"&amp;MID($C58,12,500),rDname_ADM,0),0),"")</f>
        <v/>
      </c>
      <c r="AM58" s="62">
        <f>IF(N($AL58)&gt;0,INDEX(rIni_ADM,$AL58),IF(ISNUMBER($E58),$E58,""))</f>
        <v/>
      </c>
      <c r="AN58" s="62">
        <f>IF(N($AL58)&gt;0,INDEX(rLim_ADM,$AL58),IF(ISNUMBER($F58),$F58,""))</f>
        <v/>
      </c>
    </row>
    <row r="59">
      <c r="A59" s="56">
        <f>IF(NOT((COUNTA($B59:$D59)+COUNTA($G59:$L59)+COUNTA($Q59))&gt;0),"",IF($V59="Macro",COUNTIFS($V$5:$V59,"Macro",$S$5:$S59,$S59),IF(N($U59)=0,"?",COUNTIFS(INDEX($V$5:$V$1000,1):INDEX($V$5:$V$1000,$U59-4),"Macro",INDEX($S$5:$S$1000,1):INDEX($S$5:$S$1000,$U59-4),INDEX($S$5:$S$1000,$U59-4))&amp;"."&amp;COUNTIFS($U$5:$U59,$U59,$V$5:$V59,"Sub"))))</f>
        <v/>
      </c>
      <c r="B59" s="57" t="n"/>
      <c r="C59" s="58" t="n"/>
      <c r="D59" s="58" t="n"/>
      <c r="E59" s="59">
        <f>IF(N($AL59)&gt;0,INDEX(rIni_ADM,$AL59),"")</f>
        <v/>
      </c>
      <c r="F59" s="59">
        <f>IF(N($AL59)&gt;0,INDEX(rLim_ADM,$AL59),"")</f>
        <v/>
      </c>
      <c r="G59" s="59" t="n"/>
      <c r="H59" s="60" t="n"/>
      <c r="I59" s="60" t="n"/>
      <c r="J59" s="60" t="n"/>
      <c r="K59" s="60" t="n"/>
      <c r="L59" s="60" t="n"/>
      <c r="M59" s="61">
        <f>IF(NOT((COUNTA($B59:$D59)+COUNTA($G59:$L59)+COUNTA($Q59))&gt;0),"",IF($V59="Sub",IFERROR($X59/INDEX($W$5:$W$1000,$U59-4),""),IF(ISNUMBER($G59),1,IF(N($W59)&gt;0,AVERAGEIFS($X$5:$X$1000,$U$5:$U$1000,ROW(),$V$5:$V$1000,"Sub"),$X59))))</f>
        <v/>
      </c>
      <c r="N59" s="56">
        <f>IF(OR($M59="",$V59="Sub"),"",IF($M59&gt;=1,"Completado",IF($M59&gt;0,"En curso","Pendiente")))</f>
        <v/>
      </c>
      <c r="O59" s="56">
        <f>IF(OR(NOT((COUNTA($B59:$D59)+COUNTA($G59:$L59)+COUNTA($Q59))&gt;0),$V59="Sub"),"",IF(ISNUMBER($G59),IF(AND(ISNUMBER($AN59),$G59&gt;$AN59),"Cumplida con "&amp;($G59-$AN59)&amp;IF($G59-$AN59=1," día"," días")&amp;" de retraso","Cumplida"),IF(N($M59)&gt;=1,"Cumplida",IF(NOT(ISNUMBER($AN59)),"Sin fecha límite",IF($AN59&lt;FechaRef,"Vencida hace "&amp;(FechaRef-$AN59)&amp;IF(FechaRef-$AN59=1," día"," días"),IF($AN59=FechaRef,"Vence hoy",IF($AN59-FechaRef&lt;=DiasAlerta,"Vence en "&amp;($AN59-FechaRef)&amp;IF($AN59-FechaRef=1," día"," días"),"En plazo")))))))</f>
        <v/>
      </c>
      <c r="P59" s="62" t="n"/>
      <c r="Q59" s="58" t="n"/>
      <c r="R59" s="63">
        <f>IF(NOT((COUNTA($B59:$D59)+COUNTA($G59:$L59)+COUNTA($Q59))&gt;0),"",IF((IF($C59="","Falta el nombre de la actividad"&amp;" · ","")&amp;IF(AND($V59="Sub",N($U59)=0),"Subactividad sin macroactividad arriba"&amp;" · ","")&amp;IF($AM59="","Sin fecha de inicio"&amp;" · ","")&amp;IF($AN59="","Sin fecha límite"&amp;" · ","")&amp;IF(AND(LEFT($C59,11)="[Jefatura] ",N($AL59)=0),"No se encuentra en la hoja de la jefatura (elíjala de nuevo en la lista)"&amp;" · ","")&amp;IF(OR(AND($E59&lt;&gt;"",NOT(ISNUMBER($E59))),AND($F59&lt;&gt;"",NOT(ISNUMBER($F59))),AND($G59&lt;&gt;"",NOT(ISNUMBER($G59)))),"Fecha no válida"&amp;" · ","")&amp;IF(AND(ISNUMBER($AM59),ISNUMBER($AN59),$AM59&gt;$AN59),"Inicio posterior a fecha límite"&amp;" · ","")&amp;IF(AND($V59="Macro",$H59&lt;&gt;"",OR(NOT(ISNUMBER($H59)),$H59&lt;0,$H59&gt;1)),"Peso fuera de rango"&amp;" · ","")&amp;IF(AND($V59="Sub",$H59&lt;&gt;""),"Las subactividades no llevan peso (valen igual dentro de su macroactividad)"&amp;" · ","")&amp;IF(AND(N($W59)&gt;0,COUNT($I59:$L59)&gt;0),"Con subactividades: deje vacías las semanas (se calculan solas)"&amp;" · ","")&amp;IF((COUNTIF($I59:$L59,"&gt;1")+COUNTIF($I59:$L59,"&lt;0")+COUNTA($I59:$L59)-COUNT($I59:$L59))&gt;0,"Avance fuera de rango 0-100%"&amp;" · ","")&amp;IF(OR(AND($J59&lt;&gt;"",$J59&lt;$I59),AND($K59&lt;&gt;"",$K59&lt;MAX($I59:$J59)),AND($L59&lt;&gt;"",$L59&lt;MAX($I59:$K59))),"Avance semanal decreciente"&amp;" · ","")&amp;IF(AND(ISNUMBER($AN59),$AN59&lt;FechaRef,IF($V59="Sub",N($X59),N($M59))&lt;1),"Vencida"&amp;" · ","")&amp;IF(AND(ObsObligatoria="Sí",ISNUMBER($AN59),$AN59&lt;FechaRef,IF($V59="Sub",N($X59),N($M59))&lt;1,$Q59=""),"Vencida sin observación"&amp;" · ",""))="","✔ OK","⚠ "&amp;LEFT(IF($C59="","Falta el nombre de la actividad"&amp;" · ","")&amp;IF(AND($V59="Sub",N($U59)=0),"Subactividad sin macroactividad arriba"&amp;" · ","")&amp;IF($AM59="","Sin fecha de inicio"&amp;" · ","")&amp;IF($AN59="","Sin fecha límite"&amp;" · ","")&amp;IF(AND(LEFT($C59,11)="[Jefatura] ",N($AL59)=0),"No se encuentra en la hoja de la jefatura (elíjala de nuevo en la lista)"&amp;" · ","")&amp;IF(OR(AND($E59&lt;&gt;"",NOT(ISNUMBER($E59))),AND($F59&lt;&gt;"",NOT(ISNUMBER($F59))),AND($G59&lt;&gt;"",NOT(ISNUMBER($G59)))),"Fecha no válida"&amp;" · ","")&amp;IF(AND(ISNUMBER($AM59),ISNUMBER($AN59),$AM59&gt;$AN59),"Inicio posterior a fecha límite"&amp;" · ","")&amp;IF(AND($V59="Macro",$H59&lt;&gt;"",OR(NOT(ISNUMBER($H59)),$H59&lt;0,$H59&gt;1)),"Peso fuera de rango"&amp;" · ","")&amp;IF(AND($V59="Sub",$H59&lt;&gt;""),"Las subactividades no llevan peso (valen igual dentro de su macroactividad)"&amp;" · ","")&amp;IF(AND(N($W59)&gt;0,COUNT($I59:$L59)&gt;0),"Con subactividades: deje vacías las semanas (se calculan solas)"&amp;" · ","")&amp;IF((COUNTIF($I59:$L59,"&gt;1")+COUNTIF($I59:$L59,"&lt;0")+COUNTA($I59:$L59)-COUNT($I59:$L59))&gt;0,"Avance fuera de rango 0-100%"&amp;" · ","")&amp;IF(OR(AND($J59&lt;&gt;"",$J59&lt;$I59),AND($K59&lt;&gt;"",$K59&lt;MAX($I59:$J59)),AND($L59&lt;&gt;"",$L59&lt;MAX($I59:$K59))),"Avance semanal decreciente"&amp;" · ","")&amp;IF(AND(ISNUMBER($AN59),$AN59&lt;FechaRef,IF($V59="Sub",N($X59),N($M59))&lt;1),"Vencida"&amp;" · ","")&amp;IF(AND(ObsObligatoria="Sí",ISNUMBER($AN59),$AN59&lt;FechaRef,IF($V59="Sub",N($X59),N($M59))&lt;1,$Q59=""),"Vencida sin observación"&amp;" · ",""),LEN(IF($C59="","Falta el nombre de la actividad"&amp;" · ","")&amp;IF(AND($V59="Sub",N($U59)=0),"Subactividad sin macroactividad arriba"&amp;" · ","")&amp;IF($AM59="","Sin fecha de inicio"&amp;" · ","")&amp;IF($AN59="","Sin fecha límite"&amp;" · ","")&amp;IF(AND(LEFT($C59,11)="[Jefatura] ",N($AL59)=0),"No se encuentra en la hoja de la jefatura (elíjala de nuevo en la lista)"&amp;" · ","")&amp;IF(OR(AND($E59&lt;&gt;"",NOT(ISNUMBER($E59))),AND($F59&lt;&gt;"",NOT(ISNUMBER($F59))),AND($G59&lt;&gt;"",NOT(ISNUMBER($G59)))),"Fecha no válida"&amp;" · ","")&amp;IF(AND(ISNUMBER($AM59),ISNUMBER($AN59),$AM59&gt;$AN59),"Inicio posterior a fecha límite"&amp;" · ","")&amp;IF(AND($V59="Macro",$H59&lt;&gt;"",OR(NOT(ISNUMBER($H59)),$H59&lt;0,$H59&gt;1)),"Peso fuera de rango"&amp;" · ","")&amp;IF(AND($V59="Sub",$H59&lt;&gt;""),"Las subactividades no llevan peso (valen igual dentro de su macroactividad)"&amp;" · ","")&amp;IF(AND(N($W59)&gt;0,COUNT($I59:$L59)&gt;0),"Con subactividades: deje vacías las semanas (se calculan solas)"&amp;" · ","")&amp;IF((COUNTIF($I59:$L59,"&gt;1")+COUNTIF($I59:$L59,"&lt;0")+COUNTA($I59:$L59)-COUNT($I59:$L59))&gt;0,"Avance fuera de rango 0-100%"&amp;" · ","")&amp;IF(OR(AND($J59&lt;&gt;"",$J59&lt;$I59),AND($K59&lt;&gt;"",$K59&lt;MAX($I59:$J59)),AND($L59&lt;&gt;"",$L59&lt;MAX($I59:$K59))),"Avance semanal decreciente"&amp;" · ","")&amp;IF(AND(ISNUMBER($AN59),$AN59&lt;FechaRef,IF($V59="Sub",N($X59),N($M59))&lt;1),"Vencida"&amp;" · ","")&amp;IF(AND(ObsObligatoria="Sí",ISNUMBER($AN59),$AN59&lt;FechaRef,IF($V59="Sub",N($X59),N($M59))&lt;1,$Q59=""),"Vencida sin observación"&amp;" · ",""))-3)))</f>
        <v/>
      </c>
      <c r="S59" s="64">
        <f>IF(NOT((COUNTA($B59:$D59)+COUNTA($G59:$L59)+COUNTA($Q59))&gt;0),"",IF(AND($V59="Sub",N($U59)&gt;0),IF(ISNUMBER(INDEX($AM$5:$AM$1000,$U59-4)),DATE(YEAR(INDEX($AM$5:$AM$1000,$U59-4)),MONTH(INDEX($AM$5:$AM$1000,$U59-4)),1),IF(ISNUMBER(INDEX($AN$5:$AN$1000,$U59-4)),DATE(YEAR(INDEX($AN$5:$AN$1000,$U59-4)),MONTH(INDEX($AN$5:$AN$1000,$U59-4)),1),MesCiclo)),IF(ISNUMBER($AM59),DATE(YEAR($AM59),MONTH($AM59),1),IF(ISNUMBER($AN59),DATE(YEAR($AN59),MONTH($AN59),1),MesCiclo))))</f>
        <v/>
      </c>
      <c r="T59" s="62">
        <f>IF(OR($S59="",$S59&lt;&gt;MesCiclo,$V59&lt;&gt;"Macro"),"",COUNTIFS($S$5:$S59,MesCiclo,$V$5:$V59,"Macro"))</f>
        <v/>
      </c>
      <c r="U59" s="62">
        <f>IF($V59="","",IF($V59="Macro",ROW(),IFERROR(LOOKUP(2,1/($V$5:$V59="Macro"),ROW($V$5:$V59)),0)))</f>
        <v/>
      </c>
      <c r="V59" s="62">
        <f>IF(NOT((COUNTA($B59:$D59)+COUNTA($G59:$L59)+COUNTA($Q59))&gt;0),"",IF($B59="Subactividad","Sub","Macro"))</f>
        <v/>
      </c>
      <c r="W59" s="62">
        <f>IF($V59="Macro",COUNTIFS($U$5:$U$1000,ROW(),$V$5:$V$1000,"Sub"),"")</f>
        <v/>
      </c>
      <c r="X59" s="62">
        <f>IF($V59="","",IF(ISNUMBER($G59),1,IFERROR(LOOKUP(2,1/($I59:$L59&lt;&gt;""),$I59:$L59),0)))</f>
        <v/>
      </c>
      <c r="Y59" s="62">
        <f>IF($V59="","",IF(AND(ISNUMBER($G59),$G59&lt;=IF($S59=MesCiclo,InicioCiclo,$S59+MOD(2-WEEKDAY($S59),7))+6),1,IF(ISNUMBER($I59),$I59,0)))</f>
        <v/>
      </c>
      <c r="Z59" s="62">
        <f>IF($V59="","",IF(AND(ISNUMBER($G59),$G59&lt;=IF($S59=MesCiclo,InicioCiclo,$S59+MOD(2-WEEKDAY($S59),7))+13),1,IF(ISNUMBER($J59),$J59,$Y59)))</f>
        <v/>
      </c>
      <c r="AA59" s="62">
        <f>IF($V59="","",IF(AND(ISNUMBER($G59),$G59&lt;=IF($S59=MesCiclo,InicioCiclo,$S59+MOD(2-WEEKDAY($S59),7))+20),1,IF(ISNUMBER($K59),$K59,$Z59)))</f>
        <v/>
      </c>
      <c r="AB59" s="62">
        <f>IF($V59="","",IF(AND(ISNUMBER($G59),$G59&lt;=IF($S59=MesCiclo,InicioCiclo,$S59+MOD(2-WEEKDAY($S59),7))+27),1,IF(ISNUMBER($L59),$L59,$AA59)))</f>
        <v/>
      </c>
      <c r="AC59" s="62">
        <f>IF($V59="","",IF(AND(ISNUMBER($G59),$G59&lt;=IF($S59=MesCiclo,InicioCiclo,$S59+MOD(2-WEEKDAY($S59),7))+6),1,IF(N($W59)&gt;0,AVERAGEIFS($Y$5:$Y$1000,$U$5:$U$1000,ROW(),$V$5:$V$1000,"Sub"),$Y59)))</f>
        <v/>
      </c>
      <c r="AD59" s="62">
        <f>IF($V59="","",IF(AND(ISNUMBER($G59),$G59&lt;=IF($S59=MesCiclo,InicioCiclo,$S59+MOD(2-WEEKDAY($S59),7))+13),1,IF(N($W59)&gt;0,AVERAGEIFS($Z$5:$Z$1000,$U$5:$U$1000,ROW(),$V$5:$V$1000,"Sub"),$Z59)))</f>
        <v/>
      </c>
      <c r="AE59" s="62">
        <f>IF($V59="","",IF(AND(ISNUMBER($G59),$G59&lt;=IF($S59=MesCiclo,InicioCiclo,$S59+MOD(2-WEEKDAY($S59),7))+20),1,IF(N($W59)&gt;0,AVERAGEIFS($AA$5:$AA$1000,$U$5:$U$1000,ROW(),$V$5:$V$1000,"Sub"),$AA59)))</f>
        <v/>
      </c>
      <c r="AF59" s="62">
        <f>IF($V59="","",IF(AND(ISNUMBER($G59),$G59&lt;=IF($S59=MesCiclo,InicioCiclo,$S59+MOD(2-WEEKDAY($S59),7))+27),1,IF(N($W59)&gt;0,AVERAGEIFS($AB$5:$AB$1000,$U$5:$U$1000,ROW(),$V$5:$V$1000,"Sub"),$AB59)))</f>
        <v/>
      </c>
      <c r="AG59" s="62">
        <f>IF($V59&lt;&gt;"Macro","",IF(COUNTIFS($S$5:$S$1000,$S59,$V$5:$V$1000,"Macro",$H$5:$H$1000,"&gt;0")=0,1/COUNTIFS($S$5:$S$1000,$S59,$V$5:$V$1000,"Macro"),IF(AND(ISNUMBER($H59),N($H59)&gt;0),$H59,SUMIFS($H$5:$H$1000,$S$5:$S$1000,$S59,$V$5:$V$1000,"Macro")/COUNTIFS($S$5:$S$1000,$S59,$V$5:$V$1000,"Macro",$H$5:$H$1000,"&gt;0"))/(COUNTIFS($S$5:$S$1000,$S59,$V$5:$V$1000,"Macro")*SUMIFS($H$5:$H$1000,$S$5:$S$1000,$S59,$V$5:$V$1000,"Macro")/COUNTIFS($S$5:$S$1000,$S59,$V$5:$V$1000,"Macro",$H$5:$H$1000,"&gt;0"))))</f>
        <v/>
      </c>
      <c r="AH59" s="62" t="n"/>
      <c r="AI59" s="62" t="n"/>
      <c r="AJ59" s="62" t="n"/>
      <c r="AK59" s="62" t="n"/>
      <c r="AL59" s="62">
        <f>IF(LEFT($C59,11)="[Jefatura] ",IFERROR(MATCH("Asistente Técnico de Riesgo|"&amp;MID($C59,12,500),rDname_ADM,0),0),"")</f>
        <v/>
      </c>
      <c r="AM59" s="62">
        <f>IF(N($AL59)&gt;0,INDEX(rIni_ADM,$AL59),IF(ISNUMBER($E59),$E59,""))</f>
        <v/>
      </c>
      <c r="AN59" s="62">
        <f>IF(N($AL59)&gt;0,INDEX(rLim_ADM,$AL59),IF(ISNUMBER($F59),$F59,""))</f>
        <v/>
      </c>
    </row>
    <row r="60">
      <c r="A60" s="56">
        <f>IF(NOT((COUNTA($B60:$D60)+COUNTA($G60:$L60)+COUNTA($Q60))&gt;0),"",IF($V60="Macro",COUNTIFS($V$5:$V60,"Macro",$S$5:$S60,$S60),IF(N($U60)=0,"?",COUNTIFS(INDEX($V$5:$V$1000,1):INDEX($V$5:$V$1000,$U60-4),"Macro",INDEX($S$5:$S$1000,1):INDEX($S$5:$S$1000,$U60-4),INDEX($S$5:$S$1000,$U60-4))&amp;"."&amp;COUNTIFS($U$5:$U60,$U60,$V$5:$V60,"Sub"))))</f>
        <v/>
      </c>
      <c r="B60" s="57" t="n"/>
      <c r="C60" s="58" t="n"/>
      <c r="D60" s="58" t="n"/>
      <c r="E60" s="59">
        <f>IF(N($AL60)&gt;0,INDEX(rIni_ADM,$AL60),"")</f>
        <v/>
      </c>
      <c r="F60" s="59">
        <f>IF(N($AL60)&gt;0,INDEX(rLim_ADM,$AL60),"")</f>
        <v/>
      </c>
      <c r="G60" s="59" t="n"/>
      <c r="H60" s="60" t="n"/>
      <c r="I60" s="60" t="n"/>
      <c r="J60" s="60" t="n"/>
      <c r="K60" s="60" t="n"/>
      <c r="L60" s="60" t="n"/>
      <c r="M60" s="61">
        <f>IF(NOT((COUNTA($B60:$D60)+COUNTA($G60:$L60)+COUNTA($Q60))&gt;0),"",IF($V60="Sub",IFERROR($X60/INDEX($W$5:$W$1000,$U60-4),""),IF(ISNUMBER($G60),1,IF(N($W60)&gt;0,AVERAGEIFS($X$5:$X$1000,$U$5:$U$1000,ROW(),$V$5:$V$1000,"Sub"),$X60))))</f>
        <v/>
      </c>
      <c r="N60" s="56">
        <f>IF(OR($M60="",$V60="Sub"),"",IF($M60&gt;=1,"Completado",IF($M60&gt;0,"En curso","Pendiente")))</f>
        <v/>
      </c>
      <c r="O60" s="56">
        <f>IF(OR(NOT((COUNTA($B60:$D60)+COUNTA($G60:$L60)+COUNTA($Q60))&gt;0),$V60="Sub"),"",IF(ISNUMBER($G60),IF(AND(ISNUMBER($AN60),$G60&gt;$AN60),"Cumplida con "&amp;($G60-$AN60)&amp;IF($G60-$AN60=1," día"," días")&amp;" de retraso","Cumplida"),IF(N($M60)&gt;=1,"Cumplida",IF(NOT(ISNUMBER($AN60)),"Sin fecha límite",IF($AN60&lt;FechaRef,"Vencida hace "&amp;(FechaRef-$AN60)&amp;IF(FechaRef-$AN60=1," día"," días"),IF($AN60=FechaRef,"Vence hoy",IF($AN60-FechaRef&lt;=DiasAlerta,"Vence en "&amp;($AN60-FechaRef)&amp;IF($AN60-FechaRef=1," día"," días"),"En plazo")))))))</f>
        <v/>
      </c>
      <c r="P60" s="62" t="n"/>
      <c r="Q60" s="58" t="n"/>
      <c r="R60" s="63">
        <f>IF(NOT((COUNTA($B60:$D60)+COUNTA($G60:$L60)+COUNTA($Q60))&gt;0),"",IF((IF($C60="","Falta el nombre de la actividad"&amp;" · ","")&amp;IF(AND($V60="Sub",N($U60)=0),"Subactividad sin macroactividad arriba"&amp;" · ","")&amp;IF($AM60="","Sin fecha de inicio"&amp;" · ","")&amp;IF($AN60="","Sin fecha límite"&amp;" · ","")&amp;IF(AND(LEFT($C60,11)="[Jefatura] ",N($AL60)=0),"No se encuentra en la hoja de la jefatura (elíjala de nuevo en la lista)"&amp;" · ","")&amp;IF(OR(AND($E60&lt;&gt;"",NOT(ISNUMBER($E60))),AND($F60&lt;&gt;"",NOT(ISNUMBER($F60))),AND($G60&lt;&gt;"",NOT(ISNUMBER($G60)))),"Fecha no válida"&amp;" · ","")&amp;IF(AND(ISNUMBER($AM60),ISNUMBER($AN60),$AM60&gt;$AN60),"Inicio posterior a fecha límite"&amp;" · ","")&amp;IF(AND($V60="Macro",$H60&lt;&gt;"",OR(NOT(ISNUMBER($H60)),$H60&lt;0,$H60&gt;1)),"Peso fuera de rango"&amp;" · ","")&amp;IF(AND($V60="Sub",$H60&lt;&gt;""),"Las subactividades no llevan peso (valen igual dentro de su macroactividad)"&amp;" · ","")&amp;IF(AND(N($W60)&gt;0,COUNT($I60:$L60)&gt;0),"Con subactividades: deje vacías las semanas (se calculan solas)"&amp;" · ","")&amp;IF((COUNTIF($I60:$L60,"&gt;1")+COUNTIF($I60:$L60,"&lt;0")+COUNTA($I60:$L60)-COUNT($I60:$L60))&gt;0,"Avance fuera de rango 0-100%"&amp;" · ","")&amp;IF(OR(AND($J60&lt;&gt;"",$J60&lt;$I60),AND($K60&lt;&gt;"",$K60&lt;MAX($I60:$J60)),AND($L60&lt;&gt;"",$L60&lt;MAX($I60:$K60))),"Avance semanal decreciente"&amp;" · ","")&amp;IF(AND(ISNUMBER($AN60),$AN60&lt;FechaRef,IF($V60="Sub",N($X60),N($M60))&lt;1),"Vencida"&amp;" · ","")&amp;IF(AND(ObsObligatoria="Sí",ISNUMBER($AN60),$AN60&lt;FechaRef,IF($V60="Sub",N($X60),N($M60))&lt;1,$Q60=""),"Vencida sin observación"&amp;" · ",""))="","✔ OK","⚠ "&amp;LEFT(IF($C60="","Falta el nombre de la actividad"&amp;" · ","")&amp;IF(AND($V60="Sub",N($U60)=0),"Subactividad sin macroactividad arriba"&amp;" · ","")&amp;IF($AM60="","Sin fecha de inicio"&amp;" · ","")&amp;IF($AN60="","Sin fecha límite"&amp;" · ","")&amp;IF(AND(LEFT($C60,11)="[Jefatura] ",N($AL60)=0),"No se encuentra en la hoja de la jefatura (elíjala de nuevo en la lista)"&amp;" · ","")&amp;IF(OR(AND($E60&lt;&gt;"",NOT(ISNUMBER($E60))),AND($F60&lt;&gt;"",NOT(ISNUMBER($F60))),AND($G60&lt;&gt;"",NOT(ISNUMBER($G60)))),"Fecha no válida"&amp;" · ","")&amp;IF(AND(ISNUMBER($AM60),ISNUMBER($AN60),$AM60&gt;$AN60),"Inicio posterior a fecha límite"&amp;" · ","")&amp;IF(AND($V60="Macro",$H60&lt;&gt;"",OR(NOT(ISNUMBER($H60)),$H60&lt;0,$H60&gt;1)),"Peso fuera de rango"&amp;" · ","")&amp;IF(AND($V60="Sub",$H60&lt;&gt;""),"Las subactividades no llevan peso (valen igual dentro de su macroactividad)"&amp;" · ","")&amp;IF(AND(N($W60)&gt;0,COUNT($I60:$L60)&gt;0),"Con subactividades: deje vacías las semanas (se calculan solas)"&amp;" · ","")&amp;IF((COUNTIF($I60:$L60,"&gt;1")+COUNTIF($I60:$L60,"&lt;0")+COUNTA($I60:$L60)-COUNT($I60:$L60))&gt;0,"Avance fuera de rango 0-100%"&amp;" · ","")&amp;IF(OR(AND($J60&lt;&gt;"",$J60&lt;$I60),AND($K60&lt;&gt;"",$K60&lt;MAX($I60:$J60)),AND($L60&lt;&gt;"",$L60&lt;MAX($I60:$K60))),"Avance semanal decreciente"&amp;" · ","")&amp;IF(AND(ISNUMBER($AN60),$AN60&lt;FechaRef,IF($V60="Sub",N($X60),N($M60))&lt;1),"Vencida"&amp;" · ","")&amp;IF(AND(ObsObligatoria="Sí",ISNUMBER($AN60),$AN60&lt;FechaRef,IF($V60="Sub",N($X60),N($M60))&lt;1,$Q60=""),"Vencida sin observación"&amp;" · ",""),LEN(IF($C60="","Falta el nombre de la actividad"&amp;" · ","")&amp;IF(AND($V60="Sub",N($U60)=0),"Subactividad sin macroactividad arriba"&amp;" · ","")&amp;IF($AM60="","Sin fecha de inicio"&amp;" · ","")&amp;IF($AN60="","Sin fecha límite"&amp;" · ","")&amp;IF(AND(LEFT($C60,11)="[Jefatura] ",N($AL60)=0),"No se encuentra en la hoja de la jefatura (elíjala de nuevo en la lista)"&amp;" · ","")&amp;IF(OR(AND($E60&lt;&gt;"",NOT(ISNUMBER($E60))),AND($F60&lt;&gt;"",NOT(ISNUMBER($F60))),AND($G60&lt;&gt;"",NOT(ISNUMBER($G60)))),"Fecha no válida"&amp;" · ","")&amp;IF(AND(ISNUMBER($AM60),ISNUMBER($AN60),$AM60&gt;$AN60),"Inicio posterior a fecha límite"&amp;" · ","")&amp;IF(AND($V60="Macro",$H60&lt;&gt;"",OR(NOT(ISNUMBER($H60)),$H60&lt;0,$H60&gt;1)),"Peso fuera de rango"&amp;" · ","")&amp;IF(AND($V60="Sub",$H60&lt;&gt;""),"Las subactividades no llevan peso (valen igual dentro de su macroactividad)"&amp;" · ","")&amp;IF(AND(N($W60)&gt;0,COUNT($I60:$L60)&gt;0),"Con subactividades: deje vacías las semanas (se calculan solas)"&amp;" · ","")&amp;IF((COUNTIF($I60:$L60,"&gt;1")+COUNTIF($I60:$L60,"&lt;0")+COUNTA($I60:$L60)-COUNT($I60:$L60))&gt;0,"Avance fuera de rango 0-100%"&amp;" · ","")&amp;IF(OR(AND($J60&lt;&gt;"",$J60&lt;$I60),AND($K60&lt;&gt;"",$K60&lt;MAX($I60:$J60)),AND($L60&lt;&gt;"",$L60&lt;MAX($I60:$K60))),"Avance semanal decreciente"&amp;" · ","")&amp;IF(AND(ISNUMBER($AN60),$AN60&lt;FechaRef,IF($V60="Sub",N($X60),N($M60))&lt;1),"Vencida"&amp;" · ","")&amp;IF(AND(ObsObligatoria="Sí",ISNUMBER($AN60),$AN60&lt;FechaRef,IF($V60="Sub",N($X60),N($M60))&lt;1,$Q60=""),"Vencida sin observación"&amp;" · ",""))-3)))</f>
        <v/>
      </c>
      <c r="S60" s="64">
        <f>IF(NOT((COUNTA($B60:$D60)+COUNTA($G60:$L60)+COUNTA($Q60))&gt;0),"",IF(AND($V60="Sub",N($U60)&gt;0),IF(ISNUMBER(INDEX($AM$5:$AM$1000,$U60-4)),DATE(YEAR(INDEX($AM$5:$AM$1000,$U60-4)),MONTH(INDEX($AM$5:$AM$1000,$U60-4)),1),IF(ISNUMBER(INDEX($AN$5:$AN$1000,$U60-4)),DATE(YEAR(INDEX($AN$5:$AN$1000,$U60-4)),MONTH(INDEX($AN$5:$AN$1000,$U60-4)),1),MesCiclo)),IF(ISNUMBER($AM60),DATE(YEAR($AM60),MONTH($AM60),1),IF(ISNUMBER($AN60),DATE(YEAR($AN60),MONTH($AN60),1),MesCiclo))))</f>
        <v/>
      </c>
      <c r="T60" s="62">
        <f>IF(OR($S60="",$S60&lt;&gt;MesCiclo,$V60&lt;&gt;"Macro"),"",COUNTIFS($S$5:$S60,MesCiclo,$V$5:$V60,"Macro"))</f>
        <v/>
      </c>
      <c r="U60" s="62">
        <f>IF($V60="","",IF($V60="Macro",ROW(),IFERROR(LOOKUP(2,1/($V$5:$V60="Macro"),ROW($V$5:$V60)),0)))</f>
        <v/>
      </c>
      <c r="V60" s="62">
        <f>IF(NOT((COUNTA($B60:$D60)+COUNTA($G60:$L60)+COUNTA($Q60))&gt;0),"",IF($B60="Subactividad","Sub","Macro"))</f>
        <v/>
      </c>
      <c r="W60" s="62">
        <f>IF($V60="Macro",COUNTIFS($U$5:$U$1000,ROW(),$V$5:$V$1000,"Sub"),"")</f>
        <v/>
      </c>
      <c r="X60" s="62">
        <f>IF($V60="","",IF(ISNUMBER($G60),1,IFERROR(LOOKUP(2,1/($I60:$L60&lt;&gt;""),$I60:$L60),0)))</f>
        <v/>
      </c>
      <c r="Y60" s="62">
        <f>IF($V60="","",IF(AND(ISNUMBER($G60),$G60&lt;=IF($S60=MesCiclo,InicioCiclo,$S60+MOD(2-WEEKDAY($S60),7))+6),1,IF(ISNUMBER($I60),$I60,0)))</f>
        <v/>
      </c>
      <c r="Z60" s="62">
        <f>IF($V60="","",IF(AND(ISNUMBER($G60),$G60&lt;=IF($S60=MesCiclo,InicioCiclo,$S60+MOD(2-WEEKDAY($S60),7))+13),1,IF(ISNUMBER($J60),$J60,$Y60)))</f>
        <v/>
      </c>
      <c r="AA60" s="62">
        <f>IF($V60="","",IF(AND(ISNUMBER($G60),$G60&lt;=IF($S60=MesCiclo,InicioCiclo,$S60+MOD(2-WEEKDAY($S60),7))+20),1,IF(ISNUMBER($K60),$K60,$Z60)))</f>
        <v/>
      </c>
      <c r="AB60" s="62">
        <f>IF($V60="","",IF(AND(ISNUMBER($G60),$G60&lt;=IF($S60=MesCiclo,InicioCiclo,$S60+MOD(2-WEEKDAY($S60),7))+27),1,IF(ISNUMBER($L60),$L60,$AA60)))</f>
        <v/>
      </c>
      <c r="AC60" s="62">
        <f>IF($V60="","",IF(AND(ISNUMBER($G60),$G60&lt;=IF($S60=MesCiclo,InicioCiclo,$S60+MOD(2-WEEKDAY($S60),7))+6),1,IF(N($W60)&gt;0,AVERAGEIFS($Y$5:$Y$1000,$U$5:$U$1000,ROW(),$V$5:$V$1000,"Sub"),$Y60)))</f>
        <v/>
      </c>
      <c r="AD60" s="62">
        <f>IF($V60="","",IF(AND(ISNUMBER($G60),$G60&lt;=IF($S60=MesCiclo,InicioCiclo,$S60+MOD(2-WEEKDAY($S60),7))+13),1,IF(N($W60)&gt;0,AVERAGEIFS($Z$5:$Z$1000,$U$5:$U$1000,ROW(),$V$5:$V$1000,"Sub"),$Z60)))</f>
        <v/>
      </c>
      <c r="AE60" s="62">
        <f>IF($V60="","",IF(AND(ISNUMBER($G60),$G60&lt;=IF($S60=MesCiclo,InicioCiclo,$S60+MOD(2-WEEKDAY($S60),7))+20),1,IF(N($W60)&gt;0,AVERAGEIFS($AA$5:$AA$1000,$U$5:$U$1000,ROW(),$V$5:$V$1000,"Sub"),$AA60)))</f>
        <v/>
      </c>
      <c r="AF60" s="62">
        <f>IF($V60="","",IF(AND(ISNUMBER($G60),$G60&lt;=IF($S60=MesCiclo,InicioCiclo,$S60+MOD(2-WEEKDAY($S60),7))+27),1,IF(N($W60)&gt;0,AVERAGEIFS($AB$5:$AB$1000,$U$5:$U$1000,ROW(),$V$5:$V$1000,"Sub"),$AB60)))</f>
        <v/>
      </c>
      <c r="AG60" s="62">
        <f>IF($V60&lt;&gt;"Macro","",IF(COUNTIFS($S$5:$S$1000,$S60,$V$5:$V$1000,"Macro",$H$5:$H$1000,"&gt;0")=0,1/COUNTIFS($S$5:$S$1000,$S60,$V$5:$V$1000,"Macro"),IF(AND(ISNUMBER($H60),N($H60)&gt;0),$H60,SUMIFS($H$5:$H$1000,$S$5:$S$1000,$S60,$V$5:$V$1000,"Macro")/COUNTIFS($S$5:$S$1000,$S60,$V$5:$V$1000,"Macro",$H$5:$H$1000,"&gt;0"))/(COUNTIFS($S$5:$S$1000,$S60,$V$5:$V$1000,"Macro")*SUMIFS($H$5:$H$1000,$S$5:$S$1000,$S60,$V$5:$V$1000,"Macro")/COUNTIFS($S$5:$S$1000,$S60,$V$5:$V$1000,"Macro",$H$5:$H$1000,"&gt;0"))))</f>
        <v/>
      </c>
      <c r="AH60" s="62" t="n"/>
      <c r="AI60" s="62" t="n"/>
      <c r="AJ60" s="62" t="n"/>
      <c r="AK60" s="62" t="n"/>
      <c r="AL60" s="62">
        <f>IF(LEFT($C60,11)="[Jefatura] ",IFERROR(MATCH("Asistente Técnico de Riesgo|"&amp;MID($C60,12,500),rDname_ADM,0),0),"")</f>
        <v/>
      </c>
      <c r="AM60" s="62">
        <f>IF(N($AL60)&gt;0,INDEX(rIni_ADM,$AL60),IF(ISNUMBER($E60),$E60,""))</f>
        <v/>
      </c>
      <c r="AN60" s="62">
        <f>IF(N($AL60)&gt;0,INDEX(rLim_ADM,$AL60),IF(ISNUMBER($F60),$F60,""))</f>
        <v/>
      </c>
    </row>
    <row r="61">
      <c r="A61" s="56">
        <f>IF(NOT((COUNTA($B61:$D61)+COUNTA($G61:$L61)+COUNTA($Q61))&gt;0),"",IF($V61="Macro",COUNTIFS($V$5:$V61,"Macro",$S$5:$S61,$S61),IF(N($U61)=0,"?",COUNTIFS(INDEX($V$5:$V$1000,1):INDEX($V$5:$V$1000,$U61-4),"Macro",INDEX($S$5:$S$1000,1):INDEX($S$5:$S$1000,$U61-4),INDEX($S$5:$S$1000,$U61-4))&amp;"."&amp;COUNTIFS($U$5:$U61,$U61,$V$5:$V61,"Sub"))))</f>
        <v/>
      </c>
      <c r="B61" s="57" t="n"/>
      <c r="C61" s="58" t="n"/>
      <c r="D61" s="58" t="n"/>
      <c r="E61" s="59">
        <f>IF(N($AL61)&gt;0,INDEX(rIni_ADM,$AL61),"")</f>
        <v/>
      </c>
      <c r="F61" s="59">
        <f>IF(N($AL61)&gt;0,INDEX(rLim_ADM,$AL61),"")</f>
        <v/>
      </c>
      <c r="G61" s="59" t="n"/>
      <c r="H61" s="60" t="n"/>
      <c r="I61" s="60" t="n"/>
      <c r="J61" s="60" t="n"/>
      <c r="K61" s="60" t="n"/>
      <c r="L61" s="60" t="n"/>
      <c r="M61" s="61">
        <f>IF(NOT((COUNTA($B61:$D61)+COUNTA($G61:$L61)+COUNTA($Q61))&gt;0),"",IF($V61="Sub",IFERROR($X61/INDEX($W$5:$W$1000,$U61-4),""),IF(ISNUMBER($G61),1,IF(N($W61)&gt;0,AVERAGEIFS($X$5:$X$1000,$U$5:$U$1000,ROW(),$V$5:$V$1000,"Sub"),$X61))))</f>
        <v/>
      </c>
      <c r="N61" s="56">
        <f>IF(OR($M61="",$V61="Sub"),"",IF($M61&gt;=1,"Completado",IF($M61&gt;0,"En curso","Pendiente")))</f>
        <v/>
      </c>
      <c r="O61" s="56">
        <f>IF(OR(NOT((COUNTA($B61:$D61)+COUNTA($G61:$L61)+COUNTA($Q61))&gt;0),$V61="Sub"),"",IF(ISNUMBER($G61),IF(AND(ISNUMBER($AN61),$G61&gt;$AN61),"Cumplida con "&amp;($G61-$AN61)&amp;IF($G61-$AN61=1," día"," días")&amp;" de retraso","Cumplida"),IF(N($M61)&gt;=1,"Cumplida",IF(NOT(ISNUMBER($AN61)),"Sin fecha límite",IF($AN61&lt;FechaRef,"Vencida hace "&amp;(FechaRef-$AN61)&amp;IF(FechaRef-$AN61=1," día"," días"),IF($AN61=FechaRef,"Vence hoy",IF($AN61-FechaRef&lt;=DiasAlerta,"Vence en "&amp;($AN61-FechaRef)&amp;IF($AN61-FechaRef=1," día"," días"),"En plazo")))))))</f>
        <v/>
      </c>
      <c r="P61" s="62" t="n"/>
      <c r="Q61" s="58" t="n"/>
      <c r="R61" s="63">
        <f>IF(NOT((COUNTA($B61:$D61)+COUNTA($G61:$L61)+COUNTA($Q61))&gt;0),"",IF((IF($C61="","Falta el nombre de la actividad"&amp;" · ","")&amp;IF(AND($V61="Sub",N($U61)=0),"Subactividad sin macroactividad arriba"&amp;" · ","")&amp;IF($AM61="","Sin fecha de inicio"&amp;" · ","")&amp;IF($AN61="","Sin fecha límite"&amp;" · ","")&amp;IF(AND(LEFT($C61,11)="[Jefatura] ",N($AL61)=0),"No se encuentra en la hoja de la jefatura (elíjala de nuevo en la lista)"&amp;" · ","")&amp;IF(OR(AND($E61&lt;&gt;"",NOT(ISNUMBER($E61))),AND($F61&lt;&gt;"",NOT(ISNUMBER($F61))),AND($G61&lt;&gt;"",NOT(ISNUMBER($G61)))),"Fecha no válida"&amp;" · ","")&amp;IF(AND(ISNUMBER($AM61),ISNUMBER($AN61),$AM61&gt;$AN61),"Inicio posterior a fecha límite"&amp;" · ","")&amp;IF(AND($V61="Macro",$H61&lt;&gt;"",OR(NOT(ISNUMBER($H61)),$H61&lt;0,$H61&gt;1)),"Peso fuera de rango"&amp;" · ","")&amp;IF(AND($V61="Sub",$H61&lt;&gt;""),"Las subactividades no llevan peso (valen igual dentro de su macroactividad)"&amp;" · ","")&amp;IF(AND(N($W61)&gt;0,COUNT($I61:$L61)&gt;0),"Con subactividades: deje vacías las semanas (se calculan solas)"&amp;" · ","")&amp;IF((COUNTIF($I61:$L61,"&gt;1")+COUNTIF($I61:$L61,"&lt;0")+COUNTA($I61:$L61)-COUNT($I61:$L61))&gt;0,"Avance fuera de rango 0-100%"&amp;" · ","")&amp;IF(OR(AND($J61&lt;&gt;"",$J61&lt;$I61),AND($K61&lt;&gt;"",$K61&lt;MAX($I61:$J61)),AND($L61&lt;&gt;"",$L61&lt;MAX($I61:$K61))),"Avance semanal decreciente"&amp;" · ","")&amp;IF(AND(ISNUMBER($AN61),$AN61&lt;FechaRef,IF($V61="Sub",N($X61),N($M61))&lt;1),"Vencida"&amp;" · ","")&amp;IF(AND(ObsObligatoria="Sí",ISNUMBER($AN61),$AN61&lt;FechaRef,IF($V61="Sub",N($X61),N($M61))&lt;1,$Q61=""),"Vencida sin observación"&amp;" · ",""))="","✔ OK","⚠ "&amp;LEFT(IF($C61="","Falta el nombre de la actividad"&amp;" · ","")&amp;IF(AND($V61="Sub",N($U61)=0),"Subactividad sin macroactividad arriba"&amp;" · ","")&amp;IF($AM61="","Sin fecha de inicio"&amp;" · ","")&amp;IF($AN61="","Sin fecha límite"&amp;" · ","")&amp;IF(AND(LEFT($C61,11)="[Jefatura] ",N($AL61)=0),"No se encuentra en la hoja de la jefatura (elíjala de nuevo en la lista)"&amp;" · ","")&amp;IF(OR(AND($E61&lt;&gt;"",NOT(ISNUMBER($E61))),AND($F61&lt;&gt;"",NOT(ISNUMBER($F61))),AND($G61&lt;&gt;"",NOT(ISNUMBER($G61)))),"Fecha no válida"&amp;" · ","")&amp;IF(AND(ISNUMBER($AM61),ISNUMBER($AN61),$AM61&gt;$AN61),"Inicio posterior a fecha límite"&amp;" · ","")&amp;IF(AND($V61="Macro",$H61&lt;&gt;"",OR(NOT(ISNUMBER($H61)),$H61&lt;0,$H61&gt;1)),"Peso fuera de rango"&amp;" · ","")&amp;IF(AND($V61="Sub",$H61&lt;&gt;""),"Las subactividades no llevan peso (valen igual dentro de su macroactividad)"&amp;" · ","")&amp;IF(AND(N($W61)&gt;0,COUNT($I61:$L61)&gt;0),"Con subactividades: deje vacías las semanas (se calculan solas)"&amp;" · ","")&amp;IF((COUNTIF($I61:$L61,"&gt;1")+COUNTIF($I61:$L61,"&lt;0")+COUNTA($I61:$L61)-COUNT($I61:$L61))&gt;0,"Avance fuera de rango 0-100%"&amp;" · ","")&amp;IF(OR(AND($J61&lt;&gt;"",$J61&lt;$I61),AND($K61&lt;&gt;"",$K61&lt;MAX($I61:$J61)),AND($L61&lt;&gt;"",$L61&lt;MAX($I61:$K61))),"Avance semanal decreciente"&amp;" · ","")&amp;IF(AND(ISNUMBER($AN61),$AN61&lt;FechaRef,IF($V61="Sub",N($X61),N($M61))&lt;1),"Vencida"&amp;" · ","")&amp;IF(AND(ObsObligatoria="Sí",ISNUMBER($AN61),$AN61&lt;FechaRef,IF($V61="Sub",N($X61),N($M61))&lt;1,$Q61=""),"Vencida sin observación"&amp;" · ",""),LEN(IF($C61="","Falta el nombre de la actividad"&amp;" · ","")&amp;IF(AND($V61="Sub",N($U61)=0),"Subactividad sin macroactividad arriba"&amp;" · ","")&amp;IF($AM61="","Sin fecha de inicio"&amp;" · ","")&amp;IF($AN61="","Sin fecha límite"&amp;" · ","")&amp;IF(AND(LEFT($C61,11)="[Jefatura] ",N($AL61)=0),"No se encuentra en la hoja de la jefatura (elíjala de nuevo en la lista)"&amp;" · ","")&amp;IF(OR(AND($E61&lt;&gt;"",NOT(ISNUMBER($E61))),AND($F61&lt;&gt;"",NOT(ISNUMBER($F61))),AND($G61&lt;&gt;"",NOT(ISNUMBER($G61)))),"Fecha no válida"&amp;" · ","")&amp;IF(AND(ISNUMBER($AM61),ISNUMBER($AN61),$AM61&gt;$AN61),"Inicio posterior a fecha límite"&amp;" · ","")&amp;IF(AND($V61="Macro",$H61&lt;&gt;"",OR(NOT(ISNUMBER($H61)),$H61&lt;0,$H61&gt;1)),"Peso fuera de rango"&amp;" · ","")&amp;IF(AND($V61="Sub",$H61&lt;&gt;""),"Las subactividades no llevan peso (valen igual dentro de su macroactividad)"&amp;" · ","")&amp;IF(AND(N($W61)&gt;0,COUNT($I61:$L61)&gt;0),"Con subactividades: deje vacías las semanas (se calculan solas)"&amp;" · ","")&amp;IF((COUNTIF($I61:$L61,"&gt;1")+COUNTIF($I61:$L61,"&lt;0")+COUNTA($I61:$L61)-COUNT($I61:$L61))&gt;0,"Avance fuera de rango 0-100%"&amp;" · ","")&amp;IF(OR(AND($J61&lt;&gt;"",$J61&lt;$I61),AND($K61&lt;&gt;"",$K61&lt;MAX($I61:$J61)),AND($L61&lt;&gt;"",$L61&lt;MAX($I61:$K61))),"Avance semanal decreciente"&amp;" · ","")&amp;IF(AND(ISNUMBER($AN61),$AN61&lt;FechaRef,IF($V61="Sub",N($X61),N($M61))&lt;1),"Vencida"&amp;" · ","")&amp;IF(AND(ObsObligatoria="Sí",ISNUMBER($AN61),$AN61&lt;FechaRef,IF($V61="Sub",N($X61),N($M61))&lt;1,$Q61=""),"Vencida sin observación"&amp;" · ",""))-3)))</f>
        <v/>
      </c>
      <c r="S61" s="64">
        <f>IF(NOT((COUNTA($B61:$D61)+COUNTA($G61:$L61)+COUNTA($Q61))&gt;0),"",IF(AND($V61="Sub",N($U61)&gt;0),IF(ISNUMBER(INDEX($AM$5:$AM$1000,$U61-4)),DATE(YEAR(INDEX($AM$5:$AM$1000,$U61-4)),MONTH(INDEX($AM$5:$AM$1000,$U61-4)),1),IF(ISNUMBER(INDEX($AN$5:$AN$1000,$U61-4)),DATE(YEAR(INDEX($AN$5:$AN$1000,$U61-4)),MONTH(INDEX($AN$5:$AN$1000,$U61-4)),1),MesCiclo)),IF(ISNUMBER($AM61),DATE(YEAR($AM61),MONTH($AM61),1),IF(ISNUMBER($AN61),DATE(YEAR($AN61),MONTH($AN61),1),MesCiclo))))</f>
        <v/>
      </c>
      <c r="T61" s="62">
        <f>IF(OR($S61="",$S61&lt;&gt;MesCiclo,$V61&lt;&gt;"Macro"),"",COUNTIFS($S$5:$S61,MesCiclo,$V$5:$V61,"Macro"))</f>
        <v/>
      </c>
      <c r="U61" s="62">
        <f>IF($V61="","",IF($V61="Macro",ROW(),IFERROR(LOOKUP(2,1/($V$5:$V61="Macro"),ROW($V$5:$V61)),0)))</f>
        <v/>
      </c>
      <c r="V61" s="62">
        <f>IF(NOT((COUNTA($B61:$D61)+COUNTA($G61:$L61)+COUNTA($Q61))&gt;0),"",IF($B61="Subactividad","Sub","Macro"))</f>
        <v/>
      </c>
      <c r="W61" s="62">
        <f>IF($V61="Macro",COUNTIFS($U$5:$U$1000,ROW(),$V$5:$V$1000,"Sub"),"")</f>
        <v/>
      </c>
      <c r="X61" s="62">
        <f>IF($V61="","",IF(ISNUMBER($G61),1,IFERROR(LOOKUP(2,1/($I61:$L61&lt;&gt;""),$I61:$L61),0)))</f>
        <v/>
      </c>
      <c r="Y61" s="62">
        <f>IF($V61="","",IF(AND(ISNUMBER($G61),$G61&lt;=IF($S61=MesCiclo,InicioCiclo,$S61+MOD(2-WEEKDAY($S61),7))+6),1,IF(ISNUMBER($I61),$I61,0)))</f>
        <v/>
      </c>
      <c r="Z61" s="62">
        <f>IF($V61="","",IF(AND(ISNUMBER($G61),$G61&lt;=IF($S61=MesCiclo,InicioCiclo,$S61+MOD(2-WEEKDAY($S61),7))+13),1,IF(ISNUMBER($J61),$J61,$Y61)))</f>
        <v/>
      </c>
      <c r="AA61" s="62">
        <f>IF($V61="","",IF(AND(ISNUMBER($G61),$G61&lt;=IF($S61=MesCiclo,InicioCiclo,$S61+MOD(2-WEEKDAY($S61),7))+20),1,IF(ISNUMBER($K61),$K61,$Z61)))</f>
        <v/>
      </c>
      <c r="AB61" s="62">
        <f>IF($V61="","",IF(AND(ISNUMBER($G61),$G61&lt;=IF($S61=MesCiclo,InicioCiclo,$S61+MOD(2-WEEKDAY($S61),7))+27),1,IF(ISNUMBER($L61),$L61,$AA61)))</f>
        <v/>
      </c>
      <c r="AC61" s="62">
        <f>IF($V61="","",IF(AND(ISNUMBER($G61),$G61&lt;=IF($S61=MesCiclo,InicioCiclo,$S61+MOD(2-WEEKDAY($S61),7))+6),1,IF(N($W61)&gt;0,AVERAGEIFS($Y$5:$Y$1000,$U$5:$U$1000,ROW(),$V$5:$V$1000,"Sub"),$Y61)))</f>
        <v/>
      </c>
      <c r="AD61" s="62">
        <f>IF($V61="","",IF(AND(ISNUMBER($G61),$G61&lt;=IF($S61=MesCiclo,InicioCiclo,$S61+MOD(2-WEEKDAY($S61),7))+13),1,IF(N($W61)&gt;0,AVERAGEIFS($Z$5:$Z$1000,$U$5:$U$1000,ROW(),$V$5:$V$1000,"Sub"),$Z61)))</f>
        <v/>
      </c>
      <c r="AE61" s="62">
        <f>IF($V61="","",IF(AND(ISNUMBER($G61),$G61&lt;=IF($S61=MesCiclo,InicioCiclo,$S61+MOD(2-WEEKDAY($S61),7))+20),1,IF(N($W61)&gt;0,AVERAGEIFS($AA$5:$AA$1000,$U$5:$U$1000,ROW(),$V$5:$V$1000,"Sub"),$AA61)))</f>
        <v/>
      </c>
      <c r="AF61" s="62">
        <f>IF($V61="","",IF(AND(ISNUMBER($G61),$G61&lt;=IF($S61=MesCiclo,InicioCiclo,$S61+MOD(2-WEEKDAY($S61),7))+27),1,IF(N($W61)&gt;0,AVERAGEIFS($AB$5:$AB$1000,$U$5:$U$1000,ROW(),$V$5:$V$1000,"Sub"),$AB61)))</f>
        <v/>
      </c>
      <c r="AG61" s="62">
        <f>IF($V61&lt;&gt;"Macro","",IF(COUNTIFS($S$5:$S$1000,$S61,$V$5:$V$1000,"Macro",$H$5:$H$1000,"&gt;0")=0,1/COUNTIFS($S$5:$S$1000,$S61,$V$5:$V$1000,"Macro"),IF(AND(ISNUMBER($H61),N($H61)&gt;0),$H61,SUMIFS($H$5:$H$1000,$S$5:$S$1000,$S61,$V$5:$V$1000,"Macro")/COUNTIFS($S$5:$S$1000,$S61,$V$5:$V$1000,"Macro",$H$5:$H$1000,"&gt;0"))/(COUNTIFS($S$5:$S$1000,$S61,$V$5:$V$1000,"Macro")*SUMIFS($H$5:$H$1000,$S$5:$S$1000,$S61,$V$5:$V$1000,"Macro")/COUNTIFS($S$5:$S$1000,$S61,$V$5:$V$1000,"Macro",$H$5:$H$1000,"&gt;0"))))</f>
        <v/>
      </c>
      <c r="AH61" s="62" t="n"/>
      <c r="AI61" s="62" t="n"/>
      <c r="AJ61" s="62" t="n"/>
      <c r="AK61" s="62" t="n"/>
      <c r="AL61" s="62">
        <f>IF(LEFT($C61,11)="[Jefatura] ",IFERROR(MATCH("Asistente Técnico de Riesgo|"&amp;MID($C61,12,500),rDname_ADM,0),0),"")</f>
        <v/>
      </c>
      <c r="AM61" s="62">
        <f>IF(N($AL61)&gt;0,INDEX(rIni_ADM,$AL61),IF(ISNUMBER($E61),$E61,""))</f>
        <v/>
      </c>
      <c r="AN61" s="62">
        <f>IF(N($AL61)&gt;0,INDEX(rLim_ADM,$AL61),IF(ISNUMBER($F61),$F61,""))</f>
        <v/>
      </c>
    </row>
    <row r="62">
      <c r="A62" s="56">
        <f>IF(NOT((COUNTA($B62:$D62)+COUNTA($G62:$L62)+COUNTA($Q62))&gt;0),"",IF($V62="Macro",COUNTIFS($V$5:$V62,"Macro",$S$5:$S62,$S62),IF(N($U62)=0,"?",COUNTIFS(INDEX($V$5:$V$1000,1):INDEX($V$5:$V$1000,$U62-4),"Macro",INDEX($S$5:$S$1000,1):INDEX($S$5:$S$1000,$U62-4),INDEX($S$5:$S$1000,$U62-4))&amp;"."&amp;COUNTIFS($U$5:$U62,$U62,$V$5:$V62,"Sub"))))</f>
        <v/>
      </c>
      <c r="B62" s="57" t="n"/>
      <c r="C62" s="58" t="n"/>
      <c r="D62" s="58" t="n"/>
      <c r="E62" s="59">
        <f>IF(N($AL62)&gt;0,INDEX(rIni_ADM,$AL62),"")</f>
        <v/>
      </c>
      <c r="F62" s="59">
        <f>IF(N($AL62)&gt;0,INDEX(rLim_ADM,$AL62),"")</f>
        <v/>
      </c>
      <c r="G62" s="59" t="n"/>
      <c r="H62" s="60" t="n"/>
      <c r="I62" s="60" t="n"/>
      <c r="J62" s="60" t="n"/>
      <c r="K62" s="60" t="n"/>
      <c r="L62" s="60" t="n"/>
      <c r="M62" s="61">
        <f>IF(NOT((COUNTA($B62:$D62)+COUNTA($G62:$L62)+COUNTA($Q62))&gt;0),"",IF($V62="Sub",IFERROR($X62/INDEX($W$5:$W$1000,$U62-4),""),IF(ISNUMBER($G62),1,IF(N($W62)&gt;0,AVERAGEIFS($X$5:$X$1000,$U$5:$U$1000,ROW(),$V$5:$V$1000,"Sub"),$X62))))</f>
        <v/>
      </c>
      <c r="N62" s="56">
        <f>IF(OR($M62="",$V62="Sub"),"",IF($M62&gt;=1,"Completado",IF($M62&gt;0,"En curso","Pendiente")))</f>
        <v/>
      </c>
      <c r="O62" s="56">
        <f>IF(OR(NOT((COUNTA($B62:$D62)+COUNTA($G62:$L62)+COUNTA($Q62))&gt;0),$V62="Sub"),"",IF(ISNUMBER($G62),IF(AND(ISNUMBER($AN62),$G62&gt;$AN62),"Cumplida con "&amp;($G62-$AN62)&amp;IF($G62-$AN62=1," día"," días")&amp;" de retraso","Cumplida"),IF(N($M62)&gt;=1,"Cumplida",IF(NOT(ISNUMBER($AN62)),"Sin fecha límite",IF($AN62&lt;FechaRef,"Vencida hace "&amp;(FechaRef-$AN62)&amp;IF(FechaRef-$AN62=1," día"," días"),IF($AN62=FechaRef,"Vence hoy",IF($AN62-FechaRef&lt;=DiasAlerta,"Vence en "&amp;($AN62-FechaRef)&amp;IF($AN62-FechaRef=1," día"," días"),"En plazo")))))))</f>
        <v/>
      </c>
      <c r="P62" s="62" t="n"/>
      <c r="Q62" s="58" t="n"/>
      <c r="R62" s="63">
        <f>IF(NOT((COUNTA($B62:$D62)+COUNTA($G62:$L62)+COUNTA($Q62))&gt;0),"",IF((IF($C62="","Falta el nombre de la actividad"&amp;" · ","")&amp;IF(AND($V62="Sub",N($U62)=0),"Subactividad sin macroactividad arriba"&amp;" · ","")&amp;IF($AM62="","Sin fecha de inicio"&amp;" · ","")&amp;IF($AN62="","Sin fecha límite"&amp;" · ","")&amp;IF(AND(LEFT($C62,11)="[Jefatura] ",N($AL62)=0),"No se encuentra en la hoja de la jefatura (elíjala de nuevo en la lista)"&amp;" · ","")&amp;IF(OR(AND($E62&lt;&gt;"",NOT(ISNUMBER($E62))),AND($F62&lt;&gt;"",NOT(ISNUMBER($F62))),AND($G62&lt;&gt;"",NOT(ISNUMBER($G62)))),"Fecha no válida"&amp;" · ","")&amp;IF(AND(ISNUMBER($AM62),ISNUMBER($AN62),$AM62&gt;$AN62),"Inicio posterior a fecha límite"&amp;" · ","")&amp;IF(AND($V62="Macro",$H62&lt;&gt;"",OR(NOT(ISNUMBER($H62)),$H62&lt;0,$H62&gt;1)),"Peso fuera de rango"&amp;" · ","")&amp;IF(AND($V62="Sub",$H62&lt;&gt;""),"Las subactividades no llevan peso (valen igual dentro de su macroactividad)"&amp;" · ","")&amp;IF(AND(N($W62)&gt;0,COUNT($I62:$L62)&gt;0),"Con subactividades: deje vacías las semanas (se calculan solas)"&amp;" · ","")&amp;IF((COUNTIF($I62:$L62,"&gt;1")+COUNTIF($I62:$L62,"&lt;0")+COUNTA($I62:$L62)-COUNT($I62:$L62))&gt;0,"Avance fuera de rango 0-100%"&amp;" · ","")&amp;IF(OR(AND($J62&lt;&gt;"",$J62&lt;$I62),AND($K62&lt;&gt;"",$K62&lt;MAX($I62:$J62)),AND($L62&lt;&gt;"",$L62&lt;MAX($I62:$K62))),"Avance semanal decreciente"&amp;" · ","")&amp;IF(AND(ISNUMBER($AN62),$AN62&lt;FechaRef,IF($V62="Sub",N($X62),N($M62))&lt;1),"Vencida"&amp;" · ","")&amp;IF(AND(ObsObligatoria="Sí",ISNUMBER($AN62),$AN62&lt;FechaRef,IF($V62="Sub",N($X62),N($M62))&lt;1,$Q62=""),"Vencida sin observación"&amp;" · ",""))="","✔ OK","⚠ "&amp;LEFT(IF($C62="","Falta el nombre de la actividad"&amp;" · ","")&amp;IF(AND($V62="Sub",N($U62)=0),"Subactividad sin macroactividad arriba"&amp;" · ","")&amp;IF($AM62="","Sin fecha de inicio"&amp;" · ","")&amp;IF($AN62="","Sin fecha límite"&amp;" · ","")&amp;IF(AND(LEFT($C62,11)="[Jefatura] ",N($AL62)=0),"No se encuentra en la hoja de la jefatura (elíjala de nuevo en la lista)"&amp;" · ","")&amp;IF(OR(AND($E62&lt;&gt;"",NOT(ISNUMBER($E62))),AND($F62&lt;&gt;"",NOT(ISNUMBER($F62))),AND($G62&lt;&gt;"",NOT(ISNUMBER($G62)))),"Fecha no válida"&amp;" · ","")&amp;IF(AND(ISNUMBER($AM62),ISNUMBER($AN62),$AM62&gt;$AN62),"Inicio posterior a fecha límite"&amp;" · ","")&amp;IF(AND($V62="Macro",$H62&lt;&gt;"",OR(NOT(ISNUMBER($H62)),$H62&lt;0,$H62&gt;1)),"Peso fuera de rango"&amp;" · ","")&amp;IF(AND($V62="Sub",$H62&lt;&gt;""),"Las subactividades no llevan peso (valen igual dentro de su macroactividad)"&amp;" · ","")&amp;IF(AND(N($W62)&gt;0,COUNT($I62:$L62)&gt;0),"Con subactividades: deje vacías las semanas (se calculan solas)"&amp;" · ","")&amp;IF((COUNTIF($I62:$L62,"&gt;1")+COUNTIF($I62:$L62,"&lt;0")+COUNTA($I62:$L62)-COUNT($I62:$L62))&gt;0,"Avance fuera de rango 0-100%"&amp;" · ","")&amp;IF(OR(AND($J62&lt;&gt;"",$J62&lt;$I62),AND($K62&lt;&gt;"",$K62&lt;MAX($I62:$J62)),AND($L62&lt;&gt;"",$L62&lt;MAX($I62:$K62))),"Avance semanal decreciente"&amp;" · ","")&amp;IF(AND(ISNUMBER($AN62),$AN62&lt;FechaRef,IF($V62="Sub",N($X62),N($M62))&lt;1),"Vencida"&amp;" · ","")&amp;IF(AND(ObsObligatoria="Sí",ISNUMBER($AN62),$AN62&lt;FechaRef,IF($V62="Sub",N($X62),N($M62))&lt;1,$Q62=""),"Vencida sin observación"&amp;" · ",""),LEN(IF($C62="","Falta el nombre de la actividad"&amp;" · ","")&amp;IF(AND($V62="Sub",N($U62)=0),"Subactividad sin macroactividad arriba"&amp;" · ","")&amp;IF($AM62="","Sin fecha de inicio"&amp;" · ","")&amp;IF($AN62="","Sin fecha límite"&amp;" · ","")&amp;IF(AND(LEFT($C62,11)="[Jefatura] ",N($AL62)=0),"No se encuentra en la hoja de la jefatura (elíjala de nuevo en la lista)"&amp;" · ","")&amp;IF(OR(AND($E62&lt;&gt;"",NOT(ISNUMBER($E62))),AND($F62&lt;&gt;"",NOT(ISNUMBER($F62))),AND($G62&lt;&gt;"",NOT(ISNUMBER($G62)))),"Fecha no válida"&amp;" · ","")&amp;IF(AND(ISNUMBER($AM62),ISNUMBER($AN62),$AM62&gt;$AN62),"Inicio posterior a fecha límite"&amp;" · ","")&amp;IF(AND($V62="Macro",$H62&lt;&gt;"",OR(NOT(ISNUMBER($H62)),$H62&lt;0,$H62&gt;1)),"Peso fuera de rango"&amp;" · ","")&amp;IF(AND($V62="Sub",$H62&lt;&gt;""),"Las subactividades no llevan peso (valen igual dentro de su macroactividad)"&amp;" · ","")&amp;IF(AND(N($W62)&gt;0,COUNT($I62:$L62)&gt;0),"Con subactividades: deje vacías las semanas (se calculan solas)"&amp;" · ","")&amp;IF((COUNTIF($I62:$L62,"&gt;1")+COUNTIF($I62:$L62,"&lt;0")+COUNTA($I62:$L62)-COUNT($I62:$L62))&gt;0,"Avance fuera de rango 0-100%"&amp;" · ","")&amp;IF(OR(AND($J62&lt;&gt;"",$J62&lt;$I62),AND($K62&lt;&gt;"",$K62&lt;MAX($I62:$J62)),AND($L62&lt;&gt;"",$L62&lt;MAX($I62:$K62))),"Avance semanal decreciente"&amp;" · ","")&amp;IF(AND(ISNUMBER($AN62),$AN62&lt;FechaRef,IF($V62="Sub",N($X62),N($M62))&lt;1),"Vencida"&amp;" · ","")&amp;IF(AND(ObsObligatoria="Sí",ISNUMBER($AN62),$AN62&lt;FechaRef,IF($V62="Sub",N($X62),N($M62))&lt;1,$Q62=""),"Vencida sin observación"&amp;" · ",""))-3)))</f>
        <v/>
      </c>
      <c r="S62" s="64">
        <f>IF(NOT((COUNTA($B62:$D62)+COUNTA($G62:$L62)+COUNTA($Q62))&gt;0),"",IF(AND($V62="Sub",N($U62)&gt;0),IF(ISNUMBER(INDEX($AM$5:$AM$1000,$U62-4)),DATE(YEAR(INDEX($AM$5:$AM$1000,$U62-4)),MONTH(INDEX($AM$5:$AM$1000,$U62-4)),1),IF(ISNUMBER(INDEX($AN$5:$AN$1000,$U62-4)),DATE(YEAR(INDEX($AN$5:$AN$1000,$U62-4)),MONTH(INDEX($AN$5:$AN$1000,$U62-4)),1),MesCiclo)),IF(ISNUMBER($AM62),DATE(YEAR($AM62),MONTH($AM62),1),IF(ISNUMBER($AN62),DATE(YEAR($AN62),MONTH($AN62),1),MesCiclo))))</f>
        <v/>
      </c>
      <c r="T62" s="62">
        <f>IF(OR($S62="",$S62&lt;&gt;MesCiclo,$V62&lt;&gt;"Macro"),"",COUNTIFS($S$5:$S62,MesCiclo,$V$5:$V62,"Macro"))</f>
        <v/>
      </c>
      <c r="U62" s="62">
        <f>IF($V62="","",IF($V62="Macro",ROW(),IFERROR(LOOKUP(2,1/($V$5:$V62="Macro"),ROW($V$5:$V62)),0)))</f>
        <v/>
      </c>
      <c r="V62" s="62">
        <f>IF(NOT((COUNTA($B62:$D62)+COUNTA($G62:$L62)+COUNTA($Q62))&gt;0),"",IF($B62="Subactividad","Sub","Macro"))</f>
        <v/>
      </c>
      <c r="W62" s="62">
        <f>IF($V62="Macro",COUNTIFS($U$5:$U$1000,ROW(),$V$5:$V$1000,"Sub"),"")</f>
        <v/>
      </c>
      <c r="X62" s="62">
        <f>IF($V62="","",IF(ISNUMBER($G62),1,IFERROR(LOOKUP(2,1/($I62:$L62&lt;&gt;""),$I62:$L62),0)))</f>
        <v/>
      </c>
      <c r="Y62" s="62">
        <f>IF($V62="","",IF(AND(ISNUMBER($G62),$G62&lt;=IF($S62=MesCiclo,InicioCiclo,$S62+MOD(2-WEEKDAY($S62),7))+6),1,IF(ISNUMBER($I62),$I62,0)))</f>
        <v/>
      </c>
      <c r="Z62" s="62">
        <f>IF($V62="","",IF(AND(ISNUMBER($G62),$G62&lt;=IF($S62=MesCiclo,InicioCiclo,$S62+MOD(2-WEEKDAY($S62),7))+13),1,IF(ISNUMBER($J62),$J62,$Y62)))</f>
        <v/>
      </c>
      <c r="AA62" s="62">
        <f>IF($V62="","",IF(AND(ISNUMBER($G62),$G62&lt;=IF($S62=MesCiclo,InicioCiclo,$S62+MOD(2-WEEKDAY($S62),7))+20),1,IF(ISNUMBER($K62),$K62,$Z62)))</f>
        <v/>
      </c>
      <c r="AB62" s="62">
        <f>IF($V62="","",IF(AND(ISNUMBER($G62),$G62&lt;=IF($S62=MesCiclo,InicioCiclo,$S62+MOD(2-WEEKDAY($S62),7))+27),1,IF(ISNUMBER($L62),$L62,$AA62)))</f>
        <v/>
      </c>
      <c r="AC62" s="62">
        <f>IF($V62="","",IF(AND(ISNUMBER($G62),$G62&lt;=IF($S62=MesCiclo,InicioCiclo,$S62+MOD(2-WEEKDAY($S62),7))+6),1,IF(N($W62)&gt;0,AVERAGEIFS($Y$5:$Y$1000,$U$5:$U$1000,ROW(),$V$5:$V$1000,"Sub"),$Y62)))</f>
        <v/>
      </c>
      <c r="AD62" s="62">
        <f>IF($V62="","",IF(AND(ISNUMBER($G62),$G62&lt;=IF($S62=MesCiclo,InicioCiclo,$S62+MOD(2-WEEKDAY($S62),7))+13),1,IF(N($W62)&gt;0,AVERAGEIFS($Z$5:$Z$1000,$U$5:$U$1000,ROW(),$V$5:$V$1000,"Sub"),$Z62)))</f>
        <v/>
      </c>
      <c r="AE62" s="62">
        <f>IF($V62="","",IF(AND(ISNUMBER($G62),$G62&lt;=IF($S62=MesCiclo,InicioCiclo,$S62+MOD(2-WEEKDAY($S62),7))+20),1,IF(N($W62)&gt;0,AVERAGEIFS($AA$5:$AA$1000,$U$5:$U$1000,ROW(),$V$5:$V$1000,"Sub"),$AA62)))</f>
        <v/>
      </c>
      <c r="AF62" s="62">
        <f>IF($V62="","",IF(AND(ISNUMBER($G62),$G62&lt;=IF($S62=MesCiclo,InicioCiclo,$S62+MOD(2-WEEKDAY($S62),7))+27),1,IF(N($W62)&gt;0,AVERAGEIFS($AB$5:$AB$1000,$U$5:$U$1000,ROW(),$V$5:$V$1000,"Sub"),$AB62)))</f>
        <v/>
      </c>
      <c r="AG62" s="62">
        <f>IF($V62&lt;&gt;"Macro","",IF(COUNTIFS($S$5:$S$1000,$S62,$V$5:$V$1000,"Macro",$H$5:$H$1000,"&gt;0")=0,1/COUNTIFS($S$5:$S$1000,$S62,$V$5:$V$1000,"Macro"),IF(AND(ISNUMBER($H62),N($H62)&gt;0),$H62,SUMIFS($H$5:$H$1000,$S$5:$S$1000,$S62,$V$5:$V$1000,"Macro")/COUNTIFS($S$5:$S$1000,$S62,$V$5:$V$1000,"Macro",$H$5:$H$1000,"&gt;0"))/(COUNTIFS($S$5:$S$1000,$S62,$V$5:$V$1000,"Macro")*SUMIFS($H$5:$H$1000,$S$5:$S$1000,$S62,$V$5:$V$1000,"Macro")/COUNTIFS($S$5:$S$1000,$S62,$V$5:$V$1000,"Macro",$H$5:$H$1000,"&gt;0"))))</f>
        <v/>
      </c>
      <c r="AH62" s="62" t="n"/>
      <c r="AI62" s="62" t="n"/>
      <c r="AJ62" s="62" t="n"/>
      <c r="AK62" s="62" t="n"/>
      <c r="AL62" s="62">
        <f>IF(LEFT($C62,11)="[Jefatura] ",IFERROR(MATCH("Asistente Técnico de Riesgo|"&amp;MID($C62,12,500),rDname_ADM,0),0),"")</f>
        <v/>
      </c>
      <c r="AM62" s="62">
        <f>IF(N($AL62)&gt;0,INDEX(rIni_ADM,$AL62),IF(ISNUMBER($E62),$E62,""))</f>
        <v/>
      </c>
      <c r="AN62" s="62">
        <f>IF(N($AL62)&gt;0,INDEX(rLim_ADM,$AL62),IF(ISNUMBER($F62),$F62,""))</f>
        <v/>
      </c>
    </row>
    <row r="63">
      <c r="A63" s="56">
        <f>IF(NOT((COUNTA($B63:$D63)+COUNTA($G63:$L63)+COUNTA($Q63))&gt;0),"",IF($V63="Macro",COUNTIFS($V$5:$V63,"Macro",$S$5:$S63,$S63),IF(N($U63)=0,"?",COUNTIFS(INDEX($V$5:$V$1000,1):INDEX($V$5:$V$1000,$U63-4),"Macro",INDEX($S$5:$S$1000,1):INDEX($S$5:$S$1000,$U63-4),INDEX($S$5:$S$1000,$U63-4))&amp;"."&amp;COUNTIFS($U$5:$U63,$U63,$V$5:$V63,"Sub"))))</f>
        <v/>
      </c>
      <c r="B63" s="57" t="n"/>
      <c r="C63" s="58" t="n"/>
      <c r="D63" s="58" t="n"/>
      <c r="E63" s="59">
        <f>IF(N($AL63)&gt;0,INDEX(rIni_ADM,$AL63),"")</f>
        <v/>
      </c>
      <c r="F63" s="59">
        <f>IF(N($AL63)&gt;0,INDEX(rLim_ADM,$AL63),"")</f>
        <v/>
      </c>
      <c r="G63" s="59" t="n"/>
      <c r="H63" s="60" t="n"/>
      <c r="I63" s="60" t="n"/>
      <c r="J63" s="60" t="n"/>
      <c r="K63" s="60" t="n"/>
      <c r="L63" s="60" t="n"/>
      <c r="M63" s="61">
        <f>IF(NOT((COUNTA($B63:$D63)+COUNTA($G63:$L63)+COUNTA($Q63))&gt;0),"",IF($V63="Sub",IFERROR($X63/INDEX($W$5:$W$1000,$U63-4),""),IF(ISNUMBER($G63),1,IF(N($W63)&gt;0,AVERAGEIFS($X$5:$X$1000,$U$5:$U$1000,ROW(),$V$5:$V$1000,"Sub"),$X63))))</f>
        <v/>
      </c>
      <c r="N63" s="56">
        <f>IF(OR($M63="",$V63="Sub"),"",IF($M63&gt;=1,"Completado",IF($M63&gt;0,"En curso","Pendiente")))</f>
        <v/>
      </c>
      <c r="O63" s="56">
        <f>IF(OR(NOT((COUNTA($B63:$D63)+COUNTA($G63:$L63)+COUNTA($Q63))&gt;0),$V63="Sub"),"",IF(ISNUMBER($G63),IF(AND(ISNUMBER($AN63),$G63&gt;$AN63),"Cumplida con "&amp;($G63-$AN63)&amp;IF($G63-$AN63=1," día"," días")&amp;" de retraso","Cumplida"),IF(N($M63)&gt;=1,"Cumplida",IF(NOT(ISNUMBER($AN63)),"Sin fecha límite",IF($AN63&lt;FechaRef,"Vencida hace "&amp;(FechaRef-$AN63)&amp;IF(FechaRef-$AN63=1," día"," días"),IF($AN63=FechaRef,"Vence hoy",IF($AN63-FechaRef&lt;=DiasAlerta,"Vence en "&amp;($AN63-FechaRef)&amp;IF($AN63-FechaRef=1," día"," días"),"En plazo")))))))</f>
        <v/>
      </c>
      <c r="P63" s="62" t="n"/>
      <c r="Q63" s="58" t="n"/>
      <c r="R63" s="63">
        <f>IF(NOT((COUNTA($B63:$D63)+COUNTA($G63:$L63)+COUNTA($Q63))&gt;0),"",IF((IF($C63="","Falta el nombre de la actividad"&amp;" · ","")&amp;IF(AND($V63="Sub",N($U63)=0),"Subactividad sin macroactividad arriba"&amp;" · ","")&amp;IF($AM63="","Sin fecha de inicio"&amp;" · ","")&amp;IF($AN63="","Sin fecha límite"&amp;" · ","")&amp;IF(AND(LEFT($C63,11)="[Jefatura] ",N($AL63)=0),"No se encuentra en la hoja de la jefatura (elíjala de nuevo en la lista)"&amp;" · ","")&amp;IF(OR(AND($E63&lt;&gt;"",NOT(ISNUMBER($E63))),AND($F63&lt;&gt;"",NOT(ISNUMBER($F63))),AND($G63&lt;&gt;"",NOT(ISNUMBER($G63)))),"Fecha no válida"&amp;" · ","")&amp;IF(AND(ISNUMBER($AM63),ISNUMBER($AN63),$AM63&gt;$AN63),"Inicio posterior a fecha límite"&amp;" · ","")&amp;IF(AND($V63="Macro",$H63&lt;&gt;"",OR(NOT(ISNUMBER($H63)),$H63&lt;0,$H63&gt;1)),"Peso fuera de rango"&amp;" · ","")&amp;IF(AND($V63="Sub",$H63&lt;&gt;""),"Las subactividades no llevan peso (valen igual dentro de su macroactividad)"&amp;" · ","")&amp;IF(AND(N($W63)&gt;0,COUNT($I63:$L63)&gt;0),"Con subactividades: deje vacías las semanas (se calculan solas)"&amp;" · ","")&amp;IF((COUNTIF($I63:$L63,"&gt;1")+COUNTIF($I63:$L63,"&lt;0")+COUNTA($I63:$L63)-COUNT($I63:$L63))&gt;0,"Avance fuera de rango 0-100%"&amp;" · ","")&amp;IF(OR(AND($J63&lt;&gt;"",$J63&lt;$I63),AND($K63&lt;&gt;"",$K63&lt;MAX($I63:$J63)),AND($L63&lt;&gt;"",$L63&lt;MAX($I63:$K63))),"Avance semanal decreciente"&amp;" · ","")&amp;IF(AND(ISNUMBER($AN63),$AN63&lt;FechaRef,IF($V63="Sub",N($X63),N($M63))&lt;1),"Vencida"&amp;" · ","")&amp;IF(AND(ObsObligatoria="Sí",ISNUMBER($AN63),$AN63&lt;FechaRef,IF($V63="Sub",N($X63),N($M63))&lt;1,$Q63=""),"Vencida sin observación"&amp;" · ",""))="","✔ OK","⚠ "&amp;LEFT(IF($C63="","Falta el nombre de la actividad"&amp;" · ","")&amp;IF(AND($V63="Sub",N($U63)=0),"Subactividad sin macroactividad arriba"&amp;" · ","")&amp;IF($AM63="","Sin fecha de inicio"&amp;" · ","")&amp;IF($AN63="","Sin fecha límite"&amp;" · ","")&amp;IF(AND(LEFT($C63,11)="[Jefatura] ",N($AL63)=0),"No se encuentra en la hoja de la jefatura (elíjala de nuevo en la lista)"&amp;" · ","")&amp;IF(OR(AND($E63&lt;&gt;"",NOT(ISNUMBER($E63))),AND($F63&lt;&gt;"",NOT(ISNUMBER($F63))),AND($G63&lt;&gt;"",NOT(ISNUMBER($G63)))),"Fecha no válida"&amp;" · ","")&amp;IF(AND(ISNUMBER($AM63),ISNUMBER($AN63),$AM63&gt;$AN63),"Inicio posterior a fecha límite"&amp;" · ","")&amp;IF(AND($V63="Macro",$H63&lt;&gt;"",OR(NOT(ISNUMBER($H63)),$H63&lt;0,$H63&gt;1)),"Peso fuera de rango"&amp;" · ","")&amp;IF(AND($V63="Sub",$H63&lt;&gt;""),"Las subactividades no llevan peso (valen igual dentro de su macroactividad)"&amp;" · ","")&amp;IF(AND(N($W63)&gt;0,COUNT($I63:$L63)&gt;0),"Con subactividades: deje vacías las semanas (se calculan solas)"&amp;" · ","")&amp;IF((COUNTIF($I63:$L63,"&gt;1")+COUNTIF($I63:$L63,"&lt;0")+COUNTA($I63:$L63)-COUNT($I63:$L63))&gt;0,"Avance fuera de rango 0-100%"&amp;" · ","")&amp;IF(OR(AND($J63&lt;&gt;"",$J63&lt;$I63),AND($K63&lt;&gt;"",$K63&lt;MAX($I63:$J63)),AND($L63&lt;&gt;"",$L63&lt;MAX($I63:$K63))),"Avance semanal decreciente"&amp;" · ","")&amp;IF(AND(ISNUMBER($AN63),$AN63&lt;FechaRef,IF($V63="Sub",N($X63),N($M63))&lt;1),"Vencida"&amp;" · ","")&amp;IF(AND(ObsObligatoria="Sí",ISNUMBER($AN63),$AN63&lt;FechaRef,IF($V63="Sub",N($X63),N($M63))&lt;1,$Q63=""),"Vencida sin observación"&amp;" · ",""),LEN(IF($C63="","Falta el nombre de la actividad"&amp;" · ","")&amp;IF(AND($V63="Sub",N($U63)=0),"Subactividad sin macroactividad arriba"&amp;" · ","")&amp;IF($AM63="","Sin fecha de inicio"&amp;" · ","")&amp;IF($AN63="","Sin fecha límite"&amp;" · ","")&amp;IF(AND(LEFT($C63,11)="[Jefatura] ",N($AL63)=0),"No se encuentra en la hoja de la jefatura (elíjala de nuevo en la lista)"&amp;" · ","")&amp;IF(OR(AND($E63&lt;&gt;"",NOT(ISNUMBER($E63))),AND($F63&lt;&gt;"",NOT(ISNUMBER($F63))),AND($G63&lt;&gt;"",NOT(ISNUMBER($G63)))),"Fecha no válida"&amp;" · ","")&amp;IF(AND(ISNUMBER($AM63),ISNUMBER($AN63),$AM63&gt;$AN63),"Inicio posterior a fecha límite"&amp;" · ","")&amp;IF(AND($V63="Macro",$H63&lt;&gt;"",OR(NOT(ISNUMBER($H63)),$H63&lt;0,$H63&gt;1)),"Peso fuera de rango"&amp;" · ","")&amp;IF(AND($V63="Sub",$H63&lt;&gt;""),"Las subactividades no llevan peso (valen igual dentro de su macroactividad)"&amp;" · ","")&amp;IF(AND(N($W63)&gt;0,COUNT($I63:$L63)&gt;0),"Con subactividades: deje vacías las semanas (se calculan solas)"&amp;" · ","")&amp;IF((COUNTIF($I63:$L63,"&gt;1")+COUNTIF($I63:$L63,"&lt;0")+COUNTA($I63:$L63)-COUNT($I63:$L63))&gt;0,"Avance fuera de rango 0-100%"&amp;" · ","")&amp;IF(OR(AND($J63&lt;&gt;"",$J63&lt;$I63),AND($K63&lt;&gt;"",$K63&lt;MAX($I63:$J63)),AND($L63&lt;&gt;"",$L63&lt;MAX($I63:$K63))),"Avance semanal decreciente"&amp;" · ","")&amp;IF(AND(ISNUMBER($AN63),$AN63&lt;FechaRef,IF($V63="Sub",N($X63),N($M63))&lt;1),"Vencida"&amp;" · ","")&amp;IF(AND(ObsObligatoria="Sí",ISNUMBER($AN63),$AN63&lt;FechaRef,IF($V63="Sub",N($X63),N($M63))&lt;1,$Q63=""),"Vencida sin observación"&amp;" · ",""))-3)))</f>
        <v/>
      </c>
      <c r="S63" s="64">
        <f>IF(NOT((COUNTA($B63:$D63)+COUNTA($G63:$L63)+COUNTA($Q63))&gt;0),"",IF(AND($V63="Sub",N($U63)&gt;0),IF(ISNUMBER(INDEX($AM$5:$AM$1000,$U63-4)),DATE(YEAR(INDEX($AM$5:$AM$1000,$U63-4)),MONTH(INDEX($AM$5:$AM$1000,$U63-4)),1),IF(ISNUMBER(INDEX($AN$5:$AN$1000,$U63-4)),DATE(YEAR(INDEX($AN$5:$AN$1000,$U63-4)),MONTH(INDEX($AN$5:$AN$1000,$U63-4)),1),MesCiclo)),IF(ISNUMBER($AM63),DATE(YEAR($AM63),MONTH($AM63),1),IF(ISNUMBER($AN63),DATE(YEAR($AN63),MONTH($AN63),1),MesCiclo))))</f>
        <v/>
      </c>
      <c r="T63" s="62">
        <f>IF(OR($S63="",$S63&lt;&gt;MesCiclo,$V63&lt;&gt;"Macro"),"",COUNTIFS($S$5:$S63,MesCiclo,$V$5:$V63,"Macro"))</f>
        <v/>
      </c>
      <c r="U63" s="62">
        <f>IF($V63="","",IF($V63="Macro",ROW(),IFERROR(LOOKUP(2,1/($V$5:$V63="Macro"),ROW($V$5:$V63)),0)))</f>
        <v/>
      </c>
      <c r="V63" s="62">
        <f>IF(NOT((COUNTA($B63:$D63)+COUNTA($G63:$L63)+COUNTA($Q63))&gt;0),"",IF($B63="Subactividad","Sub","Macro"))</f>
        <v/>
      </c>
      <c r="W63" s="62">
        <f>IF($V63="Macro",COUNTIFS($U$5:$U$1000,ROW(),$V$5:$V$1000,"Sub"),"")</f>
        <v/>
      </c>
      <c r="X63" s="62">
        <f>IF($V63="","",IF(ISNUMBER($G63),1,IFERROR(LOOKUP(2,1/($I63:$L63&lt;&gt;""),$I63:$L63),0)))</f>
        <v/>
      </c>
      <c r="Y63" s="62">
        <f>IF($V63="","",IF(AND(ISNUMBER($G63),$G63&lt;=IF($S63=MesCiclo,InicioCiclo,$S63+MOD(2-WEEKDAY($S63),7))+6),1,IF(ISNUMBER($I63),$I63,0)))</f>
        <v/>
      </c>
      <c r="Z63" s="62">
        <f>IF($V63="","",IF(AND(ISNUMBER($G63),$G63&lt;=IF($S63=MesCiclo,InicioCiclo,$S63+MOD(2-WEEKDAY($S63),7))+13),1,IF(ISNUMBER($J63),$J63,$Y63)))</f>
        <v/>
      </c>
      <c r="AA63" s="62">
        <f>IF($V63="","",IF(AND(ISNUMBER($G63),$G63&lt;=IF($S63=MesCiclo,InicioCiclo,$S63+MOD(2-WEEKDAY($S63),7))+20),1,IF(ISNUMBER($K63),$K63,$Z63)))</f>
        <v/>
      </c>
      <c r="AB63" s="62">
        <f>IF($V63="","",IF(AND(ISNUMBER($G63),$G63&lt;=IF($S63=MesCiclo,InicioCiclo,$S63+MOD(2-WEEKDAY($S63),7))+27),1,IF(ISNUMBER($L63),$L63,$AA63)))</f>
        <v/>
      </c>
      <c r="AC63" s="62">
        <f>IF($V63="","",IF(AND(ISNUMBER($G63),$G63&lt;=IF($S63=MesCiclo,InicioCiclo,$S63+MOD(2-WEEKDAY($S63),7))+6),1,IF(N($W63)&gt;0,AVERAGEIFS($Y$5:$Y$1000,$U$5:$U$1000,ROW(),$V$5:$V$1000,"Sub"),$Y63)))</f>
        <v/>
      </c>
      <c r="AD63" s="62">
        <f>IF($V63="","",IF(AND(ISNUMBER($G63),$G63&lt;=IF($S63=MesCiclo,InicioCiclo,$S63+MOD(2-WEEKDAY($S63),7))+13),1,IF(N($W63)&gt;0,AVERAGEIFS($Z$5:$Z$1000,$U$5:$U$1000,ROW(),$V$5:$V$1000,"Sub"),$Z63)))</f>
        <v/>
      </c>
      <c r="AE63" s="62">
        <f>IF($V63="","",IF(AND(ISNUMBER($G63),$G63&lt;=IF($S63=MesCiclo,InicioCiclo,$S63+MOD(2-WEEKDAY($S63),7))+20),1,IF(N($W63)&gt;0,AVERAGEIFS($AA$5:$AA$1000,$U$5:$U$1000,ROW(),$V$5:$V$1000,"Sub"),$AA63)))</f>
        <v/>
      </c>
      <c r="AF63" s="62">
        <f>IF($V63="","",IF(AND(ISNUMBER($G63),$G63&lt;=IF($S63=MesCiclo,InicioCiclo,$S63+MOD(2-WEEKDAY($S63),7))+27),1,IF(N($W63)&gt;0,AVERAGEIFS($AB$5:$AB$1000,$U$5:$U$1000,ROW(),$V$5:$V$1000,"Sub"),$AB63)))</f>
        <v/>
      </c>
      <c r="AG63" s="62">
        <f>IF($V63&lt;&gt;"Macro","",IF(COUNTIFS($S$5:$S$1000,$S63,$V$5:$V$1000,"Macro",$H$5:$H$1000,"&gt;0")=0,1/COUNTIFS($S$5:$S$1000,$S63,$V$5:$V$1000,"Macro"),IF(AND(ISNUMBER($H63),N($H63)&gt;0),$H63,SUMIFS($H$5:$H$1000,$S$5:$S$1000,$S63,$V$5:$V$1000,"Macro")/COUNTIFS($S$5:$S$1000,$S63,$V$5:$V$1000,"Macro",$H$5:$H$1000,"&gt;0"))/(COUNTIFS($S$5:$S$1000,$S63,$V$5:$V$1000,"Macro")*SUMIFS($H$5:$H$1000,$S$5:$S$1000,$S63,$V$5:$V$1000,"Macro")/COUNTIFS($S$5:$S$1000,$S63,$V$5:$V$1000,"Macro",$H$5:$H$1000,"&gt;0"))))</f>
        <v/>
      </c>
      <c r="AH63" s="62" t="n"/>
      <c r="AI63" s="62" t="n"/>
      <c r="AJ63" s="62" t="n"/>
      <c r="AK63" s="62" t="n"/>
      <c r="AL63" s="62">
        <f>IF(LEFT($C63,11)="[Jefatura] ",IFERROR(MATCH("Asistente Técnico de Riesgo|"&amp;MID($C63,12,500),rDname_ADM,0),0),"")</f>
        <v/>
      </c>
      <c r="AM63" s="62">
        <f>IF(N($AL63)&gt;0,INDEX(rIni_ADM,$AL63),IF(ISNUMBER($E63),$E63,""))</f>
        <v/>
      </c>
      <c r="AN63" s="62">
        <f>IF(N($AL63)&gt;0,INDEX(rLim_ADM,$AL63),IF(ISNUMBER($F63),$F63,""))</f>
        <v/>
      </c>
    </row>
    <row r="64">
      <c r="A64" s="56">
        <f>IF(NOT((COUNTA($B64:$D64)+COUNTA($G64:$L64)+COUNTA($Q64))&gt;0),"",IF($V64="Macro",COUNTIFS($V$5:$V64,"Macro",$S$5:$S64,$S64),IF(N($U64)=0,"?",COUNTIFS(INDEX($V$5:$V$1000,1):INDEX($V$5:$V$1000,$U64-4),"Macro",INDEX($S$5:$S$1000,1):INDEX($S$5:$S$1000,$U64-4),INDEX($S$5:$S$1000,$U64-4))&amp;"."&amp;COUNTIFS($U$5:$U64,$U64,$V$5:$V64,"Sub"))))</f>
        <v/>
      </c>
      <c r="B64" s="57" t="n"/>
      <c r="C64" s="58" t="n"/>
      <c r="D64" s="58" t="n"/>
      <c r="E64" s="59">
        <f>IF(N($AL64)&gt;0,INDEX(rIni_ADM,$AL64),"")</f>
        <v/>
      </c>
      <c r="F64" s="59">
        <f>IF(N($AL64)&gt;0,INDEX(rLim_ADM,$AL64),"")</f>
        <v/>
      </c>
      <c r="G64" s="59" t="n"/>
      <c r="H64" s="60" t="n"/>
      <c r="I64" s="60" t="n"/>
      <c r="J64" s="60" t="n"/>
      <c r="K64" s="60" t="n"/>
      <c r="L64" s="60" t="n"/>
      <c r="M64" s="61">
        <f>IF(NOT((COUNTA($B64:$D64)+COUNTA($G64:$L64)+COUNTA($Q64))&gt;0),"",IF($V64="Sub",IFERROR($X64/INDEX($W$5:$W$1000,$U64-4),""),IF(ISNUMBER($G64),1,IF(N($W64)&gt;0,AVERAGEIFS($X$5:$X$1000,$U$5:$U$1000,ROW(),$V$5:$V$1000,"Sub"),$X64))))</f>
        <v/>
      </c>
      <c r="N64" s="56">
        <f>IF(OR($M64="",$V64="Sub"),"",IF($M64&gt;=1,"Completado",IF($M64&gt;0,"En curso","Pendiente")))</f>
        <v/>
      </c>
      <c r="O64" s="56">
        <f>IF(OR(NOT((COUNTA($B64:$D64)+COUNTA($G64:$L64)+COUNTA($Q64))&gt;0),$V64="Sub"),"",IF(ISNUMBER($G64),IF(AND(ISNUMBER($AN64),$G64&gt;$AN64),"Cumplida con "&amp;($G64-$AN64)&amp;IF($G64-$AN64=1," día"," días")&amp;" de retraso","Cumplida"),IF(N($M64)&gt;=1,"Cumplida",IF(NOT(ISNUMBER($AN64)),"Sin fecha límite",IF($AN64&lt;FechaRef,"Vencida hace "&amp;(FechaRef-$AN64)&amp;IF(FechaRef-$AN64=1," día"," días"),IF($AN64=FechaRef,"Vence hoy",IF($AN64-FechaRef&lt;=DiasAlerta,"Vence en "&amp;($AN64-FechaRef)&amp;IF($AN64-FechaRef=1," día"," días"),"En plazo")))))))</f>
        <v/>
      </c>
      <c r="P64" s="62" t="n"/>
      <c r="Q64" s="58" t="n"/>
      <c r="R64" s="63">
        <f>IF(NOT((COUNTA($B64:$D64)+COUNTA($G64:$L64)+COUNTA($Q64))&gt;0),"",IF((IF($C64="","Falta el nombre de la actividad"&amp;" · ","")&amp;IF(AND($V64="Sub",N($U64)=0),"Subactividad sin macroactividad arriba"&amp;" · ","")&amp;IF($AM64="","Sin fecha de inicio"&amp;" · ","")&amp;IF($AN64="","Sin fecha límite"&amp;" · ","")&amp;IF(AND(LEFT($C64,11)="[Jefatura] ",N($AL64)=0),"No se encuentra en la hoja de la jefatura (elíjala de nuevo en la lista)"&amp;" · ","")&amp;IF(OR(AND($E64&lt;&gt;"",NOT(ISNUMBER($E64))),AND($F64&lt;&gt;"",NOT(ISNUMBER($F64))),AND($G64&lt;&gt;"",NOT(ISNUMBER($G64)))),"Fecha no válida"&amp;" · ","")&amp;IF(AND(ISNUMBER($AM64),ISNUMBER($AN64),$AM64&gt;$AN64),"Inicio posterior a fecha límite"&amp;" · ","")&amp;IF(AND($V64="Macro",$H64&lt;&gt;"",OR(NOT(ISNUMBER($H64)),$H64&lt;0,$H64&gt;1)),"Peso fuera de rango"&amp;" · ","")&amp;IF(AND($V64="Sub",$H64&lt;&gt;""),"Las subactividades no llevan peso (valen igual dentro de su macroactividad)"&amp;" · ","")&amp;IF(AND(N($W64)&gt;0,COUNT($I64:$L64)&gt;0),"Con subactividades: deje vacías las semanas (se calculan solas)"&amp;" · ","")&amp;IF((COUNTIF($I64:$L64,"&gt;1")+COUNTIF($I64:$L64,"&lt;0")+COUNTA($I64:$L64)-COUNT($I64:$L64))&gt;0,"Avance fuera de rango 0-100%"&amp;" · ","")&amp;IF(OR(AND($J64&lt;&gt;"",$J64&lt;$I64),AND($K64&lt;&gt;"",$K64&lt;MAX($I64:$J64)),AND($L64&lt;&gt;"",$L64&lt;MAX($I64:$K64))),"Avance semanal decreciente"&amp;" · ","")&amp;IF(AND(ISNUMBER($AN64),$AN64&lt;FechaRef,IF($V64="Sub",N($X64),N($M64))&lt;1),"Vencida"&amp;" · ","")&amp;IF(AND(ObsObligatoria="Sí",ISNUMBER($AN64),$AN64&lt;FechaRef,IF($V64="Sub",N($X64),N($M64))&lt;1,$Q64=""),"Vencida sin observación"&amp;" · ",""))="","✔ OK","⚠ "&amp;LEFT(IF($C64="","Falta el nombre de la actividad"&amp;" · ","")&amp;IF(AND($V64="Sub",N($U64)=0),"Subactividad sin macroactividad arriba"&amp;" · ","")&amp;IF($AM64="","Sin fecha de inicio"&amp;" · ","")&amp;IF($AN64="","Sin fecha límite"&amp;" · ","")&amp;IF(AND(LEFT($C64,11)="[Jefatura] ",N($AL64)=0),"No se encuentra en la hoja de la jefatura (elíjala de nuevo en la lista)"&amp;" · ","")&amp;IF(OR(AND($E64&lt;&gt;"",NOT(ISNUMBER($E64))),AND($F64&lt;&gt;"",NOT(ISNUMBER($F64))),AND($G64&lt;&gt;"",NOT(ISNUMBER($G64)))),"Fecha no válida"&amp;" · ","")&amp;IF(AND(ISNUMBER($AM64),ISNUMBER($AN64),$AM64&gt;$AN64),"Inicio posterior a fecha límite"&amp;" · ","")&amp;IF(AND($V64="Macro",$H64&lt;&gt;"",OR(NOT(ISNUMBER($H64)),$H64&lt;0,$H64&gt;1)),"Peso fuera de rango"&amp;" · ","")&amp;IF(AND($V64="Sub",$H64&lt;&gt;""),"Las subactividades no llevan peso (valen igual dentro de su macroactividad)"&amp;" · ","")&amp;IF(AND(N($W64)&gt;0,COUNT($I64:$L64)&gt;0),"Con subactividades: deje vacías las semanas (se calculan solas)"&amp;" · ","")&amp;IF((COUNTIF($I64:$L64,"&gt;1")+COUNTIF($I64:$L64,"&lt;0")+COUNTA($I64:$L64)-COUNT($I64:$L64))&gt;0,"Avance fuera de rango 0-100%"&amp;" · ","")&amp;IF(OR(AND($J64&lt;&gt;"",$J64&lt;$I64),AND($K64&lt;&gt;"",$K64&lt;MAX($I64:$J64)),AND($L64&lt;&gt;"",$L64&lt;MAX($I64:$K64))),"Avance semanal decreciente"&amp;" · ","")&amp;IF(AND(ISNUMBER($AN64),$AN64&lt;FechaRef,IF($V64="Sub",N($X64),N($M64))&lt;1),"Vencida"&amp;" · ","")&amp;IF(AND(ObsObligatoria="Sí",ISNUMBER($AN64),$AN64&lt;FechaRef,IF($V64="Sub",N($X64),N($M64))&lt;1,$Q64=""),"Vencida sin observación"&amp;" · ",""),LEN(IF($C64="","Falta el nombre de la actividad"&amp;" · ","")&amp;IF(AND($V64="Sub",N($U64)=0),"Subactividad sin macroactividad arriba"&amp;" · ","")&amp;IF($AM64="","Sin fecha de inicio"&amp;" · ","")&amp;IF($AN64="","Sin fecha límite"&amp;" · ","")&amp;IF(AND(LEFT($C64,11)="[Jefatura] ",N($AL64)=0),"No se encuentra en la hoja de la jefatura (elíjala de nuevo en la lista)"&amp;" · ","")&amp;IF(OR(AND($E64&lt;&gt;"",NOT(ISNUMBER($E64))),AND($F64&lt;&gt;"",NOT(ISNUMBER($F64))),AND($G64&lt;&gt;"",NOT(ISNUMBER($G64)))),"Fecha no válida"&amp;" · ","")&amp;IF(AND(ISNUMBER($AM64),ISNUMBER($AN64),$AM64&gt;$AN64),"Inicio posterior a fecha límite"&amp;" · ","")&amp;IF(AND($V64="Macro",$H64&lt;&gt;"",OR(NOT(ISNUMBER($H64)),$H64&lt;0,$H64&gt;1)),"Peso fuera de rango"&amp;" · ","")&amp;IF(AND($V64="Sub",$H64&lt;&gt;""),"Las subactividades no llevan peso (valen igual dentro de su macroactividad)"&amp;" · ","")&amp;IF(AND(N($W64)&gt;0,COUNT($I64:$L64)&gt;0),"Con subactividades: deje vacías las semanas (se calculan solas)"&amp;" · ","")&amp;IF((COUNTIF($I64:$L64,"&gt;1")+COUNTIF($I64:$L64,"&lt;0")+COUNTA($I64:$L64)-COUNT($I64:$L64))&gt;0,"Avance fuera de rango 0-100%"&amp;" · ","")&amp;IF(OR(AND($J64&lt;&gt;"",$J64&lt;$I64),AND($K64&lt;&gt;"",$K64&lt;MAX($I64:$J64)),AND($L64&lt;&gt;"",$L64&lt;MAX($I64:$K64))),"Avance semanal decreciente"&amp;" · ","")&amp;IF(AND(ISNUMBER($AN64),$AN64&lt;FechaRef,IF($V64="Sub",N($X64),N($M64))&lt;1),"Vencida"&amp;" · ","")&amp;IF(AND(ObsObligatoria="Sí",ISNUMBER($AN64),$AN64&lt;FechaRef,IF($V64="Sub",N($X64),N($M64))&lt;1,$Q64=""),"Vencida sin observación"&amp;" · ",""))-3)))</f>
        <v/>
      </c>
      <c r="S64" s="64">
        <f>IF(NOT((COUNTA($B64:$D64)+COUNTA($G64:$L64)+COUNTA($Q64))&gt;0),"",IF(AND($V64="Sub",N($U64)&gt;0),IF(ISNUMBER(INDEX($AM$5:$AM$1000,$U64-4)),DATE(YEAR(INDEX($AM$5:$AM$1000,$U64-4)),MONTH(INDEX($AM$5:$AM$1000,$U64-4)),1),IF(ISNUMBER(INDEX($AN$5:$AN$1000,$U64-4)),DATE(YEAR(INDEX($AN$5:$AN$1000,$U64-4)),MONTH(INDEX($AN$5:$AN$1000,$U64-4)),1),MesCiclo)),IF(ISNUMBER($AM64),DATE(YEAR($AM64),MONTH($AM64),1),IF(ISNUMBER($AN64),DATE(YEAR($AN64),MONTH($AN64),1),MesCiclo))))</f>
        <v/>
      </c>
      <c r="T64" s="62">
        <f>IF(OR($S64="",$S64&lt;&gt;MesCiclo,$V64&lt;&gt;"Macro"),"",COUNTIFS($S$5:$S64,MesCiclo,$V$5:$V64,"Macro"))</f>
        <v/>
      </c>
      <c r="U64" s="62">
        <f>IF($V64="","",IF($V64="Macro",ROW(),IFERROR(LOOKUP(2,1/($V$5:$V64="Macro"),ROW($V$5:$V64)),0)))</f>
        <v/>
      </c>
      <c r="V64" s="62">
        <f>IF(NOT((COUNTA($B64:$D64)+COUNTA($G64:$L64)+COUNTA($Q64))&gt;0),"",IF($B64="Subactividad","Sub","Macro"))</f>
        <v/>
      </c>
      <c r="W64" s="62">
        <f>IF($V64="Macro",COUNTIFS($U$5:$U$1000,ROW(),$V$5:$V$1000,"Sub"),"")</f>
        <v/>
      </c>
      <c r="X64" s="62">
        <f>IF($V64="","",IF(ISNUMBER($G64),1,IFERROR(LOOKUP(2,1/($I64:$L64&lt;&gt;""),$I64:$L64),0)))</f>
        <v/>
      </c>
      <c r="Y64" s="62">
        <f>IF($V64="","",IF(AND(ISNUMBER($G64),$G64&lt;=IF($S64=MesCiclo,InicioCiclo,$S64+MOD(2-WEEKDAY($S64),7))+6),1,IF(ISNUMBER($I64),$I64,0)))</f>
        <v/>
      </c>
      <c r="Z64" s="62">
        <f>IF($V64="","",IF(AND(ISNUMBER($G64),$G64&lt;=IF($S64=MesCiclo,InicioCiclo,$S64+MOD(2-WEEKDAY($S64),7))+13),1,IF(ISNUMBER($J64),$J64,$Y64)))</f>
        <v/>
      </c>
      <c r="AA64" s="62">
        <f>IF($V64="","",IF(AND(ISNUMBER($G64),$G64&lt;=IF($S64=MesCiclo,InicioCiclo,$S64+MOD(2-WEEKDAY($S64),7))+20),1,IF(ISNUMBER($K64),$K64,$Z64)))</f>
        <v/>
      </c>
      <c r="AB64" s="62">
        <f>IF($V64="","",IF(AND(ISNUMBER($G64),$G64&lt;=IF($S64=MesCiclo,InicioCiclo,$S64+MOD(2-WEEKDAY($S64),7))+27),1,IF(ISNUMBER($L64),$L64,$AA64)))</f>
        <v/>
      </c>
      <c r="AC64" s="62">
        <f>IF($V64="","",IF(AND(ISNUMBER($G64),$G64&lt;=IF($S64=MesCiclo,InicioCiclo,$S64+MOD(2-WEEKDAY($S64),7))+6),1,IF(N($W64)&gt;0,AVERAGEIFS($Y$5:$Y$1000,$U$5:$U$1000,ROW(),$V$5:$V$1000,"Sub"),$Y64)))</f>
        <v/>
      </c>
      <c r="AD64" s="62">
        <f>IF($V64="","",IF(AND(ISNUMBER($G64),$G64&lt;=IF($S64=MesCiclo,InicioCiclo,$S64+MOD(2-WEEKDAY($S64),7))+13),1,IF(N($W64)&gt;0,AVERAGEIFS($Z$5:$Z$1000,$U$5:$U$1000,ROW(),$V$5:$V$1000,"Sub"),$Z64)))</f>
        <v/>
      </c>
      <c r="AE64" s="62">
        <f>IF($V64="","",IF(AND(ISNUMBER($G64),$G64&lt;=IF($S64=MesCiclo,InicioCiclo,$S64+MOD(2-WEEKDAY($S64),7))+20),1,IF(N($W64)&gt;0,AVERAGEIFS($AA$5:$AA$1000,$U$5:$U$1000,ROW(),$V$5:$V$1000,"Sub"),$AA64)))</f>
        <v/>
      </c>
      <c r="AF64" s="62">
        <f>IF($V64="","",IF(AND(ISNUMBER($G64),$G64&lt;=IF($S64=MesCiclo,InicioCiclo,$S64+MOD(2-WEEKDAY($S64),7))+27),1,IF(N($W64)&gt;0,AVERAGEIFS($AB$5:$AB$1000,$U$5:$U$1000,ROW(),$V$5:$V$1000,"Sub"),$AB64)))</f>
        <v/>
      </c>
      <c r="AG64" s="62">
        <f>IF($V64&lt;&gt;"Macro","",IF(COUNTIFS($S$5:$S$1000,$S64,$V$5:$V$1000,"Macro",$H$5:$H$1000,"&gt;0")=0,1/COUNTIFS($S$5:$S$1000,$S64,$V$5:$V$1000,"Macro"),IF(AND(ISNUMBER($H64),N($H64)&gt;0),$H64,SUMIFS($H$5:$H$1000,$S$5:$S$1000,$S64,$V$5:$V$1000,"Macro")/COUNTIFS($S$5:$S$1000,$S64,$V$5:$V$1000,"Macro",$H$5:$H$1000,"&gt;0"))/(COUNTIFS($S$5:$S$1000,$S64,$V$5:$V$1000,"Macro")*SUMIFS($H$5:$H$1000,$S$5:$S$1000,$S64,$V$5:$V$1000,"Macro")/COUNTIFS($S$5:$S$1000,$S64,$V$5:$V$1000,"Macro",$H$5:$H$1000,"&gt;0"))))</f>
        <v/>
      </c>
      <c r="AH64" s="62" t="n"/>
      <c r="AI64" s="62" t="n"/>
      <c r="AJ64" s="62" t="n"/>
      <c r="AK64" s="62" t="n"/>
      <c r="AL64" s="62">
        <f>IF(LEFT($C64,11)="[Jefatura] ",IFERROR(MATCH("Asistente Técnico de Riesgo|"&amp;MID($C64,12,500),rDname_ADM,0),0),"")</f>
        <v/>
      </c>
      <c r="AM64" s="62">
        <f>IF(N($AL64)&gt;0,INDEX(rIni_ADM,$AL64),IF(ISNUMBER($E64),$E64,""))</f>
        <v/>
      </c>
      <c r="AN64" s="62">
        <f>IF(N($AL64)&gt;0,INDEX(rLim_ADM,$AL64),IF(ISNUMBER($F64),$F64,""))</f>
        <v/>
      </c>
    </row>
    <row r="65">
      <c r="A65" s="56">
        <f>IF(NOT((COUNTA($B65:$D65)+COUNTA($G65:$L65)+COUNTA($Q65))&gt;0),"",IF($V65="Macro",COUNTIFS($V$5:$V65,"Macro",$S$5:$S65,$S65),IF(N($U65)=0,"?",COUNTIFS(INDEX($V$5:$V$1000,1):INDEX($V$5:$V$1000,$U65-4),"Macro",INDEX($S$5:$S$1000,1):INDEX($S$5:$S$1000,$U65-4),INDEX($S$5:$S$1000,$U65-4))&amp;"."&amp;COUNTIFS($U$5:$U65,$U65,$V$5:$V65,"Sub"))))</f>
        <v/>
      </c>
      <c r="B65" s="57" t="n"/>
      <c r="C65" s="58" t="n"/>
      <c r="D65" s="58" t="n"/>
      <c r="E65" s="59">
        <f>IF(N($AL65)&gt;0,INDEX(rIni_ADM,$AL65),"")</f>
        <v/>
      </c>
      <c r="F65" s="59">
        <f>IF(N($AL65)&gt;0,INDEX(rLim_ADM,$AL65),"")</f>
        <v/>
      </c>
      <c r="G65" s="59" t="n"/>
      <c r="H65" s="60" t="n"/>
      <c r="I65" s="60" t="n"/>
      <c r="J65" s="60" t="n"/>
      <c r="K65" s="60" t="n"/>
      <c r="L65" s="60" t="n"/>
      <c r="M65" s="61">
        <f>IF(NOT((COUNTA($B65:$D65)+COUNTA($G65:$L65)+COUNTA($Q65))&gt;0),"",IF($V65="Sub",IFERROR($X65/INDEX($W$5:$W$1000,$U65-4),""),IF(ISNUMBER($G65),1,IF(N($W65)&gt;0,AVERAGEIFS($X$5:$X$1000,$U$5:$U$1000,ROW(),$V$5:$V$1000,"Sub"),$X65))))</f>
        <v/>
      </c>
      <c r="N65" s="56">
        <f>IF(OR($M65="",$V65="Sub"),"",IF($M65&gt;=1,"Completado",IF($M65&gt;0,"En curso","Pendiente")))</f>
        <v/>
      </c>
      <c r="O65" s="56">
        <f>IF(OR(NOT((COUNTA($B65:$D65)+COUNTA($G65:$L65)+COUNTA($Q65))&gt;0),$V65="Sub"),"",IF(ISNUMBER($G65),IF(AND(ISNUMBER($AN65),$G65&gt;$AN65),"Cumplida con "&amp;($G65-$AN65)&amp;IF($G65-$AN65=1," día"," días")&amp;" de retraso","Cumplida"),IF(N($M65)&gt;=1,"Cumplida",IF(NOT(ISNUMBER($AN65)),"Sin fecha límite",IF($AN65&lt;FechaRef,"Vencida hace "&amp;(FechaRef-$AN65)&amp;IF(FechaRef-$AN65=1," día"," días"),IF($AN65=FechaRef,"Vence hoy",IF($AN65-FechaRef&lt;=DiasAlerta,"Vence en "&amp;($AN65-FechaRef)&amp;IF($AN65-FechaRef=1," día"," días"),"En plazo")))))))</f>
        <v/>
      </c>
      <c r="P65" s="62" t="n"/>
      <c r="Q65" s="58" t="n"/>
      <c r="R65" s="63">
        <f>IF(NOT((COUNTA($B65:$D65)+COUNTA($G65:$L65)+COUNTA($Q65))&gt;0),"",IF((IF($C65="","Falta el nombre de la actividad"&amp;" · ","")&amp;IF(AND($V65="Sub",N($U65)=0),"Subactividad sin macroactividad arriba"&amp;" · ","")&amp;IF($AM65="","Sin fecha de inicio"&amp;" · ","")&amp;IF($AN65="","Sin fecha límite"&amp;" · ","")&amp;IF(AND(LEFT($C65,11)="[Jefatura] ",N($AL65)=0),"No se encuentra en la hoja de la jefatura (elíjala de nuevo en la lista)"&amp;" · ","")&amp;IF(OR(AND($E65&lt;&gt;"",NOT(ISNUMBER($E65))),AND($F65&lt;&gt;"",NOT(ISNUMBER($F65))),AND($G65&lt;&gt;"",NOT(ISNUMBER($G65)))),"Fecha no válida"&amp;" · ","")&amp;IF(AND(ISNUMBER($AM65),ISNUMBER($AN65),$AM65&gt;$AN65),"Inicio posterior a fecha límite"&amp;" · ","")&amp;IF(AND($V65="Macro",$H65&lt;&gt;"",OR(NOT(ISNUMBER($H65)),$H65&lt;0,$H65&gt;1)),"Peso fuera de rango"&amp;" · ","")&amp;IF(AND($V65="Sub",$H65&lt;&gt;""),"Las subactividades no llevan peso (valen igual dentro de su macroactividad)"&amp;" · ","")&amp;IF(AND(N($W65)&gt;0,COUNT($I65:$L65)&gt;0),"Con subactividades: deje vacías las semanas (se calculan solas)"&amp;" · ","")&amp;IF((COUNTIF($I65:$L65,"&gt;1")+COUNTIF($I65:$L65,"&lt;0")+COUNTA($I65:$L65)-COUNT($I65:$L65))&gt;0,"Avance fuera de rango 0-100%"&amp;" · ","")&amp;IF(OR(AND($J65&lt;&gt;"",$J65&lt;$I65),AND($K65&lt;&gt;"",$K65&lt;MAX($I65:$J65)),AND($L65&lt;&gt;"",$L65&lt;MAX($I65:$K65))),"Avance semanal decreciente"&amp;" · ","")&amp;IF(AND(ISNUMBER($AN65),$AN65&lt;FechaRef,IF($V65="Sub",N($X65),N($M65))&lt;1),"Vencida"&amp;" · ","")&amp;IF(AND(ObsObligatoria="Sí",ISNUMBER($AN65),$AN65&lt;FechaRef,IF($V65="Sub",N($X65),N($M65))&lt;1,$Q65=""),"Vencida sin observación"&amp;" · ",""))="","✔ OK","⚠ "&amp;LEFT(IF($C65="","Falta el nombre de la actividad"&amp;" · ","")&amp;IF(AND($V65="Sub",N($U65)=0),"Subactividad sin macroactividad arriba"&amp;" · ","")&amp;IF($AM65="","Sin fecha de inicio"&amp;" · ","")&amp;IF($AN65="","Sin fecha límite"&amp;" · ","")&amp;IF(AND(LEFT($C65,11)="[Jefatura] ",N($AL65)=0),"No se encuentra en la hoja de la jefatura (elíjala de nuevo en la lista)"&amp;" · ","")&amp;IF(OR(AND($E65&lt;&gt;"",NOT(ISNUMBER($E65))),AND($F65&lt;&gt;"",NOT(ISNUMBER($F65))),AND($G65&lt;&gt;"",NOT(ISNUMBER($G65)))),"Fecha no válida"&amp;" · ","")&amp;IF(AND(ISNUMBER($AM65),ISNUMBER($AN65),$AM65&gt;$AN65),"Inicio posterior a fecha límite"&amp;" · ","")&amp;IF(AND($V65="Macro",$H65&lt;&gt;"",OR(NOT(ISNUMBER($H65)),$H65&lt;0,$H65&gt;1)),"Peso fuera de rango"&amp;" · ","")&amp;IF(AND($V65="Sub",$H65&lt;&gt;""),"Las subactividades no llevan peso (valen igual dentro de su macroactividad)"&amp;" · ","")&amp;IF(AND(N($W65)&gt;0,COUNT($I65:$L65)&gt;0),"Con subactividades: deje vacías las semanas (se calculan solas)"&amp;" · ","")&amp;IF((COUNTIF($I65:$L65,"&gt;1")+COUNTIF($I65:$L65,"&lt;0")+COUNTA($I65:$L65)-COUNT($I65:$L65))&gt;0,"Avance fuera de rango 0-100%"&amp;" · ","")&amp;IF(OR(AND($J65&lt;&gt;"",$J65&lt;$I65),AND($K65&lt;&gt;"",$K65&lt;MAX($I65:$J65)),AND($L65&lt;&gt;"",$L65&lt;MAX($I65:$K65))),"Avance semanal decreciente"&amp;" · ","")&amp;IF(AND(ISNUMBER($AN65),$AN65&lt;FechaRef,IF($V65="Sub",N($X65),N($M65))&lt;1),"Vencida"&amp;" · ","")&amp;IF(AND(ObsObligatoria="Sí",ISNUMBER($AN65),$AN65&lt;FechaRef,IF($V65="Sub",N($X65),N($M65))&lt;1,$Q65=""),"Vencida sin observación"&amp;" · ",""),LEN(IF($C65="","Falta el nombre de la actividad"&amp;" · ","")&amp;IF(AND($V65="Sub",N($U65)=0),"Subactividad sin macroactividad arriba"&amp;" · ","")&amp;IF($AM65="","Sin fecha de inicio"&amp;" · ","")&amp;IF($AN65="","Sin fecha límite"&amp;" · ","")&amp;IF(AND(LEFT($C65,11)="[Jefatura] ",N($AL65)=0),"No se encuentra en la hoja de la jefatura (elíjala de nuevo en la lista)"&amp;" · ","")&amp;IF(OR(AND($E65&lt;&gt;"",NOT(ISNUMBER($E65))),AND($F65&lt;&gt;"",NOT(ISNUMBER($F65))),AND($G65&lt;&gt;"",NOT(ISNUMBER($G65)))),"Fecha no válida"&amp;" · ","")&amp;IF(AND(ISNUMBER($AM65),ISNUMBER($AN65),$AM65&gt;$AN65),"Inicio posterior a fecha límite"&amp;" · ","")&amp;IF(AND($V65="Macro",$H65&lt;&gt;"",OR(NOT(ISNUMBER($H65)),$H65&lt;0,$H65&gt;1)),"Peso fuera de rango"&amp;" · ","")&amp;IF(AND($V65="Sub",$H65&lt;&gt;""),"Las subactividades no llevan peso (valen igual dentro de su macroactividad)"&amp;" · ","")&amp;IF(AND(N($W65)&gt;0,COUNT($I65:$L65)&gt;0),"Con subactividades: deje vacías las semanas (se calculan solas)"&amp;" · ","")&amp;IF((COUNTIF($I65:$L65,"&gt;1")+COUNTIF($I65:$L65,"&lt;0")+COUNTA($I65:$L65)-COUNT($I65:$L65))&gt;0,"Avance fuera de rango 0-100%"&amp;" · ","")&amp;IF(OR(AND($J65&lt;&gt;"",$J65&lt;$I65),AND($K65&lt;&gt;"",$K65&lt;MAX($I65:$J65)),AND($L65&lt;&gt;"",$L65&lt;MAX($I65:$K65))),"Avance semanal decreciente"&amp;" · ","")&amp;IF(AND(ISNUMBER($AN65),$AN65&lt;FechaRef,IF($V65="Sub",N($X65),N($M65))&lt;1),"Vencida"&amp;" · ","")&amp;IF(AND(ObsObligatoria="Sí",ISNUMBER($AN65),$AN65&lt;FechaRef,IF($V65="Sub",N($X65),N($M65))&lt;1,$Q65=""),"Vencida sin observación"&amp;" · ",""))-3)))</f>
        <v/>
      </c>
      <c r="S65" s="64">
        <f>IF(NOT((COUNTA($B65:$D65)+COUNTA($G65:$L65)+COUNTA($Q65))&gt;0),"",IF(AND($V65="Sub",N($U65)&gt;0),IF(ISNUMBER(INDEX($AM$5:$AM$1000,$U65-4)),DATE(YEAR(INDEX($AM$5:$AM$1000,$U65-4)),MONTH(INDEX($AM$5:$AM$1000,$U65-4)),1),IF(ISNUMBER(INDEX($AN$5:$AN$1000,$U65-4)),DATE(YEAR(INDEX($AN$5:$AN$1000,$U65-4)),MONTH(INDEX($AN$5:$AN$1000,$U65-4)),1),MesCiclo)),IF(ISNUMBER($AM65),DATE(YEAR($AM65),MONTH($AM65),1),IF(ISNUMBER($AN65),DATE(YEAR($AN65),MONTH($AN65),1),MesCiclo))))</f>
        <v/>
      </c>
      <c r="T65" s="62">
        <f>IF(OR($S65="",$S65&lt;&gt;MesCiclo,$V65&lt;&gt;"Macro"),"",COUNTIFS($S$5:$S65,MesCiclo,$V$5:$V65,"Macro"))</f>
        <v/>
      </c>
      <c r="U65" s="62">
        <f>IF($V65="","",IF($V65="Macro",ROW(),IFERROR(LOOKUP(2,1/($V$5:$V65="Macro"),ROW($V$5:$V65)),0)))</f>
        <v/>
      </c>
      <c r="V65" s="62">
        <f>IF(NOT((COUNTA($B65:$D65)+COUNTA($G65:$L65)+COUNTA($Q65))&gt;0),"",IF($B65="Subactividad","Sub","Macro"))</f>
        <v/>
      </c>
      <c r="W65" s="62">
        <f>IF($V65="Macro",COUNTIFS($U$5:$U$1000,ROW(),$V$5:$V$1000,"Sub"),"")</f>
        <v/>
      </c>
      <c r="X65" s="62">
        <f>IF($V65="","",IF(ISNUMBER($G65),1,IFERROR(LOOKUP(2,1/($I65:$L65&lt;&gt;""),$I65:$L65),0)))</f>
        <v/>
      </c>
      <c r="Y65" s="62">
        <f>IF($V65="","",IF(AND(ISNUMBER($G65),$G65&lt;=IF($S65=MesCiclo,InicioCiclo,$S65+MOD(2-WEEKDAY($S65),7))+6),1,IF(ISNUMBER($I65),$I65,0)))</f>
        <v/>
      </c>
      <c r="Z65" s="62">
        <f>IF($V65="","",IF(AND(ISNUMBER($G65),$G65&lt;=IF($S65=MesCiclo,InicioCiclo,$S65+MOD(2-WEEKDAY($S65),7))+13),1,IF(ISNUMBER($J65),$J65,$Y65)))</f>
        <v/>
      </c>
      <c r="AA65" s="62">
        <f>IF($V65="","",IF(AND(ISNUMBER($G65),$G65&lt;=IF($S65=MesCiclo,InicioCiclo,$S65+MOD(2-WEEKDAY($S65),7))+20),1,IF(ISNUMBER($K65),$K65,$Z65)))</f>
        <v/>
      </c>
      <c r="AB65" s="62">
        <f>IF($V65="","",IF(AND(ISNUMBER($G65),$G65&lt;=IF($S65=MesCiclo,InicioCiclo,$S65+MOD(2-WEEKDAY($S65),7))+27),1,IF(ISNUMBER($L65),$L65,$AA65)))</f>
        <v/>
      </c>
      <c r="AC65" s="62">
        <f>IF($V65="","",IF(AND(ISNUMBER($G65),$G65&lt;=IF($S65=MesCiclo,InicioCiclo,$S65+MOD(2-WEEKDAY($S65),7))+6),1,IF(N($W65)&gt;0,AVERAGEIFS($Y$5:$Y$1000,$U$5:$U$1000,ROW(),$V$5:$V$1000,"Sub"),$Y65)))</f>
        <v/>
      </c>
      <c r="AD65" s="62">
        <f>IF($V65="","",IF(AND(ISNUMBER($G65),$G65&lt;=IF($S65=MesCiclo,InicioCiclo,$S65+MOD(2-WEEKDAY($S65),7))+13),1,IF(N($W65)&gt;0,AVERAGEIFS($Z$5:$Z$1000,$U$5:$U$1000,ROW(),$V$5:$V$1000,"Sub"),$Z65)))</f>
        <v/>
      </c>
      <c r="AE65" s="62">
        <f>IF($V65="","",IF(AND(ISNUMBER($G65),$G65&lt;=IF($S65=MesCiclo,InicioCiclo,$S65+MOD(2-WEEKDAY($S65),7))+20),1,IF(N($W65)&gt;0,AVERAGEIFS($AA$5:$AA$1000,$U$5:$U$1000,ROW(),$V$5:$V$1000,"Sub"),$AA65)))</f>
        <v/>
      </c>
      <c r="AF65" s="62">
        <f>IF($V65="","",IF(AND(ISNUMBER($G65),$G65&lt;=IF($S65=MesCiclo,InicioCiclo,$S65+MOD(2-WEEKDAY($S65),7))+27),1,IF(N($W65)&gt;0,AVERAGEIFS($AB$5:$AB$1000,$U$5:$U$1000,ROW(),$V$5:$V$1000,"Sub"),$AB65)))</f>
        <v/>
      </c>
      <c r="AG65" s="62">
        <f>IF($V65&lt;&gt;"Macro","",IF(COUNTIFS($S$5:$S$1000,$S65,$V$5:$V$1000,"Macro",$H$5:$H$1000,"&gt;0")=0,1/COUNTIFS($S$5:$S$1000,$S65,$V$5:$V$1000,"Macro"),IF(AND(ISNUMBER($H65),N($H65)&gt;0),$H65,SUMIFS($H$5:$H$1000,$S$5:$S$1000,$S65,$V$5:$V$1000,"Macro")/COUNTIFS($S$5:$S$1000,$S65,$V$5:$V$1000,"Macro",$H$5:$H$1000,"&gt;0"))/(COUNTIFS($S$5:$S$1000,$S65,$V$5:$V$1000,"Macro")*SUMIFS($H$5:$H$1000,$S$5:$S$1000,$S65,$V$5:$V$1000,"Macro")/COUNTIFS($S$5:$S$1000,$S65,$V$5:$V$1000,"Macro",$H$5:$H$1000,"&gt;0"))))</f>
        <v/>
      </c>
      <c r="AH65" s="62" t="n"/>
      <c r="AI65" s="62" t="n"/>
      <c r="AJ65" s="62" t="n"/>
      <c r="AK65" s="62" t="n"/>
      <c r="AL65" s="62">
        <f>IF(LEFT($C65,11)="[Jefatura] ",IFERROR(MATCH("Asistente Técnico de Riesgo|"&amp;MID($C65,12,500),rDname_ADM,0),0),"")</f>
        <v/>
      </c>
      <c r="AM65" s="62">
        <f>IF(N($AL65)&gt;0,INDEX(rIni_ADM,$AL65),IF(ISNUMBER($E65),$E65,""))</f>
        <v/>
      </c>
      <c r="AN65" s="62">
        <f>IF(N($AL65)&gt;0,INDEX(rLim_ADM,$AL65),IF(ISNUMBER($F65),$F65,""))</f>
        <v/>
      </c>
    </row>
    <row r="66">
      <c r="A66" s="56">
        <f>IF(NOT((COUNTA($B66:$D66)+COUNTA($G66:$L66)+COUNTA($Q66))&gt;0),"",IF($V66="Macro",COUNTIFS($V$5:$V66,"Macro",$S$5:$S66,$S66),IF(N($U66)=0,"?",COUNTIFS(INDEX($V$5:$V$1000,1):INDEX($V$5:$V$1000,$U66-4),"Macro",INDEX($S$5:$S$1000,1):INDEX($S$5:$S$1000,$U66-4),INDEX($S$5:$S$1000,$U66-4))&amp;"."&amp;COUNTIFS($U$5:$U66,$U66,$V$5:$V66,"Sub"))))</f>
        <v/>
      </c>
      <c r="B66" s="57" t="n"/>
      <c r="C66" s="58" t="n"/>
      <c r="D66" s="58" t="n"/>
      <c r="E66" s="59">
        <f>IF(N($AL66)&gt;0,INDEX(rIni_ADM,$AL66),"")</f>
        <v/>
      </c>
      <c r="F66" s="59">
        <f>IF(N($AL66)&gt;0,INDEX(rLim_ADM,$AL66),"")</f>
        <v/>
      </c>
      <c r="G66" s="59" t="n"/>
      <c r="H66" s="60" t="n"/>
      <c r="I66" s="60" t="n"/>
      <c r="J66" s="60" t="n"/>
      <c r="K66" s="60" t="n"/>
      <c r="L66" s="60" t="n"/>
      <c r="M66" s="61">
        <f>IF(NOT((COUNTA($B66:$D66)+COUNTA($G66:$L66)+COUNTA($Q66))&gt;0),"",IF($V66="Sub",IFERROR($X66/INDEX($W$5:$W$1000,$U66-4),""),IF(ISNUMBER($G66),1,IF(N($W66)&gt;0,AVERAGEIFS($X$5:$X$1000,$U$5:$U$1000,ROW(),$V$5:$V$1000,"Sub"),$X66))))</f>
        <v/>
      </c>
      <c r="N66" s="56">
        <f>IF(OR($M66="",$V66="Sub"),"",IF($M66&gt;=1,"Completado",IF($M66&gt;0,"En curso","Pendiente")))</f>
        <v/>
      </c>
      <c r="O66" s="56">
        <f>IF(OR(NOT((COUNTA($B66:$D66)+COUNTA($G66:$L66)+COUNTA($Q66))&gt;0),$V66="Sub"),"",IF(ISNUMBER($G66),IF(AND(ISNUMBER($AN66),$G66&gt;$AN66),"Cumplida con "&amp;($G66-$AN66)&amp;IF($G66-$AN66=1," día"," días")&amp;" de retraso","Cumplida"),IF(N($M66)&gt;=1,"Cumplida",IF(NOT(ISNUMBER($AN66)),"Sin fecha límite",IF($AN66&lt;FechaRef,"Vencida hace "&amp;(FechaRef-$AN66)&amp;IF(FechaRef-$AN66=1," día"," días"),IF($AN66=FechaRef,"Vence hoy",IF($AN66-FechaRef&lt;=DiasAlerta,"Vence en "&amp;($AN66-FechaRef)&amp;IF($AN66-FechaRef=1," día"," días"),"En plazo")))))))</f>
        <v/>
      </c>
      <c r="P66" s="62" t="n"/>
      <c r="Q66" s="58" t="n"/>
      <c r="R66" s="63">
        <f>IF(NOT((COUNTA($B66:$D66)+COUNTA($G66:$L66)+COUNTA($Q66))&gt;0),"",IF((IF($C66="","Falta el nombre de la actividad"&amp;" · ","")&amp;IF(AND($V66="Sub",N($U66)=0),"Subactividad sin macroactividad arriba"&amp;" · ","")&amp;IF($AM66="","Sin fecha de inicio"&amp;" · ","")&amp;IF($AN66="","Sin fecha límite"&amp;" · ","")&amp;IF(AND(LEFT($C66,11)="[Jefatura] ",N($AL66)=0),"No se encuentra en la hoja de la jefatura (elíjala de nuevo en la lista)"&amp;" · ","")&amp;IF(OR(AND($E66&lt;&gt;"",NOT(ISNUMBER($E66))),AND($F66&lt;&gt;"",NOT(ISNUMBER($F66))),AND($G66&lt;&gt;"",NOT(ISNUMBER($G66)))),"Fecha no válida"&amp;" · ","")&amp;IF(AND(ISNUMBER($AM66),ISNUMBER($AN66),$AM66&gt;$AN66),"Inicio posterior a fecha límite"&amp;" · ","")&amp;IF(AND($V66="Macro",$H66&lt;&gt;"",OR(NOT(ISNUMBER($H66)),$H66&lt;0,$H66&gt;1)),"Peso fuera de rango"&amp;" · ","")&amp;IF(AND($V66="Sub",$H66&lt;&gt;""),"Las subactividades no llevan peso (valen igual dentro de su macroactividad)"&amp;" · ","")&amp;IF(AND(N($W66)&gt;0,COUNT($I66:$L66)&gt;0),"Con subactividades: deje vacías las semanas (se calculan solas)"&amp;" · ","")&amp;IF((COUNTIF($I66:$L66,"&gt;1")+COUNTIF($I66:$L66,"&lt;0")+COUNTA($I66:$L66)-COUNT($I66:$L66))&gt;0,"Avance fuera de rango 0-100%"&amp;" · ","")&amp;IF(OR(AND($J66&lt;&gt;"",$J66&lt;$I66),AND($K66&lt;&gt;"",$K66&lt;MAX($I66:$J66)),AND($L66&lt;&gt;"",$L66&lt;MAX($I66:$K66))),"Avance semanal decreciente"&amp;" · ","")&amp;IF(AND(ISNUMBER($AN66),$AN66&lt;FechaRef,IF($V66="Sub",N($X66),N($M66))&lt;1),"Vencida"&amp;" · ","")&amp;IF(AND(ObsObligatoria="Sí",ISNUMBER($AN66),$AN66&lt;FechaRef,IF($V66="Sub",N($X66),N($M66))&lt;1,$Q66=""),"Vencida sin observación"&amp;" · ",""))="","✔ OK","⚠ "&amp;LEFT(IF($C66="","Falta el nombre de la actividad"&amp;" · ","")&amp;IF(AND($V66="Sub",N($U66)=0),"Subactividad sin macroactividad arriba"&amp;" · ","")&amp;IF($AM66="","Sin fecha de inicio"&amp;" · ","")&amp;IF($AN66="","Sin fecha límite"&amp;" · ","")&amp;IF(AND(LEFT($C66,11)="[Jefatura] ",N($AL66)=0),"No se encuentra en la hoja de la jefatura (elíjala de nuevo en la lista)"&amp;" · ","")&amp;IF(OR(AND($E66&lt;&gt;"",NOT(ISNUMBER($E66))),AND($F66&lt;&gt;"",NOT(ISNUMBER($F66))),AND($G66&lt;&gt;"",NOT(ISNUMBER($G66)))),"Fecha no válida"&amp;" · ","")&amp;IF(AND(ISNUMBER($AM66),ISNUMBER($AN66),$AM66&gt;$AN66),"Inicio posterior a fecha límite"&amp;" · ","")&amp;IF(AND($V66="Macro",$H66&lt;&gt;"",OR(NOT(ISNUMBER($H66)),$H66&lt;0,$H66&gt;1)),"Peso fuera de rango"&amp;" · ","")&amp;IF(AND($V66="Sub",$H66&lt;&gt;""),"Las subactividades no llevan peso (valen igual dentro de su macroactividad)"&amp;" · ","")&amp;IF(AND(N($W66)&gt;0,COUNT($I66:$L66)&gt;0),"Con subactividades: deje vacías las semanas (se calculan solas)"&amp;" · ","")&amp;IF((COUNTIF($I66:$L66,"&gt;1")+COUNTIF($I66:$L66,"&lt;0")+COUNTA($I66:$L66)-COUNT($I66:$L66))&gt;0,"Avance fuera de rango 0-100%"&amp;" · ","")&amp;IF(OR(AND($J66&lt;&gt;"",$J66&lt;$I66),AND($K66&lt;&gt;"",$K66&lt;MAX($I66:$J66)),AND($L66&lt;&gt;"",$L66&lt;MAX($I66:$K66))),"Avance semanal decreciente"&amp;" · ","")&amp;IF(AND(ISNUMBER($AN66),$AN66&lt;FechaRef,IF($V66="Sub",N($X66),N($M66))&lt;1),"Vencida"&amp;" · ","")&amp;IF(AND(ObsObligatoria="Sí",ISNUMBER($AN66),$AN66&lt;FechaRef,IF($V66="Sub",N($X66),N($M66))&lt;1,$Q66=""),"Vencida sin observación"&amp;" · ",""),LEN(IF($C66="","Falta el nombre de la actividad"&amp;" · ","")&amp;IF(AND($V66="Sub",N($U66)=0),"Subactividad sin macroactividad arriba"&amp;" · ","")&amp;IF($AM66="","Sin fecha de inicio"&amp;" · ","")&amp;IF($AN66="","Sin fecha límite"&amp;" · ","")&amp;IF(AND(LEFT($C66,11)="[Jefatura] ",N($AL66)=0),"No se encuentra en la hoja de la jefatura (elíjala de nuevo en la lista)"&amp;" · ","")&amp;IF(OR(AND($E66&lt;&gt;"",NOT(ISNUMBER($E66))),AND($F66&lt;&gt;"",NOT(ISNUMBER($F66))),AND($G66&lt;&gt;"",NOT(ISNUMBER($G66)))),"Fecha no válida"&amp;" · ","")&amp;IF(AND(ISNUMBER($AM66),ISNUMBER($AN66),$AM66&gt;$AN66),"Inicio posterior a fecha límite"&amp;" · ","")&amp;IF(AND($V66="Macro",$H66&lt;&gt;"",OR(NOT(ISNUMBER($H66)),$H66&lt;0,$H66&gt;1)),"Peso fuera de rango"&amp;" · ","")&amp;IF(AND($V66="Sub",$H66&lt;&gt;""),"Las subactividades no llevan peso (valen igual dentro de su macroactividad)"&amp;" · ","")&amp;IF(AND(N($W66)&gt;0,COUNT($I66:$L66)&gt;0),"Con subactividades: deje vacías las semanas (se calculan solas)"&amp;" · ","")&amp;IF((COUNTIF($I66:$L66,"&gt;1")+COUNTIF($I66:$L66,"&lt;0")+COUNTA($I66:$L66)-COUNT($I66:$L66))&gt;0,"Avance fuera de rango 0-100%"&amp;" · ","")&amp;IF(OR(AND($J66&lt;&gt;"",$J66&lt;$I66),AND($K66&lt;&gt;"",$K66&lt;MAX($I66:$J66)),AND($L66&lt;&gt;"",$L66&lt;MAX($I66:$K66))),"Avance semanal decreciente"&amp;" · ","")&amp;IF(AND(ISNUMBER($AN66),$AN66&lt;FechaRef,IF($V66="Sub",N($X66),N($M66))&lt;1),"Vencida"&amp;" · ","")&amp;IF(AND(ObsObligatoria="Sí",ISNUMBER($AN66),$AN66&lt;FechaRef,IF($V66="Sub",N($X66),N($M66))&lt;1,$Q66=""),"Vencida sin observación"&amp;" · ",""))-3)))</f>
        <v/>
      </c>
      <c r="S66" s="64">
        <f>IF(NOT((COUNTA($B66:$D66)+COUNTA($G66:$L66)+COUNTA($Q66))&gt;0),"",IF(AND($V66="Sub",N($U66)&gt;0),IF(ISNUMBER(INDEX($AM$5:$AM$1000,$U66-4)),DATE(YEAR(INDEX($AM$5:$AM$1000,$U66-4)),MONTH(INDEX($AM$5:$AM$1000,$U66-4)),1),IF(ISNUMBER(INDEX($AN$5:$AN$1000,$U66-4)),DATE(YEAR(INDEX($AN$5:$AN$1000,$U66-4)),MONTH(INDEX($AN$5:$AN$1000,$U66-4)),1),MesCiclo)),IF(ISNUMBER($AM66),DATE(YEAR($AM66),MONTH($AM66),1),IF(ISNUMBER($AN66),DATE(YEAR($AN66),MONTH($AN66),1),MesCiclo))))</f>
        <v/>
      </c>
      <c r="T66" s="62">
        <f>IF(OR($S66="",$S66&lt;&gt;MesCiclo,$V66&lt;&gt;"Macro"),"",COUNTIFS($S$5:$S66,MesCiclo,$V$5:$V66,"Macro"))</f>
        <v/>
      </c>
      <c r="U66" s="62">
        <f>IF($V66="","",IF($V66="Macro",ROW(),IFERROR(LOOKUP(2,1/($V$5:$V66="Macro"),ROW($V$5:$V66)),0)))</f>
        <v/>
      </c>
      <c r="V66" s="62">
        <f>IF(NOT((COUNTA($B66:$D66)+COUNTA($G66:$L66)+COUNTA($Q66))&gt;0),"",IF($B66="Subactividad","Sub","Macro"))</f>
        <v/>
      </c>
      <c r="W66" s="62">
        <f>IF($V66="Macro",COUNTIFS($U$5:$U$1000,ROW(),$V$5:$V$1000,"Sub"),"")</f>
        <v/>
      </c>
      <c r="X66" s="62">
        <f>IF($V66="","",IF(ISNUMBER($G66),1,IFERROR(LOOKUP(2,1/($I66:$L66&lt;&gt;""),$I66:$L66),0)))</f>
        <v/>
      </c>
      <c r="Y66" s="62">
        <f>IF($V66="","",IF(AND(ISNUMBER($G66),$G66&lt;=IF($S66=MesCiclo,InicioCiclo,$S66+MOD(2-WEEKDAY($S66),7))+6),1,IF(ISNUMBER($I66),$I66,0)))</f>
        <v/>
      </c>
      <c r="Z66" s="62">
        <f>IF($V66="","",IF(AND(ISNUMBER($G66),$G66&lt;=IF($S66=MesCiclo,InicioCiclo,$S66+MOD(2-WEEKDAY($S66),7))+13),1,IF(ISNUMBER($J66),$J66,$Y66)))</f>
        <v/>
      </c>
      <c r="AA66" s="62">
        <f>IF($V66="","",IF(AND(ISNUMBER($G66),$G66&lt;=IF($S66=MesCiclo,InicioCiclo,$S66+MOD(2-WEEKDAY($S66),7))+20),1,IF(ISNUMBER($K66),$K66,$Z66)))</f>
        <v/>
      </c>
      <c r="AB66" s="62">
        <f>IF($V66="","",IF(AND(ISNUMBER($G66),$G66&lt;=IF($S66=MesCiclo,InicioCiclo,$S66+MOD(2-WEEKDAY($S66),7))+27),1,IF(ISNUMBER($L66),$L66,$AA66)))</f>
        <v/>
      </c>
      <c r="AC66" s="62">
        <f>IF($V66="","",IF(AND(ISNUMBER($G66),$G66&lt;=IF($S66=MesCiclo,InicioCiclo,$S66+MOD(2-WEEKDAY($S66),7))+6),1,IF(N($W66)&gt;0,AVERAGEIFS($Y$5:$Y$1000,$U$5:$U$1000,ROW(),$V$5:$V$1000,"Sub"),$Y66)))</f>
        <v/>
      </c>
      <c r="AD66" s="62">
        <f>IF($V66="","",IF(AND(ISNUMBER($G66),$G66&lt;=IF($S66=MesCiclo,InicioCiclo,$S66+MOD(2-WEEKDAY($S66),7))+13),1,IF(N($W66)&gt;0,AVERAGEIFS($Z$5:$Z$1000,$U$5:$U$1000,ROW(),$V$5:$V$1000,"Sub"),$Z66)))</f>
        <v/>
      </c>
      <c r="AE66" s="62">
        <f>IF($V66="","",IF(AND(ISNUMBER($G66),$G66&lt;=IF($S66=MesCiclo,InicioCiclo,$S66+MOD(2-WEEKDAY($S66),7))+20),1,IF(N($W66)&gt;0,AVERAGEIFS($AA$5:$AA$1000,$U$5:$U$1000,ROW(),$V$5:$V$1000,"Sub"),$AA66)))</f>
        <v/>
      </c>
      <c r="AF66" s="62">
        <f>IF($V66="","",IF(AND(ISNUMBER($G66),$G66&lt;=IF($S66=MesCiclo,InicioCiclo,$S66+MOD(2-WEEKDAY($S66),7))+27),1,IF(N($W66)&gt;0,AVERAGEIFS($AB$5:$AB$1000,$U$5:$U$1000,ROW(),$V$5:$V$1000,"Sub"),$AB66)))</f>
        <v/>
      </c>
      <c r="AG66" s="62">
        <f>IF($V66&lt;&gt;"Macro","",IF(COUNTIFS($S$5:$S$1000,$S66,$V$5:$V$1000,"Macro",$H$5:$H$1000,"&gt;0")=0,1/COUNTIFS($S$5:$S$1000,$S66,$V$5:$V$1000,"Macro"),IF(AND(ISNUMBER($H66),N($H66)&gt;0),$H66,SUMIFS($H$5:$H$1000,$S$5:$S$1000,$S66,$V$5:$V$1000,"Macro")/COUNTIFS($S$5:$S$1000,$S66,$V$5:$V$1000,"Macro",$H$5:$H$1000,"&gt;0"))/(COUNTIFS($S$5:$S$1000,$S66,$V$5:$V$1000,"Macro")*SUMIFS($H$5:$H$1000,$S$5:$S$1000,$S66,$V$5:$V$1000,"Macro")/COUNTIFS($S$5:$S$1000,$S66,$V$5:$V$1000,"Macro",$H$5:$H$1000,"&gt;0"))))</f>
        <v/>
      </c>
      <c r="AH66" s="62" t="n"/>
      <c r="AI66" s="62" t="n"/>
      <c r="AJ66" s="62" t="n"/>
      <c r="AK66" s="62" t="n"/>
      <c r="AL66" s="62">
        <f>IF(LEFT($C66,11)="[Jefatura] ",IFERROR(MATCH("Asistente Técnico de Riesgo|"&amp;MID($C66,12,500),rDname_ADM,0),0),"")</f>
        <v/>
      </c>
      <c r="AM66" s="62">
        <f>IF(N($AL66)&gt;0,INDEX(rIni_ADM,$AL66),IF(ISNUMBER($E66),$E66,""))</f>
        <v/>
      </c>
      <c r="AN66" s="62">
        <f>IF(N($AL66)&gt;0,INDEX(rLim_ADM,$AL66),IF(ISNUMBER($F66),$F66,""))</f>
        <v/>
      </c>
    </row>
    <row r="67">
      <c r="A67" s="56">
        <f>IF(NOT((COUNTA($B67:$D67)+COUNTA($G67:$L67)+COUNTA($Q67))&gt;0),"",IF($V67="Macro",COUNTIFS($V$5:$V67,"Macro",$S$5:$S67,$S67),IF(N($U67)=0,"?",COUNTIFS(INDEX($V$5:$V$1000,1):INDEX($V$5:$V$1000,$U67-4),"Macro",INDEX($S$5:$S$1000,1):INDEX($S$5:$S$1000,$U67-4),INDEX($S$5:$S$1000,$U67-4))&amp;"."&amp;COUNTIFS($U$5:$U67,$U67,$V$5:$V67,"Sub"))))</f>
        <v/>
      </c>
      <c r="B67" s="57" t="n"/>
      <c r="C67" s="58" t="n"/>
      <c r="D67" s="58" t="n"/>
      <c r="E67" s="59">
        <f>IF(N($AL67)&gt;0,INDEX(rIni_ADM,$AL67),"")</f>
        <v/>
      </c>
      <c r="F67" s="59">
        <f>IF(N($AL67)&gt;0,INDEX(rLim_ADM,$AL67),"")</f>
        <v/>
      </c>
      <c r="G67" s="59" t="n"/>
      <c r="H67" s="60" t="n"/>
      <c r="I67" s="60" t="n"/>
      <c r="J67" s="60" t="n"/>
      <c r="K67" s="60" t="n"/>
      <c r="L67" s="60" t="n"/>
      <c r="M67" s="61">
        <f>IF(NOT((COUNTA($B67:$D67)+COUNTA($G67:$L67)+COUNTA($Q67))&gt;0),"",IF($V67="Sub",IFERROR($X67/INDEX($W$5:$W$1000,$U67-4),""),IF(ISNUMBER($G67),1,IF(N($W67)&gt;0,AVERAGEIFS($X$5:$X$1000,$U$5:$U$1000,ROW(),$V$5:$V$1000,"Sub"),$X67))))</f>
        <v/>
      </c>
      <c r="N67" s="56">
        <f>IF(OR($M67="",$V67="Sub"),"",IF($M67&gt;=1,"Completado",IF($M67&gt;0,"En curso","Pendiente")))</f>
        <v/>
      </c>
      <c r="O67" s="56">
        <f>IF(OR(NOT((COUNTA($B67:$D67)+COUNTA($G67:$L67)+COUNTA($Q67))&gt;0),$V67="Sub"),"",IF(ISNUMBER($G67),IF(AND(ISNUMBER($AN67),$G67&gt;$AN67),"Cumplida con "&amp;($G67-$AN67)&amp;IF($G67-$AN67=1," día"," días")&amp;" de retraso","Cumplida"),IF(N($M67)&gt;=1,"Cumplida",IF(NOT(ISNUMBER($AN67)),"Sin fecha límite",IF($AN67&lt;FechaRef,"Vencida hace "&amp;(FechaRef-$AN67)&amp;IF(FechaRef-$AN67=1," día"," días"),IF($AN67=FechaRef,"Vence hoy",IF($AN67-FechaRef&lt;=DiasAlerta,"Vence en "&amp;($AN67-FechaRef)&amp;IF($AN67-FechaRef=1," día"," días"),"En plazo")))))))</f>
        <v/>
      </c>
      <c r="P67" s="62" t="n"/>
      <c r="Q67" s="58" t="n"/>
      <c r="R67" s="63">
        <f>IF(NOT((COUNTA($B67:$D67)+COUNTA($G67:$L67)+COUNTA($Q67))&gt;0),"",IF((IF($C67="","Falta el nombre de la actividad"&amp;" · ","")&amp;IF(AND($V67="Sub",N($U67)=0),"Subactividad sin macroactividad arriba"&amp;" · ","")&amp;IF($AM67="","Sin fecha de inicio"&amp;" · ","")&amp;IF($AN67="","Sin fecha límite"&amp;" · ","")&amp;IF(AND(LEFT($C67,11)="[Jefatura] ",N($AL67)=0),"No se encuentra en la hoja de la jefatura (elíjala de nuevo en la lista)"&amp;" · ","")&amp;IF(OR(AND($E67&lt;&gt;"",NOT(ISNUMBER($E67))),AND($F67&lt;&gt;"",NOT(ISNUMBER($F67))),AND($G67&lt;&gt;"",NOT(ISNUMBER($G67)))),"Fecha no válida"&amp;" · ","")&amp;IF(AND(ISNUMBER($AM67),ISNUMBER($AN67),$AM67&gt;$AN67),"Inicio posterior a fecha límite"&amp;" · ","")&amp;IF(AND($V67="Macro",$H67&lt;&gt;"",OR(NOT(ISNUMBER($H67)),$H67&lt;0,$H67&gt;1)),"Peso fuera de rango"&amp;" · ","")&amp;IF(AND($V67="Sub",$H67&lt;&gt;""),"Las subactividades no llevan peso (valen igual dentro de su macroactividad)"&amp;" · ","")&amp;IF(AND(N($W67)&gt;0,COUNT($I67:$L67)&gt;0),"Con subactividades: deje vacías las semanas (se calculan solas)"&amp;" · ","")&amp;IF((COUNTIF($I67:$L67,"&gt;1")+COUNTIF($I67:$L67,"&lt;0")+COUNTA($I67:$L67)-COUNT($I67:$L67))&gt;0,"Avance fuera de rango 0-100%"&amp;" · ","")&amp;IF(OR(AND($J67&lt;&gt;"",$J67&lt;$I67),AND($K67&lt;&gt;"",$K67&lt;MAX($I67:$J67)),AND($L67&lt;&gt;"",$L67&lt;MAX($I67:$K67))),"Avance semanal decreciente"&amp;" · ","")&amp;IF(AND(ISNUMBER($AN67),$AN67&lt;FechaRef,IF($V67="Sub",N($X67),N($M67))&lt;1),"Vencida"&amp;" · ","")&amp;IF(AND(ObsObligatoria="Sí",ISNUMBER($AN67),$AN67&lt;FechaRef,IF($V67="Sub",N($X67),N($M67))&lt;1,$Q67=""),"Vencida sin observación"&amp;" · ",""))="","✔ OK","⚠ "&amp;LEFT(IF($C67="","Falta el nombre de la actividad"&amp;" · ","")&amp;IF(AND($V67="Sub",N($U67)=0),"Subactividad sin macroactividad arriba"&amp;" · ","")&amp;IF($AM67="","Sin fecha de inicio"&amp;" · ","")&amp;IF($AN67="","Sin fecha límite"&amp;" · ","")&amp;IF(AND(LEFT($C67,11)="[Jefatura] ",N($AL67)=0),"No se encuentra en la hoja de la jefatura (elíjala de nuevo en la lista)"&amp;" · ","")&amp;IF(OR(AND($E67&lt;&gt;"",NOT(ISNUMBER($E67))),AND($F67&lt;&gt;"",NOT(ISNUMBER($F67))),AND($G67&lt;&gt;"",NOT(ISNUMBER($G67)))),"Fecha no válida"&amp;" · ","")&amp;IF(AND(ISNUMBER($AM67),ISNUMBER($AN67),$AM67&gt;$AN67),"Inicio posterior a fecha límite"&amp;" · ","")&amp;IF(AND($V67="Macro",$H67&lt;&gt;"",OR(NOT(ISNUMBER($H67)),$H67&lt;0,$H67&gt;1)),"Peso fuera de rango"&amp;" · ","")&amp;IF(AND($V67="Sub",$H67&lt;&gt;""),"Las subactividades no llevan peso (valen igual dentro de su macroactividad)"&amp;" · ","")&amp;IF(AND(N($W67)&gt;0,COUNT($I67:$L67)&gt;0),"Con subactividades: deje vacías las semanas (se calculan solas)"&amp;" · ","")&amp;IF((COUNTIF($I67:$L67,"&gt;1")+COUNTIF($I67:$L67,"&lt;0")+COUNTA($I67:$L67)-COUNT($I67:$L67))&gt;0,"Avance fuera de rango 0-100%"&amp;" · ","")&amp;IF(OR(AND($J67&lt;&gt;"",$J67&lt;$I67),AND($K67&lt;&gt;"",$K67&lt;MAX($I67:$J67)),AND($L67&lt;&gt;"",$L67&lt;MAX($I67:$K67))),"Avance semanal decreciente"&amp;" · ","")&amp;IF(AND(ISNUMBER($AN67),$AN67&lt;FechaRef,IF($V67="Sub",N($X67),N($M67))&lt;1),"Vencida"&amp;" · ","")&amp;IF(AND(ObsObligatoria="Sí",ISNUMBER($AN67),$AN67&lt;FechaRef,IF($V67="Sub",N($X67),N($M67))&lt;1,$Q67=""),"Vencida sin observación"&amp;" · ",""),LEN(IF($C67="","Falta el nombre de la actividad"&amp;" · ","")&amp;IF(AND($V67="Sub",N($U67)=0),"Subactividad sin macroactividad arriba"&amp;" · ","")&amp;IF($AM67="","Sin fecha de inicio"&amp;" · ","")&amp;IF($AN67="","Sin fecha límite"&amp;" · ","")&amp;IF(AND(LEFT($C67,11)="[Jefatura] ",N($AL67)=0),"No se encuentra en la hoja de la jefatura (elíjala de nuevo en la lista)"&amp;" · ","")&amp;IF(OR(AND($E67&lt;&gt;"",NOT(ISNUMBER($E67))),AND($F67&lt;&gt;"",NOT(ISNUMBER($F67))),AND($G67&lt;&gt;"",NOT(ISNUMBER($G67)))),"Fecha no válida"&amp;" · ","")&amp;IF(AND(ISNUMBER($AM67),ISNUMBER($AN67),$AM67&gt;$AN67),"Inicio posterior a fecha límite"&amp;" · ","")&amp;IF(AND($V67="Macro",$H67&lt;&gt;"",OR(NOT(ISNUMBER($H67)),$H67&lt;0,$H67&gt;1)),"Peso fuera de rango"&amp;" · ","")&amp;IF(AND($V67="Sub",$H67&lt;&gt;""),"Las subactividades no llevan peso (valen igual dentro de su macroactividad)"&amp;" · ","")&amp;IF(AND(N($W67)&gt;0,COUNT($I67:$L67)&gt;0),"Con subactividades: deje vacías las semanas (se calculan solas)"&amp;" · ","")&amp;IF((COUNTIF($I67:$L67,"&gt;1")+COUNTIF($I67:$L67,"&lt;0")+COUNTA($I67:$L67)-COUNT($I67:$L67))&gt;0,"Avance fuera de rango 0-100%"&amp;" · ","")&amp;IF(OR(AND($J67&lt;&gt;"",$J67&lt;$I67),AND($K67&lt;&gt;"",$K67&lt;MAX($I67:$J67)),AND($L67&lt;&gt;"",$L67&lt;MAX($I67:$K67))),"Avance semanal decreciente"&amp;" · ","")&amp;IF(AND(ISNUMBER($AN67),$AN67&lt;FechaRef,IF($V67="Sub",N($X67),N($M67))&lt;1),"Vencida"&amp;" · ","")&amp;IF(AND(ObsObligatoria="Sí",ISNUMBER($AN67),$AN67&lt;FechaRef,IF($V67="Sub",N($X67),N($M67))&lt;1,$Q67=""),"Vencida sin observación"&amp;" · ",""))-3)))</f>
        <v/>
      </c>
      <c r="S67" s="64">
        <f>IF(NOT((COUNTA($B67:$D67)+COUNTA($G67:$L67)+COUNTA($Q67))&gt;0),"",IF(AND($V67="Sub",N($U67)&gt;0),IF(ISNUMBER(INDEX($AM$5:$AM$1000,$U67-4)),DATE(YEAR(INDEX($AM$5:$AM$1000,$U67-4)),MONTH(INDEX($AM$5:$AM$1000,$U67-4)),1),IF(ISNUMBER(INDEX($AN$5:$AN$1000,$U67-4)),DATE(YEAR(INDEX($AN$5:$AN$1000,$U67-4)),MONTH(INDEX($AN$5:$AN$1000,$U67-4)),1),MesCiclo)),IF(ISNUMBER($AM67),DATE(YEAR($AM67),MONTH($AM67),1),IF(ISNUMBER($AN67),DATE(YEAR($AN67),MONTH($AN67),1),MesCiclo))))</f>
        <v/>
      </c>
      <c r="T67" s="62">
        <f>IF(OR($S67="",$S67&lt;&gt;MesCiclo,$V67&lt;&gt;"Macro"),"",COUNTIFS($S$5:$S67,MesCiclo,$V$5:$V67,"Macro"))</f>
        <v/>
      </c>
      <c r="U67" s="62">
        <f>IF($V67="","",IF($V67="Macro",ROW(),IFERROR(LOOKUP(2,1/($V$5:$V67="Macro"),ROW($V$5:$V67)),0)))</f>
        <v/>
      </c>
      <c r="V67" s="62">
        <f>IF(NOT((COUNTA($B67:$D67)+COUNTA($G67:$L67)+COUNTA($Q67))&gt;0),"",IF($B67="Subactividad","Sub","Macro"))</f>
        <v/>
      </c>
      <c r="W67" s="62">
        <f>IF($V67="Macro",COUNTIFS($U$5:$U$1000,ROW(),$V$5:$V$1000,"Sub"),"")</f>
        <v/>
      </c>
      <c r="X67" s="62">
        <f>IF($V67="","",IF(ISNUMBER($G67),1,IFERROR(LOOKUP(2,1/($I67:$L67&lt;&gt;""),$I67:$L67),0)))</f>
        <v/>
      </c>
      <c r="Y67" s="62">
        <f>IF($V67="","",IF(AND(ISNUMBER($G67),$G67&lt;=IF($S67=MesCiclo,InicioCiclo,$S67+MOD(2-WEEKDAY($S67),7))+6),1,IF(ISNUMBER($I67),$I67,0)))</f>
        <v/>
      </c>
      <c r="Z67" s="62">
        <f>IF($V67="","",IF(AND(ISNUMBER($G67),$G67&lt;=IF($S67=MesCiclo,InicioCiclo,$S67+MOD(2-WEEKDAY($S67),7))+13),1,IF(ISNUMBER($J67),$J67,$Y67)))</f>
        <v/>
      </c>
      <c r="AA67" s="62">
        <f>IF($V67="","",IF(AND(ISNUMBER($G67),$G67&lt;=IF($S67=MesCiclo,InicioCiclo,$S67+MOD(2-WEEKDAY($S67),7))+20),1,IF(ISNUMBER($K67),$K67,$Z67)))</f>
        <v/>
      </c>
      <c r="AB67" s="62">
        <f>IF($V67="","",IF(AND(ISNUMBER($G67),$G67&lt;=IF($S67=MesCiclo,InicioCiclo,$S67+MOD(2-WEEKDAY($S67),7))+27),1,IF(ISNUMBER($L67),$L67,$AA67)))</f>
        <v/>
      </c>
      <c r="AC67" s="62">
        <f>IF($V67="","",IF(AND(ISNUMBER($G67),$G67&lt;=IF($S67=MesCiclo,InicioCiclo,$S67+MOD(2-WEEKDAY($S67),7))+6),1,IF(N($W67)&gt;0,AVERAGEIFS($Y$5:$Y$1000,$U$5:$U$1000,ROW(),$V$5:$V$1000,"Sub"),$Y67)))</f>
        <v/>
      </c>
      <c r="AD67" s="62">
        <f>IF($V67="","",IF(AND(ISNUMBER($G67),$G67&lt;=IF($S67=MesCiclo,InicioCiclo,$S67+MOD(2-WEEKDAY($S67),7))+13),1,IF(N($W67)&gt;0,AVERAGEIFS($Z$5:$Z$1000,$U$5:$U$1000,ROW(),$V$5:$V$1000,"Sub"),$Z67)))</f>
        <v/>
      </c>
      <c r="AE67" s="62">
        <f>IF($V67="","",IF(AND(ISNUMBER($G67),$G67&lt;=IF($S67=MesCiclo,InicioCiclo,$S67+MOD(2-WEEKDAY($S67),7))+20),1,IF(N($W67)&gt;0,AVERAGEIFS($AA$5:$AA$1000,$U$5:$U$1000,ROW(),$V$5:$V$1000,"Sub"),$AA67)))</f>
        <v/>
      </c>
      <c r="AF67" s="62">
        <f>IF($V67="","",IF(AND(ISNUMBER($G67),$G67&lt;=IF($S67=MesCiclo,InicioCiclo,$S67+MOD(2-WEEKDAY($S67),7))+27),1,IF(N($W67)&gt;0,AVERAGEIFS($AB$5:$AB$1000,$U$5:$U$1000,ROW(),$V$5:$V$1000,"Sub"),$AB67)))</f>
        <v/>
      </c>
      <c r="AG67" s="62">
        <f>IF($V67&lt;&gt;"Macro","",IF(COUNTIFS($S$5:$S$1000,$S67,$V$5:$V$1000,"Macro",$H$5:$H$1000,"&gt;0")=0,1/COUNTIFS($S$5:$S$1000,$S67,$V$5:$V$1000,"Macro"),IF(AND(ISNUMBER($H67),N($H67)&gt;0),$H67,SUMIFS($H$5:$H$1000,$S$5:$S$1000,$S67,$V$5:$V$1000,"Macro")/COUNTIFS($S$5:$S$1000,$S67,$V$5:$V$1000,"Macro",$H$5:$H$1000,"&gt;0"))/(COUNTIFS($S$5:$S$1000,$S67,$V$5:$V$1000,"Macro")*SUMIFS($H$5:$H$1000,$S$5:$S$1000,$S67,$V$5:$V$1000,"Macro")/COUNTIFS($S$5:$S$1000,$S67,$V$5:$V$1000,"Macro",$H$5:$H$1000,"&gt;0"))))</f>
        <v/>
      </c>
      <c r="AH67" s="62" t="n"/>
      <c r="AI67" s="62" t="n"/>
      <c r="AJ67" s="62" t="n"/>
      <c r="AK67" s="62" t="n"/>
      <c r="AL67" s="62">
        <f>IF(LEFT($C67,11)="[Jefatura] ",IFERROR(MATCH("Asistente Técnico de Riesgo|"&amp;MID($C67,12,500),rDname_ADM,0),0),"")</f>
        <v/>
      </c>
      <c r="AM67" s="62">
        <f>IF(N($AL67)&gt;0,INDEX(rIni_ADM,$AL67),IF(ISNUMBER($E67),$E67,""))</f>
        <v/>
      </c>
      <c r="AN67" s="62">
        <f>IF(N($AL67)&gt;0,INDEX(rLim_ADM,$AL67),IF(ISNUMBER($F67),$F67,""))</f>
        <v/>
      </c>
    </row>
    <row r="68">
      <c r="A68" s="56">
        <f>IF(NOT((COUNTA($B68:$D68)+COUNTA($G68:$L68)+COUNTA($Q68))&gt;0),"",IF($V68="Macro",COUNTIFS($V$5:$V68,"Macro",$S$5:$S68,$S68),IF(N($U68)=0,"?",COUNTIFS(INDEX($V$5:$V$1000,1):INDEX($V$5:$V$1000,$U68-4),"Macro",INDEX($S$5:$S$1000,1):INDEX($S$5:$S$1000,$U68-4),INDEX($S$5:$S$1000,$U68-4))&amp;"."&amp;COUNTIFS($U$5:$U68,$U68,$V$5:$V68,"Sub"))))</f>
        <v/>
      </c>
      <c r="B68" s="57" t="n"/>
      <c r="C68" s="58" t="n"/>
      <c r="D68" s="58" t="n"/>
      <c r="E68" s="59">
        <f>IF(N($AL68)&gt;0,INDEX(rIni_ADM,$AL68),"")</f>
        <v/>
      </c>
      <c r="F68" s="59">
        <f>IF(N($AL68)&gt;0,INDEX(rLim_ADM,$AL68),"")</f>
        <v/>
      </c>
      <c r="G68" s="59" t="n"/>
      <c r="H68" s="60" t="n"/>
      <c r="I68" s="60" t="n"/>
      <c r="J68" s="60" t="n"/>
      <c r="K68" s="60" t="n"/>
      <c r="L68" s="60" t="n"/>
      <c r="M68" s="61">
        <f>IF(NOT((COUNTA($B68:$D68)+COUNTA($G68:$L68)+COUNTA($Q68))&gt;0),"",IF($V68="Sub",IFERROR($X68/INDEX($W$5:$W$1000,$U68-4),""),IF(ISNUMBER($G68),1,IF(N($W68)&gt;0,AVERAGEIFS($X$5:$X$1000,$U$5:$U$1000,ROW(),$V$5:$V$1000,"Sub"),$X68))))</f>
        <v/>
      </c>
      <c r="N68" s="56">
        <f>IF(OR($M68="",$V68="Sub"),"",IF($M68&gt;=1,"Completado",IF($M68&gt;0,"En curso","Pendiente")))</f>
        <v/>
      </c>
      <c r="O68" s="56">
        <f>IF(OR(NOT((COUNTA($B68:$D68)+COUNTA($G68:$L68)+COUNTA($Q68))&gt;0),$V68="Sub"),"",IF(ISNUMBER($G68),IF(AND(ISNUMBER($AN68),$G68&gt;$AN68),"Cumplida con "&amp;($G68-$AN68)&amp;IF($G68-$AN68=1," día"," días")&amp;" de retraso","Cumplida"),IF(N($M68)&gt;=1,"Cumplida",IF(NOT(ISNUMBER($AN68)),"Sin fecha límite",IF($AN68&lt;FechaRef,"Vencida hace "&amp;(FechaRef-$AN68)&amp;IF(FechaRef-$AN68=1," día"," días"),IF($AN68=FechaRef,"Vence hoy",IF($AN68-FechaRef&lt;=DiasAlerta,"Vence en "&amp;($AN68-FechaRef)&amp;IF($AN68-FechaRef=1," día"," días"),"En plazo")))))))</f>
        <v/>
      </c>
      <c r="P68" s="62" t="n"/>
      <c r="Q68" s="58" t="n"/>
      <c r="R68" s="63">
        <f>IF(NOT((COUNTA($B68:$D68)+COUNTA($G68:$L68)+COUNTA($Q68))&gt;0),"",IF((IF($C68="","Falta el nombre de la actividad"&amp;" · ","")&amp;IF(AND($V68="Sub",N($U68)=0),"Subactividad sin macroactividad arriba"&amp;" · ","")&amp;IF($AM68="","Sin fecha de inicio"&amp;" · ","")&amp;IF($AN68="","Sin fecha límite"&amp;" · ","")&amp;IF(AND(LEFT($C68,11)="[Jefatura] ",N($AL68)=0),"No se encuentra en la hoja de la jefatura (elíjala de nuevo en la lista)"&amp;" · ","")&amp;IF(OR(AND($E68&lt;&gt;"",NOT(ISNUMBER($E68))),AND($F68&lt;&gt;"",NOT(ISNUMBER($F68))),AND($G68&lt;&gt;"",NOT(ISNUMBER($G68)))),"Fecha no válida"&amp;" · ","")&amp;IF(AND(ISNUMBER($AM68),ISNUMBER($AN68),$AM68&gt;$AN68),"Inicio posterior a fecha límite"&amp;" · ","")&amp;IF(AND($V68="Macro",$H68&lt;&gt;"",OR(NOT(ISNUMBER($H68)),$H68&lt;0,$H68&gt;1)),"Peso fuera de rango"&amp;" · ","")&amp;IF(AND($V68="Sub",$H68&lt;&gt;""),"Las subactividades no llevan peso (valen igual dentro de su macroactividad)"&amp;" · ","")&amp;IF(AND(N($W68)&gt;0,COUNT($I68:$L68)&gt;0),"Con subactividades: deje vacías las semanas (se calculan solas)"&amp;" · ","")&amp;IF((COUNTIF($I68:$L68,"&gt;1")+COUNTIF($I68:$L68,"&lt;0")+COUNTA($I68:$L68)-COUNT($I68:$L68))&gt;0,"Avance fuera de rango 0-100%"&amp;" · ","")&amp;IF(OR(AND($J68&lt;&gt;"",$J68&lt;$I68),AND($K68&lt;&gt;"",$K68&lt;MAX($I68:$J68)),AND($L68&lt;&gt;"",$L68&lt;MAX($I68:$K68))),"Avance semanal decreciente"&amp;" · ","")&amp;IF(AND(ISNUMBER($AN68),$AN68&lt;FechaRef,IF($V68="Sub",N($X68),N($M68))&lt;1),"Vencida"&amp;" · ","")&amp;IF(AND(ObsObligatoria="Sí",ISNUMBER($AN68),$AN68&lt;FechaRef,IF($V68="Sub",N($X68),N($M68))&lt;1,$Q68=""),"Vencida sin observación"&amp;" · ",""))="","✔ OK","⚠ "&amp;LEFT(IF($C68="","Falta el nombre de la actividad"&amp;" · ","")&amp;IF(AND($V68="Sub",N($U68)=0),"Subactividad sin macroactividad arriba"&amp;" · ","")&amp;IF($AM68="","Sin fecha de inicio"&amp;" · ","")&amp;IF($AN68="","Sin fecha límite"&amp;" · ","")&amp;IF(AND(LEFT($C68,11)="[Jefatura] ",N($AL68)=0),"No se encuentra en la hoja de la jefatura (elíjala de nuevo en la lista)"&amp;" · ","")&amp;IF(OR(AND($E68&lt;&gt;"",NOT(ISNUMBER($E68))),AND($F68&lt;&gt;"",NOT(ISNUMBER($F68))),AND($G68&lt;&gt;"",NOT(ISNUMBER($G68)))),"Fecha no válida"&amp;" · ","")&amp;IF(AND(ISNUMBER($AM68),ISNUMBER($AN68),$AM68&gt;$AN68),"Inicio posterior a fecha límite"&amp;" · ","")&amp;IF(AND($V68="Macro",$H68&lt;&gt;"",OR(NOT(ISNUMBER($H68)),$H68&lt;0,$H68&gt;1)),"Peso fuera de rango"&amp;" · ","")&amp;IF(AND($V68="Sub",$H68&lt;&gt;""),"Las subactividades no llevan peso (valen igual dentro de su macroactividad)"&amp;" · ","")&amp;IF(AND(N($W68)&gt;0,COUNT($I68:$L68)&gt;0),"Con subactividades: deje vacías las semanas (se calculan solas)"&amp;" · ","")&amp;IF((COUNTIF($I68:$L68,"&gt;1")+COUNTIF($I68:$L68,"&lt;0")+COUNTA($I68:$L68)-COUNT($I68:$L68))&gt;0,"Avance fuera de rango 0-100%"&amp;" · ","")&amp;IF(OR(AND($J68&lt;&gt;"",$J68&lt;$I68),AND($K68&lt;&gt;"",$K68&lt;MAX($I68:$J68)),AND($L68&lt;&gt;"",$L68&lt;MAX($I68:$K68))),"Avance semanal decreciente"&amp;" · ","")&amp;IF(AND(ISNUMBER($AN68),$AN68&lt;FechaRef,IF($V68="Sub",N($X68),N($M68))&lt;1),"Vencida"&amp;" · ","")&amp;IF(AND(ObsObligatoria="Sí",ISNUMBER($AN68),$AN68&lt;FechaRef,IF($V68="Sub",N($X68),N($M68))&lt;1,$Q68=""),"Vencida sin observación"&amp;" · ",""),LEN(IF($C68="","Falta el nombre de la actividad"&amp;" · ","")&amp;IF(AND($V68="Sub",N($U68)=0),"Subactividad sin macroactividad arriba"&amp;" · ","")&amp;IF($AM68="","Sin fecha de inicio"&amp;" · ","")&amp;IF($AN68="","Sin fecha límite"&amp;" · ","")&amp;IF(AND(LEFT($C68,11)="[Jefatura] ",N($AL68)=0),"No se encuentra en la hoja de la jefatura (elíjala de nuevo en la lista)"&amp;" · ","")&amp;IF(OR(AND($E68&lt;&gt;"",NOT(ISNUMBER($E68))),AND($F68&lt;&gt;"",NOT(ISNUMBER($F68))),AND($G68&lt;&gt;"",NOT(ISNUMBER($G68)))),"Fecha no válida"&amp;" · ","")&amp;IF(AND(ISNUMBER($AM68),ISNUMBER($AN68),$AM68&gt;$AN68),"Inicio posterior a fecha límite"&amp;" · ","")&amp;IF(AND($V68="Macro",$H68&lt;&gt;"",OR(NOT(ISNUMBER($H68)),$H68&lt;0,$H68&gt;1)),"Peso fuera de rango"&amp;" · ","")&amp;IF(AND($V68="Sub",$H68&lt;&gt;""),"Las subactividades no llevan peso (valen igual dentro de su macroactividad)"&amp;" · ","")&amp;IF(AND(N($W68)&gt;0,COUNT($I68:$L68)&gt;0),"Con subactividades: deje vacías las semanas (se calculan solas)"&amp;" · ","")&amp;IF((COUNTIF($I68:$L68,"&gt;1")+COUNTIF($I68:$L68,"&lt;0")+COUNTA($I68:$L68)-COUNT($I68:$L68))&gt;0,"Avance fuera de rango 0-100%"&amp;" · ","")&amp;IF(OR(AND($J68&lt;&gt;"",$J68&lt;$I68),AND($K68&lt;&gt;"",$K68&lt;MAX($I68:$J68)),AND($L68&lt;&gt;"",$L68&lt;MAX($I68:$K68))),"Avance semanal decreciente"&amp;" · ","")&amp;IF(AND(ISNUMBER($AN68),$AN68&lt;FechaRef,IF($V68="Sub",N($X68),N($M68))&lt;1),"Vencida"&amp;" · ","")&amp;IF(AND(ObsObligatoria="Sí",ISNUMBER($AN68),$AN68&lt;FechaRef,IF($V68="Sub",N($X68),N($M68))&lt;1,$Q68=""),"Vencida sin observación"&amp;" · ",""))-3)))</f>
        <v/>
      </c>
      <c r="S68" s="64">
        <f>IF(NOT((COUNTA($B68:$D68)+COUNTA($G68:$L68)+COUNTA($Q68))&gt;0),"",IF(AND($V68="Sub",N($U68)&gt;0),IF(ISNUMBER(INDEX($AM$5:$AM$1000,$U68-4)),DATE(YEAR(INDEX($AM$5:$AM$1000,$U68-4)),MONTH(INDEX($AM$5:$AM$1000,$U68-4)),1),IF(ISNUMBER(INDEX($AN$5:$AN$1000,$U68-4)),DATE(YEAR(INDEX($AN$5:$AN$1000,$U68-4)),MONTH(INDEX($AN$5:$AN$1000,$U68-4)),1),MesCiclo)),IF(ISNUMBER($AM68),DATE(YEAR($AM68),MONTH($AM68),1),IF(ISNUMBER($AN68),DATE(YEAR($AN68),MONTH($AN68),1),MesCiclo))))</f>
        <v/>
      </c>
      <c r="T68" s="62">
        <f>IF(OR($S68="",$S68&lt;&gt;MesCiclo,$V68&lt;&gt;"Macro"),"",COUNTIFS($S$5:$S68,MesCiclo,$V$5:$V68,"Macro"))</f>
        <v/>
      </c>
      <c r="U68" s="62">
        <f>IF($V68="","",IF($V68="Macro",ROW(),IFERROR(LOOKUP(2,1/($V$5:$V68="Macro"),ROW($V$5:$V68)),0)))</f>
        <v/>
      </c>
      <c r="V68" s="62">
        <f>IF(NOT((COUNTA($B68:$D68)+COUNTA($G68:$L68)+COUNTA($Q68))&gt;0),"",IF($B68="Subactividad","Sub","Macro"))</f>
        <v/>
      </c>
      <c r="W68" s="62">
        <f>IF($V68="Macro",COUNTIFS($U$5:$U$1000,ROW(),$V$5:$V$1000,"Sub"),"")</f>
        <v/>
      </c>
      <c r="X68" s="62">
        <f>IF($V68="","",IF(ISNUMBER($G68),1,IFERROR(LOOKUP(2,1/($I68:$L68&lt;&gt;""),$I68:$L68),0)))</f>
        <v/>
      </c>
      <c r="Y68" s="62">
        <f>IF($V68="","",IF(AND(ISNUMBER($G68),$G68&lt;=IF($S68=MesCiclo,InicioCiclo,$S68+MOD(2-WEEKDAY($S68),7))+6),1,IF(ISNUMBER($I68),$I68,0)))</f>
        <v/>
      </c>
      <c r="Z68" s="62">
        <f>IF($V68="","",IF(AND(ISNUMBER($G68),$G68&lt;=IF($S68=MesCiclo,InicioCiclo,$S68+MOD(2-WEEKDAY($S68),7))+13),1,IF(ISNUMBER($J68),$J68,$Y68)))</f>
        <v/>
      </c>
      <c r="AA68" s="62">
        <f>IF($V68="","",IF(AND(ISNUMBER($G68),$G68&lt;=IF($S68=MesCiclo,InicioCiclo,$S68+MOD(2-WEEKDAY($S68),7))+20),1,IF(ISNUMBER($K68),$K68,$Z68)))</f>
        <v/>
      </c>
      <c r="AB68" s="62">
        <f>IF($V68="","",IF(AND(ISNUMBER($G68),$G68&lt;=IF($S68=MesCiclo,InicioCiclo,$S68+MOD(2-WEEKDAY($S68),7))+27),1,IF(ISNUMBER($L68),$L68,$AA68)))</f>
        <v/>
      </c>
      <c r="AC68" s="62">
        <f>IF($V68="","",IF(AND(ISNUMBER($G68),$G68&lt;=IF($S68=MesCiclo,InicioCiclo,$S68+MOD(2-WEEKDAY($S68),7))+6),1,IF(N($W68)&gt;0,AVERAGEIFS($Y$5:$Y$1000,$U$5:$U$1000,ROW(),$V$5:$V$1000,"Sub"),$Y68)))</f>
        <v/>
      </c>
      <c r="AD68" s="62">
        <f>IF($V68="","",IF(AND(ISNUMBER($G68),$G68&lt;=IF($S68=MesCiclo,InicioCiclo,$S68+MOD(2-WEEKDAY($S68),7))+13),1,IF(N($W68)&gt;0,AVERAGEIFS($Z$5:$Z$1000,$U$5:$U$1000,ROW(),$V$5:$V$1000,"Sub"),$Z68)))</f>
        <v/>
      </c>
      <c r="AE68" s="62">
        <f>IF($V68="","",IF(AND(ISNUMBER($G68),$G68&lt;=IF($S68=MesCiclo,InicioCiclo,$S68+MOD(2-WEEKDAY($S68),7))+20),1,IF(N($W68)&gt;0,AVERAGEIFS($AA$5:$AA$1000,$U$5:$U$1000,ROW(),$V$5:$V$1000,"Sub"),$AA68)))</f>
        <v/>
      </c>
      <c r="AF68" s="62">
        <f>IF($V68="","",IF(AND(ISNUMBER($G68),$G68&lt;=IF($S68=MesCiclo,InicioCiclo,$S68+MOD(2-WEEKDAY($S68),7))+27),1,IF(N($W68)&gt;0,AVERAGEIFS($AB$5:$AB$1000,$U$5:$U$1000,ROW(),$V$5:$V$1000,"Sub"),$AB68)))</f>
        <v/>
      </c>
      <c r="AG68" s="62">
        <f>IF($V68&lt;&gt;"Macro","",IF(COUNTIFS($S$5:$S$1000,$S68,$V$5:$V$1000,"Macro",$H$5:$H$1000,"&gt;0")=0,1/COUNTIFS($S$5:$S$1000,$S68,$V$5:$V$1000,"Macro"),IF(AND(ISNUMBER($H68),N($H68)&gt;0),$H68,SUMIFS($H$5:$H$1000,$S$5:$S$1000,$S68,$V$5:$V$1000,"Macro")/COUNTIFS($S$5:$S$1000,$S68,$V$5:$V$1000,"Macro",$H$5:$H$1000,"&gt;0"))/(COUNTIFS($S$5:$S$1000,$S68,$V$5:$V$1000,"Macro")*SUMIFS($H$5:$H$1000,$S$5:$S$1000,$S68,$V$5:$V$1000,"Macro")/COUNTIFS($S$5:$S$1000,$S68,$V$5:$V$1000,"Macro",$H$5:$H$1000,"&gt;0"))))</f>
        <v/>
      </c>
      <c r="AH68" s="62" t="n"/>
      <c r="AI68" s="62" t="n"/>
      <c r="AJ68" s="62" t="n"/>
      <c r="AK68" s="62" t="n"/>
      <c r="AL68" s="62">
        <f>IF(LEFT($C68,11)="[Jefatura] ",IFERROR(MATCH("Asistente Técnico de Riesgo|"&amp;MID($C68,12,500),rDname_ADM,0),0),"")</f>
        <v/>
      </c>
      <c r="AM68" s="62">
        <f>IF(N($AL68)&gt;0,INDEX(rIni_ADM,$AL68),IF(ISNUMBER($E68),$E68,""))</f>
        <v/>
      </c>
      <c r="AN68" s="62">
        <f>IF(N($AL68)&gt;0,INDEX(rLim_ADM,$AL68),IF(ISNUMBER($F68),$F68,""))</f>
        <v/>
      </c>
    </row>
    <row r="69">
      <c r="A69" s="56">
        <f>IF(NOT((COUNTA($B69:$D69)+COUNTA($G69:$L69)+COUNTA($Q69))&gt;0),"",IF($V69="Macro",COUNTIFS($V$5:$V69,"Macro",$S$5:$S69,$S69),IF(N($U69)=0,"?",COUNTIFS(INDEX($V$5:$V$1000,1):INDEX($V$5:$V$1000,$U69-4),"Macro",INDEX($S$5:$S$1000,1):INDEX($S$5:$S$1000,$U69-4),INDEX($S$5:$S$1000,$U69-4))&amp;"."&amp;COUNTIFS($U$5:$U69,$U69,$V$5:$V69,"Sub"))))</f>
        <v/>
      </c>
      <c r="B69" s="57" t="n"/>
      <c r="C69" s="58" t="n"/>
      <c r="D69" s="58" t="n"/>
      <c r="E69" s="59">
        <f>IF(N($AL69)&gt;0,INDEX(rIni_ADM,$AL69),"")</f>
        <v/>
      </c>
      <c r="F69" s="59">
        <f>IF(N($AL69)&gt;0,INDEX(rLim_ADM,$AL69),"")</f>
        <v/>
      </c>
      <c r="G69" s="59" t="n"/>
      <c r="H69" s="60" t="n"/>
      <c r="I69" s="60" t="n"/>
      <c r="J69" s="60" t="n"/>
      <c r="K69" s="60" t="n"/>
      <c r="L69" s="60" t="n"/>
      <c r="M69" s="61">
        <f>IF(NOT((COUNTA($B69:$D69)+COUNTA($G69:$L69)+COUNTA($Q69))&gt;0),"",IF($V69="Sub",IFERROR($X69/INDEX($W$5:$W$1000,$U69-4),""),IF(ISNUMBER($G69),1,IF(N($W69)&gt;0,AVERAGEIFS($X$5:$X$1000,$U$5:$U$1000,ROW(),$V$5:$V$1000,"Sub"),$X69))))</f>
        <v/>
      </c>
      <c r="N69" s="56">
        <f>IF(OR($M69="",$V69="Sub"),"",IF($M69&gt;=1,"Completado",IF($M69&gt;0,"En curso","Pendiente")))</f>
        <v/>
      </c>
      <c r="O69" s="56">
        <f>IF(OR(NOT((COUNTA($B69:$D69)+COUNTA($G69:$L69)+COUNTA($Q69))&gt;0),$V69="Sub"),"",IF(ISNUMBER($G69),IF(AND(ISNUMBER($AN69),$G69&gt;$AN69),"Cumplida con "&amp;($G69-$AN69)&amp;IF($G69-$AN69=1," día"," días")&amp;" de retraso","Cumplida"),IF(N($M69)&gt;=1,"Cumplida",IF(NOT(ISNUMBER($AN69)),"Sin fecha límite",IF($AN69&lt;FechaRef,"Vencida hace "&amp;(FechaRef-$AN69)&amp;IF(FechaRef-$AN69=1," día"," días"),IF($AN69=FechaRef,"Vence hoy",IF($AN69-FechaRef&lt;=DiasAlerta,"Vence en "&amp;($AN69-FechaRef)&amp;IF($AN69-FechaRef=1," día"," días"),"En plazo")))))))</f>
        <v/>
      </c>
      <c r="P69" s="62" t="n"/>
      <c r="Q69" s="58" t="n"/>
      <c r="R69" s="63">
        <f>IF(NOT((COUNTA($B69:$D69)+COUNTA($G69:$L69)+COUNTA($Q69))&gt;0),"",IF((IF($C69="","Falta el nombre de la actividad"&amp;" · ","")&amp;IF(AND($V69="Sub",N($U69)=0),"Subactividad sin macroactividad arriba"&amp;" · ","")&amp;IF($AM69="","Sin fecha de inicio"&amp;" · ","")&amp;IF($AN69="","Sin fecha límite"&amp;" · ","")&amp;IF(AND(LEFT($C69,11)="[Jefatura] ",N($AL69)=0),"No se encuentra en la hoja de la jefatura (elíjala de nuevo en la lista)"&amp;" · ","")&amp;IF(OR(AND($E69&lt;&gt;"",NOT(ISNUMBER($E69))),AND($F69&lt;&gt;"",NOT(ISNUMBER($F69))),AND($G69&lt;&gt;"",NOT(ISNUMBER($G69)))),"Fecha no válida"&amp;" · ","")&amp;IF(AND(ISNUMBER($AM69),ISNUMBER($AN69),$AM69&gt;$AN69),"Inicio posterior a fecha límite"&amp;" · ","")&amp;IF(AND($V69="Macro",$H69&lt;&gt;"",OR(NOT(ISNUMBER($H69)),$H69&lt;0,$H69&gt;1)),"Peso fuera de rango"&amp;" · ","")&amp;IF(AND($V69="Sub",$H69&lt;&gt;""),"Las subactividades no llevan peso (valen igual dentro de su macroactividad)"&amp;" · ","")&amp;IF(AND(N($W69)&gt;0,COUNT($I69:$L69)&gt;0),"Con subactividades: deje vacías las semanas (se calculan solas)"&amp;" · ","")&amp;IF((COUNTIF($I69:$L69,"&gt;1")+COUNTIF($I69:$L69,"&lt;0")+COUNTA($I69:$L69)-COUNT($I69:$L69))&gt;0,"Avance fuera de rango 0-100%"&amp;" · ","")&amp;IF(OR(AND($J69&lt;&gt;"",$J69&lt;$I69),AND($K69&lt;&gt;"",$K69&lt;MAX($I69:$J69)),AND($L69&lt;&gt;"",$L69&lt;MAX($I69:$K69))),"Avance semanal decreciente"&amp;" · ","")&amp;IF(AND(ISNUMBER($AN69),$AN69&lt;FechaRef,IF($V69="Sub",N($X69),N($M69))&lt;1),"Vencida"&amp;" · ","")&amp;IF(AND(ObsObligatoria="Sí",ISNUMBER($AN69),$AN69&lt;FechaRef,IF($V69="Sub",N($X69),N($M69))&lt;1,$Q69=""),"Vencida sin observación"&amp;" · ",""))="","✔ OK","⚠ "&amp;LEFT(IF($C69="","Falta el nombre de la actividad"&amp;" · ","")&amp;IF(AND($V69="Sub",N($U69)=0),"Subactividad sin macroactividad arriba"&amp;" · ","")&amp;IF($AM69="","Sin fecha de inicio"&amp;" · ","")&amp;IF($AN69="","Sin fecha límite"&amp;" · ","")&amp;IF(AND(LEFT($C69,11)="[Jefatura] ",N($AL69)=0),"No se encuentra en la hoja de la jefatura (elíjala de nuevo en la lista)"&amp;" · ","")&amp;IF(OR(AND($E69&lt;&gt;"",NOT(ISNUMBER($E69))),AND($F69&lt;&gt;"",NOT(ISNUMBER($F69))),AND($G69&lt;&gt;"",NOT(ISNUMBER($G69)))),"Fecha no válida"&amp;" · ","")&amp;IF(AND(ISNUMBER($AM69),ISNUMBER($AN69),$AM69&gt;$AN69),"Inicio posterior a fecha límite"&amp;" · ","")&amp;IF(AND($V69="Macro",$H69&lt;&gt;"",OR(NOT(ISNUMBER($H69)),$H69&lt;0,$H69&gt;1)),"Peso fuera de rango"&amp;" · ","")&amp;IF(AND($V69="Sub",$H69&lt;&gt;""),"Las subactividades no llevan peso (valen igual dentro de su macroactividad)"&amp;" · ","")&amp;IF(AND(N($W69)&gt;0,COUNT($I69:$L69)&gt;0),"Con subactividades: deje vacías las semanas (se calculan solas)"&amp;" · ","")&amp;IF((COUNTIF($I69:$L69,"&gt;1")+COUNTIF($I69:$L69,"&lt;0")+COUNTA($I69:$L69)-COUNT($I69:$L69))&gt;0,"Avance fuera de rango 0-100%"&amp;" · ","")&amp;IF(OR(AND($J69&lt;&gt;"",$J69&lt;$I69),AND($K69&lt;&gt;"",$K69&lt;MAX($I69:$J69)),AND($L69&lt;&gt;"",$L69&lt;MAX($I69:$K69))),"Avance semanal decreciente"&amp;" · ","")&amp;IF(AND(ISNUMBER($AN69),$AN69&lt;FechaRef,IF($V69="Sub",N($X69),N($M69))&lt;1),"Vencida"&amp;" · ","")&amp;IF(AND(ObsObligatoria="Sí",ISNUMBER($AN69),$AN69&lt;FechaRef,IF($V69="Sub",N($X69),N($M69))&lt;1,$Q69=""),"Vencida sin observación"&amp;" · ",""),LEN(IF($C69="","Falta el nombre de la actividad"&amp;" · ","")&amp;IF(AND($V69="Sub",N($U69)=0),"Subactividad sin macroactividad arriba"&amp;" · ","")&amp;IF($AM69="","Sin fecha de inicio"&amp;" · ","")&amp;IF($AN69="","Sin fecha límite"&amp;" · ","")&amp;IF(AND(LEFT($C69,11)="[Jefatura] ",N($AL69)=0),"No se encuentra en la hoja de la jefatura (elíjala de nuevo en la lista)"&amp;" · ","")&amp;IF(OR(AND($E69&lt;&gt;"",NOT(ISNUMBER($E69))),AND($F69&lt;&gt;"",NOT(ISNUMBER($F69))),AND($G69&lt;&gt;"",NOT(ISNUMBER($G69)))),"Fecha no válida"&amp;" · ","")&amp;IF(AND(ISNUMBER($AM69),ISNUMBER($AN69),$AM69&gt;$AN69),"Inicio posterior a fecha límite"&amp;" · ","")&amp;IF(AND($V69="Macro",$H69&lt;&gt;"",OR(NOT(ISNUMBER($H69)),$H69&lt;0,$H69&gt;1)),"Peso fuera de rango"&amp;" · ","")&amp;IF(AND($V69="Sub",$H69&lt;&gt;""),"Las subactividades no llevan peso (valen igual dentro de su macroactividad)"&amp;" · ","")&amp;IF(AND(N($W69)&gt;0,COUNT($I69:$L69)&gt;0),"Con subactividades: deje vacías las semanas (se calculan solas)"&amp;" · ","")&amp;IF((COUNTIF($I69:$L69,"&gt;1")+COUNTIF($I69:$L69,"&lt;0")+COUNTA($I69:$L69)-COUNT($I69:$L69))&gt;0,"Avance fuera de rango 0-100%"&amp;" · ","")&amp;IF(OR(AND($J69&lt;&gt;"",$J69&lt;$I69),AND($K69&lt;&gt;"",$K69&lt;MAX($I69:$J69)),AND($L69&lt;&gt;"",$L69&lt;MAX($I69:$K69))),"Avance semanal decreciente"&amp;" · ","")&amp;IF(AND(ISNUMBER($AN69),$AN69&lt;FechaRef,IF($V69="Sub",N($X69),N($M69))&lt;1),"Vencida"&amp;" · ","")&amp;IF(AND(ObsObligatoria="Sí",ISNUMBER($AN69),$AN69&lt;FechaRef,IF($V69="Sub",N($X69),N($M69))&lt;1,$Q69=""),"Vencida sin observación"&amp;" · ",""))-3)))</f>
        <v/>
      </c>
      <c r="S69" s="64">
        <f>IF(NOT((COUNTA($B69:$D69)+COUNTA($G69:$L69)+COUNTA($Q69))&gt;0),"",IF(AND($V69="Sub",N($U69)&gt;0),IF(ISNUMBER(INDEX($AM$5:$AM$1000,$U69-4)),DATE(YEAR(INDEX($AM$5:$AM$1000,$U69-4)),MONTH(INDEX($AM$5:$AM$1000,$U69-4)),1),IF(ISNUMBER(INDEX($AN$5:$AN$1000,$U69-4)),DATE(YEAR(INDEX($AN$5:$AN$1000,$U69-4)),MONTH(INDEX($AN$5:$AN$1000,$U69-4)),1),MesCiclo)),IF(ISNUMBER($AM69),DATE(YEAR($AM69),MONTH($AM69),1),IF(ISNUMBER($AN69),DATE(YEAR($AN69),MONTH($AN69),1),MesCiclo))))</f>
        <v/>
      </c>
      <c r="T69" s="62">
        <f>IF(OR($S69="",$S69&lt;&gt;MesCiclo,$V69&lt;&gt;"Macro"),"",COUNTIFS($S$5:$S69,MesCiclo,$V$5:$V69,"Macro"))</f>
        <v/>
      </c>
      <c r="U69" s="62">
        <f>IF($V69="","",IF($V69="Macro",ROW(),IFERROR(LOOKUP(2,1/($V$5:$V69="Macro"),ROW($V$5:$V69)),0)))</f>
        <v/>
      </c>
      <c r="V69" s="62">
        <f>IF(NOT((COUNTA($B69:$D69)+COUNTA($G69:$L69)+COUNTA($Q69))&gt;0),"",IF($B69="Subactividad","Sub","Macro"))</f>
        <v/>
      </c>
      <c r="W69" s="62">
        <f>IF($V69="Macro",COUNTIFS($U$5:$U$1000,ROW(),$V$5:$V$1000,"Sub"),"")</f>
        <v/>
      </c>
      <c r="X69" s="62">
        <f>IF($V69="","",IF(ISNUMBER($G69),1,IFERROR(LOOKUP(2,1/($I69:$L69&lt;&gt;""),$I69:$L69),0)))</f>
        <v/>
      </c>
      <c r="Y69" s="62">
        <f>IF($V69="","",IF(AND(ISNUMBER($G69),$G69&lt;=IF($S69=MesCiclo,InicioCiclo,$S69+MOD(2-WEEKDAY($S69),7))+6),1,IF(ISNUMBER($I69),$I69,0)))</f>
        <v/>
      </c>
      <c r="Z69" s="62">
        <f>IF($V69="","",IF(AND(ISNUMBER($G69),$G69&lt;=IF($S69=MesCiclo,InicioCiclo,$S69+MOD(2-WEEKDAY($S69),7))+13),1,IF(ISNUMBER($J69),$J69,$Y69)))</f>
        <v/>
      </c>
      <c r="AA69" s="62">
        <f>IF($V69="","",IF(AND(ISNUMBER($G69),$G69&lt;=IF($S69=MesCiclo,InicioCiclo,$S69+MOD(2-WEEKDAY($S69),7))+20),1,IF(ISNUMBER($K69),$K69,$Z69)))</f>
        <v/>
      </c>
      <c r="AB69" s="62">
        <f>IF($V69="","",IF(AND(ISNUMBER($G69),$G69&lt;=IF($S69=MesCiclo,InicioCiclo,$S69+MOD(2-WEEKDAY($S69),7))+27),1,IF(ISNUMBER($L69),$L69,$AA69)))</f>
        <v/>
      </c>
      <c r="AC69" s="62">
        <f>IF($V69="","",IF(AND(ISNUMBER($G69),$G69&lt;=IF($S69=MesCiclo,InicioCiclo,$S69+MOD(2-WEEKDAY($S69),7))+6),1,IF(N($W69)&gt;0,AVERAGEIFS($Y$5:$Y$1000,$U$5:$U$1000,ROW(),$V$5:$V$1000,"Sub"),$Y69)))</f>
        <v/>
      </c>
      <c r="AD69" s="62">
        <f>IF($V69="","",IF(AND(ISNUMBER($G69),$G69&lt;=IF($S69=MesCiclo,InicioCiclo,$S69+MOD(2-WEEKDAY($S69),7))+13),1,IF(N($W69)&gt;0,AVERAGEIFS($Z$5:$Z$1000,$U$5:$U$1000,ROW(),$V$5:$V$1000,"Sub"),$Z69)))</f>
        <v/>
      </c>
      <c r="AE69" s="62">
        <f>IF($V69="","",IF(AND(ISNUMBER($G69),$G69&lt;=IF($S69=MesCiclo,InicioCiclo,$S69+MOD(2-WEEKDAY($S69),7))+20),1,IF(N($W69)&gt;0,AVERAGEIFS($AA$5:$AA$1000,$U$5:$U$1000,ROW(),$V$5:$V$1000,"Sub"),$AA69)))</f>
        <v/>
      </c>
      <c r="AF69" s="62">
        <f>IF($V69="","",IF(AND(ISNUMBER($G69),$G69&lt;=IF($S69=MesCiclo,InicioCiclo,$S69+MOD(2-WEEKDAY($S69),7))+27),1,IF(N($W69)&gt;0,AVERAGEIFS($AB$5:$AB$1000,$U$5:$U$1000,ROW(),$V$5:$V$1000,"Sub"),$AB69)))</f>
        <v/>
      </c>
      <c r="AG69" s="62">
        <f>IF($V69&lt;&gt;"Macro","",IF(COUNTIFS($S$5:$S$1000,$S69,$V$5:$V$1000,"Macro",$H$5:$H$1000,"&gt;0")=0,1/COUNTIFS($S$5:$S$1000,$S69,$V$5:$V$1000,"Macro"),IF(AND(ISNUMBER($H69),N($H69)&gt;0),$H69,SUMIFS($H$5:$H$1000,$S$5:$S$1000,$S69,$V$5:$V$1000,"Macro")/COUNTIFS($S$5:$S$1000,$S69,$V$5:$V$1000,"Macro",$H$5:$H$1000,"&gt;0"))/(COUNTIFS($S$5:$S$1000,$S69,$V$5:$V$1000,"Macro")*SUMIFS($H$5:$H$1000,$S$5:$S$1000,$S69,$V$5:$V$1000,"Macro")/COUNTIFS($S$5:$S$1000,$S69,$V$5:$V$1000,"Macro",$H$5:$H$1000,"&gt;0"))))</f>
        <v/>
      </c>
      <c r="AH69" s="62" t="n"/>
      <c r="AI69" s="62" t="n"/>
      <c r="AJ69" s="62" t="n"/>
      <c r="AK69" s="62" t="n"/>
      <c r="AL69" s="62">
        <f>IF(LEFT($C69,11)="[Jefatura] ",IFERROR(MATCH("Asistente Técnico de Riesgo|"&amp;MID($C69,12,500),rDname_ADM,0),0),"")</f>
        <v/>
      </c>
      <c r="AM69" s="62">
        <f>IF(N($AL69)&gt;0,INDEX(rIni_ADM,$AL69),IF(ISNUMBER($E69),$E69,""))</f>
        <v/>
      </c>
      <c r="AN69" s="62">
        <f>IF(N($AL69)&gt;0,INDEX(rLim_ADM,$AL69),IF(ISNUMBER($F69),$F69,""))</f>
        <v/>
      </c>
    </row>
    <row r="70">
      <c r="A70" s="56">
        <f>IF(NOT((COUNTA($B70:$D70)+COUNTA($G70:$L70)+COUNTA($Q70))&gt;0),"",IF($V70="Macro",COUNTIFS($V$5:$V70,"Macro",$S$5:$S70,$S70),IF(N($U70)=0,"?",COUNTIFS(INDEX($V$5:$V$1000,1):INDEX($V$5:$V$1000,$U70-4),"Macro",INDEX($S$5:$S$1000,1):INDEX($S$5:$S$1000,$U70-4),INDEX($S$5:$S$1000,$U70-4))&amp;"."&amp;COUNTIFS($U$5:$U70,$U70,$V$5:$V70,"Sub"))))</f>
        <v/>
      </c>
      <c r="B70" s="57" t="n"/>
      <c r="C70" s="58" t="n"/>
      <c r="D70" s="58" t="n"/>
      <c r="E70" s="59">
        <f>IF(N($AL70)&gt;0,INDEX(rIni_ADM,$AL70),"")</f>
        <v/>
      </c>
      <c r="F70" s="59">
        <f>IF(N($AL70)&gt;0,INDEX(rLim_ADM,$AL70),"")</f>
        <v/>
      </c>
      <c r="G70" s="59" t="n"/>
      <c r="H70" s="60" t="n"/>
      <c r="I70" s="60" t="n"/>
      <c r="J70" s="60" t="n"/>
      <c r="K70" s="60" t="n"/>
      <c r="L70" s="60" t="n"/>
      <c r="M70" s="61">
        <f>IF(NOT((COUNTA($B70:$D70)+COUNTA($G70:$L70)+COUNTA($Q70))&gt;0),"",IF($V70="Sub",IFERROR($X70/INDEX($W$5:$W$1000,$U70-4),""),IF(ISNUMBER($G70),1,IF(N($W70)&gt;0,AVERAGEIFS($X$5:$X$1000,$U$5:$U$1000,ROW(),$V$5:$V$1000,"Sub"),$X70))))</f>
        <v/>
      </c>
      <c r="N70" s="56">
        <f>IF(OR($M70="",$V70="Sub"),"",IF($M70&gt;=1,"Completado",IF($M70&gt;0,"En curso","Pendiente")))</f>
        <v/>
      </c>
      <c r="O70" s="56">
        <f>IF(OR(NOT((COUNTA($B70:$D70)+COUNTA($G70:$L70)+COUNTA($Q70))&gt;0),$V70="Sub"),"",IF(ISNUMBER($G70),IF(AND(ISNUMBER($AN70),$G70&gt;$AN70),"Cumplida con "&amp;($G70-$AN70)&amp;IF($G70-$AN70=1," día"," días")&amp;" de retraso","Cumplida"),IF(N($M70)&gt;=1,"Cumplida",IF(NOT(ISNUMBER($AN70)),"Sin fecha límite",IF($AN70&lt;FechaRef,"Vencida hace "&amp;(FechaRef-$AN70)&amp;IF(FechaRef-$AN70=1," día"," días"),IF($AN70=FechaRef,"Vence hoy",IF($AN70-FechaRef&lt;=DiasAlerta,"Vence en "&amp;($AN70-FechaRef)&amp;IF($AN70-FechaRef=1," día"," días"),"En plazo")))))))</f>
        <v/>
      </c>
      <c r="P70" s="62" t="n"/>
      <c r="Q70" s="58" t="n"/>
      <c r="R70" s="63">
        <f>IF(NOT((COUNTA($B70:$D70)+COUNTA($G70:$L70)+COUNTA($Q70))&gt;0),"",IF((IF($C70="","Falta el nombre de la actividad"&amp;" · ","")&amp;IF(AND($V70="Sub",N($U70)=0),"Subactividad sin macroactividad arriba"&amp;" · ","")&amp;IF($AM70="","Sin fecha de inicio"&amp;" · ","")&amp;IF($AN70="","Sin fecha límite"&amp;" · ","")&amp;IF(AND(LEFT($C70,11)="[Jefatura] ",N($AL70)=0),"No se encuentra en la hoja de la jefatura (elíjala de nuevo en la lista)"&amp;" · ","")&amp;IF(OR(AND($E70&lt;&gt;"",NOT(ISNUMBER($E70))),AND($F70&lt;&gt;"",NOT(ISNUMBER($F70))),AND($G70&lt;&gt;"",NOT(ISNUMBER($G70)))),"Fecha no válida"&amp;" · ","")&amp;IF(AND(ISNUMBER($AM70),ISNUMBER($AN70),$AM70&gt;$AN70),"Inicio posterior a fecha límite"&amp;" · ","")&amp;IF(AND($V70="Macro",$H70&lt;&gt;"",OR(NOT(ISNUMBER($H70)),$H70&lt;0,$H70&gt;1)),"Peso fuera de rango"&amp;" · ","")&amp;IF(AND($V70="Sub",$H70&lt;&gt;""),"Las subactividades no llevan peso (valen igual dentro de su macroactividad)"&amp;" · ","")&amp;IF(AND(N($W70)&gt;0,COUNT($I70:$L70)&gt;0),"Con subactividades: deje vacías las semanas (se calculan solas)"&amp;" · ","")&amp;IF((COUNTIF($I70:$L70,"&gt;1")+COUNTIF($I70:$L70,"&lt;0")+COUNTA($I70:$L70)-COUNT($I70:$L70))&gt;0,"Avance fuera de rango 0-100%"&amp;" · ","")&amp;IF(OR(AND($J70&lt;&gt;"",$J70&lt;$I70),AND($K70&lt;&gt;"",$K70&lt;MAX($I70:$J70)),AND($L70&lt;&gt;"",$L70&lt;MAX($I70:$K70))),"Avance semanal decreciente"&amp;" · ","")&amp;IF(AND(ISNUMBER($AN70),$AN70&lt;FechaRef,IF($V70="Sub",N($X70),N($M70))&lt;1),"Vencida"&amp;" · ","")&amp;IF(AND(ObsObligatoria="Sí",ISNUMBER($AN70),$AN70&lt;FechaRef,IF($V70="Sub",N($X70),N($M70))&lt;1,$Q70=""),"Vencida sin observación"&amp;" · ",""))="","✔ OK","⚠ "&amp;LEFT(IF($C70="","Falta el nombre de la actividad"&amp;" · ","")&amp;IF(AND($V70="Sub",N($U70)=0),"Subactividad sin macroactividad arriba"&amp;" · ","")&amp;IF($AM70="","Sin fecha de inicio"&amp;" · ","")&amp;IF($AN70="","Sin fecha límite"&amp;" · ","")&amp;IF(AND(LEFT($C70,11)="[Jefatura] ",N($AL70)=0),"No se encuentra en la hoja de la jefatura (elíjala de nuevo en la lista)"&amp;" · ","")&amp;IF(OR(AND($E70&lt;&gt;"",NOT(ISNUMBER($E70))),AND($F70&lt;&gt;"",NOT(ISNUMBER($F70))),AND($G70&lt;&gt;"",NOT(ISNUMBER($G70)))),"Fecha no válida"&amp;" · ","")&amp;IF(AND(ISNUMBER($AM70),ISNUMBER($AN70),$AM70&gt;$AN70),"Inicio posterior a fecha límite"&amp;" · ","")&amp;IF(AND($V70="Macro",$H70&lt;&gt;"",OR(NOT(ISNUMBER($H70)),$H70&lt;0,$H70&gt;1)),"Peso fuera de rango"&amp;" · ","")&amp;IF(AND($V70="Sub",$H70&lt;&gt;""),"Las subactividades no llevan peso (valen igual dentro de su macroactividad)"&amp;" · ","")&amp;IF(AND(N($W70)&gt;0,COUNT($I70:$L70)&gt;0),"Con subactividades: deje vacías las semanas (se calculan solas)"&amp;" · ","")&amp;IF((COUNTIF($I70:$L70,"&gt;1")+COUNTIF($I70:$L70,"&lt;0")+COUNTA($I70:$L70)-COUNT($I70:$L70))&gt;0,"Avance fuera de rango 0-100%"&amp;" · ","")&amp;IF(OR(AND($J70&lt;&gt;"",$J70&lt;$I70),AND($K70&lt;&gt;"",$K70&lt;MAX($I70:$J70)),AND($L70&lt;&gt;"",$L70&lt;MAX($I70:$K70))),"Avance semanal decreciente"&amp;" · ","")&amp;IF(AND(ISNUMBER($AN70),$AN70&lt;FechaRef,IF($V70="Sub",N($X70),N($M70))&lt;1),"Vencida"&amp;" · ","")&amp;IF(AND(ObsObligatoria="Sí",ISNUMBER($AN70),$AN70&lt;FechaRef,IF($V70="Sub",N($X70),N($M70))&lt;1,$Q70=""),"Vencida sin observación"&amp;" · ",""),LEN(IF($C70="","Falta el nombre de la actividad"&amp;" · ","")&amp;IF(AND($V70="Sub",N($U70)=0),"Subactividad sin macroactividad arriba"&amp;" · ","")&amp;IF($AM70="","Sin fecha de inicio"&amp;" · ","")&amp;IF($AN70="","Sin fecha límite"&amp;" · ","")&amp;IF(AND(LEFT($C70,11)="[Jefatura] ",N($AL70)=0),"No se encuentra en la hoja de la jefatura (elíjala de nuevo en la lista)"&amp;" · ","")&amp;IF(OR(AND($E70&lt;&gt;"",NOT(ISNUMBER($E70))),AND($F70&lt;&gt;"",NOT(ISNUMBER($F70))),AND($G70&lt;&gt;"",NOT(ISNUMBER($G70)))),"Fecha no válida"&amp;" · ","")&amp;IF(AND(ISNUMBER($AM70),ISNUMBER($AN70),$AM70&gt;$AN70),"Inicio posterior a fecha límite"&amp;" · ","")&amp;IF(AND($V70="Macro",$H70&lt;&gt;"",OR(NOT(ISNUMBER($H70)),$H70&lt;0,$H70&gt;1)),"Peso fuera de rango"&amp;" · ","")&amp;IF(AND($V70="Sub",$H70&lt;&gt;""),"Las subactividades no llevan peso (valen igual dentro de su macroactividad)"&amp;" · ","")&amp;IF(AND(N($W70)&gt;0,COUNT($I70:$L70)&gt;0),"Con subactividades: deje vacías las semanas (se calculan solas)"&amp;" · ","")&amp;IF((COUNTIF($I70:$L70,"&gt;1")+COUNTIF($I70:$L70,"&lt;0")+COUNTA($I70:$L70)-COUNT($I70:$L70))&gt;0,"Avance fuera de rango 0-100%"&amp;" · ","")&amp;IF(OR(AND($J70&lt;&gt;"",$J70&lt;$I70),AND($K70&lt;&gt;"",$K70&lt;MAX($I70:$J70)),AND($L70&lt;&gt;"",$L70&lt;MAX($I70:$K70))),"Avance semanal decreciente"&amp;" · ","")&amp;IF(AND(ISNUMBER($AN70),$AN70&lt;FechaRef,IF($V70="Sub",N($X70),N($M70))&lt;1),"Vencida"&amp;" · ","")&amp;IF(AND(ObsObligatoria="Sí",ISNUMBER($AN70),$AN70&lt;FechaRef,IF($V70="Sub",N($X70),N($M70))&lt;1,$Q70=""),"Vencida sin observación"&amp;" · ",""))-3)))</f>
        <v/>
      </c>
      <c r="S70" s="64">
        <f>IF(NOT((COUNTA($B70:$D70)+COUNTA($G70:$L70)+COUNTA($Q70))&gt;0),"",IF(AND($V70="Sub",N($U70)&gt;0),IF(ISNUMBER(INDEX($AM$5:$AM$1000,$U70-4)),DATE(YEAR(INDEX($AM$5:$AM$1000,$U70-4)),MONTH(INDEX($AM$5:$AM$1000,$U70-4)),1),IF(ISNUMBER(INDEX($AN$5:$AN$1000,$U70-4)),DATE(YEAR(INDEX($AN$5:$AN$1000,$U70-4)),MONTH(INDEX($AN$5:$AN$1000,$U70-4)),1),MesCiclo)),IF(ISNUMBER($AM70),DATE(YEAR($AM70),MONTH($AM70),1),IF(ISNUMBER($AN70),DATE(YEAR($AN70),MONTH($AN70),1),MesCiclo))))</f>
        <v/>
      </c>
      <c r="T70" s="62">
        <f>IF(OR($S70="",$S70&lt;&gt;MesCiclo,$V70&lt;&gt;"Macro"),"",COUNTIFS($S$5:$S70,MesCiclo,$V$5:$V70,"Macro"))</f>
        <v/>
      </c>
      <c r="U70" s="62">
        <f>IF($V70="","",IF($V70="Macro",ROW(),IFERROR(LOOKUP(2,1/($V$5:$V70="Macro"),ROW($V$5:$V70)),0)))</f>
        <v/>
      </c>
      <c r="V70" s="62">
        <f>IF(NOT((COUNTA($B70:$D70)+COUNTA($G70:$L70)+COUNTA($Q70))&gt;0),"",IF($B70="Subactividad","Sub","Macro"))</f>
        <v/>
      </c>
      <c r="W70" s="62">
        <f>IF($V70="Macro",COUNTIFS($U$5:$U$1000,ROW(),$V$5:$V$1000,"Sub"),"")</f>
        <v/>
      </c>
      <c r="X70" s="62">
        <f>IF($V70="","",IF(ISNUMBER($G70),1,IFERROR(LOOKUP(2,1/($I70:$L70&lt;&gt;""),$I70:$L70),0)))</f>
        <v/>
      </c>
      <c r="Y70" s="62">
        <f>IF($V70="","",IF(AND(ISNUMBER($G70),$G70&lt;=IF($S70=MesCiclo,InicioCiclo,$S70+MOD(2-WEEKDAY($S70),7))+6),1,IF(ISNUMBER($I70),$I70,0)))</f>
        <v/>
      </c>
      <c r="Z70" s="62">
        <f>IF($V70="","",IF(AND(ISNUMBER($G70),$G70&lt;=IF($S70=MesCiclo,InicioCiclo,$S70+MOD(2-WEEKDAY($S70),7))+13),1,IF(ISNUMBER($J70),$J70,$Y70)))</f>
        <v/>
      </c>
      <c r="AA70" s="62">
        <f>IF($V70="","",IF(AND(ISNUMBER($G70),$G70&lt;=IF($S70=MesCiclo,InicioCiclo,$S70+MOD(2-WEEKDAY($S70),7))+20),1,IF(ISNUMBER($K70),$K70,$Z70)))</f>
        <v/>
      </c>
      <c r="AB70" s="62">
        <f>IF($V70="","",IF(AND(ISNUMBER($G70),$G70&lt;=IF($S70=MesCiclo,InicioCiclo,$S70+MOD(2-WEEKDAY($S70),7))+27),1,IF(ISNUMBER($L70),$L70,$AA70)))</f>
        <v/>
      </c>
      <c r="AC70" s="62">
        <f>IF($V70="","",IF(AND(ISNUMBER($G70),$G70&lt;=IF($S70=MesCiclo,InicioCiclo,$S70+MOD(2-WEEKDAY($S70),7))+6),1,IF(N($W70)&gt;0,AVERAGEIFS($Y$5:$Y$1000,$U$5:$U$1000,ROW(),$V$5:$V$1000,"Sub"),$Y70)))</f>
        <v/>
      </c>
      <c r="AD70" s="62">
        <f>IF($V70="","",IF(AND(ISNUMBER($G70),$G70&lt;=IF($S70=MesCiclo,InicioCiclo,$S70+MOD(2-WEEKDAY($S70),7))+13),1,IF(N($W70)&gt;0,AVERAGEIFS($Z$5:$Z$1000,$U$5:$U$1000,ROW(),$V$5:$V$1000,"Sub"),$Z70)))</f>
        <v/>
      </c>
      <c r="AE70" s="62">
        <f>IF($V70="","",IF(AND(ISNUMBER($G70),$G70&lt;=IF($S70=MesCiclo,InicioCiclo,$S70+MOD(2-WEEKDAY($S70),7))+20),1,IF(N($W70)&gt;0,AVERAGEIFS($AA$5:$AA$1000,$U$5:$U$1000,ROW(),$V$5:$V$1000,"Sub"),$AA70)))</f>
        <v/>
      </c>
      <c r="AF70" s="62">
        <f>IF($V70="","",IF(AND(ISNUMBER($G70),$G70&lt;=IF($S70=MesCiclo,InicioCiclo,$S70+MOD(2-WEEKDAY($S70),7))+27),1,IF(N($W70)&gt;0,AVERAGEIFS($AB$5:$AB$1000,$U$5:$U$1000,ROW(),$V$5:$V$1000,"Sub"),$AB70)))</f>
        <v/>
      </c>
      <c r="AG70" s="62">
        <f>IF($V70&lt;&gt;"Macro","",IF(COUNTIFS($S$5:$S$1000,$S70,$V$5:$V$1000,"Macro",$H$5:$H$1000,"&gt;0")=0,1/COUNTIFS($S$5:$S$1000,$S70,$V$5:$V$1000,"Macro"),IF(AND(ISNUMBER($H70),N($H70)&gt;0),$H70,SUMIFS($H$5:$H$1000,$S$5:$S$1000,$S70,$V$5:$V$1000,"Macro")/COUNTIFS($S$5:$S$1000,$S70,$V$5:$V$1000,"Macro",$H$5:$H$1000,"&gt;0"))/(COUNTIFS($S$5:$S$1000,$S70,$V$5:$V$1000,"Macro")*SUMIFS($H$5:$H$1000,$S$5:$S$1000,$S70,$V$5:$V$1000,"Macro")/COUNTIFS($S$5:$S$1000,$S70,$V$5:$V$1000,"Macro",$H$5:$H$1000,"&gt;0"))))</f>
        <v/>
      </c>
      <c r="AH70" s="62" t="n"/>
      <c r="AI70" s="62" t="n"/>
      <c r="AJ70" s="62" t="n"/>
      <c r="AK70" s="62" t="n"/>
      <c r="AL70" s="62">
        <f>IF(LEFT($C70,11)="[Jefatura] ",IFERROR(MATCH("Asistente Técnico de Riesgo|"&amp;MID($C70,12,500),rDname_ADM,0),0),"")</f>
        <v/>
      </c>
      <c r="AM70" s="62">
        <f>IF(N($AL70)&gt;0,INDEX(rIni_ADM,$AL70),IF(ISNUMBER($E70),$E70,""))</f>
        <v/>
      </c>
      <c r="AN70" s="62">
        <f>IF(N($AL70)&gt;0,INDEX(rLim_ADM,$AL70),IF(ISNUMBER($F70),$F70,""))</f>
        <v/>
      </c>
    </row>
    <row r="71">
      <c r="A71" s="56">
        <f>IF(NOT((COUNTA($B71:$D71)+COUNTA($G71:$L71)+COUNTA($Q71))&gt;0),"",IF($V71="Macro",COUNTIFS($V$5:$V71,"Macro",$S$5:$S71,$S71),IF(N($U71)=0,"?",COUNTIFS(INDEX($V$5:$V$1000,1):INDEX($V$5:$V$1000,$U71-4),"Macro",INDEX($S$5:$S$1000,1):INDEX($S$5:$S$1000,$U71-4),INDEX($S$5:$S$1000,$U71-4))&amp;"."&amp;COUNTIFS($U$5:$U71,$U71,$V$5:$V71,"Sub"))))</f>
        <v/>
      </c>
      <c r="B71" s="57" t="n"/>
      <c r="C71" s="58" t="n"/>
      <c r="D71" s="58" t="n"/>
      <c r="E71" s="59">
        <f>IF(N($AL71)&gt;0,INDEX(rIni_ADM,$AL71),"")</f>
        <v/>
      </c>
      <c r="F71" s="59">
        <f>IF(N($AL71)&gt;0,INDEX(rLim_ADM,$AL71),"")</f>
        <v/>
      </c>
      <c r="G71" s="59" t="n"/>
      <c r="H71" s="60" t="n"/>
      <c r="I71" s="60" t="n"/>
      <c r="J71" s="60" t="n"/>
      <c r="K71" s="60" t="n"/>
      <c r="L71" s="60" t="n"/>
      <c r="M71" s="61">
        <f>IF(NOT((COUNTA($B71:$D71)+COUNTA($G71:$L71)+COUNTA($Q71))&gt;0),"",IF($V71="Sub",IFERROR($X71/INDEX($W$5:$W$1000,$U71-4),""),IF(ISNUMBER($G71),1,IF(N($W71)&gt;0,AVERAGEIFS($X$5:$X$1000,$U$5:$U$1000,ROW(),$V$5:$V$1000,"Sub"),$X71))))</f>
        <v/>
      </c>
      <c r="N71" s="56">
        <f>IF(OR($M71="",$V71="Sub"),"",IF($M71&gt;=1,"Completado",IF($M71&gt;0,"En curso","Pendiente")))</f>
        <v/>
      </c>
      <c r="O71" s="56">
        <f>IF(OR(NOT((COUNTA($B71:$D71)+COUNTA($G71:$L71)+COUNTA($Q71))&gt;0),$V71="Sub"),"",IF(ISNUMBER($G71),IF(AND(ISNUMBER($AN71),$G71&gt;$AN71),"Cumplida con "&amp;($G71-$AN71)&amp;IF($G71-$AN71=1," día"," días")&amp;" de retraso","Cumplida"),IF(N($M71)&gt;=1,"Cumplida",IF(NOT(ISNUMBER($AN71)),"Sin fecha límite",IF($AN71&lt;FechaRef,"Vencida hace "&amp;(FechaRef-$AN71)&amp;IF(FechaRef-$AN71=1," día"," días"),IF($AN71=FechaRef,"Vence hoy",IF($AN71-FechaRef&lt;=DiasAlerta,"Vence en "&amp;($AN71-FechaRef)&amp;IF($AN71-FechaRef=1," día"," días"),"En plazo")))))))</f>
        <v/>
      </c>
      <c r="P71" s="62" t="n"/>
      <c r="Q71" s="58" t="n"/>
      <c r="R71" s="63">
        <f>IF(NOT((COUNTA($B71:$D71)+COUNTA($G71:$L71)+COUNTA($Q71))&gt;0),"",IF((IF($C71="","Falta el nombre de la actividad"&amp;" · ","")&amp;IF(AND($V71="Sub",N($U71)=0),"Subactividad sin macroactividad arriba"&amp;" · ","")&amp;IF($AM71="","Sin fecha de inicio"&amp;" · ","")&amp;IF($AN71="","Sin fecha límite"&amp;" · ","")&amp;IF(AND(LEFT($C71,11)="[Jefatura] ",N($AL71)=0),"No se encuentra en la hoja de la jefatura (elíjala de nuevo en la lista)"&amp;" · ","")&amp;IF(OR(AND($E71&lt;&gt;"",NOT(ISNUMBER($E71))),AND($F71&lt;&gt;"",NOT(ISNUMBER($F71))),AND($G71&lt;&gt;"",NOT(ISNUMBER($G71)))),"Fecha no válida"&amp;" · ","")&amp;IF(AND(ISNUMBER($AM71),ISNUMBER($AN71),$AM71&gt;$AN71),"Inicio posterior a fecha límite"&amp;" · ","")&amp;IF(AND($V71="Macro",$H71&lt;&gt;"",OR(NOT(ISNUMBER($H71)),$H71&lt;0,$H71&gt;1)),"Peso fuera de rango"&amp;" · ","")&amp;IF(AND($V71="Sub",$H71&lt;&gt;""),"Las subactividades no llevan peso (valen igual dentro de su macroactividad)"&amp;" · ","")&amp;IF(AND(N($W71)&gt;0,COUNT($I71:$L71)&gt;0),"Con subactividades: deje vacías las semanas (se calculan solas)"&amp;" · ","")&amp;IF((COUNTIF($I71:$L71,"&gt;1")+COUNTIF($I71:$L71,"&lt;0")+COUNTA($I71:$L71)-COUNT($I71:$L71))&gt;0,"Avance fuera de rango 0-100%"&amp;" · ","")&amp;IF(OR(AND($J71&lt;&gt;"",$J71&lt;$I71),AND($K71&lt;&gt;"",$K71&lt;MAX($I71:$J71)),AND($L71&lt;&gt;"",$L71&lt;MAX($I71:$K71))),"Avance semanal decreciente"&amp;" · ","")&amp;IF(AND(ISNUMBER($AN71),$AN71&lt;FechaRef,IF($V71="Sub",N($X71),N($M71))&lt;1),"Vencida"&amp;" · ","")&amp;IF(AND(ObsObligatoria="Sí",ISNUMBER($AN71),$AN71&lt;FechaRef,IF($V71="Sub",N($X71),N($M71))&lt;1,$Q71=""),"Vencida sin observación"&amp;" · ",""))="","✔ OK","⚠ "&amp;LEFT(IF($C71="","Falta el nombre de la actividad"&amp;" · ","")&amp;IF(AND($V71="Sub",N($U71)=0),"Subactividad sin macroactividad arriba"&amp;" · ","")&amp;IF($AM71="","Sin fecha de inicio"&amp;" · ","")&amp;IF($AN71="","Sin fecha límite"&amp;" · ","")&amp;IF(AND(LEFT($C71,11)="[Jefatura] ",N($AL71)=0),"No se encuentra en la hoja de la jefatura (elíjala de nuevo en la lista)"&amp;" · ","")&amp;IF(OR(AND($E71&lt;&gt;"",NOT(ISNUMBER($E71))),AND($F71&lt;&gt;"",NOT(ISNUMBER($F71))),AND($G71&lt;&gt;"",NOT(ISNUMBER($G71)))),"Fecha no válida"&amp;" · ","")&amp;IF(AND(ISNUMBER($AM71),ISNUMBER($AN71),$AM71&gt;$AN71),"Inicio posterior a fecha límite"&amp;" · ","")&amp;IF(AND($V71="Macro",$H71&lt;&gt;"",OR(NOT(ISNUMBER($H71)),$H71&lt;0,$H71&gt;1)),"Peso fuera de rango"&amp;" · ","")&amp;IF(AND($V71="Sub",$H71&lt;&gt;""),"Las subactividades no llevan peso (valen igual dentro de su macroactividad)"&amp;" · ","")&amp;IF(AND(N($W71)&gt;0,COUNT($I71:$L71)&gt;0),"Con subactividades: deje vacías las semanas (se calculan solas)"&amp;" · ","")&amp;IF((COUNTIF($I71:$L71,"&gt;1")+COUNTIF($I71:$L71,"&lt;0")+COUNTA($I71:$L71)-COUNT($I71:$L71))&gt;0,"Avance fuera de rango 0-100%"&amp;" · ","")&amp;IF(OR(AND($J71&lt;&gt;"",$J71&lt;$I71),AND($K71&lt;&gt;"",$K71&lt;MAX($I71:$J71)),AND($L71&lt;&gt;"",$L71&lt;MAX($I71:$K71))),"Avance semanal decreciente"&amp;" · ","")&amp;IF(AND(ISNUMBER($AN71),$AN71&lt;FechaRef,IF($V71="Sub",N($X71),N($M71))&lt;1),"Vencida"&amp;" · ","")&amp;IF(AND(ObsObligatoria="Sí",ISNUMBER($AN71),$AN71&lt;FechaRef,IF($V71="Sub",N($X71),N($M71))&lt;1,$Q71=""),"Vencida sin observación"&amp;" · ",""),LEN(IF($C71="","Falta el nombre de la actividad"&amp;" · ","")&amp;IF(AND($V71="Sub",N($U71)=0),"Subactividad sin macroactividad arriba"&amp;" · ","")&amp;IF($AM71="","Sin fecha de inicio"&amp;" · ","")&amp;IF($AN71="","Sin fecha límite"&amp;" · ","")&amp;IF(AND(LEFT($C71,11)="[Jefatura] ",N($AL71)=0),"No se encuentra en la hoja de la jefatura (elíjala de nuevo en la lista)"&amp;" · ","")&amp;IF(OR(AND($E71&lt;&gt;"",NOT(ISNUMBER($E71))),AND($F71&lt;&gt;"",NOT(ISNUMBER($F71))),AND($G71&lt;&gt;"",NOT(ISNUMBER($G71)))),"Fecha no válida"&amp;" · ","")&amp;IF(AND(ISNUMBER($AM71),ISNUMBER($AN71),$AM71&gt;$AN71),"Inicio posterior a fecha límite"&amp;" · ","")&amp;IF(AND($V71="Macro",$H71&lt;&gt;"",OR(NOT(ISNUMBER($H71)),$H71&lt;0,$H71&gt;1)),"Peso fuera de rango"&amp;" · ","")&amp;IF(AND($V71="Sub",$H71&lt;&gt;""),"Las subactividades no llevan peso (valen igual dentro de su macroactividad)"&amp;" · ","")&amp;IF(AND(N($W71)&gt;0,COUNT($I71:$L71)&gt;0),"Con subactividades: deje vacías las semanas (se calculan solas)"&amp;" · ","")&amp;IF((COUNTIF($I71:$L71,"&gt;1")+COUNTIF($I71:$L71,"&lt;0")+COUNTA($I71:$L71)-COUNT($I71:$L71))&gt;0,"Avance fuera de rango 0-100%"&amp;" · ","")&amp;IF(OR(AND($J71&lt;&gt;"",$J71&lt;$I71),AND($K71&lt;&gt;"",$K71&lt;MAX($I71:$J71)),AND($L71&lt;&gt;"",$L71&lt;MAX($I71:$K71))),"Avance semanal decreciente"&amp;" · ","")&amp;IF(AND(ISNUMBER($AN71),$AN71&lt;FechaRef,IF($V71="Sub",N($X71),N($M71))&lt;1),"Vencida"&amp;" · ","")&amp;IF(AND(ObsObligatoria="Sí",ISNUMBER($AN71),$AN71&lt;FechaRef,IF($V71="Sub",N($X71),N($M71))&lt;1,$Q71=""),"Vencida sin observación"&amp;" · ",""))-3)))</f>
        <v/>
      </c>
      <c r="S71" s="64">
        <f>IF(NOT((COUNTA($B71:$D71)+COUNTA($G71:$L71)+COUNTA($Q71))&gt;0),"",IF(AND($V71="Sub",N($U71)&gt;0),IF(ISNUMBER(INDEX($AM$5:$AM$1000,$U71-4)),DATE(YEAR(INDEX($AM$5:$AM$1000,$U71-4)),MONTH(INDEX($AM$5:$AM$1000,$U71-4)),1),IF(ISNUMBER(INDEX($AN$5:$AN$1000,$U71-4)),DATE(YEAR(INDEX($AN$5:$AN$1000,$U71-4)),MONTH(INDEX($AN$5:$AN$1000,$U71-4)),1),MesCiclo)),IF(ISNUMBER($AM71),DATE(YEAR($AM71),MONTH($AM71),1),IF(ISNUMBER($AN71),DATE(YEAR($AN71),MONTH($AN71),1),MesCiclo))))</f>
        <v/>
      </c>
      <c r="T71" s="62">
        <f>IF(OR($S71="",$S71&lt;&gt;MesCiclo,$V71&lt;&gt;"Macro"),"",COUNTIFS($S$5:$S71,MesCiclo,$V$5:$V71,"Macro"))</f>
        <v/>
      </c>
      <c r="U71" s="62">
        <f>IF($V71="","",IF($V71="Macro",ROW(),IFERROR(LOOKUP(2,1/($V$5:$V71="Macro"),ROW($V$5:$V71)),0)))</f>
        <v/>
      </c>
      <c r="V71" s="62">
        <f>IF(NOT((COUNTA($B71:$D71)+COUNTA($G71:$L71)+COUNTA($Q71))&gt;0),"",IF($B71="Subactividad","Sub","Macro"))</f>
        <v/>
      </c>
      <c r="W71" s="62">
        <f>IF($V71="Macro",COUNTIFS($U$5:$U$1000,ROW(),$V$5:$V$1000,"Sub"),"")</f>
        <v/>
      </c>
      <c r="X71" s="62">
        <f>IF($V71="","",IF(ISNUMBER($G71),1,IFERROR(LOOKUP(2,1/($I71:$L71&lt;&gt;""),$I71:$L71),0)))</f>
        <v/>
      </c>
      <c r="Y71" s="62">
        <f>IF($V71="","",IF(AND(ISNUMBER($G71),$G71&lt;=IF($S71=MesCiclo,InicioCiclo,$S71+MOD(2-WEEKDAY($S71),7))+6),1,IF(ISNUMBER($I71),$I71,0)))</f>
        <v/>
      </c>
      <c r="Z71" s="62">
        <f>IF($V71="","",IF(AND(ISNUMBER($G71),$G71&lt;=IF($S71=MesCiclo,InicioCiclo,$S71+MOD(2-WEEKDAY($S71),7))+13),1,IF(ISNUMBER($J71),$J71,$Y71)))</f>
        <v/>
      </c>
      <c r="AA71" s="62">
        <f>IF($V71="","",IF(AND(ISNUMBER($G71),$G71&lt;=IF($S71=MesCiclo,InicioCiclo,$S71+MOD(2-WEEKDAY($S71),7))+20),1,IF(ISNUMBER($K71),$K71,$Z71)))</f>
        <v/>
      </c>
      <c r="AB71" s="62">
        <f>IF($V71="","",IF(AND(ISNUMBER($G71),$G71&lt;=IF($S71=MesCiclo,InicioCiclo,$S71+MOD(2-WEEKDAY($S71),7))+27),1,IF(ISNUMBER($L71),$L71,$AA71)))</f>
        <v/>
      </c>
      <c r="AC71" s="62">
        <f>IF($V71="","",IF(AND(ISNUMBER($G71),$G71&lt;=IF($S71=MesCiclo,InicioCiclo,$S71+MOD(2-WEEKDAY($S71),7))+6),1,IF(N($W71)&gt;0,AVERAGEIFS($Y$5:$Y$1000,$U$5:$U$1000,ROW(),$V$5:$V$1000,"Sub"),$Y71)))</f>
        <v/>
      </c>
      <c r="AD71" s="62">
        <f>IF($V71="","",IF(AND(ISNUMBER($G71),$G71&lt;=IF($S71=MesCiclo,InicioCiclo,$S71+MOD(2-WEEKDAY($S71),7))+13),1,IF(N($W71)&gt;0,AVERAGEIFS($Z$5:$Z$1000,$U$5:$U$1000,ROW(),$V$5:$V$1000,"Sub"),$Z71)))</f>
        <v/>
      </c>
      <c r="AE71" s="62">
        <f>IF($V71="","",IF(AND(ISNUMBER($G71),$G71&lt;=IF($S71=MesCiclo,InicioCiclo,$S71+MOD(2-WEEKDAY($S71),7))+20),1,IF(N($W71)&gt;0,AVERAGEIFS($AA$5:$AA$1000,$U$5:$U$1000,ROW(),$V$5:$V$1000,"Sub"),$AA71)))</f>
        <v/>
      </c>
      <c r="AF71" s="62">
        <f>IF($V71="","",IF(AND(ISNUMBER($G71),$G71&lt;=IF($S71=MesCiclo,InicioCiclo,$S71+MOD(2-WEEKDAY($S71),7))+27),1,IF(N($W71)&gt;0,AVERAGEIFS($AB$5:$AB$1000,$U$5:$U$1000,ROW(),$V$5:$V$1000,"Sub"),$AB71)))</f>
        <v/>
      </c>
      <c r="AG71" s="62">
        <f>IF($V71&lt;&gt;"Macro","",IF(COUNTIFS($S$5:$S$1000,$S71,$V$5:$V$1000,"Macro",$H$5:$H$1000,"&gt;0")=0,1/COUNTIFS($S$5:$S$1000,$S71,$V$5:$V$1000,"Macro"),IF(AND(ISNUMBER($H71),N($H71)&gt;0),$H71,SUMIFS($H$5:$H$1000,$S$5:$S$1000,$S71,$V$5:$V$1000,"Macro")/COUNTIFS($S$5:$S$1000,$S71,$V$5:$V$1000,"Macro",$H$5:$H$1000,"&gt;0"))/(COUNTIFS($S$5:$S$1000,$S71,$V$5:$V$1000,"Macro")*SUMIFS($H$5:$H$1000,$S$5:$S$1000,$S71,$V$5:$V$1000,"Macro")/COUNTIFS($S$5:$S$1000,$S71,$V$5:$V$1000,"Macro",$H$5:$H$1000,"&gt;0"))))</f>
        <v/>
      </c>
      <c r="AH71" s="62" t="n"/>
      <c r="AI71" s="62" t="n"/>
      <c r="AJ71" s="62" t="n"/>
      <c r="AK71" s="62" t="n"/>
      <c r="AL71" s="62">
        <f>IF(LEFT($C71,11)="[Jefatura] ",IFERROR(MATCH("Asistente Técnico de Riesgo|"&amp;MID($C71,12,500),rDname_ADM,0),0),"")</f>
        <v/>
      </c>
      <c r="AM71" s="62">
        <f>IF(N($AL71)&gt;0,INDEX(rIni_ADM,$AL71),IF(ISNUMBER($E71),$E71,""))</f>
        <v/>
      </c>
      <c r="AN71" s="62">
        <f>IF(N($AL71)&gt;0,INDEX(rLim_ADM,$AL71),IF(ISNUMBER($F71),$F71,""))</f>
        <v/>
      </c>
    </row>
    <row r="72">
      <c r="A72" s="56">
        <f>IF(NOT((COUNTA($B72:$D72)+COUNTA($G72:$L72)+COUNTA($Q72))&gt;0),"",IF($V72="Macro",COUNTIFS($V$5:$V72,"Macro",$S$5:$S72,$S72),IF(N($U72)=0,"?",COUNTIFS(INDEX($V$5:$V$1000,1):INDEX($V$5:$V$1000,$U72-4),"Macro",INDEX($S$5:$S$1000,1):INDEX($S$5:$S$1000,$U72-4),INDEX($S$5:$S$1000,$U72-4))&amp;"."&amp;COUNTIFS($U$5:$U72,$U72,$V$5:$V72,"Sub"))))</f>
        <v/>
      </c>
      <c r="B72" s="57" t="n"/>
      <c r="C72" s="58" t="n"/>
      <c r="D72" s="58" t="n"/>
      <c r="E72" s="59">
        <f>IF(N($AL72)&gt;0,INDEX(rIni_ADM,$AL72),"")</f>
        <v/>
      </c>
      <c r="F72" s="59">
        <f>IF(N($AL72)&gt;0,INDEX(rLim_ADM,$AL72),"")</f>
        <v/>
      </c>
      <c r="G72" s="59" t="n"/>
      <c r="H72" s="60" t="n"/>
      <c r="I72" s="60" t="n"/>
      <c r="J72" s="60" t="n"/>
      <c r="K72" s="60" t="n"/>
      <c r="L72" s="60" t="n"/>
      <c r="M72" s="61">
        <f>IF(NOT((COUNTA($B72:$D72)+COUNTA($G72:$L72)+COUNTA($Q72))&gt;0),"",IF($V72="Sub",IFERROR($X72/INDEX($W$5:$W$1000,$U72-4),""),IF(ISNUMBER($G72),1,IF(N($W72)&gt;0,AVERAGEIFS($X$5:$X$1000,$U$5:$U$1000,ROW(),$V$5:$V$1000,"Sub"),$X72))))</f>
        <v/>
      </c>
      <c r="N72" s="56">
        <f>IF(OR($M72="",$V72="Sub"),"",IF($M72&gt;=1,"Completado",IF($M72&gt;0,"En curso","Pendiente")))</f>
        <v/>
      </c>
      <c r="O72" s="56">
        <f>IF(OR(NOT((COUNTA($B72:$D72)+COUNTA($G72:$L72)+COUNTA($Q72))&gt;0),$V72="Sub"),"",IF(ISNUMBER($G72),IF(AND(ISNUMBER($AN72),$G72&gt;$AN72),"Cumplida con "&amp;($G72-$AN72)&amp;IF($G72-$AN72=1," día"," días")&amp;" de retraso","Cumplida"),IF(N($M72)&gt;=1,"Cumplida",IF(NOT(ISNUMBER($AN72)),"Sin fecha límite",IF($AN72&lt;FechaRef,"Vencida hace "&amp;(FechaRef-$AN72)&amp;IF(FechaRef-$AN72=1," día"," días"),IF($AN72=FechaRef,"Vence hoy",IF($AN72-FechaRef&lt;=DiasAlerta,"Vence en "&amp;($AN72-FechaRef)&amp;IF($AN72-FechaRef=1," día"," días"),"En plazo")))))))</f>
        <v/>
      </c>
      <c r="P72" s="62" t="n"/>
      <c r="Q72" s="58" t="n"/>
      <c r="R72" s="63">
        <f>IF(NOT((COUNTA($B72:$D72)+COUNTA($G72:$L72)+COUNTA($Q72))&gt;0),"",IF((IF($C72="","Falta el nombre de la actividad"&amp;" · ","")&amp;IF(AND($V72="Sub",N($U72)=0),"Subactividad sin macroactividad arriba"&amp;" · ","")&amp;IF($AM72="","Sin fecha de inicio"&amp;" · ","")&amp;IF($AN72="","Sin fecha límite"&amp;" · ","")&amp;IF(AND(LEFT($C72,11)="[Jefatura] ",N($AL72)=0),"No se encuentra en la hoja de la jefatura (elíjala de nuevo en la lista)"&amp;" · ","")&amp;IF(OR(AND($E72&lt;&gt;"",NOT(ISNUMBER($E72))),AND($F72&lt;&gt;"",NOT(ISNUMBER($F72))),AND($G72&lt;&gt;"",NOT(ISNUMBER($G72)))),"Fecha no válida"&amp;" · ","")&amp;IF(AND(ISNUMBER($AM72),ISNUMBER($AN72),$AM72&gt;$AN72),"Inicio posterior a fecha límite"&amp;" · ","")&amp;IF(AND($V72="Macro",$H72&lt;&gt;"",OR(NOT(ISNUMBER($H72)),$H72&lt;0,$H72&gt;1)),"Peso fuera de rango"&amp;" · ","")&amp;IF(AND($V72="Sub",$H72&lt;&gt;""),"Las subactividades no llevan peso (valen igual dentro de su macroactividad)"&amp;" · ","")&amp;IF(AND(N($W72)&gt;0,COUNT($I72:$L72)&gt;0),"Con subactividades: deje vacías las semanas (se calculan solas)"&amp;" · ","")&amp;IF((COUNTIF($I72:$L72,"&gt;1")+COUNTIF($I72:$L72,"&lt;0")+COUNTA($I72:$L72)-COUNT($I72:$L72))&gt;0,"Avance fuera de rango 0-100%"&amp;" · ","")&amp;IF(OR(AND($J72&lt;&gt;"",$J72&lt;$I72),AND($K72&lt;&gt;"",$K72&lt;MAX($I72:$J72)),AND($L72&lt;&gt;"",$L72&lt;MAX($I72:$K72))),"Avance semanal decreciente"&amp;" · ","")&amp;IF(AND(ISNUMBER($AN72),$AN72&lt;FechaRef,IF($V72="Sub",N($X72),N($M72))&lt;1),"Vencida"&amp;" · ","")&amp;IF(AND(ObsObligatoria="Sí",ISNUMBER($AN72),$AN72&lt;FechaRef,IF($V72="Sub",N($X72),N($M72))&lt;1,$Q72=""),"Vencida sin observación"&amp;" · ",""))="","✔ OK","⚠ "&amp;LEFT(IF($C72="","Falta el nombre de la actividad"&amp;" · ","")&amp;IF(AND($V72="Sub",N($U72)=0),"Subactividad sin macroactividad arriba"&amp;" · ","")&amp;IF($AM72="","Sin fecha de inicio"&amp;" · ","")&amp;IF($AN72="","Sin fecha límite"&amp;" · ","")&amp;IF(AND(LEFT($C72,11)="[Jefatura] ",N($AL72)=0),"No se encuentra en la hoja de la jefatura (elíjala de nuevo en la lista)"&amp;" · ","")&amp;IF(OR(AND($E72&lt;&gt;"",NOT(ISNUMBER($E72))),AND($F72&lt;&gt;"",NOT(ISNUMBER($F72))),AND($G72&lt;&gt;"",NOT(ISNUMBER($G72)))),"Fecha no válida"&amp;" · ","")&amp;IF(AND(ISNUMBER($AM72),ISNUMBER($AN72),$AM72&gt;$AN72),"Inicio posterior a fecha límite"&amp;" · ","")&amp;IF(AND($V72="Macro",$H72&lt;&gt;"",OR(NOT(ISNUMBER($H72)),$H72&lt;0,$H72&gt;1)),"Peso fuera de rango"&amp;" · ","")&amp;IF(AND($V72="Sub",$H72&lt;&gt;""),"Las subactividades no llevan peso (valen igual dentro de su macroactividad)"&amp;" · ","")&amp;IF(AND(N($W72)&gt;0,COUNT($I72:$L72)&gt;0),"Con subactividades: deje vacías las semanas (se calculan solas)"&amp;" · ","")&amp;IF((COUNTIF($I72:$L72,"&gt;1")+COUNTIF($I72:$L72,"&lt;0")+COUNTA($I72:$L72)-COUNT($I72:$L72))&gt;0,"Avance fuera de rango 0-100%"&amp;" · ","")&amp;IF(OR(AND($J72&lt;&gt;"",$J72&lt;$I72),AND($K72&lt;&gt;"",$K72&lt;MAX($I72:$J72)),AND($L72&lt;&gt;"",$L72&lt;MAX($I72:$K72))),"Avance semanal decreciente"&amp;" · ","")&amp;IF(AND(ISNUMBER($AN72),$AN72&lt;FechaRef,IF($V72="Sub",N($X72),N($M72))&lt;1),"Vencida"&amp;" · ","")&amp;IF(AND(ObsObligatoria="Sí",ISNUMBER($AN72),$AN72&lt;FechaRef,IF($V72="Sub",N($X72),N($M72))&lt;1,$Q72=""),"Vencida sin observación"&amp;" · ",""),LEN(IF($C72="","Falta el nombre de la actividad"&amp;" · ","")&amp;IF(AND($V72="Sub",N($U72)=0),"Subactividad sin macroactividad arriba"&amp;" · ","")&amp;IF($AM72="","Sin fecha de inicio"&amp;" · ","")&amp;IF($AN72="","Sin fecha límite"&amp;" · ","")&amp;IF(AND(LEFT($C72,11)="[Jefatura] ",N($AL72)=0),"No se encuentra en la hoja de la jefatura (elíjala de nuevo en la lista)"&amp;" · ","")&amp;IF(OR(AND($E72&lt;&gt;"",NOT(ISNUMBER($E72))),AND($F72&lt;&gt;"",NOT(ISNUMBER($F72))),AND($G72&lt;&gt;"",NOT(ISNUMBER($G72)))),"Fecha no válida"&amp;" · ","")&amp;IF(AND(ISNUMBER($AM72),ISNUMBER($AN72),$AM72&gt;$AN72),"Inicio posterior a fecha límite"&amp;" · ","")&amp;IF(AND($V72="Macro",$H72&lt;&gt;"",OR(NOT(ISNUMBER($H72)),$H72&lt;0,$H72&gt;1)),"Peso fuera de rango"&amp;" · ","")&amp;IF(AND($V72="Sub",$H72&lt;&gt;""),"Las subactividades no llevan peso (valen igual dentro de su macroactividad)"&amp;" · ","")&amp;IF(AND(N($W72)&gt;0,COUNT($I72:$L72)&gt;0),"Con subactividades: deje vacías las semanas (se calculan solas)"&amp;" · ","")&amp;IF((COUNTIF($I72:$L72,"&gt;1")+COUNTIF($I72:$L72,"&lt;0")+COUNTA($I72:$L72)-COUNT($I72:$L72))&gt;0,"Avance fuera de rango 0-100%"&amp;" · ","")&amp;IF(OR(AND($J72&lt;&gt;"",$J72&lt;$I72),AND($K72&lt;&gt;"",$K72&lt;MAX($I72:$J72)),AND($L72&lt;&gt;"",$L72&lt;MAX($I72:$K72))),"Avance semanal decreciente"&amp;" · ","")&amp;IF(AND(ISNUMBER($AN72),$AN72&lt;FechaRef,IF($V72="Sub",N($X72),N($M72))&lt;1),"Vencida"&amp;" · ","")&amp;IF(AND(ObsObligatoria="Sí",ISNUMBER($AN72),$AN72&lt;FechaRef,IF($V72="Sub",N($X72),N($M72))&lt;1,$Q72=""),"Vencida sin observación"&amp;" · ",""))-3)))</f>
        <v/>
      </c>
      <c r="S72" s="64">
        <f>IF(NOT((COUNTA($B72:$D72)+COUNTA($G72:$L72)+COUNTA($Q72))&gt;0),"",IF(AND($V72="Sub",N($U72)&gt;0),IF(ISNUMBER(INDEX($AM$5:$AM$1000,$U72-4)),DATE(YEAR(INDEX($AM$5:$AM$1000,$U72-4)),MONTH(INDEX($AM$5:$AM$1000,$U72-4)),1),IF(ISNUMBER(INDEX($AN$5:$AN$1000,$U72-4)),DATE(YEAR(INDEX($AN$5:$AN$1000,$U72-4)),MONTH(INDEX($AN$5:$AN$1000,$U72-4)),1),MesCiclo)),IF(ISNUMBER($AM72),DATE(YEAR($AM72),MONTH($AM72),1),IF(ISNUMBER($AN72),DATE(YEAR($AN72),MONTH($AN72),1),MesCiclo))))</f>
        <v/>
      </c>
      <c r="T72" s="62">
        <f>IF(OR($S72="",$S72&lt;&gt;MesCiclo,$V72&lt;&gt;"Macro"),"",COUNTIFS($S$5:$S72,MesCiclo,$V$5:$V72,"Macro"))</f>
        <v/>
      </c>
      <c r="U72" s="62">
        <f>IF($V72="","",IF($V72="Macro",ROW(),IFERROR(LOOKUP(2,1/($V$5:$V72="Macro"),ROW($V$5:$V72)),0)))</f>
        <v/>
      </c>
      <c r="V72" s="62">
        <f>IF(NOT((COUNTA($B72:$D72)+COUNTA($G72:$L72)+COUNTA($Q72))&gt;0),"",IF($B72="Subactividad","Sub","Macro"))</f>
        <v/>
      </c>
      <c r="W72" s="62">
        <f>IF($V72="Macro",COUNTIFS($U$5:$U$1000,ROW(),$V$5:$V$1000,"Sub"),"")</f>
        <v/>
      </c>
      <c r="X72" s="62">
        <f>IF($V72="","",IF(ISNUMBER($G72),1,IFERROR(LOOKUP(2,1/($I72:$L72&lt;&gt;""),$I72:$L72),0)))</f>
        <v/>
      </c>
      <c r="Y72" s="62">
        <f>IF($V72="","",IF(AND(ISNUMBER($G72),$G72&lt;=IF($S72=MesCiclo,InicioCiclo,$S72+MOD(2-WEEKDAY($S72),7))+6),1,IF(ISNUMBER($I72),$I72,0)))</f>
        <v/>
      </c>
      <c r="Z72" s="62">
        <f>IF($V72="","",IF(AND(ISNUMBER($G72),$G72&lt;=IF($S72=MesCiclo,InicioCiclo,$S72+MOD(2-WEEKDAY($S72),7))+13),1,IF(ISNUMBER($J72),$J72,$Y72)))</f>
        <v/>
      </c>
      <c r="AA72" s="62">
        <f>IF($V72="","",IF(AND(ISNUMBER($G72),$G72&lt;=IF($S72=MesCiclo,InicioCiclo,$S72+MOD(2-WEEKDAY($S72),7))+20),1,IF(ISNUMBER($K72),$K72,$Z72)))</f>
        <v/>
      </c>
      <c r="AB72" s="62">
        <f>IF($V72="","",IF(AND(ISNUMBER($G72),$G72&lt;=IF($S72=MesCiclo,InicioCiclo,$S72+MOD(2-WEEKDAY($S72),7))+27),1,IF(ISNUMBER($L72),$L72,$AA72)))</f>
        <v/>
      </c>
      <c r="AC72" s="62">
        <f>IF($V72="","",IF(AND(ISNUMBER($G72),$G72&lt;=IF($S72=MesCiclo,InicioCiclo,$S72+MOD(2-WEEKDAY($S72),7))+6),1,IF(N($W72)&gt;0,AVERAGEIFS($Y$5:$Y$1000,$U$5:$U$1000,ROW(),$V$5:$V$1000,"Sub"),$Y72)))</f>
        <v/>
      </c>
      <c r="AD72" s="62">
        <f>IF($V72="","",IF(AND(ISNUMBER($G72),$G72&lt;=IF($S72=MesCiclo,InicioCiclo,$S72+MOD(2-WEEKDAY($S72),7))+13),1,IF(N($W72)&gt;0,AVERAGEIFS($Z$5:$Z$1000,$U$5:$U$1000,ROW(),$V$5:$V$1000,"Sub"),$Z72)))</f>
        <v/>
      </c>
      <c r="AE72" s="62">
        <f>IF($V72="","",IF(AND(ISNUMBER($G72),$G72&lt;=IF($S72=MesCiclo,InicioCiclo,$S72+MOD(2-WEEKDAY($S72),7))+20),1,IF(N($W72)&gt;0,AVERAGEIFS($AA$5:$AA$1000,$U$5:$U$1000,ROW(),$V$5:$V$1000,"Sub"),$AA72)))</f>
        <v/>
      </c>
      <c r="AF72" s="62">
        <f>IF($V72="","",IF(AND(ISNUMBER($G72),$G72&lt;=IF($S72=MesCiclo,InicioCiclo,$S72+MOD(2-WEEKDAY($S72),7))+27),1,IF(N($W72)&gt;0,AVERAGEIFS($AB$5:$AB$1000,$U$5:$U$1000,ROW(),$V$5:$V$1000,"Sub"),$AB72)))</f>
        <v/>
      </c>
      <c r="AG72" s="62">
        <f>IF($V72&lt;&gt;"Macro","",IF(COUNTIFS($S$5:$S$1000,$S72,$V$5:$V$1000,"Macro",$H$5:$H$1000,"&gt;0")=0,1/COUNTIFS($S$5:$S$1000,$S72,$V$5:$V$1000,"Macro"),IF(AND(ISNUMBER($H72),N($H72)&gt;0),$H72,SUMIFS($H$5:$H$1000,$S$5:$S$1000,$S72,$V$5:$V$1000,"Macro")/COUNTIFS($S$5:$S$1000,$S72,$V$5:$V$1000,"Macro",$H$5:$H$1000,"&gt;0"))/(COUNTIFS($S$5:$S$1000,$S72,$V$5:$V$1000,"Macro")*SUMIFS($H$5:$H$1000,$S$5:$S$1000,$S72,$V$5:$V$1000,"Macro")/COUNTIFS($S$5:$S$1000,$S72,$V$5:$V$1000,"Macro",$H$5:$H$1000,"&gt;0"))))</f>
        <v/>
      </c>
      <c r="AH72" s="62" t="n"/>
      <c r="AI72" s="62" t="n"/>
      <c r="AJ72" s="62" t="n"/>
      <c r="AK72" s="62" t="n"/>
      <c r="AL72" s="62">
        <f>IF(LEFT($C72,11)="[Jefatura] ",IFERROR(MATCH("Asistente Técnico de Riesgo|"&amp;MID($C72,12,500),rDname_ADM,0),0),"")</f>
        <v/>
      </c>
      <c r="AM72" s="62">
        <f>IF(N($AL72)&gt;0,INDEX(rIni_ADM,$AL72),IF(ISNUMBER($E72),$E72,""))</f>
        <v/>
      </c>
      <c r="AN72" s="62">
        <f>IF(N($AL72)&gt;0,INDEX(rLim_ADM,$AL72),IF(ISNUMBER($F72),$F72,""))</f>
        <v/>
      </c>
    </row>
    <row r="73">
      <c r="A73" s="56">
        <f>IF(NOT((COUNTA($B73:$D73)+COUNTA($G73:$L73)+COUNTA($Q73))&gt;0),"",IF($V73="Macro",COUNTIFS($V$5:$V73,"Macro",$S$5:$S73,$S73),IF(N($U73)=0,"?",COUNTIFS(INDEX($V$5:$V$1000,1):INDEX($V$5:$V$1000,$U73-4),"Macro",INDEX($S$5:$S$1000,1):INDEX($S$5:$S$1000,$U73-4),INDEX($S$5:$S$1000,$U73-4))&amp;"."&amp;COUNTIFS($U$5:$U73,$U73,$V$5:$V73,"Sub"))))</f>
        <v/>
      </c>
      <c r="B73" s="57" t="n"/>
      <c r="C73" s="58" t="n"/>
      <c r="D73" s="58" t="n"/>
      <c r="E73" s="59">
        <f>IF(N($AL73)&gt;0,INDEX(rIni_ADM,$AL73),"")</f>
        <v/>
      </c>
      <c r="F73" s="59">
        <f>IF(N($AL73)&gt;0,INDEX(rLim_ADM,$AL73),"")</f>
        <v/>
      </c>
      <c r="G73" s="59" t="n"/>
      <c r="H73" s="60" t="n"/>
      <c r="I73" s="60" t="n"/>
      <c r="J73" s="60" t="n"/>
      <c r="K73" s="60" t="n"/>
      <c r="L73" s="60" t="n"/>
      <c r="M73" s="61">
        <f>IF(NOT((COUNTA($B73:$D73)+COUNTA($G73:$L73)+COUNTA($Q73))&gt;0),"",IF($V73="Sub",IFERROR($X73/INDEX($W$5:$W$1000,$U73-4),""),IF(ISNUMBER($G73),1,IF(N($W73)&gt;0,AVERAGEIFS($X$5:$X$1000,$U$5:$U$1000,ROW(),$V$5:$V$1000,"Sub"),$X73))))</f>
        <v/>
      </c>
      <c r="N73" s="56">
        <f>IF(OR($M73="",$V73="Sub"),"",IF($M73&gt;=1,"Completado",IF($M73&gt;0,"En curso","Pendiente")))</f>
        <v/>
      </c>
      <c r="O73" s="56">
        <f>IF(OR(NOT((COUNTA($B73:$D73)+COUNTA($G73:$L73)+COUNTA($Q73))&gt;0),$V73="Sub"),"",IF(ISNUMBER($G73),IF(AND(ISNUMBER($AN73),$G73&gt;$AN73),"Cumplida con "&amp;($G73-$AN73)&amp;IF($G73-$AN73=1," día"," días")&amp;" de retraso","Cumplida"),IF(N($M73)&gt;=1,"Cumplida",IF(NOT(ISNUMBER($AN73)),"Sin fecha límite",IF($AN73&lt;FechaRef,"Vencida hace "&amp;(FechaRef-$AN73)&amp;IF(FechaRef-$AN73=1," día"," días"),IF($AN73=FechaRef,"Vence hoy",IF($AN73-FechaRef&lt;=DiasAlerta,"Vence en "&amp;($AN73-FechaRef)&amp;IF($AN73-FechaRef=1," día"," días"),"En plazo")))))))</f>
        <v/>
      </c>
      <c r="P73" s="62" t="n"/>
      <c r="Q73" s="58" t="n"/>
      <c r="R73" s="63">
        <f>IF(NOT((COUNTA($B73:$D73)+COUNTA($G73:$L73)+COUNTA($Q73))&gt;0),"",IF((IF($C73="","Falta el nombre de la actividad"&amp;" · ","")&amp;IF(AND($V73="Sub",N($U73)=0),"Subactividad sin macroactividad arriba"&amp;" · ","")&amp;IF($AM73="","Sin fecha de inicio"&amp;" · ","")&amp;IF($AN73="","Sin fecha límite"&amp;" · ","")&amp;IF(AND(LEFT($C73,11)="[Jefatura] ",N($AL73)=0),"No se encuentra en la hoja de la jefatura (elíjala de nuevo en la lista)"&amp;" · ","")&amp;IF(OR(AND($E73&lt;&gt;"",NOT(ISNUMBER($E73))),AND($F73&lt;&gt;"",NOT(ISNUMBER($F73))),AND($G73&lt;&gt;"",NOT(ISNUMBER($G73)))),"Fecha no válida"&amp;" · ","")&amp;IF(AND(ISNUMBER($AM73),ISNUMBER($AN73),$AM73&gt;$AN73),"Inicio posterior a fecha límite"&amp;" · ","")&amp;IF(AND($V73="Macro",$H73&lt;&gt;"",OR(NOT(ISNUMBER($H73)),$H73&lt;0,$H73&gt;1)),"Peso fuera de rango"&amp;" · ","")&amp;IF(AND($V73="Sub",$H73&lt;&gt;""),"Las subactividades no llevan peso (valen igual dentro de su macroactividad)"&amp;" · ","")&amp;IF(AND(N($W73)&gt;0,COUNT($I73:$L73)&gt;0),"Con subactividades: deje vacías las semanas (se calculan solas)"&amp;" · ","")&amp;IF((COUNTIF($I73:$L73,"&gt;1")+COUNTIF($I73:$L73,"&lt;0")+COUNTA($I73:$L73)-COUNT($I73:$L73))&gt;0,"Avance fuera de rango 0-100%"&amp;" · ","")&amp;IF(OR(AND($J73&lt;&gt;"",$J73&lt;$I73),AND($K73&lt;&gt;"",$K73&lt;MAX($I73:$J73)),AND($L73&lt;&gt;"",$L73&lt;MAX($I73:$K73))),"Avance semanal decreciente"&amp;" · ","")&amp;IF(AND(ISNUMBER($AN73),$AN73&lt;FechaRef,IF($V73="Sub",N($X73),N($M73))&lt;1),"Vencida"&amp;" · ","")&amp;IF(AND(ObsObligatoria="Sí",ISNUMBER($AN73),$AN73&lt;FechaRef,IF($V73="Sub",N($X73),N($M73))&lt;1,$Q73=""),"Vencida sin observación"&amp;" · ",""))="","✔ OK","⚠ "&amp;LEFT(IF($C73="","Falta el nombre de la actividad"&amp;" · ","")&amp;IF(AND($V73="Sub",N($U73)=0),"Subactividad sin macroactividad arriba"&amp;" · ","")&amp;IF($AM73="","Sin fecha de inicio"&amp;" · ","")&amp;IF($AN73="","Sin fecha límite"&amp;" · ","")&amp;IF(AND(LEFT($C73,11)="[Jefatura] ",N($AL73)=0),"No se encuentra en la hoja de la jefatura (elíjala de nuevo en la lista)"&amp;" · ","")&amp;IF(OR(AND($E73&lt;&gt;"",NOT(ISNUMBER($E73))),AND($F73&lt;&gt;"",NOT(ISNUMBER($F73))),AND($G73&lt;&gt;"",NOT(ISNUMBER($G73)))),"Fecha no válida"&amp;" · ","")&amp;IF(AND(ISNUMBER($AM73),ISNUMBER($AN73),$AM73&gt;$AN73),"Inicio posterior a fecha límite"&amp;" · ","")&amp;IF(AND($V73="Macro",$H73&lt;&gt;"",OR(NOT(ISNUMBER($H73)),$H73&lt;0,$H73&gt;1)),"Peso fuera de rango"&amp;" · ","")&amp;IF(AND($V73="Sub",$H73&lt;&gt;""),"Las subactividades no llevan peso (valen igual dentro de su macroactividad)"&amp;" · ","")&amp;IF(AND(N($W73)&gt;0,COUNT($I73:$L73)&gt;0),"Con subactividades: deje vacías las semanas (se calculan solas)"&amp;" · ","")&amp;IF((COUNTIF($I73:$L73,"&gt;1")+COUNTIF($I73:$L73,"&lt;0")+COUNTA($I73:$L73)-COUNT($I73:$L73))&gt;0,"Avance fuera de rango 0-100%"&amp;" · ","")&amp;IF(OR(AND($J73&lt;&gt;"",$J73&lt;$I73),AND($K73&lt;&gt;"",$K73&lt;MAX($I73:$J73)),AND($L73&lt;&gt;"",$L73&lt;MAX($I73:$K73))),"Avance semanal decreciente"&amp;" · ","")&amp;IF(AND(ISNUMBER($AN73),$AN73&lt;FechaRef,IF($V73="Sub",N($X73),N($M73))&lt;1),"Vencida"&amp;" · ","")&amp;IF(AND(ObsObligatoria="Sí",ISNUMBER($AN73),$AN73&lt;FechaRef,IF($V73="Sub",N($X73),N($M73))&lt;1,$Q73=""),"Vencida sin observación"&amp;" · ",""),LEN(IF($C73="","Falta el nombre de la actividad"&amp;" · ","")&amp;IF(AND($V73="Sub",N($U73)=0),"Subactividad sin macroactividad arriba"&amp;" · ","")&amp;IF($AM73="","Sin fecha de inicio"&amp;" · ","")&amp;IF($AN73="","Sin fecha límite"&amp;" · ","")&amp;IF(AND(LEFT($C73,11)="[Jefatura] ",N($AL73)=0),"No se encuentra en la hoja de la jefatura (elíjala de nuevo en la lista)"&amp;" · ","")&amp;IF(OR(AND($E73&lt;&gt;"",NOT(ISNUMBER($E73))),AND($F73&lt;&gt;"",NOT(ISNUMBER($F73))),AND($G73&lt;&gt;"",NOT(ISNUMBER($G73)))),"Fecha no válida"&amp;" · ","")&amp;IF(AND(ISNUMBER($AM73),ISNUMBER($AN73),$AM73&gt;$AN73),"Inicio posterior a fecha límite"&amp;" · ","")&amp;IF(AND($V73="Macro",$H73&lt;&gt;"",OR(NOT(ISNUMBER($H73)),$H73&lt;0,$H73&gt;1)),"Peso fuera de rango"&amp;" · ","")&amp;IF(AND($V73="Sub",$H73&lt;&gt;""),"Las subactividades no llevan peso (valen igual dentro de su macroactividad)"&amp;" · ","")&amp;IF(AND(N($W73)&gt;0,COUNT($I73:$L73)&gt;0),"Con subactividades: deje vacías las semanas (se calculan solas)"&amp;" · ","")&amp;IF((COUNTIF($I73:$L73,"&gt;1")+COUNTIF($I73:$L73,"&lt;0")+COUNTA($I73:$L73)-COUNT($I73:$L73))&gt;0,"Avance fuera de rango 0-100%"&amp;" · ","")&amp;IF(OR(AND($J73&lt;&gt;"",$J73&lt;$I73),AND($K73&lt;&gt;"",$K73&lt;MAX($I73:$J73)),AND($L73&lt;&gt;"",$L73&lt;MAX($I73:$K73))),"Avance semanal decreciente"&amp;" · ","")&amp;IF(AND(ISNUMBER($AN73),$AN73&lt;FechaRef,IF($V73="Sub",N($X73),N($M73))&lt;1),"Vencida"&amp;" · ","")&amp;IF(AND(ObsObligatoria="Sí",ISNUMBER($AN73),$AN73&lt;FechaRef,IF($V73="Sub",N($X73),N($M73))&lt;1,$Q73=""),"Vencida sin observación"&amp;" · ",""))-3)))</f>
        <v/>
      </c>
      <c r="S73" s="64">
        <f>IF(NOT((COUNTA($B73:$D73)+COUNTA($G73:$L73)+COUNTA($Q73))&gt;0),"",IF(AND($V73="Sub",N($U73)&gt;0),IF(ISNUMBER(INDEX($AM$5:$AM$1000,$U73-4)),DATE(YEAR(INDEX($AM$5:$AM$1000,$U73-4)),MONTH(INDEX($AM$5:$AM$1000,$U73-4)),1),IF(ISNUMBER(INDEX($AN$5:$AN$1000,$U73-4)),DATE(YEAR(INDEX($AN$5:$AN$1000,$U73-4)),MONTH(INDEX($AN$5:$AN$1000,$U73-4)),1),MesCiclo)),IF(ISNUMBER($AM73),DATE(YEAR($AM73),MONTH($AM73),1),IF(ISNUMBER($AN73),DATE(YEAR($AN73),MONTH($AN73),1),MesCiclo))))</f>
        <v/>
      </c>
      <c r="T73" s="62">
        <f>IF(OR($S73="",$S73&lt;&gt;MesCiclo,$V73&lt;&gt;"Macro"),"",COUNTIFS($S$5:$S73,MesCiclo,$V$5:$V73,"Macro"))</f>
        <v/>
      </c>
      <c r="U73" s="62">
        <f>IF($V73="","",IF($V73="Macro",ROW(),IFERROR(LOOKUP(2,1/($V$5:$V73="Macro"),ROW($V$5:$V73)),0)))</f>
        <v/>
      </c>
      <c r="V73" s="62">
        <f>IF(NOT((COUNTA($B73:$D73)+COUNTA($G73:$L73)+COUNTA($Q73))&gt;0),"",IF($B73="Subactividad","Sub","Macro"))</f>
        <v/>
      </c>
      <c r="W73" s="62">
        <f>IF($V73="Macro",COUNTIFS($U$5:$U$1000,ROW(),$V$5:$V$1000,"Sub"),"")</f>
        <v/>
      </c>
      <c r="X73" s="62">
        <f>IF($V73="","",IF(ISNUMBER($G73),1,IFERROR(LOOKUP(2,1/($I73:$L73&lt;&gt;""),$I73:$L73),0)))</f>
        <v/>
      </c>
      <c r="Y73" s="62">
        <f>IF($V73="","",IF(AND(ISNUMBER($G73),$G73&lt;=IF($S73=MesCiclo,InicioCiclo,$S73+MOD(2-WEEKDAY($S73),7))+6),1,IF(ISNUMBER($I73),$I73,0)))</f>
        <v/>
      </c>
      <c r="Z73" s="62">
        <f>IF($V73="","",IF(AND(ISNUMBER($G73),$G73&lt;=IF($S73=MesCiclo,InicioCiclo,$S73+MOD(2-WEEKDAY($S73),7))+13),1,IF(ISNUMBER($J73),$J73,$Y73)))</f>
        <v/>
      </c>
      <c r="AA73" s="62">
        <f>IF($V73="","",IF(AND(ISNUMBER($G73),$G73&lt;=IF($S73=MesCiclo,InicioCiclo,$S73+MOD(2-WEEKDAY($S73),7))+20),1,IF(ISNUMBER($K73),$K73,$Z73)))</f>
        <v/>
      </c>
      <c r="AB73" s="62">
        <f>IF($V73="","",IF(AND(ISNUMBER($G73),$G73&lt;=IF($S73=MesCiclo,InicioCiclo,$S73+MOD(2-WEEKDAY($S73),7))+27),1,IF(ISNUMBER($L73),$L73,$AA73)))</f>
        <v/>
      </c>
      <c r="AC73" s="62">
        <f>IF($V73="","",IF(AND(ISNUMBER($G73),$G73&lt;=IF($S73=MesCiclo,InicioCiclo,$S73+MOD(2-WEEKDAY($S73),7))+6),1,IF(N($W73)&gt;0,AVERAGEIFS($Y$5:$Y$1000,$U$5:$U$1000,ROW(),$V$5:$V$1000,"Sub"),$Y73)))</f>
        <v/>
      </c>
      <c r="AD73" s="62">
        <f>IF($V73="","",IF(AND(ISNUMBER($G73),$G73&lt;=IF($S73=MesCiclo,InicioCiclo,$S73+MOD(2-WEEKDAY($S73),7))+13),1,IF(N($W73)&gt;0,AVERAGEIFS($Z$5:$Z$1000,$U$5:$U$1000,ROW(),$V$5:$V$1000,"Sub"),$Z73)))</f>
        <v/>
      </c>
      <c r="AE73" s="62">
        <f>IF($V73="","",IF(AND(ISNUMBER($G73),$G73&lt;=IF($S73=MesCiclo,InicioCiclo,$S73+MOD(2-WEEKDAY($S73),7))+20),1,IF(N($W73)&gt;0,AVERAGEIFS($AA$5:$AA$1000,$U$5:$U$1000,ROW(),$V$5:$V$1000,"Sub"),$AA73)))</f>
        <v/>
      </c>
      <c r="AF73" s="62">
        <f>IF($V73="","",IF(AND(ISNUMBER($G73),$G73&lt;=IF($S73=MesCiclo,InicioCiclo,$S73+MOD(2-WEEKDAY($S73),7))+27),1,IF(N($W73)&gt;0,AVERAGEIFS($AB$5:$AB$1000,$U$5:$U$1000,ROW(),$V$5:$V$1000,"Sub"),$AB73)))</f>
        <v/>
      </c>
      <c r="AG73" s="62">
        <f>IF($V73&lt;&gt;"Macro","",IF(COUNTIFS($S$5:$S$1000,$S73,$V$5:$V$1000,"Macro",$H$5:$H$1000,"&gt;0")=0,1/COUNTIFS($S$5:$S$1000,$S73,$V$5:$V$1000,"Macro"),IF(AND(ISNUMBER($H73),N($H73)&gt;0),$H73,SUMIFS($H$5:$H$1000,$S$5:$S$1000,$S73,$V$5:$V$1000,"Macro")/COUNTIFS($S$5:$S$1000,$S73,$V$5:$V$1000,"Macro",$H$5:$H$1000,"&gt;0"))/(COUNTIFS($S$5:$S$1000,$S73,$V$5:$V$1000,"Macro")*SUMIFS($H$5:$H$1000,$S$5:$S$1000,$S73,$V$5:$V$1000,"Macro")/COUNTIFS($S$5:$S$1000,$S73,$V$5:$V$1000,"Macro",$H$5:$H$1000,"&gt;0"))))</f>
        <v/>
      </c>
      <c r="AH73" s="62" t="n"/>
      <c r="AI73" s="62" t="n"/>
      <c r="AJ73" s="62" t="n"/>
      <c r="AK73" s="62" t="n"/>
      <c r="AL73" s="62">
        <f>IF(LEFT($C73,11)="[Jefatura] ",IFERROR(MATCH("Asistente Técnico de Riesgo|"&amp;MID($C73,12,500),rDname_ADM,0),0),"")</f>
        <v/>
      </c>
      <c r="AM73" s="62">
        <f>IF(N($AL73)&gt;0,INDEX(rIni_ADM,$AL73),IF(ISNUMBER($E73),$E73,""))</f>
        <v/>
      </c>
      <c r="AN73" s="62">
        <f>IF(N($AL73)&gt;0,INDEX(rLim_ADM,$AL73),IF(ISNUMBER($F73),$F73,""))</f>
        <v/>
      </c>
    </row>
    <row r="74">
      <c r="A74" s="56">
        <f>IF(NOT((COUNTA($B74:$D74)+COUNTA($G74:$L74)+COUNTA($Q74))&gt;0),"",IF($V74="Macro",COUNTIFS($V$5:$V74,"Macro",$S$5:$S74,$S74),IF(N($U74)=0,"?",COUNTIFS(INDEX($V$5:$V$1000,1):INDEX($V$5:$V$1000,$U74-4),"Macro",INDEX($S$5:$S$1000,1):INDEX($S$5:$S$1000,$U74-4),INDEX($S$5:$S$1000,$U74-4))&amp;"."&amp;COUNTIFS($U$5:$U74,$U74,$V$5:$V74,"Sub"))))</f>
        <v/>
      </c>
      <c r="B74" s="57" t="n"/>
      <c r="C74" s="58" t="n"/>
      <c r="D74" s="58" t="n"/>
      <c r="E74" s="59">
        <f>IF(N($AL74)&gt;0,INDEX(rIni_ADM,$AL74),"")</f>
        <v/>
      </c>
      <c r="F74" s="59">
        <f>IF(N($AL74)&gt;0,INDEX(rLim_ADM,$AL74),"")</f>
        <v/>
      </c>
      <c r="G74" s="59" t="n"/>
      <c r="H74" s="60" t="n"/>
      <c r="I74" s="60" t="n"/>
      <c r="J74" s="60" t="n"/>
      <c r="K74" s="60" t="n"/>
      <c r="L74" s="60" t="n"/>
      <c r="M74" s="61">
        <f>IF(NOT((COUNTA($B74:$D74)+COUNTA($G74:$L74)+COUNTA($Q74))&gt;0),"",IF($V74="Sub",IFERROR($X74/INDEX($W$5:$W$1000,$U74-4),""),IF(ISNUMBER($G74),1,IF(N($W74)&gt;0,AVERAGEIFS($X$5:$X$1000,$U$5:$U$1000,ROW(),$V$5:$V$1000,"Sub"),$X74))))</f>
        <v/>
      </c>
      <c r="N74" s="56">
        <f>IF(OR($M74="",$V74="Sub"),"",IF($M74&gt;=1,"Completado",IF($M74&gt;0,"En curso","Pendiente")))</f>
        <v/>
      </c>
      <c r="O74" s="56">
        <f>IF(OR(NOT((COUNTA($B74:$D74)+COUNTA($G74:$L74)+COUNTA($Q74))&gt;0),$V74="Sub"),"",IF(ISNUMBER($G74),IF(AND(ISNUMBER($AN74),$G74&gt;$AN74),"Cumplida con "&amp;($G74-$AN74)&amp;IF($G74-$AN74=1," día"," días")&amp;" de retraso","Cumplida"),IF(N($M74)&gt;=1,"Cumplida",IF(NOT(ISNUMBER($AN74)),"Sin fecha límite",IF($AN74&lt;FechaRef,"Vencida hace "&amp;(FechaRef-$AN74)&amp;IF(FechaRef-$AN74=1," día"," días"),IF($AN74=FechaRef,"Vence hoy",IF($AN74-FechaRef&lt;=DiasAlerta,"Vence en "&amp;($AN74-FechaRef)&amp;IF($AN74-FechaRef=1," día"," días"),"En plazo")))))))</f>
        <v/>
      </c>
      <c r="P74" s="62" t="n"/>
      <c r="Q74" s="58" t="n"/>
      <c r="R74" s="63">
        <f>IF(NOT((COUNTA($B74:$D74)+COUNTA($G74:$L74)+COUNTA($Q74))&gt;0),"",IF((IF($C74="","Falta el nombre de la actividad"&amp;" · ","")&amp;IF(AND($V74="Sub",N($U74)=0),"Subactividad sin macroactividad arriba"&amp;" · ","")&amp;IF($AM74="","Sin fecha de inicio"&amp;" · ","")&amp;IF($AN74="","Sin fecha límite"&amp;" · ","")&amp;IF(AND(LEFT($C74,11)="[Jefatura] ",N($AL74)=0),"No se encuentra en la hoja de la jefatura (elíjala de nuevo en la lista)"&amp;" · ","")&amp;IF(OR(AND($E74&lt;&gt;"",NOT(ISNUMBER($E74))),AND($F74&lt;&gt;"",NOT(ISNUMBER($F74))),AND($G74&lt;&gt;"",NOT(ISNUMBER($G74)))),"Fecha no válida"&amp;" · ","")&amp;IF(AND(ISNUMBER($AM74),ISNUMBER($AN74),$AM74&gt;$AN74),"Inicio posterior a fecha límite"&amp;" · ","")&amp;IF(AND($V74="Macro",$H74&lt;&gt;"",OR(NOT(ISNUMBER($H74)),$H74&lt;0,$H74&gt;1)),"Peso fuera de rango"&amp;" · ","")&amp;IF(AND($V74="Sub",$H74&lt;&gt;""),"Las subactividades no llevan peso (valen igual dentro de su macroactividad)"&amp;" · ","")&amp;IF(AND(N($W74)&gt;0,COUNT($I74:$L74)&gt;0),"Con subactividades: deje vacías las semanas (se calculan solas)"&amp;" · ","")&amp;IF((COUNTIF($I74:$L74,"&gt;1")+COUNTIF($I74:$L74,"&lt;0")+COUNTA($I74:$L74)-COUNT($I74:$L74))&gt;0,"Avance fuera de rango 0-100%"&amp;" · ","")&amp;IF(OR(AND($J74&lt;&gt;"",$J74&lt;$I74),AND($K74&lt;&gt;"",$K74&lt;MAX($I74:$J74)),AND($L74&lt;&gt;"",$L74&lt;MAX($I74:$K74))),"Avance semanal decreciente"&amp;" · ","")&amp;IF(AND(ISNUMBER($AN74),$AN74&lt;FechaRef,IF($V74="Sub",N($X74),N($M74))&lt;1),"Vencida"&amp;" · ","")&amp;IF(AND(ObsObligatoria="Sí",ISNUMBER($AN74),$AN74&lt;FechaRef,IF($V74="Sub",N($X74),N($M74))&lt;1,$Q74=""),"Vencida sin observación"&amp;" · ",""))="","✔ OK","⚠ "&amp;LEFT(IF($C74="","Falta el nombre de la actividad"&amp;" · ","")&amp;IF(AND($V74="Sub",N($U74)=0),"Subactividad sin macroactividad arriba"&amp;" · ","")&amp;IF($AM74="","Sin fecha de inicio"&amp;" · ","")&amp;IF($AN74="","Sin fecha límite"&amp;" · ","")&amp;IF(AND(LEFT($C74,11)="[Jefatura] ",N($AL74)=0),"No se encuentra en la hoja de la jefatura (elíjala de nuevo en la lista)"&amp;" · ","")&amp;IF(OR(AND($E74&lt;&gt;"",NOT(ISNUMBER($E74))),AND($F74&lt;&gt;"",NOT(ISNUMBER($F74))),AND($G74&lt;&gt;"",NOT(ISNUMBER($G74)))),"Fecha no válida"&amp;" · ","")&amp;IF(AND(ISNUMBER($AM74),ISNUMBER($AN74),$AM74&gt;$AN74),"Inicio posterior a fecha límite"&amp;" · ","")&amp;IF(AND($V74="Macro",$H74&lt;&gt;"",OR(NOT(ISNUMBER($H74)),$H74&lt;0,$H74&gt;1)),"Peso fuera de rango"&amp;" · ","")&amp;IF(AND($V74="Sub",$H74&lt;&gt;""),"Las subactividades no llevan peso (valen igual dentro de su macroactividad)"&amp;" · ","")&amp;IF(AND(N($W74)&gt;0,COUNT($I74:$L74)&gt;0),"Con subactividades: deje vacías las semanas (se calculan solas)"&amp;" · ","")&amp;IF((COUNTIF($I74:$L74,"&gt;1")+COUNTIF($I74:$L74,"&lt;0")+COUNTA($I74:$L74)-COUNT($I74:$L74))&gt;0,"Avance fuera de rango 0-100%"&amp;" · ","")&amp;IF(OR(AND($J74&lt;&gt;"",$J74&lt;$I74),AND($K74&lt;&gt;"",$K74&lt;MAX($I74:$J74)),AND($L74&lt;&gt;"",$L74&lt;MAX($I74:$K74))),"Avance semanal decreciente"&amp;" · ","")&amp;IF(AND(ISNUMBER($AN74),$AN74&lt;FechaRef,IF($V74="Sub",N($X74),N($M74))&lt;1),"Vencida"&amp;" · ","")&amp;IF(AND(ObsObligatoria="Sí",ISNUMBER($AN74),$AN74&lt;FechaRef,IF($V74="Sub",N($X74),N($M74))&lt;1,$Q74=""),"Vencida sin observación"&amp;" · ",""),LEN(IF($C74="","Falta el nombre de la actividad"&amp;" · ","")&amp;IF(AND($V74="Sub",N($U74)=0),"Subactividad sin macroactividad arriba"&amp;" · ","")&amp;IF($AM74="","Sin fecha de inicio"&amp;" · ","")&amp;IF($AN74="","Sin fecha límite"&amp;" · ","")&amp;IF(AND(LEFT($C74,11)="[Jefatura] ",N($AL74)=0),"No se encuentra en la hoja de la jefatura (elíjala de nuevo en la lista)"&amp;" · ","")&amp;IF(OR(AND($E74&lt;&gt;"",NOT(ISNUMBER($E74))),AND($F74&lt;&gt;"",NOT(ISNUMBER($F74))),AND($G74&lt;&gt;"",NOT(ISNUMBER($G74)))),"Fecha no válida"&amp;" · ","")&amp;IF(AND(ISNUMBER($AM74),ISNUMBER($AN74),$AM74&gt;$AN74),"Inicio posterior a fecha límite"&amp;" · ","")&amp;IF(AND($V74="Macro",$H74&lt;&gt;"",OR(NOT(ISNUMBER($H74)),$H74&lt;0,$H74&gt;1)),"Peso fuera de rango"&amp;" · ","")&amp;IF(AND($V74="Sub",$H74&lt;&gt;""),"Las subactividades no llevan peso (valen igual dentro de su macroactividad)"&amp;" · ","")&amp;IF(AND(N($W74)&gt;0,COUNT($I74:$L74)&gt;0),"Con subactividades: deje vacías las semanas (se calculan solas)"&amp;" · ","")&amp;IF((COUNTIF($I74:$L74,"&gt;1")+COUNTIF($I74:$L74,"&lt;0")+COUNTA($I74:$L74)-COUNT($I74:$L74))&gt;0,"Avance fuera de rango 0-100%"&amp;" · ","")&amp;IF(OR(AND($J74&lt;&gt;"",$J74&lt;$I74),AND($K74&lt;&gt;"",$K74&lt;MAX($I74:$J74)),AND($L74&lt;&gt;"",$L74&lt;MAX($I74:$K74))),"Avance semanal decreciente"&amp;" · ","")&amp;IF(AND(ISNUMBER($AN74),$AN74&lt;FechaRef,IF($V74="Sub",N($X74),N($M74))&lt;1),"Vencida"&amp;" · ","")&amp;IF(AND(ObsObligatoria="Sí",ISNUMBER($AN74),$AN74&lt;FechaRef,IF($V74="Sub",N($X74),N($M74))&lt;1,$Q74=""),"Vencida sin observación"&amp;" · ",""))-3)))</f>
        <v/>
      </c>
      <c r="S74" s="64">
        <f>IF(NOT((COUNTA($B74:$D74)+COUNTA($G74:$L74)+COUNTA($Q74))&gt;0),"",IF(AND($V74="Sub",N($U74)&gt;0),IF(ISNUMBER(INDEX($AM$5:$AM$1000,$U74-4)),DATE(YEAR(INDEX($AM$5:$AM$1000,$U74-4)),MONTH(INDEX($AM$5:$AM$1000,$U74-4)),1),IF(ISNUMBER(INDEX($AN$5:$AN$1000,$U74-4)),DATE(YEAR(INDEX($AN$5:$AN$1000,$U74-4)),MONTH(INDEX($AN$5:$AN$1000,$U74-4)),1),MesCiclo)),IF(ISNUMBER($AM74),DATE(YEAR($AM74),MONTH($AM74),1),IF(ISNUMBER($AN74),DATE(YEAR($AN74),MONTH($AN74),1),MesCiclo))))</f>
        <v/>
      </c>
      <c r="T74" s="62">
        <f>IF(OR($S74="",$S74&lt;&gt;MesCiclo,$V74&lt;&gt;"Macro"),"",COUNTIFS($S$5:$S74,MesCiclo,$V$5:$V74,"Macro"))</f>
        <v/>
      </c>
      <c r="U74" s="62">
        <f>IF($V74="","",IF($V74="Macro",ROW(),IFERROR(LOOKUP(2,1/($V$5:$V74="Macro"),ROW($V$5:$V74)),0)))</f>
        <v/>
      </c>
      <c r="V74" s="62">
        <f>IF(NOT((COUNTA($B74:$D74)+COUNTA($G74:$L74)+COUNTA($Q74))&gt;0),"",IF($B74="Subactividad","Sub","Macro"))</f>
        <v/>
      </c>
      <c r="W74" s="62">
        <f>IF($V74="Macro",COUNTIFS($U$5:$U$1000,ROW(),$V$5:$V$1000,"Sub"),"")</f>
        <v/>
      </c>
      <c r="X74" s="62">
        <f>IF($V74="","",IF(ISNUMBER($G74),1,IFERROR(LOOKUP(2,1/($I74:$L74&lt;&gt;""),$I74:$L74),0)))</f>
        <v/>
      </c>
      <c r="Y74" s="62">
        <f>IF($V74="","",IF(AND(ISNUMBER($G74),$G74&lt;=IF($S74=MesCiclo,InicioCiclo,$S74+MOD(2-WEEKDAY($S74),7))+6),1,IF(ISNUMBER($I74),$I74,0)))</f>
        <v/>
      </c>
      <c r="Z74" s="62">
        <f>IF($V74="","",IF(AND(ISNUMBER($G74),$G74&lt;=IF($S74=MesCiclo,InicioCiclo,$S74+MOD(2-WEEKDAY($S74),7))+13),1,IF(ISNUMBER($J74),$J74,$Y74)))</f>
        <v/>
      </c>
      <c r="AA74" s="62">
        <f>IF($V74="","",IF(AND(ISNUMBER($G74),$G74&lt;=IF($S74=MesCiclo,InicioCiclo,$S74+MOD(2-WEEKDAY($S74),7))+20),1,IF(ISNUMBER($K74),$K74,$Z74)))</f>
        <v/>
      </c>
      <c r="AB74" s="62">
        <f>IF($V74="","",IF(AND(ISNUMBER($G74),$G74&lt;=IF($S74=MesCiclo,InicioCiclo,$S74+MOD(2-WEEKDAY($S74),7))+27),1,IF(ISNUMBER($L74),$L74,$AA74)))</f>
        <v/>
      </c>
      <c r="AC74" s="62">
        <f>IF($V74="","",IF(AND(ISNUMBER($G74),$G74&lt;=IF($S74=MesCiclo,InicioCiclo,$S74+MOD(2-WEEKDAY($S74),7))+6),1,IF(N($W74)&gt;0,AVERAGEIFS($Y$5:$Y$1000,$U$5:$U$1000,ROW(),$V$5:$V$1000,"Sub"),$Y74)))</f>
        <v/>
      </c>
      <c r="AD74" s="62">
        <f>IF($V74="","",IF(AND(ISNUMBER($G74),$G74&lt;=IF($S74=MesCiclo,InicioCiclo,$S74+MOD(2-WEEKDAY($S74),7))+13),1,IF(N($W74)&gt;0,AVERAGEIFS($Z$5:$Z$1000,$U$5:$U$1000,ROW(),$V$5:$V$1000,"Sub"),$Z74)))</f>
        <v/>
      </c>
      <c r="AE74" s="62">
        <f>IF($V74="","",IF(AND(ISNUMBER($G74),$G74&lt;=IF($S74=MesCiclo,InicioCiclo,$S74+MOD(2-WEEKDAY($S74),7))+20),1,IF(N($W74)&gt;0,AVERAGEIFS($AA$5:$AA$1000,$U$5:$U$1000,ROW(),$V$5:$V$1000,"Sub"),$AA74)))</f>
        <v/>
      </c>
      <c r="AF74" s="62">
        <f>IF($V74="","",IF(AND(ISNUMBER($G74),$G74&lt;=IF($S74=MesCiclo,InicioCiclo,$S74+MOD(2-WEEKDAY($S74),7))+27),1,IF(N($W74)&gt;0,AVERAGEIFS($AB$5:$AB$1000,$U$5:$U$1000,ROW(),$V$5:$V$1000,"Sub"),$AB74)))</f>
        <v/>
      </c>
      <c r="AG74" s="62">
        <f>IF($V74&lt;&gt;"Macro","",IF(COUNTIFS($S$5:$S$1000,$S74,$V$5:$V$1000,"Macro",$H$5:$H$1000,"&gt;0")=0,1/COUNTIFS($S$5:$S$1000,$S74,$V$5:$V$1000,"Macro"),IF(AND(ISNUMBER($H74),N($H74)&gt;0),$H74,SUMIFS($H$5:$H$1000,$S$5:$S$1000,$S74,$V$5:$V$1000,"Macro")/COUNTIFS($S$5:$S$1000,$S74,$V$5:$V$1000,"Macro",$H$5:$H$1000,"&gt;0"))/(COUNTIFS($S$5:$S$1000,$S74,$V$5:$V$1000,"Macro")*SUMIFS($H$5:$H$1000,$S$5:$S$1000,$S74,$V$5:$V$1000,"Macro")/COUNTIFS($S$5:$S$1000,$S74,$V$5:$V$1000,"Macro",$H$5:$H$1000,"&gt;0"))))</f>
        <v/>
      </c>
      <c r="AH74" s="62" t="n"/>
      <c r="AI74" s="62" t="n"/>
      <c r="AJ74" s="62" t="n"/>
      <c r="AK74" s="62" t="n"/>
      <c r="AL74" s="62">
        <f>IF(LEFT($C74,11)="[Jefatura] ",IFERROR(MATCH("Asistente Técnico de Riesgo|"&amp;MID($C74,12,500),rDname_ADM,0),0),"")</f>
        <v/>
      </c>
      <c r="AM74" s="62">
        <f>IF(N($AL74)&gt;0,INDEX(rIni_ADM,$AL74),IF(ISNUMBER($E74),$E74,""))</f>
        <v/>
      </c>
      <c r="AN74" s="62">
        <f>IF(N($AL74)&gt;0,INDEX(rLim_ADM,$AL74),IF(ISNUMBER($F74),$F74,""))</f>
        <v/>
      </c>
    </row>
    <row r="75">
      <c r="A75" s="56">
        <f>IF(NOT((COUNTA($B75:$D75)+COUNTA($G75:$L75)+COUNTA($Q75))&gt;0),"",IF($V75="Macro",COUNTIFS($V$5:$V75,"Macro",$S$5:$S75,$S75),IF(N($U75)=0,"?",COUNTIFS(INDEX($V$5:$V$1000,1):INDEX($V$5:$V$1000,$U75-4),"Macro",INDEX($S$5:$S$1000,1):INDEX($S$5:$S$1000,$U75-4),INDEX($S$5:$S$1000,$U75-4))&amp;"."&amp;COUNTIFS($U$5:$U75,$U75,$V$5:$V75,"Sub"))))</f>
        <v/>
      </c>
      <c r="B75" s="57" t="n"/>
      <c r="C75" s="58" t="n"/>
      <c r="D75" s="58" t="n"/>
      <c r="E75" s="59">
        <f>IF(N($AL75)&gt;0,INDEX(rIni_ADM,$AL75),"")</f>
        <v/>
      </c>
      <c r="F75" s="59">
        <f>IF(N($AL75)&gt;0,INDEX(rLim_ADM,$AL75),"")</f>
        <v/>
      </c>
      <c r="G75" s="59" t="n"/>
      <c r="H75" s="60" t="n"/>
      <c r="I75" s="60" t="n"/>
      <c r="J75" s="60" t="n"/>
      <c r="K75" s="60" t="n"/>
      <c r="L75" s="60" t="n"/>
      <c r="M75" s="61">
        <f>IF(NOT((COUNTA($B75:$D75)+COUNTA($G75:$L75)+COUNTA($Q75))&gt;0),"",IF($V75="Sub",IFERROR($X75/INDEX($W$5:$W$1000,$U75-4),""),IF(ISNUMBER($G75),1,IF(N($W75)&gt;0,AVERAGEIFS($X$5:$X$1000,$U$5:$U$1000,ROW(),$V$5:$V$1000,"Sub"),$X75))))</f>
        <v/>
      </c>
      <c r="N75" s="56">
        <f>IF(OR($M75="",$V75="Sub"),"",IF($M75&gt;=1,"Completado",IF($M75&gt;0,"En curso","Pendiente")))</f>
        <v/>
      </c>
      <c r="O75" s="56">
        <f>IF(OR(NOT((COUNTA($B75:$D75)+COUNTA($G75:$L75)+COUNTA($Q75))&gt;0),$V75="Sub"),"",IF(ISNUMBER($G75),IF(AND(ISNUMBER($AN75),$G75&gt;$AN75),"Cumplida con "&amp;($G75-$AN75)&amp;IF($G75-$AN75=1," día"," días")&amp;" de retraso","Cumplida"),IF(N($M75)&gt;=1,"Cumplida",IF(NOT(ISNUMBER($AN75)),"Sin fecha límite",IF($AN75&lt;FechaRef,"Vencida hace "&amp;(FechaRef-$AN75)&amp;IF(FechaRef-$AN75=1," día"," días"),IF($AN75=FechaRef,"Vence hoy",IF($AN75-FechaRef&lt;=DiasAlerta,"Vence en "&amp;($AN75-FechaRef)&amp;IF($AN75-FechaRef=1," día"," días"),"En plazo")))))))</f>
        <v/>
      </c>
      <c r="P75" s="62" t="n"/>
      <c r="Q75" s="58" t="n"/>
      <c r="R75" s="63">
        <f>IF(NOT((COUNTA($B75:$D75)+COUNTA($G75:$L75)+COUNTA($Q75))&gt;0),"",IF((IF($C75="","Falta el nombre de la actividad"&amp;" · ","")&amp;IF(AND($V75="Sub",N($U75)=0),"Subactividad sin macroactividad arriba"&amp;" · ","")&amp;IF($AM75="","Sin fecha de inicio"&amp;" · ","")&amp;IF($AN75="","Sin fecha límite"&amp;" · ","")&amp;IF(AND(LEFT($C75,11)="[Jefatura] ",N($AL75)=0),"No se encuentra en la hoja de la jefatura (elíjala de nuevo en la lista)"&amp;" · ","")&amp;IF(OR(AND($E75&lt;&gt;"",NOT(ISNUMBER($E75))),AND($F75&lt;&gt;"",NOT(ISNUMBER($F75))),AND($G75&lt;&gt;"",NOT(ISNUMBER($G75)))),"Fecha no válida"&amp;" · ","")&amp;IF(AND(ISNUMBER($AM75),ISNUMBER($AN75),$AM75&gt;$AN75),"Inicio posterior a fecha límite"&amp;" · ","")&amp;IF(AND($V75="Macro",$H75&lt;&gt;"",OR(NOT(ISNUMBER($H75)),$H75&lt;0,$H75&gt;1)),"Peso fuera de rango"&amp;" · ","")&amp;IF(AND($V75="Sub",$H75&lt;&gt;""),"Las subactividades no llevan peso (valen igual dentro de su macroactividad)"&amp;" · ","")&amp;IF(AND(N($W75)&gt;0,COUNT($I75:$L75)&gt;0),"Con subactividades: deje vacías las semanas (se calculan solas)"&amp;" · ","")&amp;IF((COUNTIF($I75:$L75,"&gt;1")+COUNTIF($I75:$L75,"&lt;0")+COUNTA($I75:$L75)-COUNT($I75:$L75))&gt;0,"Avance fuera de rango 0-100%"&amp;" · ","")&amp;IF(OR(AND($J75&lt;&gt;"",$J75&lt;$I75),AND($K75&lt;&gt;"",$K75&lt;MAX($I75:$J75)),AND($L75&lt;&gt;"",$L75&lt;MAX($I75:$K75))),"Avance semanal decreciente"&amp;" · ","")&amp;IF(AND(ISNUMBER($AN75),$AN75&lt;FechaRef,IF($V75="Sub",N($X75),N($M75))&lt;1),"Vencida"&amp;" · ","")&amp;IF(AND(ObsObligatoria="Sí",ISNUMBER($AN75),$AN75&lt;FechaRef,IF($V75="Sub",N($X75),N($M75))&lt;1,$Q75=""),"Vencida sin observación"&amp;" · ",""))="","✔ OK","⚠ "&amp;LEFT(IF($C75="","Falta el nombre de la actividad"&amp;" · ","")&amp;IF(AND($V75="Sub",N($U75)=0),"Subactividad sin macroactividad arriba"&amp;" · ","")&amp;IF($AM75="","Sin fecha de inicio"&amp;" · ","")&amp;IF($AN75="","Sin fecha límite"&amp;" · ","")&amp;IF(AND(LEFT($C75,11)="[Jefatura] ",N($AL75)=0),"No se encuentra en la hoja de la jefatura (elíjala de nuevo en la lista)"&amp;" · ","")&amp;IF(OR(AND($E75&lt;&gt;"",NOT(ISNUMBER($E75))),AND($F75&lt;&gt;"",NOT(ISNUMBER($F75))),AND($G75&lt;&gt;"",NOT(ISNUMBER($G75)))),"Fecha no válida"&amp;" · ","")&amp;IF(AND(ISNUMBER($AM75),ISNUMBER($AN75),$AM75&gt;$AN75),"Inicio posterior a fecha límite"&amp;" · ","")&amp;IF(AND($V75="Macro",$H75&lt;&gt;"",OR(NOT(ISNUMBER($H75)),$H75&lt;0,$H75&gt;1)),"Peso fuera de rango"&amp;" · ","")&amp;IF(AND($V75="Sub",$H75&lt;&gt;""),"Las subactividades no llevan peso (valen igual dentro de su macroactividad)"&amp;" · ","")&amp;IF(AND(N($W75)&gt;0,COUNT($I75:$L75)&gt;0),"Con subactividades: deje vacías las semanas (se calculan solas)"&amp;" · ","")&amp;IF((COUNTIF($I75:$L75,"&gt;1")+COUNTIF($I75:$L75,"&lt;0")+COUNTA($I75:$L75)-COUNT($I75:$L75))&gt;0,"Avance fuera de rango 0-100%"&amp;" · ","")&amp;IF(OR(AND($J75&lt;&gt;"",$J75&lt;$I75),AND($K75&lt;&gt;"",$K75&lt;MAX($I75:$J75)),AND($L75&lt;&gt;"",$L75&lt;MAX($I75:$K75))),"Avance semanal decreciente"&amp;" · ","")&amp;IF(AND(ISNUMBER($AN75),$AN75&lt;FechaRef,IF($V75="Sub",N($X75),N($M75))&lt;1),"Vencida"&amp;" · ","")&amp;IF(AND(ObsObligatoria="Sí",ISNUMBER($AN75),$AN75&lt;FechaRef,IF($V75="Sub",N($X75),N($M75))&lt;1,$Q75=""),"Vencida sin observación"&amp;" · ",""),LEN(IF($C75="","Falta el nombre de la actividad"&amp;" · ","")&amp;IF(AND($V75="Sub",N($U75)=0),"Subactividad sin macroactividad arriba"&amp;" · ","")&amp;IF($AM75="","Sin fecha de inicio"&amp;" · ","")&amp;IF($AN75="","Sin fecha límite"&amp;" · ","")&amp;IF(AND(LEFT($C75,11)="[Jefatura] ",N($AL75)=0),"No se encuentra en la hoja de la jefatura (elíjala de nuevo en la lista)"&amp;" · ","")&amp;IF(OR(AND($E75&lt;&gt;"",NOT(ISNUMBER($E75))),AND($F75&lt;&gt;"",NOT(ISNUMBER($F75))),AND($G75&lt;&gt;"",NOT(ISNUMBER($G75)))),"Fecha no válida"&amp;" · ","")&amp;IF(AND(ISNUMBER($AM75),ISNUMBER($AN75),$AM75&gt;$AN75),"Inicio posterior a fecha límite"&amp;" · ","")&amp;IF(AND($V75="Macro",$H75&lt;&gt;"",OR(NOT(ISNUMBER($H75)),$H75&lt;0,$H75&gt;1)),"Peso fuera de rango"&amp;" · ","")&amp;IF(AND($V75="Sub",$H75&lt;&gt;""),"Las subactividades no llevan peso (valen igual dentro de su macroactividad)"&amp;" · ","")&amp;IF(AND(N($W75)&gt;0,COUNT($I75:$L75)&gt;0),"Con subactividades: deje vacías las semanas (se calculan solas)"&amp;" · ","")&amp;IF((COUNTIF($I75:$L75,"&gt;1")+COUNTIF($I75:$L75,"&lt;0")+COUNTA($I75:$L75)-COUNT($I75:$L75))&gt;0,"Avance fuera de rango 0-100%"&amp;" · ","")&amp;IF(OR(AND($J75&lt;&gt;"",$J75&lt;$I75),AND($K75&lt;&gt;"",$K75&lt;MAX($I75:$J75)),AND($L75&lt;&gt;"",$L75&lt;MAX($I75:$K75))),"Avance semanal decreciente"&amp;" · ","")&amp;IF(AND(ISNUMBER($AN75),$AN75&lt;FechaRef,IF($V75="Sub",N($X75),N($M75))&lt;1),"Vencida"&amp;" · ","")&amp;IF(AND(ObsObligatoria="Sí",ISNUMBER($AN75),$AN75&lt;FechaRef,IF($V75="Sub",N($X75),N($M75))&lt;1,$Q75=""),"Vencida sin observación"&amp;" · ",""))-3)))</f>
        <v/>
      </c>
      <c r="S75" s="64">
        <f>IF(NOT((COUNTA($B75:$D75)+COUNTA($G75:$L75)+COUNTA($Q75))&gt;0),"",IF(AND($V75="Sub",N($U75)&gt;0),IF(ISNUMBER(INDEX($AM$5:$AM$1000,$U75-4)),DATE(YEAR(INDEX($AM$5:$AM$1000,$U75-4)),MONTH(INDEX($AM$5:$AM$1000,$U75-4)),1),IF(ISNUMBER(INDEX($AN$5:$AN$1000,$U75-4)),DATE(YEAR(INDEX($AN$5:$AN$1000,$U75-4)),MONTH(INDEX($AN$5:$AN$1000,$U75-4)),1),MesCiclo)),IF(ISNUMBER($AM75),DATE(YEAR($AM75),MONTH($AM75),1),IF(ISNUMBER($AN75),DATE(YEAR($AN75),MONTH($AN75),1),MesCiclo))))</f>
        <v/>
      </c>
      <c r="T75" s="62">
        <f>IF(OR($S75="",$S75&lt;&gt;MesCiclo,$V75&lt;&gt;"Macro"),"",COUNTIFS($S$5:$S75,MesCiclo,$V$5:$V75,"Macro"))</f>
        <v/>
      </c>
      <c r="U75" s="62">
        <f>IF($V75="","",IF($V75="Macro",ROW(),IFERROR(LOOKUP(2,1/($V$5:$V75="Macro"),ROW($V$5:$V75)),0)))</f>
        <v/>
      </c>
      <c r="V75" s="62">
        <f>IF(NOT((COUNTA($B75:$D75)+COUNTA($G75:$L75)+COUNTA($Q75))&gt;0),"",IF($B75="Subactividad","Sub","Macro"))</f>
        <v/>
      </c>
      <c r="W75" s="62">
        <f>IF($V75="Macro",COUNTIFS($U$5:$U$1000,ROW(),$V$5:$V$1000,"Sub"),"")</f>
        <v/>
      </c>
      <c r="X75" s="62">
        <f>IF($V75="","",IF(ISNUMBER($G75),1,IFERROR(LOOKUP(2,1/($I75:$L75&lt;&gt;""),$I75:$L75),0)))</f>
        <v/>
      </c>
      <c r="Y75" s="62">
        <f>IF($V75="","",IF(AND(ISNUMBER($G75),$G75&lt;=IF($S75=MesCiclo,InicioCiclo,$S75+MOD(2-WEEKDAY($S75),7))+6),1,IF(ISNUMBER($I75),$I75,0)))</f>
        <v/>
      </c>
      <c r="Z75" s="62">
        <f>IF($V75="","",IF(AND(ISNUMBER($G75),$G75&lt;=IF($S75=MesCiclo,InicioCiclo,$S75+MOD(2-WEEKDAY($S75),7))+13),1,IF(ISNUMBER($J75),$J75,$Y75)))</f>
        <v/>
      </c>
      <c r="AA75" s="62">
        <f>IF($V75="","",IF(AND(ISNUMBER($G75),$G75&lt;=IF($S75=MesCiclo,InicioCiclo,$S75+MOD(2-WEEKDAY($S75),7))+20),1,IF(ISNUMBER($K75),$K75,$Z75)))</f>
        <v/>
      </c>
      <c r="AB75" s="62">
        <f>IF($V75="","",IF(AND(ISNUMBER($G75),$G75&lt;=IF($S75=MesCiclo,InicioCiclo,$S75+MOD(2-WEEKDAY($S75),7))+27),1,IF(ISNUMBER($L75),$L75,$AA75)))</f>
        <v/>
      </c>
      <c r="AC75" s="62">
        <f>IF($V75="","",IF(AND(ISNUMBER($G75),$G75&lt;=IF($S75=MesCiclo,InicioCiclo,$S75+MOD(2-WEEKDAY($S75),7))+6),1,IF(N($W75)&gt;0,AVERAGEIFS($Y$5:$Y$1000,$U$5:$U$1000,ROW(),$V$5:$V$1000,"Sub"),$Y75)))</f>
        <v/>
      </c>
      <c r="AD75" s="62">
        <f>IF($V75="","",IF(AND(ISNUMBER($G75),$G75&lt;=IF($S75=MesCiclo,InicioCiclo,$S75+MOD(2-WEEKDAY($S75),7))+13),1,IF(N($W75)&gt;0,AVERAGEIFS($Z$5:$Z$1000,$U$5:$U$1000,ROW(),$V$5:$V$1000,"Sub"),$Z75)))</f>
        <v/>
      </c>
      <c r="AE75" s="62">
        <f>IF($V75="","",IF(AND(ISNUMBER($G75),$G75&lt;=IF($S75=MesCiclo,InicioCiclo,$S75+MOD(2-WEEKDAY($S75),7))+20),1,IF(N($W75)&gt;0,AVERAGEIFS($AA$5:$AA$1000,$U$5:$U$1000,ROW(),$V$5:$V$1000,"Sub"),$AA75)))</f>
        <v/>
      </c>
      <c r="AF75" s="62">
        <f>IF($V75="","",IF(AND(ISNUMBER($G75),$G75&lt;=IF($S75=MesCiclo,InicioCiclo,$S75+MOD(2-WEEKDAY($S75),7))+27),1,IF(N($W75)&gt;0,AVERAGEIFS($AB$5:$AB$1000,$U$5:$U$1000,ROW(),$V$5:$V$1000,"Sub"),$AB75)))</f>
        <v/>
      </c>
      <c r="AG75" s="62">
        <f>IF($V75&lt;&gt;"Macro","",IF(COUNTIFS($S$5:$S$1000,$S75,$V$5:$V$1000,"Macro",$H$5:$H$1000,"&gt;0")=0,1/COUNTIFS($S$5:$S$1000,$S75,$V$5:$V$1000,"Macro"),IF(AND(ISNUMBER($H75),N($H75)&gt;0),$H75,SUMIFS($H$5:$H$1000,$S$5:$S$1000,$S75,$V$5:$V$1000,"Macro")/COUNTIFS($S$5:$S$1000,$S75,$V$5:$V$1000,"Macro",$H$5:$H$1000,"&gt;0"))/(COUNTIFS($S$5:$S$1000,$S75,$V$5:$V$1000,"Macro")*SUMIFS($H$5:$H$1000,$S$5:$S$1000,$S75,$V$5:$V$1000,"Macro")/COUNTIFS($S$5:$S$1000,$S75,$V$5:$V$1000,"Macro",$H$5:$H$1000,"&gt;0"))))</f>
        <v/>
      </c>
      <c r="AH75" s="62" t="n"/>
      <c r="AI75" s="62" t="n"/>
      <c r="AJ75" s="62" t="n"/>
      <c r="AK75" s="62" t="n"/>
      <c r="AL75" s="62">
        <f>IF(LEFT($C75,11)="[Jefatura] ",IFERROR(MATCH("Asistente Técnico de Riesgo|"&amp;MID($C75,12,500),rDname_ADM,0),0),"")</f>
        <v/>
      </c>
      <c r="AM75" s="62">
        <f>IF(N($AL75)&gt;0,INDEX(rIni_ADM,$AL75),IF(ISNUMBER($E75),$E75,""))</f>
        <v/>
      </c>
      <c r="AN75" s="62">
        <f>IF(N($AL75)&gt;0,INDEX(rLim_ADM,$AL75),IF(ISNUMBER($F75),$F75,""))</f>
        <v/>
      </c>
    </row>
    <row r="76">
      <c r="A76" s="56">
        <f>IF(NOT((COUNTA($B76:$D76)+COUNTA($G76:$L76)+COUNTA($Q76))&gt;0),"",IF($V76="Macro",COUNTIFS($V$5:$V76,"Macro",$S$5:$S76,$S76),IF(N($U76)=0,"?",COUNTIFS(INDEX($V$5:$V$1000,1):INDEX($V$5:$V$1000,$U76-4),"Macro",INDEX($S$5:$S$1000,1):INDEX($S$5:$S$1000,$U76-4),INDEX($S$5:$S$1000,$U76-4))&amp;"."&amp;COUNTIFS($U$5:$U76,$U76,$V$5:$V76,"Sub"))))</f>
        <v/>
      </c>
      <c r="B76" s="57" t="n"/>
      <c r="C76" s="58" t="n"/>
      <c r="D76" s="58" t="n"/>
      <c r="E76" s="59">
        <f>IF(N($AL76)&gt;0,INDEX(rIni_ADM,$AL76),"")</f>
        <v/>
      </c>
      <c r="F76" s="59">
        <f>IF(N($AL76)&gt;0,INDEX(rLim_ADM,$AL76),"")</f>
        <v/>
      </c>
      <c r="G76" s="59" t="n"/>
      <c r="H76" s="60" t="n"/>
      <c r="I76" s="60" t="n"/>
      <c r="J76" s="60" t="n"/>
      <c r="K76" s="60" t="n"/>
      <c r="L76" s="60" t="n"/>
      <c r="M76" s="61">
        <f>IF(NOT((COUNTA($B76:$D76)+COUNTA($G76:$L76)+COUNTA($Q76))&gt;0),"",IF($V76="Sub",IFERROR($X76/INDEX($W$5:$W$1000,$U76-4),""),IF(ISNUMBER($G76),1,IF(N($W76)&gt;0,AVERAGEIFS($X$5:$X$1000,$U$5:$U$1000,ROW(),$V$5:$V$1000,"Sub"),$X76))))</f>
        <v/>
      </c>
      <c r="N76" s="56">
        <f>IF(OR($M76="",$V76="Sub"),"",IF($M76&gt;=1,"Completado",IF($M76&gt;0,"En curso","Pendiente")))</f>
        <v/>
      </c>
      <c r="O76" s="56">
        <f>IF(OR(NOT((COUNTA($B76:$D76)+COUNTA($G76:$L76)+COUNTA($Q76))&gt;0),$V76="Sub"),"",IF(ISNUMBER($G76),IF(AND(ISNUMBER($AN76),$G76&gt;$AN76),"Cumplida con "&amp;($G76-$AN76)&amp;IF($G76-$AN76=1," día"," días")&amp;" de retraso","Cumplida"),IF(N($M76)&gt;=1,"Cumplida",IF(NOT(ISNUMBER($AN76)),"Sin fecha límite",IF($AN76&lt;FechaRef,"Vencida hace "&amp;(FechaRef-$AN76)&amp;IF(FechaRef-$AN76=1," día"," días"),IF($AN76=FechaRef,"Vence hoy",IF($AN76-FechaRef&lt;=DiasAlerta,"Vence en "&amp;($AN76-FechaRef)&amp;IF($AN76-FechaRef=1," día"," días"),"En plazo")))))))</f>
        <v/>
      </c>
      <c r="P76" s="62" t="n"/>
      <c r="Q76" s="58" t="n"/>
      <c r="R76" s="63">
        <f>IF(NOT((COUNTA($B76:$D76)+COUNTA($G76:$L76)+COUNTA($Q76))&gt;0),"",IF((IF($C76="","Falta el nombre de la actividad"&amp;" · ","")&amp;IF(AND($V76="Sub",N($U76)=0),"Subactividad sin macroactividad arriba"&amp;" · ","")&amp;IF($AM76="","Sin fecha de inicio"&amp;" · ","")&amp;IF($AN76="","Sin fecha límite"&amp;" · ","")&amp;IF(AND(LEFT($C76,11)="[Jefatura] ",N($AL76)=0),"No se encuentra en la hoja de la jefatura (elíjala de nuevo en la lista)"&amp;" · ","")&amp;IF(OR(AND($E76&lt;&gt;"",NOT(ISNUMBER($E76))),AND($F76&lt;&gt;"",NOT(ISNUMBER($F76))),AND($G76&lt;&gt;"",NOT(ISNUMBER($G76)))),"Fecha no válida"&amp;" · ","")&amp;IF(AND(ISNUMBER($AM76),ISNUMBER($AN76),$AM76&gt;$AN76),"Inicio posterior a fecha límite"&amp;" · ","")&amp;IF(AND($V76="Macro",$H76&lt;&gt;"",OR(NOT(ISNUMBER($H76)),$H76&lt;0,$H76&gt;1)),"Peso fuera de rango"&amp;" · ","")&amp;IF(AND($V76="Sub",$H76&lt;&gt;""),"Las subactividades no llevan peso (valen igual dentro de su macroactividad)"&amp;" · ","")&amp;IF(AND(N($W76)&gt;0,COUNT($I76:$L76)&gt;0),"Con subactividades: deje vacías las semanas (se calculan solas)"&amp;" · ","")&amp;IF((COUNTIF($I76:$L76,"&gt;1")+COUNTIF($I76:$L76,"&lt;0")+COUNTA($I76:$L76)-COUNT($I76:$L76))&gt;0,"Avance fuera de rango 0-100%"&amp;" · ","")&amp;IF(OR(AND($J76&lt;&gt;"",$J76&lt;$I76),AND($K76&lt;&gt;"",$K76&lt;MAX($I76:$J76)),AND($L76&lt;&gt;"",$L76&lt;MAX($I76:$K76))),"Avance semanal decreciente"&amp;" · ","")&amp;IF(AND(ISNUMBER($AN76),$AN76&lt;FechaRef,IF($V76="Sub",N($X76),N($M76))&lt;1),"Vencida"&amp;" · ","")&amp;IF(AND(ObsObligatoria="Sí",ISNUMBER($AN76),$AN76&lt;FechaRef,IF($V76="Sub",N($X76),N($M76))&lt;1,$Q76=""),"Vencida sin observación"&amp;" · ",""))="","✔ OK","⚠ "&amp;LEFT(IF($C76="","Falta el nombre de la actividad"&amp;" · ","")&amp;IF(AND($V76="Sub",N($U76)=0),"Subactividad sin macroactividad arriba"&amp;" · ","")&amp;IF($AM76="","Sin fecha de inicio"&amp;" · ","")&amp;IF($AN76="","Sin fecha límite"&amp;" · ","")&amp;IF(AND(LEFT($C76,11)="[Jefatura] ",N($AL76)=0),"No se encuentra en la hoja de la jefatura (elíjala de nuevo en la lista)"&amp;" · ","")&amp;IF(OR(AND($E76&lt;&gt;"",NOT(ISNUMBER($E76))),AND($F76&lt;&gt;"",NOT(ISNUMBER($F76))),AND($G76&lt;&gt;"",NOT(ISNUMBER($G76)))),"Fecha no válida"&amp;" · ","")&amp;IF(AND(ISNUMBER($AM76),ISNUMBER($AN76),$AM76&gt;$AN76),"Inicio posterior a fecha límite"&amp;" · ","")&amp;IF(AND($V76="Macro",$H76&lt;&gt;"",OR(NOT(ISNUMBER($H76)),$H76&lt;0,$H76&gt;1)),"Peso fuera de rango"&amp;" · ","")&amp;IF(AND($V76="Sub",$H76&lt;&gt;""),"Las subactividades no llevan peso (valen igual dentro de su macroactividad)"&amp;" · ","")&amp;IF(AND(N($W76)&gt;0,COUNT($I76:$L76)&gt;0),"Con subactividades: deje vacías las semanas (se calculan solas)"&amp;" · ","")&amp;IF((COUNTIF($I76:$L76,"&gt;1")+COUNTIF($I76:$L76,"&lt;0")+COUNTA($I76:$L76)-COUNT($I76:$L76))&gt;0,"Avance fuera de rango 0-100%"&amp;" · ","")&amp;IF(OR(AND($J76&lt;&gt;"",$J76&lt;$I76),AND($K76&lt;&gt;"",$K76&lt;MAX($I76:$J76)),AND($L76&lt;&gt;"",$L76&lt;MAX($I76:$K76))),"Avance semanal decreciente"&amp;" · ","")&amp;IF(AND(ISNUMBER($AN76),$AN76&lt;FechaRef,IF($V76="Sub",N($X76),N($M76))&lt;1),"Vencida"&amp;" · ","")&amp;IF(AND(ObsObligatoria="Sí",ISNUMBER($AN76),$AN76&lt;FechaRef,IF($V76="Sub",N($X76),N($M76))&lt;1,$Q76=""),"Vencida sin observación"&amp;" · ",""),LEN(IF($C76="","Falta el nombre de la actividad"&amp;" · ","")&amp;IF(AND($V76="Sub",N($U76)=0),"Subactividad sin macroactividad arriba"&amp;" · ","")&amp;IF($AM76="","Sin fecha de inicio"&amp;" · ","")&amp;IF($AN76="","Sin fecha límite"&amp;" · ","")&amp;IF(AND(LEFT($C76,11)="[Jefatura] ",N($AL76)=0),"No se encuentra en la hoja de la jefatura (elíjala de nuevo en la lista)"&amp;" · ","")&amp;IF(OR(AND($E76&lt;&gt;"",NOT(ISNUMBER($E76))),AND($F76&lt;&gt;"",NOT(ISNUMBER($F76))),AND($G76&lt;&gt;"",NOT(ISNUMBER($G76)))),"Fecha no válida"&amp;" · ","")&amp;IF(AND(ISNUMBER($AM76),ISNUMBER($AN76),$AM76&gt;$AN76),"Inicio posterior a fecha límite"&amp;" · ","")&amp;IF(AND($V76="Macro",$H76&lt;&gt;"",OR(NOT(ISNUMBER($H76)),$H76&lt;0,$H76&gt;1)),"Peso fuera de rango"&amp;" · ","")&amp;IF(AND($V76="Sub",$H76&lt;&gt;""),"Las subactividades no llevan peso (valen igual dentro de su macroactividad)"&amp;" · ","")&amp;IF(AND(N($W76)&gt;0,COUNT($I76:$L76)&gt;0),"Con subactividades: deje vacías las semanas (se calculan solas)"&amp;" · ","")&amp;IF((COUNTIF($I76:$L76,"&gt;1")+COUNTIF($I76:$L76,"&lt;0")+COUNTA($I76:$L76)-COUNT($I76:$L76))&gt;0,"Avance fuera de rango 0-100%"&amp;" · ","")&amp;IF(OR(AND($J76&lt;&gt;"",$J76&lt;$I76),AND($K76&lt;&gt;"",$K76&lt;MAX($I76:$J76)),AND($L76&lt;&gt;"",$L76&lt;MAX($I76:$K76))),"Avance semanal decreciente"&amp;" · ","")&amp;IF(AND(ISNUMBER($AN76),$AN76&lt;FechaRef,IF($V76="Sub",N($X76),N($M76))&lt;1),"Vencida"&amp;" · ","")&amp;IF(AND(ObsObligatoria="Sí",ISNUMBER($AN76),$AN76&lt;FechaRef,IF($V76="Sub",N($X76),N($M76))&lt;1,$Q76=""),"Vencida sin observación"&amp;" · ",""))-3)))</f>
        <v/>
      </c>
      <c r="S76" s="64">
        <f>IF(NOT((COUNTA($B76:$D76)+COUNTA($G76:$L76)+COUNTA($Q76))&gt;0),"",IF(AND($V76="Sub",N($U76)&gt;0),IF(ISNUMBER(INDEX($AM$5:$AM$1000,$U76-4)),DATE(YEAR(INDEX($AM$5:$AM$1000,$U76-4)),MONTH(INDEX($AM$5:$AM$1000,$U76-4)),1),IF(ISNUMBER(INDEX($AN$5:$AN$1000,$U76-4)),DATE(YEAR(INDEX($AN$5:$AN$1000,$U76-4)),MONTH(INDEX($AN$5:$AN$1000,$U76-4)),1),MesCiclo)),IF(ISNUMBER($AM76),DATE(YEAR($AM76),MONTH($AM76),1),IF(ISNUMBER($AN76),DATE(YEAR($AN76),MONTH($AN76),1),MesCiclo))))</f>
        <v/>
      </c>
      <c r="T76" s="62">
        <f>IF(OR($S76="",$S76&lt;&gt;MesCiclo,$V76&lt;&gt;"Macro"),"",COUNTIFS($S$5:$S76,MesCiclo,$V$5:$V76,"Macro"))</f>
        <v/>
      </c>
      <c r="U76" s="62">
        <f>IF($V76="","",IF($V76="Macro",ROW(),IFERROR(LOOKUP(2,1/($V$5:$V76="Macro"),ROW($V$5:$V76)),0)))</f>
        <v/>
      </c>
      <c r="V76" s="62">
        <f>IF(NOT((COUNTA($B76:$D76)+COUNTA($G76:$L76)+COUNTA($Q76))&gt;0),"",IF($B76="Subactividad","Sub","Macro"))</f>
        <v/>
      </c>
      <c r="W76" s="62">
        <f>IF($V76="Macro",COUNTIFS($U$5:$U$1000,ROW(),$V$5:$V$1000,"Sub"),"")</f>
        <v/>
      </c>
      <c r="X76" s="62">
        <f>IF($V76="","",IF(ISNUMBER($G76),1,IFERROR(LOOKUP(2,1/($I76:$L76&lt;&gt;""),$I76:$L76),0)))</f>
        <v/>
      </c>
      <c r="Y76" s="62">
        <f>IF($V76="","",IF(AND(ISNUMBER($G76),$G76&lt;=IF($S76=MesCiclo,InicioCiclo,$S76+MOD(2-WEEKDAY($S76),7))+6),1,IF(ISNUMBER($I76),$I76,0)))</f>
        <v/>
      </c>
      <c r="Z76" s="62">
        <f>IF($V76="","",IF(AND(ISNUMBER($G76),$G76&lt;=IF($S76=MesCiclo,InicioCiclo,$S76+MOD(2-WEEKDAY($S76),7))+13),1,IF(ISNUMBER($J76),$J76,$Y76)))</f>
        <v/>
      </c>
      <c r="AA76" s="62">
        <f>IF($V76="","",IF(AND(ISNUMBER($G76),$G76&lt;=IF($S76=MesCiclo,InicioCiclo,$S76+MOD(2-WEEKDAY($S76),7))+20),1,IF(ISNUMBER($K76),$K76,$Z76)))</f>
        <v/>
      </c>
      <c r="AB76" s="62">
        <f>IF($V76="","",IF(AND(ISNUMBER($G76),$G76&lt;=IF($S76=MesCiclo,InicioCiclo,$S76+MOD(2-WEEKDAY($S76),7))+27),1,IF(ISNUMBER($L76),$L76,$AA76)))</f>
        <v/>
      </c>
      <c r="AC76" s="62">
        <f>IF($V76="","",IF(AND(ISNUMBER($G76),$G76&lt;=IF($S76=MesCiclo,InicioCiclo,$S76+MOD(2-WEEKDAY($S76),7))+6),1,IF(N($W76)&gt;0,AVERAGEIFS($Y$5:$Y$1000,$U$5:$U$1000,ROW(),$V$5:$V$1000,"Sub"),$Y76)))</f>
        <v/>
      </c>
      <c r="AD76" s="62">
        <f>IF($V76="","",IF(AND(ISNUMBER($G76),$G76&lt;=IF($S76=MesCiclo,InicioCiclo,$S76+MOD(2-WEEKDAY($S76),7))+13),1,IF(N($W76)&gt;0,AVERAGEIFS($Z$5:$Z$1000,$U$5:$U$1000,ROW(),$V$5:$V$1000,"Sub"),$Z76)))</f>
        <v/>
      </c>
      <c r="AE76" s="62">
        <f>IF($V76="","",IF(AND(ISNUMBER($G76),$G76&lt;=IF($S76=MesCiclo,InicioCiclo,$S76+MOD(2-WEEKDAY($S76),7))+20),1,IF(N($W76)&gt;0,AVERAGEIFS($AA$5:$AA$1000,$U$5:$U$1000,ROW(),$V$5:$V$1000,"Sub"),$AA76)))</f>
        <v/>
      </c>
      <c r="AF76" s="62">
        <f>IF($V76="","",IF(AND(ISNUMBER($G76),$G76&lt;=IF($S76=MesCiclo,InicioCiclo,$S76+MOD(2-WEEKDAY($S76),7))+27),1,IF(N($W76)&gt;0,AVERAGEIFS($AB$5:$AB$1000,$U$5:$U$1000,ROW(),$V$5:$V$1000,"Sub"),$AB76)))</f>
        <v/>
      </c>
      <c r="AG76" s="62">
        <f>IF($V76&lt;&gt;"Macro","",IF(COUNTIFS($S$5:$S$1000,$S76,$V$5:$V$1000,"Macro",$H$5:$H$1000,"&gt;0")=0,1/COUNTIFS($S$5:$S$1000,$S76,$V$5:$V$1000,"Macro"),IF(AND(ISNUMBER($H76),N($H76)&gt;0),$H76,SUMIFS($H$5:$H$1000,$S$5:$S$1000,$S76,$V$5:$V$1000,"Macro")/COUNTIFS($S$5:$S$1000,$S76,$V$5:$V$1000,"Macro",$H$5:$H$1000,"&gt;0"))/(COUNTIFS($S$5:$S$1000,$S76,$V$5:$V$1000,"Macro")*SUMIFS($H$5:$H$1000,$S$5:$S$1000,$S76,$V$5:$V$1000,"Macro")/COUNTIFS($S$5:$S$1000,$S76,$V$5:$V$1000,"Macro",$H$5:$H$1000,"&gt;0"))))</f>
        <v/>
      </c>
      <c r="AH76" s="62" t="n"/>
      <c r="AI76" s="62" t="n"/>
      <c r="AJ76" s="62" t="n"/>
      <c r="AK76" s="62" t="n"/>
      <c r="AL76" s="62">
        <f>IF(LEFT($C76,11)="[Jefatura] ",IFERROR(MATCH("Asistente Técnico de Riesgo|"&amp;MID($C76,12,500),rDname_ADM,0),0),"")</f>
        <v/>
      </c>
      <c r="AM76" s="62">
        <f>IF(N($AL76)&gt;0,INDEX(rIni_ADM,$AL76),IF(ISNUMBER($E76),$E76,""))</f>
        <v/>
      </c>
      <c r="AN76" s="62">
        <f>IF(N($AL76)&gt;0,INDEX(rLim_ADM,$AL76),IF(ISNUMBER($F76),$F76,""))</f>
        <v/>
      </c>
    </row>
    <row r="77">
      <c r="A77" s="56">
        <f>IF(NOT((COUNTA($B77:$D77)+COUNTA($G77:$L77)+COUNTA($Q77))&gt;0),"",IF($V77="Macro",COUNTIFS($V$5:$V77,"Macro",$S$5:$S77,$S77),IF(N($U77)=0,"?",COUNTIFS(INDEX($V$5:$V$1000,1):INDEX($V$5:$V$1000,$U77-4),"Macro",INDEX($S$5:$S$1000,1):INDEX($S$5:$S$1000,$U77-4),INDEX($S$5:$S$1000,$U77-4))&amp;"."&amp;COUNTIFS($U$5:$U77,$U77,$V$5:$V77,"Sub"))))</f>
        <v/>
      </c>
      <c r="B77" s="57" t="n"/>
      <c r="C77" s="58" t="n"/>
      <c r="D77" s="58" t="n"/>
      <c r="E77" s="59">
        <f>IF(N($AL77)&gt;0,INDEX(rIni_ADM,$AL77),"")</f>
        <v/>
      </c>
      <c r="F77" s="59">
        <f>IF(N($AL77)&gt;0,INDEX(rLim_ADM,$AL77),"")</f>
        <v/>
      </c>
      <c r="G77" s="59" t="n"/>
      <c r="H77" s="60" t="n"/>
      <c r="I77" s="60" t="n"/>
      <c r="J77" s="60" t="n"/>
      <c r="K77" s="60" t="n"/>
      <c r="L77" s="60" t="n"/>
      <c r="M77" s="61">
        <f>IF(NOT((COUNTA($B77:$D77)+COUNTA($G77:$L77)+COUNTA($Q77))&gt;0),"",IF($V77="Sub",IFERROR($X77/INDEX($W$5:$W$1000,$U77-4),""),IF(ISNUMBER($G77),1,IF(N($W77)&gt;0,AVERAGEIFS($X$5:$X$1000,$U$5:$U$1000,ROW(),$V$5:$V$1000,"Sub"),$X77))))</f>
        <v/>
      </c>
      <c r="N77" s="56">
        <f>IF(OR($M77="",$V77="Sub"),"",IF($M77&gt;=1,"Completado",IF($M77&gt;0,"En curso","Pendiente")))</f>
        <v/>
      </c>
      <c r="O77" s="56">
        <f>IF(OR(NOT((COUNTA($B77:$D77)+COUNTA($G77:$L77)+COUNTA($Q77))&gt;0),$V77="Sub"),"",IF(ISNUMBER($G77),IF(AND(ISNUMBER($AN77),$G77&gt;$AN77),"Cumplida con "&amp;($G77-$AN77)&amp;IF($G77-$AN77=1," día"," días")&amp;" de retraso","Cumplida"),IF(N($M77)&gt;=1,"Cumplida",IF(NOT(ISNUMBER($AN77)),"Sin fecha límite",IF($AN77&lt;FechaRef,"Vencida hace "&amp;(FechaRef-$AN77)&amp;IF(FechaRef-$AN77=1," día"," días"),IF($AN77=FechaRef,"Vence hoy",IF($AN77-FechaRef&lt;=DiasAlerta,"Vence en "&amp;($AN77-FechaRef)&amp;IF($AN77-FechaRef=1," día"," días"),"En plazo")))))))</f>
        <v/>
      </c>
      <c r="P77" s="62" t="n"/>
      <c r="Q77" s="58" t="n"/>
      <c r="R77" s="63">
        <f>IF(NOT((COUNTA($B77:$D77)+COUNTA($G77:$L77)+COUNTA($Q77))&gt;0),"",IF((IF($C77="","Falta el nombre de la actividad"&amp;" · ","")&amp;IF(AND($V77="Sub",N($U77)=0),"Subactividad sin macroactividad arriba"&amp;" · ","")&amp;IF($AM77="","Sin fecha de inicio"&amp;" · ","")&amp;IF($AN77="","Sin fecha límite"&amp;" · ","")&amp;IF(AND(LEFT($C77,11)="[Jefatura] ",N($AL77)=0),"No se encuentra en la hoja de la jefatura (elíjala de nuevo en la lista)"&amp;" · ","")&amp;IF(OR(AND($E77&lt;&gt;"",NOT(ISNUMBER($E77))),AND($F77&lt;&gt;"",NOT(ISNUMBER($F77))),AND($G77&lt;&gt;"",NOT(ISNUMBER($G77)))),"Fecha no válida"&amp;" · ","")&amp;IF(AND(ISNUMBER($AM77),ISNUMBER($AN77),$AM77&gt;$AN77),"Inicio posterior a fecha límite"&amp;" · ","")&amp;IF(AND($V77="Macro",$H77&lt;&gt;"",OR(NOT(ISNUMBER($H77)),$H77&lt;0,$H77&gt;1)),"Peso fuera de rango"&amp;" · ","")&amp;IF(AND($V77="Sub",$H77&lt;&gt;""),"Las subactividades no llevan peso (valen igual dentro de su macroactividad)"&amp;" · ","")&amp;IF(AND(N($W77)&gt;0,COUNT($I77:$L77)&gt;0),"Con subactividades: deje vacías las semanas (se calculan solas)"&amp;" · ","")&amp;IF((COUNTIF($I77:$L77,"&gt;1")+COUNTIF($I77:$L77,"&lt;0")+COUNTA($I77:$L77)-COUNT($I77:$L77))&gt;0,"Avance fuera de rango 0-100%"&amp;" · ","")&amp;IF(OR(AND($J77&lt;&gt;"",$J77&lt;$I77),AND($K77&lt;&gt;"",$K77&lt;MAX($I77:$J77)),AND($L77&lt;&gt;"",$L77&lt;MAX($I77:$K77))),"Avance semanal decreciente"&amp;" · ","")&amp;IF(AND(ISNUMBER($AN77),$AN77&lt;FechaRef,IF($V77="Sub",N($X77),N($M77))&lt;1),"Vencida"&amp;" · ","")&amp;IF(AND(ObsObligatoria="Sí",ISNUMBER($AN77),$AN77&lt;FechaRef,IF($V77="Sub",N($X77),N($M77))&lt;1,$Q77=""),"Vencida sin observación"&amp;" · ",""))="","✔ OK","⚠ "&amp;LEFT(IF($C77="","Falta el nombre de la actividad"&amp;" · ","")&amp;IF(AND($V77="Sub",N($U77)=0),"Subactividad sin macroactividad arriba"&amp;" · ","")&amp;IF($AM77="","Sin fecha de inicio"&amp;" · ","")&amp;IF($AN77="","Sin fecha límite"&amp;" · ","")&amp;IF(AND(LEFT($C77,11)="[Jefatura] ",N($AL77)=0),"No se encuentra en la hoja de la jefatura (elíjala de nuevo en la lista)"&amp;" · ","")&amp;IF(OR(AND($E77&lt;&gt;"",NOT(ISNUMBER($E77))),AND($F77&lt;&gt;"",NOT(ISNUMBER($F77))),AND($G77&lt;&gt;"",NOT(ISNUMBER($G77)))),"Fecha no válida"&amp;" · ","")&amp;IF(AND(ISNUMBER($AM77),ISNUMBER($AN77),$AM77&gt;$AN77),"Inicio posterior a fecha límite"&amp;" · ","")&amp;IF(AND($V77="Macro",$H77&lt;&gt;"",OR(NOT(ISNUMBER($H77)),$H77&lt;0,$H77&gt;1)),"Peso fuera de rango"&amp;" · ","")&amp;IF(AND($V77="Sub",$H77&lt;&gt;""),"Las subactividades no llevan peso (valen igual dentro de su macroactividad)"&amp;" · ","")&amp;IF(AND(N($W77)&gt;0,COUNT($I77:$L77)&gt;0),"Con subactividades: deje vacías las semanas (se calculan solas)"&amp;" · ","")&amp;IF((COUNTIF($I77:$L77,"&gt;1")+COUNTIF($I77:$L77,"&lt;0")+COUNTA($I77:$L77)-COUNT($I77:$L77))&gt;0,"Avance fuera de rango 0-100%"&amp;" · ","")&amp;IF(OR(AND($J77&lt;&gt;"",$J77&lt;$I77),AND($K77&lt;&gt;"",$K77&lt;MAX($I77:$J77)),AND($L77&lt;&gt;"",$L77&lt;MAX($I77:$K77))),"Avance semanal decreciente"&amp;" · ","")&amp;IF(AND(ISNUMBER($AN77),$AN77&lt;FechaRef,IF($V77="Sub",N($X77),N($M77))&lt;1),"Vencida"&amp;" · ","")&amp;IF(AND(ObsObligatoria="Sí",ISNUMBER($AN77),$AN77&lt;FechaRef,IF($V77="Sub",N($X77),N($M77))&lt;1,$Q77=""),"Vencida sin observación"&amp;" · ",""),LEN(IF($C77="","Falta el nombre de la actividad"&amp;" · ","")&amp;IF(AND($V77="Sub",N($U77)=0),"Subactividad sin macroactividad arriba"&amp;" · ","")&amp;IF($AM77="","Sin fecha de inicio"&amp;" · ","")&amp;IF($AN77="","Sin fecha límite"&amp;" · ","")&amp;IF(AND(LEFT($C77,11)="[Jefatura] ",N($AL77)=0),"No se encuentra en la hoja de la jefatura (elíjala de nuevo en la lista)"&amp;" · ","")&amp;IF(OR(AND($E77&lt;&gt;"",NOT(ISNUMBER($E77))),AND($F77&lt;&gt;"",NOT(ISNUMBER($F77))),AND($G77&lt;&gt;"",NOT(ISNUMBER($G77)))),"Fecha no válida"&amp;" · ","")&amp;IF(AND(ISNUMBER($AM77),ISNUMBER($AN77),$AM77&gt;$AN77),"Inicio posterior a fecha límite"&amp;" · ","")&amp;IF(AND($V77="Macro",$H77&lt;&gt;"",OR(NOT(ISNUMBER($H77)),$H77&lt;0,$H77&gt;1)),"Peso fuera de rango"&amp;" · ","")&amp;IF(AND($V77="Sub",$H77&lt;&gt;""),"Las subactividades no llevan peso (valen igual dentro de su macroactividad)"&amp;" · ","")&amp;IF(AND(N($W77)&gt;0,COUNT($I77:$L77)&gt;0),"Con subactividades: deje vacías las semanas (se calculan solas)"&amp;" · ","")&amp;IF((COUNTIF($I77:$L77,"&gt;1")+COUNTIF($I77:$L77,"&lt;0")+COUNTA($I77:$L77)-COUNT($I77:$L77))&gt;0,"Avance fuera de rango 0-100%"&amp;" · ","")&amp;IF(OR(AND($J77&lt;&gt;"",$J77&lt;$I77),AND($K77&lt;&gt;"",$K77&lt;MAX($I77:$J77)),AND($L77&lt;&gt;"",$L77&lt;MAX($I77:$K77))),"Avance semanal decreciente"&amp;" · ","")&amp;IF(AND(ISNUMBER($AN77),$AN77&lt;FechaRef,IF($V77="Sub",N($X77),N($M77))&lt;1),"Vencida"&amp;" · ","")&amp;IF(AND(ObsObligatoria="Sí",ISNUMBER($AN77),$AN77&lt;FechaRef,IF($V77="Sub",N($X77),N($M77))&lt;1,$Q77=""),"Vencida sin observación"&amp;" · ",""))-3)))</f>
        <v/>
      </c>
      <c r="S77" s="64">
        <f>IF(NOT((COUNTA($B77:$D77)+COUNTA($G77:$L77)+COUNTA($Q77))&gt;0),"",IF(AND($V77="Sub",N($U77)&gt;0),IF(ISNUMBER(INDEX($AM$5:$AM$1000,$U77-4)),DATE(YEAR(INDEX($AM$5:$AM$1000,$U77-4)),MONTH(INDEX($AM$5:$AM$1000,$U77-4)),1),IF(ISNUMBER(INDEX($AN$5:$AN$1000,$U77-4)),DATE(YEAR(INDEX($AN$5:$AN$1000,$U77-4)),MONTH(INDEX($AN$5:$AN$1000,$U77-4)),1),MesCiclo)),IF(ISNUMBER($AM77),DATE(YEAR($AM77),MONTH($AM77),1),IF(ISNUMBER($AN77),DATE(YEAR($AN77),MONTH($AN77),1),MesCiclo))))</f>
        <v/>
      </c>
      <c r="T77" s="62">
        <f>IF(OR($S77="",$S77&lt;&gt;MesCiclo,$V77&lt;&gt;"Macro"),"",COUNTIFS($S$5:$S77,MesCiclo,$V$5:$V77,"Macro"))</f>
        <v/>
      </c>
      <c r="U77" s="62">
        <f>IF($V77="","",IF($V77="Macro",ROW(),IFERROR(LOOKUP(2,1/($V$5:$V77="Macro"),ROW($V$5:$V77)),0)))</f>
        <v/>
      </c>
      <c r="V77" s="62">
        <f>IF(NOT((COUNTA($B77:$D77)+COUNTA($G77:$L77)+COUNTA($Q77))&gt;0),"",IF($B77="Subactividad","Sub","Macro"))</f>
        <v/>
      </c>
      <c r="W77" s="62">
        <f>IF($V77="Macro",COUNTIFS($U$5:$U$1000,ROW(),$V$5:$V$1000,"Sub"),"")</f>
        <v/>
      </c>
      <c r="X77" s="62">
        <f>IF($V77="","",IF(ISNUMBER($G77),1,IFERROR(LOOKUP(2,1/($I77:$L77&lt;&gt;""),$I77:$L77),0)))</f>
        <v/>
      </c>
      <c r="Y77" s="62">
        <f>IF($V77="","",IF(AND(ISNUMBER($G77),$G77&lt;=IF($S77=MesCiclo,InicioCiclo,$S77+MOD(2-WEEKDAY($S77),7))+6),1,IF(ISNUMBER($I77),$I77,0)))</f>
        <v/>
      </c>
      <c r="Z77" s="62">
        <f>IF($V77="","",IF(AND(ISNUMBER($G77),$G77&lt;=IF($S77=MesCiclo,InicioCiclo,$S77+MOD(2-WEEKDAY($S77),7))+13),1,IF(ISNUMBER($J77),$J77,$Y77)))</f>
        <v/>
      </c>
      <c r="AA77" s="62">
        <f>IF($V77="","",IF(AND(ISNUMBER($G77),$G77&lt;=IF($S77=MesCiclo,InicioCiclo,$S77+MOD(2-WEEKDAY($S77),7))+20),1,IF(ISNUMBER($K77),$K77,$Z77)))</f>
        <v/>
      </c>
      <c r="AB77" s="62">
        <f>IF($V77="","",IF(AND(ISNUMBER($G77),$G77&lt;=IF($S77=MesCiclo,InicioCiclo,$S77+MOD(2-WEEKDAY($S77),7))+27),1,IF(ISNUMBER($L77),$L77,$AA77)))</f>
        <v/>
      </c>
      <c r="AC77" s="62">
        <f>IF($V77="","",IF(AND(ISNUMBER($G77),$G77&lt;=IF($S77=MesCiclo,InicioCiclo,$S77+MOD(2-WEEKDAY($S77),7))+6),1,IF(N($W77)&gt;0,AVERAGEIFS($Y$5:$Y$1000,$U$5:$U$1000,ROW(),$V$5:$V$1000,"Sub"),$Y77)))</f>
        <v/>
      </c>
      <c r="AD77" s="62">
        <f>IF($V77="","",IF(AND(ISNUMBER($G77),$G77&lt;=IF($S77=MesCiclo,InicioCiclo,$S77+MOD(2-WEEKDAY($S77),7))+13),1,IF(N($W77)&gt;0,AVERAGEIFS($Z$5:$Z$1000,$U$5:$U$1000,ROW(),$V$5:$V$1000,"Sub"),$Z77)))</f>
        <v/>
      </c>
      <c r="AE77" s="62">
        <f>IF($V77="","",IF(AND(ISNUMBER($G77),$G77&lt;=IF($S77=MesCiclo,InicioCiclo,$S77+MOD(2-WEEKDAY($S77),7))+20),1,IF(N($W77)&gt;0,AVERAGEIFS($AA$5:$AA$1000,$U$5:$U$1000,ROW(),$V$5:$V$1000,"Sub"),$AA77)))</f>
        <v/>
      </c>
      <c r="AF77" s="62">
        <f>IF($V77="","",IF(AND(ISNUMBER($G77),$G77&lt;=IF($S77=MesCiclo,InicioCiclo,$S77+MOD(2-WEEKDAY($S77),7))+27),1,IF(N($W77)&gt;0,AVERAGEIFS($AB$5:$AB$1000,$U$5:$U$1000,ROW(),$V$5:$V$1000,"Sub"),$AB77)))</f>
        <v/>
      </c>
      <c r="AG77" s="62">
        <f>IF($V77&lt;&gt;"Macro","",IF(COUNTIFS($S$5:$S$1000,$S77,$V$5:$V$1000,"Macro",$H$5:$H$1000,"&gt;0")=0,1/COUNTIFS($S$5:$S$1000,$S77,$V$5:$V$1000,"Macro"),IF(AND(ISNUMBER($H77),N($H77)&gt;0),$H77,SUMIFS($H$5:$H$1000,$S$5:$S$1000,$S77,$V$5:$V$1000,"Macro")/COUNTIFS($S$5:$S$1000,$S77,$V$5:$V$1000,"Macro",$H$5:$H$1000,"&gt;0"))/(COUNTIFS($S$5:$S$1000,$S77,$V$5:$V$1000,"Macro")*SUMIFS($H$5:$H$1000,$S$5:$S$1000,$S77,$V$5:$V$1000,"Macro")/COUNTIFS($S$5:$S$1000,$S77,$V$5:$V$1000,"Macro",$H$5:$H$1000,"&gt;0"))))</f>
        <v/>
      </c>
      <c r="AH77" s="62" t="n"/>
      <c r="AI77" s="62" t="n"/>
      <c r="AJ77" s="62" t="n"/>
      <c r="AK77" s="62" t="n"/>
      <c r="AL77" s="62">
        <f>IF(LEFT($C77,11)="[Jefatura] ",IFERROR(MATCH("Asistente Técnico de Riesgo|"&amp;MID($C77,12,500),rDname_ADM,0),0),"")</f>
        <v/>
      </c>
      <c r="AM77" s="62">
        <f>IF(N($AL77)&gt;0,INDEX(rIni_ADM,$AL77),IF(ISNUMBER($E77),$E77,""))</f>
        <v/>
      </c>
      <c r="AN77" s="62">
        <f>IF(N($AL77)&gt;0,INDEX(rLim_ADM,$AL77),IF(ISNUMBER($F77),$F77,""))</f>
        <v/>
      </c>
    </row>
    <row r="78">
      <c r="A78" s="56">
        <f>IF(NOT((COUNTA($B78:$D78)+COUNTA($G78:$L78)+COUNTA($Q78))&gt;0),"",IF($V78="Macro",COUNTIFS($V$5:$V78,"Macro",$S$5:$S78,$S78),IF(N($U78)=0,"?",COUNTIFS(INDEX($V$5:$V$1000,1):INDEX($V$5:$V$1000,$U78-4),"Macro",INDEX($S$5:$S$1000,1):INDEX($S$5:$S$1000,$U78-4),INDEX($S$5:$S$1000,$U78-4))&amp;"."&amp;COUNTIFS($U$5:$U78,$U78,$V$5:$V78,"Sub"))))</f>
        <v/>
      </c>
      <c r="B78" s="57" t="n"/>
      <c r="C78" s="58" t="n"/>
      <c r="D78" s="58" t="n"/>
      <c r="E78" s="59">
        <f>IF(N($AL78)&gt;0,INDEX(rIni_ADM,$AL78),"")</f>
        <v/>
      </c>
      <c r="F78" s="59">
        <f>IF(N($AL78)&gt;0,INDEX(rLim_ADM,$AL78),"")</f>
        <v/>
      </c>
      <c r="G78" s="59" t="n"/>
      <c r="H78" s="60" t="n"/>
      <c r="I78" s="60" t="n"/>
      <c r="J78" s="60" t="n"/>
      <c r="K78" s="60" t="n"/>
      <c r="L78" s="60" t="n"/>
      <c r="M78" s="61">
        <f>IF(NOT((COUNTA($B78:$D78)+COUNTA($G78:$L78)+COUNTA($Q78))&gt;0),"",IF($V78="Sub",IFERROR($X78/INDEX($W$5:$W$1000,$U78-4),""),IF(ISNUMBER($G78),1,IF(N($W78)&gt;0,AVERAGEIFS($X$5:$X$1000,$U$5:$U$1000,ROW(),$V$5:$V$1000,"Sub"),$X78))))</f>
        <v/>
      </c>
      <c r="N78" s="56">
        <f>IF(OR($M78="",$V78="Sub"),"",IF($M78&gt;=1,"Completado",IF($M78&gt;0,"En curso","Pendiente")))</f>
        <v/>
      </c>
      <c r="O78" s="56">
        <f>IF(OR(NOT((COUNTA($B78:$D78)+COUNTA($G78:$L78)+COUNTA($Q78))&gt;0),$V78="Sub"),"",IF(ISNUMBER($G78),IF(AND(ISNUMBER($AN78),$G78&gt;$AN78),"Cumplida con "&amp;($G78-$AN78)&amp;IF($G78-$AN78=1," día"," días")&amp;" de retraso","Cumplida"),IF(N($M78)&gt;=1,"Cumplida",IF(NOT(ISNUMBER($AN78)),"Sin fecha límite",IF($AN78&lt;FechaRef,"Vencida hace "&amp;(FechaRef-$AN78)&amp;IF(FechaRef-$AN78=1," día"," días"),IF($AN78=FechaRef,"Vence hoy",IF($AN78-FechaRef&lt;=DiasAlerta,"Vence en "&amp;($AN78-FechaRef)&amp;IF($AN78-FechaRef=1," día"," días"),"En plazo")))))))</f>
        <v/>
      </c>
      <c r="P78" s="62" t="n"/>
      <c r="Q78" s="58" t="n"/>
      <c r="R78" s="63">
        <f>IF(NOT((COUNTA($B78:$D78)+COUNTA($G78:$L78)+COUNTA($Q78))&gt;0),"",IF((IF($C78="","Falta el nombre de la actividad"&amp;" · ","")&amp;IF(AND($V78="Sub",N($U78)=0),"Subactividad sin macroactividad arriba"&amp;" · ","")&amp;IF($AM78="","Sin fecha de inicio"&amp;" · ","")&amp;IF($AN78="","Sin fecha límite"&amp;" · ","")&amp;IF(AND(LEFT($C78,11)="[Jefatura] ",N($AL78)=0),"No se encuentra en la hoja de la jefatura (elíjala de nuevo en la lista)"&amp;" · ","")&amp;IF(OR(AND($E78&lt;&gt;"",NOT(ISNUMBER($E78))),AND($F78&lt;&gt;"",NOT(ISNUMBER($F78))),AND($G78&lt;&gt;"",NOT(ISNUMBER($G78)))),"Fecha no válida"&amp;" · ","")&amp;IF(AND(ISNUMBER($AM78),ISNUMBER($AN78),$AM78&gt;$AN78),"Inicio posterior a fecha límite"&amp;" · ","")&amp;IF(AND($V78="Macro",$H78&lt;&gt;"",OR(NOT(ISNUMBER($H78)),$H78&lt;0,$H78&gt;1)),"Peso fuera de rango"&amp;" · ","")&amp;IF(AND($V78="Sub",$H78&lt;&gt;""),"Las subactividades no llevan peso (valen igual dentro de su macroactividad)"&amp;" · ","")&amp;IF(AND(N($W78)&gt;0,COUNT($I78:$L78)&gt;0),"Con subactividades: deje vacías las semanas (se calculan solas)"&amp;" · ","")&amp;IF((COUNTIF($I78:$L78,"&gt;1")+COUNTIF($I78:$L78,"&lt;0")+COUNTA($I78:$L78)-COUNT($I78:$L78))&gt;0,"Avance fuera de rango 0-100%"&amp;" · ","")&amp;IF(OR(AND($J78&lt;&gt;"",$J78&lt;$I78),AND($K78&lt;&gt;"",$K78&lt;MAX($I78:$J78)),AND($L78&lt;&gt;"",$L78&lt;MAX($I78:$K78))),"Avance semanal decreciente"&amp;" · ","")&amp;IF(AND(ISNUMBER($AN78),$AN78&lt;FechaRef,IF($V78="Sub",N($X78),N($M78))&lt;1),"Vencida"&amp;" · ","")&amp;IF(AND(ObsObligatoria="Sí",ISNUMBER($AN78),$AN78&lt;FechaRef,IF($V78="Sub",N($X78),N($M78))&lt;1,$Q78=""),"Vencida sin observación"&amp;" · ",""))="","✔ OK","⚠ "&amp;LEFT(IF($C78="","Falta el nombre de la actividad"&amp;" · ","")&amp;IF(AND($V78="Sub",N($U78)=0),"Subactividad sin macroactividad arriba"&amp;" · ","")&amp;IF($AM78="","Sin fecha de inicio"&amp;" · ","")&amp;IF($AN78="","Sin fecha límite"&amp;" · ","")&amp;IF(AND(LEFT($C78,11)="[Jefatura] ",N($AL78)=0),"No se encuentra en la hoja de la jefatura (elíjala de nuevo en la lista)"&amp;" · ","")&amp;IF(OR(AND($E78&lt;&gt;"",NOT(ISNUMBER($E78))),AND($F78&lt;&gt;"",NOT(ISNUMBER($F78))),AND($G78&lt;&gt;"",NOT(ISNUMBER($G78)))),"Fecha no válida"&amp;" · ","")&amp;IF(AND(ISNUMBER($AM78),ISNUMBER($AN78),$AM78&gt;$AN78),"Inicio posterior a fecha límite"&amp;" · ","")&amp;IF(AND($V78="Macro",$H78&lt;&gt;"",OR(NOT(ISNUMBER($H78)),$H78&lt;0,$H78&gt;1)),"Peso fuera de rango"&amp;" · ","")&amp;IF(AND($V78="Sub",$H78&lt;&gt;""),"Las subactividades no llevan peso (valen igual dentro de su macroactividad)"&amp;" · ","")&amp;IF(AND(N($W78)&gt;0,COUNT($I78:$L78)&gt;0),"Con subactividades: deje vacías las semanas (se calculan solas)"&amp;" · ","")&amp;IF((COUNTIF($I78:$L78,"&gt;1")+COUNTIF($I78:$L78,"&lt;0")+COUNTA($I78:$L78)-COUNT($I78:$L78))&gt;0,"Avance fuera de rango 0-100%"&amp;" · ","")&amp;IF(OR(AND($J78&lt;&gt;"",$J78&lt;$I78),AND($K78&lt;&gt;"",$K78&lt;MAX($I78:$J78)),AND($L78&lt;&gt;"",$L78&lt;MAX($I78:$K78))),"Avance semanal decreciente"&amp;" · ","")&amp;IF(AND(ISNUMBER($AN78),$AN78&lt;FechaRef,IF($V78="Sub",N($X78),N($M78))&lt;1),"Vencida"&amp;" · ","")&amp;IF(AND(ObsObligatoria="Sí",ISNUMBER($AN78),$AN78&lt;FechaRef,IF($V78="Sub",N($X78),N($M78))&lt;1,$Q78=""),"Vencida sin observación"&amp;" · ",""),LEN(IF($C78="","Falta el nombre de la actividad"&amp;" · ","")&amp;IF(AND($V78="Sub",N($U78)=0),"Subactividad sin macroactividad arriba"&amp;" · ","")&amp;IF($AM78="","Sin fecha de inicio"&amp;" · ","")&amp;IF($AN78="","Sin fecha límite"&amp;" · ","")&amp;IF(AND(LEFT($C78,11)="[Jefatura] ",N($AL78)=0),"No se encuentra en la hoja de la jefatura (elíjala de nuevo en la lista)"&amp;" · ","")&amp;IF(OR(AND($E78&lt;&gt;"",NOT(ISNUMBER($E78))),AND($F78&lt;&gt;"",NOT(ISNUMBER($F78))),AND($G78&lt;&gt;"",NOT(ISNUMBER($G78)))),"Fecha no válida"&amp;" · ","")&amp;IF(AND(ISNUMBER($AM78),ISNUMBER($AN78),$AM78&gt;$AN78),"Inicio posterior a fecha límite"&amp;" · ","")&amp;IF(AND($V78="Macro",$H78&lt;&gt;"",OR(NOT(ISNUMBER($H78)),$H78&lt;0,$H78&gt;1)),"Peso fuera de rango"&amp;" · ","")&amp;IF(AND($V78="Sub",$H78&lt;&gt;""),"Las subactividades no llevan peso (valen igual dentro de su macroactividad)"&amp;" · ","")&amp;IF(AND(N($W78)&gt;0,COUNT($I78:$L78)&gt;0),"Con subactividades: deje vacías las semanas (se calculan solas)"&amp;" · ","")&amp;IF((COUNTIF($I78:$L78,"&gt;1")+COUNTIF($I78:$L78,"&lt;0")+COUNTA($I78:$L78)-COUNT($I78:$L78))&gt;0,"Avance fuera de rango 0-100%"&amp;" · ","")&amp;IF(OR(AND($J78&lt;&gt;"",$J78&lt;$I78),AND($K78&lt;&gt;"",$K78&lt;MAX($I78:$J78)),AND($L78&lt;&gt;"",$L78&lt;MAX($I78:$K78))),"Avance semanal decreciente"&amp;" · ","")&amp;IF(AND(ISNUMBER($AN78),$AN78&lt;FechaRef,IF($V78="Sub",N($X78),N($M78))&lt;1),"Vencida"&amp;" · ","")&amp;IF(AND(ObsObligatoria="Sí",ISNUMBER($AN78),$AN78&lt;FechaRef,IF($V78="Sub",N($X78),N($M78))&lt;1,$Q78=""),"Vencida sin observación"&amp;" · ",""))-3)))</f>
        <v/>
      </c>
      <c r="S78" s="64">
        <f>IF(NOT((COUNTA($B78:$D78)+COUNTA($G78:$L78)+COUNTA($Q78))&gt;0),"",IF(AND($V78="Sub",N($U78)&gt;0),IF(ISNUMBER(INDEX($AM$5:$AM$1000,$U78-4)),DATE(YEAR(INDEX($AM$5:$AM$1000,$U78-4)),MONTH(INDEX($AM$5:$AM$1000,$U78-4)),1),IF(ISNUMBER(INDEX($AN$5:$AN$1000,$U78-4)),DATE(YEAR(INDEX($AN$5:$AN$1000,$U78-4)),MONTH(INDEX($AN$5:$AN$1000,$U78-4)),1),MesCiclo)),IF(ISNUMBER($AM78),DATE(YEAR($AM78),MONTH($AM78),1),IF(ISNUMBER($AN78),DATE(YEAR($AN78),MONTH($AN78),1),MesCiclo))))</f>
        <v/>
      </c>
      <c r="T78" s="62">
        <f>IF(OR($S78="",$S78&lt;&gt;MesCiclo,$V78&lt;&gt;"Macro"),"",COUNTIFS($S$5:$S78,MesCiclo,$V$5:$V78,"Macro"))</f>
        <v/>
      </c>
      <c r="U78" s="62">
        <f>IF($V78="","",IF($V78="Macro",ROW(),IFERROR(LOOKUP(2,1/($V$5:$V78="Macro"),ROW($V$5:$V78)),0)))</f>
        <v/>
      </c>
      <c r="V78" s="62">
        <f>IF(NOT((COUNTA($B78:$D78)+COUNTA($G78:$L78)+COUNTA($Q78))&gt;0),"",IF($B78="Subactividad","Sub","Macro"))</f>
        <v/>
      </c>
      <c r="W78" s="62">
        <f>IF($V78="Macro",COUNTIFS($U$5:$U$1000,ROW(),$V$5:$V$1000,"Sub"),"")</f>
        <v/>
      </c>
      <c r="X78" s="62">
        <f>IF($V78="","",IF(ISNUMBER($G78),1,IFERROR(LOOKUP(2,1/($I78:$L78&lt;&gt;""),$I78:$L78),0)))</f>
        <v/>
      </c>
      <c r="Y78" s="62">
        <f>IF($V78="","",IF(AND(ISNUMBER($G78),$G78&lt;=IF($S78=MesCiclo,InicioCiclo,$S78+MOD(2-WEEKDAY($S78),7))+6),1,IF(ISNUMBER($I78),$I78,0)))</f>
        <v/>
      </c>
      <c r="Z78" s="62">
        <f>IF($V78="","",IF(AND(ISNUMBER($G78),$G78&lt;=IF($S78=MesCiclo,InicioCiclo,$S78+MOD(2-WEEKDAY($S78),7))+13),1,IF(ISNUMBER($J78),$J78,$Y78)))</f>
        <v/>
      </c>
      <c r="AA78" s="62">
        <f>IF($V78="","",IF(AND(ISNUMBER($G78),$G78&lt;=IF($S78=MesCiclo,InicioCiclo,$S78+MOD(2-WEEKDAY($S78),7))+20),1,IF(ISNUMBER($K78),$K78,$Z78)))</f>
        <v/>
      </c>
      <c r="AB78" s="62">
        <f>IF($V78="","",IF(AND(ISNUMBER($G78),$G78&lt;=IF($S78=MesCiclo,InicioCiclo,$S78+MOD(2-WEEKDAY($S78),7))+27),1,IF(ISNUMBER($L78),$L78,$AA78)))</f>
        <v/>
      </c>
      <c r="AC78" s="62">
        <f>IF($V78="","",IF(AND(ISNUMBER($G78),$G78&lt;=IF($S78=MesCiclo,InicioCiclo,$S78+MOD(2-WEEKDAY($S78),7))+6),1,IF(N($W78)&gt;0,AVERAGEIFS($Y$5:$Y$1000,$U$5:$U$1000,ROW(),$V$5:$V$1000,"Sub"),$Y78)))</f>
        <v/>
      </c>
      <c r="AD78" s="62">
        <f>IF($V78="","",IF(AND(ISNUMBER($G78),$G78&lt;=IF($S78=MesCiclo,InicioCiclo,$S78+MOD(2-WEEKDAY($S78),7))+13),1,IF(N($W78)&gt;0,AVERAGEIFS($Z$5:$Z$1000,$U$5:$U$1000,ROW(),$V$5:$V$1000,"Sub"),$Z78)))</f>
        <v/>
      </c>
      <c r="AE78" s="62">
        <f>IF($V78="","",IF(AND(ISNUMBER($G78),$G78&lt;=IF($S78=MesCiclo,InicioCiclo,$S78+MOD(2-WEEKDAY($S78),7))+20),1,IF(N($W78)&gt;0,AVERAGEIFS($AA$5:$AA$1000,$U$5:$U$1000,ROW(),$V$5:$V$1000,"Sub"),$AA78)))</f>
        <v/>
      </c>
      <c r="AF78" s="62">
        <f>IF($V78="","",IF(AND(ISNUMBER($G78),$G78&lt;=IF($S78=MesCiclo,InicioCiclo,$S78+MOD(2-WEEKDAY($S78),7))+27),1,IF(N($W78)&gt;0,AVERAGEIFS($AB$5:$AB$1000,$U$5:$U$1000,ROW(),$V$5:$V$1000,"Sub"),$AB78)))</f>
        <v/>
      </c>
      <c r="AG78" s="62">
        <f>IF($V78&lt;&gt;"Macro","",IF(COUNTIFS($S$5:$S$1000,$S78,$V$5:$V$1000,"Macro",$H$5:$H$1000,"&gt;0")=0,1/COUNTIFS($S$5:$S$1000,$S78,$V$5:$V$1000,"Macro"),IF(AND(ISNUMBER($H78),N($H78)&gt;0),$H78,SUMIFS($H$5:$H$1000,$S$5:$S$1000,$S78,$V$5:$V$1000,"Macro")/COUNTIFS($S$5:$S$1000,$S78,$V$5:$V$1000,"Macro",$H$5:$H$1000,"&gt;0"))/(COUNTIFS($S$5:$S$1000,$S78,$V$5:$V$1000,"Macro")*SUMIFS($H$5:$H$1000,$S$5:$S$1000,$S78,$V$5:$V$1000,"Macro")/COUNTIFS($S$5:$S$1000,$S78,$V$5:$V$1000,"Macro",$H$5:$H$1000,"&gt;0"))))</f>
        <v/>
      </c>
      <c r="AH78" s="62" t="n"/>
      <c r="AI78" s="62" t="n"/>
      <c r="AJ78" s="62" t="n"/>
      <c r="AK78" s="62" t="n"/>
      <c r="AL78" s="62">
        <f>IF(LEFT($C78,11)="[Jefatura] ",IFERROR(MATCH("Asistente Técnico de Riesgo|"&amp;MID($C78,12,500),rDname_ADM,0),0),"")</f>
        <v/>
      </c>
      <c r="AM78" s="62">
        <f>IF(N($AL78)&gt;0,INDEX(rIni_ADM,$AL78),IF(ISNUMBER($E78),$E78,""))</f>
        <v/>
      </c>
      <c r="AN78" s="62">
        <f>IF(N($AL78)&gt;0,INDEX(rLim_ADM,$AL78),IF(ISNUMBER($F78),$F78,""))</f>
        <v/>
      </c>
    </row>
    <row r="79">
      <c r="A79" s="56">
        <f>IF(NOT((COUNTA($B79:$D79)+COUNTA($G79:$L79)+COUNTA($Q79))&gt;0),"",IF($V79="Macro",COUNTIFS($V$5:$V79,"Macro",$S$5:$S79,$S79),IF(N($U79)=0,"?",COUNTIFS(INDEX($V$5:$V$1000,1):INDEX($V$5:$V$1000,$U79-4),"Macro",INDEX($S$5:$S$1000,1):INDEX($S$5:$S$1000,$U79-4),INDEX($S$5:$S$1000,$U79-4))&amp;"."&amp;COUNTIFS($U$5:$U79,$U79,$V$5:$V79,"Sub"))))</f>
        <v/>
      </c>
      <c r="B79" s="57" t="n"/>
      <c r="C79" s="58" t="n"/>
      <c r="D79" s="58" t="n"/>
      <c r="E79" s="59">
        <f>IF(N($AL79)&gt;0,INDEX(rIni_ADM,$AL79),"")</f>
        <v/>
      </c>
      <c r="F79" s="59">
        <f>IF(N($AL79)&gt;0,INDEX(rLim_ADM,$AL79),"")</f>
        <v/>
      </c>
      <c r="G79" s="59" t="n"/>
      <c r="H79" s="60" t="n"/>
      <c r="I79" s="60" t="n"/>
      <c r="J79" s="60" t="n"/>
      <c r="K79" s="60" t="n"/>
      <c r="L79" s="60" t="n"/>
      <c r="M79" s="61">
        <f>IF(NOT((COUNTA($B79:$D79)+COUNTA($G79:$L79)+COUNTA($Q79))&gt;0),"",IF($V79="Sub",IFERROR($X79/INDEX($W$5:$W$1000,$U79-4),""),IF(ISNUMBER($G79),1,IF(N($W79)&gt;0,AVERAGEIFS($X$5:$X$1000,$U$5:$U$1000,ROW(),$V$5:$V$1000,"Sub"),$X79))))</f>
        <v/>
      </c>
      <c r="N79" s="56">
        <f>IF(OR($M79="",$V79="Sub"),"",IF($M79&gt;=1,"Completado",IF($M79&gt;0,"En curso","Pendiente")))</f>
        <v/>
      </c>
      <c r="O79" s="56">
        <f>IF(OR(NOT((COUNTA($B79:$D79)+COUNTA($G79:$L79)+COUNTA($Q79))&gt;0),$V79="Sub"),"",IF(ISNUMBER($G79),IF(AND(ISNUMBER($AN79),$G79&gt;$AN79),"Cumplida con "&amp;($G79-$AN79)&amp;IF($G79-$AN79=1," día"," días")&amp;" de retraso","Cumplida"),IF(N($M79)&gt;=1,"Cumplida",IF(NOT(ISNUMBER($AN79)),"Sin fecha límite",IF($AN79&lt;FechaRef,"Vencida hace "&amp;(FechaRef-$AN79)&amp;IF(FechaRef-$AN79=1," día"," días"),IF($AN79=FechaRef,"Vence hoy",IF($AN79-FechaRef&lt;=DiasAlerta,"Vence en "&amp;($AN79-FechaRef)&amp;IF($AN79-FechaRef=1," día"," días"),"En plazo")))))))</f>
        <v/>
      </c>
      <c r="P79" s="62" t="n"/>
      <c r="Q79" s="58" t="n"/>
      <c r="R79" s="63">
        <f>IF(NOT((COUNTA($B79:$D79)+COUNTA($G79:$L79)+COUNTA($Q79))&gt;0),"",IF((IF($C79="","Falta el nombre de la actividad"&amp;" · ","")&amp;IF(AND($V79="Sub",N($U79)=0),"Subactividad sin macroactividad arriba"&amp;" · ","")&amp;IF($AM79="","Sin fecha de inicio"&amp;" · ","")&amp;IF($AN79="","Sin fecha límite"&amp;" · ","")&amp;IF(AND(LEFT($C79,11)="[Jefatura] ",N($AL79)=0),"No se encuentra en la hoja de la jefatura (elíjala de nuevo en la lista)"&amp;" · ","")&amp;IF(OR(AND($E79&lt;&gt;"",NOT(ISNUMBER($E79))),AND($F79&lt;&gt;"",NOT(ISNUMBER($F79))),AND($G79&lt;&gt;"",NOT(ISNUMBER($G79)))),"Fecha no válida"&amp;" · ","")&amp;IF(AND(ISNUMBER($AM79),ISNUMBER($AN79),$AM79&gt;$AN79),"Inicio posterior a fecha límite"&amp;" · ","")&amp;IF(AND($V79="Macro",$H79&lt;&gt;"",OR(NOT(ISNUMBER($H79)),$H79&lt;0,$H79&gt;1)),"Peso fuera de rango"&amp;" · ","")&amp;IF(AND($V79="Sub",$H79&lt;&gt;""),"Las subactividades no llevan peso (valen igual dentro de su macroactividad)"&amp;" · ","")&amp;IF(AND(N($W79)&gt;0,COUNT($I79:$L79)&gt;0),"Con subactividades: deje vacías las semanas (se calculan solas)"&amp;" · ","")&amp;IF((COUNTIF($I79:$L79,"&gt;1")+COUNTIF($I79:$L79,"&lt;0")+COUNTA($I79:$L79)-COUNT($I79:$L79))&gt;0,"Avance fuera de rango 0-100%"&amp;" · ","")&amp;IF(OR(AND($J79&lt;&gt;"",$J79&lt;$I79),AND($K79&lt;&gt;"",$K79&lt;MAX($I79:$J79)),AND($L79&lt;&gt;"",$L79&lt;MAX($I79:$K79))),"Avance semanal decreciente"&amp;" · ","")&amp;IF(AND(ISNUMBER($AN79),$AN79&lt;FechaRef,IF($V79="Sub",N($X79),N($M79))&lt;1),"Vencida"&amp;" · ","")&amp;IF(AND(ObsObligatoria="Sí",ISNUMBER($AN79),$AN79&lt;FechaRef,IF($V79="Sub",N($X79),N($M79))&lt;1,$Q79=""),"Vencida sin observación"&amp;" · ",""))="","✔ OK","⚠ "&amp;LEFT(IF($C79="","Falta el nombre de la actividad"&amp;" · ","")&amp;IF(AND($V79="Sub",N($U79)=0),"Subactividad sin macroactividad arriba"&amp;" · ","")&amp;IF($AM79="","Sin fecha de inicio"&amp;" · ","")&amp;IF($AN79="","Sin fecha límite"&amp;" · ","")&amp;IF(AND(LEFT($C79,11)="[Jefatura] ",N($AL79)=0),"No se encuentra en la hoja de la jefatura (elíjala de nuevo en la lista)"&amp;" · ","")&amp;IF(OR(AND($E79&lt;&gt;"",NOT(ISNUMBER($E79))),AND($F79&lt;&gt;"",NOT(ISNUMBER($F79))),AND($G79&lt;&gt;"",NOT(ISNUMBER($G79)))),"Fecha no válida"&amp;" · ","")&amp;IF(AND(ISNUMBER($AM79),ISNUMBER($AN79),$AM79&gt;$AN79),"Inicio posterior a fecha límite"&amp;" · ","")&amp;IF(AND($V79="Macro",$H79&lt;&gt;"",OR(NOT(ISNUMBER($H79)),$H79&lt;0,$H79&gt;1)),"Peso fuera de rango"&amp;" · ","")&amp;IF(AND($V79="Sub",$H79&lt;&gt;""),"Las subactividades no llevan peso (valen igual dentro de su macroactividad)"&amp;" · ","")&amp;IF(AND(N($W79)&gt;0,COUNT($I79:$L79)&gt;0),"Con subactividades: deje vacías las semanas (se calculan solas)"&amp;" · ","")&amp;IF((COUNTIF($I79:$L79,"&gt;1")+COUNTIF($I79:$L79,"&lt;0")+COUNTA($I79:$L79)-COUNT($I79:$L79))&gt;0,"Avance fuera de rango 0-100%"&amp;" · ","")&amp;IF(OR(AND($J79&lt;&gt;"",$J79&lt;$I79),AND($K79&lt;&gt;"",$K79&lt;MAX($I79:$J79)),AND($L79&lt;&gt;"",$L79&lt;MAX($I79:$K79))),"Avance semanal decreciente"&amp;" · ","")&amp;IF(AND(ISNUMBER($AN79),$AN79&lt;FechaRef,IF($V79="Sub",N($X79),N($M79))&lt;1),"Vencida"&amp;" · ","")&amp;IF(AND(ObsObligatoria="Sí",ISNUMBER($AN79),$AN79&lt;FechaRef,IF($V79="Sub",N($X79),N($M79))&lt;1,$Q79=""),"Vencida sin observación"&amp;" · ",""),LEN(IF($C79="","Falta el nombre de la actividad"&amp;" · ","")&amp;IF(AND($V79="Sub",N($U79)=0),"Subactividad sin macroactividad arriba"&amp;" · ","")&amp;IF($AM79="","Sin fecha de inicio"&amp;" · ","")&amp;IF($AN79="","Sin fecha límite"&amp;" · ","")&amp;IF(AND(LEFT($C79,11)="[Jefatura] ",N($AL79)=0),"No se encuentra en la hoja de la jefatura (elíjala de nuevo en la lista)"&amp;" · ","")&amp;IF(OR(AND($E79&lt;&gt;"",NOT(ISNUMBER($E79))),AND($F79&lt;&gt;"",NOT(ISNUMBER($F79))),AND($G79&lt;&gt;"",NOT(ISNUMBER($G79)))),"Fecha no válida"&amp;" · ","")&amp;IF(AND(ISNUMBER($AM79),ISNUMBER($AN79),$AM79&gt;$AN79),"Inicio posterior a fecha límite"&amp;" · ","")&amp;IF(AND($V79="Macro",$H79&lt;&gt;"",OR(NOT(ISNUMBER($H79)),$H79&lt;0,$H79&gt;1)),"Peso fuera de rango"&amp;" · ","")&amp;IF(AND($V79="Sub",$H79&lt;&gt;""),"Las subactividades no llevan peso (valen igual dentro de su macroactividad)"&amp;" · ","")&amp;IF(AND(N($W79)&gt;0,COUNT($I79:$L79)&gt;0),"Con subactividades: deje vacías las semanas (se calculan solas)"&amp;" · ","")&amp;IF((COUNTIF($I79:$L79,"&gt;1")+COUNTIF($I79:$L79,"&lt;0")+COUNTA($I79:$L79)-COUNT($I79:$L79))&gt;0,"Avance fuera de rango 0-100%"&amp;" · ","")&amp;IF(OR(AND($J79&lt;&gt;"",$J79&lt;$I79),AND($K79&lt;&gt;"",$K79&lt;MAX($I79:$J79)),AND($L79&lt;&gt;"",$L79&lt;MAX($I79:$K79))),"Avance semanal decreciente"&amp;" · ","")&amp;IF(AND(ISNUMBER($AN79),$AN79&lt;FechaRef,IF($V79="Sub",N($X79),N($M79))&lt;1),"Vencida"&amp;" · ","")&amp;IF(AND(ObsObligatoria="Sí",ISNUMBER($AN79),$AN79&lt;FechaRef,IF($V79="Sub",N($X79),N($M79))&lt;1,$Q79=""),"Vencida sin observación"&amp;" · ",""))-3)))</f>
        <v/>
      </c>
      <c r="S79" s="64">
        <f>IF(NOT((COUNTA($B79:$D79)+COUNTA($G79:$L79)+COUNTA($Q79))&gt;0),"",IF(AND($V79="Sub",N($U79)&gt;0),IF(ISNUMBER(INDEX($AM$5:$AM$1000,$U79-4)),DATE(YEAR(INDEX($AM$5:$AM$1000,$U79-4)),MONTH(INDEX($AM$5:$AM$1000,$U79-4)),1),IF(ISNUMBER(INDEX($AN$5:$AN$1000,$U79-4)),DATE(YEAR(INDEX($AN$5:$AN$1000,$U79-4)),MONTH(INDEX($AN$5:$AN$1000,$U79-4)),1),MesCiclo)),IF(ISNUMBER($AM79),DATE(YEAR($AM79),MONTH($AM79),1),IF(ISNUMBER($AN79),DATE(YEAR($AN79),MONTH($AN79),1),MesCiclo))))</f>
        <v/>
      </c>
      <c r="T79" s="62">
        <f>IF(OR($S79="",$S79&lt;&gt;MesCiclo,$V79&lt;&gt;"Macro"),"",COUNTIFS($S$5:$S79,MesCiclo,$V$5:$V79,"Macro"))</f>
        <v/>
      </c>
      <c r="U79" s="62">
        <f>IF($V79="","",IF($V79="Macro",ROW(),IFERROR(LOOKUP(2,1/($V$5:$V79="Macro"),ROW($V$5:$V79)),0)))</f>
        <v/>
      </c>
      <c r="V79" s="62">
        <f>IF(NOT((COUNTA($B79:$D79)+COUNTA($G79:$L79)+COUNTA($Q79))&gt;0),"",IF($B79="Subactividad","Sub","Macro"))</f>
        <v/>
      </c>
      <c r="W79" s="62">
        <f>IF($V79="Macro",COUNTIFS($U$5:$U$1000,ROW(),$V$5:$V$1000,"Sub"),"")</f>
        <v/>
      </c>
      <c r="X79" s="62">
        <f>IF($V79="","",IF(ISNUMBER($G79),1,IFERROR(LOOKUP(2,1/($I79:$L79&lt;&gt;""),$I79:$L79),0)))</f>
        <v/>
      </c>
      <c r="Y79" s="62">
        <f>IF($V79="","",IF(AND(ISNUMBER($G79),$G79&lt;=IF($S79=MesCiclo,InicioCiclo,$S79+MOD(2-WEEKDAY($S79),7))+6),1,IF(ISNUMBER($I79),$I79,0)))</f>
        <v/>
      </c>
      <c r="Z79" s="62">
        <f>IF($V79="","",IF(AND(ISNUMBER($G79),$G79&lt;=IF($S79=MesCiclo,InicioCiclo,$S79+MOD(2-WEEKDAY($S79),7))+13),1,IF(ISNUMBER($J79),$J79,$Y79)))</f>
        <v/>
      </c>
      <c r="AA79" s="62">
        <f>IF($V79="","",IF(AND(ISNUMBER($G79),$G79&lt;=IF($S79=MesCiclo,InicioCiclo,$S79+MOD(2-WEEKDAY($S79),7))+20),1,IF(ISNUMBER($K79),$K79,$Z79)))</f>
        <v/>
      </c>
      <c r="AB79" s="62">
        <f>IF($V79="","",IF(AND(ISNUMBER($G79),$G79&lt;=IF($S79=MesCiclo,InicioCiclo,$S79+MOD(2-WEEKDAY($S79),7))+27),1,IF(ISNUMBER($L79),$L79,$AA79)))</f>
        <v/>
      </c>
      <c r="AC79" s="62">
        <f>IF($V79="","",IF(AND(ISNUMBER($G79),$G79&lt;=IF($S79=MesCiclo,InicioCiclo,$S79+MOD(2-WEEKDAY($S79),7))+6),1,IF(N($W79)&gt;0,AVERAGEIFS($Y$5:$Y$1000,$U$5:$U$1000,ROW(),$V$5:$V$1000,"Sub"),$Y79)))</f>
        <v/>
      </c>
      <c r="AD79" s="62">
        <f>IF($V79="","",IF(AND(ISNUMBER($G79),$G79&lt;=IF($S79=MesCiclo,InicioCiclo,$S79+MOD(2-WEEKDAY($S79),7))+13),1,IF(N($W79)&gt;0,AVERAGEIFS($Z$5:$Z$1000,$U$5:$U$1000,ROW(),$V$5:$V$1000,"Sub"),$Z79)))</f>
        <v/>
      </c>
      <c r="AE79" s="62">
        <f>IF($V79="","",IF(AND(ISNUMBER($G79),$G79&lt;=IF($S79=MesCiclo,InicioCiclo,$S79+MOD(2-WEEKDAY($S79),7))+20),1,IF(N($W79)&gt;0,AVERAGEIFS($AA$5:$AA$1000,$U$5:$U$1000,ROW(),$V$5:$V$1000,"Sub"),$AA79)))</f>
        <v/>
      </c>
      <c r="AF79" s="62">
        <f>IF($V79="","",IF(AND(ISNUMBER($G79),$G79&lt;=IF($S79=MesCiclo,InicioCiclo,$S79+MOD(2-WEEKDAY($S79),7))+27),1,IF(N($W79)&gt;0,AVERAGEIFS($AB$5:$AB$1000,$U$5:$U$1000,ROW(),$V$5:$V$1000,"Sub"),$AB79)))</f>
        <v/>
      </c>
      <c r="AG79" s="62">
        <f>IF($V79&lt;&gt;"Macro","",IF(COUNTIFS($S$5:$S$1000,$S79,$V$5:$V$1000,"Macro",$H$5:$H$1000,"&gt;0")=0,1/COUNTIFS($S$5:$S$1000,$S79,$V$5:$V$1000,"Macro"),IF(AND(ISNUMBER($H79),N($H79)&gt;0),$H79,SUMIFS($H$5:$H$1000,$S$5:$S$1000,$S79,$V$5:$V$1000,"Macro")/COUNTIFS($S$5:$S$1000,$S79,$V$5:$V$1000,"Macro",$H$5:$H$1000,"&gt;0"))/(COUNTIFS($S$5:$S$1000,$S79,$V$5:$V$1000,"Macro")*SUMIFS($H$5:$H$1000,$S$5:$S$1000,$S79,$V$5:$V$1000,"Macro")/COUNTIFS($S$5:$S$1000,$S79,$V$5:$V$1000,"Macro",$H$5:$H$1000,"&gt;0"))))</f>
        <v/>
      </c>
      <c r="AH79" s="62" t="n"/>
      <c r="AI79" s="62" t="n"/>
      <c r="AJ79" s="62" t="n"/>
      <c r="AK79" s="62" t="n"/>
      <c r="AL79" s="62">
        <f>IF(LEFT($C79,11)="[Jefatura] ",IFERROR(MATCH("Asistente Técnico de Riesgo|"&amp;MID($C79,12,500),rDname_ADM,0),0),"")</f>
        <v/>
      </c>
      <c r="AM79" s="62">
        <f>IF(N($AL79)&gt;0,INDEX(rIni_ADM,$AL79),IF(ISNUMBER($E79),$E79,""))</f>
        <v/>
      </c>
      <c r="AN79" s="62">
        <f>IF(N($AL79)&gt;0,INDEX(rLim_ADM,$AL79),IF(ISNUMBER($F79),$F79,""))</f>
        <v/>
      </c>
    </row>
    <row r="80">
      <c r="A80" s="56">
        <f>IF(NOT((COUNTA($B80:$D80)+COUNTA($G80:$L80)+COUNTA($Q80))&gt;0),"",IF($V80="Macro",COUNTIFS($V$5:$V80,"Macro",$S$5:$S80,$S80),IF(N($U80)=0,"?",COUNTIFS(INDEX($V$5:$V$1000,1):INDEX($V$5:$V$1000,$U80-4),"Macro",INDEX($S$5:$S$1000,1):INDEX($S$5:$S$1000,$U80-4),INDEX($S$5:$S$1000,$U80-4))&amp;"."&amp;COUNTIFS($U$5:$U80,$U80,$V$5:$V80,"Sub"))))</f>
        <v/>
      </c>
      <c r="B80" s="57" t="n"/>
      <c r="C80" s="58" t="n"/>
      <c r="D80" s="58" t="n"/>
      <c r="E80" s="59">
        <f>IF(N($AL80)&gt;0,INDEX(rIni_ADM,$AL80),"")</f>
        <v/>
      </c>
      <c r="F80" s="59">
        <f>IF(N($AL80)&gt;0,INDEX(rLim_ADM,$AL80),"")</f>
        <v/>
      </c>
      <c r="G80" s="59" t="n"/>
      <c r="H80" s="60" t="n"/>
      <c r="I80" s="60" t="n"/>
      <c r="J80" s="60" t="n"/>
      <c r="K80" s="60" t="n"/>
      <c r="L80" s="60" t="n"/>
      <c r="M80" s="61">
        <f>IF(NOT((COUNTA($B80:$D80)+COUNTA($G80:$L80)+COUNTA($Q80))&gt;0),"",IF($V80="Sub",IFERROR($X80/INDEX($W$5:$W$1000,$U80-4),""),IF(ISNUMBER($G80),1,IF(N($W80)&gt;0,AVERAGEIFS($X$5:$X$1000,$U$5:$U$1000,ROW(),$V$5:$V$1000,"Sub"),$X80))))</f>
        <v/>
      </c>
      <c r="N80" s="56">
        <f>IF(OR($M80="",$V80="Sub"),"",IF($M80&gt;=1,"Completado",IF($M80&gt;0,"En curso","Pendiente")))</f>
        <v/>
      </c>
      <c r="O80" s="56">
        <f>IF(OR(NOT((COUNTA($B80:$D80)+COUNTA($G80:$L80)+COUNTA($Q80))&gt;0),$V80="Sub"),"",IF(ISNUMBER($G80),IF(AND(ISNUMBER($AN80),$G80&gt;$AN80),"Cumplida con "&amp;($G80-$AN80)&amp;IF($G80-$AN80=1," día"," días")&amp;" de retraso","Cumplida"),IF(N($M80)&gt;=1,"Cumplida",IF(NOT(ISNUMBER($AN80)),"Sin fecha límite",IF($AN80&lt;FechaRef,"Vencida hace "&amp;(FechaRef-$AN80)&amp;IF(FechaRef-$AN80=1," día"," días"),IF($AN80=FechaRef,"Vence hoy",IF($AN80-FechaRef&lt;=DiasAlerta,"Vence en "&amp;($AN80-FechaRef)&amp;IF($AN80-FechaRef=1," día"," días"),"En plazo")))))))</f>
        <v/>
      </c>
      <c r="P80" s="62" t="n"/>
      <c r="Q80" s="58" t="n"/>
      <c r="R80" s="63">
        <f>IF(NOT((COUNTA($B80:$D80)+COUNTA($G80:$L80)+COUNTA($Q80))&gt;0),"",IF((IF($C80="","Falta el nombre de la actividad"&amp;" · ","")&amp;IF(AND($V80="Sub",N($U80)=0),"Subactividad sin macroactividad arriba"&amp;" · ","")&amp;IF($AM80="","Sin fecha de inicio"&amp;" · ","")&amp;IF($AN80="","Sin fecha límite"&amp;" · ","")&amp;IF(AND(LEFT($C80,11)="[Jefatura] ",N($AL80)=0),"No se encuentra en la hoja de la jefatura (elíjala de nuevo en la lista)"&amp;" · ","")&amp;IF(OR(AND($E80&lt;&gt;"",NOT(ISNUMBER($E80))),AND($F80&lt;&gt;"",NOT(ISNUMBER($F80))),AND($G80&lt;&gt;"",NOT(ISNUMBER($G80)))),"Fecha no válida"&amp;" · ","")&amp;IF(AND(ISNUMBER($AM80),ISNUMBER($AN80),$AM80&gt;$AN80),"Inicio posterior a fecha límite"&amp;" · ","")&amp;IF(AND($V80="Macro",$H80&lt;&gt;"",OR(NOT(ISNUMBER($H80)),$H80&lt;0,$H80&gt;1)),"Peso fuera de rango"&amp;" · ","")&amp;IF(AND($V80="Sub",$H80&lt;&gt;""),"Las subactividades no llevan peso (valen igual dentro de su macroactividad)"&amp;" · ","")&amp;IF(AND(N($W80)&gt;0,COUNT($I80:$L80)&gt;0),"Con subactividades: deje vacías las semanas (se calculan solas)"&amp;" · ","")&amp;IF((COUNTIF($I80:$L80,"&gt;1")+COUNTIF($I80:$L80,"&lt;0")+COUNTA($I80:$L80)-COUNT($I80:$L80))&gt;0,"Avance fuera de rango 0-100%"&amp;" · ","")&amp;IF(OR(AND($J80&lt;&gt;"",$J80&lt;$I80),AND($K80&lt;&gt;"",$K80&lt;MAX($I80:$J80)),AND($L80&lt;&gt;"",$L80&lt;MAX($I80:$K80))),"Avance semanal decreciente"&amp;" · ","")&amp;IF(AND(ISNUMBER($AN80),$AN80&lt;FechaRef,IF($V80="Sub",N($X80),N($M80))&lt;1),"Vencida"&amp;" · ","")&amp;IF(AND(ObsObligatoria="Sí",ISNUMBER($AN80),$AN80&lt;FechaRef,IF($V80="Sub",N($X80),N($M80))&lt;1,$Q80=""),"Vencida sin observación"&amp;" · ",""))="","✔ OK","⚠ "&amp;LEFT(IF($C80="","Falta el nombre de la actividad"&amp;" · ","")&amp;IF(AND($V80="Sub",N($U80)=0),"Subactividad sin macroactividad arriba"&amp;" · ","")&amp;IF($AM80="","Sin fecha de inicio"&amp;" · ","")&amp;IF($AN80="","Sin fecha límite"&amp;" · ","")&amp;IF(AND(LEFT($C80,11)="[Jefatura] ",N($AL80)=0),"No se encuentra en la hoja de la jefatura (elíjala de nuevo en la lista)"&amp;" · ","")&amp;IF(OR(AND($E80&lt;&gt;"",NOT(ISNUMBER($E80))),AND($F80&lt;&gt;"",NOT(ISNUMBER($F80))),AND($G80&lt;&gt;"",NOT(ISNUMBER($G80)))),"Fecha no válida"&amp;" · ","")&amp;IF(AND(ISNUMBER($AM80),ISNUMBER($AN80),$AM80&gt;$AN80),"Inicio posterior a fecha límite"&amp;" · ","")&amp;IF(AND($V80="Macro",$H80&lt;&gt;"",OR(NOT(ISNUMBER($H80)),$H80&lt;0,$H80&gt;1)),"Peso fuera de rango"&amp;" · ","")&amp;IF(AND($V80="Sub",$H80&lt;&gt;""),"Las subactividades no llevan peso (valen igual dentro de su macroactividad)"&amp;" · ","")&amp;IF(AND(N($W80)&gt;0,COUNT($I80:$L80)&gt;0),"Con subactividades: deje vacías las semanas (se calculan solas)"&amp;" · ","")&amp;IF((COUNTIF($I80:$L80,"&gt;1")+COUNTIF($I80:$L80,"&lt;0")+COUNTA($I80:$L80)-COUNT($I80:$L80))&gt;0,"Avance fuera de rango 0-100%"&amp;" · ","")&amp;IF(OR(AND($J80&lt;&gt;"",$J80&lt;$I80),AND($K80&lt;&gt;"",$K80&lt;MAX($I80:$J80)),AND($L80&lt;&gt;"",$L80&lt;MAX($I80:$K80))),"Avance semanal decreciente"&amp;" · ","")&amp;IF(AND(ISNUMBER($AN80),$AN80&lt;FechaRef,IF($V80="Sub",N($X80),N($M80))&lt;1),"Vencida"&amp;" · ","")&amp;IF(AND(ObsObligatoria="Sí",ISNUMBER($AN80),$AN80&lt;FechaRef,IF($V80="Sub",N($X80),N($M80))&lt;1,$Q80=""),"Vencida sin observación"&amp;" · ",""),LEN(IF($C80="","Falta el nombre de la actividad"&amp;" · ","")&amp;IF(AND($V80="Sub",N($U80)=0),"Subactividad sin macroactividad arriba"&amp;" · ","")&amp;IF($AM80="","Sin fecha de inicio"&amp;" · ","")&amp;IF($AN80="","Sin fecha límite"&amp;" · ","")&amp;IF(AND(LEFT($C80,11)="[Jefatura] ",N($AL80)=0),"No se encuentra en la hoja de la jefatura (elíjala de nuevo en la lista)"&amp;" · ","")&amp;IF(OR(AND($E80&lt;&gt;"",NOT(ISNUMBER($E80))),AND($F80&lt;&gt;"",NOT(ISNUMBER($F80))),AND($G80&lt;&gt;"",NOT(ISNUMBER($G80)))),"Fecha no válida"&amp;" · ","")&amp;IF(AND(ISNUMBER($AM80),ISNUMBER($AN80),$AM80&gt;$AN80),"Inicio posterior a fecha límite"&amp;" · ","")&amp;IF(AND($V80="Macro",$H80&lt;&gt;"",OR(NOT(ISNUMBER($H80)),$H80&lt;0,$H80&gt;1)),"Peso fuera de rango"&amp;" · ","")&amp;IF(AND($V80="Sub",$H80&lt;&gt;""),"Las subactividades no llevan peso (valen igual dentro de su macroactividad)"&amp;" · ","")&amp;IF(AND(N($W80)&gt;0,COUNT($I80:$L80)&gt;0),"Con subactividades: deje vacías las semanas (se calculan solas)"&amp;" · ","")&amp;IF((COUNTIF($I80:$L80,"&gt;1")+COUNTIF($I80:$L80,"&lt;0")+COUNTA($I80:$L80)-COUNT($I80:$L80))&gt;0,"Avance fuera de rango 0-100%"&amp;" · ","")&amp;IF(OR(AND($J80&lt;&gt;"",$J80&lt;$I80),AND($K80&lt;&gt;"",$K80&lt;MAX($I80:$J80)),AND($L80&lt;&gt;"",$L80&lt;MAX($I80:$K80))),"Avance semanal decreciente"&amp;" · ","")&amp;IF(AND(ISNUMBER($AN80),$AN80&lt;FechaRef,IF($V80="Sub",N($X80),N($M80))&lt;1),"Vencida"&amp;" · ","")&amp;IF(AND(ObsObligatoria="Sí",ISNUMBER($AN80),$AN80&lt;FechaRef,IF($V80="Sub",N($X80),N($M80))&lt;1,$Q80=""),"Vencida sin observación"&amp;" · ",""))-3)))</f>
        <v/>
      </c>
      <c r="S80" s="64">
        <f>IF(NOT((COUNTA($B80:$D80)+COUNTA($G80:$L80)+COUNTA($Q80))&gt;0),"",IF(AND($V80="Sub",N($U80)&gt;0),IF(ISNUMBER(INDEX($AM$5:$AM$1000,$U80-4)),DATE(YEAR(INDEX($AM$5:$AM$1000,$U80-4)),MONTH(INDEX($AM$5:$AM$1000,$U80-4)),1),IF(ISNUMBER(INDEX($AN$5:$AN$1000,$U80-4)),DATE(YEAR(INDEX($AN$5:$AN$1000,$U80-4)),MONTH(INDEX($AN$5:$AN$1000,$U80-4)),1),MesCiclo)),IF(ISNUMBER($AM80),DATE(YEAR($AM80),MONTH($AM80),1),IF(ISNUMBER($AN80),DATE(YEAR($AN80),MONTH($AN80),1),MesCiclo))))</f>
        <v/>
      </c>
      <c r="T80" s="62">
        <f>IF(OR($S80="",$S80&lt;&gt;MesCiclo,$V80&lt;&gt;"Macro"),"",COUNTIFS($S$5:$S80,MesCiclo,$V$5:$V80,"Macro"))</f>
        <v/>
      </c>
      <c r="U80" s="62">
        <f>IF($V80="","",IF($V80="Macro",ROW(),IFERROR(LOOKUP(2,1/($V$5:$V80="Macro"),ROW($V$5:$V80)),0)))</f>
        <v/>
      </c>
      <c r="V80" s="62">
        <f>IF(NOT((COUNTA($B80:$D80)+COUNTA($G80:$L80)+COUNTA($Q80))&gt;0),"",IF($B80="Subactividad","Sub","Macro"))</f>
        <v/>
      </c>
      <c r="W80" s="62">
        <f>IF($V80="Macro",COUNTIFS($U$5:$U$1000,ROW(),$V$5:$V$1000,"Sub"),"")</f>
        <v/>
      </c>
      <c r="X80" s="62">
        <f>IF($V80="","",IF(ISNUMBER($G80),1,IFERROR(LOOKUP(2,1/($I80:$L80&lt;&gt;""),$I80:$L80),0)))</f>
        <v/>
      </c>
      <c r="Y80" s="62">
        <f>IF($V80="","",IF(AND(ISNUMBER($G80),$G80&lt;=IF($S80=MesCiclo,InicioCiclo,$S80+MOD(2-WEEKDAY($S80),7))+6),1,IF(ISNUMBER($I80),$I80,0)))</f>
        <v/>
      </c>
      <c r="Z80" s="62">
        <f>IF($V80="","",IF(AND(ISNUMBER($G80),$G80&lt;=IF($S80=MesCiclo,InicioCiclo,$S80+MOD(2-WEEKDAY($S80),7))+13),1,IF(ISNUMBER($J80),$J80,$Y80)))</f>
        <v/>
      </c>
      <c r="AA80" s="62">
        <f>IF($V80="","",IF(AND(ISNUMBER($G80),$G80&lt;=IF($S80=MesCiclo,InicioCiclo,$S80+MOD(2-WEEKDAY($S80),7))+20),1,IF(ISNUMBER($K80),$K80,$Z80)))</f>
        <v/>
      </c>
      <c r="AB80" s="62">
        <f>IF($V80="","",IF(AND(ISNUMBER($G80),$G80&lt;=IF($S80=MesCiclo,InicioCiclo,$S80+MOD(2-WEEKDAY($S80),7))+27),1,IF(ISNUMBER($L80),$L80,$AA80)))</f>
        <v/>
      </c>
      <c r="AC80" s="62">
        <f>IF($V80="","",IF(AND(ISNUMBER($G80),$G80&lt;=IF($S80=MesCiclo,InicioCiclo,$S80+MOD(2-WEEKDAY($S80),7))+6),1,IF(N($W80)&gt;0,AVERAGEIFS($Y$5:$Y$1000,$U$5:$U$1000,ROW(),$V$5:$V$1000,"Sub"),$Y80)))</f>
        <v/>
      </c>
      <c r="AD80" s="62">
        <f>IF($V80="","",IF(AND(ISNUMBER($G80),$G80&lt;=IF($S80=MesCiclo,InicioCiclo,$S80+MOD(2-WEEKDAY($S80),7))+13),1,IF(N($W80)&gt;0,AVERAGEIFS($Z$5:$Z$1000,$U$5:$U$1000,ROW(),$V$5:$V$1000,"Sub"),$Z80)))</f>
        <v/>
      </c>
      <c r="AE80" s="62">
        <f>IF($V80="","",IF(AND(ISNUMBER($G80),$G80&lt;=IF($S80=MesCiclo,InicioCiclo,$S80+MOD(2-WEEKDAY($S80),7))+20),1,IF(N($W80)&gt;0,AVERAGEIFS($AA$5:$AA$1000,$U$5:$U$1000,ROW(),$V$5:$V$1000,"Sub"),$AA80)))</f>
        <v/>
      </c>
      <c r="AF80" s="62">
        <f>IF($V80="","",IF(AND(ISNUMBER($G80),$G80&lt;=IF($S80=MesCiclo,InicioCiclo,$S80+MOD(2-WEEKDAY($S80),7))+27),1,IF(N($W80)&gt;0,AVERAGEIFS($AB$5:$AB$1000,$U$5:$U$1000,ROW(),$V$5:$V$1000,"Sub"),$AB80)))</f>
        <v/>
      </c>
      <c r="AG80" s="62">
        <f>IF($V80&lt;&gt;"Macro","",IF(COUNTIFS($S$5:$S$1000,$S80,$V$5:$V$1000,"Macro",$H$5:$H$1000,"&gt;0")=0,1/COUNTIFS($S$5:$S$1000,$S80,$V$5:$V$1000,"Macro"),IF(AND(ISNUMBER($H80),N($H80)&gt;0),$H80,SUMIFS($H$5:$H$1000,$S$5:$S$1000,$S80,$V$5:$V$1000,"Macro")/COUNTIFS($S$5:$S$1000,$S80,$V$5:$V$1000,"Macro",$H$5:$H$1000,"&gt;0"))/(COUNTIFS($S$5:$S$1000,$S80,$V$5:$V$1000,"Macro")*SUMIFS($H$5:$H$1000,$S$5:$S$1000,$S80,$V$5:$V$1000,"Macro")/COUNTIFS($S$5:$S$1000,$S80,$V$5:$V$1000,"Macro",$H$5:$H$1000,"&gt;0"))))</f>
        <v/>
      </c>
      <c r="AH80" s="62" t="n"/>
      <c r="AI80" s="62" t="n"/>
      <c r="AJ80" s="62" t="n"/>
      <c r="AK80" s="62" t="n"/>
      <c r="AL80" s="62">
        <f>IF(LEFT($C80,11)="[Jefatura] ",IFERROR(MATCH("Asistente Técnico de Riesgo|"&amp;MID($C80,12,500),rDname_ADM,0),0),"")</f>
        <v/>
      </c>
      <c r="AM80" s="62">
        <f>IF(N($AL80)&gt;0,INDEX(rIni_ADM,$AL80),IF(ISNUMBER($E80),$E80,""))</f>
        <v/>
      </c>
      <c r="AN80" s="62">
        <f>IF(N($AL80)&gt;0,INDEX(rLim_ADM,$AL80),IF(ISNUMBER($F80),$F80,""))</f>
        <v/>
      </c>
    </row>
    <row r="81">
      <c r="A81" s="56">
        <f>IF(NOT((COUNTA($B81:$D81)+COUNTA($G81:$L81)+COUNTA($Q81))&gt;0),"",IF($V81="Macro",COUNTIFS($V$5:$V81,"Macro",$S$5:$S81,$S81),IF(N($U81)=0,"?",COUNTIFS(INDEX($V$5:$V$1000,1):INDEX($V$5:$V$1000,$U81-4),"Macro",INDEX($S$5:$S$1000,1):INDEX($S$5:$S$1000,$U81-4),INDEX($S$5:$S$1000,$U81-4))&amp;"."&amp;COUNTIFS($U$5:$U81,$U81,$V$5:$V81,"Sub"))))</f>
        <v/>
      </c>
      <c r="B81" s="57" t="n"/>
      <c r="C81" s="58" t="n"/>
      <c r="D81" s="58" t="n"/>
      <c r="E81" s="59">
        <f>IF(N($AL81)&gt;0,INDEX(rIni_ADM,$AL81),"")</f>
        <v/>
      </c>
      <c r="F81" s="59">
        <f>IF(N($AL81)&gt;0,INDEX(rLim_ADM,$AL81),"")</f>
        <v/>
      </c>
      <c r="G81" s="59" t="n"/>
      <c r="H81" s="60" t="n"/>
      <c r="I81" s="60" t="n"/>
      <c r="J81" s="60" t="n"/>
      <c r="K81" s="60" t="n"/>
      <c r="L81" s="60" t="n"/>
      <c r="M81" s="61">
        <f>IF(NOT((COUNTA($B81:$D81)+COUNTA($G81:$L81)+COUNTA($Q81))&gt;0),"",IF($V81="Sub",IFERROR($X81/INDEX($W$5:$W$1000,$U81-4),""),IF(ISNUMBER($G81),1,IF(N($W81)&gt;0,AVERAGEIFS($X$5:$X$1000,$U$5:$U$1000,ROW(),$V$5:$V$1000,"Sub"),$X81))))</f>
        <v/>
      </c>
      <c r="N81" s="56">
        <f>IF(OR($M81="",$V81="Sub"),"",IF($M81&gt;=1,"Completado",IF($M81&gt;0,"En curso","Pendiente")))</f>
        <v/>
      </c>
      <c r="O81" s="56">
        <f>IF(OR(NOT((COUNTA($B81:$D81)+COUNTA($G81:$L81)+COUNTA($Q81))&gt;0),$V81="Sub"),"",IF(ISNUMBER($G81),IF(AND(ISNUMBER($AN81),$G81&gt;$AN81),"Cumplida con "&amp;($G81-$AN81)&amp;IF($G81-$AN81=1," día"," días")&amp;" de retraso","Cumplida"),IF(N($M81)&gt;=1,"Cumplida",IF(NOT(ISNUMBER($AN81)),"Sin fecha límite",IF($AN81&lt;FechaRef,"Vencida hace "&amp;(FechaRef-$AN81)&amp;IF(FechaRef-$AN81=1," día"," días"),IF($AN81=FechaRef,"Vence hoy",IF($AN81-FechaRef&lt;=DiasAlerta,"Vence en "&amp;($AN81-FechaRef)&amp;IF($AN81-FechaRef=1," día"," días"),"En plazo")))))))</f>
        <v/>
      </c>
      <c r="P81" s="62" t="n"/>
      <c r="Q81" s="58" t="n"/>
      <c r="R81" s="63">
        <f>IF(NOT((COUNTA($B81:$D81)+COUNTA($G81:$L81)+COUNTA($Q81))&gt;0),"",IF((IF($C81="","Falta el nombre de la actividad"&amp;" · ","")&amp;IF(AND($V81="Sub",N($U81)=0),"Subactividad sin macroactividad arriba"&amp;" · ","")&amp;IF($AM81="","Sin fecha de inicio"&amp;" · ","")&amp;IF($AN81="","Sin fecha límite"&amp;" · ","")&amp;IF(AND(LEFT($C81,11)="[Jefatura] ",N($AL81)=0),"No se encuentra en la hoja de la jefatura (elíjala de nuevo en la lista)"&amp;" · ","")&amp;IF(OR(AND($E81&lt;&gt;"",NOT(ISNUMBER($E81))),AND($F81&lt;&gt;"",NOT(ISNUMBER($F81))),AND($G81&lt;&gt;"",NOT(ISNUMBER($G81)))),"Fecha no válida"&amp;" · ","")&amp;IF(AND(ISNUMBER($AM81),ISNUMBER($AN81),$AM81&gt;$AN81),"Inicio posterior a fecha límite"&amp;" · ","")&amp;IF(AND($V81="Macro",$H81&lt;&gt;"",OR(NOT(ISNUMBER($H81)),$H81&lt;0,$H81&gt;1)),"Peso fuera de rango"&amp;" · ","")&amp;IF(AND($V81="Sub",$H81&lt;&gt;""),"Las subactividades no llevan peso (valen igual dentro de su macroactividad)"&amp;" · ","")&amp;IF(AND(N($W81)&gt;0,COUNT($I81:$L81)&gt;0),"Con subactividades: deje vacías las semanas (se calculan solas)"&amp;" · ","")&amp;IF((COUNTIF($I81:$L81,"&gt;1")+COUNTIF($I81:$L81,"&lt;0")+COUNTA($I81:$L81)-COUNT($I81:$L81))&gt;0,"Avance fuera de rango 0-100%"&amp;" · ","")&amp;IF(OR(AND($J81&lt;&gt;"",$J81&lt;$I81),AND($K81&lt;&gt;"",$K81&lt;MAX($I81:$J81)),AND($L81&lt;&gt;"",$L81&lt;MAX($I81:$K81))),"Avance semanal decreciente"&amp;" · ","")&amp;IF(AND(ISNUMBER($AN81),$AN81&lt;FechaRef,IF($V81="Sub",N($X81),N($M81))&lt;1),"Vencida"&amp;" · ","")&amp;IF(AND(ObsObligatoria="Sí",ISNUMBER($AN81),$AN81&lt;FechaRef,IF($V81="Sub",N($X81),N($M81))&lt;1,$Q81=""),"Vencida sin observación"&amp;" · ",""))="","✔ OK","⚠ "&amp;LEFT(IF($C81="","Falta el nombre de la actividad"&amp;" · ","")&amp;IF(AND($V81="Sub",N($U81)=0),"Subactividad sin macroactividad arriba"&amp;" · ","")&amp;IF($AM81="","Sin fecha de inicio"&amp;" · ","")&amp;IF($AN81="","Sin fecha límite"&amp;" · ","")&amp;IF(AND(LEFT($C81,11)="[Jefatura] ",N($AL81)=0),"No se encuentra en la hoja de la jefatura (elíjala de nuevo en la lista)"&amp;" · ","")&amp;IF(OR(AND($E81&lt;&gt;"",NOT(ISNUMBER($E81))),AND($F81&lt;&gt;"",NOT(ISNUMBER($F81))),AND($G81&lt;&gt;"",NOT(ISNUMBER($G81)))),"Fecha no válida"&amp;" · ","")&amp;IF(AND(ISNUMBER($AM81),ISNUMBER($AN81),$AM81&gt;$AN81),"Inicio posterior a fecha límite"&amp;" · ","")&amp;IF(AND($V81="Macro",$H81&lt;&gt;"",OR(NOT(ISNUMBER($H81)),$H81&lt;0,$H81&gt;1)),"Peso fuera de rango"&amp;" · ","")&amp;IF(AND($V81="Sub",$H81&lt;&gt;""),"Las subactividades no llevan peso (valen igual dentro de su macroactividad)"&amp;" · ","")&amp;IF(AND(N($W81)&gt;0,COUNT($I81:$L81)&gt;0),"Con subactividades: deje vacías las semanas (se calculan solas)"&amp;" · ","")&amp;IF((COUNTIF($I81:$L81,"&gt;1")+COUNTIF($I81:$L81,"&lt;0")+COUNTA($I81:$L81)-COUNT($I81:$L81))&gt;0,"Avance fuera de rango 0-100%"&amp;" · ","")&amp;IF(OR(AND($J81&lt;&gt;"",$J81&lt;$I81),AND($K81&lt;&gt;"",$K81&lt;MAX($I81:$J81)),AND($L81&lt;&gt;"",$L81&lt;MAX($I81:$K81))),"Avance semanal decreciente"&amp;" · ","")&amp;IF(AND(ISNUMBER($AN81),$AN81&lt;FechaRef,IF($V81="Sub",N($X81),N($M81))&lt;1),"Vencida"&amp;" · ","")&amp;IF(AND(ObsObligatoria="Sí",ISNUMBER($AN81),$AN81&lt;FechaRef,IF($V81="Sub",N($X81),N($M81))&lt;1,$Q81=""),"Vencida sin observación"&amp;" · ",""),LEN(IF($C81="","Falta el nombre de la actividad"&amp;" · ","")&amp;IF(AND($V81="Sub",N($U81)=0),"Subactividad sin macroactividad arriba"&amp;" · ","")&amp;IF($AM81="","Sin fecha de inicio"&amp;" · ","")&amp;IF($AN81="","Sin fecha límite"&amp;" · ","")&amp;IF(AND(LEFT($C81,11)="[Jefatura] ",N($AL81)=0),"No se encuentra en la hoja de la jefatura (elíjala de nuevo en la lista)"&amp;" · ","")&amp;IF(OR(AND($E81&lt;&gt;"",NOT(ISNUMBER($E81))),AND($F81&lt;&gt;"",NOT(ISNUMBER($F81))),AND($G81&lt;&gt;"",NOT(ISNUMBER($G81)))),"Fecha no válida"&amp;" · ","")&amp;IF(AND(ISNUMBER($AM81),ISNUMBER($AN81),$AM81&gt;$AN81),"Inicio posterior a fecha límite"&amp;" · ","")&amp;IF(AND($V81="Macro",$H81&lt;&gt;"",OR(NOT(ISNUMBER($H81)),$H81&lt;0,$H81&gt;1)),"Peso fuera de rango"&amp;" · ","")&amp;IF(AND($V81="Sub",$H81&lt;&gt;""),"Las subactividades no llevan peso (valen igual dentro de su macroactividad)"&amp;" · ","")&amp;IF(AND(N($W81)&gt;0,COUNT($I81:$L81)&gt;0),"Con subactividades: deje vacías las semanas (se calculan solas)"&amp;" · ","")&amp;IF((COUNTIF($I81:$L81,"&gt;1")+COUNTIF($I81:$L81,"&lt;0")+COUNTA($I81:$L81)-COUNT($I81:$L81))&gt;0,"Avance fuera de rango 0-100%"&amp;" · ","")&amp;IF(OR(AND($J81&lt;&gt;"",$J81&lt;$I81),AND($K81&lt;&gt;"",$K81&lt;MAX($I81:$J81)),AND($L81&lt;&gt;"",$L81&lt;MAX($I81:$K81))),"Avance semanal decreciente"&amp;" · ","")&amp;IF(AND(ISNUMBER($AN81),$AN81&lt;FechaRef,IF($V81="Sub",N($X81),N($M81))&lt;1),"Vencida"&amp;" · ","")&amp;IF(AND(ObsObligatoria="Sí",ISNUMBER($AN81),$AN81&lt;FechaRef,IF($V81="Sub",N($X81),N($M81))&lt;1,$Q81=""),"Vencida sin observación"&amp;" · ",""))-3)))</f>
        <v/>
      </c>
      <c r="S81" s="64">
        <f>IF(NOT((COUNTA($B81:$D81)+COUNTA($G81:$L81)+COUNTA($Q81))&gt;0),"",IF(AND($V81="Sub",N($U81)&gt;0),IF(ISNUMBER(INDEX($AM$5:$AM$1000,$U81-4)),DATE(YEAR(INDEX($AM$5:$AM$1000,$U81-4)),MONTH(INDEX($AM$5:$AM$1000,$U81-4)),1),IF(ISNUMBER(INDEX($AN$5:$AN$1000,$U81-4)),DATE(YEAR(INDEX($AN$5:$AN$1000,$U81-4)),MONTH(INDEX($AN$5:$AN$1000,$U81-4)),1),MesCiclo)),IF(ISNUMBER($AM81),DATE(YEAR($AM81),MONTH($AM81),1),IF(ISNUMBER($AN81),DATE(YEAR($AN81),MONTH($AN81),1),MesCiclo))))</f>
        <v/>
      </c>
      <c r="T81" s="62">
        <f>IF(OR($S81="",$S81&lt;&gt;MesCiclo,$V81&lt;&gt;"Macro"),"",COUNTIFS($S$5:$S81,MesCiclo,$V$5:$V81,"Macro"))</f>
        <v/>
      </c>
      <c r="U81" s="62">
        <f>IF($V81="","",IF($V81="Macro",ROW(),IFERROR(LOOKUP(2,1/($V$5:$V81="Macro"),ROW($V$5:$V81)),0)))</f>
        <v/>
      </c>
      <c r="V81" s="62">
        <f>IF(NOT((COUNTA($B81:$D81)+COUNTA($G81:$L81)+COUNTA($Q81))&gt;0),"",IF($B81="Subactividad","Sub","Macro"))</f>
        <v/>
      </c>
      <c r="W81" s="62">
        <f>IF($V81="Macro",COUNTIFS($U$5:$U$1000,ROW(),$V$5:$V$1000,"Sub"),"")</f>
        <v/>
      </c>
      <c r="X81" s="62">
        <f>IF($V81="","",IF(ISNUMBER($G81),1,IFERROR(LOOKUP(2,1/($I81:$L81&lt;&gt;""),$I81:$L81),0)))</f>
        <v/>
      </c>
      <c r="Y81" s="62">
        <f>IF($V81="","",IF(AND(ISNUMBER($G81),$G81&lt;=IF($S81=MesCiclo,InicioCiclo,$S81+MOD(2-WEEKDAY($S81),7))+6),1,IF(ISNUMBER($I81),$I81,0)))</f>
        <v/>
      </c>
      <c r="Z81" s="62">
        <f>IF($V81="","",IF(AND(ISNUMBER($G81),$G81&lt;=IF($S81=MesCiclo,InicioCiclo,$S81+MOD(2-WEEKDAY($S81),7))+13),1,IF(ISNUMBER($J81),$J81,$Y81)))</f>
        <v/>
      </c>
      <c r="AA81" s="62">
        <f>IF($V81="","",IF(AND(ISNUMBER($G81),$G81&lt;=IF($S81=MesCiclo,InicioCiclo,$S81+MOD(2-WEEKDAY($S81),7))+20),1,IF(ISNUMBER($K81),$K81,$Z81)))</f>
        <v/>
      </c>
      <c r="AB81" s="62">
        <f>IF($V81="","",IF(AND(ISNUMBER($G81),$G81&lt;=IF($S81=MesCiclo,InicioCiclo,$S81+MOD(2-WEEKDAY($S81),7))+27),1,IF(ISNUMBER($L81),$L81,$AA81)))</f>
        <v/>
      </c>
      <c r="AC81" s="62">
        <f>IF($V81="","",IF(AND(ISNUMBER($G81),$G81&lt;=IF($S81=MesCiclo,InicioCiclo,$S81+MOD(2-WEEKDAY($S81),7))+6),1,IF(N($W81)&gt;0,AVERAGEIFS($Y$5:$Y$1000,$U$5:$U$1000,ROW(),$V$5:$V$1000,"Sub"),$Y81)))</f>
        <v/>
      </c>
      <c r="AD81" s="62">
        <f>IF($V81="","",IF(AND(ISNUMBER($G81),$G81&lt;=IF($S81=MesCiclo,InicioCiclo,$S81+MOD(2-WEEKDAY($S81),7))+13),1,IF(N($W81)&gt;0,AVERAGEIFS($Z$5:$Z$1000,$U$5:$U$1000,ROW(),$V$5:$V$1000,"Sub"),$Z81)))</f>
        <v/>
      </c>
      <c r="AE81" s="62">
        <f>IF($V81="","",IF(AND(ISNUMBER($G81),$G81&lt;=IF($S81=MesCiclo,InicioCiclo,$S81+MOD(2-WEEKDAY($S81),7))+20),1,IF(N($W81)&gt;0,AVERAGEIFS($AA$5:$AA$1000,$U$5:$U$1000,ROW(),$V$5:$V$1000,"Sub"),$AA81)))</f>
        <v/>
      </c>
      <c r="AF81" s="62">
        <f>IF($V81="","",IF(AND(ISNUMBER($G81),$G81&lt;=IF($S81=MesCiclo,InicioCiclo,$S81+MOD(2-WEEKDAY($S81),7))+27),1,IF(N($W81)&gt;0,AVERAGEIFS($AB$5:$AB$1000,$U$5:$U$1000,ROW(),$V$5:$V$1000,"Sub"),$AB81)))</f>
        <v/>
      </c>
      <c r="AG81" s="62">
        <f>IF($V81&lt;&gt;"Macro","",IF(COUNTIFS($S$5:$S$1000,$S81,$V$5:$V$1000,"Macro",$H$5:$H$1000,"&gt;0")=0,1/COUNTIFS($S$5:$S$1000,$S81,$V$5:$V$1000,"Macro"),IF(AND(ISNUMBER($H81),N($H81)&gt;0),$H81,SUMIFS($H$5:$H$1000,$S$5:$S$1000,$S81,$V$5:$V$1000,"Macro")/COUNTIFS($S$5:$S$1000,$S81,$V$5:$V$1000,"Macro",$H$5:$H$1000,"&gt;0"))/(COUNTIFS($S$5:$S$1000,$S81,$V$5:$V$1000,"Macro")*SUMIFS($H$5:$H$1000,$S$5:$S$1000,$S81,$V$5:$V$1000,"Macro")/COUNTIFS($S$5:$S$1000,$S81,$V$5:$V$1000,"Macro",$H$5:$H$1000,"&gt;0"))))</f>
        <v/>
      </c>
      <c r="AH81" s="62" t="n"/>
      <c r="AI81" s="62" t="n"/>
      <c r="AJ81" s="62" t="n"/>
      <c r="AK81" s="62" t="n"/>
      <c r="AL81" s="62">
        <f>IF(LEFT($C81,11)="[Jefatura] ",IFERROR(MATCH("Asistente Técnico de Riesgo|"&amp;MID($C81,12,500),rDname_ADM,0),0),"")</f>
        <v/>
      </c>
      <c r="AM81" s="62">
        <f>IF(N($AL81)&gt;0,INDEX(rIni_ADM,$AL81),IF(ISNUMBER($E81),$E81,""))</f>
        <v/>
      </c>
      <c r="AN81" s="62">
        <f>IF(N($AL81)&gt;0,INDEX(rLim_ADM,$AL81),IF(ISNUMBER($F81),$F81,""))</f>
        <v/>
      </c>
    </row>
    <row r="82">
      <c r="A82" s="56">
        <f>IF(NOT((COUNTA($B82:$D82)+COUNTA($G82:$L82)+COUNTA($Q82))&gt;0),"",IF($V82="Macro",COUNTIFS($V$5:$V82,"Macro",$S$5:$S82,$S82),IF(N($U82)=0,"?",COUNTIFS(INDEX($V$5:$V$1000,1):INDEX($V$5:$V$1000,$U82-4),"Macro",INDEX($S$5:$S$1000,1):INDEX($S$5:$S$1000,$U82-4),INDEX($S$5:$S$1000,$U82-4))&amp;"."&amp;COUNTIFS($U$5:$U82,$U82,$V$5:$V82,"Sub"))))</f>
        <v/>
      </c>
      <c r="B82" s="57" t="n"/>
      <c r="C82" s="58" t="n"/>
      <c r="D82" s="58" t="n"/>
      <c r="E82" s="59">
        <f>IF(N($AL82)&gt;0,INDEX(rIni_ADM,$AL82),"")</f>
        <v/>
      </c>
      <c r="F82" s="59">
        <f>IF(N($AL82)&gt;0,INDEX(rLim_ADM,$AL82),"")</f>
        <v/>
      </c>
      <c r="G82" s="59" t="n"/>
      <c r="H82" s="60" t="n"/>
      <c r="I82" s="60" t="n"/>
      <c r="J82" s="60" t="n"/>
      <c r="K82" s="60" t="n"/>
      <c r="L82" s="60" t="n"/>
      <c r="M82" s="61">
        <f>IF(NOT((COUNTA($B82:$D82)+COUNTA($G82:$L82)+COUNTA($Q82))&gt;0),"",IF($V82="Sub",IFERROR($X82/INDEX($W$5:$W$1000,$U82-4),""),IF(ISNUMBER($G82),1,IF(N($W82)&gt;0,AVERAGEIFS($X$5:$X$1000,$U$5:$U$1000,ROW(),$V$5:$V$1000,"Sub"),$X82))))</f>
        <v/>
      </c>
      <c r="N82" s="56">
        <f>IF(OR($M82="",$V82="Sub"),"",IF($M82&gt;=1,"Completado",IF($M82&gt;0,"En curso","Pendiente")))</f>
        <v/>
      </c>
      <c r="O82" s="56">
        <f>IF(OR(NOT((COUNTA($B82:$D82)+COUNTA($G82:$L82)+COUNTA($Q82))&gt;0),$V82="Sub"),"",IF(ISNUMBER($G82),IF(AND(ISNUMBER($AN82),$G82&gt;$AN82),"Cumplida con "&amp;($G82-$AN82)&amp;IF($G82-$AN82=1," día"," días")&amp;" de retraso","Cumplida"),IF(N($M82)&gt;=1,"Cumplida",IF(NOT(ISNUMBER($AN82)),"Sin fecha límite",IF($AN82&lt;FechaRef,"Vencida hace "&amp;(FechaRef-$AN82)&amp;IF(FechaRef-$AN82=1," día"," días"),IF($AN82=FechaRef,"Vence hoy",IF($AN82-FechaRef&lt;=DiasAlerta,"Vence en "&amp;($AN82-FechaRef)&amp;IF($AN82-FechaRef=1," día"," días"),"En plazo")))))))</f>
        <v/>
      </c>
      <c r="P82" s="62" t="n"/>
      <c r="Q82" s="58" t="n"/>
      <c r="R82" s="63">
        <f>IF(NOT((COUNTA($B82:$D82)+COUNTA($G82:$L82)+COUNTA($Q82))&gt;0),"",IF((IF($C82="","Falta el nombre de la actividad"&amp;" · ","")&amp;IF(AND($V82="Sub",N($U82)=0),"Subactividad sin macroactividad arriba"&amp;" · ","")&amp;IF($AM82="","Sin fecha de inicio"&amp;" · ","")&amp;IF($AN82="","Sin fecha límite"&amp;" · ","")&amp;IF(AND(LEFT($C82,11)="[Jefatura] ",N($AL82)=0),"No se encuentra en la hoja de la jefatura (elíjala de nuevo en la lista)"&amp;" · ","")&amp;IF(OR(AND($E82&lt;&gt;"",NOT(ISNUMBER($E82))),AND($F82&lt;&gt;"",NOT(ISNUMBER($F82))),AND($G82&lt;&gt;"",NOT(ISNUMBER($G82)))),"Fecha no válida"&amp;" · ","")&amp;IF(AND(ISNUMBER($AM82),ISNUMBER($AN82),$AM82&gt;$AN82),"Inicio posterior a fecha límite"&amp;" · ","")&amp;IF(AND($V82="Macro",$H82&lt;&gt;"",OR(NOT(ISNUMBER($H82)),$H82&lt;0,$H82&gt;1)),"Peso fuera de rango"&amp;" · ","")&amp;IF(AND($V82="Sub",$H82&lt;&gt;""),"Las subactividades no llevan peso (valen igual dentro de su macroactividad)"&amp;" · ","")&amp;IF(AND(N($W82)&gt;0,COUNT($I82:$L82)&gt;0),"Con subactividades: deje vacías las semanas (se calculan solas)"&amp;" · ","")&amp;IF((COUNTIF($I82:$L82,"&gt;1")+COUNTIF($I82:$L82,"&lt;0")+COUNTA($I82:$L82)-COUNT($I82:$L82))&gt;0,"Avance fuera de rango 0-100%"&amp;" · ","")&amp;IF(OR(AND($J82&lt;&gt;"",$J82&lt;$I82),AND($K82&lt;&gt;"",$K82&lt;MAX($I82:$J82)),AND($L82&lt;&gt;"",$L82&lt;MAX($I82:$K82))),"Avance semanal decreciente"&amp;" · ","")&amp;IF(AND(ISNUMBER($AN82),$AN82&lt;FechaRef,IF($V82="Sub",N($X82),N($M82))&lt;1),"Vencida"&amp;" · ","")&amp;IF(AND(ObsObligatoria="Sí",ISNUMBER($AN82),$AN82&lt;FechaRef,IF($V82="Sub",N($X82),N($M82))&lt;1,$Q82=""),"Vencida sin observación"&amp;" · ",""))="","✔ OK","⚠ "&amp;LEFT(IF($C82="","Falta el nombre de la actividad"&amp;" · ","")&amp;IF(AND($V82="Sub",N($U82)=0),"Subactividad sin macroactividad arriba"&amp;" · ","")&amp;IF($AM82="","Sin fecha de inicio"&amp;" · ","")&amp;IF($AN82="","Sin fecha límite"&amp;" · ","")&amp;IF(AND(LEFT($C82,11)="[Jefatura] ",N($AL82)=0),"No se encuentra en la hoja de la jefatura (elíjala de nuevo en la lista)"&amp;" · ","")&amp;IF(OR(AND($E82&lt;&gt;"",NOT(ISNUMBER($E82))),AND($F82&lt;&gt;"",NOT(ISNUMBER($F82))),AND($G82&lt;&gt;"",NOT(ISNUMBER($G82)))),"Fecha no válida"&amp;" · ","")&amp;IF(AND(ISNUMBER($AM82),ISNUMBER($AN82),$AM82&gt;$AN82),"Inicio posterior a fecha límite"&amp;" · ","")&amp;IF(AND($V82="Macro",$H82&lt;&gt;"",OR(NOT(ISNUMBER($H82)),$H82&lt;0,$H82&gt;1)),"Peso fuera de rango"&amp;" · ","")&amp;IF(AND($V82="Sub",$H82&lt;&gt;""),"Las subactividades no llevan peso (valen igual dentro de su macroactividad)"&amp;" · ","")&amp;IF(AND(N($W82)&gt;0,COUNT($I82:$L82)&gt;0),"Con subactividades: deje vacías las semanas (se calculan solas)"&amp;" · ","")&amp;IF((COUNTIF($I82:$L82,"&gt;1")+COUNTIF($I82:$L82,"&lt;0")+COUNTA($I82:$L82)-COUNT($I82:$L82))&gt;0,"Avance fuera de rango 0-100%"&amp;" · ","")&amp;IF(OR(AND($J82&lt;&gt;"",$J82&lt;$I82),AND($K82&lt;&gt;"",$K82&lt;MAX($I82:$J82)),AND($L82&lt;&gt;"",$L82&lt;MAX($I82:$K82))),"Avance semanal decreciente"&amp;" · ","")&amp;IF(AND(ISNUMBER($AN82),$AN82&lt;FechaRef,IF($V82="Sub",N($X82),N($M82))&lt;1),"Vencida"&amp;" · ","")&amp;IF(AND(ObsObligatoria="Sí",ISNUMBER($AN82),$AN82&lt;FechaRef,IF($V82="Sub",N($X82),N($M82))&lt;1,$Q82=""),"Vencida sin observación"&amp;" · ",""),LEN(IF($C82="","Falta el nombre de la actividad"&amp;" · ","")&amp;IF(AND($V82="Sub",N($U82)=0),"Subactividad sin macroactividad arriba"&amp;" · ","")&amp;IF($AM82="","Sin fecha de inicio"&amp;" · ","")&amp;IF($AN82="","Sin fecha límite"&amp;" · ","")&amp;IF(AND(LEFT($C82,11)="[Jefatura] ",N($AL82)=0),"No se encuentra en la hoja de la jefatura (elíjala de nuevo en la lista)"&amp;" · ","")&amp;IF(OR(AND($E82&lt;&gt;"",NOT(ISNUMBER($E82))),AND($F82&lt;&gt;"",NOT(ISNUMBER($F82))),AND($G82&lt;&gt;"",NOT(ISNUMBER($G82)))),"Fecha no válida"&amp;" · ","")&amp;IF(AND(ISNUMBER($AM82),ISNUMBER($AN82),$AM82&gt;$AN82),"Inicio posterior a fecha límite"&amp;" · ","")&amp;IF(AND($V82="Macro",$H82&lt;&gt;"",OR(NOT(ISNUMBER($H82)),$H82&lt;0,$H82&gt;1)),"Peso fuera de rango"&amp;" · ","")&amp;IF(AND($V82="Sub",$H82&lt;&gt;""),"Las subactividades no llevan peso (valen igual dentro de su macroactividad)"&amp;" · ","")&amp;IF(AND(N($W82)&gt;0,COUNT($I82:$L82)&gt;0),"Con subactividades: deje vacías las semanas (se calculan solas)"&amp;" · ","")&amp;IF((COUNTIF($I82:$L82,"&gt;1")+COUNTIF($I82:$L82,"&lt;0")+COUNTA($I82:$L82)-COUNT($I82:$L82))&gt;0,"Avance fuera de rango 0-100%"&amp;" · ","")&amp;IF(OR(AND($J82&lt;&gt;"",$J82&lt;$I82),AND($K82&lt;&gt;"",$K82&lt;MAX($I82:$J82)),AND($L82&lt;&gt;"",$L82&lt;MAX($I82:$K82))),"Avance semanal decreciente"&amp;" · ","")&amp;IF(AND(ISNUMBER($AN82),$AN82&lt;FechaRef,IF($V82="Sub",N($X82),N($M82))&lt;1),"Vencida"&amp;" · ","")&amp;IF(AND(ObsObligatoria="Sí",ISNUMBER($AN82),$AN82&lt;FechaRef,IF($V82="Sub",N($X82),N($M82))&lt;1,$Q82=""),"Vencida sin observación"&amp;" · ",""))-3)))</f>
        <v/>
      </c>
      <c r="S82" s="64">
        <f>IF(NOT((COUNTA($B82:$D82)+COUNTA($G82:$L82)+COUNTA($Q82))&gt;0),"",IF(AND($V82="Sub",N($U82)&gt;0),IF(ISNUMBER(INDEX($AM$5:$AM$1000,$U82-4)),DATE(YEAR(INDEX($AM$5:$AM$1000,$U82-4)),MONTH(INDEX($AM$5:$AM$1000,$U82-4)),1),IF(ISNUMBER(INDEX($AN$5:$AN$1000,$U82-4)),DATE(YEAR(INDEX($AN$5:$AN$1000,$U82-4)),MONTH(INDEX($AN$5:$AN$1000,$U82-4)),1),MesCiclo)),IF(ISNUMBER($AM82),DATE(YEAR($AM82),MONTH($AM82),1),IF(ISNUMBER($AN82),DATE(YEAR($AN82),MONTH($AN82),1),MesCiclo))))</f>
        <v/>
      </c>
      <c r="T82" s="62">
        <f>IF(OR($S82="",$S82&lt;&gt;MesCiclo,$V82&lt;&gt;"Macro"),"",COUNTIFS($S$5:$S82,MesCiclo,$V$5:$V82,"Macro"))</f>
        <v/>
      </c>
      <c r="U82" s="62">
        <f>IF($V82="","",IF($V82="Macro",ROW(),IFERROR(LOOKUP(2,1/($V$5:$V82="Macro"),ROW($V$5:$V82)),0)))</f>
        <v/>
      </c>
      <c r="V82" s="62">
        <f>IF(NOT((COUNTA($B82:$D82)+COUNTA($G82:$L82)+COUNTA($Q82))&gt;0),"",IF($B82="Subactividad","Sub","Macro"))</f>
        <v/>
      </c>
      <c r="W82" s="62">
        <f>IF($V82="Macro",COUNTIFS($U$5:$U$1000,ROW(),$V$5:$V$1000,"Sub"),"")</f>
        <v/>
      </c>
      <c r="X82" s="62">
        <f>IF($V82="","",IF(ISNUMBER($G82),1,IFERROR(LOOKUP(2,1/($I82:$L82&lt;&gt;""),$I82:$L82),0)))</f>
        <v/>
      </c>
      <c r="Y82" s="62">
        <f>IF($V82="","",IF(AND(ISNUMBER($G82),$G82&lt;=IF($S82=MesCiclo,InicioCiclo,$S82+MOD(2-WEEKDAY($S82),7))+6),1,IF(ISNUMBER($I82),$I82,0)))</f>
        <v/>
      </c>
      <c r="Z82" s="62">
        <f>IF($V82="","",IF(AND(ISNUMBER($G82),$G82&lt;=IF($S82=MesCiclo,InicioCiclo,$S82+MOD(2-WEEKDAY($S82),7))+13),1,IF(ISNUMBER($J82),$J82,$Y82)))</f>
        <v/>
      </c>
      <c r="AA82" s="62">
        <f>IF($V82="","",IF(AND(ISNUMBER($G82),$G82&lt;=IF($S82=MesCiclo,InicioCiclo,$S82+MOD(2-WEEKDAY($S82),7))+20),1,IF(ISNUMBER($K82),$K82,$Z82)))</f>
        <v/>
      </c>
      <c r="AB82" s="62">
        <f>IF($V82="","",IF(AND(ISNUMBER($G82),$G82&lt;=IF($S82=MesCiclo,InicioCiclo,$S82+MOD(2-WEEKDAY($S82),7))+27),1,IF(ISNUMBER($L82),$L82,$AA82)))</f>
        <v/>
      </c>
      <c r="AC82" s="62">
        <f>IF($V82="","",IF(AND(ISNUMBER($G82),$G82&lt;=IF($S82=MesCiclo,InicioCiclo,$S82+MOD(2-WEEKDAY($S82),7))+6),1,IF(N($W82)&gt;0,AVERAGEIFS($Y$5:$Y$1000,$U$5:$U$1000,ROW(),$V$5:$V$1000,"Sub"),$Y82)))</f>
        <v/>
      </c>
      <c r="AD82" s="62">
        <f>IF($V82="","",IF(AND(ISNUMBER($G82),$G82&lt;=IF($S82=MesCiclo,InicioCiclo,$S82+MOD(2-WEEKDAY($S82),7))+13),1,IF(N($W82)&gt;0,AVERAGEIFS($Z$5:$Z$1000,$U$5:$U$1000,ROW(),$V$5:$V$1000,"Sub"),$Z82)))</f>
        <v/>
      </c>
      <c r="AE82" s="62">
        <f>IF($V82="","",IF(AND(ISNUMBER($G82),$G82&lt;=IF($S82=MesCiclo,InicioCiclo,$S82+MOD(2-WEEKDAY($S82),7))+20),1,IF(N($W82)&gt;0,AVERAGEIFS($AA$5:$AA$1000,$U$5:$U$1000,ROW(),$V$5:$V$1000,"Sub"),$AA82)))</f>
        <v/>
      </c>
      <c r="AF82" s="62">
        <f>IF($V82="","",IF(AND(ISNUMBER($G82),$G82&lt;=IF($S82=MesCiclo,InicioCiclo,$S82+MOD(2-WEEKDAY($S82),7))+27),1,IF(N($W82)&gt;0,AVERAGEIFS($AB$5:$AB$1000,$U$5:$U$1000,ROW(),$V$5:$V$1000,"Sub"),$AB82)))</f>
        <v/>
      </c>
      <c r="AG82" s="62">
        <f>IF($V82&lt;&gt;"Macro","",IF(COUNTIFS($S$5:$S$1000,$S82,$V$5:$V$1000,"Macro",$H$5:$H$1000,"&gt;0")=0,1/COUNTIFS($S$5:$S$1000,$S82,$V$5:$V$1000,"Macro"),IF(AND(ISNUMBER($H82),N($H82)&gt;0),$H82,SUMIFS($H$5:$H$1000,$S$5:$S$1000,$S82,$V$5:$V$1000,"Macro")/COUNTIFS($S$5:$S$1000,$S82,$V$5:$V$1000,"Macro",$H$5:$H$1000,"&gt;0"))/(COUNTIFS($S$5:$S$1000,$S82,$V$5:$V$1000,"Macro")*SUMIFS($H$5:$H$1000,$S$5:$S$1000,$S82,$V$5:$V$1000,"Macro")/COUNTIFS($S$5:$S$1000,$S82,$V$5:$V$1000,"Macro",$H$5:$H$1000,"&gt;0"))))</f>
        <v/>
      </c>
      <c r="AH82" s="62" t="n"/>
      <c r="AI82" s="62" t="n"/>
      <c r="AJ82" s="62" t="n"/>
      <c r="AK82" s="62" t="n"/>
      <c r="AL82" s="62">
        <f>IF(LEFT($C82,11)="[Jefatura] ",IFERROR(MATCH("Asistente Técnico de Riesgo|"&amp;MID($C82,12,500),rDname_ADM,0),0),"")</f>
        <v/>
      </c>
      <c r="AM82" s="62">
        <f>IF(N($AL82)&gt;0,INDEX(rIni_ADM,$AL82),IF(ISNUMBER($E82),$E82,""))</f>
        <v/>
      </c>
      <c r="AN82" s="62">
        <f>IF(N($AL82)&gt;0,INDEX(rLim_ADM,$AL82),IF(ISNUMBER($F82),$F82,""))</f>
        <v/>
      </c>
    </row>
    <row r="83">
      <c r="A83" s="56">
        <f>IF(NOT((COUNTA($B83:$D83)+COUNTA($G83:$L83)+COUNTA($Q83))&gt;0),"",IF($V83="Macro",COUNTIFS($V$5:$V83,"Macro",$S$5:$S83,$S83),IF(N($U83)=0,"?",COUNTIFS(INDEX($V$5:$V$1000,1):INDEX($V$5:$V$1000,$U83-4),"Macro",INDEX($S$5:$S$1000,1):INDEX($S$5:$S$1000,$U83-4),INDEX($S$5:$S$1000,$U83-4))&amp;"."&amp;COUNTIFS($U$5:$U83,$U83,$V$5:$V83,"Sub"))))</f>
        <v/>
      </c>
      <c r="B83" s="57" t="n"/>
      <c r="C83" s="58" t="n"/>
      <c r="D83" s="58" t="n"/>
      <c r="E83" s="59">
        <f>IF(N($AL83)&gt;0,INDEX(rIni_ADM,$AL83),"")</f>
        <v/>
      </c>
      <c r="F83" s="59">
        <f>IF(N($AL83)&gt;0,INDEX(rLim_ADM,$AL83),"")</f>
        <v/>
      </c>
      <c r="G83" s="59" t="n"/>
      <c r="H83" s="60" t="n"/>
      <c r="I83" s="60" t="n"/>
      <c r="J83" s="60" t="n"/>
      <c r="K83" s="60" t="n"/>
      <c r="L83" s="60" t="n"/>
      <c r="M83" s="61">
        <f>IF(NOT((COUNTA($B83:$D83)+COUNTA($G83:$L83)+COUNTA($Q83))&gt;0),"",IF($V83="Sub",IFERROR($X83/INDEX($W$5:$W$1000,$U83-4),""),IF(ISNUMBER($G83),1,IF(N($W83)&gt;0,AVERAGEIFS($X$5:$X$1000,$U$5:$U$1000,ROW(),$V$5:$V$1000,"Sub"),$X83))))</f>
        <v/>
      </c>
      <c r="N83" s="56">
        <f>IF(OR($M83="",$V83="Sub"),"",IF($M83&gt;=1,"Completado",IF($M83&gt;0,"En curso","Pendiente")))</f>
        <v/>
      </c>
      <c r="O83" s="56">
        <f>IF(OR(NOT((COUNTA($B83:$D83)+COUNTA($G83:$L83)+COUNTA($Q83))&gt;0),$V83="Sub"),"",IF(ISNUMBER($G83),IF(AND(ISNUMBER($AN83),$G83&gt;$AN83),"Cumplida con "&amp;($G83-$AN83)&amp;IF($G83-$AN83=1," día"," días")&amp;" de retraso","Cumplida"),IF(N($M83)&gt;=1,"Cumplida",IF(NOT(ISNUMBER($AN83)),"Sin fecha límite",IF($AN83&lt;FechaRef,"Vencida hace "&amp;(FechaRef-$AN83)&amp;IF(FechaRef-$AN83=1," día"," días"),IF($AN83=FechaRef,"Vence hoy",IF($AN83-FechaRef&lt;=DiasAlerta,"Vence en "&amp;($AN83-FechaRef)&amp;IF($AN83-FechaRef=1," día"," días"),"En plazo")))))))</f>
        <v/>
      </c>
      <c r="P83" s="62" t="n"/>
      <c r="Q83" s="58" t="n"/>
      <c r="R83" s="63">
        <f>IF(NOT((COUNTA($B83:$D83)+COUNTA($G83:$L83)+COUNTA($Q83))&gt;0),"",IF((IF($C83="","Falta el nombre de la actividad"&amp;" · ","")&amp;IF(AND($V83="Sub",N($U83)=0),"Subactividad sin macroactividad arriba"&amp;" · ","")&amp;IF($AM83="","Sin fecha de inicio"&amp;" · ","")&amp;IF($AN83="","Sin fecha límite"&amp;" · ","")&amp;IF(AND(LEFT($C83,11)="[Jefatura] ",N($AL83)=0),"No se encuentra en la hoja de la jefatura (elíjala de nuevo en la lista)"&amp;" · ","")&amp;IF(OR(AND($E83&lt;&gt;"",NOT(ISNUMBER($E83))),AND($F83&lt;&gt;"",NOT(ISNUMBER($F83))),AND($G83&lt;&gt;"",NOT(ISNUMBER($G83)))),"Fecha no válida"&amp;" · ","")&amp;IF(AND(ISNUMBER($AM83),ISNUMBER($AN83),$AM83&gt;$AN83),"Inicio posterior a fecha límite"&amp;" · ","")&amp;IF(AND($V83="Macro",$H83&lt;&gt;"",OR(NOT(ISNUMBER($H83)),$H83&lt;0,$H83&gt;1)),"Peso fuera de rango"&amp;" · ","")&amp;IF(AND($V83="Sub",$H83&lt;&gt;""),"Las subactividades no llevan peso (valen igual dentro de su macroactividad)"&amp;" · ","")&amp;IF(AND(N($W83)&gt;0,COUNT($I83:$L83)&gt;0),"Con subactividades: deje vacías las semanas (se calculan solas)"&amp;" · ","")&amp;IF((COUNTIF($I83:$L83,"&gt;1")+COUNTIF($I83:$L83,"&lt;0")+COUNTA($I83:$L83)-COUNT($I83:$L83))&gt;0,"Avance fuera de rango 0-100%"&amp;" · ","")&amp;IF(OR(AND($J83&lt;&gt;"",$J83&lt;$I83),AND($K83&lt;&gt;"",$K83&lt;MAX($I83:$J83)),AND($L83&lt;&gt;"",$L83&lt;MAX($I83:$K83))),"Avance semanal decreciente"&amp;" · ","")&amp;IF(AND(ISNUMBER($AN83),$AN83&lt;FechaRef,IF($V83="Sub",N($X83),N($M83))&lt;1),"Vencida"&amp;" · ","")&amp;IF(AND(ObsObligatoria="Sí",ISNUMBER($AN83),$AN83&lt;FechaRef,IF($V83="Sub",N($X83),N($M83))&lt;1,$Q83=""),"Vencida sin observación"&amp;" · ",""))="","✔ OK","⚠ "&amp;LEFT(IF($C83="","Falta el nombre de la actividad"&amp;" · ","")&amp;IF(AND($V83="Sub",N($U83)=0),"Subactividad sin macroactividad arriba"&amp;" · ","")&amp;IF($AM83="","Sin fecha de inicio"&amp;" · ","")&amp;IF($AN83="","Sin fecha límite"&amp;" · ","")&amp;IF(AND(LEFT($C83,11)="[Jefatura] ",N($AL83)=0),"No se encuentra en la hoja de la jefatura (elíjala de nuevo en la lista)"&amp;" · ","")&amp;IF(OR(AND($E83&lt;&gt;"",NOT(ISNUMBER($E83))),AND($F83&lt;&gt;"",NOT(ISNUMBER($F83))),AND($G83&lt;&gt;"",NOT(ISNUMBER($G83)))),"Fecha no válida"&amp;" · ","")&amp;IF(AND(ISNUMBER($AM83),ISNUMBER($AN83),$AM83&gt;$AN83),"Inicio posterior a fecha límite"&amp;" · ","")&amp;IF(AND($V83="Macro",$H83&lt;&gt;"",OR(NOT(ISNUMBER($H83)),$H83&lt;0,$H83&gt;1)),"Peso fuera de rango"&amp;" · ","")&amp;IF(AND($V83="Sub",$H83&lt;&gt;""),"Las subactividades no llevan peso (valen igual dentro de su macroactividad)"&amp;" · ","")&amp;IF(AND(N($W83)&gt;0,COUNT($I83:$L83)&gt;0),"Con subactividades: deje vacías las semanas (se calculan solas)"&amp;" · ","")&amp;IF((COUNTIF($I83:$L83,"&gt;1")+COUNTIF($I83:$L83,"&lt;0")+COUNTA($I83:$L83)-COUNT($I83:$L83))&gt;0,"Avance fuera de rango 0-100%"&amp;" · ","")&amp;IF(OR(AND($J83&lt;&gt;"",$J83&lt;$I83),AND($K83&lt;&gt;"",$K83&lt;MAX($I83:$J83)),AND($L83&lt;&gt;"",$L83&lt;MAX($I83:$K83))),"Avance semanal decreciente"&amp;" · ","")&amp;IF(AND(ISNUMBER($AN83),$AN83&lt;FechaRef,IF($V83="Sub",N($X83),N($M83))&lt;1),"Vencida"&amp;" · ","")&amp;IF(AND(ObsObligatoria="Sí",ISNUMBER($AN83),$AN83&lt;FechaRef,IF($V83="Sub",N($X83),N($M83))&lt;1,$Q83=""),"Vencida sin observación"&amp;" · ",""),LEN(IF($C83="","Falta el nombre de la actividad"&amp;" · ","")&amp;IF(AND($V83="Sub",N($U83)=0),"Subactividad sin macroactividad arriba"&amp;" · ","")&amp;IF($AM83="","Sin fecha de inicio"&amp;" · ","")&amp;IF($AN83="","Sin fecha límite"&amp;" · ","")&amp;IF(AND(LEFT($C83,11)="[Jefatura] ",N($AL83)=0),"No se encuentra en la hoja de la jefatura (elíjala de nuevo en la lista)"&amp;" · ","")&amp;IF(OR(AND($E83&lt;&gt;"",NOT(ISNUMBER($E83))),AND($F83&lt;&gt;"",NOT(ISNUMBER($F83))),AND($G83&lt;&gt;"",NOT(ISNUMBER($G83)))),"Fecha no válida"&amp;" · ","")&amp;IF(AND(ISNUMBER($AM83),ISNUMBER($AN83),$AM83&gt;$AN83),"Inicio posterior a fecha límite"&amp;" · ","")&amp;IF(AND($V83="Macro",$H83&lt;&gt;"",OR(NOT(ISNUMBER($H83)),$H83&lt;0,$H83&gt;1)),"Peso fuera de rango"&amp;" · ","")&amp;IF(AND($V83="Sub",$H83&lt;&gt;""),"Las subactividades no llevan peso (valen igual dentro de su macroactividad)"&amp;" · ","")&amp;IF(AND(N($W83)&gt;0,COUNT($I83:$L83)&gt;0),"Con subactividades: deje vacías las semanas (se calculan solas)"&amp;" · ","")&amp;IF((COUNTIF($I83:$L83,"&gt;1")+COUNTIF($I83:$L83,"&lt;0")+COUNTA($I83:$L83)-COUNT($I83:$L83))&gt;0,"Avance fuera de rango 0-100%"&amp;" · ","")&amp;IF(OR(AND($J83&lt;&gt;"",$J83&lt;$I83),AND($K83&lt;&gt;"",$K83&lt;MAX($I83:$J83)),AND($L83&lt;&gt;"",$L83&lt;MAX($I83:$K83))),"Avance semanal decreciente"&amp;" · ","")&amp;IF(AND(ISNUMBER($AN83),$AN83&lt;FechaRef,IF($V83="Sub",N($X83),N($M83))&lt;1),"Vencida"&amp;" · ","")&amp;IF(AND(ObsObligatoria="Sí",ISNUMBER($AN83),$AN83&lt;FechaRef,IF($V83="Sub",N($X83),N($M83))&lt;1,$Q83=""),"Vencida sin observación"&amp;" · ",""))-3)))</f>
        <v/>
      </c>
      <c r="S83" s="64">
        <f>IF(NOT((COUNTA($B83:$D83)+COUNTA($G83:$L83)+COUNTA($Q83))&gt;0),"",IF(AND($V83="Sub",N($U83)&gt;0),IF(ISNUMBER(INDEX($AM$5:$AM$1000,$U83-4)),DATE(YEAR(INDEX($AM$5:$AM$1000,$U83-4)),MONTH(INDEX($AM$5:$AM$1000,$U83-4)),1),IF(ISNUMBER(INDEX($AN$5:$AN$1000,$U83-4)),DATE(YEAR(INDEX($AN$5:$AN$1000,$U83-4)),MONTH(INDEX($AN$5:$AN$1000,$U83-4)),1),MesCiclo)),IF(ISNUMBER($AM83),DATE(YEAR($AM83),MONTH($AM83),1),IF(ISNUMBER($AN83),DATE(YEAR($AN83),MONTH($AN83),1),MesCiclo))))</f>
        <v/>
      </c>
      <c r="T83" s="62">
        <f>IF(OR($S83="",$S83&lt;&gt;MesCiclo,$V83&lt;&gt;"Macro"),"",COUNTIFS($S$5:$S83,MesCiclo,$V$5:$V83,"Macro"))</f>
        <v/>
      </c>
      <c r="U83" s="62">
        <f>IF($V83="","",IF($V83="Macro",ROW(),IFERROR(LOOKUP(2,1/($V$5:$V83="Macro"),ROW($V$5:$V83)),0)))</f>
        <v/>
      </c>
      <c r="V83" s="62">
        <f>IF(NOT((COUNTA($B83:$D83)+COUNTA($G83:$L83)+COUNTA($Q83))&gt;0),"",IF($B83="Subactividad","Sub","Macro"))</f>
        <v/>
      </c>
      <c r="W83" s="62">
        <f>IF($V83="Macro",COUNTIFS($U$5:$U$1000,ROW(),$V$5:$V$1000,"Sub"),"")</f>
        <v/>
      </c>
      <c r="X83" s="62">
        <f>IF($V83="","",IF(ISNUMBER($G83),1,IFERROR(LOOKUP(2,1/($I83:$L83&lt;&gt;""),$I83:$L83),0)))</f>
        <v/>
      </c>
      <c r="Y83" s="62">
        <f>IF($V83="","",IF(AND(ISNUMBER($G83),$G83&lt;=IF($S83=MesCiclo,InicioCiclo,$S83+MOD(2-WEEKDAY($S83),7))+6),1,IF(ISNUMBER($I83),$I83,0)))</f>
        <v/>
      </c>
      <c r="Z83" s="62">
        <f>IF($V83="","",IF(AND(ISNUMBER($G83),$G83&lt;=IF($S83=MesCiclo,InicioCiclo,$S83+MOD(2-WEEKDAY($S83),7))+13),1,IF(ISNUMBER($J83),$J83,$Y83)))</f>
        <v/>
      </c>
      <c r="AA83" s="62">
        <f>IF($V83="","",IF(AND(ISNUMBER($G83),$G83&lt;=IF($S83=MesCiclo,InicioCiclo,$S83+MOD(2-WEEKDAY($S83),7))+20),1,IF(ISNUMBER($K83),$K83,$Z83)))</f>
        <v/>
      </c>
      <c r="AB83" s="62">
        <f>IF($V83="","",IF(AND(ISNUMBER($G83),$G83&lt;=IF($S83=MesCiclo,InicioCiclo,$S83+MOD(2-WEEKDAY($S83),7))+27),1,IF(ISNUMBER($L83),$L83,$AA83)))</f>
        <v/>
      </c>
      <c r="AC83" s="62">
        <f>IF($V83="","",IF(AND(ISNUMBER($G83),$G83&lt;=IF($S83=MesCiclo,InicioCiclo,$S83+MOD(2-WEEKDAY($S83),7))+6),1,IF(N($W83)&gt;0,AVERAGEIFS($Y$5:$Y$1000,$U$5:$U$1000,ROW(),$V$5:$V$1000,"Sub"),$Y83)))</f>
        <v/>
      </c>
      <c r="AD83" s="62">
        <f>IF($V83="","",IF(AND(ISNUMBER($G83),$G83&lt;=IF($S83=MesCiclo,InicioCiclo,$S83+MOD(2-WEEKDAY($S83),7))+13),1,IF(N($W83)&gt;0,AVERAGEIFS($Z$5:$Z$1000,$U$5:$U$1000,ROW(),$V$5:$V$1000,"Sub"),$Z83)))</f>
        <v/>
      </c>
      <c r="AE83" s="62">
        <f>IF($V83="","",IF(AND(ISNUMBER($G83),$G83&lt;=IF($S83=MesCiclo,InicioCiclo,$S83+MOD(2-WEEKDAY($S83),7))+20),1,IF(N($W83)&gt;0,AVERAGEIFS($AA$5:$AA$1000,$U$5:$U$1000,ROW(),$V$5:$V$1000,"Sub"),$AA83)))</f>
        <v/>
      </c>
      <c r="AF83" s="62">
        <f>IF($V83="","",IF(AND(ISNUMBER($G83),$G83&lt;=IF($S83=MesCiclo,InicioCiclo,$S83+MOD(2-WEEKDAY($S83),7))+27),1,IF(N($W83)&gt;0,AVERAGEIFS($AB$5:$AB$1000,$U$5:$U$1000,ROW(),$V$5:$V$1000,"Sub"),$AB83)))</f>
        <v/>
      </c>
      <c r="AG83" s="62">
        <f>IF($V83&lt;&gt;"Macro","",IF(COUNTIFS($S$5:$S$1000,$S83,$V$5:$V$1000,"Macro",$H$5:$H$1000,"&gt;0")=0,1/COUNTIFS($S$5:$S$1000,$S83,$V$5:$V$1000,"Macro"),IF(AND(ISNUMBER($H83),N($H83)&gt;0),$H83,SUMIFS($H$5:$H$1000,$S$5:$S$1000,$S83,$V$5:$V$1000,"Macro")/COUNTIFS($S$5:$S$1000,$S83,$V$5:$V$1000,"Macro",$H$5:$H$1000,"&gt;0"))/(COUNTIFS($S$5:$S$1000,$S83,$V$5:$V$1000,"Macro")*SUMIFS($H$5:$H$1000,$S$5:$S$1000,$S83,$V$5:$V$1000,"Macro")/COUNTIFS($S$5:$S$1000,$S83,$V$5:$V$1000,"Macro",$H$5:$H$1000,"&gt;0"))))</f>
        <v/>
      </c>
      <c r="AH83" s="62" t="n"/>
      <c r="AI83" s="62" t="n"/>
      <c r="AJ83" s="62" t="n"/>
      <c r="AK83" s="62" t="n"/>
      <c r="AL83" s="62">
        <f>IF(LEFT($C83,11)="[Jefatura] ",IFERROR(MATCH("Asistente Técnico de Riesgo|"&amp;MID($C83,12,500),rDname_ADM,0),0),"")</f>
        <v/>
      </c>
      <c r="AM83" s="62">
        <f>IF(N($AL83)&gt;0,INDEX(rIni_ADM,$AL83),IF(ISNUMBER($E83),$E83,""))</f>
        <v/>
      </c>
      <c r="AN83" s="62">
        <f>IF(N($AL83)&gt;0,INDEX(rLim_ADM,$AL83),IF(ISNUMBER($F83),$F83,""))</f>
        <v/>
      </c>
    </row>
    <row r="84">
      <c r="A84" s="56">
        <f>IF(NOT((COUNTA($B84:$D84)+COUNTA($G84:$L84)+COUNTA($Q84))&gt;0),"",IF($V84="Macro",COUNTIFS($V$5:$V84,"Macro",$S$5:$S84,$S84),IF(N($U84)=0,"?",COUNTIFS(INDEX($V$5:$V$1000,1):INDEX($V$5:$V$1000,$U84-4),"Macro",INDEX($S$5:$S$1000,1):INDEX($S$5:$S$1000,$U84-4),INDEX($S$5:$S$1000,$U84-4))&amp;"."&amp;COUNTIFS($U$5:$U84,$U84,$V$5:$V84,"Sub"))))</f>
        <v/>
      </c>
      <c r="B84" s="57" t="n"/>
      <c r="C84" s="58" t="n"/>
      <c r="D84" s="58" t="n"/>
      <c r="E84" s="59">
        <f>IF(N($AL84)&gt;0,INDEX(rIni_ADM,$AL84),"")</f>
        <v/>
      </c>
      <c r="F84" s="59">
        <f>IF(N($AL84)&gt;0,INDEX(rLim_ADM,$AL84),"")</f>
        <v/>
      </c>
      <c r="G84" s="59" t="n"/>
      <c r="H84" s="60" t="n"/>
      <c r="I84" s="60" t="n"/>
      <c r="J84" s="60" t="n"/>
      <c r="K84" s="60" t="n"/>
      <c r="L84" s="60" t="n"/>
      <c r="M84" s="61">
        <f>IF(NOT((COUNTA($B84:$D84)+COUNTA($G84:$L84)+COUNTA($Q84))&gt;0),"",IF($V84="Sub",IFERROR($X84/INDEX($W$5:$W$1000,$U84-4),""),IF(ISNUMBER($G84),1,IF(N($W84)&gt;0,AVERAGEIFS($X$5:$X$1000,$U$5:$U$1000,ROW(),$V$5:$V$1000,"Sub"),$X84))))</f>
        <v/>
      </c>
      <c r="N84" s="56">
        <f>IF(OR($M84="",$V84="Sub"),"",IF($M84&gt;=1,"Completado",IF($M84&gt;0,"En curso","Pendiente")))</f>
        <v/>
      </c>
      <c r="O84" s="56">
        <f>IF(OR(NOT((COUNTA($B84:$D84)+COUNTA($G84:$L84)+COUNTA($Q84))&gt;0),$V84="Sub"),"",IF(ISNUMBER($G84),IF(AND(ISNUMBER($AN84),$G84&gt;$AN84),"Cumplida con "&amp;($G84-$AN84)&amp;IF($G84-$AN84=1," día"," días")&amp;" de retraso","Cumplida"),IF(N($M84)&gt;=1,"Cumplida",IF(NOT(ISNUMBER($AN84)),"Sin fecha límite",IF($AN84&lt;FechaRef,"Vencida hace "&amp;(FechaRef-$AN84)&amp;IF(FechaRef-$AN84=1," día"," días"),IF($AN84=FechaRef,"Vence hoy",IF($AN84-FechaRef&lt;=DiasAlerta,"Vence en "&amp;($AN84-FechaRef)&amp;IF($AN84-FechaRef=1," día"," días"),"En plazo")))))))</f>
        <v/>
      </c>
      <c r="P84" s="62" t="n"/>
      <c r="Q84" s="58" t="n"/>
      <c r="R84" s="63">
        <f>IF(NOT((COUNTA($B84:$D84)+COUNTA($G84:$L84)+COUNTA($Q84))&gt;0),"",IF((IF($C84="","Falta el nombre de la actividad"&amp;" · ","")&amp;IF(AND($V84="Sub",N($U84)=0),"Subactividad sin macroactividad arriba"&amp;" · ","")&amp;IF($AM84="","Sin fecha de inicio"&amp;" · ","")&amp;IF($AN84="","Sin fecha límite"&amp;" · ","")&amp;IF(AND(LEFT($C84,11)="[Jefatura] ",N($AL84)=0),"No se encuentra en la hoja de la jefatura (elíjala de nuevo en la lista)"&amp;" · ","")&amp;IF(OR(AND($E84&lt;&gt;"",NOT(ISNUMBER($E84))),AND($F84&lt;&gt;"",NOT(ISNUMBER($F84))),AND($G84&lt;&gt;"",NOT(ISNUMBER($G84)))),"Fecha no válida"&amp;" · ","")&amp;IF(AND(ISNUMBER($AM84),ISNUMBER($AN84),$AM84&gt;$AN84),"Inicio posterior a fecha límite"&amp;" · ","")&amp;IF(AND($V84="Macro",$H84&lt;&gt;"",OR(NOT(ISNUMBER($H84)),$H84&lt;0,$H84&gt;1)),"Peso fuera de rango"&amp;" · ","")&amp;IF(AND($V84="Sub",$H84&lt;&gt;""),"Las subactividades no llevan peso (valen igual dentro de su macroactividad)"&amp;" · ","")&amp;IF(AND(N($W84)&gt;0,COUNT($I84:$L84)&gt;0),"Con subactividades: deje vacías las semanas (se calculan solas)"&amp;" · ","")&amp;IF((COUNTIF($I84:$L84,"&gt;1")+COUNTIF($I84:$L84,"&lt;0")+COUNTA($I84:$L84)-COUNT($I84:$L84))&gt;0,"Avance fuera de rango 0-100%"&amp;" · ","")&amp;IF(OR(AND($J84&lt;&gt;"",$J84&lt;$I84),AND($K84&lt;&gt;"",$K84&lt;MAX($I84:$J84)),AND($L84&lt;&gt;"",$L84&lt;MAX($I84:$K84))),"Avance semanal decreciente"&amp;" · ","")&amp;IF(AND(ISNUMBER($AN84),$AN84&lt;FechaRef,IF($V84="Sub",N($X84),N($M84))&lt;1),"Vencida"&amp;" · ","")&amp;IF(AND(ObsObligatoria="Sí",ISNUMBER($AN84),$AN84&lt;FechaRef,IF($V84="Sub",N($X84),N($M84))&lt;1,$Q84=""),"Vencida sin observación"&amp;" · ",""))="","✔ OK","⚠ "&amp;LEFT(IF($C84="","Falta el nombre de la actividad"&amp;" · ","")&amp;IF(AND($V84="Sub",N($U84)=0),"Subactividad sin macroactividad arriba"&amp;" · ","")&amp;IF($AM84="","Sin fecha de inicio"&amp;" · ","")&amp;IF($AN84="","Sin fecha límite"&amp;" · ","")&amp;IF(AND(LEFT($C84,11)="[Jefatura] ",N($AL84)=0),"No se encuentra en la hoja de la jefatura (elíjala de nuevo en la lista)"&amp;" · ","")&amp;IF(OR(AND($E84&lt;&gt;"",NOT(ISNUMBER($E84))),AND($F84&lt;&gt;"",NOT(ISNUMBER($F84))),AND($G84&lt;&gt;"",NOT(ISNUMBER($G84)))),"Fecha no válida"&amp;" · ","")&amp;IF(AND(ISNUMBER($AM84),ISNUMBER($AN84),$AM84&gt;$AN84),"Inicio posterior a fecha límite"&amp;" · ","")&amp;IF(AND($V84="Macro",$H84&lt;&gt;"",OR(NOT(ISNUMBER($H84)),$H84&lt;0,$H84&gt;1)),"Peso fuera de rango"&amp;" · ","")&amp;IF(AND($V84="Sub",$H84&lt;&gt;""),"Las subactividades no llevan peso (valen igual dentro de su macroactividad)"&amp;" · ","")&amp;IF(AND(N($W84)&gt;0,COUNT($I84:$L84)&gt;0),"Con subactividades: deje vacías las semanas (se calculan solas)"&amp;" · ","")&amp;IF((COUNTIF($I84:$L84,"&gt;1")+COUNTIF($I84:$L84,"&lt;0")+COUNTA($I84:$L84)-COUNT($I84:$L84))&gt;0,"Avance fuera de rango 0-100%"&amp;" · ","")&amp;IF(OR(AND($J84&lt;&gt;"",$J84&lt;$I84),AND($K84&lt;&gt;"",$K84&lt;MAX($I84:$J84)),AND($L84&lt;&gt;"",$L84&lt;MAX($I84:$K84))),"Avance semanal decreciente"&amp;" · ","")&amp;IF(AND(ISNUMBER($AN84),$AN84&lt;FechaRef,IF($V84="Sub",N($X84),N($M84))&lt;1),"Vencida"&amp;" · ","")&amp;IF(AND(ObsObligatoria="Sí",ISNUMBER($AN84),$AN84&lt;FechaRef,IF($V84="Sub",N($X84),N($M84))&lt;1,$Q84=""),"Vencida sin observación"&amp;" · ",""),LEN(IF($C84="","Falta el nombre de la actividad"&amp;" · ","")&amp;IF(AND($V84="Sub",N($U84)=0),"Subactividad sin macroactividad arriba"&amp;" · ","")&amp;IF($AM84="","Sin fecha de inicio"&amp;" · ","")&amp;IF($AN84="","Sin fecha límite"&amp;" · ","")&amp;IF(AND(LEFT($C84,11)="[Jefatura] ",N($AL84)=0),"No se encuentra en la hoja de la jefatura (elíjala de nuevo en la lista)"&amp;" · ","")&amp;IF(OR(AND($E84&lt;&gt;"",NOT(ISNUMBER($E84))),AND($F84&lt;&gt;"",NOT(ISNUMBER($F84))),AND($G84&lt;&gt;"",NOT(ISNUMBER($G84)))),"Fecha no válida"&amp;" · ","")&amp;IF(AND(ISNUMBER($AM84),ISNUMBER($AN84),$AM84&gt;$AN84),"Inicio posterior a fecha límite"&amp;" · ","")&amp;IF(AND($V84="Macro",$H84&lt;&gt;"",OR(NOT(ISNUMBER($H84)),$H84&lt;0,$H84&gt;1)),"Peso fuera de rango"&amp;" · ","")&amp;IF(AND($V84="Sub",$H84&lt;&gt;""),"Las subactividades no llevan peso (valen igual dentro de su macroactividad)"&amp;" · ","")&amp;IF(AND(N($W84)&gt;0,COUNT($I84:$L84)&gt;0),"Con subactividades: deje vacías las semanas (se calculan solas)"&amp;" · ","")&amp;IF((COUNTIF($I84:$L84,"&gt;1")+COUNTIF($I84:$L84,"&lt;0")+COUNTA($I84:$L84)-COUNT($I84:$L84))&gt;0,"Avance fuera de rango 0-100%"&amp;" · ","")&amp;IF(OR(AND($J84&lt;&gt;"",$J84&lt;$I84),AND($K84&lt;&gt;"",$K84&lt;MAX($I84:$J84)),AND($L84&lt;&gt;"",$L84&lt;MAX($I84:$K84))),"Avance semanal decreciente"&amp;" · ","")&amp;IF(AND(ISNUMBER($AN84),$AN84&lt;FechaRef,IF($V84="Sub",N($X84),N($M84))&lt;1),"Vencida"&amp;" · ","")&amp;IF(AND(ObsObligatoria="Sí",ISNUMBER($AN84),$AN84&lt;FechaRef,IF($V84="Sub",N($X84),N($M84))&lt;1,$Q84=""),"Vencida sin observación"&amp;" · ",""))-3)))</f>
        <v/>
      </c>
      <c r="S84" s="64">
        <f>IF(NOT((COUNTA($B84:$D84)+COUNTA($G84:$L84)+COUNTA($Q84))&gt;0),"",IF(AND($V84="Sub",N($U84)&gt;0),IF(ISNUMBER(INDEX($AM$5:$AM$1000,$U84-4)),DATE(YEAR(INDEX($AM$5:$AM$1000,$U84-4)),MONTH(INDEX($AM$5:$AM$1000,$U84-4)),1),IF(ISNUMBER(INDEX($AN$5:$AN$1000,$U84-4)),DATE(YEAR(INDEX($AN$5:$AN$1000,$U84-4)),MONTH(INDEX($AN$5:$AN$1000,$U84-4)),1),MesCiclo)),IF(ISNUMBER($AM84),DATE(YEAR($AM84),MONTH($AM84),1),IF(ISNUMBER($AN84),DATE(YEAR($AN84),MONTH($AN84),1),MesCiclo))))</f>
        <v/>
      </c>
      <c r="T84" s="62">
        <f>IF(OR($S84="",$S84&lt;&gt;MesCiclo,$V84&lt;&gt;"Macro"),"",COUNTIFS($S$5:$S84,MesCiclo,$V$5:$V84,"Macro"))</f>
        <v/>
      </c>
      <c r="U84" s="62">
        <f>IF($V84="","",IF($V84="Macro",ROW(),IFERROR(LOOKUP(2,1/($V$5:$V84="Macro"),ROW($V$5:$V84)),0)))</f>
        <v/>
      </c>
      <c r="V84" s="62">
        <f>IF(NOT((COUNTA($B84:$D84)+COUNTA($G84:$L84)+COUNTA($Q84))&gt;0),"",IF($B84="Subactividad","Sub","Macro"))</f>
        <v/>
      </c>
      <c r="W84" s="62">
        <f>IF($V84="Macro",COUNTIFS($U$5:$U$1000,ROW(),$V$5:$V$1000,"Sub"),"")</f>
        <v/>
      </c>
      <c r="X84" s="62">
        <f>IF($V84="","",IF(ISNUMBER($G84),1,IFERROR(LOOKUP(2,1/($I84:$L84&lt;&gt;""),$I84:$L84),0)))</f>
        <v/>
      </c>
      <c r="Y84" s="62">
        <f>IF($V84="","",IF(AND(ISNUMBER($G84),$G84&lt;=IF($S84=MesCiclo,InicioCiclo,$S84+MOD(2-WEEKDAY($S84),7))+6),1,IF(ISNUMBER($I84),$I84,0)))</f>
        <v/>
      </c>
      <c r="Z84" s="62">
        <f>IF($V84="","",IF(AND(ISNUMBER($G84),$G84&lt;=IF($S84=MesCiclo,InicioCiclo,$S84+MOD(2-WEEKDAY($S84),7))+13),1,IF(ISNUMBER($J84),$J84,$Y84)))</f>
        <v/>
      </c>
      <c r="AA84" s="62">
        <f>IF($V84="","",IF(AND(ISNUMBER($G84),$G84&lt;=IF($S84=MesCiclo,InicioCiclo,$S84+MOD(2-WEEKDAY($S84),7))+20),1,IF(ISNUMBER($K84),$K84,$Z84)))</f>
        <v/>
      </c>
      <c r="AB84" s="62">
        <f>IF($V84="","",IF(AND(ISNUMBER($G84),$G84&lt;=IF($S84=MesCiclo,InicioCiclo,$S84+MOD(2-WEEKDAY($S84),7))+27),1,IF(ISNUMBER($L84),$L84,$AA84)))</f>
        <v/>
      </c>
      <c r="AC84" s="62">
        <f>IF($V84="","",IF(AND(ISNUMBER($G84),$G84&lt;=IF($S84=MesCiclo,InicioCiclo,$S84+MOD(2-WEEKDAY($S84),7))+6),1,IF(N($W84)&gt;0,AVERAGEIFS($Y$5:$Y$1000,$U$5:$U$1000,ROW(),$V$5:$V$1000,"Sub"),$Y84)))</f>
        <v/>
      </c>
      <c r="AD84" s="62">
        <f>IF($V84="","",IF(AND(ISNUMBER($G84),$G84&lt;=IF($S84=MesCiclo,InicioCiclo,$S84+MOD(2-WEEKDAY($S84),7))+13),1,IF(N($W84)&gt;0,AVERAGEIFS($Z$5:$Z$1000,$U$5:$U$1000,ROW(),$V$5:$V$1000,"Sub"),$Z84)))</f>
        <v/>
      </c>
      <c r="AE84" s="62">
        <f>IF($V84="","",IF(AND(ISNUMBER($G84),$G84&lt;=IF($S84=MesCiclo,InicioCiclo,$S84+MOD(2-WEEKDAY($S84),7))+20),1,IF(N($W84)&gt;0,AVERAGEIFS($AA$5:$AA$1000,$U$5:$U$1000,ROW(),$V$5:$V$1000,"Sub"),$AA84)))</f>
        <v/>
      </c>
      <c r="AF84" s="62">
        <f>IF($V84="","",IF(AND(ISNUMBER($G84),$G84&lt;=IF($S84=MesCiclo,InicioCiclo,$S84+MOD(2-WEEKDAY($S84),7))+27),1,IF(N($W84)&gt;0,AVERAGEIFS($AB$5:$AB$1000,$U$5:$U$1000,ROW(),$V$5:$V$1000,"Sub"),$AB84)))</f>
        <v/>
      </c>
      <c r="AG84" s="62">
        <f>IF($V84&lt;&gt;"Macro","",IF(COUNTIFS($S$5:$S$1000,$S84,$V$5:$V$1000,"Macro",$H$5:$H$1000,"&gt;0")=0,1/COUNTIFS($S$5:$S$1000,$S84,$V$5:$V$1000,"Macro"),IF(AND(ISNUMBER($H84),N($H84)&gt;0),$H84,SUMIFS($H$5:$H$1000,$S$5:$S$1000,$S84,$V$5:$V$1000,"Macro")/COUNTIFS($S$5:$S$1000,$S84,$V$5:$V$1000,"Macro",$H$5:$H$1000,"&gt;0"))/(COUNTIFS($S$5:$S$1000,$S84,$V$5:$V$1000,"Macro")*SUMIFS($H$5:$H$1000,$S$5:$S$1000,$S84,$V$5:$V$1000,"Macro")/COUNTIFS($S$5:$S$1000,$S84,$V$5:$V$1000,"Macro",$H$5:$H$1000,"&gt;0"))))</f>
        <v/>
      </c>
      <c r="AH84" s="62" t="n"/>
      <c r="AI84" s="62" t="n"/>
      <c r="AJ84" s="62" t="n"/>
      <c r="AK84" s="62" t="n"/>
      <c r="AL84" s="62">
        <f>IF(LEFT($C84,11)="[Jefatura] ",IFERROR(MATCH("Asistente Técnico de Riesgo|"&amp;MID($C84,12,500),rDname_ADM,0),0),"")</f>
        <v/>
      </c>
      <c r="AM84" s="62">
        <f>IF(N($AL84)&gt;0,INDEX(rIni_ADM,$AL84),IF(ISNUMBER($E84),$E84,""))</f>
        <v/>
      </c>
      <c r="AN84" s="62">
        <f>IF(N($AL84)&gt;0,INDEX(rLim_ADM,$AL84),IF(ISNUMBER($F84),$F84,""))</f>
        <v/>
      </c>
    </row>
    <row r="85">
      <c r="A85" s="56">
        <f>IF(NOT((COUNTA($B85:$D85)+COUNTA($G85:$L85)+COUNTA($Q85))&gt;0),"",IF($V85="Macro",COUNTIFS($V$5:$V85,"Macro",$S$5:$S85,$S85),IF(N($U85)=0,"?",COUNTIFS(INDEX($V$5:$V$1000,1):INDEX($V$5:$V$1000,$U85-4),"Macro",INDEX($S$5:$S$1000,1):INDEX($S$5:$S$1000,$U85-4),INDEX($S$5:$S$1000,$U85-4))&amp;"."&amp;COUNTIFS($U$5:$U85,$U85,$V$5:$V85,"Sub"))))</f>
        <v/>
      </c>
      <c r="B85" s="57" t="n"/>
      <c r="C85" s="58" t="n"/>
      <c r="D85" s="58" t="n"/>
      <c r="E85" s="59">
        <f>IF(N($AL85)&gt;0,INDEX(rIni_ADM,$AL85),"")</f>
        <v/>
      </c>
      <c r="F85" s="59">
        <f>IF(N($AL85)&gt;0,INDEX(rLim_ADM,$AL85),"")</f>
        <v/>
      </c>
      <c r="G85" s="59" t="n"/>
      <c r="H85" s="60" t="n"/>
      <c r="I85" s="60" t="n"/>
      <c r="J85" s="60" t="n"/>
      <c r="K85" s="60" t="n"/>
      <c r="L85" s="60" t="n"/>
      <c r="M85" s="61">
        <f>IF(NOT((COUNTA($B85:$D85)+COUNTA($G85:$L85)+COUNTA($Q85))&gt;0),"",IF($V85="Sub",IFERROR($X85/INDEX($W$5:$W$1000,$U85-4),""),IF(ISNUMBER($G85),1,IF(N($W85)&gt;0,AVERAGEIFS($X$5:$X$1000,$U$5:$U$1000,ROW(),$V$5:$V$1000,"Sub"),$X85))))</f>
        <v/>
      </c>
      <c r="N85" s="56">
        <f>IF(OR($M85="",$V85="Sub"),"",IF($M85&gt;=1,"Completado",IF($M85&gt;0,"En curso","Pendiente")))</f>
        <v/>
      </c>
      <c r="O85" s="56">
        <f>IF(OR(NOT((COUNTA($B85:$D85)+COUNTA($G85:$L85)+COUNTA($Q85))&gt;0),$V85="Sub"),"",IF(ISNUMBER($G85),IF(AND(ISNUMBER($AN85),$G85&gt;$AN85),"Cumplida con "&amp;($G85-$AN85)&amp;IF($G85-$AN85=1," día"," días")&amp;" de retraso","Cumplida"),IF(N($M85)&gt;=1,"Cumplida",IF(NOT(ISNUMBER($AN85)),"Sin fecha límite",IF($AN85&lt;FechaRef,"Vencida hace "&amp;(FechaRef-$AN85)&amp;IF(FechaRef-$AN85=1," día"," días"),IF($AN85=FechaRef,"Vence hoy",IF($AN85-FechaRef&lt;=DiasAlerta,"Vence en "&amp;($AN85-FechaRef)&amp;IF($AN85-FechaRef=1," día"," días"),"En plazo")))))))</f>
        <v/>
      </c>
      <c r="P85" s="62" t="n"/>
      <c r="Q85" s="58" t="n"/>
      <c r="R85" s="63">
        <f>IF(NOT((COUNTA($B85:$D85)+COUNTA($G85:$L85)+COUNTA($Q85))&gt;0),"",IF((IF($C85="","Falta el nombre de la actividad"&amp;" · ","")&amp;IF(AND($V85="Sub",N($U85)=0),"Subactividad sin macroactividad arriba"&amp;" · ","")&amp;IF($AM85="","Sin fecha de inicio"&amp;" · ","")&amp;IF($AN85="","Sin fecha límite"&amp;" · ","")&amp;IF(AND(LEFT($C85,11)="[Jefatura] ",N($AL85)=0),"No se encuentra en la hoja de la jefatura (elíjala de nuevo en la lista)"&amp;" · ","")&amp;IF(OR(AND($E85&lt;&gt;"",NOT(ISNUMBER($E85))),AND($F85&lt;&gt;"",NOT(ISNUMBER($F85))),AND($G85&lt;&gt;"",NOT(ISNUMBER($G85)))),"Fecha no válida"&amp;" · ","")&amp;IF(AND(ISNUMBER($AM85),ISNUMBER($AN85),$AM85&gt;$AN85),"Inicio posterior a fecha límite"&amp;" · ","")&amp;IF(AND($V85="Macro",$H85&lt;&gt;"",OR(NOT(ISNUMBER($H85)),$H85&lt;0,$H85&gt;1)),"Peso fuera de rango"&amp;" · ","")&amp;IF(AND($V85="Sub",$H85&lt;&gt;""),"Las subactividades no llevan peso (valen igual dentro de su macroactividad)"&amp;" · ","")&amp;IF(AND(N($W85)&gt;0,COUNT($I85:$L85)&gt;0),"Con subactividades: deje vacías las semanas (se calculan solas)"&amp;" · ","")&amp;IF((COUNTIF($I85:$L85,"&gt;1")+COUNTIF($I85:$L85,"&lt;0")+COUNTA($I85:$L85)-COUNT($I85:$L85))&gt;0,"Avance fuera de rango 0-100%"&amp;" · ","")&amp;IF(OR(AND($J85&lt;&gt;"",$J85&lt;$I85),AND($K85&lt;&gt;"",$K85&lt;MAX($I85:$J85)),AND($L85&lt;&gt;"",$L85&lt;MAX($I85:$K85))),"Avance semanal decreciente"&amp;" · ","")&amp;IF(AND(ISNUMBER($AN85),$AN85&lt;FechaRef,IF($V85="Sub",N($X85),N($M85))&lt;1),"Vencida"&amp;" · ","")&amp;IF(AND(ObsObligatoria="Sí",ISNUMBER($AN85),$AN85&lt;FechaRef,IF($V85="Sub",N($X85),N($M85))&lt;1,$Q85=""),"Vencida sin observación"&amp;" · ",""))="","✔ OK","⚠ "&amp;LEFT(IF($C85="","Falta el nombre de la actividad"&amp;" · ","")&amp;IF(AND($V85="Sub",N($U85)=0),"Subactividad sin macroactividad arriba"&amp;" · ","")&amp;IF($AM85="","Sin fecha de inicio"&amp;" · ","")&amp;IF($AN85="","Sin fecha límite"&amp;" · ","")&amp;IF(AND(LEFT($C85,11)="[Jefatura] ",N($AL85)=0),"No se encuentra en la hoja de la jefatura (elíjala de nuevo en la lista)"&amp;" · ","")&amp;IF(OR(AND($E85&lt;&gt;"",NOT(ISNUMBER($E85))),AND($F85&lt;&gt;"",NOT(ISNUMBER($F85))),AND($G85&lt;&gt;"",NOT(ISNUMBER($G85)))),"Fecha no válida"&amp;" · ","")&amp;IF(AND(ISNUMBER($AM85),ISNUMBER($AN85),$AM85&gt;$AN85),"Inicio posterior a fecha límite"&amp;" · ","")&amp;IF(AND($V85="Macro",$H85&lt;&gt;"",OR(NOT(ISNUMBER($H85)),$H85&lt;0,$H85&gt;1)),"Peso fuera de rango"&amp;" · ","")&amp;IF(AND($V85="Sub",$H85&lt;&gt;""),"Las subactividades no llevan peso (valen igual dentro de su macroactividad)"&amp;" · ","")&amp;IF(AND(N($W85)&gt;0,COUNT($I85:$L85)&gt;0),"Con subactividades: deje vacías las semanas (se calculan solas)"&amp;" · ","")&amp;IF((COUNTIF($I85:$L85,"&gt;1")+COUNTIF($I85:$L85,"&lt;0")+COUNTA($I85:$L85)-COUNT($I85:$L85))&gt;0,"Avance fuera de rango 0-100%"&amp;" · ","")&amp;IF(OR(AND($J85&lt;&gt;"",$J85&lt;$I85),AND($K85&lt;&gt;"",$K85&lt;MAX($I85:$J85)),AND($L85&lt;&gt;"",$L85&lt;MAX($I85:$K85))),"Avance semanal decreciente"&amp;" · ","")&amp;IF(AND(ISNUMBER($AN85),$AN85&lt;FechaRef,IF($V85="Sub",N($X85),N($M85))&lt;1),"Vencida"&amp;" · ","")&amp;IF(AND(ObsObligatoria="Sí",ISNUMBER($AN85),$AN85&lt;FechaRef,IF($V85="Sub",N($X85),N($M85))&lt;1,$Q85=""),"Vencida sin observación"&amp;" · ",""),LEN(IF($C85="","Falta el nombre de la actividad"&amp;" · ","")&amp;IF(AND($V85="Sub",N($U85)=0),"Subactividad sin macroactividad arriba"&amp;" · ","")&amp;IF($AM85="","Sin fecha de inicio"&amp;" · ","")&amp;IF($AN85="","Sin fecha límite"&amp;" · ","")&amp;IF(AND(LEFT($C85,11)="[Jefatura] ",N($AL85)=0),"No se encuentra en la hoja de la jefatura (elíjala de nuevo en la lista)"&amp;" · ","")&amp;IF(OR(AND($E85&lt;&gt;"",NOT(ISNUMBER($E85))),AND($F85&lt;&gt;"",NOT(ISNUMBER($F85))),AND($G85&lt;&gt;"",NOT(ISNUMBER($G85)))),"Fecha no válida"&amp;" · ","")&amp;IF(AND(ISNUMBER($AM85),ISNUMBER($AN85),$AM85&gt;$AN85),"Inicio posterior a fecha límite"&amp;" · ","")&amp;IF(AND($V85="Macro",$H85&lt;&gt;"",OR(NOT(ISNUMBER($H85)),$H85&lt;0,$H85&gt;1)),"Peso fuera de rango"&amp;" · ","")&amp;IF(AND($V85="Sub",$H85&lt;&gt;""),"Las subactividades no llevan peso (valen igual dentro de su macroactividad)"&amp;" · ","")&amp;IF(AND(N($W85)&gt;0,COUNT($I85:$L85)&gt;0),"Con subactividades: deje vacías las semanas (se calculan solas)"&amp;" · ","")&amp;IF((COUNTIF($I85:$L85,"&gt;1")+COUNTIF($I85:$L85,"&lt;0")+COUNTA($I85:$L85)-COUNT($I85:$L85))&gt;0,"Avance fuera de rango 0-100%"&amp;" · ","")&amp;IF(OR(AND($J85&lt;&gt;"",$J85&lt;$I85),AND($K85&lt;&gt;"",$K85&lt;MAX($I85:$J85)),AND($L85&lt;&gt;"",$L85&lt;MAX($I85:$K85))),"Avance semanal decreciente"&amp;" · ","")&amp;IF(AND(ISNUMBER($AN85),$AN85&lt;FechaRef,IF($V85="Sub",N($X85),N($M85))&lt;1),"Vencida"&amp;" · ","")&amp;IF(AND(ObsObligatoria="Sí",ISNUMBER($AN85),$AN85&lt;FechaRef,IF($V85="Sub",N($X85),N($M85))&lt;1,$Q85=""),"Vencida sin observación"&amp;" · ",""))-3)))</f>
        <v/>
      </c>
      <c r="S85" s="64">
        <f>IF(NOT((COUNTA($B85:$D85)+COUNTA($G85:$L85)+COUNTA($Q85))&gt;0),"",IF(AND($V85="Sub",N($U85)&gt;0),IF(ISNUMBER(INDEX($AM$5:$AM$1000,$U85-4)),DATE(YEAR(INDEX($AM$5:$AM$1000,$U85-4)),MONTH(INDEX($AM$5:$AM$1000,$U85-4)),1),IF(ISNUMBER(INDEX($AN$5:$AN$1000,$U85-4)),DATE(YEAR(INDEX($AN$5:$AN$1000,$U85-4)),MONTH(INDEX($AN$5:$AN$1000,$U85-4)),1),MesCiclo)),IF(ISNUMBER($AM85),DATE(YEAR($AM85),MONTH($AM85),1),IF(ISNUMBER($AN85),DATE(YEAR($AN85),MONTH($AN85),1),MesCiclo))))</f>
        <v/>
      </c>
      <c r="T85" s="62">
        <f>IF(OR($S85="",$S85&lt;&gt;MesCiclo,$V85&lt;&gt;"Macro"),"",COUNTIFS($S$5:$S85,MesCiclo,$V$5:$V85,"Macro"))</f>
        <v/>
      </c>
      <c r="U85" s="62">
        <f>IF($V85="","",IF($V85="Macro",ROW(),IFERROR(LOOKUP(2,1/($V$5:$V85="Macro"),ROW($V$5:$V85)),0)))</f>
        <v/>
      </c>
      <c r="V85" s="62">
        <f>IF(NOT((COUNTA($B85:$D85)+COUNTA($G85:$L85)+COUNTA($Q85))&gt;0),"",IF($B85="Subactividad","Sub","Macro"))</f>
        <v/>
      </c>
      <c r="W85" s="62">
        <f>IF($V85="Macro",COUNTIFS($U$5:$U$1000,ROW(),$V$5:$V$1000,"Sub"),"")</f>
        <v/>
      </c>
      <c r="X85" s="62">
        <f>IF($V85="","",IF(ISNUMBER($G85),1,IFERROR(LOOKUP(2,1/($I85:$L85&lt;&gt;""),$I85:$L85),0)))</f>
        <v/>
      </c>
      <c r="Y85" s="62">
        <f>IF($V85="","",IF(AND(ISNUMBER($G85),$G85&lt;=IF($S85=MesCiclo,InicioCiclo,$S85+MOD(2-WEEKDAY($S85),7))+6),1,IF(ISNUMBER($I85),$I85,0)))</f>
        <v/>
      </c>
      <c r="Z85" s="62">
        <f>IF($V85="","",IF(AND(ISNUMBER($G85),$G85&lt;=IF($S85=MesCiclo,InicioCiclo,$S85+MOD(2-WEEKDAY($S85),7))+13),1,IF(ISNUMBER($J85),$J85,$Y85)))</f>
        <v/>
      </c>
      <c r="AA85" s="62">
        <f>IF($V85="","",IF(AND(ISNUMBER($G85),$G85&lt;=IF($S85=MesCiclo,InicioCiclo,$S85+MOD(2-WEEKDAY($S85),7))+20),1,IF(ISNUMBER($K85),$K85,$Z85)))</f>
        <v/>
      </c>
      <c r="AB85" s="62">
        <f>IF($V85="","",IF(AND(ISNUMBER($G85),$G85&lt;=IF($S85=MesCiclo,InicioCiclo,$S85+MOD(2-WEEKDAY($S85),7))+27),1,IF(ISNUMBER($L85),$L85,$AA85)))</f>
        <v/>
      </c>
      <c r="AC85" s="62">
        <f>IF($V85="","",IF(AND(ISNUMBER($G85),$G85&lt;=IF($S85=MesCiclo,InicioCiclo,$S85+MOD(2-WEEKDAY($S85),7))+6),1,IF(N($W85)&gt;0,AVERAGEIFS($Y$5:$Y$1000,$U$5:$U$1000,ROW(),$V$5:$V$1000,"Sub"),$Y85)))</f>
        <v/>
      </c>
      <c r="AD85" s="62">
        <f>IF($V85="","",IF(AND(ISNUMBER($G85),$G85&lt;=IF($S85=MesCiclo,InicioCiclo,$S85+MOD(2-WEEKDAY($S85),7))+13),1,IF(N($W85)&gt;0,AVERAGEIFS($Z$5:$Z$1000,$U$5:$U$1000,ROW(),$V$5:$V$1000,"Sub"),$Z85)))</f>
        <v/>
      </c>
      <c r="AE85" s="62">
        <f>IF($V85="","",IF(AND(ISNUMBER($G85),$G85&lt;=IF($S85=MesCiclo,InicioCiclo,$S85+MOD(2-WEEKDAY($S85),7))+20),1,IF(N($W85)&gt;0,AVERAGEIFS($AA$5:$AA$1000,$U$5:$U$1000,ROW(),$V$5:$V$1000,"Sub"),$AA85)))</f>
        <v/>
      </c>
      <c r="AF85" s="62">
        <f>IF($V85="","",IF(AND(ISNUMBER($G85),$G85&lt;=IF($S85=MesCiclo,InicioCiclo,$S85+MOD(2-WEEKDAY($S85),7))+27),1,IF(N($W85)&gt;0,AVERAGEIFS($AB$5:$AB$1000,$U$5:$U$1000,ROW(),$V$5:$V$1000,"Sub"),$AB85)))</f>
        <v/>
      </c>
      <c r="AG85" s="62">
        <f>IF($V85&lt;&gt;"Macro","",IF(COUNTIFS($S$5:$S$1000,$S85,$V$5:$V$1000,"Macro",$H$5:$H$1000,"&gt;0")=0,1/COUNTIFS($S$5:$S$1000,$S85,$V$5:$V$1000,"Macro"),IF(AND(ISNUMBER($H85),N($H85)&gt;0),$H85,SUMIFS($H$5:$H$1000,$S$5:$S$1000,$S85,$V$5:$V$1000,"Macro")/COUNTIFS($S$5:$S$1000,$S85,$V$5:$V$1000,"Macro",$H$5:$H$1000,"&gt;0"))/(COUNTIFS($S$5:$S$1000,$S85,$V$5:$V$1000,"Macro")*SUMIFS($H$5:$H$1000,$S$5:$S$1000,$S85,$V$5:$V$1000,"Macro")/COUNTIFS($S$5:$S$1000,$S85,$V$5:$V$1000,"Macro",$H$5:$H$1000,"&gt;0"))))</f>
        <v/>
      </c>
      <c r="AH85" s="62" t="n"/>
      <c r="AI85" s="62" t="n"/>
      <c r="AJ85" s="62" t="n"/>
      <c r="AK85" s="62" t="n"/>
      <c r="AL85" s="62">
        <f>IF(LEFT($C85,11)="[Jefatura] ",IFERROR(MATCH("Asistente Técnico de Riesgo|"&amp;MID($C85,12,500),rDname_ADM,0),0),"")</f>
        <v/>
      </c>
      <c r="AM85" s="62">
        <f>IF(N($AL85)&gt;0,INDEX(rIni_ADM,$AL85),IF(ISNUMBER($E85),$E85,""))</f>
        <v/>
      </c>
      <c r="AN85" s="62">
        <f>IF(N($AL85)&gt;0,INDEX(rLim_ADM,$AL85),IF(ISNUMBER($F85),$F85,""))</f>
        <v/>
      </c>
    </row>
    <row r="86">
      <c r="A86" s="56">
        <f>IF(NOT((COUNTA($B86:$D86)+COUNTA($G86:$L86)+COUNTA($Q86))&gt;0),"",IF($V86="Macro",COUNTIFS($V$5:$V86,"Macro",$S$5:$S86,$S86),IF(N($U86)=0,"?",COUNTIFS(INDEX($V$5:$V$1000,1):INDEX($V$5:$V$1000,$U86-4),"Macro",INDEX($S$5:$S$1000,1):INDEX($S$5:$S$1000,$U86-4),INDEX($S$5:$S$1000,$U86-4))&amp;"."&amp;COUNTIFS($U$5:$U86,$U86,$V$5:$V86,"Sub"))))</f>
        <v/>
      </c>
      <c r="B86" s="57" t="n"/>
      <c r="C86" s="58" t="n"/>
      <c r="D86" s="58" t="n"/>
      <c r="E86" s="59">
        <f>IF(N($AL86)&gt;0,INDEX(rIni_ADM,$AL86),"")</f>
        <v/>
      </c>
      <c r="F86" s="59">
        <f>IF(N($AL86)&gt;0,INDEX(rLim_ADM,$AL86),"")</f>
        <v/>
      </c>
      <c r="G86" s="59" t="n"/>
      <c r="H86" s="60" t="n"/>
      <c r="I86" s="60" t="n"/>
      <c r="J86" s="60" t="n"/>
      <c r="K86" s="60" t="n"/>
      <c r="L86" s="60" t="n"/>
      <c r="M86" s="61">
        <f>IF(NOT((COUNTA($B86:$D86)+COUNTA($G86:$L86)+COUNTA($Q86))&gt;0),"",IF($V86="Sub",IFERROR($X86/INDEX($W$5:$W$1000,$U86-4),""),IF(ISNUMBER($G86),1,IF(N($W86)&gt;0,AVERAGEIFS($X$5:$X$1000,$U$5:$U$1000,ROW(),$V$5:$V$1000,"Sub"),$X86))))</f>
        <v/>
      </c>
      <c r="N86" s="56">
        <f>IF(OR($M86="",$V86="Sub"),"",IF($M86&gt;=1,"Completado",IF($M86&gt;0,"En curso","Pendiente")))</f>
        <v/>
      </c>
      <c r="O86" s="56">
        <f>IF(OR(NOT((COUNTA($B86:$D86)+COUNTA($G86:$L86)+COUNTA($Q86))&gt;0),$V86="Sub"),"",IF(ISNUMBER($G86),IF(AND(ISNUMBER($AN86),$G86&gt;$AN86),"Cumplida con "&amp;($G86-$AN86)&amp;IF($G86-$AN86=1," día"," días")&amp;" de retraso","Cumplida"),IF(N($M86)&gt;=1,"Cumplida",IF(NOT(ISNUMBER($AN86)),"Sin fecha límite",IF($AN86&lt;FechaRef,"Vencida hace "&amp;(FechaRef-$AN86)&amp;IF(FechaRef-$AN86=1," día"," días"),IF($AN86=FechaRef,"Vence hoy",IF($AN86-FechaRef&lt;=DiasAlerta,"Vence en "&amp;($AN86-FechaRef)&amp;IF($AN86-FechaRef=1," día"," días"),"En plazo")))))))</f>
        <v/>
      </c>
      <c r="P86" s="62" t="n"/>
      <c r="Q86" s="58" t="n"/>
      <c r="R86" s="63">
        <f>IF(NOT((COUNTA($B86:$D86)+COUNTA($G86:$L86)+COUNTA($Q86))&gt;0),"",IF((IF($C86="","Falta el nombre de la actividad"&amp;" · ","")&amp;IF(AND($V86="Sub",N($U86)=0),"Subactividad sin macroactividad arriba"&amp;" · ","")&amp;IF($AM86="","Sin fecha de inicio"&amp;" · ","")&amp;IF($AN86="","Sin fecha límite"&amp;" · ","")&amp;IF(AND(LEFT($C86,11)="[Jefatura] ",N($AL86)=0),"No se encuentra en la hoja de la jefatura (elíjala de nuevo en la lista)"&amp;" · ","")&amp;IF(OR(AND($E86&lt;&gt;"",NOT(ISNUMBER($E86))),AND($F86&lt;&gt;"",NOT(ISNUMBER($F86))),AND($G86&lt;&gt;"",NOT(ISNUMBER($G86)))),"Fecha no válida"&amp;" · ","")&amp;IF(AND(ISNUMBER($AM86),ISNUMBER($AN86),$AM86&gt;$AN86),"Inicio posterior a fecha límite"&amp;" · ","")&amp;IF(AND($V86="Macro",$H86&lt;&gt;"",OR(NOT(ISNUMBER($H86)),$H86&lt;0,$H86&gt;1)),"Peso fuera de rango"&amp;" · ","")&amp;IF(AND($V86="Sub",$H86&lt;&gt;""),"Las subactividades no llevan peso (valen igual dentro de su macroactividad)"&amp;" · ","")&amp;IF(AND(N($W86)&gt;0,COUNT($I86:$L86)&gt;0),"Con subactividades: deje vacías las semanas (se calculan solas)"&amp;" · ","")&amp;IF((COUNTIF($I86:$L86,"&gt;1")+COUNTIF($I86:$L86,"&lt;0")+COUNTA($I86:$L86)-COUNT($I86:$L86))&gt;0,"Avance fuera de rango 0-100%"&amp;" · ","")&amp;IF(OR(AND($J86&lt;&gt;"",$J86&lt;$I86),AND($K86&lt;&gt;"",$K86&lt;MAX($I86:$J86)),AND($L86&lt;&gt;"",$L86&lt;MAX($I86:$K86))),"Avance semanal decreciente"&amp;" · ","")&amp;IF(AND(ISNUMBER($AN86),$AN86&lt;FechaRef,IF($V86="Sub",N($X86),N($M86))&lt;1),"Vencida"&amp;" · ","")&amp;IF(AND(ObsObligatoria="Sí",ISNUMBER($AN86),$AN86&lt;FechaRef,IF($V86="Sub",N($X86),N($M86))&lt;1,$Q86=""),"Vencida sin observación"&amp;" · ",""))="","✔ OK","⚠ "&amp;LEFT(IF($C86="","Falta el nombre de la actividad"&amp;" · ","")&amp;IF(AND($V86="Sub",N($U86)=0),"Subactividad sin macroactividad arriba"&amp;" · ","")&amp;IF($AM86="","Sin fecha de inicio"&amp;" · ","")&amp;IF($AN86="","Sin fecha límite"&amp;" · ","")&amp;IF(AND(LEFT($C86,11)="[Jefatura] ",N($AL86)=0),"No se encuentra en la hoja de la jefatura (elíjala de nuevo en la lista)"&amp;" · ","")&amp;IF(OR(AND($E86&lt;&gt;"",NOT(ISNUMBER($E86))),AND($F86&lt;&gt;"",NOT(ISNUMBER($F86))),AND($G86&lt;&gt;"",NOT(ISNUMBER($G86)))),"Fecha no válida"&amp;" · ","")&amp;IF(AND(ISNUMBER($AM86),ISNUMBER($AN86),$AM86&gt;$AN86),"Inicio posterior a fecha límite"&amp;" · ","")&amp;IF(AND($V86="Macro",$H86&lt;&gt;"",OR(NOT(ISNUMBER($H86)),$H86&lt;0,$H86&gt;1)),"Peso fuera de rango"&amp;" · ","")&amp;IF(AND($V86="Sub",$H86&lt;&gt;""),"Las subactividades no llevan peso (valen igual dentro de su macroactividad)"&amp;" · ","")&amp;IF(AND(N($W86)&gt;0,COUNT($I86:$L86)&gt;0),"Con subactividades: deje vacías las semanas (se calculan solas)"&amp;" · ","")&amp;IF((COUNTIF($I86:$L86,"&gt;1")+COUNTIF($I86:$L86,"&lt;0")+COUNTA($I86:$L86)-COUNT($I86:$L86))&gt;0,"Avance fuera de rango 0-100%"&amp;" · ","")&amp;IF(OR(AND($J86&lt;&gt;"",$J86&lt;$I86),AND($K86&lt;&gt;"",$K86&lt;MAX($I86:$J86)),AND($L86&lt;&gt;"",$L86&lt;MAX($I86:$K86))),"Avance semanal decreciente"&amp;" · ","")&amp;IF(AND(ISNUMBER($AN86),$AN86&lt;FechaRef,IF($V86="Sub",N($X86),N($M86))&lt;1),"Vencida"&amp;" · ","")&amp;IF(AND(ObsObligatoria="Sí",ISNUMBER($AN86),$AN86&lt;FechaRef,IF($V86="Sub",N($X86),N($M86))&lt;1,$Q86=""),"Vencida sin observación"&amp;" · ",""),LEN(IF($C86="","Falta el nombre de la actividad"&amp;" · ","")&amp;IF(AND($V86="Sub",N($U86)=0),"Subactividad sin macroactividad arriba"&amp;" · ","")&amp;IF($AM86="","Sin fecha de inicio"&amp;" · ","")&amp;IF($AN86="","Sin fecha límite"&amp;" · ","")&amp;IF(AND(LEFT($C86,11)="[Jefatura] ",N($AL86)=0),"No se encuentra en la hoja de la jefatura (elíjala de nuevo en la lista)"&amp;" · ","")&amp;IF(OR(AND($E86&lt;&gt;"",NOT(ISNUMBER($E86))),AND($F86&lt;&gt;"",NOT(ISNUMBER($F86))),AND($G86&lt;&gt;"",NOT(ISNUMBER($G86)))),"Fecha no válida"&amp;" · ","")&amp;IF(AND(ISNUMBER($AM86),ISNUMBER($AN86),$AM86&gt;$AN86),"Inicio posterior a fecha límite"&amp;" · ","")&amp;IF(AND($V86="Macro",$H86&lt;&gt;"",OR(NOT(ISNUMBER($H86)),$H86&lt;0,$H86&gt;1)),"Peso fuera de rango"&amp;" · ","")&amp;IF(AND($V86="Sub",$H86&lt;&gt;""),"Las subactividades no llevan peso (valen igual dentro de su macroactividad)"&amp;" · ","")&amp;IF(AND(N($W86)&gt;0,COUNT($I86:$L86)&gt;0),"Con subactividades: deje vacías las semanas (se calculan solas)"&amp;" · ","")&amp;IF((COUNTIF($I86:$L86,"&gt;1")+COUNTIF($I86:$L86,"&lt;0")+COUNTA($I86:$L86)-COUNT($I86:$L86))&gt;0,"Avance fuera de rango 0-100%"&amp;" · ","")&amp;IF(OR(AND($J86&lt;&gt;"",$J86&lt;$I86),AND($K86&lt;&gt;"",$K86&lt;MAX($I86:$J86)),AND($L86&lt;&gt;"",$L86&lt;MAX($I86:$K86))),"Avance semanal decreciente"&amp;" · ","")&amp;IF(AND(ISNUMBER($AN86),$AN86&lt;FechaRef,IF($V86="Sub",N($X86),N($M86))&lt;1),"Vencida"&amp;" · ","")&amp;IF(AND(ObsObligatoria="Sí",ISNUMBER($AN86),$AN86&lt;FechaRef,IF($V86="Sub",N($X86),N($M86))&lt;1,$Q86=""),"Vencida sin observación"&amp;" · ",""))-3)))</f>
        <v/>
      </c>
      <c r="S86" s="64">
        <f>IF(NOT((COUNTA($B86:$D86)+COUNTA($G86:$L86)+COUNTA($Q86))&gt;0),"",IF(AND($V86="Sub",N($U86)&gt;0),IF(ISNUMBER(INDEX($AM$5:$AM$1000,$U86-4)),DATE(YEAR(INDEX($AM$5:$AM$1000,$U86-4)),MONTH(INDEX($AM$5:$AM$1000,$U86-4)),1),IF(ISNUMBER(INDEX($AN$5:$AN$1000,$U86-4)),DATE(YEAR(INDEX($AN$5:$AN$1000,$U86-4)),MONTH(INDEX($AN$5:$AN$1000,$U86-4)),1),MesCiclo)),IF(ISNUMBER($AM86),DATE(YEAR($AM86),MONTH($AM86),1),IF(ISNUMBER($AN86),DATE(YEAR($AN86),MONTH($AN86),1),MesCiclo))))</f>
        <v/>
      </c>
      <c r="T86" s="62">
        <f>IF(OR($S86="",$S86&lt;&gt;MesCiclo,$V86&lt;&gt;"Macro"),"",COUNTIFS($S$5:$S86,MesCiclo,$V$5:$V86,"Macro"))</f>
        <v/>
      </c>
      <c r="U86" s="62">
        <f>IF($V86="","",IF($V86="Macro",ROW(),IFERROR(LOOKUP(2,1/($V$5:$V86="Macro"),ROW($V$5:$V86)),0)))</f>
        <v/>
      </c>
      <c r="V86" s="62">
        <f>IF(NOT((COUNTA($B86:$D86)+COUNTA($G86:$L86)+COUNTA($Q86))&gt;0),"",IF($B86="Subactividad","Sub","Macro"))</f>
        <v/>
      </c>
      <c r="W86" s="62">
        <f>IF($V86="Macro",COUNTIFS($U$5:$U$1000,ROW(),$V$5:$V$1000,"Sub"),"")</f>
        <v/>
      </c>
      <c r="X86" s="62">
        <f>IF($V86="","",IF(ISNUMBER($G86),1,IFERROR(LOOKUP(2,1/($I86:$L86&lt;&gt;""),$I86:$L86),0)))</f>
        <v/>
      </c>
      <c r="Y86" s="62">
        <f>IF($V86="","",IF(AND(ISNUMBER($G86),$G86&lt;=IF($S86=MesCiclo,InicioCiclo,$S86+MOD(2-WEEKDAY($S86),7))+6),1,IF(ISNUMBER($I86),$I86,0)))</f>
        <v/>
      </c>
      <c r="Z86" s="62">
        <f>IF($V86="","",IF(AND(ISNUMBER($G86),$G86&lt;=IF($S86=MesCiclo,InicioCiclo,$S86+MOD(2-WEEKDAY($S86),7))+13),1,IF(ISNUMBER($J86),$J86,$Y86)))</f>
        <v/>
      </c>
      <c r="AA86" s="62">
        <f>IF($V86="","",IF(AND(ISNUMBER($G86),$G86&lt;=IF($S86=MesCiclo,InicioCiclo,$S86+MOD(2-WEEKDAY($S86),7))+20),1,IF(ISNUMBER($K86),$K86,$Z86)))</f>
        <v/>
      </c>
      <c r="AB86" s="62">
        <f>IF($V86="","",IF(AND(ISNUMBER($G86),$G86&lt;=IF($S86=MesCiclo,InicioCiclo,$S86+MOD(2-WEEKDAY($S86),7))+27),1,IF(ISNUMBER($L86),$L86,$AA86)))</f>
        <v/>
      </c>
      <c r="AC86" s="62">
        <f>IF($V86="","",IF(AND(ISNUMBER($G86),$G86&lt;=IF($S86=MesCiclo,InicioCiclo,$S86+MOD(2-WEEKDAY($S86),7))+6),1,IF(N($W86)&gt;0,AVERAGEIFS($Y$5:$Y$1000,$U$5:$U$1000,ROW(),$V$5:$V$1000,"Sub"),$Y86)))</f>
        <v/>
      </c>
      <c r="AD86" s="62">
        <f>IF($V86="","",IF(AND(ISNUMBER($G86),$G86&lt;=IF($S86=MesCiclo,InicioCiclo,$S86+MOD(2-WEEKDAY($S86),7))+13),1,IF(N($W86)&gt;0,AVERAGEIFS($Z$5:$Z$1000,$U$5:$U$1000,ROW(),$V$5:$V$1000,"Sub"),$Z86)))</f>
        <v/>
      </c>
      <c r="AE86" s="62">
        <f>IF($V86="","",IF(AND(ISNUMBER($G86),$G86&lt;=IF($S86=MesCiclo,InicioCiclo,$S86+MOD(2-WEEKDAY($S86),7))+20),1,IF(N($W86)&gt;0,AVERAGEIFS($AA$5:$AA$1000,$U$5:$U$1000,ROW(),$V$5:$V$1000,"Sub"),$AA86)))</f>
        <v/>
      </c>
      <c r="AF86" s="62">
        <f>IF($V86="","",IF(AND(ISNUMBER($G86),$G86&lt;=IF($S86=MesCiclo,InicioCiclo,$S86+MOD(2-WEEKDAY($S86),7))+27),1,IF(N($W86)&gt;0,AVERAGEIFS($AB$5:$AB$1000,$U$5:$U$1000,ROW(),$V$5:$V$1000,"Sub"),$AB86)))</f>
        <v/>
      </c>
      <c r="AG86" s="62">
        <f>IF($V86&lt;&gt;"Macro","",IF(COUNTIFS($S$5:$S$1000,$S86,$V$5:$V$1000,"Macro",$H$5:$H$1000,"&gt;0")=0,1/COUNTIFS($S$5:$S$1000,$S86,$V$5:$V$1000,"Macro"),IF(AND(ISNUMBER($H86),N($H86)&gt;0),$H86,SUMIFS($H$5:$H$1000,$S$5:$S$1000,$S86,$V$5:$V$1000,"Macro")/COUNTIFS($S$5:$S$1000,$S86,$V$5:$V$1000,"Macro",$H$5:$H$1000,"&gt;0"))/(COUNTIFS($S$5:$S$1000,$S86,$V$5:$V$1000,"Macro")*SUMIFS($H$5:$H$1000,$S$5:$S$1000,$S86,$V$5:$V$1000,"Macro")/COUNTIFS($S$5:$S$1000,$S86,$V$5:$V$1000,"Macro",$H$5:$H$1000,"&gt;0"))))</f>
        <v/>
      </c>
      <c r="AH86" s="62" t="n"/>
      <c r="AI86" s="62" t="n"/>
      <c r="AJ86" s="62" t="n"/>
      <c r="AK86" s="62" t="n"/>
      <c r="AL86" s="62">
        <f>IF(LEFT($C86,11)="[Jefatura] ",IFERROR(MATCH("Asistente Técnico de Riesgo|"&amp;MID($C86,12,500),rDname_ADM,0),0),"")</f>
        <v/>
      </c>
      <c r="AM86" s="62">
        <f>IF(N($AL86)&gt;0,INDEX(rIni_ADM,$AL86),IF(ISNUMBER($E86),$E86,""))</f>
        <v/>
      </c>
      <c r="AN86" s="62">
        <f>IF(N($AL86)&gt;0,INDEX(rLim_ADM,$AL86),IF(ISNUMBER($F86),$F86,""))</f>
        <v/>
      </c>
    </row>
    <row r="87">
      <c r="A87" s="56">
        <f>IF(NOT((COUNTA($B87:$D87)+COUNTA($G87:$L87)+COUNTA($Q87))&gt;0),"",IF($V87="Macro",COUNTIFS($V$5:$V87,"Macro",$S$5:$S87,$S87),IF(N($U87)=0,"?",COUNTIFS(INDEX($V$5:$V$1000,1):INDEX($V$5:$V$1000,$U87-4),"Macro",INDEX($S$5:$S$1000,1):INDEX($S$5:$S$1000,$U87-4),INDEX($S$5:$S$1000,$U87-4))&amp;"."&amp;COUNTIFS($U$5:$U87,$U87,$V$5:$V87,"Sub"))))</f>
        <v/>
      </c>
      <c r="B87" s="57" t="n"/>
      <c r="C87" s="58" t="n"/>
      <c r="D87" s="58" t="n"/>
      <c r="E87" s="59">
        <f>IF(N($AL87)&gt;0,INDEX(rIni_ADM,$AL87),"")</f>
        <v/>
      </c>
      <c r="F87" s="59">
        <f>IF(N($AL87)&gt;0,INDEX(rLim_ADM,$AL87),"")</f>
        <v/>
      </c>
      <c r="G87" s="59" t="n"/>
      <c r="H87" s="60" t="n"/>
      <c r="I87" s="60" t="n"/>
      <c r="J87" s="60" t="n"/>
      <c r="K87" s="60" t="n"/>
      <c r="L87" s="60" t="n"/>
      <c r="M87" s="61">
        <f>IF(NOT((COUNTA($B87:$D87)+COUNTA($G87:$L87)+COUNTA($Q87))&gt;0),"",IF($V87="Sub",IFERROR($X87/INDEX($W$5:$W$1000,$U87-4),""),IF(ISNUMBER($G87),1,IF(N($W87)&gt;0,AVERAGEIFS($X$5:$X$1000,$U$5:$U$1000,ROW(),$V$5:$V$1000,"Sub"),$X87))))</f>
        <v/>
      </c>
      <c r="N87" s="56">
        <f>IF(OR($M87="",$V87="Sub"),"",IF($M87&gt;=1,"Completado",IF($M87&gt;0,"En curso","Pendiente")))</f>
        <v/>
      </c>
      <c r="O87" s="56">
        <f>IF(OR(NOT((COUNTA($B87:$D87)+COUNTA($G87:$L87)+COUNTA($Q87))&gt;0),$V87="Sub"),"",IF(ISNUMBER($G87),IF(AND(ISNUMBER($AN87),$G87&gt;$AN87),"Cumplida con "&amp;($G87-$AN87)&amp;IF($G87-$AN87=1," día"," días")&amp;" de retraso","Cumplida"),IF(N($M87)&gt;=1,"Cumplida",IF(NOT(ISNUMBER($AN87)),"Sin fecha límite",IF($AN87&lt;FechaRef,"Vencida hace "&amp;(FechaRef-$AN87)&amp;IF(FechaRef-$AN87=1," día"," días"),IF($AN87=FechaRef,"Vence hoy",IF($AN87-FechaRef&lt;=DiasAlerta,"Vence en "&amp;($AN87-FechaRef)&amp;IF($AN87-FechaRef=1," día"," días"),"En plazo")))))))</f>
        <v/>
      </c>
      <c r="P87" s="62" t="n"/>
      <c r="Q87" s="58" t="n"/>
      <c r="R87" s="63">
        <f>IF(NOT((COUNTA($B87:$D87)+COUNTA($G87:$L87)+COUNTA($Q87))&gt;0),"",IF((IF($C87="","Falta el nombre de la actividad"&amp;" · ","")&amp;IF(AND($V87="Sub",N($U87)=0),"Subactividad sin macroactividad arriba"&amp;" · ","")&amp;IF($AM87="","Sin fecha de inicio"&amp;" · ","")&amp;IF($AN87="","Sin fecha límite"&amp;" · ","")&amp;IF(AND(LEFT($C87,11)="[Jefatura] ",N($AL87)=0),"No se encuentra en la hoja de la jefatura (elíjala de nuevo en la lista)"&amp;" · ","")&amp;IF(OR(AND($E87&lt;&gt;"",NOT(ISNUMBER($E87))),AND($F87&lt;&gt;"",NOT(ISNUMBER($F87))),AND($G87&lt;&gt;"",NOT(ISNUMBER($G87)))),"Fecha no válida"&amp;" · ","")&amp;IF(AND(ISNUMBER($AM87),ISNUMBER($AN87),$AM87&gt;$AN87),"Inicio posterior a fecha límite"&amp;" · ","")&amp;IF(AND($V87="Macro",$H87&lt;&gt;"",OR(NOT(ISNUMBER($H87)),$H87&lt;0,$H87&gt;1)),"Peso fuera de rango"&amp;" · ","")&amp;IF(AND($V87="Sub",$H87&lt;&gt;""),"Las subactividades no llevan peso (valen igual dentro de su macroactividad)"&amp;" · ","")&amp;IF(AND(N($W87)&gt;0,COUNT($I87:$L87)&gt;0),"Con subactividades: deje vacías las semanas (se calculan solas)"&amp;" · ","")&amp;IF((COUNTIF($I87:$L87,"&gt;1")+COUNTIF($I87:$L87,"&lt;0")+COUNTA($I87:$L87)-COUNT($I87:$L87))&gt;0,"Avance fuera de rango 0-100%"&amp;" · ","")&amp;IF(OR(AND($J87&lt;&gt;"",$J87&lt;$I87),AND($K87&lt;&gt;"",$K87&lt;MAX($I87:$J87)),AND($L87&lt;&gt;"",$L87&lt;MAX($I87:$K87))),"Avance semanal decreciente"&amp;" · ","")&amp;IF(AND(ISNUMBER($AN87),$AN87&lt;FechaRef,IF($V87="Sub",N($X87),N($M87))&lt;1),"Vencida"&amp;" · ","")&amp;IF(AND(ObsObligatoria="Sí",ISNUMBER($AN87),$AN87&lt;FechaRef,IF($V87="Sub",N($X87),N($M87))&lt;1,$Q87=""),"Vencida sin observación"&amp;" · ",""))="","✔ OK","⚠ "&amp;LEFT(IF($C87="","Falta el nombre de la actividad"&amp;" · ","")&amp;IF(AND($V87="Sub",N($U87)=0),"Subactividad sin macroactividad arriba"&amp;" · ","")&amp;IF($AM87="","Sin fecha de inicio"&amp;" · ","")&amp;IF($AN87="","Sin fecha límite"&amp;" · ","")&amp;IF(AND(LEFT($C87,11)="[Jefatura] ",N($AL87)=0),"No se encuentra en la hoja de la jefatura (elíjala de nuevo en la lista)"&amp;" · ","")&amp;IF(OR(AND($E87&lt;&gt;"",NOT(ISNUMBER($E87))),AND($F87&lt;&gt;"",NOT(ISNUMBER($F87))),AND($G87&lt;&gt;"",NOT(ISNUMBER($G87)))),"Fecha no válida"&amp;" · ","")&amp;IF(AND(ISNUMBER($AM87),ISNUMBER($AN87),$AM87&gt;$AN87),"Inicio posterior a fecha límite"&amp;" · ","")&amp;IF(AND($V87="Macro",$H87&lt;&gt;"",OR(NOT(ISNUMBER($H87)),$H87&lt;0,$H87&gt;1)),"Peso fuera de rango"&amp;" · ","")&amp;IF(AND($V87="Sub",$H87&lt;&gt;""),"Las subactividades no llevan peso (valen igual dentro de su macroactividad)"&amp;" · ","")&amp;IF(AND(N($W87)&gt;0,COUNT($I87:$L87)&gt;0),"Con subactividades: deje vacías las semanas (se calculan solas)"&amp;" · ","")&amp;IF((COUNTIF($I87:$L87,"&gt;1")+COUNTIF($I87:$L87,"&lt;0")+COUNTA($I87:$L87)-COUNT($I87:$L87))&gt;0,"Avance fuera de rango 0-100%"&amp;" · ","")&amp;IF(OR(AND($J87&lt;&gt;"",$J87&lt;$I87),AND($K87&lt;&gt;"",$K87&lt;MAX($I87:$J87)),AND($L87&lt;&gt;"",$L87&lt;MAX($I87:$K87))),"Avance semanal decreciente"&amp;" · ","")&amp;IF(AND(ISNUMBER($AN87),$AN87&lt;FechaRef,IF($V87="Sub",N($X87),N($M87))&lt;1),"Vencida"&amp;" · ","")&amp;IF(AND(ObsObligatoria="Sí",ISNUMBER($AN87),$AN87&lt;FechaRef,IF($V87="Sub",N($X87),N($M87))&lt;1,$Q87=""),"Vencida sin observación"&amp;" · ",""),LEN(IF($C87="","Falta el nombre de la actividad"&amp;" · ","")&amp;IF(AND($V87="Sub",N($U87)=0),"Subactividad sin macroactividad arriba"&amp;" · ","")&amp;IF($AM87="","Sin fecha de inicio"&amp;" · ","")&amp;IF($AN87="","Sin fecha límite"&amp;" · ","")&amp;IF(AND(LEFT($C87,11)="[Jefatura] ",N($AL87)=0),"No se encuentra en la hoja de la jefatura (elíjala de nuevo en la lista)"&amp;" · ","")&amp;IF(OR(AND($E87&lt;&gt;"",NOT(ISNUMBER($E87))),AND($F87&lt;&gt;"",NOT(ISNUMBER($F87))),AND($G87&lt;&gt;"",NOT(ISNUMBER($G87)))),"Fecha no válida"&amp;" · ","")&amp;IF(AND(ISNUMBER($AM87),ISNUMBER($AN87),$AM87&gt;$AN87),"Inicio posterior a fecha límite"&amp;" · ","")&amp;IF(AND($V87="Macro",$H87&lt;&gt;"",OR(NOT(ISNUMBER($H87)),$H87&lt;0,$H87&gt;1)),"Peso fuera de rango"&amp;" · ","")&amp;IF(AND($V87="Sub",$H87&lt;&gt;""),"Las subactividades no llevan peso (valen igual dentro de su macroactividad)"&amp;" · ","")&amp;IF(AND(N($W87)&gt;0,COUNT($I87:$L87)&gt;0),"Con subactividades: deje vacías las semanas (se calculan solas)"&amp;" · ","")&amp;IF((COUNTIF($I87:$L87,"&gt;1")+COUNTIF($I87:$L87,"&lt;0")+COUNTA($I87:$L87)-COUNT($I87:$L87))&gt;0,"Avance fuera de rango 0-100%"&amp;" · ","")&amp;IF(OR(AND($J87&lt;&gt;"",$J87&lt;$I87),AND($K87&lt;&gt;"",$K87&lt;MAX($I87:$J87)),AND($L87&lt;&gt;"",$L87&lt;MAX($I87:$K87))),"Avance semanal decreciente"&amp;" · ","")&amp;IF(AND(ISNUMBER($AN87),$AN87&lt;FechaRef,IF($V87="Sub",N($X87),N($M87))&lt;1),"Vencida"&amp;" · ","")&amp;IF(AND(ObsObligatoria="Sí",ISNUMBER($AN87),$AN87&lt;FechaRef,IF($V87="Sub",N($X87),N($M87))&lt;1,$Q87=""),"Vencida sin observación"&amp;" · ",""))-3)))</f>
        <v/>
      </c>
      <c r="S87" s="64">
        <f>IF(NOT((COUNTA($B87:$D87)+COUNTA($G87:$L87)+COUNTA($Q87))&gt;0),"",IF(AND($V87="Sub",N($U87)&gt;0),IF(ISNUMBER(INDEX($AM$5:$AM$1000,$U87-4)),DATE(YEAR(INDEX($AM$5:$AM$1000,$U87-4)),MONTH(INDEX($AM$5:$AM$1000,$U87-4)),1),IF(ISNUMBER(INDEX($AN$5:$AN$1000,$U87-4)),DATE(YEAR(INDEX($AN$5:$AN$1000,$U87-4)),MONTH(INDEX($AN$5:$AN$1000,$U87-4)),1),MesCiclo)),IF(ISNUMBER($AM87),DATE(YEAR($AM87),MONTH($AM87),1),IF(ISNUMBER($AN87),DATE(YEAR($AN87),MONTH($AN87),1),MesCiclo))))</f>
        <v/>
      </c>
      <c r="T87" s="62">
        <f>IF(OR($S87="",$S87&lt;&gt;MesCiclo,$V87&lt;&gt;"Macro"),"",COUNTIFS($S$5:$S87,MesCiclo,$V$5:$V87,"Macro"))</f>
        <v/>
      </c>
      <c r="U87" s="62">
        <f>IF($V87="","",IF($V87="Macro",ROW(),IFERROR(LOOKUP(2,1/($V$5:$V87="Macro"),ROW($V$5:$V87)),0)))</f>
        <v/>
      </c>
      <c r="V87" s="62">
        <f>IF(NOT((COUNTA($B87:$D87)+COUNTA($G87:$L87)+COUNTA($Q87))&gt;0),"",IF($B87="Subactividad","Sub","Macro"))</f>
        <v/>
      </c>
      <c r="W87" s="62">
        <f>IF($V87="Macro",COUNTIFS($U$5:$U$1000,ROW(),$V$5:$V$1000,"Sub"),"")</f>
        <v/>
      </c>
      <c r="X87" s="62">
        <f>IF($V87="","",IF(ISNUMBER($G87),1,IFERROR(LOOKUP(2,1/($I87:$L87&lt;&gt;""),$I87:$L87),0)))</f>
        <v/>
      </c>
      <c r="Y87" s="62">
        <f>IF($V87="","",IF(AND(ISNUMBER($G87),$G87&lt;=IF($S87=MesCiclo,InicioCiclo,$S87+MOD(2-WEEKDAY($S87),7))+6),1,IF(ISNUMBER($I87),$I87,0)))</f>
        <v/>
      </c>
      <c r="Z87" s="62">
        <f>IF($V87="","",IF(AND(ISNUMBER($G87),$G87&lt;=IF($S87=MesCiclo,InicioCiclo,$S87+MOD(2-WEEKDAY($S87),7))+13),1,IF(ISNUMBER($J87),$J87,$Y87)))</f>
        <v/>
      </c>
      <c r="AA87" s="62">
        <f>IF($V87="","",IF(AND(ISNUMBER($G87),$G87&lt;=IF($S87=MesCiclo,InicioCiclo,$S87+MOD(2-WEEKDAY($S87),7))+20),1,IF(ISNUMBER($K87),$K87,$Z87)))</f>
        <v/>
      </c>
      <c r="AB87" s="62">
        <f>IF($V87="","",IF(AND(ISNUMBER($G87),$G87&lt;=IF($S87=MesCiclo,InicioCiclo,$S87+MOD(2-WEEKDAY($S87),7))+27),1,IF(ISNUMBER($L87),$L87,$AA87)))</f>
        <v/>
      </c>
      <c r="AC87" s="62">
        <f>IF($V87="","",IF(AND(ISNUMBER($G87),$G87&lt;=IF($S87=MesCiclo,InicioCiclo,$S87+MOD(2-WEEKDAY($S87),7))+6),1,IF(N($W87)&gt;0,AVERAGEIFS($Y$5:$Y$1000,$U$5:$U$1000,ROW(),$V$5:$V$1000,"Sub"),$Y87)))</f>
        <v/>
      </c>
      <c r="AD87" s="62">
        <f>IF($V87="","",IF(AND(ISNUMBER($G87),$G87&lt;=IF($S87=MesCiclo,InicioCiclo,$S87+MOD(2-WEEKDAY($S87),7))+13),1,IF(N($W87)&gt;0,AVERAGEIFS($Z$5:$Z$1000,$U$5:$U$1000,ROW(),$V$5:$V$1000,"Sub"),$Z87)))</f>
        <v/>
      </c>
      <c r="AE87" s="62">
        <f>IF($V87="","",IF(AND(ISNUMBER($G87),$G87&lt;=IF($S87=MesCiclo,InicioCiclo,$S87+MOD(2-WEEKDAY($S87),7))+20),1,IF(N($W87)&gt;0,AVERAGEIFS($AA$5:$AA$1000,$U$5:$U$1000,ROW(),$V$5:$V$1000,"Sub"),$AA87)))</f>
        <v/>
      </c>
      <c r="AF87" s="62">
        <f>IF($V87="","",IF(AND(ISNUMBER($G87),$G87&lt;=IF($S87=MesCiclo,InicioCiclo,$S87+MOD(2-WEEKDAY($S87),7))+27),1,IF(N($W87)&gt;0,AVERAGEIFS($AB$5:$AB$1000,$U$5:$U$1000,ROW(),$V$5:$V$1000,"Sub"),$AB87)))</f>
        <v/>
      </c>
      <c r="AG87" s="62">
        <f>IF($V87&lt;&gt;"Macro","",IF(COUNTIFS($S$5:$S$1000,$S87,$V$5:$V$1000,"Macro",$H$5:$H$1000,"&gt;0")=0,1/COUNTIFS($S$5:$S$1000,$S87,$V$5:$V$1000,"Macro"),IF(AND(ISNUMBER($H87),N($H87)&gt;0),$H87,SUMIFS($H$5:$H$1000,$S$5:$S$1000,$S87,$V$5:$V$1000,"Macro")/COUNTIFS($S$5:$S$1000,$S87,$V$5:$V$1000,"Macro",$H$5:$H$1000,"&gt;0"))/(COUNTIFS($S$5:$S$1000,$S87,$V$5:$V$1000,"Macro")*SUMIFS($H$5:$H$1000,$S$5:$S$1000,$S87,$V$5:$V$1000,"Macro")/COUNTIFS($S$5:$S$1000,$S87,$V$5:$V$1000,"Macro",$H$5:$H$1000,"&gt;0"))))</f>
        <v/>
      </c>
      <c r="AH87" s="62" t="n"/>
      <c r="AI87" s="62" t="n"/>
      <c r="AJ87" s="62" t="n"/>
      <c r="AK87" s="62" t="n"/>
      <c r="AL87" s="62">
        <f>IF(LEFT($C87,11)="[Jefatura] ",IFERROR(MATCH("Asistente Técnico de Riesgo|"&amp;MID($C87,12,500),rDname_ADM,0),0),"")</f>
        <v/>
      </c>
      <c r="AM87" s="62">
        <f>IF(N($AL87)&gt;0,INDEX(rIni_ADM,$AL87),IF(ISNUMBER($E87),$E87,""))</f>
        <v/>
      </c>
      <c r="AN87" s="62">
        <f>IF(N($AL87)&gt;0,INDEX(rLim_ADM,$AL87),IF(ISNUMBER($F87),$F87,""))</f>
        <v/>
      </c>
    </row>
    <row r="88">
      <c r="A88" s="56">
        <f>IF(NOT((COUNTA($B88:$D88)+COUNTA($G88:$L88)+COUNTA($Q88))&gt;0),"",IF($V88="Macro",COUNTIFS($V$5:$V88,"Macro",$S$5:$S88,$S88),IF(N($U88)=0,"?",COUNTIFS(INDEX($V$5:$V$1000,1):INDEX($V$5:$V$1000,$U88-4),"Macro",INDEX($S$5:$S$1000,1):INDEX($S$5:$S$1000,$U88-4),INDEX($S$5:$S$1000,$U88-4))&amp;"."&amp;COUNTIFS($U$5:$U88,$U88,$V$5:$V88,"Sub"))))</f>
        <v/>
      </c>
      <c r="B88" s="57" t="n"/>
      <c r="C88" s="58" t="n"/>
      <c r="D88" s="58" t="n"/>
      <c r="E88" s="59">
        <f>IF(N($AL88)&gt;0,INDEX(rIni_ADM,$AL88),"")</f>
        <v/>
      </c>
      <c r="F88" s="59">
        <f>IF(N($AL88)&gt;0,INDEX(rLim_ADM,$AL88),"")</f>
        <v/>
      </c>
      <c r="G88" s="59" t="n"/>
      <c r="H88" s="60" t="n"/>
      <c r="I88" s="60" t="n"/>
      <c r="J88" s="60" t="n"/>
      <c r="K88" s="60" t="n"/>
      <c r="L88" s="60" t="n"/>
      <c r="M88" s="61">
        <f>IF(NOT((COUNTA($B88:$D88)+COUNTA($G88:$L88)+COUNTA($Q88))&gt;0),"",IF($V88="Sub",IFERROR($X88/INDEX($W$5:$W$1000,$U88-4),""),IF(ISNUMBER($G88),1,IF(N($W88)&gt;0,AVERAGEIFS($X$5:$X$1000,$U$5:$U$1000,ROW(),$V$5:$V$1000,"Sub"),$X88))))</f>
        <v/>
      </c>
      <c r="N88" s="56">
        <f>IF(OR($M88="",$V88="Sub"),"",IF($M88&gt;=1,"Completado",IF($M88&gt;0,"En curso","Pendiente")))</f>
        <v/>
      </c>
      <c r="O88" s="56">
        <f>IF(OR(NOT((COUNTA($B88:$D88)+COUNTA($G88:$L88)+COUNTA($Q88))&gt;0),$V88="Sub"),"",IF(ISNUMBER($G88),IF(AND(ISNUMBER($AN88),$G88&gt;$AN88),"Cumplida con "&amp;($G88-$AN88)&amp;IF($G88-$AN88=1," día"," días")&amp;" de retraso","Cumplida"),IF(N($M88)&gt;=1,"Cumplida",IF(NOT(ISNUMBER($AN88)),"Sin fecha límite",IF($AN88&lt;FechaRef,"Vencida hace "&amp;(FechaRef-$AN88)&amp;IF(FechaRef-$AN88=1," día"," días"),IF($AN88=FechaRef,"Vence hoy",IF($AN88-FechaRef&lt;=DiasAlerta,"Vence en "&amp;($AN88-FechaRef)&amp;IF($AN88-FechaRef=1," día"," días"),"En plazo")))))))</f>
        <v/>
      </c>
      <c r="P88" s="62" t="n"/>
      <c r="Q88" s="58" t="n"/>
      <c r="R88" s="63">
        <f>IF(NOT((COUNTA($B88:$D88)+COUNTA($G88:$L88)+COUNTA($Q88))&gt;0),"",IF((IF($C88="","Falta el nombre de la actividad"&amp;" · ","")&amp;IF(AND($V88="Sub",N($U88)=0),"Subactividad sin macroactividad arriba"&amp;" · ","")&amp;IF($AM88="","Sin fecha de inicio"&amp;" · ","")&amp;IF($AN88="","Sin fecha límite"&amp;" · ","")&amp;IF(AND(LEFT($C88,11)="[Jefatura] ",N($AL88)=0),"No se encuentra en la hoja de la jefatura (elíjala de nuevo en la lista)"&amp;" · ","")&amp;IF(OR(AND($E88&lt;&gt;"",NOT(ISNUMBER($E88))),AND($F88&lt;&gt;"",NOT(ISNUMBER($F88))),AND($G88&lt;&gt;"",NOT(ISNUMBER($G88)))),"Fecha no válida"&amp;" · ","")&amp;IF(AND(ISNUMBER($AM88),ISNUMBER($AN88),$AM88&gt;$AN88),"Inicio posterior a fecha límite"&amp;" · ","")&amp;IF(AND($V88="Macro",$H88&lt;&gt;"",OR(NOT(ISNUMBER($H88)),$H88&lt;0,$H88&gt;1)),"Peso fuera de rango"&amp;" · ","")&amp;IF(AND($V88="Sub",$H88&lt;&gt;""),"Las subactividades no llevan peso (valen igual dentro de su macroactividad)"&amp;" · ","")&amp;IF(AND(N($W88)&gt;0,COUNT($I88:$L88)&gt;0),"Con subactividades: deje vacías las semanas (se calculan solas)"&amp;" · ","")&amp;IF((COUNTIF($I88:$L88,"&gt;1")+COUNTIF($I88:$L88,"&lt;0")+COUNTA($I88:$L88)-COUNT($I88:$L88))&gt;0,"Avance fuera de rango 0-100%"&amp;" · ","")&amp;IF(OR(AND($J88&lt;&gt;"",$J88&lt;$I88),AND($K88&lt;&gt;"",$K88&lt;MAX($I88:$J88)),AND($L88&lt;&gt;"",$L88&lt;MAX($I88:$K88))),"Avance semanal decreciente"&amp;" · ","")&amp;IF(AND(ISNUMBER($AN88),$AN88&lt;FechaRef,IF($V88="Sub",N($X88),N($M88))&lt;1),"Vencida"&amp;" · ","")&amp;IF(AND(ObsObligatoria="Sí",ISNUMBER($AN88),$AN88&lt;FechaRef,IF($V88="Sub",N($X88),N($M88))&lt;1,$Q88=""),"Vencida sin observación"&amp;" · ",""))="","✔ OK","⚠ "&amp;LEFT(IF($C88="","Falta el nombre de la actividad"&amp;" · ","")&amp;IF(AND($V88="Sub",N($U88)=0),"Subactividad sin macroactividad arriba"&amp;" · ","")&amp;IF($AM88="","Sin fecha de inicio"&amp;" · ","")&amp;IF($AN88="","Sin fecha límite"&amp;" · ","")&amp;IF(AND(LEFT($C88,11)="[Jefatura] ",N($AL88)=0),"No se encuentra en la hoja de la jefatura (elíjala de nuevo en la lista)"&amp;" · ","")&amp;IF(OR(AND($E88&lt;&gt;"",NOT(ISNUMBER($E88))),AND($F88&lt;&gt;"",NOT(ISNUMBER($F88))),AND($G88&lt;&gt;"",NOT(ISNUMBER($G88)))),"Fecha no válida"&amp;" · ","")&amp;IF(AND(ISNUMBER($AM88),ISNUMBER($AN88),$AM88&gt;$AN88),"Inicio posterior a fecha límite"&amp;" · ","")&amp;IF(AND($V88="Macro",$H88&lt;&gt;"",OR(NOT(ISNUMBER($H88)),$H88&lt;0,$H88&gt;1)),"Peso fuera de rango"&amp;" · ","")&amp;IF(AND($V88="Sub",$H88&lt;&gt;""),"Las subactividades no llevan peso (valen igual dentro de su macroactividad)"&amp;" · ","")&amp;IF(AND(N($W88)&gt;0,COUNT($I88:$L88)&gt;0),"Con subactividades: deje vacías las semanas (se calculan solas)"&amp;" · ","")&amp;IF((COUNTIF($I88:$L88,"&gt;1")+COUNTIF($I88:$L88,"&lt;0")+COUNTA($I88:$L88)-COUNT($I88:$L88))&gt;0,"Avance fuera de rango 0-100%"&amp;" · ","")&amp;IF(OR(AND($J88&lt;&gt;"",$J88&lt;$I88),AND($K88&lt;&gt;"",$K88&lt;MAX($I88:$J88)),AND($L88&lt;&gt;"",$L88&lt;MAX($I88:$K88))),"Avance semanal decreciente"&amp;" · ","")&amp;IF(AND(ISNUMBER($AN88),$AN88&lt;FechaRef,IF($V88="Sub",N($X88),N($M88))&lt;1),"Vencida"&amp;" · ","")&amp;IF(AND(ObsObligatoria="Sí",ISNUMBER($AN88),$AN88&lt;FechaRef,IF($V88="Sub",N($X88),N($M88))&lt;1,$Q88=""),"Vencida sin observación"&amp;" · ",""),LEN(IF($C88="","Falta el nombre de la actividad"&amp;" · ","")&amp;IF(AND($V88="Sub",N($U88)=0),"Subactividad sin macroactividad arriba"&amp;" · ","")&amp;IF($AM88="","Sin fecha de inicio"&amp;" · ","")&amp;IF($AN88="","Sin fecha límite"&amp;" · ","")&amp;IF(AND(LEFT($C88,11)="[Jefatura] ",N($AL88)=0),"No se encuentra en la hoja de la jefatura (elíjala de nuevo en la lista)"&amp;" · ","")&amp;IF(OR(AND($E88&lt;&gt;"",NOT(ISNUMBER($E88))),AND($F88&lt;&gt;"",NOT(ISNUMBER($F88))),AND($G88&lt;&gt;"",NOT(ISNUMBER($G88)))),"Fecha no válida"&amp;" · ","")&amp;IF(AND(ISNUMBER($AM88),ISNUMBER($AN88),$AM88&gt;$AN88),"Inicio posterior a fecha límite"&amp;" · ","")&amp;IF(AND($V88="Macro",$H88&lt;&gt;"",OR(NOT(ISNUMBER($H88)),$H88&lt;0,$H88&gt;1)),"Peso fuera de rango"&amp;" · ","")&amp;IF(AND($V88="Sub",$H88&lt;&gt;""),"Las subactividades no llevan peso (valen igual dentro de su macroactividad)"&amp;" · ","")&amp;IF(AND(N($W88)&gt;0,COUNT($I88:$L88)&gt;0),"Con subactividades: deje vacías las semanas (se calculan solas)"&amp;" · ","")&amp;IF((COUNTIF($I88:$L88,"&gt;1")+COUNTIF($I88:$L88,"&lt;0")+COUNTA($I88:$L88)-COUNT($I88:$L88))&gt;0,"Avance fuera de rango 0-100%"&amp;" · ","")&amp;IF(OR(AND($J88&lt;&gt;"",$J88&lt;$I88),AND($K88&lt;&gt;"",$K88&lt;MAX($I88:$J88)),AND($L88&lt;&gt;"",$L88&lt;MAX($I88:$K88))),"Avance semanal decreciente"&amp;" · ","")&amp;IF(AND(ISNUMBER($AN88),$AN88&lt;FechaRef,IF($V88="Sub",N($X88),N($M88))&lt;1),"Vencida"&amp;" · ","")&amp;IF(AND(ObsObligatoria="Sí",ISNUMBER($AN88),$AN88&lt;FechaRef,IF($V88="Sub",N($X88),N($M88))&lt;1,$Q88=""),"Vencida sin observación"&amp;" · ",""))-3)))</f>
        <v/>
      </c>
      <c r="S88" s="64">
        <f>IF(NOT((COUNTA($B88:$D88)+COUNTA($G88:$L88)+COUNTA($Q88))&gt;0),"",IF(AND($V88="Sub",N($U88)&gt;0),IF(ISNUMBER(INDEX($AM$5:$AM$1000,$U88-4)),DATE(YEAR(INDEX($AM$5:$AM$1000,$U88-4)),MONTH(INDEX($AM$5:$AM$1000,$U88-4)),1),IF(ISNUMBER(INDEX($AN$5:$AN$1000,$U88-4)),DATE(YEAR(INDEX($AN$5:$AN$1000,$U88-4)),MONTH(INDEX($AN$5:$AN$1000,$U88-4)),1),MesCiclo)),IF(ISNUMBER($AM88),DATE(YEAR($AM88),MONTH($AM88),1),IF(ISNUMBER($AN88),DATE(YEAR($AN88),MONTH($AN88),1),MesCiclo))))</f>
        <v/>
      </c>
      <c r="T88" s="62">
        <f>IF(OR($S88="",$S88&lt;&gt;MesCiclo,$V88&lt;&gt;"Macro"),"",COUNTIFS($S$5:$S88,MesCiclo,$V$5:$V88,"Macro"))</f>
        <v/>
      </c>
      <c r="U88" s="62">
        <f>IF($V88="","",IF($V88="Macro",ROW(),IFERROR(LOOKUP(2,1/($V$5:$V88="Macro"),ROW($V$5:$V88)),0)))</f>
        <v/>
      </c>
      <c r="V88" s="62">
        <f>IF(NOT((COUNTA($B88:$D88)+COUNTA($G88:$L88)+COUNTA($Q88))&gt;0),"",IF($B88="Subactividad","Sub","Macro"))</f>
        <v/>
      </c>
      <c r="W88" s="62">
        <f>IF($V88="Macro",COUNTIFS($U$5:$U$1000,ROW(),$V$5:$V$1000,"Sub"),"")</f>
        <v/>
      </c>
      <c r="X88" s="62">
        <f>IF($V88="","",IF(ISNUMBER($G88),1,IFERROR(LOOKUP(2,1/($I88:$L88&lt;&gt;""),$I88:$L88),0)))</f>
        <v/>
      </c>
      <c r="Y88" s="62">
        <f>IF($V88="","",IF(AND(ISNUMBER($G88),$G88&lt;=IF($S88=MesCiclo,InicioCiclo,$S88+MOD(2-WEEKDAY($S88),7))+6),1,IF(ISNUMBER($I88),$I88,0)))</f>
        <v/>
      </c>
      <c r="Z88" s="62">
        <f>IF($V88="","",IF(AND(ISNUMBER($G88),$G88&lt;=IF($S88=MesCiclo,InicioCiclo,$S88+MOD(2-WEEKDAY($S88),7))+13),1,IF(ISNUMBER($J88),$J88,$Y88)))</f>
        <v/>
      </c>
      <c r="AA88" s="62">
        <f>IF($V88="","",IF(AND(ISNUMBER($G88),$G88&lt;=IF($S88=MesCiclo,InicioCiclo,$S88+MOD(2-WEEKDAY($S88),7))+20),1,IF(ISNUMBER($K88),$K88,$Z88)))</f>
        <v/>
      </c>
      <c r="AB88" s="62">
        <f>IF($V88="","",IF(AND(ISNUMBER($G88),$G88&lt;=IF($S88=MesCiclo,InicioCiclo,$S88+MOD(2-WEEKDAY($S88),7))+27),1,IF(ISNUMBER($L88),$L88,$AA88)))</f>
        <v/>
      </c>
      <c r="AC88" s="62">
        <f>IF($V88="","",IF(AND(ISNUMBER($G88),$G88&lt;=IF($S88=MesCiclo,InicioCiclo,$S88+MOD(2-WEEKDAY($S88),7))+6),1,IF(N($W88)&gt;0,AVERAGEIFS($Y$5:$Y$1000,$U$5:$U$1000,ROW(),$V$5:$V$1000,"Sub"),$Y88)))</f>
        <v/>
      </c>
      <c r="AD88" s="62">
        <f>IF($V88="","",IF(AND(ISNUMBER($G88),$G88&lt;=IF($S88=MesCiclo,InicioCiclo,$S88+MOD(2-WEEKDAY($S88),7))+13),1,IF(N($W88)&gt;0,AVERAGEIFS($Z$5:$Z$1000,$U$5:$U$1000,ROW(),$V$5:$V$1000,"Sub"),$Z88)))</f>
        <v/>
      </c>
      <c r="AE88" s="62">
        <f>IF($V88="","",IF(AND(ISNUMBER($G88),$G88&lt;=IF($S88=MesCiclo,InicioCiclo,$S88+MOD(2-WEEKDAY($S88),7))+20),1,IF(N($W88)&gt;0,AVERAGEIFS($AA$5:$AA$1000,$U$5:$U$1000,ROW(),$V$5:$V$1000,"Sub"),$AA88)))</f>
        <v/>
      </c>
      <c r="AF88" s="62">
        <f>IF($V88="","",IF(AND(ISNUMBER($G88),$G88&lt;=IF($S88=MesCiclo,InicioCiclo,$S88+MOD(2-WEEKDAY($S88),7))+27),1,IF(N($W88)&gt;0,AVERAGEIFS($AB$5:$AB$1000,$U$5:$U$1000,ROW(),$V$5:$V$1000,"Sub"),$AB88)))</f>
        <v/>
      </c>
      <c r="AG88" s="62">
        <f>IF($V88&lt;&gt;"Macro","",IF(COUNTIFS($S$5:$S$1000,$S88,$V$5:$V$1000,"Macro",$H$5:$H$1000,"&gt;0")=0,1/COUNTIFS($S$5:$S$1000,$S88,$V$5:$V$1000,"Macro"),IF(AND(ISNUMBER($H88),N($H88)&gt;0),$H88,SUMIFS($H$5:$H$1000,$S$5:$S$1000,$S88,$V$5:$V$1000,"Macro")/COUNTIFS($S$5:$S$1000,$S88,$V$5:$V$1000,"Macro",$H$5:$H$1000,"&gt;0"))/(COUNTIFS($S$5:$S$1000,$S88,$V$5:$V$1000,"Macro")*SUMIFS($H$5:$H$1000,$S$5:$S$1000,$S88,$V$5:$V$1000,"Macro")/COUNTIFS($S$5:$S$1000,$S88,$V$5:$V$1000,"Macro",$H$5:$H$1000,"&gt;0"))))</f>
        <v/>
      </c>
      <c r="AH88" s="62" t="n"/>
      <c r="AI88" s="62" t="n"/>
      <c r="AJ88" s="62" t="n"/>
      <c r="AK88" s="62" t="n"/>
      <c r="AL88" s="62">
        <f>IF(LEFT($C88,11)="[Jefatura] ",IFERROR(MATCH("Asistente Técnico de Riesgo|"&amp;MID($C88,12,500),rDname_ADM,0),0),"")</f>
        <v/>
      </c>
      <c r="AM88" s="62">
        <f>IF(N($AL88)&gt;0,INDEX(rIni_ADM,$AL88),IF(ISNUMBER($E88),$E88,""))</f>
        <v/>
      </c>
      <c r="AN88" s="62">
        <f>IF(N($AL88)&gt;0,INDEX(rLim_ADM,$AL88),IF(ISNUMBER($F88),$F88,""))</f>
        <v/>
      </c>
    </row>
    <row r="89">
      <c r="A89" s="56">
        <f>IF(NOT((COUNTA($B89:$D89)+COUNTA($G89:$L89)+COUNTA($Q89))&gt;0),"",IF($V89="Macro",COUNTIFS($V$5:$V89,"Macro",$S$5:$S89,$S89),IF(N($U89)=0,"?",COUNTIFS(INDEX($V$5:$V$1000,1):INDEX($V$5:$V$1000,$U89-4),"Macro",INDEX($S$5:$S$1000,1):INDEX($S$5:$S$1000,$U89-4),INDEX($S$5:$S$1000,$U89-4))&amp;"."&amp;COUNTIFS($U$5:$U89,$U89,$V$5:$V89,"Sub"))))</f>
        <v/>
      </c>
      <c r="B89" s="57" t="n"/>
      <c r="C89" s="58" t="n"/>
      <c r="D89" s="58" t="n"/>
      <c r="E89" s="59">
        <f>IF(N($AL89)&gt;0,INDEX(rIni_ADM,$AL89),"")</f>
        <v/>
      </c>
      <c r="F89" s="59">
        <f>IF(N($AL89)&gt;0,INDEX(rLim_ADM,$AL89),"")</f>
        <v/>
      </c>
      <c r="G89" s="59" t="n"/>
      <c r="H89" s="60" t="n"/>
      <c r="I89" s="60" t="n"/>
      <c r="J89" s="60" t="n"/>
      <c r="K89" s="60" t="n"/>
      <c r="L89" s="60" t="n"/>
      <c r="M89" s="61">
        <f>IF(NOT((COUNTA($B89:$D89)+COUNTA($G89:$L89)+COUNTA($Q89))&gt;0),"",IF($V89="Sub",IFERROR($X89/INDEX($W$5:$W$1000,$U89-4),""),IF(ISNUMBER($G89),1,IF(N($W89)&gt;0,AVERAGEIFS($X$5:$X$1000,$U$5:$U$1000,ROW(),$V$5:$V$1000,"Sub"),$X89))))</f>
        <v/>
      </c>
      <c r="N89" s="56">
        <f>IF(OR($M89="",$V89="Sub"),"",IF($M89&gt;=1,"Completado",IF($M89&gt;0,"En curso","Pendiente")))</f>
        <v/>
      </c>
      <c r="O89" s="56">
        <f>IF(OR(NOT((COUNTA($B89:$D89)+COUNTA($G89:$L89)+COUNTA($Q89))&gt;0),$V89="Sub"),"",IF(ISNUMBER($G89),IF(AND(ISNUMBER($AN89),$G89&gt;$AN89),"Cumplida con "&amp;($G89-$AN89)&amp;IF($G89-$AN89=1," día"," días")&amp;" de retraso","Cumplida"),IF(N($M89)&gt;=1,"Cumplida",IF(NOT(ISNUMBER($AN89)),"Sin fecha límite",IF($AN89&lt;FechaRef,"Vencida hace "&amp;(FechaRef-$AN89)&amp;IF(FechaRef-$AN89=1," día"," días"),IF($AN89=FechaRef,"Vence hoy",IF($AN89-FechaRef&lt;=DiasAlerta,"Vence en "&amp;($AN89-FechaRef)&amp;IF($AN89-FechaRef=1," día"," días"),"En plazo")))))))</f>
        <v/>
      </c>
      <c r="P89" s="62" t="n"/>
      <c r="Q89" s="58" t="n"/>
      <c r="R89" s="63">
        <f>IF(NOT((COUNTA($B89:$D89)+COUNTA($G89:$L89)+COUNTA($Q89))&gt;0),"",IF((IF($C89="","Falta el nombre de la actividad"&amp;" · ","")&amp;IF(AND($V89="Sub",N($U89)=0),"Subactividad sin macroactividad arriba"&amp;" · ","")&amp;IF($AM89="","Sin fecha de inicio"&amp;" · ","")&amp;IF($AN89="","Sin fecha límite"&amp;" · ","")&amp;IF(AND(LEFT($C89,11)="[Jefatura] ",N($AL89)=0),"No se encuentra en la hoja de la jefatura (elíjala de nuevo en la lista)"&amp;" · ","")&amp;IF(OR(AND($E89&lt;&gt;"",NOT(ISNUMBER($E89))),AND($F89&lt;&gt;"",NOT(ISNUMBER($F89))),AND($G89&lt;&gt;"",NOT(ISNUMBER($G89)))),"Fecha no válida"&amp;" · ","")&amp;IF(AND(ISNUMBER($AM89),ISNUMBER($AN89),$AM89&gt;$AN89),"Inicio posterior a fecha límite"&amp;" · ","")&amp;IF(AND($V89="Macro",$H89&lt;&gt;"",OR(NOT(ISNUMBER($H89)),$H89&lt;0,$H89&gt;1)),"Peso fuera de rango"&amp;" · ","")&amp;IF(AND($V89="Sub",$H89&lt;&gt;""),"Las subactividades no llevan peso (valen igual dentro de su macroactividad)"&amp;" · ","")&amp;IF(AND(N($W89)&gt;0,COUNT($I89:$L89)&gt;0),"Con subactividades: deje vacías las semanas (se calculan solas)"&amp;" · ","")&amp;IF((COUNTIF($I89:$L89,"&gt;1")+COUNTIF($I89:$L89,"&lt;0")+COUNTA($I89:$L89)-COUNT($I89:$L89))&gt;0,"Avance fuera de rango 0-100%"&amp;" · ","")&amp;IF(OR(AND($J89&lt;&gt;"",$J89&lt;$I89),AND($K89&lt;&gt;"",$K89&lt;MAX($I89:$J89)),AND($L89&lt;&gt;"",$L89&lt;MAX($I89:$K89))),"Avance semanal decreciente"&amp;" · ","")&amp;IF(AND(ISNUMBER($AN89),$AN89&lt;FechaRef,IF($V89="Sub",N($X89),N($M89))&lt;1),"Vencida"&amp;" · ","")&amp;IF(AND(ObsObligatoria="Sí",ISNUMBER($AN89),$AN89&lt;FechaRef,IF($V89="Sub",N($X89),N($M89))&lt;1,$Q89=""),"Vencida sin observación"&amp;" · ",""))="","✔ OK","⚠ "&amp;LEFT(IF($C89="","Falta el nombre de la actividad"&amp;" · ","")&amp;IF(AND($V89="Sub",N($U89)=0),"Subactividad sin macroactividad arriba"&amp;" · ","")&amp;IF($AM89="","Sin fecha de inicio"&amp;" · ","")&amp;IF($AN89="","Sin fecha límite"&amp;" · ","")&amp;IF(AND(LEFT($C89,11)="[Jefatura] ",N($AL89)=0),"No se encuentra en la hoja de la jefatura (elíjala de nuevo en la lista)"&amp;" · ","")&amp;IF(OR(AND($E89&lt;&gt;"",NOT(ISNUMBER($E89))),AND($F89&lt;&gt;"",NOT(ISNUMBER($F89))),AND($G89&lt;&gt;"",NOT(ISNUMBER($G89)))),"Fecha no válida"&amp;" · ","")&amp;IF(AND(ISNUMBER($AM89),ISNUMBER($AN89),$AM89&gt;$AN89),"Inicio posterior a fecha límite"&amp;" · ","")&amp;IF(AND($V89="Macro",$H89&lt;&gt;"",OR(NOT(ISNUMBER($H89)),$H89&lt;0,$H89&gt;1)),"Peso fuera de rango"&amp;" · ","")&amp;IF(AND($V89="Sub",$H89&lt;&gt;""),"Las subactividades no llevan peso (valen igual dentro de su macroactividad)"&amp;" · ","")&amp;IF(AND(N($W89)&gt;0,COUNT($I89:$L89)&gt;0),"Con subactividades: deje vacías las semanas (se calculan solas)"&amp;" · ","")&amp;IF((COUNTIF($I89:$L89,"&gt;1")+COUNTIF($I89:$L89,"&lt;0")+COUNTA($I89:$L89)-COUNT($I89:$L89))&gt;0,"Avance fuera de rango 0-100%"&amp;" · ","")&amp;IF(OR(AND($J89&lt;&gt;"",$J89&lt;$I89),AND($K89&lt;&gt;"",$K89&lt;MAX($I89:$J89)),AND($L89&lt;&gt;"",$L89&lt;MAX($I89:$K89))),"Avance semanal decreciente"&amp;" · ","")&amp;IF(AND(ISNUMBER($AN89),$AN89&lt;FechaRef,IF($V89="Sub",N($X89),N($M89))&lt;1),"Vencida"&amp;" · ","")&amp;IF(AND(ObsObligatoria="Sí",ISNUMBER($AN89),$AN89&lt;FechaRef,IF($V89="Sub",N($X89),N($M89))&lt;1,$Q89=""),"Vencida sin observación"&amp;" · ",""),LEN(IF($C89="","Falta el nombre de la actividad"&amp;" · ","")&amp;IF(AND($V89="Sub",N($U89)=0),"Subactividad sin macroactividad arriba"&amp;" · ","")&amp;IF($AM89="","Sin fecha de inicio"&amp;" · ","")&amp;IF($AN89="","Sin fecha límite"&amp;" · ","")&amp;IF(AND(LEFT($C89,11)="[Jefatura] ",N($AL89)=0),"No se encuentra en la hoja de la jefatura (elíjala de nuevo en la lista)"&amp;" · ","")&amp;IF(OR(AND($E89&lt;&gt;"",NOT(ISNUMBER($E89))),AND($F89&lt;&gt;"",NOT(ISNUMBER($F89))),AND($G89&lt;&gt;"",NOT(ISNUMBER($G89)))),"Fecha no válida"&amp;" · ","")&amp;IF(AND(ISNUMBER($AM89),ISNUMBER($AN89),$AM89&gt;$AN89),"Inicio posterior a fecha límite"&amp;" · ","")&amp;IF(AND($V89="Macro",$H89&lt;&gt;"",OR(NOT(ISNUMBER($H89)),$H89&lt;0,$H89&gt;1)),"Peso fuera de rango"&amp;" · ","")&amp;IF(AND($V89="Sub",$H89&lt;&gt;""),"Las subactividades no llevan peso (valen igual dentro de su macroactividad)"&amp;" · ","")&amp;IF(AND(N($W89)&gt;0,COUNT($I89:$L89)&gt;0),"Con subactividades: deje vacías las semanas (se calculan solas)"&amp;" · ","")&amp;IF((COUNTIF($I89:$L89,"&gt;1")+COUNTIF($I89:$L89,"&lt;0")+COUNTA($I89:$L89)-COUNT($I89:$L89))&gt;0,"Avance fuera de rango 0-100%"&amp;" · ","")&amp;IF(OR(AND($J89&lt;&gt;"",$J89&lt;$I89),AND($K89&lt;&gt;"",$K89&lt;MAX($I89:$J89)),AND($L89&lt;&gt;"",$L89&lt;MAX($I89:$K89))),"Avance semanal decreciente"&amp;" · ","")&amp;IF(AND(ISNUMBER($AN89),$AN89&lt;FechaRef,IF($V89="Sub",N($X89),N($M89))&lt;1),"Vencida"&amp;" · ","")&amp;IF(AND(ObsObligatoria="Sí",ISNUMBER($AN89),$AN89&lt;FechaRef,IF($V89="Sub",N($X89),N($M89))&lt;1,$Q89=""),"Vencida sin observación"&amp;" · ",""))-3)))</f>
        <v/>
      </c>
      <c r="S89" s="64">
        <f>IF(NOT((COUNTA($B89:$D89)+COUNTA($G89:$L89)+COUNTA($Q89))&gt;0),"",IF(AND($V89="Sub",N($U89)&gt;0),IF(ISNUMBER(INDEX($AM$5:$AM$1000,$U89-4)),DATE(YEAR(INDEX($AM$5:$AM$1000,$U89-4)),MONTH(INDEX($AM$5:$AM$1000,$U89-4)),1),IF(ISNUMBER(INDEX($AN$5:$AN$1000,$U89-4)),DATE(YEAR(INDEX($AN$5:$AN$1000,$U89-4)),MONTH(INDEX($AN$5:$AN$1000,$U89-4)),1),MesCiclo)),IF(ISNUMBER($AM89),DATE(YEAR($AM89),MONTH($AM89),1),IF(ISNUMBER($AN89),DATE(YEAR($AN89),MONTH($AN89),1),MesCiclo))))</f>
        <v/>
      </c>
      <c r="T89" s="62">
        <f>IF(OR($S89="",$S89&lt;&gt;MesCiclo,$V89&lt;&gt;"Macro"),"",COUNTIFS($S$5:$S89,MesCiclo,$V$5:$V89,"Macro"))</f>
        <v/>
      </c>
      <c r="U89" s="62">
        <f>IF($V89="","",IF($V89="Macro",ROW(),IFERROR(LOOKUP(2,1/($V$5:$V89="Macro"),ROW($V$5:$V89)),0)))</f>
        <v/>
      </c>
      <c r="V89" s="62">
        <f>IF(NOT((COUNTA($B89:$D89)+COUNTA($G89:$L89)+COUNTA($Q89))&gt;0),"",IF($B89="Subactividad","Sub","Macro"))</f>
        <v/>
      </c>
      <c r="W89" s="62">
        <f>IF($V89="Macro",COUNTIFS($U$5:$U$1000,ROW(),$V$5:$V$1000,"Sub"),"")</f>
        <v/>
      </c>
      <c r="X89" s="62">
        <f>IF($V89="","",IF(ISNUMBER($G89),1,IFERROR(LOOKUP(2,1/($I89:$L89&lt;&gt;""),$I89:$L89),0)))</f>
        <v/>
      </c>
      <c r="Y89" s="62">
        <f>IF($V89="","",IF(AND(ISNUMBER($G89),$G89&lt;=IF($S89=MesCiclo,InicioCiclo,$S89+MOD(2-WEEKDAY($S89),7))+6),1,IF(ISNUMBER($I89),$I89,0)))</f>
        <v/>
      </c>
      <c r="Z89" s="62">
        <f>IF($V89="","",IF(AND(ISNUMBER($G89),$G89&lt;=IF($S89=MesCiclo,InicioCiclo,$S89+MOD(2-WEEKDAY($S89),7))+13),1,IF(ISNUMBER($J89),$J89,$Y89)))</f>
        <v/>
      </c>
      <c r="AA89" s="62">
        <f>IF($V89="","",IF(AND(ISNUMBER($G89),$G89&lt;=IF($S89=MesCiclo,InicioCiclo,$S89+MOD(2-WEEKDAY($S89),7))+20),1,IF(ISNUMBER($K89),$K89,$Z89)))</f>
        <v/>
      </c>
      <c r="AB89" s="62">
        <f>IF($V89="","",IF(AND(ISNUMBER($G89),$G89&lt;=IF($S89=MesCiclo,InicioCiclo,$S89+MOD(2-WEEKDAY($S89),7))+27),1,IF(ISNUMBER($L89),$L89,$AA89)))</f>
        <v/>
      </c>
      <c r="AC89" s="62">
        <f>IF($V89="","",IF(AND(ISNUMBER($G89),$G89&lt;=IF($S89=MesCiclo,InicioCiclo,$S89+MOD(2-WEEKDAY($S89),7))+6),1,IF(N($W89)&gt;0,AVERAGEIFS($Y$5:$Y$1000,$U$5:$U$1000,ROW(),$V$5:$V$1000,"Sub"),$Y89)))</f>
        <v/>
      </c>
      <c r="AD89" s="62">
        <f>IF($V89="","",IF(AND(ISNUMBER($G89),$G89&lt;=IF($S89=MesCiclo,InicioCiclo,$S89+MOD(2-WEEKDAY($S89),7))+13),1,IF(N($W89)&gt;0,AVERAGEIFS($Z$5:$Z$1000,$U$5:$U$1000,ROW(),$V$5:$V$1000,"Sub"),$Z89)))</f>
        <v/>
      </c>
      <c r="AE89" s="62">
        <f>IF($V89="","",IF(AND(ISNUMBER($G89),$G89&lt;=IF($S89=MesCiclo,InicioCiclo,$S89+MOD(2-WEEKDAY($S89),7))+20),1,IF(N($W89)&gt;0,AVERAGEIFS($AA$5:$AA$1000,$U$5:$U$1000,ROW(),$V$5:$V$1000,"Sub"),$AA89)))</f>
        <v/>
      </c>
      <c r="AF89" s="62">
        <f>IF($V89="","",IF(AND(ISNUMBER($G89),$G89&lt;=IF($S89=MesCiclo,InicioCiclo,$S89+MOD(2-WEEKDAY($S89),7))+27),1,IF(N($W89)&gt;0,AVERAGEIFS($AB$5:$AB$1000,$U$5:$U$1000,ROW(),$V$5:$V$1000,"Sub"),$AB89)))</f>
        <v/>
      </c>
      <c r="AG89" s="62">
        <f>IF($V89&lt;&gt;"Macro","",IF(COUNTIFS($S$5:$S$1000,$S89,$V$5:$V$1000,"Macro",$H$5:$H$1000,"&gt;0")=0,1/COUNTIFS($S$5:$S$1000,$S89,$V$5:$V$1000,"Macro"),IF(AND(ISNUMBER($H89),N($H89)&gt;0),$H89,SUMIFS($H$5:$H$1000,$S$5:$S$1000,$S89,$V$5:$V$1000,"Macro")/COUNTIFS($S$5:$S$1000,$S89,$V$5:$V$1000,"Macro",$H$5:$H$1000,"&gt;0"))/(COUNTIFS($S$5:$S$1000,$S89,$V$5:$V$1000,"Macro")*SUMIFS($H$5:$H$1000,$S$5:$S$1000,$S89,$V$5:$V$1000,"Macro")/COUNTIFS($S$5:$S$1000,$S89,$V$5:$V$1000,"Macro",$H$5:$H$1000,"&gt;0"))))</f>
        <v/>
      </c>
      <c r="AH89" s="62" t="n"/>
      <c r="AI89" s="62" t="n"/>
      <c r="AJ89" s="62" t="n"/>
      <c r="AK89" s="62" t="n"/>
      <c r="AL89" s="62">
        <f>IF(LEFT($C89,11)="[Jefatura] ",IFERROR(MATCH("Asistente Técnico de Riesgo|"&amp;MID($C89,12,500),rDname_ADM,0),0),"")</f>
        <v/>
      </c>
      <c r="AM89" s="62">
        <f>IF(N($AL89)&gt;0,INDEX(rIni_ADM,$AL89),IF(ISNUMBER($E89),$E89,""))</f>
        <v/>
      </c>
      <c r="AN89" s="62">
        <f>IF(N($AL89)&gt;0,INDEX(rLim_ADM,$AL89),IF(ISNUMBER($F89),$F89,""))</f>
        <v/>
      </c>
    </row>
    <row r="90">
      <c r="A90" s="56">
        <f>IF(NOT((COUNTA($B90:$D90)+COUNTA($G90:$L90)+COUNTA($Q90))&gt;0),"",IF($V90="Macro",COUNTIFS($V$5:$V90,"Macro",$S$5:$S90,$S90),IF(N($U90)=0,"?",COUNTIFS(INDEX($V$5:$V$1000,1):INDEX($V$5:$V$1000,$U90-4),"Macro",INDEX($S$5:$S$1000,1):INDEX($S$5:$S$1000,$U90-4),INDEX($S$5:$S$1000,$U90-4))&amp;"."&amp;COUNTIFS($U$5:$U90,$U90,$V$5:$V90,"Sub"))))</f>
        <v/>
      </c>
      <c r="B90" s="57" t="n"/>
      <c r="C90" s="58" t="n"/>
      <c r="D90" s="58" t="n"/>
      <c r="E90" s="59">
        <f>IF(N($AL90)&gt;0,INDEX(rIni_ADM,$AL90),"")</f>
        <v/>
      </c>
      <c r="F90" s="59">
        <f>IF(N($AL90)&gt;0,INDEX(rLim_ADM,$AL90),"")</f>
        <v/>
      </c>
      <c r="G90" s="59" t="n"/>
      <c r="H90" s="60" t="n"/>
      <c r="I90" s="60" t="n"/>
      <c r="J90" s="60" t="n"/>
      <c r="K90" s="60" t="n"/>
      <c r="L90" s="60" t="n"/>
      <c r="M90" s="61">
        <f>IF(NOT((COUNTA($B90:$D90)+COUNTA($G90:$L90)+COUNTA($Q90))&gt;0),"",IF($V90="Sub",IFERROR($X90/INDEX($W$5:$W$1000,$U90-4),""),IF(ISNUMBER($G90),1,IF(N($W90)&gt;0,AVERAGEIFS($X$5:$X$1000,$U$5:$U$1000,ROW(),$V$5:$V$1000,"Sub"),$X90))))</f>
        <v/>
      </c>
      <c r="N90" s="56">
        <f>IF(OR($M90="",$V90="Sub"),"",IF($M90&gt;=1,"Completado",IF($M90&gt;0,"En curso","Pendiente")))</f>
        <v/>
      </c>
      <c r="O90" s="56">
        <f>IF(OR(NOT((COUNTA($B90:$D90)+COUNTA($G90:$L90)+COUNTA($Q90))&gt;0),$V90="Sub"),"",IF(ISNUMBER($G90),IF(AND(ISNUMBER($AN90),$G90&gt;$AN90),"Cumplida con "&amp;($G90-$AN90)&amp;IF($G90-$AN90=1," día"," días")&amp;" de retraso","Cumplida"),IF(N($M90)&gt;=1,"Cumplida",IF(NOT(ISNUMBER($AN90)),"Sin fecha límite",IF($AN90&lt;FechaRef,"Vencida hace "&amp;(FechaRef-$AN90)&amp;IF(FechaRef-$AN90=1," día"," días"),IF($AN90=FechaRef,"Vence hoy",IF($AN90-FechaRef&lt;=DiasAlerta,"Vence en "&amp;($AN90-FechaRef)&amp;IF($AN90-FechaRef=1," día"," días"),"En plazo")))))))</f>
        <v/>
      </c>
      <c r="P90" s="62" t="n"/>
      <c r="Q90" s="58" t="n"/>
      <c r="R90" s="63">
        <f>IF(NOT((COUNTA($B90:$D90)+COUNTA($G90:$L90)+COUNTA($Q90))&gt;0),"",IF((IF($C90="","Falta el nombre de la actividad"&amp;" · ","")&amp;IF(AND($V90="Sub",N($U90)=0),"Subactividad sin macroactividad arriba"&amp;" · ","")&amp;IF($AM90="","Sin fecha de inicio"&amp;" · ","")&amp;IF($AN90="","Sin fecha límite"&amp;" · ","")&amp;IF(AND(LEFT($C90,11)="[Jefatura] ",N($AL90)=0),"No se encuentra en la hoja de la jefatura (elíjala de nuevo en la lista)"&amp;" · ","")&amp;IF(OR(AND($E90&lt;&gt;"",NOT(ISNUMBER($E90))),AND($F90&lt;&gt;"",NOT(ISNUMBER($F90))),AND($G90&lt;&gt;"",NOT(ISNUMBER($G90)))),"Fecha no válida"&amp;" · ","")&amp;IF(AND(ISNUMBER($AM90),ISNUMBER($AN90),$AM90&gt;$AN90),"Inicio posterior a fecha límite"&amp;" · ","")&amp;IF(AND($V90="Macro",$H90&lt;&gt;"",OR(NOT(ISNUMBER($H90)),$H90&lt;0,$H90&gt;1)),"Peso fuera de rango"&amp;" · ","")&amp;IF(AND($V90="Sub",$H90&lt;&gt;""),"Las subactividades no llevan peso (valen igual dentro de su macroactividad)"&amp;" · ","")&amp;IF(AND(N($W90)&gt;0,COUNT($I90:$L90)&gt;0),"Con subactividades: deje vacías las semanas (se calculan solas)"&amp;" · ","")&amp;IF((COUNTIF($I90:$L90,"&gt;1")+COUNTIF($I90:$L90,"&lt;0")+COUNTA($I90:$L90)-COUNT($I90:$L90))&gt;0,"Avance fuera de rango 0-100%"&amp;" · ","")&amp;IF(OR(AND($J90&lt;&gt;"",$J90&lt;$I90),AND($K90&lt;&gt;"",$K90&lt;MAX($I90:$J90)),AND($L90&lt;&gt;"",$L90&lt;MAX($I90:$K90))),"Avance semanal decreciente"&amp;" · ","")&amp;IF(AND(ISNUMBER($AN90),$AN90&lt;FechaRef,IF($V90="Sub",N($X90),N($M90))&lt;1),"Vencida"&amp;" · ","")&amp;IF(AND(ObsObligatoria="Sí",ISNUMBER($AN90),$AN90&lt;FechaRef,IF($V90="Sub",N($X90),N($M90))&lt;1,$Q90=""),"Vencida sin observación"&amp;" · ",""))="","✔ OK","⚠ "&amp;LEFT(IF($C90="","Falta el nombre de la actividad"&amp;" · ","")&amp;IF(AND($V90="Sub",N($U90)=0),"Subactividad sin macroactividad arriba"&amp;" · ","")&amp;IF($AM90="","Sin fecha de inicio"&amp;" · ","")&amp;IF($AN90="","Sin fecha límite"&amp;" · ","")&amp;IF(AND(LEFT($C90,11)="[Jefatura] ",N($AL90)=0),"No se encuentra en la hoja de la jefatura (elíjala de nuevo en la lista)"&amp;" · ","")&amp;IF(OR(AND($E90&lt;&gt;"",NOT(ISNUMBER($E90))),AND($F90&lt;&gt;"",NOT(ISNUMBER($F90))),AND($G90&lt;&gt;"",NOT(ISNUMBER($G90)))),"Fecha no válida"&amp;" · ","")&amp;IF(AND(ISNUMBER($AM90),ISNUMBER($AN90),$AM90&gt;$AN90),"Inicio posterior a fecha límite"&amp;" · ","")&amp;IF(AND($V90="Macro",$H90&lt;&gt;"",OR(NOT(ISNUMBER($H90)),$H90&lt;0,$H90&gt;1)),"Peso fuera de rango"&amp;" · ","")&amp;IF(AND($V90="Sub",$H90&lt;&gt;""),"Las subactividades no llevan peso (valen igual dentro de su macroactividad)"&amp;" · ","")&amp;IF(AND(N($W90)&gt;0,COUNT($I90:$L90)&gt;0),"Con subactividades: deje vacías las semanas (se calculan solas)"&amp;" · ","")&amp;IF((COUNTIF($I90:$L90,"&gt;1")+COUNTIF($I90:$L90,"&lt;0")+COUNTA($I90:$L90)-COUNT($I90:$L90))&gt;0,"Avance fuera de rango 0-100%"&amp;" · ","")&amp;IF(OR(AND($J90&lt;&gt;"",$J90&lt;$I90),AND($K90&lt;&gt;"",$K90&lt;MAX($I90:$J90)),AND($L90&lt;&gt;"",$L90&lt;MAX($I90:$K90))),"Avance semanal decreciente"&amp;" · ","")&amp;IF(AND(ISNUMBER($AN90),$AN90&lt;FechaRef,IF($V90="Sub",N($X90),N($M90))&lt;1),"Vencida"&amp;" · ","")&amp;IF(AND(ObsObligatoria="Sí",ISNUMBER($AN90),$AN90&lt;FechaRef,IF($V90="Sub",N($X90),N($M90))&lt;1,$Q90=""),"Vencida sin observación"&amp;" · ",""),LEN(IF($C90="","Falta el nombre de la actividad"&amp;" · ","")&amp;IF(AND($V90="Sub",N($U90)=0),"Subactividad sin macroactividad arriba"&amp;" · ","")&amp;IF($AM90="","Sin fecha de inicio"&amp;" · ","")&amp;IF($AN90="","Sin fecha límite"&amp;" · ","")&amp;IF(AND(LEFT($C90,11)="[Jefatura] ",N($AL90)=0),"No se encuentra en la hoja de la jefatura (elíjala de nuevo en la lista)"&amp;" · ","")&amp;IF(OR(AND($E90&lt;&gt;"",NOT(ISNUMBER($E90))),AND($F90&lt;&gt;"",NOT(ISNUMBER($F90))),AND($G90&lt;&gt;"",NOT(ISNUMBER($G90)))),"Fecha no válida"&amp;" · ","")&amp;IF(AND(ISNUMBER($AM90),ISNUMBER($AN90),$AM90&gt;$AN90),"Inicio posterior a fecha límite"&amp;" · ","")&amp;IF(AND($V90="Macro",$H90&lt;&gt;"",OR(NOT(ISNUMBER($H90)),$H90&lt;0,$H90&gt;1)),"Peso fuera de rango"&amp;" · ","")&amp;IF(AND($V90="Sub",$H90&lt;&gt;""),"Las subactividades no llevan peso (valen igual dentro de su macroactividad)"&amp;" · ","")&amp;IF(AND(N($W90)&gt;0,COUNT($I90:$L90)&gt;0),"Con subactividades: deje vacías las semanas (se calculan solas)"&amp;" · ","")&amp;IF((COUNTIF($I90:$L90,"&gt;1")+COUNTIF($I90:$L90,"&lt;0")+COUNTA($I90:$L90)-COUNT($I90:$L90))&gt;0,"Avance fuera de rango 0-100%"&amp;" · ","")&amp;IF(OR(AND($J90&lt;&gt;"",$J90&lt;$I90),AND($K90&lt;&gt;"",$K90&lt;MAX($I90:$J90)),AND($L90&lt;&gt;"",$L90&lt;MAX($I90:$K90))),"Avance semanal decreciente"&amp;" · ","")&amp;IF(AND(ISNUMBER($AN90),$AN90&lt;FechaRef,IF($V90="Sub",N($X90),N($M90))&lt;1),"Vencida"&amp;" · ","")&amp;IF(AND(ObsObligatoria="Sí",ISNUMBER($AN90),$AN90&lt;FechaRef,IF($V90="Sub",N($X90),N($M90))&lt;1,$Q90=""),"Vencida sin observación"&amp;" · ",""))-3)))</f>
        <v/>
      </c>
      <c r="S90" s="64">
        <f>IF(NOT((COUNTA($B90:$D90)+COUNTA($G90:$L90)+COUNTA($Q90))&gt;0),"",IF(AND($V90="Sub",N($U90)&gt;0),IF(ISNUMBER(INDEX($AM$5:$AM$1000,$U90-4)),DATE(YEAR(INDEX($AM$5:$AM$1000,$U90-4)),MONTH(INDEX($AM$5:$AM$1000,$U90-4)),1),IF(ISNUMBER(INDEX($AN$5:$AN$1000,$U90-4)),DATE(YEAR(INDEX($AN$5:$AN$1000,$U90-4)),MONTH(INDEX($AN$5:$AN$1000,$U90-4)),1),MesCiclo)),IF(ISNUMBER($AM90),DATE(YEAR($AM90),MONTH($AM90),1),IF(ISNUMBER($AN90),DATE(YEAR($AN90),MONTH($AN90),1),MesCiclo))))</f>
        <v/>
      </c>
      <c r="T90" s="62">
        <f>IF(OR($S90="",$S90&lt;&gt;MesCiclo,$V90&lt;&gt;"Macro"),"",COUNTIFS($S$5:$S90,MesCiclo,$V$5:$V90,"Macro"))</f>
        <v/>
      </c>
      <c r="U90" s="62">
        <f>IF($V90="","",IF($V90="Macro",ROW(),IFERROR(LOOKUP(2,1/($V$5:$V90="Macro"),ROW($V$5:$V90)),0)))</f>
        <v/>
      </c>
      <c r="V90" s="62">
        <f>IF(NOT((COUNTA($B90:$D90)+COUNTA($G90:$L90)+COUNTA($Q90))&gt;0),"",IF($B90="Subactividad","Sub","Macro"))</f>
        <v/>
      </c>
      <c r="W90" s="62">
        <f>IF($V90="Macro",COUNTIFS($U$5:$U$1000,ROW(),$V$5:$V$1000,"Sub"),"")</f>
        <v/>
      </c>
      <c r="X90" s="62">
        <f>IF($V90="","",IF(ISNUMBER($G90),1,IFERROR(LOOKUP(2,1/($I90:$L90&lt;&gt;""),$I90:$L90),0)))</f>
        <v/>
      </c>
      <c r="Y90" s="62">
        <f>IF($V90="","",IF(AND(ISNUMBER($G90),$G90&lt;=IF($S90=MesCiclo,InicioCiclo,$S90+MOD(2-WEEKDAY($S90),7))+6),1,IF(ISNUMBER($I90),$I90,0)))</f>
        <v/>
      </c>
      <c r="Z90" s="62">
        <f>IF($V90="","",IF(AND(ISNUMBER($G90),$G90&lt;=IF($S90=MesCiclo,InicioCiclo,$S90+MOD(2-WEEKDAY($S90),7))+13),1,IF(ISNUMBER($J90),$J90,$Y90)))</f>
        <v/>
      </c>
      <c r="AA90" s="62">
        <f>IF($V90="","",IF(AND(ISNUMBER($G90),$G90&lt;=IF($S90=MesCiclo,InicioCiclo,$S90+MOD(2-WEEKDAY($S90),7))+20),1,IF(ISNUMBER($K90),$K90,$Z90)))</f>
        <v/>
      </c>
      <c r="AB90" s="62">
        <f>IF($V90="","",IF(AND(ISNUMBER($G90),$G90&lt;=IF($S90=MesCiclo,InicioCiclo,$S90+MOD(2-WEEKDAY($S90),7))+27),1,IF(ISNUMBER($L90),$L90,$AA90)))</f>
        <v/>
      </c>
      <c r="AC90" s="62">
        <f>IF($V90="","",IF(AND(ISNUMBER($G90),$G90&lt;=IF($S90=MesCiclo,InicioCiclo,$S90+MOD(2-WEEKDAY($S90),7))+6),1,IF(N($W90)&gt;0,AVERAGEIFS($Y$5:$Y$1000,$U$5:$U$1000,ROW(),$V$5:$V$1000,"Sub"),$Y90)))</f>
        <v/>
      </c>
      <c r="AD90" s="62">
        <f>IF($V90="","",IF(AND(ISNUMBER($G90),$G90&lt;=IF($S90=MesCiclo,InicioCiclo,$S90+MOD(2-WEEKDAY($S90),7))+13),1,IF(N($W90)&gt;0,AVERAGEIFS($Z$5:$Z$1000,$U$5:$U$1000,ROW(),$V$5:$V$1000,"Sub"),$Z90)))</f>
        <v/>
      </c>
      <c r="AE90" s="62">
        <f>IF($V90="","",IF(AND(ISNUMBER($G90),$G90&lt;=IF($S90=MesCiclo,InicioCiclo,$S90+MOD(2-WEEKDAY($S90),7))+20),1,IF(N($W90)&gt;0,AVERAGEIFS($AA$5:$AA$1000,$U$5:$U$1000,ROW(),$V$5:$V$1000,"Sub"),$AA90)))</f>
        <v/>
      </c>
      <c r="AF90" s="62">
        <f>IF($V90="","",IF(AND(ISNUMBER($G90),$G90&lt;=IF($S90=MesCiclo,InicioCiclo,$S90+MOD(2-WEEKDAY($S90),7))+27),1,IF(N($W90)&gt;0,AVERAGEIFS($AB$5:$AB$1000,$U$5:$U$1000,ROW(),$V$5:$V$1000,"Sub"),$AB90)))</f>
        <v/>
      </c>
      <c r="AG90" s="62">
        <f>IF($V90&lt;&gt;"Macro","",IF(COUNTIFS($S$5:$S$1000,$S90,$V$5:$V$1000,"Macro",$H$5:$H$1000,"&gt;0")=0,1/COUNTIFS($S$5:$S$1000,$S90,$V$5:$V$1000,"Macro"),IF(AND(ISNUMBER($H90),N($H90)&gt;0),$H90,SUMIFS($H$5:$H$1000,$S$5:$S$1000,$S90,$V$5:$V$1000,"Macro")/COUNTIFS($S$5:$S$1000,$S90,$V$5:$V$1000,"Macro",$H$5:$H$1000,"&gt;0"))/(COUNTIFS($S$5:$S$1000,$S90,$V$5:$V$1000,"Macro")*SUMIFS($H$5:$H$1000,$S$5:$S$1000,$S90,$V$5:$V$1000,"Macro")/COUNTIFS($S$5:$S$1000,$S90,$V$5:$V$1000,"Macro",$H$5:$H$1000,"&gt;0"))))</f>
        <v/>
      </c>
      <c r="AH90" s="62" t="n"/>
      <c r="AI90" s="62" t="n"/>
      <c r="AJ90" s="62" t="n"/>
      <c r="AK90" s="62" t="n"/>
      <c r="AL90" s="62">
        <f>IF(LEFT($C90,11)="[Jefatura] ",IFERROR(MATCH("Asistente Técnico de Riesgo|"&amp;MID($C90,12,500),rDname_ADM,0),0),"")</f>
        <v/>
      </c>
      <c r="AM90" s="62">
        <f>IF(N($AL90)&gt;0,INDEX(rIni_ADM,$AL90),IF(ISNUMBER($E90),$E90,""))</f>
        <v/>
      </c>
      <c r="AN90" s="62">
        <f>IF(N($AL90)&gt;0,INDEX(rLim_ADM,$AL90),IF(ISNUMBER($F90),$F90,""))</f>
        <v/>
      </c>
    </row>
    <row r="91">
      <c r="A91" s="56">
        <f>IF(NOT((COUNTA($B91:$D91)+COUNTA($G91:$L91)+COUNTA($Q91))&gt;0),"",IF($V91="Macro",COUNTIFS($V$5:$V91,"Macro",$S$5:$S91,$S91),IF(N($U91)=0,"?",COUNTIFS(INDEX($V$5:$V$1000,1):INDEX($V$5:$V$1000,$U91-4),"Macro",INDEX($S$5:$S$1000,1):INDEX($S$5:$S$1000,$U91-4),INDEX($S$5:$S$1000,$U91-4))&amp;"."&amp;COUNTIFS($U$5:$U91,$U91,$V$5:$V91,"Sub"))))</f>
        <v/>
      </c>
      <c r="B91" s="57" t="n"/>
      <c r="C91" s="58" t="n"/>
      <c r="D91" s="58" t="n"/>
      <c r="E91" s="59">
        <f>IF(N($AL91)&gt;0,INDEX(rIni_ADM,$AL91),"")</f>
        <v/>
      </c>
      <c r="F91" s="59">
        <f>IF(N($AL91)&gt;0,INDEX(rLim_ADM,$AL91),"")</f>
        <v/>
      </c>
      <c r="G91" s="59" t="n"/>
      <c r="H91" s="60" t="n"/>
      <c r="I91" s="60" t="n"/>
      <c r="J91" s="60" t="n"/>
      <c r="K91" s="60" t="n"/>
      <c r="L91" s="60" t="n"/>
      <c r="M91" s="61">
        <f>IF(NOT((COUNTA($B91:$D91)+COUNTA($G91:$L91)+COUNTA($Q91))&gt;0),"",IF($V91="Sub",IFERROR($X91/INDEX($W$5:$W$1000,$U91-4),""),IF(ISNUMBER($G91),1,IF(N($W91)&gt;0,AVERAGEIFS($X$5:$X$1000,$U$5:$U$1000,ROW(),$V$5:$V$1000,"Sub"),$X91))))</f>
        <v/>
      </c>
      <c r="N91" s="56">
        <f>IF(OR($M91="",$V91="Sub"),"",IF($M91&gt;=1,"Completado",IF($M91&gt;0,"En curso","Pendiente")))</f>
        <v/>
      </c>
      <c r="O91" s="56">
        <f>IF(OR(NOT((COUNTA($B91:$D91)+COUNTA($G91:$L91)+COUNTA($Q91))&gt;0),$V91="Sub"),"",IF(ISNUMBER($G91),IF(AND(ISNUMBER($AN91),$G91&gt;$AN91),"Cumplida con "&amp;($G91-$AN91)&amp;IF($G91-$AN91=1," día"," días")&amp;" de retraso","Cumplida"),IF(N($M91)&gt;=1,"Cumplida",IF(NOT(ISNUMBER($AN91)),"Sin fecha límite",IF($AN91&lt;FechaRef,"Vencida hace "&amp;(FechaRef-$AN91)&amp;IF(FechaRef-$AN91=1," día"," días"),IF($AN91=FechaRef,"Vence hoy",IF($AN91-FechaRef&lt;=DiasAlerta,"Vence en "&amp;($AN91-FechaRef)&amp;IF($AN91-FechaRef=1," día"," días"),"En plazo")))))))</f>
        <v/>
      </c>
      <c r="P91" s="62" t="n"/>
      <c r="Q91" s="58" t="n"/>
      <c r="R91" s="63">
        <f>IF(NOT((COUNTA($B91:$D91)+COUNTA($G91:$L91)+COUNTA($Q91))&gt;0),"",IF((IF($C91="","Falta el nombre de la actividad"&amp;" · ","")&amp;IF(AND($V91="Sub",N($U91)=0),"Subactividad sin macroactividad arriba"&amp;" · ","")&amp;IF($AM91="","Sin fecha de inicio"&amp;" · ","")&amp;IF($AN91="","Sin fecha límite"&amp;" · ","")&amp;IF(AND(LEFT($C91,11)="[Jefatura] ",N($AL91)=0),"No se encuentra en la hoja de la jefatura (elíjala de nuevo en la lista)"&amp;" · ","")&amp;IF(OR(AND($E91&lt;&gt;"",NOT(ISNUMBER($E91))),AND($F91&lt;&gt;"",NOT(ISNUMBER($F91))),AND($G91&lt;&gt;"",NOT(ISNUMBER($G91)))),"Fecha no válida"&amp;" · ","")&amp;IF(AND(ISNUMBER($AM91),ISNUMBER($AN91),$AM91&gt;$AN91),"Inicio posterior a fecha límite"&amp;" · ","")&amp;IF(AND($V91="Macro",$H91&lt;&gt;"",OR(NOT(ISNUMBER($H91)),$H91&lt;0,$H91&gt;1)),"Peso fuera de rango"&amp;" · ","")&amp;IF(AND($V91="Sub",$H91&lt;&gt;""),"Las subactividades no llevan peso (valen igual dentro de su macroactividad)"&amp;" · ","")&amp;IF(AND(N($W91)&gt;0,COUNT($I91:$L91)&gt;0),"Con subactividades: deje vacías las semanas (se calculan solas)"&amp;" · ","")&amp;IF((COUNTIF($I91:$L91,"&gt;1")+COUNTIF($I91:$L91,"&lt;0")+COUNTA($I91:$L91)-COUNT($I91:$L91))&gt;0,"Avance fuera de rango 0-100%"&amp;" · ","")&amp;IF(OR(AND($J91&lt;&gt;"",$J91&lt;$I91),AND($K91&lt;&gt;"",$K91&lt;MAX($I91:$J91)),AND($L91&lt;&gt;"",$L91&lt;MAX($I91:$K91))),"Avance semanal decreciente"&amp;" · ","")&amp;IF(AND(ISNUMBER($AN91),$AN91&lt;FechaRef,IF($V91="Sub",N($X91),N($M91))&lt;1),"Vencida"&amp;" · ","")&amp;IF(AND(ObsObligatoria="Sí",ISNUMBER($AN91),$AN91&lt;FechaRef,IF($V91="Sub",N($X91),N($M91))&lt;1,$Q91=""),"Vencida sin observación"&amp;" · ",""))="","✔ OK","⚠ "&amp;LEFT(IF($C91="","Falta el nombre de la actividad"&amp;" · ","")&amp;IF(AND($V91="Sub",N($U91)=0),"Subactividad sin macroactividad arriba"&amp;" · ","")&amp;IF($AM91="","Sin fecha de inicio"&amp;" · ","")&amp;IF($AN91="","Sin fecha límite"&amp;" · ","")&amp;IF(AND(LEFT($C91,11)="[Jefatura] ",N($AL91)=0),"No se encuentra en la hoja de la jefatura (elíjala de nuevo en la lista)"&amp;" · ","")&amp;IF(OR(AND($E91&lt;&gt;"",NOT(ISNUMBER($E91))),AND($F91&lt;&gt;"",NOT(ISNUMBER($F91))),AND($G91&lt;&gt;"",NOT(ISNUMBER($G91)))),"Fecha no válida"&amp;" · ","")&amp;IF(AND(ISNUMBER($AM91),ISNUMBER($AN91),$AM91&gt;$AN91),"Inicio posterior a fecha límite"&amp;" · ","")&amp;IF(AND($V91="Macro",$H91&lt;&gt;"",OR(NOT(ISNUMBER($H91)),$H91&lt;0,$H91&gt;1)),"Peso fuera de rango"&amp;" · ","")&amp;IF(AND($V91="Sub",$H91&lt;&gt;""),"Las subactividades no llevan peso (valen igual dentro de su macroactividad)"&amp;" · ","")&amp;IF(AND(N($W91)&gt;0,COUNT($I91:$L91)&gt;0),"Con subactividades: deje vacías las semanas (se calculan solas)"&amp;" · ","")&amp;IF((COUNTIF($I91:$L91,"&gt;1")+COUNTIF($I91:$L91,"&lt;0")+COUNTA($I91:$L91)-COUNT($I91:$L91))&gt;0,"Avance fuera de rango 0-100%"&amp;" · ","")&amp;IF(OR(AND($J91&lt;&gt;"",$J91&lt;$I91),AND($K91&lt;&gt;"",$K91&lt;MAX($I91:$J91)),AND($L91&lt;&gt;"",$L91&lt;MAX($I91:$K91))),"Avance semanal decreciente"&amp;" · ","")&amp;IF(AND(ISNUMBER($AN91),$AN91&lt;FechaRef,IF($V91="Sub",N($X91),N($M91))&lt;1),"Vencida"&amp;" · ","")&amp;IF(AND(ObsObligatoria="Sí",ISNUMBER($AN91),$AN91&lt;FechaRef,IF($V91="Sub",N($X91),N($M91))&lt;1,$Q91=""),"Vencida sin observación"&amp;" · ",""),LEN(IF($C91="","Falta el nombre de la actividad"&amp;" · ","")&amp;IF(AND($V91="Sub",N($U91)=0),"Subactividad sin macroactividad arriba"&amp;" · ","")&amp;IF($AM91="","Sin fecha de inicio"&amp;" · ","")&amp;IF($AN91="","Sin fecha límite"&amp;" · ","")&amp;IF(AND(LEFT($C91,11)="[Jefatura] ",N($AL91)=0),"No se encuentra en la hoja de la jefatura (elíjala de nuevo en la lista)"&amp;" · ","")&amp;IF(OR(AND($E91&lt;&gt;"",NOT(ISNUMBER($E91))),AND($F91&lt;&gt;"",NOT(ISNUMBER($F91))),AND($G91&lt;&gt;"",NOT(ISNUMBER($G91)))),"Fecha no válida"&amp;" · ","")&amp;IF(AND(ISNUMBER($AM91),ISNUMBER($AN91),$AM91&gt;$AN91),"Inicio posterior a fecha límite"&amp;" · ","")&amp;IF(AND($V91="Macro",$H91&lt;&gt;"",OR(NOT(ISNUMBER($H91)),$H91&lt;0,$H91&gt;1)),"Peso fuera de rango"&amp;" · ","")&amp;IF(AND($V91="Sub",$H91&lt;&gt;""),"Las subactividades no llevan peso (valen igual dentro de su macroactividad)"&amp;" · ","")&amp;IF(AND(N($W91)&gt;0,COUNT($I91:$L91)&gt;0),"Con subactividades: deje vacías las semanas (se calculan solas)"&amp;" · ","")&amp;IF((COUNTIF($I91:$L91,"&gt;1")+COUNTIF($I91:$L91,"&lt;0")+COUNTA($I91:$L91)-COUNT($I91:$L91))&gt;0,"Avance fuera de rango 0-100%"&amp;" · ","")&amp;IF(OR(AND($J91&lt;&gt;"",$J91&lt;$I91),AND($K91&lt;&gt;"",$K91&lt;MAX($I91:$J91)),AND($L91&lt;&gt;"",$L91&lt;MAX($I91:$K91))),"Avance semanal decreciente"&amp;" · ","")&amp;IF(AND(ISNUMBER($AN91),$AN91&lt;FechaRef,IF($V91="Sub",N($X91),N($M91))&lt;1),"Vencida"&amp;" · ","")&amp;IF(AND(ObsObligatoria="Sí",ISNUMBER($AN91),$AN91&lt;FechaRef,IF($V91="Sub",N($X91),N($M91))&lt;1,$Q91=""),"Vencida sin observación"&amp;" · ",""))-3)))</f>
        <v/>
      </c>
      <c r="S91" s="64">
        <f>IF(NOT((COUNTA($B91:$D91)+COUNTA($G91:$L91)+COUNTA($Q91))&gt;0),"",IF(AND($V91="Sub",N($U91)&gt;0),IF(ISNUMBER(INDEX($AM$5:$AM$1000,$U91-4)),DATE(YEAR(INDEX($AM$5:$AM$1000,$U91-4)),MONTH(INDEX($AM$5:$AM$1000,$U91-4)),1),IF(ISNUMBER(INDEX($AN$5:$AN$1000,$U91-4)),DATE(YEAR(INDEX($AN$5:$AN$1000,$U91-4)),MONTH(INDEX($AN$5:$AN$1000,$U91-4)),1),MesCiclo)),IF(ISNUMBER($AM91),DATE(YEAR($AM91),MONTH($AM91),1),IF(ISNUMBER($AN91),DATE(YEAR($AN91),MONTH($AN91),1),MesCiclo))))</f>
        <v/>
      </c>
      <c r="T91" s="62">
        <f>IF(OR($S91="",$S91&lt;&gt;MesCiclo,$V91&lt;&gt;"Macro"),"",COUNTIFS($S$5:$S91,MesCiclo,$V$5:$V91,"Macro"))</f>
        <v/>
      </c>
      <c r="U91" s="62">
        <f>IF($V91="","",IF($V91="Macro",ROW(),IFERROR(LOOKUP(2,1/($V$5:$V91="Macro"),ROW($V$5:$V91)),0)))</f>
        <v/>
      </c>
      <c r="V91" s="62">
        <f>IF(NOT((COUNTA($B91:$D91)+COUNTA($G91:$L91)+COUNTA($Q91))&gt;0),"",IF($B91="Subactividad","Sub","Macro"))</f>
        <v/>
      </c>
      <c r="W91" s="62">
        <f>IF($V91="Macro",COUNTIFS($U$5:$U$1000,ROW(),$V$5:$V$1000,"Sub"),"")</f>
        <v/>
      </c>
      <c r="X91" s="62">
        <f>IF($V91="","",IF(ISNUMBER($G91),1,IFERROR(LOOKUP(2,1/($I91:$L91&lt;&gt;""),$I91:$L91),0)))</f>
        <v/>
      </c>
      <c r="Y91" s="62">
        <f>IF($V91="","",IF(AND(ISNUMBER($G91),$G91&lt;=IF($S91=MesCiclo,InicioCiclo,$S91+MOD(2-WEEKDAY($S91),7))+6),1,IF(ISNUMBER($I91),$I91,0)))</f>
        <v/>
      </c>
      <c r="Z91" s="62">
        <f>IF($V91="","",IF(AND(ISNUMBER($G91),$G91&lt;=IF($S91=MesCiclo,InicioCiclo,$S91+MOD(2-WEEKDAY($S91),7))+13),1,IF(ISNUMBER($J91),$J91,$Y91)))</f>
        <v/>
      </c>
      <c r="AA91" s="62">
        <f>IF($V91="","",IF(AND(ISNUMBER($G91),$G91&lt;=IF($S91=MesCiclo,InicioCiclo,$S91+MOD(2-WEEKDAY($S91),7))+20),1,IF(ISNUMBER($K91),$K91,$Z91)))</f>
        <v/>
      </c>
      <c r="AB91" s="62">
        <f>IF($V91="","",IF(AND(ISNUMBER($G91),$G91&lt;=IF($S91=MesCiclo,InicioCiclo,$S91+MOD(2-WEEKDAY($S91),7))+27),1,IF(ISNUMBER($L91),$L91,$AA91)))</f>
        <v/>
      </c>
      <c r="AC91" s="62">
        <f>IF($V91="","",IF(AND(ISNUMBER($G91),$G91&lt;=IF($S91=MesCiclo,InicioCiclo,$S91+MOD(2-WEEKDAY($S91),7))+6),1,IF(N($W91)&gt;0,AVERAGEIFS($Y$5:$Y$1000,$U$5:$U$1000,ROW(),$V$5:$V$1000,"Sub"),$Y91)))</f>
        <v/>
      </c>
      <c r="AD91" s="62">
        <f>IF($V91="","",IF(AND(ISNUMBER($G91),$G91&lt;=IF($S91=MesCiclo,InicioCiclo,$S91+MOD(2-WEEKDAY($S91),7))+13),1,IF(N($W91)&gt;0,AVERAGEIFS($Z$5:$Z$1000,$U$5:$U$1000,ROW(),$V$5:$V$1000,"Sub"),$Z91)))</f>
        <v/>
      </c>
      <c r="AE91" s="62">
        <f>IF($V91="","",IF(AND(ISNUMBER($G91),$G91&lt;=IF($S91=MesCiclo,InicioCiclo,$S91+MOD(2-WEEKDAY($S91),7))+20),1,IF(N($W91)&gt;0,AVERAGEIFS($AA$5:$AA$1000,$U$5:$U$1000,ROW(),$V$5:$V$1000,"Sub"),$AA91)))</f>
        <v/>
      </c>
      <c r="AF91" s="62">
        <f>IF($V91="","",IF(AND(ISNUMBER($G91),$G91&lt;=IF($S91=MesCiclo,InicioCiclo,$S91+MOD(2-WEEKDAY($S91),7))+27),1,IF(N($W91)&gt;0,AVERAGEIFS($AB$5:$AB$1000,$U$5:$U$1000,ROW(),$V$5:$V$1000,"Sub"),$AB91)))</f>
        <v/>
      </c>
      <c r="AG91" s="62">
        <f>IF($V91&lt;&gt;"Macro","",IF(COUNTIFS($S$5:$S$1000,$S91,$V$5:$V$1000,"Macro",$H$5:$H$1000,"&gt;0")=0,1/COUNTIFS($S$5:$S$1000,$S91,$V$5:$V$1000,"Macro"),IF(AND(ISNUMBER($H91),N($H91)&gt;0),$H91,SUMIFS($H$5:$H$1000,$S$5:$S$1000,$S91,$V$5:$V$1000,"Macro")/COUNTIFS($S$5:$S$1000,$S91,$V$5:$V$1000,"Macro",$H$5:$H$1000,"&gt;0"))/(COUNTIFS($S$5:$S$1000,$S91,$V$5:$V$1000,"Macro")*SUMIFS($H$5:$H$1000,$S$5:$S$1000,$S91,$V$5:$V$1000,"Macro")/COUNTIFS($S$5:$S$1000,$S91,$V$5:$V$1000,"Macro",$H$5:$H$1000,"&gt;0"))))</f>
        <v/>
      </c>
      <c r="AH91" s="62" t="n"/>
      <c r="AI91" s="62" t="n"/>
      <c r="AJ91" s="62" t="n"/>
      <c r="AK91" s="62" t="n"/>
      <c r="AL91" s="62">
        <f>IF(LEFT($C91,11)="[Jefatura] ",IFERROR(MATCH("Asistente Técnico de Riesgo|"&amp;MID($C91,12,500),rDname_ADM,0),0),"")</f>
        <v/>
      </c>
      <c r="AM91" s="62">
        <f>IF(N($AL91)&gt;0,INDEX(rIni_ADM,$AL91),IF(ISNUMBER($E91),$E91,""))</f>
        <v/>
      </c>
      <c r="AN91" s="62">
        <f>IF(N($AL91)&gt;0,INDEX(rLim_ADM,$AL91),IF(ISNUMBER($F91),$F91,""))</f>
        <v/>
      </c>
    </row>
    <row r="92">
      <c r="A92" s="56">
        <f>IF(NOT((COUNTA($B92:$D92)+COUNTA($G92:$L92)+COUNTA($Q92))&gt;0),"",IF($V92="Macro",COUNTIFS($V$5:$V92,"Macro",$S$5:$S92,$S92),IF(N($U92)=0,"?",COUNTIFS(INDEX($V$5:$V$1000,1):INDEX($V$5:$V$1000,$U92-4),"Macro",INDEX($S$5:$S$1000,1):INDEX($S$5:$S$1000,$U92-4),INDEX($S$5:$S$1000,$U92-4))&amp;"."&amp;COUNTIFS($U$5:$U92,$U92,$V$5:$V92,"Sub"))))</f>
        <v/>
      </c>
      <c r="B92" s="57" t="n"/>
      <c r="C92" s="58" t="n"/>
      <c r="D92" s="58" t="n"/>
      <c r="E92" s="59">
        <f>IF(N($AL92)&gt;0,INDEX(rIni_ADM,$AL92),"")</f>
        <v/>
      </c>
      <c r="F92" s="59">
        <f>IF(N($AL92)&gt;0,INDEX(rLim_ADM,$AL92),"")</f>
        <v/>
      </c>
      <c r="G92" s="59" t="n"/>
      <c r="H92" s="60" t="n"/>
      <c r="I92" s="60" t="n"/>
      <c r="J92" s="60" t="n"/>
      <c r="K92" s="60" t="n"/>
      <c r="L92" s="60" t="n"/>
      <c r="M92" s="61">
        <f>IF(NOT((COUNTA($B92:$D92)+COUNTA($G92:$L92)+COUNTA($Q92))&gt;0),"",IF($V92="Sub",IFERROR($X92/INDEX($W$5:$W$1000,$U92-4),""),IF(ISNUMBER($G92),1,IF(N($W92)&gt;0,AVERAGEIFS($X$5:$X$1000,$U$5:$U$1000,ROW(),$V$5:$V$1000,"Sub"),$X92))))</f>
        <v/>
      </c>
      <c r="N92" s="56">
        <f>IF(OR($M92="",$V92="Sub"),"",IF($M92&gt;=1,"Completado",IF($M92&gt;0,"En curso","Pendiente")))</f>
        <v/>
      </c>
      <c r="O92" s="56">
        <f>IF(OR(NOT((COUNTA($B92:$D92)+COUNTA($G92:$L92)+COUNTA($Q92))&gt;0),$V92="Sub"),"",IF(ISNUMBER($G92),IF(AND(ISNUMBER($AN92),$G92&gt;$AN92),"Cumplida con "&amp;($G92-$AN92)&amp;IF($G92-$AN92=1," día"," días")&amp;" de retraso","Cumplida"),IF(N($M92)&gt;=1,"Cumplida",IF(NOT(ISNUMBER($AN92)),"Sin fecha límite",IF($AN92&lt;FechaRef,"Vencida hace "&amp;(FechaRef-$AN92)&amp;IF(FechaRef-$AN92=1," día"," días"),IF($AN92=FechaRef,"Vence hoy",IF($AN92-FechaRef&lt;=DiasAlerta,"Vence en "&amp;($AN92-FechaRef)&amp;IF($AN92-FechaRef=1," día"," días"),"En plazo")))))))</f>
        <v/>
      </c>
      <c r="P92" s="62" t="n"/>
      <c r="Q92" s="58" t="n"/>
      <c r="R92" s="63">
        <f>IF(NOT((COUNTA($B92:$D92)+COUNTA($G92:$L92)+COUNTA($Q92))&gt;0),"",IF((IF($C92="","Falta el nombre de la actividad"&amp;" · ","")&amp;IF(AND($V92="Sub",N($U92)=0),"Subactividad sin macroactividad arriba"&amp;" · ","")&amp;IF($AM92="","Sin fecha de inicio"&amp;" · ","")&amp;IF($AN92="","Sin fecha límite"&amp;" · ","")&amp;IF(AND(LEFT($C92,11)="[Jefatura] ",N($AL92)=0),"No se encuentra en la hoja de la jefatura (elíjala de nuevo en la lista)"&amp;" · ","")&amp;IF(OR(AND($E92&lt;&gt;"",NOT(ISNUMBER($E92))),AND($F92&lt;&gt;"",NOT(ISNUMBER($F92))),AND($G92&lt;&gt;"",NOT(ISNUMBER($G92)))),"Fecha no válida"&amp;" · ","")&amp;IF(AND(ISNUMBER($AM92),ISNUMBER($AN92),$AM92&gt;$AN92),"Inicio posterior a fecha límite"&amp;" · ","")&amp;IF(AND($V92="Macro",$H92&lt;&gt;"",OR(NOT(ISNUMBER($H92)),$H92&lt;0,$H92&gt;1)),"Peso fuera de rango"&amp;" · ","")&amp;IF(AND($V92="Sub",$H92&lt;&gt;""),"Las subactividades no llevan peso (valen igual dentro de su macroactividad)"&amp;" · ","")&amp;IF(AND(N($W92)&gt;0,COUNT($I92:$L92)&gt;0),"Con subactividades: deje vacías las semanas (se calculan solas)"&amp;" · ","")&amp;IF((COUNTIF($I92:$L92,"&gt;1")+COUNTIF($I92:$L92,"&lt;0")+COUNTA($I92:$L92)-COUNT($I92:$L92))&gt;0,"Avance fuera de rango 0-100%"&amp;" · ","")&amp;IF(OR(AND($J92&lt;&gt;"",$J92&lt;$I92),AND($K92&lt;&gt;"",$K92&lt;MAX($I92:$J92)),AND($L92&lt;&gt;"",$L92&lt;MAX($I92:$K92))),"Avance semanal decreciente"&amp;" · ","")&amp;IF(AND(ISNUMBER($AN92),$AN92&lt;FechaRef,IF($V92="Sub",N($X92),N($M92))&lt;1),"Vencida"&amp;" · ","")&amp;IF(AND(ObsObligatoria="Sí",ISNUMBER($AN92),$AN92&lt;FechaRef,IF($V92="Sub",N($X92),N($M92))&lt;1,$Q92=""),"Vencida sin observación"&amp;" · ",""))="","✔ OK","⚠ "&amp;LEFT(IF($C92="","Falta el nombre de la actividad"&amp;" · ","")&amp;IF(AND($V92="Sub",N($U92)=0),"Subactividad sin macroactividad arriba"&amp;" · ","")&amp;IF($AM92="","Sin fecha de inicio"&amp;" · ","")&amp;IF($AN92="","Sin fecha límite"&amp;" · ","")&amp;IF(AND(LEFT($C92,11)="[Jefatura] ",N($AL92)=0),"No se encuentra en la hoja de la jefatura (elíjala de nuevo en la lista)"&amp;" · ","")&amp;IF(OR(AND($E92&lt;&gt;"",NOT(ISNUMBER($E92))),AND($F92&lt;&gt;"",NOT(ISNUMBER($F92))),AND($G92&lt;&gt;"",NOT(ISNUMBER($G92)))),"Fecha no válida"&amp;" · ","")&amp;IF(AND(ISNUMBER($AM92),ISNUMBER($AN92),$AM92&gt;$AN92),"Inicio posterior a fecha límite"&amp;" · ","")&amp;IF(AND($V92="Macro",$H92&lt;&gt;"",OR(NOT(ISNUMBER($H92)),$H92&lt;0,$H92&gt;1)),"Peso fuera de rango"&amp;" · ","")&amp;IF(AND($V92="Sub",$H92&lt;&gt;""),"Las subactividades no llevan peso (valen igual dentro de su macroactividad)"&amp;" · ","")&amp;IF(AND(N($W92)&gt;0,COUNT($I92:$L92)&gt;0),"Con subactividades: deje vacías las semanas (se calculan solas)"&amp;" · ","")&amp;IF((COUNTIF($I92:$L92,"&gt;1")+COUNTIF($I92:$L92,"&lt;0")+COUNTA($I92:$L92)-COUNT($I92:$L92))&gt;0,"Avance fuera de rango 0-100%"&amp;" · ","")&amp;IF(OR(AND($J92&lt;&gt;"",$J92&lt;$I92),AND($K92&lt;&gt;"",$K92&lt;MAX($I92:$J92)),AND($L92&lt;&gt;"",$L92&lt;MAX($I92:$K92))),"Avance semanal decreciente"&amp;" · ","")&amp;IF(AND(ISNUMBER($AN92),$AN92&lt;FechaRef,IF($V92="Sub",N($X92),N($M92))&lt;1),"Vencida"&amp;" · ","")&amp;IF(AND(ObsObligatoria="Sí",ISNUMBER($AN92),$AN92&lt;FechaRef,IF($V92="Sub",N($X92),N($M92))&lt;1,$Q92=""),"Vencida sin observación"&amp;" · ",""),LEN(IF($C92="","Falta el nombre de la actividad"&amp;" · ","")&amp;IF(AND($V92="Sub",N($U92)=0),"Subactividad sin macroactividad arriba"&amp;" · ","")&amp;IF($AM92="","Sin fecha de inicio"&amp;" · ","")&amp;IF($AN92="","Sin fecha límite"&amp;" · ","")&amp;IF(AND(LEFT($C92,11)="[Jefatura] ",N($AL92)=0),"No se encuentra en la hoja de la jefatura (elíjala de nuevo en la lista)"&amp;" · ","")&amp;IF(OR(AND($E92&lt;&gt;"",NOT(ISNUMBER($E92))),AND($F92&lt;&gt;"",NOT(ISNUMBER($F92))),AND($G92&lt;&gt;"",NOT(ISNUMBER($G92)))),"Fecha no válida"&amp;" · ","")&amp;IF(AND(ISNUMBER($AM92),ISNUMBER($AN92),$AM92&gt;$AN92),"Inicio posterior a fecha límite"&amp;" · ","")&amp;IF(AND($V92="Macro",$H92&lt;&gt;"",OR(NOT(ISNUMBER($H92)),$H92&lt;0,$H92&gt;1)),"Peso fuera de rango"&amp;" · ","")&amp;IF(AND($V92="Sub",$H92&lt;&gt;""),"Las subactividades no llevan peso (valen igual dentro de su macroactividad)"&amp;" · ","")&amp;IF(AND(N($W92)&gt;0,COUNT($I92:$L92)&gt;0),"Con subactividades: deje vacías las semanas (se calculan solas)"&amp;" · ","")&amp;IF((COUNTIF($I92:$L92,"&gt;1")+COUNTIF($I92:$L92,"&lt;0")+COUNTA($I92:$L92)-COUNT($I92:$L92))&gt;0,"Avance fuera de rango 0-100%"&amp;" · ","")&amp;IF(OR(AND($J92&lt;&gt;"",$J92&lt;$I92),AND($K92&lt;&gt;"",$K92&lt;MAX($I92:$J92)),AND($L92&lt;&gt;"",$L92&lt;MAX($I92:$K92))),"Avance semanal decreciente"&amp;" · ","")&amp;IF(AND(ISNUMBER($AN92),$AN92&lt;FechaRef,IF($V92="Sub",N($X92),N($M92))&lt;1),"Vencida"&amp;" · ","")&amp;IF(AND(ObsObligatoria="Sí",ISNUMBER($AN92),$AN92&lt;FechaRef,IF($V92="Sub",N($X92),N($M92))&lt;1,$Q92=""),"Vencida sin observación"&amp;" · ",""))-3)))</f>
        <v/>
      </c>
      <c r="S92" s="64">
        <f>IF(NOT((COUNTA($B92:$D92)+COUNTA($G92:$L92)+COUNTA($Q92))&gt;0),"",IF(AND($V92="Sub",N($U92)&gt;0),IF(ISNUMBER(INDEX($AM$5:$AM$1000,$U92-4)),DATE(YEAR(INDEX($AM$5:$AM$1000,$U92-4)),MONTH(INDEX($AM$5:$AM$1000,$U92-4)),1),IF(ISNUMBER(INDEX($AN$5:$AN$1000,$U92-4)),DATE(YEAR(INDEX($AN$5:$AN$1000,$U92-4)),MONTH(INDEX($AN$5:$AN$1000,$U92-4)),1),MesCiclo)),IF(ISNUMBER($AM92),DATE(YEAR($AM92),MONTH($AM92),1),IF(ISNUMBER($AN92),DATE(YEAR($AN92),MONTH($AN92),1),MesCiclo))))</f>
        <v/>
      </c>
      <c r="T92" s="62">
        <f>IF(OR($S92="",$S92&lt;&gt;MesCiclo,$V92&lt;&gt;"Macro"),"",COUNTIFS($S$5:$S92,MesCiclo,$V$5:$V92,"Macro"))</f>
        <v/>
      </c>
      <c r="U92" s="62">
        <f>IF($V92="","",IF($V92="Macro",ROW(),IFERROR(LOOKUP(2,1/($V$5:$V92="Macro"),ROW($V$5:$V92)),0)))</f>
        <v/>
      </c>
      <c r="V92" s="62">
        <f>IF(NOT((COUNTA($B92:$D92)+COUNTA($G92:$L92)+COUNTA($Q92))&gt;0),"",IF($B92="Subactividad","Sub","Macro"))</f>
        <v/>
      </c>
      <c r="W92" s="62">
        <f>IF($V92="Macro",COUNTIFS($U$5:$U$1000,ROW(),$V$5:$V$1000,"Sub"),"")</f>
        <v/>
      </c>
      <c r="X92" s="62">
        <f>IF($V92="","",IF(ISNUMBER($G92),1,IFERROR(LOOKUP(2,1/($I92:$L92&lt;&gt;""),$I92:$L92),0)))</f>
        <v/>
      </c>
      <c r="Y92" s="62">
        <f>IF($V92="","",IF(AND(ISNUMBER($G92),$G92&lt;=IF($S92=MesCiclo,InicioCiclo,$S92+MOD(2-WEEKDAY($S92),7))+6),1,IF(ISNUMBER($I92),$I92,0)))</f>
        <v/>
      </c>
      <c r="Z92" s="62">
        <f>IF($V92="","",IF(AND(ISNUMBER($G92),$G92&lt;=IF($S92=MesCiclo,InicioCiclo,$S92+MOD(2-WEEKDAY($S92),7))+13),1,IF(ISNUMBER($J92),$J92,$Y92)))</f>
        <v/>
      </c>
      <c r="AA92" s="62">
        <f>IF($V92="","",IF(AND(ISNUMBER($G92),$G92&lt;=IF($S92=MesCiclo,InicioCiclo,$S92+MOD(2-WEEKDAY($S92),7))+20),1,IF(ISNUMBER($K92),$K92,$Z92)))</f>
        <v/>
      </c>
      <c r="AB92" s="62">
        <f>IF($V92="","",IF(AND(ISNUMBER($G92),$G92&lt;=IF($S92=MesCiclo,InicioCiclo,$S92+MOD(2-WEEKDAY($S92),7))+27),1,IF(ISNUMBER($L92),$L92,$AA92)))</f>
        <v/>
      </c>
      <c r="AC92" s="62">
        <f>IF($V92="","",IF(AND(ISNUMBER($G92),$G92&lt;=IF($S92=MesCiclo,InicioCiclo,$S92+MOD(2-WEEKDAY($S92),7))+6),1,IF(N($W92)&gt;0,AVERAGEIFS($Y$5:$Y$1000,$U$5:$U$1000,ROW(),$V$5:$V$1000,"Sub"),$Y92)))</f>
        <v/>
      </c>
      <c r="AD92" s="62">
        <f>IF($V92="","",IF(AND(ISNUMBER($G92),$G92&lt;=IF($S92=MesCiclo,InicioCiclo,$S92+MOD(2-WEEKDAY($S92),7))+13),1,IF(N($W92)&gt;0,AVERAGEIFS($Z$5:$Z$1000,$U$5:$U$1000,ROW(),$V$5:$V$1000,"Sub"),$Z92)))</f>
        <v/>
      </c>
      <c r="AE92" s="62">
        <f>IF($V92="","",IF(AND(ISNUMBER($G92),$G92&lt;=IF($S92=MesCiclo,InicioCiclo,$S92+MOD(2-WEEKDAY($S92),7))+20),1,IF(N($W92)&gt;0,AVERAGEIFS($AA$5:$AA$1000,$U$5:$U$1000,ROW(),$V$5:$V$1000,"Sub"),$AA92)))</f>
        <v/>
      </c>
      <c r="AF92" s="62">
        <f>IF($V92="","",IF(AND(ISNUMBER($G92),$G92&lt;=IF($S92=MesCiclo,InicioCiclo,$S92+MOD(2-WEEKDAY($S92),7))+27),1,IF(N($W92)&gt;0,AVERAGEIFS($AB$5:$AB$1000,$U$5:$U$1000,ROW(),$V$5:$V$1000,"Sub"),$AB92)))</f>
        <v/>
      </c>
      <c r="AG92" s="62">
        <f>IF($V92&lt;&gt;"Macro","",IF(COUNTIFS($S$5:$S$1000,$S92,$V$5:$V$1000,"Macro",$H$5:$H$1000,"&gt;0")=0,1/COUNTIFS($S$5:$S$1000,$S92,$V$5:$V$1000,"Macro"),IF(AND(ISNUMBER($H92),N($H92)&gt;0),$H92,SUMIFS($H$5:$H$1000,$S$5:$S$1000,$S92,$V$5:$V$1000,"Macro")/COUNTIFS($S$5:$S$1000,$S92,$V$5:$V$1000,"Macro",$H$5:$H$1000,"&gt;0"))/(COUNTIFS($S$5:$S$1000,$S92,$V$5:$V$1000,"Macro")*SUMIFS($H$5:$H$1000,$S$5:$S$1000,$S92,$V$5:$V$1000,"Macro")/COUNTIFS($S$5:$S$1000,$S92,$V$5:$V$1000,"Macro",$H$5:$H$1000,"&gt;0"))))</f>
        <v/>
      </c>
      <c r="AH92" s="62" t="n"/>
      <c r="AI92" s="62" t="n"/>
      <c r="AJ92" s="62" t="n"/>
      <c r="AK92" s="62" t="n"/>
      <c r="AL92" s="62">
        <f>IF(LEFT($C92,11)="[Jefatura] ",IFERROR(MATCH("Asistente Técnico de Riesgo|"&amp;MID($C92,12,500),rDname_ADM,0),0),"")</f>
        <v/>
      </c>
      <c r="AM92" s="62">
        <f>IF(N($AL92)&gt;0,INDEX(rIni_ADM,$AL92),IF(ISNUMBER($E92),$E92,""))</f>
        <v/>
      </c>
      <c r="AN92" s="62">
        <f>IF(N($AL92)&gt;0,INDEX(rLim_ADM,$AL92),IF(ISNUMBER($F92),$F92,""))</f>
        <v/>
      </c>
    </row>
    <row r="93">
      <c r="A93" s="56">
        <f>IF(NOT((COUNTA($B93:$D93)+COUNTA($G93:$L93)+COUNTA($Q93))&gt;0),"",IF($V93="Macro",COUNTIFS($V$5:$V93,"Macro",$S$5:$S93,$S93),IF(N($U93)=0,"?",COUNTIFS(INDEX($V$5:$V$1000,1):INDEX($V$5:$V$1000,$U93-4),"Macro",INDEX($S$5:$S$1000,1):INDEX($S$5:$S$1000,$U93-4),INDEX($S$5:$S$1000,$U93-4))&amp;"."&amp;COUNTIFS($U$5:$U93,$U93,$V$5:$V93,"Sub"))))</f>
        <v/>
      </c>
      <c r="B93" s="57" t="n"/>
      <c r="C93" s="58" t="n"/>
      <c r="D93" s="58" t="n"/>
      <c r="E93" s="59">
        <f>IF(N($AL93)&gt;0,INDEX(rIni_ADM,$AL93),"")</f>
        <v/>
      </c>
      <c r="F93" s="59">
        <f>IF(N($AL93)&gt;0,INDEX(rLim_ADM,$AL93),"")</f>
        <v/>
      </c>
      <c r="G93" s="59" t="n"/>
      <c r="H93" s="60" t="n"/>
      <c r="I93" s="60" t="n"/>
      <c r="J93" s="60" t="n"/>
      <c r="K93" s="60" t="n"/>
      <c r="L93" s="60" t="n"/>
      <c r="M93" s="61">
        <f>IF(NOT((COUNTA($B93:$D93)+COUNTA($G93:$L93)+COUNTA($Q93))&gt;0),"",IF($V93="Sub",IFERROR($X93/INDEX($W$5:$W$1000,$U93-4),""),IF(ISNUMBER($G93),1,IF(N($W93)&gt;0,AVERAGEIFS($X$5:$X$1000,$U$5:$U$1000,ROW(),$V$5:$V$1000,"Sub"),$X93))))</f>
        <v/>
      </c>
      <c r="N93" s="56">
        <f>IF(OR($M93="",$V93="Sub"),"",IF($M93&gt;=1,"Completado",IF($M93&gt;0,"En curso","Pendiente")))</f>
        <v/>
      </c>
      <c r="O93" s="56">
        <f>IF(OR(NOT((COUNTA($B93:$D93)+COUNTA($G93:$L93)+COUNTA($Q93))&gt;0),$V93="Sub"),"",IF(ISNUMBER($G93),IF(AND(ISNUMBER($AN93),$G93&gt;$AN93),"Cumplida con "&amp;($G93-$AN93)&amp;IF($G93-$AN93=1," día"," días")&amp;" de retraso","Cumplida"),IF(N($M93)&gt;=1,"Cumplida",IF(NOT(ISNUMBER($AN93)),"Sin fecha límite",IF($AN93&lt;FechaRef,"Vencida hace "&amp;(FechaRef-$AN93)&amp;IF(FechaRef-$AN93=1," día"," días"),IF($AN93=FechaRef,"Vence hoy",IF($AN93-FechaRef&lt;=DiasAlerta,"Vence en "&amp;($AN93-FechaRef)&amp;IF($AN93-FechaRef=1," día"," días"),"En plazo")))))))</f>
        <v/>
      </c>
      <c r="P93" s="62" t="n"/>
      <c r="Q93" s="58" t="n"/>
      <c r="R93" s="63">
        <f>IF(NOT((COUNTA($B93:$D93)+COUNTA($G93:$L93)+COUNTA($Q93))&gt;0),"",IF((IF($C93="","Falta el nombre de la actividad"&amp;" · ","")&amp;IF(AND($V93="Sub",N($U93)=0),"Subactividad sin macroactividad arriba"&amp;" · ","")&amp;IF($AM93="","Sin fecha de inicio"&amp;" · ","")&amp;IF($AN93="","Sin fecha límite"&amp;" · ","")&amp;IF(AND(LEFT($C93,11)="[Jefatura] ",N($AL93)=0),"No se encuentra en la hoja de la jefatura (elíjala de nuevo en la lista)"&amp;" · ","")&amp;IF(OR(AND($E93&lt;&gt;"",NOT(ISNUMBER($E93))),AND($F93&lt;&gt;"",NOT(ISNUMBER($F93))),AND($G93&lt;&gt;"",NOT(ISNUMBER($G93)))),"Fecha no válida"&amp;" · ","")&amp;IF(AND(ISNUMBER($AM93),ISNUMBER($AN93),$AM93&gt;$AN93),"Inicio posterior a fecha límite"&amp;" · ","")&amp;IF(AND($V93="Macro",$H93&lt;&gt;"",OR(NOT(ISNUMBER($H93)),$H93&lt;0,$H93&gt;1)),"Peso fuera de rango"&amp;" · ","")&amp;IF(AND($V93="Sub",$H93&lt;&gt;""),"Las subactividades no llevan peso (valen igual dentro de su macroactividad)"&amp;" · ","")&amp;IF(AND(N($W93)&gt;0,COUNT($I93:$L93)&gt;0),"Con subactividades: deje vacías las semanas (se calculan solas)"&amp;" · ","")&amp;IF((COUNTIF($I93:$L93,"&gt;1")+COUNTIF($I93:$L93,"&lt;0")+COUNTA($I93:$L93)-COUNT($I93:$L93))&gt;0,"Avance fuera de rango 0-100%"&amp;" · ","")&amp;IF(OR(AND($J93&lt;&gt;"",$J93&lt;$I93),AND($K93&lt;&gt;"",$K93&lt;MAX($I93:$J93)),AND($L93&lt;&gt;"",$L93&lt;MAX($I93:$K93))),"Avance semanal decreciente"&amp;" · ","")&amp;IF(AND(ISNUMBER($AN93),$AN93&lt;FechaRef,IF($V93="Sub",N($X93),N($M93))&lt;1),"Vencida"&amp;" · ","")&amp;IF(AND(ObsObligatoria="Sí",ISNUMBER($AN93),$AN93&lt;FechaRef,IF($V93="Sub",N($X93),N($M93))&lt;1,$Q93=""),"Vencida sin observación"&amp;" · ",""))="","✔ OK","⚠ "&amp;LEFT(IF($C93="","Falta el nombre de la actividad"&amp;" · ","")&amp;IF(AND($V93="Sub",N($U93)=0),"Subactividad sin macroactividad arriba"&amp;" · ","")&amp;IF($AM93="","Sin fecha de inicio"&amp;" · ","")&amp;IF($AN93="","Sin fecha límite"&amp;" · ","")&amp;IF(AND(LEFT($C93,11)="[Jefatura] ",N($AL93)=0),"No se encuentra en la hoja de la jefatura (elíjala de nuevo en la lista)"&amp;" · ","")&amp;IF(OR(AND($E93&lt;&gt;"",NOT(ISNUMBER($E93))),AND($F93&lt;&gt;"",NOT(ISNUMBER($F93))),AND($G93&lt;&gt;"",NOT(ISNUMBER($G93)))),"Fecha no válida"&amp;" · ","")&amp;IF(AND(ISNUMBER($AM93),ISNUMBER($AN93),$AM93&gt;$AN93),"Inicio posterior a fecha límite"&amp;" · ","")&amp;IF(AND($V93="Macro",$H93&lt;&gt;"",OR(NOT(ISNUMBER($H93)),$H93&lt;0,$H93&gt;1)),"Peso fuera de rango"&amp;" · ","")&amp;IF(AND($V93="Sub",$H93&lt;&gt;""),"Las subactividades no llevan peso (valen igual dentro de su macroactividad)"&amp;" · ","")&amp;IF(AND(N($W93)&gt;0,COUNT($I93:$L93)&gt;0),"Con subactividades: deje vacías las semanas (se calculan solas)"&amp;" · ","")&amp;IF((COUNTIF($I93:$L93,"&gt;1")+COUNTIF($I93:$L93,"&lt;0")+COUNTA($I93:$L93)-COUNT($I93:$L93))&gt;0,"Avance fuera de rango 0-100%"&amp;" · ","")&amp;IF(OR(AND($J93&lt;&gt;"",$J93&lt;$I93),AND($K93&lt;&gt;"",$K93&lt;MAX($I93:$J93)),AND($L93&lt;&gt;"",$L93&lt;MAX($I93:$K93))),"Avance semanal decreciente"&amp;" · ","")&amp;IF(AND(ISNUMBER($AN93),$AN93&lt;FechaRef,IF($V93="Sub",N($X93),N($M93))&lt;1),"Vencida"&amp;" · ","")&amp;IF(AND(ObsObligatoria="Sí",ISNUMBER($AN93),$AN93&lt;FechaRef,IF($V93="Sub",N($X93),N($M93))&lt;1,$Q93=""),"Vencida sin observación"&amp;" · ",""),LEN(IF($C93="","Falta el nombre de la actividad"&amp;" · ","")&amp;IF(AND($V93="Sub",N($U93)=0),"Subactividad sin macroactividad arriba"&amp;" · ","")&amp;IF($AM93="","Sin fecha de inicio"&amp;" · ","")&amp;IF($AN93="","Sin fecha límite"&amp;" · ","")&amp;IF(AND(LEFT($C93,11)="[Jefatura] ",N($AL93)=0),"No se encuentra en la hoja de la jefatura (elíjala de nuevo en la lista)"&amp;" · ","")&amp;IF(OR(AND($E93&lt;&gt;"",NOT(ISNUMBER($E93))),AND($F93&lt;&gt;"",NOT(ISNUMBER($F93))),AND($G93&lt;&gt;"",NOT(ISNUMBER($G93)))),"Fecha no válida"&amp;" · ","")&amp;IF(AND(ISNUMBER($AM93),ISNUMBER($AN93),$AM93&gt;$AN93),"Inicio posterior a fecha límite"&amp;" · ","")&amp;IF(AND($V93="Macro",$H93&lt;&gt;"",OR(NOT(ISNUMBER($H93)),$H93&lt;0,$H93&gt;1)),"Peso fuera de rango"&amp;" · ","")&amp;IF(AND($V93="Sub",$H93&lt;&gt;""),"Las subactividades no llevan peso (valen igual dentro de su macroactividad)"&amp;" · ","")&amp;IF(AND(N($W93)&gt;0,COUNT($I93:$L93)&gt;0),"Con subactividades: deje vacías las semanas (se calculan solas)"&amp;" · ","")&amp;IF((COUNTIF($I93:$L93,"&gt;1")+COUNTIF($I93:$L93,"&lt;0")+COUNTA($I93:$L93)-COUNT($I93:$L93))&gt;0,"Avance fuera de rango 0-100%"&amp;" · ","")&amp;IF(OR(AND($J93&lt;&gt;"",$J93&lt;$I93),AND($K93&lt;&gt;"",$K93&lt;MAX($I93:$J93)),AND($L93&lt;&gt;"",$L93&lt;MAX($I93:$K93))),"Avance semanal decreciente"&amp;" · ","")&amp;IF(AND(ISNUMBER($AN93),$AN93&lt;FechaRef,IF($V93="Sub",N($X93),N($M93))&lt;1),"Vencida"&amp;" · ","")&amp;IF(AND(ObsObligatoria="Sí",ISNUMBER($AN93),$AN93&lt;FechaRef,IF($V93="Sub",N($X93),N($M93))&lt;1,$Q93=""),"Vencida sin observación"&amp;" · ",""))-3)))</f>
        <v/>
      </c>
      <c r="S93" s="64">
        <f>IF(NOT((COUNTA($B93:$D93)+COUNTA($G93:$L93)+COUNTA($Q93))&gt;0),"",IF(AND($V93="Sub",N($U93)&gt;0),IF(ISNUMBER(INDEX($AM$5:$AM$1000,$U93-4)),DATE(YEAR(INDEX($AM$5:$AM$1000,$U93-4)),MONTH(INDEX($AM$5:$AM$1000,$U93-4)),1),IF(ISNUMBER(INDEX($AN$5:$AN$1000,$U93-4)),DATE(YEAR(INDEX($AN$5:$AN$1000,$U93-4)),MONTH(INDEX($AN$5:$AN$1000,$U93-4)),1),MesCiclo)),IF(ISNUMBER($AM93),DATE(YEAR($AM93),MONTH($AM93),1),IF(ISNUMBER($AN93),DATE(YEAR($AN93),MONTH($AN93),1),MesCiclo))))</f>
        <v/>
      </c>
      <c r="T93" s="62">
        <f>IF(OR($S93="",$S93&lt;&gt;MesCiclo,$V93&lt;&gt;"Macro"),"",COUNTIFS($S$5:$S93,MesCiclo,$V$5:$V93,"Macro"))</f>
        <v/>
      </c>
      <c r="U93" s="62">
        <f>IF($V93="","",IF($V93="Macro",ROW(),IFERROR(LOOKUP(2,1/($V$5:$V93="Macro"),ROW($V$5:$V93)),0)))</f>
        <v/>
      </c>
      <c r="V93" s="62">
        <f>IF(NOT((COUNTA($B93:$D93)+COUNTA($G93:$L93)+COUNTA($Q93))&gt;0),"",IF($B93="Subactividad","Sub","Macro"))</f>
        <v/>
      </c>
      <c r="W93" s="62">
        <f>IF($V93="Macro",COUNTIFS($U$5:$U$1000,ROW(),$V$5:$V$1000,"Sub"),"")</f>
        <v/>
      </c>
      <c r="X93" s="62">
        <f>IF($V93="","",IF(ISNUMBER($G93),1,IFERROR(LOOKUP(2,1/($I93:$L93&lt;&gt;""),$I93:$L93),0)))</f>
        <v/>
      </c>
      <c r="Y93" s="62">
        <f>IF($V93="","",IF(AND(ISNUMBER($G93),$G93&lt;=IF($S93=MesCiclo,InicioCiclo,$S93+MOD(2-WEEKDAY($S93),7))+6),1,IF(ISNUMBER($I93),$I93,0)))</f>
        <v/>
      </c>
      <c r="Z93" s="62">
        <f>IF($V93="","",IF(AND(ISNUMBER($G93),$G93&lt;=IF($S93=MesCiclo,InicioCiclo,$S93+MOD(2-WEEKDAY($S93),7))+13),1,IF(ISNUMBER($J93),$J93,$Y93)))</f>
        <v/>
      </c>
      <c r="AA93" s="62">
        <f>IF($V93="","",IF(AND(ISNUMBER($G93),$G93&lt;=IF($S93=MesCiclo,InicioCiclo,$S93+MOD(2-WEEKDAY($S93),7))+20),1,IF(ISNUMBER($K93),$K93,$Z93)))</f>
        <v/>
      </c>
      <c r="AB93" s="62">
        <f>IF($V93="","",IF(AND(ISNUMBER($G93),$G93&lt;=IF($S93=MesCiclo,InicioCiclo,$S93+MOD(2-WEEKDAY($S93),7))+27),1,IF(ISNUMBER($L93),$L93,$AA93)))</f>
        <v/>
      </c>
      <c r="AC93" s="62">
        <f>IF($V93="","",IF(AND(ISNUMBER($G93),$G93&lt;=IF($S93=MesCiclo,InicioCiclo,$S93+MOD(2-WEEKDAY($S93),7))+6),1,IF(N($W93)&gt;0,AVERAGEIFS($Y$5:$Y$1000,$U$5:$U$1000,ROW(),$V$5:$V$1000,"Sub"),$Y93)))</f>
        <v/>
      </c>
      <c r="AD93" s="62">
        <f>IF($V93="","",IF(AND(ISNUMBER($G93),$G93&lt;=IF($S93=MesCiclo,InicioCiclo,$S93+MOD(2-WEEKDAY($S93),7))+13),1,IF(N($W93)&gt;0,AVERAGEIFS($Z$5:$Z$1000,$U$5:$U$1000,ROW(),$V$5:$V$1000,"Sub"),$Z93)))</f>
        <v/>
      </c>
      <c r="AE93" s="62">
        <f>IF($V93="","",IF(AND(ISNUMBER($G93),$G93&lt;=IF($S93=MesCiclo,InicioCiclo,$S93+MOD(2-WEEKDAY($S93),7))+20),1,IF(N($W93)&gt;0,AVERAGEIFS($AA$5:$AA$1000,$U$5:$U$1000,ROW(),$V$5:$V$1000,"Sub"),$AA93)))</f>
        <v/>
      </c>
      <c r="AF93" s="62">
        <f>IF($V93="","",IF(AND(ISNUMBER($G93),$G93&lt;=IF($S93=MesCiclo,InicioCiclo,$S93+MOD(2-WEEKDAY($S93),7))+27),1,IF(N($W93)&gt;0,AVERAGEIFS($AB$5:$AB$1000,$U$5:$U$1000,ROW(),$V$5:$V$1000,"Sub"),$AB93)))</f>
        <v/>
      </c>
      <c r="AG93" s="62">
        <f>IF($V93&lt;&gt;"Macro","",IF(COUNTIFS($S$5:$S$1000,$S93,$V$5:$V$1000,"Macro",$H$5:$H$1000,"&gt;0")=0,1/COUNTIFS($S$5:$S$1000,$S93,$V$5:$V$1000,"Macro"),IF(AND(ISNUMBER($H93),N($H93)&gt;0),$H93,SUMIFS($H$5:$H$1000,$S$5:$S$1000,$S93,$V$5:$V$1000,"Macro")/COUNTIFS($S$5:$S$1000,$S93,$V$5:$V$1000,"Macro",$H$5:$H$1000,"&gt;0"))/(COUNTIFS($S$5:$S$1000,$S93,$V$5:$V$1000,"Macro")*SUMIFS($H$5:$H$1000,$S$5:$S$1000,$S93,$V$5:$V$1000,"Macro")/COUNTIFS($S$5:$S$1000,$S93,$V$5:$V$1000,"Macro",$H$5:$H$1000,"&gt;0"))))</f>
        <v/>
      </c>
      <c r="AH93" s="62" t="n"/>
      <c r="AI93" s="62" t="n"/>
      <c r="AJ93" s="62" t="n"/>
      <c r="AK93" s="62" t="n"/>
      <c r="AL93" s="62">
        <f>IF(LEFT($C93,11)="[Jefatura] ",IFERROR(MATCH("Asistente Técnico de Riesgo|"&amp;MID($C93,12,500),rDname_ADM,0),0),"")</f>
        <v/>
      </c>
      <c r="AM93" s="62">
        <f>IF(N($AL93)&gt;0,INDEX(rIni_ADM,$AL93),IF(ISNUMBER($E93),$E93,""))</f>
        <v/>
      </c>
      <c r="AN93" s="62">
        <f>IF(N($AL93)&gt;0,INDEX(rLim_ADM,$AL93),IF(ISNUMBER($F93),$F93,""))</f>
        <v/>
      </c>
    </row>
    <row r="94">
      <c r="A94" s="56">
        <f>IF(NOT((COUNTA($B94:$D94)+COUNTA($G94:$L94)+COUNTA($Q94))&gt;0),"",IF($V94="Macro",COUNTIFS($V$5:$V94,"Macro",$S$5:$S94,$S94),IF(N($U94)=0,"?",COUNTIFS(INDEX($V$5:$V$1000,1):INDEX($V$5:$V$1000,$U94-4),"Macro",INDEX($S$5:$S$1000,1):INDEX($S$5:$S$1000,$U94-4),INDEX($S$5:$S$1000,$U94-4))&amp;"."&amp;COUNTIFS($U$5:$U94,$U94,$V$5:$V94,"Sub"))))</f>
        <v/>
      </c>
      <c r="B94" s="57" t="n"/>
      <c r="C94" s="58" t="n"/>
      <c r="D94" s="58" t="n"/>
      <c r="E94" s="59">
        <f>IF(N($AL94)&gt;0,INDEX(rIni_ADM,$AL94),"")</f>
        <v/>
      </c>
      <c r="F94" s="59">
        <f>IF(N($AL94)&gt;0,INDEX(rLim_ADM,$AL94),"")</f>
        <v/>
      </c>
      <c r="G94" s="59" t="n"/>
      <c r="H94" s="60" t="n"/>
      <c r="I94" s="60" t="n"/>
      <c r="J94" s="60" t="n"/>
      <c r="K94" s="60" t="n"/>
      <c r="L94" s="60" t="n"/>
      <c r="M94" s="61">
        <f>IF(NOT((COUNTA($B94:$D94)+COUNTA($G94:$L94)+COUNTA($Q94))&gt;0),"",IF($V94="Sub",IFERROR($X94/INDEX($W$5:$W$1000,$U94-4),""),IF(ISNUMBER($G94),1,IF(N($W94)&gt;0,AVERAGEIFS($X$5:$X$1000,$U$5:$U$1000,ROW(),$V$5:$V$1000,"Sub"),$X94))))</f>
        <v/>
      </c>
      <c r="N94" s="56">
        <f>IF(OR($M94="",$V94="Sub"),"",IF($M94&gt;=1,"Completado",IF($M94&gt;0,"En curso","Pendiente")))</f>
        <v/>
      </c>
      <c r="O94" s="56">
        <f>IF(OR(NOT((COUNTA($B94:$D94)+COUNTA($G94:$L94)+COUNTA($Q94))&gt;0),$V94="Sub"),"",IF(ISNUMBER($G94),IF(AND(ISNUMBER($AN94),$G94&gt;$AN94),"Cumplida con "&amp;($G94-$AN94)&amp;IF($G94-$AN94=1," día"," días")&amp;" de retraso","Cumplida"),IF(N($M94)&gt;=1,"Cumplida",IF(NOT(ISNUMBER($AN94)),"Sin fecha límite",IF($AN94&lt;FechaRef,"Vencida hace "&amp;(FechaRef-$AN94)&amp;IF(FechaRef-$AN94=1," día"," días"),IF($AN94=FechaRef,"Vence hoy",IF($AN94-FechaRef&lt;=DiasAlerta,"Vence en "&amp;($AN94-FechaRef)&amp;IF($AN94-FechaRef=1," día"," días"),"En plazo")))))))</f>
        <v/>
      </c>
      <c r="P94" s="62" t="n"/>
      <c r="Q94" s="58" t="n"/>
      <c r="R94" s="63">
        <f>IF(NOT((COUNTA($B94:$D94)+COUNTA($G94:$L94)+COUNTA($Q94))&gt;0),"",IF((IF($C94="","Falta el nombre de la actividad"&amp;" · ","")&amp;IF(AND($V94="Sub",N($U94)=0),"Subactividad sin macroactividad arriba"&amp;" · ","")&amp;IF($AM94="","Sin fecha de inicio"&amp;" · ","")&amp;IF($AN94="","Sin fecha límite"&amp;" · ","")&amp;IF(AND(LEFT($C94,11)="[Jefatura] ",N($AL94)=0),"No se encuentra en la hoja de la jefatura (elíjala de nuevo en la lista)"&amp;" · ","")&amp;IF(OR(AND($E94&lt;&gt;"",NOT(ISNUMBER($E94))),AND($F94&lt;&gt;"",NOT(ISNUMBER($F94))),AND($G94&lt;&gt;"",NOT(ISNUMBER($G94)))),"Fecha no válida"&amp;" · ","")&amp;IF(AND(ISNUMBER($AM94),ISNUMBER($AN94),$AM94&gt;$AN94),"Inicio posterior a fecha límite"&amp;" · ","")&amp;IF(AND($V94="Macro",$H94&lt;&gt;"",OR(NOT(ISNUMBER($H94)),$H94&lt;0,$H94&gt;1)),"Peso fuera de rango"&amp;" · ","")&amp;IF(AND($V94="Sub",$H94&lt;&gt;""),"Las subactividades no llevan peso (valen igual dentro de su macroactividad)"&amp;" · ","")&amp;IF(AND(N($W94)&gt;0,COUNT($I94:$L94)&gt;0),"Con subactividades: deje vacías las semanas (se calculan solas)"&amp;" · ","")&amp;IF((COUNTIF($I94:$L94,"&gt;1")+COUNTIF($I94:$L94,"&lt;0")+COUNTA($I94:$L94)-COUNT($I94:$L94))&gt;0,"Avance fuera de rango 0-100%"&amp;" · ","")&amp;IF(OR(AND($J94&lt;&gt;"",$J94&lt;$I94),AND($K94&lt;&gt;"",$K94&lt;MAX($I94:$J94)),AND($L94&lt;&gt;"",$L94&lt;MAX($I94:$K94))),"Avance semanal decreciente"&amp;" · ","")&amp;IF(AND(ISNUMBER($AN94),$AN94&lt;FechaRef,IF($V94="Sub",N($X94),N($M94))&lt;1),"Vencida"&amp;" · ","")&amp;IF(AND(ObsObligatoria="Sí",ISNUMBER($AN94),$AN94&lt;FechaRef,IF($V94="Sub",N($X94),N($M94))&lt;1,$Q94=""),"Vencida sin observación"&amp;" · ",""))="","✔ OK","⚠ "&amp;LEFT(IF($C94="","Falta el nombre de la actividad"&amp;" · ","")&amp;IF(AND($V94="Sub",N($U94)=0),"Subactividad sin macroactividad arriba"&amp;" · ","")&amp;IF($AM94="","Sin fecha de inicio"&amp;" · ","")&amp;IF($AN94="","Sin fecha límite"&amp;" · ","")&amp;IF(AND(LEFT($C94,11)="[Jefatura] ",N($AL94)=0),"No se encuentra en la hoja de la jefatura (elíjala de nuevo en la lista)"&amp;" · ","")&amp;IF(OR(AND($E94&lt;&gt;"",NOT(ISNUMBER($E94))),AND($F94&lt;&gt;"",NOT(ISNUMBER($F94))),AND($G94&lt;&gt;"",NOT(ISNUMBER($G94)))),"Fecha no válida"&amp;" · ","")&amp;IF(AND(ISNUMBER($AM94),ISNUMBER($AN94),$AM94&gt;$AN94),"Inicio posterior a fecha límite"&amp;" · ","")&amp;IF(AND($V94="Macro",$H94&lt;&gt;"",OR(NOT(ISNUMBER($H94)),$H94&lt;0,$H94&gt;1)),"Peso fuera de rango"&amp;" · ","")&amp;IF(AND($V94="Sub",$H94&lt;&gt;""),"Las subactividades no llevan peso (valen igual dentro de su macroactividad)"&amp;" · ","")&amp;IF(AND(N($W94)&gt;0,COUNT($I94:$L94)&gt;0),"Con subactividades: deje vacías las semanas (se calculan solas)"&amp;" · ","")&amp;IF((COUNTIF($I94:$L94,"&gt;1")+COUNTIF($I94:$L94,"&lt;0")+COUNTA($I94:$L94)-COUNT($I94:$L94))&gt;0,"Avance fuera de rango 0-100%"&amp;" · ","")&amp;IF(OR(AND($J94&lt;&gt;"",$J94&lt;$I94),AND($K94&lt;&gt;"",$K94&lt;MAX($I94:$J94)),AND($L94&lt;&gt;"",$L94&lt;MAX($I94:$K94))),"Avance semanal decreciente"&amp;" · ","")&amp;IF(AND(ISNUMBER($AN94),$AN94&lt;FechaRef,IF($V94="Sub",N($X94),N($M94))&lt;1),"Vencida"&amp;" · ","")&amp;IF(AND(ObsObligatoria="Sí",ISNUMBER($AN94),$AN94&lt;FechaRef,IF($V94="Sub",N($X94),N($M94))&lt;1,$Q94=""),"Vencida sin observación"&amp;" · ",""),LEN(IF($C94="","Falta el nombre de la actividad"&amp;" · ","")&amp;IF(AND($V94="Sub",N($U94)=0),"Subactividad sin macroactividad arriba"&amp;" · ","")&amp;IF($AM94="","Sin fecha de inicio"&amp;" · ","")&amp;IF($AN94="","Sin fecha límite"&amp;" · ","")&amp;IF(AND(LEFT($C94,11)="[Jefatura] ",N($AL94)=0),"No se encuentra en la hoja de la jefatura (elíjala de nuevo en la lista)"&amp;" · ","")&amp;IF(OR(AND($E94&lt;&gt;"",NOT(ISNUMBER($E94))),AND($F94&lt;&gt;"",NOT(ISNUMBER($F94))),AND($G94&lt;&gt;"",NOT(ISNUMBER($G94)))),"Fecha no válida"&amp;" · ","")&amp;IF(AND(ISNUMBER($AM94),ISNUMBER($AN94),$AM94&gt;$AN94),"Inicio posterior a fecha límite"&amp;" · ","")&amp;IF(AND($V94="Macro",$H94&lt;&gt;"",OR(NOT(ISNUMBER($H94)),$H94&lt;0,$H94&gt;1)),"Peso fuera de rango"&amp;" · ","")&amp;IF(AND($V94="Sub",$H94&lt;&gt;""),"Las subactividades no llevan peso (valen igual dentro de su macroactividad)"&amp;" · ","")&amp;IF(AND(N($W94)&gt;0,COUNT($I94:$L94)&gt;0),"Con subactividades: deje vacías las semanas (se calculan solas)"&amp;" · ","")&amp;IF((COUNTIF($I94:$L94,"&gt;1")+COUNTIF($I94:$L94,"&lt;0")+COUNTA($I94:$L94)-COUNT($I94:$L94))&gt;0,"Avance fuera de rango 0-100%"&amp;" · ","")&amp;IF(OR(AND($J94&lt;&gt;"",$J94&lt;$I94),AND($K94&lt;&gt;"",$K94&lt;MAX($I94:$J94)),AND($L94&lt;&gt;"",$L94&lt;MAX($I94:$K94))),"Avance semanal decreciente"&amp;" · ","")&amp;IF(AND(ISNUMBER($AN94),$AN94&lt;FechaRef,IF($V94="Sub",N($X94),N($M94))&lt;1),"Vencida"&amp;" · ","")&amp;IF(AND(ObsObligatoria="Sí",ISNUMBER($AN94),$AN94&lt;FechaRef,IF($V94="Sub",N($X94),N($M94))&lt;1,$Q94=""),"Vencida sin observación"&amp;" · ",""))-3)))</f>
        <v/>
      </c>
      <c r="S94" s="64">
        <f>IF(NOT((COUNTA($B94:$D94)+COUNTA($G94:$L94)+COUNTA($Q94))&gt;0),"",IF(AND($V94="Sub",N($U94)&gt;0),IF(ISNUMBER(INDEX($AM$5:$AM$1000,$U94-4)),DATE(YEAR(INDEX($AM$5:$AM$1000,$U94-4)),MONTH(INDEX($AM$5:$AM$1000,$U94-4)),1),IF(ISNUMBER(INDEX($AN$5:$AN$1000,$U94-4)),DATE(YEAR(INDEX($AN$5:$AN$1000,$U94-4)),MONTH(INDEX($AN$5:$AN$1000,$U94-4)),1),MesCiclo)),IF(ISNUMBER($AM94),DATE(YEAR($AM94),MONTH($AM94),1),IF(ISNUMBER($AN94),DATE(YEAR($AN94),MONTH($AN94),1),MesCiclo))))</f>
        <v/>
      </c>
      <c r="T94" s="62">
        <f>IF(OR($S94="",$S94&lt;&gt;MesCiclo,$V94&lt;&gt;"Macro"),"",COUNTIFS($S$5:$S94,MesCiclo,$V$5:$V94,"Macro"))</f>
        <v/>
      </c>
      <c r="U94" s="62">
        <f>IF($V94="","",IF($V94="Macro",ROW(),IFERROR(LOOKUP(2,1/($V$5:$V94="Macro"),ROW($V$5:$V94)),0)))</f>
        <v/>
      </c>
      <c r="V94" s="62">
        <f>IF(NOT((COUNTA($B94:$D94)+COUNTA($G94:$L94)+COUNTA($Q94))&gt;0),"",IF($B94="Subactividad","Sub","Macro"))</f>
        <v/>
      </c>
      <c r="W94" s="62">
        <f>IF($V94="Macro",COUNTIFS($U$5:$U$1000,ROW(),$V$5:$V$1000,"Sub"),"")</f>
        <v/>
      </c>
      <c r="X94" s="62">
        <f>IF($V94="","",IF(ISNUMBER($G94),1,IFERROR(LOOKUP(2,1/($I94:$L94&lt;&gt;""),$I94:$L94),0)))</f>
        <v/>
      </c>
      <c r="Y94" s="62">
        <f>IF($V94="","",IF(AND(ISNUMBER($G94),$G94&lt;=IF($S94=MesCiclo,InicioCiclo,$S94+MOD(2-WEEKDAY($S94),7))+6),1,IF(ISNUMBER($I94),$I94,0)))</f>
        <v/>
      </c>
      <c r="Z94" s="62">
        <f>IF($V94="","",IF(AND(ISNUMBER($G94),$G94&lt;=IF($S94=MesCiclo,InicioCiclo,$S94+MOD(2-WEEKDAY($S94),7))+13),1,IF(ISNUMBER($J94),$J94,$Y94)))</f>
        <v/>
      </c>
      <c r="AA94" s="62">
        <f>IF($V94="","",IF(AND(ISNUMBER($G94),$G94&lt;=IF($S94=MesCiclo,InicioCiclo,$S94+MOD(2-WEEKDAY($S94),7))+20),1,IF(ISNUMBER($K94),$K94,$Z94)))</f>
        <v/>
      </c>
      <c r="AB94" s="62">
        <f>IF($V94="","",IF(AND(ISNUMBER($G94),$G94&lt;=IF($S94=MesCiclo,InicioCiclo,$S94+MOD(2-WEEKDAY($S94),7))+27),1,IF(ISNUMBER($L94),$L94,$AA94)))</f>
        <v/>
      </c>
      <c r="AC94" s="62">
        <f>IF($V94="","",IF(AND(ISNUMBER($G94),$G94&lt;=IF($S94=MesCiclo,InicioCiclo,$S94+MOD(2-WEEKDAY($S94),7))+6),1,IF(N($W94)&gt;0,AVERAGEIFS($Y$5:$Y$1000,$U$5:$U$1000,ROW(),$V$5:$V$1000,"Sub"),$Y94)))</f>
        <v/>
      </c>
      <c r="AD94" s="62">
        <f>IF($V94="","",IF(AND(ISNUMBER($G94),$G94&lt;=IF($S94=MesCiclo,InicioCiclo,$S94+MOD(2-WEEKDAY($S94),7))+13),1,IF(N($W94)&gt;0,AVERAGEIFS($Z$5:$Z$1000,$U$5:$U$1000,ROW(),$V$5:$V$1000,"Sub"),$Z94)))</f>
        <v/>
      </c>
      <c r="AE94" s="62">
        <f>IF($V94="","",IF(AND(ISNUMBER($G94),$G94&lt;=IF($S94=MesCiclo,InicioCiclo,$S94+MOD(2-WEEKDAY($S94),7))+20),1,IF(N($W94)&gt;0,AVERAGEIFS($AA$5:$AA$1000,$U$5:$U$1000,ROW(),$V$5:$V$1000,"Sub"),$AA94)))</f>
        <v/>
      </c>
      <c r="AF94" s="62">
        <f>IF($V94="","",IF(AND(ISNUMBER($G94),$G94&lt;=IF($S94=MesCiclo,InicioCiclo,$S94+MOD(2-WEEKDAY($S94),7))+27),1,IF(N($W94)&gt;0,AVERAGEIFS($AB$5:$AB$1000,$U$5:$U$1000,ROW(),$V$5:$V$1000,"Sub"),$AB94)))</f>
        <v/>
      </c>
      <c r="AG94" s="62">
        <f>IF($V94&lt;&gt;"Macro","",IF(COUNTIFS($S$5:$S$1000,$S94,$V$5:$V$1000,"Macro",$H$5:$H$1000,"&gt;0")=0,1/COUNTIFS($S$5:$S$1000,$S94,$V$5:$V$1000,"Macro"),IF(AND(ISNUMBER($H94),N($H94)&gt;0),$H94,SUMIFS($H$5:$H$1000,$S$5:$S$1000,$S94,$V$5:$V$1000,"Macro")/COUNTIFS($S$5:$S$1000,$S94,$V$5:$V$1000,"Macro",$H$5:$H$1000,"&gt;0"))/(COUNTIFS($S$5:$S$1000,$S94,$V$5:$V$1000,"Macro")*SUMIFS($H$5:$H$1000,$S$5:$S$1000,$S94,$V$5:$V$1000,"Macro")/COUNTIFS($S$5:$S$1000,$S94,$V$5:$V$1000,"Macro",$H$5:$H$1000,"&gt;0"))))</f>
        <v/>
      </c>
      <c r="AH94" s="62" t="n"/>
      <c r="AI94" s="62" t="n"/>
      <c r="AJ94" s="62" t="n"/>
      <c r="AK94" s="62" t="n"/>
      <c r="AL94" s="62">
        <f>IF(LEFT($C94,11)="[Jefatura] ",IFERROR(MATCH("Asistente Técnico de Riesgo|"&amp;MID($C94,12,500),rDname_ADM,0),0),"")</f>
        <v/>
      </c>
      <c r="AM94" s="62">
        <f>IF(N($AL94)&gt;0,INDEX(rIni_ADM,$AL94),IF(ISNUMBER($E94),$E94,""))</f>
        <v/>
      </c>
      <c r="AN94" s="62">
        <f>IF(N($AL94)&gt;0,INDEX(rLim_ADM,$AL94),IF(ISNUMBER($F94),$F94,""))</f>
        <v/>
      </c>
    </row>
    <row r="95">
      <c r="A95" s="56">
        <f>IF(NOT((COUNTA($B95:$D95)+COUNTA($G95:$L95)+COUNTA($Q95))&gt;0),"",IF($V95="Macro",COUNTIFS($V$5:$V95,"Macro",$S$5:$S95,$S95),IF(N($U95)=0,"?",COUNTIFS(INDEX($V$5:$V$1000,1):INDEX($V$5:$V$1000,$U95-4),"Macro",INDEX($S$5:$S$1000,1):INDEX($S$5:$S$1000,$U95-4),INDEX($S$5:$S$1000,$U95-4))&amp;"."&amp;COUNTIFS($U$5:$U95,$U95,$V$5:$V95,"Sub"))))</f>
        <v/>
      </c>
      <c r="B95" s="57" t="n"/>
      <c r="C95" s="58" t="n"/>
      <c r="D95" s="58" t="n"/>
      <c r="E95" s="59">
        <f>IF(N($AL95)&gt;0,INDEX(rIni_ADM,$AL95),"")</f>
        <v/>
      </c>
      <c r="F95" s="59">
        <f>IF(N($AL95)&gt;0,INDEX(rLim_ADM,$AL95),"")</f>
        <v/>
      </c>
      <c r="G95" s="59" t="n"/>
      <c r="H95" s="60" t="n"/>
      <c r="I95" s="60" t="n"/>
      <c r="J95" s="60" t="n"/>
      <c r="K95" s="60" t="n"/>
      <c r="L95" s="60" t="n"/>
      <c r="M95" s="61">
        <f>IF(NOT((COUNTA($B95:$D95)+COUNTA($G95:$L95)+COUNTA($Q95))&gt;0),"",IF($V95="Sub",IFERROR($X95/INDEX($W$5:$W$1000,$U95-4),""),IF(ISNUMBER($G95),1,IF(N($W95)&gt;0,AVERAGEIFS($X$5:$X$1000,$U$5:$U$1000,ROW(),$V$5:$V$1000,"Sub"),$X95))))</f>
        <v/>
      </c>
      <c r="N95" s="56">
        <f>IF(OR($M95="",$V95="Sub"),"",IF($M95&gt;=1,"Completado",IF($M95&gt;0,"En curso","Pendiente")))</f>
        <v/>
      </c>
      <c r="O95" s="56">
        <f>IF(OR(NOT((COUNTA($B95:$D95)+COUNTA($G95:$L95)+COUNTA($Q95))&gt;0),$V95="Sub"),"",IF(ISNUMBER($G95),IF(AND(ISNUMBER($AN95),$G95&gt;$AN95),"Cumplida con "&amp;($G95-$AN95)&amp;IF($G95-$AN95=1," día"," días")&amp;" de retraso","Cumplida"),IF(N($M95)&gt;=1,"Cumplida",IF(NOT(ISNUMBER($AN95)),"Sin fecha límite",IF($AN95&lt;FechaRef,"Vencida hace "&amp;(FechaRef-$AN95)&amp;IF(FechaRef-$AN95=1," día"," días"),IF($AN95=FechaRef,"Vence hoy",IF($AN95-FechaRef&lt;=DiasAlerta,"Vence en "&amp;($AN95-FechaRef)&amp;IF($AN95-FechaRef=1," día"," días"),"En plazo")))))))</f>
        <v/>
      </c>
      <c r="P95" s="62" t="n"/>
      <c r="Q95" s="58" t="n"/>
      <c r="R95" s="63">
        <f>IF(NOT((COUNTA($B95:$D95)+COUNTA($G95:$L95)+COUNTA($Q95))&gt;0),"",IF((IF($C95="","Falta el nombre de la actividad"&amp;" · ","")&amp;IF(AND($V95="Sub",N($U95)=0),"Subactividad sin macroactividad arriba"&amp;" · ","")&amp;IF($AM95="","Sin fecha de inicio"&amp;" · ","")&amp;IF($AN95="","Sin fecha límite"&amp;" · ","")&amp;IF(AND(LEFT($C95,11)="[Jefatura] ",N($AL95)=0),"No se encuentra en la hoja de la jefatura (elíjala de nuevo en la lista)"&amp;" · ","")&amp;IF(OR(AND($E95&lt;&gt;"",NOT(ISNUMBER($E95))),AND($F95&lt;&gt;"",NOT(ISNUMBER($F95))),AND($G95&lt;&gt;"",NOT(ISNUMBER($G95)))),"Fecha no válida"&amp;" · ","")&amp;IF(AND(ISNUMBER($AM95),ISNUMBER($AN95),$AM95&gt;$AN95),"Inicio posterior a fecha límite"&amp;" · ","")&amp;IF(AND($V95="Macro",$H95&lt;&gt;"",OR(NOT(ISNUMBER($H95)),$H95&lt;0,$H95&gt;1)),"Peso fuera de rango"&amp;" · ","")&amp;IF(AND($V95="Sub",$H95&lt;&gt;""),"Las subactividades no llevan peso (valen igual dentro de su macroactividad)"&amp;" · ","")&amp;IF(AND(N($W95)&gt;0,COUNT($I95:$L95)&gt;0),"Con subactividades: deje vacías las semanas (se calculan solas)"&amp;" · ","")&amp;IF((COUNTIF($I95:$L95,"&gt;1")+COUNTIF($I95:$L95,"&lt;0")+COUNTA($I95:$L95)-COUNT($I95:$L95))&gt;0,"Avance fuera de rango 0-100%"&amp;" · ","")&amp;IF(OR(AND($J95&lt;&gt;"",$J95&lt;$I95),AND($K95&lt;&gt;"",$K95&lt;MAX($I95:$J95)),AND($L95&lt;&gt;"",$L95&lt;MAX($I95:$K95))),"Avance semanal decreciente"&amp;" · ","")&amp;IF(AND(ISNUMBER($AN95),$AN95&lt;FechaRef,IF($V95="Sub",N($X95),N($M95))&lt;1),"Vencida"&amp;" · ","")&amp;IF(AND(ObsObligatoria="Sí",ISNUMBER($AN95),$AN95&lt;FechaRef,IF($V95="Sub",N($X95),N($M95))&lt;1,$Q95=""),"Vencida sin observación"&amp;" · ",""))="","✔ OK","⚠ "&amp;LEFT(IF($C95="","Falta el nombre de la actividad"&amp;" · ","")&amp;IF(AND($V95="Sub",N($U95)=0),"Subactividad sin macroactividad arriba"&amp;" · ","")&amp;IF($AM95="","Sin fecha de inicio"&amp;" · ","")&amp;IF($AN95="","Sin fecha límite"&amp;" · ","")&amp;IF(AND(LEFT($C95,11)="[Jefatura] ",N($AL95)=0),"No se encuentra en la hoja de la jefatura (elíjala de nuevo en la lista)"&amp;" · ","")&amp;IF(OR(AND($E95&lt;&gt;"",NOT(ISNUMBER($E95))),AND($F95&lt;&gt;"",NOT(ISNUMBER($F95))),AND($G95&lt;&gt;"",NOT(ISNUMBER($G95)))),"Fecha no válida"&amp;" · ","")&amp;IF(AND(ISNUMBER($AM95),ISNUMBER($AN95),$AM95&gt;$AN95),"Inicio posterior a fecha límite"&amp;" · ","")&amp;IF(AND($V95="Macro",$H95&lt;&gt;"",OR(NOT(ISNUMBER($H95)),$H95&lt;0,$H95&gt;1)),"Peso fuera de rango"&amp;" · ","")&amp;IF(AND($V95="Sub",$H95&lt;&gt;""),"Las subactividades no llevan peso (valen igual dentro de su macroactividad)"&amp;" · ","")&amp;IF(AND(N($W95)&gt;0,COUNT($I95:$L95)&gt;0),"Con subactividades: deje vacías las semanas (se calculan solas)"&amp;" · ","")&amp;IF((COUNTIF($I95:$L95,"&gt;1")+COUNTIF($I95:$L95,"&lt;0")+COUNTA($I95:$L95)-COUNT($I95:$L95))&gt;0,"Avance fuera de rango 0-100%"&amp;" · ","")&amp;IF(OR(AND($J95&lt;&gt;"",$J95&lt;$I95),AND($K95&lt;&gt;"",$K95&lt;MAX($I95:$J95)),AND($L95&lt;&gt;"",$L95&lt;MAX($I95:$K95))),"Avance semanal decreciente"&amp;" · ","")&amp;IF(AND(ISNUMBER($AN95),$AN95&lt;FechaRef,IF($V95="Sub",N($X95),N($M95))&lt;1),"Vencida"&amp;" · ","")&amp;IF(AND(ObsObligatoria="Sí",ISNUMBER($AN95),$AN95&lt;FechaRef,IF($V95="Sub",N($X95),N($M95))&lt;1,$Q95=""),"Vencida sin observación"&amp;" · ",""),LEN(IF($C95="","Falta el nombre de la actividad"&amp;" · ","")&amp;IF(AND($V95="Sub",N($U95)=0),"Subactividad sin macroactividad arriba"&amp;" · ","")&amp;IF($AM95="","Sin fecha de inicio"&amp;" · ","")&amp;IF($AN95="","Sin fecha límite"&amp;" · ","")&amp;IF(AND(LEFT($C95,11)="[Jefatura] ",N($AL95)=0),"No se encuentra en la hoja de la jefatura (elíjala de nuevo en la lista)"&amp;" · ","")&amp;IF(OR(AND($E95&lt;&gt;"",NOT(ISNUMBER($E95))),AND($F95&lt;&gt;"",NOT(ISNUMBER($F95))),AND($G95&lt;&gt;"",NOT(ISNUMBER($G95)))),"Fecha no válida"&amp;" · ","")&amp;IF(AND(ISNUMBER($AM95),ISNUMBER($AN95),$AM95&gt;$AN95),"Inicio posterior a fecha límite"&amp;" · ","")&amp;IF(AND($V95="Macro",$H95&lt;&gt;"",OR(NOT(ISNUMBER($H95)),$H95&lt;0,$H95&gt;1)),"Peso fuera de rango"&amp;" · ","")&amp;IF(AND($V95="Sub",$H95&lt;&gt;""),"Las subactividades no llevan peso (valen igual dentro de su macroactividad)"&amp;" · ","")&amp;IF(AND(N($W95)&gt;0,COUNT($I95:$L95)&gt;0),"Con subactividades: deje vacías las semanas (se calculan solas)"&amp;" · ","")&amp;IF((COUNTIF($I95:$L95,"&gt;1")+COUNTIF($I95:$L95,"&lt;0")+COUNTA($I95:$L95)-COUNT($I95:$L95))&gt;0,"Avance fuera de rango 0-100%"&amp;" · ","")&amp;IF(OR(AND($J95&lt;&gt;"",$J95&lt;$I95),AND($K95&lt;&gt;"",$K95&lt;MAX($I95:$J95)),AND($L95&lt;&gt;"",$L95&lt;MAX($I95:$K95))),"Avance semanal decreciente"&amp;" · ","")&amp;IF(AND(ISNUMBER($AN95),$AN95&lt;FechaRef,IF($V95="Sub",N($X95),N($M95))&lt;1),"Vencida"&amp;" · ","")&amp;IF(AND(ObsObligatoria="Sí",ISNUMBER($AN95),$AN95&lt;FechaRef,IF($V95="Sub",N($X95),N($M95))&lt;1,$Q95=""),"Vencida sin observación"&amp;" · ",""))-3)))</f>
        <v/>
      </c>
      <c r="S95" s="64">
        <f>IF(NOT((COUNTA($B95:$D95)+COUNTA($G95:$L95)+COUNTA($Q95))&gt;0),"",IF(AND($V95="Sub",N($U95)&gt;0),IF(ISNUMBER(INDEX($AM$5:$AM$1000,$U95-4)),DATE(YEAR(INDEX($AM$5:$AM$1000,$U95-4)),MONTH(INDEX($AM$5:$AM$1000,$U95-4)),1),IF(ISNUMBER(INDEX($AN$5:$AN$1000,$U95-4)),DATE(YEAR(INDEX($AN$5:$AN$1000,$U95-4)),MONTH(INDEX($AN$5:$AN$1000,$U95-4)),1),MesCiclo)),IF(ISNUMBER($AM95),DATE(YEAR($AM95),MONTH($AM95),1),IF(ISNUMBER($AN95),DATE(YEAR($AN95),MONTH($AN95),1),MesCiclo))))</f>
        <v/>
      </c>
      <c r="T95" s="62">
        <f>IF(OR($S95="",$S95&lt;&gt;MesCiclo,$V95&lt;&gt;"Macro"),"",COUNTIFS($S$5:$S95,MesCiclo,$V$5:$V95,"Macro"))</f>
        <v/>
      </c>
      <c r="U95" s="62">
        <f>IF($V95="","",IF($V95="Macro",ROW(),IFERROR(LOOKUP(2,1/($V$5:$V95="Macro"),ROW($V$5:$V95)),0)))</f>
        <v/>
      </c>
      <c r="V95" s="62">
        <f>IF(NOT((COUNTA($B95:$D95)+COUNTA($G95:$L95)+COUNTA($Q95))&gt;0),"",IF($B95="Subactividad","Sub","Macro"))</f>
        <v/>
      </c>
      <c r="W95" s="62">
        <f>IF($V95="Macro",COUNTIFS($U$5:$U$1000,ROW(),$V$5:$V$1000,"Sub"),"")</f>
        <v/>
      </c>
      <c r="X95" s="62">
        <f>IF($V95="","",IF(ISNUMBER($G95),1,IFERROR(LOOKUP(2,1/($I95:$L95&lt;&gt;""),$I95:$L95),0)))</f>
        <v/>
      </c>
      <c r="Y95" s="62">
        <f>IF($V95="","",IF(AND(ISNUMBER($G95),$G95&lt;=IF($S95=MesCiclo,InicioCiclo,$S95+MOD(2-WEEKDAY($S95),7))+6),1,IF(ISNUMBER($I95),$I95,0)))</f>
        <v/>
      </c>
      <c r="Z95" s="62">
        <f>IF($V95="","",IF(AND(ISNUMBER($G95),$G95&lt;=IF($S95=MesCiclo,InicioCiclo,$S95+MOD(2-WEEKDAY($S95),7))+13),1,IF(ISNUMBER($J95),$J95,$Y95)))</f>
        <v/>
      </c>
      <c r="AA95" s="62">
        <f>IF($V95="","",IF(AND(ISNUMBER($G95),$G95&lt;=IF($S95=MesCiclo,InicioCiclo,$S95+MOD(2-WEEKDAY($S95),7))+20),1,IF(ISNUMBER($K95),$K95,$Z95)))</f>
        <v/>
      </c>
      <c r="AB95" s="62">
        <f>IF($V95="","",IF(AND(ISNUMBER($G95),$G95&lt;=IF($S95=MesCiclo,InicioCiclo,$S95+MOD(2-WEEKDAY($S95),7))+27),1,IF(ISNUMBER($L95),$L95,$AA95)))</f>
        <v/>
      </c>
      <c r="AC95" s="62">
        <f>IF($V95="","",IF(AND(ISNUMBER($G95),$G95&lt;=IF($S95=MesCiclo,InicioCiclo,$S95+MOD(2-WEEKDAY($S95),7))+6),1,IF(N($W95)&gt;0,AVERAGEIFS($Y$5:$Y$1000,$U$5:$U$1000,ROW(),$V$5:$V$1000,"Sub"),$Y95)))</f>
        <v/>
      </c>
      <c r="AD95" s="62">
        <f>IF($V95="","",IF(AND(ISNUMBER($G95),$G95&lt;=IF($S95=MesCiclo,InicioCiclo,$S95+MOD(2-WEEKDAY($S95),7))+13),1,IF(N($W95)&gt;0,AVERAGEIFS($Z$5:$Z$1000,$U$5:$U$1000,ROW(),$V$5:$V$1000,"Sub"),$Z95)))</f>
        <v/>
      </c>
      <c r="AE95" s="62">
        <f>IF($V95="","",IF(AND(ISNUMBER($G95),$G95&lt;=IF($S95=MesCiclo,InicioCiclo,$S95+MOD(2-WEEKDAY($S95),7))+20),1,IF(N($W95)&gt;0,AVERAGEIFS($AA$5:$AA$1000,$U$5:$U$1000,ROW(),$V$5:$V$1000,"Sub"),$AA95)))</f>
        <v/>
      </c>
      <c r="AF95" s="62">
        <f>IF($V95="","",IF(AND(ISNUMBER($G95),$G95&lt;=IF($S95=MesCiclo,InicioCiclo,$S95+MOD(2-WEEKDAY($S95),7))+27),1,IF(N($W95)&gt;0,AVERAGEIFS($AB$5:$AB$1000,$U$5:$U$1000,ROW(),$V$5:$V$1000,"Sub"),$AB95)))</f>
        <v/>
      </c>
      <c r="AG95" s="62">
        <f>IF($V95&lt;&gt;"Macro","",IF(COUNTIFS($S$5:$S$1000,$S95,$V$5:$V$1000,"Macro",$H$5:$H$1000,"&gt;0")=0,1/COUNTIFS($S$5:$S$1000,$S95,$V$5:$V$1000,"Macro"),IF(AND(ISNUMBER($H95),N($H95)&gt;0),$H95,SUMIFS($H$5:$H$1000,$S$5:$S$1000,$S95,$V$5:$V$1000,"Macro")/COUNTIFS($S$5:$S$1000,$S95,$V$5:$V$1000,"Macro",$H$5:$H$1000,"&gt;0"))/(COUNTIFS($S$5:$S$1000,$S95,$V$5:$V$1000,"Macro")*SUMIFS($H$5:$H$1000,$S$5:$S$1000,$S95,$V$5:$V$1000,"Macro")/COUNTIFS($S$5:$S$1000,$S95,$V$5:$V$1000,"Macro",$H$5:$H$1000,"&gt;0"))))</f>
        <v/>
      </c>
      <c r="AH95" s="62" t="n"/>
      <c r="AI95" s="62" t="n"/>
      <c r="AJ95" s="62" t="n"/>
      <c r="AK95" s="62" t="n"/>
      <c r="AL95" s="62">
        <f>IF(LEFT($C95,11)="[Jefatura] ",IFERROR(MATCH("Asistente Técnico de Riesgo|"&amp;MID($C95,12,500),rDname_ADM,0),0),"")</f>
        <v/>
      </c>
      <c r="AM95" s="62">
        <f>IF(N($AL95)&gt;0,INDEX(rIni_ADM,$AL95),IF(ISNUMBER($E95),$E95,""))</f>
        <v/>
      </c>
      <c r="AN95" s="62">
        <f>IF(N($AL95)&gt;0,INDEX(rLim_ADM,$AL95),IF(ISNUMBER($F95),$F95,""))</f>
        <v/>
      </c>
    </row>
    <row r="96">
      <c r="A96" s="56">
        <f>IF(NOT((COUNTA($B96:$D96)+COUNTA($G96:$L96)+COUNTA($Q96))&gt;0),"",IF($V96="Macro",COUNTIFS($V$5:$V96,"Macro",$S$5:$S96,$S96),IF(N($U96)=0,"?",COUNTIFS(INDEX($V$5:$V$1000,1):INDEX($V$5:$V$1000,$U96-4),"Macro",INDEX($S$5:$S$1000,1):INDEX($S$5:$S$1000,$U96-4),INDEX($S$5:$S$1000,$U96-4))&amp;"."&amp;COUNTIFS($U$5:$U96,$U96,$V$5:$V96,"Sub"))))</f>
        <v/>
      </c>
      <c r="B96" s="57" t="n"/>
      <c r="C96" s="58" t="n"/>
      <c r="D96" s="58" t="n"/>
      <c r="E96" s="59">
        <f>IF(N($AL96)&gt;0,INDEX(rIni_ADM,$AL96),"")</f>
        <v/>
      </c>
      <c r="F96" s="59">
        <f>IF(N($AL96)&gt;0,INDEX(rLim_ADM,$AL96),"")</f>
        <v/>
      </c>
      <c r="G96" s="59" t="n"/>
      <c r="H96" s="60" t="n"/>
      <c r="I96" s="60" t="n"/>
      <c r="J96" s="60" t="n"/>
      <c r="K96" s="60" t="n"/>
      <c r="L96" s="60" t="n"/>
      <c r="M96" s="61">
        <f>IF(NOT((COUNTA($B96:$D96)+COUNTA($G96:$L96)+COUNTA($Q96))&gt;0),"",IF($V96="Sub",IFERROR($X96/INDEX($W$5:$W$1000,$U96-4),""),IF(ISNUMBER($G96),1,IF(N($W96)&gt;0,AVERAGEIFS($X$5:$X$1000,$U$5:$U$1000,ROW(),$V$5:$V$1000,"Sub"),$X96))))</f>
        <v/>
      </c>
      <c r="N96" s="56">
        <f>IF(OR($M96="",$V96="Sub"),"",IF($M96&gt;=1,"Completado",IF($M96&gt;0,"En curso","Pendiente")))</f>
        <v/>
      </c>
      <c r="O96" s="56">
        <f>IF(OR(NOT((COUNTA($B96:$D96)+COUNTA($G96:$L96)+COUNTA($Q96))&gt;0),$V96="Sub"),"",IF(ISNUMBER($G96),IF(AND(ISNUMBER($AN96),$G96&gt;$AN96),"Cumplida con "&amp;($G96-$AN96)&amp;IF($G96-$AN96=1," día"," días")&amp;" de retraso","Cumplida"),IF(N($M96)&gt;=1,"Cumplida",IF(NOT(ISNUMBER($AN96)),"Sin fecha límite",IF($AN96&lt;FechaRef,"Vencida hace "&amp;(FechaRef-$AN96)&amp;IF(FechaRef-$AN96=1," día"," días"),IF($AN96=FechaRef,"Vence hoy",IF($AN96-FechaRef&lt;=DiasAlerta,"Vence en "&amp;($AN96-FechaRef)&amp;IF($AN96-FechaRef=1," día"," días"),"En plazo")))))))</f>
        <v/>
      </c>
      <c r="P96" s="62" t="n"/>
      <c r="Q96" s="58" t="n"/>
      <c r="R96" s="63">
        <f>IF(NOT((COUNTA($B96:$D96)+COUNTA($G96:$L96)+COUNTA($Q96))&gt;0),"",IF((IF($C96="","Falta el nombre de la actividad"&amp;" · ","")&amp;IF(AND($V96="Sub",N($U96)=0),"Subactividad sin macroactividad arriba"&amp;" · ","")&amp;IF($AM96="","Sin fecha de inicio"&amp;" · ","")&amp;IF($AN96="","Sin fecha límite"&amp;" · ","")&amp;IF(AND(LEFT($C96,11)="[Jefatura] ",N($AL96)=0),"No se encuentra en la hoja de la jefatura (elíjala de nuevo en la lista)"&amp;" · ","")&amp;IF(OR(AND($E96&lt;&gt;"",NOT(ISNUMBER($E96))),AND($F96&lt;&gt;"",NOT(ISNUMBER($F96))),AND($G96&lt;&gt;"",NOT(ISNUMBER($G96)))),"Fecha no válida"&amp;" · ","")&amp;IF(AND(ISNUMBER($AM96),ISNUMBER($AN96),$AM96&gt;$AN96),"Inicio posterior a fecha límite"&amp;" · ","")&amp;IF(AND($V96="Macro",$H96&lt;&gt;"",OR(NOT(ISNUMBER($H96)),$H96&lt;0,$H96&gt;1)),"Peso fuera de rango"&amp;" · ","")&amp;IF(AND($V96="Sub",$H96&lt;&gt;""),"Las subactividades no llevan peso (valen igual dentro de su macroactividad)"&amp;" · ","")&amp;IF(AND(N($W96)&gt;0,COUNT($I96:$L96)&gt;0),"Con subactividades: deje vacías las semanas (se calculan solas)"&amp;" · ","")&amp;IF((COUNTIF($I96:$L96,"&gt;1")+COUNTIF($I96:$L96,"&lt;0")+COUNTA($I96:$L96)-COUNT($I96:$L96))&gt;0,"Avance fuera de rango 0-100%"&amp;" · ","")&amp;IF(OR(AND($J96&lt;&gt;"",$J96&lt;$I96),AND($K96&lt;&gt;"",$K96&lt;MAX($I96:$J96)),AND($L96&lt;&gt;"",$L96&lt;MAX($I96:$K96))),"Avance semanal decreciente"&amp;" · ","")&amp;IF(AND(ISNUMBER($AN96),$AN96&lt;FechaRef,IF($V96="Sub",N($X96),N($M96))&lt;1),"Vencida"&amp;" · ","")&amp;IF(AND(ObsObligatoria="Sí",ISNUMBER($AN96),$AN96&lt;FechaRef,IF($V96="Sub",N($X96),N($M96))&lt;1,$Q96=""),"Vencida sin observación"&amp;" · ",""))="","✔ OK","⚠ "&amp;LEFT(IF($C96="","Falta el nombre de la actividad"&amp;" · ","")&amp;IF(AND($V96="Sub",N($U96)=0),"Subactividad sin macroactividad arriba"&amp;" · ","")&amp;IF($AM96="","Sin fecha de inicio"&amp;" · ","")&amp;IF($AN96="","Sin fecha límite"&amp;" · ","")&amp;IF(AND(LEFT($C96,11)="[Jefatura] ",N($AL96)=0),"No se encuentra en la hoja de la jefatura (elíjala de nuevo en la lista)"&amp;" · ","")&amp;IF(OR(AND($E96&lt;&gt;"",NOT(ISNUMBER($E96))),AND($F96&lt;&gt;"",NOT(ISNUMBER($F96))),AND($G96&lt;&gt;"",NOT(ISNUMBER($G96)))),"Fecha no válida"&amp;" · ","")&amp;IF(AND(ISNUMBER($AM96),ISNUMBER($AN96),$AM96&gt;$AN96),"Inicio posterior a fecha límite"&amp;" · ","")&amp;IF(AND($V96="Macro",$H96&lt;&gt;"",OR(NOT(ISNUMBER($H96)),$H96&lt;0,$H96&gt;1)),"Peso fuera de rango"&amp;" · ","")&amp;IF(AND($V96="Sub",$H96&lt;&gt;""),"Las subactividades no llevan peso (valen igual dentro de su macroactividad)"&amp;" · ","")&amp;IF(AND(N($W96)&gt;0,COUNT($I96:$L96)&gt;0),"Con subactividades: deje vacías las semanas (se calculan solas)"&amp;" · ","")&amp;IF((COUNTIF($I96:$L96,"&gt;1")+COUNTIF($I96:$L96,"&lt;0")+COUNTA($I96:$L96)-COUNT($I96:$L96))&gt;0,"Avance fuera de rango 0-100%"&amp;" · ","")&amp;IF(OR(AND($J96&lt;&gt;"",$J96&lt;$I96),AND($K96&lt;&gt;"",$K96&lt;MAX($I96:$J96)),AND($L96&lt;&gt;"",$L96&lt;MAX($I96:$K96))),"Avance semanal decreciente"&amp;" · ","")&amp;IF(AND(ISNUMBER($AN96),$AN96&lt;FechaRef,IF($V96="Sub",N($X96),N($M96))&lt;1),"Vencida"&amp;" · ","")&amp;IF(AND(ObsObligatoria="Sí",ISNUMBER($AN96),$AN96&lt;FechaRef,IF($V96="Sub",N($X96),N($M96))&lt;1,$Q96=""),"Vencida sin observación"&amp;" · ",""),LEN(IF($C96="","Falta el nombre de la actividad"&amp;" · ","")&amp;IF(AND($V96="Sub",N($U96)=0),"Subactividad sin macroactividad arriba"&amp;" · ","")&amp;IF($AM96="","Sin fecha de inicio"&amp;" · ","")&amp;IF($AN96="","Sin fecha límite"&amp;" · ","")&amp;IF(AND(LEFT($C96,11)="[Jefatura] ",N($AL96)=0),"No se encuentra en la hoja de la jefatura (elíjala de nuevo en la lista)"&amp;" · ","")&amp;IF(OR(AND($E96&lt;&gt;"",NOT(ISNUMBER($E96))),AND($F96&lt;&gt;"",NOT(ISNUMBER($F96))),AND($G96&lt;&gt;"",NOT(ISNUMBER($G96)))),"Fecha no válida"&amp;" · ","")&amp;IF(AND(ISNUMBER($AM96),ISNUMBER($AN96),$AM96&gt;$AN96),"Inicio posterior a fecha límite"&amp;" · ","")&amp;IF(AND($V96="Macro",$H96&lt;&gt;"",OR(NOT(ISNUMBER($H96)),$H96&lt;0,$H96&gt;1)),"Peso fuera de rango"&amp;" · ","")&amp;IF(AND($V96="Sub",$H96&lt;&gt;""),"Las subactividades no llevan peso (valen igual dentro de su macroactividad)"&amp;" · ","")&amp;IF(AND(N($W96)&gt;0,COUNT($I96:$L96)&gt;0),"Con subactividades: deje vacías las semanas (se calculan solas)"&amp;" · ","")&amp;IF((COUNTIF($I96:$L96,"&gt;1")+COUNTIF($I96:$L96,"&lt;0")+COUNTA($I96:$L96)-COUNT($I96:$L96))&gt;0,"Avance fuera de rango 0-100%"&amp;" · ","")&amp;IF(OR(AND($J96&lt;&gt;"",$J96&lt;$I96),AND($K96&lt;&gt;"",$K96&lt;MAX($I96:$J96)),AND($L96&lt;&gt;"",$L96&lt;MAX($I96:$K96))),"Avance semanal decreciente"&amp;" · ","")&amp;IF(AND(ISNUMBER($AN96),$AN96&lt;FechaRef,IF($V96="Sub",N($X96),N($M96))&lt;1),"Vencida"&amp;" · ","")&amp;IF(AND(ObsObligatoria="Sí",ISNUMBER($AN96),$AN96&lt;FechaRef,IF($V96="Sub",N($X96),N($M96))&lt;1,$Q96=""),"Vencida sin observación"&amp;" · ",""))-3)))</f>
        <v/>
      </c>
      <c r="S96" s="64">
        <f>IF(NOT((COUNTA($B96:$D96)+COUNTA($G96:$L96)+COUNTA($Q96))&gt;0),"",IF(AND($V96="Sub",N($U96)&gt;0),IF(ISNUMBER(INDEX($AM$5:$AM$1000,$U96-4)),DATE(YEAR(INDEX($AM$5:$AM$1000,$U96-4)),MONTH(INDEX($AM$5:$AM$1000,$U96-4)),1),IF(ISNUMBER(INDEX($AN$5:$AN$1000,$U96-4)),DATE(YEAR(INDEX($AN$5:$AN$1000,$U96-4)),MONTH(INDEX($AN$5:$AN$1000,$U96-4)),1),MesCiclo)),IF(ISNUMBER($AM96),DATE(YEAR($AM96),MONTH($AM96),1),IF(ISNUMBER($AN96),DATE(YEAR($AN96),MONTH($AN96),1),MesCiclo))))</f>
        <v/>
      </c>
      <c r="T96" s="62">
        <f>IF(OR($S96="",$S96&lt;&gt;MesCiclo,$V96&lt;&gt;"Macro"),"",COUNTIFS($S$5:$S96,MesCiclo,$V$5:$V96,"Macro"))</f>
        <v/>
      </c>
      <c r="U96" s="62">
        <f>IF($V96="","",IF($V96="Macro",ROW(),IFERROR(LOOKUP(2,1/($V$5:$V96="Macro"),ROW($V$5:$V96)),0)))</f>
        <v/>
      </c>
      <c r="V96" s="62">
        <f>IF(NOT((COUNTA($B96:$D96)+COUNTA($G96:$L96)+COUNTA($Q96))&gt;0),"",IF($B96="Subactividad","Sub","Macro"))</f>
        <v/>
      </c>
      <c r="W96" s="62">
        <f>IF($V96="Macro",COUNTIFS($U$5:$U$1000,ROW(),$V$5:$V$1000,"Sub"),"")</f>
        <v/>
      </c>
      <c r="X96" s="62">
        <f>IF($V96="","",IF(ISNUMBER($G96),1,IFERROR(LOOKUP(2,1/($I96:$L96&lt;&gt;""),$I96:$L96),0)))</f>
        <v/>
      </c>
      <c r="Y96" s="62">
        <f>IF($V96="","",IF(AND(ISNUMBER($G96),$G96&lt;=IF($S96=MesCiclo,InicioCiclo,$S96+MOD(2-WEEKDAY($S96),7))+6),1,IF(ISNUMBER($I96),$I96,0)))</f>
        <v/>
      </c>
      <c r="Z96" s="62">
        <f>IF($V96="","",IF(AND(ISNUMBER($G96),$G96&lt;=IF($S96=MesCiclo,InicioCiclo,$S96+MOD(2-WEEKDAY($S96),7))+13),1,IF(ISNUMBER($J96),$J96,$Y96)))</f>
        <v/>
      </c>
      <c r="AA96" s="62">
        <f>IF($V96="","",IF(AND(ISNUMBER($G96),$G96&lt;=IF($S96=MesCiclo,InicioCiclo,$S96+MOD(2-WEEKDAY($S96),7))+20),1,IF(ISNUMBER($K96),$K96,$Z96)))</f>
        <v/>
      </c>
      <c r="AB96" s="62">
        <f>IF($V96="","",IF(AND(ISNUMBER($G96),$G96&lt;=IF($S96=MesCiclo,InicioCiclo,$S96+MOD(2-WEEKDAY($S96),7))+27),1,IF(ISNUMBER($L96),$L96,$AA96)))</f>
        <v/>
      </c>
      <c r="AC96" s="62">
        <f>IF($V96="","",IF(AND(ISNUMBER($G96),$G96&lt;=IF($S96=MesCiclo,InicioCiclo,$S96+MOD(2-WEEKDAY($S96),7))+6),1,IF(N($W96)&gt;0,AVERAGEIFS($Y$5:$Y$1000,$U$5:$U$1000,ROW(),$V$5:$V$1000,"Sub"),$Y96)))</f>
        <v/>
      </c>
      <c r="AD96" s="62">
        <f>IF($V96="","",IF(AND(ISNUMBER($G96),$G96&lt;=IF($S96=MesCiclo,InicioCiclo,$S96+MOD(2-WEEKDAY($S96),7))+13),1,IF(N($W96)&gt;0,AVERAGEIFS($Z$5:$Z$1000,$U$5:$U$1000,ROW(),$V$5:$V$1000,"Sub"),$Z96)))</f>
        <v/>
      </c>
      <c r="AE96" s="62">
        <f>IF($V96="","",IF(AND(ISNUMBER($G96),$G96&lt;=IF($S96=MesCiclo,InicioCiclo,$S96+MOD(2-WEEKDAY($S96),7))+20),1,IF(N($W96)&gt;0,AVERAGEIFS($AA$5:$AA$1000,$U$5:$U$1000,ROW(),$V$5:$V$1000,"Sub"),$AA96)))</f>
        <v/>
      </c>
      <c r="AF96" s="62">
        <f>IF($V96="","",IF(AND(ISNUMBER($G96),$G96&lt;=IF($S96=MesCiclo,InicioCiclo,$S96+MOD(2-WEEKDAY($S96),7))+27),1,IF(N($W96)&gt;0,AVERAGEIFS($AB$5:$AB$1000,$U$5:$U$1000,ROW(),$V$5:$V$1000,"Sub"),$AB96)))</f>
        <v/>
      </c>
      <c r="AG96" s="62">
        <f>IF($V96&lt;&gt;"Macro","",IF(COUNTIFS($S$5:$S$1000,$S96,$V$5:$V$1000,"Macro",$H$5:$H$1000,"&gt;0")=0,1/COUNTIFS($S$5:$S$1000,$S96,$V$5:$V$1000,"Macro"),IF(AND(ISNUMBER($H96),N($H96)&gt;0),$H96,SUMIFS($H$5:$H$1000,$S$5:$S$1000,$S96,$V$5:$V$1000,"Macro")/COUNTIFS($S$5:$S$1000,$S96,$V$5:$V$1000,"Macro",$H$5:$H$1000,"&gt;0"))/(COUNTIFS($S$5:$S$1000,$S96,$V$5:$V$1000,"Macro")*SUMIFS($H$5:$H$1000,$S$5:$S$1000,$S96,$V$5:$V$1000,"Macro")/COUNTIFS($S$5:$S$1000,$S96,$V$5:$V$1000,"Macro",$H$5:$H$1000,"&gt;0"))))</f>
        <v/>
      </c>
      <c r="AH96" s="62" t="n"/>
      <c r="AI96" s="62" t="n"/>
      <c r="AJ96" s="62" t="n"/>
      <c r="AK96" s="62" t="n"/>
      <c r="AL96" s="62">
        <f>IF(LEFT($C96,11)="[Jefatura] ",IFERROR(MATCH("Asistente Técnico de Riesgo|"&amp;MID($C96,12,500),rDname_ADM,0),0),"")</f>
        <v/>
      </c>
      <c r="AM96" s="62">
        <f>IF(N($AL96)&gt;0,INDEX(rIni_ADM,$AL96),IF(ISNUMBER($E96),$E96,""))</f>
        <v/>
      </c>
      <c r="AN96" s="62">
        <f>IF(N($AL96)&gt;0,INDEX(rLim_ADM,$AL96),IF(ISNUMBER($F96),$F96,""))</f>
        <v/>
      </c>
    </row>
    <row r="97">
      <c r="A97" s="56">
        <f>IF(NOT((COUNTA($B97:$D97)+COUNTA($G97:$L97)+COUNTA($Q97))&gt;0),"",IF($V97="Macro",COUNTIFS($V$5:$V97,"Macro",$S$5:$S97,$S97),IF(N($U97)=0,"?",COUNTIFS(INDEX($V$5:$V$1000,1):INDEX($V$5:$V$1000,$U97-4),"Macro",INDEX($S$5:$S$1000,1):INDEX($S$5:$S$1000,$U97-4),INDEX($S$5:$S$1000,$U97-4))&amp;"."&amp;COUNTIFS($U$5:$U97,$U97,$V$5:$V97,"Sub"))))</f>
        <v/>
      </c>
      <c r="B97" s="57" t="n"/>
      <c r="C97" s="58" t="n"/>
      <c r="D97" s="58" t="n"/>
      <c r="E97" s="59">
        <f>IF(N($AL97)&gt;0,INDEX(rIni_ADM,$AL97),"")</f>
        <v/>
      </c>
      <c r="F97" s="59">
        <f>IF(N($AL97)&gt;0,INDEX(rLim_ADM,$AL97),"")</f>
        <v/>
      </c>
      <c r="G97" s="59" t="n"/>
      <c r="H97" s="60" t="n"/>
      <c r="I97" s="60" t="n"/>
      <c r="J97" s="60" t="n"/>
      <c r="K97" s="60" t="n"/>
      <c r="L97" s="60" t="n"/>
      <c r="M97" s="61">
        <f>IF(NOT((COUNTA($B97:$D97)+COUNTA($G97:$L97)+COUNTA($Q97))&gt;0),"",IF($V97="Sub",IFERROR($X97/INDEX($W$5:$W$1000,$U97-4),""),IF(ISNUMBER($G97),1,IF(N($W97)&gt;0,AVERAGEIFS($X$5:$X$1000,$U$5:$U$1000,ROW(),$V$5:$V$1000,"Sub"),$X97))))</f>
        <v/>
      </c>
      <c r="N97" s="56">
        <f>IF(OR($M97="",$V97="Sub"),"",IF($M97&gt;=1,"Completado",IF($M97&gt;0,"En curso","Pendiente")))</f>
        <v/>
      </c>
      <c r="O97" s="56">
        <f>IF(OR(NOT((COUNTA($B97:$D97)+COUNTA($G97:$L97)+COUNTA($Q97))&gt;0),$V97="Sub"),"",IF(ISNUMBER($G97),IF(AND(ISNUMBER($AN97),$G97&gt;$AN97),"Cumplida con "&amp;($G97-$AN97)&amp;IF($G97-$AN97=1," día"," días")&amp;" de retraso","Cumplida"),IF(N($M97)&gt;=1,"Cumplida",IF(NOT(ISNUMBER($AN97)),"Sin fecha límite",IF($AN97&lt;FechaRef,"Vencida hace "&amp;(FechaRef-$AN97)&amp;IF(FechaRef-$AN97=1," día"," días"),IF($AN97=FechaRef,"Vence hoy",IF($AN97-FechaRef&lt;=DiasAlerta,"Vence en "&amp;($AN97-FechaRef)&amp;IF($AN97-FechaRef=1," día"," días"),"En plazo")))))))</f>
        <v/>
      </c>
      <c r="P97" s="62" t="n"/>
      <c r="Q97" s="58" t="n"/>
      <c r="R97" s="63">
        <f>IF(NOT((COUNTA($B97:$D97)+COUNTA($G97:$L97)+COUNTA($Q97))&gt;0),"",IF((IF($C97="","Falta el nombre de la actividad"&amp;" · ","")&amp;IF(AND($V97="Sub",N($U97)=0),"Subactividad sin macroactividad arriba"&amp;" · ","")&amp;IF($AM97="","Sin fecha de inicio"&amp;" · ","")&amp;IF($AN97="","Sin fecha límite"&amp;" · ","")&amp;IF(AND(LEFT($C97,11)="[Jefatura] ",N($AL97)=0),"No se encuentra en la hoja de la jefatura (elíjala de nuevo en la lista)"&amp;" · ","")&amp;IF(OR(AND($E97&lt;&gt;"",NOT(ISNUMBER($E97))),AND($F97&lt;&gt;"",NOT(ISNUMBER($F97))),AND($G97&lt;&gt;"",NOT(ISNUMBER($G97)))),"Fecha no válida"&amp;" · ","")&amp;IF(AND(ISNUMBER($AM97),ISNUMBER($AN97),$AM97&gt;$AN97),"Inicio posterior a fecha límite"&amp;" · ","")&amp;IF(AND($V97="Macro",$H97&lt;&gt;"",OR(NOT(ISNUMBER($H97)),$H97&lt;0,$H97&gt;1)),"Peso fuera de rango"&amp;" · ","")&amp;IF(AND($V97="Sub",$H97&lt;&gt;""),"Las subactividades no llevan peso (valen igual dentro de su macroactividad)"&amp;" · ","")&amp;IF(AND(N($W97)&gt;0,COUNT($I97:$L97)&gt;0),"Con subactividades: deje vacías las semanas (se calculan solas)"&amp;" · ","")&amp;IF((COUNTIF($I97:$L97,"&gt;1")+COUNTIF($I97:$L97,"&lt;0")+COUNTA($I97:$L97)-COUNT($I97:$L97))&gt;0,"Avance fuera de rango 0-100%"&amp;" · ","")&amp;IF(OR(AND($J97&lt;&gt;"",$J97&lt;$I97),AND($K97&lt;&gt;"",$K97&lt;MAX($I97:$J97)),AND($L97&lt;&gt;"",$L97&lt;MAX($I97:$K97))),"Avance semanal decreciente"&amp;" · ","")&amp;IF(AND(ISNUMBER($AN97),$AN97&lt;FechaRef,IF($V97="Sub",N($X97),N($M97))&lt;1),"Vencida"&amp;" · ","")&amp;IF(AND(ObsObligatoria="Sí",ISNUMBER($AN97),$AN97&lt;FechaRef,IF($V97="Sub",N($X97),N($M97))&lt;1,$Q97=""),"Vencida sin observación"&amp;" · ",""))="","✔ OK","⚠ "&amp;LEFT(IF($C97="","Falta el nombre de la actividad"&amp;" · ","")&amp;IF(AND($V97="Sub",N($U97)=0),"Subactividad sin macroactividad arriba"&amp;" · ","")&amp;IF($AM97="","Sin fecha de inicio"&amp;" · ","")&amp;IF($AN97="","Sin fecha límite"&amp;" · ","")&amp;IF(AND(LEFT($C97,11)="[Jefatura] ",N($AL97)=0),"No se encuentra en la hoja de la jefatura (elíjala de nuevo en la lista)"&amp;" · ","")&amp;IF(OR(AND($E97&lt;&gt;"",NOT(ISNUMBER($E97))),AND($F97&lt;&gt;"",NOT(ISNUMBER($F97))),AND($G97&lt;&gt;"",NOT(ISNUMBER($G97)))),"Fecha no válida"&amp;" · ","")&amp;IF(AND(ISNUMBER($AM97),ISNUMBER($AN97),$AM97&gt;$AN97),"Inicio posterior a fecha límite"&amp;" · ","")&amp;IF(AND($V97="Macro",$H97&lt;&gt;"",OR(NOT(ISNUMBER($H97)),$H97&lt;0,$H97&gt;1)),"Peso fuera de rango"&amp;" · ","")&amp;IF(AND($V97="Sub",$H97&lt;&gt;""),"Las subactividades no llevan peso (valen igual dentro de su macroactividad)"&amp;" · ","")&amp;IF(AND(N($W97)&gt;0,COUNT($I97:$L97)&gt;0),"Con subactividades: deje vacías las semanas (se calculan solas)"&amp;" · ","")&amp;IF((COUNTIF($I97:$L97,"&gt;1")+COUNTIF($I97:$L97,"&lt;0")+COUNTA($I97:$L97)-COUNT($I97:$L97))&gt;0,"Avance fuera de rango 0-100%"&amp;" · ","")&amp;IF(OR(AND($J97&lt;&gt;"",$J97&lt;$I97),AND($K97&lt;&gt;"",$K97&lt;MAX($I97:$J97)),AND($L97&lt;&gt;"",$L97&lt;MAX($I97:$K97))),"Avance semanal decreciente"&amp;" · ","")&amp;IF(AND(ISNUMBER($AN97),$AN97&lt;FechaRef,IF($V97="Sub",N($X97),N($M97))&lt;1),"Vencida"&amp;" · ","")&amp;IF(AND(ObsObligatoria="Sí",ISNUMBER($AN97),$AN97&lt;FechaRef,IF($V97="Sub",N($X97),N($M97))&lt;1,$Q97=""),"Vencida sin observación"&amp;" · ",""),LEN(IF($C97="","Falta el nombre de la actividad"&amp;" · ","")&amp;IF(AND($V97="Sub",N($U97)=0),"Subactividad sin macroactividad arriba"&amp;" · ","")&amp;IF($AM97="","Sin fecha de inicio"&amp;" · ","")&amp;IF($AN97="","Sin fecha límite"&amp;" · ","")&amp;IF(AND(LEFT($C97,11)="[Jefatura] ",N($AL97)=0),"No se encuentra en la hoja de la jefatura (elíjala de nuevo en la lista)"&amp;" · ","")&amp;IF(OR(AND($E97&lt;&gt;"",NOT(ISNUMBER($E97))),AND($F97&lt;&gt;"",NOT(ISNUMBER($F97))),AND($G97&lt;&gt;"",NOT(ISNUMBER($G97)))),"Fecha no válida"&amp;" · ","")&amp;IF(AND(ISNUMBER($AM97),ISNUMBER($AN97),$AM97&gt;$AN97),"Inicio posterior a fecha límite"&amp;" · ","")&amp;IF(AND($V97="Macro",$H97&lt;&gt;"",OR(NOT(ISNUMBER($H97)),$H97&lt;0,$H97&gt;1)),"Peso fuera de rango"&amp;" · ","")&amp;IF(AND($V97="Sub",$H97&lt;&gt;""),"Las subactividades no llevan peso (valen igual dentro de su macroactividad)"&amp;" · ","")&amp;IF(AND(N($W97)&gt;0,COUNT($I97:$L97)&gt;0),"Con subactividades: deje vacías las semanas (se calculan solas)"&amp;" · ","")&amp;IF((COUNTIF($I97:$L97,"&gt;1")+COUNTIF($I97:$L97,"&lt;0")+COUNTA($I97:$L97)-COUNT($I97:$L97))&gt;0,"Avance fuera de rango 0-100%"&amp;" · ","")&amp;IF(OR(AND($J97&lt;&gt;"",$J97&lt;$I97),AND($K97&lt;&gt;"",$K97&lt;MAX($I97:$J97)),AND($L97&lt;&gt;"",$L97&lt;MAX($I97:$K97))),"Avance semanal decreciente"&amp;" · ","")&amp;IF(AND(ISNUMBER($AN97),$AN97&lt;FechaRef,IF($V97="Sub",N($X97),N($M97))&lt;1),"Vencida"&amp;" · ","")&amp;IF(AND(ObsObligatoria="Sí",ISNUMBER($AN97),$AN97&lt;FechaRef,IF($V97="Sub",N($X97),N($M97))&lt;1,$Q97=""),"Vencida sin observación"&amp;" · ",""))-3)))</f>
        <v/>
      </c>
      <c r="S97" s="64">
        <f>IF(NOT((COUNTA($B97:$D97)+COUNTA($G97:$L97)+COUNTA($Q97))&gt;0),"",IF(AND($V97="Sub",N($U97)&gt;0),IF(ISNUMBER(INDEX($AM$5:$AM$1000,$U97-4)),DATE(YEAR(INDEX($AM$5:$AM$1000,$U97-4)),MONTH(INDEX($AM$5:$AM$1000,$U97-4)),1),IF(ISNUMBER(INDEX($AN$5:$AN$1000,$U97-4)),DATE(YEAR(INDEX($AN$5:$AN$1000,$U97-4)),MONTH(INDEX($AN$5:$AN$1000,$U97-4)),1),MesCiclo)),IF(ISNUMBER($AM97),DATE(YEAR($AM97),MONTH($AM97),1),IF(ISNUMBER($AN97),DATE(YEAR($AN97),MONTH($AN97),1),MesCiclo))))</f>
        <v/>
      </c>
      <c r="T97" s="62">
        <f>IF(OR($S97="",$S97&lt;&gt;MesCiclo,$V97&lt;&gt;"Macro"),"",COUNTIFS($S$5:$S97,MesCiclo,$V$5:$V97,"Macro"))</f>
        <v/>
      </c>
      <c r="U97" s="62">
        <f>IF($V97="","",IF($V97="Macro",ROW(),IFERROR(LOOKUP(2,1/($V$5:$V97="Macro"),ROW($V$5:$V97)),0)))</f>
        <v/>
      </c>
      <c r="V97" s="62">
        <f>IF(NOT((COUNTA($B97:$D97)+COUNTA($G97:$L97)+COUNTA($Q97))&gt;0),"",IF($B97="Subactividad","Sub","Macro"))</f>
        <v/>
      </c>
      <c r="W97" s="62">
        <f>IF($V97="Macro",COUNTIFS($U$5:$U$1000,ROW(),$V$5:$V$1000,"Sub"),"")</f>
        <v/>
      </c>
      <c r="X97" s="62">
        <f>IF($V97="","",IF(ISNUMBER($G97),1,IFERROR(LOOKUP(2,1/($I97:$L97&lt;&gt;""),$I97:$L97),0)))</f>
        <v/>
      </c>
      <c r="Y97" s="62">
        <f>IF($V97="","",IF(AND(ISNUMBER($G97),$G97&lt;=IF($S97=MesCiclo,InicioCiclo,$S97+MOD(2-WEEKDAY($S97),7))+6),1,IF(ISNUMBER($I97),$I97,0)))</f>
        <v/>
      </c>
      <c r="Z97" s="62">
        <f>IF($V97="","",IF(AND(ISNUMBER($G97),$G97&lt;=IF($S97=MesCiclo,InicioCiclo,$S97+MOD(2-WEEKDAY($S97),7))+13),1,IF(ISNUMBER($J97),$J97,$Y97)))</f>
        <v/>
      </c>
      <c r="AA97" s="62">
        <f>IF($V97="","",IF(AND(ISNUMBER($G97),$G97&lt;=IF($S97=MesCiclo,InicioCiclo,$S97+MOD(2-WEEKDAY($S97),7))+20),1,IF(ISNUMBER($K97),$K97,$Z97)))</f>
        <v/>
      </c>
      <c r="AB97" s="62">
        <f>IF($V97="","",IF(AND(ISNUMBER($G97),$G97&lt;=IF($S97=MesCiclo,InicioCiclo,$S97+MOD(2-WEEKDAY($S97),7))+27),1,IF(ISNUMBER($L97),$L97,$AA97)))</f>
        <v/>
      </c>
      <c r="AC97" s="62">
        <f>IF($V97="","",IF(AND(ISNUMBER($G97),$G97&lt;=IF($S97=MesCiclo,InicioCiclo,$S97+MOD(2-WEEKDAY($S97),7))+6),1,IF(N($W97)&gt;0,AVERAGEIFS($Y$5:$Y$1000,$U$5:$U$1000,ROW(),$V$5:$V$1000,"Sub"),$Y97)))</f>
        <v/>
      </c>
      <c r="AD97" s="62">
        <f>IF($V97="","",IF(AND(ISNUMBER($G97),$G97&lt;=IF($S97=MesCiclo,InicioCiclo,$S97+MOD(2-WEEKDAY($S97),7))+13),1,IF(N($W97)&gt;0,AVERAGEIFS($Z$5:$Z$1000,$U$5:$U$1000,ROW(),$V$5:$V$1000,"Sub"),$Z97)))</f>
        <v/>
      </c>
      <c r="AE97" s="62">
        <f>IF($V97="","",IF(AND(ISNUMBER($G97),$G97&lt;=IF($S97=MesCiclo,InicioCiclo,$S97+MOD(2-WEEKDAY($S97),7))+20),1,IF(N($W97)&gt;0,AVERAGEIFS($AA$5:$AA$1000,$U$5:$U$1000,ROW(),$V$5:$V$1000,"Sub"),$AA97)))</f>
        <v/>
      </c>
      <c r="AF97" s="62">
        <f>IF($V97="","",IF(AND(ISNUMBER($G97),$G97&lt;=IF($S97=MesCiclo,InicioCiclo,$S97+MOD(2-WEEKDAY($S97),7))+27),1,IF(N($W97)&gt;0,AVERAGEIFS($AB$5:$AB$1000,$U$5:$U$1000,ROW(),$V$5:$V$1000,"Sub"),$AB97)))</f>
        <v/>
      </c>
      <c r="AG97" s="62">
        <f>IF($V97&lt;&gt;"Macro","",IF(COUNTIFS($S$5:$S$1000,$S97,$V$5:$V$1000,"Macro",$H$5:$H$1000,"&gt;0")=0,1/COUNTIFS($S$5:$S$1000,$S97,$V$5:$V$1000,"Macro"),IF(AND(ISNUMBER($H97),N($H97)&gt;0),$H97,SUMIFS($H$5:$H$1000,$S$5:$S$1000,$S97,$V$5:$V$1000,"Macro")/COUNTIFS($S$5:$S$1000,$S97,$V$5:$V$1000,"Macro",$H$5:$H$1000,"&gt;0"))/(COUNTIFS($S$5:$S$1000,$S97,$V$5:$V$1000,"Macro")*SUMIFS($H$5:$H$1000,$S$5:$S$1000,$S97,$V$5:$V$1000,"Macro")/COUNTIFS($S$5:$S$1000,$S97,$V$5:$V$1000,"Macro",$H$5:$H$1000,"&gt;0"))))</f>
        <v/>
      </c>
      <c r="AH97" s="62" t="n"/>
      <c r="AI97" s="62" t="n"/>
      <c r="AJ97" s="62" t="n"/>
      <c r="AK97" s="62" t="n"/>
      <c r="AL97" s="62">
        <f>IF(LEFT($C97,11)="[Jefatura] ",IFERROR(MATCH("Asistente Técnico de Riesgo|"&amp;MID($C97,12,500),rDname_ADM,0),0),"")</f>
        <v/>
      </c>
      <c r="AM97" s="62">
        <f>IF(N($AL97)&gt;0,INDEX(rIni_ADM,$AL97),IF(ISNUMBER($E97),$E97,""))</f>
        <v/>
      </c>
      <c r="AN97" s="62">
        <f>IF(N($AL97)&gt;0,INDEX(rLim_ADM,$AL97),IF(ISNUMBER($F97),$F97,""))</f>
        <v/>
      </c>
    </row>
    <row r="98">
      <c r="A98" s="56">
        <f>IF(NOT((COUNTA($B98:$D98)+COUNTA($G98:$L98)+COUNTA($Q98))&gt;0),"",IF($V98="Macro",COUNTIFS($V$5:$V98,"Macro",$S$5:$S98,$S98),IF(N($U98)=0,"?",COUNTIFS(INDEX($V$5:$V$1000,1):INDEX($V$5:$V$1000,$U98-4),"Macro",INDEX($S$5:$S$1000,1):INDEX($S$5:$S$1000,$U98-4),INDEX($S$5:$S$1000,$U98-4))&amp;"."&amp;COUNTIFS($U$5:$U98,$U98,$V$5:$V98,"Sub"))))</f>
        <v/>
      </c>
      <c r="B98" s="57" t="n"/>
      <c r="C98" s="58" t="n"/>
      <c r="D98" s="58" t="n"/>
      <c r="E98" s="59">
        <f>IF(N($AL98)&gt;0,INDEX(rIni_ADM,$AL98),"")</f>
        <v/>
      </c>
      <c r="F98" s="59">
        <f>IF(N($AL98)&gt;0,INDEX(rLim_ADM,$AL98),"")</f>
        <v/>
      </c>
      <c r="G98" s="59" t="n"/>
      <c r="H98" s="60" t="n"/>
      <c r="I98" s="60" t="n"/>
      <c r="J98" s="60" t="n"/>
      <c r="K98" s="60" t="n"/>
      <c r="L98" s="60" t="n"/>
      <c r="M98" s="61">
        <f>IF(NOT((COUNTA($B98:$D98)+COUNTA($G98:$L98)+COUNTA($Q98))&gt;0),"",IF($V98="Sub",IFERROR($X98/INDEX($W$5:$W$1000,$U98-4),""),IF(ISNUMBER($G98),1,IF(N($W98)&gt;0,AVERAGEIFS($X$5:$X$1000,$U$5:$U$1000,ROW(),$V$5:$V$1000,"Sub"),$X98))))</f>
        <v/>
      </c>
      <c r="N98" s="56">
        <f>IF(OR($M98="",$V98="Sub"),"",IF($M98&gt;=1,"Completado",IF($M98&gt;0,"En curso","Pendiente")))</f>
        <v/>
      </c>
      <c r="O98" s="56">
        <f>IF(OR(NOT((COUNTA($B98:$D98)+COUNTA($G98:$L98)+COUNTA($Q98))&gt;0),$V98="Sub"),"",IF(ISNUMBER($G98),IF(AND(ISNUMBER($AN98),$G98&gt;$AN98),"Cumplida con "&amp;($G98-$AN98)&amp;IF($G98-$AN98=1," día"," días")&amp;" de retraso","Cumplida"),IF(N($M98)&gt;=1,"Cumplida",IF(NOT(ISNUMBER($AN98)),"Sin fecha límite",IF($AN98&lt;FechaRef,"Vencida hace "&amp;(FechaRef-$AN98)&amp;IF(FechaRef-$AN98=1," día"," días"),IF($AN98=FechaRef,"Vence hoy",IF($AN98-FechaRef&lt;=DiasAlerta,"Vence en "&amp;($AN98-FechaRef)&amp;IF($AN98-FechaRef=1," día"," días"),"En plazo")))))))</f>
        <v/>
      </c>
      <c r="P98" s="62" t="n"/>
      <c r="Q98" s="58" t="n"/>
      <c r="R98" s="63">
        <f>IF(NOT((COUNTA($B98:$D98)+COUNTA($G98:$L98)+COUNTA($Q98))&gt;0),"",IF((IF($C98="","Falta el nombre de la actividad"&amp;" · ","")&amp;IF(AND($V98="Sub",N($U98)=0),"Subactividad sin macroactividad arriba"&amp;" · ","")&amp;IF($AM98="","Sin fecha de inicio"&amp;" · ","")&amp;IF($AN98="","Sin fecha límite"&amp;" · ","")&amp;IF(AND(LEFT($C98,11)="[Jefatura] ",N($AL98)=0),"No se encuentra en la hoja de la jefatura (elíjala de nuevo en la lista)"&amp;" · ","")&amp;IF(OR(AND($E98&lt;&gt;"",NOT(ISNUMBER($E98))),AND($F98&lt;&gt;"",NOT(ISNUMBER($F98))),AND($G98&lt;&gt;"",NOT(ISNUMBER($G98)))),"Fecha no válida"&amp;" · ","")&amp;IF(AND(ISNUMBER($AM98),ISNUMBER($AN98),$AM98&gt;$AN98),"Inicio posterior a fecha límite"&amp;" · ","")&amp;IF(AND($V98="Macro",$H98&lt;&gt;"",OR(NOT(ISNUMBER($H98)),$H98&lt;0,$H98&gt;1)),"Peso fuera de rango"&amp;" · ","")&amp;IF(AND($V98="Sub",$H98&lt;&gt;""),"Las subactividades no llevan peso (valen igual dentro de su macroactividad)"&amp;" · ","")&amp;IF(AND(N($W98)&gt;0,COUNT($I98:$L98)&gt;0),"Con subactividades: deje vacías las semanas (se calculan solas)"&amp;" · ","")&amp;IF((COUNTIF($I98:$L98,"&gt;1")+COUNTIF($I98:$L98,"&lt;0")+COUNTA($I98:$L98)-COUNT($I98:$L98))&gt;0,"Avance fuera de rango 0-100%"&amp;" · ","")&amp;IF(OR(AND($J98&lt;&gt;"",$J98&lt;$I98),AND($K98&lt;&gt;"",$K98&lt;MAX($I98:$J98)),AND($L98&lt;&gt;"",$L98&lt;MAX($I98:$K98))),"Avance semanal decreciente"&amp;" · ","")&amp;IF(AND(ISNUMBER($AN98),$AN98&lt;FechaRef,IF($V98="Sub",N($X98),N($M98))&lt;1),"Vencida"&amp;" · ","")&amp;IF(AND(ObsObligatoria="Sí",ISNUMBER($AN98),$AN98&lt;FechaRef,IF($V98="Sub",N($X98),N($M98))&lt;1,$Q98=""),"Vencida sin observación"&amp;" · ",""))="","✔ OK","⚠ "&amp;LEFT(IF($C98="","Falta el nombre de la actividad"&amp;" · ","")&amp;IF(AND($V98="Sub",N($U98)=0),"Subactividad sin macroactividad arriba"&amp;" · ","")&amp;IF($AM98="","Sin fecha de inicio"&amp;" · ","")&amp;IF($AN98="","Sin fecha límite"&amp;" · ","")&amp;IF(AND(LEFT($C98,11)="[Jefatura] ",N($AL98)=0),"No se encuentra en la hoja de la jefatura (elíjala de nuevo en la lista)"&amp;" · ","")&amp;IF(OR(AND($E98&lt;&gt;"",NOT(ISNUMBER($E98))),AND($F98&lt;&gt;"",NOT(ISNUMBER($F98))),AND($G98&lt;&gt;"",NOT(ISNUMBER($G98)))),"Fecha no válida"&amp;" · ","")&amp;IF(AND(ISNUMBER($AM98),ISNUMBER($AN98),$AM98&gt;$AN98),"Inicio posterior a fecha límite"&amp;" · ","")&amp;IF(AND($V98="Macro",$H98&lt;&gt;"",OR(NOT(ISNUMBER($H98)),$H98&lt;0,$H98&gt;1)),"Peso fuera de rango"&amp;" · ","")&amp;IF(AND($V98="Sub",$H98&lt;&gt;""),"Las subactividades no llevan peso (valen igual dentro de su macroactividad)"&amp;" · ","")&amp;IF(AND(N($W98)&gt;0,COUNT($I98:$L98)&gt;0),"Con subactividades: deje vacías las semanas (se calculan solas)"&amp;" · ","")&amp;IF((COUNTIF($I98:$L98,"&gt;1")+COUNTIF($I98:$L98,"&lt;0")+COUNTA($I98:$L98)-COUNT($I98:$L98))&gt;0,"Avance fuera de rango 0-100%"&amp;" · ","")&amp;IF(OR(AND($J98&lt;&gt;"",$J98&lt;$I98),AND($K98&lt;&gt;"",$K98&lt;MAX($I98:$J98)),AND($L98&lt;&gt;"",$L98&lt;MAX($I98:$K98))),"Avance semanal decreciente"&amp;" · ","")&amp;IF(AND(ISNUMBER($AN98),$AN98&lt;FechaRef,IF($V98="Sub",N($X98),N($M98))&lt;1),"Vencida"&amp;" · ","")&amp;IF(AND(ObsObligatoria="Sí",ISNUMBER($AN98),$AN98&lt;FechaRef,IF($V98="Sub",N($X98),N($M98))&lt;1,$Q98=""),"Vencida sin observación"&amp;" · ",""),LEN(IF($C98="","Falta el nombre de la actividad"&amp;" · ","")&amp;IF(AND($V98="Sub",N($U98)=0),"Subactividad sin macroactividad arriba"&amp;" · ","")&amp;IF($AM98="","Sin fecha de inicio"&amp;" · ","")&amp;IF($AN98="","Sin fecha límite"&amp;" · ","")&amp;IF(AND(LEFT($C98,11)="[Jefatura] ",N($AL98)=0),"No se encuentra en la hoja de la jefatura (elíjala de nuevo en la lista)"&amp;" · ","")&amp;IF(OR(AND($E98&lt;&gt;"",NOT(ISNUMBER($E98))),AND($F98&lt;&gt;"",NOT(ISNUMBER($F98))),AND($G98&lt;&gt;"",NOT(ISNUMBER($G98)))),"Fecha no válida"&amp;" · ","")&amp;IF(AND(ISNUMBER($AM98),ISNUMBER($AN98),$AM98&gt;$AN98),"Inicio posterior a fecha límite"&amp;" · ","")&amp;IF(AND($V98="Macro",$H98&lt;&gt;"",OR(NOT(ISNUMBER($H98)),$H98&lt;0,$H98&gt;1)),"Peso fuera de rango"&amp;" · ","")&amp;IF(AND($V98="Sub",$H98&lt;&gt;""),"Las subactividades no llevan peso (valen igual dentro de su macroactividad)"&amp;" · ","")&amp;IF(AND(N($W98)&gt;0,COUNT($I98:$L98)&gt;0),"Con subactividades: deje vacías las semanas (se calculan solas)"&amp;" · ","")&amp;IF((COUNTIF($I98:$L98,"&gt;1")+COUNTIF($I98:$L98,"&lt;0")+COUNTA($I98:$L98)-COUNT($I98:$L98))&gt;0,"Avance fuera de rango 0-100%"&amp;" · ","")&amp;IF(OR(AND($J98&lt;&gt;"",$J98&lt;$I98),AND($K98&lt;&gt;"",$K98&lt;MAX($I98:$J98)),AND($L98&lt;&gt;"",$L98&lt;MAX($I98:$K98))),"Avance semanal decreciente"&amp;" · ","")&amp;IF(AND(ISNUMBER($AN98),$AN98&lt;FechaRef,IF($V98="Sub",N($X98),N($M98))&lt;1),"Vencida"&amp;" · ","")&amp;IF(AND(ObsObligatoria="Sí",ISNUMBER($AN98),$AN98&lt;FechaRef,IF($V98="Sub",N($X98),N($M98))&lt;1,$Q98=""),"Vencida sin observación"&amp;" · ",""))-3)))</f>
        <v/>
      </c>
      <c r="S98" s="64">
        <f>IF(NOT((COUNTA($B98:$D98)+COUNTA($G98:$L98)+COUNTA($Q98))&gt;0),"",IF(AND($V98="Sub",N($U98)&gt;0),IF(ISNUMBER(INDEX($AM$5:$AM$1000,$U98-4)),DATE(YEAR(INDEX($AM$5:$AM$1000,$U98-4)),MONTH(INDEX($AM$5:$AM$1000,$U98-4)),1),IF(ISNUMBER(INDEX($AN$5:$AN$1000,$U98-4)),DATE(YEAR(INDEX($AN$5:$AN$1000,$U98-4)),MONTH(INDEX($AN$5:$AN$1000,$U98-4)),1),MesCiclo)),IF(ISNUMBER($AM98),DATE(YEAR($AM98),MONTH($AM98),1),IF(ISNUMBER($AN98),DATE(YEAR($AN98),MONTH($AN98),1),MesCiclo))))</f>
        <v/>
      </c>
      <c r="T98" s="62">
        <f>IF(OR($S98="",$S98&lt;&gt;MesCiclo,$V98&lt;&gt;"Macro"),"",COUNTIFS($S$5:$S98,MesCiclo,$V$5:$V98,"Macro"))</f>
        <v/>
      </c>
      <c r="U98" s="62">
        <f>IF($V98="","",IF($V98="Macro",ROW(),IFERROR(LOOKUP(2,1/($V$5:$V98="Macro"),ROW($V$5:$V98)),0)))</f>
        <v/>
      </c>
      <c r="V98" s="62">
        <f>IF(NOT((COUNTA($B98:$D98)+COUNTA($G98:$L98)+COUNTA($Q98))&gt;0),"",IF($B98="Subactividad","Sub","Macro"))</f>
        <v/>
      </c>
      <c r="W98" s="62">
        <f>IF($V98="Macro",COUNTIFS($U$5:$U$1000,ROW(),$V$5:$V$1000,"Sub"),"")</f>
        <v/>
      </c>
      <c r="X98" s="62">
        <f>IF($V98="","",IF(ISNUMBER($G98),1,IFERROR(LOOKUP(2,1/($I98:$L98&lt;&gt;""),$I98:$L98),0)))</f>
        <v/>
      </c>
      <c r="Y98" s="62">
        <f>IF($V98="","",IF(AND(ISNUMBER($G98),$G98&lt;=IF($S98=MesCiclo,InicioCiclo,$S98+MOD(2-WEEKDAY($S98),7))+6),1,IF(ISNUMBER($I98),$I98,0)))</f>
        <v/>
      </c>
      <c r="Z98" s="62">
        <f>IF($V98="","",IF(AND(ISNUMBER($G98),$G98&lt;=IF($S98=MesCiclo,InicioCiclo,$S98+MOD(2-WEEKDAY($S98),7))+13),1,IF(ISNUMBER($J98),$J98,$Y98)))</f>
        <v/>
      </c>
      <c r="AA98" s="62">
        <f>IF($V98="","",IF(AND(ISNUMBER($G98),$G98&lt;=IF($S98=MesCiclo,InicioCiclo,$S98+MOD(2-WEEKDAY($S98),7))+20),1,IF(ISNUMBER($K98),$K98,$Z98)))</f>
        <v/>
      </c>
      <c r="AB98" s="62">
        <f>IF($V98="","",IF(AND(ISNUMBER($G98),$G98&lt;=IF($S98=MesCiclo,InicioCiclo,$S98+MOD(2-WEEKDAY($S98),7))+27),1,IF(ISNUMBER($L98),$L98,$AA98)))</f>
        <v/>
      </c>
      <c r="AC98" s="62">
        <f>IF($V98="","",IF(AND(ISNUMBER($G98),$G98&lt;=IF($S98=MesCiclo,InicioCiclo,$S98+MOD(2-WEEKDAY($S98),7))+6),1,IF(N($W98)&gt;0,AVERAGEIFS($Y$5:$Y$1000,$U$5:$U$1000,ROW(),$V$5:$V$1000,"Sub"),$Y98)))</f>
        <v/>
      </c>
      <c r="AD98" s="62">
        <f>IF($V98="","",IF(AND(ISNUMBER($G98),$G98&lt;=IF($S98=MesCiclo,InicioCiclo,$S98+MOD(2-WEEKDAY($S98),7))+13),1,IF(N($W98)&gt;0,AVERAGEIFS($Z$5:$Z$1000,$U$5:$U$1000,ROW(),$V$5:$V$1000,"Sub"),$Z98)))</f>
        <v/>
      </c>
      <c r="AE98" s="62">
        <f>IF($V98="","",IF(AND(ISNUMBER($G98),$G98&lt;=IF($S98=MesCiclo,InicioCiclo,$S98+MOD(2-WEEKDAY($S98),7))+20),1,IF(N($W98)&gt;0,AVERAGEIFS($AA$5:$AA$1000,$U$5:$U$1000,ROW(),$V$5:$V$1000,"Sub"),$AA98)))</f>
        <v/>
      </c>
      <c r="AF98" s="62">
        <f>IF($V98="","",IF(AND(ISNUMBER($G98),$G98&lt;=IF($S98=MesCiclo,InicioCiclo,$S98+MOD(2-WEEKDAY($S98),7))+27),1,IF(N($W98)&gt;0,AVERAGEIFS($AB$5:$AB$1000,$U$5:$U$1000,ROW(),$V$5:$V$1000,"Sub"),$AB98)))</f>
        <v/>
      </c>
      <c r="AG98" s="62">
        <f>IF($V98&lt;&gt;"Macro","",IF(COUNTIFS($S$5:$S$1000,$S98,$V$5:$V$1000,"Macro",$H$5:$H$1000,"&gt;0")=0,1/COUNTIFS($S$5:$S$1000,$S98,$V$5:$V$1000,"Macro"),IF(AND(ISNUMBER($H98),N($H98)&gt;0),$H98,SUMIFS($H$5:$H$1000,$S$5:$S$1000,$S98,$V$5:$V$1000,"Macro")/COUNTIFS($S$5:$S$1000,$S98,$V$5:$V$1000,"Macro",$H$5:$H$1000,"&gt;0"))/(COUNTIFS($S$5:$S$1000,$S98,$V$5:$V$1000,"Macro")*SUMIFS($H$5:$H$1000,$S$5:$S$1000,$S98,$V$5:$V$1000,"Macro")/COUNTIFS($S$5:$S$1000,$S98,$V$5:$V$1000,"Macro",$H$5:$H$1000,"&gt;0"))))</f>
        <v/>
      </c>
      <c r="AH98" s="62" t="n"/>
      <c r="AI98" s="62" t="n"/>
      <c r="AJ98" s="62" t="n"/>
      <c r="AK98" s="62" t="n"/>
      <c r="AL98" s="62">
        <f>IF(LEFT($C98,11)="[Jefatura] ",IFERROR(MATCH("Asistente Técnico de Riesgo|"&amp;MID($C98,12,500),rDname_ADM,0),0),"")</f>
        <v/>
      </c>
      <c r="AM98" s="62">
        <f>IF(N($AL98)&gt;0,INDEX(rIni_ADM,$AL98),IF(ISNUMBER($E98),$E98,""))</f>
        <v/>
      </c>
      <c r="AN98" s="62">
        <f>IF(N($AL98)&gt;0,INDEX(rLim_ADM,$AL98),IF(ISNUMBER($F98),$F98,""))</f>
        <v/>
      </c>
    </row>
    <row r="99">
      <c r="A99" s="56">
        <f>IF(NOT((COUNTA($B99:$D99)+COUNTA($G99:$L99)+COUNTA($Q99))&gt;0),"",IF($V99="Macro",COUNTIFS($V$5:$V99,"Macro",$S$5:$S99,$S99),IF(N($U99)=0,"?",COUNTIFS(INDEX($V$5:$V$1000,1):INDEX($V$5:$V$1000,$U99-4),"Macro",INDEX($S$5:$S$1000,1):INDEX($S$5:$S$1000,$U99-4),INDEX($S$5:$S$1000,$U99-4))&amp;"."&amp;COUNTIFS($U$5:$U99,$U99,$V$5:$V99,"Sub"))))</f>
        <v/>
      </c>
      <c r="B99" s="57" t="n"/>
      <c r="C99" s="58" t="n"/>
      <c r="D99" s="58" t="n"/>
      <c r="E99" s="59">
        <f>IF(N($AL99)&gt;0,INDEX(rIni_ADM,$AL99),"")</f>
        <v/>
      </c>
      <c r="F99" s="59">
        <f>IF(N($AL99)&gt;0,INDEX(rLim_ADM,$AL99),"")</f>
        <v/>
      </c>
      <c r="G99" s="59" t="n"/>
      <c r="H99" s="60" t="n"/>
      <c r="I99" s="60" t="n"/>
      <c r="J99" s="60" t="n"/>
      <c r="K99" s="60" t="n"/>
      <c r="L99" s="60" t="n"/>
      <c r="M99" s="61">
        <f>IF(NOT((COUNTA($B99:$D99)+COUNTA($G99:$L99)+COUNTA($Q99))&gt;0),"",IF($V99="Sub",IFERROR($X99/INDEX($W$5:$W$1000,$U99-4),""),IF(ISNUMBER($G99),1,IF(N($W99)&gt;0,AVERAGEIFS($X$5:$X$1000,$U$5:$U$1000,ROW(),$V$5:$V$1000,"Sub"),$X99))))</f>
        <v/>
      </c>
      <c r="N99" s="56">
        <f>IF(OR($M99="",$V99="Sub"),"",IF($M99&gt;=1,"Completado",IF($M99&gt;0,"En curso","Pendiente")))</f>
        <v/>
      </c>
      <c r="O99" s="56">
        <f>IF(OR(NOT((COUNTA($B99:$D99)+COUNTA($G99:$L99)+COUNTA($Q99))&gt;0),$V99="Sub"),"",IF(ISNUMBER($G99),IF(AND(ISNUMBER($AN99),$G99&gt;$AN99),"Cumplida con "&amp;($G99-$AN99)&amp;IF($G99-$AN99=1," día"," días")&amp;" de retraso","Cumplida"),IF(N($M99)&gt;=1,"Cumplida",IF(NOT(ISNUMBER($AN99)),"Sin fecha límite",IF($AN99&lt;FechaRef,"Vencida hace "&amp;(FechaRef-$AN99)&amp;IF(FechaRef-$AN99=1," día"," días"),IF($AN99=FechaRef,"Vence hoy",IF($AN99-FechaRef&lt;=DiasAlerta,"Vence en "&amp;($AN99-FechaRef)&amp;IF($AN99-FechaRef=1," día"," días"),"En plazo")))))))</f>
        <v/>
      </c>
      <c r="P99" s="62" t="n"/>
      <c r="Q99" s="58" t="n"/>
      <c r="R99" s="63">
        <f>IF(NOT((COUNTA($B99:$D99)+COUNTA($G99:$L99)+COUNTA($Q99))&gt;0),"",IF((IF($C99="","Falta el nombre de la actividad"&amp;" · ","")&amp;IF(AND($V99="Sub",N($U99)=0),"Subactividad sin macroactividad arriba"&amp;" · ","")&amp;IF($AM99="","Sin fecha de inicio"&amp;" · ","")&amp;IF($AN99="","Sin fecha límite"&amp;" · ","")&amp;IF(AND(LEFT($C99,11)="[Jefatura] ",N($AL99)=0),"No se encuentra en la hoja de la jefatura (elíjala de nuevo en la lista)"&amp;" · ","")&amp;IF(OR(AND($E99&lt;&gt;"",NOT(ISNUMBER($E99))),AND($F99&lt;&gt;"",NOT(ISNUMBER($F99))),AND($G99&lt;&gt;"",NOT(ISNUMBER($G99)))),"Fecha no válida"&amp;" · ","")&amp;IF(AND(ISNUMBER($AM99),ISNUMBER($AN99),$AM99&gt;$AN99),"Inicio posterior a fecha límite"&amp;" · ","")&amp;IF(AND($V99="Macro",$H99&lt;&gt;"",OR(NOT(ISNUMBER($H99)),$H99&lt;0,$H99&gt;1)),"Peso fuera de rango"&amp;" · ","")&amp;IF(AND($V99="Sub",$H99&lt;&gt;""),"Las subactividades no llevan peso (valen igual dentro de su macroactividad)"&amp;" · ","")&amp;IF(AND(N($W99)&gt;0,COUNT($I99:$L99)&gt;0),"Con subactividades: deje vacías las semanas (se calculan solas)"&amp;" · ","")&amp;IF((COUNTIF($I99:$L99,"&gt;1")+COUNTIF($I99:$L99,"&lt;0")+COUNTA($I99:$L99)-COUNT($I99:$L99))&gt;0,"Avance fuera de rango 0-100%"&amp;" · ","")&amp;IF(OR(AND($J99&lt;&gt;"",$J99&lt;$I99),AND($K99&lt;&gt;"",$K99&lt;MAX($I99:$J99)),AND($L99&lt;&gt;"",$L99&lt;MAX($I99:$K99))),"Avance semanal decreciente"&amp;" · ","")&amp;IF(AND(ISNUMBER($AN99),$AN99&lt;FechaRef,IF($V99="Sub",N($X99),N($M99))&lt;1),"Vencida"&amp;" · ","")&amp;IF(AND(ObsObligatoria="Sí",ISNUMBER($AN99),$AN99&lt;FechaRef,IF($V99="Sub",N($X99),N($M99))&lt;1,$Q99=""),"Vencida sin observación"&amp;" · ",""))="","✔ OK","⚠ "&amp;LEFT(IF($C99="","Falta el nombre de la actividad"&amp;" · ","")&amp;IF(AND($V99="Sub",N($U99)=0),"Subactividad sin macroactividad arriba"&amp;" · ","")&amp;IF($AM99="","Sin fecha de inicio"&amp;" · ","")&amp;IF($AN99="","Sin fecha límite"&amp;" · ","")&amp;IF(AND(LEFT($C99,11)="[Jefatura] ",N($AL99)=0),"No se encuentra en la hoja de la jefatura (elíjala de nuevo en la lista)"&amp;" · ","")&amp;IF(OR(AND($E99&lt;&gt;"",NOT(ISNUMBER($E99))),AND($F99&lt;&gt;"",NOT(ISNUMBER($F99))),AND($G99&lt;&gt;"",NOT(ISNUMBER($G99)))),"Fecha no válida"&amp;" · ","")&amp;IF(AND(ISNUMBER($AM99),ISNUMBER($AN99),$AM99&gt;$AN99),"Inicio posterior a fecha límite"&amp;" · ","")&amp;IF(AND($V99="Macro",$H99&lt;&gt;"",OR(NOT(ISNUMBER($H99)),$H99&lt;0,$H99&gt;1)),"Peso fuera de rango"&amp;" · ","")&amp;IF(AND($V99="Sub",$H99&lt;&gt;""),"Las subactividades no llevan peso (valen igual dentro de su macroactividad)"&amp;" · ","")&amp;IF(AND(N($W99)&gt;0,COUNT($I99:$L99)&gt;0),"Con subactividades: deje vacías las semanas (se calculan solas)"&amp;" · ","")&amp;IF((COUNTIF($I99:$L99,"&gt;1")+COUNTIF($I99:$L99,"&lt;0")+COUNTA($I99:$L99)-COUNT($I99:$L99))&gt;0,"Avance fuera de rango 0-100%"&amp;" · ","")&amp;IF(OR(AND($J99&lt;&gt;"",$J99&lt;$I99),AND($K99&lt;&gt;"",$K99&lt;MAX($I99:$J99)),AND($L99&lt;&gt;"",$L99&lt;MAX($I99:$K99))),"Avance semanal decreciente"&amp;" · ","")&amp;IF(AND(ISNUMBER($AN99),$AN99&lt;FechaRef,IF($V99="Sub",N($X99),N($M99))&lt;1),"Vencida"&amp;" · ","")&amp;IF(AND(ObsObligatoria="Sí",ISNUMBER($AN99),$AN99&lt;FechaRef,IF($V99="Sub",N($X99),N($M99))&lt;1,$Q99=""),"Vencida sin observación"&amp;" · ",""),LEN(IF($C99="","Falta el nombre de la actividad"&amp;" · ","")&amp;IF(AND($V99="Sub",N($U99)=0),"Subactividad sin macroactividad arriba"&amp;" · ","")&amp;IF($AM99="","Sin fecha de inicio"&amp;" · ","")&amp;IF($AN99="","Sin fecha límite"&amp;" · ","")&amp;IF(AND(LEFT($C99,11)="[Jefatura] ",N($AL99)=0),"No se encuentra en la hoja de la jefatura (elíjala de nuevo en la lista)"&amp;" · ","")&amp;IF(OR(AND($E99&lt;&gt;"",NOT(ISNUMBER($E99))),AND($F99&lt;&gt;"",NOT(ISNUMBER($F99))),AND($G99&lt;&gt;"",NOT(ISNUMBER($G99)))),"Fecha no válida"&amp;" · ","")&amp;IF(AND(ISNUMBER($AM99),ISNUMBER($AN99),$AM99&gt;$AN99),"Inicio posterior a fecha límite"&amp;" · ","")&amp;IF(AND($V99="Macro",$H99&lt;&gt;"",OR(NOT(ISNUMBER($H99)),$H99&lt;0,$H99&gt;1)),"Peso fuera de rango"&amp;" · ","")&amp;IF(AND($V99="Sub",$H99&lt;&gt;""),"Las subactividades no llevan peso (valen igual dentro de su macroactividad)"&amp;" · ","")&amp;IF(AND(N($W99)&gt;0,COUNT($I99:$L99)&gt;0),"Con subactividades: deje vacías las semanas (se calculan solas)"&amp;" · ","")&amp;IF((COUNTIF($I99:$L99,"&gt;1")+COUNTIF($I99:$L99,"&lt;0")+COUNTA($I99:$L99)-COUNT($I99:$L99))&gt;0,"Avance fuera de rango 0-100%"&amp;" · ","")&amp;IF(OR(AND($J99&lt;&gt;"",$J99&lt;$I99),AND($K99&lt;&gt;"",$K99&lt;MAX($I99:$J99)),AND($L99&lt;&gt;"",$L99&lt;MAX($I99:$K99))),"Avance semanal decreciente"&amp;" · ","")&amp;IF(AND(ISNUMBER($AN99),$AN99&lt;FechaRef,IF($V99="Sub",N($X99),N($M99))&lt;1),"Vencida"&amp;" · ","")&amp;IF(AND(ObsObligatoria="Sí",ISNUMBER($AN99),$AN99&lt;FechaRef,IF($V99="Sub",N($X99),N($M99))&lt;1,$Q99=""),"Vencida sin observación"&amp;" · ",""))-3)))</f>
        <v/>
      </c>
      <c r="S99" s="64">
        <f>IF(NOT((COUNTA($B99:$D99)+COUNTA($G99:$L99)+COUNTA($Q99))&gt;0),"",IF(AND($V99="Sub",N($U99)&gt;0),IF(ISNUMBER(INDEX($AM$5:$AM$1000,$U99-4)),DATE(YEAR(INDEX($AM$5:$AM$1000,$U99-4)),MONTH(INDEX($AM$5:$AM$1000,$U99-4)),1),IF(ISNUMBER(INDEX($AN$5:$AN$1000,$U99-4)),DATE(YEAR(INDEX($AN$5:$AN$1000,$U99-4)),MONTH(INDEX($AN$5:$AN$1000,$U99-4)),1),MesCiclo)),IF(ISNUMBER($AM99),DATE(YEAR($AM99),MONTH($AM99),1),IF(ISNUMBER($AN99),DATE(YEAR($AN99),MONTH($AN99),1),MesCiclo))))</f>
        <v/>
      </c>
      <c r="T99" s="62">
        <f>IF(OR($S99="",$S99&lt;&gt;MesCiclo,$V99&lt;&gt;"Macro"),"",COUNTIFS($S$5:$S99,MesCiclo,$V$5:$V99,"Macro"))</f>
        <v/>
      </c>
      <c r="U99" s="62">
        <f>IF($V99="","",IF($V99="Macro",ROW(),IFERROR(LOOKUP(2,1/($V$5:$V99="Macro"),ROW($V$5:$V99)),0)))</f>
        <v/>
      </c>
      <c r="V99" s="62">
        <f>IF(NOT((COUNTA($B99:$D99)+COUNTA($G99:$L99)+COUNTA($Q99))&gt;0),"",IF($B99="Subactividad","Sub","Macro"))</f>
        <v/>
      </c>
      <c r="W99" s="62">
        <f>IF($V99="Macro",COUNTIFS($U$5:$U$1000,ROW(),$V$5:$V$1000,"Sub"),"")</f>
        <v/>
      </c>
      <c r="X99" s="62">
        <f>IF($V99="","",IF(ISNUMBER($G99),1,IFERROR(LOOKUP(2,1/($I99:$L99&lt;&gt;""),$I99:$L99),0)))</f>
        <v/>
      </c>
      <c r="Y99" s="62">
        <f>IF($V99="","",IF(AND(ISNUMBER($G99),$G99&lt;=IF($S99=MesCiclo,InicioCiclo,$S99+MOD(2-WEEKDAY($S99),7))+6),1,IF(ISNUMBER($I99),$I99,0)))</f>
        <v/>
      </c>
      <c r="Z99" s="62">
        <f>IF($V99="","",IF(AND(ISNUMBER($G99),$G99&lt;=IF($S99=MesCiclo,InicioCiclo,$S99+MOD(2-WEEKDAY($S99),7))+13),1,IF(ISNUMBER($J99),$J99,$Y99)))</f>
        <v/>
      </c>
      <c r="AA99" s="62">
        <f>IF($V99="","",IF(AND(ISNUMBER($G99),$G99&lt;=IF($S99=MesCiclo,InicioCiclo,$S99+MOD(2-WEEKDAY($S99),7))+20),1,IF(ISNUMBER($K99),$K99,$Z99)))</f>
        <v/>
      </c>
      <c r="AB99" s="62">
        <f>IF($V99="","",IF(AND(ISNUMBER($G99),$G99&lt;=IF($S99=MesCiclo,InicioCiclo,$S99+MOD(2-WEEKDAY($S99),7))+27),1,IF(ISNUMBER($L99),$L99,$AA99)))</f>
        <v/>
      </c>
      <c r="AC99" s="62">
        <f>IF($V99="","",IF(AND(ISNUMBER($G99),$G99&lt;=IF($S99=MesCiclo,InicioCiclo,$S99+MOD(2-WEEKDAY($S99),7))+6),1,IF(N($W99)&gt;0,AVERAGEIFS($Y$5:$Y$1000,$U$5:$U$1000,ROW(),$V$5:$V$1000,"Sub"),$Y99)))</f>
        <v/>
      </c>
      <c r="AD99" s="62">
        <f>IF($V99="","",IF(AND(ISNUMBER($G99),$G99&lt;=IF($S99=MesCiclo,InicioCiclo,$S99+MOD(2-WEEKDAY($S99),7))+13),1,IF(N($W99)&gt;0,AVERAGEIFS($Z$5:$Z$1000,$U$5:$U$1000,ROW(),$V$5:$V$1000,"Sub"),$Z99)))</f>
        <v/>
      </c>
      <c r="AE99" s="62">
        <f>IF($V99="","",IF(AND(ISNUMBER($G99),$G99&lt;=IF($S99=MesCiclo,InicioCiclo,$S99+MOD(2-WEEKDAY($S99),7))+20),1,IF(N($W99)&gt;0,AVERAGEIFS($AA$5:$AA$1000,$U$5:$U$1000,ROW(),$V$5:$V$1000,"Sub"),$AA99)))</f>
        <v/>
      </c>
      <c r="AF99" s="62">
        <f>IF($V99="","",IF(AND(ISNUMBER($G99),$G99&lt;=IF($S99=MesCiclo,InicioCiclo,$S99+MOD(2-WEEKDAY($S99),7))+27),1,IF(N($W99)&gt;0,AVERAGEIFS($AB$5:$AB$1000,$U$5:$U$1000,ROW(),$V$5:$V$1000,"Sub"),$AB99)))</f>
        <v/>
      </c>
      <c r="AG99" s="62">
        <f>IF($V99&lt;&gt;"Macro","",IF(COUNTIFS($S$5:$S$1000,$S99,$V$5:$V$1000,"Macro",$H$5:$H$1000,"&gt;0")=0,1/COUNTIFS($S$5:$S$1000,$S99,$V$5:$V$1000,"Macro"),IF(AND(ISNUMBER($H99),N($H99)&gt;0),$H99,SUMIFS($H$5:$H$1000,$S$5:$S$1000,$S99,$V$5:$V$1000,"Macro")/COUNTIFS($S$5:$S$1000,$S99,$V$5:$V$1000,"Macro",$H$5:$H$1000,"&gt;0"))/(COUNTIFS($S$5:$S$1000,$S99,$V$5:$V$1000,"Macro")*SUMIFS($H$5:$H$1000,$S$5:$S$1000,$S99,$V$5:$V$1000,"Macro")/COUNTIFS($S$5:$S$1000,$S99,$V$5:$V$1000,"Macro",$H$5:$H$1000,"&gt;0"))))</f>
        <v/>
      </c>
      <c r="AH99" s="62" t="n"/>
      <c r="AI99" s="62" t="n"/>
      <c r="AJ99" s="62" t="n"/>
      <c r="AK99" s="62" t="n"/>
      <c r="AL99" s="62">
        <f>IF(LEFT($C99,11)="[Jefatura] ",IFERROR(MATCH("Asistente Técnico de Riesgo|"&amp;MID($C99,12,500),rDname_ADM,0),0),"")</f>
        <v/>
      </c>
      <c r="AM99" s="62">
        <f>IF(N($AL99)&gt;0,INDEX(rIni_ADM,$AL99),IF(ISNUMBER($E99),$E99,""))</f>
        <v/>
      </c>
      <c r="AN99" s="62">
        <f>IF(N($AL99)&gt;0,INDEX(rLim_ADM,$AL99),IF(ISNUMBER($F99),$F99,""))</f>
        <v/>
      </c>
    </row>
    <row r="100">
      <c r="A100" s="56">
        <f>IF(NOT((COUNTA($B100:$D100)+COUNTA($G100:$L100)+COUNTA($Q100))&gt;0),"",IF($V100="Macro",COUNTIFS($V$5:$V100,"Macro",$S$5:$S100,$S100),IF(N($U100)=0,"?",COUNTIFS(INDEX($V$5:$V$1000,1):INDEX($V$5:$V$1000,$U100-4),"Macro",INDEX($S$5:$S$1000,1):INDEX($S$5:$S$1000,$U100-4),INDEX($S$5:$S$1000,$U100-4))&amp;"."&amp;COUNTIFS($U$5:$U100,$U100,$V$5:$V100,"Sub"))))</f>
        <v/>
      </c>
      <c r="B100" s="57" t="n"/>
      <c r="C100" s="58" t="n"/>
      <c r="D100" s="58" t="n"/>
      <c r="E100" s="59">
        <f>IF(N($AL100)&gt;0,INDEX(rIni_ADM,$AL100),"")</f>
        <v/>
      </c>
      <c r="F100" s="59">
        <f>IF(N($AL100)&gt;0,INDEX(rLim_ADM,$AL100),"")</f>
        <v/>
      </c>
      <c r="G100" s="59" t="n"/>
      <c r="H100" s="60" t="n"/>
      <c r="I100" s="60" t="n"/>
      <c r="J100" s="60" t="n"/>
      <c r="K100" s="60" t="n"/>
      <c r="L100" s="60" t="n"/>
      <c r="M100" s="61">
        <f>IF(NOT((COUNTA($B100:$D100)+COUNTA($G100:$L100)+COUNTA($Q100))&gt;0),"",IF($V100="Sub",IFERROR($X100/INDEX($W$5:$W$1000,$U100-4),""),IF(ISNUMBER($G100),1,IF(N($W100)&gt;0,AVERAGEIFS($X$5:$X$1000,$U$5:$U$1000,ROW(),$V$5:$V$1000,"Sub"),$X100))))</f>
        <v/>
      </c>
      <c r="N100" s="56">
        <f>IF(OR($M100="",$V100="Sub"),"",IF($M100&gt;=1,"Completado",IF($M100&gt;0,"En curso","Pendiente")))</f>
        <v/>
      </c>
      <c r="O100" s="56">
        <f>IF(OR(NOT((COUNTA($B100:$D100)+COUNTA($G100:$L100)+COUNTA($Q100))&gt;0),$V100="Sub"),"",IF(ISNUMBER($G100),IF(AND(ISNUMBER($AN100),$G100&gt;$AN100),"Cumplida con "&amp;($G100-$AN100)&amp;IF($G100-$AN100=1," día"," días")&amp;" de retraso","Cumplida"),IF(N($M100)&gt;=1,"Cumplida",IF(NOT(ISNUMBER($AN100)),"Sin fecha límite",IF($AN100&lt;FechaRef,"Vencida hace "&amp;(FechaRef-$AN100)&amp;IF(FechaRef-$AN100=1," día"," días"),IF($AN100=FechaRef,"Vence hoy",IF($AN100-FechaRef&lt;=DiasAlerta,"Vence en "&amp;($AN100-FechaRef)&amp;IF($AN100-FechaRef=1," día"," días"),"En plazo")))))))</f>
        <v/>
      </c>
      <c r="P100" s="62" t="n"/>
      <c r="Q100" s="58" t="n"/>
      <c r="R100" s="63">
        <f>IF(NOT((COUNTA($B100:$D100)+COUNTA($G100:$L100)+COUNTA($Q100))&gt;0),"",IF((IF($C100="","Falta el nombre de la actividad"&amp;" · ","")&amp;IF(AND($V100="Sub",N($U100)=0),"Subactividad sin macroactividad arriba"&amp;" · ","")&amp;IF($AM100="","Sin fecha de inicio"&amp;" · ","")&amp;IF($AN100="","Sin fecha límite"&amp;" · ","")&amp;IF(AND(LEFT($C100,11)="[Jefatura] ",N($AL100)=0),"No se encuentra en la hoja de la jefatura (elíjala de nuevo en la lista)"&amp;" · ","")&amp;IF(OR(AND($E100&lt;&gt;"",NOT(ISNUMBER($E100))),AND($F100&lt;&gt;"",NOT(ISNUMBER($F100))),AND($G100&lt;&gt;"",NOT(ISNUMBER($G100)))),"Fecha no válida"&amp;" · ","")&amp;IF(AND(ISNUMBER($AM100),ISNUMBER($AN100),$AM100&gt;$AN100),"Inicio posterior a fecha límite"&amp;" · ","")&amp;IF(AND($V100="Macro",$H100&lt;&gt;"",OR(NOT(ISNUMBER($H100)),$H100&lt;0,$H100&gt;1)),"Peso fuera de rango"&amp;" · ","")&amp;IF(AND($V100="Sub",$H100&lt;&gt;""),"Las subactividades no llevan peso (valen igual dentro de su macroactividad)"&amp;" · ","")&amp;IF(AND(N($W100)&gt;0,COUNT($I100:$L100)&gt;0),"Con subactividades: deje vacías las semanas (se calculan solas)"&amp;" · ","")&amp;IF((COUNTIF($I100:$L100,"&gt;1")+COUNTIF($I100:$L100,"&lt;0")+COUNTA($I100:$L100)-COUNT($I100:$L100))&gt;0,"Avance fuera de rango 0-100%"&amp;" · ","")&amp;IF(OR(AND($J100&lt;&gt;"",$J100&lt;$I100),AND($K100&lt;&gt;"",$K100&lt;MAX($I100:$J100)),AND($L100&lt;&gt;"",$L100&lt;MAX($I100:$K100))),"Avance semanal decreciente"&amp;" · ","")&amp;IF(AND(ISNUMBER($AN100),$AN100&lt;FechaRef,IF($V100="Sub",N($X100),N($M100))&lt;1),"Vencida"&amp;" · ","")&amp;IF(AND(ObsObligatoria="Sí",ISNUMBER($AN100),$AN100&lt;FechaRef,IF($V100="Sub",N($X100),N($M100))&lt;1,$Q100=""),"Vencida sin observación"&amp;" · ",""))="","✔ OK","⚠ "&amp;LEFT(IF($C100="","Falta el nombre de la actividad"&amp;" · ","")&amp;IF(AND($V100="Sub",N($U100)=0),"Subactividad sin macroactividad arriba"&amp;" · ","")&amp;IF($AM100="","Sin fecha de inicio"&amp;" · ","")&amp;IF($AN100="","Sin fecha límite"&amp;" · ","")&amp;IF(AND(LEFT($C100,11)="[Jefatura] ",N($AL100)=0),"No se encuentra en la hoja de la jefatura (elíjala de nuevo en la lista)"&amp;" · ","")&amp;IF(OR(AND($E100&lt;&gt;"",NOT(ISNUMBER($E100))),AND($F100&lt;&gt;"",NOT(ISNUMBER($F100))),AND($G100&lt;&gt;"",NOT(ISNUMBER($G100)))),"Fecha no válida"&amp;" · ","")&amp;IF(AND(ISNUMBER($AM100),ISNUMBER($AN100),$AM100&gt;$AN100),"Inicio posterior a fecha límite"&amp;" · ","")&amp;IF(AND($V100="Macro",$H100&lt;&gt;"",OR(NOT(ISNUMBER($H100)),$H100&lt;0,$H100&gt;1)),"Peso fuera de rango"&amp;" · ","")&amp;IF(AND($V100="Sub",$H100&lt;&gt;""),"Las subactividades no llevan peso (valen igual dentro de su macroactividad)"&amp;" · ","")&amp;IF(AND(N($W100)&gt;0,COUNT($I100:$L100)&gt;0),"Con subactividades: deje vacías las semanas (se calculan solas)"&amp;" · ","")&amp;IF((COUNTIF($I100:$L100,"&gt;1")+COUNTIF($I100:$L100,"&lt;0")+COUNTA($I100:$L100)-COUNT($I100:$L100))&gt;0,"Avance fuera de rango 0-100%"&amp;" · ","")&amp;IF(OR(AND($J100&lt;&gt;"",$J100&lt;$I100),AND($K100&lt;&gt;"",$K100&lt;MAX($I100:$J100)),AND($L100&lt;&gt;"",$L100&lt;MAX($I100:$K100))),"Avance semanal decreciente"&amp;" · ","")&amp;IF(AND(ISNUMBER($AN100),$AN100&lt;FechaRef,IF($V100="Sub",N($X100),N($M100))&lt;1),"Vencida"&amp;" · ","")&amp;IF(AND(ObsObligatoria="Sí",ISNUMBER($AN100),$AN100&lt;FechaRef,IF($V100="Sub",N($X100),N($M100))&lt;1,$Q100=""),"Vencida sin observación"&amp;" · ",""),LEN(IF($C100="","Falta el nombre de la actividad"&amp;" · ","")&amp;IF(AND($V100="Sub",N($U100)=0),"Subactividad sin macroactividad arriba"&amp;" · ","")&amp;IF($AM100="","Sin fecha de inicio"&amp;" · ","")&amp;IF($AN100="","Sin fecha límite"&amp;" · ","")&amp;IF(AND(LEFT($C100,11)="[Jefatura] ",N($AL100)=0),"No se encuentra en la hoja de la jefatura (elíjala de nuevo en la lista)"&amp;" · ","")&amp;IF(OR(AND($E100&lt;&gt;"",NOT(ISNUMBER($E100))),AND($F100&lt;&gt;"",NOT(ISNUMBER($F100))),AND($G100&lt;&gt;"",NOT(ISNUMBER($G100)))),"Fecha no válida"&amp;" · ","")&amp;IF(AND(ISNUMBER($AM100),ISNUMBER($AN100),$AM100&gt;$AN100),"Inicio posterior a fecha límite"&amp;" · ","")&amp;IF(AND($V100="Macro",$H100&lt;&gt;"",OR(NOT(ISNUMBER($H100)),$H100&lt;0,$H100&gt;1)),"Peso fuera de rango"&amp;" · ","")&amp;IF(AND($V100="Sub",$H100&lt;&gt;""),"Las subactividades no llevan peso (valen igual dentro de su macroactividad)"&amp;" · ","")&amp;IF(AND(N($W100)&gt;0,COUNT($I100:$L100)&gt;0),"Con subactividades: deje vacías las semanas (se calculan solas)"&amp;" · ","")&amp;IF((COUNTIF($I100:$L100,"&gt;1")+COUNTIF($I100:$L100,"&lt;0")+COUNTA($I100:$L100)-COUNT($I100:$L100))&gt;0,"Avance fuera de rango 0-100%"&amp;" · ","")&amp;IF(OR(AND($J100&lt;&gt;"",$J100&lt;$I100),AND($K100&lt;&gt;"",$K100&lt;MAX($I100:$J100)),AND($L100&lt;&gt;"",$L100&lt;MAX($I100:$K100))),"Avance semanal decreciente"&amp;" · ","")&amp;IF(AND(ISNUMBER($AN100),$AN100&lt;FechaRef,IF($V100="Sub",N($X100),N($M100))&lt;1),"Vencida"&amp;" · ","")&amp;IF(AND(ObsObligatoria="Sí",ISNUMBER($AN100),$AN100&lt;FechaRef,IF($V100="Sub",N($X100),N($M100))&lt;1,$Q100=""),"Vencida sin observación"&amp;" · ",""))-3)))</f>
        <v/>
      </c>
      <c r="S100" s="64">
        <f>IF(NOT((COUNTA($B100:$D100)+COUNTA($G100:$L100)+COUNTA($Q100))&gt;0),"",IF(AND($V100="Sub",N($U100)&gt;0),IF(ISNUMBER(INDEX($AM$5:$AM$1000,$U100-4)),DATE(YEAR(INDEX($AM$5:$AM$1000,$U100-4)),MONTH(INDEX($AM$5:$AM$1000,$U100-4)),1),IF(ISNUMBER(INDEX($AN$5:$AN$1000,$U100-4)),DATE(YEAR(INDEX($AN$5:$AN$1000,$U100-4)),MONTH(INDEX($AN$5:$AN$1000,$U100-4)),1),MesCiclo)),IF(ISNUMBER($AM100),DATE(YEAR($AM100),MONTH($AM100),1),IF(ISNUMBER($AN100),DATE(YEAR($AN100),MONTH($AN100),1),MesCiclo))))</f>
        <v/>
      </c>
      <c r="T100" s="62">
        <f>IF(OR($S100="",$S100&lt;&gt;MesCiclo,$V100&lt;&gt;"Macro"),"",COUNTIFS($S$5:$S100,MesCiclo,$V$5:$V100,"Macro"))</f>
        <v/>
      </c>
      <c r="U100" s="62">
        <f>IF($V100="","",IF($V100="Macro",ROW(),IFERROR(LOOKUP(2,1/($V$5:$V100="Macro"),ROW($V$5:$V100)),0)))</f>
        <v/>
      </c>
      <c r="V100" s="62">
        <f>IF(NOT((COUNTA($B100:$D100)+COUNTA($G100:$L100)+COUNTA($Q100))&gt;0),"",IF($B100="Subactividad","Sub","Macro"))</f>
        <v/>
      </c>
      <c r="W100" s="62">
        <f>IF($V100="Macro",COUNTIFS($U$5:$U$1000,ROW(),$V$5:$V$1000,"Sub"),"")</f>
        <v/>
      </c>
      <c r="X100" s="62">
        <f>IF($V100="","",IF(ISNUMBER($G100),1,IFERROR(LOOKUP(2,1/($I100:$L100&lt;&gt;""),$I100:$L100),0)))</f>
        <v/>
      </c>
      <c r="Y100" s="62">
        <f>IF($V100="","",IF(AND(ISNUMBER($G100),$G100&lt;=IF($S100=MesCiclo,InicioCiclo,$S100+MOD(2-WEEKDAY($S100),7))+6),1,IF(ISNUMBER($I100),$I100,0)))</f>
        <v/>
      </c>
      <c r="Z100" s="62">
        <f>IF($V100="","",IF(AND(ISNUMBER($G100),$G100&lt;=IF($S100=MesCiclo,InicioCiclo,$S100+MOD(2-WEEKDAY($S100),7))+13),1,IF(ISNUMBER($J100),$J100,$Y100)))</f>
        <v/>
      </c>
      <c r="AA100" s="62">
        <f>IF($V100="","",IF(AND(ISNUMBER($G100),$G100&lt;=IF($S100=MesCiclo,InicioCiclo,$S100+MOD(2-WEEKDAY($S100),7))+20),1,IF(ISNUMBER($K100),$K100,$Z100)))</f>
        <v/>
      </c>
      <c r="AB100" s="62">
        <f>IF($V100="","",IF(AND(ISNUMBER($G100),$G100&lt;=IF($S100=MesCiclo,InicioCiclo,$S100+MOD(2-WEEKDAY($S100),7))+27),1,IF(ISNUMBER($L100),$L100,$AA100)))</f>
        <v/>
      </c>
      <c r="AC100" s="62">
        <f>IF($V100="","",IF(AND(ISNUMBER($G100),$G100&lt;=IF($S100=MesCiclo,InicioCiclo,$S100+MOD(2-WEEKDAY($S100),7))+6),1,IF(N($W100)&gt;0,AVERAGEIFS($Y$5:$Y$1000,$U$5:$U$1000,ROW(),$V$5:$V$1000,"Sub"),$Y100)))</f>
        <v/>
      </c>
      <c r="AD100" s="62">
        <f>IF($V100="","",IF(AND(ISNUMBER($G100),$G100&lt;=IF($S100=MesCiclo,InicioCiclo,$S100+MOD(2-WEEKDAY($S100),7))+13),1,IF(N($W100)&gt;0,AVERAGEIFS($Z$5:$Z$1000,$U$5:$U$1000,ROW(),$V$5:$V$1000,"Sub"),$Z100)))</f>
        <v/>
      </c>
      <c r="AE100" s="62">
        <f>IF($V100="","",IF(AND(ISNUMBER($G100),$G100&lt;=IF($S100=MesCiclo,InicioCiclo,$S100+MOD(2-WEEKDAY($S100),7))+20),1,IF(N($W100)&gt;0,AVERAGEIFS($AA$5:$AA$1000,$U$5:$U$1000,ROW(),$V$5:$V$1000,"Sub"),$AA100)))</f>
        <v/>
      </c>
      <c r="AF100" s="62">
        <f>IF($V100="","",IF(AND(ISNUMBER($G100),$G100&lt;=IF($S100=MesCiclo,InicioCiclo,$S100+MOD(2-WEEKDAY($S100),7))+27),1,IF(N($W100)&gt;0,AVERAGEIFS($AB$5:$AB$1000,$U$5:$U$1000,ROW(),$V$5:$V$1000,"Sub"),$AB100)))</f>
        <v/>
      </c>
      <c r="AG100" s="62">
        <f>IF($V100&lt;&gt;"Macro","",IF(COUNTIFS($S$5:$S$1000,$S100,$V$5:$V$1000,"Macro",$H$5:$H$1000,"&gt;0")=0,1/COUNTIFS($S$5:$S$1000,$S100,$V$5:$V$1000,"Macro"),IF(AND(ISNUMBER($H100),N($H100)&gt;0),$H100,SUMIFS($H$5:$H$1000,$S$5:$S$1000,$S100,$V$5:$V$1000,"Macro")/COUNTIFS($S$5:$S$1000,$S100,$V$5:$V$1000,"Macro",$H$5:$H$1000,"&gt;0"))/(COUNTIFS($S$5:$S$1000,$S100,$V$5:$V$1000,"Macro")*SUMIFS($H$5:$H$1000,$S$5:$S$1000,$S100,$V$5:$V$1000,"Macro")/COUNTIFS($S$5:$S$1000,$S100,$V$5:$V$1000,"Macro",$H$5:$H$1000,"&gt;0"))))</f>
        <v/>
      </c>
      <c r="AH100" s="62" t="n"/>
      <c r="AI100" s="62" t="n"/>
      <c r="AJ100" s="62" t="n"/>
      <c r="AK100" s="62" t="n"/>
      <c r="AL100" s="62">
        <f>IF(LEFT($C100,11)="[Jefatura] ",IFERROR(MATCH("Asistente Técnico de Riesgo|"&amp;MID($C100,12,500),rDname_ADM,0),0),"")</f>
        <v/>
      </c>
      <c r="AM100" s="62">
        <f>IF(N($AL100)&gt;0,INDEX(rIni_ADM,$AL100),IF(ISNUMBER($E100),$E100,""))</f>
        <v/>
      </c>
      <c r="AN100" s="62">
        <f>IF(N($AL100)&gt;0,INDEX(rLim_ADM,$AL100),IF(ISNUMBER($F100),$F100,""))</f>
        <v/>
      </c>
    </row>
    <row r="101">
      <c r="A101" s="56">
        <f>IF(NOT((COUNTA($B101:$D101)+COUNTA($G101:$L101)+COUNTA($Q101))&gt;0),"",IF($V101="Macro",COUNTIFS($V$5:$V101,"Macro",$S$5:$S101,$S101),IF(N($U101)=0,"?",COUNTIFS(INDEX($V$5:$V$1000,1):INDEX($V$5:$V$1000,$U101-4),"Macro",INDEX($S$5:$S$1000,1):INDEX($S$5:$S$1000,$U101-4),INDEX($S$5:$S$1000,$U101-4))&amp;"."&amp;COUNTIFS($U$5:$U101,$U101,$V$5:$V101,"Sub"))))</f>
        <v/>
      </c>
      <c r="B101" s="57" t="n"/>
      <c r="C101" s="58" t="n"/>
      <c r="D101" s="58" t="n"/>
      <c r="E101" s="59">
        <f>IF(N($AL101)&gt;0,INDEX(rIni_ADM,$AL101),"")</f>
        <v/>
      </c>
      <c r="F101" s="59">
        <f>IF(N($AL101)&gt;0,INDEX(rLim_ADM,$AL101),"")</f>
        <v/>
      </c>
      <c r="G101" s="59" t="n"/>
      <c r="H101" s="60" t="n"/>
      <c r="I101" s="60" t="n"/>
      <c r="J101" s="60" t="n"/>
      <c r="K101" s="60" t="n"/>
      <c r="L101" s="60" t="n"/>
      <c r="M101" s="61">
        <f>IF(NOT((COUNTA($B101:$D101)+COUNTA($G101:$L101)+COUNTA($Q101))&gt;0),"",IF($V101="Sub",IFERROR($X101/INDEX($W$5:$W$1000,$U101-4),""),IF(ISNUMBER($G101),1,IF(N($W101)&gt;0,AVERAGEIFS($X$5:$X$1000,$U$5:$U$1000,ROW(),$V$5:$V$1000,"Sub"),$X101))))</f>
        <v/>
      </c>
      <c r="N101" s="56">
        <f>IF(OR($M101="",$V101="Sub"),"",IF($M101&gt;=1,"Completado",IF($M101&gt;0,"En curso","Pendiente")))</f>
        <v/>
      </c>
      <c r="O101" s="56">
        <f>IF(OR(NOT((COUNTA($B101:$D101)+COUNTA($G101:$L101)+COUNTA($Q101))&gt;0),$V101="Sub"),"",IF(ISNUMBER($G101),IF(AND(ISNUMBER($AN101),$G101&gt;$AN101),"Cumplida con "&amp;($G101-$AN101)&amp;IF($G101-$AN101=1," día"," días")&amp;" de retraso","Cumplida"),IF(N($M101)&gt;=1,"Cumplida",IF(NOT(ISNUMBER($AN101)),"Sin fecha límite",IF($AN101&lt;FechaRef,"Vencida hace "&amp;(FechaRef-$AN101)&amp;IF(FechaRef-$AN101=1," día"," días"),IF($AN101=FechaRef,"Vence hoy",IF($AN101-FechaRef&lt;=DiasAlerta,"Vence en "&amp;($AN101-FechaRef)&amp;IF($AN101-FechaRef=1," día"," días"),"En plazo")))))))</f>
        <v/>
      </c>
      <c r="P101" s="62" t="n"/>
      <c r="Q101" s="58" t="n"/>
      <c r="R101" s="63">
        <f>IF(NOT((COUNTA($B101:$D101)+COUNTA($G101:$L101)+COUNTA($Q101))&gt;0),"",IF((IF($C101="","Falta el nombre de la actividad"&amp;" · ","")&amp;IF(AND($V101="Sub",N($U101)=0),"Subactividad sin macroactividad arriba"&amp;" · ","")&amp;IF($AM101="","Sin fecha de inicio"&amp;" · ","")&amp;IF($AN101="","Sin fecha límite"&amp;" · ","")&amp;IF(AND(LEFT($C101,11)="[Jefatura] ",N($AL101)=0),"No se encuentra en la hoja de la jefatura (elíjala de nuevo en la lista)"&amp;" · ","")&amp;IF(OR(AND($E101&lt;&gt;"",NOT(ISNUMBER($E101))),AND($F101&lt;&gt;"",NOT(ISNUMBER($F101))),AND($G101&lt;&gt;"",NOT(ISNUMBER($G101)))),"Fecha no válida"&amp;" · ","")&amp;IF(AND(ISNUMBER($AM101),ISNUMBER($AN101),$AM101&gt;$AN101),"Inicio posterior a fecha límite"&amp;" · ","")&amp;IF(AND($V101="Macro",$H101&lt;&gt;"",OR(NOT(ISNUMBER($H101)),$H101&lt;0,$H101&gt;1)),"Peso fuera de rango"&amp;" · ","")&amp;IF(AND($V101="Sub",$H101&lt;&gt;""),"Las subactividades no llevan peso (valen igual dentro de su macroactividad)"&amp;" · ","")&amp;IF(AND(N($W101)&gt;0,COUNT($I101:$L101)&gt;0),"Con subactividades: deje vacías las semanas (se calculan solas)"&amp;" · ","")&amp;IF((COUNTIF($I101:$L101,"&gt;1")+COUNTIF($I101:$L101,"&lt;0")+COUNTA($I101:$L101)-COUNT($I101:$L101))&gt;0,"Avance fuera de rango 0-100%"&amp;" · ","")&amp;IF(OR(AND($J101&lt;&gt;"",$J101&lt;$I101),AND($K101&lt;&gt;"",$K101&lt;MAX($I101:$J101)),AND($L101&lt;&gt;"",$L101&lt;MAX($I101:$K101))),"Avance semanal decreciente"&amp;" · ","")&amp;IF(AND(ISNUMBER($AN101),$AN101&lt;FechaRef,IF($V101="Sub",N($X101),N($M101))&lt;1),"Vencida"&amp;" · ","")&amp;IF(AND(ObsObligatoria="Sí",ISNUMBER($AN101),$AN101&lt;FechaRef,IF($V101="Sub",N($X101),N($M101))&lt;1,$Q101=""),"Vencida sin observación"&amp;" · ",""))="","✔ OK","⚠ "&amp;LEFT(IF($C101="","Falta el nombre de la actividad"&amp;" · ","")&amp;IF(AND($V101="Sub",N($U101)=0),"Subactividad sin macroactividad arriba"&amp;" · ","")&amp;IF($AM101="","Sin fecha de inicio"&amp;" · ","")&amp;IF($AN101="","Sin fecha límite"&amp;" · ","")&amp;IF(AND(LEFT($C101,11)="[Jefatura] ",N($AL101)=0),"No se encuentra en la hoja de la jefatura (elíjala de nuevo en la lista)"&amp;" · ","")&amp;IF(OR(AND($E101&lt;&gt;"",NOT(ISNUMBER($E101))),AND($F101&lt;&gt;"",NOT(ISNUMBER($F101))),AND($G101&lt;&gt;"",NOT(ISNUMBER($G101)))),"Fecha no válida"&amp;" · ","")&amp;IF(AND(ISNUMBER($AM101),ISNUMBER($AN101),$AM101&gt;$AN101),"Inicio posterior a fecha límite"&amp;" · ","")&amp;IF(AND($V101="Macro",$H101&lt;&gt;"",OR(NOT(ISNUMBER($H101)),$H101&lt;0,$H101&gt;1)),"Peso fuera de rango"&amp;" · ","")&amp;IF(AND($V101="Sub",$H101&lt;&gt;""),"Las subactividades no llevan peso (valen igual dentro de su macroactividad)"&amp;" · ","")&amp;IF(AND(N($W101)&gt;0,COUNT($I101:$L101)&gt;0),"Con subactividades: deje vacías las semanas (se calculan solas)"&amp;" · ","")&amp;IF((COUNTIF($I101:$L101,"&gt;1")+COUNTIF($I101:$L101,"&lt;0")+COUNTA($I101:$L101)-COUNT($I101:$L101))&gt;0,"Avance fuera de rango 0-100%"&amp;" · ","")&amp;IF(OR(AND($J101&lt;&gt;"",$J101&lt;$I101),AND($K101&lt;&gt;"",$K101&lt;MAX($I101:$J101)),AND($L101&lt;&gt;"",$L101&lt;MAX($I101:$K101))),"Avance semanal decreciente"&amp;" · ","")&amp;IF(AND(ISNUMBER($AN101),$AN101&lt;FechaRef,IF($V101="Sub",N($X101),N($M101))&lt;1),"Vencida"&amp;" · ","")&amp;IF(AND(ObsObligatoria="Sí",ISNUMBER($AN101),$AN101&lt;FechaRef,IF($V101="Sub",N($X101),N($M101))&lt;1,$Q101=""),"Vencida sin observación"&amp;" · ",""),LEN(IF($C101="","Falta el nombre de la actividad"&amp;" · ","")&amp;IF(AND($V101="Sub",N($U101)=0),"Subactividad sin macroactividad arriba"&amp;" · ","")&amp;IF($AM101="","Sin fecha de inicio"&amp;" · ","")&amp;IF($AN101="","Sin fecha límite"&amp;" · ","")&amp;IF(AND(LEFT($C101,11)="[Jefatura] ",N($AL101)=0),"No se encuentra en la hoja de la jefatura (elíjala de nuevo en la lista)"&amp;" · ","")&amp;IF(OR(AND($E101&lt;&gt;"",NOT(ISNUMBER($E101))),AND($F101&lt;&gt;"",NOT(ISNUMBER($F101))),AND($G101&lt;&gt;"",NOT(ISNUMBER($G101)))),"Fecha no válida"&amp;" · ","")&amp;IF(AND(ISNUMBER($AM101),ISNUMBER($AN101),$AM101&gt;$AN101),"Inicio posterior a fecha límite"&amp;" · ","")&amp;IF(AND($V101="Macro",$H101&lt;&gt;"",OR(NOT(ISNUMBER($H101)),$H101&lt;0,$H101&gt;1)),"Peso fuera de rango"&amp;" · ","")&amp;IF(AND($V101="Sub",$H101&lt;&gt;""),"Las subactividades no llevan peso (valen igual dentro de su macroactividad)"&amp;" · ","")&amp;IF(AND(N($W101)&gt;0,COUNT($I101:$L101)&gt;0),"Con subactividades: deje vacías las semanas (se calculan solas)"&amp;" · ","")&amp;IF((COUNTIF($I101:$L101,"&gt;1")+COUNTIF($I101:$L101,"&lt;0")+COUNTA($I101:$L101)-COUNT($I101:$L101))&gt;0,"Avance fuera de rango 0-100%"&amp;" · ","")&amp;IF(OR(AND($J101&lt;&gt;"",$J101&lt;$I101),AND($K101&lt;&gt;"",$K101&lt;MAX($I101:$J101)),AND($L101&lt;&gt;"",$L101&lt;MAX($I101:$K101))),"Avance semanal decreciente"&amp;" · ","")&amp;IF(AND(ISNUMBER($AN101),$AN101&lt;FechaRef,IF($V101="Sub",N($X101),N($M101))&lt;1),"Vencida"&amp;" · ","")&amp;IF(AND(ObsObligatoria="Sí",ISNUMBER($AN101),$AN101&lt;FechaRef,IF($V101="Sub",N($X101),N($M101))&lt;1,$Q101=""),"Vencida sin observación"&amp;" · ",""))-3)))</f>
        <v/>
      </c>
      <c r="S101" s="64">
        <f>IF(NOT((COUNTA($B101:$D101)+COUNTA($G101:$L101)+COUNTA($Q101))&gt;0),"",IF(AND($V101="Sub",N($U101)&gt;0),IF(ISNUMBER(INDEX($AM$5:$AM$1000,$U101-4)),DATE(YEAR(INDEX($AM$5:$AM$1000,$U101-4)),MONTH(INDEX($AM$5:$AM$1000,$U101-4)),1),IF(ISNUMBER(INDEX($AN$5:$AN$1000,$U101-4)),DATE(YEAR(INDEX($AN$5:$AN$1000,$U101-4)),MONTH(INDEX($AN$5:$AN$1000,$U101-4)),1),MesCiclo)),IF(ISNUMBER($AM101),DATE(YEAR($AM101),MONTH($AM101),1),IF(ISNUMBER($AN101),DATE(YEAR($AN101),MONTH($AN101),1),MesCiclo))))</f>
        <v/>
      </c>
      <c r="T101" s="62">
        <f>IF(OR($S101="",$S101&lt;&gt;MesCiclo,$V101&lt;&gt;"Macro"),"",COUNTIFS($S$5:$S101,MesCiclo,$V$5:$V101,"Macro"))</f>
        <v/>
      </c>
      <c r="U101" s="62">
        <f>IF($V101="","",IF($V101="Macro",ROW(),IFERROR(LOOKUP(2,1/($V$5:$V101="Macro"),ROW($V$5:$V101)),0)))</f>
        <v/>
      </c>
      <c r="V101" s="62">
        <f>IF(NOT((COUNTA($B101:$D101)+COUNTA($G101:$L101)+COUNTA($Q101))&gt;0),"",IF($B101="Subactividad","Sub","Macro"))</f>
        <v/>
      </c>
      <c r="W101" s="62">
        <f>IF($V101="Macro",COUNTIFS($U$5:$U$1000,ROW(),$V$5:$V$1000,"Sub"),"")</f>
        <v/>
      </c>
      <c r="X101" s="62">
        <f>IF($V101="","",IF(ISNUMBER($G101),1,IFERROR(LOOKUP(2,1/($I101:$L101&lt;&gt;""),$I101:$L101),0)))</f>
        <v/>
      </c>
      <c r="Y101" s="62">
        <f>IF($V101="","",IF(AND(ISNUMBER($G101),$G101&lt;=IF($S101=MesCiclo,InicioCiclo,$S101+MOD(2-WEEKDAY($S101),7))+6),1,IF(ISNUMBER($I101),$I101,0)))</f>
        <v/>
      </c>
      <c r="Z101" s="62">
        <f>IF($V101="","",IF(AND(ISNUMBER($G101),$G101&lt;=IF($S101=MesCiclo,InicioCiclo,$S101+MOD(2-WEEKDAY($S101),7))+13),1,IF(ISNUMBER($J101),$J101,$Y101)))</f>
        <v/>
      </c>
      <c r="AA101" s="62">
        <f>IF($V101="","",IF(AND(ISNUMBER($G101),$G101&lt;=IF($S101=MesCiclo,InicioCiclo,$S101+MOD(2-WEEKDAY($S101),7))+20),1,IF(ISNUMBER($K101),$K101,$Z101)))</f>
        <v/>
      </c>
      <c r="AB101" s="62">
        <f>IF($V101="","",IF(AND(ISNUMBER($G101),$G101&lt;=IF($S101=MesCiclo,InicioCiclo,$S101+MOD(2-WEEKDAY($S101),7))+27),1,IF(ISNUMBER($L101),$L101,$AA101)))</f>
        <v/>
      </c>
      <c r="AC101" s="62">
        <f>IF($V101="","",IF(AND(ISNUMBER($G101),$G101&lt;=IF($S101=MesCiclo,InicioCiclo,$S101+MOD(2-WEEKDAY($S101),7))+6),1,IF(N($W101)&gt;0,AVERAGEIFS($Y$5:$Y$1000,$U$5:$U$1000,ROW(),$V$5:$V$1000,"Sub"),$Y101)))</f>
        <v/>
      </c>
      <c r="AD101" s="62">
        <f>IF($V101="","",IF(AND(ISNUMBER($G101),$G101&lt;=IF($S101=MesCiclo,InicioCiclo,$S101+MOD(2-WEEKDAY($S101),7))+13),1,IF(N($W101)&gt;0,AVERAGEIFS($Z$5:$Z$1000,$U$5:$U$1000,ROW(),$V$5:$V$1000,"Sub"),$Z101)))</f>
        <v/>
      </c>
      <c r="AE101" s="62">
        <f>IF($V101="","",IF(AND(ISNUMBER($G101),$G101&lt;=IF($S101=MesCiclo,InicioCiclo,$S101+MOD(2-WEEKDAY($S101),7))+20),1,IF(N($W101)&gt;0,AVERAGEIFS($AA$5:$AA$1000,$U$5:$U$1000,ROW(),$V$5:$V$1000,"Sub"),$AA101)))</f>
        <v/>
      </c>
      <c r="AF101" s="62">
        <f>IF($V101="","",IF(AND(ISNUMBER($G101),$G101&lt;=IF($S101=MesCiclo,InicioCiclo,$S101+MOD(2-WEEKDAY($S101),7))+27),1,IF(N($W101)&gt;0,AVERAGEIFS($AB$5:$AB$1000,$U$5:$U$1000,ROW(),$V$5:$V$1000,"Sub"),$AB101)))</f>
        <v/>
      </c>
      <c r="AG101" s="62">
        <f>IF($V101&lt;&gt;"Macro","",IF(COUNTIFS($S$5:$S$1000,$S101,$V$5:$V$1000,"Macro",$H$5:$H$1000,"&gt;0")=0,1/COUNTIFS($S$5:$S$1000,$S101,$V$5:$V$1000,"Macro"),IF(AND(ISNUMBER($H101),N($H101)&gt;0),$H101,SUMIFS($H$5:$H$1000,$S$5:$S$1000,$S101,$V$5:$V$1000,"Macro")/COUNTIFS($S$5:$S$1000,$S101,$V$5:$V$1000,"Macro",$H$5:$H$1000,"&gt;0"))/(COUNTIFS($S$5:$S$1000,$S101,$V$5:$V$1000,"Macro")*SUMIFS($H$5:$H$1000,$S$5:$S$1000,$S101,$V$5:$V$1000,"Macro")/COUNTIFS($S$5:$S$1000,$S101,$V$5:$V$1000,"Macro",$H$5:$H$1000,"&gt;0"))))</f>
        <v/>
      </c>
      <c r="AH101" s="62" t="n"/>
      <c r="AI101" s="62" t="n"/>
      <c r="AJ101" s="62" t="n"/>
      <c r="AK101" s="62" t="n"/>
      <c r="AL101" s="62">
        <f>IF(LEFT($C101,11)="[Jefatura] ",IFERROR(MATCH("Asistente Técnico de Riesgo|"&amp;MID($C101,12,500),rDname_ADM,0),0),"")</f>
        <v/>
      </c>
      <c r="AM101" s="62">
        <f>IF(N($AL101)&gt;0,INDEX(rIni_ADM,$AL101),IF(ISNUMBER($E101),$E101,""))</f>
        <v/>
      </c>
      <c r="AN101" s="62">
        <f>IF(N($AL101)&gt;0,INDEX(rLim_ADM,$AL101),IF(ISNUMBER($F101),$F101,""))</f>
        <v/>
      </c>
    </row>
    <row r="102">
      <c r="A102" s="56">
        <f>IF(NOT((COUNTA($B102:$D102)+COUNTA($G102:$L102)+COUNTA($Q102))&gt;0),"",IF($V102="Macro",COUNTIFS($V$5:$V102,"Macro",$S$5:$S102,$S102),IF(N($U102)=0,"?",COUNTIFS(INDEX($V$5:$V$1000,1):INDEX($V$5:$V$1000,$U102-4),"Macro",INDEX($S$5:$S$1000,1):INDEX($S$5:$S$1000,$U102-4),INDEX($S$5:$S$1000,$U102-4))&amp;"."&amp;COUNTIFS($U$5:$U102,$U102,$V$5:$V102,"Sub"))))</f>
        <v/>
      </c>
      <c r="B102" s="57" t="n"/>
      <c r="C102" s="58" t="n"/>
      <c r="D102" s="58" t="n"/>
      <c r="E102" s="59">
        <f>IF(N($AL102)&gt;0,INDEX(rIni_ADM,$AL102),"")</f>
        <v/>
      </c>
      <c r="F102" s="59">
        <f>IF(N($AL102)&gt;0,INDEX(rLim_ADM,$AL102),"")</f>
        <v/>
      </c>
      <c r="G102" s="59" t="n"/>
      <c r="H102" s="60" t="n"/>
      <c r="I102" s="60" t="n"/>
      <c r="J102" s="60" t="n"/>
      <c r="K102" s="60" t="n"/>
      <c r="L102" s="60" t="n"/>
      <c r="M102" s="61">
        <f>IF(NOT((COUNTA($B102:$D102)+COUNTA($G102:$L102)+COUNTA($Q102))&gt;0),"",IF($V102="Sub",IFERROR($X102/INDEX($W$5:$W$1000,$U102-4),""),IF(ISNUMBER($G102),1,IF(N($W102)&gt;0,AVERAGEIFS($X$5:$X$1000,$U$5:$U$1000,ROW(),$V$5:$V$1000,"Sub"),$X102))))</f>
        <v/>
      </c>
      <c r="N102" s="56">
        <f>IF(OR($M102="",$V102="Sub"),"",IF($M102&gt;=1,"Completado",IF($M102&gt;0,"En curso","Pendiente")))</f>
        <v/>
      </c>
      <c r="O102" s="56">
        <f>IF(OR(NOT((COUNTA($B102:$D102)+COUNTA($G102:$L102)+COUNTA($Q102))&gt;0),$V102="Sub"),"",IF(ISNUMBER($G102),IF(AND(ISNUMBER($AN102),$G102&gt;$AN102),"Cumplida con "&amp;($G102-$AN102)&amp;IF($G102-$AN102=1," día"," días")&amp;" de retraso","Cumplida"),IF(N($M102)&gt;=1,"Cumplida",IF(NOT(ISNUMBER($AN102)),"Sin fecha límite",IF($AN102&lt;FechaRef,"Vencida hace "&amp;(FechaRef-$AN102)&amp;IF(FechaRef-$AN102=1," día"," días"),IF($AN102=FechaRef,"Vence hoy",IF($AN102-FechaRef&lt;=DiasAlerta,"Vence en "&amp;($AN102-FechaRef)&amp;IF($AN102-FechaRef=1," día"," días"),"En plazo")))))))</f>
        <v/>
      </c>
      <c r="P102" s="62" t="n"/>
      <c r="Q102" s="58" t="n"/>
      <c r="R102" s="63">
        <f>IF(NOT((COUNTA($B102:$D102)+COUNTA($G102:$L102)+COUNTA($Q102))&gt;0),"",IF((IF($C102="","Falta el nombre de la actividad"&amp;" · ","")&amp;IF(AND($V102="Sub",N($U102)=0),"Subactividad sin macroactividad arriba"&amp;" · ","")&amp;IF($AM102="","Sin fecha de inicio"&amp;" · ","")&amp;IF($AN102="","Sin fecha límite"&amp;" · ","")&amp;IF(AND(LEFT($C102,11)="[Jefatura] ",N($AL102)=0),"No se encuentra en la hoja de la jefatura (elíjala de nuevo en la lista)"&amp;" · ","")&amp;IF(OR(AND($E102&lt;&gt;"",NOT(ISNUMBER($E102))),AND($F102&lt;&gt;"",NOT(ISNUMBER($F102))),AND($G102&lt;&gt;"",NOT(ISNUMBER($G102)))),"Fecha no válida"&amp;" · ","")&amp;IF(AND(ISNUMBER($AM102),ISNUMBER($AN102),$AM102&gt;$AN102),"Inicio posterior a fecha límite"&amp;" · ","")&amp;IF(AND($V102="Macro",$H102&lt;&gt;"",OR(NOT(ISNUMBER($H102)),$H102&lt;0,$H102&gt;1)),"Peso fuera de rango"&amp;" · ","")&amp;IF(AND($V102="Sub",$H102&lt;&gt;""),"Las subactividades no llevan peso (valen igual dentro de su macroactividad)"&amp;" · ","")&amp;IF(AND(N($W102)&gt;0,COUNT($I102:$L102)&gt;0),"Con subactividades: deje vacías las semanas (se calculan solas)"&amp;" · ","")&amp;IF((COUNTIF($I102:$L102,"&gt;1")+COUNTIF($I102:$L102,"&lt;0")+COUNTA($I102:$L102)-COUNT($I102:$L102))&gt;0,"Avance fuera de rango 0-100%"&amp;" · ","")&amp;IF(OR(AND($J102&lt;&gt;"",$J102&lt;$I102),AND($K102&lt;&gt;"",$K102&lt;MAX($I102:$J102)),AND($L102&lt;&gt;"",$L102&lt;MAX($I102:$K102))),"Avance semanal decreciente"&amp;" · ","")&amp;IF(AND(ISNUMBER($AN102),$AN102&lt;FechaRef,IF($V102="Sub",N($X102),N($M102))&lt;1),"Vencida"&amp;" · ","")&amp;IF(AND(ObsObligatoria="Sí",ISNUMBER($AN102),$AN102&lt;FechaRef,IF($V102="Sub",N($X102),N($M102))&lt;1,$Q102=""),"Vencida sin observación"&amp;" · ",""))="","✔ OK","⚠ "&amp;LEFT(IF($C102="","Falta el nombre de la actividad"&amp;" · ","")&amp;IF(AND($V102="Sub",N($U102)=0),"Subactividad sin macroactividad arriba"&amp;" · ","")&amp;IF($AM102="","Sin fecha de inicio"&amp;" · ","")&amp;IF($AN102="","Sin fecha límite"&amp;" · ","")&amp;IF(AND(LEFT($C102,11)="[Jefatura] ",N($AL102)=0),"No se encuentra en la hoja de la jefatura (elíjala de nuevo en la lista)"&amp;" · ","")&amp;IF(OR(AND($E102&lt;&gt;"",NOT(ISNUMBER($E102))),AND($F102&lt;&gt;"",NOT(ISNUMBER($F102))),AND($G102&lt;&gt;"",NOT(ISNUMBER($G102)))),"Fecha no válida"&amp;" · ","")&amp;IF(AND(ISNUMBER($AM102),ISNUMBER($AN102),$AM102&gt;$AN102),"Inicio posterior a fecha límite"&amp;" · ","")&amp;IF(AND($V102="Macro",$H102&lt;&gt;"",OR(NOT(ISNUMBER($H102)),$H102&lt;0,$H102&gt;1)),"Peso fuera de rango"&amp;" · ","")&amp;IF(AND($V102="Sub",$H102&lt;&gt;""),"Las subactividades no llevan peso (valen igual dentro de su macroactividad)"&amp;" · ","")&amp;IF(AND(N($W102)&gt;0,COUNT($I102:$L102)&gt;0),"Con subactividades: deje vacías las semanas (se calculan solas)"&amp;" · ","")&amp;IF((COUNTIF($I102:$L102,"&gt;1")+COUNTIF($I102:$L102,"&lt;0")+COUNTA($I102:$L102)-COUNT($I102:$L102))&gt;0,"Avance fuera de rango 0-100%"&amp;" · ","")&amp;IF(OR(AND($J102&lt;&gt;"",$J102&lt;$I102),AND($K102&lt;&gt;"",$K102&lt;MAX($I102:$J102)),AND($L102&lt;&gt;"",$L102&lt;MAX($I102:$K102))),"Avance semanal decreciente"&amp;" · ","")&amp;IF(AND(ISNUMBER($AN102),$AN102&lt;FechaRef,IF($V102="Sub",N($X102),N($M102))&lt;1),"Vencida"&amp;" · ","")&amp;IF(AND(ObsObligatoria="Sí",ISNUMBER($AN102),$AN102&lt;FechaRef,IF($V102="Sub",N($X102),N($M102))&lt;1,$Q102=""),"Vencida sin observación"&amp;" · ",""),LEN(IF($C102="","Falta el nombre de la actividad"&amp;" · ","")&amp;IF(AND($V102="Sub",N($U102)=0),"Subactividad sin macroactividad arriba"&amp;" · ","")&amp;IF($AM102="","Sin fecha de inicio"&amp;" · ","")&amp;IF($AN102="","Sin fecha límite"&amp;" · ","")&amp;IF(AND(LEFT($C102,11)="[Jefatura] ",N($AL102)=0),"No se encuentra en la hoja de la jefatura (elíjala de nuevo en la lista)"&amp;" · ","")&amp;IF(OR(AND($E102&lt;&gt;"",NOT(ISNUMBER($E102))),AND($F102&lt;&gt;"",NOT(ISNUMBER($F102))),AND($G102&lt;&gt;"",NOT(ISNUMBER($G102)))),"Fecha no válida"&amp;" · ","")&amp;IF(AND(ISNUMBER($AM102),ISNUMBER($AN102),$AM102&gt;$AN102),"Inicio posterior a fecha límite"&amp;" · ","")&amp;IF(AND($V102="Macro",$H102&lt;&gt;"",OR(NOT(ISNUMBER($H102)),$H102&lt;0,$H102&gt;1)),"Peso fuera de rango"&amp;" · ","")&amp;IF(AND($V102="Sub",$H102&lt;&gt;""),"Las subactividades no llevan peso (valen igual dentro de su macroactividad)"&amp;" · ","")&amp;IF(AND(N($W102)&gt;0,COUNT($I102:$L102)&gt;0),"Con subactividades: deje vacías las semanas (se calculan solas)"&amp;" · ","")&amp;IF((COUNTIF($I102:$L102,"&gt;1")+COUNTIF($I102:$L102,"&lt;0")+COUNTA($I102:$L102)-COUNT($I102:$L102))&gt;0,"Avance fuera de rango 0-100%"&amp;" · ","")&amp;IF(OR(AND($J102&lt;&gt;"",$J102&lt;$I102),AND($K102&lt;&gt;"",$K102&lt;MAX($I102:$J102)),AND($L102&lt;&gt;"",$L102&lt;MAX($I102:$K102))),"Avance semanal decreciente"&amp;" · ","")&amp;IF(AND(ISNUMBER($AN102),$AN102&lt;FechaRef,IF($V102="Sub",N($X102),N($M102))&lt;1),"Vencida"&amp;" · ","")&amp;IF(AND(ObsObligatoria="Sí",ISNUMBER($AN102),$AN102&lt;FechaRef,IF($V102="Sub",N($X102),N($M102))&lt;1,$Q102=""),"Vencida sin observación"&amp;" · ",""))-3)))</f>
        <v/>
      </c>
      <c r="S102" s="64">
        <f>IF(NOT((COUNTA($B102:$D102)+COUNTA($G102:$L102)+COUNTA($Q102))&gt;0),"",IF(AND($V102="Sub",N($U102)&gt;0),IF(ISNUMBER(INDEX($AM$5:$AM$1000,$U102-4)),DATE(YEAR(INDEX($AM$5:$AM$1000,$U102-4)),MONTH(INDEX($AM$5:$AM$1000,$U102-4)),1),IF(ISNUMBER(INDEX($AN$5:$AN$1000,$U102-4)),DATE(YEAR(INDEX($AN$5:$AN$1000,$U102-4)),MONTH(INDEX($AN$5:$AN$1000,$U102-4)),1),MesCiclo)),IF(ISNUMBER($AM102),DATE(YEAR($AM102),MONTH($AM102),1),IF(ISNUMBER($AN102),DATE(YEAR($AN102),MONTH($AN102),1),MesCiclo))))</f>
        <v/>
      </c>
      <c r="T102" s="62">
        <f>IF(OR($S102="",$S102&lt;&gt;MesCiclo,$V102&lt;&gt;"Macro"),"",COUNTIFS($S$5:$S102,MesCiclo,$V$5:$V102,"Macro"))</f>
        <v/>
      </c>
      <c r="U102" s="62">
        <f>IF($V102="","",IF($V102="Macro",ROW(),IFERROR(LOOKUP(2,1/($V$5:$V102="Macro"),ROW($V$5:$V102)),0)))</f>
        <v/>
      </c>
      <c r="V102" s="62">
        <f>IF(NOT((COUNTA($B102:$D102)+COUNTA($G102:$L102)+COUNTA($Q102))&gt;0),"",IF($B102="Subactividad","Sub","Macro"))</f>
        <v/>
      </c>
      <c r="W102" s="62">
        <f>IF($V102="Macro",COUNTIFS($U$5:$U$1000,ROW(),$V$5:$V$1000,"Sub"),"")</f>
        <v/>
      </c>
      <c r="X102" s="62">
        <f>IF($V102="","",IF(ISNUMBER($G102),1,IFERROR(LOOKUP(2,1/($I102:$L102&lt;&gt;""),$I102:$L102),0)))</f>
        <v/>
      </c>
      <c r="Y102" s="62">
        <f>IF($V102="","",IF(AND(ISNUMBER($G102),$G102&lt;=IF($S102=MesCiclo,InicioCiclo,$S102+MOD(2-WEEKDAY($S102),7))+6),1,IF(ISNUMBER($I102),$I102,0)))</f>
        <v/>
      </c>
      <c r="Z102" s="62">
        <f>IF($V102="","",IF(AND(ISNUMBER($G102),$G102&lt;=IF($S102=MesCiclo,InicioCiclo,$S102+MOD(2-WEEKDAY($S102),7))+13),1,IF(ISNUMBER($J102),$J102,$Y102)))</f>
        <v/>
      </c>
      <c r="AA102" s="62">
        <f>IF($V102="","",IF(AND(ISNUMBER($G102),$G102&lt;=IF($S102=MesCiclo,InicioCiclo,$S102+MOD(2-WEEKDAY($S102),7))+20),1,IF(ISNUMBER($K102),$K102,$Z102)))</f>
        <v/>
      </c>
      <c r="AB102" s="62">
        <f>IF($V102="","",IF(AND(ISNUMBER($G102),$G102&lt;=IF($S102=MesCiclo,InicioCiclo,$S102+MOD(2-WEEKDAY($S102),7))+27),1,IF(ISNUMBER($L102),$L102,$AA102)))</f>
        <v/>
      </c>
      <c r="AC102" s="62">
        <f>IF($V102="","",IF(AND(ISNUMBER($G102),$G102&lt;=IF($S102=MesCiclo,InicioCiclo,$S102+MOD(2-WEEKDAY($S102),7))+6),1,IF(N($W102)&gt;0,AVERAGEIFS($Y$5:$Y$1000,$U$5:$U$1000,ROW(),$V$5:$V$1000,"Sub"),$Y102)))</f>
        <v/>
      </c>
      <c r="AD102" s="62">
        <f>IF($V102="","",IF(AND(ISNUMBER($G102),$G102&lt;=IF($S102=MesCiclo,InicioCiclo,$S102+MOD(2-WEEKDAY($S102),7))+13),1,IF(N($W102)&gt;0,AVERAGEIFS($Z$5:$Z$1000,$U$5:$U$1000,ROW(),$V$5:$V$1000,"Sub"),$Z102)))</f>
        <v/>
      </c>
      <c r="AE102" s="62">
        <f>IF($V102="","",IF(AND(ISNUMBER($G102),$G102&lt;=IF($S102=MesCiclo,InicioCiclo,$S102+MOD(2-WEEKDAY($S102),7))+20),1,IF(N($W102)&gt;0,AVERAGEIFS($AA$5:$AA$1000,$U$5:$U$1000,ROW(),$V$5:$V$1000,"Sub"),$AA102)))</f>
        <v/>
      </c>
      <c r="AF102" s="62">
        <f>IF($V102="","",IF(AND(ISNUMBER($G102),$G102&lt;=IF($S102=MesCiclo,InicioCiclo,$S102+MOD(2-WEEKDAY($S102),7))+27),1,IF(N($W102)&gt;0,AVERAGEIFS($AB$5:$AB$1000,$U$5:$U$1000,ROW(),$V$5:$V$1000,"Sub"),$AB102)))</f>
        <v/>
      </c>
      <c r="AG102" s="62">
        <f>IF($V102&lt;&gt;"Macro","",IF(COUNTIFS($S$5:$S$1000,$S102,$V$5:$V$1000,"Macro",$H$5:$H$1000,"&gt;0")=0,1/COUNTIFS($S$5:$S$1000,$S102,$V$5:$V$1000,"Macro"),IF(AND(ISNUMBER($H102),N($H102)&gt;0),$H102,SUMIFS($H$5:$H$1000,$S$5:$S$1000,$S102,$V$5:$V$1000,"Macro")/COUNTIFS($S$5:$S$1000,$S102,$V$5:$V$1000,"Macro",$H$5:$H$1000,"&gt;0"))/(COUNTIFS($S$5:$S$1000,$S102,$V$5:$V$1000,"Macro")*SUMIFS($H$5:$H$1000,$S$5:$S$1000,$S102,$V$5:$V$1000,"Macro")/COUNTIFS($S$5:$S$1000,$S102,$V$5:$V$1000,"Macro",$H$5:$H$1000,"&gt;0"))))</f>
        <v/>
      </c>
      <c r="AH102" s="62" t="n"/>
      <c r="AI102" s="62" t="n"/>
      <c r="AJ102" s="62" t="n"/>
      <c r="AK102" s="62" t="n"/>
      <c r="AL102" s="62">
        <f>IF(LEFT($C102,11)="[Jefatura] ",IFERROR(MATCH("Asistente Técnico de Riesgo|"&amp;MID($C102,12,500),rDname_ADM,0),0),"")</f>
        <v/>
      </c>
      <c r="AM102" s="62">
        <f>IF(N($AL102)&gt;0,INDEX(rIni_ADM,$AL102),IF(ISNUMBER($E102),$E102,""))</f>
        <v/>
      </c>
      <c r="AN102" s="62">
        <f>IF(N($AL102)&gt;0,INDEX(rLim_ADM,$AL102),IF(ISNUMBER($F102),$F102,""))</f>
        <v/>
      </c>
    </row>
    <row r="103">
      <c r="A103" s="56">
        <f>IF(NOT((COUNTA($B103:$D103)+COUNTA($G103:$L103)+COUNTA($Q103))&gt;0),"",IF($V103="Macro",COUNTIFS($V$5:$V103,"Macro",$S$5:$S103,$S103),IF(N($U103)=0,"?",COUNTIFS(INDEX($V$5:$V$1000,1):INDEX($V$5:$V$1000,$U103-4),"Macro",INDEX($S$5:$S$1000,1):INDEX($S$5:$S$1000,$U103-4),INDEX($S$5:$S$1000,$U103-4))&amp;"."&amp;COUNTIFS($U$5:$U103,$U103,$V$5:$V103,"Sub"))))</f>
        <v/>
      </c>
      <c r="B103" s="57" t="n"/>
      <c r="C103" s="58" t="n"/>
      <c r="D103" s="58" t="n"/>
      <c r="E103" s="59">
        <f>IF(N($AL103)&gt;0,INDEX(rIni_ADM,$AL103),"")</f>
        <v/>
      </c>
      <c r="F103" s="59">
        <f>IF(N($AL103)&gt;0,INDEX(rLim_ADM,$AL103),"")</f>
        <v/>
      </c>
      <c r="G103" s="59" t="n"/>
      <c r="H103" s="60" t="n"/>
      <c r="I103" s="60" t="n"/>
      <c r="J103" s="60" t="n"/>
      <c r="K103" s="60" t="n"/>
      <c r="L103" s="60" t="n"/>
      <c r="M103" s="61">
        <f>IF(NOT((COUNTA($B103:$D103)+COUNTA($G103:$L103)+COUNTA($Q103))&gt;0),"",IF($V103="Sub",IFERROR($X103/INDEX($W$5:$W$1000,$U103-4),""),IF(ISNUMBER($G103),1,IF(N($W103)&gt;0,AVERAGEIFS($X$5:$X$1000,$U$5:$U$1000,ROW(),$V$5:$V$1000,"Sub"),$X103))))</f>
        <v/>
      </c>
      <c r="N103" s="56">
        <f>IF(OR($M103="",$V103="Sub"),"",IF($M103&gt;=1,"Completado",IF($M103&gt;0,"En curso","Pendiente")))</f>
        <v/>
      </c>
      <c r="O103" s="56">
        <f>IF(OR(NOT((COUNTA($B103:$D103)+COUNTA($G103:$L103)+COUNTA($Q103))&gt;0),$V103="Sub"),"",IF(ISNUMBER($G103),IF(AND(ISNUMBER($AN103),$G103&gt;$AN103),"Cumplida con "&amp;($G103-$AN103)&amp;IF($G103-$AN103=1," día"," días")&amp;" de retraso","Cumplida"),IF(N($M103)&gt;=1,"Cumplida",IF(NOT(ISNUMBER($AN103)),"Sin fecha límite",IF($AN103&lt;FechaRef,"Vencida hace "&amp;(FechaRef-$AN103)&amp;IF(FechaRef-$AN103=1," día"," días"),IF($AN103=FechaRef,"Vence hoy",IF($AN103-FechaRef&lt;=DiasAlerta,"Vence en "&amp;($AN103-FechaRef)&amp;IF($AN103-FechaRef=1," día"," días"),"En plazo")))))))</f>
        <v/>
      </c>
      <c r="P103" s="62" t="n"/>
      <c r="Q103" s="58" t="n"/>
      <c r="R103" s="63">
        <f>IF(NOT((COUNTA($B103:$D103)+COUNTA($G103:$L103)+COUNTA($Q103))&gt;0),"",IF((IF($C103="","Falta el nombre de la actividad"&amp;" · ","")&amp;IF(AND($V103="Sub",N($U103)=0),"Subactividad sin macroactividad arriba"&amp;" · ","")&amp;IF($AM103="","Sin fecha de inicio"&amp;" · ","")&amp;IF($AN103="","Sin fecha límite"&amp;" · ","")&amp;IF(AND(LEFT($C103,11)="[Jefatura] ",N($AL103)=0),"No se encuentra en la hoja de la jefatura (elíjala de nuevo en la lista)"&amp;" · ","")&amp;IF(OR(AND($E103&lt;&gt;"",NOT(ISNUMBER($E103))),AND($F103&lt;&gt;"",NOT(ISNUMBER($F103))),AND($G103&lt;&gt;"",NOT(ISNUMBER($G103)))),"Fecha no válida"&amp;" · ","")&amp;IF(AND(ISNUMBER($AM103),ISNUMBER($AN103),$AM103&gt;$AN103),"Inicio posterior a fecha límite"&amp;" · ","")&amp;IF(AND($V103="Macro",$H103&lt;&gt;"",OR(NOT(ISNUMBER($H103)),$H103&lt;0,$H103&gt;1)),"Peso fuera de rango"&amp;" · ","")&amp;IF(AND($V103="Sub",$H103&lt;&gt;""),"Las subactividades no llevan peso (valen igual dentro de su macroactividad)"&amp;" · ","")&amp;IF(AND(N($W103)&gt;0,COUNT($I103:$L103)&gt;0),"Con subactividades: deje vacías las semanas (se calculan solas)"&amp;" · ","")&amp;IF((COUNTIF($I103:$L103,"&gt;1")+COUNTIF($I103:$L103,"&lt;0")+COUNTA($I103:$L103)-COUNT($I103:$L103))&gt;0,"Avance fuera de rango 0-100%"&amp;" · ","")&amp;IF(OR(AND($J103&lt;&gt;"",$J103&lt;$I103),AND($K103&lt;&gt;"",$K103&lt;MAX($I103:$J103)),AND($L103&lt;&gt;"",$L103&lt;MAX($I103:$K103))),"Avance semanal decreciente"&amp;" · ","")&amp;IF(AND(ISNUMBER($AN103),$AN103&lt;FechaRef,IF($V103="Sub",N($X103),N($M103))&lt;1),"Vencida"&amp;" · ","")&amp;IF(AND(ObsObligatoria="Sí",ISNUMBER($AN103),$AN103&lt;FechaRef,IF($V103="Sub",N($X103),N($M103))&lt;1,$Q103=""),"Vencida sin observación"&amp;" · ",""))="","✔ OK","⚠ "&amp;LEFT(IF($C103="","Falta el nombre de la actividad"&amp;" · ","")&amp;IF(AND($V103="Sub",N($U103)=0),"Subactividad sin macroactividad arriba"&amp;" · ","")&amp;IF($AM103="","Sin fecha de inicio"&amp;" · ","")&amp;IF($AN103="","Sin fecha límite"&amp;" · ","")&amp;IF(AND(LEFT($C103,11)="[Jefatura] ",N($AL103)=0),"No se encuentra en la hoja de la jefatura (elíjala de nuevo en la lista)"&amp;" · ","")&amp;IF(OR(AND($E103&lt;&gt;"",NOT(ISNUMBER($E103))),AND($F103&lt;&gt;"",NOT(ISNUMBER($F103))),AND($G103&lt;&gt;"",NOT(ISNUMBER($G103)))),"Fecha no válida"&amp;" · ","")&amp;IF(AND(ISNUMBER($AM103),ISNUMBER($AN103),$AM103&gt;$AN103),"Inicio posterior a fecha límite"&amp;" · ","")&amp;IF(AND($V103="Macro",$H103&lt;&gt;"",OR(NOT(ISNUMBER($H103)),$H103&lt;0,$H103&gt;1)),"Peso fuera de rango"&amp;" · ","")&amp;IF(AND($V103="Sub",$H103&lt;&gt;""),"Las subactividades no llevan peso (valen igual dentro de su macroactividad)"&amp;" · ","")&amp;IF(AND(N($W103)&gt;0,COUNT($I103:$L103)&gt;0),"Con subactividades: deje vacías las semanas (se calculan solas)"&amp;" · ","")&amp;IF((COUNTIF($I103:$L103,"&gt;1")+COUNTIF($I103:$L103,"&lt;0")+COUNTA($I103:$L103)-COUNT($I103:$L103))&gt;0,"Avance fuera de rango 0-100%"&amp;" · ","")&amp;IF(OR(AND($J103&lt;&gt;"",$J103&lt;$I103),AND($K103&lt;&gt;"",$K103&lt;MAX($I103:$J103)),AND($L103&lt;&gt;"",$L103&lt;MAX($I103:$K103))),"Avance semanal decreciente"&amp;" · ","")&amp;IF(AND(ISNUMBER($AN103),$AN103&lt;FechaRef,IF($V103="Sub",N($X103),N($M103))&lt;1),"Vencida"&amp;" · ","")&amp;IF(AND(ObsObligatoria="Sí",ISNUMBER($AN103),$AN103&lt;FechaRef,IF($V103="Sub",N($X103),N($M103))&lt;1,$Q103=""),"Vencida sin observación"&amp;" · ",""),LEN(IF($C103="","Falta el nombre de la actividad"&amp;" · ","")&amp;IF(AND($V103="Sub",N($U103)=0),"Subactividad sin macroactividad arriba"&amp;" · ","")&amp;IF($AM103="","Sin fecha de inicio"&amp;" · ","")&amp;IF($AN103="","Sin fecha límite"&amp;" · ","")&amp;IF(AND(LEFT($C103,11)="[Jefatura] ",N($AL103)=0),"No se encuentra en la hoja de la jefatura (elíjala de nuevo en la lista)"&amp;" · ","")&amp;IF(OR(AND($E103&lt;&gt;"",NOT(ISNUMBER($E103))),AND($F103&lt;&gt;"",NOT(ISNUMBER($F103))),AND($G103&lt;&gt;"",NOT(ISNUMBER($G103)))),"Fecha no válida"&amp;" · ","")&amp;IF(AND(ISNUMBER($AM103),ISNUMBER($AN103),$AM103&gt;$AN103),"Inicio posterior a fecha límite"&amp;" · ","")&amp;IF(AND($V103="Macro",$H103&lt;&gt;"",OR(NOT(ISNUMBER($H103)),$H103&lt;0,$H103&gt;1)),"Peso fuera de rango"&amp;" · ","")&amp;IF(AND($V103="Sub",$H103&lt;&gt;""),"Las subactividades no llevan peso (valen igual dentro de su macroactividad)"&amp;" · ","")&amp;IF(AND(N($W103)&gt;0,COUNT($I103:$L103)&gt;0),"Con subactividades: deje vacías las semanas (se calculan solas)"&amp;" · ","")&amp;IF((COUNTIF($I103:$L103,"&gt;1")+COUNTIF($I103:$L103,"&lt;0")+COUNTA($I103:$L103)-COUNT($I103:$L103))&gt;0,"Avance fuera de rango 0-100%"&amp;" · ","")&amp;IF(OR(AND($J103&lt;&gt;"",$J103&lt;$I103),AND($K103&lt;&gt;"",$K103&lt;MAX($I103:$J103)),AND($L103&lt;&gt;"",$L103&lt;MAX($I103:$K103))),"Avance semanal decreciente"&amp;" · ","")&amp;IF(AND(ISNUMBER($AN103),$AN103&lt;FechaRef,IF($V103="Sub",N($X103),N($M103))&lt;1),"Vencida"&amp;" · ","")&amp;IF(AND(ObsObligatoria="Sí",ISNUMBER($AN103),$AN103&lt;FechaRef,IF($V103="Sub",N($X103),N($M103))&lt;1,$Q103=""),"Vencida sin observación"&amp;" · ",""))-3)))</f>
        <v/>
      </c>
      <c r="S103" s="64">
        <f>IF(NOT((COUNTA($B103:$D103)+COUNTA($G103:$L103)+COUNTA($Q103))&gt;0),"",IF(AND($V103="Sub",N($U103)&gt;0),IF(ISNUMBER(INDEX($AM$5:$AM$1000,$U103-4)),DATE(YEAR(INDEX($AM$5:$AM$1000,$U103-4)),MONTH(INDEX($AM$5:$AM$1000,$U103-4)),1),IF(ISNUMBER(INDEX($AN$5:$AN$1000,$U103-4)),DATE(YEAR(INDEX($AN$5:$AN$1000,$U103-4)),MONTH(INDEX($AN$5:$AN$1000,$U103-4)),1),MesCiclo)),IF(ISNUMBER($AM103),DATE(YEAR($AM103),MONTH($AM103),1),IF(ISNUMBER($AN103),DATE(YEAR($AN103),MONTH($AN103),1),MesCiclo))))</f>
        <v/>
      </c>
      <c r="T103" s="62">
        <f>IF(OR($S103="",$S103&lt;&gt;MesCiclo,$V103&lt;&gt;"Macro"),"",COUNTIFS($S$5:$S103,MesCiclo,$V$5:$V103,"Macro"))</f>
        <v/>
      </c>
      <c r="U103" s="62">
        <f>IF($V103="","",IF($V103="Macro",ROW(),IFERROR(LOOKUP(2,1/($V$5:$V103="Macro"),ROW($V$5:$V103)),0)))</f>
        <v/>
      </c>
      <c r="V103" s="62">
        <f>IF(NOT((COUNTA($B103:$D103)+COUNTA($G103:$L103)+COUNTA($Q103))&gt;0),"",IF($B103="Subactividad","Sub","Macro"))</f>
        <v/>
      </c>
      <c r="W103" s="62">
        <f>IF($V103="Macro",COUNTIFS($U$5:$U$1000,ROW(),$V$5:$V$1000,"Sub"),"")</f>
        <v/>
      </c>
      <c r="X103" s="62">
        <f>IF($V103="","",IF(ISNUMBER($G103),1,IFERROR(LOOKUP(2,1/($I103:$L103&lt;&gt;""),$I103:$L103),0)))</f>
        <v/>
      </c>
      <c r="Y103" s="62">
        <f>IF($V103="","",IF(AND(ISNUMBER($G103),$G103&lt;=IF($S103=MesCiclo,InicioCiclo,$S103+MOD(2-WEEKDAY($S103),7))+6),1,IF(ISNUMBER($I103),$I103,0)))</f>
        <v/>
      </c>
      <c r="Z103" s="62">
        <f>IF($V103="","",IF(AND(ISNUMBER($G103),$G103&lt;=IF($S103=MesCiclo,InicioCiclo,$S103+MOD(2-WEEKDAY($S103),7))+13),1,IF(ISNUMBER($J103),$J103,$Y103)))</f>
        <v/>
      </c>
      <c r="AA103" s="62">
        <f>IF($V103="","",IF(AND(ISNUMBER($G103),$G103&lt;=IF($S103=MesCiclo,InicioCiclo,$S103+MOD(2-WEEKDAY($S103),7))+20),1,IF(ISNUMBER($K103),$K103,$Z103)))</f>
        <v/>
      </c>
      <c r="AB103" s="62">
        <f>IF($V103="","",IF(AND(ISNUMBER($G103),$G103&lt;=IF($S103=MesCiclo,InicioCiclo,$S103+MOD(2-WEEKDAY($S103),7))+27),1,IF(ISNUMBER($L103),$L103,$AA103)))</f>
        <v/>
      </c>
      <c r="AC103" s="62">
        <f>IF($V103="","",IF(AND(ISNUMBER($G103),$G103&lt;=IF($S103=MesCiclo,InicioCiclo,$S103+MOD(2-WEEKDAY($S103),7))+6),1,IF(N($W103)&gt;0,AVERAGEIFS($Y$5:$Y$1000,$U$5:$U$1000,ROW(),$V$5:$V$1000,"Sub"),$Y103)))</f>
        <v/>
      </c>
      <c r="AD103" s="62">
        <f>IF($V103="","",IF(AND(ISNUMBER($G103),$G103&lt;=IF($S103=MesCiclo,InicioCiclo,$S103+MOD(2-WEEKDAY($S103),7))+13),1,IF(N($W103)&gt;0,AVERAGEIFS($Z$5:$Z$1000,$U$5:$U$1000,ROW(),$V$5:$V$1000,"Sub"),$Z103)))</f>
        <v/>
      </c>
      <c r="AE103" s="62">
        <f>IF($V103="","",IF(AND(ISNUMBER($G103),$G103&lt;=IF($S103=MesCiclo,InicioCiclo,$S103+MOD(2-WEEKDAY($S103),7))+20),1,IF(N($W103)&gt;0,AVERAGEIFS($AA$5:$AA$1000,$U$5:$U$1000,ROW(),$V$5:$V$1000,"Sub"),$AA103)))</f>
        <v/>
      </c>
      <c r="AF103" s="62">
        <f>IF($V103="","",IF(AND(ISNUMBER($G103),$G103&lt;=IF($S103=MesCiclo,InicioCiclo,$S103+MOD(2-WEEKDAY($S103),7))+27),1,IF(N($W103)&gt;0,AVERAGEIFS($AB$5:$AB$1000,$U$5:$U$1000,ROW(),$V$5:$V$1000,"Sub"),$AB103)))</f>
        <v/>
      </c>
      <c r="AG103" s="62">
        <f>IF($V103&lt;&gt;"Macro","",IF(COUNTIFS($S$5:$S$1000,$S103,$V$5:$V$1000,"Macro",$H$5:$H$1000,"&gt;0")=0,1/COUNTIFS($S$5:$S$1000,$S103,$V$5:$V$1000,"Macro"),IF(AND(ISNUMBER($H103),N($H103)&gt;0),$H103,SUMIFS($H$5:$H$1000,$S$5:$S$1000,$S103,$V$5:$V$1000,"Macro")/COUNTIFS($S$5:$S$1000,$S103,$V$5:$V$1000,"Macro",$H$5:$H$1000,"&gt;0"))/(COUNTIFS($S$5:$S$1000,$S103,$V$5:$V$1000,"Macro")*SUMIFS($H$5:$H$1000,$S$5:$S$1000,$S103,$V$5:$V$1000,"Macro")/COUNTIFS($S$5:$S$1000,$S103,$V$5:$V$1000,"Macro",$H$5:$H$1000,"&gt;0"))))</f>
        <v/>
      </c>
      <c r="AH103" s="62" t="n"/>
      <c r="AI103" s="62" t="n"/>
      <c r="AJ103" s="62" t="n"/>
      <c r="AK103" s="62" t="n"/>
      <c r="AL103" s="62">
        <f>IF(LEFT($C103,11)="[Jefatura] ",IFERROR(MATCH("Asistente Técnico de Riesgo|"&amp;MID($C103,12,500),rDname_ADM,0),0),"")</f>
        <v/>
      </c>
      <c r="AM103" s="62">
        <f>IF(N($AL103)&gt;0,INDEX(rIni_ADM,$AL103),IF(ISNUMBER($E103),$E103,""))</f>
        <v/>
      </c>
      <c r="AN103" s="62">
        <f>IF(N($AL103)&gt;0,INDEX(rLim_ADM,$AL103),IF(ISNUMBER($F103),$F103,""))</f>
        <v/>
      </c>
    </row>
    <row r="104">
      <c r="A104" s="56">
        <f>IF(NOT((COUNTA($B104:$D104)+COUNTA($G104:$L104)+COUNTA($Q104))&gt;0),"",IF($V104="Macro",COUNTIFS($V$5:$V104,"Macro",$S$5:$S104,$S104),IF(N($U104)=0,"?",COUNTIFS(INDEX($V$5:$V$1000,1):INDEX($V$5:$V$1000,$U104-4),"Macro",INDEX($S$5:$S$1000,1):INDEX($S$5:$S$1000,$U104-4),INDEX($S$5:$S$1000,$U104-4))&amp;"."&amp;COUNTIFS($U$5:$U104,$U104,$V$5:$V104,"Sub"))))</f>
        <v/>
      </c>
      <c r="B104" s="57" t="n"/>
      <c r="C104" s="58" t="n"/>
      <c r="D104" s="58" t="n"/>
      <c r="E104" s="59">
        <f>IF(N($AL104)&gt;0,INDEX(rIni_ADM,$AL104),"")</f>
        <v/>
      </c>
      <c r="F104" s="59">
        <f>IF(N($AL104)&gt;0,INDEX(rLim_ADM,$AL104),"")</f>
        <v/>
      </c>
      <c r="G104" s="59" t="n"/>
      <c r="H104" s="60" t="n"/>
      <c r="I104" s="60" t="n"/>
      <c r="J104" s="60" t="n"/>
      <c r="K104" s="60" t="n"/>
      <c r="L104" s="60" t="n"/>
      <c r="M104" s="61">
        <f>IF(NOT((COUNTA($B104:$D104)+COUNTA($G104:$L104)+COUNTA($Q104))&gt;0),"",IF($V104="Sub",IFERROR($X104/INDEX($W$5:$W$1000,$U104-4),""),IF(ISNUMBER($G104),1,IF(N($W104)&gt;0,AVERAGEIFS($X$5:$X$1000,$U$5:$U$1000,ROW(),$V$5:$V$1000,"Sub"),$X104))))</f>
        <v/>
      </c>
      <c r="N104" s="56">
        <f>IF(OR($M104="",$V104="Sub"),"",IF($M104&gt;=1,"Completado",IF($M104&gt;0,"En curso","Pendiente")))</f>
        <v/>
      </c>
      <c r="O104" s="56">
        <f>IF(OR(NOT((COUNTA($B104:$D104)+COUNTA($G104:$L104)+COUNTA($Q104))&gt;0),$V104="Sub"),"",IF(ISNUMBER($G104),IF(AND(ISNUMBER($AN104),$G104&gt;$AN104),"Cumplida con "&amp;($G104-$AN104)&amp;IF($G104-$AN104=1," día"," días")&amp;" de retraso","Cumplida"),IF(N($M104)&gt;=1,"Cumplida",IF(NOT(ISNUMBER($AN104)),"Sin fecha límite",IF($AN104&lt;FechaRef,"Vencida hace "&amp;(FechaRef-$AN104)&amp;IF(FechaRef-$AN104=1," día"," días"),IF($AN104=FechaRef,"Vence hoy",IF($AN104-FechaRef&lt;=DiasAlerta,"Vence en "&amp;($AN104-FechaRef)&amp;IF($AN104-FechaRef=1," día"," días"),"En plazo")))))))</f>
        <v/>
      </c>
      <c r="P104" s="62" t="n"/>
      <c r="Q104" s="58" t="n"/>
      <c r="R104" s="63">
        <f>IF(NOT((COUNTA($B104:$D104)+COUNTA($G104:$L104)+COUNTA($Q104))&gt;0),"",IF((IF($C104="","Falta el nombre de la actividad"&amp;" · ","")&amp;IF(AND($V104="Sub",N($U104)=0),"Subactividad sin macroactividad arriba"&amp;" · ","")&amp;IF($AM104="","Sin fecha de inicio"&amp;" · ","")&amp;IF($AN104="","Sin fecha límite"&amp;" · ","")&amp;IF(AND(LEFT($C104,11)="[Jefatura] ",N($AL104)=0),"No se encuentra en la hoja de la jefatura (elíjala de nuevo en la lista)"&amp;" · ","")&amp;IF(OR(AND($E104&lt;&gt;"",NOT(ISNUMBER($E104))),AND($F104&lt;&gt;"",NOT(ISNUMBER($F104))),AND($G104&lt;&gt;"",NOT(ISNUMBER($G104)))),"Fecha no válida"&amp;" · ","")&amp;IF(AND(ISNUMBER($AM104),ISNUMBER($AN104),$AM104&gt;$AN104),"Inicio posterior a fecha límite"&amp;" · ","")&amp;IF(AND($V104="Macro",$H104&lt;&gt;"",OR(NOT(ISNUMBER($H104)),$H104&lt;0,$H104&gt;1)),"Peso fuera de rango"&amp;" · ","")&amp;IF(AND($V104="Sub",$H104&lt;&gt;""),"Las subactividades no llevan peso (valen igual dentro de su macroactividad)"&amp;" · ","")&amp;IF(AND(N($W104)&gt;0,COUNT($I104:$L104)&gt;0),"Con subactividades: deje vacías las semanas (se calculan solas)"&amp;" · ","")&amp;IF((COUNTIF($I104:$L104,"&gt;1")+COUNTIF($I104:$L104,"&lt;0")+COUNTA($I104:$L104)-COUNT($I104:$L104))&gt;0,"Avance fuera de rango 0-100%"&amp;" · ","")&amp;IF(OR(AND($J104&lt;&gt;"",$J104&lt;$I104),AND($K104&lt;&gt;"",$K104&lt;MAX($I104:$J104)),AND($L104&lt;&gt;"",$L104&lt;MAX($I104:$K104))),"Avance semanal decreciente"&amp;" · ","")&amp;IF(AND(ISNUMBER($AN104),$AN104&lt;FechaRef,IF($V104="Sub",N($X104),N($M104))&lt;1),"Vencida"&amp;" · ","")&amp;IF(AND(ObsObligatoria="Sí",ISNUMBER($AN104),$AN104&lt;FechaRef,IF($V104="Sub",N($X104),N($M104))&lt;1,$Q104=""),"Vencida sin observación"&amp;" · ",""))="","✔ OK","⚠ "&amp;LEFT(IF($C104="","Falta el nombre de la actividad"&amp;" · ","")&amp;IF(AND($V104="Sub",N($U104)=0),"Subactividad sin macroactividad arriba"&amp;" · ","")&amp;IF($AM104="","Sin fecha de inicio"&amp;" · ","")&amp;IF($AN104="","Sin fecha límite"&amp;" · ","")&amp;IF(AND(LEFT($C104,11)="[Jefatura] ",N($AL104)=0),"No se encuentra en la hoja de la jefatura (elíjala de nuevo en la lista)"&amp;" · ","")&amp;IF(OR(AND($E104&lt;&gt;"",NOT(ISNUMBER($E104))),AND($F104&lt;&gt;"",NOT(ISNUMBER($F104))),AND($G104&lt;&gt;"",NOT(ISNUMBER($G104)))),"Fecha no válida"&amp;" · ","")&amp;IF(AND(ISNUMBER($AM104),ISNUMBER($AN104),$AM104&gt;$AN104),"Inicio posterior a fecha límite"&amp;" · ","")&amp;IF(AND($V104="Macro",$H104&lt;&gt;"",OR(NOT(ISNUMBER($H104)),$H104&lt;0,$H104&gt;1)),"Peso fuera de rango"&amp;" · ","")&amp;IF(AND($V104="Sub",$H104&lt;&gt;""),"Las subactividades no llevan peso (valen igual dentro de su macroactividad)"&amp;" · ","")&amp;IF(AND(N($W104)&gt;0,COUNT($I104:$L104)&gt;0),"Con subactividades: deje vacías las semanas (se calculan solas)"&amp;" · ","")&amp;IF((COUNTIF($I104:$L104,"&gt;1")+COUNTIF($I104:$L104,"&lt;0")+COUNTA($I104:$L104)-COUNT($I104:$L104))&gt;0,"Avance fuera de rango 0-100%"&amp;" · ","")&amp;IF(OR(AND($J104&lt;&gt;"",$J104&lt;$I104),AND($K104&lt;&gt;"",$K104&lt;MAX($I104:$J104)),AND($L104&lt;&gt;"",$L104&lt;MAX($I104:$K104))),"Avance semanal decreciente"&amp;" · ","")&amp;IF(AND(ISNUMBER($AN104),$AN104&lt;FechaRef,IF($V104="Sub",N($X104),N($M104))&lt;1),"Vencida"&amp;" · ","")&amp;IF(AND(ObsObligatoria="Sí",ISNUMBER($AN104),$AN104&lt;FechaRef,IF($V104="Sub",N($X104),N($M104))&lt;1,$Q104=""),"Vencida sin observación"&amp;" · ",""),LEN(IF($C104="","Falta el nombre de la actividad"&amp;" · ","")&amp;IF(AND($V104="Sub",N($U104)=0),"Subactividad sin macroactividad arriba"&amp;" · ","")&amp;IF($AM104="","Sin fecha de inicio"&amp;" · ","")&amp;IF($AN104="","Sin fecha límite"&amp;" · ","")&amp;IF(AND(LEFT($C104,11)="[Jefatura] ",N($AL104)=0),"No se encuentra en la hoja de la jefatura (elíjala de nuevo en la lista)"&amp;" · ","")&amp;IF(OR(AND($E104&lt;&gt;"",NOT(ISNUMBER($E104))),AND($F104&lt;&gt;"",NOT(ISNUMBER($F104))),AND($G104&lt;&gt;"",NOT(ISNUMBER($G104)))),"Fecha no válida"&amp;" · ","")&amp;IF(AND(ISNUMBER($AM104),ISNUMBER($AN104),$AM104&gt;$AN104),"Inicio posterior a fecha límite"&amp;" · ","")&amp;IF(AND($V104="Macro",$H104&lt;&gt;"",OR(NOT(ISNUMBER($H104)),$H104&lt;0,$H104&gt;1)),"Peso fuera de rango"&amp;" · ","")&amp;IF(AND($V104="Sub",$H104&lt;&gt;""),"Las subactividades no llevan peso (valen igual dentro de su macroactividad)"&amp;" · ","")&amp;IF(AND(N($W104)&gt;0,COUNT($I104:$L104)&gt;0),"Con subactividades: deje vacías las semanas (se calculan solas)"&amp;" · ","")&amp;IF((COUNTIF($I104:$L104,"&gt;1")+COUNTIF($I104:$L104,"&lt;0")+COUNTA($I104:$L104)-COUNT($I104:$L104))&gt;0,"Avance fuera de rango 0-100%"&amp;" · ","")&amp;IF(OR(AND($J104&lt;&gt;"",$J104&lt;$I104),AND($K104&lt;&gt;"",$K104&lt;MAX($I104:$J104)),AND($L104&lt;&gt;"",$L104&lt;MAX($I104:$K104))),"Avance semanal decreciente"&amp;" · ","")&amp;IF(AND(ISNUMBER($AN104),$AN104&lt;FechaRef,IF($V104="Sub",N($X104),N($M104))&lt;1),"Vencida"&amp;" · ","")&amp;IF(AND(ObsObligatoria="Sí",ISNUMBER($AN104),$AN104&lt;FechaRef,IF($V104="Sub",N($X104),N($M104))&lt;1,$Q104=""),"Vencida sin observación"&amp;" · ",""))-3)))</f>
        <v/>
      </c>
      <c r="S104" s="64">
        <f>IF(NOT((COUNTA($B104:$D104)+COUNTA($G104:$L104)+COUNTA($Q104))&gt;0),"",IF(AND($V104="Sub",N($U104)&gt;0),IF(ISNUMBER(INDEX($AM$5:$AM$1000,$U104-4)),DATE(YEAR(INDEX($AM$5:$AM$1000,$U104-4)),MONTH(INDEX($AM$5:$AM$1000,$U104-4)),1),IF(ISNUMBER(INDEX($AN$5:$AN$1000,$U104-4)),DATE(YEAR(INDEX($AN$5:$AN$1000,$U104-4)),MONTH(INDEX($AN$5:$AN$1000,$U104-4)),1),MesCiclo)),IF(ISNUMBER($AM104),DATE(YEAR($AM104),MONTH($AM104),1),IF(ISNUMBER($AN104),DATE(YEAR($AN104),MONTH($AN104),1),MesCiclo))))</f>
        <v/>
      </c>
      <c r="T104" s="62">
        <f>IF(OR($S104="",$S104&lt;&gt;MesCiclo,$V104&lt;&gt;"Macro"),"",COUNTIFS($S$5:$S104,MesCiclo,$V$5:$V104,"Macro"))</f>
        <v/>
      </c>
      <c r="U104" s="62">
        <f>IF($V104="","",IF($V104="Macro",ROW(),IFERROR(LOOKUP(2,1/($V$5:$V104="Macro"),ROW($V$5:$V104)),0)))</f>
        <v/>
      </c>
      <c r="V104" s="62">
        <f>IF(NOT((COUNTA($B104:$D104)+COUNTA($G104:$L104)+COUNTA($Q104))&gt;0),"",IF($B104="Subactividad","Sub","Macro"))</f>
        <v/>
      </c>
      <c r="W104" s="62">
        <f>IF($V104="Macro",COUNTIFS($U$5:$U$1000,ROW(),$V$5:$V$1000,"Sub"),"")</f>
        <v/>
      </c>
      <c r="X104" s="62">
        <f>IF($V104="","",IF(ISNUMBER($G104),1,IFERROR(LOOKUP(2,1/($I104:$L104&lt;&gt;""),$I104:$L104),0)))</f>
        <v/>
      </c>
      <c r="Y104" s="62">
        <f>IF($V104="","",IF(AND(ISNUMBER($G104),$G104&lt;=IF($S104=MesCiclo,InicioCiclo,$S104+MOD(2-WEEKDAY($S104),7))+6),1,IF(ISNUMBER($I104),$I104,0)))</f>
        <v/>
      </c>
      <c r="Z104" s="62">
        <f>IF($V104="","",IF(AND(ISNUMBER($G104),$G104&lt;=IF($S104=MesCiclo,InicioCiclo,$S104+MOD(2-WEEKDAY($S104),7))+13),1,IF(ISNUMBER($J104),$J104,$Y104)))</f>
        <v/>
      </c>
      <c r="AA104" s="62">
        <f>IF($V104="","",IF(AND(ISNUMBER($G104),$G104&lt;=IF($S104=MesCiclo,InicioCiclo,$S104+MOD(2-WEEKDAY($S104),7))+20),1,IF(ISNUMBER($K104),$K104,$Z104)))</f>
        <v/>
      </c>
      <c r="AB104" s="62">
        <f>IF($V104="","",IF(AND(ISNUMBER($G104),$G104&lt;=IF($S104=MesCiclo,InicioCiclo,$S104+MOD(2-WEEKDAY($S104),7))+27),1,IF(ISNUMBER($L104),$L104,$AA104)))</f>
        <v/>
      </c>
      <c r="AC104" s="62">
        <f>IF($V104="","",IF(AND(ISNUMBER($G104),$G104&lt;=IF($S104=MesCiclo,InicioCiclo,$S104+MOD(2-WEEKDAY($S104),7))+6),1,IF(N($W104)&gt;0,AVERAGEIFS($Y$5:$Y$1000,$U$5:$U$1000,ROW(),$V$5:$V$1000,"Sub"),$Y104)))</f>
        <v/>
      </c>
      <c r="AD104" s="62">
        <f>IF($V104="","",IF(AND(ISNUMBER($G104),$G104&lt;=IF($S104=MesCiclo,InicioCiclo,$S104+MOD(2-WEEKDAY($S104),7))+13),1,IF(N($W104)&gt;0,AVERAGEIFS($Z$5:$Z$1000,$U$5:$U$1000,ROW(),$V$5:$V$1000,"Sub"),$Z104)))</f>
        <v/>
      </c>
      <c r="AE104" s="62">
        <f>IF($V104="","",IF(AND(ISNUMBER($G104),$G104&lt;=IF($S104=MesCiclo,InicioCiclo,$S104+MOD(2-WEEKDAY($S104),7))+20),1,IF(N($W104)&gt;0,AVERAGEIFS($AA$5:$AA$1000,$U$5:$U$1000,ROW(),$V$5:$V$1000,"Sub"),$AA104)))</f>
        <v/>
      </c>
      <c r="AF104" s="62">
        <f>IF($V104="","",IF(AND(ISNUMBER($G104),$G104&lt;=IF($S104=MesCiclo,InicioCiclo,$S104+MOD(2-WEEKDAY($S104),7))+27),1,IF(N($W104)&gt;0,AVERAGEIFS($AB$5:$AB$1000,$U$5:$U$1000,ROW(),$V$5:$V$1000,"Sub"),$AB104)))</f>
        <v/>
      </c>
      <c r="AG104" s="62">
        <f>IF($V104&lt;&gt;"Macro","",IF(COUNTIFS($S$5:$S$1000,$S104,$V$5:$V$1000,"Macro",$H$5:$H$1000,"&gt;0")=0,1/COUNTIFS($S$5:$S$1000,$S104,$V$5:$V$1000,"Macro"),IF(AND(ISNUMBER($H104),N($H104)&gt;0),$H104,SUMIFS($H$5:$H$1000,$S$5:$S$1000,$S104,$V$5:$V$1000,"Macro")/COUNTIFS($S$5:$S$1000,$S104,$V$5:$V$1000,"Macro",$H$5:$H$1000,"&gt;0"))/(COUNTIFS($S$5:$S$1000,$S104,$V$5:$V$1000,"Macro")*SUMIFS($H$5:$H$1000,$S$5:$S$1000,$S104,$V$5:$V$1000,"Macro")/COUNTIFS($S$5:$S$1000,$S104,$V$5:$V$1000,"Macro",$H$5:$H$1000,"&gt;0"))))</f>
        <v/>
      </c>
      <c r="AH104" s="62" t="n"/>
      <c r="AI104" s="62" t="n"/>
      <c r="AJ104" s="62" t="n"/>
      <c r="AK104" s="62" t="n"/>
      <c r="AL104" s="62">
        <f>IF(LEFT($C104,11)="[Jefatura] ",IFERROR(MATCH("Asistente Técnico de Riesgo|"&amp;MID($C104,12,500),rDname_ADM,0),0),"")</f>
        <v/>
      </c>
      <c r="AM104" s="62">
        <f>IF(N($AL104)&gt;0,INDEX(rIni_ADM,$AL104),IF(ISNUMBER($E104),$E104,""))</f>
        <v/>
      </c>
      <c r="AN104" s="62">
        <f>IF(N($AL104)&gt;0,INDEX(rLim_ADM,$AL104),IF(ISNUMBER($F104),$F104,""))</f>
        <v/>
      </c>
    </row>
    <row r="105">
      <c r="A105" s="56">
        <f>IF(NOT((COUNTA($B105:$D105)+COUNTA($G105:$L105)+COUNTA($Q105))&gt;0),"",IF($V105="Macro",COUNTIFS($V$5:$V105,"Macro",$S$5:$S105,$S105),IF(N($U105)=0,"?",COUNTIFS(INDEX($V$5:$V$1000,1):INDEX($V$5:$V$1000,$U105-4),"Macro",INDEX($S$5:$S$1000,1):INDEX($S$5:$S$1000,$U105-4),INDEX($S$5:$S$1000,$U105-4))&amp;"."&amp;COUNTIFS($U$5:$U105,$U105,$V$5:$V105,"Sub"))))</f>
        <v/>
      </c>
      <c r="B105" s="57" t="n"/>
      <c r="C105" s="58" t="n"/>
      <c r="D105" s="58" t="n"/>
      <c r="E105" s="59">
        <f>IF(N($AL105)&gt;0,INDEX(rIni_ADM,$AL105),"")</f>
        <v/>
      </c>
      <c r="F105" s="59">
        <f>IF(N($AL105)&gt;0,INDEX(rLim_ADM,$AL105),"")</f>
        <v/>
      </c>
      <c r="G105" s="59" t="n"/>
      <c r="H105" s="60" t="n"/>
      <c r="I105" s="60" t="n"/>
      <c r="J105" s="60" t="n"/>
      <c r="K105" s="60" t="n"/>
      <c r="L105" s="60" t="n"/>
      <c r="M105" s="61">
        <f>IF(NOT((COUNTA($B105:$D105)+COUNTA($G105:$L105)+COUNTA($Q105))&gt;0),"",IF($V105="Sub",IFERROR($X105/INDEX($W$5:$W$1000,$U105-4),""),IF(ISNUMBER($G105),1,IF(N($W105)&gt;0,AVERAGEIFS($X$5:$X$1000,$U$5:$U$1000,ROW(),$V$5:$V$1000,"Sub"),$X105))))</f>
        <v/>
      </c>
      <c r="N105" s="56">
        <f>IF(OR($M105="",$V105="Sub"),"",IF($M105&gt;=1,"Completado",IF($M105&gt;0,"En curso","Pendiente")))</f>
        <v/>
      </c>
      <c r="O105" s="56">
        <f>IF(OR(NOT((COUNTA($B105:$D105)+COUNTA($G105:$L105)+COUNTA($Q105))&gt;0),$V105="Sub"),"",IF(ISNUMBER($G105),IF(AND(ISNUMBER($AN105),$G105&gt;$AN105),"Cumplida con "&amp;($G105-$AN105)&amp;IF($G105-$AN105=1," día"," días")&amp;" de retraso","Cumplida"),IF(N($M105)&gt;=1,"Cumplida",IF(NOT(ISNUMBER($AN105)),"Sin fecha límite",IF($AN105&lt;FechaRef,"Vencida hace "&amp;(FechaRef-$AN105)&amp;IF(FechaRef-$AN105=1," día"," días"),IF($AN105=FechaRef,"Vence hoy",IF($AN105-FechaRef&lt;=DiasAlerta,"Vence en "&amp;($AN105-FechaRef)&amp;IF($AN105-FechaRef=1," día"," días"),"En plazo")))))))</f>
        <v/>
      </c>
      <c r="P105" s="62" t="n"/>
      <c r="Q105" s="58" t="n"/>
      <c r="R105" s="63">
        <f>IF(NOT((COUNTA($B105:$D105)+COUNTA($G105:$L105)+COUNTA($Q105))&gt;0),"",IF((IF($C105="","Falta el nombre de la actividad"&amp;" · ","")&amp;IF(AND($V105="Sub",N($U105)=0),"Subactividad sin macroactividad arriba"&amp;" · ","")&amp;IF($AM105="","Sin fecha de inicio"&amp;" · ","")&amp;IF($AN105="","Sin fecha límite"&amp;" · ","")&amp;IF(AND(LEFT($C105,11)="[Jefatura] ",N($AL105)=0),"No se encuentra en la hoja de la jefatura (elíjala de nuevo en la lista)"&amp;" · ","")&amp;IF(OR(AND($E105&lt;&gt;"",NOT(ISNUMBER($E105))),AND($F105&lt;&gt;"",NOT(ISNUMBER($F105))),AND($G105&lt;&gt;"",NOT(ISNUMBER($G105)))),"Fecha no válida"&amp;" · ","")&amp;IF(AND(ISNUMBER($AM105),ISNUMBER($AN105),$AM105&gt;$AN105),"Inicio posterior a fecha límite"&amp;" · ","")&amp;IF(AND($V105="Macro",$H105&lt;&gt;"",OR(NOT(ISNUMBER($H105)),$H105&lt;0,$H105&gt;1)),"Peso fuera de rango"&amp;" · ","")&amp;IF(AND($V105="Sub",$H105&lt;&gt;""),"Las subactividades no llevan peso (valen igual dentro de su macroactividad)"&amp;" · ","")&amp;IF(AND(N($W105)&gt;0,COUNT($I105:$L105)&gt;0),"Con subactividades: deje vacías las semanas (se calculan solas)"&amp;" · ","")&amp;IF((COUNTIF($I105:$L105,"&gt;1")+COUNTIF($I105:$L105,"&lt;0")+COUNTA($I105:$L105)-COUNT($I105:$L105))&gt;0,"Avance fuera de rango 0-100%"&amp;" · ","")&amp;IF(OR(AND($J105&lt;&gt;"",$J105&lt;$I105),AND($K105&lt;&gt;"",$K105&lt;MAX($I105:$J105)),AND($L105&lt;&gt;"",$L105&lt;MAX($I105:$K105))),"Avance semanal decreciente"&amp;" · ","")&amp;IF(AND(ISNUMBER($AN105),$AN105&lt;FechaRef,IF($V105="Sub",N($X105),N($M105))&lt;1),"Vencida"&amp;" · ","")&amp;IF(AND(ObsObligatoria="Sí",ISNUMBER($AN105),$AN105&lt;FechaRef,IF($V105="Sub",N($X105),N($M105))&lt;1,$Q105=""),"Vencida sin observación"&amp;" · ",""))="","✔ OK","⚠ "&amp;LEFT(IF($C105="","Falta el nombre de la actividad"&amp;" · ","")&amp;IF(AND($V105="Sub",N($U105)=0),"Subactividad sin macroactividad arriba"&amp;" · ","")&amp;IF($AM105="","Sin fecha de inicio"&amp;" · ","")&amp;IF($AN105="","Sin fecha límite"&amp;" · ","")&amp;IF(AND(LEFT($C105,11)="[Jefatura] ",N($AL105)=0),"No se encuentra en la hoja de la jefatura (elíjala de nuevo en la lista)"&amp;" · ","")&amp;IF(OR(AND($E105&lt;&gt;"",NOT(ISNUMBER($E105))),AND($F105&lt;&gt;"",NOT(ISNUMBER($F105))),AND($G105&lt;&gt;"",NOT(ISNUMBER($G105)))),"Fecha no válida"&amp;" · ","")&amp;IF(AND(ISNUMBER($AM105),ISNUMBER($AN105),$AM105&gt;$AN105),"Inicio posterior a fecha límite"&amp;" · ","")&amp;IF(AND($V105="Macro",$H105&lt;&gt;"",OR(NOT(ISNUMBER($H105)),$H105&lt;0,$H105&gt;1)),"Peso fuera de rango"&amp;" · ","")&amp;IF(AND($V105="Sub",$H105&lt;&gt;""),"Las subactividades no llevan peso (valen igual dentro de su macroactividad)"&amp;" · ","")&amp;IF(AND(N($W105)&gt;0,COUNT($I105:$L105)&gt;0),"Con subactividades: deje vacías las semanas (se calculan solas)"&amp;" · ","")&amp;IF((COUNTIF($I105:$L105,"&gt;1")+COUNTIF($I105:$L105,"&lt;0")+COUNTA($I105:$L105)-COUNT($I105:$L105))&gt;0,"Avance fuera de rango 0-100%"&amp;" · ","")&amp;IF(OR(AND($J105&lt;&gt;"",$J105&lt;$I105),AND($K105&lt;&gt;"",$K105&lt;MAX($I105:$J105)),AND($L105&lt;&gt;"",$L105&lt;MAX($I105:$K105))),"Avance semanal decreciente"&amp;" · ","")&amp;IF(AND(ISNUMBER($AN105),$AN105&lt;FechaRef,IF($V105="Sub",N($X105),N($M105))&lt;1),"Vencida"&amp;" · ","")&amp;IF(AND(ObsObligatoria="Sí",ISNUMBER($AN105),$AN105&lt;FechaRef,IF($V105="Sub",N($X105),N($M105))&lt;1,$Q105=""),"Vencida sin observación"&amp;" · ",""),LEN(IF($C105="","Falta el nombre de la actividad"&amp;" · ","")&amp;IF(AND($V105="Sub",N($U105)=0),"Subactividad sin macroactividad arriba"&amp;" · ","")&amp;IF($AM105="","Sin fecha de inicio"&amp;" · ","")&amp;IF($AN105="","Sin fecha límite"&amp;" · ","")&amp;IF(AND(LEFT($C105,11)="[Jefatura] ",N($AL105)=0),"No se encuentra en la hoja de la jefatura (elíjala de nuevo en la lista)"&amp;" · ","")&amp;IF(OR(AND($E105&lt;&gt;"",NOT(ISNUMBER($E105))),AND($F105&lt;&gt;"",NOT(ISNUMBER($F105))),AND($G105&lt;&gt;"",NOT(ISNUMBER($G105)))),"Fecha no válida"&amp;" · ","")&amp;IF(AND(ISNUMBER($AM105),ISNUMBER($AN105),$AM105&gt;$AN105),"Inicio posterior a fecha límite"&amp;" · ","")&amp;IF(AND($V105="Macro",$H105&lt;&gt;"",OR(NOT(ISNUMBER($H105)),$H105&lt;0,$H105&gt;1)),"Peso fuera de rango"&amp;" · ","")&amp;IF(AND($V105="Sub",$H105&lt;&gt;""),"Las subactividades no llevan peso (valen igual dentro de su macroactividad)"&amp;" · ","")&amp;IF(AND(N($W105)&gt;0,COUNT($I105:$L105)&gt;0),"Con subactividades: deje vacías las semanas (se calculan solas)"&amp;" · ","")&amp;IF((COUNTIF($I105:$L105,"&gt;1")+COUNTIF($I105:$L105,"&lt;0")+COUNTA($I105:$L105)-COUNT($I105:$L105))&gt;0,"Avance fuera de rango 0-100%"&amp;" · ","")&amp;IF(OR(AND($J105&lt;&gt;"",$J105&lt;$I105),AND($K105&lt;&gt;"",$K105&lt;MAX($I105:$J105)),AND($L105&lt;&gt;"",$L105&lt;MAX($I105:$K105))),"Avance semanal decreciente"&amp;" · ","")&amp;IF(AND(ISNUMBER($AN105),$AN105&lt;FechaRef,IF($V105="Sub",N($X105),N($M105))&lt;1),"Vencida"&amp;" · ","")&amp;IF(AND(ObsObligatoria="Sí",ISNUMBER($AN105),$AN105&lt;FechaRef,IF($V105="Sub",N($X105),N($M105))&lt;1,$Q105=""),"Vencida sin observación"&amp;" · ",""))-3)))</f>
        <v/>
      </c>
      <c r="S105" s="64">
        <f>IF(NOT((COUNTA($B105:$D105)+COUNTA($G105:$L105)+COUNTA($Q105))&gt;0),"",IF(AND($V105="Sub",N($U105)&gt;0),IF(ISNUMBER(INDEX($AM$5:$AM$1000,$U105-4)),DATE(YEAR(INDEX($AM$5:$AM$1000,$U105-4)),MONTH(INDEX($AM$5:$AM$1000,$U105-4)),1),IF(ISNUMBER(INDEX($AN$5:$AN$1000,$U105-4)),DATE(YEAR(INDEX($AN$5:$AN$1000,$U105-4)),MONTH(INDEX($AN$5:$AN$1000,$U105-4)),1),MesCiclo)),IF(ISNUMBER($AM105),DATE(YEAR($AM105),MONTH($AM105),1),IF(ISNUMBER($AN105),DATE(YEAR($AN105),MONTH($AN105),1),MesCiclo))))</f>
        <v/>
      </c>
      <c r="T105" s="62">
        <f>IF(OR($S105="",$S105&lt;&gt;MesCiclo,$V105&lt;&gt;"Macro"),"",COUNTIFS($S$5:$S105,MesCiclo,$V$5:$V105,"Macro"))</f>
        <v/>
      </c>
      <c r="U105" s="62">
        <f>IF($V105="","",IF($V105="Macro",ROW(),IFERROR(LOOKUP(2,1/($V$5:$V105="Macro"),ROW($V$5:$V105)),0)))</f>
        <v/>
      </c>
      <c r="V105" s="62">
        <f>IF(NOT((COUNTA($B105:$D105)+COUNTA($G105:$L105)+COUNTA($Q105))&gt;0),"",IF($B105="Subactividad","Sub","Macro"))</f>
        <v/>
      </c>
      <c r="W105" s="62">
        <f>IF($V105="Macro",COUNTIFS($U$5:$U$1000,ROW(),$V$5:$V$1000,"Sub"),"")</f>
        <v/>
      </c>
      <c r="X105" s="62">
        <f>IF($V105="","",IF(ISNUMBER($G105),1,IFERROR(LOOKUP(2,1/($I105:$L105&lt;&gt;""),$I105:$L105),0)))</f>
        <v/>
      </c>
      <c r="Y105" s="62">
        <f>IF($V105="","",IF(AND(ISNUMBER($G105),$G105&lt;=IF($S105=MesCiclo,InicioCiclo,$S105+MOD(2-WEEKDAY($S105),7))+6),1,IF(ISNUMBER($I105),$I105,0)))</f>
        <v/>
      </c>
      <c r="Z105" s="62">
        <f>IF($V105="","",IF(AND(ISNUMBER($G105),$G105&lt;=IF($S105=MesCiclo,InicioCiclo,$S105+MOD(2-WEEKDAY($S105),7))+13),1,IF(ISNUMBER($J105),$J105,$Y105)))</f>
        <v/>
      </c>
      <c r="AA105" s="62">
        <f>IF($V105="","",IF(AND(ISNUMBER($G105),$G105&lt;=IF($S105=MesCiclo,InicioCiclo,$S105+MOD(2-WEEKDAY($S105),7))+20),1,IF(ISNUMBER($K105),$K105,$Z105)))</f>
        <v/>
      </c>
      <c r="AB105" s="62">
        <f>IF($V105="","",IF(AND(ISNUMBER($G105),$G105&lt;=IF($S105=MesCiclo,InicioCiclo,$S105+MOD(2-WEEKDAY($S105),7))+27),1,IF(ISNUMBER($L105),$L105,$AA105)))</f>
        <v/>
      </c>
      <c r="AC105" s="62">
        <f>IF($V105="","",IF(AND(ISNUMBER($G105),$G105&lt;=IF($S105=MesCiclo,InicioCiclo,$S105+MOD(2-WEEKDAY($S105),7))+6),1,IF(N($W105)&gt;0,AVERAGEIFS($Y$5:$Y$1000,$U$5:$U$1000,ROW(),$V$5:$V$1000,"Sub"),$Y105)))</f>
        <v/>
      </c>
      <c r="AD105" s="62">
        <f>IF($V105="","",IF(AND(ISNUMBER($G105),$G105&lt;=IF($S105=MesCiclo,InicioCiclo,$S105+MOD(2-WEEKDAY($S105),7))+13),1,IF(N($W105)&gt;0,AVERAGEIFS($Z$5:$Z$1000,$U$5:$U$1000,ROW(),$V$5:$V$1000,"Sub"),$Z105)))</f>
        <v/>
      </c>
      <c r="AE105" s="62">
        <f>IF($V105="","",IF(AND(ISNUMBER($G105),$G105&lt;=IF($S105=MesCiclo,InicioCiclo,$S105+MOD(2-WEEKDAY($S105),7))+20),1,IF(N($W105)&gt;0,AVERAGEIFS($AA$5:$AA$1000,$U$5:$U$1000,ROW(),$V$5:$V$1000,"Sub"),$AA105)))</f>
        <v/>
      </c>
      <c r="AF105" s="62">
        <f>IF($V105="","",IF(AND(ISNUMBER($G105),$G105&lt;=IF($S105=MesCiclo,InicioCiclo,$S105+MOD(2-WEEKDAY($S105),7))+27),1,IF(N($W105)&gt;0,AVERAGEIFS($AB$5:$AB$1000,$U$5:$U$1000,ROW(),$V$5:$V$1000,"Sub"),$AB105)))</f>
        <v/>
      </c>
      <c r="AG105" s="62">
        <f>IF($V105&lt;&gt;"Macro","",IF(COUNTIFS($S$5:$S$1000,$S105,$V$5:$V$1000,"Macro",$H$5:$H$1000,"&gt;0")=0,1/COUNTIFS($S$5:$S$1000,$S105,$V$5:$V$1000,"Macro"),IF(AND(ISNUMBER($H105),N($H105)&gt;0),$H105,SUMIFS($H$5:$H$1000,$S$5:$S$1000,$S105,$V$5:$V$1000,"Macro")/COUNTIFS($S$5:$S$1000,$S105,$V$5:$V$1000,"Macro",$H$5:$H$1000,"&gt;0"))/(COUNTIFS($S$5:$S$1000,$S105,$V$5:$V$1000,"Macro")*SUMIFS($H$5:$H$1000,$S$5:$S$1000,$S105,$V$5:$V$1000,"Macro")/COUNTIFS($S$5:$S$1000,$S105,$V$5:$V$1000,"Macro",$H$5:$H$1000,"&gt;0"))))</f>
        <v/>
      </c>
      <c r="AH105" s="62" t="n"/>
      <c r="AI105" s="62" t="n"/>
      <c r="AJ105" s="62" t="n"/>
      <c r="AK105" s="62" t="n"/>
      <c r="AL105" s="62">
        <f>IF(LEFT($C105,11)="[Jefatura] ",IFERROR(MATCH("Asistente Técnico de Riesgo|"&amp;MID($C105,12,500),rDname_ADM,0),0),"")</f>
        <v/>
      </c>
      <c r="AM105" s="62">
        <f>IF(N($AL105)&gt;0,INDEX(rIni_ADM,$AL105),IF(ISNUMBER($E105),$E105,""))</f>
        <v/>
      </c>
      <c r="AN105" s="62">
        <f>IF(N($AL105)&gt;0,INDEX(rLim_ADM,$AL105),IF(ISNUMBER($F105),$F105,""))</f>
        <v/>
      </c>
    </row>
    <row r="106">
      <c r="A106" s="56">
        <f>IF(NOT((COUNTA($B106:$D106)+COUNTA($G106:$L106)+COUNTA($Q106))&gt;0),"",IF($V106="Macro",COUNTIFS($V$5:$V106,"Macro",$S$5:$S106,$S106),IF(N($U106)=0,"?",COUNTIFS(INDEX($V$5:$V$1000,1):INDEX($V$5:$V$1000,$U106-4),"Macro",INDEX($S$5:$S$1000,1):INDEX($S$5:$S$1000,$U106-4),INDEX($S$5:$S$1000,$U106-4))&amp;"."&amp;COUNTIFS($U$5:$U106,$U106,$V$5:$V106,"Sub"))))</f>
        <v/>
      </c>
      <c r="B106" s="57" t="n"/>
      <c r="C106" s="58" t="n"/>
      <c r="D106" s="58" t="n"/>
      <c r="E106" s="59">
        <f>IF(N($AL106)&gt;0,INDEX(rIni_ADM,$AL106),"")</f>
        <v/>
      </c>
      <c r="F106" s="59">
        <f>IF(N($AL106)&gt;0,INDEX(rLim_ADM,$AL106),"")</f>
        <v/>
      </c>
      <c r="G106" s="59" t="n"/>
      <c r="H106" s="60" t="n"/>
      <c r="I106" s="60" t="n"/>
      <c r="J106" s="60" t="n"/>
      <c r="K106" s="60" t="n"/>
      <c r="L106" s="60" t="n"/>
      <c r="M106" s="61">
        <f>IF(NOT((COUNTA($B106:$D106)+COUNTA($G106:$L106)+COUNTA($Q106))&gt;0),"",IF($V106="Sub",IFERROR($X106/INDEX($W$5:$W$1000,$U106-4),""),IF(ISNUMBER($G106),1,IF(N($W106)&gt;0,AVERAGEIFS($X$5:$X$1000,$U$5:$U$1000,ROW(),$V$5:$V$1000,"Sub"),$X106))))</f>
        <v/>
      </c>
      <c r="N106" s="56">
        <f>IF(OR($M106="",$V106="Sub"),"",IF($M106&gt;=1,"Completado",IF($M106&gt;0,"En curso","Pendiente")))</f>
        <v/>
      </c>
      <c r="O106" s="56">
        <f>IF(OR(NOT((COUNTA($B106:$D106)+COUNTA($G106:$L106)+COUNTA($Q106))&gt;0),$V106="Sub"),"",IF(ISNUMBER($G106),IF(AND(ISNUMBER($AN106),$G106&gt;$AN106),"Cumplida con "&amp;($G106-$AN106)&amp;IF($G106-$AN106=1," día"," días")&amp;" de retraso","Cumplida"),IF(N($M106)&gt;=1,"Cumplida",IF(NOT(ISNUMBER($AN106)),"Sin fecha límite",IF($AN106&lt;FechaRef,"Vencida hace "&amp;(FechaRef-$AN106)&amp;IF(FechaRef-$AN106=1," día"," días"),IF($AN106=FechaRef,"Vence hoy",IF($AN106-FechaRef&lt;=DiasAlerta,"Vence en "&amp;($AN106-FechaRef)&amp;IF($AN106-FechaRef=1," día"," días"),"En plazo")))))))</f>
        <v/>
      </c>
      <c r="P106" s="62" t="n"/>
      <c r="Q106" s="58" t="n"/>
      <c r="R106" s="63">
        <f>IF(NOT((COUNTA($B106:$D106)+COUNTA($G106:$L106)+COUNTA($Q106))&gt;0),"",IF((IF($C106="","Falta el nombre de la actividad"&amp;" · ","")&amp;IF(AND($V106="Sub",N($U106)=0),"Subactividad sin macroactividad arriba"&amp;" · ","")&amp;IF($AM106="","Sin fecha de inicio"&amp;" · ","")&amp;IF($AN106="","Sin fecha límite"&amp;" · ","")&amp;IF(AND(LEFT($C106,11)="[Jefatura] ",N($AL106)=0),"No se encuentra en la hoja de la jefatura (elíjala de nuevo en la lista)"&amp;" · ","")&amp;IF(OR(AND($E106&lt;&gt;"",NOT(ISNUMBER($E106))),AND($F106&lt;&gt;"",NOT(ISNUMBER($F106))),AND($G106&lt;&gt;"",NOT(ISNUMBER($G106)))),"Fecha no válida"&amp;" · ","")&amp;IF(AND(ISNUMBER($AM106),ISNUMBER($AN106),$AM106&gt;$AN106),"Inicio posterior a fecha límite"&amp;" · ","")&amp;IF(AND($V106="Macro",$H106&lt;&gt;"",OR(NOT(ISNUMBER($H106)),$H106&lt;0,$H106&gt;1)),"Peso fuera de rango"&amp;" · ","")&amp;IF(AND($V106="Sub",$H106&lt;&gt;""),"Las subactividades no llevan peso (valen igual dentro de su macroactividad)"&amp;" · ","")&amp;IF(AND(N($W106)&gt;0,COUNT($I106:$L106)&gt;0),"Con subactividades: deje vacías las semanas (se calculan solas)"&amp;" · ","")&amp;IF((COUNTIF($I106:$L106,"&gt;1")+COUNTIF($I106:$L106,"&lt;0")+COUNTA($I106:$L106)-COUNT($I106:$L106))&gt;0,"Avance fuera de rango 0-100%"&amp;" · ","")&amp;IF(OR(AND($J106&lt;&gt;"",$J106&lt;$I106),AND($K106&lt;&gt;"",$K106&lt;MAX($I106:$J106)),AND($L106&lt;&gt;"",$L106&lt;MAX($I106:$K106))),"Avance semanal decreciente"&amp;" · ","")&amp;IF(AND(ISNUMBER($AN106),$AN106&lt;FechaRef,IF($V106="Sub",N($X106),N($M106))&lt;1),"Vencida"&amp;" · ","")&amp;IF(AND(ObsObligatoria="Sí",ISNUMBER($AN106),$AN106&lt;FechaRef,IF($V106="Sub",N($X106),N($M106))&lt;1,$Q106=""),"Vencida sin observación"&amp;" · ",""))="","✔ OK","⚠ "&amp;LEFT(IF($C106="","Falta el nombre de la actividad"&amp;" · ","")&amp;IF(AND($V106="Sub",N($U106)=0),"Subactividad sin macroactividad arriba"&amp;" · ","")&amp;IF($AM106="","Sin fecha de inicio"&amp;" · ","")&amp;IF($AN106="","Sin fecha límite"&amp;" · ","")&amp;IF(AND(LEFT($C106,11)="[Jefatura] ",N($AL106)=0),"No se encuentra en la hoja de la jefatura (elíjala de nuevo en la lista)"&amp;" · ","")&amp;IF(OR(AND($E106&lt;&gt;"",NOT(ISNUMBER($E106))),AND($F106&lt;&gt;"",NOT(ISNUMBER($F106))),AND($G106&lt;&gt;"",NOT(ISNUMBER($G106)))),"Fecha no válida"&amp;" · ","")&amp;IF(AND(ISNUMBER($AM106),ISNUMBER($AN106),$AM106&gt;$AN106),"Inicio posterior a fecha límite"&amp;" · ","")&amp;IF(AND($V106="Macro",$H106&lt;&gt;"",OR(NOT(ISNUMBER($H106)),$H106&lt;0,$H106&gt;1)),"Peso fuera de rango"&amp;" · ","")&amp;IF(AND($V106="Sub",$H106&lt;&gt;""),"Las subactividades no llevan peso (valen igual dentro de su macroactividad)"&amp;" · ","")&amp;IF(AND(N($W106)&gt;0,COUNT($I106:$L106)&gt;0),"Con subactividades: deje vacías las semanas (se calculan solas)"&amp;" · ","")&amp;IF((COUNTIF($I106:$L106,"&gt;1")+COUNTIF($I106:$L106,"&lt;0")+COUNTA($I106:$L106)-COUNT($I106:$L106))&gt;0,"Avance fuera de rango 0-100%"&amp;" · ","")&amp;IF(OR(AND($J106&lt;&gt;"",$J106&lt;$I106),AND($K106&lt;&gt;"",$K106&lt;MAX($I106:$J106)),AND($L106&lt;&gt;"",$L106&lt;MAX($I106:$K106))),"Avance semanal decreciente"&amp;" · ","")&amp;IF(AND(ISNUMBER($AN106),$AN106&lt;FechaRef,IF($V106="Sub",N($X106),N($M106))&lt;1),"Vencida"&amp;" · ","")&amp;IF(AND(ObsObligatoria="Sí",ISNUMBER($AN106),$AN106&lt;FechaRef,IF($V106="Sub",N($X106),N($M106))&lt;1,$Q106=""),"Vencida sin observación"&amp;" · ",""),LEN(IF($C106="","Falta el nombre de la actividad"&amp;" · ","")&amp;IF(AND($V106="Sub",N($U106)=0),"Subactividad sin macroactividad arriba"&amp;" · ","")&amp;IF($AM106="","Sin fecha de inicio"&amp;" · ","")&amp;IF($AN106="","Sin fecha límite"&amp;" · ","")&amp;IF(AND(LEFT($C106,11)="[Jefatura] ",N($AL106)=0),"No se encuentra en la hoja de la jefatura (elíjala de nuevo en la lista)"&amp;" · ","")&amp;IF(OR(AND($E106&lt;&gt;"",NOT(ISNUMBER($E106))),AND($F106&lt;&gt;"",NOT(ISNUMBER($F106))),AND($G106&lt;&gt;"",NOT(ISNUMBER($G106)))),"Fecha no válida"&amp;" · ","")&amp;IF(AND(ISNUMBER($AM106),ISNUMBER($AN106),$AM106&gt;$AN106),"Inicio posterior a fecha límite"&amp;" · ","")&amp;IF(AND($V106="Macro",$H106&lt;&gt;"",OR(NOT(ISNUMBER($H106)),$H106&lt;0,$H106&gt;1)),"Peso fuera de rango"&amp;" · ","")&amp;IF(AND($V106="Sub",$H106&lt;&gt;""),"Las subactividades no llevan peso (valen igual dentro de su macroactividad)"&amp;" · ","")&amp;IF(AND(N($W106)&gt;0,COUNT($I106:$L106)&gt;0),"Con subactividades: deje vacías las semanas (se calculan solas)"&amp;" · ","")&amp;IF((COUNTIF($I106:$L106,"&gt;1")+COUNTIF($I106:$L106,"&lt;0")+COUNTA($I106:$L106)-COUNT($I106:$L106))&gt;0,"Avance fuera de rango 0-100%"&amp;" · ","")&amp;IF(OR(AND($J106&lt;&gt;"",$J106&lt;$I106),AND($K106&lt;&gt;"",$K106&lt;MAX($I106:$J106)),AND($L106&lt;&gt;"",$L106&lt;MAX($I106:$K106))),"Avance semanal decreciente"&amp;" · ","")&amp;IF(AND(ISNUMBER($AN106),$AN106&lt;FechaRef,IF($V106="Sub",N($X106),N($M106))&lt;1),"Vencida"&amp;" · ","")&amp;IF(AND(ObsObligatoria="Sí",ISNUMBER($AN106),$AN106&lt;FechaRef,IF($V106="Sub",N($X106),N($M106))&lt;1,$Q106=""),"Vencida sin observación"&amp;" · ",""))-3)))</f>
        <v/>
      </c>
      <c r="S106" s="64">
        <f>IF(NOT((COUNTA($B106:$D106)+COUNTA($G106:$L106)+COUNTA($Q106))&gt;0),"",IF(AND($V106="Sub",N($U106)&gt;0),IF(ISNUMBER(INDEX($AM$5:$AM$1000,$U106-4)),DATE(YEAR(INDEX($AM$5:$AM$1000,$U106-4)),MONTH(INDEX($AM$5:$AM$1000,$U106-4)),1),IF(ISNUMBER(INDEX($AN$5:$AN$1000,$U106-4)),DATE(YEAR(INDEX($AN$5:$AN$1000,$U106-4)),MONTH(INDEX($AN$5:$AN$1000,$U106-4)),1),MesCiclo)),IF(ISNUMBER($AM106),DATE(YEAR($AM106),MONTH($AM106),1),IF(ISNUMBER($AN106),DATE(YEAR($AN106),MONTH($AN106),1),MesCiclo))))</f>
        <v/>
      </c>
      <c r="T106" s="62">
        <f>IF(OR($S106="",$S106&lt;&gt;MesCiclo,$V106&lt;&gt;"Macro"),"",COUNTIFS($S$5:$S106,MesCiclo,$V$5:$V106,"Macro"))</f>
        <v/>
      </c>
      <c r="U106" s="62">
        <f>IF($V106="","",IF($V106="Macro",ROW(),IFERROR(LOOKUP(2,1/($V$5:$V106="Macro"),ROW($V$5:$V106)),0)))</f>
        <v/>
      </c>
      <c r="V106" s="62">
        <f>IF(NOT((COUNTA($B106:$D106)+COUNTA($G106:$L106)+COUNTA($Q106))&gt;0),"",IF($B106="Subactividad","Sub","Macro"))</f>
        <v/>
      </c>
      <c r="W106" s="62">
        <f>IF($V106="Macro",COUNTIFS($U$5:$U$1000,ROW(),$V$5:$V$1000,"Sub"),"")</f>
        <v/>
      </c>
      <c r="X106" s="62">
        <f>IF($V106="","",IF(ISNUMBER($G106),1,IFERROR(LOOKUP(2,1/($I106:$L106&lt;&gt;""),$I106:$L106),0)))</f>
        <v/>
      </c>
      <c r="Y106" s="62">
        <f>IF($V106="","",IF(AND(ISNUMBER($G106),$G106&lt;=IF($S106=MesCiclo,InicioCiclo,$S106+MOD(2-WEEKDAY($S106),7))+6),1,IF(ISNUMBER($I106),$I106,0)))</f>
        <v/>
      </c>
      <c r="Z106" s="62">
        <f>IF($V106="","",IF(AND(ISNUMBER($G106),$G106&lt;=IF($S106=MesCiclo,InicioCiclo,$S106+MOD(2-WEEKDAY($S106),7))+13),1,IF(ISNUMBER($J106),$J106,$Y106)))</f>
        <v/>
      </c>
      <c r="AA106" s="62">
        <f>IF($V106="","",IF(AND(ISNUMBER($G106),$G106&lt;=IF($S106=MesCiclo,InicioCiclo,$S106+MOD(2-WEEKDAY($S106),7))+20),1,IF(ISNUMBER($K106),$K106,$Z106)))</f>
        <v/>
      </c>
      <c r="AB106" s="62">
        <f>IF($V106="","",IF(AND(ISNUMBER($G106),$G106&lt;=IF($S106=MesCiclo,InicioCiclo,$S106+MOD(2-WEEKDAY($S106),7))+27),1,IF(ISNUMBER($L106),$L106,$AA106)))</f>
        <v/>
      </c>
      <c r="AC106" s="62">
        <f>IF($V106="","",IF(AND(ISNUMBER($G106),$G106&lt;=IF($S106=MesCiclo,InicioCiclo,$S106+MOD(2-WEEKDAY($S106),7))+6),1,IF(N($W106)&gt;0,AVERAGEIFS($Y$5:$Y$1000,$U$5:$U$1000,ROW(),$V$5:$V$1000,"Sub"),$Y106)))</f>
        <v/>
      </c>
      <c r="AD106" s="62">
        <f>IF($V106="","",IF(AND(ISNUMBER($G106),$G106&lt;=IF($S106=MesCiclo,InicioCiclo,$S106+MOD(2-WEEKDAY($S106),7))+13),1,IF(N($W106)&gt;0,AVERAGEIFS($Z$5:$Z$1000,$U$5:$U$1000,ROW(),$V$5:$V$1000,"Sub"),$Z106)))</f>
        <v/>
      </c>
      <c r="AE106" s="62">
        <f>IF($V106="","",IF(AND(ISNUMBER($G106),$G106&lt;=IF($S106=MesCiclo,InicioCiclo,$S106+MOD(2-WEEKDAY($S106),7))+20),1,IF(N($W106)&gt;0,AVERAGEIFS($AA$5:$AA$1000,$U$5:$U$1000,ROW(),$V$5:$V$1000,"Sub"),$AA106)))</f>
        <v/>
      </c>
      <c r="AF106" s="62">
        <f>IF($V106="","",IF(AND(ISNUMBER($G106),$G106&lt;=IF($S106=MesCiclo,InicioCiclo,$S106+MOD(2-WEEKDAY($S106),7))+27),1,IF(N($W106)&gt;0,AVERAGEIFS($AB$5:$AB$1000,$U$5:$U$1000,ROW(),$V$5:$V$1000,"Sub"),$AB106)))</f>
        <v/>
      </c>
      <c r="AG106" s="62">
        <f>IF($V106&lt;&gt;"Macro","",IF(COUNTIFS($S$5:$S$1000,$S106,$V$5:$V$1000,"Macro",$H$5:$H$1000,"&gt;0")=0,1/COUNTIFS($S$5:$S$1000,$S106,$V$5:$V$1000,"Macro"),IF(AND(ISNUMBER($H106),N($H106)&gt;0),$H106,SUMIFS($H$5:$H$1000,$S$5:$S$1000,$S106,$V$5:$V$1000,"Macro")/COUNTIFS($S$5:$S$1000,$S106,$V$5:$V$1000,"Macro",$H$5:$H$1000,"&gt;0"))/(COUNTIFS($S$5:$S$1000,$S106,$V$5:$V$1000,"Macro")*SUMIFS($H$5:$H$1000,$S$5:$S$1000,$S106,$V$5:$V$1000,"Macro")/COUNTIFS($S$5:$S$1000,$S106,$V$5:$V$1000,"Macro",$H$5:$H$1000,"&gt;0"))))</f>
        <v/>
      </c>
      <c r="AH106" s="62" t="n"/>
      <c r="AI106" s="62" t="n"/>
      <c r="AJ106" s="62" t="n"/>
      <c r="AK106" s="62" t="n"/>
      <c r="AL106" s="62">
        <f>IF(LEFT($C106,11)="[Jefatura] ",IFERROR(MATCH("Asistente Técnico de Riesgo|"&amp;MID($C106,12,500),rDname_ADM,0),0),"")</f>
        <v/>
      </c>
      <c r="AM106" s="62">
        <f>IF(N($AL106)&gt;0,INDEX(rIni_ADM,$AL106),IF(ISNUMBER($E106),$E106,""))</f>
        <v/>
      </c>
      <c r="AN106" s="62">
        <f>IF(N($AL106)&gt;0,INDEX(rLim_ADM,$AL106),IF(ISNUMBER($F106),$F106,""))</f>
        <v/>
      </c>
    </row>
    <row r="107">
      <c r="A107" s="56">
        <f>IF(NOT((COUNTA($B107:$D107)+COUNTA($G107:$L107)+COUNTA($Q107))&gt;0),"",IF($V107="Macro",COUNTIFS($V$5:$V107,"Macro",$S$5:$S107,$S107),IF(N($U107)=0,"?",COUNTIFS(INDEX($V$5:$V$1000,1):INDEX($V$5:$V$1000,$U107-4),"Macro",INDEX($S$5:$S$1000,1):INDEX($S$5:$S$1000,$U107-4),INDEX($S$5:$S$1000,$U107-4))&amp;"."&amp;COUNTIFS($U$5:$U107,$U107,$V$5:$V107,"Sub"))))</f>
        <v/>
      </c>
      <c r="B107" s="57" t="n"/>
      <c r="C107" s="58" t="n"/>
      <c r="D107" s="58" t="n"/>
      <c r="E107" s="59">
        <f>IF(N($AL107)&gt;0,INDEX(rIni_ADM,$AL107),"")</f>
        <v/>
      </c>
      <c r="F107" s="59">
        <f>IF(N($AL107)&gt;0,INDEX(rLim_ADM,$AL107),"")</f>
        <v/>
      </c>
      <c r="G107" s="59" t="n"/>
      <c r="H107" s="60" t="n"/>
      <c r="I107" s="60" t="n"/>
      <c r="J107" s="60" t="n"/>
      <c r="K107" s="60" t="n"/>
      <c r="L107" s="60" t="n"/>
      <c r="M107" s="61">
        <f>IF(NOT((COUNTA($B107:$D107)+COUNTA($G107:$L107)+COUNTA($Q107))&gt;0),"",IF($V107="Sub",IFERROR($X107/INDEX($W$5:$W$1000,$U107-4),""),IF(ISNUMBER($G107),1,IF(N($W107)&gt;0,AVERAGEIFS($X$5:$X$1000,$U$5:$U$1000,ROW(),$V$5:$V$1000,"Sub"),$X107))))</f>
        <v/>
      </c>
      <c r="N107" s="56">
        <f>IF(OR($M107="",$V107="Sub"),"",IF($M107&gt;=1,"Completado",IF($M107&gt;0,"En curso","Pendiente")))</f>
        <v/>
      </c>
      <c r="O107" s="56">
        <f>IF(OR(NOT((COUNTA($B107:$D107)+COUNTA($G107:$L107)+COUNTA($Q107))&gt;0),$V107="Sub"),"",IF(ISNUMBER($G107),IF(AND(ISNUMBER($AN107),$G107&gt;$AN107),"Cumplida con "&amp;($G107-$AN107)&amp;IF($G107-$AN107=1," día"," días")&amp;" de retraso","Cumplida"),IF(N($M107)&gt;=1,"Cumplida",IF(NOT(ISNUMBER($AN107)),"Sin fecha límite",IF($AN107&lt;FechaRef,"Vencida hace "&amp;(FechaRef-$AN107)&amp;IF(FechaRef-$AN107=1," día"," días"),IF($AN107=FechaRef,"Vence hoy",IF($AN107-FechaRef&lt;=DiasAlerta,"Vence en "&amp;($AN107-FechaRef)&amp;IF($AN107-FechaRef=1," día"," días"),"En plazo")))))))</f>
        <v/>
      </c>
      <c r="P107" s="62" t="n"/>
      <c r="Q107" s="58" t="n"/>
      <c r="R107" s="63">
        <f>IF(NOT((COUNTA($B107:$D107)+COUNTA($G107:$L107)+COUNTA($Q107))&gt;0),"",IF((IF($C107="","Falta el nombre de la actividad"&amp;" · ","")&amp;IF(AND($V107="Sub",N($U107)=0),"Subactividad sin macroactividad arriba"&amp;" · ","")&amp;IF($AM107="","Sin fecha de inicio"&amp;" · ","")&amp;IF($AN107="","Sin fecha límite"&amp;" · ","")&amp;IF(AND(LEFT($C107,11)="[Jefatura] ",N($AL107)=0),"No se encuentra en la hoja de la jefatura (elíjala de nuevo en la lista)"&amp;" · ","")&amp;IF(OR(AND($E107&lt;&gt;"",NOT(ISNUMBER($E107))),AND($F107&lt;&gt;"",NOT(ISNUMBER($F107))),AND($G107&lt;&gt;"",NOT(ISNUMBER($G107)))),"Fecha no válida"&amp;" · ","")&amp;IF(AND(ISNUMBER($AM107),ISNUMBER($AN107),$AM107&gt;$AN107),"Inicio posterior a fecha límite"&amp;" · ","")&amp;IF(AND($V107="Macro",$H107&lt;&gt;"",OR(NOT(ISNUMBER($H107)),$H107&lt;0,$H107&gt;1)),"Peso fuera de rango"&amp;" · ","")&amp;IF(AND($V107="Sub",$H107&lt;&gt;""),"Las subactividades no llevan peso (valen igual dentro de su macroactividad)"&amp;" · ","")&amp;IF(AND(N($W107)&gt;0,COUNT($I107:$L107)&gt;0),"Con subactividades: deje vacías las semanas (se calculan solas)"&amp;" · ","")&amp;IF((COUNTIF($I107:$L107,"&gt;1")+COUNTIF($I107:$L107,"&lt;0")+COUNTA($I107:$L107)-COUNT($I107:$L107))&gt;0,"Avance fuera de rango 0-100%"&amp;" · ","")&amp;IF(OR(AND($J107&lt;&gt;"",$J107&lt;$I107),AND($K107&lt;&gt;"",$K107&lt;MAX($I107:$J107)),AND($L107&lt;&gt;"",$L107&lt;MAX($I107:$K107))),"Avance semanal decreciente"&amp;" · ","")&amp;IF(AND(ISNUMBER($AN107),$AN107&lt;FechaRef,IF($V107="Sub",N($X107),N($M107))&lt;1),"Vencida"&amp;" · ","")&amp;IF(AND(ObsObligatoria="Sí",ISNUMBER($AN107),$AN107&lt;FechaRef,IF($V107="Sub",N($X107),N($M107))&lt;1,$Q107=""),"Vencida sin observación"&amp;" · ",""))="","✔ OK","⚠ "&amp;LEFT(IF($C107="","Falta el nombre de la actividad"&amp;" · ","")&amp;IF(AND($V107="Sub",N($U107)=0),"Subactividad sin macroactividad arriba"&amp;" · ","")&amp;IF($AM107="","Sin fecha de inicio"&amp;" · ","")&amp;IF($AN107="","Sin fecha límite"&amp;" · ","")&amp;IF(AND(LEFT($C107,11)="[Jefatura] ",N($AL107)=0),"No se encuentra en la hoja de la jefatura (elíjala de nuevo en la lista)"&amp;" · ","")&amp;IF(OR(AND($E107&lt;&gt;"",NOT(ISNUMBER($E107))),AND($F107&lt;&gt;"",NOT(ISNUMBER($F107))),AND($G107&lt;&gt;"",NOT(ISNUMBER($G107)))),"Fecha no válida"&amp;" · ","")&amp;IF(AND(ISNUMBER($AM107),ISNUMBER($AN107),$AM107&gt;$AN107),"Inicio posterior a fecha límite"&amp;" · ","")&amp;IF(AND($V107="Macro",$H107&lt;&gt;"",OR(NOT(ISNUMBER($H107)),$H107&lt;0,$H107&gt;1)),"Peso fuera de rango"&amp;" · ","")&amp;IF(AND($V107="Sub",$H107&lt;&gt;""),"Las subactividades no llevan peso (valen igual dentro de su macroactividad)"&amp;" · ","")&amp;IF(AND(N($W107)&gt;0,COUNT($I107:$L107)&gt;0),"Con subactividades: deje vacías las semanas (se calculan solas)"&amp;" · ","")&amp;IF((COUNTIF($I107:$L107,"&gt;1")+COUNTIF($I107:$L107,"&lt;0")+COUNTA($I107:$L107)-COUNT($I107:$L107))&gt;0,"Avance fuera de rango 0-100%"&amp;" · ","")&amp;IF(OR(AND($J107&lt;&gt;"",$J107&lt;$I107),AND($K107&lt;&gt;"",$K107&lt;MAX($I107:$J107)),AND($L107&lt;&gt;"",$L107&lt;MAX($I107:$K107))),"Avance semanal decreciente"&amp;" · ","")&amp;IF(AND(ISNUMBER($AN107),$AN107&lt;FechaRef,IF($V107="Sub",N($X107),N($M107))&lt;1),"Vencida"&amp;" · ","")&amp;IF(AND(ObsObligatoria="Sí",ISNUMBER($AN107),$AN107&lt;FechaRef,IF($V107="Sub",N($X107),N($M107))&lt;1,$Q107=""),"Vencida sin observación"&amp;" · ",""),LEN(IF($C107="","Falta el nombre de la actividad"&amp;" · ","")&amp;IF(AND($V107="Sub",N($U107)=0),"Subactividad sin macroactividad arriba"&amp;" · ","")&amp;IF($AM107="","Sin fecha de inicio"&amp;" · ","")&amp;IF($AN107="","Sin fecha límite"&amp;" · ","")&amp;IF(AND(LEFT($C107,11)="[Jefatura] ",N($AL107)=0),"No se encuentra en la hoja de la jefatura (elíjala de nuevo en la lista)"&amp;" · ","")&amp;IF(OR(AND($E107&lt;&gt;"",NOT(ISNUMBER($E107))),AND($F107&lt;&gt;"",NOT(ISNUMBER($F107))),AND($G107&lt;&gt;"",NOT(ISNUMBER($G107)))),"Fecha no válida"&amp;" · ","")&amp;IF(AND(ISNUMBER($AM107),ISNUMBER($AN107),$AM107&gt;$AN107),"Inicio posterior a fecha límite"&amp;" · ","")&amp;IF(AND($V107="Macro",$H107&lt;&gt;"",OR(NOT(ISNUMBER($H107)),$H107&lt;0,$H107&gt;1)),"Peso fuera de rango"&amp;" · ","")&amp;IF(AND($V107="Sub",$H107&lt;&gt;""),"Las subactividades no llevan peso (valen igual dentro de su macroactividad)"&amp;" · ","")&amp;IF(AND(N($W107)&gt;0,COUNT($I107:$L107)&gt;0),"Con subactividades: deje vacías las semanas (se calculan solas)"&amp;" · ","")&amp;IF((COUNTIF($I107:$L107,"&gt;1")+COUNTIF($I107:$L107,"&lt;0")+COUNTA($I107:$L107)-COUNT($I107:$L107))&gt;0,"Avance fuera de rango 0-100%"&amp;" · ","")&amp;IF(OR(AND($J107&lt;&gt;"",$J107&lt;$I107),AND($K107&lt;&gt;"",$K107&lt;MAX($I107:$J107)),AND($L107&lt;&gt;"",$L107&lt;MAX($I107:$K107))),"Avance semanal decreciente"&amp;" · ","")&amp;IF(AND(ISNUMBER($AN107),$AN107&lt;FechaRef,IF($V107="Sub",N($X107),N($M107))&lt;1),"Vencida"&amp;" · ","")&amp;IF(AND(ObsObligatoria="Sí",ISNUMBER($AN107),$AN107&lt;FechaRef,IF($V107="Sub",N($X107),N($M107))&lt;1,$Q107=""),"Vencida sin observación"&amp;" · ",""))-3)))</f>
        <v/>
      </c>
      <c r="S107" s="64">
        <f>IF(NOT((COUNTA($B107:$D107)+COUNTA($G107:$L107)+COUNTA($Q107))&gt;0),"",IF(AND($V107="Sub",N($U107)&gt;0),IF(ISNUMBER(INDEX($AM$5:$AM$1000,$U107-4)),DATE(YEAR(INDEX($AM$5:$AM$1000,$U107-4)),MONTH(INDEX($AM$5:$AM$1000,$U107-4)),1),IF(ISNUMBER(INDEX($AN$5:$AN$1000,$U107-4)),DATE(YEAR(INDEX($AN$5:$AN$1000,$U107-4)),MONTH(INDEX($AN$5:$AN$1000,$U107-4)),1),MesCiclo)),IF(ISNUMBER($AM107),DATE(YEAR($AM107),MONTH($AM107),1),IF(ISNUMBER($AN107),DATE(YEAR($AN107),MONTH($AN107),1),MesCiclo))))</f>
        <v/>
      </c>
      <c r="T107" s="62">
        <f>IF(OR($S107="",$S107&lt;&gt;MesCiclo,$V107&lt;&gt;"Macro"),"",COUNTIFS($S$5:$S107,MesCiclo,$V$5:$V107,"Macro"))</f>
        <v/>
      </c>
      <c r="U107" s="62">
        <f>IF($V107="","",IF($V107="Macro",ROW(),IFERROR(LOOKUP(2,1/($V$5:$V107="Macro"),ROW($V$5:$V107)),0)))</f>
        <v/>
      </c>
      <c r="V107" s="62">
        <f>IF(NOT((COUNTA($B107:$D107)+COUNTA($G107:$L107)+COUNTA($Q107))&gt;0),"",IF($B107="Subactividad","Sub","Macro"))</f>
        <v/>
      </c>
      <c r="W107" s="62">
        <f>IF($V107="Macro",COUNTIFS($U$5:$U$1000,ROW(),$V$5:$V$1000,"Sub"),"")</f>
        <v/>
      </c>
      <c r="X107" s="62">
        <f>IF($V107="","",IF(ISNUMBER($G107),1,IFERROR(LOOKUP(2,1/($I107:$L107&lt;&gt;""),$I107:$L107),0)))</f>
        <v/>
      </c>
      <c r="Y107" s="62">
        <f>IF($V107="","",IF(AND(ISNUMBER($G107),$G107&lt;=IF($S107=MesCiclo,InicioCiclo,$S107+MOD(2-WEEKDAY($S107),7))+6),1,IF(ISNUMBER($I107),$I107,0)))</f>
        <v/>
      </c>
      <c r="Z107" s="62">
        <f>IF($V107="","",IF(AND(ISNUMBER($G107),$G107&lt;=IF($S107=MesCiclo,InicioCiclo,$S107+MOD(2-WEEKDAY($S107),7))+13),1,IF(ISNUMBER($J107),$J107,$Y107)))</f>
        <v/>
      </c>
      <c r="AA107" s="62">
        <f>IF($V107="","",IF(AND(ISNUMBER($G107),$G107&lt;=IF($S107=MesCiclo,InicioCiclo,$S107+MOD(2-WEEKDAY($S107),7))+20),1,IF(ISNUMBER($K107),$K107,$Z107)))</f>
        <v/>
      </c>
      <c r="AB107" s="62">
        <f>IF($V107="","",IF(AND(ISNUMBER($G107),$G107&lt;=IF($S107=MesCiclo,InicioCiclo,$S107+MOD(2-WEEKDAY($S107),7))+27),1,IF(ISNUMBER($L107),$L107,$AA107)))</f>
        <v/>
      </c>
      <c r="AC107" s="62">
        <f>IF($V107="","",IF(AND(ISNUMBER($G107),$G107&lt;=IF($S107=MesCiclo,InicioCiclo,$S107+MOD(2-WEEKDAY($S107),7))+6),1,IF(N($W107)&gt;0,AVERAGEIFS($Y$5:$Y$1000,$U$5:$U$1000,ROW(),$V$5:$V$1000,"Sub"),$Y107)))</f>
        <v/>
      </c>
      <c r="AD107" s="62">
        <f>IF($V107="","",IF(AND(ISNUMBER($G107),$G107&lt;=IF($S107=MesCiclo,InicioCiclo,$S107+MOD(2-WEEKDAY($S107),7))+13),1,IF(N($W107)&gt;0,AVERAGEIFS($Z$5:$Z$1000,$U$5:$U$1000,ROW(),$V$5:$V$1000,"Sub"),$Z107)))</f>
        <v/>
      </c>
      <c r="AE107" s="62">
        <f>IF($V107="","",IF(AND(ISNUMBER($G107),$G107&lt;=IF($S107=MesCiclo,InicioCiclo,$S107+MOD(2-WEEKDAY($S107),7))+20),1,IF(N($W107)&gt;0,AVERAGEIFS($AA$5:$AA$1000,$U$5:$U$1000,ROW(),$V$5:$V$1000,"Sub"),$AA107)))</f>
        <v/>
      </c>
      <c r="AF107" s="62">
        <f>IF($V107="","",IF(AND(ISNUMBER($G107),$G107&lt;=IF($S107=MesCiclo,InicioCiclo,$S107+MOD(2-WEEKDAY($S107),7))+27),1,IF(N($W107)&gt;0,AVERAGEIFS($AB$5:$AB$1000,$U$5:$U$1000,ROW(),$V$5:$V$1000,"Sub"),$AB107)))</f>
        <v/>
      </c>
      <c r="AG107" s="62">
        <f>IF($V107&lt;&gt;"Macro","",IF(COUNTIFS($S$5:$S$1000,$S107,$V$5:$V$1000,"Macro",$H$5:$H$1000,"&gt;0")=0,1/COUNTIFS($S$5:$S$1000,$S107,$V$5:$V$1000,"Macro"),IF(AND(ISNUMBER($H107),N($H107)&gt;0),$H107,SUMIFS($H$5:$H$1000,$S$5:$S$1000,$S107,$V$5:$V$1000,"Macro")/COUNTIFS($S$5:$S$1000,$S107,$V$5:$V$1000,"Macro",$H$5:$H$1000,"&gt;0"))/(COUNTIFS($S$5:$S$1000,$S107,$V$5:$V$1000,"Macro")*SUMIFS($H$5:$H$1000,$S$5:$S$1000,$S107,$V$5:$V$1000,"Macro")/COUNTIFS($S$5:$S$1000,$S107,$V$5:$V$1000,"Macro",$H$5:$H$1000,"&gt;0"))))</f>
        <v/>
      </c>
      <c r="AH107" s="62" t="n"/>
      <c r="AI107" s="62" t="n"/>
      <c r="AJ107" s="62" t="n"/>
      <c r="AK107" s="62" t="n"/>
      <c r="AL107" s="62">
        <f>IF(LEFT($C107,11)="[Jefatura] ",IFERROR(MATCH("Asistente Técnico de Riesgo|"&amp;MID($C107,12,500),rDname_ADM,0),0),"")</f>
        <v/>
      </c>
      <c r="AM107" s="62">
        <f>IF(N($AL107)&gt;0,INDEX(rIni_ADM,$AL107),IF(ISNUMBER($E107),$E107,""))</f>
        <v/>
      </c>
      <c r="AN107" s="62">
        <f>IF(N($AL107)&gt;0,INDEX(rLim_ADM,$AL107),IF(ISNUMBER($F107),$F107,""))</f>
        <v/>
      </c>
    </row>
    <row r="108">
      <c r="A108" s="56">
        <f>IF(NOT((COUNTA($B108:$D108)+COUNTA($G108:$L108)+COUNTA($Q108))&gt;0),"",IF($V108="Macro",COUNTIFS($V$5:$V108,"Macro",$S$5:$S108,$S108),IF(N($U108)=0,"?",COUNTIFS(INDEX($V$5:$V$1000,1):INDEX($V$5:$V$1000,$U108-4),"Macro",INDEX($S$5:$S$1000,1):INDEX($S$5:$S$1000,$U108-4),INDEX($S$5:$S$1000,$U108-4))&amp;"."&amp;COUNTIFS($U$5:$U108,$U108,$V$5:$V108,"Sub"))))</f>
        <v/>
      </c>
      <c r="B108" s="57" t="n"/>
      <c r="C108" s="58" t="n"/>
      <c r="D108" s="58" t="n"/>
      <c r="E108" s="59">
        <f>IF(N($AL108)&gt;0,INDEX(rIni_ADM,$AL108),"")</f>
        <v/>
      </c>
      <c r="F108" s="59">
        <f>IF(N($AL108)&gt;0,INDEX(rLim_ADM,$AL108),"")</f>
        <v/>
      </c>
      <c r="G108" s="59" t="n"/>
      <c r="H108" s="60" t="n"/>
      <c r="I108" s="60" t="n"/>
      <c r="J108" s="60" t="n"/>
      <c r="K108" s="60" t="n"/>
      <c r="L108" s="60" t="n"/>
      <c r="M108" s="61">
        <f>IF(NOT((COUNTA($B108:$D108)+COUNTA($G108:$L108)+COUNTA($Q108))&gt;0),"",IF($V108="Sub",IFERROR($X108/INDEX($W$5:$W$1000,$U108-4),""),IF(ISNUMBER($G108),1,IF(N($W108)&gt;0,AVERAGEIFS($X$5:$X$1000,$U$5:$U$1000,ROW(),$V$5:$V$1000,"Sub"),$X108))))</f>
        <v/>
      </c>
      <c r="N108" s="56">
        <f>IF(OR($M108="",$V108="Sub"),"",IF($M108&gt;=1,"Completado",IF($M108&gt;0,"En curso","Pendiente")))</f>
        <v/>
      </c>
      <c r="O108" s="56">
        <f>IF(OR(NOT((COUNTA($B108:$D108)+COUNTA($G108:$L108)+COUNTA($Q108))&gt;0),$V108="Sub"),"",IF(ISNUMBER($G108),IF(AND(ISNUMBER($AN108),$G108&gt;$AN108),"Cumplida con "&amp;($G108-$AN108)&amp;IF($G108-$AN108=1," día"," días")&amp;" de retraso","Cumplida"),IF(N($M108)&gt;=1,"Cumplida",IF(NOT(ISNUMBER($AN108)),"Sin fecha límite",IF($AN108&lt;FechaRef,"Vencida hace "&amp;(FechaRef-$AN108)&amp;IF(FechaRef-$AN108=1," día"," días"),IF($AN108=FechaRef,"Vence hoy",IF($AN108-FechaRef&lt;=DiasAlerta,"Vence en "&amp;($AN108-FechaRef)&amp;IF($AN108-FechaRef=1," día"," días"),"En plazo")))))))</f>
        <v/>
      </c>
      <c r="P108" s="62" t="n"/>
      <c r="Q108" s="58" t="n"/>
      <c r="R108" s="63">
        <f>IF(NOT((COUNTA($B108:$D108)+COUNTA($G108:$L108)+COUNTA($Q108))&gt;0),"",IF((IF($C108="","Falta el nombre de la actividad"&amp;" · ","")&amp;IF(AND($V108="Sub",N($U108)=0),"Subactividad sin macroactividad arriba"&amp;" · ","")&amp;IF($AM108="","Sin fecha de inicio"&amp;" · ","")&amp;IF($AN108="","Sin fecha límite"&amp;" · ","")&amp;IF(AND(LEFT($C108,11)="[Jefatura] ",N($AL108)=0),"No se encuentra en la hoja de la jefatura (elíjala de nuevo en la lista)"&amp;" · ","")&amp;IF(OR(AND($E108&lt;&gt;"",NOT(ISNUMBER($E108))),AND($F108&lt;&gt;"",NOT(ISNUMBER($F108))),AND($G108&lt;&gt;"",NOT(ISNUMBER($G108)))),"Fecha no válida"&amp;" · ","")&amp;IF(AND(ISNUMBER($AM108),ISNUMBER($AN108),$AM108&gt;$AN108),"Inicio posterior a fecha límite"&amp;" · ","")&amp;IF(AND($V108="Macro",$H108&lt;&gt;"",OR(NOT(ISNUMBER($H108)),$H108&lt;0,$H108&gt;1)),"Peso fuera de rango"&amp;" · ","")&amp;IF(AND($V108="Sub",$H108&lt;&gt;""),"Las subactividades no llevan peso (valen igual dentro de su macroactividad)"&amp;" · ","")&amp;IF(AND(N($W108)&gt;0,COUNT($I108:$L108)&gt;0),"Con subactividades: deje vacías las semanas (se calculan solas)"&amp;" · ","")&amp;IF((COUNTIF($I108:$L108,"&gt;1")+COUNTIF($I108:$L108,"&lt;0")+COUNTA($I108:$L108)-COUNT($I108:$L108))&gt;0,"Avance fuera de rango 0-100%"&amp;" · ","")&amp;IF(OR(AND($J108&lt;&gt;"",$J108&lt;$I108),AND($K108&lt;&gt;"",$K108&lt;MAX($I108:$J108)),AND($L108&lt;&gt;"",$L108&lt;MAX($I108:$K108))),"Avance semanal decreciente"&amp;" · ","")&amp;IF(AND(ISNUMBER($AN108),$AN108&lt;FechaRef,IF($V108="Sub",N($X108),N($M108))&lt;1),"Vencida"&amp;" · ","")&amp;IF(AND(ObsObligatoria="Sí",ISNUMBER($AN108),$AN108&lt;FechaRef,IF($V108="Sub",N($X108),N($M108))&lt;1,$Q108=""),"Vencida sin observación"&amp;" · ",""))="","✔ OK","⚠ "&amp;LEFT(IF($C108="","Falta el nombre de la actividad"&amp;" · ","")&amp;IF(AND($V108="Sub",N($U108)=0),"Subactividad sin macroactividad arriba"&amp;" · ","")&amp;IF($AM108="","Sin fecha de inicio"&amp;" · ","")&amp;IF($AN108="","Sin fecha límite"&amp;" · ","")&amp;IF(AND(LEFT($C108,11)="[Jefatura] ",N($AL108)=0),"No se encuentra en la hoja de la jefatura (elíjala de nuevo en la lista)"&amp;" · ","")&amp;IF(OR(AND($E108&lt;&gt;"",NOT(ISNUMBER($E108))),AND($F108&lt;&gt;"",NOT(ISNUMBER($F108))),AND($G108&lt;&gt;"",NOT(ISNUMBER($G108)))),"Fecha no válida"&amp;" · ","")&amp;IF(AND(ISNUMBER($AM108),ISNUMBER($AN108),$AM108&gt;$AN108),"Inicio posterior a fecha límite"&amp;" · ","")&amp;IF(AND($V108="Macro",$H108&lt;&gt;"",OR(NOT(ISNUMBER($H108)),$H108&lt;0,$H108&gt;1)),"Peso fuera de rango"&amp;" · ","")&amp;IF(AND($V108="Sub",$H108&lt;&gt;""),"Las subactividades no llevan peso (valen igual dentro de su macroactividad)"&amp;" · ","")&amp;IF(AND(N($W108)&gt;0,COUNT($I108:$L108)&gt;0),"Con subactividades: deje vacías las semanas (se calculan solas)"&amp;" · ","")&amp;IF((COUNTIF($I108:$L108,"&gt;1")+COUNTIF($I108:$L108,"&lt;0")+COUNTA($I108:$L108)-COUNT($I108:$L108))&gt;0,"Avance fuera de rango 0-100%"&amp;" · ","")&amp;IF(OR(AND($J108&lt;&gt;"",$J108&lt;$I108),AND($K108&lt;&gt;"",$K108&lt;MAX($I108:$J108)),AND($L108&lt;&gt;"",$L108&lt;MAX($I108:$K108))),"Avance semanal decreciente"&amp;" · ","")&amp;IF(AND(ISNUMBER($AN108),$AN108&lt;FechaRef,IF($V108="Sub",N($X108),N($M108))&lt;1),"Vencida"&amp;" · ","")&amp;IF(AND(ObsObligatoria="Sí",ISNUMBER($AN108),$AN108&lt;FechaRef,IF($V108="Sub",N($X108),N($M108))&lt;1,$Q108=""),"Vencida sin observación"&amp;" · ",""),LEN(IF($C108="","Falta el nombre de la actividad"&amp;" · ","")&amp;IF(AND($V108="Sub",N($U108)=0),"Subactividad sin macroactividad arriba"&amp;" · ","")&amp;IF($AM108="","Sin fecha de inicio"&amp;" · ","")&amp;IF($AN108="","Sin fecha límite"&amp;" · ","")&amp;IF(AND(LEFT($C108,11)="[Jefatura] ",N($AL108)=0),"No se encuentra en la hoja de la jefatura (elíjala de nuevo en la lista)"&amp;" · ","")&amp;IF(OR(AND($E108&lt;&gt;"",NOT(ISNUMBER($E108))),AND($F108&lt;&gt;"",NOT(ISNUMBER($F108))),AND($G108&lt;&gt;"",NOT(ISNUMBER($G108)))),"Fecha no válida"&amp;" · ","")&amp;IF(AND(ISNUMBER($AM108),ISNUMBER($AN108),$AM108&gt;$AN108),"Inicio posterior a fecha límite"&amp;" · ","")&amp;IF(AND($V108="Macro",$H108&lt;&gt;"",OR(NOT(ISNUMBER($H108)),$H108&lt;0,$H108&gt;1)),"Peso fuera de rango"&amp;" · ","")&amp;IF(AND($V108="Sub",$H108&lt;&gt;""),"Las subactividades no llevan peso (valen igual dentro de su macroactividad)"&amp;" · ","")&amp;IF(AND(N($W108)&gt;0,COUNT($I108:$L108)&gt;0),"Con subactividades: deje vacías las semanas (se calculan solas)"&amp;" · ","")&amp;IF((COUNTIF($I108:$L108,"&gt;1")+COUNTIF($I108:$L108,"&lt;0")+COUNTA($I108:$L108)-COUNT($I108:$L108))&gt;0,"Avance fuera de rango 0-100%"&amp;" · ","")&amp;IF(OR(AND($J108&lt;&gt;"",$J108&lt;$I108),AND($K108&lt;&gt;"",$K108&lt;MAX($I108:$J108)),AND($L108&lt;&gt;"",$L108&lt;MAX($I108:$K108))),"Avance semanal decreciente"&amp;" · ","")&amp;IF(AND(ISNUMBER($AN108),$AN108&lt;FechaRef,IF($V108="Sub",N($X108),N($M108))&lt;1),"Vencida"&amp;" · ","")&amp;IF(AND(ObsObligatoria="Sí",ISNUMBER($AN108),$AN108&lt;FechaRef,IF($V108="Sub",N($X108),N($M108))&lt;1,$Q108=""),"Vencida sin observación"&amp;" · ",""))-3)))</f>
        <v/>
      </c>
      <c r="S108" s="64">
        <f>IF(NOT((COUNTA($B108:$D108)+COUNTA($G108:$L108)+COUNTA($Q108))&gt;0),"",IF(AND($V108="Sub",N($U108)&gt;0),IF(ISNUMBER(INDEX($AM$5:$AM$1000,$U108-4)),DATE(YEAR(INDEX($AM$5:$AM$1000,$U108-4)),MONTH(INDEX($AM$5:$AM$1000,$U108-4)),1),IF(ISNUMBER(INDEX($AN$5:$AN$1000,$U108-4)),DATE(YEAR(INDEX($AN$5:$AN$1000,$U108-4)),MONTH(INDEX($AN$5:$AN$1000,$U108-4)),1),MesCiclo)),IF(ISNUMBER($AM108),DATE(YEAR($AM108),MONTH($AM108),1),IF(ISNUMBER($AN108),DATE(YEAR($AN108),MONTH($AN108),1),MesCiclo))))</f>
        <v/>
      </c>
      <c r="T108" s="62">
        <f>IF(OR($S108="",$S108&lt;&gt;MesCiclo,$V108&lt;&gt;"Macro"),"",COUNTIFS($S$5:$S108,MesCiclo,$V$5:$V108,"Macro"))</f>
        <v/>
      </c>
      <c r="U108" s="62">
        <f>IF($V108="","",IF($V108="Macro",ROW(),IFERROR(LOOKUP(2,1/($V$5:$V108="Macro"),ROW($V$5:$V108)),0)))</f>
        <v/>
      </c>
      <c r="V108" s="62">
        <f>IF(NOT((COUNTA($B108:$D108)+COUNTA($G108:$L108)+COUNTA($Q108))&gt;0),"",IF($B108="Subactividad","Sub","Macro"))</f>
        <v/>
      </c>
      <c r="W108" s="62">
        <f>IF($V108="Macro",COUNTIFS($U$5:$U$1000,ROW(),$V$5:$V$1000,"Sub"),"")</f>
        <v/>
      </c>
      <c r="X108" s="62">
        <f>IF($V108="","",IF(ISNUMBER($G108),1,IFERROR(LOOKUP(2,1/($I108:$L108&lt;&gt;""),$I108:$L108),0)))</f>
        <v/>
      </c>
      <c r="Y108" s="62">
        <f>IF($V108="","",IF(AND(ISNUMBER($G108),$G108&lt;=IF($S108=MesCiclo,InicioCiclo,$S108+MOD(2-WEEKDAY($S108),7))+6),1,IF(ISNUMBER($I108),$I108,0)))</f>
        <v/>
      </c>
      <c r="Z108" s="62">
        <f>IF($V108="","",IF(AND(ISNUMBER($G108),$G108&lt;=IF($S108=MesCiclo,InicioCiclo,$S108+MOD(2-WEEKDAY($S108),7))+13),1,IF(ISNUMBER($J108),$J108,$Y108)))</f>
        <v/>
      </c>
      <c r="AA108" s="62">
        <f>IF($V108="","",IF(AND(ISNUMBER($G108),$G108&lt;=IF($S108=MesCiclo,InicioCiclo,$S108+MOD(2-WEEKDAY($S108),7))+20),1,IF(ISNUMBER($K108),$K108,$Z108)))</f>
        <v/>
      </c>
      <c r="AB108" s="62">
        <f>IF($V108="","",IF(AND(ISNUMBER($G108),$G108&lt;=IF($S108=MesCiclo,InicioCiclo,$S108+MOD(2-WEEKDAY($S108),7))+27),1,IF(ISNUMBER($L108),$L108,$AA108)))</f>
        <v/>
      </c>
      <c r="AC108" s="62">
        <f>IF($V108="","",IF(AND(ISNUMBER($G108),$G108&lt;=IF($S108=MesCiclo,InicioCiclo,$S108+MOD(2-WEEKDAY($S108),7))+6),1,IF(N($W108)&gt;0,AVERAGEIFS($Y$5:$Y$1000,$U$5:$U$1000,ROW(),$V$5:$V$1000,"Sub"),$Y108)))</f>
        <v/>
      </c>
      <c r="AD108" s="62">
        <f>IF($V108="","",IF(AND(ISNUMBER($G108),$G108&lt;=IF($S108=MesCiclo,InicioCiclo,$S108+MOD(2-WEEKDAY($S108),7))+13),1,IF(N($W108)&gt;0,AVERAGEIFS($Z$5:$Z$1000,$U$5:$U$1000,ROW(),$V$5:$V$1000,"Sub"),$Z108)))</f>
        <v/>
      </c>
      <c r="AE108" s="62">
        <f>IF($V108="","",IF(AND(ISNUMBER($G108),$G108&lt;=IF($S108=MesCiclo,InicioCiclo,$S108+MOD(2-WEEKDAY($S108),7))+20),1,IF(N($W108)&gt;0,AVERAGEIFS($AA$5:$AA$1000,$U$5:$U$1000,ROW(),$V$5:$V$1000,"Sub"),$AA108)))</f>
        <v/>
      </c>
      <c r="AF108" s="62">
        <f>IF($V108="","",IF(AND(ISNUMBER($G108),$G108&lt;=IF($S108=MesCiclo,InicioCiclo,$S108+MOD(2-WEEKDAY($S108),7))+27),1,IF(N($W108)&gt;0,AVERAGEIFS($AB$5:$AB$1000,$U$5:$U$1000,ROW(),$V$5:$V$1000,"Sub"),$AB108)))</f>
        <v/>
      </c>
      <c r="AG108" s="62">
        <f>IF($V108&lt;&gt;"Macro","",IF(COUNTIFS($S$5:$S$1000,$S108,$V$5:$V$1000,"Macro",$H$5:$H$1000,"&gt;0")=0,1/COUNTIFS($S$5:$S$1000,$S108,$V$5:$V$1000,"Macro"),IF(AND(ISNUMBER($H108),N($H108)&gt;0),$H108,SUMIFS($H$5:$H$1000,$S$5:$S$1000,$S108,$V$5:$V$1000,"Macro")/COUNTIFS($S$5:$S$1000,$S108,$V$5:$V$1000,"Macro",$H$5:$H$1000,"&gt;0"))/(COUNTIFS($S$5:$S$1000,$S108,$V$5:$V$1000,"Macro")*SUMIFS($H$5:$H$1000,$S$5:$S$1000,$S108,$V$5:$V$1000,"Macro")/COUNTIFS($S$5:$S$1000,$S108,$V$5:$V$1000,"Macro",$H$5:$H$1000,"&gt;0"))))</f>
        <v/>
      </c>
      <c r="AH108" s="62" t="n"/>
      <c r="AI108" s="62" t="n"/>
      <c r="AJ108" s="62" t="n"/>
      <c r="AK108" s="62" t="n"/>
      <c r="AL108" s="62">
        <f>IF(LEFT($C108,11)="[Jefatura] ",IFERROR(MATCH("Asistente Técnico de Riesgo|"&amp;MID($C108,12,500),rDname_ADM,0),0),"")</f>
        <v/>
      </c>
      <c r="AM108" s="62">
        <f>IF(N($AL108)&gt;0,INDEX(rIni_ADM,$AL108),IF(ISNUMBER($E108),$E108,""))</f>
        <v/>
      </c>
      <c r="AN108" s="62">
        <f>IF(N($AL108)&gt;0,INDEX(rLim_ADM,$AL108),IF(ISNUMBER($F108),$F108,""))</f>
        <v/>
      </c>
    </row>
    <row r="109">
      <c r="A109" s="56">
        <f>IF(NOT((COUNTA($B109:$D109)+COUNTA($G109:$L109)+COUNTA($Q109))&gt;0),"",IF($V109="Macro",COUNTIFS($V$5:$V109,"Macro",$S$5:$S109,$S109),IF(N($U109)=0,"?",COUNTIFS(INDEX($V$5:$V$1000,1):INDEX($V$5:$V$1000,$U109-4),"Macro",INDEX($S$5:$S$1000,1):INDEX($S$5:$S$1000,$U109-4),INDEX($S$5:$S$1000,$U109-4))&amp;"."&amp;COUNTIFS($U$5:$U109,$U109,$V$5:$V109,"Sub"))))</f>
        <v/>
      </c>
      <c r="B109" s="57" t="n"/>
      <c r="C109" s="58" t="n"/>
      <c r="D109" s="58" t="n"/>
      <c r="E109" s="59">
        <f>IF(N($AL109)&gt;0,INDEX(rIni_ADM,$AL109),"")</f>
        <v/>
      </c>
      <c r="F109" s="59">
        <f>IF(N($AL109)&gt;0,INDEX(rLim_ADM,$AL109),"")</f>
        <v/>
      </c>
      <c r="G109" s="59" t="n"/>
      <c r="H109" s="60" t="n"/>
      <c r="I109" s="60" t="n"/>
      <c r="J109" s="60" t="n"/>
      <c r="K109" s="60" t="n"/>
      <c r="L109" s="60" t="n"/>
      <c r="M109" s="61">
        <f>IF(NOT((COUNTA($B109:$D109)+COUNTA($G109:$L109)+COUNTA($Q109))&gt;0),"",IF($V109="Sub",IFERROR($X109/INDEX($W$5:$W$1000,$U109-4),""),IF(ISNUMBER($G109),1,IF(N($W109)&gt;0,AVERAGEIFS($X$5:$X$1000,$U$5:$U$1000,ROW(),$V$5:$V$1000,"Sub"),$X109))))</f>
        <v/>
      </c>
      <c r="N109" s="56">
        <f>IF(OR($M109="",$V109="Sub"),"",IF($M109&gt;=1,"Completado",IF($M109&gt;0,"En curso","Pendiente")))</f>
        <v/>
      </c>
      <c r="O109" s="56">
        <f>IF(OR(NOT((COUNTA($B109:$D109)+COUNTA($G109:$L109)+COUNTA($Q109))&gt;0),$V109="Sub"),"",IF(ISNUMBER($G109),IF(AND(ISNUMBER($AN109),$G109&gt;$AN109),"Cumplida con "&amp;($G109-$AN109)&amp;IF($G109-$AN109=1," día"," días")&amp;" de retraso","Cumplida"),IF(N($M109)&gt;=1,"Cumplida",IF(NOT(ISNUMBER($AN109)),"Sin fecha límite",IF($AN109&lt;FechaRef,"Vencida hace "&amp;(FechaRef-$AN109)&amp;IF(FechaRef-$AN109=1," día"," días"),IF($AN109=FechaRef,"Vence hoy",IF($AN109-FechaRef&lt;=DiasAlerta,"Vence en "&amp;($AN109-FechaRef)&amp;IF($AN109-FechaRef=1," día"," días"),"En plazo")))))))</f>
        <v/>
      </c>
      <c r="P109" s="62" t="n"/>
      <c r="Q109" s="58" t="n"/>
      <c r="R109" s="63">
        <f>IF(NOT((COUNTA($B109:$D109)+COUNTA($G109:$L109)+COUNTA($Q109))&gt;0),"",IF((IF($C109="","Falta el nombre de la actividad"&amp;" · ","")&amp;IF(AND($V109="Sub",N($U109)=0),"Subactividad sin macroactividad arriba"&amp;" · ","")&amp;IF($AM109="","Sin fecha de inicio"&amp;" · ","")&amp;IF($AN109="","Sin fecha límite"&amp;" · ","")&amp;IF(AND(LEFT($C109,11)="[Jefatura] ",N($AL109)=0),"No se encuentra en la hoja de la jefatura (elíjala de nuevo en la lista)"&amp;" · ","")&amp;IF(OR(AND($E109&lt;&gt;"",NOT(ISNUMBER($E109))),AND($F109&lt;&gt;"",NOT(ISNUMBER($F109))),AND($G109&lt;&gt;"",NOT(ISNUMBER($G109)))),"Fecha no válida"&amp;" · ","")&amp;IF(AND(ISNUMBER($AM109),ISNUMBER($AN109),$AM109&gt;$AN109),"Inicio posterior a fecha límite"&amp;" · ","")&amp;IF(AND($V109="Macro",$H109&lt;&gt;"",OR(NOT(ISNUMBER($H109)),$H109&lt;0,$H109&gt;1)),"Peso fuera de rango"&amp;" · ","")&amp;IF(AND($V109="Sub",$H109&lt;&gt;""),"Las subactividades no llevan peso (valen igual dentro de su macroactividad)"&amp;" · ","")&amp;IF(AND(N($W109)&gt;0,COUNT($I109:$L109)&gt;0),"Con subactividades: deje vacías las semanas (se calculan solas)"&amp;" · ","")&amp;IF((COUNTIF($I109:$L109,"&gt;1")+COUNTIF($I109:$L109,"&lt;0")+COUNTA($I109:$L109)-COUNT($I109:$L109))&gt;0,"Avance fuera de rango 0-100%"&amp;" · ","")&amp;IF(OR(AND($J109&lt;&gt;"",$J109&lt;$I109),AND($K109&lt;&gt;"",$K109&lt;MAX($I109:$J109)),AND($L109&lt;&gt;"",$L109&lt;MAX($I109:$K109))),"Avance semanal decreciente"&amp;" · ","")&amp;IF(AND(ISNUMBER($AN109),$AN109&lt;FechaRef,IF($V109="Sub",N($X109),N($M109))&lt;1),"Vencida"&amp;" · ","")&amp;IF(AND(ObsObligatoria="Sí",ISNUMBER($AN109),$AN109&lt;FechaRef,IF($V109="Sub",N($X109),N($M109))&lt;1,$Q109=""),"Vencida sin observación"&amp;" · ",""))="","✔ OK","⚠ "&amp;LEFT(IF($C109="","Falta el nombre de la actividad"&amp;" · ","")&amp;IF(AND($V109="Sub",N($U109)=0),"Subactividad sin macroactividad arriba"&amp;" · ","")&amp;IF($AM109="","Sin fecha de inicio"&amp;" · ","")&amp;IF($AN109="","Sin fecha límite"&amp;" · ","")&amp;IF(AND(LEFT($C109,11)="[Jefatura] ",N($AL109)=0),"No se encuentra en la hoja de la jefatura (elíjala de nuevo en la lista)"&amp;" · ","")&amp;IF(OR(AND($E109&lt;&gt;"",NOT(ISNUMBER($E109))),AND($F109&lt;&gt;"",NOT(ISNUMBER($F109))),AND($G109&lt;&gt;"",NOT(ISNUMBER($G109)))),"Fecha no válida"&amp;" · ","")&amp;IF(AND(ISNUMBER($AM109),ISNUMBER($AN109),$AM109&gt;$AN109),"Inicio posterior a fecha límite"&amp;" · ","")&amp;IF(AND($V109="Macro",$H109&lt;&gt;"",OR(NOT(ISNUMBER($H109)),$H109&lt;0,$H109&gt;1)),"Peso fuera de rango"&amp;" · ","")&amp;IF(AND($V109="Sub",$H109&lt;&gt;""),"Las subactividades no llevan peso (valen igual dentro de su macroactividad)"&amp;" · ","")&amp;IF(AND(N($W109)&gt;0,COUNT($I109:$L109)&gt;0),"Con subactividades: deje vacías las semanas (se calculan solas)"&amp;" · ","")&amp;IF((COUNTIF($I109:$L109,"&gt;1")+COUNTIF($I109:$L109,"&lt;0")+COUNTA($I109:$L109)-COUNT($I109:$L109))&gt;0,"Avance fuera de rango 0-100%"&amp;" · ","")&amp;IF(OR(AND($J109&lt;&gt;"",$J109&lt;$I109),AND($K109&lt;&gt;"",$K109&lt;MAX($I109:$J109)),AND($L109&lt;&gt;"",$L109&lt;MAX($I109:$K109))),"Avance semanal decreciente"&amp;" · ","")&amp;IF(AND(ISNUMBER($AN109),$AN109&lt;FechaRef,IF($V109="Sub",N($X109),N($M109))&lt;1),"Vencida"&amp;" · ","")&amp;IF(AND(ObsObligatoria="Sí",ISNUMBER($AN109),$AN109&lt;FechaRef,IF($V109="Sub",N($X109),N($M109))&lt;1,$Q109=""),"Vencida sin observación"&amp;" · ",""),LEN(IF($C109="","Falta el nombre de la actividad"&amp;" · ","")&amp;IF(AND($V109="Sub",N($U109)=0),"Subactividad sin macroactividad arriba"&amp;" · ","")&amp;IF($AM109="","Sin fecha de inicio"&amp;" · ","")&amp;IF($AN109="","Sin fecha límite"&amp;" · ","")&amp;IF(AND(LEFT($C109,11)="[Jefatura] ",N($AL109)=0),"No se encuentra en la hoja de la jefatura (elíjala de nuevo en la lista)"&amp;" · ","")&amp;IF(OR(AND($E109&lt;&gt;"",NOT(ISNUMBER($E109))),AND($F109&lt;&gt;"",NOT(ISNUMBER($F109))),AND($G109&lt;&gt;"",NOT(ISNUMBER($G109)))),"Fecha no válida"&amp;" · ","")&amp;IF(AND(ISNUMBER($AM109),ISNUMBER($AN109),$AM109&gt;$AN109),"Inicio posterior a fecha límite"&amp;" · ","")&amp;IF(AND($V109="Macro",$H109&lt;&gt;"",OR(NOT(ISNUMBER($H109)),$H109&lt;0,$H109&gt;1)),"Peso fuera de rango"&amp;" · ","")&amp;IF(AND($V109="Sub",$H109&lt;&gt;""),"Las subactividades no llevan peso (valen igual dentro de su macroactividad)"&amp;" · ","")&amp;IF(AND(N($W109)&gt;0,COUNT($I109:$L109)&gt;0),"Con subactividades: deje vacías las semanas (se calculan solas)"&amp;" · ","")&amp;IF((COUNTIF($I109:$L109,"&gt;1")+COUNTIF($I109:$L109,"&lt;0")+COUNTA($I109:$L109)-COUNT($I109:$L109))&gt;0,"Avance fuera de rango 0-100%"&amp;" · ","")&amp;IF(OR(AND($J109&lt;&gt;"",$J109&lt;$I109),AND($K109&lt;&gt;"",$K109&lt;MAX($I109:$J109)),AND($L109&lt;&gt;"",$L109&lt;MAX($I109:$K109))),"Avance semanal decreciente"&amp;" · ","")&amp;IF(AND(ISNUMBER($AN109),$AN109&lt;FechaRef,IF($V109="Sub",N($X109),N($M109))&lt;1),"Vencida"&amp;" · ","")&amp;IF(AND(ObsObligatoria="Sí",ISNUMBER($AN109),$AN109&lt;FechaRef,IF($V109="Sub",N($X109),N($M109))&lt;1,$Q109=""),"Vencida sin observación"&amp;" · ",""))-3)))</f>
        <v/>
      </c>
      <c r="S109" s="64">
        <f>IF(NOT((COUNTA($B109:$D109)+COUNTA($G109:$L109)+COUNTA($Q109))&gt;0),"",IF(AND($V109="Sub",N($U109)&gt;0),IF(ISNUMBER(INDEX($AM$5:$AM$1000,$U109-4)),DATE(YEAR(INDEX($AM$5:$AM$1000,$U109-4)),MONTH(INDEX($AM$5:$AM$1000,$U109-4)),1),IF(ISNUMBER(INDEX($AN$5:$AN$1000,$U109-4)),DATE(YEAR(INDEX($AN$5:$AN$1000,$U109-4)),MONTH(INDEX($AN$5:$AN$1000,$U109-4)),1),MesCiclo)),IF(ISNUMBER($AM109),DATE(YEAR($AM109),MONTH($AM109),1),IF(ISNUMBER($AN109),DATE(YEAR($AN109),MONTH($AN109),1),MesCiclo))))</f>
        <v/>
      </c>
      <c r="T109" s="62">
        <f>IF(OR($S109="",$S109&lt;&gt;MesCiclo,$V109&lt;&gt;"Macro"),"",COUNTIFS($S$5:$S109,MesCiclo,$V$5:$V109,"Macro"))</f>
        <v/>
      </c>
      <c r="U109" s="62">
        <f>IF($V109="","",IF($V109="Macro",ROW(),IFERROR(LOOKUP(2,1/($V$5:$V109="Macro"),ROW($V$5:$V109)),0)))</f>
        <v/>
      </c>
      <c r="V109" s="62">
        <f>IF(NOT((COUNTA($B109:$D109)+COUNTA($G109:$L109)+COUNTA($Q109))&gt;0),"",IF($B109="Subactividad","Sub","Macro"))</f>
        <v/>
      </c>
      <c r="W109" s="62">
        <f>IF($V109="Macro",COUNTIFS($U$5:$U$1000,ROW(),$V$5:$V$1000,"Sub"),"")</f>
        <v/>
      </c>
      <c r="X109" s="62">
        <f>IF($V109="","",IF(ISNUMBER($G109),1,IFERROR(LOOKUP(2,1/($I109:$L109&lt;&gt;""),$I109:$L109),0)))</f>
        <v/>
      </c>
      <c r="Y109" s="62">
        <f>IF($V109="","",IF(AND(ISNUMBER($G109),$G109&lt;=IF($S109=MesCiclo,InicioCiclo,$S109+MOD(2-WEEKDAY($S109),7))+6),1,IF(ISNUMBER($I109),$I109,0)))</f>
        <v/>
      </c>
      <c r="Z109" s="62">
        <f>IF($V109="","",IF(AND(ISNUMBER($G109),$G109&lt;=IF($S109=MesCiclo,InicioCiclo,$S109+MOD(2-WEEKDAY($S109),7))+13),1,IF(ISNUMBER($J109),$J109,$Y109)))</f>
        <v/>
      </c>
      <c r="AA109" s="62">
        <f>IF($V109="","",IF(AND(ISNUMBER($G109),$G109&lt;=IF($S109=MesCiclo,InicioCiclo,$S109+MOD(2-WEEKDAY($S109),7))+20),1,IF(ISNUMBER($K109),$K109,$Z109)))</f>
        <v/>
      </c>
      <c r="AB109" s="62">
        <f>IF($V109="","",IF(AND(ISNUMBER($G109),$G109&lt;=IF($S109=MesCiclo,InicioCiclo,$S109+MOD(2-WEEKDAY($S109),7))+27),1,IF(ISNUMBER($L109),$L109,$AA109)))</f>
        <v/>
      </c>
      <c r="AC109" s="62">
        <f>IF($V109="","",IF(AND(ISNUMBER($G109),$G109&lt;=IF($S109=MesCiclo,InicioCiclo,$S109+MOD(2-WEEKDAY($S109),7))+6),1,IF(N($W109)&gt;0,AVERAGEIFS($Y$5:$Y$1000,$U$5:$U$1000,ROW(),$V$5:$V$1000,"Sub"),$Y109)))</f>
        <v/>
      </c>
      <c r="AD109" s="62">
        <f>IF($V109="","",IF(AND(ISNUMBER($G109),$G109&lt;=IF($S109=MesCiclo,InicioCiclo,$S109+MOD(2-WEEKDAY($S109),7))+13),1,IF(N($W109)&gt;0,AVERAGEIFS($Z$5:$Z$1000,$U$5:$U$1000,ROW(),$V$5:$V$1000,"Sub"),$Z109)))</f>
        <v/>
      </c>
      <c r="AE109" s="62">
        <f>IF($V109="","",IF(AND(ISNUMBER($G109),$G109&lt;=IF($S109=MesCiclo,InicioCiclo,$S109+MOD(2-WEEKDAY($S109),7))+20),1,IF(N($W109)&gt;0,AVERAGEIFS($AA$5:$AA$1000,$U$5:$U$1000,ROW(),$V$5:$V$1000,"Sub"),$AA109)))</f>
        <v/>
      </c>
      <c r="AF109" s="62">
        <f>IF($V109="","",IF(AND(ISNUMBER($G109),$G109&lt;=IF($S109=MesCiclo,InicioCiclo,$S109+MOD(2-WEEKDAY($S109),7))+27),1,IF(N($W109)&gt;0,AVERAGEIFS($AB$5:$AB$1000,$U$5:$U$1000,ROW(),$V$5:$V$1000,"Sub"),$AB109)))</f>
        <v/>
      </c>
      <c r="AG109" s="62">
        <f>IF($V109&lt;&gt;"Macro","",IF(COUNTIFS($S$5:$S$1000,$S109,$V$5:$V$1000,"Macro",$H$5:$H$1000,"&gt;0")=0,1/COUNTIFS($S$5:$S$1000,$S109,$V$5:$V$1000,"Macro"),IF(AND(ISNUMBER($H109),N($H109)&gt;0),$H109,SUMIFS($H$5:$H$1000,$S$5:$S$1000,$S109,$V$5:$V$1000,"Macro")/COUNTIFS($S$5:$S$1000,$S109,$V$5:$V$1000,"Macro",$H$5:$H$1000,"&gt;0"))/(COUNTIFS($S$5:$S$1000,$S109,$V$5:$V$1000,"Macro")*SUMIFS($H$5:$H$1000,$S$5:$S$1000,$S109,$V$5:$V$1000,"Macro")/COUNTIFS($S$5:$S$1000,$S109,$V$5:$V$1000,"Macro",$H$5:$H$1000,"&gt;0"))))</f>
        <v/>
      </c>
      <c r="AH109" s="62" t="n"/>
      <c r="AI109" s="62" t="n"/>
      <c r="AJ109" s="62" t="n"/>
      <c r="AK109" s="62" t="n"/>
      <c r="AL109" s="62">
        <f>IF(LEFT($C109,11)="[Jefatura] ",IFERROR(MATCH("Asistente Técnico de Riesgo|"&amp;MID($C109,12,500),rDname_ADM,0),0),"")</f>
        <v/>
      </c>
      <c r="AM109" s="62">
        <f>IF(N($AL109)&gt;0,INDEX(rIni_ADM,$AL109),IF(ISNUMBER($E109),$E109,""))</f>
        <v/>
      </c>
      <c r="AN109" s="62">
        <f>IF(N($AL109)&gt;0,INDEX(rLim_ADM,$AL109),IF(ISNUMBER($F109),$F109,""))</f>
        <v/>
      </c>
    </row>
    <row r="110">
      <c r="A110" s="56">
        <f>IF(NOT((COUNTA($B110:$D110)+COUNTA($G110:$L110)+COUNTA($Q110))&gt;0),"",IF($V110="Macro",COUNTIFS($V$5:$V110,"Macro",$S$5:$S110,$S110),IF(N($U110)=0,"?",COUNTIFS(INDEX($V$5:$V$1000,1):INDEX($V$5:$V$1000,$U110-4),"Macro",INDEX($S$5:$S$1000,1):INDEX($S$5:$S$1000,$U110-4),INDEX($S$5:$S$1000,$U110-4))&amp;"."&amp;COUNTIFS($U$5:$U110,$U110,$V$5:$V110,"Sub"))))</f>
        <v/>
      </c>
      <c r="B110" s="57" t="n"/>
      <c r="C110" s="58" t="n"/>
      <c r="D110" s="58" t="n"/>
      <c r="E110" s="59">
        <f>IF(N($AL110)&gt;0,INDEX(rIni_ADM,$AL110),"")</f>
        <v/>
      </c>
      <c r="F110" s="59">
        <f>IF(N($AL110)&gt;0,INDEX(rLim_ADM,$AL110),"")</f>
        <v/>
      </c>
      <c r="G110" s="59" t="n"/>
      <c r="H110" s="60" t="n"/>
      <c r="I110" s="60" t="n"/>
      <c r="J110" s="60" t="n"/>
      <c r="K110" s="60" t="n"/>
      <c r="L110" s="60" t="n"/>
      <c r="M110" s="61">
        <f>IF(NOT((COUNTA($B110:$D110)+COUNTA($G110:$L110)+COUNTA($Q110))&gt;0),"",IF($V110="Sub",IFERROR($X110/INDEX($W$5:$W$1000,$U110-4),""),IF(ISNUMBER($G110),1,IF(N($W110)&gt;0,AVERAGEIFS($X$5:$X$1000,$U$5:$U$1000,ROW(),$V$5:$V$1000,"Sub"),$X110))))</f>
        <v/>
      </c>
      <c r="N110" s="56">
        <f>IF(OR($M110="",$V110="Sub"),"",IF($M110&gt;=1,"Completado",IF($M110&gt;0,"En curso","Pendiente")))</f>
        <v/>
      </c>
      <c r="O110" s="56">
        <f>IF(OR(NOT((COUNTA($B110:$D110)+COUNTA($G110:$L110)+COUNTA($Q110))&gt;0),$V110="Sub"),"",IF(ISNUMBER($G110),IF(AND(ISNUMBER($AN110),$G110&gt;$AN110),"Cumplida con "&amp;($G110-$AN110)&amp;IF($G110-$AN110=1," día"," días")&amp;" de retraso","Cumplida"),IF(N($M110)&gt;=1,"Cumplida",IF(NOT(ISNUMBER($AN110)),"Sin fecha límite",IF($AN110&lt;FechaRef,"Vencida hace "&amp;(FechaRef-$AN110)&amp;IF(FechaRef-$AN110=1," día"," días"),IF($AN110=FechaRef,"Vence hoy",IF($AN110-FechaRef&lt;=DiasAlerta,"Vence en "&amp;($AN110-FechaRef)&amp;IF($AN110-FechaRef=1," día"," días"),"En plazo")))))))</f>
        <v/>
      </c>
      <c r="P110" s="62" t="n"/>
      <c r="Q110" s="58" t="n"/>
      <c r="R110" s="63">
        <f>IF(NOT((COUNTA($B110:$D110)+COUNTA($G110:$L110)+COUNTA($Q110))&gt;0),"",IF((IF($C110="","Falta el nombre de la actividad"&amp;" · ","")&amp;IF(AND($V110="Sub",N($U110)=0),"Subactividad sin macroactividad arriba"&amp;" · ","")&amp;IF($AM110="","Sin fecha de inicio"&amp;" · ","")&amp;IF($AN110="","Sin fecha límite"&amp;" · ","")&amp;IF(AND(LEFT($C110,11)="[Jefatura] ",N($AL110)=0),"No se encuentra en la hoja de la jefatura (elíjala de nuevo en la lista)"&amp;" · ","")&amp;IF(OR(AND($E110&lt;&gt;"",NOT(ISNUMBER($E110))),AND($F110&lt;&gt;"",NOT(ISNUMBER($F110))),AND($G110&lt;&gt;"",NOT(ISNUMBER($G110)))),"Fecha no válida"&amp;" · ","")&amp;IF(AND(ISNUMBER($AM110),ISNUMBER($AN110),$AM110&gt;$AN110),"Inicio posterior a fecha límite"&amp;" · ","")&amp;IF(AND($V110="Macro",$H110&lt;&gt;"",OR(NOT(ISNUMBER($H110)),$H110&lt;0,$H110&gt;1)),"Peso fuera de rango"&amp;" · ","")&amp;IF(AND($V110="Sub",$H110&lt;&gt;""),"Las subactividades no llevan peso (valen igual dentro de su macroactividad)"&amp;" · ","")&amp;IF(AND(N($W110)&gt;0,COUNT($I110:$L110)&gt;0),"Con subactividades: deje vacías las semanas (se calculan solas)"&amp;" · ","")&amp;IF((COUNTIF($I110:$L110,"&gt;1")+COUNTIF($I110:$L110,"&lt;0")+COUNTA($I110:$L110)-COUNT($I110:$L110))&gt;0,"Avance fuera de rango 0-100%"&amp;" · ","")&amp;IF(OR(AND($J110&lt;&gt;"",$J110&lt;$I110),AND($K110&lt;&gt;"",$K110&lt;MAX($I110:$J110)),AND($L110&lt;&gt;"",$L110&lt;MAX($I110:$K110))),"Avance semanal decreciente"&amp;" · ","")&amp;IF(AND(ISNUMBER($AN110),$AN110&lt;FechaRef,IF($V110="Sub",N($X110),N($M110))&lt;1),"Vencida"&amp;" · ","")&amp;IF(AND(ObsObligatoria="Sí",ISNUMBER($AN110),$AN110&lt;FechaRef,IF($V110="Sub",N($X110),N($M110))&lt;1,$Q110=""),"Vencida sin observación"&amp;" · ",""))="","✔ OK","⚠ "&amp;LEFT(IF($C110="","Falta el nombre de la actividad"&amp;" · ","")&amp;IF(AND($V110="Sub",N($U110)=0),"Subactividad sin macroactividad arriba"&amp;" · ","")&amp;IF($AM110="","Sin fecha de inicio"&amp;" · ","")&amp;IF($AN110="","Sin fecha límite"&amp;" · ","")&amp;IF(AND(LEFT($C110,11)="[Jefatura] ",N($AL110)=0),"No se encuentra en la hoja de la jefatura (elíjala de nuevo en la lista)"&amp;" · ","")&amp;IF(OR(AND($E110&lt;&gt;"",NOT(ISNUMBER($E110))),AND($F110&lt;&gt;"",NOT(ISNUMBER($F110))),AND($G110&lt;&gt;"",NOT(ISNUMBER($G110)))),"Fecha no válida"&amp;" · ","")&amp;IF(AND(ISNUMBER($AM110),ISNUMBER($AN110),$AM110&gt;$AN110),"Inicio posterior a fecha límite"&amp;" · ","")&amp;IF(AND($V110="Macro",$H110&lt;&gt;"",OR(NOT(ISNUMBER($H110)),$H110&lt;0,$H110&gt;1)),"Peso fuera de rango"&amp;" · ","")&amp;IF(AND($V110="Sub",$H110&lt;&gt;""),"Las subactividades no llevan peso (valen igual dentro de su macroactividad)"&amp;" · ","")&amp;IF(AND(N($W110)&gt;0,COUNT($I110:$L110)&gt;0),"Con subactividades: deje vacías las semanas (se calculan solas)"&amp;" · ","")&amp;IF((COUNTIF($I110:$L110,"&gt;1")+COUNTIF($I110:$L110,"&lt;0")+COUNTA($I110:$L110)-COUNT($I110:$L110))&gt;0,"Avance fuera de rango 0-100%"&amp;" · ","")&amp;IF(OR(AND($J110&lt;&gt;"",$J110&lt;$I110),AND($K110&lt;&gt;"",$K110&lt;MAX($I110:$J110)),AND($L110&lt;&gt;"",$L110&lt;MAX($I110:$K110))),"Avance semanal decreciente"&amp;" · ","")&amp;IF(AND(ISNUMBER($AN110),$AN110&lt;FechaRef,IF($V110="Sub",N($X110),N($M110))&lt;1),"Vencida"&amp;" · ","")&amp;IF(AND(ObsObligatoria="Sí",ISNUMBER($AN110),$AN110&lt;FechaRef,IF($V110="Sub",N($X110),N($M110))&lt;1,$Q110=""),"Vencida sin observación"&amp;" · ",""),LEN(IF($C110="","Falta el nombre de la actividad"&amp;" · ","")&amp;IF(AND($V110="Sub",N($U110)=0),"Subactividad sin macroactividad arriba"&amp;" · ","")&amp;IF($AM110="","Sin fecha de inicio"&amp;" · ","")&amp;IF($AN110="","Sin fecha límite"&amp;" · ","")&amp;IF(AND(LEFT($C110,11)="[Jefatura] ",N($AL110)=0),"No se encuentra en la hoja de la jefatura (elíjala de nuevo en la lista)"&amp;" · ","")&amp;IF(OR(AND($E110&lt;&gt;"",NOT(ISNUMBER($E110))),AND($F110&lt;&gt;"",NOT(ISNUMBER($F110))),AND($G110&lt;&gt;"",NOT(ISNUMBER($G110)))),"Fecha no válida"&amp;" · ","")&amp;IF(AND(ISNUMBER($AM110),ISNUMBER($AN110),$AM110&gt;$AN110),"Inicio posterior a fecha límite"&amp;" · ","")&amp;IF(AND($V110="Macro",$H110&lt;&gt;"",OR(NOT(ISNUMBER($H110)),$H110&lt;0,$H110&gt;1)),"Peso fuera de rango"&amp;" · ","")&amp;IF(AND($V110="Sub",$H110&lt;&gt;""),"Las subactividades no llevan peso (valen igual dentro de su macroactividad)"&amp;" · ","")&amp;IF(AND(N($W110)&gt;0,COUNT($I110:$L110)&gt;0),"Con subactividades: deje vacías las semanas (se calculan solas)"&amp;" · ","")&amp;IF((COUNTIF($I110:$L110,"&gt;1")+COUNTIF($I110:$L110,"&lt;0")+COUNTA($I110:$L110)-COUNT($I110:$L110))&gt;0,"Avance fuera de rango 0-100%"&amp;" · ","")&amp;IF(OR(AND($J110&lt;&gt;"",$J110&lt;$I110),AND($K110&lt;&gt;"",$K110&lt;MAX($I110:$J110)),AND($L110&lt;&gt;"",$L110&lt;MAX($I110:$K110))),"Avance semanal decreciente"&amp;" · ","")&amp;IF(AND(ISNUMBER($AN110),$AN110&lt;FechaRef,IF($V110="Sub",N($X110),N($M110))&lt;1),"Vencida"&amp;" · ","")&amp;IF(AND(ObsObligatoria="Sí",ISNUMBER($AN110),$AN110&lt;FechaRef,IF($V110="Sub",N($X110),N($M110))&lt;1,$Q110=""),"Vencida sin observación"&amp;" · ",""))-3)))</f>
        <v/>
      </c>
      <c r="S110" s="64">
        <f>IF(NOT((COUNTA($B110:$D110)+COUNTA($G110:$L110)+COUNTA($Q110))&gt;0),"",IF(AND($V110="Sub",N($U110)&gt;0),IF(ISNUMBER(INDEX($AM$5:$AM$1000,$U110-4)),DATE(YEAR(INDEX($AM$5:$AM$1000,$U110-4)),MONTH(INDEX($AM$5:$AM$1000,$U110-4)),1),IF(ISNUMBER(INDEX($AN$5:$AN$1000,$U110-4)),DATE(YEAR(INDEX($AN$5:$AN$1000,$U110-4)),MONTH(INDEX($AN$5:$AN$1000,$U110-4)),1),MesCiclo)),IF(ISNUMBER($AM110),DATE(YEAR($AM110),MONTH($AM110),1),IF(ISNUMBER($AN110),DATE(YEAR($AN110),MONTH($AN110),1),MesCiclo))))</f>
        <v/>
      </c>
      <c r="T110" s="62">
        <f>IF(OR($S110="",$S110&lt;&gt;MesCiclo,$V110&lt;&gt;"Macro"),"",COUNTIFS($S$5:$S110,MesCiclo,$V$5:$V110,"Macro"))</f>
        <v/>
      </c>
      <c r="U110" s="62">
        <f>IF($V110="","",IF($V110="Macro",ROW(),IFERROR(LOOKUP(2,1/($V$5:$V110="Macro"),ROW($V$5:$V110)),0)))</f>
        <v/>
      </c>
      <c r="V110" s="62">
        <f>IF(NOT((COUNTA($B110:$D110)+COUNTA($G110:$L110)+COUNTA($Q110))&gt;0),"",IF($B110="Subactividad","Sub","Macro"))</f>
        <v/>
      </c>
      <c r="W110" s="62">
        <f>IF($V110="Macro",COUNTIFS($U$5:$U$1000,ROW(),$V$5:$V$1000,"Sub"),"")</f>
        <v/>
      </c>
      <c r="X110" s="62">
        <f>IF($V110="","",IF(ISNUMBER($G110),1,IFERROR(LOOKUP(2,1/($I110:$L110&lt;&gt;""),$I110:$L110),0)))</f>
        <v/>
      </c>
      <c r="Y110" s="62">
        <f>IF($V110="","",IF(AND(ISNUMBER($G110),$G110&lt;=IF($S110=MesCiclo,InicioCiclo,$S110+MOD(2-WEEKDAY($S110),7))+6),1,IF(ISNUMBER($I110),$I110,0)))</f>
        <v/>
      </c>
      <c r="Z110" s="62">
        <f>IF($V110="","",IF(AND(ISNUMBER($G110),$G110&lt;=IF($S110=MesCiclo,InicioCiclo,$S110+MOD(2-WEEKDAY($S110),7))+13),1,IF(ISNUMBER($J110),$J110,$Y110)))</f>
        <v/>
      </c>
      <c r="AA110" s="62">
        <f>IF($V110="","",IF(AND(ISNUMBER($G110),$G110&lt;=IF($S110=MesCiclo,InicioCiclo,$S110+MOD(2-WEEKDAY($S110),7))+20),1,IF(ISNUMBER($K110),$K110,$Z110)))</f>
        <v/>
      </c>
      <c r="AB110" s="62">
        <f>IF($V110="","",IF(AND(ISNUMBER($G110),$G110&lt;=IF($S110=MesCiclo,InicioCiclo,$S110+MOD(2-WEEKDAY($S110),7))+27),1,IF(ISNUMBER($L110),$L110,$AA110)))</f>
        <v/>
      </c>
      <c r="AC110" s="62">
        <f>IF($V110="","",IF(AND(ISNUMBER($G110),$G110&lt;=IF($S110=MesCiclo,InicioCiclo,$S110+MOD(2-WEEKDAY($S110),7))+6),1,IF(N($W110)&gt;0,AVERAGEIFS($Y$5:$Y$1000,$U$5:$U$1000,ROW(),$V$5:$V$1000,"Sub"),$Y110)))</f>
        <v/>
      </c>
      <c r="AD110" s="62">
        <f>IF($V110="","",IF(AND(ISNUMBER($G110),$G110&lt;=IF($S110=MesCiclo,InicioCiclo,$S110+MOD(2-WEEKDAY($S110),7))+13),1,IF(N($W110)&gt;0,AVERAGEIFS($Z$5:$Z$1000,$U$5:$U$1000,ROW(),$V$5:$V$1000,"Sub"),$Z110)))</f>
        <v/>
      </c>
      <c r="AE110" s="62">
        <f>IF($V110="","",IF(AND(ISNUMBER($G110),$G110&lt;=IF($S110=MesCiclo,InicioCiclo,$S110+MOD(2-WEEKDAY($S110),7))+20),1,IF(N($W110)&gt;0,AVERAGEIFS($AA$5:$AA$1000,$U$5:$U$1000,ROW(),$V$5:$V$1000,"Sub"),$AA110)))</f>
        <v/>
      </c>
      <c r="AF110" s="62">
        <f>IF($V110="","",IF(AND(ISNUMBER($G110),$G110&lt;=IF($S110=MesCiclo,InicioCiclo,$S110+MOD(2-WEEKDAY($S110),7))+27),1,IF(N($W110)&gt;0,AVERAGEIFS($AB$5:$AB$1000,$U$5:$U$1000,ROW(),$V$5:$V$1000,"Sub"),$AB110)))</f>
        <v/>
      </c>
      <c r="AG110" s="62">
        <f>IF($V110&lt;&gt;"Macro","",IF(COUNTIFS($S$5:$S$1000,$S110,$V$5:$V$1000,"Macro",$H$5:$H$1000,"&gt;0")=0,1/COUNTIFS($S$5:$S$1000,$S110,$V$5:$V$1000,"Macro"),IF(AND(ISNUMBER($H110),N($H110)&gt;0),$H110,SUMIFS($H$5:$H$1000,$S$5:$S$1000,$S110,$V$5:$V$1000,"Macro")/COUNTIFS($S$5:$S$1000,$S110,$V$5:$V$1000,"Macro",$H$5:$H$1000,"&gt;0"))/(COUNTIFS($S$5:$S$1000,$S110,$V$5:$V$1000,"Macro")*SUMIFS($H$5:$H$1000,$S$5:$S$1000,$S110,$V$5:$V$1000,"Macro")/COUNTIFS($S$5:$S$1000,$S110,$V$5:$V$1000,"Macro",$H$5:$H$1000,"&gt;0"))))</f>
        <v/>
      </c>
      <c r="AH110" s="62" t="n"/>
      <c r="AI110" s="62" t="n"/>
      <c r="AJ110" s="62" t="n"/>
      <c r="AK110" s="62" t="n"/>
      <c r="AL110" s="62">
        <f>IF(LEFT($C110,11)="[Jefatura] ",IFERROR(MATCH("Asistente Técnico de Riesgo|"&amp;MID($C110,12,500),rDname_ADM,0),0),"")</f>
        <v/>
      </c>
      <c r="AM110" s="62">
        <f>IF(N($AL110)&gt;0,INDEX(rIni_ADM,$AL110),IF(ISNUMBER($E110),$E110,""))</f>
        <v/>
      </c>
      <c r="AN110" s="62">
        <f>IF(N($AL110)&gt;0,INDEX(rLim_ADM,$AL110),IF(ISNUMBER($F110),$F110,""))</f>
        <v/>
      </c>
    </row>
    <row r="111">
      <c r="A111" s="56">
        <f>IF(NOT((COUNTA($B111:$D111)+COUNTA($G111:$L111)+COUNTA($Q111))&gt;0),"",IF($V111="Macro",COUNTIFS($V$5:$V111,"Macro",$S$5:$S111,$S111),IF(N($U111)=0,"?",COUNTIFS(INDEX($V$5:$V$1000,1):INDEX($V$5:$V$1000,$U111-4),"Macro",INDEX($S$5:$S$1000,1):INDEX($S$5:$S$1000,$U111-4),INDEX($S$5:$S$1000,$U111-4))&amp;"."&amp;COUNTIFS($U$5:$U111,$U111,$V$5:$V111,"Sub"))))</f>
        <v/>
      </c>
      <c r="B111" s="57" t="n"/>
      <c r="C111" s="58" t="n"/>
      <c r="D111" s="58" t="n"/>
      <c r="E111" s="59">
        <f>IF(N($AL111)&gt;0,INDEX(rIni_ADM,$AL111),"")</f>
        <v/>
      </c>
      <c r="F111" s="59">
        <f>IF(N($AL111)&gt;0,INDEX(rLim_ADM,$AL111),"")</f>
        <v/>
      </c>
      <c r="G111" s="59" t="n"/>
      <c r="H111" s="60" t="n"/>
      <c r="I111" s="60" t="n"/>
      <c r="J111" s="60" t="n"/>
      <c r="K111" s="60" t="n"/>
      <c r="L111" s="60" t="n"/>
      <c r="M111" s="61">
        <f>IF(NOT((COUNTA($B111:$D111)+COUNTA($G111:$L111)+COUNTA($Q111))&gt;0),"",IF($V111="Sub",IFERROR($X111/INDEX($W$5:$W$1000,$U111-4),""),IF(ISNUMBER($G111),1,IF(N($W111)&gt;0,AVERAGEIFS($X$5:$X$1000,$U$5:$U$1000,ROW(),$V$5:$V$1000,"Sub"),$X111))))</f>
        <v/>
      </c>
      <c r="N111" s="56">
        <f>IF(OR($M111="",$V111="Sub"),"",IF($M111&gt;=1,"Completado",IF($M111&gt;0,"En curso","Pendiente")))</f>
        <v/>
      </c>
      <c r="O111" s="56">
        <f>IF(OR(NOT((COUNTA($B111:$D111)+COUNTA($G111:$L111)+COUNTA($Q111))&gt;0),$V111="Sub"),"",IF(ISNUMBER($G111),IF(AND(ISNUMBER($AN111),$G111&gt;$AN111),"Cumplida con "&amp;($G111-$AN111)&amp;IF($G111-$AN111=1," día"," días")&amp;" de retraso","Cumplida"),IF(N($M111)&gt;=1,"Cumplida",IF(NOT(ISNUMBER($AN111)),"Sin fecha límite",IF($AN111&lt;FechaRef,"Vencida hace "&amp;(FechaRef-$AN111)&amp;IF(FechaRef-$AN111=1," día"," días"),IF($AN111=FechaRef,"Vence hoy",IF($AN111-FechaRef&lt;=DiasAlerta,"Vence en "&amp;($AN111-FechaRef)&amp;IF($AN111-FechaRef=1," día"," días"),"En plazo")))))))</f>
        <v/>
      </c>
      <c r="P111" s="62" t="n"/>
      <c r="Q111" s="58" t="n"/>
      <c r="R111" s="63">
        <f>IF(NOT((COUNTA($B111:$D111)+COUNTA($G111:$L111)+COUNTA($Q111))&gt;0),"",IF((IF($C111="","Falta el nombre de la actividad"&amp;" · ","")&amp;IF(AND($V111="Sub",N($U111)=0),"Subactividad sin macroactividad arriba"&amp;" · ","")&amp;IF($AM111="","Sin fecha de inicio"&amp;" · ","")&amp;IF($AN111="","Sin fecha límite"&amp;" · ","")&amp;IF(AND(LEFT($C111,11)="[Jefatura] ",N($AL111)=0),"No se encuentra en la hoja de la jefatura (elíjala de nuevo en la lista)"&amp;" · ","")&amp;IF(OR(AND($E111&lt;&gt;"",NOT(ISNUMBER($E111))),AND($F111&lt;&gt;"",NOT(ISNUMBER($F111))),AND($G111&lt;&gt;"",NOT(ISNUMBER($G111)))),"Fecha no válida"&amp;" · ","")&amp;IF(AND(ISNUMBER($AM111),ISNUMBER($AN111),$AM111&gt;$AN111),"Inicio posterior a fecha límite"&amp;" · ","")&amp;IF(AND($V111="Macro",$H111&lt;&gt;"",OR(NOT(ISNUMBER($H111)),$H111&lt;0,$H111&gt;1)),"Peso fuera de rango"&amp;" · ","")&amp;IF(AND($V111="Sub",$H111&lt;&gt;""),"Las subactividades no llevan peso (valen igual dentro de su macroactividad)"&amp;" · ","")&amp;IF(AND(N($W111)&gt;0,COUNT($I111:$L111)&gt;0),"Con subactividades: deje vacías las semanas (se calculan solas)"&amp;" · ","")&amp;IF((COUNTIF($I111:$L111,"&gt;1")+COUNTIF($I111:$L111,"&lt;0")+COUNTA($I111:$L111)-COUNT($I111:$L111))&gt;0,"Avance fuera de rango 0-100%"&amp;" · ","")&amp;IF(OR(AND($J111&lt;&gt;"",$J111&lt;$I111),AND($K111&lt;&gt;"",$K111&lt;MAX($I111:$J111)),AND($L111&lt;&gt;"",$L111&lt;MAX($I111:$K111))),"Avance semanal decreciente"&amp;" · ","")&amp;IF(AND(ISNUMBER($AN111),$AN111&lt;FechaRef,IF($V111="Sub",N($X111),N($M111))&lt;1),"Vencida"&amp;" · ","")&amp;IF(AND(ObsObligatoria="Sí",ISNUMBER($AN111),$AN111&lt;FechaRef,IF($V111="Sub",N($X111),N($M111))&lt;1,$Q111=""),"Vencida sin observación"&amp;" · ",""))="","✔ OK","⚠ "&amp;LEFT(IF($C111="","Falta el nombre de la actividad"&amp;" · ","")&amp;IF(AND($V111="Sub",N($U111)=0),"Subactividad sin macroactividad arriba"&amp;" · ","")&amp;IF($AM111="","Sin fecha de inicio"&amp;" · ","")&amp;IF($AN111="","Sin fecha límite"&amp;" · ","")&amp;IF(AND(LEFT($C111,11)="[Jefatura] ",N($AL111)=0),"No se encuentra en la hoja de la jefatura (elíjala de nuevo en la lista)"&amp;" · ","")&amp;IF(OR(AND($E111&lt;&gt;"",NOT(ISNUMBER($E111))),AND($F111&lt;&gt;"",NOT(ISNUMBER($F111))),AND($G111&lt;&gt;"",NOT(ISNUMBER($G111)))),"Fecha no válida"&amp;" · ","")&amp;IF(AND(ISNUMBER($AM111),ISNUMBER($AN111),$AM111&gt;$AN111),"Inicio posterior a fecha límite"&amp;" · ","")&amp;IF(AND($V111="Macro",$H111&lt;&gt;"",OR(NOT(ISNUMBER($H111)),$H111&lt;0,$H111&gt;1)),"Peso fuera de rango"&amp;" · ","")&amp;IF(AND($V111="Sub",$H111&lt;&gt;""),"Las subactividades no llevan peso (valen igual dentro de su macroactividad)"&amp;" · ","")&amp;IF(AND(N($W111)&gt;0,COUNT($I111:$L111)&gt;0),"Con subactividades: deje vacías las semanas (se calculan solas)"&amp;" · ","")&amp;IF((COUNTIF($I111:$L111,"&gt;1")+COUNTIF($I111:$L111,"&lt;0")+COUNTA($I111:$L111)-COUNT($I111:$L111))&gt;0,"Avance fuera de rango 0-100%"&amp;" · ","")&amp;IF(OR(AND($J111&lt;&gt;"",$J111&lt;$I111),AND($K111&lt;&gt;"",$K111&lt;MAX($I111:$J111)),AND($L111&lt;&gt;"",$L111&lt;MAX($I111:$K111))),"Avance semanal decreciente"&amp;" · ","")&amp;IF(AND(ISNUMBER($AN111),$AN111&lt;FechaRef,IF($V111="Sub",N($X111),N($M111))&lt;1),"Vencida"&amp;" · ","")&amp;IF(AND(ObsObligatoria="Sí",ISNUMBER($AN111),$AN111&lt;FechaRef,IF($V111="Sub",N($X111),N($M111))&lt;1,$Q111=""),"Vencida sin observación"&amp;" · ",""),LEN(IF($C111="","Falta el nombre de la actividad"&amp;" · ","")&amp;IF(AND($V111="Sub",N($U111)=0),"Subactividad sin macroactividad arriba"&amp;" · ","")&amp;IF($AM111="","Sin fecha de inicio"&amp;" · ","")&amp;IF($AN111="","Sin fecha límite"&amp;" · ","")&amp;IF(AND(LEFT($C111,11)="[Jefatura] ",N($AL111)=0),"No se encuentra en la hoja de la jefatura (elíjala de nuevo en la lista)"&amp;" · ","")&amp;IF(OR(AND($E111&lt;&gt;"",NOT(ISNUMBER($E111))),AND($F111&lt;&gt;"",NOT(ISNUMBER($F111))),AND($G111&lt;&gt;"",NOT(ISNUMBER($G111)))),"Fecha no válida"&amp;" · ","")&amp;IF(AND(ISNUMBER($AM111),ISNUMBER($AN111),$AM111&gt;$AN111),"Inicio posterior a fecha límite"&amp;" · ","")&amp;IF(AND($V111="Macro",$H111&lt;&gt;"",OR(NOT(ISNUMBER($H111)),$H111&lt;0,$H111&gt;1)),"Peso fuera de rango"&amp;" · ","")&amp;IF(AND($V111="Sub",$H111&lt;&gt;""),"Las subactividades no llevan peso (valen igual dentro de su macroactividad)"&amp;" · ","")&amp;IF(AND(N($W111)&gt;0,COUNT($I111:$L111)&gt;0),"Con subactividades: deje vacías las semanas (se calculan solas)"&amp;" · ","")&amp;IF((COUNTIF($I111:$L111,"&gt;1")+COUNTIF($I111:$L111,"&lt;0")+COUNTA($I111:$L111)-COUNT($I111:$L111))&gt;0,"Avance fuera de rango 0-100%"&amp;" · ","")&amp;IF(OR(AND($J111&lt;&gt;"",$J111&lt;$I111),AND($K111&lt;&gt;"",$K111&lt;MAX($I111:$J111)),AND($L111&lt;&gt;"",$L111&lt;MAX($I111:$K111))),"Avance semanal decreciente"&amp;" · ","")&amp;IF(AND(ISNUMBER($AN111),$AN111&lt;FechaRef,IF($V111="Sub",N($X111),N($M111))&lt;1),"Vencida"&amp;" · ","")&amp;IF(AND(ObsObligatoria="Sí",ISNUMBER($AN111),$AN111&lt;FechaRef,IF($V111="Sub",N($X111),N($M111))&lt;1,$Q111=""),"Vencida sin observación"&amp;" · ",""))-3)))</f>
        <v/>
      </c>
      <c r="S111" s="64">
        <f>IF(NOT((COUNTA($B111:$D111)+COUNTA($G111:$L111)+COUNTA($Q111))&gt;0),"",IF(AND($V111="Sub",N($U111)&gt;0),IF(ISNUMBER(INDEX($AM$5:$AM$1000,$U111-4)),DATE(YEAR(INDEX($AM$5:$AM$1000,$U111-4)),MONTH(INDEX($AM$5:$AM$1000,$U111-4)),1),IF(ISNUMBER(INDEX($AN$5:$AN$1000,$U111-4)),DATE(YEAR(INDEX($AN$5:$AN$1000,$U111-4)),MONTH(INDEX($AN$5:$AN$1000,$U111-4)),1),MesCiclo)),IF(ISNUMBER($AM111),DATE(YEAR($AM111),MONTH($AM111),1),IF(ISNUMBER($AN111),DATE(YEAR($AN111),MONTH($AN111),1),MesCiclo))))</f>
        <v/>
      </c>
      <c r="T111" s="62">
        <f>IF(OR($S111="",$S111&lt;&gt;MesCiclo,$V111&lt;&gt;"Macro"),"",COUNTIFS($S$5:$S111,MesCiclo,$V$5:$V111,"Macro"))</f>
        <v/>
      </c>
      <c r="U111" s="62">
        <f>IF($V111="","",IF($V111="Macro",ROW(),IFERROR(LOOKUP(2,1/($V$5:$V111="Macro"),ROW($V$5:$V111)),0)))</f>
        <v/>
      </c>
      <c r="V111" s="62">
        <f>IF(NOT((COUNTA($B111:$D111)+COUNTA($G111:$L111)+COUNTA($Q111))&gt;0),"",IF($B111="Subactividad","Sub","Macro"))</f>
        <v/>
      </c>
      <c r="W111" s="62">
        <f>IF($V111="Macro",COUNTIFS($U$5:$U$1000,ROW(),$V$5:$V$1000,"Sub"),"")</f>
        <v/>
      </c>
      <c r="X111" s="62">
        <f>IF($V111="","",IF(ISNUMBER($G111),1,IFERROR(LOOKUP(2,1/($I111:$L111&lt;&gt;""),$I111:$L111),0)))</f>
        <v/>
      </c>
      <c r="Y111" s="62">
        <f>IF($V111="","",IF(AND(ISNUMBER($G111),$G111&lt;=IF($S111=MesCiclo,InicioCiclo,$S111+MOD(2-WEEKDAY($S111),7))+6),1,IF(ISNUMBER($I111),$I111,0)))</f>
        <v/>
      </c>
      <c r="Z111" s="62">
        <f>IF($V111="","",IF(AND(ISNUMBER($G111),$G111&lt;=IF($S111=MesCiclo,InicioCiclo,$S111+MOD(2-WEEKDAY($S111),7))+13),1,IF(ISNUMBER($J111),$J111,$Y111)))</f>
        <v/>
      </c>
      <c r="AA111" s="62">
        <f>IF($V111="","",IF(AND(ISNUMBER($G111),$G111&lt;=IF($S111=MesCiclo,InicioCiclo,$S111+MOD(2-WEEKDAY($S111),7))+20),1,IF(ISNUMBER($K111),$K111,$Z111)))</f>
        <v/>
      </c>
      <c r="AB111" s="62">
        <f>IF($V111="","",IF(AND(ISNUMBER($G111),$G111&lt;=IF($S111=MesCiclo,InicioCiclo,$S111+MOD(2-WEEKDAY($S111),7))+27),1,IF(ISNUMBER($L111),$L111,$AA111)))</f>
        <v/>
      </c>
      <c r="AC111" s="62">
        <f>IF($V111="","",IF(AND(ISNUMBER($G111),$G111&lt;=IF($S111=MesCiclo,InicioCiclo,$S111+MOD(2-WEEKDAY($S111),7))+6),1,IF(N($W111)&gt;0,AVERAGEIFS($Y$5:$Y$1000,$U$5:$U$1000,ROW(),$V$5:$V$1000,"Sub"),$Y111)))</f>
        <v/>
      </c>
      <c r="AD111" s="62">
        <f>IF($V111="","",IF(AND(ISNUMBER($G111),$G111&lt;=IF($S111=MesCiclo,InicioCiclo,$S111+MOD(2-WEEKDAY($S111),7))+13),1,IF(N($W111)&gt;0,AVERAGEIFS($Z$5:$Z$1000,$U$5:$U$1000,ROW(),$V$5:$V$1000,"Sub"),$Z111)))</f>
        <v/>
      </c>
      <c r="AE111" s="62">
        <f>IF($V111="","",IF(AND(ISNUMBER($G111),$G111&lt;=IF($S111=MesCiclo,InicioCiclo,$S111+MOD(2-WEEKDAY($S111),7))+20),1,IF(N($W111)&gt;0,AVERAGEIFS($AA$5:$AA$1000,$U$5:$U$1000,ROW(),$V$5:$V$1000,"Sub"),$AA111)))</f>
        <v/>
      </c>
      <c r="AF111" s="62">
        <f>IF($V111="","",IF(AND(ISNUMBER($G111),$G111&lt;=IF($S111=MesCiclo,InicioCiclo,$S111+MOD(2-WEEKDAY($S111),7))+27),1,IF(N($W111)&gt;0,AVERAGEIFS($AB$5:$AB$1000,$U$5:$U$1000,ROW(),$V$5:$V$1000,"Sub"),$AB111)))</f>
        <v/>
      </c>
      <c r="AG111" s="62">
        <f>IF($V111&lt;&gt;"Macro","",IF(COUNTIFS($S$5:$S$1000,$S111,$V$5:$V$1000,"Macro",$H$5:$H$1000,"&gt;0")=0,1/COUNTIFS($S$5:$S$1000,$S111,$V$5:$V$1000,"Macro"),IF(AND(ISNUMBER($H111),N($H111)&gt;0),$H111,SUMIFS($H$5:$H$1000,$S$5:$S$1000,$S111,$V$5:$V$1000,"Macro")/COUNTIFS($S$5:$S$1000,$S111,$V$5:$V$1000,"Macro",$H$5:$H$1000,"&gt;0"))/(COUNTIFS($S$5:$S$1000,$S111,$V$5:$V$1000,"Macro")*SUMIFS($H$5:$H$1000,$S$5:$S$1000,$S111,$V$5:$V$1000,"Macro")/COUNTIFS($S$5:$S$1000,$S111,$V$5:$V$1000,"Macro",$H$5:$H$1000,"&gt;0"))))</f>
        <v/>
      </c>
      <c r="AH111" s="62" t="n"/>
      <c r="AI111" s="62" t="n"/>
      <c r="AJ111" s="62" t="n"/>
      <c r="AK111" s="62" t="n"/>
      <c r="AL111" s="62">
        <f>IF(LEFT($C111,11)="[Jefatura] ",IFERROR(MATCH("Asistente Técnico de Riesgo|"&amp;MID($C111,12,500),rDname_ADM,0),0),"")</f>
        <v/>
      </c>
      <c r="AM111" s="62">
        <f>IF(N($AL111)&gt;0,INDEX(rIni_ADM,$AL111),IF(ISNUMBER($E111),$E111,""))</f>
        <v/>
      </c>
      <c r="AN111" s="62">
        <f>IF(N($AL111)&gt;0,INDEX(rLim_ADM,$AL111),IF(ISNUMBER($F111),$F111,""))</f>
        <v/>
      </c>
    </row>
    <row r="112">
      <c r="A112" s="56">
        <f>IF(NOT((COUNTA($B112:$D112)+COUNTA($G112:$L112)+COUNTA($Q112))&gt;0),"",IF($V112="Macro",COUNTIFS($V$5:$V112,"Macro",$S$5:$S112,$S112),IF(N($U112)=0,"?",COUNTIFS(INDEX($V$5:$V$1000,1):INDEX($V$5:$V$1000,$U112-4),"Macro",INDEX($S$5:$S$1000,1):INDEX($S$5:$S$1000,$U112-4),INDEX($S$5:$S$1000,$U112-4))&amp;"."&amp;COUNTIFS($U$5:$U112,$U112,$V$5:$V112,"Sub"))))</f>
        <v/>
      </c>
      <c r="B112" s="57" t="n"/>
      <c r="C112" s="58" t="n"/>
      <c r="D112" s="58" t="n"/>
      <c r="E112" s="59">
        <f>IF(N($AL112)&gt;0,INDEX(rIni_ADM,$AL112),"")</f>
        <v/>
      </c>
      <c r="F112" s="59">
        <f>IF(N($AL112)&gt;0,INDEX(rLim_ADM,$AL112),"")</f>
        <v/>
      </c>
      <c r="G112" s="59" t="n"/>
      <c r="H112" s="60" t="n"/>
      <c r="I112" s="60" t="n"/>
      <c r="J112" s="60" t="n"/>
      <c r="K112" s="60" t="n"/>
      <c r="L112" s="60" t="n"/>
      <c r="M112" s="61">
        <f>IF(NOT((COUNTA($B112:$D112)+COUNTA($G112:$L112)+COUNTA($Q112))&gt;0),"",IF($V112="Sub",IFERROR($X112/INDEX($W$5:$W$1000,$U112-4),""),IF(ISNUMBER($G112),1,IF(N($W112)&gt;0,AVERAGEIFS($X$5:$X$1000,$U$5:$U$1000,ROW(),$V$5:$V$1000,"Sub"),$X112))))</f>
        <v/>
      </c>
      <c r="N112" s="56">
        <f>IF(OR($M112="",$V112="Sub"),"",IF($M112&gt;=1,"Completado",IF($M112&gt;0,"En curso","Pendiente")))</f>
        <v/>
      </c>
      <c r="O112" s="56">
        <f>IF(OR(NOT((COUNTA($B112:$D112)+COUNTA($G112:$L112)+COUNTA($Q112))&gt;0),$V112="Sub"),"",IF(ISNUMBER($G112),IF(AND(ISNUMBER($AN112),$G112&gt;$AN112),"Cumplida con "&amp;($G112-$AN112)&amp;IF($G112-$AN112=1," día"," días")&amp;" de retraso","Cumplida"),IF(N($M112)&gt;=1,"Cumplida",IF(NOT(ISNUMBER($AN112)),"Sin fecha límite",IF($AN112&lt;FechaRef,"Vencida hace "&amp;(FechaRef-$AN112)&amp;IF(FechaRef-$AN112=1," día"," días"),IF($AN112=FechaRef,"Vence hoy",IF($AN112-FechaRef&lt;=DiasAlerta,"Vence en "&amp;($AN112-FechaRef)&amp;IF($AN112-FechaRef=1," día"," días"),"En plazo")))))))</f>
        <v/>
      </c>
      <c r="P112" s="62" t="n"/>
      <c r="Q112" s="58" t="n"/>
      <c r="R112" s="63">
        <f>IF(NOT((COUNTA($B112:$D112)+COUNTA($G112:$L112)+COUNTA($Q112))&gt;0),"",IF((IF($C112="","Falta el nombre de la actividad"&amp;" · ","")&amp;IF(AND($V112="Sub",N($U112)=0),"Subactividad sin macroactividad arriba"&amp;" · ","")&amp;IF($AM112="","Sin fecha de inicio"&amp;" · ","")&amp;IF($AN112="","Sin fecha límite"&amp;" · ","")&amp;IF(AND(LEFT($C112,11)="[Jefatura] ",N($AL112)=0),"No se encuentra en la hoja de la jefatura (elíjala de nuevo en la lista)"&amp;" · ","")&amp;IF(OR(AND($E112&lt;&gt;"",NOT(ISNUMBER($E112))),AND($F112&lt;&gt;"",NOT(ISNUMBER($F112))),AND($G112&lt;&gt;"",NOT(ISNUMBER($G112)))),"Fecha no válida"&amp;" · ","")&amp;IF(AND(ISNUMBER($AM112),ISNUMBER($AN112),$AM112&gt;$AN112),"Inicio posterior a fecha límite"&amp;" · ","")&amp;IF(AND($V112="Macro",$H112&lt;&gt;"",OR(NOT(ISNUMBER($H112)),$H112&lt;0,$H112&gt;1)),"Peso fuera de rango"&amp;" · ","")&amp;IF(AND($V112="Sub",$H112&lt;&gt;""),"Las subactividades no llevan peso (valen igual dentro de su macroactividad)"&amp;" · ","")&amp;IF(AND(N($W112)&gt;0,COUNT($I112:$L112)&gt;0),"Con subactividades: deje vacías las semanas (se calculan solas)"&amp;" · ","")&amp;IF((COUNTIF($I112:$L112,"&gt;1")+COUNTIF($I112:$L112,"&lt;0")+COUNTA($I112:$L112)-COUNT($I112:$L112))&gt;0,"Avance fuera de rango 0-100%"&amp;" · ","")&amp;IF(OR(AND($J112&lt;&gt;"",$J112&lt;$I112),AND($K112&lt;&gt;"",$K112&lt;MAX($I112:$J112)),AND($L112&lt;&gt;"",$L112&lt;MAX($I112:$K112))),"Avance semanal decreciente"&amp;" · ","")&amp;IF(AND(ISNUMBER($AN112),$AN112&lt;FechaRef,IF($V112="Sub",N($X112),N($M112))&lt;1),"Vencida"&amp;" · ","")&amp;IF(AND(ObsObligatoria="Sí",ISNUMBER($AN112),$AN112&lt;FechaRef,IF($V112="Sub",N($X112),N($M112))&lt;1,$Q112=""),"Vencida sin observación"&amp;" · ",""))="","✔ OK","⚠ "&amp;LEFT(IF($C112="","Falta el nombre de la actividad"&amp;" · ","")&amp;IF(AND($V112="Sub",N($U112)=0),"Subactividad sin macroactividad arriba"&amp;" · ","")&amp;IF($AM112="","Sin fecha de inicio"&amp;" · ","")&amp;IF($AN112="","Sin fecha límite"&amp;" · ","")&amp;IF(AND(LEFT($C112,11)="[Jefatura] ",N($AL112)=0),"No se encuentra en la hoja de la jefatura (elíjala de nuevo en la lista)"&amp;" · ","")&amp;IF(OR(AND($E112&lt;&gt;"",NOT(ISNUMBER($E112))),AND($F112&lt;&gt;"",NOT(ISNUMBER($F112))),AND($G112&lt;&gt;"",NOT(ISNUMBER($G112)))),"Fecha no válida"&amp;" · ","")&amp;IF(AND(ISNUMBER($AM112),ISNUMBER($AN112),$AM112&gt;$AN112),"Inicio posterior a fecha límite"&amp;" · ","")&amp;IF(AND($V112="Macro",$H112&lt;&gt;"",OR(NOT(ISNUMBER($H112)),$H112&lt;0,$H112&gt;1)),"Peso fuera de rango"&amp;" · ","")&amp;IF(AND($V112="Sub",$H112&lt;&gt;""),"Las subactividades no llevan peso (valen igual dentro de su macroactividad)"&amp;" · ","")&amp;IF(AND(N($W112)&gt;0,COUNT($I112:$L112)&gt;0),"Con subactividades: deje vacías las semanas (se calculan solas)"&amp;" · ","")&amp;IF((COUNTIF($I112:$L112,"&gt;1")+COUNTIF($I112:$L112,"&lt;0")+COUNTA($I112:$L112)-COUNT($I112:$L112))&gt;0,"Avance fuera de rango 0-100%"&amp;" · ","")&amp;IF(OR(AND($J112&lt;&gt;"",$J112&lt;$I112),AND($K112&lt;&gt;"",$K112&lt;MAX($I112:$J112)),AND($L112&lt;&gt;"",$L112&lt;MAX($I112:$K112))),"Avance semanal decreciente"&amp;" · ","")&amp;IF(AND(ISNUMBER($AN112),$AN112&lt;FechaRef,IF($V112="Sub",N($X112),N($M112))&lt;1),"Vencida"&amp;" · ","")&amp;IF(AND(ObsObligatoria="Sí",ISNUMBER($AN112),$AN112&lt;FechaRef,IF($V112="Sub",N($X112),N($M112))&lt;1,$Q112=""),"Vencida sin observación"&amp;" · ",""),LEN(IF($C112="","Falta el nombre de la actividad"&amp;" · ","")&amp;IF(AND($V112="Sub",N($U112)=0),"Subactividad sin macroactividad arriba"&amp;" · ","")&amp;IF($AM112="","Sin fecha de inicio"&amp;" · ","")&amp;IF($AN112="","Sin fecha límite"&amp;" · ","")&amp;IF(AND(LEFT($C112,11)="[Jefatura] ",N($AL112)=0),"No se encuentra en la hoja de la jefatura (elíjala de nuevo en la lista)"&amp;" · ","")&amp;IF(OR(AND($E112&lt;&gt;"",NOT(ISNUMBER($E112))),AND($F112&lt;&gt;"",NOT(ISNUMBER($F112))),AND($G112&lt;&gt;"",NOT(ISNUMBER($G112)))),"Fecha no válida"&amp;" · ","")&amp;IF(AND(ISNUMBER($AM112),ISNUMBER($AN112),$AM112&gt;$AN112),"Inicio posterior a fecha límite"&amp;" · ","")&amp;IF(AND($V112="Macro",$H112&lt;&gt;"",OR(NOT(ISNUMBER($H112)),$H112&lt;0,$H112&gt;1)),"Peso fuera de rango"&amp;" · ","")&amp;IF(AND($V112="Sub",$H112&lt;&gt;""),"Las subactividades no llevan peso (valen igual dentro de su macroactividad)"&amp;" · ","")&amp;IF(AND(N($W112)&gt;0,COUNT($I112:$L112)&gt;0),"Con subactividades: deje vacías las semanas (se calculan solas)"&amp;" · ","")&amp;IF((COUNTIF($I112:$L112,"&gt;1")+COUNTIF($I112:$L112,"&lt;0")+COUNTA($I112:$L112)-COUNT($I112:$L112))&gt;0,"Avance fuera de rango 0-100%"&amp;" · ","")&amp;IF(OR(AND($J112&lt;&gt;"",$J112&lt;$I112),AND($K112&lt;&gt;"",$K112&lt;MAX($I112:$J112)),AND($L112&lt;&gt;"",$L112&lt;MAX($I112:$K112))),"Avance semanal decreciente"&amp;" · ","")&amp;IF(AND(ISNUMBER($AN112),$AN112&lt;FechaRef,IF($V112="Sub",N($X112),N($M112))&lt;1),"Vencida"&amp;" · ","")&amp;IF(AND(ObsObligatoria="Sí",ISNUMBER($AN112),$AN112&lt;FechaRef,IF($V112="Sub",N($X112),N($M112))&lt;1,$Q112=""),"Vencida sin observación"&amp;" · ",""))-3)))</f>
        <v/>
      </c>
      <c r="S112" s="64">
        <f>IF(NOT((COUNTA($B112:$D112)+COUNTA($G112:$L112)+COUNTA($Q112))&gt;0),"",IF(AND($V112="Sub",N($U112)&gt;0),IF(ISNUMBER(INDEX($AM$5:$AM$1000,$U112-4)),DATE(YEAR(INDEX($AM$5:$AM$1000,$U112-4)),MONTH(INDEX($AM$5:$AM$1000,$U112-4)),1),IF(ISNUMBER(INDEX($AN$5:$AN$1000,$U112-4)),DATE(YEAR(INDEX($AN$5:$AN$1000,$U112-4)),MONTH(INDEX($AN$5:$AN$1000,$U112-4)),1),MesCiclo)),IF(ISNUMBER($AM112),DATE(YEAR($AM112),MONTH($AM112),1),IF(ISNUMBER($AN112),DATE(YEAR($AN112),MONTH($AN112),1),MesCiclo))))</f>
        <v/>
      </c>
      <c r="T112" s="62">
        <f>IF(OR($S112="",$S112&lt;&gt;MesCiclo,$V112&lt;&gt;"Macro"),"",COUNTIFS($S$5:$S112,MesCiclo,$V$5:$V112,"Macro"))</f>
        <v/>
      </c>
      <c r="U112" s="62">
        <f>IF($V112="","",IF($V112="Macro",ROW(),IFERROR(LOOKUP(2,1/($V$5:$V112="Macro"),ROW($V$5:$V112)),0)))</f>
        <v/>
      </c>
      <c r="V112" s="62">
        <f>IF(NOT((COUNTA($B112:$D112)+COUNTA($G112:$L112)+COUNTA($Q112))&gt;0),"",IF($B112="Subactividad","Sub","Macro"))</f>
        <v/>
      </c>
      <c r="W112" s="62">
        <f>IF($V112="Macro",COUNTIFS($U$5:$U$1000,ROW(),$V$5:$V$1000,"Sub"),"")</f>
        <v/>
      </c>
      <c r="X112" s="62">
        <f>IF($V112="","",IF(ISNUMBER($G112),1,IFERROR(LOOKUP(2,1/($I112:$L112&lt;&gt;""),$I112:$L112),0)))</f>
        <v/>
      </c>
      <c r="Y112" s="62">
        <f>IF($V112="","",IF(AND(ISNUMBER($G112),$G112&lt;=IF($S112=MesCiclo,InicioCiclo,$S112+MOD(2-WEEKDAY($S112),7))+6),1,IF(ISNUMBER($I112),$I112,0)))</f>
        <v/>
      </c>
      <c r="Z112" s="62">
        <f>IF($V112="","",IF(AND(ISNUMBER($G112),$G112&lt;=IF($S112=MesCiclo,InicioCiclo,$S112+MOD(2-WEEKDAY($S112),7))+13),1,IF(ISNUMBER($J112),$J112,$Y112)))</f>
        <v/>
      </c>
      <c r="AA112" s="62">
        <f>IF($V112="","",IF(AND(ISNUMBER($G112),$G112&lt;=IF($S112=MesCiclo,InicioCiclo,$S112+MOD(2-WEEKDAY($S112),7))+20),1,IF(ISNUMBER($K112),$K112,$Z112)))</f>
        <v/>
      </c>
      <c r="AB112" s="62">
        <f>IF($V112="","",IF(AND(ISNUMBER($G112),$G112&lt;=IF($S112=MesCiclo,InicioCiclo,$S112+MOD(2-WEEKDAY($S112),7))+27),1,IF(ISNUMBER($L112),$L112,$AA112)))</f>
        <v/>
      </c>
      <c r="AC112" s="62">
        <f>IF($V112="","",IF(AND(ISNUMBER($G112),$G112&lt;=IF($S112=MesCiclo,InicioCiclo,$S112+MOD(2-WEEKDAY($S112),7))+6),1,IF(N($W112)&gt;0,AVERAGEIFS($Y$5:$Y$1000,$U$5:$U$1000,ROW(),$V$5:$V$1000,"Sub"),$Y112)))</f>
        <v/>
      </c>
      <c r="AD112" s="62">
        <f>IF($V112="","",IF(AND(ISNUMBER($G112),$G112&lt;=IF($S112=MesCiclo,InicioCiclo,$S112+MOD(2-WEEKDAY($S112),7))+13),1,IF(N($W112)&gt;0,AVERAGEIFS($Z$5:$Z$1000,$U$5:$U$1000,ROW(),$V$5:$V$1000,"Sub"),$Z112)))</f>
        <v/>
      </c>
      <c r="AE112" s="62">
        <f>IF($V112="","",IF(AND(ISNUMBER($G112),$G112&lt;=IF($S112=MesCiclo,InicioCiclo,$S112+MOD(2-WEEKDAY($S112),7))+20),1,IF(N($W112)&gt;0,AVERAGEIFS($AA$5:$AA$1000,$U$5:$U$1000,ROW(),$V$5:$V$1000,"Sub"),$AA112)))</f>
        <v/>
      </c>
      <c r="AF112" s="62">
        <f>IF($V112="","",IF(AND(ISNUMBER($G112),$G112&lt;=IF($S112=MesCiclo,InicioCiclo,$S112+MOD(2-WEEKDAY($S112),7))+27),1,IF(N($W112)&gt;0,AVERAGEIFS($AB$5:$AB$1000,$U$5:$U$1000,ROW(),$V$5:$V$1000,"Sub"),$AB112)))</f>
        <v/>
      </c>
      <c r="AG112" s="62">
        <f>IF($V112&lt;&gt;"Macro","",IF(COUNTIFS($S$5:$S$1000,$S112,$V$5:$V$1000,"Macro",$H$5:$H$1000,"&gt;0")=0,1/COUNTIFS($S$5:$S$1000,$S112,$V$5:$V$1000,"Macro"),IF(AND(ISNUMBER($H112),N($H112)&gt;0),$H112,SUMIFS($H$5:$H$1000,$S$5:$S$1000,$S112,$V$5:$V$1000,"Macro")/COUNTIFS($S$5:$S$1000,$S112,$V$5:$V$1000,"Macro",$H$5:$H$1000,"&gt;0"))/(COUNTIFS($S$5:$S$1000,$S112,$V$5:$V$1000,"Macro")*SUMIFS($H$5:$H$1000,$S$5:$S$1000,$S112,$V$5:$V$1000,"Macro")/COUNTIFS($S$5:$S$1000,$S112,$V$5:$V$1000,"Macro",$H$5:$H$1000,"&gt;0"))))</f>
        <v/>
      </c>
      <c r="AH112" s="62" t="n"/>
      <c r="AI112" s="62" t="n"/>
      <c r="AJ112" s="62" t="n"/>
      <c r="AK112" s="62" t="n"/>
      <c r="AL112" s="62">
        <f>IF(LEFT($C112,11)="[Jefatura] ",IFERROR(MATCH("Asistente Técnico de Riesgo|"&amp;MID($C112,12,500),rDname_ADM,0),0),"")</f>
        <v/>
      </c>
      <c r="AM112" s="62">
        <f>IF(N($AL112)&gt;0,INDEX(rIni_ADM,$AL112),IF(ISNUMBER($E112),$E112,""))</f>
        <v/>
      </c>
      <c r="AN112" s="62">
        <f>IF(N($AL112)&gt;0,INDEX(rLim_ADM,$AL112),IF(ISNUMBER($F112),$F112,""))</f>
        <v/>
      </c>
    </row>
    <row r="113">
      <c r="A113" s="56">
        <f>IF(NOT((COUNTA($B113:$D113)+COUNTA($G113:$L113)+COUNTA($Q113))&gt;0),"",IF($V113="Macro",COUNTIFS($V$5:$V113,"Macro",$S$5:$S113,$S113),IF(N($U113)=0,"?",COUNTIFS(INDEX($V$5:$V$1000,1):INDEX($V$5:$V$1000,$U113-4),"Macro",INDEX($S$5:$S$1000,1):INDEX($S$5:$S$1000,$U113-4),INDEX($S$5:$S$1000,$U113-4))&amp;"."&amp;COUNTIFS($U$5:$U113,$U113,$V$5:$V113,"Sub"))))</f>
        <v/>
      </c>
      <c r="B113" s="57" t="n"/>
      <c r="C113" s="58" t="n"/>
      <c r="D113" s="58" t="n"/>
      <c r="E113" s="59">
        <f>IF(N($AL113)&gt;0,INDEX(rIni_ADM,$AL113),"")</f>
        <v/>
      </c>
      <c r="F113" s="59">
        <f>IF(N($AL113)&gt;0,INDEX(rLim_ADM,$AL113),"")</f>
        <v/>
      </c>
      <c r="G113" s="59" t="n"/>
      <c r="H113" s="60" t="n"/>
      <c r="I113" s="60" t="n"/>
      <c r="J113" s="60" t="n"/>
      <c r="K113" s="60" t="n"/>
      <c r="L113" s="60" t="n"/>
      <c r="M113" s="61">
        <f>IF(NOT((COUNTA($B113:$D113)+COUNTA($G113:$L113)+COUNTA($Q113))&gt;0),"",IF($V113="Sub",IFERROR($X113/INDEX($W$5:$W$1000,$U113-4),""),IF(ISNUMBER($G113),1,IF(N($W113)&gt;0,AVERAGEIFS($X$5:$X$1000,$U$5:$U$1000,ROW(),$V$5:$V$1000,"Sub"),$X113))))</f>
        <v/>
      </c>
      <c r="N113" s="56">
        <f>IF(OR($M113="",$V113="Sub"),"",IF($M113&gt;=1,"Completado",IF($M113&gt;0,"En curso","Pendiente")))</f>
        <v/>
      </c>
      <c r="O113" s="56">
        <f>IF(OR(NOT((COUNTA($B113:$D113)+COUNTA($G113:$L113)+COUNTA($Q113))&gt;0),$V113="Sub"),"",IF(ISNUMBER($G113),IF(AND(ISNUMBER($AN113),$G113&gt;$AN113),"Cumplida con "&amp;($G113-$AN113)&amp;IF($G113-$AN113=1," día"," días")&amp;" de retraso","Cumplida"),IF(N($M113)&gt;=1,"Cumplida",IF(NOT(ISNUMBER($AN113)),"Sin fecha límite",IF($AN113&lt;FechaRef,"Vencida hace "&amp;(FechaRef-$AN113)&amp;IF(FechaRef-$AN113=1," día"," días"),IF($AN113=FechaRef,"Vence hoy",IF($AN113-FechaRef&lt;=DiasAlerta,"Vence en "&amp;($AN113-FechaRef)&amp;IF($AN113-FechaRef=1," día"," días"),"En plazo")))))))</f>
        <v/>
      </c>
      <c r="P113" s="62" t="n"/>
      <c r="Q113" s="58" t="n"/>
      <c r="R113" s="63">
        <f>IF(NOT((COUNTA($B113:$D113)+COUNTA($G113:$L113)+COUNTA($Q113))&gt;0),"",IF((IF($C113="","Falta el nombre de la actividad"&amp;" · ","")&amp;IF(AND($V113="Sub",N($U113)=0),"Subactividad sin macroactividad arriba"&amp;" · ","")&amp;IF($AM113="","Sin fecha de inicio"&amp;" · ","")&amp;IF($AN113="","Sin fecha límite"&amp;" · ","")&amp;IF(AND(LEFT($C113,11)="[Jefatura] ",N($AL113)=0),"No se encuentra en la hoja de la jefatura (elíjala de nuevo en la lista)"&amp;" · ","")&amp;IF(OR(AND($E113&lt;&gt;"",NOT(ISNUMBER($E113))),AND($F113&lt;&gt;"",NOT(ISNUMBER($F113))),AND($G113&lt;&gt;"",NOT(ISNUMBER($G113)))),"Fecha no válida"&amp;" · ","")&amp;IF(AND(ISNUMBER($AM113),ISNUMBER($AN113),$AM113&gt;$AN113),"Inicio posterior a fecha límite"&amp;" · ","")&amp;IF(AND($V113="Macro",$H113&lt;&gt;"",OR(NOT(ISNUMBER($H113)),$H113&lt;0,$H113&gt;1)),"Peso fuera de rango"&amp;" · ","")&amp;IF(AND($V113="Sub",$H113&lt;&gt;""),"Las subactividades no llevan peso (valen igual dentro de su macroactividad)"&amp;" · ","")&amp;IF(AND(N($W113)&gt;0,COUNT($I113:$L113)&gt;0),"Con subactividades: deje vacías las semanas (se calculan solas)"&amp;" · ","")&amp;IF((COUNTIF($I113:$L113,"&gt;1")+COUNTIF($I113:$L113,"&lt;0")+COUNTA($I113:$L113)-COUNT($I113:$L113))&gt;0,"Avance fuera de rango 0-100%"&amp;" · ","")&amp;IF(OR(AND($J113&lt;&gt;"",$J113&lt;$I113),AND($K113&lt;&gt;"",$K113&lt;MAX($I113:$J113)),AND($L113&lt;&gt;"",$L113&lt;MAX($I113:$K113))),"Avance semanal decreciente"&amp;" · ","")&amp;IF(AND(ISNUMBER($AN113),$AN113&lt;FechaRef,IF($V113="Sub",N($X113),N($M113))&lt;1),"Vencida"&amp;" · ","")&amp;IF(AND(ObsObligatoria="Sí",ISNUMBER($AN113),$AN113&lt;FechaRef,IF($V113="Sub",N($X113),N($M113))&lt;1,$Q113=""),"Vencida sin observación"&amp;" · ",""))="","✔ OK","⚠ "&amp;LEFT(IF($C113="","Falta el nombre de la actividad"&amp;" · ","")&amp;IF(AND($V113="Sub",N($U113)=0),"Subactividad sin macroactividad arriba"&amp;" · ","")&amp;IF($AM113="","Sin fecha de inicio"&amp;" · ","")&amp;IF($AN113="","Sin fecha límite"&amp;" · ","")&amp;IF(AND(LEFT($C113,11)="[Jefatura] ",N($AL113)=0),"No se encuentra en la hoja de la jefatura (elíjala de nuevo en la lista)"&amp;" · ","")&amp;IF(OR(AND($E113&lt;&gt;"",NOT(ISNUMBER($E113))),AND($F113&lt;&gt;"",NOT(ISNUMBER($F113))),AND($G113&lt;&gt;"",NOT(ISNUMBER($G113)))),"Fecha no válida"&amp;" · ","")&amp;IF(AND(ISNUMBER($AM113),ISNUMBER($AN113),$AM113&gt;$AN113),"Inicio posterior a fecha límite"&amp;" · ","")&amp;IF(AND($V113="Macro",$H113&lt;&gt;"",OR(NOT(ISNUMBER($H113)),$H113&lt;0,$H113&gt;1)),"Peso fuera de rango"&amp;" · ","")&amp;IF(AND($V113="Sub",$H113&lt;&gt;""),"Las subactividades no llevan peso (valen igual dentro de su macroactividad)"&amp;" · ","")&amp;IF(AND(N($W113)&gt;0,COUNT($I113:$L113)&gt;0),"Con subactividades: deje vacías las semanas (se calculan solas)"&amp;" · ","")&amp;IF((COUNTIF($I113:$L113,"&gt;1")+COUNTIF($I113:$L113,"&lt;0")+COUNTA($I113:$L113)-COUNT($I113:$L113))&gt;0,"Avance fuera de rango 0-100%"&amp;" · ","")&amp;IF(OR(AND($J113&lt;&gt;"",$J113&lt;$I113),AND($K113&lt;&gt;"",$K113&lt;MAX($I113:$J113)),AND($L113&lt;&gt;"",$L113&lt;MAX($I113:$K113))),"Avance semanal decreciente"&amp;" · ","")&amp;IF(AND(ISNUMBER($AN113),$AN113&lt;FechaRef,IF($V113="Sub",N($X113),N($M113))&lt;1),"Vencida"&amp;" · ","")&amp;IF(AND(ObsObligatoria="Sí",ISNUMBER($AN113),$AN113&lt;FechaRef,IF($V113="Sub",N($X113),N($M113))&lt;1,$Q113=""),"Vencida sin observación"&amp;" · ",""),LEN(IF($C113="","Falta el nombre de la actividad"&amp;" · ","")&amp;IF(AND($V113="Sub",N($U113)=0),"Subactividad sin macroactividad arriba"&amp;" · ","")&amp;IF($AM113="","Sin fecha de inicio"&amp;" · ","")&amp;IF($AN113="","Sin fecha límite"&amp;" · ","")&amp;IF(AND(LEFT($C113,11)="[Jefatura] ",N($AL113)=0),"No se encuentra en la hoja de la jefatura (elíjala de nuevo en la lista)"&amp;" · ","")&amp;IF(OR(AND($E113&lt;&gt;"",NOT(ISNUMBER($E113))),AND($F113&lt;&gt;"",NOT(ISNUMBER($F113))),AND($G113&lt;&gt;"",NOT(ISNUMBER($G113)))),"Fecha no válida"&amp;" · ","")&amp;IF(AND(ISNUMBER($AM113),ISNUMBER($AN113),$AM113&gt;$AN113),"Inicio posterior a fecha límite"&amp;" · ","")&amp;IF(AND($V113="Macro",$H113&lt;&gt;"",OR(NOT(ISNUMBER($H113)),$H113&lt;0,$H113&gt;1)),"Peso fuera de rango"&amp;" · ","")&amp;IF(AND($V113="Sub",$H113&lt;&gt;""),"Las subactividades no llevan peso (valen igual dentro de su macroactividad)"&amp;" · ","")&amp;IF(AND(N($W113)&gt;0,COUNT($I113:$L113)&gt;0),"Con subactividades: deje vacías las semanas (se calculan solas)"&amp;" · ","")&amp;IF((COUNTIF($I113:$L113,"&gt;1")+COUNTIF($I113:$L113,"&lt;0")+COUNTA($I113:$L113)-COUNT($I113:$L113))&gt;0,"Avance fuera de rango 0-100%"&amp;" · ","")&amp;IF(OR(AND($J113&lt;&gt;"",$J113&lt;$I113),AND($K113&lt;&gt;"",$K113&lt;MAX($I113:$J113)),AND($L113&lt;&gt;"",$L113&lt;MAX($I113:$K113))),"Avance semanal decreciente"&amp;" · ","")&amp;IF(AND(ISNUMBER($AN113),$AN113&lt;FechaRef,IF($V113="Sub",N($X113),N($M113))&lt;1),"Vencida"&amp;" · ","")&amp;IF(AND(ObsObligatoria="Sí",ISNUMBER($AN113),$AN113&lt;FechaRef,IF($V113="Sub",N($X113),N($M113))&lt;1,$Q113=""),"Vencida sin observación"&amp;" · ",""))-3)))</f>
        <v/>
      </c>
      <c r="S113" s="64">
        <f>IF(NOT((COUNTA($B113:$D113)+COUNTA($G113:$L113)+COUNTA($Q113))&gt;0),"",IF(AND($V113="Sub",N($U113)&gt;0),IF(ISNUMBER(INDEX($AM$5:$AM$1000,$U113-4)),DATE(YEAR(INDEX($AM$5:$AM$1000,$U113-4)),MONTH(INDEX($AM$5:$AM$1000,$U113-4)),1),IF(ISNUMBER(INDEX($AN$5:$AN$1000,$U113-4)),DATE(YEAR(INDEX($AN$5:$AN$1000,$U113-4)),MONTH(INDEX($AN$5:$AN$1000,$U113-4)),1),MesCiclo)),IF(ISNUMBER($AM113),DATE(YEAR($AM113),MONTH($AM113),1),IF(ISNUMBER($AN113),DATE(YEAR($AN113),MONTH($AN113),1),MesCiclo))))</f>
        <v/>
      </c>
      <c r="T113" s="62">
        <f>IF(OR($S113="",$S113&lt;&gt;MesCiclo,$V113&lt;&gt;"Macro"),"",COUNTIFS($S$5:$S113,MesCiclo,$V$5:$V113,"Macro"))</f>
        <v/>
      </c>
      <c r="U113" s="62">
        <f>IF($V113="","",IF($V113="Macro",ROW(),IFERROR(LOOKUP(2,1/($V$5:$V113="Macro"),ROW($V$5:$V113)),0)))</f>
        <v/>
      </c>
      <c r="V113" s="62">
        <f>IF(NOT((COUNTA($B113:$D113)+COUNTA($G113:$L113)+COUNTA($Q113))&gt;0),"",IF($B113="Subactividad","Sub","Macro"))</f>
        <v/>
      </c>
      <c r="W113" s="62">
        <f>IF($V113="Macro",COUNTIFS($U$5:$U$1000,ROW(),$V$5:$V$1000,"Sub"),"")</f>
        <v/>
      </c>
      <c r="X113" s="62">
        <f>IF($V113="","",IF(ISNUMBER($G113),1,IFERROR(LOOKUP(2,1/($I113:$L113&lt;&gt;""),$I113:$L113),0)))</f>
        <v/>
      </c>
      <c r="Y113" s="62">
        <f>IF($V113="","",IF(AND(ISNUMBER($G113),$G113&lt;=IF($S113=MesCiclo,InicioCiclo,$S113+MOD(2-WEEKDAY($S113),7))+6),1,IF(ISNUMBER($I113),$I113,0)))</f>
        <v/>
      </c>
      <c r="Z113" s="62">
        <f>IF($V113="","",IF(AND(ISNUMBER($G113),$G113&lt;=IF($S113=MesCiclo,InicioCiclo,$S113+MOD(2-WEEKDAY($S113),7))+13),1,IF(ISNUMBER($J113),$J113,$Y113)))</f>
        <v/>
      </c>
      <c r="AA113" s="62">
        <f>IF($V113="","",IF(AND(ISNUMBER($G113),$G113&lt;=IF($S113=MesCiclo,InicioCiclo,$S113+MOD(2-WEEKDAY($S113),7))+20),1,IF(ISNUMBER($K113),$K113,$Z113)))</f>
        <v/>
      </c>
      <c r="AB113" s="62">
        <f>IF($V113="","",IF(AND(ISNUMBER($G113),$G113&lt;=IF($S113=MesCiclo,InicioCiclo,$S113+MOD(2-WEEKDAY($S113),7))+27),1,IF(ISNUMBER($L113),$L113,$AA113)))</f>
        <v/>
      </c>
      <c r="AC113" s="62">
        <f>IF($V113="","",IF(AND(ISNUMBER($G113),$G113&lt;=IF($S113=MesCiclo,InicioCiclo,$S113+MOD(2-WEEKDAY($S113),7))+6),1,IF(N($W113)&gt;0,AVERAGEIFS($Y$5:$Y$1000,$U$5:$U$1000,ROW(),$V$5:$V$1000,"Sub"),$Y113)))</f>
        <v/>
      </c>
      <c r="AD113" s="62">
        <f>IF($V113="","",IF(AND(ISNUMBER($G113),$G113&lt;=IF($S113=MesCiclo,InicioCiclo,$S113+MOD(2-WEEKDAY($S113),7))+13),1,IF(N($W113)&gt;0,AVERAGEIFS($Z$5:$Z$1000,$U$5:$U$1000,ROW(),$V$5:$V$1000,"Sub"),$Z113)))</f>
        <v/>
      </c>
      <c r="AE113" s="62">
        <f>IF($V113="","",IF(AND(ISNUMBER($G113),$G113&lt;=IF($S113=MesCiclo,InicioCiclo,$S113+MOD(2-WEEKDAY($S113),7))+20),1,IF(N($W113)&gt;0,AVERAGEIFS($AA$5:$AA$1000,$U$5:$U$1000,ROW(),$V$5:$V$1000,"Sub"),$AA113)))</f>
        <v/>
      </c>
      <c r="AF113" s="62">
        <f>IF($V113="","",IF(AND(ISNUMBER($G113),$G113&lt;=IF($S113=MesCiclo,InicioCiclo,$S113+MOD(2-WEEKDAY($S113),7))+27),1,IF(N($W113)&gt;0,AVERAGEIFS($AB$5:$AB$1000,$U$5:$U$1000,ROW(),$V$5:$V$1000,"Sub"),$AB113)))</f>
        <v/>
      </c>
      <c r="AG113" s="62">
        <f>IF($V113&lt;&gt;"Macro","",IF(COUNTIFS($S$5:$S$1000,$S113,$V$5:$V$1000,"Macro",$H$5:$H$1000,"&gt;0")=0,1/COUNTIFS($S$5:$S$1000,$S113,$V$5:$V$1000,"Macro"),IF(AND(ISNUMBER($H113),N($H113)&gt;0),$H113,SUMIFS($H$5:$H$1000,$S$5:$S$1000,$S113,$V$5:$V$1000,"Macro")/COUNTIFS($S$5:$S$1000,$S113,$V$5:$V$1000,"Macro",$H$5:$H$1000,"&gt;0"))/(COUNTIFS($S$5:$S$1000,$S113,$V$5:$V$1000,"Macro")*SUMIFS($H$5:$H$1000,$S$5:$S$1000,$S113,$V$5:$V$1000,"Macro")/COUNTIFS($S$5:$S$1000,$S113,$V$5:$V$1000,"Macro",$H$5:$H$1000,"&gt;0"))))</f>
        <v/>
      </c>
      <c r="AH113" s="62" t="n"/>
      <c r="AI113" s="62" t="n"/>
      <c r="AJ113" s="62" t="n"/>
      <c r="AK113" s="62" t="n"/>
      <c r="AL113" s="62">
        <f>IF(LEFT($C113,11)="[Jefatura] ",IFERROR(MATCH("Asistente Técnico de Riesgo|"&amp;MID($C113,12,500),rDname_ADM,0),0),"")</f>
        <v/>
      </c>
      <c r="AM113" s="62">
        <f>IF(N($AL113)&gt;0,INDEX(rIni_ADM,$AL113),IF(ISNUMBER($E113),$E113,""))</f>
        <v/>
      </c>
      <c r="AN113" s="62">
        <f>IF(N($AL113)&gt;0,INDEX(rLim_ADM,$AL113),IF(ISNUMBER($F113),$F113,""))</f>
        <v/>
      </c>
    </row>
    <row r="114">
      <c r="A114" s="56">
        <f>IF(NOT((COUNTA($B114:$D114)+COUNTA($G114:$L114)+COUNTA($Q114))&gt;0),"",IF($V114="Macro",COUNTIFS($V$5:$V114,"Macro",$S$5:$S114,$S114),IF(N($U114)=0,"?",COUNTIFS(INDEX($V$5:$V$1000,1):INDEX($V$5:$V$1000,$U114-4),"Macro",INDEX($S$5:$S$1000,1):INDEX($S$5:$S$1000,$U114-4),INDEX($S$5:$S$1000,$U114-4))&amp;"."&amp;COUNTIFS($U$5:$U114,$U114,$V$5:$V114,"Sub"))))</f>
        <v/>
      </c>
      <c r="B114" s="57" t="n"/>
      <c r="C114" s="58" t="n"/>
      <c r="D114" s="58" t="n"/>
      <c r="E114" s="59">
        <f>IF(N($AL114)&gt;0,INDEX(rIni_ADM,$AL114),"")</f>
        <v/>
      </c>
      <c r="F114" s="59">
        <f>IF(N($AL114)&gt;0,INDEX(rLim_ADM,$AL114),"")</f>
        <v/>
      </c>
      <c r="G114" s="59" t="n"/>
      <c r="H114" s="60" t="n"/>
      <c r="I114" s="60" t="n"/>
      <c r="J114" s="60" t="n"/>
      <c r="K114" s="60" t="n"/>
      <c r="L114" s="60" t="n"/>
      <c r="M114" s="61">
        <f>IF(NOT((COUNTA($B114:$D114)+COUNTA($G114:$L114)+COUNTA($Q114))&gt;0),"",IF($V114="Sub",IFERROR($X114/INDEX($W$5:$W$1000,$U114-4),""),IF(ISNUMBER($G114),1,IF(N($W114)&gt;0,AVERAGEIFS($X$5:$X$1000,$U$5:$U$1000,ROW(),$V$5:$V$1000,"Sub"),$X114))))</f>
        <v/>
      </c>
      <c r="N114" s="56">
        <f>IF(OR($M114="",$V114="Sub"),"",IF($M114&gt;=1,"Completado",IF($M114&gt;0,"En curso","Pendiente")))</f>
        <v/>
      </c>
      <c r="O114" s="56">
        <f>IF(OR(NOT((COUNTA($B114:$D114)+COUNTA($G114:$L114)+COUNTA($Q114))&gt;0),$V114="Sub"),"",IF(ISNUMBER($G114),IF(AND(ISNUMBER($AN114),$G114&gt;$AN114),"Cumplida con "&amp;($G114-$AN114)&amp;IF($G114-$AN114=1," día"," días")&amp;" de retraso","Cumplida"),IF(N($M114)&gt;=1,"Cumplida",IF(NOT(ISNUMBER($AN114)),"Sin fecha límite",IF($AN114&lt;FechaRef,"Vencida hace "&amp;(FechaRef-$AN114)&amp;IF(FechaRef-$AN114=1," día"," días"),IF($AN114=FechaRef,"Vence hoy",IF($AN114-FechaRef&lt;=DiasAlerta,"Vence en "&amp;($AN114-FechaRef)&amp;IF($AN114-FechaRef=1," día"," días"),"En plazo")))))))</f>
        <v/>
      </c>
      <c r="P114" s="62" t="n"/>
      <c r="Q114" s="58" t="n"/>
      <c r="R114" s="63">
        <f>IF(NOT((COUNTA($B114:$D114)+COUNTA($G114:$L114)+COUNTA($Q114))&gt;0),"",IF((IF($C114="","Falta el nombre de la actividad"&amp;" · ","")&amp;IF(AND($V114="Sub",N($U114)=0),"Subactividad sin macroactividad arriba"&amp;" · ","")&amp;IF($AM114="","Sin fecha de inicio"&amp;" · ","")&amp;IF($AN114="","Sin fecha límite"&amp;" · ","")&amp;IF(AND(LEFT($C114,11)="[Jefatura] ",N($AL114)=0),"No se encuentra en la hoja de la jefatura (elíjala de nuevo en la lista)"&amp;" · ","")&amp;IF(OR(AND($E114&lt;&gt;"",NOT(ISNUMBER($E114))),AND($F114&lt;&gt;"",NOT(ISNUMBER($F114))),AND($G114&lt;&gt;"",NOT(ISNUMBER($G114)))),"Fecha no válida"&amp;" · ","")&amp;IF(AND(ISNUMBER($AM114),ISNUMBER($AN114),$AM114&gt;$AN114),"Inicio posterior a fecha límite"&amp;" · ","")&amp;IF(AND($V114="Macro",$H114&lt;&gt;"",OR(NOT(ISNUMBER($H114)),$H114&lt;0,$H114&gt;1)),"Peso fuera de rango"&amp;" · ","")&amp;IF(AND($V114="Sub",$H114&lt;&gt;""),"Las subactividades no llevan peso (valen igual dentro de su macroactividad)"&amp;" · ","")&amp;IF(AND(N($W114)&gt;0,COUNT($I114:$L114)&gt;0),"Con subactividades: deje vacías las semanas (se calculan solas)"&amp;" · ","")&amp;IF((COUNTIF($I114:$L114,"&gt;1")+COUNTIF($I114:$L114,"&lt;0")+COUNTA($I114:$L114)-COUNT($I114:$L114))&gt;0,"Avance fuera de rango 0-100%"&amp;" · ","")&amp;IF(OR(AND($J114&lt;&gt;"",$J114&lt;$I114),AND($K114&lt;&gt;"",$K114&lt;MAX($I114:$J114)),AND($L114&lt;&gt;"",$L114&lt;MAX($I114:$K114))),"Avance semanal decreciente"&amp;" · ","")&amp;IF(AND(ISNUMBER($AN114),$AN114&lt;FechaRef,IF($V114="Sub",N($X114),N($M114))&lt;1),"Vencida"&amp;" · ","")&amp;IF(AND(ObsObligatoria="Sí",ISNUMBER($AN114),$AN114&lt;FechaRef,IF($V114="Sub",N($X114),N($M114))&lt;1,$Q114=""),"Vencida sin observación"&amp;" · ",""))="","✔ OK","⚠ "&amp;LEFT(IF($C114="","Falta el nombre de la actividad"&amp;" · ","")&amp;IF(AND($V114="Sub",N($U114)=0),"Subactividad sin macroactividad arriba"&amp;" · ","")&amp;IF($AM114="","Sin fecha de inicio"&amp;" · ","")&amp;IF($AN114="","Sin fecha límite"&amp;" · ","")&amp;IF(AND(LEFT($C114,11)="[Jefatura] ",N($AL114)=0),"No se encuentra en la hoja de la jefatura (elíjala de nuevo en la lista)"&amp;" · ","")&amp;IF(OR(AND($E114&lt;&gt;"",NOT(ISNUMBER($E114))),AND($F114&lt;&gt;"",NOT(ISNUMBER($F114))),AND($G114&lt;&gt;"",NOT(ISNUMBER($G114)))),"Fecha no válida"&amp;" · ","")&amp;IF(AND(ISNUMBER($AM114),ISNUMBER($AN114),$AM114&gt;$AN114),"Inicio posterior a fecha límite"&amp;" · ","")&amp;IF(AND($V114="Macro",$H114&lt;&gt;"",OR(NOT(ISNUMBER($H114)),$H114&lt;0,$H114&gt;1)),"Peso fuera de rango"&amp;" · ","")&amp;IF(AND($V114="Sub",$H114&lt;&gt;""),"Las subactividades no llevan peso (valen igual dentro de su macroactividad)"&amp;" · ","")&amp;IF(AND(N($W114)&gt;0,COUNT($I114:$L114)&gt;0),"Con subactividades: deje vacías las semanas (se calculan solas)"&amp;" · ","")&amp;IF((COUNTIF($I114:$L114,"&gt;1")+COUNTIF($I114:$L114,"&lt;0")+COUNTA($I114:$L114)-COUNT($I114:$L114))&gt;0,"Avance fuera de rango 0-100%"&amp;" · ","")&amp;IF(OR(AND($J114&lt;&gt;"",$J114&lt;$I114),AND($K114&lt;&gt;"",$K114&lt;MAX($I114:$J114)),AND($L114&lt;&gt;"",$L114&lt;MAX($I114:$K114))),"Avance semanal decreciente"&amp;" · ","")&amp;IF(AND(ISNUMBER($AN114),$AN114&lt;FechaRef,IF($V114="Sub",N($X114),N($M114))&lt;1),"Vencida"&amp;" · ","")&amp;IF(AND(ObsObligatoria="Sí",ISNUMBER($AN114),$AN114&lt;FechaRef,IF($V114="Sub",N($X114),N($M114))&lt;1,$Q114=""),"Vencida sin observación"&amp;" · ",""),LEN(IF($C114="","Falta el nombre de la actividad"&amp;" · ","")&amp;IF(AND($V114="Sub",N($U114)=0),"Subactividad sin macroactividad arriba"&amp;" · ","")&amp;IF($AM114="","Sin fecha de inicio"&amp;" · ","")&amp;IF($AN114="","Sin fecha límite"&amp;" · ","")&amp;IF(AND(LEFT($C114,11)="[Jefatura] ",N($AL114)=0),"No se encuentra en la hoja de la jefatura (elíjala de nuevo en la lista)"&amp;" · ","")&amp;IF(OR(AND($E114&lt;&gt;"",NOT(ISNUMBER($E114))),AND($F114&lt;&gt;"",NOT(ISNUMBER($F114))),AND($G114&lt;&gt;"",NOT(ISNUMBER($G114)))),"Fecha no válida"&amp;" · ","")&amp;IF(AND(ISNUMBER($AM114),ISNUMBER($AN114),$AM114&gt;$AN114),"Inicio posterior a fecha límite"&amp;" · ","")&amp;IF(AND($V114="Macro",$H114&lt;&gt;"",OR(NOT(ISNUMBER($H114)),$H114&lt;0,$H114&gt;1)),"Peso fuera de rango"&amp;" · ","")&amp;IF(AND($V114="Sub",$H114&lt;&gt;""),"Las subactividades no llevan peso (valen igual dentro de su macroactividad)"&amp;" · ","")&amp;IF(AND(N($W114)&gt;0,COUNT($I114:$L114)&gt;0),"Con subactividades: deje vacías las semanas (se calculan solas)"&amp;" · ","")&amp;IF((COUNTIF($I114:$L114,"&gt;1")+COUNTIF($I114:$L114,"&lt;0")+COUNTA($I114:$L114)-COUNT($I114:$L114))&gt;0,"Avance fuera de rango 0-100%"&amp;" · ","")&amp;IF(OR(AND($J114&lt;&gt;"",$J114&lt;$I114),AND($K114&lt;&gt;"",$K114&lt;MAX($I114:$J114)),AND($L114&lt;&gt;"",$L114&lt;MAX($I114:$K114))),"Avance semanal decreciente"&amp;" · ","")&amp;IF(AND(ISNUMBER($AN114),$AN114&lt;FechaRef,IF($V114="Sub",N($X114),N($M114))&lt;1),"Vencida"&amp;" · ","")&amp;IF(AND(ObsObligatoria="Sí",ISNUMBER($AN114),$AN114&lt;FechaRef,IF($V114="Sub",N($X114),N($M114))&lt;1,$Q114=""),"Vencida sin observación"&amp;" · ",""))-3)))</f>
        <v/>
      </c>
      <c r="S114" s="64">
        <f>IF(NOT((COUNTA($B114:$D114)+COUNTA($G114:$L114)+COUNTA($Q114))&gt;0),"",IF(AND($V114="Sub",N($U114)&gt;0),IF(ISNUMBER(INDEX($AM$5:$AM$1000,$U114-4)),DATE(YEAR(INDEX($AM$5:$AM$1000,$U114-4)),MONTH(INDEX($AM$5:$AM$1000,$U114-4)),1),IF(ISNUMBER(INDEX($AN$5:$AN$1000,$U114-4)),DATE(YEAR(INDEX($AN$5:$AN$1000,$U114-4)),MONTH(INDEX($AN$5:$AN$1000,$U114-4)),1),MesCiclo)),IF(ISNUMBER($AM114),DATE(YEAR($AM114),MONTH($AM114),1),IF(ISNUMBER($AN114),DATE(YEAR($AN114),MONTH($AN114),1),MesCiclo))))</f>
        <v/>
      </c>
      <c r="T114" s="62">
        <f>IF(OR($S114="",$S114&lt;&gt;MesCiclo,$V114&lt;&gt;"Macro"),"",COUNTIFS($S$5:$S114,MesCiclo,$V$5:$V114,"Macro"))</f>
        <v/>
      </c>
      <c r="U114" s="62">
        <f>IF($V114="","",IF($V114="Macro",ROW(),IFERROR(LOOKUP(2,1/($V$5:$V114="Macro"),ROW($V$5:$V114)),0)))</f>
        <v/>
      </c>
      <c r="V114" s="62">
        <f>IF(NOT((COUNTA($B114:$D114)+COUNTA($G114:$L114)+COUNTA($Q114))&gt;0),"",IF($B114="Subactividad","Sub","Macro"))</f>
        <v/>
      </c>
      <c r="W114" s="62">
        <f>IF($V114="Macro",COUNTIFS($U$5:$U$1000,ROW(),$V$5:$V$1000,"Sub"),"")</f>
        <v/>
      </c>
      <c r="X114" s="62">
        <f>IF($V114="","",IF(ISNUMBER($G114),1,IFERROR(LOOKUP(2,1/($I114:$L114&lt;&gt;""),$I114:$L114),0)))</f>
        <v/>
      </c>
      <c r="Y114" s="62">
        <f>IF($V114="","",IF(AND(ISNUMBER($G114),$G114&lt;=IF($S114=MesCiclo,InicioCiclo,$S114+MOD(2-WEEKDAY($S114),7))+6),1,IF(ISNUMBER($I114),$I114,0)))</f>
        <v/>
      </c>
      <c r="Z114" s="62">
        <f>IF($V114="","",IF(AND(ISNUMBER($G114),$G114&lt;=IF($S114=MesCiclo,InicioCiclo,$S114+MOD(2-WEEKDAY($S114),7))+13),1,IF(ISNUMBER($J114),$J114,$Y114)))</f>
        <v/>
      </c>
      <c r="AA114" s="62">
        <f>IF($V114="","",IF(AND(ISNUMBER($G114),$G114&lt;=IF($S114=MesCiclo,InicioCiclo,$S114+MOD(2-WEEKDAY($S114),7))+20),1,IF(ISNUMBER($K114),$K114,$Z114)))</f>
        <v/>
      </c>
      <c r="AB114" s="62">
        <f>IF($V114="","",IF(AND(ISNUMBER($G114),$G114&lt;=IF($S114=MesCiclo,InicioCiclo,$S114+MOD(2-WEEKDAY($S114),7))+27),1,IF(ISNUMBER($L114),$L114,$AA114)))</f>
        <v/>
      </c>
      <c r="AC114" s="62">
        <f>IF($V114="","",IF(AND(ISNUMBER($G114),$G114&lt;=IF($S114=MesCiclo,InicioCiclo,$S114+MOD(2-WEEKDAY($S114),7))+6),1,IF(N($W114)&gt;0,AVERAGEIFS($Y$5:$Y$1000,$U$5:$U$1000,ROW(),$V$5:$V$1000,"Sub"),$Y114)))</f>
        <v/>
      </c>
      <c r="AD114" s="62">
        <f>IF($V114="","",IF(AND(ISNUMBER($G114),$G114&lt;=IF($S114=MesCiclo,InicioCiclo,$S114+MOD(2-WEEKDAY($S114),7))+13),1,IF(N($W114)&gt;0,AVERAGEIFS($Z$5:$Z$1000,$U$5:$U$1000,ROW(),$V$5:$V$1000,"Sub"),$Z114)))</f>
        <v/>
      </c>
      <c r="AE114" s="62">
        <f>IF($V114="","",IF(AND(ISNUMBER($G114),$G114&lt;=IF($S114=MesCiclo,InicioCiclo,$S114+MOD(2-WEEKDAY($S114),7))+20),1,IF(N($W114)&gt;0,AVERAGEIFS($AA$5:$AA$1000,$U$5:$U$1000,ROW(),$V$5:$V$1000,"Sub"),$AA114)))</f>
        <v/>
      </c>
      <c r="AF114" s="62">
        <f>IF($V114="","",IF(AND(ISNUMBER($G114),$G114&lt;=IF($S114=MesCiclo,InicioCiclo,$S114+MOD(2-WEEKDAY($S114),7))+27),1,IF(N($W114)&gt;0,AVERAGEIFS($AB$5:$AB$1000,$U$5:$U$1000,ROW(),$V$5:$V$1000,"Sub"),$AB114)))</f>
        <v/>
      </c>
      <c r="AG114" s="62">
        <f>IF($V114&lt;&gt;"Macro","",IF(COUNTIFS($S$5:$S$1000,$S114,$V$5:$V$1000,"Macro",$H$5:$H$1000,"&gt;0")=0,1/COUNTIFS($S$5:$S$1000,$S114,$V$5:$V$1000,"Macro"),IF(AND(ISNUMBER($H114),N($H114)&gt;0),$H114,SUMIFS($H$5:$H$1000,$S$5:$S$1000,$S114,$V$5:$V$1000,"Macro")/COUNTIFS($S$5:$S$1000,$S114,$V$5:$V$1000,"Macro",$H$5:$H$1000,"&gt;0"))/(COUNTIFS($S$5:$S$1000,$S114,$V$5:$V$1000,"Macro")*SUMIFS($H$5:$H$1000,$S$5:$S$1000,$S114,$V$5:$V$1000,"Macro")/COUNTIFS($S$5:$S$1000,$S114,$V$5:$V$1000,"Macro",$H$5:$H$1000,"&gt;0"))))</f>
        <v/>
      </c>
      <c r="AH114" s="62" t="n"/>
      <c r="AI114" s="62" t="n"/>
      <c r="AJ114" s="62" t="n"/>
      <c r="AK114" s="62" t="n"/>
      <c r="AL114" s="62">
        <f>IF(LEFT($C114,11)="[Jefatura] ",IFERROR(MATCH("Asistente Técnico de Riesgo|"&amp;MID($C114,12,500),rDname_ADM,0),0),"")</f>
        <v/>
      </c>
      <c r="AM114" s="62">
        <f>IF(N($AL114)&gt;0,INDEX(rIni_ADM,$AL114),IF(ISNUMBER($E114),$E114,""))</f>
        <v/>
      </c>
      <c r="AN114" s="62">
        <f>IF(N($AL114)&gt;0,INDEX(rLim_ADM,$AL114),IF(ISNUMBER($F114),$F114,""))</f>
        <v/>
      </c>
    </row>
    <row r="115">
      <c r="A115" s="56">
        <f>IF(NOT((COUNTA($B115:$D115)+COUNTA($G115:$L115)+COUNTA($Q115))&gt;0),"",IF($V115="Macro",COUNTIFS($V$5:$V115,"Macro",$S$5:$S115,$S115),IF(N($U115)=0,"?",COUNTIFS(INDEX($V$5:$V$1000,1):INDEX($V$5:$V$1000,$U115-4),"Macro",INDEX($S$5:$S$1000,1):INDEX($S$5:$S$1000,$U115-4),INDEX($S$5:$S$1000,$U115-4))&amp;"."&amp;COUNTIFS($U$5:$U115,$U115,$V$5:$V115,"Sub"))))</f>
        <v/>
      </c>
      <c r="B115" s="57" t="n"/>
      <c r="C115" s="58" t="n"/>
      <c r="D115" s="58" t="n"/>
      <c r="E115" s="59">
        <f>IF(N($AL115)&gt;0,INDEX(rIni_ADM,$AL115),"")</f>
        <v/>
      </c>
      <c r="F115" s="59">
        <f>IF(N($AL115)&gt;0,INDEX(rLim_ADM,$AL115),"")</f>
        <v/>
      </c>
      <c r="G115" s="59" t="n"/>
      <c r="H115" s="60" t="n"/>
      <c r="I115" s="60" t="n"/>
      <c r="J115" s="60" t="n"/>
      <c r="K115" s="60" t="n"/>
      <c r="L115" s="60" t="n"/>
      <c r="M115" s="61">
        <f>IF(NOT((COUNTA($B115:$D115)+COUNTA($G115:$L115)+COUNTA($Q115))&gt;0),"",IF($V115="Sub",IFERROR($X115/INDEX($W$5:$W$1000,$U115-4),""),IF(ISNUMBER($G115),1,IF(N($W115)&gt;0,AVERAGEIFS($X$5:$X$1000,$U$5:$U$1000,ROW(),$V$5:$V$1000,"Sub"),$X115))))</f>
        <v/>
      </c>
      <c r="N115" s="56">
        <f>IF(OR($M115="",$V115="Sub"),"",IF($M115&gt;=1,"Completado",IF($M115&gt;0,"En curso","Pendiente")))</f>
        <v/>
      </c>
      <c r="O115" s="56">
        <f>IF(OR(NOT((COUNTA($B115:$D115)+COUNTA($G115:$L115)+COUNTA($Q115))&gt;0),$V115="Sub"),"",IF(ISNUMBER($G115),IF(AND(ISNUMBER($AN115),$G115&gt;$AN115),"Cumplida con "&amp;($G115-$AN115)&amp;IF($G115-$AN115=1," día"," días")&amp;" de retraso","Cumplida"),IF(N($M115)&gt;=1,"Cumplida",IF(NOT(ISNUMBER($AN115)),"Sin fecha límite",IF($AN115&lt;FechaRef,"Vencida hace "&amp;(FechaRef-$AN115)&amp;IF(FechaRef-$AN115=1," día"," días"),IF($AN115=FechaRef,"Vence hoy",IF($AN115-FechaRef&lt;=DiasAlerta,"Vence en "&amp;($AN115-FechaRef)&amp;IF($AN115-FechaRef=1," día"," días"),"En plazo")))))))</f>
        <v/>
      </c>
      <c r="P115" s="62" t="n"/>
      <c r="Q115" s="58" t="n"/>
      <c r="R115" s="63">
        <f>IF(NOT((COUNTA($B115:$D115)+COUNTA($G115:$L115)+COUNTA($Q115))&gt;0),"",IF((IF($C115="","Falta el nombre de la actividad"&amp;" · ","")&amp;IF(AND($V115="Sub",N($U115)=0),"Subactividad sin macroactividad arriba"&amp;" · ","")&amp;IF($AM115="","Sin fecha de inicio"&amp;" · ","")&amp;IF($AN115="","Sin fecha límite"&amp;" · ","")&amp;IF(AND(LEFT($C115,11)="[Jefatura] ",N($AL115)=0),"No se encuentra en la hoja de la jefatura (elíjala de nuevo en la lista)"&amp;" · ","")&amp;IF(OR(AND($E115&lt;&gt;"",NOT(ISNUMBER($E115))),AND($F115&lt;&gt;"",NOT(ISNUMBER($F115))),AND($G115&lt;&gt;"",NOT(ISNUMBER($G115)))),"Fecha no válida"&amp;" · ","")&amp;IF(AND(ISNUMBER($AM115),ISNUMBER($AN115),$AM115&gt;$AN115),"Inicio posterior a fecha límite"&amp;" · ","")&amp;IF(AND($V115="Macro",$H115&lt;&gt;"",OR(NOT(ISNUMBER($H115)),$H115&lt;0,$H115&gt;1)),"Peso fuera de rango"&amp;" · ","")&amp;IF(AND($V115="Sub",$H115&lt;&gt;""),"Las subactividades no llevan peso (valen igual dentro de su macroactividad)"&amp;" · ","")&amp;IF(AND(N($W115)&gt;0,COUNT($I115:$L115)&gt;0),"Con subactividades: deje vacías las semanas (se calculan solas)"&amp;" · ","")&amp;IF((COUNTIF($I115:$L115,"&gt;1")+COUNTIF($I115:$L115,"&lt;0")+COUNTA($I115:$L115)-COUNT($I115:$L115))&gt;0,"Avance fuera de rango 0-100%"&amp;" · ","")&amp;IF(OR(AND($J115&lt;&gt;"",$J115&lt;$I115),AND($K115&lt;&gt;"",$K115&lt;MAX($I115:$J115)),AND($L115&lt;&gt;"",$L115&lt;MAX($I115:$K115))),"Avance semanal decreciente"&amp;" · ","")&amp;IF(AND(ISNUMBER($AN115),$AN115&lt;FechaRef,IF($V115="Sub",N($X115),N($M115))&lt;1),"Vencida"&amp;" · ","")&amp;IF(AND(ObsObligatoria="Sí",ISNUMBER($AN115),$AN115&lt;FechaRef,IF($V115="Sub",N($X115),N($M115))&lt;1,$Q115=""),"Vencida sin observación"&amp;" · ",""))="","✔ OK","⚠ "&amp;LEFT(IF($C115="","Falta el nombre de la actividad"&amp;" · ","")&amp;IF(AND($V115="Sub",N($U115)=0),"Subactividad sin macroactividad arriba"&amp;" · ","")&amp;IF($AM115="","Sin fecha de inicio"&amp;" · ","")&amp;IF($AN115="","Sin fecha límite"&amp;" · ","")&amp;IF(AND(LEFT($C115,11)="[Jefatura] ",N($AL115)=0),"No se encuentra en la hoja de la jefatura (elíjala de nuevo en la lista)"&amp;" · ","")&amp;IF(OR(AND($E115&lt;&gt;"",NOT(ISNUMBER($E115))),AND($F115&lt;&gt;"",NOT(ISNUMBER($F115))),AND($G115&lt;&gt;"",NOT(ISNUMBER($G115)))),"Fecha no válida"&amp;" · ","")&amp;IF(AND(ISNUMBER($AM115),ISNUMBER($AN115),$AM115&gt;$AN115),"Inicio posterior a fecha límite"&amp;" · ","")&amp;IF(AND($V115="Macro",$H115&lt;&gt;"",OR(NOT(ISNUMBER($H115)),$H115&lt;0,$H115&gt;1)),"Peso fuera de rango"&amp;" · ","")&amp;IF(AND($V115="Sub",$H115&lt;&gt;""),"Las subactividades no llevan peso (valen igual dentro de su macroactividad)"&amp;" · ","")&amp;IF(AND(N($W115)&gt;0,COUNT($I115:$L115)&gt;0),"Con subactividades: deje vacías las semanas (se calculan solas)"&amp;" · ","")&amp;IF((COUNTIF($I115:$L115,"&gt;1")+COUNTIF($I115:$L115,"&lt;0")+COUNTA($I115:$L115)-COUNT($I115:$L115))&gt;0,"Avance fuera de rango 0-100%"&amp;" · ","")&amp;IF(OR(AND($J115&lt;&gt;"",$J115&lt;$I115),AND($K115&lt;&gt;"",$K115&lt;MAX($I115:$J115)),AND($L115&lt;&gt;"",$L115&lt;MAX($I115:$K115))),"Avance semanal decreciente"&amp;" · ","")&amp;IF(AND(ISNUMBER($AN115),$AN115&lt;FechaRef,IF($V115="Sub",N($X115),N($M115))&lt;1),"Vencida"&amp;" · ","")&amp;IF(AND(ObsObligatoria="Sí",ISNUMBER($AN115),$AN115&lt;FechaRef,IF($V115="Sub",N($X115),N($M115))&lt;1,$Q115=""),"Vencida sin observación"&amp;" · ",""),LEN(IF($C115="","Falta el nombre de la actividad"&amp;" · ","")&amp;IF(AND($V115="Sub",N($U115)=0),"Subactividad sin macroactividad arriba"&amp;" · ","")&amp;IF($AM115="","Sin fecha de inicio"&amp;" · ","")&amp;IF($AN115="","Sin fecha límite"&amp;" · ","")&amp;IF(AND(LEFT($C115,11)="[Jefatura] ",N($AL115)=0),"No se encuentra en la hoja de la jefatura (elíjala de nuevo en la lista)"&amp;" · ","")&amp;IF(OR(AND($E115&lt;&gt;"",NOT(ISNUMBER($E115))),AND($F115&lt;&gt;"",NOT(ISNUMBER($F115))),AND($G115&lt;&gt;"",NOT(ISNUMBER($G115)))),"Fecha no válida"&amp;" · ","")&amp;IF(AND(ISNUMBER($AM115),ISNUMBER($AN115),$AM115&gt;$AN115),"Inicio posterior a fecha límite"&amp;" · ","")&amp;IF(AND($V115="Macro",$H115&lt;&gt;"",OR(NOT(ISNUMBER($H115)),$H115&lt;0,$H115&gt;1)),"Peso fuera de rango"&amp;" · ","")&amp;IF(AND($V115="Sub",$H115&lt;&gt;""),"Las subactividades no llevan peso (valen igual dentro de su macroactividad)"&amp;" · ","")&amp;IF(AND(N($W115)&gt;0,COUNT($I115:$L115)&gt;0),"Con subactividades: deje vacías las semanas (se calculan solas)"&amp;" · ","")&amp;IF((COUNTIF($I115:$L115,"&gt;1")+COUNTIF($I115:$L115,"&lt;0")+COUNTA($I115:$L115)-COUNT($I115:$L115))&gt;0,"Avance fuera de rango 0-100%"&amp;" · ","")&amp;IF(OR(AND($J115&lt;&gt;"",$J115&lt;$I115),AND($K115&lt;&gt;"",$K115&lt;MAX($I115:$J115)),AND($L115&lt;&gt;"",$L115&lt;MAX($I115:$K115))),"Avance semanal decreciente"&amp;" · ","")&amp;IF(AND(ISNUMBER($AN115),$AN115&lt;FechaRef,IF($V115="Sub",N($X115),N($M115))&lt;1),"Vencida"&amp;" · ","")&amp;IF(AND(ObsObligatoria="Sí",ISNUMBER($AN115),$AN115&lt;FechaRef,IF($V115="Sub",N($X115),N($M115))&lt;1,$Q115=""),"Vencida sin observación"&amp;" · ",""))-3)))</f>
        <v/>
      </c>
      <c r="S115" s="64">
        <f>IF(NOT((COUNTA($B115:$D115)+COUNTA($G115:$L115)+COUNTA($Q115))&gt;0),"",IF(AND($V115="Sub",N($U115)&gt;0),IF(ISNUMBER(INDEX($AM$5:$AM$1000,$U115-4)),DATE(YEAR(INDEX($AM$5:$AM$1000,$U115-4)),MONTH(INDEX($AM$5:$AM$1000,$U115-4)),1),IF(ISNUMBER(INDEX($AN$5:$AN$1000,$U115-4)),DATE(YEAR(INDEX($AN$5:$AN$1000,$U115-4)),MONTH(INDEX($AN$5:$AN$1000,$U115-4)),1),MesCiclo)),IF(ISNUMBER($AM115),DATE(YEAR($AM115),MONTH($AM115),1),IF(ISNUMBER($AN115),DATE(YEAR($AN115),MONTH($AN115),1),MesCiclo))))</f>
        <v/>
      </c>
      <c r="T115" s="62">
        <f>IF(OR($S115="",$S115&lt;&gt;MesCiclo,$V115&lt;&gt;"Macro"),"",COUNTIFS($S$5:$S115,MesCiclo,$V$5:$V115,"Macro"))</f>
        <v/>
      </c>
      <c r="U115" s="62">
        <f>IF($V115="","",IF($V115="Macro",ROW(),IFERROR(LOOKUP(2,1/($V$5:$V115="Macro"),ROW($V$5:$V115)),0)))</f>
        <v/>
      </c>
      <c r="V115" s="62">
        <f>IF(NOT((COUNTA($B115:$D115)+COUNTA($G115:$L115)+COUNTA($Q115))&gt;0),"",IF($B115="Subactividad","Sub","Macro"))</f>
        <v/>
      </c>
      <c r="W115" s="62">
        <f>IF($V115="Macro",COUNTIFS($U$5:$U$1000,ROW(),$V$5:$V$1000,"Sub"),"")</f>
        <v/>
      </c>
      <c r="X115" s="62">
        <f>IF($V115="","",IF(ISNUMBER($G115),1,IFERROR(LOOKUP(2,1/($I115:$L115&lt;&gt;""),$I115:$L115),0)))</f>
        <v/>
      </c>
      <c r="Y115" s="62">
        <f>IF($V115="","",IF(AND(ISNUMBER($G115),$G115&lt;=IF($S115=MesCiclo,InicioCiclo,$S115+MOD(2-WEEKDAY($S115),7))+6),1,IF(ISNUMBER($I115),$I115,0)))</f>
        <v/>
      </c>
      <c r="Z115" s="62">
        <f>IF($V115="","",IF(AND(ISNUMBER($G115),$G115&lt;=IF($S115=MesCiclo,InicioCiclo,$S115+MOD(2-WEEKDAY($S115),7))+13),1,IF(ISNUMBER($J115),$J115,$Y115)))</f>
        <v/>
      </c>
      <c r="AA115" s="62">
        <f>IF($V115="","",IF(AND(ISNUMBER($G115),$G115&lt;=IF($S115=MesCiclo,InicioCiclo,$S115+MOD(2-WEEKDAY($S115),7))+20),1,IF(ISNUMBER($K115),$K115,$Z115)))</f>
        <v/>
      </c>
      <c r="AB115" s="62">
        <f>IF($V115="","",IF(AND(ISNUMBER($G115),$G115&lt;=IF($S115=MesCiclo,InicioCiclo,$S115+MOD(2-WEEKDAY($S115),7))+27),1,IF(ISNUMBER($L115),$L115,$AA115)))</f>
        <v/>
      </c>
      <c r="AC115" s="62">
        <f>IF($V115="","",IF(AND(ISNUMBER($G115),$G115&lt;=IF($S115=MesCiclo,InicioCiclo,$S115+MOD(2-WEEKDAY($S115),7))+6),1,IF(N($W115)&gt;0,AVERAGEIFS($Y$5:$Y$1000,$U$5:$U$1000,ROW(),$V$5:$V$1000,"Sub"),$Y115)))</f>
        <v/>
      </c>
      <c r="AD115" s="62">
        <f>IF($V115="","",IF(AND(ISNUMBER($G115),$G115&lt;=IF($S115=MesCiclo,InicioCiclo,$S115+MOD(2-WEEKDAY($S115),7))+13),1,IF(N($W115)&gt;0,AVERAGEIFS($Z$5:$Z$1000,$U$5:$U$1000,ROW(),$V$5:$V$1000,"Sub"),$Z115)))</f>
        <v/>
      </c>
      <c r="AE115" s="62">
        <f>IF($V115="","",IF(AND(ISNUMBER($G115),$G115&lt;=IF($S115=MesCiclo,InicioCiclo,$S115+MOD(2-WEEKDAY($S115),7))+20),1,IF(N($W115)&gt;0,AVERAGEIFS($AA$5:$AA$1000,$U$5:$U$1000,ROW(),$V$5:$V$1000,"Sub"),$AA115)))</f>
        <v/>
      </c>
      <c r="AF115" s="62">
        <f>IF($V115="","",IF(AND(ISNUMBER($G115),$G115&lt;=IF($S115=MesCiclo,InicioCiclo,$S115+MOD(2-WEEKDAY($S115),7))+27),1,IF(N($W115)&gt;0,AVERAGEIFS($AB$5:$AB$1000,$U$5:$U$1000,ROW(),$V$5:$V$1000,"Sub"),$AB115)))</f>
        <v/>
      </c>
      <c r="AG115" s="62">
        <f>IF($V115&lt;&gt;"Macro","",IF(COUNTIFS($S$5:$S$1000,$S115,$V$5:$V$1000,"Macro",$H$5:$H$1000,"&gt;0")=0,1/COUNTIFS($S$5:$S$1000,$S115,$V$5:$V$1000,"Macro"),IF(AND(ISNUMBER($H115),N($H115)&gt;0),$H115,SUMIFS($H$5:$H$1000,$S$5:$S$1000,$S115,$V$5:$V$1000,"Macro")/COUNTIFS($S$5:$S$1000,$S115,$V$5:$V$1000,"Macro",$H$5:$H$1000,"&gt;0"))/(COUNTIFS($S$5:$S$1000,$S115,$V$5:$V$1000,"Macro")*SUMIFS($H$5:$H$1000,$S$5:$S$1000,$S115,$V$5:$V$1000,"Macro")/COUNTIFS($S$5:$S$1000,$S115,$V$5:$V$1000,"Macro",$H$5:$H$1000,"&gt;0"))))</f>
        <v/>
      </c>
      <c r="AH115" s="62" t="n"/>
      <c r="AI115" s="62" t="n"/>
      <c r="AJ115" s="62" t="n"/>
      <c r="AK115" s="62" t="n"/>
      <c r="AL115" s="62">
        <f>IF(LEFT($C115,11)="[Jefatura] ",IFERROR(MATCH("Asistente Técnico de Riesgo|"&amp;MID($C115,12,500),rDname_ADM,0),0),"")</f>
        <v/>
      </c>
      <c r="AM115" s="62">
        <f>IF(N($AL115)&gt;0,INDEX(rIni_ADM,$AL115),IF(ISNUMBER($E115),$E115,""))</f>
        <v/>
      </c>
      <c r="AN115" s="62">
        <f>IF(N($AL115)&gt;0,INDEX(rLim_ADM,$AL115),IF(ISNUMBER($F115),$F115,""))</f>
        <v/>
      </c>
    </row>
    <row r="116">
      <c r="A116" s="56">
        <f>IF(NOT((COUNTA($B116:$D116)+COUNTA($G116:$L116)+COUNTA($Q116))&gt;0),"",IF($V116="Macro",COUNTIFS($V$5:$V116,"Macro",$S$5:$S116,$S116),IF(N($U116)=0,"?",COUNTIFS(INDEX($V$5:$V$1000,1):INDEX($V$5:$V$1000,$U116-4),"Macro",INDEX($S$5:$S$1000,1):INDEX($S$5:$S$1000,$U116-4),INDEX($S$5:$S$1000,$U116-4))&amp;"."&amp;COUNTIFS($U$5:$U116,$U116,$V$5:$V116,"Sub"))))</f>
        <v/>
      </c>
      <c r="B116" s="57" t="n"/>
      <c r="C116" s="58" t="n"/>
      <c r="D116" s="58" t="n"/>
      <c r="E116" s="59">
        <f>IF(N($AL116)&gt;0,INDEX(rIni_ADM,$AL116),"")</f>
        <v/>
      </c>
      <c r="F116" s="59">
        <f>IF(N($AL116)&gt;0,INDEX(rLim_ADM,$AL116),"")</f>
        <v/>
      </c>
      <c r="G116" s="59" t="n"/>
      <c r="H116" s="60" t="n"/>
      <c r="I116" s="60" t="n"/>
      <c r="J116" s="60" t="n"/>
      <c r="K116" s="60" t="n"/>
      <c r="L116" s="60" t="n"/>
      <c r="M116" s="61">
        <f>IF(NOT((COUNTA($B116:$D116)+COUNTA($G116:$L116)+COUNTA($Q116))&gt;0),"",IF($V116="Sub",IFERROR($X116/INDEX($W$5:$W$1000,$U116-4),""),IF(ISNUMBER($G116),1,IF(N($W116)&gt;0,AVERAGEIFS($X$5:$X$1000,$U$5:$U$1000,ROW(),$V$5:$V$1000,"Sub"),$X116))))</f>
        <v/>
      </c>
      <c r="N116" s="56">
        <f>IF(OR($M116="",$V116="Sub"),"",IF($M116&gt;=1,"Completado",IF($M116&gt;0,"En curso","Pendiente")))</f>
        <v/>
      </c>
      <c r="O116" s="56">
        <f>IF(OR(NOT((COUNTA($B116:$D116)+COUNTA($G116:$L116)+COUNTA($Q116))&gt;0),$V116="Sub"),"",IF(ISNUMBER($G116),IF(AND(ISNUMBER($AN116),$G116&gt;$AN116),"Cumplida con "&amp;($G116-$AN116)&amp;IF($G116-$AN116=1," día"," días")&amp;" de retraso","Cumplida"),IF(N($M116)&gt;=1,"Cumplida",IF(NOT(ISNUMBER($AN116)),"Sin fecha límite",IF($AN116&lt;FechaRef,"Vencida hace "&amp;(FechaRef-$AN116)&amp;IF(FechaRef-$AN116=1," día"," días"),IF($AN116=FechaRef,"Vence hoy",IF($AN116-FechaRef&lt;=DiasAlerta,"Vence en "&amp;($AN116-FechaRef)&amp;IF($AN116-FechaRef=1," día"," días"),"En plazo")))))))</f>
        <v/>
      </c>
      <c r="P116" s="62" t="n"/>
      <c r="Q116" s="58" t="n"/>
      <c r="R116" s="63">
        <f>IF(NOT((COUNTA($B116:$D116)+COUNTA($G116:$L116)+COUNTA($Q116))&gt;0),"",IF((IF($C116="","Falta el nombre de la actividad"&amp;" · ","")&amp;IF(AND($V116="Sub",N($U116)=0),"Subactividad sin macroactividad arriba"&amp;" · ","")&amp;IF($AM116="","Sin fecha de inicio"&amp;" · ","")&amp;IF($AN116="","Sin fecha límite"&amp;" · ","")&amp;IF(AND(LEFT($C116,11)="[Jefatura] ",N($AL116)=0),"No se encuentra en la hoja de la jefatura (elíjala de nuevo en la lista)"&amp;" · ","")&amp;IF(OR(AND($E116&lt;&gt;"",NOT(ISNUMBER($E116))),AND($F116&lt;&gt;"",NOT(ISNUMBER($F116))),AND($G116&lt;&gt;"",NOT(ISNUMBER($G116)))),"Fecha no válida"&amp;" · ","")&amp;IF(AND(ISNUMBER($AM116),ISNUMBER($AN116),$AM116&gt;$AN116),"Inicio posterior a fecha límite"&amp;" · ","")&amp;IF(AND($V116="Macro",$H116&lt;&gt;"",OR(NOT(ISNUMBER($H116)),$H116&lt;0,$H116&gt;1)),"Peso fuera de rango"&amp;" · ","")&amp;IF(AND($V116="Sub",$H116&lt;&gt;""),"Las subactividades no llevan peso (valen igual dentro de su macroactividad)"&amp;" · ","")&amp;IF(AND(N($W116)&gt;0,COUNT($I116:$L116)&gt;0),"Con subactividades: deje vacías las semanas (se calculan solas)"&amp;" · ","")&amp;IF((COUNTIF($I116:$L116,"&gt;1")+COUNTIF($I116:$L116,"&lt;0")+COUNTA($I116:$L116)-COUNT($I116:$L116))&gt;0,"Avance fuera de rango 0-100%"&amp;" · ","")&amp;IF(OR(AND($J116&lt;&gt;"",$J116&lt;$I116),AND($K116&lt;&gt;"",$K116&lt;MAX($I116:$J116)),AND($L116&lt;&gt;"",$L116&lt;MAX($I116:$K116))),"Avance semanal decreciente"&amp;" · ","")&amp;IF(AND(ISNUMBER($AN116),$AN116&lt;FechaRef,IF($V116="Sub",N($X116),N($M116))&lt;1),"Vencida"&amp;" · ","")&amp;IF(AND(ObsObligatoria="Sí",ISNUMBER($AN116),$AN116&lt;FechaRef,IF($V116="Sub",N($X116),N($M116))&lt;1,$Q116=""),"Vencida sin observación"&amp;" · ",""))="","✔ OK","⚠ "&amp;LEFT(IF($C116="","Falta el nombre de la actividad"&amp;" · ","")&amp;IF(AND($V116="Sub",N($U116)=0),"Subactividad sin macroactividad arriba"&amp;" · ","")&amp;IF($AM116="","Sin fecha de inicio"&amp;" · ","")&amp;IF($AN116="","Sin fecha límite"&amp;" · ","")&amp;IF(AND(LEFT($C116,11)="[Jefatura] ",N($AL116)=0),"No se encuentra en la hoja de la jefatura (elíjala de nuevo en la lista)"&amp;" · ","")&amp;IF(OR(AND($E116&lt;&gt;"",NOT(ISNUMBER($E116))),AND($F116&lt;&gt;"",NOT(ISNUMBER($F116))),AND($G116&lt;&gt;"",NOT(ISNUMBER($G116)))),"Fecha no válida"&amp;" · ","")&amp;IF(AND(ISNUMBER($AM116),ISNUMBER($AN116),$AM116&gt;$AN116),"Inicio posterior a fecha límite"&amp;" · ","")&amp;IF(AND($V116="Macro",$H116&lt;&gt;"",OR(NOT(ISNUMBER($H116)),$H116&lt;0,$H116&gt;1)),"Peso fuera de rango"&amp;" · ","")&amp;IF(AND($V116="Sub",$H116&lt;&gt;""),"Las subactividades no llevan peso (valen igual dentro de su macroactividad)"&amp;" · ","")&amp;IF(AND(N($W116)&gt;0,COUNT($I116:$L116)&gt;0),"Con subactividades: deje vacías las semanas (se calculan solas)"&amp;" · ","")&amp;IF((COUNTIF($I116:$L116,"&gt;1")+COUNTIF($I116:$L116,"&lt;0")+COUNTA($I116:$L116)-COUNT($I116:$L116))&gt;0,"Avance fuera de rango 0-100%"&amp;" · ","")&amp;IF(OR(AND($J116&lt;&gt;"",$J116&lt;$I116),AND($K116&lt;&gt;"",$K116&lt;MAX($I116:$J116)),AND($L116&lt;&gt;"",$L116&lt;MAX($I116:$K116))),"Avance semanal decreciente"&amp;" · ","")&amp;IF(AND(ISNUMBER($AN116),$AN116&lt;FechaRef,IF($V116="Sub",N($X116),N($M116))&lt;1),"Vencida"&amp;" · ","")&amp;IF(AND(ObsObligatoria="Sí",ISNUMBER($AN116),$AN116&lt;FechaRef,IF($V116="Sub",N($X116),N($M116))&lt;1,$Q116=""),"Vencida sin observación"&amp;" · ",""),LEN(IF($C116="","Falta el nombre de la actividad"&amp;" · ","")&amp;IF(AND($V116="Sub",N($U116)=0),"Subactividad sin macroactividad arriba"&amp;" · ","")&amp;IF($AM116="","Sin fecha de inicio"&amp;" · ","")&amp;IF($AN116="","Sin fecha límite"&amp;" · ","")&amp;IF(AND(LEFT($C116,11)="[Jefatura] ",N($AL116)=0),"No se encuentra en la hoja de la jefatura (elíjala de nuevo en la lista)"&amp;" · ","")&amp;IF(OR(AND($E116&lt;&gt;"",NOT(ISNUMBER($E116))),AND($F116&lt;&gt;"",NOT(ISNUMBER($F116))),AND($G116&lt;&gt;"",NOT(ISNUMBER($G116)))),"Fecha no válida"&amp;" · ","")&amp;IF(AND(ISNUMBER($AM116),ISNUMBER($AN116),$AM116&gt;$AN116),"Inicio posterior a fecha límite"&amp;" · ","")&amp;IF(AND($V116="Macro",$H116&lt;&gt;"",OR(NOT(ISNUMBER($H116)),$H116&lt;0,$H116&gt;1)),"Peso fuera de rango"&amp;" · ","")&amp;IF(AND($V116="Sub",$H116&lt;&gt;""),"Las subactividades no llevan peso (valen igual dentro de su macroactividad)"&amp;" · ","")&amp;IF(AND(N($W116)&gt;0,COUNT($I116:$L116)&gt;0),"Con subactividades: deje vacías las semanas (se calculan solas)"&amp;" · ","")&amp;IF((COUNTIF($I116:$L116,"&gt;1")+COUNTIF($I116:$L116,"&lt;0")+COUNTA($I116:$L116)-COUNT($I116:$L116))&gt;0,"Avance fuera de rango 0-100%"&amp;" · ","")&amp;IF(OR(AND($J116&lt;&gt;"",$J116&lt;$I116),AND($K116&lt;&gt;"",$K116&lt;MAX($I116:$J116)),AND($L116&lt;&gt;"",$L116&lt;MAX($I116:$K116))),"Avance semanal decreciente"&amp;" · ","")&amp;IF(AND(ISNUMBER($AN116),$AN116&lt;FechaRef,IF($V116="Sub",N($X116),N($M116))&lt;1),"Vencida"&amp;" · ","")&amp;IF(AND(ObsObligatoria="Sí",ISNUMBER($AN116),$AN116&lt;FechaRef,IF($V116="Sub",N($X116),N($M116))&lt;1,$Q116=""),"Vencida sin observación"&amp;" · ",""))-3)))</f>
        <v/>
      </c>
      <c r="S116" s="64">
        <f>IF(NOT((COUNTA($B116:$D116)+COUNTA($G116:$L116)+COUNTA($Q116))&gt;0),"",IF(AND($V116="Sub",N($U116)&gt;0),IF(ISNUMBER(INDEX($AM$5:$AM$1000,$U116-4)),DATE(YEAR(INDEX($AM$5:$AM$1000,$U116-4)),MONTH(INDEX($AM$5:$AM$1000,$U116-4)),1),IF(ISNUMBER(INDEX($AN$5:$AN$1000,$U116-4)),DATE(YEAR(INDEX($AN$5:$AN$1000,$U116-4)),MONTH(INDEX($AN$5:$AN$1000,$U116-4)),1),MesCiclo)),IF(ISNUMBER($AM116),DATE(YEAR($AM116),MONTH($AM116),1),IF(ISNUMBER($AN116),DATE(YEAR($AN116),MONTH($AN116),1),MesCiclo))))</f>
        <v/>
      </c>
      <c r="T116" s="62">
        <f>IF(OR($S116="",$S116&lt;&gt;MesCiclo,$V116&lt;&gt;"Macro"),"",COUNTIFS($S$5:$S116,MesCiclo,$V$5:$V116,"Macro"))</f>
        <v/>
      </c>
      <c r="U116" s="62">
        <f>IF($V116="","",IF($V116="Macro",ROW(),IFERROR(LOOKUP(2,1/($V$5:$V116="Macro"),ROW($V$5:$V116)),0)))</f>
        <v/>
      </c>
      <c r="V116" s="62">
        <f>IF(NOT((COUNTA($B116:$D116)+COUNTA($G116:$L116)+COUNTA($Q116))&gt;0),"",IF($B116="Subactividad","Sub","Macro"))</f>
        <v/>
      </c>
      <c r="W116" s="62">
        <f>IF($V116="Macro",COUNTIFS($U$5:$U$1000,ROW(),$V$5:$V$1000,"Sub"),"")</f>
        <v/>
      </c>
      <c r="X116" s="62">
        <f>IF($V116="","",IF(ISNUMBER($G116),1,IFERROR(LOOKUP(2,1/($I116:$L116&lt;&gt;""),$I116:$L116),0)))</f>
        <v/>
      </c>
      <c r="Y116" s="62">
        <f>IF($V116="","",IF(AND(ISNUMBER($G116),$G116&lt;=IF($S116=MesCiclo,InicioCiclo,$S116+MOD(2-WEEKDAY($S116),7))+6),1,IF(ISNUMBER($I116),$I116,0)))</f>
        <v/>
      </c>
      <c r="Z116" s="62">
        <f>IF($V116="","",IF(AND(ISNUMBER($G116),$G116&lt;=IF($S116=MesCiclo,InicioCiclo,$S116+MOD(2-WEEKDAY($S116),7))+13),1,IF(ISNUMBER($J116),$J116,$Y116)))</f>
        <v/>
      </c>
      <c r="AA116" s="62">
        <f>IF($V116="","",IF(AND(ISNUMBER($G116),$G116&lt;=IF($S116=MesCiclo,InicioCiclo,$S116+MOD(2-WEEKDAY($S116),7))+20),1,IF(ISNUMBER($K116),$K116,$Z116)))</f>
        <v/>
      </c>
      <c r="AB116" s="62">
        <f>IF($V116="","",IF(AND(ISNUMBER($G116),$G116&lt;=IF($S116=MesCiclo,InicioCiclo,$S116+MOD(2-WEEKDAY($S116),7))+27),1,IF(ISNUMBER($L116),$L116,$AA116)))</f>
        <v/>
      </c>
      <c r="AC116" s="62">
        <f>IF($V116="","",IF(AND(ISNUMBER($G116),$G116&lt;=IF($S116=MesCiclo,InicioCiclo,$S116+MOD(2-WEEKDAY($S116),7))+6),1,IF(N($W116)&gt;0,AVERAGEIFS($Y$5:$Y$1000,$U$5:$U$1000,ROW(),$V$5:$V$1000,"Sub"),$Y116)))</f>
        <v/>
      </c>
      <c r="AD116" s="62">
        <f>IF($V116="","",IF(AND(ISNUMBER($G116),$G116&lt;=IF($S116=MesCiclo,InicioCiclo,$S116+MOD(2-WEEKDAY($S116),7))+13),1,IF(N($W116)&gt;0,AVERAGEIFS($Z$5:$Z$1000,$U$5:$U$1000,ROW(),$V$5:$V$1000,"Sub"),$Z116)))</f>
        <v/>
      </c>
      <c r="AE116" s="62">
        <f>IF($V116="","",IF(AND(ISNUMBER($G116),$G116&lt;=IF($S116=MesCiclo,InicioCiclo,$S116+MOD(2-WEEKDAY($S116),7))+20),1,IF(N($W116)&gt;0,AVERAGEIFS($AA$5:$AA$1000,$U$5:$U$1000,ROW(),$V$5:$V$1000,"Sub"),$AA116)))</f>
        <v/>
      </c>
      <c r="AF116" s="62">
        <f>IF($V116="","",IF(AND(ISNUMBER($G116),$G116&lt;=IF($S116=MesCiclo,InicioCiclo,$S116+MOD(2-WEEKDAY($S116),7))+27),1,IF(N($W116)&gt;0,AVERAGEIFS($AB$5:$AB$1000,$U$5:$U$1000,ROW(),$V$5:$V$1000,"Sub"),$AB116)))</f>
        <v/>
      </c>
      <c r="AG116" s="62">
        <f>IF($V116&lt;&gt;"Macro","",IF(COUNTIFS($S$5:$S$1000,$S116,$V$5:$V$1000,"Macro",$H$5:$H$1000,"&gt;0")=0,1/COUNTIFS($S$5:$S$1000,$S116,$V$5:$V$1000,"Macro"),IF(AND(ISNUMBER($H116),N($H116)&gt;0),$H116,SUMIFS($H$5:$H$1000,$S$5:$S$1000,$S116,$V$5:$V$1000,"Macro")/COUNTIFS($S$5:$S$1000,$S116,$V$5:$V$1000,"Macro",$H$5:$H$1000,"&gt;0"))/(COUNTIFS($S$5:$S$1000,$S116,$V$5:$V$1000,"Macro")*SUMIFS($H$5:$H$1000,$S$5:$S$1000,$S116,$V$5:$V$1000,"Macro")/COUNTIFS($S$5:$S$1000,$S116,$V$5:$V$1000,"Macro",$H$5:$H$1000,"&gt;0"))))</f>
        <v/>
      </c>
      <c r="AH116" s="62" t="n"/>
      <c r="AI116" s="62" t="n"/>
      <c r="AJ116" s="62" t="n"/>
      <c r="AK116" s="62" t="n"/>
      <c r="AL116" s="62">
        <f>IF(LEFT($C116,11)="[Jefatura] ",IFERROR(MATCH("Asistente Técnico de Riesgo|"&amp;MID($C116,12,500),rDname_ADM,0),0),"")</f>
        <v/>
      </c>
      <c r="AM116" s="62">
        <f>IF(N($AL116)&gt;0,INDEX(rIni_ADM,$AL116),IF(ISNUMBER($E116),$E116,""))</f>
        <v/>
      </c>
      <c r="AN116" s="62">
        <f>IF(N($AL116)&gt;0,INDEX(rLim_ADM,$AL116),IF(ISNUMBER($F116),$F116,""))</f>
        <v/>
      </c>
    </row>
    <row r="117">
      <c r="A117" s="56">
        <f>IF(NOT((COUNTA($B117:$D117)+COUNTA($G117:$L117)+COUNTA($Q117))&gt;0),"",IF($V117="Macro",COUNTIFS($V$5:$V117,"Macro",$S$5:$S117,$S117),IF(N($U117)=0,"?",COUNTIFS(INDEX($V$5:$V$1000,1):INDEX($V$5:$V$1000,$U117-4),"Macro",INDEX($S$5:$S$1000,1):INDEX($S$5:$S$1000,$U117-4),INDEX($S$5:$S$1000,$U117-4))&amp;"."&amp;COUNTIFS($U$5:$U117,$U117,$V$5:$V117,"Sub"))))</f>
        <v/>
      </c>
      <c r="B117" s="57" t="n"/>
      <c r="C117" s="58" t="n"/>
      <c r="D117" s="58" t="n"/>
      <c r="E117" s="59">
        <f>IF(N($AL117)&gt;0,INDEX(rIni_ADM,$AL117),"")</f>
        <v/>
      </c>
      <c r="F117" s="59">
        <f>IF(N($AL117)&gt;0,INDEX(rLim_ADM,$AL117),"")</f>
        <v/>
      </c>
      <c r="G117" s="59" t="n"/>
      <c r="H117" s="60" t="n"/>
      <c r="I117" s="60" t="n"/>
      <c r="J117" s="60" t="n"/>
      <c r="K117" s="60" t="n"/>
      <c r="L117" s="60" t="n"/>
      <c r="M117" s="61">
        <f>IF(NOT((COUNTA($B117:$D117)+COUNTA($G117:$L117)+COUNTA($Q117))&gt;0),"",IF($V117="Sub",IFERROR($X117/INDEX($W$5:$W$1000,$U117-4),""),IF(ISNUMBER($G117),1,IF(N($W117)&gt;0,AVERAGEIFS($X$5:$X$1000,$U$5:$U$1000,ROW(),$V$5:$V$1000,"Sub"),$X117))))</f>
        <v/>
      </c>
      <c r="N117" s="56">
        <f>IF(OR($M117="",$V117="Sub"),"",IF($M117&gt;=1,"Completado",IF($M117&gt;0,"En curso","Pendiente")))</f>
        <v/>
      </c>
      <c r="O117" s="56">
        <f>IF(OR(NOT((COUNTA($B117:$D117)+COUNTA($G117:$L117)+COUNTA($Q117))&gt;0),$V117="Sub"),"",IF(ISNUMBER($G117),IF(AND(ISNUMBER($AN117),$G117&gt;$AN117),"Cumplida con "&amp;($G117-$AN117)&amp;IF($G117-$AN117=1," día"," días")&amp;" de retraso","Cumplida"),IF(N($M117)&gt;=1,"Cumplida",IF(NOT(ISNUMBER($AN117)),"Sin fecha límite",IF($AN117&lt;FechaRef,"Vencida hace "&amp;(FechaRef-$AN117)&amp;IF(FechaRef-$AN117=1," día"," días"),IF($AN117=FechaRef,"Vence hoy",IF($AN117-FechaRef&lt;=DiasAlerta,"Vence en "&amp;($AN117-FechaRef)&amp;IF($AN117-FechaRef=1," día"," días"),"En plazo")))))))</f>
        <v/>
      </c>
      <c r="P117" s="62" t="n"/>
      <c r="Q117" s="58" t="n"/>
      <c r="R117" s="63">
        <f>IF(NOT((COUNTA($B117:$D117)+COUNTA($G117:$L117)+COUNTA($Q117))&gt;0),"",IF((IF($C117="","Falta el nombre de la actividad"&amp;" · ","")&amp;IF(AND($V117="Sub",N($U117)=0),"Subactividad sin macroactividad arriba"&amp;" · ","")&amp;IF($AM117="","Sin fecha de inicio"&amp;" · ","")&amp;IF($AN117="","Sin fecha límite"&amp;" · ","")&amp;IF(AND(LEFT($C117,11)="[Jefatura] ",N($AL117)=0),"No se encuentra en la hoja de la jefatura (elíjala de nuevo en la lista)"&amp;" · ","")&amp;IF(OR(AND($E117&lt;&gt;"",NOT(ISNUMBER($E117))),AND($F117&lt;&gt;"",NOT(ISNUMBER($F117))),AND($G117&lt;&gt;"",NOT(ISNUMBER($G117)))),"Fecha no válida"&amp;" · ","")&amp;IF(AND(ISNUMBER($AM117),ISNUMBER($AN117),$AM117&gt;$AN117),"Inicio posterior a fecha límite"&amp;" · ","")&amp;IF(AND($V117="Macro",$H117&lt;&gt;"",OR(NOT(ISNUMBER($H117)),$H117&lt;0,$H117&gt;1)),"Peso fuera de rango"&amp;" · ","")&amp;IF(AND($V117="Sub",$H117&lt;&gt;""),"Las subactividades no llevan peso (valen igual dentro de su macroactividad)"&amp;" · ","")&amp;IF(AND(N($W117)&gt;0,COUNT($I117:$L117)&gt;0),"Con subactividades: deje vacías las semanas (se calculan solas)"&amp;" · ","")&amp;IF((COUNTIF($I117:$L117,"&gt;1")+COUNTIF($I117:$L117,"&lt;0")+COUNTA($I117:$L117)-COUNT($I117:$L117))&gt;0,"Avance fuera de rango 0-100%"&amp;" · ","")&amp;IF(OR(AND($J117&lt;&gt;"",$J117&lt;$I117),AND($K117&lt;&gt;"",$K117&lt;MAX($I117:$J117)),AND($L117&lt;&gt;"",$L117&lt;MAX($I117:$K117))),"Avance semanal decreciente"&amp;" · ","")&amp;IF(AND(ISNUMBER($AN117),$AN117&lt;FechaRef,IF($V117="Sub",N($X117),N($M117))&lt;1),"Vencida"&amp;" · ","")&amp;IF(AND(ObsObligatoria="Sí",ISNUMBER($AN117),$AN117&lt;FechaRef,IF($V117="Sub",N($X117),N($M117))&lt;1,$Q117=""),"Vencida sin observación"&amp;" · ",""))="","✔ OK","⚠ "&amp;LEFT(IF($C117="","Falta el nombre de la actividad"&amp;" · ","")&amp;IF(AND($V117="Sub",N($U117)=0),"Subactividad sin macroactividad arriba"&amp;" · ","")&amp;IF($AM117="","Sin fecha de inicio"&amp;" · ","")&amp;IF($AN117="","Sin fecha límite"&amp;" · ","")&amp;IF(AND(LEFT($C117,11)="[Jefatura] ",N($AL117)=0),"No se encuentra en la hoja de la jefatura (elíjala de nuevo en la lista)"&amp;" · ","")&amp;IF(OR(AND($E117&lt;&gt;"",NOT(ISNUMBER($E117))),AND($F117&lt;&gt;"",NOT(ISNUMBER($F117))),AND($G117&lt;&gt;"",NOT(ISNUMBER($G117)))),"Fecha no válida"&amp;" · ","")&amp;IF(AND(ISNUMBER($AM117),ISNUMBER($AN117),$AM117&gt;$AN117),"Inicio posterior a fecha límite"&amp;" · ","")&amp;IF(AND($V117="Macro",$H117&lt;&gt;"",OR(NOT(ISNUMBER($H117)),$H117&lt;0,$H117&gt;1)),"Peso fuera de rango"&amp;" · ","")&amp;IF(AND($V117="Sub",$H117&lt;&gt;""),"Las subactividades no llevan peso (valen igual dentro de su macroactividad)"&amp;" · ","")&amp;IF(AND(N($W117)&gt;0,COUNT($I117:$L117)&gt;0),"Con subactividades: deje vacías las semanas (se calculan solas)"&amp;" · ","")&amp;IF((COUNTIF($I117:$L117,"&gt;1")+COUNTIF($I117:$L117,"&lt;0")+COUNTA($I117:$L117)-COUNT($I117:$L117))&gt;0,"Avance fuera de rango 0-100%"&amp;" · ","")&amp;IF(OR(AND($J117&lt;&gt;"",$J117&lt;$I117),AND($K117&lt;&gt;"",$K117&lt;MAX($I117:$J117)),AND($L117&lt;&gt;"",$L117&lt;MAX($I117:$K117))),"Avance semanal decreciente"&amp;" · ","")&amp;IF(AND(ISNUMBER($AN117),$AN117&lt;FechaRef,IF($V117="Sub",N($X117),N($M117))&lt;1),"Vencida"&amp;" · ","")&amp;IF(AND(ObsObligatoria="Sí",ISNUMBER($AN117),$AN117&lt;FechaRef,IF($V117="Sub",N($X117),N($M117))&lt;1,$Q117=""),"Vencida sin observación"&amp;" · ",""),LEN(IF($C117="","Falta el nombre de la actividad"&amp;" · ","")&amp;IF(AND($V117="Sub",N($U117)=0),"Subactividad sin macroactividad arriba"&amp;" · ","")&amp;IF($AM117="","Sin fecha de inicio"&amp;" · ","")&amp;IF($AN117="","Sin fecha límite"&amp;" · ","")&amp;IF(AND(LEFT($C117,11)="[Jefatura] ",N($AL117)=0),"No se encuentra en la hoja de la jefatura (elíjala de nuevo en la lista)"&amp;" · ","")&amp;IF(OR(AND($E117&lt;&gt;"",NOT(ISNUMBER($E117))),AND($F117&lt;&gt;"",NOT(ISNUMBER($F117))),AND($G117&lt;&gt;"",NOT(ISNUMBER($G117)))),"Fecha no válida"&amp;" · ","")&amp;IF(AND(ISNUMBER($AM117),ISNUMBER($AN117),$AM117&gt;$AN117),"Inicio posterior a fecha límite"&amp;" · ","")&amp;IF(AND($V117="Macro",$H117&lt;&gt;"",OR(NOT(ISNUMBER($H117)),$H117&lt;0,$H117&gt;1)),"Peso fuera de rango"&amp;" · ","")&amp;IF(AND($V117="Sub",$H117&lt;&gt;""),"Las subactividades no llevan peso (valen igual dentro de su macroactividad)"&amp;" · ","")&amp;IF(AND(N($W117)&gt;0,COUNT($I117:$L117)&gt;0),"Con subactividades: deje vacías las semanas (se calculan solas)"&amp;" · ","")&amp;IF((COUNTIF($I117:$L117,"&gt;1")+COUNTIF($I117:$L117,"&lt;0")+COUNTA($I117:$L117)-COUNT($I117:$L117))&gt;0,"Avance fuera de rango 0-100%"&amp;" · ","")&amp;IF(OR(AND($J117&lt;&gt;"",$J117&lt;$I117),AND($K117&lt;&gt;"",$K117&lt;MAX($I117:$J117)),AND($L117&lt;&gt;"",$L117&lt;MAX($I117:$K117))),"Avance semanal decreciente"&amp;" · ","")&amp;IF(AND(ISNUMBER($AN117),$AN117&lt;FechaRef,IF($V117="Sub",N($X117),N($M117))&lt;1),"Vencida"&amp;" · ","")&amp;IF(AND(ObsObligatoria="Sí",ISNUMBER($AN117),$AN117&lt;FechaRef,IF($V117="Sub",N($X117),N($M117))&lt;1,$Q117=""),"Vencida sin observación"&amp;" · ",""))-3)))</f>
        <v/>
      </c>
      <c r="S117" s="64">
        <f>IF(NOT((COUNTA($B117:$D117)+COUNTA($G117:$L117)+COUNTA($Q117))&gt;0),"",IF(AND($V117="Sub",N($U117)&gt;0),IF(ISNUMBER(INDEX($AM$5:$AM$1000,$U117-4)),DATE(YEAR(INDEX($AM$5:$AM$1000,$U117-4)),MONTH(INDEX($AM$5:$AM$1000,$U117-4)),1),IF(ISNUMBER(INDEX($AN$5:$AN$1000,$U117-4)),DATE(YEAR(INDEX($AN$5:$AN$1000,$U117-4)),MONTH(INDEX($AN$5:$AN$1000,$U117-4)),1),MesCiclo)),IF(ISNUMBER($AM117),DATE(YEAR($AM117),MONTH($AM117),1),IF(ISNUMBER($AN117),DATE(YEAR($AN117),MONTH($AN117),1),MesCiclo))))</f>
        <v/>
      </c>
      <c r="T117" s="62">
        <f>IF(OR($S117="",$S117&lt;&gt;MesCiclo,$V117&lt;&gt;"Macro"),"",COUNTIFS($S$5:$S117,MesCiclo,$V$5:$V117,"Macro"))</f>
        <v/>
      </c>
      <c r="U117" s="62">
        <f>IF($V117="","",IF($V117="Macro",ROW(),IFERROR(LOOKUP(2,1/($V$5:$V117="Macro"),ROW($V$5:$V117)),0)))</f>
        <v/>
      </c>
      <c r="V117" s="62">
        <f>IF(NOT((COUNTA($B117:$D117)+COUNTA($G117:$L117)+COUNTA($Q117))&gt;0),"",IF($B117="Subactividad","Sub","Macro"))</f>
        <v/>
      </c>
      <c r="W117" s="62">
        <f>IF($V117="Macro",COUNTIFS($U$5:$U$1000,ROW(),$V$5:$V$1000,"Sub"),"")</f>
        <v/>
      </c>
      <c r="X117" s="62">
        <f>IF($V117="","",IF(ISNUMBER($G117),1,IFERROR(LOOKUP(2,1/($I117:$L117&lt;&gt;""),$I117:$L117),0)))</f>
        <v/>
      </c>
      <c r="Y117" s="62">
        <f>IF($V117="","",IF(AND(ISNUMBER($G117),$G117&lt;=IF($S117=MesCiclo,InicioCiclo,$S117+MOD(2-WEEKDAY($S117),7))+6),1,IF(ISNUMBER($I117),$I117,0)))</f>
        <v/>
      </c>
      <c r="Z117" s="62">
        <f>IF($V117="","",IF(AND(ISNUMBER($G117),$G117&lt;=IF($S117=MesCiclo,InicioCiclo,$S117+MOD(2-WEEKDAY($S117),7))+13),1,IF(ISNUMBER($J117),$J117,$Y117)))</f>
        <v/>
      </c>
      <c r="AA117" s="62">
        <f>IF($V117="","",IF(AND(ISNUMBER($G117),$G117&lt;=IF($S117=MesCiclo,InicioCiclo,$S117+MOD(2-WEEKDAY($S117),7))+20),1,IF(ISNUMBER($K117),$K117,$Z117)))</f>
        <v/>
      </c>
      <c r="AB117" s="62">
        <f>IF($V117="","",IF(AND(ISNUMBER($G117),$G117&lt;=IF($S117=MesCiclo,InicioCiclo,$S117+MOD(2-WEEKDAY($S117),7))+27),1,IF(ISNUMBER($L117),$L117,$AA117)))</f>
        <v/>
      </c>
      <c r="AC117" s="62">
        <f>IF($V117="","",IF(AND(ISNUMBER($G117),$G117&lt;=IF($S117=MesCiclo,InicioCiclo,$S117+MOD(2-WEEKDAY($S117),7))+6),1,IF(N($W117)&gt;0,AVERAGEIFS($Y$5:$Y$1000,$U$5:$U$1000,ROW(),$V$5:$V$1000,"Sub"),$Y117)))</f>
        <v/>
      </c>
      <c r="AD117" s="62">
        <f>IF($V117="","",IF(AND(ISNUMBER($G117),$G117&lt;=IF($S117=MesCiclo,InicioCiclo,$S117+MOD(2-WEEKDAY($S117),7))+13),1,IF(N($W117)&gt;0,AVERAGEIFS($Z$5:$Z$1000,$U$5:$U$1000,ROW(),$V$5:$V$1000,"Sub"),$Z117)))</f>
        <v/>
      </c>
      <c r="AE117" s="62">
        <f>IF($V117="","",IF(AND(ISNUMBER($G117),$G117&lt;=IF($S117=MesCiclo,InicioCiclo,$S117+MOD(2-WEEKDAY($S117),7))+20),1,IF(N($W117)&gt;0,AVERAGEIFS($AA$5:$AA$1000,$U$5:$U$1000,ROW(),$V$5:$V$1000,"Sub"),$AA117)))</f>
        <v/>
      </c>
      <c r="AF117" s="62">
        <f>IF($V117="","",IF(AND(ISNUMBER($G117),$G117&lt;=IF($S117=MesCiclo,InicioCiclo,$S117+MOD(2-WEEKDAY($S117),7))+27),1,IF(N($W117)&gt;0,AVERAGEIFS($AB$5:$AB$1000,$U$5:$U$1000,ROW(),$V$5:$V$1000,"Sub"),$AB117)))</f>
        <v/>
      </c>
      <c r="AG117" s="62">
        <f>IF($V117&lt;&gt;"Macro","",IF(COUNTIFS($S$5:$S$1000,$S117,$V$5:$V$1000,"Macro",$H$5:$H$1000,"&gt;0")=0,1/COUNTIFS($S$5:$S$1000,$S117,$V$5:$V$1000,"Macro"),IF(AND(ISNUMBER($H117),N($H117)&gt;0),$H117,SUMIFS($H$5:$H$1000,$S$5:$S$1000,$S117,$V$5:$V$1000,"Macro")/COUNTIFS($S$5:$S$1000,$S117,$V$5:$V$1000,"Macro",$H$5:$H$1000,"&gt;0"))/(COUNTIFS($S$5:$S$1000,$S117,$V$5:$V$1000,"Macro")*SUMIFS($H$5:$H$1000,$S$5:$S$1000,$S117,$V$5:$V$1000,"Macro")/COUNTIFS($S$5:$S$1000,$S117,$V$5:$V$1000,"Macro",$H$5:$H$1000,"&gt;0"))))</f>
        <v/>
      </c>
      <c r="AH117" s="62" t="n"/>
      <c r="AI117" s="62" t="n"/>
      <c r="AJ117" s="62" t="n"/>
      <c r="AK117" s="62" t="n"/>
      <c r="AL117" s="62">
        <f>IF(LEFT($C117,11)="[Jefatura] ",IFERROR(MATCH("Asistente Técnico de Riesgo|"&amp;MID($C117,12,500),rDname_ADM,0),0),"")</f>
        <v/>
      </c>
      <c r="AM117" s="62">
        <f>IF(N($AL117)&gt;0,INDEX(rIni_ADM,$AL117),IF(ISNUMBER($E117),$E117,""))</f>
        <v/>
      </c>
      <c r="AN117" s="62">
        <f>IF(N($AL117)&gt;0,INDEX(rLim_ADM,$AL117),IF(ISNUMBER($F117),$F117,""))</f>
        <v/>
      </c>
    </row>
    <row r="118">
      <c r="A118" s="56">
        <f>IF(NOT((COUNTA($B118:$D118)+COUNTA($G118:$L118)+COUNTA($Q118))&gt;0),"",IF($V118="Macro",COUNTIFS($V$5:$V118,"Macro",$S$5:$S118,$S118),IF(N($U118)=0,"?",COUNTIFS(INDEX($V$5:$V$1000,1):INDEX($V$5:$V$1000,$U118-4),"Macro",INDEX($S$5:$S$1000,1):INDEX($S$5:$S$1000,$U118-4),INDEX($S$5:$S$1000,$U118-4))&amp;"."&amp;COUNTIFS($U$5:$U118,$U118,$V$5:$V118,"Sub"))))</f>
        <v/>
      </c>
      <c r="B118" s="57" t="n"/>
      <c r="C118" s="58" t="n"/>
      <c r="D118" s="58" t="n"/>
      <c r="E118" s="59">
        <f>IF(N($AL118)&gt;0,INDEX(rIni_ADM,$AL118),"")</f>
        <v/>
      </c>
      <c r="F118" s="59">
        <f>IF(N($AL118)&gt;0,INDEX(rLim_ADM,$AL118),"")</f>
        <v/>
      </c>
      <c r="G118" s="59" t="n"/>
      <c r="H118" s="60" t="n"/>
      <c r="I118" s="60" t="n"/>
      <c r="J118" s="60" t="n"/>
      <c r="K118" s="60" t="n"/>
      <c r="L118" s="60" t="n"/>
      <c r="M118" s="61">
        <f>IF(NOT((COUNTA($B118:$D118)+COUNTA($G118:$L118)+COUNTA($Q118))&gt;0),"",IF($V118="Sub",IFERROR($X118/INDEX($W$5:$W$1000,$U118-4),""),IF(ISNUMBER($G118),1,IF(N($W118)&gt;0,AVERAGEIFS($X$5:$X$1000,$U$5:$U$1000,ROW(),$V$5:$V$1000,"Sub"),$X118))))</f>
        <v/>
      </c>
      <c r="N118" s="56">
        <f>IF(OR($M118="",$V118="Sub"),"",IF($M118&gt;=1,"Completado",IF($M118&gt;0,"En curso","Pendiente")))</f>
        <v/>
      </c>
      <c r="O118" s="56">
        <f>IF(OR(NOT((COUNTA($B118:$D118)+COUNTA($G118:$L118)+COUNTA($Q118))&gt;0),$V118="Sub"),"",IF(ISNUMBER($G118),IF(AND(ISNUMBER($AN118),$G118&gt;$AN118),"Cumplida con "&amp;($G118-$AN118)&amp;IF($G118-$AN118=1," día"," días")&amp;" de retraso","Cumplida"),IF(N($M118)&gt;=1,"Cumplida",IF(NOT(ISNUMBER($AN118)),"Sin fecha límite",IF($AN118&lt;FechaRef,"Vencida hace "&amp;(FechaRef-$AN118)&amp;IF(FechaRef-$AN118=1," día"," días"),IF($AN118=FechaRef,"Vence hoy",IF($AN118-FechaRef&lt;=DiasAlerta,"Vence en "&amp;($AN118-FechaRef)&amp;IF($AN118-FechaRef=1," día"," días"),"En plazo")))))))</f>
        <v/>
      </c>
      <c r="P118" s="62" t="n"/>
      <c r="Q118" s="58" t="n"/>
      <c r="R118" s="63">
        <f>IF(NOT((COUNTA($B118:$D118)+COUNTA($G118:$L118)+COUNTA($Q118))&gt;0),"",IF((IF($C118="","Falta el nombre de la actividad"&amp;" · ","")&amp;IF(AND($V118="Sub",N($U118)=0),"Subactividad sin macroactividad arriba"&amp;" · ","")&amp;IF($AM118="","Sin fecha de inicio"&amp;" · ","")&amp;IF($AN118="","Sin fecha límite"&amp;" · ","")&amp;IF(AND(LEFT($C118,11)="[Jefatura] ",N($AL118)=0),"No se encuentra en la hoja de la jefatura (elíjala de nuevo en la lista)"&amp;" · ","")&amp;IF(OR(AND($E118&lt;&gt;"",NOT(ISNUMBER($E118))),AND($F118&lt;&gt;"",NOT(ISNUMBER($F118))),AND($G118&lt;&gt;"",NOT(ISNUMBER($G118)))),"Fecha no válida"&amp;" · ","")&amp;IF(AND(ISNUMBER($AM118),ISNUMBER($AN118),$AM118&gt;$AN118),"Inicio posterior a fecha límite"&amp;" · ","")&amp;IF(AND($V118="Macro",$H118&lt;&gt;"",OR(NOT(ISNUMBER($H118)),$H118&lt;0,$H118&gt;1)),"Peso fuera de rango"&amp;" · ","")&amp;IF(AND($V118="Sub",$H118&lt;&gt;""),"Las subactividades no llevan peso (valen igual dentro de su macroactividad)"&amp;" · ","")&amp;IF(AND(N($W118)&gt;0,COUNT($I118:$L118)&gt;0),"Con subactividades: deje vacías las semanas (se calculan solas)"&amp;" · ","")&amp;IF((COUNTIF($I118:$L118,"&gt;1")+COUNTIF($I118:$L118,"&lt;0")+COUNTA($I118:$L118)-COUNT($I118:$L118))&gt;0,"Avance fuera de rango 0-100%"&amp;" · ","")&amp;IF(OR(AND($J118&lt;&gt;"",$J118&lt;$I118),AND($K118&lt;&gt;"",$K118&lt;MAX($I118:$J118)),AND($L118&lt;&gt;"",$L118&lt;MAX($I118:$K118))),"Avance semanal decreciente"&amp;" · ","")&amp;IF(AND(ISNUMBER($AN118),$AN118&lt;FechaRef,IF($V118="Sub",N($X118),N($M118))&lt;1),"Vencida"&amp;" · ","")&amp;IF(AND(ObsObligatoria="Sí",ISNUMBER($AN118),$AN118&lt;FechaRef,IF($V118="Sub",N($X118),N($M118))&lt;1,$Q118=""),"Vencida sin observación"&amp;" · ",""))="","✔ OK","⚠ "&amp;LEFT(IF($C118="","Falta el nombre de la actividad"&amp;" · ","")&amp;IF(AND($V118="Sub",N($U118)=0),"Subactividad sin macroactividad arriba"&amp;" · ","")&amp;IF($AM118="","Sin fecha de inicio"&amp;" · ","")&amp;IF($AN118="","Sin fecha límite"&amp;" · ","")&amp;IF(AND(LEFT($C118,11)="[Jefatura] ",N($AL118)=0),"No se encuentra en la hoja de la jefatura (elíjala de nuevo en la lista)"&amp;" · ","")&amp;IF(OR(AND($E118&lt;&gt;"",NOT(ISNUMBER($E118))),AND($F118&lt;&gt;"",NOT(ISNUMBER($F118))),AND($G118&lt;&gt;"",NOT(ISNUMBER($G118)))),"Fecha no válida"&amp;" · ","")&amp;IF(AND(ISNUMBER($AM118),ISNUMBER($AN118),$AM118&gt;$AN118),"Inicio posterior a fecha límite"&amp;" · ","")&amp;IF(AND($V118="Macro",$H118&lt;&gt;"",OR(NOT(ISNUMBER($H118)),$H118&lt;0,$H118&gt;1)),"Peso fuera de rango"&amp;" · ","")&amp;IF(AND($V118="Sub",$H118&lt;&gt;""),"Las subactividades no llevan peso (valen igual dentro de su macroactividad)"&amp;" · ","")&amp;IF(AND(N($W118)&gt;0,COUNT($I118:$L118)&gt;0),"Con subactividades: deje vacías las semanas (se calculan solas)"&amp;" · ","")&amp;IF((COUNTIF($I118:$L118,"&gt;1")+COUNTIF($I118:$L118,"&lt;0")+COUNTA($I118:$L118)-COUNT($I118:$L118))&gt;0,"Avance fuera de rango 0-100%"&amp;" · ","")&amp;IF(OR(AND($J118&lt;&gt;"",$J118&lt;$I118),AND($K118&lt;&gt;"",$K118&lt;MAX($I118:$J118)),AND($L118&lt;&gt;"",$L118&lt;MAX($I118:$K118))),"Avance semanal decreciente"&amp;" · ","")&amp;IF(AND(ISNUMBER($AN118),$AN118&lt;FechaRef,IF($V118="Sub",N($X118),N($M118))&lt;1),"Vencida"&amp;" · ","")&amp;IF(AND(ObsObligatoria="Sí",ISNUMBER($AN118),$AN118&lt;FechaRef,IF($V118="Sub",N($X118),N($M118))&lt;1,$Q118=""),"Vencida sin observación"&amp;" · ",""),LEN(IF($C118="","Falta el nombre de la actividad"&amp;" · ","")&amp;IF(AND($V118="Sub",N($U118)=0),"Subactividad sin macroactividad arriba"&amp;" · ","")&amp;IF($AM118="","Sin fecha de inicio"&amp;" · ","")&amp;IF($AN118="","Sin fecha límite"&amp;" · ","")&amp;IF(AND(LEFT($C118,11)="[Jefatura] ",N($AL118)=0),"No se encuentra en la hoja de la jefatura (elíjala de nuevo en la lista)"&amp;" · ","")&amp;IF(OR(AND($E118&lt;&gt;"",NOT(ISNUMBER($E118))),AND($F118&lt;&gt;"",NOT(ISNUMBER($F118))),AND($G118&lt;&gt;"",NOT(ISNUMBER($G118)))),"Fecha no válida"&amp;" · ","")&amp;IF(AND(ISNUMBER($AM118),ISNUMBER($AN118),$AM118&gt;$AN118),"Inicio posterior a fecha límite"&amp;" · ","")&amp;IF(AND($V118="Macro",$H118&lt;&gt;"",OR(NOT(ISNUMBER($H118)),$H118&lt;0,$H118&gt;1)),"Peso fuera de rango"&amp;" · ","")&amp;IF(AND($V118="Sub",$H118&lt;&gt;""),"Las subactividades no llevan peso (valen igual dentro de su macroactividad)"&amp;" · ","")&amp;IF(AND(N($W118)&gt;0,COUNT($I118:$L118)&gt;0),"Con subactividades: deje vacías las semanas (se calculan solas)"&amp;" · ","")&amp;IF((COUNTIF($I118:$L118,"&gt;1")+COUNTIF($I118:$L118,"&lt;0")+COUNTA($I118:$L118)-COUNT($I118:$L118))&gt;0,"Avance fuera de rango 0-100%"&amp;" · ","")&amp;IF(OR(AND($J118&lt;&gt;"",$J118&lt;$I118),AND($K118&lt;&gt;"",$K118&lt;MAX($I118:$J118)),AND($L118&lt;&gt;"",$L118&lt;MAX($I118:$K118))),"Avance semanal decreciente"&amp;" · ","")&amp;IF(AND(ISNUMBER($AN118),$AN118&lt;FechaRef,IF($V118="Sub",N($X118),N($M118))&lt;1),"Vencida"&amp;" · ","")&amp;IF(AND(ObsObligatoria="Sí",ISNUMBER($AN118),$AN118&lt;FechaRef,IF($V118="Sub",N($X118),N($M118))&lt;1,$Q118=""),"Vencida sin observación"&amp;" · ",""))-3)))</f>
        <v/>
      </c>
      <c r="S118" s="64">
        <f>IF(NOT((COUNTA($B118:$D118)+COUNTA($G118:$L118)+COUNTA($Q118))&gt;0),"",IF(AND($V118="Sub",N($U118)&gt;0),IF(ISNUMBER(INDEX($AM$5:$AM$1000,$U118-4)),DATE(YEAR(INDEX($AM$5:$AM$1000,$U118-4)),MONTH(INDEX($AM$5:$AM$1000,$U118-4)),1),IF(ISNUMBER(INDEX($AN$5:$AN$1000,$U118-4)),DATE(YEAR(INDEX($AN$5:$AN$1000,$U118-4)),MONTH(INDEX($AN$5:$AN$1000,$U118-4)),1),MesCiclo)),IF(ISNUMBER($AM118),DATE(YEAR($AM118),MONTH($AM118),1),IF(ISNUMBER($AN118),DATE(YEAR($AN118),MONTH($AN118),1),MesCiclo))))</f>
        <v/>
      </c>
      <c r="T118" s="62">
        <f>IF(OR($S118="",$S118&lt;&gt;MesCiclo,$V118&lt;&gt;"Macro"),"",COUNTIFS($S$5:$S118,MesCiclo,$V$5:$V118,"Macro"))</f>
        <v/>
      </c>
      <c r="U118" s="62">
        <f>IF($V118="","",IF($V118="Macro",ROW(),IFERROR(LOOKUP(2,1/($V$5:$V118="Macro"),ROW($V$5:$V118)),0)))</f>
        <v/>
      </c>
      <c r="V118" s="62">
        <f>IF(NOT((COUNTA($B118:$D118)+COUNTA($G118:$L118)+COUNTA($Q118))&gt;0),"",IF($B118="Subactividad","Sub","Macro"))</f>
        <v/>
      </c>
      <c r="W118" s="62">
        <f>IF($V118="Macro",COUNTIFS($U$5:$U$1000,ROW(),$V$5:$V$1000,"Sub"),"")</f>
        <v/>
      </c>
      <c r="X118" s="62">
        <f>IF($V118="","",IF(ISNUMBER($G118),1,IFERROR(LOOKUP(2,1/($I118:$L118&lt;&gt;""),$I118:$L118),0)))</f>
        <v/>
      </c>
      <c r="Y118" s="62">
        <f>IF($V118="","",IF(AND(ISNUMBER($G118),$G118&lt;=IF($S118=MesCiclo,InicioCiclo,$S118+MOD(2-WEEKDAY($S118),7))+6),1,IF(ISNUMBER($I118),$I118,0)))</f>
        <v/>
      </c>
      <c r="Z118" s="62">
        <f>IF($V118="","",IF(AND(ISNUMBER($G118),$G118&lt;=IF($S118=MesCiclo,InicioCiclo,$S118+MOD(2-WEEKDAY($S118),7))+13),1,IF(ISNUMBER($J118),$J118,$Y118)))</f>
        <v/>
      </c>
      <c r="AA118" s="62">
        <f>IF($V118="","",IF(AND(ISNUMBER($G118),$G118&lt;=IF($S118=MesCiclo,InicioCiclo,$S118+MOD(2-WEEKDAY($S118),7))+20),1,IF(ISNUMBER($K118),$K118,$Z118)))</f>
        <v/>
      </c>
      <c r="AB118" s="62">
        <f>IF($V118="","",IF(AND(ISNUMBER($G118),$G118&lt;=IF($S118=MesCiclo,InicioCiclo,$S118+MOD(2-WEEKDAY($S118),7))+27),1,IF(ISNUMBER($L118),$L118,$AA118)))</f>
        <v/>
      </c>
      <c r="AC118" s="62">
        <f>IF($V118="","",IF(AND(ISNUMBER($G118),$G118&lt;=IF($S118=MesCiclo,InicioCiclo,$S118+MOD(2-WEEKDAY($S118),7))+6),1,IF(N($W118)&gt;0,AVERAGEIFS($Y$5:$Y$1000,$U$5:$U$1000,ROW(),$V$5:$V$1000,"Sub"),$Y118)))</f>
        <v/>
      </c>
      <c r="AD118" s="62">
        <f>IF($V118="","",IF(AND(ISNUMBER($G118),$G118&lt;=IF($S118=MesCiclo,InicioCiclo,$S118+MOD(2-WEEKDAY($S118),7))+13),1,IF(N($W118)&gt;0,AVERAGEIFS($Z$5:$Z$1000,$U$5:$U$1000,ROW(),$V$5:$V$1000,"Sub"),$Z118)))</f>
        <v/>
      </c>
      <c r="AE118" s="62">
        <f>IF($V118="","",IF(AND(ISNUMBER($G118),$G118&lt;=IF($S118=MesCiclo,InicioCiclo,$S118+MOD(2-WEEKDAY($S118),7))+20),1,IF(N($W118)&gt;0,AVERAGEIFS($AA$5:$AA$1000,$U$5:$U$1000,ROW(),$V$5:$V$1000,"Sub"),$AA118)))</f>
        <v/>
      </c>
      <c r="AF118" s="62">
        <f>IF($V118="","",IF(AND(ISNUMBER($G118),$G118&lt;=IF($S118=MesCiclo,InicioCiclo,$S118+MOD(2-WEEKDAY($S118),7))+27),1,IF(N($W118)&gt;0,AVERAGEIFS($AB$5:$AB$1000,$U$5:$U$1000,ROW(),$V$5:$V$1000,"Sub"),$AB118)))</f>
        <v/>
      </c>
      <c r="AG118" s="62">
        <f>IF($V118&lt;&gt;"Macro","",IF(COUNTIFS($S$5:$S$1000,$S118,$V$5:$V$1000,"Macro",$H$5:$H$1000,"&gt;0")=0,1/COUNTIFS($S$5:$S$1000,$S118,$V$5:$V$1000,"Macro"),IF(AND(ISNUMBER($H118),N($H118)&gt;0),$H118,SUMIFS($H$5:$H$1000,$S$5:$S$1000,$S118,$V$5:$V$1000,"Macro")/COUNTIFS($S$5:$S$1000,$S118,$V$5:$V$1000,"Macro",$H$5:$H$1000,"&gt;0"))/(COUNTIFS($S$5:$S$1000,$S118,$V$5:$V$1000,"Macro")*SUMIFS($H$5:$H$1000,$S$5:$S$1000,$S118,$V$5:$V$1000,"Macro")/COUNTIFS($S$5:$S$1000,$S118,$V$5:$V$1000,"Macro",$H$5:$H$1000,"&gt;0"))))</f>
        <v/>
      </c>
      <c r="AH118" s="62" t="n"/>
      <c r="AI118" s="62" t="n"/>
      <c r="AJ118" s="62" t="n"/>
      <c r="AK118" s="62" t="n"/>
      <c r="AL118" s="62">
        <f>IF(LEFT($C118,11)="[Jefatura] ",IFERROR(MATCH("Asistente Técnico de Riesgo|"&amp;MID($C118,12,500),rDname_ADM,0),0),"")</f>
        <v/>
      </c>
      <c r="AM118" s="62">
        <f>IF(N($AL118)&gt;0,INDEX(rIni_ADM,$AL118),IF(ISNUMBER($E118),$E118,""))</f>
        <v/>
      </c>
      <c r="AN118" s="62">
        <f>IF(N($AL118)&gt;0,INDEX(rLim_ADM,$AL118),IF(ISNUMBER($F118),$F118,""))</f>
        <v/>
      </c>
    </row>
    <row r="119">
      <c r="A119" s="56">
        <f>IF(NOT((COUNTA($B119:$D119)+COUNTA($G119:$L119)+COUNTA($Q119))&gt;0),"",IF($V119="Macro",COUNTIFS($V$5:$V119,"Macro",$S$5:$S119,$S119),IF(N($U119)=0,"?",COUNTIFS(INDEX($V$5:$V$1000,1):INDEX($V$5:$V$1000,$U119-4),"Macro",INDEX($S$5:$S$1000,1):INDEX($S$5:$S$1000,$U119-4),INDEX($S$5:$S$1000,$U119-4))&amp;"."&amp;COUNTIFS($U$5:$U119,$U119,$V$5:$V119,"Sub"))))</f>
        <v/>
      </c>
      <c r="B119" s="57" t="n"/>
      <c r="C119" s="58" t="n"/>
      <c r="D119" s="58" t="n"/>
      <c r="E119" s="59">
        <f>IF(N($AL119)&gt;0,INDEX(rIni_ADM,$AL119),"")</f>
        <v/>
      </c>
      <c r="F119" s="59">
        <f>IF(N($AL119)&gt;0,INDEX(rLim_ADM,$AL119),"")</f>
        <v/>
      </c>
      <c r="G119" s="59" t="n"/>
      <c r="H119" s="60" t="n"/>
      <c r="I119" s="60" t="n"/>
      <c r="J119" s="60" t="n"/>
      <c r="K119" s="60" t="n"/>
      <c r="L119" s="60" t="n"/>
      <c r="M119" s="61">
        <f>IF(NOT((COUNTA($B119:$D119)+COUNTA($G119:$L119)+COUNTA($Q119))&gt;0),"",IF($V119="Sub",IFERROR($X119/INDEX($W$5:$W$1000,$U119-4),""),IF(ISNUMBER($G119),1,IF(N($W119)&gt;0,AVERAGEIFS($X$5:$X$1000,$U$5:$U$1000,ROW(),$V$5:$V$1000,"Sub"),$X119))))</f>
        <v/>
      </c>
      <c r="N119" s="56">
        <f>IF(OR($M119="",$V119="Sub"),"",IF($M119&gt;=1,"Completado",IF($M119&gt;0,"En curso","Pendiente")))</f>
        <v/>
      </c>
      <c r="O119" s="56">
        <f>IF(OR(NOT((COUNTA($B119:$D119)+COUNTA($G119:$L119)+COUNTA($Q119))&gt;0),$V119="Sub"),"",IF(ISNUMBER($G119),IF(AND(ISNUMBER($AN119),$G119&gt;$AN119),"Cumplida con "&amp;($G119-$AN119)&amp;IF($G119-$AN119=1," día"," días")&amp;" de retraso","Cumplida"),IF(N($M119)&gt;=1,"Cumplida",IF(NOT(ISNUMBER($AN119)),"Sin fecha límite",IF($AN119&lt;FechaRef,"Vencida hace "&amp;(FechaRef-$AN119)&amp;IF(FechaRef-$AN119=1," día"," días"),IF($AN119=FechaRef,"Vence hoy",IF($AN119-FechaRef&lt;=DiasAlerta,"Vence en "&amp;($AN119-FechaRef)&amp;IF($AN119-FechaRef=1," día"," días"),"En plazo")))))))</f>
        <v/>
      </c>
      <c r="P119" s="62" t="n"/>
      <c r="Q119" s="58" t="n"/>
      <c r="R119" s="63">
        <f>IF(NOT((COUNTA($B119:$D119)+COUNTA($G119:$L119)+COUNTA($Q119))&gt;0),"",IF((IF($C119="","Falta el nombre de la actividad"&amp;" · ","")&amp;IF(AND($V119="Sub",N($U119)=0),"Subactividad sin macroactividad arriba"&amp;" · ","")&amp;IF($AM119="","Sin fecha de inicio"&amp;" · ","")&amp;IF($AN119="","Sin fecha límite"&amp;" · ","")&amp;IF(AND(LEFT($C119,11)="[Jefatura] ",N($AL119)=0),"No se encuentra en la hoja de la jefatura (elíjala de nuevo en la lista)"&amp;" · ","")&amp;IF(OR(AND($E119&lt;&gt;"",NOT(ISNUMBER($E119))),AND($F119&lt;&gt;"",NOT(ISNUMBER($F119))),AND($G119&lt;&gt;"",NOT(ISNUMBER($G119)))),"Fecha no válida"&amp;" · ","")&amp;IF(AND(ISNUMBER($AM119),ISNUMBER($AN119),$AM119&gt;$AN119),"Inicio posterior a fecha límite"&amp;" · ","")&amp;IF(AND($V119="Macro",$H119&lt;&gt;"",OR(NOT(ISNUMBER($H119)),$H119&lt;0,$H119&gt;1)),"Peso fuera de rango"&amp;" · ","")&amp;IF(AND($V119="Sub",$H119&lt;&gt;""),"Las subactividades no llevan peso (valen igual dentro de su macroactividad)"&amp;" · ","")&amp;IF(AND(N($W119)&gt;0,COUNT($I119:$L119)&gt;0),"Con subactividades: deje vacías las semanas (se calculan solas)"&amp;" · ","")&amp;IF((COUNTIF($I119:$L119,"&gt;1")+COUNTIF($I119:$L119,"&lt;0")+COUNTA($I119:$L119)-COUNT($I119:$L119))&gt;0,"Avance fuera de rango 0-100%"&amp;" · ","")&amp;IF(OR(AND($J119&lt;&gt;"",$J119&lt;$I119),AND($K119&lt;&gt;"",$K119&lt;MAX($I119:$J119)),AND($L119&lt;&gt;"",$L119&lt;MAX($I119:$K119))),"Avance semanal decreciente"&amp;" · ","")&amp;IF(AND(ISNUMBER($AN119),$AN119&lt;FechaRef,IF($V119="Sub",N($X119),N($M119))&lt;1),"Vencida"&amp;" · ","")&amp;IF(AND(ObsObligatoria="Sí",ISNUMBER($AN119),$AN119&lt;FechaRef,IF($V119="Sub",N($X119),N($M119))&lt;1,$Q119=""),"Vencida sin observación"&amp;" · ",""))="","✔ OK","⚠ "&amp;LEFT(IF($C119="","Falta el nombre de la actividad"&amp;" · ","")&amp;IF(AND($V119="Sub",N($U119)=0),"Subactividad sin macroactividad arriba"&amp;" · ","")&amp;IF($AM119="","Sin fecha de inicio"&amp;" · ","")&amp;IF($AN119="","Sin fecha límite"&amp;" · ","")&amp;IF(AND(LEFT($C119,11)="[Jefatura] ",N($AL119)=0),"No se encuentra en la hoja de la jefatura (elíjala de nuevo en la lista)"&amp;" · ","")&amp;IF(OR(AND($E119&lt;&gt;"",NOT(ISNUMBER($E119))),AND($F119&lt;&gt;"",NOT(ISNUMBER($F119))),AND($G119&lt;&gt;"",NOT(ISNUMBER($G119)))),"Fecha no válida"&amp;" · ","")&amp;IF(AND(ISNUMBER($AM119),ISNUMBER($AN119),$AM119&gt;$AN119),"Inicio posterior a fecha límite"&amp;" · ","")&amp;IF(AND($V119="Macro",$H119&lt;&gt;"",OR(NOT(ISNUMBER($H119)),$H119&lt;0,$H119&gt;1)),"Peso fuera de rango"&amp;" · ","")&amp;IF(AND($V119="Sub",$H119&lt;&gt;""),"Las subactividades no llevan peso (valen igual dentro de su macroactividad)"&amp;" · ","")&amp;IF(AND(N($W119)&gt;0,COUNT($I119:$L119)&gt;0),"Con subactividades: deje vacías las semanas (se calculan solas)"&amp;" · ","")&amp;IF((COUNTIF($I119:$L119,"&gt;1")+COUNTIF($I119:$L119,"&lt;0")+COUNTA($I119:$L119)-COUNT($I119:$L119))&gt;0,"Avance fuera de rango 0-100%"&amp;" · ","")&amp;IF(OR(AND($J119&lt;&gt;"",$J119&lt;$I119),AND($K119&lt;&gt;"",$K119&lt;MAX($I119:$J119)),AND($L119&lt;&gt;"",$L119&lt;MAX($I119:$K119))),"Avance semanal decreciente"&amp;" · ","")&amp;IF(AND(ISNUMBER($AN119),$AN119&lt;FechaRef,IF($V119="Sub",N($X119),N($M119))&lt;1),"Vencida"&amp;" · ","")&amp;IF(AND(ObsObligatoria="Sí",ISNUMBER($AN119),$AN119&lt;FechaRef,IF($V119="Sub",N($X119),N($M119))&lt;1,$Q119=""),"Vencida sin observación"&amp;" · ",""),LEN(IF($C119="","Falta el nombre de la actividad"&amp;" · ","")&amp;IF(AND($V119="Sub",N($U119)=0),"Subactividad sin macroactividad arriba"&amp;" · ","")&amp;IF($AM119="","Sin fecha de inicio"&amp;" · ","")&amp;IF($AN119="","Sin fecha límite"&amp;" · ","")&amp;IF(AND(LEFT($C119,11)="[Jefatura] ",N($AL119)=0),"No se encuentra en la hoja de la jefatura (elíjala de nuevo en la lista)"&amp;" · ","")&amp;IF(OR(AND($E119&lt;&gt;"",NOT(ISNUMBER($E119))),AND($F119&lt;&gt;"",NOT(ISNUMBER($F119))),AND($G119&lt;&gt;"",NOT(ISNUMBER($G119)))),"Fecha no válida"&amp;" · ","")&amp;IF(AND(ISNUMBER($AM119),ISNUMBER($AN119),$AM119&gt;$AN119),"Inicio posterior a fecha límite"&amp;" · ","")&amp;IF(AND($V119="Macro",$H119&lt;&gt;"",OR(NOT(ISNUMBER($H119)),$H119&lt;0,$H119&gt;1)),"Peso fuera de rango"&amp;" · ","")&amp;IF(AND($V119="Sub",$H119&lt;&gt;""),"Las subactividades no llevan peso (valen igual dentro de su macroactividad)"&amp;" · ","")&amp;IF(AND(N($W119)&gt;0,COUNT($I119:$L119)&gt;0),"Con subactividades: deje vacías las semanas (se calculan solas)"&amp;" · ","")&amp;IF((COUNTIF($I119:$L119,"&gt;1")+COUNTIF($I119:$L119,"&lt;0")+COUNTA($I119:$L119)-COUNT($I119:$L119))&gt;0,"Avance fuera de rango 0-100%"&amp;" · ","")&amp;IF(OR(AND($J119&lt;&gt;"",$J119&lt;$I119),AND($K119&lt;&gt;"",$K119&lt;MAX($I119:$J119)),AND($L119&lt;&gt;"",$L119&lt;MAX($I119:$K119))),"Avance semanal decreciente"&amp;" · ","")&amp;IF(AND(ISNUMBER($AN119),$AN119&lt;FechaRef,IF($V119="Sub",N($X119),N($M119))&lt;1),"Vencida"&amp;" · ","")&amp;IF(AND(ObsObligatoria="Sí",ISNUMBER($AN119),$AN119&lt;FechaRef,IF($V119="Sub",N($X119),N($M119))&lt;1,$Q119=""),"Vencida sin observación"&amp;" · ",""))-3)))</f>
        <v/>
      </c>
      <c r="S119" s="64">
        <f>IF(NOT((COUNTA($B119:$D119)+COUNTA($G119:$L119)+COUNTA($Q119))&gt;0),"",IF(AND($V119="Sub",N($U119)&gt;0),IF(ISNUMBER(INDEX($AM$5:$AM$1000,$U119-4)),DATE(YEAR(INDEX($AM$5:$AM$1000,$U119-4)),MONTH(INDEX($AM$5:$AM$1000,$U119-4)),1),IF(ISNUMBER(INDEX($AN$5:$AN$1000,$U119-4)),DATE(YEAR(INDEX($AN$5:$AN$1000,$U119-4)),MONTH(INDEX($AN$5:$AN$1000,$U119-4)),1),MesCiclo)),IF(ISNUMBER($AM119),DATE(YEAR($AM119),MONTH($AM119),1),IF(ISNUMBER($AN119),DATE(YEAR($AN119),MONTH($AN119),1),MesCiclo))))</f>
        <v/>
      </c>
      <c r="T119" s="62">
        <f>IF(OR($S119="",$S119&lt;&gt;MesCiclo,$V119&lt;&gt;"Macro"),"",COUNTIFS($S$5:$S119,MesCiclo,$V$5:$V119,"Macro"))</f>
        <v/>
      </c>
      <c r="U119" s="62">
        <f>IF($V119="","",IF($V119="Macro",ROW(),IFERROR(LOOKUP(2,1/($V$5:$V119="Macro"),ROW($V$5:$V119)),0)))</f>
        <v/>
      </c>
      <c r="V119" s="62">
        <f>IF(NOT((COUNTA($B119:$D119)+COUNTA($G119:$L119)+COUNTA($Q119))&gt;0),"",IF($B119="Subactividad","Sub","Macro"))</f>
        <v/>
      </c>
      <c r="W119" s="62">
        <f>IF($V119="Macro",COUNTIFS($U$5:$U$1000,ROW(),$V$5:$V$1000,"Sub"),"")</f>
        <v/>
      </c>
      <c r="X119" s="62">
        <f>IF($V119="","",IF(ISNUMBER($G119),1,IFERROR(LOOKUP(2,1/($I119:$L119&lt;&gt;""),$I119:$L119),0)))</f>
        <v/>
      </c>
      <c r="Y119" s="62">
        <f>IF($V119="","",IF(AND(ISNUMBER($G119),$G119&lt;=IF($S119=MesCiclo,InicioCiclo,$S119+MOD(2-WEEKDAY($S119),7))+6),1,IF(ISNUMBER($I119),$I119,0)))</f>
        <v/>
      </c>
      <c r="Z119" s="62">
        <f>IF($V119="","",IF(AND(ISNUMBER($G119),$G119&lt;=IF($S119=MesCiclo,InicioCiclo,$S119+MOD(2-WEEKDAY($S119),7))+13),1,IF(ISNUMBER($J119),$J119,$Y119)))</f>
        <v/>
      </c>
      <c r="AA119" s="62">
        <f>IF($V119="","",IF(AND(ISNUMBER($G119),$G119&lt;=IF($S119=MesCiclo,InicioCiclo,$S119+MOD(2-WEEKDAY($S119),7))+20),1,IF(ISNUMBER($K119),$K119,$Z119)))</f>
        <v/>
      </c>
      <c r="AB119" s="62">
        <f>IF($V119="","",IF(AND(ISNUMBER($G119),$G119&lt;=IF($S119=MesCiclo,InicioCiclo,$S119+MOD(2-WEEKDAY($S119),7))+27),1,IF(ISNUMBER($L119),$L119,$AA119)))</f>
        <v/>
      </c>
      <c r="AC119" s="62">
        <f>IF($V119="","",IF(AND(ISNUMBER($G119),$G119&lt;=IF($S119=MesCiclo,InicioCiclo,$S119+MOD(2-WEEKDAY($S119),7))+6),1,IF(N($W119)&gt;0,AVERAGEIFS($Y$5:$Y$1000,$U$5:$U$1000,ROW(),$V$5:$V$1000,"Sub"),$Y119)))</f>
        <v/>
      </c>
      <c r="AD119" s="62">
        <f>IF($V119="","",IF(AND(ISNUMBER($G119),$G119&lt;=IF($S119=MesCiclo,InicioCiclo,$S119+MOD(2-WEEKDAY($S119),7))+13),1,IF(N($W119)&gt;0,AVERAGEIFS($Z$5:$Z$1000,$U$5:$U$1000,ROW(),$V$5:$V$1000,"Sub"),$Z119)))</f>
        <v/>
      </c>
      <c r="AE119" s="62">
        <f>IF($V119="","",IF(AND(ISNUMBER($G119),$G119&lt;=IF($S119=MesCiclo,InicioCiclo,$S119+MOD(2-WEEKDAY($S119),7))+20),1,IF(N($W119)&gt;0,AVERAGEIFS($AA$5:$AA$1000,$U$5:$U$1000,ROW(),$V$5:$V$1000,"Sub"),$AA119)))</f>
        <v/>
      </c>
      <c r="AF119" s="62">
        <f>IF($V119="","",IF(AND(ISNUMBER($G119),$G119&lt;=IF($S119=MesCiclo,InicioCiclo,$S119+MOD(2-WEEKDAY($S119),7))+27),1,IF(N($W119)&gt;0,AVERAGEIFS($AB$5:$AB$1000,$U$5:$U$1000,ROW(),$V$5:$V$1000,"Sub"),$AB119)))</f>
        <v/>
      </c>
      <c r="AG119" s="62">
        <f>IF($V119&lt;&gt;"Macro","",IF(COUNTIFS($S$5:$S$1000,$S119,$V$5:$V$1000,"Macro",$H$5:$H$1000,"&gt;0")=0,1/COUNTIFS($S$5:$S$1000,$S119,$V$5:$V$1000,"Macro"),IF(AND(ISNUMBER($H119),N($H119)&gt;0),$H119,SUMIFS($H$5:$H$1000,$S$5:$S$1000,$S119,$V$5:$V$1000,"Macro")/COUNTIFS($S$5:$S$1000,$S119,$V$5:$V$1000,"Macro",$H$5:$H$1000,"&gt;0"))/(COUNTIFS($S$5:$S$1000,$S119,$V$5:$V$1000,"Macro")*SUMIFS($H$5:$H$1000,$S$5:$S$1000,$S119,$V$5:$V$1000,"Macro")/COUNTIFS($S$5:$S$1000,$S119,$V$5:$V$1000,"Macro",$H$5:$H$1000,"&gt;0"))))</f>
        <v/>
      </c>
      <c r="AH119" s="62" t="n"/>
      <c r="AI119" s="62" t="n"/>
      <c r="AJ119" s="62" t="n"/>
      <c r="AK119" s="62" t="n"/>
      <c r="AL119" s="62">
        <f>IF(LEFT($C119,11)="[Jefatura] ",IFERROR(MATCH("Asistente Técnico de Riesgo|"&amp;MID($C119,12,500),rDname_ADM,0),0),"")</f>
        <v/>
      </c>
      <c r="AM119" s="62">
        <f>IF(N($AL119)&gt;0,INDEX(rIni_ADM,$AL119),IF(ISNUMBER($E119),$E119,""))</f>
        <v/>
      </c>
      <c r="AN119" s="62">
        <f>IF(N($AL119)&gt;0,INDEX(rLim_ADM,$AL119),IF(ISNUMBER($F119),$F119,""))</f>
        <v/>
      </c>
    </row>
    <row r="120">
      <c r="A120" s="56">
        <f>IF(NOT((COUNTA($B120:$D120)+COUNTA($G120:$L120)+COUNTA($Q120))&gt;0),"",IF($V120="Macro",COUNTIFS($V$5:$V120,"Macro",$S$5:$S120,$S120),IF(N($U120)=0,"?",COUNTIFS(INDEX($V$5:$V$1000,1):INDEX($V$5:$V$1000,$U120-4),"Macro",INDEX($S$5:$S$1000,1):INDEX($S$5:$S$1000,$U120-4),INDEX($S$5:$S$1000,$U120-4))&amp;"."&amp;COUNTIFS($U$5:$U120,$U120,$V$5:$V120,"Sub"))))</f>
        <v/>
      </c>
      <c r="B120" s="57" t="n"/>
      <c r="C120" s="58" t="n"/>
      <c r="D120" s="58" t="n"/>
      <c r="E120" s="59">
        <f>IF(N($AL120)&gt;0,INDEX(rIni_ADM,$AL120),"")</f>
        <v/>
      </c>
      <c r="F120" s="59">
        <f>IF(N($AL120)&gt;0,INDEX(rLim_ADM,$AL120),"")</f>
        <v/>
      </c>
      <c r="G120" s="59" t="n"/>
      <c r="H120" s="60" t="n"/>
      <c r="I120" s="60" t="n"/>
      <c r="J120" s="60" t="n"/>
      <c r="K120" s="60" t="n"/>
      <c r="L120" s="60" t="n"/>
      <c r="M120" s="61">
        <f>IF(NOT((COUNTA($B120:$D120)+COUNTA($G120:$L120)+COUNTA($Q120))&gt;0),"",IF($V120="Sub",IFERROR($X120/INDEX($W$5:$W$1000,$U120-4),""),IF(ISNUMBER($G120),1,IF(N($W120)&gt;0,AVERAGEIFS($X$5:$X$1000,$U$5:$U$1000,ROW(),$V$5:$V$1000,"Sub"),$X120))))</f>
        <v/>
      </c>
      <c r="N120" s="56">
        <f>IF(OR($M120="",$V120="Sub"),"",IF($M120&gt;=1,"Completado",IF($M120&gt;0,"En curso","Pendiente")))</f>
        <v/>
      </c>
      <c r="O120" s="56">
        <f>IF(OR(NOT((COUNTA($B120:$D120)+COUNTA($G120:$L120)+COUNTA($Q120))&gt;0),$V120="Sub"),"",IF(ISNUMBER($G120),IF(AND(ISNUMBER($AN120),$G120&gt;$AN120),"Cumplida con "&amp;($G120-$AN120)&amp;IF($G120-$AN120=1," día"," días")&amp;" de retraso","Cumplida"),IF(N($M120)&gt;=1,"Cumplida",IF(NOT(ISNUMBER($AN120)),"Sin fecha límite",IF($AN120&lt;FechaRef,"Vencida hace "&amp;(FechaRef-$AN120)&amp;IF(FechaRef-$AN120=1," día"," días"),IF($AN120=FechaRef,"Vence hoy",IF($AN120-FechaRef&lt;=DiasAlerta,"Vence en "&amp;($AN120-FechaRef)&amp;IF($AN120-FechaRef=1," día"," días"),"En plazo")))))))</f>
        <v/>
      </c>
      <c r="P120" s="62" t="n"/>
      <c r="Q120" s="58" t="n"/>
      <c r="R120" s="63">
        <f>IF(NOT((COUNTA($B120:$D120)+COUNTA($G120:$L120)+COUNTA($Q120))&gt;0),"",IF((IF($C120="","Falta el nombre de la actividad"&amp;" · ","")&amp;IF(AND($V120="Sub",N($U120)=0),"Subactividad sin macroactividad arriba"&amp;" · ","")&amp;IF($AM120="","Sin fecha de inicio"&amp;" · ","")&amp;IF($AN120="","Sin fecha límite"&amp;" · ","")&amp;IF(AND(LEFT($C120,11)="[Jefatura] ",N($AL120)=0),"No se encuentra en la hoja de la jefatura (elíjala de nuevo en la lista)"&amp;" · ","")&amp;IF(OR(AND($E120&lt;&gt;"",NOT(ISNUMBER($E120))),AND($F120&lt;&gt;"",NOT(ISNUMBER($F120))),AND($G120&lt;&gt;"",NOT(ISNUMBER($G120)))),"Fecha no válida"&amp;" · ","")&amp;IF(AND(ISNUMBER($AM120),ISNUMBER($AN120),$AM120&gt;$AN120),"Inicio posterior a fecha límite"&amp;" · ","")&amp;IF(AND($V120="Macro",$H120&lt;&gt;"",OR(NOT(ISNUMBER($H120)),$H120&lt;0,$H120&gt;1)),"Peso fuera de rango"&amp;" · ","")&amp;IF(AND($V120="Sub",$H120&lt;&gt;""),"Las subactividades no llevan peso (valen igual dentro de su macroactividad)"&amp;" · ","")&amp;IF(AND(N($W120)&gt;0,COUNT($I120:$L120)&gt;0),"Con subactividades: deje vacías las semanas (se calculan solas)"&amp;" · ","")&amp;IF((COUNTIF($I120:$L120,"&gt;1")+COUNTIF($I120:$L120,"&lt;0")+COUNTA($I120:$L120)-COUNT($I120:$L120))&gt;0,"Avance fuera de rango 0-100%"&amp;" · ","")&amp;IF(OR(AND($J120&lt;&gt;"",$J120&lt;$I120),AND($K120&lt;&gt;"",$K120&lt;MAX($I120:$J120)),AND($L120&lt;&gt;"",$L120&lt;MAX($I120:$K120))),"Avance semanal decreciente"&amp;" · ","")&amp;IF(AND(ISNUMBER($AN120),$AN120&lt;FechaRef,IF($V120="Sub",N($X120),N($M120))&lt;1),"Vencida"&amp;" · ","")&amp;IF(AND(ObsObligatoria="Sí",ISNUMBER($AN120),$AN120&lt;FechaRef,IF($V120="Sub",N($X120),N($M120))&lt;1,$Q120=""),"Vencida sin observación"&amp;" · ",""))="","✔ OK","⚠ "&amp;LEFT(IF($C120="","Falta el nombre de la actividad"&amp;" · ","")&amp;IF(AND($V120="Sub",N($U120)=0),"Subactividad sin macroactividad arriba"&amp;" · ","")&amp;IF($AM120="","Sin fecha de inicio"&amp;" · ","")&amp;IF($AN120="","Sin fecha límite"&amp;" · ","")&amp;IF(AND(LEFT($C120,11)="[Jefatura] ",N($AL120)=0),"No se encuentra en la hoja de la jefatura (elíjala de nuevo en la lista)"&amp;" · ","")&amp;IF(OR(AND($E120&lt;&gt;"",NOT(ISNUMBER($E120))),AND($F120&lt;&gt;"",NOT(ISNUMBER($F120))),AND($G120&lt;&gt;"",NOT(ISNUMBER($G120)))),"Fecha no válida"&amp;" · ","")&amp;IF(AND(ISNUMBER($AM120),ISNUMBER($AN120),$AM120&gt;$AN120),"Inicio posterior a fecha límite"&amp;" · ","")&amp;IF(AND($V120="Macro",$H120&lt;&gt;"",OR(NOT(ISNUMBER($H120)),$H120&lt;0,$H120&gt;1)),"Peso fuera de rango"&amp;" · ","")&amp;IF(AND($V120="Sub",$H120&lt;&gt;""),"Las subactividades no llevan peso (valen igual dentro de su macroactividad)"&amp;" · ","")&amp;IF(AND(N($W120)&gt;0,COUNT($I120:$L120)&gt;0),"Con subactividades: deje vacías las semanas (se calculan solas)"&amp;" · ","")&amp;IF((COUNTIF($I120:$L120,"&gt;1")+COUNTIF($I120:$L120,"&lt;0")+COUNTA($I120:$L120)-COUNT($I120:$L120))&gt;0,"Avance fuera de rango 0-100%"&amp;" · ","")&amp;IF(OR(AND($J120&lt;&gt;"",$J120&lt;$I120),AND($K120&lt;&gt;"",$K120&lt;MAX($I120:$J120)),AND($L120&lt;&gt;"",$L120&lt;MAX($I120:$K120))),"Avance semanal decreciente"&amp;" · ","")&amp;IF(AND(ISNUMBER($AN120),$AN120&lt;FechaRef,IF($V120="Sub",N($X120),N($M120))&lt;1),"Vencida"&amp;" · ","")&amp;IF(AND(ObsObligatoria="Sí",ISNUMBER($AN120),$AN120&lt;FechaRef,IF($V120="Sub",N($X120),N($M120))&lt;1,$Q120=""),"Vencida sin observación"&amp;" · ",""),LEN(IF($C120="","Falta el nombre de la actividad"&amp;" · ","")&amp;IF(AND($V120="Sub",N($U120)=0),"Subactividad sin macroactividad arriba"&amp;" · ","")&amp;IF($AM120="","Sin fecha de inicio"&amp;" · ","")&amp;IF($AN120="","Sin fecha límite"&amp;" · ","")&amp;IF(AND(LEFT($C120,11)="[Jefatura] ",N($AL120)=0),"No se encuentra en la hoja de la jefatura (elíjala de nuevo en la lista)"&amp;" · ","")&amp;IF(OR(AND($E120&lt;&gt;"",NOT(ISNUMBER($E120))),AND($F120&lt;&gt;"",NOT(ISNUMBER($F120))),AND($G120&lt;&gt;"",NOT(ISNUMBER($G120)))),"Fecha no válida"&amp;" · ","")&amp;IF(AND(ISNUMBER($AM120),ISNUMBER($AN120),$AM120&gt;$AN120),"Inicio posterior a fecha límite"&amp;" · ","")&amp;IF(AND($V120="Macro",$H120&lt;&gt;"",OR(NOT(ISNUMBER($H120)),$H120&lt;0,$H120&gt;1)),"Peso fuera de rango"&amp;" · ","")&amp;IF(AND($V120="Sub",$H120&lt;&gt;""),"Las subactividades no llevan peso (valen igual dentro de su macroactividad)"&amp;" · ","")&amp;IF(AND(N($W120)&gt;0,COUNT($I120:$L120)&gt;0),"Con subactividades: deje vacías las semanas (se calculan solas)"&amp;" · ","")&amp;IF((COUNTIF($I120:$L120,"&gt;1")+COUNTIF($I120:$L120,"&lt;0")+COUNTA($I120:$L120)-COUNT($I120:$L120))&gt;0,"Avance fuera de rango 0-100%"&amp;" · ","")&amp;IF(OR(AND($J120&lt;&gt;"",$J120&lt;$I120),AND($K120&lt;&gt;"",$K120&lt;MAX($I120:$J120)),AND($L120&lt;&gt;"",$L120&lt;MAX($I120:$K120))),"Avance semanal decreciente"&amp;" · ","")&amp;IF(AND(ISNUMBER($AN120),$AN120&lt;FechaRef,IF($V120="Sub",N($X120),N($M120))&lt;1),"Vencida"&amp;" · ","")&amp;IF(AND(ObsObligatoria="Sí",ISNUMBER($AN120),$AN120&lt;FechaRef,IF($V120="Sub",N($X120),N($M120))&lt;1,$Q120=""),"Vencida sin observación"&amp;" · ",""))-3)))</f>
        <v/>
      </c>
      <c r="S120" s="64">
        <f>IF(NOT((COUNTA($B120:$D120)+COUNTA($G120:$L120)+COUNTA($Q120))&gt;0),"",IF(AND($V120="Sub",N($U120)&gt;0),IF(ISNUMBER(INDEX($AM$5:$AM$1000,$U120-4)),DATE(YEAR(INDEX($AM$5:$AM$1000,$U120-4)),MONTH(INDEX($AM$5:$AM$1000,$U120-4)),1),IF(ISNUMBER(INDEX($AN$5:$AN$1000,$U120-4)),DATE(YEAR(INDEX($AN$5:$AN$1000,$U120-4)),MONTH(INDEX($AN$5:$AN$1000,$U120-4)),1),MesCiclo)),IF(ISNUMBER($AM120),DATE(YEAR($AM120),MONTH($AM120),1),IF(ISNUMBER($AN120),DATE(YEAR($AN120),MONTH($AN120),1),MesCiclo))))</f>
        <v/>
      </c>
      <c r="T120" s="62">
        <f>IF(OR($S120="",$S120&lt;&gt;MesCiclo,$V120&lt;&gt;"Macro"),"",COUNTIFS($S$5:$S120,MesCiclo,$V$5:$V120,"Macro"))</f>
        <v/>
      </c>
      <c r="U120" s="62">
        <f>IF($V120="","",IF($V120="Macro",ROW(),IFERROR(LOOKUP(2,1/($V$5:$V120="Macro"),ROW($V$5:$V120)),0)))</f>
        <v/>
      </c>
      <c r="V120" s="62">
        <f>IF(NOT((COUNTA($B120:$D120)+COUNTA($G120:$L120)+COUNTA($Q120))&gt;0),"",IF($B120="Subactividad","Sub","Macro"))</f>
        <v/>
      </c>
      <c r="W120" s="62">
        <f>IF($V120="Macro",COUNTIFS($U$5:$U$1000,ROW(),$V$5:$V$1000,"Sub"),"")</f>
        <v/>
      </c>
      <c r="X120" s="62">
        <f>IF($V120="","",IF(ISNUMBER($G120),1,IFERROR(LOOKUP(2,1/($I120:$L120&lt;&gt;""),$I120:$L120),0)))</f>
        <v/>
      </c>
      <c r="Y120" s="62">
        <f>IF($V120="","",IF(AND(ISNUMBER($G120),$G120&lt;=IF($S120=MesCiclo,InicioCiclo,$S120+MOD(2-WEEKDAY($S120),7))+6),1,IF(ISNUMBER($I120),$I120,0)))</f>
        <v/>
      </c>
      <c r="Z120" s="62">
        <f>IF($V120="","",IF(AND(ISNUMBER($G120),$G120&lt;=IF($S120=MesCiclo,InicioCiclo,$S120+MOD(2-WEEKDAY($S120),7))+13),1,IF(ISNUMBER($J120),$J120,$Y120)))</f>
        <v/>
      </c>
      <c r="AA120" s="62">
        <f>IF($V120="","",IF(AND(ISNUMBER($G120),$G120&lt;=IF($S120=MesCiclo,InicioCiclo,$S120+MOD(2-WEEKDAY($S120),7))+20),1,IF(ISNUMBER($K120),$K120,$Z120)))</f>
        <v/>
      </c>
      <c r="AB120" s="62">
        <f>IF($V120="","",IF(AND(ISNUMBER($G120),$G120&lt;=IF($S120=MesCiclo,InicioCiclo,$S120+MOD(2-WEEKDAY($S120),7))+27),1,IF(ISNUMBER($L120),$L120,$AA120)))</f>
        <v/>
      </c>
      <c r="AC120" s="62">
        <f>IF($V120="","",IF(AND(ISNUMBER($G120),$G120&lt;=IF($S120=MesCiclo,InicioCiclo,$S120+MOD(2-WEEKDAY($S120),7))+6),1,IF(N($W120)&gt;0,AVERAGEIFS($Y$5:$Y$1000,$U$5:$U$1000,ROW(),$V$5:$V$1000,"Sub"),$Y120)))</f>
        <v/>
      </c>
      <c r="AD120" s="62">
        <f>IF($V120="","",IF(AND(ISNUMBER($G120),$G120&lt;=IF($S120=MesCiclo,InicioCiclo,$S120+MOD(2-WEEKDAY($S120),7))+13),1,IF(N($W120)&gt;0,AVERAGEIFS($Z$5:$Z$1000,$U$5:$U$1000,ROW(),$V$5:$V$1000,"Sub"),$Z120)))</f>
        <v/>
      </c>
      <c r="AE120" s="62">
        <f>IF($V120="","",IF(AND(ISNUMBER($G120),$G120&lt;=IF($S120=MesCiclo,InicioCiclo,$S120+MOD(2-WEEKDAY($S120),7))+20),1,IF(N($W120)&gt;0,AVERAGEIFS($AA$5:$AA$1000,$U$5:$U$1000,ROW(),$V$5:$V$1000,"Sub"),$AA120)))</f>
        <v/>
      </c>
      <c r="AF120" s="62">
        <f>IF($V120="","",IF(AND(ISNUMBER($G120),$G120&lt;=IF($S120=MesCiclo,InicioCiclo,$S120+MOD(2-WEEKDAY($S120),7))+27),1,IF(N($W120)&gt;0,AVERAGEIFS($AB$5:$AB$1000,$U$5:$U$1000,ROW(),$V$5:$V$1000,"Sub"),$AB120)))</f>
        <v/>
      </c>
      <c r="AG120" s="62">
        <f>IF($V120&lt;&gt;"Macro","",IF(COUNTIFS($S$5:$S$1000,$S120,$V$5:$V$1000,"Macro",$H$5:$H$1000,"&gt;0")=0,1/COUNTIFS($S$5:$S$1000,$S120,$V$5:$V$1000,"Macro"),IF(AND(ISNUMBER($H120),N($H120)&gt;0),$H120,SUMIFS($H$5:$H$1000,$S$5:$S$1000,$S120,$V$5:$V$1000,"Macro")/COUNTIFS($S$5:$S$1000,$S120,$V$5:$V$1000,"Macro",$H$5:$H$1000,"&gt;0"))/(COUNTIFS($S$5:$S$1000,$S120,$V$5:$V$1000,"Macro")*SUMIFS($H$5:$H$1000,$S$5:$S$1000,$S120,$V$5:$V$1000,"Macro")/COUNTIFS($S$5:$S$1000,$S120,$V$5:$V$1000,"Macro",$H$5:$H$1000,"&gt;0"))))</f>
        <v/>
      </c>
      <c r="AH120" s="62" t="n"/>
      <c r="AI120" s="62" t="n"/>
      <c r="AJ120" s="62" t="n"/>
      <c r="AK120" s="62" t="n"/>
      <c r="AL120" s="62">
        <f>IF(LEFT($C120,11)="[Jefatura] ",IFERROR(MATCH("Asistente Técnico de Riesgo|"&amp;MID($C120,12,500),rDname_ADM,0),0),"")</f>
        <v/>
      </c>
      <c r="AM120" s="62">
        <f>IF(N($AL120)&gt;0,INDEX(rIni_ADM,$AL120),IF(ISNUMBER($E120),$E120,""))</f>
        <v/>
      </c>
      <c r="AN120" s="62">
        <f>IF(N($AL120)&gt;0,INDEX(rLim_ADM,$AL120),IF(ISNUMBER($F120),$F120,""))</f>
        <v/>
      </c>
    </row>
    <row r="121">
      <c r="A121" s="56">
        <f>IF(NOT((COUNTA($B121:$D121)+COUNTA($G121:$L121)+COUNTA($Q121))&gt;0),"",IF($V121="Macro",COUNTIFS($V$5:$V121,"Macro",$S$5:$S121,$S121),IF(N($U121)=0,"?",COUNTIFS(INDEX($V$5:$V$1000,1):INDEX($V$5:$V$1000,$U121-4),"Macro",INDEX($S$5:$S$1000,1):INDEX($S$5:$S$1000,$U121-4),INDEX($S$5:$S$1000,$U121-4))&amp;"."&amp;COUNTIFS($U$5:$U121,$U121,$V$5:$V121,"Sub"))))</f>
        <v/>
      </c>
      <c r="B121" s="57" t="n"/>
      <c r="C121" s="58" t="n"/>
      <c r="D121" s="58" t="n"/>
      <c r="E121" s="59">
        <f>IF(N($AL121)&gt;0,INDEX(rIni_ADM,$AL121),"")</f>
        <v/>
      </c>
      <c r="F121" s="59">
        <f>IF(N($AL121)&gt;0,INDEX(rLim_ADM,$AL121),"")</f>
        <v/>
      </c>
      <c r="G121" s="59" t="n"/>
      <c r="H121" s="60" t="n"/>
      <c r="I121" s="60" t="n"/>
      <c r="J121" s="60" t="n"/>
      <c r="K121" s="60" t="n"/>
      <c r="L121" s="60" t="n"/>
      <c r="M121" s="61">
        <f>IF(NOT((COUNTA($B121:$D121)+COUNTA($G121:$L121)+COUNTA($Q121))&gt;0),"",IF($V121="Sub",IFERROR($X121/INDEX($W$5:$W$1000,$U121-4),""),IF(ISNUMBER($G121),1,IF(N($W121)&gt;0,AVERAGEIFS($X$5:$X$1000,$U$5:$U$1000,ROW(),$V$5:$V$1000,"Sub"),$X121))))</f>
        <v/>
      </c>
      <c r="N121" s="56">
        <f>IF(OR($M121="",$V121="Sub"),"",IF($M121&gt;=1,"Completado",IF($M121&gt;0,"En curso","Pendiente")))</f>
        <v/>
      </c>
      <c r="O121" s="56">
        <f>IF(OR(NOT((COUNTA($B121:$D121)+COUNTA($G121:$L121)+COUNTA($Q121))&gt;0),$V121="Sub"),"",IF(ISNUMBER($G121),IF(AND(ISNUMBER($AN121),$G121&gt;$AN121),"Cumplida con "&amp;($G121-$AN121)&amp;IF($G121-$AN121=1," día"," días")&amp;" de retraso","Cumplida"),IF(N($M121)&gt;=1,"Cumplida",IF(NOT(ISNUMBER($AN121)),"Sin fecha límite",IF($AN121&lt;FechaRef,"Vencida hace "&amp;(FechaRef-$AN121)&amp;IF(FechaRef-$AN121=1," día"," días"),IF($AN121=FechaRef,"Vence hoy",IF($AN121-FechaRef&lt;=DiasAlerta,"Vence en "&amp;($AN121-FechaRef)&amp;IF($AN121-FechaRef=1," día"," días"),"En plazo")))))))</f>
        <v/>
      </c>
      <c r="P121" s="62" t="n"/>
      <c r="Q121" s="58" t="n"/>
      <c r="R121" s="63">
        <f>IF(NOT((COUNTA($B121:$D121)+COUNTA($G121:$L121)+COUNTA($Q121))&gt;0),"",IF((IF($C121="","Falta el nombre de la actividad"&amp;" · ","")&amp;IF(AND($V121="Sub",N($U121)=0),"Subactividad sin macroactividad arriba"&amp;" · ","")&amp;IF($AM121="","Sin fecha de inicio"&amp;" · ","")&amp;IF($AN121="","Sin fecha límite"&amp;" · ","")&amp;IF(AND(LEFT($C121,11)="[Jefatura] ",N($AL121)=0),"No se encuentra en la hoja de la jefatura (elíjala de nuevo en la lista)"&amp;" · ","")&amp;IF(OR(AND($E121&lt;&gt;"",NOT(ISNUMBER($E121))),AND($F121&lt;&gt;"",NOT(ISNUMBER($F121))),AND($G121&lt;&gt;"",NOT(ISNUMBER($G121)))),"Fecha no válida"&amp;" · ","")&amp;IF(AND(ISNUMBER($AM121),ISNUMBER($AN121),$AM121&gt;$AN121),"Inicio posterior a fecha límite"&amp;" · ","")&amp;IF(AND($V121="Macro",$H121&lt;&gt;"",OR(NOT(ISNUMBER($H121)),$H121&lt;0,$H121&gt;1)),"Peso fuera de rango"&amp;" · ","")&amp;IF(AND($V121="Sub",$H121&lt;&gt;""),"Las subactividades no llevan peso (valen igual dentro de su macroactividad)"&amp;" · ","")&amp;IF(AND(N($W121)&gt;0,COUNT($I121:$L121)&gt;0),"Con subactividades: deje vacías las semanas (se calculan solas)"&amp;" · ","")&amp;IF((COUNTIF($I121:$L121,"&gt;1")+COUNTIF($I121:$L121,"&lt;0")+COUNTA($I121:$L121)-COUNT($I121:$L121))&gt;0,"Avance fuera de rango 0-100%"&amp;" · ","")&amp;IF(OR(AND($J121&lt;&gt;"",$J121&lt;$I121),AND($K121&lt;&gt;"",$K121&lt;MAX($I121:$J121)),AND($L121&lt;&gt;"",$L121&lt;MAX($I121:$K121))),"Avance semanal decreciente"&amp;" · ","")&amp;IF(AND(ISNUMBER($AN121),$AN121&lt;FechaRef,IF($V121="Sub",N($X121),N($M121))&lt;1),"Vencida"&amp;" · ","")&amp;IF(AND(ObsObligatoria="Sí",ISNUMBER($AN121),$AN121&lt;FechaRef,IF($V121="Sub",N($X121),N($M121))&lt;1,$Q121=""),"Vencida sin observación"&amp;" · ",""))="","✔ OK","⚠ "&amp;LEFT(IF($C121="","Falta el nombre de la actividad"&amp;" · ","")&amp;IF(AND($V121="Sub",N($U121)=0),"Subactividad sin macroactividad arriba"&amp;" · ","")&amp;IF($AM121="","Sin fecha de inicio"&amp;" · ","")&amp;IF($AN121="","Sin fecha límite"&amp;" · ","")&amp;IF(AND(LEFT($C121,11)="[Jefatura] ",N($AL121)=0),"No se encuentra en la hoja de la jefatura (elíjala de nuevo en la lista)"&amp;" · ","")&amp;IF(OR(AND($E121&lt;&gt;"",NOT(ISNUMBER($E121))),AND($F121&lt;&gt;"",NOT(ISNUMBER($F121))),AND($G121&lt;&gt;"",NOT(ISNUMBER($G121)))),"Fecha no válida"&amp;" · ","")&amp;IF(AND(ISNUMBER($AM121),ISNUMBER($AN121),$AM121&gt;$AN121),"Inicio posterior a fecha límite"&amp;" · ","")&amp;IF(AND($V121="Macro",$H121&lt;&gt;"",OR(NOT(ISNUMBER($H121)),$H121&lt;0,$H121&gt;1)),"Peso fuera de rango"&amp;" · ","")&amp;IF(AND($V121="Sub",$H121&lt;&gt;""),"Las subactividades no llevan peso (valen igual dentro de su macroactividad)"&amp;" · ","")&amp;IF(AND(N($W121)&gt;0,COUNT($I121:$L121)&gt;0),"Con subactividades: deje vacías las semanas (se calculan solas)"&amp;" · ","")&amp;IF((COUNTIF($I121:$L121,"&gt;1")+COUNTIF($I121:$L121,"&lt;0")+COUNTA($I121:$L121)-COUNT($I121:$L121))&gt;0,"Avance fuera de rango 0-100%"&amp;" · ","")&amp;IF(OR(AND($J121&lt;&gt;"",$J121&lt;$I121),AND($K121&lt;&gt;"",$K121&lt;MAX($I121:$J121)),AND($L121&lt;&gt;"",$L121&lt;MAX($I121:$K121))),"Avance semanal decreciente"&amp;" · ","")&amp;IF(AND(ISNUMBER($AN121),$AN121&lt;FechaRef,IF($V121="Sub",N($X121),N($M121))&lt;1),"Vencida"&amp;" · ","")&amp;IF(AND(ObsObligatoria="Sí",ISNUMBER($AN121),$AN121&lt;FechaRef,IF($V121="Sub",N($X121),N($M121))&lt;1,$Q121=""),"Vencida sin observación"&amp;" · ",""),LEN(IF($C121="","Falta el nombre de la actividad"&amp;" · ","")&amp;IF(AND($V121="Sub",N($U121)=0),"Subactividad sin macroactividad arriba"&amp;" · ","")&amp;IF($AM121="","Sin fecha de inicio"&amp;" · ","")&amp;IF($AN121="","Sin fecha límite"&amp;" · ","")&amp;IF(AND(LEFT($C121,11)="[Jefatura] ",N($AL121)=0),"No se encuentra en la hoja de la jefatura (elíjala de nuevo en la lista)"&amp;" · ","")&amp;IF(OR(AND($E121&lt;&gt;"",NOT(ISNUMBER($E121))),AND($F121&lt;&gt;"",NOT(ISNUMBER($F121))),AND($G121&lt;&gt;"",NOT(ISNUMBER($G121)))),"Fecha no válida"&amp;" · ","")&amp;IF(AND(ISNUMBER($AM121),ISNUMBER($AN121),$AM121&gt;$AN121),"Inicio posterior a fecha límite"&amp;" · ","")&amp;IF(AND($V121="Macro",$H121&lt;&gt;"",OR(NOT(ISNUMBER($H121)),$H121&lt;0,$H121&gt;1)),"Peso fuera de rango"&amp;" · ","")&amp;IF(AND($V121="Sub",$H121&lt;&gt;""),"Las subactividades no llevan peso (valen igual dentro de su macroactividad)"&amp;" · ","")&amp;IF(AND(N($W121)&gt;0,COUNT($I121:$L121)&gt;0),"Con subactividades: deje vacías las semanas (se calculan solas)"&amp;" · ","")&amp;IF((COUNTIF($I121:$L121,"&gt;1")+COUNTIF($I121:$L121,"&lt;0")+COUNTA($I121:$L121)-COUNT($I121:$L121))&gt;0,"Avance fuera de rango 0-100%"&amp;" · ","")&amp;IF(OR(AND($J121&lt;&gt;"",$J121&lt;$I121),AND($K121&lt;&gt;"",$K121&lt;MAX($I121:$J121)),AND($L121&lt;&gt;"",$L121&lt;MAX($I121:$K121))),"Avance semanal decreciente"&amp;" · ","")&amp;IF(AND(ISNUMBER($AN121),$AN121&lt;FechaRef,IF($V121="Sub",N($X121),N($M121))&lt;1),"Vencida"&amp;" · ","")&amp;IF(AND(ObsObligatoria="Sí",ISNUMBER($AN121),$AN121&lt;FechaRef,IF($V121="Sub",N($X121),N($M121))&lt;1,$Q121=""),"Vencida sin observación"&amp;" · ",""))-3)))</f>
        <v/>
      </c>
      <c r="S121" s="64">
        <f>IF(NOT((COUNTA($B121:$D121)+COUNTA($G121:$L121)+COUNTA($Q121))&gt;0),"",IF(AND($V121="Sub",N($U121)&gt;0),IF(ISNUMBER(INDEX($AM$5:$AM$1000,$U121-4)),DATE(YEAR(INDEX($AM$5:$AM$1000,$U121-4)),MONTH(INDEX($AM$5:$AM$1000,$U121-4)),1),IF(ISNUMBER(INDEX($AN$5:$AN$1000,$U121-4)),DATE(YEAR(INDEX($AN$5:$AN$1000,$U121-4)),MONTH(INDEX($AN$5:$AN$1000,$U121-4)),1),MesCiclo)),IF(ISNUMBER($AM121),DATE(YEAR($AM121),MONTH($AM121),1),IF(ISNUMBER($AN121),DATE(YEAR($AN121),MONTH($AN121),1),MesCiclo))))</f>
        <v/>
      </c>
      <c r="T121" s="62">
        <f>IF(OR($S121="",$S121&lt;&gt;MesCiclo,$V121&lt;&gt;"Macro"),"",COUNTIFS($S$5:$S121,MesCiclo,$V$5:$V121,"Macro"))</f>
        <v/>
      </c>
      <c r="U121" s="62">
        <f>IF($V121="","",IF($V121="Macro",ROW(),IFERROR(LOOKUP(2,1/($V$5:$V121="Macro"),ROW($V$5:$V121)),0)))</f>
        <v/>
      </c>
      <c r="V121" s="62">
        <f>IF(NOT((COUNTA($B121:$D121)+COUNTA($G121:$L121)+COUNTA($Q121))&gt;0),"",IF($B121="Subactividad","Sub","Macro"))</f>
        <v/>
      </c>
      <c r="W121" s="62">
        <f>IF($V121="Macro",COUNTIFS($U$5:$U$1000,ROW(),$V$5:$V$1000,"Sub"),"")</f>
        <v/>
      </c>
      <c r="X121" s="62">
        <f>IF($V121="","",IF(ISNUMBER($G121),1,IFERROR(LOOKUP(2,1/($I121:$L121&lt;&gt;""),$I121:$L121),0)))</f>
        <v/>
      </c>
      <c r="Y121" s="62">
        <f>IF($V121="","",IF(AND(ISNUMBER($G121),$G121&lt;=IF($S121=MesCiclo,InicioCiclo,$S121+MOD(2-WEEKDAY($S121),7))+6),1,IF(ISNUMBER($I121),$I121,0)))</f>
        <v/>
      </c>
      <c r="Z121" s="62">
        <f>IF($V121="","",IF(AND(ISNUMBER($G121),$G121&lt;=IF($S121=MesCiclo,InicioCiclo,$S121+MOD(2-WEEKDAY($S121),7))+13),1,IF(ISNUMBER($J121),$J121,$Y121)))</f>
        <v/>
      </c>
      <c r="AA121" s="62">
        <f>IF($V121="","",IF(AND(ISNUMBER($G121),$G121&lt;=IF($S121=MesCiclo,InicioCiclo,$S121+MOD(2-WEEKDAY($S121),7))+20),1,IF(ISNUMBER($K121),$K121,$Z121)))</f>
        <v/>
      </c>
      <c r="AB121" s="62">
        <f>IF($V121="","",IF(AND(ISNUMBER($G121),$G121&lt;=IF($S121=MesCiclo,InicioCiclo,$S121+MOD(2-WEEKDAY($S121),7))+27),1,IF(ISNUMBER($L121),$L121,$AA121)))</f>
        <v/>
      </c>
      <c r="AC121" s="62">
        <f>IF($V121="","",IF(AND(ISNUMBER($G121),$G121&lt;=IF($S121=MesCiclo,InicioCiclo,$S121+MOD(2-WEEKDAY($S121),7))+6),1,IF(N($W121)&gt;0,AVERAGEIFS($Y$5:$Y$1000,$U$5:$U$1000,ROW(),$V$5:$V$1000,"Sub"),$Y121)))</f>
        <v/>
      </c>
      <c r="AD121" s="62">
        <f>IF($V121="","",IF(AND(ISNUMBER($G121),$G121&lt;=IF($S121=MesCiclo,InicioCiclo,$S121+MOD(2-WEEKDAY($S121),7))+13),1,IF(N($W121)&gt;0,AVERAGEIFS($Z$5:$Z$1000,$U$5:$U$1000,ROW(),$V$5:$V$1000,"Sub"),$Z121)))</f>
        <v/>
      </c>
      <c r="AE121" s="62">
        <f>IF($V121="","",IF(AND(ISNUMBER($G121),$G121&lt;=IF($S121=MesCiclo,InicioCiclo,$S121+MOD(2-WEEKDAY($S121),7))+20),1,IF(N($W121)&gt;0,AVERAGEIFS($AA$5:$AA$1000,$U$5:$U$1000,ROW(),$V$5:$V$1000,"Sub"),$AA121)))</f>
        <v/>
      </c>
      <c r="AF121" s="62">
        <f>IF($V121="","",IF(AND(ISNUMBER($G121),$G121&lt;=IF($S121=MesCiclo,InicioCiclo,$S121+MOD(2-WEEKDAY($S121),7))+27),1,IF(N($W121)&gt;0,AVERAGEIFS($AB$5:$AB$1000,$U$5:$U$1000,ROW(),$V$5:$V$1000,"Sub"),$AB121)))</f>
        <v/>
      </c>
      <c r="AG121" s="62">
        <f>IF($V121&lt;&gt;"Macro","",IF(COUNTIFS($S$5:$S$1000,$S121,$V$5:$V$1000,"Macro",$H$5:$H$1000,"&gt;0")=0,1/COUNTIFS($S$5:$S$1000,$S121,$V$5:$V$1000,"Macro"),IF(AND(ISNUMBER($H121),N($H121)&gt;0),$H121,SUMIFS($H$5:$H$1000,$S$5:$S$1000,$S121,$V$5:$V$1000,"Macro")/COUNTIFS($S$5:$S$1000,$S121,$V$5:$V$1000,"Macro",$H$5:$H$1000,"&gt;0"))/(COUNTIFS($S$5:$S$1000,$S121,$V$5:$V$1000,"Macro")*SUMIFS($H$5:$H$1000,$S$5:$S$1000,$S121,$V$5:$V$1000,"Macro")/COUNTIFS($S$5:$S$1000,$S121,$V$5:$V$1000,"Macro",$H$5:$H$1000,"&gt;0"))))</f>
        <v/>
      </c>
      <c r="AH121" s="62" t="n"/>
      <c r="AI121" s="62" t="n"/>
      <c r="AJ121" s="62" t="n"/>
      <c r="AK121" s="62" t="n"/>
      <c r="AL121" s="62">
        <f>IF(LEFT($C121,11)="[Jefatura] ",IFERROR(MATCH("Asistente Técnico de Riesgo|"&amp;MID($C121,12,500),rDname_ADM,0),0),"")</f>
        <v/>
      </c>
      <c r="AM121" s="62">
        <f>IF(N($AL121)&gt;0,INDEX(rIni_ADM,$AL121),IF(ISNUMBER($E121),$E121,""))</f>
        <v/>
      </c>
      <c r="AN121" s="62">
        <f>IF(N($AL121)&gt;0,INDEX(rLim_ADM,$AL121),IF(ISNUMBER($F121),$F121,""))</f>
        <v/>
      </c>
    </row>
    <row r="122">
      <c r="A122" s="56">
        <f>IF(NOT((COUNTA($B122:$D122)+COUNTA($G122:$L122)+COUNTA($Q122))&gt;0),"",IF($V122="Macro",COUNTIFS($V$5:$V122,"Macro",$S$5:$S122,$S122),IF(N($U122)=0,"?",COUNTIFS(INDEX($V$5:$V$1000,1):INDEX($V$5:$V$1000,$U122-4),"Macro",INDEX($S$5:$S$1000,1):INDEX($S$5:$S$1000,$U122-4),INDEX($S$5:$S$1000,$U122-4))&amp;"."&amp;COUNTIFS($U$5:$U122,$U122,$V$5:$V122,"Sub"))))</f>
        <v/>
      </c>
      <c r="B122" s="57" t="n"/>
      <c r="C122" s="58" t="n"/>
      <c r="D122" s="58" t="n"/>
      <c r="E122" s="59">
        <f>IF(N($AL122)&gt;0,INDEX(rIni_ADM,$AL122),"")</f>
        <v/>
      </c>
      <c r="F122" s="59">
        <f>IF(N($AL122)&gt;0,INDEX(rLim_ADM,$AL122),"")</f>
        <v/>
      </c>
      <c r="G122" s="59" t="n"/>
      <c r="H122" s="60" t="n"/>
      <c r="I122" s="60" t="n"/>
      <c r="J122" s="60" t="n"/>
      <c r="K122" s="60" t="n"/>
      <c r="L122" s="60" t="n"/>
      <c r="M122" s="61">
        <f>IF(NOT((COUNTA($B122:$D122)+COUNTA($G122:$L122)+COUNTA($Q122))&gt;0),"",IF($V122="Sub",IFERROR($X122/INDEX($W$5:$W$1000,$U122-4),""),IF(ISNUMBER($G122),1,IF(N($W122)&gt;0,AVERAGEIFS($X$5:$X$1000,$U$5:$U$1000,ROW(),$V$5:$V$1000,"Sub"),$X122))))</f>
        <v/>
      </c>
      <c r="N122" s="56">
        <f>IF(OR($M122="",$V122="Sub"),"",IF($M122&gt;=1,"Completado",IF($M122&gt;0,"En curso","Pendiente")))</f>
        <v/>
      </c>
      <c r="O122" s="56">
        <f>IF(OR(NOT((COUNTA($B122:$D122)+COUNTA($G122:$L122)+COUNTA($Q122))&gt;0),$V122="Sub"),"",IF(ISNUMBER($G122),IF(AND(ISNUMBER($AN122),$G122&gt;$AN122),"Cumplida con "&amp;($G122-$AN122)&amp;IF($G122-$AN122=1," día"," días")&amp;" de retraso","Cumplida"),IF(N($M122)&gt;=1,"Cumplida",IF(NOT(ISNUMBER($AN122)),"Sin fecha límite",IF($AN122&lt;FechaRef,"Vencida hace "&amp;(FechaRef-$AN122)&amp;IF(FechaRef-$AN122=1," día"," días"),IF($AN122=FechaRef,"Vence hoy",IF($AN122-FechaRef&lt;=DiasAlerta,"Vence en "&amp;($AN122-FechaRef)&amp;IF($AN122-FechaRef=1," día"," días"),"En plazo")))))))</f>
        <v/>
      </c>
      <c r="P122" s="62" t="n"/>
      <c r="Q122" s="58" t="n"/>
      <c r="R122" s="63">
        <f>IF(NOT((COUNTA($B122:$D122)+COUNTA($G122:$L122)+COUNTA($Q122))&gt;0),"",IF((IF($C122="","Falta el nombre de la actividad"&amp;" · ","")&amp;IF(AND($V122="Sub",N($U122)=0),"Subactividad sin macroactividad arriba"&amp;" · ","")&amp;IF($AM122="","Sin fecha de inicio"&amp;" · ","")&amp;IF($AN122="","Sin fecha límite"&amp;" · ","")&amp;IF(AND(LEFT($C122,11)="[Jefatura] ",N($AL122)=0),"No se encuentra en la hoja de la jefatura (elíjala de nuevo en la lista)"&amp;" · ","")&amp;IF(OR(AND($E122&lt;&gt;"",NOT(ISNUMBER($E122))),AND($F122&lt;&gt;"",NOT(ISNUMBER($F122))),AND($G122&lt;&gt;"",NOT(ISNUMBER($G122)))),"Fecha no válida"&amp;" · ","")&amp;IF(AND(ISNUMBER($AM122),ISNUMBER($AN122),$AM122&gt;$AN122),"Inicio posterior a fecha límite"&amp;" · ","")&amp;IF(AND($V122="Macro",$H122&lt;&gt;"",OR(NOT(ISNUMBER($H122)),$H122&lt;0,$H122&gt;1)),"Peso fuera de rango"&amp;" · ","")&amp;IF(AND($V122="Sub",$H122&lt;&gt;""),"Las subactividades no llevan peso (valen igual dentro de su macroactividad)"&amp;" · ","")&amp;IF(AND(N($W122)&gt;0,COUNT($I122:$L122)&gt;0),"Con subactividades: deje vacías las semanas (se calculan solas)"&amp;" · ","")&amp;IF((COUNTIF($I122:$L122,"&gt;1")+COUNTIF($I122:$L122,"&lt;0")+COUNTA($I122:$L122)-COUNT($I122:$L122))&gt;0,"Avance fuera de rango 0-100%"&amp;" · ","")&amp;IF(OR(AND($J122&lt;&gt;"",$J122&lt;$I122),AND($K122&lt;&gt;"",$K122&lt;MAX($I122:$J122)),AND($L122&lt;&gt;"",$L122&lt;MAX($I122:$K122))),"Avance semanal decreciente"&amp;" · ","")&amp;IF(AND(ISNUMBER($AN122),$AN122&lt;FechaRef,IF($V122="Sub",N($X122),N($M122))&lt;1),"Vencida"&amp;" · ","")&amp;IF(AND(ObsObligatoria="Sí",ISNUMBER($AN122),$AN122&lt;FechaRef,IF($V122="Sub",N($X122),N($M122))&lt;1,$Q122=""),"Vencida sin observación"&amp;" · ",""))="","✔ OK","⚠ "&amp;LEFT(IF($C122="","Falta el nombre de la actividad"&amp;" · ","")&amp;IF(AND($V122="Sub",N($U122)=0),"Subactividad sin macroactividad arriba"&amp;" · ","")&amp;IF($AM122="","Sin fecha de inicio"&amp;" · ","")&amp;IF($AN122="","Sin fecha límite"&amp;" · ","")&amp;IF(AND(LEFT($C122,11)="[Jefatura] ",N($AL122)=0),"No se encuentra en la hoja de la jefatura (elíjala de nuevo en la lista)"&amp;" · ","")&amp;IF(OR(AND($E122&lt;&gt;"",NOT(ISNUMBER($E122))),AND($F122&lt;&gt;"",NOT(ISNUMBER($F122))),AND($G122&lt;&gt;"",NOT(ISNUMBER($G122)))),"Fecha no válida"&amp;" · ","")&amp;IF(AND(ISNUMBER($AM122),ISNUMBER($AN122),$AM122&gt;$AN122),"Inicio posterior a fecha límite"&amp;" · ","")&amp;IF(AND($V122="Macro",$H122&lt;&gt;"",OR(NOT(ISNUMBER($H122)),$H122&lt;0,$H122&gt;1)),"Peso fuera de rango"&amp;" · ","")&amp;IF(AND($V122="Sub",$H122&lt;&gt;""),"Las subactividades no llevan peso (valen igual dentro de su macroactividad)"&amp;" · ","")&amp;IF(AND(N($W122)&gt;0,COUNT($I122:$L122)&gt;0),"Con subactividades: deje vacías las semanas (se calculan solas)"&amp;" · ","")&amp;IF((COUNTIF($I122:$L122,"&gt;1")+COUNTIF($I122:$L122,"&lt;0")+COUNTA($I122:$L122)-COUNT($I122:$L122))&gt;0,"Avance fuera de rango 0-100%"&amp;" · ","")&amp;IF(OR(AND($J122&lt;&gt;"",$J122&lt;$I122),AND($K122&lt;&gt;"",$K122&lt;MAX($I122:$J122)),AND($L122&lt;&gt;"",$L122&lt;MAX($I122:$K122))),"Avance semanal decreciente"&amp;" · ","")&amp;IF(AND(ISNUMBER($AN122),$AN122&lt;FechaRef,IF($V122="Sub",N($X122),N($M122))&lt;1),"Vencida"&amp;" · ","")&amp;IF(AND(ObsObligatoria="Sí",ISNUMBER($AN122),$AN122&lt;FechaRef,IF($V122="Sub",N($X122),N($M122))&lt;1,$Q122=""),"Vencida sin observación"&amp;" · ",""),LEN(IF($C122="","Falta el nombre de la actividad"&amp;" · ","")&amp;IF(AND($V122="Sub",N($U122)=0),"Subactividad sin macroactividad arriba"&amp;" · ","")&amp;IF($AM122="","Sin fecha de inicio"&amp;" · ","")&amp;IF($AN122="","Sin fecha límite"&amp;" · ","")&amp;IF(AND(LEFT($C122,11)="[Jefatura] ",N($AL122)=0),"No se encuentra en la hoja de la jefatura (elíjala de nuevo en la lista)"&amp;" · ","")&amp;IF(OR(AND($E122&lt;&gt;"",NOT(ISNUMBER($E122))),AND($F122&lt;&gt;"",NOT(ISNUMBER($F122))),AND($G122&lt;&gt;"",NOT(ISNUMBER($G122)))),"Fecha no válida"&amp;" · ","")&amp;IF(AND(ISNUMBER($AM122),ISNUMBER($AN122),$AM122&gt;$AN122),"Inicio posterior a fecha límite"&amp;" · ","")&amp;IF(AND($V122="Macro",$H122&lt;&gt;"",OR(NOT(ISNUMBER($H122)),$H122&lt;0,$H122&gt;1)),"Peso fuera de rango"&amp;" · ","")&amp;IF(AND($V122="Sub",$H122&lt;&gt;""),"Las subactividades no llevan peso (valen igual dentro de su macroactividad)"&amp;" · ","")&amp;IF(AND(N($W122)&gt;0,COUNT($I122:$L122)&gt;0),"Con subactividades: deje vacías las semanas (se calculan solas)"&amp;" · ","")&amp;IF((COUNTIF($I122:$L122,"&gt;1")+COUNTIF($I122:$L122,"&lt;0")+COUNTA($I122:$L122)-COUNT($I122:$L122))&gt;0,"Avance fuera de rango 0-100%"&amp;" · ","")&amp;IF(OR(AND($J122&lt;&gt;"",$J122&lt;$I122),AND($K122&lt;&gt;"",$K122&lt;MAX($I122:$J122)),AND($L122&lt;&gt;"",$L122&lt;MAX($I122:$K122))),"Avance semanal decreciente"&amp;" · ","")&amp;IF(AND(ISNUMBER($AN122),$AN122&lt;FechaRef,IF($V122="Sub",N($X122),N($M122))&lt;1),"Vencida"&amp;" · ","")&amp;IF(AND(ObsObligatoria="Sí",ISNUMBER($AN122),$AN122&lt;FechaRef,IF($V122="Sub",N($X122),N($M122))&lt;1,$Q122=""),"Vencida sin observación"&amp;" · ",""))-3)))</f>
        <v/>
      </c>
      <c r="S122" s="64">
        <f>IF(NOT((COUNTA($B122:$D122)+COUNTA($G122:$L122)+COUNTA($Q122))&gt;0),"",IF(AND($V122="Sub",N($U122)&gt;0),IF(ISNUMBER(INDEX($AM$5:$AM$1000,$U122-4)),DATE(YEAR(INDEX($AM$5:$AM$1000,$U122-4)),MONTH(INDEX($AM$5:$AM$1000,$U122-4)),1),IF(ISNUMBER(INDEX($AN$5:$AN$1000,$U122-4)),DATE(YEAR(INDEX($AN$5:$AN$1000,$U122-4)),MONTH(INDEX($AN$5:$AN$1000,$U122-4)),1),MesCiclo)),IF(ISNUMBER($AM122),DATE(YEAR($AM122),MONTH($AM122),1),IF(ISNUMBER($AN122),DATE(YEAR($AN122),MONTH($AN122),1),MesCiclo))))</f>
        <v/>
      </c>
      <c r="T122" s="62">
        <f>IF(OR($S122="",$S122&lt;&gt;MesCiclo,$V122&lt;&gt;"Macro"),"",COUNTIFS($S$5:$S122,MesCiclo,$V$5:$V122,"Macro"))</f>
        <v/>
      </c>
      <c r="U122" s="62">
        <f>IF($V122="","",IF($V122="Macro",ROW(),IFERROR(LOOKUP(2,1/($V$5:$V122="Macro"),ROW($V$5:$V122)),0)))</f>
        <v/>
      </c>
      <c r="V122" s="62">
        <f>IF(NOT((COUNTA($B122:$D122)+COUNTA($G122:$L122)+COUNTA($Q122))&gt;0),"",IF($B122="Subactividad","Sub","Macro"))</f>
        <v/>
      </c>
      <c r="W122" s="62">
        <f>IF($V122="Macro",COUNTIFS($U$5:$U$1000,ROW(),$V$5:$V$1000,"Sub"),"")</f>
        <v/>
      </c>
      <c r="X122" s="62">
        <f>IF($V122="","",IF(ISNUMBER($G122),1,IFERROR(LOOKUP(2,1/($I122:$L122&lt;&gt;""),$I122:$L122),0)))</f>
        <v/>
      </c>
      <c r="Y122" s="62">
        <f>IF($V122="","",IF(AND(ISNUMBER($G122),$G122&lt;=IF($S122=MesCiclo,InicioCiclo,$S122+MOD(2-WEEKDAY($S122),7))+6),1,IF(ISNUMBER($I122),$I122,0)))</f>
        <v/>
      </c>
      <c r="Z122" s="62">
        <f>IF($V122="","",IF(AND(ISNUMBER($G122),$G122&lt;=IF($S122=MesCiclo,InicioCiclo,$S122+MOD(2-WEEKDAY($S122),7))+13),1,IF(ISNUMBER($J122),$J122,$Y122)))</f>
        <v/>
      </c>
      <c r="AA122" s="62">
        <f>IF($V122="","",IF(AND(ISNUMBER($G122),$G122&lt;=IF($S122=MesCiclo,InicioCiclo,$S122+MOD(2-WEEKDAY($S122),7))+20),1,IF(ISNUMBER($K122),$K122,$Z122)))</f>
        <v/>
      </c>
      <c r="AB122" s="62">
        <f>IF($V122="","",IF(AND(ISNUMBER($G122),$G122&lt;=IF($S122=MesCiclo,InicioCiclo,$S122+MOD(2-WEEKDAY($S122),7))+27),1,IF(ISNUMBER($L122),$L122,$AA122)))</f>
        <v/>
      </c>
      <c r="AC122" s="62">
        <f>IF($V122="","",IF(AND(ISNUMBER($G122),$G122&lt;=IF($S122=MesCiclo,InicioCiclo,$S122+MOD(2-WEEKDAY($S122),7))+6),1,IF(N($W122)&gt;0,AVERAGEIFS($Y$5:$Y$1000,$U$5:$U$1000,ROW(),$V$5:$V$1000,"Sub"),$Y122)))</f>
        <v/>
      </c>
      <c r="AD122" s="62">
        <f>IF($V122="","",IF(AND(ISNUMBER($G122),$G122&lt;=IF($S122=MesCiclo,InicioCiclo,$S122+MOD(2-WEEKDAY($S122),7))+13),1,IF(N($W122)&gt;0,AVERAGEIFS($Z$5:$Z$1000,$U$5:$U$1000,ROW(),$V$5:$V$1000,"Sub"),$Z122)))</f>
        <v/>
      </c>
      <c r="AE122" s="62">
        <f>IF($V122="","",IF(AND(ISNUMBER($G122),$G122&lt;=IF($S122=MesCiclo,InicioCiclo,$S122+MOD(2-WEEKDAY($S122),7))+20),1,IF(N($W122)&gt;0,AVERAGEIFS($AA$5:$AA$1000,$U$5:$U$1000,ROW(),$V$5:$V$1000,"Sub"),$AA122)))</f>
        <v/>
      </c>
      <c r="AF122" s="62">
        <f>IF($V122="","",IF(AND(ISNUMBER($G122),$G122&lt;=IF($S122=MesCiclo,InicioCiclo,$S122+MOD(2-WEEKDAY($S122),7))+27),1,IF(N($W122)&gt;0,AVERAGEIFS($AB$5:$AB$1000,$U$5:$U$1000,ROW(),$V$5:$V$1000,"Sub"),$AB122)))</f>
        <v/>
      </c>
      <c r="AG122" s="62">
        <f>IF($V122&lt;&gt;"Macro","",IF(COUNTIFS($S$5:$S$1000,$S122,$V$5:$V$1000,"Macro",$H$5:$H$1000,"&gt;0")=0,1/COUNTIFS($S$5:$S$1000,$S122,$V$5:$V$1000,"Macro"),IF(AND(ISNUMBER($H122),N($H122)&gt;0),$H122,SUMIFS($H$5:$H$1000,$S$5:$S$1000,$S122,$V$5:$V$1000,"Macro")/COUNTIFS($S$5:$S$1000,$S122,$V$5:$V$1000,"Macro",$H$5:$H$1000,"&gt;0"))/(COUNTIFS($S$5:$S$1000,$S122,$V$5:$V$1000,"Macro")*SUMIFS($H$5:$H$1000,$S$5:$S$1000,$S122,$V$5:$V$1000,"Macro")/COUNTIFS($S$5:$S$1000,$S122,$V$5:$V$1000,"Macro",$H$5:$H$1000,"&gt;0"))))</f>
        <v/>
      </c>
      <c r="AH122" s="62" t="n"/>
      <c r="AI122" s="62" t="n"/>
      <c r="AJ122" s="62" t="n"/>
      <c r="AK122" s="62" t="n"/>
      <c r="AL122" s="62">
        <f>IF(LEFT($C122,11)="[Jefatura] ",IFERROR(MATCH("Asistente Técnico de Riesgo|"&amp;MID($C122,12,500),rDname_ADM,0),0),"")</f>
        <v/>
      </c>
      <c r="AM122" s="62">
        <f>IF(N($AL122)&gt;0,INDEX(rIni_ADM,$AL122),IF(ISNUMBER($E122),$E122,""))</f>
        <v/>
      </c>
      <c r="AN122" s="62">
        <f>IF(N($AL122)&gt;0,INDEX(rLim_ADM,$AL122),IF(ISNUMBER($F122),$F122,""))</f>
        <v/>
      </c>
    </row>
    <row r="123">
      <c r="A123" s="56">
        <f>IF(NOT((COUNTA($B123:$D123)+COUNTA($G123:$L123)+COUNTA($Q123))&gt;0),"",IF($V123="Macro",COUNTIFS($V$5:$V123,"Macro",$S$5:$S123,$S123),IF(N($U123)=0,"?",COUNTIFS(INDEX($V$5:$V$1000,1):INDEX($V$5:$V$1000,$U123-4),"Macro",INDEX($S$5:$S$1000,1):INDEX($S$5:$S$1000,$U123-4),INDEX($S$5:$S$1000,$U123-4))&amp;"."&amp;COUNTIFS($U$5:$U123,$U123,$V$5:$V123,"Sub"))))</f>
        <v/>
      </c>
      <c r="B123" s="57" t="n"/>
      <c r="C123" s="58" t="n"/>
      <c r="D123" s="58" t="n"/>
      <c r="E123" s="59">
        <f>IF(N($AL123)&gt;0,INDEX(rIni_ADM,$AL123),"")</f>
        <v/>
      </c>
      <c r="F123" s="59">
        <f>IF(N($AL123)&gt;0,INDEX(rLim_ADM,$AL123),"")</f>
        <v/>
      </c>
      <c r="G123" s="59" t="n"/>
      <c r="H123" s="60" t="n"/>
      <c r="I123" s="60" t="n"/>
      <c r="J123" s="60" t="n"/>
      <c r="K123" s="60" t="n"/>
      <c r="L123" s="60" t="n"/>
      <c r="M123" s="61">
        <f>IF(NOT((COUNTA($B123:$D123)+COUNTA($G123:$L123)+COUNTA($Q123))&gt;0),"",IF($V123="Sub",IFERROR($X123/INDEX($W$5:$W$1000,$U123-4),""),IF(ISNUMBER($G123),1,IF(N($W123)&gt;0,AVERAGEIFS($X$5:$X$1000,$U$5:$U$1000,ROW(),$V$5:$V$1000,"Sub"),$X123))))</f>
        <v/>
      </c>
      <c r="N123" s="56">
        <f>IF(OR($M123="",$V123="Sub"),"",IF($M123&gt;=1,"Completado",IF($M123&gt;0,"En curso","Pendiente")))</f>
        <v/>
      </c>
      <c r="O123" s="56">
        <f>IF(OR(NOT((COUNTA($B123:$D123)+COUNTA($G123:$L123)+COUNTA($Q123))&gt;0),$V123="Sub"),"",IF(ISNUMBER($G123),IF(AND(ISNUMBER($AN123),$G123&gt;$AN123),"Cumplida con "&amp;($G123-$AN123)&amp;IF($G123-$AN123=1," día"," días")&amp;" de retraso","Cumplida"),IF(N($M123)&gt;=1,"Cumplida",IF(NOT(ISNUMBER($AN123)),"Sin fecha límite",IF($AN123&lt;FechaRef,"Vencida hace "&amp;(FechaRef-$AN123)&amp;IF(FechaRef-$AN123=1," día"," días"),IF($AN123=FechaRef,"Vence hoy",IF($AN123-FechaRef&lt;=DiasAlerta,"Vence en "&amp;($AN123-FechaRef)&amp;IF($AN123-FechaRef=1," día"," días"),"En plazo")))))))</f>
        <v/>
      </c>
      <c r="P123" s="62" t="n"/>
      <c r="Q123" s="58" t="n"/>
      <c r="R123" s="63">
        <f>IF(NOT((COUNTA($B123:$D123)+COUNTA($G123:$L123)+COUNTA($Q123))&gt;0),"",IF((IF($C123="","Falta el nombre de la actividad"&amp;" · ","")&amp;IF(AND($V123="Sub",N($U123)=0),"Subactividad sin macroactividad arriba"&amp;" · ","")&amp;IF($AM123="","Sin fecha de inicio"&amp;" · ","")&amp;IF($AN123="","Sin fecha límite"&amp;" · ","")&amp;IF(AND(LEFT($C123,11)="[Jefatura] ",N($AL123)=0),"No se encuentra en la hoja de la jefatura (elíjala de nuevo en la lista)"&amp;" · ","")&amp;IF(OR(AND($E123&lt;&gt;"",NOT(ISNUMBER($E123))),AND($F123&lt;&gt;"",NOT(ISNUMBER($F123))),AND($G123&lt;&gt;"",NOT(ISNUMBER($G123)))),"Fecha no válida"&amp;" · ","")&amp;IF(AND(ISNUMBER($AM123),ISNUMBER($AN123),$AM123&gt;$AN123),"Inicio posterior a fecha límite"&amp;" · ","")&amp;IF(AND($V123="Macro",$H123&lt;&gt;"",OR(NOT(ISNUMBER($H123)),$H123&lt;0,$H123&gt;1)),"Peso fuera de rango"&amp;" · ","")&amp;IF(AND($V123="Sub",$H123&lt;&gt;""),"Las subactividades no llevan peso (valen igual dentro de su macroactividad)"&amp;" · ","")&amp;IF(AND(N($W123)&gt;0,COUNT($I123:$L123)&gt;0),"Con subactividades: deje vacías las semanas (se calculan solas)"&amp;" · ","")&amp;IF((COUNTIF($I123:$L123,"&gt;1")+COUNTIF($I123:$L123,"&lt;0")+COUNTA($I123:$L123)-COUNT($I123:$L123))&gt;0,"Avance fuera de rango 0-100%"&amp;" · ","")&amp;IF(OR(AND($J123&lt;&gt;"",$J123&lt;$I123),AND($K123&lt;&gt;"",$K123&lt;MAX($I123:$J123)),AND($L123&lt;&gt;"",$L123&lt;MAX($I123:$K123))),"Avance semanal decreciente"&amp;" · ","")&amp;IF(AND(ISNUMBER($AN123),$AN123&lt;FechaRef,IF($V123="Sub",N($X123),N($M123))&lt;1),"Vencida"&amp;" · ","")&amp;IF(AND(ObsObligatoria="Sí",ISNUMBER($AN123),$AN123&lt;FechaRef,IF($V123="Sub",N($X123),N($M123))&lt;1,$Q123=""),"Vencida sin observación"&amp;" · ",""))="","✔ OK","⚠ "&amp;LEFT(IF($C123="","Falta el nombre de la actividad"&amp;" · ","")&amp;IF(AND($V123="Sub",N($U123)=0),"Subactividad sin macroactividad arriba"&amp;" · ","")&amp;IF($AM123="","Sin fecha de inicio"&amp;" · ","")&amp;IF($AN123="","Sin fecha límite"&amp;" · ","")&amp;IF(AND(LEFT($C123,11)="[Jefatura] ",N($AL123)=0),"No se encuentra en la hoja de la jefatura (elíjala de nuevo en la lista)"&amp;" · ","")&amp;IF(OR(AND($E123&lt;&gt;"",NOT(ISNUMBER($E123))),AND($F123&lt;&gt;"",NOT(ISNUMBER($F123))),AND($G123&lt;&gt;"",NOT(ISNUMBER($G123)))),"Fecha no válida"&amp;" · ","")&amp;IF(AND(ISNUMBER($AM123),ISNUMBER($AN123),$AM123&gt;$AN123),"Inicio posterior a fecha límite"&amp;" · ","")&amp;IF(AND($V123="Macro",$H123&lt;&gt;"",OR(NOT(ISNUMBER($H123)),$H123&lt;0,$H123&gt;1)),"Peso fuera de rango"&amp;" · ","")&amp;IF(AND($V123="Sub",$H123&lt;&gt;""),"Las subactividades no llevan peso (valen igual dentro de su macroactividad)"&amp;" · ","")&amp;IF(AND(N($W123)&gt;0,COUNT($I123:$L123)&gt;0),"Con subactividades: deje vacías las semanas (se calculan solas)"&amp;" · ","")&amp;IF((COUNTIF($I123:$L123,"&gt;1")+COUNTIF($I123:$L123,"&lt;0")+COUNTA($I123:$L123)-COUNT($I123:$L123))&gt;0,"Avance fuera de rango 0-100%"&amp;" · ","")&amp;IF(OR(AND($J123&lt;&gt;"",$J123&lt;$I123),AND($K123&lt;&gt;"",$K123&lt;MAX($I123:$J123)),AND($L123&lt;&gt;"",$L123&lt;MAX($I123:$K123))),"Avance semanal decreciente"&amp;" · ","")&amp;IF(AND(ISNUMBER($AN123),$AN123&lt;FechaRef,IF($V123="Sub",N($X123),N($M123))&lt;1),"Vencida"&amp;" · ","")&amp;IF(AND(ObsObligatoria="Sí",ISNUMBER($AN123),$AN123&lt;FechaRef,IF($V123="Sub",N($X123),N($M123))&lt;1,$Q123=""),"Vencida sin observación"&amp;" · ",""),LEN(IF($C123="","Falta el nombre de la actividad"&amp;" · ","")&amp;IF(AND($V123="Sub",N($U123)=0),"Subactividad sin macroactividad arriba"&amp;" · ","")&amp;IF($AM123="","Sin fecha de inicio"&amp;" · ","")&amp;IF($AN123="","Sin fecha límite"&amp;" · ","")&amp;IF(AND(LEFT($C123,11)="[Jefatura] ",N($AL123)=0),"No se encuentra en la hoja de la jefatura (elíjala de nuevo en la lista)"&amp;" · ","")&amp;IF(OR(AND($E123&lt;&gt;"",NOT(ISNUMBER($E123))),AND($F123&lt;&gt;"",NOT(ISNUMBER($F123))),AND($G123&lt;&gt;"",NOT(ISNUMBER($G123)))),"Fecha no válida"&amp;" · ","")&amp;IF(AND(ISNUMBER($AM123),ISNUMBER($AN123),$AM123&gt;$AN123),"Inicio posterior a fecha límite"&amp;" · ","")&amp;IF(AND($V123="Macro",$H123&lt;&gt;"",OR(NOT(ISNUMBER($H123)),$H123&lt;0,$H123&gt;1)),"Peso fuera de rango"&amp;" · ","")&amp;IF(AND($V123="Sub",$H123&lt;&gt;""),"Las subactividades no llevan peso (valen igual dentro de su macroactividad)"&amp;" · ","")&amp;IF(AND(N($W123)&gt;0,COUNT($I123:$L123)&gt;0),"Con subactividades: deje vacías las semanas (se calculan solas)"&amp;" · ","")&amp;IF((COUNTIF($I123:$L123,"&gt;1")+COUNTIF($I123:$L123,"&lt;0")+COUNTA($I123:$L123)-COUNT($I123:$L123))&gt;0,"Avance fuera de rango 0-100%"&amp;" · ","")&amp;IF(OR(AND($J123&lt;&gt;"",$J123&lt;$I123),AND($K123&lt;&gt;"",$K123&lt;MAX($I123:$J123)),AND($L123&lt;&gt;"",$L123&lt;MAX($I123:$K123))),"Avance semanal decreciente"&amp;" · ","")&amp;IF(AND(ISNUMBER($AN123),$AN123&lt;FechaRef,IF($V123="Sub",N($X123),N($M123))&lt;1),"Vencida"&amp;" · ","")&amp;IF(AND(ObsObligatoria="Sí",ISNUMBER($AN123),$AN123&lt;FechaRef,IF($V123="Sub",N($X123),N($M123))&lt;1,$Q123=""),"Vencida sin observación"&amp;" · ",""))-3)))</f>
        <v/>
      </c>
      <c r="S123" s="64">
        <f>IF(NOT((COUNTA($B123:$D123)+COUNTA($G123:$L123)+COUNTA($Q123))&gt;0),"",IF(AND($V123="Sub",N($U123)&gt;0),IF(ISNUMBER(INDEX($AM$5:$AM$1000,$U123-4)),DATE(YEAR(INDEX($AM$5:$AM$1000,$U123-4)),MONTH(INDEX($AM$5:$AM$1000,$U123-4)),1),IF(ISNUMBER(INDEX($AN$5:$AN$1000,$U123-4)),DATE(YEAR(INDEX($AN$5:$AN$1000,$U123-4)),MONTH(INDEX($AN$5:$AN$1000,$U123-4)),1),MesCiclo)),IF(ISNUMBER($AM123),DATE(YEAR($AM123),MONTH($AM123),1),IF(ISNUMBER($AN123),DATE(YEAR($AN123),MONTH($AN123),1),MesCiclo))))</f>
        <v/>
      </c>
      <c r="T123" s="62">
        <f>IF(OR($S123="",$S123&lt;&gt;MesCiclo,$V123&lt;&gt;"Macro"),"",COUNTIFS($S$5:$S123,MesCiclo,$V$5:$V123,"Macro"))</f>
        <v/>
      </c>
      <c r="U123" s="62">
        <f>IF($V123="","",IF($V123="Macro",ROW(),IFERROR(LOOKUP(2,1/($V$5:$V123="Macro"),ROW($V$5:$V123)),0)))</f>
        <v/>
      </c>
      <c r="V123" s="62">
        <f>IF(NOT((COUNTA($B123:$D123)+COUNTA($G123:$L123)+COUNTA($Q123))&gt;0),"",IF($B123="Subactividad","Sub","Macro"))</f>
        <v/>
      </c>
      <c r="W123" s="62">
        <f>IF($V123="Macro",COUNTIFS($U$5:$U$1000,ROW(),$V$5:$V$1000,"Sub"),"")</f>
        <v/>
      </c>
      <c r="X123" s="62">
        <f>IF($V123="","",IF(ISNUMBER($G123),1,IFERROR(LOOKUP(2,1/($I123:$L123&lt;&gt;""),$I123:$L123),0)))</f>
        <v/>
      </c>
      <c r="Y123" s="62">
        <f>IF($V123="","",IF(AND(ISNUMBER($G123),$G123&lt;=IF($S123=MesCiclo,InicioCiclo,$S123+MOD(2-WEEKDAY($S123),7))+6),1,IF(ISNUMBER($I123),$I123,0)))</f>
        <v/>
      </c>
      <c r="Z123" s="62">
        <f>IF($V123="","",IF(AND(ISNUMBER($G123),$G123&lt;=IF($S123=MesCiclo,InicioCiclo,$S123+MOD(2-WEEKDAY($S123),7))+13),1,IF(ISNUMBER($J123),$J123,$Y123)))</f>
        <v/>
      </c>
      <c r="AA123" s="62">
        <f>IF($V123="","",IF(AND(ISNUMBER($G123),$G123&lt;=IF($S123=MesCiclo,InicioCiclo,$S123+MOD(2-WEEKDAY($S123),7))+20),1,IF(ISNUMBER($K123),$K123,$Z123)))</f>
        <v/>
      </c>
      <c r="AB123" s="62">
        <f>IF($V123="","",IF(AND(ISNUMBER($G123),$G123&lt;=IF($S123=MesCiclo,InicioCiclo,$S123+MOD(2-WEEKDAY($S123),7))+27),1,IF(ISNUMBER($L123),$L123,$AA123)))</f>
        <v/>
      </c>
      <c r="AC123" s="62">
        <f>IF($V123="","",IF(AND(ISNUMBER($G123),$G123&lt;=IF($S123=MesCiclo,InicioCiclo,$S123+MOD(2-WEEKDAY($S123),7))+6),1,IF(N($W123)&gt;0,AVERAGEIFS($Y$5:$Y$1000,$U$5:$U$1000,ROW(),$V$5:$V$1000,"Sub"),$Y123)))</f>
        <v/>
      </c>
      <c r="AD123" s="62">
        <f>IF($V123="","",IF(AND(ISNUMBER($G123),$G123&lt;=IF($S123=MesCiclo,InicioCiclo,$S123+MOD(2-WEEKDAY($S123),7))+13),1,IF(N($W123)&gt;0,AVERAGEIFS($Z$5:$Z$1000,$U$5:$U$1000,ROW(),$V$5:$V$1000,"Sub"),$Z123)))</f>
        <v/>
      </c>
      <c r="AE123" s="62">
        <f>IF($V123="","",IF(AND(ISNUMBER($G123),$G123&lt;=IF($S123=MesCiclo,InicioCiclo,$S123+MOD(2-WEEKDAY($S123),7))+20),1,IF(N($W123)&gt;0,AVERAGEIFS($AA$5:$AA$1000,$U$5:$U$1000,ROW(),$V$5:$V$1000,"Sub"),$AA123)))</f>
        <v/>
      </c>
      <c r="AF123" s="62">
        <f>IF($V123="","",IF(AND(ISNUMBER($G123),$G123&lt;=IF($S123=MesCiclo,InicioCiclo,$S123+MOD(2-WEEKDAY($S123),7))+27),1,IF(N($W123)&gt;0,AVERAGEIFS($AB$5:$AB$1000,$U$5:$U$1000,ROW(),$V$5:$V$1000,"Sub"),$AB123)))</f>
        <v/>
      </c>
      <c r="AG123" s="62">
        <f>IF($V123&lt;&gt;"Macro","",IF(COUNTIFS($S$5:$S$1000,$S123,$V$5:$V$1000,"Macro",$H$5:$H$1000,"&gt;0")=0,1/COUNTIFS($S$5:$S$1000,$S123,$V$5:$V$1000,"Macro"),IF(AND(ISNUMBER($H123),N($H123)&gt;0),$H123,SUMIFS($H$5:$H$1000,$S$5:$S$1000,$S123,$V$5:$V$1000,"Macro")/COUNTIFS($S$5:$S$1000,$S123,$V$5:$V$1000,"Macro",$H$5:$H$1000,"&gt;0"))/(COUNTIFS($S$5:$S$1000,$S123,$V$5:$V$1000,"Macro")*SUMIFS($H$5:$H$1000,$S$5:$S$1000,$S123,$V$5:$V$1000,"Macro")/COUNTIFS($S$5:$S$1000,$S123,$V$5:$V$1000,"Macro",$H$5:$H$1000,"&gt;0"))))</f>
        <v/>
      </c>
      <c r="AH123" s="62" t="n"/>
      <c r="AI123" s="62" t="n"/>
      <c r="AJ123" s="62" t="n"/>
      <c r="AK123" s="62" t="n"/>
      <c r="AL123" s="62">
        <f>IF(LEFT($C123,11)="[Jefatura] ",IFERROR(MATCH("Asistente Técnico de Riesgo|"&amp;MID($C123,12,500),rDname_ADM,0),0),"")</f>
        <v/>
      </c>
      <c r="AM123" s="62">
        <f>IF(N($AL123)&gt;0,INDEX(rIni_ADM,$AL123),IF(ISNUMBER($E123),$E123,""))</f>
        <v/>
      </c>
      <c r="AN123" s="62">
        <f>IF(N($AL123)&gt;0,INDEX(rLim_ADM,$AL123),IF(ISNUMBER($F123),$F123,""))</f>
        <v/>
      </c>
    </row>
    <row r="124">
      <c r="A124" s="56">
        <f>IF(NOT((COUNTA($B124:$D124)+COUNTA($G124:$L124)+COUNTA($Q124))&gt;0),"",IF($V124="Macro",COUNTIFS($V$5:$V124,"Macro",$S$5:$S124,$S124),IF(N($U124)=0,"?",COUNTIFS(INDEX($V$5:$V$1000,1):INDEX($V$5:$V$1000,$U124-4),"Macro",INDEX($S$5:$S$1000,1):INDEX($S$5:$S$1000,$U124-4),INDEX($S$5:$S$1000,$U124-4))&amp;"."&amp;COUNTIFS($U$5:$U124,$U124,$V$5:$V124,"Sub"))))</f>
        <v/>
      </c>
      <c r="B124" s="57" t="n"/>
      <c r="C124" s="58" t="n"/>
      <c r="D124" s="58" t="n"/>
      <c r="E124" s="59">
        <f>IF(N($AL124)&gt;0,INDEX(rIni_ADM,$AL124),"")</f>
        <v/>
      </c>
      <c r="F124" s="59">
        <f>IF(N($AL124)&gt;0,INDEX(rLim_ADM,$AL124),"")</f>
        <v/>
      </c>
      <c r="G124" s="59" t="n"/>
      <c r="H124" s="60" t="n"/>
      <c r="I124" s="60" t="n"/>
      <c r="J124" s="60" t="n"/>
      <c r="K124" s="60" t="n"/>
      <c r="L124" s="60" t="n"/>
      <c r="M124" s="61">
        <f>IF(NOT((COUNTA($B124:$D124)+COUNTA($G124:$L124)+COUNTA($Q124))&gt;0),"",IF($V124="Sub",IFERROR($X124/INDEX($W$5:$W$1000,$U124-4),""),IF(ISNUMBER($G124),1,IF(N($W124)&gt;0,AVERAGEIFS($X$5:$X$1000,$U$5:$U$1000,ROW(),$V$5:$V$1000,"Sub"),$X124))))</f>
        <v/>
      </c>
      <c r="N124" s="56">
        <f>IF(OR($M124="",$V124="Sub"),"",IF($M124&gt;=1,"Completado",IF($M124&gt;0,"En curso","Pendiente")))</f>
        <v/>
      </c>
      <c r="O124" s="56">
        <f>IF(OR(NOT((COUNTA($B124:$D124)+COUNTA($G124:$L124)+COUNTA($Q124))&gt;0),$V124="Sub"),"",IF(ISNUMBER($G124),IF(AND(ISNUMBER($AN124),$G124&gt;$AN124),"Cumplida con "&amp;($G124-$AN124)&amp;IF($G124-$AN124=1," día"," días")&amp;" de retraso","Cumplida"),IF(N($M124)&gt;=1,"Cumplida",IF(NOT(ISNUMBER($AN124)),"Sin fecha límite",IF($AN124&lt;FechaRef,"Vencida hace "&amp;(FechaRef-$AN124)&amp;IF(FechaRef-$AN124=1," día"," días"),IF($AN124=FechaRef,"Vence hoy",IF($AN124-FechaRef&lt;=DiasAlerta,"Vence en "&amp;($AN124-FechaRef)&amp;IF($AN124-FechaRef=1," día"," días"),"En plazo")))))))</f>
        <v/>
      </c>
      <c r="P124" s="62" t="n"/>
      <c r="Q124" s="58" t="n"/>
      <c r="R124" s="63">
        <f>IF(NOT((COUNTA($B124:$D124)+COUNTA($G124:$L124)+COUNTA($Q124))&gt;0),"",IF((IF($C124="","Falta el nombre de la actividad"&amp;" · ","")&amp;IF(AND($V124="Sub",N($U124)=0),"Subactividad sin macroactividad arriba"&amp;" · ","")&amp;IF($AM124="","Sin fecha de inicio"&amp;" · ","")&amp;IF($AN124="","Sin fecha límite"&amp;" · ","")&amp;IF(AND(LEFT($C124,11)="[Jefatura] ",N($AL124)=0),"No se encuentra en la hoja de la jefatura (elíjala de nuevo en la lista)"&amp;" · ","")&amp;IF(OR(AND($E124&lt;&gt;"",NOT(ISNUMBER($E124))),AND($F124&lt;&gt;"",NOT(ISNUMBER($F124))),AND($G124&lt;&gt;"",NOT(ISNUMBER($G124)))),"Fecha no válida"&amp;" · ","")&amp;IF(AND(ISNUMBER($AM124),ISNUMBER($AN124),$AM124&gt;$AN124),"Inicio posterior a fecha límite"&amp;" · ","")&amp;IF(AND($V124="Macro",$H124&lt;&gt;"",OR(NOT(ISNUMBER($H124)),$H124&lt;0,$H124&gt;1)),"Peso fuera de rango"&amp;" · ","")&amp;IF(AND($V124="Sub",$H124&lt;&gt;""),"Las subactividades no llevan peso (valen igual dentro de su macroactividad)"&amp;" · ","")&amp;IF(AND(N($W124)&gt;0,COUNT($I124:$L124)&gt;0),"Con subactividades: deje vacías las semanas (se calculan solas)"&amp;" · ","")&amp;IF((COUNTIF($I124:$L124,"&gt;1")+COUNTIF($I124:$L124,"&lt;0")+COUNTA($I124:$L124)-COUNT($I124:$L124))&gt;0,"Avance fuera de rango 0-100%"&amp;" · ","")&amp;IF(OR(AND($J124&lt;&gt;"",$J124&lt;$I124),AND($K124&lt;&gt;"",$K124&lt;MAX($I124:$J124)),AND($L124&lt;&gt;"",$L124&lt;MAX($I124:$K124))),"Avance semanal decreciente"&amp;" · ","")&amp;IF(AND(ISNUMBER($AN124),$AN124&lt;FechaRef,IF($V124="Sub",N($X124),N($M124))&lt;1),"Vencida"&amp;" · ","")&amp;IF(AND(ObsObligatoria="Sí",ISNUMBER($AN124),$AN124&lt;FechaRef,IF($V124="Sub",N($X124),N($M124))&lt;1,$Q124=""),"Vencida sin observación"&amp;" · ",""))="","✔ OK","⚠ "&amp;LEFT(IF($C124="","Falta el nombre de la actividad"&amp;" · ","")&amp;IF(AND($V124="Sub",N($U124)=0),"Subactividad sin macroactividad arriba"&amp;" · ","")&amp;IF($AM124="","Sin fecha de inicio"&amp;" · ","")&amp;IF($AN124="","Sin fecha límite"&amp;" · ","")&amp;IF(AND(LEFT($C124,11)="[Jefatura] ",N($AL124)=0),"No se encuentra en la hoja de la jefatura (elíjala de nuevo en la lista)"&amp;" · ","")&amp;IF(OR(AND($E124&lt;&gt;"",NOT(ISNUMBER($E124))),AND($F124&lt;&gt;"",NOT(ISNUMBER($F124))),AND($G124&lt;&gt;"",NOT(ISNUMBER($G124)))),"Fecha no válida"&amp;" · ","")&amp;IF(AND(ISNUMBER($AM124),ISNUMBER($AN124),$AM124&gt;$AN124),"Inicio posterior a fecha límite"&amp;" · ","")&amp;IF(AND($V124="Macro",$H124&lt;&gt;"",OR(NOT(ISNUMBER($H124)),$H124&lt;0,$H124&gt;1)),"Peso fuera de rango"&amp;" · ","")&amp;IF(AND($V124="Sub",$H124&lt;&gt;""),"Las subactividades no llevan peso (valen igual dentro de su macroactividad)"&amp;" · ","")&amp;IF(AND(N($W124)&gt;0,COUNT($I124:$L124)&gt;0),"Con subactividades: deje vacías las semanas (se calculan solas)"&amp;" · ","")&amp;IF((COUNTIF($I124:$L124,"&gt;1")+COUNTIF($I124:$L124,"&lt;0")+COUNTA($I124:$L124)-COUNT($I124:$L124))&gt;0,"Avance fuera de rango 0-100%"&amp;" · ","")&amp;IF(OR(AND($J124&lt;&gt;"",$J124&lt;$I124),AND($K124&lt;&gt;"",$K124&lt;MAX($I124:$J124)),AND($L124&lt;&gt;"",$L124&lt;MAX($I124:$K124))),"Avance semanal decreciente"&amp;" · ","")&amp;IF(AND(ISNUMBER($AN124),$AN124&lt;FechaRef,IF($V124="Sub",N($X124),N($M124))&lt;1),"Vencida"&amp;" · ","")&amp;IF(AND(ObsObligatoria="Sí",ISNUMBER($AN124),$AN124&lt;FechaRef,IF($V124="Sub",N($X124),N($M124))&lt;1,$Q124=""),"Vencida sin observación"&amp;" · ",""),LEN(IF($C124="","Falta el nombre de la actividad"&amp;" · ","")&amp;IF(AND($V124="Sub",N($U124)=0),"Subactividad sin macroactividad arriba"&amp;" · ","")&amp;IF($AM124="","Sin fecha de inicio"&amp;" · ","")&amp;IF($AN124="","Sin fecha límite"&amp;" · ","")&amp;IF(AND(LEFT($C124,11)="[Jefatura] ",N($AL124)=0),"No se encuentra en la hoja de la jefatura (elíjala de nuevo en la lista)"&amp;" · ","")&amp;IF(OR(AND($E124&lt;&gt;"",NOT(ISNUMBER($E124))),AND($F124&lt;&gt;"",NOT(ISNUMBER($F124))),AND($G124&lt;&gt;"",NOT(ISNUMBER($G124)))),"Fecha no válida"&amp;" · ","")&amp;IF(AND(ISNUMBER($AM124),ISNUMBER($AN124),$AM124&gt;$AN124),"Inicio posterior a fecha límite"&amp;" · ","")&amp;IF(AND($V124="Macro",$H124&lt;&gt;"",OR(NOT(ISNUMBER($H124)),$H124&lt;0,$H124&gt;1)),"Peso fuera de rango"&amp;" · ","")&amp;IF(AND($V124="Sub",$H124&lt;&gt;""),"Las subactividades no llevan peso (valen igual dentro de su macroactividad)"&amp;" · ","")&amp;IF(AND(N($W124)&gt;0,COUNT($I124:$L124)&gt;0),"Con subactividades: deje vacías las semanas (se calculan solas)"&amp;" · ","")&amp;IF((COUNTIF($I124:$L124,"&gt;1")+COUNTIF($I124:$L124,"&lt;0")+COUNTA($I124:$L124)-COUNT($I124:$L124))&gt;0,"Avance fuera de rango 0-100%"&amp;" · ","")&amp;IF(OR(AND($J124&lt;&gt;"",$J124&lt;$I124),AND($K124&lt;&gt;"",$K124&lt;MAX($I124:$J124)),AND($L124&lt;&gt;"",$L124&lt;MAX($I124:$K124))),"Avance semanal decreciente"&amp;" · ","")&amp;IF(AND(ISNUMBER($AN124),$AN124&lt;FechaRef,IF($V124="Sub",N($X124),N($M124))&lt;1),"Vencida"&amp;" · ","")&amp;IF(AND(ObsObligatoria="Sí",ISNUMBER($AN124),$AN124&lt;FechaRef,IF($V124="Sub",N($X124),N($M124))&lt;1,$Q124=""),"Vencida sin observación"&amp;" · ",""))-3)))</f>
        <v/>
      </c>
      <c r="S124" s="64">
        <f>IF(NOT((COUNTA($B124:$D124)+COUNTA($G124:$L124)+COUNTA($Q124))&gt;0),"",IF(AND($V124="Sub",N($U124)&gt;0),IF(ISNUMBER(INDEX($AM$5:$AM$1000,$U124-4)),DATE(YEAR(INDEX($AM$5:$AM$1000,$U124-4)),MONTH(INDEX($AM$5:$AM$1000,$U124-4)),1),IF(ISNUMBER(INDEX($AN$5:$AN$1000,$U124-4)),DATE(YEAR(INDEX($AN$5:$AN$1000,$U124-4)),MONTH(INDEX($AN$5:$AN$1000,$U124-4)),1),MesCiclo)),IF(ISNUMBER($AM124),DATE(YEAR($AM124),MONTH($AM124),1),IF(ISNUMBER($AN124),DATE(YEAR($AN124),MONTH($AN124),1),MesCiclo))))</f>
        <v/>
      </c>
      <c r="T124" s="62">
        <f>IF(OR($S124="",$S124&lt;&gt;MesCiclo,$V124&lt;&gt;"Macro"),"",COUNTIFS($S$5:$S124,MesCiclo,$V$5:$V124,"Macro"))</f>
        <v/>
      </c>
      <c r="U124" s="62">
        <f>IF($V124="","",IF($V124="Macro",ROW(),IFERROR(LOOKUP(2,1/($V$5:$V124="Macro"),ROW($V$5:$V124)),0)))</f>
        <v/>
      </c>
      <c r="V124" s="62">
        <f>IF(NOT((COUNTA($B124:$D124)+COUNTA($G124:$L124)+COUNTA($Q124))&gt;0),"",IF($B124="Subactividad","Sub","Macro"))</f>
        <v/>
      </c>
      <c r="W124" s="62">
        <f>IF($V124="Macro",COUNTIFS($U$5:$U$1000,ROW(),$V$5:$V$1000,"Sub"),"")</f>
        <v/>
      </c>
      <c r="X124" s="62">
        <f>IF($V124="","",IF(ISNUMBER($G124),1,IFERROR(LOOKUP(2,1/($I124:$L124&lt;&gt;""),$I124:$L124),0)))</f>
        <v/>
      </c>
      <c r="Y124" s="62">
        <f>IF($V124="","",IF(AND(ISNUMBER($G124),$G124&lt;=IF($S124=MesCiclo,InicioCiclo,$S124+MOD(2-WEEKDAY($S124),7))+6),1,IF(ISNUMBER($I124),$I124,0)))</f>
        <v/>
      </c>
      <c r="Z124" s="62">
        <f>IF($V124="","",IF(AND(ISNUMBER($G124),$G124&lt;=IF($S124=MesCiclo,InicioCiclo,$S124+MOD(2-WEEKDAY($S124),7))+13),1,IF(ISNUMBER($J124),$J124,$Y124)))</f>
        <v/>
      </c>
      <c r="AA124" s="62">
        <f>IF($V124="","",IF(AND(ISNUMBER($G124),$G124&lt;=IF($S124=MesCiclo,InicioCiclo,$S124+MOD(2-WEEKDAY($S124),7))+20),1,IF(ISNUMBER($K124),$K124,$Z124)))</f>
        <v/>
      </c>
      <c r="AB124" s="62">
        <f>IF($V124="","",IF(AND(ISNUMBER($G124),$G124&lt;=IF($S124=MesCiclo,InicioCiclo,$S124+MOD(2-WEEKDAY($S124),7))+27),1,IF(ISNUMBER($L124),$L124,$AA124)))</f>
        <v/>
      </c>
      <c r="AC124" s="62">
        <f>IF($V124="","",IF(AND(ISNUMBER($G124),$G124&lt;=IF($S124=MesCiclo,InicioCiclo,$S124+MOD(2-WEEKDAY($S124),7))+6),1,IF(N($W124)&gt;0,AVERAGEIFS($Y$5:$Y$1000,$U$5:$U$1000,ROW(),$V$5:$V$1000,"Sub"),$Y124)))</f>
        <v/>
      </c>
      <c r="AD124" s="62">
        <f>IF($V124="","",IF(AND(ISNUMBER($G124),$G124&lt;=IF($S124=MesCiclo,InicioCiclo,$S124+MOD(2-WEEKDAY($S124),7))+13),1,IF(N($W124)&gt;0,AVERAGEIFS($Z$5:$Z$1000,$U$5:$U$1000,ROW(),$V$5:$V$1000,"Sub"),$Z124)))</f>
        <v/>
      </c>
      <c r="AE124" s="62">
        <f>IF($V124="","",IF(AND(ISNUMBER($G124),$G124&lt;=IF($S124=MesCiclo,InicioCiclo,$S124+MOD(2-WEEKDAY($S124),7))+20),1,IF(N($W124)&gt;0,AVERAGEIFS($AA$5:$AA$1000,$U$5:$U$1000,ROW(),$V$5:$V$1000,"Sub"),$AA124)))</f>
        <v/>
      </c>
      <c r="AF124" s="62">
        <f>IF($V124="","",IF(AND(ISNUMBER($G124),$G124&lt;=IF($S124=MesCiclo,InicioCiclo,$S124+MOD(2-WEEKDAY($S124),7))+27),1,IF(N($W124)&gt;0,AVERAGEIFS($AB$5:$AB$1000,$U$5:$U$1000,ROW(),$V$5:$V$1000,"Sub"),$AB124)))</f>
        <v/>
      </c>
      <c r="AG124" s="62">
        <f>IF($V124&lt;&gt;"Macro","",IF(COUNTIFS($S$5:$S$1000,$S124,$V$5:$V$1000,"Macro",$H$5:$H$1000,"&gt;0")=0,1/COUNTIFS($S$5:$S$1000,$S124,$V$5:$V$1000,"Macro"),IF(AND(ISNUMBER($H124),N($H124)&gt;0),$H124,SUMIFS($H$5:$H$1000,$S$5:$S$1000,$S124,$V$5:$V$1000,"Macro")/COUNTIFS($S$5:$S$1000,$S124,$V$5:$V$1000,"Macro",$H$5:$H$1000,"&gt;0"))/(COUNTIFS($S$5:$S$1000,$S124,$V$5:$V$1000,"Macro")*SUMIFS($H$5:$H$1000,$S$5:$S$1000,$S124,$V$5:$V$1000,"Macro")/COUNTIFS($S$5:$S$1000,$S124,$V$5:$V$1000,"Macro",$H$5:$H$1000,"&gt;0"))))</f>
        <v/>
      </c>
      <c r="AH124" s="62" t="n"/>
      <c r="AI124" s="62" t="n"/>
      <c r="AJ124" s="62" t="n"/>
      <c r="AK124" s="62" t="n"/>
      <c r="AL124" s="62">
        <f>IF(LEFT($C124,11)="[Jefatura] ",IFERROR(MATCH("Asistente Técnico de Riesgo|"&amp;MID($C124,12,500),rDname_ADM,0),0),"")</f>
        <v/>
      </c>
      <c r="AM124" s="62">
        <f>IF(N($AL124)&gt;0,INDEX(rIni_ADM,$AL124),IF(ISNUMBER($E124),$E124,""))</f>
        <v/>
      </c>
      <c r="AN124" s="62">
        <f>IF(N($AL124)&gt;0,INDEX(rLim_ADM,$AL124),IF(ISNUMBER($F124),$F124,""))</f>
        <v/>
      </c>
    </row>
    <row r="125">
      <c r="A125" s="56">
        <f>IF(NOT((COUNTA($B125:$D125)+COUNTA($G125:$L125)+COUNTA($Q125))&gt;0),"",IF($V125="Macro",COUNTIFS($V$5:$V125,"Macro",$S$5:$S125,$S125),IF(N($U125)=0,"?",COUNTIFS(INDEX($V$5:$V$1000,1):INDEX($V$5:$V$1000,$U125-4),"Macro",INDEX($S$5:$S$1000,1):INDEX($S$5:$S$1000,$U125-4),INDEX($S$5:$S$1000,$U125-4))&amp;"."&amp;COUNTIFS($U$5:$U125,$U125,$V$5:$V125,"Sub"))))</f>
        <v/>
      </c>
      <c r="B125" s="57" t="n"/>
      <c r="C125" s="58" t="n"/>
      <c r="D125" s="58" t="n"/>
      <c r="E125" s="59">
        <f>IF(N($AL125)&gt;0,INDEX(rIni_ADM,$AL125),"")</f>
        <v/>
      </c>
      <c r="F125" s="59">
        <f>IF(N($AL125)&gt;0,INDEX(rLim_ADM,$AL125),"")</f>
        <v/>
      </c>
      <c r="G125" s="59" t="n"/>
      <c r="H125" s="60" t="n"/>
      <c r="I125" s="60" t="n"/>
      <c r="J125" s="60" t="n"/>
      <c r="K125" s="60" t="n"/>
      <c r="L125" s="60" t="n"/>
      <c r="M125" s="61">
        <f>IF(NOT((COUNTA($B125:$D125)+COUNTA($G125:$L125)+COUNTA($Q125))&gt;0),"",IF($V125="Sub",IFERROR($X125/INDEX($W$5:$W$1000,$U125-4),""),IF(ISNUMBER($G125),1,IF(N($W125)&gt;0,AVERAGEIFS($X$5:$X$1000,$U$5:$U$1000,ROW(),$V$5:$V$1000,"Sub"),$X125))))</f>
        <v/>
      </c>
      <c r="N125" s="56">
        <f>IF(OR($M125="",$V125="Sub"),"",IF($M125&gt;=1,"Completado",IF($M125&gt;0,"En curso","Pendiente")))</f>
        <v/>
      </c>
      <c r="O125" s="56">
        <f>IF(OR(NOT((COUNTA($B125:$D125)+COUNTA($G125:$L125)+COUNTA($Q125))&gt;0),$V125="Sub"),"",IF(ISNUMBER($G125),IF(AND(ISNUMBER($AN125),$G125&gt;$AN125),"Cumplida con "&amp;($G125-$AN125)&amp;IF($G125-$AN125=1," día"," días")&amp;" de retraso","Cumplida"),IF(N($M125)&gt;=1,"Cumplida",IF(NOT(ISNUMBER($AN125)),"Sin fecha límite",IF($AN125&lt;FechaRef,"Vencida hace "&amp;(FechaRef-$AN125)&amp;IF(FechaRef-$AN125=1," día"," días"),IF($AN125=FechaRef,"Vence hoy",IF($AN125-FechaRef&lt;=DiasAlerta,"Vence en "&amp;($AN125-FechaRef)&amp;IF($AN125-FechaRef=1," día"," días"),"En plazo")))))))</f>
        <v/>
      </c>
      <c r="P125" s="62" t="n"/>
      <c r="Q125" s="58" t="n"/>
      <c r="R125" s="63">
        <f>IF(NOT((COUNTA($B125:$D125)+COUNTA($G125:$L125)+COUNTA($Q125))&gt;0),"",IF((IF($C125="","Falta el nombre de la actividad"&amp;" · ","")&amp;IF(AND($V125="Sub",N($U125)=0),"Subactividad sin macroactividad arriba"&amp;" · ","")&amp;IF($AM125="","Sin fecha de inicio"&amp;" · ","")&amp;IF($AN125="","Sin fecha límite"&amp;" · ","")&amp;IF(AND(LEFT($C125,11)="[Jefatura] ",N($AL125)=0),"No se encuentra en la hoja de la jefatura (elíjala de nuevo en la lista)"&amp;" · ","")&amp;IF(OR(AND($E125&lt;&gt;"",NOT(ISNUMBER($E125))),AND($F125&lt;&gt;"",NOT(ISNUMBER($F125))),AND($G125&lt;&gt;"",NOT(ISNUMBER($G125)))),"Fecha no válida"&amp;" · ","")&amp;IF(AND(ISNUMBER($AM125),ISNUMBER($AN125),$AM125&gt;$AN125),"Inicio posterior a fecha límite"&amp;" · ","")&amp;IF(AND($V125="Macro",$H125&lt;&gt;"",OR(NOT(ISNUMBER($H125)),$H125&lt;0,$H125&gt;1)),"Peso fuera de rango"&amp;" · ","")&amp;IF(AND($V125="Sub",$H125&lt;&gt;""),"Las subactividades no llevan peso (valen igual dentro de su macroactividad)"&amp;" · ","")&amp;IF(AND(N($W125)&gt;0,COUNT($I125:$L125)&gt;0),"Con subactividades: deje vacías las semanas (se calculan solas)"&amp;" · ","")&amp;IF((COUNTIF($I125:$L125,"&gt;1")+COUNTIF($I125:$L125,"&lt;0")+COUNTA($I125:$L125)-COUNT($I125:$L125))&gt;0,"Avance fuera de rango 0-100%"&amp;" · ","")&amp;IF(OR(AND($J125&lt;&gt;"",$J125&lt;$I125),AND($K125&lt;&gt;"",$K125&lt;MAX($I125:$J125)),AND($L125&lt;&gt;"",$L125&lt;MAX($I125:$K125))),"Avance semanal decreciente"&amp;" · ","")&amp;IF(AND(ISNUMBER($AN125),$AN125&lt;FechaRef,IF($V125="Sub",N($X125),N($M125))&lt;1),"Vencida"&amp;" · ","")&amp;IF(AND(ObsObligatoria="Sí",ISNUMBER($AN125),$AN125&lt;FechaRef,IF($V125="Sub",N($X125),N($M125))&lt;1,$Q125=""),"Vencida sin observación"&amp;" · ",""))="","✔ OK","⚠ "&amp;LEFT(IF($C125="","Falta el nombre de la actividad"&amp;" · ","")&amp;IF(AND($V125="Sub",N($U125)=0),"Subactividad sin macroactividad arriba"&amp;" · ","")&amp;IF($AM125="","Sin fecha de inicio"&amp;" · ","")&amp;IF($AN125="","Sin fecha límite"&amp;" · ","")&amp;IF(AND(LEFT($C125,11)="[Jefatura] ",N($AL125)=0),"No se encuentra en la hoja de la jefatura (elíjala de nuevo en la lista)"&amp;" · ","")&amp;IF(OR(AND($E125&lt;&gt;"",NOT(ISNUMBER($E125))),AND($F125&lt;&gt;"",NOT(ISNUMBER($F125))),AND($G125&lt;&gt;"",NOT(ISNUMBER($G125)))),"Fecha no válida"&amp;" · ","")&amp;IF(AND(ISNUMBER($AM125),ISNUMBER($AN125),$AM125&gt;$AN125),"Inicio posterior a fecha límite"&amp;" · ","")&amp;IF(AND($V125="Macro",$H125&lt;&gt;"",OR(NOT(ISNUMBER($H125)),$H125&lt;0,$H125&gt;1)),"Peso fuera de rango"&amp;" · ","")&amp;IF(AND($V125="Sub",$H125&lt;&gt;""),"Las subactividades no llevan peso (valen igual dentro de su macroactividad)"&amp;" · ","")&amp;IF(AND(N($W125)&gt;0,COUNT($I125:$L125)&gt;0),"Con subactividades: deje vacías las semanas (se calculan solas)"&amp;" · ","")&amp;IF((COUNTIF($I125:$L125,"&gt;1")+COUNTIF($I125:$L125,"&lt;0")+COUNTA($I125:$L125)-COUNT($I125:$L125))&gt;0,"Avance fuera de rango 0-100%"&amp;" · ","")&amp;IF(OR(AND($J125&lt;&gt;"",$J125&lt;$I125),AND($K125&lt;&gt;"",$K125&lt;MAX($I125:$J125)),AND($L125&lt;&gt;"",$L125&lt;MAX($I125:$K125))),"Avance semanal decreciente"&amp;" · ","")&amp;IF(AND(ISNUMBER($AN125),$AN125&lt;FechaRef,IF($V125="Sub",N($X125),N($M125))&lt;1),"Vencida"&amp;" · ","")&amp;IF(AND(ObsObligatoria="Sí",ISNUMBER($AN125),$AN125&lt;FechaRef,IF($V125="Sub",N($X125),N($M125))&lt;1,$Q125=""),"Vencida sin observación"&amp;" · ",""),LEN(IF($C125="","Falta el nombre de la actividad"&amp;" · ","")&amp;IF(AND($V125="Sub",N($U125)=0),"Subactividad sin macroactividad arriba"&amp;" · ","")&amp;IF($AM125="","Sin fecha de inicio"&amp;" · ","")&amp;IF($AN125="","Sin fecha límite"&amp;" · ","")&amp;IF(AND(LEFT($C125,11)="[Jefatura] ",N($AL125)=0),"No se encuentra en la hoja de la jefatura (elíjala de nuevo en la lista)"&amp;" · ","")&amp;IF(OR(AND($E125&lt;&gt;"",NOT(ISNUMBER($E125))),AND($F125&lt;&gt;"",NOT(ISNUMBER($F125))),AND($G125&lt;&gt;"",NOT(ISNUMBER($G125)))),"Fecha no válida"&amp;" · ","")&amp;IF(AND(ISNUMBER($AM125),ISNUMBER($AN125),$AM125&gt;$AN125),"Inicio posterior a fecha límite"&amp;" · ","")&amp;IF(AND($V125="Macro",$H125&lt;&gt;"",OR(NOT(ISNUMBER($H125)),$H125&lt;0,$H125&gt;1)),"Peso fuera de rango"&amp;" · ","")&amp;IF(AND($V125="Sub",$H125&lt;&gt;""),"Las subactividades no llevan peso (valen igual dentro de su macroactividad)"&amp;" · ","")&amp;IF(AND(N($W125)&gt;0,COUNT($I125:$L125)&gt;0),"Con subactividades: deje vacías las semanas (se calculan solas)"&amp;" · ","")&amp;IF((COUNTIF($I125:$L125,"&gt;1")+COUNTIF($I125:$L125,"&lt;0")+COUNTA($I125:$L125)-COUNT($I125:$L125))&gt;0,"Avance fuera de rango 0-100%"&amp;" · ","")&amp;IF(OR(AND($J125&lt;&gt;"",$J125&lt;$I125),AND($K125&lt;&gt;"",$K125&lt;MAX($I125:$J125)),AND($L125&lt;&gt;"",$L125&lt;MAX($I125:$K125))),"Avance semanal decreciente"&amp;" · ","")&amp;IF(AND(ISNUMBER($AN125),$AN125&lt;FechaRef,IF($V125="Sub",N($X125),N($M125))&lt;1),"Vencida"&amp;" · ","")&amp;IF(AND(ObsObligatoria="Sí",ISNUMBER($AN125),$AN125&lt;FechaRef,IF($V125="Sub",N($X125),N($M125))&lt;1,$Q125=""),"Vencida sin observación"&amp;" · ",""))-3)))</f>
        <v/>
      </c>
      <c r="S125" s="64">
        <f>IF(NOT((COUNTA($B125:$D125)+COUNTA($G125:$L125)+COUNTA($Q125))&gt;0),"",IF(AND($V125="Sub",N($U125)&gt;0),IF(ISNUMBER(INDEX($AM$5:$AM$1000,$U125-4)),DATE(YEAR(INDEX($AM$5:$AM$1000,$U125-4)),MONTH(INDEX($AM$5:$AM$1000,$U125-4)),1),IF(ISNUMBER(INDEX($AN$5:$AN$1000,$U125-4)),DATE(YEAR(INDEX($AN$5:$AN$1000,$U125-4)),MONTH(INDEX($AN$5:$AN$1000,$U125-4)),1),MesCiclo)),IF(ISNUMBER($AM125),DATE(YEAR($AM125),MONTH($AM125),1),IF(ISNUMBER($AN125),DATE(YEAR($AN125),MONTH($AN125),1),MesCiclo))))</f>
        <v/>
      </c>
      <c r="T125" s="62">
        <f>IF(OR($S125="",$S125&lt;&gt;MesCiclo,$V125&lt;&gt;"Macro"),"",COUNTIFS($S$5:$S125,MesCiclo,$V$5:$V125,"Macro"))</f>
        <v/>
      </c>
      <c r="U125" s="62">
        <f>IF($V125="","",IF($V125="Macro",ROW(),IFERROR(LOOKUP(2,1/($V$5:$V125="Macro"),ROW($V$5:$V125)),0)))</f>
        <v/>
      </c>
      <c r="V125" s="62">
        <f>IF(NOT((COUNTA($B125:$D125)+COUNTA($G125:$L125)+COUNTA($Q125))&gt;0),"",IF($B125="Subactividad","Sub","Macro"))</f>
        <v/>
      </c>
      <c r="W125" s="62">
        <f>IF($V125="Macro",COUNTIFS($U$5:$U$1000,ROW(),$V$5:$V$1000,"Sub"),"")</f>
        <v/>
      </c>
      <c r="X125" s="62">
        <f>IF($V125="","",IF(ISNUMBER($G125),1,IFERROR(LOOKUP(2,1/($I125:$L125&lt;&gt;""),$I125:$L125),0)))</f>
        <v/>
      </c>
      <c r="Y125" s="62">
        <f>IF($V125="","",IF(AND(ISNUMBER($G125),$G125&lt;=IF($S125=MesCiclo,InicioCiclo,$S125+MOD(2-WEEKDAY($S125),7))+6),1,IF(ISNUMBER($I125),$I125,0)))</f>
        <v/>
      </c>
      <c r="Z125" s="62">
        <f>IF($V125="","",IF(AND(ISNUMBER($G125),$G125&lt;=IF($S125=MesCiclo,InicioCiclo,$S125+MOD(2-WEEKDAY($S125),7))+13),1,IF(ISNUMBER($J125),$J125,$Y125)))</f>
        <v/>
      </c>
      <c r="AA125" s="62">
        <f>IF($V125="","",IF(AND(ISNUMBER($G125),$G125&lt;=IF($S125=MesCiclo,InicioCiclo,$S125+MOD(2-WEEKDAY($S125),7))+20),1,IF(ISNUMBER($K125),$K125,$Z125)))</f>
        <v/>
      </c>
      <c r="AB125" s="62">
        <f>IF($V125="","",IF(AND(ISNUMBER($G125),$G125&lt;=IF($S125=MesCiclo,InicioCiclo,$S125+MOD(2-WEEKDAY($S125),7))+27),1,IF(ISNUMBER($L125),$L125,$AA125)))</f>
        <v/>
      </c>
      <c r="AC125" s="62">
        <f>IF($V125="","",IF(AND(ISNUMBER($G125),$G125&lt;=IF($S125=MesCiclo,InicioCiclo,$S125+MOD(2-WEEKDAY($S125),7))+6),1,IF(N($W125)&gt;0,AVERAGEIFS($Y$5:$Y$1000,$U$5:$U$1000,ROW(),$V$5:$V$1000,"Sub"),$Y125)))</f>
        <v/>
      </c>
      <c r="AD125" s="62">
        <f>IF($V125="","",IF(AND(ISNUMBER($G125),$G125&lt;=IF($S125=MesCiclo,InicioCiclo,$S125+MOD(2-WEEKDAY($S125),7))+13),1,IF(N($W125)&gt;0,AVERAGEIFS($Z$5:$Z$1000,$U$5:$U$1000,ROW(),$V$5:$V$1000,"Sub"),$Z125)))</f>
        <v/>
      </c>
      <c r="AE125" s="62">
        <f>IF($V125="","",IF(AND(ISNUMBER($G125),$G125&lt;=IF($S125=MesCiclo,InicioCiclo,$S125+MOD(2-WEEKDAY($S125),7))+20),1,IF(N($W125)&gt;0,AVERAGEIFS($AA$5:$AA$1000,$U$5:$U$1000,ROW(),$V$5:$V$1000,"Sub"),$AA125)))</f>
        <v/>
      </c>
      <c r="AF125" s="62">
        <f>IF($V125="","",IF(AND(ISNUMBER($G125),$G125&lt;=IF($S125=MesCiclo,InicioCiclo,$S125+MOD(2-WEEKDAY($S125),7))+27),1,IF(N($W125)&gt;0,AVERAGEIFS($AB$5:$AB$1000,$U$5:$U$1000,ROW(),$V$5:$V$1000,"Sub"),$AB125)))</f>
        <v/>
      </c>
      <c r="AG125" s="62">
        <f>IF($V125&lt;&gt;"Macro","",IF(COUNTIFS($S$5:$S$1000,$S125,$V$5:$V$1000,"Macro",$H$5:$H$1000,"&gt;0")=0,1/COUNTIFS($S$5:$S$1000,$S125,$V$5:$V$1000,"Macro"),IF(AND(ISNUMBER($H125),N($H125)&gt;0),$H125,SUMIFS($H$5:$H$1000,$S$5:$S$1000,$S125,$V$5:$V$1000,"Macro")/COUNTIFS($S$5:$S$1000,$S125,$V$5:$V$1000,"Macro",$H$5:$H$1000,"&gt;0"))/(COUNTIFS($S$5:$S$1000,$S125,$V$5:$V$1000,"Macro")*SUMIFS($H$5:$H$1000,$S$5:$S$1000,$S125,$V$5:$V$1000,"Macro")/COUNTIFS($S$5:$S$1000,$S125,$V$5:$V$1000,"Macro",$H$5:$H$1000,"&gt;0"))))</f>
        <v/>
      </c>
      <c r="AH125" s="62" t="n"/>
      <c r="AI125" s="62" t="n"/>
      <c r="AJ125" s="62" t="n"/>
      <c r="AK125" s="62" t="n"/>
      <c r="AL125" s="62">
        <f>IF(LEFT($C125,11)="[Jefatura] ",IFERROR(MATCH("Asistente Técnico de Riesgo|"&amp;MID($C125,12,500),rDname_ADM,0),0),"")</f>
        <v/>
      </c>
      <c r="AM125" s="62">
        <f>IF(N($AL125)&gt;0,INDEX(rIni_ADM,$AL125),IF(ISNUMBER($E125),$E125,""))</f>
        <v/>
      </c>
      <c r="AN125" s="62">
        <f>IF(N($AL125)&gt;0,INDEX(rLim_ADM,$AL125),IF(ISNUMBER($F125),$F125,""))</f>
        <v/>
      </c>
    </row>
    <row r="126">
      <c r="A126" s="56">
        <f>IF(NOT((COUNTA($B126:$D126)+COUNTA($G126:$L126)+COUNTA($Q126))&gt;0),"",IF($V126="Macro",COUNTIFS($V$5:$V126,"Macro",$S$5:$S126,$S126),IF(N($U126)=0,"?",COUNTIFS(INDEX($V$5:$V$1000,1):INDEX($V$5:$V$1000,$U126-4),"Macro",INDEX($S$5:$S$1000,1):INDEX($S$5:$S$1000,$U126-4),INDEX($S$5:$S$1000,$U126-4))&amp;"."&amp;COUNTIFS($U$5:$U126,$U126,$V$5:$V126,"Sub"))))</f>
        <v/>
      </c>
      <c r="B126" s="57" t="n"/>
      <c r="C126" s="58" t="n"/>
      <c r="D126" s="58" t="n"/>
      <c r="E126" s="59">
        <f>IF(N($AL126)&gt;0,INDEX(rIni_ADM,$AL126),"")</f>
        <v/>
      </c>
      <c r="F126" s="59">
        <f>IF(N($AL126)&gt;0,INDEX(rLim_ADM,$AL126),"")</f>
        <v/>
      </c>
      <c r="G126" s="59" t="n"/>
      <c r="H126" s="60" t="n"/>
      <c r="I126" s="60" t="n"/>
      <c r="J126" s="60" t="n"/>
      <c r="K126" s="60" t="n"/>
      <c r="L126" s="60" t="n"/>
      <c r="M126" s="61">
        <f>IF(NOT((COUNTA($B126:$D126)+COUNTA($G126:$L126)+COUNTA($Q126))&gt;0),"",IF($V126="Sub",IFERROR($X126/INDEX($W$5:$W$1000,$U126-4),""),IF(ISNUMBER($G126),1,IF(N($W126)&gt;0,AVERAGEIFS($X$5:$X$1000,$U$5:$U$1000,ROW(),$V$5:$V$1000,"Sub"),$X126))))</f>
        <v/>
      </c>
      <c r="N126" s="56">
        <f>IF(OR($M126="",$V126="Sub"),"",IF($M126&gt;=1,"Completado",IF($M126&gt;0,"En curso","Pendiente")))</f>
        <v/>
      </c>
      <c r="O126" s="56">
        <f>IF(OR(NOT((COUNTA($B126:$D126)+COUNTA($G126:$L126)+COUNTA($Q126))&gt;0),$V126="Sub"),"",IF(ISNUMBER($G126),IF(AND(ISNUMBER($AN126),$G126&gt;$AN126),"Cumplida con "&amp;($G126-$AN126)&amp;IF($G126-$AN126=1," día"," días")&amp;" de retraso","Cumplida"),IF(N($M126)&gt;=1,"Cumplida",IF(NOT(ISNUMBER($AN126)),"Sin fecha límite",IF($AN126&lt;FechaRef,"Vencida hace "&amp;(FechaRef-$AN126)&amp;IF(FechaRef-$AN126=1," día"," días"),IF($AN126=FechaRef,"Vence hoy",IF($AN126-FechaRef&lt;=DiasAlerta,"Vence en "&amp;($AN126-FechaRef)&amp;IF($AN126-FechaRef=1," día"," días"),"En plazo")))))))</f>
        <v/>
      </c>
      <c r="P126" s="62" t="n"/>
      <c r="Q126" s="58" t="n"/>
      <c r="R126" s="63">
        <f>IF(NOT((COUNTA($B126:$D126)+COUNTA($G126:$L126)+COUNTA($Q126))&gt;0),"",IF((IF($C126="","Falta el nombre de la actividad"&amp;" · ","")&amp;IF(AND($V126="Sub",N($U126)=0),"Subactividad sin macroactividad arriba"&amp;" · ","")&amp;IF($AM126="","Sin fecha de inicio"&amp;" · ","")&amp;IF($AN126="","Sin fecha límite"&amp;" · ","")&amp;IF(AND(LEFT($C126,11)="[Jefatura] ",N($AL126)=0),"No se encuentra en la hoja de la jefatura (elíjala de nuevo en la lista)"&amp;" · ","")&amp;IF(OR(AND($E126&lt;&gt;"",NOT(ISNUMBER($E126))),AND($F126&lt;&gt;"",NOT(ISNUMBER($F126))),AND($G126&lt;&gt;"",NOT(ISNUMBER($G126)))),"Fecha no válida"&amp;" · ","")&amp;IF(AND(ISNUMBER($AM126),ISNUMBER($AN126),$AM126&gt;$AN126),"Inicio posterior a fecha límite"&amp;" · ","")&amp;IF(AND($V126="Macro",$H126&lt;&gt;"",OR(NOT(ISNUMBER($H126)),$H126&lt;0,$H126&gt;1)),"Peso fuera de rango"&amp;" · ","")&amp;IF(AND($V126="Sub",$H126&lt;&gt;""),"Las subactividades no llevan peso (valen igual dentro de su macroactividad)"&amp;" · ","")&amp;IF(AND(N($W126)&gt;0,COUNT($I126:$L126)&gt;0),"Con subactividades: deje vacías las semanas (se calculan solas)"&amp;" · ","")&amp;IF((COUNTIF($I126:$L126,"&gt;1")+COUNTIF($I126:$L126,"&lt;0")+COUNTA($I126:$L126)-COUNT($I126:$L126))&gt;0,"Avance fuera de rango 0-100%"&amp;" · ","")&amp;IF(OR(AND($J126&lt;&gt;"",$J126&lt;$I126),AND($K126&lt;&gt;"",$K126&lt;MAX($I126:$J126)),AND($L126&lt;&gt;"",$L126&lt;MAX($I126:$K126))),"Avance semanal decreciente"&amp;" · ","")&amp;IF(AND(ISNUMBER($AN126),$AN126&lt;FechaRef,IF($V126="Sub",N($X126),N($M126))&lt;1),"Vencida"&amp;" · ","")&amp;IF(AND(ObsObligatoria="Sí",ISNUMBER($AN126),$AN126&lt;FechaRef,IF($V126="Sub",N($X126),N($M126))&lt;1,$Q126=""),"Vencida sin observación"&amp;" · ",""))="","✔ OK","⚠ "&amp;LEFT(IF($C126="","Falta el nombre de la actividad"&amp;" · ","")&amp;IF(AND($V126="Sub",N($U126)=0),"Subactividad sin macroactividad arriba"&amp;" · ","")&amp;IF($AM126="","Sin fecha de inicio"&amp;" · ","")&amp;IF($AN126="","Sin fecha límite"&amp;" · ","")&amp;IF(AND(LEFT($C126,11)="[Jefatura] ",N($AL126)=0),"No se encuentra en la hoja de la jefatura (elíjala de nuevo en la lista)"&amp;" · ","")&amp;IF(OR(AND($E126&lt;&gt;"",NOT(ISNUMBER($E126))),AND($F126&lt;&gt;"",NOT(ISNUMBER($F126))),AND($G126&lt;&gt;"",NOT(ISNUMBER($G126)))),"Fecha no válida"&amp;" · ","")&amp;IF(AND(ISNUMBER($AM126),ISNUMBER($AN126),$AM126&gt;$AN126),"Inicio posterior a fecha límite"&amp;" · ","")&amp;IF(AND($V126="Macro",$H126&lt;&gt;"",OR(NOT(ISNUMBER($H126)),$H126&lt;0,$H126&gt;1)),"Peso fuera de rango"&amp;" · ","")&amp;IF(AND($V126="Sub",$H126&lt;&gt;""),"Las subactividades no llevan peso (valen igual dentro de su macroactividad)"&amp;" · ","")&amp;IF(AND(N($W126)&gt;0,COUNT($I126:$L126)&gt;0),"Con subactividades: deje vacías las semanas (se calculan solas)"&amp;" · ","")&amp;IF((COUNTIF($I126:$L126,"&gt;1")+COUNTIF($I126:$L126,"&lt;0")+COUNTA($I126:$L126)-COUNT($I126:$L126))&gt;0,"Avance fuera de rango 0-100%"&amp;" · ","")&amp;IF(OR(AND($J126&lt;&gt;"",$J126&lt;$I126),AND($K126&lt;&gt;"",$K126&lt;MAX($I126:$J126)),AND($L126&lt;&gt;"",$L126&lt;MAX($I126:$K126))),"Avance semanal decreciente"&amp;" · ","")&amp;IF(AND(ISNUMBER($AN126),$AN126&lt;FechaRef,IF($V126="Sub",N($X126),N($M126))&lt;1),"Vencida"&amp;" · ","")&amp;IF(AND(ObsObligatoria="Sí",ISNUMBER($AN126),$AN126&lt;FechaRef,IF($V126="Sub",N($X126),N($M126))&lt;1,$Q126=""),"Vencida sin observación"&amp;" · ",""),LEN(IF($C126="","Falta el nombre de la actividad"&amp;" · ","")&amp;IF(AND($V126="Sub",N($U126)=0),"Subactividad sin macroactividad arriba"&amp;" · ","")&amp;IF($AM126="","Sin fecha de inicio"&amp;" · ","")&amp;IF($AN126="","Sin fecha límite"&amp;" · ","")&amp;IF(AND(LEFT($C126,11)="[Jefatura] ",N($AL126)=0),"No se encuentra en la hoja de la jefatura (elíjala de nuevo en la lista)"&amp;" · ","")&amp;IF(OR(AND($E126&lt;&gt;"",NOT(ISNUMBER($E126))),AND($F126&lt;&gt;"",NOT(ISNUMBER($F126))),AND($G126&lt;&gt;"",NOT(ISNUMBER($G126)))),"Fecha no válida"&amp;" · ","")&amp;IF(AND(ISNUMBER($AM126),ISNUMBER($AN126),$AM126&gt;$AN126),"Inicio posterior a fecha límite"&amp;" · ","")&amp;IF(AND($V126="Macro",$H126&lt;&gt;"",OR(NOT(ISNUMBER($H126)),$H126&lt;0,$H126&gt;1)),"Peso fuera de rango"&amp;" · ","")&amp;IF(AND($V126="Sub",$H126&lt;&gt;""),"Las subactividades no llevan peso (valen igual dentro de su macroactividad)"&amp;" · ","")&amp;IF(AND(N($W126)&gt;0,COUNT($I126:$L126)&gt;0),"Con subactividades: deje vacías las semanas (se calculan solas)"&amp;" · ","")&amp;IF((COUNTIF($I126:$L126,"&gt;1")+COUNTIF($I126:$L126,"&lt;0")+COUNTA($I126:$L126)-COUNT($I126:$L126))&gt;0,"Avance fuera de rango 0-100%"&amp;" · ","")&amp;IF(OR(AND($J126&lt;&gt;"",$J126&lt;$I126),AND($K126&lt;&gt;"",$K126&lt;MAX($I126:$J126)),AND($L126&lt;&gt;"",$L126&lt;MAX($I126:$K126))),"Avance semanal decreciente"&amp;" · ","")&amp;IF(AND(ISNUMBER($AN126),$AN126&lt;FechaRef,IF($V126="Sub",N($X126),N($M126))&lt;1),"Vencida"&amp;" · ","")&amp;IF(AND(ObsObligatoria="Sí",ISNUMBER($AN126),$AN126&lt;FechaRef,IF($V126="Sub",N($X126),N($M126))&lt;1,$Q126=""),"Vencida sin observación"&amp;" · ",""))-3)))</f>
        <v/>
      </c>
      <c r="S126" s="64">
        <f>IF(NOT((COUNTA($B126:$D126)+COUNTA($G126:$L126)+COUNTA($Q126))&gt;0),"",IF(AND($V126="Sub",N($U126)&gt;0),IF(ISNUMBER(INDEX($AM$5:$AM$1000,$U126-4)),DATE(YEAR(INDEX($AM$5:$AM$1000,$U126-4)),MONTH(INDEX($AM$5:$AM$1000,$U126-4)),1),IF(ISNUMBER(INDEX($AN$5:$AN$1000,$U126-4)),DATE(YEAR(INDEX($AN$5:$AN$1000,$U126-4)),MONTH(INDEX($AN$5:$AN$1000,$U126-4)),1),MesCiclo)),IF(ISNUMBER($AM126),DATE(YEAR($AM126),MONTH($AM126),1),IF(ISNUMBER($AN126),DATE(YEAR($AN126),MONTH($AN126),1),MesCiclo))))</f>
        <v/>
      </c>
      <c r="T126" s="62">
        <f>IF(OR($S126="",$S126&lt;&gt;MesCiclo,$V126&lt;&gt;"Macro"),"",COUNTIFS($S$5:$S126,MesCiclo,$V$5:$V126,"Macro"))</f>
        <v/>
      </c>
      <c r="U126" s="62">
        <f>IF($V126="","",IF($V126="Macro",ROW(),IFERROR(LOOKUP(2,1/($V$5:$V126="Macro"),ROW($V$5:$V126)),0)))</f>
        <v/>
      </c>
      <c r="V126" s="62">
        <f>IF(NOT((COUNTA($B126:$D126)+COUNTA($G126:$L126)+COUNTA($Q126))&gt;0),"",IF($B126="Subactividad","Sub","Macro"))</f>
        <v/>
      </c>
      <c r="W126" s="62">
        <f>IF($V126="Macro",COUNTIFS($U$5:$U$1000,ROW(),$V$5:$V$1000,"Sub"),"")</f>
        <v/>
      </c>
      <c r="X126" s="62">
        <f>IF($V126="","",IF(ISNUMBER($G126),1,IFERROR(LOOKUP(2,1/($I126:$L126&lt;&gt;""),$I126:$L126),0)))</f>
        <v/>
      </c>
      <c r="Y126" s="62">
        <f>IF($V126="","",IF(AND(ISNUMBER($G126),$G126&lt;=IF($S126=MesCiclo,InicioCiclo,$S126+MOD(2-WEEKDAY($S126),7))+6),1,IF(ISNUMBER($I126),$I126,0)))</f>
        <v/>
      </c>
      <c r="Z126" s="62">
        <f>IF($V126="","",IF(AND(ISNUMBER($G126),$G126&lt;=IF($S126=MesCiclo,InicioCiclo,$S126+MOD(2-WEEKDAY($S126),7))+13),1,IF(ISNUMBER($J126),$J126,$Y126)))</f>
        <v/>
      </c>
      <c r="AA126" s="62">
        <f>IF($V126="","",IF(AND(ISNUMBER($G126),$G126&lt;=IF($S126=MesCiclo,InicioCiclo,$S126+MOD(2-WEEKDAY($S126),7))+20),1,IF(ISNUMBER($K126),$K126,$Z126)))</f>
        <v/>
      </c>
      <c r="AB126" s="62">
        <f>IF($V126="","",IF(AND(ISNUMBER($G126),$G126&lt;=IF($S126=MesCiclo,InicioCiclo,$S126+MOD(2-WEEKDAY($S126),7))+27),1,IF(ISNUMBER($L126),$L126,$AA126)))</f>
        <v/>
      </c>
      <c r="AC126" s="62">
        <f>IF($V126="","",IF(AND(ISNUMBER($G126),$G126&lt;=IF($S126=MesCiclo,InicioCiclo,$S126+MOD(2-WEEKDAY($S126),7))+6),1,IF(N($W126)&gt;0,AVERAGEIFS($Y$5:$Y$1000,$U$5:$U$1000,ROW(),$V$5:$V$1000,"Sub"),$Y126)))</f>
        <v/>
      </c>
      <c r="AD126" s="62">
        <f>IF($V126="","",IF(AND(ISNUMBER($G126),$G126&lt;=IF($S126=MesCiclo,InicioCiclo,$S126+MOD(2-WEEKDAY($S126),7))+13),1,IF(N($W126)&gt;0,AVERAGEIFS($Z$5:$Z$1000,$U$5:$U$1000,ROW(),$V$5:$V$1000,"Sub"),$Z126)))</f>
        <v/>
      </c>
      <c r="AE126" s="62">
        <f>IF($V126="","",IF(AND(ISNUMBER($G126),$G126&lt;=IF($S126=MesCiclo,InicioCiclo,$S126+MOD(2-WEEKDAY($S126),7))+20),1,IF(N($W126)&gt;0,AVERAGEIFS($AA$5:$AA$1000,$U$5:$U$1000,ROW(),$V$5:$V$1000,"Sub"),$AA126)))</f>
        <v/>
      </c>
      <c r="AF126" s="62">
        <f>IF($V126="","",IF(AND(ISNUMBER($G126),$G126&lt;=IF($S126=MesCiclo,InicioCiclo,$S126+MOD(2-WEEKDAY($S126),7))+27),1,IF(N($W126)&gt;0,AVERAGEIFS($AB$5:$AB$1000,$U$5:$U$1000,ROW(),$V$5:$V$1000,"Sub"),$AB126)))</f>
        <v/>
      </c>
      <c r="AG126" s="62">
        <f>IF($V126&lt;&gt;"Macro","",IF(COUNTIFS($S$5:$S$1000,$S126,$V$5:$V$1000,"Macro",$H$5:$H$1000,"&gt;0")=0,1/COUNTIFS($S$5:$S$1000,$S126,$V$5:$V$1000,"Macro"),IF(AND(ISNUMBER($H126),N($H126)&gt;0),$H126,SUMIFS($H$5:$H$1000,$S$5:$S$1000,$S126,$V$5:$V$1000,"Macro")/COUNTIFS($S$5:$S$1000,$S126,$V$5:$V$1000,"Macro",$H$5:$H$1000,"&gt;0"))/(COUNTIFS($S$5:$S$1000,$S126,$V$5:$V$1000,"Macro")*SUMIFS($H$5:$H$1000,$S$5:$S$1000,$S126,$V$5:$V$1000,"Macro")/COUNTIFS($S$5:$S$1000,$S126,$V$5:$V$1000,"Macro",$H$5:$H$1000,"&gt;0"))))</f>
        <v/>
      </c>
      <c r="AH126" s="62" t="n"/>
      <c r="AI126" s="62" t="n"/>
      <c r="AJ126" s="62" t="n"/>
      <c r="AK126" s="62" t="n"/>
      <c r="AL126" s="62">
        <f>IF(LEFT($C126,11)="[Jefatura] ",IFERROR(MATCH("Asistente Técnico de Riesgo|"&amp;MID($C126,12,500),rDname_ADM,0),0),"")</f>
        <v/>
      </c>
      <c r="AM126" s="62">
        <f>IF(N($AL126)&gt;0,INDEX(rIni_ADM,$AL126),IF(ISNUMBER($E126),$E126,""))</f>
        <v/>
      </c>
      <c r="AN126" s="62">
        <f>IF(N($AL126)&gt;0,INDEX(rLim_ADM,$AL126),IF(ISNUMBER($F126),$F126,""))</f>
        <v/>
      </c>
    </row>
    <row r="127">
      <c r="A127" s="56">
        <f>IF(NOT((COUNTA($B127:$D127)+COUNTA($G127:$L127)+COUNTA($Q127))&gt;0),"",IF($V127="Macro",COUNTIFS($V$5:$V127,"Macro",$S$5:$S127,$S127),IF(N($U127)=0,"?",COUNTIFS(INDEX($V$5:$V$1000,1):INDEX($V$5:$V$1000,$U127-4),"Macro",INDEX($S$5:$S$1000,1):INDEX($S$5:$S$1000,$U127-4),INDEX($S$5:$S$1000,$U127-4))&amp;"."&amp;COUNTIFS($U$5:$U127,$U127,$V$5:$V127,"Sub"))))</f>
        <v/>
      </c>
      <c r="B127" s="57" t="n"/>
      <c r="C127" s="58" t="n"/>
      <c r="D127" s="58" t="n"/>
      <c r="E127" s="59">
        <f>IF(N($AL127)&gt;0,INDEX(rIni_ADM,$AL127),"")</f>
        <v/>
      </c>
      <c r="F127" s="59">
        <f>IF(N($AL127)&gt;0,INDEX(rLim_ADM,$AL127),"")</f>
        <v/>
      </c>
      <c r="G127" s="59" t="n"/>
      <c r="H127" s="60" t="n"/>
      <c r="I127" s="60" t="n"/>
      <c r="J127" s="60" t="n"/>
      <c r="K127" s="60" t="n"/>
      <c r="L127" s="60" t="n"/>
      <c r="M127" s="61">
        <f>IF(NOT((COUNTA($B127:$D127)+COUNTA($G127:$L127)+COUNTA($Q127))&gt;0),"",IF($V127="Sub",IFERROR($X127/INDEX($W$5:$W$1000,$U127-4),""),IF(ISNUMBER($G127),1,IF(N($W127)&gt;0,AVERAGEIFS($X$5:$X$1000,$U$5:$U$1000,ROW(),$V$5:$V$1000,"Sub"),$X127))))</f>
        <v/>
      </c>
      <c r="N127" s="56">
        <f>IF(OR($M127="",$V127="Sub"),"",IF($M127&gt;=1,"Completado",IF($M127&gt;0,"En curso","Pendiente")))</f>
        <v/>
      </c>
      <c r="O127" s="56">
        <f>IF(OR(NOT((COUNTA($B127:$D127)+COUNTA($G127:$L127)+COUNTA($Q127))&gt;0),$V127="Sub"),"",IF(ISNUMBER($G127),IF(AND(ISNUMBER($AN127),$G127&gt;$AN127),"Cumplida con "&amp;($G127-$AN127)&amp;IF($G127-$AN127=1," día"," días")&amp;" de retraso","Cumplida"),IF(N($M127)&gt;=1,"Cumplida",IF(NOT(ISNUMBER($AN127)),"Sin fecha límite",IF($AN127&lt;FechaRef,"Vencida hace "&amp;(FechaRef-$AN127)&amp;IF(FechaRef-$AN127=1," día"," días"),IF($AN127=FechaRef,"Vence hoy",IF($AN127-FechaRef&lt;=DiasAlerta,"Vence en "&amp;($AN127-FechaRef)&amp;IF($AN127-FechaRef=1," día"," días"),"En plazo")))))))</f>
        <v/>
      </c>
      <c r="P127" s="62" t="n"/>
      <c r="Q127" s="58" t="n"/>
      <c r="R127" s="63">
        <f>IF(NOT((COUNTA($B127:$D127)+COUNTA($G127:$L127)+COUNTA($Q127))&gt;0),"",IF((IF($C127="","Falta el nombre de la actividad"&amp;" · ","")&amp;IF(AND($V127="Sub",N($U127)=0),"Subactividad sin macroactividad arriba"&amp;" · ","")&amp;IF($AM127="","Sin fecha de inicio"&amp;" · ","")&amp;IF($AN127="","Sin fecha límite"&amp;" · ","")&amp;IF(AND(LEFT($C127,11)="[Jefatura] ",N($AL127)=0),"No se encuentra en la hoja de la jefatura (elíjala de nuevo en la lista)"&amp;" · ","")&amp;IF(OR(AND($E127&lt;&gt;"",NOT(ISNUMBER($E127))),AND($F127&lt;&gt;"",NOT(ISNUMBER($F127))),AND($G127&lt;&gt;"",NOT(ISNUMBER($G127)))),"Fecha no válida"&amp;" · ","")&amp;IF(AND(ISNUMBER($AM127),ISNUMBER($AN127),$AM127&gt;$AN127),"Inicio posterior a fecha límite"&amp;" · ","")&amp;IF(AND($V127="Macro",$H127&lt;&gt;"",OR(NOT(ISNUMBER($H127)),$H127&lt;0,$H127&gt;1)),"Peso fuera de rango"&amp;" · ","")&amp;IF(AND($V127="Sub",$H127&lt;&gt;""),"Las subactividades no llevan peso (valen igual dentro de su macroactividad)"&amp;" · ","")&amp;IF(AND(N($W127)&gt;0,COUNT($I127:$L127)&gt;0),"Con subactividades: deje vacías las semanas (se calculan solas)"&amp;" · ","")&amp;IF((COUNTIF($I127:$L127,"&gt;1")+COUNTIF($I127:$L127,"&lt;0")+COUNTA($I127:$L127)-COUNT($I127:$L127))&gt;0,"Avance fuera de rango 0-100%"&amp;" · ","")&amp;IF(OR(AND($J127&lt;&gt;"",$J127&lt;$I127),AND($K127&lt;&gt;"",$K127&lt;MAX($I127:$J127)),AND($L127&lt;&gt;"",$L127&lt;MAX($I127:$K127))),"Avance semanal decreciente"&amp;" · ","")&amp;IF(AND(ISNUMBER($AN127),$AN127&lt;FechaRef,IF($V127="Sub",N($X127),N($M127))&lt;1),"Vencida"&amp;" · ","")&amp;IF(AND(ObsObligatoria="Sí",ISNUMBER($AN127),$AN127&lt;FechaRef,IF($V127="Sub",N($X127),N($M127))&lt;1,$Q127=""),"Vencida sin observación"&amp;" · ",""))="","✔ OK","⚠ "&amp;LEFT(IF($C127="","Falta el nombre de la actividad"&amp;" · ","")&amp;IF(AND($V127="Sub",N($U127)=0),"Subactividad sin macroactividad arriba"&amp;" · ","")&amp;IF($AM127="","Sin fecha de inicio"&amp;" · ","")&amp;IF($AN127="","Sin fecha límite"&amp;" · ","")&amp;IF(AND(LEFT($C127,11)="[Jefatura] ",N($AL127)=0),"No se encuentra en la hoja de la jefatura (elíjala de nuevo en la lista)"&amp;" · ","")&amp;IF(OR(AND($E127&lt;&gt;"",NOT(ISNUMBER($E127))),AND($F127&lt;&gt;"",NOT(ISNUMBER($F127))),AND($G127&lt;&gt;"",NOT(ISNUMBER($G127)))),"Fecha no válida"&amp;" · ","")&amp;IF(AND(ISNUMBER($AM127),ISNUMBER($AN127),$AM127&gt;$AN127),"Inicio posterior a fecha límite"&amp;" · ","")&amp;IF(AND($V127="Macro",$H127&lt;&gt;"",OR(NOT(ISNUMBER($H127)),$H127&lt;0,$H127&gt;1)),"Peso fuera de rango"&amp;" · ","")&amp;IF(AND($V127="Sub",$H127&lt;&gt;""),"Las subactividades no llevan peso (valen igual dentro de su macroactividad)"&amp;" · ","")&amp;IF(AND(N($W127)&gt;0,COUNT($I127:$L127)&gt;0),"Con subactividades: deje vacías las semanas (se calculan solas)"&amp;" · ","")&amp;IF((COUNTIF($I127:$L127,"&gt;1")+COUNTIF($I127:$L127,"&lt;0")+COUNTA($I127:$L127)-COUNT($I127:$L127))&gt;0,"Avance fuera de rango 0-100%"&amp;" · ","")&amp;IF(OR(AND($J127&lt;&gt;"",$J127&lt;$I127),AND($K127&lt;&gt;"",$K127&lt;MAX($I127:$J127)),AND($L127&lt;&gt;"",$L127&lt;MAX($I127:$K127))),"Avance semanal decreciente"&amp;" · ","")&amp;IF(AND(ISNUMBER($AN127),$AN127&lt;FechaRef,IF($V127="Sub",N($X127),N($M127))&lt;1),"Vencida"&amp;" · ","")&amp;IF(AND(ObsObligatoria="Sí",ISNUMBER($AN127),$AN127&lt;FechaRef,IF($V127="Sub",N($X127),N($M127))&lt;1,$Q127=""),"Vencida sin observación"&amp;" · ",""),LEN(IF($C127="","Falta el nombre de la actividad"&amp;" · ","")&amp;IF(AND($V127="Sub",N($U127)=0),"Subactividad sin macroactividad arriba"&amp;" · ","")&amp;IF($AM127="","Sin fecha de inicio"&amp;" · ","")&amp;IF($AN127="","Sin fecha límite"&amp;" · ","")&amp;IF(AND(LEFT($C127,11)="[Jefatura] ",N($AL127)=0),"No se encuentra en la hoja de la jefatura (elíjala de nuevo en la lista)"&amp;" · ","")&amp;IF(OR(AND($E127&lt;&gt;"",NOT(ISNUMBER($E127))),AND($F127&lt;&gt;"",NOT(ISNUMBER($F127))),AND($G127&lt;&gt;"",NOT(ISNUMBER($G127)))),"Fecha no válida"&amp;" · ","")&amp;IF(AND(ISNUMBER($AM127),ISNUMBER($AN127),$AM127&gt;$AN127),"Inicio posterior a fecha límite"&amp;" · ","")&amp;IF(AND($V127="Macro",$H127&lt;&gt;"",OR(NOT(ISNUMBER($H127)),$H127&lt;0,$H127&gt;1)),"Peso fuera de rango"&amp;" · ","")&amp;IF(AND($V127="Sub",$H127&lt;&gt;""),"Las subactividades no llevan peso (valen igual dentro de su macroactividad)"&amp;" · ","")&amp;IF(AND(N($W127)&gt;0,COUNT($I127:$L127)&gt;0),"Con subactividades: deje vacías las semanas (se calculan solas)"&amp;" · ","")&amp;IF((COUNTIF($I127:$L127,"&gt;1")+COUNTIF($I127:$L127,"&lt;0")+COUNTA($I127:$L127)-COUNT($I127:$L127))&gt;0,"Avance fuera de rango 0-100%"&amp;" · ","")&amp;IF(OR(AND($J127&lt;&gt;"",$J127&lt;$I127),AND($K127&lt;&gt;"",$K127&lt;MAX($I127:$J127)),AND($L127&lt;&gt;"",$L127&lt;MAX($I127:$K127))),"Avance semanal decreciente"&amp;" · ","")&amp;IF(AND(ISNUMBER($AN127),$AN127&lt;FechaRef,IF($V127="Sub",N($X127),N($M127))&lt;1),"Vencida"&amp;" · ","")&amp;IF(AND(ObsObligatoria="Sí",ISNUMBER($AN127),$AN127&lt;FechaRef,IF($V127="Sub",N($X127),N($M127))&lt;1,$Q127=""),"Vencida sin observación"&amp;" · ",""))-3)))</f>
        <v/>
      </c>
      <c r="S127" s="64">
        <f>IF(NOT((COUNTA($B127:$D127)+COUNTA($G127:$L127)+COUNTA($Q127))&gt;0),"",IF(AND($V127="Sub",N($U127)&gt;0),IF(ISNUMBER(INDEX($AM$5:$AM$1000,$U127-4)),DATE(YEAR(INDEX($AM$5:$AM$1000,$U127-4)),MONTH(INDEX($AM$5:$AM$1000,$U127-4)),1),IF(ISNUMBER(INDEX($AN$5:$AN$1000,$U127-4)),DATE(YEAR(INDEX($AN$5:$AN$1000,$U127-4)),MONTH(INDEX($AN$5:$AN$1000,$U127-4)),1),MesCiclo)),IF(ISNUMBER($AM127),DATE(YEAR($AM127),MONTH($AM127),1),IF(ISNUMBER($AN127),DATE(YEAR($AN127),MONTH($AN127),1),MesCiclo))))</f>
        <v/>
      </c>
      <c r="T127" s="62">
        <f>IF(OR($S127="",$S127&lt;&gt;MesCiclo,$V127&lt;&gt;"Macro"),"",COUNTIFS($S$5:$S127,MesCiclo,$V$5:$V127,"Macro"))</f>
        <v/>
      </c>
      <c r="U127" s="62">
        <f>IF($V127="","",IF($V127="Macro",ROW(),IFERROR(LOOKUP(2,1/($V$5:$V127="Macro"),ROW($V$5:$V127)),0)))</f>
        <v/>
      </c>
      <c r="V127" s="62">
        <f>IF(NOT((COUNTA($B127:$D127)+COUNTA($G127:$L127)+COUNTA($Q127))&gt;0),"",IF($B127="Subactividad","Sub","Macro"))</f>
        <v/>
      </c>
      <c r="W127" s="62">
        <f>IF($V127="Macro",COUNTIFS($U$5:$U$1000,ROW(),$V$5:$V$1000,"Sub"),"")</f>
        <v/>
      </c>
      <c r="X127" s="62">
        <f>IF($V127="","",IF(ISNUMBER($G127),1,IFERROR(LOOKUP(2,1/($I127:$L127&lt;&gt;""),$I127:$L127),0)))</f>
        <v/>
      </c>
      <c r="Y127" s="62">
        <f>IF($V127="","",IF(AND(ISNUMBER($G127),$G127&lt;=IF($S127=MesCiclo,InicioCiclo,$S127+MOD(2-WEEKDAY($S127),7))+6),1,IF(ISNUMBER($I127),$I127,0)))</f>
        <v/>
      </c>
      <c r="Z127" s="62">
        <f>IF($V127="","",IF(AND(ISNUMBER($G127),$G127&lt;=IF($S127=MesCiclo,InicioCiclo,$S127+MOD(2-WEEKDAY($S127),7))+13),1,IF(ISNUMBER($J127),$J127,$Y127)))</f>
        <v/>
      </c>
      <c r="AA127" s="62">
        <f>IF($V127="","",IF(AND(ISNUMBER($G127),$G127&lt;=IF($S127=MesCiclo,InicioCiclo,$S127+MOD(2-WEEKDAY($S127),7))+20),1,IF(ISNUMBER($K127),$K127,$Z127)))</f>
        <v/>
      </c>
      <c r="AB127" s="62">
        <f>IF($V127="","",IF(AND(ISNUMBER($G127),$G127&lt;=IF($S127=MesCiclo,InicioCiclo,$S127+MOD(2-WEEKDAY($S127),7))+27),1,IF(ISNUMBER($L127),$L127,$AA127)))</f>
        <v/>
      </c>
      <c r="AC127" s="62">
        <f>IF($V127="","",IF(AND(ISNUMBER($G127),$G127&lt;=IF($S127=MesCiclo,InicioCiclo,$S127+MOD(2-WEEKDAY($S127),7))+6),1,IF(N($W127)&gt;0,AVERAGEIFS($Y$5:$Y$1000,$U$5:$U$1000,ROW(),$V$5:$V$1000,"Sub"),$Y127)))</f>
        <v/>
      </c>
      <c r="AD127" s="62">
        <f>IF($V127="","",IF(AND(ISNUMBER($G127),$G127&lt;=IF($S127=MesCiclo,InicioCiclo,$S127+MOD(2-WEEKDAY($S127),7))+13),1,IF(N($W127)&gt;0,AVERAGEIFS($Z$5:$Z$1000,$U$5:$U$1000,ROW(),$V$5:$V$1000,"Sub"),$Z127)))</f>
        <v/>
      </c>
      <c r="AE127" s="62">
        <f>IF($V127="","",IF(AND(ISNUMBER($G127),$G127&lt;=IF($S127=MesCiclo,InicioCiclo,$S127+MOD(2-WEEKDAY($S127),7))+20),1,IF(N($W127)&gt;0,AVERAGEIFS($AA$5:$AA$1000,$U$5:$U$1000,ROW(),$V$5:$V$1000,"Sub"),$AA127)))</f>
        <v/>
      </c>
      <c r="AF127" s="62">
        <f>IF($V127="","",IF(AND(ISNUMBER($G127),$G127&lt;=IF($S127=MesCiclo,InicioCiclo,$S127+MOD(2-WEEKDAY($S127),7))+27),1,IF(N($W127)&gt;0,AVERAGEIFS($AB$5:$AB$1000,$U$5:$U$1000,ROW(),$V$5:$V$1000,"Sub"),$AB127)))</f>
        <v/>
      </c>
      <c r="AG127" s="62">
        <f>IF($V127&lt;&gt;"Macro","",IF(COUNTIFS($S$5:$S$1000,$S127,$V$5:$V$1000,"Macro",$H$5:$H$1000,"&gt;0")=0,1/COUNTIFS($S$5:$S$1000,$S127,$V$5:$V$1000,"Macro"),IF(AND(ISNUMBER($H127),N($H127)&gt;0),$H127,SUMIFS($H$5:$H$1000,$S$5:$S$1000,$S127,$V$5:$V$1000,"Macro")/COUNTIFS($S$5:$S$1000,$S127,$V$5:$V$1000,"Macro",$H$5:$H$1000,"&gt;0"))/(COUNTIFS($S$5:$S$1000,$S127,$V$5:$V$1000,"Macro")*SUMIFS($H$5:$H$1000,$S$5:$S$1000,$S127,$V$5:$V$1000,"Macro")/COUNTIFS($S$5:$S$1000,$S127,$V$5:$V$1000,"Macro",$H$5:$H$1000,"&gt;0"))))</f>
        <v/>
      </c>
      <c r="AH127" s="62" t="n"/>
      <c r="AI127" s="62" t="n"/>
      <c r="AJ127" s="62" t="n"/>
      <c r="AK127" s="62" t="n"/>
      <c r="AL127" s="62">
        <f>IF(LEFT($C127,11)="[Jefatura] ",IFERROR(MATCH("Asistente Técnico de Riesgo|"&amp;MID($C127,12,500),rDname_ADM,0),0),"")</f>
        <v/>
      </c>
      <c r="AM127" s="62">
        <f>IF(N($AL127)&gt;0,INDEX(rIni_ADM,$AL127),IF(ISNUMBER($E127),$E127,""))</f>
        <v/>
      </c>
      <c r="AN127" s="62">
        <f>IF(N($AL127)&gt;0,INDEX(rLim_ADM,$AL127),IF(ISNUMBER($F127),$F127,""))</f>
        <v/>
      </c>
    </row>
    <row r="128">
      <c r="A128" s="56">
        <f>IF(NOT((COUNTA($B128:$D128)+COUNTA($G128:$L128)+COUNTA($Q128))&gt;0),"",IF($V128="Macro",COUNTIFS($V$5:$V128,"Macro",$S$5:$S128,$S128),IF(N($U128)=0,"?",COUNTIFS(INDEX($V$5:$V$1000,1):INDEX($V$5:$V$1000,$U128-4),"Macro",INDEX($S$5:$S$1000,1):INDEX($S$5:$S$1000,$U128-4),INDEX($S$5:$S$1000,$U128-4))&amp;"."&amp;COUNTIFS($U$5:$U128,$U128,$V$5:$V128,"Sub"))))</f>
        <v/>
      </c>
      <c r="B128" s="57" t="n"/>
      <c r="C128" s="58" t="n"/>
      <c r="D128" s="58" t="n"/>
      <c r="E128" s="59">
        <f>IF(N($AL128)&gt;0,INDEX(rIni_ADM,$AL128),"")</f>
        <v/>
      </c>
      <c r="F128" s="59">
        <f>IF(N($AL128)&gt;0,INDEX(rLim_ADM,$AL128),"")</f>
        <v/>
      </c>
      <c r="G128" s="59" t="n"/>
      <c r="H128" s="60" t="n"/>
      <c r="I128" s="60" t="n"/>
      <c r="J128" s="60" t="n"/>
      <c r="K128" s="60" t="n"/>
      <c r="L128" s="60" t="n"/>
      <c r="M128" s="61">
        <f>IF(NOT((COUNTA($B128:$D128)+COUNTA($G128:$L128)+COUNTA($Q128))&gt;0),"",IF($V128="Sub",IFERROR($X128/INDEX($W$5:$W$1000,$U128-4),""),IF(ISNUMBER($G128),1,IF(N($W128)&gt;0,AVERAGEIFS($X$5:$X$1000,$U$5:$U$1000,ROW(),$V$5:$V$1000,"Sub"),$X128))))</f>
        <v/>
      </c>
      <c r="N128" s="56">
        <f>IF(OR($M128="",$V128="Sub"),"",IF($M128&gt;=1,"Completado",IF($M128&gt;0,"En curso","Pendiente")))</f>
        <v/>
      </c>
      <c r="O128" s="56">
        <f>IF(OR(NOT((COUNTA($B128:$D128)+COUNTA($G128:$L128)+COUNTA($Q128))&gt;0),$V128="Sub"),"",IF(ISNUMBER($G128),IF(AND(ISNUMBER($AN128),$G128&gt;$AN128),"Cumplida con "&amp;($G128-$AN128)&amp;IF($G128-$AN128=1," día"," días")&amp;" de retraso","Cumplida"),IF(N($M128)&gt;=1,"Cumplida",IF(NOT(ISNUMBER($AN128)),"Sin fecha límite",IF($AN128&lt;FechaRef,"Vencida hace "&amp;(FechaRef-$AN128)&amp;IF(FechaRef-$AN128=1," día"," días"),IF($AN128=FechaRef,"Vence hoy",IF($AN128-FechaRef&lt;=DiasAlerta,"Vence en "&amp;($AN128-FechaRef)&amp;IF($AN128-FechaRef=1," día"," días"),"En plazo")))))))</f>
        <v/>
      </c>
      <c r="P128" s="62" t="n"/>
      <c r="Q128" s="58" t="n"/>
      <c r="R128" s="63">
        <f>IF(NOT((COUNTA($B128:$D128)+COUNTA($G128:$L128)+COUNTA($Q128))&gt;0),"",IF((IF($C128="","Falta el nombre de la actividad"&amp;" · ","")&amp;IF(AND($V128="Sub",N($U128)=0),"Subactividad sin macroactividad arriba"&amp;" · ","")&amp;IF($AM128="","Sin fecha de inicio"&amp;" · ","")&amp;IF($AN128="","Sin fecha límite"&amp;" · ","")&amp;IF(AND(LEFT($C128,11)="[Jefatura] ",N($AL128)=0),"No se encuentra en la hoja de la jefatura (elíjala de nuevo en la lista)"&amp;" · ","")&amp;IF(OR(AND($E128&lt;&gt;"",NOT(ISNUMBER($E128))),AND($F128&lt;&gt;"",NOT(ISNUMBER($F128))),AND($G128&lt;&gt;"",NOT(ISNUMBER($G128)))),"Fecha no válida"&amp;" · ","")&amp;IF(AND(ISNUMBER($AM128),ISNUMBER($AN128),$AM128&gt;$AN128),"Inicio posterior a fecha límite"&amp;" · ","")&amp;IF(AND($V128="Macro",$H128&lt;&gt;"",OR(NOT(ISNUMBER($H128)),$H128&lt;0,$H128&gt;1)),"Peso fuera de rango"&amp;" · ","")&amp;IF(AND($V128="Sub",$H128&lt;&gt;""),"Las subactividades no llevan peso (valen igual dentro de su macroactividad)"&amp;" · ","")&amp;IF(AND(N($W128)&gt;0,COUNT($I128:$L128)&gt;0),"Con subactividades: deje vacías las semanas (se calculan solas)"&amp;" · ","")&amp;IF((COUNTIF($I128:$L128,"&gt;1")+COUNTIF($I128:$L128,"&lt;0")+COUNTA($I128:$L128)-COUNT($I128:$L128))&gt;0,"Avance fuera de rango 0-100%"&amp;" · ","")&amp;IF(OR(AND($J128&lt;&gt;"",$J128&lt;$I128),AND($K128&lt;&gt;"",$K128&lt;MAX($I128:$J128)),AND($L128&lt;&gt;"",$L128&lt;MAX($I128:$K128))),"Avance semanal decreciente"&amp;" · ","")&amp;IF(AND(ISNUMBER($AN128),$AN128&lt;FechaRef,IF($V128="Sub",N($X128),N($M128))&lt;1),"Vencida"&amp;" · ","")&amp;IF(AND(ObsObligatoria="Sí",ISNUMBER($AN128),$AN128&lt;FechaRef,IF($V128="Sub",N($X128),N($M128))&lt;1,$Q128=""),"Vencida sin observación"&amp;" · ",""))="","✔ OK","⚠ "&amp;LEFT(IF($C128="","Falta el nombre de la actividad"&amp;" · ","")&amp;IF(AND($V128="Sub",N($U128)=0),"Subactividad sin macroactividad arriba"&amp;" · ","")&amp;IF($AM128="","Sin fecha de inicio"&amp;" · ","")&amp;IF($AN128="","Sin fecha límite"&amp;" · ","")&amp;IF(AND(LEFT($C128,11)="[Jefatura] ",N($AL128)=0),"No se encuentra en la hoja de la jefatura (elíjala de nuevo en la lista)"&amp;" · ","")&amp;IF(OR(AND($E128&lt;&gt;"",NOT(ISNUMBER($E128))),AND($F128&lt;&gt;"",NOT(ISNUMBER($F128))),AND($G128&lt;&gt;"",NOT(ISNUMBER($G128)))),"Fecha no válida"&amp;" · ","")&amp;IF(AND(ISNUMBER($AM128),ISNUMBER($AN128),$AM128&gt;$AN128),"Inicio posterior a fecha límite"&amp;" · ","")&amp;IF(AND($V128="Macro",$H128&lt;&gt;"",OR(NOT(ISNUMBER($H128)),$H128&lt;0,$H128&gt;1)),"Peso fuera de rango"&amp;" · ","")&amp;IF(AND($V128="Sub",$H128&lt;&gt;""),"Las subactividades no llevan peso (valen igual dentro de su macroactividad)"&amp;" · ","")&amp;IF(AND(N($W128)&gt;0,COUNT($I128:$L128)&gt;0),"Con subactividades: deje vacías las semanas (se calculan solas)"&amp;" · ","")&amp;IF((COUNTIF($I128:$L128,"&gt;1")+COUNTIF($I128:$L128,"&lt;0")+COUNTA($I128:$L128)-COUNT($I128:$L128))&gt;0,"Avance fuera de rango 0-100%"&amp;" · ","")&amp;IF(OR(AND($J128&lt;&gt;"",$J128&lt;$I128),AND($K128&lt;&gt;"",$K128&lt;MAX($I128:$J128)),AND($L128&lt;&gt;"",$L128&lt;MAX($I128:$K128))),"Avance semanal decreciente"&amp;" · ","")&amp;IF(AND(ISNUMBER($AN128),$AN128&lt;FechaRef,IF($V128="Sub",N($X128),N($M128))&lt;1),"Vencida"&amp;" · ","")&amp;IF(AND(ObsObligatoria="Sí",ISNUMBER($AN128),$AN128&lt;FechaRef,IF($V128="Sub",N($X128),N($M128))&lt;1,$Q128=""),"Vencida sin observación"&amp;" · ",""),LEN(IF($C128="","Falta el nombre de la actividad"&amp;" · ","")&amp;IF(AND($V128="Sub",N($U128)=0),"Subactividad sin macroactividad arriba"&amp;" · ","")&amp;IF($AM128="","Sin fecha de inicio"&amp;" · ","")&amp;IF($AN128="","Sin fecha límite"&amp;" · ","")&amp;IF(AND(LEFT($C128,11)="[Jefatura] ",N($AL128)=0),"No se encuentra en la hoja de la jefatura (elíjala de nuevo en la lista)"&amp;" · ","")&amp;IF(OR(AND($E128&lt;&gt;"",NOT(ISNUMBER($E128))),AND($F128&lt;&gt;"",NOT(ISNUMBER($F128))),AND($G128&lt;&gt;"",NOT(ISNUMBER($G128)))),"Fecha no válida"&amp;" · ","")&amp;IF(AND(ISNUMBER($AM128),ISNUMBER($AN128),$AM128&gt;$AN128),"Inicio posterior a fecha límite"&amp;" · ","")&amp;IF(AND($V128="Macro",$H128&lt;&gt;"",OR(NOT(ISNUMBER($H128)),$H128&lt;0,$H128&gt;1)),"Peso fuera de rango"&amp;" · ","")&amp;IF(AND($V128="Sub",$H128&lt;&gt;""),"Las subactividades no llevan peso (valen igual dentro de su macroactividad)"&amp;" · ","")&amp;IF(AND(N($W128)&gt;0,COUNT($I128:$L128)&gt;0),"Con subactividades: deje vacías las semanas (se calculan solas)"&amp;" · ","")&amp;IF((COUNTIF($I128:$L128,"&gt;1")+COUNTIF($I128:$L128,"&lt;0")+COUNTA($I128:$L128)-COUNT($I128:$L128))&gt;0,"Avance fuera de rango 0-100%"&amp;" · ","")&amp;IF(OR(AND($J128&lt;&gt;"",$J128&lt;$I128),AND($K128&lt;&gt;"",$K128&lt;MAX($I128:$J128)),AND($L128&lt;&gt;"",$L128&lt;MAX($I128:$K128))),"Avance semanal decreciente"&amp;" · ","")&amp;IF(AND(ISNUMBER($AN128),$AN128&lt;FechaRef,IF($V128="Sub",N($X128),N($M128))&lt;1),"Vencida"&amp;" · ","")&amp;IF(AND(ObsObligatoria="Sí",ISNUMBER($AN128),$AN128&lt;FechaRef,IF($V128="Sub",N($X128),N($M128))&lt;1,$Q128=""),"Vencida sin observación"&amp;" · ",""))-3)))</f>
        <v/>
      </c>
      <c r="S128" s="64">
        <f>IF(NOT((COUNTA($B128:$D128)+COUNTA($G128:$L128)+COUNTA($Q128))&gt;0),"",IF(AND($V128="Sub",N($U128)&gt;0),IF(ISNUMBER(INDEX($AM$5:$AM$1000,$U128-4)),DATE(YEAR(INDEX($AM$5:$AM$1000,$U128-4)),MONTH(INDEX($AM$5:$AM$1000,$U128-4)),1),IF(ISNUMBER(INDEX($AN$5:$AN$1000,$U128-4)),DATE(YEAR(INDEX($AN$5:$AN$1000,$U128-4)),MONTH(INDEX($AN$5:$AN$1000,$U128-4)),1),MesCiclo)),IF(ISNUMBER($AM128),DATE(YEAR($AM128),MONTH($AM128),1),IF(ISNUMBER($AN128),DATE(YEAR($AN128),MONTH($AN128),1),MesCiclo))))</f>
        <v/>
      </c>
      <c r="T128" s="62">
        <f>IF(OR($S128="",$S128&lt;&gt;MesCiclo,$V128&lt;&gt;"Macro"),"",COUNTIFS($S$5:$S128,MesCiclo,$V$5:$V128,"Macro"))</f>
        <v/>
      </c>
      <c r="U128" s="62">
        <f>IF($V128="","",IF($V128="Macro",ROW(),IFERROR(LOOKUP(2,1/($V$5:$V128="Macro"),ROW($V$5:$V128)),0)))</f>
        <v/>
      </c>
      <c r="V128" s="62">
        <f>IF(NOT((COUNTA($B128:$D128)+COUNTA($G128:$L128)+COUNTA($Q128))&gt;0),"",IF($B128="Subactividad","Sub","Macro"))</f>
        <v/>
      </c>
      <c r="W128" s="62">
        <f>IF($V128="Macro",COUNTIFS($U$5:$U$1000,ROW(),$V$5:$V$1000,"Sub"),"")</f>
        <v/>
      </c>
      <c r="X128" s="62">
        <f>IF($V128="","",IF(ISNUMBER($G128),1,IFERROR(LOOKUP(2,1/($I128:$L128&lt;&gt;""),$I128:$L128),0)))</f>
        <v/>
      </c>
      <c r="Y128" s="62">
        <f>IF($V128="","",IF(AND(ISNUMBER($G128),$G128&lt;=IF($S128=MesCiclo,InicioCiclo,$S128+MOD(2-WEEKDAY($S128),7))+6),1,IF(ISNUMBER($I128),$I128,0)))</f>
        <v/>
      </c>
      <c r="Z128" s="62">
        <f>IF($V128="","",IF(AND(ISNUMBER($G128),$G128&lt;=IF($S128=MesCiclo,InicioCiclo,$S128+MOD(2-WEEKDAY($S128),7))+13),1,IF(ISNUMBER($J128),$J128,$Y128)))</f>
        <v/>
      </c>
      <c r="AA128" s="62">
        <f>IF($V128="","",IF(AND(ISNUMBER($G128),$G128&lt;=IF($S128=MesCiclo,InicioCiclo,$S128+MOD(2-WEEKDAY($S128),7))+20),1,IF(ISNUMBER($K128),$K128,$Z128)))</f>
        <v/>
      </c>
      <c r="AB128" s="62">
        <f>IF($V128="","",IF(AND(ISNUMBER($G128),$G128&lt;=IF($S128=MesCiclo,InicioCiclo,$S128+MOD(2-WEEKDAY($S128),7))+27),1,IF(ISNUMBER($L128),$L128,$AA128)))</f>
        <v/>
      </c>
      <c r="AC128" s="62">
        <f>IF($V128="","",IF(AND(ISNUMBER($G128),$G128&lt;=IF($S128=MesCiclo,InicioCiclo,$S128+MOD(2-WEEKDAY($S128),7))+6),1,IF(N($W128)&gt;0,AVERAGEIFS($Y$5:$Y$1000,$U$5:$U$1000,ROW(),$V$5:$V$1000,"Sub"),$Y128)))</f>
        <v/>
      </c>
      <c r="AD128" s="62">
        <f>IF($V128="","",IF(AND(ISNUMBER($G128),$G128&lt;=IF($S128=MesCiclo,InicioCiclo,$S128+MOD(2-WEEKDAY($S128),7))+13),1,IF(N($W128)&gt;0,AVERAGEIFS($Z$5:$Z$1000,$U$5:$U$1000,ROW(),$V$5:$V$1000,"Sub"),$Z128)))</f>
        <v/>
      </c>
      <c r="AE128" s="62">
        <f>IF($V128="","",IF(AND(ISNUMBER($G128),$G128&lt;=IF($S128=MesCiclo,InicioCiclo,$S128+MOD(2-WEEKDAY($S128),7))+20),1,IF(N($W128)&gt;0,AVERAGEIFS($AA$5:$AA$1000,$U$5:$U$1000,ROW(),$V$5:$V$1000,"Sub"),$AA128)))</f>
        <v/>
      </c>
      <c r="AF128" s="62">
        <f>IF($V128="","",IF(AND(ISNUMBER($G128),$G128&lt;=IF($S128=MesCiclo,InicioCiclo,$S128+MOD(2-WEEKDAY($S128),7))+27),1,IF(N($W128)&gt;0,AVERAGEIFS($AB$5:$AB$1000,$U$5:$U$1000,ROW(),$V$5:$V$1000,"Sub"),$AB128)))</f>
        <v/>
      </c>
      <c r="AG128" s="62">
        <f>IF($V128&lt;&gt;"Macro","",IF(COUNTIFS($S$5:$S$1000,$S128,$V$5:$V$1000,"Macro",$H$5:$H$1000,"&gt;0")=0,1/COUNTIFS($S$5:$S$1000,$S128,$V$5:$V$1000,"Macro"),IF(AND(ISNUMBER($H128),N($H128)&gt;0),$H128,SUMIFS($H$5:$H$1000,$S$5:$S$1000,$S128,$V$5:$V$1000,"Macro")/COUNTIFS($S$5:$S$1000,$S128,$V$5:$V$1000,"Macro",$H$5:$H$1000,"&gt;0"))/(COUNTIFS($S$5:$S$1000,$S128,$V$5:$V$1000,"Macro")*SUMIFS($H$5:$H$1000,$S$5:$S$1000,$S128,$V$5:$V$1000,"Macro")/COUNTIFS($S$5:$S$1000,$S128,$V$5:$V$1000,"Macro",$H$5:$H$1000,"&gt;0"))))</f>
        <v/>
      </c>
      <c r="AH128" s="62" t="n"/>
      <c r="AI128" s="62" t="n"/>
      <c r="AJ128" s="62" t="n"/>
      <c r="AK128" s="62" t="n"/>
      <c r="AL128" s="62">
        <f>IF(LEFT($C128,11)="[Jefatura] ",IFERROR(MATCH("Asistente Técnico de Riesgo|"&amp;MID($C128,12,500),rDname_ADM,0),0),"")</f>
        <v/>
      </c>
      <c r="AM128" s="62">
        <f>IF(N($AL128)&gt;0,INDEX(rIni_ADM,$AL128),IF(ISNUMBER($E128),$E128,""))</f>
        <v/>
      </c>
      <c r="AN128" s="62">
        <f>IF(N($AL128)&gt;0,INDEX(rLim_ADM,$AL128),IF(ISNUMBER($F128),$F128,""))</f>
        <v/>
      </c>
    </row>
    <row r="129">
      <c r="A129" s="56">
        <f>IF(NOT((COUNTA($B129:$D129)+COUNTA($G129:$L129)+COUNTA($Q129))&gt;0),"",IF($V129="Macro",COUNTIFS($V$5:$V129,"Macro",$S$5:$S129,$S129),IF(N($U129)=0,"?",COUNTIFS(INDEX($V$5:$V$1000,1):INDEX($V$5:$V$1000,$U129-4),"Macro",INDEX($S$5:$S$1000,1):INDEX($S$5:$S$1000,$U129-4),INDEX($S$5:$S$1000,$U129-4))&amp;"."&amp;COUNTIFS($U$5:$U129,$U129,$V$5:$V129,"Sub"))))</f>
        <v/>
      </c>
      <c r="B129" s="57" t="n"/>
      <c r="C129" s="58" t="n"/>
      <c r="D129" s="58" t="n"/>
      <c r="E129" s="59">
        <f>IF(N($AL129)&gt;0,INDEX(rIni_ADM,$AL129),"")</f>
        <v/>
      </c>
      <c r="F129" s="59">
        <f>IF(N($AL129)&gt;0,INDEX(rLim_ADM,$AL129),"")</f>
        <v/>
      </c>
      <c r="G129" s="59" t="n"/>
      <c r="H129" s="60" t="n"/>
      <c r="I129" s="60" t="n"/>
      <c r="J129" s="60" t="n"/>
      <c r="K129" s="60" t="n"/>
      <c r="L129" s="60" t="n"/>
      <c r="M129" s="61">
        <f>IF(NOT((COUNTA($B129:$D129)+COUNTA($G129:$L129)+COUNTA($Q129))&gt;0),"",IF($V129="Sub",IFERROR($X129/INDEX($W$5:$W$1000,$U129-4),""),IF(ISNUMBER($G129),1,IF(N($W129)&gt;0,AVERAGEIFS($X$5:$X$1000,$U$5:$U$1000,ROW(),$V$5:$V$1000,"Sub"),$X129))))</f>
        <v/>
      </c>
      <c r="N129" s="56">
        <f>IF(OR($M129="",$V129="Sub"),"",IF($M129&gt;=1,"Completado",IF($M129&gt;0,"En curso","Pendiente")))</f>
        <v/>
      </c>
      <c r="O129" s="56">
        <f>IF(OR(NOT((COUNTA($B129:$D129)+COUNTA($G129:$L129)+COUNTA($Q129))&gt;0),$V129="Sub"),"",IF(ISNUMBER($G129),IF(AND(ISNUMBER($AN129),$G129&gt;$AN129),"Cumplida con "&amp;($G129-$AN129)&amp;IF($G129-$AN129=1," día"," días")&amp;" de retraso","Cumplida"),IF(N($M129)&gt;=1,"Cumplida",IF(NOT(ISNUMBER($AN129)),"Sin fecha límite",IF($AN129&lt;FechaRef,"Vencida hace "&amp;(FechaRef-$AN129)&amp;IF(FechaRef-$AN129=1," día"," días"),IF($AN129=FechaRef,"Vence hoy",IF($AN129-FechaRef&lt;=DiasAlerta,"Vence en "&amp;($AN129-FechaRef)&amp;IF($AN129-FechaRef=1," día"," días"),"En plazo")))))))</f>
        <v/>
      </c>
      <c r="P129" s="62" t="n"/>
      <c r="Q129" s="58" t="n"/>
      <c r="R129" s="63">
        <f>IF(NOT((COUNTA($B129:$D129)+COUNTA($G129:$L129)+COUNTA($Q129))&gt;0),"",IF((IF($C129="","Falta el nombre de la actividad"&amp;" · ","")&amp;IF(AND($V129="Sub",N($U129)=0),"Subactividad sin macroactividad arriba"&amp;" · ","")&amp;IF($AM129="","Sin fecha de inicio"&amp;" · ","")&amp;IF($AN129="","Sin fecha límite"&amp;" · ","")&amp;IF(AND(LEFT($C129,11)="[Jefatura] ",N($AL129)=0),"No se encuentra en la hoja de la jefatura (elíjala de nuevo en la lista)"&amp;" · ","")&amp;IF(OR(AND($E129&lt;&gt;"",NOT(ISNUMBER($E129))),AND($F129&lt;&gt;"",NOT(ISNUMBER($F129))),AND($G129&lt;&gt;"",NOT(ISNUMBER($G129)))),"Fecha no válida"&amp;" · ","")&amp;IF(AND(ISNUMBER($AM129),ISNUMBER($AN129),$AM129&gt;$AN129),"Inicio posterior a fecha límite"&amp;" · ","")&amp;IF(AND($V129="Macro",$H129&lt;&gt;"",OR(NOT(ISNUMBER($H129)),$H129&lt;0,$H129&gt;1)),"Peso fuera de rango"&amp;" · ","")&amp;IF(AND($V129="Sub",$H129&lt;&gt;""),"Las subactividades no llevan peso (valen igual dentro de su macroactividad)"&amp;" · ","")&amp;IF(AND(N($W129)&gt;0,COUNT($I129:$L129)&gt;0),"Con subactividades: deje vacías las semanas (se calculan solas)"&amp;" · ","")&amp;IF((COUNTIF($I129:$L129,"&gt;1")+COUNTIF($I129:$L129,"&lt;0")+COUNTA($I129:$L129)-COUNT($I129:$L129))&gt;0,"Avance fuera de rango 0-100%"&amp;" · ","")&amp;IF(OR(AND($J129&lt;&gt;"",$J129&lt;$I129),AND($K129&lt;&gt;"",$K129&lt;MAX($I129:$J129)),AND($L129&lt;&gt;"",$L129&lt;MAX($I129:$K129))),"Avance semanal decreciente"&amp;" · ","")&amp;IF(AND(ISNUMBER($AN129),$AN129&lt;FechaRef,IF($V129="Sub",N($X129),N($M129))&lt;1),"Vencida"&amp;" · ","")&amp;IF(AND(ObsObligatoria="Sí",ISNUMBER($AN129),$AN129&lt;FechaRef,IF($V129="Sub",N($X129),N($M129))&lt;1,$Q129=""),"Vencida sin observación"&amp;" · ",""))="","✔ OK","⚠ "&amp;LEFT(IF($C129="","Falta el nombre de la actividad"&amp;" · ","")&amp;IF(AND($V129="Sub",N($U129)=0),"Subactividad sin macroactividad arriba"&amp;" · ","")&amp;IF($AM129="","Sin fecha de inicio"&amp;" · ","")&amp;IF($AN129="","Sin fecha límite"&amp;" · ","")&amp;IF(AND(LEFT($C129,11)="[Jefatura] ",N($AL129)=0),"No se encuentra en la hoja de la jefatura (elíjala de nuevo en la lista)"&amp;" · ","")&amp;IF(OR(AND($E129&lt;&gt;"",NOT(ISNUMBER($E129))),AND($F129&lt;&gt;"",NOT(ISNUMBER($F129))),AND($G129&lt;&gt;"",NOT(ISNUMBER($G129)))),"Fecha no válida"&amp;" · ","")&amp;IF(AND(ISNUMBER($AM129),ISNUMBER($AN129),$AM129&gt;$AN129),"Inicio posterior a fecha límite"&amp;" · ","")&amp;IF(AND($V129="Macro",$H129&lt;&gt;"",OR(NOT(ISNUMBER($H129)),$H129&lt;0,$H129&gt;1)),"Peso fuera de rango"&amp;" · ","")&amp;IF(AND($V129="Sub",$H129&lt;&gt;""),"Las subactividades no llevan peso (valen igual dentro de su macroactividad)"&amp;" · ","")&amp;IF(AND(N($W129)&gt;0,COUNT($I129:$L129)&gt;0),"Con subactividades: deje vacías las semanas (se calculan solas)"&amp;" · ","")&amp;IF((COUNTIF($I129:$L129,"&gt;1")+COUNTIF($I129:$L129,"&lt;0")+COUNTA($I129:$L129)-COUNT($I129:$L129))&gt;0,"Avance fuera de rango 0-100%"&amp;" · ","")&amp;IF(OR(AND($J129&lt;&gt;"",$J129&lt;$I129),AND($K129&lt;&gt;"",$K129&lt;MAX($I129:$J129)),AND($L129&lt;&gt;"",$L129&lt;MAX($I129:$K129))),"Avance semanal decreciente"&amp;" · ","")&amp;IF(AND(ISNUMBER($AN129),$AN129&lt;FechaRef,IF($V129="Sub",N($X129),N($M129))&lt;1),"Vencida"&amp;" · ","")&amp;IF(AND(ObsObligatoria="Sí",ISNUMBER($AN129),$AN129&lt;FechaRef,IF($V129="Sub",N($X129),N($M129))&lt;1,$Q129=""),"Vencida sin observación"&amp;" · ",""),LEN(IF($C129="","Falta el nombre de la actividad"&amp;" · ","")&amp;IF(AND($V129="Sub",N($U129)=0),"Subactividad sin macroactividad arriba"&amp;" · ","")&amp;IF($AM129="","Sin fecha de inicio"&amp;" · ","")&amp;IF($AN129="","Sin fecha límite"&amp;" · ","")&amp;IF(AND(LEFT($C129,11)="[Jefatura] ",N($AL129)=0),"No se encuentra en la hoja de la jefatura (elíjala de nuevo en la lista)"&amp;" · ","")&amp;IF(OR(AND($E129&lt;&gt;"",NOT(ISNUMBER($E129))),AND($F129&lt;&gt;"",NOT(ISNUMBER($F129))),AND($G129&lt;&gt;"",NOT(ISNUMBER($G129)))),"Fecha no válida"&amp;" · ","")&amp;IF(AND(ISNUMBER($AM129),ISNUMBER($AN129),$AM129&gt;$AN129),"Inicio posterior a fecha límite"&amp;" · ","")&amp;IF(AND($V129="Macro",$H129&lt;&gt;"",OR(NOT(ISNUMBER($H129)),$H129&lt;0,$H129&gt;1)),"Peso fuera de rango"&amp;" · ","")&amp;IF(AND($V129="Sub",$H129&lt;&gt;""),"Las subactividades no llevan peso (valen igual dentro de su macroactividad)"&amp;" · ","")&amp;IF(AND(N($W129)&gt;0,COUNT($I129:$L129)&gt;0),"Con subactividades: deje vacías las semanas (se calculan solas)"&amp;" · ","")&amp;IF((COUNTIF($I129:$L129,"&gt;1")+COUNTIF($I129:$L129,"&lt;0")+COUNTA($I129:$L129)-COUNT($I129:$L129))&gt;0,"Avance fuera de rango 0-100%"&amp;" · ","")&amp;IF(OR(AND($J129&lt;&gt;"",$J129&lt;$I129),AND($K129&lt;&gt;"",$K129&lt;MAX($I129:$J129)),AND($L129&lt;&gt;"",$L129&lt;MAX($I129:$K129))),"Avance semanal decreciente"&amp;" · ","")&amp;IF(AND(ISNUMBER($AN129),$AN129&lt;FechaRef,IF($V129="Sub",N($X129),N($M129))&lt;1),"Vencida"&amp;" · ","")&amp;IF(AND(ObsObligatoria="Sí",ISNUMBER($AN129),$AN129&lt;FechaRef,IF($V129="Sub",N($X129),N($M129))&lt;1,$Q129=""),"Vencida sin observación"&amp;" · ",""))-3)))</f>
        <v/>
      </c>
      <c r="S129" s="64">
        <f>IF(NOT((COUNTA($B129:$D129)+COUNTA($G129:$L129)+COUNTA($Q129))&gt;0),"",IF(AND($V129="Sub",N($U129)&gt;0),IF(ISNUMBER(INDEX($AM$5:$AM$1000,$U129-4)),DATE(YEAR(INDEX($AM$5:$AM$1000,$U129-4)),MONTH(INDEX($AM$5:$AM$1000,$U129-4)),1),IF(ISNUMBER(INDEX($AN$5:$AN$1000,$U129-4)),DATE(YEAR(INDEX($AN$5:$AN$1000,$U129-4)),MONTH(INDEX($AN$5:$AN$1000,$U129-4)),1),MesCiclo)),IF(ISNUMBER($AM129),DATE(YEAR($AM129),MONTH($AM129),1),IF(ISNUMBER($AN129),DATE(YEAR($AN129),MONTH($AN129),1),MesCiclo))))</f>
        <v/>
      </c>
      <c r="T129" s="62">
        <f>IF(OR($S129="",$S129&lt;&gt;MesCiclo,$V129&lt;&gt;"Macro"),"",COUNTIFS($S$5:$S129,MesCiclo,$V$5:$V129,"Macro"))</f>
        <v/>
      </c>
      <c r="U129" s="62">
        <f>IF($V129="","",IF($V129="Macro",ROW(),IFERROR(LOOKUP(2,1/($V$5:$V129="Macro"),ROW($V$5:$V129)),0)))</f>
        <v/>
      </c>
      <c r="V129" s="62">
        <f>IF(NOT((COUNTA($B129:$D129)+COUNTA($G129:$L129)+COUNTA($Q129))&gt;0),"",IF($B129="Subactividad","Sub","Macro"))</f>
        <v/>
      </c>
      <c r="W129" s="62">
        <f>IF($V129="Macro",COUNTIFS($U$5:$U$1000,ROW(),$V$5:$V$1000,"Sub"),"")</f>
        <v/>
      </c>
      <c r="X129" s="62">
        <f>IF($V129="","",IF(ISNUMBER($G129),1,IFERROR(LOOKUP(2,1/($I129:$L129&lt;&gt;""),$I129:$L129),0)))</f>
        <v/>
      </c>
      <c r="Y129" s="62">
        <f>IF($V129="","",IF(AND(ISNUMBER($G129),$G129&lt;=IF($S129=MesCiclo,InicioCiclo,$S129+MOD(2-WEEKDAY($S129),7))+6),1,IF(ISNUMBER($I129),$I129,0)))</f>
        <v/>
      </c>
      <c r="Z129" s="62">
        <f>IF($V129="","",IF(AND(ISNUMBER($G129),$G129&lt;=IF($S129=MesCiclo,InicioCiclo,$S129+MOD(2-WEEKDAY($S129),7))+13),1,IF(ISNUMBER($J129),$J129,$Y129)))</f>
        <v/>
      </c>
      <c r="AA129" s="62">
        <f>IF($V129="","",IF(AND(ISNUMBER($G129),$G129&lt;=IF($S129=MesCiclo,InicioCiclo,$S129+MOD(2-WEEKDAY($S129),7))+20),1,IF(ISNUMBER($K129),$K129,$Z129)))</f>
        <v/>
      </c>
      <c r="AB129" s="62">
        <f>IF($V129="","",IF(AND(ISNUMBER($G129),$G129&lt;=IF($S129=MesCiclo,InicioCiclo,$S129+MOD(2-WEEKDAY($S129),7))+27),1,IF(ISNUMBER($L129),$L129,$AA129)))</f>
        <v/>
      </c>
      <c r="AC129" s="62">
        <f>IF($V129="","",IF(AND(ISNUMBER($G129),$G129&lt;=IF($S129=MesCiclo,InicioCiclo,$S129+MOD(2-WEEKDAY($S129),7))+6),1,IF(N($W129)&gt;0,AVERAGEIFS($Y$5:$Y$1000,$U$5:$U$1000,ROW(),$V$5:$V$1000,"Sub"),$Y129)))</f>
        <v/>
      </c>
      <c r="AD129" s="62">
        <f>IF($V129="","",IF(AND(ISNUMBER($G129),$G129&lt;=IF($S129=MesCiclo,InicioCiclo,$S129+MOD(2-WEEKDAY($S129),7))+13),1,IF(N($W129)&gt;0,AVERAGEIFS($Z$5:$Z$1000,$U$5:$U$1000,ROW(),$V$5:$V$1000,"Sub"),$Z129)))</f>
        <v/>
      </c>
      <c r="AE129" s="62">
        <f>IF($V129="","",IF(AND(ISNUMBER($G129),$G129&lt;=IF($S129=MesCiclo,InicioCiclo,$S129+MOD(2-WEEKDAY($S129),7))+20),1,IF(N($W129)&gt;0,AVERAGEIFS($AA$5:$AA$1000,$U$5:$U$1000,ROW(),$V$5:$V$1000,"Sub"),$AA129)))</f>
        <v/>
      </c>
      <c r="AF129" s="62">
        <f>IF($V129="","",IF(AND(ISNUMBER($G129),$G129&lt;=IF($S129=MesCiclo,InicioCiclo,$S129+MOD(2-WEEKDAY($S129),7))+27),1,IF(N($W129)&gt;0,AVERAGEIFS($AB$5:$AB$1000,$U$5:$U$1000,ROW(),$V$5:$V$1000,"Sub"),$AB129)))</f>
        <v/>
      </c>
      <c r="AG129" s="62">
        <f>IF($V129&lt;&gt;"Macro","",IF(COUNTIFS($S$5:$S$1000,$S129,$V$5:$V$1000,"Macro",$H$5:$H$1000,"&gt;0")=0,1/COUNTIFS($S$5:$S$1000,$S129,$V$5:$V$1000,"Macro"),IF(AND(ISNUMBER($H129),N($H129)&gt;0),$H129,SUMIFS($H$5:$H$1000,$S$5:$S$1000,$S129,$V$5:$V$1000,"Macro")/COUNTIFS($S$5:$S$1000,$S129,$V$5:$V$1000,"Macro",$H$5:$H$1000,"&gt;0"))/(COUNTIFS($S$5:$S$1000,$S129,$V$5:$V$1000,"Macro")*SUMIFS($H$5:$H$1000,$S$5:$S$1000,$S129,$V$5:$V$1000,"Macro")/COUNTIFS($S$5:$S$1000,$S129,$V$5:$V$1000,"Macro",$H$5:$H$1000,"&gt;0"))))</f>
        <v/>
      </c>
      <c r="AH129" s="62" t="n"/>
      <c r="AI129" s="62" t="n"/>
      <c r="AJ129" s="62" t="n"/>
      <c r="AK129" s="62" t="n"/>
      <c r="AL129" s="62">
        <f>IF(LEFT($C129,11)="[Jefatura] ",IFERROR(MATCH("Asistente Técnico de Riesgo|"&amp;MID($C129,12,500),rDname_ADM,0),0),"")</f>
        <v/>
      </c>
      <c r="AM129" s="62">
        <f>IF(N($AL129)&gt;0,INDEX(rIni_ADM,$AL129),IF(ISNUMBER($E129),$E129,""))</f>
        <v/>
      </c>
      <c r="AN129" s="62">
        <f>IF(N($AL129)&gt;0,INDEX(rLim_ADM,$AL129),IF(ISNUMBER($F129),$F129,""))</f>
        <v/>
      </c>
    </row>
    <row r="130">
      <c r="A130" s="56">
        <f>IF(NOT((COUNTA($B130:$D130)+COUNTA($G130:$L130)+COUNTA($Q130))&gt;0),"",IF($V130="Macro",COUNTIFS($V$5:$V130,"Macro",$S$5:$S130,$S130),IF(N($U130)=0,"?",COUNTIFS(INDEX($V$5:$V$1000,1):INDEX($V$5:$V$1000,$U130-4),"Macro",INDEX($S$5:$S$1000,1):INDEX($S$5:$S$1000,$U130-4),INDEX($S$5:$S$1000,$U130-4))&amp;"."&amp;COUNTIFS($U$5:$U130,$U130,$V$5:$V130,"Sub"))))</f>
        <v/>
      </c>
      <c r="B130" s="57" t="n"/>
      <c r="C130" s="58" t="n"/>
      <c r="D130" s="58" t="n"/>
      <c r="E130" s="59">
        <f>IF(N($AL130)&gt;0,INDEX(rIni_ADM,$AL130),"")</f>
        <v/>
      </c>
      <c r="F130" s="59">
        <f>IF(N($AL130)&gt;0,INDEX(rLim_ADM,$AL130),"")</f>
        <v/>
      </c>
      <c r="G130" s="59" t="n"/>
      <c r="H130" s="60" t="n"/>
      <c r="I130" s="60" t="n"/>
      <c r="J130" s="60" t="n"/>
      <c r="K130" s="60" t="n"/>
      <c r="L130" s="60" t="n"/>
      <c r="M130" s="61">
        <f>IF(NOT((COUNTA($B130:$D130)+COUNTA($G130:$L130)+COUNTA($Q130))&gt;0),"",IF($V130="Sub",IFERROR($X130/INDEX($W$5:$W$1000,$U130-4),""),IF(ISNUMBER($G130),1,IF(N($W130)&gt;0,AVERAGEIFS($X$5:$X$1000,$U$5:$U$1000,ROW(),$V$5:$V$1000,"Sub"),$X130))))</f>
        <v/>
      </c>
      <c r="N130" s="56">
        <f>IF(OR($M130="",$V130="Sub"),"",IF($M130&gt;=1,"Completado",IF($M130&gt;0,"En curso","Pendiente")))</f>
        <v/>
      </c>
      <c r="O130" s="56">
        <f>IF(OR(NOT((COUNTA($B130:$D130)+COUNTA($G130:$L130)+COUNTA($Q130))&gt;0),$V130="Sub"),"",IF(ISNUMBER($G130),IF(AND(ISNUMBER($AN130),$G130&gt;$AN130),"Cumplida con "&amp;($G130-$AN130)&amp;IF($G130-$AN130=1," día"," días")&amp;" de retraso","Cumplida"),IF(N($M130)&gt;=1,"Cumplida",IF(NOT(ISNUMBER($AN130)),"Sin fecha límite",IF($AN130&lt;FechaRef,"Vencida hace "&amp;(FechaRef-$AN130)&amp;IF(FechaRef-$AN130=1," día"," días"),IF($AN130=FechaRef,"Vence hoy",IF($AN130-FechaRef&lt;=DiasAlerta,"Vence en "&amp;($AN130-FechaRef)&amp;IF($AN130-FechaRef=1," día"," días"),"En plazo")))))))</f>
        <v/>
      </c>
      <c r="P130" s="62" t="n"/>
      <c r="Q130" s="58" t="n"/>
      <c r="R130" s="63">
        <f>IF(NOT((COUNTA($B130:$D130)+COUNTA($G130:$L130)+COUNTA($Q130))&gt;0),"",IF((IF($C130="","Falta el nombre de la actividad"&amp;" · ","")&amp;IF(AND($V130="Sub",N($U130)=0),"Subactividad sin macroactividad arriba"&amp;" · ","")&amp;IF($AM130="","Sin fecha de inicio"&amp;" · ","")&amp;IF($AN130="","Sin fecha límite"&amp;" · ","")&amp;IF(AND(LEFT($C130,11)="[Jefatura] ",N($AL130)=0),"No se encuentra en la hoja de la jefatura (elíjala de nuevo en la lista)"&amp;" · ","")&amp;IF(OR(AND($E130&lt;&gt;"",NOT(ISNUMBER($E130))),AND($F130&lt;&gt;"",NOT(ISNUMBER($F130))),AND($G130&lt;&gt;"",NOT(ISNUMBER($G130)))),"Fecha no válida"&amp;" · ","")&amp;IF(AND(ISNUMBER($AM130),ISNUMBER($AN130),$AM130&gt;$AN130),"Inicio posterior a fecha límite"&amp;" · ","")&amp;IF(AND($V130="Macro",$H130&lt;&gt;"",OR(NOT(ISNUMBER($H130)),$H130&lt;0,$H130&gt;1)),"Peso fuera de rango"&amp;" · ","")&amp;IF(AND($V130="Sub",$H130&lt;&gt;""),"Las subactividades no llevan peso (valen igual dentro de su macroactividad)"&amp;" · ","")&amp;IF(AND(N($W130)&gt;0,COUNT($I130:$L130)&gt;0),"Con subactividades: deje vacías las semanas (se calculan solas)"&amp;" · ","")&amp;IF((COUNTIF($I130:$L130,"&gt;1")+COUNTIF($I130:$L130,"&lt;0")+COUNTA($I130:$L130)-COUNT($I130:$L130))&gt;0,"Avance fuera de rango 0-100%"&amp;" · ","")&amp;IF(OR(AND($J130&lt;&gt;"",$J130&lt;$I130),AND($K130&lt;&gt;"",$K130&lt;MAX($I130:$J130)),AND($L130&lt;&gt;"",$L130&lt;MAX($I130:$K130))),"Avance semanal decreciente"&amp;" · ","")&amp;IF(AND(ISNUMBER($AN130),$AN130&lt;FechaRef,IF($V130="Sub",N($X130),N($M130))&lt;1),"Vencida"&amp;" · ","")&amp;IF(AND(ObsObligatoria="Sí",ISNUMBER($AN130),$AN130&lt;FechaRef,IF($V130="Sub",N($X130),N($M130))&lt;1,$Q130=""),"Vencida sin observación"&amp;" · ",""))="","✔ OK","⚠ "&amp;LEFT(IF($C130="","Falta el nombre de la actividad"&amp;" · ","")&amp;IF(AND($V130="Sub",N($U130)=0),"Subactividad sin macroactividad arriba"&amp;" · ","")&amp;IF($AM130="","Sin fecha de inicio"&amp;" · ","")&amp;IF($AN130="","Sin fecha límite"&amp;" · ","")&amp;IF(AND(LEFT($C130,11)="[Jefatura] ",N($AL130)=0),"No se encuentra en la hoja de la jefatura (elíjala de nuevo en la lista)"&amp;" · ","")&amp;IF(OR(AND($E130&lt;&gt;"",NOT(ISNUMBER($E130))),AND($F130&lt;&gt;"",NOT(ISNUMBER($F130))),AND($G130&lt;&gt;"",NOT(ISNUMBER($G130)))),"Fecha no válida"&amp;" · ","")&amp;IF(AND(ISNUMBER($AM130),ISNUMBER($AN130),$AM130&gt;$AN130),"Inicio posterior a fecha límite"&amp;" · ","")&amp;IF(AND($V130="Macro",$H130&lt;&gt;"",OR(NOT(ISNUMBER($H130)),$H130&lt;0,$H130&gt;1)),"Peso fuera de rango"&amp;" · ","")&amp;IF(AND($V130="Sub",$H130&lt;&gt;""),"Las subactividades no llevan peso (valen igual dentro de su macroactividad)"&amp;" · ","")&amp;IF(AND(N($W130)&gt;0,COUNT($I130:$L130)&gt;0),"Con subactividades: deje vacías las semanas (se calculan solas)"&amp;" · ","")&amp;IF((COUNTIF($I130:$L130,"&gt;1")+COUNTIF($I130:$L130,"&lt;0")+COUNTA($I130:$L130)-COUNT($I130:$L130))&gt;0,"Avance fuera de rango 0-100%"&amp;" · ","")&amp;IF(OR(AND($J130&lt;&gt;"",$J130&lt;$I130),AND($K130&lt;&gt;"",$K130&lt;MAX($I130:$J130)),AND($L130&lt;&gt;"",$L130&lt;MAX($I130:$K130))),"Avance semanal decreciente"&amp;" · ","")&amp;IF(AND(ISNUMBER($AN130),$AN130&lt;FechaRef,IF($V130="Sub",N($X130),N($M130))&lt;1),"Vencida"&amp;" · ","")&amp;IF(AND(ObsObligatoria="Sí",ISNUMBER($AN130),$AN130&lt;FechaRef,IF($V130="Sub",N($X130),N($M130))&lt;1,$Q130=""),"Vencida sin observación"&amp;" · ",""),LEN(IF($C130="","Falta el nombre de la actividad"&amp;" · ","")&amp;IF(AND($V130="Sub",N($U130)=0),"Subactividad sin macroactividad arriba"&amp;" · ","")&amp;IF($AM130="","Sin fecha de inicio"&amp;" · ","")&amp;IF($AN130="","Sin fecha límite"&amp;" · ","")&amp;IF(AND(LEFT($C130,11)="[Jefatura] ",N($AL130)=0),"No se encuentra en la hoja de la jefatura (elíjala de nuevo en la lista)"&amp;" · ","")&amp;IF(OR(AND($E130&lt;&gt;"",NOT(ISNUMBER($E130))),AND($F130&lt;&gt;"",NOT(ISNUMBER($F130))),AND($G130&lt;&gt;"",NOT(ISNUMBER($G130)))),"Fecha no válida"&amp;" · ","")&amp;IF(AND(ISNUMBER($AM130),ISNUMBER($AN130),$AM130&gt;$AN130),"Inicio posterior a fecha límite"&amp;" · ","")&amp;IF(AND($V130="Macro",$H130&lt;&gt;"",OR(NOT(ISNUMBER($H130)),$H130&lt;0,$H130&gt;1)),"Peso fuera de rango"&amp;" · ","")&amp;IF(AND($V130="Sub",$H130&lt;&gt;""),"Las subactividades no llevan peso (valen igual dentro de su macroactividad)"&amp;" · ","")&amp;IF(AND(N($W130)&gt;0,COUNT($I130:$L130)&gt;0),"Con subactividades: deje vacías las semanas (se calculan solas)"&amp;" · ","")&amp;IF((COUNTIF($I130:$L130,"&gt;1")+COUNTIF($I130:$L130,"&lt;0")+COUNTA($I130:$L130)-COUNT($I130:$L130))&gt;0,"Avance fuera de rango 0-100%"&amp;" · ","")&amp;IF(OR(AND($J130&lt;&gt;"",$J130&lt;$I130),AND($K130&lt;&gt;"",$K130&lt;MAX($I130:$J130)),AND($L130&lt;&gt;"",$L130&lt;MAX($I130:$K130))),"Avance semanal decreciente"&amp;" · ","")&amp;IF(AND(ISNUMBER($AN130),$AN130&lt;FechaRef,IF($V130="Sub",N($X130),N($M130))&lt;1),"Vencida"&amp;" · ","")&amp;IF(AND(ObsObligatoria="Sí",ISNUMBER($AN130),$AN130&lt;FechaRef,IF($V130="Sub",N($X130),N($M130))&lt;1,$Q130=""),"Vencida sin observación"&amp;" · ",""))-3)))</f>
        <v/>
      </c>
      <c r="S130" s="64">
        <f>IF(NOT((COUNTA($B130:$D130)+COUNTA($G130:$L130)+COUNTA($Q130))&gt;0),"",IF(AND($V130="Sub",N($U130)&gt;0),IF(ISNUMBER(INDEX($AM$5:$AM$1000,$U130-4)),DATE(YEAR(INDEX($AM$5:$AM$1000,$U130-4)),MONTH(INDEX($AM$5:$AM$1000,$U130-4)),1),IF(ISNUMBER(INDEX($AN$5:$AN$1000,$U130-4)),DATE(YEAR(INDEX($AN$5:$AN$1000,$U130-4)),MONTH(INDEX($AN$5:$AN$1000,$U130-4)),1),MesCiclo)),IF(ISNUMBER($AM130),DATE(YEAR($AM130),MONTH($AM130),1),IF(ISNUMBER($AN130),DATE(YEAR($AN130),MONTH($AN130),1),MesCiclo))))</f>
        <v/>
      </c>
      <c r="T130" s="62">
        <f>IF(OR($S130="",$S130&lt;&gt;MesCiclo,$V130&lt;&gt;"Macro"),"",COUNTIFS($S$5:$S130,MesCiclo,$V$5:$V130,"Macro"))</f>
        <v/>
      </c>
      <c r="U130" s="62">
        <f>IF($V130="","",IF($V130="Macro",ROW(),IFERROR(LOOKUP(2,1/($V$5:$V130="Macro"),ROW($V$5:$V130)),0)))</f>
        <v/>
      </c>
      <c r="V130" s="62">
        <f>IF(NOT((COUNTA($B130:$D130)+COUNTA($G130:$L130)+COUNTA($Q130))&gt;0),"",IF($B130="Subactividad","Sub","Macro"))</f>
        <v/>
      </c>
      <c r="W130" s="62">
        <f>IF($V130="Macro",COUNTIFS($U$5:$U$1000,ROW(),$V$5:$V$1000,"Sub"),"")</f>
        <v/>
      </c>
      <c r="X130" s="62">
        <f>IF($V130="","",IF(ISNUMBER($G130),1,IFERROR(LOOKUP(2,1/($I130:$L130&lt;&gt;""),$I130:$L130),0)))</f>
        <v/>
      </c>
      <c r="Y130" s="62">
        <f>IF($V130="","",IF(AND(ISNUMBER($G130),$G130&lt;=IF($S130=MesCiclo,InicioCiclo,$S130+MOD(2-WEEKDAY($S130),7))+6),1,IF(ISNUMBER($I130),$I130,0)))</f>
        <v/>
      </c>
      <c r="Z130" s="62">
        <f>IF($V130="","",IF(AND(ISNUMBER($G130),$G130&lt;=IF($S130=MesCiclo,InicioCiclo,$S130+MOD(2-WEEKDAY($S130),7))+13),1,IF(ISNUMBER($J130),$J130,$Y130)))</f>
        <v/>
      </c>
      <c r="AA130" s="62">
        <f>IF($V130="","",IF(AND(ISNUMBER($G130),$G130&lt;=IF($S130=MesCiclo,InicioCiclo,$S130+MOD(2-WEEKDAY($S130),7))+20),1,IF(ISNUMBER($K130),$K130,$Z130)))</f>
        <v/>
      </c>
      <c r="AB130" s="62">
        <f>IF($V130="","",IF(AND(ISNUMBER($G130),$G130&lt;=IF($S130=MesCiclo,InicioCiclo,$S130+MOD(2-WEEKDAY($S130),7))+27),1,IF(ISNUMBER($L130),$L130,$AA130)))</f>
        <v/>
      </c>
      <c r="AC130" s="62">
        <f>IF($V130="","",IF(AND(ISNUMBER($G130),$G130&lt;=IF($S130=MesCiclo,InicioCiclo,$S130+MOD(2-WEEKDAY($S130),7))+6),1,IF(N($W130)&gt;0,AVERAGEIFS($Y$5:$Y$1000,$U$5:$U$1000,ROW(),$V$5:$V$1000,"Sub"),$Y130)))</f>
        <v/>
      </c>
      <c r="AD130" s="62">
        <f>IF($V130="","",IF(AND(ISNUMBER($G130),$G130&lt;=IF($S130=MesCiclo,InicioCiclo,$S130+MOD(2-WEEKDAY($S130),7))+13),1,IF(N($W130)&gt;0,AVERAGEIFS($Z$5:$Z$1000,$U$5:$U$1000,ROW(),$V$5:$V$1000,"Sub"),$Z130)))</f>
        <v/>
      </c>
      <c r="AE130" s="62">
        <f>IF($V130="","",IF(AND(ISNUMBER($G130),$G130&lt;=IF($S130=MesCiclo,InicioCiclo,$S130+MOD(2-WEEKDAY($S130),7))+20),1,IF(N($W130)&gt;0,AVERAGEIFS($AA$5:$AA$1000,$U$5:$U$1000,ROW(),$V$5:$V$1000,"Sub"),$AA130)))</f>
        <v/>
      </c>
      <c r="AF130" s="62">
        <f>IF($V130="","",IF(AND(ISNUMBER($G130),$G130&lt;=IF($S130=MesCiclo,InicioCiclo,$S130+MOD(2-WEEKDAY($S130),7))+27),1,IF(N($W130)&gt;0,AVERAGEIFS($AB$5:$AB$1000,$U$5:$U$1000,ROW(),$V$5:$V$1000,"Sub"),$AB130)))</f>
        <v/>
      </c>
      <c r="AG130" s="62">
        <f>IF($V130&lt;&gt;"Macro","",IF(COUNTIFS($S$5:$S$1000,$S130,$V$5:$V$1000,"Macro",$H$5:$H$1000,"&gt;0")=0,1/COUNTIFS($S$5:$S$1000,$S130,$V$5:$V$1000,"Macro"),IF(AND(ISNUMBER($H130),N($H130)&gt;0),$H130,SUMIFS($H$5:$H$1000,$S$5:$S$1000,$S130,$V$5:$V$1000,"Macro")/COUNTIFS($S$5:$S$1000,$S130,$V$5:$V$1000,"Macro",$H$5:$H$1000,"&gt;0"))/(COUNTIFS($S$5:$S$1000,$S130,$V$5:$V$1000,"Macro")*SUMIFS($H$5:$H$1000,$S$5:$S$1000,$S130,$V$5:$V$1000,"Macro")/COUNTIFS($S$5:$S$1000,$S130,$V$5:$V$1000,"Macro",$H$5:$H$1000,"&gt;0"))))</f>
        <v/>
      </c>
      <c r="AH130" s="62" t="n"/>
      <c r="AI130" s="62" t="n"/>
      <c r="AJ130" s="62" t="n"/>
      <c r="AK130" s="62" t="n"/>
      <c r="AL130" s="62">
        <f>IF(LEFT($C130,11)="[Jefatura] ",IFERROR(MATCH("Asistente Técnico de Riesgo|"&amp;MID($C130,12,500),rDname_ADM,0),0),"")</f>
        <v/>
      </c>
      <c r="AM130" s="62">
        <f>IF(N($AL130)&gt;0,INDEX(rIni_ADM,$AL130),IF(ISNUMBER($E130),$E130,""))</f>
        <v/>
      </c>
      <c r="AN130" s="62">
        <f>IF(N($AL130)&gt;0,INDEX(rLim_ADM,$AL130),IF(ISNUMBER($F130),$F130,""))</f>
        <v/>
      </c>
    </row>
    <row r="131">
      <c r="A131" s="56">
        <f>IF(NOT((COUNTA($B131:$D131)+COUNTA($G131:$L131)+COUNTA($Q131))&gt;0),"",IF($V131="Macro",COUNTIFS($V$5:$V131,"Macro",$S$5:$S131,$S131),IF(N($U131)=0,"?",COUNTIFS(INDEX($V$5:$V$1000,1):INDEX($V$5:$V$1000,$U131-4),"Macro",INDEX($S$5:$S$1000,1):INDEX($S$5:$S$1000,$U131-4),INDEX($S$5:$S$1000,$U131-4))&amp;"."&amp;COUNTIFS($U$5:$U131,$U131,$V$5:$V131,"Sub"))))</f>
        <v/>
      </c>
      <c r="B131" s="57" t="n"/>
      <c r="C131" s="58" t="n"/>
      <c r="D131" s="58" t="n"/>
      <c r="E131" s="59">
        <f>IF(N($AL131)&gt;0,INDEX(rIni_ADM,$AL131),"")</f>
        <v/>
      </c>
      <c r="F131" s="59">
        <f>IF(N($AL131)&gt;0,INDEX(rLim_ADM,$AL131),"")</f>
        <v/>
      </c>
      <c r="G131" s="59" t="n"/>
      <c r="H131" s="60" t="n"/>
      <c r="I131" s="60" t="n"/>
      <c r="J131" s="60" t="n"/>
      <c r="K131" s="60" t="n"/>
      <c r="L131" s="60" t="n"/>
      <c r="M131" s="61">
        <f>IF(NOT((COUNTA($B131:$D131)+COUNTA($G131:$L131)+COUNTA($Q131))&gt;0),"",IF($V131="Sub",IFERROR($X131/INDEX($W$5:$W$1000,$U131-4),""),IF(ISNUMBER($G131),1,IF(N($W131)&gt;0,AVERAGEIFS($X$5:$X$1000,$U$5:$U$1000,ROW(),$V$5:$V$1000,"Sub"),$X131))))</f>
        <v/>
      </c>
      <c r="N131" s="56">
        <f>IF(OR($M131="",$V131="Sub"),"",IF($M131&gt;=1,"Completado",IF($M131&gt;0,"En curso","Pendiente")))</f>
        <v/>
      </c>
      <c r="O131" s="56">
        <f>IF(OR(NOT((COUNTA($B131:$D131)+COUNTA($G131:$L131)+COUNTA($Q131))&gt;0),$V131="Sub"),"",IF(ISNUMBER($G131),IF(AND(ISNUMBER($AN131),$G131&gt;$AN131),"Cumplida con "&amp;($G131-$AN131)&amp;IF($G131-$AN131=1," día"," días")&amp;" de retraso","Cumplida"),IF(N($M131)&gt;=1,"Cumplida",IF(NOT(ISNUMBER($AN131)),"Sin fecha límite",IF($AN131&lt;FechaRef,"Vencida hace "&amp;(FechaRef-$AN131)&amp;IF(FechaRef-$AN131=1," día"," días"),IF($AN131=FechaRef,"Vence hoy",IF($AN131-FechaRef&lt;=DiasAlerta,"Vence en "&amp;($AN131-FechaRef)&amp;IF($AN131-FechaRef=1," día"," días"),"En plazo")))))))</f>
        <v/>
      </c>
      <c r="P131" s="62" t="n"/>
      <c r="Q131" s="58" t="n"/>
      <c r="R131" s="63">
        <f>IF(NOT((COUNTA($B131:$D131)+COUNTA($G131:$L131)+COUNTA($Q131))&gt;0),"",IF((IF($C131="","Falta el nombre de la actividad"&amp;" · ","")&amp;IF(AND($V131="Sub",N($U131)=0),"Subactividad sin macroactividad arriba"&amp;" · ","")&amp;IF($AM131="","Sin fecha de inicio"&amp;" · ","")&amp;IF($AN131="","Sin fecha límite"&amp;" · ","")&amp;IF(AND(LEFT($C131,11)="[Jefatura] ",N($AL131)=0),"No se encuentra en la hoja de la jefatura (elíjala de nuevo en la lista)"&amp;" · ","")&amp;IF(OR(AND($E131&lt;&gt;"",NOT(ISNUMBER($E131))),AND($F131&lt;&gt;"",NOT(ISNUMBER($F131))),AND($G131&lt;&gt;"",NOT(ISNUMBER($G131)))),"Fecha no válida"&amp;" · ","")&amp;IF(AND(ISNUMBER($AM131),ISNUMBER($AN131),$AM131&gt;$AN131),"Inicio posterior a fecha límite"&amp;" · ","")&amp;IF(AND($V131="Macro",$H131&lt;&gt;"",OR(NOT(ISNUMBER($H131)),$H131&lt;0,$H131&gt;1)),"Peso fuera de rango"&amp;" · ","")&amp;IF(AND($V131="Sub",$H131&lt;&gt;""),"Las subactividades no llevan peso (valen igual dentro de su macroactividad)"&amp;" · ","")&amp;IF(AND(N($W131)&gt;0,COUNT($I131:$L131)&gt;0),"Con subactividades: deje vacías las semanas (se calculan solas)"&amp;" · ","")&amp;IF((COUNTIF($I131:$L131,"&gt;1")+COUNTIF($I131:$L131,"&lt;0")+COUNTA($I131:$L131)-COUNT($I131:$L131))&gt;0,"Avance fuera de rango 0-100%"&amp;" · ","")&amp;IF(OR(AND($J131&lt;&gt;"",$J131&lt;$I131),AND($K131&lt;&gt;"",$K131&lt;MAX($I131:$J131)),AND($L131&lt;&gt;"",$L131&lt;MAX($I131:$K131))),"Avance semanal decreciente"&amp;" · ","")&amp;IF(AND(ISNUMBER($AN131),$AN131&lt;FechaRef,IF($V131="Sub",N($X131),N($M131))&lt;1),"Vencida"&amp;" · ","")&amp;IF(AND(ObsObligatoria="Sí",ISNUMBER($AN131),$AN131&lt;FechaRef,IF($V131="Sub",N($X131),N($M131))&lt;1,$Q131=""),"Vencida sin observación"&amp;" · ",""))="","✔ OK","⚠ "&amp;LEFT(IF($C131="","Falta el nombre de la actividad"&amp;" · ","")&amp;IF(AND($V131="Sub",N($U131)=0),"Subactividad sin macroactividad arriba"&amp;" · ","")&amp;IF($AM131="","Sin fecha de inicio"&amp;" · ","")&amp;IF($AN131="","Sin fecha límite"&amp;" · ","")&amp;IF(AND(LEFT($C131,11)="[Jefatura] ",N($AL131)=0),"No se encuentra en la hoja de la jefatura (elíjala de nuevo en la lista)"&amp;" · ","")&amp;IF(OR(AND($E131&lt;&gt;"",NOT(ISNUMBER($E131))),AND($F131&lt;&gt;"",NOT(ISNUMBER($F131))),AND($G131&lt;&gt;"",NOT(ISNUMBER($G131)))),"Fecha no válida"&amp;" · ","")&amp;IF(AND(ISNUMBER($AM131),ISNUMBER($AN131),$AM131&gt;$AN131),"Inicio posterior a fecha límite"&amp;" · ","")&amp;IF(AND($V131="Macro",$H131&lt;&gt;"",OR(NOT(ISNUMBER($H131)),$H131&lt;0,$H131&gt;1)),"Peso fuera de rango"&amp;" · ","")&amp;IF(AND($V131="Sub",$H131&lt;&gt;""),"Las subactividades no llevan peso (valen igual dentro de su macroactividad)"&amp;" · ","")&amp;IF(AND(N($W131)&gt;0,COUNT($I131:$L131)&gt;0),"Con subactividades: deje vacías las semanas (se calculan solas)"&amp;" · ","")&amp;IF((COUNTIF($I131:$L131,"&gt;1")+COUNTIF($I131:$L131,"&lt;0")+COUNTA($I131:$L131)-COUNT($I131:$L131))&gt;0,"Avance fuera de rango 0-100%"&amp;" · ","")&amp;IF(OR(AND($J131&lt;&gt;"",$J131&lt;$I131),AND($K131&lt;&gt;"",$K131&lt;MAX($I131:$J131)),AND($L131&lt;&gt;"",$L131&lt;MAX($I131:$K131))),"Avance semanal decreciente"&amp;" · ","")&amp;IF(AND(ISNUMBER($AN131),$AN131&lt;FechaRef,IF($V131="Sub",N($X131),N($M131))&lt;1),"Vencida"&amp;" · ","")&amp;IF(AND(ObsObligatoria="Sí",ISNUMBER($AN131),$AN131&lt;FechaRef,IF($V131="Sub",N($X131),N($M131))&lt;1,$Q131=""),"Vencida sin observación"&amp;" · ",""),LEN(IF($C131="","Falta el nombre de la actividad"&amp;" · ","")&amp;IF(AND($V131="Sub",N($U131)=0),"Subactividad sin macroactividad arriba"&amp;" · ","")&amp;IF($AM131="","Sin fecha de inicio"&amp;" · ","")&amp;IF($AN131="","Sin fecha límite"&amp;" · ","")&amp;IF(AND(LEFT($C131,11)="[Jefatura] ",N($AL131)=0),"No se encuentra en la hoja de la jefatura (elíjala de nuevo en la lista)"&amp;" · ","")&amp;IF(OR(AND($E131&lt;&gt;"",NOT(ISNUMBER($E131))),AND($F131&lt;&gt;"",NOT(ISNUMBER($F131))),AND($G131&lt;&gt;"",NOT(ISNUMBER($G131)))),"Fecha no válida"&amp;" · ","")&amp;IF(AND(ISNUMBER($AM131),ISNUMBER($AN131),$AM131&gt;$AN131),"Inicio posterior a fecha límite"&amp;" · ","")&amp;IF(AND($V131="Macro",$H131&lt;&gt;"",OR(NOT(ISNUMBER($H131)),$H131&lt;0,$H131&gt;1)),"Peso fuera de rango"&amp;" · ","")&amp;IF(AND($V131="Sub",$H131&lt;&gt;""),"Las subactividades no llevan peso (valen igual dentro de su macroactividad)"&amp;" · ","")&amp;IF(AND(N($W131)&gt;0,COUNT($I131:$L131)&gt;0),"Con subactividades: deje vacías las semanas (se calculan solas)"&amp;" · ","")&amp;IF((COUNTIF($I131:$L131,"&gt;1")+COUNTIF($I131:$L131,"&lt;0")+COUNTA($I131:$L131)-COUNT($I131:$L131))&gt;0,"Avance fuera de rango 0-100%"&amp;" · ","")&amp;IF(OR(AND($J131&lt;&gt;"",$J131&lt;$I131),AND($K131&lt;&gt;"",$K131&lt;MAX($I131:$J131)),AND($L131&lt;&gt;"",$L131&lt;MAX($I131:$K131))),"Avance semanal decreciente"&amp;" · ","")&amp;IF(AND(ISNUMBER($AN131),$AN131&lt;FechaRef,IF($V131="Sub",N($X131),N($M131))&lt;1),"Vencida"&amp;" · ","")&amp;IF(AND(ObsObligatoria="Sí",ISNUMBER($AN131),$AN131&lt;FechaRef,IF($V131="Sub",N($X131),N($M131))&lt;1,$Q131=""),"Vencida sin observación"&amp;" · ",""))-3)))</f>
        <v/>
      </c>
      <c r="S131" s="64">
        <f>IF(NOT((COUNTA($B131:$D131)+COUNTA($G131:$L131)+COUNTA($Q131))&gt;0),"",IF(AND($V131="Sub",N($U131)&gt;0),IF(ISNUMBER(INDEX($AM$5:$AM$1000,$U131-4)),DATE(YEAR(INDEX($AM$5:$AM$1000,$U131-4)),MONTH(INDEX($AM$5:$AM$1000,$U131-4)),1),IF(ISNUMBER(INDEX($AN$5:$AN$1000,$U131-4)),DATE(YEAR(INDEX($AN$5:$AN$1000,$U131-4)),MONTH(INDEX($AN$5:$AN$1000,$U131-4)),1),MesCiclo)),IF(ISNUMBER($AM131),DATE(YEAR($AM131),MONTH($AM131),1),IF(ISNUMBER($AN131),DATE(YEAR($AN131),MONTH($AN131),1),MesCiclo))))</f>
        <v/>
      </c>
      <c r="T131" s="62">
        <f>IF(OR($S131="",$S131&lt;&gt;MesCiclo,$V131&lt;&gt;"Macro"),"",COUNTIFS($S$5:$S131,MesCiclo,$V$5:$V131,"Macro"))</f>
        <v/>
      </c>
      <c r="U131" s="62">
        <f>IF($V131="","",IF($V131="Macro",ROW(),IFERROR(LOOKUP(2,1/($V$5:$V131="Macro"),ROW($V$5:$V131)),0)))</f>
        <v/>
      </c>
      <c r="V131" s="62">
        <f>IF(NOT((COUNTA($B131:$D131)+COUNTA($G131:$L131)+COUNTA($Q131))&gt;0),"",IF($B131="Subactividad","Sub","Macro"))</f>
        <v/>
      </c>
      <c r="W131" s="62">
        <f>IF($V131="Macro",COUNTIFS($U$5:$U$1000,ROW(),$V$5:$V$1000,"Sub"),"")</f>
        <v/>
      </c>
      <c r="X131" s="62">
        <f>IF($V131="","",IF(ISNUMBER($G131),1,IFERROR(LOOKUP(2,1/($I131:$L131&lt;&gt;""),$I131:$L131),0)))</f>
        <v/>
      </c>
      <c r="Y131" s="62">
        <f>IF($V131="","",IF(AND(ISNUMBER($G131),$G131&lt;=IF($S131=MesCiclo,InicioCiclo,$S131+MOD(2-WEEKDAY($S131),7))+6),1,IF(ISNUMBER($I131),$I131,0)))</f>
        <v/>
      </c>
      <c r="Z131" s="62">
        <f>IF($V131="","",IF(AND(ISNUMBER($G131),$G131&lt;=IF($S131=MesCiclo,InicioCiclo,$S131+MOD(2-WEEKDAY($S131),7))+13),1,IF(ISNUMBER($J131),$J131,$Y131)))</f>
        <v/>
      </c>
      <c r="AA131" s="62">
        <f>IF($V131="","",IF(AND(ISNUMBER($G131),$G131&lt;=IF($S131=MesCiclo,InicioCiclo,$S131+MOD(2-WEEKDAY($S131),7))+20),1,IF(ISNUMBER($K131),$K131,$Z131)))</f>
        <v/>
      </c>
      <c r="AB131" s="62">
        <f>IF($V131="","",IF(AND(ISNUMBER($G131),$G131&lt;=IF($S131=MesCiclo,InicioCiclo,$S131+MOD(2-WEEKDAY($S131),7))+27),1,IF(ISNUMBER($L131),$L131,$AA131)))</f>
        <v/>
      </c>
      <c r="AC131" s="62">
        <f>IF($V131="","",IF(AND(ISNUMBER($G131),$G131&lt;=IF($S131=MesCiclo,InicioCiclo,$S131+MOD(2-WEEKDAY($S131),7))+6),1,IF(N($W131)&gt;0,AVERAGEIFS($Y$5:$Y$1000,$U$5:$U$1000,ROW(),$V$5:$V$1000,"Sub"),$Y131)))</f>
        <v/>
      </c>
      <c r="AD131" s="62">
        <f>IF($V131="","",IF(AND(ISNUMBER($G131),$G131&lt;=IF($S131=MesCiclo,InicioCiclo,$S131+MOD(2-WEEKDAY($S131),7))+13),1,IF(N($W131)&gt;0,AVERAGEIFS($Z$5:$Z$1000,$U$5:$U$1000,ROW(),$V$5:$V$1000,"Sub"),$Z131)))</f>
        <v/>
      </c>
      <c r="AE131" s="62">
        <f>IF($V131="","",IF(AND(ISNUMBER($G131),$G131&lt;=IF($S131=MesCiclo,InicioCiclo,$S131+MOD(2-WEEKDAY($S131),7))+20),1,IF(N($W131)&gt;0,AVERAGEIFS($AA$5:$AA$1000,$U$5:$U$1000,ROW(),$V$5:$V$1000,"Sub"),$AA131)))</f>
        <v/>
      </c>
      <c r="AF131" s="62">
        <f>IF($V131="","",IF(AND(ISNUMBER($G131),$G131&lt;=IF($S131=MesCiclo,InicioCiclo,$S131+MOD(2-WEEKDAY($S131),7))+27),1,IF(N($W131)&gt;0,AVERAGEIFS($AB$5:$AB$1000,$U$5:$U$1000,ROW(),$V$5:$V$1000,"Sub"),$AB131)))</f>
        <v/>
      </c>
      <c r="AG131" s="62">
        <f>IF($V131&lt;&gt;"Macro","",IF(COUNTIFS($S$5:$S$1000,$S131,$V$5:$V$1000,"Macro",$H$5:$H$1000,"&gt;0")=0,1/COUNTIFS($S$5:$S$1000,$S131,$V$5:$V$1000,"Macro"),IF(AND(ISNUMBER($H131),N($H131)&gt;0),$H131,SUMIFS($H$5:$H$1000,$S$5:$S$1000,$S131,$V$5:$V$1000,"Macro")/COUNTIFS($S$5:$S$1000,$S131,$V$5:$V$1000,"Macro",$H$5:$H$1000,"&gt;0"))/(COUNTIFS($S$5:$S$1000,$S131,$V$5:$V$1000,"Macro")*SUMIFS($H$5:$H$1000,$S$5:$S$1000,$S131,$V$5:$V$1000,"Macro")/COUNTIFS($S$5:$S$1000,$S131,$V$5:$V$1000,"Macro",$H$5:$H$1000,"&gt;0"))))</f>
        <v/>
      </c>
      <c r="AH131" s="62" t="n"/>
      <c r="AI131" s="62" t="n"/>
      <c r="AJ131" s="62" t="n"/>
      <c r="AK131" s="62" t="n"/>
      <c r="AL131" s="62">
        <f>IF(LEFT($C131,11)="[Jefatura] ",IFERROR(MATCH("Asistente Técnico de Riesgo|"&amp;MID($C131,12,500),rDname_ADM,0),0),"")</f>
        <v/>
      </c>
      <c r="AM131" s="62">
        <f>IF(N($AL131)&gt;0,INDEX(rIni_ADM,$AL131),IF(ISNUMBER($E131),$E131,""))</f>
        <v/>
      </c>
      <c r="AN131" s="62">
        <f>IF(N($AL131)&gt;0,INDEX(rLim_ADM,$AL131),IF(ISNUMBER($F131),$F131,""))</f>
        <v/>
      </c>
    </row>
    <row r="132">
      <c r="A132" s="56">
        <f>IF(NOT((COUNTA($B132:$D132)+COUNTA($G132:$L132)+COUNTA($Q132))&gt;0),"",IF($V132="Macro",COUNTIFS($V$5:$V132,"Macro",$S$5:$S132,$S132),IF(N($U132)=0,"?",COUNTIFS(INDEX($V$5:$V$1000,1):INDEX($V$5:$V$1000,$U132-4),"Macro",INDEX($S$5:$S$1000,1):INDEX($S$5:$S$1000,$U132-4),INDEX($S$5:$S$1000,$U132-4))&amp;"."&amp;COUNTIFS($U$5:$U132,$U132,$V$5:$V132,"Sub"))))</f>
        <v/>
      </c>
      <c r="B132" s="57" t="n"/>
      <c r="C132" s="58" t="n"/>
      <c r="D132" s="58" t="n"/>
      <c r="E132" s="59">
        <f>IF(N($AL132)&gt;0,INDEX(rIni_ADM,$AL132),"")</f>
        <v/>
      </c>
      <c r="F132" s="59">
        <f>IF(N($AL132)&gt;0,INDEX(rLim_ADM,$AL132),"")</f>
        <v/>
      </c>
      <c r="G132" s="59" t="n"/>
      <c r="H132" s="60" t="n"/>
      <c r="I132" s="60" t="n"/>
      <c r="J132" s="60" t="n"/>
      <c r="K132" s="60" t="n"/>
      <c r="L132" s="60" t="n"/>
      <c r="M132" s="61">
        <f>IF(NOT((COUNTA($B132:$D132)+COUNTA($G132:$L132)+COUNTA($Q132))&gt;0),"",IF($V132="Sub",IFERROR($X132/INDEX($W$5:$W$1000,$U132-4),""),IF(ISNUMBER($G132),1,IF(N($W132)&gt;0,AVERAGEIFS($X$5:$X$1000,$U$5:$U$1000,ROW(),$V$5:$V$1000,"Sub"),$X132))))</f>
        <v/>
      </c>
      <c r="N132" s="56">
        <f>IF(OR($M132="",$V132="Sub"),"",IF($M132&gt;=1,"Completado",IF($M132&gt;0,"En curso","Pendiente")))</f>
        <v/>
      </c>
      <c r="O132" s="56">
        <f>IF(OR(NOT((COUNTA($B132:$D132)+COUNTA($G132:$L132)+COUNTA($Q132))&gt;0),$V132="Sub"),"",IF(ISNUMBER($G132),IF(AND(ISNUMBER($AN132),$G132&gt;$AN132),"Cumplida con "&amp;($G132-$AN132)&amp;IF($G132-$AN132=1," día"," días")&amp;" de retraso","Cumplida"),IF(N($M132)&gt;=1,"Cumplida",IF(NOT(ISNUMBER($AN132)),"Sin fecha límite",IF($AN132&lt;FechaRef,"Vencida hace "&amp;(FechaRef-$AN132)&amp;IF(FechaRef-$AN132=1," día"," días"),IF($AN132=FechaRef,"Vence hoy",IF($AN132-FechaRef&lt;=DiasAlerta,"Vence en "&amp;($AN132-FechaRef)&amp;IF($AN132-FechaRef=1," día"," días"),"En plazo")))))))</f>
        <v/>
      </c>
      <c r="P132" s="62" t="n"/>
      <c r="Q132" s="58" t="n"/>
      <c r="R132" s="63">
        <f>IF(NOT((COUNTA($B132:$D132)+COUNTA($G132:$L132)+COUNTA($Q132))&gt;0),"",IF((IF($C132="","Falta el nombre de la actividad"&amp;" · ","")&amp;IF(AND($V132="Sub",N($U132)=0),"Subactividad sin macroactividad arriba"&amp;" · ","")&amp;IF($AM132="","Sin fecha de inicio"&amp;" · ","")&amp;IF($AN132="","Sin fecha límite"&amp;" · ","")&amp;IF(AND(LEFT($C132,11)="[Jefatura] ",N($AL132)=0),"No se encuentra en la hoja de la jefatura (elíjala de nuevo en la lista)"&amp;" · ","")&amp;IF(OR(AND($E132&lt;&gt;"",NOT(ISNUMBER($E132))),AND($F132&lt;&gt;"",NOT(ISNUMBER($F132))),AND($G132&lt;&gt;"",NOT(ISNUMBER($G132)))),"Fecha no válida"&amp;" · ","")&amp;IF(AND(ISNUMBER($AM132),ISNUMBER($AN132),$AM132&gt;$AN132),"Inicio posterior a fecha límite"&amp;" · ","")&amp;IF(AND($V132="Macro",$H132&lt;&gt;"",OR(NOT(ISNUMBER($H132)),$H132&lt;0,$H132&gt;1)),"Peso fuera de rango"&amp;" · ","")&amp;IF(AND($V132="Sub",$H132&lt;&gt;""),"Las subactividades no llevan peso (valen igual dentro de su macroactividad)"&amp;" · ","")&amp;IF(AND(N($W132)&gt;0,COUNT($I132:$L132)&gt;0),"Con subactividades: deje vacías las semanas (se calculan solas)"&amp;" · ","")&amp;IF((COUNTIF($I132:$L132,"&gt;1")+COUNTIF($I132:$L132,"&lt;0")+COUNTA($I132:$L132)-COUNT($I132:$L132))&gt;0,"Avance fuera de rango 0-100%"&amp;" · ","")&amp;IF(OR(AND($J132&lt;&gt;"",$J132&lt;$I132),AND($K132&lt;&gt;"",$K132&lt;MAX($I132:$J132)),AND($L132&lt;&gt;"",$L132&lt;MAX($I132:$K132))),"Avance semanal decreciente"&amp;" · ","")&amp;IF(AND(ISNUMBER($AN132),$AN132&lt;FechaRef,IF($V132="Sub",N($X132),N($M132))&lt;1),"Vencida"&amp;" · ","")&amp;IF(AND(ObsObligatoria="Sí",ISNUMBER($AN132),$AN132&lt;FechaRef,IF($V132="Sub",N($X132),N($M132))&lt;1,$Q132=""),"Vencida sin observación"&amp;" · ",""))="","✔ OK","⚠ "&amp;LEFT(IF($C132="","Falta el nombre de la actividad"&amp;" · ","")&amp;IF(AND($V132="Sub",N($U132)=0),"Subactividad sin macroactividad arriba"&amp;" · ","")&amp;IF($AM132="","Sin fecha de inicio"&amp;" · ","")&amp;IF($AN132="","Sin fecha límite"&amp;" · ","")&amp;IF(AND(LEFT($C132,11)="[Jefatura] ",N($AL132)=0),"No se encuentra en la hoja de la jefatura (elíjala de nuevo en la lista)"&amp;" · ","")&amp;IF(OR(AND($E132&lt;&gt;"",NOT(ISNUMBER($E132))),AND($F132&lt;&gt;"",NOT(ISNUMBER($F132))),AND($G132&lt;&gt;"",NOT(ISNUMBER($G132)))),"Fecha no válida"&amp;" · ","")&amp;IF(AND(ISNUMBER($AM132),ISNUMBER($AN132),$AM132&gt;$AN132),"Inicio posterior a fecha límite"&amp;" · ","")&amp;IF(AND($V132="Macro",$H132&lt;&gt;"",OR(NOT(ISNUMBER($H132)),$H132&lt;0,$H132&gt;1)),"Peso fuera de rango"&amp;" · ","")&amp;IF(AND($V132="Sub",$H132&lt;&gt;""),"Las subactividades no llevan peso (valen igual dentro de su macroactividad)"&amp;" · ","")&amp;IF(AND(N($W132)&gt;0,COUNT($I132:$L132)&gt;0),"Con subactividades: deje vacías las semanas (se calculan solas)"&amp;" · ","")&amp;IF((COUNTIF($I132:$L132,"&gt;1")+COUNTIF($I132:$L132,"&lt;0")+COUNTA($I132:$L132)-COUNT($I132:$L132))&gt;0,"Avance fuera de rango 0-100%"&amp;" · ","")&amp;IF(OR(AND($J132&lt;&gt;"",$J132&lt;$I132),AND($K132&lt;&gt;"",$K132&lt;MAX($I132:$J132)),AND($L132&lt;&gt;"",$L132&lt;MAX($I132:$K132))),"Avance semanal decreciente"&amp;" · ","")&amp;IF(AND(ISNUMBER($AN132),$AN132&lt;FechaRef,IF($V132="Sub",N($X132),N($M132))&lt;1),"Vencida"&amp;" · ","")&amp;IF(AND(ObsObligatoria="Sí",ISNUMBER($AN132),$AN132&lt;FechaRef,IF($V132="Sub",N($X132),N($M132))&lt;1,$Q132=""),"Vencida sin observación"&amp;" · ",""),LEN(IF($C132="","Falta el nombre de la actividad"&amp;" · ","")&amp;IF(AND($V132="Sub",N($U132)=0),"Subactividad sin macroactividad arriba"&amp;" · ","")&amp;IF($AM132="","Sin fecha de inicio"&amp;" · ","")&amp;IF($AN132="","Sin fecha límite"&amp;" · ","")&amp;IF(AND(LEFT($C132,11)="[Jefatura] ",N($AL132)=0),"No se encuentra en la hoja de la jefatura (elíjala de nuevo en la lista)"&amp;" · ","")&amp;IF(OR(AND($E132&lt;&gt;"",NOT(ISNUMBER($E132))),AND($F132&lt;&gt;"",NOT(ISNUMBER($F132))),AND($G132&lt;&gt;"",NOT(ISNUMBER($G132)))),"Fecha no válida"&amp;" · ","")&amp;IF(AND(ISNUMBER($AM132),ISNUMBER($AN132),$AM132&gt;$AN132),"Inicio posterior a fecha límite"&amp;" · ","")&amp;IF(AND($V132="Macro",$H132&lt;&gt;"",OR(NOT(ISNUMBER($H132)),$H132&lt;0,$H132&gt;1)),"Peso fuera de rango"&amp;" · ","")&amp;IF(AND($V132="Sub",$H132&lt;&gt;""),"Las subactividades no llevan peso (valen igual dentro de su macroactividad)"&amp;" · ","")&amp;IF(AND(N($W132)&gt;0,COUNT($I132:$L132)&gt;0),"Con subactividades: deje vacías las semanas (se calculan solas)"&amp;" · ","")&amp;IF((COUNTIF($I132:$L132,"&gt;1")+COUNTIF($I132:$L132,"&lt;0")+COUNTA($I132:$L132)-COUNT($I132:$L132))&gt;0,"Avance fuera de rango 0-100%"&amp;" · ","")&amp;IF(OR(AND($J132&lt;&gt;"",$J132&lt;$I132),AND($K132&lt;&gt;"",$K132&lt;MAX($I132:$J132)),AND($L132&lt;&gt;"",$L132&lt;MAX($I132:$K132))),"Avance semanal decreciente"&amp;" · ","")&amp;IF(AND(ISNUMBER($AN132),$AN132&lt;FechaRef,IF($V132="Sub",N($X132),N($M132))&lt;1),"Vencida"&amp;" · ","")&amp;IF(AND(ObsObligatoria="Sí",ISNUMBER($AN132),$AN132&lt;FechaRef,IF($V132="Sub",N($X132),N($M132))&lt;1,$Q132=""),"Vencida sin observación"&amp;" · ",""))-3)))</f>
        <v/>
      </c>
      <c r="S132" s="64">
        <f>IF(NOT((COUNTA($B132:$D132)+COUNTA($G132:$L132)+COUNTA($Q132))&gt;0),"",IF(AND($V132="Sub",N($U132)&gt;0),IF(ISNUMBER(INDEX($AM$5:$AM$1000,$U132-4)),DATE(YEAR(INDEX($AM$5:$AM$1000,$U132-4)),MONTH(INDEX($AM$5:$AM$1000,$U132-4)),1),IF(ISNUMBER(INDEX($AN$5:$AN$1000,$U132-4)),DATE(YEAR(INDEX($AN$5:$AN$1000,$U132-4)),MONTH(INDEX($AN$5:$AN$1000,$U132-4)),1),MesCiclo)),IF(ISNUMBER($AM132),DATE(YEAR($AM132),MONTH($AM132),1),IF(ISNUMBER($AN132),DATE(YEAR($AN132),MONTH($AN132),1),MesCiclo))))</f>
        <v/>
      </c>
      <c r="T132" s="62">
        <f>IF(OR($S132="",$S132&lt;&gt;MesCiclo,$V132&lt;&gt;"Macro"),"",COUNTIFS($S$5:$S132,MesCiclo,$V$5:$V132,"Macro"))</f>
        <v/>
      </c>
      <c r="U132" s="62">
        <f>IF($V132="","",IF($V132="Macro",ROW(),IFERROR(LOOKUP(2,1/($V$5:$V132="Macro"),ROW($V$5:$V132)),0)))</f>
        <v/>
      </c>
      <c r="V132" s="62">
        <f>IF(NOT((COUNTA($B132:$D132)+COUNTA($G132:$L132)+COUNTA($Q132))&gt;0),"",IF($B132="Subactividad","Sub","Macro"))</f>
        <v/>
      </c>
      <c r="W132" s="62">
        <f>IF($V132="Macro",COUNTIFS($U$5:$U$1000,ROW(),$V$5:$V$1000,"Sub"),"")</f>
        <v/>
      </c>
      <c r="X132" s="62">
        <f>IF($V132="","",IF(ISNUMBER($G132),1,IFERROR(LOOKUP(2,1/($I132:$L132&lt;&gt;""),$I132:$L132),0)))</f>
        <v/>
      </c>
      <c r="Y132" s="62">
        <f>IF($V132="","",IF(AND(ISNUMBER($G132),$G132&lt;=IF($S132=MesCiclo,InicioCiclo,$S132+MOD(2-WEEKDAY($S132),7))+6),1,IF(ISNUMBER($I132),$I132,0)))</f>
        <v/>
      </c>
      <c r="Z132" s="62">
        <f>IF($V132="","",IF(AND(ISNUMBER($G132),$G132&lt;=IF($S132=MesCiclo,InicioCiclo,$S132+MOD(2-WEEKDAY($S132),7))+13),1,IF(ISNUMBER($J132),$J132,$Y132)))</f>
        <v/>
      </c>
      <c r="AA132" s="62">
        <f>IF($V132="","",IF(AND(ISNUMBER($G132),$G132&lt;=IF($S132=MesCiclo,InicioCiclo,$S132+MOD(2-WEEKDAY($S132),7))+20),1,IF(ISNUMBER($K132),$K132,$Z132)))</f>
        <v/>
      </c>
      <c r="AB132" s="62">
        <f>IF($V132="","",IF(AND(ISNUMBER($G132),$G132&lt;=IF($S132=MesCiclo,InicioCiclo,$S132+MOD(2-WEEKDAY($S132),7))+27),1,IF(ISNUMBER($L132),$L132,$AA132)))</f>
        <v/>
      </c>
      <c r="AC132" s="62">
        <f>IF($V132="","",IF(AND(ISNUMBER($G132),$G132&lt;=IF($S132=MesCiclo,InicioCiclo,$S132+MOD(2-WEEKDAY($S132),7))+6),1,IF(N($W132)&gt;0,AVERAGEIFS($Y$5:$Y$1000,$U$5:$U$1000,ROW(),$V$5:$V$1000,"Sub"),$Y132)))</f>
        <v/>
      </c>
      <c r="AD132" s="62">
        <f>IF($V132="","",IF(AND(ISNUMBER($G132),$G132&lt;=IF($S132=MesCiclo,InicioCiclo,$S132+MOD(2-WEEKDAY($S132),7))+13),1,IF(N($W132)&gt;0,AVERAGEIFS($Z$5:$Z$1000,$U$5:$U$1000,ROW(),$V$5:$V$1000,"Sub"),$Z132)))</f>
        <v/>
      </c>
      <c r="AE132" s="62">
        <f>IF($V132="","",IF(AND(ISNUMBER($G132),$G132&lt;=IF($S132=MesCiclo,InicioCiclo,$S132+MOD(2-WEEKDAY($S132),7))+20),1,IF(N($W132)&gt;0,AVERAGEIFS($AA$5:$AA$1000,$U$5:$U$1000,ROW(),$V$5:$V$1000,"Sub"),$AA132)))</f>
        <v/>
      </c>
      <c r="AF132" s="62">
        <f>IF($V132="","",IF(AND(ISNUMBER($G132),$G132&lt;=IF($S132=MesCiclo,InicioCiclo,$S132+MOD(2-WEEKDAY($S132),7))+27),1,IF(N($W132)&gt;0,AVERAGEIFS($AB$5:$AB$1000,$U$5:$U$1000,ROW(),$V$5:$V$1000,"Sub"),$AB132)))</f>
        <v/>
      </c>
      <c r="AG132" s="62">
        <f>IF($V132&lt;&gt;"Macro","",IF(COUNTIFS($S$5:$S$1000,$S132,$V$5:$V$1000,"Macro",$H$5:$H$1000,"&gt;0")=0,1/COUNTIFS($S$5:$S$1000,$S132,$V$5:$V$1000,"Macro"),IF(AND(ISNUMBER($H132),N($H132)&gt;0),$H132,SUMIFS($H$5:$H$1000,$S$5:$S$1000,$S132,$V$5:$V$1000,"Macro")/COUNTIFS($S$5:$S$1000,$S132,$V$5:$V$1000,"Macro",$H$5:$H$1000,"&gt;0"))/(COUNTIFS($S$5:$S$1000,$S132,$V$5:$V$1000,"Macro")*SUMIFS($H$5:$H$1000,$S$5:$S$1000,$S132,$V$5:$V$1000,"Macro")/COUNTIFS($S$5:$S$1000,$S132,$V$5:$V$1000,"Macro",$H$5:$H$1000,"&gt;0"))))</f>
        <v/>
      </c>
      <c r="AH132" s="62" t="n"/>
      <c r="AI132" s="62" t="n"/>
      <c r="AJ132" s="62" t="n"/>
      <c r="AK132" s="62" t="n"/>
      <c r="AL132" s="62">
        <f>IF(LEFT($C132,11)="[Jefatura] ",IFERROR(MATCH("Asistente Técnico de Riesgo|"&amp;MID($C132,12,500),rDname_ADM,0),0),"")</f>
        <v/>
      </c>
      <c r="AM132" s="62">
        <f>IF(N($AL132)&gt;0,INDEX(rIni_ADM,$AL132),IF(ISNUMBER($E132),$E132,""))</f>
        <v/>
      </c>
      <c r="AN132" s="62">
        <f>IF(N($AL132)&gt;0,INDEX(rLim_ADM,$AL132),IF(ISNUMBER($F132),$F132,""))</f>
        <v/>
      </c>
    </row>
    <row r="133">
      <c r="A133" s="56">
        <f>IF(NOT((COUNTA($B133:$D133)+COUNTA($G133:$L133)+COUNTA($Q133))&gt;0),"",IF($V133="Macro",COUNTIFS($V$5:$V133,"Macro",$S$5:$S133,$S133),IF(N($U133)=0,"?",COUNTIFS(INDEX($V$5:$V$1000,1):INDEX($V$5:$V$1000,$U133-4),"Macro",INDEX($S$5:$S$1000,1):INDEX($S$5:$S$1000,$U133-4),INDEX($S$5:$S$1000,$U133-4))&amp;"."&amp;COUNTIFS($U$5:$U133,$U133,$V$5:$V133,"Sub"))))</f>
        <v/>
      </c>
      <c r="B133" s="57" t="n"/>
      <c r="C133" s="58" t="n"/>
      <c r="D133" s="58" t="n"/>
      <c r="E133" s="59">
        <f>IF(N($AL133)&gt;0,INDEX(rIni_ADM,$AL133),"")</f>
        <v/>
      </c>
      <c r="F133" s="59">
        <f>IF(N($AL133)&gt;0,INDEX(rLim_ADM,$AL133),"")</f>
        <v/>
      </c>
      <c r="G133" s="59" t="n"/>
      <c r="H133" s="60" t="n"/>
      <c r="I133" s="60" t="n"/>
      <c r="J133" s="60" t="n"/>
      <c r="K133" s="60" t="n"/>
      <c r="L133" s="60" t="n"/>
      <c r="M133" s="61">
        <f>IF(NOT((COUNTA($B133:$D133)+COUNTA($G133:$L133)+COUNTA($Q133))&gt;0),"",IF($V133="Sub",IFERROR($X133/INDEX($W$5:$W$1000,$U133-4),""),IF(ISNUMBER($G133),1,IF(N($W133)&gt;0,AVERAGEIFS($X$5:$X$1000,$U$5:$U$1000,ROW(),$V$5:$V$1000,"Sub"),$X133))))</f>
        <v/>
      </c>
      <c r="N133" s="56">
        <f>IF(OR($M133="",$V133="Sub"),"",IF($M133&gt;=1,"Completado",IF($M133&gt;0,"En curso","Pendiente")))</f>
        <v/>
      </c>
      <c r="O133" s="56">
        <f>IF(OR(NOT((COUNTA($B133:$D133)+COUNTA($G133:$L133)+COUNTA($Q133))&gt;0),$V133="Sub"),"",IF(ISNUMBER($G133),IF(AND(ISNUMBER($AN133),$G133&gt;$AN133),"Cumplida con "&amp;($G133-$AN133)&amp;IF($G133-$AN133=1," día"," días")&amp;" de retraso","Cumplida"),IF(N($M133)&gt;=1,"Cumplida",IF(NOT(ISNUMBER($AN133)),"Sin fecha límite",IF($AN133&lt;FechaRef,"Vencida hace "&amp;(FechaRef-$AN133)&amp;IF(FechaRef-$AN133=1," día"," días"),IF($AN133=FechaRef,"Vence hoy",IF($AN133-FechaRef&lt;=DiasAlerta,"Vence en "&amp;($AN133-FechaRef)&amp;IF($AN133-FechaRef=1," día"," días"),"En plazo")))))))</f>
        <v/>
      </c>
      <c r="P133" s="62" t="n"/>
      <c r="Q133" s="58" t="n"/>
      <c r="R133" s="63">
        <f>IF(NOT((COUNTA($B133:$D133)+COUNTA($G133:$L133)+COUNTA($Q133))&gt;0),"",IF((IF($C133="","Falta el nombre de la actividad"&amp;" · ","")&amp;IF(AND($V133="Sub",N($U133)=0),"Subactividad sin macroactividad arriba"&amp;" · ","")&amp;IF($AM133="","Sin fecha de inicio"&amp;" · ","")&amp;IF($AN133="","Sin fecha límite"&amp;" · ","")&amp;IF(AND(LEFT($C133,11)="[Jefatura] ",N($AL133)=0),"No se encuentra en la hoja de la jefatura (elíjala de nuevo en la lista)"&amp;" · ","")&amp;IF(OR(AND($E133&lt;&gt;"",NOT(ISNUMBER($E133))),AND($F133&lt;&gt;"",NOT(ISNUMBER($F133))),AND($G133&lt;&gt;"",NOT(ISNUMBER($G133)))),"Fecha no válida"&amp;" · ","")&amp;IF(AND(ISNUMBER($AM133),ISNUMBER($AN133),$AM133&gt;$AN133),"Inicio posterior a fecha límite"&amp;" · ","")&amp;IF(AND($V133="Macro",$H133&lt;&gt;"",OR(NOT(ISNUMBER($H133)),$H133&lt;0,$H133&gt;1)),"Peso fuera de rango"&amp;" · ","")&amp;IF(AND($V133="Sub",$H133&lt;&gt;""),"Las subactividades no llevan peso (valen igual dentro de su macroactividad)"&amp;" · ","")&amp;IF(AND(N($W133)&gt;0,COUNT($I133:$L133)&gt;0),"Con subactividades: deje vacías las semanas (se calculan solas)"&amp;" · ","")&amp;IF((COUNTIF($I133:$L133,"&gt;1")+COUNTIF($I133:$L133,"&lt;0")+COUNTA($I133:$L133)-COUNT($I133:$L133))&gt;0,"Avance fuera de rango 0-100%"&amp;" · ","")&amp;IF(OR(AND($J133&lt;&gt;"",$J133&lt;$I133),AND($K133&lt;&gt;"",$K133&lt;MAX($I133:$J133)),AND($L133&lt;&gt;"",$L133&lt;MAX($I133:$K133))),"Avance semanal decreciente"&amp;" · ","")&amp;IF(AND(ISNUMBER($AN133),$AN133&lt;FechaRef,IF($V133="Sub",N($X133),N($M133))&lt;1),"Vencida"&amp;" · ","")&amp;IF(AND(ObsObligatoria="Sí",ISNUMBER($AN133),$AN133&lt;FechaRef,IF($V133="Sub",N($X133),N($M133))&lt;1,$Q133=""),"Vencida sin observación"&amp;" · ",""))="","✔ OK","⚠ "&amp;LEFT(IF($C133="","Falta el nombre de la actividad"&amp;" · ","")&amp;IF(AND($V133="Sub",N($U133)=0),"Subactividad sin macroactividad arriba"&amp;" · ","")&amp;IF($AM133="","Sin fecha de inicio"&amp;" · ","")&amp;IF($AN133="","Sin fecha límite"&amp;" · ","")&amp;IF(AND(LEFT($C133,11)="[Jefatura] ",N($AL133)=0),"No se encuentra en la hoja de la jefatura (elíjala de nuevo en la lista)"&amp;" · ","")&amp;IF(OR(AND($E133&lt;&gt;"",NOT(ISNUMBER($E133))),AND($F133&lt;&gt;"",NOT(ISNUMBER($F133))),AND($G133&lt;&gt;"",NOT(ISNUMBER($G133)))),"Fecha no válida"&amp;" · ","")&amp;IF(AND(ISNUMBER($AM133),ISNUMBER($AN133),$AM133&gt;$AN133),"Inicio posterior a fecha límite"&amp;" · ","")&amp;IF(AND($V133="Macro",$H133&lt;&gt;"",OR(NOT(ISNUMBER($H133)),$H133&lt;0,$H133&gt;1)),"Peso fuera de rango"&amp;" · ","")&amp;IF(AND($V133="Sub",$H133&lt;&gt;""),"Las subactividades no llevan peso (valen igual dentro de su macroactividad)"&amp;" · ","")&amp;IF(AND(N($W133)&gt;0,COUNT($I133:$L133)&gt;0),"Con subactividades: deje vacías las semanas (se calculan solas)"&amp;" · ","")&amp;IF((COUNTIF($I133:$L133,"&gt;1")+COUNTIF($I133:$L133,"&lt;0")+COUNTA($I133:$L133)-COUNT($I133:$L133))&gt;0,"Avance fuera de rango 0-100%"&amp;" · ","")&amp;IF(OR(AND($J133&lt;&gt;"",$J133&lt;$I133),AND($K133&lt;&gt;"",$K133&lt;MAX($I133:$J133)),AND($L133&lt;&gt;"",$L133&lt;MAX($I133:$K133))),"Avance semanal decreciente"&amp;" · ","")&amp;IF(AND(ISNUMBER($AN133),$AN133&lt;FechaRef,IF($V133="Sub",N($X133),N($M133))&lt;1),"Vencida"&amp;" · ","")&amp;IF(AND(ObsObligatoria="Sí",ISNUMBER($AN133),$AN133&lt;FechaRef,IF($V133="Sub",N($X133),N($M133))&lt;1,$Q133=""),"Vencida sin observación"&amp;" · ",""),LEN(IF($C133="","Falta el nombre de la actividad"&amp;" · ","")&amp;IF(AND($V133="Sub",N($U133)=0),"Subactividad sin macroactividad arriba"&amp;" · ","")&amp;IF($AM133="","Sin fecha de inicio"&amp;" · ","")&amp;IF($AN133="","Sin fecha límite"&amp;" · ","")&amp;IF(AND(LEFT($C133,11)="[Jefatura] ",N($AL133)=0),"No se encuentra en la hoja de la jefatura (elíjala de nuevo en la lista)"&amp;" · ","")&amp;IF(OR(AND($E133&lt;&gt;"",NOT(ISNUMBER($E133))),AND($F133&lt;&gt;"",NOT(ISNUMBER($F133))),AND($G133&lt;&gt;"",NOT(ISNUMBER($G133)))),"Fecha no válida"&amp;" · ","")&amp;IF(AND(ISNUMBER($AM133),ISNUMBER($AN133),$AM133&gt;$AN133),"Inicio posterior a fecha límite"&amp;" · ","")&amp;IF(AND($V133="Macro",$H133&lt;&gt;"",OR(NOT(ISNUMBER($H133)),$H133&lt;0,$H133&gt;1)),"Peso fuera de rango"&amp;" · ","")&amp;IF(AND($V133="Sub",$H133&lt;&gt;""),"Las subactividades no llevan peso (valen igual dentro de su macroactividad)"&amp;" · ","")&amp;IF(AND(N($W133)&gt;0,COUNT($I133:$L133)&gt;0),"Con subactividades: deje vacías las semanas (se calculan solas)"&amp;" · ","")&amp;IF((COUNTIF($I133:$L133,"&gt;1")+COUNTIF($I133:$L133,"&lt;0")+COUNTA($I133:$L133)-COUNT($I133:$L133))&gt;0,"Avance fuera de rango 0-100%"&amp;" · ","")&amp;IF(OR(AND($J133&lt;&gt;"",$J133&lt;$I133),AND($K133&lt;&gt;"",$K133&lt;MAX($I133:$J133)),AND($L133&lt;&gt;"",$L133&lt;MAX($I133:$K133))),"Avance semanal decreciente"&amp;" · ","")&amp;IF(AND(ISNUMBER($AN133),$AN133&lt;FechaRef,IF($V133="Sub",N($X133),N($M133))&lt;1),"Vencida"&amp;" · ","")&amp;IF(AND(ObsObligatoria="Sí",ISNUMBER($AN133),$AN133&lt;FechaRef,IF($V133="Sub",N($X133),N($M133))&lt;1,$Q133=""),"Vencida sin observación"&amp;" · ",""))-3)))</f>
        <v/>
      </c>
      <c r="S133" s="64">
        <f>IF(NOT((COUNTA($B133:$D133)+COUNTA($G133:$L133)+COUNTA($Q133))&gt;0),"",IF(AND($V133="Sub",N($U133)&gt;0),IF(ISNUMBER(INDEX($AM$5:$AM$1000,$U133-4)),DATE(YEAR(INDEX($AM$5:$AM$1000,$U133-4)),MONTH(INDEX($AM$5:$AM$1000,$U133-4)),1),IF(ISNUMBER(INDEX($AN$5:$AN$1000,$U133-4)),DATE(YEAR(INDEX($AN$5:$AN$1000,$U133-4)),MONTH(INDEX($AN$5:$AN$1000,$U133-4)),1),MesCiclo)),IF(ISNUMBER($AM133),DATE(YEAR($AM133),MONTH($AM133),1),IF(ISNUMBER($AN133),DATE(YEAR($AN133),MONTH($AN133),1),MesCiclo))))</f>
        <v/>
      </c>
      <c r="T133" s="62">
        <f>IF(OR($S133="",$S133&lt;&gt;MesCiclo,$V133&lt;&gt;"Macro"),"",COUNTIFS($S$5:$S133,MesCiclo,$V$5:$V133,"Macro"))</f>
        <v/>
      </c>
      <c r="U133" s="62">
        <f>IF($V133="","",IF($V133="Macro",ROW(),IFERROR(LOOKUP(2,1/($V$5:$V133="Macro"),ROW($V$5:$V133)),0)))</f>
        <v/>
      </c>
      <c r="V133" s="62">
        <f>IF(NOT((COUNTA($B133:$D133)+COUNTA($G133:$L133)+COUNTA($Q133))&gt;0),"",IF($B133="Subactividad","Sub","Macro"))</f>
        <v/>
      </c>
      <c r="W133" s="62">
        <f>IF($V133="Macro",COUNTIFS($U$5:$U$1000,ROW(),$V$5:$V$1000,"Sub"),"")</f>
        <v/>
      </c>
      <c r="X133" s="62">
        <f>IF($V133="","",IF(ISNUMBER($G133),1,IFERROR(LOOKUP(2,1/($I133:$L133&lt;&gt;""),$I133:$L133),0)))</f>
        <v/>
      </c>
      <c r="Y133" s="62">
        <f>IF($V133="","",IF(AND(ISNUMBER($G133),$G133&lt;=IF($S133=MesCiclo,InicioCiclo,$S133+MOD(2-WEEKDAY($S133),7))+6),1,IF(ISNUMBER($I133),$I133,0)))</f>
        <v/>
      </c>
      <c r="Z133" s="62">
        <f>IF($V133="","",IF(AND(ISNUMBER($G133),$G133&lt;=IF($S133=MesCiclo,InicioCiclo,$S133+MOD(2-WEEKDAY($S133),7))+13),1,IF(ISNUMBER($J133),$J133,$Y133)))</f>
        <v/>
      </c>
      <c r="AA133" s="62">
        <f>IF($V133="","",IF(AND(ISNUMBER($G133),$G133&lt;=IF($S133=MesCiclo,InicioCiclo,$S133+MOD(2-WEEKDAY($S133),7))+20),1,IF(ISNUMBER($K133),$K133,$Z133)))</f>
        <v/>
      </c>
      <c r="AB133" s="62">
        <f>IF($V133="","",IF(AND(ISNUMBER($G133),$G133&lt;=IF($S133=MesCiclo,InicioCiclo,$S133+MOD(2-WEEKDAY($S133),7))+27),1,IF(ISNUMBER($L133),$L133,$AA133)))</f>
        <v/>
      </c>
      <c r="AC133" s="62">
        <f>IF($V133="","",IF(AND(ISNUMBER($G133),$G133&lt;=IF($S133=MesCiclo,InicioCiclo,$S133+MOD(2-WEEKDAY($S133),7))+6),1,IF(N($W133)&gt;0,AVERAGEIFS($Y$5:$Y$1000,$U$5:$U$1000,ROW(),$V$5:$V$1000,"Sub"),$Y133)))</f>
        <v/>
      </c>
      <c r="AD133" s="62">
        <f>IF($V133="","",IF(AND(ISNUMBER($G133),$G133&lt;=IF($S133=MesCiclo,InicioCiclo,$S133+MOD(2-WEEKDAY($S133),7))+13),1,IF(N($W133)&gt;0,AVERAGEIFS($Z$5:$Z$1000,$U$5:$U$1000,ROW(),$V$5:$V$1000,"Sub"),$Z133)))</f>
        <v/>
      </c>
      <c r="AE133" s="62">
        <f>IF($V133="","",IF(AND(ISNUMBER($G133),$G133&lt;=IF($S133=MesCiclo,InicioCiclo,$S133+MOD(2-WEEKDAY($S133),7))+20),1,IF(N($W133)&gt;0,AVERAGEIFS($AA$5:$AA$1000,$U$5:$U$1000,ROW(),$V$5:$V$1000,"Sub"),$AA133)))</f>
        <v/>
      </c>
      <c r="AF133" s="62">
        <f>IF($V133="","",IF(AND(ISNUMBER($G133),$G133&lt;=IF($S133=MesCiclo,InicioCiclo,$S133+MOD(2-WEEKDAY($S133),7))+27),1,IF(N($W133)&gt;0,AVERAGEIFS($AB$5:$AB$1000,$U$5:$U$1000,ROW(),$V$5:$V$1000,"Sub"),$AB133)))</f>
        <v/>
      </c>
      <c r="AG133" s="62">
        <f>IF($V133&lt;&gt;"Macro","",IF(COUNTIFS($S$5:$S$1000,$S133,$V$5:$V$1000,"Macro",$H$5:$H$1000,"&gt;0")=0,1/COUNTIFS($S$5:$S$1000,$S133,$V$5:$V$1000,"Macro"),IF(AND(ISNUMBER($H133),N($H133)&gt;0),$H133,SUMIFS($H$5:$H$1000,$S$5:$S$1000,$S133,$V$5:$V$1000,"Macro")/COUNTIFS($S$5:$S$1000,$S133,$V$5:$V$1000,"Macro",$H$5:$H$1000,"&gt;0"))/(COUNTIFS($S$5:$S$1000,$S133,$V$5:$V$1000,"Macro")*SUMIFS($H$5:$H$1000,$S$5:$S$1000,$S133,$V$5:$V$1000,"Macro")/COUNTIFS($S$5:$S$1000,$S133,$V$5:$V$1000,"Macro",$H$5:$H$1000,"&gt;0"))))</f>
        <v/>
      </c>
      <c r="AH133" s="62" t="n"/>
      <c r="AI133" s="62" t="n"/>
      <c r="AJ133" s="62" t="n"/>
      <c r="AK133" s="62" t="n"/>
      <c r="AL133" s="62">
        <f>IF(LEFT($C133,11)="[Jefatura] ",IFERROR(MATCH("Asistente Técnico de Riesgo|"&amp;MID($C133,12,500),rDname_ADM,0),0),"")</f>
        <v/>
      </c>
      <c r="AM133" s="62">
        <f>IF(N($AL133)&gt;0,INDEX(rIni_ADM,$AL133),IF(ISNUMBER($E133),$E133,""))</f>
        <v/>
      </c>
      <c r="AN133" s="62">
        <f>IF(N($AL133)&gt;0,INDEX(rLim_ADM,$AL133),IF(ISNUMBER($F133),$F133,""))</f>
        <v/>
      </c>
    </row>
    <row r="134">
      <c r="A134" s="56">
        <f>IF(NOT((COUNTA($B134:$D134)+COUNTA($G134:$L134)+COUNTA($Q134))&gt;0),"",IF($V134="Macro",COUNTIFS($V$5:$V134,"Macro",$S$5:$S134,$S134),IF(N($U134)=0,"?",COUNTIFS(INDEX($V$5:$V$1000,1):INDEX($V$5:$V$1000,$U134-4),"Macro",INDEX($S$5:$S$1000,1):INDEX($S$5:$S$1000,$U134-4),INDEX($S$5:$S$1000,$U134-4))&amp;"."&amp;COUNTIFS($U$5:$U134,$U134,$V$5:$V134,"Sub"))))</f>
        <v/>
      </c>
      <c r="B134" s="57" t="n"/>
      <c r="C134" s="58" t="n"/>
      <c r="D134" s="58" t="n"/>
      <c r="E134" s="59">
        <f>IF(N($AL134)&gt;0,INDEX(rIni_ADM,$AL134),"")</f>
        <v/>
      </c>
      <c r="F134" s="59">
        <f>IF(N($AL134)&gt;0,INDEX(rLim_ADM,$AL134),"")</f>
        <v/>
      </c>
      <c r="G134" s="59" t="n"/>
      <c r="H134" s="60" t="n"/>
      <c r="I134" s="60" t="n"/>
      <c r="J134" s="60" t="n"/>
      <c r="K134" s="60" t="n"/>
      <c r="L134" s="60" t="n"/>
      <c r="M134" s="61">
        <f>IF(NOT((COUNTA($B134:$D134)+COUNTA($G134:$L134)+COUNTA($Q134))&gt;0),"",IF($V134="Sub",IFERROR($X134/INDEX($W$5:$W$1000,$U134-4),""),IF(ISNUMBER($G134),1,IF(N($W134)&gt;0,AVERAGEIFS($X$5:$X$1000,$U$5:$U$1000,ROW(),$V$5:$V$1000,"Sub"),$X134))))</f>
        <v/>
      </c>
      <c r="N134" s="56">
        <f>IF(OR($M134="",$V134="Sub"),"",IF($M134&gt;=1,"Completado",IF($M134&gt;0,"En curso","Pendiente")))</f>
        <v/>
      </c>
      <c r="O134" s="56">
        <f>IF(OR(NOT((COUNTA($B134:$D134)+COUNTA($G134:$L134)+COUNTA($Q134))&gt;0),$V134="Sub"),"",IF(ISNUMBER($G134),IF(AND(ISNUMBER($AN134),$G134&gt;$AN134),"Cumplida con "&amp;($G134-$AN134)&amp;IF($G134-$AN134=1," día"," días")&amp;" de retraso","Cumplida"),IF(N($M134)&gt;=1,"Cumplida",IF(NOT(ISNUMBER($AN134)),"Sin fecha límite",IF($AN134&lt;FechaRef,"Vencida hace "&amp;(FechaRef-$AN134)&amp;IF(FechaRef-$AN134=1," día"," días"),IF($AN134=FechaRef,"Vence hoy",IF($AN134-FechaRef&lt;=DiasAlerta,"Vence en "&amp;($AN134-FechaRef)&amp;IF($AN134-FechaRef=1," día"," días"),"En plazo")))))))</f>
        <v/>
      </c>
      <c r="P134" s="62" t="n"/>
      <c r="Q134" s="58" t="n"/>
      <c r="R134" s="63">
        <f>IF(NOT((COUNTA($B134:$D134)+COUNTA($G134:$L134)+COUNTA($Q134))&gt;0),"",IF((IF($C134="","Falta el nombre de la actividad"&amp;" · ","")&amp;IF(AND($V134="Sub",N($U134)=0),"Subactividad sin macroactividad arriba"&amp;" · ","")&amp;IF($AM134="","Sin fecha de inicio"&amp;" · ","")&amp;IF($AN134="","Sin fecha límite"&amp;" · ","")&amp;IF(AND(LEFT($C134,11)="[Jefatura] ",N($AL134)=0),"No se encuentra en la hoja de la jefatura (elíjala de nuevo en la lista)"&amp;" · ","")&amp;IF(OR(AND($E134&lt;&gt;"",NOT(ISNUMBER($E134))),AND($F134&lt;&gt;"",NOT(ISNUMBER($F134))),AND($G134&lt;&gt;"",NOT(ISNUMBER($G134)))),"Fecha no válida"&amp;" · ","")&amp;IF(AND(ISNUMBER($AM134),ISNUMBER($AN134),$AM134&gt;$AN134),"Inicio posterior a fecha límite"&amp;" · ","")&amp;IF(AND($V134="Macro",$H134&lt;&gt;"",OR(NOT(ISNUMBER($H134)),$H134&lt;0,$H134&gt;1)),"Peso fuera de rango"&amp;" · ","")&amp;IF(AND($V134="Sub",$H134&lt;&gt;""),"Las subactividades no llevan peso (valen igual dentro de su macroactividad)"&amp;" · ","")&amp;IF(AND(N($W134)&gt;0,COUNT($I134:$L134)&gt;0),"Con subactividades: deje vacías las semanas (se calculan solas)"&amp;" · ","")&amp;IF((COUNTIF($I134:$L134,"&gt;1")+COUNTIF($I134:$L134,"&lt;0")+COUNTA($I134:$L134)-COUNT($I134:$L134))&gt;0,"Avance fuera de rango 0-100%"&amp;" · ","")&amp;IF(OR(AND($J134&lt;&gt;"",$J134&lt;$I134),AND($K134&lt;&gt;"",$K134&lt;MAX($I134:$J134)),AND($L134&lt;&gt;"",$L134&lt;MAX($I134:$K134))),"Avance semanal decreciente"&amp;" · ","")&amp;IF(AND(ISNUMBER($AN134),$AN134&lt;FechaRef,IF($V134="Sub",N($X134),N($M134))&lt;1),"Vencida"&amp;" · ","")&amp;IF(AND(ObsObligatoria="Sí",ISNUMBER($AN134),$AN134&lt;FechaRef,IF($V134="Sub",N($X134),N($M134))&lt;1,$Q134=""),"Vencida sin observación"&amp;" · ",""))="","✔ OK","⚠ "&amp;LEFT(IF($C134="","Falta el nombre de la actividad"&amp;" · ","")&amp;IF(AND($V134="Sub",N($U134)=0),"Subactividad sin macroactividad arriba"&amp;" · ","")&amp;IF($AM134="","Sin fecha de inicio"&amp;" · ","")&amp;IF($AN134="","Sin fecha límite"&amp;" · ","")&amp;IF(AND(LEFT($C134,11)="[Jefatura] ",N($AL134)=0),"No se encuentra en la hoja de la jefatura (elíjala de nuevo en la lista)"&amp;" · ","")&amp;IF(OR(AND($E134&lt;&gt;"",NOT(ISNUMBER($E134))),AND($F134&lt;&gt;"",NOT(ISNUMBER($F134))),AND($G134&lt;&gt;"",NOT(ISNUMBER($G134)))),"Fecha no válida"&amp;" · ","")&amp;IF(AND(ISNUMBER($AM134),ISNUMBER($AN134),$AM134&gt;$AN134),"Inicio posterior a fecha límite"&amp;" · ","")&amp;IF(AND($V134="Macro",$H134&lt;&gt;"",OR(NOT(ISNUMBER($H134)),$H134&lt;0,$H134&gt;1)),"Peso fuera de rango"&amp;" · ","")&amp;IF(AND($V134="Sub",$H134&lt;&gt;""),"Las subactividades no llevan peso (valen igual dentro de su macroactividad)"&amp;" · ","")&amp;IF(AND(N($W134)&gt;0,COUNT($I134:$L134)&gt;0),"Con subactividades: deje vacías las semanas (se calculan solas)"&amp;" · ","")&amp;IF((COUNTIF($I134:$L134,"&gt;1")+COUNTIF($I134:$L134,"&lt;0")+COUNTA($I134:$L134)-COUNT($I134:$L134))&gt;0,"Avance fuera de rango 0-100%"&amp;" · ","")&amp;IF(OR(AND($J134&lt;&gt;"",$J134&lt;$I134),AND($K134&lt;&gt;"",$K134&lt;MAX($I134:$J134)),AND($L134&lt;&gt;"",$L134&lt;MAX($I134:$K134))),"Avance semanal decreciente"&amp;" · ","")&amp;IF(AND(ISNUMBER($AN134),$AN134&lt;FechaRef,IF($V134="Sub",N($X134),N($M134))&lt;1),"Vencida"&amp;" · ","")&amp;IF(AND(ObsObligatoria="Sí",ISNUMBER($AN134),$AN134&lt;FechaRef,IF($V134="Sub",N($X134),N($M134))&lt;1,$Q134=""),"Vencida sin observación"&amp;" · ",""),LEN(IF($C134="","Falta el nombre de la actividad"&amp;" · ","")&amp;IF(AND($V134="Sub",N($U134)=0),"Subactividad sin macroactividad arriba"&amp;" · ","")&amp;IF($AM134="","Sin fecha de inicio"&amp;" · ","")&amp;IF($AN134="","Sin fecha límite"&amp;" · ","")&amp;IF(AND(LEFT($C134,11)="[Jefatura] ",N($AL134)=0),"No se encuentra en la hoja de la jefatura (elíjala de nuevo en la lista)"&amp;" · ","")&amp;IF(OR(AND($E134&lt;&gt;"",NOT(ISNUMBER($E134))),AND($F134&lt;&gt;"",NOT(ISNUMBER($F134))),AND($G134&lt;&gt;"",NOT(ISNUMBER($G134)))),"Fecha no válida"&amp;" · ","")&amp;IF(AND(ISNUMBER($AM134),ISNUMBER($AN134),$AM134&gt;$AN134),"Inicio posterior a fecha límite"&amp;" · ","")&amp;IF(AND($V134="Macro",$H134&lt;&gt;"",OR(NOT(ISNUMBER($H134)),$H134&lt;0,$H134&gt;1)),"Peso fuera de rango"&amp;" · ","")&amp;IF(AND($V134="Sub",$H134&lt;&gt;""),"Las subactividades no llevan peso (valen igual dentro de su macroactividad)"&amp;" · ","")&amp;IF(AND(N($W134)&gt;0,COUNT($I134:$L134)&gt;0),"Con subactividades: deje vacías las semanas (se calculan solas)"&amp;" · ","")&amp;IF((COUNTIF($I134:$L134,"&gt;1")+COUNTIF($I134:$L134,"&lt;0")+COUNTA($I134:$L134)-COUNT($I134:$L134))&gt;0,"Avance fuera de rango 0-100%"&amp;" · ","")&amp;IF(OR(AND($J134&lt;&gt;"",$J134&lt;$I134),AND($K134&lt;&gt;"",$K134&lt;MAX($I134:$J134)),AND($L134&lt;&gt;"",$L134&lt;MAX($I134:$K134))),"Avance semanal decreciente"&amp;" · ","")&amp;IF(AND(ISNUMBER($AN134),$AN134&lt;FechaRef,IF($V134="Sub",N($X134),N($M134))&lt;1),"Vencida"&amp;" · ","")&amp;IF(AND(ObsObligatoria="Sí",ISNUMBER($AN134),$AN134&lt;FechaRef,IF($V134="Sub",N($X134),N($M134))&lt;1,$Q134=""),"Vencida sin observación"&amp;" · ",""))-3)))</f>
        <v/>
      </c>
      <c r="S134" s="64">
        <f>IF(NOT((COUNTA($B134:$D134)+COUNTA($G134:$L134)+COUNTA($Q134))&gt;0),"",IF(AND($V134="Sub",N($U134)&gt;0),IF(ISNUMBER(INDEX($AM$5:$AM$1000,$U134-4)),DATE(YEAR(INDEX($AM$5:$AM$1000,$U134-4)),MONTH(INDEX($AM$5:$AM$1000,$U134-4)),1),IF(ISNUMBER(INDEX($AN$5:$AN$1000,$U134-4)),DATE(YEAR(INDEX($AN$5:$AN$1000,$U134-4)),MONTH(INDEX($AN$5:$AN$1000,$U134-4)),1),MesCiclo)),IF(ISNUMBER($AM134),DATE(YEAR($AM134),MONTH($AM134),1),IF(ISNUMBER($AN134),DATE(YEAR($AN134),MONTH($AN134),1),MesCiclo))))</f>
        <v/>
      </c>
      <c r="T134" s="62">
        <f>IF(OR($S134="",$S134&lt;&gt;MesCiclo,$V134&lt;&gt;"Macro"),"",COUNTIFS($S$5:$S134,MesCiclo,$V$5:$V134,"Macro"))</f>
        <v/>
      </c>
      <c r="U134" s="62">
        <f>IF($V134="","",IF($V134="Macro",ROW(),IFERROR(LOOKUP(2,1/($V$5:$V134="Macro"),ROW($V$5:$V134)),0)))</f>
        <v/>
      </c>
      <c r="V134" s="62">
        <f>IF(NOT((COUNTA($B134:$D134)+COUNTA($G134:$L134)+COUNTA($Q134))&gt;0),"",IF($B134="Subactividad","Sub","Macro"))</f>
        <v/>
      </c>
      <c r="W134" s="62">
        <f>IF($V134="Macro",COUNTIFS($U$5:$U$1000,ROW(),$V$5:$V$1000,"Sub"),"")</f>
        <v/>
      </c>
      <c r="X134" s="62">
        <f>IF($V134="","",IF(ISNUMBER($G134),1,IFERROR(LOOKUP(2,1/($I134:$L134&lt;&gt;""),$I134:$L134),0)))</f>
        <v/>
      </c>
      <c r="Y134" s="62">
        <f>IF($V134="","",IF(AND(ISNUMBER($G134),$G134&lt;=IF($S134=MesCiclo,InicioCiclo,$S134+MOD(2-WEEKDAY($S134),7))+6),1,IF(ISNUMBER($I134),$I134,0)))</f>
        <v/>
      </c>
      <c r="Z134" s="62">
        <f>IF($V134="","",IF(AND(ISNUMBER($G134),$G134&lt;=IF($S134=MesCiclo,InicioCiclo,$S134+MOD(2-WEEKDAY($S134),7))+13),1,IF(ISNUMBER($J134),$J134,$Y134)))</f>
        <v/>
      </c>
      <c r="AA134" s="62">
        <f>IF($V134="","",IF(AND(ISNUMBER($G134),$G134&lt;=IF($S134=MesCiclo,InicioCiclo,$S134+MOD(2-WEEKDAY($S134),7))+20),1,IF(ISNUMBER($K134),$K134,$Z134)))</f>
        <v/>
      </c>
      <c r="AB134" s="62">
        <f>IF($V134="","",IF(AND(ISNUMBER($G134),$G134&lt;=IF($S134=MesCiclo,InicioCiclo,$S134+MOD(2-WEEKDAY($S134),7))+27),1,IF(ISNUMBER($L134),$L134,$AA134)))</f>
        <v/>
      </c>
      <c r="AC134" s="62">
        <f>IF($V134="","",IF(AND(ISNUMBER($G134),$G134&lt;=IF($S134=MesCiclo,InicioCiclo,$S134+MOD(2-WEEKDAY($S134),7))+6),1,IF(N($W134)&gt;0,AVERAGEIFS($Y$5:$Y$1000,$U$5:$U$1000,ROW(),$V$5:$V$1000,"Sub"),$Y134)))</f>
        <v/>
      </c>
      <c r="AD134" s="62">
        <f>IF($V134="","",IF(AND(ISNUMBER($G134),$G134&lt;=IF($S134=MesCiclo,InicioCiclo,$S134+MOD(2-WEEKDAY($S134),7))+13),1,IF(N($W134)&gt;0,AVERAGEIFS($Z$5:$Z$1000,$U$5:$U$1000,ROW(),$V$5:$V$1000,"Sub"),$Z134)))</f>
        <v/>
      </c>
      <c r="AE134" s="62">
        <f>IF($V134="","",IF(AND(ISNUMBER($G134),$G134&lt;=IF($S134=MesCiclo,InicioCiclo,$S134+MOD(2-WEEKDAY($S134),7))+20),1,IF(N($W134)&gt;0,AVERAGEIFS($AA$5:$AA$1000,$U$5:$U$1000,ROW(),$V$5:$V$1000,"Sub"),$AA134)))</f>
        <v/>
      </c>
      <c r="AF134" s="62">
        <f>IF($V134="","",IF(AND(ISNUMBER($G134),$G134&lt;=IF($S134=MesCiclo,InicioCiclo,$S134+MOD(2-WEEKDAY($S134),7))+27),1,IF(N($W134)&gt;0,AVERAGEIFS($AB$5:$AB$1000,$U$5:$U$1000,ROW(),$V$5:$V$1000,"Sub"),$AB134)))</f>
        <v/>
      </c>
      <c r="AG134" s="62">
        <f>IF($V134&lt;&gt;"Macro","",IF(COUNTIFS($S$5:$S$1000,$S134,$V$5:$V$1000,"Macro",$H$5:$H$1000,"&gt;0")=0,1/COUNTIFS($S$5:$S$1000,$S134,$V$5:$V$1000,"Macro"),IF(AND(ISNUMBER($H134),N($H134)&gt;0),$H134,SUMIFS($H$5:$H$1000,$S$5:$S$1000,$S134,$V$5:$V$1000,"Macro")/COUNTIFS($S$5:$S$1000,$S134,$V$5:$V$1000,"Macro",$H$5:$H$1000,"&gt;0"))/(COUNTIFS($S$5:$S$1000,$S134,$V$5:$V$1000,"Macro")*SUMIFS($H$5:$H$1000,$S$5:$S$1000,$S134,$V$5:$V$1000,"Macro")/COUNTIFS($S$5:$S$1000,$S134,$V$5:$V$1000,"Macro",$H$5:$H$1000,"&gt;0"))))</f>
        <v/>
      </c>
      <c r="AH134" s="62" t="n"/>
      <c r="AI134" s="62" t="n"/>
      <c r="AJ134" s="62" t="n"/>
      <c r="AK134" s="62" t="n"/>
      <c r="AL134" s="62">
        <f>IF(LEFT($C134,11)="[Jefatura] ",IFERROR(MATCH("Asistente Técnico de Riesgo|"&amp;MID($C134,12,500),rDname_ADM,0),0),"")</f>
        <v/>
      </c>
      <c r="AM134" s="62">
        <f>IF(N($AL134)&gt;0,INDEX(rIni_ADM,$AL134),IF(ISNUMBER($E134),$E134,""))</f>
        <v/>
      </c>
      <c r="AN134" s="62">
        <f>IF(N($AL134)&gt;0,INDEX(rLim_ADM,$AL134),IF(ISNUMBER($F134),$F134,""))</f>
        <v/>
      </c>
    </row>
    <row r="135">
      <c r="A135" s="56">
        <f>IF(NOT((COUNTA($B135:$D135)+COUNTA($G135:$L135)+COUNTA($Q135))&gt;0),"",IF($V135="Macro",COUNTIFS($V$5:$V135,"Macro",$S$5:$S135,$S135),IF(N($U135)=0,"?",COUNTIFS(INDEX($V$5:$V$1000,1):INDEX($V$5:$V$1000,$U135-4),"Macro",INDEX($S$5:$S$1000,1):INDEX($S$5:$S$1000,$U135-4),INDEX($S$5:$S$1000,$U135-4))&amp;"."&amp;COUNTIFS($U$5:$U135,$U135,$V$5:$V135,"Sub"))))</f>
        <v/>
      </c>
      <c r="B135" s="57" t="n"/>
      <c r="C135" s="58" t="n"/>
      <c r="D135" s="58" t="n"/>
      <c r="E135" s="59">
        <f>IF(N($AL135)&gt;0,INDEX(rIni_ADM,$AL135),"")</f>
        <v/>
      </c>
      <c r="F135" s="59">
        <f>IF(N($AL135)&gt;0,INDEX(rLim_ADM,$AL135),"")</f>
        <v/>
      </c>
      <c r="G135" s="59" t="n"/>
      <c r="H135" s="60" t="n"/>
      <c r="I135" s="60" t="n"/>
      <c r="J135" s="60" t="n"/>
      <c r="K135" s="60" t="n"/>
      <c r="L135" s="60" t="n"/>
      <c r="M135" s="61">
        <f>IF(NOT((COUNTA($B135:$D135)+COUNTA($G135:$L135)+COUNTA($Q135))&gt;0),"",IF($V135="Sub",IFERROR($X135/INDEX($W$5:$W$1000,$U135-4),""),IF(ISNUMBER($G135),1,IF(N($W135)&gt;0,AVERAGEIFS($X$5:$X$1000,$U$5:$U$1000,ROW(),$V$5:$V$1000,"Sub"),$X135))))</f>
        <v/>
      </c>
      <c r="N135" s="56">
        <f>IF(OR($M135="",$V135="Sub"),"",IF($M135&gt;=1,"Completado",IF($M135&gt;0,"En curso","Pendiente")))</f>
        <v/>
      </c>
      <c r="O135" s="56">
        <f>IF(OR(NOT((COUNTA($B135:$D135)+COUNTA($G135:$L135)+COUNTA($Q135))&gt;0),$V135="Sub"),"",IF(ISNUMBER($G135),IF(AND(ISNUMBER($AN135),$G135&gt;$AN135),"Cumplida con "&amp;($G135-$AN135)&amp;IF($G135-$AN135=1," día"," días")&amp;" de retraso","Cumplida"),IF(N($M135)&gt;=1,"Cumplida",IF(NOT(ISNUMBER($AN135)),"Sin fecha límite",IF($AN135&lt;FechaRef,"Vencida hace "&amp;(FechaRef-$AN135)&amp;IF(FechaRef-$AN135=1," día"," días"),IF($AN135=FechaRef,"Vence hoy",IF($AN135-FechaRef&lt;=DiasAlerta,"Vence en "&amp;($AN135-FechaRef)&amp;IF($AN135-FechaRef=1," día"," días"),"En plazo")))))))</f>
        <v/>
      </c>
      <c r="P135" s="62" t="n"/>
      <c r="Q135" s="58" t="n"/>
      <c r="R135" s="63">
        <f>IF(NOT((COUNTA($B135:$D135)+COUNTA($G135:$L135)+COUNTA($Q135))&gt;0),"",IF((IF($C135="","Falta el nombre de la actividad"&amp;" · ","")&amp;IF(AND($V135="Sub",N($U135)=0),"Subactividad sin macroactividad arriba"&amp;" · ","")&amp;IF($AM135="","Sin fecha de inicio"&amp;" · ","")&amp;IF($AN135="","Sin fecha límite"&amp;" · ","")&amp;IF(AND(LEFT($C135,11)="[Jefatura] ",N($AL135)=0),"No se encuentra en la hoja de la jefatura (elíjala de nuevo en la lista)"&amp;" · ","")&amp;IF(OR(AND($E135&lt;&gt;"",NOT(ISNUMBER($E135))),AND($F135&lt;&gt;"",NOT(ISNUMBER($F135))),AND($G135&lt;&gt;"",NOT(ISNUMBER($G135)))),"Fecha no válida"&amp;" · ","")&amp;IF(AND(ISNUMBER($AM135),ISNUMBER($AN135),$AM135&gt;$AN135),"Inicio posterior a fecha límite"&amp;" · ","")&amp;IF(AND($V135="Macro",$H135&lt;&gt;"",OR(NOT(ISNUMBER($H135)),$H135&lt;0,$H135&gt;1)),"Peso fuera de rango"&amp;" · ","")&amp;IF(AND($V135="Sub",$H135&lt;&gt;""),"Las subactividades no llevan peso (valen igual dentro de su macroactividad)"&amp;" · ","")&amp;IF(AND(N($W135)&gt;0,COUNT($I135:$L135)&gt;0),"Con subactividades: deje vacías las semanas (se calculan solas)"&amp;" · ","")&amp;IF((COUNTIF($I135:$L135,"&gt;1")+COUNTIF($I135:$L135,"&lt;0")+COUNTA($I135:$L135)-COUNT($I135:$L135))&gt;0,"Avance fuera de rango 0-100%"&amp;" · ","")&amp;IF(OR(AND($J135&lt;&gt;"",$J135&lt;$I135),AND($K135&lt;&gt;"",$K135&lt;MAX($I135:$J135)),AND($L135&lt;&gt;"",$L135&lt;MAX($I135:$K135))),"Avance semanal decreciente"&amp;" · ","")&amp;IF(AND(ISNUMBER($AN135),$AN135&lt;FechaRef,IF($V135="Sub",N($X135),N($M135))&lt;1),"Vencida"&amp;" · ","")&amp;IF(AND(ObsObligatoria="Sí",ISNUMBER($AN135),$AN135&lt;FechaRef,IF($V135="Sub",N($X135),N($M135))&lt;1,$Q135=""),"Vencida sin observación"&amp;" · ",""))="","✔ OK","⚠ "&amp;LEFT(IF($C135="","Falta el nombre de la actividad"&amp;" · ","")&amp;IF(AND($V135="Sub",N($U135)=0),"Subactividad sin macroactividad arriba"&amp;" · ","")&amp;IF($AM135="","Sin fecha de inicio"&amp;" · ","")&amp;IF($AN135="","Sin fecha límite"&amp;" · ","")&amp;IF(AND(LEFT($C135,11)="[Jefatura] ",N($AL135)=0),"No se encuentra en la hoja de la jefatura (elíjala de nuevo en la lista)"&amp;" · ","")&amp;IF(OR(AND($E135&lt;&gt;"",NOT(ISNUMBER($E135))),AND($F135&lt;&gt;"",NOT(ISNUMBER($F135))),AND($G135&lt;&gt;"",NOT(ISNUMBER($G135)))),"Fecha no válida"&amp;" · ","")&amp;IF(AND(ISNUMBER($AM135),ISNUMBER($AN135),$AM135&gt;$AN135),"Inicio posterior a fecha límite"&amp;" · ","")&amp;IF(AND($V135="Macro",$H135&lt;&gt;"",OR(NOT(ISNUMBER($H135)),$H135&lt;0,$H135&gt;1)),"Peso fuera de rango"&amp;" · ","")&amp;IF(AND($V135="Sub",$H135&lt;&gt;""),"Las subactividades no llevan peso (valen igual dentro de su macroactividad)"&amp;" · ","")&amp;IF(AND(N($W135)&gt;0,COUNT($I135:$L135)&gt;0),"Con subactividades: deje vacías las semanas (se calculan solas)"&amp;" · ","")&amp;IF((COUNTIF($I135:$L135,"&gt;1")+COUNTIF($I135:$L135,"&lt;0")+COUNTA($I135:$L135)-COUNT($I135:$L135))&gt;0,"Avance fuera de rango 0-100%"&amp;" · ","")&amp;IF(OR(AND($J135&lt;&gt;"",$J135&lt;$I135),AND($K135&lt;&gt;"",$K135&lt;MAX($I135:$J135)),AND($L135&lt;&gt;"",$L135&lt;MAX($I135:$K135))),"Avance semanal decreciente"&amp;" · ","")&amp;IF(AND(ISNUMBER($AN135),$AN135&lt;FechaRef,IF($V135="Sub",N($X135),N($M135))&lt;1),"Vencida"&amp;" · ","")&amp;IF(AND(ObsObligatoria="Sí",ISNUMBER($AN135),$AN135&lt;FechaRef,IF($V135="Sub",N($X135),N($M135))&lt;1,$Q135=""),"Vencida sin observación"&amp;" · ",""),LEN(IF($C135="","Falta el nombre de la actividad"&amp;" · ","")&amp;IF(AND($V135="Sub",N($U135)=0),"Subactividad sin macroactividad arriba"&amp;" · ","")&amp;IF($AM135="","Sin fecha de inicio"&amp;" · ","")&amp;IF($AN135="","Sin fecha límite"&amp;" · ","")&amp;IF(AND(LEFT($C135,11)="[Jefatura] ",N($AL135)=0),"No se encuentra en la hoja de la jefatura (elíjala de nuevo en la lista)"&amp;" · ","")&amp;IF(OR(AND($E135&lt;&gt;"",NOT(ISNUMBER($E135))),AND($F135&lt;&gt;"",NOT(ISNUMBER($F135))),AND($G135&lt;&gt;"",NOT(ISNUMBER($G135)))),"Fecha no válida"&amp;" · ","")&amp;IF(AND(ISNUMBER($AM135),ISNUMBER($AN135),$AM135&gt;$AN135),"Inicio posterior a fecha límite"&amp;" · ","")&amp;IF(AND($V135="Macro",$H135&lt;&gt;"",OR(NOT(ISNUMBER($H135)),$H135&lt;0,$H135&gt;1)),"Peso fuera de rango"&amp;" · ","")&amp;IF(AND($V135="Sub",$H135&lt;&gt;""),"Las subactividades no llevan peso (valen igual dentro de su macroactividad)"&amp;" · ","")&amp;IF(AND(N($W135)&gt;0,COUNT($I135:$L135)&gt;0),"Con subactividades: deje vacías las semanas (se calculan solas)"&amp;" · ","")&amp;IF((COUNTIF($I135:$L135,"&gt;1")+COUNTIF($I135:$L135,"&lt;0")+COUNTA($I135:$L135)-COUNT($I135:$L135))&gt;0,"Avance fuera de rango 0-100%"&amp;" · ","")&amp;IF(OR(AND($J135&lt;&gt;"",$J135&lt;$I135),AND($K135&lt;&gt;"",$K135&lt;MAX($I135:$J135)),AND($L135&lt;&gt;"",$L135&lt;MAX($I135:$K135))),"Avance semanal decreciente"&amp;" · ","")&amp;IF(AND(ISNUMBER($AN135),$AN135&lt;FechaRef,IF($V135="Sub",N($X135),N($M135))&lt;1),"Vencida"&amp;" · ","")&amp;IF(AND(ObsObligatoria="Sí",ISNUMBER($AN135),$AN135&lt;FechaRef,IF($V135="Sub",N($X135),N($M135))&lt;1,$Q135=""),"Vencida sin observación"&amp;" · ",""))-3)))</f>
        <v/>
      </c>
      <c r="S135" s="64">
        <f>IF(NOT((COUNTA($B135:$D135)+COUNTA($G135:$L135)+COUNTA($Q135))&gt;0),"",IF(AND($V135="Sub",N($U135)&gt;0),IF(ISNUMBER(INDEX($AM$5:$AM$1000,$U135-4)),DATE(YEAR(INDEX($AM$5:$AM$1000,$U135-4)),MONTH(INDEX($AM$5:$AM$1000,$U135-4)),1),IF(ISNUMBER(INDEX($AN$5:$AN$1000,$U135-4)),DATE(YEAR(INDEX($AN$5:$AN$1000,$U135-4)),MONTH(INDEX($AN$5:$AN$1000,$U135-4)),1),MesCiclo)),IF(ISNUMBER($AM135),DATE(YEAR($AM135),MONTH($AM135),1),IF(ISNUMBER($AN135),DATE(YEAR($AN135),MONTH($AN135),1),MesCiclo))))</f>
        <v/>
      </c>
      <c r="T135" s="62">
        <f>IF(OR($S135="",$S135&lt;&gt;MesCiclo,$V135&lt;&gt;"Macro"),"",COUNTIFS($S$5:$S135,MesCiclo,$V$5:$V135,"Macro"))</f>
        <v/>
      </c>
      <c r="U135" s="62">
        <f>IF($V135="","",IF($V135="Macro",ROW(),IFERROR(LOOKUP(2,1/($V$5:$V135="Macro"),ROW($V$5:$V135)),0)))</f>
        <v/>
      </c>
      <c r="V135" s="62">
        <f>IF(NOT((COUNTA($B135:$D135)+COUNTA($G135:$L135)+COUNTA($Q135))&gt;0),"",IF($B135="Subactividad","Sub","Macro"))</f>
        <v/>
      </c>
      <c r="W135" s="62">
        <f>IF($V135="Macro",COUNTIFS($U$5:$U$1000,ROW(),$V$5:$V$1000,"Sub"),"")</f>
        <v/>
      </c>
      <c r="X135" s="62">
        <f>IF($V135="","",IF(ISNUMBER($G135),1,IFERROR(LOOKUP(2,1/($I135:$L135&lt;&gt;""),$I135:$L135),0)))</f>
        <v/>
      </c>
      <c r="Y135" s="62">
        <f>IF($V135="","",IF(AND(ISNUMBER($G135),$G135&lt;=IF($S135=MesCiclo,InicioCiclo,$S135+MOD(2-WEEKDAY($S135),7))+6),1,IF(ISNUMBER($I135),$I135,0)))</f>
        <v/>
      </c>
      <c r="Z135" s="62">
        <f>IF($V135="","",IF(AND(ISNUMBER($G135),$G135&lt;=IF($S135=MesCiclo,InicioCiclo,$S135+MOD(2-WEEKDAY($S135),7))+13),1,IF(ISNUMBER($J135),$J135,$Y135)))</f>
        <v/>
      </c>
      <c r="AA135" s="62">
        <f>IF($V135="","",IF(AND(ISNUMBER($G135),$G135&lt;=IF($S135=MesCiclo,InicioCiclo,$S135+MOD(2-WEEKDAY($S135),7))+20),1,IF(ISNUMBER($K135),$K135,$Z135)))</f>
        <v/>
      </c>
      <c r="AB135" s="62">
        <f>IF($V135="","",IF(AND(ISNUMBER($G135),$G135&lt;=IF($S135=MesCiclo,InicioCiclo,$S135+MOD(2-WEEKDAY($S135),7))+27),1,IF(ISNUMBER($L135),$L135,$AA135)))</f>
        <v/>
      </c>
      <c r="AC135" s="62">
        <f>IF($V135="","",IF(AND(ISNUMBER($G135),$G135&lt;=IF($S135=MesCiclo,InicioCiclo,$S135+MOD(2-WEEKDAY($S135),7))+6),1,IF(N($W135)&gt;0,AVERAGEIFS($Y$5:$Y$1000,$U$5:$U$1000,ROW(),$V$5:$V$1000,"Sub"),$Y135)))</f>
        <v/>
      </c>
      <c r="AD135" s="62">
        <f>IF($V135="","",IF(AND(ISNUMBER($G135),$G135&lt;=IF($S135=MesCiclo,InicioCiclo,$S135+MOD(2-WEEKDAY($S135),7))+13),1,IF(N($W135)&gt;0,AVERAGEIFS($Z$5:$Z$1000,$U$5:$U$1000,ROW(),$V$5:$V$1000,"Sub"),$Z135)))</f>
        <v/>
      </c>
      <c r="AE135" s="62">
        <f>IF($V135="","",IF(AND(ISNUMBER($G135),$G135&lt;=IF($S135=MesCiclo,InicioCiclo,$S135+MOD(2-WEEKDAY($S135),7))+20),1,IF(N($W135)&gt;0,AVERAGEIFS($AA$5:$AA$1000,$U$5:$U$1000,ROW(),$V$5:$V$1000,"Sub"),$AA135)))</f>
        <v/>
      </c>
      <c r="AF135" s="62">
        <f>IF($V135="","",IF(AND(ISNUMBER($G135),$G135&lt;=IF($S135=MesCiclo,InicioCiclo,$S135+MOD(2-WEEKDAY($S135),7))+27),1,IF(N($W135)&gt;0,AVERAGEIFS($AB$5:$AB$1000,$U$5:$U$1000,ROW(),$V$5:$V$1000,"Sub"),$AB135)))</f>
        <v/>
      </c>
      <c r="AG135" s="62">
        <f>IF($V135&lt;&gt;"Macro","",IF(COUNTIFS($S$5:$S$1000,$S135,$V$5:$V$1000,"Macro",$H$5:$H$1000,"&gt;0")=0,1/COUNTIFS($S$5:$S$1000,$S135,$V$5:$V$1000,"Macro"),IF(AND(ISNUMBER($H135),N($H135)&gt;0),$H135,SUMIFS($H$5:$H$1000,$S$5:$S$1000,$S135,$V$5:$V$1000,"Macro")/COUNTIFS($S$5:$S$1000,$S135,$V$5:$V$1000,"Macro",$H$5:$H$1000,"&gt;0"))/(COUNTIFS($S$5:$S$1000,$S135,$V$5:$V$1000,"Macro")*SUMIFS($H$5:$H$1000,$S$5:$S$1000,$S135,$V$5:$V$1000,"Macro")/COUNTIFS($S$5:$S$1000,$S135,$V$5:$V$1000,"Macro",$H$5:$H$1000,"&gt;0"))))</f>
        <v/>
      </c>
      <c r="AH135" s="62" t="n"/>
      <c r="AI135" s="62" t="n"/>
      <c r="AJ135" s="62" t="n"/>
      <c r="AK135" s="62" t="n"/>
      <c r="AL135" s="62">
        <f>IF(LEFT($C135,11)="[Jefatura] ",IFERROR(MATCH("Asistente Técnico de Riesgo|"&amp;MID($C135,12,500),rDname_ADM,0),0),"")</f>
        <v/>
      </c>
      <c r="AM135" s="62">
        <f>IF(N($AL135)&gt;0,INDEX(rIni_ADM,$AL135),IF(ISNUMBER($E135),$E135,""))</f>
        <v/>
      </c>
      <c r="AN135" s="62">
        <f>IF(N($AL135)&gt;0,INDEX(rLim_ADM,$AL135),IF(ISNUMBER($F135),$F135,""))</f>
        <v/>
      </c>
    </row>
    <row r="136">
      <c r="A136" s="56">
        <f>IF(NOT((COUNTA($B136:$D136)+COUNTA($G136:$L136)+COUNTA($Q136))&gt;0),"",IF($V136="Macro",COUNTIFS($V$5:$V136,"Macro",$S$5:$S136,$S136),IF(N($U136)=0,"?",COUNTIFS(INDEX($V$5:$V$1000,1):INDEX($V$5:$V$1000,$U136-4),"Macro",INDEX($S$5:$S$1000,1):INDEX($S$5:$S$1000,$U136-4),INDEX($S$5:$S$1000,$U136-4))&amp;"."&amp;COUNTIFS($U$5:$U136,$U136,$V$5:$V136,"Sub"))))</f>
        <v/>
      </c>
      <c r="B136" s="57" t="n"/>
      <c r="C136" s="58" t="n"/>
      <c r="D136" s="58" t="n"/>
      <c r="E136" s="59">
        <f>IF(N($AL136)&gt;0,INDEX(rIni_ADM,$AL136),"")</f>
        <v/>
      </c>
      <c r="F136" s="59">
        <f>IF(N($AL136)&gt;0,INDEX(rLim_ADM,$AL136),"")</f>
        <v/>
      </c>
      <c r="G136" s="59" t="n"/>
      <c r="H136" s="60" t="n"/>
      <c r="I136" s="60" t="n"/>
      <c r="J136" s="60" t="n"/>
      <c r="K136" s="60" t="n"/>
      <c r="L136" s="60" t="n"/>
      <c r="M136" s="61">
        <f>IF(NOT((COUNTA($B136:$D136)+COUNTA($G136:$L136)+COUNTA($Q136))&gt;0),"",IF($V136="Sub",IFERROR($X136/INDEX($W$5:$W$1000,$U136-4),""),IF(ISNUMBER($G136),1,IF(N($W136)&gt;0,AVERAGEIFS($X$5:$X$1000,$U$5:$U$1000,ROW(),$V$5:$V$1000,"Sub"),$X136))))</f>
        <v/>
      </c>
      <c r="N136" s="56">
        <f>IF(OR($M136="",$V136="Sub"),"",IF($M136&gt;=1,"Completado",IF($M136&gt;0,"En curso","Pendiente")))</f>
        <v/>
      </c>
      <c r="O136" s="56">
        <f>IF(OR(NOT((COUNTA($B136:$D136)+COUNTA($G136:$L136)+COUNTA($Q136))&gt;0),$V136="Sub"),"",IF(ISNUMBER($G136),IF(AND(ISNUMBER($AN136),$G136&gt;$AN136),"Cumplida con "&amp;($G136-$AN136)&amp;IF($G136-$AN136=1," día"," días")&amp;" de retraso","Cumplida"),IF(N($M136)&gt;=1,"Cumplida",IF(NOT(ISNUMBER($AN136)),"Sin fecha límite",IF($AN136&lt;FechaRef,"Vencida hace "&amp;(FechaRef-$AN136)&amp;IF(FechaRef-$AN136=1," día"," días"),IF($AN136=FechaRef,"Vence hoy",IF($AN136-FechaRef&lt;=DiasAlerta,"Vence en "&amp;($AN136-FechaRef)&amp;IF($AN136-FechaRef=1," día"," días"),"En plazo")))))))</f>
        <v/>
      </c>
      <c r="P136" s="62" t="n"/>
      <c r="Q136" s="58" t="n"/>
      <c r="R136" s="63">
        <f>IF(NOT((COUNTA($B136:$D136)+COUNTA($G136:$L136)+COUNTA($Q136))&gt;0),"",IF((IF($C136="","Falta el nombre de la actividad"&amp;" · ","")&amp;IF(AND($V136="Sub",N($U136)=0),"Subactividad sin macroactividad arriba"&amp;" · ","")&amp;IF($AM136="","Sin fecha de inicio"&amp;" · ","")&amp;IF($AN136="","Sin fecha límite"&amp;" · ","")&amp;IF(AND(LEFT($C136,11)="[Jefatura] ",N($AL136)=0),"No se encuentra en la hoja de la jefatura (elíjala de nuevo en la lista)"&amp;" · ","")&amp;IF(OR(AND($E136&lt;&gt;"",NOT(ISNUMBER($E136))),AND($F136&lt;&gt;"",NOT(ISNUMBER($F136))),AND($G136&lt;&gt;"",NOT(ISNUMBER($G136)))),"Fecha no válida"&amp;" · ","")&amp;IF(AND(ISNUMBER($AM136),ISNUMBER($AN136),$AM136&gt;$AN136),"Inicio posterior a fecha límite"&amp;" · ","")&amp;IF(AND($V136="Macro",$H136&lt;&gt;"",OR(NOT(ISNUMBER($H136)),$H136&lt;0,$H136&gt;1)),"Peso fuera de rango"&amp;" · ","")&amp;IF(AND($V136="Sub",$H136&lt;&gt;""),"Las subactividades no llevan peso (valen igual dentro de su macroactividad)"&amp;" · ","")&amp;IF(AND(N($W136)&gt;0,COUNT($I136:$L136)&gt;0),"Con subactividades: deje vacías las semanas (se calculan solas)"&amp;" · ","")&amp;IF((COUNTIF($I136:$L136,"&gt;1")+COUNTIF($I136:$L136,"&lt;0")+COUNTA($I136:$L136)-COUNT($I136:$L136))&gt;0,"Avance fuera de rango 0-100%"&amp;" · ","")&amp;IF(OR(AND($J136&lt;&gt;"",$J136&lt;$I136),AND($K136&lt;&gt;"",$K136&lt;MAX($I136:$J136)),AND($L136&lt;&gt;"",$L136&lt;MAX($I136:$K136))),"Avance semanal decreciente"&amp;" · ","")&amp;IF(AND(ISNUMBER($AN136),$AN136&lt;FechaRef,IF($V136="Sub",N($X136),N($M136))&lt;1),"Vencida"&amp;" · ","")&amp;IF(AND(ObsObligatoria="Sí",ISNUMBER($AN136),$AN136&lt;FechaRef,IF($V136="Sub",N($X136),N($M136))&lt;1,$Q136=""),"Vencida sin observación"&amp;" · ",""))="","✔ OK","⚠ "&amp;LEFT(IF($C136="","Falta el nombre de la actividad"&amp;" · ","")&amp;IF(AND($V136="Sub",N($U136)=0),"Subactividad sin macroactividad arriba"&amp;" · ","")&amp;IF($AM136="","Sin fecha de inicio"&amp;" · ","")&amp;IF($AN136="","Sin fecha límite"&amp;" · ","")&amp;IF(AND(LEFT($C136,11)="[Jefatura] ",N($AL136)=0),"No se encuentra en la hoja de la jefatura (elíjala de nuevo en la lista)"&amp;" · ","")&amp;IF(OR(AND($E136&lt;&gt;"",NOT(ISNUMBER($E136))),AND($F136&lt;&gt;"",NOT(ISNUMBER($F136))),AND($G136&lt;&gt;"",NOT(ISNUMBER($G136)))),"Fecha no válida"&amp;" · ","")&amp;IF(AND(ISNUMBER($AM136),ISNUMBER($AN136),$AM136&gt;$AN136),"Inicio posterior a fecha límite"&amp;" · ","")&amp;IF(AND($V136="Macro",$H136&lt;&gt;"",OR(NOT(ISNUMBER($H136)),$H136&lt;0,$H136&gt;1)),"Peso fuera de rango"&amp;" · ","")&amp;IF(AND($V136="Sub",$H136&lt;&gt;""),"Las subactividades no llevan peso (valen igual dentro de su macroactividad)"&amp;" · ","")&amp;IF(AND(N($W136)&gt;0,COUNT($I136:$L136)&gt;0),"Con subactividades: deje vacías las semanas (se calculan solas)"&amp;" · ","")&amp;IF((COUNTIF($I136:$L136,"&gt;1")+COUNTIF($I136:$L136,"&lt;0")+COUNTA($I136:$L136)-COUNT($I136:$L136))&gt;0,"Avance fuera de rango 0-100%"&amp;" · ","")&amp;IF(OR(AND($J136&lt;&gt;"",$J136&lt;$I136),AND($K136&lt;&gt;"",$K136&lt;MAX($I136:$J136)),AND($L136&lt;&gt;"",$L136&lt;MAX($I136:$K136))),"Avance semanal decreciente"&amp;" · ","")&amp;IF(AND(ISNUMBER($AN136),$AN136&lt;FechaRef,IF($V136="Sub",N($X136),N($M136))&lt;1),"Vencida"&amp;" · ","")&amp;IF(AND(ObsObligatoria="Sí",ISNUMBER($AN136),$AN136&lt;FechaRef,IF($V136="Sub",N($X136),N($M136))&lt;1,$Q136=""),"Vencida sin observación"&amp;" · ",""),LEN(IF($C136="","Falta el nombre de la actividad"&amp;" · ","")&amp;IF(AND($V136="Sub",N($U136)=0),"Subactividad sin macroactividad arriba"&amp;" · ","")&amp;IF($AM136="","Sin fecha de inicio"&amp;" · ","")&amp;IF($AN136="","Sin fecha límite"&amp;" · ","")&amp;IF(AND(LEFT($C136,11)="[Jefatura] ",N($AL136)=0),"No se encuentra en la hoja de la jefatura (elíjala de nuevo en la lista)"&amp;" · ","")&amp;IF(OR(AND($E136&lt;&gt;"",NOT(ISNUMBER($E136))),AND($F136&lt;&gt;"",NOT(ISNUMBER($F136))),AND($G136&lt;&gt;"",NOT(ISNUMBER($G136)))),"Fecha no válida"&amp;" · ","")&amp;IF(AND(ISNUMBER($AM136),ISNUMBER($AN136),$AM136&gt;$AN136),"Inicio posterior a fecha límite"&amp;" · ","")&amp;IF(AND($V136="Macro",$H136&lt;&gt;"",OR(NOT(ISNUMBER($H136)),$H136&lt;0,$H136&gt;1)),"Peso fuera de rango"&amp;" · ","")&amp;IF(AND($V136="Sub",$H136&lt;&gt;""),"Las subactividades no llevan peso (valen igual dentro de su macroactividad)"&amp;" · ","")&amp;IF(AND(N($W136)&gt;0,COUNT($I136:$L136)&gt;0),"Con subactividades: deje vacías las semanas (se calculan solas)"&amp;" · ","")&amp;IF((COUNTIF($I136:$L136,"&gt;1")+COUNTIF($I136:$L136,"&lt;0")+COUNTA($I136:$L136)-COUNT($I136:$L136))&gt;0,"Avance fuera de rango 0-100%"&amp;" · ","")&amp;IF(OR(AND($J136&lt;&gt;"",$J136&lt;$I136),AND($K136&lt;&gt;"",$K136&lt;MAX($I136:$J136)),AND($L136&lt;&gt;"",$L136&lt;MAX($I136:$K136))),"Avance semanal decreciente"&amp;" · ","")&amp;IF(AND(ISNUMBER($AN136),$AN136&lt;FechaRef,IF($V136="Sub",N($X136),N($M136))&lt;1),"Vencida"&amp;" · ","")&amp;IF(AND(ObsObligatoria="Sí",ISNUMBER($AN136),$AN136&lt;FechaRef,IF($V136="Sub",N($X136),N($M136))&lt;1,$Q136=""),"Vencida sin observación"&amp;" · ",""))-3)))</f>
        <v/>
      </c>
      <c r="S136" s="64">
        <f>IF(NOT((COUNTA($B136:$D136)+COUNTA($G136:$L136)+COUNTA($Q136))&gt;0),"",IF(AND($V136="Sub",N($U136)&gt;0),IF(ISNUMBER(INDEX($AM$5:$AM$1000,$U136-4)),DATE(YEAR(INDEX($AM$5:$AM$1000,$U136-4)),MONTH(INDEX($AM$5:$AM$1000,$U136-4)),1),IF(ISNUMBER(INDEX($AN$5:$AN$1000,$U136-4)),DATE(YEAR(INDEX($AN$5:$AN$1000,$U136-4)),MONTH(INDEX($AN$5:$AN$1000,$U136-4)),1),MesCiclo)),IF(ISNUMBER($AM136),DATE(YEAR($AM136),MONTH($AM136),1),IF(ISNUMBER($AN136),DATE(YEAR($AN136),MONTH($AN136),1),MesCiclo))))</f>
        <v/>
      </c>
      <c r="T136" s="62">
        <f>IF(OR($S136="",$S136&lt;&gt;MesCiclo,$V136&lt;&gt;"Macro"),"",COUNTIFS($S$5:$S136,MesCiclo,$V$5:$V136,"Macro"))</f>
        <v/>
      </c>
      <c r="U136" s="62">
        <f>IF($V136="","",IF($V136="Macro",ROW(),IFERROR(LOOKUP(2,1/($V$5:$V136="Macro"),ROW($V$5:$V136)),0)))</f>
        <v/>
      </c>
      <c r="V136" s="62">
        <f>IF(NOT((COUNTA($B136:$D136)+COUNTA($G136:$L136)+COUNTA($Q136))&gt;0),"",IF($B136="Subactividad","Sub","Macro"))</f>
        <v/>
      </c>
      <c r="W136" s="62">
        <f>IF($V136="Macro",COUNTIFS($U$5:$U$1000,ROW(),$V$5:$V$1000,"Sub"),"")</f>
        <v/>
      </c>
      <c r="X136" s="62">
        <f>IF($V136="","",IF(ISNUMBER($G136),1,IFERROR(LOOKUP(2,1/($I136:$L136&lt;&gt;""),$I136:$L136),0)))</f>
        <v/>
      </c>
      <c r="Y136" s="62">
        <f>IF($V136="","",IF(AND(ISNUMBER($G136),$G136&lt;=IF($S136=MesCiclo,InicioCiclo,$S136+MOD(2-WEEKDAY($S136),7))+6),1,IF(ISNUMBER($I136),$I136,0)))</f>
        <v/>
      </c>
      <c r="Z136" s="62">
        <f>IF($V136="","",IF(AND(ISNUMBER($G136),$G136&lt;=IF($S136=MesCiclo,InicioCiclo,$S136+MOD(2-WEEKDAY($S136),7))+13),1,IF(ISNUMBER($J136),$J136,$Y136)))</f>
        <v/>
      </c>
      <c r="AA136" s="62">
        <f>IF($V136="","",IF(AND(ISNUMBER($G136),$G136&lt;=IF($S136=MesCiclo,InicioCiclo,$S136+MOD(2-WEEKDAY($S136),7))+20),1,IF(ISNUMBER($K136),$K136,$Z136)))</f>
        <v/>
      </c>
      <c r="AB136" s="62">
        <f>IF($V136="","",IF(AND(ISNUMBER($G136),$G136&lt;=IF($S136=MesCiclo,InicioCiclo,$S136+MOD(2-WEEKDAY($S136),7))+27),1,IF(ISNUMBER($L136),$L136,$AA136)))</f>
        <v/>
      </c>
      <c r="AC136" s="62">
        <f>IF($V136="","",IF(AND(ISNUMBER($G136),$G136&lt;=IF($S136=MesCiclo,InicioCiclo,$S136+MOD(2-WEEKDAY($S136),7))+6),1,IF(N($W136)&gt;0,AVERAGEIFS($Y$5:$Y$1000,$U$5:$U$1000,ROW(),$V$5:$V$1000,"Sub"),$Y136)))</f>
        <v/>
      </c>
      <c r="AD136" s="62">
        <f>IF($V136="","",IF(AND(ISNUMBER($G136),$G136&lt;=IF($S136=MesCiclo,InicioCiclo,$S136+MOD(2-WEEKDAY($S136),7))+13),1,IF(N($W136)&gt;0,AVERAGEIFS($Z$5:$Z$1000,$U$5:$U$1000,ROW(),$V$5:$V$1000,"Sub"),$Z136)))</f>
        <v/>
      </c>
      <c r="AE136" s="62">
        <f>IF($V136="","",IF(AND(ISNUMBER($G136),$G136&lt;=IF($S136=MesCiclo,InicioCiclo,$S136+MOD(2-WEEKDAY($S136),7))+20),1,IF(N($W136)&gt;0,AVERAGEIFS($AA$5:$AA$1000,$U$5:$U$1000,ROW(),$V$5:$V$1000,"Sub"),$AA136)))</f>
        <v/>
      </c>
      <c r="AF136" s="62">
        <f>IF($V136="","",IF(AND(ISNUMBER($G136),$G136&lt;=IF($S136=MesCiclo,InicioCiclo,$S136+MOD(2-WEEKDAY($S136),7))+27),1,IF(N($W136)&gt;0,AVERAGEIFS($AB$5:$AB$1000,$U$5:$U$1000,ROW(),$V$5:$V$1000,"Sub"),$AB136)))</f>
        <v/>
      </c>
      <c r="AG136" s="62">
        <f>IF($V136&lt;&gt;"Macro","",IF(COUNTIFS($S$5:$S$1000,$S136,$V$5:$V$1000,"Macro",$H$5:$H$1000,"&gt;0")=0,1/COUNTIFS($S$5:$S$1000,$S136,$V$5:$V$1000,"Macro"),IF(AND(ISNUMBER($H136),N($H136)&gt;0),$H136,SUMIFS($H$5:$H$1000,$S$5:$S$1000,$S136,$V$5:$V$1000,"Macro")/COUNTIFS($S$5:$S$1000,$S136,$V$5:$V$1000,"Macro",$H$5:$H$1000,"&gt;0"))/(COUNTIFS($S$5:$S$1000,$S136,$V$5:$V$1000,"Macro")*SUMIFS($H$5:$H$1000,$S$5:$S$1000,$S136,$V$5:$V$1000,"Macro")/COUNTIFS($S$5:$S$1000,$S136,$V$5:$V$1000,"Macro",$H$5:$H$1000,"&gt;0"))))</f>
        <v/>
      </c>
      <c r="AH136" s="62" t="n"/>
      <c r="AI136" s="62" t="n"/>
      <c r="AJ136" s="62" t="n"/>
      <c r="AK136" s="62" t="n"/>
      <c r="AL136" s="62">
        <f>IF(LEFT($C136,11)="[Jefatura] ",IFERROR(MATCH("Asistente Técnico de Riesgo|"&amp;MID($C136,12,500),rDname_ADM,0),0),"")</f>
        <v/>
      </c>
      <c r="AM136" s="62">
        <f>IF(N($AL136)&gt;0,INDEX(rIni_ADM,$AL136),IF(ISNUMBER($E136),$E136,""))</f>
        <v/>
      </c>
      <c r="AN136" s="62">
        <f>IF(N($AL136)&gt;0,INDEX(rLim_ADM,$AL136),IF(ISNUMBER($F136),$F136,""))</f>
        <v/>
      </c>
    </row>
    <row r="137">
      <c r="A137" s="56">
        <f>IF(NOT((COUNTA($B137:$D137)+COUNTA($G137:$L137)+COUNTA($Q137))&gt;0),"",IF($V137="Macro",COUNTIFS($V$5:$V137,"Macro",$S$5:$S137,$S137),IF(N($U137)=0,"?",COUNTIFS(INDEX($V$5:$V$1000,1):INDEX($V$5:$V$1000,$U137-4),"Macro",INDEX($S$5:$S$1000,1):INDEX($S$5:$S$1000,$U137-4),INDEX($S$5:$S$1000,$U137-4))&amp;"."&amp;COUNTIFS($U$5:$U137,$U137,$V$5:$V137,"Sub"))))</f>
        <v/>
      </c>
      <c r="B137" s="57" t="n"/>
      <c r="C137" s="58" t="n"/>
      <c r="D137" s="58" t="n"/>
      <c r="E137" s="59">
        <f>IF(N($AL137)&gt;0,INDEX(rIni_ADM,$AL137),"")</f>
        <v/>
      </c>
      <c r="F137" s="59">
        <f>IF(N($AL137)&gt;0,INDEX(rLim_ADM,$AL137),"")</f>
        <v/>
      </c>
      <c r="G137" s="59" t="n"/>
      <c r="H137" s="60" t="n"/>
      <c r="I137" s="60" t="n"/>
      <c r="J137" s="60" t="n"/>
      <c r="K137" s="60" t="n"/>
      <c r="L137" s="60" t="n"/>
      <c r="M137" s="61">
        <f>IF(NOT((COUNTA($B137:$D137)+COUNTA($G137:$L137)+COUNTA($Q137))&gt;0),"",IF($V137="Sub",IFERROR($X137/INDEX($W$5:$W$1000,$U137-4),""),IF(ISNUMBER($G137),1,IF(N($W137)&gt;0,AVERAGEIFS($X$5:$X$1000,$U$5:$U$1000,ROW(),$V$5:$V$1000,"Sub"),$X137))))</f>
        <v/>
      </c>
      <c r="N137" s="56">
        <f>IF(OR($M137="",$V137="Sub"),"",IF($M137&gt;=1,"Completado",IF($M137&gt;0,"En curso","Pendiente")))</f>
        <v/>
      </c>
      <c r="O137" s="56">
        <f>IF(OR(NOT((COUNTA($B137:$D137)+COUNTA($G137:$L137)+COUNTA($Q137))&gt;0),$V137="Sub"),"",IF(ISNUMBER($G137),IF(AND(ISNUMBER($AN137),$G137&gt;$AN137),"Cumplida con "&amp;($G137-$AN137)&amp;IF($G137-$AN137=1," día"," días")&amp;" de retraso","Cumplida"),IF(N($M137)&gt;=1,"Cumplida",IF(NOT(ISNUMBER($AN137)),"Sin fecha límite",IF($AN137&lt;FechaRef,"Vencida hace "&amp;(FechaRef-$AN137)&amp;IF(FechaRef-$AN137=1," día"," días"),IF($AN137=FechaRef,"Vence hoy",IF($AN137-FechaRef&lt;=DiasAlerta,"Vence en "&amp;($AN137-FechaRef)&amp;IF($AN137-FechaRef=1," día"," días"),"En plazo")))))))</f>
        <v/>
      </c>
      <c r="P137" s="62" t="n"/>
      <c r="Q137" s="58" t="n"/>
      <c r="R137" s="63">
        <f>IF(NOT((COUNTA($B137:$D137)+COUNTA($G137:$L137)+COUNTA($Q137))&gt;0),"",IF((IF($C137="","Falta el nombre de la actividad"&amp;" · ","")&amp;IF(AND($V137="Sub",N($U137)=0),"Subactividad sin macroactividad arriba"&amp;" · ","")&amp;IF($AM137="","Sin fecha de inicio"&amp;" · ","")&amp;IF($AN137="","Sin fecha límite"&amp;" · ","")&amp;IF(AND(LEFT($C137,11)="[Jefatura] ",N($AL137)=0),"No se encuentra en la hoja de la jefatura (elíjala de nuevo en la lista)"&amp;" · ","")&amp;IF(OR(AND($E137&lt;&gt;"",NOT(ISNUMBER($E137))),AND($F137&lt;&gt;"",NOT(ISNUMBER($F137))),AND($G137&lt;&gt;"",NOT(ISNUMBER($G137)))),"Fecha no válida"&amp;" · ","")&amp;IF(AND(ISNUMBER($AM137),ISNUMBER($AN137),$AM137&gt;$AN137),"Inicio posterior a fecha límite"&amp;" · ","")&amp;IF(AND($V137="Macro",$H137&lt;&gt;"",OR(NOT(ISNUMBER($H137)),$H137&lt;0,$H137&gt;1)),"Peso fuera de rango"&amp;" · ","")&amp;IF(AND($V137="Sub",$H137&lt;&gt;""),"Las subactividades no llevan peso (valen igual dentro de su macroactividad)"&amp;" · ","")&amp;IF(AND(N($W137)&gt;0,COUNT($I137:$L137)&gt;0),"Con subactividades: deje vacías las semanas (se calculan solas)"&amp;" · ","")&amp;IF((COUNTIF($I137:$L137,"&gt;1")+COUNTIF($I137:$L137,"&lt;0")+COUNTA($I137:$L137)-COUNT($I137:$L137))&gt;0,"Avance fuera de rango 0-100%"&amp;" · ","")&amp;IF(OR(AND($J137&lt;&gt;"",$J137&lt;$I137),AND($K137&lt;&gt;"",$K137&lt;MAX($I137:$J137)),AND($L137&lt;&gt;"",$L137&lt;MAX($I137:$K137))),"Avance semanal decreciente"&amp;" · ","")&amp;IF(AND(ISNUMBER($AN137),$AN137&lt;FechaRef,IF($V137="Sub",N($X137),N($M137))&lt;1),"Vencida"&amp;" · ","")&amp;IF(AND(ObsObligatoria="Sí",ISNUMBER($AN137),$AN137&lt;FechaRef,IF($V137="Sub",N($X137),N($M137))&lt;1,$Q137=""),"Vencida sin observación"&amp;" · ",""))="","✔ OK","⚠ "&amp;LEFT(IF($C137="","Falta el nombre de la actividad"&amp;" · ","")&amp;IF(AND($V137="Sub",N($U137)=0),"Subactividad sin macroactividad arriba"&amp;" · ","")&amp;IF($AM137="","Sin fecha de inicio"&amp;" · ","")&amp;IF($AN137="","Sin fecha límite"&amp;" · ","")&amp;IF(AND(LEFT($C137,11)="[Jefatura] ",N($AL137)=0),"No se encuentra en la hoja de la jefatura (elíjala de nuevo en la lista)"&amp;" · ","")&amp;IF(OR(AND($E137&lt;&gt;"",NOT(ISNUMBER($E137))),AND($F137&lt;&gt;"",NOT(ISNUMBER($F137))),AND($G137&lt;&gt;"",NOT(ISNUMBER($G137)))),"Fecha no válida"&amp;" · ","")&amp;IF(AND(ISNUMBER($AM137),ISNUMBER($AN137),$AM137&gt;$AN137),"Inicio posterior a fecha límite"&amp;" · ","")&amp;IF(AND($V137="Macro",$H137&lt;&gt;"",OR(NOT(ISNUMBER($H137)),$H137&lt;0,$H137&gt;1)),"Peso fuera de rango"&amp;" · ","")&amp;IF(AND($V137="Sub",$H137&lt;&gt;""),"Las subactividades no llevan peso (valen igual dentro de su macroactividad)"&amp;" · ","")&amp;IF(AND(N($W137)&gt;0,COUNT($I137:$L137)&gt;0),"Con subactividades: deje vacías las semanas (se calculan solas)"&amp;" · ","")&amp;IF((COUNTIF($I137:$L137,"&gt;1")+COUNTIF($I137:$L137,"&lt;0")+COUNTA($I137:$L137)-COUNT($I137:$L137))&gt;0,"Avance fuera de rango 0-100%"&amp;" · ","")&amp;IF(OR(AND($J137&lt;&gt;"",$J137&lt;$I137),AND($K137&lt;&gt;"",$K137&lt;MAX($I137:$J137)),AND($L137&lt;&gt;"",$L137&lt;MAX($I137:$K137))),"Avance semanal decreciente"&amp;" · ","")&amp;IF(AND(ISNUMBER($AN137),$AN137&lt;FechaRef,IF($V137="Sub",N($X137),N($M137))&lt;1),"Vencida"&amp;" · ","")&amp;IF(AND(ObsObligatoria="Sí",ISNUMBER($AN137),$AN137&lt;FechaRef,IF($V137="Sub",N($X137),N($M137))&lt;1,$Q137=""),"Vencida sin observación"&amp;" · ",""),LEN(IF($C137="","Falta el nombre de la actividad"&amp;" · ","")&amp;IF(AND($V137="Sub",N($U137)=0),"Subactividad sin macroactividad arriba"&amp;" · ","")&amp;IF($AM137="","Sin fecha de inicio"&amp;" · ","")&amp;IF($AN137="","Sin fecha límite"&amp;" · ","")&amp;IF(AND(LEFT($C137,11)="[Jefatura] ",N($AL137)=0),"No se encuentra en la hoja de la jefatura (elíjala de nuevo en la lista)"&amp;" · ","")&amp;IF(OR(AND($E137&lt;&gt;"",NOT(ISNUMBER($E137))),AND($F137&lt;&gt;"",NOT(ISNUMBER($F137))),AND($G137&lt;&gt;"",NOT(ISNUMBER($G137)))),"Fecha no válida"&amp;" · ","")&amp;IF(AND(ISNUMBER($AM137),ISNUMBER($AN137),$AM137&gt;$AN137),"Inicio posterior a fecha límite"&amp;" · ","")&amp;IF(AND($V137="Macro",$H137&lt;&gt;"",OR(NOT(ISNUMBER($H137)),$H137&lt;0,$H137&gt;1)),"Peso fuera de rango"&amp;" · ","")&amp;IF(AND($V137="Sub",$H137&lt;&gt;""),"Las subactividades no llevan peso (valen igual dentro de su macroactividad)"&amp;" · ","")&amp;IF(AND(N($W137)&gt;0,COUNT($I137:$L137)&gt;0),"Con subactividades: deje vacías las semanas (se calculan solas)"&amp;" · ","")&amp;IF((COUNTIF($I137:$L137,"&gt;1")+COUNTIF($I137:$L137,"&lt;0")+COUNTA($I137:$L137)-COUNT($I137:$L137))&gt;0,"Avance fuera de rango 0-100%"&amp;" · ","")&amp;IF(OR(AND($J137&lt;&gt;"",$J137&lt;$I137),AND($K137&lt;&gt;"",$K137&lt;MAX($I137:$J137)),AND($L137&lt;&gt;"",$L137&lt;MAX($I137:$K137))),"Avance semanal decreciente"&amp;" · ","")&amp;IF(AND(ISNUMBER($AN137),$AN137&lt;FechaRef,IF($V137="Sub",N($X137),N($M137))&lt;1),"Vencida"&amp;" · ","")&amp;IF(AND(ObsObligatoria="Sí",ISNUMBER($AN137),$AN137&lt;FechaRef,IF($V137="Sub",N($X137),N($M137))&lt;1,$Q137=""),"Vencida sin observación"&amp;" · ",""))-3)))</f>
        <v/>
      </c>
      <c r="S137" s="64">
        <f>IF(NOT((COUNTA($B137:$D137)+COUNTA($G137:$L137)+COUNTA($Q137))&gt;0),"",IF(AND($V137="Sub",N($U137)&gt;0),IF(ISNUMBER(INDEX($AM$5:$AM$1000,$U137-4)),DATE(YEAR(INDEX($AM$5:$AM$1000,$U137-4)),MONTH(INDEX($AM$5:$AM$1000,$U137-4)),1),IF(ISNUMBER(INDEX($AN$5:$AN$1000,$U137-4)),DATE(YEAR(INDEX($AN$5:$AN$1000,$U137-4)),MONTH(INDEX($AN$5:$AN$1000,$U137-4)),1),MesCiclo)),IF(ISNUMBER($AM137),DATE(YEAR($AM137),MONTH($AM137),1),IF(ISNUMBER($AN137),DATE(YEAR($AN137),MONTH($AN137),1),MesCiclo))))</f>
        <v/>
      </c>
      <c r="T137" s="62">
        <f>IF(OR($S137="",$S137&lt;&gt;MesCiclo,$V137&lt;&gt;"Macro"),"",COUNTIFS($S$5:$S137,MesCiclo,$V$5:$V137,"Macro"))</f>
        <v/>
      </c>
      <c r="U137" s="62">
        <f>IF($V137="","",IF($V137="Macro",ROW(),IFERROR(LOOKUP(2,1/($V$5:$V137="Macro"),ROW($V$5:$V137)),0)))</f>
        <v/>
      </c>
      <c r="V137" s="62">
        <f>IF(NOT((COUNTA($B137:$D137)+COUNTA($G137:$L137)+COUNTA($Q137))&gt;0),"",IF($B137="Subactividad","Sub","Macro"))</f>
        <v/>
      </c>
      <c r="W137" s="62">
        <f>IF($V137="Macro",COUNTIFS($U$5:$U$1000,ROW(),$V$5:$V$1000,"Sub"),"")</f>
        <v/>
      </c>
      <c r="X137" s="62">
        <f>IF($V137="","",IF(ISNUMBER($G137),1,IFERROR(LOOKUP(2,1/($I137:$L137&lt;&gt;""),$I137:$L137),0)))</f>
        <v/>
      </c>
      <c r="Y137" s="62">
        <f>IF($V137="","",IF(AND(ISNUMBER($G137),$G137&lt;=IF($S137=MesCiclo,InicioCiclo,$S137+MOD(2-WEEKDAY($S137),7))+6),1,IF(ISNUMBER($I137),$I137,0)))</f>
        <v/>
      </c>
      <c r="Z137" s="62">
        <f>IF($V137="","",IF(AND(ISNUMBER($G137),$G137&lt;=IF($S137=MesCiclo,InicioCiclo,$S137+MOD(2-WEEKDAY($S137),7))+13),1,IF(ISNUMBER($J137),$J137,$Y137)))</f>
        <v/>
      </c>
      <c r="AA137" s="62">
        <f>IF($V137="","",IF(AND(ISNUMBER($G137),$G137&lt;=IF($S137=MesCiclo,InicioCiclo,$S137+MOD(2-WEEKDAY($S137),7))+20),1,IF(ISNUMBER($K137),$K137,$Z137)))</f>
        <v/>
      </c>
      <c r="AB137" s="62">
        <f>IF($V137="","",IF(AND(ISNUMBER($G137),$G137&lt;=IF($S137=MesCiclo,InicioCiclo,$S137+MOD(2-WEEKDAY($S137),7))+27),1,IF(ISNUMBER($L137),$L137,$AA137)))</f>
        <v/>
      </c>
      <c r="AC137" s="62">
        <f>IF($V137="","",IF(AND(ISNUMBER($G137),$G137&lt;=IF($S137=MesCiclo,InicioCiclo,$S137+MOD(2-WEEKDAY($S137),7))+6),1,IF(N($W137)&gt;0,AVERAGEIFS($Y$5:$Y$1000,$U$5:$U$1000,ROW(),$V$5:$V$1000,"Sub"),$Y137)))</f>
        <v/>
      </c>
      <c r="AD137" s="62">
        <f>IF($V137="","",IF(AND(ISNUMBER($G137),$G137&lt;=IF($S137=MesCiclo,InicioCiclo,$S137+MOD(2-WEEKDAY($S137),7))+13),1,IF(N($W137)&gt;0,AVERAGEIFS($Z$5:$Z$1000,$U$5:$U$1000,ROW(),$V$5:$V$1000,"Sub"),$Z137)))</f>
        <v/>
      </c>
      <c r="AE137" s="62">
        <f>IF($V137="","",IF(AND(ISNUMBER($G137),$G137&lt;=IF($S137=MesCiclo,InicioCiclo,$S137+MOD(2-WEEKDAY($S137),7))+20),1,IF(N($W137)&gt;0,AVERAGEIFS($AA$5:$AA$1000,$U$5:$U$1000,ROW(),$V$5:$V$1000,"Sub"),$AA137)))</f>
        <v/>
      </c>
      <c r="AF137" s="62">
        <f>IF($V137="","",IF(AND(ISNUMBER($G137),$G137&lt;=IF($S137=MesCiclo,InicioCiclo,$S137+MOD(2-WEEKDAY($S137),7))+27),1,IF(N($W137)&gt;0,AVERAGEIFS($AB$5:$AB$1000,$U$5:$U$1000,ROW(),$V$5:$V$1000,"Sub"),$AB137)))</f>
        <v/>
      </c>
      <c r="AG137" s="62">
        <f>IF($V137&lt;&gt;"Macro","",IF(COUNTIFS($S$5:$S$1000,$S137,$V$5:$V$1000,"Macro",$H$5:$H$1000,"&gt;0")=0,1/COUNTIFS($S$5:$S$1000,$S137,$V$5:$V$1000,"Macro"),IF(AND(ISNUMBER($H137),N($H137)&gt;0),$H137,SUMIFS($H$5:$H$1000,$S$5:$S$1000,$S137,$V$5:$V$1000,"Macro")/COUNTIFS($S$5:$S$1000,$S137,$V$5:$V$1000,"Macro",$H$5:$H$1000,"&gt;0"))/(COUNTIFS($S$5:$S$1000,$S137,$V$5:$V$1000,"Macro")*SUMIFS($H$5:$H$1000,$S$5:$S$1000,$S137,$V$5:$V$1000,"Macro")/COUNTIFS($S$5:$S$1000,$S137,$V$5:$V$1000,"Macro",$H$5:$H$1000,"&gt;0"))))</f>
        <v/>
      </c>
      <c r="AH137" s="62" t="n"/>
      <c r="AI137" s="62" t="n"/>
      <c r="AJ137" s="62" t="n"/>
      <c r="AK137" s="62" t="n"/>
      <c r="AL137" s="62">
        <f>IF(LEFT($C137,11)="[Jefatura] ",IFERROR(MATCH("Asistente Técnico de Riesgo|"&amp;MID($C137,12,500),rDname_ADM,0),0),"")</f>
        <v/>
      </c>
      <c r="AM137" s="62">
        <f>IF(N($AL137)&gt;0,INDEX(rIni_ADM,$AL137),IF(ISNUMBER($E137),$E137,""))</f>
        <v/>
      </c>
      <c r="AN137" s="62">
        <f>IF(N($AL137)&gt;0,INDEX(rLim_ADM,$AL137),IF(ISNUMBER($F137),$F137,""))</f>
        <v/>
      </c>
    </row>
    <row r="138">
      <c r="A138" s="56">
        <f>IF(NOT((COUNTA($B138:$D138)+COUNTA($G138:$L138)+COUNTA($Q138))&gt;0),"",IF($V138="Macro",COUNTIFS($V$5:$V138,"Macro",$S$5:$S138,$S138),IF(N($U138)=0,"?",COUNTIFS(INDEX($V$5:$V$1000,1):INDEX($V$5:$V$1000,$U138-4),"Macro",INDEX($S$5:$S$1000,1):INDEX($S$5:$S$1000,$U138-4),INDEX($S$5:$S$1000,$U138-4))&amp;"."&amp;COUNTIFS($U$5:$U138,$U138,$V$5:$V138,"Sub"))))</f>
        <v/>
      </c>
      <c r="B138" s="57" t="n"/>
      <c r="C138" s="58" t="n"/>
      <c r="D138" s="58" t="n"/>
      <c r="E138" s="59">
        <f>IF(N($AL138)&gt;0,INDEX(rIni_ADM,$AL138),"")</f>
        <v/>
      </c>
      <c r="F138" s="59">
        <f>IF(N($AL138)&gt;0,INDEX(rLim_ADM,$AL138),"")</f>
        <v/>
      </c>
      <c r="G138" s="59" t="n"/>
      <c r="H138" s="60" t="n"/>
      <c r="I138" s="60" t="n"/>
      <c r="J138" s="60" t="n"/>
      <c r="K138" s="60" t="n"/>
      <c r="L138" s="60" t="n"/>
      <c r="M138" s="61">
        <f>IF(NOT((COUNTA($B138:$D138)+COUNTA($G138:$L138)+COUNTA($Q138))&gt;0),"",IF($V138="Sub",IFERROR($X138/INDEX($W$5:$W$1000,$U138-4),""),IF(ISNUMBER($G138),1,IF(N($W138)&gt;0,AVERAGEIFS($X$5:$X$1000,$U$5:$U$1000,ROW(),$V$5:$V$1000,"Sub"),$X138))))</f>
        <v/>
      </c>
      <c r="N138" s="56">
        <f>IF(OR($M138="",$V138="Sub"),"",IF($M138&gt;=1,"Completado",IF($M138&gt;0,"En curso","Pendiente")))</f>
        <v/>
      </c>
      <c r="O138" s="56">
        <f>IF(OR(NOT((COUNTA($B138:$D138)+COUNTA($G138:$L138)+COUNTA($Q138))&gt;0),$V138="Sub"),"",IF(ISNUMBER($G138),IF(AND(ISNUMBER($AN138),$G138&gt;$AN138),"Cumplida con "&amp;($G138-$AN138)&amp;IF($G138-$AN138=1," día"," días")&amp;" de retraso","Cumplida"),IF(N($M138)&gt;=1,"Cumplida",IF(NOT(ISNUMBER($AN138)),"Sin fecha límite",IF($AN138&lt;FechaRef,"Vencida hace "&amp;(FechaRef-$AN138)&amp;IF(FechaRef-$AN138=1," día"," días"),IF($AN138=FechaRef,"Vence hoy",IF($AN138-FechaRef&lt;=DiasAlerta,"Vence en "&amp;($AN138-FechaRef)&amp;IF($AN138-FechaRef=1," día"," días"),"En plazo")))))))</f>
        <v/>
      </c>
      <c r="P138" s="62" t="n"/>
      <c r="Q138" s="58" t="n"/>
      <c r="R138" s="63">
        <f>IF(NOT((COUNTA($B138:$D138)+COUNTA($G138:$L138)+COUNTA($Q138))&gt;0),"",IF((IF($C138="","Falta el nombre de la actividad"&amp;" · ","")&amp;IF(AND($V138="Sub",N($U138)=0),"Subactividad sin macroactividad arriba"&amp;" · ","")&amp;IF($AM138="","Sin fecha de inicio"&amp;" · ","")&amp;IF($AN138="","Sin fecha límite"&amp;" · ","")&amp;IF(AND(LEFT($C138,11)="[Jefatura] ",N($AL138)=0),"No se encuentra en la hoja de la jefatura (elíjala de nuevo en la lista)"&amp;" · ","")&amp;IF(OR(AND($E138&lt;&gt;"",NOT(ISNUMBER($E138))),AND($F138&lt;&gt;"",NOT(ISNUMBER($F138))),AND($G138&lt;&gt;"",NOT(ISNUMBER($G138)))),"Fecha no válida"&amp;" · ","")&amp;IF(AND(ISNUMBER($AM138),ISNUMBER($AN138),$AM138&gt;$AN138),"Inicio posterior a fecha límite"&amp;" · ","")&amp;IF(AND($V138="Macro",$H138&lt;&gt;"",OR(NOT(ISNUMBER($H138)),$H138&lt;0,$H138&gt;1)),"Peso fuera de rango"&amp;" · ","")&amp;IF(AND($V138="Sub",$H138&lt;&gt;""),"Las subactividades no llevan peso (valen igual dentro de su macroactividad)"&amp;" · ","")&amp;IF(AND(N($W138)&gt;0,COUNT($I138:$L138)&gt;0),"Con subactividades: deje vacías las semanas (se calculan solas)"&amp;" · ","")&amp;IF((COUNTIF($I138:$L138,"&gt;1")+COUNTIF($I138:$L138,"&lt;0")+COUNTA($I138:$L138)-COUNT($I138:$L138))&gt;0,"Avance fuera de rango 0-100%"&amp;" · ","")&amp;IF(OR(AND($J138&lt;&gt;"",$J138&lt;$I138),AND($K138&lt;&gt;"",$K138&lt;MAX($I138:$J138)),AND($L138&lt;&gt;"",$L138&lt;MAX($I138:$K138))),"Avance semanal decreciente"&amp;" · ","")&amp;IF(AND(ISNUMBER($AN138),$AN138&lt;FechaRef,IF($V138="Sub",N($X138),N($M138))&lt;1),"Vencida"&amp;" · ","")&amp;IF(AND(ObsObligatoria="Sí",ISNUMBER($AN138),$AN138&lt;FechaRef,IF($V138="Sub",N($X138),N($M138))&lt;1,$Q138=""),"Vencida sin observación"&amp;" · ",""))="","✔ OK","⚠ "&amp;LEFT(IF($C138="","Falta el nombre de la actividad"&amp;" · ","")&amp;IF(AND($V138="Sub",N($U138)=0),"Subactividad sin macroactividad arriba"&amp;" · ","")&amp;IF($AM138="","Sin fecha de inicio"&amp;" · ","")&amp;IF($AN138="","Sin fecha límite"&amp;" · ","")&amp;IF(AND(LEFT($C138,11)="[Jefatura] ",N($AL138)=0),"No se encuentra en la hoja de la jefatura (elíjala de nuevo en la lista)"&amp;" · ","")&amp;IF(OR(AND($E138&lt;&gt;"",NOT(ISNUMBER($E138))),AND($F138&lt;&gt;"",NOT(ISNUMBER($F138))),AND($G138&lt;&gt;"",NOT(ISNUMBER($G138)))),"Fecha no válida"&amp;" · ","")&amp;IF(AND(ISNUMBER($AM138),ISNUMBER($AN138),$AM138&gt;$AN138),"Inicio posterior a fecha límite"&amp;" · ","")&amp;IF(AND($V138="Macro",$H138&lt;&gt;"",OR(NOT(ISNUMBER($H138)),$H138&lt;0,$H138&gt;1)),"Peso fuera de rango"&amp;" · ","")&amp;IF(AND($V138="Sub",$H138&lt;&gt;""),"Las subactividades no llevan peso (valen igual dentro de su macroactividad)"&amp;" · ","")&amp;IF(AND(N($W138)&gt;0,COUNT($I138:$L138)&gt;0),"Con subactividades: deje vacías las semanas (se calculan solas)"&amp;" · ","")&amp;IF((COUNTIF($I138:$L138,"&gt;1")+COUNTIF($I138:$L138,"&lt;0")+COUNTA($I138:$L138)-COUNT($I138:$L138))&gt;0,"Avance fuera de rango 0-100%"&amp;" · ","")&amp;IF(OR(AND($J138&lt;&gt;"",$J138&lt;$I138),AND($K138&lt;&gt;"",$K138&lt;MAX($I138:$J138)),AND($L138&lt;&gt;"",$L138&lt;MAX($I138:$K138))),"Avance semanal decreciente"&amp;" · ","")&amp;IF(AND(ISNUMBER($AN138),$AN138&lt;FechaRef,IF($V138="Sub",N($X138),N($M138))&lt;1),"Vencida"&amp;" · ","")&amp;IF(AND(ObsObligatoria="Sí",ISNUMBER($AN138),$AN138&lt;FechaRef,IF($V138="Sub",N($X138),N($M138))&lt;1,$Q138=""),"Vencida sin observación"&amp;" · ",""),LEN(IF($C138="","Falta el nombre de la actividad"&amp;" · ","")&amp;IF(AND($V138="Sub",N($U138)=0),"Subactividad sin macroactividad arriba"&amp;" · ","")&amp;IF($AM138="","Sin fecha de inicio"&amp;" · ","")&amp;IF($AN138="","Sin fecha límite"&amp;" · ","")&amp;IF(AND(LEFT($C138,11)="[Jefatura] ",N($AL138)=0),"No se encuentra en la hoja de la jefatura (elíjala de nuevo en la lista)"&amp;" · ","")&amp;IF(OR(AND($E138&lt;&gt;"",NOT(ISNUMBER($E138))),AND($F138&lt;&gt;"",NOT(ISNUMBER($F138))),AND($G138&lt;&gt;"",NOT(ISNUMBER($G138)))),"Fecha no válida"&amp;" · ","")&amp;IF(AND(ISNUMBER($AM138),ISNUMBER($AN138),$AM138&gt;$AN138),"Inicio posterior a fecha límite"&amp;" · ","")&amp;IF(AND($V138="Macro",$H138&lt;&gt;"",OR(NOT(ISNUMBER($H138)),$H138&lt;0,$H138&gt;1)),"Peso fuera de rango"&amp;" · ","")&amp;IF(AND($V138="Sub",$H138&lt;&gt;""),"Las subactividades no llevan peso (valen igual dentro de su macroactividad)"&amp;" · ","")&amp;IF(AND(N($W138)&gt;0,COUNT($I138:$L138)&gt;0),"Con subactividades: deje vacías las semanas (se calculan solas)"&amp;" · ","")&amp;IF((COUNTIF($I138:$L138,"&gt;1")+COUNTIF($I138:$L138,"&lt;0")+COUNTA($I138:$L138)-COUNT($I138:$L138))&gt;0,"Avance fuera de rango 0-100%"&amp;" · ","")&amp;IF(OR(AND($J138&lt;&gt;"",$J138&lt;$I138),AND($K138&lt;&gt;"",$K138&lt;MAX($I138:$J138)),AND($L138&lt;&gt;"",$L138&lt;MAX($I138:$K138))),"Avance semanal decreciente"&amp;" · ","")&amp;IF(AND(ISNUMBER($AN138),$AN138&lt;FechaRef,IF($V138="Sub",N($X138),N($M138))&lt;1),"Vencida"&amp;" · ","")&amp;IF(AND(ObsObligatoria="Sí",ISNUMBER($AN138),$AN138&lt;FechaRef,IF($V138="Sub",N($X138),N($M138))&lt;1,$Q138=""),"Vencida sin observación"&amp;" · ",""))-3)))</f>
        <v/>
      </c>
      <c r="S138" s="64">
        <f>IF(NOT((COUNTA($B138:$D138)+COUNTA($G138:$L138)+COUNTA($Q138))&gt;0),"",IF(AND($V138="Sub",N($U138)&gt;0),IF(ISNUMBER(INDEX($AM$5:$AM$1000,$U138-4)),DATE(YEAR(INDEX($AM$5:$AM$1000,$U138-4)),MONTH(INDEX($AM$5:$AM$1000,$U138-4)),1),IF(ISNUMBER(INDEX($AN$5:$AN$1000,$U138-4)),DATE(YEAR(INDEX($AN$5:$AN$1000,$U138-4)),MONTH(INDEX($AN$5:$AN$1000,$U138-4)),1),MesCiclo)),IF(ISNUMBER($AM138),DATE(YEAR($AM138),MONTH($AM138),1),IF(ISNUMBER($AN138),DATE(YEAR($AN138),MONTH($AN138),1),MesCiclo))))</f>
        <v/>
      </c>
      <c r="T138" s="62">
        <f>IF(OR($S138="",$S138&lt;&gt;MesCiclo,$V138&lt;&gt;"Macro"),"",COUNTIFS($S$5:$S138,MesCiclo,$V$5:$V138,"Macro"))</f>
        <v/>
      </c>
      <c r="U138" s="62">
        <f>IF($V138="","",IF($V138="Macro",ROW(),IFERROR(LOOKUP(2,1/($V$5:$V138="Macro"),ROW($V$5:$V138)),0)))</f>
        <v/>
      </c>
      <c r="V138" s="62">
        <f>IF(NOT((COUNTA($B138:$D138)+COUNTA($G138:$L138)+COUNTA($Q138))&gt;0),"",IF($B138="Subactividad","Sub","Macro"))</f>
        <v/>
      </c>
      <c r="W138" s="62">
        <f>IF($V138="Macro",COUNTIFS($U$5:$U$1000,ROW(),$V$5:$V$1000,"Sub"),"")</f>
        <v/>
      </c>
      <c r="X138" s="62">
        <f>IF($V138="","",IF(ISNUMBER($G138),1,IFERROR(LOOKUP(2,1/($I138:$L138&lt;&gt;""),$I138:$L138),0)))</f>
        <v/>
      </c>
      <c r="Y138" s="62">
        <f>IF($V138="","",IF(AND(ISNUMBER($G138),$G138&lt;=IF($S138=MesCiclo,InicioCiclo,$S138+MOD(2-WEEKDAY($S138),7))+6),1,IF(ISNUMBER($I138),$I138,0)))</f>
        <v/>
      </c>
      <c r="Z138" s="62">
        <f>IF($V138="","",IF(AND(ISNUMBER($G138),$G138&lt;=IF($S138=MesCiclo,InicioCiclo,$S138+MOD(2-WEEKDAY($S138),7))+13),1,IF(ISNUMBER($J138),$J138,$Y138)))</f>
        <v/>
      </c>
      <c r="AA138" s="62">
        <f>IF($V138="","",IF(AND(ISNUMBER($G138),$G138&lt;=IF($S138=MesCiclo,InicioCiclo,$S138+MOD(2-WEEKDAY($S138),7))+20),1,IF(ISNUMBER($K138),$K138,$Z138)))</f>
        <v/>
      </c>
      <c r="AB138" s="62">
        <f>IF($V138="","",IF(AND(ISNUMBER($G138),$G138&lt;=IF($S138=MesCiclo,InicioCiclo,$S138+MOD(2-WEEKDAY($S138),7))+27),1,IF(ISNUMBER($L138),$L138,$AA138)))</f>
        <v/>
      </c>
      <c r="AC138" s="62">
        <f>IF($V138="","",IF(AND(ISNUMBER($G138),$G138&lt;=IF($S138=MesCiclo,InicioCiclo,$S138+MOD(2-WEEKDAY($S138),7))+6),1,IF(N($W138)&gt;0,AVERAGEIFS($Y$5:$Y$1000,$U$5:$U$1000,ROW(),$V$5:$V$1000,"Sub"),$Y138)))</f>
        <v/>
      </c>
      <c r="AD138" s="62">
        <f>IF($V138="","",IF(AND(ISNUMBER($G138),$G138&lt;=IF($S138=MesCiclo,InicioCiclo,$S138+MOD(2-WEEKDAY($S138),7))+13),1,IF(N($W138)&gt;0,AVERAGEIFS($Z$5:$Z$1000,$U$5:$U$1000,ROW(),$V$5:$V$1000,"Sub"),$Z138)))</f>
        <v/>
      </c>
      <c r="AE138" s="62">
        <f>IF($V138="","",IF(AND(ISNUMBER($G138),$G138&lt;=IF($S138=MesCiclo,InicioCiclo,$S138+MOD(2-WEEKDAY($S138),7))+20),1,IF(N($W138)&gt;0,AVERAGEIFS($AA$5:$AA$1000,$U$5:$U$1000,ROW(),$V$5:$V$1000,"Sub"),$AA138)))</f>
        <v/>
      </c>
      <c r="AF138" s="62">
        <f>IF($V138="","",IF(AND(ISNUMBER($G138),$G138&lt;=IF($S138=MesCiclo,InicioCiclo,$S138+MOD(2-WEEKDAY($S138),7))+27),1,IF(N($W138)&gt;0,AVERAGEIFS($AB$5:$AB$1000,$U$5:$U$1000,ROW(),$V$5:$V$1000,"Sub"),$AB138)))</f>
        <v/>
      </c>
      <c r="AG138" s="62">
        <f>IF($V138&lt;&gt;"Macro","",IF(COUNTIFS($S$5:$S$1000,$S138,$V$5:$V$1000,"Macro",$H$5:$H$1000,"&gt;0")=0,1/COUNTIFS($S$5:$S$1000,$S138,$V$5:$V$1000,"Macro"),IF(AND(ISNUMBER($H138),N($H138)&gt;0),$H138,SUMIFS($H$5:$H$1000,$S$5:$S$1000,$S138,$V$5:$V$1000,"Macro")/COUNTIFS($S$5:$S$1000,$S138,$V$5:$V$1000,"Macro",$H$5:$H$1000,"&gt;0"))/(COUNTIFS($S$5:$S$1000,$S138,$V$5:$V$1000,"Macro")*SUMIFS($H$5:$H$1000,$S$5:$S$1000,$S138,$V$5:$V$1000,"Macro")/COUNTIFS($S$5:$S$1000,$S138,$V$5:$V$1000,"Macro",$H$5:$H$1000,"&gt;0"))))</f>
        <v/>
      </c>
      <c r="AH138" s="62" t="n"/>
      <c r="AI138" s="62" t="n"/>
      <c r="AJ138" s="62" t="n"/>
      <c r="AK138" s="62" t="n"/>
      <c r="AL138" s="62">
        <f>IF(LEFT($C138,11)="[Jefatura] ",IFERROR(MATCH("Asistente Técnico de Riesgo|"&amp;MID($C138,12,500),rDname_ADM,0),0),"")</f>
        <v/>
      </c>
      <c r="AM138" s="62">
        <f>IF(N($AL138)&gt;0,INDEX(rIni_ADM,$AL138),IF(ISNUMBER($E138),$E138,""))</f>
        <v/>
      </c>
      <c r="AN138" s="62">
        <f>IF(N($AL138)&gt;0,INDEX(rLim_ADM,$AL138),IF(ISNUMBER($F138),$F138,""))</f>
        <v/>
      </c>
    </row>
    <row r="139">
      <c r="A139" s="56">
        <f>IF(NOT((COUNTA($B139:$D139)+COUNTA($G139:$L139)+COUNTA($Q139))&gt;0),"",IF($V139="Macro",COUNTIFS($V$5:$V139,"Macro",$S$5:$S139,$S139),IF(N($U139)=0,"?",COUNTIFS(INDEX($V$5:$V$1000,1):INDEX($V$5:$V$1000,$U139-4),"Macro",INDEX($S$5:$S$1000,1):INDEX($S$5:$S$1000,$U139-4),INDEX($S$5:$S$1000,$U139-4))&amp;"."&amp;COUNTIFS($U$5:$U139,$U139,$V$5:$V139,"Sub"))))</f>
        <v/>
      </c>
      <c r="B139" s="57" t="n"/>
      <c r="C139" s="58" t="n"/>
      <c r="D139" s="58" t="n"/>
      <c r="E139" s="59">
        <f>IF(N($AL139)&gt;0,INDEX(rIni_ADM,$AL139),"")</f>
        <v/>
      </c>
      <c r="F139" s="59">
        <f>IF(N($AL139)&gt;0,INDEX(rLim_ADM,$AL139),"")</f>
        <v/>
      </c>
      <c r="G139" s="59" t="n"/>
      <c r="H139" s="60" t="n"/>
      <c r="I139" s="60" t="n"/>
      <c r="J139" s="60" t="n"/>
      <c r="K139" s="60" t="n"/>
      <c r="L139" s="60" t="n"/>
      <c r="M139" s="61">
        <f>IF(NOT((COUNTA($B139:$D139)+COUNTA($G139:$L139)+COUNTA($Q139))&gt;0),"",IF($V139="Sub",IFERROR($X139/INDEX($W$5:$W$1000,$U139-4),""),IF(ISNUMBER($G139),1,IF(N($W139)&gt;0,AVERAGEIFS($X$5:$X$1000,$U$5:$U$1000,ROW(),$V$5:$V$1000,"Sub"),$X139))))</f>
        <v/>
      </c>
      <c r="N139" s="56">
        <f>IF(OR($M139="",$V139="Sub"),"",IF($M139&gt;=1,"Completado",IF($M139&gt;0,"En curso","Pendiente")))</f>
        <v/>
      </c>
      <c r="O139" s="56">
        <f>IF(OR(NOT((COUNTA($B139:$D139)+COUNTA($G139:$L139)+COUNTA($Q139))&gt;0),$V139="Sub"),"",IF(ISNUMBER($G139),IF(AND(ISNUMBER($AN139),$G139&gt;$AN139),"Cumplida con "&amp;($G139-$AN139)&amp;IF($G139-$AN139=1," día"," días")&amp;" de retraso","Cumplida"),IF(N($M139)&gt;=1,"Cumplida",IF(NOT(ISNUMBER($AN139)),"Sin fecha límite",IF($AN139&lt;FechaRef,"Vencida hace "&amp;(FechaRef-$AN139)&amp;IF(FechaRef-$AN139=1," día"," días"),IF($AN139=FechaRef,"Vence hoy",IF($AN139-FechaRef&lt;=DiasAlerta,"Vence en "&amp;($AN139-FechaRef)&amp;IF($AN139-FechaRef=1," día"," días"),"En plazo")))))))</f>
        <v/>
      </c>
      <c r="P139" s="62" t="n"/>
      <c r="Q139" s="58" t="n"/>
      <c r="R139" s="63">
        <f>IF(NOT((COUNTA($B139:$D139)+COUNTA($G139:$L139)+COUNTA($Q139))&gt;0),"",IF((IF($C139="","Falta el nombre de la actividad"&amp;" · ","")&amp;IF(AND($V139="Sub",N($U139)=0),"Subactividad sin macroactividad arriba"&amp;" · ","")&amp;IF($AM139="","Sin fecha de inicio"&amp;" · ","")&amp;IF($AN139="","Sin fecha límite"&amp;" · ","")&amp;IF(AND(LEFT($C139,11)="[Jefatura] ",N($AL139)=0),"No se encuentra en la hoja de la jefatura (elíjala de nuevo en la lista)"&amp;" · ","")&amp;IF(OR(AND($E139&lt;&gt;"",NOT(ISNUMBER($E139))),AND($F139&lt;&gt;"",NOT(ISNUMBER($F139))),AND($G139&lt;&gt;"",NOT(ISNUMBER($G139)))),"Fecha no válida"&amp;" · ","")&amp;IF(AND(ISNUMBER($AM139),ISNUMBER($AN139),$AM139&gt;$AN139),"Inicio posterior a fecha límite"&amp;" · ","")&amp;IF(AND($V139="Macro",$H139&lt;&gt;"",OR(NOT(ISNUMBER($H139)),$H139&lt;0,$H139&gt;1)),"Peso fuera de rango"&amp;" · ","")&amp;IF(AND($V139="Sub",$H139&lt;&gt;""),"Las subactividades no llevan peso (valen igual dentro de su macroactividad)"&amp;" · ","")&amp;IF(AND(N($W139)&gt;0,COUNT($I139:$L139)&gt;0),"Con subactividades: deje vacías las semanas (se calculan solas)"&amp;" · ","")&amp;IF((COUNTIF($I139:$L139,"&gt;1")+COUNTIF($I139:$L139,"&lt;0")+COUNTA($I139:$L139)-COUNT($I139:$L139))&gt;0,"Avance fuera de rango 0-100%"&amp;" · ","")&amp;IF(OR(AND($J139&lt;&gt;"",$J139&lt;$I139),AND($K139&lt;&gt;"",$K139&lt;MAX($I139:$J139)),AND($L139&lt;&gt;"",$L139&lt;MAX($I139:$K139))),"Avance semanal decreciente"&amp;" · ","")&amp;IF(AND(ISNUMBER($AN139),$AN139&lt;FechaRef,IF($V139="Sub",N($X139),N($M139))&lt;1),"Vencida"&amp;" · ","")&amp;IF(AND(ObsObligatoria="Sí",ISNUMBER($AN139),$AN139&lt;FechaRef,IF($V139="Sub",N($X139),N($M139))&lt;1,$Q139=""),"Vencida sin observación"&amp;" · ",""))="","✔ OK","⚠ "&amp;LEFT(IF($C139="","Falta el nombre de la actividad"&amp;" · ","")&amp;IF(AND($V139="Sub",N($U139)=0),"Subactividad sin macroactividad arriba"&amp;" · ","")&amp;IF($AM139="","Sin fecha de inicio"&amp;" · ","")&amp;IF($AN139="","Sin fecha límite"&amp;" · ","")&amp;IF(AND(LEFT($C139,11)="[Jefatura] ",N($AL139)=0),"No se encuentra en la hoja de la jefatura (elíjala de nuevo en la lista)"&amp;" · ","")&amp;IF(OR(AND($E139&lt;&gt;"",NOT(ISNUMBER($E139))),AND($F139&lt;&gt;"",NOT(ISNUMBER($F139))),AND($G139&lt;&gt;"",NOT(ISNUMBER($G139)))),"Fecha no válida"&amp;" · ","")&amp;IF(AND(ISNUMBER($AM139),ISNUMBER($AN139),$AM139&gt;$AN139),"Inicio posterior a fecha límite"&amp;" · ","")&amp;IF(AND($V139="Macro",$H139&lt;&gt;"",OR(NOT(ISNUMBER($H139)),$H139&lt;0,$H139&gt;1)),"Peso fuera de rango"&amp;" · ","")&amp;IF(AND($V139="Sub",$H139&lt;&gt;""),"Las subactividades no llevan peso (valen igual dentro de su macroactividad)"&amp;" · ","")&amp;IF(AND(N($W139)&gt;0,COUNT($I139:$L139)&gt;0),"Con subactividades: deje vacías las semanas (se calculan solas)"&amp;" · ","")&amp;IF((COUNTIF($I139:$L139,"&gt;1")+COUNTIF($I139:$L139,"&lt;0")+COUNTA($I139:$L139)-COUNT($I139:$L139))&gt;0,"Avance fuera de rango 0-100%"&amp;" · ","")&amp;IF(OR(AND($J139&lt;&gt;"",$J139&lt;$I139),AND($K139&lt;&gt;"",$K139&lt;MAX($I139:$J139)),AND($L139&lt;&gt;"",$L139&lt;MAX($I139:$K139))),"Avance semanal decreciente"&amp;" · ","")&amp;IF(AND(ISNUMBER($AN139),$AN139&lt;FechaRef,IF($V139="Sub",N($X139),N($M139))&lt;1),"Vencida"&amp;" · ","")&amp;IF(AND(ObsObligatoria="Sí",ISNUMBER($AN139),$AN139&lt;FechaRef,IF($V139="Sub",N($X139),N($M139))&lt;1,$Q139=""),"Vencida sin observación"&amp;" · ",""),LEN(IF($C139="","Falta el nombre de la actividad"&amp;" · ","")&amp;IF(AND($V139="Sub",N($U139)=0),"Subactividad sin macroactividad arriba"&amp;" · ","")&amp;IF($AM139="","Sin fecha de inicio"&amp;" · ","")&amp;IF($AN139="","Sin fecha límite"&amp;" · ","")&amp;IF(AND(LEFT($C139,11)="[Jefatura] ",N($AL139)=0),"No se encuentra en la hoja de la jefatura (elíjala de nuevo en la lista)"&amp;" · ","")&amp;IF(OR(AND($E139&lt;&gt;"",NOT(ISNUMBER($E139))),AND($F139&lt;&gt;"",NOT(ISNUMBER($F139))),AND($G139&lt;&gt;"",NOT(ISNUMBER($G139)))),"Fecha no válida"&amp;" · ","")&amp;IF(AND(ISNUMBER($AM139),ISNUMBER($AN139),$AM139&gt;$AN139),"Inicio posterior a fecha límite"&amp;" · ","")&amp;IF(AND($V139="Macro",$H139&lt;&gt;"",OR(NOT(ISNUMBER($H139)),$H139&lt;0,$H139&gt;1)),"Peso fuera de rango"&amp;" · ","")&amp;IF(AND($V139="Sub",$H139&lt;&gt;""),"Las subactividades no llevan peso (valen igual dentro de su macroactividad)"&amp;" · ","")&amp;IF(AND(N($W139)&gt;0,COUNT($I139:$L139)&gt;0),"Con subactividades: deje vacías las semanas (se calculan solas)"&amp;" · ","")&amp;IF((COUNTIF($I139:$L139,"&gt;1")+COUNTIF($I139:$L139,"&lt;0")+COUNTA($I139:$L139)-COUNT($I139:$L139))&gt;0,"Avance fuera de rango 0-100%"&amp;" · ","")&amp;IF(OR(AND($J139&lt;&gt;"",$J139&lt;$I139),AND($K139&lt;&gt;"",$K139&lt;MAX($I139:$J139)),AND($L139&lt;&gt;"",$L139&lt;MAX($I139:$K139))),"Avance semanal decreciente"&amp;" · ","")&amp;IF(AND(ISNUMBER($AN139),$AN139&lt;FechaRef,IF($V139="Sub",N($X139),N($M139))&lt;1),"Vencida"&amp;" · ","")&amp;IF(AND(ObsObligatoria="Sí",ISNUMBER($AN139),$AN139&lt;FechaRef,IF($V139="Sub",N($X139),N($M139))&lt;1,$Q139=""),"Vencida sin observación"&amp;" · ",""))-3)))</f>
        <v/>
      </c>
      <c r="S139" s="64">
        <f>IF(NOT((COUNTA($B139:$D139)+COUNTA($G139:$L139)+COUNTA($Q139))&gt;0),"",IF(AND($V139="Sub",N($U139)&gt;0),IF(ISNUMBER(INDEX($AM$5:$AM$1000,$U139-4)),DATE(YEAR(INDEX($AM$5:$AM$1000,$U139-4)),MONTH(INDEX($AM$5:$AM$1000,$U139-4)),1),IF(ISNUMBER(INDEX($AN$5:$AN$1000,$U139-4)),DATE(YEAR(INDEX($AN$5:$AN$1000,$U139-4)),MONTH(INDEX($AN$5:$AN$1000,$U139-4)),1),MesCiclo)),IF(ISNUMBER($AM139),DATE(YEAR($AM139),MONTH($AM139),1),IF(ISNUMBER($AN139),DATE(YEAR($AN139),MONTH($AN139),1),MesCiclo))))</f>
        <v/>
      </c>
      <c r="T139" s="62">
        <f>IF(OR($S139="",$S139&lt;&gt;MesCiclo,$V139&lt;&gt;"Macro"),"",COUNTIFS($S$5:$S139,MesCiclo,$V$5:$V139,"Macro"))</f>
        <v/>
      </c>
      <c r="U139" s="62">
        <f>IF($V139="","",IF($V139="Macro",ROW(),IFERROR(LOOKUP(2,1/($V$5:$V139="Macro"),ROW($V$5:$V139)),0)))</f>
        <v/>
      </c>
      <c r="V139" s="62">
        <f>IF(NOT((COUNTA($B139:$D139)+COUNTA($G139:$L139)+COUNTA($Q139))&gt;0),"",IF($B139="Subactividad","Sub","Macro"))</f>
        <v/>
      </c>
      <c r="W139" s="62">
        <f>IF($V139="Macro",COUNTIFS($U$5:$U$1000,ROW(),$V$5:$V$1000,"Sub"),"")</f>
        <v/>
      </c>
      <c r="X139" s="62">
        <f>IF($V139="","",IF(ISNUMBER($G139),1,IFERROR(LOOKUP(2,1/($I139:$L139&lt;&gt;""),$I139:$L139),0)))</f>
        <v/>
      </c>
      <c r="Y139" s="62">
        <f>IF($V139="","",IF(AND(ISNUMBER($G139),$G139&lt;=IF($S139=MesCiclo,InicioCiclo,$S139+MOD(2-WEEKDAY($S139),7))+6),1,IF(ISNUMBER($I139),$I139,0)))</f>
        <v/>
      </c>
      <c r="Z139" s="62">
        <f>IF($V139="","",IF(AND(ISNUMBER($G139),$G139&lt;=IF($S139=MesCiclo,InicioCiclo,$S139+MOD(2-WEEKDAY($S139),7))+13),1,IF(ISNUMBER($J139),$J139,$Y139)))</f>
        <v/>
      </c>
      <c r="AA139" s="62">
        <f>IF($V139="","",IF(AND(ISNUMBER($G139),$G139&lt;=IF($S139=MesCiclo,InicioCiclo,$S139+MOD(2-WEEKDAY($S139),7))+20),1,IF(ISNUMBER($K139),$K139,$Z139)))</f>
        <v/>
      </c>
      <c r="AB139" s="62">
        <f>IF($V139="","",IF(AND(ISNUMBER($G139),$G139&lt;=IF($S139=MesCiclo,InicioCiclo,$S139+MOD(2-WEEKDAY($S139),7))+27),1,IF(ISNUMBER($L139),$L139,$AA139)))</f>
        <v/>
      </c>
      <c r="AC139" s="62">
        <f>IF($V139="","",IF(AND(ISNUMBER($G139),$G139&lt;=IF($S139=MesCiclo,InicioCiclo,$S139+MOD(2-WEEKDAY($S139),7))+6),1,IF(N($W139)&gt;0,AVERAGEIFS($Y$5:$Y$1000,$U$5:$U$1000,ROW(),$V$5:$V$1000,"Sub"),$Y139)))</f>
        <v/>
      </c>
      <c r="AD139" s="62">
        <f>IF($V139="","",IF(AND(ISNUMBER($G139),$G139&lt;=IF($S139=MesCiclo,InicioCiclo,$S139+MOD(2-WEEKDAY($S139),7))+13),1,IF(N($W139)&gt;0,AVERAGEIFS($Z$5:$Z$1000,$U$5:$U$1000,ROW(),$V$5:$V$1000,"Sub"),$Z139)))</f>
        <v/>
      </c>
      <c r="AE139" s="62">
        <f>IF($V139="","",IF(AND(ISNUMBER($G139),$G139&lt;=IF($S139=MesCiclo,InicioCiclo,$S139+MOD(2-WEEKDAY($S139),7))+20),1,IF(N($W139)&gt;0,AVERAGEIFS($AA$5:$AA$1000,$U$5:$U$1000,ROW(),$V$5:$V$1000,"Sub"),$AA139)))</f>
        <v/>
      </c>
      <c r="AF139" s="62">
        <f>IF($V139="","",IF(AND(ISNUMBER($G139),$G139&lt;=IF($S139=MesCiclo,InicioCiclo,$S139+MOD(2-WEEKDAY($S139),7))+27),1,IF(N($W139)&gt;0,AVERAGEIFS($AB$5:$AB$1000,$U$5:$U$1000,ROW(),$V$5:$V$1000,"Sub"),$AB139)))</f>
        <v/>
      </c>
      <c r="AG139" s="62">
        <f>IF($V139&lt;&gt;"Macro","",IF(COUNTIFS($S$5:$S$1000,$S139,$V$5:$V$1000,"Macro",$H$5:$H$1000,"&gt;0")=0,1/COUNTIFS($S$5:$S$1000,$S139,$V$5:$V$1000,"Macro"),IF(AND(ISNUMBER($H139),N($H139)&gt;0),$H139,SUMIFS($H$5:$H$1000,$S$5:$S$1000,$S139,$V$5:$V$1000,"Macro")/COUNTIFS($S$5:$S$1000,$S139,$V$5:$V$1000,"Macro",$H$5:$H$1000,"&gt;0"))/(COUNTIFS($S$5:$S$1000,$S139,$V$5:$V$1000,"Macro")*SUMIFS($H$5:$H$1000,$S$5:$S$1000,$S139,$V$5:$V$1000,"Macro")/COUNTIFS($S$5:$S$1000,$S139,$V$5:$V$1000,"Macro",$H$5:$H$1000,"&gt;0"))))</f>
        <v/>
      </c>
      <c r="AH139" s="62" t="n"/>
      <c r="AI139" s="62" t="n"/>
      <c r="AJ139" s="62" t="n"/>
      <c r="AK139" s="62" t="n"/>
      <c r="AL139" s="62">
        <f>IF(LEFT($C139,11)="[Jefatura] ",IFERROR(MATCH("Asistente Técnico de Riesgo|"&amp;MID($C139,12,500),rDname_ADM,0),0),"")</f>
        <v/>
      </c>
      <c r="AM139" s="62">
        <f>IF(N($AL139)&gt;0,INDEX(rIni_ADM,$AL139),IF(ISNUMBER($E139),$E139,""))</f>
        <v/>
      </c>
      <c r="AN139" s="62">
        <f>IF(N($AL139)&gt;0,INDEX(rLim_ADM,$AL139),IF(ISNUMBER($F139),$F139,""))</f>
        <v/>
      </c>
    </row>
    <row r="140">
      <c r="A140" s="56">
        <f>IF(NOT((COUNTA($B140:$D140)+COUNTA($G140:$L140)+COUNTA($Q140))&gt;0),"",IF($V140="Macro",COUNTIFS($V$5:$V140,"Macro",$S$5:$S140,$S140),IF(N($U140)=0,"?",COUNTIFS(INDEX($V$5:$V$1000,1):INDEX($V$5:$V$1000,$U140-4),"Macro",INDEX($S$5:$S$1000,1):INDEX($S$5:$S$1000,$U140-4),INDEX($S$5:$S$1000,$U140-4))&amp;"."&amp;COUNTIFS($U$5:$U140,$U140,$V$5:$V140,"Sub"))))</f>
        <v/>
      </c>
      <c r="B140" s="57" t="n"/>
      <c r="C140" s="58" t="n"/>
      <c r="D140" s="58" t="n"/>
      <c r="E140" s="59">
        <f>IF(N($AL140)&gt;0,INDEX(rIni_ADM,$AL140),"")</f>
        <v/>
      </c>
      <c r="F140" s="59">
        <f>IF(N($AL140)&gt;0,INDEX(rLim_ADM,$AL140),"")</f>
        <v/>
      </c>
      <c r="G140" s="59" t="n"/>
      <c r="H140" s="60" t="n"/>
      <c r="I140" s="60" t="n"/>
      <c r="J140" s="60" t="n"/>
      <c r="K140" s="60" t="n"/>
      <c r="L140" s="60" t="n"/>
      <c r="M140" s="61">
        <f>IF(NOT((COUNTA($B140:$D140)+COUNTA($G140:$L140)+COUNTA($Q140))&gt;0),"",IF($V140="Sub",IFERROR($X140/INDEX($W$5:$W$1000,$U140-4),""),IF(ISNUMBER($G140),1,IF(N($W140)&gt;0,AVERAGEIFS($X$5:$X$1000,$U$5:$U$1000,ROW(),$V$5:$V$1000,"Sub"),$X140))))</f>
        <v/>
      </c>
      <c r="N140" s="56">
        <f>IF(OR($M140="",$V140="Sub"),"",IF($M140&gt;=1,"Completado",IF($M140&gt;0,"En curso","Pendiente")))</f>
        <v/>
      </c>
      <c r="O140" s="56">
        <f>IF(OR(NOT((COUNTA($B140:$D140)+COUNTA($G140:$L140)+COUNTA($Q140))&gt;0),$V140="Sub"),"",IF(ISNUMBER($G140),IF(AND(ISNUMBER($AN140),$G140&gt;$AN140),"Cumplida con "&amp;($G140-$AN140)&amp;IF($G140-$AN140=1," día"," días")&amp;" de retraso","Cumplida"),IF(N($M140)&gt;=1,"Cumplida",IF(NOT(ISNUMBER($AN140)),"Sin fecha límite",IF($AN140&lt;FechaRef,"Vencida hace "&amp;(FechaRef-$AN140)&amp;IF(FechaRef-$AN140=1," día"," días"),IF($AN140=FechaRef,"Vence hoy",IF($AN140-FechaRef&lt;=DiasAlerta,"Vence en "&amp;($AN140-FechaRef)&amp;IF($AN140-FechaRef=1," día"," días"),"En plazo")))))))</f>
        <v/>
      </c>
      <c r="P140" s="62" t="n"/>
      <c r="Q140" s="58" t="n"/>
      <c r="R140" s="63">
        <f>IF(NOT((COUNTA($B140:$D140)+COUNTA($G140:$L140)+COUNTA($Q140))&gt;0),"",IF((IF($C140="","Falta el nombre de la actividad"&amp;" · ","")&amp;IF(AND($V140="Sub",N($U140)=0),"Subactividad sin macroactividad arriba"&amp;" · ","")&amp;IF($AM140="","Sin fecha de inicio"&amp;" · ","")&amp;IF($AN140="","Sin fecha límite"&amp;" · ","")&amp;IF(AND(LEFT($C140,11)="[Jefatura] ",N($AL140)=0),"No se encuentra en la hoja de la jefatura (elíjala de nuevo en la lista)"&amp;" · ","")&amp;IF(OR(AND($E140&lt;&gt;"",NOT(ISNUMBER($E140))),AND($F140&lt;&gt;"",NOT(ISNUMBER($F140))),AND($G140&lt;&gt;"",NOT(ISNUMBER($G140)))),"Fecha no válida"&amp;" · ","")&amp;IF(AND(ISNUMBER($AM140),ISNUMBER($AN140),$AM140&gt;$AN140),"Inicio posterior a fecha límite"&amp;" · ","")&amp;IF(AND($V140="Macro",$H140&lt;&gt;"",OR(NOT(ISNUMBER($H140)),$H140&lt;0,$H140&gt;1)),"Peso fuera de rango"&amp;" · ","")&amp;IF(AND($V140="Sub",$H140&lt;&gt;""),"Las subactividades no llevan peso (valen igual dentro de su macroactividad)"&amp;" · ","")&amp;IF(AND(N($W140)&gt;0,COUNT($I140:$L140)&gt;0),"Con subactividades: deje vacías las semanas (se calculan solas)"&amp;" · ","")&amp;IF((COUNTIF($I140:$L140,"&gt;1")+COUNTIF($I140:$L140,"&lt;0")+COUNTA($I140:$L140)-COUNT($I140:$L140))&gt;0,"Avance fuera de rango 0-100%"&amp;" · ","")&amp;IF(OR(AND($J140&lt;&gt;"",$J140&lt;$I140),AND($K140&lt;&gt;"",$K140&lt;MAX($I140:$J140)),AND($L140&lt;&gt;"",$L140&lt;MAX($I140:$K140))),"Avance semanal decreciente"&amp;" · ","")&amp;IF(AND(ISNUMBER($AN140),$AN140&lt;FechaRef,IF($V140="Sub",N($X140),N($M140))&lt;1),"Vencida"&amp;" · ","")&amp;IF(AND(ObsObligatoria="Sí",ISNUMBER($AN140),$AN140&lt;FechaRef,IF($V140="Sub",N($X140),N($M140))&lt;1,$Q140=""),"Vencida sin observación"&amp;" · ",""))="","✔ OK","⚠ "&amp;LEFT(IF($C140="","Falta el nombre de la actividad"&amp;" · ","")&amp;IF(AND($V140="Sub",N($U140)=0),"Subactividad sin macroactividad arriba"&amp;" · ","")&amp;IF($AM140="","Sin fecha de inicio"&amp;" · ","")&amp;IF($AN140="","Sin fecha límite"&amp;" · ","")&amp;IF(AND(LEFT($C140,11)="[Jefatura] ",N($AL140)=0),"No se encuentra en la hoja de la jefatura (elíjala de nuevo en la lista)"&amp;" · ","")&amp;IF(OR(AND($E140&lt;&gt;"",NOT(ISNUMBER($E140))),AND($F140&lt;&gt;"",NOT(ISNUMBER($F140))),AND($G140&lt;&gt;"",NOT(ISNUMBER($G140)))),"Fecha no válida"&amp;" · ","")&amp;IF(AND(ISNUMBER($AM140),ISNUMBER($AN140),$AM140&gt;$AN140),"Inicio posterior a fecha límite"&amp;" · ","")&amp;IF(AND($V140="Macro",$H140&lt;&gt;"",OR(NOT(ISNUMBER($H140)),$H140&lt;0,$H140&gt;1)),"Peso fuera de rango"&amp;" · ","")&amp;IF(AND($V140="Sub",$H140&lt;&gt;""),"Las subactividades no llevan peso (valen igual dentro de su macroactividad)"&amp;" · ","")&amp;IF(AND(N($W140)&gt;0,COUNT($I140:$L140)&gt;0),"Con subactividades: deje vacías las semanas (se calculan solas)"&amp;" · ","")&amp;IF((COUNTIF($I140:$L140,"&gt;1")+COUNTIF($I140:$L140,"&lt;0")+COUNTA($I140:$L140)-COUNT($I140:$L140))&gt;0,"Avance fuera de rango 0-100%"&amp;" · ","")&amp;IF(OR(AND($J140&lt;&gt;"",$J140&lt;$I140),AND($K140&lt;&gt;"",$K140&lt;MAX($I140:$J140)),AND($L140&lt;&gt;"",$L140&lt;MAX($I140:$K140))),"Avance semanal decreciente"&amp;" · ","")&amp;IF(AND(ISNUMBER($AN140),$AN140&lt;FechaRef,IF($V140="Sub",N($X140),N($M140))&lt;1),"Vencida"&amp;" · ","")&amp;IF(AND(ObsObligatoria="Sí",ISNUMBER($AN140),$AN140&lt;FechaRef,IF($V140="Sub",N($X140),N($M140))&lt;1,$Q140=""),"Vencida sin observación"&amp;" · ",""),LEN(IF($C140="","Falta el nombre de la actividad"&amp;" · ","")&amp;IF(AND($V140="Sub",N($U140)=0),"Subactividad sin macroactividad arriba"&amp;" · ","")&amp;IF($AM140="","Sin fecha de inicio"&amp;" · ","")&amp;IF($AN140="","Sin fecha límite"&amp;" · ","")&amp;IF(AND(LEFT($C140,11)="[Jefatura] ",N($AL140)=0),"No se encuentra en la hoja de la jefatura (elíjala de nuevo en la lista)"&amp;" · ","")&amp;IF(OR(AND($E140&lt;&gt;"",NOT(ISNUMBER($E140))),AND($F140&lt;&gt;"",NOT(ISNUMBER($F140))),AND($G140&lt;&gt;"",NOT(ISNUMBER($G140)))),"Fecha no válida"&amp;" · ","")&amp;IF(AND(ISNUMBER($AM140),ISNUMBER($AN140),$AM140&gt;$AN140),"Inicio posterior a fecha límite"&amp;" · ","")&amp;IF(AND($V140="Macro",$H140&lt;&gt;"",OR(NOT(ISNUMBER($H140)),$H140&lt;0,$H140&gt;1)),"Peso fuera de rango"&amp;" · ","")&amp;IF(AND($V140="Sub",$H140&lt;&gt;""),"Las subactividades no llevan peso (valen igual dentro de su macroactividad)"&amp;" · ","")&amp;IF(AND(N($W140)&gt;0,COUNT($I140:$L140)&gt;0),"Con subactividades: deje vacías las semanas (se calculan solas)"&amp;" · ","")&amp;IF((COUNTIF($I140:$L140,"&gt;1")+COUNTIF($I140:$L140,"&lt;0")+COUNTA($I140:$L140)-COUNT($I140:$L140))&gt;0,"Avance fuera de rango 0-100%"&amp;" · ","")&amp;IF(OR(AND($J140&lt;&gt;"",$J140&lt;$I140),AND($K140&lt;&gt;"",$K140&lt;MAX($I140:$J140)),AND($L140&lt;&gt;"",$L140&lt;MAX($I140:$K140))),"Avance semanal decreciente"&amp;" · ","")&amp;IF(AND(ISNUMBER($AN140),$AN140&lt;FechaRef,IF($V140="Sub",N($X140),N($M140))&lt;1),"Vencida"&amp;" · ","")&amp;IF(AND(ObsObligatoria="Sí",ISNUMBER($AN140),$AN140&lt;FechaRef,IF($V140="Sub",N($X140),N($M140))&lt;1,$Q140=""),"Vencida sin observación"&amp;" · ",""))-3)))</f>
        <v/>
      </c>
      <c r="S140" s="64">
        <f>IF(NOT((COUNTA($B140:$D140)+COUNTA($G140:$L140)+COUNTA($Q140))&gt;0),"",IF(AND($V140="Sub",N($U140)&gt;0),IF(ISNUMBER(INDEX($AM$5:$AM$1000,$U140-4)),DATE(YEAR(INDEX($AM$5:$AM$1000,$U140-4)),MONTH(INDEX($AM$5:$AM$1000,$U140-4)),1),IF(ISNUMBER(INDEX($AN$5:$AN$1000,$U140-4)),DATE(YEAR(INDEX($AN$5:$AN$1000,$U140-4)),MONTH(INDEX($AN$5:$AN$1000,$U140-4)),1),MesCiclo)),IF(ISNUMBER($AM140),DATE(YEAR($AM140),MONTH($AM140),1),IF(ISNUMBER($AN140),DATE(YEAR($AN140),MONTH($AN140),1),MesCiclo))))</f>
        <v/>
      </c>
      <c r="T140" s="62">
        <f>IF(OR($S140="",$S140&lt;&gt;MesCiclo,$V140&lt;&gt;"Macro"),"",COUNTIFS($S$5:$S140,MesCiclo,$V$5:$V140,"Macro"))</f>
        <v/>
      </c>
      <c r="U140" s="62">
        <f>IF($V140="","",IF($V140="Macro",ROW(),IFERROR(LOOKUP(2,1/($V$5:$V140="Macro"),ROW($V$5:$V140)),0)))</f>
        <v/>
      </c>
      <c r="V140" s="62">
        <f>IF(NOT((COUNTA($B140:$D140)+COUNTA($G140:$L140)+COUNTA($Q140))&gt;0),"",IF($B140="Subactividad","Sub","Macro"))</f>
        <v/>
      </c>
      <c r="W140" s="62">
        <f>IF($V140="Macro",COUNTIFS($U$5:$U$1000,ROW(),$V$5:$V$1000,"Sub"),"")</f>
        <v/>
      </c>
      <c r="X140" s="62">
        <f>IF($V140="","",IF(ISNUMBER($G140),1,IFERROR(LOOKUP(2,1/($I140:$L140&lt;&gt;""),$I140:$L140),0)))</f>
        <v/>
      </c>
      <c r="Y140" s="62">
        <f>IF($V140="","",IF(AND(ISNUMBER($G140),$G140&lt;=IF($S140=MesCiclo,InicioCiclo,$S140+MOD(2-WEEKDAY($S140),7))+6),1,IF(ISNUMBER($I140),$I140,0)))</f>
        <v/>
      </c>
      <c r="Z140" s="62">
        <f>IF($V140="","",IF(AND(ISNUMBER($G140),$G140&lt;=IF($S140=MesCiclo,InicioCiclo,$S140+MOD(2-WEEKDAY($S140),7))+13),1,IF(ISNUMBER($J140),$J140,$Y140)))</f>
        <v/>
      </c>
      <c r="AA140" s="62">
        <f>IF($V140="","",IF(AND(ISNUMBER($G140),$G140&lt;=IF($S140=MesCiclo,InicioCiclo,$S140+MOD(2-WEEKDAY($S140),7))+20),1,IF(ISNUMBER($K140),$K140,$Z140)))</f>
        <v/>
      </c>
      <c r="AB140" s="62">
        <f>IF($V140="","",IF(AND(ISNUMBER($G140),$G140&lt;=IF($S140=MesCiclo,InicioCiclo,$S140+MOD(2-WEEKDAY($S140),7))+27),1,IF(ISNUMBER($L140),$L140,$AA140)))</f>
        <v/>
      </c>
      <c r="AC140" s="62">
        <f>IF($V140="","",IF(AND(ISNUMBER($G140),$G140&lt;=IF($S140=MesCiclo,InicioCiclo,$S140+MOD(2-WEEKDAY($S140),7))+6),1,IF(N($W140)&gt;0,AVERAGEIFS($Y$5:$Y$1000,$U$5:$U$1000,ROW(),$V$5:$V$1000,"Sub"),$Y140)))</f>
        <v/>
      </c>
      <c r="AD140" s="62">
        <f>IF($V140="","",IF(AND(ISNUMBER($G140),$G140&lt;=IF($S140=MesCiclo,InicioCiclo,$S140+MOD(2-WEEKDAY($S140),7))+13),1,IF(N($W140)&gt;0,AVERAGEIFS($Z$5:$Z$1000,$U$5:$U$1000,ROW(),$V$5:$V$1000,"Sub"),$Z140)))</f>
        <v/>
      </c>
      <c r="AE140" s="62">
        <f>IF($V140="","",IF(AND(ISNUMBER($G140),$G140&lt;=IF($S140=MesCiclo,InicioCiclo,$S140+MOD(2-WEEKDAY($S140),7))+20),1,IF(N($W140)&gt;0,AVERAGEIFS($AA$5:$AA$1000,$U$5:$U$1000,ROW(),$V$5:$V$1000,"Sub"),$AA140)))</f>
        <v/>
      </c>
      <c r="AF140" s="62">
        <f>IF($V140="","",IF(AND(ISNUMBER($G140),$G140&lt;=IF($S140=MesCiclo,InicioCiclo,$S140+MOD(2-WEEKDAY($S140),7))+27),1,IF(N($W140)&gt;0,AVERAGEIFS($AB$5:$AB$1000,$U$5:$U$1000,ROW(),$V$5:$V$1000,"Sub"),$AB140)))</f>
        <v/>
      </c>
      <c r="AG140" s="62">
        <f>IF($V140&lt;&gt;"Macro","",IF(COUNTIFS($S$5:$S$1000,$S140,$V$5:$V$1000,"Macro",$H$5:$H$1000,"&gt;0")=0,1/COUNTIFS($S$5:$S$1000,$S140,$V$5:$V$1000,"Macro"),IF(AND(ISNUMBER($H140),N($H140)&gt;0),$H140,SUMIFS($H$5:$H$1000,$S$5:$S$1000,$S140,$V$5:$V$1000,"Macro")/COUNTIFS($S$5:$S$1000,$S140,$V$5:$V$1000,"Macro",$H$5:$H$1000,"&gt;0"))/(COUNTIFS($S$5:$S$1000,$S140,$V$5:$V$1000,"Macro")*SUMIFS($H$5:$H$1000,$S$5:$S$1000,$S140,$V$5:$V$1000,"Macro")/COUNTIFS($S$5:$S$1000,$S140,$V$5:$V$1000,"Macro",$H$5:$H$1000,"&gt;0"))))</f>
        <v/>
      </c>
      <c r="AH140" s="62" t="n"/>
      <c r="AI140" s="62" t="n"/>
      <c r="AJ140" s="62" t="n"/>
      <c r="AK140" s="62" t="n"/>
      <c r="AL140" s="62">
        <f>IF(LEFT($C140,11)="[Jefatura] ",IFERROR(MATCH("Asistente Técnico de Riesgo|"&amp;MID($C140,12,500),rDname_ADM,0),0),"")</f>
        <v/>
      </c>
      <c r="AM140" s="62">
        <f>IF(N($AL140)&gt;0,INDEX(rIni_ADM,$AL140),IF(ISNUMBER($E140),$E140,""))</f>
        <v/>
      </c>
      <c r="AN140" s="62">
        <f>IF(N($AL140)&gt;0,INDEX(rLim_ADM,$AL140),IF(ISNUMBER($F140),$F140,""))</f>
        <v/>
      </c>
    </row>
    <row r="141">
      <c r="A141" s="56">
        <f>IF(NOT((COUNTA($B141:$D141)+COUNTA($G141:$L141)+COUNTA($Q141))&gt;0),"",IF($V141="Macro",COUNTIFS($V$5:$V141,"Macro",$S$5:$S141,$S141),IF(N($U141)=0,"?",COUNTIFS(INDEX($V$5:$V$1000,1):INDEX($V$5:$V$1000,$U141-4),"Macro",INDEX($S$5:$S$1000,1):INDEX($S$5:$S$1000,$U141-4),INDEX($S$5:$S$1000,$U141-4))&amp;"."&amp;COUNTIFS($U$5:$U141,$U141,$V$5:$V141,"Sub"))))</f>
        <v/>
      </c>
      <c r="B141" s="57" t="n"/>
      <c r="C141" s="58" t="n"/>
      <c r="D141" s="58" t="n"/>
      <c r="E141" s="59">
        <f>IF(N($AL141)&gt;0,INDEX(rIni_ADM,$AL141),"")</f>
        <v/>
      </c>
      <c r="F141" s="59">
        <f>IF(N($AL141)&gt;0,INDEX(rLim_ADM,$AL141),"")</f>
        <v/>
      </c>
      <c r="G141" s="59" t="n"/>
      <c r="H141" s="60" t="n"/>
      <c r="I141" s="60" t="n"/>
      <c r="J141" s="60" t="n"/>
      <c r="K141" s="60" t="n"/>
      <c r="L141" s="60" t="n"/>
      <c r="M141" s="61">
        <f>IF(NOT((COUNTA($B141:$D141)+COUNTA($G141:$L141)+COUNTA($Q141))&gt;0),"",IF($V141="Sub",IFERROR($X141/INDEX($W$5:$W$1000,$U141-4),""),IF(ISNUMBER($G141),1,IF(N($W141)&gt;0,AVERAGEIFS($X$5:$X$1000,$U$5:$U$1000,ROW(),$V$5:$V$1000,"Sub"),$X141))))</f>
        <v/>
      </c>
      <c r="N141" s="56">
        <f>IF(OR($M141="",$V141="Sub"),"",IF($M141&gt;=1,"Completado",IF($M141&gt;0,"En curso","Pendiente")))</f>
        <v/>
      </c>
      <c r="O141" s="56">
        <f>IF(OR(NOT((COUNTA($B141:$D141)+COUNTA($G141:$L141)+COUNTA($Q141))&gt;0),$V141="Sub"),"",IF(ISNUMBER($G141),IF(AND(ISNUMBER($AN141),$G141&gt;$AN141),"Cumplida con "&amp;($G141-$AN141)&amp;IF($G141-$AN141=1," día"," días")&amp;" de retraso","Cumplida"),IF(N($M141)&gt;=1,"Cumplida",IF(NOT(ISNUMBER($AN141)),"Sin fecha límite",IF($AN141&lt;FechaRef,"Vencida hace "&amp;(FechaRef-$AN141)&amp;IF(FechaRef-$AN141=1," día"," días"),IF($AN141=FechaRef,"Vence hoy",IF($AN141-FechaRef&lt;=DiasAlerta,"Vence en "&amp;($AN141-FechaRef)&amp;IF($AN141-FechaRef=1," día"," días"),"En plazo")))))))</f>
        <v/>
      </c>
      <c r="P141" s="62" t="n"/>
      <c r="Q141" s="58" t="n"/>
      <c r="R141" s="63">
        <f>IF(NOT((COUNTA($B141:$D141)+COUNTA($G141:$L141)+COUNTA($Q141))&gt;0),"",IF((IF($C141="","Falta el nombre de la actividad"&amp;" · ","")&amp;IF(AND($V141="Sub",N($U141)=0),"Subactividad sin macroactividad arriba"&amp;" · ","")&amp;IF($AM141="","Sin fecha de inicio"&amp;" · ","")&amp;IF($AN141="","Sin fecha límite"&amp;" · ","")&amp;IF(AND(LEFT($C141,11)="[Jefatura] ",N($AL141)=0),"No se encuentra en la hoja de la jefatura (elíjala de nuevo en la lista)"&amp;" · ","")&amp;IF(OR(AND($E141&lt;&gt;"",NOT(ISNUMBER($E141))),AND($F141&lt;&gt;"",NOT(ISNUMBER($F141))),AND($G141&lt;&gt;"",NOT(ISNUMBER($G141)))),"Fecha no válida"&amp;" · ","")&amp;IF(AND(ISNUMBER($AM141),ISNUMBER($AN141),$AM141&gt;$AN141),"Inicio posterior a fecha límite"&amp;" · ","")&amp;IF(AND($V141="Macro",$H141&lt;&gt;"",OR(NOT(ISNUMBER($H141)),$H141&lt;0,$H141&gt;1)),"Peso fuera de rango"&amp;" · ","")&amp;IF(AND($V141="Sub",$H141&lt;&gt;""),"Las subactividades no llevan peso (valen igual dentro de su macroactividad)"&amp;" · ","")&amp;IF(AND(N($W141)&gt;0,COUNT($I141:$L141)&gt;0),"Con subactividades: deje vacías las semanas (se calculan solas)"&amp;" · ","")&amp;IF((COUNTIF($I141:$L141,"&gt;1")+COUNTIF($I141:$L141,"&lt;0")+COUNTA($I141:$L141)-COUNT($I141:$L141))&gt;0,"Avance fuera de rango 0-100%"&amp;" · ","")&amp;IF(OR(AND($J141&lt;&gt;"",$J141&lt;$I141),AND($K141&lt;&gt;"",$K141&lt;MAX($I141:$J141)),AND($L141&lt;&gt;"",$L141&lt;MAX($I141:$K141))),"Avance semanal decreciente"&amp;" · ","")&amp;IF(AND(ISNUMBER($AN141),$AN141&lt;FechaRef,IF($V141="Sub",N($X141),N($M141))&lt;1),"Vencida"&amp;" · ","")&amp;IF(AND(ObsObligatoria="Sí",ISNUMBER($AN141),$AN141&lt;FechaRef,IF($V141="Sub",N($X141),N($M141))&lt;1,$Q141=""),"Vencida sin observación"&amp;" · ",""))="","✔ OK","⚠ "&amp;LEFT(IF($C141="","Falta el nombre de la actividad"&amp;" · ","")&amp;IF(AND($V141="Sub",N($U141)=0),"Subactividad sin macroactividad arriba"&amp;" · ","")&amp;IF($AM141="","Sin fecha de inicio"&amp;" · ","")&amp;IF($AN141="","Sin fecha límite"&amp;" · ","")&amp;IF(AND(LEFT($C141,11)="[Jefatura] ",N($AL141)=0),"No se encuentra en la hoja de la jefatura (elíjala de nuevo en la lista)"&amp;" · ","")&amp;IF(OR(AND($E141&lt;&gt;"",NOT(ISNUMBER($E141))),AND($F141&lt;&gt;"",NOT(ISNUMBER($F141))),AND($G141&lt;&gt;"",NOT(ISNUMBER($G141)))),"Fecha no válida"&amp;" · ","")&amp;IF(AND(ISNUMBER($AM141),ISNUMBER($AN141),$AM141&gt;$AN141),"Inicio posterior a fecha límite"&amp;" · ","")&amp;IF(AND($V141="Macro",$H141&lt;&gt;"",OR(NOT(ISNUMBER($H141)),$H141&lt;0,$H141&gt;1)),"Peso fuera de rango"&amp;" · ","")&amp;IF(AND($V141="Sub",$H141&lt;&gt;""),"Las subactividades no llevan peso (valen igual dentro de su macroactividad)"&amp;" · ","")&amp;IF(AND(N($W141)&gt;0,COUNT($I141:$L141)&gt;0),"Con subactividades: deje vacías las semanas (se calculan solas)"&amp;" · ","")&amp;IF((COUNTIF($I141:$L141,"&gt;1")+COUNTIF($I141:$L141,"&lt;0")+COUNTA($I141:$L141)-COUNT($I141:$L141))&gt;0,"Avance fuera de rango 0-100%"&amp;" · ","")&amp;IF(OR(AND($J141&lt;&gt;"",$J141&lt;$I141),AND($K141&lt;&gt;"",$K141&lt;MAX($I141:$J141)),AND($L141&lt;&gt;"",$L141&lt;MAX($I141:$K141))),"Avance semanal decreciente"&amp;" · ","")&amp;IF(AND(ISNUMBER($AN141),$AN141&lt;FechaRef,IF($V141="Sub",N($X141),N($M141))&lt;1),"Vencida"&amp;" · ","")&amp;IF(AND(ObsObligatoria="Sí",ISNUMBER($AN141),$AN141&lt;FechaRef,IF($V141="Sub",N($X141),N($M141))&lt;1,$Q141=""),"Vencida sin observación"&amp;" · ",""),LEN(IF($C141="","Falta el nombre de la actividad"&amp;" · ","")&amp;IF(AND($V141="Sub",N($U141)=0),"Subactividad sin macroactividad arriba"&amp;" · ","")&amp;IF($AM141="","Sin fecha de inicio"&amp;" · ","")&amp;IF($AN141="","Sin fecha límite"&amp;" · ","")&amp;IF(AND(LEFT($C141,11)="[Jefatura] ",N($AL141)=0),"No se encuentra en la hoja de la jefatura (elíjala de nuevo en la lista)"&amp;" · ","")&amp;IF(OR(AND($E141&lt;&gt;"",NOT(ISNUMBER($E141))),AND($F141&lt;&gt;"",NOT(ISNUMBER($F141))),AND($G141&lt;&gt;"",NOT(ISNUMBER($G141)))),"Fecha no válida"&amp;" · ","")&amp;IF(AND(ISNUMBER($AM141),ISNUMBER($AN141),$AM141&gt;$AN141),"Inicio posterior a fecha límite"&amp;" · ","")&amp;IF(AND($V141="Macro",$H141&lt;&gt;"",OR(NOT(ISNUMBER($H141)),$H141&lt;0,$H141&gt;1)),"Peso fuera de rango"&amp;" · ","")&amp;IF(AND($V141="Sub",$H141&lt;&gt;""),"Las subactividades no llevan peso (valen igual dentro de su macroactividad)"&amp;" · ","")&amp;IF(AND(N($W141)&gt;0,COUNT($I141:$L141)&gt;0),"Con subactividades: deje vacías las semanas (se calculan solas)"&amp;" · ","")&amp;IF((COUNTIF($I141:$L141,"&gt;1")+COUNTIF($I141:$L141,"&lt;0")+COUNTA($I141:$L141)-COUNT($I141:$L141))&gt;0,"Avance fuera de rango 0-100%"&amp;" · ","")&amp;IF(OR(AND($J141&lt;&gt;"",$J141&lt;$I141),AND($K141&lt;&gt;"",$K141&lt;MAX($I141:$J141)),AND($L141&lt;&gt;"",$L141&lt;MAX($I141:$K141))),"Avance semanal decreciente"&amp;" · ","")&amp;IF(AND(ISNUMBER($AN141),$AN141&lt;FechaRef,IF($V141="Sub",N($X141),N($M141))&lt;1),"Vencida"&amp;" · ","")&amp;IF(AND(ObsObligatoria="Sí",ISNUMBER($AN141),$AN141&lt;FechaRef,IF($V141="Sub",N($X141),N($M141))&lt;1,$Q141=""),"Vencida sin observación"&amp;" · ",""))-3)))</f>
        <v/>
      </c>
      <c r="S141" s="64">
        <f>IF(NOT((COUNTA($B141:$D141)+COUNTA($G141:$L141)+COUNTA($Q141))&gt;0),"",IF(AND($V141="Sub",N($U141)&gt;0),IF(ISNUMBER(INDEX($AM$5:$AM$1000,$U141-4)),DATE(YEAR(INDEX($AM$5:$AM$1000,$U141-4)),MONTH(INDEX($AM$5:$AM$1000,$U141-4)),1),IF(ISNUMBER(INDEX($AN$5:$AN$1000,$U141-4)),DATE(YEAR(INDEX($AN$5:$AN$1000,$U141-4)),MONTH(INDEX($AN$5:$AN$1000,$U141-4)),1),MesCiclo)),IF(ISNUMBER($AM141),DATE(YEAR($AM141),MONTH($AM141),1),IF(ISNUMBER($AN141),DATE(YEAR($AN141),MONTH($AN141),1),MesCiclo))))</f>
        <v/>
      </c>
      <c r="T141" s="62">
        <f>IF(OR($S141="",$S141&lt;&gt;MesCiclo,$V141&lt;&gt;"Macro"),"",COUNTIFS($S$5:$S141,MesCiclo,$V$5:$V141,"Macro"))</f>
        <v/>
      </c>
      <c r="U141" s="62">
        <f>IF($V141="","",IF($V141="Macro",ROW(),IFERROR(LOOKUP(2,1/($V$5:$V141="Macro"),ROW($V$5:$V141)),0)))</f>
        <v/>
      </c>
      <c r="V141" s="62">
        <f>IF(NOT((COUNTA($B141:$D141)+COUNTA($G141:$L141)+COUNTA($Q141))&gt;0),"",IF($B141="Subactividad","Sub","Macro"))</f>
        <v/>
      </c>
      <c r="W141" s="62">
        <f>IF($V141="Macro",COUNTIFS($U$5:$U$1000,ROW(),$V$5:$V$1000,"Sub"),"")</f>
        <v/>
      </c>
      <c r="X141" s="62">
        <f>IF($V141="","",IF(ISNUMBER($G141),1,IFERROR(LOOKUP(2,1/($I141:$L141&lt;&gt;""),$I141:$L141),0)))</f>
        <v/>
      </c>
      <c r="Y141" s="62">
        <f>IF($V141="","",IF(AND(ISNUMBER($G141),$G141&lt;=IF($S141=MesCiclo,InicioCiclo,$S141+MOD(2-WEEKDAY($S141),7))+6),1,IF(ISNUMBER($I141),$I141,0)))</f>
        <v/>
      </c>
      <c r="Z141" s="62">
        <f>IF($V141="","",IF(AND(ISNUMBER($G141),$G141&lt;=IF($S141=MesCiclo,InicioCiclo,$S141+MOD(2-WEEKDAY($S141),7))+13),1,IF(ISNUMBER($J141),$J141,$Y141)))</f>
        <v/>
      </c>
      <c r="AA141" s="62">
        <f>IF($V141="","",IF(AND(ISNUMBER($G141),$G141&lt;=IF($S141=MesCiclo,InicioCiclo,$S141+MOD(2-WEEKDAY($S141),7))+20),1,IF(ISNUMBER($K141),$K141,$Z141)))</f>
        <v/>
      </c>
      <c r="AB141" s="62">
        <f>IF($V141="","",IF(AND(ISNUMBER($G141),$G141&lt;=IF($S141=MesCiclo,InicioCiclo,$S141+MOD(2-WEEKDAY($S141),7))+27),1,IF(ISNUMBER($L141),$L141,$AA141)))</f>
        <v/>
      </c>
      <c r="AC141" s="62">
        <f>IF($V141="","",IF(AND(ISNUMBER($G141),$G141&lt;=IF($S141=MesCiclo,InicioCiclo,$S141+MOD(2-WEEKDAY($S141),7))+6),1,IF(N($W141)&gt;0,AVERAGEIFS($Y$5:$Y$1000,$U$5:$U$1000,ROW(),$V$5:$V$1000,"Sub"),$Y141)))</f>
        <v/>
      </c>
      <c r="AD141" s="62">
        <f>IF($V141="","",IF(AND(ISNUMBER($G141),$G141&lt;=IF($S141=MesCiclo,InicioCiclo,$S141+MOD(2-WEEKDAY($S141),7))+13),1,IF(N($W141)&gt;0,AVERAGEIFS($Z$5:$Z$1000,$U$5:$U$1000,ROW(),$V$5:$V$1000,"Sub"),$Z141)))</f>
        <v/>
      </c>
      <c r="AE141" s="62">
        <f>IF($V141="","",IF(AND(ISNUMBER($G141),$G141&lt;=IF($S141=MesCiclo,InicioCiclo,$S141+MOD(2-WEEKDAY($S141),7))+20),1,IF(N($W141)&gt;0,AVERAGEIFS($AA$5:$AA$1000,$U$5:$U$1000,ROW(),$V$5:$V$1000,"Sub"),$AA141)))</f>
        <v/>
      </c>
      <c r="AF141" s="62">
        <f>IF($V141="","",IF(AND(ISNUMBER($G141),$G141&lt;=IF($S141=MesCiclo,InicioCiclo,$S141+MOD(2-WEEKDAY($S141),7))+27),1,IF(N($W141)&gt;0,AVERAGEIFS($AB$5:$AB$1000,$U$5:$U$1000,ROW(),$V$5:$V$1000,"Sub"),$AB141)))</f>
        <v/>
      </c>
      <c r="AG141" s="62">
        <f>IF($V141&lt;&gt;"Macro","",IF(COUNTIFS($S$5:$S$1000,$S141,$V$5:$V$1000,"Macro",$H$5:$H$1000,"&gt;0")=0,1/COUNTIFS($S$5:$S$1000,$S141,$V$5:$V$1000,"Macro"),IF(AND(ISNUMBER($H141),N($H141)&gt;0),$H141,SUMIFS($H$5:$H$1000,$S$5:$S$1000,$S141,$V$5:$V$1000,"Macro")/COUNTIFS($S$5:$S$1000,$S141,$V$5:$V$1000,"Macro",$H$5:$H$1000,"&gt;0"))/(COUNTIFS($S$5:$S$1000,$S141,$V$5:$V$1000,"Macro")*SUMIFS($H$5:$H$1000,$S$5:$S$1000,$S141,$V$5:$V$1000,"Macro")/COUNTIFS($S$5:$S$1000,$S141,$V$5:$V$1000,"Macro",$H$5:$H$1000,"&gt;0"))))</f>
        <v/>
      </c>
      <c r="AH141" s="62" t="n"/>
      <c r="AI141" s="62" t="n"/>
      <c r="AJ141" s="62" t="n"/>
      <c r="AK141" s="62" t="n"/>
      <c r="AL141" s="62">
        <f>IF(LEFT($C141,11)="[Jefatura] ",IFERROR(MATCH("Asistente Técnico de Riesgo|"&amp;MID($C141,12,500),rDname_ADM,0),0),"")</f>
        <v/>
      </c>
      <c r="AM141" s="62">
        <f>IF(N($AL141)&gt;0,INDEX(rIni_ADM,$AL141),IF(ISNUMBER($E141),$E141,""))</f>
        <v/>
      </c>
      <c r="AN141" s="62">
        <f>IF(N($AL141)&gt;0,INDEX(rLim_ADM,$AL141),IF(ISNUMBER($F141),$F141,""))</f>
        <v/>
      </c>
    </row>
    <row r="142">
      <c r="A142" s="56">
        <f>IF(NOT((COUNTA($B142:$D142)+COUNTA($G142:$L142)+COUNTA($Q142))&gt;0),"",IF($V142="Macro",COUNTIFS($V$5:$V142,"Macro",$S$5:$S142,$S142),IF(N($U142)=0,"?",COUNTIFS(INDEX($V$5:$V$1000,1):INDEX($V$5:$V$1000,$U142-4),"Macro",INDEX($S$5:$S$1000,1):INDEX($S$5:$S$1000,$U142-4),INDEX($S$5:$S$1000,$U142-4))&amp;"."&amp;COUNTIFS($U$5:$U142,$U142,$V$5:$V142,"Sub"))))</f>
        <v/>
      </c>
      <c r="B142" s="57" t="n"/>
      <c r="C142" s="58" t="n"/>
      <c r="D142" s="58" t="n"/>
      <c r="E142" s="59">
        <f>IF(N($AL142)&gt;0,INDEX(rIni_ADM,$AL142),"")</f>
        <v/>
      </c>
      <c r="F142" s="59">
        <f>IF(N($AL142)&gt;0,INDEX(rLim_ADM,$AL142),"")</f>
        <v/>
      </c>
      <c r="G142" s="59" t="n"/>
      <c r="H142" s="60" t="n"/>
      <c r="I142" s="60" t="n"/>
      <c r="J142" s="60" t="n"/>
      <c r="K142" s="60" t="n"/>
      <c r="L142" s="60" t="n"/>
      <c r="M142" s="61">
        <f>IF(NOT((COUNTA($B142:$D142)+COUNTA($G142:$L142)+COUNTA($Q142))&gt;0),"",IF($V142="Sub",IFERROR($X142/INDEX($W$5:$W$1000,$U142-4),""),IF(ISNUMBER($G142),1,IF(N($W142)&gt;0,AVERAGEIFS($X$5:$X$1000,$U$5:$U$1000,ROW(),$V$5:$V$1000,"Sub"),$X142))))</f>
        <v/>
      </c>
      <c r="N142" s="56">
        <f>IF(OR($M142="",$V142="Sub"),"",IF($M142&gt;=1,"Completado",IF($M142&gt;0,"En curso","Pendiente")))</f>
        <v/>
      </c>
      <c r="O142" s="56">
        <f>IF(OR(NOT((COUNTA($B142:$D142)+COUNTA($G142:$L142)+COUNTA($Q142))&gt;0),$V142="Sub"),"",IF(ISNUMBER($G142),IF(AND(ISNUMBER($AN142),$G142&gt;$AN142),"Cumplida con "&amp;($G142-$AN142)&amp;IF($G142-$AN142=1," día"," días")&amp;" de retraso","Cumplida"),IF(N($M142)&gt;=1,"Cumplida",IF(NOT(ISNUMBER($AN142)),"Sin fecha límite",IF($AN142&lt;FechaRef,"Vencida hace "&amp;(FechaRef-$AN142)&amp;IF(FechaRef-$AN142=1," día"," días"),IF($AN142=FechaRef,"Vence hoy",IF($AN142-FechaRef&lt;=DiasAlerta,"Vence en "&amp;($AN142-FechaRef)&amp;IF($AN142-FechaRef=1," día"," días"),"En plazo")))))))</f>
        <v/>
      </c>
      <c r="P142" s="62" t="n"/>
      <c r="Q142" s="58" t="n"/>
      <c r="R142" s="63">
        <f>IF(NOT((COUNTA($B142:$D142)+COUNTA($G142:$L142)+COUNTA($Q142))&gt;0),"",IF((IF($C142="","Falta el nombre de la actividad"&amp;" · ","")&amp;IF(AND($V142="Sub",N($U142)=0),"Subactividad sin macroactividad arriba"&amp;" · ","")&amp;IF($AM142="","Sin fecha de inicio"&amp;" · ","")&amp;IF($AN142="","Sin fecha límite"&amp;" · ","")&amp;IF(AND(LEFT($C142,11)="[Jefatura] ",N($AL142)=0),"No se encuentra en la hoja de la jefatura (elíjala de nuevo en la lista)"&amp;" · ","")&amp;IF(OR(AND($E142&lt;&gt;"",NOT(ISNUMBER($E142))),AND($F142&lt;&gt;"",NOT(ISNUMBER($F142))),AND($G142&lt;&gt;"",NOT(ISNUMBER($G142)))),"Fecha no válida"&amp;" · ","")&amp;IF(AND(ISNUMBER($AM142),ISNUMBER($AN142),$AM142&gt;$AN142),"Inicio posterior a fecha límite"&amp;" · ","")&amp;IF(AND($V142="Macro",$H142&lt;&gt;"",OR(NOT(ISNUMBER($H142)),$H142&lt;0,$H142&gt;1)),"Peso fuera de rango"&amp;" · ","")&amp;IF(AND($V142="Sub",$H142&lt;&gt;""),"Las subactividades no llevan peso (valen igual dentro de su macroactividad)"&amp;" · ","")&amp;IF(AND(N($W142)&gt;0,COUNT($I142:$L142)&gt;0),"Con subactividades: deje vacías las semanas (se calculan solas)"&amp;" · ","")&amp;IF((COUNTIF($I142:$L142,"&gt;1")+COUNTIF($I142:$L142,"&lt;0")+COUNTA($I142:$L142)-COUNT($I142:$L142))&gt;0,"Avance fuera de rango 0-100%"&amp;" · ","")&amp;IF(OR(AND($J142&lt;&gt;"",$J142&lt;$I142),AND($K142&lt;&gt;"",$K142&lt;MAX($I142:$J142)),AND($L142&lt;&gt;"",$L142&lt;MAX($I142:$K142))),"Avance semanal decreciente"&amp;" · ","")&amp;IF(AND(ISNUMBER($AN142),$AN142&lt;FechaRef,IF($V142="Sub",N($X142),N($M142))&lt;1),"Vencida"&amp;" · ","")&amp;IF(AND(ObsObligatoria="Sí",ISNUMBER($AN142),$AN142&lt;FechaRef,IF($V142="Sub",N($X142),N($M142))&lt;1,$Q142=""),"Vencida sin observación"&amp;" · ",""))="","✔ OK","⚠ "&amp;LEFT(IF($C142="","Falta el nombre de la actividad"&amp;" · ","")&amp;IF(AND($V142="Sub",N($U142)=0),"Subactividad sin macroactividad arriba"&amp;" · ","")&amp;IF($AM142="","Sin fecha de inicio"&amp;" · ","")&amp;IF($AN142="","Sin fecha límite"&amp;" · ","")&amp;IF(AND(LEFT($C142,11)="[Jefatura] ",N($AL142)=0),"No se encuentra en la hoja de la jefatura (elíjala de nuevo en la lista)"&amp;" · ","")&amp;IF(OR(AND($E142&lt;&gt;"",NOT(ISNUMBER($E142))),AND($F142&lt;&gt;"",NOT(ISNUMBER($F142))),AND($G142&lt;&gt;"",NOT(ISNUMBER($G142)))),"Fecha no válida"&amp;" · ","")&amp;IF(AND(ISNUMBER($AM142),ISNUMBER($AN142),$AM142&gt;$AN142),"Inicio posterior a fecha límite"&amp;" · ","")&amp;IF(AND($V142="Macro",$H142&lt;&gt;"",OR(NOT(ISNUMBER($H142)),$H142&lt;0,$H142&gt;1)),"Peso fuera de rango"&amp;" · ","")&amp;IF(AND($V142="Sub",$H142&lt;&gt;""),"Las subactividades no llevan peso (valen igual dentro de su macroactividad)"&amp;" · ","")&amp;IF(AND(N($W142)&gt;0,COUNT($I142:$L142)&gt;0),"Con subactividades: deje vacías las semanas (se calculan solas)"&amp;" · ","")&amp;IF((COUNTIF($I142:$L142,"&gt;1")+COUNTIF($I142:$L142,"&lt;0")+COUNTA($I142:$L142)-COUNT($I142:$L142))&gt;0,"Avance fuera de rango 0-100%"&amp;" · ","")&amp;IF(OR(AND($J142&lt;&gt;"",$J142&lt;$I142),AND($K142&lt;&gt;"",$K142&lt;MAX($I142:$J142)),AND($L142&lt;&gt;"",$L142&lt;MAX($I142:$K142))),"Avance semanal decreciente"&amp;" · ","")&amp;IF(AND(ISNUMBER($AN142),$AN142&lt;FechaRef,IF($V142="Sub",N($X142),N($M142))&lt;1),"Vencida"&amp;" · ","")&amp;IF(AND(ObsObligatoria="Sí",ISNUMBER($AN142),$AN142&lt;FechaRef,IF($V142="Sub",N($X142),N($M142))&lt;1,$Q142=""),"Vencida sin observación"&amp;" · ",""),LEN(IF($C142="","Falta el nombre de la actividad"&amp;" · ","")&amp;IF(AND($V142="Sub",N($U142)=0),"Subactividad sin macroactividad arriba"&amp;" · ","")&amp;IF($AM142="","Sin fecha de inicio"&amp;" · ","")&amp;IF($AN142="","Sin fecha límite"&amp;" · ","")&amp;IF(AND(LEFT($C142,11)="[Jefatura] ",N($AL142)=0),"No se encuentra en la hoja de la jefatura (elíjala de nuevo en la lista)"&amp;" · ","")&amp;IF(OR(AND($E142&lt;&gt;"",NOT(ISNUMBER($E142))),AND($F142&lt;&gt;"",NOT(ISNUMBER($F142))),AND($G142&lt;&gt;"",NOT(ISNUMBER($G142)))),"Fecha no válida"&amp;" · ","")&amp;IF(AND(ISNUMBER($AM142),ISNUMBER($AN142),$AM142&gt;$AN142),"Inicio posterior a fecha límite"&amp;" · ","")&amp;IF(AND($V142="Macro",$H142&lt;&gt;"",OR(NOT(ISNUMBER($H142)),$H142&lt;0,$H142&gt;1)),"Peso fuera de rango"&amp;" · ","")&amp;IF(AND($V142="Sub",$H142&lt;&gt;""),"Las subactividades no llevan peso (valen igual dentro de su macroactividad)"&amp;" · ","")&amp;IF(AND(N($W142)&gt;0,COUNT($I142:$L142)&gt;0),"Con subactividades: deje vacías las semanas (se calculan solas)"&amp;" · ","")&amp;IF((COUNTIF($I142:$L142,"&gt;1")+COUNTIF($I142:$L142,"&lt;0")+COUNTA($I142:$L142)-COUNT($I142:$L142))&gt;0,"Avance fuera de rango 0-100%"&amp;" · ","")&amp;IF(OR(AND($J142&lt;&gt;"",$J142&lt;$I142),AND($K142&lt;&gt;"",$K142&lt;MAX($I142:$J142)),AND($L142&lt;&gt;"",$L142&lt;MAX($I142:$K142))),"Avance semanal decreciente"&amp;" · ","")&amp;IF(AND(ISNUMBER($AN142),$AN142&lt;FechaRef,IF($V142="Sub",N($X142),N($M142))&lt;1),"Vencida"&amp;" · ","")&amp;IF(AND(ObsObligatoria="Sí",ISNUMBER($AN142),$AN142&lt;FechaRef,IF($V142="Sub",N($X142),N($M142))&lt;1,$Q142=""),"Vencida sin observación"&amp;" · ",""))-3)))</f>
        <v/>
      </c>
      <c r="S142" s="64">
        <f>IF(NOT((COUNTA($B142:$D142)+COUNTA($G142:$L142)+COUNTA($Q142))&gt;0),"",IF(AND($V142="Sub",N($U142)&gt;0),IF(ISNUMBER(INDEX($AM$5:$AM$1000,$U142-4)),DATE(YEAR(INDEX($AM$5:$AM$1000,$U142-4)),MONTH(INDEX($AM$5:$AM$1000,$U142-4)),1),IF(ISNUMBER(INDEX($AN$5:$AN$1000,$U142-4)),DATE(YEAR(INDEX($AN$5:$AN$1000,$U142-4)),MONTH(INDEX($AN$5:$AN$1000,$U142-4)),1),MesCiclo)),IF(ISNUMBER($AM142),DATE(YEAR($AM142),MONTH($AM142),1),IF(ISNUMBER($AN142),DATE(YEAR($AN142),MONTH($AN142),1),MesCiclo))))</f>
        <v/>
      </c>
      <c r="T142" s="62">
        <f>IF(OR($S142="",$S142&lt;&gt;MesCiclo,$V142&lt;&gt;"Macro"),"",COUNTIFS($S$5:$S142,MesCiclo,$V$5:$V142,"Macro"))</f>
        <v/>
      </c>
      <c r="U142" s="62">
        <f>IF($V142="","",IF($V142="Macro",ROW(),IFERROR(LOOKUP(2,1/($V$5:$V142="Macro"),ROW($V$5:$V142)),0)))</f>
        <v/>
      </c>
      <c r="V142" s="62">
        <f>IF(NOT((COUNTA($B142:$D142)+COUNTA($G142:$L142)+COUNTA($Q142))&gt;0),"",IF($B142="Subactividad","Sub","Macro"))</f>
        <v/>
      </c>
      <c r="W142" s="62">
        <f>IF($V142="Macro",COUNTIFS($U$5:$U$1000,ROW(),$V$5:$V$1000,"Sub"),"")</f>
        <v/>
      </c>
      <c r="X142" s="62">
        <f>IF($V142="","",IF(ISNUMBER($G142),1,IFERROR(LOOKUP(2,1/($I142:$L142&lt;&gt;""),$I142:$L142),0)))</f>
        <v/>
      </c>
      <c r="Y142" s="62">
        <f>IF($V142="","",IF(AND(ISNUMBER($G142),$G142&lt;=IF($S142=MesCiclo,InicioCiclo,$S142+MOD(2-WEEKDAY($S142),7))+6),1,IF(ISNUMBER($I142),$I142,0)))</f>
        <v/>
      </c>
      <c r="Z142" s="62">
        <f>IF($V142="","",IF(AND(ISNUMBER($G142),$G142&lt;=IF($S142=MesCiclo,InicioCiclo,$S142+MOD(2-WEEKDAY($S142),7))+13),1,IF(ISNUMBER($J142),$J142,$Y142)))</f>
        <v/>
      </c>
      <c r="AA142" s="62">
        <f>IF($V142="","",IF(AND(ISNUMBER($G142),$G142&lt;=IF($S142=MesCiclo,InicioCiclo,$S142+MOD(2-WEEKDAY($S142),7))+20),1,IF(ISNUMBER($K142),$K142,$Z142)))</f>
        <v/>
      </c>
      <c r="AB142" s="62">
        <f>IF($V142="","",IF(AND(ISNUMBER($G142),$G142&lt;=IF($S142=MesCiclo,InicioCiclo,$S142+MOD(2-WEEKDAY($S142),7))+27),1,IF(ISNUMBER($L142),$L142,$AA142)))</f>
        <v/>
      </c>
      <c r="AC142" s="62">
        <f>IF($V142="","",IF(AND(ISNUMBER($G142),$G142&lt;=IF($S142=MesCiclo,InicioCiclo,$S142+MOD(2-WEEKDAY($S142),7))+6),1,IF(N($W142)&gt;0,AVERAGEIFS($Y$5:$Y$1000,$U$5:$U$1000,ROW(),$V$5:$V$1000,"Sub"),$Y142)))</f>
        <v/>
      </c>
      <c r="AD142" s="62">
        <f>IF($V142="","",IF(AND(ISNUMBER($G142),$G142&lt;=IF($S142=MesCiclo,InicioCiclo,$S142+MOD(2-WEEKDAY($S142),7))+13),1,IF(N($W142)&gt;0,AVERAGEIFS($Z$5:$Z$1000,$U$5:$U$1000,ROW(),$V$5:$V$1000,"Sub"),$Z142)))</f>
        <v/>
      </c>
      <c r="AE142" s="62">
        <f>IF($V142="","",IF(AND(ISNUMBER($G142),$G142&lt;=IF($S142=MesCiclo,InicioCiclo,$S142+MOD(2-WEEKDAY($S142),7))+20),1,IF(N($W142)&gt;0,AVERAGEIFS($AA$5:$AA$1000,$U$5:$U$1000,ROW(),$V$5:$V$1000,"Sub"),$AA142)))</f>
        <v/>
      </c>
      <c r="AF142" s="62">
        <f>IF($V142="","",IF(AND(ISNUMBER($G142),$G142&lt;=IF($S142=MesCiclo,InicioCiclo,$S142+MOD(2-WEEKDAY($S142),7))+27),1,IF(N($W142)&gt;0,AVERAGEIFS($AB$5:$AB$1000,$U$5:$U$1000,ROW(),$V$5:$V$1000,"Sub"),$AB142)))</f>
        <v/>
      </c>
      <c r="AG142" s="62">
        <f>IF($V142&lt;&gt;"Macro","",IF(COUNTIFS($S$5:$S$1000,$S142,$V$5:$V$1000,"Macro",$H$5:$H$1000,"&gt;0")=0,1/COUNTIFS($S$5:$S$1000,$S142,$V$5:$V$1000,"Macro"),IF(AND(ISNUMBER($H142),N($H142)&gt;0),$H142,SUMIFS($H$5:$H$1000,$S$5:$S$1000,$S142,$V$5:$V$1000,"Macro")/COUNTIFS($S$5:$S$1000,$S142,$V$5:$V$1000,"Macro",$H$5:$H$1000,"&gt;0"))/(COUNTIFS($S$5:$S$1000,$S142,$V$5:$V$1000,"Macro")*SUMIFS($H$5:$H$1000,$S$5:$S$1000,$S142,$V$5:$V$1000,"Macro")/COUNTIFS($S$5:$S$1000,$S142,$V$5:$V$1000,"Macro",$H$5:$H$1000,"&gt;0"))))</f>
        <v/>
      </c>
      <c r="AH142" s="62" t="n"/>
      <c r="AI142" s="62" t="n"/>
      <c r="AJ142" s="62" t="n"/>
      <c r="AK142" s="62" t="n"/>
      <c r="AL142" s="62">
        <f>IF(LEFT($C142,11)="[Jefatura] ",IFERROR(MATCH("Asistente Técnico de Riesgo|"&amp;MID($C142,12,500),rDname_ADM,0),0),"")</f>
        <v/>
      </c>
      <c r="AM142" s="62">
        <f>IF(N($AL142)&gt;0,INDEX(rIni_ADM,$AL142),IF(ISNUMBER($E142),$E142,""))</f>
        <v/>
      </c>
      <c r="AN142" s="62">
        <f>IF(N($AL142)&gt;0,INDEX(rLim_ADM,$AL142),IF(ISNUMBER($F142),$F142,""))</f>
        <v/>
      </c>
    </row>
    <row r="143">
      <c r="A143" s="56">
        <f>IF(NOT((COUNTA($B143:$D143)+COUNTA($G143:$L143)+COUNTA($Q143))&gt;0),"",IF($V143="Macro",COUNTIFS($V$5:$V143,"Macro",$S$5:$S143,$S143),IF(N($U143)=0,"?",COUNTIFS(INDEX($V$5:$V$1000,1):INDEX($V$5:$V$1000,$U143-4),"Macro",INDEX($S$5:$S$1000,1):INDEX($S$5:$S$1000,$U143-4),INDEX($S$5:$S$1000,$U143-4))&amp;"."&amp;COUNTIFS($U$5:$U143,$U143,$V$5:$V143,"Sub"))))</f>
        <v/>
      </c>
      <c r="B143" s="57" t="n"/>
      <c r="C143" s="58" t="n"/>
      <c r="D143" s="58" t="n"/>
      <c r="E143" s="59">
        <f>IF(N($AL143)&gt;0,INDEX(rIni_ADM,$AL143),"")</f>
        <v/>
      </c>
      <c r="F143" s="59">
        <f>IF(N($AL143)&gt;0,INDEX(rLim_ADM,$AL143),"")</f>
        <v/>
      </c>
      <c r="G143" s="59" t="n"/>
      <c r="H143" s="60" t="n"/>
      <c r="I143" s="60" t="n"/>
      <c r="J143" s="60" t="n"/>
      <c r="K143" s="60" t="n"/>
      <c r="L143" s="60" t="n"/>
      <c r="M143" s="61">
        <f>IF(NOT((COUNTA($B143:$D143)+COUNTA($G143:$L143)+COUNTA($Q143))&gt;0),"",IF($V143="Sub",IFERROR($X143/INDEX($W$5:$W$1000,$U143-4),""),IF(ISNUMBER($G143),1,IF(N($W143)&gt;0,AVERAGEIFS($X$5:$X$1000,$U$5:$U$1000,ROW(),$V$5:$V$1000,"Sub"),$X143))))</f>
        <v/>
      </c>
      <c r="N143" s="56">
        <f>IF(OR($M143="",$V143="Sub"),"",IF($M143&gt;=1,"Completado",IF($M143&gt;0,"En curso","Pendiente")))</f>
        <v/>
      </c>
      <c r="O143" s="56">
        <f>IF(OR(NOT((COUNTA($B143:$D143)+COUNTA($G143:$L143)+COUNTA($Q143))&gt;0),$V143="Sub"),"",IF(ISNUMBER($G143),IF(AND(ISNUMBER($AN143),$G143&gt;$AN143),"Cumplida con "&amp;($G143-$AN143)&amp;IF($G143-$AN143=1," día"," días")&amp;" de retraso","Cumplida"),IF(N($M143)&gt;=1,"Cumplida",IF(NOT(ISNUMBER($AN143)),"Sin fecha límite",IF($AN143&lt;FechaRef,"Vencida hace "&amp;(FechaRef-$AN143)&amp;IF(FechaRef-$AN143=1," día"," días"),IF($AN143=FechaRef,"Vence hoy",IF($AN143-FechaRef&lt;=DiasAlerta,"Vence en "&amp;($AN143-FechaRef)&amp;IF($AN143-FechaRef=1," día"," días"),"En plazo")))))))</f>
        <v/>
      </c>
      <c r="P143" s="62" t="n"/>
      <c r="Q143" s="58" t="n"/>
      <c r="R143" s="63">
        <f>IF(NOT((COUNTA($B143:$D143)+COUNTA($G143:$L143)+COUNTA($Q143))&gt;0),"",IF((IF($C143="","Falta el nombre de la actividad"&amp;" · ","")&amp;IF(AND($V143="Sub",N($U143)=0),"Subactividad sin macroactividad arriba"&amp;" · ","")&amp;IF($AM143="","Sin fecha de inicio"&amp;" · ","")&amp;IF($AN143="","Sin fecha límite"&amp;" · ","")&amp;IF(AND(LEFT($C143,11)="[Jefatura] ",N($AL143)=0),"No se encuentra en la hoja de la jefatura (elíjala de nuevo en la lista)"&amp;" · ","")&amp;IF(OR(AND($E143&lt;&gt;"",NOT(ISNUMBER($E143))),AND($F143&lt;&gt;"",NOT(ISNUMBER($F143))),AND($G143&lt;&gt;"",NOT(ISNUMBER($G143)))),"Fecha no válida"&amp;" · ","")&amp;IF(AND(ISNUMBER($AM143),ISNUMBER($AN143),$AM143&gt;$AN143),"Inicio posterior a fecha límite"&amp;" · ","")&amp;IF(AND($V143="Macro",$H143&lt;&gt;"",OR(NOT(ISNUMBER($H143)),$H143&lt;0,$H143&gt;1)),"Peso fuera de rango"&amp;" · ","")&amp;IF(AND($V143="Sub",$H143&lt;&gt;""),"Las subactividades no llevan peso (valen igual dentro de su macroactividad)"&amp;" · ","")&amp;IF(AND(N($W143)&gt;0,COUNT($I143:$L143)&gt;0),"Con subactividades: deje vacías las semanas (se calculan solas)"&amp;" · ","")&amp;IF((COUNTIF($I143:$L143,"&gt;1")+COUNTIF($I143:$L143,"&lt;0")+COUNTA($I143:$L143)-COUNT($I143:$L143))&gt;0,"Avance fuera de rango 0-100%"&amp;" · ","")&amp;IF(OR(AND($J143&lt;&gt;"",$J143&lt;$I143),AND($K143&lt;&gt;"",$K143&lt;MAX($I143:$J143)),AND($L143&lt;&gt;"",$L143&lt;MAX($I143:$K143))),"Avance semanal decreciente"&amp;" · ","")&amp;IF(AND(ISNUMBER($AN143),$AN143&lt;FechaRef,IF($V143="Sub",N($X143),N($M143))&lt;1),"Vencida"&amp;" · ","")&amp;IF(AND(ObsObligatoria="Sí",ISNUMBER($AN143),$AN143&lt;FechaRef,IF($V143="Sub",N($X143),N($M143))&lt;1,$Q143=""),"Vencida sin observación"&amp;" · ",""))="","✔ OK","⚠ "&amp;LEFT(IF($C143="","Falta el nombre de la actividad"&amp;" · ","")&amp;IF(AND($V143="Sub",N($U143)=0),"Subactividad sin macroactividad arriba"&amp;" · ","")&amp;IF($AM143="","Sin fecha de inicio"&amp;" · ","")&amp;IF($AN143="","Sin fecha límite"&amp;" · ","")&amp;IF(AND(LEFT($C143,11)="[Jefatura] ",N($AL143)=0),"No se encuentra en la hoja de la jefatura (elíjala de nuevo en la lista)"&amp;" · ","")&amp;IF(OR(AND($E143&lt;&gt;"",NOT(ISNUMBER($E143))),AND($F143&lt;&gt;"",NOT(ISNUMBER($F143))),AND($G143&lt;&gt;"",NOT(ISNUMBER($G143)))),"Fecha no válida"&amp;" · ","")&amp;IF(AND(ISNUMBER($AM143),ISNUMBER($AN143),$AM143&gt;$AN143),"Inicio posterior a fecha límite"&amp;" · ","")&amp;IF(AND($V143="Macro",$H143&lt;&gt;"",OR(NOT(ISNUMBER($H143)),$H143&lt;0,$H143&gt;1)),"Peso fuera de rango"&amp;" · ","")&amp;IF(AND($V143="Sub",$H143&lt;&gt;""),"Las subactividades no llevan peso (valen igual dentro de su macroactividad)"&amp;" · ","")&amp;IF(AND(N($W143)&gt;0,COUNT($I143:$L143)&gt;0),"Con subactividades: deje vacías las semanas (se calculan solas)"&amp;" · ","")&amp;IF((COUNTIF($I143:$L143,"&gt;1")+COUNTIF($I143:$L143,"&lt;0")+COUNTA($I143:$L143)-COUNT($I143:$L143))&gt;0,"Avance fuera de rango 0-100%"&amp;" · ","")&amp;IF(OR(AND($J143&lt;&gt;"",$J143&lt;$I143),AND($K143&lt;&gt;"",$K143&lt;MAX($I143:$J143)),AND($L143&lt;&gt;"",$L143&lt;MAX($I143:$K143))),"Avance semanal decreciente"&amp;" · ","")&amp;IF(AND(ISNUMBER($AN143),$AN143&lt;FechaRef,IF($V143="Sub",N($X143),N($M143))&lt;1),"Vencida"&amp;" · ","")&amp;IF(AND(ObsObligatoria="Sí",ISNUMBER($AN143),$AN143&lt;FechaRef,IF($V143="Sub",N($X143),N($M143))&lt;1,$Q143=""),"Vencida sin observación"&amp;" · ",""),LEN(IF($C143="","Falta el nombre de la actividad"&amp;" · ","")&amp;IF(AND($V143="Sub",N($U143)=0),"Subactividad sin macroactividad arriba"&amp;" · ","")&amp;IF($AM143="","Sin fecha de inicio"&amp;" · ","")&amp;IF($AN143="","Sin fecha límite"&amp;" · ","")&amp;IF(AND(LEFT($C143,11)="[Jefatura] ",N($AL143)=0),"No se encuentra en la hoja de la jefatura (elíjala de nuevo en la lista)"&amp;" · ","")&amp;IF(OR(AND($E143&lt;&gt;"",NOT(ISNUMBER($E143))),AND($F143&lt;&gt;"",NOT(ISNUMBER($F143))),AND($G143&lt;&gt;"",NOT(ISNUMBER($G143)))),"Fecha no válida"&amp;" · ","")&amp;IF(AND(ISNUMBER($AM143),ISNUMBER($AN143),$AM143&gt;$AN143),"Inicio posterior a fecha límite"&amp;" · ","")&amp;IF(AND($V143="Macro",$H143&lt;&gt;"",OR(NOT(ISNUMBER($H143)),$H143&lt;0,$H143&gt;1)),"Peso fuera de rango"&amp;" · ","")&amp;IF(AND($V143="Sub",$H143&lt;&gt;""),"Las subactividades no llevan peso (valen igual dentro de su macroactividad)"&amp;" · ","")&amp;IF(AND(N($W143)&gt;0,COUNT($I143:$L143)&gt;0),"Con subactividades: deje vacías las semanas (se calculan solas)"&amp;" · ","")&amp;IF((COUNTIF($I143:$L143,"&gt;1")+COUNTIF($I143:$L143,"&lt;0")+COUNTA($I143:$L143)-COUNT($I143:$L143))&gt;0,"Avance fuera de rango 0-100%"&amp;" · ","")&amp;IF(OR(AND($J143&lt;&gt;"",$J143&lt;$I143),AND($K143&lt;&gt;"",$K143&lt;MAX($I143:$J143)),AND($L143&lt;&gt;"",$L143&lt;MAX($I143:$K143))),"Avance semanal decreciente"&amp;" · ","")&amp;IF(AND(ISNUMBER($AN143),$AN143&lt;FechaRef,IF($V143="Sub",N($X143),N($M143))&lt;1),"Vencida"&amp;" · ","")&amp;IF(AND(ObsObligatoria="Sí",ISNUMBER($AN143),$AN143&lt;FechaRef,IF($V143="Sub",N($X143),N($M143))&lt;1,$Q143=""),"Vencida sin observación"&amp;" · ",""))-3)))</f>
        <v/>
      </c>
      <c r="S143" s="64">
        <f>IF(NOT((COUNTA($B143:$D143)+COUNTA($G143:$L143)+COUNTA($Q143))&gt;0),"",IF(AND($V143="Sub",N($U143)&gt;0),IF(ISNUMBER(INDEX($AM$5:$AM$1000,$U143-4)),DATE(YEAR(INDEX($AM$5:$AM$1000,$U143-4)),MONTH(INDEX($AM$5:$AM$1000,$U143-4)),1),IF(ISNUMBER(INDEX($AN$5:$AN$1000,$U143-4)),DATE(YEAR(INDEX($AN$5:$AN$1000,$U143-4)),MONTH(INDEX($AN$5:$AN$1000,$U143-4)),1),MesCiclo)),IF(ISNUMBER($AM143),DATE(YEAR($AM143),MONTH($AM143),1),IF(ISNUMBER($AN143),DATE(YEAR($AN143),MONTH($AN143),1),MesCiclo))))</f>
        <v/>
      </c>
      <c r="T143" s="62">
        <f>IF(OR($S143="",$S143&lt;&gt;MesCiclo,$V143&lt;&gt;"Macro"),"",COUNTIFS($S$5:$S143,MesCiclo,$V$5:$V143,"Macro"))</f>
        <v/>
      </c>
      <c r="U143" s="62">
        <f>IF($V143="","",IF($V143="Macro",ROW(),IFERROR(LOOKUP(2,1/($V$5:$V143="Macro"),ROW($V$5:$V143)),0)))</f>
        <v/>
      </c>
      <c r="V143" s="62">
        <f>IF(NOT((COUNTA($B143:$D143)+COUNTA($G143:$L143)+COUNTA($Q143))&gt;0),"",IF($B143="Subactividad","Sub","Macro"))</f>
        <v/>
      </c>
      <c r="W143" s="62">
        <f>IF($V143="Macro",COUNTIFS($U$5:$U$1000,ROW(),$V$5:$V$1000,"Sub"),"")</f>
        <v/>
      </c>
      <c r="X143" s="62">
        <f>IF($V143="","",IF(ISNUMBER($G143),1,IFERROR(LOOKUP(2,1/($I143:$L143&lt;&gt;""),$I143:$L143),0)))</f>
        <v/>
      </c>
      <c r="Y143" s="62">
        <f>IF($V143="","",IF(AND(ISNUMBER($G143),$G143&lt;=IF($S143=MesCiclo,InicioCiclo,$S143+MOD(2-WEEKDAY($S143),7))+6),1,IF(ISNUMBER($I143),$I143,0)))</f>
        <v/>
      </c>
      <c r="Z143" s="62">
        <f>IF($V143="","",IF(AND(ISNUMBER($G143),$G143&lt;=IF($S143=MesCiclo,InicioCiclo,$S143+MOD(2-WEEKDAY($S143),7))+13),1,IF(ISNUMBER($J143),$J143,$Y143)))</f>
        <v/>
      </c>
      <c r="AA143" s="62">
        <f>IF($V143="","",IF(AND(ISNUMBER($G143),$G143&lt;=IF($S143=MesCiclo,InicioCiclo,$S143+MOD(2-WEEKDAY($S143),7))+20),1,IF(ISNUMBER($K143),$K143,$Z143)))</f>
        <v/>
      </c>
      <c r="AB143" s="62">
        <f>IF($V143="","",IF(AND(ISNUMBER($G143),$G143&lt;=IF($S143=MesCiclo,InicioCiclo,$S143+MOD(2-WEEKDAY($S143),7))+27),1,IF(ISNUMBER($L143),$L143,$AA143)))</f>
        <v/>
      </c>
      <c r="AC143" s="62">
        <f>IF($V143="","",IF(AND(ISNUMBER($G143),$G143&lt;=IF($S143=MesCiclo,InicioCiclo,$S143+MOD(2-WEEKDAY($S143),7))+6),1,IF(N($W143)&gt;0,AVERAGEIFS($Y$5:$Y$1000,$U$5:$U$1000,ROW(),$V$5:$V$1000,"Sub"),$Y143)))</f>
        <v/>
      </c>
      <c r="AD143" s="62">
        <f>IF($V143="","",IF(AND(ISNUMBER($G143),$G143&lt;=IF($S143=MesCiclo,InicioCiclo,$S143+MOD(2-WEEKDAY($S143),7))+13),1,IF(N($W143)&gt;0,AVERAGEIFS($Z$5:$Z$1000,$U$5:$U$1000,ROW(),$V$5:$V$1000,"Sub"),$Z143)))</f>
        <v/>
      </c>
      <c r="AE143" s="62">
        <f>IF($V143="","",IF(AND(ISNUMBER($G143),$G143&lt;=IF($S143=MesCiclo,InicioCiclo,$S143+MOD(2-WEEKDAY($S143),7))+20),1,IF(N($W143)&gt;0,AVERAGEIFS($AA$5:$AA$1000,$U$5:$U$1000,ROW(),$V$5:$V$1000,"Sub"),$AA143)))</f>
        <v/>
      </c>
      <c r="AF143" s="62">
        <f>IF($V143="","",IF(AND(ISNUMBER($G143),$G143&lt;=IF($S143=MesCiclo,InicioCiclo,$S143+MOD(2-WEEKDAY($S143),7))+27),1,IF(N($W143)&gt;0,AVERAGEIFS($AB$5:$AB$1000,$U$5:$U$1000,ROW(),$V$5:$V$1000,"Sub"),$AB143)))</f>
        <v/>
      </c>
      <c r="AG143" s="62">
        <f>IF($V143&lt;&gt;"Macro","",IF(COUNTIFS($S$5:$S$1000,$S143,$V$5:$V$1000,"Macro",$H$5:$H$1000,"&gt;0")=0,1/COUNTIFS($S$5:$S$1000,$S143,$V$5:$V$1000,"Macro"),IF(AND(ISNUMBER($H143),N($H143)&gt;0),$H143,SUMIFS($H$5:$H$1000,$S$5:$S$1000,$S143,$V$5:$V$1000,"Macro")/COUNTIFS($S$5:$S$1000,$S143,$V$5:$V$1000,"Macro",$H$5:$H$1000,"&gt;0"))/(COUNTIFS($S$5:$S$1000,$S143,$V$5:$V$1000,"Macro")*SUMIFS($H$5:$H$1000,$S$5:$S$1000,$S143,$V$5:$V$1000,"Macro")/COUNTIFS($S$5:$S$1000,$S143,$V$5:$V$1000,"Macro",$H$5:$H$1000,"&gt;0"))))</f>
        <v/>
      </c>
      <c r="AH143" s="62" t="n"/>
      <c r="AI143" s="62" t="n"/>
      <c r="AJ143" s="62" t="n"/>
      <c r="AK143" s="62" t="n"/>
      <c r="AL143" s="62">
        <f>IF(LEFT($C143,11)="[Jefatura] ",IFERROR(MATCH("Asistente Técnico de Riesgo|"&amp;MID($C143,12,500),rDname_ADM,0),0),"")</f>
        <v/>
      </c>
      <c r="AM143" s="62">
        <f>IF(N($AL143)&gt;0,INDEX(rIni_ADM,$AL143),IF(ISNUMBER($E143),$E143,""))</f>
        <v/>
      </c>
      <c r="AN143" s="62">
        <f>IF(N($AL143)&gt;0,INDEX(rLim_ADM,$AL143),IF(ISNUMBER($F143),$F143,""))</f>
        <v/>
      </c>
    </row>
    <row r="144">
      <c r="A144" s="56">
        <f>IF(NOT((COUNTA($B144:$D144)+COUNTA($G144:$L144)+COUNTA($Q144))&gt;0),"",IF($V144="Macro",COUNTIFS($V$5:$V144,"Macro",$S$5:$S144,$S144),IF(N($U144)=0,"?",COUNTIFS(INDEX($V$5:$V$1000,1):INDEX($V$5:$V$1000,$U144-4),"Macro",INDEX($S$5:$S$1000,1):INDEX($S$5:$S$1000,$U144-4),INDEX($S$5:$S$1000,$U144-4))&amp;"."&amp;COUNTIFS($U$5:$U144,$U144,$V$5:$V144,"Sub"))))</f>
        <v/>
      </c>
      <c r="B144" s="57" t="n"/>
      <c r="C144" s="58" t="n"/>
      <c r="D144" s="58" t="n"/>
      <c r="E144" s="59">
        <f>IF(N($AL144)&gt;0,INDEX(rIni_ADM,$AL144),"")</f>
        <v/>
      </c>
      <c r="F144" s="59">
        <f>IF(N($AL144)&gt;0,INDEX(rLim_ADM,$AL144),"")</f>
        <v/>
      </c>
      <c r="G144" s="59" t="n"/>
      <c r="H144" s="60" t="n"/>
      <c r="I144" s="60" t="n"/>
      <c r="J144" s="60" t="n"/>
      <c r="K144" s="60" t="n"/>
      <c r="L144" s="60" t="n"/>
      <c r="M144" s="61">
        <f>IF(NOT((COUNTA($B144:$D144)+COUNTA($G144:$L144)+COUNTA($Q144))&gt;0),"",IF($V144="Sub",IFERROR($X144/INDEX($W$5:$W$1000,$U144-4),""),IF(ISNUMBER($G144),1,IF(N($W144)&gt;0,AVERAGEIFS($X$5:$X$1000,$U$5:$U$1000,ROW(),$V$5:$V$1000,"Sub"),$X144))))</f>
        <v/>
      </c>
      <c r="N144" s="56">
        <f>IF(OR($M144="",$V144="Sub"),"",IF($M144&gt;=1,"Completado",IF($M144&gt;0,"En curso","Pendiente")))</f>
        <v/>
      </c>
      <c r="O144" s="56">
        <f>IF(OR(NOT((COUNTA($B144:$D144)+COUNTA($G144:$L144)+COUNTA($Q144))&gt;0),$V144="Sub"),"",IF(ISNUMBER($G144),IF(AND(ISNUMBER($AN144),$G144&gt;$AN144),"Cumplida con "&amp;($G144-$AN144)&amp;IF($G144-$AN144=1," día"," días")&amp;" de retraso","Cumplida"),IF(N($M144)&gt;=1,"Cumplida",IF(NOT(ISNUMBER($AN144)),"Sin fecha límite",IF($AN144&lt;FechaRef,"Vencida hace "&amp;(FechaRef-$AN144)&amp;IF(FechaRef-$AN144=1," día"," días"),IF($AN144=FechaRef,"Vence hoy",IF($AN144-FechaRef&lt;=DiasAlerta,"Vence en "&amp;($AN144-FechaRef)&amp;IF($AN144-FechaRef=1," día"," días"),"En plazo")))))))</f>
        <v/>
      </c>
      <c r="P144" s="62" t="n"/>
      <c r="Q144" s="58" t="n"/>
      <c r="R144" s="63">
        <f>IF(NOT((COUNTA($B144:$D144)+COUNTA($G144:$L144)+COUNTA($Q144))&gt;0),"",IF((IF($C144="","Falta el nombre de la actividad"&amp;" · ","")&amp;IF(AND($V144="Sub",N($U144)=0),"Subactividad sin macroactividad arriba"&amp;" · ","")&amp;IF($AM144="","Sin fecha de inicio"&amp;" · ","")&amp;IF($AN144="","Sin fecha límite"&amp;" · ","")&amp;IF(AND(LEFT($C144,11)="[Jefatura] ",N($AL144)=0),"No se encuentra en la hoja de la jefatura (elíjala de nuevo en la lista)"&amp;" · ","")&amp;IF(OR(AND($E144&lt;&gt;"",NOT(ISNUMBER($E144))),AND($F144&lt;&gt;"",NOT(ISNUMBER($F144))),AND($G144&lt;&gt;"",NOT(ISNUMBER($G144)))),"Fecha no válida"&amp;" · ","")&amp;IF(AND(ISNUMBER($AM144),ISNUMBER($AN144),$AM144&gt;$AN144),"Inicio posterior a fecha límite"&amp;" · ","")&amp;IF(AND($V144="Macro",$H144&lt;&gt;"",OR(NOT(ISNUMBER($H144)),$H144&lt;0,$H144&gt;1)),"Peso fuera de rango"&amp;" · ","")&amp;IF(AND($V144="Sub",$H144&lt;&gt;""),"Las subactividades no llevan peso (valen igual dentro de su macroactividad)"&amp;" · ","")&amp;IF(AND(N($W144)&gt;0,COUNT($I144:$L144)&gt;0),"Con subactividades: deje vacías las semanas (se calculan solas)"&amp;" · ","")&amp;IF((COUNTIF($I144:$L144,"&gt;1")+COUNTIF($I144:$L144,"&lt;0")+COUNTA($I144:$L144)-COUNT($I144:$L144))&gt;0,"Avance fuera de rango 0-100%"&amp;" · ","")&amp;IF(OR(AND($J144&lt;&gt;"",$J144&lt;$I144),AND($K144&lt;&gt;"",$K144&lt;MAX($I144:$J144)),AND($L144&lt;&gt;"",$L144&lt;MAX($I144:$K144))),"Avance semanal decreciente"&amp;" · ","")&amp;IF(AND(ISNUMBER($AN144),$AN144&lt;FechaRef,IF($V144="Sub",N($X144),N($M144))&lt;1),"Vencida"&amp;" · ","")&amp;IF(AND(ObsObligatoria="Sí",ISNUMBER($AN144),$AN144&lt;FechaRef,IF($V144="Sub",N($X144),N($M144))&lt;1,$Q144=""),"Vencida sin observación"&amp;" · ",""))="","✔ OK","⚠ "&amp;LEFT(IF($C144="","Falta el nombre de la actividad"&amp;" · ","")&amp;IF(AND($V144="Sub",N($U144)=0),"Subactividad sin macroactividad arriba"&amp;" · ","")&amp;IF($AM144="","Sin fecha de inicio"&amp;" · ","")&amp;IF($AN144="","Sin fecha límite"&amp;" · ","")&amp;IF(AND(LEFT($C144,11)="[Jefatura] ",N($AL144)=0),"No se encuentra en la hoja de la jefatura (elíjala de nuevo en la lista)"&amp;" · ","")&amp;IF(OR(AND($E144&lt;&gt;"",NOT(ISNUMBER($E144))),AND($F144&lt;&gt;"",NOT(ISNUMBER($F144))),AND($G144&lt;&gt;"",NOT(ISNUMBER($G144)))),"Fecha no válida"&amp;" · ","")&amp;IF(AND(ISNUMBER($AM144),ISNUMBER($AN144),$AM144&gt;$AN144),"Inicio posterior a fecha límite"&amp;" · ","")&amp;IF(AND($V144="Macro",$H144&lt;&gt;"",OR(NOT(ISNUMBER($H144)),$H144&lt;0,$H144&gt;1)),"Peso fuera de rango"&amp;" · ","")&amp;IF(AND($V144="Sub",$H144&lt;&gt;""),"Las subactividades no llevan peso (valen igual dentro de su macroactividad)"&amp;" · ","")&amp;IF(AND(N($W144)&gt;0,COUNT($I144:$L144)&gt;0),"Con subactividades: deje vacías las semanas (se calculan solas)"&amp;" · ","")&amp;IF((COUNTIF($I144:$L144,"&gt;1")+COUNTIF($I144:$L144,"&lt;0")+COUNTA($I144:$L144)-COUNT($I144:$L144))&gt;0,"Avance fuera de rango 0-100%"&amp;" · ","")&amp;IF(OR(AND($J144&lt;&gt;"",$J144&lt;$I144),AND($K144&lt;&gt;"",$K144&lt;MAX($I144:$J144)),AND($L144&lt;&gt;"",$L144&lt;MAX($I144:$K144))),"Avance semanal decreciente"&amp;" · ","")&amp;IF(AND(ISNUMBER($AN144),$AN144&lt;FechaRef,IF($V144="Sub",N($X144),N($M144))&lt;1),"Vencida"&amp;" · ","")&amp;IF(AND(ObsObligatoria="Sí",ISNUMBER($AN144),$AN144&lt;FechaRef,IF($V144="Sub",N($X144),N($M144))&lt;1,$Q144=""),"Vencida sin observación"&amp;" · ",""),LEN(IF($C144="","Falta el nombre de la actividad"&amp;" · ","")&amp;IF(AND($V144="Sub",N($U144)=0),"Subactividad sin macroactividad arriba"&amp;" · ","")&amp;IF($AM144="","Sin fecha de inicio"&amp;" · ","")&amp;IF($AN144="","Sin fecha límite"&amp;" · ","")&amp;IF(AND(LEFT($C144,11)="[Jefatura] ",N($AL144)=0),"No se encuentra en la hoja de la jefatura (elíjala de nuevo en la lista)"&amp;" · ","")&amp;IF(OR(AND($E144&lt;&gt;"",NOT(ISNUMBER($E144))),AND($F144&lt;&gt;"",NOT(ISNUMBER($F144))),AND($G144&lt;&gt;"",NOT(ISNUMBER($G144)))),"Fecha no válida"&amp;" · ","")&amp;IF(AND(ISNUMBER($AM144),ISNUMBER($AN144),$AM144&gt;$AN144),"Inicio posterior a fecha límite"&amp;" · ","")&amp;IF(AND($V144="Macro",$H144&lt;&gt;"",OR(NOT(ISNUMBER($H144)),$H144&lt;0,$H144&gt;1)),"Peso fuera de rango"&amp;" · ","")&amp;IF(AND($V144="Sub",$H144&lt;&gt;""),"Las subactividades no llevan peso (valen igual dentro de su macroactividad)"&amp;" · ","")&amp;IF(AND(N($W144)&gt;0,COUNT($I144:$L144)&gt;0),"Con subactividades: deje vacías las semanas (se calculan solas)"&amp;" · ","")&amp;IF((COUNTIF($I144:$L144,"&gt;1")+COUNTIF($I144:$L144,"&lt;0")+COUNTA($I144:$L144)-COUNT($I144:$L144))&gt;0,"Avance fuera de rango 0-100%"&amp;" · ","")&amp;IF(OR(AND($J144&lt;&gt;"",$J144&lt;$I144),AND($K144&lt;&gt;"",$K144&lt;MAX($I144:$J144)),AND($L144&lt;&gt;"",$L144&lt;MAX($I144:$K144))),"Avance semanal decreciente"&amp;" · ","")&amp;IF(AND(ISNUMBER($AN144),$AN144&lt;FechaRef,IF($V144="Sub",N($X144),N($M144))&lt;1),"Vencida"&amp;" · ","")&amp;IF(AND(ObsObligatoria="Sí",ISNUMBER($AN144),$AN144&lt;FechaRef,IF($V144="Sub",N($X144),N($M144))&lt;1,$Q144=""),"Vencida sin observación"&amp;" · ",""))-3)))</f>
        <v/>
      </c>
      <c r="S144" s="64">
        <f>IF(NOT((COUNTA($B144:$D144)+COUNTA($G144:$L144)+COUNTA($Q144))&gt;0),"",IF(AND($V144="Sub",N($U144)&gt;0),IF(ISNUMBER(INDEX($AM$5:$AM$1000,$U144-4)),DATE(YEAR(INDEX($AM$5:$AM$1000,$U144-4)),MONTH(INDEX($AM$5:$AM$1000,$U144-4)),1),IF(ISNUMBER(INDEX($AN$5:$AN$1000,$U144-4)),DATE(YEAR(INDEX($AN$5:$AN$1000,$U144-4)),MONTH(INDEX($AN$5:$AN$1000,$U144-4)),1),MesCiclo)),IF(ISNUMBER($AM144),DATE(YEAR($AM144),MONTH($AM144),1),IF(ISNUMBER($AN144),DATE(YEAR($AN144),MONTH($AN144),1),MesCiclo))))</f>
        <v/>
      </c>
      <c r="T144" s="62">
        <f>IF(OR($S144="",$S144&lt;&gt;MesCiclo,$V144&lt;&gt;"Macro"),"",COUNTIFS($S$5:$S144,MesCiclo,$V$5:$V144,"Macro"))</f>
        <v/>
      </c>
      <c r="U144" s="62">
        <f>IF($V144="","",IF($V144="Macro",ROW(),IFERROR(LOOKUP(2,1/($V$5:$V144="Macro"),ROW($V$5:$V144)),0)))</f>
        <v/>
      </c>
      <c r="V144" s="62">
        <f>IF(NOT((COUNTA($B144:$D144)+COUNTA($G144:$L144)+COUNTA($Q144))&gt;0),"",IF($B144="Subactividad","Sub","Macro"))</f>
        <v/>
      </c>
      <c r="W144" s="62">
        <f>IF($V144="Macro",COUNTIFS($U$5:$U$1000,ROW(),$V$5:$V$1000,"Sub"),"")</f>
        <v/>
      </c>
      <c r="X144" s="62">
        <f>IF($V144="","",IF(ISNUMBER($G144),1,IFERROR(LOOKUP(2,1/($I144:$L144&lt;&gt;""),$I144:$L144),0)))</f>
        <v/>
      </c>
      <c r="Y144" s="62">
        <f>IF($V144="","",IF(AND(ISNUMBER($G144),$G144&lt;=IF($S144=MesCiclo,InicioCiclo,$S144+MOD(2-WEEKDAY($S144),7))+6),1,IF(ISNUMBER($I144),$I144,0)))</f>
        <v/>
      </c>
      <c r="Z144" s="62">
        <f>IF($V144="","",IF(AND(ISNUMBER($G144),$G144&lt;=IF($S144=MesCiclo,InicioCiclo,$S144+MOD(2-WEEKDAY($S144),7))+13),1,IF(ISNUMBER($J144),$J144,$Y144)))</f>
        <v/>
      </c>
      <c r="AA144" s="62">
        <f>IF($V144="","",IF(AND(ISNUMBER($G144),$G144&lt;=IF($S144=MesCiclo,InicioCiclo,$S144+MOD(2-WEEKDAY($S144),7))+20),1,IF(ISNUMBER($K144),$K144,$Z144)))</f>
        <v/>
      </c>
      <c r="AB144" s="62">
        <f>IF($V144="","",IF(AND(ISNUMBER($G144),$G144&lt;=IF($S144=MesCiclo,InicioCiclo,$S144+MOD(2-WEEKDAY($S144),7))+27),1,IF(ISNUMBER($L144),$L144,$AA144)))</f>
        <v/>
      </c>
      <c r="AC144" s="62">
        <f>IF($V144="","",IF(AND(ISNUMBER($G144),$G144&lt;=IF($S144=MesCiclo,InicioCiclo,$S144+MOD(2-WEEKDAY($S144),7))+6),1,IF(N($W144)&gt;0,AVERAGEIFS($Y$5:$Y$1000,$U$5:$U$1000,ROW(),$V$5:$V$1000,"Sub"),$Y144)))</f>
        <v/>
      </c>
      <c r="AD144" s="62">
        <f>IF($V144="","",IF(AND(ISNUMBER($G144),$G144&lt;=IF($S144=MesCiclo,InicioCiclo,$S144+MOD(2-WEEKDAY($S144),7))+13),1,IF(N($W144)&gt;0,AVERAGEIFS($Z$5:$Z$1000,$U$5:$U$1000,ROW(),$V$5:$V$1000,"Sub"),$Z144)))</f>
        <v/>
      </c>
      <c r="AE144" s="62">
        <f>IF($V144="","",IF(AND(ISNUMBER($G144),$G144&lt;=IF($S144=MesCiclo,InicioCiclo,$S144+MOD(2-WEEKDAY($S144),7))+20),1,IF(N($W144)&gt;0,AVERAGEIFS($AA$5:$AA$1000,$U$5:$U$1000,ROW(),$V$5:$V$1000,"Sub"),$AA144)))</f>
        <v/>
      </c>
      <c r="AF144" s="62">
        <f>IF($V144="","",IF(AND(ISNUMBER($G144),$G144&lt;=IF($S144=MesCiclo,InicioCiclo,$S144+MOD(2-WEEKDAY($S144),7))+27),1,IF(N($W144)&gt;0,AVERAGEIFS($AB$5:$AB$1000,$U$5:$U$1000,ROW(),$V$5:$V$1000,"Sub"),$AB144)))</f>
        <v/>
      </c>
      <c r="AG144" s="62">
        <f>IF($V144&lt;&gt;"Macro","",IF(COUNTIFS($S$5:$S$1000,$S144,$V$5:$V$1000,"Macro",$H$5:$H$1000,"&gt;0")=0,1/COUNTIFS($S$5:$S$1000,$S144,$V$5:$V$1000,"Macro"),IF(AND(ISNUMBER($H144),N($H144)&gt;0),$H144,SUMIFS($H$5:$H$1000,$S$5:$S$1000,$S144,$V$5:$V$1000,"Macro")/COUNTIFS($S$5:$S$1000,$S144,$V$5:$V$1000,"Macro",$H$5:$H$1000,"&gt;0"))/(COUNTIFS($S$5:$S$1000,$S144,$V$5:$V$1000,"Macro")*SUMIFS($H$5:$H$1000,$S$5:$S$1000,$S144,$V$5:$V$1000,"Macro")/COUNTIFS($S$5:$S$1000,$S144,$V$5:$V$1000,"Macro",$H$5:$H$1000,"&gt;0"))))</f>
        <v/>
      </c>
      <c r="AH144" s="62" t="n"/>
      <c r="AI144" s="62" t="n"/>
      <c r="AJ144" s="62" t="n"/>
      <c r="AK144" s="62" t="n"/>
      <c r="AL144" s="62">
        <f>IF(LEFT($C144,11)="[Jefatura] ",IFERROR(MATCH("Asistente Técnico de Riesgo|"&amp;MID($C144,12,500),rDname_ADM,0),0),"")</f>
        <v/>
      </c>
      <c r="AM144" s="62">
        <f>IF(N($AL144)&gt;0,INDEX(rIni_ADM,$AL144),IF(ISNUMBER($E144),$E144,""))</f>
        <v/>
      </c>
      <c r="AN144" s="62">
        <f>IF(N($AL144)&gt;0,INDEX(rLim_ADM,$AL144),IF(ISNUMBER($F144),$F144,""))</f>
        <v/>
      </c>
    </row>
    <row r="145">
      <c r="A145" s="56">
        <f>IF(NOT((COUNTA($B145:$D145)+COUNTA($G145:$L145)+COUNTA($Q145))&gt;0),"",IF($V145="Macro",COUNTIFS($V$5:$V145,"Macro",$S$5:$S145,$S145),IF(N($U145)=0,"?",COUNTIFS(INDEX($V$5:$V$1000,1):INDEX($V$5:$V$1000,$U145-4),"Macro",INDEX($S$5:$S$1000,1):INDEX($S$5:$S$1000,$U145-4),INDEX($S$5:$S$1000,$U145-4))&amp;"."&amp;COUNTIFS($U$5:$U145,$U145,$V$5:$V145,"Sub"))))</f>
        <v/>
      </c>
      <c r="B145" s="57" t="n"/>
      <c r="C145" s="58" t="n"/>
      <c r="D145" s="58" t="n"/>
      <c r="E145" s="59">
        <f>IF(N($AL145)&gt;0,INDEX(rIni_ADM,$AL145),"")</f>
        <v/>
      </c>
      <c r="F145" s="59">
        <f>IF(N($AL145)&gt;0,INDEX(rLim_ADM,$AL145),"")</f>
        <v/>
      </c>
      <c r="G145" s="59" t="n"/>
      <c r="H145" s="60" t="n"/>
      <c r="I145" s="60" t="n"/>
      <c r="J145" s="60" t="n"/>
      <c r="K145" s="60" t="n"/>
      <c r="L145" s="60" t="n"/>
      <c r="M145" s="61">
        <f>IF(NOT((COUNTA($B145:$D145)+COUNTA($G145:$L145)+COUNTA($Q145))&gt;0),"",IF($V145="Sub",IFERROR($X145/INDEX($W$5:$W$1000,$U145-4),""),IF(ISNUMBER($G145),1,IF(N($W145)&gt;0,AVERAGEIFS($X$5:$X$1000,$U$5:$U$1000,ROW(),$V$5:$V$1000,"Sub"),$X145))))</f>
        <v/>
      </c>
      <c r="N145" s="56">
        <f>IF(OR($M145="",$V145="Sub"),"",IF($M145&gt;=1,"Completado",IF($M145&gt;0,"En curso","Pendiente")))</f>
        <v/>
      </c>
      <c r="O145" s="56">
        <f>IF(OR(NOT((COUNTA($B145:$D145)+COUNTA($G145:$L145)+COUNTA($Q145))&gt;0),$V145="Sub"),"",IF(ISNUMBER($G145),IF(AND(ISNUMBER($AN145),$G145&gt;$AN145),"Cumplida con "&amp;($G145-$AN145)&amp;IF($G145-$AN145=1," día"," días")&amp;" de retraso","Cumplida"),IF(N($M145)&gt;=1,"Cumplida",IF(NOT(ISNUMBER($AN145)),"Sin fecha límite",IF($AN145&lt;FechaRef,"Vencida hace "&amp;(FechaRef-$AN145)&amp;IF(FechaRef-$AN145=1," día"," días"),IF($AN145=FechaRef,"Vence hoy",IF($AN145-FechaRef&lt;=DiasAlerta,"Vence en "&amp;($AN145-FechaRef)&amp;IF($AN145-FechaRef=1," día"," días"),"En plazo")))))))</f>
        <v/>
      </c>
      <c r="P145" s="62" t="n"/>
      <c r="Q145" s="58" t="n"/>
      <c r="R145" s="63">
        <f>IF(NOT((COUNTA($B145:$D145)+COUNTA($G145:$L145)+COUNTA($Q145))&gt;0),"",IF((IF($C145="","Falta el nombre de la actividad"&amp;" · ","")&amp;IF(AND($V145="Sub",N($U145)=0),"Subactividad sin macroactividad arriba"&amp;" · ","")&amp;IF($AM145="","Sin fecha de inicio"&amp;" · ","")&amp;IF($AN145="","Sin fecha límite"&amp;" · ","")&amp;IF(AND(LEFT($C145,11)="[Jefatura] ",N($AL145)=0),"No se encuentra en la hoja de la jefatura (elíjala de nuevo en la lista)"&amp;" · ","")&amp;IF(OR(AND($E145&lt;&gt;"",NOT(ISNUMBER($E145))),AND($F145&lt;&gt;"",NOT(ISNUMBER($F145))),AND($G145&lt;&gt;"",NOT(ISNUMBER($G145)))),"Fecha no válida"&amp;" · ","")&amp;IF(AND(ISNUMBER($AM145),ISNUMBER($AN145),$AM145&gt;$AN145),"Inicio posterior a fecha límite"&amp;" · ","")&amp;IF(AND($V145="Macro",$H145&lt;&gt;"",OR(NOT(ISNUMBER($H145)),$H145&lt;0,$H145&gt;1)),"Peso fuera de rango"&amp;" · ","")&amp;IF(AND($V145="Sub",$H145&lt;&gt;""),"Las subactividades no llevan peso (valen igual dentro de su macroactividad)"&amp;" · ","")&amp;IF(AND(N($W145)&gt;0,COUNT($I145:$L145)&gt;0),"Con subactividades: deje vacías las semanas (se calculan solas)"&amp;" · ","")&amp;IF((COUNTIF($I145:$L145,"&gt;1")+COUNTIF($I145:$L145,"&lt;0")+COUNTA($I145:$L145)-COUNT($I145:$L145))&gt;0,"Avance fuera de rango 0-100%"&amp;" · ","")&amp;IF(OR(AND($J145&lt;&gt;"",$J145&lt;$I145),AND($K145&lt;&gt;"",$K145&lt;MAX($I145:$J145)),AND($L145&lt;&gt;"",$L145&lt;MAX($I145:$K145))),"Avance semanal decreciente"&amp;" · ","")&amp;IF(AND(ISNUMBER($AN145),$AN145&lt;FechaRef,IF($V145="Sub",N($X145),N($M145))&lt;1),"Vencida"&amp;" · ","")&amp;IF(AND(ObsObligatoria="Sí",ISNUMBER($AN145),$AN145&lt;FechaRef,IF($V145="Sub",N($X145),N($M145))&lt;1,$Q145=""),"Vencida sin observación"&amp;" · ",""))="","✔ OK","⚠ "&amp;LEFT(IF($C145="","Falta el nombre de la actividad"&amp;" · ","")&amp;IF(AND($V145="Sub",N($U145)=0),"Subactividad sin macroactividad arriba"&amp;" · ","")&amp;IF($AM145="","Sin fecha de inicio"&amp;" · ","")&amp;IF($AN145="","Sin fecha límite"&amp;" · ","")&amp;IF(AND(LEFT($C145,11)="[Jefatura] ",N($AL145)=0),"No se encuentra en la hoja de la jefatura (elíjala de nuevo en la lista)"&amp;" · ","")&amp;IF(OR(AND($E145&lt;&gt;"",NOT(ISNUMBER($E145))),AND($F145&lt;&gt;"",NOT(ISNUMBER($F145))),AND($G145&lt;&gt;"",NOT(ISNUMBER($G145)))),"Fecha no válida"&amp;" · ","")&amp;IF(AND(ISNUMBER($AM145),ISNUMBER($AN145),$AM145&gt;$AN145),"Inicio posterior a fecha límite"&amp;" · ","")&amp;IF(AND($V145="Macro",$H145&lt;&gt;"",OR(NOT(ISNUMBER($H145)),$H145&lt;0,$H145&gt;1)),"Peso fuera de rango"&amp;" · ","")&amp;IF(AND($V145="Sub",$H145&lt;&gt;""),"Las subactividades no llevan peso (valen igual dentro de su macroactividad)"&amp;" · ","")&amp;IF(AND(N($W145)&gt;0,COUNT($I145:$L145)&gt;0),"Con subactividades: deje vacías las semanas (se calculan solas)"&amp;" · ","")&amp;IF((COUNTIF($I145:$L145,"&gt;1")+COUNTIF($I145:$L145,"&lt;0")+COUNTA($I145:$L145)-COUNT($I145:$L145))&gt;0,"Avance fuera de rango 0-100%"&amp;" · ","")&amp;IF(OR(AND($J145&lt;&gt;"",$J145&lt;$I145),AND($K145&lt;&gt;"",$K145&lt;MAX($I145:$J145)),AND($L145&lt;&gt;"",$L145&lt;MAX($I145:$K145))),"Avance semanal decreciente"&amp;" · ","")&amp;IF(AND(ISNUMBER($AN145),$AN145&lt;FechaRef,IF($V145="Sub",N($X145),N($M145))&lt;1),"Vencida"&amp;" · ","")&amp;IF(AND(ObsObligatoria="Sí",ISNUMBER($AN145),$AN145&lt;FechaRef,IF($V145="Sub",N($X145),N($M145))&lt;1,$Q145=""),"Vencida sin observación"&amp;" · ",""),LEN(IF($C145="","Falta el nombre de la actividad"&amp;" · ","")&amp;IF(AND($V145="Sub",N($U145)=0),"Subactividad sin macroactividad arriba"&amp;" · ","")&amp;IF($AM145="","Sin fecha de inicio"&amp;" · ","")&amp;IF($AN145="","Sin fecha límite"&amp;" · ","")&amp;IF(AND(LEFT($C145,11)="[Jefatura] ",N($AL145)=0),"No se encuentra en la hoja de la jefatura (elíjala de nuevo en la lista)"&amp;" · ","")&amp;IF(OR(AND($E145&lt;&gt;"",NOT(ISNUMBER($E145))),AND($F145&lt;&gt;"",NOT(ISNUMBER($F145))),AND($G145&lt;&gt;"",NOT(ISNUMBER($G145)))),"Fecha no válida"&amp;" · ","")&amp;IF(AND(ISNUMBER($AM145),ISNUMBER($AN145),$AM145&gt;$AN145),"Inicio posterior a fecha límite"&amp;" · ","")&amp;IF(AND($V145="Macro",$H145&lt;&gt;"",OR(NOT(ISNUMBER($H145)),$H145&lt;0,$H145&gt;1)),"Peso fuera de rango"&amp;" · ","")&amp;IF(AND($V145="Sub",$H145&lt;&gt;""),"Las subactividades no llevan peso (valen igual dentro de su macroactividad)"&amp;" · ","")&amp;IF(AND(N($W145)&gt;0,COUNT($I145:$L145)&gt;0),"Con subactividades: deje vacías las semanas (se calculan solas)"&amp;" · ","")&amp;IF((COUNTIF($I145:$L145,"&gt;1")+COUNTIF($I145:$L145,"&lt;0")+COUNTA($I145:$L145)-COUNT($I145:$L145))&gt;0,"Avance fuera de rango 0-100%"&amp;" · ","")&amp;IF(OR(AND($J145&lt;&gt;"",$J145&lt;$I145),AND($K145&lt;&gt;"",$K145&lt;MAX($I145:$J145)),AND($L145&lt;&gt;"",$L145&lt;MAX($I145:$K145))),"Avance semanal decreciente"&amp;" · ","")&amp;IF(AND(ISNUMBER($AN145),$AN145&lt;FechaRef,IF($V145="Sub",N($X145),N($M145))&lt;1),"Vencida"&amp;" · ","")&amp;IF(AND(ObsObligatoria="Sí",ISNUMBER($AN145),$AN145&lt;FechaRef,IF($V145="Sub",N($X145),N($M145))&lt;1,$Q145=""),"Vencida sin observación"&amp;" · ",""))-3)))</f>
        <v/>
      </c>
      <c r="S145" s="64">
        <f>IF(NOT((COUNTA($B145:$D145)+COUNTA($G145:$L145)+COUNTA($Q145))&gt;0),"",IF(AND($V145="Sub",N($U145)&gt;0),IF(ISNUMBER(INDEX($AM$5:$AM$1000,$U145-4)),DATE(YEAR(INDEX($AM$5:$AM$1000,$U145-4)),MONTH(INDEX($AM$5:$AM$1000,$U145-4)),1),IF(ISNUMBER(INDEX($AN$5:$AN$1000,$U145-4)),DATE(YEAR(INDEX($AN$5:$AN$1000,$U145-4)),MONTH(INDEX($AN$5:$AN$1000,$U145-4)),1),MesCiclo)),IF(ISNUMBER($AM145),DATE(YEAR($AM145),MONTH($AM145),1),IF(ISNUMBER($AN145),DATE(YEAR($AN145),MONTH($AN145),1),MesCiclo))))</f>
        <v/>
      </c>
      <c r="T145" s="62">
        <f>IF(OR($S145="",$S145&lt;&gt;MesCiclo,$V145&lt;&gt;"Macro"),"",COUNTIFS($S$5:$S145,MesCiclo,$V$5:$V145,"Macro"))</f>
        <v/>
      </c>
      <c r="U145" s="62">
        <f>IF($V145="","",IF($V145="Macro",ROW(),IFERROR(LOOKUP(2,1/($V$5:$V145="Macro"),ROW($V$5:$V145)),0)))</f>
        <v/>
      </c>
      <c r="V145" s="62">
        <f>IF(NOT((COUNTA($B145:$D145)+COUNTA($G145:$L145)+COUNTA($Q145))&gt;0),"",IF($B145="Subactividad","Sub","Macro"))</f>
        <v/>
      </c>
      <c r="W145" s="62">
        <f>IF($V145="Macro",COUNTIFS($U$5:$U$1000,ROW(),$V$5:$V$1000,"Sub"),"")</f>
        <v/>
      </c>
      <c r="X145" s="62">
        <f>IF($V145="","",IF(ISNUMBER($G145),1,IFERROR(LOOKUP(2,1/($I145:$L145&lt;&gt;""),$I145:$L145),0)))</f>
        <v/>
      </c>
      <c r="Y145" s="62">
        <f>IF($V145="","",IF(AND(ISNUMBER($G145),$G145&lt;=IF($S145=MesCiclo,InicioCiclo,$S145+MOD(2-WEEKDAY($S145),7))+6),1,IF(ISNUMBER($I145),$I145,0)))</f>
        <v/>
      </c>
      <c r="Z145" s="62">
        <f>IF($V145="","",IF(AND(ISNUMBER($G145),$G145&lt;=IF($S145=MesCiclo,InicioCiclo,$S145+MOD(2-WEEKDAY($S145),7))+13),1,IF(ISNUMBER($J145),$J145,$Y145)))</f>
        <v/>
      </c>
      <c r="AA145" s="62">
        <f>IF($V145="","",IF(AND(ISNUMBER($G145),$G145&lt;=IF($S145=MesCiclo,InicioCiclo,$S145+MOD(2-WEEKDAY($S145),7))+20),1,IF(ISNUMBER($K145),$K145,$Z145)))</f>
        <v/>
      </c>
      <c r="AB145" s="62">
        <f>IF($V145="","",IF(AND(ISNUMBER($G145),$G145&lt;=IF($S145=MesCiclo,InicioCiclo,$S145+MOD(2-WEEKDAY($S145),7))+27),1,IF(ISNUMBER($L145),$L145,$AA145)))</f>
        <v/>
      </c>
      <c r="AC145" s="62">
        <f>IF($V145="","",IF(AND(ISNUMBER($G145),$G145&lt;=IF($S145=MesCiclo,InicioCiclo,$S145+MOD(2-WEEKDAY($S145),7))+6),1,IF(N($W145)&gt;0,AVERAGEIFS($Y$5:$Y$1000,$U$5:$U$1000,ROW(),$V$5:$V$1000,"Sub"),$Y145)))</f>
        <v/>
      </c>
      <c r="AD145" s="62">
        <f>IF($V145="","",IF(AND(ISNUMBER($G145),$G145&lt;=IF($S145=MesCiclo,InicioCiclo,$S145+MOD(2-WEEKDAY($S145),7))+13),1,IF(N($W145)&gt;0,AVERAGEIFS($Z$5:$Z$1000,$U$5:$U$1000,ROW(),$V$5:$V$1000,"Sub"),$Z145)))</f>
        <v/>
      </c>
      <c r="AE145" s="62">
        <f>IF($V145="","",IF(AND(ISNUMBER($G145),$G145&lt;=IF($S145=MesCiclo,InicioCiclo,$S145+MOD(2-WEEKDAY($S145),7))+20),1,IF(N($W145)&gt;0,AVERAGEIFS($AA$5:$AA$1000,$U$5:$U$1000,ROW(),$V$5:$V$1000,"Sub"),$AA145)))</f>
        <v/>
      </c>
      <c r="AF145" s="62">
        <f>IF($V145="","",IF(AND(ISNUMBER($G145),$G145&lt;=IF($S145=MesCiclo,InicioCiclo,$S145+MOD(2-WEEKDAY($S145),7))+27),1,IF(N($W145)&gt;0,AVERAGEIFS($AB$5:$AB$1000,$U$5:$U$1000,ROW(),$V$5:$V$1000,"Sub"),$AB145)))</f>
        <v/>
      </c>
      <c r="AG145" s="62">
        <f>IF($V145&lt;&gt;"Macro","",IF(COUNTIFS($S$5:$S$1000,$S145,$V$5:$V$1000,"Macro",$H$5:$H$1000,"&gt;0")=0,1/COUNTIFS($S$5:$S$1000,$S145,$V$5:$V$1000,"Macro"),IF(AND(ISNUMBER($H145),N($H145)&gt;0),$H145,SUMIFS($H$5:$H$1000,$S$5:$S$1000,$S145,$V$5:$V$1000,"Macro")/COUNTIFS($S$5:$S$1000,$S145,$V$5:$V$1000,"Macro",$H$5:$H$1000,"&gt;0"))/(COUNTIFS($S$5:$S$1000,$S145,$V$5:$V$1000,"Macro")*SUMIFS($H$5:$H$1000,$S$5:$S$1000,$S145,$V$5:$V$1000,"Macro")/COUNTIFS($S$5:$S$1000,$S145,$V$5:$V$1000,"Macro",$H$5:$H$1000,"&gt;0"))))</f>
        <v/>
      </c>
      <c r="AH145" s="62" t="n"/>
      <c r="AI145" s="62" t="n"/>
      <c r="AJ145" s="62" t="n"/>
      <c r="AK145" s="62" t="n"/>
      <c r="AL145" s="62">
        <f>IF(LEFT($C145,11)="[Jefatura] ",IFERROR(MATCH("Asistente Técnico de Riesgo|"&amp;MID($C145,12,500),rDname_ADM,0),0),"")</f>
        <v/>
      </c>
      <c r="AM145" s="62">
        <f>IF(N($AL145)&gt;0,INDEX(rIni_ADM,$AL145),IF(ISNUMBER($E145),$E145,""))</f>
        <v/>
      </c>
      <c r="AN145" s="62">
        <f>IF(N($AL145)&gt;0,INDEX(rLim_ADM,$AL145),IF(ISNUMBER($F145),$F145,""))</f>
        <v/>
      </c>
    </row>
    <row r="146">
      <c r="A146" s="56">
        <f>IF(NOT((COUNTA($B146:$D146)+COUNTA($G146:$L146)+COUNTA($Q146))&gt;0),"",IF($V146="Macro",COUNTIFS($V$5:$V146,"Macro",$S$5:$S146,$S146),IF(N($U146)=0,"?",COUNTIFS(INDEX($V$5:$V$1000,1):INDEX($V$5:$V$1000,$U146-4),"Macro",INDEX($S$5:$S$1000,1):INDEX($S$5:$S$1000,$U146-4),INDEX($S$5:$S$1000,$U146-4))&amp;"."&amp;COUNTIFS($U$5:$U146,$U146,$V$5:$V146,"Sub"))))</f>
        <v/>
      </c>
      <c r="B146" s="57" t="n"/>
      <c r="C146" s="58" t="n"/>
      <c r="D146" s="58" t="n"/>
      <c r="E146" s="59">
        <f>IF(N($AL146)&gt;0,INDEX(rIni_ADM,$AL146),"")</f>
        <v/>
      </c>
      <c r="F146" s="59">
        <f>IF(N($AL146)&gt;0,INDEX(rLim_ADM,$AL146),"")</f>
        <v/>
      </c>
      <c r="G146" s="59" t="n"/>
      <c r="H146" s="60" t="n"/>
      <c r="I146" s="60" t="n"/>
      <c r="J146" s="60" t="n"/>
      <c r="K146" s="60" t="n"/>
      <c r="L146" s="60" t="n"/>
      <c r="M146" s="61">
        <f>IF(NOT((COUNTA($B146:$D146)+COUNTA($G146:$L146)+COUNTA($Q146))&gt;0),"",IF($V146="Sub",IFERROR($X146/INDEX($W$5:$W$1000,$U146-4),""),IF(ISNUMBER($G146),1,IF(N($W146)&gt;0,AVERAGEIFS($X$5:$X$1000,$U$5:$U$1000,ROW(),$V$5:$V$1000,"Sub"),$X146))))</f>
        <v/>
      </c>
      <c r="N146" s="56">
        <f>IF(OR($M146="",$V146="Sub"),"",IF($M146&gt;=1,"Completado",IF($M146&gt;0,"En curso","Pendiente")))</f>
        <v/>
      </c>
      <c r="O146" s="56">
        <f>IF(OR(NOT((COUNTA($B146:$D146)+COUNTA($G146:$L146)+COUNTA($Q146))&gt;0),$V146="Sub"),"",IF(ISNUMBER($G146),IF(AND(ISNUMBER($AN146),$G146&gt;$AN146),"Cumplida con "&amp;($G146-$AN146)&amp;IF($G146-$AN146=1," día"," días")&amp;" de retraso","Cumplida"),IF(N($M146)&gt;=1,"Cumplida",IF(NOT(ISNUMBER($AN146)),"Sin fecha límite",IF($AN146&lt;FechaRef,"Vencida hace "&amp;(FechaRef-$AN146)&amp;IF(FechaRef-$AN146=1," día"," días"),IF($AN146=FechaRef,"Vence hoy",IF($AN146-FechaRef&lt;=DiasAlerta,"Vence en "&amp;($AN146-FechaRef)&amp;IF($AN146-FechaRef=1," día"," días"),"En plazo")))))))</f>
        <v/>
      </c>
      <c r="P146" s="62" t="n"/>
      <c r="Q146" s="58" t="n"/>
      <c r="R146" s="63">
        <f>IF(NOT((COUNTA($B146:$D146)+COUNTA($G146:$L146)+COUNTA($Q146))&gt;0),"",IF((IF($C146="","Falta el nombre de la actividad"&amp;" · ","")&amp;IF(AND($V146="Sub",N($U146)=0),"Subactividad sin macroactividad arriba"&amp;" · ","")&amp;IF($AM146="","Sin fecha de inicio"&amp;" · ","")&amp;IF($AN146="","Sin fecha límite"&amp;" · ","")&amp;IF(AND(LEFT($C146,11)="[Jefatura] ",N($AL146)=0),"No se encuentra en la hoja de la jefatura (elíjala de nuevo en la lista)"&amp;" · ","")&amp;IF(OR(AND($E146&lt;&gt;"",NOT(ISNUMBER($E146))),AND($F146&lt;&gt;"",NOT(ISNUMBER($F146))),AND($G146&lt;&gt;"",NOT(ISNUMBER($G146)))),"Fecha no válida"&amp;" · ","")&amp;IF(AND(ISNUMBER($AM146),ISNUMBER($AN146),$AM146&gt;$AN146),"Inicio posterior a fecha límite"&amp;" · ","")&amp;IF(AND($V146="Macro",$H146&lt;&gt;"",OR(NOT(ISNUMBER($H146)),$H146&lt;0,$H146&gt;1)),"Peso fuera de rango"&amp;" · ","")&amp;IF(AND($V146="Sub",$H146&lt;&gt;""),"Las subactividades no llevan peso (valen igual dentro de su macroactividad)"&amp;" · ","")&amp;IF(AND(N($W146)&gt;0,COUNT($I146:$L146)&gt;0),"Con subactividades: deje vacías las semanas (se calculan solas)"&amp;" · ","")&amp;IF((COUNTIF($I146:$L146,"&gt;1")+COUNTIF($I146:$L146,"&lt;0")+COUNTA($I146:$L146)-COUNT($I146:$L146))&gt;0,"Avance fuera de rango 0-100%"&amp;" · ","")&amp;IF(OR(AND($J146&lt;&gt;"",$J146&lt;$I146),AND($K146&lt;&gt;"",$K146&lt;MAX($I146:$J146)),AND($L146&lt;&gt;"",$L146&lt;MAX($I146:$K146))),"Avance semanal decreciente"&amp;" · ","")&amp;IF(AND(ISNUMBER($AN146),$AN146&lt;FechaRef,IF($V146="Sub",N($X146),N($M146))&lt;1),"Vencida"&amp;" · ","")&amp;IF(AND(ObsObligatoria="Sí",ISNUMBER($AN146),$AN146&lt;FechaRef,IF($V146="Sub",N($X146),N($M146))&lt;1,$Q146=""),"Vencida sin observación"&amp;" · ",""))="","✔ OK","⚠ "&amp;LEFT(IF($C146="","Falta el nombre de la actividad"&amp;" · ","")&amp;IF(AND($V146="Sub",N($U146)=0),"Subactividad sin macroactividad arriba"&amp;" · ","")&amp;IF($AM146="","Sin fecha de inicio"&amp;" · ","")&amp;IF($AN146="","Sin fecha límite"&amp;" · ","")&amp;IF(AND(LEFT($C146,11)="[Jefatura] ",N($AL146)=0),"No se encuentra en la hoja de la jefatura (elíjala de nuevo en la lista)"&amp;" · ","")&amp;IF(OR(AND($E146&lt;&gt;"",NOT(ISNUMBER($E146))),AND($F146&lt;&gt;"",NOT(ISNUMBER($F146))),AND($G146&lt;&gt;"",NOT(ISNUMBER($G146)))),"Fecha no válida"&amp;" · ","")&amp;IF(AND(ISNUMBER($AM146),ISNUMBER($AN146),$AM146&gt;$AN146),"Inicio posterior a fecha límite"&amp;" · ","")&amp;IF(AND($V146="Macro",$H146&lt;&gt;"",OR(NOT(ISNUMBER($H146)),$H146&lt;0,$H146&gt;1)),"Peso fuera de rango"&amp;" · ","")&amp;IF(AND($V146="Sub",$H146&lt;&gt;""),"Las subactividades no llevan peso (valen igual dentro de su macroactividad)"&amp;" · ","")&amp;IF(AND(N($W146)&gt;0,COUNT($I146:$L146)&gt;0),"Con subactividades: deje vacías las semanas (se calculan solas)"&amp;" · ","")&amp;IF((COUNTIF($I146:$L146,"&gt;1")+COUNTIF($I146:$L146,"&lt;0")+COUNTA($I146:$L146)-COUNT($I146:$L146))&gt;0,"Avance fuera de rango 0-100%"&amp;" · ","")&amp;IF(OR(AND($J146&lt;&gt;"",$J146&lt;$I146),AND($K146&lt;&gt;"",$K146&lt;MAX($I146:$J146)),AND($L146&lt;&gt;"",$L146&lt;MAX($I146:$K146))),"Avance semanal decreciente"&amp;" · ","")&amp;IF(AND(ISNUMBER($AN146),$AN146&lt;FechaRef,IF($V146="Sub",N($X146),N($M146))&lt;1),"Vencida"&amp;" · ","")&amp;IF(AND(ObsObligatoria="Sí",ISNUMBER($AN146),$AN146&lt;FechaRef,IF($V146="Sub",N($X146),N($M146))&lt;1,$Q146=""),"Vencida sin observación"&amp;" · ",""),LEN(IF($C146="","Falta el nombre de la actividad"&amp;" · ","")&amp;IF(AND($V146="Sub",N($U146)=0),"Subactividad sin macroactividad arriba"&amp;" · ","")&amp;IF($AM146="","Sin fecha de inicio"&amp;" · ","")&amp;IF($AN146="","Sin fecha límite"&amp;" · ","")&amp;IF(AND(LEFT($C146,11)="[Jefatura] ",N($AL146)=0),"No se encuentra en la hoja de la jefatura (elíjala de nuevo en la lista)"&amp;" · ","")&amp;IF(OR(AND($E146&lt;&gt;"",NOT(ISNUMBER($E146))),AND($F146&lt;&gt;"",NOT(ISNUMBER($F146))),AND($G146&lt;&gt;"",NOT(ISNUMBER($G146)))),"Fecha no válida"&amp;" · ","")&amp;IF(AND(ISNUMBER($AM146),ISNUMBER($AN146),$AM146&gt;$AN146),"Inicio posterior a fecha límite"&amp;" · ","")&amp;IF(AND($V146="Macro",$H146&lt;&gt;"",OR(NOT(ISNUMBER($H146)),$H146&lt;0,$H146&gt;1)),"Peso fuera de rango"&amp;" · ","")&amp;IF(AND($V146="Sub",$H146&lt;&gt;""),"Las subactividades no llevan peso (valen igual dentro de su macroactividad)"&amp;" · ","")&amp;IF(AND(N($W146)&gt;0,COUNT($I146:$L146)&gt;0),"Con subactividades: deje vacías las semanas (se calculan solas)"&amp;" · ","")&amp;IF((COUNTIF($I146:$L146,"&gt;1")+COUNTIF($I146:$L146,"&lt;0")+COUNTA($I146:$L146)-COUNT($I146:$L146))&gt;0,"Avance fuera de rango 0-100%"&amp;" · ","")&amp;IF(OR(AND($J146&lt;&gt;"",$J146&lt;$I146),AND($K146&lt;&gt;"",$K146&lt;MAX($I146:$J146)),AND($L146&lt;&gt;"",$L146&lt;MAX($I146:$K146))),"Avance semanal decreciente"&amp;" · ","")&amp;IF(AND(ISNUMBER($AN146),$AN146&lt;FechaRef,IF($V146="Sub",N($X146),N($M146))&lt;1),"Vencida"&amp;" · ","")&amp;IF(AND(ObsObligatoria="Sí",ISNUMBER($AN146),$AN146&lt;FechaRef,IF($V146="Sub",N($X146),N($M146))&lt;1,$Q146=""),"Vencida sin observación"&amp;" · ",""))-3)))</f>
        <v/>
      </c>
      <c r="S146" s="64">
        <f>IF(NOT((COUNTA($B146:$D146)+COUNTA($G146:$L146)+COUNTA($Q146))&gt;0),"",IF(AND($V146="Sub",N($U146)&gt;0),IF(ISNUMBER(INDEX($AM$5:$AM$1000,$U146-4)),DATE(YEAR(INDEX($AM$5:$AM$1000,$U146-4)),MONTH(INDEX($AM$5:$AM$1000,$U146-4)),1),IF(ISNUMBER(INDEX($AN$5:$AN$1000,$U146-4)),DATE(YEAR(INDEX($AN$5:$AN$1000,$U146-4)),MONTH(INDEX($AN$5:$AN$1000,$U146-4)),1),MesCiclo)),IF(ISNUMBER($AM146),DATE(YEAR($AM146),MONTH($AM146),1),IF(ISNUMBER($AN146),DATE(YEAR($AN146),MONTH($AN146),1),MesCiclo))))</f>
        <v/>
      </c>
      <c r="T146" s="62">
        <f>IF(OR($S146="",$S146&lt;&gt;MesCiclo,$V146&lt;&gt;"Macro"),"",COUNTIFS($S$5:$S146,MesCiclo,$V$5:$V146,"Macro"))</f>
        <v/>
      </c>
      <c r="U146" s="62">
        <f>IF($V146="","",IF($V146="Macro",ROW(),IFERROR(LOOKUP(2,1/($V$5:$V146="Macro"),ROW($V$5:$V146)),0)))</f>
        <v/>
      </c>
      <c r="V146" s="62">
        <f>IF(NOT((COUNTA($B146:$D146)+COUNTA($G146:$L146)+COUNTA($Q146))&gt;0),"",IF($B146="Subactividad","Sub","Macro"))</f>
        <v/>
      </c>
      <c r="W146" s="62">
        <f>IF($V146="Macro",COUNTIFS($U$5:$U$1000,ROW(),$V$5:$V$1000,"Sub"),"")</f>
        <v/>
      </c>
      <c r="X146" s="62">
        <f>IF($V146="","",IF(ISNUMBER($G146),1,IFERROR(LOOKUP(2,1/($I146:$L146&lt;&gt;""),$I146:$L146),0)))</f>
        <v/>
      </c>
      <c r="Y146" s="62">
        <f>IF($V146="","",IF(AND(ISNUMBER($G146),$G146&lt;=IF($S146=MesCiclo,InicioCiclo,$S146+MOD(2-WEEKDAY($S146),7))+6),1,IF(ISNUMBER($I146),$I146,0)))</f>
        <v/>
      </c>
      <c r="Z146" s="62">
        <f>IF($V146="","",IF(AND(ISNUMBER($G146),$G146&lt;=IF($S146=MesCiclo,InicioCiclo,$S146+MOD(2-WEEKDAY($S146),7))+13),1,IF(ISNUMBER($J146),$J146,$Y146)))</f>
        <v/>
      </c>
      <c r="AA146" s="62">
        <f>IF($V146="","",IF(AND(ISNUMBER($G146),$G146&lt;=IF($S146=MesCiclo,InicioCiclo,$S146+MOD(2-WEEKDAY($S146),7))+20),1,IF(ISNUMBER($K146),$K146,$Z146)))</f>
        <v/>
      </c>
      <c r="AB146" s="62">
        <f>IF($V146="","",IF(AND(ISNUMBER($G146),$G146&lt;=IF($S146=MesCiclo,InicioCiclo,$S146+MOD(2-WEEKDAY($S146),7))+27),1,IF(ISNUMBER($L146),$L146,$AA146)))</f>
        <v/>
      </c>
      <c r="AC146" s="62">
        <f>IF($V146="","",IF(AND(ISNUMBER($G146),$G146&lt;=IF($S146=MesCiclo,InicioCiclo,$S146+MOD(2-WEEKDAY($S146),7))+6),1,IF(N($W146)&gt;0,AVERAGEIFS($Y$5:$Y$1000,$U$5:$U$1000,ROW(),$V$5:$V$1000,"Sub"),$Y146)))</f>
        <v/>
      </c>
      <c r="AD146" s="62">
        <f>IF($V146="","",IF(AND(ISNUMBER($G146),$G146&lt;=IF($S146=MesCiclo,InicioCiclo,$S146+MOD(2-WEEKDAY($S146),7))+13),1,IF(N($W146)&gt;0,AVERAGEIFS($Z$5:$Z$1000,$U$5:$U$1000,ROW(),$V$5:$V$1000,"Sub"),$Z146)))</f>
        <v/>
      </c>
      <c r="AE146" s="62">
        <f>IF($V146="","",IF(AND(ISNUMBER($G146),$G146&lt;=IF($S146=MesCiclo,InicioCiclo,$S146+MOD(2-WEEKDAY($S146),7))+20),1,IF(N($W146)&gt;0,AVERAGEIFS($AA$5:$AA$1000,$U$5:$U$1000,ROW(),$V$5:$V$1000,"Sub"),$AA146)))</f>
        <v/>
      </c>
      <c r="AF146" s="62">
        <f>IF($V146="","",IF(AND(ISNUMBER($G146),$G146&lt;=IF($S146=MesCiclo,InicioCiclo,$S146+MOD(2-WEEKDAY($S146),7))+27),1,IF(N($W146)&gt;0,AVERAGEIFS($AB$5:$AB$1000,$U$5:$U$1000,ROW(),$V$5:$V$1000,"Sub"),$AB146)))</f>
        <v/>
      </c>
      <c r="AG146" s="62">
        <f>IF($V146&lt;&gt;"Macro","",IF(COUNTIFS($S$5:$S$1000,$S146,$V$5:$V$1000,"Macro",$H$5:$H$1000,"&gt;0")=0,1/COUNTIFS($S$5:$S$1000,$S146,$V$5:$V$1000,"Macro"),IF(AND(ISNUMBER($H146),N($H146)&gt;0),$H146,SUMIFS($H$5:$H$1000,$S$5:$S$1000,$S146,$V$5:$V$1000,"Macro")/COUNTIFS($S$5:$S$1000,$S146,$V$5:$V$1000,"Macro",$H$5:$H$1000,"&gt;0"))/(COUNTIFS($S$5:$S$1000,$S146,$V$5:$V$1000,"Macro")*SUMIFS($H$5:$H$1000,$S$5:$S$1000,$S146,$V$5:$V$1000,"Macro")/COUNTIFS($S$5:$S$1000,$S146,$V$5:$V$1000,"Macro",$H$5:$H$1000,"&gt;0"))))</f>
        <v/>
      </c>
      <c r="AH146" s="62" t="n"/>
      <c r="AI146" s="62" t="n"/>
      <c r="AJ146" s="62" t="n"/>
      <c r="AK146" s="62" t="n"/>
      <c r="AL146" s="62">
        <f>IF(LEFT($C146,11)="[Jefatura] ",IFERROR(MATCH("Asistente Técnico de Riesgo|"&amp;MID($C146,12,500),rDname_ADM,0),0),"")</f>
        <v/>
      </c>
      <c r="AM146" s="62">
        <f>IF(N($AL146)&gt;0,INDEX(rIni_ADM,$AL146),IF(ISNUMBER($E146),$E146,""))</f>
        <v/>
      </c>
      <c r="AN146" s="62">
        <f>IF(N($AL146)&gt;0,INDEX(rLim_ADM,$AL146),IF(ISNUMBER($F146),$F146,""))</f>
        <v/>
      </c>
    </row>
    <row r="147">
      <c r="A147" s="56">
        <f>IF(NOT((COUNTA($B147:$D147)+COUNTA($G147:$L147)+COUNTA($Q147))&gt;0),"",IF($V147="Macro",COUNTIFS($V$5:$V147,"Macro",$S$5:$S147,$S147),IF(N($U147)=0,"?",COUNTIFS(INDEX($V$5:$V$1000,1):INDEX($V$5:$V$1000,$U147-4),"Macro",INDEX($S$5:$S$1000,1):INDEX($S$5:$S$1000,$U147-4),INDEX($S$5:$S$1000,$U147-4))&amp;"."&amp;COUNTIFS($U$5:$U147,$U147,$V$5:$V147,"Sub"))))</f>
        <v/>
      </c>
      <c r="B147" s="57" t="n"/>
      <c r="C147" s="58" t="n"/>
      <c r="D147" s="58" t="n"/>
      <c r="E147" s="59">
        <f>IF(N($AL147)&gt;0,INDEX(rIni_ADM,$AL147),"")</f>
        <v/>
      </c>
      <c r="F147" s="59">
        <f>IF(N($AL147)&gt;0,INDEX(rLim_ADM,$AL147),"")</f>
        <v/>
      </c>
      <c r="G147" s="59" t="n"/>
      <c r="H147" s="60" t="n"/>
      <c r="I147" s="60" t="n"/>
      <c r="J147" s="60" t="n"/>
      <c r="K147" s="60" t="n"/>
      <c r="L147" s="60" t="n"/>
      <c r="M147" s="61">
        <f>IF(NOT((COUNTA($B147:$D147)+COUNTA($G147:$L147)+COUNTA($Q147))&gt;0),"",IF($V147="Sub",IFERROR($X147/INDEX($W$5:$W$1000,$U147-4),""),IF(ISNUMBER($G147),1,IF(N($W147)&gt;0,AVERAGEIFS($X$5:$X$1000,$U$5:$U$1000,ROW(),$V$5:$V$1000,"Sub"),$X147))))</f>
        <v/>
      </c>
      <c r="N147" s="56">
        <f>IF(OR($M147="",$V147="Sub"),"",IF($M147&gt;=1,"Completado",IF($M147&gt;0,"En curso","Pendiente")))</f>
        <v/>
      </c>
      <c r="O147" s="56">
        <f>IF(OR(NOT((COUNTA($B147:$D147)+COUNTA($G147:$L147)+COUNTA($Q147))&gt;0),$V147="Sub"),"",IF(ISNUMBER($G147),IF(AND(ISNUMBER($AN147),$G147&gt;$AN147),"Cumplida con "&amp;($G147-$AN147)&amp;IF($G147-$AN147=1," día"," días")&amp;" de retraso","Cumplida"),IF(N($M147)&gt;=1,"Cumplida",IF(NOT(ISNUMBER($AN147)),"Sin fecha límite",IF($AN147&lt;FechaRef,"Vencida hace "&amp;(FechaRef-$AN147)&amp;IF(FechaRef-$AN147=1," día"," días"),IF($AN147=FechaRef,"Vence hoy",IF($AN147-FechaRef&lt;=DiasAlerta,"Vence en "&amp;($AN147-FechaRef)&amp;IF($AN147-FechaRef=1," día"," días"),"En plazo")))))))</f>
        <v/>
      </c>
      <c r="P147" s="62" t="n"/>
      <c r="Q147" s="58" t="n"/>
      <c r="R147" s="63">
        <f>IF(NOT((COUNTA($B147:$D147)+COUNTA($G147:$L147)+COUNTA($Q147))&gt;0),"",IF((IF($C147="","Falta el nombre de la actividad"&amp;" · ","")&amp;IF(AND($V147="Sub",N($U147)=0),"Subactividad sin macroactividad arriba"&amp;" · ","")&amp;IF($AM147="","Sin fecha de inicio"&amp;" · ","")&amp;IF($AN147="","Sin fecha límite"&amp;" · ","")&amp;IF(AND(LEFT($C147,11)="[Jefatura] ",N($AL147)=0),"No se encuentra en la hoja de la jefatura (elíjala de nuevo en la lista)"&amp;" · ","")&amp;IF(OR(AND($E147&lt;&gt;"",NOT(ISNUMBER($E147))),AND($F147&lt;&gt;"",NOT(ISNUMBER($F147))),AND($G147&lt;&gt;"",NOT(ISNUMBER($G147)))),"Fecha no válida"&amp;" · ","")&amp;IF(AND(ISNUMBER($AM147),ISNUMBER($AN147),$AM147&gt;$AN147),"Inicio posterior a fecha límite"&amp;" · ","")&amp;IF(AND($V147="Macro",$H147&lt;&gt;"",OR(NOT(ISNUMBER($H147)),$H147&lt;0,$H147&gt;1)),"Peso fuera de rango"&amp;" · ","")&amp;IF(AND($V147="Sub",$H147&lt;&gt;""),"Las subactividades no llevan peso (valen igual dentro de su macroactividad)"&amp;" · ","")&amp;IF(AND(N($W147)&gt;0,COUNT($I147:$L147)&gt;0),"Con subactividades: deje vacías las semanas (se calculan solas)"&amp;" · ","")&amp;IF((COUNTIF($I147:$L147,"&gt;1")+COUNTIF($I147:$L147,"&lt;0")+COUNTA($I147:$L147)-COUNT($I147:$L147))&gt;0,"Avance fuera de rango 0-100%"&amp;" · ","")&amp;IF(OR(AND($J147&lt;&gt;"",$J147&lt;$I147),AND($K147&lt;&gt;"",$K147&lt;MAX($I147:$J147)),AND($L147&lt;&gt;"",$L147&lt;MAX($I147:$K147))),"Avance semanal decreciente"&amp;" · ","")&amp;IF(AND(ISNUMBER($AN147),$AN147&lt;FechaRef,IF($V147="Sub",N($X147),N($M147))&lt;1),"Vencida"&amp;" · ","")&amp;IF(AND(ObsObligatoria="Sí",ISNUMBER($AN147),$AN147&lt;FechaRef,IF($V147="Sub",N($X147),N($M147))&lt;1,$Q147=""),"Vencida sin observación"&amp;" · ",""))="","✔ OK","⚠ "&amp;LEFT(IF($C147="","Falta el nombre de la actividad"&amp;" · ","")&amp;IF(AND($V147="Sub",N($U147)=0),"Subactividad sin macroactividad arriba"&amp;" · ","")&amp;IF($AM147="","Sin fecha de inicio"&amp;" · ","")&amp;IF($AN147="","Sin fecha límite"&amp;" · ","")&amp;IF(AND(LEFT($C147,11)="[Jefatura] ",N($AL147)=0),"No se encuentra en la hoja de la jefatura (elíjala de nuevo en la lista)"&amp;" · ","")&amp;IF(OR(AND($E147&lt;&gt;"",NOT(ISNUMBER($E147))),AND($F147&lt;&gt;"",NOT(ISNUMBER($F147))),AND($G147&lt;&gt;"",NOT(ISNUMBER($G147)))),"Fecha no válida"&amp;" · ","")&amp;IF(AND(ISNUMBER($AM147),ISNUMBER($AN147),$AM147&gt;$AN147),"Inicio posterior a fecha límite"&amp;" · ","")&amp;IF(AND($V147="Macro",$H147&lt;&gt;"",OR(NOT(ISNUMBER($H147)),$H147&lt;0,$H147&gt;1)),"Peso fuera de rango"&amp;" · ","")&amp;IF(AND($V147="Sub",$H147&lt;&gt;""),"Las subactividades no llevan peso (valen igual dentro de su macroactividad)"&amp;" · ","")&amp;IF(AND(N($W147)&gt;0,COUNT($I147:$L147)&gt;0),"Con subactividades: deje vacías las semanas (se calculan solas)"&amp;" · ","")&amp;IF((COUNTIF($I147:$L147,"&gt;1")+COUNTIF($I147:$L147,"&lt;0")+COUNTA($I147:$L147)-COUNT($I147:$L147))&gt;0,"Avance fuera de rango 0-100%"&amp;" · ","")&amp;IF(OR(AND($J147&lt;&gt;"",$J147&lt;$I147),AND($K147&lt;&gt;"",$K147&lt;MAX($I147:$J147)),AND($L147&lt;&gt;"",$L147&lt;MAX($I147:$K147))),"Avance semanal decreciente"&amp;" · ","")&amp;IF(AND(ISNUMBER($AN147),$AN147&lt;FechaRef,IF($V147="Sub",N($X147),N($M147))&lt;1),"Vencida"&amp;" · ","")&amp;IF(AND(ObsObligatoria="Sí",ISNUMBER($AN147),$AN147&lt;FechaRef,IF($V147="Sub",N($X147),N($M147))&lt;1,$Q147=""),"Vencida sin observación"&amp;" · ",""),LEN(IF($C147="","Falta el nombre de la actividad"&amp;" · ","")&amp;IF(AND($V147="Sub",N($U147)=0),"Subactividad sin macroactividad arriba"&amp;" · ","")&amp;IF($AM147="","Sin fecha de inicio"&amp;" · ","")&amp;IF($AN147="","Sin fecha límite"&amp;" · ","")&amp;IF(AND(LEFT($C147,11)="[Jefatura] ",N($AL147)=0),"No se encuentra en la hoja de la jefatura (elíjala de nuevo en la lista)"&amp;" · ","")&amp;IF(OR(AND($E147&lt;&gt;"",NOT(ISNUMBER($E147))),AND($F147&lt;&gt;"",NOT(ISNUMBER($F147))),AND($G147&lt;&gt;"",NOT(ISNUMBER($G147)))),"Fecha no válida"&amp;" · ","")&amp;IF(AND(ISNUMBER($AM147),ISNUMBER($AN147),$AM147&gt;$AN147),"Inicio posterior a fecha límite"&amp;" · ","")&amp;IF(AND($V147="Macro",$H147&lt;&gt;"",OR(NOT(ISNUMBER($H147)),$H147&lt;0,$H147&gt;1)),"Peso fuera de rango"&amp;" · ","")&amp;IF(AND($V147="Sub",$H147&lt;&gt;""),"Las subactividades no llevan peso (valen igual dentro de su macroactividad)"&amp;" · ","")&amp;IF(AND(N($W147)&gt;0,COUNT($I147:$L147)&gt;0),"Con subactividades: deje vacías las semanas (se calculan solas)"&amp;" · ","")&amp;IF((COUNTIF($I147:$L147,"&gt;1")+COUNTIF($I147:$L147,"&lt;0")+COUNTA($I147:$L147)-COUNT($I147:$L147))&gt;0,"Avance fuera de rango 0-100%"&amp;" · ","")&amp;IF(OR(AND($J147&lt;&gt;"",$J147&lt;$I147),AND($K147&lt;&gt;"",$K147&lt;MAX($I147:$J147)),AND($L147&lt;&gt;"",$L147&lt;MAX($I147:$K147))),"Avance semanal decreciente"&amp;" · ","")&amp;IF(AND(ISNUMBER($AN147),$AN147&lt;FechaRef,IF($V147="Sub",N($X147),N($M147))&lt;1),"Vencida"&amp;" · ","")&amp;IF(AND(ObsObligatoria="Sí",ISNUMBER($AN147),$AN147&lt;FechaRef,IF($V147="Sub",N($X147),N($M147))&lt;1,$Q147=""),"Vencida sin observación"&amp;" · ",""))-3)))</f>
        <v/>
      </c>
      <c r="S147" s="64">
        <f>IF(NOT((COUNTA($B147:$D147)+COUNTA($G147:$L147)+COUNTA($Q147))&gt;0),"",IF(AND($V147="Sub",N($U147)&gt;0),IF(ISNUMBER(INDEX($AM$5:$AM$1000,$U147-4)),DATE(YEAR(INDEX($AM$5:$AM$1000,$U147-4)),MONTH(INDEX($AM$5:$AM$1000,$U147-4)),1),IF(ISNUMBER(INDEX($AN$5:$AN$1000,$U147-4)),DATE(YEAR(INDEX($AN$5:$AN$1000,$U147-4)),MONTH(INDEX($AN$5:$AN$1000,$U147-4)),1),MesCiclo)),IF(ISNUMBER($AM147),DATE(YEAR($AM147),MONTH($AM147),1),IF(ISNUMBER($AN147),DATE(YEAR($AN147),MONTH($AN147),1),MesCiclo))))</f>
        <v/>
      </c>
      <c r="T147" s="62">
        <f>IF(OR($S147="",$S147&lt;&gt;MesCiclo,$V147&lt;&gt;"Macro"),"",COUNTIFS($S$5:$S147,MesCiclo,$V$5:$V147,"Macro"))</f>
        <v/>
      </c>
      <c r="U147" s="62">
        <f>IF($V147="","",IF($V147="Macro",ROW(),IFERROR(LOOKUP(2,1/($V$5:$V147="Macro"),ROW($V$5:$V147)),0)))</f>
        <v/>
      </c>
      <c r="V147" s="62">
        <f>IF(NOT((COUNTA($B147:$D147)+COUNTA($G147:$L147)+COUNTA($Q147))&gt;0),"",IF($B147="Subactividad","Sub","Macro"))</f>
        <v/>
      </c>
      <c r="W147" s="62">
        <f>IF($V147="Macro",COUNTIFS($U$5:$U$1000,ROW(),$V$5:$V$1000,"Sub"),"")</f>
        <v/>
      </c>
      <c r="X147" s="62">
        <f>IF($V147="","",IF(ISNUMBER($G147),1,IFERROR(LOOKUP(2,1/($I147:$L147&lt;&gt;""),$I147:$L147),0)))</f>
        <v/>
      </c>
      <c r="Y147" s="62">
        <f>IF($V147="","",IF(AND(ISNUMBER($G147),$G147&lt;=IF($S147=MesCiclo,InicioCiclo,$S147+MOD(2-WEEKDAY($S147),7))+6),1,IF(ISNUMBER($I147),$I147,0)))</f>
        <v/>
      </c>
      <c r="Z147" s="62">
        <f>IF($V147="","",IF(AND(ISNUMBER($G147),$G147&lt;=IF($S147=MesCiclo,InicioCiclo,$S147+MOD(2-WEEKDAY($S147),7))+13),1,IF(ISNUMBER($J147),$J147,$Y147)))</f>
        <v/>
      </c>
      <c r="AA147" s="62">
        <f>IF($V147="","",IF(AND(ISNUMBER($G147),$G147&lt;=IF($S147=MesCiclo,InicioCiclo,$S147+MOD(2-WEEKDAY($S147),7))+20),1,IF(ISNUMBER($K147),$K147,$Z147)))</f>
        <v/>
      </c>
      <c r="AB147" s="62">
        <f>IF($V147="","",IF(AND(ISNUMBER($G147),$G147&lt;=IF($S147=MesCiclo,InicioCiclo,$S147+MOD(2-WEEKDAY($S147),7))+27),1,IF(ISNUMBER($L147),$L147,$AA147)))</f>
        <v/>
      </c>
      <c r="AC147" s="62">
        <f>IF($V147="","",IF(AND(ISNUMBER($G147),$G147&lt;=IF($S147=MesCiclo,InicioCiclo,$S147+MOD(2-WEEKDAY($S147),7))+6),1,IF(N($W147)&gt;0,AVERAGEIFS($Y$5:$Y$1000,$U$5:$U$1000,ROW(),$V$5:$V$1000,"Sub"),$Y147)))</f>
        <v/>
      </c>
      <c r="AD147" s="62">
        <f>IF($V147="","",IF(AND(ISNUMBER($G147),$G147&lt;=IF($S147=MesCiclo,InicioCiclo,$S147+MOD(2-WEEKDAY($S147),7))+13),1,IF(N($W147)&gt;0,AVERAGEIFS($Z$5:$Z$1000,$U$5:$U$1000,ROW(),$V$5:$V$1000,"Sub"),$Z147)))</f>
        <v/>
      </c>
      <c r="AE147" s="62">
        <f>IF($V147="","",IF(AND(ISNUMBER($G147),$G147&lt;=IF($S147=MesCiclo,InicioCiclo,$S147+MOD(2-WEEKDAY($S147),7))+20),1,IF(N($W147)&gt;0,AVERAGEIFS($AA$5:$AA$1000,$U$5:$U$1000,ROW(),$V$5:$V$1000,"Sub"),$AA147)))</f>
        <v/>
      </c>
      <c r="AF147" s="62">
        <f>IF($V147="","",IF(AND(ISNUMBER($G147),$G147&lt;=IF($S147=MesCiclo,InicioCiclo,$S147+MOD(2-WEEKDAY($S147),7))+27),1,IF(N($W147)&gt;0,AVERAGEIFS($AB$5:$AB$1000,$U$5:$U$1000,ROW(),$V$5:$V$1000,"Sub"),$AB147)))</f>
        <v/>
      </c>
      <c r="AG147" s="62">
        <f>IF($V147&lt;&gt;"Macro","",IF(COUNTIFS($S$5:$S$1000,$S147,$V$5:$V$1000,"Macro",$H$5:$H$1000,"&gt;0")=0,1/COUNTIFS($S$5:$S$1000,$S147,$V$5:$V$1000,"Macro"),IF(AND(ISNUMBER($H147),N($H147)&gt;0),$H147,SUMIFS($H$5:$H$1000,$S$5:$S$1000,$S147,$V$5:$V$1000,"Macro")/COUNTIFS($S$5:$S$1000,$S147,$V$5:$V$1000,"Macro",$H$5:$H$1000,"&gt;0"))/(COUNTIFS($S$5:$S$1000,$S147,$V$5:$V$1000,"Macro")*SUMIFS($H$5:$H$1000,$S$5:$S$1000,$S147,$V$5:$V$1000,"Macro")/COUNTIFS($S$5:$S$1000,$S147,$V$5:$V$1000,"Macro",$H$5:$H$1000,"&gt;0"))))</f>
        <v/>
      </c>
      <c r="AH147" s="62" t="n"/>
      <c r="AI147" s="62" t="n"/>
      <c r="AJ147" s="62" t="n"/>
      <c r="AK147" s="62" t="n"/>
      <c r="AL147" s="62">
        <f>IF(LEFT($C147,11)="[Jefatura] ",IFERROR(MATCH("Asistente Técnico de Riesgo|"&amp;MID($C147,12,500),rDname_ADM,0),0),"")</f>
        <v/>
      </c>
      <c r="AM147" s="62">
        <f>IF(N($AL147)&gt;0,INDEX(rIni_ADM,$AL147),IF(ISNUMBER($E147),$E147,""))</f>
        <v/>
      </c>
      <c r="AN147" s="62">
        <f>IF(N($AL147)&gt;0,INDEX(rLim_ADM,$AL147),IF(ISNUMBER($F147),$F147,""))</f>
        <v/>
      </c>
    </row>
    <row r="148">
      <c r="A148" s="56">
        <f>IF(NOT((COUNTA($B148:$D148)+COUNTA($G148:$L148)+COUNTA($Q148))&gt;0),"",IF($V148="Macro",COUNTIFS($V$5:$V148,"Macro",$S$5:$S148,$S148),IF(N($U148)=0,"?",COUNTIFS(INDEX($V$5:$V$1000,1):INDEX($V$5:$V$1000,$U148-4),"Macro",INDEX($S$5:$S$1000,1):INDEX($S$5:$S$1000,$U148-4),INDEX($S$5:$S$1000,$U148-4))&amp;"."&amp;COUNTIFS($U$5:$U148,$U148,$V$5:$V148,"Sub"))))</f>
        <v/>
      </c>
      <c r="B148" s="57" t="n"/>
      <c r="C148" s="58" t="n"/>
      <c r="D148" s="58" t="n"/>
      <c r="E148" s="59">
        <f>IF(N($AL148)&gt;0,INDEX(rIni_ADM,$AL148),"")</f>
        <v/>
      </c>
      <c r="F148" s="59">
        <f>IF(N($AL148)&gt;0,INDEX(rLim_ADM,$AL148),"")</f>
        <v/>
      </c>
      <c r="G148" s="59" t="n"/>
      <c r="H148" s="60" t="n"/>
      <c r="I148" s="60" t="n"/>
      <c r="J148" s="60" t="n"/>
      <c r="K148" s="60" t="n"/>
      <c r="L148" s="60" t="n"/>
      <c r="M148" s="61">
        <f>IF(NOT((COUNTA($B148:$D148)+COUNTA($G148:$L148)+COUNTA($Q148))&gt;0),"",IF($V148="Sub",IFERROR($X148/INDEX($W$5:$W$1000,$U148-4),""),IF(ISNUMBER($G148),1,IF(N($W148)&gt;0,AVERAGEIFS($X$5:$X$1000,$U$5:$U$1000,ROW(),$V$5:$V$1000,"Sub"),$X148))))</f>
        <v/>
      </c>
      <c r="N148" s="56">
        <f>IF(OR($M148="",$V148="Sub"),"",IF($M148&gt;=1,"Completado",IF($M148&gt;0,"En curso","Pendiente")))</f>
        <v/>
      </c>
      <c r="O148" s="56">
        <f>IF(OR(NOT((COUNTA($B148:$D148)+COUNTA($G148:$L148)+COUNTA($Q148))&gt;0),$V148="Sub"),"",IF(ISNUMBER($G148),IF(AND(ISNUMBER($AN148),$G148&gt;$AN148),"Cumplida con "&amp;($G148-$AN148)&amp;IF($G148-$AN148=1," día"," días")&amp;" de retraso","Cumplida"),IF(N($M148)&gt;=1,"Cumplida",IF(NOT(ISNUMBER($AN148)),"Sin fecha límite",IF($AN148&lt;FechaRef,"Vencida hace "&amp;(FechaRef-$AN148)&amp;IF(FechaRef-$AN148=1," día"," días"),IF($AN148=FechaRef,"Vence hoy",IF($AN148-FechaRef&lt;=DiasAlerta,"Vence en "&amp;($AN148-FechaRef)&amp;IF($AN148-FechaRef=1," día"," días"),"En plazo")))))))</f>
        <v/>
      </c>
      <c r="P148" s="62" t="n"/>
      <c r="Q148" s="58" t="n"/>
      <c r="R148" s="63">
        <f>IF(NOT((COUNTA($B148:$D148)+COUNTA($G148:$L148)+COUNTA($Q148))&gt;0),"",IF((IF($C148="","Falta el nombre de la actividad"&amp;" · ","")&amp;IF(AND($V148="Sub",N($U148)=0),"Subactividad sin macroactividad arriba"&amp;" · ","")&amp;IF($AM148="","Sin fecha de inicio"&amp;" · ","")&amp;IF($AN148="","Sin fecha límite"&amp;" · ","")&amp;IF(AND(LEFT($C148,11)="[Jefatura] ",N($AL148)=0),"No se encuentra en la hoja de la jefatura (elíjala de nuevo en la lista)"&amp;" · ","")&amp;IF(OR(AND($E148&lt;&gt;"",NOT(ISNUMBER($E148))),AND($F148&lt;&gt;"",NOT(ISNUMBER($F148))),AND($G148&lt;&gt;"",NOT(ISNUMBER($G148)))),"Fecha no válida"&amp;" · ","")&amp;IF(AND(ISNUMBER($AM148),ISNUMBER($AN148),$AM148&gt;$AN148),"Inicio posterior a fecha límite"&amp;" · ","")&amp;IF(AND($V148="Macro",$H148&lt;&gt;"",OR(NOT(ISNUMBER($H148)),$H148&lt;0,$H148&gt;1)),"Peso fuera de rango"&amp;" · ","")&amp;IF(AND($V148="Sub",$H148&lt;&gt;""),"Las subactividades no llevan peso (valen igual dentro de su macroactividad)"&amp;" · ","")&amp;IF(AND(N($W148)&gt;0,COUNT($I148:$L148)&gt;0),"Con subactividades: deje vacías las semanas (se calculan solas)"&amp;" · ","")&amp;IF((COUNTIF($I148:$L148,"&gt;1")+COUNTIF($I148:$L148,"&lt;0")+COUNTA($I148:$L148)-COUNT($I148:$L148))&gt;0,"Avance fuera de rango 0-100%"&amp;" · ","")&amp;IF(OR(AND($J148&lt;&gt;"",$J148&lt;$I148),AND($K148&lt;&gt;"",$K148&lt;MAX($I148:$J148)),AND($L148&lt;&gt;"",$L148&lt;MAX($I148:$K148))),"Avance semanal decreciente"&amp;" · ","")&amp;IF(AND(ISNUMBER($AN148),$AN148&lt;FechaRef,IF($V148="Sub",N($X148),N($M148))&lt;1),"Vencida"&amp;" · ","")&amp;IF(AND(ObsObligatoria="Sí",ISNUMBER($AN148),$AN148&lt;FechaRef,IF($V148="Sub",N($X148),N($M148))&lt;1,$Q148=""),"Vencida sin observación"&amp;" · ",""))="","✔ OK","⚠ "&amp;LEFT(IF($C148="","Falta el nombre de la actividad"&amp;" · ","")&amp;IF(AND($V148="Sub",N($U148)=0),"Subactividad sin macroactividad arriba"&amp;" · ","")&amp;IF($AM148="","Sin fecha de inicio"&amp;" · ","")&amp;IF($AN148="","Sin fecha límite"&amp;" · ","")&amp;IF(AND(LEFT($C148,11)="[Jefatura] ",N($AL148)=0),"No se encuentra en la hoja de la jefatura (elíjala de nuevo en la lista)"&amp;" · ","")&amp;IF(OR(AND($E148&lt;&gt;"",NOT(ISNUMBER($E148))),AND($F148&lt;&gt;"",NOT(ISNUMBER($F148))),AND($G148&lt;&gt;"",NOT(ISNUMBER($G148)))),"Fecha no válida"&amp;" · ","")&amp;IF(AND(ISNUMBER($AM148),ISNUMBER($AN148),$AM148&gt;$AN148),"Inicio posterior a fecha límite"&amp;" · ","")&amp;IF(AND($V148="Macro",$H148&lt;&gt;"",OR(NOT(ISNUMBER($H148)),$H148&lt;0,$H148&gt;1)),"Peso fuera de rango"&amp;" · ","")&amp;IF(AND($V148="Sub",$H148&lt;&gt;""),"Las subactividades no llevan peso (valen igual dentro de su macroactividad)"&amp;" · ","")&amp;IF(AND(N($W148)&gt;0,COUNT($I148:$L148)&gt;0),"Con subactividades: deje vacías las semanas (se calculan solas)"&amp;" · ","")&amp;IF((COUNTIF($I148:$L148,"&gt;1")+COUNTIF($I148:$L148,"&lt;0")+COUNTA($I148:$L148)-COUNT($I148:$L148))&gt;0,"Avance fuera de rango 0-100%"&amp;" · ","")&amp;IF(OR(AND($J148&lt;&gt;"",$J148&lt;$I148),AND($K148&lt;&gt;"",$K148&lt;MAX($I148:$J148)),AND($L148&lt;&gt;"",$L148&lt;MAX($I148:$K148))),"Avance semanal decreciente"&amp;" · ","")&amp;IF(AND(ISNUMBER($AN148),$AN148&lt;FechaRef,IF($V148="Sub",N($X148),N($M148))&lt;1),"Vencida"&amp;" · ","")&amp;IF(AND(ObsObligatoria="Sí",ISNUMBER($AN148),$AN148&lt;FechaRef,IF($V148="Sub",N($X148),N($M148))&lt;1,$Q148=""),"Vencida sin observación"&amp;" · ",""),LEN(IF($C148="","Falta el nombre de la actividad"&amp;" · ","")&amp;IF(AND($V148="Sub",N($U148)=0),"Subactividad sin macroactividad arriba"&amp;" · ","")&amp;IF($AM148="","Sin fecha de inicio"&amp;" · ","")&amp;IF($AN148="","Sin fecha límite"&amp;" · ","")&amp;IF(AND(LEFT($C148,11)="[Jefatura] ",N($AL148)=0),"No se encuentra en la hoja de la jefatura (elíjala de nuevo en la lista)"&amp;" · ","")&amp;IF(OR(AND($E148&lt;&gt;"",NOT(ISNUMBER($E148))),AND($F148&lt;&gt;"",NOT(ISNUMBER($F148))),AND($G148&lt;&gt;"",NOT(ISNUMBER($G148)))),"Fecha no válida"&amp;" · ","")&amp;IF(AND(ISNUMBER($AM148),ISNUMBER($AN148),$AM148&gt;$AN148),"Inicio posterior a fecha límite"&amp;" · ","")&amp;IF(AND($V148="Macro",$H148&lt;&gt;"",OR(NOT(ISNUMBER($H148)),$H148&lt;0,$H148&gt;1)),"Peso fuera de rango"&amp;" · ","")&amp;IF(AND($V148="Sub",$H148&lt;&gt;""),"Las subactividades no llevan peso (valen igual dentro de su macroactividad)"&amp;" · ","")&amp;IF(AND(N($W148)&gt;0,COUNT($I148:$L148)&gt;0),"Con subactividades: deje vacías las semanas (se calculan solas)"&amp;" · ","")&amp;IF((COUNTIF($I148:$L148,"&gt;1")+COUNTIF($I148:$L148,"&lt;0")+COUNTA($I148:$L148)-COUNT($I148:$L148))&gt;0,"Avance fuera de rango 0-100%"&amp;" · ","")&amp;IF(OR(AND($J148&lt;&gt;"",$J148&lt;$I148),AND($K148&lt;&gt;"",$K148&lt;MAX($I148:$J148)),AND($L148&lt;&gt;"",$L148&lt;MAX($I148:$K148))),"Avance semanal decreciente"&amp;" · ","")&amp;IF(AND(ISNUMBER($AN148),$AN148&lt;FechaRef,IF($V148="Sub",N($X148),N($M148))&lt;1),"Vencida"&amp;" · ","")&amp;IF(AND(ObsObligatoria="Sí",ISNUMBER($AN148),$AN148&lt;FechaRef,IF($V148="Sub",N($X148),N($M148))&lt;1,$Q148=""),"Vencida sin observación"&amp;" · ",""))-3)))</f>
        <v/>
      </c>
      <c r="S148" s="64">
        <f>IF(NOT((COUNTA($B148:$D148)+COUNTA($G148:$L148)+COUNTA($Q148))&gt;0),"",IF(AND($V148="Sub",N($U148)&gt;0),IF(ISNUMBER(INDEX($AM$5:$AM$1000,$U148-4)),DATE(YEAR(INDEX($AM$5:$AM$1000,$U148-4)),MONTH(INDEX($AM$5:$AM$1000,$U148-4)),1),IF(ISNUMBER(INDEX($AN$5:$AN$1000,$U148-4)),DATE(YEAR(INDEX($AN$5:$AN$1000,$U148-4)),MONTH(INDEX($AN$5:$AN$1000,$U148-4)),1),MesCiclo)),IF(ISNUMBER($AM148),DATE(YEAR($AM148),MONTH($AM148),1),IF(ISNUMBER($AN148),DATE(YEAR($AN148),MONTH($AN148),1),MesCiclo))))</f>
        <v/>
      </c>
      <c r="T148" s="62">
        <f>IF(OR($S148="",$S148&lt;&gt;MesCiclo,$V148&lt;&gt;"Macro"),"",COUNTIFS($S$5:$S148,MesCiclo,$V$5:$V148,"Macro"))</f>
        <v/>
      </c>
      <c r="U148" s="62">
        <f>IF($V148="","",IF($V148="Macro",ROW(),IFERROR(LOOKUP(2,1/($V$5:$V148="Macro"),ROW($V$5:$V148)),0)))</f>
        <v/>
      </c>
      <c r="V148" s="62">
        <f>IF(NOT((COUNTA($B148:$D148)+COUNTA($G148:$L148)+COUNTA($Q148))&gt;0),"",IF($B148="Subactividad","Sub","Macro"))</f>
        <v/>
      </c>
      <c r="W148" s="62">
        <f>IF($V148="Macro",COUNTIFS($U$5:$U$1000,ROW(),$V$5:$V$1000,"Sub"),"")</f>
        <v/>
      </c>
      <c r="X148" s="62">
        <f>IF($V148="","",IF(ISNUMBER($G148),1,IFERROR(LOOKUP(2,1/($I148:$L148&lt;&gt;""),$I148:$L148),0)))</f>
        <v/>
      </c>
      <c r="Y148" s="62">
        <f>IF($V148="","",IF(AND(ISNUMBER($G148),$G148&lt;=IF($S148=MesCiclo,InicioCiclo,$S148+MOD(2-WEEKDAY($S148),7))+6),1,IF(ISNUMBER($I148),$I148,0)))</f>
        <v/>
      </c>
      <c r="Z148" s="62">
        <f>IF($V148="","",IF(AND(ISNUMBER($G148),$G148&lt;=IF($S148=MesCiclo,InicioCiclo,$S148+MOD(2-WEEKDAY($S148),7))+13),1,IF(ISNUMBER($J148),$J148,$Y148)))</f>
        <v/>
      </c>
      <c r="AA148" s="62">
        <f>IF($V148="","",IF(AND(ISNUMBER($G148),$G148&lt;=IF($S148=MesCiclo,InicioCiclo,$S148+MOD(2-WEEKDAY($S148),7))+20),1,IF(ISNUMBER($K148),$K148,$Z148)))</f>
        <v/>
      </c>
      <c r="AB148" s="62">
        <f>IF($V148="","",IF(AND(ISNUMBER($G148),$G148&lt;=IF($S148=MesCiclo,InicioCiclo,$S148+MOD(2-WEEKDAY($S148),7))+27),1,IF(ISNUMBER($L148),$L148,$AA148)))</f>
        <v/>
      </c>
      <c r="AC148" s="62">
        <f>IF($V148="","",IF(AND(ISNUMBER($G148),$G148&lt;=IF($S148=MesCiclo,InicioCiclo,$S148+MOD(2-WEEKDAY($S148),7))+6),1,IF(N($W148)&gt;0,AVERAGEIFS($Y$5:$Y$1000,$U$5:$U$1000,ROW(),$V$5:$V$1000,"Sub"),$Y148)))</f>
        <v/>
      </c>
      <c r="AD148" s="62">
        <f>IF($V148="","",IF(AND(ISNUMBER($G148),$G148&lt;=IF($S148=MesCiclo,InicioCiclo,$S148+MOD(2-WEEKDAY($S148),7))+13),1,IF(N($W148)&gt;0,AVERAGEIFS($Z$5:$Z$1000,$U$5:$U$1000,ROW(),$V$5:$V$1000,"Sub"),$Z148)))</f>
        <v/>
      </c>
      <c r="AE148" s="62">
        <f>IF($V148="","",IF(AND(ISNUMBER($G148),$G148&lt;=IF($S148=MesCiclo,InicioCiclo,$S148+MOD(2-WEEKDAY($S148),7))+20),1,IF(N($W148)&gt;0,AVERAGEIFS($AA$5:$AA$1000,$U$5:$U$1000,ROW(),$V$5:$V$1000,"Sub"),$AA148)))</f>
        <v/>
      </c>
      <c r="AF148" s="62">
        <f>IF($V148="","",IF(AND(ISNUMBER($G148),$G148&lt;=IF($S148=MesCiclo,InicioCiclo,$S148+MOD(2-WEEKDAY($S148),7))+27),1,IF(N($W148)&gt;0,AVERAGEIFS($AB$5:$AB$1000,$U$5:$U$1000,ROW(),$V$5:$V$1000,"Sub"),$AB148)))</f>
        <v/>
      </c>
      <c r="AG148" s="62">
        <f>IF($V148&lt;&gt;"Macro","",IF(COUNTIFS($S$5:$S$1000,$S148,$V$5:$V$1000,"Macro",$H$5:$H$1000,"&gt;0")=0,1/COUNTIFS($S$5:$S$1000,$S148,$V$5:$V$1000,"Macro"),IF(AND(ISNUMBER($H148),N($H148)&gt;0),$H148,SUMIFS($H$5:$H$1000,$S$5:$S$1000,$S148,$V$5:$V$1000,"Macro")/COUNTIFS($S$5:$S$1000,$S148,$V$5:$V$1000,"Macro",$H$5:$H$1000,"&gt;0"))/(COUNTIFS($S$5:$S$1000,$S148,$V$5:$V$1000,"Macro")*SUMIFS($H$5:$H$1000,$S$5:$S$1000,$S148,$V$5:$V$1000,"Macro")/COUNTIFS($S$5:$S$1000,$S148,$V$5:$V$1000,"Macro",$H$5:$H$1000,"&gt;0"))))</f>
        <v/>
      </c>
      <c r="AH148" s="62" t="n"/>
      <c r="AI148" s="62" t="n"/>
      <c r="AJ148" s="62" t="n"/>
      <c r="AK148" s="62" t="n"/>
      <c r="AL148" s="62">
        <f>IF(LEFT($C148,11)="[Jefatura] ",IFERROR(MATCH("Asistente Técnico de Riesgo|"&amp;MID($C148,12,500),rDname_ADM,0),0),"")</f>
        <v/>
      </c>
      <c r="AM148" s="62">
        <f>IF(N($AL148)&gt;0,INDEX(rIni_ADM,$AL148),IF(ISNUMBER($E148),$E148,""))</f>
        <v/>
      </c>
      <c r="AN148" s="62">
        <f>IF(N($AL148)&gt;0,INDEX(rLim_ADM,$AL148),IF(ISNUMBER($F148),$F148,""))</f>
        <v/>
      </c>
    </row>
    <row r="149">
      <c r="A149" s="56">
        <f>IF(NOT((COUNTA($B149:$D149)+COUNTA($G149:$L149)+COUNTA($Q149))&gt;0),"",IF($V149="Macro",COUNTIFS($V$5:$V149,"Macro",$S$5:$S149,$S149),IF(N($U149)=0,"?",COUNTIFS(INDEX($V$5:$V$1000,1):INDEX($V$5:$V$1000,$U149-4),"Macro",INDEX($S$5:$S$1000,1):INDEX($S$5:$S$1000,$U149-4),INDEX($S$5:$S$1000,$U149-4))&amp;"."&amp;COUNTIFS($U$5:$U149,$U149,$V$5:$V149,"Sub"))))</f>
        <v/>
      </c>
      <c r="B149" s="57" t="n"/>
      <c r="C149" s="58" t="n"/>
      <c r="D149" s="58" t="n"/>
      <c r="E149" s="59">
        <f>IF(N($AL149)&gt;0,INDEX(rIni_ADM,$AL149),"")</f>
        <v/>
      </c>
      <c r="F149" s="59">
        <f>IF(N($AL149)&gt;0,INDEX(rLim_ADM,$AL149),"")</f>
        <v/>
      </c>
      <c r="G149" s="59" t="n"/>
      <c r="H149" s="60" t="n"/>
      <c r="I149" s="60" t="n"/>
      <c r="J149" s="60" t="n"/>
      <c r="K149" s="60" t="n"/>
      <c r="L149" s="60" t="n"/>
      <c r="M149" s="61">
        <f>IF(NOT((COUNTA($B149:$D149)+COUNTA($G149:$L149)+COUNTA($Q149))&gt;0),"",IF($V149="Sub",IFERROR($X149/INDEX($W$5:$W$1000,$U149-4),""),IF(ISNUMBER($G149),1,IF(N($W149)&gt;0,AVERAGEIFS($X$5:$X$1000,$U$5:$U$1000,ROW(),$V$5:$V$1000,"Sub"),$X149))))</f>
        <v/>
      </c>
      <c r="N149" s="56">
        <f>IF(OR($M149="",$V149="Sub"),"",IF($M149&gt;=1,"Completado",IF($M149&gt;0,"En curso","Pendiente")))</f>
        <v/>
      </c>
      <c r="O149" s="56">
        <f>IF(OR(NOT((COUNTA($B149:$D149)+COUNTA($G149:$L149)+COUNTA($Q149))&gt;0),$V149="Sub"),"",IF(ISNUMBER($G149),IF(AND(ISNUMBER($AN149),$G149&gt;$AN149),"Cumplida con "&amp;($G149-$AN149)&amp;IF($G149-$AN149=1," día"," días")&amp;" de retraso","Cumplida"),IF(N($M149)&gt;=1,"Cumplida",IF(NOT(ISNUMBER($AN149)),"Sin fecha límite",IF($AN149&lt;FechaRef,"Vencida hace "&amp;(FechaRef-$AN149)&amp;IF(FechaRef-$AN149=1," día"," días"),IF($AN149=FechaRef,"Vence hoy",IF($AN149-FechaRef&lt;=DiasAlerta,"Vence en "&amp;($AN149-FechaRef)&amp;IF($AN149-FechaRef=1," día"," días"),"En plazo")))))))</f>
        <v/>
      </c>
      <c r="P149" s="62" t="n"/>
      <c r="Q149" s="58" t="n"/>
      <c r="R149" s="63">
        <f>IF(NOT((COUNTA($B149:$D149)+COUNTA($G149:$L149)+COUNTA($Q149))&gt;0),"",IF((IF($C149="","Falta el nombre de la actividad"&amp;" · ","")&amp;IF(AND($V149="Sub",N($U149)=0),"Subactividad sin macroactividad arriba"&amp;" · ","")&amp;IF($AM149="","Sin fecha de inicio"&amp;" · ","")&amp;IF($AN149="","Sin fecha límite"&amp;" · ","")&amp;IF(AND(LEFT($C149,11)="[Jefatura] ",N($AL149)=0),"No se encuentra en la hoja de la jefatura (elíjala de nuevo en la lista)"&amp;" · ","")&amp;IF(OR(AND($E149&lt;&gt;"",NOT(ISNUMBER($E149))),AND($F149&lt;&gt;"",NOT(ISNUMBER($F149))),AND($G149&lt;&gt;"",NOT(ISNUMBER($G149)))),"Fecha no válida"&amp;" · ","")&amp;IF(AND(ISNUMBER($AM149),ISNUMBER($AN149),$AM149&gt;$AN149),"Inicio posterior a fecha límite"&amp;" · ","")&amp;IF(AND($V149="Macro",$H149&lt;&gt;"",OR(NOT(ISNUMBER($H149)),$H149&lt;0,$H149&gt;1)),"Peso fuera de rango"&amp;" · ","")&amp;IF(AND($V149="Sub",$H149&lt;&gt;""),"Las subactividades no llevan peso (valen igual dentro de su macroactividad)"&amp;" · ","")&amp;IF(AND(N($W149)&gt;0,COUNT($I149:$L149)&gt;0),"Con subactividades: deje vacías las semanas (se calculan solas)"&amp;" · ","")&amp;IF((COUNTIF($I149:$L149,"&gt;1")+COUNTIF($I149:$L149,"&lt;0")+COUNTA($I149:$L149)-COUNT($I149:$L149))&gt;0,"Avance fuera de rango 0-100%"&amp;" · ","")&amp;IF(OR(AND($J149&lt;&gt;"",$J149&lt;$I149),AND($K149&lt;&gt;"",$K149&lt;MAX($I149:$J149)),AND($L149&lt;&gt;"",$L149&lt;MAX($I149:$K149))),"Avance semanal decreciente"&amp;" · ","")&amp;IF(AND(ISNUMBER($AN149),$AN149&lt;FechaRef,IF($V149="Sub",N($X149),N($M149))&lt;1),"Vencida"&amp;" · ","")&amp;IF(AND(ObsObligatoria="Sí",ISNUMBER($AN149),$AN149&lt;FechaRef,IF($V149="Sub",N($X149),N($M149))&lt;1,$Q149=""),"Vencida sin observación"&amp;" · ",""))="","✔ OK","⚠ "&amp;LEFT(IF($C149="","Falta el nombre de la actividad"&amp;" · ","")&amp;IF(AND($V149="Sub",N($U149)=0),"Subactividad sin macroactividad arriba"&amp;" · ","")&amp;IF($AM149="","Sin fecha de inicio"&amp;" · ","")&amp;IF($AN149="","Sin fecha límite"&amp;" · ","")&amp;IF(AND(LEFT($C149,11)="[Jefatura] ",N($AL149)=0),"No se encuentra en la hoja de la jefatura (elíjala de nuevo en la lista)"&amp;" · ","")&amp;IF(OR(AND($E149&lt;&gt;"",NOT(ISNUMBER($E149))),AND($F149&lt;&gt;"",NOT(ISNUMBER($F149))),AND($G149&lt;&gt;"",NOT(ISNUMBER($G149)))),"Fecha no válida"&amp;" · ","")&amp;IF(AND(ISNUMBER($AM149),ISNUMBER($AN149),$AM149&gt;$AN149),"Inicio posterior a fecha límite"&amp;" · ","")&amp;IF(AND($V149="Macro",$H149&lt;&gt;"",OR(NOT(ISNUMBER($H149)),$H149&lt;0,$H149&gt;1)),"Peso fuera de rango"&amp;" · ","")&amp;IF(AND($V149="Sub",$H149&lt;&gt;""),"Las subactividades no llevan peso (valen igual dentro de su macroactividad)"&amp;" · ","")&amp;IF(AND(N($W149)&gt;0,COUNT($I149:$L149)&gt;0),"Con subactividades: deje vacías las semanas (se calculan solas)"&amp;" · ","")&amp;IF((COUNTIF($I149:$L149,"&gt;1")+COUNTIF($I149:$L149,"&lt;0")+COUNTA($I149:$L149)-COUNT($I149:$L149))&gt;0,"Avance fuera de rango 0-100%"&amp;" · ","")&amp;IF(OR(AND($J149&lt;&gt;"",$J149&lt;$I149),AND($K149&lt;&gt;"",$K149&lt;MAX($I149:$J149)),AND($L149&lt;&gt;"",$L149&lt;MAX($I149:$K149))),"Avance semanal decreciente"&amp;" · ","")&amp;IF(AND(ISNUMBER($AN149),$AN149&lt;FechaRef,IF($V149="Sub",N($X149),N($M149))&lt;1),"Vencida"&amp;" · ","")&amp;IF(AND(ObsObligatoria="Sí",ISNUMBER($AN149),$AN149&lt;FechaRef,IF($V149="Sub",N($X149),N($M149))&lt;1,$Q149=""),"Vencida sin observación"&amp;" · ",""),LEN(IF($C149="","Falta el nombre de la actividad"&amp;" · ","")&amp;IF(AND($V149="Sub",N($U149)=0),"Subactividad sin macroactividad arriba"&amp;" · ","")&amp;IF($AM149="","Sin fecha de inicio"&amp;" · ","")&amp;IF($AN149="","Sin fecha límite"&amp;" · ","")&amp;IF(AND(LEFT($C149,11)="[Jefatura] ",N($AL149)=0),"No se encuentra en la hoja de la jefatura (elíjala de nuevo en la lista)"&amp;" · ","")&amp;IF(OR(AND($E149&lt;&gt;"",NOT(ISNUMBER($E149))),AND($F149&lt;&gt;"",NOT(ISNUMBER($F149))),AND($G149&lt;&gt;"",NOT(ISNUMBER($G149)))),"Fecha no válida"&amp;" · ","")&amp;IF(AND(ISNUMBER($AM149),ISNUMBER($AN149),$AM149&gt;$AN149),"Inicio posterior a fecha límite"&amp;" · ","")&amp;IF(AND($V149="Macro",$H149&lt;&gt;"",OR(NOT(ISNUMBER($H149)),$H149&lt;0,$H149&gt;1)),"Peso fuera de rango"&amp;" · ","")&amp;IF(AND($V149="Sub",$H149&lt;&gt;""),"Las subactividades no llevan peso (valen igual dentro de su macroactividad)"&amp;" · ","")&amp;IF(AND(N($W149)&gt;0,COUNT($I149:$L149)&gt;0),"Con subactividades: deje vacías las semanas (se calculan solas)"&amp;" · ","")&amp;IF((COUNTIF($I149:$L149,"&gt;1")+COUNTIF($I149:$L149,"&lt;0")+COUNTA($I149:$L149)-COUNT($I149:$L149))&gt;0,"Avance fuera de rango 0-100%"&amp;" · ","")&amp;IF(OR(AND($J149&lt;&gt;"",$J149&lt;$I149),AND($K149&lt;&gt;"",$K149&lt;MAX($I149:$J149)),AND($L149&lt;&gt;"",$L149&lt;MAX($I149:$K149))),"Avance semanal decreciente"&amp;" · ","")&amp;IF(AND(ISNUMBER($AN149),$AN149&lt;FechaRef,IF($V149="Sub",N($X149),N($M149))&lt;1),"Vencida"&amp;" · ","")&amp;IF(AND(ObsObligatoria="Sí",ISNUMBER($AN149),$AN149&lt;FechaRef,IF($V149="Sub",N($X149),N($M149))&lt;1,$Q149=""),"Vencida sin observación"&amp;" · ",""))-3)))</f>
        <v/>
      </c>
      <c r="S149" s="64">
        <f>IF(NOT((COUNTA($B149:$D149)+COUNTA($G149:$L149)+COUNTA($Q149))&gt;0),"",IF(AND($V149="Sub",N($U149)&gt;0),IF(ISNUMBER(INDEX($AM$5:$AM$1000,$U149-4)),DATE(YEAR(INDEX($AM$5:$AM$1000,$U149-4)),MONTH(INDEX($AM$5:$AM$1000,$U149-4)),1),IF(ISNUMBER(INDEX($AN$5:$AN$1000,$U149-4)),DATE(YEAR(INDEX($AN$5:$AN$1000,$U149-4)),MONTH(INDEX($AN$5:$AN$1000,$U149-4)),1),MesCiclo)),IF(ISNUMBER($AM149),DATE(YEAR($AM149),MONTH($AM149),1),IF(ISNUMBER($AN149),DATE(YEAR($AN149),MONTH($AN149),1),MesCiclo))))</f>
        <v/>
      </c>
      <c r="T149" s="62">
        <f>IF(OR($S149="",$S149&lt;&gt;MesCiclo,$V149&lt;&gt;"Macro"),"",COUNTIFS($S$5:$S149,MesCiclo,$V$5:$V149,"Macro"))</f>
        <v/>
      </c>
      <c r="U149" s="62">
        <f>IF($V149="","",IF($V149="Macro",ROW(),IFERROR(LOOKUP(2,1/($V$5:$V149="Macro"),ROW($V$5:$V149)),0)))</f>
        <v/>
      </c>
      <c r="V149" s="62">
        <f>IF(NOT((COUNTA($B149:$D149)+COUNTA($G149:$L149)+COUNTA($Q149))&gt;0),"",IF($B149="Subactividad","Sub","Macro"))</f>
        <v/>
      </c>
      <c r="W149" s="62">
        <f>IF($V149="Macro",COUNTIFS($U$5:$U$1000,ROW(),$V$5:$V$1000,"Sub"),"")</f>
        <v/>
      </c>
      <c r="X149" s="62">
        <f>IF($V149="","",IF(ISNUMBER($G149),1,IFERROR(LOOKUP(2,1/($I149:$L149&lt;&gt;""),$I149:$L149),0)))</f>
        <v/>
      </c>
      <c r="Y149" s="62">
        <f>IF($V149="","",IF(AND(ISNUMBER($G149),$G149&lt;=IF($S149=MesCiclo,InicioCiclo,$S149+MOD(2-WEEKDAY($S149),7))+6),1,IF(ISNUMBER($I149),$I149,0)))</f>
        <v/>
      </c>
      <c r="Z149" s="62">
        <f>IF($V149="","",IF(AND(ISNUMBER($G149),$G149&lt;=IF($S149=MesCiclo,InicioCiclo,$S149+MOD(2-WEEKDAY($S149),7))+13),1,IF(ISNUMBER($J149),$J149,$Y149)))</f>
        <v/>
      </c>
      <c r="AA149" s="62">
        <f>IF($V149="","",IF(AND(ISNUMBER($G149),$G149&lt;=IF($S149=MesCiclo,InicioCiclo,$S149+MOD(2-WEEKDAY($S149),7))+20),1,IF(ISNUMBER($K149),$K149,$Z149)))</f>
        <v/>
      </c>
      <c r="AB149" s="62">
        <f>IF($V149="","",IF(AND(ISNUMBER($G149),$G149&lt;=IF($S149=MesCiclo,InicioCiclo,$S149+MOD(2-WEEKDAY($S149),7))+27),1,IF(ISNUMBER($L149),$L149,$AA149)))</f>
        <v/>
      </c>
      <c r="AC149" s="62">
        <f>IF($V149="","",IF(AND(ISNUMBER($G149),$G149&lt;=IF($S149=MesCiclo,InicioCiclo,$S149+MOD(2-WEEKDAY($S149),7))+6),1,IF(N($W149)&gt;0,AVERAGEIFS($Y$5:$Y$1000,$U$5:$U$1000,ROW(),$V$5:$V$1000,"Sub"),$Y149)))</f>
        <v/>
      </c>
      <c r="AD149" s="62">
        <f>IF($V149="","",IF(AND(ISNUMBER($G149),$G149&lt;=IF($S149=MesCiclo,InicioCiclo,$S149+MOD(2-WEEKDAY($S149),7))+13),1,IF(N($W149)&gt;0,AVERAGEIFS($Z$5:$Z$1000,$U$5:$U$1000,ROW(),$V$5:$V$1000,"Sub"),$Z149)))</f>
        <v/>
      </c>
      <c r="AE149" s="62">
        <f>IF($V149="","",IF(AND(ISNUMBER($G149),$G149&lt;=IF($S149=MesCiclo,InicioCiclo,$S149+MOD(2-WEEKDAY($S149),7))+20),1,IF(N($W149)&gt;0,AVERAGEIFS($AA$5:$AA$1000,$U$5:$U$1000,ROW(),$V$5:$V$1000,"Sub"),$AA149)))</f>
        <v/>
      </c>
      <c r="AF149" s="62">
        <f>IF($V149="","",IF(AND(ISNUMBER($G149),$G149&lt;=IF($S149=MesCiclo,InicioCiclo,$S149+MOD(2-WEEKDAY($S149),7))+27),1,IF(N($W149)&gt;0,AVERAGEIFS($AB$5:$AB$1000,$U$5:$U$1000,ROW(),$V$5:$V$1000,"Sub"),$AB149)))</f>
        <v/>
      </c>
      <c r="AG149" s="62">
        <f>IF($V149&lt;&gt;"Macro","",IF(COUNTIFS($S$5:$S$1000,$S149,$V$5:$V$1000,"Macro",$H$5:$H$1000,"&gt;0")=0,1/COUNTIFS($S$5:$S$1000,$S149,$V$5:$V$1000,"Macro"),IF(AND(ISNUMBER($H149),N($H149)&gt;0),$H149,SUMIFS($H$5:$H$1000,$S$5:$S$1000,$S149,$V$5:$V$1000,"Macro")/COUNTIFS($S$5:$S$1000,$S149,$V$5:$V$1000,"Macro",$H$5:$H$1000,"&gt;0"))/(COUNTIFS($S$5:$S$1000,$S149,$V$5:$V$1000,"Macro")*SUMIFS($H$5:$H$1000,$S$5:$S$1000,$S149,$V$5:$V$1000,"Macro")/COUNTIFS($S$5:$S$1000,$S149,$V$5:$V$1000,"Macro",$H$5:$H$1000,"&gt;0"))))</f>
        <v/>
      </c>
      <c r="AH149" s="62" t="n"/>
      <c r="AI149" s="62" t="n"/>
      <c r="AJ149" s="62" t="n"/>
      <c r="AK149" s="62" t="n"/>
      <c r="AL149" s="62">
        <f>IF(LEFT($C149,11)="[Jefatura] ",IFERROR(MATCH("Asistente Técnico de Riesgo|"&amp;MID($C149,12,500),rDname_ADM,0),0),"")</f>
        <v/>
      </c>
      <c r="AM149" s="62">
        <f>IF(N($AL149)&gt;0,INDEX(rIni_ADM,$AL149),IF(ISNUMBER($E149),$E149,""))</f>
        <v/>
      </c>
      <c r="AN149" s="62">
        <f>IF(N($AL149)&gt;0,INDEX(rLim_ADM,$AL149),IF(ISNUMBER($F149),$F149,""))</f>
        <v/>
      </c>
    </row>
    <row r="150">
      <c r="A150" s="56">
        <f>IF(NOT((COUNTA($B150:$D150)+COUNTA($G150:$L150)+COUNTA($Q150))&gt;0),"",IF($V150="Macro",COUNTIFS($V$5:$V150,"Macro",$S$5:$S150,$S150),IF(N($U150)=0,"?",COUNTIFS(INDEX($V$5:$V$1000,1):INDEX($V$5:$V$1000,$U150-4),"Macro",INDEX($S$5:$S$1000,1):INDEX($S$5:$S$1000,$U150-4),INDEX($S$5:$S$1000,$U150-4))&amp;"."&amp;COUNTIFS($U$5:$U150,$U150,$V$5:$V150,"Sub"))))</f>
        <v/>
      </c>
      <c r="B150" s="57" t="n"/>
      <c r="C150" s="58" t="n"/>
      <c r="D150" s="58" t="n"/>
      <c r="E150" s="59">
        <f>IF(N($AL150)&gt;0,INDEX(rIni_ADM,$AL150),"")</f>
        <v/>
      </c>
      <c r="F150" s="59">
        <f>IF(N($AL150)&gt;0,INDEX(rLim_ADM,$AL150),"")</f>
        <v/>
      </c>
      <c r="G150" s="59" t="n"/>
      <c r="H150" s="60" t="n"/>
      <c r="I150" s="60" t="n"/>
      <c r="J150" s="60" t="n"/>
      <c r="K150" s="60" t="n"/>
      <c r="L150" s="60" t="n"/>
      <c r="M150" s="61">
        <f>IF(NOT((COUNTA($B150:$D150)+COUNTA($G150:$L150)+COUNTA($Q150))&gt;0),"",IF($V150="Sub",IFERROR($X150/INDEX($W$5:$W$1000,$U150-4),""),IF(ISNUMBER($G150),1,IF(N($W150)&gt;0,AVERAGEIFS($X$5:$X$1000,$U$5:$U$1000,ROW(),$V$5:$V$1000,"Sub"),$X150))))</f>
        <v/>
      </c>
      <c r="N150" s="56">
        <f>IF(OR($M150="",$V150="Sub"),"",IF($M150&gt;=1,"Completado",IF($M150&gt;0,"En curso","Pendiente")))</f>
        <v/>
      </c>
      <c r="O150" s="56">
        <f>IF(OR(NOT((COUNTA($B150:$D150)+COUNTA($G150:$L150)+COUNTA($Q150))&gt;0),$V150="Sub"),"",IF(ISNUMBER($G150),IF(AND(ISNUMBER($AN150),$G150&gt;$AN150),"Cumplida con "&amp;($G150-$AN150)&amp;IF($G150-$AN150=1," día"," días")&amp;" de retraso","Cumplida"),IF(N($M150)&gt;=1,"Cumplida",IF(NOT(ISNUMBER($AN150)),"Sin fecha límite",IF($AN150&lt;FechaRef,"Vencida hace "&amp;(FechaRef-$AN150)&amp;IF(FechaRef-$AN150=1," día"," días"),IF($AN150=FechaRef,"Vence hoy",IF($AN150-FechaRef&lt;=DiasAlerta,"Vence en "&amp;($AN150-FechaRef)&amp;IF($AN150-FechaRef=1," día"," días"),"En plazo")))))))</f>
        <v/>
      </c>
      <c r="P150" s="62" t="n"/>
      <c r="Q150" s="58" t="n"/>
      <c r="R150" s="63">
        <f>IF(NOT((COUNTA($B150:$D150)+COUNTA($G150:$L150)+COUNTA($Q150))&gt;0),"",IF((IF($C150="","Falta el nombre de la actividad"&amp;" · ","")&amp;IF(AND($V150="Sub",N($U150)=0),"Subactividad sin macroactividad arriba"&amp;" · ","")&amp;IF($AM150="","Sin fecha de inicio"&amp;" · ","")&amp;IF($AN150="","Sin fecha límite"&amp;" · ","")&amp;IF(AND(LEFT($C150,11)="[Jefatura] ",N($AL150)=0),"No se encuentra en la hoja de la jefatura (elíjala de nuevo en la lista)"&amp;" · ","")&amp;IF(OR(AND($E150&lt;&gt;"",NOT(ISNUMBER($E150))),AND($F150&lt;&gt;"",NOT(ISNUMBER($F150))),AND($G150&lt;&gt;"",NOT(ISNUMBER($G150)))),"Fecha no válida"&amp;" · ","")&amp;IF(AND(ISNUMBER($AM150),ISNUMBER($AN150),$AM150&gt;$AN150),"Inicio posterior a fecha límite"&amp;" · ","")&amp;IF(AND($V150="Macro",$H150&lt;&gt;"",OR(NOT(ISNUMBER($H150)),$H150&lt;0,$H150&gt;1)),"Peso fuera de rango"&amp;" · ","")&amp;IF(AND($V150="Sub",$H150&lt;&gt;""),"Las subactividades no llevan peso (valen igual dentro de su macroactividad)"&amp;" · ","")&amp;IF(AND(N($W150)&gt;0,COUNT($I150:$L150)&gt;0),"Con subactividades: deje vacías las semanas (se calculan solas)"&amp;" · ","")&amp;IF((COUNTIF($I150:$L150,"&gt;1")+COUNTIF($I150:$L150,"&lt;0")+COUNTA($I150:$L150)-COUNT($I150:$L150))&gt;0,"Avance fuera de rango 0-100%"&amp;" · ","")&amp;IF(OR(AND($J150&lt;&gt;"",$J150&lt;$I150),AND($K150&lt;&gt;"",$K150&lt;MAX($I150:$J150)),AND($L150&lt;&gt;"",$L150&lt;MAX($I150:$K150))),"Avance semanal decreciente"&amp;" · ","")&amp;IF(AND(ISNUMBER($AN150),$AN150&lt;FechaRef,IF($V150="Sub",N($X150),N($M150))&lt;1),"Vencida"&amp;" · ","")&amp;IF(AND(ObsObligatoria="Sí",ISNUMBER($AN150),$AN150&lt;FechaRef,IF($V150="Sub",N($X150),N($M150))&lt;1,$Q150=""),"Vencida sin observación"&amp;" · ",""))="","✔ OK","⚠ "&amp;LEFT(IF($C150="","Falta el nombre de la actividad"&amp;" · ","")&amp;IF(AND($V150="Sub",N($U150)=0),"Subactividad sin macroactividad arriba"&amp;" · ","")&amp;IF($AM150="","Sin fecha de inicio"&amp;" · ","")&amp;IF($AN150="","Sin fecha límite"&amp;" · ","")&amp;IF(AND(LEFT($C150,11)="[Jefatura] ",N($AL150)=0),"No se encuentra en la hoja de la jefatura (elíjala de nuevo en la lista)"&amp;" · ","")&amp;IF(OR(AND($E150&lt;&gt;"",NOT(ISNUMBER($E150))),AND($F150&lt;&gt;"",NOT(ISNUMBER($F150))),AND($G150&lt;&gt;"",NOT(ISNUMBER($G150)))),"Fecha no válida"&amp;" · ","")&amp;IF(AND(ISNUMBER($AM150),ISNUMBER($AN150),$AM150&gt;$AN150),"Inicio posterior a fecha límite"&amp;" · ","")&amp;IF(AND($V150="Macro",$H150&lt;&gt;"",OR(NOT(ISNUMBER($H150)),$H150&lt;0,$H150&gt;1)),"Peso fuera de rango"&amp;" · ","")&amp;IF(AND($V150="Sub",$H150&lt;&gt;""),"Las subactividades no llevan peso (valen igual dentro de su macroactividad)"&amp;" · ","")&amp;IF(AND(N($W150)&gt;0,COUNT($I150:$L150)&gt;0),"Con subactividades: deje vacías las semanas (se calculan solas)"&amp;" · ","")&amp;IF((COUNTIF($I150:$L150,"&gt;1")+COUNTIF($I150:$L150,"&lt;0")+COUNTA($I150:$L150)-COUNT($I150:$L150))&gt;0,"Avance fuera de rango 0-100%"&amp;" · ","")&amp;IF(OR(AND($J150&lt;&gt;"",$J150&lt;$I150),AND($K150&lt;&gt;"",$K150&lt;MAX($I150:$J150)),AND($L150&lt;&gt;"",$L150&lt;MAX($I150:$K150))),"Avance semanal decreciente"&amp;" · ","")&amp;IF(AND(ISNUMBER($AN150),$AN150&lt;FechaRef,IF($V150="Sub",N($X150),N($M150))&lt;1),"Vencida"&amp;" · ","")&amp;IF(AND(ObsObligatoria="Sí",ISNUMBER($AN150),$AN150&lt;FechaRef,IF($V150="Sub",N($X150),N($M150))&lt;1,$Q150=""),"Vencida sin observación"&amp;" · ",""),LEN(IF($C150="","Falta el nombre de la actividad"&amp;" · ","")&amp;IF(AND($V150="Sub",N($U150)=0),"Subactividad sin macroactividad arriba"&amp;" · ","")&amp;IF($AM150="","Sin fecha de inicio"&amp;" · ","")&amp;IF($AN150="","Sin fecha límite"&amp;" · ","")&amp;IF(AND(LEFT($C150,11)="[Jefatura] ",N($AL150)=0),"No se encuentra en la hoja de la jefatura (elíjala de nuevo en la lista)"&amp;" · ","")&amp;IF(OR(AND($E150&lt;&gt;"",NOT(ISNUMBER($E150))),AND($F150&lt;&gt;"",NOT(ISNUMBER($F150))),AND($G150&lt;&gt;"",NOT(ISNUMBER($G150)))),"Fecha no válida"&amp;" · ","")&amp;IF(AND(ISNUMBER($AM150),ISNUMBER($AN150),$AM150&gt;$AN150),"Inicio posterior a fecha límite"&amp;" · ","")&amp;IF(AND($V150="Macro",$H150&lt;&gt;"",OR(NOT(ISNUMBER($H150)),$H150&lt;0,$H150&gt;1)),"Peso fuera de rango"&amp;" · ","")&amp;IF(AND($V150="Sub",$H150&lt;&gt;""),"Las subactividades no llevan peso (valen igual dentro de su macroactividad)"&amp;" · ","")&amp;IF(AND(N($W150)&gt;0,COUNT($I150:$L150)&gt;0),"Con subactividades: deje vacías las semanas (se calculan solas)"&amp;" · ","")&amp;IF((COUNTIF($I150:$L150,"&gt;1")+COUNTIF($I150:$L150,"&lt;0")+COUNTA($I150:$L150)-COUNT($I150:$L150))&gt;0,"Avance fuera de rango 0-100%"&amp;" · ","")&amp;IF(OR(AND($J150&lt;&gt;"",$J150&lt;$I150),AND($K150&lt;&gt;"",$K150&lt;MAX($I150:$J150)),AND($L150&lt;&gt;"",$L150&lt;MAX($I150:$K150))),"Avance semanal decreciente"&amp;" · ","")&amp;IF(AND(ISNUMBER($AN150),$AN150&lt;FechaRef,IF($V150="Sub",N($X150),N($M150))&lt;1),"Vencida"&amp;" · ","")&amp;IF(AND(ObsObligatoria="Sí",ISNUMBER($AN150),$AN150&lt;FechaRef,IF($V150="Sub",N($X150),N($M150))&lt;1,$Q150=""),"Vencida sin observación"&amp;" · ",""))-3)))</f>
        <v/>
      </c>
      <c r="S150" s="64">
        <f>IF(NOT((COUNTA($B150:$D150)+COUNTA($G150:$L150)+COUNTA($Q150))&gt;0),"",IF(AND($V150="Sub",N($U150)&gt;0),IF(ISNUMBER(INDEX($AM$5:$AM$1000,$U150-4)),DATE(YEAR(INDEX($AM$5:$AM$1000,$U150-4)),MONTH(INDEX($AM$5:$AM$1000,$U150-4)),1),IF(ISNUMBER(INDEX($AN$5:$AN$1000,$U150-4)),DATE(YEAR(INDEX($AN$5:$AN$1000,$U150-4)),MONTH(INDEX($AN$5:$AN$1000,$U150-4)),1),MesCiclo)),IF(ISNUMBER($AM150),DATE(YEAR($AM150),MONTH($AM150),1),IF(ISNUMBER($AN150),DATE(YEAR($AN150),MONTH($AN150),1),MesCiclo))))</f>
        <v/>
      </c>
      <c r="T150" s="62">
        <f>IF(OR($S150="",$S150&lt;&gt;MesCiclo,$V150&lt;&gt;"Macro"),"",COUNTIFS($S$5:$S150,MesCiclo,$V$5:$V150,"Macro"))</f>
        <v/>
      </c>
      <c r="U150" s="62">
        <f>IF($V150="","",IF($V150="Macro",ROW(),IFERROR(LOOKUP(2,1/($V$5:$V150="Macro"),ROW($V$5:$V150)),0)))</f>
        <v/>
      </c>
      <c r="V150" s="62">
        <f>IF(NOT((COUNTA($B150:$D150)+COUNTA($G150:$L150)+COUNTA($Q150))&gt;0),"",IF($B150="Subactividad","Sub","Macro"))</f>
        <v/>
      </c>
      <c r="W150" s="62">
        <f>IF($V150="Macro",COUNTIFS($U$5:$U$1000,ROW(),$V$5:$V$1000,"Sub"),"")</f>
        <v/>
      </c>
      <c r="X150" s="62">
        <f>IF($V150="","",IF(ISNUMBER($G150),1,IFERROR(LOOKUP(2,1/($I150:$L150&lt;&gt;""),$I150:$L150),0)))</f>
        <v/>
      </c>
      <c r="Y150" s="62">
        <f>IF($V150="","",IF(AND(ISNUMBER($G150),$G150&lt;=IF($S150=MesCiclo,InicioCiclo,$S150+MOD(2-WEEKDAY($S150),7))+6),1,IF(ISNUMBER($I150),$I150,0)))</f>
        <v/>
      </c>
      <c r="Z150" s="62">
        <f>IF($V150="","",IF(AND(ISNUMBER($G150),$G150&lt;=IF($S150=MesCiclo,InicioCiclo,$S150+MOD(2-WEEKDAY($S150),7))+13),1,IF(ISNUMBER($J150),$J150,$Y150)))</f>
        <v/>
      </c>
      <c r="AA150" s="62">
        <f>IF($V150="","",IF(AND(ISNUMBER($G150),$G150&lt;=IF($S150=MesCiclo,InicioCiclo,$S150+MOD(2-WEEKDAY($S150),7))+20),1,IF(ISNUMBER($K150),$K150,$Z150)))</f>
        <v/>
      </c>
      <c r="AB150" s="62">
        <f>IF($V150="","",IF(AND(ISNUMBER($G150),$G150&lt;=IF($S150=MesCiclo,InicioCiclo,$S150+MOD(2-WEEKDAY($S150),7))+27),1,IF(ISNUMBER($L150),$L150,$AA150)))</f>
        <v/>
      </c>
      <c r="AC150" s="62">
        <f>IF($V150="","",IF(AND(ISNUMBER($G150),$G150&lt;=IF($S150=MesCiclo,InicioCiclo,$S150+MOD(2-WEEKDAY($S150),7))+6),1,IF(N($W150)&gt;0,AVERAGEIFS($Y$5:$Y$1000,$U$5:$U$1000,ROW(),$V$5:$V$1000,"Sub"),$Y150)))</f>
        <v/>
      </c>
      <c r="AD150" s="62">
        <f>IF($V150="","",IF(AND(ISNUMBER($G150),$G150&lt;=IF($S150=MesCiclo,InicioCiclo,$S150+MOD(2-WEEKDAY($S150),7))+13),1,IF(N($W150)&gt;0,AVERAGEIFS($Z$5:$Z$1000,$U$5:$U$1000,ROW(),$V$5:$V$1000,"Sub"),$Z150)))</f>
        <v/>
      </c>
      <c r="AE150" s="62">
        <f>IF($V150="","",IF(AND(ISNUMBER($G150),$G150&lt;=IF($S150=MesCiclo,InicioCiclo,$S150+MOD(2-WEEKDAY($S150),7))+20),1,IF(N($W150)&gt;0,AVERAGEIFS($AA$5:$AA$1000,$U$5:$U$1000,ROW(),$V$5:$V$1000,"Sub"),$AA150)))</f>
        <v/>
      </c>
      <c r="AF150" s="62">
        <f>IF($V150="","",IF(AND(ISNUMBER($G150),$G150&lt;=IF($S150=MesCiclo,InicioCiclo,$S150+MOD(2-WEEKDAY($S150),7))+27),1,IF(N($W150)&gt;0,AVERAGEIFS($AB$5:$AB$1000,$U$5:$U$1000,ROW(),$V$5:$V$1000,"Sub"),$AB150)))</f>
        <v/>
      </c>
      <c r="AG150" s="62">
        <f>IF($V150&lt;&gt;"Macro","",IF(COUNTIFS($S$5:$S$1000,$S150,$V$5:$V$1000,"Macro",$H$5:$H$1000,"&gt;0")=0,1/COUNTIFS($S$5:$S$1000,$S150,$V$5:$V$1000,"Macro"),IF(AND(ISNUMBER($H150),N($H150)&gt;0),$H150,SUMIFS($H$5:$H$1000,$S$5:$S$1000,$S150,$V$5:$V$1000,"Macro")/COUNTIFS($S$5:$S$1000,$S150,$V$5:$V$1000,"Macro",$H$5:$H$1000,"&gt;0"))/(COUNTIFS($S$5:$S$1000,$S150,$V$5:$V$1000,"Macro")*SUMIFS($H$5:$H$1000,$S$5:$S$1000,$S150,$V$5:$V$1000,"Macro")/COUNTIFS($S$5:$S$1000,$S150,$V$5:$V$1000,"Macro",$H$5:$H$1000,"&gt;0"))))</f>
        <v/>
      </c>
      <c r="AH150" s="62" t="n"/>
      <c r="AI150" s="62" t="n"/>
      <c r="AJ150" s="62" t="n"/>
      <c r="AK150" s="62" t="n"/>
      <c r="AL150" s="62">
        <f>IF(LEFT($C150,11)="[Jefatura] ",IFERROR(MATCH("Asistente Técnico de Riesgo|"&amp;MID($C150,12,500),rDname_ADM,0),0),"")</f>
        <v/>
      </c>
      <c r="AM150" s="62">
        <f>IF(N($AL150)&gt;0,INDEX(rIni_ADM,$AL150),IF(ISNUMBER($E150),$E150,""))</f>
        <v/>
      </c>
      <c r="AN150" s="62">
        <f>IF(N($AL150)&gt;0,INDEX(rLim_ADM,$AL150),IF(ISNUMBER($F150),$F150,""))</f>
        <v/>
      </c>
    </row>
    <row r="151">
      <c r="A151" s="56">
        <f>IF(NOT((COUNTA($B151:$D151)+COUNTA($G151:$L151)+COUNTA($Q151))&gt;0),"",IF($V151="Macro",COUNTIFS($V$5:$V151,"Macro",$S$5:$S151,$S151),IF(N($U151)=0,"?",COUNTIFS(INDEX($V$5:$V$1000,1):INDEX($V$5:$V$1000,$U151-4),"Macro",INDEX($S$5:$S$1000,1):INDEX($S$5:$S$1000,$U151-4),INDEX($S$5:$S$1000,$U151-4))&amp;"."&amp;COUNTIFS($U$5:$U151,$U151,$V$5:$V151,"Sub"))))</f>
        <v/>
      </c>
      <c r="B151" s="57" t="n"/>
      <c r="C151" s="58" t="n"/>
      <c r="D151" s="58" t="n"/>
      <c r="E151" s="59">
        <f>IF(N($AL151)&gt;0,INDEX(rIni_ADM,$AL151),"")</f>
        <v/>
      </c>
      <c r="F151" s="59">
        <f>IF(N($AL151)&gt;0,INDEX(rLim_ADM,$AL151),"")</f>
        <v/>
      </c>
      <c r="G151" s="59" t="n"/>
      <c r="H151" s="60" t="n"/>
      <c r="I151" s="60" t="n"/>
      <c r="J151" s="60" t="n"/>
      <c r="K151" s="60" t="n"/>
      <c r="L151" s="60" t="n"/>
      <c r="M151" s="61">
        <f>IF(NOT((COUNTA($B151:$D151)+COUNTA($G151:$L151)+COUNTA($Q151))&gt;0),"",IF($V151="Sub",IFERROR($X151/INDEX($W$5:$W$1000,$U151-4),""),IF(ISNUMBER($G151),1,IF(N($W151)&gt;0,AVERAGEIFS($X$5:$X$1000,$U$5:$U$1000,ROW(),$V$5:$V$1000,"Sub"),$X151))))</f>
        <v/>
      </c>
      <c r="N151" s="56">
        <f>IF(OR($M151="",$V151="Sub"),"",IF($M151&gt;=1,"Completado",IF($M151&gt;0,"En curso","Pendiente")))</f>
        <v/>
      </c>
      <c r="O151" s="56">
        <f>IF(OR(NOT((COUNTA($B151:$D151)+COUNTA($G151:$L151)+COUNTA($Q151))&gt;0),$V151="Sub"),"",IF(ISNUMBER($G151),IF(AND(ISNUMBER($AN151),$G151&gt;$AN151),"Cumplida con "&amp;($G151-$AN151)&amp;IF($G151-$AN151=1," día"," días")&amp;" de retraso","Cumplida"),IF(N($M151)&gt;=1,"Cumplida",IF(NOT(ISNUMBER($AN151)),"Sin fecha límite",IF($AN151&lt;FechaRef,"Vencida hace "&amp;(FechaRef-$AN151)&amp;IF(FechaRef-$AN151=1," día"," días"),IF($AN151=FechaRef,"Vence hoy",IF($AN151-FechaRef&lt;=DiasAlerta,"Vence en "&amp;($AN151-FechaRef)&amp;IF($AN151-FechaRef=1," día"," días"),"En plazo")))))))</f>
        <v/>
      </c>
      <c r="P151" s="62" t="n"/>
      <c r="Q151" s="58" t="n"/>
      <c r="R151" s="63">
        <f>IF(NOT((COUNTA($B151:$D151)+COUNTA($G151:$L151)+COUNTA($Q151))&gt;0),"",IF((IF($C151="","Falta el nombre de la actividad"&amp;" · ","")&amp;IF(AND($V151="Sub",N($U151)=0),"Subactividad sin macroactividad arriba"&amp;" · ","")&amp;IF($AM151="","Sin fecha de inicio"&amp;" · ","")&amp;IF($AN151="","Sin fecha límite"&amp;" · ","")&amp;IF(AND(LEFT($C151,11)="[Jefatura] ",N($AL151)=0),"No se encuentra en la hoja de la jefatura (elíjala de nuevo en la lista)"&amp;" · ","")&amp;IF(OR(AND($E151&lt;&gt;"",NOT(ISNUMBER($E151))),AND($F151&lt;&gt;"",NOT(ISNUMBER($F151))),AND($G151&lt;&gt;"",NOT(ISNUMBER($G151)))),"Fecha no válida"&amp;" · ","")&amp;IF(AND(ISNUMBER($AM151),ISNUMBER($AN151),$AM151&gt;$AN151),"Inicio posterior a fecha límite"&amp;" · ","")&amp;IF(AND($V151="Macro",$H151&lt;&gt;"",OR(NOT(ISNUMBER($H151)),$H151&lt;0,$H151&gt;1)),"Peso fuera de rango"&amp;" · ","")&amp;IF(AND($V151="Sub",$H151&lt;&gt;""),"Las subactividades no llevan peso (valen igual dentro de su macroactividad)"&amp;" · ","")&amp;IF(AND(N($W151)&gt;0,COUNT($I151:$L151)&gt;0),"Con subactividades: deje vacías las semanas (se calculan solas)"&amp;" · ","")&amp;IF((COUNTIF($I151:$L151,"&gt;1")+COUNTIF($I151:$L151,"&lt;0")+COUNTA($I151:$L151)-COUNT($I151:$L151))&gt;0,"Avance fuera de rango 0-100%"&amp;" · ","")&amp;IF(OR(AND($J151&lt;&gt;"",$J151&lt;$I151),AND($K151&lt;&gt;"",$K151&lt;MAX($I151:$J151)),AND($L151&lt;&gt;"",$L151&lt;MAX($I151:$K151))),"Avance semanal decreciente"&amp;" · ","")&amp;IF(AND(ISNUMBER($AN151),$AN151&lt;FechaRef,IF($V151="Sub",N($X151),N($M151))&lt;1),"Vencida"&amp;" · ","")&amp;IF(AND(ObsObligatoria="Sí",ISNUMBER($AN151),$AN151&lt;FechaRef,IF($V151="Sub",N($X151),N($M151))&lt;1,$Q151=""),"Vencida sin observación"&amp;" · ",""))="","✔ OK","⚠ "&amp;LEFT(IF($C151="","Falta el nombre de la actividad"&amp;" · ","")&amp;IF(AND($V151="Sub",N($U151)=0),"Subactividad sin macroactividad arriba"&amp;" · ","")&amp;IF($AM151="","Sin fecha de inicio"&amp;" · ","")&amp;IF($AN151="","Sin fecha límite"&amp;" · ","")&amp;IF(AND(LEFT($C151,11)="[Jefatura] ",N($AL151)=0),"No se encuentra en la hoja de la jefatura (elíjala de nuevo en la lista)"&amp;" · ","")&amp;IF(OR(AND($E151&lt;&gt;"",NOT(ISNUMBER($E151))),AND($F151&lt;&gt;"",NOT(ISNUMBER($F151))),AND($G151&lt;&gt;"",NOT(ISNUMBER($G151)))),"Fecha no válida"&amp;" · ","")&amp;IF(AND(ISNUMBER($AM151),ISNUMBER($AN151),$AM151&gt;$AN151),"Inicio posterior a fecha límite"&amp;" · ","")&amp;IF(AND($V151="Macro",$H151&lt;&gt;"",OR(NOT(ISNUMBER($H151)),$H151&lt;0,$H151&gt;1)),"Peso fuera de rango"&amp;" · ","")&amp;IF(AND($V151="Sub",$H151&lt;&gt;""),"Las subactividades no llevan peso (valen igual dentro de su macroactividad)"&amp;" · ","")&amp;IF(AND(N($W151)&gt;0,COUNT($I151:$L151)&gt;0),"Con subactividades: deje vacías las semanas (se calculan solas)"&amp;" · ","")&amp;IF((COUNTIF($I151:$L151,"&gt;1")+COUNTIF($I151:$L151,"&lt;0")+COUNTA($I151:$L151)-COUNT($I151:$L151))&gt;0,"Avance fuera de rango 0-100%"&amp;" · ","")&amp;IF(OR(AND($J151&lt;&gt;"",$J151&lt;$I151),AND($K151&lt;&gt;"",$K151&lt;MAX($I151:$J151)),AND($L151&lt;&gt;"",$L151&lt;MAX($I151:$K151))),"Avance semanal decreciente"&amp;" · ","")&amp;IF(AND(ISNUMBER($AN151),$AN151&lt;FechaRef,IF($V151="Sub",N($X151),N($M151))&lt;1),"Vencida"&amp;" · ","")&amp;IF(AND(ObsObligatoria="Sí",ISNUMBER($AN151),$AN151&lt;FechaRef,IF($V151="Sub",N($X151),N($M151))&lt;1,$Q151=""),"Vencida sin observación"&amp;" · ",""),LEN(IF($C151="","Falta el nombre de la actividad"&amp;" · ","")&amp;IF(AND($V151="Sub",N($U151)=0),"Subactividad sin macroactividad arriba"&amp;" · ","")&amp;IF($AM151="","Sin fecha de inicio"&amp;" · ","")&amp;IF($AN151="","Sin fecha límite"&amp;" · ","")&amp;IF(AND(LEFT($C151,11)="[Jefatura] ",N($AL151)=0),"No se encuentra en la hoja de la jefatura (elíjala de nuevo en la lista)"&amp;" · ","")&amp;IF(OR(AND($E151&lt;&gt;"",NOT(ISNUMBER($E151))),AND($F151&lt;&gt;"",NOT(ISNUMBER($F151))),AND($G151&lt;&gt;"",NOT(ISNUMBER($G151)))),"Fecha no válida"&amp;" · ","")&amp;IF(AND(ISNUMBER($AM151),ISNUMBER($AN151),$AM151&gt;$AN151),"Inicio posterior a fecha límite"&amp;" · ","")&amp;IF(AND($V151="Macro",$H151&lt;&gt;"",OR(NOT(ISNUMBER($H151)),$H151&lt;0,$H151&gt;1)),"Peso fuera de rango"&amp;" · ","")&amp;IF(AND($V151="Sub",$H151&lt;&gt;""),"Las subactividades no llevan peso (valen igual dentro de su macroactividad)"&amp;" · ","")&amp;IF(AND(N($W151)&gt;0,COUNT($I151:$L151)&gt;0),"Con subactividades: deje vacías las semanas (se calculan solas)"&amp;" · ","")&amp;IF((COUNTIF($I151:$L151,"&gt;1")+COUNTIF($I151:$L151,"&lt;0")+COUNTA($I151:$L151)-COUNT($I151:$L151))&gt;0,"Avance fuera de rango 0-100%"&amp;" · ","")&amp;IF(OR(AND($J151&lt;&gt;"",$J151&lt;$I151),AND($K151&lt;&gt;"",$K151&lt;MAX($I151:$J151)),AND($L151&lt;&gt;"",$L151&lt;MAX($I151:$K151))),"Avance semanal decreciente"&amp;" · ","")&amp;IF(AND(ISNUMBER($AN151),$AN151&lt;FechaRef,IF($V151="Sub",N($X151),N($M151))&lt;1),"Vencida"&amp;" · ","")&amp;IF(AND(ObsObligatoria="Sí",ISNUMBER($AN151),$AN151&lt;FechaRef,IF($V151="Sub",N($X151),N($M151))&lt;1,$Q151=""),"Vencida sin observación"&amp;" · ",""))-3)))</f>
        <v/>
      </c>
      <c r="S151" s="64">
        <f>IF(NOT((COUNTA($B151:$D151)+COUNTA($G151:$L151)+COUNTA($Q151))&gt;0),"",IF(AND($V151="Sub",N($U151)&gt;0),IF(ISNUMBER(INDEX($AM$5:$AM$1000,$U151-4)),DATE(YEAR(INDEX($AM$5:$AM$1000,$U151-4)),MONTH(INDEX($AM$5:$AM$1000,$U151-4)),1),IF(ISNUMBER(INDEX($AN$5:$AN$1000,$U151-4)),DATE(YEAR(INDEX($AN$5:$AN$1000,$U151-4)),MONTH(INDEX($AN$5:$AN$1000,$U151-4)),1),MesCiclo)),IF(ISNUMBER($AM151),DATE(YEAR($AM151),MONTH($AM151),1),IF(ISNUMBER($AN151),DATE(YEAR($AN151),MONTH($AN151),1),MesCiclo))))</f>
        <v/>
      </c>
      <c r="T151" s="62">
        <f>IF(OR($S151="",$S151&lt;&gt;MesCiclo,$V151&lt;&gt;"Macro"),"",COUNTIFS($S$5:$S151,MesCiclo,$V$5:$V151,"Macro"))</f>
        <v/>
      </c>
      <c r="U151" s="62">
        <f>IF($V151="","",IF($V151="Macro",ROW(),IFERROR(LOOKUP(2,1/($V$5:$V151="Macro"),ROW($V$5:$V151)),0)))</f>
        <v/>
      </c>
      <c r="V151" s="62">
        <f>IF(NOT((COUNTA($B151:$D151)+COUNTA($G151:$L151)+COUNTA($Q151))&gt;0),"",IF($B151="Subactividad","Sub","Macro"))</f>
        <v/>
      </c>
      <c r="W151" s="62">
        <f>IF($V151="Macro",COUNTIFS($U$5:$U$1000,ROW(),$V$5:$V$1000,"Sub"),"")</f>
        <v/>
      </c>
      <c r="X151" s="62">
        <f>IF($V151="","",IF(ISNUMBER($G151),1,IFERROR(LOOKUP(2,1/($I151:$L151&lt;&gt;""),$I151:$L151),0)))</f>
        <v/>
      </c>
      <c r="Y151" s="62">
        <f>IF($V151="","",IF(AND(ISNUMBER($G151),$G151&lt;=IF($S151=MesCiclo,InicioCiclo,$S151+MOD(2-WEEKDAY($S151),7))+6),1,IF(ISNUMBER($I151),$I151,0)))</f>
        <v/>
      </c>
      <c r="Z151" s="62">
        <f>IF($V151="","",IF(AND(ISNUMBER($G151),$G151&lt;=IF($S151=MesCiclo,InicioCiclo,$S151+MOD(2-WEEKDAY($S151),7))+13),1,IF(ISNUMBER($J151),$J151,$Y151)))</f>
        <v/>
      </c>
      <c r="AA151" s="62">
        <f>IF($V151="","",IF(AND(ISNUMBER($G151),$G151&lt;=IF($S151=MesCiclo,InicioCiclo,$S151+MOD(2-WEEKDAY($S151),7))+20),1,IF(ISNUMBER($K151),$K151,$Z151)))</f>
        <v/>
      </c>
      <c r="AB151" s="62">
        <f>IF($V151="","",IF(AND(ISNUMBER($G151),$G151&lt;=IF($S151=MesCiclo,InicioCiclo,$S151+MOD(2-WEEKDAY($S151),7))+27),1,IF(ISNUMBER($L151),$L151,$AA151)))</f>
        <v/>
      </c>
      <c r="AC151" s="62">
        <f>IF($V151="","",IF(AND(ISNUMBER($G151),$G151&lt;=IF($S151=MesCiclo,InicioCiclo,$S151+MOD(2-WEEKDAY($S151),7))+6),1,IF(N($W151)&gt;0,AVERAGEIFS($Y$5:$Y$1000,$U$5:$U$1000,ROW(),$V$5:$V$1000,"Sub"),$Y151)))</f>
        <v/>
      </c>
      <c r="AD151" s="62">
        <f>IF($V151="","",IF(AND(ISNUMBER($G151),$G151&lt;=IF($S151=MesCiclo,InicioCiclo,$S151+MOD(2-WEEKDAY($S151),7))+13),1,IF(N($W151)&gt;0,AVERAGEIFS($Z$5:$Z$1000,$U$5:$U$1000,ROW(),$V$5:$V$1000,"Sub"),$Z151)))</f>
        <v/>
      </c>
      <c r="AE151" s="62">
        <f>IF($V151="","",IF(AND(ISNUMBER($G151),$G151&lt;=IF($S151=MesCiclo,InicioCiclo,$S151+MOD(2-WEEKDAY($S151),7))+20),1,IF(N($W151)&gt;0,AVERAGEIFS($AA$5:$AA$1000,$U$5:$U$1000,ROW(),$V$5:$V$1000,"Sub"),$AA151)))</f>
        <v/>
      </c>
      <c r="AF151" s="62">
        <f>IF($V151="","",IF(AND(ISNUMBER($G151),$G151&lt;=IF($S151=MesCiclo,InicioCiclo,$S151+MOD(2-WEEKDAY($S151),7))+27),1,IF(N($W151)&gt;0,AVERAGEIFS($AB$5:$AB$1000,$U$5:$U$1000,ROW(),$V$5:$V$1000,"Sub"),$AB151)))</f>
        <v/>
      </c>
      <c r="AG151" s="62">
        <f>IF($V151&lt;&gt;"Macro","",IF(COUNTIFS($S$5:$S$1000,$S151,$V$5:$V$1000,"Macro",$H$5:$H$1000,"&gt;0")=0,1/COUNTIFS($S$5:$S$1000,$S151,$V$5:$V$1000,"Macro"),IF(AND(ISNUMBER($H151),N($H151)&gt;0),$H151,SUMIFS($H$5:$H$1000,$S$5:$S$1000,$S151,$V$5:$V$1000,"Macro")/COUNTIFS($S$5:$S$1000,$S151,$V$5:$V$1000,"Macro",$H$5:$H$1000,"&gt;0"))/(COUNTIFS($S$5:$S$1000,$S151,$V$5:$V$1000,"Macro")*SUMIFS($H$5:$H$1000,$S$5:$S$1000,$S151,$V$5:$V$1000,"Macro")/COUNTIFS($S$5:$S$1000,$S151,$V$5:$V$1000,"Macro",$H$5:$H$1000,"&gt;0"))))</f>
        <v/>
      </c>
      <c r="AH151" s="62" t="n"/>
      <c r="AI151" s="62" t="n"/>
      <c r="AJ151" s="62" t="n"/>
      <c r="AK151" s="62" t="n"/>
      <c r="AL151" s="62">
        <f>IF(LEFT($C151,11)="[Jefatura] ",IFERROR(MATCH("Asistente Técnico de Riesgo|"&amp;MID($C151,12,500),rDname_ADM,0),0),"")</f>
        <v/>
      </c>
      <c r="AM151" s="62">
        <f>IF(N($AL151)&gt;0,INDEX(rIni_ADM,$AL151),IF(ISNUMBER($E151),$E151,""))</f>
        <v/>
      </c>
      <c r="AN151" s="62">
        <f>IF(N($AL151)&gt;0,INDEX(rLim_ADM,$AL151),IF(ISNUMBER($F151),$F151,""))</f>
        <v/>
      </c>
    </row>
    <row r="152">
      <c r="A152" s="56">
        <f>IF(NOT((COUNTA($B152:$D152)+COUNTA($G152:$L152)+COUNTA($Q152))&gt;0),"",IF($V152="Macro",COUNTIFS($V$5:$V152,"Macro",$S$5:$S152,$S152),IF(N($U152)=0,"?",COUNTIFS(INDEX($V$5:$V$1000,1):INDEX($V$5:$V$1000,$U152-4),"Macro",INDEX($S$5:$S$1000,1):INDEX($S$5:$S$1000,$U152-4),INDEX($S$5:$S$1000,$U152-4))&amp;"."&amp;COUNTIFS($U$5:$U152,$U152,$V$5:$V152,"Sub"))))</f>
        <v/>
      </c>
      <c r="B152" s="57" t="n"/>
      <c r="C152" s="58" t="n"/>
      <c r="D152" s="58" t="n"/>
      <c r="E152" s="59">
        <f>IF(N($AL152)&gt;0,INDEX(rIni_ADM,$AL152),"")</f>
        <v/>
      </c>
      <c r="F152" s="59">
        <f>IF(N($AL152)&gt;0,INDEX(rLim_ADM,$AL152),"")</f>
        <v/>
      </c>
      <c r="G152" s="59" t="n"/>
      <c r="H152" s="60" t="n"/>
      <c r="I152" s="60" t="n"/>
      <c r="J152" s="60" t="n"/>
      <c r="K152" s="60" t="n"/>
      <c r="L152" s="60" t="n"/>
      <c r="M152" s="61">
        <f>IF(NOT((COUNTA($B152:$D152)+COUNTA($G152:$L152)+COUNTA($Q152))&gt;0),"",IF($V152="Sub",IFERROR($X152/INDEX($W$5:$W$1000,$U152-4),""),IF(ISNUMBER($G152),1,IF(N($W152)&gt;0,AVERAGEIFS($X$5:$X$1000,$U$5:$U$1000,ROW(),$V$5:$V$1000,"Sub"),$X152))))</f>
        <v/>
      </c>
      <c r="N152" s="56">
        <f>IF(OR($M152="",$V152="Sub"),"",IF($M152&gt;=1,"Completado",IF($M152&gt;0,"En curso","Pendiente")))</f>
        <v/>
      </c>
      <c r="O152" s="56">
        <f>IF(OR(NOT((COUNTA($B152:$D152)+COUNTA($G152:$L152)+COUNTA($Q152))&gt;0),$V152="Sub"),"",IF(ISNUMBER($G152),IF(AND(ISNUMBER($AN152),$G152&gt;$AN152),"Cumplida con "&amp;($G152-$AN152)&amp;IF($G152-$AN152=1," día"," días")&amp;" de retraso","Cumplida"),IF(N($M152)&gt;=1,"Cumplida",IF(NOT(ISNUMBER($AN152)),"Sin fecha límite",IF($AN152&lt;FechaRef,"Vencida hace "&amp;(FechaRef-$AN152)&amp;IF(FechaRef-$AN152=1," día"," días"),IF($AN152=FechaRef,"Vence hoy",IF($AN152-FechaRef&lt;=DiasAlerta,"Vence en "&amp;($AN152-FechaRef)&amp;IF($AN152-FechaRef=1," día"," días"),"En plazo")))))))</f>
        <v/>
      </c>
      <c r="P152" s="62" t="n"/>
      <c r="Q152" s="58" t="n"/>
      <c r="R152" s="63">
        <f>IF(NOT((COUNTA($B152:$D152)+COUNTA($G152:$L152)+COUNTA($Q152))&gt;0),"",IF((IF($C152="","Falta el nombre de la actividad"&amp;" · ","")&amp;IF(AND($V152="Sub",N($U152)=0),"Subactividad sin macroactividad arriba"&amp;" · ","")&amp;IF($AM152="","Sin fecha de inicio"&amp;" · ","")&amp;IF($AN152="","Sin fecha límite"&amp;" · ","")&amp;IF(AND(LEFT($C152,11)="[Jefatura] ",N($AL152)=0),"No se encuentra en la hoja de la jefatura (elíjala de nuevo en la lista)"&amp;" · ","")&amp;IF(OR(AND($E152&lt;&gt;"",NOT(ISNUMBER($E152))),AND($F152&lt;&gt;"",NOT(ISNUMBER($F152))),AND($G152&lt;&gt;"",NOT(ISNUMBER($G152)))),"Fecha no válida"&amp;" · ","")&amp;IF(AND(ISNUMBER($AM152),ISNUMBER($AN152),$AM152&gt;$AN152),"Inicio posterior a fecha límite"&amp;" · ","")&amp;IF(AND($V152="Macro",$H152&lt;&gt;"",OR(NOT(ISNUMBER($H152)),$H152&lt;0,$H152&gt;1)),"Peso fuera de rango"&amp;" · ","")&amp;IF(AND($V152="Sub",$H152&lt;&gt;""),"Las subactividades no llevan peso (valen igual dentro de su macroactividad)"&amp;" · ","")&amp;IF(AND(N($W152)&gt;0,COUNT($I152:$L152)&gt;0),"Con subactividades: deje vacías las semanas (se calculan solas)"&amp;" · ","")&amp;IF((COUNTIF($I152:$L152,"&gt;1")+COUNTIF($I152:$L152,"&lt;0")+COUNTA($I152:$L152)-COUNT($I152:$L152))&gt;0,"Avance fuera de rango 0-100%"&amp;" · ","")&amp;IF(OR(AND($J152&lt;&gt;"",$J152&lt;$I152),AND($K152&lt;&gt;"",$K152&lt;MAX($I152:$J152)),AND($L152&lt;&gt;"",$L152&lt;MAX($I152:$K152))),"Avance semanal decreciente"&amp;" · ","")&amp;IF(AND(ISNUMBER($AN152),$AN152&lt;FechaRef,IF($V152="Sub",N($X152),N($M152))&lt;1),"Vencida"&amp;" · ","")&amp;IF(AND(ObsObligatoria="Sí",ISNUMBER($AN152),$AN152&lt;FechaRef,IF($V152="Sub",N($X152),N($M152))&lt;1,$Q152=""),"Vencida sin observación"&amp;" · ",""))="","✔ OK","⚠ "&amp;LEFT(IF($C152="","Falta el nombre de la actividad"&amp;" · ","")&amp;IF(AND($V152="Sub",N($U152)=0),"Subactividad sin macroactividad arriba"&amp;" · ","")&amp;IF($AM152="","Sin fecha de inicio"&amp;" · ","")&amp;IF($AN152="","Sin fecha límite"&amp;" · ","")&amp;IF(AND(LEFT($C152,11)="[Jefatura] ",N($AL152)=0),"No se encuentra en la hoja de la jefatura (elíjala de nuevo en la lista)"&amp;" · ","")&amp;IF(OR(AND($E152&lt;&gt;"",NOT(ISNUMBER($E152))),AND($F152&lt;&gt;"",NOT(ISNUMBER($F152))),AND($G152&lt;&gt;"",NOT(ISNUMBER($G152)))),"Fecha no válida"&amp;" · ","")&amp;IF(AND(ISNUMBER($AM152),ISNUMBER($AN152),$AM152&gt;$AN152),"Inicio posterior a fecha límite"&amp;" · ","")&amp;IF(AND($V152="Macro",$H152&lt;&gt;"",OR(NOT(ISNUMBER($H152)),$H152&lt;0,$H152&gt;1)),"Peso fuera de rango"&amp;" · ","")&amp;IF(AND($V152="Sub",$H152&lt;&gt;""),"Las subactividades no llevan peso (valen igual dentro de su macroactividad)"&amp;" · ","")&amp;IF(AND(N($W152)&gt;0,COUNT($I152:$L152)&gt;0),"Con subactividades: deje vacías las semanas (se calculan solas)"&amp;" · ","")&amp;IF((COUNTIF($I152:$L152,"&gt;1")+COUNTIF($I152:$L152,"&lt;0")+COUNTA($I152:$L152)-COUNT($I152:$L152))&gt;0,"Avance fuera de rango 0-100%"&amp;" · ","")&amp;IF(OR(AND($J152&lt;&gt;"",$J152&lt;$I152),AND($K152&lt;&gt;"",$K152&lt;MAX($I152:$J152)),AND($L152&lt;&gt;"",$L152&lt;MAX($I152:$K152))),"Avance semanal decreciente"&amp;" · ","")&amp;IF(AND(ISNUMBER($AN152),$AN152&lt;FechaRef,IF($V152="Sub",N($X152),N($M152))&lt;1),"Vencida"&amp;" · ","")&amp;IF(AND(ObsObligatoria="Sí",ISNUMBER($AN152),$AN152&lt;FechaRef,IF($V152="Sub",N($X152),N($M152))&lt;1,$Q152=""),"Vencida sin observación"&amp;" · ",""),LEN(IF($C152="","Falta el nombre de la actividad"&amp;" · ","")&amp;IF(AND($V152="Sub",N($U152)=0),"Subactividad sin macroactividad arriba"&amp;" · ","")&amp;IF($AM152="","Sin fecha de inicio"&amp;" · ","")&amp;IF($AN152="","Sin fecha límite"&amp;" · ","")&amp;IF(AND(LEFT($C152,11)="[Jefatura] ",N($AL152)=0),"No se encuentra en la hoja de la jefatura (elíjala de nuevo en la lista)"&amp;" · ","")&amp;IF(OR(AND($E152&lt;&gt;"",NOT(ISNUMBER($E152))),AND($F152&lt;&gt;"",NOT(ISNUMBER($F152))),AND($G152&lt;&gt;"",NOT(ISNUMBER($G152)))),"Fecha no válida"&amp;" · ","")&amp;IF(AND(ISNUMBER($AM152),ISNUMBER($AN152),$AM152&gt;$AN152),"Inicio posterior a fecha límite"&amp;" · ","")&amp;IF(AND($V152="Macro",$H152&lt;&gt;"",OR(NOT(ISNUMBER($H152)),$H152&lt;0,$H152&gt;1)),"Peso fuera de rango"&amp;" · ","")&amp;IF(AND($V152="Sub",$H152&lt;&gt;""),"Las subactividades no llevan peso (valen igual dentro de su macroactividad)"&amp;" · ","")&amp;IF(AND(N($W152)&gt;0,COUNT($I152:$L152)&gt;0),"Con subactividades: deje vacías las semanas (se calculan solas)"&amp;" · ","")&amp;IF((COUNTIF($I152:$L152,"&gt;1")+COUNTIF($I152:$L152,"&lt;0")+COUNTA($I152:$L152)-COUNT($I152:$L152))&gt;0,"Avance fuera de rango 0-100%"&amp;" · ","")&amp;IF(OR(AND($J152&lt;&gt;"",$J152&lt;$I152),AND($K152&lt;&gt;"",$K152&lt;MAX($I152:$J152)),AND($L152&lt;&gt;"",$L152&lt;MAX($I152:$K152))),"Avance semanal decreciente"&amp;" · ","")&amp;IF(AND(ISNUMBER($AN152),$AN152&lt;FechaRef,IF($V152="Sub",N($X152),N($M152))&lt;1),"Vencida"&amp;" · ","")&amp;IF(AND(ObsObligatoria="Sí",ISNUMBER($AN152),$AN152&lt;FechaRef,IF($V152="Sub",N($X152),N($M152))&lt;1,$Q152=""),"Vencida sin observación"&amp;" · ",""))-3)))</f>
        <v/>
      </c>
      <c r="S152" s="64">
        <f>IF(NOT((COUNTA($B152:$D152)+COUNTA($G152:$L152)+COUNTA($Q152))&gt;0),"",IF(AND($V152="Sub",N($U152)&gt;0),IF(ISNUMBER(INDEX($AM$5:$AM$1000,$U152-4)),DATE(YEAR(INDEX($AM$5:$AM$1000,$U152-4)),MONTH(INDEX($AM$5:$AM$1000,$U152-4)),1),IF(ISNUMBER(INDEX($AN$5:$AN$1000,$U152-4)),DATE(YEAR(INDEX($AN$5:$AN$1000,$U152-4)),MONTH(INDEX($AN$5:$AN$1000,$U152-4)),1),MesCiclo)),IF(ISNUMBER($AM152),DATE(YEAR($AM152),MONTH($AM152),1),IF(ISNUMBER($AN152),DATE(YEAR($AN152),MONTH($AN152),1),MesCiclo))))</f>
        <v/>
      </c>
      <c r="T152" s="62">
        <f>IF(OR($S152="",$S152&lt;&gt;MesCiclo,$V152&lt;&gt;"Macro"),"",COUNTIFS($S$5:$S152,MesCiclo,$V$5:$V152,"Macro"))</f>
        <v/>
      </c>
      <c r="U152" s="62">
        <f>IF($V152="","",IF($V152="Macro",ROW(),IFERROR(LOOKUP(2,1/($V$5:$V152="Macro"),ROW($V$5:$V152)),0)))</f>
        <v/>
      </c>
      <c r="V152" s="62">
        <f>IF(NOT((COUNTA($B152:$D152)+COUNTA($G152:$L152)+COUNTA($Q152))&gt;0),"",IF($B152="Subactividad","Sub","Macro"))</f>
        <v/>
      </c>
      <c r="W152" s="62">
        <f>IF($V152="Macro",COUNTIFS($U$5:$U$1000,ROW(),$V$5:$V$1000,"Sub"),"")</f>
        <v/>
      </c>
      <c r="X152" s="62">
        <f>IF($V152="","",IF(ISNUMBER($G152),1,IFERROR(LOOKUP(2,1/($I152:$L152&lt;&gt;""),$I152:$L152),0)))</f>
        <v/>
      </c>
      <c r="Y152" s="62">
        <f>IF($V152="","",IF(AND(ISNUMBER($G152),$G152&lt;=IF($S152=MesCiclo,InicioCiclo,$S152+MOD(2-WEEKDAY($S152),7))+6),1,IF(ISNUMBER($I152),$I152,0)))</f>
        <v/>
      </c>
      <c r="Z152" s="62">
        <f>IF($V152="","",IF(AND(ISNUMBER($G152),$G152&lt;=IF($S152=MesCiclo,InicioCiclo,$S152+MOD(2-WEEKDAY($S152),7))+13),1,IF(ISNUMBER($J152),$J152,$Y152)))</f>
        <v/>
      </c>
      <c r="AA152" s="62">
        <f>IF($V152="","",IF(AND(ISNUMBER($G152),$G152&lt;=IF($S152=MesCiclo,InicioCiclo,$S152+MOD(2-WEEKDAY($S152),7))+20),1,IF(ISNUMBER($K152),$K152,$Z152)))</f>
        <v/>
      </c>
      <c r="AB152" s="62">
        <f>IF($V152="","",IF(AND(ISNUMBER($G152),$G152&lt;=IF($S152=MesCiclo,InicioCiclo,$S152+MOD(2-WEEKDAY($S152),7))+27),1,IF(ISNUMBER($L152),$L152,$AA152)))</f>
        <v/>
      </c>
      <c r="AC152" s="62">
        <f>IF($V152="","",IF(AND(ISNUMBER($G152),$G152&lt;=IF($S152=MesCiclo,InicioCiclo,$S152+MOD(2-WEEKDAY($S152),7))+6),1,IF(N($W152)&gt;0,AVERAGEIFS($Y$5:$Y$1000,$U$5:$U$1000,ROW(),$V$5:$V$1000,"Sub"),$Y152)))</f>
        <v/>
      </c>
      <c r="AD152" s="62">
        <f>IF($V152="","",IF(AND(ISNUMBER($G152),$G152&lt;=IF($S152=MesCiclo,InicioCiclo,$S152+MOD(2-WEEKDAY($S152),7))+13),1,IF(N($W152)&gt;0,AVERAGEIFS($Z$5:$Z$1000,$U$5:$U$1000,ROW(),$V$5:$V$1000,"Sub"),$Z152)))</f>
        <v/>
      </c>
      <c r="AE152" s="62">
        <f>IF($V152="","",IF(AND(ISNUMBER($G152),$G152&lt;=IF($S152=MesCiclo,InicioCiclo,$S152+MOD(2-WEEKDAY($S152),7))+20),1,IF(N($W152)&gt;0,AVERAGEIFS($AA$5:$AA$1000,$U$5:$U$1000,ROW(),$V$5:$V$1000,"Sub"),$AA152)))</f>
        <v/>
      </c>
      <c r="AF152" s="62">
        <f>IF($V152="","",IF(AND(ISNUMBER($G152),$G152&lt;=IF($S152=MesCiclo,InicioCiclo,$S152+MOD(2-WEEKDAY($S152),7))+27),1,IF(N($W152)&gt;0,AVERAGEIFS($AB$5:$AB$1000,$U$5:$U$1000,ROW(),$V$5:$V$1000,"Sub"),$AB152)))</f>
        <v/>
      </c>
      <c r="AG152" s="62">
        <f>IF($V152&lt;&gt;"Macro","",IF(COUNTIFS($S$5:$S$1000,$S152,$V$5:$V$1000,"Macro",$H$5:$H$1000,"&gt;0")=0,1/COUNTIFS($S$5:$S$1000,$S152,$V$5:$V$1000,"Macro"),IF(AND(ISNUMBER($H152),N($H152)&gt;0),$H152,SUMIFS($H$5:$H$1000,$S$5:$S$1000,$S152,$V$5:$V$1000,"Macro")/COUNTIFS($S$5:$S$1000,$S152,$V$5:$V$1000,"Macro",$H$5:$H$1000,"&gt;0"))/(COUNTIFS($S$5:$S$1000,$S152,$V$5:$V$1000,"Macro")*SUMIFS($H$5:$H$1000,$S$5:$S$1000,$S152,$V$5:$V$1000,"Macro")/COUNTIFS($S$5:$S$1000,$S152,$V$5:$V$1000,"Macro",$H$5:$H$1000,"&gt;0"))))</f>
        <v/>
      </c>
      <c r="AH152" s="62" t="n"/>
      <c r="AI152" s="62" t="n"/>
      <c r="AJ152" s="62" t="n"/>
      <c r="AK152" s="62" t="n"/>
      <c r="AL152" s="62">
        <f>IF(LEFT($C152,11)="[Jefatura] ",IFERROR(MATCH("Asistente Técnico de Riesgo|"&amp;MID($C152,12,500),rDname_ADM,0),0),"")</f>
        <v/>
      </c>
      <c r="AM152" s="62">
        <f>IF(N($AL152)&gt;0,INDEX(rIni_ADM,$AL152),IF(ISNUMBER($E152),$E152,""))</f>
        <v/>
      </c>
      <c r="AN152" s="62">
        <f>IF(N($AL152)&gt;0,INDEX(rLim_ADM,$AL152),IF(ISNUMBER($F152),$F152,""))</f>
        <v/>
      </c>
    </row>
    <row r="153">
      <c r="A153" s="56">
        <f>IF(NOT((COUNTA($B153:$D153)+COUNTA($G153:$L153)+COUNTA($Q153))&gt;0),"",IF($V153="Macro",COUNTIFS($V$5:$V153,"Macro",$S$5:$S153,$S153),IF(N($U153)=0,"?",COUNTIFS(INDEX($V$5:$V$1000,1):INDEX($V$5:$V$1000,$U153-4),"Macro",INDEX($S$5:$S$1000,1):INDEX($S$5:$S$1000,$U153-4),INDEX($S$5:$S$1000,$U153-4))&amp;"."&amp;COUNTIFS($U$5:$U153,$U153,$V$5:$V153,"Sub"))))</f>
        <v/>
      </c>
      <c r="B153" s="57" t="n"/>
      <c r="C153" s="58" t="n"/>
      <c r="D153" s="58" t="n"/>
      <c r="E153" s="59">
        <f>IF(N($AL153)&gt;0,INDEX(rIni_ADM,$AL153),"")</f>
        <v/>
      </c>
      <c r="F153" s="59">
        <f>IF(N($AL153)&gt;0,INDEX(rLim_ADM,$AL153),"")</f>
        <v/>
      </c>
      <c r="G153" s="59" t="n"/>
      <c r="H153" s="60" t="n"/>
      <c r="I153" s="60" t="n"/>
      <c r="J153" s="60" t="n"/>
      <c r="K153" s="60" t="n"/>
      <c r="L153" s="60" t="n"/>
      <c r="M153" s="61">
        <f>IF(NOT((COUNTA($B153:$D153)+COUNTA($G153:$L153)+COUNTA($Q153))&gt;0),"",IF($V153="Sub",IFERROR($X153/INDEX($W$5:$W$1000,$U153-4),""),IF(ISNUMBER($G153),1,IF(N($W153)&gt;0,AVERAGEIFS($X$5:$X$1000,$U$5:$U$1000,ROW(),$V$5:$V$1000,"Sub"),$X153))))</f>
        <v/>
      </c>
      <c r="N153" s="56">
        <f>IF(OR($M153="",$V153="Sub"),"",IF($M153&gt;=1,"Completado",IF($M153&gt;0,"En curso","Pendiente")))</f>
        <v/>
      </c>
      <c r="O153" s="56">
        <f>IF(OR(NOT((COUNTA($B153:$D153)+COUNTA($G153:$L153)+COUNTA($Q153))&gt;0),$V153="Sub"),"",IF(ISNUMBER($G153),IF(AND(ISNUMBER($AN153),$G153&gt;$AN153),"Cumplida con "&amp;($G153-$AN153)&amp;IF($G153-$AN153=1," día"," días")&amp;" de retraso","Cumplida"),IF(N($M153)&gt;=1,"Cumplida",IF(NOT(ISNUMBER($AN153)),"Sin fecha límite",IF($AN153&lt;FechaRef,"Vencida hace "&amp;(FechaRef-$AN153)&amp;IF(FechaRef-$AN153=1," día"," días"),IF($AN153=FechaRef,"Vence hoy",IF($AN153-FechaRef&lt;=DiasAlerta,"Vence en "&amp;($AN153-FechaRef)&amp;IF($AN153-FechaRef=1," día"," días"),"En plazo")))))))</f>
        <v/>
      </c>
      <c r="P153" s="62" t="n"/>
      <c r="Q153" s="58" t="n"/>
      <c r="R153" s="63">
        <f>IF(NOT((COUNTA($B153:$D153)+COUNTA($G153:$L153)+COUNTA($Q153))&gt;0),"",IF((IF($C153="","Falta el nombre de la actividad"&amp;" · ","")&amp;IF(AND($V153="Sub",N($U153)=0),"Subactividad sin macroactividad arriba"&amp;" · ","")&amp;IF($AM153="","Sin fecha de inicio"&amp;" · ","")&amp;IF($AN153="","Sin fecha límite"&amp;" · ","")&amp;IF(AND(LEFT($C153,11)="[Jefatura] ",N($AL153)=0),"No se encuentra en la hoja de la jefatura (elíjala de nuevo en la lista)"&amp;" · ","")&amp;IF(OR(AND($E153&lt;&gt;"",NOT(ISNUMBER($E153))),AND($F153&lt;&gt;"",NOT(ISNUMBER($F153))),AND($G153&lt;&gt;"",NOT(ISNUMBER($G153)))),"Fecha no válida"&amp;" · ","")&amp;IF(AND(ISNUMBER($AM153),ISNUMBER($AN153),$AM153&gt;$AN153),"Inicio posterior a fecha límite"&amp;" · ","")&amp;IF(AND($V153="Macro",$H153&lt;&gt;"",OR(NOT(ISNUMBER($H153)),$H153&lt;0,$H153&gt;1)),"Peso fuera de rango"&amp;" · ","")&amp;IF(AND($V153="Sub",$H153&lt;&gt;""),"Las subactividades no llevan peso (valen igual dentro de su macroactividad)"&amp;" · ","")&amp;IF(AND(N($W153)&gt;0,COUNT($I153:$L153)&gt;0),"Con subactividades: deje vacías las semanas (se calculan solas)"&amp;" · ","")&amp;IF((COUNTIF($I153:$L153,"&gt;1")+COUNTIF($I153:$L153,"&lt;0")+COUNTA($I153:$L153)-COUNT($I153:$L153))&gt;0,"Avance fuera de rango 0-100%"&amp;" · ","")&amp;IF(OR(AND($J153&lt;&gt;"",$J153&lt;$I153),AND($K153&lt;&gt;"",$K153&lt;MAX($I153:$J153)),AND($L153&lt;&gt;"",$L153&lt;MAX($I153:$K153))),"Avance semanal decreciente"&amp;" · ","")&amp;IF(AND(ISNUMBER($AN153),$AN153&lt;FechaRef,IF($V153="Sub",N($X153),N($M153))&lt;1),"Vencida"&amp;" · ","")&amp;IF(AND(ObsObligatoria="Sí",ISNUMBER($AN153),$AN153&lt;FechaRef,IF($V153="Sub",N($X153),N($M153))&lt;1,$Q153=""),"Vencida sin observación"&amp;" · ",""))="","✔ OK","⚠ "&amp;LEFT(IF($C153="","Falta el nombre de la actividad"&amp;" · ","")&amp;IF(AND($V153="Sub",N($U153)=0),"Subactividad sin macroactividad arriba"&amp;" · ","")&amp;IF($AM153="","Sin fecha de inicio"&amp;" · ","")&amp;IF($AN153="","Sin fecha límite"&amp;" · ","")&amp;IF(AND(LEFT($C153,11)="[Jefatura] ",N($AL153)=0),"No se encuentra en la hoja de la jefatura (elíjala de nuevo en la lista)"&amp;" · ","")&amp;IF(OR(AND($E153&lt;&gt;"",NOT(ISNUMBER($E153))),AND($F153&lt;&gt;"",NOT(ISNUMBER($F153))),AND($G153&lt;&gt;"",NOT(ISNUMBER($G153)))),"Fecha no válida"&amp;" · ","")&amp;IF(AND(ISNUMBER($AM153),ISNUMBER($AN153),$AM153&gt;$AN153),"Inicio posterior a fecha límite"&amp;" · ","")&amp;IF(AND($V153="Macro",$H153&lt;&gt;"",OR(NOT(ISNUMBER($H153)),$H153&lt;0,$H153&gt;1)),"Peso fuera de rango"&amp;" · ","")&amp;IF(AND($V153="Sub",$H153&lt;&gt;""),"Las subactividades no llevan peso (valen igual dentro de su macroactividad)"&amp;" · ","")&amp;IF(AND(N($W153)&gt;0,COUNT($I153:$L153)&gt;0),"Con subactividades: deje vacías las semanas (se calculan solas)"&amp;" · ","")&amp;IF((COUNTIF($I153:$L153,"&gt;1")+COUNTIF($I153:$L153,"&lt;0")+COUNTA($I153:$L153)-COUNT($I153:$L153))&gt;0,"Avance fuera de rango 0-100%"&amp;" · ","")&amp;IF(OR(AND($J153&lt;&gt;"",$J153&lt;$I153),AND($K153&lt;&gt;"",$K153&lt;MAX($I153:$J153)),AND($L153&lt;&gt;"",$L153&lt;MAX($I153:$K153))),"Avance semanal decreciente"&amp;" · ","")&amp;IF(AND(ISNUMBER($AN153),$AN153&lt;FechaRef,IF($V153="Sub",N($X153),N($M153))&lt;1),"Vencida"&amp;" · ","")&amp;IF(AND(ObsObligatoria="Sí",ISNUMBER($AN153),$AN153&lt;FechaRef,IF($V153="Sub",N($X153),N($M153))&lt;1,$Q153=""),"Vencida sin observación"&amp;" · ",""),LEN(IF($C153="","Falta el nombre de la actividad"&amp;" · ","")&amp;IF(AND($V153="Sub",N($U153)=0),"Subactividad sin macroactividad arriba"&amp;" · ","")&amp;IF($AM153="","Sin fecha de inicio"&amp;" · ","")&amp;IF($AN153="","Sin fecha límite"&amp;" · ","")&amp;IF(AND(LEFT($C153,11)="[Jefatura] ",N($AL153)=0),"No se encuentra en la hoja de la jefatura (elíjala de nuevo en la lista)"&amp;" · ","")&amp;IF(OR(AND($E153&lt;&gt;"",NOT(ISNUMBER($E153))),AND($F153&lt;&gt;"",NOT(ISNUMBER($F153))),AND($G153&lt;&gt;"",NOT(ISNUMBER($G153)))),"Fecha no válida"&amp;" · ","")&amp;IF(AND(ISNUMBER($AM153),ISNUMBER($AN153),$AM153&gt;$AN153),"Inicio posterior a fecha límite"&amp;" · ","")&amp;IF(AND($V153="Macro",$H153&lt;&gt;"",OR(NOT(ISNUMBER($H153)),$H153&lt;0,$H153&gt;1)),"Peso fuera de rango"&amp;" · ","")&amp;IF(AND($V153="Sub",$H153&lt;&gt;""),"Las subactividades no llevan peso (valen igual dentro de su macroactividad)"&amp;" · ","")&amp;IF(AND(N($W153)&gt;0,COUNT($I153:$L153)&gt;0),"Con subactividades: deje vacías las semanas (se calculan solas)"&amp;" · ","")&amp;IF((COUNTIF($I153:$L153,"&gt;1")+COUNTIF($I153:$L153,"&lt;0")+COUNTA($I153:$L153)-COUNT($I153:$L153))&gt;0,"Avance fuera de rango 0-100%"&amp;" · ","")&amp;IF(OR(AND($J153&lt;&gt;"",$J153&lt;$I153),AND($K153&lt;&gt;"",$K153&lt;MAX($I153:$J153)),AND($L153&lt;&gt;"",$L153&lt;MAX($I153:$K153))),"Avance semanal decreciente"&amp;" · ","")&amp;IF(AND(ISNUMBER($AN153),$AN153&lt;FechaRef,IF($V153="Sub",N($X153),N($M153))&lt;1),"Vencida"&amp;" · ","")&amp;IF(AND(ObsObligatoria="Sí",ISNUMBER($AN153),$AN153&lt;FechaRef,IF($V153="Sub",N($X153),N($M153))&lt;1,$Q153=""),"Vencida sin observación"&amp;" · ",""))-3)))</f>
        <v/>
      </c>
      <c r="S153" s="64">
        <f>IF(NOT((COUNTA($B153:$D153)+COUNTA($G153:$L153)+COUNTA($Q153))&gt;0),"",IF(AND($V153="Sub",N($U153)&gt;0),IF(ISNUMBER(INDEX($AM$5:$AM$1000,$U153-4)),DATE(YEAR(INDEX($AM$5:$AM$1000,$U153-4)),MONTH(INDEX($AM$5:$AM$1000,$U153-4)),1),IF(ISNUMBER(INDEX($AN$5:$AN$1000,$U153-4)),DATE(YEAR(INDEX($AN$5:$AN$1000,$U153-4)),MONTH(INDEX($AN$5:$AN$1000,$U153-4)),1),MesCiclo)),IF(ISNUMBER($AM153),DATE(YEAR($AM153),MONTH($AM153),1),IF(ISNUMBER($AN153),DATE(YEAR($AN153),MONTH($AN153),1),MesCiclo))))</f>
        <v/>
      </c>
      <c r="T153" s="62">
        <f>IF(OR($S153="",$S153&lt;&gt;MesCiclo,$V153&lt;&gt;"Macro"),"",COUNTIFS($S$5:$S153,MesCiclo,$V$5:$V153,"Macro"))</f>
        <v/>
      </c>
      <c r="U153" s="62">
        <f>IF($V153="","",IF($V153="Macro",ROW(),IFERROR(LOOKUP(2,1/($V$5:$V153="Macro"),ROW($V$5:$V153)),0)))</f>
        <v/>
      </c>
      <c r="V153" s="62">
        <f>IF(NOT((COUNTA($B153:$D153)+COUNTA($G153:$L153)+COUNTA($Q153))&gt;0),"",IF($B153="Subactividad","Sub","Macro"))</f>
        <v/>
      </c>
      <c r="W153" s="62">
        <f>IF($V153="Macro",COUNTIFS($U$5:$U$1000,ROW(),$V$5:$V$1000,"Sub"),"")</f>
        <v/>
      </c>
      <c r="X153" s="62">
        <f>IF($V153="","",IF(ISNUMBER($G153),1,IFERROR(LOOKUP(2,1/($I153:$L153&lt;&gt;""),$I153:$L153),0)))</f>
        <v/>
      </c>
      <c r="Y153" s="62">
        <f>IF($V153="","",IF(AND(ISNUMBER($G153),$G153&lt;=IF($S153=MesCiclo,InicioCiclo,$S153+MOD(2-WEEKDAY($S153),7))+6),1,IF(ISNUMBER($I153),$I153,0)))</f>
        <v/>
      </c>
      <c r="Z153" s="62">
        <f>IF($V153="","",IF(AND(ISNUMBER($G153),$G153&lt;=IF($S153=MesCiclo,InicioCiclo,$S153+MOD(2-WEEKDAY($S153),7))+13),1,IF(ISNUMBER($J153),$J153,$Y153)))</f>
        <v/>
      </c>
      <c r="AA153" s="62">
        <f>IF($V153="","",IF(AND(ISNUMBER($G153),$G153&lt;=IF($S153=MesCiclo,InicioCiclo,$S153+MOD(2-WEEKDAY($S153),7))+20),1,IF(ISNUMBER($K153),$K153,$Z153)))</f>
        <v/>
      </c>
      <c r="AB153" s="62">
        <f>IF($V153="","",IF(AND(ISNUMBER($G153),$G153&lt;=IF($S153=MesCiclo,InicioCiclo,$S153+MOD(2-WEEKDAY($S153),7))+27),1,IF(ISNUMBER($L153),$L153,$AA153)))</f>
        <v/>
      </c>
      <c r="AC153" s="62">
        <f>IF($V153="","",IF(AND(ISNUMBER($G153),$G153&lt;=IF($S153=MesCiclo,InicioCiclo,$S153+MOD(2-WEEKDAY($S153),7))+6),1,IF(N($W153)&gt;0,AVERAGEIFS($Y$5:$Y$1000,$U$5:$U$1000,ROW(),$V$5:$V$1000,"Sub"),$Y153)))</f>
        <v/>
      </c>
      <c r="AD153" s="62">
        <f>IF($V153="","",IF(AND(ISNUMBER($G153),$G153&lt;=IF($S153=MesCiclo,InicioCiclo,$S153+MOD(2-WEEKDAY($S153),7))+13),1,IF(N($W153)&gt;0,AVERAGEIFS($Z$5:$Z$1000,$U$5:$U$1000,ROW(),$V$5:$V$1000,"Sub"),$Z153)))</f>
        <v/>
      </c>
      <c r="AE153" s="62">
        <f>IF($V153="","",IF(AND(ISNUMBER($G153),$G153&lt;=IF($S153=MesCiclo,InicioCiclo,$S153+MOD(2-WEEKDAY($S153),7))+20),1,IF(N($W153)&gt;0,AVERAGEIFS($AA$5:$AA$1000,$U$5:$U$1000,ROW(),$V$5:$V$1000,"Sub"),$AA153)))</f>
        <v/>
      </c>
      <c r="AF153" s="62">
        <f>IF($V153="","",IF(AND(ISNUMBER($G153),$G153&lt;=IF($S153=MesCiclo,InicioCiclo,$S153+MOD(2-WEEKDAY($S153),7))+27),1,IF(N($W153)&gt;0,AVERAGEIFS($AB$5:$AB$1000,$U$5:$U$1000,ROW(),$V$5:$V$1000,"Sub"),$AB153)))</f>
        <v/>
      </c>
      <c r="AG153" s="62">
        <f>IF($V153&lt;&gt;"Macro","",IF(COUNTIFS($S$5:$S$1000,$S153,$V$5:$V$1000,"Macro",$H$5:$H$1000,"&gt;0")=0,1/COUNTIFS($S$5:$S$1000,$S153,$V$5:$V$1000,"Macro"),IF(AND(ISNUMBER($H153),N($H153)&gt;0),$H153,SUMIFS($H$5:$H$1000,$S$5:$S$1000,$S153,$V$5:$V$1000,"Macro")/COUNTIFS($S$5:$S$1000,$S153,$V$5:$V$1000,"Macro",$H$5:$H$1000,"&gt;0"))/(COUNTIFS($S$5:$S$1000,$S153,$V$5:$V$1000,"Macro")*SUMIFS($H$5:$H$1000,$S$5:$S$1000,$S153,$V$5:$V$1000,"Macro")/COUNTIFS($S$5:$S$1000,$S153,$V$5:$V$1000,"Macro",$H$5:$H$1000,"&gt;0"))))</f>
        <v/>
      </c>
      <c r="AH153" s="62" t="n"/>
      <c r="AI153" s="62" t="n"/>
      <c r="AJ153" s="62" t="n"/>
      <c r="AK153" s="62" t="n"/>
      <c r="AL153" s="62">
        <f>IF(LEFT($C153,11)="[Jefatura] ",IFERROR(MATCH("Asistente Técnico de Riesgo|"&amp;MID($C153,12,500),rDname_ADM,0),0),"")</f>
        <v/>
      </c>
      <c r="AM153" s="62">
        <f>IF(N($AL153)&gt;0,INDEX(rIni_ADM,$AL153),IF(ISNUMBER($E153),$E153,""))</f>
        <v/>
      </c>
      <c r="AN153" s="62">
        <f>IF(N($AL153)&gt;0,INDEX(rLim_ADM,$AL153),IF(ISNUMBER($F153),$F153,""))</f>
        <v/>
      </c>
    </row>
    <row r="154">
      <c r="A154" s="56">
        <f>IF(NOT((COUNTA($B154:$D154)+COUNTA($G154:$L154)+COUNTA($Q154))&gt;0),"",IF($V154="Macro",COUNTIFS($V$5:$V154,"Macro",$S$5:$S154,$S154),IF(N($U154)=0,"?",COUNTIFS(INDEX($V$5:$V$1000,1):INDEX($V$5:$V$1000,$U154-4),"Macro",INDEX($S$5:$S$1000,1):INDEX($S$5:$S$1000,$U154-4),INDEX($S$5:$S$1000,$U154-4))&amp;"."&amp;COUNTIFS($U$5:$U154,$U154,$V$5:$V154,"Sub"))))</f>
        <v/>
      </c>
      <c r="B154" s="57" t="n"/>
      <c r="C154" s="58" t="n"/>
      <c r="D154" s="58" t="n"/>
      <c r="E154" s="59">
        <f>IF(N($AL154)&gt;0,INDEX(rIni_ADM,$AL154),"")</f>
        <v/>
      </c>
      <c r="F154" s="59">
        <f>IF(N($AL154)&gt;0,INDEX(rLim_ADM,$AL154),"")</f>
        <v/>
      </c>
      <c r="G154" s="59" t="n"/>
      <c r="H154" s="60" t="n"/>
      <c r="I154" s="60" t="n"/>
      <c r="J154" s="60" t="n"/>
      <c r="K154" s="60" t="n"/>
      <c r="L154" s="60" t="n"/>
      <c r="M154" s="61">
        <f>IF(NOT((COUNTA($B154:$D154)+COUNTA($G154:$L154)+COUNTA($Q154))&gt;0),"",IF($V154="Sub",IFERROR($X154/INDEX($W$5:$W$1000,$U154-4),""),IF(ISNUMBER($G154),1,IF(N($W154)&gt;0,AVERAGEIFS($X$5:$X$1000,$U$5:$U$1000,ROW(),$V$5:$V$1000,"Sub"),$X154))))</f>
        <v/>
      </c>
      <c r="N154" s="56">
        <f>IF(OR($M154="",$V154="Sub"),"",IF($M154&gt;=1,"Completado",IF($M154&gt;0,"En curso","Pendiente")))</f>
        <v/>
      </c>
      <c r="O154" s="56">
        <f>IF(OR(NOT((COUNTA($B154:$D154)+COUNTA($G154:$L154)+COUNTA($Q154))&gt;0),$V154="Sub"),"",IF(ISNUMBER($G154),IF(AND(ISNUMBER($AN154),$G154&gt;$AN154),"Cumplida con "&amp;($G154-$AN154)&amp;IF($G154-$AN154=1," día"," días")&amp;" de retraso","Cumplida"),IF(N($M154)&gt;=1,"Cumplida",IF(NOT(ISNUMBER($AN154)),"Sin fecha límite",IF($AN154&lt;FechaRef,"Vencida hace "&amp;(FechaRef-$AN154)&amp;IF(FechaRef-$AN154=1," día"," días"),IF($AN154=FechaRef,"Vence hoy",IF($AN154-FechaRef&lt;=DiasAlerta,"Vence en "&amp;($AN154-FechaRef)&amp;IF($AN154-FechaRef=1," día"," días"),"En plazo")))))))</f>
        <v/>
      </c>
      <c r="P154" s="62" t="n"/>
      <c r="Q154" s="58" t="n"/>
      <c r="R154" s="63">
        <f>IF(NOT((COUNTA($B154:$D154)+COUNTA($G154:$L154)+COUNTA($Q154))&gt;0),"",IF((IF($C154="","Falta el nombre de la actividad"&amp;" · ","")&amp;IF(AND($V154="Sub",N($U154)=0),"Subactividad sin macroactividad arriba"&amp;" · ","")&amp;IF($AM154="","Sin fecha de inicio"&amp;" · ","")&amp;IF($AN154="","Sin fecha límite"&amp;" · ","")&amp;IF(AND(LEFT($C154,11)="[Jefatura] ",N($AL154)=0),"No se encuentra en la hoja de la jefatura (elíjala de nuevo en la lista)"&amp;" · ","")&amp;IF(OR(AND($E154&lt;&gt;"",NOT(ISNUMBER($E154))),AND($F154&lt;&gt;"",NOT(ISNUMBER($F154))),AND($G154&lt;&gt;"",NOT(ISNUMBER($G154)))),"Fecha no válida"&amp;" · ","")&amp;IF(AND(ISNUMBER($AM154),ISNUMBER($AN154),$AM154&gt;$AN154),"Inicio posterior a fecha límite"&amp;" · ","")&amp;IF(AND($V154="Macro",$H154&lt;&gt;"",OR(NOT(ISNUMBER($H154)),$H154&lt;0,$H154&gt;1)),"Peso fuera de rango"&amp;" · ","")&amp;IF(AND($V154="Sub",$H154&lt;&gt;""),"Las subactividades no llevan peso (valen igual dentro de su macroactividad)"&amp;" · ","")&amp;IF(AND(N($W154)&gt;0,COUNT($I154:$L154)&gt;0),"Con subactividades: deje vacías las semanas (se calculan solas)"&amp;" · ","")&amp;IF((COUNTIF($I154:$L154,"&gt;1")+COUNTIF($I154:$L154,"&lt;0")+COUNTA($I154:$L154)-COUNT($I154:$L154))&gt;0,"Avance fuera de rango 0-100%"&amp;" · ","")&amp;IF(OR(AND($J154&lt;&gt;"",$J154&lt;$I154),AND($K154&lt;&gt;"",$K154&lt;MAX($I154:$J154)),AND($L154&lt;&gt;"",$L154&lt;MAX($I154:$K154))),"Avance semanal decreciente"&amp;" · ","")&amp;IF(AND(ISNUMBER($AN154),$AN154&lt;FechaRef,IF($V154="Sub",N($X154),N($M154))&lt;1),"Vencida"&amp;" · ","")&amp;IF(AND(ObsObligatoria="Sí",ISNUMBER($AN154),$AN154&lt;FechaRef,IF($V154="Sub",N($X154),N($M154))&lt;1,$Q154=""),"Vencida sin observación"&amp;" · ",""))="","✔ OK","⚠ "&amp;LEFT(IF($C154="","Falta el nombre de la actividad"&amp;" · ","")&amp;IF(AND($V154="Sub",N($U154)=0),"Subactividad sin macroactividad arriba"&amp;" · ","")&amp;IF($AM154="","Sin fecha de inicio"&amp;" · ","")&amp;IF($AN154="","Sin fecha límite"&amp;" · ","")&amp;IF(AND(LEFT($C154,11)="[Jefatura] ",N($AL154)=0),"No se encuentra en la hoja de la jefatura (elíjala de nuevo en la lista)"&amp;" · ","")&amp;IF(OR(AND($E154&lt;&gt;"",NOT(ISNUMBER($E154))),AND($F154&lt;&gt;"",NOT(ISNUMBER($F154))),AND($G154&lt;&gt;"",NOT(ISNUMBER($G154)))),"Fecha no válida"&amp;" · ","")&amp;IF(AND(ISNUMBER($AM154),ISNUMBER($AN154),$AM154&gt;$AN154),"Inicio posterior a fecha límite"&amp;" · ","")&amp;IF(AND($V154="Macro",$H154&lt;&gt;"",OR(NOT(ISNUMBER($H154)),$H154&lt;0,$H154&gt;1)),"Peso fuera de rango"&amp;" · ","")&amp;IF(AND($V154="Sub",$H154&lt;&gt;""),"Las subactividades no llevan peso (valen igual dentro de su macroactividad)"&amp;" · ","")&amp;IF(AND(N($W154)&gt;0,COUNT($I154:$L154)&gt;0),"Con subactividades: deje vacías las semanas (se calculan solas)"&amp;" · ","")&amp;IF((COUNTIF($I154:$L154,"&gt;1")+COUNTIF($I154:$L154,"&lt;0")+COUNTA($I154:$L154)-COUNT($I154:$L154))&gt;0,"Avance fuera de rango 0-100%"&amp;" · ","")&amp;IF(OR(AND($J154&lt;&gt;"",$J154&lt;$I154),AND($K154&lt;&gt;"",$K154&lt;MAX($I154:$J154)),AND($L154&lt;&gt;"",$L154&lt;MAX($I154:$K154))),"Avance semanal decreciente"&amp;" · ","")&amp;IF(AND(ISNUMBER($AN154),$AN154&lt;FechaRef,IF($V154="Sub",N($X154),N($M154))&lt;1),"Vencida"&amp;" · ","")&amp;IF(AND(ObsObligatoria="Sí",ISNUMBER($AN154),$AN154&lt;FechaRef,IF($V154="Sub",N($X154),N($M154))&lt;1,$Q154=""),"Vencida sin observación"&amp;" · ",""),LEN(IF($C154="","Falta el nombre de la actividad"&amp;" · ","")&amp;IF(AND($V154="Sub",N($U154)=0),"Subactividad sin macroactividad arriba"&amp;" · ","")&amp;IF($AM154="","Sin fecha de inicio"&amp;" · ","")&amp;IF($AN154="","Sin fecha límite"&amp;" · ","")&amp;IF(AND(LEFT($C154,11)="[Jefatura] ",N($AL154)=0),"No se encuentra en la hoja de la jefatura (elíjala de nuevo en la lista)"&amp;" · ","")&amp;IF(OR(AND($E154&lt;&gt;"",NOT(ISNUMBER($E154))),AND($F154&lt;&gt;"",NOT(ISNUMBER($F154))),AND($G154&lt;&gt;"",NOT(ISNUMBER($G154)))),"Fecha no válida"&amp;" · ","")&amp;IF(AND(ISNUMBER($AM154),ISNUMBER($AN154),$AM154&gt;$AN154),"Inicio posterior a fecha límite"&amp;" · ","")&amp;IF(AND($V154="Macro",$H154&lt;&gt;"",OR(NOT(ISNUMBER($H154)),$H154&lt;0,$H154&gt;1)),"Peso fuera de rango"&amp;" · ","")&amp;IF(AND($V154="Sub",$H154&lt;&gt;""),"Las subactividades no llevan peso (valen igual dentro de su macroactividad)"&amp;" · ","")&amp;IF(AND(N($W154)&gt;0,COUNT($I154:$L154)&gt;0),"Con subactividades: deje vacías las semanas (se calculan solas)"&amp;" · ","")&amp;IF((COUNTIF($I154:$L154,"&gt;1")+COUNTIF($I154:$L154,"&lt;0")+COUNTA($I154:$L154)-COUNT($I154:$L154))&gt;0,"Avance fuera de rango 0-100%"&amp;" · ","")&amp;IF(OR(AND($J154&lt;&gt;"",$J154&lt;$I154),AND($K154&lt;&gt;"",$K154&lt;MAX($I154:$J154)),AND($L154&lt;&gt;"",$L154&lt;MAX($I154:$K154))),"Avance semanal decreciente"&amp;" · ","")&amp;IF(AND(ISNUMBER($AN154),$AN154&lt;FechaRef,IF($V154="Sub",N($X154),N($M154))&lt;1),"Vencida"&amp;" · ","")&amp;IF(AND(ObsObligatoria="Sí",ISNUMBER($AN154),$AN154&lt;FechaRef,IF($V154="Sub",N($X154),N($M154))&lt;1,$Q154=""),"Vencida sin observación"&amp;" · ",""))-3)))</f>
        <v/>
      </c>
      <c r="S154" s="64">
        <f>IF(NOT((COUNTA($B154:$D154)+COUNTA($G154:$L154)+COUNTA($Q154))&gt;0),"",IF(AND($V154="Sub",N($U154)&gt;0),IF(ISNUMBER(INDEX($AM$5:$AM$1000,$U154-4)),DATE(YEAR(INDEX($AM$5:$AM$1000,$U154-4)),MONTH(INDEX($AM$5:$AM$1000,$U154-4)),1),IF(ISNUMBER(INDEX($AN$5:$AN$1000,$U154-4)),DATE(YEAR(INDEX($AN$5:$AN$1000,$U154-4)),MONTH(INDEX($AN$5:$AN$1000,$U154-4)),1),MesCiclo)),IF(ISNUMBER($AM154),DATE(YEAR($AM154),MONTH($AM154),1),IF(ISNUMBER($AN154),DATE(YEAR($AN154),MONTH($AN154),1),MesCiclo))))</f>
        <v/>
      </c>
      <c r="T154" s="62">
        <f>IF(OR($S154="",$S154&lt;&gt;MesCiclo,$V154&lt;&gt;"Macro"),"",COUNTIFS($S$5:$S154,MesCiclo,$V$5:$V154,"Macro"))</f>
        <v/>
      </c>
      <c r="U154" s="62">
        <f>IF($V154="","",IF($V154="Macro",ROW(),IFERROR(LOOKUP(2,1/($V$5:$V154="Macro"),ROW($V$5:$V154)),0)))</f>
        <v/>
      </c>
      <c r="V154" s="62">
        <f>IF(NOT((COUNTA($B154:$D154)+COUNTA($G154:$L154)+COUNTA($Q154))&gt;0),"",IF($B154="Subactividad","Sub","Macro"))</f>
        <v/>
      </c>
      <c r="W154" s="62">
        <f>IF($V154="Macro",COUNTIFS($U$5:$U$1000,ROW(),$V$5:$V$1000,"Sub"),"")</f>
        <v/>
      </c>
      <c r="X154" s="62">
        <f>IF($V154="","",IF(ISNUMBER($G154),1,IFERROR(LOOKUP(2,1/($I154:$L154&lt;&gt;""),$I154:$L154),0)))</f>
        <v/>
      </c>
      <c r="Y154" s="62">
        <f>IF($V154="","",IF(AND(ISNUMBER($G154),$G154&lt;=IF($S154=MesCiclo,InicioCiclo,$S154+MOD(2-WEEKDAY($S154),7))+6),1,IF(ISNUMBER($I154),$I154,0)))</f>
        <v/>
      </c>
      <c r="Z154" s="62">
        <f>IF($V154="","",IF(AND(ISNUMBER($G154),$G154&lt;=IF($S154=MesCiclo,InicioCiclo,$S154+MOD(2-WEEKDAY($S154),7))+13),1,IF(ISNUMBER($J154),$J154,$Y154)))</f>
        <v/>
      </c>
      <c r="AA154" s="62">
        <f>IF($V154="","",IF(AND(ISNUMBER($G154),$G154&lt;=IF($S154=MesCiclo,InicioCiclo,$S154+MOD(2-WEEKDAY($S154),7))+20),1,IF(ISNUMBER($K154),$K154,$Z154)))</f>
        <v/>
      </c>
      <c r="AB154" s="62">
        <f>IF($V154="","",IF(AND(ISNUMBER($G154),$G154&lt;=IF($S154=MesCiclo,InicioCiclo,$S154+MOD(2-WEEKDAY($S154),7))+27),1,IF(ISNUMBER($L154),$L154,$AA154)))</f>
        <v/>
      </c>
      <c r="AC154" s="62">
        <f>IF($V154="","",IF(AND(ISNUMBER($G154),$G154&lt;=IF($S154=MesCiclo,InicioCiclo,$S154+MOD(2-WEEKDAY($S154),7))+6),1,IF(N($W154)&gt;0,AVERAGEIFS($Y$5:$Y$1000,$U$5:$U$1000,ROW(),$V$5:$V$1000,"Sub"),$Y154)))</f>
        <v/>
      </c>
      <c r="AD154" s="62">
        <f>IF($V154="","",IF(AND(ISNUMBER($G154),$G154&lt;=IF($S154=MesCiclo,InicioCiclo,$S154+MOD(2-WEEKDAY($S154),7))+13),1,IF(N($W154)&gt;0,AVERAGEIFS($Z$5:$Z$1000,$U$5:$U$1000,ROW(),$V$5:$V$1000,"Sub"),$Z154)))</f>
        <v/>
      </c>
      <c r="AE154" s="62">
        <f>IF($V154="","",IF(AND(ISNUMBER($G154),$G154&lt;=IF($S154=MesCiclo,InicioCiclo,$S154+MOD(2-WEEKDAY($S154),7))+20),1,IF(N($W154)&gt;0,AVERAGEIFS($AA$5:$AA$1000,$U$5:$U$1000,ROW(),$V$5:$V$1000,"Sub"),$AA154)))</f>
        <v/>
      </c>
      <c r="AF154" s="62">
        <f>IF($V154="","",IF(AND(ISNUMBER($G154),$G154&lt;=IF($S154=MesCiclo,InicioCiclo,$S154+MOD(2-WEEKDAY($S154),7))+27),1,IF(N($W154)&gt;0,AVERAGEIFS($AB$5:$AB$1000,$U$5:$U$1000,ROW(),$V$5:$V$1000,"Sub"),$AB154)))</f>
        <v/>
      </c>
      <c r="AG154" s="62">
        <f>IF($V154&lt;&gt;"Macro","",IF(COUNTIFS($S$5:$S$1000,$S154,$V$5:$V$1000,"Macro",$H$5:$H$1000,"&gt;0")=0,1/COUNTIFS($S$5:$S$1000,$S154,$V$5:$V$1000,"Macro"),IF(AND(ISNUMBER($H154),N($H154)&gt;0),$H154,SUMIFS($H$5:$H$1000,$S$5:$S$1000,$S154,$V$5:$V$1000,"Macro")/COUNTIFS($S$5:$S$1000,$S154,$V$5:$V$1000,"Macro",$H$5:$H$1000,"&gt;0"))/(COUNTIFS($S$5:$S$1000,$S154,$V$5:$V$1000,"Macro")*SUMIFS($H$5:$H$1000,$S$5:$S$1000,$S154,$V$5:$V$1000,"Macro")/COUNTIFS($S$5:$S$1000,$S154,$V$5:$V$1000,"Macro",$H$5:$H$1000,"&gt;0"))))</f>
        <v/>
      </c>
      <c r="AH154" s="62" t="n"/>
      <c r="AI154" s="62" t="n"/>
      <c r="AJ154" s="62" t="n"/>
      <c r="AK154" s="62" t="n"/>
      <c r="AL154" s="62">
        <f>IF(LEFT($C154,11)="[Jefatura] ",IFERROR(MATCH("Asistente Técnico de Riesgo|"&amp;MID($C154,12,500),rDname_ADM,0),0),"")</f>
        <v/>
      </c>
      <c r="AM154" s="62">
        <f>IF(N($AL154)&gt;0,INDEX(rIni_ADM,$AL154),IF(ISNUMBER($E154),$E154,""))</f>
        <v/>
      </c>
      <c r="AN154" s="62">
        <f>IF(N($AL154)&gt;0,INDEX(rLim_ADM,$AL154),IF(ISNUMBER($F154),$F154,""))</f>
        <v/>
      </c>
    </row>
    <row r="155">
      <c r="A155" s="56">
        <f>IF(NOT((COUNTA($B155:$D155)+COUNTA($G155:$L155)+COUNTA($Q155))&gt;0),"",IF($V155="Macro",COUNTIFS($V$5:$V155,"Macro",$S$5:$S155,$S155),IF(N($U155)=0,"?",COUNTIFS(INDEX($V$5:$V$1000,1):INDEX($V$5:$V$1000,$U155-4),"Macro",INDEX($S$5:$S$1000,1):INDEX($S$5:$S$1000,$U155-4),INDEX($S$5:$S$1000,$U155-4))&amp;"."&amp;COUNTIFS($U$5:$U155,$U155,$V$5:$V155,"Sub"))))</f>
        <v/>
      </c>
      <c r="B155" s="57" t="n"/>
      <c r="C155" s="58" t="n"/>
      <c r="D155" s="58" t="n"/>
      <c r="E155" s="59">
        <f>IF(N($AL155)&gt;0,INDEX(rIni_ADM,$AL155),"")</f>
        <v/>
      </c>
      <c r="F155" s="59">
        <f>IF(N($AL155)&gt;0,INDEX(rLim_ADM,$AL155),"")</f>
        <v/>
      </c>
      <c r="G155" s="59" t="n"/>
      <c r="H155" s="60" t="n"/>
      <c r="I155" s="60" t="n"/>
      <c r="J155" s="60" t="n"/>
      <c r="K155" s="60" t="n"/>
      <c r="L155" s="60" t="n"/>
      <c r="M155" s="61">
        <f>IF(NOT((COUNTA($B155:$D155)+COUNTA($G155:$L155)+COUNTA($Q155))&gt;0),"",IF($V155="Sub",IFERROR($X155/INDEX($W$5:$W$1000,$U155-4),""),IF(ISNUMBER($G155),1,IF(N($W155)&gt;0,AVERAGEIFS($X$5:$X$1000,$U$5:$U$1000,ROW(),$V$5:$V$1000,"Sub"),$X155))))</f>
        <v/>
      </c>
      <c r="N155" s="56">
        <f>IF(OR($M155="",$V155="Sub"),"",IF($M155&gt;=1,"Completado",IF($M155&gt;0,"En curso","Pendiente")))</f>
        <v/>
      </c>
      <c r="O155" s="56">
        <f>IF(OR(NOT((COUNTA($B155:$D155)+COUNTA($G155:$L155)+COUNTA($Q155))&gt;0),$V155="Sub"),"",IF(ISNUMBER($G155),IF(AND(ISNUMBER($AN155),$G155&gt;$AN155),"Cumplida con "&amp;($G155-$AN155)&amp;IF($G155-$AN155=1," día"," días")&amp;" de retraso","Cumplida"),IF(N($M155)&gt;=1,"Cumplida",IF(NOT(ISNUMBER($AN155)),"Sin fecha límite",IF($AN155&lt;FechaRef,"Vencida hace "&amp;(FechaRef-$AN155)&amp;IF(FechaRef-$AN155=1," día"," días"),IF($AN155=FechaRef,"Vence hoy",IF($AN155-FechaRef&lt;=DiasAlerta,"Vence en "&amp;($AN155-FechaRef)&amp;IF($AN155-FechaRef=1," día"," días"),"En plazo")))))))</f>
        <v/>
      </c>
      <c r="P155" s="62" t="n"/>
      <c r="Q155" s="58" t="n"/>
      <c r="R155" s="63">
        <f>IF(NOT((COUNTA($B155:$D155)+COUNTA($G155:$L155)+COUNTA($Q155))&gt;0),"",IF((IF($C155="","Falta el nombre de la actividad"&amp;" · ","")&amp;IF(AND($V155="Sub",N($U155)=0),"Subactividad sin macroactividad arriba"&amp;" · ","")&amp;IF($AM155="","Sin fecha de inicio"&amp;" · ","")&amp;IF($AN155="","Sin fecha límite"&amp;" · ","")&amp;IF(AND(LEFT($C155,11)="[Jefatura] ",N($AL155)=0),"No se encuentra en la hoja de la jefatura (elíjala de nuevo en la lista)"&amp;" · ","")&amp;IF(OR(AND($E155&lt;&gt;"",NOT(ISNUMBER($E155))),AND($F155&lt;&gt;"",NOT(ISNUMBER($F155))),AND($G155&lt;&gt;"",NOT(ISNUMBER($G155)))),"Fecha no válida"&amp;" · ","")&amp;IF(AND(ISNUMBER($AM155),ISNUMBER($AN155),$AM155&gt;$AN155),"Inicio posterior a fecha límite"&amp;" · ","")&amp;IF(AND($V155="Macro",$H155&lt;&gt;"",OR(NOT(ISNUMBER($H155)),$H155&lt;0,$H155&gt;1)),"Peso fuera de rango"&amp;" · ","")&amp;IF(AND($V155="Sub",$H155&lt;&gt;""),"Las subactividades no llevan peso (valen igual dentro de su macroactividad)"&amp;" · ","")&amp;IF(AND(N($W155)&gt;0,COUNT($I155:$L155)&gt;0),"Con subactividades: deje vacías las semanas (se calculan solas)"&amp;" · ","")&amp;IF((COUNTIF($I155:$L155,"&gt;1")+COUNTIF($I155:$L155,"&lt;0")+COUNTA($I155:$L155)-COUNT($I155:$L155))&gt;0,"Avance fuera de rango 0-100%"&amp;" · ","")&amp;IF(OR(AND($J155&lt;&gt;"",$J155&lt;$I155),AND($K155&lt;&gt;"",$K155&lt;MAX($I155:$J155)),AND($L155&lt;&gt;"",$L155&lt;MAX($I155:$K155))),"Avance semanal decreciente"&amp;" · ","")&amp;IF(AND(ISNUMBER($AN155),$AN155&lt;FechaRef,IF($V155="Sub",N($X155),N($M155))&lt;1),"Vencida"&amp;" · ","")&amp;IF(AND(ObsObligatoria="Sí",ISNUMBER($AN155),$AN155&lt;FechaRef,IF($V155="Sub",N($X155),N($M155))&lt;1,$Q155=""),"Vencida sin observación"&amp;" · ",""))="","✔ OK","⚠ "&amp;LEFT(IF($C155="","Falta el nombre de la actividad"&amp;" · ","")&amp;IF(AND($V155="Sub",N($U155)=0),"Subactividad sin macroactividad arriba"&amp;" · ","")&amp;IF($AM155="","Sin fecha de inicio"&amp;" · ","")&amp;IF($AN155="","Sin fecha límite"&amp;" · ","")&amp;IF(AND(LEFT($C155,11)="[Jefatura] ",N($AL155)=0),"No se encuentra en la hoja de la jefatura (elíjala de nuevo en la lista)"&amp;" · ","")&amp;IF(OR(AND($E155&lt;&gt;"",NOT(ISNUMBER($E155))),AND($F155&lt;&gt;"",NOT(ISNUMBER($F155))),AND($G155&lt;&gt;"",NOT(ISNUMBER($G155)))),"Fecha no válida"&amp;" · ","")&amp;IF(AND(ISNUMBER($AM155),ISNUMBER($AN155),$AM155&gt;$AN155),"Inicio posterior a fecha límite"&amp;" · ","")&amp;IF(AND($V155="Macro",$H155&lt;&gt;"",OR(NOT(ISNUMBER($H155)),$H155&lt;0,$H155&gt;1)),"Peso fuera de rango"&amp;" · ","")&amp;IF(AND($V155="Sub",$H155&lt;&gt;""),"Las subactividades no llevan peso (valen igual dentro de su macroactividad)"&amp;" · ","")&amp;IF(AND(N($W155)&gt;0,COUNT($I155:$L155)&gt;0),"Con subactividades: deje vacías las semanas (se calculan solas)"&amp;" · ","")&amp;IF((COUNTIF($I155:$L155,"&gt;1")+COUNTIF($I155:$L155,"&lt;0")+COUNTA($I155:$L155)-COUNT($I155:$L155))&gt;0,"Avance fuera de rango 0-100%"&amp;" · ","")&amp;IF(OR(AND($J155&lt;&gt;"",$J155&lt;$I155),AND($K155&lt;&gt;"",$K155&lt;MAX($I155:$J155)),AND($L155&lt;&gt;"",$L155&lt;MAX($I155:$K155))),"Avance semanal decreciente"&amp;" · ","")&amp;IF(AND(ISNUMBER($AN155),$AN155&lt;FechaRef,IF($V155="Sub",N($X155),N($M155))&lt;1),"Vencida"&amp;" · ","")&amp;IF(AND(ObsObligatoria="Sí",ISNUMBER($AN155),$AN155&lt;FechaRef,IF($V155="Sub",N($X155),N($M155))&lt;1,$Q155=""),"Vencida sin observación"&amp;" · ",""),LEN(IF($C155="","Falta el nombre de la actividad"&amp;" · ","")&amp;IF(AND($V155="Sub",N($U155)=0),"Subactividad sin macroactividad arriba"&amp;" · ","")&amp;IF($AM155="","Sin fecha de inicio"&amp;" · ","")&amp;IF($AN155="","Sin fecha límite"&amp;" · ","")&amp;IF(AND(LEFT($C155,11)="[Jefatura] ",N($AL155)=0),"No se encuentra en la hoja de la jefatura (elíjala de nuevo en la lista)"&amp;" · ","")&amp;IF(OR(AND($E155&lt;&gt;"",NOT(ISNUMBER($E155))),AND($F155&lt;&gt;"",NOT(ISNUMBER($F155))),AND($G155&lt;&gt;"",NOT(ISNUMBER($G155)))),"Fecha no válida"&amp;" · ","")&amp;IF(AND(ISNUMBER($AM155),ISNUMBER($AN155),$AM155&gt;$AN155),"Inicio posterior a fecha límite"&amp;" · ","")&amp;IF(AND($V155="Macro",$H155&lt;&gt;"",OR(NOT(ISNUMBER($H155)),$H155&lt;0,$H155&gt;1)),"Peso fuera de rango"&amp;" · ","")&amp;IF(AND($V155="Sub",$H155&lt;&gt;""),"Las subactividades no llevan peso (valen igual dentro de su macroactividad)"&amp;" · ","")&amp;IF(AND(N($W155)&gt;0,COUNT($I155:$L155)&gt;0),"Con subactividades: deje vacías las semanas (se calculan solas)"&amp;" · ","")&amp;IF((COUNTIF($I155:$L155,"&gt;1")+COUNTIF($I155:$L155,"&lt;0")+COUNTA($I155:$L155)-COUNT($I155:$L155))&gt;0,"Avance fuera de rango 0-100%"&amp;" · ","")&amp;IF(OR(AND($J155&lt;&gt;"",$J155&lt;$I155),AND($K155&lt;&gt;"",$K155&lt;MAX($I155:$J155)),AND($L155&lt;&gt;"",$L155&lt;MAX($I155:$K155))),"Avance semanal decreciente"&amp;" · ","")&amp;IF(AND(ISNUMBER($AN155),$AN155&lt;FechaRef,IF($V155="Sub",N($X155),N($M155))&lt;1),"Vencida"&amp;" · ","")&amp;IF(AND(ObsObligatoria="Sí",ISNUMBER($AN155),$AN155&lt;FechaRef,IF($V155="Sub",N($X155),N($M155))&lt;1,$Q155=""),"Vencida sin observación"&amp;" · ",""))-3)))</f>
        <v/>
      </c>
      <c r="S155" s="64">
        <f>IF(NOT((COUNTA($B155:$D155)+COUNTA($G155:$L155)+COUNTA($Q155))&gt;0),"",IF(AND($V155="Sub",N($U155)&gt;0),IF(ISNUMBER(INDEX($AM$5:$AM$1000,$U155-4)),DATE(YEAR(INDEX($AM$5:$AM$1000,$U155-4)),MONTH(INDEX($AM$5:$AM$1000,$U155-4)),1),IF(ISNUMBER(INDEX($AN$5:$AN$1000,$U155-4)),DATE(YEAR(INDEX($AN$5:$AN$1000,$U155-4)),MONTH(INDEX($AN$5:$AN$1000,$U155-4)),1),MesCiclo)),IF(ISNUMBER($AM155),DATE(YEAR($AM155),MONTH($AM155),1),IF(ISNUMBER($AN155),DATE(YEAR($AN155),MONTH($AN155),1),MesCiclo))))</f>
        <v/>
      </c>
      <c r="T155" s="62">
        <f>IF(OR($S155="",$S155&lt;&gt;MesCiclo,$V155&lt;&gt;"Macro"),"",COUNTIFS($S$5:$S155,MesCiclo,$V$5:$V155,"Macro"))</f>
        <v/>
      </c>
      <c r="U155" s="62">
        <f>IF($V155="","",IF($V155="Macro",ROW(),IFERROR(LOOKUP(2,1/($V$5:$V155="Macro"),ROW($V$5:$V155)),0)))</f>
        <v/>
      </c>
      <c r="V155" s="62">
        <f>IF(NOT((COUNTA($B155:$D155)+COUNTA($G155:$L155)+COUNTA($Q155))&gt;0),"",IF($B155="Subactividad","Sub","Macro"))</f>
        <v/>
      </c>
      <c r="W155" s="62">
        <f>IF($V155="Macro",COUNTIFS($U$5:$U$1000,ROW(),$V$5:$V$1000,"Sub"),"")</f>
        <v/>
      </c>
      <c r="X155" s="62">
        <f>IF($V155="","",IF(ISNUMBER($G155),1,IFERROR(LOOKUP(2,1/($I155:$L155&lt;&gt;""),$I155:$L155),0)))</f>
        <v/>
      </c>
      <c r="Y155" s="62">
        <f>IF($V155="","",IF(AND(ISNUMBER($G155),$G155&lt;=IF($S155=MesCiclo,InicioCiclo,$S155+MOD(2-WEEKDAY($S155),7))+6),1,IF(ISNUMBER($I155),$I155,0)))</f>
        <v/>
      </c>
      <c r="Z155" s="62">
        <f>IF($V155="","",IF(AND(ISNUMBER($G155),$G155&lt;=IF($S155=MesCiclo,InicioCiclo,$S155+MOD(2-WEEKDAY($S155),7))+13),1,IF(ISNUMBER($J155),$J155,$Y155)))</f>
        <v/>
      </c>
      <c r="AA155" s="62">
        <f>IF($V155="","",IF(AND(ISNUMBER($G155),$G155&lt;=IF($S155=MesCiclo,InicioCiclo,$S155+MOD(2-WEEKDAY($S155),7))+20),1,IF(ISNUMBER($K155),$K155,$Z155)))</f>
        <v/>
      </c>
      <c r="AB155" s="62">
        <f>IF($V155="","",IF(AND(ISNUMBER($G155),$G155&lt;=IF($S155=MesCiclo,InicioCiclo,$S155+MOD(2-WEEKDAY($S155),7))+27),1,IF(ISNUMBER($L155),$L155,$AA155)))</f>
        <v/>
      </c>
      <c r="AC155" s="62">
        <f>IF($V155="","",IF(AND(ISNUMBER($G155),$G155&lt;=IF($S155=MesCiclo,InicioCiclo,$S155+MOD(2-WEEKDAY($S155),7))+6),1,IF(N($W155)&gt;0,AVERAGEIFS($Y$5:$Y$1000,$U$5:$U$1000,ROW(),$V$5:$V$1000,"Sub"),$Y155)))</f>
        <v/>
      </c>
      <c r="AD155" s="62">
        <f>IF($V155="","",IF(AND(ISNUMBER($G155),$G155&lt;=IF($S155=MesCiclo,InicioCiclo,$S155+MOD(2-WEEKDAY($S155),7))+13),1,IF(N($W155)&gt;0,AVERAGEIFS($Z$5:$Z$1000,$U$5:$U$1000,ROW(),$V$5:$V$1000,"Sub"),$Z155)))</f>
        <v/>
      </c>
      <c r="AE155" s="62">
        <f>IF($V155="","",IF(AND(ISNUMBER($G155),$G155&lt;=IF($S155=MesCiclo,InicioCiclo,$S155+MOD(2-WEEKDAY($S155),7))+20),1,IF(N($W155)&gt;0,AVERAGEIFS($AA$5:$AA$1000,$U$5:$U$1000,ROW(),$V$5:$V$1000,"Sub"),$AA155)))</f>
        <v/>
      </c>
      <c r="AF155" s="62">
        <f>IF($V155="","",IF(AND(ISNUMBER($G155),$G155&lt;=IF($S155=MesCiclo,InicioCiclo,$S155+MOD(2-WEEKDAY($S155),7))+27),1,IF(N($W155)&gt;0,AVERAGEIFS($AB$5:$AB$1000,$U$5:$U$1000,ROW(),$V$5:$V$1000,"Sub"),$AB155)))</f>
        <v/>
      </c>
      <c r="AG155" s="62">
        <f>IF($V155&lt;&gt;"Macro","",IF(COUNTIFS($S$5:$S$1000,$S155,$V$5:$V$1000,"Macro",$H$5:$H$1000,"&gt;0")=0,1/COUNTIFS($S$5:$S$1000,$S155,$V$5:$V$1000,"Macro"),IF(AND(ISNUMBER($H155),N($H155)&gt;0),$H155,SUMIFS($H$5:$H$1000,$S$5:$S$1000,$S155,$V$5:$V$1000,"Macro")/COUNTIFS($S$5:$S$1000,$S155,$V$5:$V$1000,"Macro",$H$5:$H$1000,"&gt;0"))/(COUNTIFS($S$5:$S$1000,$S155,$V$5:$V$1000,"Macro")*SUMIFS($H$5:$H$1000,$S$5:$S$1000,$S155,$V$5:$V$1000,"Macro")/COUNTIFS($S$5:$S$1000,$S155,$V$5:$V$1000,"Macro",$H$5:$H$1000,"&gt;0"))))</f>
        <v/>
      </c>
      <c r="AH155" s="62" t="n"/>
      <c r="AI155" s="62" t="n"/>
      <c r="AJ155" s="62" t="n"/>
      <c r="AK155" s="62" t="n"/>
      <c r="AL155" s="62">
        <f>IF(LEFT($C155,11)="[Jefatura] ",IFERROR(MATCH("Asistente Técnico de Riesgo|"&amp;MID($C155,12,500),rDname_ADM,0),0),"")</f>
        <v/>
      </c>
      <c r="AM155" s="62">
        <f>IF(N($AL155)&gt;0,INDEX(rIni_ADM,$AL155),IF(ISNUMBER($E155),$E155,""))</f>
        <v/>
      </c>
      <c r="AN155" s="62">
        <f>IF(N($AL155)&gt;0,INDEX(rLim_ADM,$AL155),IF(ISNUMBER($F155),$F155,""))</f>
        <v/>
      </c>
    </row>
    <row r="156">
      <c r="A156" s="56">
        <f>IF(NOT((COUNTA($B156:$D156)+COUNTA($G156:$L156)+COUNTA($Q156))&gt;0),"",IF($V156="Macro",COUNTIFS($V$5:$V156,"Macro",$S$5:$S156,$S156),IF(N($U156)=0,"?",COUNTIFS(INDEX($V$5:$V$1000,1):INDEX($V$5:$V$1000,$U156-4),"Macro",INDEX($S$5:$S$1000,1):INDEX($S$5:$S$1000,$U156-4),INDEX($S$5:$S$1000,$U156-4))&amp;"."&amp;COUNTIFS($U$5:$U156,$U156,$V$5:$V156,"Sub"))))</f>
        <v/>
      </c>
      <c r="B156" s="57" t="n"/>
      <c r="C156" s="58" t="n"/>
      <c r="D156" s="58" t="n"/>
      <c r="E156" s="59">
        <f>IF(N($AL156)&gt;0,INDEX(rIni_ADM,$AL156),"")</f>
        <v/>
      </c>
      <c r="F156" s="59">
        <f>IF(N($AL156)&gt;0,INDEX(rLim_ADM,$AL156),"")</f>
        <v/>
      </c>
      <c r="G156" s="59" t="n"/>
      <c r="H156" s="60" t="n"/>
      <c r="I156" s="60" t="n"/>
      <c r="J156" s="60" t="n"/>
      <c r="K156" s="60" t="n"/>
      <c r="L156" s="60" t="n"/>
      <c r="M156" s="61">
        <f>IF(NOT((COUNTA($B156:$D156)+COUNTA($G156:$L156)+COUNTA($Q156))&gt;0),"",IF($V156="Sub",IFERROR($X156/INDEX($W$5:$W$1000,$U156-4),""),IF(ISNUMBER($G156),1,IF(N($W156)&gt;0,AVERAGEIFS($X$5:$X$1000,$U$5:$U$1000,ROW(),$V$5:$V$1000,"Sub"),$X156))))</f>
        <v/>
      </c>
      <c r="N156" s="56">
        <f>IF(OR($M156="",$V156="Sub"),"",IF($M156&gt;=1,"Completado",IF($M156&gt;0,"En curso","Pendiente")))</f>
        <v/>
      </c>
      <c r="O156" s="56">
        <f>IF(OR(NOT((COUNTA($B156:$D156)+COUNTA($G156:$L156)+COUNTA($Q156))&gt;0),$V156="Sub"),"",IF(ISNUMBER($G156),IF(AND(ISNUMBER($AN156),$G156&gt;$AN156),"Cumplida con "&amp;($G156-$AN156)&amp;IF($G156-$AN156=1," día"," días")&amp;" de retraso","Cumplida"),IF(N($M156)&gt;=1,"Cumplida",IF(NOT(ISNUMBER($AN156)),"Sin fecha límite",IF($AN156&lt;FechaRef,"Vencida hace "&amp;(FechaRef-$AN156)&amp;IF(FechaRef-$AN156=1," día"," días"),IF($AN156=FechaRef,"Vence hoy",IF($AN156-FechaRef&lt;=DiasAlerta,"Vence en "&amp;($AN156-FechaRef)&amp;IF($AN156-FechaRef=1," día"," días"),"En plazo")))))))</f>
        <v/>
      </c>
      <c r="P156" s="62" t="n"/>
      <c r="Q156" s="58" t="n"/>
      <c r="R156" s="63">
        <f>IF(NOT((COUNTA($B156:$D156)+COUNTA($G156:$L156)+COUNTA($Q156))&gt;0),"",IF((IF($C156="","Falta el nombre de la actividad"&amp;" · ","")&amp;IF(AND($V156="Sub",N($U156)=0),"Subactividad sin macroactividad arriba"&amp;" · ","")&amp;IF($AM156="","Sin fecha de inicio"&amp;" · ","")&amp;IF($AN156="","Sin fecha límite"&amp;" · ","")&amp;IF(AND(LEFT($C156,11)="[Jefatura] ",N($AL156)=0),"No se encuentra en la hoja de la jefatura (elíjala de nuevo en la lista)"&amp;" · ","")&amp;IF(OR(AND($E156&lt;&gt;"",NOT(ISNUMBER($E156))),AND($F156&lt;&gt;"",NOT(ISNUMBER($F156))),AND($G156&lt;&gt;"",NOT(ISNUMBER($G156)))),"Fecha no válida"&amp;" · ","")&amp;IF(AND(ISNUMBER($AM156),ISNUMBER($AN156),$AM156&gt;$AN156),"Inicio posterior a fecha límite"&amp;" · ","")&amp;IF(AND($V156="Macro",$H156&lt;&gt;"",OR(NOT(ISNUMBER($H156)),$H156&lt;0,$H156&gt;1)),"Peso fuera de rango"&amp;" · ","")&amp;IF(AND($V156="Sub",$H156&lt;&gt;""),"Las subactividades no llevan peso (valen igual dentro de su macroactividad)"&amp;" · ","")&amp;IF(AND(N($W156)&gt;0,COUNT($I156:$L156)&gt;0),"Con subactividades: deje vacías las semanas (se calculan solas)"&amp;" · ","")&amp;IF((COUNTIF($I156:$L156,"&gt;1")+COUNTIF($I156:$L156,"&lt;0")+COUNTA($I156:$L156)-COUNT($I156:$L156))&gt;0,"Avance fuera de rango 0-100%"&amp;" · ","")&amp;IF(OR(AND($J156&lt;&gt;"",$J156&lt;$I156),AND($K156&lt;&gt;"",$K156&lt;MAX($I156:$J156)),AND($L156&lt;&gt;"",$L156&lt;MAX($I156:$K156))),"Avance semanal decreciente"&amp;" · ","")&amp;IF(AND(ISNUMBER($AN156),$AN156&lt;FechaRef,IF($V156="Sub",N($X156),N($M156))&lt;1),"Vencida"&amp;" · ","")&amp;IF(AND(ObsObligatoria="Sí",ISNUMBER($AN156),$AN156&lt;FechaRef,IF($V156="Sub",N($X156),N($M156))&lt;1,$Q156=""),"Vencida sin observación"&amp;" · ",""))="","✔ OK","⚠ "&amp;LEFT(IF($C156="","Falta el nombre de la actividad"&amp;" · ","")&amp;IF(AND($V156="Sub",N($U156)=0),"Subactividad sin macroactividad arriba"&amp;" · ","")&amp;IF($AM156="","Sin fecha de inicio"&amp;" · ","")&amp;IF($AN156="","Sin fecha límite"&amp;" · ","")&amp;IF(AND(LEFT($C156,11)="[Jefatura] ",N($AL156)=0),"No se encuentra en la hoja de la jefatura (elíjala de nuevo en la lista)"&amp;" · ","")&amp;IF(OR(AND($E156&lt;&gt;"",NOT(ISNUMBER($E156))),AND($F156&lt;&gt;"",NOT(ISNUMBER($F156))),AND($G156&lt;&gt;"",NOT(ISNUMBER($G156)))),"Fecha no válida"&amp;" · ","")&amp;IF(AND(ISNUMBER($AM156),ISNUMBER($AN156),$AM156&gt;$AN156),"Inicio posterior a fecha límite"&amp;" · ","")&amp;IF(AND($V156="Macro",$H156&lt;&gt;"",OR(NOT(ISNUMBER($H156)),$H156&lt;0,$H156&gt;1)),"Peso fuera de rango"&amp;" · ","")&amp;IF(AND($V156="Sub",$H156&lt;&gt;""),"Las subactividades no llevan peso (valen igual dentro de su macroactividad)"&amp;" · ","")&amp;IF(AND(N($W156)&gt;0,COUNT($I156:$L156)&gt;0),"Con subactividades: deje vacías las semanas (se calculan solas)"&amp;" · ","")&amp;IF((COUNTIF($I156:$L156,"&gt;1")+COUNTIF($I156:$L156,"&lt;0")+COUNTA($I156:$L156)-COUNT($I156:$L156))&gt;0,"Avance fuera de rango 0-100%"&amp;" · ","")&amp;IF(OR(AND($J156&lt;&gt;"",$J156&lt;$I156),AND($K156&lt;&gt;"",$K156&lt;MAX($I156:$J156)),AND($L156&lt;&gt;"",$L156&lt;MAX($I156:$K156))),"Avance semanal decreciente"&amp;" · ","")&amp;IF(AND(ISNUMBER($AN156),$AN156&lt;FechaRef,IF($V156="Sub",N($X156),N($M156))&lt;1),"Vencida"&amp;" · ","")&amp;IF(AND(ObsObligatoria="Sí",ISNUMBER($AN156),$AN156&lt;FechaRef,IF($V156="Sub",N($X156),N($M156))&lt;1,$Q156=""),"Vencida sin observación"&amp;" · ",""),LEN(IF($C156="","Falta el nombre de la actividad"&amp;" · ","")&amp;IF(AND($V156="Sub",N($U156)=0),"Subactividad sin macroactividad arriba"&amp;" · ","")&amp;IF($AM156="","Sin fecha de inicio"&amp;" · ","")&amp;IF($AN156="","Sin fecha límite"&amp;" · ","")&amp;IF(AND(LEFT($C156,11)="[Jefatura] ",N($AL156)=0),"No se encuentra en la hoja de la jefatura (elíjala de nuevo en la lista)"&amp;" · ","")&amp;IF(OR(AND($E156&lt;&gt;"",NOT(ISNUMBER($E156))),AND($F156&lt;&gt;"",NOT(ISNUMBER($F156))),AND($G156&lt;&gt;"",NOT(ISNUMBER($G156)))),"Fecha no válida"&amp;" · ","")&amp;IF(AND(ISNUMBER($AM156),ISNUMBER($AN156),$AM156&gt;$AN156),"Inicio posterior a fecha límite"&amp;" · ","")&amp;IF(AND($V156="Macro",$H156&lt;&gt;"",OR(NOT(ISNUMBER($H156)),$H156&lt;0,$H156&gt;1)),"Peso fuera de rango"&amp;" · ","")&amp;IF(AND($V156="Sub",$H156&lt;&gt;""),"Las subactividades no llevan peso (valen igual dentro de su macroactividad)"&amp;" · ","")&amp;IF(AND(N($W156)&gt;0,COUNT($I156:$L156)&gt;0),"Con subactividades: deje vacías las semanas (se calculan solas)"&amp;" · ","")&amp;IF((COUNTIF($I156:$L156,"&gt;1")+COUNTIF($I156:$L156,"&lt;0")+COUNTA($I156:$L156)-COUNT($I156:$L156))&gt;0,"Avance fuera de rango 0-100%"&amp;" · ","")&amp;IF(OR(AND($J156&lt;&gt;"",$J156&lt;$I156),AND($K156&lt;&gt;"",$K156&lt;MAX($I156:$J156)),AND($L156&lt;&gt;"",$L156&lt;MAX($I156:$K156))),"Avance semanal decreciente"&amp;" · ","")&amp;IF(AND(ISNUMBER($AN156),$AN156&lt;FechaRef,IF($V156="Sub",N($X156),N($M156))&lt;1),"Vencida"&amp;" · ","")&amp;IF(AND(ObsObligatoria="Sí",ISNUMBER($AN156),$AN156&lt;FechaRef,IF($V156="Sub",N($X156),N($M156))&lt;1,$Q156=""),"Vencida sin observación"&amp;" · ",""))-3)))</f>
        <v/>
      </c>
      <c r="S156" s="64">
        <f>IF(NOT((COUNTA($B156:$D156)+COUNTA($G156:$L156)+COUNTA($Q156))&gt;0),"",IF(AND($V156="Sub",N($U156)&gt;0),IF(ISNUMBER(INDEX($AM$5:$AM$1000,$U156-4)),DATE(YEAR(INDEX($AM$5:$AM$1000,$U156-4)),MONTH(INDEX($AM$5:$AM$1000,$U156-4)),1),IF(ISNUMBER(INDEX($AN$5:$AN$1000,$U156-4)),DATE(YEAR(INDEX($AN$5:$AN$1000,$U156-4)),MONTH(INDEX($AN$5:$AN$1000,$U156-4)),1),MesCiclo)),IF(ISNUMBER($AM156),DATE(YEAR($AM156),MONTH($AM156),1),IF(ISNUMBER($AN156),DATE(YEAR($AN156),MONTH($AN156),1),MesCiclo))))</f>
        <v/>
      </c>
      <c r="T156" s="62">
        <f>IF(OR($S156="",$S156&lt;&gt;MesCiclo,$V156&lt;&gt;"Macro"),"",COUNTIFS($S$5:$S156,MesCiclo,$V$5:$V156,"Macro"))</f>
        <v/>
      </c>
      <c r="U156" s="62">
        <f>IF($V156="","",IF($V156="Macro",ROW(),IFERROR(LOOKUP(2,1/($V$5:$V156="Macro"),ROW($V$5:$V156)),0)))</f>
        <v/>
      </c>
      <c r="V156" s="62">
        <f>IF(NOT((COUNTA($B156:$D156)+COUNTA($G156:$L156)+COUNTA($Q156))&gt;0),"",IF($B156="Subactividad","Sub","Macro"))</f>
        <v/>
      </c>
      <c r="W156" s="62">
        <f>IF($V156="Macro",COUNTIFS($U$5:$U$1000,ROW(),$V$5:$V$1000,"Sub"),"")</f>
        <v/>
      </c>
      <c r="X156" s="62">
        <f>IF($V156="","",IF(ISNUMBER($G156),1,IFERROR(LOOKUP(2,1/($I156:$L156&lt;&gt;""),$I156:$L156),0)))</f>
        <v/>
      </c>
      <c r="Y156" s="62">
        <f>IF($V156="","",IF(AND(ISNUMBER($G156),$G156&lt;=IF($S156=MesCiclo,InicioCiclo,$S156+MOD(2-WEEKDAY($S156),7))+6),1,IF(ISNUMBER($I156),$I156,0)))</f>
        <v/>
      </c>
      <c r="Z156" s="62">
        <f>IF($V156="","",IF(AND(ISNUMBER($G156),$G156&lt;=IF($S156=MesCiclo,InicioCiclo,$S156+MOD(2-WEEKDAY($S156),7))+13),1,IF(ISNUMBER($J156),$J156,$Y156)))</f>
        <v/>
      </c>
      <c r="AA156" s="62">
        <f>IF($V156="","",IF(AND(ISNUMBER($G156),$G156&lt;=IF($S156=MesCiclo,InicioCiclo,$S156+MOD(2-WEEKDAY($S156),7))+20),1,IF(ISNUMBER($K156),$K156,$Z156)))</f>
        <v/>
      </c>
      <c r="AB156" s="62">
        <f>IF($V156="","",IF(AND(ISNUMBER($G156),$G156&lt;=IF($S156=MesCiclo,InicioCiclo,$S156+MOD(2-WEEKDAY($S156),7))+27),1,IF(ISNUMBER($L156),$L156,$AA156)))</f>
        <v/>
      </c>
      <c r="AC156" s="62">
        <f>IF($V156="","",IF(AND(ISNUMBER($G156),$G156&lt;=IF($S156=MesCiclo,InicioCiclo,$S156+MOD(2-WEEKDAY($S156),7))+6),1,IF(N($W156)&gt;0,AVERAGEIFS($Y$5:$Y$1000,$U$5:$U$1000,ROW(),$V$5:$V$1000,"Sub"),$Y156)))</f>
        <v/>
      </c>
      <c r="AD156" s="62">
        <f>IF($V156="","",IF(AND(ISNUMBER($G156),$G156&lt;=IF($S156=MesCiclo,InicioCiclo,$S156+MOD(2-WEEKDAY($S156),7))+13),1,IF(N($W156)&gt;0,AVERAGEIFS($Z$5:$Z$1000,$U$5:$U$1000,ROW(),$V$5:$V$1000,"Sub"),$Z156)))</f>
        <v/>
      </c>
      <c r="AE156" s="62">
        <f>IF($V156="","",IF(AND(ISNUMBER($G156),$G156&lt;=IF($S156=MesCiclo,InicioCiclo,$S156+MOD(2-WEEKDAY($S156),7))+20),1,IF(N($W156)&gt;0,AVERAGEIFS($AA$5:$AA$1000,$U$5:$U$1000,ROW(),$V$5:$V$1000,"Sub"),$AA156)))</f>
        <v/>
      </c>
      <c r="AF156" s="62">
        <f>IF($V156="","",IF(AND(ISNUMBER($G156),$G156&lt;=IF($S156=MesCiclo,InicioCiclo,$S156+MOD(2-WEEKDAY($S156),7))+27),1,IF(N($W156)&gt;0,AVERAGEIFS($AB$5:$AB$1000,$U$5:$U$1000,ROW(),$V$5:$V$1000,"Sub"),$AB156)))</f>
        <v/>
      </c>
      <c r="AG156" s="62">
        <f>IF($V156&lt;&gt;"Macro","",IF(COUNTIFS($S$5:$S$1000,$S156,$V$5:$V$1000,"Macro",$H$5:$H$1000,"&gt;0")=0,1/COUNTIFS($S$5:$S$1000,$S156,$V$5:$V$1000,"Macro"),IF(AND(ISNUMBER($H156),N($H156)&gt;0),$H156,SUMIFS($H$5:$H$1000,$S$5:$S$1000,$S156,$V$5:$V$1000,"Macro")/COUNTIFS($S$5:$S$1000,$S156,$V$5:$V$1000,"Macro",$H$5:$H$1000,"&gt;0"))/(COUNTIFS($S$5:$S$1000,$S156,$V$5:$V$1000,"Macro")*SUMIFS($H$5:$H$1000,$S$5:$S$1000,$S156,$V$5:$V$1000,"Macro")/COUNTIFS($S$5:$S$1000,$S156,$V$5:$V$1000,"Macro",$H$5:$H$1000,"&gt;0"))))</f>
        <v/>
      </c>
      <c r="AH156" s="62" t="n"/>
      <c r="AI156" s="62" t="n"/>
      <c r="AJ156" s="62" t="n"/>
      <c r="AK156" s="62" t="n"/>
      <c r="AL156" s="62">
        <f>IF(LEFT($C156,11)="[Jefatura] ",IFERROR(MATCH("Asistente Técnico de Riesgo|"&amp;MID($C156,12,500),rDname_ADM,0),0),"")</f>
        <v/>
      </c>
      <c r="AM156" s="62">
        <f>IF(N($AL156)&gt;0,INDEX(rIni_ADM,$AL156),IF(ISNUMBER($E156),$E156,""))</f>
        <v/>
      </c>
      <c r="AN156" s="62">
        <f>IF(N($AL156)&gt;0,INDEX(rLim_ADM,$AL156),IF(ISNUMBER($F156),$F156,""))</f>
        <v/>
      </c>
    </row>
    <row r="157">
      <c r="A157" s="56">
        <f>IF(NOT((COUNTA($B157:$D157)+COUNTA($G157:$L157)+COUNTA($Q157))&gt;0),"",IF($V157="Macro",COUNTIFS($V$5:$V157,"Macro",$S$5:$S157,$S157),IF(N($U157)=0,"?",COUNTIFS(INDEX($V$5:$V$1000,1):INDEX($V$5:$V$1000,$U157-4),"Macro",INDEX($S$5:$S$1000,1):INDEX($S$5:$S$1000,$U157-4),INDEX($S$5:$S$1000,$U157-4))&amp;"."&amp;COUNTIFS($U$5:$U157,$U157,$V$5:$V157,"Sub"))))</f>
        <v/>
      </c>
      <c r="B157" s="57" t="n"/>
      <c r="C157" s="58" t="n"/>
      <c r="D157" s="58" t="n"/>
      <c r="E157" s="59">
        <f>IF(N($AL157)&gt;0,INDEX(rIni_ADM,$AL157),"")</f>
        <v/>
      </c>
      <c r="F157" s="59">
        <f>IF(N($AL157)&gt;0,INDEX(rLim_ADM,$AL157),"")</f>
        <v/>
      </c>
      <c r="G157" s="59" t="n"/>
      <c r="H157" s="60" t="n"/>
      <c r="I157" s="60" t="n"/>
      <c r="J157" s="60" t="n"/>
      <c r="K157" s="60" t="n"/>
      <c r="L157" s="60" t="n"/>
      <c r="M157" s="61">
        <f>IF(NOT((COUNTA($B157:$D157)+COUNTA($G157:$L157)+COUNTA($Q157))&gt;0),"",IF($V157="Sub",IFERROR($X157/INDEX($W$5:$W$1000,$U157-4),""),IF(ISNUMBER($G157),1,IF(N($W157)&gt;0,AVERAGEIFS($X$5:$X$1000,$U$5:$U$1000,ROW(),$V$5:$V$1000,"Sub"),$X157))))</f>
        <v/>
      </c>
      <c r="N157" s="56">
        <f>IF(OR($M157="",$V157="Sub"),"",IF($M157&gt;=1,"Completado",IF($M157&gt;0,"En curso","Pendiente")))</f>
        <v/>
      </c>
      <c r="O157" s="56">
        <f>IF(OR(NOT((COUNTA($B157:$D157)+COUNTA($G157:$L157)+COUNTA($Q157))&gt;0),$V157="Sub"),"",IF(ISNUMBER($G157),IF(AND(ISNUMBER($AN157),$G157&gt;$AN157),"Cumplida con "&amp;($G157-$AN157)&amp;IF($G157-$AN157=1," día"," días")&amp;" de retraso","Cumplida"),IF(N($M157)&gt;=1,"Cumplida",IF(NOT(ISNUMBER($AN157)),"Sin fecha límite",IF($AN157&lt;FechaRef,"Vencida hace "&amp;(FechaRef-$AN157)&amp;IF(FechaRef-$AN157=1," día"," días"),IF($AN157=FechaRef,"Vence hoy",IF($AN157-FechaRef&lt;=DiasAlerta,"Vence en "&amp;($AN157-FechaRef)&amp;IF($AN157-FechaRef=1," día"," días"),"En plazo")))))))</f>
        <v/>
      </c>
      <c r="P157" s="62" t="n"/>
      <c r="Q157" s="58" t="n"/>
      <c r="R157" s="63">
        <f>IF(NOT((COUNTA($B157:$D157)+COUNTA($G157:$L157)+COUNTA($Q157))&gt;0),"",IF((IF($C157="","Falta el nombre de la actividad"&amp;" · ","")&amp;IF(AND($V157="Sub",N($U157)=0),"Subactividad sin macroactividad arriba"&amp;" · ","")&amp;IF($AM157="","Sin fecha de inicio"&amp;" · ","")&amp;IF($AN157="","Sin fecha límite"&amp;" · ","")&amp;IF(AND(LEFT($C157,11)="[Jefatura] ",N($AL157)=0),"No se encuentra en la hoja de la jefatura (elíjala de nuevo en la lista)"&amp;" · ","")&amp;IF(OR(AND($E157&lt;&gt;"",NOT(ISNUMBER($E157))),AND($F157&lt;&gt;"",NOT(ISNUMBER($F157))),AND($G157&lt;&gt;"",NOT(ISNUMBER($G157)))),"Fecha no válida"&amp;" · ","")&amp;IF(AND(ISNUMBER($AM157),ISNUMBER($AN157),$AM157&gt;$AN157),"Inicio posterior a fecha límite"&amp;" · ","")&amp;IF(AND($V157="Macro",$H157&lt;&gt;"",OR(NOT(ISNUMBER($H157)),$H157&lt;0,$H157&gt;1)),"Peso fuera de rango"&amp;" · ","")&amp;IF(AND($V157="Sub",$H157&lt;&gt;""),"Las subactividades no llevan peso (valen igual dentro de su macroactividad)"&amp;" · ","")&amp;IF(AND(N($W157)&gt;0,COUNT($I157:$L157)&gt;0),"Con subactividades: deje vacías las semanas (se calculan solas)"&amp;" · ","")&amp;IF((COUNTIF($I157:$L157,"&gt;1")+COUNTIF($I157:$L157,"&lt;0")+COUNTA($I157:$L157)-COUNT($I157:$L157))&gt;0,"Avance fuera de rango 0-100%"&amp;" · ","")&amp;IF(OR(AND($J157&lt;&gt;"",$J157&lt;$I157),AND($K157&lt;&gt;"",$K157&lt;MAX($I157:$J157)),AND($L157&lt;&gt;"",$L157&lt;MAX($I157:$K157))),"Avance semanal decreciente"&amp;" · ","")&amp;IF(AND(ISNUMBER($AN157),$AN157&lt;FechaRef,IF($V157="Sub",N($X157),N($M157))&lt;1),"Vencida"&amp;" · ","")&amp;IF(AND(ObsObligatoria="Sí",ISNUMBER($AN157),$AN157&lt;FechaRef,IF($V157="Sub",N($X157),N($M157))&lt;1,$Q157=""),"Vencida sin observación"&amp;" · ",""))="","✔ OK","⚠ "&amp;LEFT(IF($C157="","Falta el nombre de la actividad"&amp;" · ","")&amp;IF(AND($V157="Sub",N($U157)=0),"Subactividad sin macroactividad arriba"&amp;" · ","")&amp;IF($AM157="","Sin fecha de inicio"&amp;" · ","")&amp;IF($AN157="","Sin fecha límite"&amp;" · ","")&amp;IF(AND(LEFT($C157,11)="[Jefatura] ",N($AL157)=0),"No se encuentra en la hoja de la jefatura (elíjala de nuevo en la lista)"&amp;" · ","")&amp;IF(OR(AND($E157&lt;&gt;"",NOT(ISNUMBER($E157))),AND($F157&lt;&gt;"",NOT(ISNUMBER($F157))),AND($G157&lt;&gt;"",NOT(ISNUMBER($G157)))),"Fecha no válida"&amp;" · ","")&amp;IF(AND(ISNUMBER($AM157),ISNUMBER($AN157),$AM157&gt;$AN157),"Inicio posterior a fecha límite"&amp;" · ","")&amp;IF(AND($V157="Macro",$H157&lt;&gt;"",OR(NOT(ISNUMBER($H157)),$H157&lt;0,$H157&gt;1)),"Peso fuera de rango"&amp;" · ","")&amp;IF(AND($V157="Sub",$H157&lt;&gt;""),"Las subactividades no llevan peso (valen igual dentro de su macroactividad)"&amp;" · ","")&amp;IF(AND(N($W157)&gt;0,COUNT($I157:$L157)&gt;0),"Con subactividades: deje vacías las semanas (se calculan solas)"&amp;" · ","")&amp;IF((COUNTIF($I157:$L157,"&gt;1")+COUNTIF($I157:$L157,"&lt;0")+COUNTA($I157:$L157)-COUNT($I157:$L157))&gt;0,"Avance fuera de rango 0-100%"&amp;" · ","")&amp;IF(OR(AND($J157&lt;&gt;"",$J157&lt;$I157),AND($K157&lt;&gt;"",$K157&lt;MAX($I157:$J157)),AND($L157&lt;&gt;"",$L157&lt;MAX($I157:$K157))),"Avance semanal decreciente"&amp;" · ","")&amp;IF(AND(ISNUMBER($AN157),$AN157&lt;FechaRef,IF($V157="Sub",N($X157),N($M157))&lt;1),"Vencida"&amp;" · ","")&amp;IF(AND(ObsObligatoria="Sí",ISNUMBER($AN157),$AN157&lt;FechaRef,IF($V157="Sub",N($X157),N($M157))&lt;1,$Q157=""),"Vencida sin observación"&amp;" · ",""),LEN(IF($C157="","Falta el nombre de la actividad"&amp;" · ","")&amp;IF(AND($V157="Sub",N($U157)=0),"Subactividad sin macroactividad arriba"&amp;" · ","")&amp;IF($AM157="","Sin fecha de inicio"&amp;" · ","")&amp;IF($AN157="","Sin fecha límite"&amp;" · ","")&amp;IF(AND(LEFT($C157,11)="[Jefatura] ",N($AL157)=0),"No se encuentra en la hoja de la jefatura (elíjala de nuevo en la lista)"&amp;" · ","")&amp;IF(OR(AND($E157&lt;&gt;"",NOT(ISNUMBER($E157))),AND($F157&lt;&gt;"",NOT(ISNUMBER($F157))),AND($G157&lt;&gt;"",NOT(ISNUMBER($G157)))),"Fecha no válida"&amp;" · ","")&amp;IF(AND(ISNUMBER($AM157),ISNUMBER($AN157),$AM157&gt;$AN157),"Inicio posterior a fecha límite"&amp;" · ","")&amp;IF(AND($V157="Macro",$H157&lt;&gt;"",OR(NOT(ISNUMBER($H157)),$H157&lt;0,$H157&gt;1)),"Peso fuera de rango"&amp;" · ","")&amp;IF(AND($V157="Sub",$H157&lt;&gt;""),"Las subactividades no llevan peso (valen igual dentro de su macroactividad)"&amp;" · ","")&amp;IF(AND(N($W157)&gt;0,COUNT($I157:$L157)&gt;0),"Con subactividades: deje vacías las semanas (se calculan solas)"&amp;" · ","")&amp;IF((COUNTIF($I157:$L157,"&gt;1")+COUNTIF($I157:$L157,"&lt;0")+COUNTA($I157:$L157)-COUNT($I157:$L157))&gt;0,"Avance fuera de rango 0-100%"&amp;" · ","")&amp;IF(OR(AND($J157&lt;&gt;"",$J157&lt;$I157),AND($K157&lt;&gt;"",$K157&lt;MAX($I157:$J157)),AND($L157&lt;&gt;"",$L157&lt;MAX($I157:$K157))),"Avance semanal decreciente"&amp;" · ","")&amp;IF(AND(ISNUMBER($AN157),$AN157&lt;FechaRef,IF($V157="Sub",N($X157),N($M157))&lt;1),"Vencida"&amp;" · ","")&amp;IF(AND(ObsObligatoria="Sí",ISNUMBER($AN157),$AN157&lt;FechaRef,IF($V157="Sub",N($X157),N($M157))&lt;1,$Q157=""),"Vencida sin observación"&amp;" · ",""))-3)))</f>
        <v/>
      </c>
      <c r="S157" s="64">
        <f>IF(NOT((COUNTA($B157:$D157)+COUNTA($G157:$L157)+COUNTA($Q157))&gt;0),"",IF(AND($V157="Sub",N($U157)&gt;0),IF(ISNUMBER(INDEX($AM$5:$AM$1000,$U157-4)),DATE(YEAR(INDEX($AM$5:$AM$1000,$U157-4)),MONTH(INDEX($AM$5:$AM$1000,$U157-4)),1),IF(ISNUMBER(INDEX($AN$5:$AN$1000,$U157-4)),DATE(YEAR(INDEX($AN$5:$AN$1000,$U157-4)),MONTH(INDEX($AN$5:$AN$1000,$U157-4)),1),MesCiclo)),IF(ISNUMBER($AM157),DATE(YEAR($AM157),MONTH($AM157),1),IF(ISNUMBER($AN157),DATE(YEAR($AN157),MONTH($AN157),1),MesCiclo))))</f>
        <v/>
      </c>
      <c r="T157" s="62">
        <f>IF(OR($S157="",$S157&lt;&gt;MesCiclo,$V157&lt;&gt;"Macro"),"",COUNTIFS($S$5:$S157,MesCiclo,$V$5:$V157,"Macro"))</f>
        <v/>
      </c>
      <c r="U157" s="62">
        <f>IF($V157="","",IF($V157="Macro",ROW(),IFERROR(LOOKUP(2,1/($V$5:$V157="Macro"),ROW($V$5:$V157)),0)))</f>
        <v/>
      </c>
      <c r="V157" s="62">
        <f>IF(NOT((COUNTA($B157:$D157)+COUNTA($G157:$L157)+COUNTA($Q157))&gt;0),"",IF($B157="Subactividad","Sub","Macro"))</f>
        <v/>
      </c>
      <c r="W157" s="62">
        <f>IF($V157="Macro",COUNTIFS($U$5:$U$1000,ROW(),$V$5:$V$1000,"Sub"),"")</f>
        <v/>
      </c>
      <c r="X157" s="62">
        <f>IF($V157="","",IF(ISNUMBER($G157),1,IFERROR(LOOKUP(2,1/($I157:$L157&lt;&gt;""),$I157:$L157),0)))</f>
        <v/>
      </c>
      <c r="Y157" s="62">
        <f>IF($V157="","",IF(AND(ISNUMBER($G157),$G157&lt;=IF($S157=MesCiclo,InicioCiclo,$S157+MOD(2-WEEKDAY($S157),7))+6),1,IF(ISNUMBER($I157),$I157,0)))</f>
        <v/>
      </c>
      <c r="Z157" s="62">
        <f>IF($V157="","",IF(AND(ISNUMBER($G157),$G157&lt;=IF($S157=MesCiclo,InicioCiclo,$S157+MOD(2-WEEKDAY($S157),7))+13),1,IF(ISNUMBER($J157),$J157,$Y157)))</f>
        <v/>
      </c>
      <c r="AA157" s="62">
        <f>IF($V157="","",IF(AND(ISNUMBER($G157),$G157&lt;=IF($S157=MesCiclo,InicioCiclo,$S157+MOD(2-WEEKDAY($S157),7))+20),1,IF(ISNUMBER($K157),$K157,$Z157)))</f>
        <v/>
      </c>
      <c r="AB157" s="62">
        <f>IF($V157="","",IF(AND(ISNUMBER($G157),$G157&lt;=IF($S157=MesCiclo,InicioCiclo,$S157+MOD(2-WEEKDAY($S157),7))+27),1,IF(ISNUMBER($L157),$L157,$AA157)))</f>
        <v/>
      </c>
      <c r="AC157" s="62">
        <f>IF($V157="","",IF(AND(ISNUMBER($G157),$G157&lt;=IF($S157=MesCiclo,InicioCiclo,$S157+MOD(2-WEEKDAY($S157),7))+6),1,IF(N($W157)&gt;0,AVERAGEIFS($Y$5:$Y$1000,$U$5:$U$1000,ROW(),$V$5:$V$1000,"Sub"),$Y157)))</f>
        <v/>
      </c>
      <c r="AD157" s="62">
        <f>IF($V157="","",IF(AND(ISNUMBER($G157),$G157&lt;=IF($S157=MesCiclo,InicioCiclo,$S157+MOD(2-WEEKDAY($S157),7))+13),1,IF(N($W157)&gt;0,AVERAGEIFS($Z$5:$Z$1000,$U$5:$U$1000,ROW(),$V$5:$V$1000,"Sub"),$Z157)))</f>
        <v/>
      </c>
      <c r="AE157" s="62">
        <f>IF($V157="","",IF(AND(ISNUMBER($G157),$G157&lt;=IF($S157=MesCiclo,InicioCiclo,$S157+MOD(2-WEEKDAY($S157),7))+20),1,IF(N($W157)&gt;0,AVERAGEIFS($AA$5:$AA$1000,$U$5:$U$1000,ROW(),$V$5:$V$1000,"Sub"),$AA157)))</f>
        <v/>
      </c>
      <c r="AF157" s="62">
        <f>IF($V157="","",IF(AND(ISNUMBER($G157),$G157&lt;=IF($S157=MesCiclo,InicioCiclo,$S157+MOD(2-WEEKDAY($S157),7))+27),1,IF(N($W157)&gt;0,AVERAGEIFS($AB$5:$AB$1000,$U$5:$U$1000,ROW(),$V$5:$V$1000,"Sub"),$AB157)))</f>
        <v/>
      </c>
      <c r="AG157" s="62">
        <f>IF($V157&lt;&gt;"Macro","",IF(COUNTIFS($S$5:$S$1000,$S157,$V$5:$V$1000,"Macro",$H$5:$H$1000,"&gt;0")=0,1/COUNTIFS($S$5:$S$1000,$S157,$V$5:$V$1000,"Macro"),IF(AND(ISNUMBER($H157),N($H157)&gt;0),$H157,SUMIFS($H$5:$H$1000,$S$5:$S$1000,$S157,$V$5:$V$1000,"Macro")/COUNTIFS($S$5:$S$1000,$S157,$V$5:$V$1000,"Macro",$H$5:$H$1000,"&gt;0"))/(COUNTIFS($S$5:$S$1000,$S157,$V$5:$V$1000,"Macro")*SUMIFS($H$5:$H$1000,$S$5:$S$1000,$S157,$V$5:$V$1000,"Macro")/COUNTIFS($S$5:$S$1000,$S157,$V$5:$V$1000,"Macro",$H$5:$H$1000,"&gt;0"))))</f>
        <v/>
      </c>
      <c r="AH157" s="62" t="n"/>
      <c r="AI157" s="62" t="n"/>
      <c r="AJ157" s="62" t="n"/>
      <c r="AK157" s="62" t="n"/>
      <c r="AL157" s="62">
        <f>IF(LEFT($C157,11)="[Jefatura] ",IFERROR(MATCH("Asistente Técnico de Riesgo|"&amp;MID($C157,12,500),rDname_ADM,0),0),"")</f>
        <v/>
      </c>
      <c r="AM157" s="62">
        <f>IF(N($AL157)&gt;0,INDEX(rIni_ADM,$AL157),IF(ISNUMBER($E157),$E157,""))</f>
        <v/>
      </c>
      <c r="AN157" s="62">
        <f>IF(N($AL157)&gt;0,INDEX(rLim_ADM,$AL157),IF(ISNUMBER($F157),$F157,""))</f>
        <v/>
      </c>
    </row>
    <row r="158">
      <c r="A158" s="56">
        <f>IF(NOT((COUNTA($B158:$D158)+COUNTA($G158:$L158)+COUNTA($Q158))&gt;0),"",IF($V158="Macro",COUNTIFS($V$5:$V158,"Macro",$S$5:$S158,$S158),IF(N($U158)=0,"?",COUNTIFS(INDEX($V$5:$V$1000,1):INDEX($V$5:$V$1000,$U158-4),"Macro",INDEX($S$5:$S$1000,1):INDEX($S$5:$S$1000,$U158-4),INDEX($S$5:$S$1000,$U158-4))&amp;"."&amp;COUNTIFS($U$5:$U158,$U158,$V$5:$V158,"Sub"))))</f>
        <v/>
      </c>
      <c r="B158" s="57" t="n"/>
      <c r="C158" s="58" t="n"/>
      <c r="D158" s="58" t="n"/>
      <c r="E158" s="59">
        <f>IF(N($AL158)&gt;0,INDEX(rIni_ADM,$AL158),"")</f>
        <v/>
      </c>
      <c r="F158" s="59">
        <f>IF(N($AL158)&gt;0,INDEX(rLim_ADM,$AL158),"")</f>
        <v/>
      </c>
      <c r="G158" s="59" t="n"/>
      <c r="H158" s="60" t="n"/>
      <c r="I158" s="60" t="n"/>
      <c r="J158" s="60" t="n"/>
      <c r="K158" s="60" t="n"/>
      <c r="L158" s="60" t="n"/>
      <c r="M158" s="61">
        <f>IF(NOT((COUNTA($B158:$D158)+COUNTA($G158:$L158)+COUNTA($Q158))&gt;0),"",IF($V158="Sub",IFERROR($X158/INDEX($W$5:$W$1000,$U158-4),""),IF(ISNUMBER($G158),1,IF(N($W158)&gt;0,AVERAGEIFS($X$5:$X$1000,$U$5:$U$1000,ROW(),$V$5:$V$1000,"Sub"),$X158))))</f>
        <v/>
      </c>
      <c r="N158" s="56">
        <f>IF(OR($M158="",$V158="Sub"),"",IF($M158&gt;=1,"Completado",IF($M158&gt;0,"En curso","Pendiente")))</f>
        <v/>
      </c>
      <c r="O158" s="56">
        <f>IF(OR(NOT((COUNTA($B158:$D158)+COUNTA($G158:$L158)+COUNTA($Q158))&gt;0),$V158="Sub"),"",IF(ISNUMBER($G158),IF(AND(ISNUMBER($AN158),$G158&gt;$AN158),"Cumplida con "&amp;($G158-$AN158)&amp;IF($G158-$AN158=1," día"," días")&amp;" de retraso","Cumplida"),IF(N($M158)&gt;=1,"Cumplida",IF(NOT(ISNUMBER($AN158)),"Sin fecha límite",IF($AN158&lt;FechaRef,"Vencida hace "&amp;(FechaRef-$AN158)&amp;IF(FechaRef-$AN158=1," día"," días"),IF($AN158=FechaRef,"Vence hoy",IF($AN158-FechaRef&lt;=DiasAlerta,"Vence en "&amp;($AN158-FechaRef)&amp;IF($AN158-FechaRef=1," día"," días"),"En plazo")))))))</f>
        <v/>
      </c>
      <c r="P158" s="62" t="n"/>
      <c r="Q158" s="58" t="n"/>
      <c r="R158" s="63">
        <f>IF(NOT((COUNTA($B158:$D158)+COUNTA($G158:$L158)+COUNTA($Q158))&gt;0),"",IF((IF($C158="","Falta el nombre de la actividad"&amp;" · ","")&amp;IF(AND($V158="Sub",N($U158)=0),"Subactividad sin macroactividad arriba"&amp;" · ","")&amp;IF($AM158="","Sin fecha de inicio"&amp;" · ","")&amp;IF($AN158="","Sin fecha límite"&amp;" · ","")&amp;IF(AND(LEFT($C158,11)="[Jefatura] ",N($AL158)=0),"No se encuentra en la hoja de la jefatura (elíjala de nuevo en la lista)"&amp;" · ","")&amp;IF(OR(AND($E158&lt;&gt;"",NOT(ISNUMBER($E158))),AND($F158&lt;&gt;"",NOT(ISNUMBER($F158))),AND($G158&lt;&gt;"",NOT(ISNUMBER($G158)))),"Fecha no válida"&amp;" · ","")&amp;IF(AND(ISNUMBER($AM158),ISNUMBER($AN158),$AM158&gt;$AN158),"Inicio posterior a fecha límite"&amp;" · ","")&amp;IF(AND($V158="Macro",$H158&lt;&gt;"",OR(NOT(ISNUMBER($H158)),$H158&lt;0,$H158&gt;1)),"Peso fuera de rango"&amp;" · ","")&amp;IF(AND($V158="Sub",$H158&lt;&gt;""),"Las subactividades no llevan peso (valen igual dentro de su macroactividad)"&amp;" · ","")&amp;IF(AND(N($W158)&gt;0,COUNT($I158:$L158)&gt;0),"Con subactividades: deje vacías las semanas (se calculan solas)"&amp;" · ","")&amp;IF((COUNTIF($I158:$L158,"&gt;1")+COUNTIF($I158:$L158,"&lt;0")+COUNTA($I158:$L158)-COUNT($I158:$L158))&gt;0,"Avance fuera de rango 0-100%"&amp;" · ","")&amp;IF(OR(AND($J158&lt;&gt;"",$J158&lt;$I158),AND($K158&lt;&gt;"",$K158&lt;MAX($I158:$J158)),AND($L158&lt;&gt;"",$L158&lt;MAX($I158:$K158))),"Avance semanal decreciente"&amp;" · ","")&amp;IF(AND(ISNUMBER($AN158),$AN158&lt;FechaRef,IF($V158="Sub",N($X158),N($M158))&lt;1),"Vencida"&amp;" · ","")&amp;IF(AND(ObsObligatoria="Sí",ISNUMBER($AN158),$AN158&lt;FechaRef,IF($V158="Sub",N($X158),N($M158))&lt;1,$Q158=""),"Vencida sin observación"&amp;" · ",""))="","✔ OK","⚠ "&amp;LEFT(IF($C158="","Falta el nombre de la actividad"&amp;" · ","")&amp;IF(AND($V158="Sub",N($U158)=0),"Subactividad sin macroactividad arriba"&amp;" · ","")&amp;IF($AM158="","Sin fecha de inicio"&amp;" · ","")&amp;IF($AN158="","Sin fecha límite"&amp;" · ","")&amp;IF(AND(LEFT($C158,11)="[Jefatura] ",N($AL158)=0),"No se encuentra en la hoja de la jefatura (elíjala de nuevo en la lista)"&amp;" · ","")&amp;IF(OR(AND($E158&lt;&gt;"",NOT(ISNUMBER($E158))),AND($F158&lt;&gt;"",NOT(ISNUMBER($F158))),AND($G158&lt;&gt;"",NOT(ISNUMBER($G158)))),"Fecha no válida"&amp;" · ","")&amp;IF(AND(ISNUMBER($AM158),ISNUMBER($AN158),$AM158&gt;$AN158),"Inicio posterior a fecha límite"&amp;" · ","")&amp;IF(AND($V158="Macro",$H158&lt;&gt;"",OR(NOT(ISNUMBER($H158)),$H158&lt;0,$H158&gt;1)),"Peso fuera de rango"&amp;" · ","")&amp;IF(AND($V158="Sub",$H158&lt;&gt;""),"Las subactividades no llevan peso (valen igual dentro de su macroactividad)"&amp;" · ","")&amp;IF(AND(N($W158)&gt;0,COUNT($I158:$L158)&gt;0),"Con subactividades: deje vacías las semanas (se calculan solas)"&amp;" · ","")&amp;IF((COUNTIF($I158:$L158,"&gt;1")+COUNTIF($I158:$L158,"&lt;0")+COUNTA($I158:$L158)-COUNT($I158:$L158))&gt;0,"Avance fuera de rango 0-100%"&amp;" · ","")&amp;IF(OR(AND($J158&lt;&gt;"",$J158&lt;$I158),AND($K158&lt;&gt;"",$K158&lt;MAX($I158:$J158)),AND($L158&lt;&gt;"",$L158&lt;MAX($I158:$K158))),"Avance semanal decreciente"&amp;" · ","")&amp;IF(AND(ISNUMBER($AN158),$AN158&lt;FechaRef,IF($V158="Sub",N($X158),N($M158))&lt;1),"Vencida"&amp;" · ","")&amp;IF(AND(ObsObligatoria="Sí",ISNUMBER($AN158),$AN158&lt;FechaRef,IF($V158="Sub",N($X158),N($M158))&lt;1,$Q158=""),"Vencida sin observación"&amp;" · ",""),LEN(IF($C158="","Falta el nombre de la actividad"&amp;" · ","")&amp;IF(AND($V158="Sub",N($U158)=0),"Subactividad sin macroactividad arriba"&amp;" · ","")&amp;IF($AM158="","Sin fecha de inicio"&amp;" · ","")&amp;IF($AN158="","Sin fecha límite"&amp;" · ","")&amp;IF(AND(LEFT($C158,11)="[Jefatura] ",N($AL158)=0),"No se encuentra en la hoja de la jefatura (elíjala de nuevo en la lista)"&amp;" · ","")&amp;IF(OR(AND($E158&lt;&gt;"",NOT(ISNUMBER($E158))),AND($F158&lt;&gt;"",NOT(ISNUMBER($F158))),AND($G158&lt;&gt;"",NOT(ISNUMBER($G158)))),"Fecha no válida"&amp;" · ","")&amp;IF(AND(ISNUMBER($AM158),ISNUMBER($AN158),$AM158&gt;$AN158),"Inicio posterior a fecha límite"&amp;" · ","")&amp;IF(AND($V158="Macro",$H158&lt;&gt;"",OR(NOT(ISNUMBER($H158)),$H158&lt;0,$H158&gt;1)),"Peso fuera de rango"&amp;" · ","")&amp;IF(AND($V158="Sub",$H158&lt;&gt;""),"Las subactividades no llevan peso (valen igual dentro de su macroactividad)"&amp;" · ","")&amp;IF(AND(N($W158)&gt;0,COUNT($I158:$L158)&gt;0),"Con subactividades: deje vacías las semanas (se calculan solas)"&amp;" · ","")&amp;IF((COUNTIF($I158:$L158,"&gt;1")+COUNTIF($I158:$L158,"&lt;0")+COUNTA($I158:$L158)-COUNT($I158:$L158))&gt;0,"Avance fuera de rango 0-100%"&amp;" · ","")&amp;IF(OR(AND($J158&lt;&gt;"",$J158&lt;$I158),AND($K158&lt;&gt;"",$K158&lt;MAX($I158:$J158)),AND($L158&lt;&gt;"",$L158&lt;MAX($I158:$K158))),"Avance semanal decreciente"&amp;" · ","")&amp;IF(AND(ISNUMBER($AN158),$AN158&lt;FechaRef,IF($V158="Sub",N($X158),N($M158))&lt;1),"Vencida"&amp;" · ","")&amp;IF(AND(ObsObligatoria="Sí",ISNUMBER($AN158),$AN158&lt;FechaRef,IF($V158="Sub",N($X158),N($M158))&lt;1,$Q158=""),"Vencida sin observación"&amp;" · ",""))-3)))</f>
        <v/>
      </c>
      <c r="S158" s="64">
        <f>IF(NOT((COUNTA($B158:$D158)+COUNTA($G158:$L158)+COUNTA($Q158))&gt;0),"",IF(AND($V158="Sub",N($U158)&gt;0),IF(ISNUMBER(INDEX($AM$5:$AM$1000,$U158-4)),DATE(YEAR(INDEX($AM$5:$AM$1000,$U158-4)),MONTH(INDEX($AM$5:$AM$1000,$U158-4)),1),IF(ISNUMBER(INDEX($AN$5:$AN$1000,$U158-4)),DATE(YEAR(INDEX($AN$5:$AN$1000,$U158-4)),MONTH(INDEX($AN$5:$AN$1000,$U158-4)),1),MesCiclo)),IF(ISNUMBER($AM158),DATE(YEAR($AM158),MONTH($AM158),1),IF(ISNUMBER($AN158),DATE(YEAR($AN158),MONTH($AN158),1),MesCiclo))))</f>
        <v/>
      </c>
      <c r="T158" s="62">
        <f>IF(OR($S158="",$S158&lt;&gt;MesCiclo,$V158&lt;&gt;"Macro"),"",COUNTIFS($S$5:$S158,MesCiclo,$V$5:$V158,"Macro"))</f>
        <v/>
      </c>
      <c r="U158" s="62">
        <f>IF($V158="","",IF($V158="Macro",ROW(),IFERROR(LOOKUP(2,1/($V$5:$V158="Macro"),ROW($V$5:$V158)),0)))</f>
        <v/>
      </c>
      <c r="V158" s="62">
        <f>IF(NOT((COUNTA($B158:$D158)+COUNTA($G158:$L158)+COUNTA($Q158))&gt;0),"",IF($B158="Subactividad","Sub","Macro"))</f>
        <v/>
      </c>
      <c r="W158" s="62">
        <f>IF($V158="Macro",COUNTIFS($U$5:$U$1000,ROW(),$V$5:$V$1000,"Sub"),"")</f>
        <v/>
      </c>
      <c r="X158" s="62">
        <f>IF($V158="","",IF(ISNUMBER($G158),1,IFERROR(LOOKUP(2,1/($I158:$L158&lt;&gt;""),$I158:$L158),0)))</f>
        <v/>
      </c>
      <c r="Y158" s="62">
        <f>IF($V158="","",IF(AND(ISNUMBER($G158),$G158&lt;=IF($S158=MesCiclo,InicioCiclo,$S158+MOD(2-WEEKDAY($S158),7))+6),1,IF(ISNUMBER($I158),$I158,0)))</f>
        <v/>
      </c>
      <c r="Z158" s="62">
        <f>IF($V158="","",IF(AND(ISNUMBER($G158),$G158&lt;=IF($S158=MesCiclo,InicioCiclo,$S158+MOD(2-WEEKDAY($S158),7))+13),1,IF(ISNUMBER($J158),$J158,$Y158)))</f>
        <v/>
      </c>
      <c r="AA158" s="62">
        <f>IF($V158="","",IF(AND(ISNUMBER($G158),$G158&lt;=IF($S158=MesCiclo,InicioCiclo,$S158+MOD(2-WEEKDAY($S158),7))+20),1,IF(ISNUMBER($K158),$K158,$Z158)))</f>
        <v/>
      </c>
      <c r="AB158" s="62">
        <f>IF($V158="","",IF(AND(ISNUMBER($G158),$G158&lt;=IF($S158=MesCiclo,InicioCiclo,$S158+MOD(2-WEEKDAY($S158),7))+27),1,IF(ISNUMBER($L158),$L158,$AA158)))</f>
        <v/>
      </c>
      <c r="AC158" s="62">
        <f>IF($V158="","",IF(AND(ISNUMBER($G158),$G158&lt;=IF($S158=MesCiclo,InicioCiclo,$S158+MOD(2-WEEKDAY($S158),7))+6),1,IF(N($W158)&gt;0,AVERAGEIFS($Y$5:$Y$1000,$U$5:$U$1000,ROW(),$V$5:$V$1000,"Sub"),$Y158)))</f>
        <v/>
      </c>
      <c r="AD158" s="62">
        <f>IF($V158="","",IF(AND(ISNUMBER($G158),$G158&lt;=IF($S158=MesCiclo,InicioCiclo,$S158+MOD(2-WEEKDAY($S158),7))+13),1,IF(N($W158)&gt;0,AVERAGEIFS($Z$5:$Z$1000,$U$5:$U$1000,ROW(),$V$5:$V$1000,"Sub"),$Z158)))</f>
        <v/>
      </c>
      <c r="AE158" s="62">
        <f>IF($V158="","",IF(AND(ISNUMBER($G158),$G158&lt;=IF($S158=MesCiclo,InicioCiclo,$S158+MOD(2-WEEKDAY($S158),7))+20),1,IF(N($W158)&gt;0,AVERAGEIFS($AA$5:$AA$1000,$U$5:$U$1000,ROW(),$V$5:$V$1000,"Sub"),$AA158)))</f>
        <v/>
      </c>
      <c r="AF158" s="62">
        <f>IF($V158="","",IF(AND(ISNUMBER($G158),$G158&lt;=IF($S158=MesCiclo,InicioCiclo,$S158+MOD(2-WEEKDAY($S158),7))+27),1,IF(N($W158)&gt;0,AVERAGEIFS($AB$5:$AB$1000,$U$5:$U$1000,ROW(),$V$5:$V$1000,"Sub"),$AB158)))</f>
        <v/>
      </c>
      <c r="AG158" s="62">
        <f>IF($V158&lt;&gt;"Macro","",IF(COUNTIFS($S$5:$S$1000,$S158,$V$5:$V$1000,"Macro",$H$5:$H$1000,"&gt;0")=0,1/COUNTIFS($S$5:$S$1000,$S158,$V$5:$V$1000,"Macro"),IF(AND(ISNUMBER($H158),N($H158)&gt;0),$H158,SUMIFS($H$5:$H$1000,$S$5:$S$1000,$S158,$V$5:$V$1000,"Macro")/COUNTIFS($S$5:$S$1000,$S158,$V$5:$V$1000,"Macro",$H$5:$H$1000,"&gt;0"))/(COUNTIFS($S$5:$S$1000,$S158,$V$5:$V$1000,"Macro")*SUMIFS($H$5:$H$1000,$S$5:$S$1000,$S158,$V$5:$V$1000,"Macro")/COUNTIFS($S$5:$S$1000,$S158,$V$5:$V$1000,"Macro",$H$5:$H$1000,"&gt;0"))))</f>
        <v/>
      </c>
      <c r="AH158" s="62" t="n"/>
      <c r="AI158" s="62" t="n"/>
      <c r="AJ158" s="62" t="n"/>
      <c r="AK158" s="62" t="n"/>
      <c r="AL158" s="62">
        <f>IF(LEFT($C158,11)="[Jefatura] ",IFERROR(MATCH("Asistente Técnico de Riesgo|"&amp;MID($C158,12,500),rDname_ADM,0),0),"")</f>
        <v/>
      </c>
      <c r="AM158" s="62">
        <f>IF(N($AL158)&gt;0,INDEX(rIni_ADM,$AL158),IF(ISNUMBER($E158),$E158,""))</f>
        <v/>
      </c>
      <c r="AN158" s="62">
        <f>IF(N($AL158)&gt;0,INDEX(rLim_ADM,$AL158),IF(ISNUMBER($F158),$F158,""))</f>
        <v/>
      </c>
    </row>
    <row r="159">
      <c r="A159" s="56">
        <f>IF(NOT((COUNTA($B159:$D159)+COUNTA($G159:$L159)+COUNTA($Q159))&gt;0),"",IF($V159="Macro",COUNTIFS($V$5:$V159,"Macro",$S$5:$S159,$S159),IF(N($U159)=0,"?",COUNTIFS(INDEX($V$5:$V$1000,1):INDEX($V$5:$V$1000,$U159-4),"Macro",INDEX($S$5:$S$1000,1):INDEX($S$5:$S$1000,$U159-4),INDEX($S$5:$S$1000,$U159-4))&amp;"."&amp;COUNTIFS($U$5:$U159,$U159,$V$5:$V159,"Sub"))))</f>
        <v/>
      </c>
      <c r="B159" s="57" t="n"/>
      <c r="C159" s="58" t="n"/>
      <c r="D159" s="58" t="n"/>
      <c r="E159" s="59">
        <f>IF(N($AL159)&gt;0,INDEX(rIni_ADM,$AL159),"")</f>
        <v/>
      </c>
      <c r="F159" s="59">
        <f>IF(N($AL159)&gt;0,INDEX(rLim_ADM,$AL159),"")</f>
        <v/>
      </c>
      <c r="G159" s="59" t="n"/>
      <c r="H159" s="60" t="n"/>
      <c r="I159" s="60" t="n"/>
      <c r="J159" s="60" t="n"/>
      <c r="K159" s="60" t="n"/>
      <c r="L159" s="60" t="n"/>
      <c r="M159" s="61">
        <f>IF(NOT((COUNTA($B159:$D159)+COUNTA($G159:$L159)+COUNTA($Q159))&gt;0),"",IF($V159="Sub",IFERROR($X159/INDEX($W$5:$W$1000,$U159-4),""),IF(ISNUMBER($G159),1,IF(N($W159)&gt;0,AVERAGEIFS($X$5:$X$1000,$U$5:$U$1000,ROW(),$V$5:$V$1000,"Sub"),$X159))))</f>
        <v/>
      </c>
      <c r="N159" s="56">
        <f>IF(OR($M159="",$V159="Sub"),"",IF($M159&gt;=1,"Completado",IF($M159&gt;0,"En curso","Pendiente")))</f>
        <v/>
      </c>
      <c r="O159" s="56">
        <f>IF(OR(NOT((COUNTA($B159:$D159)+COUNTA($G159:$L159)+COUNTA($Q159))&gt;0),$V159="Sub"),"",IF(ISNUMBER($G159),IF(AND(ISNUMBER($AN159),$G159&gt;$AN159),"Cumplida con "&amp;($G159-$AN159)&amp;IF($G159-$AN159=1," día"," días")&amp;" de retraso","Cumplida"),IF(N($M159)&gt;=1,"Cumplida",IF(NOT(ISNUMBER($AN159)),"Sin fecha límite",IF($AN159&lt;FechaRef,"Vencida hace "&amp;(FechaRef-$AN159)&amp;IF(FechaRef-$AN159=1," día"," días"),IF($AN159=FechaRef,"Vence hoy",IF($AN159-FechaRef&lt;=DiasAlerta,"Vence en "&amp;($AN159-FechaRef)&amp;IF($AN159-FechaRef=1," día"," días"),"En plazo")))))))</f>
        <v/>
      </c>
      <c r="P159" s="62" t="n"/>
      <c r="Q159" s="58" t="n"/>
      <c r="R159" s="63">
        <f>IF(NOT((COUNTA($B159:$D159)+COUNTA($G159:$L159)+COUNTA($Q159))&gt;0),"",IF((IF($C159="","Falta el nombre de la actividad"&amp;" · ","")&amp;IF(AND($V159="Sub",N($U159)=0),"Subactividad sin macroactividad arriba"&amp;" · ","")&amp;IF($AM159="","Sin fecha de inicio"&amp;" · ","")&amp;IF($AN159="","Sin fecha límite"&amp;" · ","")&amp;IF(AND(LEFT($C159,11)="[Jefatura] ",N($AL159)=0),"No se encuentra en la hoja de la jefatura (elíjala de nuevo en la lista)"&amp;" · ","")&amp;IF(OR(AND($E159&lt;&gt;"",NOT(ISNUMBER($E159))),AND($F159&lt;&gt;"",NOT(ISNUMBER($F159))),AND($G159&lt;&gt;"",NOT(ISNUMBER($G159)))),"Fecha no válida"&amp;" · ","")&amp;IF(AND(ISNUMBER($AM159),ISNUMBER($AN159),$AM159&gt;$AN159),"Inicio posterior a fecha límite"&amp;" · ","")&amp;IF(AND($V159="Macro",$H159&lt;&gt;"",OR(NOT(ISNUMBER($H159)),$H159&lt;0,$H159&gt;1)),"Peso fuera de rango"&amp;" · ","")&amp;IF(AND($V159="Sub",$H159&lt;&gt;""),"Las subactividades no llevan peso (valen igual dentro de su macroactividad)"&amp;" · ","")&amp;IF(AND(N($W159)&gt;0,COUNT($I159:$L159)&gt;0),"Con subactividades: deje vacías las semanas (se calculan solas)"&amp;" · ","")&amp;IF((COUNTIF($I159:$L159,"&gt;1")+COUNTIF($I159:$L159,"&lt;0")+COUNTA($I159:$L159)-COUNT($I159:$L159))&gt;0,"Avance fuera de rango 0-100%"&amp;" · ","")&amp;IF(OR(AND($J159&lt;&gt;"",$J159&lt;$I159),AND($K159&lt;&gt;"",$K159&lt;MAX($I159:$J159)),AND($L159&lt;&gt;"",$L159&lt;MAX($I159:$K159))),"Avance semanal decreciente"&amp;" · ","")&amp;IF(AND(ISNUMBER($AN159),$AN159&lt;FechaRef,IF($V159="Sub",N($X159),N($M159))&lt;1),"Vencida"&amp;" · ","")&amp;IF(AND(ObsObligatoria="Sí",ISNUMBER($AN159),$AN159&lt;FechaRef,IF($V159="Sub",N($X159),N($M159))&lt;1,$Q159=""),"Vencida sin observación"&amp;" · ",""))="","✔ OK","⚠ "&amp;LEFT(IF($C159="","Falta el nombre de la actividad"&amp;" · ","")&amp;IF(AND($V159="Sub",N($U159)=0),"Subactividad sin macroactividad arriba"&amp;" · ","")&amp;IF($AM159="","Sin fecha de inicio"&amp;" · ","")&amp;IF($AN159="","Sin fecha límite"&amp;" · ","")&amp;IF(AND(LEFT($C159,11)="[Jefatura] ",N($AL159)=0),"No se encuentra en la hoja de la jefatura (elíjala de nuevo en la lista)"&amp;" · ","")&amp;IF(OR(AND($E159&lt;&gt;"",NOT(ISNUMBER($E159))),AND($F159&lt;&gt;"",NOT(ISNUMBER($F159))),AND($G159&lt;&gt;"",NOT(ISNUMBER($G159)))),"Fecha no válida"&amp;" · ","")&amp;IF(AND(ISNUMBER($AM159),ISNUMBER($AN159),$AM159&gt;$AN159),"Inicio posterior a fecha límite"&amp;" · ","")&amp;IF(AND($V159="Macro",$H159&lt;&gt;"",OR(NOT(ISNUMBER($H159)),$H159&lt;0,$H159&gt;1)),"Peso fuera de rango"&amp;" · ","")&amp;IF(AND($V159="Sub",$H159&lt;&gt;""),"Las subactividades no llevan peso (valen igual dentro de su macroactividad)"&amp;" · ","")&amp;IF(AND(N($W159)&gt;0,COUNT($I159:$L159)&gt;0),"Con subactividades: deje vacías las semanas (se calculan solas)"&amp;" · ","")&amp;IF((COUNTIF($I159:$L159,"&gt;1")+COUNTIF($I159:$L159,"&lt;0")+COUNTA($I159:$L159)-COUNT($I159:$L159))&gt;0,"Avance fuera de rango 0-100%"&amp;" · ","")&amp;IF(OR(AND($J159&lt;&gt;"",$J159&lt;$I159),AND($K159&lt;&gt;"",$K159&lt;MAX($I159:$J159)),AND($L159&lt;&gt;"",$L159&lt;MAX($I159:$K159))),"Avance semanal decreciente"&amp;" · ","")&amp;IF(AND(ISNUMBER($AN159),$AN159&lt;FechaRef,IF($V159="Sub",N($X159),N($M159))&lt;1),"Vencida"&amp;" · ","")&amp;IF(AND(ObsObligatoria="Sí",ISNUMBER($AN159),$AN159&lt;FechaRef,IF($V159="Sub",N($X159),N($M159))&lt;1,$Q159=""),"Vencida sin observación"&amp;" · ",""),LEN(IF($C159="","Falta el nombre de la actividad"&amp;" · ","")&amp;IF(AND($V159="Sub",N($U159)=0),"Subactividad sin macroactividad arriba"&amp;" · ","")&amp;IF($AM159="","Sin fecha de inicio"&amp;" · ","")&amp;IF($AN159="","Sin fecha límite"&amp;" · ","")&amp;IF(AND(LEFT($C159,11)="[Jefatura] ",N($AL159)=0),"No se encuentra en la hoja de la jefatura (elíjala de nuevo en la lista)"&amp;" · ","")&amp;IF(OR(AND($E159&lt;&gt;"",NOT(ISNUMBER($E159))),AND($F159&lt;&gt;"",NOT(ISNUMBER($F159))),AND($G159&lt;&gt;"",NOT(ISNUMBER($G159)))),"Fecha no válida"&amp;" · ","")&amp;IF(AND(ISNUMBER($AM159),ISNUMBER($AN159),$AM159&gt;$AN159),"Inicio posterior a fecha límite"&amp;" · ","")&amp;IF(AND($V159="Macro",$H159&lt;&gt;"",OR(NOT(ISNUMBER($H159)),$H159&lt;0,$H159&gt;1)),"Peso fuera de rango"&amp;" · ","")&amp;IF(AND($V159="Sub",$H159&lt;&gt;""),"Las subactividades no llevan peso (valen igual dentro de su macroactividad)"&amp;" · ","")&amp;IF(AND(N($W159)&gt;0,COUNT($I159:$L159)&gt;0),"Con subactividades: deje vacías las semanas (se calculan solas)"&amp;" · ","")&amp;IF((COUNTIF($I159:$L159,"&gt;1")+COUNTIF($I159:$L159,"&lt;0")+COUNTA($I159:$L159)-COUNT($I159:$L159))&gt;0,"Avance fuera de rango 0-100%"&amp;" · ","")&amp;IF(OR(AND($J159&lt;&gt;"",$J159&lt;$I159),AND($K159&lt;&gt;"",$K159&lt;MAX($I159:$J159)),AND($L159&lt;&gt;"",$L159&lt;MAX($I159:$K159))),"Avance semanal decreciente"&amp;" · ","")&amp;IF(AND(ISNUMBER($AN159),$AN159&lt;FechaRef,IF($V159="Sub",N($X159),N($M159))&lt;1),"Vencida"&amp;" · ","")&amp;IF(AND(ObsObligatoria="Sí",ISNUMBER($AN159),$AN159&lt;FechaRef,IF($V159="Sub",N($X159),N($M159))&lt;1,$Q159=""),"Vencida sin observación"&amp;" · ",""))-3)))</f>
        <v/>
      </c>
      <c r="S159" s="64">
        <f>IF(NOT((COUNTA($B159:$D159)+COUNTA($G159:$L159)+COUNTA($Q159))&gt;0),"",IF(AND($V159="Sub",N($U159)&gt;0),IF(ISNUMBER(INDEX($AM$5:$AM$1000,$U159-4)),DATE(YEAR(INDEX($AM$5:$AM$1000,$U159-4)),MONTH(INDEX($AM$5:$AM$1000,$U159-4)),1),IF(ISNUMBER(INDEX($AN$5:$AN$1000,$U159-4)),DATE(YEAR(INDEX($AN$5:$AN$1000,$U159-4)),MONTH(INDEX($AN$5:$AN$1000,$U159-4)),1),MesCiclo)),IF(ISNUMBER($AM159),DATE(YEAR($AM159),MONTH($AM159),1),IF(ISNUMBER($AN159),DATE(YEAR($AN159),MONTH($AN159),1),MesCiclo))))</f>
        <v/>
      </c>
      <c r="T159" s="62">
        <f>IF(OR($S159="",$S159&lt;&gt;MesCiclo,$V159&lt;&gt;"Macro"),"",COUNTIFS($S$5:$S159,MesCiclo,$V$5:$V159,"Macro"))</f>
        <v/>
      </c>
      <c r="U159" s="62">
        <f>IF($V159="","",IF($V159="Macro",ROW(),IFERROR(LOOKUP(2,1/($V$5:$V159="Macro"),ROW($V$5:$V159)),0)))</f>
        <v/>
      </c>
      <c r="V159" s="62">
        <f>IF(NOT((COUNTA($B159:$D159)+COUNTA($G159:$L159)+COUNTA($Q159))&gt;0),"",IF($B159="Subactividad","Sub","Macro"))</f>
        <v/>
      </c>
      <c r="W159" s="62">
        <f>IF($V159="Macro",COUNTIFS($U$5:$U$1000,ROW(),$V$5:$V$1000,"Sub"),"")</f>
        <v/>
      </c>
      <c r="X159" s="62">
        <f>IF($V159="","",IF(ISNUMBER($G159),1,IFERROR(LOOKUP(2,1/($I159:$L159&lt;&gt;""),$I159:$L159),0)))</f>
        <v/>
      </c>
      <c r="Y159" s="62">
        <f>IF($V159="","",IF(AND(ISNUMBER($G159),$G159&lt;=IF($S159=MesCiclo,InicioCiclo,$S159+MOD(2-WEEKDAY($S159),7))+6),1,IF(ISNUMBER($I159),$I159,0)))</f>
        <v/>
      </c>
      <c r="Z159" s="62">
        <f>IF($V159="","",IF(AND(ISNUMBER($G159),$G159&lt;=IF($S159=MesCiclo,InicioCiclo,$S159+MOD(2-WEEKDAY($S159),7))+13),1,IF(ISNUMBER($J159),$J159,$Y159)))</f>
        <v/>
      </c>
      <c r="AA159" s="62">
        <f>IF($V159="","",IF(AND(ISNUMBER($G159),$G159&lt;=IF($S159=MesCiclo,InicioCiclo,$S159+MOD(2-WEEKDAY($S159),7))+20),1,IF(ISNUMBER($K159),$K159,$Z159)))</f>
        <v/>
      </c>
      <c r="AB159" s="62">
        <f>IF($V159="","",IF(AND(ISNUMBER($G159),$G159&lt;=IF($S159=MesCiclo,InicioCiclo,$S159+MOD(2-WEEKDAY($S159),7))+27),1,IF(ISNUMBER($L159),$L159,$AA159)))</f>
        <v/>
      </c>
      <c r="AC159" s="62">
        <f>IF($V159="","",IF(AND(ISNUMBER($G159),$G159&lt;=IF($S159=MesCiclo,InicioCiclo,$S159+MOD(2-WEEKDAY($S159),7))+6),1,IF(N($W159)&gt;0,AVERAGEIFS($Y$5:$Y$1000,$U$5:$U$1000,ROW(),$V$5:$V$1000,"Sub"),$Y159)))</f>
        <v/>
      </c>
      <c r="AD159" s="62">
        <f>IF($V159="","",IF(AND(ISNUMBER($G159),$G159&lt;=IF($S159=MesCiclo,InicioCiclo,$S159+MOD(2-WEEKDAY($S159),7))+13),1,IF(N($W159)&gt;0,AVERAGEIFS($Z$5:$Z$1000,$U$5:$U$1000,ROW(),$V$5:$V$1000,"Sub"),$Z159)))</f>
        <v/>
      </c>
      <c r="AE159" s="62">
        <f>IF($V159="","",IF(AND(ISNUMBER($G159),$G159&lt;=IF($S159=MesCiclo,InicioCiclo,$S159+MOD(2-WEEKDAY($S159),7))+20),1,IF(N($W159)&gt;0,AVERAGEIFS($AA$5:$AA$1000,$U$5:$U$1000,ROW(),$V$5:$V$1000,"Sub"),$AA159)))</f>
        <v/>
      </c>
      <c r="AF159" s="62">
        <f>IF($V159="","",IF(AND(ISNUMBER($G159),$G159&lt;=IF($S159=MesCiclo,InicioCiclo,$S159+MOD(2-WEEKDAY($S159),7))+27),1,IF(N($W159)&gt;0,AVERAGEIFS($AB$5:$AB$1000,$U$5:$U$1000,ROW(),$V$5:$V$1000,"Sub"),$AB159)))</f>
        <v/>
      </c>
      <c r="AG159" s="62">
        <f>IF($V159&lt;&gt;"Macro","",IF(COUNTIFS($S$5:$S$1000,$S159,$V$5:$V$1000,"Macro",$H$5:$H$1000,"&gt;0")=0,1/COUNTIFS($S$5:$S$1000,$S159,$V$5:$V$1000,"Macro"),IF(AND(ISNUMBER($H159),N($H159)&gt;0),$H159,SUMIFS($H$5:$H$1000,$S$5:$S$1000,$S159,$V$5:$V$1000,"Macro")/COUNTIFS($S$5:$S$1000,$S159,$V$5:$V$1000,"Macro",$H$5:$H$1000,"&gt;0"))/(COUNTIFS($S$5:$S$1000,$S159,$V$5:$V$1000,"Macro")*SUMIFS($H$5:$H$1000,$S$5:$S$1000,$S159,$V$5:$V$1000,"Macro")/COUNTIFS($S$5:$S$1000,$S159,$V$5:$V$1000,"Macro",$H$5:$H$1000,"&gt;0"))))</f>
        <v/>
      </c>
      <c r="AH159" s="62" t="n"/>
      <c r="AI159" s="62" t="n"/>
      <c r="AJ159" s="62" t="n"/>
      <c r="AK159" s="62" t="n"/>
      <c r="AL159" s="62">
        <f>IF(LEFT($C159,11)="[Jefatura] ",IFERROR(MATCH("Asistente Técnico de Riesgo|"&amp;MID($C159,12,500),rDname_ADM,0),0),"")</f>
        <v/>
      </c>
      <c r="AM159" s="62">
        <f>IF(N($AL159)&gt;0,INDEX(rIni_ADM,$AL159),IF(ISNUMBER($E159),$E159,""))</f>
        <v/>
      </c>
      <c r="AN159" s="62">
        <f>IF(N($AL159)&gt;0,INDEX(rLim_ADM,$AL159),IF(ISNUMBER($F159),$F159,""))</f>
        <v/>
      </c>
    </row>
    <row r="160">
      <c r="A160" s="56">
        <f>IF(NOT((COUNTA($B160:$D160)+COUNTA($G160:$L160)+COUNTA($Q160))&gt;0),"",IF($V160="Macro",COUNTIFS($V$5:$V160,"Macro",$S$5:$S160,$S160),IF(N($U160)=0,"?",COUNTIFS(INDEX($V$5:$V$1000,1):INDEX($V$5:$V$1000,$U160-4),"Macro",INDEX($S$5:$S$1000,1):INDEX($S$5:$S$1000,$U160-4),INDEX($S$5:$S$1000,$U160-4))&amp;"."&amp;COUNTIFS($U$5:$U160,$U160,$V$5:$V160,"Sub"))))</f>
        <v/>
      </c>
      <c r="B160" s="57" t="n"/>
      <c r="C160" s="58" t="n"/>
      <c r="D160" s="58" t="n"/>
      <c r="E160" s="59">
        <f>IF(N($AL160)&gt;0,INDEX(rIni_ADM,$AL160),"")</f>
        <v/>
      </c>
      <c r="F160" s="59">
        <f>IF(N($AL160)&gt;0,INDEX(rLim_ADM,$AL160),"")</f>
        <v/>
      </c>
      <c r="G160" s="59" t="n"/>
      <c r="H160" s="60" t="n"/>
      <c r="I160" s="60" t="n"/>
      <c r="J160" s="60" t="n"/>
      <c r="K160" s="60" t="n"/>
      <c r="L160" s="60" t="n"/>
      <c r="M160" s="61">
        <f>IF(NOT((COUNTA($B160:$D160)+COUNTA($G160:$L160)+COUNTA($Q160))&gt;0),"",IF($V160="Sub",IFERROR($X160/INDEX($W$5:$W$1000,$U160-4),""),IF(ISNUMBER($G160),1,IF(N($W160)&gt;0,AVERAGEIFS($X$5:$X$1000,$U$5:$U$1000,ROW(),$V$5:$V$1000,"Sub"),$X160))))</f>
        <v/>
      </c>
      <c r="N160" s="56">
        <f>IF(OR($M160="",$V160="Sub"),"",IF($M160&gt;=1,"Completado",IF($M160&gt;0,"En curso","Pendiente")))</f>
        <v/>
      </c>
      <c r="O160" s="56">
        <f>IF(OR(NOT((COUNTA($B160:$D160)+COUNTA($G160:$L160)+COUNTA($Q160))&gt;0),$V160="Sub"),"",IF(ISNUMBER($G160),IF(AND(ISNUMBER($AN160),$G160&gt;$AN160),"Cumplida con "&amp;($G160-$AN160)&amp;IF($G160-$AN160=1," día"," días")&amp;" de retraso","Cumplida"),IF(N($M160)&gt;=1,"Cumplida",IF(NOT(ISNUMBER($AN160)),"Sin fecha límite",IF($AN160&lt;FechaRef,"Vencida hace "&amp;(FechaRef-$AN160)&amp;IF(FechaRef-$AN160=1," día"," días"),IF($AN160=FechaRef,"Vence hoy",IF($AN160-FechaRef&lt;=DiasAlerta,"Vence en "&amp;($AN160-FechaRef)&amp;IF($AN160-FechaRef=1," día"," días"),"En plazo")))))))</f>
        <v/>
      </c>
      <c r="P160" s="62" t="n"/>
      <c r="Q160" s="58" t="n"/>
      <c r="R160" s="63">
        <f>IF(NOT((COUNTA($B160:$D160)+COUNTA($G160:$L160)+COUNTA($Q160))&gt;0),"",IF((IF($C160="","Falta el nombre de la actividad"&amp;" · ","")&amp;IF(AND($V160="Sub",N($U160)=0),"Subactividad sin macroactividad arriba"&amp;" · ","")&amp;IF($AM160="","Sin fecha de inicio"&amp;" · ","")&amp;IF($AN160="","Sin fecha límite"&amp;" · ","")&amp;IF(AND(LEFT($C160,11)="[Jefatura] ",N($AL160)=0),"No se encuentra en la hoja de la jefatura (elíjala de nuevo en la lista)"&amp;" · ","")&amp;IF(OR(AND($E160&lt;&gt;"",NOT(ISNUMBER($E160))),AND($F160&lt;&gt;"",NOT(ISNUMBER($F160))),AND($G160&lt;&gt;"",NOT(ISNUMBER($G160)))),"Fecha no válida"&amp;" · ","")&amp;IF(AND(ISNUMBER($AM160),ISNUMBER($AN160),$AM160&gt;$AN160),"Inicio posterior a fecha límite"&amp;" · ","")&amp;IF(AND($V160="Macro",$H160&lt;&gt;"",OR(NOT(ISNUMBER($H160)),$H160&lt;0,$H160&gt;1)),"Peso fuera de rango"&amp;" · ","")&amp;IF(AND($V160="Sub",$H160&lt;&gt;""),"Las subactividades no llevan peso (valen igual dentro de su macroactividad)"&amp;" · ","")&amp;IF(AND(N($W160)&gt;0,COUNT($I160:$L160)&gt;0),"Con subactividades: deje vacías las semanas (se calculan solas)"&amp;" · ","")&amp;IF((COUNTIF($I160:$L160,"&gt;1")+COUNTIF($I160:$L160,"&lt;0")+COUNTA($I160:$L160)-COUNT($I160:$L160))&gt;0,"Avance fuera de rango 0-100%"&amp;" · ","")&amp;IF(OR(AND($J160&lt;&gt;"",$J160&lt;$I160),AND($K160&lt;&gt;"",$K160&lt;MAX($I160:$J160)),AND($L160&lt;&gt;"",$L160&lt;MAX($I160:$K160))),"Avance semanal decreciente"&amp;" · ","")&amp;IF(AND(ISNUMBER($AN160),$AN160&lt;FechaRef,IF($V160="Sub",N($X160),N($M160))&lt;1),"Vencida"&amp;" · ","")&amp;IF(AND(ObsObligatoria="Sí",ISNUMBER($AN160),$AN160&lt;FechaRef,IF($V160="Sub",N($X160),N($M160))&lt;1,$Q160=""),"Vencida sin observación"&amp;" · ",""))="","✔ OK","⚠ "&amp;LEFT(IF($C160="","Falta el nombre de la actividad"&amp;" · ","")&amp;IF(AND($V160="Sub",N($U160)=0),"Subactividad sin macroactividad arriba"&amp;" · ","")&amp;IF($AM160="","Sin fecha de inicio"&amp;" · ","")&amp;IF($AN160="","Sin fecha límite"&amp;" · ","")&amp;IF(AND(LEFT($C160,11)="[Jefatura] ",N($AL160)=0),"No se encuentra en la hoja de la jefatura (elíjala de nuevo en la lista)"&amp;" · ","")&amp;IF(OR(AND($E160&lt;&gt;"",NOT(ISNUMBER($E160))),AND($F160&lt;&gt;"",NOT(ISNUMBER($F160))),AND($G160&lt;&gt;"",NOT(ISNUMBER($G160)))),"Fecha no válida"&amp;" · ","")&amp;IF(AND(ISNUMBER($AM160),ISNUMBER($AN160),$AM160&gt;$AN160),"Inicio posterior a fecha límite"&amp;" · ","")&amp;IF(AND($V160="Macro",$H160&lt;&gt;"",OR(NOT(ISNUMBER($H160)),$H160&lt;0,$H160&gt;1)),"Peso fuera de rango"&amp;" · ","")&amp;IF(AND($V160="Sub",$H160&lt;&gt;""),"Las subactividades no llevan peso (valen igual dentro de su macroactividad)"&amp;" · ","")&amp;IF(AND(N($W160)&gt;0,COUNT($I160:$L160)&gt;0),"Con subactividades: deje vacías las semanas (se calculan solas)"&amp;" · ","")&amp;IF((COUNTIF($I160:$L160,"&gt;1")+COUNTIF($I160:$L160,"&lt;0")+COUNTA($I160:$L160)-COUNT($I160:$L160))&gt;0,"Avance fuera de rango 0-100%"&amp;" · ","")&amp;IF(OR(AND($J160&lt;&gt;"",$J160&lt;$I160),AND($K160&lt;&gt;"",$K160&lt;MAX($I160:$J160)),AND($L160&lt;&gt;"",$L160&lt;MAX($I160:$K160))),"Avance semanal decreciente"&amp;" · ","")&amp;IF(AND(ISNUMBER($AN160),$AN160&lt;FechaRef,IF($V160="Sub",N($X160),N($M160))&lt;1),"Vencida"&amp;" · ","")&amp;IF(AND(ObsObligatoria="Sí",ISNUMBER($AN160),$AN160&lt;FechaRef,IF($V160="Sub",N($X160),N($M160))&lt;1,$Q160=""),"Vencida sin observación"&amp;" · ",""),LEN(IF($C160="","Falta el nombre de la actividad"&amp;" · ","")&amp;IF(AND($V160="Sub",N($U160)=0),"Subactividad sin macroactividad arriba"&amp;" · ","")&amp;IF($AM160="","Sin fecha de inicio"&amp;" · ","")&amp;IF($AN160="","Sin fecha límite"&amp;" · ","")&amp;IF(AND(LEFT($C160,11)="[Jefatura] ",N($AL160)=0),"No se encuentra en la hoja de la jefatura (elíjala de nuevo en la lista)"&amp;" · ","")&amp;IF(OR(AND($E160&lt;&gt;"",NOT(ISNUMBER($E160))),AND($F160&lt;&gt;"",NOT(ISNUMBER($F160))),AND($G160&lt;&gt;"",NOT(ISNUMBER($G160)))),"Fecha no válida"&amp;" · ","")&amp;IF(AND(ISNUMBER($AM160),ISNUMBER($AN160),$AM160&gt;$AN160),"Inicio posterior a fecha límite"&amp;" · ","")&amp;IF(AND($V160="Macro",$H160&lt;&gt;"",OR(NOT(ISNUMBER($H160)),$H160&lt;0,$H160&gt;1)),"Peso fuera de rango"&amp;" · ","")&amp;IF(AND($V160="Sub",$H160&lt;&gt;""),"Las subactividades no llevan peso (valen igual dentro de su macroactividad)"&amp;" · ","")&amp;IF(AND(N($W160)&gt;0,COUNT($I160:$L160)&gt;0),"Con subactividades: deje vacías las semanas (se calculan solas)"&amp;" · ","")&amp;IF((COUNTIF($I160:$L160,"&gt;1")+COUNTIF($I160:$L160,"&lt;0")+COUNTA($I160:$L160)-COUNT($I160:$L160))&gt;0,"Avance fuera de rango 0-100%"&amp;" · ","")&amp;IF(OR(AND($J160&lt;&gt;"",$J160&lt;$I160),AND($K160&lt;&gt;"",$K160&lt;MAX($I160:$J160)),AND($L160&lt;&gt;"",$L160&lt;MAX($I160:$K160))),"Avance semanal decreciente"&amp;" · ","")&amp;IF(AND(ISNUMBER($AN160),$AN160&lt;FechaRef,IF($V160="Sub",N($X160),N($M160))&lt;1),"Vencida"&amp;" · ","")&amp;IF(AND(ObsObligatoria="Sí",ISNUMBER($AN160),$AN160&lt;FechaRef,IF($V160="Sub",N($X160),N($M160))&lt;1,$Q160=""),"Vencida sin observación"&amp;" · ",""))-3)))</f>
        <v/>
      </c>
      <c r="S160" s="64">
        <f>IF(NOT((COUNTA($B160:$D160)+COUNTA($G160:$L160)+COUNTA($Q160))&gt;0),"",IF(AND($V160="Sub",N($U160)&gt;0),IF(ISNUMBER(INDEX($AM$5:$AM$1000,$U160-4)),DATE(YEAR(INDEX($AM$5:$AM$1000,$U160-4)),MONTH(INDEX($AM$5:$AM$1000,$U160-4)),1),IF(ISNUMBER(INDEX($AN$5:$AN$1000,$U160-4)),DATE(YEAR(INDEX($AN$5:$AN$1000,$U160-4)),MONTH(INDEX($AN$5:$AN$1000,$U160-4)),1),MesCiclo)),IF(ISNUMBER($AM160),DATE(YEAR($AM160),MONTH($AM160),1),IF(ISNUMBER($AN160),DATE(YEAR($AN160),MONTH($AN160),1),MesCiclo))))</f>
        <v/>
      </c>
      <c r="T160" s="62">
        <f>IF(OR($S160="",$S160&lt;&gt;MesCiclo,$V160&lt;&gt;"Macro"),"",COUNTIFS($S$5:$S160,MesCiclo,$V$5:$V160,"Macro"))</f>
        <v/>
      </c>
      <c r="U160" s="62">
        <f>IF($V160="","",IF($V160="Macro",ROW(),IFERROR(LOOKUP(2,1/($V$5:$V160="Macro"),ROW($V$5:$V160)),0)))</f>
        <v/>
      </c>
      <c r="V160" s="62">
        <f>IF(NOT((COUNTA($B160:$D160)+COUNTA($G160:$L160)+COUNTA($Q160))&gt;0),"",IF($B160="Subactividad","Sub","Macro"))</f>
        <v/>
      </c>
      <c r="W160" s="62">
        <f>IF($V160="Macro",COUNTIFS($U$5:$U$1000,ROW(),$V$5:$V$1000,"Sub"),"")</f>
        <v/>
      </c>
      <c r="X160" s="62">
        <f>IF($V160="","",IF(ISNUMBER($G160),1,IFERROR(LOOKUP(2,1/($I160:$L160&lt;&gt;""),$I160:$L160),0)))</f>
        <v/>
      </c>
      <c r="Y160" s="62">
        <f>IF($V160="","",IF(AND(ISNUMBER($G160),$G160&lt;=IF($S160=MesCiclo,InicioCiclo,$S160+MOD(2-WEEKDAY($S160),7))+6),1,IF(ISNUMBER($I160),$I160,0)))</f>
        <v/>
      </c>
      <c r="Z160" s="62">
        <f>IF($V160="","",IF(AND(ISNUMBER($G160),$G160&lt;=IF($S160=MesCiclo,InicioCiclo,$S160+MOD(2-WEEKDAY($S160),7))+13),1,IF(ISNUMBER($J160),$J160,$Y160)))</f>
        <v/>
      </c>
      <c r="AA160" s="62">
        <f>IF($V160="","",IF(AND(ISNUMBER($G160),$G160&lt;=IF($S160=MesCiclo,InicioCiclo,$S160+MOD(2-WEEKDAY($S160),7))+20),1,IF(ISNUMBER($K160),$K160,$Z160)))</f>
        <v/>
      </c>
      <c r="AB160" s="62">
        <f>IF($V160="","",IF(AND(ISNUMBER($G160),$G160&lt;=IF($S160=MesCiclo,InicioCiclo,$S160+MOD(2-WEEKDAY($S160),7))+27),1,IF(ISNUMBER($L160),$L160,$AA160)))</f>
        <v/>
      </c>
      <c r="AC160" s="62">
        <f>IF($V160="","",IF(AND(ISNUMBER($G160),$G160&lt;=IF($S160=MesCiclo,InicioCiclo,$S160+MOD(2-WEEKDAY($S160),7))+6),1,IF(N($W160)&gt;0,AVERAGEIFS($Y$5:$Y$1000,$U$5:$U$1000,ROW(),$V$5:$V$1000,"Sub"),$Y160)))</f>
        <v/>
      </c>
      <c r="AD160" s="62">
        <f>IF($V160="","",IF(AND(ISNUMBER($G160),$G160&lt;=IF($S160=MesCiclo,InicioCiclo,$S160+MOD(2-WEEKDAY($S160),7))+13),1,IF(N($W160)&gt;0,AVERAGEIFS($Z$5:$Z$1000,$U$5:$U$1000,ROW(),$V$5:$V$1000,"Sub"),$Z160)))</f>
        <v/>
      </c>
      <c r="AE160" s="62">
        <f>IF($V160="","",IF(AND(ISNUMBER($G160),$G160&lt;=IF($S160=MesCiclo,InicioCiclo,$S160+MOD(2-WEEKDAY($S160),7))+20),1,IF(N($W160)&gt;0,AVERAGEIFS($AA$5:$AA$1000,$U$5:$U$1000,ROW(),$V$5:$V$1000,"Sub"),$AA160)))</f>
        <v/>
      </c>
      <c r="AF160" s="62">
        <f>IF($V160="","",IF(AND(ISNUMBER($G160),$G160&lt;=IF($S160=MesCiclo,InicioCiclo,$S160+MOD(2-WEEKDAY($S160),7))+27),1,IF(N($W160)&gt;0,AVERAGEIFS($AB$5:$AB$1000,$U$5:$U$1000,ROW(),$V$5:$V$1000,"Sub"),$AB160)))</f>
        <v/>
      </c>
      <c r="AG160" s="62">
        <f>IF($V160&lt;&gt;"Macro","",IF(COUNTIFS($S$5:$S$1000,$S160,$V$5:$V$1000,"Macro",$H$5:$H$1000,"&gt;0")=0,1/COUNTIFS($S$5:$S$1000,$S160,$V$5:$V$1000,"Macro"),IF(AND(ISNUMBER($H160),N($H160)&gt;0),$H160,SUMIFS($H$5:$H$1000,$S$5:$S$1000,$S160,$V$5:$V$1000,"Macro")/COUNTIFS($S$5:$S$1000,$S160,$V$5:$V$1000,"Macro",$H$5:$H$1000,"&gt;0"))/(COUNTIFS($S$5:$S$1000,$S160,$V$5:$V$1000,"Macro")*SUMIFS($H$5:$H$1000,$S$5:$S$1000,$S160,$V$5:$V$1000,"Macro")/COUNTIFS($S$5:$S$1000,$S160,$V$5:$V$1000,"Macro",$H$5:$H$1000,"&gt;0"))))</f>
        <v/>
      </c>
      <c r="AH160" s="62" t="n"/>
      <c r="AI160" s="62" t="n"/>
      <c r="AJ160" s="62" t="n"/>
      <c r="AK160" s="62" t="n"/>
      <c r="AL160" s="62">
        <f>IF(LEFT($C160,11)="[Jefatura] ",IFERROR(MATCH("Asistente Técnico de Riesgo|"&amp;MID($C160,12,500),rDname_ADM,0),0),"")</f>
        <v/>
      </c>
      <c r="AM160" s="62">
        <f>IF(N($AL160)&gt;0,INDEX(rIni_ADM,$AL160),IF(ISNUMBER($E160),$E160,""))</f>
        <v/>
      </c>
      <c r="AN160" s="62">
        <f>IF(N($AL160)&gt;0,INDEX(rLim_ADM,$AL160),IF(ISNUMBER($F160),$F160,""))</f>
        <v/>
      </c>
    </row>
    <row r="161">
      <c r="A161" s="56">
        <f>IF(NOT((COUNTA($B161:$D161)+COUNTA($G161:$L161)+COUNTA($Q161))&gt;0),"",IF($V161="Macro",COUNTIFS($V$5:$V161,"Macro",$S$5:$S161,$S161),IF(N($U161)=0,"?",COUNTIFS(INDEX($V$5:$V$1000,1):INDEX($V$5:$V$1000,$U161-4),"Macro",INDEX($S$5:$S$1000,1):INDEX($S$5:$S$1000,$U161-4),INDEX($S$5:$S$1000,$U161-4))&amp;"."&amp;COUNTIFS($U$5:$U161,$U161,$V$5:$V161,"Sub"))))</f>
        <v/>
      </c>
      <c r="B161" s="57" t="n"/>
      <c r="C161" s="58" t="n"/>
      <c r="D161" s="58" t="n"/>
      <c r="E161" s="59">
        <f>IF(N($AL161)&gt;0,INDEX(rIni_ADM,$AL161),"")</f>
        <v/>
      </c>
      <c r="F161" s="59">
        <f>IF(N($AL161)&gt;0,INDEX(rLim_ADM,$AL161),"")</f>
        <v/>
      </c>
      <c r="G161" s="59" t="n"/>
      <c r="H161" s="60" t="n"/>
      <c r="I161" s="60" t="n"/>
      <c r="J161" s="60" t="n"/>
      <c r="K161" s="60" t="n"/>
      <c r="L161" s="60" t="n"/>
      <c r="M161" s="61">
        <f>IF(NOT((COUNTA($B161:$D161)+COUNTA($G161:$L161)+COUNTA($Q161))&gt;0),"",IF($V161="Sub",IFERROR($X161/INDEX($W$5:$W$1000,$U161-4),""),IF(ISNUMBER($G161),1,IF(N($W161)&gt;0,AVERAGEIFS($X$5:$X$1000,$U$5:$U$1000,ROW(),$V$5:$V$1000,"Sub"),$X161))))</f>
        <v/>
      </c>
      <c r="N161" s="56">
        <f>IF(OR($M161="",$V161="Sub"),"",IF($M161&gt;=1,"Completado",IF($M161&gt;0,"En curso","Pendiente")))</f>
        <v/>
      </c>
      <c r="O161" s="56">
        <f>IF(OR(NOT((COUNTA($B161:$D161)+COUNTA($G161:$L161)+COUNTA($Q161))&gt;0),$V161="Sub"),"",IF(ISNUMBER($G161),IF(AND(ISNUMBER($AN161),$G161&gt;$AN161),"Cumplida con "&amp;($G161-$AN161)&amp;IF($G161-$AN161=1," día"," días")&amp;" de retraso","Cumplida"),IF(N($M161)&gt;=1,"Cumplida",IF(NOT(ISNUMBER($AN161)),"Sin fecha límite",IF($AN161&lt;FechaRef,"Vencida hace "&amp;(FechaRef-$AN161)&amp;IF(FechaRef-$AN161=1," día"," días"),IF($AN161=FechaRef,"Vence hoy",IF($AN161-FechaRef&lt;=DiasAlerta,"Vence en "&amp;($AN161-FechaRef)&amp;IF($AN161-FechaRef=1," día"," días"),"En plazo")))))))</f>
        <v/>
      </c>
      <c r="P161" s="62" t="n"/>
      <c r="Q161" s="58" t="n"/>
      <c r="R161" s="63">
        <f>IF(NOT((COUNTA($B161:$D161)+COUNTA($G161:$L161)+COUNTA($Q161))&gt;0),"",IF((IF($C161="","Falta el nombre de la actividad"&amp;" · ","")&amp;IF(AND($V161="Sub",N($U161)=0),"Subactividad sin macroactividad arriba"&amp;" · ","")&amp;IF($AM161="","Sin fecha de inicio"&amp;" · ","")&amp;IF($AN161="","Sin fecha límite"&amp;" · ","")&amp;IF(AND(LEFT($C161,11)="[Jefatura] ",N($AL161)=0),"No se encuentra en la hoja de la jefatura (elíjala de nuevo en la lista)"&amp;" · ","")&amp;IF(OR(AND($E161&lt;&gt;"",NOT(ISNUMBER($E161))),AND($F161&lt;&gt;"",NOT(ISNUMBER($F161))),AND($G161&lt;&gt;"",NOT(ISNUMBER($G161)))),"Fecha no válida"&amp;" · ","")&amp;IF(AND(ISNUMBER($AM161),ISNUMBER($AN161),$AM161&gt;$AN161),"Inicio posterior a fecha límite"&amp;" · ","")&amp;IF(AND($V161="Macro",$H161&lt;&gt;"",OR(NOT(ISNUMBER($H161)),$H161&lt;0,$H161&gt;1)),"Peso fuera de rango"&amp;" · ","")&amp;IF(AND($V161="Sub",$H161&lt;&gt;""),"Las subactividades no llevan peso (valen igual dentro de su macroactividad)"&amp;" · ","")&amp;IF(AND(N($W161)&gt;0,COUNT($I161:$L161)&gt;0),"Con subactividades: deje vacías las semanas (se calculan solas)"&amp;" · ","")&amp;IF((COUNTIF($I161:$L161,"&gt;1")+COUNTIF($I161:$L161,"&lt;0")+COUNTA($I161:$L161)-COUNT($I161:$L161))&gt;0,"Avance fuera de rango 0-100%"&amp;" · ","")&amp;IF(OR(AND($J161&lt;&gt;"",$J161&lt;$I161),AND($K161&lt;&gt;"",$K161&lt;MAX($I161:$J161)),AND($L161&lt;&gt;"",$L161&lt;MAX($I161:$K161))),"Avance semanal decreciente"&amp;" · ","")&amp;IF(AND(ISNUMBER($AN161),$AN161&lt;FechaRef,IF($V161="Sub",N($X161),N($M161))&lt;1),"Vencida"&amp;" · ","")&amp;IF(AND(ObsObligatoria="Sí",ISNUMBER($AN161),$AN161&lt;FechaRef,IF($V161="Sub",N($X161),N($M161))&lt;1,$Q161=""),"Vencida sin observación"&amp;" · ",""))="","✔ OK","⚠ "&amp;LEFT(IF($C161="","Falta el nombre de la actividad"&amp;" · ","")&amp;IF(AND($V161="Sub",N($U161)=0),"Subactividad sin macroactividad arriba"&amp;" · ","")&amp;IF($AM161="","Sin fecha de inicio"&amp;" · ","")&amp;IF($AN161="","Sin fecha límite"&amp;" · ","")&amp;IF(AND(LEFT($C161,11)="[Jefatura] ",N($AL161)=0),"No se encuentra en la hoja de la jefatura (elíjala de nuevo en la lista)"&amp;" · ","")&amp;IF(OR(AND($E161&lt;&gt;"",NOT(ISNUMBER($E161))),AND($F161&lt;&gt;"",NOT(ISNUMBER($F161))),AND($G161&lt;&gt;"",NOT(ISNUMBER($G161)))),"Fecha no válida"&amp;" · ","")&amp;IF(AND(ISNUMBER($AM161),ISNUMBER($AN161),$AM161&gt;$AN161),"Inicio posterior a fecha límite"&amp;" · ","")&amp;IF(AND($V161="Macro",$H161&lt;&gt;"",OR(NOT(ISNUMBER($H161)),$H161&lt;0,$H161&gt;1)),"Peso fuera de rango"&amp;" · ","")&amp;IF(AND($V161="Sub",$H161&lt;&gt;""),"Las subactividades no llevan peso (valen igual dentro de su macroactividad)"&amp;" · ","")&amp;IF(AND(N($W161)&gt;0,COUNT($I161:$L161)&gt;0),"Con subactividades: deje vacías las semanas (se calculan solas)"&amp;" · ","")&amp;IF((COUNTIF($I161:$L161,"&gt;1")+COUNTIF($I161:$L161,"&lt;0")+COUNTA($I161:$L161)-COUNT($I161:$L161))&gt;0,"Avance fuera de rango 0-100%"&amp;" · ","")&amp;IF(OR(AND($J161&lt;&gt;"",$J161&lt;$I161),AND($K161&lt;&gt;"",$K161&lt;MAX($I161:$J161)),AND($L161&lt;&gt;"",$L161&lt;MAX($I161:$K161))),"Avance semanal decreciente"&amp;" · ","")&amp;IF(AND(ISNUMBER($AN161),$AN161&lt;FechaRef,IF($V161="Sub",N($X161),N($M161))&lt;1),"Vencida"&amp;" · ","")&amp;IF(AND(ObsObligatoria="Sí",ISNUMBER($AN161),$AN161&lt;FechaRef,IF($V161="Sub",N($X161),N($M161))&lt;1,$Q161=""),"Vencida sin observación"&amp;" · ",""),LEN(IF($C161="","Falta el nombre de la actividad"&amp;" · ","")&amp;IF(AND($V161="Sub",N($U161)=0),"Subactividad sin macroactividad arriba"&amp;" · ","")&amp;IF($AM161="","Sin fecha de inicio"&amp;" · ","")&amp;IF($AN161="","Sin fecha límite"&amp;" · ","")&amp;IF(AND(LEFT($C161,11)="[Jefatura] ",N($AL161)=0),"No se encuentra en la hoja de la jefatura (elíjala de nuevo en la lista)"&amp;" · ","")&amp;IF(OR(AND($E161&lt;&gt;"",NOT(ISNUMBER($E161))),AND($F161&lt;&gt;"",NOT(ISNUMBER($F161))),AND($G161&lt;&gt;"",NOT(ISNUMBER($G161)))),"Fecha no válida"&amp;" · ","")&amp;IF(AND(ISNUMBER($AM161),ISNUMBER($AN161),$AM161&gt;$AN161),"Inicio posterior a fecha límite"&amp;" · ","")&amp;IF(AND($V161="Macro",$H161&lt;&gt;"",OR(NOT(ISNUMBER($H161)),$H161&lt;0,$H161&gt;1)),"Peso fuera de rango"&amp;" · ","")&amp;IF(AND($V161="Sub",$H161&lt;&gt;""),"Las subactividades no llevan peso (valen igual dentro de su macroactividad)"&amp;" · ","")&amp;IF(AND(N($W161)&gt;0,COUNT($I161:$L161)&gt;0),"Con subactividades: deje vacías las semanas (se calculan solas)"&amp;" · ","")&amp;IF((COUNTIF($I161:$L161,"&gt;1")+COUNTIF($I161:$L161,"&lt;0")+COUNTA($I161:$L161)-COUNT($I161:$L161))&gt;0,"Avance fuera de rango 0-100%"&amp;" · ","")&amp;IF(OR(AND($J161&lt;&gt;"",$J161&lt;$I161),AND($K161&lt;&gt;"",$K161&lt;MAX($I161:$J161)),AND($L161&lt;&gt;"",$L161&lt;MAX($I161:$K161))),"Avance semanal decreciente"&amp;" · ","")&amp;IF(AND(ISNUMBER($AN161),$AN161&lt;FechaRef,IF($V161="Sub",N($X161),N($M161))&lt;1),"Vencida"&amp;" · ","")&amp;IF(AND(ObsObligatoria="Sí",ISNUMBER($AN161),$AN161&lt;FechaRef,IF($V161="Sub",N($X161),N($M161))&lt;1,$Q161=""),"Vencida sin observación"&amp;" · ",""))-3)))</f>
        <v/>
      </c>
      <c r="S161" s="64">
        <f>IF(NOT((COUNTA($B161:$D161)+COUNTA($G161:$L161)+COUNTA($Q161))&gt;0),"",IF(AND($V161="Sub",N($U161)&gt;0),IF(ISNUMBER(INDEX($AM$5:$AM$1000,$U161-4)),DATE(YEAR(INDEX($AM$5:$AM$1000,$U161-4)),MONTH(INDEX($AM$5:$AM$1000,$U161-4)),1),IF(ISNUMBER(INDEX($AN$5:$AN$1000,$U161-4)),DATE(YEAR(INDEX($AN$5:$AN$1000,$U161-4)),MONTH(INDEX($AN$5:$AN$1000,$U161-4)),1),MesCiclo)),IF(ISNUMBER($AM161),DATE(YEAR($AM161),MONTH($AM161),1),IF(ISNUMBER($AN161),DATE(YEAR($AN161),MONTH($AN161),1),MesCiclo))))</f>
        <v/>
      </c>
      <c r="T161" s="62">
        <f>IF(OR($S161="",$S161&lt;&gt;MesCiclo,$V161&lt;&gt;"Macro"),"",COUNTIFS($S$5:$S161,MesCiclo,$V$5:$V161,"Macro"))</f>
        <v/>
      </c>
      <c r="U161" s="62">
        <f>IF($V161="","",IF($V161="Macro",ROW(),IFERROR(LOOKUP(2,1/($V$5:$V161="Macro"),ROW($V$5:$V161)),0)))</f>
        <v/>
      </c>
      <c r="V161" s="62">
        <f>IF(NOT((COUNTA($B161:$D161)+COUNTA($G161:$L161)+COUNTA($Q161))&gt;0),"",IF($B161="Subactividad","Sub","Macro"))</f>
        <v/>
      </c>
      <c r="W161" s="62">
        <f>IF($V161="Macro",COUNTIFS($U$5:$U$1000,ROW(),$V$5:$V$1000,"Sub"),"")</f>
        <v/>
      </c>
      <c r="X161" s="62">
        <f>IF($V161="","",IF(ISNUMBER($G161),1,IFERROR(LOOKUP(2,1/($I161:$L161&lt;&gt;""),$I161:$L161),0)))</f>
        <v/>
      </c>
      <c r="Y161" s="62">
        <f>IF($V161="","",IF(AND(ISNUMBER($G161),$G161&lt;=IF($S161=MesCiclo,InicioCiclo,$S161+MOD(2-WEEKDAY($S161),7))+6),1,IF(ISNUMBER($I161),$I161,0)))</f>
        <v/>
      </c>
      <c r="Z161" s="62">
        <f>IF($V161="","",IF(AND(ISNUMBER($G161),$G161&lt;=IF($S161=MesCiclo,InicioCiclo,$S161+MOD(2-WEEKDAY($S161),7))+13),1,IF(ISNUMBER($J161),$J161,$Y161)))</f>
        <v/>
      </c>
      <c r="AA161" s="62">
        <f>IF($V161="","",IF(AND(ISNUMBER($G161),$G161&lt;=IF($S161=MesCiclo,InicioCiclo,$S161+MOD(2-WEEKDAY($S161),7))+20),1,IF(ISNUMBER($K161),$K161,$Z161)))</f>
        <v/>
      </c>
      <c r="AB161" s="62">
        <f>IF($V161="","",IF(AND(ISNUMBER($G161),$G161&lt;=IF($S161=MesCiclo,InicioCiclo,$S161+MOD(2-WEEKDAY($S161),7))+27),1,IF(ISNUMBER($L161),$L161,$AA161)))</f>
        <v/>
      </c>
      <c r="AC161" s="62">
        <f>IF($V161="","",IF(AND(ISNUMBER($G161),$G161&lt;=IF($S161=MesCiclo,InicioCiclo,$S161+MOD(2-WEEKDAY($S161),7))+6),1,IF(N($W161)&gt;0,AVERAGEIFS($Y$5:$Y$1000,$U$5:$U$1000,ROW(),$V$5:$V$1000,"Sub"),$Y161)))</f>
        <v/>
      </c>
      <c r="AD161" s="62">
        <f>IF($V161="","",IF(AND(ISNUMBER($G161),$G161&lt;=IF($S161=MesCiclo,InicioCiclo,$S161+MOD(2-WEEKDAY($S161),7))+13),1,IF(N($W161)&gt;0,AVERAGEIFS($Z$5:$Z$1000,$U$5:$U$1000,ROW(),$V$5:$V$1000,"Sub"),$Z161)))</f>
        <v/>
      </c>
      <c r="AE161" s="62">
        <f>IF($V161="","",IF(AND(ISNUMBER($G161),$G161&lt;=IF($S161=MesCiclo,InicioCiclo,$S161+MOD(2-WEEKDAY($S161),7))+20),1,IF(N($W161)&gt;0,AVERAGEIFS($AA$5:$AA$1000,$U$5:$U$1000,ROW(),$V$5:$V$1000,"Sub"),$AA161)))</f>
        <v/>
      </c>
      <c r="AF161" s="62">
        <f>IF($V161="","",IF(AND(ISNUMBER($G161),$G161&lt;=IF($S161=MesCiclo,InicioCiclo,$S161+MOD(2-WEEKDAY($S161),7))+27),1,IF(N($W161)&gt;0,AVERAGEIFS($AB$5:$AB$1000,$U$5:$U$1000,ROW(),$V$5:$V$1000,"Sub"),$AB161)))</f>
        <v/>
      </c>
      <c r="AG161" s="62">
        <f>IF($V161&lt;&gt;"Macro","",IF(COUNTIFS($S$5:$S$1000,$S161,$V$5:$V$1000,"Macro",$H$5:$H$1000,"&gt;0")=0,1/COUNTIFS($S$5:$S$1000,$S161,$V$5:$V$1000,"Macro"),IF(AND(ISNUMBER($H161),N($H161)&gt;0),$H161,SUMIFS($H$5:$H$1000,$S$5:$S$1000,$S161,$V$5:$V$1000,"Macro")/COUNTIFS($S$5:$S$1000,$S161,$V$5:$V$1000,"Macro",$H$5:$H$1000,"&gt;0"))/(COUNTIFS($S$5:$S$1000,$S161,$V$5:$V$1000,"Macro")*SUMIFS($H$5:$H$1000,$S$5:$S$1000,$S161,$V$5:$V$1000,"Macro")/COUNTIFS($S$5:$S$1000,$S161,$V$5:$V$1000,"Macro",$H$5:$H$1000,"&gt;0"))))</f>
        <v/>
      </c>
      <c r="AH161" s="62" t="n"/>
      <c r="AI161" s="62" t="n"/>
      <c r="AJ161" s="62" t="n"/>
      <c r="AK161" s="62" t="n"/>
      <c r="AL161" s="62">
        <f>IF(LEFT($C161,11)="[Jefatura] ",IFERROR(MATCH("Asistente Técnico de Riesgo|"&amp;MID($C161,12,500),rDname_ADM,0),0),"")</f>
        <v/>
      </c>
      <c r="AM161" s="62">
        <f>IF(N($AL161)&gt;0,INDEX(rIni_ADM,$AL161),IF(ISNUMBER($E161),$E161,""))</f>
        <v/>
      </c>
      <c r="AN161" s="62">
        <f>IF(N($AL161)&gt;0,INDEX(rLim_ADM,$AL161),IF(ISNUMBER($F161),$F161,""))</f>
        <v/>
      </c>
    </row>
    <row r="162">
      <c r="A162" s="56">
        <f>IF(NOT((COUNTA($B162:$D162)+COUNTA($G162:$L162)+COUNTA($Q162))&gt;0),"",IF($V162="Macro",COUNTIFS($V$5:$V162,"Macro",$S$5:$S162,$S162),IF(N($U162)=0,"?",COUNTIFS(INDEX($V$5:$V$1000,1):INDEX($V$5:$V$1000,$U162-4),"Macro",INDEX($S$5:$S$1000,1):INDEX($S$5:$S$1000,$U162-4),INDEX($S$5:$S$1000,$U162-4))&amp;"."&amp;COUNTIFS($U$5:$U162,$U162,$V$5:$V162,"Sub"))))</f>
        <v/>
      </c>
      <c r="B162" s="57" t="n"/>
      <c r="C162" s="58" t="n"/>
      <c r="D162" s="58" t="n"/>
      <c r="E162" s="59">
        <f>IF(N($AL162)&gt;0,INDEX(rIni_ADM,$AL162),"")</f>
        <v/>
      </c>
      <c r="F162" s="59">
        <f>IF(N($AL162)&gt;0,INDEX(rLim_ADM,$AL162),"")</f>
        <v/>
      </c>
      <c r="G162" s="59" t="n"/>
      <c r="H162" s="60" t="n"/>
      <c r="I162" s="60" t="n"/>
      <c r="J162" s="60" t="n"/>
      <c r="K162" s="60" t="n"/>
      <c r="L162" s="60" t="n"/>
      <c r="M162" s="61">
        <f>IF(NOT((COUNTA($B162:$D162)+COUNTA($G162:$L162)+COUNTA($Q162))&gt;0),"",IF($V162="Sub",IFERROR($X162/INDEX($W$5:$W$1000,$U162-4),""),IF(ISNUMBER($G162),1,IF(N($W162)&gt;0,AVERAGEIFS($X$5:$X$1000,$U$5:$U$1000,ROW(),$V$5:$V$1000,"Sub"),$X162))))</f>
        <v/>
      </c>
      <c r="N162" s="56">
        <f>IF(OR($M162="",$V162="Sub"),"",IF($M162&gt;=1,"Completado",IF($M162&gt;0,"En curso","Pendiente")))</f>
        <v/>
      </c>
      <c r="O162" s="56">
        <f>IF(OR(NOT((COUNTA($B162:$D162)+COUNTA($G162:$L162)+COUNTA($Q162))&gt;0),$V162="Sub"),"",IF(ISNUMBER($G162),IF(AND(ISNUMBER($AN162),$G162&gt;$AN162),"Cumplida con "&amp;($G162-$AN162)&amp;IF($G162-$AN162=1," día"," días")&amp;" de retraso","Cumplida"),IF(N($M162)&gt;=1,"Cumplida",IF(NOT(ISNUMBER($AN162)),"Sin fecha límite",IF($AN162&lt;FechaRef,"Vencida hace "&amp;(FechaRef-$AN162)&amp;IF(FechaRef-$AN162=1," día"," días"),IF($AN162=FechaRef,"Vence hoy",IF($AN162-FechaRef&lt;=DiasAlerta,"Vence en "&amp;($AN162-FechaRef)&amp;IF($AN162-FechaRef=1," día"," días"),"En plazo")))))))</f>
        <v/>
      </c>
      <c r="P162" s="62" t="n"/>
      <c r="Q162" s="58" t="n"/>
      <c r="R162" s="63">
        <f>IF(NOT((COUNTA($B162:$D162)+COUNTA($G162:$L162)+COUNTA($Q162))&gt;0),"",IF((IF($C162="","Falta el nombre de la actividad"&amp;" · ","")&amp;IF(AND($V162="Sub",N($U162)=0),"Subactividad sin macroactividad arriba"&amp;" · ","")&amp;IF($AM162="","Sin fecha de inicio"&amp;" · ","")&amp;IF($AN162="","Sin fecha límite"&amp;" · ","")&amp;IF(AND(LEFT($C162,11)="[Jefatura] ",N($AL162)=0),"No se encuentra en la hoja de la jefatura (elíjala de nuevo en la lista)"&amp;" · ","")&amp;IF(OR(AND($E162&lt;&gt;"",NOT(ISNUMBER($E162))),AND($F162&lt;&gt;"",NOT(ISNUMBER($F162))),AND($G162&lt;&gt;"",NOT(ISNUMBER($G162)))),"Fecha no válida"&amp;" · ","")&amp;IF(AND(ISNUMBER($AM162),ISNUMBER($AN162),$AM162&gt;$AN162),"Inicio posterior a fecha límite"&amp;" · ","")&amp;IF(AND($V162="Macro",$H162&lt;&gt;"",OR(NOT(ISNUMBER($H162)),$H162&lt;0,$H162&gt;1)),"Peso fuera de rango"&amp;" · ","")&amp;IF(AND($V162="Sub",$H162&lt;&gt;""),"Las subactividades no llevan peso (valen igual dentro de su macroactividad)"&amp;" · ","")&amp;IF(AND(N($W162)&gt;0,COUNT($I162:$L162)&gt;0),"Con subactividades: deje vacías las semanas (se calculan solas)"&amp;" · ","")&amp;IF((COUNTIF($I162:$L162,"&gt;1")+COUNTIF($I162:$L162,"&lt;0")+COUNTA($I162:$L162)-COUNT($I162:$L162))&gt;0,"Avance fuera de rango 0-100%"&amp;" · ","")&amp;IF(OR(AND($J162&lt;&gt;"",$J162&lt;$I162),AND($K162&lt;&gt;"",$K162&lt;MAX($I162:$J162)),AND($L162&lt;&gt;"",$L162&lt;MAX($I162:$K162))),"Avance semanal decreciente"&amp;" · ","")&amp;IF(AND(ISNUMBER($AN162),$AN162&lt;FechaRef,IF($V162="Sub",N($X162),N($M162))&lt;1),"Vencida"&amp;" · ","")&amp;IF(AND(ObsObligatoria="Sí",ISNUMBER($AN162),$AN162&lt;FechaRef,IF($V162="Sub",N($X162),N($M162))&lt;1,$Q162=""),"Vencida sin observación"&amp;" · ",""))="","✔ OK","⚠ "&amp;LEFT(IF($C162="","Falta el nombre de la actividad"&amp;" · ","")&amp;IF(AND($V162="Sub",N($U162)=0),"Subactividad sin macroactividad arriba"&amp;" · ","")&amp;IF($AM162="","Sin fecha de inicio"&amp;" · ","")&amp;IF($AN162="","Sin fecha límite"&amp;" · ","")&amp;IF(AND(LEFT($C162,11)="[Jefatura] ",N($AL162)=0),"No se encuentra en la hoja de la jefatura (elíjala de nuevo en la lista)"&amp;" · ","")&amp;IF(OR(AND($E162&lt;&gt;"",NOT(ISNUMBER($E162))),AND($F162&lt;&gt;"",NOT(ISNUMBER($F162))),AND($G162&lt;&gt;"",NOT(ISNUMBER($G162)))),"Fecha no válida"&amp;" · ","")&amp;IF(AND(ISNUMBER($AM162),ISNUMBER($AN162),$AM162&gt;$AN162),"Inicio posterior a fecha límite"&amp;" · ","")&amp;IF(AND($V162="Macro",$H162&lt;&gt;"",OR(NOT(ISNUMBER($H162)),$H162&lt;0,$H162&gt;1)),"Peso fuera de rango"&amp;" · ","")&amp;IF(AND($V162="Sub",$H162&lt;&gt;""),"Las subactividades no llevan peso (valen igual dentro de su macroactividad)"&amp;" · ","")&amp;IF(AND(N($W162)&gt;0,COUNT($I162:$L162)&gt;0),"Con subactividades: deje vacías las semanas (se calculan solas)"&amp;" · ","")&amp;IF((COUNTIF($I162:$L162,"&gt;1")+COUNTIF($I162:$L162,"&lt;0")+COUNTA($I162:$L162)-COUNT($I162:$L162))&gt;0,"Avance fuera de rango 0-100%"&amp;" · ","")&amp;IF(OR(AND($J162&lt;&gt;"",$J162&lt;$I162),AND($K162&lt;&gt;"",$K162&lt;MAX($I162:$J162)),AND($L162&lt;&gt;"",$L162&lt;MAX($I162:$K162))),"Avance semanal decreciente"&amp;" · ","")&amp;IF(AND(ISNUMBER($AN162),$AN162&lt;FechaRef,IF($V162="Sub",N($X162),N($M162))&lt;1),"Vencida"&amp;" · ","")&amp;IF(AND(ObsObligatoria="Sí",ISNUMBER($AN162),$AN162&lt;FechaRef,IF($V162="Sub",N($X162),N($M162))&lt;1,$Q162=""),"Vencida sin observación"&amp;" · ",""),LEN(IF($C162="","Falta el nombre de la actividad"&amp;" · ","")&amp;IF(AND($V162="Sub",N($U162)=0),"Subactividad sin macroactividad arriba"&amp;" · ","")&amp;IF($AM162="","Sin fecha de inicio"&amp;" · ","")&amp;IF($AN162="","Sin fecha límite"&amp;" · ","")&amp;IF(AND(LEFT($C162,11)="[Jefatura] ",N($AL162)=0),"No se encuentra en la hoja de la jefatura (elíjala de nuevo en la lista)"&amp;" · ","")&amp;IF(OR(AND($E162&lt;&gt;"",NOT(ISNUMBER($E162))),AND($F162&lt;&gt;"",NOT(ISNUMBER($F162))),AND($G162&lt;&gt;"",NOT(ISNUMBER($G162)))),"Fecha no válida"&amp;" · ","")&amp;IF(AND(ISNUMBER($AM162),ISNUMBER($AN162),$AM162&gt;$AN162),"Inicio posterior a fecha límite"&amp;" · ","")&amp;IF(AND($V162="Macro",$H162&lt;&gt;"",OR(NOT(ISNUMBER($H162)),$H162&lt;0,$H162&gt;1)),"Peso fuera de rango"&amp;" · ","")&amp;IF(AND($V162="Sub",$H162&lt;&gt;""),"Las subactividades no llevan peso (valen igual dentro de su macroactividad)"&amp;" · ","")&amp;IF(AND(N($W162)&gt;0,COUNT($I162:$L162)&gt;0),"Con subactividades: deje vacías las semanas (se calculan solas)"&amp;" · ","")&amp;IF((COUNTIF($I162:$L162,"&gt;1")+COUNTIF($I162:$L162,"&lt;0")+COUNTA($I162:$L162)-COUNT($I162:$L162))&gt;0,"Avance fuera de rango 0-100%"&amp;" · ","")&amp;IF(OR(AND($J162&lt;&gt;"",$J162&lt;$I162),AND($K162&lt;&gt;"",$K162&lt;MAX($I162:$J162)),AND($L162&lt;&gt;"",$L162&lt;MAX($I162:$K162))),"Avance semanal decreciente"&amp;" · ","")&amp;IF(AND(ISNUMBER($AN162),$AN162&lt;FechaRef,IF($V162="Sub",N($X162),N($M162))&lt;1),"Vencida"&amp;" · ","")&amp;IF(AND(ObsObligatoria="Sí",ISNUMBER($AN162),$AN162&lt;FechaRef,IF($V162="Sub",N($X162),N($M162))&lt;1,$Q162=""),"Vencida sin observación"&amp;" · ",""))-3)))</f>
        <v/>
      </c>
      <c r="S162" s="64">
        <f>IF(NOT((COUNTA($B162:$D162)+COUNTA($G162:$L162)+COUNTA($Q162))&gt;0),"",IF(AND($V162="Sub",N($U162)&gt;0),IF(ISNUMBER(INDEX($AM$5:$AM$1000,$U162-4)),DATE(YEAR(INDEX($AM$5:$AM$1000,$U162-4)),MONTH(INDEX($AM$5:$AM$1000,$U162-4)),1),IF(ISNUMBER(INDEX($AN$5:$AN$1000,$U162-4)),DATE(YEAR(INDEX($AN$5:$AN$1000,$U162-4)),MONTH(INDEX($AN$5:$AN$1000,$U162-4)),1),MesCiclo)),IF(ISNUMBER($AM162),DATE(YEAR($AM162),MONTH($AM162),1),IF(ISNUMBER($AN162),DATE(YEAR($AN162),MONTH($AN162),1),MesCiclo))))</f>
        <v/>
      </c>
      <c r="T162" s="62">
        <f>IF(OR($S162="",$S162&lt;&gt;MesCiclo,$V162&lt;&gt;"Macro"),"",COUNTIFS($S$5:$S162,MesCiclo,$V$5:$V162,"Macro"))</f>
        <v/>
      </c>
      <c r="U162" s="62">
        <f>IF($V162="","",IF($V162="Macro",ROW(),IFERROR(LOOKUP(2,1/($V$5:$V162="Macro"),ROW($V$5:$V162)),0)))</f>
        <v/>
      </c>
      <c r="V162" s="62">
        <f>IF(NOT((COUNTA($B162:$D162)+COUNTA($G162:$L162)+COUNTA($Q162))&gt;0),"",IF($B162="Subactividad","Sub","Macro"))</f>
        <v/>
      </c>
      <c r="W162" s="62">
        <f>IF($V162="Macro",COUNTIFS($U$5:$U$1000,ROW(),$V$5:$V$1000,"Sub"),"")</f>
        <v/>
      </c>
      <c r="X162" s="62">
        <f>IF($V162="","",IF(ISNUMBER($G162),1,IFERROR(LOOKUP(2,1/($I162:$L162&lt;&gt;""),$I162:$L162),0)))</f>
        <v/>
      </c>
      <c r="Y162" s="62">
        <f>IF($V162="","",IF(AND(ISNUMBER($G162),$G162&lt;=IF($S162=MesCiclo,InicioCiclo,$S162+MOD(2-WEEKDAY($S162),7))+6),1,IF(ISNUMBER($I162),$I162,0)))</f>
        <v/>
      </c>
      <c r="Z162" s="62">
        <f>IF($V162="","",IF(AND(ISNUMBER($G162),$G162&lt;=IF($S162=MesCiclo,InicioCiclo,$S162+MOD(2-WEEKDAY($S162),7))+13),1,IF(ISNUMBER($J162),$J162,$Y162)))</f>
        <v/>
      </c>
      <c r="AA162" s="62">
        <f>IF($V162="","",IF(AND(ISNUMBER($G162),$G162&lt;=IF($S162=MesCiclo,InicioCiclo,$S162+MOD(2-WEEKDAY($S162),7))+20),1,IF(ISNUMBER($K162),$K162,$Z162)))</f>
        <v/>
      </c>
      <c r="AB162" s="62">
        <f>IF($V162="","",IF(AND(ISNUMBER($G162),$G162&lt;=IF($S162=MesCiclo,InicioCiclo,$S162+MOD(2-WEEKDAY($S162),7))+27),1,IF(ISNUMBER($L162),$L162,$AA162)))</f>
        <v/>
      </c>
      <c r="AC162" s="62">
        <f>IF($V162="","",IF(AND(ISNUMBER($G162),$G162&lt;=IF($S162=MesCiclo,InicioCiclo,$S162+MOD(2-WEEKDAY($S162),7))+6),1,IF(N($W162)&gt;0,AVERAGEIFS($Y$5:$Y$1000,$U$5:$U$1000,ROW(),$V$5:$V$1000,"Sub"),$Y162)))</f>
        <v/>
      </c>
      <c r="AD162" s="62">
        <f>IF($V162="","",IF(AND(ISNUMBER($G162),$G162&lt;=IF($S162=MesCiclo,InicioCiclo,$S162+MOD(2-WEEKDAY($S162),7))+13),1,IF(N($W162)&gt;0,AVERAGEIFS($Z$5:$Z$1000,$U$5:$U$1000,ROW(),$V$5:$V$1000,"Sub"),$Z162)))</f>
        <v/>
      </c>
      <c r="AE162" s="62">
        <f>IF($V162="","",IF(AND(ISNUMBER($G162),$G162&lt;=IF($S162=MesCiclo,InicioCiclo,$S162+MOD(2-WEEKDAY($S162),7))+20),1,IF(N($W162)&gt;0,AVERAGEIFS($AA$5:$AA$1000,$U$5:$U$1000,ROW(),$V$5:$V$1000,"Sub"),$AA162)))</f>
        <v/>
      </c>
      <c r="AF162" s="62">
        <f>IF($V162="","",IF(AND(ISNUMBER($G162),$G162&lt;=IF($S162=MesCiclo,InicioCiclo,$S162+MOD(2-WEEKDAY($S162),7))+27),1,IF(N($W162)&gt;0,AVERAGEIFS($AB$5:$AB$1000,$U$5:$U$1000,ROW(),$V$5:$V$1000,"Sub"),$AB162)))</f>
        <v/>
      </c>
      <c r="AG162" s="62">
        <f>IF($V162&lt;&gt;"Macro","",IF(COUNTIFS($S$5:$S$1000,$S162,$V$5:$V$1000,"Macro",$H$5:$H$1000,"&gt;0")=0,1/COUNTIFS($S$5:$S$1000,$S162,$V$5:$V$1000,"Macro"),IF(AND(ISNUMBER($H162),N($H162)&gt;0),$H162,SUMIFS($H$5:$H$1000,$S$5:$S$1000,$S162,$V$5:$V$1000,"Macro")/COUNTIFS($S$5:$S$1000,$S162,$V$5:$V$1000,"Macro",$H$5:$H$1000,"&gt;0"))/(COUNTIFS($S$5:$S$1000,$S162,$V$5:$V$1000,"Macro")*SUMIFS($H$5:$H$1000,$S$5:$S$1000,$S162,$V$5:$V$1000,"Macro")/COUNTIFS($S$5:$S$1000,$S162,$V$5:$V$1000,"Macro",$H$5:$H$1000,"&gt;0"))))</f>
        <v/>
      </c>
      <c r="AH162" s="62" t="n"/>
      <c r="AI162" s="62" t="n"/>
      <c r="AJ162" s="62" t="n"/>
      <c r="AK162" s="62" t="n"/>
      <c r="AL162" s="62">
        <f>IF(LEFT($C162,11)="[Jefatura] ",IFERROR(MATCH("Asistente Técnico de Riesgo|"&amp;MID($C162,12,500),rDname_ADM,0),0),"")</f>
        <v/>
      </c>
      <c r="AM162" s="62">
        <f>IF(N($AL162)&gt;0,INDEX(rIni_ADM,$AL162),IF(ISNUMBER($E162),$E162,""))</f>
        <v/>
      </c>
      <c r="AN162" s="62">
        <f>IF(N($AL162)&gt;0,INDEX(rLim_ADM,$AL162),IF(ISNUMBER($F162),$F162,""))</f>
        <v/>
      </c>
    </row>
    <row r="163">
      <c r="A163" s="56">
        <f>IF(NOT((COUNTA($B163:$D163)+COUNTA($G163:$L163)+COUNTA($Q163))&gt;0),"",IF($V163="Macro",COUNTIFS($V$5:$V163,"Macro",$S$5:$S163,$S163),IF(N($U163)=0,"?",COUNTIFS(INDEX($V$5:$V$1000,1):INDEX($V$5:$V$1000,$U163-4),"Macro",INDEX($S$5:$S$1000,1):INDEX($S$5:$S$1000,$U163-4),INDEX($S$5:$S$1000,$U163-4))&amp;"."&amp;COUNTIFS($U$5:$U163,$U163,$V$5:$V163,"Sub"))))</f>
        <v/>
      </c>
      <c r="B163" s="57" t="n"/>
      <c r="C163" s="58" t="n"/>
      <c r="D163" s="58" t="n"/>
      <c r="E163" s="59">
        <f>IF(N($AL163)&gt;0,INDEX(rIni_ADM,$AL163),"")</f>
        <v/>
      </c>
      <c r="F163" s="59">
        <f>IF(N($AL163)&gt;0,INDEX(rLim_ADM,$AL163),"")</f>
        <v/>
      </c>
      <c r="G163" s="59" t="n"/>
      <c r="H163" s="60" t="n"/>
      <c r="I163" s="60" t="n"/>
      <c r="J163" s="60" t="n"/>
      <c r="K163" s="60" t="n"/>
      <c r="L163" s="60" t="n"/>
      <c r="M163" s="61">
        <f>IF(NOT((COUNTA($B163:$D163)+COUNTA($G163:$L163)+COUNTA($Q163))&gt;0),"",IF($V163="Sub",IFERROR($X163/INDEX($W$5:$W$1000,$U163-4),""),IF(ISNUMBER($G163),1,IF(N($W163)&gt;0,AVERAGEIFS($X$5:$X$1000,$U$5:$U$1000,ROW(),$V$5:$V$1000,"Sub"),$X163))))</f>
        <v/>
      </c>
      <c r="N163" s="56">
        <f>IF(OR($M163="",$V163="Sub"),"",IF($M163&gt;=1,"Completado",IF($M163&gt;0,"En curso","Pendiente")))</f>
        <v/>
      </c>
      <c r="O163" s="56">
        <f>IF(OR(NOT((COUNTA($B163:$D163)+COUNTA($G163:$L163)+COUNTA($Q163))&gt;0),$V163="Sub"),"",IF(ISNUMBER($G163),IF(AND(ISNUMBER($AN163),$G163&gt;$AN163),"Cumplida con "&amp;($G163-$AN163)&amp;IF($G163-$AN163=1," día"," días")&amp;" de retraso","Cumplida"),IF(N($M163)&gt;=1,"Cumplida",IF(NOT(ISNUMBER($AN163)),"Sin fecha límite",IF($AN163&lt;FechaRef,"Vencida hace "&amp;(FechaRef-$AN163)&amp;IF(FechaRef-$AN163=1," día"," días"),IF($AN163=FechaRef,"Vence hoy",IF($AN163-FechaRef&lt;=DiasAlerta,"Vence en "&amp;($AN163-FechaRef)&amp;IF($AN163-FechaRef=1," día"," días"),"En plazo")))))))</f>
        <v/>
      </c>
      <c r="P163" s="62" t="n"/>
      <c r="Q163" s="58" t="n"/>
      <c r="R163" s="63">
        <f>IF(NOT((COUNTA($B163:$D163)+COUNTA($G163:$L163)+COUNTA($Q163))&gt;0),"",IF((IF($C163="","Falta el nombre de la actividad"&amp;" · ","")&amp;IF(AND($V163="Sub",N($U163)=0),"Subactividad sin macroactividad arriba"&amp;" · ","")&amp;IF($AM163="","Sin fecha de inicio"&amp;" · ","")&amp;IF($AN163="","Sin fecha límite"&amp;" · ","")&amp;IF(AND(LEFT($C163,11)="[Jefatura] ",N($AL163)=0),"No se encuentra en la hoja de la jefatura (elíjala de nuevo en la lista)"&amp;" · ","")&amp;IF(OR(AND($E163&lt;&gt;"",NOT(ISNUMBER($E163))),AND($F163&lt;&gt;"",NOT(ISNUMBER($F163))),AND($G163&lt;&gt;"",NOT(ISNUMBER($G163)))),"Fecha no válida"&amp;" · ","")&amp;IF(AND(ISNUMBER($AM163),ISNUMBER($AN163),$AM163&gt;$AN163),"Inicio posterior a fecha límite"&amp;" · ","")&amp;IF(AND($V163="Macro",$H163&lt;&gt;"",OR(NOT(ISNUMBER($H163)),$H163&lt;0,$H163&gt;1)),"Peso fuera de rango"&amp;" · ","")&amp;IF(AND($V163="Sub",$H163&lt;&gt;""),"Las subactividades no llevan peso (valen igual dentro de su macroactividad)"&amp;" · ","")&amp;IF(AND(N($W163)&gt;0,COUNT($I163:$L163)&gt;0),"Con subactividades: deje vacías las semanas (se calculan solas)"&amp;" · ","")&amp;IF((COUNTIF($I163:$L163,"&gt;1")+COUNTIF($I163:$L163,"&lt;0")+COUNTA($I163:$L163)-COUNT($I163:$L163))&gt;0,"Avance fuera de rango 0-100%"&amp;" · ","")&amp;IF(OR(AND($J163&lt;&gt;"",$J163&lt;$I163),AND($K163&lt;&gt;"",$K163&lt;MAX($I163:$J163)),AND($L163&lt;&gt;"",$L163&lt;MAX($I163:$K163))),"Avance semanal decreciente"&amp;" · ","")&amp;IF(AND(ISNUMBER($AN163),$AN163&lt;FechaRef,IF($V163="Sub",N($X163),N($M163))&lt;1),"Vencida"&amp;" · ","")&amp;IF(AND(ObsObligatoria="Sí",ISNUMBER($AN163),$AN163&lt;FechaRef,IF($V163="Sub",N($X163),N($M163))&lt;1,$Q163=""),"Vencida sin observación"&amp;" · ",""))="","✔ OK","⚠ "&amp;LEFT(IF($C163="","Falta el nombre de la actividad"&amp;" · ","")&amp;IF(AND($V163="Sub",N($U163)=0),"Subactividad sin macroactividad arriba"&amp;" · ","")&amp;IF($AM163="","Sin fecha de inicio"&amp;" · ","")&amp;IF($AN163="","Sin fecha límite"&amp;" · ","")&amp;IF(AND(LEFT($C163,11)="[Jefatura] ",N($AL163)=0),"No se encuentra en la hoja de la jefatura (elíjala de nuevo en la lista)"&amp;" · ","")&amp;IF(OR(AND($E163&lt;&gt;"",NOT(ISNUMBER($E163))),AND($F163&lt;&gt;"",NOT(ISNUMBER($F163))),AND($G163&lt;&gt;"",NOT(ISNUMBER($G163)))),"Fecha no válida"&amp;" · ","")&amp;IF(AND(ISNUMBER($AM163),ISNUMBER($AN163),$AM163&gt;$AN163),"Inicio posterior a fecha límite"&amp;" · ","")&amp;IF(AND($V163="Macro",$H163&lt;&gt;"",OR(NOT(ISNUMBER($H163)),$H163&lt;0,$H163&gt;1)),"Peso fuera de rango"&amp;" · ","")&amp;IF(AND($V163="Sub",$H163&lt;&gt;""),"Las subactividades no llevan peso (valen igual dentro de su macroactividad)"&amp;" · ","")&amp;IF(AND(N($W163)&gt;0,COUNT($I163:$L163)&gt;0),"Con subactividades: deje vacías las semanas (se calculan solas)"&amp;" · ","")&amp;IF((COUNTIF($I163:$L163,"&gt;1")+COUNTIF($I163:$L163,"&lt;0")+COUNTA($I163:$L163)-COUNT($I163:$L163))&gt;0,"Avance fuera de rango 0-100%"&amp;" · ","")&amp;IF(OR(AND($J163&lt;&gt;"",$J163&lt;$I163),AND($K163&lt;&gt;"",$K163&lt;MAX($I163:$J163)),AND($L163&lt;&gt;"",$L163&lt;MAX($I163:$K163))),"Avance semanal decreciente"&amp;" · ","")&amp;IF(AND(ISNUMBER($AN163),$AN163&lt;FechaRef,IF($V163="Sub",N($X163),N($M163))&lt;1),"Vencida"&amp;" · ","")&amp;IF(AND(ObsObligatoria="Sí",ISNUMBER($AN163),$AN163&lt;FechaRef,IF($V163="Sub",N($X163),N($M163))&lt;1,$Q163=""),"Vencida sin observación"&amp;" · ",""),LEN(IF($C163="","Falta el nombre de la actividad"&amp;" · ","")&amp;IF(AND($V163="Sub",N($U163)=0),"Subactividad sin macroactividad arriba"&amp;" · ","")&amp;IF($AM163="","Sin fecha de inicio"&amp;" · ","")&amp;IF($AN163="","Sin fecha límite"&amp;" · ","")&amp;IF(AND(LEFT($C163,11)="[Jefatura] ",N($AL163)=0),"No se encuentra en la hoja de la jefatura (elíjala de nuevo en la lista)"&amp;" · ","")&amp;IF(OR(AND($E163&lt;&gt;"",NOT(ISNUMBER($E163))),AND($F163&lt;&gt;"",NOT(ISNUMBER($F163))),AND($G163&lt;&gt;"",NOT(ISNUMBER($G163)))),"Fecha no válida"&amp;" · ","")&amp;IF(AND(ISNUMBER($AM163),ISNUMBER($AN163),$AM163&gt;$AN163),"Inicio posterior a fecha límite"&amp;" · ","")&amp;IF(AND($V163="Macro",$H163&lt;&gt;"",OR(NOT(ISNUMBER($H163)),$H163&lt;0,$H163&gt;1)),"Peso fuera de rango"&amp;" · ","")&amp;IF(AND($V163="Sub",$H163&lt;&gt;""),"Las subactividades no llevan peso (valen igual dentro de su macroactividad)"&amp;" · ","")&amp;IF(AND(N($W163)&gt;0,COUNT($I163:$L163)&gt;0),"Con subactividades: deje vacías las semanas (se calculan solas)"&amp;" · ","")&amp;IF((COUNTIF($I163:$L163,"&gt;1")+COUNTIF($I163:$L163,"&lt;0")+COUNTA($I163:$L163)-COUNT($I163:$L163))&gt;0,"Avance fuera de rango 0-100%"&amp;" · ","")&amp;IF(OR(AND($J163&lt;&gt;"",$J163&lt;$I163),AND($K163&lt;&gt;"",$K163&lt;MAX($I163:$J163)),AND($L163&lt;&gt;"",$L163&lt;MAX($I163:$K163))),"Avance semanal decreciente"&amp;" · ","")&amp;IF(AND(ISNUMBER($AN163),$AN163&lt;FechaRef,IF($V163="Sub",N($X163),N($M163))&lt;1),"Vencida"&amp;" · ","")&amp;IF(AND(ObsObligatoria="Sí",ISNUMBER($AN163),$AN163&lt;FechaRef,IF($V163="Sub",N($X163),N($M163))&lt;1,$Q163=""),"Vencida sin observación"&amp;" · ",""))-3)))</f>
        <v/>
      </c>
      <c r="S163" s="64">
        <f>IF(NOT((COUNTA($B163:$D163)+COUNTA($G163:$L163)+COUNTA($Q163))&gt;0),"",IF(AND($V163="Sub",N($U163)&gt;0),IF(ISNUMBER(INDEX($AM$5:$AM$1000,$U163-4)),DATE(YEAR(INDEX($AM$5:$AM$1000,$U163-4)),MONTH(INDEX($AM$5:$AM$1000,$U163-4)),1),IF(ISNUMBER(INDEX($AN$5:$AN$1000,$U163-4)),DATE(YEAR(INDEX($AN$5:$AN$1000,$U163-4)),MONTH(INDEX($AN$5:$AN$1000,$U163-4)),1),MesCiclo)),IF(ISNUMBER($AM163),DATE(YEAR($AM163),MONTH($AM163),1),IF(ISNUMBER($AN163),DATE(YEAR($AN163),MONTH($AN163),1),MesCiclo))))</f>
        <v/>
      </c>
      <c r="T163" s="62">
        <f>IF(OR($S163="",$S163&lt;&gt;MesCiclo,$V163&lt;&gt;"Macro"),"",COUNTIFS($S$5:$S163,MesCiclo,$V$5:$V163,"Macro"))</f>
        <v/>
      </c>
      <c r="U163" s="62">
        <f>IF($V163="","",IF($V163="Macro",ROW(),IFERROR(LOOKUP(2,1/($V$5:$V163="Macro"),ROW($V$5:$V163)),0)))</f>
        <v/>
      </c>
      <c r="V163" s="62">
        <f>IF(NOT((COUNTA($B163:$D163)+COUNTA($G163:$L163)+COUNTA($Q163))&gt;0),"",IF($B163="Subactividad","Sub","Macro"))</f>
        <v/>
      </c>
      <c r="W163" s="62">
        <f>IF($V163="Macro",COUNTIFS($U$5:$U$1000,ROW(),$V$5:$V$1000,"Sub"),"")</f>
        <v/>
      </c>
      <c r="X163" s="62">
        <f>IF($V163="","",IF(ISNUMBER($G163),1,IFERROR(LOOKUP(2,1/($I163:$L163&lt;&gt;""),$I163:$L163),0)))</f>
        <v/>
      </c>
      <c r="Y163" s="62">
        <f>IF($V163="","",IF(AND(ISNUMBER($G163),$G163&lt;=IF($S163=MesCiclo,InicioCiclo,$S163+MOD(2-WEEKDAY($S163),7))+6),1,IF(ISNUMBER($I163),$I163,0)))</f>
        <v/>
      </c>
      <c r="Z163" s="62">
        <f>IF($V163="","",IF(AND(ISNUMBER($G163),$G163&lt;=IF($S163=MesCiclo,InicioCiclo,$S163+MOD(2-WEEKDAY($S163),7))+13),1,IF(ISNUMBER($J163),$J163,$Y163)))</f>
        <v/>
      </c>
      <c r="AA163" s="62">
        <f>IF($V163="","",IF(AND(ISNUMBER($G163),$G163&lt;=IF($S163=MesCiclo,InicioCiclo,$S163+MOD(2-WEEKDAY($S163),7))+20),1,IF(ISNUMBER($K163),$K163,$Z163)))</f>
        <v/>
      </c>
      <c r="AB163" s="62">
        <f>IF($V163="","",IF(AND(ISNUMBER($G163),$G163&lt;=IF($S163=MesCiclo,InicioCiclo,$S163+MOD(2-WEEKDAY($S163),7))+27),1,IF(ISNUMBER($L163),$L163,$AA163)))</f>
        <v/>
      </c>
      <c r="AC163" s="62">
        <f>IF($V163="","",IF(AND(ISNUMBER($G163),$G163&lt;=IF($S163=MesCiclo,InicioCiclo,$S163+MOD(2-WEEKDAY($S163),7))+6),1,IF(N($W163)&gt;0,AVERAGEIFS($Y$5:$Y$1000,$U$5:$U$1000,ROW(),$V$5:$V$1000,"Sub"),$Y163)))</f>
        <v/>
      </c>
      <c r="AD163" s="62">
        <f>IF($V163="","",IF(AND(ISNUMBER($G163),$G163&lt;=IF($S163=MesCiclo,InicioCiclo,$S163+MOD(2-WEEKDAY($S163),7))+13),1,IF(N($W163)&gt;0,AVERAGEIFS($Z$5:$Z$1000,$U$5:$U$1000,ROW(),$V$5:$V$1000,"Sub"),$Z163)))</f>
        <v/>
      </c>
      <c r="AE163" s="62">
        <f>IF($V163="","",IF(AND(ISNUMBER($G163),$G163&lt;=IF($S163=MesCiclo,InicioCiclo,$S163+MOD(2-WEEKDAY($S163),7))+20),1,IF(N($W163)&gt;0,AVERAGEIFS($AA$5:$AA$1000,$U$5:$U$1000,ROW(),$V$5:$V$1000,"Sub"),$AA163)))</f>
        <v/>
      </c>
      <c r="AF163" s="62">
        <f>IF($V163="","",IF(AND(ISNUMBER($G163),$G163&lt;=IF($S163=MesCiclo,InicioCiclo,$S163+MOD(2-WEEKDAY($S163),7))+27),1,IF(N($W163)&gt;0,AVERAGEIFS($AB$5:$AB$1000,$U$5:$U$1000,ROW(),$V$5:$V$1000,"Sub"),$AB163)))</f>
        <v/>
      </c>
      <c r="AG163" s="62">
        <f>IF($V163&lt;&gt;"Macro","",IF(COUNTIFS($S$5:$S$1000,$S163,$V$5:$V$1000,"Macro",$H$5:$H$1000,"&gt;0")=0,1/COUNTIFS($S$5:$S$1000,$S163,$V$5:$V$1000,"Macro"),IF(AND(ISNUMBER($H163),N($H163)&gt;0),$H163,SUMIFS($H$5:$H$1000,$S$5:$S$1000,$S163,$V$5:$V$1000,"Macro")/COUNTIFS($S$5:$S$1000,$S163,$V$5:$V$1000,"Macro",$H$5:$H$1000,"&gt;0"))/(COUNTIFS($S$5:$S$1000,$S163,$V$5:$V$1000,"Macro")*SUMIFS($H$5:$H$1000,$S$5:$S$1000,$S163,$V$5:$V$1000,"Macro")/COUNTIFS($S$5:$S$1000,$S163,$V$5:$V$1000,"Macro",$H$5:$H$1000,"&gt;0"))))</f>
        <v/>
      </c>
      <c r="AH163" s="62" t="n"/>
      <c r="AI163" s="62" t="n"/>
      <c r="AJ163" s="62" t="n"/>
      <c r="AK163" s="62" t="n"/>
      <c r="AL163" s="62">
        <f>IF(LEFT($C163,11)="[Jefatura] ",IFERROR(MATCH("Asistente Técnico de Riesgo|"&amp;MID($C163,12,500),rDname_ADM,0),0),"")</f>
        <v/>
      </c>
      <c r="AM163" s="62">
        <f>IF(N($AL163)&gt;0,INDEX(rIni_ADM,$AL163),IF(ISNUMBER($E163),$E163,""))</f>
        <v/>
      </c>
      <c r="AN163" s="62">
        <f>IF(N($AL163)&gt;0,INDEX(rLim_ADM,$AL163),IF(ISNUMBER($F163),$F163,""))</f>
        <v/>
      </c>
    </row>
    <row r="164">
      <c r="A164" s="56">
        <f>IF(NOT((COUNTA($B164:$D164)+COUNTA($G164:$L164)+COUNTA($Q164))&gt;0),"",IF($V164="Macro",COUNTIFS($V$5:$V164,"Macro",$S$5:$S164,$S164),IF(N($U164)=0,"?",COUNTIFS(INDEX($V$5:$V$1000,1):INDEX($V$5:$V$1000,$U164-4),"Macro",INDEX($S$5:$S$1000,1):INDEX($S$5:$S$1000,$U164-4),INDEX($S$5:$S$1000,$U164-4))&amp;"."&amp;COUNTIFS($U$5:$U164,$U164,$V$5:$V164,"Sub"))))</f>
        <v/>
      </c>
      <c r="B164" s="57" t="n"/>
      <c r="C164" s="58" t="n"/>
      <c r="D164" s="58" t="n"/>
      <c r="E164" s="59">
        <f>IF(N($AL164)&gt;0,INDEX(rIni_ADM,$AL164),"")</f>
        <v/>
      </c>
      <c r="F164" s="59">
        <f>IF(N($AL164)&gt;0,INDEX(rLim_ADM,$AL164),"")</f>
        <v/>
      </c>
      <c r="G164" s="59" t="n"/>
      <c r="H164" s="60" t="n"/>
      <c r="I164" s="60" t="n"/>
      <c r="J164" s="60" t="n"/>
      <c r="K164" s="60" t="n"/>
      <c r="L164" s="60" t="n"/>
      <c r="M164" s="61">
        <f>IF(NOT((COUNTA($B164:$D164)+COUNTA($G164:$L164)+COUNTA($Q164))&gt;0),"",IF($V164="Sub",IFERROR($X164/INDEX($W$5:$W$1000,$U164-4),""),IF(ISNUMBER($G164),1,IF(N($W164)&gt;0,AVERAGEIFS($X$5:$X$1000,$U$5:$U$1000,ROW(),$V$5:$V$1000,"Sub"),$X164))))</f>
        <v/>
      </c>
      <c r="N164" s="56">
        <f>IF(OR($M164="",$V164="Sub"),"",IF($M164&gt;=1,"Completado",IF($M164&gt;0,"En curso","Pendiente")))</f>
        <v/>
      </c>
      <c r="O164" s="56">
        <f>IF(OR(NOT((COUNTA($B164:$D164)+COUNTA($G164:$L164)+COUNTA($Q164))&gt;0),$V164="Sub"),"",IF(ISNUMBER($G164),IF(AND(ISNUMBER($AN164),$G164&gt;$AN164),"Cumplida con "&amp;($G164-$AN164)&amp;IF($G164-$AN164=1," día"," días")&amp;" de retraso","Cumplida"),IF(N($M164)&gt;=1,"Cumplida",IF(NOT(ISNUMBER($AN164)),"Sin fecha límite",IF($AN164&lt;FechaRef,"Vencida hace "&amp;(FechaRef-$AN164)&amp;IF(FechaRef-$AN164=1," día"," días"),IF($AN164=FechaRef,"Vence hoy",IF($AN164-FechaRef&lt;=DiasAlerta,"Vence en "&amp;($AN164-FechaRef)&amp;IF($AN164-FechaRef=1," día"," días"),"En plazo")))))))</f>
        <v/>
      </c>
      <c r="P164" s="62" t="n"/>
      <c r="Q164" s="58" t="n"/>
      <c r="R164" s="63">
        <f>IF(NOT((COUNTA($B164:$D164)+COUNTA($G164:$L164)+COUNTA($Q164))&gt;0),"",IF((IF($C164="","Falta el nombre de la actividad"&amp;" · ","")&amp;IF(AND($V164="Sub",N($U164)=0),"Subactividad sin macroactividad arriba"&amp;" · ","")&amp;IF($AM164="","Sin fecha de inicio"&amp;" · ","")&amp;IF($AN164="","Sin fecha límite"&amp;" · ","")&amp;IF(AND(LEFT($C164,11)="[Jefatura] ",N($AL164)=0),"No se encuentra en la hoja de la jefatura (elíjala de nuevo en la lista)"&amp;" · ","")&amp;IF(OR(AND($E164&lt;&gt;"",NOT(ISNUMBER($E164))),AND($F164&lt;&gt;"",NOT(ISNUMBER($F164))),AND($G164&lt;&gt;"",NOT(ISNUMBER($G164)))),"Fecha no válida"&amp;" · ","")&amp;IF(AND(ISNUMBER($AM164),ISNUMBER($AN164),$AM164&gt;$AN164),"Inicio posterior a fecha límite"&amp;" · ","")&amp;IF(AND($V164="Macro",$H164&lt;&gt;"",OR(NOT(ISNUMBER($H164)),$H164&lt;0,$H164&gt;1)),"Peso fuera de rango"&amp;" · ","")&amp;IF(AND($V164="Sub",$H164&lt;&gt;""),"Las subactividades no llevan peso (valen igual dentro de su macroactividad)"&amp;" · ","")&amp;IF(AND(N($W164)&gt;0,COUNT($I164:$L164)&gt;0),"Con subactividades: deje vacías las semanas (se calculan solas)"&amp;" · ","")&amp;IF((COUNTIF($I164:$L164,"&gt;1")+COUNTIF($I164:$L164,"&lt;0")+COUNTA($I164:$L164)-COUNT($I164:$L164))&gt;0,"Avance fuera de rango 0-100%"&amp;" · ","")&amp;IF(OR(AND($J164&lt;&gt;"",$J164&lt;$I164),AND($K164&lt;&gt;"",$K164&lt;MAX($I164:$J164)),AND($L164&lt;&gt;"",$L164&lt;MAX($I164:$K164))),"Avance semanal decreciente"&amp;" · ","")&amp;IF(AND(ISNUMBER($AN164),$AN164&lt;FechaRef,IF($V164="Sub",N($X164),N($M164))&lt;1),"Vencida"&amp;" · ","")&amp;IF(AND(ObsObligatoria="Sí",ISNUMBER($AN164),$AN164&lt;FechaRef,IF($V164="Sub",N($X164),N($M164))&lt;1,$Q164=""),"Vencida sin observación"&amp;" · ",""))="","✔ OK","⚠ "&amp;LEFT(IF($C164="","Falta el nombre de la actividad"&amp;" · ","")&amp;IF(AND($V164="Sub",N($U164)=0),"Subactividad sin macroactividad arriba"&amp;" · ","")&amp;IF($AM164="","Sin fecha de inicio"&amp;" · ","")&amp;IF($AN164="","Sin fecha límite"&amp;" · ","")&amp;IF(AND(LEFT($C164,11)="[Jefatura] ",N($AL164)=0),"No se encuentra en la hoja de la jefatura (elíjala de nuevo en la lista)"&amp;" · ","")&amp;IF(OR(AND($E164&lt;&gt;"",NOT(ISNUMBER($E164))),AND($F164&lt;&gt;"",NOT(ISNUMBER($F164))),AND($G164&lt;&gt;"",NOT(ISNUMBER($G164)))),"Fecha no válida"&amp;" · ","")&amp;IF(AND(ISNUMBER($AM164),ISNUMBER($AN164),$AM164&gt;$AN164),"Inicio posterior a fecha límite"&amp;" · ","")&amp;IF(AND($V164="Macro",$H164&lt;&gt;"",OR(NOT(ISNUMBER($H164)),$H164&lt;0,$H164&gt;1)),"Peso fuera de rango"&amp;" · ","")&amp;IF(AND($V164="Sub",$H164&lt;&gt;""),"Las subactividades no llevan peso (valen igual dentro de su macroactividad)"&amp;" · ","")&amp;IF(AND(N($W164)&gt;0,COUNT($I164:$L164)&gt;0),"Con subactividades: deje vacías las semanas (se calculan solas)"&amp;" · ","")&amp;IF((COUNTIF($I164:$L164,"&gt;1")+COUNTIF($I164:$L164,"&lt;0")+COUNTA($I164:$L164)-COUNT($I164:$L164))&gt;0,"Avance fuera de rango 0-100%"&amp;" · ","")&amp;IF(OR(AND($J164&lt;&gt;"",$J164&lt;$I164),AND($K164&lt;&gt;"",$K164&lt;MAX($I164:$J164)),AND($L164&lt;&gt;"",$L164&lt;MAX($I164:$K164))),"Avance semanal decreciente"&amp;" · ","")&amp;IF(AND(ISNUMBER($AN164),$AN164&lt;FechaRef,IF($V164="Sub",N($X164),N($M164))&lt;1),"Vencida"&amp;" · ","")&amp;IF(AND(ObsObligatoria="Sí",ISNUMBER($AN164),$AN164&lt;FechaRef,IF($V164="Sub",N($X164),N($M164))&lt;1,$Q164=""),"Vencida sin observación"&amp;" · ",""),LEN(IF($C164="","Falta el nombre de la actividad"&amp;" · ","")&amp;IF(AND($V164="Sub",N($U164)=0),"Subactividad sin macroactividad arriba"&amp;" · ","")&amp;IF($AM164="","Sin fecha de inicio"&amp;" · ","")&amp;IF($AN164="","Sin fecha límite"&amp;" · ","")&amp;IF(AND(LEFT($C164,11)="[Jefatura] ",N($AL164)=0),"No se encuentra en la hoja de la jefatura (elíjala de nuevo en la lista)"&amp;" · ","")&amp;IF(OR(AND($E164&lt;&gt;"",NOT(ISNUMBER($E164))),AND($F164&lt;&gt;"",NOT(ISNUMBER($F164))),AND($G164&lt;&gt;"",NOT(ISNUMBER($G164)))),"Fecha no válida"&amp;" · ","")&amp;IF(AND(ISNUMBER($AM164),ISNUMBER($AN164),$AM164&gt;$AN164),"Inicio posterior a fecha límite"&amp;" · ","")&amp;IF(AND($V164="Macro",$H164&lt;&gt;"",OR(NOT(ISNUMBER($H164)),$H164&lt;0,$H164&gt;1)),"Peso fuera de rango"&amp;" · ","")&amp;IF(AND($V164="Sub",$H164&lt;&gt;""),"Las subactividades no llevan peso (valen igual dentro de su macroactividad)"&amp;" · ","")&amp;IF(AND(N($W164)&gt;0,COUNT($I164:$L164)&gt;0),"Con subactividades: deje vacías las semanas (se calculan solas)"&amp;" · ","")&amp;IF((COUNTIF($I164:$L164,"&gt;1")+COUNTIF($I164:$L164,"&lt;0")+COUNTA($I164:$L164)-COUNT($I164:$L164))&gt;0,"Avance fuera de rango 0-100%"&amp;" · ","")&amp;IF(OR(AND($J164&lt;&gt;"",$J164&lt;$I164),AND($K164&lt;&gt;"",$K164&lt;MAX($I164:$J164)),AND($L164&lt;&gt;"",$L164&lt;MAX($I164:$K164))),"Avance semanal decreciente"&amp;" · ","")&amp;IF(AND(ISNUMBER($AN164),$AN164&lt;FechaRef,IF($V164="Sub",N($X164),N($M164))&lt;1),"Vencida"&amp;" · ","")&amp;IF(AND(ObsObligatoria="Sí",ISNUMBER($AN164),$AN164&lt;FechaRef,IF($V164="Sub",N($X164),N($M164))&lt;1,$Q164=""),"Vencida sin observación"&amp;" · ",""))-3)))</f>
        <v/>
      </c>
      <c r="S164" s="64">
        <f>IF(NOT((COUNTA($B164:$D164)+COUNTA($G164:$L164)+COUNTA($Q164))&gt;0),"",IF(AND($V164="Sub",N($U164)&gt;0),IF(ISNUMBER(INDEX($AM$5:$AM$1000,$U164-4)),DATE(YEAR(INDEX($AM$5:$AM$1000,$U164-4)),MONTH(INDEX($AM$5:$AM$1000,$U164-4)),1),IF(ISNUMBER(INDEX($AN$5:$AN$1000,$U164-4)),DATE(YEAR(INDEX($AN$5:$AN$1000,$U164-4)),MONTH(INDEX($AN$5:$AN$1000,$U164-4)),1),MesCiclo)),IF(ISNUMBER($AM164),DATE(YEAR($AM164),MONTH($AM164),1),IF(ISNUMBER($AN164),DATE(YEAR($AN164),MONTH($AN164),1),MesCiclo))))</f>
        <v/>
      </c>
      <c r="T164" s="62">
        <f>IF(OR($S164="",$S164&lt;&gt;MesCiclo,$V164&lt;&gt;"Macro"),"",COUNTIFS($S$5:$S164,MesCiclo,$V$5:$V164,"Macro"))</f>
        <v/>
      </c>
      <c r="U164" s="62">
        <f>IF($V164="","",IF($V164="Macro",ROW(),IFERROR(LOOKUP(2,1/($V$5:$V164="Macro"),ROW($V$5:$V164)),0)))</f>
        <v/>
      </c>
      <c r="V164" s="62">
        <f>IF(NOT((COUNTA($B164:$D164)+COUNTA($G164:$L164)+COUNTA($Q164))&gt;0),"",IF($B164="Subactividad","Sub","Macro"))</f>
        <v/>
      </c>
      <c r="W164" s="62">
        <f>IF($V164="Macro",COUNTIFS($U$5:$U$1000,ROW(),$V$5:$V$1000,"Sub"),"")</f>
        <v/>
      </c>
      <c r="X164" s="62">
        <f>IF($V164="","",IF(ISNUMBER($G164),1,IFERROR(LOOKUP(2,1/($I164:$L164&lt;&gt;""),$I164:$L164),0)))</f>
        <v/>
      </c>
      <c r="Y164" s="62">
        <f>IF($V164="","",IF(AND(ISNUMBER($G164),$G164&lt;=IF($S164=MesCiclo,InicioCiclo,$S164+MOD(2-WEEKDAY($S164),7))+6),1,IF(ISNUMBER($I164),$I164,0)))</f>
        <v/>
      </c>
      <c r="Z164" s="62">
        <f>IF($V164="","",IF(AND(ISNUMBER($G164),$G164&lt;=IF($S164=MesCiclo,InicioCiclo,$S164+MOD(2-WEEKDAY($S164),7))+13),1,IF(ISNUMBER($J164),$J164,$Y164)))</f>
        <v/>
      </c>
      <c r="AA164" s="62">
        <f>IF($V164="","",IF(AND(ISNUMBER($G164),$G164&lt;=IF($S164=MesCiclo,InicioCiclo,$S164+MOD(2-WEEKDAY($S164),7))+20),1,IF(ISNUMBER($K164),$K164,$Z164)))</f>
        <v/>
      </c>
      <c r="AB164" s="62">
        <f>IF($V164="","",IF(AND(ISNUMBER($G164),$G164&lt;=IF($S164=MesCiclo,InicioCiclo,$S164+MOD(2-WEEKDAY($S164),7))+27),1,IF(ISNUMBER($L164),$L164,$AA164)))</f>
        <v/>
      </c>
      <c r="AC164" s="62">
        <f>IF($V164="","",IF(AND(ISNUMBER($G164),$G164&lt;=IF($S164=MesCiclo,InicioCiclo,$S164+MOD(2-WEEKDAY($S164),7))+6),1,IF(N($W164)&gt;0,AVERAGEIFS($Y$5:$Y$1000,$U$5:$U$1000,ROW(),$V$5:$V$1000,"Sub"),$Y164)))</f>
        <v/>
      </c>
      <c r="AD164" s="62">
        <f>IF($V164="","",IF(AND(ISNUMBER($G164),$G164&lt;=IF($S164=MesCiclo,InicioCiclo,$S164+MOD(2-WEEKDAY($S164),7))+13),1,IF(N($W164)&gt;0,AVERAGEIFS($Z$5:$Z$1000,$U$5:$U$1000,ROW(),$V$5:$V$1000,"Sub"),$Z164)))</f>
        <v/>
      </c>
      <c r="AE164" s="62">
        <f>IF($V164="","",IF(AND(ISNUMBER($G164),$G164&lt;=IF($S164=MesCiclo,InicioCiclo,$S164+MOD(2-WEEKDAY($S164),7))+20),1,IF(N($W164)&gt;0,AVERAGEIFS($AA$5:$AA$1000,$U$5:$U$1000,ROW(),$V$5:$V$1000,"Sub"),$AA164)))</f>
        <v/>
      </c>
      <c r="AF164" s="62">
        <f>IF($V164="","",IF(AND(ISNUMBER($G164),$G164&lt;=IF($S164=MesCiclo,InicioCiclo,$S164+MOD(2-WEEKDAY($S164),7))+27),1,IF(N($W164)&gt;0,AVERAGEIFS($AB$5:$AB$1000,$U$5:$U$1000,ROW(),$V$5:$V$1000,"Sub"),$AB164)))</f>
        <v/>
      </c>
      <c r="AG164" s="62">
        <f>IF($V164&lt;&gt;"Macro","",IF(COUNTIFS($S$5:$S$1000,$S164,$V$5:$V$1000,"Macro",$H$5:$H$1000,"&gt;0")=0,1/COUNTIFS($S$5:$S$1000,$S164,$V$5:$V$1000,"Macro"),IF(AND(ISNUMBER($H164),N($H164)&gt;0),$H164,SUMIFS($H$5:$H$1000,$S$5:$S$1000,$S164,$V$5:$V$1000,"Macro")/COUNTIFS($S$5:$S$1000,$S164,$V$5:$V$1000,"Macro",$H$5:$H$1000,"&gt;0"))/(COUNTIFS($S$5:$S$1000,$S164,$V$5:$V$1000,"Macro")*SUMIFS($H$5:$H$1000,$S$5:$S$1000,$S164,$V$5:$V$1000,"Macro")/COUNTIFS($S$5:$S$1000,$S164,$V$5:$V$1000,"Macro",$H$5:$H$1000,"&gt;0"))))</f>
        <v/>
      </c>
      <c r="AH164" s="62" t="n"/>
      <c r="AI164" s="62" t="n"/>
      <c r="AJ164" s="62" t="n"/>
      <c r="AK164" s="62" t="n"/>
      <c r="AL164" s="62">
        <f>IF(LEFT($C164,11)="[Jefatura] ",IFERROR(MATCH("Asistente Técnico de Riesgo|"&amp;MID($C164,12,500),rDname_ADM,0),0),"")</f>
        <v/>
      </c>
      <c r="AM164" s="62">
        <f>IF(N($AL164)&gt;0,INDEX(rIni_ADM,$AL164),IF(ISNUMBER($E164),$E164,""))</f>
        <v/>
      </c>
      <c r="AN164" s="62">
        <f>IF(N($AL164)&gt;0,INDEX(rLim_ADM,$AL164),IF(ISNUMBER($F164),$F164,""))</f>
        <v/>
      </c>
    </row>
    <row r="165">
      <c r="A165" s="56">
        <f>IF(NOT((COUNTA($B165:$D165)+COUNTA($G165:$L165)+COUNTA($Q165))&gt;0),"",IF($V165="Macro",COUNTIFS($V$5:$V165,"Macro",$S$5:$S165,$S165),IF(N($U165)=0,"?",COUNTIFS(INDEX($V$5:$V$1000,1):INDEX($V$5:$V$1000,$U165-4),"Macro",INDEX($S$5:$S$1000,1):INDEX($S$5:$S$1000,$U165-4),INDEX($S$5:$S$1000,$U165-4))&amp;"."&amp;COUNTIFS($U$5:$U165,$U165,$V$5:$V165,"Sub"))))</f>
        <v/>
      </c>
      <c r="B165" s="57" t="n"/>
      <c r="C165" s="58" t="n"/>
      <c r="D165" s="58" t="n"/>
      <c r="E165" s="59">
        <f>IF(N($AL165)&gt;0,INDEX(rIni_ADM,$AL165),"")</f>
        <v/>
      </c>
      <c r="F165" s="59">
        <f>IF(N($AL165)&gt;0,INDEX(rLim_ADM,$AL165),"")</f>
        <v/>
      </c>
      <c r="G165" s="59" t="n"/>
      <c r="H165" s="60" t="n"/>
      <c r="I165" s="60" t="n"/>
      <c r="J165" s="60" t="n"/>
      <c r="K165" s="60" t="n"/>
      <c r="L165" s="60" t="n"/>
      <c r="M165" s="61">
        <f>IF(NOT((COUNTA($B165:$D165)+COUNTA($G165:$L165)+COUNTA($Q165))&gt;0),"",IF($V165="Sub",IFERROR($X165/INDEX($W$5:$W$1000,$U165-4),""),IF(ISNUMBER($G165),1,IF(N($W165)&gt;0,AVERAGEIFS($X$5:$X$1000,$U$5:$U$1000,ROW(),$V$5:$V$1000,"Sub"),$X165))))</f>
        <v/>
      </c>
      <c r="N165" s="56">
        <f>IF(OR($M165="",$V165="Sub"),"",IF($M165&gt;=1,"Completado",IF($M165&gt;0,"En curso","Pendiente")))</f>
        <v/>
      </c>
      <c r="O165" s="56">
        <f>IF(OR(NOT((COUNTA($B165:$D165)+COUNTA($G165:$L165)+COUNTA($Q165))&gt;0),$V165="Sub"),"",IF(ISNUMBER($G165),IF(AND(ISNUMBER($AN165),$G165&gt;$AN165),"Cumplida con "&amp;($G165-$AN165)&amp;IF($G165-$AN165=1," día"," días")&amp;" de retraso","Cumplida"),IF(N($M165)&gt;=1,"Cumplida",IF(NOT(ISNUMBER($AN165)),"Sin fecha límite",IF($AN165&lt;FechaRef,"Vencida hace "&amp;(FechaRef-$AN165)&amp;IF(FechaRef-$AN165=1," día"," días"),IF($AN165=FechaRef,"Vence hoy",IF($AN165-FechaRef&lt;=DiasAlerta,"Vence en "&amp;($AN165-FechaRef)&amp;IF($AN165-FechaRef=1," día"," días"),"En plazo")))))))</f>
        <v/>
      </c>
      <c r="P165" s="62" t="n"/>
      <c r="Q165" s="58" t="n"/>
      <c r="R165" s="63">
        <f>IF(NOT((COUNTA($B165:$D165)+COUNTA($G165:$L165)+COUNTA($Q165))&gt;0),"",IF((IF($C165="","Falta el nombre de la actividad"&amp;" · ","")&amp;IF(AND($V165="Sub",N($U165)=0),"Subactividad sin macroactividad arriba"&amp;" · ","")&amp;IF($AM165="","Sin fecha de inicio"&amp;" · ","")&amp;IF($AN165="","Sin fecha límite"&amp;" · ","")&amp;IF(AND(LEFT($C165,11)="[Jefatura] ",N($AL165)=0),"No se encuentra en la hoja de la jefatura (elíjala de nuevo en la lista)"&amp;" · ","")&amp;IF(OR(AND($E165&lt;&gt;"",NOT(ISNUMBER($E165))),AND($F165&lt;&gt;"",NOT(ISNUMBER($F165))),AND($G165&lt;&gt;"",NOT(ISNUMBER($G165)))),"Fecha no válida"&amp;" · ","")&amp;IF(AND(ISNUMBER($AM165),ISNUMBER($AN165),$AM165&gt;$AN165),"Inicio posterior a fecha límite"&amp;" · ","")&amp;IF(AND($V165="Macro",$H165&lt;&gt;"",OR(NOT(ISNUMBER($H165)),$H165&lt;0,$H165&gt;1)),"Peso fuera de rango"&amp;" · ","")&amp;IF(AND($V165="Sub",$H165&lt;&gt;""),"Las subactividades no llevan peso (valen igual dentro de su macroactividad)"&amp;" · ","")&amp;IF(AND(N($W165)&gt;0,COUNT($I165:$L165)&gt;0),"Con subactividades: deje vacías las semanas (se calculan solas)"&amp;" · ","")&amp;IF((COUNTIF($I165:$L165,"&gt;1")+COUNTIF($I165:$L165,"&lt;0")+COUNTA($I165:$L165)-COUNT($I165:$L165))&gt;0,"Avance fuera de rango 0-100%"&amp;" · ","")&amp;IF(OR(AND($J165&lt;&gt;"",$J165&lt;$I165),AND($K165&lt;&gt;"",$K165&lt;MAX($I165:$J165)),AND($L165&lt;&gt;"",$L165&lt;MAX($I165:$K165))),"Avance semanal decreciente"&amp;" · ","")&amp;IF(AND(ISNUMBER($AN165),$AN165&lt;FechaRef,IF($V165="Sub",N($X165),N($M165))&lt;1),"Vencida"&amp;" · ","")&amp;IF(AND(ObsObligatoria="Sí",ISNUMBER($AN165),$AN165&lt;FechaRef,IF($V165="Sub",N($X165),N($M165))&lt;1,$Q165=""),"Vencida sin observación"&amp;" · ",""))="","✔ OK","⚠ "&amp;LEFT(IF($C165="","Falta el nombre de la actividad"&amp;" · ","")&amp;IF(AND($V165="Sub",N($U165)=0),"Subactividad sin macroactividad arriba"&amp;" · ","")&amp;IF($AM165="","Sin fecha de inicio"&amp;" · ","")&amp;IF($AN165="","Sin fecha límite"&amp;" · ","")&amp;IF(AND(LEFT($C165,11)="[Jefatura] ",N($AL165)=0),"No se encuentra en la hoja de la jefatura (elíjala de nuevo en la lista)"&amp;" · ","")&amp;IF(OR(AND($E165&lt;&gt;"",NOT(ISNUMBER($E165))),AND($F165&lt;&gt;"",NOT(ISNUMBER($F165))),AND($G165&lt;&gt;"",NOT(ISNUMBER($G165)))),"Fecha no válida"&amp;" · ","")&amp;IF(AND(ISNUMBER($AM165),ISNUMBER($AN165),$AM165&gt;$AN165),"Inicio posterior a fecha límite"&amp;" · ","")&amp;IF(AND($V165="Macro",$H165&lt;&gt;"",OR(NOT(ISNUMBER($H165)),$H165&lt;0,$H165&gt;1)),"Peso fuera de rango"&amp;" · ","")&amp;IF(AND($V165="Sub",$H165&lt;&gt;""),"Las subactividades no llevan peso (valen igual dentro de su macroactividad)"&amp;" · ","")&amp;IF(AND(N($W165)&gt;0,COUNT($I165:$L165)&gt;0),"Con subactividades: deje vacías las semanas (se calculan solas)"&amp;" · ","")&amp;IF((COUNTIF($I165:$L165,"&gt;1")+COUNTIF($I165:$L165,"&lt;0")+COUNTA($I165:$L165)-COUNT($I165:$L165))&gt;0,"Avance fuera de rango 0-100%"&amp;" · ","")&amp;IF(OR(AND($J165&lt;&gt;"",$J165&lt;$I165),AND($K165&lt;&gt;"",$K165&lt;MAX($I165:$J165)),AND($L165&lt;&gt;"",$L165&lt;MAX($I165:$K165))),"Avance semanal decreciente"&amp;" · ","")&amp;IF(AND(ISNUMBER($AN165),$AN165&lt;FechaRef,IF($V165="Sub",N($X165),N($M165))&lt;1),"Vencida"&amp;" · ","")&amp;IF(AND(ObsObligatoria="Sí",ISNUMBER($AN165),$AN165&lt;FechaRef,IF($V165="Sub",N($X165),N($M165))&lt;1,$Q165=""),"Vencida sin observación"&amp;" · ",""),LEN(IF($C165="","Falta el nombre de la actividad"&amp;" · ","")&amp;IF(AND($V165="Sub",N($U165)=0),"Subactividad sin macroactividad arriba"&amp;" · ","")&amp;IF($AM165="","Sin fecha de inicio"&amp;" · ","")&amp;IF($AN165="","Sin fecha límite"&amp;" · ","")&amp;IF(AND(LEFT($C165,11)="[Jefatura] ",N($AL165)=0),"No se encuentra en la hoja de la jefatura (elíjala de nuevo en la lista)"&amp;" · ","")&amp;IF(OR(AND($E165&lt;&gt;"",NOT(ISNUMBER($E165))),AND($F165&lt;&gt;"",NOT(ISNUMBER($F165))),AND($G165&lt;&gt;"",NOT(ISNUMBER($G165)))),"Fecha no válida"&amp;" · ","")&amp;IF(AND(ISNUMBER($AM165),ISNUMBER($AN165),$AM165&gt;$AN165),"Inicio posterior a fecha límite"&amp;" · ","")&amp;IF(AND($V165="Macro",$H165&lt;&gt;"",OR(NOT(ISNUMBER($H165)),$H165&lt;0,$H165&gt;1)),"Peso fuera de rango"&amp;" · ","")&amp;IF(AND($V165="Sub",$H165&lt;&gt;""),"Las subactividades no llevan peso (valen igual dentro de su macroactividad)"&amp;" · ","")&amp;IF(AND(N($W165)&gt;0,COUNT($I165:$L165)&gt;0),"Con subactividades: deje vacías las semanas (se calculan solas)"&amp;" · ","")&amp;IF((COUNTIF($I165:$L165,"&gt;1")+COUNTIF($I165:$L165,"&lt;0")+COUNTA($I165:$L165)-COUNT($I165:$L165))&gt;0,"Avance fuera de rango 0-100%"&amp;" · ","")&amp;IF(OR(AND($J165&lt;&gt;"",$J165&lt;$I165),AND($K165&lt;&gt;"",$K165&lt;MAX($I165:$J165)),AND($L165&lt;&gt;"",$L165&lt;MAX($I165:$K165))),"Avance semanal decreciente"&amp;" · ","")&amp;IF(AND(ISNUMBER($AN165),$AN165&lt;FechaRef,IF($V165="Sub",N($X165),N($M165))&lt;1),"Vencida"&amp;" · ","")&amp;IF(AND(ObsObligatoria="Sí",ISNUMBER($AN165),$AN165&lt;FechaRef,IF($V165="Sub",N($X165),N($M165))&lt;1,$Q165=""),"Vencida sin observación"&amp;" · ",""))-3)))</f>
        <v/>
      </c>
      <c r="S165" s="64">
        <f>IF(NOT((COUNTA($B165:$D165)+COUNTA($G165:$L165)+COUNTA($Q165))&gt;0),"",IF(AND($V165="Sub",N($U165)&gt;0),IF(ISNUMBER(INDEX($AM$5:$AM$1000,$U165-4)),DATE(YEAR(INDEX($AM$5:$AM$1000,$U165-4)),MONTH(INDEX($AM$5:$AM$1000,$U165-4)),1),IF(ISNUMBER(INDEX($AN$5:$AN$1000,$U165-4)),DATE(YEAR(INDEX($AN$5:$AN$1000,$U165-4)),MONTH(INDEX($AN$5:$AN$1000,$U165-4)),1),MesCiclo)),IF(ISNUMBER($AM165),DATE(YEAR($AM165),MONTH($AM165),1),IF(ISNUMBER($AN165),DATE(YEAR($AN165),MONTH($AN165),1),MesCiclo))))</f>
        <v/>
      </c>
      <c r="T165" s="62">
        <f>IF(OR($S165="",$S165&lt;&gt;MesCiclo,$V165&lt;&gt;"Macro"),"",COUNTIFS($S$5:$S165,MesCiclo,$V$5:$V165,"Macro"))</f>
        <v/>
      </c>
      <c r="U165" s="62">
        <f>IF($V165="","",IF($V165="Macro",ROW(),IFERROR(LOOKUP(2,1/($V$5:$V165="Macro"),ROW($V$5:$V165)),0)))</f>
        <v/>
      </c>
      <c r="V165" s="62">
        <f>IF(NOT((COUNTA($B165:$D165)+COUNTA($G165:$L165)+COUNTA($Q165))&gt;0),"",IF($B165="Subactividad","Sub","Macro"))</f>
        <v/>
      </c>
      <c r="W165" s="62">
        <f>IF($V165="Macro",COUNTIFS($U$5:$U$1000,ROW(),$V$5:$V$1000,"Sub"),"")</f>
        <v/>
      </c>
      <c r="X165" s="62">
        <f>IF($V165="","",IF(ISNUMBER($G165),1,IFERROR(LOOKUP(2,1/($I165:$L165&lt;&gt;""),$I165:$L165),0)))</f>
        <v/>
      </c>
      <c r="Y165" s="62">
        <f>IF($V165="","",IF(AND(ISNUMBER($G165),$G165&lt;=IF($S165=MesCiclo,InicioCiclo,$S165+MOD(2-WEEKDAY($S165),7))+6),1,IF(ISNUMBER($I165),$I165,0)))</f>
        <v/>
      </c>
      <c r="Z165" s="62">
        <f>IF($V165="","",IF(AND(ISNUMBER($G165),$G165&lt;=IF($S165=MesCiclo,InicioCiclo,$S165+MOD(2-WEEKDAY($S165),7))+13),1,IF(ISNUMBER($J165),$J165,$Y165)))</f>
        <v/>
      </c>
      <c r="AA165" s="62">
        <f>IF($V165="","",IF(AND(ISNUMBER($G165),$G165&lt;=IF($S165=MesCiclo,InicioCiclo,$S165+MOD(2-WEEKDAY($S165),7))+20),1,IF(ISNUMBER($K165),$K165,$Z165)))</f>
        <v/>
      </c>
      <c r="AB165" s="62">
        <f>IF($V165="","",IF(AND(ISNUMBER($G165),$G165&lt;=IF($S165=MesCiclo,InicioCiclo,$S165+MOD(2-WEEKDAY($S165),7))+27),1,IF(ISNUMBER($L165),$L165,$AA165)))</f>
        <v/>
      </c>
      <c r="AC165" s="62">
        <f>IF($V165="","",IF(AND(ISNUMBER($G165),$G165&lt;=IF($S165=MesCiclo,InicioCiclo,$S165+MOD(2-WEEKDAY($S165),7))+6),1,IF(N($W165)&gt;0,AVERAGEIFS($Y$5:$Y$1000,$U$5:$U$1000,ROW(),$V$5:$V$1000,"Sub"),$Y165)))</f>
        <v/>
      </c>
      <c r="AD165" s="62">
        <f>IF($V165="","",IF(AND(ISNUMBER($G165),$G165&lt;=IF($S165=MesCiclo,InicioCiclo,$S165+MOD(2-WEEKDAY($S165),7))+13),1,IF(N($W165)&gt;0,AVERAGEIFS($Z$5:$Z$1000,$U$5:$U$1000,ROW(),$V$5:$V$1000,"Sub"),$Z165)))</f>
        <v/>
      </c>
      <c r="AE165" s="62">
        <f>IF($V165="","",IF(AND(ISNUMBER($G165),$G165&lt;=IF($S165=MesCiclo,InicioCiclo,$S165+MOD(2-WEEKDAY($S165),7))+20),1,IF(N($W165)&gt;0,AVERAGEIFS($AA$5:$AA$1000,$U$5:$U$1000,ROW(),$V$5:$V$1000,"Sub"),$AA165)))</f>
        <v/>
      </c>
      <c r="AF165" s="62">
        <f>IF($V165="","",IF(AND(ISNUMBER($G165),$G165&lt;=IF($S165=MesCiclo,InicioCiclo,$S165+MOD(2-WEEKDAY($S165),7))+27),1,IF(N($W165)&gt;0,AVERAGEIFS($AB$5:$AB$1000,$U$5:$U$1000,ROW(),$V$5:$V$1000,"Sub"),$AB165)))</f>
        <v/>
      </c>
      <c r="AG165" s="62">
        <f>IF($V165&lt;&gt;"Macro","",IF(COUNTIFS($S$5:$S$1000,$S165,$V$5:$V$1000,"Macro",$H$5:$H$1000,"&gt;0")=0,1/COUNTIFS($S$5:$S$1000,$S165,$V$5:$V$1000,"Macro"),IF(AND(ISNUMBER($H165),N($H165)&gt;0),$H165,SUMIFS($H$5:$H$1000,$S$5:$S$1000,$S165,$V$5:$V$1000,"Macro")/COUNTIFS($S$5:$S$1000,$S165,$V$5:$V$1000,"Macro",$H$5:$H$1000,"&gt;0"))/(COUNTIFS($S$5:$S$1000,$S165,$V$5:$V$1000,"Macro")*SUMIFS($H$5:$H$1000,$S$5:$S$1000,$S165,$V$5:$V$1000,"Macro")/COUNTIFS($S$5:$S$1000,$S165,$V$5:$V$1000,"Macro",$H$5:$H$1000,"&gt;0"))))</f>
        <v/>
      </c>
      <c r="AH165" s="62" t="n"/>
      <c r="AI165" s="62" t="n"/>
      <c r="AJ165" s="62" t="n"/>
      <c r="AK165" s="62" t="n"/>
      <c r="AL165" s="62">
        <f>IF(LEFT($C165,11)="[Jefatura] ",IFERROR(MATCH("Asistente Técnico de Riesgo|"&amp;MID($C165,12,500),rDname_ADM,0),0),"")</f>
        <v/>
      </c>
      <c r="AM165" s="62">
        <f>IF(N($AL165)&gt;0,INDEX(rIni_ADM,$AL165),IF(ISNUMBER($E165),$E165,""))</f>
        <v/>
      </c>
      <c r="AN165" s="62">
        <f>IF(N($AL165)&gt;0,INDEX(rLim_ADM,$AL165),IF(ISNUMBER($F165),$F165,""))</f>
        <v/>
      </c>
    </row>
    <row r="166">
      <c r="A166" s="56">
        <f>IF(NOT((COUNTA($B166:$D166)+COUNTA($G166:$L166)+COUNTA($Q166))&gt;0),"",IF($V166="Macro",COUNTIFS($V$5:$V166,"Macro",$S$5:$S166,$S166),IF(N($U166)=0,"?",COUNTIFS(INDEX($V$5:$V$1000,1):INDEX($V$5:$V$1000,$U166-4),"Macro",INDEX($S$5:$S$1000,1):INDEX($S$5:$S$1000,$U166-4),INDEX($S$5:$S$1000,$U166-4))&amp;"."&amp;COUNTIFS($U$5:$U166,$U166,$V$5:$V166,"Sub"))))</f>
        <v/>
      </c>
      <c r="B166" s="57" t="n"/>
      <c r="C166" s="58" t="n"/>
      <c r="D166" s="58" t="n"/>
      <c r="E166" s="59">
        <f>IF(N($AL166)&gt;0,INDEX(rIni_ADM,$AL166),"")</f>
        <v/>
      </c>
      <c r="F166" s="59">
        <f>IF(N($AL166)&gt;0,INDEX(rLim_ADM,$AL166),"")</f>
        <v/>
      </c>
      <c r="G166" s="59" t="n"/>
      <c r="H166" s="60" t="n"/>
      <c r="I166" s="60" t="n"/>
      <c r="J166" s="60" t="n"/>
      <c r="K166" s="60" t="n"/>
      <c r="L166" s="60" t="n"/>
      <c r="M166" s="61">
        <f>IF(NOT((COUNTA($B166:$D166)+COUNTA($G166:$L166)+COUNTA($Q166))&gt;0),"",IF($V166="Sub",IFERROR($X166/INDEX($W$5:$W$1000,$U166-4),""),IF(ISNUMBER($G166),1,IF(N($W166)&gt;0,AVERAGEIFS($X$5:$X$1000,$U$5:$U$1000,ROW(),$V$5:$V$1000,"Sub"),$X166))))</f>
        <v/>
      </c>
      <c r="N166" s="56">
        <f>IF(OR($M166="",$V166="Sub"),"",IF($M166&gt;=1,"Completado",IF($M166&gt;0,"En curso","Pendiente")))</f>
        <v/>
      </c>
      <c r="O166" s="56">
        <f>IF(OR(NOT((COUNTA($B166:$D166)+COUNTA($G166:$L166)+COUNTA($Q166))&gt;0),$V166="Sub"),"",IF(ISNUMBER($G166),IF(AND(ISNUMBER($AN166),$G166&gt;$AN166),"Cumplida con "&amp;($G166-$AN166)&amp;IF($G166-$AN166=1," día"," días")&amp;" de retraso","Cumplida"),IF(N($M166)&gt;=1,"Cumplida",IF(NOT(ISNUMBER($AN166)),"Sin fecha límite",IF($AN166&lt;FechaRef,"Vencida hace "&amp;(FechaRef-$AN166)&amp;IF(FechaRef-$AN166=1," día"," días"),IF($AN166=FechaRef,"Vence hoy",IF($AN166-FechaRef&lt;=DiasAlerta,"Vence en "&amp;($AN166-FechaRef)&amp;IF($AN166-FechaRef=1," día"," días"),"En plazo")))))))</f>
        <v/>
      </c>
      <c r="P166" s="62" t="n"/>
      <c r="Q166" s="58" t="n"/>
      <c r="R166" s="63">
        <f>IF(NOT((COUNTA($B166:$D166)+COUNTA($G166:$L166)+COUNTA($Q166))&gt;0),"",IF((IF($C166="","Falta el nombre de la actividad"&amp;" · ","")&amp;IF(AND($V166="Sub",N($U166)=0),"Subactividad sin macroactividad arriba"&amp;" · ","")&amp;IF($AM166="","Sin fecha de inicio"&amp;" · ","")&amp;IF($AN166="","Sin fecha límite"&amp;" · ","")&amp;IF(AND(LEFT($C166,11)="[Jefatura] ",N($AL166)=0),"No se encuentra en la hoja de la jefatura (elíjala de nuevo en la lista)"&amp;" · ","")&amp;IF(OR(AND($E166&lt;&gt;"",NOT(ISNUMBER($E166))),AND($F166&lt;&gt;"",NOT(ISNUMBER($F166))),AND($G166&lt;&gt;"",NOT(ISNUMBER($G166)))),"Fecha no válida"&amp;" · ","")&amp;IF(AND(ISNUMBER($AM166),ISNUMBER($AN166),$AM166&gt;$AN166),"Inicio posterior a fecha límite"&amp;" · ","")&amp;IF(AND($V166="Macro",$H166&lt;&gt;"",OR(NOT(ISNUMBER($H166)),$H166&lt;0,$H166&gt;1)),"Peso fuera de rango"&amp;" · ","")&amp;IF(AND($V166="Sub",$H166&lt;&gt;""),"Las subactividades no llevan peso (valen igual dentro de su macroactividad)"&amp;" · ","")&amp;IF(AND(N($W166)&gt;0,COUNT($I166:$L166)&gt;0),"Con subactividades: deje vacías las semanas (se calculan solas)"&amp;" · ","")&amp;IF((COUNTIF($I166:$L166,"&gt;1")+COUNTIF($I166:$L166,"&lt;0")+COUNTA($I166:$L166)-COUNT($I166:$L166))&gt;0,"Avance fuera de rango 0-100%"&amp;" · ","")&amp;IF(OR(AND($J166&lt;&gt;"",$J166&lt;$I166),AND($K166&lt;&gt;"",$K166&lt;MAX($I166:$J166)),AND($L166&lt;&gt;"",$L166&lt;MAX($I166:$K166))),"Avance semanal decreciente"&amp;" · ","")&amp;IF(AND(ISNUMBER($AN166),$AN166&lt;FechaRef,IF($V166="Sub",N($X166),N($M166))&lt;1),"Vencida"&amp;" · ","")&amp;IF(AND(ObsObligatoria="Sí",ISNUMBER($AN166),$AN166&lt;FechaRef,IF($V166="Sub",N($X166),N($M166))&lt;1,$Q166=""),"Vencida sin observación"&amp;" · ",""))="","✔ OK","⚠ "&amp;LEFT(IF($C166="","Falta el nombre de la actividad"&amp;" · ","")&amp;IF(AND($V166="Sub",N($U166)=0),"Subactividad sin macroactividad arriba"&amp;" · ","")&amp;IF($AM166="","Sin fecha de inicio"&amp;" · ","")&amp;IF($AN166="","Sin fecha límite"&amp;" · ","")&amp;IF(AND(LEFT($C166,11)="[Jefatura] ",N($AL166)=0),"No se encuentra en la hoja de la jefatura (elíjala de nuevo en la lista)"&amp;" · ","")&amp;IF(OR(AND($E166&lt;&gt;"",NOT(ISNUMBER($E166))),AND($F166&lt;&gt;"",NOT(ISNUMBER($F166))),AND($G166&lt;&gt;"",NOT(ISNUMBER($G166)))),"Fecha no válida"&amp;" · ","")&amp;IF(AND(ISNUMBER($AM166),ISNUMBER($AN166),$AM166&gt;$AN166),"Inicio posterior a fecha límite"&amp;" · ","")&amp;IF(AND($V166="Macro",$H166&lt;&gt;"",OR(NOT(ISNUMBER($H166)),$H166&lt;0,$H166&gt;1)),"Peso fuera de rango"&amp;" · ","")&amp;IF(AND($V166="Sub",$H166&lt;&gt;""),"Las subactividades no llevan peso (valen igual dentro de su macroactividad)"&amp;" · ","")&amp;IF(AND(N($W166)&gt;0,COUNT($I166:$L166)&gt;0),"Con subactividades: deje vacías las semanas (se calculan solas)"&amp;" · ","")&amp;IF((COUNTIF($I166:$L166,"&gt;1")+COUNTIF($I166:$L166,"&lt;0")+COUNTA($I166:$L166)-COUNT($I166:$L166))&gt;0,"Avance fuera de rango 0-100%"&amp;" · ","")&amp;IF(OR(AND($J166&lt;&gt;"",$J166&lt;$I166),AND($K166&lt;&gt;"",$K166&lt;MAX($I166:$J166)),AND($L166&lt;&gt;"",$L166&lt;MAX($I166:$K166))),"Avance semanal decreciente"&amp;" · ","")&amp;IF(AND(ISNUMBER($AN166),$AN166&lt;FechaRef,IF($V166="Sub",N($X166),N($M166))&lt;1),"Vencida"&amp;" · ","")&amp;IF(AND(ObsObligatoria="Sí",ISNUMBER($AN166),$AN166&lt;FechaRef,IF($V166="Sub",N($X166),N($M166))&lt;1,$Q166=""),"Vencida sin observación"&amp;" · ",""),LEN(IF($C166="","Falta el nombre de la actividad"&amp;" · ","")&amp;IF(AND($V166="Sub",N($U166)=0),"Subactividad sin macroactividad arriba"&amp;" · ","")&amp;IF($AM166="","Sin fecha de inicio"&amp;" · ","")&amp;IF($AN166="","Sin fecha límite"&amp;" · ","")&amp;IF(AND(LEFT($C166,11)="[Jefatura] ",N($AL166)=0),"No se encuentra en la hoja de la jefatura (elíjala de nuevo en la lista)"&amp;" · ","")&amp;IF(OR(AND($E166&lt;&gt;"",NOT(ISNUMBER($E166))),AND($F166&lt;&gt;"",NOT(ISNUMBER($F166))),AND($G166&lt;&gt;"",NOT(ISNUMBER($G166)))),"Fecha no válida"&amp;" · ","")&amp;IF(AND(ISNUMBER($AM166),ISNUMBER($AN166),$AM166&gt;$AN166),"Inicio posterior a fecha límite"&amp;" · ","")&amp;IF(AND($V166="Macro",$H166&lt;&gt;"",OR(NOT(ISNUMBER($H166)),$H166&lt;0,$H166&gt;1)),"Peso fuera de rango"&amp;" · ","")&amp;IF(AND($V166="Sub",$H166&lt;&gt;""),"Las subactividades no llevan peso (valen igual dentro de su macroactividad)"&amp;" · ","")&amp;IF(AND(N($W166)&gt;0,COUNT($I166:$L166)&gt;0),"Con subactividades: deje vacías las semanas (se calculan solas)"&amp;" · ","")&amp;IF((COUNTIF($I166:$L166,"&gt;1")+COUNTIF($I166:$L166,"&lt;0")+COUNTA($I166:$L166)-COUNT($I166:$L166))&gt;0,"Avance fuera de rango 0-100%"&amp;" · ","")&amp;IF(OR(AND($J166&lt;&gt;"",$J166&lt;$I166),AND($K166&lt;&gt;"",$K166&lt;MAX($I166:$J166)),AND($L166&lt;&gt;"",$L166&lt;MAX($I166:$K166))),"Avance semanal decreciente"&amp;" · ","")&amp;IF(AND(ISNUMBER($AN166),$AN166&lt;FechaRef,IF($V166="Sub",N($X166),N($M166))&lt;1),"Vencida"&amp;" · ","")&amp;IF(AND(ObsObligatoria="Sí",ISNUMBER($AN166),$AN166&lt;FechaRef,IF($V166="Sub",N($X166),N($M166))&lt;1,$Q166=""),"Vencida sin observación"&amp;" · ",""))-3)))</f>
        <v/>
      </c>
      <c r="S166" s="64">
        <f>IF(NOT((COUNTA($B166:$D166)+COUNTA($G166:$L166)+COUNTA($Q166))&gt;0),"",IF(AND($V166="Sub",N($U166)&gt;0),IF(ISNUMBER(INDEX($AM$5:$AM$1000,$U166-4)),DATE(YEAR(INDEX($AM$5:$AM$1000,$U166-4)),MONTH(INDEX($AM$5:$AM$1000,$U166-4)),1),IF(ISNUMBER(INDEX($AN$5:$AN$1000,$U166-4)),DATE(YEAR(INDEX($AN$5:$AN$1000,$U166-4)),MONTH(INDEX($AN$5:$AN$1000,$U166-4)),1),MesCiclo)),IF(ISNUMBER($AM166),DATE(YEAR($AM166),MONTH($AM166),1),IF(ISNUMBER($AN166),DATE(YEAR($AN166),MONTH($AN166),1),MesCiclo))))</f>
        <v/>
      </c>
      <c r="T166" s="62">
        <f>IF(OR($S166="",$S166&lt;&gt;MesCiclo,$V166&lt;&gt;"Macro"),"",COUNTIFS($S$5:$S166,MesCiclo,$V$5:$V166,"Macro"))</f>
        <v/>
      </c>
      <c r="U166" s="62">
        <f>IF($V166="","",IF($V166="Macro",ROW(),IFERROR(LOOKUP(2,1/($V$5:$V166="Macro"),ROW($V$5:$V166)),0)))</f>
        <v/>
      </c>
      <c r="V166" s="62">
        <f>IF(NOT((COUNTA($B166:$D166)+COUNTA($G166:$L166)+COUNTA($Q166))&gt;0),"",IF($B166="Subactividad","Sub","Macro"))</f>
        <v/>
      </c>
      <c r="W166" s="62">
        <f>IF($V166="Macro",COUNTIFS($U$5:$U$1000,ROW(),$V$5:$V$1000,"Sub"),"")</f>
        <v/>
      </c>
      <c r="X166" s="62">
        <f>IF($V166="","",IF(ISNUMBER($G166),1,IFERROR(LOOKUP(2,1/($I166:$L166&lt;&gt;""),$I166:$L166),0)))</f>
        <v/>
      </c>
      <c r="Y166" s="62">
        <f>IF($V166="","",IF(AND(ISNUMBER($G166),$G166&lt;=IF($S166=MesCiclo,InicioCiclo,$S166+MOD(2-WEEKDAY($S166),7))+6),1,IF(ISNUMBER($I166),$I166,0)))</f>
        <v/>
      </c>
      <c r="Z166" s="62">
        <f>IF($V166="","",IF(AND(ISNUMBER($G166),$G166&lt;=IF($S166=MesCiclo,InicioCiclo,$S166+MOD(2-WEEKDAY($S166),7))+13),1,IF(ISNUMBER($J166),$J166,$Y166)))</f>
        <v/>
      </c>
      <c r="AA166" s="62">
        <f>IF($V166="","",IF(AND(ISNUMBER($G166),$G166&lt;=IF($S166=MesCiclo,InicioCiclo,$S166+MOD(2-WEEKDAY($S166),7))+20),1,IF(ISNUMBER($K166),$K166,$Z166)))</f>
        <v/>
      </c>
      <c r="AB166" s="62">
        <f>IF($V166="","",IF(AND(ISNUMBER($G166),$G166&lt;=IF($S166=MesCiclo,InicioCiclo,$S166+MOD(2-WEEKDAY($S166),7))+27),1,IF(ISNUMBER($L166),$L166,$AA166)))</f>
        <v/>
      </c>
      <c r="AC166" s="62">
        <f>IF($V166="","",IF(AND(ISNUMBER($G166),$G166&lt;=IF($S166=MesCiclo,InicioCiclo,$S166+MOD(2-WEEKDAY($S166),7))+6),1,IF(N($W166)&gt;0,AVERAGEIFS($Y$5:$Y$1000,$U$5:$U$1000,ROW(),$V$5:$V$1000,"Sub"),$Y166)))</f>
        <v/>
      </c>
      <c r="AD166" s="62">
        <f>IF($V166="","",IF(AND(ISNUMBER($G166),$G166&lt;=IF($S166=MesCiclo,InicioCiclo,$S166+MOD(2-WEEKDAY($S166),7))+13),1,IF(N($W166)&gt;0,AVERAGEIFS($Z$5:$Z$1000,$U$5:$U$1000,ROW(),$V$5:$V$1000,"Sub"),$Z166)))</f>
        <v/>
      </c>
      <c r="AE166" s="62">
        <f>IF($V166="","",IF(AND(ISNUMBER($G166),$G166&lt;=IF($S166=MesCiclo,InicioCiclo,$S166+MOD(2-WEEKDAY($S166),7))+20),1,IF(N($W166)&gt;0,AVERAGEIFS($AA$5:$AA$1000,$U$5:$U$1000,ROW(),$V$5:$V$1000,"Sub"),$AA166)))</f>
        <v/>
      </c>
      <c r="AF166" s="62">
        <f>IF($V166="","",IF(AND(ISNUMBER($G166),$G166&lt;=IF($S166=MesCiclo,InicioCiclo,$S166+MOD(2-WEEKDAY($S166),7))+27),1,IF(N($W166)&gt;0,AVERAGEIFS($AB$5:$AB$1000,$U$5:$U$1000,ROW(),$V$5:$V$1000,"Sub"),$AB166)))</f>
        <v/>
      </c>
      <c r="AG166" s="62">
        <f>IF($V166&lt;&gt;"Macro","",IF(COUNTIFS($S$5:$S$1000,$S166,$V$5:$V$1000,"Macro",$H$5:$H$1000,"&gt;0")=0,1/COUNTIFS($S$5:$S$1000,$S166,$V$5:$V$1000,"Macro"),IF(AND(ISNUMBER($H166),N($H166)&gt;0),$H166,SUMIFS($H$5:$H$1000,$S$5:$S$1000,$S166,$V$5:$V$1000,"Macro")/COUNTIFS($S$5:$S$1000,$S166,$V$5:$V$1000,"Macro",$H$5:$H$1000,"&gt;0"))/(COUNTIFS($S$5:$S$1000,$S166,$V$5:$V$1000,"Macro")*SUMIFS($H$5:$H$1000,$S$5:$S$1000,$S166,$V$5:$V$1000,"Macro")/COUNTIFS($S$5:$S$1000,$S166,$V$5:$V$1000,"Macro",$H$5:$H$1000,"&gt;0"))))</f>
        <v/>
      </c>
      <c r="AH166" s="62" t="n"/>
      <c r="AI166" s="62" t="n"/>
      <c r="AJ166" s="62" t="n"/>
      <c r="AK166" s="62" t="n"/>
      <c r="AL166" s="62">
        <f>IF(LEFT($C166,11)="[Jefatura] ",IFERROR(MATCH("Asistente Técnico de Riesgo|"&amp;MID($C166,12,500),rDname_ADM,0),0),"")</f>
        <v/>
      </c>
      <c r="AM166" s="62">
        <f>IF(N($AL166)&gt;0,INDEX(rIni_ADM,$AL166),IF(ISNUMBER($E166),$E166,""))</f>
        <v/>
      </c>
      <c r="AN166" s="62">
        <f>IF(N($AL166)&gt;0,INDEX(rLim_ADM,$AL166),IF(ISNUMBER($F166),$F166,""))</f>
        <v/>
      </c>
    </row>
    <row r="167">
      <c r="A167" s="56">
        <f>IF(NOT((COUNTA($B167:$D167)+COUNTA($G167:$L167)+COUNTA($Q167))&gt;0),"",IF($V167="Macro",COUNTIFS($V$5:$V167,"Macro",$S$5:$S167,$S167),IF(N($U167)=0,"?",COUNTIFS(INDEX($V$5:$V$1000,1):INDEX($V$5:$V$1000,$U167-4),"Macro",INDEX($S$5:$S$1000,1):INDEX($S$5:$S$1000,$U167-4),INDEX($S$5:$S$1000,$U167-4))&amp;"."&amp;COUNTIFS($U$5:$U167,$U167,$V$5:$V167,"Sub"))))</f>
        <v/>
      </c>
      <c r="B167" s="57" t="n"/>
      <c r="C167" s="58" t="n"/>
      <c r="D167" s="58" t="n"/>
      <c r="E167" s="59">
        <f>IF(N($AL167)&gt;0,INDEX(rIni_ADM,$AL167),"")</f>
        <v/>
      </c>
      <c r="F167" s="59">
        <f>IF(N($AL167)&gt;0,INDEX(rLim_ADM,$AL167),"")</f>
        <v/>
      </c>
      <c r="G167" s="59" t="n"/>
      <c r="H167" s="60" t="n"/>
      <c r="I167" s="60" t="n"/>
      <c r="J167" s="60" t="n"/>
      <c r="K167" s="60" t="n"/>
      <c r="L167" s="60" t="n"/>
      <c r="M167" s="61">
        <f>IF(NOT((COUNTA($B167:$D167)+COUNTA($G167:$L167)+COUNTA($Q167))&gt;0),"",IF($V167="Sub",IFERROR($X167/INDEX($W$5:$W$1000,$U167-4),""),IF(ISNUMBER($G167),1,IF(N($W167)&gt;0,AVERAGEIFS($X$5:$X$1000,$U$5:$U$1000,ROW(),$V$5:$V$1000,"Sub"),$X167))))</f>
        <v/>
      </c>
      <c r="N167" s="56">
        <f>IF(OR($M167="",$V167="Sub"),"",IF($M167&gt;=1,"Completado",IF($M167&gt;0,"En curso","Pendiente")))</f>
        <v/>
      </c>
      <c r="O167" s="56">
        <f>IF(OR(NOT((COUNTA($B167:$D167)+COUNTA($G167:$L167)+COUNTA($Q167))&gt;0),$V167="Sub"),"",IF(ISNUMBER($G167),IF(AND(ISNUMBER($AN167),$G167&gt;$AN167),"Cumplida con "&amp;($G167-$AN167)&amp;IF($G167-$AN167=1," día"," días")&amp;" de retraso","Cumplida"),IF(N($M167)&gt;=1,"Cumplida",IF(NOT(ISNUMBER($AN167)),"Sin fecha límite",IF($AN167&lt;FechaRef,"Vencida hace "&amp;(FechaRef-$AN167)&amp;IF(FechaRef-$AN167=1," día"," días"),IF($AN167=FechaRef,"Vence hoy",IF($AN167-FechaRef&lt;=DiasAlerta,"Vence en "&amp;($AN167-FechaRef)&amp;IF($AN167-FechaRef=1," día"," días"),"En plazo")))))))</f>
        <v/>
      </c>
      <c r="P167" s="62" t="n"/>
      <c r="Q167" s="58" t="n"/>
      <c r="R167" s="63">
        <f>IF(NOT((COUNTA($B167:$D167)+COUNTA($G167:$L167)+COUNTA($Q167))&gt;0),"",IF((IF($C167="","Falta el nombre de la actividad"&amp;" · ","")&amp;IF(AND($V167="Sub",N($U167)=0),"Subactividad sin macroactividad arriba"&amp;" · ","")&amp;IF($AM167="","Sin fecha de inicio"&amp;" · ","")&amp;IF($AN167="","Sin fecha límite"&amp;" · ","")&amp;IF(AND(LEFT($C167,11)="[Jefatura] ",N($AL167)=0),"No se encuentra en la hoja de la jefatura (elíjala de nuevo en la lista)"&amp;" · ","")&amp;IF(OR(AND($E167&lt;&gt;"",NOT(ISNUMBER($E167))),AND($F167&lt;&gt;"",NOT(ISNUMBER($F167))),AND($G167&lt;&gt;"",NOT(ISNUMBER($G167)))),"Fecha no válida"&amp;" · ","")&amp;IF(AND(ISNUMBER($AM167),ISNUMBER($AN167),$AM167&gt;$AN167),"Inicio posterior a fecha límite"&amp;" · ","")&amp;IF(AND($V167="Macro",$H167&lt;&gt;"",OR(NOT(ISNUMBER($H167)),$H167&lt;0,$H167&gt;1)),"Peso fuera de rango"&amp;" · ","")&amp;IF(AND($V167="Sub",$H167&lt;&gt;""),"Las subactividades no llevan peso (valen igual dentro de su macroactividad)"&amp;" · ","")&amp;IF(AND(N($W167)&gt;0,COUNT($I167:$L167)&gt;0),"Con subactividades: deje vacías las semanas (se calculan solas)"&amp;" · ","")&amp;IF((COUNTIF($I167:$L167,"&gt;1")+COUNTIF($I167:$L167,"&lt;0")+COUNTA($I167:$L167)-COUNT($I167:$L167))&gt;0,"Avance fuera de rango 0-100%"&amp;" · ","")&amp;IF(OR(AND($J167&lt;&gt;"",$J167&lt;$I167),AND($K167&lt;&gt;"",$K167&lt;MAX($I167:$J167)),AND($L167&lt;&gt;"",$L167&lt;MAX($I167:$K167))),"Avance semanal decreciente"&amp;" · ","")&amp;IF(AND(ISNUMBER($AN167),$AN167&lt;FechaRef,IF($V167="Sub",N($X167),N($M167))&lt;1),"Vencida"&amp;" · ","")&amp;IF(AND(ObsObligatoria="Sí",ISNUMBER($AN167),$AN167&lt;FechaRef,IF($V167="Sub",N($X167),N($M167))&lt;1,$Q167=""),"Vencida sin observación"&amp;" · ",""))="","✔ OK","⚠ "&amp;LEFT(IF($C167="","Falta el nombre de la actividad"&amp;" · ","")&amp;IF(AND($V167="Sub",N($U167)=0),"Subactividad sin macroactividad arriba"&amp;" · ","")&amp;IF($AM167="","Sin fecha de inicio"&amp;" · ","")&amp;IF($AN167="","Sin fecha límite"&amp;" · ","")&amp;IF(AND(LEFT($C167,11)="[Jefatura] ",N($AL167)=0),"No se encuentra en la hoja de la jefatura (elíjala de nuevo en la lista)"&amp;" · ","")&amp;IF(OR(AND($E167&lt;&gt;"",NOT(ISNUMBER($E167))),AND($F167&lt;&gt;"",NOT(ISNUMBER($F167))),AND($G167&lt;&gt;"",NOT(ISNUMBER($G167)))),"Fecha no válida"&amp;" · ","")&amp;IF(AND(ISNUMBER($AM167),ISNUMBER($AN167),$AM167&gt;$AN167),"Inicio posterior a fecha límite"&amp;" · ","")&amp;IF(AND($V167="Macro",$H167&lt;&gt;"",OR(NOT(ISNUMBER($H167)),$H167&lt;0,$H167&gt;1)),"Peso fuera de rango"&amp;" · ","")&amp;IF(AND($V167="Sub",$H167&lt;&gt;""),"Las subactividades no llevan peso (valen igual dentro de su macroactividad)"&amp;" · ","")&amp;IF(AND(N($W167)&gt;0,COUNT($I167:$L167)&gt;0),"Con subactividades: deje vacías las semanas (se calculan solas)"&amp;" · ","")&amp;IF((COUNTIF($I167:$L167,"&gt;1")+COUNTIF($I167:$L167,"&lt;0")+COUNTA($I167:$L167)-COUNT($I167:$L167))&gt;0,"Avance fuera de rango 0-100%"&amp;" · ","")&amp;IF(OR(AND($J167&lt;&gt;"",$J167&lt;$I167),AND($K167&lt;&gt;"",$K167&lt;MAX($I167:$J167)),AND($L167&lt;&gt;"",$L167&lt;MAX($I167:$K167))),"Avance semanal decreciente"&amp;" · ","")&amp;IF(AND(ISNUMBER($AN167),$AN167&lt;FechaRef,IF($V167="Sub",N($X167),N($M167))&lt;1),"Vencida"&amp;" · ","")&amp;IF(AND(ObsObligatoria="Sí",ISNUMBER($AN167),$AN167&lt;FechaRef,IF($V167="Sub",N($X167),N($M167))&lt;1,$Q167=""),"Vencida sin observación"&amp;" · ",""),LEN(IF($C167="","Falta el nombre de la actividad"&amp;" · ","")&amp;IF(AND($V167="Sub",N($U167)=0),"Subactividad sin macroactividad arriba"&amp;" · ","")&amp;IF($AM167="","Sin fecha de inicio"&amp;" · ","")&amp;IF($AN167="","Sin fecha límite"&amp;" · ","")&amp;IF(AND(LEFT($C167,11)="[Jefatura] ",N($AL167)=0),"No se encuentra en la hoja de la jefatura (elíjala de nuevo en la lista)"&amp;" · ","")&amp;IF(OR(AND($E167&lt;&gt;"",NOT(ISNUMBER($E167))),AND($F167&lt;&gt;"",NOT(ISNUMBER($F167))),AND($G167&lt;&gt;"",NOT(ISNUMBER($G167)))),"Fecha no válida"&amp;" · ","")&amp;IF(AND(ISNUMBER($AM167),ISNUMBER($AN167),$AM167&gt;$AN167),"Inicio posterior a fecha límite"&amp;" · ","")&amp;IF(AND($V167="Macro",$H167&lt;&gt;"",OR(NOT(ISNUMBER($H167)),$H167&lt;0,$H167&gt;1)),"Peso fuera de rango"&amp;" · ","")&amp;IF(AND($V167="Sub",$H167&lt;&gt;""),"Las subactividades no llevan peso (valen igual dentro de su macroactividad)"&amp;" · ","")&amp;IF(AND(N($W167)&gt;0,COUNT($I167:$L167)&gt;0),"Con subactividades: deje vacías las semanas (se calculan solas)"&amp;" · ","")&amp;IF((COUNTIF($I167:$L167,"&gt;1")+COUNTIF($I167:$L167,"&lt;0")+COUNTA($I167:$L167)-COUNT($I167:$L167))&gt;0,"Avance fuera de rango 0-100%"&amp;" · ","")&amp;IF(OR(AND($J167&lt;&gt;"",$J167&lt;$I167),AND($K167&lt;&gt;"",$K167&lt;MAX($I167:$J167)),AND($L167&lt;&gt;"",$L167&lt;MAX($I167:$K167))),"Avance semanal decreciente"&amp;" · ","")&amp;IF(AND(ISNUMBER($AN167),$AN167&lt;FechaRef,IF($V167="Sub",N($X167),N($M167))&lt;1),"Vencida"&amp;" · ","")&amp;IF(AND(ObsObligatoria="Sí",ISNUMBER($AN167),$AN167&lt;FechaRef,IF($V167="Sub",N($X167),N($M167))&lt;1,$Q167=""),"Vencida sin observación"&amp;" · ",""))-3)))</f>
        <v/>
      </c>
      <c r="S167" s="64">
        <f>IF(NOT((COUNTA($B167:$D167)+COUNTA($G167:$L167)+COUNTA($Q167))&gt;0),"",IF(AND($V167="Sub",N($U167)&gt;0),IF(ISNUMBER(INDEX($AM$5:$AM$1000,$U167-4)),DATE(YEAR(INDEX($AM$5:$AM$1000,$U167-4)),MONTH(INDEX($AM$5:$AM$1000,$U167-4)),1),IF(ISNUMBER(INDEX($AN$5:$AN$1000,$U167-4)),DATE(YEAR(INDEX($AN$5:$AN$1000,$U167-4)),MONTH(INDEX($AN$5:$AN$1000,$U167-4)),1),MesCiclo)),IF(ISNUMBER($AM167),DATE(YEAR($AM167),MONTH($AM167),1),IF(ISNUMBER($AN167),DATE(YEAR($AN167),MONTH($AN167),1),MesCiclo))))</f>
        <v/>
      </c>
      <c r="T167" s="62">
        <f>IF(OR($S167="",$S167&lt;&gt;MesCiclo,$V167&lt;&gt;"Macro"),"",COUNTIFS($S$5:$S167,MesCiclo,$V$5:$V167,"Macro"))</f>
        <v/>
      </c>
      <c r="U167" s="62">
        <f>IF($V167="","",IF($V167="Macro",ROW(),IFERROR(LOOKUP(2,1/($V$5:$V167="Macro"),ROW($V$5:$V167)),0)))</f>
        <v/>
      </c>
      <c r="V167" s="62">
        <f>IF(NOT((COUNTA($B167:$D167)+COUNTA($G167:$L167)+COUNTA($Q167))&gt;0),"",IF($B167="Subactividad","Sub","Macro"))</f>
        <v/>
      </c>
      <c r="W167" s="62">
        <f>IF($V167="Macro",COUNTIFS($U$5:$U$1000,ROW(),$V$5:$V$1000,"Sub"),"")</f>
        <v/>
      </c>
      <c r="X167" s="62">
        <f>IF($V167="","",IF(ISNUMBER($G167),1,IFERROR(LOOKUP(2,1/($I167:$L167&lt;&gt;""),$I167:$L167),0)))</f>
        <v/>
      </c>
      <c r="Y167" s="62">
        <f>IF($V167="","",IF(AND(ISNUMBER($G167),$G167&lt;=IF($S167=MesCiclo,InicioCiclo,$S167+MOD(2-WEEKDAY($S167),7))+6),1,IF(ISNUMBER($I167),$I167,0)))</f>
        <v/>
      </c>
      <c r="Z167" s="62">
        <f>IF($V167="","",IF(AND(ISNUMBER($G167),$G167&lt;=IF($S167=MesCiclo,InicioCiclo,$S167+MOD(2-WEEKDAY($S167),7))+13),1,IF(ISNUMBER($J167),$J167,$Y167)))</f>
        <v/>
      </c>
      <c r="AA167" s="62">
        <f>IF($V167="","",IF(AND(ISNUMBER($G167),$G167&lt;=IF($S167=MesCiclo,InicioCiclo,$S167+MOD(2-WEEKDAY($S167),7))+20),1,IF(ISNUMBER($K167),$K167,$Z167)))</f>
        <v/>
      </c>
      <c r="AB167" s="62">
        <f>IF($V167="","",IF(AND(ISNUMBER($G167),$G167&lt;=IF($S167=MesCiclo,InicioCiclo,$S167+MOD(2-WEEKDAY($S167),7))+27),1,IF(ISNUMBER($L167),$L167,$AA167)))</f>
        <v/>
      </c>
      <c r="AC167" s="62">
        <f>IF($V167="","",IF(AND(ISNUMBER($G167),$G167&lt;=IF($S167=MesCiclo,InicioCiclo,$S167+MOD(2-WEEKDAY($S167),7))+6),1,IF(N($W167)&gt;0,AVERAGEIFS($Y$5:$Y$1000,$U$5:$U$1000,ROW(),$V$5:$V$1000,"Sub"),$Y167)))</f>
        <v/>
      </c>
      <c r="AD167" s="62">
        <f>IF($V167="","",IF(AND(ISNUMBER($G167),$G167&lt;=IF($S167=MesCiclo,InicioCiclo,$S167+MOD(2-WEEKDAY($S167),7))+13),1,IF(N($W167)&gt;0,AVERAGEIFS($Z$5:$Z$1000,$U$5:$U$1000,ROW(),$V$5:$V$1000,"Sub"),$Z167)))</f>
        <v/>
      </c>
      <c r="AE167" s="62">
        <f>IF($V167="","",IF(AND(ISNUMBER($G167),$G167&lt;=IF($S167=MesCiclo,InicioCiclo,$S167+MOD(2-WEEKDAY($S167),7))+20),1,IF(N($W167)&gt;0,AVERAGEIFS($AA$5:$AA$1000,$U$5:$U$1000,ROW(),$V$5:$V$1000,"Sub"),$AA167)))</f>
        <v/>
      </c>
      <c r="AF167" s="62">
        <f>IF($V167="","",IF(AND(ISNUMBER($G167),$G167&lt;=IF($S167=MesCiclo,InicioCiclo,$S167+MOD(2-WEEKDAY($S167),7))+27),1,IF(N($W167)&gt;0,AVERAGEIFS($AB$5:$AB$1000,$U$5:$U$1000,ROW(),$V$5:$V$1000,"Sub"),$AB167)))</f>
        <v/>
      </c>
      <c r="AG167" s="62">
        <f>IF($V167&lt;&gt;"Macro","",IF(COUNTIFS($S$5:$S$1000,$S167,$V$5:$V$1000,"Macro",$H$5:$H$1000,"&gt;0")=0,1/COUNTIFS($S$5:$S$1000,$S167,$V$5:$V$1000,"Macro"),IF(AND(ISNUMBER($H167),N($H167)&gt;0),$H167,SUMIFS($H$5:$H$1000,$S$5:$S$1000,$S167,$V$5:$V$1000,"Macro")/COUNTIFS($S$5:$S$1000,$S167,$V$5:$V$1000,"Macro",$H$5:$H$1000,"&gt;0"))/(COUNTIFS($S$5:$S$1000,$S167,$V$5:$V$1000,"Macro")*SUMIFS($H$5:$H$1000,$S$5:$S$1000,$S167,$V$5:$V$1000,"Macro")/COUNTIFS($S$5:$S$1000,$S167,$V$5:$V$1000,"Macro",$H$5:$H$1000,"&gt;0"))))</f>
        <v/>
      </c>
      <c r="AH167" s="62" t="n"/>
      <c r="AI167" s="62" t="n"/>
      <c r="AJ167" s="62" t="n"/>
      <c r="AK167" s="62" t="n"/>
      <c r="AL167" s="62">
        <f>IF(LEFT($C167,11)="[Jefatura] ",IFERROR(MATCH("Asistente Técnico de Riesgo|"&amp;MID($C167,12,500),rDname_ADM,0),0),"")</f>
        <v/>
      </c>
      <c r="AM167" s="62">
        <f>IF(N($AL167)&gt;0,INDEX(rIni_ADM,$AL167),IF(ISNUMBER($E167),$E167,""))</f>
        <v/>
      </c>
      <c r="AN167" s="62">
        <f>IF(N($AL167)&gt;0,INDEX(rLim_ADM,$AL167),IF(ISNUMBER($F167),$F167,""))</f>
        <v/>
      </c>
    </row>
    <row r="168">
      <c r="A168" s="56">
        <f>IF(NOT((COUNTA($B168:$D168)+COUNTA($G168:$L168)+COUNTA($Q168))&gt;0),"",IF($V168="Macro",COUNTIFS($V$5:$V168,"Macro",$S$5:$S168,$S168),IF(N($U168)=0,"?",COUNTIFS(INDEX($V$5:$V$1000,1):INDEX($V$5:$V$1000,$U168-4),"Macro",INDEX($S$5:$S$1000,1):INDEX($S$5:$S$1000,$U168-4),INDEX($S$5:$S$1000,$U168-4))&amp;"."&amp;COUNTIFS($U$5:$U168,$U168,$V$5:$V168,"Sub"))))</f>
        <v/>
      </c>
      <c r="B168" s="57" t="n"/>
      <c r="C168" s="58" t="n"/>
      <c r="D168" s="58" t="n"/>
      <c r="E168" s="59">
        <f>IF(N($AL168)&gt;0,INDEX(rIni_ADM,$AL168),"")</f>
        <v/>
      </c>
      <c r="F168" s="59">
        <f>IF(N($AL168)&gt;0,INDEX(rLim_ADM,$AL168),"")</f>
        <v/>
      </c>
      <c r="G168" s="59" t="n"/>
      <c r="H168" s="60" t="n"/>
      <c r="I168" s="60" t="n"/>
      <c r="J168" s="60" t="n"/>
      <c r="K168" s="60" t="n"/>
      <c r="L168" s="60" t="n"/>
      <c r="M168" s="61">
        <f>IF(NOT((COUNTA($B168:$D168)+COUNTA($G168:$L168)+COUNTA($Q168))&gt;0),"",IF($V168="Sub",IFERROR($X168/INDEX($W$5:$W$1000,$U168-4),""),IF(ISNUMBER($G168),1,IF(N($W168)&gt;0,AVERAGEIFS($X$5:$X$1000,$U$5:$U$1000,ROW(),$V$5:$V$1000,"Sub"),$X168))))</f>
        <v/>
      </c>
      <c r="N168" s="56">
        <f>IF(OR($M168="",$V168="Sub"),"",IF($M168&gt;=1,"Completado",IF($M168&gt;0,"En curso","Pendiente")))</f>
        <v/>
      </c>
      <c r="O168" s="56">
        <f>IF(OR(NOT((COUNTA($B168:$D168)+COUNTA($G168:$L168)+COUNTA($Q168))&gt;0),$V168="Sub"),"",IF(ISNUMBER($G168),IF(AND(ISNUMBER($AN168),$G168&gt;$AN168),"Cumplida con "&amp;($G168-$AN168)&amp;IF($G168-$AN168=1," día"," días")&amp;" de retraso","Cumplida"),IF(N($M168)&gt;=1,"Cumplida",IF(NOT(ISNUMBER($AN168)),"Sin fecha límite",IF($AN168&lt;FechaRef,"Vencida hace "&amp;(FechaRef-$AN168)&amp;IF(FechaRef-$AN168=1," día"," días"),IF($AN168=FechaRef,"Vence hoy",IF($AN168-FechaRef&lt;=DiasAlerta,"Vence en "&amp;($AN168-FechaRef)&amp;IF($AN168-FechaRef=1," día"," días"),"En plazo")))))))</f>
        <v/>
      </c>
      <c r="P168" s="62" t="n"/>
      <c r="Q168" s="58" t="n"/>
      <c r="R168" s="63">
        <f>IF(NOT((COUNTA($B168:$D168)+COUNTA($G168:$L168)+COUNTA($Q168))&gt;0),"",IF((IF($C168="","Falta el nombre de la actividad"&amp;" · ","")&amp;IF(AND($V168="Sub",N($U168)=0),"Subactividad sin macroactividad arriba"&amp;" · ","")&amp;IF($AM168="","Sin fecha de inicio"&amp;" · ","")&amp;IF($AN168="","Sin fecha límite"&amp;" · ","")&amp;IF(AND(LEFT($C168,11)="[Jefatura] ",N($AL168)=0),"No se encuentra en la hoja de la jefatura (elíjala de nuevo en la lista)"&amp;" · ","")&amp;IF(OR(AND($E168&lt;&gt;"",NOT(ISNUMBER($E168))),AND($F168&lt;&gt;"",NOT(ISNUMBER($F168))),AND($G168&lt;&gt;"",NOT(ISNUMBER($G168)))),"Fecha no válida"&amp;" · ","")&amp;IF(AND(ISNUMBER($AM168),ISNUMBER($AN168),$AM168&gt;$AN168),"Inicio posterior a fecha límite"&amp;" · ","")&amp;IF(AND($V168="Macro",$H168&lt;&gt;"",OR(NOT(ISNUMBER($H168)),$H168&lt;0,$H168&gt;1)),"Peso fuera de rango"&amp;" · ","")&amp;IF(AND($V168="Sub",$H168&lt;&gt;""),"Las subactividades no llevan peso (valen igual dentro de su macroactividad)"&amp;" · ","")&amp;IF(AND(N($W168)&gt;0,COUNT($I168:$L168)&gt;0),"Con subactividades: deje vacías las semanas (se calculan solas)"&amp;" · ","")&amp;IF((COUNTIF($I168:$L168,"&gt;1")+COUNTIF($I168:$L168,"&lt;0")+COUNTA($I168:$L168)-COUNT($I168:$L168))&gt;0,"Avance fuera de rango 0-100%"&amp;" · ","")&amp;IF(OR(AND($J168&lt;&gt;"",$J168&lt;$I168),AND($K168&lt;&gt;"",$K168&lt;MAX($I168:$J168)),AND($L168&lt;&gt;"",$L168&lt;MAX($I168:$K168))),"Avance semanal decreciente"&amp;" · ","")&amp;IF(AND(ISNUMBER($AN168),$AN168&lt;FechaRef,IF($V168="Sub",N($X168),N($M168))&lt;1),"Vencida"&amp;" · ","")&amp;IF(AND(ObsObligatoria="Sí",ISNUMBER($AN168),$AN168&lt;FechaRef,IF($V168="Sub",N($X168),N($M168))&lt;1,$Q168=""),"Vencida sin observación"&amp;" · ",""))="","✔ OK","⚠ "&amp;LEFT(IF($C168="","Falta el nombre de la actividad"&amp;" · ","")&amp;IF(AND($V168="Sub",N($U168)=0),"Subactividad sin macroactividad arriba"&amp;" · ","")&amp;IF($AM168="","Sin fecha de inicio"&amp;" · ","")&amp;IF($AN168="","Sin fecha límite"&amp;" · ","")&amp;IF(AND(LEFT($C168,11)="[Jefatura] ",N($AL168)=0),"No se encuentra en la hoja de la jefatura (elíjala de nuevo en la lista)"&amp;" · ","")&amp;IF(OR(AND($E168&lt;&gt;"",NOT(ISNUMBER($E168))),AND($F168&lt;&gt;"",NOT(ISNUMBER($F168))),AND($G168&lt;&gt;"",NOT(ISNUMBER($G168)))),"Fecha no válida"&amp;" · ","")&amp;IF(AND(ISNUMBER($AM168),ISNUMBER($AN168),$AM168&gt;$AN168),"Inicio posterior a fecha límite"&amp;" · ","")&amp;IF(AND($V168="Macro",$H168&lt;&gt;"",OR(NOT(ISNUMBER($H168)),$H168&lt;0,$H168&gt;1)),"Peso fuera de rango"&amp;" · ","")&amp;IF(AND($V168="Sub",$H168&lt;&gt;""),"Las subactividades no llevan peso (valen igual dentro de su macroactividad)"&amp;" · ","")&amp;IF(AND(N($W168)&gt;0,COUNT($I168:$L168)&gt;0),"Con subactividades: deje vacías las semanas (se calculan solas)"&amp;" · ","")&amp;IF((COUNTIF($I168:$L168,"&gt;1")+COUNTIF($I168:$L168,"&lt;0")+COUNTA($I168:$L168)-COUNT($I168:$L168))&gt;0,"Avance fuera de rango 0-100%"&amp;" · ","")&amp;IF(OR(AND($J168&lt;&gt;"",$J168&lt;$I168),AND($K168&lt;&gt;"",$K168&lt;MAX($I168:$J168)),AND($L168&lt;&gt;"",$L168&lt;MAX($I168:$K168))),"Avance semanal decreciente"&amp;" · ","")&amp;IF(AND(ISNUMBER($AN168),$AN168&lt;FechaRef,IF($V168="Sub",N($X168),N($M168))&lt;1),"Vencida"&amp;" · ","")&amp;IF(AND(ObsObligatoria="Sí",ISNUMBER($AN168),$AN168&lt;FechaRef,IF($V168="Sub",N($X168),N($M168))&lt;1,$Q168=""),"Vencida sin observación"&amp;" · ",""),LEN(IF($C168="","Falta el nombre de la actividad"&amp;" · ","")&amp;IF(AND($V168="Sub",N($U168)=0),"Subactividad sin macroactividad arriba"&amp;" · ","")&amp;IF($AM168="","Sin fecha de inicio"&amp;" · ","")&amp;IF($AN168="","Sin fecha límite"&amp;" · ","")&amp;IF(AND(LEFT($C168,11)="[Jefatura] ",N($AL168)=0),"No se encuentra en la hoja de la jefatura (elíjala de nuevo en la lista)"&amp;" · ","")&amp;IF(OR(AND($E168&lt;&gt;"",NOT(ISNUMBER($E168))),AND($F168&lt;&gt;"",NOT(ISNUMBER($F168))),AND($G168&lt;&gt;"",NOT(ISNUMBER($G168)))),"Fecha no válida"&amp;" · ","")&amp;IF(AND(ISNUMBER($AM168),ISNUMBER($AN168),$AM168&gt;$AN168),"Inicio posterior a fecha límite"&amp;" · ","")&amp;IF(AND($V168="Macro",$H168&lt;&gt;"",OR(NOT(ISNUMBER($H168)),$H168&lt;0,$H168&gt;1)),"Peso fuera de rango"&amp;" · ","")&amp;IF(AND($V168="Sub",$H168&lt;&gt;""),"Las subactividades no llevan peso (valen igual dentro de su macroactividad)"&amp;" · ","")&amp;IF(AND(N($W168)&gt;0,COUNT($I168:$L168)&gt;0),"Con subactividades: deje vacías las semanas (se calculan solas)"&amp;" · ","")&amp;IF((COUNTIF($I168:$L168,"&gt;1")+COUNTIF($I168:$L168,"&lt;0")+COUNTA($I168:$L168)-COUNT($I168:$L168))&gt;0,"Avance fuera de rango 0-100%"&amp;" · ","")&amp;IF(OR(AND($J168&lt;&gt;"",$J168&lt;$I168),AND($K168&lt;&gt;"",$K168&lt;MAX($I168:$J168)),AND($L168&lt;&gt;"",$L168&lt;MAX($I168:$K168))),"Avance semanal decreciente"&amp;" · ","")&amp;IF(AND(ISNUMBER($AN168),$AN168&lt;FechaRef,IF($V168="Sub",N($X168),N($M168))&lt;1),"Vencida"&amp;" · ","")&amp;IF(AND(ObsObligatoria="Sí",ISNUMBER($AN168),$AN168&lt;FechaRef,IF($V168="Sub",N($X168),N($M168))&lt;1,$Q168=""),"Vencida sin observación"&amp;" · ",""))-3)))</f>
        <v/>
      </c>
      <c r="S168" s="64">
        <f>IF(NOT((COUNTA($B168:$D168)+COUNTA($G168:$L168)+COUNTA($Q168))&gt;0),"",IF(AND($V168="Sub",N($U168)&gt;0),IF(ISNUMBER(INDEX($AM$5:$AM$1000,$U168-4)),DATE(YEAR(INDEX($AM$5:$AM$1000,$U168-4)),MONTH(INDEX($AM$5:$AM$1000,$U168-4)),1),IF(ISNUMBER(INDEX($AN$5:$AN$1000,$U168-4)),DATE(YEAR(INDEX($AN$5:$AN$1000,$U168-4)),MONTH(INDEX($AN$5:$AN$1000,$U168-4)),1),MesCiclo)),IF(ISNUMBER($AM168),DATE(YEAR($AM168),MONTH($AM168),1),IF(ISNUMBER($AN168),DATE(YEAR($AN168),MONTH($AN168),1),MesCiclo))))</f>
        <v/>
      </c>
      <c r="T168" s="62">
        <f>IF(OR($S168="",$S168&lt;&gt;MesCiclo,$V168&lt;&gt;"Macro"),"",COUNTIFS($S$5:$S168,MesCiclo,$V$5:$V168,"Macro"))</f>
        <v/>
      </c>
      <c r="U168" s="62">
        <f>IF($V168="","",IF($V168="Macro",ROW(),IFERROR(LOOKUP(2,1/($V$5:$V168="Macro"),ROW($V$5:$V168)),0)))</f>
        <v/>
      </c>
      <c r="V168" s="62">
        <f>IF(NOT((COUNTA($B168:$D168)+COUNTA($G168:$L168)+COUNTA($Q168))&gt;0),"",IF($B168="Subactividad","Sub","Macro"))</f>
        <v/>
      </c>
      <c r="W168" s="62">
        <f>IF($V168="Macro",COUNTIFS($U$5:$U$1000,ROW(),$V$5:$V$1000,"Sub"),"")</f>
        <v/>
      </c>
      <c r="X168" s="62">
        <f>IF($V168="","",IF(ISNUMBER($G168),1,IFERROR(LOOKUP(2,1/($I168:$L168&lt;&gt;""),$I168:$L168),0)))</f>
        <v/>
      </c>
      <c r="Y168" s="62">
        <f>IF($V168="","",IF(AND(ISNUMBER($G168),$G168&lt;=IF($S168=MesCiclo,InicioCiclo,$S168+MOD(2-WEEKDAY($S168),7))+6),1,IF(ISNUMBER($I168),$I168,0)))</f>
        <v/>
      </c>
      <c r="Z168" s="62">
        <f>IF($V168="","",IF(AND(ISNUMBER($G168),$G168&lt;=IF($S168=MesCiclo,InicioCiclo,$S168+MOD(2-WEEKDAY($S168),7))+13),1,IF(ISNUMBER($J168),$J168,$Y168)))</f>
        <v/>
      </c>
      <c r="AA168" s="62">
        <f>IF($V168="","",IF(AND(ISNUMBER($G168),$G168&lt;=IF($S168=MesCiclo,InicioCiclo,$S168+MOD(2-WEEKDAY($S168),7))+20),1,IF(ISNUMBER($K168),$K168,$Z168)))</f>
        <v/>
      </c>
      <c r="AB168" s="62">
        <f>IF($V168="","",IF(AND(ISNUMBER($G168),$G168&lt;=IF($S168=MesCiclo,InicioCiclo,$S168+MOD(2-WEEKDAY($S168),7))+27),1,IF(ISNUMBER($L168),$L168,$AA168)))</f>
        <v/>
      </c>
      <c r="AC168" s="62">
        <f>IF($V168="","",IF(AND(ISNUMBER($G168),$G168&lt;=IF($S168=MesCiclo,InicioCiclo,$S168+MOD(2-WEEKDAY($S168),7))+6),1,IF(N($W168)&gt;0,AVERAGEIFS($Y$5:$Y$1000,$U$5:$U$1000,ROW(),$V$5:$V$1000,"Sub"),$Y168)))</f>
        <v/>
      </c>
      <c r="AD168" s="62">
        <f>IF($V168="","",IF(AND(ISNUMBER($G168),$G168&lt;=IF($S168=MesCiclo,InicioCiclo,$S168+MOD(2-WEEKDAY($S168),7))+13),1,IF(N($W168)&gt;0,AVERAGEIFS($Z$5:$Z$1000,$U$5:$U$1000,ROW(),$V$5:$V$1000,"Sub"),$Z168)))</f>
        <v/>
      </c>
      <c r="AE168" s="62">
        <f>IF($V168="","",IF(AND(ISNUMBER($G168),$G168&lt;=IF($S168=MesCiclo,InicioCiclo,$S168+MOD(2-WEEKDAY($S168),7))+20),1,IF(N($W168)&gt;0,AVERAGEIFS($AA$5:$AA$1000,$U$5:$U$1000,ROW(),$V$5:$V$1000,"Sub"),$AA168)))</f>
        <v/>
      </c>
      <c r="AF168" s="62">
        <f>IF($V168="","",IF(AND(ISNUMBER($G168),$G168&lt;=IF($S168=MesCiclo,InicioCiclo,$S168+MOD(2-WEEKDAY($S168),7))+27),1,IF(N($W168)&gt;0,AVERAGEIFS($AB$5:$AB$1000,$U$5:$U$1000,ROW(),$V$5:$V$1000,"Sub"),$AB168)))</f>
        <v/>
      </c>
      <c r="AG168" s="62">
        <f>IF($V168&lt;&gt;"Macro","",IF(COUNTIFS($S$5:$S$1000,$S168,$V$5:$V$1000,"Macro",$H$5:$H$1000,"&gt;0")=0,1/COUNTIFS($S$5:$S$1000,$S168,$V$5:$V$1000,"Macro"),IF(AND(ISNUMBER($H168),N($H168)&gt;0),$H168,SUMIFS($H$5:$H$1000,$S$5:$S$1000,$S168,$V$5:$V$1000,"Macro")/COUNTIFS($S$5:$S$1000,$S168,$V$5:$V$1000,"Macro",$H$5:$H$1000,"&gt;0"))/(COUNTIFS($S$5:$S$1000,$S168,$V$5:$V$1000,"Macro")*SUMIFS($H$5:$H$1000,$S$5:$S$1000,$S168,$V$5:$V$1000,"Macro")/COUNTIFS($S$5:$S$1000,$S168,$V$5:$V$1000,"Macro",$H$5:$H$1000,"&gt;0"))))</f>
        <v/>
      </c>
      <c r="AH168" s="62" t="n"/>
      <c r="AI168" s="62" t="n"/>
      <c r="AJ168" s="62" t="n"/>
      <c r="AK168" s="62" t="n"/>
      <c r="AL168" s="62">
        <f>IF(LEFT($C168,11)="[Jefatura] ",IFERROR(MATCH("Asistente Técnico de Riesgo|"&amp;MID($C168,12,500),rDname_ADM,0),0),"")</f>
        <v/>
      </c>
      <c r="AM168" s="62">
        <f>IF(N($AL168)&gt;0,INDEX(rIni_ADM,$AL168),IF(ISNUMBER($E168),$E168,""))</f>
        <v/>
      </c>
      <c r="AN168" s="62">
        <f>IF(N($AL168)&gt;0,INDEX(rLim_ADM,$AL168),IF(ISNUMBER($F168),$F168,""))</f>
        <v/>
      </c>
    </row>
    <row r="169">
      <c r="A169" s="56">
        <f>IF(NOT((COUNTA($B169:$D169)+COUNTA($G169:$L169)+COUNTA($Q169))&gt;0),"",IF($V169="Macro",COUNTIFS($V$5:$V169,"Macro",$S$5:$S169,$S169),IF(N($U169)=0,"?",COUNTIFS(INDEX($V$5:$V$1000,1):INDEX($V$5:$V$1000,$U169-4),"Macro",INDEX($S$5:$S$1000,1):INDEX($S$5:$S$1000,$U169-4),INDEX($S$5:$S$1000,$U169-4))&amp;"."&amp;COUNTIFS($U$5:$U169,$U169,$V$5:$V169,"Sub"))))</f>
        <v/>
      </c>
      <c r="B169" s="57" t="n"/>
      <c r="C169" s="58" t="n"/>
      <c r="D169" s="58" t="n"/>
      <c r="E169" s="59">
        <f>IF(N($AL169)&gt;0,INDEX(rIni_ADM,$AL169),"")</f>
        <v/>
      </c>
      <c r="F169" s="59">
        <f>IF(N($AL169)&gt;0,INDEX(rLim_ADM,$AL169),"")</f>
        <v/>
      </c>
      <c r="G169" s="59" t="n"/>
      <c r="H169" s="60" t="n"/>
      <c r="I169" s="60" t="n"/>
      <c r="J169" s="60" t="n"/>
      <c r="K169" s="60" t="n"/>
      <c r="L169" s="60" t="n"/>
      <c r="M169" s="61">
        <f>IF(NOT((COUNTA($B169:$D169)+COUNTA($G169:$L169)+COUNTA($Q169))&gt;0),"",IF($V169="Sub",IFERROR($X169/INDEX($W$5:$W$1000,$U169-4),""),IF(ISNUMBER($G169),1,IF(N($W169)&gt;0,AVERAGEIFS($X$5:$X$1000,$U$5:$U$1000,ROW(),$V$5:$V$1000,"Sub"),$X169))))</f>
        <v/>
      </c>
      <c r="N169" s="56">
        <f>IF(OR($M169="",$V169="Sub"),"",IF($M169&gt;=1,"Completado",IF($M169&gt;0,"En curso","Pendiente")))</f>
        <v/>
      </c>
      <c r="O169" s="56">
        <f>IF(OR(NOT((COUNTA($B169:$D169)+COUNTA($G169:$L169)+COUNTA($Q169))&gt;0),$V169="Sub"),"",IF(ISNUMBER($G169),IF(AND(ISNUMBER($AN169),$G169&gt;$AN169),"Cumplida con "&amp;($G169-$AN169)&amp;IF($G169-$AN169=1," día"," días")&amp;" de retraso","Cumplida"),IF(N($M169)&gt;=1,"Cumplida",IF(NOT(ISNUMBER($AN169)),"Sin fecha límite",IF($AN169&lt;FechaRef,"Vencida hace "&amp;(FechaRef-$AN169)&amp;IF(FechaRef-$AN169=1," día"," días"),IF($AN169=FechaRef,"Vence hoy",IF($AN169-FechaRef&lt;=DiasAlerta,"Vence en "&amp;($AN169-FechaRef)&amp;IF($AN169-FechaRef=1," día"," días"),"En plazo")))))))</f>
        <v/>
      </c>
      <c r="P169" s="62" t="n"/>
      <c r="Q169" s="58" t="n"/>
      <c r="R169" s="63">
        <f>IF(NOT((COUNTA($B169:$D169)+COUNTA($G169:$L169)+COUNTA($Q169))&gt;0),"",IF((IF($C169="","Falta el nombre de la actividad"&amp;" · ","")&amp;IF(AND($V169="Sub",N($U169)=0),"Subactividad sin macroactividad arriba"&amp;" · ","")&amp;IF($AM169="","Sin fecha de inicio"&amp;" · ","")&amp;IF($AN169="","Sin fecha límite"&amp;" · ","")&amp;IF(AND(LEFT($C169,11)="[Jefatura] ",N($AL169)=0),"No se encuentra en la hoja de la jefatura (elíjala de nuevo en la lista)"&amp;" · ","")&amp;IF(OR(AND($E169&lt;&gt;"",NOT(ISNUMBER($E169))),AND($F169&lt;&gt;"",NOT(ISNUMBER($F169))),AND($G169&lt;&gt;"",NOT(ISNUMBER($G169)))),"Fecha no válida"&amp;" · ","")&amp;IF(AND(ISNUMBER($AM169),ISNUMBER($AN169),$AM169&gt;$AN169),"Inicio posterior a fecha límite"&amp;" · ","")&amp;IF(AND($V169="Macro",$H169&lt;&gt;"",OR(NOT(ISNUMBER($H169)),$H169&lt;0,$H169&gt;1)),"Peso fuera de rango"&amp;" · ","")&amp;IF(AND($V169="Sub",$H169&lt;&gt;""),"Las subactividades no llevan peso (valen igual dentro de su macroactividad)"&amp;" · ","")&amp;IF(AND(N($W169)&gt;0,COUNT($I169:$L169)&gt;0),"Con subactividades: deje vacías las semanas (se calculan solas)"&amp;" · ","")&amp;IF((COUNTIF($I169:$L169,"&gt;1")+COUNTIF($I169:$L169,"&lt;0")+COUNTA($I169:$L169)-COUNT($I169:$L169))&gt;0,"Avance fuera de rango 0-100%"&amp;" · ","")&amp;IF(OR(AND($J169&lt;&gt;"",$J169&lt;$I169),AND($K169&lt;&gt;"",$K169&lt;MAX($I169:$J169)),AND($L169&lt;&gt;"",$L169&lt;MAX($I169:$K169))),"Avance semanal decreciente"&amp;" · ","")&amp;IF(AND(ISNUMBER($AN169),$AN169&lt;FechaRef,IF($V169="Sub",N($X169),N($M169))&lt;1),"Vencida"&amp;" · ","")&amp;IF(AND(ObsObligatoria="Sí",ISNUMBER($AN169),$AN169&lt;FechaRef,IF($V169="Sub",N($X169),N($M169))&lt;1,$Q169=""),"Vencida sin observación"&amp;" · ",""))="","✔ OK","⚠ "&amp;LEFT(IF($C169="","Falta el nombre de la actividad"&amp;" · ","")&amp;IF(AND($V169="Sub",N($U169)=0),"Subactividad sin macroactividad arriba"&amp;" · ","")&amp;IF($AM169="","Sin fecha de inicio"&amp;" · ","")&amp;IF($AN169="","Sin fecha límite"&amp;" · ","")&amp;IF(AND(LEFT($C169,11)="[Jefatura] ",N($AL169)=0),"No se encuentra en la hoja de la jefatura (elíjala de nuevo en la lista)"&amp;" · ","")&amp;IF(OR(AND($E169&lt;&gt;"",NOT(ISNUMBER($E169))),AND($F169&lt;&gt;"",NOT(ISNUMBER($F169))),AND($G169&lt;&gt;"",NOT(ISNUMBER($G169)))),"Fecha no válida"&amp;" · ","")&amp;IF(AND(ISNUMBER($AM169),ISNUMBER($AN169),$AM169&gt;$AN169),"Inicio posterior a fecha límite"&amp;" · ","")&amp;IF(AND($V169="Macro",$H169&lt;&gt;"",OR(NOT(ISNUMBER($H169)),$H169&lt;0,$H169&gt;1)),"Peso fuera de rango"&amp;" · ","")&amp;IF(AND($V169="Sub",$H169&lt;&gt;""),"Las subactividades no llevan peso (valen igual dentro de su macroactividad)"&amp;" · ","")&amp;IF(AND(N($W169)&gt;0,COUNT($I169:$L169)&gt;0),"Con subactividades: deje vacías las semanas (se calculan solas)"&amp;" · ","")&amp;IF((COUNTIF($I169:$L169,"&gt;1")+COUNTIF($I169:$L169,"&lt;0")+COUNTA($I169:$L169)-COUNT($I169:$L169))&gt;0,"Avance fuera de rango 0-100%"&amp;" · ","")&amp;IF(OR(AND($J169&lt;&gt;"",$J169&lt;$I169),AND($K169&lt;&gt;"",$K169&lt;MAX($I169:$J169)),AND($L169&lt;&gt;"",$L169&lt;MAX($I169:$K169))),"Avance semanal decreciente"&amp;" · ","")&amp;IF(AND(ISNUMBER($AN169),$AN169&lt;FechaRef,IF($V169="Sub",N($X169),N($M169))&lt;1),"Vencida"&amp;" · ","")&amp;IF(AND(ObsObligatoria="Sí",ISNUMBER($AN169),$AN169&lt;FechaRef,IF($V169="Sub",N($X169),N($M169))&lt;1,$Q169=""),"Vencida sin observación"&amp;" · ",""),LEN(IF($C169="","Falta el nombre de la actividad"&amp;" · ","")&amp;IF(AND($V169="Sub",N($U169)=0),"Subactividad sin macroactividad arriba"&amp;" · ","")&amp;IF($AM169="","Sin fecha de inicio"&amp;" · ","")&amp;IF($AN169="","Sin fecha límite"&amp;" · ","")&amp;IF(AND(LEFT($C169,11)="[Jefatura] ",N($AL169)=0),"No se encuentra en la hoja de la jefatura (elíjala de nuevo en la lista)"&amp;" · ","")&amp;IF(OR(AND($E169&lt;&gt;"",NOT(ISNUMBER($E169))),AND($F169&lt;&gt;"",NOT(ISNUMBER($F169))),AND($G169&lt;&gt;"",NOT(ISNUMBER($G169)))),"Fecha no válida"&amp;" · ","")&amp;IF(AND(ISNUMBER($AM169),ISNUMBER($AN169),$AM169&gt;$AN169),"Inicio posterior a fecha límite"&amp;" · ","")&amp;IF(AND($V169="Macro",$H169&lt;&gt;"",OR(NOT(ISNUMBER($H169)),$H169&lt;0,$H169&gt;1)),"Peso fuera de rango"&amp;" · ","")&amp;IF(AND($V169="Sub",$H169&lt;&gt;""),"Las subactividades no llevan peso (valen igual dentro de su macroactividad)"&amp;" · ","")&amp;IF(AND(N($W169)&gt;0,COUNT($I169:$L169)&gt;0),"Con subactividades: deje vacías las semanas (se calculan solas)"&amp;" · ","")&amp;IF((COUNTIF($I169:$L169,"&gt;1")+COUNTIF($I169:$L169,"&lt;0")+COUNTA($I169:$L169)-COUNT($I169:$L169))&gt;0,"Avance fuera de rango 0-100%"&amp;" · ","")&amp;IF(OR(AND($J169&lt;&gt;"",$J169&lt;$I169),AND($K169&lt;&gt;"",$K169&lt;MAX($I169:$J169)),AND($L169&lt;&gt;"",$L169&lt;MAX($I169:$K169))),"Avance semanal decreciente"&amp;" · ","")&amp;IF(AND(ISNUMBER($AN169),$AN169&lt;FechaRef,IF($V169="Sub",N($X169),N($M169))&lt;1),"Vencida"&amp;" · ","")&amp;IF(AND(ObsObligatoria="Sí",ISNUMBER($AN169),$AN169&lt;FechaRef,IF($V169="Sub",N($X169),N($M169))&lt;1,$Q169=""),"Vencida sin observación"&amp;" · ",""))-3)))</f>
        <v/>
      </c>
      <c r="S169" s="64">
        <f>IF(NOT((COUNTA($B169:$D169)+COUNTA($G169:$L169)+COUNTA($Q169))&gt;0),"",IF(AND($V169="Sub",N($U169)&gt;0),IF(ISNUMBER(INDEX($AM$5:$AM$1000,$U169-4)),DATE(YEAR(INDEX($AM$5:$AM$1000,$U169-4)),MONTH(INDEX($AM$5:$AM$1000,$U169-4)),1),IF(ISNUMBER(INDEX($AN$5:$AN$1000,$U169-4)),DATE(YEAR(INDEX($AN$5:$AN$1000,$U169-4)),MONTH(INDEX($AN$5:$AN$1000,$U169-4)),1),MesCiclo)),IF(ISNUMBER($AM169),DATE(YEAR($AM169),MONTH($AM169),1),IF(ISNUMBER($AN169),DATE(YEAR($AN169),MONTH($AN169),1),MesCiclo))))</f>
        <v/>
      </c>
      <c r="T169" s="62">
        <f>IF(OR($S169="",$S169&lt;&gt;MesCiclo,$V169&lt;&gt;"Macro"),"",COUNTIFS($S$5:$S169,MesCiclo,$V$5:$V169,"Macro"))</f>
        <v/>
      </c>
      <c r="U169" s="62">
        <f>IF($V169="","",IF($V169="Macro",ROW(),IFERROR(LOOKUP(2,1/($V$5:$V169="Macro"),ROW($V$5:$V169)),0)))</f>
        <v/>
      </c>
      <c r="V169" s="62">
        <f>IF(NOT((COUNTA($B169:$D169)+COUNTA($G169:$L169)+COUNTA($Q169))&gt;0),"",IF($B169="Subactividad","Sub","Macro"))</f>
        <v/>
      </c>
      <c r="W169" s="62">
        <f>IF($V169="Macro",COUNTIFS($U$5:$U$1000,ROW(),$V$5:$V$1000,"Sub"),"")</f>
        <v/>
      </c>
      <c r="X169" s="62">
        <f>IF($V169="","",IF(ISNUMBER($G169),1,IFERROR(LOOKUP(2,1/($I169:$L169&lt;&gt;""),$I169:$L169),0)))</f>
        <v/>
      </c>
      <c r="Y169" s="62">
        <f>IF($V169="","",IF(AND(ISNUMBER($G169),$G169&lt;=IF($S169=MesCiclo,InicioCiclo,$S169+MOD(2-WEEKDAY($S169),7))+6),1,IF(ISNUMBER($I169),$I169,0)))</f>
        <v/>
      </c>
      <c r="Z169" s="62">
        <f>IF($V169="","",IF(AND(ISNUMBER($G169),$G169&lt;=IF($S169=MesCiclo,InicioCiclo,$S169+MOD(2-WEEKDAY($S169),7))+13),1,IF(ISNUMBER($J169),$J169,$Y169)))</f>
        <v/>
      </c>
      <c r="AA169" s="62">
        <f>IF($V169="","",IF(AND(ISNUMBER($G169),$G169&lt;=IF($S169=MesCiclo,InicioCiclo,$S169+MOD(2-WEEKDAY($S169),7))+20),1,IF(ISNUMBER($K169),$K169,$Z169)))</f>
        <v/>
      </c>
      <c r="AB169" s="62">
        <f>IF($V169="","",IF(AND(ISNUMBER($G169),$G169&lt;=IF($S169=MesCiclo,InicioCiclo,$S169+MOD(2-WEEKDAY($S169),7))+27),1,IF(ISNUMBER($L169),$L169,$AA169)))</f>
        <v/>
      </c>
      <c r="AC169" s="62">
        <f>IF($V169="","",IF(AND(ISNUMBER($G169),$G169&lt;=IF($S169=MesCiclo,InicioCiclo,$S169+MOD(2-WEEKDAY($S169),7))+6),1,IF(N($W169)&gt;0,AVERAGEIFS($Y$5:$Y$1000,$U$5:$U$1000,ROW(),$V$5:$V$1000,"Sub"),$Y169)))</f>
        <v/>
      </c>
      <c r="AD169" s="62">
        <f>IF($V169="","",IF(AND(ISNUMBER($G169),$G169&lt;=IF($S169=MesCiclo,InicioCiclo,$S169+MOD(2-WEEKDAY($S169),7))+13),1,IF(N($W169)&gt;0,AVERAGEIFS($Z$5:$Z$1000,$U$5:$U$1000,ROW(),$V$5:$V$1000,"Sub"),$Z169)))</f>
        <v/>
      </c>
      <c r="AE169" s="62">
        <f>IF($V169="","",IF(AND(ISNUMBER($G169),$G169&lt;=IF($S169=MesCiclo,InicioCiclo,$S169+MOD(2-WEEKDAY($S169),7))+20),1,IF(N($W169)&gt;0,AVERAGEIFS($AA$5:$AA$1000,$U$5:$U$1000,ROW(),$V$5:$V$1000,"Sub"),$AA169)))</f>
        <v/>
      </c>
      <c r="AF169" s="62">
        <f>IF($V169="","",IF(AND(ISNUMBER($G169),$G169&lt;=IF($S169=MesCiclo,InicioCiclo,$S169+MOD(2-WEEKDAY($S169),7))+27),1,IF(N($W169)&gt;0,AVERAGEIFS($AB$5:$AB$1000,$U$5:$U$1000,ROW(),$V$5:$V$1000,"Sub"),$AB169)))</f>
        <v/>
      </c>
      <c r="AG169" s="62">
        <f>IF($V169&lt;&gt;"Macro","",IF(COUNTIFS($S$5:$S$1000,$S169,$V$5:$V$1000,"Macro",$H$5:$H$1000,"&gt;0")=0,1/COUNTIFS($S$5:$S$1000,$S169,$V$5:$V$1000,"Macro"),IF(AND(ISNUMBER($H169),N($H169)&gt;0),$H169,SUMIFS($H$5:$H$1000,$S$5:$S$1000,$S169,$V$5:$V$1000,"Macro")/COUNTIFS($S$5:$S$1000,$S169,$V$5:$V$1000,"Macro",$H$5:$H$1000,"&gt;0"))/(COUNTIFS($S$5:$S$1000,$S169,$V$5:$V$1000,"Macro")*SUMIFS($H$5:$H$1000,$S$5:$S$1000,$S169,$V$5:$V$1000,"Macro")/COUNTIFS($S$5:$S$1000,$S169,$V$5:$V$1000,"Macro",$H$5:$H$1000,"&gt;0"))))</f>
        <v/>
      </c>
      <c r="AH169" s="62" t="n"/>
      <c r="AI169" s="62" t="n"/>
      <c r="AJ169" s="62" t="n"/>
      <c r="AK169" s="62" t="n"/>
      <c r="AL169" s="62">
        <f>IF(LEFT($C169,11)="[Jefatura] ",IFERROR(MATCH("Asistente Técnico de Riesgo|"&amp;MID($C169,12,500),rDname_ADM,0),0),"")</f>
        <v/>
      </c>
      <c r="AM169" s="62">
        <f>IF(N($AL169)&gt;0,INDEX(rIni_ADM,$AL169),IF(ISNUMBER($E169),$E169,""))</f>
        <v/>
      </c>
      <c r="AN169" s="62">
        <f>IF(N($AL169)&gt;0,INDEX(rLim_ADM,$AL169),IF(ISNUMBER($F169),$F169,""))</f>
        <v/>
      </c>
    </row>
    <row r="170">
      <c r="A170" s="56">
        <f>IF(NOT((COUNTA($B170:$D170)+COUNTA($G170:$L170)+COUNTA($Q170))&gt;0),"",IF($V170="Macro",COUNTIFS($V$5:$V170,"Macro",$S$5:$S170,$S170),IF(N($U170)=0,"?",COUNTIFS(INDEX($V$5:$V$1000,1):INDEX($V$5:$V$1000,$U170-4),"Macro",INDEX($S$5:$S$1000,1):INDEX($S$5:$S$1000,$U170-4),INDEX($S$5:$S$1000,$U170-4))&amp;"."&amp;COUNTIFS($U$5:$U170,$U170,$V$5:$V170,"Sub"))))</f>
        <v/>
      </c>
      <c r="B170" s="57" t="n"/>
      <c r="C170" s="58" t="n"/>
      <c r="D170" s="58" t="n"/>
      <c r="E170" s="59">
        <f>IF(N($AL170)&gt;0,INDEX(rIni_ADM,$AL170),"")</f>
        <v/>
      </c>
      <c r="F170" s="59">
        <f>IF(N($AL170)&gt;0,INDEX(rLim_ADM,$AL170),"")</f>
        <v/>
      </c>
      <c r="G170" s="59" t="n"/>
      <c r="H170" s="60" t="n"/>
      <c r="I170" s="60" t="n"/>
      <c r="J170" s="60" t="n"/>
      <c r="K170" s="60" t="n"/>
      <c r="L170" s="60" t="n"/>
      <c r="M170" s="61">
        <f>IF(NOT((COUNTA($B170:$D170)+COUNTA($G170:$L170)+COUNTA($Q170))&gt;0),"",IF($V170="Sub",IFERROR($X170/INDEX($W$5:$W$1000,$U170-4),""),IF(ISNUMBER($G170),1,IF(N($W170)&gt;0,AVERAGEIFS($X$5:$X$1000,$U$5:$U$1000,ROW(),$V$5:$V$1000,"Sub"),$X170))))</f>
        <v/>
      </c>
      <c r="N170" s="56">
        <f>IF(OR($M170="",$V170="Sub"),"",IF($M170&gt;=1,"Completado",IF($M170&gt;0,"En curso","Pendiente")))</f>
        <v/>
      </c>
      <c r="O170" s="56">
        <f>IF(OR(NOT((COUNTA($B170:$D170)+COUNTA($G170:$L170)+COUNTA($Q170))&gt;0),$V170="Sub"),"",IF(ISNUMBER($G170),IF(AND(ISNUMBER($AN170),$G170&gt;$AN170),"Cumplida con "&amp;($G170-$AN170)&amp;IF($G170-$AN170=1," día"," días")&amp;" de retraso","Cumplida"),IF(N($M170)&gt;=1,"Cumplida",IF(NOT(ISNUMBER($AN170)),"Sin fecha límite",IF($AN170&lt;FechaRef,"Vencida hace "&amp;(FechaRef-$AN170)&amp;IF(FechaRef-$AN170=1," día"," días"),IF($AN170=FechaRef,"Vence hoy",IF($AN170-FechaRef&lt;=DiasAlerta,"Vence en "&amp;($AN170-FechaRef)&amp;IF($AN170-FechaRef=1," día"," días"),"En plazo")))))))</f>
        <v/>
      </c>
      <c r="P170" s="62" t="n"/>
      <c r="Q170" s="58" t="n"/>
      <c r="R170" s="63">
        <f>IF(NOT((COUNTA($B170:$D170)+COUNTA($G170:$L170)+COUNTA($Q170))&gt;0),"",IF((IF($C170="","Falta el nombre de la actividad"&amp;" · ","")&amp;IF(AND($V170="Sub",N($U170)=0),"Subactividad sin macroactividad arriba"&amp;" · ","")&amp;IF($AM170="","Sin fecha de inicio"&amp;" · ","")&amp;IF($AN170="","Sin fecha límite"&amp;" · ","")&amp;IF(AND(LEFT($C170,11)="[Jefatura] ",N($AL170)=0),"No se encuentra en la hoja de la jefatura (elíjala de nuevo en la lista)"&amp;" · ","")&amp;IF(OR(AND($E170&lt;&gt;"",NOT(ISNUMBER($E170))),AND($F170&lt;&gt;"",NOT(ISNUMBER($F170))),AND($G170&lt;&gt;"",NOT(ISNUMBER($G170)))),"Fecha no válida"&amp;" · ","")&amp;IF(AND(ISNUMBER($AM170),ISNUMBER($AN170),$AM170&gt;$AN170),"Inicio posterior a fecha límite"&amp;" · ","")&amp;IF(AND($V170="Macro",$H170&lt;&gt;"",OR(NOT(ISNUMBER($H170)),$H170&lt;0,$H170&gt;1)),"Peso fuera de rango"&amp;" · ","")&amp;IF(AND($V170="Sub",$H170&lt;&gt;""),"Las subactividades no llevan peso (valen igual dentro de su macroactividad)"&amp;" · ","")&amp;IF(AND(N($W170)&gt;0,COUNT($I170:$L170)&gt;0),"Con subactividades: deje vacías las semanas (se calculan solas)"&amp;" · ","")&amp;IF((COUNTIF($I170:$L170,"&gt;1")+COUNTIF($I170:$L170,"&lt;0")+COUNTA($I170:$L170)-COUNT($I170:$L170))&gt;0,"Avance fuera de rango 0-100%"&amp;" · ","")&amp;IF(OR(AND($J170&lt;&gt;"",$J170&lt;$I170),AND($K170&lt;&gt;"",$K170&lt;MAX($I170:$J170)),AND($L170&lt;&gt;"",$L170&lt;MAX($I170:$K170))),"Avance semanal decreciente"&amp;" · ","")&amp;IF(AND(ISNUMBER($AN170),$AN170&lt;FechaRef,IF($V170="Sub",N($X170),N($M170))&lt;1),"Vencida"&amp;" · ","")&amp;IF(AND(ObsObligatoria="Sí",ISNUMBER($AN170),$AN170&lt;FechaRef,IF($V170="Sub",N($X170),N($M170))&lt;1,$Q170=""),"Vencida sin observación"&amp;" · ",""))="","✔ OK","⚠ "&amp;LEFT(IF($C170="","Falta el nombre de la actividad"&amp;" · ","")&amp;IF(AND($V170="Sub",N($U170)=0),"Subactividad sin macroactividad arriba"&amp;" · ","")&amp;IF($AM170="","Sin fecha de inicio"&amp;" · ","")&amp;IF($AN170="","Sin fecha límite"&amp;" · ","")&amp;IF(AND(LEFT($C170,11)="[Jefatura] ",N($AL170)=0),"No se encuentra en la hoja de la jefatura (elíjala de nuevo en la lista)"&amp;" · ","")&amp;IF(OR(AND($E170&lt;&gt;"",NOT(ISNUMBER($E170))),AND($F170&lt;&gt;"",NOT(ISNUMBER($F170))),AND($G170&lt;&gt;"",NOT(ISNUMBER($G170)))),"Fecha no válida"&amp;" · ","")&amp;IF(AND(ISNUMBER($AM170),ISNUMBER($AN170),$AM170&gt;$AN170),"Inicio posterior a fecha límite"&amp;" · ","")&amp;IF(AND($V170="Macro",$H170&lt;&gt;"",OR(NOT(ISNUMBER($H170)),$H170&lt;0,$H170&gt;1)),"Peso fuera de rango"&amp;" · ","")&amp;IF(AND($V170="Sub",$H170&lt;&gt;""),"Las subactividades no llevan peso (valen igual dentro de su macroactividad)"&amp;" · ","")&amp;IF(AND(N($W170)&gt;0,COUNT($I170:$L170)&gt;0),"Con subactividades: deje vacías las semanas (se calculan solas)"&amp;" · ","")&amp;IF((COUNTIF($I170:$L170,"&gt;1")+COUNTIF($I170:$L170,"&lt;0")+COUNTA($I170:$L170)-COUNT($I170:$L170))&gt;0,"Avance fuera de rango 0-100%"&amp;" · ","")&amp;IF(OR(AND($J170&lt;&gt;"",$J170&lt;$I170),AND($K170&lt;&gt;"",$K170&lt;MAX($I170:$J170)),AND($L170&lt;&gt;"",$L170&lt;MAX($I170:$K170))),"Avance semanal decreciente"&amp;" · ","")&amp;IF(AND(ISNUMBER($AN170),$AN170&lt;FechaRef,IF($V170="Sub",N($X170),N($M170))&lt;1),"Vencida"&amp;" · ","")&amp;IF(AND(ObsObligatoria="Sí",ISNUMBER($AN170),$AN170&lt;FechaRef,IF($V170="Sub",N($X170),N($M170))&lt;1,$Q170=""),"Vencida sin observación"&amp;" · ",""),LEN(IF($C170="","Falta el nombre de la actividad"&amp;" · ","")&amp;IF(AND($V170="Sub",N($U170)=0),"Subactividad sin macroactividad arriba"&amp;" · ","")&amp;IF($AM170="","Sin fecha de inicio"&amp;" · ","")&amp;IF($AN170="","Sin fecha límite"&amp;" · ","")&amp;IF(AND(LEFT($C170,11)="[Jefatura] ",N($AL170)=0),"No se encuentra en la hoja de la jefatura (elíjala de nuevo en la lista)"&amp;" · ","")&amp;IF(OR(AND($E170&lt;&gt;"",NOT(ISNUMBER($E170))),AND($F170&lt;&gt;"",NOT(ISNUMBER($F170))),AND($G170&lt;&gt;"",NOT(ISNUMBER($G170)))),"Fecha no válida"&amp;" · ","")&amp;IF(AND(ISNUMBER($AM170),ISNUMBER($AN170),$AM170&gt;$AN170),"Inicio posterior a fecha límite"&amp;" · ","")&amp;IF(AND($V170="Macro",$H170&lt;&gt;"",OR(NOT(ISNUMBER($H170)),$H170&lt;0,$H170&gt;1)),"Peso fuera de rango"&amp;" · ","")&amp;IF(AND($V170="Sub",$H170&lt;&gt;""),"Las subactividades no llevan peso (valen igual dentro de su macroactividad)"&amp;" · ","")&amp;IF(AND(N($W170)&gt;0,COUNT($I170:$L170)&gt;0),"Con subactividades: deje vacías las semanas (se calculan solas)"&amp;" · ","")&amp;IF((COUNTIF($I170:$L170,"&gt;1")+COUNTIF($I170:$L170,"&lt;0")+COUNTA($I170:$L170)-COUNT($I170:$L170))&gt;0,"Avance fuera de rango 0-100%"&amp;" · ","")&amp;IF(OR(AND($J170&lt;&gt;"",$J170&lt;$I170),AND($K170&lt;&gt;"",$K170&lt;MAX($I170:$J170)),AND($L170&lt;&gt;"",$L170&lt;MAX($I170:$K170))),"Avance semanal decreciente"&amp;" · ","")&amp;IF(AND(ISNUMBER($AN170),$AN170&lt;FechaRef,IF($V170="Sub",N($X170),N($M170))&lt;1),"Vencida"&amp;" · ","")&amp;IF(AND(ObsObligatoria="Sí",ISNUMBER($AN170),$AN170&lt;FechaRef,IF($V170="Sub",N($X170),N($M170))&lt;1,$Q170=""),"Vencida sin observación"&amp;" · ",""))-3)))</f>
        <v/>
      </c>
      <c r="S170" s="64">
        <f>IF(NOT((COUNTA($B170:$D170)+COUNTA($G170:$L170)+COUNTA($Q170))&gt;0),"",IF(AND($V170="Sub",N($U170)&gt;0),IF(ISNUMBER(INDEX($AM$5:$AM$1000,$U170-4)),DATE(YEAR(INDEX($AM$5:$AM$1000,$U170-4)),MONTH(INDEX($AM$5:$AM$1000,$U170-4)),1),IF(ISNUMBER(INDEX($AN$5:$AN$1000,$U170-4)),DATE(YEAR(INDEX($AN$5:$AN$1000,$U170-4)),MONTH(INDEX($AN$5:$AN$1000,$U170-4)),1),MesCiclo)),IF(ISNUMBER($AM170),DATE(YEAR($AM170),MONTH($AM170),1),IF(ISNUMBER($AN170),DATE(YEAR($AN170),MONTH($AN170),1),MesCiclo))))</f>
        <v/>
      </c>
      <c r="T170" s="62">
        <f>IF(OR($S170="",$S170&lt;&gt;MesCiclo,$V170&lt;&gt;"Macro"),"",COUNTIFS($S$5:$S170,MesCiclo,$V$5:$V170,"Macro"))</f>
        <v/>
      </c>
      <c r="U170" s="62">
        <f>IF($V170="","",IF($V170="Macro",ROW(),IFERROR(LOOKUP(2,1/($V$5:$V170="Macro"),ROW($V$5:$V170)),0)))</f>
        <v/>
      </c>
      <c r="V170" s="62">
        <f>IF(NOT((COUNTA($B170:$D170)+COUNTA($G170:$L170)+COUNTA($Q170))&gt;0),"",IF($B170="Subactividad","Sub","Macro"))</f>
        <v/>
      </c>
      <c r="W170" s="62">
        <f>IF($V170="Macro",COUNTIFS($U$5:$U$1000,ROW(),$V$5:$V$1000,"Sub"),"")</f>
        <v/>
      </c>
      <c r="X170" s="62">
        <f>IF($V170="","",IF(ISNUMBER($G170),1,IFERROR(LOOKUP(2,1/($I170:$L170&lt;&gt;""),$I170:$L170),0)))</f>
        <v/>
      </c>
      <c r="Y170" s="62">
        <f>IF($V170="","",IF(AND(ISNUMBER($G170),$G170&lt;=IF($S170=MesCiclo,InicioCiclo,$S170+MOD(2-WEEKDAY($S170),7))+6),1,IF(ISNUMBER($I170),$I170,0)))</f>
        <v/>
      </c>
      <c r="Z170" s="62">
        <f>IF($V170="","",IF(AND(ISNUMBER($G170),$G170&lt;=IF($S170=MesCiclo,InicioCiclo,$S170+MOD(2-WEEKDAY($S170),7))+13),1,IF(ISNUMBER($J170),$J170,$Y170)))</f>
        <v/>
      </c>
      <c r="AA170" s="62">
        <f>IF($V170="","",IF(AND(ISNUMBER($G170),$G170&lt;=IF($S170=MesCiclo,InicioCiclo,$S170+MOD(2-WEEKDAY($S170),7))+20),1,IF(ISNUMBER($K170),$K170,$Z170)))</f>
        <v/>
      </c>
      <c r="AB170" s="62">
        <f>IF($V170="","",IF(AND(ISNUMBER($G170),$G170&lt;=IF($S170=MesCiclo,InicioCiclo,$S170+MOD(2-WEEKDAY($S170),7))+27),1,IF(ISNUMBER($L170),$L170,$AA170)))</f>
        <v/>
      </c>
      <c r="AC170" s="62">
        <f>IF($V170="","",IF(AND(ISNUMBER($G170),$G170&lt;=IF($S170=MesCiclo,InicioCiclo,$S170+MOD(2-WEEKDAY($S170),7))+6),1,IF(N($W170)&gt;0,AVERAGEIFS($Y$5:$Y$1000,$U$5:$U$1000,ROW(),$V$5:$V$1000,"Sub"),$Y170)))</f>
        <v/>
      </c>
      <c r="AD170" s="62">
        <f>IF($V170="","",IF(AND(ISNUMBER($G170),$G170&lt;=IF($S170=MesCiclo,InicioCiclo,$S170+MOD(2-WEEKDAY($S170),7))+13),1,IF(N($W170)&gt;0,AVERAGEIFS($Z$5:$Z$1000,$U$5:$U$1000,ROW(),$V$5:$V$1000,"Sub"),$Z170)))</f>
        <v/>
      </c>
      <c r="AE170" s="62">
        <f>IF($V170="","",IF(AND(ISNUMBER($G170),$G170&lt;=IF($S170=MesCiclo,InicioCiclo,$S170+MOD(2-WEEKDAY($S170),7))+20),1,IF(N($W170)&gt;0,AVERAGEIFS($AA$5:$AA$1000,$U$5:$U$1000,ROW(),$V$5:$V$1000,"Sub"),$AA170)))</f>
        <v/>
      </c>
      <c r="AF170" s="62">
        <f>IF($V170="","",IF(AND(ISNUMBER($G170),$G170&lt;=IF($S170=MesCiclo,InicioCiclo,$S170+MOD(2-WEEKDAY($S170),7))+27),1,IF(N($W170)&gt;0,AVERAGEIFS($AB$5:$AB$1000,$U$5:$U$1000,ROW(),$V$5:$V$1000,"Sub"),$AB170)))</f>
        <v/>
      </c>
      <c r="AG170" s="62">
        <f>IF($V170&lt;&gt;"Macro","",IF(COUNTIFS($S$5:$S$1000,$S170,$V$5:$V$1000,"Macro",$H$5:$H$1000,"&gt;0")=0,1/COUNTIFS($S$5:$S$1000,$S170,$V$5:$V$1000,"Macro"),IF(AND(ISNUMBER($H170),N($H170)&gt;0),$H170,SUMIFS($H$5:$H$1000,$S$5:$S$1000,$S170,$V$5:$V$1000,"Macro")/COUNTIFS($S$5:$S$1000,$S170,$V$5:$V$1000,"Macro",$H$5:$H$1000,"&gt;0"))/(COUNTIFS($S$5:$S$1000,$S170,$V$5:$V$1000,"Macro")*SUMIFS($H$5:$H$1000,$S$5:$S$1000,$S170,$V$5:$V$1000,"Macro")/COUNTIFS($S$5:$S$1000,$S170,$V$5:$V$1000,"Macro",$H$5:$H$1000,"&gt;0"))))</f>
        <v/>
      </c>
      <c r="AH170" s="62" t="n"/>
      <c r="AI170" s="62" t="n"/>
      <c r="AJ170" s="62" t="n"/>
      <c r="AK170" s="62" t="n"/>
      <c r="AL170" s="62">
        <f>IF(LEFT($C170,11)="[Jefatura] ",IFERROR(MATCH("Asistente Técnico de Riesgo|"&amp;MID($C170,12,500),rDname_ADM,0),0),"")</f>
        <v/>
      </c>
      <c r="AM170" s="62">
        <f>IF(N($AL170)&gt;0,INDEX(rIni_ADM,$AL170),IF(ISNUMBER($E170),$E170,""))</f>
        <v/>
      </c>
      <c r="AN170" s="62">
        <f>IF(N($AL170)&gt;0,INDEX(rLim_ADM,$AL170),IF(ISNUMBER($F170),$F170,""))</f>
        <v/>
      </c>
    </row>
    <row r="171">
      <c r="A171" s="56">
        <f>IF(NOT((COUNTA($B171:$D171)+COUNTA($G171:$L171)+COUNTA($Q171))&gt;0),"",IF($V171="Macro",COUNTIFS($V$5:$V171,"Macro",$S$5:$S171,$S171),IF(N($U171)=0,"?",COUNTIFS(INDEX($V$5:$V$1000,1):INDEX($V$5:$V$1000,$U171-4),"Macro",INDEX($S$5:$S$1000,1):INDEX($S$5:$S$1000,$U171-4),INDEX($S$5:$S$1000,$U171-4))&amp;"."&amp;COUNTIFS($U$5:$U171,$U171,$V$5:$V171,"Sub"))))</f>
        <v/>
      </c>
      <c r="B171" s="57" t="n"/>
      <c r="C171" s="58" t="n"/>
      <c r="D171" s="58" t="n"/>
      <c r="E171" s="59">
        <f>IF(N($AL171)&gt;0,INDEX(rIni_ADM,$AL171),"")</f>
        <v/>
      </c>
      <c r="F171" s="59">
        <f>IF(N($AL171)&gt;0,INDEX(rLim_ADM,$AL171),"")</f>
        <v/>
      </c>
      <c r="G171" s="59" t="n"/>
      <c r="H171" s="60" t="n"/>
      <c r="I171" s="60" t="n"/>
      <c r="J171" s="60" t="n"/>
      <c r="K171" s="60" t="n"/>
      <c r="L171" s="60" t="n"/>
      <c r="M171" s="61">
        <f>IF(NOT((COUNTA($B171:$D171)+COUNTA($G171:$L171)+COUNTA($Q171))&gt;0),"",IF($V171="Sub",IFERROR($X171/INDEX($W$5:$W$1000,$U171-4),""),IF(ISNUMBER($G171),1,IF(N($W171)&gt;0,AVERAGEIFS($X$5:$X$1000,$U$5:$U$1000,ROW(),$V$5:$V$1000,"Sub"),$X171))))</f>
        <v/>
      </c>
      <c r="N171" s="56">
        <f>IF(OR($M171="",$V171="Sub"),"",IF($M171&gt;=1,"Completado",IF($M171&gt;0,"En curso","Pendiente")))</f>
        <v/>
      </c>
      <c r="O171" s="56">
        <f>IF(OR(NOT((COUNTA($B171:$D171)+COUNTA($G171:$L171)+COUNTA($Q171))&gt;0),$V171="Sub"),"",IF(ISNUMBER($G171),IF(AND(ISNUMBER($AN171),$G171&gt;$AN171),"Cumplida con "&amp;($G171-$AN171)&amp;IF($G171-$AN171=1," día"," días")&amp;" de retraso","Cumplida"),IF(N($M171)&gt;=1,"Cumplida",IF(NOT(ISNUMBER($AN171)),"Sin fecha límite",IF($AN171&lt;FechaRef,"Vencida hace "&amp;(FechaRef-$AN171)&amp;IF(FechaRef-$AN171=1," día"," días"),IF($AN171=FechaRef,"Vence hoy",IF($AN171-FechaRef&lt;=DiasAlerta,"Vence en "&amp;($AN171-FechaRef)&amp;IF($AN171-FechaRef=1," día"," días"),"En plazo")))))))</f>
        <v/>
      </c>
      <c r="P171" s="62" t="n"/>
      <c r="Q171" s="58" t="n"/>
      <c r="R171" s="63">
        <f>IF(NOT((COUNTA($B171:$D171)+COUNTA($G171:$L171)+COUNTA($Q171))&gt;0),"",IF((IF($C171="","Falta el nombre de la actividad"&amp;" · ","")&amp;IF(AND($V171="Sub",N($U171)=0),"Subactividad sin macroactividad arriba"&amp;" · ","")&amp;IF($AM171="","Sin fecha de inicio"&amp;" · ","")&amp;IF($AN171="","Sin fecha límite"&amp;" · ","")&amp;IF(AND(LEFT($C171,11)="[Jefatura] ",N($AL171)=0),"No se encuentra en la hoja de la jefatura (elíjala de nuevo en la lista)"&amp;" · ","")&amp;IF(OR(AND($E171&lt;&gt;"",NOT(ISNUMBER($E171))),AND($F171&lt;&gt;"",NOT(ISNUMBER($F171))),AND($G171&lt;&gt;"",NOT(ISNUMBER($G171)))),"Fecha no válida"&amp;" · ","")&amp;IF(AND(ISNUMBER($AM171),ISNUMBER($AN171),$AM171&gt;$AN171),"Inicio posterior a fecha límite"&amp;" · ","")&amp;IF(AND($V171="Macro",$H171&lt;&gt;"",OR(NOT(ISNUMBER($H171)),$H171&lt;0,$H171&gt;1)),"Peso fuera de rango"&amp;" · ","")&amp;IF(AND($V171="Sub",$H171&lt;&gt;""),"Las subactividades no llevan peso (valen igual dentro de su macroactividad)"&amp;" · ","")&amp;IF(AND(N($W171)&gt;0,COUNT($I171:$L171)&gt;0),"Con subactividades: deje vacías las semanas (se calculan solas)"&amp;" · ","")&amp;IF((COUNTIF($I171:$L171,"&gt;1")+COUNTIF($I171:$L171,"&lt;0")+COUNTA($I171:$L171)-COUNT($I171:$L171))&gt;0,"Avance fuera de rango 0-100%"&amp;" · ","")&amp;IF(OR(AND($J171&lt;&gt;"",$J171&lt;$I171),AND($K171&lt;&gt;"",$K171&lt;MAX($I171:$J171)),AND($L171&lt;&gt;"",$L171&lt;MAX($I171:$K171))),"Avance semanal decreciente"&amp;" · ","")&amp;IF(AND(ISNUMBER($AN171),$AN171&lt;FechaRef,IF($V171="Sub",N($X171),N($M171))&lt;1),"Vencida"&amp;" · ","")&amp;IF(AND(ObsObligatoria="Sí",ISNUMBER($AN171),$AN171&lt;FechaRef,IF($V171="Sub",N($X171),N($M171))&lt;1,$Q171=""),"Vencida sin observación"&amp;" · ",""))="","✔ OK","⚠ "&amp;LEFT(IF($C171="","Falta el nombre de la actividad"&amp;" · ","")&amp;IF(AND($V171="Sub",N($U171)=0),"Subactividad sin macroactividad arriba"&amp;" · ","")&amp;IF($AM171="","Sin fecha de inicio"&amp;" · ","")&amp;IF($AN171="","Sin fecha límite"&amp;" · ","")&amp;IF(AND(LEFT($C171,11)="[Jefatura] ",N($AL171)=0),"No se encuentra en la hoja de la jefatura (elíjala de nuevo en la lista)"&amp;" · ","")&amp;IF(OR(AND($E171&lt;&gt;"",NOT(ISNUMBER($E171))),AND($F171&lt;&gt;"",NOT(ISNUMBER($F171))),AND($G171&lt;&gt;"",NOT(ISNUMBER($G171)))),"Fecha no válida"&amp;" · ","")&amp;IF(AND(ISNUMBER($AM171),ISNUMBER($AN171),$AM171&gt;$AN171),"Inicio posterior a fecha límite"&amp;" · ","")&amp;IF(AND($V171="Macro",$H171&lt;&gt;"",OR(NOT(ISNUMBER($H171)),$H171&lt;0,$H171&gt;1)),"Peso fuera de rango"&amp;" · ","")&amp;IF(AND($V171="Sub",$H171&lt;&gt;""),"Las subactividades no llevan peso (valen igual dentro de su macroactividad)"&amp;" · ","")&amp;IF(AND(N($W171)&gt;0,COUNT($I171:$L171)&gt;0),"Con subactividades: deje vacías las semanas (se calculan solas)"&amp;" · ","")&amp;IF((COUNTIF($I171:$L171,"&gt;1")+COUNTIF($I171:$L171,"&lt;0")+COUNTA($I171:$L171)-COUNT($I171:$L171))&gt;0,"Avance fuera de rango 0-100%"&amp;" · ","")&amp;IF(OR(AND($J171&lt;&gt;"",$J171&lt;$I171),AND($K171&lt;&gt;"",$K171&lt;MAX($I171:$J171)),AND($L171&lt;&gt;"",$L171&lt;MAX($I171:$K171))),"Avance semanal decreciente"&amp;" · ","")&amp;IF(AND(ISNUMBER($AN171),$AN171&lt;FechaRef,IF($V171="Sub",N($X171),N($M171))&lt;1),"Vencida"&amp;" · ","")&amp;IF(AND(ObsObligatoria="Sí",ISNUMBER($AN171),$AN171&lt;FechaRef,IF($V171="Sub",N($X171),N($M171))&lt;1,$Q171=""),"Vencida sin observación"&amp;" · ",""),LEN(IF($C171="","Falta el nombre de la actividad"&amp;" · ","")&amp;IF(AND($V171="Sub",N($U171)=0),"Subactividad sin macroactividad arriba"&amp;" · ","")&amp;IF($AM171="","Sin fecha de inicio"&amp;" · ","")&amp;IF($AN171="","Sin fecha límite"&amp;" · ","")&amp;IF(AND(LEFT($C171,11)="[Jefatura] ",N($AL171)=0),"No se encuentra en la hoja de la jefatura (elíjala de nuevo en la lista)"&amp;" · ","")&amp;IF(OR(AND($E171&lt;&gt;"",NOT(ISNUMBER($E171))),AND($F171&lt;&gt;"",NOT(ISNUMBER($F171))),AND($G171&lt;&gt;"",NOT(ISNUMBER($G171)))),"Fecha no válida"&amp;" · ","")&amp;IF(AND(ISNUMBER($AM171),ISNUMBER($AN171),$AM171&gt;$AN171),"Inicio posterior a fecha límite"&amp;" · ","")&amp;IF(AND($V171="Macro",$H171&lt;&gt;"",OR(NOT(ISNUMBER($H171)),$H171&lt;0,$H171&gt;1)),"Peso fuera de rango"&amp;" · ","")&amp;IF(AND($V171="Sub",$H171&lt;&gt;""),"Las subactividades no llevan peso (valen igual dentro de su macroactividad)"&amp;" · ","")&amp;IF(AND(N($W171)&gt;0,COUNT($I171:$L171)&gt;0),"Con subactividades: deje vacías las semanas (se calculan solas)"&amp;" · ","")&amp;IF((COUNTIF($I171:$L171,"&gt;1")+COUNTIF($I171:$L171,"&lt;0")+COUNTA($I171:$L171)-COUNT($I171:$L171))&gt;0,"Avance fuera de rango 0-100%"&amp;" · ","")&amp;IF(OR(AND($J171&lt;&gt;"",$J171&lt;$I171),AND($K171&lt;&gt;"",$K171&lt;MAX($I171:$J171)),AND($L171&lt;&gt;"",$L171&lt;MAX($I171:$K171))),"Avance semanal decreciente"&amp;" · ","")&amp;IF(AND(ISNUMBER($AN171),$AN171&lt;FechaRef,IF($V171="Sub",N($X171),N($M171))&lt;1),"Vencida"&amp;" · ","")&amp;IF(AND(ObsObligatoria="Sí",ISNUMBER($AN171),$AN171&lt;FechaRef,IF($V171="Sub",N($X171),N($M171))&lt;1,$Q171=""),"Vencida sin observación"&amp;" · ",""))-3)))</f>
        <v/>
      </c>
      <c r="S171" s="64">
        <f>IF(NOT((COUNTA($B171:$D171)+COUNTA($G171:$L171)+COUNTA($Q171))&gt;0),"",IF(AND($V171="Sub",N($U171)&gt;0),IF(ISNUMBER(INDEX($AM$5:$AM$1000,$U171-4)),DATE(YEAR(INDEX($AM$5:$AM$1000,$U171-4)),MONTH(INDEX($AM$5:$AM$1000,$U171-4)),1),IF(ISNUMBER(INDEX($AN$5:$AN$1000,$U171-4)),DATE(YEAR(INDEX($AN$5:$AN$1000,$U171-4)),MONTH(INDEX($AN$5:$AN$1000,$U171-4)),1),MesCiclo)),IF(ISNUMBER($AM171),DATE(YEAR($AM171),MONTH($AM171),1),IF(ISNUMBER($AN171),DATE(YEAR($AN171),MONTH($AN171),1),MesCiclo))))</f>
        <v/>
      </c>
      <c r="T171" s="62">
        <f>IF(OR($S171="",$S171&lt;&gt;MesCiclo,$V171&lt;&gt;"Macro"),"",COUNTIFS($S$5:$S171,MesCiclo,$V$5:$V171,"Macro"))</f>
        <v/>
      </c>
      <c r="U171" s="62">
        <f>IF($V171="","",IF($V171="Macro",ROW(),IFERROR(LOOKUP(2,1/($V$5:$V171="Macro"),ROW($V$5:$V171)),0)))</f>
        <v/>
      </c>
      <c r="V171" s="62">
        <f>IF(NOT((COUNTA($B171:$D171)+COUNTA($G171:$L171)+COUNTA($Q171))&gt;0),"",IF($B171="Subactividad","Sub","Macro"))</f>
        <v/>
      </c>
      <c r="W171" s="62">
        <f>IF($V171="Macro",COUNTIFS($U$5:$U$1000,ROW(),$V$5:$V$1000,"Sub"),"")</f>
        <v/>
      </c>
      <c r="X171" s="62">
        <f>IF($V171="","",IF(ISNUMBER($G171),1,IFERROR(LOOKUP(2,1/($I171:$L171&lt;&gt;""),$I171:$L171),0)))</f>
        <v/>
      </c>
      <c r="Y171" s="62">
        <f>IF($V171="","",IF(AND(ISNUMBER($G171),$G171&lt;=IF($S171=MesCiclo,InicioCiclo,$S171+MOD(2-WEEKDAY($S171),7))+6),1,IF(ISNUMBER($I171),$I171,0)))</f>
        <v/>
      </c>
      <c r="Z171" s="62">
        <f>IF($V171="","",IF(AND(ISNUMBER($G171),$G171&lt;=IF($S171=MesCiclo,InicioCiclo,$S171+MOD(2-WEEKDAY($S171),7))+13),1,IF(ISNUMBER($J171),$J171,$Y171)))</f>
        <v/>
      </c>
      <c r="AA171" s="62">
        <f>IF($V171="","",IF(AND(ISNUMBER($G171),$G171&lt;=IF($S171=MesCiclo,InicioCiclo,$S171+MOD(2-WEEKDAY($S171),7))+20),1,IF(ISNUMBER($K171),$K171,$Z171)))</f>
        <v/>
      </c>
      <c r="AB171" s="62">
        <f>IF($V171="","",IF(AND(ISNUMBER($G171),$G171&lt;=IF($S171=MesCiclo,InicioCiclo,$S171+MOD(2-WEEKDAY($S171),7))+27),1,IF(ISNUMBER($L171),$L171,$AA171)))</f>
        <v/>
      </c>
      <c r="AC171" s="62">
        <f>IF($V171="","",IF(AND(ISNUMBER($G171),$G171&lt;=IF($S171=MesCiclo,InicioCiclo,$S171+MOD(2-WEEKDAY($S171),7))+6),1,IF(N($W171)&gt;0,AVERAGEIFS($Y$5:$Y$1000,$U$5:$U$1000,ROW(),$V$5:$V$1000,"Sub"),$Y171)))</f>
        <v/>
      </c>
      <c r="AD171" s="62">
        <f>IF($V171="","",IF(AND(ISNUMBER($G171),$G171&lt;=IF($S171=MesCiclo,InicioCiclo,$S171+MOD(2-WEEKDAY($S171),7))+13),1,IF(N($W171)&gt;0,AVERAGEIFS($Z$5:$Z$1000,$U$5:$U$1000,ROW(),$V$5:$V$1000,"Sub"),$Z171)))</f>
        <v/>
      </c>
      <c r="AE171" s="62">
        <f>IF($V171="","",IF(AND(ISNUMBER($G171),$G171&lt;=IF($S171=MesCiclo,InicioCiclo,$S171+MOD(2-WEEKDAY($S171),7))+20),1,IF(N($W171)&gt;0,AVERAGEIFS($AA$5:$AA$1000,$U$5:$U$1000,ROW(),$V$5:$V$1000,"Sub"),$AA171)))</f>
        <v/>
      </c>
      <c r="AF171" s="62">
        <f>IF($V171="","",IF(AND(ISNUMBER($G171),$G171&lt;=IF($S171=MesCiclo,InicioCiclo,$S171+MOD(2-WEEKDAY($S171),7))+27),1,IF(N($W171)&gt;0,AVERAGEIFS($AB$5:$AB$1000,$U$5:$U$1000,ROW(),$V$5:$V$1000,"Sub"),$AB171)))</f>
        <v/>
      </c>
      <c r="AG171" s="62">
        <f>IF($V171&lt;&gt;"Macro","",IF(COUNTIFS($S$5:$S$1000,$S171,$V$5:$V$1000,"Macro",$H$5:$H$1000,"&gt;0")=0,1/COUNTIFS($S$5:$S$1000,$S171,$V$5:$V$1000,"Macro"),IF(AND(ISNUMBER($H171),N($H171)&gt;0),$H171,SUMIFS($H$5:$H$1000,$S$5:$S$1000,$S171,$V$5:$V$1000,"Macro")/COUNTIFS($S$5:$S$1000,$S171,$V$5:$V$1000,"Macro",$H$5:$H$1000,"&gt;0"))/(COUNTIFS($S$5:$S$1000,$S171,$V$5:$V$1000,"Macro")*SUMIFS($H$5:$H$1000,$S$5:$S$1000,$S171,$V$5:$V$1000,"Macro")/COUNTIFS($S$5:$S$1000,$S171,$V$5:$V$1000,"Macro",$H$5:$H$1000,"&gt;0"))))</f>
        <v/>
      </c>
      <c r="AH171" s="62" t="n"/>
      <c r="AI171" s="62" t="n"/>
      <c r="AJ171" s="62" t="n"/>
      <c r="AK171" s="62" t="n"/>
      <c r="AL171" s="62">
        <f>IF(LEFT($C171,11)="[Jefatura] ",IFERROR(MATCH("Asistente Técnico de Riesgo|"&amp;MID($C171,12,500),rDname_ADM,0),0),"")</f>
        <v/>
      </c>
      <c r="AM171" s="62">
        <f>IF(N($AL171)&gt;0,INDEX(rIni_ADM,$AL171),IF(ISNUMBER($E171),$E171,""))</f>
        <v/>
      </c>
      <c r="AN171" s="62">
        <f>IF(N($AL171)&gt;0,INDEX(rLim_ADM,$AL171),IF(ISNUMBER($F171),$F171,""))</f>
        <v/>
      </c>
    </row>
    <row r="172">
      <c r="A172" s="56">
        <f>IF(NOT((COUNTA($B172:$D172)+COUNTA($G172:$L172)+COUNTA($Q172))&gt;0),"",IF($V172="Macro",COUNTIFS($V$5:$V172,"Macro",$S$5:$S172,$S172),IF(N($U172)=0,"?",COUNTIFS(INDEX($V$5:$V$1000,1):INDEX($V$5:$V$1000,$U172-4),"Macro",INDEX($S$5:$S$1000,1):INDEX($S$5:$S$1000,$U172-4),INDEX($S$5:$S$1000,$U172-4))&amp;"."&amp;COUNTIFS($U$5:$U172,$U172,$V$5:$V172,"Sub"))))</f>
        <v/>
      </c>
      <c r="B172" s="57" t="n"/>
      <c r="C172" s="58" t="n"/>
      <c r="D172" s="58" t="n"/>
      <c r="E172" s="59">
        <f>IF(N($AL172)&gt;0,INDEX(rIni_ADM,$AL172),"")</f>
        <v/>
      </c>
      <c r="F172" s="59">
        <f>IF(N($AL172)&gt;0,INDEX(rLim_ADM,$AL172),"")</f>
        <v/>
      </c>
      <c r="G172" s="59" t="n"/>
      <c r="H172" s="60" t="n"/>
      <c r="I172" s="60" t="n"/>
      <c r="J172" s="60" t="n"/>
      <c r="K172" s="60" t="n"/>
      <c r="L172" s="60" t="n"/>
      <c r="M172" s="61">
        <f>IF(NOT((COUNTA($B172:$D172)+COUNTA($G172:$L172)+COUNTA($Q172))&gt;0),"",IF($V172="Sub",IFERROR($X172/INDEX($W$5:$W$1000,$U172-4),""),IF(ISNUMBER($G172),1,IF(N($W172)&gt;0,AVERAGEIFS($X$5:$X$1000,$U$5:$U$1000,ROW(),$V$5:$V$1000,"Sub"),$X172))))</f>
        <v/>
      </c>
      <c r="N172" s="56">
        <f>IF(OR($M172="",$V172="Sub"),"",IF($M172&gt;=1,"Completado",IF($M172&gt;0,"En curso","Pendiente")))</f>
        <v/>
      </c>
      <c r="O172" s="56">
        <f>IF(OR(NOT((COUNTA($B172:$D172)+COUNTA($G172:$L172)+COUNTA($Q172))&gt;0),$V172="Sub"),"",IF(ISNUMBER($G172),IF(AND(ISNUMBER($AN172),$G172&gt;$AN172),"Cumplida con "&amp;($G172-$AN172)&amp;IF($G172-$AN172=1," día"," días")&amp;" de retraso","Cumplida"),IF(N($M172)&gt;=1,"Cumplida",IF(NOT(ISNUMBER($AN172)),"Sin fecha límite",IF($AN172&lt;FechaRef,"Vencida hace "&amp;(FechaRef-$AN172)&amp;IF(FechaRef-$AN172=1," día"," días"),IF($AN172=FechaRef,"Vence hoy",IF($AN172-FechaRef&lt;=DiasAlerta,"Vence en "&amp;($AN172-FechaRef)&amp;IF($AN172-FechaRef=1," día"," días"),"En plazo")))))))</f>
        <v/>
      </c>
      <c r="P172" s="62" t="n"/>
      <c r="Q172" s="58" t="n"/>
      <c r="R172" s="63">
        <f>IF(NOT((COUNTA($B172:$D172)+COUNTA($G172:$L172)+COUNTA($Q172))&gt;0),"",IF((IF($C172="","Falta el nombre de la actividad"&amp;" · ","")&amp;IF(AND($V172="Sub",N($U172)=0),"Subactividad sin macroactividad arriba"&amp;" · ","")&amp;IF($AM172="","Sin fecha de inicio"&amp;" · ","")&amp;IF($AN172="","Sin fecha límite"&amp;" · ","")&amp;IF(AND(LEFT($C172,11)="[Jefatura] ",N($AL172)=0),"No se encuentra en la hoja de la jefatura (elíjala de nuevo en la lista)"&amp;" · ","")&amp;IF(OR(AND($E172&lt;&gt;"",NOT(ISNUMBER($E172))),AND($F172&lt;&gt;"",NOT(ISNUMBER($F172))),AND($G172&lt;&gt;"",NOT(ISNUMBER($G172)))),"Fecha no válida"&amp;" · ","")&amp;IF(AND(ISNUMBER($AM172),ISNUMBER($AN172),$AM172&gt;$AN172),"Inicio posterior a fecha límite"&amp;" · ","")&amp;IF(AND($V172="Macro",$H172&lt;&gt;"",OR(NOT(ISNUMBER($H172)),$H172&lt;0,$H172&gt;1)),"Peso fuera de rango"&amp;" · ","")&amp;IF(AND($V172="Sub",$H172&lt;&gt;""),"Las subactividades no llevan peso (valen igual dentro de su macroactividad)"&amp;" · ","")&amp;IF(AND(N($W172)&gt;0,COUNT($I172:$L172)&gt;0),"Con subactividades: deje vacías las semanas (se calculan solas)"&amp;" · ","")&amp;IF((COUNTIF($I172:$L172,"&gt;1")+COUNTIF($I172:$L172,"&lt;0")+COUNTA($I172:$L172)-COUNT($I172:$L172))&gt;0,"Avance fuera de rango 0-100%"&amp;" · ","")&amp;IF(OR(AND($J172&lt;&gt;"",$J172&lt;$I172),AND($K172&lt;&gt;"",$K172&lt;MAX($I172:$J172)),AND($L172&lt;&gt;"",$L172&lt;MAX($I172:$K172))),"Avance semanal decreciente"&amp;" · ","")&amp;IF(AND(ISNUMBER($AN172),$AN172&lt;FechaRef,IF($V172="Sub",N($X172),N($M172))&lt;1),"Vencida"&amp;" · ","")&amp;IF(AND(ObsObligatoria="Sí",ISNUMBER($AN172),$AN172&lt;FechaRef,IF($V172="Sub",N($X172),N($M172))&lt;1,$Q172=""),"Vencida sin observación"&amp;" · ",""))="","✔ OK","⚠ "&amp;LEFT(IF($C172="","Falta el nombre de la actividad"&amp;" · ","")&amp;IF(AND($V172="Sub",N($U172)=0),"Subactividad sin macroactividad arriba"&amp;" · ","")&amp;IF($AM172="","Sin fecha de inicio"&amp;" · ","")&amp;IF($AN172="","Sin fecha límite"&amp;" · ","")&amp;IF(AND(LEFT($C172,11)="[Jefatura] ",N($AL172)=0),"No se encuentra en la hoja de la jefatura (elíjala de nuevo en la lista)"&amp;" · ","")&amp;IF(OR(AND($E172&lt;&gt;"",NOT(ISNUMBER($E172))),AND($F172&lt;&gt;"",NOT(ISNUMBER($F172))),AND($G172&lt;&gt;"",NOT(ISNUMBER($G172)))),"Fecha no válida"&amp;" · ","")&amp;IF(AND(ISNUMBER($AM172),ISNUMBER($AN172),$AM172&gt;$AN172),"Inicio posterior a fecha límite"&amp;" · ","")&amp;IF(AND($V172="Macro",$H172&lt;&gt;"",OR(NOT(ISNUMBER($H172)),$H172&lt;0,$H172&gt;1)),"Peso fuera de rango"&amp;" · ","")&amp;IF(AND($V172="Sub",$H172&lt;&gt;""),"Las subactividades no llevan peso (valen igual dentro de su macroactividad)"&amp;" · ","")&amp;IF(AND(N($W172)&gt;0,COUNT($I172:$L172)&gt;0),"Con subactividades: deje vacías las semanas (se calculan solas)"&amp;" · ","")&amp;IF((COUNTIF($I172:$L172,"&gt;1")+COUNTIF($I172:$L172,"&lt;0")+COUNTA($I172:$L172)-COUNT($I172:$L172))&gt;0,"Avance fuera de rango 0-100%"&amp;" · ","")&amp;IF(OR(AND($J172&lt;&gt;"",$J172&lt;$I172),AND($K172&lt;&gt;"",$K172&lt;MAX($I172:$J172)),AND($L172&lt;&gt;"",$L172&lt;MAX($I172:$K172))),"Avance semanal decreciente"&amp;" · ","")&amp;IF(AND(ISNUMBER($AN172),$AN172&lt;FechaRef,IF($V172="Sub",N($X172),N($M172))&lt;1),"Vencida"&amp;" · ","")&amp;IF(AND(ObsObligatoria="Sí",ISNUMBER($AN172),$AN172&lt;FechaRef,IF($V172="Sub",N($X172),N($M172))&lt;1,$Q172=""),"Vencida sin observación"&amp;" · ",""),LEN(IF($C172="","Falta el nombre de la actividad"&amp;" · ","")&amp;IF(AND($V172="Sub",N($U172)=0),"Subactividad sin macroactividad arriba"&amp;" · ","")&amp;IF($AM172="","Sin fecha de inicio"&amp;" · ","")&amp;IF($AN172="","Sin fecha límite"&amp;" · ","")&amp;IF(AND(LEFT($C172,11)="[Jefatura] ",N($AL172)=0),"No se encuentra en la hoja de la jefatura (elíjala de nuevo en la lista)"&amp;" · ","")&amp;IF(OR(AND($E172&lt;&gt;"",NOT(ISNUMBER($E172))),AND($F172&lt;&gt;"",NOT(ISNUMBER($F172))),AND($G172&lt;&gt;"",NOT(ISNUMBER($G172)))),"Fecha no válida"&amp;" · ","")&amp;IF(AND(ISNUMBER($AM172),ISNUMBER($AN172),$AM172&gt;$AN172),"Inicio posterior a fecha límite"&amp;" · ","")&amp;IF(AND($V172="Macro",$H172&lt;&gt;"",OR(NOT(ISNUMBER($H172)),$H172&lt;0,$H172&gt;1)),"Peso fuera de rango"&amp;" · ","")&amp;IF(AND($V172="Sub",$H172&lt;&gt;""),"Las subactividades no llevan peso (valen igual dentro de su macroactividad)"&amp;" · ","")&amp;IF(AND(N($W172)&gt;0,COUNT($I172:$L172)&gt;0),"Con subactividades: deje vacías las semanas (se calculan solas)"&amp;" · ","")&amp;IF((COUNTIF($I172:$L172,"&gt;1")+COUNTIF($I172:$L172,"&lt;0")+COUNTA($I172:$L172)-COUNT($I172:$L172))&gt;0,"Avance fuera de rango 0-100%"&amp;" · ","")&amp;IF(OR(AND($J172&lt;&gt;"",$J172&lt;$I172),AND($K172&lt;&gt;"",$K172&lt;MAX($I172:$J172)),AND($L172&lt;&gt;"",$L172&lt;MAX($I172:$K172))),"Avance semanal decreciente"&amp;" · ","")&amp;IF(AND(ISNUMBER($AN172),$AN172&lt;FechaRef,IF($V172="Sub",N($X172),N($M172))&lt;1),"Vencida"&amp;" · ","")&amp;IF(AND(ObsObligatoria="Sí",ISNUMBER($AN172),$AN172&lt;FechaRef,IF($V172="Sub",N($X172),N($M172))&lt;1,$Q172=""),"Vencida sin observación"&amp;" · ",""))-3)))</f>
        <v/>
      </c>
      <c r="S172" s="64">
        <f>IF(NOT((COUNTA($B172:$D172)+COUNTA($G172:$L172)+COUNTA($Q172))&gt;0),"",IF(AND($V172="Sub",N($U172)&gt;0),IF(ISNUMBER(INDEX($AM$5:$AM$1000,$U172-4)),DATE(YEAR(INDEX($AM$5:$AM$1000,$U172-4)),MONTH(INDEX($AM$5:$AM$1000,$U172-4)),1),IF(ISNUMBER(INDEX($AN$5:$AN$1000,$U172-4)),DATE(YEAR(INDEX($AN$5:$AN$1000,$U172-4)),MONTH(INDEX($AN$5:$AN$1000,$U172-4)),1),MesCiclo)),IF(ISNUMBER($AM172),DATE(YEAR($AM172),MONTH($AM172),1),IF(ISNUMBER($AN172),DATE(YEAR($AN172),MONTH($AN172),1),MesCiclo))))</f>
        <v/>
      </c>
      <c r="T172" s="62">
        <f>IF(OR($S172="",$S172&lt;&gt;MesCiclo,$V172&lt;&gt;"Macro"),"",COUNTIFS($S$5:$S172,MesCiclo,$V$5:$V172,"Macro"))</f>
        <v/>
      </c>
      <c r="U172" s="62">
        <f>IF($V172="","",IF($V172="Macro",ROW(),IFERROR(LOOKUP(2,1/($V$5:$V172="Macro"),ROW($V$5:$V172)),0)))</f>
        <v/>
      </c>
      <c r="V172" s="62">
        <f>IF(NOT((COUNTA($B172:$D172)+COUNTA($G172:$L172)+COUNTA($Q172))&gt;0),"",IF($B172="Subactividad","Sub","Macro"))</f>
        <v/>
      </c>
      <c r="W172" s="62">
        <f>IF($V172="Macro",COUNTIFS($U$5:$U$1000,ROW(),$V$5:$V$1000,"Sub"),"")</f>
        <v/>
      </c>
      <c r="X172" s="62">
        <f>IF($V172="","",IF(ISNUMBER($G172),1,IFERROR(LOOKUP(2,1/($I172:$L172&lt;&gt;""),$I172:$L172),0)))</f>
        <v/>
      </c>
      <c r="Y172" s="62">
        <f>IF($V172="","",IF(AND(ISNUMBER($G172),$G172&lt;=IF($S172=MesCiclo,InicioCiclo,$S172+MOD(2-WEEKDAY($S172),7))+6),1,IF(ISNUMBER($I172),$I172,0)))</f>
        <v/>
      </c>
      <c r="Z172" s="62">
        <f>IF($V172="","",IF(AND(ISNUMBER($G172),$G172&lt;=IF($S172=MesCiclo,InicioCiclo,$S172+MOD(2-WEEKDAY($S172),7))+13),1,IF(ISNUMBER($J172),$J172,$Y172)))</f>
        <v/>
      </c>
      <c r="AA172" s="62">
        <f>IF($V172="","",IF(AND(ISNUMBER($G172),$G172&lt;=IF($S172=MesCiclo,InicioCiclo,$S172+MOD(2-WEEKDAY($S172),7))+20),1,IF(ISNUMBER($K172),$K172,$Z172)))</f>
        <v/>
      </c>
      <c r="AB172" s="62">
        <f>IF($V172="","",IF(AND(ISNUMBER($G172),$G172&lt;=IF($S172=MesCiclo,InicioCiclo,$S172+MOD(2-WEEKDAY($S172),7))+27),1,IF(ISNUMBER($L172),$L172,$AA172)))</f>
        <v/>
      </c>
      <c r="AC172" s="62">
        <f>IF($V172="","",IF(AND(ISNUMBER($G172),$G172&lt;=IF($S172=MesCiclo,InicioCiclo,$S172+MOD(2-WEEKDAY($S172),7))+6),1,IF(N($W172)&gt;0,AVERAGEIFS($Y$5:$Y$1000,$U$5:$U$1000,ROW(),$V$5:$V$1000,"Sub"),$Y172)))</f>
        <v/>
      </c>
      <c r="AD172" s="62">
        <f>IF($V172="","",IF(AND(ISNUMBER($G172),$G172&lt;=IF($S172=MesCiclo,InicioCiclo,$S172+MOD(2-WEEKDAY($S172),7))+13),1,IF(N($W172)&gt;0,AVERAGEIFS($Z$5:$Z$1000,$U$5:$U$1000,ROW(),$V$5:$V$1000,"Sub"),$Z172)))</f>
        <v/>
      </c>
      <c r="AE172" s="62">
        <f>IF($V172="","",IF(AND(ISNUMBER($G172),$G172&lt;=IF($S172=MesCiclo,InicioCiclo,$S172+MOD(2-WEEKDAY($S172),7))+20),1,IF(N($W172)&gt;0,AVERAGEIFS($AA$5:$AA$1000,$U$5:$U$1000,ROW(),$V$5:$V$1000,"Sub"),$AA172)))</f>
        <v/>
      </c>
      <c r="AF172" s="62">
        <f>IF($V172="","",IF(AND(ISNUMBER($G172),$G172&lt;=IF($S172=MesCiclo,InicioCiclo,$S172+MOD(2-WEEKDAY($S172),7))+27),1,IF(N($W172)&gt;0,AVERAGEIFS($AB$5:$AB$1000,$U$5:$U$1000,ROW(),$V$5:$V$1000,"Sub"),$AB172)))</f>
        <v/>
      </c>
      <c r="AG172" s="62">
        <f>IF($V172&lt;&gt;"Macro","",IF(COUNTIFS($S$5:$S$1000,$S172,$V$5:$V$1000,"Macro",$H$5:$H$1000,"&gt;0")=0,1/COUNTIFS($S$5:$S$1000,$S172,$V$5:$V$1000,"Macro"),IF(AND(ISNUMBER($H172),N($H172)&gt;0),$H172,SUMIFS($H$5:$H$1000,$S$5:$S$1000,$S172,$V$5:$V$1000,"Macro")/COUNTIFS($S$5:$S$1000,$S172,$V$5:$V$1000,"Macro",$H$5:$H$1000,"&gt;0"))/(COUNTIFS($S$5:$S$1000,$S172,$V$5:$V$1000,"Macro")*SUMIFS($H$5:$H$1000,$S$5:$S$1000,$S172,$V$5:$V$1000,"Macro")/COUNTIFS($S$5:$S$1000,$S172,$V$5:$V$1000,"Macro",$H$5:$H$1000,"&gt;0"))))</f>
        <v/>
      </c>
      <c r="AH172" s="62" t="n"/>
      <c r="AI172" s="62" t="n"/>
      <c r="AJ172" s="62" t="n"/>
      <c r="AK172" s="62" t="n"/>
      <c r="AL172" s="62">
        <f>IF(LEFT($C172,11)="[Jefatura] ",IFERROR(MATCH("Asistente Técnico de Riesgo|"&amp;MID($C172,12,500),rDname_ADM,0),0),"")</f>
        <v/>
      </c>
      <c r="AM172" s="62">
        <f>IF(N($AL172)&gt;0,INDEX(rIni_ADM,$AL172),IF(ISNUMBER($E172),$E172,""))</f>
        <v/>
      </c>
      <c r="AN172" s="62">
        <f>IF(N($AL172)&gt;0,INDEX(rLim_ADM,$AL172),IF(ISNUMBER($F172),$F172,""))</f>
        <v/>
      </c>
    </row>
    <row r="173">
      <c r="A173" s="56">
        <f>IF(NOT((COUNTA($B173:$D173)+COUNTA($G173:$L173)+COUNTA($Q173))&gt;0),"",IF($V173="Macro",COUNTIFS($V$5:$V173,"Macro",$S$5:$S173,$S173),IF(N($U173)=0,"?",COUNTIFS(INDEX($V$5:$V$1000,1):INDEX($V$5:$V$1000,$U173-4),"Macro",INDEX($S$5:$S$1000,1):INDEX($S$5:$S$1000,$U173-4),INDEX($S$5:$S$1000,$U173-4))&amp;"."&amp;COUNTIFS($U$5:$U173,$U173,$V$5:$V173,"Sub"))))</f>
        <v/>
      </c>
      <c r="B173" s="57" t="n"/>
      <c r="C173" s="58" t="n"/>
      <c r="D173" s="58" t="n"/>
      <c r="E173" s="59">
        <f>IF(N($AL173)&gt;0,INDEX(rIni_ADM,$AL173),"")</f>
        <v/>
      </c>
      <c r="F173" s="59">
        <f>IF(N($AL173)&gt;0,INDEX(rLim_ADM,$AL173),"")</f>
        <v/>
      </c>
      <c r="G173" s="59" t="n"/>
      <c r="H173" s="60" t="n"/>
      <c r="I173" s="60" t="n"/>
      <c r="J173" s="60" t="n"/>
      <c r="K173" s="60" t="n"/>
      <c r="L173" s="60" t="n"/>
      <c r="M173" s="61">
        <f>IF(NOT((COUNTA($B173:$D173)+COUNTA($G173:$L173)+COUNTA($Q173))&gt;0),"",IF($V173="Sub",IFERROR($X173/INDEX($W$5:$W$1000,$U173-4),""),IF(ISNUMBER($G173),1,IF(N($W173)&gt;0,AVERAGEIFS($X$5:$X$1000,$U$5:$U$1000,ROW(),$V$5:$V$1000,"Sub"),$X173))))</f>
        <v/>
      </c>
      <c r="N173" s="56">
        <f>IF(OR($M173="",$V173="Sub"),"",IF($M173&gt;=1,"Completado",IF($M173&gt;0,"En curso","Pendiente")))</f>
        <v/>
      </c>
      <c r="O173" s="56">
        <f>IF(OR(NOT((COUNTA($B173:$D173)+COUNTA($G173:$L173)+COUNTA($Q173))&gt;0),$V173="Sub"),"",IF(ISNUMBER($G173),IF(AND(ISNUMBER($AN173),$G173&gt;$AN173),"Cumplida con "&amp;($G173-$AN173)&amp;IF($G173-$AN173=1," día"," días")&amp;" de retraso","Cumplida"),IF(N($M173)&gt;=1,"Cumplida",IF(NOT(ISNUMBER($AN173)),"Sin fecha límite",IF($AN173&lt;FechaRef,"Vencida hace "&amp;(FechaRef-$AN173)&amp;IF(FechaRef-$AN173=1," día"," días"),IF($AN173=FechaRef,"Vence hoy",IF($AN173-FechaRef&lt;=DiasAlerta,"Vence en "&amp;($AN173-FechaRef)&amp;IF($AN173-FechaRef=1," día"," días"),"En plazo")))))))</f>
        <v/>
      </c>
      <c r="P173" s="62" t="n"/>
      <c r="Q173" s="58" t="n"/>
      <c r="R173" s="63">
        <f>IF(NOT((COUNTA($B173:$D173)+COUNTA($G173:$L173)+COUNTA($Q173))&gt;0),"",IF((IF($C173="","Falta el nombre de la actividad"&amp;" · ","")&amp;IF(AND($V173="Sub",N($U173)=0),"Subactividad sin macroactividad arriba"&amp;" · ","")&amp;IF($AM173="","Sin fecha de inicio"&amp;" · ","")&amp;IF($AN173="","Sin fecha límite"&amp;" · ","")&amp;IF(AND(LEFT($C173,11)="[Jefatura] ",N($AL173)=0),"No se encuentra en la hoja de la jefatura (elíjala de nuevo en la lista)"&amp;" · ","")&amp;IF(OR(AND($E173&lt;&gt;"",NOT(ISNUMBER($E173))),AND($F173&lt;&gt;"",NOT(ISNUMBER($F173))),AND($G173&lt;&gt;"",NOT(ISNUMBER($G173)))),"Fecha no válida"&amp;" · ","")&amp;IF(AND(ISNUMBER($AM173),ISNUMBER($AN173),$AM173&gt;$AN173),"Inicio posterior a fecha límite"&amp;" · ","")&amp;IF(AND($V173="Macro",$H173&lt;&gt;"",OR(NOT(ISNUMBER($H173)),$H173&lt;0,$H173&gt;1)),"Peso fuera de rango"&amp;" · ","")&amp;IF(AND($V173="Sub",$H173&lt;&gt;""),"Las subactividades no llevan peso (valen igual dentro de su macroactividad)"&amp;" · ","")&amp;IF(AND(N($W173)&gt;0,COUNT($I173:$L173)&gt;0),"Con subactividades: deje vacías las semanas (se calculan solas)"&amp;" · ","")&amp;IF((COUNTIF($I173:$L173,"&gt;1")+COUNTIF($I173:$L173,"&lt;0")+COUNTA($I173:$L173)-COUNT($I173:$L173))&gt;0,"Avance fuera de rango 0-100%"&amp;" · ","")&amp;IF(OR(AND($J173&lt;&gt;"",$J173&lt;$I173),AND($K173&lt;&gt;"",$K173&lt;MAX($I173:$J173)),AND($L173&lt;&gt;"",$L173&lt;MAX($I173:$K173))),"Avance semanal decreciente"&amp;" · ","")&amp;IF(AND(ISNUMBER($AN173),$AN173&lt;FechaRef,IF($V173="Sub",N($X173),N($M173))&lt;1),"Vencida"&amp;" · ","")&amp;IF(AND(ObsObligatoria="Sí",ISNUMBER($AN173),$AN173&lt;FechaRef,IF($V173="Sub",N($X173),N($M173))&lt;1,$Q173=""),"Vencida sin observación"&amp;" · ",""))="","✔ OK","⚠ "&amp;LEFT(IF($C173="","Falta el nombre de la actividad"&amp;" · ","")&amp;IF(AND($V173="Sub",N($U173)=0),"Subactividad sin macroactividad arriba"&amp;" · ","")&amp;IF($AM173="","Sin fecha de inicio"&amp;" · ","")&amp;IF($AN173="","Sin fecha límite"&amp;" · ","")&amp;IF(AND(LEFT($C173,11)="[Jefatura] ",N($AL173)=0),"No se encuentra en la hoja de la jefatura (elíjala de nuevo en la lista)"&amp;" · ","")&amp;IF(OR(AND($E173&lt;&gt;"",NOT(ISNUMBER($E173))),AND($F173&lt;&gt;"",NOT(ISNUMBER($F173))),AND($G173&lt;&gt;"",NOT(ISNUMBER($G173)))),"Fecha no válida"&amp;" · ","")&amp;IF(AND(ISNUMBER($AM173),ISNUMBER($AN173),$AM173&gt;$AN173),"Inicio posterior a fecha límite"&amp;" · ","")&amp;IF(AND($V173="Macro",$H173&lt;&gt;"",OR(NOT(ISNUMBER($H173)),$H173&lt;0,$H173&gt;1)),"Peso fuera de rango"&amp;" · ","")&amp;IF(AND($V173="Sub",$H173&lt;&gt;""),"Las subactividades no llevan peso (valen igual dentro de su macroactividad)"&amp;" · ","")&amp;IF(AND(N($W173)&gt;0,COUNT($I173:$L173)&gt;0),"Con subactividades: deje vacías las semanas (se calculan solas)"&amp;" · ","")&amp;IF((COUNTIF($I173:$L173,"&gt;1")+COUNTIF($I173:$L173,"&lt;0")+COUNTA($I173:$L173)-COUNT($I173:$L173))&gt;0,"Avance fuera de rango 0-100%"&amp;" · ","")&amp;IF(OR(AND($J173&lt;&gt;"",$J173&lt;$I173),AND($K173&lt;&gt;"",$K173&lt;MAX($I173:$J173)),AND($L173&lt;&gt;"",$L173&lt;MAX($I173:$K173))),"Avance semanal decreciente"&amp;" · ","")&amp;IF(AND(ISNUMBER($AN173),$AN173&lt;FechaRef,IF($V173="Sub",N($X173),N($M173))&lt;1),"Vencida"&amp;" · ","")&amp;IF(AND(ObsObligatoria="Sí",ISNUMBER($AN173),$AN173&lt;FechaRef,IF($V173="Sub",N($X173),N($M173))&lt;1,$Q173=""),"Vencida sin observación"&amp;" · ",""),LEN(IF($C173="","Falta el nombre de la actividad"&amp;" · ","")&amp;IF(AND($V173="Sub",N($U173)=0),"Subactividad sin macroactividad arriba"&amp;" · ","")&amp;IF($AM173="","Sin fecha de inicio"&amp;" · ","")&amp;IF($AN173="","Sin fecha límite"&amp;" · ","")&amp;IF(AND(LEFT($C173,11)="[Jefatura] ",N($AL173)=0),"No se encuentra en la hoja de la jefatura (elíjala de nuevo en la lista)"&amp;" · ","")&amp;IF(OR(AND($E173&lt;&gt;"",NOT(ISNUMBER($E173))),AND($F173&lt;&gt;"",NOT(ISNUMBER($F173))),AND($G173&lt;&gt;"",NOT(ISNUMBER($G173)))),"Fecha no válida"&amp;" · ","")&amp;IF(AND(ISNUMBER($AM173),ISNUMBER($AN173),$AM173&gt;$AN173),"Inicio posterior a fecha límite"&amp;" · ","")&amp;IF(AND($V173="Macro",$H173&lt;&gt;"",OR(NOT(ISNUMBER($H173)),$H173&lt;0,$H173&gt;1)),"Peso fuera de rango"&amp;" · ","")&amp;IF(AND($V173="Sub",$H173&lt;&gt;""),"Las subactividades no llevan peso (valen igual dentro de su macroactividad)"&amp;" · ","")&amp;IF(AND(N($W173)&gt;0,COUNT($I173:$L173)&gt;0),"Con subactividades: deje vacías las semanas (se calculan solas)"&amp;" · ","")&amp;IF((COUNTIF($I173:$L173,"&gt;1")+COUNTIF($I173:$L173,"&lt;0")+COUNTA($I173:$L173)-COUNT($I173:$L173))&gt;0,"Avance fuera de rango 0-100%"&amp;" · ","")&amp;IF(OR(AND($J173&lt;&gt;"",$J173&lt;$I173),AND($K173&lt;&gt;"",$K173&lt;MAX($I173:$J173)),AND($L173&lt;&gt;"",$L173&lt;MAX($I173:$K173))),"Avance semanal decreciente"&amp;" · ","")&amp;IF(AND(ISNUMBER($AN173),$AN173&lt;FechaRef,IF($V173="Sub",N($X173),N($M173))&lt;1),"Vencida"&amp;" · ","")&amp;IF(AND(ObsObligatoria="Sí",ISNUMBER($AN173),$AN173&lt;FechaRef,IF($V173="Sub",N($X173),N($M173))&lt;1,$Q173=""),"Vencida sin observación"&amp;" · ",""))-3)))</f>
        <v/>
      </c>
      <c r="S173" s="64">
        <f>IF(NOT((COUNTA($B173:$D173)+COUNTA($G173:$L173)+COUNTA($Q173))&gt;0),"",IF(AND($V173="Sub",N($U173)&gt;0),IF(ISNUMBER(INDEX($AM$5:$AM$1000,$U173-4)),DATE(YEAR(INDEX($AM$5:$AM$1000,$U173-4)),MONTH(INDEX($AM$5:$AM$1000,$U173-4)),1),IF(ISNUMBER(INDEX($AN$5:$AN$1000,$U173-4)),DATE(YEAR(INDEX($AN$5:$AN$1000,$U173-4)),MONTH(INDEX($AN$5:$AN$1000,$U173-4)),1),MesCiclo)),IF(ISNUMBER($AM173),DATE(YEAR($AM173),MONTH($AM173),1),IF(ISNUMBER($AN173),DATE(YEAR($AN173),MONTH($AN173),1),MesCiclo))))</f>
        <v/>
      </c>
      <c r="T173" s="62">
        <f>IF(OR($S173="",$S173&lt;&gt;MesCiclo,$V173&lt;&gt;"Macro"),"",COUNTIFS($S$5:$S173,MesCiclo,$V$5:$V173,"Macro"))</f>
        <v/>
      </c>
      <c r="U173" s="62">
        <f>IF($V173="","",IF($V173="Macro",ROW(),IFERROR(LOOKUP(2,1/($V$5:$V173="Macro"),ROW($V$5:$V173)),0)))</f>
        <v/>
      </c>
      <c r="V173" s="62">
        <f>IF(NOT((COUNTA($B173:$D173)+COUNTA($G173:$L173)+COUNTA($Q173))&gt;0),"",IF($B173="Subactividad","Sub","Macro"))</f>
        <v/>
      </c>
      <c r="W173" s="62">
        <f>IF($V173="Macro",COUNTIFS($U$5:$U$1000,ROW(),$V$5:$V$1000,"Sub"),"")</f>
        <v/>
      </c>
      <c r="X173" s="62">
        <f>IF($V173="","",IF(ISNUMBER($G173),1,IFERROR(LOOKUP(2,1/($I173:$L173&lt;&gt;""),$I173:$L173),0)))</f>
        <v/>
      </c>
      <c r="Y173" s="62">
        <f>IF($V173="","",IF(AND(ISNUMBER($G173),$G173&lt;=IF($S173=MesCiclo,InicioCiclo,$S173+MOD(2-WEEKDAY($S173),7))+6),1,IF(ISNUMBER($I173),$I173,0)))</f>
        <v/>
      </c>
      <c r="Z173" s="62">
        <f>IF($V173="","",IF(AND(ISNUMBER($G173),$G173&lt;=IF($S173=MesCiclo,InicioCiclo,$S173+MOD(2-WEEKDAY($S173),7))+13),1,IF(ISNUMBER($J173),$J173,$Y173)))</f>
        <v/>
      </c>
      <c r="AA173" s="62">
        <f>IF($V173="","",IF(AND(ISNUMBER($G173),$G173&lt;=IF($S173=MesCiclo,InicioCiclo,$S173+MOD(2-WEEKDAY($S173),7))+20),1,IF(ISNUMBER($K173),$K173,$Z173)))</f>
        <v/>
      </c>
      <c r="AB173" s="62">
        <f>IF($V173="","",IF(AND(ISNUMBER($G173),$G173&lt;=IF($S173=MesCiclo,InicioCiclo,$S173+MOD(2-WEEKDAY($S173),7))+27),1,IF(ISNUMBER($L173),$L173,$AA173)))</f>
        <v/>
      </c>
      <c r="AC173" s="62">
        <f>IF($V173="","",IF(AND(ISNUMBER($G173),$G173&lt;=IF($S173=MesCiclo,InicioCiclo,$S173+MOD(2-WEEKDAY($S173),7))+6),1,IF(N($W173)&gt;0,AVERAGEIFS($Y$5:$Y$1000,$U$5:$U$1000,ROW(),$V$5:$V$1000,"Sub"),$Y173)))</f>
        <v/>
      </c>
      <c r="AD173" s="62">
        <f>IF($V173="","",IF(AND(ISNUMBER($G173),$G173&lt;=IF($S173=MesCiclo,InicioCiclo,$S173+MOD(2-WEEKDAY($S173),7))+13),1,IF(N($W173)&gt;0,AVERAGEIFS($Z$5:$Z$1000,$U$5:$U$1000,ROW(),$V$5:$V$1000,"Sub"),$Z173)))</f>
        <v/>
      </c>
      <c r="AE173" s="62">
        <f>IF($V173="","",IF(AND(ISNUMBER($G173),$G173&lt;=IF($S173=MesCiclo,InicioCiclo,$S173+MOD(2-WEEKDAY($S173),7))+20),1,IF(N($W173)&gt;0,AVERAGEIFS($AA$5:$AA$1000,$U$5:$U$1000,ROW(),$V$5:$V$1000,"Sub"),$AA173)))</f>
        <v/>
      </c>
      <c r="AF173" s="62">
        <f>IF($V173="","",IF(AND(ISNUMBER($G173),$G173&lt;=IF($S173=MesCiclo,InicioCiclo,$S173+MOD(2-WEEKDAY($S173),7))+27),1,IF(N($W173)&gt;0,AVERAGEIFS($AB$5:$AB$1000,$U$5:$U$1000,ROW(),$V$5:$V$1000,"Sub"),$AB173)))</f>
        <v/>
      </c>
      <c r="AG173" s="62">
        <f>IF($V173&lt;&gt;"Macro","",IF(COUNTIFS($S$5:$S$1000,$S173,$V$5:$V$1000,"Macro",$H$5:$H$1000,"&gt;0")=0,1/COUNTIFS($S$5:$S$1000,$S173,$V$5:$V$1000,"Macro"),IF(AND(ISNUMBER($H173),N($H173)&gt;0),$H173,SUMIFS($H$5:$H$1000,$S$5:$S$1000,$S173,$V$5:$V$1000,"Macro")/COUNTIFS($S$5:$S$1000,$S173,$V$5:$V$1000,"Macro",$H$5:$H$1000,"&gt;0"))/(COUNTIFS($S$5:$S$1000,$S173,$V$5:$V$1000,"Macro")*SUMIFS($H$5:$H$1000,$S$5:$S$1000,$S173,$V$5:$V$1000,"Macro")/COUNTIFS($S$5:$S$1000,$S173,$V$5:$V$1000,"Macro",$H$5:$H$1000,"&gt;0"))))</f>
        <v/>
      </c>
      <c r="AH173" s="62" t="n"/>
      <c r="AI173" s="62" t="n"/>
      <c r="AJ173" s="62" t="n"/>
      <c r="AK173" s="62" t="n"/>
      <c r="AL173" s="62">
        <f>IF(LEFT($C173,11)="[Jefatura] ",IFERROR(MATCH("Asistente Técnico de Riesgo|"&amp;MID($C173,12,500),rDname_ADM,0),0),"")</f>
        <v/>
      </c>
      <c r="AM173" s="62">
        <f>IF(N($AL173)&gt;0,INDEX(rIni_ADM,$AL173),IF(ISNUMBER($E173),$E173,""))</f>
        <v/>
      </c>
      <c r="AN173" s="62">
        <f>IF(N($AL173)&gt;0,INDEX(rLim_ADM,$AL173),IF(ISNUMBER($F173),$F173,""))</f>
        <v/>
      </c>
    </row>
    <row r="174">
      <c r="A174" s="56">
        <f>IF(NOT((COUNTA($B174:$D174)+COUNTA($G174:$L174)+COUNTA($Q174))&gt;0),"",IF($V174="Macro",COUNTIFS($V$5:$V174,"Macro",$S$5:$S174,$S174),IF(N($U174)=0,"?",COUNTIFS(INDEX($V$5:$V$1000,1):INDEX($V$5:$V$1000,$U174-4),"Macro",INDEX($S$5:$S$1000,1):INDEX($S$5:$S$1000,$U174-4),INDEX($S$5:$S$1000,$U174-4))&amp;"."&amp;COUNTIFS($U$5:$U174,$U174,$V$5:$V174,"Sub"))))</f>
        <v/>
      </c>
      <c r="B174" s="57" t="n"/>
      <c r="C174" s="58" t="n"/>
      <c r="D174" s="58" t="n"/>
      <c r="E174" s="59">
        <f>IF(N($AL174)&gt;0,INDEX(rIni_ADM,$AL174),"")</f>
        <v/>
      </c>
      <c r="F174" s="59">
        <f>IF(N($AL174)&gt;0,INDEX(rLim_ADM,$AL174),"")</f>
        <v/>
      </c>
      <c r="G174" s="59" t="n"/>
      <c r="H174" s="60" t="n"/>
      <c r="I174" s="60" t="n"/>
      <c r="J174" s="60" t="n"/>
      <c r="K174" s="60" t="n"/>
      <c r="L174" s="60" t="n"/>
      <c r="M174" s="61">
        <f>IF(NOT((COUNTA($B174:$D174)+COUNTA($G174:$L174)+COUNTA($Q174))&gt;0),"",IF($V174="Sub",IFERROR($X174/INDEX($W$5:$W$1000,$U174-4),""),IF(ISNUMBER($G174),1,IF(N($W174)&gt;0,AVERAGEIFS($X$5:$X$1000,$U$5:$U$1000,ROW(),$V$5:$V$1000,"Sub"),$X174))))</f>
        <v/>
      </c>
      <c r="N174" s="56">
        <f>IF(OR($M174="",$V174="Sub"),"",IF($M174&gt;=1,"Completado",IF($M174&gt;0,"En curso","Pendiente")))</f>
        <v/>
      </c>
      <c r="O174" s="56">
        <f>IF(OR(NOT((COUNTA($B174:$D174)+COUNTA($G174:$L174)+COUNTA($Q174))&gt;0),$V174="Sub"),"",IF(ISNUMBER($G174),IF(AND(ISNUMBER($AN174),$G174&gt;$AN174),"Cumplida con "&amp;($G174-$AN174)&amp;IF($G174-$AN174=1," día"," días")&amp;" de retraso","Cumplida"),IF(N($M174)&gt;=1,"Cumplida",IF(NOT(ISNUMBER($AN174)),"Sin fecha límite",IF($AN174&lt;FechaRef,"Vencida hace "&amp;(FechaRef-$AN174)&amp;IF(FechaRef-$AN174=1," día"," días"),IF($AN174=FechaRef,"Vence hoy",IF($AN174-FechaRef&lt;=DiasAlerta,"Vence en "&amp;($AN174-FechaRef)&amp;IF($AN174-FechaRef=1," día"," días"),"En plazo")))))))</f>
        <v/>
      </c>
      <c r="P174" s="62" t="n"/>
      <c r="Q174" s="58" t="n"/>
      <c r="R174" s="63">
        <f>IF(NOT((COUNTA($B174:$D174)+COUNTA($G174:$L174)+COUNTA($Q174))&gt;0),"",IF((IF($C174="","Falta el nombre de la actividad"&amp;" · ","")&amp;IF(AND($V174="Sub",N($U174)=0),"Subactividad sin macroactividad arriba"&amp;" · ","")&amp;IF($AM174="","Sin fecha de inicio"&amp;" · ","")&amp;IF($AN174="","Sin fecha límite"&amp;" · ","")&amp;IF(AND(LEFT($C174,11)="[Jefatura] ",N($AL174)=0),"No se encuentra en la hoja de la jefatura (elíjala de nuevo en la lista)"&amp;" · ","")&amp;IF(OR(AND($E174&lt;&gt;"",NOT(ISNUMBER($E174))),AND($F174&lt;&gt;"",NOT(ISNUMBER($F174))),AND($G174&lt;&gt;"",NOT(ISNUMBER($G174)))),"Fecha no válida"&amp;" · ","")&amp;IF(AND(ISNUMBER($AM174),ISNUMBER($AN174),$AM174&gt;$AN174),"Inicio posterior a fecha límite"&amp;" · ","")&amp;IF(AND($V174="Macro",$H174&lt;&gt;"",OR(NOT(ISNUMBER($H174)),$H174&lt;0,$H174&gt;1)),"Peso fuera de rango"&amp;" · ","")&amp;IF(AND($V174="Sub",$H174&lt;&gt;""),"Las subactividades no llevan peso (valen igual dentro de su macroactividad)"&amp;" · ","")&amp;IF(AND(N($W174)&gt;0,COUNT($I174:$L174)&gt;0),"Con subactividades: deje vacías las semanas (se calculan solas)"&amp;" · ","")&amp;IF((COUNTIF($I174:$L174,"&gt;1")+COUNTIF($I174:$L174,"&lt;0")+COUNTA($I174:$L174)-COUNT($I174:$L174))&gt;0,"Avance fuera de rango 0-100%"&amp;" · ","")&amp;IF(OR(AND($J174&lt;&gt;"",$J174&lt;$I174),AND($K174&lt;&gt;"",$K174&lt;MAX($I174:$J174)),AND($L174&lt;&gt;"",$L174&lt;MAX($I174:$K174))),"Avance semanal decreciente"&amp;" · ","")&amp;IF(AND(ISNUMBER($AN174),$AN174&lt;FechaRef,IF($V174="Sub",N($X174),N($M174))&lt;1),"Vencida"&amp;" · ","")&amp;IF(AND(ObsObligatoria="Sí",ISNUMBER($AN174),$AN174&lt;FechaRef,IF($V174="Sub",N($X174),N($M174))&lt;1,$Q174=""),"Vencida sin observación"&amp;" · ",""))="","✔ OK","⚠ "&amp;LEFT(IF($C174="","Falta el nombre de la actividad"&amp;" · ","")&amp;IF(AND($V174="Sub",N($U174)=0),"Subactividad sin macroactividad arriba"&amp;" · ","")&amp;IF($AM174="","Sin fecha de inicio"&amp;" · ","")&amp;IF($AN174="","Sin fecha límite"&amp;" · ","")&amp;IF(AND(LEFT($C174,11)="[Jefatura] ",N($AL174)=0),"No se encuentra en la hoja de la jefatura (elíjala de nuevo en la lista)"&amp;" · ","")&amp;IF(OR(AND($E174&lt;&gt;"",NOT(ISNUMBER($E174))),AND($F174&lt;&gt;"",NOT(ISNUMBER($F174))),AND($G174&lt;&gt;"",NOT(ISNUMBER($G174)))),"Fecha no válida"&amp;" · ","")&amp;IF(AND(ISNUMBER($AM174),ISNUMBER($AN174),$AM174&gt;$AN174),"Inicio posterior a fecha límite"&amp;" · ","")&amp;IF(AND($V174="Macro",$H174&lt;&gt;"",OR(NOT(ISNUMBER($H174)),$H174&lt;0,$H174&gt;1)),"Peso fuera de rango"&amp;" · ","")&amp;IF(AND($V174="Sub",$H174&lt;&gt;""),"Las subactividades no llevan peso (valen igual dentro de su macroactividad)"&amp;" · ","")&amp;IF(AND(N($W174)&gt;0,COUNT($I174:$L174)&gt;0),"Con subactividades: deje vacías las semanas (se calculan solas)"&amp;" · ","")&amp;IF((COUNTIF($I174:$L174,"&gt;1")+COUNTIF($I174:$L174,"&lt;0")+COUNTA($I174:$L174)-COUNT($I174:$L174))&gt;0,"Avance fuera de rango 0-100%"&amp;" · ","")&amp;IF(OR(AND($J174&lt;&gt;"",$J174&lt;$I174),AND($K174&lt;&gt;"",$K174&lt;MAX($I174:$J174)),AND($L174&lt;&gt;"",$L174&lt;MAX($I174:$K174))),"Avance semanal decreciente"&amp;" · ","")&amp;IF(AND(ISNUMBER($AN174),$AN174&lt;FechaRef,IF($V174="Sub",N($X174),N($M174))&lt;1),"Vencida"&amp;" · ","")&amp;IF(AND(ObsObligatoria="Sí",ISNUMBER($AN174),$AN174&lt;FechaRef,IF($V174="Sub",N($X174),N($M174))&lt;1,$Q174=""),"Vencida sin observación"&amp;" · ",""),LEN(IF($C174="","Falta el nombre de la actividad"&amp;" · ","")&amp;IF(AND($V174="Sub",N($U174)=0),"Subactividad sin macroactividad arriba"&amp;" · ","")&amp;IF($AM174="","Sin fecha de inicio"&amp;" · ","")&amp;IF($AN174="","Sin fecha límite"&amp;" · ","")&amp;IF(AND(LEFT($C174,11)="[Jefatura] ",N($AL174)=0),"No se encuentra en la hoja de la jefatura (elíjala de nuevo en la lista)"&amp;" · ","")&amp;IF(OR(AND($E174&lt;&gt;"",NOT(ISNUMBER($E174))),AND($F174&lt;&gt;"",NOT(ISNUMBER($F174))),AND($G174&lt;&gt;"",NOT(ISNUMBER($G174)))),"Fecha no válida"&amp;" · ","")&amp;IF(AND(ISNUMBER($AM174),ISNUMBER($AN174),$AM174&gt;$AN174),"Inicio posterior a fecha límite"&amp;" · ","")&amp;IF(AND($V174="Macro",$H174&lt;&gt;"",OR(NOT(ISNUMBER($H174)),$H174&lt;0,$H174&gt;1)),"Peso fuera de rango"&amp;" · ","")&amp;IF(AND($V174="Sub",$H174&lt;&gt;""),"Las subactividades no llevan peso (valen igual dentro de su macroactividad)"&amp;" · ","")&amp;IF(AND(N($W174)&gt;0,COUNT($I174:$L174)&gt;0),"Con subactividades: deje vacías las semanas (se calculan solas)"&amp;" · ","")&amp;IF((COUNTIF($I174:$L174,"&gt;1")+COUNTIF($I174:$L174,"&lt;0")+COUNTA($I174:$L174)-COUNT($I174:$L174))&gt;0,"Avance fuera de rango 0-100%"&amp;" · ","")&amp;IF(OR(AND($J174&lt;&gt;"",$J174&lt;$I174),AND($K174&lt;&gt;"",$K174&lt;MAX($I174:$J174)),AND($L174&lt;&gt;"",$L174&lt;MAX($I174:$K174))),"Avance semanal decreciente"&amp;" · ","")&amp;IF(AND(ISNUMBER($AN174),$AN174&lt;FechaRef,IF($V174="Sub",N($X174),N($M174))&lt;1),"Vencida"&amp;" · ","")&amp;IF(AND(ObsObligatoria="Sí",ISNUMBER($AN174),$AN174&lt;FechaRef,IF($V174="Sub",N($X174),N($M174))&lt;1,$Q174=""),"Vencida sin observación"&amp;" · ",""))-3)))</f>
        <v/>
      </c>
      <c r="S174" s="64">
        <f>IF(NOT((COUNTA($B174:$D174)+COUNTA($G174:$L174)+COUNTA($Q174))&gt;0),"",IF(AND($V174="Sub",N($U174)&gt;0),IF(ISNUMBER(INDEX($AM$5:$AM$1000,$U174-4)),DATE(YEAR(INDEX($AM$5:$AM$1000,$U174-4)),MONTH(INDEX($AM$5:$AM$1000,$U174-4)),1),IF(ISNUMBER(INDEX($AN$5:$AN$1000,$U174-4)),DATE(YEAR(INDEX($AN$5:$AN$1000,$U174-4)),MONTH(INDEX($AN$5:$AN$1000,$U174-4)),1),MesCiclo)),IF(ISNUMBER($AM174),DATE(YEAR($AM174),MONTH($AM174),1),IF(ISNUMBER($AN174),DATE(YEAR($AN174),MONTH($AN174),1),MesCiclo))))</f>
        <v/>
      </c>
      <c r="T174" s="62">
        <f>IF(OR($S174="",$S174&lt;&gt;MesCiclo,$V174&lt;&gt;"Macro"),"",COUNTIFS($S$5:$S174,MesCiclo,$V$5:$V174,"Macro"))</f>
        <v/>
      </c>
      <c r="U174" s="62">
        <f>IF($V174="","",IF($V174="Macro",ROW(),IFERROR(LOOKUP(2,1/($V$5:$V174="Macro"),ROW($V$5:$V174)),0)))</f>
        <v/>
      </c>
      <c r="V174" s="62">
        <f>IF(NOT((COUNTA($B174:$D174)+COUNTA($G174:$L174)+COUNTA($Q174))&gt;0),"",IF($B174="Subactividad","Sub","Macro"))</f>
        <v/>
      </c>
      <c r="W174" s="62">
        <f>IF($V174="Macro",COUNTIFS($U$5:$U$1000,ROW(),$V$5:$V$1000,"Sub"),"")</f>
        <v/>
      </c>
      <c r="X174" s="62">
        <f>IF($V174="","",IF(ISNUMBER($G174),1,IFERROR(LOOKUP(2,1/($I174:$L174&lt;&gt;""),$I174:$L174),0)))</f>
        <v/>
      </c>
      <c r="Y174" s="62">
        <f>IF($V174="","",IF(AND(ISNUMBER($G174),$G174&lt;=IF($S174=MesCiclo,InicioCiclo,$S174+MOD(2-WEEKDAY($S174),7))+6),1,IF(ISNUMBER($I174),$I174,0)))</f>
        <v/>
      </c>
      <c r="Z174" s="62">
        <f>IF($V174="","",IF(AND(ISNUMBER($G174),$G174&lt;=IF($S174=MesCiclo,InicioCiclo,$S174+MOD(2-WEEKDAY($S174),7))+13),1,IF(ISNUMBER($J174),$J174,$Y174)))</f>
        <v/>
      </c>
      <c r="AA174" s="62">
        <f>IF($V174="","",IF(AND(ISNUMBER($G174),$G174&lt;=IF($S174=MesCiclo,InicioCiclo,$S174+MOD(2-WEEKDAY($S174),7))+20),1,IF(ISNUMBER($K174),$K174,$Z174)))</f>
        <v/>
      </c>
      <c r="AB174" s="62">
        <f>IF($V174="","",IF(AND(ISNUMBER($G174),$G174&lt;=IF($S174=MesCiclo,InicioCiclo,$S174+MOD(2-WEEKDAY($S174),7))+27),1,IF(ISNUMBER($L174),$L174,$AA174)))</f>
        <v/>
      </c>
      <c r="AC174" s="62">
        <f>IF($V174="","",IF(AND(ISNUMBER($G174),$G174&lt;=IF($S174=MesCiclo,InicioCiclo,$S174+MOD(2-WEEKDAY($S174),7))+6),1,IF(N($W174)&gt;0,AVERAGEIFS($Y$5:$Y$1000,$U$5:$U$1000,ROW(),$V$5:$V$1000,"Sub"),$Y174)))</f>
        <v/>
      </c>
      <c r="AD174" s="62">
        <f>IF($V174="","",IF(AND(ISNUMBER($G174),$G174&lt;=IF($S174=MesCiclo,InicioCiclo,$S174+MOD(2-WEEKDAY($S174),7))+13),1,IF(N($W174)&gt;0,AVERAGEIFS($Z$5:$Z$1000,$U$5:$U$1000,ROW(),$V$5:$V$1000,"Sub"),$Z174)))</f>
        <v/>
      </c>
      <c r="AE174" s="62">
        <f>IF($V174="","",IF(AND(ISNUMBER($G174),$G174&lt;=IF($S174=MesCiclo,InicioCiclo,$S174+MOD(2-WEEKDAY($S174),7))+20),1,IF(N($W174)&gt;0,AVERAGEIFS($AA$5:$AA$1000,$U$5:$U$1000,ROW(),$V$5:$V$1000,"Sub"),$AA174)))</f>
        <v/>
      </c>
      <c r="AF174" s="62">
        <f>IF($V174="","",IF(AND(ISNUMBER($G174),$G174&lt;=IF($S174=MesCiclo,InicioCiclo,$S174+MOD(2-WEEKDAY($S174),7))+27),1,IF(N($W174)&gt;0,AVERAGEIFS($AB$5:$AB$1000,$U$5:$U$1000,ROW(),$V$5:$V$1000,"Sub"),$AB174)))</f>
        <v/>
      </c>
      <c r="AG174" s="62">
        <f>IF($V174&lt;&gt;"Macro","",IF(COUNTIFS($S$5:$S$1000,$S174,$V$5:$V$1000,"Macro",$H$5:$H$1000,"&gt;0")=0,1/COUNTIFS($S$5:$S$1000,$S174,$V$5:$V$1000,"Macro"),IF(AND(ISNUMBER($H174),N($H174)&gt;0),$H174,SUMIFS($H$5:$H$1000,$S$5:$S$1000,$S174,$V$5:$V$1000,"Macro")/COUNTIFS($S$5:$S$1000,$S174,$V$5:$V$1000,"Macro",$H$5:$H$1000,"&gt;0"))/(COUNTIFS($S$5:$S$1000,$S174,$V$5:$V$1000,"Macro")*SUMIFS($H$5:$H$1000,$S$5:$S$1000,$S174,$V$5:$V$1000,"Macro")/COUNTIFS($S$5:$S$1000,$S174,$V$5:$V$1000,"Macro",$H$5:$H$1000,"&gt;0"))))</f>
        <v/>
      </c>
      <c r="AH174" s="62" t="n"/>
      <c r="AI174" s="62" t="n"/>
      <c r="AJ174" s="62" t="n"/>
      <c r="AK174" s="62" t="n"/>
      <c r="AL174" s="62">
        <f>IF(LEFT($C174,11)="[Jefatura] ",IFERROR(MATCH("Asistente Técnico de Riesgo|"&amp;MID($C174,12,500),rDname_ADM,0),0),"")</f>
        <v/>
      </c>
      <c r="AM174" s="62">
        <f>IF(N($AL174)&gt;0,INDEX(rIni_ADM,$AL174),IF(ISNUMBER($E174),$E174,""))</f>
        <v/>
      </c>
      <c r="AN174" s="62">
        <f>IF(N($AL174)&gt;0,INDEX(rLim_ADM,$AL174),IF(ISNUMBER($F174),$F174,""))</f>
        <v/>
      </c>
    </row>
    <row r="175">
      <c r="A175" s="56">
        <f>IF(NOT((COUNTA($B175:$D175)+COUNTA($G175:$L175)+COUNTA($Q175))&gt;0),"",IF($V175="Macro",COUNTIFS($V$5:$V175,"Macro",$S$5:$S175,$S175),IF(N($U175)=0,"?",COUNTIFS(INDEX($V$5:$V$1000,1):INDEX($V$5:$V$1000,$U175-4),"Macro",INDEX($S$5:$S$1000,1):INDEX($S$5:$S$1000,$U175-4),INDEX($S$5:$S$1000,$U175-4))&amp;"."&amp;COUNTIFS($U$5:$U175,$U175,$V$5:$V175,"Sub"))))</f>
        <v/>
      </c>
      <c r="B175" s="57" t="n"/>
      <c r="C175" s="58" t="n"/>
      <c r="D175" s="58" t="n"/>
      <c r="E175" s="59">
        <f>IF(N($AL175)&gt;0,INDEX(rIni_ADM,$AL175),"")</f>
        <v/>
      </c>
      <c r="F175" s="59">
        <f>IF(N($AL175)&gt;0,INDEX(rLim_ADM,$AL175),"")</f>
        <v/>
      </c>
      <c r="G175" s="59" t="n"/>
      <c r="H175" s="60" t="n"/>
      <c r="I175" s="60" t="n"/>
      <c r="J175" s="60" t="n"/>
      <c r="K175" s="60" t="n"/>
      <c r="L175" s="60" t="n"/>
      <c r="M175" s="61">
        <f>IF(NOT((COUNTA($B175:$D175)+COUNTA($G175:$L175)+COUNTA($Q175))&gt;0),"",IF($V175="Sub",IFERROR($X175/INDEX($W$5:$W$1000,$U175-4),""),IF(ISNUMBER($G175),1,IF(N($W175)&gt;0,AVERAGEIFS($X$5:$X$1000,$U$5:$U$1000,ROW(),$V$5:$V$1000,"Sub"),$X175))))</f>
        <v/>
      </c>
      <c r="N175" s="56">
        <f>IF(OR($M175="",$V175="Sub"),"",IF($M175&gt;=1,"Completado",IF($M175&gt;0,"En curso","Pendiente")))</f>
        <v/>
      </c>
      <c r="O175" s="56">
        <f>IF(OR(NOT((COUNTA($B175:$D175)+COUNTA($G175:$L175)+COUNTA($Q175))&gt;0),$V175="Sub"),"",IF(ISNUMBER($G175),IF(AND(ISNUMBER($AN175),$G175&gt;$AN175),"Cumplida con "&amp;($G175-$AN175)&amp;IF($G175-$AN175=1," día"," días")&amp;" de retraso","Cumplida"),IF(N($M175)&gt;=1,"Cumplida",IF(NOT(ISNUMBER($AN175)),"Sin fecha límite",IF($AN175&lt;FechaRef,"Vencida hace "&amp;(FechaRef-$AN175)&amp;IF(FechaRef-$AN175=1," día"," días"),IF($AN175=FechaRef,"Vence hoy",IF($AN175-FechaRef&lt;=DiasAlerta,"Vence en "&amp;($AN175-FechaRef)&amp;IF($AN175-FechaRef=1," día"," días"),"En plazo")))))))</f>
        <v/>
      </c>
      <c r="P175" s="62" t="n"/>
      <c r="Q175" s="58" t="n"/>
      <c r="R175" s="63">
        <f>IF(NOT((COUNTA($B175:$D175)+COUNTA($G175:$L175)+COUNTA($Q175))&gt;0),"",IF((IF($C175="","Falta el nombre de la actividad"&amp;" · ","")&amp;IF(AND($V175="Sub",N($U175)=0),"Subactividad sin macroactividad arriba"&amp;" · ","")&amp;IF($AM175="","Sin fecha de inicio"&amp;" · ","")&amp;IF($AN175="","Sin fecha límite"&amp;" · ","")&amp;IF(AND(LEFT($C175,11)="[Jefatura] ",N($AL175)=0),"No se encuentra en la hoja de la jefatura (elíjala de nuevo en la lista)"&amp;" · ","")&amp;IF(OR(AND($E175&lt;&gt;"",NOT(ISNUMBER($E175))),AND($F175&lt;&gt;"",NOT(ISNUMBER($F175))),AND($G175&lt;&gt;"",NOT(ISNUMBER($G175)))),"Fecha no válida"&amp;" · ","")&amp;IF(AND(ISNUMBER($AM175),ISNUMBER($AN175),$AM175&gt;$AN175),"Inicio posterior a fecha límite"&amp;" · ","")&amp;IF(AND($V175="Macro",$H175&lt;&gt;"",OR(NOT(ISNUMBER($H175)),$H175&lt;0,$H175&gt;1)),"Peso fuera de rango"&amp;" · ","")&amp;IF(AND($V175="Sub",$H175&lt;&gt;""),"Las subactividades no llevan peso (valen igual dentro de su macroactividad)"&amp;" · ","")&amp;IF(AND(N($W175)&gt;0,COUNT($I175:$L175)&gt;0),"Con subactividades: deje vacías las semanas (se calculan solas)"&amp;" · ","")&amp;IF((COUNTIF($I175:$L175,"&gt;1")+COUNTIF($I175:$L175,"&lt;0")+COUNTA($I175:$L175)-COUNT($I175:$L175))&gt;0,"Avance fuera de rango 0-100%"&amp;" · ","")&amp;IF(OR(AND($J175&lt;&gt;"",$J175&lt;$I175),AND($K175&lt;&gt;"",$K175&lt;MAX($I175:$J175)),AND($L175&lt;&gt;"",$L175&lt;MAX($I175:$K175))),"Avance semanal decreciente"&amp;" · ","")&amp;IF(AND(ISNUMBER($AN175),$AN175&lt;FechaRef,IF($V175="Sub",N($X175),N($M175))&lt;1),"Vencida"&amp;" · ","")&amp;IF(AND(ObsObligatoria="Sí",ISNUMBER($AN175),$AN175&lt;FechaRef,IF($V175="Sub",N($X175),N($M175))&lt;1,$Q175=""),"Vencida sin observación"&amp;" · ",""))="","✔ OK","⚠ "&amp;LEFT(IF($C175="","Falta el nombre de la actividad"&amp;" · ","")&amp;IF(AND($V175="Sub",N($U175)=0),"Subactividad sin macroactividad arriba"&amp;" · ","")&amp;IF($AM175="","Sin fecha de inicio"&amp;" · ","")&amp;IF($AN175="","Sin fecha límite"&amp;" · ","")&amp;IF(AND(LEFT($C175,11)="[Jefatura] ",N($AL175)=0),"No se encuentra en la hoja de la jefatura (elíjala de nuevo en la lista)"&amp;" · ","")&amp;IF(OR(AND($E175&lt;&gt;"",NOT(ISNUMBER($E175))),AND($F175&lt;&gt;"",NOT(ISNUMBER($F175))),AND($G175&lt;&gt;"",NOT(ISNUMBER($G175)))),"Fecha no válida"&amp;" · ","")&amp;IF(AND(ISNUMBER($AM175),ISNUMBER($AN175),$AM175&gt;$AN175),"Inicio posterior a fecha límite"&amp;" · ","")&amp;IF(AND($V175="Macro",$H175&lt;&gt;"",OR(NOT(ISNUMBER($H175)),$H175&lt;0,$H175&gt;1)),"Peso fuera de rango"&amp;" · ","")&amp;IF(AND($V175="Sub",$H175&lt;&gt;""),"Las subactividades no llevan peso (valen igual dentro de su macroactividad)"&amp;" · ","")&amp;IF(AND(N($W175)&gt;0,COUNT($I175:$L175)&gt;0),"Con subactividades: deje vacías las semanas (se calculan solas)"&amp;" · ","")&amp;IF((COUNTIF($I175:$L175,"&gt;1")+COUNTIF($I175:$L175,"&lt;0")+COUNTA($I175:$L175)-COUNT($I175:$L175))&gt;0,"Avance fuera de rango 0-100%"&amp;" · ","")&amp;IF(OR(AND($J175&lt;&gt;"",$J175&lt;$I175),AND($K175&lt;&gt;"",$K175&lt;MAX($I175:$J175)),AND($L175&lt;&gt;"",$L175&lt;MAX($I175:$K175))),"Avance semanal decreciente"&amp;" · ","")&amp;IF(AND(ISNUMBER($AN175),$AN175&lt;FechaRef,IF($V175="Sub",N($X175),N($M175))&lt;1),"Vencida"&amp;" · ","")&amp;IF(AND(ObsObligatoria="Sí",ISNUMBER($AN175),$AN175&lt;FechaRef,IF($V175="Sub",N($X175),N($M175))&lt;1,$Q175=""),"Vencida sin observación"&amp;" · ",""),LEN(IF($C175="","Falta el nombre de la actividad"&amp;" · ","")&amp;IF(AND($V175="Sub",N($U175)=0),"Subactividad sin macroactividad arriba"&amp;" · ","")&amp;IF($AM175="","Sin fecha de inicio"&amp;" · ","")&amp;IF($AN175="","Sin fecha límite"&amp;" · ","")&amp;IF(AND(LEFT($C175,11)="[Jefatura] ",N($AL175)=0),"No se encuentra en la hoja de la jefatura (elíjala de nuevo en la lista)"&amp;" · ","")&amp;IF(OR(AND($E175&lt;&gt;"",NOT(ISNUMBER($E175))),AND($F175&lt;&gt;"",NOT(ISNUMBER($F175))),AND($G175&lt;&gt;"",NOT(ISNUMBER($G175)))),"Fecha no válida"&amp;" · ","")&amp;IF(AND(ISNUMBER($AM175),ISNUMBER($AN175),$AM175&gt;$AN175),"Inicio posterior a fecha límite"&amp;" · ","")&amp;IF(AND($V175="Macro",$H175&lt;&gt;"",OR(NOT(ISNUMBER($H175)),$H175&lt;0,$H175&gt;1)),"Peso fuera de rango"&amp;" · ","")&amp;IF(AND($V175="Sub",$H175&lt;&gt;""),"Las subactividades no llevan peso (valen igual dentro de su macroactividad)"&amp;" · ","")&amp;IF(AND(N($W175)&gt;0,COUNT($I175:$L175)&gt;0),"Con subactividades: deje vacías las semanas (se calculan solas)"&amp;" · ","")&amp;IF((COUNTIF($I175:$L175,"&gt;1")+COUNTIF($I175:$L175,"&lt;0")+COUNTA($I175:$L175)-COUNT($I175:$L175))&gt;0,"Avance fuera de rango 0-100%"&amp;" · ","")&amp;IF(OR(AND($J175&lt;&gt;"",$J175&lt;$I175),AND($K175&lt;&gt;"",$K175&lt;MAX($I175:$J175)),AND($L175&lt;&gt;"",$L175&lt;MAX($I175:$K175))),"Avance semanal decreciente"&amp;" · ","")&amp;IF(AND(ISNUMBER($AN175),$AN175&lt;FechaRef,IF($V175="Sub",N($X175),N($M175))&lt;1),"Vencida"&amp;" · ","")&amp;IF(AND(ObsObligatoria="Sí",ISNUMBER($AN175),$AN175&lt;FechaRef,IF($V175="Sub",N($X175),N($M175))&lt;1,$Q175=""),"Vencida sin observación"&amp;" · ",""))-3)))</f>
        <v/>
      </c>
      <c r="S175" s="64">
        <f>IF(NOT((COUNTA($B175:$D175)+COUNTA($G175:$L175)+COUNTA($Q175))&gt;0),"",IF(AND($V175="Sub",N($U175)&gt;0),IF(ISNUMBER(INDEX($AM$5:$AM$1000,$U175-4)),DATE(YEAR(INDEX($AM$5:$AM$1000,$U175-4)),MONTH(INDEX($AM$5:$AM$1000,$U175-4)),1),IF(ISNUMBER(INDEX($AN$5:$AN$1000,$U175-4)),DATE(YEAR(INDEX($AN$5:$AN$1000,$U175-4)),MONTH(INDEX($AN$5:$AN$1000,$U175-4)),1),MesCiclo)),IF(ISNUMBER($AM175),DATE(YEAR($AM175),MONTH($AM175),1),IF(ISNUMBER($AN175),DATE(YEAR($AN175),MONTH($AN175),1),MesCiclo))))</f>
        <v/>
      </c>
      <c r="T175" s="62">
        <f>IF(OR($S175="",$S175&lt;&gt;MesCiclo,$V175&lt;&gt;"Macro"),"",COUNTIFS($S$5:$S175,MesCiclo,$V$5:$V175,"Macro"))</f>
        <v/>
      </c>
      <c r="U175" s="62">
        <f>IF($V175="","",IF($V175="Macro",ROW(),IFERROR(LOOKUP(2,1/($V$5:$V175="Macro"),ROW($V$5:$V175)),0)))</f>
        <v/>
      </c>
      <c r="V175" s="62">
        <f>IF(NOT((COUNTA($B175:$D175)+COUNTA($G175:$L175)+COUNTA($Q175))&gt;0),"",IF($B175="Subactividad","Sub","Macro"))</f>
        <v/>
      </c>
      <c r="W175" s="62">
        <f>IF($V175="Macro",COUNTIFS($U$5:$U$1000,ROW(),$V$5:$V$1000,"Sub"),"")</f>
        <v/>
      </c>
      <c r="X175" s="62">
        <f>IF($V175="","",IF(ISNUMBER($G175),1,IFERROR(LOOKUP(2,1/($I175:$L175&lt;&gt;""),$I175:$L175),0)))</f>
        <v/>
      </c>
      <c r="Y175" s="62">
        <f>IF($V175="","",IF(AND(ISNUMBER($G175),$G175&lt;=IF($S175=MesCiclo,InicioCiclo,$S175+MOD(2-WEEKDAY($S175),7))+6),1,IF(ISNUMBER($I175),$I175,0)))</f>
        <v/>
      </c>
      <c r="Z175" s="62">
        <f>IF($V175="","",IF(AND(ISNUMBER($G175),$G175&lt;=IF($S175=MesCiclo,InicioCiclo,$S175+MOD(2-WEEKDAY($S175),7))+13),1,IF(ISNUMBER($J175),$J175,$Y175)))</f>
        <v/>
      </c>
      <c r="AA175" s="62">
        <f>IF($V175="","",IF(AND(ISNUMBER($G175),$G175&lt;=IF($S175=MesCiclo,InicioCiclo,$S175+MOD(2-WEEKDAY($S175),7))+20),1,IF(ISNUMBER($K175),$K175,$Z175)))</f>
        <v/>
      </c>
      <c r="AB175" s="62">
        <f>IF($V175="","",IF(AND(ISNUMBER($G175),$G175&lt;=IF($S175=MesCiclo,InicioCiclo,$S175+MOD(2-WEEKDAY($S175),7))+27),1,IF(ISNUMBER($L175),$L175,$AA175)))</f>
        <v/>
      </c>
      <c r="AC175" s="62">
        <f>IF($V175="","",IF(AND(ISNUMBER($G175),$G175&lt;=IF($S175=MesCiclo,InicioCiclo,$S175+MOD(2-WEEKDAY($S175),7))+6),1,IF(N($W175)&gt;0,AVERAGEIFS($Y$5:$Y$1000,$U$5:$U$1000,ROW(),$V$5:$V$1000,"Sub"),$Y175)))</f>
        <v/>
      </c>
      <c r="AD175" s="62">
        <f>IF($V175="","",IF(AND(ISNUMBER($G175),$G175&lt;=IF($S175=MesCiclo,InicioCiclo,$S175+MOD(2-WEEKDAY($S175),7))+13),1,IF(N($W175)&gt;0,AVERAGEIFS($Z$5:$Z$1000,$U$5:$U$1000,ROW(),$V$5:$V$1000,"Sub"),$Z175)))</f>
        <v/>
      </c>
      <c r="AE175" s="62">
        <f>IF($V175="","",IF(AND(ISNUMBER($G175),$G175&lt;=IF($S175=MesCiclo,InicioCiclo,$S175+MOD(2-WEEKDAY($S175),7))+20),1,IF(N($W175)&gt;0,AVERAGEIFS($AA$5:$AA$1000,$U$5:$U$1000,ROW(),$V$5:$V$1000,"Sub"),$AA175)))</f>
        <v/>
      </c>
      <c r="AF175" s="62">
        <f>IF($V175="","",IF(AND(ISNUMBER($G175),$G175&lt;=IF($S175=MesCiclo,InicioCiclo,$S175+MOD(2-WEEKDAY($S175),7))+27),1,IF(N($W175)&gt;0,AVERAGEIFS($AB$5:$AB$1000,$U$5:$U$1000,ROW(),$V$5:$V$1000,"Sub"),$AB175)))</f>
        <v/>
      </c>
      <c r="AG175" s="62">
        <f>IF($V175&lt;&gt;"Macro","",IF(COUNTIFS($S$5:$S$1000,$S175,$V$5:$V$1000,"Macro",$H$5:$H$1000,"&gt;0")=0,1/COUNTIFS($S$5:$S$1000,$S175,$V$5:$V$1000,"Macro"),IF(AND(ISNUMBER($H175),N($H175)&gt;0),$H175,SUMIFS($H$5:$H$1000,$S$5:$S$1000,$S175,$V$5:$V$1000,"Macro")/COUNTIFS($S$5:$S$1000,$S175,$V$5:$V$1000,"Macro",$H$5:$H$1000,"&gt;0"))/(COUNTIFS($S$5:$S$1000,$S175,$V$5:$V$1000,"Macro")*SUMIFS($H$5:$H$1000,$S$5:$S$1000,$S175,$V$5:$V$1000,"Macro")/COUNTIFS($S$5:$S$1000,$S175,$V$5:$V$1000,"Macro",$H$5:$H$1000,"&gt;0"))))</f>
        <v/>
      </c>
      <c r="AH175" s="62" t="n"/>
      <c r="AI175" s="62" t="n"/>
      <c r="AJ175" s="62" t="n"/>
      <c r="AK175" s="62" t="n"/>
      <c r="AL175" s="62">
        <f>IF(LEFT($C175,11)="[Jefatura] ",IFERROR(MATCH("Asistente Técnico de Riesgo|"&amp;MID($C175,12,500),rDname_ADM,0),0),"")</f>
        <v/>
      </c>
      <c r="AM175" s="62">
        <f>IF(N($AL175)&gt;0,INDEX(rIni_ADM,$AL175),IF(ISNUMBER($E175),$E175,""))</f>
        <v/>
      </c>
      <c r="AN175" s="62">
        <f>IF(N($AL175)&gt;0,INDEX(rLim_ADM,$AL175),IF(ISNUMBER($F175),$F175,""))</f>
        <v/>
      </c>
    </row>
    <row r="176">
      <c r="A176" s="56">
        <f>IF(NOT((COUNTA($B176:$D176)+COUNTA($G176:$L176)+COUNTA($Q176))&gt;0),"",IF($V176="Macro",COUNTIFS($V$5:$V176,"Macro",$S$5:$S176,$S176),IF(N($U176)=0,"?",COUNTIFS(INDEX($V$5:$V$1000,1):INDEX($V$5:$V$1000,$U176-4),"Macro",INDEX($S$5:$S$1000,1):INDEX($S$5:$S$1000,$U176-4),INDEX($S$5:$S$1000,$U176-4))&amp;"."&amp;COUNTIFS($U$5:$U176,$U176,$V$5:$V176,"Sub"))))</f>
        <v/>
      </c>
      <c r="B176" s="57" t="n"/>
      <c r="C176" s="58" t="n"/>
      <c r="D176" s="58" t="n"/>
      <c r="E176" s="59">
        <f>IF(N($AL176)&gt;0,INDEX(rIni_ADM,$AL176),"")</f>
        <v/>
      </c>
      <c r="F176" s="59">
        <f>IF(N($AL176)&gt;0,INDEX(rLim_ADM,$AL176),"")</f>
        <v/>
      </c>
      <c r="G176" s="59" t="n"/>
      <c r="H176" s="60" t="n"/>
      <c r="I176" s="60" t="n"/>
      <c r="J176" s="60" t="n"/>
      <c r="K176" s="60" t="n"/>
      <c r="L176" s="60" t="n"/>
      <c r="M176" s="61">
        <f>IF(NOT((COUNTA($B176:$D176)+COUNTA($G176:$L176)+COUNTA($Q176))&gt;0),"",IF($V176="Sub",IFERROR($X176/INDEX($W$5:$W$1000,$U176-4),""),IF(ISNUMBER($G176),1,IF(N($W176)&gt;0,AVERAGEIFS($X$5:$X$1000,$U$5:$U$1000,ROW(),$V$5:$V$1000,"Sub"),$X176))))</f>
        <v/>
      </c>
      <c r="N176" s="56">
        <f>IF(OR($M176="",$V176="Sub"),"",IF($M176&gt;=1,"Completado",IF($M176&gt;0,"En curso","Pendiente")))</f>
        <v/>
      </c>
      <c r="O176" s="56">
        <f>IF(OR(NOT((COUNTA($B176:$D176)+COUNTA($G176:$L176)+COUNTA($Q176))&gt;0),$V176="Sub"),"",IF(ISNUMBER($G176),IF(AND(ISNUMBER($AN176),$G176&gt;$AN176),"Cumplida con "&amp;($G176-$AN176)&amp;IF($G176-$AN176=1," día"," días")&amp;" de retraso","Cumplida"),IF(N($M176)&gt;=1,"Cumplida",IF(NOT(ISNUMBER($AN176)),"Sin fecha límite",IF($AN176&lt;FechaRef,"Vencida hace "&amp;(FechaRef-$AN176)&amp;IF(FechaRef-$AN176=1," día"," días"),IF($AN176=FechaRef,"Vence hoy",IF($AN176-FechaRef&lt;=DiasAlerta,"Vence en "&amp;($AN176-FechaRef)&amp;IF($AN176-FechaRef=1," día"," días"),"En plazo")))))))</f>
        <v/>
      </c>
      <c r="P176" s="62" t="n"/>
      <c r="Q176" s="58" t="n"/>
      <c r="R176" s="63">
        <f>IF(NOT((COUNTA($B176:$D176)+COUNTA($G176:$L176)+COUNTA($Q176))&gt;0),"",IF((IF($C176="","Falta el nombre de la actividad"&amp;" · ","")&amp;IF(AND($V176="Sub",N($U176)=0),"Subactividad sin macroactividad arriba"&amp;" · ","")&amp;IF($AM176="","Sin fecha de inicio"&amp;" · ","")&amp;IF($AN176="","Sin fecha límite"&amp;" · ","")&amp;IF(AND(LEFT($C176,11)="[Jefatura] ",N($AL176)=0),"No se encuentra en la hoja de la jefatura (elíjala de nuevo en la lista)"&amp;" · ","")&amp;IF(OR(AND($E176&lt;&gt;"",NOT(ISNUMBER($E176))),AND($F176&lt;&gt;"",NOT(ISNUMBER($F176))),AND($G176&lt;&gt;"",NOT(ISNUMBER($G176)))),"Fecha no válida"&amp;" · ","")&amp;IF(AND(ISNUMBER($AM176),ISNUMBER($AN176),$AM176&gt;$AN176),"Inicio posterior a fecha límite"&amp;" · ","")&amp;IF(AND($V176="Macro",$H176&lt;&gt;"",OR(NOT(ISNUMBER($H176)),$H176&lt;0,$H176&gt;1)),"Peso fuera de rango"&amp;" · ","")&amp;IF(AND($V176="Sub",$H176&lt;&gt;""),"Las subactividades no llevan peso (valen igual dentro de su macroactividad)"&amp;" · ","")&amp;IF(AND(N($W176)&gt;0,COUNT($I176:$L176)&gt;0),"Con subactividades: deje vacías las semanas (se calculan solas)"&amp;" · ","")&amp;IF((COUNTIF($I176:$L176,"&gt;1")+COUNTIF($I176:$L176,"&lt;0")+COUNTA($I176:$L176)-COUNT($I176:$L176))&gt;0,"Avance fuera de rango 0-100%"&amp;" · ","")&amp;IF(OR(AND($J176&lt;&gt;"",$J176&lt;$I176),AND($K176&lt;&gt;"",$K176&lt;MAX($I176:$J176)),AND($L176&lt;&gt;"",$L176&lt;MAX($I176:$K176))),"Avance semanal decreciente"&amp;" · ","")&amp;IF(AND(ISNUMBER($AN176),$AN176&lt;FechaRef,IF($V176="Sub",N($X176),N($M176))&lt;1),"Vencida"&amp;" · ","")&amp;IF(AND(ObsObligatoria="Sí",ISNUMBER($AN176),$AN176&lt;FechaRef,IF($V176="Sub",N($X176),N($M176))&lt;1,$Q176=""),"Vencida sin observación"&amp;" · ",""))="","✔ OK","⚠ "&amp;LEFT(IF($C176="","Falta el nombre de la actividad"&amp;" · ","")&amp;IF(AND($V176="Sub",N($U176)=0),"Subactividad sin macroactividad arriba"&amp;" · ","")&amp;IF($AM176="","Sin fecha de inicio"&amp;" · ","")&amp;IF($AN176="","Sin fecha límite"&amp;" · ","")&amp;IF(AND(LEFT($C176,11)="[Jefatura] ",N($AL176)=0),"No se encuentra en la hoja de la jefatura (elíjala de nuevo en la lista)"&amp;" · ","")&amp;IF(OR(AND($E176&lt;&gt;"",NOT(ISNUMBER($E176))),AND($F176&lt;&gt;"",NOT(ISNUMBER($F176))),AND($G176&lt;&gt;"",NOT(ISNUMBER($G176)))),"Fecha no válida"&amp;" · ","")&amp;IF(AND(ISNUMBER($AM176),ISNUMBER($AN176),$AM176&gt;$AN176),"Inicio posterior a fecha límite"&amp;" · ","")&amp;IF(AND($V176="Macro",$H176&lt;&gt;"",OR(NOT(ISNUMBER($H176)),$H176&lt;0,$H176&gt;1)),"Peso fuera de rango"&amp;" · ","")&amp;IF(AND($V176="Sub",$H176&lt;&gt;""),"Las subactividades no llevan peso (valen igual dentro de su macroactividad)"&amp;" · ","")&amp;IF(AND(N($W176)&gt;0,COUNT($I176:$L176)&gt;0),"Con subactividades: deje vacías las semanas (se calculan solas)"&amp;" · ","")&amp;IF((COUNTIF($I176:$L176,"&gt;1")+COUNTIF($I176:$L176,"&lt;0")+COUNTA($I176:$L176)-COUNT($I176:$L176))&gt;0,"Avance fuera de rango 0-100%"&amp;" · ","")&amp;IF(OR(AND($J176&lt;&gt;"",$J176&lt;$I176),AND($K176&lt;&gt;"",$K176&lt;MAX($I176:$J176)),AND($L176&lt;&gt;"",$L176&lt;MAX($I176:$K176))),"Avance semanal decreciente"&amp;" · ","")&amp;IF(AND(ISNUMBER($AN176),$AN176&lt;FechaRef,IF($V176="Sub",N($X176),N($M176))&lt;1),"Vencida"&amp;" · ","")&amp;IF(AND(ObsObligatoria="Sí",ISNUMBER($AN176),$AN176&lt;FechaRef,IF($V176="Sub",N($X176),N($M176))&lt;1,$Q176=""),"Vencida sin observación"&amp;" · ",""),LEN(IF($C176="","Falta el nombre de la actividad"&amp;" · ","")&amp;IF(AND($V176="Sub",N($U176)=0),"Subactividad sin macroactividad arriba"&amp;" · ","")&amp;IF($AM176="","Sin fecha de inicio"&amp;" · ","")&amp;IF($AN176="","Sin fecha límite"&amp;" · ","")&amp;IF(AND(LEFT($C176,11)="[Jefatura] ",N($AL176)=0),"No se encuentra en la hoja de la jefatura (elíjala de nuevo en la lista)"&amp;" · ","")&amp;IF(OR(AND($E176&lt;&gt;"",NOT(ISNUMBER($E176))),AND($F176&lt;&gt;"",NOT(ISNUMBER($F176))),AND($G176&lt;&gt;"",NOT(ISNUMBER($G176)))),"Fecha no válida"&amp;" · ","")&amp;IF(AND(ISNUMBER($AM176),ISNUMBER($AN176),$AM176&gt;$AN176),"Inicio posterior a fecha límite"&amp;" · ","")&amp;IF(AND($V176="Macro",$H176&lt;&gt;"",OR(NOT(ISNUMBER($H176)),$H176&lt;0,$H176&gt;1)),"Peso fuera de rango"&amp;" · ","")&amp;IF(AND($V176="Sub",$H176&lt;&gt;""),"Las subactividades no llevan peso (valen igual dentro de su macroactividad)"&amp;" · ","")&amp;IF(AND(N($W176)&gt;0,COUNT($I176:$L176)&gt;0),"Con subactividades: deje vacías las semanas (se calculan solas)"&amp;" · ","")&amp;IF((COUNTIF($I176:$L176,"&gt;1")+COUNTIF($I176:$L176,"&lt;0")+COUNTA($I176:$L176)-COUNT($I176:$L176))&gt;0,"Avance fuera de rango 0-100%"&amp;" · ","")&amp;IF(OR(AND($J176&lt;&gt;"",$J176&lt;$I176),AND($K176&lt;&gt;"",$K176&lt;MAX($I176:$J176)),AND($L176&lt;&gt;"",$L176&lt;MAX($I176:$K176))),"Avance semanal decreciente"&amp;" · ","")&amp;IF(AND(ISNUMBER($AN176),$AN176&lt;FechaRef,IF($V176="Sub",N($X176),N($M176))&lt;1),"Vencida"&amp;" · ","")&amp;IF(AND(ObsObligatoria="Sí",ISNUMBER($AN176),$AN176&lt;FechaRef,IF($V176="Sub",N($X176),N($M176))&lt;1,$Q176=""),"Vencida sin observación"&amp;" · ",""))-3)))</f>
        <v/>
      </c>
      <c r="S176" s="64">
        <f>IF(NOT((COUNTA($B176:$D176)+COUNTA($G176:$L176)+COUNTA($Q176))&gt;0),"",IF(AND($V176="Sub",N($U176)&gt;0),IF(ISNUMBER(INDEX($AM$5:$AM$1000,$U176-4)),DATE(YEAR(INDEX($AM$5:$AM$1000,$U176-4)),MONTH(INDEX($AM$5:$AM$1000,$U176-4)),1),IF(ISNUMBER(INDEX($AN$5:$AN$1000,$U176-4)),DATE(YEAR(INDEX($AN$5:$AN$1000,$U176-4)),MONTH(INDEX($AN$5:$AN$1000,$U176-4)),1),MesCiclo)),IF(ISNUMBER($AM176),DATE(YEAR($AM176),MONTH($AM176),1),IF(ISNUMBER($AN176),DATE(YEAR($AN176),MONTH($AN176),1),MesCiclo))))</f>
        <v/>
      </c>
      <c r="T176" s="62">
        <f>IF(OR($S176="",$S176&lt;&gt;MesCiclo,$V176&lt;&gt;"Macro"),"",COUNTIFS($S$5:$S176,MesCiclo,$V$5:$V176,"Macro"))</f>
        <v/>
      </c>
      <c r="U176" s="62">
        <f>IF($V176="","",IF($V176="Macro",ROW(),IFERROR(LOOKUP(2,1/($V$5:$V176="Macro"),ROW($V$5:$V176)),0)))</f>
        <v/>
      </c>
      <c r="V176" s="62">
        <f>IF(NOT((COUNTA($B176:$D176)+COUNTA($G176:$L176)+COUNTA($Q176))&gt;0),"",IF($B176="Subactividad","Sub","Macro"))</f>
        <v/>
      </c>
      <c r="W176" s="62">
        <f>IF($V176="Macro",COUNTIFS($U$5:$U$1000,ROW(),$V$5:$V$1000,"Sub"),"")</f>
        <v/>
      </c>
      <c r="X176" s="62">
        <f>IF($V176="","",IF(ISNUMBER($G176),1,IFERROR(LOOKUP(2,1/($I176:$L176&lt;&gt;""),$I176:$L176),0)))</f>
        <v/>
      </c>
      <c r="Y176" s="62">
        <f>IF($V176="","",IF(AND(ISNUMBER($G176),$G176&lt;=IF($S176=MesCiclo,InicioCiclo,$S176+MOD(2-WEEKDAY($S176),7))+6),1,IF(ISNUMBER($I176),$I176,0)))</f>
        <v/>
      </c>
      <c r="Z176" s="62">
        <f>IF($V176="","",IF(AND(ISNUMBER($G176),$G176&lt;=IF($S176=MesCiclo,InicioCiclo,$S176+MOD(2-WEEKDAY($S176),7))+13),1,IF(ISNUMBER($J176),$J176,$Y176)))</f>
        <v/>
      </c>
      <c r="AA176" s="62">
        <f>IF($V176="","",IF(AND(ISNUMBER($G176),$G176&lt;=IF($S176=MesCiclo,InicioCiclo,$S176+MOD(2-WEEKDAY($S176),7))+20),1,IF(ISNUMBER($K176),$K176,$Z176)))</f>
        <v/>
      </c>
      <c r="AB176" s="62">
        <f>IF($V176="","",IF(AND(ISNUMBER($G176),$G176&lt;=IF($S176=MesCiclo,InicioCiclo,$S176+MOD(2-WEEKDAY($S176),7))+27),1,IF(ISNUMBER($L176),$L176,$AA176)))</f>
        <v/>
      </c>
      <c r="AC176" s="62">
        <f>IF($V176="","",IF(AND(ISNUMBER($G176),$G176&lt;=IF($S176=MesCiclo,InicioCiclo,$S176+MOD(2-WEEKDAY($S176),7))+6),1,IF(N($W176)&gt;0,AVERAGEIFS($Y$5:$Y$1000,$U$5:$U$1000,ROW(),$V$5:$V$1000,"Sub"),$Y176)))</f>
        <v/>
      </c>
      <c r="AD176" s="62">
        <f>IF($V176="","",IF(AND(ISNUMBER($G176),$G176&lt;=IF($S176=MesCiclo,InicioCiclo,$S176+MOD(2-WEEKDAY($S176),7))+13),1,IF(N($W176)&gt;0,AVERAGEIFS($Z$5:$Z$1000,$U$5:$U$1000,ROW(),$V$5:$V$1000,"Sub"),$Z176)))</f>
        <v/>
      </c>
      <c r="AE176" s="62">
        <f>IF($V176="","",IF(AND(ISNUMBER($G176),$G176&lt;=IF($S176=MesCiclo,InicioCiclo,$S176+MOD(2-WEEKDAY($S176),7))+20),1,IF(N($W176)&gt;0,AVERAGEIFS($AA$5:$AA$1000,$U$5:$U$1000,ROW(),$V$5:$V$1000,"Sub"),$AA176)))</f>
        <v/>
      </c>
      <c r="AF176" s="62">
        <f>IF($V176="","",IF(AND(ISNUMBER($G176),$G176&lt;=IF($S176=MesCiclo,InicioCiclo,$S176+MOD(2-WEEKDAY($S176),7))+27),1,IF(N($W176)&gt;0,AVERAGEIFS($AB$5:$AB$1000,$U$5:$U$1000,ROW(),$V$5:$V$1000,"Sub"),$AB176)))</f>
        <v/>
      </c>
      <c r="AG176" s="62">
        <f>IF($V176&lt;&gt;"Macro","",IF(COUNTIFS($S$5:$S$1000,$S176,$V$5:$V$1000,"Macro",$H$5:$H$1000,"&gt;0")=0,1/COUNTIFS($S$5:$S$1000,$S176,$V$5:$V$1000,"Macro"),IF(AND(ISNUMBER($H176),N($H176)&gt;0),$H176,SUMIFS($H$5:$H$1000,$S$5:$S$1000,$S176,$V$5:$V$1000,"Macro")/COUNTIFS($S$5:$S$1000,$S176,$V$5:$V$1000,"Macro",$H$5:$H$1000,"&gt;0"))/(COUNTIFS($S$5:$S$1000,$S176,$V$5:$V$1000,"Macro")*SUMIFS($H$5:$H$1000,$S$5:$S$1000,$S176,$V$5:$V$1000,"Macro")/COUNTIFS($S$5:$S$1000,$S176,$V$5:$V$1000,"Macro",$H$5:$H$1000,"&gt;0"))))</f>
        <v/>
      </c>
      <c r="AH176" s="62" t="n"/>
      <c r="AI176" s="62" t="n"/>
      <c r="AJ176" s="62" t="n"/>
      <c r="AK176" s="62" t="n"/>
      <c r="AL176" s="62">
        <f>IF(LEFT($C176,11)="[Jefatura] ",IFERROR(MATCH("Asistente Técnico de Riesgo|"&amp;MID($C176,12,500),rDname_ADM,0),0),"")</f>
        <v/>
      </c>
      <c r="AM176" s="62">
        <f>IF(N($AL176)&gt;0,INDEX(rIni_ADM,$AL176),IF(ISNUMBER($E176),$E176,""))</f>
        <v/>
      </c>
      <c r="AN176" s="62">
        <f>IF(N($AL176)&gt;0,INDEX(rLim_ADM,$AL176),IF(ISNUMBER($F176),$F176,""))</f>
        <v/>
      </c>
    </row>
    <row r="177">
      <c r="A177" s="56">
        <f>IF(NOT((COUNTA($B177:$D177)+COUNTA($G177:$L177)+COUNTA($Q177))&gt;0),"",IF($V177="Macro",COUNTIFS($V$5:$V177,"Macro",$S$5:$S177,$S177),IF(N($U177)=0,"?",COUNTIFS(INDEX($V$5:$V$1000,1):INDEX($V$5:$V$1000,$U177-4),"Macro",INDEX($S$5:$S$1000,1):INDEX($S$5:$S$1000,$U177-4),INDEX($S$5:$S$1000,$U177-4))&amp;"."&amp;COUNTIFS($U$5:$U177,$U177,$V$5:$V177,"Sub"))))</f>
        <v/>
      </c>
      <c r="B177" s="57" t="n"/>
      <c r="C177" s="58" t="n"/>
      <c r="D177" s="58" t="n"/>
      <c r="E177" s="59">
        <f>IF(N($AL177)&gt;0,INDEX(rIni_ADM,$AL177),"")</f>
        <v/>
      </c>
      <c r="F177" s="59">
        <f>IF(N($AL177)&gt;0,INDEX(rLim_ADM,$AL177),"")</f>
        <v/>
      </c>
      <c r="G177" s="59" t="n"/>
      <c r="H177" s="60" t="n"/>
      <c r="I177" s="60" t="n"/>
      <c r="J177" s="60" t="n"/>
      <c r="K177" s="60" t="n"/>
      <c r="L177" s="60" t="n"/>
      <c r="M177" s="61">
        <f>IF(NOT((COUNTA($B177:$D177)+COUNTA($G177:$L177)+COUNTA($Q177))&gt;0),"",IF($V177="Sub",IFERROR($X177/INDEX($W$5:$W$1000,$U177-4),""),IF(ISNUMBER($G177),1,IF(N($W177)&gt;0,AVERAGEIFS($X$5:$X$1000,$U$5:$U$1000,ROW(),$V$5:$V$1000,"Sub"),$X177))))</f>
        <v/>
      </c>
      <c r="N177" s="56">
        <f>IF(OR($M177="",$V177="Sub"),"",IF($M177&gt;=1,"Completado",IF($M177&gt;0,"En curso","Pendiente")))</f>
        <v/>
      </c>
      <c r="O177" s="56">
        <f>IF(OR(NOT((COUNTA($B177:$D177)+COUNTA($G177:$L177)+COUNTA($Q177))&gt;0),$V177="Sub"),"",IF(ISNUMBER($G177),IF(AND(ISNUMBER($AN177),$G177&gt;$AN177),"Cumplida con "&amp;($G177-$AN177)&amp;IF($G177-$AN177=1," día"," días")&amp;" de retraso","Cumplida"),IF(N($M177)&gt;=1,"Cumplida",IF(NOT(ISNUMBER($AN177)),"Sin fecha límite",IF($AN177&lt;FechaRef,"Vencida hace "&amp;(FechaRef-$AN177)&amp;IF(FechaRef-$AN177=1," día"," días"),IF($AN177=FechaRef,"Vence hoy",IF($AN177-FechaRef&lt;=DiasAlerta,"Vence en "&amp;($AN177-FechaRef)&amp;IF($AN177-FechaRef=1," día"," días"),"En plazo")))))))</f>
        <v/>
      </c>
      <c r="P177" s="62" t="n"/>
      <c r="Q177" s="58" t="n"/>
      <c r="R177" s="63">
        <f>IF(NOT((COUNTA($B177:$D177)+COUNTA($G177:$L177)+COUNTA($Q177))&gt;0),"",IF((IF($C177="","Falta el nombre de la actividad"&amp;" · ","")&amp;IF(AND($V177="Sub",N($U177)=0),"Subactividad sin macroactividad arriba"&amp;" · ","")&amp;IF($AM177="","Sin fecha de inicio"&amp;" · ","")&amp;IF($AN177="","Sin fecha límite"&amp;" · ","")&amp;IF(AND(LEFT($C177,11)="[Jefatura] ",N($AL177)=0),"No se encuentra en la hoja de la jefatura (elíjala de nuevo en la lista)"&amp;" · ","")&amp;IF(OR(AND($E177&lt;&gt;"",NOT(ISNUMBER($E177))),AND($F177&lt;&gt;"",NOT(ISNUMBER($F177))),AND($G177&lt;&gt;"",NOT(ISNUMBER($G177)))),"Fecha no válida"&amp;" · ","")&amp;IF(AND(ISNUMBER($AM177),ISNUMBER($AN177),$AM177&gt;$AN177),"Inicio posterior a fecha límite"&amp;" · ","")&amp;IF(AND($V177="Macro",$H177&lt;&gt;"",OR(NOT(ISNUMBER($H177)),$H177&lt;0,$H177&gt;1)),"Peso fuera de rango"&amp;" · ","")&amp;IF(AND($V177="Sub",$H177&lt;&gt;""),"Las subactividades no llevan peso (valen igual dentro de su macroactividad)"&amp;" · ","")&amp;IF(AND(N($W177)&gt;0,COUNT($I177:$L177)&gt;0),"Con subactividades: deje vacías las semanas (se calculan solas)"&amp;" · ","")&amp;IF((COUNTIF($I177:$L177,"&gt;1")+COUNTIF($I177:$L177,"&lt;0")+COUNTA($I177:$L177)-COUNT($I177:$L177))&gt;0,"Avance fuera de rango 0-100%"&amp;" · ","")&amp;IF(OR(AND($J177&lt;&gt;"",$J177&lt;$I177),AND($K177&lt;&gt;"",$K177&lt;MAX($I177:$J177)),AND($L177&lt;&gt;"",$L177&lt;MAX($I177:$K177))),"Avance semanal decreciente"&amp;" · ","")&amp;IF(AND(ISNUMBER($AN177),$AN177&lt;FechaRef,IF($V177="Sub",N($X177),N($M177))&lt;1),"Vencida"&amp;" · ","")&amp;IF(AND(ObsObligatoria="Sí",ISNUMBER($AN177),$AN177&lt;FechaRef,IF($V177="Sub",N($X177),N($M177))&lt;1,$Q177=""),"Vencida sin observación"&amp;" · ",""))="","✔ OK","⚠ "&amp;LEFT(IF($C177="","Falta el nombre de la actividad"&amp;" · ","")&amp;IF(AND($V177="Sub",N($U177)=0),"Subactividad sin macroactividad arriba"&amp;" · ","")&amp;IF($AM177="","Sin fecha de inicio"&amp;" · ","")&amp;IF($AN177="","Sin fecha límite"&amp;" · ","")&amp;IF(AND(LEFT($C177,11)="[Jefatura] ",N($AL177)=0),"No se encuentra en la hoja de la jefatura (elíjala de nuevo en la lista)"&amp;" · ","")&amp;IF(OR(AND($E177&lt;&gt;"",NOT(ISNUMBER($E177))),AND($F177&lt;&gt;"",NOT(ISNUMBER($F177))),AND($G177&lt;&gt;"",NOT(ISNUMBER($G177)))),"Fecha no válida"&amp;" · ","")&amp;IF(AND(ISNUMBER($AM177),ISNUMBER($AN177),$AM177&gt;$AN177),"Inicio posterior a fecha límite"&amp;" · ","")&amp;IF(AND($V177="Macro",$H177&lt;&gt;"",OR(NOT(ISNUMBER($H177)),$H177&lt;0,$H177&gt;1)),"Peso fuera de rango"&amp;" · ","")&amp;IF(AND($V177="Sub",$H177&lt;&gt;""),"Las subactividades no llevan peso (valen igual dentro de su macroactividad)"&amp;" · ","")&amp;IF(AND(N($W177)&gt;0,COUNT($I177:$L177)&gt;0),"Con subactividades: deje vacías las semanas (se calculan solas)"&amp;" · ","")&amp;IF((COUNTIF($I177:$L177,"&gt;1")+COUNTIF($I177:$L177,"&lt;0")+COUNTA($I177:$L177)-COUNT($I177:$L177))&gt;0,"Avance fuera de rango 0-100%"&amp;" · ","")&amp;IF(OR(AND($J177&lt;&gt;"",$J177&lt;$I177),AND($K177&lt;&gt;"",$K177&lt;MAX($I177:$J177)),AND($L177&lt;&gt;"",$L177&lt;MAX($I177:$K177))),"Avance semanal decreciente"&amp;" · ","")&amp;IF(AND(ISNUMBER($AN177),$AN177&lt;FechaRef,IF($V177="Sub",N($X177),N($M177))&lt;1),"Vencida"&amp;" · ","")&amp;IF(AND(ObsObligatoria="Sí",ISNUMBER($AN177),$AN177&lt;FechaRef,IF($V177="Sub",N($X177),N($M177))&lt;1,$Q177=""),"Vencida sin observación"&amp;" · ",""),LEN(IF($C177="","Falta el nombre de la actividad"&amp;" · ","")&amp;IF(AND($V177="Sub",N($U177)=0),"Subactividad sin macroactividad arriba"&amp;" · ","")&amp;IF($AM177="","Sin fecha de inicio"&amp;" · ","")&amp;IF($AN177="","Sin fecha límite"&amp;" · ","")&amp;IF(AND(LEFT($C177,11)="[Jefatura] ",N($AL177)=0),"No se encuentra en la hoja de la jefatura (elíjala de nuevo en la lista)"&amp;" · ","")&amp;IF(OR(AND($E177&lt;&gt;"",NOT(ISNUMBER($E177))),AND($F177&lt;&gt;"",NOT(ISNUMBER($F177))),AND($G177&lt;&gt;"",NOT(ISNUMBER($G177)))),"Fecha no válida"&amp;" · ","")&amp;IF(AND(ISNUMBER($AM177),ISNUMBER($AN177),$AM177&gt;$AN177),"Inicio posterior a fecha límite"&amp;" · ","")&amp;IF(AND($V177="Macro",$H177&lt;&gt;"",OR(NOT(ISNUMBER($H177)),$H177&lt;0,$H177&gt;1)),"Peso fuera de rango"&amp;" · ","")&amp;IF(AND($V177="Sub",$H177&lt;&gt;""),"Las subactividades no llevan peso (valen igual dentro de su macroactividad)"&amp;" · ","")&amp;IF(AND(N($W177)&gt;0,COUNT($I177:$L177)&gt;0),"Con subactividades: deje vacías las semanas (se calculan solas)"&amp;" · ","")&amp;IF((COUNTIF($I177:$L177,"&gt;1")+COUNTIF($I177:$L177,"&lt;0")+COUNTA($I177:$L177)-COUNT($I177:$L177))&gt;0,"Avance fuera de rango 0-100%"&amp;" · ","")&amp;IF(OR(AND($J177&lt;&gt;"",$J177&lt;$I177),AND($K177&lt;&gt;"",$K177&lt;MAX($I177:$J177)),AND($L177&lt;&gt;"",$L177&lt;MAX($I177:$K177))),"Avance semanal decreciente"&amp;" · ","")&amp;IF(AND(ISNUMBER($AN177),$AN177&lt;FechaRef,IF($V177="Sub",N($X177),N($M177))&lt;1),"Vencida"&amp;" · ","")&amp;IF(AND(ObsObligatoria="Sí",ISNUMBER($AN177),$AN177&lt;FechaRef,IF($V177="Sub",N($X177),N($M177))&lt;1,$Q177=""),"Vencida sin observación"&amp;" · ",""))-3)))</f>
        <v/>
      </c>
      <c r="S177" s="64">
        <f>IF(NOT((COUNTA($B177:$D177)+COUNTA($G177:$L177)+COUNTA($Q177))&gt;0),"",IF(AND($V177="Sub",N($U177)&gt;0),IF(ISNUMBER(INDEX($AM$5:$AM$1000,$U177-4)),DATE(YEAR(INDEX($AM$5:$AM$1000,$U177-4)),MONTH(INDEX($AM$5:$AM$1000,$U177-4)),1),IF(ISNUMBER(INDEX($AN$5:$AN$1000,$U177-4)),DATE(YEAR(INDEX($AN$5:$AN$1000,$U177-4)),MONTH(INDEX($AN$5:$AN$1000,$U177-4)),1),MesCiclo)),IF(ISNUMBER($AM177),DATE(YEAR($AM177),MONTH($AM177),1),IF(ISNUMBER($AN177),DATE(YEAR($AN177),MONTH($AN177),1),MesCiclo))))</f>
        <v/>
      </c>
      <c r="T177" s="62">
        <f>IF(OR($S177="",$S177&lt;&gt;MesCiclo,$V177&lt;&gt;"Macro"),"",COUNTIFS($S$5:$S177,MesCiclo,$V$5:$V177,"Macro"))</f>
        <v/>
      </c>
      <c r="U177" s="62">
        <f>IF($V177="","",IF($V177="Macro",ROW(),IFERROR(LOOKUP(2,1/($V$5:$V177="Macro"),ROW($V$5:$V177)),0)))</f>
        <v/>
      </c>
      <c r="V177" s="62">
        <f>IF(NOT((COUNTA($B177:$D177)+COUNTA($G177:$L177)+COUNTA($Q177))&gt;0),"",IF($B177="Subactividad","Sub","Macro"))</f>
        <v/>
      </c>
      <c r="W177" s="62">
        <f>IF($V177="Macro",COUNTIFS($U$5:$U$1000,ROW(),$V$5:$V$1000,"Sub"),"")</f>
        <v/>
      </c>
      <c r="X177" s="62">
        <f>IF($V177="","",IF(ISNUMBER($G177),1,IFERROR(LOOKUP(2,1/($I177:$L177&lt;&gt;""),$I177:$L177),0)))</f>
        <v/>
      </c>
      <c r="Y177" s="62">
        <f>IF($V177="","",IF(AND(ISNUMBER($G177),$G177&lt;=IF($S177=MesCiclo,InicioCiclo,$S177+MOD(2-WEEKDAY($S177),7))+6),1,IF(ISNUMBER($I177),$I177,0)))</f>
        <v/>
      </c>
      <c r="Z177" s="62">
        <f>IF($V177="","",IF(AND(ISNUMBER($G177),$G177&lt;=IF($S177=MesCiclo,InicioCiclo,$S177+MOD(2-WEEKDAY($S177),7))+13),1,IF(ISNUMBER($J177),$J177,$Y177)))</f>
        <v/>
      </c>
      <c r="AA177" s="62">
        <f>IF($V177="","",IF(AND(ISNUMBER($G177),$G177&lt;=IF($S177=MesCiclo,InicioCiclo,$S177+MOD(2-WEEKDAY($S177),7))+20),1,IF(ISNUMBER($K177),$K177,$Z177)))</f>
        <v/>
      </c>
      <c r="AB177" s="62">
        <f>IF($V177="","",IF(AND(ISNUMBER($G177),$G177&lt;=IF($S177=MesCiclo,InicioCiclo,$S177+MOD(2-WEEKDAY($S177),7))+27),1,IF(ISNUMBER($L177),$L177,$AA177)))</f>
        <v/>
      </c>
      <c r="AC177" s="62">
        <f>IF($V177="","",IF(AND(ISNUMBER($G177),$G177&lt;=IF($S177=MesCiclo,InicioCiclo,$S177+MOD(2-WEEKDAY($S177),7))+6),1,IF(N($W177)&gt;0,AVERAGEIFS($Y$5:$Y$1000,$U$5:$U$1000,ROW(),$V$5:$V$1000,"Sub"),$Y177)))</f>
        <v/>
      </c>
      <c r="AD177" s="62">
        <f>IF($V177="","",IF(AND(ISNUMBER($G177),$G177&lt;=IF($S177=MesCiclo,InicioCiclo,$S177+MOD(2-WEEKDAY($S177),7))+13),1,IF(N($W177)&gt;0,AVERAGEIFS($Z$5:$Z$1000,$U$5:$U$1000,ROW(),$V$5:$V$1000,"Sub"),$Z177)))</f>
        <v/>
      </c>
      <c r="AE177" s="62">
        <f>IF($V177="","",IF(AND(ISNUMBER($G177),$G177&lt;=IF($S177=MesCiclo,InicioCiclo,$S177+MOD(2-WEEKDAY($S177),7))+20),1,IF(N($W177)&gt;0,AVERAGEIFS($AA$5:$AA$1000,$U$5:$U$1000,ROW(),$V$5:$V$1000,"Sub"),$AA177)))</f>
        <v/>
      </c>
      <c r="AF177" s="62">
        <f>IF($V177="","",IF(AND(ISNUMBER($G177),$G177&lt;=IF($S177=MesCiclo,InicioCiclo,$S177+MOD(2-WEEKDAY($S177),7))+27),1,IF(N($W177)&gt;0,AVERAGEIFS($AB$5:$AB$1000,$U$5:$U$1000,ROW(),$V$5:$V$1000,"Sub"),$AB177)))</f>
        <v/>
      </c>
      <c r="AG177" s="62">
        <f>IF($V177&lt;&gt;"Macro","",IF(COUNTIFS($S$5:$S$1000,$S177,$V$5:$V$1000,"Macro",$H$5:$H$1000,"&gt;0")=0,1/COUNTIFS($S$5:$S$1000,$S177,$V$5:$V$1000,"Macro"),IF(AND(ISNUMBER($H177),N($H177)&gt;0),$H177,SUMIFS($H$5:$H$1000,$S$5:$S$1000,$S177,$V$5:$V$1000,"Macro")/COUNTIFS($S$5:$S$1000,$S177,$V$5:$V$1000,"Macro",$H$5:$H$1000,"&gt;0"))/(COUNTIFS($S$5:$S$1000,$S177,$V$5:$V$1000,"Macro")*SUMIFS($H$5:$H$1000,$S$5:$S$1000,$S177,$V$5:$V$1000,"Macro")/COUNTIFS($S$5:$S$1000,$S177,$V$5:$V$1000,"Macro",$H$5:$H$1000,"&gt;0"))))</f>
        <v/>
      </c>
      <c r="AH177" s="62" t="n"/>
      <c r="AI177" s="62" t="n"/>
      <c r="AJ177" s="62" t="n"/>
      <c r="AK177" s="62" t="n"/>
      <c r="AL177" s="62">
        <f>IF(LEFT($C177,11)="[Jefatura] ",IFERROR(MATCH("Asistente Técnico de Riesgo|"&amp;MID($C177,12,500),rDname_ADM,0),0),"")</f>
        <v/>
      </c>
      <c r="AM177" s="62">
        <f>IF(N($AL177)&gt;0,INDEX(rIni_ADM,$AL177),IF(ISNUMBER($E177),$E177,""))</f>
        <v/>
      </c>
      <c r="AN177" s="62">
        <f>IF(N($AL177)&gt;0,INDEX(rLim_ADM,$AL177),IF(ISNUMBER($F177),$F177,""))</f>
        <v/>
      </c>
    </row>
    <row r="178">
      <c r="A178" s="56">
        <f>IF(NOT((COUNTA($B178:$D178)+COUNTA($G178:$L178)+COUNTA($Q178))&gt;0),"",IF($V178="Macro",COUNTIFS($V$5:$V178,"Macro",$S$5:$S178,$S178),IF(N($U178)=0,"?",COUNTIFS(INDEX($V$5:$V$1000,1):INDEX($V$5:$V$1000,$U178-4),"Macro",INDEX($S$5:$S$1000,1):INDEX($S$5:$S$1000,$U178-4),INDEX($S$5:$S$1000,$U178-4))&amp;"."&amp;COUNTIFS($U$5:$U178,$U178,$V$5:$V178,"Sub"))))</f>
        <v/>
      </c>
      <c r="B178" s="57" t="n"/>
      <c r="C178" s="58" t="n"/>
      <c r="D178" s="58" t="n"/>
      <c r="E178" s="59">
        <f>IF(N($AL178)&gt;0,INDEX(rIni_ADM,$AL178),"")</f>
        <v/>
      </c>
      <c r="F178" s="59">
        <f>IF(N($AL178)&gt;0,INDEX(rLim_ADM,$AL178),"")</f>
        <v/>
      </c>
      <c r="G178" s="59" t="n"/>
      <c r="H178" s="60" t="n"/>
      <c r="I178" s="60" t="n"/>
      <c r="J178" s="60" t="n"/>
      <c r="K178" s="60" t="n"/>
      <c r="L178" s="60" t="n"/>
      <c r="M178" s="61">
        <f>IF(NOT((COUNTA($B178:$D178)+COUNTA($G178:$L178)+COUNTA($Q178))&gt;0),"",IF($V178="Sub",IFERROR($X178/INDEX($W$5:$W$1000,$U178-4),""),IF(ISNUMBER($G178),1,IF(N($W178)&gt;0,AVERAGEIFS($X$5:$X$1000,$U$5:$U$1000,ROW(),$V$5:$V$1000,"Sub"),$X178))))</f>
        <v/>
      </c>
      <c r="N178" s="56">
        <f>IF(OR($M178="",$V178="Sub"),"",IF($M178&gt;=1,"Completado",IF($M178&gt;0,"En curso","Pendiente")))</f>
        <v/>
      </c>
      <c r="O178" s="56">
        <f>IF(OR(NOT((COUNTA($B178:$D178)+COUNTA($G178:$L178)+COUNTA($Q178))&gt;0),$V178="Sub"),"",IF(ISNUMBER($G178),IF(AND(ISNUMBER($AN178),$G178&gt;$AN178),"Cumplida con "&amp;($G178-$AN178)&amp;IF($G178-$AN178=1," día"," días")&amp;" de retraso","Cumplida"),IF(N($M178)&gt;=1,"Cumplida",IF(NOT(ISNUMBER($AN178)),"Sin fecha límite",IF($AN178&lt;FechaRef,"Vencida hace "&amp;(FechaRef-$AN178)&amp;IF(FechaRef-$AN178=1," día"," días"),IF($AN178=FechaRef,"Vence hoy",IF($AN178-FechaRef&lt;=DiasAlerta,"Vence en "&amp;($AN178-FechaRef)&amp;IF($AN178-FechaRef=1," día"," días"),"En plazo")))))))</f>
        <v/>
      </c>
      <c r="P178" s="62" t="n"/>
      <c r="Q178" s="58" t="n"/>
      <c r="R178" s="63">
        <f>IF(NOT((COUNTA($B178:$D178)+COUNTA($G178:$L178)+COUNTA($Q178))&gt;0),"",IF((IF($C178="","Falta el nombre de la actividad"&amp;" · ","")&amp;IF(AND($V178="Sub",N($U178)=0),"Subactividad sin macroactividad arriba"&amp;" · ","")&amp;IF($AM178="","Sin fecha de inicio"&amp;" · ","")&amp;IF($AN178="","Sin fecha límite"&amp;" · ","")&amp;IF(AND(LEFT($C178,11)="[Jefatura] ",N($AL178)=0),"No se encuentra en la hoja de la jefatura (elíjala de nuevo en la lista)"&amp;" · ","")&amp;IF(OR(AND($E178&lt;&gt;"",NOT(ISNUMBER($E178))),AND($F178&lt;&gt;"",NOT(ISNUMBER($F178))),AND($G178&lt;&gt;"",NOT(ISNUMBER($G178)))),"Fecha no válida"&amp;" · ","")&amp;IF(AND(ISNUMBER($AM178),ISNUMBER($AN178),$AM178&gt;$AN178),"Inicio posterior a fecha límite"&amp;" · ","")&amp;IF(AND($V178="Macro",$H178&lt;&gt;"",OR(NOT(ISNUMBER($H178)),$H178&lt;0,$H178&gt;1)),"Peso fuera de rango"&amp;" · ","")&amp;IF(AND($V178="Sub",$H178&lt;&gt;""),"Las subactividades no llevan peso (valen igual dentro de su macroactividad)"&amp;" · ","")&amp;IF(AND(N($W178)&gt;0,COUNT($I178:$L178)&gt;0),"Con subactividades: deje vacías las semanas (se calculan solas)"&amp;" · ","")&amp;IF((COUNTIF($I178:$L178,"&gt;1")+COUNTIF($I178:$L178,"&lt;0")+COUNTA($I178:$L178)-COUNT($I178:$L178))&gt;0,"Avance fuera de rango 0-100%"&amp;" · ","")&amp;IF(OR(AND($J178&lt;&gt;"",$J178&lt;$I178),AND($K178&lt;&gt;"",$K178&lt;MAX($I178:$J178)),AND($L178&lt;&gt;"",$L178&lt;MAX($I178:$K178))),"Avance semanal decreciente"&amp;" · ","")&amp;IF(AND(ISNUMBER($AN178),$AN178&lt;FechaRef,IF($V178="Sub",N($X178),N($M178))&lt;1),"Vencida"&amp;" · ","")&amp;IF(AND(ObsObligatoria="Sí",ISNUMBER($AN178),$AN178&lt;FechaRef,IF($V178="Sub",N($X178),N($M178))&lt;1,$Q178=""),"Vencida sin observación"&amp;" · ",""))="","✔ OK","⚠ "&amp;LEFT(IF($C178="","Falta el nombre de la actividad"&amp;" · ","")&amp;IF(AND($V178="Sub",N($U178)=0),"Subactividad sin macroactividad arriba"&amp;" · ","")&amp;IF($AM178="","Sin fecha de inicio"&amp;" · ","")&amp;IF($AN178="","Sin fecha límite"&amp;" · ","")&amp;IF(AND(LEFT($C178,11)="[Jefatura] ",N($AL178)=0),"No se encuentra en la hoja de la jefatura (elíjala de nuevo en la lista)"&amp;" · ","")&amp;IF(OR(AND($E178&lt;&gt;"",NOT(ISNUMBER($E178))),AND($F178&lt;&gt;"",NOT(ISNUMBER($F178))),AND($G178&lt;&gt;"",NOT(ISNUMBER($G178)))),"Fecha no válida"&amp;" · ","")&amp;IF(AND(ISNUMBER($AM178),ISNUMBER($AN178),$AM178&gt;$AN178),"Inicio posterior a fecha límite"&amp;" · ","")&amp;IF(AND($V178="Macro",$H178&lt;&gt;"",OR(NOT(ISNUMBER($H178)),$H178&lt;0,$H178&gt;1)),"Peso fuera de rango"&amp;" · ","")&amp;IF(AND($V178="Sub",$H178&lt;&gt;""),"Las subactividades no llevan peso (valen igual dentro de su macroactividad)"&amp;" · ","")&amp;IF(AND(N($W178)&gt;0,COUNT($I178:$L178)&gt;0),"Con subactividades: deje vacías las semanas (se calculan solas)"&amp;" · ","")&amp;IF((COUNTIF($I178:$L178,"&gt;1")+COUNTIF($I178:$L178,"&lt;0")+COUNTA($I178:$L178)-COUNT($I178:$L178))&gt;0,"Avance fuera de rango 0-100%"&amp;" · ","")&amp;IF(OR(AND($J178&lt;&gt;"",$J178&lt;$I178),AND($K178&lt;&gt;"",$K178&lt;MAX($I178:$J178)),AND($L178&lt;&gt;"",$L178&lt;MAX($I178:$K178))),"Avance semanal decreciente"&amp;" · ","")&amp;IF(AND(ISNUMBER($AN178),$AN178&lt;FechaRef,IF($V178="Sub",N($X178),N($M178))&lt;1),"Vencida"&amp;" · ","")&amp;IF(AND(ObsObligatoria="Sí",ISNUMBER($AN178),$AN178&lt;FechaRef,IF($V178="Sub",N($X178),N($M178))&lt;1,$Q178=""),"Vencida sin observación"&amp;" · ",""),LEN(IF($C178="","Falta el nombre de la actividad"&amp;" · ","")&amp;IF(AND($V178="Sub",N($U178)=0),"Subactividad sin macroactividad arriba"&amp;" · ","")&amp;IF($AM178="","Sin fecha de inicio"&amp;" · ","")&amp;IF($AN178="","Sin fecha límite"&amp;" · ","")&amp;IF(AND(LEFT($C178,11)="[Jefatura] ",N($AL178)=0),"No se encuentra en la hoja de la jefatura (elíjala de nuevo en la lista)"&amp;" · ","")&amp;IF(OR(AND($E178&lt;&gt;"",NOT(ISNUMBER($E178))),AND($F178&lt;&gt;"",NOT(ISNUMBER($F178))),AND($G178&lt;&gt;"",NOT(ISNUMBER($G178)))),"Fecha no válida"&amp;" · ","")&amp;IF(AND(ISNUMBER($AM178),ISNUMBER($AN178),$AM178&gt;$AN178),"Inicio posterior a fecha límite"&amp;" · ","")&amp;IF(AND($V178="Macro",$H178&lt;&gt;"",OR(NOT(ISNUMBER($H178)),$H178&lt;0,$H178&gt;1)),"Peso fuera de rango"&amp;" · ","")&amp;IF(AND($V178="Sub",$H178&lt;&gt;""),"Las subactividades no llevan peso (valen igual dentro de su macroactividad)"&amp;" · ","")&amp;IF(AND(N($W178)&gt;0,COUNT($I178:$L178)&gt;0),"Con subactividades: deje vacías las semanas (se calculan solas)"&amp;" · ","")&amp;IF((COUNTIF($I178:$L178,"&gt;1")+COUNTIF($I178:$L178,"&lt;0")+COUNTA($I178:$L178)-COUNT($I178:$L178))&gt;0,"Avance fuera de rango 0-100%"&amp;" · ","")&amp;IF(OR(AND($J178&lt;&gt;"",$J178&lt;$I178),AND($K178&lt;&gt;"",$K178&lt;MAX($I178:$J178)),AND($L178&lt;&gt;"",$L178&lt;MAX($I178:$K178))),"Avance semanal decreciente"&amp;" · ","")&amp;IF(AND(ISNUMBER($AN178),$AN178&lt;FechaRef,IF($V178="Sub",N($X178),N($M178))&lt;1),"Vencida"&amp;" · ","")&amp;IF(AND(ObsObligatoria="Sí",ISNUMBER($AN178),$AN178&lt;FechaRef,IF($V178="Sub",N($X178),N($M178))&lt;1,$Q178=""),"Vencida sin observación"&amp;" · ",""))-3)))</f>
        <v/>
      </c>
      <c r="S178" s="64">
        <f>IF(NOT((COUNTA($B178:$D178)+COUNTA($G178:$L178)+COUNTA($Q178))&gt;0),"",IF(AND($V178="Sub",N($U178)&gt;0),IF(ISNUMBER(INDEX($AM$5:$AM$1000,$U178-4)),DATE(YEAR(INDEX($AM$5:$AM$1000,$U178-4)),MONTH(INDEX($AM$5:$AM$1000,$U178-4)),1),IF(ISNUMBER(INDEX($AN$5:$AN$1000,$U178-4)),DATE(YEAR(INDEX($AN$5:$AN$1000,$U178-4)),MONTH(INDEX($AN$5:$AN$1000,$U178-4)),1),MesCiclo)),IF(ISNUMBER($AM178),DATE(YEAR($AM178),MONTH($AM178),1),IF(ISNUMBER($AN178),DATE(YEAR($AN178),MONTH($AN178),1),MesCiclo))))</f>
        <v/>
      </c>
      <c r="T178" s="62">
        <f>IF(OR($S178="",$S178&lt;&gt;MesCiclo,$V178&lt;&gt;"Macro"),"",COUNTIFS($S$5:$S178,MesCiclo,$V$5:$V178,"Macro"))</f>
        <v/>
      </c>
      <c r="U178" s="62">
        <f>IF($V178="","",IF($V178="Macro",ROW(),IFERROR(LOOKUP(2,1/($V$5:$V178="Macro"),ROW($V$5:$V178)),0)))</f>
        <v/>
      </c>
      <c r="V178" s="62">
        <f>IF(NOT((COUNTA($B178:$D178)+COUNTA($G178:$L178)+COUNTA($Q178))&gt;0),"",IF($B178="Subactividad","Sub","Macro"))</f>
        <v/>
      </c>
      <c r="W178" s="62">
        <f>IF($V178="Macro",COUNTIFS($U$5:$U$1000,ROW(),$V$5:$V$1000,"Sub"),"")</f>
        <v/>
      </c>
      <c r="X178" s="62">
        <f>IF($V178="","",IF(ISNUMBER($G178),1,IFERROR(LOOKUP(2,1/($I178:$L178&lt;&gt;""),$I178:$L178),0)))</f>
        <v/>
      </c>
      <c r="Y178" s="62">
        <f>IF($V178="","",IF(AND(ISNUMBER($G178),$G178&lt;=IF($S178=MesCiclo,InicioCiclo,$S178+MOD(2-WEEKDAY($S178),7))+6),1,IF(ISNUMBER($I178),$I178,0)))</f>
        <v/>
      </c>
      <c r="Z178" s="62">
        <f>IF($V178="","",IF(AND(ISNUMBER($G178),$G178&lt;=IF($S178=MesCiclo,InicioCiclo,$S178+MOD(2-WEEKDAY($S178),7))+13),1,IF(ISNUMBER($J178),$J178,$Y178)))</f>
        <v/>
      </c>
      <c r="AA178" s="62">
        <f>IF($V178="","",IF(AND(ISNUMBER($G178),$G178&lt;=IF($S178=MesCiclo,InicioCiclo,$S178+MOD(2-WEEKDAY($S178),7))+20),1,IF(ISNUMBER($K178),$K178,$Z178)))</f>
        <v/>
      </c>
      <c r="AB178" s="62">
        <f>IF($V178="","",IF(AND(ISNUMBER($G178),$G178&lt;=IF($S178=MesCiclo,InicioCiclo,$S178+MOD(2-WEEKDAY($S178),7))+27),1,IF(ISNUMBER($L178),$L178,$AA178)))</f>
        <v/>
      </c>
      <c r="AC178" s="62">
        <f>IF($V178="","",IF(AND(ISNUMBER($G178),$G178&lt;=IF($S178=MesCiclo,InicioCiclo,$S178+MOD(2-WEEKDAY($S178),7))+6),1,IF(N($W178)&gt;0,AVERAGEIFS($Y$5:$Y$1000,$U$5:$U$1000,ROW(),$V$5:$V$1000,"Sub"),$Y178)))</f>
        <v/>
      </c>
      <c r="AD178" s="62">
        <f>IF($V178="","",IF(AND(ISNUMBER($G178),$G178&lt;=IF($S178=MesCiclo,InicioCiclo,$S178+MOD(2-WEEKDAY($S178),7))+13),1,IF(N($W178)&gt;0,AVERAGEIFS($Z$5:$Z$1000,$U$5:$U$1000,ROW(),$V$5:$V$1000,"Sub"),$Z178)))</f>
        <v/>
      </c>
      <c r="AE178" s="62">
        <f>IF($V178="","",IF(AND(ISNUMBER($G178),$G178&lt;=IF($S178=MesCiclo,InicioCiclo,$S178+MOD(2-WEEKDAY($S178),7))+20),1,IF(N($W178)&gt;0,AVERAGEIFS($AA$5:$AA$1000,$U$5:$U$1000,ROW(),$V$5:$V$1000,"Sub"),$AA178)))</f>
        <v/>
      </c>
      <c r="AF178" s="62">
        <f>IF($V178="","",IF(AND(ISNUMBER($G178),$G178&lt;=IF($S178=MesCiclo,InicioCiclo,$S178+MOD(2-WEEKDAY($S178),7))+27),1,IF(N($W178)&gt;0,AVERAGEIFS($AB$5:$AB$1000,$U$5:$U$1000,ROW(),$V$5:$V$1000,"Sub"),$AB178)))</f>
        <v/>
      </c>
      <c r="AG178" s="62">
        <f>IF($V178&lt;&gt;"Macro","",IF(COUNTIFS($S$5:$S$1000,$S178,$V$5:$V$1000,"Macro",$H$5:$H$1000,"&gt;0")=0,1/COUNTIFS($S$5:$S$1000,$S178,$V$5:$V$1000,"Macro"),IF(AND(ISNUMBER($H178),N($H178)&gt;0),$H178,SUMIFS($H$5:$H$1000,$S$5:$S$1000,$S178,$V$5:$V$1000,"Macro")/COUNTIFS($S$5:$S$1000,$S178,$V$5:$V$1000,"Macro",$H$5:$H$1000,"&gt;0"))/(COUNTIFS($S$5:$S$1000,$S178,$V$5:$V$1000,"Macro")*SUMIFS($H$5:$H$1000,$S$5:$S$1000,$S178,$V$5:$V$1000,"Macro")/COUNTIFS($S$5:$S$1000,$S178,$V$5:$V$1000,"Macro",$H$5:$H$1000,"&gt;0"))))</f>
        <v/>
      </c>
      <c r="AH178" s="62" t="n"/>
      <c r="AI178" s="62" t="n"/>
      <c r="AJ178" s="62" t="n"/>
      <c r="AK178" s="62" t="n"/>
      <c r="AL178" s="62">
        <f>IF(LEFT($C178,11)="[Jefatura] ",IFERROR(MATCH("Asistente Técnico de Riesgo|"&amp;MID($C178,12,500),rDname_ADM,0),0),"")</f>
        <v/>
      </c>
      <c r="AM178" s="62">
        <f>IF(N($AL178)&gt;0,INDEX(rIni_ADM,$AL178),IF(ISNUMBER($E178),$E178,""))</f>
        <v/>
      </c>
      <c r="AN178" s="62">
        <f>IF(N($AL178)&gt;0,INDEX(rLim_ADM,$AL178),IF(ISNUMBER($F178),$F178,""))</f>
        <v/>
      </c>
    </row>
    <row r="179">
      <c r="A179" s="56">
        <f>IF(NOT((COUNTA($B179:$D179)+COUNTA($G179:$L179)+COUNTA($Q179))&gt;0),"",IF($V179="Macro",COUNTIFS($V$5:$V179,"Macro",$S$5:$S179,$S179),IF(N($U179)=0,"?",COUNTIFS(INDEX($V$5:$V$1000,1):INDEX($V$5:$V$1000,$U179-4),"Macro",INDEX($S$5:$S$1000,1):INDEX($S$5:$S$1000,$U179-4),INDEX($S$5:$S$1000,$U179-4))&amp;"."&amp;COUNTIFS($U$5:$U179,$U179,$V$5:$V179,"Sub"))))</f>
        <v/>
      </c>
      <c r="B179" s="57" t="n"/>
      <c r="C179" s="58" t="n"/>
      <c r="D179" s="58" t="n"/>
      <c r="E179" s="59">
        <f>IF(N($AL179)&gt;0,INDEX(rIni_ADM,$AL179),"")</f>
        <v/>
      </c>
      <c r="F179" s="59">
        <f>IF(N($AL179)&gt;0,INDEX(rLim_ADM,$AL179),"")</f>
        <v/>
      </c>
      <c r="G179" s="59" t="n"/>
      <c r="H179" s="60" t="n"/>
      <c r="I179" s="60" t="n"/>
      <c r="J179" s="60" t="n"/>
      <c r="K179" s="60" t="n"/>
      <c r="L179" s="60" t="n"/>
      <c r="M179" s="61">
        <f>IF(NOT((COUNTA($B179:$D179)+COUNTA($G179:$L179)+COUNTA($Q179))&gt;0),"",IF($V179="Sub",IFERROR($X179/INDEX($W$5:$W$1000,$U179-4),""),IF(ISNUMBER($G179),1,IF(N($W179)&gt;0,AVERAGEIFS($X$5:$X$1000,$U$5:$U$1000,ROW(),$V$5:$V$1000,"Sub"),$X179))))</f>
        <v/>
      </c>
      <c r="N179" s="56">
        <f>IF(OR($M179="",$V179="Sub"),"",IF($M179&gt;=1,"Completado",IF($M179&gt;0,"En curso","Pendiente")))</f>
        <v/>
      </c>
      <c r="O179" s="56">
        <f>IF(OR(NOT((COUNTA($B179:$D179)+COUNTA($G179:$L179)+COUNTA($Q179))&gt;0),$V179="Sub"),"",IF(ISNUMBER($G179),IF(AND(ISNUMBER($AN179),$G179&gt;$AN179),"Cumplida con "&amp;($G179-$AN179)&amp;IF($G179-$AN179=1," día"," días")&amp;" de retraso","Cumplida"),IF(N($M179)&gt;=1,"Cumplida",IF(NOT(ISNUMBER($AN179)),"Sin fecha límite",IF($AN179&lt;FechaRef,"Vencida hace "&amp;(FechaRef-$AN179)&amp;IF(FechaRef-$AN179=1," día"," días"),IF($AN179=FechaRef,"Vence hoy",IF($AN179-FechaRef&lt;=DiasAlerta,"Vence en "&amp;($AN179-FechaRef)&amp;IF($AN179-FechaRef=1," día"," días"),"En plazo")))))))</f>
        <v/>
      </c>
      <c r="P179" s="62" t="n"/>
      <c r="Q179" s="58" t="n"/>
      <c r="R179" s="63">
        <f>IF(NOT((COUNTA($B179:$D179)+COUNTA($G179:$L179)+COUNTA($Q179))&gt;0),"",IF((IF($C179="","Falta el nombre de la actividad"&amp;" · ","")&amp;IF(AND($V179="Sub",N($U179)=0),"Subactividad sin macroactividad arriba"&amp;" · ","")&amp;IF($AM179="","Sin fecha de inicio"&amp;" · ","")&amp;IF($AN179="","Sin fecha límite"&amp;" · ","")&amp;IF(AND(LEFT($C179,11)="[Jefatura] ",N($AL179)=0),"No se encuentra en la hoja de la jefatura (elíjala de nuevo en la lista)"&amp;" · ","")&amp;IF(OR(AND($E179&lt;&gt;"",NOT(ISNUMBER($E179))),AND($F179&lt;&gt;"",NOT(ISNUMBER($F179))),AND($G179&lt;&gt;"",NOT(ISNUMBER($G179)))),"Fecha no válida"&amp;" · ","")&amp;IF(AND(ISNUMBER($AM179),ISNUMBER($AN179),$AM179&gt;$AN179),"Inicio posterior a fecha límite"&amp;" · ","")&amp;IF(AND($V179="Macro",$H179&lt;&gt;"",OR(NOT(ISNUMBER($H179)),$H179&lt;0,$H179&gt;1)),"Peso fuera de rango"&amp;" · ","")&amp;IF(AND($V179="Sub",$H179&lt;&gt;""),"Las subactividades no llevan peso (valen igual dentro de su macroactividad)"&amp;" · ","")&amp;IF(AND(N($W179)&gt;0,COUNT($I179:$L179)&gt;0),"Con subactividades: deje vacías las semanas (se calculan solas)"&amp;" · ","")&amp;IF((COUNTIF($I179:$L179,"&gt;1")+COUNTIF($I179:$L179,"&lt;0")+COUNTA($I179:$L179)-COUNT($I179:$L179))&gt;0,"Avance fuera de rango 0-100%"&amp;" · ","")&amp;IF(OR(AND($J179&lt;&gt;"",$J179&lt;$I179),AND($K179&lt;&gt;"",$K179&lt;MAX($I179:$J179)),AND($L179&lt;&gt;"",$L179&lt;MAX($I179:$K179))),"Avance semanal decreciente"&amp;" · ","")&amp;IF(AND(ISNUMBER($AN179),$AN179&lt;FechaRef,IF($V179="Sub",N($X179),N($M179))&lt;1),"Vencida"&amp;" · ","")&amp;IF(AND(ObsObligatoria="Sí",ISNUMBER($AN179),$AN179&lt;FechaRef,IF($V179="Sub",N($X179),N($M179))&lt;1,$Q179=""),"Vencida sin observación"&amp;" · ",""))="","✔ OK","⚠ "&amp;LEFT(IF($C179="","Falta el nombre de la actividad"&amp;" · ","")&amp;IF(AND($V179="Sub",N($U179)=0),"Subactividad sin macroactividad arriba"&amp;" · ","")&amp;IF($AM179="","Sin fecha de inicio"&amp;" · ","")&amp;IF($AN179="","Sin fecha límite"&amp;" · ","")&amp;IF(AND(LEFT($C179,11)="[Jefatura] ",N($AL179)=0),"No se encuentra en la hoja de la jefatura (elíjala de nuevo en la lista)"&amp;" · ","")&amp;IF(OR(AND($E179&lt;&gt;"",NOT(ISNUMBER($E179))),AND($F179&lt;&gt;"",NOT(ISNUMBER($F179))),AND($G179&lt;&gt;"",NOT(ISNUMBER($G179)))),"Fecha no válida"&amp;" · ","")&amp;IF(AND(ISNUMBER($AM179),ISNUMBER($AN179),$AM179&gt;$AN179),"Inicio posterior a fecha límite"&amp;" · ","")&amp;IF(AND($V179="Macro",$H179&lt;&gt;"",OR(NOT(ISNUMBER($H179)),$H179&lt;0,$H179&gt;1)),"Peso fuera de rango"&amp;" · ","")&amp;IF(AND($V179="Sub",$H179&lt;&gt;""),"Las subactividades no llevan peso (valen igual dentro de su macroactividad)"&amp;" · ","")&amp;IF(AND(N($W179)&gt;0,COUNT($I179:$L179)&gt;0),"Con subactividades: deje vacías las semanas (se calculan solas)"&amp;" · ","")&amp;IF((COUNTIF($I179:$L179,"&gt;1")+COUNTIF($I179:$L179,"&lt;0")+COUNTA($I179:$L179)-COUNT($I179:$L179))&gt;0,"Avance fuera de rango 0-100%"&amp;" · ","")&amp;IF(OR(AND($J179&lt;&gt;"",$J179&lt;$I179),AND($K179&lt;&gt;"",$K179&lt;MAX($I179:$J179)),AND($L179&lt;&gt;"",$L179&lt;MAX($I179:$K179))),"Avance semanal decreciente"&amp;" · ","")&amp;IF(AND(ISNUMBER($AN179),$AN179&lt;FechaRef,IF($V179="Sub",N($X179),N($M179))&lt;1),"Vencida"&amp;" · ","")&amp;IF(AND(ObsObligatoria="Sí",ISNUMBER($AN179),$AN179&lt;FechaRef,IF($V179="Sub",N($X179),N($M179))&lt;1,$Q179=""),"Vencida sin observación"&amp;" · ",""),LEN(IF($C179="","Falta el nombre de la actividad"&amp;" · ","")&amp;IF(AND($V179="Sub",N($U179)=0),"Subactividad sin macroactividad arriba"&amp;" · ","")&amp;IF($AM179="","Sin fecha de inicio"&amp;" · ","")&amp;IF($AN179="","Sin fecha límite"&amp;" · ","")&amp;IF(AND(LEFT($C179,11)="[Jefatura] ",N($AL179)=0),"No se encuentra en la hoja de la jefatura (elíjala de nuevo en la lista)"&amp;" · ","")&amp;IF(OR(AND($E179&lt;&gt;"",NOT(ISNUMBER($E179))),AND($F179&lt;&gt;"",NOT(ISNUMBER($F179))),AND($G179&lt;&gt;"",NOT(ISNUMBER($G179)))),"Fecha no válida"&amp;" · ","")&amp;IF(AND(ISNUMBER($AM179),ISNUMBER($AN179),$AM179&gt;$AN179),"Inicio posterior a fecha límite"&amp;" · ","")&amp;IF(AND($V179="Macro",$H179&lt;&gt;"",OR(NOT(ISNUMBER($H179)),$H179&lt;0,$H179&gt;1)),"Peso fuera de rango"&amp;" · ","")&amp;IF(AND($V179="Sub",$H179&lt;&gt;""),"Las subactividades no llevan peso (valen igual dentro de su macroactividad)"&amp;" · ","")&amp;IF(AND(N($W179)&gt;0,COUNT($I179:$L179)&gt;0),"Con subactividades: deje vacías las semanas (se calculan solas)"&amp;" · ","")&amp;IF((COUNTIF($I179:$L179,"&gt;1")+COUNTIF($I179:$L179,"&lt;0")+COUNTA($I179:$L179)-COUNT($I179:$L179))&gt;0,"Avance fuera de rango 0-100%"&amp;" · ","")&amp;IF(OR(AND($J179&lt;&gt;"",$J179&lt;$I179),AND($K179&lt;&gt;"",$K179&lt;MAX($I179:$J179)),AND($L179&lt;&gt;"",$L179&lt;MAX($I179:$K179))),"Avance semanal decreciente"&amp;" · ","")&amp;IF(AND(ISNUMBER($AN179),$AN179&lt;FechaRef,IF($V179="Sub",N($X179),N($M179))&lt;1),"Vencida"&amp;" · ","")&amp;IF(AND(ObsObligatoria="Sí",ISNUMBER($AN179),$AN179&lt;FechaRef,IF($V179="Sub",N($X179),N($M179))&lt;1,$Q179=""),"Vencida sin observación"&amp;" · ",""))-3)))</f>
        <v/>
      </c>
      <c r="S179" s="64">
        <f>IF(NOT((COUNTA($B179:$D179)+COUNTA($G179:$L179)+COUNTA($Q179))&gt;0),"",IF(AND($V179="Sub",N($U179)&gt;0),IF(ISNUMBER(INDEX($AM$5:$AM$1000,$U179-4)),DATE(YEAR(INDEX($AM$5:$AM$1000,$U179-4)),MONTH(INDEX($AM$5:$AM$1000,$U179-4)),1),IF(ISNUMBER(INDEX($AN$5:$AN$1000,$U179-4)),DATE(YEAR(INDEX($AN$5:$AN$1000,$U179-4)),MONTH(INDEX($AN$5:$AN$1000,$U179-4)),1),MesCiclo)),IF(ISNUMBER($AM179),DATE(YEAR($AM179),MONTH($AM179),1),IF(ISNUMBER($AN179),DATE(YEAR($AN179),MONTH($AN179),1),MesCiclo))))</f>
        <v/>
      </c>
      <c r="T179" s="62">
        <f>IF(OR($S179="",$S179&lt;&gt;MesCiclo,$V179&lt;&gt;"Macro"),"",COUNTIFS($S$5:$S179,MesCiclo,$V$5:$V179,"Macro"))</f>
        <v/>
      </c>
      <c r="U179" s="62">
        <f>IF($V179="","",IF($V179="Macro",ROW(),IFERROR(LOOKUP(2,1/($V$5:$V179="Macro"),ROW($V$5:$V179)),0)))</f>
        <v/>
      </c>
      <c r="V179" s="62">
        <f>IF(NOT((COUNTA($B179:$D179)+COUNTA($G179:$L179)+COUNTA($Q179))&gt;0),"",IF($B179="Subactividad","Sub","Macro"))</f>
        <v/>
      </c>
      <c r="W179" s="62">
        <f>IF($V179="Macro",COUNTIFS($U$5:$U$1000,ROW(),$V$5:$V$1000,"Sub"),"")</f>
        <v/>
      </c>
      <c r="X179" s="62">
        <f>IF($V179="","",IF(ISNUMBER($G179),1,IFERROR(LOOKUP(2,1/($I179:$L179&lt;&gt;""),$I179:$L179),0)))</f>
        <v/>
      </c>
      <c r="Y179" s="62">
        <f>IF($V179="","",IF(AND(ISNUMBER($G179),$G179&lt;=IF($S179=MesCiclo,InicioCiclo,$S179+MOD(2-WEEKDAY($S179),7))+6),1,IF(ISNUMBER($I179),$I179,0)))</f>
        <v/>
      </c>
      <c r="Z179" s="62">
        <f>IF($V179="","",IF(AND(ISNUMBER($G179),$G179&lt;=IF($S179=MesCiclo,InicioCiclo,$S179+MOD(2-WEEKDAY($S179),7))+13),1,IF(ISNUMBER($J179),$J179,$Y179)))</f>
        <v/>
      </c>
      <c r="AA179" s="62">
        <f>IF($V179="","",IF(AND(ISNUMBER($G179),$G179&lt;=IF($S179=MesCiclo,InicioCiclo,$S179+MOD(2-WEEKDAY($S179),7))+20),1,IF(ISNUMBER($K179),$K179,$Z179)))</f>
        <v/>
      </c>
      <c r="AB179" s="62">
        <f>IF($V179="","",IF(AND(ISNUMBER($G179),$G179&lt;=IF($S179=MesCiclo,InicioCiclo,$S179+MOD(2-WEEKDAY($S179),7))+27),1,IF(ISNUMBER($L179),$L179,$AA179)))</f>
        <v/>
      </c>
      <c r="AC179" s="62">
        <f>IF($V179="","",IF(AND(ISNUMBER($G179),$G179&lt;=IF($S179=MesCiclo,InicioCiclo,$S179+MOD(2-WEEKDAY($S179),7))+6),1,IF(N($W179)&gt;0,AVERAGEIFS($Y$5:$Y$1000,$U$5:$U$1000,ROW(),$V$5:$V$1000,"Sub"),$Y179)))</f>
        <v/>
      </c>
      <c r="AD179" s="62">
        <f>IF($V179="","",IF(AND(ISNUMBER($G179),$G179&lt;=IF($S179=MesCiclo,InicioCiclo,$S179+MOD(2-WEEKDAY($S179),7))+13),1,IF(N($W179)&gt;0,AVERAGEIFS($Z$5:$Z$1000,$U$5:$U$1000,ROW(),$V$5:$V$1000,"Sub"),$Z179)))</f>
        <v/>
      </c>
      <c r="AE179" s="62">
        <f>IF($V179="","",IF(AND(ISNUMBER($G179),$G179&lt;=IF($S179=MesCiclo,InicioCiclo,$S179+MOD(2-WEEKDAY($S179),7))+20),1,IF(N($W179)&gt;0,AVERAGEIFS($AA$5:$AA$1000,$U$5:$U$1000,ROW(),$V$5:$V$1000,"Sub"),$AA179)))</f>
        <v/>
      </c>
      <c r="AF179" s="62">
        <f>IF($V179="","",IF(AND(ISNUMBER($G179),$G179&lt;=IF($S179=MesCiclo,InicioCiclo,$S179+MOD(2-WEEKDAY($S179),7))+27),1,IF(N($W179)&gt;0,AVERAGEIFS($AB$5:$AB$1000,$U$5:$U$1000,ROW(),$V$5:$V$1000,"Sub"),$AB179)))</f>
        <v/>
      </c>
      <c r="AG179" s="62">
        <f>IF($V179&lt;&gt;"Macro","",IF(COUNTIFS($S$5:$S$1000,$S179,$V$5:$V$1000,"Macro",$H$5:$H$1000,"&gt;0")=0,1/COUNTIFS($S$5:$S$1000,$S179,$V$5:$V$1000,"Macro"),IF(AND(ISNUMBER($H179),N($H179)&gt;0),$H179,SUMIFS($H$5:$H$1000,$S$5:$S$1000,$S179,$V$5:$V$1000,"Macro")/COUNTIFS($S$5:$S$1000,$S179,$V$5:$V$1000,"Macro",$H$5:$H$1000,"&gt;0"))/(COUNTIFS($S$5:$S$1000,$S179,$V$5:$V$1000,"Macro")*SUMIFS($H$5:$H$1000,$S$5:$S$1000,$S179,$V$5:$V$1000,"Macro")/COUNTIFS($S$5:$S$1000,$S179,$V$5:$V$1000,"Macro",$H$5:$H$1000,"&gt;0"))))</f>
        <v/>
      </c>
      <c r="AH179" s="62" t="n"/>
      <c r="AI179" s="62" t="n"/>
      <c r="AJ179" s="62" t="n"/>
      <c r="AK179" s="62" t="n"/>
      <c r="AL179" s="62">
        <f>IF(LEFT($C179,11)="[Jefatura] ",IFERROR(MATCH("Asistente Técnico de Riesgo|"&amp;MID($C179,12,500),rDname_ADM,0),0),"")</f>
        <v/>
      </c>
      <c r="AM179" s="62">
        <f>IF(N($AL179)&gt;0,INDEX(rIni_ADM,$AL179),IF(ISNUMBER($E179),$E179,""))</f>
        <v/>
      </c>
      <c r="AN179" s="62">
        <f>IF(N($AL179)&gt;0,INDEX(rLim_ADM,$AL179),IF(ISNUMBER($F179),$F179,""))</f>
        <v/>
      </c>
    </row>
    <row r="180">
      <c r="A180" s="56">
        <f>IF(NOT((COUNTA($B180:$D180)+COUNTA($G180:$L180)+COUNTA($Q180))&gt;0),"",IF($V180="Macro",COUNTIFS($V$5:$V180,"Macro",$S$5:$S180,$S180),IF(N($U180)=0,"?",COUNTIFS(INDEX($V$5:$V$1000,1):INDEX($V$5:$V$1000,$U180-4),"Macro",INDEX($S$5:$S$1000,1):INDEX($S$5:$S$1000,$U180-4),INDEX($S$5:$S$1000,$U180-4))&amp;"."&amp;COUNTIFS($U$5:$U180,$U180,$V$5:$V180,"Sub"))))</f>
        <v/>
      </c>
      <c r="B180" s="57" t="n"/>
      <c r="C180" s="58" t="n"/>
      <c r="D180" s="58" t="n"/>
      <c r="E180" s="59">
        <f>IF(N($AL180)&gt;0,INDEX(rIni_ADM,$AL180),"")</f>
        <v/>
      </c>
      <c r="F180" s="59">
        <f>IF(N($AL180)&gt;0,INDEX(rLim_ADM,$AL180),"")</f>
        <v/>
      </c>
      <c r="G180" s="59" t="n"/>
      <c r="H180" s="60" t="n"/>
      <c r="I180" s="60" t="n"/>
      <c r="J180" s="60" t="n"/>
      <c r="K180" s="60" t="n"/>
      <c r="L180" s="60" t="n"/>
      <c r="M180" s="61">
        <f>IF(NOT((COUNTA($B180:$D180)+COUNTA($G180:$L180)+COUNTA($Q180))&gt;0),"",IF($V180="Sub",IFERROR($X180/INDEX($W$5:$W$1000,$U180-4),""),IF(ISNUMBER($G180),1,IF(N($W180)&gt;0,AVERAGEIFS($X$5:$X$1000,$U$5:$U$1000,ROW(),$V$5:$V$1000,"Sub"),$X180))))</f>
        <v/>
      </c>
      <c r="N180" s="56">
        <f>IF(OR($M180="",$V180="Sub"),"",IF($M180&gt;=1,"Completado",IF($M180&gt;0,"En curso","Pendiente")))</f>
        <v/>
      </c>
      <c r="O180" s="56">
        <f>IF(OR(NOT((COUNTA($B180:$D180)+COUNTA($G180:$L180)+COUNTA($Q180))&gt;0),$V180="Sub"),"",IF(ISNUMBER($G180),IF(AND(ISNUMBER($AN180),$G180&gt;$AN180),"Cumplida con "&amp;($G180-$AN180)&amp;IF($G180-$AN180=1," día"," días")&amp;" de retraso","Cumplida"),IF(N($M180)&gt;=1,"Cumplida",IF(NOT(ISNUMBER($AN180)),"Sin fecha límite",IF($AN180&lt;FechaRef,"Vencida hace "&amp;(FechaRef-$AN180)&amp;IF(FechaRef-$AN180=1," día"," días"),IF($AN180=FechaRef,"Vence hoy",IF($AN180-FechaRef&lt;=DiasAlerta,"Vence en "&amp;($AN180-FechaRef)&amp;IF($AN180-FechaRef=1," día"," días"),"En plazo")))))))</f>
        <v/>
      </c>
      <c r="P180" s="62" t="n"/>
      <c r="Q180" s="58" t="n"/>
      <c r="R180" s="63">
        <f>IF(NOT((COUNTA($B180:$D180)+COUNTA($G180:$L180)+COUNTA($Q180))&gt;0),"",IF((IF($C180="","Falta el nombre de la actividad"&amp;" · ","")&amp;IF(AND($V180="Sub",N($U180)=0),"Subactividad sin macroactividad arriba"&amp;" · ","")&amp;IF($AM180="","Sin fecha de inicio"&amp;" · ","")&amp;IF($AN180="","Sin fecha límite"&amp;" · ","")&amp;IF(AND(LEFT($C180,11)="[Jefatura] ",N($AL180)=0),"No se encuentra en la hoja de la jefatura (elíjala de nuevo en la lista)"&amp;" · ","")&amp;IF(OR(AND($E180&lt;&gt;"",NOT(ISNUMBER($E180))),AND($F180&lt;&gt;"",NOT(ISNUMBER($F180))),AND($G180&lt;&gt;"",NOT(ISNUMBER($G180)))),"Fecha no válida"&amp;" · ","")&amp;IF(AND(ISNUMBER($AM180),ISNUMBER($AN180),$AM180&gt;$AN180),"Inicio posterior a fecha límite"&amp;" · ","")&amp;IF(AND($V180="Macro",$H180&lt;&gt;"",OR(NOT(ISNUMBER($H180)),$H180&lt;0,$H180&gt;1)),"Peso fuera de rango"&amp;" · ","")&amp;IF(AND($V180="Sub",$H180&lt;&gt;""),"Las subactividades no llevan peso (valen igual dentro de su macroactividad)"&amp;" · ","")&amp;IF(AND(N($W180)&gt;0,COUNT($I180:$L180)&gt;0),"Con subactividades: deje vacías las semanas (se calculan solas)"&amp;" · ","")&amp;IF((COUNTIF($I180:$L180,"&gt;1")+COUNTIF($I180:$L180,"&lt;0")+COUNTA($I180:$L180)-COUNT($I180:$L180))&gt;0,"Avance fuera de rango 0-100%"&amp;" · ","")&amp;IF(OR(AND($J180&lt;&gt;"",$J180&lt;$I180),AND($K180&lt;&gt;"",$K180&lt;MAX($I180:$J180)),AND($L180&lt;&gt;"",$L180&lt;MAX($I180:$K180))),"Avance semanal decreciente"&amp;" · ","")&amp;IF(AND(ISNUMBER($AN180),$AN180&lt;FechaRef,IF($V180="Sub",N($X180),N($M180))&lt;1),"Vencida"&amp;" · ","")&amp;IF(AND(ObsObligatoria="Sí",ISNUMBER($AN180),$AN180&lt;FechaRef,IF($V180="Sub",N($X180),N($M180))&lt;1,$Q180=""),"Vencida sin observación"&amp;" · ",""))="","✔ OK","⚠ "&amp;LEFT(IF($C180="","Falta el nombre de la actividad"&amp;" · ","")&amp;IF(AND($V180="Sub",N($U180)=0),"Subactividad sin macroactividad arriba"&amp;" · ","")&amp;IF($AM180="","Sin fecha de inicio"&amp;" · ","")&amp;IF($AN180="","Sin fecha límite"&amp;" · ","")&amp;IF(AND(LEFT($C180,11)="[Jefatura] ",N($AL180)=0),"No se encuentra en la hoja de la jefatura (elíjala de nuevo en la lista)"&amp;" · ","")&amp;IF(OR(AND($E180&lt;&gt;"",NOT(ISNUMBER($E180))),AND($F180&lt;&gt;"",NOT(ISNUMBER($F180))),AND($G180&lt;&gt;"",NOT(ISNUMBER($G180)))),"Fecha no válida"&amp;" · ","")&amp;IF(AND(ISNUMBER($AM180),ISNUMBER($AN180),$AM180&gt;$AN180),"Inicio posterior a fecha límite"&amp;" · ","")&amp;IF(AND($V180="Macro",$H180&lt;&gt;"",OR(NOT(ISNUMBER($H180)),$H180&lt;0,$H180&gt;1)),"Peso fuera de rango"&amp;" · ","")&amp;IF(AND($V180="Sub",$H180&lt;&gt;""),"Las subactividades no llevan peso (valen igual dentro de su macroactividad)"&amp;" · ","")&amp;IF(AND(N($W180)&gt;0,COUNT($I180:$L180)&gt;0),"Con subactividades: deje vacías las semanas (se calculan solas)"&amp;" · ","")&amp;IF((COUNTIF($I180:$L180,"&gt;1")+COUNTIF($I180:$L180,"&lt;0")+COUNTA($I180:$L180)-COUNT($I180:$L180))&gt;0,"Avance fuera de rango 0-100%"&amp;" · ","")&amp;IF(OR(AND($J180&lt;&gt;"",$J180&lt;$I180),AND($K180&lt;&gt;"",$K180&lt;MAX($I180:$J180)),AND($L180&lt;&gt;"",$L180&lt;MAX($I180:$K180))),"Avance semanal decreciente"&amp;" · ","")&amp;IF(AND(ISNUMBER($AN180),$AN180&lt;FechaRef,IF($V180="Sub",N($X180),N($M180))&lt;1),"Vencida"&amp;" · ","")&amp;IF(AND(ObsObligatoria="Sí",ISNUMBER($AN180),$AN180&lt;FechaRef,IF($V180="Sub",N($X180),N($M180))&lt;1,$Q180=""),"Vencida sin observación"&amp;" · ",""),LEN(IF($C180="","Falta el nombre de la actividad"&amp;" · ","")&amp;IF(AND($V180="Sub",N($U180)=0),"Subactividad sin macroactividad arriba"&amp;" · ","")&amp;IF($AM180="","Sin fecha de inicio"&amp;" · ","")&amp;IF($AN180="","Sin fecha límite"&amp;" · ","")&amp;IF(AND(LEFT($C180,11)="[Jefatura] ",N($AL180)=0),"No se encuentra en la hoja de la jefatura (elíjala de nuevo en la lista)"&amp;" · ","")&amp;IF(OR(AND($E180&lt;&gt;"",NOT(ISNUMBER($E180))),AND($F180&lt;&gt;"",NOT(ISNUMBER($F180))),AND($G180&lt;&gt;"",NOT(ISNUMBER($G180)))),"Fecha no válida"&amp;" · ","")&amp;IF(AND(ISNUMBER($AM180),ISNUMBER($AN180),$AM180&gt;$AN180),"Inicio posterior a fecha límite"&amp;" · ","")&amp;IF(AND($V180="Macro",$H180&lt;&gt;"",OR(NOT(ISNUMBER($H180)),$H180&lt;0,$H180&gt;1)),"Peso fuera de rango"&amp;" · ","")&amp;IF(AND($V180="Sub",$H180&lt;&gt;""),"Las subactividades no llevan peso (valen igual dentro de su macroactividad)"&amp;" · ","")&amp;IF(AND(N($W180)&gt;0,COUNT($I180:$L180)&gt;0),"Con subactividades: deje vacías las semanas (se calculan solas)"&amp;" · ","")&amp;IF((COUNTIF($I180:$L180,"&gt;1")+COUNTIF($I180:$L180,"&lt;0")+COUNTA($I180:$L180)-COUNT($I180:$L180))&gt;0,"Avance fuera de rango 0-100%"&amp;" · ","")&amp;IF(OR(AND($J180&lt;&gt;"",$J180&lt;$I180),AND($K180&lt;&gt;"",$K180&lt;MAX($I180:$J180)),AND($L180&lt;&gt;"",$L180&lt;MAX($I180:$K180))),"Avance semanal decreciente"&amp;" · ","")&amp;IF(AND(ISNUMBER($AN180),$AN180&lt;FechaRef,IF($V180="Sub",N($X180),N($M180))&lt;1),"Vencida"&amp;" · ","")&amp;IF(AND(ObsObligatoria="Sí",ISNUMBER($AN180),$AN180&lt;FechaRef,IF($V180="Sub",N($X180),N($M180))&lt;1,$Q180=""),"Vencida sin observación"&amp;" · ",""))-3)))</f>
        <v/>
      </c>
      <c r="S180" s="64">
        <f>IF(NOT((COUNTA($B180:$D180)+COUNTA($G180:$L180)+COUNTA($Q180))&gt;0),"",IF(AND($V180="Sub",N($U180)&gt;0),IF(ISNUMBER(INDEX($AM$5:$AM$1000,$U180-4)),DATE(YEAR(INDEX($AM$5:$AM$1000,$U180-4)),MONTH(INDEX($AM$5:$AM$1000,$U180-4)),1),IF(ISNUMBER(INDEX($AN$5:$AN$1000,$U180-4)),DATE(YEAR(INDEX($AN$5:$AN$1000,$U180-4)),MONTH(INDEX($AN$5:$AN$1000,$U180-4)),1),MesCiclo)),IF(ISNUMBER($AM180),DATE(YEAR($AM180),MONTH($AM180),1),IF(ISNUMBER($AN180),DATE(YEAR($AN180),MONTH($AN180),1),MesCiclo))))</f>
        <v/>
      </c>
      <c r="T180" s="62">
        <f>IF(OR($S180="",$S180&lt;&gt;MesCiclo,$V180&lt;&gt;"Macro"),"",COUNTIFS($S$5:$S180,MesCiclo,$V$5:$V180,"Macro"))</f>
        <v/>
      </c>
      <c r="U180" s="62">
        <f>IF($V180="","",IF($V180="Macro",ROW(),IFERROR(LOOKUP(2,1/($V$5:$V180="Macro"),ROW($V$5:$V180)),0)))</f>
        <v/>
      </c>
      <c r="V180" s="62">
        <f>IF(NOT((COUNTA($B180:$D180)+COUNTA($G180:$L180)+COUNTA($Q180))&gt;0),"",IF($B180="Subactividad","Sub","Macro"))</f>
        <v/>
      </c>
      <c r="W180" s="62">
        <f>IF($V180="Macro",COUNTIFS($U$5:$U$1000,ROW(),$V$5:$V$1000,"Sub"),"")</f>
        <v/>
      </c>
      <c r="X180" s="62">
        <f>IF($V180="","",IF(ISNUMBER($G180),1,IFERROR(LOOKUP(2,1/($I180:$L180&lt;&gt;""),$I180:$L180),0)))</f>
        <v/>
      </c>
      <c r="Y180" s="62">
        <f>IF($V180="","",IF(AND(ISNUMBER($G180),$G180&lt;=IF($S180=MesCiclo,InicioCiclo,$S180+MOD(2-WEEKDAY($S180),7))+6),1,IF(ISNUMBER($I180),$I180,0)))</f>
        <v/>
      </c>
      <c r="Z180" s="62">
        <f>IF($V180="","",IF(AND(ISNUMBER($G180),$G180&lt;=IF($S180=MesCiclo,InicioCiclo,$S180+MOD(2-WEEKDAY($S180),7))+13),1,IF(ISNUMBER($J180),$J180,$Y180)))</f>
        <v/>
      </c>
      <c r="AA180" s="62">
        <f>IF($V180="","",IF(AND(ISNUMBER($G180),$G180&lt;=IF($S180=MesCiclo,InicioCiclo,$S180+MOD(2-WEEKDAY($S180),7))+20),1,IF(ISNUMBER($K180),$K180,$Z180)))</f>
        <v/>
      </c>
      <c r="AB180" s="62">
        <f>IF($V180="","",IF(AND(ISNUMBER($G180),$G180&lt;=IF($S180=MesCiclo,InicioCiclo,$S180+MOD(2-WEEKDAY($S180),7))+27),1,IF(ISNUMBER($L180),$L180,$AA180)))</f>
        <v/>
      </c>
      <c r="AC180" s="62">
        <f>IF($V180="","",IF(AND(ISNUMBER($G180),$G180&lt;=IF($S180=MesCiclo,InicioCiclo,$S180+MOD(2-WEEKDAY($S180),7))+6),1,IF(N($W180)&gt;0,AVERAGEIFS($Y$5:$Y$1000,$U$5:$U$1000,ROW(),$V$5:$V$1000,"Sub"),$Y180)))</f>
        <v/>
      </c>
      <c r="AD180" s="62">
        <f>IF($V180="","",IF(AND(ISNUMBER($G180),$G180&lt;=IF($S180=MesCiclo,InicioCiclo,$S180+MOD(2-WEEKDAY($S180),7))+13),1,IF(N($W180)&gt;0,AVERAGEIFS($Z$5:$Z$1000,$U$5:$U$1000,ROW(),$V$5:$V$1000,"Sub"),$Z180)))</f>
        <v/>
      </c>
      <c r="AE180" s="62">
        <f>IF($V180="","",IF(AND(ISNUMBER($G180),$G180&lt;=IF($S180=MesCiclo,InicioCiclo,$S180+MOD(2-WEEKDAY($S180),7))+20),1,IF(N($W180)&gt;0,AVERAGEIFS($AA$5:$AA$1000,$U$5:$U$1000,ROW(),$V$5:$V$1000,"Sub"),$AA180)))</f>
        <v/>
      </c>
      <c r="AF180" s="62">
        <f>IF($V180="","",IF(AND(ISNUMBER($G180),$G180&lt;=IF($S180=MesCiclo,InicioCiclo,$S180+MOD(2-WEEKDAY($S180),7))+27),1,IF(N($W180)&gt;0,AVERAGEIFS($AB$5:$AB$1000,$U$5:$U$1000,ROW(),$V$5:$V$1000,"Sub"),$AB180)))</f>
        <v/>
      </c>
      <c r="AG180" s="62">
        <f>IF($V180&lt;&gt;"Macro","",IF(COUNTIFS($S$5:$S$1000,$S180,$V$5:$V$1000,"Macro",$H$5:$H$1000,"&gt;0")=0,1/COUNTIFS($S$5:$S$1000,$S180,$V$5:$V$1000,"Macro"),IF(AND(ISNUMBER($H180),N($H180)&gt;0),$H180,SUMIFS($H$5:$H$1000,$S$5:$S$1000,$S180,$V$5:$V$1000,"Macro")/COUNTIFS($S$5:$S$1000,$S180,$V$5:$V$1000,"Macro",$H$5:$H$1000,"&gt;0"))/(COUNTIFS($S$5:$S$1000,$S180,$V$5:$V$1000,"Macro")*SUMIFS($H$5:$H$1000,$S$5:$S$1000,$S180,$V$5:$V$1000,"Macro")/COUNTIFS($S$5:$S$1000,$S180,$V$5:$V$1000,"Macro",$H$5:$H$1000,"&gt;0"))))</f>
        <v/>
      </c>
      <c r="AH180" s="62" t="n"/>
      <c r="AI180" s="62" t="n"/>
      <c r="AJ180" s="62" t="n"/>
      <c r="AK180" s="62" t="n"/>
      <c r="AL180" s="62">
        <f>IF(LEFT($C180,11)="[Jefatura] ",IFERROR(MATCH("Asistente Técnico de Riesgo|"&amp;MID($C180,12,500),rDname_ADM,0),0),"")</f>
        <v/>
      </c>
      <c r="AM180" s="62">
        <f>IF(N($AL180)&gt;0,INDEX(rIni_ADM,$AL180),IF(ISNUMBER($E180),$E180,""))</f>
        <v/>
      </c>
      <c r="AN180" s="62">
        <f>IF(N($AL180)&gt;0,INDEX(rLim_ADM,$AL180),IF(ISNUMBER($F180),$F180,""))</f>
        <v/>
      </c>
    </row>
    <row r="181">
      <c r="A181" s="56">
        <f>IF(NOT((COUNTA($B181:$D181)+COUNTA($G181:$L181)+COUNTA($Q181))&gt;0),"",IF($V181="Macro",COUNTIFS($V$5:$V181,"Macro",$S$5:$S181,$S181),IF(N($U181)=0,"?",COUNTIFS(INDEX($V$5:$V$1000,1):INDEX($V$5:$V$1000,$U181-4),"Macro",INDEX($S$5:$S$1000,1):INDEX($S$5:$S$1000,$U181-4),INDEX($S$5:$S$1000,$U181-4))&amp;"."&amp;COUNTIFS($U$5:$U181,$U181,$V$5:$V181,"Sub"))))</f>
        <v/>
      </c>
      <c r="B181" s="57" t="n"/>
      <c r="C181" s="58" t="n"/>
      <c r="D181" s="58" t="n"/>
      <c r="E181" s="59">
        <f>IF(N($AL181)&gt;0,INDEX(rIni_ADM,$AL181),"")</f>
        <v/>
      </c>
      <c r="F181" s="59">
        <f>IF(N($AL181)&gt;0,INDEX(rLim_ADM,$AL181),"")</f>
        <v/>
      </c>
      <c r="G181" s="59" t="n"/>
      <c r="H181" s="60" t="n"/>
      <c r="I181" s="60" t="n"/>
      <c r="J181" s="60" t="n"/>
      <c r="K181" s="60" t="n"/>
      <c r="L181" s="60" t="n"/>
      <c r="M181" s="61">
        <f>IF(NOT((COUNTA($B181:$D181)+COUNTA($G181:$L181)+COUNTA($Q181))&gt;0),"",IF($V181="Sub",IFERROR($X181/INDEX($W$5:$W$1000,$U181-4),""),IF(ISNUMBER($G181),1,IF(N($W181)&gt;0,AVERAGEIFS($X$5:$X$1000,$U$5:$U$1000,ROW(),$V$5:$V$1000,"Sub"),$X181))))</f>
        <v/>
      </c>
      <c r="N181" s="56">
        <f>IF(OR($M181="",$V181="Sub"),"",IF($M181&gt;=1,"Completado",IF($M181&gt;0,"En curso","Pendiente")))</f>
        <v/>
      </c>
      <c r="O181" s="56">
        <f>IF(OR(NOT((COUNTA($B181:$D181)+COUNTA($G181:$L181)+COUNTA($Q181))&gt;0),$V181="Sub"),"",IF(ISNUMBER($G181),IF(AND(ISNUMBER($AN181),$G181&gt;$AN181),"Cumplida con "&amp;($G181-$AN181)&amp;IF($G181-$AN181=1," día"," días")&amp;" de retraso","Cumplida"),IF(N($M181)&gt;=1,"Cumplida",IF(NOT(ISNUMBER($AN181)),"Sin fecha límite",IF($AN181&lt;FechaRef,"Vencida hace "&amp;(FechaRef-$AN181)&amp;IF(FechaRef-$AN181=1," día"," días"),IF($AN181=FechaRef,"Vence hoy",IF($AN181-FechaRef&lt;=DiasAlerta,"Vence en "&amp;($AN181-FechaRef)&amp;IF($AN181-FechaRef=1," día"," días"),"En plazo")))))))</f>
        <v/>
      </c>
      <c r="P181" s="62" t="n"/>
      <c r="Q181" s="58" t="n"/>
      <c r="R181" s="63">
        <f>IF(NOT((COUNTA($B181:$D181)+COUNTA($G181:$L181)+COUNTA($Q181))&gt;0),"",IF((IF($C181="","Falta el nombre de la actividad"&amp;" · ","")&amp;IF(AND($V181="Sub",N($U181)=0),"Subactividad sin macroactividad arriba"&amp;" · ","")&amp;IF($AM181="","Sin fecha de inicio"&amp;" · ","")&amp;IF($AN181="","Sin fecha límite"&amp;" · ","")&amp;IF(AND(LEFT($C181,11)="[Jefatura] ",N($AL181)=0),"No se encuentra en la hoja de la jefatura (elíjala de nuevo en la lista)"&amp;" · ","")&amp;IF(OR(AND($E181&lt;&gt;"",NOT(ISNUMBER($E181))),AND($F181&lt;&gt;"",NOT(ISNUMBER($F181))),AND($G181&lt;&gt;"",NOT(ISNUMBER($G181)))),"Fecha no válida"&amp;" · ","")&amp;IF(AND(ISNUMBER($AM181),ISNUMBER($AN181),$AM181&gt;$AN181),"Inicio posterior a fecha límite"&amp;" · ","")&amp;IF(AND($V181="Macro",$H181&lt;&gt;"",OR(NOT(ISNUMBER($H181)),$H181&lt;0,$H181&gt;1)),"Peso fuera de rango"&amp;" · ","")&amp;IF(AND($V181="Sub",$H181&lt;&gt;""),"Las subactividades no llevan peso (valen igual dentro de su macroactividad)"&amp;" · ","")&amp;IF(AND(N($W181)&gt;0,COUNT($I181:$L181)&gt;0),"Con subactividades: deje vacías las semanas (se calculan solas)"&amp;" · ","")&amp;IF((COUNTIF($I181:$L181,"&gt;1")+COUNTIF($I181:$L181,"&lt;0")+COUNTA($I181:$L181)-COUNT($I181:$L181))&gt;0,"Avance fuera de rango 0-100%"&amp;" · ","")&amp;IF(OR(AND($J181&lt;&gt;"",$J181&lt;$I181),AND($K181&lt;&gt;"",$K181&lt;MAX($I181:$J181)),AND($L181&lt;&gt;"",$L181&lt;MAX($I181:$K181))),"Avance semanal decreciente"&amp;" · ","")&amp;IF(AND(ISNUMBER($AN181),$AN181&lt;FechaRef,IF($V181="Sub",N($X181),N($M181))&lt;1),"Vencida"&amp;" · ","")&amp;IF(AND(ObsObligatoria="Sí",ISNUMBER($AN181),$AN181&lt;FechaRef,IF($V181="Sub",N($X181),N($M181))&lt;1,$Q181=""),"Vencida sin observación"&amp;" · ",""))="","✔ OK","⚠ "&amp;LEFT(IF($C181="","Falta el nombre de la actividad"&amp;" · ","")&amp;IF(AND($V181="Sub",N($U181)=0),"Subactividad sin macroactividad arriba"&amp;" · ","")&amp;IF($AM181="","Sin fecha de inicio"&amp;" · ","")&amp;IF($AN181="","Sin fecha límite"&amp;" · ","")&amp;IF(AND(LEFT($C181,11)="[Jefatura] ",N($AL181)=0),"No se encuentra en la hoja de la jefatura (elíjala de nuevo en la lista)"&amp;" · ","")&amp;IF(OR(AND($E181&lt;&gt;"",NOT(ISNUMBER($E181))),AND($F181&lt;&gt;"",NOT(ISNUMBER($F181))),AND($G181&lt;&gt;"",NOT(ISNUMBER($G181)))),"Fecha no válida"&amp;" · ","")&amp;IF(AND(ISNUMBER($AM181),ISNUMBER($AN181),$AM181&gt;$AN181),"Inicio posterior a fecha límite"&amp;" · ","")&amp;IF(AND($V181="Macro",$H181&lt;&gt;"",OR(NOT(ISNUMBER($H181)),$H181&lt;0,$H181&gt;1)),"Peso fuera de rango"&amp;" · ","")&amp;IF(AND($V181="Sub",$H181&lt;&gt;""),"Las subactividades no llevan peso (valen igual dentro de su macroactividad)"&amp;" · ","")&amp;IF(AND(N($W181)&gt;0,COUNT($I181:$L181)&gt;0),"Con subactividades: deje vacías las semanas (se calculan solas)"&amp;" · ","")&amp;IF((COUNTIF($I181:$L181,"&gt;1")+COUNTIF($I181:$L181,"&lt;0")+COUNTA($I181:$L181)-COUNT($I181:$L181))&gt;0,"Avance fuera de rango 0-100%"&amp;" · ","")&amp;IF(OR(AND($J181&lt;&gt;"",$J181&lt;$I181),AND($K181&lt;&gt;"",$K181&lt;MAX($I181:$J181)),AND($L181&lt;&gt;"",$L181&lt;MAX($I181:$K181))),"Avance semanal decreciente"&amp;" · ","")&amp;IF(AND(ISNUMBER($AN181),$AN181&lt;FechaRef,IF($V181="Sub",N($X181),N($M181))&lt;1),"Vencida"&amp;" · ","")&amp;IF(AND(ObsObligatoria="Sí",ISNUMBER($AN181),$AN181&lt;FechaRef,IF($V181="Sub",N($X181),N($M181))&lt;1,$Q181=""),"Vencida sin observación"&amp;" · ",""),LEN(IF($C181="","Falta el nombre de la actividad"&amp;" · ","")&amp;IF(AND($V181="Sub",N($U181)=0),"Subactividad sin macroactividad arriba"&amp;" · ","")&amp;IF($AM181="","Sin fecha de inicio"&amp;" · ","")&amp;IF($AN181="","Sin fecha límite"&amp;" · ","")&amp;IF(AND(LEFT($C181,11)="[Jefatura] ",N($AL181)=0),"No se encuentra en la hoja de la jefatura (elíjala de nuevo en la lista)"&amp;" · ","")&amp;IF(OR(AND($E181&lt;&gt;"",NOT(ISNUMBER($E181))),AND($F181&lt;&gt;"",NOT(ISNUMBER($F181))),AND($G181&lt;&gt;"",NOT(ISNUMBER($G181)))),"Fecha no válida"&amp;" · ","")&amp;IF(AND(ISNUMBER($AM181),ISNUMBER($AN181),$AM181&gt;$AN181),"Inicio posterior a fecha límite"&amp;" · ","")&amp;IF(AND($V181="Macro",$H181&lt;&gt;"",OR(NOT(ISNUMBER($H181)),$H181&lt;0,$H181&gt;1)),"Peso fuera de rango"&amp;" · ","")&amp;IF(AND($V181="Sub",$H181&lt;&gt;""),"Las subactividades no llevan peso (valen igual dentro de su macroactividad)"&amp;" · ","")&amp;IF(AND(N($W181)&gt;0,COUNT($I181:$L181)&gt;0),"Con subactividades: deje vacías las semanas (se calculan solas)"&amp;" · ","")&amp;IF((COUNTIF($I181:$L181,"&gt;1")+COUNTIF($I181:$L181,"&lt;0")+COUNTA($I181:$L181)-COUNT($I181:$L181))&gt;0,"Avance fuera de rango 0-100%"&amp;" · ","")&amp;IF(OR(AND($J181&lt;&gt;"",$J181&lt;$I181),AND($K181&lt;&gt;"",$K181&lt;MAX($I181:$J181)),AND($L181&lt;&gt;"",$L181&lt;MAX($I181:$K181))),"Avance semanal decreciente"&amp;" · ","")&amp;IF(AND(ISNUMBER($AN181),$AN181&lt;FechaRef,IF($V181="Sub",N($X181),N($M181))&lt;1),"Vencida"&amp;" · ","")&amp;IF(AND(ObsObligatoria="Sí",ISNUMBER($AN181),$AN181&lt;FechaRef,IF($V181="Sub",N($X181),N($M181))&lt;1,$Q181=""),"Vencida sin observación"&amp;" · ",""))-3)))</f>
        <v/>
      </c>
      <c r="S181" s="64">
        <f>IF(NOT((COUNTA($B181:$D181)+COUNTA($G181:$L181)+COUNTA($Q181))&gt;0),"",IF(AND($V181="Sub",N($U181)&gt;0),IF(ISNUMBER(INDEX($AM$5:$AM$1000,$U181-4)),DATE(YEAR(INDEX($AM$5:$AM$1000,$U181-4)),MONTH(INDEX($AM$5:$AM$1000,$U181-4)),1),IF(ISNUMBER(INDEX($AN$5:$AN$1000,$U181-4)),DATE(YEAR(INDEX($AN$5:$AN$1000,$U181-4)),MONTH(INDEX($AN$5:$AN$1000,$U181-4)),1),MesCiclo)),IF(ISNUMBER($AM181),DATE(YEAR($AM181),MONTH($AM181),1),IF(ISNUMBER($AN181),DATE(YEAR($AN181),MONTH($AN181),1),MesCiclo))))</f>
        <v/>
      </c>
      <c r="T181" s="62">
        <f>IF(OR($S181="",$S181&lt;&gt;MesCiclo,$V181&lt;&gt;"Macro"),"",COUNTIFS($S$5:$S181,MesCiclo,$V$5:$V181,"Macro"))</f>
        <v/>
      </c>
      <c r="U181" s="62">
        <f>IF($V181="","",IF($V181="Macro",ROW(),IFERROR(LOOKUP(2,1/($V$5:$V181="Macro"),ROW($V$5:$V181)),0)))</f>
        <v/>
      </c>
      <c r="V181" s="62">
        <f>IF(NOT((COUNTA($B181:$D181)+COUNTA($G181:$L181)+COUNTA($Q181))&gt;0),"",IF($B181="Subactividad","Sub","Macro"))</f>
        <v/>
      </c>
      <c r="W181" s="62">
        <f>IF($V181="Macro",COUNTIFS($U$5:$U$1000,ROW(),$V$5:$V$1000,"Sub"),"")</f>
        <v/>
      </c>
      <c r="X181" s="62">
        <f>IF($V181="","",IF(ISNUMBER($G181),1,IFERROR(LOOKUP(2,1/($I181:$L181&lt;&gt;""),$I181:$L181),0)))</f>
        <v/>
      </c>
      <c r="Y181" s="62">
        <f>IF($V181="","",IF(AND(ISNUMBER($G181),$G181&lt;=IF($S181=MesCiclo,InicioCiclo,$S181+MOD(2-WEEKDAY($S181),7))+6),1,IF(ISNUMBER($I181),$I181,0)))</f>
        <v/>
      </c>
      <c r="Z181" s="62">
        <f>IF($V181="","",IF(AND(ISNUMBER($G181),$G181&lt;=IF($S181=MesCiclo,InicioCiclo,$S181+MOD(2-WEEKDAY($S181),7))+13),1,IF(ISNUMBER($J181),$J181,$Y181)))</f>
        <v/>
      </c>
      <c r="AA181" s="62">
        <f>IF($V181="","",IF(AND(ISNUMBER($G181),$G181&lt;=IF($S181=MesCiclo,InicioCiclo,$S181+MOD(2-WEEKDAY($S181),7))+20),1,IF(ISNUMBER($K181),$K181,$Z181)))</f>
        <v/>
      </c>
      <c r="AB181" s="62">
        <f>IF($V181="","",IF(AND(ISNUMBER($G181),$G181&lt;=IF($S181=MesCiclo,InicioCiclo,$S181+MOD(2-WEEKDAY($S181),7))+27),1,IF(ISNUMBER($L181),$L181,$AA181)))</f>
        <v/>
      </c>
      <c r="AC181" s="62">
        <f>IF($V181="","",IF(AND(ISNUMBER($G181),$G181&lt;=IF($S181=MesCiclo,InicioCiclo,$S181+MOD(2-WEEKDAY($S181),7))+6),1,IF(N($W181)&gt;0,AVERAGEIFS($Y$5:$Y$1000,$U$5:$U$1000,ROW(),$V$5:$V$1000,"Sub"),$Y181)))</f>
        <v/>
      </c>
      <c r="AD181" s="62">
        <f>IF($V181="","",IF(AND(ISNUMBER($G181),$G181&lt;=IF($S181=MesCiclo,InicioCiclo,$S181+MOD(2-WEEKDAY($S181),7))+13),1,IF(N($W181)&gt;0,AVERAGEIFS($Z$5:$Z$1000,$U$5:$U$1000,ROW(),$V$5:$V$1000,"Sub"),$Z181)))</f>
        <v/>
      </c>
      <c r="AE181" s="62">
        <f>IF($V181="","",IF(AND(ISNUMBER($G181),$G181&lt;=IF($S181=MesCiclo,InicioCiclo,$S181+MOD(2-WEEKDAY($S181),7))+20),1,IF(N($W181)&gt;0,AVERAGEIFS($AA$5:$AA$1000,$U$5:$U$1000,ROW(),$V$5:$V$1000,"Sub"),$AA181)))</f>
        <v/>
      </c>
      <c r="AF181" s="62">
        <f>IF($V181="","",IF(AND(ISNUMBER($G181),$G181&lt;=IF($S181=MesCiclo,InicioCiclo,$S181+MOD(2-WEEKDAY($S181),7))+27),1,IF(N($W181)&gt;0,AVERAGEIFS($AB$5:$AB$1000,$U$5:$U$1000,ROW(),$V$5:$V$1000,"Sub"),$AB181)))</f>
        <v/>
      </c>
      <c r="AG181" s="62">
        <f>IF($V181&lt;&gt;"Macro","",IF(COUNTIFS($S$5:$S$1000,$S181,$V$5:$V$1000,"Macro",$H$5:$H$1000,"&gt;0")=0,1/COUNTIFS($S$5:$S$1000,$S181,$V$5:$V$1000,"Macro"),IF(AND(ISNUMBER($H181),N($H181)&gt;0),$H181,SUMIFS($H$5:$H$1000,$S$5:$S$1000,$S181,$V$5:$V$1000,"Macro")/COUNTIFS($S$5:$S$1000,$S181,$V$5:$V$1000,"Macro",$H$5:$H$1000,"&gt;0"))/(COUNTIFS($S$5:$S$1000,$S181,$V$5:$V$1000,"Macro")*SUMIFS($H$5:$H$1000,$S$5:$S$1000,$S181,$V$5:$V$1000,"Macro")/COUNTIFS($S$5:$S$1000,$S181,$V$5:$V$1000,"Macro",$H$5:$H$1000,"&gt;0"))))</f>
        <v/>
      </c>
      <c r="AH181" s="62" t="n"/>
      <c r="AI181" s="62" t="n"/>
      <c r="AJ181" s="62" t="n"/>
      <c r="AK181" s="62" t="n"/>
      <c r="AL181" s="62">
        <f>IF(LEFT($C181,11)="[Jefatura] ",IFERROR(MATCH("Asistente Técnico de Riesgo|"&amp;MID($C181,12,500),rDname_ADM,0),0),"")</f>
        <v/>
      </c>
      <c r="AM181" s="62">
        <f>IF(N($AL181)&gt;0,INDEX(rIni_ADM,$AL181),IF(ISNUMBER($E181),$E181,""))</f>
        <v/>
      </c>
      <c r="AN181" s="62">
        <f>IF(N($AL181)&gt;0,INDEX(rLim_ADM,$AL181),IF(ISNUMBER($F181),$F181,""))</f>
        <v/>
      </c>
    </row>
    <row r="182">
      <c r="A182" s="56">
        <f>IF(NOT((COUNTA($B182:$D182)+COUNTA($G182:$L182)+COUNTA($Q182))&gt;0),"",IF($V182="Macro",COUNTIFS($V$5:$V182,"Macro",$S$5:$S182,$S182),IF(N($U182)=0,"?",COUNTIFS(INDEX($V$5:$V$1000,1):INDEX($V$5:$V$1000,$U182-4),"Macro",INDEX($S$5:$S$1000,1):INDEX($S$5:$S$1000,$U182-4),INDEX($S$5:$S$1000,$U182-4))&amp;"."&amp;COUNTIFS($U$5:$U182,$U182,$V$5:$V182,"Sub"))))</f>
        <v/>
      </c>
      <c r="B182" s="57" t="n"/>
      <c r="C182" s="58" t="n"/>
      <c r="D182" s="58" t="n"/>
      <c r="E182" s="59">
        <f>IF(N($AL182)&gt;0,INDEX(rIni_ADM,$AL182),"")</f>
        <v/>
      </c>
      <c r="F182" s="59">
        <f>IF(N($AL182)&gt;0,INDEX(rLim_ADM,$AL182),"")</f>
        <v/>
      </c>
      <c r="G182" s="59" t="n"/>
      <c r="H182" s="60" t="n"/>
      <c r="I182" s="60" t="n"/>
      <c r="J182" s="60" t="n"/>
      <c r="K182" s="60" t="n"/>
      <c r="L182" s="60" t="n"/>
      <c r="M182" s="61">
        <f>IF(NOT((COUNTA($B182:$D182)+COUNTA($G182:$L182)+COUNTA($Q182))&gt;0),"",IF($V182="Sub",IFERROR($X182/INDEX($W$5:$W$1000,$U182-4),""),IF(ISNUMBER($G182),1,IF(N($W182)&gt;0,AVERAGEIFS($X$5:$X$1000,$U$5:$U$1000,ROW(),$V$5:$V$1000,"Sub"),$X182))))</f>
        <v/>
      </c>
      <c r="N182" s="56">
        <f>IF(OR($M182="",$V182="Sub"),"",IF($M182&gt;=1,"Completado",IF($M182&gt;0,"En curso","Pendiente")))</f>
        <v/>
      </c>
      <c r="O182" s="56">
        <f>IF(OR(NOT((COUNTA($B182:$D182)+COUNTA($G182:$L182)+COUNTA($Q182))&gt;0),$V182="Sub"),"",IF(ISNUMBER($G182),IF(AND(ISNUMBER($AN182),$G182&gt;$AN182),"Cumplida con "&amp;($G182-$AN182)&amp;IF($G182-$AN182=1," día"," días")&amp;" de retraso","Cumplida"),IF(N($M182)&gt;=1,"Cumplida",IF(NOT(ISNUMBER($AN182)),"Sin fecha límite",IF($AN182&lt;FechaRef,"Vencida hace "&amp;(FechaRef-$AN182)&amp;IF(FechaRef-$AN182=1," día"," días"),IF($AN182=FechaRef,"Vence hoy",IF($AN182-FechaRef&lt;=DiasAlerta,"Vence en "&amp;($AN182-FechaRef)&amp;IF($AN182-FechaRef=1," día"," días"),"En plazo")))))))</f>
        <v/>
      </c>
      <c r="P182" s="62" t="n"/>
      <c r="Q182" s="58" t="n"/>
      <c r="R182" s="63">
        <f>IF(NOT((COUNTA($B182:$D182)+COUNTA($G182:$L182)+COUNTA($Q182))&gt;0),"",IF((IF($C182="","Falta el nombre de la actividad"&amp;" · ","")&amp;IF(AND($V182="Sub",N($U182)=0),"Subactividad sin macroactividad arriba"&amp;" · ","")&amp;IF($AM182="","Sin fecha de inicio"&amp;" · ","")&amp;IF($AN182="","Sin fecha límite"&amp;" · ","")&amp;IF(AND(LEFT($C182,11)="[Jefatura] ",N($AL182)=0),"No se encuentra en la hoja de la jefatura (elíjala de nuevo en la lista)"&amp;" · ","")&amp;IF(OR(AND($E182&lt;&gt;"",NOT(ISNUMBER($E182))),AND($F182&lt;&gt;"",NOT(ISNUMBER($F182))),AND($G182&lt;&gt;"",NOT(ISNUMBER($G182)))),"Fecha no válida"&amp;" · ","")&amp;IF(AND(ISNUMBER($AM182),ISNUMBER($AN182),$AM182&gt;$AN182),"Inicio posterior a fecha límite"&amp;" · ","")&amp;IF(AND($V182="Macro",$H182&lt;&gt;"",OR(NOT(ISNUMBER($H182)),$H182&lt;0,$H182&gt;1)),"Peso fuera de rango"&amp;" · ","")&amp;IF(AND($V182="Sub",$H182&lt;&gt;""),"Las subactividades no llevan peso (valen igual dentro de su macroactividad)"&amp;" · ","")&amp;IF(AND(N($W182)&gt;0,COUNT($I182:$L182)&gt;0),"Con subactividades: deje vacías las semanas (se calculan solas)"&amp;" · ","")&amp;IF((COUNTIF($I182:$L182,"&gt;1")+COUNTIF($I182:$L182,"&lt;0")+COUNTA($I182:$L182)-COUNT($I182:$L182))&gt;0,"Avance fuera de rango 0-100%"&amp;" · ","")&amp;IF(OR(AND($J182&lt;&gt;"",$J182&lt;$I182),AND($K182&lt;&gt;"",$K182&lt;MAX($I182:$J182)),AND($L182&lt;&gt;"",$L182&lt;MAX($I182:$K182))),"Avance semanal decreciente"&amp;" · ","")&amp;IF(AND(ISNUMBER($AN182),$AN182&lt;FechaRef,IF($V182="Sub",N($X182),N($M182))&lt;1),"Vencida"&amp;" · ","")&amp;IF(AND(ObsObligatoria="Sí",ISNUMBER($AN182),$AN182&lt;FechaRef,IF($V182="Sub",N($X182),N($M182))&lt;1,$Q182=""),"Vencida sin observación"&amp;" · ",""))="","✔ OK","⚠ "&amp;LEFT(IF($C182="","Falta el nombre de la actividad"&amp;" · ","")&amp;IF(AND($V182="Sub",N($U182)=0),"Subactividad sin macroactividad arriba"&amp;" · ","")&amp;IF($AM182="","Sin fecha de inicio"&amp;" · ","")&amp;IF($AN182="","Sin fecha límite"&amp;" · ","")&amp;IF(AND(LEFT($C182,11)="[Jefatura] ",N($AL182)=0),"No se encuentra en la hoja de la jefatura (elíjala de nuevo en la lista)"&amp;" · ","")&amp;IF(OR(AND($E182&lt;&gt;"",NOT(ISNUMBER($E182))),AND($F182&lt;&gt;"",NOT(ISNUMBER($F182))),AND($G182&lt;&gt;"",NOT(ISNUMBER($G182)))),"Fecha no válida"&amp;" · ","")&amp;IF(AND(ISNUMBER($AM182),ISNUMBER($AN182),$AM182&gt;$AN182),"Inicio posterior a fecha límite"&amp;" · ","")&amp;IF(AND($V182="Macro",$H182&lt;&gt;"",OR(NOT(ISNUMBER($H182)),$H182&lt;0,$H182&gt;1)),"Peso fuera de rango"&amp;" · ","")&amp;IF(AND($V182="Sub",$H182&lt;&gt;""),"Las subactividades no llevan peso (valen igual dentro de su macroactividad)"&amp;" · ","")&amp;IF(AND(N($W182)&gt;0,COUNT($I182:$L182)&gt;0),"Con subactividades: deje vacías las semanas (se calculan solas)"&amp;" · ","")&amp;IF((COUNTIF($I182:$L182,"&gt;1")+COUNTIF($I182:$L182,"&lt;0")+COUNTA($I182:$L182)-COUNT($I182:$L182))&gt;0,"Avance fuera de rango 0-100%"&amp;" · ","")&amp;IF(OR(AND($J182&lt;&gt;"",$J182&lt;$I182),AND($K182&lt;&gt;"",$K182&lt;MAX($I182:$J182)),AND($L182&lt;&gt;"",$L182&lt;MAX($I182:$K182))),"Avance semanal decreciente"&amp;" · ","")&amp;IF(AND(ISNUMBER($AN182),$AN182&lt;FechaRef,IF($V182="Sub",N($X182),N($M182))&lt;1),"Vencida"&amp;" · ","")&amp;IF(AND(ObsObligatoria="Sí",ISNUMBER($AN182),$AN182&lt;FechaRef,IF($V182="Sub",N($X182),N($M182))&lt;1,$Q182=""),"Vencida sin observación"&amp;" · ",""),LEN(IF($C182="","Falta el nombre de la actividad"&amp;" · ","")&amp;IF(AND($V182="Sub",N($U182)=0),"Subactividad sin macroactividad arriba"&amp;" · ","")&amp;IF($AM182="","Sin fecha de inicio"&amp;" · ","")&amp;IF($AN182="","Sin fecha límite"&amp;" · ","")&amp;IF(AND(LEFT($C182,11)="[Jefatura] ",N($AL182)=0),"No se encuentra en la hoja de la jefatura (elíjala de nuevo en la lista)"&amp;" · ","")&amp;IF(OR(AND($E182&lt;&gt;"",NOT(ISNUMBER($E182))),AND($F182&lt;&gt;"",NOT(ISNUMBER($F182))),AND($G182&lt;&gt;"",NOT(ISNUMBER($G182)))),"Fecha no válida"&amp;" · ","")&amp;IF(AND(ISNUMBER($AM182),ISNUMBER($AN182),$AM182&gt;$AN182),"Inicio posterior a fecha límite"&amp;" · ","")&amp;IF(AND($V182="Macro",$H182&lt;&gt;"",OR(NOT(ISNUMBER($H182)),$H182&lt;0,$H182&gt;1)),"Peso fuera de rango"&amp;" · ","")&amp;IF(AND($V182="Sub",$H182&lt;&gt;""),"Las subactividades no llevan peso (valen igual dentro de su macroactividad)"&amp;" · ","")&amp;IF(AND(N($W182)&gt;0,COUNT($I182:$L182)&gt;0),"Con subactividades: deje vacías las semanas (se calculan solas)"&amp;" · ","")&amp;IF((COUNTIF($I182:$L182,"&gt;1")+COUNTIF($I182:$L182,"&lt;0")+COUNTA($I182:$L182)-COUNT($I182:$L182))&gt;0,"Avance fuera de rango 0-100%"&amp;" · ","")&amp;IF(OR(AND($J182&lt;&gt;"",$J182&lt;$I182),AND($K182&lt;&gt;"",$K182&lt;MAX($I182:$J182)),AND($L182&lt;&gt;"",$L182&lt;MAX($I182:$K182))),"Avance semanal decreciente"&amp;" · ","")&amp;IF(AND(ISNUMBER($AN182),$AN182&lt;FechaRef,IF($V182="Sub",N($X182),N($M182))&lt;1),"Vencida"&amp;" · ","")&amp;IF(AND(ObsObligatoria="Sí",ISNUMBER($AN182),$AN182&lt;FechaRef,IF($V182="Sub",N($X182),N($M182))&lt;1,$Q182=""),"Vencida sin observación"&amp;" · ",""))-3)))</f>
        <v/>
      </c>
      <c r="S182" s="64">
        <f>IF(NOT((COUNTA($B182:$D182)+COUNTA($G182:$L182)+COUNTA($Q182))&gt;0),"",IF(AND($V182="Sub",N($U182)&gt;0),IF(ISNUMBER(INDEX($AM$5:$AM$1000,$U182-4)),DATE(YEAR(INDEX($AM$5:$AM$1000,$U182-4)),MONTH(INDEX($AM$5:$AM$1000,$U182-4)),1),IF(ISNUMBER(INDEX($AN$5:$AN$1000,$U182-4)),DATE(YEAR(INDEX($AN$5:$AN$1000,$U182-4)),MONTH(INDEX($AN$5:$AN$1000,$U182-4)),1),MesCiclo)),IF(ISNUMBER($AM182),DATE(YEAR($AM182),MONTH($AM182),1),IF(ISNUMBER($AN182),DATE(YEAR($AN182),MONTH($AN182),1),MesCiclo))))</f>
        <v/>
      </c>
      <c r="T182" s="62">
        <f>IF(OR($S182="",$S182&lt;&gt;MesCiclo,$V182&lt;&gt;"Macro"),"",COUNTIFS($S$5:$S182,MesCiclo,$V$5:$V182,"Macro"))</f>
        <v/>
      </c>
      <c r="U182" s="62">
        <f>IF($V182="","",IF($V182="Macro",ROW(),IFERROR(LOOKUP(2,1/($V$5:$V182="Macro"),ROW($V$5:$V182)),0)))</f>
        <v/>
      </c>
      <c r="V182" s="62">
        <f>IF(NOT((COUNTA($B182:$D182)+COUNTA($G182:$L182)+COUNTA($Q182))&gt;0),"",IF($B182="Subactividad","Sub","Macro"))</f>
        <v/>
      </c>
      <c r="W182" s="62">
        <f>IF($V182="Macro",COUNTIFS($U$5:$U$1000,ROW(),$V$5:$V$1000,"Sub"),"")</f>
        <v/>
      </c>
      <c r="X182" s="62">
        <f>IF($V182="","",IF(ISNUMBER($G182),1,IFERROR(LOOKUP(2,1/($I182:$L182&lt;&gt;""),$I182:$L182),0)))</f>
        <v/>
      </c>
      <c r="Y182" s="62">
        <f>IF($V182="","",IF(AND(ISNUMBER($G182),$G182&lt;=IF($S182=MesCiclo,InicioCiclo,$S182+MOD(2-WEEKDAY($S182),7))+6),1,IF(ISNUMBER($I182),$I182,0)))</f>
        <v/>
      </c>
      <c r="Z182" s="62">
        <f>IF($V182="","",IF(AND(ISNUMBER($G182),$G182&lt;=IF($S182=MesCiclo,InicioCiclo,$S182+MOD(2-WEEKDAY($S182),7))+13),1,IF(ISNUMBER($J182),$J182,$Y182)))</f>
        <v/>
      </c>
      <c r="AA182" s="62">
        <f>IF($V182="","",IF(AND(ISNUMBER($G182),$G182&lt;=IF($S182=MesCiclo,InicioCiclo,$S182+MOD(2-WEEKDAY($S182),7))+20),1,IF(ISNUMBER($K182),$K182,$Z182)))</f>
        <v/>
      </c>
      <c r="AB182" s="62">
        <f>IF($V182="","",IF(AND(ISNUMBER($G182),$G182&lt;=IF($S182=MesCiclo,InicioCiclo,$S182+MOD(2-WEEKDAY($S182),7))+27),1,IF(ISNUMBER($L182),$L182,$AA182)))</f>
        <v/>
      </c>
      <c r="AC182" s="62">
        <f>IF($V182="","",IF(AND(ISNUMBER($G182),$G182&lt;=IF($S182=MesCiclo,InicioCiclo,$S182+MOD(2-WEEKDAY($S182),7))+6),1,IF(N($W182)&gt;0,AVERAGEIFS($Y$5:$Y$1000,$U$5:$U$1000,ROW(),$V$5:$V$1000,"Sub"),$Y182)))</f>
        <v/>
      </c>
      <c r="AD182" s="62">
        <f>IF($V182="","",IF(AND(ISNUMBER($G182),$G182&lt;=IF($S182=MesCiclo,InicioCiclo,$S182+MOD(2-WEEKDAY($S182),7))+13),1,IF(N($W182)&gt;0,AVERAGEIFS($Z$5:$Z$1000,$U$5:$U$1000,ROW(),$V$5:$V$1000,"Sub"),$Z182)))</f>
        <v/>
      </c>
      <c r="AE182" s="62">
        <f>IF($V182="","",IF(AND(ISNUMBER($G182),$G182&lt;=IF($S182=MesCiclo,InicioCiclo,$S182+MOD(2-WEEKDAY($S182),7))+20),1,IF(N($W182)&gt;0,AVERAGEIFS($AA$5:$AA$1000,$U$5:$U$1000,ROW(),$V$5:$V$1000,"Sub"),$AA182)))</f>
        <v/>
      </c>
      <c r="AF182" s="62">
        <f>IF($V182="","",IF(AND(ISNUMBER($G182),$G182&lt;=IF($S182=MesCiclo,InicioCiclo,$S182+MOD(2-WEEKDAY($S182),7))+27),1,IF(N($W182)&gt;0,AVERAGEIFS($AB$5:$AB$1000,$U$5:$U$1000,ROW(),$V$5:$V$1000,"Sub"),$AB182)))</f>
        <v/>
      </c>
      <c r="AG182" s="62">
        <f>IF($V182&lt;&gt;"Macro","",IF(COUNTIFS($S$5:$S$1000,$S182,$V$5:$V$1000,"Macro",$H$5:$H$1000,"&gt;0")=0,1/COUNTIFS($S$5:$S$1000,$S182,$V$5:$V$1000,"Macro"),IF(AND(ISNUMBER($H182),N($H182)&gt;0),$H182,SUMIFS($H$5:$H$1000,$S$5:$S$1000,$S182,$V$5:$V$1000,"Macro")/COUNTIFS($S$5:$S$1000,$S182,$V$5:$V$1000,"Macro",$H$5:$H$1000,"&gt;0"))/(COUNTIFS($S$5:$S$1000,$S182,$V$5:$V$1000,"Macro")*SUMIFS($H$5:$H$1000,$S$5:$S$1000,$S182,$V$5:$V$1000,"Macro")/COUNTIFS($S$5:$S$1000,$S182,$V$5:$V$1000,"Macro",$H$5:$H$1000,"&gt;0"))))</f>
        <v/>
      </c>
      <c r="AH182" s="62" t="n"/>
      <c r="AI182" s="62" t="n"/>
      <c r="AJ182" s="62" t="n"/>
      <c r="AK182" s="62" t="n"/>
      <c r="AL182" s="62">
        <f>IF(LEFT($C182,11)="[Jefatura] ",IFERROR(MATCH("Asistente Técnico de Riesgo|"&amp;MID($C182,12,500),rDname_ADM,0),0),"")</f>
        <v/>
      </c>
      <c r="AM182" s="62">
        <f>IF(N($AL182)&gt;0,INDEX(rIni_ADM,$AL182),IF(ISNUMBER($E182),$E182,""))</f>
        <v/>
      </c>
      <c r="AN182" s="62">
        <f>IF(N($AL182)&gt;0,INDEX(rLim_ADM,$AL182),IF(ISNUMBER($F182),$F182,""))</f>
        <v/>
      </c>
    </row>
    <row r="183">
      <c r="A183" s="56">
        <f>IF(NOT((COUNTA($B183:$D183)+COUNTA($G183:$L183)+COUNTA($Q183))&gt;0),"",IF($V183="Macro",COUNTIFS($V$5:$V183,"Macro",$S$5:$S183,$S183),IF(N($U183)=0,"?",COUNTIFS(INDEX($V$5:$V$1000,1):INDEX($V$5:$V$1000,$U183-4),"Macro",INDEX($S$5:$S$1000,1):INDEX($S$5:$S$1000,$U183-4),INDEX($S$5:$S$1000,$U183-4))&amp;"."&amp;COUNTIFS($U$5:$U183,$U183,$V$5:$V183,"Sub"))))</f>
        <v/>
      </c>
      <c r="B183" s="57" t="n"/>
      <c r="C183" s="58" t="n"/>
      <c r="D183" s="58" t="n"/>
      <c r="E183" s="59">
        <f>IF(N($AL183)&gt;0,INDEX(rIni_ADM,$AL183),"")</f>
        <v/>
      </c>
      <c r="F183" s="59">
        <f>IF(N($AL183)&gt;0,INDEX(rLim_ADM,$AL183),"")</f>
        <v/>
      </c>
      <c r="G183" s="59" t="n"/>
      <c r="H183" s="60" t="n"/>
      <c r="I183" s="60" t="n"/>
      <c r="J183" s="60" t="n"/>
      <c r="K183" s="60" t="n"/>
      <c r="L183" s="60" t="n"/>
      <c r="M183" s="61">
        <f>IF(NOT((COUNTA($B183:$D183)+COUNTA($G183:$L183)+COUNTA($Q183))&gt;0),"",IF($V183="Sub",IFERROR($X183/INDEX($W$5:$W$1000,$U183-4),""),IF(ISNUMBER($G183),1,IF(N($W183)&gt;0,AVERAGEIFS($X$5:$X$1000,$U$5:$U$1000,ROW(),$V$5:$V$1000,"Sub"),$X183))))</f>
        <v/>
      </c>
      <c r="N183" s="56">
        <f>IF(OR($M183="",$V183="Sub"),"",IF($M183&gt;=1,"Completado",IF($M183&gt;0,"En curso","Pendiente")))</f>
        <v/>
      </c>
      <c r="O183" s="56">
        <f>IF(OR(NOT((COUNTA($B183:$D183)+COUNTA($G183:$L183)+COUNTA($Q183))&gt;0),$V183="Sub"),"",IF(ISNUMBER($G183),IF(AND(ISNUMBER($AN183),$G183&gt;$AN183),"Cumplida con "&amp;($G183-$AN183)&amp;IF($G183-$AN183=1," día"," días")&amp;" de retraso","Cumplida"),IF(N($M183)&gt;=1,"Cumplida",IF(NOT(ISNUMBER($AN183)),"Sin fecha límite",IF($AN183&lt;FechaRef,"Vencida hace "&amp;(FechaRef-$AN183)&amp;IF(FechaRef-$AN183=1," día"," días"),IF($AN183=FechaRef,"Vence hoy",IF($AN183-FechaRef&lt;=DiasAlerta,"Vence en "&amp;($AN183-FechaRef)&amp;IF($AN183-FechaRef=1," día"," días"),"En plazo")))))))</f>
        <v/>
      </c>
      <c r="P183" s="62" t="n"/>
      <c r="Q183" s="58" t="n"/>
      <c r="R183" s="63">
        <f>IF(NOT((COUNTA($B183:$D183)+COUNTA($G183:$L183)+COUNTA($Q183))&gt;0),"",IF((IF($C183="","Falta el nombre de la actividad"&amp;" · ","")&amp;IF(AND($V183="Sub",N($U183)=0),"Subactividad sin macroactividad arriba"&amp;" · ","")&amp;IF($AM183="","Sin fecha de inicio"&amp;" · ","")&amp;IF($AN183="","Sin fecha límite"&amp;" · ","")&amp;IF(AND(LEFT($C183,11)="[Jefatura] ",N($AL183)=0),"No se encuentra en la hoja de la jefatura (elíjala de nuevo en la lista)"&amp;" · ","")&amp;IF(OR(AND($E183&lt;&gt;"",NOT(ISNUMBER($E183))),AND($F183&lt;&gt;"",NOT(ISNUMBER($F183))),AND($G183&lt;&gt;"",NOT(ISNUMBER($G183)))),"Fecha no válida"&amp;" · ","")&amp;IF(AND(ISNUMBER($AM183),ISNUMBER($AN183),$AM183&gt;$AN183),"Inicio posterior a fecha límite"&amp;" · ","")&amp;IF(AND($V183="Macro",$H183&lt;&gt;"",OR(NOT(ISNUMBER($H183)),$H183&lt;0,$H183&gt;1)),"Peso fuera de rango"&amp;" · ","")&amp;IF(AND($V183="Sub",$H183&lt;&gt;""),"Las subactividades no llevan peso (valen igual dentro de su macroactividad)"&amp;" · ","")&amp;IF(AND(N($W183)&gt;0,COUNT($I183:$L183)&gt;0),"Con subactividades: deje vacías las semanas (se calculan solas)"&amp;" · ","")&amp;IF((COUNTIF($I183:$L183,"&gt;1")+COUNTIF($I183:$L183,"&lt;0")+COUNTA($I183:$L183)-COUNT($I183:$L183))&gt;0,"Avance fuera de rango 0-100%"&amp;" · ","")&amp;IF(OR(AND($J183&lt;&gt;"",$J183&lt;$I183),AND($K183&lt;&gt;"",$K183&lt;MAX($I183:$J183)),AND($L183&lt;&gt;"",$L183&lt;MAX($I183:$K183))),"Avance semanal decreciente"&amp;" · ","")&amp;IF(AND(ISNUMBER($AN183),$AN183&lt;FechaRef,IF($V183="Sub",N($X183),N($M183))&lt;1),"Vencida"&amp;" · ","")&amp;IF(AND(ObsObligatoria="Sí",ISNUMBER($AN183),$AN183&lt;FechaRef,IF($V183="Sub",N($X183),N($M183))&lt;1,$Q183=""),"Vencida sin observación"&amp;" · ",""))="","✔ OK","⚠ "&amp;LEFT(IF($C183="","Falta el nombre de la actividad"&amp;" · ","")&amp;IF(AND($V183="Sub",N($U183)=0),"Subactividad sin macroactividad arriba"&amp;" · ","")&amp;IF($AM183="","Sin fecha de inicio"&amp;" · ","")&amp;IF($AN183="","Sin fecha límite"&amp;" · ","")&amp;IF(AND(LEFT($C183,11)="[Jefatura] ",N($AL183)=0),"No se encuentra en la hoja de la jefatura (elíjala de nuevo en la lista)"&amp;" · ","")&amp;IF(OR(AND($E183&lt;&gt;"",NOT(ISNUMBER($E183))),AND($F183&lt;&gt;"",NOT(ISNUMBER($F183))),AND($G183&lt;&gt;"",NOT(ISNUMBER($G183)))),"Fecha no válida"&amp;" · ","")&amp;IF(AND(ISNUMBER($AM183),ISNUMBER($AN183),$AM183&gt;$AN183),"Inicio posterior a fecha límite"&amp;" · ","")&amp;IF(AND($V183="Macro",$H183&lt;&gt;"",OR(NOT(ISNUMBER($H183)),$H183&lt;0,$H183&gt;1)),"Peso fuera de rango"&amp;" · ","")&amp;IF(AND($V183="Sub",$H183&lt;&gt;""),"Las subactividades no llevan peso (valen igual dentro de su macroactividad)"&amp;" · ","")&amp;IF(AND(N($W183)&gt;0,COUNT($I183:$L183)&gt;0),"Con subactividades: deje vacías las semanas (se calculan solas)"&amp;" · ","")&amp;IF((COUNTIF($I183:$L183,"&gt;1")+COUNTIF($I183:$L183,"&lt;0")+COUNTA($I183:$L183)-COUNT($I183:$L183))&gt;0,"Avance fuera de rango 0-100%"&amp;" · ","")&amp;IF(OR(AND($J183&lt;&gt;"",$J183&lt;$I183),AND($K183&lt;&gt;"",$K183&lt;MAX($I183:$J183)),AND($L183&lt;&gt;"",$L183&lt;MAX($I183:$K183))),"Avance semanal decreciente"&amp;" · ","")&amp;IF(AND(ISNUMBER($AN183),$AN183&lt;FechaRef,IF($V183="Sub",N($X183),N($M183))&lt;1),"Vencida"&amp;" · ","")&amp;IF(AND(ObsObligatoria="Sí",ISNUMBER($AN183),$AN183&lt;FechaRef,IF($V183="Sub",N($X183),N($M183))&lt;1,$Q183=""),"Vencida sin observación"&amp;" · ",""),LEN(IF($C183="","Falta el nombre de la actividad"&amp;" · ","")&amp;IF(AND($V183="Sub",N($U183)=0),"Subactividad sin macroactividad arriba"&amp;" · ","")&amp;IF($AM183="","Sin fecha de inicio"&amp;" · ","")&amp;IF($AN183="","Sin fecha límite"&amp;" · ","")&amp;IF(AND(LEFT($C183,11)="[Jefatura] ",N($AL183)=0),"No se encuentra en la hoja de la jefatura (elíjala de nuevo en la lista)"&amp;" · ","")&amp;IF(OR(AND($E183&lt;&gt;"",NOT(ISNUMBER($E183))),AND($F183&lt;&gt;"",NOT(ISNUMBER($F183))),AND($G183&lt;&gt;"",NOT(ISNUMBER($G183)))),"Fecha no válida"&amp;" · ","")&amp;IF(AND(ISNUMBER($AM183),ISNUMBER($AN183),$AM183&gt;$AN183),"Inicio posterior a fecha límite"&amp;" · ","")&amp;IF(AND($V183="Macro",$H183&lt;&gt;"",OR(NOT(ISNUMBER($H183)),$H183&lt;0,$H183&gt;1)),"Peso fuera de rango"&amp;" · ","")&amp;IF(AND($V183="Sub",$H183&lt;&gt;""),"Las subactividades no llevan peso (valen igual dentro de su macroactividad)"&amp;" · ","")&amp;IF(AND(N($W183)&gt;0,COUNT($I183:$L183)&gt;0),"Con subactividades: deje vacías las semanas (se calculan solas)"&amp;" · ","")&amp;IF((COUNTIF($I183:$L183,"&gt;1")+COUNTIF($I183:$L183,"&lt;0")+COUNTA($I183:$L183)-COUNT($I183:$L183))&gt;0,"Avance fuera de rango 0-100%"&amp;" · ","")&amp;IF(OR(AND($J183&lt;&gt;"",$J183&lt;$I183),AND($K183&lt;&gt;"",$K183&lt;MAX($I183:$J183)),AND($L183&lt;&gt;"",$L183&lt;MAX($I183:$K183))),"Avance semanal decreciente"&amp;" · ","")&amp;IF(AND(ISNUMBER($AN183),$AN183&lt;FechaRef,IF($V183="Sub",N($X183),N($M183))&lt;1),"Vencida"&amp;" · ","")&amp;IF(AND(ObsObligatoria="Sí",ISNUMBER($AN183),$AN183&lt;FechaRef,IF($V183="Sub",N($X183),N($M183))&lt;1,$Q183=""),"Vencida sin observación"&amp;" · ",""))-3)))</f>
        <v/>
      </c>
      <c r="S183" s="64">
        <f>IF(NOT((COUNTA($B183:$D183)+COUNTA($G183:$L183)+COUNTA($Q183))&gt;0),"",IF(AND($V183="Sub",N($U183)&gt;0),IF(ISNUMBER(INDEX($AM$5:$AM$1000,$U183-4)),DATE(YEAR(INDEX($AM$5:$AM$1000,$U183-4)),MONTH(INDEX($AM$5:$AM$1000,$U183-4)),1),IF(ISNUMBER(INDEX($AN$5:$AN$1000,$U183-4)),DATE(YEAR(INDEX($AN$5:$AN$1000,$U183-4)),MONTH(INDEX($AN$5:$AN$1000,$U183-4)),1),MesCiclo)),IF(ISNUMBER($AM183),DATE(YEAR($AM183),MONTH($AM183),1),IF(ISNUMBER($AN183),DATE(YEAR($AN183),MONTH($AN183),1),MesCiclo))))</f>
        <v/>
      </c>
      <c r="T183" s="62">
        <f>IF(OR($S183="",$S183&lt;&gt;MesCiclo,$V183&lt;&gt;"Macro"),"",COUNTIFS($S$5:$S183,MesCiclo,$V$5:$V183,"Macro"))</f>
        <v/>
      </c>
      <c r="U183" s="62">
        <f>IF($V183="","",IF($V183="Macro",ROW(),IFERROR(LOOKUP(2,1/($V$5:$V183="Macro"),ROW($V$5:$V183)),0)))</f>
        <v/>
      </c>
      <c r="V183" s="62">
        <f>IF(NOT((COUNTA($B183:$D183)+COUNTA($G183:$L183)+COUNTA($Q183))&gt;0),"",IF($B183="Subactividad","Sub","Macro"))</f>
        <v/>
      </c>
      <c r="W183" s="62">
        <f>IF($V183="Macro",COUNTIFS($U$5:$U$1000,ROW(),$V$5:$V$1000,"Sub"),"")</f>
        <v/>
      </c>
      <c r="X183" s="62">
        <f>IF($V183="","",IF(ISNUMBER($G183),1,IFERROR(LOOKUP(2,1/($I183:$L183&lt;&gt;""),$I183:$L183),0)))</f>
        <v/>
      </c>
      <c r="Y183" s="62">
        <f>IF($V183="","",IF(AND(ISNUMBER($G183),$G183&lt;=IF($S183=MesCiclo,InicioCiclo,$S183+MOD(2-WEEKDAY($S183),7))+6),1,IF(ISNUMBER($I183),$I183,0)))</f>
        <v/>
      </c>
      <c r="Z183" s="62">
        <f>IF($V183="","",IF(AND(ISNUMBER($G183),$G183&lt;=IF($S183=MesCiclo,InicioCiclo,$S183+MOD(2-WEEKDAY($S183),7))+13),1,IF(ISNUMBER($J183),$J183,$Y183)))</f>
        <v/>
      </c>
      <c r="AA183" s="62">
        <f>IF($V183="","",IF(AND(ISNUMBER($G183),$G183&lt;=IF($S183=MesCiclo,InicioCiclo,$S183+MOD(2-WEEKDAY($S183),7))+20),1,IF(ISNUMBER($K183),$K183,$Z183)))</f>
        <v/>
      </c>
      <c r="AB183" s="62">
        <f>IF($V183="","",IF(AND(ISNUMBER($G183),$G183&lt;=IF($S183=MesCiclo,InicioCiclo,$S183+MOD(2-WEEKDAY($S183),7))+27),1,IF(ISNUMBER($L183),$L183,$AA183)))</f>
        <v/>
      </c>
      <c r="AC183" s="62">
        <f>IF($V183="","",IF(AND(ISNUMBER($G183),$G183&lt;=IF($S183=MesCiclo,InicioCiclo,$S183+MOD(2-WEEKDAY($S183),7))+6),1,IF(N($W183)&gt;0,AVERAGEIFS($Y$5:$Y$1000,$U$5:$U$1000,ROW(),$V$5:$V$1000,"Sub"),$Y183)))</f>
        <v/>
      </c>
      <c r="AD183" s="62">
        <f>IF($V183="","",IF(AND(ISNUMBER($G183),$G183&lt;=IF($S183=MesCiclo,InicioCiclo,$S183+MOD(2-WEEKDAY($S183),7))+13),1,IF(N($W183)&gt;0,AVERAGEIFS($Z$5:$Z$1000,$U$5:$U$1000,ROW(),$V$5:$V$1000,"Sub"),$Z183)))</f>
        <v/>
      </c>
      <c r="AE183" s="62">
        <f>IF($V183="","",IF(AND(ISNUMBER($G183),$G183&lt;=IF($S183=MesCiclo,InicioCiclo,$S183+MOD(2-WEEKDAY($S183),7))+20),1,IF(N($W183)&gt;0,AVERAGEIFS($AA$5:$AA$1000,$U$5:$U$1000,ROW(),$V$5:$V$1000,"Sub"),$AA183)))</f>
        <v/>
      </c>
      <c r="AF183" s="62">
        <f>IF($V183="","",IF(AND(ISNUMBER($G183),$G183&lt;=IF($S183=MesCiclo,InicioCiclo,$S183+MOD(2-WEEKDAY($S183),7))+27),1,IF(N($W183)&gt;0,AVERAGEIFS($AB$5:$AB$1000,$U$5:$U$1000,ROW(),$V$5:$V$1000,"Sub"),$AB183)))</f>
        <v/>
      </c>
      <c r="AG183" s="62">
        <f>IF($V183&lt;&gt;"Macro","",IF(COUNTIFS($S$5:$S$1000,$S183,$V$5:$V$1000,"Macro",$H$5:$H$1000,"&gt;0")=0,1/COUNTIFS($S$5:$S$1000,$S183,$V$5:$V$1000,"Macro"),IF(AND(ISNUMBER($H183),N($H183)&gt;0),$H183,SUMIFS($H$5:$H$1000,$S$5:$S$1000,$S183,$V$5:$V$1000,"Macro")/COUNTIFS($S$5:$S$1000,$S183,$V$5:$V$1000,"Macro",$H$5:$H$1000,"&gt;0"))/(COUNTIFS($S$5:$S$1000,$S183,$V$5:$V$1000,"Macro")*SUMIFS($H$5:$H$1000,$S$5:$S$1000,$S183,$V$5:$V$1000,"Macro")/COUNTIFS($S$5:$S$1000,$S183,$V$5:$V$1000,"Macro",$H$5:$H$1000,"&gt;0"))))</f>
        <v/>
      </c>
      <c r="AH183" s="62" t="n"/>
      <c r="AI183" s="62" t="n"/>
      <c r="AJ183" s="62" t="n"/>
      <c r="AK183" s="62" t="n"/>
      <c r="AL183" s="62">
        <f>IF(LEFT($C183,11)="[Jefatura] ",IFERROR(MATCH("Asistente Técnico de Riesgo|"&amp;MID($C183,12,500),rDname_ADM,0),0),"")</f>
        <v/>
      </c>
      <c r="AM183" s="62">
        <f>IF(N($AL183)&gt;0,INDEX(rIni_ADM,$AL183),IF(ISNUMBER($E183),$E183,""))</f>
        <v/>
      </c>
      <c r="AN183" s="62">
        <f>IF(N($AL183)&gt;0,INDEX(rLim_ADM,$AL183),IF(ISNUMBER($F183),$F183,""))</f>
        <v/>
      </c>
    </row>
    <row r="184">
      <c r="A184" s="56">
        <f>IF(NOT((COUNTA($B184:$D184)+COUNTA($G184:$L184)+COUNTA($Q184))&gt;0),"",IF($V184="Macro",COUNTIFS($V$5:$V184,"Macro",$S$5:$S184,$S184),IF(N($U184)=0,"?",COUNTIFS(INDEX($V$5:$V$1000,1):INDEX($V$5:$V$1000,$U184-4),"Macro",INDEX($S$5:$S$1000,1):INDEX($S$5:$S$1000,$U184-4),INDEX($S$5:$S$1000,$U184-4))&amp;"."&amp;COUNTIFS($U$5:$U184,$U184,$V$5:$V184,"Sub"))))</f>
        <v/>
      </c>
      <c r="B184" s="57" t="n"/>
      <c r="C184" s="58" t="n"/>
      <c r="D184" s="58" t="n"/>
      <c r="E184" s="59">
        <f>IF(N($AL184)&gt;0,INDEX(rIni_ADM,$AL184),"")</f>
        <v/>
      </c>
      <c r="F184" s="59">
        <f>IF(N($AL184)&gt;0,INDEX(rLim_ADM,$AL184),"")</f>
        <v/>
      </c>
      <c r="G184" s="59" t="n"/>
      <c r="H184" s="60" t="n"/>
      <c r="I184" s="60" t="n"/>
      <c r="J184" s="60" t="n"/>
      <c r="K184" s="60" t="n"/>
      <c r="L184" s="60" t="n"/>
      <c r="M184" s="61">
        <f>IF(NOT((COUNTA($B184:$D184)+COUNTA($G184:$L184)+COUNTA($Q184))&gt;0),"",IF($V184="Sub",IFERROR($X184/INDEX($W$5:$W$1000,$U184-4),""),IF(ISNUMBER($G184),1,IF(N($W184)&gt;0,AVERAGEIFS($X$5:$X$1000,$U$5:$U$1000,ROW(),$V$5:$V$1000,"Sub"),$X184))))</f>
        <v/>
      </c>
      <c r="N184" s="56">
        <f>IF(OR($M184="",$V184="Sub"),"",IF($M184&gt;=1,"Completado",IF($M184&gt;0,"En curso","Pendiente")))</f>
        <v/>
      </c>
      <c r="O184" s="56">
        <f>IF(OR(NOT((COUNTA($B184:$D184)+COUNTA($G184:$L184)+COUNTA($Q184))&gt;0),$V184="Sub"),"",IF(ISNUMBER($G184),IF(AND(ISNUMBER($AN184),$G184&gt;$AN184),"Cumplida con "&amp;($G184-$AN184)&amp;IF($G184-$AN184=1," día"," días")&amp;" de retraso","Cumplida"),IF(N($M184)&gt;=1,"Cumplida",IF(NOT(ISNUMBER($AN184)),"Sin fecha límite",IF($AN184&lt;FechaRef,"Vencida hace "&amp;(FechaRef-$AN184)&amp;IF(FechaRef-$AN184=1," día"," días"),IF($AN184=FechaRef,"Vence hoy",IF($AN184-FechaRef&lt;=DiasAlerta,"Vence en "&amp;($AN184-FechaRef)&amp;IF($AN184-FechaRef=1," día"," días"),"En plazo")))))))</f>
        <v/>
      </c>
      <c r="P184" s="62" t="n"/>
      <c r="Q184" s="58" t="n"/>
      <c r="R184" s="63">
        <f>IF(NOT((COUNTA($B184:$D184)+COUNTA($G184:$L184)+COUNTA($Q184))&gt;0),"",IF((IF($C184="","Falta el nombre de la actividad"&amp;" · ","")&amp;IF(AND($V184="Sub",N($U184)=0),"Subactividad sin macroactividad arriba"&amp;" · ","")&amp;IF($AM184="","Sin fecha de inicio"&amp;" · ","")&amp;IF($AN184="","Sin fecha límite"&amp;" · ","")&amp;IF(AND(LEFT($C184,11)="[Jefatura] ",N($AL184)=0),"No se encuentra en la hoja de la jefatura (elíjala de nuevo en la lista)"&amp;" · ","")&amp;IF(OR(AND($E184&lt;&gt;"",NOT(ISNUMBER($E184))),AND($F184&lt;&gt;"",NOT(ISNUMBER($F184))),AND($G184&lt;&gt;"",NOT(ISNUMBER($G184)))),"Fecha no válida"&amp;" · ","")&amp;IF(AND(ISNUMBER($AM184),ISNUMBER($AN184),$AM184&gt;$AN184),"Inicio posterior a fecha límite"&amp;" · ","")&amp;IF(AND($V184="Macro",$H184&lt;&gt;"",OR(NOT(ISNUMBER($H184)),$H184&lt;0,$H184&gt;1)),"Peso fuera de rango"&amp;" · ","")&amp;IF(AND($V184="Sub",$H184&lt;&gt;""),"Las subactividades no llevan peso (valen igual dentro de su macroactividad)"&amp;" · ","")&amp;IF(AND(N($W184)&gt;0,COUNT($I184:$L184)&gt;0),"Con subactividades: deje vacías las semanas (se calculan solas)"&amp;" · ","")&amp;IF((COUNTIF($I184:$L184,"&gt;1")+COUNTIF($I184:$L184,"&lt;0")+COUNTA($I184:$L184)-COUNT($I184:$L184))&gt;0,"Avance fuera de rango 0-100%"&amp;" · ","")&amp;IF(OR(AND($J184&lt;&gt;"",$J184&lt;$I184),AND($K184&lt;&gt;"",$K184&lt;MAX($I184:$J184)),AND($L184&lt;&gt;"",$L184&lt;MAX($I184:$K184))),"Avance semanal decreciente"&amp;" · ","")&amp;IF(AND(ISNUMBER($AN184),$AN184&lt;FechaRef,IF($V184="Sub",N($X184),N($M184))&lt;1),"Vencida"&amp;" · ","")&amp;IF(AND(ObsObligatoria="Sí",ISNUMBER($AN184),$AN184&lt;FechaRef,IF($V184="Sub",N($X184),N($M184))&lt;1,$Q184=""),"Vencida sin observación"&amp;" · ",""))="","✔ OK","⚠ "&amp;LEFT(IF($C184="","Falta el nombre de la actividad"&amp;" · ","")&amp;IF(AND($V184="Sub",N($U184)=0),"Subactividad sin macroactividad arriba"&amp;" · ","")&amp;IF($AM184="","Sin fecha de inicio"&amp;" · ","")&amp;IF($AN184="","Sin fecha límite"&amp;" · ","")&amp;IF(AND(LEFT($C184,11)="[Jefatura] ",N($AL184)=0),"No se encuentra en la hoja de la jefatura (elíjala de nuevo en la lista)"&amp;" · ","")&amp;IF(OR(AND($E184&lt;&gt;"",NOT(ISNUMBER($E184))),AND($F184&lt;&gt;"",NOT(ISNUMBER($F184))),AND($G184&lt;&gt;"",NOT(ISNUMBER($G184)))),"Fecha no válida"&amp;" · ","")&amp;IF(AND(ISNUMBER($AM184),ISNUMBER($AN184),$AM184&gt;$AN184),"Inicio posterior a fecha límite"&amp;" · ","")&amp;IF(AND($V184="Macro",$H184&lt;&gt;"",OR(NOT(ISNUMBER($H184)),$H184&lt;0,$H184&gt;1)),"Peso fuera de rango"&amp;" · ","")&amp;IF(AND($V184="Sub",$H184&lt;&gt;""),"Las subactividades no llevan peso (valen igual dentro de su macroactividad)"&amp;" · ","")&amp;IF(AND(N($W184)&gt;0,COUNT($I184:$L184)&gt;0),"Con subactividades: deje vacías las semanas (se calculan solas)"&amp;" · ","")&amp;IF((COUNTIF($I184:$L184,"&gt;1")+COUNTIF($I184:$L184,"&lt;0")+COUNTA($I184:$L184)-COUNT($I184:$L184))&gt;0,"Avance fuera de rango 0-100%"&amp;" · ","")&amp;IF(OR(AND($J184&lt;&gt;"",$J184&lt;$I184),AND($K184&lt;&gt;"",$K184&lt;MAX($I184:$J184)),AND($L184&lt;&gt;"",$L184&lt;MAX($I184:$K184))),"Avance semanal decreciente"&amp;" · ","")&amp;IF(AND(ISNUMBER($AN184),$AN184&lt;FechaRef,IF($V184="Sub",N($X184),N($M184))&lt;1),"Vencida"&amp;" · ","")&amp;IF(AND(ObsObligatoria="Sí",ISNUMBER($AN184),$AN184&lt;FechaRef,IF($V184="Sub",N($X184),N($M184))&lt;1,$Q184=""),"Vencida sin observación"&amp;" · ",""),LEN(IF($C184="","Falta el nombre de la actividad"&amp;" · ","")&amp;IF(AND($V184="Sub",N($U184)=0),"Subactividad sin macroactividad arriba"&amp;" · ","")&amp;IF($AM184="","Sin fecha de inicio"&amp;" · ","")&amp;IF($AN184="","Sin fecha límite"&amp;" · ","")&amp;IF(AND(LEFT($C184,11)="[Jefatura] ",N($AL184)=0),"No se encuentra en la hoja de la jefatura (elíjala de nuevo en la lista)"&amp;" · ","")&amp;IF(OR(AND($E184&lt;&gt;"",NOT(ISNUMBER($E184))),AND($F184&lt;&gt;"",NOT(ISNUMBER($F184))),AND($G184&lt;&gt;"",NOT(ISNUMBER($G184)))),"Fecha no válida"&amp;" · ","")&amp;IF(AND(ISNUMBER($AM184),ISNUMBER($AN184),$AM184&gt;$AN184),"Inicio posterior a fecha límite"&amp;" · ","")&amp;IF(AND($V184="Macro",$H184&lt;&gt;"",OR(NOT(ISNUMBER($H184)),$H184&lt;0,$H184&gt;1)),"Peso fuera de rango"&amp;" · ","")&amp;IF(AND($V184="Sub",$H184&lt;&gt;""),"Las subactividades no llevan peso (valen igual dentro de su macroactividad)"&amp;" · ","")&amp;IF(AND(N($W184)&gt;0,COUNT($I184:$L184)&gt;0),"Con subactividades: deje vacías las semanas (se calculan solas)"&amp;" · ","")&amp;IF((COUNTIF($I184:$L184,"&gt;1")+COUNTIF($I184:$L184,"&lt;0")+COUNTA($I184:$L184)-COUNT($I184:$L184))&gt;0,"Avance fuera de rango 0-100%"&amp;" · ","")&amp;IF(OR(AND($J184&lt;&gt;"",$J184&lt;$I184),AND($K184&lt;&gt;"",$K184&lt;MAX($I184:$J184)),AND($L184&lt;&gt;"",$L184&lt;MAX($I184:$K184))),"Avance semanal decreciente"&amp;" · ","")&amp;IF(AND(ISNUMBER($AN184),$AN184&lt;FechaRef,IF($V184="Sub",N($X184),N($M184))&lt;1),"Vencida"&amp;" · ","")&amp;IF(AND(ObsObligatoria="Sí",ISNUMBER($AN184),$AN184&lt;FechaRef,IF($V184="Sub",N($X184),N($M184))&lt;1,$Q184=""),"Vencida sin observación"&amp;" · ",""))-3)))</f>
        <v/>
      </c>
      <c r="S184" s="64">
        <f>IF(NOT((COUNTA($B184:$D184)+COUNTA($G184:$L184)+COUNTA($Q184))&gt;0),"",IF(AND($V184="Sub",N($U184)&gt;0),IF(ISNUMBER(INDEX($AM$5:$AM$1000,$U184-4)),DATE(YEAR(INDEX($AM$5:$AM$1000,$U184-4)),MONTH(INDEX($AM$5:$AM$1000,$U184-4)),1),IF(ISNUMBER(INDEX($AN$5:$AN$1000,$U184-4)),DATE(YEAR(INDEX($AN$5:$AN$1000,$U184-4)),MONTH(INDEX($AN$5:$AN$1000,$U184-4)),1),MesCiclo)),IF(ISNUMBER($AM184),DATE(YEAR($AM184),MONTH($AM184),1),IF(ISNUMBER($AN184),DATE(YEAR($AN184),MONTH($AN184),1),MesCiclo))))</f>
        <v/>
      </c>
      <c r="T184" s="62">
        <f>IF(OR($S184="",$S184&lt;&gt;MesCiclo,$V184&lt;&gt;"Macro"),"",COUNTIFS($S$5:$S184,MesCiclo,$V$5:$V184,"Macro"))</f>
        <v/>
      </c>
      <c r="U184" s="62">
        <f>IF($V184="","",IF($V184="Macro",ROW(),IFERROR(LOOKUP(2,1/($V$5:$V184="Macro"),ROW($V$5:$V184)),0)))</f>
        <v/>
      </c>
      <c r="V184" s="62">
        <f>IF(NOT((COUNTA($B184:$D184)+COUNTA($G184:$L184)+COUNTA($Q184))&gt;0),"",IF($B184="Subactividad","Sub","Macro"))</f>
        <v/>
      </c>
      <c r="W184" s="62">
        <f>IF($V184="Macro",COUNTIFS($U$5:$U$1000,ROW(),$V$5:$V$1000,"Sub"),"")</f>
        <v/>
      </c>
      <c r="X184" s="62">
        <f>IF($V184="","",IF(ISNUMBER($G184),1,IFERROR(LOOKUP(2,1/($I184:$L184&lt;&gt;""),$I184:$L184),0)))</f>
        <v/>
      </c>
      <c r="Y184" s="62">
        <f>IF($V184="","",IF(AND(ISNUMBER($G184),$G184&lt;=IF($S184=MesCiclo,InicioCiclo,$S184+MOD(2-WEEKDAY($S184),7))+6),1,IF(ISNUMBER($I184),$I184,0)))</f>
        <v/>
      </c>
      <c r="Z184" s="62">
        <f>IF($V184="","",IF(AND(ISNUMBER($G184),$G184&lt;=IF($S184=MesCiclo,InicioCiclo,$S184+MOD(2-WEEKDAY($S184),7))+13),1,IF(ISNUMBER($J184),$J184,$Y184)))</f>
        <v/>
      </c>
      <c r="AA184" s="62">
        <f>IF($V184="","",IF(AND(ISNUMBER($G184),$G184&lt;=IF($S184=MesCiclo,InicioCiclo,$S184+MOD(2-WEEKDAY($S184),7))+20),1,IF(ISNUMBER($K184),$K184,$Z184)))</f>
        <v/>
      </c>
      <c r="AB184" s="62">
        <f>IF($V184="","",IF(AND(ISNUMBER($G184),$G184&lt;=IF($S184=MesCiclo,InicioCiclo,$S184+MOD(2-WEEKDAY($S184),7))+27),1,IF(ISNUMBER($L184),$L184,$AA184)))</f>
        <v/>
      </c>
      <c r="AC184" s="62">
        <f>IF($V184="","",IF(AND(ISNUMBER($G184),$G184&lt;=IF($S184=MesCiclo,InicioCiclo,$S184+MOD(2-WEEKDAY($S184),7))+6),1,IF(N($W184)&gt;0,AVERAGEIFS($Y$5:$Y$1000,$U$5:$U$1000,ROW(),$V$5:$V$1000,"Sub"),$Y184)))</f>
        <v/>
      </c>
      <c r="AD184" s="62">
        <f>IF($V184="","",IF(AND(ISNUMBER($G184),$G184&lt;=IF($S184=MesCiclo,InicioCiclo,$S184+MOD(2-WEEKDAY($S184),7))+13),1,IF(N($W184)&gt;0,AVERAGEIFS($Z$5:$Z$1000,$U$5:$U$1000,ROW(),$V$5:$V$1000,"Sub"),$Z184)))</f>
        <v/>
      </c>
      <c r="AE184" s="62">
        <f>IF($V184="","",IF(AND(ISNUMBER($G184),$G184&lt;=IF($S184=MesCiclo,InicioCiclo,$S184+MOD(2-WEEKDAY($S184),7))+20),1,IF(N($W184)&gt;0,AVERAGEIFS($AA$5:$AA$1000,$U$5:$U$1000,ROW(),$V$5:$V$1000,"Sub"),$AA184)))</f>
        <v/>
      </c>
      <c r="AF184" s="62">
        <f>IF($V184="","",IF(AND(ISNUMBER($G184),$G184&lt;=IF($S184=MesCiclo,InicioCiclo,$S184+MOD(2-WEEKDAY($S184),7))+27),1,IF(N($W184)&gt;0,AVERAGEIFS($AB$5:$AB$1000,$U$5:$U$1000,ROW(),$V$5:$V$1000,"Sub"),$AB184)))</f>
        <v/>
      </c>
      <c r="AG184" s="62">
        <f>IF($V184&lt;&gt;"Macro","",IF(COUNTIFS($S$5:$S$1000,$S184,$V$5:$V$1000,"Macro",$H$5:$H$1000,"&gt;0")=0,1/COUNTIFS($S$5:$S$1000,$S184,$V$5:$V$1000,"Macro"),IF(AND(ISNUMBER($H184),N($H184)&gt;0),$H184,SUMIFS($H$5:$H$1000,$S$5:$S$1000,$S184,$V$5:$V$1000,"Macro")/COUNTIFS($S$5:$S$1000,$S184,$V$5:$V$1000,"Macro",$H$5:$H$1000,"&gt;0"))/(COUNTIFS($S$5:$S$1000,$S184,$V$5:$V$1000,"Macro")*SUMIFS($H$5:$H$1000,$S$5:$S$1000,$S184,$V$5:$V$1000,"Macro")/COUNTIFS($S$5:$S$1000,$S184,$V$5:$V$1000,"Macro",$H$5:$H$1000,"&gt;0"))))</f>
        <v/>
      </c>
      <c r="AH184" s="62" t="n"/>
      <c r="AI184" s="62" t="n"/>
      <c r="AJ184" s="62" t="n"/>
      <c r="AK184" s="62" t="n"/>
      <c r="AL184" s="62">
        <f>IF(LEFT($C184,11)="[Jefatura] ",IFERROR(MATCH("Asistente Técnico de Riesgo|"&amp;MID($C184,12,500),rDname_ADM,0),0),"")</f>
        <v/>
      </c>
      <c r="AM184" s="62">
        <f>IF(N($AL184)&gt;0,INDEX(rIni_ADM,$AL184),IF(ISNUMBER($E184),$E184,""))</f>
        <v/>
      </c>
      <c r="AN184" s="62">
        <f>IF(N($AL184)&gt;0,INDEX(rLim_ADM,$AL184),IF(ISNUMBER($F184),$F184,""))</f>
        <v/>
      </c>
    </row>
    <row r="185">
      <c r="A185" s="56">
        <f>IF(NOT((COUNTA($B185:$D185)+COUNTA($G185:$L185)+COUNTA($Q185))&gt;0),"",IF($V185="Macro",COUNTIFS($V$5:$V185,"Macro",$S$5:$S185,$S185),IF(N($U185)=0,"?",COUNTIFS(INDEX($V$5:$V$1000,1):INDEX($V$5:$V$1000,$U185-4),"Macro",INDEX($S$5:$S$1000,1):INDEX($S$5:$S$1000,$U185-4),INDEX($S$5:$S$1000,$U185-4))&amp;"."&amp;COUNTIFS($U$5:$U185,$U185,$V$5:$V185,"Sub"))))</f>
        <v/>
      </c>
      <c r="B185" s="57" t="n"/>
      <c r="C185" s="58" t="n"/>
      <c r="D185" s="58" t="n"/>
      <c r="E185" s="59">
        <f>IF(N($AL185)&gt;0,INDEX(rIni_ADM,$AL185),"")</f>
        <v/>
      </c>
      <c r="F185" s="59">
        <f>IF(N($AL185)&gt;0,INDEX(rLim_ADM,$AL185),"")</f>
        <v/>
      </c>
      <c r="G185" s="59" t="n"/>
      <c r="H185" s="60" t="n"/>
      <c r="I185" s="60" t="n"/>
      <c r="J185" s="60" t="n"/>
      <c r="K185" s="60" t="n"/>
      <c r="L185" s="60" t="n"/>
      <c r="M185" s="61">
        <f>IF(NOT((COUNTA($B185:$D185)+COUNTA($G185:$L185)+COUNTA($Q185))&gt;0),"",IF($V185="Sub",IFERROR($X185/INDEX($W$5:$W$1000,$U185-4),""),IF(ISNUMBER($G185),1,IF(N($W185)&gt;0,AVERAGEIFS($X$5:$X$1000,$U$5:$U$1000,ROW(),$V$5:$V$1000,"Sub"),$X185))))</f>
        <v/>
      </c>
      <c r="N185" s="56">
        <f>IF(OR($M185="",$V185="Sub"),"",IF($M185&gt;=1,"Completado",IF($M185&gt;0,"En curso","Pendiente")))</f>
        <v/>
      </c>
      <c r="O185" s="56">
        <f>IF(OR(NOT((COUNTA($B185:$D185)+COUNTA($G185:$L185)+COUNTA($Q185))&gt;0),$V185="Sub"),"",IF(ISNUMBER($G185),IF(AND(ISNUMBER($AN185),$G185&gt;$AN185),"Cumplida con "&amp;($G185-$AN185)&amp;IF($G185-$AN185=1," día"," días")&amp;" de retraso","Cumplida"),IF(N($M185)&gt;=1,"Cumplida",IF(NOT(ISNUMBER($AN185)),"Sin fecha límite",IF($AN185&lt;FechaRef,"Vencida hace "&amp;(FechaRef-$AN185)&amp;IF(FechaRef-$AN185=1," día"," días"),IF($AN185=FechaRef,"Vence hoy",IF($AN185-FechaRef&lt;=DiasAlerta,"Vence en "&amp;($AN185-FechaRef)&amp;IF($AN185-FechaRef=1," día"," días"),"En plazo")))))))</f>
        <v/>
      </c>
      <c r="P185" s="62" t="n"/>
      <c r="Q185" s="58" t="n"/>
      <c r="R185" s="63">
        <f>IF(NOT((COUNTA($B185:$D185)+COUNTA($G185:$L185)+COUNTA($Q185))&gt;0),"",IF((IF($C185="","Falta el nombre de la actividad"&amp;" · ","")&amp;IF(AND($V185="Sub",N($U185)=0),"Subactividad sin macroactividad arriba"&amp;" · ","")&amp;IF($AM185="","Sin fecha de inicio"&amp;" · ","")&amp;IF($AN185="","Sin fecha límite"&amp;" · ","")&amp;IF(AND(LEFT($C185,11)="[Jefatura] ",N($AL185)=0),"No se encuentra en la hoja de la jefatura (elíjala de nuevo en la lista)"&amp;" · ","")&amp;IF(OR(AND($E185&lt;&gt;"",NOT(ISNUMBER($E185))),AND($F185&lt;&gt;"",NOT(ISNUMBER($F185))),AND($G185&lt;&gt;"",NOT(ISNUMBER($G185)))),"Fecha no válida"&amp;" · ","")&amp;IF(AND(ISNUMBER($AM185),ISNUMBER($AN185),$AM185&gt;$AN185),"Inicio posterior a fecha límite"&amp;" · ","")&amp;IF(AND($V185="Macro",$H185&lt;&gt;"",OR(NOT(ISNUMBER($H185)),$H185&lt;0,$H185&gt;1)),"Peso fuera de rango"&amp;" · ","")&amp;IF(AND($V185="Sub",$H185&lt;&gt;""),"Las subactividades no llevan peso (valen igual dentro de su macroactividad)"&amp;" · ","")&amp;IF(AND(N($W185)&gt;0,COUNT($I185:$L185)&gt;0),"Con subactividades: deje vacías las semanas (se calculan solas)"&amp;" · ","")&amp;IF((COUNTIF($I185:$L185,"&gt;1")+COUNTIF($I185:$L185,"&lt;0")+COUNTA($I185:$L185)-COUNT($I185:$L185))&gt;0,"Avance fuera de rango 0-100%"&amp;" · ","")&amp;IF(OR(AND($J185&lt;&gt;"",$J185&lt;$I185),AND($K185&lt;&gt;"",$K185&lt;MAX($I185:$J185)),AND($L185&lt;&gt;"",$L185&lt;MAX($I185:$K185))),"Avance semanal decreciente"&amp;" · ","")&amp;IF(AND(ISNUMBER($AN185),$AN185&lt;FechaRef,IF($V185="Sub",N($X185),N($M185))&lt;1),"Vencida"&amp;" · ","")&amp;IF(AND(ObsObligatoria="Sí",ISNUMBER($AN185),$AN185&lt;FechaRef,IF($V185="Sub",N($X185),N($M185))&lt;1,$Q185=""),"Vencida sin observación"&amp;" · ",""))="","✔ OK","⚠ "&amp;LEFT(IF($C185="","Falta el nombre de la actividad"&amp;" · ","")&amp;IF(AND($V185="Sub",N($U185)=0),"Subactividad sin macroactividad arriba"&amp;" · ","")&amp;IF($AM185="","Sin fecha de inicio"&amp;" · ","")&amp;IF($AN185="","Sin fecha límite"&amp;" · ","")&amp;IF(AND(LEFT($C185,11)="[Jefatura] ",N($AL185)=0),"No se encuentra en la hoja de la jefatura (elíjala de nuevo en la lista)"&amp;" · ","")&amp;IF(OR(AND($E185&lt;&gt;"",NOT(ISNUMBER($E185))),AND($F185&lt;&gt;"",NOT(ISNUMBER($F185))),AND($G185&lt;&gt;"",NOT(ISNUMBER($G185)))),"Fecha no válida"&amp;" · ","")&amp;IF(AND(ISNUMBER($AM185),ISNUMBER($AN185),$AM185&gt;$AN185),"Inicio posterior a fecha límite"&amp;" · ","")&amp;IF(AND($V185="Macro",$H185&lt;&gt;"",OR(NOT(ISNUMBER($H185)),$H185&lt;0,$H185&gt;1)),"Peso fuera de rango"&amp;" · ","")&amp;IF(AND($V185="Sub",$H185&lt;&gt;""),"Las subactividades no llevan peso (valen igual dentro de su macroactividad)"&amp;" · ","")&amp;IF(AND(N($W185)&gt;0,COUNT($I185:$L185)&gt;0),"Con subactividades: deje vacías las semanas (se calculan solas)"&amp;" · ","")&amp;IF((COUNTIF($I185:$L185,"&gt;1")+COUNTIF($I185:$L185,"&lt;0")+COUNTA($I185:$L185)-COUNT($I185:$L185))&gt;0,"Avance fuera de rango 0-100%"&amp;" · ","")&amp;IF(OR(AND($J185&lt;&gt;"",$J185&lt;$I185),AND($K185&lt;&gt;"",$K185&lt;MAX($I185:$J185)),AND($L185&lt;&gt;"",$L185&lt;MAX($I185:$K185))),"Avance semanal decreciente"&amp;" · ","")&amp;IF(AND(ISNUMBER($AN185),$AN185&lt;FechaRef,IF($V185="Sub",N($X185),N($M185))&lt;1),"Vencida"&amp;" · ","")&amp;IF(AND(ObsObligatoria="Sí",ISNUMBER($AN185),$AN185&lt;FechaRef,IF($V185="Sub",N($X185),N($M185))&lt;1,$Q185=""),"Vencida sin observación"&amp;" · ",""),LEN(IF($C185="","Falta el nombre de la actividad"&amp;" · ","")&amp;IF(AND($V185="Sub",N($U185)=0),"Subactividad sin macroactividad arriba"&amp;" · ","")&amp;IF($AM185="","Sin fecha de inicio"&amp;" · ","")&amp;IF($AN185="","Sin fecha límite"&amp;" · ","")&amp;IF(AND(LEFT($C185,11)="[Jefatura] ",N($AL185)=0),"No se encuentra en la hoja de la jefatura (elíjala de nuevo en la lista)"&amp;" · ","")&amp;IF(OR(AND($E185&lt;&gt;"",NOT(ISNUMBER($E185))),AND($F185&lt;&gt;"",NOT(ISNUMBER($F185))),AND($G185&lt;&gt;"",NOT(ISNUMBER($G185)))),"Fecha no válida"&amp;" · ","")&amp;IF(AND(ISNUMBER($AM185),ISNUMBER($AN185),$AM185&gt;$AN185),"Inicio posterior a fecha límite"&amp;" · ","")&amp;IF(AND($V185="Macro",$H185&lt;&gt;"",OR(NOT(ISNUMBER($H185)),$H185&lt;0,$H185&gt;1)),"Peso fuera de rango"&amp;" · ","")&amp;IF(AND($V185="Sub",$H185&lt;&gt;""),"Las subactividades no llevan peso (valen igual dentro de su macroactividad)"&amp;" · ","")&amp;IF(AND(N($W185)&gt;0,COUNT($I185:$L185)&gt;0),"Con subactividades: deje vacías las semanas (se calculan solas)"&amp;" · ","")&amp;IF((COUNTIF($I185:$L185,"&gt;1")+COUNTIF($I185:$L185,"&lt;0")+COUNTA($I185:$L185)-COUNT($I185:$L185))&gt;0,"Avance fuera de rango 0-100%"&amp;" · ","")&amp;IF(OR(AND($J185&lt;&gt;"",$J185&lt;$I185),AND($K185&lt;&gt;"",$K185&lt;MAX($I185:$J185)),AND($L185&lt;&gt;"",$L185&lt;MAX($I185:$K185))),"Avance semanal decreciente"&amp;" · ","")&amp;IF(AND(ISNUMBER($AN185),$AN185&lt;FechaRef,IF($V185="Sub",N($X185),N($M185))&lt;1),"Vencida"&amp;" · ","")&amp;IF(AND(ObsObligatoria="Sí",ISNUMBER($AN185),$AN185&lt;FechaRef,IF($V185="Sub",N($X185),N($M185))&lt;1,$Q185=""),"Vencida sin observación"&amp;" · ",""))-3)))</f>
        <v/>
      </c>
      <c r="S185" s="64">
        <f>IF(NOT((COUNTA($B185:$D185)+COUNTA($G185:$L185)+COUNTA($Q185))&gt;0),"",IF(AND($V185="Sub",N($U185)&gt;0),IF(ISNUMBER(INDEX($AM$5:$AM$1000,$U185-4)),DATE(YEAR(INDEX($AM$5:$AM$1000,$U185-4)),MONTH(INDEX($AM$5:$AM$1000,$U185-4)),1),IF(ISNUMBER(INDEX($AN$5:$AN$1000,$U185-4)),DATE(YEAR(INDEX($AN$5:$AN$1000,$U185-4)),MONTH(INDEX($AN$5:$AN$1000,$U185-4)),1),MesCiclo)),IF(ISNUMBER($AM185),DATE(YEAR($AM185),MONTH($AM185),1),IF(ISNUMBER($AN185),DATE(YEAR($AN185),MONTH($AN185),1),MesCiclo))))</f>
        <v/>
      </c>
      <c r="T185" s="62">
        <f>IF(OR($S185="",$S185&lt;&gt;MesCiclo,$V185&lt;&gt;"Macro"),"",COUNTIFS($S$5:$S185,MesCiclo,$V$5:$V185,"Macro"))</f>
        <v/>
      </c>
      <c r="U185" s="62">
        <f>IF($V185="","",IF($V185="Macro",ROW(),IFERROR(LOOKUP(2,1/($V$5:$V185="Macro"),ROW($V$5:$V185)),0)))</f>
        <v/>
      </c>
      <c r="V185" s="62">
        <f>IF(NOT((COUNTA($B185:$D185)+COUNTA($G185:$L185)+COUNTA($Q185))&gt;0),"",IF($B185="Subactividad","Sub","Macro"))</f>
        <v/>
      </c>
      <c r="W185" s="62">
        <f>IF($V185="Macro",COUNTIFS($U$5:$U$1000,ROW(),$V$5:$V$1000,"Sub"),"")</f>
        <v/>
      </c>
      <c r="X185" s="62">
        <f>IF($V185="","",IF(ISNUMBER($G185),1,IFERROR(LOOKUP(2,1/($I185:$L185&lt;&gt;""),$I185:$L185),0)))</f>
        <v/>
      </c>
      <c r="Y185" s="62">
        <f>IF($V185="","",IF(AND(ISNUMBER($G185),$G185&lt;=IF($S185=MesCiclo,InicioCiclo,$S185+MOD(2-WEEKDAY($S185),7))+6),1,IF(ISNUMBER($I185),$I185,0)))</f>
        <v/>
      </c>
      <c r="Z185" s="62">
        <f>IF($V185="","",IF(AND(ISNUMBER($G185),$G185&lt;=IF($S185=MesCiclo,InicioCiclo,$S185+MOD(2-WEEKDAY($S185),7))+13),1,IF(ISNUMBER($J185),$J185,$Y185)))</f>
        <v/>
      </c>
      <c r="AA185" s="62">
        <f>IF($V185="","",IF(AND(ISNUMBER($G185),$G185&lt;=IF($S185=MesCiclo,InicioCiclo,$S185+MOD(2-WEEKDAY($S185),7))+20),1,IF(ISNUMBER($K185),$K185,$Z185)))</f>
        <v/>
      </c>
      <c r="AB185" s="62">
        <f>IF($V185="","",IF(AND(ISNUMBER($G185),$G185&lt;=IF($S185=MesCiclo,InicioCiclo,$S185+MOD(2-WEEKDAY($S185),7))+27),1,IF(ISNUMBER($L185),$L185,$AA185)))</f>
        <v/>
      </c>
      <c r="AC185" s="62">
        <f>IF($V185="","",IF(AND(ISNUMBER($G185),$G185&lt;=IF($S185=MesCiclo,InicioCiclo,$S185+MOD(2-WEEKDAY($S185),7))+6),1,IF(N($W185)&gt;0,AVERAGEIFS($Y$5:$Y$1000,$U$5:$U$1000,ROW(),$V$5:$V$1000,"Sub"),$Y185)))</f>
        <v/>
      </c>
      <c r="AD185" s="62">
        <f>IF($V185="","",IF(AND(ISNUMBER($G185),$G185&lt;=IF($S185=MesCiclo,InicioCiclo,$S185+MOD(2-WEEKDAY($S185),7))+13),1,IF(N($W185)&gt;0,AVERAGEIFS($Z$5:$Z$1000,$U$5:$U$1000,ROW(),$V$5:$V$1000,"Sub"),$Z185)))</f>
        <v/>
      </c>
      <c r="AE185" s="62">
        <f>IF($V185="","",IF(AND(ISNUMBER($G185),$G185&lt;=IF($S185=MesCiclo,InicioCiclo,$S185+MOD(2-WEEKDAY($S185),7))+20),1,IF(N($W185)&gt;0,AVERAGEIFS($AA$5:$AA$1000,$U$5:$U$1000,ROW(),$V$5:$V$1000,"Sub"),$AA185)))</f>
        <v/>
      </c>
      <c r="AF185" s="62">
        <f>IF($V185="","",IF(AND(ISNUMBER($G185),$G185&lt;=IF($S185=MesCiclo,InicioCiclo,$S185+MOD(2-WEEKDAY($S185),7))+27),1,IF(N($W185)&gt;0,AVERAGEIFS($AB$5:$AB$1000,$U$5:$U$1000,ROW(),$V$5:$V$1000,"Sub"),$AB185)))</f>
        <v/>
      </c>
      <c r="AG185" s="62">
        <f>IF($V185&lt;&gt;"Macro","",IF(COUNTIFS($S$5:$S$1000,$S185,$V$5:$V$1000,"Macro",$H$5:$H$1000,"&gt;0")=0,1/COUNTIFS($S$5:$S$1000,$S185,$V$5:$V$1000,"Macro"),IF(AND(ISNUMBER($H185),N($H185)&gt;0),$H185,SUMIFS($H$5:$H$1000,$S$5:$S$1000,$S185,$V$5:$V$1000,"Macro")/COUNTIFS($S$5:$S$1000,$S185,$V$5:$V$1000,"Macro",$H$5:$H$1000,"&gt;0"))/(COUNTIFS($S$5:$S$1000,$S185,$V$5:$V$1000,"Macro")*SUMIFS($H$5:$H$1000,$S$5:$S$1000,$S185,$V$5:$V$1000,"Macro")/COUNTIFS($S$5:$S$1000,$S185,$V$5:$V$1000,"Macro",$H$5:$H$1000,"&gt;0"))))</f>
        <v/>
      </c>
      <c r="AH185" s="62" t="n"/>
      <c r="AI185" s="62" t="n"/>
      <c r="AJ185" s="62" t="n"/>
      <c r="AK185" s="62" t="n"/>
      <c r="AL185" s="62">
        <f>IF(LEFT($C185,11)="[Jefatura] ",IFERROR(MATCH("Asistente Técnico de Riesgo|"&amp;MID($C185,12,500),rDname_ADM,0),0),"")</f>
        <v/>
      </c>
      <c r="AM185" s="62">
        <f>IF(N($AL185)&gt;0,INDEX(rIni_ADM,$AL185),IF(ISNUMBER($E185),$E185,""))</f>
        <v/>
      </c>
      <c r="AN185" s="62">
        <f>IF(N($AL185)&gt;0,INDEX(rLim_ADM,$AL185),IF(ISNUMBER($F185),$F185,""))</f>
        <v/>
      </c>
    </row>
    <row r="186">
      <c r="A186" s="56">
        <f>IF(NOT((COUNTA($B186:$D186)+COUNTA($G186:$L186)+COUNTA($Q186))&gt;0),"",IF($V186="Macro",COUNTIFS($V$5:$V186,"Macro",$S$5:$S186,$S186),IF(N($U186)=0,"?",COUNTIFS(INDEX($V$5:$V$1000,1):INDEX($V$5:$V$1000,$U186-4),"Macro",INDEX($S$5:$S$1000,1):INDEX($S$5:$S$1000,$U186-4),INDEX($S$5:$S$1000,$U186-4))&amp;"."&amp;COUNTIFS($U$5:$U186,$U186,$V$5:$V186,"Sub"))))</f>
        <v/>
      </c>
      <c r="B186" s="57" t="n"/>
      <c r="C186" s="58" t="n"/>
      <c r="D186" s="58" t="n"/>
      <c r="E186" s="59">
        <f>IF(N($AL186)&gt;0,INDEX(rIni_ADM,$AL186),"")</f>
        <v/>
      </c>
      <c r="F186" s="59">
        <f>IF(N($AL186)&gt;0,INDEX(rLim_ADM,$AL186),"")</f>
        <v/>
      </c>
      <c r="G186" s="59" t="n"/>
      <c r="H186" s="60" t="n"/>
      <c r="I186" s="60" t="n"/>
      <c r="J186" s="60" t="n"/>
      <c r="K186" s="60" t="n"/>
      <c r="L186" s="60" t="n"/>
      <c r="M186" s="61">
        <f>IF(NOT((COUNTA($B186:$D186)+COUNTA($G186:$L186)+COUNTA($Q186))&gt;0),"",IF($V186="Sub",IFERROR($X186/INDEX($W$5:$W$1000,$U186-4),""),IF(ISNUMBER($G186),1,IF(N($W186)&gt;0,AVERAGEIFS($X$5:$X$1000,$U$5:$U$1000,ROW(),$V$5:$V$1000,"Sub"),$X186))))</f>
        <v/>
      </c>
      <c r="N186" s="56">
        <f>IF(OR($M186="",$V186="Sub"),"",IF($M186&gt;=1,"Completado",IF($M186&gt;0,"En curso","Pendiente")))</f>
        <v/>
      </c>
      <c r="O186" s="56">
        <f>IF(OR(NOT((COUNTA($B186:$D186)+COUNTA($G186:$L186)+COUNTA($Q186))&gt;0),$V186="Sub"),"",IF(ISNUMBER($G186),IF(AND(ISNUMBER($AN186),$G186&gt;$AN186),"Cumplida con "&amp;($G186-$AN186)&amp;IF($G186-$AN186=1," día"," días")&amp;" de retraso","Cumplida"),IF(N($M186)&gt;=1,"Cumplida",IF(NOT(ISNUMBER($AN186)),"Sin fecha límite",IF($AN186&lt;FechaRef,"Vencida hace "&amp;(FechaRef-$AN186)&amp;IF(FechaRef-$AN186=1," día"," días"),IF($AN186=FechaRef,"Vence hoy",IF($AN186-FechaRef&lt;=DiasAlerta,"Vence en "&amp;($AN186-FechaRef)&amp;IF($AN186-FechaRef=1," día"," días"),"En plazo")))))))</f>
        <v/>
      </c>
      <c r="P186" s="62" t="n"/>
      <c r="Q186" s="58" t="n"/>
      <c r="R186" s="63">
        <f>IF(NOT((COUNTA($B186:$D186)+COUNTA($G186:$L186)+COUNTA($Q186))&gt;0),"",IF((IF($C186="","Falta el nombre de la actividad"&amp;" · ","")&amp;IF(AND($V186="Sub",N($U186)=0),"Subactividad sin macroactividad arriba"&amp;" · ","")&amp;IF($AM186="","Sin fecha de inicio"&amp;" · ","")&amp;IF($AN186="","Sin fecha límite"&amp;" · ","")&amp;IF(AND(LEFT($C186,11)="[Jefatura] ",N($AL186)=0),"No se encuentra en la hoja de la jefatura (elíjala de nuevo en la lista)"&amp;" · ","")&amp;IF(OR(AND($E186&lt;&gt;"",NOT(ISNUMBER($E186))),AND($F186&lt;&gt;"",NOT(ISNUMBER($F186))),AND($G186&lt;&gt;"",NOT(ISNUMBER($G186)))),"Fecha no válida"&amp;" · ","")&amp;IF(AND(ISNUMBER($AM186),ISNUMBER($AN186),$AM186&gt;$AN186),"Inicio posterior a fecha límite"&amp;" · ","")&amp;IF(AND($V186="Macro",$H186&lt;&gt;"",OR(NOT(ISNUMBER($H186)),$H186&lt;0,$H186&gt;1)),"Peso fuera de rango"&amp;" · ","")&amp;IF(AND($V186="Sub",$H186&lt;&gt;""),"Las subactividades no llevan peso (valen igual dentro de su macroactividad)"&amp;" · ","")&amp;IF(AND(N($W186)&gt;0,COUNT($I186:$L186)&gt;0),"Con subactividades: deje vacías las semanas (se calculan solas)"&amp;" · ","")&amp;IF((COUNTIF($I186:$L186,"&gt;1")+COUNTIF($I186:$L186,"&lt;0")+COUNTA($I186:$L186)-COUNT($I186:$L186))&gt;0,"Avance fuera de rango 0-100%"&amp;" · ","")&amp;IF(OR(AND($J186&lt;&gt;"",$J186&lt;$I186),AND($K186&lt;&gt;"",$K186&lt;MAX($I186:$J186)),AND($L186&lt;&gt;"",$L186&lt;MAX($I186:$K186))),"Avance semanal decreciente"&amp;" · ","")&amp;IF(AND(ISNUMBER($AN186),$AN186&lt;FechaRef,IF($V186="Sub",N($X186),N($M186))&lt;1),"Vencida"&amp;" · ","")&amp;IF(AND(ObsObligatoria="Sí",ISNUMBER($AN186),$AN186&lt;FechaRef,IF($V186="Sub",N($X186),N($M186))&lt;1,$Q186=""),"Vencida sin observación"&amp;" · ",""))="","✔ OK","⚠ "&amp;LEFT(IF($C186="","Falta el nombre de la actividad"&amp;" · ","")&amp;IF(AND($V186="Sub",N($U186)=0),"Subactividad sin macroactividad arriba"&amp;" · ","")&amp;IF($AM186="","Sin fecha de inicio"&amp;" · ","")&amp;IF($AN186="","Sin fecha límite"&amp;" · ","")&amp;IF(AND(LEFT($C186,11)="[Jefatura] ",N($AL186)=0),"No se encuentra en la hoja de la jefatura (elíjala de nuevo en la lista)"&amp;" · ","")&amp;IF(OR(AND($E186&lt;&gt;"",NOT(ISNUMBER($E186))),AND($F186&lt;&gt;"",NOT(ISNUMBER($F186))),AND($G186&lt;&gt;"",NOT(ISNUMBER($G186)))),"Fecha no válida"&amp;" · ","")&amp;IF(AND(ISNUMBER($AM186),ISNUMBER($AN186),$AM186&gt;$AN186),"Inicio posterior a fecha límite"&amp;" · ","")&amp;IF(AND($V186="Macro",$H186&lt;&gt;"",OR(NOT(ISNUMBER($H186)),$H186&lt;0,$H186&gt;1)),"Peso fuera de rango"&amp;" · ","")&amp;IF(AND($V186="Sub",$H186&lt;&gt;""),"Las subactividades no llevan peso (valen igual dentro de su macroactividad)"&amp;" · ","")&amp;IF(AND(N($W186)&gt;0,COUNT($I186:$L186)&gt;0),"Con subactividades: deje vacías las semanas (se calculan solas)"&amp;" · ","")&amp;IF((COUNTIF($I186:$L186,"&gt;1")+COUNTIF($I186:$L186,"&lt;0")+COUNTA($I186:$L186)-COUNT($I186:$L186))&gt;0,"Avance fuera de rango 0-100%"&amp;" · ","")&amp;IF(OR(AND($J186&lt;&gt;"",$J186&lt;$I186),AND($K186&lt;&gt;"",$K186&lt;MAX($I186:$J186)),AND($L186&lt;&gt;"",$L186&lt;MAX($I186:$K186))),"Avance semanal decreciente"&amp;" · ","")&amp;IF(AND(ISNUMBER($AN186),$AN186&lt;FechaRef,IF($V186="Sub",N($X186),N($M186))&lt;1),"Vencida"&amp;" · ","")&amp;IF(AND(ObsObligatoria="Sí",ISNUMBER($AN186),$AN186&lt;FechaRef,IF($V186="Sub",N($X186),N($M186))&lt;1,$Q186=""),"Vencida sin observación"&amp;" · ",""),LEN(IF($C186="","Falta el nombre de la actividad"&amp;" · ","")&amp;IF(AND($V186="Sub",N($U186)=0),"Subactividad sin macroactividad arriba"&amp;" · ","")&amp;IF($AM186="","Sin fecha de inicio"&amp;" · ","")&amp;IF($AN186="","Sin fecha límite"&amp;" · ","")&amp;IF(AND(LEFT($C186,11)="[Jefatura] ",N($AL186)=0),"No se encuentra en la hoja de la jefatura (elíjala de nuevo en la lista)"&amp;" · ","")&amp;IF(OR(AND($E186&lt;&gt;"",NOT(ISNUMBER($E186))),AND($F186&lt;&gt;"",NOT(ISNUMBER($F186))),AND($G186&lt;&gt;"",NOT(ISNUMBER($G186)))),"Fecha no válida"&amp;" · ","")&amp;IF(AND(ISNUMBER($AM186),ISNUMBER($AN186),$AM186&gt;$AN186),"Inicio posterior a fecha límite"&amp;" · ","")&amp;IF(AND($V186="Macro",$H186&lt;&gt;"",OR(NOT(ISNUMBER($H186)),$H186&lt;0,$H186&gt;1)),"Peso fuera de rango"&amp;" · ","")&amp;IF(AND($V186="Sub",$H186&lt;&gt;""),"Las subactividades no llevan peso (valen igual dentro de su macroactividad)"&amp;" · ","")&amp;IF(AND(N($W186)&gt;0,COUNT($I186:$L186)&gt;0),"Con subactividades: deje vacías las semanas (se calculan solas)"&amp;" · ","")&amp;IF((COUNTIF($I186:$L186,"&gt;1")+COUNTIF($I186:$L186,"&lt;0")+COUNTA($I186:$L186)-COUNT($I186:$L186))&gt;0,"Avance fuera de rango 0-100%"&amp;" · ","")&amp;IF(OR(AND($J186&lt;&gt;"",$J186&lt;$I186),AND($K186&lt;&gt;"",$K186&lt;MAX($I186:$J186)),AND($L186&lt;&gt;"",$L186&lt;MAX($I186:$K186))),"Avance semanal decreciente"&amp;" · ","")&amp;IF(AND(ISNUMBER($AN186),$AN186&lt;FechaRef,IF($V186="Sub",N($X186),N($M186))&lt;1),"Vencida"&amp;" · ","")&amp;IF(AND(ObsObligatoria="Sí",ISNUMBER($AN186),$AN186&lt;FechaRef,IF($V186="Sub",N($X186),N($M186))&lt;1,$Q186=""),"Vencida sin observación"&amp;" · ",""))-3)))</f>
        <v/>
      </c>
      <c r="S186" s="64">
        <f>IF(NOT((COUNTA($B186:$D186)+COUNTA($G186:$L186)+COUNTA($Q186))&gt;0),"",IF(AND($V186="Sub",N($U186)&gt;0),IF(ISNUMBER(INDEX($AM$5:$AM$1000,$U186-4)),DATE(YEAR(INDEX($AM$5:$AM$1000,$U186-4)),MONTH(INDEX($AM$5:$AM$1000,$U186-4)),1),IF(ISNUMBER(INDEX($AN$5:$AN$1000,$U186-4)),DATE(YEAR(INDEX($AN$5:$AN$1000,$U186-4)),MONTH(INDEX($AN$5:$AN$1000,$U186-4)),1),MesCiclo)),IF(ISNUMBER($AM186),DATE(YEAR($AM186),MONTH($AM186),1),IF(ISNUMBER($AN186),DATE(YEAR($AN186),MONTH($AN186),1),MesCiclo))))</f>
        <v/>
      </c>
      <c r="T186" s="62">
        <f>IF(OR($S186="",$S186&lt;&gt;MesCiclo,$V186&lt;&gt;"Macro"),"",COUNTIFS($S$5:$S186,MesCiclo,$V$5:$V186,"Macro"))</f>
        <v/>
      </c>
      <c r="U186" s="62">
        <f>IF($V186="","",IF($V186="Macro",ROW(),IFERROR(LOOKUP(2,1/($V$5:$V186="Macro"),ROW($V$5:$V186)),0)))</f>
        <v/>
      </c>
      <c r="V186" s="62">
        <f>IF(NOT((COUNTA($B186:$D186)+COUNTA($G186:$L186)+COUNTA($Q186))&gt;0),"",IF($B186="Subactividad","Sub","Macro"))</f>
        <v/>
      </c>
      <c r="W186" s="62">
        <f>IF($V186="Macro",COUNTIFS($U$5:$U$1000,ROW(),$V$5:$V$1000,"Sub"),"")</f>
        <v/>
      </c>
      <c r="X186" s="62">
        <f>IF($V186="","",IF(ISNUMBER($G186),1,IFERROR(LOOKUP(2,1/($I186:$L186&lt;&gt;""),$I186:$L186),0)))</f>
        <v/>
      </c>
      <c r="Y186" s="62">
        <f>IF($V186="","",IF(AND(ISNUMBER($G186),$G186&lt;=IF($S186=MesCiclo,InicioCiclo,$S186+MOD(2-WEEKDAY($S186),7))+6),1,IF(ISNUMBER($I186),$I186,0)))</f>
        <v/>
      </c>
      <c r="Z186" s="62">
        <f>IF($V186="","",IF(AND(ISNUMBER($G186),$G186&lt;=IF($S186=MesCiclo,InicioCiclo,$S186+MOD(2-WEEKDAY($S186),7))+13),1,IF(ISNUMBER($J186),$J186,$Y186)))</f>
        <v/>
      </c>
      <c r="AA186" s="62">
        <f>IF($V186="","",IF(AND(ISNUMBER($G186),$G186&lt;=IF($S186=MesCiclo,InicioCiclo,$S186+MOD(2-WEEKDAY($S186),7))+20),1,IF(ISNUMBER($K186),$K186,$Z186)))</f>
        <v/>
      </c>
      <c r="AB186" s="62">
        <f>IF($V186="","",IF(AND(ISNUMBER($G186),$G186&lt;=IF($S186=MesCiclo,InicioCiclo,$S186+MOD(2-WEEKDAY($S186),7))+27),1,IF(ISNUMBER($L186),$L186,$AA186)))</f>
        <v/>
      </c>
      <c r="AC186" s="62">
        <f>IF($V186="","",IF(AND(ISNUMBER($G186),$G186&lt;=IF($S186=MesCiclo,InicioCiclo,$S186+MOD(2-WEEKDAY($S186),7))+6),1,IF(N($W186)&gt;0,AVERAGEIFS($Y$5:$Y$1000,$U$5:$U$1000,ROW(),$V$5:$V$1000,"Sub"),$Y186)))</f>
        <v/>
      </c>
      <c r="AD186" s="62">
        <f>IF($V186="","",IF(AND(ISNUMBER($G186),$G186&lt;=IF($S186=MesCiclo,InicioCiclo,$S186+MOD(2-WEEKDAY($S186),7))+13),1,IF(N($W186)&gt;0,AVERAGEIFS($Z$5:$Z$1000,$U$5:$U$1000,ROW(),$V$5:$V$1000,"Sub"),$Z186)))</f>
        <v/>
      </c>
      <c r="AE186" s="62">
        <f>IF($V186="","",IF(AND(ISNUMBER($G186),$G186&lt;=IF($S186=MesCiclo,InicioCiclo,$S186+MOD(2-WEEKDAY($S186),7))+20),1,IF(N($W186)&gt;0,AVERAGEIFS($AA$5:$AA$1000,$U$5:$U$1000,ROW(),$V$5:$V$1000,"Sub"),$AA186)))</f>
        <v/>
      </c>
      <c r="AF186" s="62">
        <f>IF($V186="","",IF(AND(ISNUMBER($G186),$G186&lt;=IF($S186=MesCiclo,InicioCiclo,$S186+MOD(2-WEEKDAY($S186),7))+27),1,IF(N($W186)&gt;0,AVERAGEIFS($AB$5:$AB$1000,$U$5:$U$1000,ROW(),$V$5:$V$1000,"Sub"),$AB186)))</f>
        <v/>
      </c>
      <c r="AG186" s="62">
        <f>IF($V186&lt;&gt;"Macro","",IF(COUNTIFS($S$5:$S$1000,$S186,$V$5:$V$1000,"Macro",$H$5:$H$1000,"&gt;0")=0,1/COUNTIFS($S$5:$S$1000,$S186,$V$5:$V$1000,"Macro"),IF(AND(ISNUMBER($H186),N($H186)&gt;0),$H186,SUMIFS($H$5:$H$1000,$S$5:$S$1000,$S186,$V$5:$V$1000,"Macro")/COUNTIFS($S$5:$S$1000,$S186,$V$5:$V$1000,"Macro",$H$5:$H$1000,"&gt;0"))/(COUNTIFS($S$5:$S$1000,$S186,$V$5:$V$1000,"Macro")*SUMIFS($H$5:$H$1000,$S$5:$S$1000,$S186,$V$5:$V$1000,"Macro")/COUNTIFS($S$5:$S$1000,$S186,$V$5:$V$1000,"Macro",$H$5:$H$1000,"&gt;0"))))</f>
        <v/>
      </c>
      <c r="AH186" s="62" t="n"/>
      <c r="AI186" s="62" t="n"/>
      <c r="AJ186" s="62" t="n"/>
      <c r="AK186" s="62" t="n"/>
      <c r="AL186" s="62">
        <f>IF(LEFT($C186,11)="[Jefatura] ",IFERROR(MATCH("Asistente Técnico de Riesgo|"&amp;MID($C186,12,500),rDname_ADM,0),0),"")</f>
        <v/>
      </c>
      <c r="AM186" s="62">
        <f>IF(N($AL186)&gt;0,INDEX(rIni_ADM,$AL186),IF(ISNUMBER($E186),$E186,""))</f>
        <v/>
      </c>
      <c r="AN186" s="62">
        <f>IF(N($AL186)&gt;0,INDEX(rLim_ADM,$AL186),IF(ISNUMBER($F186),$F186,""))</f>
        <v/>
      </c>
    </row>
    <row r="187">
      <c r="A187" s="56">
        <f>IF(NOT((COUNTA($B187:$D187)+COUNTA($G187:$L187)+COUNTA($Q187))&gt;0),"",IF($V187="Macro",COUNTIFS($V$5:$V187,"Macro",$S$5:$S187,$S187),IF(N($U187)=0,"?",COUNTIFS(INDEX($V$5:$V$1000,1):INDEX($V$5:$V$1000,$U187-4),"Macro",INDEX($S$5:$S$1000,1):INDEX($S$5:$S$1000,$U187-4),INDEX($S$5:$S$1000,$U187-4))&amp;"."&amp;COUNTIFS($U$5:$U187,$U187,$V$5:$V187,"Sub"))))</f>
        <v/>
      </c>
      <c r="B187" s="57" t="n"/>
      <c r="C187" s="58" t="n"/>
      <c r="D187" s="58" t="n"/>
      <c r="E187" s="59">
        <f>IF(N($AL187)&gt;0,INDEX(rIni_ADM,$AL187),"")</f>
        <v/>
      </c>
      <c r="F187" s="59">
        <f>IF(N($AL187)&gt;0,INDEX(rLim_ADM,$AL187),"")</f>
        <v/>
      </c>
      <c r="G187" s="59" t="n"/>
      <c r="H187" s="60" t="n"/>
      <c r="I187" s="60" t="n"/>
      <c r="J187" s="60" t="n"/>
      <c r="K187" s="60" t="n"/>
      <c r="L187" s="60" t="n"/>
      <c r="M187" s="61">
        <f>IF(NOT((COUNTA($B187:$D187)+COUNTA($G187:$L187)+COUNTA($Q187))&gt;0),"",IF($V187="Sub",IFERROR($X187/INDEX($W$5:$W$1000,$U187-4),""),IF(ISNUMBER($G187),1,IF(N($W187)&gt;0,AVERAGEIFS($X$5:$X$1000,$U$5:$U$1000,ROW(),$V$5:$V$1000,"Sub"),$X187))))</f>
        <v/>
      </c>
      <c r="N187" s="56">
        <f>IF(OR($M187="",$V187="Sub"),"",IF($M187&gt;=1,"Completado",IF($M187&gt;0,"En curso","Pendiente")))</f>
        <v/>
      </c>
      <c r="O187" s="56">
        <f>IF(OR(NOT((COUNTA($B187:$D187)+COUNTA($G187:$L187)+COUNTA($Q187))&gt;0),$V187="Sub"),"",IF(ISNUMBER($G187),IF(AND(ISNUMBER($AN187),$G187&gt;$AN187),"Cumplida con "&amp;($G187-$AN187)&amp;IF($G187-$AN187=1," día"," días")&amp;" de retraso","Cumplida"),IF(N($M187)&gt;=1,"Cumplida",IF(NOT(ISNUMBER($AN187)),"Sin fecha límite",IF($AN187&lt;FechaRef,"Vencida hace "&amp;(FechaRef-$AN187)&amp;IF(FechaRef-$AN187=1," día"," días"),IF($AN187=FechaRef,"Vence hoy",IF($AN187-FechaRef&lt;=DiasAlerta,"Vence en "&amp;($AN187-FechaRef)&amp;IF($AN187-FechaRef=1," día"," días"),"En plazo")))))))</f>
        <v/>
      </c>
      <c r="P187" s="62" t="n"/>
      <c r="Q187" s="58" t="n"/>
      <c r="R187" s="63">
        <f>IF(NOT((COUNTA($B187:$D187)+COUNTA($G187:$L187)+COUNTA($Q187))&gt;0),"",IF((IF($C187="","Falta el nombre de la actividad"&amp;" · ","")&amp;IF(AND($V187="Sub",N($U187)=0),"Subactividad sin macroactividad arriba"&amp;" · ","")&amp;IF($AM187="","Sin fecha de inicio"&amp;" · ","")&amp;IF($AN187="","Sin fecha límite"&amp;" · ","")&amp;IF(AND(LEFT($C187,11)="[Jefatura] ",N($AL187)=0),"No se encuentra en la hoja de la jefatura (elíjala de nuevo en la lista)"&amp;" · ","")&amp;IF(OR(AND($E187&lt;&gt;"",NOT(ISNUMBER($E187))),AND($F187&lt;&gt;"",NOT(ISNUMBER($F187))),AND($G187&lt;&gt;"",NOT(ISNUMBER($G187)))),"Fecha no válida"&amp;" · ","")&amp;IF(AND(ISNUMBER($AM187),ISNUMBER($AN187),$AM187&gt;$AN187),"Inicio posterior a fecha límite"&amp;" · ","")&amp;IF(AND($V187="Macro",$H187&lt;&gt;"",OR(NOT(ISNUMBER($H187)),$H187&lt;0,$H187&gt;1)),"Peso fuera de rango"&amp;" · ","")&amp;IF(AND($V187="Sub",$H187&lt;&gt;""),"Las subactividades no llevan peso (valen igual dentro de su macroactividad)"&amp;" · ","")&amp;IF(AND(N($W187)&gt;0,COUNT($I187:$L187)&gt;0),"Con subactividades: deje vacías las semanas (se calculan solas)"&amp;" · ","")&amp;IF((COUNTIF($I187:$L187,"&gt;1")+COUNTIF($I187:$L187,"&lt;0")+COUNTA($I187:$L187)-COUNT($I187:$L187))&gt;0,"Avance fuera de rango 0-100%"&amp;" · ","")&amp;IF(OR(AND($J187&lt;&gt;"",$J187&lt;$I187),AND($K187&lt;&gt;"",$K187&lt;MAX($I187:$J187)),AND($L187&lt;&gt;"",$L187&lt;MAX($I187:$K187))),"Avance semanal decreciente"&amp;" · ","")&amp;IF(AND(ISNUMBER($AN187),$AN187&lt;FechaRef,IF($V187="Sub",N($X187),N($M187))&lt;1),"Vencida"&amp;" · ","")&amp;IF(AND(ObsObligatoria="Sí",ISNUMBER($AN187),$AN187&lt;FechaRef,IF($V187="Sub",N($X187),N($M187))&lt;1,$Q187=""),"Vencida sin observación"&amp;" · ",""))="","✔ OK","⚠ "&amp;LEFT(IF($C187="","Falta el nombre de la actividad"&amp;" · ","")&amp;IF(AND($V187="Sub",N($U187)=0),"Subactividad sin macroactividad arriba"&amp;" · ","")&amp;IF($AM187="","Sin fecha de inicio"&amp;" · ","")&amp;IF($AN187="","Sin fecha límite"&amp;" · ","")&amp;IF(AND(LEFT($C187,11)="[Jefatura] ",N($AL187)=0),"No se encuentra en la hoja de la jefatura (elíjala de nuevo en la lista)"&amp;" · ","")&amp;IF(OR(AND($E187&lt;&gt;"",NOT(ISNUMBER($E187))),AND($F187&lt;&gt;"",NOT(ISNUMBER($F187))),AND($G187&lt;&gt;"",NOT(ISNUMBER($G187)))),"Fecha no válida"&amp;" · ","")&amp;IF(AND(ISNUMBER($AM187),ISNUMBER($AN187),$AM187&gt;$AN187),"Inicio posterior a fecha límite"&amp;" · ","")&amp;IF(AND($V187="Macro",$H187&lt;&gt;"",OR(NOT(ISNUMBER($H187)),$H187&lt;0,$H187&gt;1)),"Peso fuera de rango"&amp;" · ","")&amp;IF(AND($V187="Sub",$H187&lt;&gt;""),"Las subactividades no llevan peso (valen igual dentro de su macroactividad)"&amp;" · ","")&amp;IF(AND(N($W187)&gt;0,COUNT($I187:$L187)&gt;0),"Con subactividades: deje vacías las semanas (se calculan solas)"&amp;" · ","")&amp;IF((COUNTIF($I187:$L187,"&gt;1")+COUNTIF($I187:$L187,"&lt;0")+COUNTA($I187:$L187)-COUNT($I187:$L187))&gt;0,"Avance fuera de rango 0-100%"&amp;" · ","")&amp;IF(OR(AND($J187&lt;&gt;"",$J187&lt;$I187),AND($K187&lt;&gt;"",$K187&lt;MAX($I187:$J187)),AND($L187&lt;&gt;"",$L187&lt;MAX($I187:$K187))),"Avance semanal decreciente"&amp;" · ","")&amp;IF(AND(ISNUMBER($AN187),$AN187&lt;FechaRef,IF($V187="Sub",N($X187),N($M187))&lt;1),"Vencida"&amp;" · ","")&amp;IF(AND(ObsObligatoria="Sí",ISNUMBER($AN187),$AN187&lt;FechaRef,IF($V187="Sub",N($X187),N($M187))&lt;1,$Q187=""),"Vencida sin observación"&amp;" · ",""),LEN(IF($C187="","Falta el nombre de la actividad"&amp;" · ","")&amp;IF(AND($V187="Sub",N($U187)=0),"Subactividad sin macroactividad arriba"&amp;" · ","")&amp;IF($AM187="","Sin fecha de inicio"&amp;" · ","")&amp;IF($AN187="","Sin fecha límite"&amp;" · ","")&amp;IF(AND(LEFT($C187,11)="[Jefatura] ",N($AL187)=0),"No se encuentra en la hoja de la jefatura (elíjala de nuevo en la lista)"&amp;" · ","")&amp;IF(OR(AND($E187&lt;&gt;"",NOT(ISNUMBER($E187))),AND($F187&lt;&gt;"",NOT(ISNUMBER($F187))),AND($G187&lt;&gt;"",NOT(ISNUMBER($G187)))),"Fecha no válida"&amp;" · ","")&amp;IF(AND(ISNUMBER($AM187),ISNUMBER($AN187),$AM187&gt;$AN187),"Inicio posterior a fecha límite"&amp;" · ","")&amp;IF(AND($V187="Macro",$H187&lt;&gt;"",OR(NOT(ISNUMBER($H187)),$H187&lt;0,$H187&gt;1)),"Peso fuera de rango"&amp;" · ","")&amp;IF(AND($V187="Sub",$H187&lt;&gt;""),"Las subactividades no llevan peso (valen igual dentro de su macroactividad)"&amp;" · ","")&amp;IF(AND(N($W187)&gt;0,COUNT($I187:$L187)&gt;0),"Con subactividades: deje vacías las semanas (se calculan solas)"&amp;" · ","")&amp;IF((COUNTIF($I187:$L187,"&gt;1")+COUNTIF($I187:$L187,"&lt;0")+COUNTA($I187:$L187)-COUNT($I187:$L187))&gt;0,"Avance fuera de rango 0-100%"&amp;" · ","")&amp;IF(OR(AND($J187&lt;&gt;"",$J187&lt;$I187),AND($K187&lt;&gt;"",$K187&lt;MAX($I187:$J187)),AND($L187&lt;&gt;"",$L187&lt;MAX($I187:$K187))),"Avance semanal decreciente"&amp;" · ","")&amp;IF(AND(ISNUMBER($AN187),$AN187&lt;FechaRef,IF($V187="Sub",N($X187),N($M187))&lt;1),"Vencida"&amp;" · ","")&amp;IF(AND(ObsObligatoria="Sí",ISNUMBER($AN187),$AN187&lt;FechaRef,IF($V187="Sub",N($X187),N($M187))&lt;1,$Q187=""),"Vencida sin observación"&amp;" · ",""))-3)))</f>
        <v/>
      </c>
      <c r="S187" s="64">
        <f>IF(NOT((COUNTA($B187:$D187)+COUNTA($G187:$L187)+COUNTA($Q187))&gt;0),"",IF(AND($V187="Sub",N($U187)&gt;0),IF(ISNUMBER(INDEX($AM$5:$AM$1000,$U187-4)),DATE(YEAR(INDEX($AM$5:$AM$1000,$U187-4)),MONTH(INDEX($AM$5:$AM$1000,$U187-4)),1),IF(ISNUMBER(INDEX($AN$5:$AN$1000,$U187-4)),DATE(YEAR(INDEX($AN$5:$AN$1000,$U187-4)),MONTH(INDEX($AN$5:$AN$1000,$U187-4)),1),MesCiclo)),IF(ISNUMBER($AM187),DATE(YEAR($AM187),MONTH($AM187),1),IF(ISNUMBER($AN187),DATE(YEAR($AN187),MONTH($AN187),1),MesCiclo))))</f>
        <v/>
      </c>
      <c r="T187" s="62">
        <f>IF(OR($S187="",$S187&lt;&gt;MesCiclo,$V187&lt;&gt;"Macro"),"",COUNTIFS($S$5:$S187,MesCiclo,$V$5:$V187,"Macro"))</f>
        <v/>
      </c>
      <c r="U187" s="62">
        <f>IF($V187="","",IF($V187="Macro",ROW(),IFERROR(LOOKUP(2,1/($V$5:$V187="Macro"),ROW($V$5:$V187)),0)))</f>
        <v/>
      </c>
      <c r="V187" s="62">
        <f>IF(NOT((COUNTA($B187:$D187)+COUNTA($G187:$L187)+COUNTA($Q187))&gt;0),"",IF($B187="Subactividad","Sub","Macro"))</f>
        <v/>
      </c>
      <c r="W187" s="62">
        <f>IF($V187="Macro",COUNTIFS($U$5:$U$1000,ROW(),$V$5:$V$1000,"Sub"),"")</f>
        <v/>
      </c>
      <c r="X187" s="62">
        <f>IF($V187="","",IF(ISNUMBER($G187),1,IFERROR(LOOKUP(2,1/($I187:$L187&lt;&gt;""),$I187:$L187),0)))</f>
        <v/>
      </c>
      <c r="Y187" s="62">
        <f>IF($V187="","",IF(AND(ISNUMBER($G187),$G187&lt;=IF($S187=MesCiclo,InicioCiclo,$S187+MOD(2-WEEKDAY($S187),7))+6),1,IF(ISNUMBER($I187),$I187,0)))</f>
        <v/>
      </c>
      <c r="Z187" s="62">
        <f>IF($V187="","",IF(AND(ISNUMBER($G187),$G187&lt;=IF($S187=MesCiclo,InicioCiclo,$S187+MOD(2-WEEKDAY($S187),7))+13),1,IF(ISNUMBER($J187),$J187,$Y187)))</f>
        <v/>
      </c>
      <c r="AA187" s="62">
        <f>IF($V187="","",IF(AND(ISNUMBER($G187),$G187&lt;=IF($S187=MesCiclo,InicioCiclo,$S187+MOD(2-WEEKDAY($S187),7))+20),1,IF(ISNUMBER($K187),$K187,$Z187)))</f>
        <v/>
      </c>
      <c r="AB187" s="62">
        <f>IF($V187="","",IF(AND(ISNUMBER($G187),$G187&lt;=IF($S187=MesCiclo,InicioCiclo,$S187+MOD(2-WEEKDAY($S187),7))+27),1,IF(ISNUMBER($L187),$L187,$AA187)))</f>
        <v/>
      </c>
      <c r="AC187" s="62">
        <f>IF($V187="","",IF(AND(ISNUMBER($G187),$G187&lt;=IF($S187=MesCiclo,InicioCiclo,$S187+MOD(2-WEEKDAY($S187),7))+6),1,IF(N($W187)&gt;0,AVERAGEIFS($Y$5:$Y$1000,$U$5:$U$1000,ROW(),$V$5:$V$1000,"Sub"),$Y187)))</f>
        <v/>
      </c>
      <c r="AD187" s="62">
        <f>IF($V187="","",IF(AND(ISNUMBER($G187),$G187&lt;=IF($S187=MesCiclo,InicioCiclo,$S187+MOD(2-WEEKDAY($S187),7))+13),1,IF(N($W187)&gt;0,AVERAGEIFS($Z$5:$Z$1000,$U$5:$U$1000,ROW(),$V$5:$V$1000,"Sub"),$Z187)))</f>
        <v/>
      </c>
      <c r="AE187" s="62">
        <f>IF($V187="","",IF(AND(ISNUMBER($G187),$G187&lt;=IF($S187=MesCiclo,InicioCiclo,$S187+MOD(2-WEEKDAY($S187),7))+20),1,IF(N($W187)&gt;0,AVERAGEIFS($AA$5:$AA$1000,$U$5:$U$1000,ROW(),$V$5:$V$1000,"Sub"),$AA187)))</f>
        <v/>
      </c>
      <c r="AF187" s="62">
        <f>IF($V187="","",IF(AND(ISNUMBER($G187),$G187&lt;=IF($S187=MesCiclo,InicioCiclo,$S187+MOD(2-WEEKDAY($S187),7))+27),1,IF(N($W187)&gt;0,AVERAGEIFS($AB$5:$AB$1000,$U$5:$U$1000,ROW(),$V$5:$V$1000,"Sub"),$AB187)))</f>
        <v/>
      </c>
      <c r="AG187" s="62">
        <f>IF($V187&lt;&gt;"Macro","",IF(COUNTIFS($S$5:$S$1000,$S187,$V$5:$V$1000,"Macro",$H$5:$H$1000,"&gt;0")=0,1/COUNTIFS($S$5:$S$1000,$S187,$V$5:$V$1000,"Macro"),IF(AND(ISNUMBER($H187),N($H187)&gt;0),$H187,SUMIFS($H$5:$H$1000,$S$5:$S$1000,$S187,$V$5:$V$1000,"Macro")/COUNTIFS($S$5:$S$1000,$S187,$V$5:$V$1000,"Macro",$H$5:$H$1000,"&gt;0"))/(COUNTIFS($S$5:$S$1000,$S187,$V$5:$V$1000,"Macro")*SUMIFS($H$5:$H$1000,$S$5:$S$1000,$S187,$V$5:$V$1000,"Macro")/COUNTIFS($S$5:$S$1000,$S187,$V$5:$V$1000,"Macro",$H$5:$H$1000,"&gt;0"))))</f>
        <v/>
      </c>
      <c r="AH187" s="62" t="n"/>
      <c r="AI187" s="62" t="n"/>
      <c r="AJ187" s="62" t="n"/>
      <c r="AK187" s="62" t="n"/>
      <c r="AL187" s="62">
        <f>IF(LEFT($C187,11)="[Jefatura] ",IFERROR(MATCH("Asistente Técnico de Riesgo|"&amp;MID($C187,12,500),rDname_ADM,0),0),"")</f>
        <v/>
      </c>
      <c r="AM187" s="62">
        <f>IF(N($AL187)&gt;0,INDEX(rIni_ADM,$AL187),IF(ISNUMBER($E187),$E187,""))</f>
        <v/>
      </c>
      <c r="AN187" s="62">
        <f>IF(N($AL187)&gt;0,INDEX(rLim_ADM,$AL187),IF(ISNUMBER($F187),$F187,""))</f>
        <v/>
      </c>
    </row>
    <row r="188">
      <c r="A188" s="56">
        <f>IF(NOT((COUNTA($B188:$D188)+COUNTA($G188:$L188)+COUNTA($Q188))&gt;0),"",IF($V188="Macro",COUNTIFS($V$5:$V188,"Macro",$S$5:$S188,$S188),IF(N($U188)=0,"?",COUNTIFS(INDEX($V$5:$V$1000,1):INDEX($V$5:$V$1000,$U188-4),"Macro",INDEX($S$5:$S$1000,1):INDEX($S$5:$S$1000,$U188-4),INDEX($S$5:$S$1000,$U188-4))&amp;"."&amp;COUNTIFS($U$5:$U188,$U188,$V$5:$V188,"Sub"))))</f>
        <v/>
      </c>
      <c r="B188" s="57" t="n"/>
      <c r="C188" s="58" t="n"/>
      <c r="D188" s="58" t="n"/>
      <c r="E188" s="59">
        <f>IF(N($AL188)&gt;0,INDEX(rIni_ADM,$AL188),"")</f>
        <v/>
      </c>
      <c r="F188" s="59">
        <f>IF(N($AL188)&gt;0,INDEX(rLim_ADM,$AL188),"")</f>
        <v/>
      </c>
      <c r="G188" s="59" t="n"/>
      <c r="H188" s="60" t="n"/>
      <c r="I188" s="60" t="n"/>
      <c r="J188" s="60" t="n"/>
      <c r="K188" s="60" t="n"/>
      <c r="L188" s="60" t="n"/>
      <c r="M188" s="61">
        <f>IF(NOT((COUNTA($B188:$D188)+COUNTA($G188:$L188)+COUNTA($Q188))&gt;0),"",IF($V188="Sub",IFERROR($X188/INDEX($W$5:$W$1000,$U188-4),""),IF(ISNUMBER($G188),1,IF(N($W188)&gt;0,AVERAGEIFS($X$5:$X$1000,$U$5:$U$1000,ROW(),$V$5:$V$1000,"Sub"),$X188))))</f>
        <v/>
      </c>
      <c r="N188" s="56">
        <f>IF(OR($M188="",$V188="Sub"),"",IF($M188&gt;=1,"Completado",IF($M188&gt;0,"En curso","Pendiente")))</f>
        <v/>
      </c>
      <c r="O188" s="56">
        <f>IF(OR(NOT((COUNTA($B188:$D188)+COUNTA($G188:$L188)+COUNTA($Q188))&gt;0),$V188="Sub"),"",IF(ISNUMBER($G188),IF(AND(ISNUMBER($AN188),$G188&gt;$AN188),"Cumplida con "&amp;($G188-$AN188)&amp;IF($G188-$AN188=1," día"," días")&amp;" de retraso","Cumplida"),IF(N($M188)&gt;=1,"Cumplida",IF(NOT(ISNUMBER($AN188)),"Sin fecha límite",IF($AN188&lt;FechaRef,"Vencida hace "&amp;(FechaRef-$AN188)&amp;IF(FechaRef-$AN188=1," día"," días"),IF($AN188=FechaRef,"Vence hoy",IF($AN188-FechaRef&lt;=DiasAlerta,"Vence en "&amp;($AN188-FechaRef)&amp;IF($AN188-FechaRef=1," día"," días"),"En plazo")))))))</f>
        <v/>
      </c>
      <c r="P188" s="62" t="n"/>
      <c r="Q188" s="58" t="n"/>
      <c r="R188" s="63">
        <f>IF(NOT((COUNTA($B188:$D188)+COUNTA($G188:$L188)+COUNTA($Q188))&gt;0),"",IF((IF($C188="","Falta el nombre de la actividad"&amp;" · ","")&amp;IF(AND($V188="Sub",N($U188)=0),"Subactividad sin macroactividad arriba"&amp;" · ","")&amp;IF($AM188="","Sin fecha de inicio"&amp;" · ","")&amp;IF($AN188="","Sin fecha límite"&amp;" · ","")&amp;IF(AND(LEFT($C188,11)="[Jefatura] ",N($AL188)=0),"No se encuentra en la hoja de la jefatura (elíjala de nuevo en la lista)"&amp;" · ","")&amp;IF(OR(AND($E188&lt;&gt;"",NOT(ISNUMBER($E188))),AND($F188&lt;&gt;"",NOT(ISNUMBER($F188))),AND($G188&lt;&gt;"",NOT(ISNUMBER($G188)))),"Fecha no válida"&amp;" · ","")&amp;IF(AND(ISNUMBER($AM188),ISNUMBER($AN188),$AM188&gt;$AN188),"Inicio posterior a fecha límite"&amp;" · ","")&amp;IF(AND($V188="Macro",$H188&lt;&gt;"",OR(NOT(ISNUMBER($H188)),$H188&lt;0,$H188&gt;1)),"Peso fuera de rango"&amp;" · ","")&amp;IF(AND($V188="Sub",$H188&lt;&gt;""),"Las subactividades no llevan peso (valen igual dentro de su macroactividad)"&amp;" · ","")&amp;IF(AND(N($W188)&gt;0,COUNT($I188:$L188)&gt;0),"Con subactividades: deje vacías las semanas (se calculan solas)"&amp;" · ","")&amp;IF((COUNTIF($I188:$L188,"&gt;1")+COUNTIF($I188:$L188,"&lt;0")+COUNTA($I188:$L188)-COUNT($I188:$L188))&gt;0,"Avance fuera de rango 0-100%"&amp;" · ","")&amp;IF(OR(AND($J188&lt;&gt;"",$J188&lt;$I188),AND($K188&lt;&gt;"",$K188&lt;MAX($I188:$J188)),AND($L188&lt;&gt;"",$L188&lt;MAX($I188:$K188))),"Avance semanal decreciente"&amp;" · ","")&amp;IF(AND(ISNUMBER($AN188),$AN188&lt;FechaRef,IF($V188="Sub",N($X188),N($M188))&lt;1),"Vencida"&amp;" · ","")&amp;IF(AND(ObsObligatoria="Sí",ISNUMBER($AN188),$AN188&lt;FechaRef,IF($V188="Sub",N($X188),N($M188))&lt;1,$Q188=""),"Vencida sin observación"&amp;" · ",""))="","✔ OK","⚠ "&amp;LEFT(IF($C188="","Falta el nombre de la actividad"&amp;" · ","")&amp;IF(AND($V188="Sub",N($U188)=0),"Subactividad sin macroactividad arriba"&amp;" · ","")&amp;IF($AM188="","Sin fecha de inicio"&amp;" · ","")&amp;IF($AN188="","Sin fecha límite"&amp;" · ","")&amp;IF(AND(LEFT($C188,11)="[Jefatura] ",N($AL188)=0),"No se encuentra en la hoja de la jefatura (elíjala de nuevo en la lista)"&amp;" · ","")&amp;IF(OR(AND($E188&lt;&gt;"",NOT(ISNUMBER($E188))),AND($F188&lt;&gt;"",NOT(ISNUMBER($F188))),AND($G188&lt;&gt;"",NOT(ISNUMBER($G188)))),"Fecha no válida"&amp;" · ","")&amp;IF(AND(ISNUMBER($AM188),ISNUMBER($AN188),$AM188&gt;$AN188),"Inicio posterior a fecha límite"&amp;" · ","")&amp;IF(AND($V188="Macro",$H188&lt;&gt;"",OR(NOT(ISNUMBER($H188)),$H188&lt;0,$H188&gt;1)),"Peso fuera de rango"&amp;" · ","")&amp;IF(AND($V188="Sub",$H188&lt;&gt;""),"Las subactividades no llevan peso (valen igual dentro de su macroactividad)"&amp;" · ","")&amp;IF(AND(N($W188)&gt;0,COUNT($I188:$L188)&gt;0),"Con subactividades: deje vacías las semanas (se calculan solas)"&amp;" · ","")&amp;IF((COUNTIF($I188:$L188,"&gt;1")+COUNTIF($I188:$L188,"&lt;0")+COUNTA($I188:$L188)-COUNT($I188:$L188))&gt;0,"Avance fuera de rango 0-100%"&amp;" · ","")&amp;IF(OR(AND($J188&lt;&gt;"",$J188&lt;$I188),AND($K188&lt;&gt;"",$K188&lt;MAX($I188:$J188)),AND($L188&lt;&gt;"",$L188&lt;MAX($I188:$K188))),"Avance semanal decreciente"&amp;" · ","")&amp;IF(AND(ISNUMBER($AN188),$AN188&lt;FechaRef,IF($V188="Sub",N($X188),N($M188))&lt;1),"Vencida"&amp;" · ","")&amp;IF(AND(ObsObligatoria="Sí",ISNUMBER($AN188),$AN188&lt;FechaRef,IF($V188="Sub",N($X188),N($M188))&lt;1,$Q188=""),"Vencida sin observación"&amp;" · ",""),LEN(IF($C188="","Falta el nombre de la actividad"&amp;" · ","")&amp;IF(AND($V188="Sub",N($U188)=0),"Subactividad sin macroactividad arriba"&amp;" · ","")&amp;IF($AM188="","Sin fecha de inicio"&amp;" · ","")&amp;IF($AN188="","Sin fecha límite"&amp;" · ","")&amp;IF(AND(LEFT($C188,11)="[Jefatura] ",N($AL188)=0),"No se encuentra en la hoja de la jefatura (elíjala de nuevo en la lista)"&amp;" · ","")&amp;IF(OR(AND($E188&lt;&gt;"",NOT(ISNUMBER($E188))),AND($F188&lt;&gt;"",NOT(ISNUMBER($F188))),AND($G188&lt;&gt;"",NOT(ISNUMBER($G188)))),"Fecha no válida"&amp;" · ","")&amp;IF(AND(ISNUMBER($AM188),ISNUMBER($AN188),$AM188&gt;$AN188),"Inicio posterior a fecha límite"&amp;" · ","")&amp;IF(AND($V188="Macro",$H188&lt;&gt;"",OR(NOT(ISNUMBER($H188)),$H188&lt;0,$H188&gt;1)),"Peso fuera de rango"&amp;" · ","")&amp;IF(AND($V188="Sub",$H188&lt;&gt;""),"Las subactividades no llevan peso (valen igual dentro de su macroactividad)"&amp;" · ","")&amp;IF(AND(N($W188)&gt;0,COUNT($I188:$L188)&gt;0),"Con subactividades: deje vacías las semanas (se calculan solas)"&amp;" · ","")&amp;IF((COUNTIF($I188:$L188,"&gt;1")+COUNTIF($I188:$L188,"&lt;0")+COUNTA($I188:$L188)-COUNT($I188:$L188))&gt;0,"Avance fuera de rango 0-100%"&amp;" · ","")&amp;IF(OR(AND($J188&lt;&gt;"",$J188&lt;$I188),AND($K188&lt;&gt;"",$K188&lt;MAX($I188:$J188)),AND($L188&lt;&gt;"",$L188&lt;MAX($I188:$K188))),"Avance semanal decreciente"&amp;" · ","")&amp;IF(AND(ISNUMBER($AN188),$AN188&lt;FechaRef,IF($V188="Sub",N($X188),N($M188))&lt;1),"Vencida"&amp;" · ","")&amp;IF(AND(ObsObligatoria="Sí",ISNUMBER($AN188),$AN188&lt;FechaRef,IF($V188="Sub",N($X188),N($M188))&lt;1,$Q188=""),"Vencida sin observación"&amp;" · ",""))-3)))</f>
        <v/>
      </c>
      <c r="S188" s="64">
        <f>IF(NOT((COUNTA($B188:$D188)+COUNTA($G188:$L188)+COUNTA($Q188))&gt;0),"",IF(AND($V188="Sub",N($U188)&gt;0),IF(ISNUMBER(INDEX($AM$5:$AM$1000,$U188-4)),DATE(YEAR(INDEX($AM$5:$AM$1000,$U188-4)),MONTH(INDEX($AM$5:$AM$1000,$U188-4)),1),IF(ISNUMBER(INDEX($AN$5:$AN$1000,$U188-4)),DATE(YEAR(INDEX($AN$5:$AN$1000,$U188-4)),MONTH(INDEX($AN$5:$AN$1000,$U188-4)),1),MesCiclo)),IF(ISNUMBER($AM188),DATE(YEAR($AM188),MONTH($AM188),1),IF(ISNUMBER($AN188),DATE(YEAR($AN188),MONTH($AN188),1),MesCiclo))))</f>
        <v/>
      </c>
      <c r="T188" s="62">
        <f>IF(OR($S188="",$S188&lt;&gt;MesCiclo,$V188&lt;&gt;"Macro"),"",COUNTIFS($S$5:$S188,MesCiclo,$V$5:$V188,"Macro"))</f>
        <v/>
      </c>
      <c r="U188" s="62">
        <f>IF($V188="","",IF($V188="Macro",ROW(),IFERROR(LOOKUP(2,1/($V$5:$V188="Macro"),ROW($V$5:$V188)),0)))</f>
        <v/>
      </c>
      <c r="V188" s="62">
        <f>IF(NOT((COUNTA($B188:$D188)+COUNTA($G188:$L188)+COUNTA($Q188))&gt;0),"",IF($B188="Subactividad","Sub","Macro"))</f>
        <v/>
      </c>
      <c r="W188" s="62">
        <f>IF($V188="Macro",COUNTIFS($U$5:$U$1000,ROW(),$V$5:$V$1000,"Sub"),"")</f>
        <v/>
      </c>
      <c r="X188" s="62">
        <f>IF($V188="","",IF(ISNUMBER($G188),1,IFERROR(LOOKUP(2,1/($I188:$L188&lt;&gt;""),$I188:$L188),0)))</f>
        <v/>
      </c>
      <c r="Y188" s="62">
        <f>IF($V188="","",IF(AND(ISNUMBER($G188),$G188&lt;=IF($S188=MesCiclo,InicioCiclo,$S188+MOD(2-WEEKDAY($S188),7))+6),1,IF(ISNUMBER($I188),$I188,0)))</f>
        <v/>
      </c>
      <c r="Z188" s="62">
        <f>IF($V188="","",IF(AND(ISNUMBER($G188),$G188&lt;=IF($S188=MesCiclo,InicioCiclo,$S188+MOD(2-WEEKDAY($S188),7))+13),1,IF(ISNUMBER($J188),$J188,$Y188)))</f>
        <v/>
      </c>
      <c r="AA188" s="62">
        <f>IF($V188="","",IF(AND(ISNUMBER($G188),$G188&lt;=IF($S188=MesCiclo,InicioCiclo,$S188+MOD(2-WEEKDAY($S188),7))+20),1,IF(ISNUMBER($K188),$K188,$Z188)))</f>
        <v/>
      </c>
      <c r="AB188" s="62">
        <f>IF($V188="","",IF(AND(ISNUMBER($G188),$G188&lt;=IF($S188=MesCiclo,InicioCiclo,$S188+MOD(2-WEEKDAY($S188),7))+27),1,IF(ISNUMBER($L188),$L188,$AA188)))</f>
        <v/>
      </c>
      <c r="AC188" s="62">
        <f>IF($V188="","",IF(AND(ISNUMBER($G188),$G188&lt;=IF($S188=MesCiclo,InicioCiclo,$S188+MOD(2-WEEKDAY($S188),7))+6),1,IF(N($W188)&gt;0,AVERAGEIFS($Y$5:$Y$1000,$U$5:$U$1000,ROW(),$V$5:$V$1000,"Sub"),$Y188)))</f>
        <v/>
      </c>
      <c r="AD188" s="62">
        <f>IF($V188="","",IF(AND(ISNUMBER($G188),$G188&lt;=IF($S188=MesCiclo,InicioCiclo,$S188+MOD(2-WEEKDAY($S188),7))+13),1,IF(N($W188)&gt;0,AVERAGEIFS($Z$5:$Z$1000,$U$5:$U$1000,ROW(),$V$5:$V$1000,"Sub"),$Z188)))</f>
        <v/>
      </c>
      <c r="AE188" s="62">
        <f>IF($V188="","",IF(AND(ISNUMBER($G188),$G188&lt;=IF($S188=MesCiclo,InicioCiclo,$S188+MOD(2-WEEKDAY($S188),7))+20),1,IF(N($W188)&gt;0,AVERAGEIFS($AA$5:$AA$1000,$U$5:$U$1000,ROW(),$V$5:$V$1000,"Sub"),$AA188)))</f>
        <v/>
      </c>
      <c r="AF188" s="62">
        <f>IF($V188="","",IF(AND(ISNUMBER($G188),$G188&lt;=IF($S188=MesCiclo,InicioCiclo,$S188+MOD(2-WEEKDAY($S188),7))+27),1,IF(N($W188)&gt;0,AVERAGEIFS($AB$5:$AB$1000,$U$5:$U$1000,ROW(),$V$5:$V$1000,"Sub"),$AB188)))</f>
        <v/>
      </c>
      <c r="AG188" s="62">
        <f>IF($V188&lt;&gt;"Macro","",IF(COUNTIFS($S$5:$S$1000,$S188,$V$5:$V$1000,"Macro",$H$5:$H$1000,"&gt;0")=0,1/COUNTIFS($S$5:$S$1000,$S188,$V$5:$V$1000,"Macro"),IF(AND(ISNUMBER($H188),N($H188)&gt;0),$H188,SUMIFS($H$5:$H$1000,$S$5:$S$1000,$S188,$V$5:$V$1000,"Macro")/COUNTIFS($S$5:$S$1000,$S188,$V$5:$V$1000,"Macro",$H$5:$H$1000,"&gt;0"))/(COUNTIFS($S$5:$S$1000,$S188,$V$5:$V$1000,"Macro")*SUMIFS($H$5:$H$1000,$S$5:$S$1000,$S188,$V$5:$V$1000,"Macro")/COUNTIFS($S$5:$S$1000,$S188,$V$5:$V$1000,"Macro",$H$5:$H$1000,"&gt;0"))))</f>
        <v/>
      </c>
      <c r="AH188" s="62" t="n"/>
      <c r="AI188" s="62" t="n"/>
      <c r="AJ188" s="62" t="n"/>
      <c r="AK188" s="62" t="n"/>
      <c r="AL188" s="62">
        <f>IF(LEFT($C188,11)="[Jefatura] ",IFERROR(MATCH("Asistente Técnico de Riesgo|"&amp;MID($C188,12,500),rDname_ADM,0),0),"")</f>
        <v/>
      </c>
      <c r="AM188" s="62">
        <f>IF(N($AL188)&gt;0,INDEX(rIni_ADM,$AL188),IF(ISNUMBER($E188),$E188,""))</f>
        <v/>
      </c>
      <c r="AN188" s="62">
        <f>IF(N($AL188)&gt;0,INDEX(rLim_ADM,$AL188),IF(ISNUMBER($F188),$F188,""))</f>
        <v/>
      </c>
    </row>
    <row r="189">
      <c r="A189" s="56">
        <f>IF(NOT((COUNTA($B189:$D189)+COUNTA($G189:$L189)+COUNTA($Q189))&gt;0),"",IF($V189="Macro",COUNTIFS($V$5:$V189,"Macro",$S$5:$S189,$S189),IF(N($U189)=0,"?",COUNTIFS(INDEX($V$5:$V$1000,1):INDEX($V$5:$V$1000,$U189-4),"Macro",INDEX($S$5:$S$1000,1):INDEX($S$5:$S$1000,$U189-4),INDEX($S$5:$S$1000,$U189-4))&amp;"."&amp;COUNTIFS($U$5:$U189,$U189,$V$5:$V189,"Sub"))))</f>
        <v/>
      </c>
      <c r="B189" s="57" t="n"/>
      <c r="C189" s="58" t="n"/>
      <c r="D189" s="58" t="n"/>
      <c r="E189" s="59">
        <f>IF(N($AL189)&gt;0,INDEX(rIni_ADM,$AL189),"")</f>
        <v/>
      </c>
      <c r="F189" s="59">
        <f>IF(N($AL189)&gt;0,INDEX(rLim_ADM,$AL189),"")</f>
        <v/>
      </c>
      <c r="G189" s="59" t="n"/>
      <c r="H189" s="60" t="n"/>
      <c r="I189" s="60" t="n"/>
      <c r="J189" s="60" t="n"/>
      <c r="K189" s="60" t="n"/>
      <c r="L189" s="60" t="n"/>
      <c r="M189" s="61">
        <f>IF(NOT((COUNTA($B189:$D189)+COUNTA($G189:$L189)+COUNTA($Q189))&gt;0),"",IF($V189="Sub",IFERROR($X189/INDEX($W$5:$W$1000,$U189-4),""),IF(ISNUMBER($G189),1,IF(N($W189)&gt;0,AVERAGEIFS($X$5:$X$1000,$U$5:$U$1000,ROW(),$V$5:$V$1000,"Sub"),$X189))))</f>
        <v/>
      </c>
      <c r="N189" s="56">
        <f>IF(OR($M189="",$V189="Sub"),"",IF($M189&gt;=1,"Completado",IF($M189&gt;0,"En curso","Pendiente")))</f>
        <v/>
      </c>
      <c r="O189" s="56">
        <f>IF(OR(NOT((COUNTA($B189:$D189)+COUNTA($G189:$L189)+COUNTA($Q189))&gt;0),$V189="Sub"),"",IF(ISNUMBER($G189),IF(AND(ISNUMBER($AN189),$G189&gt;$AN189),"Cumplida con "&amp;($G189-$AN189)&amp;IF($G189-$AN189=1," día"," días")&amp;" de retraso","Cumplida"),IF(N($M189)&gt;=1,"Cumplida",IF(NOT(ISNUMBER($AN189)),"Sin fecha límite",IF($AN189&lt;FechaRef,"Vencida hace "&amp;(FechaRef-$AN189)&amp;IF(FechaRef-$AN189=1," día"," días"),IF($AN189=FechaRef,"Vence hoy",IF($AN189-FechaRef&lt;=DiasAlerta,"Vence en "&amp;($AN189-FechaRef)&amp;IF($AN189-FechaRef=1," día"," días"),"En plazo")))))))</f>
        <v/>
      </c>
      <c r="P189" s="62" t="n"/>
      <c r="Q189" s="58" t="n"/>
      <c r="R189" s="63">
        <f>IF(NOT((COUNTA($B189:$D189)+COUNTA($G189:$L189)+COUNTA($Q189))&gt;0),"",IF((IF($C189="","Falta el nombre de la actividad"&amp;" · ","")&amp;IF(AND($V189="Sub",N($U189)=0),"Subactividad sin macroactividad arriba"&amp;" · ","")&amp;IF($AM189="","Sin fecha de inicio"&amp;" · ","")&amp;IF($AN189="","Sin fecha límite"&amp;" · ","")&amp;IF(AND(LEFT($C189,11)="[Jefatura] ",N($AL189)=0),"No se encuentra en la hoja de la jefatura (elíjala de nuevo en la lista)"&amp;" · ","")&amp;IF(OR(AND($E189&lt;&gt;"",NOT(ISNUMBER($E189))),AND($F189&lt;&gt;"",NOT(ISNUMBER($F189))),AND($G189&lt;&gt;"",NOT(ISNUMBER($G189)))),"Fecha no válida"&amp;" · ","")&amp;IF(AND(ISNUMBER($AM189),ISNUMBER($AN189),$AM189&gt;$AN189),"Inicio posterior a fecha límite"&amp;" · ","")&amp;IF(AND($V189="Macro",$H189&lt;&gt;"",OR(NOT(ISNUMBER($H189)),$H189&lt;0,$H189&gt;1)),"Peso fuera de rango"&amp;" · ","")&amp;IF(AND($V189="Sub",$H189&lt;&gt;""),"Las subactividades no llevan peso (valen igual dentro de su macroactividad)"&amp;" · ","")&amp;IF(AND(N($W189)&gt;0,COUNT($I189:$L189)&gt;0),"Con subactividades: deje vacías las semanas (se calculan solas)"&amp;" · ","")&amp;IF((COUNTIF($I189:$L189,"&gt;1")+COUNTIF($I189:$L189,"&lt;0")+COUNTA($I189:$L189)-COUNT($I189:$L189))&gt;0,"Avance fuera de rango 0-100%"&amp;" · ","")&amp;IF(OR(AND($J189&lt;&gt;"",$J189&lt;$I189),AND($K189&lt;&gt;"",$K189&lt;MAX($I189:$J189)),AND($L189&lt;&gt;"",$L189&lt;MAX($I189:$K189))),"Avance semanal decreciente"&amp;" · ","")&amp;IF(AND(ISNUMBER($AN189),$AN189&lt;FechaRef,IF($V189="Sub",N($X189),N($M189))&lt;1),"Vencida"&amp;" · ","")&amp;IF(AND(ObsObligatoria="Sí",ISNUMBER($AN189),$AN189&lt;FechaRef,IF($V189="Sub",N($X189),N($M189))&lt;1,$Q189=""),"Vencida sin observación"&amp;" · ",""))="","✔ OK","⚠ "&amp;LEFT(IF($C189="","Falta el nombre de la actividad"&amp;" · ","")&amp;IF(AND($V189="Sub",N($U189)=0),"Subactividad sin macroactividad arriba"&amp;" · ","")&amp;IF($AM189="","Sin fecha de inicio"&amp;" · ","")&amp;IF($AN189="","Sin fecha límite"&amp;" · ","")&amp;IF(AND(LEFT($C189,11)="[Jefatura] ",N($AL189)=0),"No se encuentra en la hoja de la jefatura (elíjala de nuevo en la lista)"&amp;" · ","")&amp;IF(OR(AND($E189&lt;&gt;"",NOT(ISNUMBER($E189))),AND($F189&lt;&gt;"",NOT(ISNUMBER($F189))),AND($G189&lt;&gt;"",NOT(ISNUMBER($G189)))),"Fecha no válida"&amp;" · ","")&amp;IF(AND(ISNUMBER($AM189),ISNUMBER($AN189),$AM189&gt;$AN189),"Inicio posterior a fecha límite"&amp;" · ","")&amp;IF(AND($V189="Macro",$H189&lt;&gt;"",OR(NOT(ISNUMBER($H189)),$H189&lt;0,$H189&gt;1)),"Peso fuera de rango"&amp;" · ","")&amp;IF(AND($V189="Sub",$H189&lt;&gt;""),"Las subactividades no llevan peso (valen igual dentro de su macroactividad)"&amp;" · ","")&amp;IF(AND(N($W189)&gt;0,COUNT($I189:$L189)&gt;0),"Con subactividades: deje vacías las semanas (se calculan solas)"&amp;" · ","")&amp;IF((COUNTIF($I189:$L189,"&gt;1")+COUNTIF($I189:$L189,"&lt;0")+COUNTA($I189:$L189)-COUNT($I189:$L189))&gt;0,"Avance fuera de rango 0-100%"&amp;" · ","")&amp;IF(OR(AND($J189&lt;&gt;"",$J189&lt;$I189),AND($K189&lt;&gt;"",$K189&lt;MAX($I189:$J189)),AND($L189&lt;&gt;"",$L189&lt;MAX($I189:$K189))),"Avance semanal decreciente"&amp;" · ","")&amp;IF(AND(ISNUMBER($AN189),$AN189&lt;FechaRef,IF($V189="Sub",N($X189),N($M189))&lt;1),"Vencida"&amp;" · ","")&amp;IF(AND(ObsObligatoria="Sí",ISNUMBER($AN189),$AN189&lt;FechaRef,IF($V189="Sub",N($X189),N($M189))&lt;1,$Q189=""),"Vencida sin observación"&amp;" · ",""),LEN(IF($C189="","Falta el nombre de la actividad"&amp;" · ","")&amp;IF(AND($V189="Sub",N($U189)=0),"Subactividad sin macroactividad arriba"&amp;" · ","")&amp;IF($AM189="","Sin fecha de inicio"&amp;" · ","")&amp;IF($AN189="","Sin fecha límite"&amp;" · ","")&amp;IF(AND(LEFT($C189,11)="[Jefatura] ",N($AL189)=0),"No se encuentra en la hoja de la jefatura (elíjala de nuevo en la lista)"&amp;" · ","")&amp;IF(OR(AND($E189&lt;&gt;"",NOT(ISNUMBER($E189))),AND($F189&lt;&gt;"",NOT(ISNUMBER($F189))),AND($G189&lt;&gt;"",NOT(ISNUMBER($G189)))),"Fecha no válida"&amp;" · ","")&amp;IF(AND(ISNUMBER($AM189),ISNUMBER($AN189),$AM189&gt;$AN189),"Inicio posterior a fecha límite"&amp;" · ","")&amp;IF(AND($V189="Macro",$H189&lt;&gt;"",OR(NOT(ISNUMBER($H189)),$H189&lt;0,$H189&gt;1)),"Peso fuera de rango"&amp;" · ","")&amp;IF(AND($V189="Sub",$H189&lt;&gt;""),"Las subactividades no llevan peso (valen igual dentro de su macroactividad)"&amp;" · ","")&amp;IF(AND(N($W189)&gt;0,COUNT($I189:$L189)&gt;0),"Con subactividades: deje vacías las semanas (se calculan solas)"&amp;" · ","")&amp;IF((COUNTIF($I189:$L189,"&gt;1")+COUNTIF($I189:$L189,"&lt;0")+COUNTA($I189:$L189)-COUNT($I189:$L189))&gt;0,"Avance fuera de rango 0-100%"&amp;" · ","")&amp;IF(OR(AND($J189&lt;&gt;"",$J189&lt;$I189),AND($K189&lt;&gt;"",$K189&lt;MAX($I189:$J189)),AND($L189&lt;&gt;"",$L189&lt;MAX($I189:$K189))),"Avance semanal decreciente"&amp;" · ","")&amp;IF(AND(ISNUMBER($AN189),$AN189&lt;FechaRef,IF($V189="Sub",N($X189),N($M189))&lt;1),"Vencida"&amp;" · ","")&amp;IF(AND(ObsObligatoria="Sí",ISNUMBER($AN189),$AN189&lt;FechaRef,IF($V189="Sub",N($X189),N($M189))&lt;1,$Q189=""),"Vencida sin observación"&amp;" · ",""))-3)))</f>
        <v/>
      </c>
      <c r="S189" s="64">
        <f>IF(NOT((COUNTA($B189:$D189)+COUNTA($G189:$L189)+COUNTA($Q189))&gt;0),"",IF(AND($V189="Sub",N($U189)&gt;0),IF(ISNUMBER(INDEX($AM$5:$AM$1000,$U189-4)),DATE(YEAR(INDEX($AM$5:$AM$1000,$U189-4)),MONTH(INDEX($AM$5:$AM$1000,$U189-4)),1),IF(ISNUMBER(INDEX($AN$5:$AN$1000,$U189-4)),DATE(YEAR(INDEX($AN$5:$AN$1000,$U189-4)),MONTH(INDEX($AN$5:$AN$1000,$U189-4)),1),MesCiclo)),IF(ISNUMBER($AM189),DATE(YEAR($AM189),MONTH($AM189),1),IF(ISNUMBER($AN189),DATE(YEAR($AN189),MONTH($AN189),1),MesCiclo))))</f>
        <v/>
      </c>
      <c r="T189" s="62">
        <f>IF(OR($S189="",$S189&lt;&gt;MesCiclo,$V189&lt;&gt;"Macro"),"",COUNTIFS($S$5:$S189,MesCiclo,$V$5:$V189,"Macro"))</f>
        <v/>
      </c>
      <c r="U189" s="62">
        <f>IF($V189="","",IF($V189="Macro",ROW(),IFERROR(LOOKUP(2,1/($V$5:$V189="Macro"),ROW($V$5:$V189)),0)))</f>
        <v/>
      </c>
      <c r="V189" s="62">
        <f>IF(NOT((COUNTA($B189:$D189)+COUNTA($G189:$L189)+COUNTA($Q189))&gt;0),"",IF($B189="Subactividad","Sub","Macro"))</f>
        <v/>
      </c>
      <c r="W189" s="62">
        <f>IF($V189="Macro",COUNTIFS($U$5:$U$1000,ROW(),$V$5:$V$1000,"Sub"),"")</f>
        <v/>
      </c>
      <c r="X189" s="62">
        <f>IF($V189="","",IF(ISNUMBER($G189),1,IFERROR(LOOKUP(2,1/($I189:$L189&lt;&gt;""),$I189:$L189),0)))</f>
        <v/>
      </c>
      <c r="Y189" s="62">
        <f>IF($V189="","",IF(AND(ISNUMBER($G189),$G189&lt;=IF($S189=MesCiclo,InicioCiclo,$S189+MOD(2-WEEKDAY($S189),7))+6),1,IF(ISNUMBER($I189),$I189,0)))</f>
        <v/>
      </c>
      <c r="Z189" s="62">
        <f>IF($V189="","",IF(AND(ISNUMBER($G189),$G189&lt;=IF($S189=MesCiclo,InicioCiclo,$S189+MOD(2-WEEKDAY($S189),7))+13),1,IF(ISNUMBER($J189),$J189,$Y189)))</f>
        <v/>
      </c>
      <c r="AA189" s="62">
        <f>IF($V189="","",IF(AND(ISNUMBER($G189),$G189&lt;=IF($S189=MesCiclo,InicioCiclo,$S189+MOD(2-WEEKDAY($S189),7))+20),1,IF(ISNUMBER($K189),$K189,$Z189)))</f>
        <v/>
      </c>
      <c r="AB189" s="62">
        <f>IF($V189="","",IF(AND(ISNUMBER($G189),$G189&lt;=IF($S189=MesCiclo,InicioCiclo,$S189+MOD(2-WEEKDAY($S189),7))+27),1,IF(ISNUMBER($L189),$L189,$AA189)))</f>
        <v/>
      </c>
      <c r="AC189" s="62">
        <f>IF($V189="","",IF(AND(ISNUMBER($G189),$G189&lt;=IF($S189=MesCiclo,InicioCiclo,$S189+MOD(2-WEEKDAY($S189),7))+6),1,IF(N($W189)&gt;0,AVERAGEIFS($Y$5:$Y$1000,$U$5:$U$1000,ROW(),$V$5:$V$1000,"Sub"),$Y189)))</f>
        <v/>
      </c>
      <c r="AD189" s="62">
        <f>IF($V189="","",IF(AND(ISNUMBER($G189),$G189&lt;=IF($S189=MesCiclo,InicioCiclo,$S189+MOD(2-WEEKDAY($S189),7))+13),1,IF(N($W189)&gt;0,AVERAGEIFS($Z$5:$Z$1000,$U$5:$U$1000,ROW(),$V$5:$V$1000,"Sub"),$Z189)))</f>
        <v/>
      </c>
      <c r="AE189" s="62">
        <f>IF($V189="","",IF(AND(ISNUMBER($G189),$G189&lt;=IF($S189=MesCiclo,InicioCiclo,$S189+MOD(2-WEEKDAY($S189),7))+20),1,IF(N($W189)&gt;0,AVERAGEIFS($AA$5:$AA$1000,$U$5:$U$1000,ROW(),$V$5:$V$1000,"Sub"),$AA189)))</f>
        <v/>
      </c>
      <c r="AF189" s="62">
        <f>IF($V189="","",IF(AND(ISNUMBER($G189),$G189&lt;=IF($S189=MesCiclo,InicioCiclo,$S189+MOD(2-WEEKDAY($S189),7))+27),1,IF(N($W189)&gt;0,AVERAGEIFS($AB$5:$AB$1000,$U$5:$U$1000,ROW(),$V$5:$V$1000,"Sub"),$AB189)))</f>
        <v/>
      </c>
      <c r="AG189" s="62">
        <f>IF($V189&lt;&gt;"Macro","",IF(COUNTIFS($S$5:$S$1000,$S189,$V$5:$V$1000,"Macro",$H$5:$H$1000,"&gt;0")=0,1/COUNTIFS($S$5:$S$1000,$S189,$V$5:$V$1000,"Macro"),IF(AND(ISNUMBER($H189),N($H189)&gt;0),$H189,SUMIFS($H$5:$H$1000,$S$5:$S$1000,$S189,$V$5:$V$1000,"Macro")/COUNTIFS($S$5:$S$1000,$S189,$V$5:$V$1000,"Macro",$H$5:$H$1000,"&gt;0"))/(COUNTIFS($S$5:$S$1000,$S189,$V$5:$V$1000,"Macro")*SUMIFS($H$5:$H$1000,$S$5:$S$1000,$S189,$V$5:$V$1000,"Macro")/COUNTIFS($S$5:$S$1000,$S189,$V$5:$V$1000,"Macro",$H$5:$H$1000,"&gt;0"))))</f>
        <v/>
      </c>
      <c r="AH189" s="62" t="n"/>
      <c r="AI189" s="62" t="n"/>
      <c r="AJ189" s="62" t="n"/>
      <c r="AK189" s="62" t="n"/>
      <c r="AL189" s="62">
        <f>IF(LEFT($C189,11)="[Jefatura] ",IFERROR(MATCH("Asistente Técnico de Riesgo|"&amp;MID($C189,12,500),rDname_ADM,0),0),"")</f>
        <v/>
      </c>
      <c r="AM189" s="62">
        <f>IF(N($AL189)&gt;0,INDEX(rIni_ADM,$AL189),IF(ISNUMBER($E189),$E189,""))</f>
        <v/>
      </c>
      <c r="AN189" s="62">
        <f>IF(N($AL189)&gt;0,INDEX(rLim_ADM,$AL189),IF(ISNUMBER($F189),$F189,""))</f>
        <v/>
      </c>
    </row>
    <row r="190">
      <c r="A190" s="56">
        <f>IF(NOT((COUNTA($B190:$D190)+COUNTA($G190:$L190)+COUNTA($Q190))&gt;0),"",IF($V190="Macro",COUNTIFS($V$5:$V190,"Macro",$S$5:$S190,$S190),IF(N($U190)=0,"?",COUNTIFS(INDEX($V$5:$V$1000,1):INDEX($V$5:$V$1000,$U190-4),"Macro",INDEX($S$5:$S$1000,1):INDEX($S$5:$S$1000,$U190-4),INDEX($S$5:$S$1000,$U190-4))&amp;"."&amp;COUNTIFS($U$5:$U190,$U190,$V$5:$V190,"Sub"))))</f>
        <v/>
      </c>
      <c r="B190" s="57" t="n"/>
      <c r="C190" s="58" t="n"/>
      <c r="D190" s="58" t="n"/>
      <c r="E190" s="59">
        <f>IF(N($AL190)&gt;0,INDEX(rIni_ADM,$AL190),"")</f>
        <v/>
      </c>
      <c r="F190" s="59">
        <f>IF(N($AL190)&gt;0,INDEX(rLim_ADM,$AL190),"")</f>
        <v/>
      </c>
      <c r="G190" s="59" t="n"/>
      <c r="H190" s="60" t="n"/>
      <c r="I190" s="60" t="n"/>
      <c r="J190" s="60" t="n"/>
      <c r="K190" s="60" t="n"/>
      <c r="L190" s="60" t="n"/>
      <c r="M190" s="61">
        <f>IF(NOT((COUNTA($B190:$D190)+COUNTA($G190:$L190)+COUNTA($Q190))&gt;0),"",IF($V190="Sub",IFERROR($X190/INDEX($W$5:$W$1000,$U190-4),""),IF(ISNUMBER($G190),1,IF(N($W190)&gt;0,AVERAGEIFS($X$5:$X$1000,$U$5:$U$1000,ROW(),$V$5:$V$1000,"Sub"),$X190))))</f>
        <v/>
      </c>
      <c r="N190" s="56">
        <f>IF(OR($M190="",$V190="Sub"),"",IF($M190&gt;=1,"Completado",IF($M190&gt;0,"En curso","Pendiente")))</f>
        <v/>
      </c>
      <c r="O190" s="56">
        <f>IF(OR(NOT((COUNTA($B190:$D190)+COUNTA($G190:$L190)+COUNTA($Q190))&gt;0),$V190="Sub"),"",IF(ISNUMBER($G190),IF(AND(ISNUMBER($AN190),$G190&gt;$AN190),"Cumplida con "&amp;($G190-$AN190)&amp;IF($G190-$AN190=1," día"," días")&amp;" de retraso","Cumplida"),IF(N($M190)&gt;=1,"Cumplida",IF(NOT(ISNUMBER($AN190)),"Sin fecha límite",IF($AN190&lt;FechaRef,"Vencida hace "&amp;(FechaRef-$AN190)&amp;IF(FechaRef-$AN190=1," día"," días"),IF($AN190=FechaRef,"Vence hoy",IF($AN190-FechaRef&lt;=DiasAlerta,"Vence en "&amp;($AN190-FechaRef)&amp;IF($AN190-FechaRef=1," día"," días"),"En plazo")))))))</f>
        <v/>
      </c>
      <c r="P190" s="62" t="n"/>
      <c r="Q190" s="58" t="n"/>
      <c r="R190" s="63">
        <f>IF(NOT((COUNTA($B190:$D190)+COUNTA($G190:$L190)+COUNTA($Q190))&gt;0),"",IF((IF($C190="","Falta el nombre de la actividad"&amp;" · ","")&amp;IF(AND($V190="Sub",N($U190)=0),"Subactividad sin macroactividad arriba"&amp;" · ","")&amp;IF($AM190="","Sin fecha de inicio"&amp;" · ","")&amp;IF($AN190="","Sin fecha límite"&amp;" · ","")&amp;IF(AND(LEFT($C190,11)="[Jefatura] ",N($AL190)=0),"No se encuentra en la hoja de la jefatura (elíjala de nuevo en la lista)"&amp;" · ","")&amp;IF(OR(AND($E190&lt;&gt;"",NOT(ISNUMBER($E190))),AND($F190&lt;&gt;"",NOT(ISNUMBER($F190))),AND($G190&lt;&gt;"",NOT(ISNUMBER($G190)))),"Fecha no válida"&amp;" · ","")&amp;IF(AND(ISNUMBER($AM190),ISNUMBER($AN190),$AM190&gt;$AN190),"Inicio posterior a fecha límite"&amp;" · ","")&amp;IF(AND($V190="Macro",$H190&lt;&gt;"",OR(NOT(ISNUMBER($H190)),$H190&lt;0,$H190&gt;1)),"Peso fuera de rango"&amp;" · ","")&amp;IF(AND($V190="Sub",$H190&lt;&gt;""),"Las subactividades no llevan peso (valen igual dentro de su macroactividad)"&amp;" · ","")&amp;IF(AND(N($W190)&gt;0,COUNT($I190:$L190)&gt;0),"Con subactividades: deje vacías las semanas (se calculan solas)"&amp;" · ","")&amp;IF((COUNTIF($I190:$L190,"&gt;1")+COUNTIF($I190:$L190,"&lt;0")+COUNTA($I190:$L190)-COUNT($I190:$L190))&gt;0,"Avance fuera de rango 0-100%"&amp;" · ","")&amp;IF(OR(AND($J190&lt;&gt;"",$J190&lt;$I190),AND($K190&lt;&gt;"",$K190&lt;MAX($I190:$J190)),AND($L190&lt;&gt;"",$L190&lt;MAX($I190:$K190))),"Avance semanal decreciente"&amp;" · ","")&amp;IF(AND(ISNUMBER($AN190),$AN190&lt;FechaRef,IF($V190="Sub",N($X190),N($M190))&lt;1),"Vencida"&amp;" · ","")&amp;IF(AND(ObsObligatoria="Sí",ISNUMBER($AN190),$AN190&lt;FechaRef,IF($V190="Sub",N($X190),N($M190))&lt;1,$Q190=""),"Vencida sin observación"&amp;" · ",""))="","✔ OK","⚠ "&amp;LEFT(IF($C190="","Falta el nombre de la actividad"&amp;" · ","")&amp;IF(AND($V190="Sub",N($U190)=0),"Subactividad sin macroactividad arriba"&amp;" · ","")&amp;IF($AM190="","Sin fecha de inicio"&amp;" · ","")&amp;IF($AN190="","Sin fecha límite"&amp;" · ","")&amp;IF(AND(LEFT($C190,11)="[Jefatura] ",N($AL190)=0),"No se encuentra en la hoja de la jefatura (elíjala de nuevo en la lista)"&amp;" · ","")&amp;IF(OR(AND($E190&lt;&gt;"",NOT(ISNUMBER($E190))),AND($F190&lt;&gt;"",NOT(ISNUMBER($F190))),AND($G190&lt;&gt;"",NOT(ISNUMBER($G190)))),"Fecha no válida"&amp;" · ","")&amp;IF(AND(ISNUMBER($AM190),ISNUMBER($AN190),$AM190&gt;$AN190),"Inicio posterior a fecha límite"&amp;" · ","")&amp;IF(AND($V190="Macro",$H190&lt;&gt;"",OR(NOT(ISNUMBER($H190)),$H190&lt;0,$H190&gt;1)),"Peso fuera de rango"&amp;" · ","")&amp;IF(AND($V190="Sub",$H190&lt;&gt;""),"Las subactividades no llevan peso (valen igual dentro de su macroactividad)"&amp;" · ","")&amp;IF(AND(N($W190)&gt;0,COUNT($I190:$L190)&gt;0),"Con subactividades: deje vacías las semanas (se calculan solas)"&amp;" · ","")&amp;IF((COUNTIF($I190:$L190,"&gt;1")+COUNTIF($I190:$L190,"&lt;0")+COUNTA($I190:$L190)-COUNT($I190:$L190))&gt;0,"Avance fuera de rango 0-100%"&amp;" · ","")&amp;IF(OR(AND($J190&lt;&gt;"",$J190&lt;$I190),AND($K190&lt;&gt;"",$K190&lt;MAX($I190:$J190)),AND($L190&lt;&gt;"",$L190&lt;MAX($I190:$K190))),"Avance semanal decreciente"&amp;" · ","")&amp;IF(AND(ISNUMBER($AN190),$AN190&lt;FechaRef,IF($V190="Sub",N($X190),N($M190))&lt;1),"Vencida"&amp;" · ","")&amp;IF(AND(ObsObligatoria="Sí",ISNUMBER($AN190),$AN190&lt;FechaRef,IF($V190="Sub",N($X190),N($M190))&lt;1,$Q190=""),"Vencida sin observación"&amp;" · ",""),LEN(IF($C190="","Falta el nombre de la actividad"&amp;" · ","")&amp;IF(AND($V190="Sub",N($U190)=0),"Subactividad sin macroactividad arriba"&amp;" · ","")&amp;IF($AM190="","Sin fecha de inicio"&amp;" · ","")&amp;IF($AN190="","Sin fecha límite"&amp;" · ","")&amp;IF(AND(LEFT($C190,11)="[Jefatura] ",N($AL190)=0),"No se encuentra en la hoja de la jefatura (elíjala de nuevo en la lista)"&amp;" · ","")&amp;IF(OR(AND($E190&lt;&gt;"",NOT(ISNUMBER($E190))),AND($F190&lt;&gt;"",NOT(ISNUMBER($F190))),AND($G190&lt;&gt;"",NOT(ISNUMBER($G190)))),"Fecha no válida"&amp;" · ","")&amp;IF(AND(ISNUMBER($AM190),ISNUMBER($AN190),$AM190&gt;$AN190),"Inicio posterior a fecha límite"&amp;" · ","")&amp;IF(AND($V190="Macro",$H190&lt;&gt;"",OR(NOT(ISNUMBER($H190)),$H190&lt;0,$H190&gt;1)),"Peso fuera de rango"&amp;" · ","")&amp;IF(AND($V190="Sub",$H190&lt;&gt;""),"Las subactividades no llevan peso (valen igual dentro de su macroactividad)"&amp;" · ","")&amp;IF(AND(N($W190)&gt;0,COUNT($I190:$L190)&gt;0),"Con subactividades: deje vacías las semanas (se calculan solas)"&amp;" · ","")&amp;IF((COUNTIF($I190:$L190,"&gt;1")+COUNTIF($I190:$L190,"&lt;0")+COUNTA($I190:$L190)-COUNT($I190:$L190))&gt;0,"Avance fuera de rango 0-100%"&amp;" · ","")&amp;IF(OR(AND($J190&lt;&gt;"",$J190&lt;$I190),AND($K190&lt;&gt;"",$K190&lt;MAX($I190:$J190)),AND($L190&lt;&gt;"",$L190&lt;MAX($I190:$K190))),"Avance semanal decreciente"&amp;" · ","")&amp;IF(AND(ISNUMBER($AN190),$AN190&lt;FechaRef,IF($V190="Sub",N($X190),N($M190))&lt;1),"Vencida"&amp;" · ","")&amp;IF(AND(ObsObligatoria="Sí",ISNUMBER($AN190),$AN190&lt;FechaRef,IF($V190="Sub",N($X190),N($M190))&lt;1,$Q190=""),"Vencida sin observación"&amp;" · ",""))-3)))</f>
        <v/>
      </c>
      <c r="S190" s="64">
        <f>IF(NOT((COUNTA($B190:$D190)+COUNTA($G190:$L190)+COUNTA($Q190))&gt;0),"",IF(AND($V190="Sub",N($U190)&gt;0),IF(ISNUMBER(INDEX($AM$5:$AM$1000,$U190-4)),DATE(YEAR(INDEX($AM$5:$AM$1000,$U190-4)),MONTH(INDEX($AM$5:$AM$1000,$U190-4)),1),IF(ISNUMBER(INDEX($AN$5:$AN$1000,$U190-4)),DATE(YEAR(INDEX($AN$5:$AN$1000,$U190-4)),MONTH(INDEX($AN$5:$AN$1000,$U190-4)),1),MesCiclo)),IF(ISNUMBER($AM190),DATE(YEAR($AM190),MONTH($AM190),1),IF(ISNUMBER($AN190),DATE(YEAR($AN190),MONTH($AN190),1),MesCiclo))))</f>
        <v/>
      </c>
      <c r="T190" s="62">
        <f>IF(OR($S190="",$S190&lt;&gt;MesCiclo,$V190&lt;&gt;"Macro"),"",COUNTIFS($S$5:$S190,MesCiclo,$V$5:$V190,"Macro"))</f>
        <v/>
      </c>
      <c r="U190" s="62">
        <f>IF($V190="","",IF($V190="Macro",ROW(),IFERROR(LOOKUP(2,1/($V$5:$V190="Macro"),ROW($V$5:$V190)),0)))</f>
        <v/>
      </c>
      <c r="V190" s="62">
        <f>IF(NOT((COUNTA($B190:$D190)+COUNTA($G190:$L190)+COUNTA($Q190))&gt;0),"",IF($B190="Subactividad","Sub","Macro"))</f>
        <v/>
      </c>
      <c r="W190" s="62">
        <f>IF($V190="Macro",COUNTIFS($U$5:$U$1000,ROW(),$V$5:$V$1000,"Sub"),"")</f>
        <v/>
      </c>
      <c r="X190" s="62">
        <f>IF($V190="","",IF(ISNUMBER($G190),1,IFERROR(LOOKUP(2,1/($I190:$L190&lt;&gt;""),$I190:$L190),0)))</f>
        <v/>
      </c>
      <c r="Y190" s="62">
        <f>IF($V190="","",IF(AND(ISNUMBER($G190),$G190&lt;=IF($S190=MesCiclo,InicioCiclo,$S190+MOD(2-WEEKDAY($S190),7))+6),1,IF(ISNUMBER($I190),$I190,0)))</f>
        <v/>
      </c>
      <c r="Z190" s="62">
        <f>IF($V190="","",IF(AND(ISNUMBER($G190),$G190&lt;=IF($S190=MesCiclo,InicioCiclo,$S190+MOD(2-WEEKDAY($S190),7))+13),1,IF(ISNUMBER($J190),$J190,$Y190)))</f>
        <v/>
      </c>
      <c r="AA190" s="62">
        <f>IF($V190="","",IF(AND(ISNUMBER($G190),$G190&lt;=IF($S190=MesCiclo,InicioCiclo,$S190+MOD(2-WEEKDAY($S190),7))+20),1,IF(ISNUMBER($K190),$K190,$Z190)))</f>
        <v/>
      </c>
      <c r="AB190" s="62">
        <f>IF($V190="","",IF(AND(ISNUMBER($G190),$G190&lt;=IF($S190=MesCiclo,InicioCiclo,$S190+MOD(2-WEEKDAY($S190),7))+27),1,IF(ISNUMBER($L190),$L190,$AA190)))</f>
        <v/>
      </c>
      <c r="AC190" s="62">
        <f>IF($V190="","",IF(AND(ISNUMBER($G190),$G190&lt;=IF($S190=MesCiclo,InicioCiclo,$S190+MOD(2-WEEKDAY($S190),7))+6),1,IF(N($W190)&gt;0,AVERAGEIFS($Y$5:$Y$1000,$U$5:$U$1000,ROW(),$V$5:$V$1000,"Sub"),$Y190)))</f>
        <v/>
      </c>
      <c r="AD190" s="62">
        <f>IF($V190="","",IF(AND(ISNUMBER($G190),$G190&lt;=IF($S190=MesCiclo,InicioCiclo,$S190+MOD(2-WEEKDAY($S190),7))+13),1,IF(N($W190)&gt;0,AVERAGEIFS($Z$5:$Z$1000,$U$5:$U$1000,ROW(),$V$5:$V$1000,"Sub"),$Z190)))</f>
        <v/>
      </c>
      <c r="AE190" s="62">
        <f>IF($V190="","",IF(AND(ISNUMBER($G190),$G190&lt;=IF($S190=MesCiclo,InicioCiclo,$S190+MOD(2-WEEKDAY($S190),7))+20),1,IF(N($W190)&gt;0,AVERAGEIFS($AA$5:$AA$1000,$U$5:$U$1000,ROW(),$V$5:$V$1000,"Sub"),$AA190)))</f>
        <v/>
      </c>
      <c r="AF190" s="62">
        <f>IF($V190="","",IF(AND(ISNUMBER($G190),$G190&lt;=IF($S190=MesCiclo,InicioCiclo,$S190+MOD(2-WEEKDAY($S190),7))+27),1,IF(N($W190)&gt;0,AVERAGEIFS($AB$5:$AB$1000,$U$5:$U$1000,ROW(),$V$5:$V$1000,"Sub"),$AB190)))</f>
        <v/>
      </c>
      <c r="AG190" s="62">
        <f>IF($V190&lt;&gt;"Macro","",IF(COUNTIFS($S$5:$S$1000,$S190,$V$5:$V$1000,"Macro",$H$5:$H$1000,"&gt;0")=0,1/COUNTIFS($S$5:$S$1000,$S190,$V$5:$V$1000,"Macro"),IF(AND(ISNUMBER($H190),N($H190)&gt;0),$H190,SUMIFS($H$5:$H$1000,$S$5:$S$1000,$S190,$V$5:$V$1000,"Macro")/COUNTIFS($S$5:$S$1000,$S190,$V$5:$V$1000,"Macro",$H$5:$H$1000,"&gt;0"))/(COUNTIFS($S$5:$S$1000,$S190,$V$5:$V$1000,"Macro")*SUMIFS($H$5:$H$1000,$S$5:$S$1000,$S190,$V$5:$V$1000,"Macro")/COUNTIFS($S$5:$S$1000,$S190,$V$5:$V$1000,"Macro",$H$5:$H$1000,"&gt;0"))))</f>
        <v/>
      </c>
      <c r="AH190" s="62" t="n"/>
      <c r="AI190" s="62" t="n"/>
      <c r="AJ190" s="62" t="n"/>
      <c r="AK190" s="62" t="n"/>
      <c r="AL190" s="62">
        <f>IF(LEFT($C190,11)="[Jefatura] ",IFERROR(MATCH("Asistente Técnico de Riesgo|"&amp;MID($C190,12,500),rDname_ADM,0),0),"")</f>
        <v/>
      </c>
      <c r="AM190" s="62">
        <f>IF(N($AL190)&gt;0,INDEX(rIni_ADM,$AL190),IF(ISNUMBER($E190),$E190,""))</f>
        <v/>
      </c>
      <c r="AN190" s="62">
        <f>IF(N($AL190)&gt;0,INDEX(rLim_ADM,$AL190),IF(ISNUMBER($F190),$F190,""))</f>
        <v/>
      </c>
    </row>
    <row r="191">
      <c r="A191" s="56">
        <f>IF(NOT((COUNTA($B191:$D191)+COUNTA($G191:$L191)+COUNTA($Q191))&gt;0),"",IF($V191="Macro",COUNTIFS($V$5:$V191,"Macro",$S$5:$S191,$S191),IF(N($U191)=0,"?",COUNTIFS(INDEX($V$5:$V$1000,1):INDEX($V$5:$V$1000,$U191-4),"Macro",INDEX($S$5:$S$1000,1):INDEX($S$5:$S$1000,$U191-4),INDEX($S$5:$S$1000,$U191-4))&amp;"."&amp;COUNTIFS($U$5:$U191,$U191,$V$5:$V191,"Sub"))))</f>
        <v/>
      </c>
      <c r="B191" s="57" t="n"/>
      <c r="C191" s="58" t="n"/>
      <c r="D191" s="58" t="n"/>
      <c r="E191" s="59">
        <f>IF(N($AL191)&gt;0,INDEX(rIni_ADM,$AL191),"")</f>
        <v/>
      </c>
      <c r="F191" s="59">
        <f>IF(N($AL191)&gt;0,INDEX(rLim_ADM,$AL191),"")</f>
        <v/>
      </c>
      <c r="G191" s="59" t="n"/>
      <c r="H191" s="60" t="n"/>
      <c r="I191" s="60" t="n"/>
      <c r="J191" s="60" t="n"/>
      <c r="K191" s="60" t="n"/>
      <c r="L191" s="60" t="n"/>
      <c r="M191" s="61">
        <f>IF(NOT((COUNTA($B191:$D191)+COUNTA($G191:$L191)+COUNTA($Q191))&gt;0),"",IF($V191="Sub",IFERROR($X191/INDEX($W$5:$W$1000,$U191-4),""),IF(ISNUMBER($G191),1,IF(N($W191)&gt;0,AVERAGEIFS($X$5:$X$1000,$U$5:$U$1000,ROW(),$V$5:$V$1000,"Sub"),$X191))))</f>
        <v/>
      </c>
      <c r="N191" s="56">
        <f>IF(OR($M191="",$V191="Sub"),"",IF($M191&gt;=1,"Completado",IF($M191&gt;0,"En curso","Pendiente")))</f>
        <v/>
      </c>
      <c r="O191" s="56">
        <f>IF(OR(NOT((COUNTA($B191:$D191)+COUNTA($G191:$L191)+COUNTA($Q191))&gt;0),$V191="Sub"),"",IF(ISNUMBER($G191),IF(AND(ISNUMBER($AN191),$G191&gt;$AN191),"Cumplida con "&amp;($G191-$AN191)&amp;IF($G191-$AN191=1," día"," días")&amp;" de retraso","Cumplida"),IF(N($M191)&gt;=1,"Cumplida",IF(NOT(ISNUMBER($AN191)),"Sin fecha límite",IF($AN191&lt;FechaRef,"Vencida hace "&amp;(FechaRef-$AN191)&amp;IF(FechaRef-$AN191=1," día"," días"),IF($AN191=FechaRef,"Vence hoy",IF($AN191-FechaRef&lt;=DiasAlerta,"Vence en "&amp;($AN191-FechaRef)&amp;IF($AN191-FechaRef=1," día"," días"),"En plazo")))))))</f>
        <v/>
      </c>
      <c r="P191" s="62" t="n"/>
      <c r="Q191" s="58" t="n"/>
      <c r="R191" s="63">
        <f>IF(NOT((COUNTA($B191:$D191)+COUNTA($G191:$L191)+COUNTA($Q191))&gt;0),"",IF((IF($C191="","Falta el nombre de la actividad"&amp;" · ","")&amp;IF(AND($V191="Sub",N($U191)=0),"Subactividad sin macroactividad arriba"&amp;" · ","")&amp;IF($AM191="","Sin fecha de inicio"&amp;" · ","")&amp;IF($AN191="","Sin fecha límite"&amp;" · ","")&amp;IF(AND(LEFT($C191,11)="[Jefatura] ",N($AL191)=0),"No se encuentra en la hoja de la jefatura (elíjala de nuevo en la lista)"&amp;" · ","")&amp;IF(OR(AND($E191&lt;&gt;"",NOT(ISNUMBER($E191))),AND($F191&lt;&gt;"",NOT(ISNUMBER($F191))),AND($G191&lt;&gt;"",NOT(ISNUMBER($G191)))),"Fecha no válida"&amp;" · ","")&amp;IF(AND(ISNUMBER($AM191),ISNUMBER($AN191),$AM191&gt;$AN191),"Inicio posterior a fecha límite"&amp;" · ","")&amp;IF(AND($V191="Macro",$H191&lt;&gt;"",OR(NOT(ISNUMBER($H191)),$H191&lt;0,$H191&gt;1)),"Peso fuera de rango"&amp;" · ","")&amp;IF(AND($V191="Sub",$H191&lt;&gt;""),"Las subactividades no llevan peso (valen igual dentro de su macroactividad)"&amp;" · ","")&amp;IF(AND(N($W191)&gt;0,COUNT($I191:$L191)&gt;0),"Con subactividades: deje vacías las semanas (se calculan solas)"&amp;" · ","")&amp;IF((COUNTIF($I191:$L191,"&gt;1")+COUNTIF($I191:$L191,"&lt;0")+COUNTA($I191:$L191)-COUNT($I191:$L191))&gt;0,"Avance fuera de rango 0-100%"&amp;" · ","")&amp;IF(OR(AND($J191&lt;&gt;"",$J191&lt;$I191),AND($K191&lt;&gt;"",$K191&lt;MAX($I191:$J191)),AND($L191&lt;&gt;"",$L191&lt;MAX($I191:$K191))),"Avance semanal decreciente"&amp;" · ","")&amp;IF(AND(ISNUMBER($AN191),$AN191&lt;FechaRef,IF($V191="Sub",N($X191),N($M191))&lt;1),"Vencida"&amp;" · ","")&amp;IF(AND(ObsObligatoria="Sí",ISNUMBER($AN191),$AN191&lt;FechaRef,IF($V191="Sub",N($X191),N($M191))&lt;1,$Q191=""),"Vencida sin observación"&amp;" · ",""))="","✔ OK","⚠ "&amp;LEFT(IF($C191="","Falta el nombre de la actividad"&amp;" · ","")&amp;IF(AND($V191="Sub",N($U191)=0),"Subactividad sin macroactividad arriba"&amp;" · ","")&amp;IF($AM191="","Sin fecha de inicio"&amp;" · ","")&amp;IF($AN191="","Sin fecha límite"&amp;" · ","")&amp;IF(AND(LEFT($C191,11)="[Jefatura] ",N($AL191)=0),"No se encuentra en la hoja de la jefatura (elíjala de nuevo en la lista)"&amp;" · ","")&amp;IF(OR(AND($E191&lt;&gt;"",NOT(ISNUMBER($E191))),AND($F191&lt;&gt;"",NOT(ISNUMBER($F191))),AND($G191&lt;&gt;"",NOT(ISNUMBER($G191)))),"Fecha no válida"&amp;" · ","")&amp;IF(AND(ISNUMBER($AM191),ISNUMBER($AN191),$AM191&gt;$AN191),"Inicio posterior a fecha límite"&amp;" · ","")&amp;IF(AND($V191="Macro",$H191&lt;&gt;"",OR(NOT(ISNUMBER($H191)),$H191&lt;0,$H191&gt;1)),"Peso fuera de rango"&amp;" · ","")&amp;IF(AND($V191="Sub",$H191&lt;&gt;""),"Las subactividades no llevan peso (valen igual dentro de su macroactividad)"&amp;" · ","")&amp;IF(AND(N($W191)&gt;0,COUNT($I191:$L191)&gt;0),"Con subactividades: deje vacías las semanas (se calculan solas)"&amp;" · ","")&amp;IF((COUNTIF($I191:$L191,"&gt;1")+COUNTIF($I191:$L191,"&lt;0")+COUNTA($I191:$L191)-COUNT($I191:$L191))&gt;0,"Avance fuera de rango 0-100%"&amp;" · ","")&amp;IF(OR(AND($J191&lt;&gt;"",$J191&lt;$I191),AND($K191&lt;&gt;"",$K191&lt;MAX($I191:$J191)),AND($L191&lt;&gt;"",$L191&lt;MAX($I191:$K191))),"Avance semanal decreciente"&amp;" · ","")&amp;IF(AND(ISNUMBER($AN191),$AN191&lt;FechaRef,IF($V191="Sub",N($X191),N($M191))&lt;1),"Vencida"&amp;" · ","")&amp;IF(AND(ObsObligatoria="Sí",ISNUMBER($AN191),$AN191&lt;FechaRef,IF($V191="Sub",N($X191),N($M191))&lt;1,$Q191=""),"Vencida sin observación"&amp;" · ",""),LEN(IF($C191="","Falta el nombre de la actividad"&amp;" · ","")&amp;IF(AND($V191="Sub",N($U191)=0),"Subactividad sin macroactividad arriba"&amp;" · ","")&amp;IF($AM191="","Sin fecha de inicio"&amp;" · ","")&amp;IF($AN191="","Sin fecha límite"&amp;" · ","")&amp;IF(AND(LEFT($C191,11)="[Jefatura] ",N($AL191)=0),"No se encuentra en la hoja de la jefatura (elíjala de nuevo en la lista)"&amp;" · ","")&amp;IF(OR(AND($E191&lt;&gt;"",NOT(ISNUMBER($E191))),AND($F191&lt;&gt;"",NOT(ISNUMBER($F191))),AND($G191&lt;&gt;"",NOT(ISNUMBER($G191)))),"Fecha no válida"&amp;" · ","")&amp;IF(AND(ISNUMBER($AM191),ISNUMBER($AN191),$AM191&gt;$AN191),"Inicio posterior a fecha límite"&amp;" · ","")&amp;IF(AND($V191="Macro",$H191&lt;&gt;"",OR(NOT(ISNUMBER($H191)),$H191&lt;0,$H191&gt;1)),"Peso fuera de rango"&amp;" · ","")&amp;IF(AND($V191="Sub",$H191&lt;&gt;""),"Las subactividades no llevan peso (valen igual dentro de su macroactividad)"&amp;" · ","")&amp;IF(AND(N($W191)&gt;0,COUNT($I191:$L191)&gt;0),"Con subactividades: deje vacías las semanas (se calculan solas)"&amp;" · ","")&amp;IF((COUNTIF($I191:$L191,"&gt;1")+COUNTIF($I191:$L191,"&lt;0")+COUNTA($I191:$L191)-COUNT($I191:$L191))&gt;0,"Avance fuera de rango 0-100%"&amp;" · ","")&amp;IF(OR(AND($J191&lt;&gt;"",$J191&lt;$I191),AND($K191&lt;&gt;"",$K191&lt;MAX($I191:$J191)),AND($L191&lt;&gt;"",$L191&lt;MAX($I191:$K191))),"Avance semanal decreciente"&amp;" · ","")&amp;IF(AND(ISNUMBER($AN191),$AN191&lt;FechaRef,IF($V191="Sub",N($X191),N($M191))&lt;1),"Vencida"&amp;" · ","")&amp;IF(AND(ObsObligatoria="Sí",ISNUMBER($AN191),$AN191&lt;FechaRef,IF($V191="Sub",N($X191),N($M191))&lt;1,$Q191=""),"Vencida sin observación"&amp;" · ",""))-3)))</f>
        <v/>
      </c>
      <c r="S191" s="64">
        <f>IF(NOT((COUNTA($B191:$D191)+COUNTA($G191:$L191)+COUNTA($Q191))&gt;0),"",IF(AND($V191="Sub",N($U191)&gt;0),IF(ISNUMBER(INDEX($AM$5:$AM$1000,$U191-4)),DATE(YEAR(INDEX($AM$5:$AM$1000,$U191-4)),MONTH(INDEX($AM$5:$AM$1000,$U191-4)),1),IF(ISNUMBER(INDEX($AN$5:$AN$1000,$U191-4)),DATE(YEAR(INDEX($AN$5:$AN$1000,$U191-4)),MONTH(INDEX($AN$5:$AN$1000,$U191-4)),1),MesCiclo)),IF(ISNUMBER($AM191),DATE(YEAR($AM191),MONTH($AM191),1),IF(ISNUMBER($AN191),DATE(YEAR($AN191),MONTH($AN191),1),MesCiclo))))</f>
        <v/>
      </c>
      <c r="T191" s="62">
        <f>IF(OR($S191="",$S191&lt;&gt;MesCiclo,$V191&lt;&gt;"Macro"),"",COUNTIFS($S$5:$S191,MesCiclo,$V$5:$V191,"Macro"))</f>
        <v/>
      </c>
      <c r="U191" s="62">
        <f>IF($V191="","",IF($V191="Macro",ROW(),IFERROR(LOOKUP(2,1/($V$5:$V191="Macro"),ROW($V$5:$V191)),0)))</f>
        <v/>
      </c>
      <c r="V191" s="62">
        <f>IF(NOT((COUNTA($B191:$D191)+COUNTA($G191:$L191)+COUNTA($Q191))&gt;0),"",IF($B191="Subactividad","Sub","Macro"))</f>
        <v/>
      </c>
      <c r="W191" s="62">
        <f>IF($V191="Macro",COUNTIFS($U$5:$U$1000,ROW(),$V$5:$V$1000,"Sub"),"")</f>
        <v/>
      </c>
      <c r="X191" s="62">
        <f>IF($V191="","",IF(ISNUMBER($G191),1,IFERROR(LOOKUP(2,1/($I191:$L191&lt;&gt;""),$I191:$L191),0)))</f>
        <v/>
      </c>
      <c r="Y191" s="62">
        <f>IF($V191="","",IF(AND(ISNUMBER($G191),$G191&lt;=IF($S191=MesCiclo,InicioCiclo,$S191+MOD(2-WEEKDAY($S191),7))+6),1,IF(ISNUMBER($I191),$I191,0)))</f>
        <v/>
      </c>
      <c r="Z191" s="62">
        <f>IF($V191="","",IF(AND(ISNUMBER($G191),$G191&lt;=IF($S191=MesCiclo,InicioCiclo,$S191+MOD(2-WEEKDAY($S191),7))+13),1,IF(ISNUMBER($J191),$J191,$Y191)))</f>
        <v/>
      </c>
      <c r="AA191" s="62">
        <f>IF($V191="","",IF(AND(ISNUMBER($G191),$G191&lt;=IF($S191=MesCiclo,InicioCiclo,$S191+MOD(2-WEEKDAY($S191),7))+20),1,IF(ISNUMBER($K191),$K191,$Z191)))</f>
        <v/>
      </c>
      <c r="AB191" s="62">
        <f>IF($V191="","",IF(AND(ISNUMBER($G191),$G191&lt;=IF($S191=MesCiclo,InicioCiclo,$S191+MOD(2-WEEKDAY($S191),7))+27),1,IF(ISNUMBER($L191),$L191,$AA191)))</f>
        <v/>
      </c>
      <c r="AC191" s="62">
        <f>IF($V191="","",IF(AND(ISNUMBER($G191),$G191&lt;=IF($S191=MesCiclo,InicioCiclo,$S191+MOD(2-WEEKDAY($S191),7))+6),1,IF(N($W191)&gt;0,AVERAGEIFS($Y$5:$Y$1000,$U$5:$U$1000,ROW(),$V$5:$V$1000,"Sub"),$Y191)))</f>
        <v/>
      </c>
      <c r="AD191" s="62">
        <f>IF($V191="","",IF(AND(ISNUMBER($G191),$G191&lt;=IF($S191=MesCiclo,InicioCiclo,$S191+MOD(2-WEEKDAY($S191),7))+13),1,IF(N($W191)&gt;0,AVERAGEIFS($Z$5:$Z$1000,$U$5:$U$1000,ROW(),$V$5:$V$1000,"Sub"),$Z191)))</f>
        <v/>
      </c>
      <c r="AE191" s="62">
        <f>IF($V191="","",IF(AND(ISNUMBER($G191),$G191&lt;=IF($S191=MesCiclo,InicioCiclo,$S191+MOD(2-WEEKDAY($S191),7))+20),1,IF(N($W191)&gt;0,AVERAGEIFS($AA$5:$AA$1000,$U$5:$U$1000,ROW(),$V$5:$V$1000,"Sub"),$AA191)))</f>
        <v/>
      </c>
      <c r="AF191" s="62">
        <f>IF($V191="","",IF(AND(ISNUMBER($G191),$G191&lt;=IF($S191=MesCiclo,InicioCiclo,$S191+MOD(2-WEEKDAY($S191),7))+27),1,IF(N($W191)&gt;0,AVERAGEIFS($AB$5:$AB$1000,$U$5:$U$1000,ROW(),$V$5:$V$1000,"Sub"),$AB191)))</f>
        <v/>
      </c>
      <c r="AG191" s="62">
        <f>IF($V191&lt;&gt;"Macro","",IF(COUNTIFS($S$5:$S$1000,$S191,$V$5:$V$1000,"Macro",$H$5:$H$1000,"&gt;0")=0,1/COUNTIFS($S$5:$S$1000,$S191,$V$5:$V$1000,"Macro"),IF(AND(ISNUMBER($H191),N($H191)&gt;0),$H191,SUMIFS($H$5:$H$1000,$S$5:$S$1000,$S191,$V$5:$V$1000,"Macro")/COUNTIFS($S$5:$S$1000,$S191,$V$5:$V$1000,"Macro",$H$5:$H$1000,"&gt;0"))/(COUNTIFS($S$5:$S$1000,$S191,$V$5:$V$1000,"Macro")*SUMIFS($H$5:$H$1000,$S$5:$S$1000,$S191,$V$5:$V$1000,"Macro")/COUNTIFS($S$5:$S$1000,$S191,$V$5:$V$1000,"Macro",$H$5:$H$1000,"&gt;0"))))</f>
        <v/>
      </c>
      <c r="AH191" s="62" t="n"/>
      <c r="AI191" s="62" t="n"/>
      <c r="AJ191" s="62" t="n"/>
      <c r="AK191" s="62" t="n"/>
      <c r="AL191" s="62">
        <f>IF(LEFT($C191,11)="[Jefatura] ",IFERROR(MATCH("Asistente Técnico de Riesgo|"&amp;MID($C191,12,500),rDname_ADM,0),0),"")</f>
        <v/>
      </c>
      <c r="AM191" s="62">
        <f>IF(N($AL191)&gt;0,INDEX(rIni_ADM,$AL191),IF(ISNUMBER($E191),$E191,""))</f>
        <v/>
      </c>
      <c r="AN191" s="62">
        <f>IF(N($AL191)&gt;0,INDEX(rLim_ADM,$AL191),IF(ISNUMBER($F191),$F191,""))</f>
        <v/>
      </c>
    </row>
    <row r="192">
      <c r="A192" s="56">
        <f>IF(NOT((COUNTA($B192:$D192)+COUNTA($G192:$L192)+COUNTA($Q192))&gt;0),"",IF($V192="Macro",COUNTIFS($V$5:$V192,"Macro",$S$5:$S192,$S192),IF(N($U192)=0,"?",COUNTIFS(INDEX($V$5:$V$1000,1):INDEX($V$5:$V$1000,$U192-4),"Macro",INDEX($S$5:$S$1000,1):INDEX($S$5:$S$1000,$U192-4),INDEX($S$5:$S$1000,$U192-4))&amp;"."&amp;COUNTIFS($U$5:$U192,$U192,$V$5:$V192,"Sub"))))</f>
        <v/>
      </c>
      <c r="B192" s="57" t="n"/>
      <c r="C192" s="58" t="n"/>
      <c r="D192" s="58" t="n"/>
      <c r="E192" s="59">
        <f>IF(N($AL192)&gt;0,INDEX(rIni_ADM,$AL192),"")</f>
        <v/>
      </c>
      <c r="F192" s="59">
        <f>IF(N($AL192)&gt;0,INDEX(rLim_ADM,$AL192),"")</f>
        <v/>
      </c>
      <c r="G192" s="59" t="n"/>
      <c r="H192" s="60" t="n"/>
      <c r="I192" s="60" t="n"/>
      <c r="J192" s="60" t="n"/>
      <c r="K192" s="60" t="n"/>
      <c r="L192" s="60" t="n"/>
      <c r="M192" s="61">
        <f>IF(NOT((COUNTA($B192:$D192)+COUNTA($G192:$L192)+COUNTA($Q192))&gt;0),"",IF($V192="Sub",IFERROR($X192/INDEX($W$5:$W$1000,$U192-4),""),IF(ISNUMBER($G192),1,IF(N($W192)&gt;0,AVERAGEIFS($X$5:$X$1000,$U$5:$U$1000,ROW(),$V$5:$V$1000,"Sub"),$X192))))</f>
        <v/>
      </c>
      <c r="N192" s="56">
        <f>IF(OR($M192="",$V192="Sub"),"",IF($M192&gt;=1,"Completado",IF($M192&gt;0,"En curso","Pendiente")))</f>
        <v/>
      </c>
      <c r="O192" s="56">
        <f>IF(OR(NOT((COUNTA($B192:$D192)+COUNTA($G192:$L192)+COUNTA($Q192))&gt;0),$V192="Sub"),"",IF(ISNUMBER($G192),IF(AND(ISNUMBER($AN192),$G192&gt;$AN192),"Cumplida con "&amp;($G192-$AN192)&amp;IF($G192-$AN192=1," día"," días")&amp;" de retraso","Cumplida"),IF(N($M192)&gt;=1,"Cumplida",IF(NOT(ISNUMBER($AN192)),"Sin fecha límite",IF($AN192&lt;FechaRef,"Vencida hace "&amp;(FechaRef-$AN192)&amp;IF(FechaRef-$AN192=1," día"," días"),IF($AN192=FechaRef,"Vence hoy",IF($AN192-FechaRef&lt;=DiasAlerta,"Vence en "&amp;($AN192-FechaRef)&amp;IF($AN192-FechaRef=1," día"," días"),"En plazo")))))))</f>
        <v/>
      </c>
      <c r="P192" s="62" t="n"/>
      <c r="Q192" s="58" t="n"/>
      <c r="R192" s="63">
        <f>IF(NOT((COUNTA($B192:$D192)+COUNTA($G192:$L192)+COUNTA($Q192))&gt;0),"",IF((IF($C192="","Falta el nombre de la actividad"&amp;" · ","")&amp;IF(AND($V192="Sub",N($U192)=0),"Subactividad sin macroactividad arriba"&amp;" · ","")&amp;IF($AM192="","Sin fecha de inicio"&amp;" · ","")&amp;IF($AN192="","Sin fecha límite"&amp;" · ","")&amp;IF(AND(LEFT($C192,11)="[Jefatura] ",N($AL192)=0),"No se encuentra en la hoja de la jefatura (elíjala de nuevo en la lista)"&amp;" · ","")&amp;IF(OR(AND($E192&lt;&gt;"",NOT(ISNUMBER($E192))),AND($F192&lt;&gt;"",NOT(ISNUMBER($F192))),AND($G192&lt;&gt;"",NOT(ISNUMBER($G192)))),"Fecha no válida"&amp;" · ","")&amp;IF(AND(ISNUMBER($AM192),ISNUMBER($AN192),$AM192&gt;$AN192),"Inicio posterior a fecha límite"&amp;" · ","")&amp;IF(AND($V192="Macro",$H192&lt;&gt;"",OR(NOT(ISNUMBER($H192)),$H192&lt;0,$H192&gt;1)),"Peso fuera de rango"&amp;" · ","")&amp;IF(AND($V192="Sub",$H192&lt;&gt;""),"Las subactividades no llevan peso (valen igual dentro de su macroactividad)"&amp;" · ","")&amp;IF(AND(N($W192)&gt;0,COUNT($I192:$L192)&gt;0),"Con subactividades: deje vacías las semanas (se calculan solas)"&amp;" · ","")&amp;IF((COUNTIF($I192:$L192,"&gt;1")+COUNTIF($I192:$L192,"&lt;0")+COUNTA($I192:$L192)-COUNT($I192:$L192))&gt;0,"Avance fuera de rango 0-100%"&amp;" · ","")&amp;IF(OR(AND($J192&lt;&gt;"",$J192&lt;$I192),AND($K192&lt;&gt;"",$K192&lt;MAX($I192:$J192)),AND($L192&lt;&gt;"",$L192&lt;MAX($I192:$K192))),"Avance semanal decreciente"&amp;" · ","")&amp;IF(AND(ISNUMBER($AN192),$AN192&lt;FechaRef,IF($V192="Sub",N($X192),N($M192))&lt;1),"Vencida"&amp;" · ","")&amp;IF(AND(ObsObligatoria="Sí",ISNUMBER($AN192),$AN192&lt;FechaRef,IF($V192="Sub",N($X192),N($M192))&lt;1,$Q192=""),"Vencida sin observación"&amp;" · ",""))="","✔ OK","⚠ "&amp;LEFT(IF($C192="","Falta el nombre de la actividad"&amp;" · ","")&amp;IF(AND($V192="Sub",N($U192)=0),"Subactividad sin macroactividad arriba"&amp;" · ","")&amp;IF($AM192="","Sin fecha de inicio"&amp;" · ","")&amp;IF($AN192="","Sin fecha límite"&amp;" · ","")&amp;IF(AND(LEFT($C192,11)="[Jefatura] ",N($AL192)=0),"No se encuentra en la hoja de la jefatura (elíjala de nuevo en la lista)"&amp;" · ","")&amp;IF(OR(AND($E192&lt;&gt;"",NOT(ISNUMBER($E192))),AND($F192&lt;&gt;"",NOT(ISNUMBER($F192))),AND($G192&lt;&gt;"",NOT(ISNUMBER($G192)))),"Fecha no válida"&amp;" · ","")&amp;IF(AND(ISNUMBER($AM192),ISNUMBER($AN192),$AM192&gt;$AN192),"Inicio posterior a fecha límite"&amp;" · ","")&amp;IF(AND($V192="Macro",$H192&lt;&gt;"",OR(NOT(ISNUMBER($H192)),$H192&lt;0,$H192&gt;1)),"Peso fuera de rango"&amp;" · ","")&amp;IF(AND($V192="Sub",$H192&lt;&gt;""),"Las subactividades no llevan peso (valen igual dentro de su macroactividad)"&amp;" · ","")&amp;IF(AND(N($W192)&gt;0,COUNT($I192:$L192)&gt;0),"Con subactividades: deje vacías las semanas (se calculan solas)"&amp;" · ","")&amp;IF((COUNTIF($I192:$L192,"&gt;1")+COUNTIF($I192:$L192,"&lt;0")+COUNTA($I192:$L192)-COUNT($I192:$L192))&gt;0,"Avance fuera de rango 0-100%"&amp;" · ","")&amp;IF(OR(AND($J192&lt;&gt;"",$J192&lt;$I192),AND($K192&lt;&gt;"",$K192&lt;MAX($I192:$J192)),AND($L192&lt;&gt;"",$L192&lt;MAX($I192:$K192))),"Avance semanal decreciente"&amp;" · ","")&amp;IF(AND(ISNUMBER($AN192),$AN192&lt;FechaRef,IF($V192="Sub",N($X192),N($M192))&lt;1),"Vencida"&amp;" · ","")&amp;IF(AND(ObsObligatoria="Sí",ISNUMBER($AN192),$AN192&lt;FechaRef,IF($V192="Sub",N($X192),N($M192))&lt;1,$Q192=""),"Vencida sin observación"&amp;" · ",""),LEN(IF($C192="","Falta el nombre de la actividad"&amp;" · ","")&amp;IF(AND($V192="Sub",N($U192)=0),"Subactividad sin macroactividad arriba"&amp;" · ","")&amp;IF($AM192="","Sin fecha de inicio"&amp;" · ","")&amp;IF($AN192="","Sin fecha límite"&amp;" · ","")&amp;IF(AND(LEFT($C192,11)="[Jefatura] ",N($AL192)=0),"No se encuentra en la hoja de la jefatura (elíjala de nuevo en la lista)"&amp;" · ","")&amp;IF(OR(AND($E192&lt;&gt;"",NOT(ISNUMBER($E192))),AND($F192&lt;&gt;"",NOT(ISNUMBER($F192))),AND($G192&lt;&gt;"",NOT(ISNUMBER($G192)))),"Fecha no válida"&amp;" · ","")&amp;IF(AND(ISNUMBER($AM192),ISNUMBER($AN192),$AM192&gt;$AN192),"Inicio posterior a fecha límite"&amp;" · ","")&amp;IF(AND($V192="Macro",$H192&lt;&gt;"",OR(NOT(ISNUMBER($H192)),$H192&lt;0,$H192&gt;1)),"Peso fuera de rango"&amp;" · ","")&amp;IF(AND($V192="Sub",$H192&lt;&gt;""),"Las subactividades no llevan peso (valen igual dentro de su macroactividad)"&amp;" · ","")&amp;IF(AND(N($W192)&gt;0,COUNT($I192:$L192)&gt;0),"Con subactividades: deje vacías las semanas (se calculan solas)"&amp;" · ","")&amp;IF((COUNTIF($I192:$L192,"&gt;1")+COUNTIF($I192:$L192,"&lt;0")+COUNTA($I192:$L192)-COUNT($I192:$L192))&gt;0,"Avance fuera de rango 0-100%"&amp;" · ","")&amp;IF(OR(AND($J192&lt;&gt;"",$J192&lt;$I192),AND($K192&lt;&gt;"",$K192&lt;MAX($I192:$J192)),AND($L192&lt;&gt;"",$L192&lt;MAX($I192:$K192))),"Avance semanal decreciente"&amp;" · ","")&amp;IF(AND(ISNUMBER($AN192),$AN192&lt;FechaRef,IF($V192="Sub",N($X192),N($M192))&lt;1),"Vencida"&amp;" · ","")&amp;IF(AND(ObsObligatoria="Sí",ISNUMBER($AN192),$AN192&lt;FechaRef,IF($V192="Sub",N($X192),N($M192))&lt;1,$Q192=""),"Vencida sin observación"&amp;" · ",""))-3)))</f>
        <v/>
      </c>
      <c r="S192" s="64">
        <f>IF(NOT((COUNTA($B192:$D192)+COUNTA($G192:$L192)+COUNTA($Q192))&gt;0),"",IF(AND($V192="Sub",N($U192)&gt;0),IF(ISNUMBER(INDEX($AM$5:$AM$1000,$U192-4)),DATE(YEAR(INDEX($AM$5:$AM$1000,$U192-4)),MONTH(INDEX($AM$5:$AM$1000,$U192-4)),1),IF(ISNUMBER(INDEX($AN$5:$AN$1000,$U192-4)),DATE(YEAR(INDEX($AN$5:$AN$1000,$U192-4)),MONTH(INDEX($AN$5:$AN$1000,$U192-4)),1),MesCiclo)),IF(ISNUMBER($AM192),DATE(YEAR($AM192),MONTH($AM192),1),IF(ISNUMBER($AN192),DATE(YEAR($AN192),MONTH($AN192),1),MesCiclo))))</f>
        <v/>
      </c>
      <c r="T192" s="62">
        <f>IF(OR($S192="",$S192&lt;&gt;MesCiclo,$V192&lt;&gt;"Macro"),"",COUNTIFS($S$5:$S192,MesCiclo,$V$5:$V192,"Macro"))</f>
        <v/>
      </c>
      <c r="U192" s="62">
        <f>IF($V192="","",IF($V192="Macro",ROW(),IFERROR(LOOKUP(2,1/($V$5:$V192="Macro"),ROW($V$5:$V192)),0)))</f>
        <v/>
      </c>
      <c r="V192" s="62">
        <f>IF(NOT((COUNTA($B192:$D192)+COUNTA($G192:$L192)+COUNTA($Q192))&gt;0),"",IF($B192="Subactividad","Sub","Macro"))</f>
        <v/>
      </c>
      <c r="W192" s="62">
        <f>IF($V192="Macro",COUNTIFS($U$5:$U$1000,ROW(),$V$5:$V$1000,"Sub"),"")</f>
        <v/>
      </c>
      <c r="X192" s="62">
        <f>IF($V192="","",IF(ISNUMBER($G192),1,IFERROR(LOOKUP(2,1/($I192:$L192&lt;&gt;""),$I192:$L192),0)))</f>
        <v/>
      </c>
      <c r="Y192" s="62">
        <f>IF($V192="","",IF(AND(ISNUMBER($G192),$G192&lt;=IF($S192=MesCiclo,InicioCiclo,$S192+MOD(2-WEEKDAY($S192),7))+6),1,IF(ISNUMBER($I192),$I192,0)))</f>
        <v/>
      </c>
      <c r="Z192" s="62">
        <f>IF($V192="","",IF(AND(ISNUMBER($G192),$G192&lt;=IF($S192=MesCiclo,InicioCiclo,$S192+MOD(2-WEEKDAY($S192),7))+13),1,IF(ISNUMBER($J192),$J192,$Y192)))</f>
        <v/>
      </c>
      <c r="AA192" s="62">
        <f>IF($V192="","",IF(AND(ISNUMBER($G192),$G192&lt;=IF($S192=MesCiclo,InicioCiclo,$S192+MOD(2-WEEKDAY($S192),7))+20),1,IF(ISNUMBER($K192),$K192,$Z192)))</f>
        <v/>
      </c>
      <c r="AB192" s="62">
        <f>IF($V192="","",IF(AND(ISNUMBER($G192),$G192&lt;=IF($S192=MesCiclo,InicioCiclo,$S192+MOD(2-WEEKDAY($S192),7))+27),1,IF(ISNUMBER($L192),$L192,$AA192)))</f>
        <v/>
      </c>
      <c r="AC192" s="62">
        <f>IF($V192="","",IF(AND(ISNUMBER($G192),$G192&lt;=IF($S192=MesCiclo,InicioCiclo,$S192+MOD(2-WEEKDAY($S192),7))+6),1,IF(N($W192)&gt;0,AVERAGEIFS($Y$5:$Y$1000,$U$5:$U$1000,ROW(),$V$5:$V$1000,"Sub"),$Y192)))</f>
        <v/>
      </c>
      <c r="AD192" s="62">
        <f>IF($V192="","",IF(AND(ISNUMBER($G192),$G192&lt;=IF($S192=MesCiclo,InicioCiclo,$S192+MOD(2-WEEKDAY($S192),7))+13),1,IF(N($W192)&gt;0,AVERAGEIFS($Z$5:$Z$1000,$U$5:$U$1000,ROW(),$V$5:$V$1000,"Sub"),$Z192)))</f>
        <v/>
      </c>
      <c r="AE192" s="62">
        <f>IF($V192="","",IF(AND(ISNUMBER($G192),$G192&lt;=IF($S192=MesCiclo,InicioCiclo,$S192+MOD(2-WEEKDAY($S192),7))+20),1,IF(N($W192)&gt;0,AVERAGEIFS($AA$5:$AA$1000,$U$5:$U$1000,ROW(),$V$5:$V$1000,"Sub"),$AA192)))</f>
        <v/>
      </c>
      <c r="AF192" s="62">
        <f>IF($V192="","",IF(AND(ISNUMBER($G192),$G192&lt;=IF($S192=MesCiclo,InicioCiclo,$S192+MOD(2-WEEKDAY($S192),7))+27),1,IF(N($W192)&gt;0,AVERAGEIFS($AB$5:$AB$1000,$U$5:$U$1000,ROW(),$V$5:$V$1000,"Sub"),$AB192)))</f>
        <v/>
      </c>
      <c r="AG192" s="62">
        <f>IF($V192&lt;&gt;"Macro","",IF(COUNTIFS($S$5:$S$1000,$S192,$V$5:$V$1000,"Macro",$H$5:$H$1000,"&gt;0")=0,1/COUNTIFS($S$5:$S$1000,$S192,$V$5:$V$1000,"Macro"),IF(AND(ISNUMBER($H192),N($H192)&gt;0),$H192,SUMIFS($H$5:$H$1000,$S$5:$S$1000,$S192,$V$5:$V$1000,"Macro")/COUNTIFS($S$5:$S$1000,$S192,$V$5:$V$1000,"Macro",$H$5:$H$1000,"&gt;0"))/(COUNTIFS($S$5:$S$1000,$S192,$V$5:$V$1000,"Macro")*SUMIFS($H$5:$H$1000,$S$5:$S$1000,$S192,$V$5:$V$1000,"Macro")/COUNTIFS($S$5:$S$1000,$S192,$V$5:$V$1000,"Macro",$H$5:$H$1000,"&gt;0"))))</f>
        <v/>
      </c>
      <c r="AH192" s="62" t="n"/>
      <c r="AI192" s="62" t="n"/>
      <c r="AJ192" s="62" t="n"/>
      <c r="AK192" s="62" t="n"/>
      <c r="AL192" s="62">
        <f>IF(LEFT($C192,11)="[Jefatura] ",IFERROR(MATCH("Asistente Técnico de Riesgo|"&amp;MID($C192,12,500),rDname_ADM,0),0),"")</f>
        <v/>
      </c>
      <c r="AM192" s="62">
        <f>IF(N($AL192)&gt;0,INDEX(rIni_ADM,$AL192),IF(ISNUMBER($E192),$E192,""))</f>
        <v/>
      </c>
      <c r="AN192" s="62">
        <f>IF(N($AL192)&gt;0,INDEX(rLim_ADM,$AL192),IF(ISNUMBER($F192),$F192,""))</f>
        <v/>
      </c>
    </row>
    <row r="193">
      <c r="A193" s="56">
        <f>IF(NOT((COUNTA($B193:$D193)+COUNTA($G193:$L193)+COUNTA($Q193))&gt;0),"",IF($V193="Macro",COUNTIFS($V$5:$V193,"Macro",$S$5:$S193,$S193),IF(N($U193)=0,"?",COUNTIFS(INDEX($V$5:$V$1000,1):INDEX($V$5:$V$1000,$U193-4),"Macro",INDEX($S$5:$S$1000,1):INDEX($S$5:$S$1000,$U193-4),INDEX($S$5:$S$1000,$U193-4))&amp;"."&amp;COUNTIFS($U$5:$U193,$U193,$V$5:$V193,"Sub"))))</f>
        <v/>
      </c>
      <c r="B193" s="57" t="n"/>
      <c r="C193" s="58" t="n"/>
      <c r="D193" s="58" t="n"/>
      <c r="E193" s="59">
        <f>IF(N($AL193)&gt;0,INDEX(rIni_ADM,$AL193),"")</f>
        <v/>
      </c>
      <c r="F193" s="59">
        <f>IF(N($AL193)&gt;0,INDEX(rLim_ADM,$AL193),"")</f>
        <v/>
      </c>
      <c r="G193" s="59" t="n"/>
      <c r="H193" s="60" t="n"/>
      <c r="I193" s="60" t="n"/>
      <c r="J193" s="60" t="n"/>
      <c r="K193" s="60" t="n"/>
      <c r="L193" s="60" t="n"/>
      <c r="M193" s="61">
        <f>IF(NOT((COUNTA($B193:$D193)+COUNTA($G193:$L193)+COUNTA($Q193))&gt;0),"",IF($V193="Sub",IFERROR($X193/INDEX($W$5:$W$1000,$U193-4),""),IF(ISNUMBER($G193),1,IF(N($W193)&gt;0,AVERAGEIFS($X$5:$X$1000,$U$5:$U$1000,ROW(),$V$5:$V$1000,"Sub"),$X193))))</f>
        <v/>
      </c>
      <c r="N193" s="56">
        <f>IF(OR($M193="",$V193="Sub"),"",IF($M193&gt;=1,"Completado",IF($M193&gt;0,"En curso","Pendiente")))</f>
        <v/>
      </c>
      <c r="O193" s="56">
        <f>IF(OR(NOT((COUNTA($B193:$D193)+COUNTA($G193:$L193)+COUNTA($Q193))&gt;0),$V193="Sub"),"",IF(ISNUMBER($G193),IF(AND(ISNUMBER($AN193),$G193&gt;$AN193),"Cumplida con "&amp;($G193-$AN193)&amp;IF($G193-$AN193=1," día"," días")&amp;" de retraso","Cumplida"),IF(N($M193)&gt;=1,"Cumplida",IF(NOT(ISNUMBER($AN193)),"Sin fecha límite",IF($AN193&lt;FechaRef,"Vencida hace "&amp;(FechaRef-$AN193)&amp;IF(FechaRef-$AN193=1," día"," días"),IF($AN193=FechaRef,"Vence hoy",IF($AN193-FechaRef&lt;=DiasAlerta,"Vence en "&amp;($AN193-FechaRef)&amp;IF($AN193-FechaRef=1," día"," días"),"En plazo")))))))</f>
        <v/>
      </c>
      <c r="P193" s="62" t="n"/>
      <c r="Q193" s="58" t="n"/>
      <c r="R193" s="63">
        <f>IF(NOT((COUNTA($B193:$D193)+COUNTA($G193:$L193)+COUNTA($Q193))&gt;0),"",IF((IF($C193="","Falta el nombre de la actividad"&amp;" · ","")&amp;IF(AND($V193="Sub",N($U193)=0),"Subactividad sin macroactividad arriba"&amp;" · ","")&amp;IF($AM193="","Sin fecha de inicio"&amp;" · ","")&amp;IF($AN193="","Sin fecha límite"&amp;" · ","")&amp;IF(AND(LEFT($C193,11)="[Jefatura] ",N($AL193)=0),"No se encuentra en la hoja de la jefatura (elíjala de nuevo en la lista)"&amp;" · ","")&amp;IF(OR(AND($E193&lt;&gt;"",NOT(ISNUMBER($E193))),AND($F193&lt;&gt;"",NOT(ISNUMBER($F193))),AND($G193&lt;&gt;"",NOT(ISNUMBER($G193)))),"Fecha no válida"&amp;" · ","")&amp;IF(AND(ISNUMBER($AM193),ISNUMBER($AN193),$AM193&gt;$AN193),"Inicio posterior a fecha límite"&amp;" · ","")&amp;IF(AND($V193="Macro",$H193&lt;&gt;"",OR(NOT(ISNUMBER($H193)),$H193&lt;0,$H193&gt;1)),"Peso fuera de rango"&amp;" · ","")&amp;IF(AND($V193="Sub",$H193&lt;&gt;""),"Las subactividades no llevan peso (valen igual dentro de su macroactividad)"&amp;" · ","")&amp;IF(AND(N($W193)&gt;0,COUNT($I193:$L193)&gt;0),"Con subactividades: deje vacías las semanas (se calculan solas)"&amp;" · ","")&amp;IF((COUNTIF($I193:$L193,"&gt;1")+COUNTIF($I193:$L193,"&lt;0")+COUNTA($I193:$L193)-COUNT($I193:$L193))&gt;0,"Avance fuera de rango 0-100%"&amp;" · ","")&amp;IF(OR(AND($J193&lt;&gt;"",$J193&lt;$I193),AND($K193&lt;&gt;"",$K193&lt;MAX($I193:$J193)),AND($L193&lt;&gt;"",$L193&lt;MAX($I193:$K193))),"Avance semanal decreciente"&amp;" · ","")&amp;IF(AND(ISNUMBER($AN193),$AN193&lt;FechaRef,IF($V193="Sub",N($X193),N($M193))&lt;1),"Vencida"&amp;" · ","")&amp;IF(AND(ObsObligatoria="Sí",ISNUMBER($AN193),$AN193&lt;FechaRef,IF($V193="Sub",N($X193),N($M193))&lt;1,$Q193=""),"Vencida sin observación"&amp;" · ",""))="","✔ OK","⚠ "&amp;LEFT(IF($C193="","Falta el nombre de la actividad"&amp;" · ","")&amp;IF(AND($V193="Sub",N($U193)=0),"Subactividad sin macroactividad arriba"&amp;" · ","")&amp;IF($AM193="","Sin fecha de inicio"&amp;" · ","")&amp;IF($AN193="","Sin fecha límite"&amp;" · ","")&amp;IF(AND(LEFT($C193,11)="[Jefatura] ",N($AL193)=0),"No se encuentra en la hoja de la jefatura (elíjala de nuevo en la lista)"&amp;" · ","")&amp;IF(OR(AND($E193&lt;&gt;"",NOT(ISNUMBER($E193))),AND($F193&lt;&gt;"",NOT(ISNUMBER($F193))),AND($G193&lt;&gt;"",NOT(ISNUMBER($G193)))),"Fecha no válida"&amp;" · ","")&amp;IF(AND(ISNUMBER($AM193),ISNUMBER($AN193),$AM193&gt;$AN193),"Inicio posterior a fecha límite"&amp;" · ","")&amp;IF(AND($V193="Macro",$H193&lt;&gt;"",OR(NOT(ISNUMBER($H193)),$H193&lt;0,$H193&gt;1)),"Peso fuera de rango"&amp;" · ","")&amp;IF(AND($V193="Sub",$H193&lt;&gt;""),"Las subactividades no llevan peso (valen igual dentro de su macroactividad)"&amp;" · ","")&amp;IF(AND(N($W193)&gt;0,COUNT($I193:$L193)&gt;0),"Con subactividades: deje vacías las semanas (se calculan solas)"&amp;" · ","")&amp;IF((COUNTIF($I193:$L193,"&gt;1")+COUNTIF($I193:$L193,"&lt;0")+COUNTA($I193:$L193)-COUNT($I193:$L193))&gt;0,"Avance fuera de rango 0-100%"&amp;" · ","")&amp;IF(OR(AND($J193&lt;&gt;"",$J193&lt;$I193),AND($K193&lt;&gt;"",$K193&lt;MAX($I193:$J193)),AND($L193&lt;&gt;"",$L193&lt;MAX($I193:$K193))),"Avance semanal decreciente"&amp;" · ","")&amp;IF(AND(ISNUMBER($AN193),$AN193&lt;FechaRef,IF($V193="Sub",N($X193),N($M193))&lt;1),"Vencida"&amp;" · ","")&amp;IF(AND(ObsObligatoria="Sí",ISNUMBER($AN193),$AN193&lt;FechaRef,IF($V193="Sub",N($X193),N($M193))&lt;1,$Q193=""),"Vencida sin observación"&amp;" · ",""),LEN(IF($C193="","Falta el nombre de la actividad"&amp;" · ","")&amp;IF(AND($V193="Sub",N($U193)=0),"Subactividad sin macroactividad arriba"&amp;" · ","")&amp;IF($AM193="","Sin fecha de inicio"&amp;" · ","")&amp;IF($AN193="","Sin fecha límite"&amp;" · ","")&amp;IF(AND(LEFT($C193,11)="[Jefatura] ",N($AL193)=0),"No se encuentra en la hoja de la jefatura (elíjala de nuevo en la lista)"&amp;" · ","")&amp;IF(OR(AND($E193&lt;&gt;"",NOT(ISNUMBER($E193))),AND($F193&lt;&gt;"",NOT(ISNUMBER($F193))),AND($G193&lt;&gt;"",NOT(ISNUMBER($G193)))),"Fecha no válida"&amp;" · ","")&amp;IF(AND(ISNUMBER($AM193),ISNUMBER($AN193),$AM193&gt;$AN193),"Inicio posterior a fecha límite"&amp;" · ","")&amp;IF(AND($V193="Macro",$H193&lt;&gt;"",OR(NOT(ISNUMBER($H193)),$H193&lt;0,$H193&gt;1)),"Peso fuera de rango"&amp;" · ","")&amp;IF(AND($V193="Sub",$H193&lt;&gt;""),"Las subactividades no llevan peso (valen igual dentro de su macroactividad)"&amp;" · ","")&amp;IF(AND(N($W193)&gt;0,COUNT($I193:$L193)&gt;0),"Con subactividades: deje vacías las semanas (se calculan solas)"&amp;" · ","")&amp;IF((COUNTIF($I193:$L193,"&gt;1")+COUNTIF($I193:$L193,"&lt;0")+COUNTA($I193:$L193)-COUNT($I193:$L193))&gt;0,"Avance fuera de rango 0-100%"&amp;" · ","")&amp;IF(OR(AND($J193&lt;&gt;"",$J193&lt;$I193),AND($K193&lt;&gt;"",$K193&lt;MAX($I193:$J193)),AND($L193&lt;&gt;"",$L193&lt;MAX($I193:$K193))),"Avance semanal decreciente"&amp;" · ","")&amp;IF(AND(ISNUMBER($AN193),$AN193&lt;FechaRef,IF($V193="Sub",N($X193),N($M193))&lt;1),"Vencida"&amp;" · ","")&amp;IF(AND(ObsObligatoria="Sí",ISNUMBER($AN193),$AN193&lt;FechaRef,IF($V193="Sub",N($X193),N($M193))&lt;1,$Q193=""),"Vencida sin observación"&amp;" · ",""))-3)))</f>
        <v/>
      </c>
      <c r="S193" s="64">
        <f>IF(NOT((COUNTA($B193:$D193)+COUNTA($G193:$L193)+COUNTA($Q193))&gt;0),"",IF(AND($V193="Sub",N($U193)&gt;0),IF(ISNUMBER(INDEX($AM$5:$AM$1000,$U193-4)),DATE(YEAR(INDEX($AM$5:$AM$1000,$U193-4)),MONTH(INDEX($AM$5:$AM$1000,$U193-4)),1),IF(ISNUMBER(INDEX($AN$5:$AN$1000,$U193-4)),DATE(YEAR(INDEX($AN$5:$AN$1000,$U193-4)),MONTH(INDEX($AN$5:$AN$1000,$U193-4)),1),MesCiclo)),IF(ISNUMBER($AM193),DATE(YEAR($AM193),MONTH($AM193),1),IF(ISNUMBER($AN193),DATE(YEAR($AN193),MONTH($AN193),1),MesCiclo))))</f>
        <v/>
      </c>
      <c r="T193" s="62">
        <f>IF(OR($S193="",$S193&lt;&gt;MesCiclo,$V193&lt;&gt;"Macro"),"",COUNTIFS($S$5:$S193,MesCiclo,$V$5:$V193,"Macro"))</f>
        <v/>
      </c>
      <c r="U193" s="62">
        <f>IF($V193="","",IF($V193="Macro",ROW(),IFERROR(LOOKUP(2,1/($V$5:$V193="Macro"),ROW($V$5:$V193)),0)))</f>
        <v/>
      </c>
      <c r="V193" s="62">
        <f>IF(NOT((COUNTA($B193:$D193)+COUNTA($G193:$L193)+COUNTA($Q193))&gt;0),"",IF($B193="Subactividad","Sub","Macro"))</f>
        <v/>
      </c>
      <c r="W193" s="62">
        <f>IF($V193="Macro",COUNTIFS($U$5:$U$1000,ROW(),$V$5:$V$1000,"Sub"),"")</f>
        <v/>
      </c>
      <c r="X193" s="62">
        <f>IF($V193="","",IF(ISNUMBER($G193),1,IFERROR(LOOKUP(2,1/($I193:$L193&lt;&gt;""),$I193:$L193),0)))</f>
        <v/>
      </c>
      <c r="Y193" s="62">
        <f>IF($V193="","",IF(AND(ISNUMBER($G193),$G193&lt;=IF($S193=MesCiclo,InicioCiclo,$S193+MOD(2-WEEKDAY($S193),7))+6),1,IF(ISNUMBER($I193),$I193,0)))</f>
        <v/>
      </c>
      <c r="Z193" s="62">
        <f>IF($V193="","",IF(AND(ISNUMBER($G193),$G193&lt;=IF($S193=MesCiclo,InicioCiclo,$S193+MOD(2-WEEKDAY($S193),7))+13),1,IF(ISNUMBER($J193),$J193,$Y193)))</f>
        <v/>
      </c>
      <c r="AA193" s="62">
        <f>IF($V193="","",IF(AND(ISNUMBER($G193),$G193&lt;=IF($S193=MesCiclo,InicioCiclo,$S193+MOD(2-WEEKDAY($S193),7))+20),1,IF(ISNUMBER($K193),$K193,$Z193)))</f>
        <v/>
      </c>
      <c r="AB193" s="62">
        <f>IF($V193="","",IF(AND(ISNUMBER($G193),$G193&lt;=IF($S193=MesCiclo,InicioCiclo,$S193+MOD(2-WEEKDAY($S193),7))+27),1,IF(ISNUMBER($L193),$L193,$AA193)))</f>
        <v/>
      </c>
      <c r="AC193" s="62">
        <f>IF($V193="","",IF(AND(ISNUMBER($G193),$G193&lt;=IF($S193=MesCiclo,InicioCiclo,$S193+MOD(2-WEEKDAY($S193),7))+6),1,IF(N($W193)&gt;0,AVERAGEIFS($Y$5:$Y$1000,$U$5:$U$1000,ROW(),$V$5:$V$1000,"Sub"),$Y193)))</f>
        <v/>
      </c>
      <c r="AD193" s="62">
        <f>IF($V193="","",IF(AND(ISNUMBER($G193),$G193&lt;=IF($S193=MesCiclo,InicioCiclo,$S193+MOD(2-WEEKDAY($S193),7))+13),1,IF(N($W193)&gt;0,AVERAGEIFS($Z$5:$Z$1000,$U$5:$U$1000,ROW(),$V$5:$V$1000,"Sub"),$Z193)))</f>
        <v/>
      </c>
      <c r="AE193" s="62">
        <f>IF($V193="","",IF(AND(ISNUMBER($G193),$G193&lt;=IF($S193=MesCiclo,InicioCiclo,$S193+MOD(2-WEEKDAY($S193),7))+20),1,IF(N($W193)&gt;0,AVERAGEIFS($AA$5:$AA$1000,$U$5:$U$1000,ROW(),$V$5:$V$1000,"Sub"),$AA193)))</f>
        <v/>
      </c>
      <c r="AF193" s="62">
        <f>IF($V193="","",IF(AND(ISNUMBER($G193),$G193&lt;=IF($S193=MesCiclo,InicioCiclo,$S193+MOD(2-WEEKDAY($S193),7))+27),1,IF(N($W193)&gt;0,AVERAGEIFS($AB$5:$AB$1000,$U$5:$U$1000,ROW(),$V$5:$V$1000,"Sub"),$AB193)))</f>
        <v/>
      </c>
      <c r="AG193" s="62">
        <f>IF($V193&lt;&gt;"Macro","",IF(COUNTIFS($S$5:$S$1000,$S193,$V$5:$V$1000,"Macro",$H$5:$H$1000,"&gt;0")=0,1/COUNTIFS($S$5:$S$1000,$S193,$V$5:$V$1000,"Macro"),IF(AND(ISNUMBER($H193),N($H193)&gt;0),$H193,SUMIFS($H$5:$H$1000,$S$5:$S$1000,$S193,$V$5:$V$1000,"Macro")/COUNTIFS($S$5:$S$1000,$S193,$V$5:$V$1000,"Macro",$H$5:$H$1000,"&gt;0"))/(COUNTIFS($S$5:$S$1000,$S193,$V$5:$V$1000,"Macro")*SUMIFS($H$5:$H$1000,$S$5:$S$1000,$S193,$V$5:$V$1000,"Macro")/COUNTIFS($S$5:$S$1000,$S193,$V$5:$V$1000,"Macro",$H$5:$H$1000,"&gt;0"))))</f>
        <v/>
      </c>
      <c r="AH193" s="62" t="n"/>
      <c r="AI193" s="62" t="n"/>
      <c r="AJ193" s="62" t="n"/>
      <c r="AK193" s="62" t="n"/>
      <c r="AL193" s="62">
        <f>IF(LEFT($C193,11)="[Jefatura] ",IFERROR(MATCH("Asistente Técnico de Riesgo|"&amp;MID($C193,12,500),rDname_ADM,0),0),"")</f>
        <v/>
      </c>
      <c r="AM193" s="62">
        <f>IF(N($AL193)&gt;0,INDEX(rIni_ADM,$AL193),IF(ISNUMBER($E193),$E193,""))</f>
        <v/>
      </c>
      <c r="AN193" s="62">
        <f>IF(N($AL193)&gt;0,INDEX(rLim_ADM,$AL193),IF(ISNUMBER($F193),$F193,""))</f>
        <v/>
      </c>
    </row>
    <row r="194">
      <c r="A194" s="56">
        <f>IF(NOT((COUNTA($B194:$D194)+COUNTA($G194:$L194)+COUNTA($Q194))&gt;0),"",IF($V194="Macro",COUNTIFS($V$5:$V194,"Macro",$S$5:$S194,$S194),IF(N($U194)=0,"?",COUNTIFS(INDEX($V$5:$V$1000,1):INDEX($V$5:$V$1000,$U194-4),"Macro",INDEX($S$5:$S$1000,1):INDEX($S$5:$S$1000,$U194-4),INDEX($S$5:$S$1000,$U194-4))&amp;"."&amp;COUNTIFS($U$5:$U194,$U194,$V$5:$V194,"Sub"))))</f>
        <v/>
      </c>
      <c r="B194" s="57" t="n"/>
      <c r="C194" s="58" t="n"/>
      <c r="D194" s="58" t="n"/>
      <c r="E194" s="59">
        <f>IF(N($AL194)&gt;0,INDEX(rIni_ADM,$AL194),"")</f>
        <v/>
      </c>
      <c r="F194" s="59">
        <f>IF(N($AL194)&gt;0,INDEX(rLim_ADM,$AL194),"")</f>
        <v/>
      </c>
      <c r="G194" s="59" t="n"/>
      <c r="H194" s="60" t="n"/>
      <c r="I194" s="60" t="n"/>
      <c r="J194" s="60" t="n"/>
      <c r="K194" s="60" t="n"/>
      <c r="L194" s="60" t="n"/>
      <c r="M194" s="61">
        <f>IF(NOT((COUNTA($B194:$D194)+COUNTA($G194:$L194)+COUNTA($Q194))&gt;0),"",IF($V194="Sub",IFERROR($X194/INDEX($W$5:$W$1000,$U194-4),""),IF(ISNUMBER($G194),1,IF(N($W194)&gt;0,AVERAGEIFS($X$5:$X$1000,$U$5:$U$1000,ROW(),$V$5:$V$1000,"Sub"),$X194))))</f>
        <v/>
      </c>
      <c r="N194" s="56">
        <f>IF(OR($M194="",$V194="Sub"),"",IF($M194&gt;=1,"Completado",IF($M194&gt;0,"En curso","Pendiente")))</f>
        <v/>
      </c>
      <c r="O194" s="56">
        <f>IF(OR(NOT((COUNTA($B194:$D194)+COUNTA($G194:$L194)+COUNTA($Q194))&gt;0),$V194="Sub"),"",IF(ISNUMBER($G194),IF(AND(ISNUMBER($AN194),$G194&gt;$AN194),"Cumplida con "&amp;($G194-$AN194)&amp;IF($G194-$AN194=1," día"," días")&amp;" de retraso","Cumplida"),IF(N($M194)&gt;=1,"Cumplida",IF(NOT(ISNUMBER($AN194)),"Sin fecha límite",IF($AN194&lt;FechaRef,"Vencida hace "&amp;(FechaRef-$AN194)&amp;IF(FechaRef-$AN194=1," día"," días"),IF($AN194=FechaRef,"Vence hoy",IF($AN194-FechaRef&lt;=DiasAlerta,"Vence en "&amp;($AN194-FechaRef)&amp;IF($AN194-FechaRef=1," día"," días"),"En plazo")))))))</f>
        <v/>
      </c>
      <c r="P194" s="62" t="n"/>
      <c r="Q194" s="58" t="n"/>
      <c r="R194" s="63">
        <f>IF(NOT((COUNTA($B194:$D194)+COUNTA($G194:$L194)+COUNTA($Q194))&gt;0),"",IF((IF($C194="","Falta el nombre de la actividad"&amp;" · ","")&amp;IF(AND($V194="Sub",N($U194)=0),"Subactividad sin macroactividad arriba"&amp;" · ","")&amp;IF($AM194="","Sin fecha de inicio"&amp;" · ","")&amp;IF($AN194="","Sin fecha límite"&amp;" · ","")&amp;IF(AND(LEFT($C194,11)="[Jefatura] ",N($AL194)=0),"No se encuentra en la hoja de la jefatura (elíjala de nuevo en la lista)"&amp;" · ","")&amp;IF(OR(AND($E194&lt;&gt;"",NOT(ISNUMBER($E194))),AND($F194&lt;&gt;"",NOT(ISNUMBER($F194))),AND($G194&lt;&gt;"",NOT(ISNUMBER($G194)))),"Fecha no válida"&amp;" · ","")&amp;IF(AND(ISNUMBER($AM194),ISNUMBER($AN194),$AM194&gt;$AN194),"Inicio posterior a fecha límite"&amp;" · ","")&amp;IF(AND($V194="Macro",$H194&lt;&gt;"",OR(NOT(ISNUMBER($H194)),$H194&lt;0,$H194&gt;1)),"Peso fuera de rango"&amp;" · ","")&amp;IF(AND($V194="Sub",$H194&lt;&gt;""),"Las subactividades no llevan peso (valen igual dentro de su macroactividad)"&amp;" · ","")&amp;IF(AND(N($W194)&gt;0,COUNT($I194:$L194)&gt;0),"Con subactividades: deje vacías las semanas (se calculan solas)"&amp;" · ","")&amp;IF((COUNTIF($I194:$L194,"&gt;1")+COUNTIF($I194:$L194,"&lt;0")+COUNTA($I194:$L194)-COUNT($I194:$L194))&gt;0,"Avance fuera de rango 0-100%"&amp;" · ","")&amp;IF(OR(AND($J194&lt;&gt;"",$J194&lt;$I194),AND($K194&lt;&gt;"",$K194&lt;MAX($I194:$J194)),AND($L194&lt;&gt;"",$L194&lt;MAX($I194:$K194))),"Avance semanal decreciente"&amp;" · ","")&amp;IF(AND(ISNUMBER($AN194),$AN194&lt;FechaRef,IF($V194="Sub",N($X194),N($M194))&lt;1),"Vencida"&amp;" · ","")&amp;IF(AND(ObsObligatoria="Sí",ISNUMBER($AN194),$AN194&lt;FechaRef,IF($V194="Sub",N($X194),N($M194))&lt;1,$Q194=""),"Vencida sin observación"&amp;" · ",""))="","✔ OK","⚠ "&amp;LEFT(IF($C194="","Falta el nombre de la actividad"&amp;" · ","")&amp;IF(AND($V194="Sub",N($U194)=0),"Subactividad sin macroactividad arriba"&amp;" · ","")&amp;IF($AM194="","Sin fecha de inicio"&amp;" · ","")&amp;IF($AN194="","Sin fecha límite"&amp;" · ","")&amp;IF(AND(LEFT($C194,11)="[Jefatura] ",N($AL194)=0),"No se encuentra en la hoja de la jefatura (elíjala de nuevo en la lista)"&amp;" · ","")&amp;IF(OR(AND($E194&lt;&gt;"",NOT(ISNUMBER($E194))),AND($F194&lt;&gt;"",NOT(ISNUMBER($F194))),AND($G194&lt;&gt;"",NOT(ISNUMBER($G194)))),"Fecha no válida"&amp;" · ","")&amp;IF(AND(ISNUMBER($AM194),ISNUMBER($AN194),$AM194&gt;$AN194),"Inicio posterior a fecha límite"&amp;" · ","")&amp;IF(AND($V194="Macro",$H194&lt;&gt;"",OR(NOT(ISNUMBER($H194)),$H194&lt;0,$H194&gt;1)),"Peso fuera de rango"&amp;" · ","")&amp;IF(AND($V194="Sub",$H194&lt;&gt;""),"Las subactividades no llevan peso (valen igual dentro de su macroactividad)"&amp;" · ","")&amp;IF(AND(N($W194)&gt;0,COUNT($I194:$L194)&gt;0),"Con subactividades: deje vacías las semanas (se calculan solas)"&amp;" · ","")&amp;IF((COUNTIF($I194:$L194,"&gt;1")+COUNTIF($I194:$L194,"&lt;0")+COUNTA($I194:$L194)-COUNT($I194:$L194))&gt;0,"Avance fuera de rango 0-100%"&amp;" · ","")&amp;IF(OR(AND($J194&lt;&gt;"",$J194&lt;$I194),AND($K194&lt;&gt;"",$K194&lt;MAX($I194:$J194)),AND($L194&lt;&gt;"",$L194&lt;MAX($I194:$K194))),"Avance semanal decreciente"&amp;" · ","")&amp;IF(AND(ISNUMBER($AN194),$AN194&lt;FechaRef,IF($V194="Sub",N($X194),N($M194))&lt;1),"Vencida"&amp;" · ","")&amp;IF(AND(ObsObligatoria="Sí",ISNUMBER($AN194),$AN194&lt;FechaRef,IF($V194="Sub",N($X194),N($M194))&lt;1,$Q194=""),"Vencida sin observación"&amp;" · ",""),LEN(IF($C194="","Falta el nombre de la actividad"&amp;" · ","")&amp;IF(AND($V194="Sub",N($U194)=0),"Subactividad sin macroactividad arriba"&amp;" · ","")&amp;IF($AM194="","Sin fecha de inicio"&amp;" · ","")&amp;IF($AN194="","Sin fecha límite"&amp;" · ","")&amp;IF(AND(LEFT($C194,11)="[Jefatura] ",N($AL194)=0),"No se encuentra en la hoja de la jefatura (elíjala de nuevo en la lista)"&amp;" · ","")&amp;IF(OR(AND($E194&lt;&gt;"",NOT(ISNUMBER($E194))),AND($F194&lt;&gt;"",NOT(ISNUMBER($F194))),AND($G194&lt;&gt;"",NOT(ISNUMBER($G194)))),"Fecha no válida"&amp;" · ","")&amp;IF(AND(ISNUMBER($AM194),ISNUMBER($AN194),$AM194&gt;$AN194),"Inicio posterior a fecha límite"&amp;" · ","")&amp;IF(AND($V194="Macro",$H194&lt;&gt;"",OR(NOT(ISNUMBER($H194)),$H194&lt;0,$H194&gt;1)),"Peso fuera de rango"&amp;" · ","")&amp;IF(AND($V194="Sub",$H194&lt;&gt;""),"Las subactividades no llevan peso (valen igual dentro de su macroactividad)"&amp;" · ","")&amp;IF(AND(N($W194)&gt;0,COUNT($I194:$L194)&gt;0),"Con subactividades: deje vacías las semanas (se calculan solas)"&amp;" · ","")&amp;IF((COUNTIF($I194:$L194,"&gt;1")+COUNTIF($I194:$L194,"&lt;0")+COUNTA($I194:$L194)-COUNT($I194:$L194))&gt;0,"Avance fuera de rango 0-100%"&amp;" · ","")&amp;IF(OR(AND($J194&lt;&gt;"",$J194&lt;$I194),AND($K194&lt;&gt;"",$K194&lt;MAX($I194:$J194)),AND($L194&lt;&gt;"",$L194&lt;MAX($I194:$K194))),"Avance semanal decreciente"&amp;" · ","")&amp;IF(AND(ISNUMBER($AN194),$AN194&lt;FechaRef,IF($V194="Sub",N($X194),N($M194))&lt;1),"Vencida"&amp;" · ","")&amp;IF(AND(ObsObligatoria="Sí",ISNUMBER($AN194),$AN194&lt;FechaRef,IF($V194="Sub",N($X194),N($M194))&lt;1,$Q194=""),"Vencida sin observación"&amp;" · ",""))-3)))</f>
        <v/>
      </c>
      <c r="S194" s="64">
        <f>IF(NOT((COUNTA($B194:$D194)+COUNTA($G194:$L194)+COUNTA($Q194))&gt;0),"",IF(AND($V194="Sub",N($U194)&gt;0),IF(ISNUMBER(INDEX($AM$5:$AM$1000,$U194-4)),DATE(YEAR(INDEX($AM$5:$AM$1000,$U194-4)),MONTH(INDEX($AM$5:$AM$1000,$U194-4)),1),IF(ISNUMBER(INDEX($AN$5:$AN$1000,$U194-4)),DATE(YEAR(INDEX($AN$5:$AN$1000,$U194-4)),MONTH(INDEX($AN$5:$AN$1000,$U194-4)),1),MesCiclo)),IF(ISNUMBER($AM194),DATE(YEAR($AM194),MONTH($AM194),1),IF(ISNUMBER($AN194),DATE(YEAR($AN194),MONTH($AN194),1),MesCiclo))))</f>
        <v/>
      </c>
      <c r="T194" s="62">
        <f>IF(OR($S194="",$S194&lt;&gt;MesCiclo,$V194&lt;&gt;"Macro"),"",COUNTIFS($S$5:$S194,MesCiclo,$V$5:$V194,"Macro"))</f>
        <v/>
      </c>
      <c r="U194" s="62">
        <f>IF($V194="","",IF($V194="Macro",ROW(),IFERROR(LOOKUP(2,1/($V$5:$V194="Macro"),ROW($V$5:$V194)),0)))</f>
        <v/>
      </c>
      <c r="V194" s="62">
        <f>IF(NOT((COUNTA($B194:$D194)+COUNTA($G194:$L194)+COUNTA($Q194))&gt;0),"",IF($B194="Subactividad","Sub","Macro"))</f>
        <v/>
      </c>
      <c r="W194" s="62">
        <f>IF($V194="Macro",COUNTIFS($U$5:$U$1000,ROW(),$V$5:$V$1000,"Sub"),"")</f>
        <v/>
      </c>
      <c r="X194" s="62">
        <f>IF($V194="","",IF(ISNUMBER($G194),1,IFERROR(LOOKUP(2,1/($I194:$L194&lt;&gt;""),$I194:$L194),0)))</f>
        <v/>
      </c>
      <c r="Y194" s="62">
        <f>IF($V194="","",IF(AND(ISNUMBER($G194),$G194&lt;=IF($S194=MesCiclo,InicioCiclo,$S194+MOD(2-WEEKDAY($S194),7))+6),1,IF(ISNUMBER($I194),$I194,0)))</f>
        <v/>
      </c>
      <c r="Z194" s="62">
        <f>IF($V194="","",IF(AND(ISNUMBER($G194),$G194&lt;=IF($S194=MesCiclo,InicioCiclo,$S194+MOD(2-WEEKDAY($S194),7))+13),1,IF(ISNUMBER($J194),$J194,$Y194)))</f>
        <v/>
      </c>
      <c r="AA194" s="62">
        <f>IF($V194="","",IF(AND(ISNUMBER($G194),$G194&lt;=IF($S194=MesCiclo,InicioCiclo,$S194+MOD(2-WEEKDAY($S194),7))+20),1,IF(ISNUMBER($K194),$K194,$Z194)))</f>
        <v/>
      </c>
      <c r="AB194" s="62">
        <f>IF($V194="","",IF(AND(ISNUMBER($G194),$G194&lt;=IF($S194=MesCiclo,InicioCiclo,$S194+MOD(2-WEEKDAY($S194),7))+27),1,IF(ISNUMBER($L194),$L194,$AA194)))</f>
        <v/>
      </c>
      <c r="AC194" s="62">
        <f>IF($V194="","",IF(AND(ISNUMBER($G194),$G194&lt;=IF($S194=MesCiclo,InicioCiclo,$S194+MOD(2-WEEKDAY($S194),7))+6),1,IF(N($W194)&gt;0,AVERAGEIFS($Y$5:$Y$1000,$U$5:$U$1000,ROW(),$V$5:$V$1000,"Sub"),$Y194)))</f>
        <v/>
      </c>
      <c r="AD194" s="62">
        <f>IF($V194="","",IF(AND(ISNUMBER($G194),$G194&lt;=IF($S194=MesCiclo,InicioCiclo,$S194+MOD(2-WEEKDAY($S194),7))+13),1,IF(N($W194)&gt;0,AVERAGEIFS($Z$5:$Z$1000,$U$5:$U$1000,ROW(),$V$5:$V$1000,"Sub"),$Z194)))</f>
        <v/>
      </c>
      <c r="AE194" s="62">
        <f>IF($V194="","",IF(AND(ISNUMBER($G194),$G194&lt;=IF($S194=MesCiclo,InicioCiclo,$S194+MOD(2-WEEKDAY($S194),7))+20),1,IF(N($W194)&gt;0,AVERAGEIFS($AA$5:$AA$1000,$U$5:$U$1000,ROW(),$V$5:$V$1000,"Sub"),$AA194)))</f>
        <v/>
      </c>
      <c r="AF194" s="62">
        <f>IF($V194="","",IF(AND(ISNUMBER($G194),$G194&lt;=IF($S194=MesCiclo,InicioCiclo,$S194+MOD(2-WEEKDAY($S194),7))+27),1,IF(N($W194)&gt;0,AVERAGEIFS($AB$5:$AB$1000,$U$5:$U$1000,ROW(),$V$5:$V$1000,"Sub"),$AB194)))</f>
        <v/>
      </c>
      <c r="AG194" s="62">
        <f>IF($V194&lt;&gt;"Macro","",IF(COUNTIFS($S$5:$S$1000,$S194,$V$5:$V$1000,"Macro",$H$5:$H$1000,"&gt;0")=0,1/COUNTIFS($S$5:$S$1000,$S194,$V$5:$V$1000,"Macro"),IF(AND(ISNUMBER($H194),N($H194)&gt;0),$H194,SUMIFS($H$5:$H$1000,$S$5:$S$1000,$S194,$V$5:$V$1000,"Macro")/COUNTIFS($S$5:$S$1000,$S194,$V$5:$V$1000,"Macro",$H$5:$H$1000,"&gt;0"))/(COUNTIFS($S$5:$S$1000,$S194,$V$5:$V$1000,"Macro")*SUMIFS($H$5:$H$1000,$S$5:$S$1000,$S194,$V$5:$V$1000,"Macro")/COUNTIFS($S$5:$S$1000,$S194,$V$5:$V$1000,"Macro",$H$5:$H$1000,"&gt;0"))))</f>
        <v/>
      </c>
      <c r="AH194" s="62" t="n"/>
      <c r="AI194" s="62" t="n"/>
      <c r="AJ194" s="62" t="n"/>
      <c r="AK194" s="62" t="n"/>
      <c r="AL194" s="62">
        <f>IF(LEFT($C194,11)="[Jefatura] ",IFERROR(MATCH("Asistente Técnico de Riesgo|"&amp;MID($C194,12,500),rDname_ADM,0),0),"")</f>
        <v/>
      </c>
      <c r="AM194" s="62">
        <f>IF(N($AL194)&gt;0,INDEX(rIni_ADM,$AL194),IF(ISNUMBER($E194),$E194,""))</f>
        <v/>
      </c>
      <c r="AN194" s="62">
        <f>IF(N($AL194)&gt;0,INDEX(rLim_ADM,$AL194),IF(ISNUMBER($F194),$F194,""))</f>
        <v/>
      </c>
    </row>
    <row r="195">
      <c r="A195" s="56">
        <f>IF(NOT((COUNTA($B195:$D195)+COUNTA($G195:$L195)+COUNTA($Q195))&gt;0),"",IF($V195="Macro",COUNTIFS($V$5:$V195,"Macro",$S$5:$S195,$S195),IF(N($U195)=0,"?",COUNTIFS(INDEX($V$5:$V$1000,1):INDEX($V$5:$V$1000,$U195-4),"Macro",INDEX($S$5:$S$1000,1):INDEX($S$5:$S$1000,$U195-4),INDEX($S$5:$S$1000,$U195-4))&amp;"."&amp;COUNTIFS($U$5:$U195,$U195,$V$5:$V195,"Sub"))))</f>
        <v/>
      </c>
      <c r="B195" s="57" t="n"/>
      <c r="C195" s="58" t="n"/>
      <c r="D195" s="58" t="n"/>
      <c r="E195" s="59">
        <f>IF(N($AL195)&gt;0,INDEX(rIni_ADM,$AL195),"")</f>
        <v/>
      </c>
      <c r="F195" s="59">
        <f>IF(N($AL195)&gt;0,INDEX(rLim_ADM,$AL195),"")</f>
        <v/>
      </c>
      <c r="G195" s="59" t="n"/>
      <c r="H195" s="60" t="n"/>
      <c r="I195" s="60" t="n"/>
      <c r="J195" s="60" t="n"/>
      <c r="K195" s="60" t="n"/>
      <c r="L195" s="60" t="n"/>
      <c r="M195" s="61">
        <f>IF(NOT((COUNTA($B195:$D195)+COUNTA($G195:$L195)+COUNTA($Q195))&gt;0),"",IF($V195="Sub",IFERROR($X195/INDEX($W$5:$W$1000,$U195-4),""),IF(ISNUMBER($G195),1,IF(N($W195)&gt;0,AVERAGEIFS($X$5:$X$1000,$U$5:$U$1000,ROW(),$V$5:$V$1000,"Sub"),$X195))))</f>
        <v/>
      </c>
      <c r="N195" s="56">
        <f>IF(OR($M195="",$V195="Sub"),"",IF($M195&gt;=1,"Completado",IF($M195&gt;0,"En curso","Pendiente")))</f>
        <v/>
      </c>
      <c r="O195" s="56">
        <f>IF(OR(NOT((COUNTA($B195:$D195)+COUNTA($G195:$L195)+COUNTA($Q195))&gt;0),$V195="Sub"),"",IF(ISNUMBER($G195),IF(AND(ISNUMBER($AN195),$G195&gt;$AN195),"Cumplida con "&amp;($G195-$AN195)&amp;IF($G195-$AN195=1," día"," días")&amp;" de retraso","Cumplida"),IF(N($M195)&gt;=1,"Cumplida",IF(NOT(ISNUMBER($AN195)),"Sin fecha límite",IF($AN195&lt;FechaRef,"Vencida hace "&amp;(FechaRef-$AN195)&amp;IF(FechaRef-$AN195=1," día"," días"),IF($AN195=FechaRef,"Vence hoy",IF($AN195-FechaRef&lt;=DiasAlerta,"Vence en "&amp;($AN195-FechaRef)&amp;IF($AN195-FechaRef=1," día"," días"),"En plazo")))))))</f>
        <v/>
      </c>
      <c r="P195" s="62" t="n"/>
      <c r="Q195" s="58" t="n"/>
      <c r="R195" s="63">
        <f>IF(NOT((COUNTA($B195:$D195)+COUNTA($G195:$L195)+COUNTA($Q195))&gt;0),"",IF((IF($C195="","Falta el nombre de la actividad"&amp;" · ","")&amp;IF(AND($V195="Sub",N($U195)=0),"Subactividad sin macroactividad arriba"&amp;" · ","")&amp;IF($AM195="","Sin fecha de inicio"&amp;" · ","")&amp;IF($AN195="","Sin fecha límite"&amp;" · ","")&amp;IF(AND(LEFT($C195,11)="[Jefatura] ",N($AL195)=0),"No se encuentra en la hoja de la jefatura (elíjala de nuevo en la lista)"&amp;" · ","")&amp;IF(OR(AND($E195&lt;&gt;"",NOT(ISNUMBER($E195))),AND($F195&lt;&gt;"",NOT(ISNUMBER($F195))),AND($G195&lt;&gt;"",NOT(ISNUMBER($G195)))),"Fecha no válida"&amp;" · ","")&amp;IF(AND(ISNUMBER($AM195),ISNUMBER($AN195),$AM195&gt;$AN195),"Inicio posterior a fecha límite"&amp;" · ","")&amp;IF(AND($V195="Macro",$H195&lt;&gt;"",OR(NOT(ISNUMBER($H195)),$H195&lt;0,$H195&gt;1)),"Peso fuera de rango"&amp;" · ","")&amp;IF(AND($V195="Sub",$H195&lt;&gt;""),"Las subactividades no llevan peso (valen igual dentro de su macroactividad)"&amp;" · ","")&amp;IF(AND(N($W195)&gt;0,COUNT($I195:$L195)&gt;0),"Con subactividades: deje vacías las semanas (se calculan solas)"&amp;" · ","")&amp;IF((COUNTIF($I195:$L195,"&gt;1")+COUNTIF($I195:$L195,"&lt;0")+COUNTA($I195:$L195)-COUNT($I195:$L195))&gt;0,"Avance fuera de rango 0-100%"&amp;" · ","")&amp;IF(OR(AND($J195&lt;&gt;"",$J195&lt;$I195),AND($K195&lt;&gt;"",$K195&lt;MAX($I195:$J195)),AND($L195&lt;&gt;"",$L195&lt;MAX($I195:$K195))),"Avance semanal decreciente"&amp;" · ","")&amp;IF(AND(ISNUMBER($AN195),$AN195&lt;FechaRef,IF($V195="Sub",N($X195),N($M195))&lt;1),"Vencida"&amp;" · ","")&amp;IF(AND(ObsObligatoria="Sí",ISNUMBER($AN195),$AN195&lt;FechaRef,IF($V195="Sub",N($X195),N($M195))&lt;1,$Q195=""),"Vencida sin observación"&amp;" · ",""))="","✔ OK","⚠ "&amp;LEFT(IF($C195="","Falta el nombre de la actividad"&amp;" · ","")&amp;IF(AND($V195="Sub",N($U195)=0),"Subactividad sin macroactividad arriba"&amp;" · ","")&amp;IF($AM195="","Sin fecha de inicio"&amp;" · ","")&amp;IF($AN195="","Sin fecha límite"&amp;" · ","")&amp;IF(AND(LEFT($C195,11)="[Jefatura] ",N($AL195)=0),"No se encuentra en la hoja de la jefatura (elíjala de nuevo en la lista)"&amp;" · ","")&amp;IF(OR(AND($E195&lt;&gt;"",NOT(ISNUMBER($E195))),AND($F195&lt;&gt;"",NOT(ISNUMBER($F195))),AND($G195&lt;&gt;"",NOT(ISNUMBER($G195)))),"Fecha no válida"&amp;" · ","")&amp;IF(AND(ISNUMBER($AM195),ISNUMBER($AN195),$AM195&gt;$AN195),"Inicio posterior a fecha límite"&amp;" · ","")&amp;IF(AND($V195="Macro",$H195&lt;&gt;"",OR(NOT(ISNUMBER($H195)),$H195&lt;0,$H195&gt;1)),"Peso fuera de rango"&amp;" · ","")&amp;IF(AND($V195="Sub",$H195&lt;&gt;""),"Las subactividades no llevan peso (valen igual dentro de su macroactividad)"&amp;" · ","")&amp;IF(AND(N($W195)&gt;0,COUNT($I195:$L195)&gt;0),"Con subactividades: deje vacías las semanas (se calculan solas)"&amp;" · ","")&amp;IF((COUNTIF($I195:$L195,"&gt;1")+COUNTIF($I195:$L195,"&lt;0")+COUNTA($I195:$L195)-COUNT($I195:$L195))&gt;0,"Avance fuera de rango 0-100%"&amp;" · ","")&amp;IF(OR(AND($J195&lt;&gt;"",$J195&lt;$I195),AND($K195&lt;&gt;"",$K195&lt;MAX($I195:$J195)),AND($L195&lt;&gt;"",$L195&lt;MAX($I195:$K195))),"Avance semanal decreciente"&amp;" · ","")&amp;IF(AND(ISNUMBER($AN195),$AN195&lt;FechaRef,IF($V195="Sub",N($X195),N($M195))&lt;1),"Vencida"&amp;" · ","")&amp;IF(AND(ObsObligatoria="Sí",ISNUMBER($AN195),$AN195&lt;FechaRef,IF($V195="Sub",N($X195),N($M195))&lt;1,$Q195=""),"Vencida sin observación"&amp;" · ",""),LEN(IF($C195="","Falta el nombre de la actividad"&amp;" · ","")&amp;IF(AND($V195="Sub",N($U195)=0),"Subactividad sin macroactividad arriba"&amp;" · ","")&amp;IF($AM195="","Sin fecha de inicio"&amp;" · ","")&amp;IF($AN195="","Sin fecha límite"&amp;" · ","")&amp;IF(AND(LEFT($C195,11)="[Jefatura] ",N($AL195)=0),"No se encuentra en la hoja de la jefatura (elíjala de nuevo en la lista)"&amp;" · ","")&amp;IF(OR(AND($E195&lt;&gt;"",NOT(ISNUMBER($E195))),AND($F195&lt;&gt;"",NOT(ISNUMBER($F195))),AND($G195&lt;&gt;"",NOT(ISNUMBER($G195)))),"Fecha no válida"&amp;" · ","")&amp;IF(AND(ISNUMBER($AM195),ISNUMBER($AN195),$AM195&gt;$AN195),"Inicio posterior a fecha límite"&amp;" · ","")&amp;IF(AND($V195="Macro",$H195&lt;&gt;"",OR(NOT(ISNUMBER($H195)),$H195&lt;0,$H195&gt;1)),"Peso fuera de rango"&amp;" · ","")&amp;IF(AND($V195="Sub",$H195&lt;&gt;""),"Las subactividades no llevan peso (valen igual dentro de su macroactividad)"&amp;" · ","")&amp;IF(AND(N($W195)&gt;0,COUNT($I195:$L195)&gt;0),"Con subactividades: deje vacías las semanas (se calculan solas)"&amp;" · ","")&amp;IF((COUNTIF($I195:$L195,"&gt;1")+COUNTIF($I195:$L195,"&lt;0")+COUNTA($I195:$L195)-COUNT($I195:$L195))&gt;0,"Avance fuera de rango 0-100%"&amp;" · ","")&amp;IF(OR(AND($J195&lt;&gt;"",$J195&lt;$I195),AND($K195&lt;&gt;"",$K195&lt;MAX($I195:$J195)),AND($L195&lt;&gt;"",$L195&lt;MAX($I195:$K195))),"Avance semanal decreciente"&amp;" · ","")&amp;IF(AND(ISNUMBER($AN195),$AN195&lt;FechaRef,IF($V195="Sub",N($X195),N($M195))&lt;1),"Vencida"&amp;" · ","")&amp;IF(AND(ObsObligatoria="Sí",ISNUMBER($AN195),$AN195&lt;FechaRef,IF($V195="Sub",N($X195),N($M195))&lt;1,$Q195=""),"Vencida sin observación"&amp;" · ",""))-3)))</f>
        <v/>
      </c>
      <c r="S195" s="64">
        <f>IF(NOT((COUNTA($B195:$D195)+COUNTA($G195:$L195)+COUNTA($Q195))&gt;0),"",IF(AND($V195="Sub",N($U195)&gt;0),IF(ISNUMBER(INDEX($AM$5:$AM$1000,$U195-4)),DATE(YEAR(INDEX($AM$5:$AM$1000,$U195-4)),MONTH(INDEX($AM$5:$AM$1000,$U195-4)),1),IF(ISNUMBER(INDEX($AN$5:$AN$1000,$U195-4)),DATE(YEAR(INDEX($AN$5:$AN$1000,$U195-4)),MONTH(INDEX($AN$5:$AN$1000,$U195-4)),1),MesCiclo)),IF(ISNUMBER($AM195),DATE(YEAR($AM195),MONTH($AM195),1),IF(ISNUMBER($AN195),DATE(YEAR($AN195),MONTH($AN195),1),MesCiclo))))</f>
        <v/>
      </c>
      <c r="T195" s="62">
        <f>IF(OR($S195="",$S195&lt;&gt;MesCiclo,$V195&lt;&gt;"Macro"),"",COUNTIFS($S$5:$S195,MesCiclo,$V$5:$V195,"Macro"))</f>
        <v/>
      </c>
      <c r="U195" s="62">
        <f>IF($V195="","",IF($V195="Macro",ROW(),IFERROR(LOOKUP(2,1/($V$5:$V195="Macro"),ROW($V$5:$V195)),0)))</f>
        <v/>
      </c>
      <c r="V195" s="62">
        <f>IF(NOT((COUNTA($B195:$D195)+COUNTA($G195:$L195)+COUNTA($Q195))&gt;0),"",IF($B195="Subactividad","Sub","Macro"))</f>
        <v/>
      </c>
      <c r="W195" s="62">
        <f>IF($V195="Macro",COUNTIFS($U$5:$U$1000,ROW(),$V$5:$V$1000,"Sub"),"")</f>
        <v/>
      </c>
      <c r="X195" s="62">
        <f>IF($V195="","",IF(ISNUMBER($G195),1,IFERROR(LOOKUP(2,1/($I195:$L195&lt;&gt;""),$I195:$L195),0)))</f>
        <v/>
      </c>
      <c r="Y195" s="62">
        <f>IF($V195="","",IF(AND(ISNUMBER($G195),$G195&lt;=IF($S195=MesCiclo,InicioCiclo,$S195+MOD(2-WEEKDAY($S195),7))+6),1,IF(ISNUMBER($I195),$I195,0)))</f>
        <v/>
      </c>
      <c r="Z195" s="62">
        <f>IF($V195="","",IF(AND(ISNUMBER($G195),$G195&lt;=IF($S195=MesCiclo,InicioCiclo,$S195+MOD(2-WEEKDAY($S195),7))+13),1,IF(ISNUMBER($J195),$J195,$Y195)))</f>
        <v/>
      </c>
      <c r="AA195" s="62">
        <f>IF($V195="","",IF(AND(ISNUMBER($G195),$G195&lt;=IF($S195=MesCiclo,InicioCiclo,$S195+MOD(2-WEEKDAY($S195),7))+20),1,IF(ISNUMBER($K195),$K195,$Z195)))</f>
        <v/>
      </c>
      <c r="AB195" s="62">
        <f>IF($V195="","",IF(AND(ISNUMBER($G195),$G195&lt;=IF($S195=MesCiclo,InicioCiclo,$S195+MOD(2-WEEKDAY($S195),7))+27),1,IF(ISNUMBER($L195),$L195,$AA195)))</f>
        <v/>
      </c>
      <c r="AC195" s="62">
        <f>IF($V195="","",IF(AND(ISNUMBER($G195),$G195&lt;=IF($S195=MesCiclo,InicioCiclo,$S195+MOD(2-WEEKDAY($S195),7))+6),1,IF(N($W195)&gt;0,AVERAGEIFS($Y$5:$Y$1000,$U$5:$U$1000,ROW(),$V$5:$V$1000,"Sub"),$Y195)))</f>
        <v/>
      </c>
      <c r="AD195" s="62">
        <f>IF($V195="","",IF(AND(ISNUMBER($G195),$G195&lt;=IF($S195=MesCiclo,InicioCiclo,$S195+MOD(2-WEEKDAY($S195),7))+13),1,IF(N($W195)&gt;0,AVERAGEIFS($Z$5:$Z$1000,$U$5:$U$1000,ROW(),$V$5:$V$1000,"Sub"),$Z195)))</f>
        <v/>
      </c>
      <c r="AE195" s="62">
        <f>IF($V195="","",IF(AND(ISNUMBER($G195),$G195&lt;=IF($S195=MesCiclo,InicioCiclo,$S195+MOD(2-WEEKDAY($S195),7))+20),1,IF(N($W195)&gt;0,AVERAGEIFS($AA$5:$AA$1000,$U$5:$U$1000,ROW(),$V$5:$V$1000,"Sub"),$AA195)))</f>
        <v/>
      </c>
      <c r="AF195" s="62">
        <f>IF($V195="","",IF(AND(ISNUMBER($G195),$G195&lt;=IF($S195=MesCiclo,InicioCiclo,$S195+MOD(2-WEEKDAY($S195),7))+27),1,IF(N($W195)&gt;0,AVERAGEIFS($AB$5:$AB$1000,$U$5:$U$1000,ROW(),$V$5:$V$1000,"Sub"),$AB195)))</f>
        <v/>
      </c>
      <c r="AG195" s="62">
        <f>IF($V195&lt;&gt;"Macro","",IF(COUNTIFS($S$5:$S$1000,$S195,$V$5:$V$1000,"Macro",$H$5:$H$1000,"&gt;0")=0,1/COUNTIFS($S$5:$S$1000,$S195,$V$5:$V$1000,"Macro"),IF(AND(ISNUMBER($H195),N($H195)&gt;0),$H195,SUMIFS($H$5:$H$1000,$S$5:$S$1000,$S195,$V$5:$V$1000,"Macro")/COUNTIFS($S$5:$S$1000,$S195,$V$5:$V$1000,"Macro",$H$5:$H$1000,"&gt;0"))/(COUNTIFS($S$5:$S$1000,$S195,$V$5:$V$1000,"Macro")*SUMIFS($H$5:$H$1000,$S$5:$S$1000,$S195,$V$5:$V$1000,"Macro")/COUNTIFS($S$5:$S$1000,$S195,$V$5:$V$1000,"Macro",$H$5:$H$1000,"&gt;0"))))</f>
        <v/>
      </c>
      <c r="AH195" s="62" t="n"/>
      <c r="AI195" s="62" t="n"/>
      <c r="AJ195" s="62" t="n"/>
      <c r="AK195" s="62" t="n"/>
      <c r="AL195" s="62">
        <f>IF(LEFT($C195,11)="[Jefatura] ",IFERROR(MATCH("Asistente Técnico de Riesgo|"&amp;MID($C195,12,500),rDname_ADM,0),0),"")</f>
        <v/>
      </c>
      <c r="AM195" s="62">
        <f>IF(N($AL195)&gt;0,INDEX(rIni_ADM,$AL195),IF(ISNUMBER($E195),$E195,""))</f>
        <v/>
      </c>
      <c r="AN195" s="62">
        <f>IF(N($AL195)&gt;0,INDEX(rLim_ADM,$AL195),IF(ISNUMBER($F195),$F195,""))</f>
        <v/>
      </c>
    </row>
    <row r="196">
      <c r="A196" s="56">
        <f>IF(NOT((COUNTA($B196:$D196)+COUNTA($G196:$L196)+COUNTA($Q196))&gt;0),"",IF($V196="Macro",COUNTIFS($V$5:$V196,"Macro",$S$5:$S196,$S196),IF(N($U196)=0,"?",COUNTIFS(INDEX($V$5:$V$1000,1):INDEX($V$5:$V$1000,$U196-4),"Macro",INDEX($S$5:$S$1000,1):INDEX($S$5:$S$1000,$U196-4),INDEX($S$5:$S$1000,$U196-4))&amp;"."&amp;COUNTIFS($U$5:$U196,$U196,$V$5:$V196,"Sub"))))</f>
        <v/>
      </c>
      <c r="B196" s="57" t="n"/>
      <c r="C196" s="58" t="n"/>
      <c r="D196" s="58" t="n"/>
      <c r="E196" s="59">
        <f>IF(N($AL196)&gt;0,INDEX(rIni_ADM,$AL196),"")</f>
        <v/>
      </c>
      <c r="F196" s="59">
        <f>IF(N($AL196)&gt;0,INDEX(rLim_ADM,$AL196),"")</f>
        <v/>
      </c>
      <c r="G196" s="59" t="n"/>
      <c r="H196" s="60" t="n"/>
      <c r="I196" s="60" t="n"/>
      <c r="J196" s="60" t="n"/>
      <c r="K196" s="60" t="n"/>
      <c r="L196" s="60" t="n"/>
      <c r="M196" s="61">
        <f>IF(NOT((COUNTA($B196:$D196)+COUNTA($G196:$L196)+COUNTA($Q196))&gt;0),"",IF($V196="Sub",IFERROR($X196/INDEX($W$5:$W$1000,$U196-4),""),IF(ISNUMBER($G196),1,IF(N($W196)&gt;0,AVERAGEIFS($X$5:$X$1000,$U$5:$U$1000,ROW(),$V$5:$V$1000,"Sub"),$X196))))</f>
        <v/>
      </c>
      <c r="N196" s="56">
        <f>IF(OR($M196="",$V196="Sub"),"",IF($M196&gt;=1,"Completado",IF($M196&gt;0,"En curso","Pendiente")))</f>
        <v/>
      </c>
      <c r="O196" s="56">
        <f>IF(OR(NOT((COUNTA($B196:$D196)+COUNTA($G196:$L196)+COUNTA($Q196))&gt;0),$V196="Sub"),"",IF(ISNUMBER($G196),IF(AND(ISNUMBER($AN196),$G196&gt;$AN196),"Cumplida con "&amp;($G196-$AN196)&amp;IF($G196-$AN196=1," día"," días")&amp;" de retraso","Cumplida"),IF(N($M196)&gt;=1,"Cumplida",IF(NOT(ISNUMBER($AN196)),"Sin fecha límite",IF($AN196&lt;FechaRef,"Vencida hace "&amp;(FechaRef-$AN196)&amp;IF(FechaRef-$AN196=1," día"," días"),IF($AN196=FechaRef,"Vence hoy",IF($AN196-FechaRef&lt;=DiasAlerta,"Vence en "&amp;($AN196-FechaRef)&amp;IF($AN196-FechaRef=1," día"," días"),"En plazo")))))))</f>
        <v/>
      </c>
      <c r="P196" s="62" t="n"/>
      <c r="Q196" s="58" t="n"/>
      <c r="R196" s="63">
        <f>IF(NOT((COUNTA($B196:$D196)+COUNTA($G196:$L196)+COUNTA($Q196))&gt;0),"",IF((IF($C196="","Falta el nombre de la actividad"&amp;" · ","")&amp;IF(AND($V196="Sub",N($U196)=0),"Subactividad sin macroactividad arriba"&amp;" · ","")&amp;IF($AM196="","Sin fecha de inicio"&amp;" · ","")&amp;IF($AN196="","Sin fecha límite"&amp;" · ","")&amp;IF(AND(LEFT($C196,11)="[Jefatura] ",N($AL196)=0),"No se encuentra en la hoja de la jefatura (elíjala de nuevo en la lista)"&amp;" · ","")&amp;IF(OR(AND($E196&lt;&gt;"",NOT(ISNUMBER($E196))),AND($F196&lt;&gt;"",NOT(ISNUMBER($F196))),AND($G196&lt;&gt;"",NOT(ISNUMBER($G196)))),"Fecha no válida"&amp;" · ","")&amp;IF(AND(ISNUMBER($AM196),ISNUMBER($AN196),$AM196&gt;$AN196),"Inicio posterior a fecha límite"&amp;" · ","")&amp;IF(AND($V196="Macro",$H196&lt;&gt;"",OR(NOT(ISNUMBER($H196)),$H196&lt;0,$H196&gt;1)),"Peso fuera de rango"&amp;" · ","")&amp;IF(AND($V196="Sub",$H196&lt;&gt;""),"Las subactividades no llevan peso (valen igual dentro de su macroactividad)"&amp;" · ","")&amp;IF(AND(N($W196)&gt;0,COUNT($I196:$L196)&gt;0),"Con subactividades: deje vacías las semanas (se calculan solas)"&amp;" · ","")&amp;IF((COUNTIF($I196:$L196,"&gt;1")+COUNTIF($I196:$L196,"&lt;0")+COUNTA($I196:$L196)-COUNT($I196:$L196))&gt;0,"Avance fuera de rango 0-100%"&amp;" · ","")&amp;IF(OR(AND($J196&lt;&gt;"",$J196&lt;$I196),AND($K196&lt;&gt;"",$K196&lt;MAX($I196:$J196)),AND($L196&lt;&gt;"",$L196&lt;MAX($I196:$K196))),"Avance semanal decreciente"&amp;" · ","")&amp;IF(AND(ISNUMBER($AN196),$AN196&lt;FechaRef,IF($V196="Sub",N($X196),N($M196))&lt;1),"Vencida"&amp;" · ","")&amp;IF(AND(ObsObligatoria="Sí",ISNUMBER($AN196),$AN196&lt;FechaRef,IF($V196="Sub",N($X196),N($M196))&lt;1,$Q196=""),"Vencida sin observación"&amp;" · ",""))="","✔ OK","⚠ "&amp;LEFT(IF($C196="","Falta el nombre de la actividad"&amp;" · ","")&amp;IF(AND($V196="Sub",N($U196)=0),"Subactividad sin macroactividad arriba"&amp;" · ","")&amp;IF($AM196="","Sin fecha de inicio"&amp;" · ","")&amp;IF($AN196="","Sin fecha límite"&amp;" · ","")&amp;IF(AND(LEFT($C196,11)="[Jefatura] ",N($AL196)=0),"No se encuentra en la hoja de la jefatura (elíjala de nuevo en la lista)"&amp;" · ","")&amp;IF(OR(AND($E196&lt;&gt;"",NOT(ISNUMBER($E196))),AND($F196&lt;&gt;"",NOT(ISNUMBER($F196))),AND($G196&lt;&gt;"",NOT(ISNUMBER($G196)))),"Fecha no válida"&amp;" · ","")&amp;IF(AND(ISNUMBER($AM196),ISNUMBER($AN196),$AM196&gt;$AN196),"Inicio posterior a fecha límite"&amp;" · ","")&amp;IF(AND($V196="Macro",$H196&lt;&gt;"",OR(NOT(ISNUMBER($H196)),$H196&lt;0,$H196&gt;1)),"Peso fuera de rango"&amp;" · ","")&amp;IF(AND($V196="Sub",$H196&lt;&gt;""),"Las subactividades no llevan peso (valen igual dentro de su macroactividad)"&amp;" · ","")&amp;IF(AND(N($W196)&gt;0,COUNT($I196:$L196)&gt;0),"Con subactividades: deje vacías las semanas (se calculan solas)"&amp;" · ","")&amp;IF((COUNTIF($I196:$L196,"&gt;1")+COUNTIF($I196:$L196,"&lt;0")+COUNTA($I196:$L196)-COUNT($I196:$L196))&gt;0,"Avance fuera de rango 0-100%"&amp;" · ","")&amp;IF(OR(AND($J196&lt;&gt;"",$J196&lt;$I196),AND($K196&lt;&gt;"",$K196&lt;MAX($I196:$J196)),AND($L196&lt;&gt;"",$L196&lt;MAX($I196:$K196))),"Avance semanal decreciente"&amp;" · ","")&amp;IF(AND(ISNUMBER($AN196),$AN196&lt;FechaRef,IF($V196="Sub",N($X196),N($M196))&lt;1),"Vencida"&amp;" · ","")&amp;IF(AND(ObsObligatoria="Sí",ISNUMBER($AN196),$AN196&lt;FechaRef,IF($V196="Sub",N($X196),N($M196))&lt;1,$Q196=""),"Vencida sin observación"&amp;" · ",""),LEN(IF($C196="","Falta el nombre de la actividad"&amp;" · ","")&amp;IF(AND($V196="Sub",N($U196)=0),"Subactividad sin macroactividad arriba"&amp;" · ","")&amp;IF($AM196="","Sin fecha de inicio"&amp;" · ","")&amp;IF($AN196="","Sin fecha límite"&amp;" · ","")&amp;IF(AND(LEFT($C196,11)="[Jefatura] ",N($AL196)=0),"No se encuentra en la hoja de la jefatura (elíjala de nuevo en la lista)"&amp;" · ","")&amp;IF(OR(AND($E196&lt;&gt;"",NOT(ISNUMBER($E196))),AND($F196&lt;&gt;"",NOT(ISNUMBER($F196))),AND($G196&lt;&gt;"",NOT(ISNUMBER($G196)))),"Fecha no válida"&amp;" · ","")&amp;IF(AND(ISNUMBER($AM196),ISNUMBER($AN196),$AM196&gt;$AN196),"Inicio posterior a fecha límite"&amp;" · ","")&amp;IF(AND($V196="Macro",$H196&lt;&gt;"",OR(NOT(ISNUMBER($H196)),$H196&lt;0,$H196&gt;1)),"Peso fuera de rango"&amp;" · ","")&amp;IF(AND($V196="Sub",$H196&lt;&gt;""),"Las subactividades no llevan peso (valen igual dentro de su macroactividad)"&amp;" · ","")&amp;IF(AND(N($W196)&gt;0,COUNT($I196:$L196)&gt;0),"Con subactividades: deje vacías las semanas (se calculan solas)"&amp;" · ","")&amp;IF((COUNTIF($I196:$L196,"&gt;1")+COUNTIF($I196:$L196,"&lt;0")+COUNTA($I196:$L196)-COUNT($I196:$L196))&gt;0,"Avance fuera de rango 0-100%"&amp;" · ","")&amp;IF(OR(AND($J196&lt;&gt;"",$J196&lt;$I196),AND($K196&lt;&gt;"",$K196&lt;MAX($I196:$J196)),AND($L196&lt;&gt;"",$L196&lt;MAX($I196:$K196))),"Avance semanal decreciente"&amp;" · ","")&amp;IF(AND(ISNUMBER($AN196),$AN196&lt;FechaRef,IF($V196="Sub",N($X196),N($M196))&lt;1),"Vencida"&amp;" · ","")&amp;IF(AND(ObsObligatoria="Sí",ISNUMBER($AN196),$AN196&lt;FechaRef,IF($V196="Sub",N($X196),N($M196))&lt;1,$Q196=""),"Vencida sin observación"&amp;" · ",""))-3)))</f>
        <v/>
      </c>
      <c r="S196" s="64">
        <f>IF(NOT((COUNTA($B196:$D196)+COUNTA($G196:$L196)+COUNTA($Q196))&gt;0),"",IF(AND($V196="Sub",N($U196)&gt;0),IF(ISNUMBER(INDEX($AM$5:$AM$1000,$U196-4)),DATE(YEAR(INDEX($AM$5:$AM$1000,$U196-4)),MONTH(INDEX($AM$5:$AM$1000,$U196-4)),1),IF(ISNUMBER(INDEX($AN$5:$AN$1000,$U196-4)),DATE(YEAR(INDEX($AN$5:$AN$1000,$U196-4)),MONTH(INDEX($AN$5:$AN$1000,$U196-4)),1),MesCiclo)),IF(ISNUMBER($AM196),DATE(YEAR($AM196),MONTH($AM196),1),IF(ISNUMBER($AN196),DATE(YEAR($AN196),MONTH($AN196),1),MesCiclo))))</f>
        <v/>
      </c>
      <c r="T196" s="62">
        <f>IF(OR($S196="",$S196&lt;&gt;MesCiclo,$V196&lt;&gt;"Macro"),"",COUNTIFS($S$5:$S196,MesCiclo,$V$5:$V196,"Macro"))</f>
        <v/>
      </c>
      <c r="U196" s="62">
        <f>IF($V196="","",IF($V196="Macro",ROW(),IFERROR(LOOKUP(2,1/($V$5:$V196="Macro"),ROW($V$5:$V196)),0)))</f>
        <v/>
      </c>
      <c r="V196" s="62">
        <f>IF(NOT((COUNTA($B196:$D196)+COUNTA($G196:$L196)+COUNTA($Q196))&gt;0),"",IF($B196="Subactividad","Sub","Macro"))</f>
        <v/>
      </c>
      <c r="W196" s="62">
        <f>IF($V196="Macro",COUNTIFS($U$5:$U$1000,ROW(),$V$5:$V$1000,"Sub"),"")</f>
        <v/>
      </c>
      <c r="X196" s="62">
        <f>IF($V196="","",IF(ISNUMBER($G196),1,IFERROR(LOOKUP(2,1/($I196:$L196&lt;&gt;""),$I196:$L196),0)))</f>
        <v/>
      </c>
      <c r="Y196" s="62">
        <f>IF($V196="","",IF(AND(ISNUMBER($G196),$G196&lt;=IF($S196=MesCiclo,InicioCiclo,$S196+MOD(2-WEEKDAY($S196),7))+6),1,IF(ISNUMBER($I196),$I196,0)))</f>
        <v/>
      </c>
      <c r="Z196" s="62">
        <f>IF($V196="","",IF(AND(ISNUMBER($G196),$G196&lt;=IF($S196=MesCiclo,InicioCiclo,$S196+MOD(2-WEEKDAY($S196),7))+13),1,IF(ISNUMBER($J196),$J196,$Y196)))</f>
        <v/>
      </c>
      <c r="AA196" s="62">
        <f>IF($V196="","",IF(AND(ISNUMBER($G196),$G196&lt;=IF($S196=MesCiclo,InicioCiclo,$S196+MOD(2-WEEKDAY($S196),7))+20),1,IF(ISNUMBER($K196),$K196,$Z196)))</f>
        <v/>
      </c>
      <c r="AB196" s="62">
        <f>IF($V196="","",IF(AND(ISNUMBER($G196),$G196&lt;=IF($S196=MesCiclo,InicioCiclo,$S196+MOD(2-WEEKDAY($S196),7))+27),1,IF(ISNUMBER($L196),$L196,$AA196)))</f>
        <v/>
      </c>
      <c r="AC196" s="62">
        <f>IF($V196="","",IF(AND(ISNUMBER($G196),$G196&lt;=IF($S196=MesCiclo,InicioCiclo,$S196+MOD(2-WEEKDAY($S196),7))+6),1,IF(N($W196)&gt;0,AVERAGEIFS($Y$5:$Y$1000,$U$5:$U$1000,ROW(),$V$5:$V$1000,"Sub"),$Y196)))</f>
        <v/>
      </c>
      <c r="AD196" s="62">
        <f>IF($V196="","",IF(AND(ISNUMBER($G196),$G196&lt;=IF($S196=MesCiclo,InicioCiclo,$S196+MOD(2-WEEKDAY($S196),7))+13),1,IF(N($W196)&gt;0,AVERAGEIFS($Z$5:$Z$1000,$U$5:$U$1000,ROW(),$V$5:$V$1000,"Sub"),$Z196)))</f>
        <v/>
      </c>
      <c r="AE196" s="62">
        <f>IF($V196="","",IF(AND(ISNUMBER($G196),$G196&lt;=IF($S196=MesCiclo,InicioCiclo,$S196+MOD(2-WEEKDAY($S196),7))+20),1,IF(N($W196)&gt;0,AVERAGEIFS($AA$5:$AA$1000,$U$5:$U$1000,ROW(),$V$5:$V$1000,"Sub"),$AA196)))</f>
        <v/>
      </c>
      <c r="AF196" s="62">
        <f>IF($V196="","",IF(AND(ISNUMBER($G196),$G196&lt;=IF($S196=MesCiclo,InicioCiclo,$S196+MOD(2-WEEKDAY($S196),7))+27),1,IF(N($W196)&gt;0,AVERAGEIFS($AB$5:$AB$1000,$U$5:$U$1000,ROW(),$V$5:$V$1000,"Sub"),$AB196)))</f>
        <v/>
      </c>
      <c r="AG196" s="62">
        <f>IF($V196&lt;&gt;"Macro","",IF(COUNTIFS($S$5:$S$1000,$S196,$V$5:$V$1000,"Macro",$H$5:$H$1000,"&gt;0")=0,1/COUNTIFS($S$5:$S$1000,$S196,$V$5:$V$1000,"Macro"),IF(AND(ISNUMBER($H196),N($H196)&gt;0),$H196,SUMIFS($H$5:$H$1000,$S$5:$S$1000,$S196,$V$5:$V$1000,"Macro")/COUNTIFS($S$5:$S$1000,$S196,$V$5:$V$1000,"Macro",$H$5:$H$1000,"&gt;0"))/(COUNTIFS($S$5:$S$1000,$S196,$V$5:$V$1000,"Macro")*SUMIFS($H$5:$H$1000,$S$5:$S$1000,$S196,$V$5:$V$1000,"Macro")/COUNTIFS($S$5:$S$1000,$S196,$V$5:$V$1000,"Macro",$H$5:$H$1000,"&gt;0"))))</f>
        <v/>
      </c>
      <c r="AH196" s="62" t="n"/>
      <c r="AI196" s="62" t="n"/>
      <c r="AJ196" s="62" t="n"/>
      <c r="AK196" s="62" t="n"/>
      <c r="AL196" s="62">
        <f>IF(LEFT($C196,11)="[Jefatura] ",IFERROR(MATCH("Asistente Técnico de Riesgo|"&amp;MID($C196,12,500),rDname_ADM,0),0),"")</f>
        <v/>
      </c>
      <c r="AM196" s="62">
        <f>IF(N($AL196)&gt;0,INDEX(rIni_ADM,$AL196),IF(ISNUMBER($E196),$E196,""))</f>
        <v/>
      </c>
      <c r="AN196" s="62">
        <f>IF(N($AL196)&gt;0,INDEX(rLim_ADM,$AL196),IF(ISNUMBER($F196),$F196,""))</f>
        <v/>
      </c>
    </row>
    <row r="197">
      <c r="A197" s="56">
        <f>IF(NOT((COUNTA($B197:$D197)+COUNTA($G197:$L197)+COUNTA($Q197))&gt;0),"",IF($V197="Macro",COUNTIFS($V$5:$V197,"Macro",$S$5:$S197,$S197),IF(N($U197)=0,"?",COUNTIFS(INDEX($V$5:$V$1000,1):INDEX($V$5:$V$1000,$U197-4),"Macro",INDEX($S$5:$S$1000,1):INDEX($S$5:$S$1000,$U197-4),INDEX($S$5:$S$1000,$U197-4))&amp;"."&amp;COUNTIFS($U$5:$U197,$U197,$V$5:$V197,"Sub"))))</f>
        <v/>
      </c>
      <c r="B197" s="57" t="n"/>
      <c r="C197" s="58" t="n"/>
      <c r="D197" s="58" t="n"/>
      <c r="E197" s="59">
        <f>IF(N($AL197)&gt;0,INDEX(rIni_ADM,$AL197),"")</f>
        <v/>
      </c>
      <c r="F197" s="59">
        <f>IF(N($AL197)&gt;0,INDEX(rLim_ADM,$AL197),"")</f>
        <v/>
      </c>
      <c r="G197" s="59" t="n"/>
      <c r="H197" s="60" t="n"/>
      <c r="I197" s="60" t="n"/>
      <c r="J197" s="60" t="n"/>
      <c r="K197" s="60" t="n"/>
      <c r="L197" s="60" t="n"/>
      <c r="M197" s="61">
        <f>IF(NOT((COUNTA($B197:$D197)+COUNTA($G197:$L197)+COUNTA($Q197))&gt;0),"",IF($V197="Sub",IFERROR($X197/INDEX($W$5:$W$1000,$U197-4),""),IF(ISNUMBER($G197),1,IF(N($W197)&gt;0,AVERAGEIFS($X$5:$X$1000,$U$5:$U$1000,ROW(),$V$5:$V$1000,"Sub"),$X197))))</f>
        <v/>
      </c>
      <c r="N197" s="56">
        <f>IF(OR($M197="",$V197="Sub"),"",IF($M197&gt;=1,"Completado",IF($M197&gt;0,"En curso","Pendiente")))</f>
        <v/>
      </c>
      <c r="O197" s="56">
        <f>IF(OR(NOT((COUNTA($B197:$D197)+COUNTA($G197:$L197)+COUNTA($Q197))&gt;0),$V197="Sub"),"",IF(ISNUMBER($G197),IF(AND(ISNUMBER($AN197),$G197&gt;$AN197),"Cumplida con "&amp;($G197-$AN197)&amp;IF($G197-$AN197=1," día"," días")&amp;" de retraso","Cumplida"),IF(N($M197)&gt;=1,"Cumplida",IF(NOT(ISNUMBER($AN197)),"Sin fecha límite",IF($AN197&lt;FechaRef,"Vencida hace "&amp;(FechaRef-$AN197)&amp;IF(FechaRef-$AN197=1," día"," días"),IF($AN197=FechaRef,"Vence hoy",IF($AN197-FechaRef&lt;=DiasAlerta,"Vence en "&amp;($AN197-FechaRef)&amp;IF($AN197-FechaRef=1," día"," días"),"En plazo")))))))</f>
        <v/>
      </c>
      <c r="P197" s="62" t="n"/>
      <c r="Q197" s="58" t="n"/>
      <c r="R197" s="63">
        <f>IF(NOT((COUNTA($B197:$D197)+COUNTA($G197:$L197)+COUNTA($Q197))&gt;0),"",IF((IF($C197="","Falta el nombre de la actividad"&amp;" · ","")&amp;IF(AND($V197="Sub",N($U197)=0),"Subactividad sin macroactividad arriba"&amp;" · ","")&amp;IF($AM197="","Sin fecha de inicio"&amp;" · ","")&amp;IF($AN197="","Sin fecha límite"&amp;" · ","")&amp;IF(AND(LEFT($C197,11)="[Jefatura] ",N($AL197)=0),"No se encuentra en la hoja de la jefatura (elíjala de nuevo en la lista)"&amp;" · ","")&amp;IF(OR(AND($E197&lt;&gt;"",NOT(ISNUMBER($E197))),AND($F197&lt;&gt;"",NOT(ISNUMBER($F197))),AND($G197&lt;&gt;"",NOT(ISNUMBER($G197)))),"Fecha no válida"&amp;" · ","")&amp;IF(AND(ISNUMBER($AM197),ISNUMBER($AN197),$AM197&gt;$AN197),"Inicio posterior a fecha límite"&amp;" · ","")&amp;IF(AND($V197="Macro",$H197&lt;&gt;"",OR(NOT(ISNUMBER($H197)),$H197&lt;0,$H197&gt;1)),"Peso fuera de rango"&amp;" · ","")&amp;IF(AND($V197="Sub",$H197&lt;&gt;""),"Las subactividades no llevan peso (valen igual dentro de su macroactividad)"&amp;" · ","")&amp;IF(AND(N($W197)&gt;0,COUNT($I197:$L197)&gt;0),"Con subactividades: deje vacías las semanas (se calculan solas)"&amp;" · ","")&amp;IF((COUNTIF($I197:$L197,"&gt;1")+COUNTIF($I197:$L197,"&lt;0")+COUNTA($I197:$L197)-COUNT($I197:$L197))&gt;0,"Avance fuera de rango 0-100%"&amp;" · ","")&amp;IF(OR(AND($J197&lt;&gt;"",$J197&lt;$I197),AND($K197&lt;&gt;"",$K197&lt;MAX($I197:$J197)),AND($L197&lt;&gt;"",$L197&lt;MAX($I197:$K197))),"Avance semanal decreciente"&amp;" · ","")&amp;IF(AND(ISNUMBER($AN197),$AN197&lt;FechaRef,IF($V197="Sub",N($X197),N($M197))&lt;1),"Vencida"&amp;" · ","")&amp;IF(AND(ObsObligatoria="Sí",ISNUMBER($AN197),$AN197&lt;FechaRef,IF($V197="Sub",N($X197),N($M197))&lt;1,$Q197=""),"Vencida sin observación"&amp;" · ",""))="","✔ OK","⚠ "&amp;LEFT(IF($C197="","Falta el nombre de la actividad"&amp;" · ","")&amp;IF(AND($V197="Sub",N($U197)=0),"Subactividad sin macroactividad arriba"&amp;" · ","")&amp;IF($AM197="","Sin fecha de inicio"&amp;" · ","")&amp;IF($AN197="","Sin fecha límite"&amp;" · ","")&amp;IF(AND(LEFT($C197,11)="[Jefatura] ",N($AL197)=0),"No se encuentra en la hoja de la jefatura (elíjala de nuevo en la lista)"&amp;" · ","")&amp;IF(OR(AND($E197&lt;&gt;"",NOT(ISNUMBER($E197))),AND($F197&lt;&gt;"",NOT(ISNUMBER($F197))),AND($G197&lt;&gt;"",NOT(ISNUMBER($G197)))),"Fecha no válida"&amp;" · ","")&amp;IF(AND(ISNUMBER($AM197),ISNUMBER($AN197),$AM197&gt;$AN197),"Inicio posterior a fecha límite"&amp;" · ","")&amp;IF(AND($V197="Macro",$H197&lt;&gt;"",OR(NOT(ISNUMBER($H197)),$H197&lt;0,$H197&gt;1)),"Peso fuera de rango"&amp;" · ","")&amp;IF(AND($V197="Sub",$H197&lt;&gt;""),"Las subactividades no llevan peso (valen igual dentro de su macroactividad)"&amp;" · ","")&amp;IF(AND(N($W197)&gt;0,COUNT($I197:$L197)&gt;0),"Con subactividades: deje vacías las semanas (se calculan solas)"&amp;" · ","")&amp;IF((COUNTIF($I197:$L197,"&gt;1")+COUNTIF($I197:$L197,"&lt;0")+COUNTA($I197:$L197)-COUNT($I197:$L197))&gt;0,"Avance fuera de rango 0-100%"&amp;" · ","")&amp;IF(OR(AND($J197&lt;&gt;"",$J197&lt;$I197),AND($K197&lt;&gt;"",$K197&lt;MAX($I197:$J197)),AND($L197&lt;&gt;"",$L197&lt;MAX($I197:$K197))),"Avance semanal decreciente"&amp;" · ","")&amp;IF(AND(ISNUMBER($AN197),$AN197&lt;FechaRef,IF($V197="Sub",N($X197),N($M197))&lt;1),"Vencida"&amp;" · ","")&amp;IF(AND(ObsObligatoria="Sí",ISNUMBER($AN197),$AN197&lt;FechaRef,IF($V197="Sub",N($X197),N($M197))&lt;1,$Q197=""),"Vencida sin observación"&amp;" · ",""),LEN(IF($C197="","Falta el nombre de la actividad"&amp;" · ","")&amp;IF(AND($V197="Sub",N($U197)=0),"Subactividad sin macroactividad arriba"&amp;" · ","")&amp;IF($AM197="","Sin fecha de inicio"&amp;" · ","")&amp;IF($AN197="","Sin fecha límite"&amp;" · ","")&amp;IF(AND(LEFT($C197,11)="[Jefatura] ",N($AL197)=0),"No se encuentra en la hoja de la jefatura (elíjala de nuevo en la lista)"&amp;" · ","")&amp;IF(OR(AND($E197&lt;&gt;"",NOT(ISNUMBER($E197))),AND($F197&lt;&gt;"",NOT(ISNUMBER($F197))),AND($G197&lt;&gt;"",NOT(ISNUMBER($G197)))),"Fecha no válida"&amp;" · ","")&amp;IF(AND(ISNUMBER($AM197),ISNUMBER($AN197),$AM197&gt;$AN197),"Inicio posterior a fecha límite"&amp;" · ","")&amp;IF(AND($V197="Macro",$H197&lt;&gt;"",OR(NOT(ISNUMBER($H197)),$H197&lt;0,$H197&gt;1)),"Peso fuera de rango"&amp;" · ","")&amp;IF(AND($V197="Sub",$H197&lt;&gt;""),"Las subactividades no llevan peso (valen igual dentro de su macroactividad)"&amp;" · ","")&amp;IF(AND(N($W197)&gt;0,COUNT($I197:$L197)&gt;0),"Con subactividades: deje vacías las semanas (se calculan solas)"&amp;" · ","")&amp;IF((COUNTIF($I197:$L197,"&gt;1")+COUNTIF($I197:$L197,"&lt;0")+COUNTA($I197:$L197)-COUNT($I197:$L197))&gt;0,"Avance fuera de rango 0-100%"&amp;" · ","")&amp;IF(OR(AND($J197&lt;&gt;"",$J197&lt;$I197),AND($K197&lt;&gt;"",$K197&lt;MAX($I197:$J197)),AND($L197&lt;&gt;"",$L197&lt;MAX($I197:$K197))),"Avance semanal decreciente"&amp;" · ","")&amp;IF(AND(ISNUMBER($AN197),$AN197&lt;FechaRef,IF($V197="Sub",N($X197),N($M197))&lt;1),"Vencida"&amp;" · ","")&amp;IF(AND(ObsObligatoria="Sí",ISNUMBER($AN197),$AN197&lt;FechaRef,IF($V197="Sub",N($X197),N($M197))&lt;1,$Q197=""),"Vencida sin observación"&amp;" · ",""))-3)))</f>
        <v/>
      </c>
      <c r="S197" s="64">
        <f>IF(NOT((COUNTA($B197:$D197)+COUNTA($G197:$L197)+COUNTA($Q197))&gt;0),"",IF(AND($V197="Sub",N($U197)&gt;0),IF(ISNUMBER(INDEX($AM$5:$AM$1000,$U197-4)),DATE(YEAR(INDEX($AM$5:$AM$1000,$U197-4)),MONTH(INDEX($AM$5:$AM$1000,$U197-4)),1),IF(ISNUMBER(INDEX($AN$5:$AN$1000,$U197-4)),DATE(YEAR(INDEX($AN$5:$AN$1000,$U197-4)),MONTH(INDEX($AN$5:$AN$1000,$U197-4)),1),MesCiclo)),IF(ISNUMBER($AM197),DATE(YEAR($AM197),MONTH($AM197),1),IF(ISNUMBER($AN197),DATE(YEAR($AN197),MONTH($AN197),1),MesCiclo))))</f>
        <v/>
      </c>
      <c r="T197" s="62">
        <f>IF(OR($S197="",$S197&lt;&gt;MesCiclo,$V197&lt;&gt;"Macro"),"",COUNTIFS($S$5:$S197,MesCiclo,$V$5:$V197,"Macro"))</f>
        <v/>
      </c>
      <c r="U197" s="62">
        <f>IF($V197="","",IF($V197="Macro",ROW(),IFERROR(LOOKUP(2,1/($V$5:$V197="Macro"),ROW($V$5:$V197)),0)))</f>
        <v/>
      </c>
      <c r="V197" s="62">
        <f>IF(NOT((COUNTA($B197:$D197)+COUNTA($G197:$L197)+COUNTA($Q197))&gt;0),"",IF($B197="Subactividad","Sub","Macro"))</f>
        <v/>
      </c>
      <c r="W197" s="62">
        <f>IF($V197="Macro",COUNTIFS($U$5:$U$1000,ROW(),$V$5:$V$1000,"Sub"),"")</f>
        <v/>
      </c>
      <c r="X197" s="62">
        <f>IF($V197="","",IF(ISNUMBER($G197),1,IFERROR(LOOKUP(2,1/($I197:$L197&lt;&gt;""),$I197:$L197),0)))</f>
        <v/>
      </c>
      <c r="Y197" s="62">
        <f>IF($V197="","",IF(AND(ISNUMBER($G197),$G197&lt;=IF($S197=MesCiclo,InicioCiclo,$S197+MOD(2-WEEKDAY($S197),7))+6),1,IF(ISNUMBER($I197),$I197,0)))</f>
        <v/>
      </c>
      <c r="Z197" s="62">
        <f>IF($V197="","",IF(AND(ISNUMBER($G197),$G197&lt;=IF($S197=MesCiclo,InicioCiclo,$S197+MOD(2-WEEKDAY($S197),7))+13),1,IF(ISNUMBER($J197),$J197,$Y197)))</f>
        <v/>
      </c>
      <c r="AA197" s="62">
        <f>IF($V197="","",IF(AND(ISNUMBER($G197),$G197&lt;=IF($S197=MesCiclo,InicioCiclo,$S197+MOD(2-WEEKDAY($S197),7))+20),1,IF(ISNUMBER($K197),$K197,$Z197)))</f>
        <v/>
      </c>
      <c r="AB197" s="62">
        <f>IF($V197="","",IF(AND(ISNUMBER($G197),$G197&lt;=IF($S197=MesCiclo,InicioCiclo,$S197+MOD(2-WEEKDAY($S197),7))+27),1,IF(ISNUMBER($L197),$L197,$AA197)))</f>
        <v/>
      </c>
      <c r="AC197" s="62">
        <f>IF($V197="","",IF(AND(ISNUMBER($G197),$G197&lt;=IF($S197=MesCiclo,InicioCiclo,$S197+MOD(2-WEEKDAY($S197),7))+6),1,IF(N($W197)&gt;0,AVERAGEIFS($Y$5:$Y$1000,$U$5:$U$1000,ROW(),$V$5:$V$1000,"Sub"),$Y197)))</f>
        <v/>
      </c>
      <c r="AD197" s="62">
        <f>IF($V197="","",IF(AND(ISNUMBER($G197),$G197&lt;=IF($S197=MesCiclo,InicioCiclo,$S197+MOD(2-WEEKDAY($S197),7))+13),1,IF(N($W197)&gt;0,AVERAGEIFS($Z$5:$Z$1000,$U$5:$U$1000,ROW(),$V$5:$V$1000,"Sub"),$Z197)))</f>
        <v/>
      </c>
      <c r="AE197" s="62">
        <f>IF($V197="","",IF(AND(ISNUMBER($G197),$G197&lt;=IF($S197=MesCiclo,InicioCiclo,$S197+MOD(2-WEEKDAY($S197),7))+20),1,IF(N($W197)&gt;0,AVERAGEIFS($AA$5:$AA$1000,$U$5:$U$1000,ROW(),$V$5:$V$1000,"Sub"),$AA197)))</f>
        <v/>
      </c>
      <c r="AF197" s="62">
        <f>IF($V197="","",IF(AND(ISNUMBER($G197),$G197&lt;=IF($S197=MesCiclo,InicioCiclo,$S197+MOD(2-WEEKDAY($S197),7))+27),1,IF(N($W197)&gt;0,AVERAGEIFS($AB$5:$AB$1000,$U$5:$U$1000,ROW(),$V$5:$V$1000,"Sub"),$AB197)))</f>
        <v/>
      </c>
      <c r="AG197" s="62">
        <f>IF($V197&lt;&gt;"Macro","",IF(COUNTIFS($S$5:$S$1000,$S197,$V$5:$V$1000,"Macro",$H$5:$H$1000,"&gt;0")=0,1/COUNTIFS($S$5:$S$1000,$S197,$V$5:$V$1000,"Macro"),IF(AND(ISNUMBER($H197),N($H197)&gt;0),$H197,SUMIFS($H$5:$H$1000,$S$5:$S$1000,$S197,$V$5:$V$1000,"Macro")/COUNTIFS($S$5:$S$1000,$S197,$V$5:$V$1000,"Macro",$H$5:$H$1000,"&gt;0"))/(COUNTIFS($S$5:$S$1000,$S197,$V$5:$V$1000,"Macro")*SUMIFS($H$5:$H$1000,$S$5:$S$1000,$S197,$V$5:$V$1000,"Macro")/COUNTIFS($S$5:$S$1000,$S197,$V$5:$V$1000,"Macro",$H$5:$H$1000,"&gt;0"))))</f>
        <v/>
      </c>
      <c r="AH197" s="62" t="n"/>
      <c r="AI197" s="62" t="n"/>
      <c r="AJ197" s="62" t="n"/>
      <c r="AK197" s="62" t="n"/>
      <c r="AL197" s="62">
        <f>IF(LEFT($C197,11)="[Jefatura] ",IFERROR(MATCH("Asistente Técnico de Riesgo|"&amp;MID($C197,12,500),rDname_ADM,0),0),"")</f>
        <v/>
      </c>
      <c r="AM197" s="62">
        <f>IF(N($AL197)&gt;0,INDEX(rIni_ADM,$AL197),IF(ISNUMBER($E197),$E197,""))</f>
        <v/>
      </c>
      <c r="AN197" s="62">
        <f>IF(N($AL197)&gt;0,INDEX(rLim_ADM,$AL197),IF(ISNUMBER($F197),$F197,""))</f>
        <v/>
      </c>
    </row>
    <row r="198">
      <c r="A198" s="56">
        <f>IF(NOT((COUNTA($B198:$D198)+COUNTA($G198:$L198)+COUNTA($Q198))&gt;0),"",IF($V198="Macro",COUNTIFS($V$5:$V198,"Macro",$S$5:$S198,$S198),IF(N($U198)=0,"?",COUNTIFS(INDEX($V$5:$V$1000,1):INDEX($V$5:$V$1000,$U198-4),"Macro",INDEX($S$5:$S$1000,1):INDEX($S$5:$S$1000,$U198-4),INDEX($S$5:$S$1000,$U198-4))&amp;"."&amp;COUNTIFS($U$5:$U198,$U198,$V$5:$V198,"Sub"))))</f>
        <v/>
      </c>
      <c r="B198" s="57" t="n"/>
      <c r="C198" s="58" t="n"/>
      <c r="D198" s="58" t="n"/>
      <c r="E198" s="59">
        <f>IF(N($AL198)&gt;0,INDEX(rIni_ADM,$AL198),"")</f>
        <v/>
      </c>
      <c r="F198" s="59">
        <f>IF(N($AL198)&gt;0,INDEX(rLim_ADM,$AL198),"")</f>
        <v/>
      </c>
      <c r="G198" s="59" t="n"/>
      <c r="H198" s="60" t="n"/>
      <c r="I198" s="60" t="n"/>
      <c r="J198" s="60" t="n"/>
      <c r="K198" s="60" t="n"/>
      <c r="L198" s="60" t="n"/>
      <c r="M198" s="61">
        <f>IF(NOT((COUNTA($B198:$D198)+COUNTA($G198:$L198)+COUNTA($Q198))&gt;0),"",IF($V198="Sub",IFERROR($X198/INDEX($W$5:$W$1000,$U198-4),""),IF(ISNUMBER($G198),1,IF(N($W198)&gt;0,AVERAGEIFS($X$5:$X$1000,$U$5:$U$1000,ROW(),$V$5:$V$1000,"Sub"),$X198))))</f>
        <v/>
      </c>
      <c r="N198" s="56">
        <f>IF(OR($M198="",$V198="Sub"),"",IF($M198&gt;=1,"Completado",IF($M198&gt;0,"En curso","Pendiente")))</f>
        <v/>
      </c>
      <c r="O198" s="56">
        <f>IF(OR(NOT((COUNTA($B198:$D198)+COUNTA($G198:$L198)+COUNTA($Q198))&gt;0),$V198="Sub"),"",IF(ISNUMBER($G198),IF(AND(ISNUMBER($AN198),$G198&gt;$AN198),"Cumplida con "&amp;($G198-$AN198)&amp;IF($G198-$AN198=1," día"," días")&amp;" de retraso","Cumplida"),IF(N($M198)&gt;=1,"Cumplida",IF(NOT(ISNUMBER($AN198)),"Sin fecha límite",IF($AN198&lt;FechaRef,"Vencida hace "&amp;(FechaRef-$AN198)&amp;IF(FechaRef-$AN198=1," día"," días"),IF($AN198=FechaRef,"Vence hoy",IF($AN198-FechaRef&lt;=DiasAlerta,"Vence en "&amp;($AN198-FechaRef)&amp;IF($AN198-FechaRef=1," día"," días"),"En plazo")))))))</f>
        <v/>
      </c>
      <c r="P198" s="62" t="n"/>
      <c r="Q198" s="58" t="n"/>
      <c r="R198" s="63">
        <f>IF(NOT((COUNTA($B198:$D198)+COUNTA($G198:$L198)+COUNTA($Q198))&gt;0),"",IF((IF($C198="","Falta el nombre de la actividad"&amp;" · ","")&amp;IF(AND($V198="Sub",N($U198)=0),"Subactividad sin macroactividad arriba"&amp;" · ","")&amp;IF($AM198="","Sin fecha de inicio"&amp;" · ","")&amp;IF($AN198="","Sin fecha límite"&amp;" · ","")&amp;IF(AND(LEFT($C198,11)="[Jefatura] ",N($AL198)=0),"No se encuentra en la hoja de la jefatura (elíjala de nuevo en la lista)"&amp;" · ","")&amp;IF(OR(AND($E198&lt;&gt;"",NOT(ISNUMBER($E198))),AND($F198&lt;&gt;"",NOT(ISNUMBER($F198))),AND($G198&lt;&gt;"",NOT(ISNUMBER($G198)))),"Fecha no válida"&amp;" · ","")&amp;IF(AND(ISNUMBER($AM198),ISNUMBER($AN198),$AM198&gt;$AN198),"Inicio posterior a fecha límite"&amp;" · ","")&amp;IF(AND($V198="Macro",$H198&lt;&gt;"",OR(NOT(ISNUMBER($H198)),$H198&lt;0,$H198&gt;1)),"Peso fuera de rango"&amp;" · ","")&amp;IF(AND($V198="Sub",$H198&lt;&gt;""),"Las subactividades no llevan peso (valen igual dentro de su macroactividad)"&amp;" · ","")&amp;IF(AND(N($W198)&gt;0,COUNT($I198:$L198)&gt;0),"Con subactividades: deje vacías las semanas (se calculan solas)"&amp;" · ","")&amp;IF((COUNTIF($I198:$L198,"&gt;1")+COUNTIF($I198:$L198,"&lt;0")+COUNTA($I198:$L198)-COUNT($I198:$L198))&gt;0,"Avance fuera de rango 0-100%"&amp;" · ","")&amp;IF(OR(AND($J198&lt;&gt;"",$J198&lt;$I198),AND($K198&lt;&gt;"",$K198&lt;MAX($I198:$J198)),AND($L198&lt;&gt;"",$L198&lt;MAX($I198:$K198))),"Avance semanal decreciente"&amp;" · ","")&amp;IF(AND(ISNUMBER($AN198),$AN198&lt;FechaRef,IF($V198="Sub",N($X198),N($M198))&lt;1),"Vencida"&amp;" · ","")&amp;IF(AND(ObsObligatoria="Sí",ISNUMBER($AN198),$AN198&lt;FechaRef,IF($V198="Sub",N($X198),N($M198))&lt;1,$Q198=""),"Vencida sin observación"&amp;" · ",""))="","✔ OK","⚠ "&amp;LEFT(IF($C198="","Falta el nombre de la actividad"&amp;" · ","")&amp;IF(AND($V198="Sub",N($U198)=0),"Subactividad sin macroactividad arriba"&amp;" · ","")&amp;IF($AM198="","Sin fecha de inicio"&amp;" · ","")&amp;IF($AN198="","Sin fecha límite"&amp;" · ","")&amp;IF(AND(LEFT($C198,11)="[Jefatura] ",N($AL198)=0),"No se encuentra en la hoja de la jefatura (elíjala de nuevo en la lista)"&amp;" · ","")&amp;IF(OR(AND($E198&lt;&gt;"",NOT(ISNUMBER($E198))),AND($F198&lt;&gt;"",NOT(ISNUMBER($F198))),AND($G198&lt;&gt;"",NOT(ISNUMBER($G198)))),"Fecha no válida"&amp;" · ","")&amp;IF(AND(ISNUMBER($AM198),ISNUMBER($AN198),$AM198&gt;$AN198),"Inicio posterior a fecha límite"&amp;" · ","")&amp;IF(AND($V198="Macro",$H198&lt;&gt;"",OR(NOT(ISNUMBER($H198)),$H198&lt;0,$H198&gt;1)),"Peso fuera de rango"&amp;" · ","")&amp;IF(AND($V198="Sub",$H198&lt;&gt;""),"Las subactividades no llevan peso (valen igual dentro de su macroactividad)"&amp;" · ","")&amp;IF(AND(N($W198)&gt;0,COUNT($I198:$L198)&gt;0),"Con subactividades: deje vacías las semanas (se calculan solas)"&amp;" · ","")&amp;IF((COUNTIF($I198:$L198,"&gt;1")+COUNTIF($I198:$L198,"&lt;0")+COUNTA($I198:$L198)-COUNT($I198:$L198))&gt;0,"Avance fuera de rango 0-100%"&amp;" · ","")&amp;IF(OR(AND($J198&lt;&gt;"",$J198&lt;$I198),AND($K198&lt;&gt;"",$K198&lt;MAX($I198:$J198)),AND($L198&lt;&gt;"",$L198&lt;MAX($I198:$K198))),"Avance semanal decreciente"&amp;" · ","")&amp;IF(AND(ISNUMBER($AN198),$AN198&lt;FechaRef,IF($V198="Sub",N($X198),N($M198))&lt;1),"Vencida"&amp;" · ","")&amp;IF(AND(ObsObligatoria="Sí",ISNUMBER($AN198),$AN198&lt;FechaRef,IF($V198="Sub",N($X198),N($M198))&lt;1,$Q198=""),"Vencida sin observación"&amp;" · ",""),LEN(IF($C198="","Falta el nombre de la actividad"&amp;" · ","")&amp;IF(AND($V198="Sub",N($U198)=0),"Subactividad sin macroactividad arriba"&amp;" · ","")&amp;IF($AM198="","Sin fecha de inicio"&amp;" · ","")&amp;IF($AN198="","Sin fecha límite"&amp;" · ","")&amp;IF(AND(LEFT($C198,11)="[Jefatura] ",N($AL198)=0),"No se encuentra en la hoja de la jefatura (elíjala de nuevo en la lista)"&amp;" · ","")&amp;IF(OR(AND($E198&lt;&gt;"",NOT(ISNUMBER($E198))),AND($F198&lt;&gt;"",NOT(ISNUMBER($F198))),AND($G198&lt;&gt;"",NOT(ISNUMBER($G198)))),"Fecha no válida"&amp;" · ","")&amp;IF(AND(ISNUMBER($AM198),ISNUMBER($AN198),$AM198&gt;$AN198),"Inicio posterior a fecha límite"&amp;" · ","")&amp;IF(AND($V198="Macro",$H198&lt;&gt;"",OR(NOT(ISNUMBER($H198)),$H198&lt;0,$H198&gt;1)),"Peso fuera de rango"&amp;" · ","")&amp;IF(AND($V198="Sub",$H198&lt;&gt;""),"Las subactividades no llevan peso (valen igual dentro de su macroactividad)"&amp;" · ","")&amp;IF(AND(N($W198)&gt;0,COUNT($I198:$L198)&gt;0),"Con subactividades: deje vacías las semanas (se calculan solas)"&amp;" · ","")&amp;IF((COUNTIF($I198:$L198,"&gt;1")+COUNTIF($I198:$L198,"&lt;0")+COUNTA($I198:$L198)-COUNT($I198:$L198))&gt;0,"Avance fuera de rango 0-100%"&amp;" · ","")&amp;IF(OR(AND($J198&lt;&gt;"",$J198&lt;$I198),AND($K198&lt;&gt;"",$K198&lt;MAX($I198:$J198)),AND($L198&lt;&gt;"",$L198&lt;MAX($I198:$K198))),"Avance semanal decreciente"&amp;" · ","")&amp;IF(AND(ISNUMBER($AN198),$AN198&lt;FechaRef,IF($V198="Sub",N($X198),N($M198))&lt;1),"Vencida"&amp;" · ","")&amp;IF(AND(ObsObligatoria="Sí",ISNUMBER($AN198),$AN198&lt;FechaRef,IF($V198="Sub",N($X198),N($M198))&lt;1,$Q198=""),"Vencida sin observación"&amp;" · ",""))-3)))</f>
        <v/>
      </c>
      <c r="S198" s="64">
        <f>IF(NOT((COUNTA($B198:$D198)+COUNTA($G198:$L198)+COUNTA($Q198))&gt;0),"",IF(AND($V198="Sub",N($U198)&gt;0),IF(ISNUMBER(INDEX($AM$5:$AM$1000,$U198-4)),DATE(YEAR(INDEX($AM$5:$AM$1000,$U198-4)),MONTH(INDEX($AM$5:$AM$1000,$U198-4)),1),IF(ISNUMBER(INDEX($AN$5:$AN$1000,$U198-4)),DATE(YEAR(INDEX($AN$5:$AN$1000,$U198-4)),MONTH(INDEX($AN$5:$AN$1000,$U198-4)),1),MesCiclo)),IF(ISNUMBER($AM198),DATE(YEAR($AM198),MONTH($AM198),1),IF(ISNUMBER($AN198),DATE(YEAR($AN198),MONTH($AN198),1),MesCiclo))))</f>
        <v/>
      </c>
      <c r="T198" s="62">
        <f>IF(OR($S198="",$S198&lt;&gt;MesCiclo,$V198&lt;&gt;"Macro"),"",COUNTIFS($S$5:$S198,MesCiclo,$V$5:$V198,"Macro"))</f>
        <v/>
      </c>
      <c r="U198" s="62">
        <f>IF($V198="","",IF($V198="Macro",ROW(),IFERROR(LOOKUP(2,1/($V$5:$V198="Macro"),ROW($V$5:$V198)),0)))</f>
        <v/>
      </c>
      <c r="V198" s="62">
        <f>IF(NOT((COUNTA($B198:$D198)+COUNTA($G198:$L198)+COUNTA($Q198))&gt;0),"",IF($B198="Subactividad","Sub","Macro"))</f>
        <v/>
      </c>
      <c r="W198" s="62">
        <f>IF($V198="Macro",COUNTIFS($U$5:$U$1000,ROW(),$V$5:$V$1000,"Sub"),"")</f>
        <v/>
      </c>
      <c r="X198" s="62">
        <f>IF($V198="","",IF(ISNUMBER($G198),1,IFERROR(LOOKUP(2,1/($I198:$L198&lt;&gt;""),$I198:$L198),0)))</f>
        <v/>
      </c>
      <c r="Y198" s="62">
        <f>IF($V198="","",IF(AND(ISNUMBER($G198),$G198&lt;=IF($S198=MesCiclo,InicioCiclo,$S198+MOD(2-WEEKDAY($S198),7))+6),1,IF(ISNUMBER($I198),$I198,0)))</f>
        <v/>
      </c>
      <c r="Z198" s="62">
        <f>IF($V198="","",IF(AND(ISNUMBER($G198),$G198&lt;=IF($S198=MesCiclo,InicioCiclo,$S198+MOD(2-WEEKDAY($S198),7))+13),1,IF(ISNUMBER($J198),$J198,$Y198)))</f>
        <v/>
      </c>
      <c r="AA198" s="62">
        <f>IF($V198="","",IF(AND(ISNUMBER($G198),$G198&lt;=IF($S198=MesCiclo,InicioCiclo,$S198+MOD(2-WEEKDAY($S198),7))+20),1,IF(ISNUMBER($K198),$K198,$Z198)))</f>
        <v/>
      </c>
      <c r="AB198" s="62">
        <f>IF($V198="","",IF(AND(ISNUMBER($G198),$G198&lt;=IF($S198=MesCiclo,InicioCiclo,$S198+MOD(2-WEEKDAY($S198),7))+27),1,IF(ISNUMBER($L198),$L198,$AA198)))</f>
        <v/>
      </c>
      <c r="AC198" s="62">
        <f>IF($V198="","",IF(AND(ISNUMBER($G198),$G198&lt;=IF($S198=MesCiclo,InicioCiclo,$S198+MOD(2-WEEKDAY($S198),7))+6),1,IF(N($W198)&gt;0,AVERAGEIFS($Y$5:$Y$1000,$U$5:$U$1000,ROW(),$V$5:$V$1000,"Sub"),$Y198)))</f>
        <v/>
      </c>
      <c r="AD198" s="62">
        <f>IF($V198="","",IF(AND(ISNUMBER($G198),$G198&lt;=IF($S198=MesCiclo,InicioCiclo,$S198+MOD(2-WEEKDAY($S198),7))+13),1,IF(N($W198)&gt;0,AVERAGEIFS($Z$5:$Z$1000,$U$5:$U$1000,ROW(),$V$5:$V$1000,"Sub"),$Z198)))</f>
        <v/>
      </c>
      <c r="AE198" s="62">
        <f>IF($V198="","",IF(AND(ISNUMBER($G198),$G198&lt;=IF($S198=MesCiclo,InicioCiclo,$S198+MOD(2-WEEKDAY($S198),7))+20),1,IF(N($W198)&gt;0,AVERAGEIFS($AA$5:$AA$1000,$U$5:$U$1000,ROW(),$V$5:$V$1000,"Sub"),$AA198)))</f>
        <v/>
      </c>
      <c r="AF198" s="62">
        <f>IF($V198="","",IF(AND(ISNUMBER($G198),$G198&lt;=IF($S198=MesCiclo,InicioCiclo,$S198+MOD(2-WEEKDAY($S198),7))+27),1,IF(N($W198)&gt;0,AVERAGEIFS($AB$5:$AB$1000,$U$5:$U$1000,ROW(),$V$5:$V$1000,"Sub"),$AB198)))</f>
        <v/>
      </c>
      <c r="AG198" s="62">
        <f>IF($V198&lt;&gt;"Macro","",IF(COUNTIFS($S$5:$S$1000,$S198,$V$5:$V$1000,"Macro",$H$5:$H$1000,"&gt;0")=0,1/COUNTIFS($S$5:$S$1000,$S198,$V$5:$V$1000,"Macro"),IF(AND(ISNUMBER($H198),N($H198)&gt;0),$H198,SUMIFS($H$5:$H$1000,$S$5:$S$1000,$S198,$V$5:$V$1000,"Macro")/COUNTIFS($S$5:$S$1000,$S198,$V$5:$V$1000,"Macro",$H$5:$H$1000,"&gt;0"))/(COUNTIFS($S$5:$S$1000,$S198,$V$5:$V$1000,"Macro")*SUMIFS($H$5:$H$1000,$S$5:$S$1000,$S198,$V$5:$V$1000,"Macro")/COUNTIFS($S$5:$S$1000,$S198,$V$5:$V$1000,"Macro",$H$5:$H$1000,"&gt;0"))))</f>
        <v/>
      </c>
      <c r="AH198" s="62" t="n"/>
      <c r="AI198" s="62" t="n"/>
      <c r="AJ198" s="62" t="n"/>
      <c r="AK198" s="62" t="n"/>
      <c r="AL198" s="62">
        <f>IF(LEFT($C198,11)="[Jefatura] ",IFERROR(MATCH("Asistente Técnico de Riesgo|"&amp;MID($C198,12,500),rDname_ADM,0),0),"")</f>
        <v/>
      </c>
      <c r="AM198" s="62">
        <f>IF(N($AL198)&gt;0,INDEX(rIni_ADM,$AL198),IF(ISNUMBER($E198),$E198,""))</f>
        <v/>
      </c>
      <c r="AN198" s="62">
        <f>IF(N($AL198)&gt;0,INDEX(rLim_ADM,$AL198),IF(ISNUMBER($F198),$F198,""))</f>
        <v/>
      </c>
    </row>
    <row r="199">
      <c r="A199" s="56">
        <f>IF(NOT((COUNTA($B199:$D199)+COUNTA($G199:$L199)+COUNTA($Q199))&gt;0),"",IF($V199="Macro",COUNTIFS($V$5:$V199,"Macro",$S$5:$S199,$S199),IF(N($U199)=0,"?",COUNTIFS(INDEX($V$5:$V$1000,1):INDEX($V$5:$V$1000,$U199-4),"Macro",INDEX($S$5:$S$1000,1):INDEX($S$5:$S$1000,$U199-4),INDEX($S$5:$S$1000,$U199-4))&amp;"."&amp;COUNTIFS($U$5:$U199,$U199,$V$5:$V199,"Sub"))))</f>
        <v/>
      </c>
      <c r="B199" s="57" t="n"/>
      <c r="C199" s="58" t="n"/>
      <c r="D199" s="58" t="n"/>
      <c r="E199" s="59">
        <f>IF(N($AL199)&gt;0,INDEX(rIni_ADM,$AL199),"")</f>
        <v/>
      </c>
      <c r="F199" s="59">
        <f>IF(N($AL199)&gt;0,INDEX(rLim_ADM,$AL199),"")</f>
        <v/>
      </c>
      <c r="G199" s="59" t="n"/>
      <c r="H199" s="60" t="n"/>
      <c r="I199" s="60" t="n"/>
      <c r="J199" s="60" t="n"/>
      <c r="K199" s="60" t="n"/>
      <c r="L199" s="60" t="n"/>
      <c r="M199" s="61">
        <f>IF(NOT((COUNTA($B199:$D199)+COUNTA($G199:$L199)+COUNTA($Q199))&gt;0),"",IF($V199="Sub",IFERROR($X199/INDEX($W$5:$W$1000,$U199-4),""),IF(ISNUMBER($G199),1,IF(N($W199)&gt;0,AVERAGEIFS($X$5:$X$1000,$U$5:$U$1000,ROW(),$V$5:$V$1000,"Sub"),$X199))))</f>
        <v/>
      </c>
      <c r="N199" s="56">
        <f>IF(OR($M199="",$V199="Sub"),"",IF($M199&gt;=1,"Completado",IF($M199&gt;0,"En curso","Pendiente")))</f>
        <v/>
      </c>
      <c r="O199" s="56">
        <f>IF(OR(NOT((COUNTA($B199:$D199)+COUNTA($G199:$L199)+COUNTA($Q199))&gt;0),$V199="Sub"),"",IF(ISNUMBER($G199),IF(AND(ISNUMBER($AN199),$G199&gt;$AN199),"Cumplida con "&amp;($G199-$AN199)&amp;IF($G199-$AN199=1," día"," días")&amp;" de retraso","Cumplida"),IF(N($M199)&gt;=1,"Cumplida",IF(NOT(ISNUMBER($AN199)),"Sin fecha límite",IF($AN199&lt;FechaRef,"Vencida hace "&amp;(FechaRef-$AN199)&amp;IF(FechaRef-$AN199=1," día"," días"),IF($AN199=FechaRef,"Vence hoy",IF($AN199-FechaRef&lt;=DiasAlerta,"Vence en "&amp;($AN199-FechaRef)&amp;IF($AN199-FechaRef=1," día"," días"),"En plazo")))))))</f>
        <v/>
      </c>
      <c r="P199" s="62" t="n"/>
      <c r="Q199" s="58" t="n"/>
      <c r="R199" s="63">
        <f>IF(NOT((COUNTA($B199:$D199)+COUNTA($G199:$L199)+COUNTA($Q199))&gt;0),"",IF((IF($C199="","Falta el nombre de la actividad"&amp;" · ","")&amp;IF(AND($V199="Sub",N($U199)=0),"Subactividad sin macroactividad arriba"&amp;" · ","")&amp;IF($AM199="","Sin fecha de inicio"&amp;" · ","")&amp;IF($AN199="","Sin fecha límite"&amp;" · ","")&amp;IF(AND(LEFT($C199,11)="[Jefatura] ",N($AL199)=0),"No se encuentra en la hoja de la jefatura (elíjala de nuevo en la lista)"&amp;" · ","")&amp;IF(OR(AND($E199&lt;&gt;"",NOT(ISNUMBER($E199))),AND($F199&lt;&gt;"",NOT(ISNUMBER($F199))),AND($G199&lt;&gt;"",NOT(ISNUMBER($G199)))),"Fecha no válida"&amp;" · ","")&amp;IF(AND(ISNUMBER($AM199),ISNUMBER($AN199),$AM199&gt;$AN199),"Inicio posterior a fecha límite"&amp;" · ","")&amp;IF(AND($V199="Macro",$H199&lt;&gt;"",OR(NOT(ISNUMBER($H199)),$H199&lt;0,$H199&gt;1)),"Peso fuera de rango"&amp;" · ","")&amp;IF(AND($V199="Sub",$H199&lt;&gt;""),"Las subactividades no llevan peso (valen igual dentro de su macroactividad)"&amp;" · ","")&amp;IF(AND(N($W199)&gt;0,COUNT($I199:$L199)&gt;0),"Con subactividades: deje vacías las semanas (se calculan solas)"&amp;" · ","")&amp;IF((COUNTIF($I199:$L199,"&gt;1")+COUNTIF($I199:$L199,"&lt;0")+COUNTA($I199:$L199)-COUNT($I199:$L199))&gt;0,"Avance fuera de rango 0-100%"&amp;" · ","")&amp;IF(OR(AND($J199&lt;&gt;"",$J199&lt;$I199),AND($K199&lt;&gt;"",$K199&lt;MAX($I199:$J199)),AND($L199&lt;&gt;"",$L199&lt;MAX($I199:$K199))),"Avance semanal decreciente"&amp;" · ","")&amp;IF(AND(ISNUMBER($AN199),$AN199&lt;FechaRef,IF($V199="Sub",N($X199),N($M199))&lt;1),"Vencida"&amp;" · ","")&amp;IF(AND(ObsObligatoria="Sí",ISNUMBER($AN199),$AN199&lt;FechaRef,IF($V199="Sub",N($X199),N($M199))&lt;1,$Q199=""),"Vencida sin observación"&amp;" · ",""))="","✔ OK","⚠ "&amp;LEFT(IF($C199="","Falta el nombre de la actividad"&amp;" · ","")&amp;IF(AND($V199="Sub",N($U199)=0),"Subactividad sin macroactividad arriba"&amp;" · ","")&amp;IF($AM199="","Sin fecha de inicio"&amp;" · ","")&amp;IF($AN199="","Sin fecha límite"&amp;" · ","")&amp;IF(AND(LEFT($C199,11)="[Jefatura] ",N($AL199)=0),"No se encuentra en la hoja de la jefatura (elíjala de nuevo en la lista)"&amp;" · ","")&amp;IF(OR(AND($E199&lt;&gt;"",NOT(ISNUMBER($E199))),AND($F199&lt;&gt;"",NOT(ISNUMBER($F199))),AND($G199&lt;&gt;"",NOT(ISNUMBER($G199)))),"Fecha no válida"&amp;" · ","")&amp;IF(AND(ISNUMBER($AM199),ISNUMBER($AN199),$AM199&gt;$AN199),"Inicio posterior a fecha límite"&amp;" · ","")&amp;IF(AND($V199="Macro",$H199&lt;&gt;"",OR(NOT(ISNUMBER($H199)),$H199&lt;0,$H199&gt;1)),"Peso fuera de rango"&amp;" · ","")&amp;IF(AND($V199="Sub",$H199&lt;&gt;""),"Las subactividades no llevan peso (valen igual dentro de su macroactividad)"&amp;" · ","")&amp;IF(AND(N($W199)&gt;0,COUNT($I199:$L199)&gt;0),"Con subactividades: deje vacías las semanas (se calculan solas)"&amp;" · ","")&amp;IF((COUNTIF($I199:$L199,"&gt;1")+COUNTIF($I199:$L199,"&lt;0")+COUNTA($I199:$L199)-COUNT($I199:$L199))&gt;0,"Avance fuera de rango 0-100%"&amp;" · ","")&amp;IF(OR(AND($J199&lt;&gt;"",$J199&lt;$I199),AND($K199&lt;&gt;"",$K199&lt;MAX($I199:$J199)),AND($L199&lt;&gt;"",$L199&lt;MAX($I199:$K199))),"Avance semanal decreciente"&amp;" · ","")&amp;IF(AND(ISNUMBER($AN199),$AN199&lt;FechaRef,IF($V199="Sub",N($X199),N($M199))&lt;1),"Vencida"&amp;" · ","")&amp;IF(AND(ObsObligatoria="Sí",ISNUMBER($AN199),$AN199&lt;FechaRef,IF($V199="Sub",N($X199),N($M199))&lt;1,$Q199=""),"Vencida sin observación"&amp;" · ",""),LEN(IF($C199="","Falta el nombre de la actividad"&amp;" · ","")&amp;IF(AND($V199="Sub",N($U199)=0),"Subactividad sin macroactividad arriba"&amp;" · ","")&amp;IF($AM199="","Sin fecha de inicio"&amp;" · ","")&amp;IF($AN199="","Sin fecha límite"&amp;" · ","")&amp;IF(AND(LEFT($C199,11)="[Jefatura] ",N($AL199)=0),"No se encuentra en la hoja de la jefatura (elíjala de nuevo en la lista)"&amp;" · ","")&amp;IF(OR(AND($E199&lt;&gt;"",NOT(ISNUMBER($E199))),AND($F199&lt;&gt;"",NOT(ISNUMBER($F199))),AND($G199&lt;&gt;"",NOT(ISNUMBER($G199)))),"Fecha no válida"&amp;" · ","")&amp;IF(AND(ISNUMBER($AM199),ISNUMBER($AN199),$AM199&gt;$AN199),"Inicio posterior a fecha límite"&amp;" · ","")&amp;IF(AND($V199="Macro",$H199&lt;&gt;"",OR(NOT(ISNUMBER($H199)),$H199&lt;0,$H199&gt;1)),"Peso fuera de rango"&amp;" · ","")&amp;IF(AND($V199="Sub",$H199&lt;&gt;""),"Las subactividades no llevan peso (valen igual dentro de su macroactividad)"&amp;" · ","")&amp;IF(AND(N($W199)&gt;0,COUNT($I199:$L199)&gt;0),"Con subactividades: deje vacías las semanas (se calculan solas)"&amp;" · ","")&amp;IF((COUNTIF($I199:$L199,"&gt;1")+COUNTIF($I199:$L199,"&lt;0")+COUNTA($I199:$L199)-COUNT($I199:$L199))&gt;0,"Avance fuera de rango 0-100%"&amp;" · ","")&amp;IF(OR(AND($J199&lt;&gt;"",$J199&lt;$I199),AND($K199&lt;&gt;"",$K199&lt;MAX($I199:$J199)),AND($L199&lt;&gt;"",$L199&lt;MAX($I199:$K199))),"Avance semanal decreciente"&amp;" · ","")&amp;IF(AND(ISNUMBER($AN199),$AN199&lt;FechaRef,IF($V199="Sub",N($X199),N($M199))&lt;1),"Vencida"&amp;" · ","")&amp;IF(AND(ObsObligatoria="Sí",ISNUMBER($AN199),$AN199&lt;FechaRef,IF($V199="Sub",N($X199),N($M199))&lt;1,$Q199=""),"Vencida sin observación"&amp;" · ",""))-3)))</f>
        <v/>
      </c>
      <c r="S199" s="64">
        <f>IF(NOT((COUNTA($B199:$D199)+COUNTA($G199:$L199)+COUNTA($Q199))&gt;0),"",IF(AND($V199="Sub",N($U199)&gt;0),IF(ISNUMBER(INDEX($AM$5:$AM$1000,$U199-4)),DATE(YEAR(INDEX($AM$5:$AM$1000,$U199-4)),MONTH(INDEX($AM$5:$AM$1000,$U199-4)),1),IF(ISNUMBER(INDEX($AN$5:$AN$1000,$U199-4)),DATE(YEAR(INDEX($AN$5:$AN$1000,$U199-4)),MONTH(INDEX($AN$5:$AN$1000,$U199-4)),1),MesCiclo)),IF(ISNUMBER($AM199),DATE(YEAR($AM199),MONTH($AM199),1),IF(ISNUMBER($AN199),DATE(YEAR($AN199),MONTH($AN199),1),MesCiclo))))</f>
        <v/>
      </c>
      <c r="T199" s="62">
        <f>IF(OR($S199="",$S199&lt;&gt;MesCiclo,$V199&lt;&gt;"Macro"),"",COUNTIFS($S$5:$S199,MesCiclo,$V$5:$V199,"Macro"))</f>
        <v/>
      </c>
      <c r="U199" s="62">
        <f>IF($V199="","",IF($V199="Macro",ROW(),IFERROR(LOOKUP(2,1/($V$5:$V199="Macro"),ROW($V$5:$V199)),0)))</f>
        <v/>
      </c>
      <c r="V199" s="62">
        <f>IF(NOT((COUNTA($B199:$D199)+COUNTA($G199:$L199)+COUNTA($Q199))&gt;0),"",IF($B199="Subactividad","Sub","Macro"))</f>
        <v/>
      </c>
      <c r="W199" s="62">
        <f>IF($V199="Macro",COUNTIFS($U$5:$U$1000,ROW(),$V$5:$V$1000,"Sub"),"")</f>
        <v/>
      </c>
      <c r="X199" s="62">
        <f>IF($V199="","",IF(ISNUMBER($G199),1,IFERROR(LOOKUP(2,1/($I199:$L199&lt;&gt;""),$I199:$L199),0)))</f>
        <v/>
      </c>
      <c r="Y199" s="62">
        <f>IF($V199="","",IF(AND(ISNUMBER($G199),$G199&lt;=IF($S199=MesCiclo,InicioCiclo,$S199+MOD(2-WEEKDAY($S199),7))+6),1,IF(ISNUMBER($I199),$I199,0)))</f>
        <v/>
      </c>
      <c r="Z199" s="62">
        <f>IF($V199="","",IF(AND(ISNUMBER($G199),$G199&lt;=IF($S199=MesCiclo,InicioCiclo,$S199+MOD(2-WEEKDAY($S199),7))+13),1,IF(ISNUMBER($J199),$J199,$Y199)))</f>
        <v/>
      </c>
      <c r="AA199" s="62">
        <f>IF($V199="","",IF(AND(ISNUMBER($G199),$G199&lt;=IF($S199=MesCiclo,InicioCiclo,$S199+MOD(2-WEEKDAY($S199),7))+20),1,IF(ISNUMBER($K199),$K199,$Z199)))</f>
        <v/>
      </c>
      <c r="AB199" s="62">
        <f>IF($V199="","",IF(AND(ISNUMBER($G199),$G199&lt;=IF($S199=MesCiclo,InicioCiclo,$S199+MOD(2-WEEKDAY($S199),7))+27),1,IF(ISNUMBER($L199),$L199,$AA199)))</f>
        <v/>
      </c>
      <c r="AC199" s="62">
        <f>IF($V199="","",IF(AND(ISNUMBER($G199),$G199&lt;=IF($S199=MesCiclo,InicioCiclo,$S199+MOD(2-WEEKDAY($S199),7))+6),1,IF(N($W199)&gt;0,AVERAGEIFS($Y$5:$Y$1000,$U$5:$U$1000,ROW(),$V$5:$V$1000,"Sub"),$Y199)))</f>
        <v/>
      </c>
      <c r="AD199" s="62">
        <f>IF($V199="","",IF(AND(ISNUMBER($G199),$G199&lt;=IF($S199=MesCiclo,InicioCiclo,$S199+MOD(2-WEEKDAY($S199),7))+13),1,IF(N($W199)&gt;0,AVERAGEIFS($Z$5:$Z$1000,$U$5:$U$1000,ROW(),$V$5:$V$1000,"Sub"),$Z199)))</f>
        <v/>
      </c>
      <c r="AE199" s="62">
        <f>IF($V199="","",IF(AND(ISNUMBER($G199),$G199&lt;=IF($S199=MesCiclo,InicioCiclo,$S199+MOD(2-WEEKDAY($S199),7))+20),1,IF(N($W199)&gt;0,AVERAGEIFS($AA$5:$AA$1000,$U$5:$U$1000,ROW(),$V$5:$V$1000,"Sub"),$AA199)))</f>
        <v/>
      </c>
      <c r="AF199" s="62">
        <f>IF($V199="","",IF(AND(ISNUMBER($G199),$G199&lt;=IF($S199=MesCiclo,InicioCiclo,$S199+MOD(2-WEEKDAY($S199),7))+27),1,IF(N($W199)&gt;0,AVERAGEIFS($AB$5:$AB$1000,$U$5:$U$1000,ROW(),$V$5:$V$1000,"Sub"),$AB199)))</f>
        <v/>
      </c>
      <c r="AG199" s="62">
        <f>IF($V199&lt;&gt;"Macro","",IF(COUNTIFS($S$5:$S$1000,$S199,$V$5:$V$1000,"Macro",$H$5:$H$1000,"&gt;0")=0,1/COUNTIFS($S$5:$S$1000,$S199,$V$5:$V$1000,"Macro"),IF(AND(ISNUMBER($H199),N($H199)&gt;0),$H199,SUMIFS($H$5:$H$1000,$S$5:$S$1000,$S199,$V$5:$V$1000,"Macro")/COUNTIFS($S$5:$S$1000,$S199,$V$5:$V$1000,"Macro",$H$5:$H$1000,"&gt;0"))/(COUNTIFS($S$5:$S$1000,$S199,$V$5:$V$1000,"Macro")*SUMIFS($H$5:$H$1000,$S$5:$S$1000,$S199,$V$5:$V$1000,"Macro")/COUNTIFS($S$5:$S$1000,$S199,$V$5:$V$1000,"Macro",$H$5:$H$1000,"&gt;0"))))</f>
        <v/>
      </c>
      <c r="AH199" s="62" t="n"/>
      <c r="AI199" s="62" t="n"/>
      <c r="AJ199" s="62" t="n"/>
      <c r="AK199" s="62" t="n"/>
      <c r="AL199" s="62">
        <f>IF(LEFT($C199,11)="[Jefatura] ",IFERROR(MATCH("Asistente Técnico de Riesgo|"&amp;MID($C199,12,500),rDname_ADM,0),0),"")</f>
        <v/>
      </c>
      <c r="AM199" s="62">
        <f>IF(N($AL199)&gt;0,INDEX(rIni_ADM,$AL199),IF(ISNUMBER($E199),$E199,""))</f>
        <v/>
      </c>
      <c r="AN199" s="62">
        <f>IF(N($AL199)&gt;0,INDEX(rLim_ADM,$AL199),IF(ISNUMBER($F199),$F199,""))</f>
        <v/>
      </c>
    </row>
    <row r="200">
      <c r="A200" s="56">
        <f>IF(NOT((COUNTA($B200:$D200)+COUNTA($G200:$L200)+COUNTA($Q200))&gt;0),"",IF($V200="Macro",COUNTIFS($V$5:$V200,"Macro",$S$5:$S200,$S200),IF(N($U200)=0,"?",COUNTIFS(INDEX($V$5:$V$1000,1):INDEX($V$5:$V$1000,$U200-4),"Macro",INDEX($S$5:$S$1000,1):INDEX($S$5:$S$1000,$U200-4),INDEX($S$5:$S$1000,$U200-4))&amp;"."&amp;COUNTIFS($U$5:$U200,$U200,$V$5:$V200,"Sub"))))</f>
        <v/>
      </c>
      <c r="B200" s="57" t="n"/>
      <c r="C200" s="58" t="n"/>
      <c r="D200" s="58" t="n"/>
      <c r="E200" s="59">
        <f>IF(N($AL200)&gt;0,INDEX(rIni_ADM,$AL200),"")</f>
        <v/>
      </c>
      <c r="F200" s="59">
        <f>IF(N($AL200)&gt;0,INDEX(rLim_ADM,$AL200),"")</f>
        <v/>
      </c>
      <c r="G200" s="59" t="n"/>
      <c r="H200" s="60" t="n"/>
      <c r="I200" s="60" t="n"/>
      <c r="J200" s="60" t="n"/>
      <c r="K200" s="60" t="n"/>
      <c r="L200" s="60" t="n"/>
      <c r="M200" s="61">
        <f>IF(NOT((COUNTA($B200:$D200)+COUNTA($G200:$L200)+COUNTA($Q200))&gt;0),"",IF($V200="Sub",IFERROR($X200/INDEX($W$5:$W$1000,$U200-4),""),IF(ISNUMBER($G200),1,IF(N($W200)&gt;0,AVERAGEIFS($X$5:$X$1000,$U$5:$U$1000,ROW(),$V$5:$V$1000,"Sub"),$X200))))</f>
        <v/>
      </c>
      <c r="N200" s="56">
        <f>IF(OR($M200="",$V200="Sub"),"",IF($M200&gt;=1,"Completado",IF($M200&gt;0,"En curso","Pendiente")))</f>
        <v/>
      </c>
      <c r="O200" s="56">
        <f>IF(OR(NOT((COUNTA($B200:$D200)+COUNTA($G200:$L200)+COUNTA($Q200))&gt;0),$V200="Sub"),"",IF(ISNUMBER($G200),IF(AND(ISNUMBER($AN200),$G200&gt;$AN200),"Cumplida con "&amp;($G200-$AN200)&amp;IF($G200-$AN200=1," día"," días")&amp;" de retraso","Cumplida"),IF(N($M200)&gt;=1,"Cumplida",IF(NOT(ISNUMBER($AN200)),"Sin fecha límite",IF($AN200&lt;FechaRef,"Vencida hace "&amp;(FechaRef-$AN200)&amp;IF(FechaRef-$AN200=1," día"," días"),IF($AN200=FechaRef,"Vence hoy",IF($AN200-FechaRef&lt;=DiasAlerta,"Vence en "&amp;($AN200-FechaRef)&amp;IF($AN200-FechaRef=1," día"," días"),"En plazo")))))))</f>
        <v/>
      </c>
      <c r="P200" s="62" t="n"/>
      <c r="Q200" s="58" t="n"/>
      <c r="R200" s="63">
        <f>IF(NOT((COUNTA($B200:$D200)+COUNTA($G200:$L200)+COUNTA($Q200))&gt;0),"",IF((IF($C200="","Falta el nombre de la actividad"&amp;" · ","")&amp;IF(AND($V200="Sub",N($U200)=0),"Subactividad sin macroactividad arriba"&amp;" · ","")&amp;IF($AM200="","Sin fecha de inicio"&amp;" · ","")&amp;IF($AN200="","Sin fecha límite"&amp;" · ","")&amp;IF(AND(LEFT($C200,11)="[Jefatura] ",N($AL200)=0),"No se encuentra en la hoja de la jefatura (elíjala de nuevo en la lista)"&amp;" · ","")&amp;IF(OR(AND($E200&lt;&gt;"",NOT(ISNUMBER($E200))),AND($F200&lt;&gt;"",NOT(ISNUMBER($F200))),AND($G200&lt;&gt;"",NOT(ISNUMBER($G200)))),"Fecha no válida"&amp;" · ","")&amp;IF(AND(ISNUMBER($AM200),ISNUMBER($AN200),$AM200&gt;$AN200),"Inicio posterior a fecha límite"&amp;" · ","")&amp;IF(AND($V200="Macro",$H200&lt;&gt;"",OR(NOT(ISNUMBER($H200)),$H200&lt;0,$H200&gt;1)),"Peso fuera de rango"&amp;" · ","")&amp;IF(AND($V200="Sub",$H200&lt;&gt;""),"Las subactividades no llevan peso (valen igual dentro de su macroactividad)"&amp;" · ","")&amp;IF(AND(N($W200)&gt;0,COUNT($I200:$L200)&gt;0),"Con subactividades: deje vacías las semanas (se calculan solas)"&amp;" · ","")&amp;IF((COUNTIF($I200:$L200,"&gt;1")+COUNTIF($I200:$L200,"&lt;0")+COUNTA($I200:$L200)-COUNT($I200:$L200))&gt;0,"Avance fuera de rango 0-100%"&amp;" · ","")&amp;IF(OR(AND($J200&lt;&gt;"",$J200&lt;$I200),AND($K200&lt;&gt;"",$K200&lt;MAX($I200:$J200)),AND($L200&lt;&gt;"",$L200&lt;MAX($I200:$K200))),"Avance semanal decreciente"&amp;" · ","")&amp;IF(AND(ISNUMBER($AN200),$AN200&lt;FechaRef,IF($V200="Sub",N($X200),N($M200))&lt;1),"Vencida"&amp;" · ","")&amp;IF(AND(ObsObligatoria="Sí",ISNUMBER($AN200),$AN200&lt;FechaRef,IF($V200="Sub",N($X200),N($M200))&lt;1,$Q200=""),"Vencida sin observación"&amp;" · ",""))="","✔ OK","⚠ "&amp;LEFT(IF($C200="","Falta el nombre de la actividad"&amp;" · ","")&amp;IF(AND($V200="Sub",N($U200)=0),"Subactividad sin macroactividad arriba"&amp;" · ","")&amp;IF($AM200="","Sin fecha de inicio"&amp;" · ","")&amp;IF($AN200="","Sin fecha límite"&amp;" · ","")&amp;IF(AND(LEFT($C200,11)="[Jefatura] ",N($AL200)=0),"No se encuentra en la hoja de la jefatura (elíjala de nuevo en la lista)"&amp;" · ","")&amp;IF(OR(AND($E200&lt;&gt;"",NOT(ISNUMBER($E200))),AND($F200&lt;&gt;"",NOT(ISNUMBER($F200))),AND($G200&lt;&gt;"",NOT(ISNUMBER($G200)))),"Fecha no válida"&amp;" · ","")&amp;IF(AND(ISNUMBER($AM200),ISNUMBER($AN200),$AM200&gt;$AN200),"Inicio posterior a fecha límite"&amp;" · ","")&amp;IF(AND($V200="Macro",$H200&lt;&gt;"",OR(NOT(ISNUMBER($H200)),$H200&lt;0,$H200&gt;1)),"Peso fuera de rango"&amp;" · ","")&amp;IF(AND($V200="Sub",$H200&lt;&gt;""),"Las subactividades no llevan peso (valen igual dentro de su macroactividad)"&amp;" · ","")&amp;IF(AND(N($W200)&gt;0,COUNT($I200:$L200)&gt;0),"Con subactividades: deje vacías las semanas (se calculan solas)"&amp;" · ","")&amp;IF((COUNTIF($I200:$L200,"&gt;1")+COUNTIF($I200:$L200,"&lt;0")+COUNTA($I200:$L200)-COUNT($I200:$L200))&gt;0,"Avance fuera de rango 0-100%"&amp;" · ","")&amp;IF(OR(AND($J200&lt;&gt;"",$J200&lt;$I200),AND($K200&lt;&gt;"",$K200&lt;MAX($I200:$J200)),AND($L200&lt;&gt;"",$L200&lt;MAX($I200:$K200))),"Avance semanal decreciente"&amp;" · ","")&amp;IF(AND(ISNUMBER($AN200),$AN200&lt;FechaRef,IF($V200="Sub",N($X200),N($M200))&lt;1),"Vencida"&amp;" · ","")&amp;IF(AND(ObsObligatoria="Sí",ISNUMBER($AN200),$AN200&lt;FechaRef,IF($V200="Sub",N($X200),N($M200))&lt;1,$Q200=""),"Vencida sin observación"&amp;" · ",""),LEN(IF($C200="","Falta el nombre de la actividad"&amp;" · ","")&amp;IF(AND($V200="Sub",N($U200)=0),"Subactividad sin macroactividad arriba"&amp;" · ","")&amp;IF($AM200="","Sin fecha de inicio"&amp;" · ","")&amp;IF($AN200="","Sin fecha límite"&amp;" · ","")&amp;IF(AND(LEFT($C200,11)="[Jefatura] ",N($AL200)=0),"No se encuentra en la hoja de la jefatura (elíjala de nuevo en la lista)"&amp;" · ","")&amp;IF(OR(AND($E200&lt;&gt;"",NOT(ISNUMBER($E200))),AND($F200&lt;&gt;"",NOT(ISNUMBER($F200))),AND($G200&lt;&gt;"",NOT(ISNUMBER($G200)))),"Fecha no válida"&amp;" · ","")&amp;IF(AND(ISNUMBER($AM200),ISNUMBER($AN200),$AM200&gt;$AN200),"Inicio posterior a fecha límite"&amp;" · ","")&amp;IF(AND($V200="Macro",$H200&lt;&gt;"",OR(NOT(ISNUMBER($H200)),$H200&lt;0,$H200&gt;1)),"Peso fuera de rango"&amp;" · ","")&amp;IF(AND($V200="Sub",$H200&lt;&gt;""),"Las subactividades no llevan peso (valen igual dentro de su macroactividad)"&amp;" · ","")&amp;IF(AND(N($W200)&gt;0,COUNT($I200:$L200)&gt;0),"Con subactividades: deje vacías las semanas (se calculan solas)"&amp;" · ","")&amp;IF((COUNTIF($I200:$L200,"&gt;1")+COUNTIF($I200:$L200,"&lt;0")+COUNTA($I200:$L200)-COUNT($I200:$L200))&gt;0,"Avance fuera de rango 0-100%"&amp;" · ","")&amp;IF(OR(AND($J200&lt;&gt;"",$J200&lt;$I200),AND($K200&lt;&gt;"",$K200&lt;MAX($I200:$J200)),AND($L200&lt;&gt;"",$L200&lt;MAX($I200:$K200))),"Avance semanal decreciente"&amp;" · ","")&amp;IF(AND(ISNUMBER($AN200),$AN200&lt;FechaRef,IF($V200="Sub",N($X200),N($M200))&lt;1),"Vencida"&amp;" · ","")&amp;IF(AND(ObsObligatoria="Sí",ISNUMBER($AN200),$AN200&lt;FechaRef,IF($V200="Sub",N($X200),N($M200))&lt;1,$Q200=""),"Vencida sin observación"&amp;" · ",""))-3)))</f>
        <v/>
      </c>
      <c r="S200" s="64">
        <f>IF(NOT((COUNTA($B200:$D200)+COUNTA($G200:$L200)+COUNTA($Q200))&gt;0),"",IF(AND($V200="Sub",N($U200)&gt;0),IF(ISNUMBER(INDEX($AM$5:$AM$1000,$U200-4)),DATE(YEAR(INDEX($AM$5:$AM$1000,$U200-4)),MONTH(INDEX($AM$5:$AM$1000,$U200-4)),1),IF(ISNUMBER(INDEX($AN$5:$AN$1000,$U200-4)),DATE(YEAR(INDEX($AN$5:$AN$1000,$U200-4)),MONTH(INDEX($AN$5:$AN$1000,$U200-4)),1),MesCiclo)),IF(ISNUMBER($AM200),DATE(YEAR($AM200),MONTH($AM200),1),IF(ISNUMBER($AN200),DATE(YEAR($AN200),MONTH($AN200),1),MesCiclo))))</f>
        <v/>
      </c>
      <c r="T200" s="62">
        <f>IF(OR($S200="",$S200&lt;&gt;MesCiclo,$V200&lt;&gt;"Macro"),"",COUNTIFS($S$5:$S200,MesCiclo,$V$5:$V200,"Macro"))</f>
        <v/>
      </c>
      <c r="U200" s="62">
        <f>IF($V200="","",IF($V200="Macro",ROW(),IFERROR(LOOKUP(2,1/($V$5:$V200="Macro"),ROW($V$5:$V200)),0)))</f>
        <v/>
      </c>
      <c r="V200" s="62">
        <f>IF(NOT((COUNTA($B200:$D200)+COUNTA($G200:$L200)+COUNTA($Q200))&gt;0),"",IF($B200="Subactividad","Sub","Macro"))</f>
        <v/>
      </c>
      <c r="W200" s="62">
        <f>IF($V200="Macro",COUNTIFS($U$5:$U$1000,ROW(),$V$5:$V$1000,"Sub"),"")</f>
        <v/>
      </c>
      <c r="X200" s="62">
        <f>IF($V200="","",IF(ISNUMBER($G200),1,IFERROR(LOOKUP(2,1/($I200:$L200&lt;&gt;""),$I200:$L200),0)))</f>
        <v/>
      </c>
      <c r="Y200" s="62">
        <f>IF($V200="","",IF(AND(ISNUMBER($G200),$G200&lt;=IF($S200=MesCiclo,InicioCiclo,$S200+MOD(2-WEEKDAY($S200),7))+6),1,IF(ISNUMBER($I200),$I200,0)))</f>
        <v/>
      </c>
      <c r="Z200" s="62">
        <f>IF($V200="","",IF(AND(ISNUMBER($G200),$G200&lt;=IF($S200=MesCiclo,InicioCiclo,$S200+MOD(2-WEEKDAY($S200),7))+13),1,IF(ISNUMBER($J200),$J200,$Y200)))</f>
        <v/>
      </c>
      <c r="AA200" s="62">
        <f>IF($V200="","",IF(AND(ISNUMBER($G200),$G200&lt;=IF($S200=MesCiclo,InicioCiclo,$S200+MOD(2-WEEKDAY($S200),7))+20),1,IF(ISNUMBER($K200),$K200,$Z200)))</f>
        <v/>
      </c>
      <c r="AB200" s="62">
        <f>IF($V200="","",IF(AND(ISNUMBER($G200),$G200&lt;=IF($S200=MesCiclo,InicioCiclo,$S200+MOD(2-WEEKDAY($S200),7))+27),1,IF(ISNUMBER($L200),$L200,$AA200)))</f>
        <v/>
      </c>
      <c r="AC200" s="62">
        <f>IF($V200="","",IF(AND(ISNUMBER($G200),$G200&lt;=IF($S200=MesCiclo,InicioCiclo,$S200+MOD(2-WEEKDAY($S200),7))+6),1,IF(N($W200)&gt;0,AVERAGEIFS($Y$5:$Y$1000,$U$5:$U$1000,ROW(),$V$5:$V$1000,"Sub"),$Y200)))</f>
        <v/>
      </c>
      <c r="AD200" s="62">
        <f>IF($V200="","",IF(AND(ISNUMBER($G200),$G200&lt;=IF($S200=MesCiclo,InicioCiclo,$S200+MOD(2-WEEKDAY($S200),7))+13),1,IF(N($W200)&gt;0,AVERAGEIFS($Z$5:$Z$1000,$U$5:$U$1000,ROW(),$V$5:$V$1000,"Sub"),$Z200)))</f>
        <v/>
      </c>
      <c r="AE200" s="62">
        <f>IF($V200="","",IF(AND(ISNUMBER($G200),$G200&lt;=IF($S200=MesCiclo,InicioCiclo,$S200+MOD(2-WEEKDAY($S200),7))+20),1,IF(N($W200)&gt;0,AVERAGEIFS($AA$5:$AA$1000,$U$5:$U$1000,ROW(),$V$5:$V$1000,"Sub"),$AA200)))</f>
        <v/>
      </c>
      <c r="AF200" s="62">
        <f>IF($V200="","",IF(AND(ISNUMBER($G200),$G200&lt;=IF($S200=MesCiclo,InicioCiclo,$S200+MOD(2-WEEKDAY($S200),7))+27),1,IF(N($W200)&gt;0,AVERAGEIFS($AB$5:$AB$1000,$U$5:$U$1000,ROW(),$V$5:$V$1000,"Sub"),$AB200)))</f>
        <v/>
      </c>
      <c r="AG200" s="62">
        <f>IF($V200&lt;&gt;"Macro","",IF(COUNTIFS($S$5:$S$1000,$S200,$V$5:$V$1000,"Macro",$H$5:$H$1000,"&gt;0")=0,1/COUNTIFS($S$5:$S$1000,$S200,$V$5:$V$1000,"Macro"),IF(AND(ISNUMBER($H200),N($H200)&gt;0),$H200,SUMIFS($H$5:$H$1000,$S$5:$S$1000,$S200,$V$5:$V$1000,"Macro")/COUNTIFS($S$5:$S$1000,$S200,$V$5:$V$1000,"Macro",$H$5:$H$1000,"&gt;0"))/(COUNTIFS($S$5:$S$1000,$S200,$V$5:$V$1000,"Macro")*SUMIFS($H$5:$H$1000,$S$5:$S$1000,$S200,$V$5:$V$1000,"Macro")/COUNTIFS($S$5:$S$1000,$S200,$V$5:$V$1000,"Macro",$H$5:$H$1000,"&gt;0"))))</f>
        <v/>
      </c>
      <c r="AH200" s="62" t="n"/>
      <c r="AI200" s="62" t="n"/>
      <c r="AJ200" s="62" t="n"/>
      <c r="AK200" s="62" t="n"/>
      <c r="AL200" s="62">
        <f>IF(LEFT($C200,11)="[Jefatura] ",IFERROR(MATCH("Asistente Técnico de Riesgo|"&amp;MID($C200,12,500),rDname_ADM,0),0),"")</f>
        <v/>
      </c>
      <c r="AM200" s="62">
        <f>IF(N($AL200)&gt;0,INDEX(rIni_ADM,$AL200),IF(ISNUMBER($E200),$E200,""))</f>
        <v/>
      </c>
      <c r="AN200" s="62">
        <f>IF(N($AL200)&gt;0,INDEX(rLim_ADM,$AL200),IF(ISNUMBER($F200),$F200,""))</f>
        <v/>
      </c>
    </row>
    <row r="201">
      <c r="A201" s="56">
        <f>IF(NOT((COUNTA($B201:$D201)+COUNTA($G201:$L201)+COUNTA($Q201))&gt;0),"",IF($V201="Macro",COUNTIFS($V$5:$V201,"Macro",$S$5:$S201,$S201),IF(N($U201)=0,"?",COUNTIFS(INDEX($V$5:$V$1000,1):INDEX($V$5:$V$1000,$U201-4),"Macro",INDEX($S$5:$S$1000,1):INDEX($S$5:$S$1000,$U201-4),INDEX($S$5:$S$1000,$U201-4))&amp;"."&amp;COUNTIFS($U$5:$U201,$U201,$V$5:$V201,"Sub"))))</f>
        <v/>
      </c>
      <c r="B201" s="57" t="n"/>
      <c r="C201" s="58" t="n"/>
      <c r="D201" s="58" t="n"/>
      <c r="E201" s="59">
        <f>IF(N($AL201)&gt;0,INDEX(rIni_ADM,$AL201),"")</f>
        <v/>
      </c>
      <c r="F201" s="59">
        <f>IF(N($AL201)&gt;0,INDEX(rLim_ADM,$AL201),"")</f>
        <v/>
      </c>
      <c r="G201" s="59" t="n"/>
      <c r="H201" s="60" t="n"/>
      <c r="I201" s="60" t="n"/>
      <c r="J201" s="60" t="n"/>
      <c r="K201" s="60" t="n"/>
      <c r="L201" s="60" t="n"/>
      <c r="M201" s="61">
        <f>IF(NOT((COUNTA($B201:$D201)+COUNTA($G201:$L201)+COUNTA($Q201))&gt;0),"",IF($V201="Sub",IFERROR($X201/INDEX($W$5:$W$1000,$U201-4),""),IF(ISNUMBER($G201),1,IF(N($W201)&gt;0,AVERAGEIFS($X$5:$X$1000,$U$5:$U$1000,ROW(),$V$5:$V$1000,"Sub"),$X201))))</f>
        <v/>
      </c>
      <c r="N201" s="56">
        <f>IF(OR($M201="",$V201="Sub"),"",IF($M201&gt;=1,"Completado",IF($M201&gt;0,"En curso","Pendiente")))</f>
        <v/>
      </c>
      <c r="O201" s="56">
        <f>IF(OR(NOT((COUNTA($B201:$D201)+COUNTA($G201:$L201)+COUNTA($Q201))&gt;0),$V201="Sub"),"",IF(ISNUMBER($G201),IF(AND(ISNUMBER($AN201),$G201&gt;$AN201),"Cumplida con "&amp;($G201-$AN201)&amp;IF($G201-$AN201=1," día"," días")&amp;" de retraso","Cumplida"),IF(N($M201)&gt;=1,"Cumplida",IF(NOT(ISNUMBER($AN201)),"Sin fecha límite",IF($AN201&lt;FechaRef,"Vencida hace "&amp;(FechaRef-$AN201)&amp;IF(FechaRef-$AN201=1," día"," días"),IF($AN201=FechaRef,"Vence hoy",IF($AN201-FechaRef&lt;=DiasAlerta,"Vence en "&amp;($AN201-FechaRef)&amp;IF($AN201-FechaRef=1," día"," días"),"En plazo")))))))</f>
        <v/>
      </c>
      <c r="P201" s="62" t="n"/>
      <c r="Q201" s="58" t="n"/>
      <c r="R201" s="63">
        <f>IF(NOT((COUNTA($B201:$D201)+COUNTA($G201:$L201)+COUNTA($Q201))&gt;0),"",IF((IF($C201="","Falta el nombre de la actividad"&amp;" · ","")&amp;IF(AND($V201="Sub",N($U201)=0),"Subactividad sin macroactividad arriba"&amp;" · ","")&amp;IF($AM201="","Sin fecha de inicio"&amp;" · ","")&amp;IF($AN201="","Sin fecha límite"&amp;" · ","")&amp;IF(AND(LEFT($C201,11)="[Jefatura] ",N($AL201)=0),"No se encuentra en la hoja de la jefatura (elíjala de nuevo en la lista)"&amp;" · ","")&amp;IF(OR(AND($E201&lt;&gt;"",NOT(ISNUMBER($E201))),AND($F201&lt;&gt;"",NOT(ISNUMBER($F201))),AND($G201&lt;&gt;"",NOT(ISNUMBER($G201)))),"Fecha no válida"&amp;" · ","")&amp;IF(AND(ISNUMBER($AM201),ISNUMBER($AN201),$AM201&gt;$AN201),"Inicio posterior a fecha límite"&amp;" · ","")&amp;IF(AND($V201="Macro",$H201&lt;&gt;"",OR(NOT(ISNUMBER($H201)),$H201&lt;0,$H201&gt;1)),"Peso fuera de rango"&amp;" · ","")&amp;IF(AND($V201="Sub",$H201&lt;&gt;""),"Las subactividades no llevan peso (valen igual dentro de su macroactividad)"&amp;" · ","")&amp;IF(AND(N($W201)&gt;0,COUNT($I201:$L201)&gt;0),"Con subactividades: deje vacías las semanas (se calculan solas)"&amp;" · ","")&amp;IF((COUNTIF($I201:$L201,"&gt;1")+COUNTIF($I201:$L201,"&lt;0")+COUNTA($I201:$L201)-COUNT($I201:$L201))&gt;0,"Avance fuera de rango 0-100%"&amp;" · ","")&amp;IF(OR(AND($J201&lt;&gt;"",$J201&lt;$I201),AND($K201&lt;&gt;"",$K201&lt;MAX($I201:$J201)),AND($L201&lt;&gt;"",$L201&lt;MAX($I201:$K201))),"Avance semanal decreciente"&amp;" · ","")&amp;IF(AND(ISNUMBER($AN201),$AN201&lt;FechaRef,IF($V201="Sub",N($X201),N($M201))&lt;1),"Vencida"&amp;" · ","")&amp;IF(AND(ObsObligatoria="Sí",ISNUMBER($AN201),$AN201&lt;FechaRef,IF($V201="Sub",N($X201),N($M201))&lt;1,$Q201=""),"Vencida sin observación"&amp;" · ",""))="","✔ OK","⚠ "&amp;LEFT(IF($C201="","Falta el nombre de la actividad"&amp;" · ","")&amp;IF(AND($V201="Sub",N($U201)=0),"Subactividad sin macroactividad arriba"&amp;" · ","")&amp;IF($AM201="","Sin fecha de inicio"&amp;" · ","")&amp;IF($AN201="","Sin fecha límite"&amp;" · ","")&amp;IF(AND(LEFT($C201,11)="[Jefatura] ",N($AL201)=0),"No se encuentra en la hoja de la jefatura (elíjala de nuevo en la lista)"&amp;" · ","")&amp;IF(OR(AND($E201&lt;&gt;"",NOT(ISNUMBER($E201))),AND($F201&lt;&gt;"",NOT(ISNUMBER($F201))),AND($G201&lt;&gt;"",NOT(ISNUMBER($G201)))),"Fecha no válida"&amp;" · ","")&amp;IF(AND(ISNUMBER($AM201),ISNUMBER($AN201),$AM201&gt;$AN201),"Inicio posterior a fecha límite"&amp;" · ","")&amp;IF(AND($V201="Macro",$H201&lt;&gt;"",OR(NOT(ISNUMBER($H201)),$H201&lt;0,$H201&gt;1)),"Peso fuera de rango"&amp;" · ","")&amp;IF(AND($V201="Sub",$H201&lt;&gt;""),"Las subactividades no llevan peso (valen igual dentro de su macroactividad)"&amp;" · ","")&amp;IF(AND(N($W201)&gt;0,COUNT($I201:$L201)&gt;0),"Con subactividades: deje vacías las semanas (se calculan solas)"&amp;" · ","")&amp;IF((COUNTIF($I201:$L201,"&gt;1")+COUNTIF($I201:$L201,"&lt;0")+COUNTA($I201:$L201)-COUNT($I201:$L201))&gt;0,"Avance fuera de rango 0-100%"&amp;" · ","")&amp;IF(OR(AND($J201&lt;&gt;"",$J201&lt;$I201),AND($K201&lt;&gt;"",$K201&lt;MAX($I201:$J201)),AND($L201&lt;&gt;"",$L201&lt;MAX($I201:$K201))),"Avance semanal decreciente"&amp;" · ","")&amp;IF(AND(ISNUMBER($AN201),$AN201&lt;FechaRef,IF($V201="Sub",N($X201),N($M201))&lt;1),"Vencida"&amp;" · ","")&amp;IF(AND(ObsObligatoria="Sí",ISNUMBER($AN201),$AN201&lt;FechaRef,IF($V201="Sub",N($X201),N($M201))&lt;1,$Q201=""),"Vencida sin observación"&amp;" · ",""),LEN(IF($C201="","Falta el nombre de la actividad"&amp;" · ","")&amp;IF(AND($V201="Sub",N($U201)=0),"Subactividad sin macroactividad arriba"&amp;" · ","")&amp;IF($AM201="","Sin fecha de inicio"&amp;" · ","")&amp;IF($AN201="","Sin fecha límite"&amp;" · ","")&amp;IF(AND(LEFT($C201,11)="[Jefatura] ",N($AL201)=0),"No se encuentra en la hoja de la jefatura (elíjala de nuevo en la lista)"&amp;" · ","")&amp;IF(OR(AND($E201&lt;&gt;"",NOT(ISNUMBER($E201))),AND($F201&lt;&gt;"",NOT(ISNUMBER($F201))),AND($G201&lt;&gt;"",NOT(ISNUMBER($G201)))),"Fecha no válida"&amp;" · ","")&amp;IF(AND(ISNUMBER($AM201),ISNUMBER($AN201),$AM201&gt;$AN201),"Inicio posterior a fecha límite"&amp;" · ","")&amp;IF(AND($V201="Macro",$H201&lt;&gt;"",OR(NOT(ISNUMBER($H201)),$H201&lt;0,$H201&gt;1)),"Peso fuera de rango"&amp;" · ","")&amp;IF(AND($V201="Sub",$H201&lt;&gt;""),"Las subactividades no llevan peso (valen igual dentro de su macroactividad)"&amp;" · ","")&amp;IF(AND(N($W201)&gt;0,COUNT($I201:$L201)&gt;0),"Con subactividades: deje vacías las semanas (se calculan solas)"&amp;" · ","")&amp;IF((COUNTIF($I201:$L201,"&gt;1")+COUNTIF($I201:$L201,"&lt;0")+COUNTA($I201:$L201)-COUNT($I201:$L201))&gt;0,"Avance fuera de rango 0-100%"&amp;" · ","")&amp;IF(OR(AND($J201&lt;&gt;"",$J201&lt;$I201),AND($K201&lt;&gt;"",$K201&lt;MAX($I201:$J201)),AND($L201&lt;&gt;"",$L201&lt;MAX($I201:$K201))),"Avance semanal decreciente"&amp;" · ","")&amp;IF(AND(ISNUMBER($AN201),$AN201&lt;FechaRef,IF($V201="Sub",N($X201),N($M201))&lt;1),"Vencida"&amp;" · ","")&amp;IF(AND(ObsObligatoria="Sí",ISNUMBER($AN201),$AN201&lt;FechaRef,IF($V201="Sub",N($X201),N($M201))&lt;1,$Q201=""),"Vencida sin observación"&amp;" · ",""))-3)))</f>
        <v/>
      </c>
      <c r="S201" s="64">
        <f>IF(NOT((COUNTA($B201:$D201)+COUNTA($G201:$L201)+COUNTA($Q201))&gt;0),"",IF(AND($V201="Sub",N($U201)&gt;0),IF(ISNUMBER(INDEX($AM$5:$AM$1000,$U201-4)),DATE(YEAR(INDEX($AM$5:$AM$1000,$U201-4)),MONTH(INDEX($AM$5:$AM$1000,$U201-4)),1),IF(ISNUMBER(INDEX($AN$5:$AN$1000,$U201-4)),DATE(YEAR(INDEX($AN$5:$AN$1000,$U201-4)),MONTH(INDEX($AN$5:$AN$1000,$U201-4)),1),MesCiclo)),IF(ISNUMBER($AM201),DATE(YEAR($AM201),MONTH($AM201),1),IF(ISNUMBER($AN201),DATE(YEAR($AN201),MONTH($AN201),1),MesCiclo))))</f>
        <v/>
      </c>
      <c r="T201" s="62">
        <f>IF(OR($S201="",$S201&lt;&gt;MesCiclo,$V201&lt;&gt;"Macro"),"",COUNTIFS($S$5:$S201,MesCiclo,$V$5:$V201,"Macro"))</f>
        <v/>
      </c>
      <c r="U201" s="62">
        <f>IF($V201="","",IF($V201="Macro",ROW(),IFERROR(LOOKUP(2,1/($V$5:$V201="Macro"),ROW($V$5:$V201)),0)))</f>
        <v/>
      </c>
      <c r="V201" s="62">
        <f>IF(NOT((COUNTA($B201:$D201)+COUNTA($G201:$L201)+COUNTA($Q201))&gt;0),"",IF($B201="Subactividad","Sub","Macro"))</f>
        <v/>
      </c>
      <c r="W201" s="62">
        <f>IF($V201="Macro",COUNTIFS($U$5:$U$1000,ROW(),$V$5:$V$1000,"Sub"),"")</f>
        <v/>
      </c>
      <c r="X201" s="62">
        <f>IF($V201="","",IF(ISNUMBER($G201),1,IFERROR(LOOKUP(2,1/($I201:$L201&lt;&gt;""),$I201:$L201),0)))</f>
        <v/>
      </c>
      <c r="Y201" s="62">
        <f>IF($V201="","",IF(AND(ISNUMBER($G201),$G201&lt;=IF($S201=MesCiclo,InicioCiclo,$S201+MOD(2-WEEKDAY($S201),7))+6),1,IF(ISNUMBER($I201),$I201,0)))</f>
        <v/>
      </c>
      <c r="Z201" s="62">
        <f>IF($V201="","",IF(AND(ISNUMBER($G201),$G201&lt;=IF($S201=MesCiclo,InicioCiclo,$S201+MOD(2-WEEKDAY($S201),7))+13),1,IF(ISNUMBER($J201),$J201,$Y201)))</f>
        <v/>
      </c>
      <c r="AA201" s="62">
        <f>IF($V201="","",IF(AND(ISNUMBER($G201),$G201&lt;=IF($S201=MesCiclo,InicioCiclo,$S201+MOD(2-WEEKDAY($S201),7))+20),1,IF(ISNUMBER($K201),$K201,$Z201)))</f>
        <v/>
      </c>
      <c r="AB201" s="62">
        <f>IF($V201="","",IF(AND(ISNUMBER($G201),$G201&lt;=IF($S201=MesCiclo,InicioCiclo,$S201+MOD(2-WEEKDAY($S201),7))+27),1,IF(ISNUMBER($L201),$L201,$AA201)))</f>
        <v/>
      </c>
      <c r="AC201" s="62">
        <f>IF($V201="","",IF(AND(ISNUMBER($G201),$G201&lt;=IF($S201=MesCiclo,InicioCiclo,$S201+MOD(2-WEEKDAY($S201),7))+6),1,IF(N($W201)&gt;0,AVERAGEIFS($Y$5:$Y$1000,$U$5:$U$1000,ROW(),$V$5:$V$1000,"Sub"),$Y201)))</f>
        <v/>
      </c>
      <c r="AD201" s="62">
        <f>IF($V201="","",IF(AND(ISNUMBER($G201),$G201&lt;=IF($S201=MesCiclo,InicioCiclo,$S201+MOD(2-WEEKDAY($S201),7))+13),1,IF(N($W201)&gt;0,AVERAGEIFS($Z$5:$Z$1000,$U$5:$U$1000,ROW(),$V$5:$V$1000,"Sub"),$Z201)))</f>
        <v/>
      </c>
      <c r="AE201" s="62">
        <f>IF($V201="","",IF(AND(ISNUMBER($G201),$G201&lt;=IF($S201=MesCiclo,InicioCiclo,$S201+MOD(2-WEEKDAY($S201),7))+20),1,IF(N($W201)&gt;0,AVERAGEIFS($AA$5:$AA$1000,$U$5:$U$1000,ROW(),$V$5:$V$1000,"Sub"),$AA201)))</f>
        <v/>
      </c>
      <c r="AF201" s="62">
        <f>IF($V201="","",IF(AND(ISNUMBER($G201),$G201&lt;=IF($S201=MesCiclo,InicioCiclo,$S201+MOD(2-WEEKDAY($S201),7))+27),1,IF(N($W201)&gt;0,AVERAGEIFS($AB$5:$AB$1000,$U$5:$U$1000,ROW(),$V$5:$V$1000,"Sub"),$AB201)))</f>
        <v/>
      </c>
      <c r="AG201" s="62">
        <f>IF($V201&lt;&gt;"Macro","",IF(COUNTIFS($S$5:$S$1000,$S201,$V$5:$V$1000,"Macro",$H$5:$H$1000,"&gt;0")=0,1/COUNTIFS($S$5:$S$1000,$S201,$V$5:$V$1000,"Macro"),IF(AND(ISNUMBER($H201),N($H201)&gt;0),$H201,SUMIFS($H$5:$H$1000,$S$5:$S$1000,$S201,$V$5:$V$1000,"Macro")/COUNTIFS($S$5:$S$1000,$S201,$V$5:$V$1000,"Macro",$H$5:$H$1000,"&gt;0"))/(COUNTIFS($S$5:$S$1000,$S201,$V$5:$V$1000,"Macro")*SUMIFS($H$5:$H$1000,$S$5:$S$1000,$S201,$V$5:$V$1000,"Macro")/COUNTIFS($S$5:$S$1000,$S201,$V$5:$V$1000,"Macro",$H$5:$H$1000,"&gt;0"))))</f>
        <v/>
      </c>
      <c r="AH201" s="62" t="n"/>
      <c r="AI201" s="62" t="n"/>
      <c r="AJ201" s="62" t="n"/>
      <c r="AK201" s="62" t="n"/>
      <c r="AL201" s="62">
        <f>IF(LEFT($C201,11)="[Jefatura] ",IFERROR(MATCH("Asistente Técnico de Riesgo|"&amp;MID($C201,12,500),rDname_ADM,0),0),"")</f>
        <v/>
      </c>
      <c r="AM201" s="62">
        <f>IF(N($AL201)&gt;0,INDEX(rIni_ADM,$AL201),IF(ISNUMBER($E201),$E201,""))</f>
        <v/>
      </c>
      <c r="AN201" s="62">
        <f>IF(N($AL201)&gt;0,INDEX(rLim_ADM,$AL201),IF(ISNUMBER($F201),$F201,""))</f>
        <v/>
      </c>
    </row>
    <row r="202">
      <c r="A202" s="56">
        <f>IF(NOT((COUNTA($B202:$D202)+COUNTA($G202:$L202)+COUNTA($Q202))&gt;0),"",IF($V202="Macro",COUNTIFS($V$5:$V202,"Macro",$S$5:$S202,$S202),IF(N($U202)=0,"?",COUNTIFS(INDEX($V$5:$V$1000,1):INDEX($V$5:$V$1000,$U202-4),"Macro",INDEX($S$5:$S$1000,1):INDEX($S$5:$S$1000,$U202-4),INDEX($S$5:$S$1000,$U202-4))&amp;"."&amp;COUNTIFS($U$5:$U202,$U202,$V$5:$V202,"Sub"))))</f>
        <v/>
      </c>
      <c r="B202" s="57" t="n"/>
      <c r="C202" s="58" t="n"/>
      <c r="D202" s="58" t="n"/>
      <c r="E202" s="59">
        <f>IF(N($AL202)&gt;0,INDEX(rIni_ADM,$AL202),"")</f>
        <v/>
      </c>
      <c r="F202" s="59">
        <f>IF(N($AL202)&gt;0,INDEX(rLim_ADM,$AL202),"")</f>
        <v/>
      </c>
      <c r="G202" s="59" t="n"/>
      <c r="H202" s="60" t="n"/>
      <c r="I202" s="60" t="n"/>
      <c r="J202" s="60" t="n"/>
      <c r="K202" s="60" t="n"/>
      <c r="L202" s="60" t="n"/>
      <c r="M202" s="61">
        <f>IF(NOT((COUNTA($B202:$D202)+COUNTA($G202:$L202)+COUNTA($Q202))&gt;0),"",IF($V202="Sub",IFERROR($X202/INDEX($W$5:$W$1000,$U202-4),""),IF(ISNUMBER($G202),1,IF(N($W202)&gt;0,AVERAGEIFS($X$5:$X$1000,$U$5:$U$1000,ROW(),$V$5:$V$1000,"Sub"),$X202))))</f>
        <v/>
      </c>
      <c r="N202" s="56">
        <f>IF(OR($M202="",$V202="Sub"),"",IF($M202&gt;=1,"Completado",IF($M202&gt;0,"En curso","Pendiente")))</f>
        <v/>
      </c>
      <c r="O202" s="56">
        <f>IF(OR(NOT((COUNTA($B202:$D202)+COUNTA($G202:$L202)+COUNTA($Q202))&gt;0),$V202="Sub"),"",IF(ISNUMBER($G202),IF(AND(ISNUMBER($AN202),$G202&gt;$AN202),"Cumplida con "&amp;($G202-$AN202)&amp;IF($G202-$AN202=1," día"," días")&amp;" de retraso","Cumplida"),IF(N($M202)&gt;=1,"Cumplida",IF(NOT(ISNUMBER($AN202)),"Sin fecha límite",IF($AN202&lt;FechaRef,"Vencida hace "&amp;(FechaRef-$AN202)&amp;IF(FechaRef-$AN202=1," día"," días"),IF($AN202=FechaRef,"Vence hoy",IF($AN202-FechaRef&lt;=DiasAlerta,"Vence en "&amp;($AN202-FechaRef)&amp;IF($AN202-FechaRef=1," día"," días"),"En plazo")))))))</f>
        <v/>
      </c>
      <c r="P202" s="62" t="n"/>
      <c r="Q202" s="58" t="n"/>
      <c r="R202" s="63">
        <f>IF(NOT((COUNTA($B202:$D202)+COUNTA($G202:$L202)+COUNTA($Q202))&gt;0),"",IF((IF($C202="","Falta el nombre de la actividad"&amp;" · ","")&amp;IF(AND($V202="Sub",N($U202)=0),"Subactividad sin macroactividad arriba"&amp;" · ","")&amp;IF($AM202="","Sin fecha de inicio"&amp;" · ","")&amp;IF($AN202="","Sin fecha límite"&amp;" · ","")&amp;IF(AND(LEFT($C202,11)="[Jefatura] ",N($AL202)=0),"No se encuentra en la hoja de la jefatura (elíjala de nuevo en la lista)"&amp;" · ","")&amp;IF(OR(AND($E202&lt;&gt;"",NOT(ISNUMBER($E202))),AND($F202&lt;&gt;"",NOT(ISNUMBER($F202))),AND($G202&lt;&gt;"",NOT(ISNUMBER($G202)))),"Fecha no válida"&amp;" · ","")&amp;IF(AND(ISNUMBER($AM202),ISNUMBER($AN202),$AM202&gt;$AN202),"Inicio posterior a fecha límite"&amp;" · ","")&amp;IF(AND($V202="Macro",$H202&lt;&gt;"",OR(NOT(ISNUMBER($H202)),$H202&lt;0,$H202&gt;1)),"Peso fuera de rango"&amp;" · ","")&amp;IF(AND($V202="Sub",$H202&lt;&gt;""),"Las subactividades no llevan peso (valen igual dentro de su macroactividad)"&amp;" · ","")&amp;IF(AND(N($W202)&gt;0,COUNT($I202:$L202)&gt;0),"Con subactividades: deje vacías las semanas (se calculan solas)"&amp;" · ","")&amp;IF((COUNTIF($I202:$L202,"&gt;1")+COUNTIF($I202:$L202,"&lt;0")+COUNTA($I202:$L202)-COUNT($I202:$L202))&gt;0,"Avance fuera de rango 0-100%"&amp;" · ","")&amp;IF(OR(AND($J202&lt;&gt;"",$J202&lt;$I202),AND($K202&lt;&gt;"",$K202&lt;MAX($I202:$J202)),AND($L202&lt;&gt;"",$L202&lt;MAX($I202:$K202))),"Avance semanal decreciente"&amp;" · ","")&amp;IF(AND(ISNUMBER($AN202),$AN202&lt;FechaRef,IF($V202="Sub",N($X202),N($M202))&lt;1),"Vencida"&amp;" · ","")&amp;IF(AND(ObsObligatoria="Sí",ISNUMBER($AN202),$AN202&lt;FechaRef,IF($V202="Sub",N($X202),N($M202))&lt;1,$Q202=""),"Vencida sin observación"&amp;" · ",""))="","✔ OK","⚠ "&amp;LEFT(IF($C202="","Falta el nombre de la actividad"&amp;" · ","")&amp;IF(AND($V202="Sub",N($U202)=0),"Subactividad sin macroactividad arriba"&amp;" · ","")&amp;IF($AM202="","Sin fecha de inicio"&amp;" · ","")&amp;IF($AN202="","Sin fecha límite"&amp;" · ","")&amp;IF(AND(LEFT($C202,11)="[Jefatura] ",N($AL202)=0),"No se encuentra en la hoja de la jefatura (elíjala de nuevo en la lista)"&amp;" · ","")&amp;IF(OR(AND($E202&lt;&gt;"",NOT(ISNUMBER($E202))),AND($F202&lt;&gt;"",NOT(ISNUMBER($F202))),AND($G202&lt;&gt;"",NOT(ISNUMBER($G202)))),"Fecha no válida"&amp;" · ","")&amp;IF(AND(ISNUMBER($AM202),ISNUMBER($AN202),$AM202&gt;$AN202),"Inicio posterior a fecha límite"&amp;" · ","")&amp;IF(AND($V202="Macro",$H202&lt;&gt;"",OR(NOT(ISNUMBER($H202)),$H202&lt;0,$H202&gt;1)),"Peso fuera de rango"&amp;" · ","")&amp;IF(AND($V202="Sub",$H202&lt;&gt;""),"Las subactividades no llevan peso (valen igual dentro de su macroactividad)"&amp;" · ","")&amp;IF(AND(N($W202)&gt;0,COUNT($I202:$L202)&gt;0),"Con subactividades: deje vacías las semanas (se calculan solas)"&amp;" · ","")&amp;IF((COUNTIF($I202:$L202,"&gt;1")+COUNTIF($I202:$L202,"&lt;0")+COUNTA($I202:$L202)-COUNT($I202:$L202))&gt;0,"Avance fuera de rango 0-100%"&amp;" · ","")&amp;IF(OR(AND($J202&lt;&gt;"",$J202&lt;$I202),AND($K202&lt;&gt;"",$K202&lt;MAX($I202:$J202)),AND($L202&lt;&gt;"",$L202&lt;MAX($I202:$K202))),"Avance semanal decreciente"&amp;" · ","")&amp;IF(AND(ISNUMBER($AN202),$AN202&lt;FechaRef,IF($V202="Sub",N($X202),N($M202))&lt;1),"Vencida"&amp;" · ","")&amp;IF(AND(ObsObligatoria="Sí",ISNUMBER($AN202),$AN202&lt;FechaRef,IF($V202="Sub",N($X202),N($M202))&lt;1,$Q202=""),"Vencida sin observación"&amp;" · ",""),LEN(IF($C202="","Falta el nombre de la actividad"&amp;" · ","")&amp;IF(AND($V202="Sub",N($U202)=0),"Subactividad sin macroactividad arriba"&amp;" · ","")&amp;IF($AM202="","Sin fecha de inicio"&amp;" · ","")&amp;IF($AN202="","Sin fecha límite"&amp;" · ","")&amp;IF(AND(LEFT($C202,11)="[Jefatura] ",N($AL202)=0),"No se encuentra en la hoja de la jefatura (elíjala de nuevo en la lista)"&amp;" · ","")&amp;IF(OR(AND($E202&lt;&gt;"",NOT(ISNUMBER($E202))),AND($F202&lt;&gt;"",NOT(ISNUMBER($F202))),AND($G202&lt;&gt;"",NOT(ISNUMBER($G202)))),"Fecha no válida"&amp;" · ","")&amp;IF(AND(ISNUMBER($AM202),ISNUMBER($AN202),$AM202&gt;$AN202),"Inicio posterior a fecha límite"&amp;" · ","")&amp;IF(AND($V202="Macro",$H202&lt;&gt;"",OR(NOT(ISNUMBER($H202)),$H202&lt;0,$H202&gt;1)),"Peso fuera de rango"&amp;" · ","")&amp;IF(AND($V202="Sub",$H202&lt;&gt;""),"Las subactividades no llevan peso (valen igual dentro de su macroactividad)"&amp;" · ","")&amp;IF(AND(N($W202)&gt;0,COUNT($I202:$L202)&gt;0),"Con subactividades: deje vacías las semanas (se calculan solas)"&amp;" · ","")&amp;IF((COUNTIF($I202:$L202,"&gt;1")+COUNTIF($I202:$L202,"&lt;0")+COUNTA($I202:$L202)-COUNT($I202:$L202))&gt;0,"Avance fuera de rango 0-100%"&amp;" · ","")&amp;IF(OR(AND($J202&lt;&gt;"",$J202&lt;$I202),AND($K202&lt;&gt;"",$K202&lt;MAX($I202:$J202)),AND($L202&lt;&gt;"",$L202&lt;MAX($I202:$K202))),"Avance semanal decreciente"&amp;" · ","")&amp;IF(AND(ISNUMBER($AN202),$AN202&lt;FechaRef,IF($V202="Sub",N($X202),N($M202))&lt;1),"Vencida"&amp;" · ","")&amp;IF(AND(ObsObligatoria="Sí",ISNUMBER($AN202),$AN202&lt;FechaRef,IF($V202="Sub",N($X202),N($M202))&lt;1,$Q202=""),"Vencida sin observación"&amp;" · ",""))-3)))</f>
        <v/>
      </c>
      <c r="S202" s="64">
        <f>IF(NOT((COUNTA($B202:$D202)+COUNTA($G202:$L202)+COUNTA($Q202))&gt;0),"",IF(AND($V202="Sub",N($U202)&gt;0),IF(ISNUMBER(INDEX($AM$5:$AM$1000,$U202-4)),DATE(YEAR(INDEX($AM$5:$AM$1000,$U202-4)),MONTH(INDEX($AM$5:$AM$1000,$U202-4)),1),IF(ISNUMBER(INDEX($AN$5:$AN$1000,$U202-4)),DATE(YEAR(INDEX($AN$5:$AN$1000,$U202-4)),MONTH(INDEX($AN$5:$AN$1000,$U202-4)),1),MesCiclo)),IF(ISNUMBER($AM202),DATE(YEAR($AM202),MONTH($AM202),1),IF(ISNUMBER($AN202),DATE(YEAR($AN202),MONTH($AN202),1),MesCiclo))))</f>
        <v/>
      </c>
      <c r="T202" s="62">
        <f>IF(OR($S202="",$S202&lt;&gt;MesCiclo,$V202&lt;&gt;"Macro"),"",COUNTIFS($S$5:$S202,MesCiclo,$V$5:$V202,"Macro"))</f>
        <v/>
      </c>
      <c r="U202" s="62">
        <f>IF($V202="","",IF($V202="Macro",ROW(),IFERROR(LOOKUP(2,1/($V$5:$V202="Macro"),ROW($V$5:$V202)),0)))</f>
        <v/>
      </c>
      <c r="V202" s="62">
        <f>IF(NOT((COUNTA($B202:$D202)+COUNTA($G202:$L202)+COUNTA($Q202))&gt;0),"",IF($B202="Subactividad","Sub","Macro"))</f>
        <v/>
      </c>
      <c r="W202" s="62">
        <f>IF($V202="Macro",COUNTIFS($U$5:$U$1000,ROW(),$V$5:$V$1000,"Sub"),"")</f>
        <v/>
      </c>
      <c r="X202" s="62">
        <f>IF($V202="","",IF(ISNUMBER($G202),1,IFERROR(LOOKUP(2,1/($I202:$L202&lt;&gt;""),$I202:$L202),0)))</f>
        <v/>
      </c>
      <c r="Y202" s="62">
        <f>IF($V202="","",IF(AND(ISNUMBER($G202),$G202&lt;=IF($S202=MesCiclo,InicioCiclo,$S202+MOD(2-WEEKDAY($S202),7))+6),1,IF(ISNUMBER($I202),$I202,0)))</f>
        <v/>
      </c>
      <c r="Z202" s="62">
        <f>IF($V202="","",IF(AND(ISNUMBER($G202),$G202&lt;=IF($S202=MesCiclo,InicioCiclo,$S202+MOD(2-WEEKDAY($S202),7))+13),1,IF(ISNUMBER($J202),$J202,$Y202)))</f>
        <v/>
      </c>
      <c r="AA202" s="62">
        <f>IF($V202="","",IF(AND(ISNUMBER($G202),$G202&lt;=IF($S202=MesCiclo,InicioCiclo,$S202+MOD(2-WEEKDAY($S202),7))+20),1,IF(ISNUMBER($K202),$K202,$Z202)))</f>
        <v/>
      </c>
      <c r="AB202" s="62">
        <f>IF($V202="","",IF(AND(ISNUMBER($G202),$G202&lt;=IF($S202=MesCiclo,InicioCiclo,$S202+MOD(2-WEEKDAY($S202),7))+27),1,IF(ISNUMBER($L202),$L202,$AA202)))</f>
        <v/>
      </c>
      <c r="AC202" s="62">
        <f>IF($V202="","",IF(AND(ISNUMBER($G202),$G202&lt;=IF($S202=MesCiclo,InicioCiclo,$S202+MOD(2-WEEKDAY($S202),7))+6),1,IF(N($W202)&gt;0,AVERAGEIFS($Y$5:$Y$1000,$U$5:$U$1000,ROW(),$V$5:$V$1000,"Sub"),$Y202)))</f>
        <v/>
      </c>
      <c r="AD202" s="62">
        <f>IF($V202="","",IF(AND(ISNUMBER($G202),$G202&lt;=IF($S202=MesCiclo,InicioCiclo,$S202+MOD(2-WEEKDAY($S202),7))+13),1,IF(N($W202)&gt;0,AVERAGEIFS($Z$5:$Z$1000,$U$5:$U$1000,ROW(),$V$5:$V$1000,"Sub"),$Z202)))</f>
        <v/>
      </c>
      <c r="AE202" s="62">
        <f>IF($V202="","",IF(AND(ISNUMBER($G202),$G202&lt;=IF($S202=MesCiclo,InicioCiclo,$S202+MOD(2-WEEKDAY($S202),7))+20),1,IF(N($W202)&gt;0,AVERAGEIFS($AA$5:$AA$1000,$U$5:$U$1000,ROW(),$V$5:$V$1000,"Sub"),$AA202)))</f>
        <v/>
      </c>
      <c r="AF202" s="62">
        <f>IF($V202="","",IF(AND(ISNUMBER($G202),$G202&lt;=IF($S202=MesCiclo,InicioCiclo,$S202+MOD(2-WEEKDAY($S202),7))+27),1,IF(N($W202)&gt;0,AVERAGEIFS($AB$5:$AB$1000,$U$5:$U$1000,ROW(),$V$5:$V$1000,"Sub"),$AB202)))</f>
        <v/>
      </c>
      <c r="AG202" s="62">
        <f>IF($V202&lt;&gt;"Macro","",IF(COUNTIFS($S$5:$S$1000,$S202,$V$5:$V$1000,"Macro",$H$5:$H$1000,"&gt;0")=0,1/COUNTIFS($S$5:$S$1000,$S202,$V$5:$V$1000,"Macro"),IF(AND(ISNUMBER($H202),N($H202)&gt;0),$H202,SUMIFS($H$5:$H$1000,$S$5:$S$1000,$S202,$V$5:$V$1000,"Macro")/COUNTIFS($S$5:$S$1000,$S202,$V$5:$V$1000,"Macro",$H$5:$H$1000,"&gt;0"))/(COUNTIFS($S$5:$S$1000,$S202,$V$5:$V$1000,"Macro")*SUMIFS($H$5:$H$1000,$S$5:$S$1000,$S202,$V$5:$V$1000,"Macro")/COUNTIFS($S$5:$S$1000,$S202,$V$5:$V$1000,"Macro",$H$5:$H$1000,"&gt;0"))))</f>
        <v/>
      </c>
      <c r="AH202" s="62" t="n"/>
      <c r="AI202" s="62" t="n"/>
      <c r="AJ202" s="62" t="n"/>
      <c r="AK202" s="62" t="n"/>
      <c r="AL202" s="62">
        <f>IF(LEFT($C202,11)="[Jefatura] ",IFERROR(MATCH("Asistente Técnico de Riesgo|"&amp;MID($C202,12,500),rDname_ADM,0),0),"")</f>
        <v/>
      </c>
      <c r="AM202" s="62">
        <f>IF(N($AL202)&gt;0,INDEX(rIni_ADM,$AL202),IF(ISNUMBER($E202),$E202,""))</f>
        <v/>
      </c>
      <c r="AN202" s="62">
        <f>IF(N($AL202)&gt;0,INDEX(rLim_ADM,$AL202),IF(ISNUMBER($F202),$F202,""))</f>
        <v/>
      </c>
    </row>
    <row r="203">
      <c r="A203" s="56">
        <f>IF(NOT((COUNTA($B203:$D203)+COUNTA($G203:$L203)+COUNTA($Q203))&gt;0),"",IF($V203="Macro",COUNTIFS($V$5:$V203,"Macro",$S$5:$S203,$S203),IF(N($U203)=0,"?",COUNTIFS(INDEX($V$5:$V$1000,1):INDEX($V$5:$V$1000,$U203-4),"Macro",INDEX($S$5:$S$1000,1):INDEX($S$5:$S$1000,$U203-4),INDEX($S$5:$S$1000,$U203-4))&amp;"."&amp;COUNTIFS($U$5:$U203,$U203,$V$5:$V203,"Sub"))))</f>
        <v/>
      </c>
      <c r="B203" s="57" t="n"/>
      <c r="C203" s="58" t="n"/>
      <c r="D203" s="58" t="n"/>
      <c r="E203" s="59">
        <f>IF(N($AL203)&gt;0,INDEX(rIni_ADM,$AL203),"")</f>
        <v/>
      </c>
      <c r="F203" s="59">
        <f>IF(N($AL203)&gt;0,INDEX(rLim_ADM,$AL203),"")</f>
        <v/>
      </c>
      <c r="G203" s="59" t="n"/>
      <c r="H203" s="60" t="n"/>
      <c r="I203" s="60" t="n"/>
      <c r="J203" s="60" t="n"/>
      <c r="K203" s="60" t="n"/>
      <c r="L203" s="60" t="n"/>
      <c r="M203" s="61">
        <f>IF(NOT((COUNTA($B203:$D203)+COUNTA($G203:$L203)+COUNTA($Q203))&gt;0),"",IF($V203="Sub",IFERROR($X203/INDEX($W$5:$W$1000,$U203-4),""),IF(ISNUMBER($G203),1,IF(N($W203)&gt;0,AVERAGEIFS($X$5:$X$1000,$U$5:$U$1000,ROW(),$V$5:$V$1000,"Sub"),$X203))))</f>
        <v/>
      </c>
      <c r="N203" s="56">
        <f>IF(OR($M203="",$V203="Sub"),"",IF($M203&gt;=1,"Completado",IF($M203&gt;0,"En curso","Pendiente")))</f>
        <v/>
      </c>
      <c r="O203" s="56">
        <f>IF(OR(NOT((COUNTA($B203:$D203)+COUNTA($G203:$L203)+COUNTA($Q203))&gt;0),$V203="Sub"),"",IF(ISNUMBER($G203),IF(AND(ISNUMBER($AN203),$G203&gt;$AN203),"Cumplida con "&amp;($G203-$AN203)&amp;IF($G203-$AN203=1," día"," días")&amp;" de retraso","Cumplida"),IF(N($M203)&gt;=1,"Cumplida",IF(NOT(ISNUMBER($AN203)),"Sin fecha límite",IF($AN203&lt;FechaRef,"Vencida hace "&amp;(FechaRef-$AN203)&amp;IF(FechaRef-$AN203=1," día"," días"),IF($AN203=FechaRef,"Vence hoy",IF($AN203-FechaRef&lt;=DiasAlerta,"Vence en "&amp;($AN203-FechaRef)&amp;IF($AN203-FechaRef=1," día"," días"),"En plazo")))))))</f>
        <v/>
      </c>
      <c r="P203" s="62" t="n"/>
      <c r="Q203" s="58" t="n"/>
      <c r="R203" s="63">
        <f>IF(NOT((COUNTA($B203:$D203)+COUNTA($G203:$L203)+COUNTA($Q203))&gt;0),"",IF((IF($C203="","Falta el nombre de la actividad"&amp;" · ","")&amp;IF(AND($V203="Sub",N($U203)=0),"Subactividad sin macroactividad arriba"&amp;" · ","")&amp;IF($AM203="","Sin fecha de inicio"&amp;" · ","")&amp;IF($AN203="","Sin fecha límite"&amp;" · ","")&amp;IF(AND(LEFT($C203,11)="[Jefatura] ",N($AL203)=0),"No se encuentra en la hoja de la jefatura (elíjala de nuevo en la lista)"&amp;" · ","")&amp;IF(OR(AND($E203&lt;&gt;"",NOT(ISNUMBER($E203))),AND($F203&lt;&gt;"",NOT(ISNUMBER($F203))),AND($G203&lt;&gt;"",NOT(ISNUMBER($G203)))),"Fecha no válida"&amp;" · ","")&amp;IF(AND(ISNUMBER($AM203),ISNUMBER($AN203),$AM203&gt;$AN203),"Inicio posterior a fecha límite"&amp;" · ","")&amp;IF(AND($V203="Macro",$H203&lt;&gt;"",OR(NOT(ISNUMBER($H203)),$H203&lt;0,$H203&gt;1)),"Peso fuera de rango"&amp;" · ","")&amp;IF(AND($V203="Sub",$H203&lt;&gt;""),"Las subactividades no llevan peso (valen igual dentro de su macroactividad)"&amp;" · ","")&amp;IF(AND(N($W203)&gt;0,COUNT($I203:$L203)&gt;0),"Con subactividades: deje vacías las semanas (se calculan solas)"&amp;" · ","")&amp;IF((COUNTIF($I203:$L203,"&gt;1")+COUNTIF($I203:$L203,"&lt;0")+COUNTA($I203:$L203)-COUNT($I203:$L203))&gt;0,"Avance fuera de rango 0-100%"&amp;" · ","")&amp;IF(OR(AND($J203&lt;&gt;"",$J203&lt;$I203),AND($K203&lt;&gt;"",$K203&lt;MAX($I203:$J203)),AND($L203&lt;&gt;"",$L203&lt;MAX($I203:$K203))),"Avance semanal decreciente"&amp;" · ","")&amp;IF(AND(ISNUMBER($AN203),$AN203&lt;FechaRef,IF($V203="Sub",N($X203),N($M203))&lt;1),"Vencida"&amp;" · ","")&amp;IF(AND(ObsObligatoria="Sí",ISNUMBER($AN203),$AN203&lt;FechaRef,IF($V203="Sub",N($X203),N($M203))&lt;1,$Q203=""),"Vencida sin observación"&amp;" · ",""))="","✔ OK","⚠ "&amp;LEFT(IF($C203="","Falta el nombre de la actividad"&amp;" · ","")&amp;IF(AND($V203="Sub",N($U203)=0),"Subactividad sin macroactividad arriba"&amp;" · ","")&amp;IF($AM203="","Sin fecha de inicio"&amp;" · ","")&amp;IF($AN203="","Sin fecha límite"&amp;" · ","")&amp;IF(AND(LEFT($C203,11)="[Jefatura] ",N($AL203)=0),"No se encuentra en la hoja de la jefatura (elíjala de nuevo en la lista)"&amp;" · ","")&amp;IF(OR(AND($E203&lt;&gt;"",NOT(ISNUMBER($E203))),AND($F203&lt;&gt;"",NOT(ISNUMBER($F203))),AND($G203&lt;&gt;"",NOT(ISNUMBER($G203)))),"Fecha no válida"&amp;" · ","")&amp;IF(AND(ISNUMBER($AM203),ISNUMBER($AN203),$AM203&gt;$AN203),"Inicio posterior a fecha límite"&amp;" · ","")&amp;IF(AND($V203="Macro",$H203&lt;&gt;"",OR(NOT(ISNUMBER($H203)),$H203&lt;0,$H203&gt;1)),"Peso fuera de rango"&amp;" · ","")&amp;IF(AND($V203="Sub",$H203&lt;&gt;""),"Las subactividades no llevan peso (valen igual dentro de su macroactividad)"&amp;" · ","")&amp;IF(AND(N($W203)&gt;0,COUNT($I203:$L203)&gt;0),"Con subactividades: deje vacías las semanas (se calculan solas)"&amp;" · ","")&amp;IF((COUNTIF($I203:$L203,"&gt;1")+COUNTIF($I203:$L203,"&lt;0")+COUNTA($I203:$L203)-COUNT($I203:$L203))&gt;0,"Avance fuera de rango 0-100%"&amp;" · ","")&amp;IF(OR(AND($J203&lt;&gt;"",$J203&lt;$I203),AND($K203&lt;&gt;"",$K203&lt;MAX($I203:$J203)),AND($L203&lt;&gt;"",$L203&lt;MAX($I203:$K203))),"Avance semanal decreciente"&amp;" · ","")&amp;IF(AND(ISNUMBER($AN203),$AN203&lt;FechaRef,IF($V203="Sub",N($X203),N($M203))&lt;1),"Vencida"&amp;" · ","")&amp;IF(AND(ObsObligatoria="Sí",ISNUMBER($AN203),$AN203&lt;FechaRef,IF($V203="Sub",N($X203),N($M203))&lt;1,$Q203=""),"Vencida sin observación"&amp;" · ",""),LEN(IF($C203="","Falta el nombre de la actividad"&amp;" · ","")&amp;IF(AND($V203="Sub",N($U203)=0),"Subactividad sin macroactividad arriba"&amp;" · ","")&amp;IF($AM203="","Sin fecha de inicio"&amp;" · ","")&amp;IF($AN203="","Sin fecha límite"&amp;" · ","")&amp;IF(AND(LEFT($C203,11)="[Jefatura] ",N($AL203)=0),"No se encuentra en la hoja de la jefatura (elíjala de nuevo en la lista)"&amp;" · ","")&amp;IF(OR(AND($E203&lt;&gt;"",NOT(ISNUMBER($E203))),AND($F203&lt;&gt;"",NOT(ISNUMBER($F203))),AND($G203&lt;&gt;"",NOT(ISNUMBER($G203)))),"Fecha no válida"&amp;" · ","")&amp;IF(AND(ISNUMBER($AM203),ISNUMBER($AN203),$AM203&gt;$AN203),"Inicio posterior a fecha límite"&amp;" · ","")&amp;IF(AND($V203="Macro",$H203&lt;&gt;"",OR(NOT(ISNUMBER($H203)),$H203&lt;0,$H203&gt;1)),"Peso fuera de rango"&amp;" · ","")&amp;IF(AND($V203="Sub",$H203&lt;&gt;""),"Las subactividades no llevan peso (valen igual dentro de su macroactividad)"&amp;" · ","")&amp;IF(AND(N($W203)&gt;0,COUNT($I203:$L203)&gt;0),"Con subactividades: deje vacías las semanas (se calculan solas)"&amp;" · ","")&amp;IF((COUNTIF($I203:$L203,"&gt;1")+COUNTIF($I203:$L203,"&lt;0")+COUNTA($I203:$L203)-COUNT($I203:$L203))&gt;0,"Avance fuera de rango 0-100%"&amp;" · ","")&amp;IF(OR(AND($J203&lt;&gt;"",$J203&lt;$I203),AND($K203&lt;&gt;"",$K203&lt;MAX($I203:$J203)),AND($L203&lt;&gt;"",$L203&lt;MAX($I203:$K203))),"Avance semanal decreciente"&amp;" · ","")&amp;IF(AND(ISNUMBER($AN203),$AN203&lt;FechaRef,IF($V203="Sub",N($X203),N($M203))&lt;1),"Vencida"&amp;" · ","")&amp;IF(AND(ObsObligatoria="Sí",ISNUMBER($AN203),$AN203&lt;FechaRef,IF($V203="Sub",N($X203),N($M203))&lt;1,$Q203=""),"Vencida sin observación"&amp;" · ",""))-3)))</f>
        <v/>
      </c>
      <c r="S203" s="64">
        <f>IF(NOT((COUNTA($B203:$D203)+COUNTA($G203:$L203)+COUNTA($Q203))&gt;0),"",IF(AND($V203="Sub",N($U203)&gt;0),IF(ISNUMBER(INDEX($AM$5:$AM$1000,$U203-4)),DATE(YEAR(INDEX($AM$5:$AM$1000,$U203-4)),MONTH(INDEX($AM$5:$AM$1000,$U203-4)),1),IF(ISNUMBER(INDEX($AN$5:$AN$1000,$U203-4)),DATE(YEAR(INDEX($AN$5:$AN$1000,$U203-4)),MONTH(INDEX($AN$5:$AN$1000,$U203-4)),1),MesCiclo)),IF(ISNUMBER($AM203),DATE(YEAR($AM203),MONTH($AM203),1),IF(ISNUMBER($AN203),DATE(YEAR($AN203),MONTH($AN203),1),MesCiclo))))</f>
        <v/>
      </c>
      <c r="T203" s="62">
        <f>IF(OR($S203="",$S203&lt;&gt;MesCiclo,$V203&lt;&gt;"Macro"),"",COUNTIFS($S$5:$S203,MesCiclo,$V$5:$V203,"Macro"))</f>
        <v/>
      </c>
      <c r="U203" s="62">
        <f>IF($V203="","",IF($V203="Macro",ROW(),IFERROR(LOOKUP(2,1/($V$5:$V203="Macro"),ROW($V$5:$V203)),0)))</f>
        <v/>
      </c>
      <c r="V203" s="62">
        <f>IF(NOT((COUNTA($B203:$D203)+COUNTA($G203:$L203)+COUNTA($Q203))&gt;0),"",IF($B203="Subactividad","Sub","Macro"))</f>
        <v/>
      </c>
      <c r="W203" s="62">
        <f>IF($V203="Macro",COUNTIFS($U$5:$U$1000,ROW(),$V$5:$V$1000,"Sub"),"")</f>
        <v/>
      </c>
      <c r="X203" s="62">
        <f>IF($V203="","",IF(ISNUMBER($G203),1,IFERROR(LOOKUP(2,1/($I203:$L203&lt;&gt;""),$I203:$L203),0)))</f>
        <v/>
      </c>
      <c r="Y203" s="62">
        <f>IF($V203="","",IF(AND(ISNUMBER($G203),$G203&lt;=IF($S203=MesCiclo,InicioCiclo,$S203+MOD(2-WEEKDAY($S203),7))+6),1,IF(ISNUMBER($I203),$I203,0)))</f>
        <v/>
      </c>
      <c r="Z203" s="62">
        <f>IF($V203="","",IF(AND(ISNUMBER($G203),$G203&lt;=IF($S203=MesCiclo,InicioCiclo,$S203+MOD(2-WEEKDAY($S203),7))+13),1,IF(ISNUMBER($J203),$J203,$Y203)))</f>
        <v/>
      </c>
      <c r="AA203" s="62">
        <f>IF($V203="","",IF(AND(ISNUMBER($G203),$G203&lt;=IF($S203=MesCiclo,InicioCiclo,$S203+MOD(2-WEEKDAY($S203),7))+20),1,IF(ISNUMBER($K203),$K203,$Z203)))</f>
        <v/>
      </c>
      <c r="AB203" s="62">
        <f>IF($V203="","",IF(AND(ISNUMBER($G203),$G203&lt;=IF($S203=MesCiclo,InicioCiclo,$S203+MOD(2-WEEKDAY($S203),7))+27),1,IF(ISNUMBER($L203),$L203,$AA203)))</f>
        <v/>
      </c>
      <c r="AC203" s="62">
        <f>IF($V203="","",IF(AND(ISNUMBER($G203),$G203&lt;=IF($S203=MesCiclo,InicioCiclo,$S203+MOD(2-WEEKDAY($S203),7))+6),1,IF(N($W203)&gt;0,AVERAGEIFS($Y$5:$Y$1000,$U$5:$U$1000,ROW(),$V$5:$V$1000,"Sub"),$Y203)))</f>
        <v/>
      </c>
      <c r="AD203" s="62">
        <f>IF($V203="","",IF(AND(ISNUMBER($G203),$G203&lt;=IF($S203=MesCiclo,InicioCiclo,$S203+MOD(2-WEEKDAY($S203),7))+13),1,IF(N($W203)&gt;0,AVERAGEIFS($Z$5:$Z$1000,$U$5:$U$1000,ROW(),$V$5:$V$1000,"Sub"),$Z203)))</f>
        <v/>
      </c>
      <c r="AE203" s="62">
        <f>IF($V203="","",IF(AND(ISNUMBER($G203),$G203&lt;=IF($S203=MesCiclo,InicioCiclo,$S203+MOD(2-WEEKDAY($S203),7))+20),1,IF(N($W203)&gt;0,AVERAGEIFS($AA$5:$AA$1000,$U$5:$U$1000,ROW(),$V$5:$V$1000,"Sub"),$AA203)))</f>
        <v/>
      </c>
      <c r="AF203" s="62">
        <f>IF($V203="","",IF(AND(ISNUMBER($G203),$G203&lt;=IF($S203=MesCiclo,InicioCiclo,$S203+MOD(2-WEEKDAY($S203),7))+27),1,IF(N($W203)&gt;0,AVERAGEIFS($AB$5:$AB$1000,$U$5:$U$1000,ROW(),$V$5:$V$1000,"Sub"),$AB203)))</f>
        <v/>
      </c>
      <c r="AG203" s="62">
        <f>IF($V203&lt;&gt;"Macro","",IF(COUNTIFS($S$5:$S$1000,$S203,$V$5:$V$1000,"Macro",$H$5:$H$1000,"&gt;0")=0,1/COUNTIFS($S$5:$S$1000,$S203,$V$5:$V$1000,"Macro"),IF(AND(ISNUMBER($H203),N($H203)&gt;0),$H203,SUMIFS($H$5:$H$1000,$S$5:$S$1000,$S203,$V$5:$V$1000,"Macro")/COUNTIFS($S$5:$S$1000,$S203,$V$5:$V$1000,"Macro",$H$5:$H$1000,"&gt;0"))/(COUNTIFS($S$5:$S$1000,$S203,$V$5:$V$1000,"Macro")*SUMIFS($H$5:$H$1000,$S$5:$S$1000,$S203,$V$5:$V$1000,"Macro")/COUNTIFS($S$5:$S$1000,$S203,$V$5:$V$1000,"Macro",$H$5:$H$1000,"&gt;0"))))</f>
        <v/>
      </c>
      <c r="AH203" s="62" t="n"/>
      <c r="AI203" s="62" t="n"/>
      <c r="AJ203" s="62" t="n"/>
      <c r="AK203" s="62" t="n"/>
      <c r="AL203" s="62">
        <f>IF(LEFT($C203,11)="[Jefatura] ",IFERROR(MATCH("Asistente Técnico de Riesgo|"&amp;MID($C203,12,500),rDname_ADM,0),0),"")</f>
        <v/>
      </c>
      <c r="AM203" s="62">
        <f>IF(N($AL203)&gt;0,INDEX(rIni_ADM,$AL203),IF(ISNUMBER($E203),$E203,""))</f>
        <v/>
      </c>
      <c r="AN203" s="62">
        <f>IF(N($AL203)&gt;0,INDEX(rLim_ADM,$AL203),IF(ISNUMBER($F203),$F203,""))</f>
        <v/>
      </c>
    </row>
    <row r="204">
      <c r="A204" s="56">
        <f>IF(NOT((COUNTA($B204:$D204)+COUNTA($G204:$L204)+COUNTA($Q204))&gt;0),"",IF($V204="Macro",COUNTIFS($V$5:$V204,"Macro",$S$5:$S204,$S204),IF(N($U204)=0,"?",COUNTIFS(INDEX($V$5:$V$1000,1):INDEX($V$5:$V$1000,$U204-4),"Macro",INDEX($S$5:$S$1000,1):INDEX($S$5:$S$1000,$U204-4),INDEX($S$5:$S$1000,$U204-4))&amp;"."&amp;COUNTIFS($U$5:$U204,$U204,$V$5:$V204,"Sub"))))</f>
        <v/>
      </c>
      <c r="B204" s="57" t="n"/>
      <c r="C204" s="58" t="n"/>
      <c r="D204" s="58" t="n"/>
      <c r="E204" s="59">
        <f>IF(N($AL204)&gt;0,INDEX(rIni_ADM,$AL204),"")</f>
        <v/>
      </c>
      <c r="F204" s="59">
        <f>IF(N($AL204)&gt;0,INDEX(rLim_ADM,$AL204),"")</f>
        <v/>
      </c>
      <c r="G204" s="59" t="n"/>
      <c r="H204" s="60" t="n"/>
      <c r="I204" s="60" t="n"/>
      <c r="J204" s="60" t="n"/>
      <c r="K204" s="60" t="n"/>
      <c r="L204" s="60" t="n"/>
      <c r="M204" s="61">
        <f>IF(NOT((COUNTA($B204:$D204)+COUNTA($G204:$L204)+COUNTA($Q204))&gt;0),"",IF($V204="Sub",IFERROR($X204/INDEX($W$5:$W$1000,$U204-4),""),IF(ISNUMBER($G204),1,IF(N($W204)&gt;0,AVERAGEIFS($X$5:$X$1000,$U$5:$U$1000,ROW(),$V$5:$V$1000,"Sub"),$X204))))</f>
        <v/>
      </c>
      <c r="N204" s="56">
        <f>IF(OR($M204="",$V204="Sub"),"",IF($M204&gt;=1,"Completado",IF($M204&gt;0,"En curso","Pendiente")))</f>
        <v/>
      </c>
      <c r="O204" s="56">
        <f>IF(OR(NOT((COUNTA($B204:$D204)+COUNTA($G204:$L204)+COUNTA($Q204))&gt;0),$V204="Sub"),"",IF(ISNUMBER($G204),IF(AND(ISNUMBER($AN204),$G204&gt;$AN204),"Cumplida con "&amp;($G204-$AN204)&amp;IF($G204-$AN204=1," día"," días")&amp;" de retraso","Cumplida"),IF(N($M204)&gt;=1,"Cumplida",IF(NOT(ISNUMBER($AN204)),"Sin fecha límite",IF($AN204&lt;FechaRef,"Vencida hace "&amp;(FechaRef-$AN204)&amp;IF(FechaRef-$AN204=1," día"," días"),IF($AN204=FechaRef,"Vence hoy",IF($AN204-FechaRef&lt;=DiasAlerta,"Vence en "&amp;($AN204-FechaRef)&amp;IF($AN204-FechaRef=1," día"," días"),"En plazo")))))))</f>
        <v/>
      </c>
      <c r="P204" s="62" t="n"/>
      <c r="Q204" s="58" t="n"/>
      <c r="R204" s="63">
        <f>IF(NOT((COUNTA($B204:$D204)+COUNTA($G204:$L204)+COUNTA($Q204))&gt;0),"",IF((IF($C204="","Falta el nombre de la actividad"&amp;" · ","")&amp;IF(AND($V204="Sub",N($U204)=0),"Subactividad sin macroactividad arriba"&amp;" · ","")&amp;IF($AM204="","Sin fecha de inicio"&amp;" · ","")&amp;IF($AN204="","Sin fecha límite"&amp;" · ","")&amp;IF(AND(LEFT($C204,11)="[Jefatura] ",N($AL204)=0),"No se encuentra en la hoja de la jefatura (elíjala de nuevo en la lista)"&amp;" · ","")&amp;IF(OR(AND($E204&lt;&gt;"",NOT(ISNUMBER($E204))),AND($F204&lt;&gt;"",NOT(ISNUMBER($F204))),AND($G204&lt;&gt;"",NOT(ISNUMBER($G204)))),"Fecha no válida"&amp;" · ","")&amp;IF(AND(ISNUMBER($AM204),ISNUMBER($AN204),$AM204&gt;$AN204),"Inicio posterior a fecha límite"&amp;" · ","")&amp;IF(AND($V204="Macro",$H204&lt;&gt;"",OR(NOT(ISNUMBER($H204)),$H204&lt;0,$H204&gt;1)),"Peso fuera de rango"&amp;" · ","")&amp;IF(AND($V204="Sub",$H204&lt;&gt;""),"Las subactividades no llevan peso (valen igual dentro de su macroactividad)"&amp;" · ","")&amp;IF(AND(N($W204)&gt;0,COUNT($I204:$L204)&gt;0),"Con subactividades: deje vacías las semanas (se calculan solas)"&amp;" · ","")&amp;IF((COUNTIF($I204:$L204,"&gt;1")+COUNTIF($I204:$L204,"&lt;0")+COUNTA($I204:$L204)-COUNT($I204:$L204))&gt;0,"Avance fuera de rango 0-100%"&amp;" · ","")&amp;IF(OR(AND($J204&lt;&gt;"",$J204&lt;$I204),AND($K204&lt;&gt;"",$K204&lt;MAX($I204:$J204)),AND($L204&lt;&gt;"",$L204&lt;MAX($I204:$K204))),"Avance semanal decreciente"&amp;" · ","")&amp;IF(AND(ISNUMBER($AN204),$AN204&lt;FechaRef,IF($V204="Sub",N($X204),N($M204))&lt;1),"Vencida"&amp;" · ","")&amp;IF(AND(ObsObligatoria="Sí",ISNUMBER($AN204),$AN204&lt;FechaRef,IF($V204="Sub",N($X204),N($M204))&lt;1,$Q204=""),"Vencida sin observación"&amp;" · ",""))="","✔ OK","⚠ "&amp;LEFT(IF($C204="","Falta el nombre de la actividad"&amp;" · ","")&amp;IF(AND($V204="Sub",N($U204)=0),"Subactividad sin macroactividad arriba"&amp;" · ","")&amp;IF($AM204="","Sin fecha de inicio"&amp;" · ","")&amp;IF($AN204="","Sin fecha límite"&amp;" · ","")&amp;IF(AND(LEFT($C204,11)="[Jefatura] ",N($AL204)=0),"No se encuentra en la hoja de la jefatura (elíjala de nuevo en la lista)"&amp;" · ","")&amp;IF(OR(AND($E204&lt;&gt;"",NOT(ISNUMBER($E204))),AND($F204&lt;&gt;"",NOT(ISNUMBER($F204))),AND($G204&lt;&gt;"",NOT(ISNUMBER($G204)))),"Fecha no válida"&amp;" · ","")&amp;IF(AND(ISNUMBER($AM204),ISNUMBER($AN204),$AM204&gt;$AN204),"Inicio posterior a fecha límite"&amp;" · ","")&amp;IF(AND($V204="Macro",$H204&lt;&gt;"",OR(NOT(ISNUMBER($H204)),$H204&lt;0,$H204&gt;1)),"Peso fuera de rango"&amp;" · ","")&amp;IF(AND($V204="Sub",$H204&lt;&gt;""),"Las subactividades no llevan peso (valen igual dentro de su macroactividad)"&amp;" · ","")&amp;IF(AND(N($W204)&gt;0,COUNT($I204:$L204)&gt;0),"Con subactividades: deje vacías las semanas (se calculan solas)"&amp;" · ","")&amp;IF((COUNTIF($I204:$L204,"&gt;1")+COUNTIF($I204:$L204,"&lt;0")+COUNTA($I204:$L204)-COUNT($I204:$L204))&gt;0,"Avance fuera de rango 0-100%"&amp;" · ","")&amp;IF(OR(AND($J204&lt;&gt;"",$J204&lt;$I204),AND($K204&lt;&gt;"",$K204&lt;MAX($I204:$J204)),AND($L204&lt;&gt;"",$L204&lt;MAX($I204:$K204))),"Avance semanal decreciente"&amp;" · ","")&amp;IF(AND(ISNUMBER($AN204),$AN204&lt;FechaRef,IF($V204="Sub",N($X204),N($M204))&lt;1),"Vencida"&amp;" · ","")&amp;IF(AND(ObsObligatoria="Sí",ISNUMBER($AN204),$AN204&lt;FechaRef,IF($V204="Sub",N($X204),N($M204))&lt;1,$Q204=""),"Vencida sin observación"&amp;" · ",""),LEN(IF($C204="","Falta el nombre de la actividad"&amp;" · ","")&amp;IF(AND($V204="Sub",N($U204)=0),"Subactividad sin macroactividad arriba"&amp;" · ","")&amp;IF($AM204="","Sin fecha de inicio"&amp;" · ","")&amp;IF($AN204="","Sin fecha límite"&amp;" · ","")&amp;IF(AND(LEFT($C204,11)="[Jefatura] ",N($AL204)=0),"No se encuentra en la hoja de la jefatura (elíjala de nuevo en la lista)"&amp;" · ","")&amp;IF(OR(AND($E204&lt;&gt;"",NOT(ISNUMBER($E204))),AND($F204&lt;&gt;"",NOT(ISNUMBER($F204))),AND($G204&lt;&gt;"",NOT(ISNUMBER($G204)))),"Fecha no válida"&amp;" · ","")&amp;IF(AND(ISNUMBER($AM204),ISNUMBER($AN204),$AM204&gt;$AN204),"Inicio posterior a fecha límite"&amp;" · ","")&amp;IF(AND($V204="Macro",$H204&lt;&gt;"",OR(NOT(ISNUMBER($H204)),$H204&lt;0,$H204&gt;1)),"Peso fuera de rango"&amp;" · ","")&amp;IF(AND($V204="Sub",$H204&lt;&gt;""),"Las subactividades no llevan peso (valen igual dentro de su macroactividad)"&amp;" · ","")&amp;IF(AND(N($W204)&gt;0,COUNT($I204:$L204)&gt;0),"Con subactividades: deje vacías las semanas (se calculan solas)"&amp;" · ","")&amp;IF((COUNTIF($I204:$L204,"&gt;1")+COUNTIF($I204:$L204,"&lt;0")+COUNTA($I204:$L204)-COUNT($I204:$L204))&gt;0,"Avance fuera de rango 0-100%"&amp;" · ","")&amp;IF(OR(AND($J204&lt;&gt;"",$J204&lt;$I204),AND($K204&lt;&gt;"",$K204&lt;MAX($I204:$J204)),AND($L204&lt;&gt;"",$L204&lt;MAX($I204:$K204))),"Avance semanal decreciente"&amp;" · ","")&amp;IF(AND(ISNUMBER($AN204),$AN204&lt;FechaRef,IF($V204="Sub",N($X204),N($M204))&lt;1),"Vencida"&amp;" · ","")&amp;IF(AND(ObsObligatoria="Sí",ISNUMBER($AN204),$AN204&lt;FechaRef,IF($V204="Sub",N($X204),N($M204))&lt;1,$Q204=""),"Vencida sin observación"&amp;" · ",""))-3)))</f>
        <v/>
      </c>
      <c r="S204" s="64">
        <f>IF(NOT((COUNTA($B204:$D204)+COUNTA($G204:$L204)+COUNTA($Q204))&gt;0),"",IF(AND($V204="Sub",N($U204)&gt;0),IF(ISNUMBER(INDEX($AM$5:$AM$1000,$U204-4)),DATE(YEAR(INDEX($AM$5:$AM$1000,$U204-4)),MONTH(INDEX($AM$5:$AM$1000,$U204-4)),1),IF(ISNUMBER(INDEX($AN$5:$AN$1000,$U204-4)),DATE(YEAR(INDEX($AN$5:$AN$1000,$U204-4)),MONTH(INDEX($AN$5:$AN$1000,$U204-4)),1),MesCiclo)),IF(ISNUMBER($AM204),DATE(YEAR($AM204),MONTH($AM204),1),IF(ISNUMBER($AN204),DATE(YEAR($AN204),MONTH($AN204),1),MesCiclo))))</f>
        <v/>
      </c>
      <c r="T204" s="62">
        <f>IF(OR($S204="",$S204&lt;&gt;MesCiclo,$V204&lt;&gt;"Macro"),"",COUNTIFS($S$5:$S204,MesCiclo,$V$5:$V204,"Macro"))</f>
        <v/>
      </c>
      <c r="U204" s="62">
        <f>IF($V204="","",IF($V204="Macro",ROW(),IFERROR(LOOKUP(2,1/($V$5:$V204="Macro"),ROW($V$5:$V204)),0)))</f>
        <v/>
      </c>
      <c r="V204" s="62">
        <f>IF(NOT((COUNTA($B204:$D204)+COUNTA($G204:$L204)+COUNTA($Q204))&gt;0),"",IF($B204="Subactividad","Sub","Macro"))</f>
        <v/>
      </c>
      <c r="W204" s="62">
        <f>IF($V204="Macro",COUNTIFS($U$5:$U$1000,ROW(),$V$5:$V$1000,"Sub"),"")</f>
        <v/>
      </c>
      <c r="X204" s="62">
        <f>IF($V204="","",IF(ISNUMBER($G204),1,IFERROR(LOOKUP(2,1/($I204:$L204&lt;&gt;""),$I204:$L204),0)))</f>
        <v/>
      </c>
      <c r="Y204" s="62">
        <f>IF($V204="","",IF(AND(ISNUMBER($G204),$G204&lt;=IF($S204=MesCiclo,InicioCiclo,$S204+MOD(2-WEEKDAY($S204),7))+6),1,IF(ISNUMBER($I204),$I204,0)))</f>
        <v/>
      </c>
      <c r="Z204" s="62">
        <f>IF($V204="","",IF(AND(ISNUMBER($G204),$G204&lt;=IF($S204=MesCiclo,InicioCiclo,$S204+MOD(2-WEEKDAY($S204),7))+13),1,IF(ISNUMBER($J204),$J204,$Y204)))</f>
        <v/>
      </c>
      <c r="AA204" s="62">
        <f>IF($V204="","",IF(AND(ISNUMBER($G204),$G204&lt;=IF($S204=MesCiclo,InicioCiclo,$S204+MOD(2-WEEKDAY($S204),7))+20),1,IF(ISNUMBER($K204),$K204,$Z204)))</f>
        <v/>
      </c>
      <c r="AB204" s="62">
        <f>IF($V204="","",IF(AND(ISNUMBER($G204),$G204&lt;=IF($S204=MesCiclo,InicioCiclo,$S204+MOD(2-WEEKDAY($S204),7))+27),1,IF(ISNUMBER($L204),$L204,$AA204)))</f>
        <v/>
      </c>
      <c r="AC204" s="62">
        <f>IF($V204="","",IF(AND(ISNUMBER($G204),$G204&lt;=IF($S204=MesCiclo,InicioCiclo,$S204+MOD(2-WEEKDAY($S204),7))+6),1,IF(N($W204)&gt;0,AVERAGEIFS($Y$5:$Y$1000,$U$5:$U$1000,ROW(),$V$5:$V$1000,"Sub"),$Y204)))</f>
        <v/>
      </c>
      <c r="AD204" s="62">
        <f>IF($V204="","",IF(AND(ISNUMBER($G204),$G204&lt;=IF($S204=MesCiclo,InicioCiclo,$S204+MOD(2-WEEKDAY($S204),7))+13),1,IF(N($W204)&gt;0,AVERAGEIFS($Z$5:$Z$1000,$U$5:$U$1000,ROW(),$V$5:$V$1000,"Sub"),$Z204)))</f>
        <v/>
      </c>
      <c r="AE204" s="62">
        <f>IF($V204="","",IF(AND(ISNUMBER($G204),$G204&lt;=IF($S204=MesCiclo,InicioCiclo,$S204+MOD(2-WEEKDAY($S204),7))+20),1,IF(N($W204)&gt;0,AVERAGEIFS($AA$5:$AA$1000,$U$5:$U$1000,ROW(),$V$5:$V$1000,"Sub"),$AA204)))</f>
        <v/>
      </c>
      <c r="AF204" s="62">
        <f>IF($V204="","",IF(AND(ISNUMBER($G204),$G204&lt;=IF($S204=MesCiclo,InicioCiclo,$S204+MOD(2-WEEKDAY($S204),7))+27),1,IF(N($W204)&gt;0,AVERAGEIFS($AB$5:$AB$1000,$U$5:$U$1000,ROW(),$V$5:$V$1000,"Sub"),$AB204)))</f>
        <v/>
      </c>
      <c r="AG204" s="62">
        <f>IF($V204&lt;&gt;"Macro","",IF(COUNTIFS($S$5:$S$1000,$S204,$V$5:$V$1000,"Macro",$H$5:$H$1000,"&gt;0")=0,1/COUNTIFS($S$5:$S$1000,$S204,$V$5:$V$1000,"Macro"),IF(AND(ISNUMBER($H204),N($H204)&gt;0),$H204,SUMIFS($H$5:$H$1000,$S$5:$S$1000,$S204,$V$5:$V$1000,"Macro")/COUNTIFS($S$5:$S$1000,$S204,$V$5:$V$1000,"Macro",$H$5:$H$1000,"&gt;0"))/(COUNTIFS($S$5:$S$1000,$S204,$V$5:$V$1000,"Macro")*SUMIFS($H$5:$H$1000,$S$5:$S$1000,$S204,$V$5:$V$1000,"Macro")/COUNTIFS($S$5:$S$1000,$S204,$V$5:$V$1000,"Macro",$H$5:$H$1000,"&gt;0"))))</f>
        <v/>
      </c>
      <c r="AH204" s="62" t="n"/>
      <c r="AI204" s="62" t="n"/>
      <c r="AJ204" s="62" t="n"/>
      <c r="AK204" s="62" t="n"/>
      <c r="AL204" s="62">
        <f>IF(LEFT($C204,11)="[Jefatura] ",IFERROR(MATCH("Asistente Técnico de Riesgo|"&amp;MID($C204,12,500),rDname_ADM,0),0),"")</f>
        <v/>
      </c>
      <c r="AM204" s="62">
        <f>IF(N($AL204)&gt;0,INDEX(rIni_ADM,$AL204),IF(ISNUMBER($E204),$E204,""))</f>
        <v/>
      </c>
      <c r="AN204" s="62">
        <f>IF(N($AL204)&gt;0,INDEX(rLim_ADM,$AL204),IF(ISNUMBER($F204),$F204,""))</f>
        <v/>
      </c>
    </row>
    <row r="205">
      <c r="A205" s="56">
        <f>IF(NOT((COUNTA($B205:$D205)+COUNTA($G205:$L205)+COUNTA($Q205))&gt;0),"",IF($V205="Macro",COUNTIFS($V$5:$V205,"Macro",$S$5:$S205,$S205),IF(N($U205)=0,"?",COUNTIFS(INDEX($V$5:$V$1000,1):INDEX($V$5:$V$1000,$U205-4),"Macro",INDEX($S$5:$S$1000,1):INDEX($S$5:$S$1000,$U205-4),INDEX($S$5:$S$1000,$U205-4))&amp;"."&amp;COUNTIFS($U$5:$U205,$U205,$V$5:$V205,"Sub"))))</f>
        <v/>
      </c>
      <c r="B205" s="57" t="n"/>
      <c r="C205" s="58" t="n"/>
      <c r="D205" s="58" t="n"/>
      <c r="E205" s="59">
        <f>IF(N($AL205)&gt;0,INDEX(rIni_ADM,$AL205),"")</f>
        <v/>
      </c>
      <c r="F205" s="59">
        <f>IF(N($AL205)&gt;0,INDEX(rLim_ADM,$AL205),"")</f>
        <v/>
      </c>
      <c r="G205" s="59" t="n"/>
      <c r="H205" s="60" t="n"/>
      <c r="I205" s="60" t="n"/>
      <c r="J205" s="60" t="n"/>
      <c r="K205" s="60" t="n"/>
      <c r="L205" s="60" t="n"/>
      <c r="M205" s="61">
        <f>IF(NOT((COUNTA($B205:$D205)+COUNTA($G205:$L205)+COUNTA($Q205))&gt;0),"",IF($V205="Sub",IFERROR($X205/INDEX($W$5:$W$1000,$U205-4),""),IF(ISNUMBER($G205),1,IF(N($W205)&gt;0,AVERAGEIFS($X$5:$X$1000,$U$5:$U$1000,ROW(),$V$5:$V$1000,"Sub"),$X205))))</f>
        <v/>
      </c>
      <c r="N205" s="56">
        <f>IF(OR($M205="",$V205="Sub"),"",IF($M205&gt;=1,"Completado",IF($M205&gt;0,"En curso","Pendiente")))</f>
        <v/>
      </c>
      <c r="O205" s="56">
        <f>IF(OR(NOT((COUNTA($B205:$D205)+COUNTA($G205:$L205)+COUNTA($Q205))&gt;0),$V205="Sub"),"",IF(ISNUMBER($G205),IF(AND(ISNUMBER($AN205),$G205&gt;$AN205),"Cumplida con "&amp;($G205-$AN205)&amp;IF($G205-$AN205=1," día"," días")&amp;" de retraso","Cumplida"),IF(N($M205)&gt;=1,"Cumplida",IF(NOT(ISNUMBER($AN205)),"Sin fecha límite",IF($AN205&lt;FechaRef,"Vencida hace "&amp;(FechaRef-$AN205)&amp;IF(FechaRef-$AN205=1," día"," días"),IF($AN205=FechaRef,"Vence hoy",IF($AN205-FechaRef&lt;=DiasAlerta,"Vence en "&amp;($AN205-FechaRef)&amp;IF($AN205-FechaRef=1," día"," días"),"En plazo")))))))</f>
        <v/>
      </c>
      <c r="P205" s="62" t="n"/>
      <c r="Q205" s="58" t="n"/>
      <c r="R205" s="63">
        <f>IF(NOT((COUNTA($B205:$D205)+COUNTA($G205:$L205)+COUNTA($Q205))&gt;0),"",IF((IF($C205="","Falta el nombre de la actividad"&amp;" · ","")&amp;IF(AND($V205="Sub",N($U205)=0),"Subactividad sin macroactividad arriba"&amp;" · ","")&amp;IF($AM205="","Sin fecha de inicio"&amp;" · ","")&amp;IF($AN205="","Sin fecha límite"&amp;" · ","")&amp;IF(AND(LEFT($C205,11)="[Jefatura] ",N($AL205)=0),"No se encuentra en la hoja de la jefatura (elíjala de nuevo en la lista)"&amp;" · ","")&amp;IF(OR(AND($E205&lt;&gt;"",NOT(ISNUMBER($E205))),AND($F205&lt;&gt;"",NOT(ISNUMBER($F205))),AND($G205&lt;&gt;"",NOT(ISNUMBER($G205)))),"Fecha no válida"&amp;" · ","")&amp;IF(AND(ISNUMBER($AM205),ISNUMBER($AN205),$AM205&gt;$AN205),"Inicio posterior a fecha límite"&amp;" · ","")&amp;IF(AND($V205="Macro",$H205&lt;&gt;"",OR(NOT(ISNUMBER($H205)),$H205&lt;0,$H205&gt;1)),"Peso fuera de rango"&amp;" · ","")&amp;IF(AND($V205="Sub",$H205&lt;&gt;""),"Las subactividades no llevan peso (valen igual dentro de su macroactividad)"&amp;" · ","")&amp;IF(AND(N($W205)&gt;0,COUNT($I205:$L205)&gt;0),"Con subactividades: deje vacías las semanas (se calculan solas)"&amp;" · ","")&amp;IF((COUNTIF($I205:$L205,"&gt;1")+COUNTIF($I205:$L205,"&lt;0")+COUNTA($I205:$L205)-COUNT($I205:$L205))&gt;0,"Avance fuera de rango 0-100%"&amp;" · ","")&amp;IF(OR(AND($J205&lt;&gt;"",$J205&lt;$I205),AND($K205&lt;&gt;"",$K205&lt;MAX($I205:$J205)),AND($L205&lt;&gt;"",$L205&lt;MAX($I205:$K205))),"Avance semanal decreciente"&amp;" · ","")&amp;IF(AND(ISNUMBER($AN205),$AN205&lt;FechaRef,IF($V205="Sub",N($X205),N($M205))&lt;1),"Vencida"&amp;" · ","")&amp;IF(AND(ObsObligatoria="Sí",ISNUMBER($AN205),$AN205&lt;FechaRef,IF($V205="Sub",N($X205),N($M205))&lt;1,$Q205=""),"Vencida sin observación"&amp;" · ",""))="","✔ OK","⚠ "&amp;LEFT(IF($C205="","Falta el nombre de la actividad"&amp;" · ","")&amp;IF(AND($V205="Sub",N($U205)=0),"Subactividad sin macroactividad arriba"&amp;" · ","")&amp;IF($AM205="","Sin fecha de inicio"&amp;" · ","")&amp;IF($AN205="","Sin fecha límite"&amp;" · ","")&amp;IF(AND(LEFT($C205,11)="[Jefatura] ",N($AL205)=0),"No se encuentra en la hoja de la jefatura (elíjala de nuevo en la lista)"&amp;" · ","")&amp;IF(OR(AND($E205&lt;&gt;"",NOT(ISNUMBER($E205))),AND($F205&lt;&gt;"",NOT(ISNUMBER($F205))),AND($G205&lt;&gt;"",NOT(ISNUMBER($G205)))),"Fecha no válida"&amp;" · ","")&amp;IF(AND(ISNUMBER($AM205),ISNUMBER($AN205),$AM205&gt;$AN205),"Inicio posterior a fecha límite"&amp;" · ","")&amp;IF(AND($V205="Macro",$H205&lt;&gt;"",OR(NOT(ISNUMBER($H205)),$H205&lt;0,$H205&gt;1)),"Peso fuera de rango"&amp;" · ","")&amp;IF(AND($V205="Sub",$H205&lt;&gt;""),"Las subactividades no llevan peso (valen igual dentro de su macroactividad)"&amp;" · ","")&amp;IF(AND(N($W205)&gt;0,COUNT($I205:$L205)&gt;0),"Con subactividades: deje vacías las semanas (se calculan solas)"&amp;" · ","")&amp;IF((COUNTIF($I205:$L205,"&gt;1")+COUNTIF($I205:$L205,"&lt;0")+COUNTA($I205:$L205)-COUNT($I205:$L205))&gt;0,"Avance fuera de rango 0-100%"&amp;" · ","")&amp;IF(OR(AND($J205&lt;&gt;"",$J205&lt;$I205),AND($K205&lt;&gt;"",$K205&lt;MAX($I205:$J205)),AND($L205&lt;&gt;"",$L205&lt;MAX($I205:$K205))),"Avance semanal decreciente"&amp;" · ","")&amp;IF(AND(ISNUMBER($AN205),$AN205&lt;FechaRef,IF($V205="Sub",N($X205),N($M205))&lt;1),"Vencida"&amp;" · ","")&amp;IF(AND(ObsObligatoria="Sí",ISNUMBER($AN205),$AN205&lt;FechaRef,IF($V205="Sub",N($X205),N($M205))&lt;1,$Q205=""),"Vencida sin observación"&amp;" · ",""),LEN(IF($C205="","Falta el nombre de la actividad"&amp;" · ","")&amp;IF(AND($V205="Sub",N($U205)=0),"Subactividad sin macroactividad arriba"&amp;" · ","")&amp;IF($AM205="","Sin fecha de inicio"&amp;" · ","")&amp;IF($AN205="","Sin fecha límite"&amp;" · ","")&amp;IF(AND(LEFT($C205,11)="[Jefatura] ",N($AL205)=0),"No se encuentra en la hoja de la jefatura (elíjala de nuevo en la lista)"&amp;" · ","")&amp;IF(OR(AND($E205&lt;&gt;"",NOT(ISNUMBER($E205))),AND($F205&lt;&gt;"",NOT(ISNUMBER($F205))),AND($G205&lt;&gt;"",NOT(ISNUMBER($G205)))),"Fecha no válida"&amp;" · ","")&amp;IF(AND(ISNUMBER($AM205),ISNUMBER($AN205),$AM205&gt;$AN205),"Inicio posterior a fecha límite"&amp;" · ","")&amp;IF(AND($V205="Macro",$H205&lt;&gt;"",OR(NOT(ISNUMBER($H205)),$H205&lt;0,$H205&gt;1)),"Peso fuera de rango"&amp;" · ","")&amp;IF(AND($V205="Sub",$H205&lt;&gt;""),"Las subactividades no llevan peso (valen igual dentro de su macroactividad)"&amp;" · ","")&amp;IF(AND(N($W205)&gt;0,COUNT($I205:$L205)&gt;0),"Con subactividades: deje vacías las semanas (se calculan solas)"&amp;" · ","")&amp;IF((COUNTIF($I205:$L205,"&gt;1")+COUNTIF($I205:$L205,"&lt;0")+COUNTA($I205:$L205)-COUNT($I205:$L205))&gt;0,"Avance fuera de rango 0-100%"&amp;" · ","")&amp;IF(OR(AND($J205&lt;&gt;"",$J205&lt;$I205),AND($K205&lt;&gt;"",$K205&lt;MAX($I205:$J205)),AND($L205&lt;&gt;"",$L205&lt;MAX($I205:$K205))),"Avance semanal decreciente"&amp;" · ","")&amp;IF(AND(ISNUMBER($AN205),$AN205&lt;FechaRef,IF($V205="Sub",N($X205),N($M205))&lt;1),"Vencida"&amp;" · ","")&amp;IF(AND(ObsObligatoria="Sí",ISNUMBER($AN205),$AN205&lt;FechaRef,IF($V205="Sub",N($X205),N($M205))&lt;1,$Q205=""),"Vencida sin observación"&amp;" · ",""))-3)))</f>
        <v/>
      </c>
      <c r="S205" s="64">
        <f>IF(NOT((COUNTA($B205:$D205)+COUNTA($G205:$L205)+COUNTA($Q205))&gt;0),"",IF(AND($V205="Sub",N($U205)&gt;0),IF(ISNUMBER(INDEX($AM$5:$AM$1000,$U205-4)),DATE(YEAR(INDEX($AM$5:$AM$1000,$U205-4)),MONTH(INDEX($AM$5:$AM$1000,$U205-4)),1),IF(ISNUMBER(INDEX($AN$5:$AN$1000,$U205-4)),DATE(YEAR(INDEX($AN$5:$AN$1000,$U205-4)),MONTH(INDEX($AN$5:$AN$1000,$U205-4)),1),MesCiclo)),IF(ISNUMBER($AM205),DATE(YEAR($AM205),MONTH($AM205),1),IF(ISNUMBER($AN205),DATE(YEAR($AN205),MONTH($AN205),1),MesCiclo))))</f>
        <v/>
      </c>
      <c r="T205" s="62">
        <f>IF(OR($S205="",$S205&lt;&gt;MesCiclo,$V205&lt;&gt;"Macro"),"",COUNTIFS($S$5:$S205,MesCiclo,$V$5:$V205,"Macro"))</f>
        <v/>
      </c>
      <c r="U205" s="62">
        <f>IF($V205="","",IF($V205="Macro",ROW(),IFERROR(LOOKUP(2,1/($V$5:$V205="Macro"),ROW($V$5:$V205)),0)))</f>
        <v/>
      </c>
      <c r="V205" s="62">
        <f>IF(NOT((COUNTA($B205:$D205)+COUNTA($G205:$L205)+COUNTA($Q205))&gt;0),"",IF($B205="Subactividad","Sub","Macro"))</f>
        <v/>
      </c>
      <c r="W205" s="62">
        <f>IF($V205="Macro",COUNTIFS($U$5:$U$1000,ROW(),$V$5:$V$1000,"Sub"),"")</f>
        <v/>
      </c>
      <c r="X205" s="62">
        <f>IF($V205="","",IF(ISNUMBER($G205),1,IFERROR(LOOKUP(2,1/($I205:$L205&lt;&gt;""),$I205:$L205),0)))</f>
        <v/>
      </c>
      <c r="Y205" s="62">
        <f>IF($V205="","",IF(AND(ISNUMBER($G205),$G205&lt;=IF($S205=MesCiclo,InicioCiclo,$S205+MOD(2-WEEKDAY($S205),7))+6),1,IF(ISNUMBER($I205),$I205,0)))</f>
        <v/>
      </c>
      <c r="Z205" s="62">
        <f>IF($V205="","",IF(AND(ISNUMBER($G205),$G205&lt;=IF($S205=MesCiclo,InicioCiclo,$S205+MOD(2-WEEKDAY($S205),7))+13),1,IF(ISNUMBER($J205),$J205,$Y205)))</f>
        <v/>
      </c>
      <c r="AA205" s="62">
        <f>IF($V205="","",IF(AND(ISNUMBER($G205),$G205&lt;=IF($S205=MesCiclo,InicioCiclo,$S205+MOD(2-WEEKDAY($S205),7))+20),1,IF(ISNUMBER($K205),$K205,$Z205)))</f>
        <v/>
      </c>
      <c r="AB205" s="62">
        <f>IF($V205="","",IF(AND(ISNUMBER($G205),$G205&lt;=IF($S205=MesCiclo,InicioCiclo,$S205+MOD(2-WEEKDAY($S205),7))+27),1,IF(ISNUMBER($L205),$L205,$AA205)))</f>
        <v/>
      </c>
      <c r="AC205" s="62">
        <f>IF($V205="","",IF(AND(ISNUMBER($G205),$G205&lt;=IF($S205=MesCiclo,InicioCiclo,$S205+MOD(2-WEEKDAY($S205),7))+6),1,IF(N($W205)&gt;0,AVERAGEIFS($Y$5:$Y$1000,$U$5:$U$1000,ROW(),$V$5:$V$1000,"Sub"),$Y205)))</f>
        <v/>
      </c>
      <c r="AD205" s="62">
        <f>IF($V205="","",IF(AND(ISNUMBER($G205),$G205&lt;=IF($S205=MesCiclo,InicioCiclo,$S205+MOD(2-WEEKDAY($S205),7))+13),1,IF(N($W205)&gt;0,AVERAGEIFS($Z$5:$Z$1000,$U$5:$U$1000,ROW(),$V$5:$V$1000,"Sub"),$Z205)))</f>
        <v/>
      </c>
      <c r="AE205" s="62">
        <f>IF($V205="","",IF(AND(ISNUMBER($G205),$G205&lt;=IF($S205=MesCiclo,InicioCiclo,$S205+MOD(2-WEEKDAY($S205),7))+20),1,IF(N($W205)&gt;0,AVERAGEIFS($AA$5:$AA$1000,$U$5:$U$1000,ROW(),$V$5:$V$1000,"Sub"),$AA205)))</f>
        <v/>
      </c>
      <c r="AF205" s="62">
        <f>IF($V205="","",IF(AND(ISNUMBER($G205),$G205&lt;=IF($S205=MesCiclo,InicioCiclo,$S205+MOD(2-WEEKDAY($S205),7))+27),1,IF(N($W205)&gt;0,AVERAGEIFS($AB$5:$AB$1000,$U$5:$U$1000,ROW(),$V$5:$V$1000,"Sub"),$AB205)))</f>
        <v/>
      </c>
      <c r="AG205" s="62">
        <f>IF($V205&lt;&gt;"Macro","",IF(COUNTIFS($S$5:$S$1000,$S205,$V$5:$V$1000,"Macro",$H$5:$H$1000,"&gt;0")=0,1/COUNTIFS($S$5:$S$1000,$S205,$V$5:$V$1000,"Macro"),IF(AND(ISNUMBER($H205),N($H205)&gt;0),$H205,SUMIFS($H$5:$H$1000,$S$5:$S$1000,$S205,$V$5:$V$1000,"Macro")/COUNTIFS($S$5:$S$1000,$S205,$V$5:$V$1000,"Macro",$H$5:$H$1000,"&gt;0"))/(COUNTIFS($S$5:$S$1000,$S205,$V$5:$V$1000,"Macro")*SUMIFS($H$5:$H$1000,$S$5:$S$1000,$S205,$V$5:$V$1000,"Macro")/COUNTIFS($S$5:$S$1000,$S205,$V$5:$V$1000,"Macro",$H$5:$H$1000,"&gt;0"))))</f>
        <v/>
      </c>
      <c r="AH205" s="62" t="n"/>
      <c r="AI205" s="62" t="n"/>
      <c r="AJ205" s="62" t="n"/>
      <c r="AK205" s="62" t="n"/>
      <c r="AL205" s="62">
        <f>IF(LEFT($C205,11)="[Jefatura] ",IFERROR(MATCH("Asistente Técnico de Riesgo|"&amp;MID($C205,12,500),rDname_ADM,0),0),"")</f>
        <v/>
      </c>
      <c r="AM205" s="62">
        <f>IF(N($AL205)&gt;0,INDEX(rIni_ADM,$AL205),IF(ISNUMBER($E205),$E205,""))</f>
        <v/>
      </c>
      <c r="AN205" s="62">
        <f>IF(N($AL205)&gt;0,INDEX(rLim_ADM,$AL205),IF(ISNUMBER($F205),$F205,""))</f>
        <v/>
      </c>
    </row>
    <row r="206">
      <c r="A206" s="56">
        <f>IF(NOT((COUNTA($B206:$D206)+COUNTA($G206:$L206)+COUNTA($Q206))&gt;0),"",IF($V206="Macro",COUNTIFS($V$5:$V206,"Macro",$S$5:$S206,$S206),IF(N($U206)=0,"?",COUNTIFS(INDEX($V$5:$V$1000,1):INDEX($V$5:$V$1000,$U206-4),"Macro",INDEX($S$5:$S$1000,1):INDEX($S$5:$S$1000,$U206-4),INDEX($S$5:$S$1000,$U206-4))&amp;"."&amp;COUNTIFS($U$5:$U206,$U206,$V$5:$V206,"Sub"))))</f>
        <v/>
      </c>
      <c r="B206" s="57" t="n"/>
      <c r="C206" s="58" t="n"/>
      <c r="D206" s="58" t="n"/>
      <c r="E206" s="59">
        <f>IF(N($AL206)&gt;0,INDEX(rIni_ADM,$AL206),"")</f>
        <v/>
      </c>
      <c r="F206" s="59">
        <f>IF(N($AL206)&gt;0,INDEX(rLim_ADM,$AL206),"")</f>
        <v/>
      </c>
      <c r="G206" s="59" t="n"/>
      <c r="H206" s="60" t="n"/>
      <c r="I206" s="60" t="n"/>
      <c r="J206" s="60" t="n"/>
      <c r="K206" s="60" t="n"/>
      <c r="L206" s="60" t="n"/>
      <c r="M206" s="61">
        <f>IF(NOT((COUNTA($B206:$D206)+COUNTA($G206:$L206)+COUNTA($Q206))&gt;0),"",IF($V206="Sub",IFERROR($X206/INDEX($W$5:$W$1000,$U206-4),""),IF(ISNUMBER($G206),1,IF(N($W206)&gt;0,AVERAGEIFS($X$5:$X$1000,$U$5:$U$1000,ROW(),$V$5:$V$1000,"Sub"),$X206))))</f>
        <v/>
      </c>
      <c r="N206" s="56">
        <f>IF(OR($M206="",$V206="Sub"),"",IF($M206&gt;=1,"Completado",IF($M206&gt;0,"En curso","Pendiente")))</f>
        <v/>
      </c>
      <c r="O206" s="56">
        <f>IF(OR(NOT((COUNTA($B206:$D206)+COUNTA($G206:$L206)+COUNTA($Q206))&gt;0),$V206="Sub"),"",IF(ISNUMBER($G206),IF(AND(ISNUMBER($AN206),$G206&gt;$AN206),"Cumplida con "&amp;($G206-$AN206)&amp;IF($G206-$AN206=1," día"," días")&amp;" de retraso","Cumplida"),IF(N($M206)&gt;=1,"Cumplida",IF(NOT(ISNUMBER($AN206)),"Sin fecha límite",IF($AN206&lt;FechaRef,"Vencida hace "&amp;(FechaRef-$AN206)&amp;IF(FechaRef-$AN206=1," día"," días"),IF($AN206=FechaRef,"Vence hoy",IF($AN206-FechaRef&lt;=DiasAlerta,"Vence en "&amp;($AN206-FechaRef)&amp;IF($AN206-FechaRef=1," día"," días"),"En plazo")))))))</f>
        <v/>
      </c>
      <c r="P206" s="62" t="n"/>
      <c r="Q206" s="58" t="n"/>
      <c r="R206" s="63">
        <f>IF(NOT((COUNTA($B206:$D206)+COUNTA($G206:$L206)+COUNTA($Q206))&gt;0),"",IF((IF($C206="","Falta el nombre de la actividad"&amp;" · ","")&amp;IF(AND($V206="Sub",N($U206)=0),"Subactividad sin macroactividad arriba"&amp;" · ","")&amp;IF($AM206="","Sin fecha de inicio"&amp;" · ","")&amp;IF($AN206="","Sin fecha límite"&amp;" · ","")&amp;IF(AND(LEFT($C206,11)="[Jefatura] ",N($AL206)=0),"No se encuentra en la hoja de la jefatura (elíjala de nuevo en la lista)"&amp;" · ","")&amp;IF(OR(AND($E206&lt;&gt;"",NOT(ISNUMBER($E206))),AND($F206&lt;&gt;"",NOT(ISNUMBER($F206))),AND($G206&lt;&gt;"",NOT(ISNUMBER($G206)))),"Fecha no válida"&amp;" · ","")&amp;IF(AND(ISNUMBER($AM206),ISNUMBER($AN206),$AM206&gt;$AN206),"Inicio posterior a fecha límite"&amp;" · ","")&amp;IF(AND($V206="Macro",$H206&lt;&gt;"",OR(NOT(ISNUMBER($H206)),$H206&lt;0,$H206&gt;1)),"Peso fuera de rango"&amp;" · ","")&amp;IF(AND($V206="Sub",$H206&lt;&gt;""),"Las subactividades no llevan peso (valen igual dentro de su macroactividad)"&amp;" · ","")&amp;IF(AND(N($W206)&gt;0,COUNT($I206:$L206)&gt;0),"Con subactividades: deje vacías las semanas (se calculan solas)"&amp;" · ","")&amp;IF((COUNTIF($I206:$L206,"&gt;1")+COUNTIF($I206:$L206,"&lt;0")+COUNTA($I206:$L206)-COUNT($I206:$L206))&gt;0,"Avance fuera de rango 0-100%"&amp;" · ","")&amp;IF(OR(AND($J206&lt;&gt;"",$J206&lt;$I206),AND($K206&lt;&gt;"",$K206&lt;MAX($I206:$J206)),AND($L206&lt;&gt;"",$L206&lt;MAX($I206:$K206))),"Avance semanal decreciente"&amp;" · ","")&amp;IF(AND(ISNUMBER($AN206),$AN206&lt;FechaRef,IF($V206="Sub",N($X206),N($M206))&lt;1),"Vencida"&amp;" · ","")&amp;IF(AND(ObsObligatoria="Sí",ISNUMBER($AN206),$AN206&lt;FechaRef,IF($V206="Sub",N($X206),N($M206))&lt;1,$Q206=""),"Vencida sin observación"&amp;" · ",""))="","✔ OK","⚠ "&amp;LEFT(IF($C206="","Falta el nombre de la actividad"&amp;" · ","")&amp;IF(AND($V206="Sub",N($U206)=0),"Subactividad sin macroactividad arriba"&amp;" · ","")&amp;IF($AM206="","Sin fecha de inicio"&amp;" · ","")&amp;IF($AN206="","Sin fecha límite"&amp;" · ","")&amp;IF(AND(LEFT($C206,11)="[Jefatura] ",N($AL206)=0),"No se encuentra en la hoja de la jefatura (elíjala de nuevo en la lista)"&amp;" · ","")&amp;IF(OR(AND($E206&lt;&gt;"",NOT(ISNUMBER($E206))),AND($F206&lt;&gt;"",NOT(ISNUMBER($F206))),AND($G206&lt;&gt;"",NOT(ISNUMBER($G206)))),"Fecha no válida"&amp;" · ","")&amp;IF(AND(ISNUMBER($AM206),ISNUMBER($AN206),$AM206&gt;$AN206),"Inicio posterior a fecha límite"&amp;" · ","")&amp;IF(AND($V206="Macro",$H206&lt;&gt;"",OR(NOT(ISNUMBER($H206)),$H206&lt;0,$H206&gt;1)),"Peso fuera de rango"&amp;" · ","")&amp;IF(AND($V206="Sub",$H206&lt;&gt;""),"Las subactividades no llevan peso (valen igual dentro de su macroactividad)"&amp;" · ","")&amp;IF(AND(N($W206)&gt;0,COUNT($I206:$L206)&gt;0),"Con subactividades: deje vacías las semanas (se calculan solas)"&amp;" · ","")&amp;IF((COUNTIF($I206:$L206,"&gt;1")+COUNTIF($I206:$L206,"&lt;0")+COUNTA($I206:$L206)-COUNT($I206:$L206))&gt;0,"Avance fuera de rango 0-100%"&amp;" · ","")&amp;IF(OR(AND($J206&lt;&gt;"",$J206&lt;$I206),AND($K206&lt;&gt;"",$K206&lt;MAX($I206:$J206)),AND($L206&lt;&gt;"",$L206&lt;MAX($I206:$K206))),"Avance semanal decreciente"&amp;" · ","")&amp;IF(AND(ISNUMBER($AN206),$AN206&lt;FechaRef,IF($V206="Sub",N($X206),N($M206))&lt;1),"Vencida"&amp;" · ","")&amp;IF(AND(ObsObligatoria="Sí",ISNUMBER($AN206),$AN206&lt;FechaRef,IF($V206="Sub",N($X206),N($M206))&lt;1,$Q206=""),"Vencida sin observación"&amp;" · ",""),LEN(IF($C206="","Falta el nombre de la actividad"&amp;" · ","")&amp;IF(AND($V206="Sub",N($U206)=0),"Subactividad sin macroactividad arriba"&amp;" · ","")&amp;IF($AM206="","Sin fecha de inicio"&amp;" · ","")&amp;IF($AN206="","Sin fecha límite"&amp;" · ","")&amp;IF(AND(LEFT($C206,11)="[Jefatura] ",N($AL206)=0),"No se encuentra en la hoja de la jefatura (elíjala de nuevo en la lista)"&amp;" · ","")&amp;IF(OR(AND($E206&lt;&gt;"",NOT(ISNUMBER($E206))),AND($F206&lt;&gt;"",NOT(ISNUMBER($F206))),AND($G206&lt;&gt;"",NOT(ISNUMBER($G206)))),"Fecha no válida"&amp;" · ","")&amp;IF(AND(ISNUMBER($AM206),ISNUMBER($AN206),$AM206&gt;$AN206),"Inicio posterior a fecha límite"&amp;" · ","")&amp;IF(AND($V206="Macro",$H206&lt;&gt;"",OR(NOT(ISNUMBER($H206)),$H206&lt;0,$H206&gt;1)),"Peso fuera de rango"&amp;" · ","")&amp;IF(AND($V206="Sub",$H206&lt;&gt;""),"Las subactividades no llevan peso (valen igual dentro de su macroactividad)"&amp;" · ","")&amp;IF(AND(N($W206)&gt;0,COUNT($I206:$L206)&gt;0),"Con subactividades: deje vacías las semanas (se calculan solas)"&amp;" · ","")&amp;IF((COUNTIF($I206:$L206,"&gt;1")+COUNTIF($I206:$L206,"&lt;0")+COUNTA($I206:$L206)-COUNT($I206:$L206))&gt;0,"Avance fuera de rango 0-100%"&amp;" · ","")&amp;IF(OR(AND($J206&lt;&gt;"",$J206&lt;$I206),AND($K206&lt;&gt;"",$K206&lt;MAX($I206:$J206)),AND($L206&lt;&gt;"",$L206&lt;MAX($I206:$K206))),"Avance semanal decreciente"&amp;" · ","")&amp;IF(AND(ISNUMBER($AN206),$AN206&lt;FechaRef,IF($V206="Sub",N($X206),N($M206))&lt;1),"Vencida"&amp;" · ","")&amp;IF(AND(ObsObligatoria="Sí",ISNUMBER($AN206),$AN206&lt;FechaRef,IF($V206="Sub",N($X206),N($M206))&lt;1,$Q206=""),"Vencida sin observación"&amp;" · ",""))-3)))</f>
        <v/>
      </c>
      <c r="S206" s="64">
        <f>IF(NOT((COUNTA($B206:$D206)+COUNTA($G206:$L206)+COUNTA($Q206))&gt;0),"",IF(AND($V206="Sub",N($U206)&gt;0),IF(ISNUMBER(INDEX($AM$5:$AM$1000,$U206-4)),DATE(YEAR(INDEX($AM$5:$AM$1000,$U206-4)),MONTH(INDEX($AM$5:$AM$1000,$U206-4)),1),IF(ISNUMBER(INDEX($AN$5:$AN$1000,$U206-4)),DATE(YEAR(INDEX($AN$5:$AN$1000,$U206-4)),MONTH(INDEX($AN$5:$AN$1000,$U206-4)),1),MesCiclo)),IF(ISNUMBER($AM206),DATE(YEAR($AM206),MONTH($AM206),1),IF(ISNUMBER($AN206),DATE(YEAR($AN206),MONTH($AN206),1),MesCiclo))))</f>
        <v/>
      </c>
      <c r="T206" s="62">
        <f>IF(OR($S206="",$S206&lt;&gt;MesCiclo,$V206&lt;&gt;"Macro"),"",COUNTIFS($S$5:$S206,MesCiclo,$V$5:$V206,"Macro"))</f>
        <v/>
      </c>
      <c r="U206" s="62">
        <f>IF($V206="","",IF($V206="Macro",ROW(),IFERROR(LOOKUP(2,1/($V$5:$V206="Macro"),ROW($V$5:$V206)),0)))</f>
        <v/>
      </c>
      <c r="V206" s="62">
        <f>IF(NOT((COUNTA($B206:$D206)+COUNTA($G206:$L206)+COUNTA($Q206))&gt;0),"",IF($B206="Subactividad","Sub","Macro"))</f>
        <v/>
      </c>
      <c r="W206" s="62">
        <f>IF($V206="Macro",COUNTIFS($U$5:$U$1000,ROW(),$V$5:$V$1000,"Sub"),"")</f>
        <v/>
      </c>
      <c r="X206" s="62">
        <f>IF($V206="","",IF(ISNUMBER($G206),1,IFERROR(LOOKUP(2,1/($I206:$L206&lt;&gt;""),$I206:$L206),0)))</f>
        <v/>
      </c>
      <c r="Y206" s="62">
        <f>IF($V206="","",IF(AND(ISNUMBER($G206),$G206&lt;=IF($S206=MesCiclo,InicioCiclo,$S206+MOD(2-WEEKDAY($S206),7))+6),1,IF(ISNUMBER($I206),$I206,0)))</f>
        <v/>
      </c>
      <c r="Z206" s="62">
        <f>IF($V206="","",IF(AND(ISNUMBER($G206),$G206&lt;=IF($S206=MesCiclo,InicioCiclo,$S206+MOD(2-WEEKDAY($S206),7))+13),1,IF(ISNUMBER($J206),$J206,$Y206)))</f>
        <v/>
      </c>
      <c r="AA206" s="62">
        <f>IF($V206="","",IF(AND(ISNUMBER($G206),$G206&lt;=IF($S206=MesCiclo,InicioCiclo,$S206+MOD(2-WEEKDAY($S206),7))+20),1,IF(ISNUMBER($K206),$K206,$Z206)))</f>
        <v/>
      </c>
      <c r="AB206" s="62">
        <f>IF($V206="","",IF(AND(ISNUMBER($G206),$G206&lt;=IF($S206=MesCiclo,InicioCiclo,$S206+MOD(2-WEEKDAY($S206),7))+27),1,IF(ISNUMBER($L206),$L206,$AA206)))</f>
        <v/>
      </c>
      <c r="AC206" s="62">
        <f>IF($V206="","",IF(AND(ISNUMBER($G206),$G206&lt;=IF($S206=MesCiclo,InicioCiclo,$S206+MOD(2-WEEKDAY($S206),7))+6),1,IF(N($W206)&gt;0,AVERAGEIFS($Y$5:$Y$1000,$U$5:$U$1000,ROW(),$V$5:$V$1000,"Sub"),$Y206)))</f>
        <v/>
      </c>
      <c r="AD206" s="62">
        <f>IF($V206="","",IF(AND(ISNUMBER($G206),$G206&lt;=IF($S206=MesCiclo,InicioCiclo,$S206+MOD(2-WEEKDAY($S206),7))+13),1,IF(N($W206)&gt;0,AVERAGEIFS($Z$5:$Z$1000,$U$5:$U$1000,ROW(),$V$5:$V$1000,"Sub"),$Z206)))</f>
        <v/>
      </c>
      <c r="AE206" s="62">
        <f>IF($V206="","",IF(AND(ISNUMBER($G206),$G206&lt;=IF($S206=MesCiclo,InicioCiclo,$S206+MOD(2-WEEKDAY($S206),7))+20),1,IF(N($W206)&gt;0,AVERAGEIFS($AA$5:$AA$1000,$U$5:$U$1000,ROW(),$V$5:$V$1000,"Sub"),$AA206)))</f>
        <v/>
      </c>
      <c r="AF206" s="62">
        <f>IF($V206="","",IF(AND(ISNUMBER($G206),$G206&lt;=IF($S206=MesCiclo,InicioCiclo,$S206+MOD(2-WEEKDAY($S206),7))+27),1,IF(N($W206)&gt;0,AVERAGEIFS($AB$5:$AB$1000,$U$5:$U$1000,ROW(),$V$5:$V$1000,"Sub"),$AB206)))</f>
        <v/>
      </c>
      <c r="AG206" s="62">
        <f>IF($V206&lt;&gt;"Macro","",IF(COUNTIFS($S$5:$S$1000,$S206,$V$5:$V$1000,"Macro",$H$5:$H$1000,"&gt;0")=0,1/COUNTIFS($S$5:$S$1000,$S206,$V$5:$V$1000,"Macro"),IF(AND(ISNUMBER($H206),N($H206)&gt;0),$H206,SUMIFS($H$5:$H$1000,$S$5:$S$1000,$S206,$V$5:$V$1000,"Macro")/COUNTIFS($S$5:$S$1000,$S206,$V$5:$V$1000,"Macro",$H$5:$H$1000,"&gt;0"))/(COUNTIFS($S$5:$S$1000,$S206,$V$5:$V$1000,"Macro")*SUMIFS($H$5:$H$1000,$S$5:$S$1000,$S206,$V$5:$V$1000,"Macro")/COUNTIFS($S$5:$S$1000,$S206,$V$5:$V$1000,"Macro",$H$5:$H$1000,"&gt;0"))))</f>
        <v/>
      </c>
      <c r="AH206" s="62" t="n"/>
      <c r="AI206" s="62" t="n"/>
      <c r="AJ206" s="62" t="n"/>
      <c r="AK206" s="62" t="n"/>
      <c r="AL206" s="62">
        <f>IF(LEFT($C206,11)="[Jefatura] ",IFERROR(MATCH("Asistente Técnico de Riesgo|"&amp;MID($C206,12,500),rDname_ADM,0),0),"")</f>
        <v/>
      </c>
      <c r="AM206" s="62">
        <f>IF(N($AL206)&gt;0,INDEX(rIni_ADM,$AL206),IF(ISNUMBER($E206),$E206,""))</f>
        <v/>
      </c>
      <c r="AN206" s="62">
        <f>IF(N($AL206)&gt;0,INDEX(rLim_ADM,$AL206),IF(ISNUMBER($F206),$F206,""))</f>
        <v/>
      </c>
    </row>
    <row r="207">
      <c r="A207" s="56">
        <f>IF(NOT((COUNTA($B207:$D207)+COUNTA($G207:$L207)+COUNTA($Q207))&gt;0),"",IF($V207="Macro",COUNTIFS($V$5:$V207,"Macro",$S$5:$S207,$S207),IF(N($U207)=0,"?",COUNTIFS(INDEX($V$5:$V$1000,1):INDEX($V$5:$V$1000,$U207-4),"Macro",INDEX($S$5:$S$1000,1):INDEX($S$5:$S$1000,$U207-4),INDEX($S$5:$S$1000,$U207-4))&amp;"."&amp;COUNTIFS($U$5:$U207,$U207,$V$5:$V207,"Sub"))))</f>
        <v/>
      </c>
      <c r="B207" s="57" t="n"/>
      <c r="C207" s="58" t="n"/>
      <c r="D207" s="58" t="n"/>
      <c r="E207" s="59">
        <f>IF(N($AL207)&gt;0,INDEX(rIni_ADM,$AL207),"")</f>
        <v/>
      </c>
      <c r="F207" s="59">
        <f>IF(N($AL207)&gt;0,INDEX(rLim_ADM,$AL207),"")</f>
        <v/>
      </c>
      <c r="G207" s="59" t="n"/>
      <c r="H207" s="60" t="n"/>
      <c r="I207" s="60" t="n"/>
      <c r="J207" s="60" t="n"/>
      <c r="K207" s="60" t="n"/>
      <c r="L207" s="60" t="n"/>
      <c r="M207" s="61">
        <f>IF(NOT((COUNTA($B207:$D207)+COUNTA($G207:$L207)+COUNTA($Q207))&gt;0),"",IF($V207="Sub",IFERROR($X207/INDEX($W$5:$W$1000,$U207-4),""),IF(ISNUMBER($G207),1,IF(N($W207)&gt;0,AVERAGEIFS($X$5:$X$1000,$U$5:$U$1000,ROW(),$V$5:$V$1000,"Sub"),$X207))))</f>
        <v/>
      </c>
      <c r="N207" s="56">
        <f>IF(OR($M207="",$V207="Sub"),"",IF($M207&gt;=1,"Completado",IF($M207&gt;0,"En curso","Pendiente")))</f>
        <v/>
      </c>
      <c r="O207" s="56">
        <f>IF(OR(NOT((COUNTA($B207:$D207)+COUNTA($G207:$L207)+COUNTA($Q207))&gt;0),$V207="Sub"),"",IF(ISNUMBER($G207),IF(AND(ISNUMBER($AN207),$G207&gt;$AN207),"Cumplida con "&amp;($G207-$AN207)&amp;IF($G207-$AN207=1," día"," días")&amp;" de retraso","Cumplida"),IF(N($M207)&gt;=1,"Cumplida",IF(NOT(ISNUMBER($AN207)),"Sin fecha límite",IF($AN207&lt;FechaRef,"Vencida hace "&amp;(FechaRef-$AN207)&amp;IF(FechaRef-$AN207=1," día"," días"),IF($AN207=FechaRef,"Vence hoy",IF($AN207-FechaRef&lt;=DiasAlerta,"Vence en "&amp;($AN207-FechaRef)&amp;IF($AN207-FechaRef=1," día"," días"),"En plazo")))))))</f>
        <v/>
      </c>
      <c r="P207" s="62" t="n"/>
      <c r="Q207" s="58" t="n"/>
      <c r="R207" s="63">
        <f>IF(NOT((COUNTA($B207:$D207)+COUNTA($G207:$L207)+COUNTA($Q207))&gt;0),"",IF((IF($C207="","Falta el nombre de la actividad"&amp;" · ","")&amp;IF(AND($V207="Sub",N($U207)=0),"Subactividad sin macroactividad arriba"&amp;" · ","")&amp;IF($AM207="","Sin fecha de inicio"&amp;" · ","")&amp;IF($AN207="","Sin fecha límite"&amp;" · ","")&amp;IF(AND(LEFT($C207,11)="[Jefatura] ",N($AL207)=0),"No se encuentra en la hoja de la jefatura (elíjala de nuevo en la lista)"&amp;" · ","")&amp;IF(OR(AND($E207&lt;&gt;"",NOT(ISNUMBER($E207))),AND($F207&lt;&gt;"",NOT(ISNUMBER($F207))),AND($G207&lt;&gt;"",NOT(ISNUMBER($G207)))),"Fecha no válida"&amp;" · ","")&amp;IF(AND(ISNUMBER($AM207),ISNUMBER($AN207),$AM207&gt;$AN207),"Inicio posterior a fecha límite"&amp;" · ","")&amp;IF(AND($V207="Macro",$H207&lt;&gt;"",OR(NOT(ISNUMBER($H207)),$H207&lt;0,$H207&gt;1)),"Peso fuera de rango"&amp;" · ","")&amp;IF(AND($V207="Sub",$H207&lt;&gt;""),"Las subactividades no llevan peso (valen igual dentro de su macroactividad)"&amp;" · ","")&amp;IF(AND(N($W207)&gt;0,COUNT($I207:$L207)&gt;0),"Con subactividades: deje vacías las semanas (se calculan solas)"&amp;" · ","")&amp;IF((COUNTIF($I207:$L207,"&gt;1")+COUNTIF($I207:$L207,"&lt;0")+COUNTA($I207:$L207)-COUNT($I207:$L207))&gt;0,"Avance fuera de rango 0-100%"&amp;" · ","")&amp;IF(OR(AND($J207&lt;&gt;"",$J207&lt;$I207),AND($K207&lt;&gt;"",$K207&lt;MAX($I207:$J207)),AND($L207&lt;&gt;"",$L207&lt;MAX($I207:$K207))),"Avance semanal decreciente"&amp;" · ","")&amp;IF(AND(ISNUMBER($AN207),$AN207&lt;FechaRef,IF($V207="Sub",N($X207),N($M207))&lt;1),"Vencida"&amp;" · ","")&amp;IF(AND(ObsObligatoria="Sí",ISNUMBER($AN207),$AN207&lt;FechaRef,IF($V207="Sub",N($X207),N($M207))&lt;1,$Q207=""),"Vencida sin observación"&amp;" · ",""))="","✔ OK","⚠ "&amp;LEFT(IF($C207="","Falta el nombre de la actividad"&amp;" · ","")&amp;IF(AND($V207="Sub",N($U207)=0),"Subactividad sin macroactividad arriba"&amp;" · ","")&amp;IF($AM207="","Sin fecha de inicio"&amp;" · ","")&amp;IF($AN207="","Sin fecha límite"&amp;" · ","")&amp;IF(AND(LEFT($C207,11)="[Jefatura] ",N($AL207)=0),"No se encuentra en la hoja de la jefatura (elíjala de nuevo en la lista)"&amp;" · ","")&amp;IF(OR(AND($E207&lt;&gt;"",NOT(ISNUMBER($E207))),AND($F207&lt;&gt;"",NOT(ISNUMBER($F207))),AND($G207&lt;&gt;"",NOT(ISNUMBER($G207)))),"Fecha no válida"&amp;" · ","")&amp;IF(AND(ISNUMBER($AM207),ISNUMBER($AN207),$AM207&gt;$AN207),"Inicio posterior a fecha límite"&amp;" · ","")&amp;IF(AND($V207="Macro",$H207&lt;&gt;"",OR(NOT(ISNUMBER($H207)),$H207&lt;0,$H207&gt;1)),"Peso fuera de rango"&amp;" · ","")&amp;IF(AND($V207="Sub",$H207&lt;&gt;""),"Las subactividades no llevan peso (valen igual dentro de su macroactividad)"&amp;" · ","")&amp;IF(AND(N($W207)&gt;0,COUNT($I207:$L207)&gt;0),"Con subactividades: deje vacías las semanas (se calculan solas)"&amp;" · ","")&amp;IF((COUNTIF($I207:$L207,"&gt;1")+COUNTIF($I207:$L207,"&lt;0")+COUNTA($I207:$L207)-COUNT($I207:$L207))&gt;0,"Avance fuera de rango 0-100%"&amp;" · ","")&amp;IF(OR(AND($J207&lt;&gt;"",$J207&lt;$I207),AND($K207&lt;&gt;"",$K207&lt;MAX($I207:$J207)),AND($L207&lt;&gt;"",$L207&lt;MAX($I207:$K207))),"Avance semanal decreciente"&amp;" · ","")&amp;IF(AND(ISNUMBER($AN207),$AN207&lt;FechaRef,IF($V207="Sub",N($X207),N($M207))&lt;1),"Vencida"&amp;" · ","")&amp;IF(AND(ObsObligatoria="Sí",ISNUMBER($AN207),$AN207&lt;FechaRef,IF($V207="Sub",N($X207),N($M207))&lt;1,$Q207=""),"Vencida sin observación"&amp;" · ",""),LEN(IF($C207="","Falta el nombre de la actividad"&amp;" · ","")&amp;IF(AND($V207="Sub",N($U207)=0),"Subactividad sin macroactividad arriba"&amp;" · ","")&amp;IF($AM207="","Sin fecha de inicio"&amp;" · ","")&amp;IF($AN207="","Sin fecha límite"&amp;" · ","")&amp;IF(AND(LEFT($C207,11)="[Jefatura] ",N($AL207)=0),"No se encuentra en la hoja de la jefatura (elíjala de nuevo en la lista)"&amp;" · ","")&amp;IF(OR(AND($E207&lt;&gt;"",NOT(ISNUMBER($E207))),AND($F207&lt;&gt;"",NOT(ISNUMBER($F207))),AND($G207&lt;&gt;"",NOT(ISNUMBER($G207)))),"Fecha no válida"&amp;" · ","")&amp;IF(AND(ISNUMBER($AM207),ISNUMBER($AN207),$AM207&gt;$AN207),"Inicio posterior a fecha límite"&amp;" · ","")&amp;IF(AND($V207="Macro",$H207&lt;&gt;"",OR(NOT(ISNUMBER($H207)),$H207&lt;0,$H207&gt;1)),"Peso fuera de rango"&amp;" · ","")&amp;IF(AND($V207="Sub",$H207&lt;&gt;""),"Las subactividades no llevan peso (valen igual dentro de su macroactividad)"&amp;" · ","")&amp;IF(AND(N($W207)&gt;0,COUNT($I207:$L207)&gt;0),"Con subactividades: deje vacías las semanas (se calculan solas)"&amp;" · ","")&amp;IF((COUNTIF($I207:$L207,"&gt;1")+COUNTIF($I207:$L207,"&lt;0")+COUNTA($I207:$L207)-COUNT($I207:$L207))&gt;0,"Avance fuera de rango 0-100%"&amp;" · ","")&amp;IF(OR(AND($J207&lt;&gt;"",$J207&lt;$I207),AND($K207&lt;&gt;"",$K207&lt;MAX($I207:$J207)),AND($L207&lt;&gt;"",$L207&lt;MAX($I207:$K207))),"Avance semanal decreciente"&amp;" · ","")&amp;IF(AND(ISNUMBER($AN207),$AN207&lt;FechaRef,IF($V207="Sub",N($X207),N($M207))&lt;1),"Vencida"&amp;" · ","")&amp;IF(AND(ObsObligatoria="Sí",ISNUMBER($AN207),$AN207&lt;FechaRef,IF($V207="Sub",N($X207),N($M207))&lt;1,$Q207=""),"Vencida sin observación"&amp;" · ",""))-3)))</f>
        <v/>
      </c>
      <c r="S207" s="64">
        <f>IF(NOT((COUNTA($B207:$D207)+COUNTA($G207:$L207)+COUNTA($Q207))&gt;0),"",IF(AND($V207="Sub",N($U207)&gt;0),IF(ISNUMBER(INDEX($AM$5:$AM$1000,$U207-4)),DATE(YEAR(INDEX($AM$5:$AM$1000,$U207-4)),MONTH(INDEX($AM$5:$AM$1000,$U207-4)),1),IF(ISNUMBER(INDEX($AN$5:$AN$1000,$U207-4)),DATE(YEAR(INDEX($AN$5:$AN$1000,$U207-4)),MONTH(INDEX($AN$5:$AN$1000,$U207-4)),1),MesCiclo)),IF(ISNUMBER($AM207),DATE(YEAR($AM207),MONTH($AM207),1),IF(ISNUMBER($AN207),DATE(YEAR($AN207),MONTH($AN207),1),MesCiclo))))</f>
        <v/>
      </c>
      <c r="T207" s="62">
        <f>IF(OR($S207="",$S207&lt;&gt;MesCiclo,$V207&lt;&gt;"Macro"),"",COUNTIFS($S$5:$S207,MesCiclo,$V$5:$V207,"Macro"))</f>
        <v/>
      </c>
      <c r="U207" s="62">
        <f>IF($V207="","",IF($V207="Macro",ROW(),IFERROR(LOOKUP(2,1/($V$5:$V207="Macro"),ROW($V$5:$V207)),0)))</f>
        <v/>
      </c>
      <c r="V207" s="62">
        <f>IF(NOT((COUNTA($B207:$D207)+COUNTA($G207:$L207)+COUNTA($Q207))&gt;0),"",IF($B207="Subactividad","Sub","Macro"))</f>
        <v/>
      </c>
      <c r="W207" s="62">
        <f>IF($V207="Macro",COUNTIFS($U$5:$U$1000,ROW(),$V$5:$V$1000,"Sub"),"")</f>
        <v/>
      </c>
      <c r="X207" s="62">
        <f>IF($V207="","",IF(ISNUMBER($G207),1,IFERROR(LOOKUP(2,1/($I207:$L207&lt;&gt;""),$I207:$L207),0)))</f>
        <v/>
      </c>
      <c r="Y207" s="62">
        <f>IF($V207="","",IF(AND(ISNUMBER($G207),$G207&lt;=IF($S207=MesCiclo,InicioCiclo,$S207+MOD(2-WEEKDAY($S207),7))+6),1,IF(ISNUMBER($I207),$I207,0)))</f>
        <v/>
      </c>
      <c r="Z207" s="62">
        <f>IF($V207="","",IF(AND(ISNUMBER($G207),$G207&lt;=IF($S207=MesCiclo,InicioCiclo,$S207+MOD(2-WEEKDAY($S207),7))+13),1,IF(ISNUMBER($J207),$J207,$Y207)))</f>
        <v/>
      </c>
      <c r="AA207" s="62">
        <f>IF($V207="","",IF(AND(ISNUMBER($G207),$G207&lt;=IF($S207=MesCiclo,InicioCiclo,$S207+MOD(2-WEEKDAY($S207),7))+20),1,IF(ISNUMBER($K207),$K207,$Z207)))</f>
        <v/>
      </c>
      <c r="AB207" s="62">
        <f>IF($V207="","",IF(AND(ISNUMBER($G207),$G207&lt;=IF($S207=MesCiclo,InicioCiclo,$S207+MOD(2-WEEKDAY($S207),7))+27),1,IF(ISNUMBER($L207),$L207,$AA207)))</f>
        <v/>
      </c>
      <c r="AC207" s="62">
        <f>IF($V207="","",IF(AND(ISNUMBER($G207),$G207&lt;=IF($S207=MesCiclo,InicioCiclo,$S207+MOD(2-WEEKDAY($S207),7))+6),1,IF(N($W207)&gt;0,AVERAGEIFS($Y$5:$Y$1000,$U$5:$U$1000,ROW(),$V$5:$V$1000,"Sub"),$Y207)))</f>
        <v/>
      </c>
      <c r="AD207" s="62">
        <f>IF($V207="","",IF(AND(ISNUMBER($G207),$G207&lt;=IF($S207=MesCiclo,InicioCiclo,$S207+MOD(2-WEEKDAY($S207),7))+13),1,IF(N($W207)&gt;0,AVERAGEIFS($Z$5:$Z$1000,$U$5:$U$1000,ROW(),$V$5:$V$1000,"Sub"),$Z207)))</f>
        <v/>
      </c>
      <c r="AE207" s="62">
        <f>IF($V207="","",IF(AND(ISNUMBER($G207),$G207&lt;=IF($S207=MesCiclo,InicioCiclo,$S207+MOD(2-WEEKDAY($S207),7))+20),1,IF(N($W207)&gt;0,AVERAGEIFS($AA$5:$AA$1000,$U$5:$U$1000,ROW(),$V$5:$V$1000,"Sub"),$AA207)))</f>
        <v/>
      </c>
      <c r="AF207" s="62">
        <f>IF($V207="","",IF(AND(ISNUMBER($G207),$G207&lt;=IF($S207=MesCiclo,InicioCiclo,$S207+MOD(2-WEEKDAY($S207),7))+27),1,IF(N($W207)&gt;0,AVERAGEIFS($AB$5:$AB$1000,$U$5:$U$1000,ROW(),$V$5:$V$1000,"Sub"),$AB207)))</f>
        <v/>
      </c>
      <c r="AG207" s="62">
        <f>IF($V207&lt;&gt;"Macro","",IF(COUNTIFS($S$5:$S$1000,$S207,$V$5:$V$1000,"Macro",$H$5:$H$1000,"&gt;0")=0,1/COUNTIFS($S$5:$S$1000,$S207,$V$5:$V$1000,"Macro"),IF(AND(ISNUMBER($H207),N($H207)&gt;0),$H207,SUMIFS($H$5:$H$1000,$S$5:$S$1000,$S207,$V$5:$V$1000,"Macro")/COUNTIFS($S$5:$S$1000,$S207,$V$5:$V$1000,"Macro",$H$5:$H$1000,"&gt;0"))/(COUNTIFS($S$5:$S$1000,$S207,$V$5:$V$1000,"Macro")*SUMIFS($H$5:$H$1000,$S$5:$S$1000,$S207,$V$5:$V$1000,"Macro")/COUNTIFS($S$5:$S$1000,$S207,$V$5:$V$1000,"Macro",$H$5:$H$1000,"&gt;0"))))</f>
        <v/>
      </c>
      <c r="AH207" s="62" t="n"/>
      <c r="AI207" s="62" t="n"/>
      <c r="AJ207" s="62" t="n"/>
      <c r="AK207" s="62" t="n"/>
      <c r="AL207" s="62">
        <f>IF(LEFT($C207,11)="[Jefatura] ",IFERROR(MATCH("Asistente Técnico de Riesgo|"&amp;MID($C207,12,500),rDname_ADM,0),0),"")</f>
        <v/>
      </c>
      <c r="AM207" s="62">
        <f>IF(N($AL207)&gt;0,INDEX(rIni_ADM,$AL207),IF(ISNUMBER($E207),$E207,""))</f>
        <v/>
      </c>
      <c r="AN207" s="62">
        <f>IF(N($AL207)&gt;0,INDEX(rLim_ADM,$AL207),IF(ISNUMBER($F207),$F207,""))</f>
        <v/>
      </c>
    </row>
    <row r="208">
      <c r="A208" s="56">
        <f>IF(NOT((COUNTA($B208:$D208)+COUNTA($G208:$L208)+COUNTA($Q208))&gt;0),"",IF($V208="Macro",COUNTIFS($V$5:$V208,"Macro",$S$5:$S208,$S208),IF(N($U208)=0,"?",COUNTIFS(INDEX($V$5:$V$1000,1):INDEX($V$5:$V$1000,$U208-4),"Macro",INDEX($S$5:$S$1000,1):INDEX($S$5:$S$1000,$U208-4),INDEX($S$5:$S$1000,$U208-4))&amp;"."&amp;COUNTIFS($U$5:$U208,$U208,$V$5:$V208,"Sub"))))</f>
        <v/>
      </c>
      <c r="B208" s="57" t="n"/>
      <c r="C208" s="58" t="n"/>
      <c r="D208" s="58" t="n"/>
      <c r="E208" s="59">
        <f>IF(N($AL208)&gt;0,INDEX(rIni_ADM,$AL208),"")</f>
        <v/>
      </c>
      <c r="F208" s="59">
        <f>IF(N($AL208)&gt;0,INDEX(rLim_ADM,$AL208),"")</f>
        <v/>
      </c>
      <c r="G208" s="59" t="n"/>
      <c r="H208" s="60" t="n"/>
      <c r="I208" s="60" t="n"/>
      <c r="J208" s="60" t="n"/>
      <c r="K208" s="60" t="n"/>
      <c r="L208" s="60" t="n"/>
      <c r="M208" s="61">
        <f>IF(NOT((COUNTA($B208:$D208)+COUNTA($G208:$L208)+COUNTA($Q208))&gt;0),"",IF($V208="Sub",IFERROR($X208/INDEX($W$5:$W$1000,$U208-4),""),IF(ISNUMBER($G208),1,IF(N($W208)&gt;0,AVERAGEIFS($X$5:$X$1000,$U$5:$U$1000,ROW(),$V$5:$V$1000,"Sub"),$X208))))</f>
        <v/>
      </c>
      <c r="N208" s="56">
        <f>IF(OR($M208="",$V208="Sub"),"",IF($M208&gt;=1,"Completado",IF($M208&gt;0,"En curso","Pendiente")))</f>
        <v/>
      </c>
      <c r="O208" s="56">
        <f>IF(OR(NOT((COUNTA($B208:$D208)+COUNTA($G208:$L208)+COUNTA($Q208))&gt;0),$V208="Sub"),"",IF(ISNUMBER($G208),IF(AND(ISNUMBER($AN208),$G208&gt;$AN208),"Cumplida con "&amp;($G208-$AN208)&amp;IF($G208-$AN208=1," día"," días")&amp;" de retraso","Cumplida"),IF(N($M208)&gt;=1,"Cumplida",IF(NOT(ISNUMBER($AN208)),"Sin fecha límite",IF($AN208&lt;FechaRef,"Vencida hace "&amp;(FechaRef-$AN208)&amp;IF(FechaRef-$AN208=1," día"," días"),IF($AN208=FechaRef,"Vence hoy",IF($AN208-FechaRef&lt;=DiasAlerta,"Vence en "&amp;($AN208-FechaRef)&amp;IF($AN208-FechaRef=1," día"," días"),"En plazo")))))))</f>
        <v/>
      </c>
      <c r="P208" s="62" t="n"/>
      <c r="Q208" s="58" t="n"/>
      <c r="R208" s="63">
        <f>IF(NOT((COUNTA($B208:$D208)+COUNTA($G208:$L208)+COUNTA($Q208))&gt;0),"",IF((IF($C208="","Falta el nombre de la actividad"&amp;" · ","")&amp;IF(AND($V208="Sub",N($U208)=0),"Subactividad sin macroactividad arriba"&amp;" · ","")&amp;IF($AM208="","Sin fecha de inicio"&amp;" · ","")&amp;IF($AN208="","Sin fecha límite"&amp;" · ","")&amp;IF(AND(LEFT($C208,11)="[Jefatura] ",N($AL208)=0),"No se encuentra en la hoja de la jefatura (elíjala de nuevo en la lista)"&amp;" · ","")&amp;IF(OR(AND($E208&lt;&gt;"",NOT(ISNUMBER($E208))),AND($F208&lt;&gt;"",NOT(ISNUMBER($F208))),AND($G208&lt;&gt;"",NOT(ISNUMBER($G208)))),"Fecha no válida"&amp;" · ","")&amp;IF(AND(ISNUMBER($AM208),ISNUMBER($AN208),$AM208&gt;$AN208),"Inicio posterior a fecha límite"&amp;" · ","")&amp;IF(AND($V208="Macro",$H208&lt;&gt;"",OR(NOT(ISNUMBER($H208)),$H208&lt;0,$H208&gt;1)),"Peso fuera de rango"&amp;" · ","")&amp;IF(AND($V208="Sub",$H208&lt;&gt;""),"Las subactividades no llevan peso (valen igual dentro de su macroactividad)"&amp;" · ","")&amp;IF(AND(N($W208)&gt;0,COUNT($I208:$L208)&gt;0),"Con subactividades: deje vacías las semanas (se calculan solas)"&amp;" · ","")&amp;IF((COUNTIF($I208:$L208,"&gt;1")+COUNTIF($I208:$L208,"&lt;0")+COUNTA($I208:$L208)-COUNT($I208:$L208))&gt;0,"Avance fuera de rango 0-100%"&amp;" · ","")&amp;IF(OR(AND($J208&lt;&gt;"",$J208&lt;$I208),AND($K208&lt;&gt;"",$K208&lt;MAX($I208:$J208)),AND($L208&lt;&gt;"",$L208&lt;MAX($I208:$K208))),"Avance semanal decreciente"&amp;" · ","")&amp;IF(AND(ISNUMBER($AN208),$AN208&lt;FechaRef,IF($V208="Sub",N($X208),N($M208))&lt;1),"Vencida"&amp;" · ","")&amp;IF(AND(ObsObligatoria="Sí",ISNUMBER($AN208),$AN208&lt;FechaRef,IF($V208="Sub",N($X208),N($M208))&lt;1,$Q208=""),"Vencida sin observación"&amp;" · ",""))="","✔ OK","⚠ "&amp;LEFT(IF($C208="","Falta el nombre de la actividad"&amp;" · ","")&amp;IF(AND($V208="Sub",N($U208)=0),"Subactividad sin macroactividad arriba"&amp;" · ","")&amp;IF($AM208="","Sin fecha de inicio"&amp;" · ","")&amp;IF($AN208="","Sin fecha límite"&amp;" · ","")&amp;IF(AND(LEFT($C208,11)="[Jefatura] ",N($AL208)=0),"No se encuentra en la hoja de la jefatura (elíjala de nuevo en la lista)"&amp;" · ","")&amp;IF(OR(AND($E208&lt;&gt;"",NOT(ISNUMBER($E208))),AND($F208&lt;&gt;"",NOT(ISNUMBER($F208))),AND($G208&lt;&gt;"",NOT(ISNUMBER($G208)))),"Fecha no válida"&amp;" · ","")&amp;IF(AND(ISNUMBER($AM208),ISNUMBER($AN208),$AM208&gt;$AN208),"Inicio posterior a fecha límite"&amp;" · ","")&amp;IF(AND($V208="Macro",$H208&lt;&gt;"",OR(NOT(ISNUMBER($H208)),$H208&lt;0,$H208&gt;1)),"Peso fuera de rango"&amp;" · ","")&amp;IF(AND($V208="Sub",$H208&lt;&gt;""),"Las subactividades no llevan peso (valen igual dentro de su macroactividad)"&amp;" · ","")&amp;IF(AND(N($W208)&gt;0,COUNT($I208:$L208)&gt;0),"Con subactividades: deje vacías las semanas (se calculan solas)"&amp;" · ","")&amp;IF((COUNTIF($I208:$L208,"&gt;1")+COUNTIF($I208:$L208,"&lt;0")+COUNTA($I208:$L208)-COUNT($I208:$L208))&gt;0,"Avance fuera de rango 0-100%"&amp;" · ","")&amp;IF(OR(AND($J208&lt;&gt;"",$J208&lt;$I208),AND($K208&lt;&gt;"",$K208&lt;MAX($I208:$J208)),AND($L208&lt;&gt;"",$L208&lt;MAX($I208:$K208))),"Avance semanal decreciente"&amp;" · ","")&amp;IF(AND(ISNUMBER($AN208),$AN208&lt;FechaRef,IF($V208="Sub",N($X208),N($M208))&lt;1),"Vencida"&amp;" · ","")&amp;IF(AND(ObsObligatoria="Sí",ISNUMBER($AN208),$AN208&lt;FechaRef,IF($V208="Sub",N($X208),N($M208))&lt;1,$Q208=""),"Vencida sin observación"&amp;" · ",""),LEN(IF($C208="","Falta el nombre de la actividad"&amp;" · ","")&amp;IF(AND($V208="Sub",N($U208)=0),"Subactividad sin macroactividad arriba"&amp;" · ","")&amp;IF($AM208="","Sin fecha de inicio"&amp;" · ","")&amp;IF($AN208="","Sin fecha límite"&amp;" · ","")&amp;IF(AND(LEFT($C208,11)="[Jefatura] ",N($AL208)=0),"No se encuentra en la hoja de la jefatura (elíjala de nuevo en la lista)"&amp;" · ","")&amp;IF(OR(AND($E208&lt;&gt;"",NOT(ISNUMBER($E208))),AND($F208&lt;&gt;"",NOT(ISNUMBER($F208))),AND($G208&lt;&gt;"",NOT(ISNUMBER($G208)))),"Fecha no válida"&amp;" · ","")&amp;IF(AND(ISNUMBER($AM208),ISNUMBER($AN208),$AM208&gt;$AN208),"Inicio posterior a fecha límite"&amp;" · ","")&amp;IF(AND($V208="Macro",$H208&lt;&gt;"",OR(NOT(ISNUMBER($H208)),$H208&lt;0,$H208&gt;1)),"Peso fuera de rango"&amp;" · ","")&amp;IF(AND($V208="Sub",$H208&lt;&gt;""),"Las subactividades no llevan peso (valen igual dentro de su macroactividad)"&amp;" · ","")&amp;IF(AND(N($W208)&gt;0,COUNT($I208:$L208)&gt;0),"Con subactividades: deje vacías las semanas (se calculan solas)"&amp;" · ","")&amp;IF((COUNTIF($I208:$L208,"&gt;1")+COUNTIF($I208:$L208,"&lt;0")+COUNTA($I208:$L208)-COUNT($I208:$L208))&gt;0,"Avance fuera de rango 0-100%"&amp;" · ","")&amp;IF(OR(AND($J208&lt;&gt;"",$J208&lt;$I208),AND($K208&lt;&gt;"",$K208&lt;MAX($I208:$J208)),AND($L208&lt;&gt;"",$L208&lt;MAX($I208:$K208))),"Avance semanal decreciente"&amp;" · ","")&amp;IF(AND(ISNUMBER($AN208),$AN208&lt;FechaRef,IF($V208="Sub",N($X208),N($M208))&lt;1),"Vencida"&amp;" · ","")&amp;IF(AND(ObsObligatoria="Sí",ISNUMBER($AN208),$AN208&lt;FechaRef,IF($V208="Sub",N($X208),N($M208))&lt;1,$Q208=""),"Vencida sin observación"&amp;" · ",""))-3)))</f>
        <v/>
      </c>
      <c r="S208" s="64">
        <f>IF(NOT((COUNTA($B208:$D208)+COUNTA($G208:$L208)+COUNTA($Q208))&gt;0),"",IF(AND($V208="Sub",N($U208)&gt;0),IF(ISNUMBER(INDEX($AM$5:$AM$1000,$U208-4)),DATE(YEAR(INDEX($AM$5:$AM$1000,$U208-4)),MONTH(INDEX($AM$5:$AM$1000,$U208-4)),1),IF(ISNUMBER(INDEX($AN$5:$AN$1000,$U208-4)),DATE(YEAR(INDEX($AN$5:$AN$1000,$U208-4)),MONTH(INDEX($AN$5:$AN$1000,$U208-4)),1),MesCiclo)),IF(ISNUMBER($AM208),DATE(YEAR($AM208),MONTH($AM208),1),IF(ISNUMBER($AN208),DATE(YEAR($AN208),MONTH($AN208),1),MesCiclo))))</f>
        <v/>
      </c>
      <c r="T208" s="62">
        <f>IF(OR($S208="",$S208&lt;&gt;MesCiclo,$V208&lt;&gt;"Macro"),"",COUNTIFS($S$5:$S208,MesCiclo,$V$5:$V208,"Macro"))</f>
        <v/>
      </c>
      <c r="U208" s="62">
        <f>IF($V208="","",IF($V208="Macro",ROW(),IFERROR(LOOKUP(2,1/($V$5:$V208="Macro"),ROW($V$5:$V208)),0)))</f>
        <v/>
      </c>
      <c r="V208" s="62">
        <f>IF(NOT((COUNTA($B208:$D208)+COUNTA($G208:$L208)+COUNTA($Q208))&gt;0),"",IF($B208="Subactividad","Sub","Macro"))</f>
        <v/>
      </c>
      <c r="W208" s="62">
        <f>IF($V208="Macro",COUNTIFS($U$5:$U$1000,ROW(),$V$5:$V$1000,"Sub"),"")</f>
        <v/>
      </c>
      <c r="X208" s="62">
        <f>IF($V208="","",IF(ISNUMBER($G208),1,IFERROR(LOOKUP(2,1/($I208:$L208&lt;&gt;""),$I208:$L208),0)))</f>
        <v/>
      </c>
      <c r="Y208" s="62">
        <f>IF($V208="","",IF(AND(ISNUMBER($G208),$G208&lt;=IF($S208=MesCiclo,InicioCiclo,$S208+MOD(2-WEEKDAY($S208),7))+6),1,IF(ISNUMBER($I208),$I208,0)))</f>
        <v/>
      </c>
      <c r="Z208" s="62">
        <f>IF($V208="","",IF(AND(ISNUMBER($G208),$G208&lt;=IF($S208=MesCiclo,InicioCiclo,$S208+MOD(2-WEEKDAY($S208),7))+13),1,IF(ISNUMBER($J208),$J208,$Y208)))</f>
        <v/>
      </c>
      <c r="AA208" s="62">
        <f>IF($V208="","",IF(AND(ISNUMBER($G208),$G208&lt;=IF($S208=MesCiclo,InicioCiclo,$S208+MOD(2-WEEKDAY($S208),7))+20),1,IF(ISNUMBER($K208),$K208,$Z208)))</f>
        <v/>
      </c>
      <c r="AB208" s="62">
        <f>IF($V208="","",IF(AND(ISNUMBER($G208),$G208&lt;=IF($S208=MesCiclo,InicioCiclo,$S208+MOD(2-WEEKDAY($S208),7))+27),1,IF(ISNUMBER($L208),$L208,$AA208)))</f>
        <v/>
      </c>
      <c r="AC208" s="62">
        <f>IF($V208="","",IF(AND(ISNUMBER($G208),$G208&lt;=IF($S208=MesCiclo,InicioCiclo,$S208+MOD(2-WEEKDAY($S208),7))+6),1,IF(N($W208)&gt;0,AVERAGEIFS($Y$5:$Y$1000,$U$5:$U$1000,ROW(),$V$5:$V$1000,"Sub"),$Y208)))</f>
        <v/>
      </c>
      <c r="AD208" s="62">
        <f>IF($V208="","",IF(AND(ISNUMBER($G208),$G208&lt;=IF($S208=MesCiclo,InicioCiclo,$S208+MOD(2-WEEKDAY($S208),7))+13),1,IF(N($W208)&gt;0,AVERAGEIFS($Z$5:$Z$1000,$U$5:$U$1000,ROW(),$V$5:$V$1000,"Sub"),$Z208)))</f>
        <v/>
      </c>
      <c r="AE208" s="62">
        <f>IF($V208="","",IF(AND(ISNUMBER($G208),$G208&lt;=IF($S208=MesCiclo,InicioCiclo,$S208+MOD(2-WEEKDAY($S208),7))+20),1,IF(N($W208)&gt;0,AVERAGEIFS($AA$5:$AA$1000,$U$5:$U$1000,ROW(),$V$5:$V$1000,"Sub"),$AA208)))</f>
        <v/>
      </c>
      <c r="AF208" s="62">
        <f>IF($V208="","",IF(AND(ISNUMBER($G208),$G208&lt;=IF($S208=MesCiclo,InicioCiclo,$S208+MOD(2-WEEKDAY($S208),7))+27),1,IF(N($W208)&gt;0,AVERAGEIFS($AB$5:$AB$1000,$U$5:$U$1000,ROW(),$V$5:$V$1000,"Sub"),$AB208)))</f>
        <v/>
      </c>
      <c r="AG208" s="62">
        <f>IF($V208&lt;&gt;"Macro","",IF(COUNTIFS($S$5:$S$1000,$S208,$V$5:$V$1000,"Macro",$H$5:$H$1000,"&gt;0")=0,1/COUNTIFS($S$5:$S$1000,$S208,$V$5:$V$1000,"Macro"),IF(AND(ISNUMBER($H208),N($H208)&gt;0),$H208,SUMIFS($H$5:$H$1000,$S$5:$S$1000,$S208,$V$5:$V$1000,"Macro")/COUNTIFS($S$5:$S$1000,$S208,$V$5:$V$1000,"Macro",$H$5:$H$1000,"&gt;0"))/(COUNTIFS($S$5:$S$1000,$S208,$V$5:$V$1000,"Macro")*SUMIFS($H$5:$H$1000,$S$5:$S$1000,$S208,$V$5:$V$1000,"Macro")/COUNTIFS($S$5:$S$1000,$S208,$V$5:$V$1000,"Macro",$H$5:$H$1000,"&gt;0"))))</f>
        <v/>
      </c>
      <c r="AH208" s="62" t="n"/>
      <c r="AI208" s="62" t="n"/>
      <c r="AJ208" s="62" t="n"/>
      <c r="AK208" s="62" t="n"/>
      <c r="AL208" s="62">
        <f>IF(LEFT($C208,11)="[Jefatura] ",IFERROR(MATCH("Asistente Técnico de Riesgo|"&amp;MID($C208,12,500),rDname_ADM,0),0),"")</f>
        <v/>
      </c>
      <c r="AM208" s="62">
        <f>IF(N($AL208)&gt;0,INDEX(rIni_ADM,$AL208),IF(ISNUMBER($E208),$E208,""))</f>
        <v/>
      </c>
      <c r="AN208" s="62">
        <f>IF(N($AL208)&gt;0,INDEX(rLim_ADM,$AL208),IF(ISNUMBER($F208),$F208,""))</f>
        <v/>
      </c>
    </row>
    <row r="209">
      <c r="A209" s="56">
        <f>IF(NOT((COUNTA($B209:$D209)+COUNTA($G209:$L209)+COUNTA($Q209))&gt;0),"",IF($V209="Macro",COUNTIFS($V$5:$V209,"Macro",$S$5:$S209,$S209),IF(N($U209)=0,"?",COUNTIFS(INDEX($V$5:$V$1000,1):INDEX($V$5:$V$1000,$U209-4),"Macro",INDEX($S$5:$S$1000,1):INDEX($S$5:$S$1000,$U209-4),INDEX($S$5:$S$1000,$U209-4))&amp;"."&amp;COUNTIFS($U$5:$U209,$U209,$V$5:$V209,"Sub"))))</f>
        <v/>
      </c>
      <c r="B209" s="57" t="n"/>
      <c r="C209" s="58" t="n"/>
      <c r="D209" s="58" t="n"/>
      <c r="E209" s="59">
        <f>IF(N($AL209)&gt;0,INDEX(rIni_ADM,$AL209),"")</f>
        <v/>
      </c>
      <c r="F209" s="59">
        <f>IF(N($AL209)&gt;0,INDEX(rLim_ADM,$AL209),"")</f>
        <v/>
      </c>
      <c r="G209" s="59" t="n"/>
      <c r="H209" s="60" t="n"/>
      <c r="I209" s="60" t="n"/>
      <c r="J209" s="60" t="n"/>
      <c r="K209" s="60" t="n"/>
      <c r="L209" s="60" t="n"/>
      <c r="M209" s="61">
        <f>IF(NOT((COUNTA($B209:$D209)+COUNTA($G209:$L209)+COUNTA($Q209))&gt;0),"",IF($V209="Sub",IFERROR($X209/INDEX($W$5:$W$1000,$U209-4),""),IF(ISNUMBER($G209),1,IF(N($W209)&gt;0,AVERAGEIFS($X$5:$X$1000,$U$5:$U$1000,ROW(),$V$5:$V$1000,"Sub"),$X209))))</f>
        <v/>
      </c>
      <c r="N209" s="56">
        <f>IF(OR($M209="",$V209="Sub"),"",IF($M209&gt;=1,"Completado",IF($M209&gt;0,"En curso","Pendiente")))</f>
        <v/>
      </c>
      <c r="O209" s="56">
        <f>IF(OR(NOT((COUNTA($B209:$D209)+COUNTA($G209:$L209)+COUNTA($Q209))&gt;0),$V209="Sub"),"",IF(ISNUMBER($G209),IF(AND(ISNUMBER($AN209),$G209&gt;$AN209),"Cumplida con "&amp;($G209-$AN209)&amp;IF($G209-$AN209=1," día"," días")&amp;" de retraso","Cumplida"),IF(N($M209)&gt;=1,"Cumplida",IF(NOT(ISNUMBER($AN209)),"Sin fecha límite",IF($AN209&lt;FechaRef,"Vencida hace "&amp;(FechaRef-$AN209)&amp;IF(FechaRef-$AN209=1," día"," días"),IF($AN209=FechaRef,"Vence hoy",IF($AN209-FechaRef&lt;=DiasAlerta,"Vence en "&amp;($AN209-FechaRef)&amp;IF($AN209-FechaRef=1," día"," días"),"En plazo")))))))</f>
        <v/>
      </c>
      <c r="P209" s="62" t="n"/>
      <c r="Q209" s="58" t="n"/>
      <c r="R209" s="63">
        <f>IF(NOT((COUNTA($B209:$D209)+COUNTA($G209:$L209)+COUNTA($Q209))&gt;0),"",IF((IF($C209="","Falta el nombre de la actividad"&amp;" · ","")&amp;IF(AND($V209="Sub",N($U209)=0),"Subactividad sin macroactividad arriba"&amp;" · ","")&amp;IF($AM209="","Sin fecha de inicio"&amp;" · ","")&amp;IF($AN209="","Sin fecha límite"&amp;" · ","")&amp;IF(AND(LEFT($C209,11)="[Jefatura] ",N($AL209)=0),"No se encuentra en la hoja de la jefatura (elíjala de nuevo en la lista)"&amp;" · ","")&amp;IF(OR(AND($E209&lt;&gt;"",NOT(ISNUMBER($E209))),AND($F209&lt;&gt;"",NOT(ISNUMBER($F209))),AND($G209&lt;&gt;"",NOT(ISNUMBER($G209)))),"Fecha no válida"&amp;" · ","")&amp;IF(AND(ISNUMBER($AM209),ISNUMBER($AN209),$AM209&gt;$AN209),"Inicio posterior a fecha límite"&amp;" · ","")&amp;IF(AND($V209="Macro",$H209&lt;&gt;"",OR(NOT(ISNUMBER($H209)),$H209&lt;0,$H209&gt;1)),"Peso fuera de rango"&amp;" · ","")&amp;IF(AND($V209="Sub",$H209&lt;&gt;""),"Las subactividades no llevan peso (valen igual dentro de su macroactividad)"&amp;" · ","")&amp;IF(AND(N($W209)&gt;0,COUNT($I209:$L209)&gt;0),"Con subactividades: deje vacías las semanas (se calculan solas)"&amp;" · ","")&amp;IF((COUNTIF($I209:$L209,"&gt;1")+COUNTIF($I209:$L209,"&lt;0")+COUNTA($I209:$L209)-COUNT($I209:$L209))&gt;0,"Avance fuera de rango 0-100%"&amp;" · ","")&amp;IF(OR(AND($J209&lt;&gt;"",$J209&lt;$I209),AND($K209&lt;&gt;"",$K209&lt;MAX($I209:$J209)),AND($L209&lt;&gt;"",$L209&lt;MAX($I209:$K209))),"Avance semanal decreciente"&amp;" · ","")&amp;IF(AND(ISNUMBER($AN209),$AN209&lt;FechaRef,IF($V209="Sub",N($X209),N($M209))&lt;1),"Vencida"&amp;" · ","")&amp;IF(AND(ObsObligatoria="Sí",ISNUMBER($AN209),$AN209&lt;FechaRef,IF($V209="Sub",N($X209),N($M209))&lt;1,$Q209=""),"Vencida sin observación"&amp;" · ",""))="","✔ OK","⚠ "&amp;LEFT(IF($C209="","Falta el nombre de la actividad"&amp;" · ","")&amp;IF(AND($V209="Sub",N($U209)=0),"Subactividad sin macroactividad arriba"&amp;" · ","")&amp;IF($AM209="","Sin fecha de inicio"&amp;" · ","")&amp;IF($AN209="","Sin fecha límite"&amp;" · ","")&amp;IF(AND(LEFT($C209,11)="[Jefatura] ",N($AL209)=0),"No se encuentra en la hoja de la jefatura (elíjala de nuevo en la lista)"&amp;" · ","")&amp;IF(OR(AND($E209&lt;&gt;"",NOT(ISNUMBER($E209))),AND($F209&lt;&gt;"",NOT(ISNUMBER($F209))),AND($G209&lt;&gt;"",NOT(ISNUMBER($G209)))),"Fecha no válida"&amp;" · ","")&amp;IF(AND(ISNUMBER($AM209),ISNUMBER($AN209),$AM209&gt;$AN209),"Inicio posterior a fecha límite"&amp;" · ","")&amp;IF(AND($V209="Macro",$H209&lt;&gt;"",OR(NOT(ISNUMBER($H209)),$H209&lt;0,$H209&gt;1)),"Peso fuera de rango"&amp;" · ","")&amp;IF(AND($V209="Sub",$H209&lt;&gt;""),"Las subactividades no llevan peso (valen igual dentro de su macroactividad)"&amp;" · ","")&amp;IF(AND(N($W209)&gt;0,COUNT($I209:$L209)&gt;0),"Con subactividades: deje vacías las semanas (se calculan solas)"&amp;" · ","")&amp;IF((COUNTIF($I209:$L209,"&gt;1")+COUNTIF($I209:$L209,"&lt;0")+COUNTA($I209:$L209)-COUNT($I209:$L209))&gt;0,"Avance fuera de rango 0-100%"&amp;" · ","")&amp;IF(OR(AND($J209&lt;&gt;"",$J209&lt;$I209),AND($K209&lt;&gt;"",$K209&lt;MAX($I209:$J209)),AND($L209&lt;&gt;"",$L209&lt;MAX($I209:$K209))),"Avance semanal decreciente"&amp;" · ","")&amp;IF(AND(ISNUMBER($AN209),$AN209&lt;FechaRef,IF($V209="Sub",N($X209),N($M209))&lt;1),"Vencida"&amp;" · ","")&amp;IF(AND(ObsObligatoria="Sí",ISNUMBER($AN209),$AN209&lt;FechaRef,IF($V209="Sub",N($X209),N($M209))&lt;1,$Q209=""),"Vencida sin observación"&amp;" · ",""),LEN(IF($C209="","Falta el nombre de la actividad"&amp;" · ","")&amp;IF(AND($V209="Sub",N($U209)=0),"Subactividad sin macroactividad arriba"&amp;" · ","")&amp;IF($AM209="","Sin fecha de inicio"&amp;" · ","")&amp;IF($AN209="","Sin fecha límite"&amp;" · ","")&amp;IF(AND(LEFT($C209,11)="[Jefatura] ",N($AL209)=0),"No se encuentra en la hoja de la jefatura (elíjala de nuevo en la lista)"&amp;" · ","")&amp;IF(OR(AND($E209&lt;&gt;"",NOT(ISNUMBER($E209))),AND($F209&lt;&gt;"",NOT(ISNUMBER($F209))),AND($G209&lt;&gt;"",NOT(ISNUMBER($G209)))),"Fecha no válida"&amp;" · ","")&amp;IF(AND(ISNUMBER($AM209),ISNUMBER($AN209),$AM209&gt;$AN209),"Inicio posterior a fecha límite"&amp;" · ","")&amp;IF(AND($V209="Macro",$H209&lt;&gt;"",OR(NOT(ISNUMBER($H209)),$H209&lt;0,$H209&gt;1)),"Peso fuera de rango"&amp;" · ","")&amp;IF(AND($V209="Sub",$H209&lt;&gt;""),"Las subactividades no llevan peso (valen igual dentro de su macroactividad)"&amp;" · ","")&amp;IF(AND(N($W209)&gt;0,COUNT($I209:$L209)&gt;0),"Con subactividades: deje vacías las semanas (se calculan solas)"&amp;" · ","")&amp;IF((COUNTIF($I209:$L209,"&gt;1")+COUNTIF($I209:$L209,"&lt;0")+COUNTA($I209:$L209)-COUNT($I209:$L209))&gt;0,"Avance fuera de rango 0-100%"&amp;" · ","")&amp;IF(OR(AND($J209&lt;&gt;"",$J209&lt;$I209),AND($K209&lt;&gt;"",$K209&lt;MAX($I209:$J209)),AND($L209&lt;&gt;"",$L209&lt;MAX($I209:$K209))),"Avance semanal decreciente"&amp;" · ","")&amp;IF(AND(ISNUMBER($AN209),$AN209&lt;FechaRef,IF($V209="Sub",N($X209),N($M209))&lt;1),"Vencida"&amp;" · ","")&amp;IF(AND(ObsObligatoria="Sí",ISNUMBER($AN209),$AN209&lt;FechaRef,IF($V209="Sub",N($X209),N($M209))&lt;1,$Q209=""),"Vencida sin observación"&amp;" · ",""))-3)))</f>
        <v/>
      </c>
      <c r="S209" s="64">
        <f>IF(NOT((COUNTA($B209:$D209)+COUNTA($G209:$L209)+COUNTA($Q209))&gt;0),"",IF(AND($V209="Sub",N($U209)&gt;0),IF(ISNUMBER(INDEX($AM$5:$AM$1000,$U209-4)),DATE(YEAR(INDEX($AM$5:$AM$1000,$U209-4)),MONTH(INDEX($AM$5:$AM$1000,$U209-4)),1),IF(ISNUMBER(INDEX($AN$5:$AN$1000,$U209-4)),DATE(YEAR(INDEX($AN$5:$AN$1000,$U209-4)),MONTH(INDEX($AN$5:$AN$1000,$U209-4)),1),MesCiclo)),IF(ISNUMBER($AM209),DATE(YEAR($AM209),MONTH($AM209),1),IF(ISNUMBER($AN209),DATE(YEAR($AN209),MONTH($AN209),1),MesCiclo))))</f>
        <v/>
      </c>
      <c r="T209" s="62">
        <f>IF(OR($S209="",$S209&lt;&gt;MesCiclo,$V209&lt;&gt;"Macro"),"",COUNTIFS($S$5:$S209,MesCiclo,$V$5:$V209,"Macro"))</f>
        <v/>
      </c>
      <c r="U209" s="62">
        <f>IF($V209="","",IF($V209="Macro",ROW(),IFERROR(LOOKUP(2,1/($V$5:$V209="Macro"),ROW($V$5:$V209)),0)))</f>
        <v/>
      </c>
      <c r="V209" s="62">
        <f>IF(NOT((COUNTA($B209:$D209)+COUNTA($G209:$L209)+COUNTA($Q209))&gt;0),"",IF($B209="Subactividad","Sub","Macro"))</f>
        <v/>
      </c>
      <c r="W209" s="62">
        <f>IF($V209="Macro",COUNTIFS($U$5:$U$1000,ROW(),$V$5:$V$1000,"Sub"),"")</f>
        <v/>
      </c>
      <c r="X209" s="62">
        <f>IF($V209="","",IF(ISNUMBER($G209),1,IFERROR(LOOKUP(2,1/($I209:$L209&lt;&gt;""),$I209:$L209),0)))</f>
        <v/>
      </c>
      <c r="Y209" s="62">
        <f>IF($V209="","",IF(AND(ISNUMBER($G209),$G209&lt;=IF($S209=MesCiclo,InicioCiclo,$S209+MOD(2-WEEKDAY($S209),7))+6),1,IF(ISNUMBER($I209),$I209,0)))</f>
        <v/>
      </c>
      <c r="Z209" s="62">
        <f>IF($V209="","",IF(AND(ISNUMBER($G209),$G209&lt;=IF($S209=MesCiclo,InicioCiclo,$S209+MOD(2-WEEKDAY($S209),7))+13),1,IF(ISNUMBER($J209),$J209,$Y209)))</f>
        <v/>
      </c>
      <c r="AA209" s="62">
        <f>IF($V209="","",IF(AND(ISNUMBER($G209),$G209&lt;=IF($S209=MesCiclo,InicioCiclo,$S209+MOD(2-WEEKDAY($S209),7))+20),1,IF(ISNUMBER($K209),$K209,$Z209)))</f>
        <v/>
      </c>
      <c r="AB209" s="62">
        <f>IF($V209="","",IF(AND(ISNUMBER($G209),$G209&lt;=IF($S209=MesCiclo,InicioCiclo,$S209+MOD(2-WEEKDAY($S209),7))+27),1,IF(ISNUMBER($L209),$L209,$AA209)))</f>
        <v/>
      </c>
      <c r="AC209" s="62">
        <f>IF($V209="","",IF(AND(ISNUMBER($G209),$G209&lt;=IF($S209=MesCiclo,InicioCiclo,$S209+MOD(2-WEEKDAY($S209),7))+6),1,IF(N($W209)&gt;0,AVERAGEIFS($Y$5:$Y$1000,$U$5:$U$1000,ROW(),$V$5:$V$1000,"Sub"),$Y209)))</f>
        <v/>
      </c>
      <c r="AD209" s="62">
        <f>IF($V209="","",IF(AND(ISNUMBER($G209),$G209&lt;=IF($S209=MesCiclo,InicioCiclo,$S209+MOD(2-WEEKDAY($S209),7))+13),1,IF(N($W209)&gt;0,AVERAGEIFS($Z$5:$Z$1000,$U$5:$U$1000,ROW(),$V$5:$V$1000,"Sub"),$Z209)))</f>
        <v/>
      </c>
      <c r="AE209" s="62">
        <f>IF($V209="","",IF(AND(ISNUMBER($G209),$G209&lt;=IF($S209=MesCiclo,InicioCiclo,$S209+MOD(2-WEEKDAY($S209),7))+20),1,IF(N($W209)&gt;0,AVERAGEIFS($AA$5:$AA$1000,$U$5:$U$1000,ROW(),$V$5:$V$1000,"Sub"),$AA209)))</f>
        <v/>
      </c>
      <c r="AF209" s="62">
        <f>IF($V209="","",IF(AND(ISNUMBER($G209),$G209&lt;=IF($S209=MesCiclo,InicioCiclo,$S209+MOD(2-WEEKDAY($S209),7))+27),1,IF(N($W209)&gt;0,AVERAGEIFS($AB$5:$AB$1000,$U$5:$U$1000,ROW(),$V$5:$V$1000,"Sub"),$AB209)))</f>
        <v/>
      </c>
      <c r="AG209" s="62">
        <f>IF($V209&lt;&gt;"Macro","",IF(COUNTIFS($S$5:$S$1000,$S209,$V$5:$V$1000,"Macro",$H$5:$H$1000,"&gt;0")=0,1/COUNTIFS($S$5:$S$1000,$S209,$V$5:$V$1000,"Macro"),IF(AND(ISNUMBER($H209),N($H209)&gt;0),$H209,SUMIFS($H$5:$H$1000,$S$5:$S$1000,$S209,$V$5:$V$1000,"Macro")/COUNTIFS($S$5:$S$1000,$S209,$V$5:$V$1000,"Macro",$H$5:$H$1000,"&gt;0"))/(COUNTIFS($S$5:$S$1000,$S209,$V$5:$V$1000,"Macro")*SUMIFS($H$5:$H$1000,$S$5:$S$1000,$S209,$V$5:$V$1000,"Macro")/COUNTIFS($S$5:$S$1000,$S209,$V$5:$V$1000,"Macro",$H$5:$H$1000,"&gt;0"))))</f>
        <v/>
      </c>
      <c r="AH209" s="62" t="n"/>
      <c r="AI209" s="62" t="n"/>
      <c r="AJ209" s="62" t="n"/>
      <c r="AK209" s="62" t="n"/>
      <c r="AL209" s="62">
        <f>IF(LEFT($C209,11)="[Jefatura] ",IFERROR(MATCH("Asistente Técnico de Riesgo|"&amp;MID($C209,12,500),rDname_ADM,0),0),"")</f>
        <v/>
      </c>
      <c r="AM209" s="62">
        <f>IF(N($AL209)&gt;0,INDEX(rIni_ADM,$AL209),IF(ISNUMBER($E209),$E209,""))</f>
        <v/>
      </c>
      <c r="AN209" s="62">
        <f>IF(N($AL209)&gt;0,INDEX(rLim_ADM,$AL209),IF(ISNUMBER($F209),$F209,""))</f>
        <v/>
      </c>
    </row>
    <row r="210">
      <c r="A210" s="56">
        <f>IF(NOT((COUNTA($B210:$D210)+COUNTA($G210:$L210)+COUNTA($Q210))&gt;0),"",IF($V210="Macro",COUNTIFS($V$5:$V210,"Macro",$S$5:$S210,$S210),IF(N($U210)=0,"?",COUNTIFS(INDEX($V$5:$V$1000,1):INDEX($V$5:$V$1000,$U210-4),"Macro",INDEX($S$5:$S$1000,1):INDEX($S$5:$S$1000,$U210-4),INDEX($S$5:$S$1000,$U210-4))&amp;"."&amp;COUNTIFS($U$5:$U210,$U210,$V$5:$V210,"Sub"))))</f>
        <v/>
      </c>
      <c r="B210" s="57" t="n"/>
      <c r="C210" s="58" t="n"/>
      <c r="D210" s="58" t="n"/>
      <c r="E210" s="59">
        <f>IF(N($AL210)&gt;0,INDEX(rIni_ADM,$AL210),"")</f>
        <v/>
      </c>
      <c r="F210" s="59">
        <f>IF(N($AL210)&gt;0,INDEX(rLim_ADM,$AL210),"")</f>
        <v/>
      </c>
      <c r="G210" s="59" t="n"/>
      <c r="H210" s="60" t="n"/>
      <c r="I210" s="60" t="n"/>
      <c r="J210" s="60" t="n"/>
      <c r="K210" s="60" t="n"/>
      <c r="L210" s="60" t="n"/>
      <c r="M210" s="61">
        <f>IF(NOT((COUNTA($B210:$D210)+COUNTA($G210:$L210)+COUNTA($Q210))&gt;0),"",IF($V210="Sub",IFERROR($X210/INDEX($W$5:$W$1000,$U210-4),""),IF(ISNUMBER($G210),1,IF(N($W210)&gt;0,AVERAGEIFS($X$5:$X$1000,$U$5:$U$1000,ROW(),$V$5:$V$1000,"Sub"),$X210))))</f>
        <v/>
      </c>
      <c r="N210" s="56">
        <f>IF(OR($M210="",$V210="Sub"),"",IF($M210&gt;=1,"Completado",IF($M210&gt;0,"En curso","Pendiente")))</f>
        <v/>
      </c>
      <c r="O210" s="56">
        <f>IF(OR(NOT((COUNTA($B210:$D210)+COUNTA($G210:$L210)+COUNTA($Q210))&gt;0),$V210="Sub"),"",IF(ISNUMBER($G210),IF(AND(ISNUMBER($AN210),$G210&gt;$AN210),"Cumplida con "&amp;($G210-$AN210)&amp;IF($G210-$AN210=1," día"," días")&amp;" de retraso","Cumplida"),IF(N($M210)&gt;=1,"Cumplida",IF(NOT(ISNUMBER($AN210)),"Sin fecha límite",IF($AN210&lt;FechaRef,"Vencida hace "&amp;(FechaRef-$AN210)&amp;IF(FechaRef-$AN210=1," día"," días"),IF($AN210=FechaRef,"Vence hoy",IF($AN210-FechaRef&lt;=DiasAlerta,"Vence en "&amp;($AN210-FechaRef)&amp;IF($AN210-FechaRef=1," día"," días"),"En plazo")))))))</f>
        <v/>
      </c>
      <c r="P210" s="62" t="n"/>
      <c r="Q210" s="58" t="n"/>
      <c r="R210" s="63">
        <f>IF(NOT((COUNTA($B210:$D210)+COUNTA($G210:$L210)+COUNTA($Q210))&gt;0),"",IF((IF($C210="","Falta el nombre de la actividad"&amp;" · ","")&amp;IF(AND($V210="Sub",N($U210)=0),"Subactividad sin macroactividad arriba"&amp;" · ","")&amp;IF($AM210="","Sin fecha de inicio"&amp;" · ","")&amp;IF($AN210="","Sin fecha límite"&amp;" · ","")&amp;IF(AND(LEFT($C210,11)="[Jefatura] ",N($AL210)=0),"No se encuentra en la hoja de la jefatura (elíjala de nuevo en la lista)"&amp;" · ","")&amp;IF(OR(AND($E210&lt;&gt;"",NOT(ISNUMBER($E210))),AND($F210&lt;&gt;"",NOT(ISNUMBER($F210))),AND($G210&lt;&gt;"",NOT(ISNUMBER($G210)))),"Fecha no válida"&amp;" · ","")&amp;IF(AND(ISNUMBER($AM210),ISNUMBER($AN210),$AM210&gt;$AN210),"Inicio posterior a fecha límite"&amp;" · ","")&amp;IF(AND($V210="Macro",$H210&lt;&gt;"",OR(NOT(ISNUMBER($H210)),$H210&lt;0,$H210&gt;1)),"Peso fuera de rango"&amp;" · ","")&amp;IF(AND($V210="Sub",$H210&lt;&gt;""),"Las subactividades no llevan peso (valen igual dentro de su macroactividad)"&amp;" · ","")&amp;IF(AND(N($W210)&gt;0,COUNT($I210:$L210)&gt;0),"Con subactividades: deje vacías las semanas (se calculan solas)"&amp;" · ","")&amp;IF((COUNTIF($I210:$L210,"&gt;1")+COUNTIF($I210:$L210,"&lt;0")+COUNTA($I210:$L210)-COUNT($I210:$L210))&gt;0,"Avance fuera de rango 0-100%"&amp;" · ","")&amp;IF(OR(AND($J210&lt;&gt;"",$J210&lt;$I210),AND($K210&lt;&gt;"",$K210&lt;MAX($I210:$J210)),AND($L210&lt;&gt;"",$L210&lt;MAX($I210:$K210))),"Avance semanal decreciente"&amp;" · ","")&amp;IF(AND(ISNUMBER($AN210),$AN210&lt;FechaRef,IF($V210="Sub",N($X210),N($M210))&lt;1),"Vencida"&amp;" · ","")&amp;IF(AND(ObsObligatoria="Sí",ISNUMBER($AN210),$AN210&lt;FechaRef,IF($V210="Sub",N($X210),N($M210))&lt;1,$Q210=""),"Vencida sin observación"&amp;" · ",""))="","✔ OK","⚠ "&amp;LEFT(IF($C210="","Falta el nombre de la actividad"&amp;" · ","")&amp;IF(AND($V210="Sub",N($U210)=0),"Subactividad sin macroactividad arriba"&amp;" · ","")&amp;IF($AM210="","Sin fecha de inicio"&amp;" · ","")&amp;IF($AN210="","Sin fecha límite"&amp;" · ","")&amp;IF(AND(LEFT($C210,11)="[Jefatura] ",N($AL210)=0),"No se encuentra en la hoja de la jefatura (elíjala de nuevo en la lista)"&amp;" · ","")&amp;IF(OR(AND($E210&lt;&gt;"",NOT(ISNUMBER($E210))),AND($F210&lt;&gt;"",NOT(ISNUMBER($F210))),AND($G210&lt;&gt;"",NOT(ISNUMBER($G210)))),"Fecha no válida"&amp;" · ","")&amp;IF(AND(ISNUMBER($AM210),ISNUMBER($AN210),$AM210&gt;$AN210),"Inicio posterior a fecha límite"&amp;" · ","")&amp;IF(AND($V210="Macro",$H210&lt;&gt;"",OR(NOT(ISNUMBER($H210)),$H210&lt;0,$H210&gt;1)),"Peso fuera de rango"&amp;" · ","")&amp;IF(AND($V210="Sub",$H210&lt;&gt;""),"Las subactividades no llevan peso (valen igual dentro de su macroactividad)"&amp;" · ","")&amp;IF(AND(N($W210)&gt;0,COUNT($I210:$L210)&gt;0),"Con subactividades: deje vacías las semanas (se calculan solas)"&amp;" · ","")&amp;IF((COUNTIF($I210:$L210,"&gt;1")+COUNTIF($I210:$L210,"&lt;0")+COUNTA($I210:$L210)-COUNT($I210:$L210))&gt;0,"Avance fuera de rango 0-100%"&amp;" · ","")&amp;IF(OR(AND($J210&lt;&gt;"",$J210&lt;$I210),AND($K210&lt;&gt;"",$K210&lt;MAX($I210:$J210)),AND($L210&lt;&gt;"",$L210&lt;MAX($I210:$K210))),"Avance semanal decreciente"&amp;" · ","")&amp;IF(AND(ISNUMBER($AN210),$AN210&lt;FechaRef,IF($V210="Sub",N($X210),N($M210))&lt;1),"Vencida"&amp;" · ","")&amp;IF(AND(ObsObligatoria="Sí",ISNUMBER($AN210),$AN210&lt;FechaRef,IF($V210="Sub",N($X210),N($M210))&lt;1,$Q210=""),"Vencida sin observación"&amp;" · ",""),LEN(IF($C210="","Falta el nombre de la actividad"&amp;" · ","")&amp;IF(AND($V210="Sub",N($U210)=0),"Subactividad sin macroactividad arriba"&amp;" · ","")&amp;IF($AM210="","Sin fecha de inicio"&amp;" · ","")&amp;IF($AN210="","Sin fecha límite"&amp;" · ","")&amp;IF(AND(LEFT($C210,11)="[Jefatura] ",N($AL210)=0),"No se encuentra en la hoja de la jefatura (elíjala de nuevo en la lista)"&amp;" · ","")&amp;IF(OR(AND($E210&lt;&gt;"",NOT(ISNUMBER($E210))),AND($F210&lt;&gt;"",NOT(ISNUMBER($F210))),AND($G210&lt;&gt;"",NOT(ISNUMBER($G210)))),"Fecha no válida"&amp;" · ","")&amp;IF(AND(ISNUMBER($AM210),ISNUMBER($AN210),$AM210&gt;$AN210),"Inicio posterior a fecha límite"&amp;" · ","")&amp;IF(AND($V210="Macro",$H210&lt;&gt;"",OR(NOT(ISNUMBER($H210)),$H210&lt;0,$H210&gt;1)),"Peso fuera de rango"&amp;" · ","")&amp;IF(AND($V210="Sub",$H210&lt;&gt;""),"Las subactividades no llevan peso (valen igual dentro de su macroactividad)"&amp;" · ","")&amp;IF(AND(N($W210)&gt;0,COUNT($I210:$L210)&gt;0),"Con subactividades: deje vacías las semanas (se calculan solas)"&amp;" · ","")&amp;IF((COUNTIF($I210:$L210,"&gt;1")+COUNTIF($I210:$L210,"&lt;0")+COUNTA($I210:$L210)-COUNT($I210:$L210))&gt;0,"Avance fuera de rango 0-100%"&amp;" · ","")&amp;IF(OR(AND($J210&lt;&gt;"",$J210&lt;$I210),AND($K210&lt;&gt;"",$K210&lt;MAX($I210:$J210)),AND($L210&lt;&gt;"",$L210&lt;MAX($I210:$K210))),"Avance semanal decreciente"&amp;" · ","")&amp;IF(AND(ISNUMBER($AN210),$AN210&lt;FechaRef,IF($V210="Sub",N($X210),N($M210))&lt;1),"Vencida"&amp;" · ","")&amp;IF(AND(ObsObligatoria="Sí",ISNUMBER($AN210),$AN210&lt;FechaRef,IF($V210="Sub",N($X210),N($M210))&lt;1,$Q210=""),"Vencida sin observación"&amp;" · ",""))-3)))</f>
        <v/>
      </c>
      <c r="S210" s="64">
        <f>IF(NOT((COUNTA($B210:$D210)+COUNTA($G210:$L210)+COUNTA($Q210))&gt;0),"",IF(AND($V210="Sub",N($U210)&gt;0),IF(ISNUMBER(INDEX($AM$5:$AM$1000,$U210-4)),DATE(YEAR(INDEX($AM$5:$AM$1000,$U210-4)),MONTH(INDEX($AM$5:$AM$1000,$U210-4)),1),IF(ISNUMBER(INDEX($AN$5:$AN$1000,$U210-4)),DATE(YEAR(INDEX($AN$5:$AN$1000,$U210-4)),MONTH(INDEX($AN$5:$AN$1000,$U210-4)),1),MesCiclo)),IF(ISNUMBER($AM210),DATE(YEAR($AM210),MONTH($AM210),1),IF(ISNUMBER($AN210),DATE(YEAR($AN210),MONTH($AN210),1),MesCiclo))))</f>
        <v/>
      </c>
      <c r="T210" s="62">
        <f>IF(OR($S210="",$S210&lt;&gt;MesCiclo,$V210&lt;&gt;"Macro"),"",COUNTIFS($S$5:$S210,MesCiclo,$V$5:$V210,"Macro"))</f>
        <v/>
      </c>
      <c r="U210" s="62">
        <f>IF($V210="","",IF($V210="Macro",ROW(),IFERROR(LOOKUP(2,1/($V$5:$V210="Macro"),ROW($V$5:$V210)),0)))</f>
        <v/>
      </c>
      <c r="V210" s="62">
        <f>IF(NOT((COUNTA($B210:$D210)+COUNTA($G210:$L210)+COUNTA($Q210))&gt;0),"",IF($B210="Subactividad","Sub","Macro"))</f>
        <v/>
      </c>
      <c r="W210" s="62">
        <f>IF($V210="Macro",COUNTIFS($U$5:$U$1000,ROW(),$V$5:$V$1000,"Sub"),"")</f>
        <v/>
      </c>
      <c r="X210" s="62">
        <f>IF($V210="","",IF(ISNUMBER($G210),1,IFERROR(LOOKUP(2,1/($I210:$L210&lt;&gt;""),$I210:$L210),0)))</f>
        <v/>
      </c>
      <c r="Y210" s="62">
        <f>IF($V210="","",IF(AND(ISNUMBER($G210),$G210&lt;=IF($S210=MesCiclo,InicioCiclo,$S210+MOD(2-WEEKDAY($S210),7))+6),1,IF(ISNUMBER($I210),$I210,0)))</f>
        <v/>
      </c>
      <c r="Z210" s="62">
        <f>IF($V210="","",IF(AND(ISNUMBER($G210),$G210&lt;=IF($S210=MesCiclo,InicioCiclo,$S210+MOD(2-WEEKDAY($S210),7))+13),1,IF(ISNUMBER($J210),$J210,$Y210)))</f>
        <v/>
      </c>
      <c r="AA210" s="62">
        <f>IF($V210="","",IF(AND(ISNUMBER($G210),$G210&lt;=IF($S210=MesCiclo,InicioCiclo,$S210+MOD(2-WEEKDAY($S210),7))+20),1,IF(ISNUMBER($K210),$K210,$Z210)))</f>
        <v/>
      </c>
      <c r="AB210" s="62">
        <f>IF($V210="","",IF(AND(ISNUMBER($G210),$G210&lt;=IF($S210=MesCiclo,InicioCiclo,$S210+MOD(2-WEEKDAY($S210),7))+27),1,IF(ISNUMBER($L210),$L210,$AA210)))</f>
        <v/>
      </c>
      <c r="AC210" s="62">
        <f>IF($V210="","",IF(AND(ISNUMBER($G210),$G210&lt;=IF($S210=MesCiclo,InicioCiclo,$S210+MOD(2-WEEKDAY($S210),7))+6),1,IF(N($W210)&gt;0,AVERAGEIFS($Y$5:$Y$1000,$U$5:$U$1000,ROW(),$V$5:$V$1000,"Sub"),$Y210)))</f>
        <v/>
      </c>
      <c r="AD210" s="62">
        <f>IF($V210="","",IF(AND(ISNUMBER($G210),$G210&lt;=IF($S210=MesCiclo,InicioCiclo,$S210+MOD(2-WEEKDAY($S210),7))+13),1,IF(N($W210)&gt;0,AVERAGEIFS($Z$5:$Z$1000,$U$5:$U$1000,ROW(),$V$5:$V$1000,"Sub"),$Z210)))</f>
        <v/>
      </c>
      <c r="AE210" s="62">
        <f>IF($V210="","",IF(AND(ISNUMBER($G210),$G210&lt;=IF($S210=MesCiclo,InicioCiclo,$S210+MOD(2-WEEKDAY($S210),7))+20),1,IF(N($W210)&gt;0,AVERAGEIFS($AA$5:$AA$1000,$U$5:$U$1000,ROW(),$V$5:$V$1000,"Sub"),$AA210)))</f>
        <v/>
      </c>
      <c r="AF210" s="62">
        <f>IF($V210="","",IF(AND(ISNUMBER($G210),$G210&lt;=IF($S210=MesCiclo,InicioCiclo,$S210+MOD(2-WEEKDAY($S210),7))+27),1,IF(N($W210)&gt;0,AVERAGEIFS($AB$5:$AB$1000,$U$5:$U$1000,ROW(),$V$5:$V$1000,"Sub"),$AB210)))</f>
        <v/>
      </c>
      <c r="AG210" s="62">
        <f>IF($V210&lt;&gt;"Macro","",IF(COUNTIFS($S$5:$S$1000,$S210,$V$5:$V$1000,"Macro",$H$5:$H$1000,"&gt;0")=0,1/COUNTIFS($S$5:$S$1000,$S210,$V$5:$V$1000,"Macro"),IF(AND(ISNUMBER($H210),N($H210)&gt;0),$H210,SUMIFS($H$5:$H$1000,$S$5:$S$1000,$S210,$V$5:$V$1000,"Macro")/COUNTIFS($S$5:$S$1000,$S210,$V$5:$V$1000,"Macro",$H$5:$H$1000,"&gt;0"))/(COUNTIFS($S$5:$S$1000,$S210,$V$5:$V$1000,"Macro")*SUMIFS($H$5:$H$1000,$S$5:$S$1000,$S210,$V$5:$V$1000,"Macro")/COUNTIFS($S$5:$S$1000,$S210,$V$5:$V$1000,"Macro",$H$5:$H$1000,"&gt;0"))))</f>
        <v/>
      </c>
      <c r="AH210" s="62" t="n"/>
      <c r="AI210" s="62" t="n"/>
      <c r="AJ210" s="62" t="n"/>
      <c r="AK210" s="62" t="n"/>
      <c r="AL210" s="62">
        <f>IF(LEFT($C210,11)="[Jefatura] ",IFERROR(MATCH("Asistente Técnico de Riesgo|"&amp;MID($C210,12,500),rDname_ADM,0),0),"")</f>
        <v/>
      </c>
      <c r="AM210" s="62">
        <f>IF(N($AL210)&gt;0,INDEX(rIni_ADM,$AL210),IF(ISNUMBER($E210),$E210,""))</f>
        <v/>
      </c>
      <c r="AN210" s="62">
        <f>IF(N($AL210)&gt;0,INDEX(rLim_ADM,$AL210),IF(ISNUMBER($F210),$F210,""))</f>
        <v/>
      </c>
    </row>
    <row r="211">
      <c r="A211" s="56">
        <f>IF(NOT((COUNTA($B211:$D211)+COUNTA($G211:$L211)+COUNTA($Q211))&gt;0),"",IF($V211="Macro",COUNTIFS($V$5:$V211,"Macro",$S$5:$S211,$S211),IF(N($U211)=0,"?",COUNTIFS(INDEX($V$5:$V$1000,1):INDEX($V$5:$V$1000,$U211-4),"Macro",INDEX($S$5:$S$1000,1):INDEX($S$5:$S$1000,$U211-4),INDEX($S$5:$S$1000,$U211-4))&amp;"."&amp;COUNTIFS($U$5:$U211,$U211,$V$5:$V211,"Sub"))))</f>
        <v/>
      </c>
      <c r="B211" s="57" t="n"/>
      <c r="C211" s="58" t="n"/>
      <c r="D211" s="58" t="n"/>
      <c r="E211" s="59">
        <f>IF(N($AL211)&gt;0,INDEX(rIni_ADM,$AL211),"")</f>
        <v/>
      </c>
      <c r="F211" s="59">
        <f>IF(N($AL211)&gt;0,INDEX(rLim_ADM,$AL211),"")</f>
        <v/>
      </c>
      <c r="G211" s="59" t="n"/>
      <c r="H211" s="60" t="n"/>
      <c r="I211" s="60" t="n"/>
      <c r="J211" s="60" t="n"/>
      <c r="K211" s="60" t="n"/>
      <c r="L211" s="60" t="n"/>
      <c r="M211" s="61">
        <f>IF(NOT((COUNTA($B211:$D211)+COUNTA($G211:$L211)+COUNTA($Q211))&gt;0),"",IF($V211="Sub",IFERROR($X211/INDEX($W$5:$W$1000,$U211-4),""),IF(ISNUMBER($G211),1,IF(N($W211)&gt;0,AVERAGEIFS($X$5:$X$1000,$U$5:$U$1000,ROW(),$V$5:$V$1000,"Sub"),$X211))))</f>
        <v/>
      </c>
      <c r="N211" s="56">
        <f>IF(OR($M211="",$V211="Sub"),"",IF($M211&gt;=1,"Completado",IF($M211&gt;0,"En curso","Pendiente")))</f>
        <v/>
      </c>
      <c r="O211" s="56">
        <f>IF(OR(NOT((COUNTA($B211:$D211)+COUNTA($G211:$L211)+COUNTA($Q211))&gt;0),$V211="Sub"),"",IF(ISNUMBER($G211),IF(AND(ISNUMBER($AN211),$G211&gt;$AN211),"Cumplida con "&amp;($G211-$AN211)&amp;IF($G211-$AN211=1," día"," días")&amp;" de retraso","Cumplida"),IF(N($M211)&gt;=1,"Cumplida",IF(NOT(ISNUMBER($AN211)),"Sin fecha límite",IF($AN211&lt;FechaRef,"Vencida hace "&amp;(FechaRef-$AN211)&amp;IF(FechaRef-$AN211=1," día"," días"),IF($AN211=FechaRef,"Vence hoy",IF($AN211-FechaRef&lt;=DiasAlerta,"Vence en "&amp;($AN211-FechaRef)&amp;IF($AN211-FechaRef=1," día"," días"),"En plazo")))))))</f>
        <v/>
      </c>
      <c r="P211" s="62" t="n"/>
      <c r="Q211" s="58" t="n"/>
      <c r="R211" s="63">
        <f>IF(NOT((COUNTA($B211:$D211)+COUNTA($G211:$L211)+COUNTA($Q211))&gt;0),"",IF((IF($C211="","Falta el nombre de la actividad"&amp;" · ","")&amp;IF(AND($V211="Sub",N($U211)=0),"Subactividad sin macroactividad arriba"&amp;" · ","")&amp;IF($AM211="","Sin fecha de inicio"&amp;" · ","")&amp;IF($AN211="","Sin fecha límite"&amp;" · ","")&amp;IF(AND(LEFT($C211,11)="[Jefatura] ",N($AL211)=0),"No se encuentra en la hoja de la jefatura (elíjala de nuevo en la lista)"&amp;" · ","")&amp;IF(OR(AND($E211&lt;&gt;"",NOT(ISNUMBER($E211))),AND($F211&lt;&gt;"",NOT(ISNUMBER($F211))),AND($G211&lt;&gt;"",NOT(ISNUMBER($G211)))),"Fecha no válida"&amp;" · ","")&amp;IF(AND(ISNUMBER($AM211),ISNUMBER($AN211),$AM211&gt;$AN211),"Inicio posterior a fecha límite"&amp;" · ","")&amp;IF(AND($V211="Macro",$H211&lt;&gt;"",OR(NOT(ISNUMBER($H211)),$H211&lt;0,$H211&gt;1)),"Peso fuera de rango"&amp;" · ","")&amp;IF(AND($V211="Sub",$H211&lt;&gt;""),"Las subactividades no llevan peso (valen igual dentro de su macroactividad)"&amp;" · ","")&amp;IF(AND(N($W211)&gt;0,COUNT($I211:$L211)&gt;0),"Con subactividades: deje vacías las semanas (se calculan solas)"&amp;" · ","")&amp;IF((COUNTIF($I211:$L211,"&gt;1")+COUNTIF($I211:$L211,"&lt;0")+COUNTA($I211:$L211)-COUNT($I211:$L211))&gt;0,"Avance fuera de rango 0-100%"&amp;" · ","")&amp;IF(OR(AND($J211&lt;&gt;"",$J211&lt;$I211),AND($K211&lt;&gt;"",$K211&lt;MAX($I211:$J211)),AND($L211&lt;&gt;"",$L211&lt;MAX($I211:$K211))),"Avance semanal decreciente"&amp;" · ","")&amp;IF(AND(ISNUMBER($AN211),$AN211&lt;FechaRef,IF($V211="Sub",N($X211),N($M211))&lt;1),"Vencida"&amp;" · ","")&amp;IF(AND(ObsObligatoria="Sí",ISNUMBER($AN211),$AN211&lt;FechaRef,IF($V211="Sub",N($X211),N($M211))&lt;1,$Q211=""),"Vencida sin observación"&amp;" · ",""))="","✔ OK","⚠ "&amp;LEFT(IF($C211="","Falta el nombre de la actividad"&amp;" · ","")&amp;IF(AND($V211="Sub",N($U211)=0),"Subactividad sin macroactividad arriba"&amp;" · ","")&amp;IF($AM211="","Sin fecha de inicio"&amp;" · ","")&amp;IF($AN211="","Sin fecha límite"&amp;" · ","")&amp;IF(AND(LEFT($C211,11)="[Jefatura] ",N($AL211)=0),"No se encuentra en la hoja de la jefatura (elíjala de nuevo en la lista)"&amp;" · ","")&amp;IF(OR(AND($E211&lt;&gt;"",NOT(ISNUMBER($E211))),AND($F211&lt;&gt;"",NOT(ISNUMBER($F211))),AND($G211&lt;&gt;"",NOT(ISNUMBER($G211)))),"Fecha no válida"&amp;" · ","")&amp;IF(AND(ISNUMBER($AM211),ISNUMBER($AN211),$AM211&gt;$AN211),"Inicio posterior a fecha límite"&amp;" · ","")&amp;IF(AND($V211="Macro",$H211&lt;&gt;"",OR(NOT(ISNUMBER($H211)),$H211&lt;0,$H211&gt;1)),"Peso fuera de rango"&amp;" · ","")&amp;IF(AND($V211="Sub",$H211&lt;&gt;""),"Las subactividades no llevan peso (valen igual dentro de su macroactividad)"&amp;" · ","")&amp;IF(AND(N($W211)&gt;0,COUNT($I211:$L211)&gt;0),"Con subactividades: deje vacías las semanas (se calculan solas)"&amp;" · ","")&amp;IF((COUNTIF($I211:$L211,"&gt;1")+COUNTIF($I211:$L211,"&lt;0")+COUNTA($I211:$L211)-COUNT($I211:$L211))&gt;0,"Avance fuera de rango 0-100%"&amp;" · ","")&amp;IF(OR(AND($J211&lt;&gt;"",$J211&lt;$I211),AND($K211&lt;&gt;"",$K211&lt;MAX($I211:$J211)),AND($L211&lt;&gt;"",$L211&lt;MAX($I211:$K211))),"Avance semanal decreciente"&amp;" · ","")&amp;IF(AND(ISNUMBER($AN211),$AN211&lt;FechaRef,IF($V211="Sub",N($X211),N($M211))&lt;1),"Vencida"&amp;" · ","")&amp;IF(AND(ObsObligatoria="Sí",ISNUMBER($AN211),$AN211&lt;FechaRef,IF($V211="Sub",N($X211),N($M211))&lt;1,$Q211=""),"Vencida sin observación"&amp;" · ",""),LEN(IF($C211="","Falta el nombre de la actividad"&amp;" · ","")&amp;IF(AND($V211="Sub",N($U211)=0),"Subactividad sin macroactividad arriba"&amp;" · ","")&amp;IF($AM211="","Sin fecha de inicio"&amp;" · ","")&amp;IF($AN211="","Sin fecha límite"&amp;" · ","")&amp;IF(AND(LEFT($C211,11)="[Jefatura] ",N($AL211)=0),"No se encuentra en la hoja de la jefatura (elíjala de nuevo en la lista)"&amp;" · ","")&amp;IF(OR(AND($E211&lt;&gt;"",NOT(ISNUMBER($E211))),AND($F211&lt;&gt;"",NOT(ISNUMBER($F211))),AND($G211&lt;&gt;"",NOT(ISNUMBER($G211)))),"Fecha no válida"&amp;" · ","")&amp;IF(AND(ISNUMBER($AM211),ISNUMBER($AN211),$AM211&gt;$AN211),"Inicio posterior a fecha límite"&amp;" · ","")&amp;IF(AND($V211="Macro",$H211&lt;&gt;"",OR(NOT(ISNUMBER($H211)),$H211&lt;0,$H211&gt;1)),"Peso fuera de rango"&amp;" · ","")&amp;IF(AND($V211="Sub",$H211&lt;&gt;""),"Las subactividades no llevan peso (valen igual dentro de su macroactividad)"&amp;" · ","")&amp;IF(AND(N($W211)&gt;0,COUNT($I211:$L211)&gt;0),"Con subactividades: deje vacías las semanas (se calculan solas)"&amp;" · ","")&amp;IF((COUNTIF($I211:$L211,"&gt;1")+COUNTIF($I211:$L211,"&lt;0")+COUNTA($I211:$L211)-COUNT($I211:$L211))&gt;0,"Avance fuera de rango 0-100%"&amp;" · ","")&amp;IF(OR(AND($J211&lt;&gt;"",$J211&lt;$I211),AND($K211&lt;&gt;"",$K211&lt;MAX($I211:$J211)),AND($L211&lt;&gt;"",$L211&lt;MAX($I211:$K211))),"Avance semanal decreciente"&amp;" · ","")&amp;IF(AND(ISNUMBER($AN211),$AN211&lt;FechaRef,IF($V211="Sub",N($X211),N($M211))&lt;1),"Vencida"&amp;" · ","")&amp;IF(AND(ObsObligatoria="Sí",ISNUMBER($AN211),$AN211&lt;FechaRef,IF($V211="Sub",N($X211),N($M211))&lt;1,$Q211=""),"Vencida sin observación"&amp;" · ",""))-3)))</f>
        <v/>
      </c>
      <c r="S211" s="64">
        <f>IF(NOT((COUNTA($B211:$D211)+COUNTA($G211:$L211)+COUNTA($Q211))&gt;0),"",IF(AND($V211="Sub",N($U211)&gt;0),IF(ISNUMBER(INDEX($AM$5:$AM$1000,$U211-4)),DATE(YEAR(INDEX($AM$5:$AM$1000,$U211-4)),MONTH(INDEX($AM$5:$AM$1000,$U211-4)),1),IF(ISNUMBER(INDEX($AN$5:$AN$1000,$U211-4)),DATE(YEAR(INDEX($AN$5:$AN$1000,$U211-4)),MONTH(INDEX($AN$5:$AN$1000,$U211-4)),1),MesCiclo)),IF(ISNUMBER($AM211),DATE(YEAR($AM211),MONTH($AM211),1),IF(ISNUMBER($AN211),DATE(YEAR($AN211),MONTH($AN211),1),MesCiclo))))</f>
        <v/>
      </c>
      <c r="T211" s="62">
        <f>IF(OR($S211="",$S211&lt;&gt;MesCiclo,$V211&lt;&gt;"Macro"),"",COUNTIFS($S$5:$S211,MesCiclo,$V$5:$V211,"Macro"))</f>
        <v/>
      </c>
      <c r="U211" s="62">
        <f>IF($V211="","",IF($V211="Macro",ROW(),IFERROR(LOOKUP(2,1/($V$5:$V211="Macro"),ROW($V$5:$V211)),0)))</f>
        <v/>
      </c>
      <c r="V211" s="62">
        <f>IF(NOT((COUNTA($B211:$D211)+COUNTA($G211:$L211)+COUNTA($Q211))&gt;0),"",IF($B211="Subactividad","Sub","Macro"))</f>
        <v/>
      </c>
      <c r="W211" s="62">
        <f>IF($V211="Macro",COUNTIFS($U$5:$U$1000,ROW(),$V$5:$V$1000,"Sub"),"")</f>
        <v/>
      </c>
      <c r="X211" s="62">
        <f>IF($V211="","",IF(ISNUMBER($G211),1,IFERROR(LOOKUP(2,1/($I211:$L211&lt;&gt;""),$I211:$L211),0)))</f>
        <v/>
      </c>
      <c r="Y211" s="62">
        <f>IF($V211="","",IF(AND(ISNUMBER($G211),$G211&lt;=IF($S211=MesCiclo,InicioCiclo,$S211+MOD(2-WEEKDAY($S211),7))+6),1,IF(ISNUMBER($I211),$I211,0)))</f>
        <v/>
      </c>
      <c r="Z211" s="62">
        <f>IF($V211="","",IF(AND(ISNUMBER($G211),$G211&lt;=IF($S211=MesCiclo,InicioCiclo,$S211+MOD(2-WEEKDAY($S211),7))+13),1,IF(ISNUMBER($J211),$J211,$Y211)))</f>
        <v/>
      </c>
      <c r="AA211" s="62">
        <f>IF($V211="","",IF(AND(ISNUMBER($G211),$G211&lt;=IF($S211=MesCiclo,InicioCiclo,$S211+MOD(2-WEEKDAY($S211),7))+20),1,IF(ISNUMBER($K211),$K211,$Z211)))</f>
        <v/>
      </c>
      <c r="AB211" s="62">
        <f>IF($V211="","",IF(AND(ISNUMBER($G211),$G211&lt;=IF($S211=MesCiclo,InicioCiclo,$S211+MOD(2-WEEKDAY($S211),7))+27),1,IF(ISNUMBER($L211),$L211,$AA211)))</f>
        <v/>
      </c>
      <c r="AC211" s="62">
        <f>IF($V211="","",IF(AND(ISNUMBER($G211),$G211&lt;=IF($S211=MesCiclo,InicioCiclo,$S211+MOD(2-WEEKDAY($S211),7))+6),1,IF(N($W211)&gt;0,AVERAGEIFS($Y$5:$Y$1000,$U$5:$U$1000,ROW(),$V$5:$V$1000,"Sub"),$Y211)))</f>
        <v/>
      </c>
      <c r="AD211" s="62">
        <f>IF($V211="","",IF(AND(ISNUMBER($G211),$G211&lt;=IF($S211=MesCiclo,InicioCiclo,$S211+MOD(2-WEEKDAY($S211),7))+13),1,IF(N($W211)&gt;0,AVERAGEIFS($Z$5:$Z$1000,$U$5:$U$1000,ROW(),$V$5:$V$1000,"Sub"),$Z211)))</f>
        <v/>
      </c>
      <c r="AE211" s="62">
        <f>IF($V211="","",IF(AND(ISNUMBER($G211),$G211&lt;=IF($S211=MesCiclo,InicioCiclo,$S211+MOD(2-WEEKDAY($S211),7))+20),1,IF(N($W211)&gt;0,AVERAGEIFS($AA$5:$AA$1000,$U$5:$U$1000,ROW(),$V$5:$V$1000,"Sub"),$AA211)))</f>
        <v/>
      </c>
      <c r="AF211" s="62">
        <f>IF($V211="","",IF(AND(ISNUMBER($G211),$G211&lt;=IF($S211=MesCiclo,InicioCiclo,$S211+MOD(2-WEEKDAY($S211),7))+27),1,IF(N($W211)&gt;0,AVERAGEIFS($AB$5:$AB$1000,$U$5:$U$1000,ROW(),$V$5:$V$1000,"Sub"),$AB211)))</f>
        <v/>
      </c>
      <c r="AG211" s="62">
        <f>IF($V211&lt;&gt;"Macro","",IF(COUNTIFS($S$5:$S$1000,$S211,$V$5:$V$1000,"Macro",$H$5:$H$1000,"&gt;0")=0,1/COUNTIFS($S$5:$S$1000,$S211,$V$5:$V$1000,"Macro"),IF(AND(ISNUMBER($H211),N($H211)&gt;0),$H211,SUMIFS($H$5:$H$1000,$S$5:$S$1000,$S211,$V$5:$V$1000,"Macro")/COUNTIFS($S$5:$S$1000,$S211,$V$5:$V$1000,"Macro",$H$5:$H$1000,"&gt;0"))/(COUNTIFS($S$5:$S$1000,$S211,$V$5:$V$1000,"Macro")*SUMIFS($H$5:$H$1000,$S$5:$S$1000,$S211,$V$5:$V$1000,"Macro")/COUNTIFS($S$5:$S$1000,$S211,$V$5:$V$1000,"Macro",$H$5:$H$1000,"&gt;0"))))</f>
        <v/>
      </c>
      <c r="AH211" s="62" t="n"/>
      <c r="AI211" s="62" t="n"/>
      <c r="AJ211" s="62" t="n"/>
      <c r="AK211" s="62" t="n"/>
      <c r="AL211" s="62">
        <f>IF(LEFT($C211,11)="[Jefatura] ",IFERROR(MATCH("Asistente Técnico de Riesgo|"&amp;MID($C211,12,500),rDname_ADM,0),0),"")</f>
        <v/>
      </c>
      <c r="AM211" s="62">
        <f>IF(N($AL211)&gt;0,INDEX(rIni_ADM,$AL211),IF(ISNUMBER($E211),$E211,""))</f>
        <v/>
      </c>
      <c r="AN211" s="62">
        <f>IF(N($AL211)&gt;0,INDEX(rLim_ADM,$AL211),IF(ISNUMBER($F211),$F211,""))</f>
        <v/>
      </c>
    </row>
    <row r="212">
      <c r="A212" s="56">
        <f>IF(NOT((COUNTA($B212:$D212)+COUNTA($G212:$L212)+COUNTA($Q212))&gt;0),"",IF($V212="Macro",COUNTIFS($V$5:$V212,"Macro",$S$5:$S212,$S212),IF(N($U212)=0,"?",COUNTIFS(INDEX($V$5:$V$1000,1):INDEX($V$5:$V$1000,$U212-4),"Macro",INDEX($S$5:$S$1000,1):INDEX($S$5:$S$1000,$U212-4),INDEX($S$5:$S$1000,$U212-4))&amp;"."&amp;COUNTIFS($U$5:$U212,$U212,$V$5:$V212,"Sub"))))</f>
        <v/>
      </c>
      <c r="B212" s="57" t="n"/>
      <c r="C212" s="58" t="n"/>
      <c r="D212" s="58" t="n"/>
      <c r="E212" s="59">
        <f>IF(N($AL212)&gt;0,INDEX(rIni_ADM,$AL212),"")</f>
        <v/>
      </c>
      <c r="F212" s="59">
        <f>IF(N($AL212)&gt;0,INDEX(rLim_ADM,$AL212),"")</f>
        <v/>
      </c>
      <c r="G212" s="59" t="n"/>
      <c r="H212" s="60" t="n"/>
      <c r="I212" s="60" t="n"/>
      <c r="J212" s="60" t="n"/>
      <c r="K212" s="60" t="n"/>
      <c r="L212" s="60" t="n"/>
      <c r="M212" s="61">
        <f>IF(NOT((COUNTA($B212:$D212)+COUNTA($G212:$L212)+COUNTA($Q212))&gt;0),"",IF($V212="Sub",IFERROR($X212/INDEX($W$5:$W$1000,$U212-4),""),IF(ISNUMBER($G212),1,IF(N($W212)&gt;0,AVERAGEIFS($X$5:$X$1000,$U$5:$U$1000,ROW(),$V$5:$V$1000,"Sub"),$X212))))</f>
        <v/>
      </c>
      <c r="N212" s="56">
        <f>IF(OR($M212="",$V212="Sub"),"",IF($M212&gt;=1,"Completado",IF($M212&gt;0,"En curso","Pendiente")))</f>
        <v/>
      </c>
      <c r="O212" s="56">
        <f>IF(OR(NOT((COUNTA($B212:$D212)+COUNTA($G212:$L212)+COUNTA($Q212))&gt;0),$V212="Sub"),"",IF(ISNUMBER($G212),IF(AND(ISNUMBER($AN212),$G212&gt;$AN212),"Cumplida con "&amp;($G212-$AN212)&amp;IF($G212-$AN212=1," día"," días")&amp;" de retraso","Cumplida"),IF(N($M212)&gt;=1,"Cumplida",IF(NOT(ISNUMBER($AN212)),"Sin fecha límite",IF($AN212&lt;FechaRef,"Vencida hace "&amp;(FechaRef-$AN212)&amp;IF(FechaRef-$AN212=1," día"," días"),IF($AN212=FechaRef,"Vence hoy",IF($AN212-FechaRef&lt;=DiasAlerta,"Vence en "&amp;($AN212-FechaRef)&amp;IF($AN212-FechaRef=1," día"," días"),"En plazo")))))))</f>
        <v/>
      </c>
      <c r="P212" s="62" t="n"/>
      <c r="Q212" s="58" t="n"/>
      <c r="R212" s="63">
        <f>IF(NOT((COUNTA($B212:$D212)+COUNTA($G212:$L212)+COUNTA($Q212))&gt;0),"",IF((IF($C212="","Falta el nombre de la actividad"&amp;" · ","")&amp;IF(AND($V212="Sub",N($U212)=0),"Subactividad sin macroactividad arriba"&amp;" · ","")&amp;IF($AM212="","Sin fecha de inicio"&amp;" · ","")&amp;IF($AN212="","Sin fecha límite"&amp;" · ","")&amp;IF(AND(LEFT($C212,11)="[Jefatura] ",N($AL212)=0),"No se encuentra en la hoja de la jefatura (elíjala de nuevo en la lista)"&amp;" · ","")&amp;IF(OR(AND($E212&lt;&gt;"",NOT(ISNUMBER($E212))),AND($F212&lt;&gt;"",NOT(ISNUMBER($F212))),AND($G212&lt;&gt;"",NOT(ISNUMBER($G212)))),"Fecha no válida"&amp;" · ","")&amp;IF(AND(ISNUMBER($AM212),ISNUMBER($AN212),$AM212&gt;$AN212),"Inicio posterior a fecha límite"&amp;" · ","")&amp;IF(AND($V212="Macro",$H212&lt;&gt;"",OR(NOT(ISNUMBER($H212)),$H212&lt;0,$H212&gt;1)),"Peso fuera de rango"&amp;" · ","")&amp;IF(AND($V212="Sub",$H212&lt;&gt;""),"Las subactividades no llevan peso (valen igual dentro de su macroactividad)"&amp;" · ","")&amp;IF(AND(N($W212)&gt;0,COUNT($I212:$L212)&gt;0),"Con subactividades: deje vacías las semanas (se calculan solas)"&amp;" · ","")&amp;IF((COUNTIF($I212:$L212,"&gt;1")+COUNTIF($I212:$L212,"&lt;0")+COUNTA($I212:$L212)-COUNT($I212:$L212))&gt;0,"Avance fuera de rango 0-100%"&amp;" · ","")&amp;IF(OR(AND($J212&lt;&gt;"",$J212&lt;$I212),AND($K212&lt;&gt;"",$K212&lt;MAX($I212:$J212)),AND($L212&lt;&gt;"",$L212&lt;MAX($I212:$K212))),"Avance semanal decreciente"&amp;" · ","")&amp;IF(AND(ISNUMBER($AN212),$AN212&lt;FechaRef,IF($V212="Sub",N($X212),N($M212))&lt;1),"Vencida"&amp;" · ","")&amp;IF(AND(ObsObligatoria="Sí",ISNUMBER($AN212),$AN212&lt;FechaRef,IF($V212="Sub",N($X212),N($M212))&lt;1,$Q212=""),"Vencida sin observación"&amp;" · ",""))="","✔ OK","⚠ "&amp;LEFT(IF($C212="","Falta el nombre de la actividad"&amp;" · ","")&amp;IF(AND($V212="Sub",N($U212)=0),"Subactividad sin macroactividad arriba"&amp;" · ","")&amp;IF($AM212="","Sin fecha de inicio"&amp;" · ","")&amp;IF($AN212="","Sin fecha límite"&amp;" · ","")&amp;IF(AND(LEFT($C212,11)="[Jefatura] ",N($AL212)=0),"No se encuentra en la hoja de la jefatura (elíjala de nuevo en la lista)"&amp;" · ","")&amp;IF(OR(AND($E212&lt;&gt;"",NOT(ISNUMBER($E212))),AND($F212&lt;&gt;"",NOT(ISNUMBER($F212))),AND($G212&lt;&gt;"",NOT(ISNUMBER($G212)))),"Fecha no válida"&amp;" · ","")&amp;IF(AND(ISNUMBER($AM212),ISNUMBER($AN212),$AM212&gt;$AN212),"Inicio posterior a fecha límite"&amp;" · ","")&amp;IF(AND($V212="Macro",$H212&lt;&gt;"",OR(NOT(ISNUMBER($H212)),$H212&lt;0,$H212&gt;1)),"Peso fuera de rango"&amp;" · ","")&amp;IF(AND($V212="Sub",$H212&lt;&gt;""),"Las subactividades no llevan peso (valen igual dentro de su macroactividad)"&amp;" · ","")&amp;IF(AND(N($W212)&gt;0,COUNT($I212:$L212)&gt;0),"Con subactividades: deje vacías las semanas (se calculan solas)"&amp;" · ","")&amp;IF((COUNTIF($I212:$L212,"&gt;1")+COUNTIF($I212:$L212,"&lt;0")+COUNTA($I212:$L212)-COUNT($I212:$L212))&gt;0,"Avance fuera de rango 0-100%"&amp;" · ","")&amp;IF(OR(AND($J212&lt;&gt;"",$J212&lt;$I212),AND($K212&lt;&gt;"",$K212&lt;MAX($I212:$J212)),AND($L212&lt;&gt;"",$L212&lt;MAX($I212:$K212))),"Avance semanal decreciente"&amp;" · ","")&amp;IF(AND(ISNUMBER($AN212),$AN212&lt;FechaRef,IF($V212="Sub",N($X212),N($M212))&lt;1),"Vencida"&amp;" · ","")&amp;IF(AND(ObsObligatoria="Sí",ISNUMBER($AN212),$AN212&lt;FechaRef,IF($V212="Sub",N($X212),N($M212))&lt;1,$Q212=""),"Vencida sin observación"&amp;" · ",""),LEN(IF($C212="","Falta el nombre de la actividad"&amp;" · ","")&amp;IF(AND($V212="Sub",N($U212)=0),"Subactividad sin macroactividad arriba"&amp;" · ","")&amp;IF($AM212="","Sin fecha de inicio"&amp;" · ","")&amp;IF($AN212="","Sin fecha límite"&amp;" · ","")&amp;IF(AND(LEFT($C212,11)="[Jefatura] ",N($AL212)=0),"No se encuentra en la hoja de la jefatura (elíjala de nuevo en la lista)"&amp;" · ","")&amp;IF(OR(AND($E212&lt;&gt;"",NOT(ISNUMBER($E212))),AND($F212&lt;&gt;"",NOT(ISNUMBER($F212))),AND($G212&lt;&gt;"",NOT(ISNUMBER($G212)))),"Fecha no válida"&amp;" · ","")&amp;IF(AND(ISNUMBER($AM212),ISNUMBER($AN212),$AM212&gt;$AN212),"Inicio posterior a fecha límite"&amp;" · ","")&amp;IF(AND($V212="Macro",$H212&lt;&gt;"",OR(NOT(ISNUMBER($H212)),$H212&lt;0,$H212&gt;1)),"Peso fuera de rango"&amp;" · ","")&amp;IF(AND($V212="Sub",$H212&lt;&gt;""),"Las subactividades no llevan peso (valen igual dentro de su macroactividad)"&amp;" · ","")&amp;IF(AND(N($W212)&gt;0,COUNT($I212:$L212)&gt;0),"Con subactividades: deje vacías las semanas (se calculan solas)"&amp;" · ","")&amp;IF((COUNTIF($I212:$L212,"&gt;1")+COUNTIF($I212:$L212,"&lt;0")+COUNTA($I212:$L212)-COUNT($I212:$L212))&gt;0,"Avance fuera de rango 0-100%"&amp;" · ","")&amp;IF(OR(AND($J212&lt;&gt;"",$J212&lt;$I212),AND($K212&lt;&gt;"",$K212&lt;MAX($I212:$J212)),AND($L212&lt;&gt;"",$L212&lt;MAX($I212:$K212))),"Avance semanal decreciente"&amp;" · ","")&amp;IF(AND(ISNUMBER($AN212),$AN212&lt;FechaRef,IF($V212="Sub",N($X212),N($M212))&lt;1),"Vencida"&amp;" · ","")&amp;IF(AND(ObsObligatoria="Sí",ISNUMBER($AN212),$AN212&lt;FechaRef,IF($V212="Sub",N($X212),N($M212))&lt;1,$Q212=""),"Vencida sin observación"&amp;" · ",""))-3)))</f>
        <v/>
      </c>
      <c r="S212" s="64">
        <f>IF(NOT((COUNTA($B212:$D212)+COUNTA($G212:$L212)+COUNTA($Q212))&gt;0),"",IF(AND($V212="Sub",N($U212)&gt;0),IF(ISNUMBER(INDEX($AM$5:$AM$1000,$U212-4)),DATE(YEAR(INDEX($AM$5:$AM$1000,$U212-4)),MONTH(INDEX($AM$5:$AM$1000,$U212-4)),1),IF(ISNUMBER(INDEX($AN$5:$AN$1000,$U212-4)),DATE(YEAR(INDEX($AN$5:$AN$1000,$U212-4)),MONTH(INDEX($AN$5:$AN$1000,$U212-4)),1),MesCiclo)),IF(ISNUMBER($AM212),DATE(YEAR($AM212),MONTH($AM212),1),IF(ISNUMBER($AN212),DATE(YEAR($AN212),MONTH($AN212),1),MesCiclo))))</f>
        <v/>
      </c>
      <c r="T212" s="62">
        <f>IF(OR($S212="",$S212&lt;&gt;MesCiclo,$V212&lt;&gt;"Macro"),"",COUNTIFS($S$5:$S212,MesCiclo,$V$5:$V212,"Macro"))</f>
        <v/>
      </c>
      <c r="U212" s="62">
        <f>IF($V212="","",IF($V212="Macro",ROW(),IFERROR(LOOKUP(2,1/($V$5:$V212="Macro"),ROW($V$5:$V212)),0)))</f>
        <v/>
      </c>
      <c r="V212" s="62">
        <f>IF(NOT((COUNTA($B212:$D212)+COUNTA($G212:$L212)+COUNTA($Q212))&gt;0),"",IF($B212="Subactividad","Sub","Macro"))</f>
        <v/>
      </c>
      <c r="W212" s="62">
        <f>IF($V212="Macro",COUNTIFS($U$5:$U$1000,ROW(),$V$5:$V$1000,"Sub"),"")</f>
        <v/>
      </c>
      <c r="X212" s="62">
        <f>IF($V212="","",IF(ISNUMBER($G212),1,IFERROR(LOOKUP(2,1/($I212:$L212&lt;&gt;""),$I212:$L212),0)))</f>
        <v/>
      </c>
      <c r="Y212" s="62">
        <f>IF($V212="","",IF(AND(ISNUMBER($G212),$G212&lt;=IF($S212=MesCiclo,InicioCiclo,$S212+MOD(2-WEEKDAY($S212),7))+6),1,IF(ISNUMBER($I212),$I212,0)))</f>
        <v/>
      </c>
      <c r="Z212" s="62">
        <f>IF($V212="","",IF(AND(ISNUMBER($G212),$G212&lt;=IF($S212=MesCiclo,InicioCiclo,$S212+MOD(2-WEEKDAY($S212),7))+13),1,IF(ISNUMBER($J212),$J212,$Y212)))</f>
        <v/>
      </c>
      <c r="AA212" s="62">
        <f>IF($V212="","",IF(AND(ISNUMBER($G212),$G212&lt;=IF($S212=MesCiclo,InicioCiclo,$S212+MOD(2-WEEKDAY($S212),7))+20),1,IF(ISNUMBER($K212),$K212,$Z212)))</f>
        <v/>
      </c>
      <c r="AB212" s="62">
        <f>IF($V212="","",IF(AND(ISNUMBER($G212),$G212&lt;=IF($S212=MesCiclo,InicioCiclo,$S212+MOD(2-WEEKDAY($S212),7))+27),1,IF(ISNUMBER($L212),$L212,$AA212)))</f>
        <v/>
      </c>
      <c r="AC212" s="62">
        <f>IF($V212="","",IF(AND(ISNUMBER($G212),$G212&lt;=IF($S212=MesCiclo,InicioCiclo,$S212+MOD(2-WEEKDAY($S212),7))+6),1,IF(N($W212)&gt;0,AVERAGEIFS($Y$5:$Y$1000,$U$5:$U$1000,ROW(),$V$5:$V$1000,"Sub"),$Y212)))</f>
        <v/>
      </c>
      <c r="AD212" s="62">
        <f>IF($V212="","",IF(AND(ISNUMBER($G212),$G212&lt;=IF($S212=MesCiclo,InicioCiclo,$S212+MOD(2-WEEKDAY($S212),7))+13),1,IF(N($W212)&gt;0,AVERAGEIFS($Z$5:$Z$1000,$U$5:$U$1000,ROW(),$V$5:$V$1000,"Sub"),$Z212)))</f>
        <v/>
      </c>
      <c r="AE212" s="62">
        <f>IF($V212="","",IF(AND(ISNUMBER($G212),$G212&lt;=IF($S212=MesCiclo,InicioCiclo,$S212+MOD(2-WEEKDAY($S212),7))+20),1,IF(N($W212)&gt;0,AVERAGEIFS($AA$5:$AA$1000,$U$5:$U$1000,ROW(),$V$5:$V$1000,"Sub"),$AA212)))</f>
        <v/>
      </c>
      <c r="AF212" s="62">
        <f>IF($V212="","",IF(AND(ISNUMBER($G212),$G212&lt;=IF($S212=MesCiclo,InicioCiclo,$S212+MOD(2-WEEKDAY($S212),7))+27),1,IF(N($W212)&gt;0,AVERAGEIFS($AB$5:$AB$1000,$U$5:$U$1000,ROW(),$V$5:$V$1000,"Sub"),$AB212)))</f>
        <v/>
      </c>
      <c r="AG212" s="62">
        <f>IF($V212&lt;&gt;"Macro","",IF(COUNTIFS($S$5:$S$1000,$S212,$V$5:$V$1000,"Macro",$H$5:$H$1000,"&gt;0")=0,1/COUNTIFS($S$5:$S$1000,$S212,$V$5:$V$1000,"Macro"),IF(AND(ISNUMBER($H212),N($H212)&gt;0),$H212,SUMIFS($H$5:$H$1000,$S$5:$S$1000,$S212,$V$5:$V$1000,"Macro")/COUNTIFS($S$5:$S$1000,$S212,$V$5:$V$1000,"Macro",$H$5:$H$1000,"&gt;0"))/(COUNTIFS($S$5:$S$1000,$S212,$V$5:$V$1000,"Macro")*SUMIFS($H$5:$H$1000,$S$5:$S$1000,$S212,$V$5:$V$1000,"Macro")/COUNTIFS($S$5:$S$1000,$S212,$V$5:$V$1000,"Macro",$H$5:$H$1000,"&gt;0"))))</f>
        <v/>
      </c>
      <c r="AH212" s="62" t="n"/>
      <c r="AI212" s="62" t="n"/>
      <c r="AJ212" s="62" t="n"/>
      <c r="AK212" s="62" t="n"/>
      <c r="AL212" s="62">
        <f>IF(LEFT($C212,11)="[Jefatura] ",IFERROR(MATCH("Asistente Técnico de Riesgo|"&amp;MID($C212,12,500),rDname_ADM,0),0),"")</f>
        <v/>
      </c>
      <c r="AM212" s="62">
        <f>IF(N($AL212)&gt;0,INDEX(rIni_ADM,$AL212),IF(ISNUMBER($E212),$E212,""))</f>
        <v/>
      </c>
      <c r="AN212" s="62">
        <f>IF(N($AL212)&gt;0,INDEX(rLim_ADM,$AL212),IF(ISNUMBER($F212),$F212,""))</f>
        <v/>
      </c>
    </row>
    <row r="213">
      <c r="A213" s="56">
        <f>IF(NOT((COUNTA($B213:$D213)+COUNTA($G213:$L213)+COUNTA($Q213))&gt;0),"",IF($V213="Macro",COUNTIFS($V$5:$V213,"Macro",$S$5:$S213,$S213),IF(N($U213)=0,"?",COUNTIFS(INDEX($V$5:$V$1000,1):INDEX($V$5:$V$1000,$U213-4),"Macro",INDEX($S$5:$S$1000,1):INDEX($S$5:$S$1000,$U213-4),INDEX($S$5:$S$1000,$U213-4))&amp;"."&amp;COUNTIFS($U$5:$U213,$U213,$V$5:$V213,"Sub"))))</f>
        <v/>
      </c>
      <c r="B213" s="57" t="n"/>
      <c r="C213" s="58" t="n"/>
      <c r="D213" s="58" t="n"/>
      <c r="E213" s="59">
        <f>IF(N($AL213)&gt;0,INDEX(rIni_ADM,$AL213),"")</f>
        <v/>
      </c>
      <c r="F213" s="59">
        <f>IF(N($AL213)&gt;0,INDEX(rLim_ADM,$AL213),"")</f>
        <v/>
      </c>
      <c r="G213" s="59" t="n"/>
      <c r="H213" s="60" t="n"/>
      <c r="I213" s="60" t="n"/>
      <c r="J213" s="60" t="n"/>
      <c r="K213" s="60" t="n"/>
      <c r="L213" s="60" t="n"/>
      <c r="M213" s="61">
        <f>IF(NOT((COUNTA($B213:$D213)+COUNTA($G213:$L213)+COUNTA($Q213))&gt;0),"",IF($V213="Sub",IFERROR($X213/INDEX($W$5:$W$1000,$U213-4),""),IF(ISNUMBER($G213),1,IF(N($W213)&gt;0,AVERAGEIFS($X$5:$X$1000,$U$5:$U$1000,ROW(),$V$5:$V$1000,"Sub"),$X213))))</f>
        <v/>
      </c>
      <c r="N213" s="56">
        <f>IF(OR($M213="",$V213="Sub"),"",IF($M213&gt;=1,"Completado",IF($M213&gt;0,"En curso","Pendiente")))</f>
        <v/>
      </c>
      <c r="O213" s="56">
        <f>IF(OR(NOT((COUNTA($B213:$D213)+COUNTA($G213:$L213)+COUNTA($Q213))&gt;0),$V213="Sub"),"",IF(ISNUMBER($G213),IF(AND(ISNUMBER($AN213),$G213&gt;$AN213),"Cumplida con "&amp;($G213-$AN213)&amp;IF($G213-$AN213=1," día"," días")&amp;" de retraso","Cumplida"),IF(N($M213)&gt;=1,"Cumplida",IF(NOT(ISNUMBER($AN213)),"Sin fecha límite",IF($AN213&lt;FechaRef,"Vencida hace "&amp;(FechaRef-$AN213)&amp;IF(FechaRef-$AN213=1," día"," días"),IF($AN213=FechaRef,"Vence hoy",IF($AN213-FechaRef&lt;=DiasAlerta,"Vence en "&amp;($AN213-FechaRef)&amp;IF($AN213-FechaRef=1," día"," días"),"En plazo")))))))</f>
        <v/>
      </c>
      <c r="P213" s="62" t="n"/>
      <c r="Q213" s="58" t="n"/>
      <c r="R213" s="63">
        <f>IF(NOT((COUNTA($B213:$D213)+COUNTA($G213:$L213)+COUNTA($Q213))&gt;0),"",IF((IF($C213="","Falta el nombre de la actividad"&amp;" · ","")&amp;IF(AND($V213="Sub",N($U213)=0),"Subactividad sin macroactividad arriba"&amp;" · ","")&amp;IF($AM213="","Sin fecha de inicio"&amp;" · ","")&amp;IF($AN213="","Sin fecha límite"&amp;" · ","")&amp;IF(AND(LEFT($C213,11)="[Jefatura] ",N($AL213)=0),"No se encuentra en la hoja de la jefatura (elíjala de nuevo en la lista)"&amp;" · ","")&amp;IF(OR(AND($E213&lt;&gt;"",NOT(ISNUMBER($E213))),AND($F213&lt;&gt;"",NOT(ISNUMBER($F213))),AND($G213&lt;&gt;"",NOT(ISNUMBER($G213)))),"Fecha no válida"&amp;" · ","")&amp;IF(AND(ISNUMBER($AM213),ISNUMBER($AN213),$AM213&gt;$AN213),"Inicio posterior a fecha límite"&amp;" · ","")&amp;IF(AND($V213="Macro",$H213&lt;&gt;"",OR(NOT(ISNUMBER($H213)),$H213&lt;0,$H213&gt;1)),"Peso fuera de rango"&amp;" · ","")&amp;IF(AND($V213="Sub",$H213&lt;&gt;""),"Las subactividades no llevan peso (valen igual dentro de su macroactividad)"&amp;" · ","")&amp;IF(AND(N($W213)&gt;0,COUNT($I213:$L213)&gt;0),"Con subactividades: deje vacías las semanas (se calculan solas)"&amp;" · ","")&amp;IF((COUNTIF($I213:$L213,"&gt;1")+COUNTIF($I213:$L213,"&lt;0")+COUNTA($I213:$L213)-COUNT($I213:$L213))&gt;0,"Avance fuera de rango 0-100%"&amp;" · ","")&amp;IF(OR(AND($J213&lt;&gt;"",$J213&lt;$I213),AND($K213&lt;&gt;"",$K213&lt;MAX($I213:$J213)),AND($L213&lt;&gt;"",$L213&lt;MAX($I213:$K213))),"Avance semanal decreciente"&amp;" · ","")&amp;IF(AND(ISNUMBER($AN213),$AN213&lt;FechaRef,IF($V213="Sub",N($X213),N($M213))&lt;1),"Vencida"&amp;" · ","")&amp;IF(AND(ObsObligatoria="Sí",ISNUMBER($AN213),$AN213&lt;FechaRef,IF($V213="Sub",N($X213),N($M213))&lt;1,$Q213=""),"Vencida sin observación"&amp;" · ",""))="","✔ OK","⚠ "&amp;LEFT(IF($C213="","Falta el nombre de la actividad"&amp;" · ","")&amp;IF(AND($V213="Sub",N($U213)=0),"Subactividad sin macroactividad arriba"&amp;" · ","")&amp;IF($AM213="","Sin fecha de inicio"&amp;" · ","")&amp;IF($AN213="","Sin fecha límite"&amp;" · ","")&amp;IF(AND(LEFT($C213,11)="[Jefatura] ",N($AL213)=0),"No se encuentra en la hoja de la jefatura (elíjala de nuevo en la lista)"&amp;" · ","")&amp;IF(OR(AND($E213&lt;&gt;"",NOT(ISNUMBER($E213))),AND($F213&lt;&gt;"",NOT(ISNUMBER($F213))),AND($G213&lt;&gt;"",NOT(ISNUMBER($G213)))),"Fecha no válida"&amp;" · ","")&amp;IF(AND(ISNUMBER($AM213),ISNUMBER($AN213),$AM213&gt;$AN213),"Inicio posterior a fecha límite"&amp;" · ","")&amp;IF(AND($V213="Macro",$H213&lt;&gt;"",OR(NOT(ISNUMBER($H213)),$H213&lt;0,$H213&gt;1)),"Peso fuera de rango"&amp;" · ","")&amp;IF(AND($V213="Sub",$H213&lt;&gt;""),"Las subactividades no llevan peso (valen igual dentro de su macroactividad)"&amp;" · ","")&amp;IF(AND(N($W213)&gt;0,COUNT($I213:$L213)&gt;0),"Con subactividades: deje vacías las semanas (se calculan solas)"&amp;" · ","")&amp;IF((COUNTIF($I213:$L213,"&gt;1")+COUNTIF($I213:$L213,"&lt;0")+COUNTA($I213:$L213)-COUNT($I213:$L213))&gt;0,"Avance fuera de rango 0-100%"&amp;" · ","")&amp;IF(OR(AND($J213&lt;&gt;"",$J213&lt;$I213),AND($K213&lt;&gt;"",$K213&lt;MAX($I213:$J213)),AND($L213&lt;&gt;"",$L213&lt;MAX($I213:$K213))),"Avance semanal decreciente"&amp;" · ","")&amp;IF(AND(ISNUMBER($AN213),$AN213&lt;FechaRef,IF($V213="Sub",N($X213),N($M213))&lt;1),"Vencida"&amp;" · ","")&amp;IF(AND(ObsObligatoria="Sí",ISNUMBER($AN213),$AN213&lt;FechaRef,IF($V213="Sub",N($X213),N($M213))&lt;1,$Q213=""),"Vencida sin observación"&amp;" · ",""),LEN(IF($C213="","Falta el nombre de la actividad"&amp;" · ","")&amp;IF(AND($V213="Sub",N($U213)=0),"Subactividad sin macroactividad arriba"&amp;" · ","")&amp;IF($AM213="","Sin fecha de inicio"&amp;" · ","")&amp;IF($AN213="","Sin fecha límite"&amp;" · ","")&amp;IF(AND(LEFT($C213,11)="[Jefatura] ",N($AL213)=0),"No se encuentra en la hoja de la jefatura (elíjala de nuevo en la lista)"&amp;" · ","")&amp;IF(OR(AND($E213&lt;&gt;"",NOT(ISNUMBER($E213))),AND($F213&lt;&gt;"",NOT(ISNUMBER($F213))),AND($G213&lt;&gt;"",NOT(ISNUMBER($G213)))),"Fecha no válida"&amp;" · ","")&amp;IF(AND(ISNUMBER($AM213),ISNUMBER($AN213),$AM213&gt;$AN213),"Inicio posterior a fecha límite"&amp;" · ","")&amp;IF(AND($V213="Macro",$H213&lt;&gt;"",OR(NOT(ISNUMBER($H213)),$H213&lt;0,$H213&gt;1)),"Peso fuera de rango"&amp;" · ","")&amp;IF(AND($V213="Sub",$H213&lt;&gt;""),"Las subactividades no llevan peso (valen igual dentro de su macroactividad)"&amp;" · ","")&amp;IF(AND(N($W213)&gt;0,COUNT($I213:$L213)&gt;0),"Con subactividades: deje vacías las semanas (se calculan solas)"&amp;" · ","")&amp;IF((COUNTIF($I213:$L213,"&gt;1")+COUNTIF($I213:$L213,"&lt;0")+COUNTA($I213:$L213)-COUNT($I213:$L213))&gt;0,"Avance fuera de rango 0-100%"&amp;" · ","")&amp;IF(OR(AND($J213&lt;&gt;"",$J213&lt;$I213),AND($K213&lt;&gt;"",$K213&lt;MAX($I213:$J213)),AND($L213&lt;&gt;"",$L213&lt;MAX($I213:$K213))),"Avance semanal decreciente"&amp;" · ","")&amp;IF(AND(ISNUMBER($AN213),$AN213&lt;FechaRef,IF($V213="Sub",N($X213),N($M213))&lt;1),"Vencida"&amp;" · ","")&amp;IF(AND(ObsObligatoria="Sí",ISNUMBER($AN213),$AN213&lt;FechaRef,IF($V213="Sub",N($X213),N($M213))&lt;1,$Q213=""),"Vencida sin observación"&amp;" · ",""))-3)))</f>
        <v/>
      </c>
      <c r="S213" s="64">
        <f>IF(NOT((COUNTA($B213:$D213)+COUNTA($G213:$L213)+COUNTA($Q213))&gt;0),"",IF(AND($V213="Sub",N($U213)&gt;0),IF(ISNUMBER(INDEX($AM$5:$AM$1000,$U213-4)),DATE(YEAR(INDEX($AM$5:$AM$1000,$U213-4)),MONTH(INDEX($AM$5:$AM$1000,$U213-4)),1),IF(ISNUMBER(INDEX($AN$5:$AN$1000,$U213-4)),DATE(YEAR(INDEX($AN$5:$AN$1000,$U213-4)),MONTH(INDEX($AN$5:$AN$1000,$U213-4)),1),MesCiclo)),IF(ISNUMBER($AM213),DATE(YEAR($AM213),MONTH($AM213),1),IF(ISNUMBER($AN213),DATE(YEAR($AN213),MONTH($AN213),1),MesCiclo))))</f>
        <v/>
      </c>
      <c r="T213" s="62">
        <f>IF(OR($S213="",$S213&lt;&gt;MesCiclo,$V213&lt;&gt;"Macro"),"",COUNTIFS($S$5:$S213,MesCiclo,$V$5:$V213,"Macro"))</f>
        <v/>
      </c>
      <c r="U213" s="62">
        <f>IF($V213="","",IF($V213="Macro",ROW(),IFERROR(LOOKUP(2,1/($V$5:$V213="Macro"),ROW($V$5:$V213)),0)))</f>
        <v/>
      </c>
      <c r="V213" s="62">
        <f>IF(NOT((COUNTA($B213:$D213)+COUNTA($G213:$L213)+COUNTA($Q213))&gt;0),"",IF($B213="Subactividad","Sub","Macro"))</f>
        <v/>
      </c>
      <c r="W213" s="62">
        <f>IF($V213="Macro",COUNTIFS($U$5:$U$1000,ROW(),$V$5:$V$1000,"Sub"),"")</f>
        <v/>
      </c>
      <c r="X213" s="62">
        <f>IF($V213="","",IF(ISNUMBER($G213),1,IFERROR(LOOKUP(2,1/($I213:$L213&lt;&gt;""),$I213:$L213),0)))</f>
        <v/>
      </c>
      <c r="Y213" s="62">
        <f>IF($V213="","",IF(AND(ISNUMBER($G213),$G213&lt;=IF($S213=MesCiclo,InicioCiclo,$S213+MOD(2-WEEKDAY($S213),7))+6),1,IF(ISNUMBER($I213),$I213,0)))</f>
        <v/>
      </c>
      <c r="Z213" s="62">
        <f>IF($V213="","",IF(AND(ISNUMBER($G213),$G213&lt;=IF($S213=MesCiclo,InicioCiclo,$S213+MOD(2-WEEKDAY($S213),7))+13),1,IF(ISNUMBER($J213),$J213,$Y213)))</f>
        <v/>
      </c>
      <c r="AA213" s="62">
        <f>IF($V213="","",IF(AND(ISNUMBER($G213),$G213&lt;=IF($S213=MesCiclo,InicioCiclo,$S213+MOD(2-WEEKDAY($S213),7))+20),1,IF(ISNUMBER($K213),$K213,$Z213)))</f>
        <v/>
      </c>
      <c r="AB213" s="62">
        <f>IF($V213="","",IF(AND(ISNUMBER($G213),$G213&lt;=IF($S213=MesCiclo,InicioCiclo,$S213+MOD(2-WEEKDAY($S213),7))+27),1,IF(ISNUMBER($L213),$L213,$AA213)))</f>
        <v/>
      </c>
      <c r="AC213" s="62">
        <f>IF($V213="","",IF(AND(ISNUMBER($G213),$G213&lt;=IF($S213=MesCiclo,InicioCiclo,$S213+MOD(2-WEEKDAY($S213),7))+6),1,IF(N($W213)&gt;0,AVERAGEIFS($Y$5:$Y$1000,$U$5:$U$1000,ROW(),$V$5:$V$1000,"Sub"),$Y213)))</f>
        <v/>
      </c>
      <c r="AD213" s="62">
        <f>IF($V213="","",IF(AND(ISNUMBER($G213),$G213&lt;=IF($S213=MesCiclo,InicioCiclo,$S213+MOD(2-WEEKDAY($S213),7))+13),1,IF(N($W213)&gt;0,AVERAGEIFS($Z$5:$Z$1000,$U$5:$U$1000,ROW(),$V$5:$V$1000,"Sub"),$Z213)))</f>
        <v/>
      </c>
      <c r="AE213" s="62">
        <f>IF($V213="","",IF(AND(ISNUMBER($G213),$G213&lt;=IF($S213=MesCiclo,InicioCiclo,$S213+MOD(2-WEEKDAY($S213),7))+20),1,IF(N($W213)&gt;0,AVERAGEIFS($AA$5:$AA$1000,$U$5:$U$1000,ROW(),$V$5:$V$1000,"Sub"),$AA213)))</f>
        <v/>
      </c>
      <c r="AF213" s="62">
        <f>IF($V213="","",IF(AND(ISNUMBER($G213),$G213&lt;=IF($S213=MesCiclo,InicioCiclo,$S213+MOD(2-WEEKDAY($S213),7))+27),1,IF(N($W213)&gt;0,AVERAGEIFS($AB$5:$AB$1000,$U$5:$U$1000,ROW(),$V$5:$V$1000,"Sub"),$AB213)))</f>
        <v/>
      </c>
      <c r="AG213" s="62">
        <f>IF($V213&lt;&gt;"Macro","",IF(COUNTIFS($S$5:$S$1000,$S213,$V$5:$V$1000,"Macro",$H$5:$H$1000,"&gt;0")=0,1/COUNTIFS($S$5:$S$1000,$S213,$V$5:$V$1000,"Macro"),IF(AND(ISNUMBER($H213),N($H213)&gt;0),$H213,SUMIFS($H$5:$H$1000,$S$5:$S$1000,$S213,$V$5:$V$1000,"Macro")/COUNTIFS($S$5:$S$1000,$S213,$V$5:$V$1000,"Macro",$H$5:$H$1000,"&gt;0"))/(COUNTIFS($S$5:$S$1000,$S213,$V$5:$V$1000,"Macro")*SUMIFS($H$5:$H$1000,$S$5:$S$1000,$S213,$V$5:$V$1000,"Macro")/COUNTIFS($S$5:$S$1000,$S213,$V$5:$V$1000,"Macro",$H$5:$H$1000,"&gt;0"))))</f>
        <v/>
      </c>
      <c r="AH213" s="62" t="n"/>
      <c r="AI213" s="62" t="n"/>
      <c r="AJ213" s="62" t="n"/>
      <c r="AK213" s="62" t="n"/>
      <c r="AL213" s="62">
        <f>IF(LEFT($C213,11)="[Jefatura] ",IFERROR(MATCH("Asistente Técnico de Riesgo|"&amp;MID($C213,12,500),rDname_ADM,0),0),"")</f>
        <v/>
      </c>
      <c r="AM213" s="62">
        <f>IF(N($AL213)&gt;0,INDEX(rIni_ADM,$AL213),IF(ISNUMBER($E213),$E213,""))</f>
        <v/>
      </c>
      <c r="AN213" s="62">
        <f>IF(N($AL213)&gt;0,INDEX(rLim_ADM,$AL213),IF(ISNUMBER($F213),$F213,""))</f>
        <v/>
      </c>
    </row>
    <row r="214">
      <c r="A214" s="56">
        <f>IF(NOT((COUNTA($B214:$D214)+COUNTA($G214:$L214)+COUNTA($Q214))&gt;0),"",IF($V214="Macro",COUNTIFS($V$5:$V214,"Macro",$S$5:$S214,$S214),IF(N($U214)=0,"?",COUNTIFS(INDEX($V$5:$V$1000,1):INDEX($V$5:$V$1000,$U214-4),"Macro",INDEX($S$5:$S$1000,1):INDEX($S$5:$S$1000,$U214-4),INDEX($S$5:$S$1000,$U214-4))&amp;"."&amp;COUNTIFS($U$5:$U214,$U214,$V$5:$V214,"Sub"))))</f>
        <v/>
      </c>
      <c r="B214" s="57" t="n"/>
      <c r="C214" s="58" t="n"/>
      <c r="D214" s="58" t="n"/>
      <c r="E214" s="59">
        <f>IF(N($AL214)&gt;0,INDEX(rIni_ADM,$AL214),"")</f>
        <v/>
      </c>
      <c r="F214" s="59">
        <f>IF(N($AL214)&gt;0,INDEX(rLim_ADM,$AL214),"")</f>
        <v/>
      </c>
      <c r="G214" s="59" t="n"/>
      <c r="H214" s="60" t="n"/>
      <c r="I214" s="60" t="n"/>
      <c r="J214" s="60" t="n"/>
      <c r="K214" s="60" t="n"/>
      <c r="L214" s="60" t="n"/>
      <c r="M214" s="61">
        <f>IF(NOT((COUNTA($B214:$D214)+COUNTA($G214:$L214)+COUNTA($Q214))&gt;0),"",IF($V214="Sub",IFERROR($X214/INDEX($W$5:$W$1000,$U214-4),""),IF(ISNUMBER($G214),1,IF(N($W214)&gt;0,AVERAGEIFS($X$5:$X$1000,$U$5:$U$1000,ROW(),$V$5:$V$1000,"Sub"),$X214))))</f>
        <v/>
      </c>
      <c r="N214" s="56">
        <f>IF(OR($M214="",$V214="Sub"),"",IF($M214&gt;=1,"Completado",IF($M214&gt;0,"En curso","Pendiente")))</f>
        <v/>
      </c>
      <c r="O214" s="56">
        <f>IF(OR(NOT((COUNTA($B214:$D214)+COUNTA($G214:$L214)+COUNTA($Q214))&gt;0),$V214="Sub"),"",IF(ISNUMBER($G214),IF(AND(ISNUMBER($AN214),$G214&gt;$AN214),"Cumplida con "&amp;($G214-$AN214)&amp;IF($G214-$AN214=1," día"," días")&amp;" de retraso","Cumplida"),IF(N($M214)&gt;=1,"Cumplida",IF(NOT(ISNUMBER($AN214)),"Sin fecha límite",IF($AN214&lt;FechaRef,"Vencida hace "&amp;(FechaRef-$AN214)&amp;IF(FechaRef-$AN214=1," día"," días"),IF($AN214=FechaRef,"Vence hoy",IF($AN214-FechaRef&lt;=DiasAlerta,"Vence en "&amp;($AN214-FechaRef)&amp;IF($AN214-FechaRef=1," día"," días"),"En plazo")))))))</f>
        <v/>
      </c>
      <c r="P214" s="62" t="n"/>
      <c r="Q214" s="58" t="n"/>
      <c r="R214" s="63">
        <f>IF(NOT((COUNTA($B214:$D214)+COUNTA($G214:$L214)+COUNTA($Q214))&gt;0),"",IF((IF($C214="","Falta el nombre de la actividad"&amp;" · ","")&amp;IF(AND($V214="Sub",N($U214)=0),"Subactividad sin macroactividad arriba"&amp;" · ","")&amp;IF($AM214="","Sin fecha de inicio"&amp;" · ","")&amp;IF($AN214="","Sin fecha límite"&amp;" · ","")&amp;IF(AND(LEFT($C214,11)="[Jefatura] ",N($AL214)=0),"No se encuentra en la hoja de la jefatura (elíjala de nuevo en la lista)"&amp;" · ","")&amp;IF(OR(AND($E214&lt;&gt;"",NOT(ISNUMBER($E214))),AND($F214&lt;&gt;"",NOT(ISNUMBER($F214))),AND($G214&lt;&gt;"",NOT(ISNUMBER($G214)))),"Fecha no válida"&amp;" · ","")&amp;IF(AND(ISNUMBER($AM214),ISNUMBER($AN214),$AM214&gt;$AN214),"Inicio posterior a fecha límite"&amp;" · ","")&amp;IF(AND($V214="Macro",$H214&lt;&gt;"",OR(NOT(ISNUMBER($H214)),$H214&lt;0,$H214&gt;1)),"Peso fuera de rango"&amp;" · ","")&amp;IF(AND($V214="Sub",$H214&lt;&gt;""),"Las subactividades no llevan peso (valen igual dentro de su macroactividad)"&amp;" · ","")&amp;IF(AND(N($W214)&gt;0,COUNT($I214:$L214)&gt;0),"Con subactividades: deje vacías las semanas (se calculan solas)"&amp;" · ","")&amp;IF((COUNTIF($I214:$L214,"&gt;1")+COUNTIF($I214:$L214,"&lt;0")+COUNTA($I214:$L214)-COUNT($I214:$L214))&gt;0,"Avance fuera de rango 0-100%"&amp;" · ","")&amp;IF(OR(AND($J214&lt;&gt;"",$J214&lt;$I214),AND($K214&lt;&gt;"",$K214&lt;MAX($I214:$J214)),AND($L214&lt;&gt;"",$L214&lt;MAX($I214:$K214))),"Avance semanal decreciente"&amp;" · ","")&amp;IF(AND(ISNUMBER($AN214),$AN214&lt;FechaRef,IF($V214="Sub",N($X214),N($M214))&lt;1),"Vencida"&amp;" · ","")&amp;IF(AND(ObsObligatoria="Sí",ISNUMBER($AN214),$AN214&lt;FechaRef,IF($V214="Sub",N($X214),N($M214))&lt;1,$Q214=""),"Vencida sin observación"&amp;" · ",""))="","✔ OK","⚠ "&amp;LEFT(IF($C214="","Falta el nombre de la actividad"&amp;" · ","")&amp;IF(AND($V214="Sub",N($U214)=0),"Subactividad sin macroactividad arriba"&amp;" · ","")&amp;IF($AM214="","Sin fecha de inicio"&amp;" · ","")&amp;IF($AN214="","Sin fecha límite"&amp;" · ","")&amp;IF(AND(LEFT($C214,11)="[Jefatura] ",N($AL214)=0),"No se encuentra en la hoja de la jefatura (elíjala de nuevo en la lista)"&amp;" · ","")&amp;IF(OR(AND($E214&lt;&gt;"",NOT(ISNUMBER($E214))),AND($F214&lt;&gt;"",NOT(ISNUMBER($F214))),AND($G214&lt;&gt;"",NOT(ISNUMBER($G214)))),"Fecha no válida"&amp;" · ","")&amp;IF(AND(ISNUMBER($AM214),ISNUMBER($AN214),$AM214&gt;$AN214),"Inicio posterior a fecha límite"&amp;" · ","")&amp;IF(AND($V214="Macro",$H214&lt;&gt;"",OR(NOT(ISNUMBER($H214)),$H214&lt;0,$H214&gt;1)),"Peso fuera de rango"&amp;" · ","")&amp;IF(AND($V214="Sub",$H214&lt;&gt;""),"Las subactividades no llevan peso (valen igual dentro de su macroactividad)"&amp;" · ","")&amp;IF(AND(N($W214)&gt;0,COUNT($I214:$L214)&gt;0),"Con subactividades: deje vacías las semanas (se calculan solas)"&amp;" · ","")&amp;IF((COUNTIF($I214:$L214,"&gt;1")+COUNTIF($I214:$L214,"&lt;0")+COUNTA($I214:$L214)-COUNT($I214:$L214))&gt;0,"Avance fuera de rango 0-100%"&amp;" · ","")&amp;IF(OR(AND($J214&lt;&gt;"",$J214&lt;$I214),AND($K214&lt;&gt;"",$K214&lt;MAX($I214:$J214)),AND($L214&lt;&gt;"",$L214&lt;MAX($I214:$K214))),"Avance semanal decreciente"&amp;" · ","")&amp;IF(AND(ISNUMBER($AN214),$AN214&lt;FechaRef,IF($V214="Sub",N($X214),N($M214))&lt;1),"Vencida"&amp;" · ","")&amp;IF(AND(ObsObligatoria="Sí",ISNUMBER($AN214),$AN214&lt;FechaRef,IF($V214="Sub",N($X214),N($M214))&lt;1,$Q214=""),"Vencida sin observación"&amp;" · ",""),LEN(IF($C214="","Falta el nombre de la actividad"&amp;" · ","")&amp;IF(AND($V214="Sub",N($U214)=0),"Subactividad sin macroactividad arriba"&amp;" · ","")&amp;IF($AM214="","Sin fecha de inicio"&amp;" · ","")&amp;IF($AN214="","Sin fecha límite"&amp;" · ","")&amp;IF(AND(LEFT($C214,11)="[Jefatura] ",N($AL214)=0),"No se encuentra en la hoja de la jefatura (elíjala de nuevo en la lista)"&amp;" · ","")&amp;IF(OR(AND($E214&lt;&gt;"",NOT(ISNUMBER($E214))),AND($F214&lt;&gt;"",NOT(ISNUMBER($F214))),AND($G214&lt;&gt;"",NOT(ISNUMBER($G214)))),"Fecha no válida"&amp;" · ","")&amp;IF(AND(ISNUMBER($AM214),ISNUMBER($AN214),$AM214&gt;$AN214),"Inicio posterior a fecha límite"&amp;" · ","")&amp;IF(AND($V214="Macro",$H214&lt;&gt;"",OR(NOT(ISNUMBER($H214)),$H214&lt;0,$H214&gt;1)),"Peso fuera de rango"&amp;" · ","")&amp;IF(AND($V214="Sub",$H214&lt;&gt;""),"Las subactividades no llevan peso (valen igual dentro de su macroactividad)"&amp;" · ","")&amp;IF(AND(N($W214)&gt;0,COUNT($I214:$L214)&gt;0),"Con subactividades: deje vacías las semanas (se calculan solas)"&amp;" · ","")&amp;IF((COUNTIF($I214:$L214,"&gt;1")+COUNTIF($I214:$L214,"&lt;0")+COUNTA($I214:$L214)-COUNT($I214:$L214))&gt;0,"Avance fuera de rango 0-100%"&amp;" · ","")&amp;IF(OR(AND($J214&lt;&gt;"",$J214&lt;$I214),AND($K214&lt;&gt;"",$K214&lt;MAX($I214:$J214)),AND($L214&lt;&gt;"",$L214&lt;MAX($I214:$K214))),"Avance semanal decreciente"&amp;" · ","")&amp;IF(AND(ISNUMBER($AN214),$AN214&lt;FechaRef,IF($V214="Sub",N($X214),N($M214))&lt;1),"Vencida"&amp;" · ","")&amp;IF(AND(ObsObligatoria="Sí",ISNUMBER($AN214),$AN214&lt;FechaRef,IF($V214="Sub",N($X214),N($M214))&lt;1,$Q214=""),"Vencida sin observación"&amp;" · ",""))-3)))</f>
        <v/>
      </c>
      <c r="S214" s="64">
        <f>IF(NOT((COUNTA($B214:$D214)+COUNTA($G214:$L214)+COUNTA($Q214))&gt;0),"",IF(AND($V214="Sub",N($U214)&gt;0),IF(ISNUMBER(INDEX($AM$5:$AM$1000,$U214-4)),DATE(YEAR(INDEX($AM$5:$AM$1000,$U214-4)),MONTH(INDEX($AM$5:$AM$1000,$U214-4)),1),IF(ISNUMBER(INDEX($AN$5:$AN$1000,$U214-4)),DATE(YEAR(INDEX($AN$5:$AN$1000,$U214-4)),MONTH(INDEX($AN$5:$AN$1000,$U214-4)),1),MesCiclo)),IF(ISNUMBER($AM214),DATE(YEAR($AM214),MONTH($AM214),1),IF(ISNUMBER($AN214),DATE(YEAR($AN214),MONTH($AN214),1),MesCiclo))))</f>
        <v/>
      </c>
      <c r="T214" s="62">
        <f>IF(OR($S214="",$S214&lt;&gt;MesCiclo,$V214&lt;&gt;"Macro"),"",COUNTIFS($S$5:$S214,MesCiclo,$V$5:$V214,"Macro"))</f>
        <v/>
      </c>
      <c r="U214" s="62">
        <f>IF($V214="","",IF($V214="Macro",ROW(),IFERROR(LOOKUP(2,1/($V$5:$V214="Macro"),ROW($V$5:$V214)),0)))</f>
        <v/>
      </c>
      <c r="V214" s="62">
        <f>IF(NOT((COUNTA($B214:$D214)+COUNTA($G214:$L214)+COUNTA($Q214))&gt;0),"",IF($B214="Subactividad","Sub","Macro"))</f>
        <v/>
      </c>
      <c r="W214" s="62">
        <f>IF($V214="Macro",COUNTIFS($U$5:$U$1000,ROW(),$V$5:$V$1000,"Sub"),"")</f>
        <v/>
      </c>
      <c r="X214" s="62">
        <f>IF($V214="","",IF(ISNUMBER($G214),1,IFERROR(LOOKUP(2,1/($I214:$L214&lt;&gt;""),$I214:$L214),0)))</f>
        <v/>
      </c>
      <c r="Y214" s="62">
        <f>IF($V214="","",IF(AND(ISNUMBER($G214),$G214&lt;=IF($S214=MesCiclo,InicioCiclo,$S214+MOD(2-WEEKDAY($S214),7))+6),1,IF(ISNUMBER($I214),$I214,0)))</f>
        <v/>
      </c>
      <c r="Z214" s="62">
        <f>IF($V214="","",IF(AND(ISNUMBER($G214),$G214&lt;=IF($S214=MesCiclo,InicioCiclo,$S214+MOD(2-WEEKDAY($S214),7))+13),1,IF(ISNUMBER($J214),$J214,$Y214)))</f>
        <v/>
      </c>
      <c r="AA214" s="62">
        <f>IF($V214="","",IF(AND(ISNUMBER($G214),$G214&lt;=IF($S214=MesCiclo,InicioCiclo,$S214+MOD(2-WEEKDAY($S214),7))+20),1,IF(ISNUMBER($K214),$K214,$Z214)))</f>
        <v/>
      </c>
      <c r="AB214" s="62">
        <f>IF($V214="","",IF(AND(ISNUMBER($G214),$G214&lt;=IF($S214=MesCiclo,InicioCiclo,$S214+MOD(2-WEEKDAY($S214),7))+27),1,IF(ISNUMBER($L214),$L214,$AA214)))</f>
        <v/>
      </c>
      <c r="AC214" s="62">
        <f>IF($V214="","",IF(AND(ISNUMBER($G214),$G214&lt;=IF($S214=MesCiclo,InicioCiclo,$S214+MOD(2-WEEKDAY($S214),7))+6),1,IF(N($W214)&gt;0,AVERAGEIFS($Y$5:$Y$1000,$U$5:$U$1000,ROW(),$V$5:$V$1000,"Sub"),$Y214)))</f>
        <v/>
      </c>
      <c r="AD214" s="62">
        <f>IF($V214="","",IF(AND(ISNUMBER($G214),$G214&lt;=IF($S214=MesCiclo,InicioCiclo,$S214+MOD(2-WEEKDAY($S214),7))+13),1,IF(N($W214)&gt;0,AVERAGEIFS($Z$5:$Z$1000,$U$5:$U$1000,ROW(),$V$5:$V$1000,"Sub"),$Z214)))</f>
        <v/>
      </c>
      <c r="AE214" s="62">
        <f>IF($V214="","",IF(AND(ISNUMBER($G214),$G214&lt;=IF($S214=MesCiclo,InicioCiclo,$S214+MOD(2-WEEKDAY($S214),7))+20),1,IF(N($W214)&gt;0,AVERAGEIFS($AA$5:$AA$1000,$U$5:$U$1000,ROW(),$V$5:$V$1000,"Sub"),$AA214)))</f>
        <v/>
      </c>
      <c r="AF214" s="62">
        <f>IF($V214="","",IF(AND(ISNUMBER($G214),$G214&lt;=IF($S214=MesCiclo,InicioCiclo,$S214+MOD(2-WEEKDAY($S214),7))+27),1,IF(N($W214)&gt;0,AVERAGEIFS($AB$5:$AB$1000,$U$5:$U$1000,ROW(),$V$5:$V$1000,"Sub"),$AB214)))</f>
        <v/>
      </c>
      <c r="AG214" s="62">
        <f>IF($V214&lt;&gt;"Macro","",IF(COUNTIFS($S$5:$S$1000,$S214,$V$5:$V$1000,"Macro",$H$5:$H$1000,"&gt;0")=0,1/COUNTIFS($S$5:$S$1000,$S214,$V$5:$V$1000,"Macro"),IF(AND(ISNUMBER($H214),N($H214)&gt;0),$H214,SUMIFS($H$5:$H$1000,$S$5:$S$1000,$S214,$V$5:$V$1000,"Macro")/COUNTIFS($S$5:$S$1000,$S214,$V$5:$V$1000,"Macro",$H$5:$H$1000,"&gt;0"))/(COUNTIFS($S$5:$S$1000,$S214,$V$5:$V$1000,"Macro")*SUMIFS($H$5:$H$1000,$S$5:$S$1000,$S214,$V$5:$V$1000,"Macro")/COUNTIFS($S$5:$S$1000,$S214,$V$5:$V$1000,"Macro",$H$5:$H$1000,"&gt;0"))))</f>
        <v/>
      </c>
      <c r="AH214" s="62" t="n"/>
      <c r="AI214" s="62" t="n"/>
      <c r="AJ214" s="62" t="n"/>
      <c r="AK214" s="62" t="n"/>
      <c r="AL214" s="62">
        <f>IF(LEFT($C214,11)="[Jefatura] ",IFERROR(MATCH("Asistente Técnico de Riesgo|"&amp;MID($C214,12,500),rDname_ADM,0),0),"")</f>
        <v/>
      </c>
      <c r="AM214" s="62">
        <f>IF(N($AL214)&gt;0,INDEX(rIni_ADM,$AL214),IF(ISNUMBER($E214),$E214,""))</f>
        <v/>
      </c>
      <c r="AN214" s="62">
        <f>IF(N($AL214)&gt;0,INDEX(rLim_ADM,$AL214),IF(ISNUMBER($F214),$F214,""))</f>
        <v/>
      </c>
    </row>
    <row r="215">
      <c r="A215" s="56">
        <f>IF(NOT((COUNTA($B215:$D215)+COUNTA($G215:$L215)+COUNTA($Q215))&gt;0),"",IF($V215="Macro",COUNTIFS($V$5:$V215,"Macro",$S$5:$S215,$S215),IF(N($U215)=0,"?",COUNTIFS(INDEX($V$5:$V$1000,1):INDEX($V$5:$V$1000,$U215-4),"Macro",INDEX($S$5:$S$1000,1):INDEX($S$5:$S$1000,$U215-4),INDEX($S$5:$S$1000,$U215-4))&amp;"."&amp;COUNTIFS($U$5:$U215,$U215,$V$5:$V215,"Sub"))))</f>
        <v/>
      </c>
      <c r="B215" s="57" t="n"/>
      <c r="C215" s="58" t="n"/>
      <c r="D215" s="58" t="n"/>
      <c r="E215" s="59">
        <f>IF(N($AL215)&gt;0,INDEX(rIni_ADM,$AL215),"")</f>
        <v/>
      </c>
      <c r="F215" s="59">
        <f>IF(N($AL215)&gt;0,INDEX(rLim_ADM,$AL215),"")</f>
        <v/>
      </c>
      <c r="G215" s="59" t="n"/>
      <c r="H215" s="60" t="n"/>
      <c r="I215" s="60" t="n"/>
      <c r="J215" s="60" t="n"/>
      <c r="K215" s="60" t="n"/>
      <c r="L215" s="60" t="n"/>
      <c r="M215" s="61">
        <f>IF(NOT((COUNTA($B215:$D215)+COUNTA($G215:$L215)+COUNTA($Q215))&gt;0),"",IF($V215="Sub",IFERROR($X215/INDEX($W$5:$W$1000,$U215-4),""),IF(ISNUMBER($G215),1,IF(N($W215)&gt;0,AVERAGEIFS($X$5:$X$1000,$U$5:$U$1000,ROW(),$V$5:$V$1000,"Sub"),$X215))))</f>
        <v/>
      </c>
      <c r="N215" s="56">
        <f>IF(OR($M215="",$V215="Sub"),"",IF($M215&gt;=1,"Completado",IF($M215&gt;0,"En curso","Pendiente")))</f>
        <v/>
      </c>
      <c r="O215" s="56">
        <f>IF(OR(NOT((COUNTA($B215:$D215)+COUNTA($G215:$L215)+COUNTA($Q215))&gt;0),$V215="Sub"),"",IF(ISNUMBER($G215),IF(AND(ISNUMBER($AN215),$G215&gt;$AN215),"Cumplida con "&amp;($G215-$AN215)&amp;IF($G215-$AN215=1," día"," días")&amp;" de retraso","Cumplida"),IF(N($M215)&gt;=1,"Cumplida",IF(NOT(ISNUMBER($AN215)),"Sin fecha límite",IF($AN215&lt;FechaRef,"Vencida hace "&amp;(FechaRef-$AN215)&amp;IF(FechaRef-$AN215=1," día"," días"),IF($AN215=FechaRef,"Vence hoy",IF($AN215-FechaRef&lt;=DiasAlerta,"Vence en "&amp;($AN215-FechaRef)&amp;IF($AN215-FechaRef=1," día"," días"),"En plazo")))))))</f>
        <v/>
      </c>
      <c r="P215" s="62" t="n"/>
      <c r="Q215" s="58" t="n"/>
      <c r="R215" s="63">
        <f>IF(NOT((COUNTA($B215:$D215)+COUNTA($G215:$L215)+COUNTA($Q215))&gt;0),"",IF((IF($C215="","Falta el nombre de la actividad"&amp;" · ","")&amp;IF(AND($V215="Sub",N($U215)=0),"Subactividad sin macroactividad arriba"&amp;" · ","")&amp;IF($AM215="","Sin fecha de inicio"&amp;" · ","")&amp;IF($AN215="","Sin fecha límite"&amp;" · ","")&amp;IF(AND(LEFT($C215,11)="[Jefatura] ",N($AL215)=0),"No se encuentra en la hoja de la jefatura (elíjala de nuevo en la lista)"&amp;" · ","")&amp;IF(OR(AND($E215&lt;&gt;"",NOT(ISNUMBER($E215))),AND($F215&lt;&gt;"",NOT(ISNUMBER($F215))),AND($G215&lt;&gt;"",NOT(ISNUMBER($G215)))),"Fecha no válida"&amp;" · ","")&amp;IF(AND(ISNUMBER($AM215),ISNUMBER($AN215),$AM215&gt;$AN215),"Inicio posterior a fecha límite"&amp;" · ","")&amp;IF(AND($V215="Macro",$H215&lt;&gt;"",OR(NOT(ISNUMBER($H215)),$H215&lt;0,$H215&gt;1)),"Peso fuera de rango"&amp;" · ","")&amp;IF(AND($V215="Sub",$H215&lt;&gt;""),"Las subactividades no llevan peso (valen igual dentro de su macroactividad)"&amp;" · ","")&amp;IF(AND(N($W215)&gt;0,COUNT($I215:$L215)&gt;0),"Con subactividades: deje vacías las semanas (se calculan solas)"&amp;" · ","")&amp;IF((COUNTIF($I215:$L215,"&gt;1")+COUNTIF($I215:$L215,"&lt;0")+COUNTA($I215:$L215)-COUNT($I215:$L215))&gt;0,"Avance fuera de rango 0-100%"&amp;" · ","")&amp;IF(OR(AND($J215&lt;&gt;"",$J215&lt;$I215),AND($K215&lt;&gt;"",$K215&lt;MAX($I215:$J215)),AND($L215&lt;&gt;"",$L215&lt;MAX($I215:$K215))),"Avance semanal decreciente"&amp;" · ","")&amp;IF(AND(ISNUMBER($AN215),$AN215&lt;FechaRef,IF($V215="Sub",N($X215),N($M215))&lt;1),"Vencida"&amp;" · ","")&amp;IF(AND(ObsObligatoria="Sí",ISNUMBER($AN215),$AN215&lt;FechaRef,IF($V215="Sub",N($X215),N($M215))&lt;1,$Q215=""),"Vencida sin observación"&amp;" · ",""))="","✔ OK","⚠ "&amp;LEFT(IF($C215="","Falta el nombre de la actividad"&amp;" · ","")&amp;IF(AND($V215="Sub",N($U215)=0),"Subactividad sin macroactividad arriba"&amp;" · ","")&amp;IF($AM215="","Sin fecha de inicio"&amp;" · ","")&amp;IF($AN215="","Sin fecha límite"&amp;" · ","")&amp;IF(AND(LEFT($C215,11)="[Jefatura] ",N($AL215)=0),"No se encuentra en la hoja de la jefatura (elíjala de nuevo en la lista)"&amp;" · ","")&amp;IF(OR(AND($E215&lt;&gt;"",NOT(ISNUMBER($E215))),AND($F215&lt;&gt;"",NOT(ISNUMBER($F215))),AND($G215&lt;&gt;"",NOT(ISNUMBER($G215)))),"Fecha no válida"&amp;" · ","")&amp;IF(AND(ISNUMBER($AM215),ISNUMBER($AN215),$AM215&gt;$AN215),"Inicio posterior a fecha límite"&amp;" · ","")&amp;IF(AND($V215="Macro",$H215&lt;&gt;"",OR(NOT(ISNUMBER($H215)),$H215&lt;0,$H215&gt;1)),"Peso fuera de rango"&amp;" · ","")&amp;IF(AND($V215="Sub",$H215&lt;&gt;""),"Las subactividades no llevan peso (valen igual dentro de su macroactividad)"&amp;" · ","")&amp;IF(AND(N($W215)&gt;0,COUNT($I215:$L215)&gt;0),"Con subactividades: deje vacías las semanas (se calculan solas)"&amp;" · ","")&amp;IF((COUNTIF($I215:$L215,"&gt;1")+COUNTIF($I215:$L215,"&lt;0")+COUNTA($I215:$L215)-COUNT($I215:$L215))&gt;0,"Avance fuera de rango 0-100%"&amp;" · ","")&amp;IF(OR(AND($J215&lt;&gt;"",$J215&lt;$I215),AND($K215&lt;&gt;"",$K215&lt;MAX($I215:$J215)),AND($L215&lt;&gt;"",$L215&lt;MAX($I215:$K215))),"Avance semanal decreciente"&amp;" · ","")&amp;IF(AND(ISNUMBER($AN215),$AN215&lt;FechaRef,IF($V215="Sub",N($X215),N($M215))&lt;1),"Vencida"&amp;" · ","")&amp;IF(AND(ObsObligatoria="Sí",ISNUMBER($AN215),$AN215&lt;FechaRef,IF($V215="Sub",N($X215),N($M215))&lt;1,$Q215=""),"Vencida sin observación"&amp;" · ",""),LEN(IF($C215="","Falta el nombre de la actividad"&amp;" · ","")&amp;IF(AND($V215="Sub",N($U215)=0),"Subactividad sin macroactividad arriba"&amp;" · ","")&amp;IF($AM215="","Sin fecha de inicio"&amp;" · ","")&amp;IF($AN215="","Sin fecha límite"&amp;" · ","")&amp;IF(AND(LEFT($C215,11)="[Jefatura] ",N($AL215)=0),"No se encuentra en la hoja de la jefatura (elíjala de nuevo en la lista)"&amp;" · ","")&amp;IF(OR(AND($E215&lt;&gt;"",NOT(ISNUMBER($E215))),AND($F215&lt;&gt;"",NOT(ISNUMBER($F215))),AND($G215&lt;&gt;"",NOT(ISNUMBER($G215)))),"Fecha no válida"&amp;" · ","")&amp;IF(AND(ISNUMBER($AM215),ISNUMBER($AN215),$AM215&gt;$AN215),"Inicio posterior a fecha límite"&amp;" · ","")&amp;IF(AND($V215="Macro",$H215&lt;&gt;"",OR(NOT(ISNUMBER($H215)),$H215&lt;0,$H215&gt;1)),"Peso fuera de rango"&amp;" · ","")&amp;IF(AND($V215="Sub",$H215&lt;&gt;""),"Las subactividades no llevan peso (valen igual dentro de su macroactividad)"&amp;" · ","")&amp;IF(AND(N($W215)&gt;0,COUNT($I215:$L215)&gt;0),"Con subactividades: deje vacías las semanas (se calculan solas)"&amp;" · ","")&amp;IF((COUNTIF($I215:$L215,"&gt;1")+COUNTIF($I215:$L215,"&lt;0")+COUNTA($I215:$L215)-COUNT($I215:$L215))&gt;0,"Avance fuera de rango 0-100%"&amp;" · ","")&amp;IF(OR(AND($J215&lt;&gt;"",$J215&lt;$I215),AND($K215&lt;&gt;"",$K215&lt;MAX($I215:$J215)),AND($L215&lt;&gt;"",$L215&lt;MAX($I215:$K215))),"Avance semanal decreciente"&amp;" · ","")&amp;IF(AND(ISNUMBER($AN215),$AN215&lt;FechaRef,IF($V215="Sub",N($X215),N($M215))&lt;1),"Vencida"&amp;" · ","")&amp;IF(AND(ObsObligatoria="Sí",ISNUMBER($AN215),$AN215&lt;FechaRef,IF($V215="Sub",N($X215),N($M215))&lt;1,$Q215=""),"Vencida sin observación"&amp;" · ",""))-3)))</f>
        <v/>
      </c>
      <c r="S215" s="64">
        <f>IF(NOT((COUNTA($B215:$D215)+COUNTA($G215:$L215)+COUNTA($Q215))&gt;0),"",IF(AND($V215="Sub",N($U215)&gt;0),IF(ISNUMBER(INDEX($AM$5:$AM$1000,$U215-4)),DATE(YEAR(INDEX($AM$5:$AM$1000,$U215-4)),MONTH(INDEX($AM$5:$AM$1000,$U215-4)),1),IF(ISNUMBER(INDEX($AN$5:$AN$1000,$U215-4)),DATE(YEAR(INDEX($AN$5:$AN$1000,$U215-4)),MONTH(INDEX($AN$5:$AN$1000,$U215-4)),1),MesCiclo)),IF(ISNUMBER($AM215),DATE(YEAR($AM215),MONTH($AM215),1),IF(ISNUMBER($AN215),DATE(YEAR($AN215),MONTH($AN215),1),MesCiclo))))</f>
        <v/>
      </c>
      <c r="T215" s="62">
        <f>IF(OR($S215="",$S215&lt;&gt;MesCiclo,$V215&lt;&gt;"Macro"),"",COUNTIFS($S$5:$S215,MesCiclo,$V$5:$V215,"Macro"))</f>
        <v/>
      </c>
      <c r="U215" s="62">
        <f>IF($V215="","",IF($V215="Macro",ROW(),IFERROR(LOOKUP(2,1/($V$5:$V215="Macro"),ROW($V$5:$V215)),0)))</f>
        <v/>
      </c>
      <c r="V215" s="62">
        <f>IF(NOT((COUNTA($B215:$D215)+COUNTA($G215:$L215)+COUNTA($Q215))&gt;0),"",IF($B215="Subactividad","Sub","Macro"))</f>
        <v/>
      </c>
      <c r="W215" s="62">
        <f>IF($V215="Macro",COUNTIFS($U$5:$U$1000,ROW(),$V$5:$V$1000,"Sub"),"")</f>
        <v/>
      </c>
      <c r="X215" s="62">
        <f>IF($V215="","",IF(ISNUMBER($G215),1,IFERROR(LOOKUP(2,1/($I215:$L215&lt;&gt;""),$I215:$L215),0)))</f>
        <v/>
      </c>
      <c r="Y215" s="62">
        <f>IF($V215="","",IF(AND(ISNUMBER($G215),$G215&lt;=IF($S215=MesCiclo,InicioCiclo,$S215+MOD(2-WEEKDAY($S215),7))+6),1,IF(ISNUMBER($I215),$I215,0)))</f>
        <v/>
      </c>
      <c r="Z215" s="62">
        <f>IF($V215="","",IF(AND(ISNUMBER($G215),$G215&lt;=IF($S215=MesCiclo,InicioCiclo,$S215+MOD(2-WEEKDAY($S215),7))+13),1,IF(ISNUMBER($J215),$J215,$Y215)))</f>
        <v/>
      </c>
      <c r="AA215" s="62">
        <f>IF($V215="","",IF(AND(ISNUMBER($G215),$G215&lt;=IF($S215=MesCiclo,InicioCiclo,$S215+MOD(2-WEEKDAY($S215),7))+20),1,IF(ISNUMBER($K215),$K215,$Z215)))</f>
        <v/>
      </c>
      <c r="AB215" s="62">
        <f>IF($V215="","",IF(AND(ISNUMBER($G215),$G215&lt;=IF($S215=MesCiclo,InicioCiclo,$S215+MOD(2-WEEKDAY($S215),7))+27),1,IF(ISNUMBER($L215),$L215,$AA215)))</f>
        <v/>
      </c>
      <c r="AC215" s="62">
        <f>IF($V215="","",IF(AND(ISNUMBER($G215),$G215&lt;=IF($S215=MesCiclo,InicioCiclo,$S215+MOD(2-WEEKDAY($S215),7))+6),1,IF(N($W215)&gt;0,AVERAGEIFS($Y$5:$Y$1000,$U$5:$U$1000,ROW(),$V$5:$V$1000,"Sub"),$Y215)))</f>
        <v/>
      </c>
      <c r="AD215" s="62">
        <f>IF($V215="","",IF(AND(ISNUMBER($G215),$G215&lt;=IF($S215=MesCiclo,InicioCiclo,$S215+MOD(2-WEEKDAY($S215),7))+13),1,IF(N($W215)&gt;0,AVERAGEIFS($Z$5:$Z$1000,$U$5:$U$1000,ROW(),$V$5:$V$1000,"Sub"),$Z215)))</f>
        <v/>
      </c>
      <c r="AE215" s="62">
        <f>IF($V215="","",IF(AND(ISNUMBER($G215),$G215&lt;=IF($S215=MesCiclo,InicioCiclo,$S215+MOD(2-WEEKDAY($S215),7))+20),1,IF(N($W215)&gt;0,AVERAGEIFS($AA$5:$AA$1000,$U$5:$U$1000,ROW(),$V$5:$V$1000,"Sub"),$AA215)))</f>
        <v/>
      </c>
      <c r="AF215" s="62">
        <f>IF($V215="","",IF(AND(ISNUMBER($G215),$G215&lt;=IF($S215=MesCiclo,InicioCiclo,$S215+MOD(2-WEEKDAY($S215),7))+27),1,IF(N($W215)&gt;0,AVERAGEIFS($AB$5:$AB$1000,$U$5:$U$1000,ROW(),$V$5:$V$1000,"Sub"),$AB215)))</f>
        <v/>
      </c>
      <c r="AG215" s="62">
        <f>IF($V215&lt;&gt;"Macro","",IF(COUNTIFS($S$5:$S$1000,$S215,$V$5:$V$1000,"Macro",$H$5:$H$1000,"&gt;0")=0,1/COUNTIFS($S$5:$S$1000,$S215,$V$5:$V$1000,"Macro"),IF(AND(ISNUMBER($H215),N($H215)&gt;0),$H215,SUMIFS($H$5:$H$1000,$S$5:$S$1000,$S215,$V$5:$V$1000,"Macro")/COUNTIFS($S$5:$S$1000,$S215,$V$5:$V$1000,"Macro",$H$5:$H$1000,"&gt;0"))/(COUNTIFS($S$5:$S$1000,$S215,$V$5:$V$1000,"Macro")*SUMIFS($H$5:$H$1000,$S$5:$S$1000,$S215,$V$5:$V$1000,"Macro")/COUNTIFS($S$5:$S$1000,$S215,$V$5:$V$1000,"Macro",$H$5:$H$1000,"&gt;0"))))</f>
        <v/>
      </c>
      <c r="AH215" s="62" t="n"/>
      <c r="AI215" s="62" t="n"/>
      <c r="AJ215" s="62" t="n"/>
      <c r="AK215" s="62" t="n"/>
      <c r="AL215" s="62">
        <f>IF(LEFT($C215,11)="[Jefatura] ",IFERROR(MATCH("Asistente Técnico de Riesgo|"&amp;MID($C215,12,500),rDname_ADM,0),0),"")</f>
        <v/>
      </c>
      <c r="AM215" s="62">
        <f>IF(N($AL215)&gt;0,INDEX(rIni_ADM,$AL215),IF(ISNUMBER($E215),$E215,""))</f>
        <v/>
      </c>
      <c r="AN215" s="62">
        <f>IF(N($AL215)&gt;0,INDEX(rLim_ADM,$AL215),IF(ISNUMBER($F215),$F215,""))</f>
        <v/>
      </c>
    </row>
    <row r="216">
      <c r="A216" s="56">
        <f>IF(NOT((COUNTA($B216:$D216)+COUNTA($G216:$L216)+COUNTA($Q216))&gt;0),"",IF($V216="Macro",COUNTIFS($V$5:$V216,"Macro",$S$5:$S216,$S216),IF(N($U216)=0,"?",COUNTIFS(INDEX($V$5:$V$1000,1):INDEX($V$5:$V$1000,$U216-4),"Macro",INDEX($S$5:$S$1000,1):INDEX($S$5:$S$1000,$U216-4),INDEX($S$5:$S$1000,$U216-4))&amp;"."&amp;COUNTIFS($U$5:$U216,$U216,$V$5:$V216,"Sub"))))</f>
        <v/>
      </c>
      <c r="B216" s="57" t="n"/>
      <c r="C216" s="58" t="n"/>
      <c r="D216" s="58" t="n"/>
      <c r="E216" s="59">
        <f>IF(N($AL216)&gt;0,INDEX(rIni_ADM,$AL216),"")</f>
        <v/>
      </c>
      <c r="F216" s="59">
        <f>IF(N($AL216)&gt;0,INDEX(rLim_ADM,$AL216),"")</f>
        <v/>
      </c>
      <c r="G216" s="59" t="n"/>
      <c r="H216" s="60" t="n"/>
      <c r="I216" s="60" t="n"/>
      <c r="J216" s="60" t="n"/>
      <c r="K216" s="60" t="n"/>
      <c r="L216" s="60" t="n"/>
      <c r="M216" s="61">
        <f>IF(NOT((COUNTA($B216:$D216)+COUNTA($G216:$L216)+COUNTA($Q216))&gt;0),"",IF($V216="Sub",IFERROR($X216/INDEX($W$5:$W$1000,$U216-4),""),IF(ISNUMBER($G216),1,IF(N($W216)&gt;0,AVERAGEIFS($X$5:$X$1000,$U$5:$U$1000,ROW(),$V$5:$V$1000,"Sub"),$X216))))</f>
        <v/>
      </c>
      <c r="N216" s="56">
        <f>IF(OR($M216="",$V216="Sub"),"",IF($M216&gt;=1,"Completado",IF($M216&gt;0,"En curso","Pendiente")))</f>
        <v/>
      </c>
      <c r="O216" s="56">
        <f>IF(OR(NOT((COUNTA($B216:$D216)+COUNTA($G216:$L216)+COUNTA($Q216))&gt;0),$V216="Sub"),"",IF(ISNUMBER($G216),IF(AND(ISNUMBER($AN216),$G216&gt;$AN216),"Cumplida con "&amp;($G216-$AN216)&amp;IF($G216-$AN216=1," día"," días")&amp;" de retraso","Cumplida"),IF(N($M216)&gt;=1,"Cumplida",IF(NOT(ISNUMBER($AN216)),"Sin fecha límite",IF($AN216&lt;FechaRef,"Vencida hace "&amp;(FechaRef-$AN216)&amp;IF(FechaRef-$AN216=1," día"," días"),IF($AN216=FechaRef,"Vence hoy",IF($AN216-FechaRef&lt;=DiasAlerta,"Vence en "&amp;($AN216-FechaRef)&amp;IF($AN216-FechaRef=1," día"," días"),"En plazo")))))))</f>
        <v/>
      </c>
      <c r="P216" s="62" t="n"/>
      <c r="Q216" s="58" t="n"/>
      <c r="R216" s="63">
        <f>IF(NOT((COUNTA($B216:$D216)+COUNTA($G216:$L216)+COUNTA($Q216))&gt;0),"",IF((IF($C216="","Falta el nombre de la actividad"&amp;" · ","")&amp;IF(AND($V216="Sub",N($U216)=0),"Subactividad sin macroactividad arriba"&amp;" · ","")&amp;IF($AM216="","Sin fecha de inicio"&amp;" · ","")&amp;IF($AN216="","Sin fecha límite"&amp;" · ","")&amp;IF(AND(LEFT($C216,11)="[Jefatura] ",N($AL216)=0),"No se encuentra en la hoja de la jefatura (elíjala de nuevo en la lista)"&amp;" · ","")&amp;IF(OR(AND($E216&lt;&gt;"",NOT(ISNUMBER($E216))),AND($F216&lt;&gt;"",NOT(ISNUMBER($F216))),AND($G216&lt;&gt;"",NOT(ISNUMBER($G216)))),"Fecha no válida"&amp;" · ","")&amp;IF(AND(ISNUMBER($AM216),ISNUMBER($AN216),$AM216&gt;$AN216),"Inicio posterior a fecha límite"&amp;" · ","")&amp;IF(AND($V216="Macro",$H216&lt;&gt;"",OR(NOT(ISNUMBER($H216)),$H216&lt;0,$H216&gt;1)),"Peso fuera de rango"&amp;" · ","")&amp;IF(AND($V216="Sub",$H216&lt;&gt;""),"Las subactividades no llevan peso (valen igual dentro de su macroactividad)"&amp;" · ","")&amp;IF(AND(N($W216)&gt;0,COUNT($I216:$L216)&gt;0),"Con subactividades: deje vacías las semanas (se calculan solas)"&amp;" · ","")&amp;IF((COUNTIF($I216:$L216,"&gt;1")+COUNTIF($I216:$L216,"&lt;0")+COUNTA($I216:$L216)-COUNT($I216:$L216))&gt;0,"Avance fuera de rango 0-100%"&amp;" · ","")&amp;IF(OR(AND($J216&lt;&gt;"",$J216&lt;$I216),AND($K216&lt;&gt;"",$K216&lt;MAX($I216:$J216)),AND($L216&lt;&gt;"",$L216&lt;MAX($I216:$K216))),"Avance semanal decreciente"&amp;" · ","")&amp;IF(AND(ISNUMBER($AN216),$AN216&lt;FechaRef,IF($V216="Sub",N($X216),N($M216))&lt;1),"Vencida"&amp;" · ","")&amp;IF(AND(ObsObligatoria="Sí",ISNUMBER($AN216),$AN216&lt;FechaRef,IF($V216="Sub",N($X216),N($M216))&lt;1,$Q216=""),"Vencida sin observación"&amp;" · ",""))="","✔ OK","⚠ "&amp;LEFT(IF($C216="","Falta el nombre de la actividad"&amp;" · ","")&amp;IF(AND($V216="Sub",N($U216)=0),"Subactividad sin macroactividad arriba"&amp;" · ","")&amp;IF($AM216="","Sin fecha de inicio"&amp;" · ","")&amp;IF($AN216="","Sin fecha límite"&amp;" · ","")&amp;IF(AND(LEFT($C216,11)="[Jefatura] ",N($AL216)=0),"No se encuentra en la hoja de la jefatura (elíjala de nuevo en la lista)"&amp;" · ","")&amp;IF(OR(AND($E216&lt;&gt;"",NOT(ISNUMBER($E216))),AND($F216&lt;&gt;"",NOT(ISNUMBER($F216))),AND($G216&lt;&gt;"",NOT(ISNUMBER($G216)))),"Fecha no válida"&amp;" · ","")&amp;IF(AND(ISNUMBER($AM216),ISNUMBER($AN216),$AM216&gt;$AN216),"Inicio posterior a fecha límite"&amp;" · ","")&amp;IF(AND($V216="Macro",$H216&lt;&gt;"",OR(NOT(ISNUMBER($H216)),$H216&lt;0,$H216&gt;1)),"Peso fuera de rango"&amp;" · ","")&amp;IF(AND($V216="Sub",$H216&lt;&gt;""),"Las subactividades no llevan peso (valen igual dentro de su macroactividad)"&amp;" · ","")&amp;IF(AND(N($W216)&gt;0,COUNT($I216:$L216)&gt;0),"Con subactividades: deje vacías las semanas (se calculan solas)"&amp;" · ","")&amp;IF((COUNTIF($I216:$L216,"&gt;1")+COUNTIF($I216:$L216,"&lt;0")+COUNTA($I216:$L216)-COUNT($I216:$L216))&gt;0,"Avance fuera de rango 0-100%"&amp;" · ","")&amp;IF(OR(AND($J216&lt;&gt;"",$J216&lt;$I216),AND($K216&lt;&gt;"",$K216&lt;MAX($I216:$J216)),AND($L216&lt;&gt;"",$L216&lt;MAX($I216:$K216))),"Avance semanal decreciente"&amp;" · ","")&amp;IF(AND(ISNUMBER($AN216),$AN216&lt;FechaRef,IF($V216="Sub",N($X216),N($M216))&lt;1),"Vencida"&amp;" · ","")&amp;IF(AND(ObsObligatoria="Sí",ISNUMBER($AN216),$AN216&lt;FechaRef,IF($V216="Sub",N($X216),N($M216))&lt;1,$Q216=""),"Vencida sin observación"&amp;" · ",""),LEN(IF($C216="","Falta el nombre de la actividad"&amp;" · ","")&amp;IF(AND($V216="Sub",N($U216)=0),"Subactividad sin macroactividad arriba"&amp;" · ","")&amp;IF($AM216="","Sin fecha de inicio"&amp;" · ","")&amp;IF($AN216="","Sin fecha límite"&amp;" · ","")&amp;IF(AND(LEFT($C216,11)="[Jefatura] ",N($AL216)=0),"No se encuentra en la hoja de la jefatura (elíjala de nuevo en la lista)"&amp;" · ","")&amp;IF(OR(AND($E216&lt;&gt;"",NOT(ISNUMBER($E216))),AND($F216&lt;&gt;"",NOT(ISNUMBER($F216))),AND($G216&lt;&gt;"",NOT(ISNUMBER($G216)))),"Fecha no válida"&amp;" · ","")&amp;IF(AND(ISNUMBER($AM216),ISNUMBER($AN216),$AM216&gt;$AN216),"Inicio posterior a fecha límite"&amp;" · ","")&amp;IF(AND($V216="Macro",$H216&lt;&gt;"",OR(NOT(ISNUMBER($H216)),$H216&lt;0,$H216&gt;1)),"Peso fuera de rango"&amp;" · ","")&amp;IF(AND($V216="Sub",$H216&lt;&gt;""),"Las subactividades no llevan peso (valen igual dentro de su macroactividad)"&amp;" · ","")&amp;IF(AND(N($W216)&gt;0,COUNT($I216:$L216)&gt;0),"Con subactividades: deje vacías las semanas (se calculan solas)"&amp;" · ","")&amp;IF((COUNTIF($I216:$L216,"&gt;1")+COUNTIF($I216:$L216,"&lt;0")+COUNTA($I216:$L216)-COUNT($I216:$L216))&gt;0,"Avance fuera de rango 0-100%"&amp;" · ","")&amp;IF(OR(AND($J216&lt;&gt;"",$J216&lt;$I216),AND($K216&lt;&gt;"",$K216&lt;MAX($I216:$J216)),AND($L216&lt;&gt;"",$L216&lt;MAX($I216:$K216))),"Avance semanal decreciente"&amp;" · ","")&amp;IF(AND(ISNUMBER($AN216),$AN216&lt;FechaRef,IF($V216="Sub",N($X216),N($M216))&lt;1),"Vencida"&amp;" · ","")&amp;IF(AND(ObsObligatoria="Sí",ISNUMBER($AN216),$AN216&lt;FechaRef,IF($V216="Sub",N($X216),N($M216))&lt;1,$Q216=""),"Vencida sin observación"&amp;" · ",""))-3)))</f>
        <v/>
      </c>
      <c r="S216" s="64">
        <f>IF(NOT((COUNTA($B216:$D216)+COUNTA($G216:$L216)+COUNTA($Q216))&gt;0),"",IF(AND($V216="Sub",N($U216)&gt;0),IF(ISNUMBER(INDEX($AM$5:$AM$1000,$U216-4)),DATE(YEAR(INDEX($AM$5:$AM$1000,$U216-4)),MONTH(INDEX($AM$5:$AM$1000,$U216-4)),1),IF(ISNUMBER(INDEX($AN$5:$AN$1000,$U216-4)),DATE(YEAR(INDEX($AN$5:$AN$1000,$U216-4)),MONTH(INDEX($AN$5:$AN$1000,$U216-4)),1),MesCiclo)),IF(ISNUMBER($AM216),DATE(YEAR($AM216),MONTH($AM216),1),IF(ISNUMBER($AN216),DATE(YEAR($AN216),MONTH($AN216),1),MesCiclo))))</f>
        <v/>
      </c>
      <c r="T216" s="62">
        <f>IF(OR($S216="",$S216&lt;&gt;MesCiclo,$V216&lt;&gt;"Macro"),"",COUNTIFS($S$5:$S216,MesCiclo,$V$5:$V216,"Macro"))</f>
        <v/>
      </c>
      <c r="U216" s="62">
        <f>IF($V216="","",IF($V216="Macro",ROW(),IFERROR(LOOKUP(2,1/($V$5:$V216="Macro"),ROW($V$5:$V216)),0)))</f>
        <v/>
      </c>
      <c r="V216" s="62">
        <f>IF(NOT((COUNTA($B216:$D216)+COUNTA($G216:$L216)+COUNTA($Q216))&gt;0),"",IF($B216="Subactividad","Sub","Macro"))</f>
        <v/>
      </c>
      <c r="W216" s="62">
        <f>IF($V216="Macro",COUNTIFS($U$5:$U$1000,ROW(),$V$5:$V$1000,"Sub"),"")</f>
        <v/>
      </c>
      <c r="X216" s="62">
        <f>IF($V216="","",IF(ISNUMBER($G216),1,IFERROR(LOOKUP(2,1/($I216:$L216&lt;&gt;""),$I216:$L216),0)))</f>
        <v/>
      </c>
      <c r="Y216" s="62">
        <f>IF($V216="","",IF(AND(ISNUMBER($G216),$G216&lt;=IF($S216=MesCiclo,InicioCiclo,$S216+MOD(2-WEEKDAY($S216),7))+6),1,IF(ISNUMBER($I216),$I216,0)))</f>
        <v/>
      </c>
      <c r="Z216" s="62">
        <f>IF($V216="","",IF(AND(ISNUMBER($G216),$G216&lt;=IF($S216=MesCiclo,InicioCiclo,$S216+MOD(2-WEEKDAY($S216),7))+13),1,IF(ISNUMBER($J216),$J216,$Y216)))</f>
        <v/>
      </c>
      <c r="AA216" s="62">
        <f>IF($V216="","",IF(AND(ISNUMBER($G216),$G216&lt;=IF($S216=MesCiclo,InicioCiclo,$S216+MOD(2-WEEKDAY($S216),7))+20),1,IF(ISNUMBER($K216),$K216,$Z216)))</f>
        <v/>
      </c>
      <c r="AB216" s="62">
        <f>IF($V216="","",IF(AND(ISNUMBER($G216),$G216&lt;=IF($S216=MesCiclo,InicioCiclo,$S216+MOD(2-WEEKDAY($S216),7))+27),1,IF(ISNUMBER($L216),$L216,$AA216)))</f>
        <v/>
      </c>
      <c r="AC216" s="62">
        <f>IF($V216="","",IF(AND(ISNUMBER($G216),$G216&lt;=IF($S216=MesCiclo,InicioCiclo,$S216+MOD(2-WEEKDAY($S216),7))+6),1,IF(N($W216)&gt;0,AVERAGEIFS($Y$5:$Y$1000,$U$5:$U$1000,ROW(),$V$5:$V$1000,"Sub"),$Y216)))</f>
        <v/>
      </c>
      <c r="AD216" s="62">
        <f>IF($V216="","",IF(AND(ISNUMBER($G216),$G216&lt;=IF($S216=MesCiclo,InicioCiclo,$S216+MOD(2-WEEKDAY($S216),7))+13),1,IF(N($W216)&gt;0,AVERAGEIFS($Z$5:$Z$1000,$U$5:$U$1000,ROW(),$V$5:$V$1000,"Sub"),$Z216)))</f>
        <v/>
      </c>
      <c r="AE216" s="62">
        <f>IF($V216="","",IF(AND(ISNUMBER($G216),$G216&lt;=IF($S216=MesCiclo,InicioCiclo,$S216+MOD(2-WEEKDAY($S216),7))+20),1,IF(N($W216)&gt;0,AVERAGEIFS($AA$5:$AA$1000,$U$5:$U$1000,ROW(),$V$5:$V$1000,"Sub"),$AA216)))</f>
        <v/>
      </c>
      <c r="AF216" s="62">
        <f>IF($V216="","",IF(AND(ISNUMBER($G216),$G216&lt;=IF($S216=MesCiclo,InicioCiclo,$S216+MOD(2-WEEKDAY($S216),7))+27),1,IF(N($W216)&gt;0,AVERAGEIFS($AB$5:$AB$1000,$U$5:$U$1000,ROW(),$V$5:$V$1000,"Sub"),$AB216)))</f>
        <v/>
      </c>
      <c r="AG216" s="62">
        <f>IF($V216&lt;&gt;"Macro","",IF(COUNTIFS($S$5:$S$1000,$S216,$V$5:$V$1000,"Macro",$H$5:$H$1000,"&gt;0")=0,1/COUNTIFS($S$5:$S$1000,$S216,$V$5:$V$1000,"Macro"),IF(AND(ISNUMBER($H216),N($H216)&gt;0),$H216,SUMIFS($H$5:$H$1000,$S$5:$S$1000,$S216,$V$5:$V$1000,"Macro")/COUNTIFS($S$5:$S$1000,$S216,$V$5:$V$1000,"Macro",$H$5:$H$1000,"&gt;0"))/(COUNTIFS($S$5:$S$1000,$S216,$V$5:$V$1000,"Macro")*SUMIFS($H$5:$H$1000,$S$5:$S$1000,$S216,$V$5:$V$1000,"Macro")/COUNTIFS($S$5:$S$1000,$S216,$V$5:$V$1000,"Macro",$H$5:$H$1000,"&gt;0"))))</f>
        <v/>
      </c>
      <c r="AH216" s="62" t="n"/>
      <c r="AI216" s="62" t="n"/>
      <c r="AJ216" s="62" t="n"/>
      <c r="AK216" s="62" t="n"/>
      <c r="AL216" s="62">
        <f>IF(LEFT($C216,11)="[Jefatura] ",IFERROR(MATCH("Asistente Técnico de Riesgo|"&amp;MID($C216,12,500),rDname_ADM,0),0),"")</f>
        <v/>
      </c>
      <c r="AM216" s="62">
        <f>IF(N($AL216)&gt;0,INDEX(rIni_ADM,$AL216),IF(ISNUMBER($E216),$E216,""))</f>
        <v/>
      </c>
      <c r="AN216" s="62">
        <f>IF(N($AL216)&gt;0,INDEX(rLim_ADM,$AL216),IF(ISNUMBER($F216),$F216,""))</f>
        <v/>
      </c>
    </row>
    <row r="217">
      <c r="A217" s="56">
        <f>IF(NOT((COUNTA($B217:$D217)+COUNTA($G217:$L217)+COUNTA($Q217))&gt;0),"",IF($V217="Macro",COUNTIFS($V$5:$V217,"Macro",$S$5:$S217,$S217),IF(N($U217)=0,"?",COUNTIFS(INDEX($V$5:$V$1000,1):INDEX($V$5:$V$1000,$U217-4),"Macro",INDEX($S$5:$S$1000,1):INDEX($S$5:$S$1000,$U217-4),INDEX($S$5:$S$1000,$U217-4))&amp;"."&amp;COUNTIFS($U$5:$U217,$U217,$V$5:$V217,"Sub"))))</f>
        <v/>
      </c>
      <c r="B217" s="57" t="n"/>
      <c r="C217" s="58" t="n"/>
      <c r="D217" s="58" t="n"/>
      <c r="E217" s="59">
        <f>IF(N($AL217)&gt;0,INDEX(rIni_ADM,$AL217),"")</f>
        <v/>
      </c>
      <c r="F217" s="59">
        <f>IF(N($AL217)&gt;0,INDEX(rLim_ADM,$AL217),"")</f>
        <v/>
      </c>
      <c r="G217" s="59" t="n"/>
      <c r="H217" s="60" t="n"/>
      <c r="I217" s="60" t="n"/>
      <c r="J217" s="60" t="n"/>
      <c r="K217" s="60" t="n"/>
      <c r="L217" s="60" t="n"/>
      <c r="M217" s="61">
        <f>IF(NOT((COUNTA($B217:$D217)+COUNTA($G217:$L217)+COUNTA($Q217))&gt;0),"",IF($V217="Sub",IFERROR($X217/INDEX($W$5:$W$1000,$U217-4),""),IF(ISNUMBER($G217),1,IF(N($W217)&gt;0,AVERAGEIFS($X$5:$X$1000,$U$5:$U$1000,ROW(),$V$5:$V$1000,"Sub"),$X217))))</f>
        <v/>
      </c>
      <c r="N217" s="56">
        <f>IF(OR($M217="",$V217="Sub"),"",IF($M217&gt;=1,"Completado",IF($M217&gt;0,"En curso","Pendiente")))</f>
        <v/>
      </c>
      <c r="O217" s="56">
        <f>IF(OR(NOT((COUNTA($B217:$D217)+COUNTA($G217:$L217)+COUNTA($Q217))&gt;0),$V217="Sub"),"",IF(ISNUMBER($G217),IF(AND(ISNUMBER($AN217),$G217&gt;$AN217),"Cumplida con "&amp;($G217-$AN217)&amp;IF($G217-$AN217=1," día"," días")&amp;" de retraso","Cumplida"),IF(N($M217)&gt;=1,"Cumplida",IF(NOT(ISNUMBER($AN217)),"Sin fecha límite",IF($AN217&lt;FechaRef,"Vencida hace "&amp;(FechaRef-$AN217)&amp;IF(FechaRef-$AN217=1," día"," días"),IF($AN217=FechaRef,"Vence hoy",IF($AN217-FechaRef&lt;=DiasAlerta,"Vence en "&amp;($AN217-FechaRef)&amp;IF($AN217-FechaRef=1," día"," días"),"En plazo")))))))</f>
        <v/>
      </c>
      <c r="P217" s="62" t="n"/>
      <c r="Q217" s="58" t="n"/>
      <c r="R217" s="63">
        <f>IF(NOT((COUNTA($B217:$D217)+COUNTA($G217:$L217)+COUNTA($Q217))&gt;0),"",IF((IF($C217="","Falta el nombre de la actividad"&amp;" · ","")&amp;IF(AND($V217="Sub",N($U217)=0),"Subactividad sin macroactividad arriba"&amp;" · ","")&amp;IF($AM217="","Sin fecha de inicio"&amp;" · ","")&amp;IF($AN217="","Sin fecha límite"&amp;" · ","")&amp;IF(AND(LEFT($C217,11)="[Jefatura] ",N($AL217)=0),"No se encuentra en la hoja de la jefatura (elíjala de nuevo en la lista)"&amp;" · ","")&amp;IF(OR(AND($E217&lt;&gt;"",NOT(ISNUMBER($E217))),AND($F217&lt;&gt;"",NOT(ISNUMBER($F217))),AND($G217&lt;&gt;"",NOT(ISNUMBER($G217)))),"Fecha no válida"&amp;" · ","")&amp;IF(AND(ISNUMBER($AM217),ISNUMBER($AN217),$AM217&gt;$AN217),"Inicio posterior a fecha límite"&amp;" · ","")&amp;IF(AND($V217="Macro",$H217&lt;&gt;"",OR(NOT(ISNUMBER($H217)),$H217&lt;0,$H217&gt;1)),"Peso fuera de rango"&amp;" · ","")&amp;IF(AND($V217="Sub",$H217&lt;&gt;""),"Las subactividades no llevan peso (valen igual dentro de su macroactividad)"&amp;" · ","")&amp;IF(AND(N($W217)&gt;0,COUNT($I217:$L217)&gt;0),"Con subactividades: deje vacías las semanas (se calculan solas)"&amp;" · ","")&amp;IF((COUNTIF($I217:$L217,"&gt;1")+COUNTIF($I217:$L217,"&lt;0")+COUNTA($I217:$L217)-COUNT($I217:$L217))&gt;0,"Avance fuera de rango 0-100%"&amp;" · ","")&amp;IF(OR(AND($J217&lt;&gt;"",$J217&lt;$I217),AND($K217&lt;&gt;"",$K217&lt;MAX($I217:$J217)),AND($L217&lt;&gt;"",$L217&lt;MAX($I217:$K217))),"Avance semanal decreciente"&amp;" · ","")&amp;IF(AND(ISNUMBER($AN217),$AN217&lt;FechaRef,IF($V217="Sub",N($X217),N($M217))&lt;1),"Vencida"&amp;" · ","")&amp;IF(AND(ObsObligatoria="Sí",ISNUMBER($AN217),$AN217&lt;FechaRef,IF($V217="Sub",N($X217),N($M217))&lt;1,$Q217=""),"Vencida sin observación"&amp;" · ",""))="","✔ OK","⚠ "&amp;LEFT(IF($C217="","Falta el nombre de la actividad"&amp;" · ","")&amp;IF(AND($V217="Sub",N($U217)=0),"Subactividad sin macroactividad arriba"&amp;" · ","")&amp;IF($AM217="","Sin fecha de inicio"&amp;" · ","")&amp;IF($AN217="","Sin fecha límite"&amp;" · ","")&amp;IF(AND(LEFT($C217,11)="[Jefatura] ",N($AL217)=0),"No se encuentra en la hoja de la jefatura (elíjala de nuevo en la lista)"&amp;" · ","")&amp;IF(OR(AND($E217&lt;&gt;"",NOT(ISNUMBER($E217))),AND($F217&lt;&gt;"",NOT(ISNUMBER($F217))),AND($G217&lt;&gt;"",NOT(ISNUMBER($G217)))),"Fecha no válida"&amp;" · ","")&amp;IF(AND(ISNUMBER($AM217),ISNUMBER($AN217),$AM217&gt;$AN217),"Inicio posterior a fecha límite"&amp;" · ","")&amp;IF(AND($V217="Macro",$H217&lt;&gt;"",OR(NOT(ISNUMBER($H217)),$H217&lt;0,$H217&gt;1)),"Peso fuera de rango"&amp;" · ","")&amp;IF(AND($V217="Sub",$H217&lt;&gt;""),"Las subactividades no llevan peso (valen igual dentro de su macroactividad)"&amp;" · ","")&amp;IF(AND(N($W217)&gt;0,COUNT($I217:$L217)&gt;0),"Con subactividades: deje vacías las semanas (se calculan solas)"&amp;" · ","")&amp;IF((COUNTIF($I217:$L217,"&gt;1")+COUNTIF($I217:$L217,"&lt;0")+COUNTA($I217:$L217)-COUNT($I217:$L217))&gt;0,"Avance fuera de rango 0-100%"&amp;" · ","")&amp;IF(OR(AND($J217&lt;&gt;"",$J217&lt;$I217),AND($K217&lt;&gt;"",$K217&lt;MAX($I217:$J217)),AND($L217&lt;&gt;"",$L217&lt;MAX($I217:$K217))),"Avance semanal decreciente"&amp;" · ","")&amp;IF(AND(ISNUMBER($AN217),$AN217&lt;FechaRef,IF($V217="Sub",N($X217),N($M217))&lt;1),"Vencida"&amp;" · ","")&amp;IF(AND(ObsObligatoria="Sí",ISNUMBER($AN217),$AN217&lt;FechaRef,IF($V217="Sub",N($X217),N($M217))&lt;1,$Q217=""),"Vencida sin observación"&amp;" · ",""),LEN(IF($C217="","Falta el nombre de la actividad"&amp;" · ","")&amp;IF(AND($V217="Sub",N($U217)=0),"Subactividad sin macroactividad arriba"&amp;" · ","")&amp;IF($AM217="","Sin fecha de inicio"&amp;" · ","")&amp;IF($AN217="","Sin fecha límite"&amp;" · ","")&amp;IF(AND(LEFT($C217,11)="[Jefatura] ",N($AL217)=0),"No se encuentra en la hoja de la jefatura (elíjala de nuevo en la lista)"&amp;" · ","")&amp;IF(OR(AND($E217&lt;&gt;"",NOT(ISNUMBER($E217))),AND($F217&lt;&gt;"",NOT(ISNUMBER($F217))),AND($G217&lt;&gt;"",NOT(ISNUMBER($G217)))),"Fecha no válida"&amp;" · ","")&amp;IF(AND(ISNUMBER($AM217),ISNUMBER($AN217),$AM217&gt;$AN217),"Inicio posterior a fecha límite"&amp;" · ","")&amp;IF(AND($V217="Macro",$H217&lt;&gt;"",OR(NOT(ISNUMBER($H217)),$H217&lt;0,$H217&gt;1)),"Peso fuera de rango"&amp;" · ","")&amp;IF(AND($V217="Sub",$H217&lt;&gt;""),"Las subactividades no llevan peso (valen igual dentro de su macroactividad)"&amp;" · ","")&amp;IF(AND(N($W217)&gt;0,COUNT($I217:$L217)&gt;0),"Con subactividades: deje vacías las semanas (se calculan solas)"&amp;" · ","")&amp;IF((COUNTIF($I217:$L217,"&gt;1")+COUNTIF($I217:$L217,"&lt;0")+COUNTA($I217:$L217)-COUNT($I217:$L217))&gt;0,"Avance fuera de rango 0-100%"&amp;" · ","")&amp;IF(OR(AND($J217&lt;&gt;"",$J217&lt;$I217),AND($K217&lt;&gt;"",$K217&lt;MAX($I217:$J217)),AND($L217&lt;&gt;"",$L217&lt;MAX($I217:$K217))),"Avance semanal decreciente"&amp;" · ","")&amp;IF(AND(ISNUMBER($AN217),$AN217&lt;FechaRef,IF($V217="Sub",N($X217),N($M217))&lt;1),"Vencida"&amp;" · ","")&amp;IF(AND(ObsObligatoria="Sí",ISNUMBER($AN217),$AN217&lt;FechaRef,IF($V217="Sub",N($X217),N($M217))&lt;1,$Q217=""),"Vencida sin observación"&amp;" · ",""))-3)))</f>
        <v/>
      </c>
      <c r="S217" s="64">
        <f>IF(NOT((COUNTA($B217:$D217)+COUNTA($G217:$L217)+COUNTA($Q217))&gt;0),"",IF(AND($V217="Sub",N($U217)&gt;0),IF(ISNUMBER(INDEX($AM$5:$AM$1000,$U217-4)),DATE(YEAR(INDEX($AM$5:$AM$1000,$U217-4)),MONTH(INDEX($AM$5:$AM$1000,$U217-4)),1),IF(ISNUMBER(INDEX($AN$5:$AN$1000,$U217-4)),DATE(YEAR(INDEX($AN$5:$AN$1000,$U217-4)),MONTH(INDEX($AN$5:$AN$1000,$U217-4)),1),MesCiclo)),IF(ISNUMBER($AM217),DATE(YEAR($AM217),MONTH($AM217),1),IF(ISNUMBER($AN217),DATE(YEAR($AN217),MONTH($AN217),1),MesCiclo))))</f>
        <v/>
      </c>
      <c r="T217" s="62">
        <f>IF(OR($S217="",$S217&lt;&gt;MesCiclo,$V217&lt;&gt;"Macro"),"",COUNTIFS($S$5:$S217,MesCiclo,$V$5:$V217,"Macro"))</f>
        <v/>
      </c>
      <c r="U217" s="62">
        <f>IF($V217="","",IF($V217="Macro",ROW(),IFERROR(LOOKUP(2,1/($V$5:$V217="Macro"),ROW($V$5:$V217)),0)))</f>
        <v/>
      </c>
      <c r="V217" s="62">
        <f>IF(NOT((COUNTA($B217:$D217)+COUNTA($G217:$L217)+COUNTA($Q217))&gt;0),"",IF($B217="Subactividad","Sub","Macro"))</f>
        <v/>
      </c>
      <c r="W217" s="62">
        <f>IF($V217="Macro",COUNTIFS($U$5:$U$1000,ROW(),$V$5:$V$1000,"Sub"),"")</f>
        <v/>
      </c>
      <c r="X217" s="62">
        <f>IF($V217="","",IF(ISNUMBER($G217),1,IFERROR(LOOKUP(2,1/($I217:$L217&lt;&gt;""),$I217:$L217),0)))</f>
        <v/>
      </c>
      <c r="Y217" s="62">
        <f>IF($V217="","",IF(AND(ISNUMBER($G217),$G217&lt;=IF($S217=MesCiclo,InicioCiclo,$S217+MOD(2-WEEKDAY($S217),7))+6),1,IF(ISNUMBER($I217),$I217,0)))</f>
        <v/>
      </c>
      <c r="Z217" s="62">
        <f>IF($V217="","",IF(AND(ISNUMBER($G217),$G217&lt;=IF($S217=MesCiclo,InicioCiclo,$S217+MOD(2-WEEKDAY($S217),7))+13),1,IF(ISNUMBER($J217),$J217,$Y217)))</f>
        <v/>
      </c>
      <c r="AA217" s="62">
        <f>IF($V217="","",IF(AND(ISNUMBER($G217),$G217&lt;=IF($S217=MesCiclo,InicioCiclo,$S217+MOD(2-WEEKDAY($S217),7))+20),1,IF(ISNUMBER($K217),$K217,$Z217)))</f>
        <v/>
      </c>
      <c r="AB217" s="62">
        <f>IF($V217="","",IF(AND(ISNUMBER($G217),$G217&lt;=IF($S217=MesCiclo,InicioCiclo,$S217+MOD(2-WEEKDAY($S217),7))+27),1,IF(ISNUMBER($L217),$L217,$AA217)))</f>
        <v/>
      </c>
      <c r="AC217" s="62">
        <f>IF($V217="","",IF(AND(ISNUMBER($G217),$G217&lt;=IF($S217=MesCiclo,InicioCiclo,$S217+MOD(2-WEEKDAY($S217),7))+6),1,IF(N($W217)&gt;0,AVERAGEIFS($Y$5:$Y$1000,$U$5:$U$1000,ROW(),$V$5:$V$1000,"Sub"),$Y217)))</f>
        <v/>
      </c>
      <c r="AD217" s="62">
        <f>IF($V217="","",IF(AND(ISNUMBER($G217),$G217&lt;=IF($S217=MesCiclo,InicioCiclo,$S217+MOD(2-WEEKDAY($S217),7))+13),1,IF(N($W217)&gt;0,AVERAGEIFS($Z$5:$Z$1000,$U$5:$U$1000,ROW(),$V$5:$V$1000,"Sub"),$Z217)))</f>
        <v/>
      </c>
      <c r="AE217" s="62">
        <f>IF($V217="","",IF(AND(ISNUMBER($G217),$G217&lt;=IF($S217=MesCiclo,InicioCiclo,$S217+MOD(2-WEEKDAY($S217),7))+20),1,IF(N($W217)&gt;0,AVERAGEIFS($AA$5:$AA$1000,$U$5:$U$1000,ROW(),$V$5:$V$1000,"Sub"),$AA217)))</f>
        <v/>
      </c>
      <c r="AF217" s="62">
        <f>IF($V217="","",IF(AND(ISNUMBER($G217),$G217&lt;=IF($S217=MesCiclo,InicioCiclo,$S217+MOD(2-WEEKDAY($S217),7))+27),1,IF(N($W217)&gt;0,AVERAGEIFS($AB$5:$AB$1000,$U$5:$U$1000,ROW(),$V$5:$V$1000,"Sub"),$AB217)))</f>
        <v/>
      </c>
      <c r="AG217" s="62">
        <f>IF($V217&lt;&gt;"Macro","",IF(COUNTIFS($S$5:$S$1000,$S217,$V$5:$V$1000,"Macro",$H$5:$H$1000,"&gt;0")=0,1/COUNTIFS($S$5:$S$1000,$S217,$V$5:$V$1000,"Macro"),IF(AND(ISNUMBER($H217),N($H217)&gt;0),$H217,SUMIFS($H$5:$H$1000,$S$5:$S$1000,$S217,$V$5:$V$1000,"Macro")/COUNTIFS($S$5:$S$1000,$S217,$V$5:$V$1000,"Macro",$H$5:$H$1000,"&gt;0"))/(COUNTIFS($S$5:$S$1000,$S217,$V$5:$V$1000,"Macro")*SUMIFS($H$5:$H$1000,$S$5:$S$1000,$S217,$V$5:$V$1000,"Macro")/COUNTIFS($S$5:$S$1000,$S217,$V$5:$V$1000,"Macro",$H$5:$H$1000,"&gt;0"))))</f>
        <v/>
      </c>
      <c r="AH217" s="62" t="n"/>
      <c r="AI217" s="62" t="n"/>
      <c r="AJ217" s="62" t="n"/>
      <c r="AK217" s="62" t="n"/>
      <c r="AL217" s="62">
        <f>IF(LEFT($C217,11)="[Jefatura] ",IFERROR(MATCH("Asistente Técnico de Riesgo|"&amp;MID($C217,12,500),rDname_ADM,0),0),"")</f>
        <v/>
      </c>
      <c r="AM217" s="62">
        <f>IF(N($AL217)&gt;0,INDEX(rIni_ADM,$AL217),IF(ISNUMBER($E217),$E217,""))</f>
        <v/>
      </c>
      <c r="AN217" s="62">
        <f>IF(N($AL217)&gt;0,INDEX(rLim_ADM,$AL217),IF(ISNUMBER($F217),$F217,""))</f>
        <v/>
      </c>
    </row>
    <row r="218">
      <c r="A218" s="56">
        <f>IF(NOT((COUNTA($B218:$D218)+COUNTA($G218:$L218)+COUNTA($Q218))&gt;0),"",IF($V218="Macro",COUNTIFS($V$5:$V218,"Macro",$S$5:$S218,$S218),IF(N($U218)=0,"?",COUNTIFS(INDEX($V$5:$V$1000,1):INDEX($V$5:$V$1000,$U218-4),"Macro",INDEX($S$5:$S$1000,1):INDEX($S$5:$S$1000,$U218-4),INDEX($S$5:$S$1000,$U218-4))&amp;"."&amp;COUNTIFS($U$5:$U218,$U218,$V$5:$V218,"Sub"))))</f>
        <v/>
      </c>
      <c r="B218" s="57" t="n"/>
      <c r="C218" s="58" t="n"/>
      <c r="D218" s="58" t="n"/>
      <c r="E218" s="59">
        <f>IF(N($AL218)&gt;0,INDEX(rIni_ADM,$AL218),"")</f>
        <v/>
      </c>
      <c r="F218" s="59">
        <f>IF(N($AL218)&gt;0,INDEX(rLim_ADM,$AL218),"")</f>
        <v/>
      </c>
      <c r="G218" s="59" t="n"/>
      <c r="H218" s="60" t="n"/>
      <c r="I218" s="60" t="n"/>
      <c r="J218" s="60" t="n"/>
      <c r="K218" s="60" t="n"/>
      <c r="L218" s="60" t="n"/>
      <c r="M218" s="61">
        <f>IF(NOT((COUNTA($B218:$D218)+COUNTA($G218:$L218)+COUNTA($Q218))&gt;0),"",IF($V218="Sub",IFERROR($X218/INDEX($W$5:$W$1000,$U218-4),""),IF(ISNUMBER($G218),1,IF(N($W218)&gt;0,AVERAGEIFS($X$5:$X$1000,$U$5:$U$1000,ROW(),$V$5:$V$1000,"Sub"),$X218))))</f>
        <v/>
      </c>
      <c r="N218" s="56">
        <f>IF(OR($M218="",$V218="Sub"),"",IF($M218&gt;=1,"Completado",IF($M218&gt;0,"En curso","Pendiente")))</f>
        <v/>
      </c>
      <c r="O218" s="56">
        <f>IF(OR(NOT((COUNTA($B218:$D218)+COUNTA($G218:$L218)+COUNTA($Q218))&gt;0),$V218="Sub"),"",IF(ISNUMBER($G218),IF(AND(ISNUMBER($AN218),$G218&gt;$AN218),"Cumplida con "&amp;($G218-$AN218)&amp;IF($G218-$AN218=1," día"," días")&amp;" de retraso","Cumplida"),IF(N($M218)&gt;=1,"Cumplida",IF(NOT(ISNUMBER($AN218)),"Sin fecha límite",IF($AN218&lt;FechaRef,"Vencida hace "&amp;(FechaRef-$AN218)&amp;IF(FechaRef-$AN218=1," día"," días"),IF($AN218=FechaRef,"Vence hoy",IF($AN218-FechaRef&lt;=DiasAlerta,"Vence en "&amp;($AN218-FechaRef)&amp;IF($AN218-FechaRef=1," día"," días"),"En plazo")))))))</f>
        <v/>
      </c>
      <c r="P218" s="62" t="n"/>
      <c r="Q218" s="58" t="n"/>
      <c r="R218" s="63">
        <f>IF(NOT((COUNTA($B218:$D218)+COUNTA($G218:$L218)+COUNTA($Q218))&gt;0),"",IF((IF($C218="","Falta el nombre de la actividad"&amp;" · ","")&amp;IF(AND($V218="Sub",N($U218)=0),"Subactividad sin macroactividad arriba"&amp;" · ","")&amp;IF($AM218="","Sin fecha de inicio"&amp;" · ","")&amp;IF($AN218="","Sin fecha límite"&amp;" · ","")&amp;IF(AND(LEFT($C218,11)="[Jefatura] ",N($AL218)=0),"No se encuentra en la hoja de la jefatura (elíjala de nuevo en la lista)"&amp;" · ","")&amp;IF(OR(AND($E218&lt;&gt;"",NOT(ISNUMBER($E218))),AND($F218&lt;&gt;"",NOT(ISNUMBER($F218))),AND($G218&lt;&gt;"",NOT(ISNUMBER($G218)))),"Fecha no válida"&amp;" · ","")&amp;IF(AND(ISNUMBER($AM218),ISNUMBER($AN218),$AM218&gt;$AN218),"Inicio posterior a fecha límite"&amp;" · ","")&amp;IF(AND($V218="Macro",$H218&lt;&gt;"",OR(NOT(ISNUMBER($H218)),$H218&lt;0,$H218&gt;1)),"Peso fuera de rango"&amp;" · ","")&amp;IF(AND($V218="Sub",$H218&lt;&gt;""),"Las subactividades no llevan peso (valen igual dentro de su macroactividad)"&amp;" · ","")&amp;IF(AND(N($W218)&gt;0,COUNT($I218:$L218)&gt;0),"Con subactividades: deje vacías las semanas (se calculan solas)"&amp;" · ","")&amp;IF((COUNTIF($I218:$L218,"&gt;1")+COUNTIF($I218:$L218,"&lt;0")+COUNTA($I218:$L218)-COUNT($I218:$L218))&gt;0,"Avance fuera de rango 0-100%"&amp;" · ","")&amp;IF(OR(AND($J218&lt;&gt;"",$J218&lt;$I218),AND($K218&lt;&gt;"",$K218&lt;MAX($I218:$J218)),AND($L218&lt;&gt;"",$L218&lt;MAX($I218:$K218))),"Avance semanal decreciente"&amp;" · ","")&amp;IF(AND(ISNUMBER($AN218),$AN218&lt;FechaRef,IF($V218="Sub",N($X218),N($M218))&lt;1),"Vencida"&amp;" · ","")&amp;IF(AND(ObsObligatoria="Sí",ISNUMBER($AN218),$AN218&lt;FechaRef,IF($V218="Sub",N($X218),N($M218))&lt;1,$Q218=""),"Vencida sin observación"&amp;" · ",""))="","✔ OK","⚠ "&amp;LEFT(IF($C218="","Falta el nombre de la actividad"&amp;" · ","")&amp;IF(AND($V218="Sub",N($U218)=0),"Subactividad sin macroactividad arriba"&amp;" · ","")&amp;IF($AM218="","Sin fecha de inicio"&amp;" · ","")&amp;IF($AN218="","Sin fecha límite"&amp;" · ","")&amp;IF(AND(LEFT($C218,11)="[Jefatura] ",N($AL218)=0),"No se encuentra en la hoja de la jefatura (elíjala de nuevo en la lista)"&amp;" · ","")&amp;IF(OR(AND($E218&lt;&gt;"",NOT(ISNUMBER($E218))),AND($F218&lt;&gt;"",NOT(ISNUMBER($F218))),AND($G218&lt;&gt;"",NOT(ISNUMBER($G218)))),"Fecha no válida"&amp;" · ","")&amp;IF(AND(ISNUMBER($AM218),ISNUMBER($AN218),$AM218&gt;$AN218),"Inicio posterior a fecha límite"&amp;" · ","")&amp;IF(AND($V218="Macro",$H218&lt;&gt;"",OR(NOT(ISNUMBER($H218)),$H218&lt;0,$H218&gt;1)),"Peso fuera de rango"&amp;" · ","")&amp;IF(AND($V218="Sub",$H218&lt;&gt;""),"Las subactividades no llevan peso (valen igual dentro de su macroactividad)"&amp;" · ","")&amp;IF(AND(N($W218)&gt;0,COUNT($I218:$L218)&gt;0),"Con subactividades: deje vacías las semanas (se calculan solas)"&amp;" · ","")&amp;IF((COUNTIF($I218:$L218,"&gt;1")+COUNTIF($I218:$L218,"&lt;0")+COUNTA($I218:$L218)-COUNT($I218:$L218))&gt;0,"Avance fuera de rango 0-100%"&amp;" · ","")&amp;IF(OR(AND($J218&lt;&gt;"",$J218&lt;$I218),AND($K218&lt;&gt;"",$K218&lt;MAX($I218:$J218)),AND($L218&lt;&gt;"",$L218&lt;MAX($I218:$K218))),"Avance semanal decreciente"&amp;" · ","")&amp;IF(AND(ISNUMBER($AN218),$AN218&lt;FechaRef,IF($V218="Sub",N($X218),N($M218))&lt;1),"Vencida"&amp;" · ","")&amp;IF(AND(ObsObligatoria="Sí",ISNUMBER($AN218),$AN218&lt;FechaRef,IF($V218="Sub",N($X218),N($M218))&lt;1,$Q218=""),"Vencida sin observación"&amp;" · ",""),LEN(IF($C218="","Falta el nombre de la actividad"&amp;" · ","")&amp;IF(AND($V218="Sub",N($U218)=0),"Subactividad sin macroactividad arriba"&amp;" · ","")&amp;IF($AM218="","Sin fecha de inicio"&amp;" · ","")&amp;IF($AN218="","Sin fecha límite"&amp;" · ","")&amp;IF(AND(LEFT($C218,11)="[Jefatura] ",N($AL218)=0),"No se encuentra en la hoja de la jefatura (elíjala de nuevo en la lista)"&amp;" · ","")&amp;IF(OR(AND($E218&lt;&gt;"",NOT(ISNUMBER($E218))),AND($F218&lt;&gt;"",NOT(ISNUMBER($F218))),AND($G218&lt;&gt;"",NOT(ISNUMBER($G218)))),"Fecha no válida"&amp;" · ","")&amp;IF(AND(ISNUMBER($AM218),ISNUMBER($AN218),$AM218&gt;$AN218),"Inicio posterior a fecha límite"&amp;" · ","")&amp;IF(AND($V218="Macro",$H218&lt;&gt;"",OR(NOT(ISNUMBER($H218)),$H218&lt;0,$H218&gt;1)),"Peso fuera de rango"&amp;" · ","")&amp;IF(AND($V218="Sub",$H218&lt;&gt;""),"Las subactividades no llevan peso (valen igual dentro de su macroactividad)"&amp;" · ","")&amp;IF(AND(N($W218)&gt;0,COUNT($I218:$L218)&gt;0),"Con subactividades: deje vacías las semanas (se calculan solas)"&amp;" · ","")&amp;IF((COUNTIF($I218:$L218,"&gt;1")+COUNTIF($I218:$L218,"&lt;0")+COUNTA($I218:$L218)-COUNT($I218:$L218))&gt;0,"Avance fuera de rango 0-100%"&amp;" · ","")&amp;IF(OR(AND($J218&lt;&gt;"",$J218&lt;$I218),AND($K218&lt;&gt;"",$K218&lt;MAX($I218:$J218)),AND($L218&lt;&gt;"",$L218&lt;MAX($I218:$K218))),"Avance semanal decreciente"&amp;" · ","")&amp;IF(AND(ISNUMBER($AN218),$AN218&lt;FechaRef,IF($V218="Sub",N($X218),N($M218))&lt;1),"Vencida"&amp;" · ","")&amp;IF(AND(ObsObligatoria="Sí",ISNUMBER($AN218),$AN218&lt;FechaRef,IF($V218="Sub",N($X218),N($M218))&lt;1,$Q218=""),"Vencida sin observación"&amp;" · ",""))-3)))</f>
        <v/>
      </c>
      <c r="S218" s="64">
        <f>IF(NOT((COUNTA($B218:$D218)+COUNTA($G218:$L218)+COUNTA($Q218))&gt;0),"",IF(AND($V218="Sub",N($U218)&gt;0),IF(ISNUMBER(INDEX($AM$5:$AM$1000,$U218-4)),DATE(YEAR(INDEX($AM$5:$AM$1000,$U218-4)),MONTH(INDEX($AM$5:$AM$1000,$U218-4)),1),IF(ISNUMBER(INDEX($AN$5:$AN$1000,$U218-4)),DATE(YEAR(INDEX($AN$5:$AN$1000,$U218-4)),MONTH(INDEX($AN$5:$AN$1000,$U218-4)),1),MesCiclo)),IF(ISNUMBER($AM218),DATE(YEAR($AM218),MONTH($AM218),1),IF(ISNUMBER($AN218),DATE(YEAR($AN218),MONTH($AN218),1),MesCiclo))))</f>
        <v/>
      </c>
      <c r="T218" s="62">
        <f>IF(OR($S218="",$S218&lt;&gt;MesCiclo,$V218&lt;&gt;"Macro"),"",COUNTIFS($S$5:$S218,MesCiclo,$V$5:$V218,"Macro"))</f>
        <v/>
      </c>
      <c r="U218" s="62">
        <f>IF($V218="","",IF($V218="Macro",ROW(),IFERROR(LOOKUP(2,1/($V$5:$V218="Macro"),ROW($V$5:$V218)),0)))</f>
        <v/>
      </c>
      <c r="V218" s="62">
        <f>IF(NOT((COUNTA($B218:$D218)+COUNTA($G218:$L218)+COUNTA($Q218))&gt;0),"",IF($B218="Subactividad","Sub","Macro"))</f>
        <v/>
      </c>
      <c r="W218" s="62">
        <f>IF($V218="Macro",COUNTIFS($U$5:$U$1000,ROW(),$V$5:$V$1000,"Sub"),"")</f>
        <v/>
      </c>
      <c r="X218" s="62">
        <f>IF($V218="","",IF(ISNUMBER($G218),1,IFERROR(LOOKUP(2,1/($I218:$L218&lt;&gt;""),$I218:$L218),0)))</f>
        <v/>
      </c>
      <c r="Y218" s="62">
        <f>IF($V218="","",IF(AND(ISNUMBER($G218),$G218&lt;=IF($S218=MesCiclo,InicioCiclo,$S218+MOD(2-WEEKDAY($S218),7))+6),1,IF(ISNUMBER($I218),$I218,0)))</f>
        <v/>
      </c>
      <c r="Z218" s="62">
        <f>IF($V218="","",IF(AND(ISNUMBER($G218),$G218&lt;=IF($S218=MesCiclo,InicioCiclo,$S218+MOD(2-WEEKDAY($S218),7))+13),1,IF(ISNUMBER($J218),$J218,$Y218)))</f>
        <v/>
      </c>
      <c r="AA218" s="62">
        <f>IF($V218="","",IF(AND(ISNUMBER($G218),$G218&lt;=IF($S218=MesCiclo,InicioCiclo,$S218+MOD(2-WEEKDAY($S218),7))+20),1,IF(ISNUMBER($K218),$K218,$Z218)))</f>
        <v/>
      </c>
      <c r="AB218" s="62">
        <f>IF($V218="","",IF(AND(ISNUMBER($G218),$G218&lt;=IF($S218=MesCiclo,InicioCiclo,$S218+MOD(2-WEEKDAY($S218),7))+27),1,IF(ISNUMBER($L218),$L218,$AA218)))</f>
        <v/>
      </c>
      <c r="AC218" s="62">
        <f>IF($V218="","",IF(AND(ISNUMBER($G218),$G218&lt;=IF($S218=MesCiclo,InicioCiclo,$S218+MOD(2-WEEKDAY($S218),7))+6),1,IF(N($W218)&gt;0,AVERAGEIFS($Y$5:$Y$1000,$U$5:$U$1000,ROW(),$V$5:$V$1000,"Sub"),$Y218)))</f>
        <v/>
      </c>
      <c r="AD218" s="62">
        <f>IF($V218="","",IF(AND(ISNUMBER($G218),$G218&lt;=IF($S218=MesCiclo,InicioCiclo,$S218+MOD(2-WEEKDAY($S218),7))+13),1,IF(N($W218)&gt;0,AVERAGEIFS($Z$5:$Z$1000,$U$5:$U$1000,ROW(),$V$5:$V$1000,"Sub"),$Z218)))</f>
        <v/>
      </c>
      <c r="AE218" s="62">
        <f>IF($V218="","",IF(AND(ISNUMBER($G218),$G218&lt;=IF($S218=MesCiclo,InicioCiclo,$S218+MOD(2-WEEKDAY($S218),7))+20),1,IF(N($W218)&gt;0,AVERAGEIFS($AA$5:$AA$1000,$U$5:$U$1000,ROW(),$V$5:$V$1000,"Sub"),$AA218)))</f>
        <v/>
      </c>
      <c r="AF218" s="62">
        <f>IF($V218="","",IF(AND(ISNUMBER($G218),$G218&lt;=IF($S218=MesCiclo,InicioCiclo,$S218+MOD(2-WEEKDAY($S218),7))+27),1,IF(N($W218)&gt;0,AVERAGEIFS($AB$5:$AB$1000,$U$5:$U$1000,ROW(),$V$5:$V$1000,"Sub"),$AB218)))</f>
        <v/>
      </c>
      <c r="AG218" s="62">
        <f>IF($V218&lt;&gt;"Macro","",IF(COUNTIFS($S$5:$S$1000,$S218,$V$5:$V$1000,"Macro",$H$5:$H$1000,"&gt;0")=0,1/COUNTIFS($S$5:$S$1000,$S218,$V$5:$V$1000,"Macro"),IF(AND(ISNUMBER($H218),N($H218)&gt;0),$H218,SUMIFS($H$5:$H$1000,$S$5:$S$1000,$S218,$V$5:$V$1000,"Macro")/COUNTIFS($S$5:$S$1000,$S218,$V$5:$V$1000,"Macro",$H$5:$H$1000,"&gt;0"))/(COUNTIFS($S$5:$S$1000,$S218,$V$5:$V$1000,"Macro")*SUMIFS($H$5:$H$1000,$S$5:$S$1000,$S218,$V$5:$V$1000,"Macro")/COUNTIFS($S$5:$S$1000,$S218,$V$5:$V$1000,"Macro",$H$5:$H$1000,"&gt;0"))))</f>
        <v/>
      </c>
      <c r="AH218" s="62" t="n"/>
      <c r="AI218" s="62" t="n"/>
      <c r="AJ218" s="62" t="n"/>
      <c r="AK218" s="62" t="n"/>
      <c r="AL218" s="62">
        <f>IF(LEFT($C218,11)="[Jefatura] ",IFERROR(MATCH("Asistente Técnico de Riesgo|"&amp;MID($C218,12,500),rDname_ADM,0),0),"")</f>
        <v/>
      </c>
      <c r="AM218" s="62">
        <f>IF(N($AL218)&gt;0,INDEX(rIni_ADM,$AL218),IF(ISNUMBER($E218),$E218,""))</f>
        <v/>
      </c>
      <c r="AN218" s="62">
        <f>IF(N($AL218)&gt;0,INDEX(rLim_ADM,$AL218),IF(ISNUMBER($F218),$F218,""))</f>
        <v/>
      </c>
    </row>
    <row r="219">
      <c r="A219" s="56">
        <f>IF(NOT((COUNTA($B219:$D219)+COUNTA($G219:$L219)+COUNTA($Q219))&gt;0),"",IF($V219="Macro",COUNTIFS($V$5:$V219,"Macro",$S$5:$S219,$S219),IF(N($U219)=0,"?",COUNTIFS(INDEX($V$5:$V$1000,1):INDEX($V$5:$V$1000,$U219-4),"Macro",INDEX($S$5:$S$1000,1):INDEX($S$5:$S$1000,$U219-4),INDEX($S$5:$S$1000,$U219-4))&amp;"."&amp;COUNTIFS($U$5:$U219,$U219,$V$5:$V219,"Sub"))))</f>
        <v/>
      </c>
      <c r="B219" s="57" t="n"/>
      <c r="C219" s="58" t="n"/>
      <c r="D219" s="58" t="n"/>
      <c r="E219" s="59">
        <f>IF(N($AL219)&gt;0,INDEX(rIni_ADM,$AL219),"")</f>
        <v/>
      </c>
      <c r="F219" s="59">
        <f>IF(N($AL219)&gt;0,INDEX(rLim_ADM,$AL219),"")</f>
        <v/>
      </c>
      <c r="G219" s="59" t="n"/>
      <c r="H219" s="60" t="n"/>
      <c r="I219" s="60" t="n"/>
      <c r="J219" s="60" t="n"/>
      <c r="K219" s="60" t="n"/>
      <c r="L219" s="60" t="n"/>
      <c r="M219" s="61">
        <f>IF(NOT((COUNTA($B219:$D219)+COUNTA($G219:$L219)+COUNTA($Q219))&gt;0),"",IF($V219="Sub",IFERROR($X219/INDEX($W$5:$W$1000,$U219-4),""),IF(ISNUMBER($G219),1,IF(N($W219)&gt;0,AVERAGEIFS($X$5:$X$1000,$U$5:$U$1000,ROW(),$V$5:$V$1000,"Sub"),$X219))))</f>
        <v/>
      </c>
      <c r="N219" s="56">
        <f>IF(OR($M219="",$V219="Sub"),"",IF($M219&gt;=1,"Completado",IF($M219&gt;0,"En curso","Pendiente")))</f>
        <v/>
      </c>
      <c r="O219" s="56">
        <f>IF(OR(NOT((COUNTA($B219:$D219)+COUNTA($G219:$L219)+COUNTA($Q219))&gt;0),$V219="Sub"),"",IF(ISNUMBER($G219),IF(AND(ISNUMBER($AN219),$G219&gt;$AN219),"Cumplida con "&amp;($G219-$AN219)&amp;IF($G219-$AN219=1," día"," días")&amp;" de retraso","Cumplida"),IF(N($M219)&gt;=1,"Cumplida",IF(NOT(ISNUMBER($AN219)),"Sin fecha límite",IF($AN219&lt;FechaRef,"Vencida hace "&amp;(FechaRef-$AN219)&amp;IF(FechaRef-$AN219=1," día"," días"),IF($AN219=FechaRef,"Vence hoy",IF($AN219-FechaRef&lt;=DiasAlerta,"Vence en "&amp;($AN219-FechaRef)&amp;IF($AN219-FechaRef=1," día"," días"),"En plazo")))))))</f>
        <v/>
      </c>
      <c r="P219" s="62" t="n"/>
      <c r="Q219" s="58" t="n"/>
      <c r="R219" s="63">
        <f>IF(NOT((COUNTA($B219:$D219)+COUNTA($G219:$L219)+COUNTA($Q219))&gt;0),"",IF((IF($C219="","Falta el nombre de la actividad"&amp;" · ","")&amp;IF(AND($V219="Sub",N($U219)=0),"Subactividad sin macroactividad arriba"&amp;" · ","")&amp;IF($AM219="","Sin fecha de inicio"&amp;" · ","")&amp;IF($AN219="","Sin fecha límite"&amp;" · ","")&amp;IF(AND(LEFT($C219,11)="[Jefatura] ",N($AL219)=0),"No se encuentra en la hoja de la jefatura (elíjala de nuevo en la lista)"&amp;" · ","")&amp;IF(OR(AND($E219&lt;&gt;"",NOT(ISNUMBER($E219))),AND($F219&lt;&gt;"",NOT(ISNUMBER($F219))),AND($G219&lt;&gt;"",NOT(ISNUMBER($G219)))),"Fecha no válida"&amp;" · ","")&amp;IF(AND(ISNUMBER($AM219),ISNUMBER($AN219),$AM219&gt;$AN219),"Inicio posterior a fecha límite"&amp;" · ","")&amp;IF(AND($V219="Macro",$H219&lt;&gt;"",OR(NOT(ISNUMBER($H219)),$H219&lt;0,$H219&gt;1)),"Peso fuera de rango"&amp;" · ","")&amp;IF(AND($V219="Sub",$H219&lt;&gt;""),"Las subactividades no llevan peso (valen igual dentro de su macroactividad)"&amp;" · ","")&amp;IF(AND(N($W219)&gt;0,COUNT($I219:$L219)&gt;0),"Con subactividades: deje vacías las semanas (se calculan solas)"&amp;" · ","")&amp;IF((COUNTIF($I219:$L219,"&gt;1")+COUNTIF($I219:$L219,"&lt;0")+COUNTA($I219:$L219)-COUNT($I219:$L219))&gt;0,"Avance fuera de rango 0-100%"&amp;" · ","")&amp;IF(OR(AND($J219&lt;&gt;"",$J219&lt;$I219),AND($K219&lt;&gt;"",$K219&lt;MAX($I219:$J219)),AND($L219&lt;&gt;"",$L219&lt;MAX($I219:$K219))),"Avance semanal decreciente"&amp;" · ","")&amp;IF(AND(ISNUMBER($AN219),$AN219&lt;FechaRef,IF($V219="Sub",N($X219),N($M219))&lt;1),"Vencida"&amp;" · ","")&amp;IF(AND(ObsObligatoria="Sí",ISNUMBER($AN219),$AN219&lt;FechaRef,IF($V219="Sub",N($X219),N($M219))&lt;1,$Q219=""),"Vencida sin observación"&amp;" · ",""))="","✔ OK","⚠ "&amp;LEFT(IF($C219="","Falta el nombre de la actividad"&amp;" · ","")&amp;IF(AND($V219="Sub",N($U219)=0),"Subactividad sin macroactividad arriba"&amp;" · ","")&amp;IF($AM219="","Sin fecha de inicio"&amp;" · ","")&amp;IF($AN219="","Sin fecha límite"&amp;" · ","")&amp;IF(AND(LEFT($C219,11)="[Jefatura] ",N($AL219)=0),"No se encuentra en la hoja de la jefatura (elíjala de nuevo en la lista)"&amp;" · ","")&amp;IF(OR(AND($E219&lt;&gt;"",NOT(ISNUMBER($E219))),AND($F219&lt;&gt;"",NOT(ISNUMBER($F219))),AND($G219&lt;&gt;"",NOT(ISNUMBER($G219)))),"Fecha no válida"&amp;" · ","")&amp;IF(AND(ISNUMBER($AM219),ISNUMBER($AN219),$AM219&gt;$AN219),"Inicio posterior a fecha límite"&amp;" · ","")&amp;IF(AND($V219="Macro",$H219&lt;&gt;"",OR(NOT(ISNUMBER($H219)),$H219&lt;0,$H219&gt;1)),"Peso fuera de rango"&amp;" · ","")&amp;IF(AND($V219="Sub",$H219&lt;&gt;""),"Las subactividades no llevan peso (valen igual dentro de su macroactividad)"&amp;" · ","")&amp;IF(AND(N($W219)&gt;0,COUNT($I219:$L219)&gt;0),"Con subactividades: deje vacías las semanas (se calculan solas)"&amp;" · ","")&amp;IF((COUNTIF($I219:$L219,"&gt;1")+COUNTIF($I219:$L219,"&lt;0")+COUNTA($I219:$L219)-COUNT($I219:$L219))&gt;0,"Avance fuera de rango 0-100%"&amp;" · ","")&amp;IF(OR(AND($J219&lt;&gt;"",$J219&lt;$I219),AND($K219&lt;&gt;"",$K219&lt;MAX($I219:$J219)),AND($L219&lt;&gt;"",$L219&lt;MAX($I219:$K219))),"Avance semanal decreciente"&amp;" · ","")&amp;IF(AND(ISNUMBER($AN219),$AN219&lt;FechaRef,IF($V219="Sub",N($X219),N($M219))&lt;1),"Vencida"&amp;" · ","")&amp;IF(AND(ObsObligatoria="Sí",ISNUMBER($AN219),$AN219&lt;FechaRef,IF($V219="Sub",N($X219),N($M219))&lt;1,$Q219=""),"Vencida sin observación"&amp;" · ",""),LEN(IF($C219="","Falta el nombre de la actividad"&amp;" · ","")&amp;IF(AND($V219="Sub",N($U219)=0),"Subactividad sin macroactividad arriba"&amp;" · ","")&amp;IF($AM219="","Sin fecha de inicio"&amp;" · ","")&amp;IF($AN219="","Sin fecha límite"&amp;" · ","")&amp;IF(AND(LEFT($C219,11)="[Jefatura] ",N($AL219)=0),"No se encuentra en la hoja de la jefatura (elíjala de nuevo en la lista)"&amp;" · ","")&amp;IF(OR(AND($E219&lt;&gt;"",NOT(ISNUMBER($E219))),AND($F219&lt;&gt;"",NOT(ISNUMBER($F219))),AND($G219&lt;&gt;"",NOT(ISNUMBER($G219)))),"Fecha no válida"&amp;" · ","")&amp;IF(AND(ISNUMBER($AM219),ISNUMBER($AN219),$AM219&gt;$AN219),"Inicio posterior a fecha límite"&amp;" · ","")&amp;IF(AND($V219="Macro",$H219&lt;&gt;"",OR(NOT(ISNUMBER($H219)),$H219&lt;0,$H219&gt;1)),"Peso fuera de rango"&amp;" · ","")&amp;IF(AND($V219="Sub",$H219&lt;&gt;""),"Las subactividades no llevan peso (valen igual dentro de su macroactividad)"&amp;" · ","")&amp;IF(AND(N($W219)&gt;0,COUNT($I219:$L219)&gt;0),"Con subactividades: deje vacías las semanas (se calculan solas)"&amp;" · ","")&amp;IF((COUNTIF($I219:$L219,"&gt;1")+COUNTIF($I219:$L219,"&lt;0")+COUNTA($I219:$L219)-COUNT($I219:$L219))&gt;0,"Avance fuera de rango 0-100%"&amp;" · ","")&amp;IF(OR(AND($J219&lt;&gt;"",$J219&lt;$I219),AND($K219&lt;&gt;"",$K219&lt;MAX($I219:$J219)),AND($L219&lt;&gt;"",$L219&lt;MAX($I219:$K219))),"Avance semanal decreciente"&amp;" · ","")&amp;IF(AND(ISNUMBER($AN219),$AN219&lt;FechaRef,IF($V219="Sub",N($X219),N($M219))&lt;1),"Vencida"&amp;" · ","")&amp;IF(AND(ObsObligatoria="Sí",ISNUMBER($AN219),$AN219&lt;FechaRef,IF($V219="Sub",N($X219),N($M219))&lt;1,$Q219=""),"Vencida sin observación"&amp;" · ",""))-3)))</f>
        <v/>
      </c>
      <c r="S219" s="64">
        <f>IF(NOT((COUNTA($B219:$D219)+COUNTA($G219:$L219)+COUNTA($Q219))&gt;0),"",IF(AND($V219="Sub",N($U219)&gt;0),IF(ISNUMBER(INDEX($AM$5:$AM$1000,$U219-4)),DATE(YEAR(INDEX($AM$5:$AM$1000,$U219-4)),MONTH(INDEX($AM$5:$AM$1000,$U219-4)),1),IF(ISNUMBER(INDEX($AN$5:$AN$1000,$U219-4)),DATE(YEAR(INDEX($AN$5:$AN$1000,$U219-4)),MONTH(INDEX($AN$5:$AN$1000,$U219-4)),1),MesCiclo)),IF(ISNUMBER($AM219),DATE(YEAR($AM219),MONTH($AM219),1),IF(ISNUMBER($AN219),DATE(YEAR($AN219),MONTH($AN219),1),MesCiclo))))</f>
        <v/>
      </c>
      <c r="T219" s="62">
        <f>IF(OR($S219="",$S219&lt;&gt;MesCiclo,$V219&lt;&gt;"Macro"),"",COUNTIFS($S$5:$S219,MesCiclo,$V$5:$V219,"Macro"))</f>
        <v/>
      </c>
      <c r="U219" s="62">
        <f>IF($V219="","",IF($V219="Macro",ROW(),IFERROR(LOOKUP(2,1/($V$5:$V219="Macro"),ROW($V$5:$V219)),0)))</f>
        <v/>
      </c>
      <c r="V219" s="62">
        <f>IF(NOT((COUNTA($B219:$D219)+COUNTA($G219:$L219)+COUNTA($Q219))&gt;0),"",IF($B219="Subactividad","Sub","Macro"))</f>
        <v/>
      </c>
      <c r="W219" s="62">
        <f>IF($V219="Macro",COUNTIFS($U$5:$U$1000,ROW(),$V$5:$V$1000,"Sub"),"")</f>
        <v/>
      </c>
      <c r="X219" s="62">
        <f>IF($V219="","",IF(ISNUMBER($G219),1,IFERROR(LOOKUP(2,1/($I219:$L219&lt;&gt;""),$I219:$L219),0)))</f>
        <v/>
      </c>
      <c r="Y219" s="62">
        <f>IF($V219="","",IF(AND(ISNUMBER($G219),$G219&lt;=IF($S219=MesCiclo,InicioCiclo,$S219+MOD(2-WEEKDAY($S219),7))+6),1,IF(ISNUMBER($I219),$I219,0)))</f>
        <v/>
      </c>
      <c r="Z219" s="62">
        <f>IF($V219="","",IF(AND(ISNUMBER($G219),$G219&lt;=IF($S219=MesCiclo,InicioCiclo,$S219+MOD(2-WEEKDAY($S219),7))+13),1,IF(ISNUMBER($J219),$J219,$Y219)))</f>
        <v/>
      </c>
      <c r="AA219" s="62">
        <f>IF($V219="","",IF(AND(ISNUMBER($G219),$G219&lt;=IF($S219=MesCiclo,InicioCiclo,$S219+MOD(2-WEEKDAY($S219),7))+20),1,IF(ISNUMBER($K219),$K219,$Z219)))</f>
        <v/>
      </c>
      <c r="AB219" s="62">
        <f>IF($V219="","",IF(AND(ISNUMBER($G219),$G219&lt;=IF($S219=MesCiclo,InicioCiclo,$S219+MOD(2-WEEKDAY($S219),7))+27),1,IF(ISNUMBER($L219),$L219,$AA219)))</f>
        <v/>
      </c>
      <c r="AC219" s="62">
        <f>IF($V219="","",IF(AND(ISNUMBER($G219),$G219&lt;=IF($S219=MesCiclo,InicioCiclo,$S219+MOD(2-WEEKDAY($S219),7))+6),1,IF(N($W219)&gt;0,AVERAGEIFS($Y$5:$Y$1000,$U$5:$U$1000,ROW(),$V$5:$V$1000,"Sub"),$Y219)))</f>
        <v/>
      </c>
      <c r="AD219" s="62">
        <f>IF($V219="","",IF(AND(ISNUMBER($G219),$G219&lt;=IF($S219=MesCiclo,InicioCiclo,$S219+MOD(2-WEEKDAY($S219),7))+13),1,IF(N($W219)&gt;0,AVERAGEIFS($Z$5:$Z$1000,$U$5:$U$1000,ROW(),$V$5:$V$1000,"Sub"),$Z219)))</f>
        <v/>
      </c>
      <c r="AE219" s="62">
        <f>IF($V219="","",IF(AND(ISNUMBER($G219),$G219&lt;=IF($S219=MesCiclo,InicioCiclo,$S219+MOD(2-WEEKDAY($S219),7))+20),1,IF(N($W219)&gt;0,AVERAGEIFS($AA$5:$AA$1000,$U$5:$U$1000,ROW(),$V$5:$V$1000,"Sub"),$AA219)))</f>
        <v/>
      </c>
      <c r="AF219" s="62">
        <f>IF($V219="","",IF(AND(ISNUMBER($G219),$G219&lt;=IF($S219=MesCiclo,InicioCiclo,$S219+MOD(2-WEEKDAY($S219),7))+27),1,IF(N($W219)&gt;0,AVERAGEIFS($AB$5:$AB$1000,$U$5:$U$1000,ROW(),$V$5:$V$1000,"Sub"),$AB219)))</f>
        <v/>
      </c>
      <c r="AG219" s="62">
        <f>IF($V219&lt;&gt;"Macro","",IF(COUNTIFS($S$5:$S$1000,$S219,$V$5:$V$1000,"Macro",$H$5:$H$1000,"&gt;0")=0,1/COUNTIFS($S$5:$S$1000,$S219,$V$5:$V$1000,"Macro"),IF(AND(ISNUMBER($H219),N($H219)&gt;0),$H219,SUMIFS($H$5:$H$1000,$S$5:$S$1000,$S219,$V$5:$V$1000,"Macro")/COUNTIFS($S$5:$S$1000,$S219,$V$5:$V$1000,"Macro",$H$5:$H$1000,"&gt;0"))/(COUNTIFS($S$5:$S$1000,$S219,$V$5:$V$1000,"Macro")*SUMIFS($H$5:$H$1000,$S$5:$S$1000,$S219,$V$5:$V$1000,"Macro")/COUNTIFS($S$5:$S$1000,$S219,$V$5:$V$1000,"Macro",$H$5:$H$1000,"&gt;0"))))</f>
        <v/>
      </c>
      <c r="AH219" s="62" t="n"/>
      <c r="AI219" s="62" t="n"/>
      <c r="AJ219" s="62" t="n"/>
      <c r="AK219" s="62" t="n"/>
      <c r="AL219" s="62">
        <f>IF(LEFT($C219,11)="[Jefatura] ",IFERROR(MATCH("Asistente Técnico de Riesgo|"&amp;MID($C219,12,500),rDname_ADM,0),0),"")</f>
        <v/>
      </c>
      <c r="AM219" s="62">
        <f>IF(N($AL219)&gt;0,INDEX(rIni_ADM,$AL219),IF(ISNUMBER($E219),$E219,""))</f>
        <v/>
      </c>
      <c r="AN219" s="62">
        <f>IF(N($AL219)&gt;0,INDEX(rLim_ADM,$AL219),IF(ISNUMBER($F219),$F219,""))</f>
        <v/>
      </c>
    </row>
    <row r="220">
      <c r="A220" s="56">
        <f>IF(NOT((COUNTA($B220:$D220)+COUNTA($G220:$L220)+COUNTA($Q220))&gt;0),"",IF($V220="Macro",COUNTIFS($V$5:$V220,"Macro",$S$5:$S220,$S220),IF(N($U220)=0,"?",COUNTIFS(INDEX($V$5:$V$1000,1):INDEX($V$5:$V$1000,$U220-4),"Macro",INDEX($S$5:$S$1000,1):INDEX($S$5:$S$1000,$U220-4),INDEX($S$5:$S$1000,$U220-4))&amp;"."&amp;COUNTIFS($U$5:$U220,$U220,$V$5:$V220,"Sub"))))</f>
        <v/>
      </c>
      <c r="B220" s="57" t="n"/>
      <c r="C220" s="58" t="n"/>
      <c r="D220" s="58" t="n"/>
      <c r="E220" s="59">
        <f>IF(N($AL220)&gt;0,INDEX(rIni_ADM,$AL220),"")</f>
        <v/>
      </c>
      <c r="F220" s="59">
        <f>IF(N($AL220)&gt;0,INDEX(rLim_ADM,$AL220),"")</f>
        <v/>
      </c>
      <c r="G220" s="59" t="n"/>
      <c r="H220" s="60" t="n"/>
      <c r="I220" s="60" t="n"/>
      <c r="J220" s="60" t="n"/>
      <c r="K220" s="60" t="n"/>
      <c r="L220" s="60" t="n"/>
      <c r="M220" s="61">
        <f>IF(NOT((COUNTA($B220:$D220)+COUNTA($G220:$L220)+COUNTA($Q220))&gt;0),"",IF($V220="Sub",IFERROR($X220/INDEX($W$5:$W$1000,$U220-4),""),IF(ISNUMBER($G220),1,IF(N($W220)&gt;0,AVERAGEIFS($X$5:$X$1000,$U$5:$U$1000,ROW(),$V$5:$V$1000,"Sub"),$X220))))</f>
        <v/>
      </c>
      <c r="N220" s="56">
        <f>IF(OR($M220="",$V220="Sub"),"",IF($M220&gt;=1,"Completado",IF($M220&gt;0,"En curso","Pendiente")))</f>
        <v/>
      </c>
      <c r="O220" s="56">
        <f>IF(OR(NOT((COUNTA($B220:$D220)+COUNTA($G220:$L220)+COUNTA($Q220))&gt;0),$V220="Sub"),"",IF(ISNUMBER($G220),IF(AND(ISNUMBER($AN220),$G220&gt;$AN220),"Cumplida con "&amp;($G220-$AN220)&amp;IF($G220-$AN220=1," día"," días")&amp;" de retraso","Cumplida"),IF(N($M220)&gt;=1,"Cumplida",IF(NOT(ISNUMBER($AN220)),"Sin fecha límite",IF($AN220&lt;FechaRef,"Vencida hace "&amp;(FechaRef-$AN220)&amp;IF(FechaRef-$AN220=1," día"," días"),IF($AN220=FechaRef,"Vence hoy",IF($AN220-FechaRef&lt;=DiasAlerta,"Vence en "&amp;($AN220-FechaRef)&amp;IF($AN220-FechaRef=1," día"," días"),"En plazo")))))))</f>
        <v/>
      </c>
      <c r="P220" s="62" t="n"/>
      <c r="Q220" s="58" t="n"/>
      <c r="R220" s="63">
        <f>IF(NOT((COUNTA($B220:$D220)+COUNTA($G220:$L220)+COUNTA($Q220))&gt;0),"",IF((IF($C220="","Falta el nombre de la actividad"&amp;" · ","")&amp;IF(AND($V220="Sub",N($U220)=0),"Subactividad sin macroactividad arriba"&amp;" · ","")&amp;IF($AM220="","Sin fecha de inicio"&amp;" · ","")&amp;IF($AN220="","Sin fecha límite"&amp;" · ","")&amp;IF(AND(LEFT($C220,11)="[Jefatura] ",N($AL220)=0),"No se encuentra en la hoja de la jefatura (elíjala de nuevo en la lista)"&amp;" · ","")&amp;IF(OR(AND($E220&lt;&gt;"",NOT(ISNUMBER($E220))),AND($F220&lt;&gt;"",NOT(ISNUMBER($F220))),AND($G220&lt;&gt;"",NOT(ISNUMBER($G220)))),"Fecha no válida"&amp;" · ","")&amp;IF(AND(ISNUMBER($AM220),ISNUMBER($AN220),$AM220&gt;$AN220),"Inicio posterior a fecha límite"&amp;" · ","")&amp;IF(AND($V220="Macro",$H220&lt;&gt;"",OR(NOT(ISNUMBER($H220)),$H220&lt;0,$H220&gt;1)),"Peso fuera de rango"&amp;" · ","")&amp;IF(AND($V220="Sub",$H220&lt;&gt;""),"Las subactividades no llevan peso (valen igual dentro de su macroactividad)"&amp;" · ","")&amp;IF(AND(N($W220)&gt;0,COUNT($I220:$L220)&gt;0),"Con subactividades: deje vacías las semanas (se calculan solas)"&amp;" · ","")&amp;IF((COUNTIF($I220:$L220,"&gt;1")+COUNTIF($I220:$L220,"&lt;0")+COUNTA($I220:$L220)-COUNT($I220:$L220))&gt;0,"Avance fuera de rango 0-100%"&amp;" · ","")&amp;IF(OR(AND($J220&lt;&gt;"",$J220&lt;$I220),AND($K220&lt;&gt;"",$K220&lt;MAX($I220:$J220)),AND($L220&lt;&gt;"",$L220&lt;MAX($I220:$K220))),"Avance semanal decreciente"&amp;" · ","")&amp;IF(AND(ISNUMBER($AN220),$AN220&lt;FechaRef,IF($V220="Sub",N($X220),N($M220))&lt;1),"Vencida"&amp;" · ","")&amp;IF(AND(ObsObligatoria="Sí",ISNUMBER($AN220),$AN220&lt;FechaRef,IF($V220="Sub",N($X220),N($M220))&lt;1,$Q220=""),"Vencida sin observación"&amp;" · ",""))="","✔ OK","⚠ "&amp;LEFT(IF($C220="","Falta el nombre de la actividad"&amp;" · ","")&amp;IF(AND($V220="Sub",N($U220)=0),"Subactividad sin macroactividad arriba"&amp;" · ","")&amp;IF($AM220="","Sin fecha de inicio"&amp;" · ","")&amp;IF($AN220="","Sin fecha límite"&amp;" · ","")&amp;IF(AND(LEFT($C220,11)="[Jefatura] ",N($AL220)=0),"No se encuentra en la hoja de la jefatura (elíjala de nuevo en la lista)"&amp;" · ","")&amp;IF(OR(AND($E220&lt;&gt;"",NOT(ISNUMBER($E220))),AND($F220&lt;&gt;"",NOT(ISNUMBER($F220))),AND($G220&lt;&gt;"",NOT(ISNUMBER($G220)))),"Fecha no válida"&amp;" · ","")&amp;IF(AND(ISNUMBER($AM220),ISNUMBER($AN220),$AM220&gt;$AN220),"Inicio posterior a fecha límite"&amp;" · ","")&amp;IF(AND($V220="Macro",$H220&lt;&gt;"",OR(NOT(ISNUMBER($H220)),$H220&lt;0,$H220&gt;1)),"Peso fuera de rango"&amp;" · ","")&amp;IF(AND($V220="Sub",$H220&lt;&gt;""),"Las subactividades no llevan peso (valen igual dentro de su macroactividad)"&amp;" · ","")&amp;IF(AND(N($W220)&gt;0,COUNT($I220:$L220)&gt;0),"Con subactividades: deje vacías las semanas (se calculan solas)"&amp;" · ","")&amp;IF((COUNTIF($I220:$L220,"&gt;1")+COUNTIF($I220:$L220,"&lt;0")+COUNTA($I220:$L220)-COUNT($I220:$L220))&gt;0,"Avance fuera de rango 0-100%"&amp;" · ","")&amp;IF(OR(AND($J220&lt;&gt;"",$J220&lt;$I220),AND($K220&lt;&gt;"",$K220&lt;MAX($I220:$J220)),AND($L220&lt;&gt;"",$L220&lt;MAX($I220:$K220))),"Avance semanal decreciente"&amp;" · ","")&amp;IF(AND(ISNUMBER($AN220),$AN220&lt;FechaRef,IF($V220="Sub",N($X220),N($M220))&lt;1),"Vencida"&amp;" · ","")&amp;IF(AND(ObsObligatoria="Sí",ISNUMBER($AN220),$AN220&lt;FechaRef,IF($V220="Sub",N($X220),N($M220))&lt;1,$Q220=""),"Vencida sin observación"&amp;" · ",""),LEN(IF($C220="","Falta el nombre de la actividad"&amp;" · ","")&amp;IF(AND($V220="Sub",N($U220)=0),"Subactividad sin macroactividad arriba"&amp;" · ","")&amp;IF($AM220="","Sin fecha de inicio"&amp;" · ","")&amp;IF($AN220="","Sin fecha límite"&amp;" · ","")&amp;IF(AND(LEFT($C220,11)="[Jefatura] ",N($AL220)=0),"No se encuentra en la hoja de la jefatura (elíjala de nuevo en la lista)"&amp;" · ","")&amp;IF(OR(AND($E220&lt;&gt;"",NOT(ISNUMBER($E220))),AND($F220&lt;&gt;"",NOT(ISNUMBER($F220))),AND($G220&lt;&gt;"",NOT(ISNUMBER($G220)))),"Fecha no válida"&amp;" · ","")&amp;IF(AND(ISNUMBER($AM220),ISNUMBER($AN220),$AM220&gt;$AN220),"Inicio posterior a fecha límite"&amp;" · ","")&amp;IF(AND($V220="Macro",$H220&lt;&gt;"",OR(NOT(ISNUMBER($H220)),$H220&lt;0,$H220&gt;1)),"Peso fuera de rango"&amp;" · ","")&amp;IF(AND($V220="Sub",$H220&lt;&gt;""),"Las subactividades no llevan peso (valen igual dentro de su macroactividad)"&amp;" · ","")&amp;IF(AND(N($W220)&gt;0,COUNT($I220:$L220)&gt;0),"Con subactividades: deje vacías las semanas (se calculan solas)"&amp;" · ","")&amp;IF((COUNTIF($I220:$L220,"&gt;1")+COUNTIF($I220:$L220,"&lt;0")+COUNTA($I220:$L220)-COUNT($I220:$L220))&gt;0,"Avance fuera de rango 0-100%"&amp;" · ","")&amp;IF(OR(AND($J220&lt;&gt;"",$J220&lt;$I220),AND($K220&lt;&gt;"",$K220&lt;MAX($I220:$J220)),AND($L220&lt;&gt;"",$L220&lt;MAX($I220:$K220))),"Avance semanal decreciente"&amp;" · ","")&amp;IF(AND(ISNUMBER($AN220),$AN220&lt;FechaRef,IF($V220="Sub",N($X220),N($M220))&lt;1),"Vencida"&amp;" · ","")&amp;IF(AND(ObsObligatoria="Sí",ISNUMBER($AN220),$AN220&lt;FechaRef,IF($V220="Sub",N($X220),N($M220))&lt;1,$Q220=""),"Vencida sin observación"&amp;" · ",""))-3)))</f>
        <v/>
      </c>
      <c r="S220" s="64">
        <f>IF(NOT((COUNTA($B220:$D220)+COUNTA($G220:$L220)+COUNTA($Q220))&gt;0),"",IF(AND($V220="Sub",N($U220)&gt;0),IF(ISNUMBER(INDEX($AM$5:$AM$1000,$U220-4)),DATE(YEAR(INDEX($AM$5:$AM$1000,$U220-4)),MONTH(INDEX($AM$5:$AM$1000,$U220-4)),1),IF(ISNUMBER(INDEX($AN$5:$AN$1000,$U220-4)),DATE(YEAR(INDEX($AN$5:$AN$1000,$U220-4)),MONTH(INDEX($AN$5:$AN$1000,$U220-4)),1),MesCiclo)),IF(ISNUMBER($AM220),DATE(YEAR($AM220),MONTH($AM220),1),IF(ISNUMBER($AN220),DATE(YEAR($AN220),MONTH($AN220),1),MesCiclo))))</f>
        <v/>
      </c>
      <c r="T220" s="62">
        <f>IF(OR($S220="",$S220&lt;&gt;MesCiclo,$V220&lt;&gt;"Macro"),"",COUNTIFS($S$5:$S220,MesCiclo,$V$5:$V220,"Macro"))</f>
        <v/>
      </c>
      <c r="U220" s="62">
        <f>IF($V220="","",IF($V220="Macro",ROW(),IFERROR(LOOKUP(2,1/($V$5:$V220="Macro"),ROW($V$5:$V220)),0)))</f>
        <v/>
      </c>
      <c r="V220" s="62">
        <f>IF(NOT((COUNTA($B220:$D220)+COUNTA($G220:$L220)+COUNTA($Q220))&gt;0),"",IF($B220="Subactividad","Sub","Macro"))</f>
        <v/>
      </c>
      <c r="W220" s="62">
        <f>IF($V220="Macro",COUNTIFS($U$5:$U$1000,ROW(),$V$5:$V$1000,"Sub"),"")</f>
        <v/>
      </c>
      <c r="X220" s="62">
        <f>IF($V220="","",IF(ISNUMBER($G220),1,IFERROR(LOOKUP(2,1/($I220:$L220&lt;&gt;""),$I220:$L220),0)))</f>
        <v/>
      </c>
      <c r="Y220" s="62">
        <f>IF($V220="","",IF(AND(ISNUMBER($G220),$G220&lt;=IF($S220=MesCiclo,InicioCiclo,$S220+MOD(2-WEEKDAY($S220),7))+6),1,IF(ISNUMBER($I220),$I220,0)))</f>
        <v/>
      </c>
      <c r="Z220" s="62">
        <f>IF($V220="","",IF(AND(ISNUMBER($G220),$G220&lt;=IF($S220=MesCiclo,InicioCiclo,$S220+MOD(2-WEEKDAY($S220),7))+13),1,IF(ISNUMBER($J220),$J220,$Y220)))</f>
        <v/>
      </c>
      <c r="AA220" s="62">
        <f>IF($V220="","",IF(AND(ISNUMBER($G220),$G220&lt;=IF($S220=MesCiclo,InicioCiclo,$S220+MOD(2-WEEKDAY($S220),7))+20),1,IF(ISNUMBER($K220),$K220,$Z220)))</f>
        <v/>
      </c>
      <c r="AB220" s="62">
        <f>IF($V220="","",IF(AND(ISNUMBER($G220),$G220&lt;=IF($S220=MesCiclo,InicioCiclo,$S220+MOD(2-WEEKDAY($S220),7))+27),1,IF(ISNUMBER($L220),$L220,$AA220)))</f>
        <v/>
      </c>
      <c r="AC220" s="62">
        <f>IF($V220="","",IF(AND(ISNUMBER($G220),$G220&lt;=IF($S220=MesCiclo,InicioCiclo,$S220+MOD(2-WEEKDAY($S220),7))+6),1,IF(N($W220)&gt;0,AVERAGEIFS($Y$5:$Y$1000,$U$5:$U$1000,ROW(),$V$5:$V$1000,"Sub"),$Y220)))</f>
        <v/>
      </c>
      <c r="AD220" s="62">
        <f>IF($V220="","",IF(AND(ISNUMBER($G220),$G220&lt;=IF($S220=MesCiclo,InicioCiclo,$S220+MOD(2-WEEKDAY($S220),7))+13),1,IF(N($W220)&gt;0,AVERAGEIFS($Z$5:$Z$1000,$U$5:$U$1000,ROW(),$V$5:$V$1000,"Sub"),$Z220)))</f>
        <v/>
      </c>
      <c r="AE220" s="62">
        <f>IF($V220="","",IF(AND(ISNUMBER($G220),$G220&lt;=IF($S220=MesCiclo,InicioCiclo,$S220+MOD(2-WEEKDAY($S220),7))+20),1,IF(N($W220)&gt;0,AVERAGEIFS($AA$5:$AA$1000,$U$5:$U$1000,ROW(),$V$5:$V$1000,"Sub"),$AA220)))</f>
        <v/>
      </c>
      <c r="AF220" s="62">
        <f>IF($V220="","",IF(AND(ISNUMBER($G220),$G220&lt;=IF($S220=MesCiclo,InicioCiclo,$S220+MOD(2-WEEKDAY($S220),7))+27),1,IF(N($W220)&gt;0,AVERAGEIFS($AB$5:$AB$1000,$U$5:$U$1000,ROW(),$V$5:$V$1000,"Sub"),$AB220)))</f>
        <v/>
      </c>
      <c r="AG220" s="62">
        <f>IF($V220&lt;&gt;"Macro","",IF(COUNTIFS($S$5:$S$1000,$S220,$V$5:$V$1000,"Macro",$H$5:$H$1000,"&gt;0")=0,1/COUNTIFS($S$5:$S$1000,$S220,$V$5:$V$1000,"Macro"),IF(AND(ISNUMBER($H220),N($H220)&gt;0),$H220,SUMIFS($H$5:$H$1000,$S$5:$S$1000,$S220,$V$5:$V$1000,"Macro")/COUNTIFS($S$5:$S$1000,$S220,$V$5:$V$1000,"Macro",$H$5:$H$1000,"&gt;0"))/(COUNTIFS($S$5:$S$1000,$S220,$V$5:$V$1000,"Macro")*SUMIFS($H$5:$H$1000,$S$5:$S$1000,$S220,$V$5:$V$1000,"Macro")/COUNTIFS($S$5:$S$1000,$S220,$V$5:$V$1000,"Macro",$H$5:$H$1000,"&gt;0"))))</f>
        <v/>
      </c>
      <c r="AH220" s="62" t="n"/>
      <c r="AI220" s="62" t="n"/>
      <c r="AJ220" s="62" t="n"/>
      <c r="AK220" s="62" t="n"/>
      <c r="AL220" s="62">
        <f>IF(LEFT($C220,11)="[Jefatura] ",IFERROR(MATCH("Asistente Técnico de Riesgo|"&amp;MID($C220,12,500),rDname_ADM,0),0),"")</f>
        <v/>
      </c>
      <c r="AM220" s="62">
        <f>IF(N($AL220)&gt;0,INDEX(rIni_ADM,$AL220),IF(ISNUMBER($E220),$E220,""))</f>
        <v/>
      </c>
      <c r="AN220" s="62">
        <f>IF(N($AL220)&gt;0,INDEX(rLim_ADM,$AL220),IF(ISNUMBER($F220),$F220,""))</f>
        <v/>
      </c>
    </row>
    <row r="221">
      <c r="A221" s="56">
        <f>IF(NOT((COUNTA($B221:$D221)+COUNTA($G221:$L221)+COUNTA($Q221))&gt;0),"",IF($V221="Macro",COUNTIFS($V$5:$V221,"Macro",$S$5:$S221,$S221),IF(N($U221)=0,"?",COUNTIFS(INDEX($V$5:$V$1000,1):INDEX($V$5:$V$1000,$U221-4),"Macro",INDEX($S$5:$S$1000,1):INDEX($S$5:$S$1000,$U221-4),INDEX($S$5:$S$1000,$U221-4))&amp;"."&amp;COUNTIFS($U$5:$U221,$U221,$V$5:$V221,"Sub"))))</f>
        <v/>
      </c>
      <c r="B221" s="57" t="n"/>
      <c r="C221" s="58" t="n"/>
      <c r="D221" s="58" t="n"/>
      <c r="E221" s="59">
        <f>IF(N($AL221)&gt;0,INDEX(rIni_ADM,$AL221),"")</f>
        <v/>
      </c>
      <c r="F221" s="59">
        <f>IF(N($AL221)&gt;0,INDEX(rLim_ADM,$AL221),"")</f>
        <v/>
      </c>
      <c r="G221" s="59" t="n"/>
      <c r="H221" s="60" t="n"/>
      <c r="I221" s="60" t="n"/>
      <c r="J221" s="60" t="n"/>
      <c r="K221" s="60" t="n"/>
      <c r="L221" s="60" t="n"/>
      <c r="M221" s="61">
        <f>IF(NOT((COUNTA($B221:$D221)+COUNTA($G221:$L221)+COUNTA($Q221))&gt;0),"",IF($V221="Sub",IFERROR($X221/INDEX($W$5:$W$1000,$U221-4),""),IF(ISNUMBER($G221),1,IF(N($W221)&gt;0,AVERAGEIFS($X$5:$X$1000,$U$5:$U$1000,ROW(),$V$5:$V$1000,"Sub"),$X221))))</f>
        <v/>
      </c>
      <c r="N221" s="56">
        <f>IF(OR($M221="",$V221="Sub"),"",IF($M221&gt;=1,"Completado",IF($M221&gt;0,"En curso","Pendiente")))</f>
        <v/>
      </c>
      <c r="O221" s="56">
        <f>IF(OR(NOT((COUNTA($B221:$D221)+COUNTA($G221:$L221)+COUNTA($Q221))&gt;0),$V221="Sub"),"",IF(ISNUMBER($G221),IF(AND(ISNUMBER($AN221),$G221&gt;$AN221),"Cumplida con "&amp;($G221-$AN221)&amp;IF($G221-$AN221=1," día"," días")&amp;" de retraso","Cumplida"),IF(N($M221)&gt;=1,"Cumplida",IF(NOT(ISNUMBER($AN221)),"Sin fecha límite",IF($AN221&lt;FechaRef,"Vencida hace "&amp;(FechaRef-$AN221)&amp;IF(FechaRef-$AN221=1," día"," días"),IF($AN221=FechaRef,"Vence hoy",IF($AN221-FechaRef&lt;=DiasAlerta,"Vence en "&amp;($AN221-FechaRef)&amp;IF($AN221-FechaRef=1," día"," días"),"En plazo")))))))</f>
        <v/>
      </c>
      <c r="P221" s="62" t="n"/>
      <c r="Q221" s="58" t="n"/>
      <c r="R221" s="63">
        <f>IF(NOT((COUNTA($B221:$D221)+COUNTA($G221:$L221)+COUNTA($Q221))&gt;0),"",IF((IF($C221="","Falta el nombre de la actividad"&amp;" · ","")&amp;IF(AND($V221="Sub",N($U221)=0),"Subactividad sin macroactividad arriba"&amp;" · ","")&amp;IF($AM221="","Sin fecha de inicio"&amp;" · ","")&amp;IF($AN221="","Sin fecha límite"&amp;" · ","")&amp;IF(AND(LEFT($C221,11)="[Jefatura] ",N($AL221)=0),"No se encuentra en la hoja de la jefatura (elíjala de nuevo en la lista)"&amp;" · ","")&amp;IF(OR(AND($E221&lt;&gt;"",NOT(ISNUMBER($E221))),AND($F221&lt;&gt;"",NOT(ISNUMBER($F221))),AND($G221&lt;&gt;"",NOT(ISNUMBER($G221)))),"Fecha no válida"&amp;" · ","")&amp;IF(AND(ISNUMBER($AM221),ISNUMBER($AN221),$AM221&gt;$AN221),"Inicio posterior a fecha límite"&amp;" · ","")&amp;IF(AND($V221="Macro",$H221&lt;&gt;"",OR(NOT(ISNUMBER($H221)),$H221&lt;0,$H221&gt;1)),"Peso fuera de rango"&amp;" · ","")&amp;IF(AND($V221="Sub",$H221&lt;&gt;""),"Las subactividades no llevan peso (valen igual dentro de su macroactividad)"&amp;" · ","")&amp;IF(AND(N($W221)&gt;0,COUNT($I221:$L221)&gt;0),"Con subactividades: deje vacías las semanas (se calculan solas)"&amp;" · ","")&amp;IF((COUNTIF($I221:$L221,"&gt;1")+COUNTIF($I221:$L221,"&lt;0")+COUNTA($I221:$L221)-COUNT($I221:$L221))&gt;0,"Avance fuera de rango 0-100%"&amp;" · ","")&amp;IF(OR(AND($J221&lt;&gt;"",$J221&lt;$I221),AND($K221&lt;&gt;"",$K221&lt;MAX($I221:$J221)),AND($L221&lt;&gt;"",$L221&lt;MAX($I221:$K221))),"Avance semanal decreciente"&amp;" · ","")&amp;IF(AND(ISNUMBER($AN221),$AN221&lt;FechaRef,IF($V221="Sub",N($X221),N($M221))&lt;1),"Vencida"&amp;" · ","")&amp;IF(AND(ObsObligatoria="Sí",ISNUMBER($AN221),$AN221&lt;FechaRef,IF($V221="Sub",N($X221),N($M221))&lt;1,$Q221=""),"Vencida sin observación"&amp;" · ",""))="","✔ OK","⚠ "&amp;LEFT(IF($C221="","Falta el nombre de la actividad"&amp;" · ","")&amp;IF(AND($V221="Sub",N($U221)=0),"Subactividad sin macroactividad arriba"&amp;" · ","")&amp;IF($AM221="","Sin fecha de inicio"&amp;" · ","")&amp;IF($AN221="","Sin fecha límite"&amp;" · ","")&amp;IF(AND(LEFT($C221,11)="[Jefatura] ",N($AL221)=0),"No se encuentra en la hoja de la jefatura (elíjala de nuevo en la lista)"&amp;" · ","")&amp;IF(OR(AND($E221&lt;&gt;"",NOT(ISNUMBER($E221))),AND($F221&lt;&gt;"",NOT(ISNUMBER($F221))),AND($G221&lt;&gt;"",NOT(ISNUMBER($G221)))),"Fecha no válida"&amp;" · ","")&amp;IF(AND(ISNUMBER($AM221),ISNUMBER($AN221),$AM221&gt;$AN221),"Inicio posterior a fecha límite"&amp;" · ","")&amp;IF(AND($V221="Macro",$H221&lt;&gt;"",OR(NOT(ISNUMBER($H221)),$H221&lt;0,$H221&gt;1)),"Peso fuera de rango"&amp;" · ","")&amp;IF(AND($V221="Sub",$H221&lt;&gt;""),"Las subactividades no llevan peso (valen igual dentro de su macroactividad)"&amp;" · ","")&amp;IF(AND(N($W221)&gt;0,COUNT($I221:$L221)&gt;0),"Con subactividades: deje vacías las semanas (se calculan solas)"&amp;" · ","")&amp;IF((COUNTIF($I221:$L221,"&gt;1")+COUNTIF($I221:$L221,"&lt;0")+COUNTA($I221:$L221)-COUNT($I221:$L221))&gt;0,"Avance fuera de rango 0-100%"&amp;" · ","")&amp;IF(OR(AND($J221&lt;&gt;"",$J221&lt;$I221),AND($K221&lt;&gt;"",$K221&lt;MAX($I221:$J221)),AND($L221&lt;&gt;"",$L221&lt;MAX($I221:$K221))),"Avance semanal decreciente"&amp;" · ","")&amp;IF(AND(ISNUMBER($AN221),$AN221&lt;FechaRef,IF($V221="Sub",N($X221),N($M221))&lt;1),"Vencida"&amp;" · ","")&amp;IF(AND(ObsObligatoria="Sí",ISNUMBER($AN221),$AN221&lt;FechaRef,IF($V221="Sub",N($X221),N($M221))&lt;1,$Q221=""),"Vencida sin observación"&amp;" · ",""),LEN(IF($C221="","Falta el nombre de la actividad"&amp;" · ","")&amp;IF(AND($V221="Sub",N($U221)=0),"Subactividad sin macroactividad arriba"&amp;" · ","")&amp;IF($AM221="","Sin fecha de inicio"&amp;" · ","")&amp;IF($AN221="","Sin fecha límite"&amp;" · ","")&amp;IF(AND(LEFT($C221,11)="[Jefatura] ",N($AL221)=0),"No se encuentra en la hoja de la jefatura (elíjala de nuevo en la lista)"&amp;" · ","")&amp;IF(OR(AND($E221&lt;&gt;"",NOT(ISNUMBER($E221))),AND($F221&lt;&gt;"",NOT(ISNUMBER($F221))),AND($G221&lt;&gt;"",NOT(ISNUMBER($G221)))),"Fecha no válida"&amp;" · ","")&amp;IF(AND(ISNUMBER($AM221),ISNUMBER($AN221),$AM221&gt;$AN221),"Inicio posterior a fecha límite"&amp;" · ","")&amp;IF(AND($V221="Macro",$H221&lt;&gt;"",OR(NOT(ISNUMBER($H221)),$H221&lt;0,$H221&gt;1)),"Peso fuera de rango"&amp;" · ","")&amp;IF(AND($V221="Sub",$H221&lt;&gt;""),"Las subactividades no llevan peso (valen igual dentro de su macroactividad)"&amp;" · ","")&amp;IF(AND(N($W221)&gt;0,COUNT($I221:$L221)&gt;0),"Con subactividades: deje vacías las semanas (se calculan solas)"&amp;" · ","")&amp;IF((COUNTIF($I221:$L221,"&gt;1")+COUNTIF($I221:$L221,"&lt;0")+COUNTA($I221:$L221)-COUNT($I221:$L221))&gt;0,"Avance fuera de rango 0-100%"&amp;" · ","")&amp;IF(OR(AND($J221&lt;&gt;"",$J221&lt;$I221),AND($K221&lt;&gt;"",$K221&lt;MAX($I221:$J221)),AND($L221&lt;&gt;"",$L221&lt;MAX($I221:$K221))),"Avance semanal decreciente"&amp;" · ","")&amp;IF(AND(ISNUMBER($AN221),$AN221&lt;FechaRef,IF($V221="Sub",N($X221),N($M221))&lt;1),"Vencida"&amp;" · ","")&amp;IF(AND(ObsObligatoria="Sí",ISNUMBER($AN221),$AN221&lt;FechaRef,IF($V221="Sub",N($X221),N($M221))&lt;1,$Q221=""),"Vencida sin observación"&amp;" · ",""))-3)))</f>
        <v/>
      </c>
      <c r="S221" s="64">
        <f>IF(NOT((COUNTA($B221:$D221)+COUNTA($G221:$L221)+COUNTA($Q221))&gt;0),"",IF(AND($V221="Sub",N($U221)&gt;0),IF(ISNUMBER(INDEX($AM$5:$AM$1000,$U221-4)),DATE(YEAR(INDEX($AM$5:$AM$1000,$U221-4)),MONTH(INDEX($AM$5:$AM$1000,$U221-4)),1),IF(ISNUMBER(INDEX($AN$5:$AN$1000,$U221-4)),DATE(YEAR(INDEX($AN$5:$AN$1000,$U221-4)),MONTH(INDEX($AN$5:$AN$1000,$U221-4)),1),MesCiclo)),IF(ISNUMBER($AM221),DATE(YEAR($AM221),MONTH($AM221),1),IF(ISNUMBER($AN221),DATE(YEAR($AN221),MONTH($AN221),1),MesCiclo))))</f>
        <v/>
      </c>
      <c r="T221" s="62">
        <f>IF(OR($S221="",$S221&lt;&gt;MesCiclo,$V221&lt;&gt;"Macro"),"",COUNTIFS($S$5:$S221,MesCiclo,$V$5:$V221,"Macro"))</f>
        <v/>
      </c>
      <c r="U221" s="62">
        <f>IF($V221="","",IF($V221="Macro",ROW(),IFERROR(LOOKUP(2,1/($V$5:$V221="Macro"),ROW($V$5:$V221)),0)))</f>
        <v/>
      </c>
      <c r="V221" s="62">
        <f>IF(NOT((COUNTA($B221:$D221)+COUNTA($G221:$L221)+COUNTA($Q221))&gt;0),"",IF($B221="Subactividad","Sub","Macro"))</f>
        <v/>
      </c>
      <c r="W221" s="62">
        <f>IF($V221="Macro",COUNTIFS($U$5:$U$1000,ROW(),$V$5:$V$1000,"Sub"),"")</f>
        <v/>
      </c>
      <c r="X221" s="62">
        <f>IF($V221="","",IF(ISNUMBER($G221),1,IFERROR(LOOKUP(2,1/($I221:$L221&lt;&gt;""),$I221:$L221),0)))</f>
        <v/>
      </c>
      <c r="Y221" s="62">
        <f>IF($V221="","",IF(AND(ISNUMBER($G221),$G221&lt;=IF($S221=MesCiclo,InicioCiclo,$S221+MOD(2-WEEKDAY($S221),7))+6),1,IF(ISNUMBER($I221),$I221,0)))</f>
        <v/>
      </c>
      <c r="Z221" s="62">
        <f>IF($V221="","",IF(AND(ISNUMBER($G221),$G221&lt;=IF($S221=MesCiclo,InicioCiclo,$S221+MOD(2-WEEKDAY($S221),7))+13),1,IF(ISNUMBER($J221),$J221,$Y221)))</f>
        <v/>
      </c>
      <c r="AA221" s="62">
        <f>IF($V221="","",IF(AND(ISNUMBER($G221),$G221&lt;=IF($S221=MesCiclo,InicioCiclo,$S221+MOD(2-WEEKDAY($S221),7))+20),1,IF(ISNUMBER($K221),$K221,$Z221)))</f>
        <v/>
      </c>
      <c r="AB221" s="62">
        <f>IF($V221="","",IF(AND(ISNUMBER($G221),$G221&lt;=IF($S221=MesCiclo,InicioCiclo,$S221+MOD(2-WEEKDAY($S221),7))+27),1,IF(ISNUMBER($L221),$L221,$AA221)))</f>
        <v/>
      </c>
      <c r="AC221" s="62">
        <f>IF($V221="","",IF(AND(ISNUMBER($G221),$G221&lt;=IF($S221=MesCiclo,InicioCiclo,$S221+MOD(2-WEEKDAY($S221),7))+6),1,IF(N($W221)&gt;0,AVERAGEIFS($Y$5:$Y$1000,$U$5:$U$1000,ROW(),$V$5:$V$1000,"Sub"),$Y221)))</f>
        <v/>
      </c>
      <c r="AD221" s="62">
        <f>IF($V221="","",IF(AND(ISNUMBER($G221),$G221&lt;=IF($S221=MesCiclo,InicioCiclo,$S221+MOD(2-WEEKDAY($S221),7))+13),1,IF(N($W221)&gt;0,AVERAGEIFS($Z$5:$Z$1000,$U$5:$U$1000,ROW(),$V$5:$V$1000,"Sub"),$Z221)))</f>
        <v/>
      </c>
      <c r="AE221" s="62">
        <f>IF($V221="","",IF(AND(ISNUMBER($G221),$G221&lt;=IF($S221=MesCiclo,InicioCiclo,$S221+MOD(2-WEEKDAY($S221),7))+20),1,IF(N($W221)&gt;0,AVERAGEIFS($AA$5:$AA$1000,$U$5:$U$1000,ROW(),$V$5:$V$1000,"Sub"),$AA221)))</f>
        <v/>
      </c>
      <c r="AF221" s="62">
        <f>IF($V221="","",IF(AND(ISNUMBER($G221),$G221&lt;=IF($S221=MesCiclo,InicioCiclo,$S221+MOD(2-WEEKDAY($S221),7))+27),1,IF(N($W221)&gt;0,AVERAGEIFS($AB$5:$AB$1000,$U$5:$U$1000,ROW(),$V$5:$V$1000,"Sub"),$AB221)))</f>
        <v/>
      </c>
      <c r="AG221" s="62">
        <f>IF($V221&lt;&gt;"Macro","",IF(COUNTIFS($S$5:$S$1000,$S221,$V$5:$V$1000,"Macro",$H$5:$H$1000,"&gt;0")=0,1/COUNTIFS($S$5:$S$1000,$S221,$V$5:$V$1000,"Macro"),IF(AND(ISNUMBER($H221),N($H221)&gt;0),$H221,SUMIFS($H$5:$H$1000,$S$5:$S$1000,$S221,$V$5:$V$1000,"Macro")/COUNTIFS($S$5:$S$1000,$S221,$V$5:$V$1000,"Macro",$H$5:$H$1000,"&gt;0"))/(COUNTIFS($S$5:$S$1000,$S221,$V$5:$V$1000,"Macro")*SUMIFS($H$5:$H$1000,$S$5:$S$1000,$S221,$V$5:$V$1000,"Macro")/COUNTIFS($S$5:$S$1000,$S221,$V$5:$V$1000,"Macro",$H$5:$H$1000,"&gt;0"))))</f>
        <v/>
      </c>
      <c r="AH221" s="62" t="n"/>
      <c r="AI221" s="62" t="n"/>
      <c r="AJ221" s="62" t="n"/>
      <c r="AK221" s="62" t="n"/>
      <c r="AL221" s="62">
        <f>IF(LEFT($C221,11)="[Jefatura] ",IFERROR(MATCH("Asistente Técnico de Riesgo|"&amp;MID($C221,12,500),rDname_ADM,0),0),"")</f>
        <v/>
      </c>
      <c r="AM221" s="62">
        <f>IF(N($AL221)&gt;0,INDEX(rIni_ADM,$AL221),IF(ISNUMBER($E221),$E221,""))</f>
        <v/>
      </c>
      <c r="AN221" s="62">
        <f>IF(N($AL221)&gt;0,INDEX(rLim_ADM,$AL221),IF(ISNUMBER($F221),$F221,""))</f>
        <v/>
      </c>
    </row>
    <row r="222">
      <c r="A222" s="56">
        <f>IF(NOT((COUNTA($B222:$D222)+COUNTA($G222:$L222)+COUNTA($Q222))&gt;0),"",IF($V222="Macro",COUNTIFS($V$5:$V222,"Macro",$S$5:$S222,$S222),IF(N($U222)=0,"?",COUNTIFS(INDEX($V$5:$V$1000,1):INDEX($V$5:$V$1000,$U222-4),"Macro",INDEX($S$5:$S$1000,1):INDEX($S$5:$S$1000,$U222-4),INDEX($S$5:$S$1000,$U222-4))&amp;"."&amp;COUNTIFS($U$5:$U222,$U222,$V$5:$V222,"Sub"))))</f>
        <v/>
      </c>
      <c r="B222" s="57" t="n"/>
      <c r="C222" s="58" t="n"/>
      <c r="D222" s="58" t="n"/>
      <c r="E222" s="59">
        <f>IF(N($AL222)&gt;0,INDEX(rIni_ADM,$AL222),"")</f>
        <v/>
      </c>
      <c r="F222" s="59">
        <f>IF(N($AL222)&gt;0,INDEX(rLim_ADM,$AL222),"")</f>
        <v/>
      </c>
      <c r="G222" s="59" t="n"/>
      <c r="H222" s="60" t="n"/>
      <c r="I222" s="60" t="n"/>
      <c r="J222" s="60" t="n"/>
      <c r="K222" s="60" t="n"/>
      <c r="L222" s="60" t="n"/>
      <c r="M222" s="61">
        <f>IF(NOT((COUNTA($B222:$D222)+COUNTA($G222:$L222)+COUNTA($Q222))&gt;0),"",IF($V222="Sub",IFERROR($X222/INDEX($W$5:$W$1000,$U222-4),""),IF(ISNUMBER($G222),1,IF(N($W222)&gt;0,AVERAGEIFS($X$5:$X$1000,$U$5:$U$1000,ROW(),$V$5:$V$1000,"Sub"),$X222))))</f>
        <v/>
      </c>
      <c r="N222" s="56">
        <f>IF(OR($M222="",$V222="Sub"),"",IF($M222&gt;=1,"Completado",IF($M222&gt;0,"En curso","Pendiente")))</f>
        <v/>
      </c>
      <c r="O222" s="56">
        <f>IF(OR(NOT((COUNTA($B222:$D222)+COUNTA($G222:$L222)+COUNTA($Q222))&gt;0),$V222="Sub"),"",IF(ISNUMBER($G222),IF(AND(ISNUMBER($AN222),$G222&gt;$AN222),"Cumplida con "&amp;($G222-$AN222)&amp;IF($G222-$AN222=1," día"," días")&amp;" de retraso","Cumplida"),IF(N($M222)&gt;=1,"Cumplida",IF(NOT(ISNUMBER($AN222)),"Sin fecha límite",IF($AN222&lt;FechaRef,"Vencida hace "&amp;(FechaRef-$AN222)&amp;IF(FechaRef-$AN222=1," día"," días"),IF($AN222=FechaRef,"Vence hoy",IF($AN222-FechaRef&lt;=DiasAlerta,"Vence en "&amp;($AN222-FechaRef)&amp;IF($AN222-FechaRef=1," día"," días"),"En plazo")))))))</f>
        <v/>
      </c>
      <c r="P222" s="62" t="n"/>
      <c r="Q222" s="58" t="n"/>
      <c r="R222" s="63">
        <f>IF(NOT((COUNTA($B222:$D222)+COUNTA($G222:$L222)+COUNTA($Q222))&gt;0),"",IF((IF($C222="","Falta el nombre de la actividad"&amp;" · ","")&amp;IF(AND($V222="Sub",N($U222)=0),"Subactividad sin macroactividad arriba"&amp;" · ","")&amp;IF($AM222="","Sin fecha de inicio"&amp;" · ","")&amp;IF($AN222="","Sin fecha límite"&amp;" · ","")&amp;IF(AND(LEFT($C222,11)="[Jefatura] ",N($AL222)=0),"No se encuentra en la hoja de la jefatura (elíjala de nuevo en la lista)"&amp;" · ","")&amp;IF(OR(AND($E222&lt;&gt;"",NOT(ISNUMBER($E222))),AND($F222&lt;&gt;"",NOT(ISNUMBER($F222))),AND($G222&lt;&gt;"",NOT(ISNUMBER($G222)))),"Fecha no válida"&amp;" · ","")&amp;IF(AND(ISNUMBER($AM222),ISNUMBER($AN222),$AM222&gt;$AN222),"Inicio posterior a fecha límite"&amp;" · ","")&amp;IF(AND($V222="Macro",$H222&lt;&gt;"",OR(NOT(ISNUMBER($H222)),$H222&lt;0,$H222&gt;1)),"Peso fuera de rango"&amp;" · ","")&amp;IF(AND($V222="Sub",$H222&lt;&gt;""),"Las subactividades no llevan peso (valen igual dentro de su macroactividad)"&amp;" · ","")&amp;IF(AND(N($W222)&gt;0,COUNT($I222:$L222)&gt;0),"Con subactividades: deje vacías las semanas (se calculan solas)"&amp;" · ","")&amp;IF((COUNTIF($I222:$L222,"&gt;1")+COUNTIF($I222:$L222,"&lt;0")+COUNTA($I222:$L222)-COUNT($I222:$L222))&gt;0,"Avance fuera de rango 0-100%"&amp;" · ","")&amp;IF(OR(AND($J222&lt;&gt;"",$J222&lt;$I222),AND($K222&lt;&gt;"",$K222&lt;MAX($I222:$J222)),AND($L222&lt;&gt;"",$L222&lt;MAX($I222:$K222))),"Avance semanal decreciente"&amp;" · ","")&amp;IF(AND(ISNUMBER($AN222),$AN222&lt;FechaRef,IF($V222="Sub",N($X222),N($M222))&lt;1),"Vencida"&amp;" · ","")&amp;IF(AND(ObsObligatoria="Sí",ISNUMBER($AN222),$AN222&lt;FechaRef,IF($V222="Sub",N($X222),N($M222))&lt;1,$Q222=""),"Vencida sin observación"&amp;" · ",""))="","✔ OK","⚠ "&amp;LEFT(IF($C222="","Falta el nombre de la actividad"&amp;" · ","")&amp;IF(AND($V222="Sub",N($U222)=0),"Subactividad sin macroactividad arriba"&amp;" · ","")&amp;IF($AM222="","Sin fecha de inicio"&amp;" · ","")&amp;IF($AN222="","Sin fecha límite"&amp;" · ","")&amp;IF(AND(LEFT($C222,11)="[Jefatura] ",N($AL222)=0),"No se encuentra en la hoja de la jefatura (elíjala de nuevo en la lista)"&amp;" · ","")&amp;IF(OR(AND($E222&lt;&gt;"",NOT(ISNUMBER($E222))),AND($F222&lt;&gt;"",NOT(ISNUMBER($F222))),AND($G222&lt;&gt;"",NOT(ISNUMBER($G222)))),"Fecha no válida"&amp;" · ","")&amp;IF(AND(ISNUMBER($AM222),ISNUMBER($AN222),$AM222&gt;$AN222),"Inicio posterior a fecha límite"&amp;" · ","")&amp;IF(AND($V222="Macro",$H222&lt;&gt;"",OR(NOT(ISNUMBER($H222)),$H222&lt;0,$H222&gt;1)),"Peso fuera de rango"&amp;" · ","")&amp;IF(AND($V222="Sub",$H222&lt;&gt;""),"Las subactividades no llevan peso (valen igual dentro de su macroactividad)"&amp;" · ","")&amp;IF(AND(N($W222)&gt;0,COUNT($I222:$L222)&gt;0),"Con subactividades: deje vacías las semanas (se calculan solas)"&amp;" · ","")&amp;IF((COUNTIF($I222:$L222,"&gt;1")+COUNTIF($I222:$L222,"&lt;0")+COUNTA($I222:$L222)-COUNT($I222:$L222))&gt;0,"Avance fuera de rango 0-100%"&amp;" · ","")&amp;IF(OR(AND($J222&lt;&gt;"",$J222&lt;$I222),AND($K222&lt;&gt;"",$K222&lt;MAX($I222:$J222)),AND($L222&lt;&gt;"",$L222&lt;MAX($I222:$K222))),"Avance semanal decreciente"&amp;" · ","")&amp;IF(AND(ISNUMBER($AN222),$AN222&lt;FechaRef,IF($V222="Sub",N($X222),N($M222))&lt;1),"Vencida"&amp;" · ","")&amp;IF(AND(ObsObligatoria="Sí",ISNUMBER($AN222),$AN222&lt;FechaRef,IF($V222="Sub",N($X222),N($M222))&lt;1,$Q222=""),"Vencida sin observación"&amp;" · ",""),LEN(IF($C222="","Falta el nombre de la actividad"&amp;" · ","")&amp;IF(AND($V222="Sub",N($U222)=0),"Subactividad sin macroactividad arriba"&amp;" · ","")&amp;IF($AM222="","Sin fecha de inicio"&amp;" · ","")&amp;IF($AN222="","Sin fecha límite"&amp;" · ","")&amp;IF(AND(LEFT($C222,11)="[Jefatura] ",N($AL222)=0),"No se encuentra en la hoja de la jefatura (elíjala de nuevo en la lista)"&amp;" · ","")&amp;IF(OR(AND($E222&lt;&gt;"",NOT(ISNUMBER($E222))),AND($F222&lt;&gt;"",NOT(ISNUMBER($F222))),AND($G222&lt;&gt;"",NOT(ISNUMBER($G222)))),"Fecha no válida"&amp;" · ","")&amp;IF(AND(ISNUMBER($AM222),ISNUMBER($AN222),$AM222&gt;$AN222),"Inicio posterior a fecha límite"&amp;" · ","")&amp;IF(AND($V222="Macro",$H222&lt;&gt;"",OR(NOT(ISNUMBER($H222)),$H222&lt;0,$H222&gt;1)),"Peso fuera de rango"&amp;" · ","")&amp;IF(AND($V222="Sub",$H222&lt;&gt;""),"Las subactividades no llevan peso (valen igual dentro de su macroactividad)"&amp;" · ","")&amp;IF(AND(N($W222)&gt;0,COUNT($I222:$L222)&gt;0),"Con subactividades: deje vacías las semanas (se calculan solas)"&amp;" · ","")&amp;IF((COUNTIF($I222:$L222,"&gt;1")+COUNTIF($I222:$L222,"&lt;0")+COUNTA($I222:$L222)-COUNT($I222:$L222))&gt;0,"Avance fuera de rango 0-100%"&amp;" · ","")&amp;IF(OR(AND($J222&lt;&gt;"",$J222&lt;$I222),AND($K222&lt;&gt;"",$K222&lt;MAX($I222:$J222)),AND($L222&lt;&gt;"",$L222&lt;MAX($I222:$K222))),"Avance semanal decreciente"&amp;" · ","")&amp;IF(AND(ISNUMBER($AN222),$AN222&lt;FechaRef,IF($V222="Sub",N($X222),N($M222))&lt;1),"Vencida"&amp;" · ","")&amp;IF(AND(ObsObligatoria="Sí",ISNUMBER($AN222),$AN222&lt;FechaRef,IF($V222="Sub",N($X222),N($M222))&lt;1,$Q222=""),"Vencida sin observación"&amp;" · ",""))-3)))</f>
        <v/>
      </c>
      <c r="S222" s="64">
        <f>IF(NOT((COUNTA($B222:$D222)+COUNTA($G222:$L222)+COUNTA($Q222))&gt;0),"",IF(AND($V222="Sub",N($U222)&gt;0),IF(ISNUMBER(INDEX($AM$5:$AM$1000,$U222-4)),DATE(YEAR(INDEX($AM$5:$AM$1000,$U222-4)),MONTH(INDEX($AM$5:$AM$1000,$U222-4)),1),IF(ISNUMBER(INDEX($AN$5:$AN$1000,$U222-4)),DATE(YEAR(INDEX($AN$5:$AN$1000,$U222-4)),MONTH(INDEX($AN$5:$AN$1000,$U222-4)),1),MesCiclo)),IF(ISNUMBER($AM222),DATE(YEAR($AM222),MONTH($AM222),1),IF(ISNUMBER($AN222),DATE(YEAR($AN222),MONTH($AN222),1),MesCiclo))))</f>
        <v/>
      </c>
      <c r="T222" s="62">
        <f>IF(OR($S222="",$S222&lt;&gt;MesCiclo,$V222&lt;&gt;"Macro"),"",COUNTIFS($S$5:$S222,MesCiclo,$V$5:$V222,"Macro"))</f>
        <v/>
      </c>
      <c r="U222" s="62">
        <f>IF($V222="","",IF($V222="Macro",ROW(),IFERROR(LOOKUP(2,1/($V$5:$V222="Macro"),ROW($V$5:$V222)),0)))</f>
        <v/>
      </c>
      <c r="V222" s="62">
        <f>IF(NOT((COUNTA($B222:$D222)+COUNTA($G222:$L222)+COUNTA($Q222))&gt;0),"",IF($B222="Subactividad","Sub","Macro"))</f>
        <v/>
      </c>
      <c r="W222" s="62">
        <f>IF($V222="Macro",COUNTIFS($U$5:$U$1000,ROW(),$V$5:$V$1000,"Sub"),"")</f>
        <v/>
      </c>
      <c r="X222" s="62">
        <f>IF($V222="","",IF(ISNUMBER($G222),1,IFERROR(LOOKUP(2,1/($I222:$L222&lt;&gt;""),$I222:$L222),0)))</f>
        <v/>
      </c>
      <c r="Y222" s="62">
        <f>IF($V222="","",IF(AND(ISNUMBER($G222),$G222&lt;=IF($S222=MesCiclo,InicioCiclo,$S222+MOD(2-WEEKDAY($S222),7))+6),1,IF(ISNUMBER($I222),$I222,0)))</f>
        <v/>
      </c>
      <c r="Z222" s="62">
        <f>IF($V222="","",IF(AND(ISNUMBER($G222),$G222&lt;=IF($S222=MesCiclo,InicioCiclo,$S222+MOD(2-WEEKDAY($S222),7))+13),1,IF(ISNUMBER($J222),$J222,$Y222)))</f>
        <v/>
      </c>
      <c r="AA222" s="62">
        <f>IF($V222="","",IF(AND(ISNUMBER($G222),$G222&lt;=IF($S222=MesCiclo,InicioCiclo,$S222+MOD(2-WEEKDAY($S222),7))+20),1,IF(ISNUMBER($K222),$K222,$Z222)))</f>
        <v/>
      </c>
      <c r="AB222" s="62">
        <f>IF($V222="","",IF(AND(ISNUMBER($G222),$G222&lt;=IF($S222=MesCiclo,InicioCiclo,$S222+MOD(2-WEEKDAY($S222),7))+27),1,IF(ISNUMBER($L222),$L222,$AA222)))</f>
        <v/>
      </c>
      <c r="AC222" s="62">
        <f>IF($V222="","",IF(AND(ISNUMBER($G222),$G222&lt;=IF($S222=MesCiclo,InicioCiclo,$S222+MOD(2-WEEKDAY($S222),7))+6),1,IF(N($W222)&gt;0,AVERAGEIFS($Y$5:$Y$1000,$U$5:$U$1000,ROW(),$V$5:$V$1000,"Sub"),$Y222)))</f>
        <v/>
      </c>
      <c r="AD222" s="62">
        <f>IF($V222="","",IF(AND(ISNUMBER($G222),$G222&lt;=IF($S222=MesCiclo,InicioCiclo,$S222+MOD(2-WEEKDAY($S222),7))+13),1,IF(N($W222)&gt;0,AVERAGEIFS($Z$5:$Z$1000,$U$5:$U$1000,ROW(),$V$5:$V$1000,"Sub"),$Z222)))</f>
        <v/>
      </c>
      <c r="AE222" s="62">
        <f>IF($V222="","",IF(AND(ISNUMBER($G222),$G222&lt;=IF($S222=MesCiclo,InicioCiclo,$S222+MOD(2-WEEKDAY($S222),7))+20),1,IF(N($W222)&gt;0,AVERAGEIFS($AA$5:$AA$1000,$U$5:$U$1000,ROW(),$V$5:$V$1000,"Sub"),$AA222)))</f>
        <v/>
      </c>
      <c r="AF222" s="62">
        <f>IF($V222="","",IF(AND(ISNUMBER($G222),$G222&lt;=IF($S222=MesCiclo,InicioCiclo,$S222+MOD(2-WEEKDAY($S222),7))+27),1,IF(N($W222)&gt;0,AVERAGEIFS($AB$5:$AB$1000,$U$5:$U$1000,ROW(),$V$5:$V$1000,"Sub"),$AB222)))</f>
        <v/>
      </c>
      <c r="AG222" s="62">
        <f>IF($V222&lt;&gt;"Macro","",IF(COUNTIFS($S$5:$S$1000,$S222,$V$5:$V$1000,"Macro",$H$5:$H$1000,"&gt;0")=0,1/COUNTIFS($S$5:$S$1000,$S222,$V$5:$V$1000,"Macro"),IF(AND(ISNUMBER($H222),N($H222)&gt;0),$H222,SUMIFS($H$5:$H$1000,$S$5:$S$1000,$S222,$V$5:$V$1000,"Macro")/COUNTIFS($S$5:$S$1000,$S222,$V$5:$V$1000,"Macro",$H$5:$H$1000,"&gt;0"))/(COUNTIFS($S$5:$S$1000,$S222,$V$5:$V$1000,"Macro")*SUMIFS($H$5:$H$1000,$S$5:$S$1000,$S222,$V$5:$V$1000,"Macro")/COUNTIFS($S$5:$S$1000,$S222,$V$5:$V$1000,"Macro",$H$5:$H$1000,"&gt;0"))))</f>
        <v/>
      </c>
      <c r="AH222" s="62" t="n"/>
      <c r="AI222" s="62" t="n"/>
      <c r="AJ222" s="62" t="n"/>
      <c r="AK222" s="62" t="n"/>
      <c r="AL222" s="62">
        <f>IF(LEFT($C222,11)="[Jefatura] ",IFERROR(MATCH("Asistente Técnico de Riesgo|"&amp;MID($C222,12,500),rDname_ADM,0),0),"")</f>
        <v/>
      </c>
      <c r="AM222" s="62">
        <f>IF(N($AL222)&gt;0,INDEX(rIni_ADM,$AL222),IF(ISNUMBER($E222),$E222,""))</f>
        <v/>
      </c>
      <c r="AN222" s="62">
        <f>IF(N($AL222)&gt;0,INDEX(rLim_ADM,$AL222),IF(ISNUMBER($F222),$F222,""))</f>
        <v/>
      </c>
    </row>
    <row r="223">
      <c r="A223" s="56">
        <f>IF(NOT((COUNTA($B223:$D223)+COUNTA($G223:$L223)+COUNTA($Q223))&gt;0),"",IF($V223="Macro",COUNTIFS($V$5:$V223,"Macro",$S$5:$S223,$S223),IF(N($U223)=0,"?",COUNTIFS(INDEX($V$5:$V$1000,1):INDEX($V$5:$V$1000,$U223-4),"Macro",INDEX($S$5:$S$1000,1):INDEX($S$5:$S$1000,$U223-4),INDEX($S$5:$S$1000,$U223-4))&amp;"."&amp;COUNTIFS($U$5:$U223,$U223,$V$5:$V223,"Sub"))))</f>
        <v/>
      </c>
      <c r="B223" s="57" t="n"/>
      <c r="C223" s="58" t="n"/>
      <c r="D223" s="58" t="n"/>
      <c r="E223" s="59">
        <f>IF(N($AL223)&gt;0,INDEX(rIni_ADM,$AL223),"")</f>
        <v/>
      </c>
      <c r="F223" s="59">
        <f>IF(N($AL223)&gt;0,INDEX(rLim_ADM,$AL223),"")</f>
        <v/>
      </c>
      <c r="G223" s="59" t="n"/>
      <c r="H223" s="60" t="n"/>
      <c r="I223" s="60" t="n"/>
      <c r="J223" s="60" t="n"/>
      <c r="K223" s="60" t="n"/>
      <c r="L223" s="60" t="n"/>
      <c r="M223" s="61">
        <f>IF(NOT((COUNTA($B223:$D223)+COUNTA($G223:$L223)+COUNTA($Q223))&gt;0),"",IF($V223="Sub",IFERROR($X223/INDEX($W$5:$W$1000,$U223-4),""),IF(ISNUMBER($G223),1,IF(N($W223)&gt;0,AVERAGEIFS($X$5:$X$1000,$U$5:$U$1000,ROW(),$V$5:$V$1000,"Sub"),$X223))))</f>
        <v/>
      </c>
      <c r="N223" s="56">
        <f>IF(OR($M223="",$V223="Sub"),"",IF($M223&gt;=1,"Completado",IF($M223&gt;0,"En curso","Pendiente")))</f>
        <v/>
      </c>
      <c r="O223" s="56">
        <f>IF(OR(NOT((COUNTA($B223:$D223)+COUNTA($G223:$L223)+COUNTA($Q223))&gt;0),$V223="Sub"),"",IF(ISNUMBER($G223),IF(AND(ISNUMBER($AN223),$G223&gt;$AN223),"Cumplida con "&amp;($G223-$AN223)&amp;IF($G223-$AN223=1," día"," días")&amp;" de retraso","Cumplida"),IF(N($M223)&gt;=1,"Cumplida",IF(NOT(ISNUMBER($AN223)),"Sin fecha límite",IF($AN223&lt;FechaRef,"Vencida hace "&amp;(FechaRef-$AN223)&amp;IF(FechaRef-$AN223=1," día"," días"),IF($AN223=FechaRef,"Vence hoy",IF($AN223-FechaRef&lt;=DiasAlerta,"Vence en "&amp;($AN223-FechaRef)&amp;IF($AN223-FechaRef=1," día"," días"),"En plazo")))))))</f>
        <v/>
      </c>
      <c r="P223" s="62" t="n"/>
      <c r="Q223" s="58" t="n"/>
      <c r="R223" s="63">
        <f>IF(NOT((COUNTA($B223:$D223)+COUNTA($G223:$L223)+COUNTA($Q223))&gt;0),"",IF((IF($C223="","Falta el nombre de la actividad"&amp;" · ","")&amp;IF(AND($V223="Sub",N($U223)=0),"Subactividad sin macroactividad arriba"&amp;" · ","")&amp;IF($AM223="","Sin fecha de inicio"&amp;" · ","")&amp;IF($AN223="","Sin fecha límite"&amp;" · ","")&amp;IF(AND(LEFT($C223,11)="[Jefatura] ",N($AL223)=0),"No se encuentra en la hoja de la jefatura (elíjala de nuevo en la lista)"&amp;" · ","")&amp;IF(OR(AND($E223&lt;&gt;"",NOT(ISNUMBER($E223))),AND($F223&lt;&gt;"",NOT(ISNUMBER($F223))),AND($G223&lt;&gt;"",NOT(ISNUMBER($G223)))),"Fecha no válida"&amp;" · ","")&amp;IF(AND(ISNUMBER($AM223),ISNUMBER($AN223),$AM223&gt;$AN223),"Inicio posterior a fecha límite"&amp;" · ","")&amp;IF(AND($V223="Macro",$H223&lt;&gt;"",OR(NOT(ISNUMBER($H223)),$H223&lt;0,$H223&gt;1)),"Peso fuera de rango"&amp;" · ","")&amp;IF(AND($V223="Sub",$H223&lt;&gt;""),"Las subactividades no llevan peso (valen igual dentro de su macroactividad)"&amp;" · ","")&amp;IF(AND(N($W223)&gt;0,COUNT($I223:$L223)&gt;0),"Con subactividades: deje vacías las semanas (se calculan solas)"&amp;" · ","")&amp;IF((COUNTIF($I223:$L223,"&gt;1")+COUNTIF($I223:$L223,"&lt;0")+COUNTA($I223:$L223)-COUNT($I223:$L223))&gt;0,"Avance fuera de rango 0-100%"&amp;" · ","")&amp;IF(OR(AND($J223&lt;&gt;"",$J223&lt;$I223),AND($K223&lt;&gt;"",$K223&lt;MAX($I223:$J223)),AND($L223&lt;&gt;"",$L223&lt;MAX($I223:$K223))),"Avance semanal decreciente"&amp;" · ","")&amp;IF(AND(ISNUMBER($AN223),$AN223&lt;FechaRef,IF($V223="Sub",N($X223),N($M223))&lt;1),"Vencida"&amp;" · ","")&amp;IF(AND(ObsObligatoria="Sí",ISNUMBER($AN223),$AN223&lt;FechaRef,IF($V223="Sub",N($X223),N($M223))&lt;1,$Q223=""),"Vencida sin observación"&amp;" · ",""))="","✔ OK","⚠ "&amp;LEFT(IF($C223="","Falta el nombre de la actividad"&amp;" · ","")&amp;IF(AND($V223="Sub",N($U223)=0),"Subactividad sin macroactividad arriba"&amp;" · ","")&amp;IF($AM223="","Sin fecha de inicio"&amp;" · ","")&amp;IF($AN223="","Sin fecha límite"&amp;" · ","")&amp;IF(AND(LEFT($C223,11)="[Jefatura] ",N($AL223)=0),"No se encuentra en la hoja de la jefatura (elíjala de nuevo en la lista)"&amp;" · ","")&amp;IF(OR(AND($E223&lt;&gt;"",NOT(ISNUMBER($E223))),AND($F223&lt;&gt;"",NOT(ISNUMBER($F223))),AND($G223&lt;&gt;"",NOT(ISNUMBER($G223)))),"Fecha no válida"&amp;" · ","")&amp;IF(AND(ISNUMBER($AM223),ISNUMBER($AN223),$AM223&gt;$AN223),"Inicio posterior a fecha límite"&amp;" · ","")&amp;IF(AND($V223="Macro",$H223&lt;&gt;"",OR(NOT(ISNUMBER($H223)),$H223&lt;0,$H223&gt;1)),"Peso fuera de rango"&amp;" · ","")&amp;IF(AND($V223="Sub",$H223&lt;&gt;""),"Las subactividades no llevan peso (valen igual dentro de su macroactividad)"&amp;" · ","")&amp;IF(AND(N($W223)&gt;0,COUNT($I223:$L223)&gt;0),"Con subactividades: deje vacías las semanas (se calculan solas)"&amp;" · ","")&amp;IF((COUNTIF($I223:$L223,"&gt;1")+COUNTIF($I223:$L223,"&lt;0")+COUNTA($I223:$L223)-COUNT($I223:$L223))&gt;0,"Avance fuera de rango 0-100%"&amp;" · ","")&amp;IF(OR(AND($J223&lt;&gt;"",$J223&lt;$I223),AND($K223&lt;&gt;"",$K223&lt;MAX($I223:$J223)),AND($L223&lt;&gt;"",$L223&lt;MAX($I223:$K223))),"Avance semanal decreciente"&amp;" · ","")&amp;IF(AND(ISNUMBER($AN223),$AN223&lt;FechaRef,IF($V223="Sub",N($X223),N($M223))&lt;1),"Vencida"&amp;" · ","")&amp;IF(AND(ObsObligatoria="Sí",ISNUMBER($AN223),$AN223&lt;FechaRef,IF($V223="Sub",N($X223),N($M223))&lt;1,$Q223=""),"Vencida sin observación"&amp;" · ",""),LEN(IF($C223="","Falta el nombre de la actividad"&amp;" · ","")&amp;IF(AND($V223="Sub",N($U223)=0),"Subactividad sin macroactividad arriba"&amp;" · ","")&amp;IF($AM223="","Sin fecha de inicio"&amp;" · ","")&amp;IF($AN223="","Sin fecha límite"&amp;" · ","")&amp;IF(AND(LEFT($C223,11)="[Jefatura] ",N($AL223)=0),"No se encuentra en la hoja de la jefatura (elíjala de nuevo en la lista)"&amp;" · ","")&amp;IF(OR(AND($E223&lt;&gt;"",NOT(ISNUMBER($E223))),AND($F223&lt;&gt;"",NOT(ISNUMBER($F223))),AND($G223&lt;&gt;"",NOT(ISNUMBER($G223)))),"Fecha no válida"&amp;" · ","")&amp;IF(AND(ISNUMBER($AM223),ISNUMBER($AN223),$AM223&gt;$AN223),"Inicio posterior a fecha límite"&amp;" · ","")&amp;IF(AND($V223="Macro",$H223&lt;&gt;"",OR(NOT(ISNUMBER($H223)),$H223&lt;0,$H223&gt;1)),"Peso fuera de rango"&amp;" · ","")&amp;IF(AND($V223="Sub",$H223&lt;&gt;""),"Las subactividades no llevan peso (valen igual dentro de su macroactividad)"&amp;" · ","")&amp;IF(AND(N($W223)&gt;0,COUNT($I223:$L223)&gt;0),"Con subactividades: deje vacías las semanas (se calculan solas)"&amp;" · ","")&amp;IF((COUNTIF($I223:$L223,"&gt;1")+COUNTIF($I223:$L223,"&lt;0")+COUNTA($I223:$L223)-COUNT($I223:$L223))&gt;0,"Avance fuera de rango 0-100%"&amp;" · ","")&amp;IF(OR(AND($J223&lt;&gt;"",$J223&lt;$I223),AND($K223&lt;&gt;"",$K223&lt;MAX($I223:$J223)),AND($L223&lt;&gt;"",$L223&lt;MAX($I223:$K223))),"Avance semanal decreciente"&amp;" · ","")&amp;IF(AND(ISNUMBER($AN223),$AN223&lt;FechaRef,IF($V223="Sub",N($X223),N($M223))&lt;1),"Vencida"&amp;" · ","")&amp;IF(AND(ObsObligatoria="Sí",ISNUMBER($AN223),$AN223&lt;FechaRef,IF($V223="Sub",N($X223),N($M223))&lt;1,$Q223=""),"Vencida sin observación"&amp;" · ",""))-3)))</f>
        <v/>
      </c>
      <c r="S223" s="64">
        <f>IF(NOT((COUNTA($B223:$D223)+COUNTA($G223:$L223)+COUNTA($Q223))&gt;0),"",IF(AND($V223="Sub",N($U223)&gt;0),IF(ISNUMBER(INDEX($AM$5:$AM$1000,$U223-4)),DATE(YEAR(INDEX($AM$5:$AM$1000,$U223-4)),MONTH(INDEX($AM$5:$AM$1000,$U223-4)),1),IF(ISNUMBER(INDEX($AN$5:$AN$1000,$U223-4)),DATE(YEAR(INDEX($AN$5:$AN$1000,$U223-4)),MONTH(INDEX($AN$5:$AN$1000,$U223-4)),1),MesCiclo)),IF(ISNUMBER($AM223),DATE(YEAR($AM223),MONTH($AM223),1),IF(ISNUMBER($AN223),DATE(YEAR($AN223),MONTH($AN223),1),MesCiclo))))</f>
        <v/>
      </c>
      <c r="T223" s="62">
        <f>IF(OR($S223="",$S223&lt;&gt;MesCiclo,$V223&lt;&gt;"Macro"),"",COUNTIFS($S$5:$S223,MesCiclo,$V$5:$V223,"Macro"))</f>
        <v/>
      </c>
      <c r="U223" s="62">
        <f>IF($V223="","",IF($V223="Macro",ROW(),IFERROR(LOOKUP(2,1/($V$5:$V223="Macro"),ROW($V$5:$V223)),0)))</f>
        <v/>
      </c>
      <c r="V223" s="62">
        <f>IF(NOT((COUNTA($B223:$D223)+COUNTA($G223:$L223)+COUNTA($Q223))&gt;0),"",IF($B223="Subactividad","Sub","Macro"))</f>
        <v/>
      </c>
      <c r="W223" s="62">
        <f>IF($V223="Macro",COUNTIFS($U$5:$U$1000,ROW(),$V$5:$V$1000,"Sub"),"")</f>
        <v/>
      </c>
      <c r="X223" s="62">
        <f>IF($V223="","",IF(ISNUMBER($G223),1,IFERROR(LOOKUP(2,1/($I223:$L223&lt;&gt;""),$I223:$L223),0)))</f>
        <v/>
      </c>
      <c r="Y223" s="62">
        <f>IF($V223="","",IF(AND(ISNUMBER($G223),$G223&lt;=IF($S223=MesCiclo,InicioCiclo,$S223+MOD(2-WEEKDAY($S223),7))+6),1,IF(ISNUMBER($I223),$I223,0)))</f>
        <v/>
      </c>
      <c r="Z223" s="62">
        <f>IF($V223="","",IF(AND(ISNUMBER($G223),$G223&lt;=IF($S223=MesCiclo,InicioCiclo,$S223+MOD(2-WEEKDAY($S223),7))+13),1,IF(ISNUMBER($J223),$J223,$Y223)))</f>
        <v/>
      </c>
      <c r="AA223" s="62">
        <f>IF($V223="","",IF(AND(ISNUMBER($G223),$G223&lt;=IF($S223=MesCiclo,InicioCiclo,$S223+MOD(2-WEEKDAY($S223),7))+20),1,IF(ISNUMBER($K223),$K223,$Z223)))</f>
        <v/>
      </c>
      <c r="AB223" s="62">
        <f>IF($V223="","",IF(AND(ISNUMBER($G223),$G223&lt;=IF($S223=MesCiclo,InicioCiclo,$S223+MOD(2-WEEKDAY($S223),7))+27),1,IF(ISNUMBER($L223),$L223,$AA223)))</f>
        <v/>
      </c>
      <c r="AC223" s="62">
        <f>IF($V223="","",IF(AND(ISNUMBER($G223),$G223&lt;=IF($S223=MesCiclo,InicioCiclo,$S223+MOD(2-WEEKDAY($S223),7))+6),1,IF(N($W223)&gt;0,AVERAGEIFS($Y$5:$Y$1000,$U$5:$U$1000,ROW(),$V$5:$V$1000,"Sub"),$Y223)))</f>
        <v/>
      </c>
      <c r="AD223" s="62">
        <f>IF($V223="","",IF(AND(ISNUMBER($G223),$G223&lt;=IF($S223=MesCiclo,InicioCiclo,$S223+MOD(2-WEEKDAY($S223),7))+13),1,IF(N($W223)&gt;0,AVERAGEIFS($Z$5:$Z$1000,$U$5:$U$1000,ROW(),$V$5:$V$1000,"Sub"),$Z223)))</f>
        <v/>
      </c>
      <c r="AE223" s="62">
        <f>IF($V223="","",IF(AND(ISNUMBER($G223),$G223&lt;=IF($S223=MesCiclo,InicioCiclo,$S223+MOD(2-WEEKDAY($S223),7))+20),1,IF(N($W223)&gt;0,AVERAGEIFS($AA$5:$AA$1000,$U$5:$U$1000,ROW(),$V$5:$V$1000,"Sub"),$AA223)))</f>
        <v/>
      </c>
      <c r="AF223" s="62">
        <f>IF($V223="","",IF(AND(ISNUMBER($G223),$G223&lt;=IF($S223=MesCiclo,InicioCiclo,$S223+MOD(2-WEEKDAY($S223),7))+27),1,IF(N($W223)&gt;0,AVERAGEIFS($AB$5:$AB$1000,$U$5:$U$1000,ROW(),$V$5:$V$1000,"Sub"),$AB223)))</f>
        <v/>
      </c>
      <c r="AG223" s="62">
        <f>IF($V223&lt;&gt;"Macro","",IF(COUNTIFS($S$5:$S$1000,$S223,$V$5:$V$1000,"Macro",$H$5:$H$1000,"&gt;0")=0,1/COUNTIFS($S$5:$S$1000,$S223,$V$5:$V$1000,"Macro"),IF(AND(ISNUMBER($H223),N($H223)&gt;0),$H223,SUMIFS($H$5:$H$1000,$S$5:$S$1000,$S223,$V$5:$V$1000,"Macro")/COUNTIFS($S$5:$S$1000,$S223,$V$5:$V$1000,"Macro",$H$5:$H$1000,"&gt;0"))/(COUNTIFS($S$5:$S$1000,$S223,$V$5:$V$1000,"Macro")*SUMIFS($H$5:$H$1000,$S$5:$S$1000,$S223,$V$5:$V$1000,"Macro")/COUNTIFS($S$5:$S$1000,$S223,$V$5:$V$1000,"Macro",$H$5:$H$1000,"&gt;0"))))</f>
        <v/>
      </c>
      <c r="AH223" s="62" t="n"/>
      <c r="AI223" s="62" t="n"/>
      <c r="AJ223" s="62" t="n"/>
      <c r="AK223" s="62" t="n"/>
      <c r="AL223" s="62">
        <f>IF(LEFT($C223,11)="[Jefatura] ",IFERROR(MATCH("Asistente Técnico de Riesgo|"&amp;MID($C223,12,500),rDname_ADM,0),0),"")</f>
        <v/>
      </c>
      <c r="AM223" s="62">
        <f>IF(N($AL223)&gt;0,INDEX(rIni_ADM,$AL223),IF(ISNUMBER($E223),$E223,""))</f>
        <v/>
      </c>
      <c r="AN223" s="62">
        <f>IF(N($AL223)&gt;0,INDEX(rLim_ADM,$AL223),IF(ISNUMBER($F223),$F223,""))</f>
        <v/>
      </c>
    </row>
    <row r="224">
      <c r="A224" s="56">
        <f>IF(NOT((COUNTA($B224:$D224)+COUNTA($G224:$L224)+COUNTA($Q224))&gt;0),"",IF($V224="Macro",COUNTIFS($V$5:$V224,"Macro",$S$5:$S224,$S224),IF(N($U224)=0,"?",COUNTIFS(INDEX($V$5:$V$1000,1):INDEX($V$5:$V$1000,$U224-4),"Macro",INDEX($S$5:$S$1000,1):INDEX($S$5:$S$1000,$U224-4),INDEX($S$5:$S$1000,$U224-4))&amp;"."&amp;COUNTIFS($U$5:$U224,$U224,$V$5:$V224,"Sub"))))</f>
        <v/>
      </c>
      <c r="B224" s="57" t="n"/>
      <c r="C224" s="58" t="n"/>
      <c r="D224" s="58" t="n"/>
      <c r="E224" s="59">
        <f>IF(N($AL224)&gt;0,INDEX(rIni_ADM,$AL224),"")</f>
        <v/>
      </c>
      <c r="F224" s="59">
        <f>IF(N($AL224)&gt;0,INDEX(rLim_ADM,$AL224),"")</f>
        <v/>
      </c>
      <c r="G224" s="59" t="n"/>
      <c r="H224" s="60" t="n"/>
      <c r="I224" s="60" t="n"/>
      <c r="J224" s="60" t="n"/>
      <c r="K224" s="60" t="n"/>
      <c r="L224" s="60" t="n"/>
      <c r="M224" s="61">
        <f>IF(NOT((COUNTA($B224:$D224)+COUNTA($G224:$L224)+COUNTA($Q224))&gt;0),"",IF($V224="Sub",IFERROR($X224/INDEX($W$5:$W$1000,$U224-4),""),IF(ISNUMBER($G224),1,IF(N($W224)&gt;0,AVERAGEIFS($X$5:$X$1000,$U$5:$U$1000,ROW(),$V$5:$V$1000,"Sub"),$X224))))</f>
        <v/>
      </c>
      <c r="N224" s="56">
        <f>IF(OR($M224="",$V224="Sub"),"",IF($M224&gt;=1,"Completado",IF($M224&gt;0,"En curso","Pendiente")))</f>
        <v/>
      </c>
      <c r="O224" s="56">
        <f>IF(OR(NOT((COUNTA($B224:$D224)+COUNTA($G224:$L224)+COUNTA($Q224))&gt;0),$V224="Sub"),"",IF(ISNUMBER($G224),IF(AND(ISNUMBER($AN224),$G224&gt;$AN224),"Cumplida con "&amp;($G224-$AN224)&amp;IF($G224-$AN224=1," día"," días")&amp;" de retraso","Cumplida"),IF(N($M224)&gt;=1,"Cumplida",IF(NOT(ISNUMBER($AN224)),"Sin fecha límite",IF($AN224&lt;FechaRef,"Vencida hace "&amp;(FechaRef-$AN224)&amp;IF(FechaRef-$AN224=1," día"," días"),IF($AN224=FechaRef,"Vence hoy",IF($AN224-FechaRef&lt;=DiasAlerta,"Vence en "&amp;($AN224-FechaRef)&amp;IF($AN224-FechaRef=1," día"," días"),"En plazo")))))))</f>
        <v/>
      </c>
      <c r="P224" s="62" t="n"/>
      <c r="Q224" s="58" t="n"/>
      <c r="R224" s="63">
        <f>IF(NOT((COUNTA($B224:$D224)+COUNTA($G224:$L224)+COUNTA($Q224))&gt;0),"",IF((IF($C224="","Falta el nombre de la actividad"&amp;" · ","")&amp;IF(AND($V224="Sub",N($U224)=0),"Subactividad sin macroactividad arriba"&amp;" · ","")&amp;IF($AM224="","Sin fecha de inicio"&amp;" · ","")&amp;IF($AN224="","Sin fecha límite"&amp;" · ","")&amp;IF(AND(LEFT($C224,11)="[Jefatura] ",N($AL224)=0),"No se encuentra en la hoja de la jefatura (elíjala de nuevo en la lista)"&amp;" · ","")&amp;IF(OR(AND($E224&lt;&gt;"",NOT(ISNUMBER($E224))),AND($F224&lt;&gt;"",NOT(ISNUMBER($F224))),AND($G224&lt;&gt;"",NOT(ISNUMBER($G224)))),"Fecha no válida"&amp;" · ","")&amp;IF(AND(ISNUMBER($AM224),ISNUMBER($AN224),$AM224&gt;$AN224),"Inicio posterior a fecha límite"&amp;" · ","")&amp;IF(AND($V224="Macro",$H224&lt;&gt;"",OR(NOT(ISNUMBER($H224)),$H224&lt;0,$H224&gt;1)),"Peso fuera de rango"&amp;" · ","")&amp;IF(AND($V224="Sub",$H224&lt;&gt;""),"Las subactividades no llevan peso (valen igual dentro de su macroactividad)"&amp;" · ","")&amp;IF(AND(N($W224)&gt;0,COUNT($I224:$L224)&gt;0),"Con subactividades: deje vacías las semanas (se calculan solas)"&amp;" · ","")&amp;IF((COUNTIF($I224:$L224,"&gt;1")+COUNTIF($I224:$L224,"&lt;0")+COUNTA($I224:$L224)-COUNT($I224:$L224))&gt;0,"Avance fuera de rango 0-100%"&amp;" · ","")&amp;IF(OR(AND($J224&lt;&gt;"",$J224&lt;$I224),AND($K224&lt;&gt;"",$K224&lt;MAX($I224:$J224)),AND($L224&lt;&gt;"",$L224&lt;MAX($I224:$K224))),"Avance semanal decreciente"&amp;" · ","")&amp;IF(AND(ISNUMBER($AN224),$AN224&lt;FechaRef,IF($V224="Sub",N($X224),N($M224))&lt;1),"Vencida"&amp;" · ","")&amp;IF(AND(ObsObligatoria="Sí",ISNUMBER($AN224),$AN224&lt;FechaRef,IF($V224="Sub",N($X224),N($M224))&lt;1,$Q224=""),"Vencida sin observación"&amp;" · ",""))="","✔ OK","⚠ "&amp;LEFT(IF($C224="","Falta el nombre de la actividad"&amp;" · ","")&amp;IF(AND($V224="Sub",N($U224)=0),"Subactividad sin macroactividad arriba"&amp;" · ","")&amp;IF($AM224="","Sin fecha de inicio"&amp;" · ","")&amp;IF($AN224="","Sin fecha límite"&amp;" · ","")&amp;IF(AND(LEFT($C224,11)="[Jefatura] ",N($AL224)=0),"No se encuentra en la hoja de la jefatura (elíjala de nuevo en la lista)"&amp;" · ","")&amp;IF(OR(AND($E224&lt;&gt;"",NOT(ISNUMBER($E224))),AND($F224&lt;&gt;"",NOT(ISNUMBER($F224))),AND($G224&lt;&gt;"",NOT(ISNUMBER($G224)))),"Fecha no válida"&amp;" · ","")&amp;IF(AND(ISNUMBER($AM224),ISNUMBER($AN224),$AM224&gt;$AN224),"Inicio posterior a fecha límite"&amp;" · ","")&amp;IF(AND($V224="Macro",$H224&lt;&gt;"",OR(NOT(ISNUMBER($H224)),$H224&lt;0,$H224&gt;1)),"Peso fuera de rango"&amp;" · ","")&amp;IF(AND($V224="Sub",$H224&lt;&gt;""),"Las subactividades no llevan peso (valen igual dentro de su macroactividad)"&amp;" · ","")&amp;IF(AND(N($W224)&gt;0,COUNT($I224:$L224)&gt;0),"Con subactividades: deje vacías las semanas (se calculan solas)"&amp;" · ","")&amp;IF((COUNTIF($I224:$L224,"&gt;1")+COUNTIF($I224:$L224,"&lt;0")+COUNTA($I224:$L224)-COUNT($I224:$L224))&gt;0,"Avance fuera de rango 0-100%"&amp;" · ","")&amp;IF(OR(AND($J224&lt;&gt;"",$J224&lt;$I224),AND($K224&lt;&gt;"",$K224&lt;MAX($I224:$J224)),AND($L224&lt;&gt;"",$L224&lt;MAX($I224:$K224))),"Avance semanal decreciente"&amp;" · ","")&amp;IF(AND(ISNUMBER($AN224),$AN224&lt;FechaRef,IF($V224="Sub",N($X224),N($M224))&lt;1),"Vencida"&amp;" · ","")&amp;IF(AND(ObsObligatoria="Sí",ISNUMBER($AN224),$AN224&lt;FechaRef,IF($V224="Sub",N($X224),N($M224))&lt;1,$Q224=""),"Vencida sin observación"&amp;" · ",""),LEN(IF($C224="","Falta el nombre de la actividad"&amp;" · ","")&amp;IF(AND($V224="Sub",N($U224)=0),"Subactividad sin macroactividad arriba"&amp;" · ","")&amp;IF($AM224="","Sin fecha de inicio"&amp;" · ","")&amp;IF($AN224="","Sin fecha límite"&amp;" · ","")&amp;IF(AND(LEFT($C224,11)="[Jefatura] ",N($AL224)=0),"No se encuentra en la hoja de la jefatura (elíjala de nuevo en la lista)"&amp;" · ","")&amp;IF(OR(AND($E224&lt;&gt;"",NOT(ISNUMBER($E224))),AND($F224&lt;&gt;"",NOT(ISNUMBER($F224))),AND($G224&lt;&gt;"",NOT(ISNUMBER($G224)))),"Fecha no válida"&amp;" · ","")&amp;IF(AND(ISNUMBER($AM224),ISNUMBER($AN224),$AM224&gt;$AN224),"Inicio posterior a fecha límite"&amp;" · ","")&amp;IF(AND($V224="Macro",$H224&lt;&gt;"",OR(NOT(ISNUMBER($H224)),$H224&lt;0,$H224&gt;1)),"Peso fuera de rango"&amp;" · ","")&amp;IF(AND($V224="Sub",$H224&lt;&gt;""),"Las subactividades no llevan peso (valen igual dentro de su macroactividad)"&amp;" · ","")&amp;IF(AND(N($W224)&gt;0,COUNT($I224:$L224)&gt;0),"Con subactividades: deje vacías las semanas (se calculan solas)"&amp;" · ","")&amp;IF((COUNTIF($I224:$L224,"&gt;1")+COUNTIF($I224:$L224,"&lt;0")+COUNTA($I224:$L224)-COUNT($I224:$L224))&gt;0,"Avance fuera de rango 0-100%"&amp;" · ","")&amp;IF(OR(AND($J224&lt;&gt;"",$J224&lt;$I224),AND($K224&lt;&gt;"",$K224&lt;MAX($I224:$J224)),AND($L224&lt;&gt;"",$L224&lt;MAX($I224:$K224))),"Avance semanal decreciente"&amp;" · ","")&amp;IF(AND(ISNUMBER($AN224),$AN224&lt;FechaRef,IF($V224="Sub",N($X224),N($M224))&lt;1),"Vencida"&amp;" · ","")&amp;IF(AND(ObsObligatoria="Sí",ISNUMBER($AN224),$AN224&lt;FechaRef,IF($V224="Sub",N($X224),N($M224))&lt;1,$Q224=""),"Vencida sin observación"&amp;" · ",""))-3)))</f>
        <v/>
      </c>
      <c r="S224" s="64">
        <f>IF(NOT((COUNTA($B224:$D224)+COUNTA($G224:$L224)+COUNTA($Q224))&gt;0),"",IF(AND($V224="Sub",N($U224)&gt;0),IF(ISNUMBER(INDEX($AM$5:$AM$1000,$U224-4)),DATE(YEAR(INDEX($AM$5:$AM$1000,$U224-4)),MONTH(INDEX($AM$5:$AM$1000,$U224-4)),1),IF(ISNUMBER(INDEX($AN$5:$AN$1000,$U224-4)),DATE(YEAR(INDEX($AN$5:$AN$1000,$U224-4)),MONTH(INDEX($AN$5:$AN$1000,$U224-4)),1),MesCiclo)),IF(ISNUMBER($AM224),DATE(YEAR($AM224),MONTH($AM224),1),IF(ISNUMBER($AN224),DATE(YEAR($AN224),MONTH($AN224),1),MesCiclo))))</f>
        <v/>
      </c>
      <c r="T224" s="62">
        <f>IF(OR($S224="",$S224&lt;&gt;MesCiclo,$V224&lt;&gt;"Macro"),"",COUNTIFS($S$5:$S224,MesCiclo,$V$5:$V224,"Macro"))</f>
        <v/>
      </c>
      <c r="U224" s="62">
        <f>IF($V224="","",IF($V224="Macro",ROW(),IFERROR(LOOKUP(2,1/($V$5:$V224="Macro"),ROW($V$5:$V224)),0)))</f>
        <v/>
      </c>
      <c r="V224" s="62">
        <f>IF(NOT((COUNTA($B224:$D224)+COUNTA($G224:$L224)+COUNTA($Q224))&gt;0),"",IF($B224="Subactividad","Sub","Macro"))</f>
        <v/>
      </c>
      <c r="W224" s="62">
        <f>IF($V224="Macro",COUNTIFS($U$5:$U$1000,ROW(),$V$5:$V$1000,"Sub"),"")</f>
        <v/>
      </c>
      <c r="X224" s="62">
        <f>IF($V224="","",IF(ISNUMBER($G224),1,IFERROR(LOOKUP(2,1/($I224:$L224&lt;&gt;""),$I224:$L224),0)))</f>
        <v/>
      </c>
      <c r="Y224" s="62">
        <f>IF($V224="","",IF(AND(ISNUMBER($G224),$G224&lt;=IF($S224=MesCiclo,InicioCiclo,$S224+MOD(2-WEEKDAY($S224),7))+6),1,IF(ISNUMBER($I224),$I224,0)))</f>
        <v/>
      </c>
      <c r="Z224" s="62">
        <f>IF($V224="","",IF(AND(ISNUMBER($G224),$G224&lt;=IF($S224=MesCiclo,InicioCiclo,$S224+MOD(2-WEEKDAY($S224),7))+13),1,IF(ISNUMBER($J224),$J224,$Y224)))</f>
        <v/>
      </c>
      <c r="AA224" s="62">
        <f>IF($V224="","",IF(AND(ISNUMBER($G224),$G224&lt;=IF($S224=MesCiclo,InicioCiclo,$S224+MOD(2-WEEKDAY($S224),7))+20),1,IF(ISNUMBER($K224),$K224,$Z224)))</f>
        <v/>
      </c>
      <c r="AB224" s="62">
        <f>IF($V224="","",IF(AND(ISNUMBER($G224),$G224&lt;=IF($S224=MesCiclo,InicioCiclo,$S224+MOD(2-WEEKDAY($S224),7))+27),1,IF(ISNUMBER($L224),$L224,$AA224)))</f>
        <v/>
      </c>
      <c r="AC224" s="62">
        <f>IF($V224="","",IF(AND(ISNUMBER($G224),$G224&lt;=IF($S224=MesCiclo,InicioCiclo,$S224+MOD(2-WEEKDAY($S224),7))+6),1,IF(N($W224)&gt;0,AVERAGEIFS($Y$5:$Y$1000,$U$5:$U$1000,ROW(),$V$5:$V$1000,"Sub"),$Y224)))</f>
        <v/>
      </c>
      <c r="AD224" s="62">
        <f>IF($V224="","",IF(AND(ISNUMBER($G224),$G224&lt;=IF($S224=MesCiclo,InicioCiclo,$S224+MOD(2-WEEKDAY($S224),7))+13),1,IF(N($W224)&gt;0,AVERAGEIFS($Z$5:$Z$1000,$U$5:$U$1000,ROW(),$V$5:$V$1000,"Sub"),$Z224)))</f>
        <v/>
      </c>
      <c r="AE224" s="62">
        <f>IF($V224="","",IF(AND(ISNUMBER($G224),$G224&lt;=IF($S224=MesCiclo,InicioCiclo,$S224+MOD(2-WEEKDAY($S224),7))+20),1,IF(N($W224)&gt;0,AVERAGEIFS($AA$5:$AA$1000,$U$5:$U$1000,ROW(),$V$5:$V$1000,"Sub"),$AA224)))</f>
        <v/>
      </c>
      <c r="AF224" s="62">
        <f>IF($V224="","",IF(AND(ISNUMBER($G224),$G224&lt;=IF($S224=MesCiclo,InicioCiclo,$S224+MOD(2-WEEKDAY($S224),7))+27),1,IF(N($W224)&gt;0,AVERAGEIFS($AB$5:$AB$1000,$U$5:$U$1000,ROW(),$V$5:$V$1000,"Sub"),$AB224)))</f>
        <v/>
      </c>
      <c r="AG224" s="62">
        <f>IF($V224&lt;&gt;"Macro","",IF(COUNTIFS($S$5:$S$1000,$S224,$V$5:$V$1000,"Macro",$H$5:$H$1000,"&gt;0")=0,1/COUNTIFS($S$5:$S$1000,$S224,$V$5:$V$1000,"Macro"),IF(AND(ISNUMBER($H224),N($H224)&gt;0),$H224,SUMIFS($H$5:$H$1000,$S$5:$S$1000,$S224,$V$5:$V$1000,"Macro")/COUNTIFS($S$5:$S$1000,$S224,$V$5:$V$1000,"Macro",$H$5:$H$1000,"&gt;0"))/(COUNTIFS($S$5:$S$1000,$S224,$V$5:$V$1000,"Macro")*SUMIFS($H$5:$H$1000,$S$5:$S$1000,$S224,$V$5:$V$1000,"Macro")/COUNTIFS($S$5:$S$1000,$S224,$V$5:$V$1000,"Macro",$H$5:$H$1000,"&gt;0"))))</f>
        <v/>
      </c>
      <c r="AH224" s="62" t="n"/>
      <c r="AI224" s="62" t="n"/>
      <c r="AJ224" s="62" t="n"/>
      <c r="AK224" s="62" t="n"/>
      <c r="AL224" s="62">
        <f>IF(LEFT($C224,11)="[Jefatura] ",IFERROR(MATCH("Asistente Técnico de Riesgo|"&amp;MID($C224,12,500),rDname_ADM,0),0),"")</f>
        <v/>
      </c>
      <c r="AM224" s="62">
        <f>IF(N($AL224)&gt;0,INDEX(rIni_ADM,$AL224),IF(ISNUMBER($E224),$E224,""))</f>
        <v/>
      </c>
      <c r="AN224" s="62">
        <f>IF(N($AL224)&gt;0,INDEX(rLim_ADM,$AL224),IF(ISNUMBER($F224),$F224,""))</f>
        <v/>
      </c>
    </row>
    <row r="225">
      <c r="A225" s="56">
        <f>IF(NOT((COUNTA($B225:$D225)+COUNTA($G225:$L225)+COUNTA($Q225))&gt;0),"",IF($V225="Macro",COUNTIFS($V$5:$V225,"Macro",$S$5:$S225,$S225),IF(N($U225)=0,"?",COUNTIFS(INDEX($V$5:$V$1000,1):INDEX($V$5:$V$1000,$U225-4),"Macro",INDEX($S$5:$S$1000,1):INDEX($S$5:$S$1000,$U225-4),INDEX($S$5:$S$1000,$U225-4))&amp;"."&amp;COUNTIFS($U$5:$U225,$U225,$V$5:$V225,"Sub"))))</f>
        <v/>
      </c>
      <c r="B225" s="57" t="n"/>
      <c r="C225" s="58" t="n"/>
      <c r="D225" s="58" t="n"/>
      <c r="E225" s="59">
        <f>IF(N($AL225)&gt;0,INDEX(rIni_ADM,$AL225),"")</f>
        <v/>
      </c>
      <c r="F225" s="59">
        <f>IF(N($AL225)&gt;0,INDEX(rLim_ADM,$AL225),"")</f>
        <v/>
      </c>
      <c r="G225" s="59" t="n"/>
      <c r="H225" s="60" t="n"/>
      <c r="I225" s="60" t="n"/>
      <c r="J225" s="60" t="n"/>
      <c r="K225" s="60" t="n"/>
      <c r="L225" s="60" t="n"/>
      <c r="M225" s="61">
        <f>IF(NOT((COUNTA($B225:$D225)+COUNTA($G225:$L225)+COUNTA($Q225))&gt;0),"",IF($V225="Sub",IFERROR($X225/INDEX($W$5:$W$1000,$U225-4),""),IF(ISNUMBER($G225),1,IF(N($W225)&gt;0,AVERAGEIFS($X$5:$X$1000,$U$5:$U$1000,ROW(),$V$5:$V$1000,"Sub"),$X225))))</f>
        <v/>
      </c>
      <c r="N225" s="56">
        <f>IF(OR($M225="",$V225="Sub"),"",IF($M225&gt;=1,"Completado",IF($M225&gt;0,"En curso","Pendiente")))</f>
        <v/>
      </c>
      <c r="O225" s="56">
        <f>IF(OR(NOT((COUNTA($B225:$D225)+COUNTA($G225:$L225)+COUNTA($Q225))&gt;0),$V225="Sub"),"",IF(ISNUMBER($G225),IF(AND(ISNUMBER($AN225),$G225&gt;$AN225),"Cumplida con "&amp;($G225-$AN225)&amp;IF($G225-$AN225=1," día"," días")&amp;" de retraso","Cumplida"),IF(N($M225)&gt;=1,"Cumplida",IF(NOT(ISNUMBER($AN225)),"Sin fecha límite",IF($AN225&lt;FechaRef,"Vencida hace "&amp;(FechaRef-$AN225)&amp;IF(FechaRef-$AN225=1," día"," días"),IF($AN225=FechaRef,"Vence hoy",IF($AN225-FechaRef&lt;=DiasAlerta,"Vence en "&amp;($AN225-FechaRef)&amp;IF($AN225-FechaRef=1," día"," días"),"En plazo")))))))</f>
        <v/>
      </c>
      <c r="P225" s="62" t="n"/>
      <c r="Q225" s="58" t="n"/>
      <c r="R225" s="63">
        <f>IF(NOT((COUNTA($B225:$D225)+COUNTA($G225:$L225)+COUNTA($Q225))&gt;0),"",IF((IF($C225="","Falta el nombre de la actividad"&amp;" · ","")&amp;IF(AND($V225="Sub",N($U225)=0),"Subactividad sin macroactividad arriba"&amp;" · ","")&amp;IF($AM225="","Sin fecha de inicio"&amp;" · ","")&amp;IF($AN225="","Sin fecha límite"&amp;" · ","")&amp;IF(AND(LEFT($C225,11)="[Jefatura] ",N($AL225)=0),"No se encuentra en la hoja de la jefatura (elíjala de nuevo en la lista)"&amp;" · ","")&amp;IF(OR(AND($E225&lt;&gt;"",NOT(ISNUMBER($E225))),AND($F225&lt;&gt;"",NOT(ISNUMBER($F225))),AND($G225&lt;&gt;"",NOT(ISNUMBER($G225)))),"Fecha no válida"&amp;" · ","")&amp;IF(AND(ISNUMBER($AM225),ISNUMBER($AN225),$AM225&gt;$AN225),"Inicio posterior a fecha límite"&amp;" · ","")&amp;IF(AND($V225="Macro",$H225&lt;&gt;"",OR(NOT(ISNUMBER($H225)),$H225&lt;0,$H225&gt;1)),"Peso fuera de rango"&amp;" · ","")&amp;IF(AND($V225="Sub",$H225&lt;&gt;""),"Las subactividades no llevan peso (valen igual dentro de su macroactividad)"&amp;" · ","")&amp;IF(AND(N($W225)&gt;0,COUNT($I225:$L225)&gt;0),"Con subactividades: deje vacías las semanas (se calculan solas)"&amp;" · ","")&amp;IF((COUNTIF($I225:$L225,"&gt;1")+COUNTIF($I225:$L225,"&lt;0")+COUNTA($I225:$L225)-COUNT($I225:$L225))&gt;0,"Avance fuera de rango 0-100%"&amp;" · ","")&amp;IF(OR(AND($J225&lt;&gt;"",$J225&lt;$I225),AND($K225&lt;&gt;"",$K225&lt;MAX($I225:$J225)),AND($L225&lt;&gt;"",$L225&lt;MAX($I225:$K225))),"Avance semanal decreciente"&amp;" · ","")&amp;IF(AND(ISNUMBER($AN225),$AN225&lt;FechaRef,IF($V225="Sub",N($X225),N($M225))&lt;1),"Vencida"&amp;" · ","")&amp;IF(AND(ObsObligatoria="Sí",ISNUMBER($AN225),$AN225&lt;FechaRef,IF($V225="Sub",N($X225),N($M225))&lt;1,$Q225=""),"Vencida sin observación"&amp;" · ",""))="","✔ OK","⚠ "&amp;LEFT(IF($C225="","Falta el nombre de la actividad"&amp;" · ","")&amp;IF(AND($V225="Sub",N($U225)=0),"Subactividad sin macroactividad arriba"&amp;" · ","")&amp;IF($AM225="","Sin fecha de inicio"&amp;" · ","")&amp;IF($AN225="","Sin fecha límite"&amp;" · ","")&amp;IF(AND(LEFT($C225,11)="[Jefatura] ",N($AL225)=0),"No se encuentra en la hoja de la jefatura (elíjala de nuevo en la lista)"&amp;" · ","")&amp;IF(OR(AND($E225&lt;&gt;"",NOT(ISNUMBER($E225))),AND($F225&lt;&gt;"",NOT(ISNUMBER($F225))),AND($G225&lt;&gt;"",NOT(ISNUMBER($G225)))),"Fecha no válida"&amp;" · ","")&amp;IF(AND(ISNUMBER($AM225),ISNUMBER($AN225),$AM225&gt;$AN225),"Inicio posterior a fecha límite"&amp;" · ","")&amp;IF(AND($V225="Macro",$H225&lt;&gt;"",OR(NOT(ISNUMBER($H225)),$H225&lt;0,$H225&gt;1)),"Peso fuera de rango"&amp;" · ","")&amp;IF(AND($V225="Sub",$H225&lt;&gt;""),"Las subactividades no llevan peso (valen igual dentro de su macroactividad)"&amp;" · ","")&amp;IF(AND(N($W225)&gt;0,COUNT($I225:$L225)&gt;0),"Con subactividades: deje vacías las semanas (se calculan solas)"&amp;" · ","")&amp;IF((COUNTIF($I225:$L225,"&gt;1")+COUNTIF($I225:$L225,"&lt;0")+COUNTA($I225:$L225)-COUNT($I225:$L225))&gt;0,"Avance fuera de rango 0-100%"&amp;" · ","")&amp;IF(OR(AND($J225&lt;&gt;"",$J225&lt;$I225),AND($K225&lt;&gt;"",$K225&lt;MAX($I225:$J225)),AND($L225&lt;&gt;"",$L225&lt;MAX($I225:$K225))),"Avance semanal decreciente"&amp;" · ","")&amp;IF(AND(ISNUMBER($AN225),$AN225&lt;FechaRef,IF($V225="Sub",N($X225),N($M225))&lt;1),"Vencida"&amp;" · ","")&amp;IF(AND(ObsObligatoria="Sí",ISNUMBER($AN225),$AN225&lt;FechaRef,IF($V225="Sub",N($X225),N($M225))&lt;1,$Q225=""),"Vencida sin observación"&amp;" · ",""),LEN(IF($C225="","Falta el nombre de la actividad"&amp;" · ","")&amp;IF(AND($V225="Sub",N($U225)=0),"Subactividad sin macroactividad arriba"&amp;" · ","")&amp;IF($AM225="","Sin fecha de inicio"&amp;" · ","")&amp;IF($AN225="","Sin fecha límite"&amp;" · ","")&amp;IF(AND(LEFT($C225,11)="[Jefatura] ",N($AL225)=0),"No se encuentra en la hoja de la jefatura (elíjala de nuevo en la lista)"&amp;" · ","")&amp;IF(OR(AND($E225&lt;&gt;"",NOT(ISNUMBER($E225))),AND($F225&lt;&gt;"",NOT(ISNUMBER($F225))),AND($G225&lt;&gt;"",NOT(ISNUMBER($G225)))),"Fecha no válida"&amp;" · ","")&amp;IF(AND(ISNUMBER($AM225),ISNUMBER($AN225),$AM225&gt;$AN225),"Inicio posterior a fecha límite"&amp;" · ","")&amp;IF(AND($V225="Macro",$H225&lt;&gt;"",OR(NOT(ISNUMBER($H225)),$H225&lt;0,$H225&gt;1)),"Peso fuera de rango"&amp;" · ","")&amp;IF(AND($V225="Sub",$H225&lt;&gt;""),"Las subactividades no llevan peso (valen igual dentro de su macroactividad)"&amp;" · ","")&amp;IF(AND(N($W225)&gt;0,COUNT($I225:$L225)&gt;0),"Con subactividades: deje vacías las semanas (se calculan solas)"&amp;" · ","")&amp;IF((COUNTIF($I225:$L225,"&gt;1")+COUNTIF($I225:$L225,"&lt;0")+COUNTA($I225:$L225)-COUNT($I225:$L225))&gt;0,"Avance fuera de rango 0-100%"&amp;" · ","")&amp;IF(OR(AND($J225&lt;&gt;"",$J225&lt;$I225),AND($K225&lt;&gt;"",$K225&lt;MAX($I225:$J225)),AND($L225&lt;&gt;"",$L225&lt;MAX($I225:$K225))),"Avance semanal decreciente"&amp;" · ","")&amp;IF(AND(ISNUMBER($AN225),$AN225&lt;FechaRef,IF($V225="Sub",N($X225),N($M225))&lt;1),"Vencida"&amp;" · ","")&amp;IF(AND(ObsObligatoria="Sí",ISNUMBER($AN225),$AN225&lt;FechaRef,IF($V225="Sub",N($X225),N($M225))&lt;1,$Q225=""),"Vencida sin observación"&amp;" · ",""))-3)))</f>
        <v/>
      </c>
      <c r="S225" s="64">
        <f>IF(NOT((COUNTA($B225:$D225)+COUNTA($G225:$L225)+COUNTA($Q225))&gt;0),"",IF(AND($V225="Sub",N($U225)&gt;0),IF(ISNUMBER(INDEX($AM$5:$AM$1000,$U225-4)),DATE(YEAR(INDEX($AM$5:$AM$1000,$U225-4)),MONTH(INDEX($AM$5:$AM$1000,$U225-4)),1),IF(ISNUMBER(INDEX($AN$5:$AN$1000,$U225-4)),DATE(YEAR(INDEX($AN$5:$AN$1000,$U225-4)),MONTH(INDEX($AN$5:$AN$1000,$U225-4)),1),MesCiclo)),IF(ISNUMBER($AM225),DATE(YEAR($AM225),MONTH($AM225),1),IF(ISNUMBER($AN225),DATE(YEAR($AN225),MONTH($AN225),1),MesCiclo))))</f>
        <v/>
      </c>
      <c r="T225" s="62">
        <f>IF(OR($S225="",$S225&lt;&gt;MesCiclo,$V225&lt;&gt;"Macro"),"",COUNTIFS($S$5:$S225,MesCiclo,$V$5:$V225,"Macro"))</f>
        <v/>
      </c>
      <c r="U225" s="62">
        <f>IF($V225="","",IF($V225="Macro",ROW(),IFERROR(LOOKUP(2,1/($V$5:$V225="Macro"),ROW($V$5:$V225)),0)))</f>
        <v/>
      </c>
      <c r="V225" s="62">
        <f>IF(NOT((COUNTA($B225:$D225)+COUNTA($G225:$L225)+COUNTA($Q225))&gt;0),"",IF($B225="Subactividad","Sub","Macro"))</f>
        <v/>
      </c>
      <c r="W225" s="62">
        <f>IF($V225="Macro",COUNTIFS($U$5:$U$1000,ROW(),$V$5:$V$1000,"Sub"),"")</f>
        <v/>
      </c>
      <c r="X225" s="62">
        <f>IF($V225="","",IF(ISNUMBER($G225),1,IFERROR(LOOKUP(2,1/($I225:$L225&lt;&gt;""),$I225:$L225),0)))</f>
        <v/>
      </c>
      <c r="Y225" s="62">
        <f>IF($V225="","",IF(AND(ISNUMBER($G225),$G225&lt;=IF($S225=MesCiclo,InicioCiclo,$S225+MOD(2-WEEKDAY($S225),7))+6),1,IF(ISNUMBER($I225),$I225,0)))</f>
        <v/>
      </c>
      <c r="Z225" s="62">
        <f>IF($V225="","",IF(AND(ISNUMBER($G225),$G225&lt;=IF($S225=MesCiclo,InicioCiclo,$S225+MOD(2-WEEKDAY($S225),7))+13),1,IF(ISNUMBER($J225),$J225,$Y225)))</f>
        <v/>
      </c>
      <c r="AA225" s="62">
        <f>IF($V225="","",IF(AND(ISNUMBER($G225),$G225&lt;=IF($S225=MesCiclo,InicioCiclo,$S225+MOD(2-WEEKDAY($S225),7))+20),1,IF(ISNUMBER($K225),$K225,$Z225)))</f>
        <v/>
      </c>
      <c r="AB225" s="62">
        <f>IF($V225="","",IF(AND(ISNUMBER($G225),$G225&lt;=IF($S225=MesCiclo,InicioCiclo,$S225+MOD(2-WEEKDAY($S225),7))+27),1,IF(ISNUMBER($L225),$L225,$AA225)))</f>
        <v/>
      </c>
      <c r="AC225" s="62">
        <f>IF($V225="","",IF(AND(ISNUMBER($G225),$G225&lt;=IF($S225=MesCiclo,InicioCiclo,$S225+MOD(2-WEEKDAY($S225),7))+6),1,IF(N($W225)&gt;0,AVERAGEIFS($Y$5:$Y$1000,$U$5:$U$1000,ROW(),$V$5:$V$1000,"Sub"),$Y225)))</f>
        <v/>
      </c>
      <c r="AD225" s="62">
        <f>IF($V225="","",IF(AND(ISNUMBER($G225),$G225&lt;=IF($S225=MesCiclo,InicioCiclo,$S225+MOD(2-WEEKDAY($S225),7))+13),1,IF(N($W225)&gt;0,AVERAGEIFS($Z$5:$Z$1000,$U$5:$U$1000,ROW(),$V$5:$V$1000,"Sub"),$Z225)))</f>
        <v/>
      </c>
      <c r="AE225" s="62">
        <f>IF($V225="","",IF(AND(ISNUMBER($G225),$G225&lt;=IF($S225=MesCiclo,InicioCiclo,$S225+MOD(2-WEEKDAY($S225),7))+20),1,IF(N($W225)&gt;0,AVERAGEIFS($AA$5:$AA$1000,$U$5:$U$1000,ROW(),$V$5:$V$1000,"Sub"),$AA225)))</f>
        <v/>
      </c>
      <c r="AF225" s="62">
        <f>IF($V225="","",IF(AND(ISNUMBER($G225),$G225&lt;=IF($S225=MesCiclo,InicioCiclo,$S225+MOD(2-WEEKDAY($S225),7))+27),1,IF(N($W225)&gt;0,AVERAGEIFS($AB$5:$AB$1000,$U$5:$U$1000,ROW(),$V$5:$V$1000,"Sub"),$AB225)))</f>
        <v/>
      </c>
      <c r="AG225" s="62">
        <f>IF($V225&lt;&gt;"Macro","",IF(COUNTIFS($S$5:$S$1000,$S225,$V$5:$V$1000,"Macro",$H$5:$H$1000,"&gt;0")=0,1/COUNTIFS($S$5:$S$1000,$S225,$V$5:$V$1000,"Macro"),IF(AND(ISNUMBER($H225),N($H225)&gt;0),$H225,SUMIFS($H$5:$H$1000,$S$5:$S$1000,$S225,$V$5:$V$1000,"Macro")/COUNTIFS($S$5:$S$1000,$S225,$V$5:$V$1000,"Macro",$H$5:$H$1000,"&gt;0"))/(COUNTIFS($S$5:$S$1000,$S225,$V$5:$V$1000,"Macro")*SUMIFS($H$5:$H$1000,$S$5:$S$1000,$S225,$V$5:$V$1000,"Macro")/COUNTIFS($S$5:$S$1000,$S225,$V$5:$V$1000,"Macro",$H$5:$H$1000,"&gt;0"))))</f>
        <v/>
      </c>
      <c r="AH225" s="62" t="n"/>
      <c r="AI225" s="62" t="n"/>
      <c r="AJ225" s="62" t="n"/>
      <c r="AK225" s="62" t="n"/>
      <c r="AL225" s="62">
        <f>IF(LEFT($C225,11)="[Jefatura] ",IFERROR(MATCH("Asistente Técnico de Riesgo|"&amp;MID($C225,12,500),rDname_ADM,0),0),"")</f>
        <v/>
      </c>
      <c r="AM225" s="62">
        <f>IF(N($AL225)&gt;0,INDEX(rIni_ADM,$AL225),IF(ISNUMBER($E225),$E225,""))</f>
        <v/>
      </c>
      <c r="AN225" s="62">
        <f>IF(N($AL225)&gt;0,INDEX(rLim_ADM,$AL225),IF(ISNUMBER($F225),$F225,""))</f>
        <v/>
      </c>
    </row>
    <row r="226">
      <c r="A226" s="56">
        <f>IF(NOT((COUNTA($B226:$D226)+COUNTA($G226:$L226)+COUNTA($Q226))&gt;0),"",IF($V226="Macro",COUNTIFS($V$5:$V226,"Macro",$S$5:$S226,$S226),IF(N($U226)=0,"?",COUNTIFS(INDEX($V$5:$V$1000,1):INDEX($V$5:$V$1000,$U226-4),"Macro",INDEX($S$5:$S$1000,1):INDEX($S$5:$S$1000,$U226-4),INDEX($S$5:$S$1000,$U226-4))&amp;"."&amp;COUNTIFS($U$5:$U226,$U226,$V$5:$V226,"Sub"))))</f>
        <v/>
      </c>
      <c r="B226" s="57" t="n"/>
      <c r="C226" s="58" t="n"/>
      <c r="D226" s="58" t="n"/>
      <c r="E226" s="59">
        <f>IF(N($AL226)&gt;0,INDEX(rIni_ADM,$AL226),"")</f>
        <v/>
      </c>
      <c r="F226" s="59">
        <f>IF(N($AL226)&gt;0,INDEX(rLim_ADM,$AL226),"")</f>
        <v/>
      </c>
      <c r="G226" s="59" t="n"/>
      <c r="H226" s="60" t="n"/>
      <c r="I226" s="60" t="n"/>
      <c r="J226" s="60" t="n"/>
      <c r="K226" s="60" t="n"/>
      <c r="L226" s="60" t="n"/>
      <c r="M226" s="61">
        <f>IF(NOT((COUNTA($B226:$D226)+COUNTA($G226:$L226)+COUNTA($Q226))&gt;0),"",IF($V226="Sub",IFERROR($X226/INDEX($W$5:$W$1000,$U226-4),""),IF(ISNUMBER($G226),1,IF(N($W226)&gt;0,AVERAGEIFS($X$5:$X$1000,$U$5:$U$1000,ROW(),$V$5:$V$1000,"Sub"),$X226))))</f>
        <v/>
      </c>
      <c r="N226" s="56">
        <f>IF(OR($M226="",$V226="Sub"),"",IF($M226&gt;=1,"Completado",IF($M226&gt;0,"En curso","Pendiente")))</f>
        <v/>
      </c>
      <c r="O226" s="56">
        <f>IF(OR(NOT((COUNTA($B226:$D226)+COUNTA($G226:$L226)+COUNTA($Q226))&gt;0),$V226="Sub"),"",IF(ISNUMBER($G226),IF(AND(ISNUMBER($AN226),$G226&gt;$AN226),"Cumplida con "&amp;($G226-$AN226)&amp;IF($G226-$AN226=1," día"," días")&amp;" de retraso","Cumplida"),IF(N($M226)&gt;=1,"Cumplida",IF(NOT(ISNUMBER($AN226)),"Sin fecha límite",IF($AN226&lt;FechaRef,"Vencida hace "&amp;(FechaRef-$AN226)&amp;IF(FechaRef-$AN226=1," día"," días"),IF($AN226=FechaRef,"Vence hoy",IF($AN226-FechaRef&lt;=DiasAlerta,"Vence en "&amp;($AN226-FechaRef)&amp;IF($AN226-FechaRef=1," día"," días"),"En plazo")))))))</f>
        <v/>
      </c>
      <c r="P226" s="62" t="n"/>
      <c r="Q226" s="58" t="n"/>
      <c r="R226" s="63">
        <f>IF(NOT((COUNTA($B226:$D226)+COUNTA($G226:$L226)+COUNTA($Q226))&gt;0),"",IF((IF($C226="","Falta el nombre de la actividad"&amp;" · ","")&amp;IF(AND($V226="Sub",N($U226)=0),"Subactividad sin macroactividad arriba"&amp;" · ","")&amp;IF($AM226="","Sin fecha de inicio"&amp;" · ","")&amp;IF($AN226="","Sin fecha límite"&amp;" · ","")&amp;IF(AND(LEFT($C226,11)="[Jefatura] ",N($AL226)=0),"No se encuentra en la hoja de la jefatura (elíjala de nuevo en la lista)"&amp;" · ","")&amp;IF(OR(AND($E226&lt;&gt;"",NOT(ISNUMBER($E226))),AND($F226&lt;&gt;"",NOT(ISNUMBER($F226))),AND($G226&lt;&gt;"",NOT(ISNUMBER($G226)))),"Fecha no válida"&amp;" · ","")&amp;IF(AND(ISNUMBER($AM226),ISNUMBER($AN226),$AM226&gt;$AN226),"Inicio posterior a fecha límite"&amp;" · ","")&amp;IF(AND($V226="Macro",$H226&lt;&gt;"",OR(NOT(ISNUMBER($H226)),$H226&lt;0,$H226&gt;1)),"Peso fuera de rango"&amp;" · ","")&amp;IF(AND($V226="Sub",$H226&lt;&gt;""),"Las subactividades no llevan peso (valen igual dentro de su macroactividad)"&amp;" · ","")&amp;IF(AND(N($W226)&gt;0,COUNT($I226:$L226)&gt;0),"Con subactividades: deje vacías las semanas (se calculan solas)"&amp;" · ","")&amp;IF((COUNTIF($I226:$L226,"&gt;1")+COUNTIF($I226:$L226,"&lt;0")+COUNTA($I226:$L226)-COUNT($I226:$L226))&gt;0,"Avance fuera de rango 0-100%"&amp;" · ","")&amp;IF(OR(AND($J226&lt;&gt;"",$J226&lt;$I226),AND($K226&lt;&gt;"",$K226&lt;MAX($I226:$J226)),AND($L226&lt;&gt;"",$L226&lt;MAX($I226:$K226))),"Avance semanal decreciente"&amp;" · ","")&amp;IF(AND(ISNUMBER($AN226),$AN226&lt;FechaRef,IF($V226="Sub",N($X226),N($M226))&lt;1),"Vencida"&amp;" · ","")&amp;IF(AND(ObsObligatoria="Sí",ISNUMBER($AN226),$AN226&lt;FechaRef,IF($V226="Sub",N($X226),N($M226))&lt;1,$Q226=""),"Vencida sin observación"&amp;" · ",""))="","✔ OK","⚠ "&amp;LEFT(IF($C226="","Falta el nombre de la actividad"&amp;" · ","")&amp;IF(AND($V226="Sub",N($U226)=0),"Subactividad sin macroactividad arriba"&amp;" · ","")&amp;IF($AM226="","Sin fecha de inicio"&amp;" · ","")&amp;IF($AN226="","Sin fecha límite"&amp;" · ","")&amp;IF(AND(LEFT($C226,11)="[Jefatura] ",N($AL226)=0),"No se encuentra en la hoja de la jefatura (elíjala de nuevo en la lista)"&amp;" · ","")&amp;IF(OR(AND($E226&lt;&gt;"",NOT(ISNUMBER($E226))),AND($F226&lt;&gt;"",NOT(ISNUMBER($F226))),AND($G226&lt;&gt;"",NOT(ISNUMBER($G226)))),"Fecha no válida"&amp;" · ","")&amp;IF(AND(ISNUMBER($AM226),ISNUMBER($AN226),$AM226&gt;$AN226),"Inicio posterior a fecha límite"&amp;" · ","")&amp;IF(AND($V226="Macro",$H226&lt;&gt;"",OR(NOT(ISNUMBER($H226)),$H226&lt;0,$H226&gt;1)),"Peso fuera de rango"&amp;" · ","")&amp;IF(AND($V226="Sub",$H226&lt;&gt;""),"Las subactividades no llevan peso (valen igual dentro de su macroactividad)"&amp;" · ","")&amp;IF(AND(N($W226)&gt;0,COUNT($I226:$L226)&gt;0),"Con subactividades: deje vacías las semanas (se calculan solas)"&amp;" · ","")&amp;IF((COUNTIF($I226:$L226,"&gt;1")+COUNTIF($I226:$L226,"&lt;0")+COUNTA($I226:$L226)-COUNT($I226:$L226))&gt;0,"Avance fuera de rango 0-100%"&amp;" · ","")&amp;IF(OR(AND($J226&lt;&gt;"",$J226&lt;$I226),AND($K226&lt;&gt;"",$K226&lt;MAX($I226:$J226)),AND($L226&lt;&gt;"",$L226&lt;MAX($I226:$K226))),"Avance semanal decreciente"&amp;" · ","")&amp;IF(AND(ISNUMBER($AN226),$AN226&lt;FechaRef,IF($V226="Sub",N($X226),N($M226))&lt;1),"Vencida"&amp;" · ","")&amp;IF(AND(ObsObligatoria="Sí",ISNUMBER($AN226),$AN226&lt;FechaRef,IF($V226="Sub",N($X226),N($M226))&lt;1,$Q226=""),"Vencida sin observación"&amp;" · ",""),LEN(IF($C226="","Falta el nombre de la actividad"&amp;" · ","")&amp;IF(AND($V226="Sub",N($U226)=0),"Subactividad sin macroactividad arriba"&amp;" · ","")&amp;IF($AM226="","Sin fecha de inicio"&amp;" · ","")&amp;IF($AN226="","Sin fecha límite"&amp;" · ","")&amp;IF(AND(LEFT($C226,11)="[Jefatura] ",N($AL226)=0),"No se encuentra en la hoja de la jefatura (elíjala de nuevo en la lista)"&amp;" · ","")&amp;IF(OR(AND($E226&lt;&gt;"",NOT(ISNUMBER($E226))),AND($F226&lt;&gt;"",NOT(ISNUMBER($F226))),AND($G226&lt;&gt;"",NOT(ISNUMBER($G226)))),"Fecha no válida"&amp;" · ","")&amp;IF(AND(ISNUMBER($AM226),ISNUMBER($AN226),$AM226&gt;$AN226),"Inicio posterior a fecha límite"&amp;" · ","")&amp;IF(AND($V226="Macro",$H226&lt;&gt;"",OR(NOT(ISNUMBER($H226)),$H226&lt;0,$H226&gt;1)),"Peso fuera de rango"&amp;" · ","")&amp;IF(AND($V226="Sub",$H226&lt;&gt;""),"Las subactividades no llevan peso (valen igual dentro de su macroactividad)"&amp;" · ","")&amp;IF(AND(N($W226)&gt;0,COUNT($I226:$L226)&gt;0),"Con subactividades: deje vacías las semanas (se calculan solas)"&amp;" · ","")&amp;IF((COUNTIF($I226:$L226,"&gt;1")+COUNTIF($I226:$L226,"&lt;0")+COUNTA($I226:$L226)-COUNT($I226:$L226))&gt;0,"Avance fuera de rango 0-100%"&amp;" · ","")&amp;IF(OR(AND($J226&lt;&gt;"",$J226&lt;$I226),AND($K226&lt;&gt;"",$K226&lt;MAX($I226:$J226)),AND($L226&lt;&gt;"",$L226&lt;MAX($I226:$K226))),"Avance semanal decreciente"&amp;" · ","")&amp;IF(AND(ISNUMBER($AN226),$AN226&lt;FechaRef,IF($V226="Sub",N($X226),N($M226))&lt;1),"Vencida"&amp;" · ","")&amp;IF(AND(ObsObligatoria="Sí",ISNUMBER($AN226),$AN226&lt;FechaRef,IF($V226="Sub",N($X226),N($M226))&lt;1,$Q226=""),"Vencida sin observación"&amp;" · ",""))-3)))</f>
        <v/>
      </c>
      <c r="S226" s="64">
        <f>IF(NOT((COUNTA($B226:$D226)+COUNTA($G226:$L226)+COUNTA($Q226))&gt;0),"",IF(AND($V226="Sub",N($U226)&gt;0),IF(ISNUMBER(INDEX($AM$5:$AM$1000,$U226-4)),DATE(YEAR(INDEX($AM$5:$AM$1000,$U226-4)),MONTH(INDEX($AM$5:$AM$1000,$U226-4)),1),IF(ISNUMBER(INDEX($AN$5:$AN$1000,$U226-4)),DATE(YEAR(INDEX($AN$5:$AN$1000,$U226-4)),MONTH(INDEX($AN$5:$AN$1000,$U226-4)),1),MesCiclo)),IF(ISNUMBER($AM226),DATE(YEAR($AM226),MONTH($AM226),1),IF(ISNUMBER($AN226),DATE(YEAR($AN226),MONTH($AN226),1),MesCiclo))))</f>
        <v/>
      </c>
      <c r="T226" s="62">
        <f>IF(OR($S226="",$S226&lt;&gt;MesCiclo,$V226&lt;&gt;"Macro"),"",COUNTIFS($S$5:$S226,MesCiclo,$V$5:$V226,"Macro"))</f>
        <v/>
      </c>
      <c r="U226" s="62">
        <f>IF($V226="","",IF($V226="Macro",ROW(),IFERROR(LOOKUP(2,1/($V$5:$V226="Macro"),ROW($V$5:$V226)),0)))</f>
        <v/>
      </c>
      <c r="V226" s="62">
        <f>IF(NOT((COUNTA($B226:$D226)+COUNTA($G226:$L226)+COUNTA($Q226))&gt;0),"",IF($B226="Subactividad","Sub","Macro"))</f>
        <v/>
      </c>
      <c r="W226" s="62">
        <f>IF($V226="Macro",COUNTIFS($U$5:$U$1000,ROW(),$V$5:$V$1000,"Sub"),"")</f>
        <v/>
      </c>
      <c r="X226" s="62">
        <f>IF($V226="","",IF(ISNUMBER($G226),1,IFERROR(LOOKUP(2,1/($I226:$L226&lt;&gt;""),$I226:$L226),0)))</f>
        <v/>
      </c>
      <c r="Y226" s="62">
        <f>IF($V226="","",IF(AND(ISNUMBER($G226),$G226&lt;=IF($S226=MesCiclo,InicioCiclo,$S226+MOD(2-WEEKDAY($S226),7))+6),1,IF(ISNUMBER($I226),$I226,0)))</f>
        <v/>
      </c>
      <c r="Z226" s="62">
        <f>IF($V226="","",IF(AND(ISNUMBER($G226),$G226&lt;=IF($S226=MesCiclo,InicioCiclo,$S226+MOD(2-WEEKDAY($S226),7))+13),1,IF(ISNUMBER($J226),$J226,$Y226)))</f>
        <v/>
      </c>
      <c r="AA226" s="62">
        <f>IF($V226="","",IF(AND(ISNUMBER($G226),$G226&lt;=IF($S226=MesCiclo,InicioCiclo,$S226+MOD(2-WEEKDAY($S226),7))+20),1,IF(ISNUMBER($K226),$K226,$Z226)))</f>
        <v/>
      </c>
      <c r="AB226" s="62">
        <f>IF($V226="","",IF(AND(ISNUMBER($G226),$G226&lt;=IF($S226=MesCiclo,InicioCiclo,$S226+MOD(2-WEEKDAY($S226),7))+27),1,IF(ISNUMBER($L226),$L226,$AA226)))</f>
        <v/>
      </c>
      <c r="AC226" s="62">
        <f>IF($V226="","",IF(AND(ISNUMBER($G226),$G226&lt;=IF($S226=MesCiclo,InicioCiclo,$S226+MOD(2-WEEKDAY($S226),7))+6),1,IF(N($W226)&gt;0,AVERAGEIFS($Y$5:$Y$1000,$U$5:$U$1000,ROW(),$V$5:$V$1000,"Sub"),$Y226)))</f>
        <v/>
      </c>
      <c r="AD226" s="62">
        <f>IF($V226="","",IF(AND(ISNUMBER($G226),$G226&lt;=IF($S226=MesCiclo,InicioCiclo,$S226+MOD(2-WEEKDAY($S226),7))+13),1,IF(N($W226)&gt;0,AVERAGEIFS($Z$5:$Z$1000,$U$5:$U$1000,ROW(),$V$5:$V$1000,"Sub"),$Z226)))</f>
        <v/>
      </c>
      <c r="AE226" s="62">
        <f>IF($V226="","",IF(AND(ISNUMBER($G226),$G226&lt;=IF($S226=MesCiclo,InicioCiclo,$S226+MOD(2-WEEKDAY($S226),7))+20),1,IF(N($W226)&gt;0,AVERAGEIFS($AA$5:$AA$1000,$U$5:$U$1000,ROW(),$V$5:$V$1000,"Sub"),$AA226)))</f>
        <v/>
      </c>
      <c r="AF226" s="62">
        <f>IF($V226="","",IF(AND(ISNUMBER($G226),$G226&lt;=IF($S226=MesCiclo,InicioCiclo,$S226+MOD(2-WEEKDAY($S226),7))+27),1,IF(N($W226)&gt;0,AVERAGEIFS($AB$5:$AB$1000,$U$5:$U$1000,ROW(),$V$5:$V$1000,"Sub"),$AB226)))</f>
        <v/>
      </c>
      <c r="AG226" s="62">
        <f>IF($V226&lt;&gt;"Macro","",IF(COUNTIFS($S$5:$S$1000,$S226,$V$5:$V$1000,"Macro",$H$5:$H$1000,"&gt;0")=0,1/COUNTIFS($S$5:$S$1000,$S226,$V$5:$V$1000,"Macro"),IF(AND(ISNUMBER($H226),N($H226)&gt;0),$H226,SUMIFS($H$5:$H$1000,$S$5:$S$1000,$S226,$V$5:$V$1000,"Macro")/COUNTIFS($S$5:$S$1000,$S226,$V$5:$V$1000,"Macro",$H$5:$H$1000,"&gt;0"))/(COUNTIFS($S$5:$S$1000,$S226,$V$5:$V$1000,"Macro")*SUMIFS($H$5:$H$1000,$S$5:$S$1000,$S226,$V$5:$V$1000,"Macro")/COUNTIFS($S$5:$S$1000,$S226,$V$5:$V$1000,"Macro",$H$5:$H$1000,"&gt;0"))))</f>
        <v/>
      </c>
      <c r="AH226" s="62" t="n"/>
      <c r="AI226" s="62" t="n"/>
      <c r="AJ226" s="62" t="n"/>
      <c r="AK226" s="62" t="n"/>
      <c r="AL226" s="62">
        <f>IF(LEFT($C226,11)="[Jefatura] ",IFERROR(MATCH("Asistente Técnico de Riesgo|"&amp;MID($C226,12,500),rDname_ADM,0),0),"")</f>
        <v/>
      </c>
      <c r="AM226" s="62">
        <f>IF(N($AL226)&gt;0,INDEX(rIni_ADM,$AL226),IF(ISNUMBER($E226),$E226,""))</f>
        <v/>
      </c>
      <c r="AN226" s="62">
        <f>IF(N($AL226)&gt;0,INDEX(rLim_ADM,$AL226),IF(ISNUMBER($F226),$F226,""))</f>
        <v/>
      </c>
    </row>
    <row r="227">
      <c r="A227" s="56">
        <f>IF(NOT((COUNTA($B227:$D227)+COUNTA($G227:$L227)+COUNTA($Q227))&gt;0),"",IF($V227="Macro",COUNTIFS($V$5:$V227,"Macro",$S$5:$S227,$S227),IF(N($U227)=0,"?",COUNTIFS(INDEX($V$5:$V$1000,1):INDEX($V$5:$V$1000,$U227-4),"Macro",INDEX($S$5:$S$1000,1):INDEX($S$5:$S$1000,$U227-4),INDEX($S$5:$S$1000,$U227-4))&amp;"."&amp;COUNTIFS($U$5:$U227,$U227,$V$5:$V227,"Sub"))))</f>
        <v/>
      </c>
      <c r="B227" s="57" t="n"/>
      <c r="C227" s="58" t="n"/>
      <c r="D227" s="58" t="n"/>
      <c r="E227" s="59">
        <f>IF(N($AL227)&gt;0,INDEX(rIni_ADM,$AL227),"")</f>
        <v/>
      </c>
      <c r="F227" s="59">
        <f>IF(N($AL227)&gt;0,INDEX(rLim_ADM,$AL227),"")</f>
        <v/>
      </c>
      <c r="G227" s="59" t="n"/>
      <c r="H227" s="60" t="n"/>
      <c r="I227" s="60" t="n"/>
      <c r="J227" s="60" t="n"/>
      <c r="K227" s="60" t="n"/>
      <c r="L227" s="60" t="n"/>
      <c r="M227" s="61">
        <f>IF(NOT((COUNTA($B227:$D227)+COUNTA($G227:$L227)+COUNTA($Q227))&gt;0),"",IF($V227="Sub",IFERROR($X227/INDEX($W$5:$W$1000,$U227-4),""),IF(ISNUMBER($G227),1,IF(N($W227)&gt;0,AVERAGEIFS($X$5:$X$1000,$U$5:$U$1000,ROW(),$V$5:$V$1000,"Sub"),$X227))))</f>
        <v/>
      </c>
      <c r="N227" s="56">
        <f>IF(OR($M227="",$V227="Sub"),"",IF($M227&gt;=1,"Completado",IF($M227&gt;0,"En curso","Pendiente")))</f>
        <v/>
      </c>
      <c r="O227" s="56">
        <f>IF(OR(NOT((COUNTA($B227:$D227)+COUNTA($G227:$L227)+COUNTA($Q227))&gt;0),$V227="Sub"),"",IF(ISNUMBER($G227),IF(AND(ISNUMBER($AN227),$G227&gt;$AN227),"Cumplida con "&amp;($G227-$AN227)&amp;IF($G227-$AN227=1," día"," días")&amp;" de retraso","Cumplida"),IF(N($M227)&gt;=1,"Cumplida",IF(NOT(ISNUMBER($AN227)),"Sin fecha límite",IF($AN227&lt;FechaRef,"Vencida hace "&amp;(FechaRef-$AN227)&amp;IF(FechaRef-$AN227=1," día"," días"),IF($AN227=FechaRef,"Vence hoy",IF($AN227-FechaRef&lt;=DiasAlerta,"Vence en "&amp;($AN227-FechaRef)&amp;IF($AN227-FechaRef=1," día"," días"),"En plazo")))))))</f>
        <v/>
      </c>
      <c r="P227" s="62" t="n"/>
      <c r="Q227" s="58" t="n"/>
      <c r="R227" s="63">
        <f>IF(NOT((COUNTA($B227:$D227)+COUNTA($G227:$L227)+COUNTA($Q227))&gt;0),"",IF((IF($C227="","Falta el nombre de la actividad"&amp;" · ","")&amp;IF(AND($V227="Sub",N($U227)=0),"Subactividad sin macroactividad arriba"&amp;" · ","")&amp;IF($AM227="","Sin fecha de inicio"&amp;" · ","")&amp;IF($AN227="","Sin fecha límite"&amp;" · ","")&amp;IF(AND(LEFT($C227,11)="[Jefatura] ",N($AL227)=0),"No se encuentra en la hoja de la jefatura (elíjala de nuevo en la lista)"&amp;" · ","")&amp;IF(OR(AND($E227&lt;&gt;"",NOT(ISNUMBER($E227))),AND($F227&lt;&gt;"",NOT(ISNUMBER($F227))),AND($G227&lt;&gt;"",NOT(ISNUMBER($G227)))),"Fecha no válida"&amp;" · ","")&amp;IF(AND(ISNUMBER($AM227),ISNUMBER($AN227),$AM227&gt;$AN227),"Inicio posterior a fecha límite"&amp;" · ","")&amp;IF(AND($V227="Macro",$H227&lt;&gt;"",OR(NOT(ISNUMBER($H227)),$H227&lt;0,$H227&gt;1)),"Peso fuera de rango"&amp;" · ","")&amp;IF(AND($V227="Sub",$H227&lt;&gt;""),"Las subactividades no llevan peso (valen igual dentro de su macroactividad)"&amp;" · ","")&amp;IF(AND(N($W227)&gt;0,COUNT($I227:$L227)&gt;0),"Con subactividades: deje vacías las semanas (se calculan solas)"&amp;" · ","")&amp;IF((COUNTIF($I227:$L227,"&gt;1")+COUNTIF($I227:$L227,"&lt;0")+COUNTA($I227:$L227)-COUNT($I227:$L227))&gt;0,"Avance fuera de rango 0-100%"&amp;" · ","")&amp;IF(OR(AND($J227&lt;&gt;"",$J227&lt;$I227),AND($K227&lt;&gt;"",$K227&lt;MAX($I227:$J227)),AND($L227&lt;&gt;"",$L227&lt;MAX($I227:$K227))),"Avance semanal decreciente"&amp;" · ","")&amp;IF(AND(ISNUMBER($AN227),$AN227&lt;FechaRef,IF($V227="Sub",N($X227),N($M227))&lt;1),"Vencida"&amp;" · ","")&amp;IF(AND(ObsObligatoria="Sí",ISNUMBER($AN227),$AN227&lt;FechaRef,IF($V227="Sub",N($X227),N($M227))&lt;1,$Q227=""),"Vencida sin observación"&amp;" · ",""))="","✔ OK","⚠ "&amp;LEFT(IF($C227="","Falta el nombre de la actividad"&amp;" · ","")&amp;IF(AND($V227="Sub",N($U227)=0),"Subactividad sin macroactividad arriba"&amp;" · ","")&amp;IF($AM227="","Sin fecha de inicio"&amp;" · ","")&amp;IF($AN227="","Sin fecha límite"&amp;" · ","")&amp;IF(AND(LEFT($C227,11)="[Jefatura] ",N($AL227)=0),"No se encuentra en la hoja de la jefatura (elíjala de nuevo en la lista)"&amp;" · ","")&amp;IF(OR(AND($E227&lt;&gt;"",NOT(ISNUMBER($E227))),AND($F227&lt;&gt;"",NOT(ISNUMBER($F227))),AND($G227&lt;&gt;"",NOT(ISNUMBER($G227)))),"Fecha no válida"&amp;" · ","")&amp;IF(AND(ISNUMBER($AM227),ISNUMBER($AN227),$AM227&gt;$AN227),"Inicio posterior a fecha límite"&amp;" · ","")&amp;IF(AND($V227="Macro",$H227&lt;&gt;"",OR(NOT(ISNUMBER($H227)),$H227&lt;0,$H227&gt;1)),"Peso fuera de rango"&amp;" · ","")&amp;IF(AND($V227="Sub",$H227&lt;&gt;""),"Las subactividades no llevan peso (valen igual dentro de su macroactividad)"&amp;" · ","")&amp;IF(AND(N($W227)&gt;0,COUNT($I227:$L227)&gt;0),"Con subactividades: deje vacías las semanas (se calculan solas)"&amp;" · ","")&amp;IF((COUNTIF($I227:$L227,"&gt;1")+COUNTIF($I227:$L227,"&lt;0")+COUNTA($I227:$L227)-COUNT($I227:$L227))&gt;0,"Avance fuera de rango 0-100%"&amp;" · ","")&amp;IF(OR(AND($J227&lt;&gt;"",$J227&lt;$I227),AND($K227&lt;&gt;"",$K227&lt;MAX($I227:$J227)),AND($L227&lt;&gt;"",$L227&lt;MAX($I227:$K227))),"Avance semanal decreciente"&amp;" · ","")&amp;IF(AND(ISNUMBER($AN227),$AN227&lt;FechaRef,IF($V227="Sub",N($X227),N($M227))&lt;1),"Vencida"&amp;" · ","")&amp;IF(AND(ObsObligatoria="Sí",ISNUMBER($AN227),$AN227&lt;FechaRef,IF($V227="Sub",N($X227),N($M227))&lt;1,$Q227=""),"Vencida sin observación"&amp;" · ",""),LEN(IF($C227="","Falta el nombre de la actividad"&amp;" · ","")&amp;IF(AND($V227="Sub",N($U227)=0),"Subactividad sin macroactividad arriba"&amp;" · ","")&amp;IF($AM227="","Sin fecha de inicio"&amp;" · ","")&amp;IF($AN227="","Sin fecha límite"&amp;" · ","")&amp;IF(AND(LEFT($C227,11)="[Jefatura] ",N($AL227)=0),"No se encuentra en la hoja de la jefatura (elíjala de nuevo en la lista)"&amp;" · ","")&amp;IF(OR(AND($E227&lt;&gt;"",NOT(ISNUMBER($E227))),AND($F227&lt;&gt;"",NOT(ISNUMBER($F227))),AND($G227&lt;&gt;"",NOT(ISNUMBER($G227)))),"Fecha no válida"&amp;" · ","")&amp;IF(AND(ISNUMBER($AM227),ISNUMBER($AN227),$AM227&gt;$AN227),"Inicio posterior a fecha límite"&amp;" · ","")&amp;IF(AND($V227="Macro",$H227&lt;&gt;"",OR(NOT(ISNUMBER($H227)),$H227&lt;0,$H227&gt;1)),"Peso fuera de rango"&amp;" · ","")&amp;IF(AND($V227="Sub",$H227&lt;&gt;""),"Las subactividades no llevan peso (valen igual dentro de su macroactividad)"&amp;" · ","")&amp;IF(AND(N($W227)&gt;0,COUNT($I227:$L227)&gt;0),"Con subactividades: deje vacías las semanas (se calculan solas)"&amp;" · ","")&amp;IF((COUNTIF($I227:$L227,"&gt;1")+COUNTIF($I227:$L227,"&lt;0")+COUNTA($I227:$L227)-COUNT($I227:$L227))&gt;0,"Avance fuera de rango 0-100%"&amp;" · ","")&amp;IF(OR(AND($J227&lt;&gt;"",$J227&lt;$I227),AND($K227&lt;&gt;"",$K227&lt;MAX($I227:$J227)),AND($L227&lt;&gt;"",$L227&lt;MAX($I227:$K227))),"Avance semanal decreciente"&amp;" · ","")&amp;IF(AND(ISNUMBER($AN227),$AN227&lt;FechaRef,IF($V227="Sub",N($X227),N($M227))&lt;1),"Vencida"&amp;" · ","")&amp;IF(AND(ObsObligatoria="Sí",ISNUMBER($AN227),$AN227&lt;FechaRef,IF($V227="Sub",N($X227),N($M227))&lt;1,$Q227=""),"Vencida sin observación"&amp;" · ",""))-3)))</f>
        <v/>
      </c>
      <c r="S227" s="64">
        <f>IF(NOT((COUNTA($B227:$D227)+COUNTA($G227:$L227)+COUNTA($Q227))&gt;0),"",IF(AND($V227="Sub",N($U227)&gt;0),IF(ISNUMBER(INDEX($AM$5:$AM$1000,$U227-4)),DATE(YEAR(INDEX($AM$5:$AM$1000,$U227-4)),MONTH(INDEX($AM$5:$AM$1000,$U227-4)),1),IF(ISNUMBER(INDEX($AN$5:$AN$1000,$U227-4)),DATE(YEAR(INDEX($AN$5:$AN$1000,$U227-4)),MONTH(INDEX($AN$5:$AN$1000,$U227-4)),1),MesCiclo)),IF(ISNUMBER($AM227),DATE(YEAR($AM227),MONTH($AM227),1),IF(ISNUMBER($AN227),DATE(YEAR($AN227),MONTH($AN227),1),MesCiclo))))</f>
        <v/>
      </c>
      <c r="T227" s="62">
        <f>IF(OR($S227="",$S227&lt;&gt;MesCiclo,$V227&lt;&gt;"Macro"),"",COUNTIFS($S$5:$S227,MesCiclo,$V$5:$V227,"Macro"))</f>
        <v/>
      </c>
      <c r="U227" s="62">
        <f>IF($V227="","",IF($V227="Macro",ROW(),IFERROR(LOOKUP(2,1/($V$5:$V227="Macro"),ROW($V$5:$V227)),0)))</f>
        <v/>
      </c>
      <c r="V227" s="62">
        <f>IF(NOT((COUNTA($B227:$D227)+COUNTA($G227:$L227)+COUNTA($Q227))&gt;0),"",IF($B227="Subactividad","Sub","Macro"))</f>
        <v/>
      </c>
      <c r="W227" s="62">
        <f>IF($V227="Macro",COUNTIFS($U$5:$U$1000,ROW(),$V$5:$V$1000,"Sub"),"")</f>
        <v/>
      </c>
      <c r="X227" s="62">
        <f>IF($V227="","",IF(ISNUMBER($G227),1,IFERROR(LOOKUP(2,1/($I227:$L227&lt;&gt;""),$I227:$L227),0)))</f>
        <v/>
      </c>
      <c r="Y227" s="62">
        <f>IF($V227="","",IF(AND(ISNUMBER($G227),$G227&lt;=IF($S227=MesCiclo,InicioCiclo,$S227+MOD(2-WEEKDAY($S227),7))+6),1,IF(ISNUMBER($I227),$I227,0)))</f>
        <v/>
      </c>
      <c r="Z227" s="62">
        <f>IF($V227="","",IF(AND(ISNUMBER($G227),$G227&lt;=IF($S227=MesCiclo,InicioCiclo,$S227+MOD(2-WEEKDAY($S227),7))+13),1,IF(ISNUMBER($J227),$J227,$Y227)))</f>
        <v/>
      </c>
      <c r="AA227" s="62">
        <f>IF($V227="","",IF(AND(ISNUMBER($G227),$G227&lt;=IF($S227=MesCiclo,InicioCiclo,$S227+MOD(2-WEEKDAY($S227),7))+20),1,IF(ISNUMBER($K227),$K227,$Z227)))</f>
        <v/>
      </c>
      <c r="AB227" s="62">
        <f>IF($V227="","",IF(AND(ISNUMBER($G227),$G227&lt;=IF($S227=MesCiclo,InicioCiclo,$S227+MOD(2-WEEKDAY($S227),7))+27),1,IF(ISNUMBER($L227),$L227,$AA227)))</f>
        <v/>
      </c>
      <c r="AC227" s="62">
        <f>IF($V227="","",IF(AND(ISNUMBER($G227),$G227&lt;=IF($S227=MesCiclo,InicioCiclo,$S227+MOD(2-WEEKDAY($S227),7))+6),1,IF(N($W227)&gt;0,AVERAGEIFS($Y$5:$Y$1000,$U$5:$U$1000,ROW(),$V$5:$V$1000,"Sub"),$Y227)))</f>
        <v/>
      </c>
      <c r="AD227" s="62">
        <f>IF($V227="","",IF(AND(ISNUMBER($G227),$G227&lt;=IF($S227=MesCiclo,InicioCiclo,$S227+MOD(2-WEEKDAY($S227),7))+13),1,IF(N($W227)&gt;0,AVERAGEIFS($Z$5:$Z$1000,$U$5:$U$1000,ROW(),$V$5:$V$1000,"Sub"),$Z227)))</f>
        <v/>
      </c>
      <c r="AE227" s="62">
        <f>IF($V227="","",IF(AND(ISNUMBER($G227),$G227&lt;=IF($S227=MesCiclo,InicioCiclo,$S227+MOD(2-WEEKDAY($S227),7))+20),1,IF(N($W227)&gt;0,AVERAGEIFS($AA$5:$AA$1000,$U$5:$U$1000,ROW(),$V$5:$V$1000,"Sub"),$AA227)))</f>
        <v/>
      </c>
      <c r="AF227" s="62">
        <f>IF($V227="","",IF(AND(ISNUMBER($G227),$G227&lt;=IF($S227=MesCiclo,InicioCiclo,$S227+MOD(2-WEEKDAY($S227),7))+27),1,IF(N($W227)&gt;0,AVERAGEIFS($AB$5:$AB$1000,$U$5:$U$1000,ROW(),$V$5:$V$1000,"Sub"),$AB227)))</f>
        <v/>
      </c>
      <c r="AG227" s="62">
        <f>IF($V227&lt;&gt;"Macro","",IF(COUNTIFS($S$5:$S$1000,$S227,$V$5:$V$1000,"Macro",$H$5:$H$1000,"&gt;0")=0,1/COUNTIFS($S$5:$S$1000,$S227,$V$5:$V$1000,"Macro"),IF(AND(ISNUMBER($H227),N($H227)&gt;0),$H227,SUMIFS($H$5:$H$1000,$S$5:$S$1000,$S227,$V$5:$V$1000,"Macro")/COUNTIFS($S$5:$S$1000,$S227,$V$5:$V$1000,"Macro",$H$5:$H$1000,"&gt;0"))/(COUNTIFS($S$5:$S$1000,$S227,$V$5:$V$1000,"Macro")*SUMIFS($H$5:$H$1000,$S$5:$S$1000,$S227,$V$5:$V$1000,"Macro")/COUNTIFS($S$5:$S$1000,$S227,$V$5:$V$1000,"Macro",$H$5:$H$1000,"&gt;0"))))</f>
        <v/>
      </c>
      <c r="AH227" s="62" t="n"/>
      <c r="AI227" s="62" t="n"/>
      <c r="AJ227" s="62" t="n"/>
      <c r="AK227" s="62" t="n"/>
      <c r="AL227" s="62">
        <f>IF(LEFT($C227,11)="[Jefatura] ",IFERROR(MATCH("Asistente Técnico de Riesgo|"&amp;MID($C227,12,500),rDname_ADM,0),0),"")</f>
        <v/>
      </c>
      <c r="AM227" s="62">
        <f>IF(N($AL227)&gt;0,INDEX(rIni_ADM,$AL227),IF(ISNUMBER($E227),$E227,""))</f>
        <v/>
      </c>
      <c r="AN227" s="62">
        <f>IF(N($AL227)&gt;0,INDEX(rLim_ADM,$AL227),IF(ISNUMBER($F227),$F227,""))</f>
        <v/>
      </c>
    </row>
    <row r="228">
      <c r="A228" s="56">
        <f>IF(NOT((COUNTA($B228:$D228)+COUNTA($G228:$L228)+COUNTA($Q228))&gt;0),"",IF($V228="Macro",COUNTIFS($V$5:$V228,"Macro",$S$5:$S228,$S228),IF(N($U228)=0,"?",COUNTIFS(INDEX($V$5:$V$1000,1):INDEX($V$5:$V$1000,$U228-4),"Macro",INDEX($S$5:$S$1000,1):INDEX($S$5:$S$1000,$U228-4),INDEX($S$5:$S$1000,$U228-4))&amp;"."&amp;COUNTIFS($U$5:$U228,$U228,$V$5:$V228,"Sub"))))</f>
        <v/>
      </c>
      <c r="B228" s="57" t="n"/>
      <c r="C228" s="58" t="n"/>
      <c r="D228" s="58" t="n"/>
      <c r="E228" s="59">
        <f>IF(N($AL228)&gt;0,INDEX(rIni_ADM,$AL228),"")</f>
        <v/>
      </c>
      <c r="F228" s="59">
        <f>IF(N($AL228)&gt;0,INDEX(rLim_ADM,$AL228),"")</f>
        <v/>
      </c>
      <c r="G228" s="59" t="n"/>
      <c r="H228" s="60" t="n"/>
      <c r="I228" s="60" t="n"/>
      <c r="J228" s="60" t="n"/>
      <c r="K228" s="60" t="n"/>
      <c r="L228" s="60" t="n"/>
      <c r="M228" s="61">
        <f>IF(NOT((COUNTA($B228:$D228)+COUNTA($G228:$L228)+COUNTA($Q228))&gt;0),"",IF($V228="Sub",IFERROR($X228/INDEX($W$5:$W$1000,$U228-4),""),IF(ISNUMBER($G228),1,IF(N($W228)&gt;0,AVERAGEIFS($X$5:$X$1000,$U$5:$U$1000,ROW(),$V$5:$V$1000,"Sub"),$X228))))</f>
        <v/>
      </c>
      <c r="N228" s="56">
        <f>IF(OR($M228="",$V228="Sub"),"",IF($M228&gt;=1,"Completado",IF($M228&gt;0,"En curso","Pendiente")))</f>
        <v/>
      </c>
      <c r="O228" s="56">
        <f>IF(OR(NOT((COUNTA($B228:$D228)+COUNTA($G228:$L228)+COUNTA($Q228))&gt;0),$V228="Sub"),"",IF(ISNUMBER($G228),IF(AND(ISNUMBER($AN228),$G228&gt;$AN228),"Cumplida con "&amp;($G228-$AN228)&amp;IF($G228-$AN228=1," día"," días")&amp;" de retraso","Cumplida"),IF(N($M228)&gt;=1,"Cumplida",IF(NOT(ISNUMBER($AN228)),"Sin fecha límite",IF($AN228&lt;FechaRef,"Vencida hace "&amp;(FechaRef-$AN228)&amp;IF(FechaRef-$AN228=1," día"," días"),IF($AN228=FechaRef,"Vence hoy",IF($AN228-FechaRef&lt;=DiasAlerta,"Vence en "&amp;($AN228-FechaRef)&amp;IF($AN228-FechaRef=1," día"," días"),"En plazo")))))))</f>
        <v/>
      </c>
      <c r="P228" s="62" t="n"/>
      <c r="Q228" s="58" t="n"/>
      <c r="R228" s="63">
        <f>IF(NOT((COUNTA($B228:$D228)+COUNTA($G228:$L228)+COUNTA($Q228))&gt;0),"",IF((IF($C228="","Falta el nombre de la actividad"&amp;" · ","")&amp;IF(AND($V228="Sub",N($U228)=0),"Subactividad sin macroactividad arriba"&amp;" · ","")&amp;IF($AM228="","Sin fecha de inicio"&amp;" · ","")&amp;IF($AN228="","Sin fecha límite"&amp;" · ","")&amp;IF(AND(LEFT($C228,11)="[Jefatura] ",N($AL228)=0),"No se encuentra en la hoja de la jefatura (elíjala de nuevo en la lista)"&amp;" · ","")&amp;IF(OR(AND($E228&lt;&gt;"",NOT(ISNUMBER($E228))),AND($F228&lt;&gt;"",NOT(ISNUMBER($F228))),AND($G228&lt;&gt;"",NOT(ISNUMBER($G228)))),"Fecha no válida"&amp;" · ","")&amp;IF(AND(ISNUMBER($AM228),ISNUMBER($AN228),$AM228&gt;$AN228),"Inicio posterior a fecha límite"&amp;" · ","")&amp;IF(AND($V228="Macro",$H228&lt;&gt;"",OR(NOT(ISNUMBER($H228)),$H228&lt;0,$H228&gt;1)),"Peso fuera de rango"&amp;" · ","")&amp;IF(AND($V228="Sub",$H228&lt;&gt;""),"Las subactividades no llevan peso (valen igual dentro de su macroactividad)"&amp;" · ","")&amp;IF(AND(N($W228)&gt;0,COUNT($I228:$L228)&gt;0),"Con subactividades: deje vacías las semanas (se calculan solas)"&amp;" · ","")&amp;IF((COUNTIF($I228:$L228,"&gt;1")+COUNTIF($I228:$L228,"&lt;0")+COUNTA($I228:$L228)-COUNT($I228:$L228))&gt;0,"Avance fuera de rango 0-100%"&amp;" · ","")&amp;IF(OR(AND($J228&lt;&gt;"",$J228&lt;$I228),AND($K228&lt;&gt;"",$K228&lt;MAX($I228:$J228)),AND($L228&lt;&gt;"",$L228&lt;MAX($I228:$K228))),"Avance semanal decreciente"&amp;" · ","")&amp;IF(AND(ISNUMBER($AN228),$AN228&lt;FechaRef,IF($V228="Sub",N($X228),N($M228))&lt;1),"Vencida"&amp;" · ","")&amp;IF(AND(ObsObligatoria="Sí",ISNUMBER($AN228),$AN228&lt;FechaRef,IF($V228="Sub",N($X228),N($M228))&lt;1,$Q228=""),"Vencida sin observación"&amp;" · ",""))="","✔ OK","⚠ "&amp;LEFT(IF($C228="","Falta el nombre de la actividad"&amp;" · ","")&amp;IF(AND($V228="Sub",N($U228)=0),"Subactividad sin macroactividad arriba"&amp;" · ","")&amp;IF($AM228="","Sin fecha de inicio"&amp;" · ","")&amp;IF($AN228="","Sin fecha límite"&amp;" · ","")&amp;IF(AND(LEFT($C228,11)="[Jefatura] ",N($AL228)=0),"No se encuentra en la hoja de la jefatura (elíjala de nuevo en la lista)"&amp;" · ","")&amp;IF(OR(AND($E228&lt;&gt;"",NOT(ISNUMBER($E228))),AND($F228&lt;&gt;"",NOT(ISNUMBER($F228))),AND($G228&lt;&gt;"",NOT(ISNUMBER($G228)))),"Fecha no válida"&amp;" · ","")&amp;IF(AND(ISNUMBER($AM228),ISNUMBER($AN228),$AM228&gt;$AN228),"Inicio posterior a fecha límite"&amp;" · ","")&amp;IF(AND($V228="Macro",$H228&lt;&gt;"",OR(NOT(ISNUMBER($H228)),$H228&lt;0,$H228&gt;1)),"Peso fuera de rango"&amp;" · ","")&amp;IF(AND($V228="Sub",$H228&lt;&gt;""),"Las subactividades no llevan peso (valen igual dentro de su macroactividad)"&amp;" · ","")&amp;IF(AND(N($W228)&gt;0,COUNT($I228:$L228)&gt;0),"Con subactividades: deje vacías las semanas (se calculan solas)"&amp;" · ","")&amp;IF((COUNTIF($I228:$L228,"&gt;1")+COUNTIF($I228:$L228,"&lt;0")+COUNTA($I228:$L228)-COUNT($I228:$L228))&gt;0,"Avance fuera de rango 0-100%"&amp;" · ","")&amp;IF(OR(AND($J228&lt;&gt;"",$J228&lt;$I228),AND($K228&lt;&gt;"",$K228&lt;MAX($I228:$J228)),AND($L228&lt;&gt;"",$L228&lt;MAX($I228:$K228))),"Avance semanal decreciente"&amp;" · ","")&amp;IF(AND(ISNUMBER($AN228),$AN228&lt;FechaRef,IF($V228="Sub",N($X228),N($M228))&lt;1),"Vencida"&amp;" · ","")&amp;IF(AND(ObsObligatoria="Sí",ISNUMBER($AN228),$AN228&lt;FechaRef,IF($V228="Sub",N($X228),N($M228))&lt;1,$Q228=""),"Vencida sin observación"&amp;" · ",""),LEN(IF($C228="","Falta el nombre de la actividad"&amp;" · ","")&amp;IF(AND($V228="Sub",N($U228)=0),"Subactividad sin macroactividad arriba"&amp;" · ","")&amp;IF($AM228="","Sin fecha de inicio"&amp;" · ","")&amp;IF($AN228="","Sin fecha límite"&amp;" · ","")&amp;IF(AND(LEFT($C228,11)="[Jefatura] ",N($AL228)=0),"No se encuentra en la hoja de la jefatura (elíjala de nuevo en la lista)"&amp;" · ","")&amp;IF(OR(AND($E228&lt;&gt;"",NOT(ISNUMBER($E228))),AND($F228&lt;&gt;"",NOT(ISNUMBER($F228))),AND($G228&lt;&gt;"",NOT(ISNUMBER($G228)))),"Fecha no válida"&amp;" · ","")&amp;IF(AND(ISNUMBER($AM228),ISNUMBER($AN228),$AM228&gt;$AN228),"Inicio posterior a fecha límite"&amp;" · ","")&amp;IF(AND($V228="Macro",$H228&lt;&gt;"",OR(NOT(ISNUMBER($H228)),$H228&lt;0,$H228&gt;1)),"Peso fuera de rango"&amp;" · ","")&amp;IF(AND($V228="Sub",$H228&lt;&gt;""),"Las subactividades no llevan peso (valen igual dentro de su macroactividad)"&amp;" · ","")&amp;IF(AND(N($W228)&gt;0,COUNT($I228:$L228)&gt;0),"Con subactividades: deje vacías las semanas (se calculan solas)"&amp;" · ","")&amp;IF((COUNTIF($I228:$L228,"&gt;1")+COUNTIF($I228:$L228,"&lt;0")+COUNTA($I228:$L228)-COUNT($I228:$L228))&gt;0,"Avance fuera de rango 0-100%"&amp;" · ","")&amp;IF(OR(AND($J228&lt;&gt;"",$J228&lt;$I228),AND($K228&lt;&gt;"",$K228&lt;MAX($I228:$J228)),AND($L228&lt;&gt;"",$L228&lt;MAX($I228:$K228))),"Avance semanal decreciente"&amp;" · ","")&amp;IF(AND(ISNUMBER($AN228),$AN228&lt;FechaRef,IF($V228="Sub",N($X228),N($M228))&lt;1),"Vencida"&amp;" · ","")&amp;IF(AND(ObsObligatoria="Sí",ISNUMBER($AN228),$AN228&lt;FechaRef,IF($V228="Sub",N($X228),N($M228))&lt;1,$Q228=""),"Vencida sin observación"&amp;" · ",""))-3)))</f>
        <v/>
      </c>
      <c r="S228" s="64">
        <f>IF(NOT((COUNTA($B228:$D228)+COUNTA($G228:$L228)+COUNTA($Q228))&gt;0),"",IF(AND($V228="Sub",N($U228)&gt;0),IF(ISNUMBER(INDEX($AM$5:$AM$1000,$U228-4)),DATE(YEAR(INDEX($AM$5:$AM$1000,$U228-4)),MONTH(INDEX($AM$5:$AM$1000,$U228-4)),1),IF(ISNUMBER(INDEX($AN$5:$AN$1000,$U228-4)),DATE(YEAR(INDEX($AN$5:$AN$1000,$U228-4)),MONTH(INDEX($AN$5:$AN$1000,$U228-4)),1),MesCiclo)),IF(ISNUMBER($AM228),DATE(YEAR($AM228),MONTH($AM228),1),IF(ISNUMBER($AN228),DATE(YEAR($AN228),MONTH($AN228),1),MesCiclo))))</f>
        <v/>
      </c>
      <c r="T228" s="62">
        <f>IF(OR($S228="",$S228&lt;&gt;MesCiclo,$V228&lt;&gt;"Macro"),"",COUNTIFS($S$5:$S228,MesCiclo,$V$5:$V228,"Macro"))</f>
        <v/>
      </c>
      <c r="U228" s="62">
        <f>IF($V228="","",IF($V228="Macro",ROW(),IFERROR(LOOKUP(2,1/($V$5:$V228="Macro"),ROW($V$5:$V228)),0)))</f>
        <v/>
      </c>
      <c r="V228" s="62">
        <f>IF(NOT((COUNTA($B228:$D228)+COUNTA($G228:$L228)+COUNTA($Q228))&gt;0),"",IF($B228="Subactividad","Sub","Macro"))</f>
        <v/>
      </c>
      <c r="W228" s="62">
        <f>IF($V228="Macro",COUNTIFS($U$5:$U$1000,ROW(),$V$5:$V$1000,"Sub"),"")</f>
        <v/>
      </c>
      <c r="X228" s="62">
        <f>IF($V228="","",IF(ISNUMBER($G228),1,IFERROR(LOOKUP(2,1/($I228:$L228&lt;&gt;""),$I228:$L228),0)))</f>
        <v/>
      </c>
      <c r="Y228" s="62">
        <f>IF($V228="","",IF(AND(ISNUMBER($G228),$G228&lt;=IF($S228=MesCiclo,InicioCiclo,$S228+MOD(2-WEEKDAY($S228),7))+6),1,IF(ISNUMBER($I228),$I228,0)))</f>
        <v/>
      </c>
      <c r="Z228" s="62">
        <f>IF($V228="","",IF(AND(ISNUMBER($G228),$G228&lt;=IF($S228=MesCiclo,InicioCiclo,$S228+MOD(2-WEEKDAY($S228),7))+13),1,IF(ISNUMBER($J228),$J228,$Y228)))</f>
        <v/>
      </c>
      <c r="AA228" s="62">
        <f>IF($V228="","",IF(AND(ISNUMBER($G228),$G228&lt;=IF($S228=MesCiclo,InicioCiclo,$S228+MOD(2-WEEKDAY($S228),7))+20),1,IF(ISNUMBER($K228),$K228,$Z228)))</f>
        <v/>
      </c>
      <c r="AB228" s="62">
        <f>IF($V228="","",IF(AND(ISNUMBER($G228),$G228&lt;=IF($S228=MesCiclo,InicioCiclo,$S228+MOD(2-WEEKDAY($S228),7))+27),1,IF(ISNUMBER($L228),$L228,$AA228)))</f>
        <v/>
      </c>
      <c r="AC228" s="62">
        <f>IF($V228="","",IF(AND(ISNUMBER($G228),$G228&lt;=IF($S228=MesCiclo,InicioCiclo,$S228+MOD(2-WEEKDAY($S228),7))+6),1,IF(N($W228)&gt;0,AVERAGEIFS($Y$5:$Y$1000,$U$5:$U$1000,ROW(),$V$5:$V$1000,"Sub"),$Y228)))</f>
        <v/>
      </c>
      <c r="AD228" s="62">
        <f>IF($V228="","",IF(AND(ISNUMBER($G228),$G228&lt;=IF($S228=MesCiclo,InicioCiclo,$S228+MOD(2-WEEKDAY($S228),7))+13),1,IF(N($W228)&gt;0,AVERAGEIFS($Z$5:$Z$1000,$U$5:$U$1000,ROW(),$V$5:$V$1000,"Sub"),$Z228)))</f>
        <v/>
      </c>
      <c r="AE228" s="62">
        <f>IF($V228="","",IF(AND(ISNUMBER($G228),$G228&lt;=IF($S228=MesCiclo,InicioCiclo,$S228+MOD(2-WEEKDAY($S228),7))+20),1,IF(N($W228)&gt;0,AVERAGEIFS($AA$5:$AA$1000,$U$5:$U$1000,ROW(),$V$5:$V$1000,"Sub"),$AA228)))</f>
        <v/>
      </c>
      <c r="AF228" s="62">
        <f>IF($V228="","",IF(AND(ISNUMBER($G228),$G228&lt;=IF($S228=MesCiclo,InicioCiclo,$S228+MOD(2-WEEKDAY($S228),7))+27),1,IF(N($W228)&gt;0,AVERAGEIFS($AB$5:$AB$1000,$U$5:$U$1000,ROW(),$V$5:$V$1000,"Sub"),$AB228)))</f>
        <v/>
      </c>
      <c r="AG228" s="62">
        <f>IF($V228&lt;&gt;"Macro","",IF(COUNTIFS($S$5:$S$1000,$S228,$V$5:$V$1000,"Macro",$H$5:$H$1000,"&gt;0")=0,1/COUNTIFS($S$5:$S$1000,$S228,$V$5:$V$1000,"Macro"),IF(AND(ISNUMBER($H228),N($H228)&gt;0),$H228,SUMIFS($H$5:$H$1000,$S$5:$S$1000,$S228,$V$5:$V$1000,"Macro")/COUNTIFS($S$5:$S$1000,$S228,$V$5:$V$1000,"Macro",$H$5:$H$1000,"&gt;0"))/(COUNTIFS($S$5:$S$1000,$S228,$V$5:$V$1000,"Macro")*SUMIFS($H$5:$H$1000,$S$5:$S$1000,$S228,$V$5:$V$1000,"Macro")/COUNTIFS($S$5:$S$1000,$S228,$V$5:$V$1000,"Macro",$H$5:$H$1000,"&gt;0"))))</f>
        <v/>
      </c>
      <c r="AH228" s="62" t="n"/>
      <c r="AI228" s="62" t="n"/>
      <c r="AJ228" s="62" t="n"/>
      <c r="AK228" s="62" t="n"/>
      <c r="AL228" s="62">
        <f>IF(LEFT($C228,11)="[Jefatura] ",IFERROR(MATCH("Asistente Técnico de Riesgo|"&amp;MID($C228,12,500),rDname_ADM,0),0),"")</f>
        <v/>
      </c>
      <c r="AM228" s="62">
        <f>IF(N($AL228)&gt;0,INDEX(rIni_ADM,$AL228),IF(ISNUMBER($E228),$E228,""))</f>
        <v/>
      </c>
      <c r="AN228" s="62">
        <f>IF(N($AL228)&gt;0,INDEX(rLim_ADM,$AL228),IF(ISNUMBER($F228),$F228,""))</f>
        <v/>
      </c>
    </row>
    <row r="229">
      <c r="A229" s="56">
        <f>IF(NOT((COUNTA($B229:$D229)+COUNTA($G229:$L229)+COUNTA($Q229))&gt;0),"",IF($V229="Macro",COUNTIFS($V$5:$V229,"Macro",$S$5:$S229,$S229),IF(N($U229)=0,"?",COUNTIFS(INDEX($V$5:$V$1000,1):INDEX($V$5:$V$1000,$U229-4),"Macro",INDEX($S$5:$S$1000,1):INDEX($S$5:$S$1000,$U229-4),INDEX($S$5:$S$1000,$U229-4))&amp;"."&amp;COUNTIFS($U$5:$U229,$U229,$V$5:$V229,"Sub"))))</f>
        <v/>
      </c>
      <c r="B229" s="57" t="n"/>
      <c r="C229" s="58" t="n"/>
      <c r="D229" s="58" t="n"/>
      <c r="E229" s="59">
        <f>IF(N($AL229)&gt;0,INDEX(rIni_ADM,$AL229),"")</f>
        <v/>
      </c>
      <c r="F229" s="59">
        <f>IF(N($AL229)&gt;0,INDEX(rLim_ADM,$AL229),"")</f>
        <v/>
      </c>
      <c r="G229" s="59" t="n"/>
      <c r="H229" s="60" t="n"/>
      <c r="I229" s="60" t="n"/>
      <c r="J229" s="60" t="n"/>
      <c r="K229" s="60" t="n"/>
      <c r="L229" s="60" t="n"/>
      <c r="M229" s="61">
        <f>IF(NOT((COUNTA($B229:$D229)+COUNTA($G229:$L229)+COUNTA($Q229))&gt;0),"",IF($V229="Sub",IFERROR($X229/INDEX($W$5:$W$1000,$U229-4),""),IF(ISNUMBER($G229),1,IF(N($W229)&gt;0,AVERAGEIFS($X$5:$X$1000,$U$5:$U$1000,ROW(),$V$5:$V$1000,"Sub"),$X229))))</f>
        <v/>
      </c>
      <c r="N229" s="56">
        <f>IF(OR($M229="",$V229="Sub"),"",IF($M229&gt;=1,"Completado",IF($M229&gt;0,"En curso","Pendiente")))</f>
        <v/>
      </c>
      <c r="O229" s="56">
        <f>IF(OR(NOT((COUNTA($B229:$D229)+COUNTA($G229:$L229)+COUNTA($Q229))&gt;0),$V229="Sub"),"",IF(ISNUMBER($G229),IF(AND(ISNUMBER($AN229),$G229&gt;$AN229),"Cumplida con "&amp;($G229-$AN229)&amp;IF($G229-$AN229=1," día"," días")&amp;" de retraso","Cumplida"),IF(N($M229)&gt;=1,"Cumplida",IF(NOT(ISNUMBER($AN229)),"Sin fecha límite",IF($AN229&lt;FechaRef,"Vencida hace "&amp;(FechaRef-$AN229)&amp;IF(FechaRef-$AN229=1," día"," días"),IF($AN229=FechaRef,"Vence hoy",IF($AN229-FechaRef&lt;=DiasAlerta,"Vence en "&amp;($AN229-FechaRef)&amp;IF($AN229-FechaRef=1," día"," días"),"En plazo")))))))</f>
        <v/>
      </c>
      <c r="P229" s="62" t="n"/>
      <c r="Q229" s="58" t="n"/>
      <c r="R229" s="63">
        <f>IF(NOT((COUNTA($B229:$D229)+COUNTA($G229:$L229)+COUNTA($Q229))&gt;0),"",IF((IF($C229="","Falta el nombre de la actividad"&amp;" · ","")&amp;IF(AND($V229="Sub",N($U229)=0),"Subactividad sin macroactividad arriba"&amp;" · ","")&amp;IF($AM229="","Sin fecha de inicio"&amp;" · ","")&amp;IF($AN229="","Sin fecha límite"&amp;" · ","")&amp;IF(AND(LEFT($C229,11)="[Jefatura] ",N($AL229)=0),"No se encuentra en la hoja de la jefatura (elíjala de nuevo en la lista)"&amp;" · ","")&amp;IF(OR(AND($E229&lt;&gt;"",NOT(ISNUMBER($E229))),AND($F229&lt;&gt;"",NOT(ISNUMBER($F229))),AND($G229&lt;&gt;"",NOT(ISNUMBER($G229)))),"Fecha no válida"&amp;" · ","")&amp;IF(AND(ISNUMBER($AM229),ISNUMBER($AN229),$AM229&gt;$AN229),"Inicio posterior a fecha límite"&amp;" · ","")&amp;IF(AND($V229="Macro",$H229&lt;&gt;"",OR(NOT(ISNUMBER($H229)),$H229&lt;0,$H229&gt;1)),"Peso fuera de rango"&amp;" · ","")&amp;IF(AND($V229="Sub",$H229&lt;&gt;""),"Las subactividades no llevan peso (valen igual dentro de su macroactividad)"&amp;" · ","")&amp;IF(AND(N($W229)&gt;0,COUNT($I229:$L229)&gt;0),"Con subactividades: deje vacías las semanas (se calculan solas)"&amp;" · ","")&amp;IF((COUNTIF($I229:$L229,"&gt;1")+COUNTIF($I229:$L229,"&lt;0")+COUNTA($I229:$L229)-COUNT($I229:$L229))&gt;0,"Avance fuera de rango 0-100%"&amp;" · ","")&amp;IF(OR(AND($J229&lt;&gt;"",$J229&lt;$I229),AND($K229&lt;&gt;"",$K229&lt;MAX($I229:$J229)),AND($L229&lt;&gt;"",$L229&lt;MAX($I229:$K229))),"Avance semanal decreciente"&amp;" · ","")&amp;IF(AND(ISNUMBER($AN229),$AN229&lt;FechaRef,IF($V229="Sub",N($X229),N($M229))&lt;1),"Vencida"&amp;" · ","")&amp;IF(AND(ObsObligatoria="Sí",ISNUMBER($AN229),$AN229&lt;FechaRef,IF($V229="Sub",N($X229),N($M229))&lt;1,$Q229=""),"Vencida sin observación"&amp;" · ",""))="","✔ OK","⚠ "&amp;LEFT(IF($C229="","Falta el nombre de la actividad"&amp;" · ","")&amp;IF(AND($V229="Sub",N($U229)=0),"Subactividad sin macroactividad arriba"&amp;" · ","")&amp;IF($AM229="","Sin fecha de inicio"&amp;" · ","")&amp;IF($AN229="","Sin fecha límite"&amp;" · ","")&amp;IF(AND(LEFT($C229,11)="[Jefatura] ",N($AL229)=0),"No se encuentra en la hoja de la jefatura (elíjala de nuevo en la lista)"&amp;" · ","")&amp;IF(OR(AND($E229&lt;&gt;"",NOT(ISNUMBER($E229))),AND($F229&lt;&gt;"",NOT(ISNUMBER($F229))),AND($G229&lt;&gt;"",NOT(ISNUMBER($G229)))),"Fecha no válida"&amp;" · ","")&amp;IF(AND(ISNUMBER($AM229),ISNUMBER($AN229),$AM229&gt;$AN229),"Inicio posterior a fecha límite"&amp;" · ","")&amp;IF(AND($V229="Macro",$H229&lt;&gt;"",OR(NOT(ISNUMBER($H229)),$H229&lt;0,$H229&gt;1)),"Peso fuera de rango"&amp;" · ","")&amp;IF(AND($V229="Sub",$H229&lt;&gt;""),"Las subactividades no llevan peso (valen igual dentro de su macroactividad)"&amp;" · ","")&amp;IF(AND(N($W229)&gt;0,COUNT($I229:$L229)&gt;0),"Con subactividades: deje vacías las semanas (se calculan solas)"&amp;" · ","")&amp;IF((COUNTIF($I229:$L229,"&gt;1")+COUNTIF($I229:$L229,"&lt;0")+COUNTA($I229:$L229)-COUNT($I229:$L229))&gt;0,"Avance fuera de rango 0-100%"&amp;" · ","")&amp;IF(OR(AND($J229&lt;&gt;"",$J229&lt;$I229),AND($K229&lt;&gt;"",$K229&lt;MAX($I229:$J229)),AND($L229&lt;&gt;"",$L229&lt;MAX($I229:$K229))),"Avance semanal decreciente"&amp;" · ","")&amp;IF(AND(ISNUMBER($AN229),$AN229&lt;FechaRef,IF($V229="Sub",N($X229),N($M229))&lt;1),"Vencida"&amp;" · ","")&amp;IF(AND(ObsObligatoria="Sí",ISNUMBER($AN229),$AN229&lt;FechaRef,IF($V229="Sub",N($X229),N($M229))&lt;1,$Q229=""),"Vencida sin observación"&amp;" · ",""),LEN(IF($C229="","Falta el nombre de la actividad"&amp;" · ","")&amp;IF(AND($V229="Sub",N($U229)=0),"Subactividad sin macroactividad arriba"&amp;" · ","")&amp;IF($AM229="","Sin fecha de inicio"&amp;" · ","")&amp;IF($AN229="","Sin fecha límite"&amp;" · ","")&amp;IF(AND(LEFT($C229,11)="[Jefatura] ",N($AL229)=0),"No se encuentra en la hoja de la jefatura (elíjala de nuevo en la lista)"&amp;" · ","")&amp;IF(OR(AND($E229&lt;&gt;"",NOT(ISNUMBER($E229))),AND($F229&lt;&gt;"",NOT(ISNUMBER($F229))),AND($G229&lt;&gt;"",NOT(ISNUMBER($G229)))),"Fecha no válida"&amp;" · ","")&amp;IF(AND(ISNUMBER($AM229),ISNUMBER($AN229),$AM229&gt;$AN229),"Inicio posterior a fecha límite"&amp;" · ","")&amp;IF(AND($V229="Macro",$H229&lt;&gt;"",OR(NOT(ISNUMBER($H229)),$H229&lt;0,$H229&gt;1)),"Peso fuera de rango"&amp;" · ","")&amp;IF(AND($V229="Sub",$H229&lt;&gt;""),"Las subactividades no llevan peso (valen igual dentro de su macroactividad)"&amp;" · ","")&amp;IF(AND(N($W229)&gt;0,COUNT($I229:$L229)&gt;0),"Con subactividades: deje vacías las semanas (se calculan solas)"&amp;" · ","")&amp;IF((COUNTIF($I229:$L229,"&gt;1")+COUNTIF($I229:$L229,"&lt;0")+COUNTA($I229:$L229)-COUNT($I229:$L229))&gt;0,"Avance fuera de rango 0-100%"&amp;" · ","")&amp;IF(OR(AND($J229&lt;&gt;"",$J229&lt;$I229),AND($K229&lt;&gt;"",$K229&lt;MAX($I229:$J229)),AND($L229&lt;&gt;"",$L229&lt;MAX($I229:$K229))),"Avance semanal decreciente"&amp;" · ","")&amp;IF(AND(ISNUMBER($AN229),$AN229&lt;FechaRef,IF($V229="Sub",N($X229),N($M229))&lt;1),"Vencida"&amp;" · ","")&amp;IF(AND(ObsObligatoria="Sí",ISNUMBER($AN229),$AN229&lt;FechaRef,IF($V229="Sub",N($X229),N($M229))&lt;1,$Q229=""),"Vencida sin observación"&amp;" · ",""))-3)))</f>
        <v/>
      </c>
      <c r="S229" s="64">
        <f>IF(NOT((COUNTA($B229:$D229)+COUNTA($G229:$L229)+COUNTA($Q229))&gt;0),"",IF(AND($V229="Sub",N($U229)&gt;0),IF(ISNUMBER(INDEX($AM$5:$AM$1000,$U229-4)),DATE(YEAR(INDEX($AM$5:$AM$1000,$U229-4)),MONTH(INDEX($AM$5:$AM$1000,$U229-4)),1),IF(ISNUMBER(INDEX($AN$5:$AN$1000,$U229-4)),DATE(YEAR(INDEX($AN$5:$AN$1000,$U229-4)),MONTH(INDEX($AN$5:$AN$1000,$U229-4)),1),MesCiclo)),IF(ISNUMBER($AM229),DATE(YEAR($AM229),MONTH($AM229),1),IF(ISNUMBER($AN229),DATE(YEAR($AN229),MONTH($AN229),1),MesCiclo))))</f>
        <v/>
      </c>
      <c r="T229" s="62">
        <f>IF(OR($S229="",$S229&lt;&gt;MesCiclo,$V229&lt;&gt;"Macro"),"",COUNTIFS($S$5:$S229,MesCiclo,$V$5:$V229,"Macro"))</f>
        <v/>
      </c>
      <c r="U229" s="62">
        <f>IF($V229="","",IF($V229="Macro",ROW(),IFERROR(LOOKUP(2,1/($V$5:$V229="Macro"),ROW($V$5:$V229)),0)))</f>
        <v/>
      </c>
      <c r="V229" s="62">
        <f>IF(NOT((COUNTA($B229:$D229)+COUNTA($G229:$L229)+COUNTA($Q229))&gt;0),"",IF($B229="Subactividad","Sub","Macro"))</f>
        <v/>
      </c>
      <c r="W229" s="62">
        <f>IF($V229="Macro",COUNTIFS($U$5:$U$1000,ROW(),$V$5:$V$1000,"Sub"),"")</f>
        <v/>
      </c>
      <c r="X229" s="62">
        <f>IF($V229="","",IF(ISNUMBER($G229),1,IFERROR(LOOKUP(2,1/($I229:$L229&lt;&gt;""),$I229:$L229),0)))</f>
        <v/>
      </c>
      <c r="Y229" s="62">
        <f>IF($V229="","",IF(AND(ISNUMBER($G229),$G229&lt;=IF($S229=MesCiclo,InicioCiclo,$S229+MOD(2-WEEKDAY($S229),7))+6),1,IF(ISNUMBER($I229),$I229,0)))</f>
        <v/>
      </c>
      <c r="Z229" s="62">
        <f>IF($V229="","",IF(AND(ISNUMBER($G229),$G229&lt;=IF($S229=MesCiclo,InicioCiclo,$S229+MOD(2-WEEKDAY($S229),7))+13),1,IF(ISNUMBER($J229),$J229,$Y229)))</f>
        <v/>
      </c>
      <c r="AA229" s="62">
        <f>IF($V229="","",IF(AND(ISNUMBER($G229),$G229&lt;=IF($S229=MesCiclo,InicioCiclo,$S229+MOD(2-WEEKDAY($S229),7))+20),1,IF(ISNUMBER($K229),$K229,$Z229)))</f>
        <v/>
      </c>
      <c r="AB229" s="62">
        <f>IF($V229="","",IF(AND(ISNUMBER($G229),$G229&lt;=IF($S229=MesCiclo,InicioCiclo,$S229+MOD(2-WEEKDAY($S229),7))+27),1,IF(ISNUMBER($L229),$L229,$AA229)))</f>
        <v/>
      </c>
      <c r="AC229" s="62">
        <f>IF($V229="","",IF(AND(ISNUMBER($G229),$G229&lt;=IF($S229=MesCiclo,InicioCiclo,$S229+MOD(2-WEEKDAY($S229),7))+6),1,IF(N($W229)&gt;0,AVERAGEIFS($Y$5:$Y$1000,$U$5:$U$1000,ROW(),$V$5:$V$1000,"Sub"),$Y229)))</f>
        <v/>
      </c>
      <c r="AD229" s="62">
        <f>IF($V229="","",IF(AND(ISNUMBER($G229),$G229&lt;=IF($S229=MesCiclo,InicioCiclo,$S229+MOD(2-WEEKDAY($S229),7))+13),1,IF(N($W229)&gt;0,AVERAGEIFS($Z$5:$Z$1000,$U$5:$U$1000,ROW(),$V$5:$V$1000,"Sub"),$Z229)))</f>
        <v/>
      </c>
      <c r="AE229" s="62">
        <f>IF($V229="","",IF(AND(ISNUMBER($G229),$G229&lt;=IF($S229=MesCiclo,InicioCiclo,$S229+MOD(2-WEEKDAY($S229),7))+20),1,IF(N($W229)&gt;0,AVERAGEIFS($AA$5:$AA$1000,$U$5:$U$1000,ROW(),$V$5:$V$1000,"Sub"),$AA229)))</f>
        <v/>
      </c>
      <c r="AF229" s="62">
        <f>IF($V229="","",IF(AND(ISNUMBER($G229),$G229&lt;=IF($S229=MesCiclo,InicioCiclo,$S229+MOD(2-WEEKDAY($S229),7))+27),1,IF(N($W229)&gt;0,AVERAGEIFS($AB$5:$AB$1000,$U$5:$U$1000,ROW(),$V$5:$V$1000,"Sub"),$AB229)))</f>
        <v/>
      </c>
      <c r="AG229" s="62">
        <f>IF($V229&lt;&gt;"Macro","",IF(COUNTIFS($S$5:$S$1000,$S229,$V$5:$V$1000,"Macro",$H$5:$H$1000,"&gt;0")=0,1/COUNTIFS($S$5:$S$1000,$S229,$V$5:$V$1000,"Macro"),IF(AND(ISNUMBER($H229),N($H229)&gt;0),$H229,SUMIFS($H$5:$H$1000,$S$5:$S$1000,$S229,$V$5:$V$1000,"Macro")/COUNTIFS($S$5:$S$1000,$S229,$V$5:$V$1000,"Macro",$H$5:$H$1000,"&gt;0"))/(COUNTIFS($S$5:$S$1000,$S229,$V$5:$V$1000,"Macro")*SUMIFS($H$5:$H$1000,$S$5:$S$1000,$S229,$V$5:$V$1000,"Macro")/COUNTIFS($S$5:$S$1000,$S229,$V$5:$V$1000,"Macro",$H$5:$H$1000,"&gt;0"))))</f>
        <v/>
      </c>
      <c r="AH229" s="62" t="n"/>
      <c r="AI229" s="62" t="n"/>
      <c r="AJ229" s="62" t="n"/>
      <c r="AK229" s="62" t="n"/>
      <c r="AL229" s="62">
        <f>IF(LEFT($C229,11)="[Jefatura] ",IFERROR(MATCH("Asistente Técnico de Riesgo|"&amp;MID($C229,12,500),rDname_ADM,0),0),"")</f>
        <v/>
      </c>
      <c r="AM229" s="62">
        <f>IF(N($AL229)&gt;0,INDEX(rIni_ADM,$AL229),IF(ISNUMBER($E229),$E229,""))</f>
        <v/>
      </c>
      <c r="AN229" s="62">
        <f>IF(N($AL229)&gt;0,INDEX(rLim_ADM,$AL229),IF(ISNUMBER($F229),$F229,""))</f>
        <v/>
      </c>
    </row>
    <row r="230">
      <c r="A230" s="56">
        <f>IF(NOT((COUNTA($B230:$D230)+COUNTA($G230:$L230)+COUNTA($Q230))&gt;0),"",IF($V230="Macro",COUNTIFS($V$5:$V230,"Macro",$S$5:$S230,$S230),IF(N($U230)=0,"?",COUNTIFS(INDEX($V$5:$V$1000,1):INDEX($V$5:$V$1000,$U230-4),"Macro",INDEX($S$5:$S$1000,1):INDEX($S$5:$S$1000,$U230-4),INDEX($S$5:$S$1000,$U230-4))&amp;"."&amp;COUNTIFS($U$5:$U230,$U230,$V$5:$V230,"Sub"))))</f>
        <v/>
      </c>
      <c r="B230" s="57" t="n"/>
      <c r="C230" s="58" t="n"/>
      <c r="D230" s="58" t="n"/>
      <c r="E230" s="59">
        <f>IF(N($AL230)&gt;0,INDEX(rIni_ADM,$AL230),"")</f>
        <v/>
      </c>
      <c r="F230" s="59">
        <f>IF(N($AL230)&gt;0,INDEX(rLim_ADM,$AL230),"")</f>
        <v/>
      </c>
      <c r="G230" s="59" t="n"/>
      <c r="H230" s="60" t="n"/>
      <c r="I230" s="60" t="n"/>
      <c r="J230" s="60" t="n"/>
      <c r="K230" s="60" t="n"/>
      <c r="L230" s="60" t="n"/>
      <c r="M230" s="61">
        <f>IF(NOT((COUNTA($B230:$D230)+COUNTA($G230:$L230)+COUNTA($Q230))&gt;0),"",IF($V230="Sub",IFERROR($X230/INDEX($W$5:$W$1000,$U230-4),""),IF(ISNUMBER($G230),1,IF(N($W230)&gt;0,AVERAGEIFS($X$5:$X$1000,$U$5:$U$1000,ROW(),$V$5:$V$1000,"Sub"),$X230))))</f>
        <v/>
      </c>
      <c r="N230" s="56">
        <f>IF(OR($M230="",$V230="Sub"),"",IF($M230&gt;=1,"Completado",IF($M230&gt;0,"En curso","Pendiente")))</f>
        <v/>
      </c>
      <c r="O230" s="56">
        <f>IF(OR(NOT((COUNTA($B230:$D230)+COUNTA($G230:$L230)+COUNTA($Q230))&gt;0),$V230="Sub"),"",IF(ISNUMBER($G230),IF(AND(ISNUMBER($AN230),$G230&gt;$AN230),"Cumplida con "&amp;($G230-$AN230)&amp;IF($G230-$AN230=1," día"," días")&amp;" de retraso","Cumplida"),IF(N($M230)&gt;=1,"Cumplida",IF(NOT(ISNUMBER($AN230)),"Sin fecha límite",IF($AN230&lt;FechaRef,"Vencida hace "&amp;(FechaRef-$AN230)&amp;IF(FechaRef-$AN230=1," día"," días"),IF($AN230=FechaRef,"Vence hoy",IF($AN230-FechaRef&lt;=DiasAlerta,"Vence en "&amp;($AN230-FechaRef)&amp;IF($AN230-FechaRef=1," día"," días"),"En plazo")))))))</f>
        <v/>
      </c>
      <c r="P230" s="62" t="n"/>
      <c r="Q230" s="58" t="n"/>
      <c r="R230" s="63">
        <f>IF(NOT((COUNTA($B230:$D230)+COUNTA($G230:$L230)+COUNTA($Q230))&gt;0),"",IF((IF($C230="","Falta el nombre de la actividad"&amp;" · ","")&amp;IF(AND($V230="Sub",N($U230)=0),"Subactividad sin macroactividad arriba"&amp;" · ","")&amp;IF($AM230="","Sin fecha de inicio"&amp;" · ","")&amp;IF($AN230="","Sin fecha límite"&amp;" · ","")&amp;IF(AND(LEFT($C230,11)="[Jefatura] ",N($AL230)=0),"No se encuentra en la hoja de la jefatura (elíjala de nuevo en la lista)"&amp;" · ","")&amp;IF(OR(AND($E230&lt;&gt;"",NOT(ISNUMBER($E230))),AND($F230&lt;&gt;"",NOT(ISNUMBER($F230))),AND($G230&lt;&gt;"",NOT(ISNUMBER($G230)))),"Fecha no válida"&amp;" · ","")&amp;IF(AND(ISNUMBER($AM230),ISNUMBER($AN230),$AM230&gt;$AN230),"Inicio posterior a fecha límite"&amp;" · ","")&amp;IF(AND($V230="Macro",$H230&lt;&gt;"",OR(NOT(ISNUMBER($H230)),$H230&lt;0,$H230&gt;1)),"Peso fuera de rango"&amp;" · ","")&amp;IF(AND($V230="Sub",$H230&lt;&gt;""),"Las subactividades no llevan peso (valen igual dentro de su macroactividad)"&amp;" · ","")&amp;IF(AND(N($W230)&gt;0,COUNT($I230:$L230)&gt;0),"Con subactividades: deje vacías las semanas (se calculan solas)"&amp;" · ","")&amp;IF((COUNTIF($I230:$L230,"&gt;1")+COUNTIF($I230:$L230,"&lt;0")+COUNTA($I230:$L230)-COUNT($I230:$L230))&gt;0,"Avance fuera de rango 0-100%"&amp;" · ","")&amp;IF(OR(AND($J230&lt;&gt;"",$J230&lt;$I230),AND($K230&lt;&gt;"",$K230&lt;MAX($I230:$J230)),AND($L230&lt;&gt;"",$L230&lt;MAX($I230:$K230))),"Avance semanal decreciente"&amp;" · ","")&amp;IF(AND(ISNUMBER($AN230),$AN230&lt;FechaRef,IF($V230="Sub",N($X230),N($M230))&lt;1),"Vencida"&amp;" · ","")&amp;IF(AND(ObsObligatoria="Sí",ISNUMBER($AN230),$AN230&lt;FechaRef,IF($V230="Sub",N($X230),N($M230))&lt;1,$Q230=""),"Vencida sin observación"&amp;" · ",""))="","✔ OK","⚠ "&amp;LEFT(IF($C230="","Falta el nombre de la actividad"&amp;" · ","")&amp;IF(AND($V230="Sub",N($U230)=0),"Subactividad sin macroactividad arriba"&amp;" · ","")&amp;IF($AM230="","Sin fecha de inicio"&amp;" · ","")&amp;IF($AN230="","Sin fecha límite"&amp;" · ","")&amp;IF(AND(LEFT($C230,11)="[Jefatura] ",N($AL230)=0),"No se encuentra en la hoja de la jefatura (elíjala de nuevo en la lista)"&amp;" · ","")&amp;IF(OR(AND($E230&lt;&gt;"",NOT(ISNUMBER($E230))),AND($F230&lt;&gt;"",NOT(ISNUMBER($F230))),AND($G230&lt;&gt;"",NOT(ISNUMBER($G230)))),"Fecha no válida"&amp;" · ","")&amp;IF(AND(ISNUMBER($AM230),ISNUMBER($AN230),$AM230&gt;$AN230),"Inicio posterior a fecha límite"&amp;" · ","")&amp;IF(AND($V230="Macro",$H230&lt;&gt;"",OR(NOT(ISNUMBER($H230)),$H230&lt;0,$H230&gt;1)),"Peso fuera de rango"&amp;" · ","")&amp;IF(AND($V230="Sub",$H230&lt;&gt;""),"Las subactividades no llevan peso (valen igual dentro de su macroactividad)"&amp;" · ","")&amp;IF(AND(N($W230)&gt;0,COUNT($I230:$L230)&gt;0),"Con subactividades: deje vacías las semanas (se calculan solas)"&amp;" · ","")&amp;IF((COUNTIF($I230:$L230,"&gt;1")+COUNTIF($I230:$L230,"&lt;0")+COUNTA($I230:$L230)-COUNT($I230:$L230))&gt;0,"Avance fuera de rango 0-100%"&amp;" · ","")&amp;IF(OR(AND($J230&lt;&gt;"",$J230&lt;$I230),AND($K230&lt;&gt;"",$K230&lt;MAX($I230:$J230)),AND($L230&lt;&gt;"",$L230&lt;MAX($I230:$K230))),"Avance semanal decreciente"&amp;" · ","")&amp;IF(AND(ISNUMBER($AN230),$AN230&lt;FechaRef,IF($V230="Sub",N($X230),N($M230))&lt;1),"Vencida"&amp;" · ","")&amp;IF(AND(ObsObligatoria="Sí",ISNUMBER($AN230),$AN230&lt;FechaRef,IF($V230="Sub",N($X230),N($M230))&lt;1,$Q230=""),"Vencida sin observación"&amp;" · ",""),LEN(IF($C230="","Falta el nombre de la actividad"&amp;" · ","")&amp;IF(AND($V230="Sub",N($U230)=0),"Subactividad sin macroactividad arriba"&amp;" · ","")&amp;IF($AM230="","Sin fecha de inicio"&amp;" · ","")&amp;IF($AN230="","Sin fecha límite"&amp;" · ","")&amp;IF(AND(LEFT($C230,11)="[Jefatura] ",N($AL230)=0),"No se encuentra en la hoja de la jefatura (elíjala de nuevo en la lista)"&amp;" · ","")&amp;IF(OR(AND($E230&lt;&gt;"",NOT(ISNUMBER($E230))),AND($F230&lt;&gt;"",NOT(ISNUMBER($F230))),AND($G230&lt;&gt;"",NOT(ISNUMBER($G230)))),"Fecha no válida"&amp;" · ","")&amp;IF(AND(ISNUMBER($AM230),ISNUMBER($AN230),$AM230&gt;$AN230),"Inicio posterior a fecha límite"&amp;" · ","")&amp;IF(AND($V230="Macro",$H230&lt;&gt;"",OR(NOT(ISNUMBER($H230)),$H230&lt;0,$H230&gt;1)),"Peso fuera de rango"&amp;" · ","")&amp;IF(AND($V230="Sub",$H230&lt;&gt;""),"Las subactividades no llevan peso (valen igual dentro de su macroactividad)"&amp;" · ","")&amp;IF(AND(N($W230)&gt;0,COUNT($I230:$L230)&gt;0),"Con subactividades: deje vacías las semanas (se calculan solas)"&amp;" · ","")&amp;IF((COUNTIF($I230:$L230,"&gt;1")+COUNTIF($I230:$L230,"&lt;0")+COUNTA($I230:$L230)-COUNT($I230:$L230))&gt;0,"Avance fuera de rango 0-100%"&amp;" · ","")&amp;IF(OR(AND($J230&lt;&gt;"",$J230&lt;$I230),AND($K230&lt;&gt;"",$K230&lt;MAX($I230:$J230)),AND($L230&lt;&gt;"",$L230&lt;MAX($I230:$K230))),"Avance semanal decreciente"&amp;" · ","")&amp;IF(AND(ISNUMBER($AN230),$AN230&lt;FechaRef,IF($V230="Sub",N($X230),N($M230))&lt;1),"Vencida"&amp;" · ","")&amp;IF(AND(ObsObligatoria="Sí",ISNUMBER($AN230),$AN230&lt;FechaRef,IF($V230="Sub",N($X230),N($M230))&lt;1,$Q230=""),"Vencida sin observación"&amp;" · ",""))-3)))</f>
        <v/>
      </c>
      <c r="S230" s="64">
        <f>IF(NOT((COUNTA($B230:$D230)+COUNTA($G230:$L230)+COUNTA($Q230))&gt;0),"",IF(AND($V230="Sub",N($U230)&gt;0),IF(ISNUMBER(INDEX($AM$5:$AM$1000,$U230-4)),DATE(YEAR(INDEX($AM$5:$AM$1000,$U230-4)),MONTH(INDEX($AM$5:$AM$1000,$U230-4)),1),IF(ISNUMBER(INDEX($AN$5:$AN$1000,$U230-4)),DATE(YEAR(INDEX($AN$5:$AN$1000,$U230-4)),MONTH(INDEX($AN$5:$AN$1000,$U230-4)),1),MesCiclo)),IF(ISNUMBER($AM230),DATE(YEAR($AM230),MONTH($AM230),1),IF(ISNUMBER($AN230),DATE(YEAR($AN230),MONTH($AN230),1),MesCiclo))))</f>
        <v/>
      </c>
      <c r="T230" s="62">
        <f>IF(OR($S230="",$S230&lt;&gt;MesCiclo,$V230&lt;&gt;"Macro"),"",COUNTIFS($S$5:$S230,MesCiclo,$V$5:$V230,"Macro"))</f>
        <v/>
      </c>
      <c r="U230" s="62">
        <f>IF($V230="","",IF($V230="Macro",ROW(),IFERROR(LOOKUP(2,1/($V$5:$V230="Macro"),ROW($V$5:$V230)),0)))</f>
        <v/>
      </c>
      <c r="V230" s="62">
        <f>IF(NOT((COUNTA($B230:$D230)+COUNTA($G230:$L230)+COUNTA($Q230))&gt;0),"",IF($B230="Subactividad","Sub","Macro"))</f>
        <v/>
      </c>
      <c r="W230" s="62">
        <f>IF($V230="Macro",COUNTIFS($U$5:$U$1000,ROW(),$V$5:$V$1000,"Sub"),"")</f>
        <v/>
      </c>
      <c r="X230" s="62">
        <f>IF($V230="","",IF(ISNUMBER($G230),1,IFERROR(LOOKUP(2,1/($I230:$L230&lt;&gt;""),$I230:$L230),0)))</f>
        <v/>
      </c>
      <c r="Y230" s="62">
        <f>IF($V230="","",IF(AND(ISNUMBER($G230),$G230&lt;=IF($S230=MesCiclo,InicioCiclo,$S230+MOD(2-WEEKDAY($S230),7))+6),1,IF(ISNUMBER($I230),$I230,0)))</f>
        <v/>
      </c>
      <c r="Z230" s="62">
        <f>IF($V230="","",IF(AND(ISNUMBER($G230),$G230&lt;=IF($S230=MesCiclo,InicioCiclo,$S230+MOD(2-WEEKDAY($S230),7))+13),1,IF(ISNUMBER($J230),$J230,$Y230)))</f>
        <v/>
      </c>
      <c r="AA230" s="62">
        <f>IF($V230="","",IF(AND(ISNUMBER($G230),$G230&lt;=IF($S230=MesCiclo,InicioCiclo,$S230+MOD(2-WEEKDAY($S230),7))+20),1,IF(ISNUMBER($K230),$K230,$Z230)))</f>
        <v/>
      </c>
      <c r="AB230" s="62">
        <f>IF($V230="","",IF(AND(ISNUMBER($G230),$G230&lt;=IF($S230=MesCiclo,InicioCiclo,$S230+MOD(2-WEEKDAY($S230),7))+27),1,IF(ISNUMBER($L230),$L230,$AA230)))</f>
        <v/>
      </c>
      <c r="AC230" s="62">
        <f>IF($V230="","",IF(AND(ISNUMBER($G230),$G230&lt;=IF($S230=MesCiclo,InicioCiclo,$S230+MOD(2-WEEKDAY($S230),7))+6),1,IF(N($W230)&gt;0,AVERAGEIFS($Y$5:$Y$1000,$U$5:$U$1000,ROW(),$V$5:$V$1000,"Sub"),$Y230)))</f>
        <v/>
      </c>
      <c r="AD230" s="62">
        <f>IF($V230="","",IF(AND(ISNUMBER($G230),$G230&lt;=IF($S230=MesCiclo,InicioCiclo,$S230+MOD(2-WEEKDAY($S230),7))+13),1,IF(N($W230)&gt;0,AVERAGEIFS($Z$5:$Z$1000,$U$5:$U$1000,ROW(),$V$5:$V$1000,"Sub"),$Z230)))</f>
        <v/>
      </c>
      <c r="AE230" s="62">
        <f>IF($V230="","",IF(AND(ISNUMBER($G230),$G230&lt;=IF($S230=MesCiclo,InicioCiclo,$S230+MOD(2-WEEKDAY($S230),7))+20),1,IF(N($W230)&gt;0,AVERAGEIFS($AA$5:$AA$1000,$U$5:$U$1000,ROW(),$V$5:$V$1000,"Sub"),$AA230)))</f>
        <v/>
      </c>
      <c r="AF230" s="62">
        <f>IF($V230="","",IF(AND(ISNUMBER($G230),$G230&lt;=IF($S230=MesCiclo,InicioCiclo,$S230+MOD(2-WEEKDAY($S230),7))+27),1,IF(N($W230)&gt;0,AVERAGEIFS($AB$5:$AB$1000,$U$5:$U$1000,ROW(),$V$5:$V$1000,"Sub"),$AB230)))</f>
        <v/>
      </c>
      <c r="AG230" s="62">
        <f>IF($V230&lt;&gt;"Macro","",IF(COUNTIFS($S$5:$S$1000,$S230,$V$5:$V$1000,"Macro",$H$5:$H$1000,"&gt;0")=0,1/COUNTIFS($S$5:$S$1000,$S230,$V$5:$V$1000,"Macro"),IF(AND(ISNUMBER($H230),N($H230)&gt;0),$H230,SUMIFS($H$5:$H$1000,$S$5:$S$1000,$S230,$V$5:$V$1000,"Macro")/COUNTIFS($S$5:$S$1000,$S230,$V$5:$V$1000,"Macro",$H$5:$H$1000,"&gt;0"))/(COUNTIFS($S$5:$S$1000,$S230,$V$5:$V$1000,"Macro")*SUMIFS($H$5:$H$1000,$S$5:$S$1000,$S230,$V$5:$V$1000,"Macro")/COUNTIFS($S$5:$S$1000,$S230,$V$5:$V$1000,"Macro",$H$5:$H$1000,"&gt;0"))))</f>
        <v/>
      </c>
      <c r="AH230" s="62" t="n"/>
      <c r="AI230" s="62" t="n"/>
      <c r="AJ230" s="62" t="n"/>
      <c r="AK230" s="62" t="n"/>
      <c r="AL230" s="62">
        <f>IF(LEFT($C230,11)="[Jefatura] ",IFERROR(MATCH("Asistente Técnico de Riesgo|"&amp;MID($C230,12,500),rDname_ADM,0),0),"")</f>
        <v/>
      </c>
      <c r="AM230" s="62">
        <f>IF(N($AL230)&gt;0,INDEX(rIni_ADM,$AL230),IF(ISNUMBER($E230),$E230,""))</f>
        <v/>
      </c>
      <c r="AN230" s="62">
        <f>IF(N($AL230)&gt;0,INDEX(rLim_ADM,$AL230),IF(ISNUMBER($F230),$F230,""))</f>
        <v/>
      </c>
    </row>
    <row r="231">
      <c r="A231" s="56">
        <f>IF(NOT((COUNTA($B231:$D231)+COUNTA($G231:$L231)+COUNTA($Q231))&gt;0),"",IF($V231="Macro",COUNTIFS($V$5:$V231,"Macro",$S$5:$S231,$S231),IF(N($U231)=0,"?",COUNTIFS(INDEX($V$5:$V$1000,1):INDEX($V$5:$V$1000,$U231-4),"Macro",INDEX($S$5:$S$1000,1):INDEX($S$5:$S$1000,$U231-4),INDEX($S$5:$S$1000,$U231-4))&amp;"."&amp;COUNTIFS($U$5:$U231,$U231,$V$5:$V231,"Sub"))))</f>
        <v/>
      </c>
      <c r="B231" s="57" t="n"/>
      <c r="C231" s="58" t="n"/>
      <c r="D231" s="58" t="n"/>
      <c r="E231" s="59">
        <f>IF(N($AL231)&gt;0,INDEX(rIni_ADM,$AL231),"")</f>
        <v/>
      </c>
      <c r="F231" s="59">
        <f>IF(N($AL231)&gt;0,INDEX(rLim_ADM,$AL231),"")</f>
        <v/>
      </c>
      <c r="G231" s="59" t="n"/>
      <c r="H231" s="60" t="n"/>
      <c r="I231" s="60" t="n"/>
      <c r="J231" s="60" t="n"/>
      <c r="K231" s="60" t="n"/>
      <c r="L231" s="60" t="n"/>
      <c r="M231" s="61">
        <f>IF(NOT((COUNTA($B231:$D231)+COUNTA($G231:$L231)+COUNTA($Q231))&gt;0),"",IF($V231="Sub",IFERROR($X231/INDEX($W$5:$W$1000,$U231-4),""),IF(ISNUMBER($G231),1,IF(N($W231)&gt;0,AVERAGEIFS($X$5:$X$1000,$U$5:$U$1000,ROW(),$V$5:$V$1000,"Sub"),$X231))))</f>
        <v/>
      </c>
      <c r="N231" s="56">
        <f>IF(OR($M231="",$V231="Sub"),"",IF($M231&gt;=1,"Completado",IF($M231&gt;0,"En curso","Pendiente")))</f>
        <v/>
      </c>
      <c r="O231" s="56">
        <f>IF(OR(NOT((COUNTA($B231:$D231)+COUNTA($G231:$L231)+COUNTA($Q231))&gt;0),$V231="Sub"),"",IF(ISNUMBER($G231),IF(AND(ISNUMBER($AN231),$G231&gt;$AN231),"Cumplida con "&amp;($G231-$AN231)&amp;IF($G231-$AN231=1," día"," días")&amp;" de retraso","Cumplida"),IF(N($M231)&gt;=1,"Cumplida",IF(NOT(ISNUMBER($AN231)),"Sin fecha límite",IF($AN231&lt;FechaRef,"Vencida hace "&amp;(FechaRef-$AN231)&amp;IF(FechaRef-$AN231=1," día"," días"),IF($AN231=FechaRef,"Vence hoy",IF($AN231-FechaRef&lt;=DiasAlerta,"Vence en "&amp;($AN231-FechaRef)&amp;IF($AN231-FechaRef=1," día"," días"),"En plazo")))))))</f>
        <v/>
      </c>
      <c r="P231" s="62" t="n"/>
      <c r="Q231" s="58" t="n"/>
      <c r="R231" s="63">
        <f>IF(NOT((COUNTA($B231:$D231)+COUNTA($G231:$L231)+COUNTA($Q231))&gt;0),"",IF((IF($C231="","Falta el nombre de la actividad"&amp;" · ","")&amp;IF(AND($V231="Sub",N($U231)=0),"Subactividad sin macroactividad arriba"&amp;" · ","")&amp;IF($AM231="","Sin fecha de inicio"&amp;" · ","")&amp;IF($AN231="","Sin fecha límite"&amp;" · ","")&amp;IF(AND(LEFT($C231,11)="[Jefatura] ",N($AL231)=0),"No se encuentra en la hoja de la jefatura (elíjala de nuevo en la lista)"&amp;" · ","")&amp;IF(OR(AND($E231&lt;&gt;"",NOT(ISNUMBER($E231))),AND($F231&lt;&gt;"",NOT(ISNUMBER($F231))),AND($G231&lt;&gt;"",NOT(ISNUMBER($G231)))),"Fecha no válida"&amp;" · ","")&amp;IF(AND(ISNUMBER($AM231),ISNUMBER($AN231),$AM231&gt;$AN231),"Inicio posterior a fecha límite"&amp;" · ","")&amp;IF(AND($V231="Macro",$H231&lt;&gt;"",OR(NOT(ISNUMBER($H231)),$H231&lt;0,$H231&gt;1)),"Peso fuera de rango"&amp;" · ","")&amp;IF(AND($V231="Sub",$H231&lt;&gt;""),"Las subactividades no llevan peso (valen igual dentro de su macroactividad)"&amp;" · ","")&amp;IF(AND(N($W231)&gt;0,COUNT($I231:$L231)&gt;0),"Con subactividades: deje vacías las semanas (se calculan solas)"&amp;" · ","")&amp;IF((COUNTIF($I231:$L231,"&gt;1")+COUNTIF($I231:$L231,"&lt;0")+COUNTA($I231:$L231)-COUNT($I231:$L231))&gt;0,"Avance fuera de rango 0-100%"&amp;" · ","")&amp;IF(OR(AND($J231&lt;&gt;"",$J231&lt;$I231),AND($K231&lt;&gt;"",$K231&lt;MAX($I231:$J231)),AND($L231&lt;&gt;"",$L231&lt;MAX($I231:$K231))),"Avance semanal decreciente"&amp;" · ","")&amp;IF(AND(ISNUMBER($AN231),$AN231&lt;FechaRef,IF($V231="Sub",N($X231),N($M231))&lt;1),"Vencida"&amp;" · ","")&amp;IF(AND(ObsObligatoria="Sí",ISNUMBER($AN231),$AN231&lt;FechaRef,IF($V231="Sub",N($X231),N($M231))&lt;1,$Q231=""),"Vencida sin observación"&amp;" · ",""))="","✔ OK","⚠ "&amp;LEFT(IF($C231="","Falta el nombre de la actividad"&amp;" · ","")&amp;IF(AND($V231="Sub",N($U231)=0),"Subactividad sin macroactividad arriba"&amp;" · ","")&amp;IF($AM231="","Sin fecha de inicio"&amp;" · ","")&amp;IF($AN231="","Sin fecha límite"&amp;" · ","")&amp;IF(AND(LEFT($C231,11)="[Jefatura] ",N($AL231)=0),"No se encuentra en la hoja de la jefatura (elíjala de nuevo en la lista)"&amp;" · ","")&amp;IF(OR(AND($E231&lt;&gt;"",NOT(ISNUMBER($E231))),AND($F231&lt;&gt;"",NOT(ISNUMBER($F231))),AND($G231&lt;&gt;"",NOT(ISNUMBER($G231)))),"Fecha no válida"&amp;" · ","")&amp;IF(AND(ISNUMBER($AM231),ISNUMBER($AN231),$AM231&gt;$AN231),"Inicio posterior a fecha límite"&amp;" · ","")&amp;IF(AND($V231="Macro",$H231&lt;&gt;"",OR(NOT(ISNUMBER($H231)),$H231&lt;0,$H231&gt;1)),"Peso fuera de rango"&amp;" · ","")&amp;IF(AND($V231="Sub",$H231&lt;&gt;""),"Las subactividades no llevan peso (valen igual dentro de su macroactividad)"&amp;" · ","")&amp;IF(AND(N($W231)&gt;0,COUNT($I231:$L231)&gt;0),"Con subactividades: deje vacías las semanas (se calculan solas)"&amp;" · ","")&amp;IF((COUNTIF($I231:$L231,"&gt;1")+COUNTIF($I231:$L231,"&lt;0")+COUNTA($I231:$L231)-COUNT($I231:$L231))&gt;0,"Avance fuera de rango 0-100%"&amp;" · ","")&amp;IF(OR(AND($J231&lt;&gt;"",$J231&lt;$I231),AND($K231&lt;&gt;"",$K231&lt;MAX($I231:$J231)),AND($L231&lt;&gt;"",$L231&lt;MAX($I231:$K231))),"Avance semanal decreciente"&amp;" · ","")&amp;IF(AND(ISNUMBER($AN231),$AN231&lt;FechaRef,IF($V231="Sub",N($X231),N($M231))&lt;1),"Vencida"&amp;" · ","")&amp;IF(AND(ObsObligatoria="Sí",ISNUMBER($AN231),$AN231&lt;FechaRef,IF($V231="Sub",N($X231),N($M231))&lt;1,$Q231=""),"Vencida sin observación"&amp;" · ",""),LEN(IF($C231="","Falta el nombre de la actividad"&amp;" · ","")&amp;IF(AND($V231="Sub",N($U231)=0),"Subactividad sin macroactividad arriba"&amp;" · ","")&amp;IF($AM231="","Sin fecha de inicio"&amp;" · ","")&amp;IF($AN231="","Sin fecha límite"&amp;" · ","")&amp;IF(AND(LEFT($C231,11)="[Jefatura] ",N($AL231)=0),"No se encuentra en la hoja de la jefatura (elíjala de nuevo en la lista)"&amp;" · ","")&amp;IF(OR(AND($E231&lt;&gt;"",NOT(ISNUMBER($E231))),AND($F231&lt;&gt;"",NOT(ISNUMBER($F231))),AND($G231&lt;&gt;"",NOT(ISNUMBER($G231)))),"Fecha no válida"&amp;" · ","")&amp;IF(AND(ISNUMBER($AM231),ISNUMBER($AN231),$AM231&gt;$AN231),"Inicio posterior a fecha límite"&amp;" · ","")&amp;IF(AND($V231="Macro",$H231&lt;&gt;"",OR(NOT(ISNUMBER($H231)),$H231&lt;0,$H231&gt;1)),"Peso fuera de rango"&amp;" · ","")&amp;IF(AND($V231="Sub",$H231&lt;&gt;""),"Las subactividades no llevan peso (valen igual dentro de su macroactividad)"&amp;" · ","")&amp;IF(AND(N($W231)&gt;0,COUNT($I231:$L231)&gt;0),"Con subactividades: deje vacías las semanas (se calculan solas)"&amp;" · ","")&amp;IF((COUNTIF($I231:$L231,"&gt;1")+COUNTIF($I231:$L231,"&lt;0")+COUNTA($I231:$L231)-COUNT($I231:$L231))&gt;0,"Avance fuera de rango 0-100%"&amp;" · ","")&amp;IF(OR(AND($J231&lt;&gt;"",$J231&lt;$I231),AND($K231&lt;&gt;"",$K231&lt;MAX($I231:$J231)),AND($L231&lt;&gt;"",$L231&lt;MAX($I231:$K231))),"Avance semanal decreciente"&amp;" · ","")&amp;IF(AND(ISNUMBER($AN231),$AN231&lt;FechaRef,IF($V231="Sub",N($X231),N($M231))&lt;1),"Vencida"&amp;" · ","")&amp;IF(AND(ObsObligatoria="Sí",ISNUMBER($AN231),$AN231&lt;FechaRef,IF($V231="Sub",N($X231),N($M231))&lt;1,$Q231=""),"Vencida sin observación"&amp;" · ",""))-3)))</f>
        <v/>
      </c>
      <c r="S231" s="64">
        <f>IF(NOT((COUNTA($B231:$D231)+COUNTA($G231:$L231)+COUNTA($Q231))&gt;0),"",IF(AND($V231="Sub",N($U231)&gt;0),IF(ISNUMBER(INDEX($AM$5:$AM$1000,$U231-4)),DATE(YEAR(INDEX($AM$5:$AM$1000,$U231-4)),MONTH(INDEX($AM$5:$AM$1000,$U231-4)),1),IF(ISNUMBER(INDEX($AN$5:$AN$1000,$U231-4)),DATE(YEAR(INDEX($AN$5:$AN$1000,$U231-4)),MONTH(INDEX($AN$5:$AN$1000,$U231-4)),1),MesCiclo)),IF(ISNUMBER($AM231),DATE(YEAR($AM231),MONTH($AM231),1),IF(ISNUMBER($AN231),DATE(YEAR($AN231),MONTH($AN231),1),MesCiclo))))</f>
        <v/>
      </c>
      <c r="T231" s="62">
        <f>IF(OR($S231="",$S231&lt;&gt;MesCiclo,$V231&lt;&gt;"Macro"),"",COUNTIFS($S$5:$S231,MesCiclo,$V$5:$V231,"Macro"))</f>
        <v/>
      </c>
      <c r="U231" s="62">
        <f>IF($V231="","",IF($V231="Macro",ROW(),IFERROR(LOOKUP(2,1/($V$5:$V231="Macro"),ROW($V$5:$V231)),0)))</f>
        <v/>
      </c>
      <c r="V231" s="62">
        <f>IF(NOT((COUNTA($B231:$D231)+COUNTA($G231:$L231)+COUNTA($Q231))&gt;0),"",IF($B231="Subactividad","Sub","Macro"))</f>
        <v/>
      </c>
      <c r="W231" s="62">
        <f>IF($V231="Macro",COUNTIFS($U$5:$U$1000,ROW(),$V$5:$V$1000,"Sub"),"")</f>
        <v/>
      </c>
      <c r="X231" s="62">
        <f>IF($V231="","",IF(ISNUMBER($G231),1,IFERROR(LOOKUP(2,1/($I231:$L231&lt;&gt;""),$I231:$L231),0)))</f>
        <v/>
      </c>
      <c r="Y231" s="62">
        <f>IF($V231="","",IF(AND(ISNUMBER($G231),$G231&lt;=IF($S231=MesCiclo,InicioCiclo,$S231+MOD(2-WEEKDAY($S231),7))+6),1,IF(ISNUMBER($I231),$I231,0)))</f>
        <v/>
      </c>
      <c r="Z231" s="62">
        <f>IF($V231="","",IF(AND(ISNUMBER($G231),$G231&lt;=IF($S231=MesCiclo,InicioCiclo,$S231+MOD(2-WEEKDAY($S231),7))+13),1,IF(ISNUMBER($J231),$J231,$Y231)))</f>
        <v/>
      </c>
      <c r="AA231" s="62">
        <f>IF($V231="","",IF(AND(ISNUMBER($G231),$G231&lt;=IF($S231=MesCiclo,InicioCiclo,$S231+MOD(2-WEEKDAY($S231),7))+20),1,IF(ISNUMBER($K231),$K231,$Z231)))</f>
        <v/>
      </c>
      <c r="AB231" s="62">
        <f>IF($V231="","",IF(AND(ISNUMBER($G231),$G231&lt;=IF($S231=MesCiclo,InicioCiclo,$S231+MOD(2-WEEKDAY($S231),7))+27),1,IF(ISNUMBER($L231),$L231,$AA231)))</f>
        <v/>
      </c>
      <c r="AC231" s="62">
        <f>IF($V231="","",IF(AND(ISNUMBER($G231),$G231&lt;=IF($S231=MesCiclo,InicioCiclo,$S231+MOD(2-WEEKDAY($S231),7))+6),1,IF(N($W231)&gt;0,AVERAGEIFS($Y$5:$Y$1000,$U$5:$U$1000,ROW(),$V$5:$V$1000,"Sub"),$Y231)))</f>
        <v/>
      </c>
      <c r="AD231" s="62">
        <f>IF($V231="","",IF(AND(ISNUMBER($G231),$G231&lt;=IF($S231=MesCiclo,InicioCiclo,$S231+MOD(2-WEEKDAY($S231),7))+13),1,IF(N($W231)&gt;0,AVERAGEIFS($Z$5:$Z$1000,$U$5:$U$1000,ROW(),$V$5:$V$1000,"Sub"),$Z231)))</f>
        <v/>
      </c>
      <c r="AE231" s="62">
        <f>IF($V231="","",IF(AND(ISNUMBER($G231),$G231&lt;=IF($S231=MesCiclo,InicioCiclo,$S231+MOD(2-WEEKDAY($S231),7))+20),1,IF(N($W231)&gt;0,AVERAGEIFS($AA$5:$AA$1000,$U$5:$U$1000,ROW(),$V$5:$V$1000,"Sub"),$AA231)))</f>
        <v/>
      </c>
      <c r="AF231" s="62">
        <f>IF($V231="","",IF(AND(ISNUMBER($G231),$G231&lt;=IF($S231=MesCiclo,InicioCiclo,$S231+MOD(2-WEEKDAY($S231),7))+27),1,IF(N($W231)&gt;0,AVERAGEIFS($AB$5:$AB$1000,$U$5:$U$1000,ROW(),$V$5:$V$1000,"Sub"),$AB231)))</f>
        <v/>
      </c>
      <c r="AG231" s="62">
        <f>IF($V231&lt;&gt;"Macro","",IF(COUNTIFS($S$5:$S$1000,$S231,$V$5:$V$1000,"Macro",$H$5:$H$1000,"&gt;0")=0,1/COUNTIFS($S$5:$S$1000,$S231,$V$5:$V$1000,"Macro"),IF(AND(ISNUMBER($H231),N($H231)&gt;0),$H231,SUMIFS($H$5:$H$1000,$S$5:$S$1000,$S231,$V$5:$V$1000,"Macro")/COUNTIFS($S$5:$S$1000,$S231,$V$5:$V$1000,"Macro",$H$5:$H$1000,"&gt;0"))/(COUNTIFS($S$5:$S$1000,$S231,$V$5:$V$1000,"Macro")*SUMIFS($H$5:$H$1000,$S$5:$S$1000,$S231,$V$5:$V$1000,"Macro")/COUNTIFS($S$5:$S$1000,$S231,$V$5:$V$1000,"Macro",$H$5:$H$1000,"&gt;0"))))</f>
        <v/>
      </c>
      <c r="AH231" s="62" t="n"/>
      <c r="AI231" s="62" t="n"/>
      <c r="AJ231" s="62" t="n"/>
      <c r="AK231" s="62" t="n"/>
      <c r="AL231" s="62">
        <f>IF(LEFT($C231,11)="[Jefatura] ",IFERROR(MATCH("Asistente Técnico de Riesgo|"&amp;MID($C231,12,500),rDname_ADM,0),0),"")</f>
        <v/>
      </c>
      <c r="AM231" s="62">
        <f>IF(N($AL231)&gt;0,INDEX(rIni_ADM,$AL231),IF(ISNUMBER($E231),$E231,""))</f>
        <v/>
      </c>
      <c r="AN231" s="62">
        <f>IF(N($AL231)&gt;0,INDEX(rLim_ADM,$AL231),IF(ISNUMBER($F231),$F231,""))</f>
        <v/>
      </c>
    </row>
    <row r="232">
      <c r="A232" s="56">
        <f>IF(NOT((COUNTA($B232:$D232)+COUNTA($G232:$L232)+COUNTA($Q232))&gt;0),"",IF($V232="Macro",COUNTIFS($V$5:$V232,"Macro",$S$5:$S232,$S232),IF(N($U232)=0,"?",COUNTIFS(INDEX($V$5:$V$1000,1):INDEX($V$5:$V$1000,$U232-4),"Macro",INDEX($S$5:$S$1000,1):INDEX($S$5:$S$1000,$U232-4),INDEX($S$5:$S$1000,$U232-4))&amp;"."&amp;COUNTIFS($U$5:$U232,$U232,$V$5:$V232,"Sub"))))</f>
        <v/>
      </c>
      <c r="B232" s="57" t="n"/>
      <c r="C232" s="58" t="n"/>
      <c r="D232" s="58" t="n"/>
      <c r="E232" s="59">
        <f>IF(N($AL232)&gt;0,INDEX(rIni_ADM,$AL232),"")</f>
        <v/>
      </c>
      <c r="F232" s="59">
        <f>IF(N($AL232)&gt;0,INDEX(rLim_ADM,$AL232),"")</f>
        <v/>
      </c>
      <c r="G232" s="59" t="n"/>
      <c r="H232" s="60" t="n"/>
      <c r="I232" s="60" t="n"/>
      <c r="J232" s="60" t="n"/>
      <c r="K232" s="60" t="n"/>
      <c r="L232" s="60" t="n"/>
      <c r="M232" s="61">
        <f>IF(NOT((COUNTA($B232:$D232)+COUNTA($G232:$L232)+COUNTA($Q232))&gt;0),"",IF($V232="Sub",IFERROR($X232/INDEX($W$5:$W$1000,$U232-4),""),IF(ISNUMBER($G232),1,IF(N($W232)&gt;0,AVERAGEIFS($X$5:$X$1000,$U$5:$U$1000,ROW(),$V$5:$V$1000,"Sub"),$X232))))</f>
        <v/>
      </c>
      <c r="N232" s="56">
        <f>IF(OR($M232="",$V232="Sub"),"",IF($M232&gt;=1,"Completado",IF($M232&gt;0,"En curso","Pendiente")))</f>
        <v/>
      </c>
      <c r="O232" s="56">
        <f>IF(OR(NOT((COUNTA($B232:$D232)+COUNTA($G232:$L232)+COUNTA($Q232))&gt;0),$V232="Sub"),"",IF(ISNUMBER($G232),IF(AND(ISNUMBER($AN232),$G232&gt;$AN232),"Cumplida con "&amp;($G232-$AN232)&amp;IF($G232-$AN232=1," día"," días")&amp;" de retraso","Cumplida"),IF(N($M232)&gt;=1,"Cumplida",IF(NOT(ISNUMBER($AN232)),"Sin fecha límite",IF($AN232&lt;FechaRef,"Vencida hace "&amp;(FechaRef-$AN232)&amp;IF(FechaRef-$AN232=1," día"," días"),IF($AN232=FechaRef,"Vence hoy",IF($AN232-FechaRef&lt;=DiasAlerta,"Vence en "&amp;($AN232-FechaRef)&amp;IF($AN232-FechaRef=1," día"," días"),"En plazo")))))))</f>
        <v/>
      </c>
      <c r="P232" s="62" t="n"/>
      <c r="Q232" s="58" t="n"/>
      <c r="R232" s="63">
        <f>IF(NOT((COUNTA($B232:$D232)+COUNTA($G232:$L232)+COUNTA($Q232))&gt;0),"",IF((IF($C232="","Falta el nombre de la actividad"&amp;" · ","")&amp;IF(AND($V232="Sub",N($U232)=0),"Subactividad sin macroactividad arriba"&amp;" · ","")&amp;IF($AM232="","Sin fecha de inicio"&amp;" · ","")&amp;IF($AN232="","Sin fecha límite"&amp;" · ","")&amp;IF(AND(LEFT($C232,11)="[Jefatura] ",N($AL232)=0),"No se encuentra en la hoja de la jefatura (elíjala de nuevo en la lista)"&amp;" · ","")&amp;IF(OR(AND($E232&lt;&gt;"",NOT(ISNUMBER($E232))),AND($F232&lt;&gt;"",NOT(ISNUMBER($F232))),AND($G232&lt;&gt;"",NOT(ISNUMBER($G232)))),"Fecha no válida"&amp;" · ","")&amp;IF(AND(ISNUMBER($AM232),ISNUMBER($AN232),$AM232&gt;$AN232),"Inicio posterior a fecha límite"&amp;" · ","")&amp;IF(AND($V232="Macro",$H232&lt;&gt;"",OR(NOT(ISNUMBER($H232)),$H232&lt;0,$H232&gt;1)),"Peso fuera de rango"&amp;" · ","")&amp;IF(AND($V232="Sub",$H232&lt;&gt;""),"Las subactividades no llevan peso (valen igual dentro de su macroactividad)"&amp;" · ","")&amp;IF(AND(N($W232)&gt;0,COUNT($I232:$L232)&gt;0),"Con subactividades: deje vacías las semanas (se calculan solas)"&amp;" · ","")&amp;IF((COUNTIF($I232:$L232,"&gt;1")+COUNTIF($I232:$L232,"&lt;0")+COUNTA($I232:$L232)-COUNT($I232:$L232))&gt;0,"Avance fuera de rango 0-100%"&amp;" · ","")&amp;IF(OR(AND($J232&lt;&gt;"",$J232&lt;$I232),AND($K232&lt;&gt;"",$K232&lt;MAX($I232:$J232)),AND($L232&lt;&gt;"",$L232&lt;MAX($I232:$K232))),"Avance semanal decreciente"&amp;" · ","")&amp;IF(AND(ISNUMBER($AN232),$AN232&lt;FechaRef,IF($V232="Sub",N($X232),N($M232))&lt;1),"Vencida"&amp;" · ","")&amp;IF(AND(ObsObligatoria="Sí",ISNUMBER($AN232),$AN232&lt;FechaRef,IF($V232="Sub",N($X232),N($M232))&lt;1,$Q232=""),"Vencida sin observación"&amp;" · ",""))="","✔ OK","⚠ "&amp;LEFT(IF($C232="","Falta el nombre de la actividad"&amp;" · ","")&amp;IF(AND($V232="Sub",N($U232)=0),"Subactividad sin macroactividad arriba"&amp;" · ","")&amp;IF($AM232="","Sin fecha de inicio"&amp;" · ","")&amp;IF($AN232="","Sin fecha límite"&amp;" · ","")&amp;IF(AND(LEFT($C232,11)="[Jefatura] ",N($AL232)=0),"No se encuentra en la hoja de la jefatura (elíjala de nuevo en la lista)"&amp;" · ","")&amp;IF(OR(AND($E232&lt;&gt;"",NOT(ISNUMBER($E232))),AND($F232&lt;&gt;"",NOT(ISNUMBER($F232))),AND($G232&lt;&gt;"",NOT(ISNUMBER($G232)))),"Fecha no válida"&amp;" · ","")&amp;IF(AND(ISNUMBER($AM232),ISNUMBER($AN232),$AM232&gt;$AN232),"Inicio posterior a fecha límite"&amp;" · ","")&amp;IF(AND($V232="Macro",$H232&lt;&gt;"",OR(NOT(ISNUMBER($H232)),$H232&lt;0,$H232&gt;1)),"Peso fuera de rango"&amp;" · ","")&amp;IF(AND($V232="Sub",$H232&lt;&gt;""),"Las subactividades no llevan peso (valen igual dentro de su macroactividad)"&amp;" · ","")&amp;IF(AND(N($W232)&gt;0,COUNT($I232:$L232)&gt;0),"Con subactividades: deje vacías las semanas (se calculan solas)"&amp;" · ","")&amp;IF((COUNTIF($I232:$L232,"&gt;1")+COUNTIF($I232:$L232,"&lt;0")+COUNTA($I232:$L232)-COUNT($I232:$L232))&gt;0,"Avance fuera de rango 0-100%"&amp;" · ","")&amp;IF(OR(AND($J232&lt;&gt;"",$J232&lt;$I232),AND($K232&lt;&gt;"",$K232&lt;MAX($I232:$J232)),AND($L232&lt;&gt;"",$L232&lt;MAX($I232:$K232))),"Avance semanal decreciente"&amp;" · ","")&amp;IF(AND(ISNUMBER($AN232),$AN232&lt;FechaRef,IF($V232="Sub",N($X232),N($M232))&lt;1),"Vencida"&amp;" · ","")&amp;IF(AND(ObsObligatoria="Sí",ISNUMBER($AN232),$AN232&lt;FechaRef,IF($V232="Sub",N($X232),N($M232))&lt;1,$Q232=""),"Vencida sin observación"&amp;" · ",""),LEN(IF($C232="","Falta el nombre de la actividad"&amp;" · ","")&amp;IF(AND($V232="Sub",N($U232)=0),"Subactividad sin macroactividad arriba"&amp;" · ","")&amp;IF($AM232="","Sin fecha de inicio"&amp;" · ","")&amp;IF($AN232="","Sin fecha límite"&amp;" · ","")&amp;IF(AND(LEFT($C232,11)="[Jefatura] ",N($AL232)=0),"No se encuentra en la hoja de la jefatura (elíjala de nuevo en la lista)"&amp;" · ","")&amp;IF(OR(AND($E232&lt;&gt;"",NOT(ISNUMBER($E232))),AND($F232&lt;&gt;"",NOT(ISNUMBER($F232))),AND($G232&lt;&gt;"",NOT(ISNUMBER($G232)))),"Fecha no válida"&amp;" · ","")&amp;IF(AND(ISNUMBER($AM232),ISNUMBER($AN232),$AM232&gt;$AN232),"Inicio posterior a fecha límite"&amp;" · ","")&amp;IF(AND($V232="Macro",$H232&lt;&gt;"",OR(NOT(ISNUMBER($H232)),$H232&lt;0,$H232&gt;1)),"Peso fuera de rango"&amp;" · ","")&amp;IF(AND($V232="Sub",$H232&lt;&gt;""),"Las subactividades no llevan peso (valen igual dentro de su macroactividad)"&amp;" · ","")&amp;IF(AND(N($W232)&gt;0,COUNT($I232:$L232)&gt;0),"Con subactividades: deje vacías las semanas (se calculan solas)"&amp;" · ","")&amp;IF((COUNTIF($I232:$L232,"&gt;1")+COUNTIF($I232:$L232,"&lt;0")+COUNTA($I232:$L232)-COUNT($I232:$L232))&gt;0,"Avance fuera de rango 0-100%"&amp;" · ","")&amp;IF(OR(AND($J232&lt;&gt;"",$J232&lt;$I232),AND($K232&lt;&gt;"",$K232&lt;MAX($I232:$J232)),AND($L232&lt;&gt;"",$L232&lt;MAX($I232:$K232))),"Avance semanal decreciente"&amp;" · ","")&amp;IF(AND(ISNUMBER($AN232),$AN232&lt;FechaRef,IF($V232="Sub",N($X232),N($M232))&lt;1),"Vencida"&amp;" · ","")&amp;IF(AND(ObsObligatoria="Sí",ISNUMBER($AN232),$AN232&lt;FechaRef,IF($V232="Sub",N($X232),N($M232))&lt;1,$Q232=""),"Vencida sin observación"&amp;" · ",""))-3)))</f>
        <v/>
      </c>
      <c r="S232" s="64">
        <f>IF(NOT((COUNTA($B232:$D232)+COUNTA($G232:$L232)+COUNTA($Q232))&gt;0),"",IF(AND($V232="Sub",N($U232)&gt;0),IF(ISNUMBER(INDEX($AM$5:$AM$1000,$U232-4)),DATE(YEAR(INDEX($AM$5:$AM$1000,$U232-4)),MONTH(INDEX($AM$5:$AM$1000,$U232-4)),1),IF(ISNUMBER(INDEX($AN$5:$AN$1000,$U232-4)),DATE(YEAR(INDEX($AN$5:$AN$1000,$U232-4)),MONTH(INDEX($AN$5:$AN$1000,$U232-4)),1),MesCiclo)),IF(ISNUMBER($AM232),DATE(YEAR($AM232),MONTH($AM232),1),IF(ISNUMBER($AN232),DATE(YEAR($AN232),MONTH($AN232),1),MesCiclo))))</f>
        <v/>
      </c>
      <c r="T232" s="62">
        <f>IF(OR($S232="",$S232&lt;&gt;MesCiclo,$V232&lt;&gt;"Macro"),"",COUNTIFS($S$5:$S232,MesCiclo,$V$5:$V232,"Macro"))</f>
        <v/>
      </c>
      <c r="U232" s="62">
        <f>IF($V232="","",IF($V232="Macro",ROW(),IFERROR(LOOKUP(2,1/($V$5:$V232="Macro"),ROW($V$5:$V232)),0)))</f>
        <v/>
      </c>
      <c r="V232" s="62">
        <f>IF(NOT((COUNTA($B232:$D232)+COUNTA($G232:$L232)+COUNTA($Q232))&gt;0),"",IF($B232="Subactividad","Sub","Macro"))</f>
        <v/>
      </c>
      <c r="W232" s="62">
        <f>IF($V232="Macro",COUNTIFS($U$5:$U$1000,ROW(),$V$5:$V$1000,"Sub"),"")</f>
        <v/>
      </c>
      <c r="X232" s="62">
        <f>IF($V232="","",IF(ISNUMBER($G232),1,IFERROR(LOOKUP(2,1/($I232:$L232&lt;&gt;""),$I232:$L232),0)))</f>
        <v/>
      </c>
      <c r="Y232" s="62">
        <f>IF($V232="","",IF(AND(ISNUMBER($G232),$G232&lt;=IF($S232=MesCiclo,InicioCiclo,$S232+MOD(2-WEEKDAY($S232),7))+6),1,IF(ISNUMBER($I232),$I232,0)))</f>
        <v/>
      </c>
      <c r="Z232" s="62">
        <f>IF($V232="","",IF(AND(ISNUMBER($G232),$G232&lt;=IF($S232=MesCiclo,InicioCiclo,$S232+MOD(2-WEEKDAY($S232),7))+13),1,IF(ISNUMBER($J232),$J232,$Y232)))</f>
        <v/>
      </c>
      <c r="AA232" s="62">
        <f>IF($V232="","",IF(AND(ISNUMBER($G232),$G232&lt;=IF($S232=MesCiclo,InicioCiclo,$S232+MOD(2-WEEKDAY($S232),7))+20),1,IF(ISNUMBER($K232),$K232,$Z232)))</f>
        <v/>
      </c>
      <c r="AB232" s="62">
        <f>IF($V232="","",IF(AND(ISNUMBER($G232),$G232&lt;=IF($S232=MesCiclo,InicioCiclo,$S232+MOD(2-WEEKDAY($S232),7))+27),1,IF(ISNUMBER($L232),$L232,$AA232)))</f>
        <v/>
      </c>
      <c r="AC232" s="62">
        <f>IF($V232="","",IF(AND(ISNUMBER($G232),$G232&lt;=IF($S232=MesCiclo,InicioCiclo,$S232+MOD(2-WEEKDAY($S232),7))+6),1,IF(N($W232)&gt;0,AVERAGEIFS($Y$5:$Y$1000,$U$5:$U$1000,ROW(),$V$5:$V$1000,"Sub"),$Y232)))</f>
        <v/>
      </c>
      <c r="AD232" s="62">
        <f>IF($V232="","",IF(AND(ISNUMBER($G232),$G232&lt;=IF($S232=MesCiclo,InicioCiclo,$S232+MOD(2-WEEKDAY($S232),7))+13),1,IF(N($W232)&gt;0,AVERAGEIFS($Z$5:$Z$1000,$U$5:$U$1000,ROW(),$V$5:$V$1000,"Sub"),$Z232)))</f>
        <v/>
      </c>
      <c r="AE232" s="62">
        <f>IF($V232="","",IF(AND(ISNUMBER($G232),$G232&lt;=IF($S232=MesCiclo,InicioCiclo,$S232+MOD(2-WEEKDAY($S232),7))+20),1,IF(N($W232)&gt;0,AVERAGEIFS($AA$5:$AA$1000,$U$5:$U$1000,ROW(),$V$5:$V$1000,"Sub"),$AA232)))</f>
        <v/>
      </c>
      <c r="AF232" s="62">
        <f>IF($V232="","",IF(AND(ISNUMBER($G232),$G232&lt;=IF($S232=MesCiclo,InicioCiclo,$S232+MOD(2-WEEKDAY($S232),7))+27),1,IF(N($W232)&gt;0,AVERAGEIFS($AB$5:$AB$1000,$U$5:$U$1000,ROW(),$V$5:$V$1000,"Sub"),$AB232)))</f>
        <v/>
      </c>
      <c r="AG232" s="62">
        <f>IF($V232&lt;&gt;"Macro","",IF(COUNTIFS($S$5:$S$1000,$S232,$V$5:$V$1000,"Macro",$H$5:$H$1000,"&gt;0")=0,1/COUNTIFS($S$5:$S$1000,$S232,$V$5:$V$1000,"Macro"),IF(AND(ISNUMBER($H232),N($H232)&gt;0),$H232,SUMIFS($H$5:$H$1000,$S$5:$S$1000,$S232,$V$5:$V$1000,"Macro")/COUNTIFS($S$5:$S$1000,$S232,$V$5:$V$1000,"Macro",$H$5:$H$1000,"&gt;0"))/(COUNTIFS($S$5:$S$1000,$S232,$V$5:$V$1000,"Macro")*SUMIFS($H$5:$H$1000,$S$5:$S$1000,$S232,$V$5:$V$1000,"Macro")/COUNTIFS($S$5:$S$1000,$S232,$V$5:$V$1000,"Macro",$H$5:$H$1000,"&gt;0"))))</f>
        <v/>
      </c>
      <c r="AH232" s="62" t="n"/>
      <c r="AI232" s="62" t="n"/>
      <c r="AJ232" s="62" t="n"/>
      <c r="AK232" s="62" t="n"/>
      <c r="AL232" s="62">
        <f>IF(LEFT($C232,11)="[Jefatura] ",IFERROR(MATCH("Asistente Técnico de Riesgo|"&amp;MID($C232,12,500),rDname_ADM,0),0),"")</f>
        <v/>
      </c>
      <c r="AM232" s="62">
        <f>IF(N($AL232)&gt;0,INDEX(rIni_ADM,$AL232),IF(ISNUMBER($E232),$E232,""))</f>
        <v/>
      </c>
      <c r="AN232" s="62">
        <f>IF(N($AL232)&gt;0,INDEX(rLim_ADM,$AL232),IF(ISNUMBER($F232),$F232,""))</f>
        <v/>
      </c>
    </row>
    <row r="233">
      <c r="A233" s="56">
        <f>IF(NOT((COUNTA($B233:$D233)+COUNTA($G233:$L233)+COUNTA($Q233))&gt;0),"",IF($V233="Macro",COUNTIFS($V$5:$V233,"Macro",$S$5:$S233,$S233),IF(N($U233)=0,"?",COUNTIFS(INDEX($V$5:$V$1000,1):INDEX($V$5:$V$1000,$U233-4),"Macro",INDEX($S$5:$S$1000,1):INDEX($S$5:$S$1000,$U233-4),INDEX($S$5:$S$1000,$U233-4))&amp;"."&amp;COUNTIFS($U$5:$U233,$U233,$V$5:$V233,"Sub"))))</f>
        <v/>
      </c>
      <c r="B233" s="57" t="n"/>
      <c r="C233" s="58" t="n"/>
      <c r="D233" s="58" t="n"/>
      <c r="E233" s="59">
        <f>IF(N($AL233)&gt;0,INDEX(rIni_ADM,$AL233),"")</f>
        <v/>
      </c>
      <c r="F233" s="59">
        <f>IF(N($AL233)&gt;0,INDEX(rLim_ADM,$AL233),"")</f>
        <v/>
      </c>
      <c r="G233" s="59" t="n"/>
      <c r="H233" s="60" t="n"/>
      <c r="I233" s="60" t="n"/>
      <c r="J233" s="60" t="n"/>
      <c r="K233" s="60" t="n"/>
      <c r="L233" s="60" t="n"/>
      <c r="M233" s="61">
        <f>IF(NOT((COUNTA($B233:$D233)+COUNTA($G233:$L233)+COUNTA($Q233))&gt;0),"",IF($V233="Sub",IFERROR($X233/INDEX($W$5:$W$1000,$U233-4),""),IF(ISNUMBER($G233),1,IF(N($W233)&gt;0,AVERAGEIFS($X$5:$X$1000,$U$5:$U$1000,ROW(),$V$5:$V$1000,"Sub"),$X233))))</f>
        <v/>
      </c>
      <c r="N233" s="56">
        <f>IF(OR($M233="",$V233="Sub"),"",IF($M233&gt;=1,"Completado",IF($M233&gt;0,"En curso","Pendiente")))</f>
        <v/>
      </c>
      <c r="O233" s="56">
        <f>IF(OR(NOT((COUNTA($B233:$D233)+COUNTA($G233:$L233)+COUNTA($Q233))&gt;0),$V233="Sub"),"",IF(ISNUMBER($G233),IF(AND(ISNUMBER($AN233),$G233&gt;$AN233),"Cumplida con "&amp;($G233-$AN233)&amp;IF($G233-$AN233=1," día"," días")&amp;" de retraso","Cumplida"),IF(N($M233)&gt;=1,"Cumplida",IF(NOT(ISNUMBER($AN233)),"Sin fecha límite",IF($AN233&lt;FechaRef,"Vencida hace "&amp;(FechaRef-$AN233)&amp;IF(FechaRef-$AN233=1," día"," días"),IF($AN233=FechaRef,"Vence hoy",IF($AN233-FechaRef&lt;=DiasAlerta,"Vence en "&amp;($AN233-FechaRef)&amp;IF($AN233-FechaRef=1," día"," días"),"En plazo")))))))</f>
        <v/>
      </c>
      <c r="P233" s="62" t="n"/>
      <c r="Q233" s="58" t="n"/>
      <c r="R233" s="63">
        <f>IF(NOT((COUNTA($B233:$D233)+COUNTA($G233:$L233)+COUNTA($Q233))&gt;0),"",IF((IF($C233="","Falta el nombre de la actividad"&amp;" · ","")&amp;IF(AND($V233="Sub",N($U233)=0),"Subactividad sin macroactividad arriba"&amp;" · ","")&amp;IF($AM233="","Sin fecha de inicio"&amp;" · ","")&amp;IF($AN233="","Sin fecha límite"&amp;" · ","")&amp;IF(AND(LEFT($C233,11)="[Jefatura] ",N($AL233)=0),"No se encuentra en la hoja de la jefatura (elíjala de nuevo en la lista)"&amp;" · ","")&amp;IF(OR(AND($E233&lt;&gt;"",NOT(ISNUMBER($E233))),AND($F233&lt;&gt;"",NOT(ISNUMBER($F233))),AND($G233&lt;&gt;"",NOT(ISNUMBER($G233)))),"Fecha no válida"&amp;" · ","")&amp;IF(AND(ISNUMBER($AM233),ISNUMBER($AN233),$AM233&gt;$AN233),"Inicio posterior a fecha límite"&amp;" · ","")&amp;IF(AND($V233="Macro",$H233&lt;&gt;"",OR(NOT(ISNUMBER($H233)),$H233&lt;0,$H233&gt;1)),"Peso fuera de rango"&amp;" · ","")&amp;IF(AND($V233="Sub",$H233&lt;&gt;""),"Las subactividades no llevan peso (valen igual dentro de su macroactividad)"&amp;" · ","")&amp;IF(AND(N($W233)&gt;0,COUNT($I233:$L233)&gt;0),"Con subactividades: deje vacías las semanas (se calculan solas)"&amp;" · ","")&amp;IF((COUNTIF($I233:$L233,"&gt;1")+COUNTIF($I233:$L233,"&lt;0")+COUNTA($I233:$L233)-COUNT($I233:$L233))&gt;0,"Avance fuera de rango 0-100%"&amp;" · ","")&amp;IF(OR(AND($J233&lt;&gt;"",$J233&lt;$I233),AND($K233&lt;&gt;"",$K233&lt;MAX($I233:$J233)),AND($L233&lt;&gt;"",$L233&lt;MAX($I233:$K233))),"Avance semanal decreciente"&amp;" · ","")&amp;IF(AND(ISNUMBER($AN233),$AN233&lt;FechaRef,IF($V233="Sub",N($X233),N($M233))&lt;1),"Vencida"&amp;" · ","")&amp;IF(AND(ObsObligatoria="Sí",ISNUMBER($AN233),$AN233&lt;FechaRef,IF($V233="Sub",N($X233),N($M233))&lt;1,$Q233=""),"Vencida sin observación"&amp;" · ",""))="","✔ OK","⚠ "&amp;LEFT(IF($C233="","Falta el nombre de la actividad"&amp;" · ","")&amp;IF(AND($V233="Sub",N($U233)=0),"Subactividad sin macroactividad arriba"&amp;" · ","")&amp;IF($AM233="","Sin fecha de inicio"&amp;" · ","")&amp;IF($AN233="","Sin fecha límite"&amp;" · ","")&amp;IF(AND(LEFT($C233,11)="[Jefatura] ",N($AL233)=0),"No se encuentra en la hoja de la jefatura (elíjala de nuevo en la lista)"&amp;" · ","")&amp;IF(OR(AND($E233&lt;&gt;"",NOT(ISNUMBER($E233))),AND($F233&lt;&gt;"",NOT(ISNUMBER($F233))),AND($G233&lt;&gt;"",NOT(ISNUMBER($G233)))),"Fecha no válida"&amp;" · ","")&amp;IF(AND(ISNUMBER($AM233),ISNUMBER($AN233),$AM233&gt;$AN233),"Inicio posterior a fecha límite"&amp;" · ","")&amp;IF(AND($V233="Macro",$H233&lt;&gt;"",OR(NOT(ISNUMBER($H233)),$H233&lt;0,$H233&gt;1)),"Peso fuera de rango"&amp;" · ","")&amp;IF(AND($V233="Sub",$H233&lt;&gt;""),"Las subactividades no llevan peso (valen igual dentro de su macroactividad)"&amp;" · ","")&amp;IF(AND(N($W233)&gt;0,COUNT($I233:$L233)&gt;0),"Con subactividades: deje vacías las semanas (se calculan solas)"&amp;" · ","")&amp;IF((COUNTIF($I233:$L233,"&gt;1")+COUNTIF($I233:$L233,"&lt;0")+COUNTA($I233:$L233)-COUNT($I233:$L233))&gt;0,"Avance fuera de rango 0-100%"&amp;" · ","")&amp;IF(OR(AND($J233&lt;&gt;"",$J233&lt;$I233),AND($K233&lt;&gt;"",$K233&lt;MAX($I233:$J233)),AND($L233&lt;&gt;"",$L233&lt;MAX($I233:$K233))),"Avance semanal decreciente"&amp;" · ","")&amp;IF(AND(ISNUMBER($AN233),$AN233&lt;FechaRef,IF($V233="Sub",N($X233),N($M233))&lt;1),"Vencida"&amp;" · ","")&amp;IF(AND(ObsObligatoria="Sí",ISNUMBER($AN233),$AN233&lt;FechaRef,IF($V233="Sub",N($X233),N($M233))&lt;1,$Q233=""),"Vencida sin observación"&amp;" · ",""),LEN(IF($C233="","Falta el nombre de la actividad"&amp;" · ","")&amp;IF(AND($V233="Sub",N($U233)=0),"Subactividad sin macroactividad arriba"&amp;" · ","")&amp;IF($AM233="","Sin fecha de inicio"&amp;" · ","")&amp;IF($AN233="","Sin fecha límite"&amp;" · ","")&amp;IF(AND(LEFT($C233,11)="[Jefatura] ",N($AL233)=0),"No se encuentra en la hoja de la jefatura (elíjala de nuevo en la lista)"&amp;" · ","")&amp;IF(OR(AND($E233&lt;&gt;"",NOT(ISNUMBER($E233))),AND($F233&lt;&gt;"",NOT(ISNUMBER($F233))),AND($G233&lt;&gt;"",NOT(ISNUMBER($G233)))),"Fecha no válida"&amp;" · ","")&amp;IF(AND(ISNUMBER($AM233),ISNUMBER($AN233),$AM233&gt;$AN233),"Inicio posterior a fecha límite"&amp;" · ","")&amp;IF(AND($V233="Macro",$H233&lt;&gt;"",OR(NOT(ISNUMBER($H233)),$H233&lt;0,$H233&gt;1)),"Peso fuera de rango"&amp;" · ","")&amp;IF(AND($V233="Sub",$H233&lt;&gt;""),"Las subactividades no llevan peso (valen igual dentro de su macroactividad)"&amp;" · ","")&amp;IF(AND(N($W233)&gt;0,COUNT($I233:$L233)&gt;0),"Con subactividades: deje vacías las semanas (se calculan solas)"&amp;" · ","")&amp;IF((COUNTIF($I233:$L233,"&gt;1")+COUNTIF($I233:$L233,"&lt;0")+COUNTA($I233:$L233)-COUNT($I233:$L233))&gt;0,"Avance fuera de rango 0-100%"&amp;" · ","")&amp;IF(OR(AND($J233&lt;&gt;"",$J233&lt;$I233),AND($K233&lt;&gt;"",$K233&lt;MAX($I233:$J233)),AND($L233&lt;&gt;"",$L233&lt;MAX($I233:$K233))),"Avance semanal decreciente"&amp;" · ","")&amp;IF(AND(ISNUMBER($AN233),$AN233&lt;FechaRef,IF($V233="Sub",N($X233),N($M233))&lt;1),"Vencida"&amp;" · ","")&amp;IF(AND(ObsObligatoria="Sí",ISNUMBER($AN233),$AN233&lt;FechaRef,IF($V233="Sub",N($X233),N($M233))&lt;1,$Q233=""),"Vencida sin observación"&amp;" · ",""))-3)))</f>
        <v/>
      </c>
      <c r="S233" s="64">
        <f>IF(NOT((COUNTA($B233:$D233)+COUNTA($G233:$L233)+COUNTA($Q233))&gt;0),"",IF(AND($V233="Sub",N($U233)&gt;0),IF(ISNUMBER(INDEX($AM$5:$AM$1000,$U233-4)),DATE(YEAR(INDEX($AM$5:$AM$1000,$U233-4)),MONTH(INDEX($AM$5:$AM$1000,$U233-4)),1),IF(ISNUMBER(INDEX($AN$5:$AN$1000,$U233-4)),DATE(YEAR(INDEX($AN$5:$AN$1000,$U233-4)),MONTH(INDEX($AN$5:$AN$1000,$U233-4)),1),MesCiclo)),IF(ISNUMBER($AM233),DATE(YEAR($AM233),MONTH($AM233),1),IF(ISNUMBER($AN233),DATE(YEAR($AN233),MONTH($AN233),1),MesCiclo))))</f>
        <v/>
      </c>
      <c r="T233" s="62">
        <f>IF(OR($S233="",$S233&lt;&gt;MesCiclo,$V233&lt;&gt;"Macro"),"",COUNTIFS($S$5:$S233,MesCiclo,$V$5:$V233,"Macro"))</f>
        <v/>
      </c>
      <c r="U233" s="62">
        <f>IF($V233="","",IF($V233="Macro",ROW(),IFERROR(LOOKUP(2,1/($V$5:$V233="Macro"),ROW($V$5:$V233)),0)))</f>
        <v/>
      </c>
      <c r="V233" s="62">
        <f>IF(NOT((COUNTA($B233:$D233)+COUNTA($G233:$L233)+COUNTA($Q233))&gt;0),"",IF($B233="Subactividad","Sub","Macro"))</f>
        <v/>
      </c>
      <c r="W233" s="62">
        <f>IF($V233="Macro",COUNTIFS($U$5:$U$1000,ROW(),$V$5:$V$1000,"Sub"),"")</f>
        <v/>
      </c>
      <c r="X233" s="62">
        <f>IF($V233="","",IF(ISNUMBER($G233),1,IFERROR(LOOKUP(2,1/($I233:$L233&lt;&gt;""),$I233:$L233),0)))</f>
        <v/>
      </c>
      <c r="Y233" s="62">
        <f>IF($V233="","",IF(AND(ISNUMBER($G233),$G233&lt;=IF($S233=MesCiclo,InicioCiclo,$S233+MOD(2-WEEKDAY($S233),7))+6),1,IF(ISNUMBER($I233),$I233,0)))</f>
        <v/>
      </c>
      <c r="Z233" s="62">
        <f>IF($V233="","",IF(AND(ISNUMBER($G233),$G233&lt;=IF($S233=MesCiclo,InicioCiclo,$S233+MOD(2-WEEKDAY($S233),7))+13),1,IF(ISNUMBER($J233),$J233,$Y233)))</f>
        <v/>
      </c>
      <c r="AA233" s="62">
        <f>IF($V233="","",IF(AND(ISNUMBER($G233),$G233&lt;=IF($S233=MesCiclo,InicioCiclo,$S233+MOD(2-WEEKDAY($S233),7))+20),1,IF(ISNUMBER($K233),$K233,$Z233)))</f>
        <v/>
      </c>
      <c r="AB233" s="62">
        <f>IF($V233="","",IF(AND(ISNUMBER($G233),$G233&lt;=IF($S233=MesCiclo,InicioCiclo,$S233+MOD(2-WEEKDAY($S233),7))+27),1,IF(ISNUMBER($L233),$L233,$AA233)))</f>
        <v/>
      </c>
      <c r="AC233" s="62">
        <f>IF($V233="","",IF(AND(ISNUMBER($G233),$G233&lt;=IF($S233=MesCiclo,InicioCiclo,$S233+MOD(2-WEEKDAY($S233),7))+6),1,IF(N($W233)&gt;0,AVERAGEIFS($Y$5:$Y$1000,$U$5:$U$1000,ROW(),$V$5:$V$1000,"Sub"),$Y233)))</f>
        <v/>
      </c>
      <c r="AD233" s="62">
        <f>IF($V233="","",IF(AND(ISNUMBER($G233),$G233&lt;=IF($S233=MesCiclo,InicioCiclo,$S233+MOD(2-WEEKDAY($S233),7))+13),1,IF(N($W233)&gt;0,AVERAGEIFS($Z$5:$Z$1000,$U$5:$U$1000,ROW(),$V$5:$V$1000,"Sub"),$Z233)))</f>
        <v/>
      </c>
      <c r="AE233" s="62">
        <f>IF($V233="","",IF(AND(ISNUMBER($G233),$G233&lt;=IF($S233=MesCiclo,InicioCiclo,$S233+MOD(2-WEEKDAY($S233),7))+20),1,IF(N($W233)&gt;0,AVERAGEIFS($AA$5:$AA$1000,$U$5:$U$1000,ROW(),$V$5:$V$1000,"Sub"),$AA233)))</f>
        <v/>
      </c>
      <c r="AF233" s="62">
        <f>IF($V233="","",IF(AND(ISNUMBER($G233),$G233&lt;=IF($S233=MesCiclo,InicioCiclo,$S233+MOD(2-WEEKDAY($S233),7))+27),1,IF(N($W233)&gt;0,AVERAGEIFS($AB$5:$AB$1000,$U$5:$U$1000,ROW(),$V$5:$V$1000,"Sub"),$AB233)))</f>
        <v/>
      </c>
      <c r="AG233" s="62">
        <f>IF($V233&lt;&gt;"Macro","",IF(COUNTIFS($S$5:$S$1000,$S233,$V$5:$V$1000,"Macro",$H$5:$H$1000,"&gt;0")=0,1/COUNTIFS($S$5:$S$1000,$S233,$V$5:$V$1000,"Macro"),IF(AND(ISNUMBER($H233),N($H233)&gt;0),$H233,SUMIFS($H$5:$H$1000,$S$5:$S$1000,$S233,$V$5:$V$1000,"Macro")/COUNTIFS($S$5:$S$1000,$S233,$V$5:$V$1000,"Macro",$H$5:$H$1000,"&gt;0"))/(COUNTIFS($S$5:$S$1000,$S233,$V$5:$V$1000,"Macro")*SUMIFS($H$5:$H$1000,$S$5:$S$1000,$S233,$V$5:$V$1000,"Macro")/COUNTIFS($S$5:$S$1000,$S233,$V$5:$V$1000,"Macro",$H$5:$H$1000,"&gt;0"))))</f>
        <v/>
      </c>
      <c r="AH233" s="62" t="n"/>
      <c r="AI233" s="62" t="n"/>
      <c r="AJ233" s="62" t="n"/>
      <c r="AK233" s="62" t="n"/>
      <c r="AL233" s="62">
        <f>IF(LEFT($C233,11)="[Jefatura] ",IFERROR(MATCH("Asistente Técnico de Riesgo|"&amp;MID($C233,12,500),rDname_ADM,0),0),"")</f>
        <v/>
      </c>
      <c r="AM233" s="62">
        <f>IF(N($AL233)&gt;0,INDEX(rIni_ADM,$AL233),IF(ISNUMBER($E233),$E233,""))</f>
        <v/>
      </c>
      <c r="AN233" s="62">
        <f>IF(N($AL233)&gt;0,INDEX(rLim_ADM,$AL233),IF(ISNUMBER($F233),$F233,""))</f>
        <v/>
      </c>
    </row>
    <row r="234">
      <c r="A234" s="56">
        <f>IF(NOT((COUNTA($B234:$D234)+COUNTA($G234:$L234)+COUNTA($Q234))&gt;0),"",IF($V234="Macro",COUNTIFS($V$5:$V234,"Macro",$S$5:$S234,$S234),IF(N($U234)=0,"?",COUNTIFS(INDEX($V$5:$V$1000,1):INDEX($V$5:$V$1000,$U234-4),"Macro",INDEX($S$5:$S$1000,1):INDEX($S$5:$S$1000,$U234-4),INDEX($S$5:$S$1000,$U234-4))&amp;"."&amp;COUNTIFS($U$5:$U234,$U234,$V$5:$V234,"Sub"))))</f>
        <v/>
      </c>
      <c r="B234" s="57" t="n"/>
      <c r="C234" s="58" t="n"/>
      <c r="D234" s="58" t="n"/>
      <c r="E234" s="59">
        <f>IF(N($AL234)&gt;0,INDEX(rIni_ADM,$AL234),"")</f>
        <v/>
      </c>
      <c r="F234" s="59">
        <f>IF(N($AL234)&gt;0,INDEX(rLim_ADM,$AL234),"")</f>
        <v/>
      </c>
      <c r="G234" s="59" t="n"/>
      <c r="H234" s="60" t="n"/>
      <c r="I234" s="60" t="n"/>
      <c r="J234" s="60" t="n"/>
      <c r="K234" s="60" t="n"/>
      <c r="L234" s="60" t="n"/>
      <c r="M234" s="61">
        <f>IF(NOT((COUNTA($B234:$D234)+COUNTA($G234:$L234)+COUNTA($Q234))&gt;0),"",IF($V234="Sub",IFERROR($X234/INDEX($W$5:$W$1000,$U234-4),""),IF(ISNUMBER($G234),1,IF(N($W234)&gt;0,AVERAGEIFS($X$5:$X$1000,$U$5:$U$1000,ROW(),$V$5:$V$1000,"Sub"),$X234))))</f>
        <v/>
      </c>
      <c r="N234" s="56">
        <f>IF(OR($M234="",$V234="Sub"),"",IF($M234&gt;=1,"Completado",IF($M234&gt;0,"En curso","Pendiente")))</f>
        <v/>
      </c>
      <c r="O234" s="56">
        <f>IF(OR(NOT((COUNTA($B234:$D234)+COUNTA($G234:$L234)+COUNTA($Q234))&gt;0),$V234="Sub"),"",IF(ISNUMBER($G234),IF(AND(ISNUMBER($AN234),$G234&gt;$AN234),"Cumplida con "&amp;($G234-$AN234)&amp;IF($G234-$AN234=1," día"," días")&amp;" de retraso","Cumplida"),IF(N($M234)&gt;=1,"Cumplida",IF(NOT(ISNUMBER($AN234)),"Sin fecha límite",IF($AN234&lt;FechaRef,"Vencida hace "&amp;(FechaRef-$AN234)&amp;IF(FechaRef-$AN234=1," día"," días"),IF($AN234=FechaRef,"Vence hoy",IF($AN234-FechaRef&lt;=DiasAlerta,"Vence en "&amp;($AN234-FechaRef)&amp;IF($AN234-FechaRef=1," día"," días"),"En plazo")))))))</f>
        <v/>
      </c>
      <c r="P234" s="62" t="n"/>
      <c r="Q234" s="58" t="n"/>
      <c r="R234" s="63">
        <f>IF(NOT((COUNTA($B234:$D234)+COUNTA($G234:$L234)+COUNTA($Q234))&gt;0),"",IF((IF($C234="","Falta el nombre de la actividad"&amp;" · ","")&amp;IF(AND($V234="Sub",N($U234)=0),"Subactividad sin macroactividad arriba"&amp;" · ","")&amp;IF($AM234="","Sin fecha de inicio"&amp;" · ","")&amp;IF($AN234="","Sin fecha límite"&amp;" · ","")&amp;IF(AND(LEFT($C234,11)="[Jefatura] ",N($AL234)=0),"No se encuentra en la hoja de la jefatura (elíjala de nuevo en la lista)"&amp;" · ","")&amp;IF(OR(AND($E234&lt;&gt;"",NOT(ISNUMBER($E234))),AND($F234&lt;&gt;"",NOT(ISNUMBER($F234))),AND($G234&lt;&gt;"",NOT(ISNUMBER($G234)))),"Fecha no válida"&amp;" · ","")&amp;IF(AND(ISNUMBER($AM234),ISNUMBER($AN234),$AM234&gt;$AN234),"Inicio posterior a fecha límite"&amp;" · ","")&amp;IF(AND($V234="Macro",$H234&lt;&gt;"",OR(NOT(ISNUMBER($H234)),$H234&lt;0,$H234&gt;1)),"Peso fuera de rango"&amp;" · ","")&amp;IF(AND($V234="Sub",$H234&lt;&gt;""),"Las subactividades no llevan peso (valen igual dentro de su macroactividad)"&amp;" · ","")&amp;IF(AND(N($W234)&gt;0,COUNT($I234:$L234)&gt;0),"Con subactividades: deje vacías las semanas (se calculan solas)"&amp;" · ","")&amp;IF((COUNTIF($I234:$L234,"&gt;1")+COUNTIF($I234:$L234,"&lt;0")+COUNTA($I234:$L234)-COUNT($I234:$L234))&gt;0,"Avance fuera de rango 0-100%"&amp;" · ","")&amp;IF(OR(AND($J234&lt;&gt;"",$J234&lt;$I234),AND($K234&lt;&gt;"",$K234&lt;MAX($I234:$J234)),AND($L234&lt;&gt;"",$L234&lt;MAX($I234:$K234))),"Avance semanal decreciente"&amp;" · ","")&amp;IF(AND(ISNUMBER($AN234),$AN234&lt;FechaRef,IF($V234="Sub",N($X234),N($M234))&lt;1),"Vencida"&amp;" · ","")&amp;IF(AND(ObsObligatoria="Sí",ISNUMBER($AN234),$AN234&lt;FechaRef,IF($V234="Sub",N($X234),N($M234))&lt;1,$Q234=""),"Vencida sin observación"&amp;" · ",""))="","✔ OK","⚠ "&amp;LEFT(IF($C234="","Falta el nombre de la actividad"&amp;" · ","")&amp;IF(AND($V234="Sub",N($U234)=0),"Subactividad sin macroactividad arriba"&amp;" · ","")&amp;IF($AM234="","Sin fecha de inicio"&amp;" · ","")&amp;IF($AN234="","Sin fecha límite"&amp;" · ","")&amp;IF(AND(LEFT($C234,11)="[Jefatura] ",N($AL234)=0),"No se encuentra en la hoja de la jefatura (elíjala de nuevo en la lista)"&amp;" · ","")&amp;IF(OR(AND($E234&lt;&gt;"",NOT(ISNUMBER($E234))),AND($F234&lt;&gt;"",NOT(ISNUMBER($F234))),AND($G234&lt;&gt;"",NOT(ISNUMBER($G234)))),"Fecha no válida"&amp;" · ","")&amp;IF(AND(ISNUMBER($AM234),ISNUMBER($AN234),$AM234&gt;$AN234),"Inicio posterior a fecha límite"&amp;" · ","")&amp;IF(AND($V234="Macro",$H234&lt;&gt;"",OR(NOT(ISNUMBER($H234)),$H234&lt;0,$H234&gt;1)),"Peso fuera de rango"&amp;" · ","")&amp;IF(AND($V234="Sub",$H234&lt;&gt;""),"Las subactividades no llevan peso (valen igual dentro de su macroactividad)"&amp;" · ","")&amp;IF(AND(N($W234)&gt;0,COUNT($I234:$L234)&gt;0),"Con subactividades: deje vacías las semanas (se calculan solas)"&amp;" · ","")&amp;IF((COUNTIF($I234:$L234,"&gt;1")+COUNTIF($I234:$L234,"&lt;0")+COUNTA($I234:$L234)-COUNT($I234:$L234))&gt;0,"Avance fuera de rango 0-100%"&amp;" · ","")&amp;IF(OR(AND($J234&lt;&gt;"",$J234&lt;$I234),AND($K234&lt;&gt;"",$K234&lt;MAX($I234:$J234)),AND($L234&lt;&gt;"",$L234&lt;MAX($I234:$K234))),"Avance semanal decreciente"&amp;" · ","")&amp;IF(AND(ISNUMBER($AN234),$AN234&lt;FechaRef,IF($V234="Sub",N($X234),N($M234))&lt;1),"Vencida"&amp;" · ","")&amp;IF(AND(ObsObligatoria="Sí",ISNUMBER($AN234),$AN234&lt;FechaRef,IF($V234="Sub",N($X234),N($M234))&lt;1,$Q234=""),"Vencida sin observación"&amp;" · ",""),LEN(IF($C234="","Falta el nombre de la actividad"&amp;" · ","")&amp;IF(AND($V234="Sub",N($U234)=0),"Subactividad sin macroactividad arriba"&amp;" · ","")&amp;IF($AM234="","Sin fecha de inicio"&amp;" · ","")&amp;IF($AN234="","Sin fecha límite"&amp;" · ","")&amp;IF(AND(LEFT($C234,11)="[Jefatura] ",N($AL234)=0),"No se encuentra en la hoja de la jefatura (elíjala de nuevo en la lista)"&amp;" · ","")&amp;IF(OR(AND($E234&lt;&gt;"",NOT(ISNUMBER($E234))),AND($F234&lt;&gt;"",NOT(ISNUMBER($F234))),AND($G234&lt;&gt;"",NOT(ISNUMBER($G234)))),"Fecha no válida"&amp;" · ","")&amp;IF(AND(ISNUMBER($AM234),ISNUMBER($AN234),$AM234&gt;$AN234),"Inicio posterior a fecha límite"&amp;" · ","")&amp;IF(AND($V234="Macro",$H234&lt;&gt;"",OR(NOT(ISNUMBER($H234)),$H234&lt;0,$H234&gt;1)),"Peso fuera de rango"&amp;" · ","")&amp;IF(AND($V234="Sub",$H234&lt;&gt;""),"Las subactividades no llevan peso (valen igual dentro de su macroactividad)"&amp;" · ","")&amp;IF(AND(N($W234)&gt;0,COUNT($I234:$L234)&gt;0),"Con subactividades: deje vacías las semanas (se calculan solas)"&amp;" · ","")&amp;IF((COUNTIF($I234:$L234,"&gt;1")+COUNTIF($I234:$L234,"&lt;0")+COUNTA($I234:$L234)-COUNT($I234:$L234))&gt;0,"Avance fuera de rango 0-100%"&amp;" · ","")&amp;IF(OR(AND($J234&lt;&gt;"",$J234&lt;$I234),AND($K234&lt;&gt;"",$K234&lt;MAX($I234:$J234)),AND($L234&lt;&gt;"",$L234&lt;MAX($I234:$K234))),"Avance semanal decreciente"&amp;" · ","")&amp;IF(AND(ISNUMBER($AN234),$AN234&lt;FechaRef,IF($V234="Sub",N($X234),N($M234))&lt;1),"Vencida"&amp;" · ","")&amp;IF(AND(ObsObligatoria="Sí",ISNUMBER($AN234),$AN234&lt;FechaRef,IF($V234="Sub",N($X234),N($M234))&lt;1,$Q234=""),"Vencida sin observación"&amp;" · ",""))-3)))</f>
        <v/>
      </c>
      <c r="S234" s="64">
        <f>IF(NOT((COUNTA($B234:$D234)+COUNTA($G234:$L234)+COUNTA($Q234))&gt;0),"",IF(AND($V234="Sub",N($U234)&gt;0),IF(ISNUMBER(INDEX($AM$5:$AM$1000,$U234-4)),DATE(YEAR(INDEX($AM$5:$AM$1000,$U234-4)),MONTH(INDEX($AM$5:$AM$1000,$U234-4)),1),IF(ISNUMBER(INDEX($AN$5:$AN$1000,$U234-4)),DATE(YEAR(INDEX($AN$5:$AN$1000,$U234-4)),MONTH(INDEX($AN$5:$AN$1000,$U234-4)),1),MesCiclo)),IF(ISNUMBER($AM234),DATE(YEAR($AM234),MONTH($AM234),1),IF(ISNUMBER($AN234),DATE(YEAR($AN234),MONTH($AN234),1),MesCiclo))))</f>
        <v/>
      </c>
      <c r="T234" s="62">
        <f>IF(OR($S234="",$S234&lt;&gt;MesCiclo,$V234&lt;&gt;"Macro"),"",COUNTIFS($S$5:$S234,MesCiclo,$V$5:$V234,"Macro"))</f>
        <v/>
      </c>
      <c r="U234" s="62">
        <f>IF($V234="","",IF($V234="Macro",ROW(),IFERROR(LOOKUP(2,1/($V$5:$V234="Macro"),ROW($V$5:$V234)),0)))</f>
        <v/>
      </c>
      <c r="V234" s="62">
        <f>IF(NOT((COUNTA($B234:$D234)+COUNTA($G234:$L234)+COUNTA($Q234))&gt;0),"",IF($B234="Subactividad","Sub","Macro"))</f>
        <v/>
      </c>
      <c r="W234" s="62">
        <f>IF($V234="Macro",COUNTIFS($U$5:$U$1000,ROW(),$V$5:$V$1000,"Sub"),"")</f>
        <v/>
      </c>
      <c r="X234" s="62">
        <f>IF($V234="","",IF(ISNUMBER($G234),1,IFERROR(LOOKUP(2,1/($I234:$L234&lt;&gt;""),$I234:$L234),0)))</f>
        <v/>
      </c>
      <c r="Y234" s="62">
        <f>IF($V234="","",IF(AND(ISNUMBER($G234),$G234&lt;=IF($S234=MesCiclo,InicioCiclo,$S234+MOD(2-WEEKDAY($S234),7))+6),1,IF(ISNUMBER($I234),$I234,0)))</f>
        <v/>
      </c>
      <c r="Z234" s="62">
        <f>IF($V234="","",IF(AND(ISNUMBER($G234),$G234&lt;=IF($S234=MesCiclo,InicioCiclo,$S234+MOD(2-WEEKDAY($S234),7))+13),1,IF(ISNUMBER($J234),$J234,$Y234)))</f>
        <v/>
      </c>
      <c r="AA234" s="62">
        <f>IF($V234="","",IF(AND(ISNUMBER($G234),$G234&lt;=IF($S234=MesCiclo,InicioCiclo,$S234+MOD(2-WEEKDAY($S234),7))+20),1,IF(ISNUMBER($K234),$K234,$Z234)))</f>
        <v/>
      </c>
      <c r="AB234" s="62">
        <f>IF($V234="","",IF(AND(ISNUMBER($G234),$G234&lt;=IF($S234=MesCiclo,InicioCiclo,$S234+MOD(2-WEEKDAY($S234),7))+27),1,IF(ISNUMBER($L234),$L234,$AA234)))</f>
        <v/>
      </c>
      <c r="AC234" s="62">
        <f>IF($V234="","",IF(AND(ISNUMBER($G234),$G234&lt;=IF($S234=MesCiclo,InicioCiclo,$S234+MOD(2-WEEKDAY($S234),7))+6),1,IF(N($W234)&gt;0,AVERAGEIFS($Y$5:$Y$1000,$U$5:$U$1000,ROW(),$V$5:$V$1000,"Sub"),$Y234)))</f>
        <v/>
      </c>
      <c r="AD234" s="62">
        <f>IF($V234="","",IF(AND(ISNUMBER($G234),$G234&lt;=IF($S234=MesCiclo,InicioCiclo,$S234+MOD(2-WEEKDAY($S234),7))+13),1,IF(N($W234)&gt;0,AVERAGEIFS($Z$5:$Z$1000,$U$5:$U$1000,ROW(),$V$5:$V$1000,"Sub"),$Z234)))</f>
        <v/>
      </c>
      <c r="AE234" s="62">
        <f>IF($V234="","",IF(AND(ISNUMBER($G234),$G234&lt;=IF($S234=MesCiclo,InicioCiclo,$S234+MOD(2-WEEKDAY($S234),7))+20),1,IF(N($W234)&gt;0,AVERAGEIFS($AA$5:$AA$1000,$U$5:$U$1000,ROW(),$V$5:$V$1000,"Sub"),$AA234)))</f>
        <v/>
      </c>
      <c r="AF234" s="62">
        <f>IF($V234="","",IF(AND(ISNUMBER($G234),$G234&lt;=IF($S234=MesCiclo,InicioCiclo,$S234+MOD(2-WEEKDAY($S234),7))+27),1,IF(N($W234)&gt;0,AVERAGEIFS($AB$5:$AB$1000,$U$5:$U$1000,ROW(),$V$5:$V$1000,"Sub"),$AB234)))</f>
        <v/>
      </c>
      <c r="AG234" s="62">
        <f>IF($V234&lt;&gt;"Macro","",IF(COUNTIFS($S$5:$S$1000,$S234,$V$5:$V$1000,"Macro",$H$5:$H$1000,"&gt;0")=0,1/COUNTIFS($S$5:$S$1000,$S234,$V$5:$V$1000,"Macro"),IF(AND(ISNUMBER($H234),N($H234)&gt;0),$H234,SUMIFS($H$5:$H$1000,$S$5:$S$1000,$S234,$V$5:$V$1000,"Macro")/COUNTIFS($S$5:$S$1000,$S234,$V$5:$V$1000,"Macro",$H$5:$H$1000,"&gt;0"))/(COUNTIFS($S$5:$S$1000,$S234,$V$5:$V$1000,"Macro")*SUMIFS($H$5:$H$1000,$S$5:$S$1000,$S234,$V$5:$V$1000,"Macro")/COUNTIFS($S$5:$S$1000,$S234,$V$5:$V$1000,"Macro",$H$5:$H$1000,"&gt;0"))))</f>
        <v/>
      </c>
      <c r="AH234" s="62" t="n"/>
      <c r="AI234" s="62" t="n"/>
      <c r="AJ234" s="62" t="n"/>
      <c r="AK234" s="62" t="n"/>
      <c r="AL234" s="62">
        <f>IF(LEFT($C234,11)="[Jefatura] ",IFERROR(MATCH("Asistente Técnico de Riesgo|"&amp;MID($C234,12,500),rDname_ADM,0),0),"")</f>
        <v/>
      </c>
      <c r="AM234" s="62">
        <f>IF(N($AL234)&gt;0,INDEX(rIni_ADM,$AL234),IF(ISNUMBER($E234),$E234,""))</f>
        <v/>
      </c>
      <c r="AN234" s="62">
        <f>IF(N($AL234)&gt;0,INDEX(rLim_ADM,$AL234),IF(ISNUMBER($F234),$F234,""))</f>
        <v/>
      </c>
    </row>
    <row r="235">
      <c r="A235" s="56">
        <f>IF(NOT((COUNTA($B235:$D235)+COUNTA($G235:$L235)+COUNTA($Q235))&gt;0),"",IF($V235="Macro",COUNTIFS($V$5:$V235,"Macro",$S$5:$S235,$S235),IF(N($U235)=0,"?",COUNTIFS(INDEX($V$5:$V$1000,1):INDEX($V$5:$V$1000,$U235-4),"Macro",INDEX($S$5:$S$1000,1):INDEX($S$5:$S$1000,$U235-4),INDEX($S$5:$S$1000,$U235-4))&amp;"."&amp;COUNTIFS($U$5:$U235,$U235,$V$5:$V235,"Sub"))))</f>
        <v/>
      </c>
      <c r="B235" s="57" t="n"/>
      <c r="C235" s="58" t="n"/>
      <c r="D235" s="58" t="n"/>
      <c r="E235" s="59">
        <f>IF(N($AL235)&gt;0,INDEX(rIni_ADM,$AL235),"")</f>
        <v/>
      </c>
      <c r="F235" s="59">
        <f>IF(N($AL235)&gt;0,INDEX(rLim_ADM,$AL235),"")</f>
        <v/>
      </c>
      <c r="G235" s="59" t="n"/>
      <c r="H235" s="60" t="n"/>
      <c r="I235" s="60" t="n"/>
      <c r="J235" s="60" t="n"/>
      <c r="K235" s="60" t="n"/>
      <c r="L235" s="60" t="n"/>
      <c r="M235" s="61">
        <f>IF(NOT((COUNTA($B235:$D235)+COUNTA($G235:$L235)+COUNTA($Q235))&gt;0),"",IF($V235="Sub",IFERROR($X235/INDEX($W$5:$W$1000,$U235-4),""),IF(ISNUMBER($G235),1,IF(N($W235)&gt;0,AVERAGEIFS($X$5:$X$1000,$U$5:$U$1000,ROW(),$V$5:$V$1000,"Sub"),$X235))))</f>
        <v/>
      </c>
      <c r="N235" s="56">
        <f>IF(OR($M235="",$V235="Sub"),"",IF($M235&gt;=1,"Completado",IF($M235&gt;0,"En curso","Pendiente")))</f>
        <v/>
      </c>
      <c r="O235" s="56">
        <f>IF(OR(NOT((COUNTA($B235:$D235)+COUNTA($G235:$L235)+COUNTA($Q235))&gt;0),$V235="Sub"),"",IF(ISNUMBER($G235),IF(AND(ISNUMBER($AN235),$G235&gt;$AN235),"Cumplida con "&amp;($G235-$AN235)&amp;IF($G235-$AN235=1," día"," días")&amp;" de retraso","Cumplida"),IF(N($M235)&gt;=1,"Cumplida",IF(NOT(ISNUMBER($AN235)),"Sin fecha límite",IF($AN235&lt;FechaRef,"Vencida hace "&amp;(FechaRef-$AN235)&amp;IF(FechaRef-$AN235=1," día"," días"),IF($AN235=FechaRef,"Vence hoy",IF($AN235-FechaRef&lt;=DiasAlerta,"Vence en "&amp;($AN235-FechaRef)&amp;IF($AN235-FechaRef=1," día"," días"),"En plazo")))))))</f>
        <v/>
      </c>
      <c r="P235" s="62" t="n"/>
      <c r="Q235" s="58" t="n"/>
      <c r="R235" s="63">
        <f>IF(NOT((COUNTA($B235:$D235)+COUNTA($G235:$L235)+COUNTA($Q235))&gt;0),"",IF((IF($C235="","Falta el nombre de la actividad"&amp;" · ","")&amp;IF(AND($V235="Sub",N($U235)=0),"Subactividad sin macroactividad arriba"&amp;" · ","")&amp;IF($AM235="","Sin fecha de inicio"&amp;" · ","")&amp;IF($AN235="","Sin fecha límite"&amp;" · ","")&amp;IF(AND(LEFT($C235,11)="[Jefatura] ",N($AL235)=0),"No se encuentra en la hoja de la jefatura (elíjala de nuevo en la lista)"&amp;" · ","")&amp;IF(OR(AND($E235&lt;&gt;"",NOT(ISNUMBER($E235))),AND($F235&lt;&gt;"",NOT(ISNUMBER($F235))),AND($G235&lt;&gt;"",NOT(ISNUMBER($G235)))),"Fecha no válida"&amp;" · ","")&amp;IF(AND(ISNUMBER($AM235),ISNUMBER($AN235),$AM235&gt;$AN235),"Inicio posterior a fecha límite"&amp;" · ","")&amp;IF(AND($V235="Macro",$H235&lt;&gt;"",OR(NOT(ISNUMBER($H235)),$H235&lt;0,$H235&gt;1)),"Peso fuera de rango"&amp;" · ","")&amp;IF(AND($V235="Sub",$H235&lt;&gt;""),"Las subactividades no llevan peso (valen igual dentro de su macroactividad)"&amp;" · ","")&amp;IF(AND(N($W235)&gt;0,COUNT($I235:$L235)&gt;0),"Con subactividades: deje vacías las semanas (se calculan solas)"&amp;" · ","")&amp;IF((COUNTIF($I235:$L235,"&gt;1")+COUNTIF($I235:$L235,"&lt;0")+COUNTA($I235:$L235)-COUNT($I235:$L235))&gt;0,"Avance fuera de rango 0-100%"&amp;" · ","")&amp;IF(OR(AND($J235&lt;&gt;"",$J235&lt;$I235),AND($K235&lt;&gt;"",$K235&lt;MAX($I235:$J235)),AND($L235&lt;&gt;"",$L235&lt;MAX($I235:$K235))),"Avance semanal decreciente"&amp;" · ","")&amp;IF(AND(ISNUMBER($AN235),$AN235&lt;FechaRef,IF($V235="Sub",N($X235),N($M235))&lt;1),"Vencida"&amp;" · ","")&amp;IF(AND(ObsObligatoria="Sí",ISNUMBER($AN235),$AN235&lt;FechaRef,IF($V235="Sub",N($X235),N($M235))&lt;1,$Q235=""),"Vencida sin observación"&amp;" · ",""))="","✔ OK","⚠ "&amp;LEFT(IF($C235="","Falta el nombre de la actividad"&amp;" · ","")&amp;IF(AND($V235="Sub",N($U235)=0),"Subactividad sin macroactividad arriba"&amp;" · ","")&amp;IF($AM235="","Sin fecha de inicio"&amp;" · ","")&amp;IF($AN235="","Sin fecha límite"&amp;" · ","")&amp;IF(AND(LEFT($C235,11)="[Jefatura] ",N($AL235)=0),"No se encuentra en la hoja de la jefatura (elíjala de nuevo en la lista)"&amp;" · ","")&amp;IF(OR(AND($E235&lt;&gt;"",NOT(ISNUMBER($E235))),AND($F235&lt;&gt;"",NOT(ISNUMBER($F235))),AND($G235&lt;&gt;"",NOT(ISNUMBER($G235)))),"Fecha no válida"&amp;" · ","")&amp;IF(AND(ISNUMBER($AM235),ISNUMBER($AN235),$AM235&gt;$AN235),"Inicio posterior a fecha límite"&amp;" · ","")&amp;IF(AND($V235="Macro",$H235&lt;&gt;"",OR(NOT(ISNUMBER($H235)),$H235&lt;0,$H235&gt;1)),"Peso fuera de rango"&amp;" · ","")&amp;IF(AND($V235="Sub",$H235&lt;&gt;""),"Las subactividades no llevan peso (valen igual dentro de su macroactividad)"&amp;" · ","")&amp;IF(AND(N($W235)&gt;0,COUNT($I235:$L235)&gt;0),"Con subactividades: deje vacías las semanas (se calculan solas)"&amp;" · ","")&amp;IF((COUNTIF($I235:$L235,"&gt;1")+COUNTIF($I235:$L235,"&lt;0")+COUNTA($I235:$L235)-COUNT($I235:$L235))&gt;0,"Avance fuera de rango 0-100%"&amp;" · ","")&amp;IF(OR(AND($J235&lt;&gt;"",$J235&lt;$I235),AND($K235&lt;&gt;"",$K235&lt;MAX($I235:$J235)),AND($L235&lt;&gt;"",$L235&lt;MAX($I235:$K235))),"Avance semanal decreciente"&amp;" · ","")&amp;IF(AND(ISNUMBER($AN235),$AN235&lt;FechaRef,IF($V235="Sub",N($X235),N($M235))&lt;1),"Vencida"&amp;" · ","")&amp;IF(AND(ObsObligatoria="Sí",ISNUMBER($AN235),$AN235&lt;FechaRef,IF($V235="Sub",N($X235),N($M235))&lt;1,$Q235=""),"Vencida sin observación"&amp;" · ",""),LEN(IF($C235="","Falta el nombre de la actividad"&amp;" · ","")&amp;IF(AND($V235="Sub",N($U235)=0),"Subactividad sin macroactividad arriba"&amp;" · ","")&amp;IF($AM235="","Sin fecha de inicio"&amp;" · ","")&amp;IF($AN235="","Sin fecha límite"&amp;" · ","")&amp;IF(AND(LEFT($C235,11)="[Jefatura] ",N($AL235)=0),"No se encuentra en la hoja de la jefatura (elíjala de nuevo en la lista)"&amp;" · ","")&amp;IF(OR(AND($E235&lt;&gt;"",NOT(ISNUMBER($E235))),AND($F235&lt;&gt;"",NOT(ISNUMBER($F235))),AND($G235&lt;&gt;"",NOT(ISNUMBER($G235)))),"Fecha no válida"&amp;" · ","")&amp;IF(AND(ISNUMBER($AM235),ISNUMBER($AN235),$AM235&gt;$AN235),"Inicio posterior a fecha límite"&amp;" · ","")&amp;IF(AND($V235="Macro",$H235&lt;&gt;"",OR(NOT(ISNUMBER($H235)),$H235&lt;0,$H235&gt;1)),"Peso fuera de rango"&amp;" · ","")&amp;IF(AND($V235="Sub",$H235&lt;&gt;""),"Las subactividades no llevan peso (valen igual dentro de su macroactividad)"&amp;" · ","")&amp;IF(AND(N($W235)&gt;0,COUNT($I235:$L235)&gt;0),"Con subactividades: deje vacías las semanas (se calculan solas)"&amp;" · ","")&amp;IF((COUNTIF($I235:$L235,"&gt;1")+COUNTIF($I235:$L235,"&lt;0")+COUNTA($I235:$L235)-COUNT($I235:$L235))&gt;0,"Avance fuera de rango 0-100%"&amp;" · ","")&amp;IF(OR(AND($J235&lt;&gt;"",$J235&lt;$I235),AND($K235&lt;&gt;"",$K235&lt;MAX($I235:$J235)),AND($L235&lt;&gt;"",$L235&lt;MAX($I235:$K235))),"Avance semanal decreciente"&amp;" · ","")&amp;IF(AND(ISNUMBER($AN235),$AN235&lt;FechaRef,IF($V235="Sub",N($X235),N($M235))&lt;1),"Vencida"&amp;" · ","")&amp;IF(AND(ObsObligatoria="Sí",ISNUMBER($AN235),$AN235&lt;FechaRef,IF($V235="Sub",N($X235),N($M235))&lt;1,$Q235=""),"Vencida sin observación"&amp;" · ",""))-3)))</f>
        <v/>
      </c>
      <c r="S235" s="64">
        <f>IF(NOT((COUNTA($B235:$D235)+COUNTA($G235:$L235)+COUNTA($Q235))&gt;0),"",IF(AND($V235="Sub",N($U235)&gt;0),IF(ISNUMBER(INDEX($AM$5:$AM$1000,$U235-4)),DATE(YEAR(INDEX($AM$5:$AM$1000,$U235-4)),MONTH(INDEX($AM$5:$AM$1000,$U235-4)),1),IF(ISNUMBER(INDEX($AN$5:$AN$1000,$U235-4)),DATE(YEAR(INDEX($AN$5:$AN$1000,$U235-4)),MONTH(INDEX($AN$5:$AN$1000,$U235-4)),1),MesCiclo)),IF(ISNUMBER($AM235),DATE(YEAR($AM235),MONTH($AM235),1),IF(ISNUMBER($AN235),DATE(YEAR($AN235),MONTH($AN235),1),MesCiclo))))</f>
        <v/>
      </c>
      <c r="T235" s="62">
        <f>IF(OR($S235="",$S235&lt;&gt;MesCiclo,$V235&lt;&gt;"Macro"),"",COUNTIFS($S$5:$S235,MesCiclo,$V$5:$V235,"Macro"))</f>
        <v/>
      </c>
      <c r="U235" s="62">
        <f>IF($V235="","",IF($V235="Macro",ROW(),IFERROR(LOOKUP(2,1/($V$5:$V235="Macro"),ROW($V$5:$V235)),0)))</f>
        <v/>
      </c>
      <c r="V235" s="62">
        <f>IF(NOT((COUNTA($B235:$D235)+COUNTA($G235:$L235)+COUNTA($Q235))&gt;0),"",IF($B235="Subactividad","Sub","Macro"))</f>
        <v/>
      </c>
      <c r="W235" s="62">
        <f>IF($V235="Macro",COUNTIFS($U$5:$U$1000,ROW(),$V$5:$V$1000,"Sub"),"")</f>
        <v/>
      </c>
      <c r="X235" s="62">
        <f>IF($V235="","",IF(ISNUMBER($G235),1,IFERROR(LOOKUP(2,1/($I235:$L235&lt;&gt;""),$I235:$L235),0)))</f>
        <v/>
      </c>
      <c r="Y235" s="62">
        <f>IF($V235="","",IF(AND(ISNUMBER($G235),$G235&lt;=IF($S235=MesCiclo,InicioCiclo,$S235+MOD(2-WEEKDAY($S235),7))+6),1,IF(ISNUMBER($I235),$I235,0)))</f>
        <v/>
      </c>
      <c r="Z235" s="62">
        <f>IF($V235="","",IF(AND(ISNUMBER($G235),$G235&lt;=IF($S235=MesCiclo,InicioCiclo,$S235+MOD(2-WEEKDAY($S235),7))+13),1,IF(ISNUMBER($J235),$J235,$Y235)))</f>
        <v/>
      </c>
      <c r="AA235" s="62">
        <f>IF($V235="","",IF(AND(ISNUMBER($G235),$G235&lt;=IF($S235=MesCiclo,InicioCiclo,$S235+MOD(2-WEEKDAY($S235),7))+20),1,IF(ISNUMBER($K235),$K235,$Z235)))</f>
        <v/>
      </c>
      <c r="AB235" s="62">
        <f>IF($V235="","",IF(AND(ISNUMBER($G235),$G235&lt;=IF($S235=MesCiclo,InicioCiclo,$S235+MOD(2-WEEKDAY($S235),7))+27),1,IF(ISNUMBER($L235),$L235,$AA235)))</f>
        <v/>
      </c>
      <c r="AC235" s="62">
        <f>IF($V235="","",IF(AND(ISNUMBER($G235),$G235&lt;=IF($S235=MesCiclo,InicioCiclo,$S235+MOD(2-WEEKDAY($S235),7))+6),1,IF(N($W235)&gt;0,AVERAGEIFS($Y$5:$Y$1000,$U$5:$U$1000,ROW(),$V$5:$V$1000,"Sub"),$Y235)))</f>
        <v/>
      </c>
      <c r="AD235" s="62">
        <f>IF($V235="","",IF(AND(ISNUMBER($G235),$G235&lt;=IF($S235=MesCiclo,InicioCiclo,$S235+MOD(2-WEEKDAY($S235),7))+13),1,IF(N($W235)&gt;0,AVERAGEIFS($Z$5:$Z$1000,$U$5:$U$1000,ROW(),$V$5:$V$1000,"Sub"),$Z235)))</f>
        <v/>
      </c>
      <c r="AE235" s="62">
        <f>IF($V235="","",IF(AND(ISNUMBER($G235),$G235&lt;=IF($S235=MesCiclo,InicioCiclo,$S235+MOD(2-WEEKDAY($S235),7))+20),1,IF(N($W235)&gt;0,AVERAGEIFS($AA$5:$AA$1000,$U$5:$U$1000,ROW(),$V$5:$V$1000,"Sub"),$AA235)))</f>
        <v/>
      </c>
      <c r="AF235" s="62">
        <f>IF($V235="","",IF(AND(ISNUMBER($G235),$G235&lt;=IF($S235=MesCiclo,InicioCiclo,$S235+MOD(2-WEEKDAY($S235),7))+27),1,IF(N($W235)&gt;0,AVERAGEIFS($AB$5:$AB$1000,$U$5:$U$1000,ROW(),$V$5:$V$1000,"Sub"),$AB235)))</f>
        <v/>
      </c>
      <c r="AG235" s="62">
        <f>IF($V235&lt;&gt;"Macro","",IF(COUNTIFS($S$5:$S$1000,$S235,$V$5:$V$1000,"Macro",$H$5:$H$1000,"&gt;0")=0,1/COUNTIFS($S$5:$S$1000,$S235,$V$5:$V$1000,"Macro"),IF(AND(ISNUMBER($H235),N($H235)&gt;0),$H235,SUMIFS($H$5:$H$1000,$S$5:$S$1000,$S235,$V$5:$V$1000,"Macro")/COUNTIFS($S$5:$S$1000,$S235,$V$5:$V$1000,"Macro",$H$5:$H$1000,"&gt;0"))/(COUNTIFS($S$5:$S$1000,$S235,$V$5:$V$1000,"Macro")*SUMIFS($H$5:$H$1000,$S$5:$S$1000,$S235,$V$5:$V$1000,"Macro")/COUNTIFS($S$5:$S$1000,$S235,$V$5:$V$1000,"Macro",$H$5:$H$1000,"&gt;0"))))</f>
        <v/>
      </c>
      <c r="AH235" s="62" t="n"/>
      <c r="AI235" s="62" t="n"/>
      <c r="AJ235" s="62" t="n"/>
      <c r="AK235" s="62" t="n"/>
      <c r="AL235" s="62">
        <f>IF(LEFT($C235,11)="[Jefatura] ",IFERROR(MATCH("Asistente Técnico de Riesgo|"&amp;MID($C235,12,500),rDname_ADM,0),0),"")</f>
        <v/>
      </c>
      <c r="AM235" s="62">
        <f>IF(N($AL235)&gt;0,INDEX(rIni_ADM,$AL235),IF(ISNUMBER($E235),$E235,""))</f>
        <v/>
      </c>
      <c r="AN235" s="62">
        <f>IF(N($AL235)&gt;0,INDEX(rLim_ADM,$AL235),IF(ISNUMBER($F235),$F235,""))</f>
        <v/>
      </c>
    </row>
    <row r="236">
      <c r="A236" s="56">
        <f>IF(NOT((COUNTA($B236:$D236)+COUNTA($G236:$L236)+COUNTA($Q236))&gt;0),"",IF($V236="Macro",COUNTIFS($V$5:$V236,"Macro",$S$5:$S236,$S236),IF(N($U236)=0,"?",COUNTIFS(INDEX($V$5:$V$1000,1):INDEX($V$5:$V$1000,$U236-4),"Macro",INDEX($S$5:$S$1000,1):INDEX($S$5:$S$1000,$U236-4),INDEX($S$5:$S$1000,$U236-4))&amp;"."&amp;COUNTIFS($U$5:$U236,$U236,$V$5:$V236,"Sub"))))</f>
        <v/>
      </c>
      <c r="B236" s="57" t="n"/>
      <c r="C236" s="58" t="n"/>
      <c r="D236" s="58" t="n"/>
      <c r="E236" s="59">
        <f>IF(N($AL236)&gt;0,INDEX(rIni_ADM,$AL236),"")</f>
        <v/>
      </c>
      <c r="F236" s="59">
        <f>IF(N($AL236)&gt;0,INDEX(rLim_ADM,$AL236),"")</f>
        <v/>
      </c>
      <c r="G236" s="59" t="n"/>
      <c r="H236" s="60" t="n"/>
      <c r="I236" s="60" t="n"/>
      <c r="J236" s="60" t="n"/>
      <c r="K236" s="60" t="n"/>
      <c r="L236" s="60" t="n"/>
      <c r="M236" s="61">
        <f>IF(NOT((COUNTA($B236:$D236)+COUNTA($G236:$L236)+COUNTA($Q236))&gt;0),"",IF($V236="Sub",IFERROR($X236/INDEX($W$5:$W$1000,$U236-4),""),IF(ISNUMBER($G236),1,IF(N($W236)&gt;0,AVERAGEIFS($X$5:$X$1000,$U$5:$U$1000,ROW(),$V$5:$V$1000,"Sub"),$X236))))</f>
        <v/>
      </c>
      <c r="N236" s="56">
        <f>IF(OR($M236="",$V236="Sub"),"",IF($M236&gt;=1,"Completado",IF($M236&gt;0,"En curso","Pendiente")))</f>
        <v/>
      </c>
      <c r="O236" s="56">
        <f>IF(OR(NOT((COUNTA($B236:$D236)+COUNTA($G236:$L236)+COUNTA($Q236))&gt;0),$V236="Sub"),"",IF(ISNUMBER($G236),IF(AND(ISNUMBER($AN236),$G236&gt;$AN236),"Cumplida con "&amp;($G236-$AN236)&amp;IF($G236-$AN236=1," día"," días")&amp;" de retraso","Cumplida"),IF(N($M236)&gt;=1,"Cumplida",IF(NOT(ISNUMBER($AN236)),"Sin fecha límite",IF($AN236&lt;FechaRef,"Vencida hace "&amp;(FechaRef-$AN236)&amp;IF(FechaRef-$AN236=1," día"," días"),IF($AN236=FechaRef,"Vence hoy",IF($AN236-FechaRef&lt;=DiasAlerta,"Vence en "&amp;($AN236-FechaRef)&amp;IF($AN236-FechaRef=1," día"," días"),"En plazo")))))))</f>
        <v/>
      </c>
      <c r="P236" s="62" t="n"/>
      <c r="Q236" s="58" t="n"/>
      <c r="R236" s="63">
        <f>IF(NOT((COUNTA($B236:$D236)+COUNTA($G236:$L236)+COUNTA($Q236))&gt;0),"",IF((IF($C236="","Falta el nombre de la actividad"&amp;" · ","")&amp;IF(AND($V236="Sub",N($U236)=0),"Subactividad sin macroactividad arriba"&amp;" · ","")&amp;IF($AM236="","Sin fecha de inicio"&amp;" · ","")&amp;IF($AN236="","Sin fecha límite"&amp;" · ","")&amp;IF(AND(LEFT($C236,11)="[Jefatura] ",N($AL236)=0),"No se encuentra en la hoja de la jefatura (elíjala de nuevo en la lista)"&amp;" · ","")&amp;IF(OR(AND($E236&lt;&gt;"",NOT(ISNUMBER($E236))),AND($F236&lt;&gt;"",NOT(ISNUMBER($F236))),AND($G236&lt;&gt;"",NOT(ISNUMBER($G236)))),"Fecha no válida"&amp;" · ","")&amp;IF(AND(ISNUMBER($AM236),ISNUMBER($AN236),$AM236&gt;$AN236),"Inicio posterior a fecha límite"&amp;" · ","")&amp;IF(AND($V236="Macro",$H236&lt;&gt;"",OR(NOT(ISNUMBER($H236)),$H236&lt;0,$H236&gt;1)),"Peso fuera de rango"&amp;" · ","")&amp;IF(AND($V236="Sub",$H236&lt;&gt;""),"Las subactividades no llevan peso (valen igual dentro de su macroactividad)"&amp;" · ","")&amp;IF(AND(N($W236)&gt;0,COUNT($I236:$L236)&gt;0),"Con subactividades: deje vacías las semanas (se calculan solas)"&amp;" · ","")&amp;IF((COUNTIF($I236:$L236,"&gt;1")+COUNTIF($I236:$L236,"&lt;0")+COUNTA($I236:$L236)-COUNT($I236:$L236))&gt;0,"Avance fuera de rango 0-100%"&amp;" · ","")&amp;IF(OR(AND($J236&lt;&gt;"",$J236&lt;$I236),AND($K236&lt;&gt;"",$K236&lt;MAX($I236:$J236)),AND($L236&lt;&gt;"",$L236&lt;MAX($I236:$K236))),"Avance semanal decreciente"&amp;" · ","")&amp;IF(AND(ISNUMBER($AN236),$AN236&lt;FechaRef,IF($V236="Sub",N($X236),N($M236))&lt;1),"Vencida"&amp;" · ","")&amp;IF(AND(ObsObligatoria="Sí",ISNUMBER($AN236),$AN236&lt;FechaRef,IF($V236="Sub",N($X236),N($M236))&lt;1,$Q236=""),"Vencida sin observación"&amp;" · ",""))="","✔ OK","⚠ "&amp;LEFT(IF($C236="","Falta el nombre de la actividad"&amp;" · ","")&amp;IF(AND($V236="Sub",N($U236)=0),"Subactividad sin macroactividad arriba"&amp;" · ","")&amp;IF($AM236="","Sin fecha de inicio"&amp;" · ","")&amp;IF($AN236="","Sin fecha límite"&amp;" · ","")&amp;IF(AND(LEFT($C236,11)="[Jefatura] ",N($AL236)=0),"No se encuentra en la hoja de la jefatura (elíjala de nuevo en la lista)"&amp;" · ","")&amp;IF(OR(AND($E236&lt;&gt;"",NOT(ISNUMBER($E236))),AND($F236&lt;&gt;"",NOT(ISNUMBER($F236))),AND($G236&lt;&gt;"",NOT(ISNUMBER($G236)))),"Fecha no válida"&amp;" · ","")&amp;IF(AND(ISNUMBER($AM236),ISNUMBER($AN236),$AM236&gt;$AN236),"Inicio posterior a fecha límite"&amp;" · ","")&amp;IF(AND($V236="Macro",$H236&lt;&gt;"",OR(NOT(ISNUMBER($H236)),$H236&lt;0,$H236&gt;1)),"Peso fuera de rango"&amp;" · ","")&amp;IF(AND($V236="Sub",$H236&lt;&gt;""),"Las subactividades no llevan peso (valen igual dentro de su macroactividad)"&amp;" · ","")&amp;IF(AND(N($W236)&gt;0,COUNT($I236:$L236)&gt;0),"Con subactividades: deje vacías las semanas (se calculan solas)"&amp;" · ","")&amp;IF((COUNTIF($I236:$L236,"&gt;1")+COUNTIF($I236:$L236,"&lt;0")+COUNTA($I236:$L236)-COUNT($I236:$L236))&gt;0,"Avance fuera de rango 0-100%"&amp;" · ","")&amp;IF(OR(AND($J236&lt;&gt;"",$J236&lt;$I236),AND($K236&lt;&gt;"",$K236&lt;MAX($I236:$J236)),AND($L236&lt;&gt;"",$L236&lt;MAX($I236:$K236))),"Avance semanal decreciente"&amp;" · ","")&amp;IF(AND(ISNUMBER($AN236),$AN236&lt;FechaRef,IF($V236="Sub",N($X236),N($M236))&lt;1),"Vencida"&amp;" · ","")&amp;IF(AND(ObsObligatoria="Sí",ISNUMBER($AN236),$AN236&lt;FechaRef,IF($V236="Sub",N($X236),N($M236))&lt;1,$Q236=""),"Vencida sin observación"&amp;" · ",""),LEN(IF($C236="","Falta el nombre de la actividad"&amp;" · ","")&amp;IF(AND($V236="Sub",N($U236)=0),"Subactividad sin macroactividad arriba"&amp;" · ","")&amp;IF($AM236="","Sin fecha de inicio"&amp;" · ","")&amp;IF($AN236="","Sin fecha límite"&amp;" · ","")&amp;IF(AND(LEFT($C236,11)="[Jefatura] ",N($AL236)=0),"No se encuentra en la hoja de la jefatura (elíjala de nuevo en la lista)"&amp;" · ","")&amp;IF(OR(AND($E236&lt;&gt;"",NOT(ISNUMBER($E236))),AND($F236&lt;&gt;"",NOT(ISNUMBER($F236))),AND($G236&lt;&gt;"",NOT(ISNUMBER($G236)))),"Fecha no válida"&amp;" · ","")&amp;IF(AND(ISNUMBER($AM236),ISNUMBER($AN236),$AM236&gt;$AN236),"Inicio posterior a fecha límite"&amp;" · ","")&amp;IF(AND($V236="Macro",$H236&lt;&gt;"",OR(NOT(ISNUMBER($H236)),$H236&lt;0,$H236&gt;1)),"Peso fuera de rango"&amp;" · ","")&amp;IF(AND($V236="Sub",$H236&lt;&gt;""),"Las subactividades no llevan peso (valen igual dentro de su macroactividad)"&amp;" · ","")&amp;IF(AND(N($W236)&gt;0,COUNT($I236:$L236)&gt;0),"Con subactividades: deje vacías las semanas (se calculan solas)"&amp;" · ","")&amp;IF((COUNTIF($I236:$L236,"&gt;1")+COUNTIF($I236:$L236,"&lt;0")+COUNTA($I236:$L236)-COUNT($I236:$L236))&gt;0,"Avance fuera de rango 0-100%"&amp;" · ","")&amp;IF(OR(AND($J236&lt;&gt;"",$J236&lt;$I236),AND($K236&lt;&gt;"",$K236&lt;MAX($I236:$J236)),AND($L236&lt;&gt;"",$L236&lt;MAX($I236:$K236))),"Avance semanal decreciente"&amp;" · ","")&amp;IF(AND(ISNUMBER($AN236),$AN236&lt;FechaRef,IF($V236="Sub",N($X236),N($M236))&lt;1),"Vencida"&amp;" · ","")&amp;IF(AND(ObsObligatoria="Sí",ISNUMBER($AN236),$AN236&lt;FechaRef,IF($V236="Sub",N($X236),N($M236))&lt;1,$Q236=""),"Vencida sin observación"&amp;" · ",""))-3)))</f>
        <v/>
      </c>
      <c r="S236" s="64">
        <f>IF(NOT((COUNTA($B236:$D236)+COUNTA($G236:$L236)+COUNTA($Q236))&gt;0),"",IF(AND($V236="Sub",N($U236)&gt;0),IF(ISNUMBER(INDEX($AM$5:$AM$1000,$U236-4)),DATE(YEAR(INDEX($AM$5:$AM$1000,$U236-4)),MONTH(INDEX($AM$5:$AM$1000,$U236-4)),1),IF(ISNUMBER(INDEX($AN$5:$AN$1000,$U236-4)),DATE(YEAR(INDEX($AN$5:$AN$1000,$U236-4)),MONTH(INDEX($AN$5:$AN$1000,$U236-4)),1),MesCiclo)),IF(ISNUMBER($AM236),DATE(YEAR($AM236),MONTH($AM236),1),IF(ISNUMBER($AN236),DATE(YEAR($AN236),MONTH($AN236),1),MesCiclo))))</f>
        <v/>
      </c>
      <c r="T236" s="62">
        <f>IF(OR($S236="",$S236&lt;&gt;MesCiclo,$V236&lt;&gt;"Macro"),"",COUNTIFS($S$5:$S236,MesCiclo,$V$5:$V236,"Macro"))</f>
        <v/>
      </c>
      <c r="U236" s="62">
        <f>IF($V236="","",IF($V236="Macro",ROW(),IFERROR(LOOKUP(2,1/($V$5:$V236="Macro"),ROW($V$5:$V236)),0)))</f>
        <v/>
      </c>
      <c r="V236" s="62">
        <f>IF(NOT((COUNTA($B236:$D236)+COUNTA($G236:$L236)+COUNTA($Q236))&gt;0),"",IF($B236="Subactividad","Sub","Macro"))</f>
        <v/>
      </c>
      <c r="W236" s="62">
        <f>IF($V236="Macro",COUNTIFS($U$5:$U$1000,ROW(),$V$5:$V$1000,"Sub"),"")</f>
        <v/>
      </c>
      <c r="X236" s="62">
        <f>IF($V236="","",IF(ISNUMBER($G236),1,IFERROR(LOOKUP(2,1/($I236:$L236&lt;&gt;""),$I236:$L236),0)))</f>
        <v/>
      </c>
      <c r="Y236" s="62">
        <f>IF($V236="","",IF(AND(ISNUMBER($G236),$G236&lt;=IF($S236=MesCiclo,InicioCiclo,$S236+MOD(2-WEEKDAY($S236),7))+6),1,IF(ISNUMBER($I236),$I236,0)))</f>
        <v/>
      </c>
      <c r="Z236" s="62">
        <f>IF($V236="","",IF(AND(ISNUMBER($G236),$G236&lt;=IF($S236=MesCiclo,InicioCiclo,$S236+MOD(2-WEEKDAY($S236),7))+13),1,IF(ISNUMBER($J236),$J236,$Y236)))</f>
        <v/>
      </c>
      <c r="AA236" s="62">
        <f>IF($V236="","",IF(AND(ISNUMBER($G236),$G236&lt;=IF($S236=MesCiclo,InicioCiclo,$S236+MOD(2-WEEKDAY($S236),7))+20),1,IF(ISNUMBER($K236),$K236,$Z236)))</f>
        <v/>
      </c>
      <c r="AB236" s="62">
        <f>IF($V236="","",IF(AND(ISNUMBER($G236),$G236&lt;=IF($S236=MesCiclo,InicioCiclo,$S236+MOD(2-WEEKDAY($S236),7))+27),1,IF(ISNUMBER($L236),$L236,$AA236)))</f>
        <v/>
      </c>
      <c r="AC236" s="62">
        <f>IF($V236="","",IF(AND(ISNUMBER($G236),$G236&lt;=IF($S236=MesCiclo,InicioCiclo,$S236+MOD(2-WEEKDAY($S236),7))+6),1,IF(N($W236)&gt;0,AVERAGEIFS($Y$5:$Y$1000,$U$5:$U$1000,ROW(),$V$5:$V$1000,"Sub"),$Y236)))</f>
        <v/>
      </c>
      <c r="AD236" s="62">
        <f>IF($V236="","",IF(AND(ISNUMBER($G236),$G236&lt;=IF($S236=MesCiclo,InicioCiclo,$S236+MOD(2-WEEKDAY($S236),7))+13),1,IF(N($W236)&gt;0,AVERAGEIFS($Z$5:$Z$1000,$U$5:$U$1000,ROW(),$V$5:$V$1000,"Sub"),$Z236)))</f>
        <v/>
      </c>
      <c r="AE236" s="62">
        <f>IF($V236="","",IF(AND(ISNUMBER($G236),$G236&lt;=IF($S236=MesCiclo,InicioCiclo,$S236+MOD(2-WEEKDAY($S236),7))+20),1,IF(N($W236)&gt;0,AVERAGEIFS($AA$5:$AA$1000,$U$5:$U$1000,ROW(),$V$5:$V$1000,"Sub"),$AA236)))</f>
        <v/>
      </c>
      <c r="AF236" s="62">
        <f>IF($V236="","",IF(AND(ISNUMBER($G236),$G236&lt;=IF($S236=MesCiclo,InicioCiclo,$S236+MOD(2-WEEKDAY($S236),7))+27),1,IF(N($W236)&gt;0,AVERAGEIFS($AB$5:$AB$1000,$U$5:$U$1000,ROW(),$V$5:$V$1000,"Sub"),$AB236)))</f>
        <v/>
      </c>
      <c r="AG236" s="62">
        <f>IF($V236&lt;&gt;"Macro","",IF(COUNTIFS($S$5:$S$1000,$S236,$V$5:$V$1000,"Macro",$H$5:$H$1000,"&gt;0")=0,1/COUNTIFS($S$5:$S$1000,$S236,$V$5:$V$1000,"Macro"),IF(AND(ISNUMBER($H236),N($H236)&gt;0),$H236,SUMIFS($H$5:$H$1000,$S$5:$S$1000,$S236,$V$5:$V$1000,"Macro")/COUNTIFS($S$5:$S$1000,$S236,$V$5:$V$1000,"Macro",$H$5:$H$1000,"&gt;0"))/(COUNTIFS($S$5:$S$1000,$S236,$V$5:$V$1000,"Macro")*SUMIFS($H$5:$H$1000,$S$5:$S$1000,$S236,$V$5:$V$1000,"Macro")/COUNTIFS($S$5:$S$1000,$S236,$V$5:$V$1000,"Macro",$H$5:$H$1000,"&gt;0"))))</f>
        <v/>
      </c>
      <c r="AH236" s="62" t="n"/>
      <c r="AI236" s="62" t="n"/>
      <c r="AJ236" s="62" t="n"/>
      <c r="AK236" s="62" t="n"/>
      <c r="AL236" s="62">
        <f>IF(LEFT($C236,11)="[Jefatura] ",IFERROR(MATCH("Asistente Técnico de Riesgo|"&amp;MID($C236,12,500),rDname_ADM,0),0),"")</f>
        <v/>
      </c>
      <c r="AM236" s="62">
        <f>IF(N($AL236)&gt;0,INDEX(rIni_ADM,$AL236),IF(ISNUMBER($E236),$E236,""))</f>
        <v/>
      </c>
      <c r="AN236" s="62">
        <f>IF(N($AL236)&gt;0,INDEX(rLim_ADM,$AL236),IF(ISNUMBER($F236),$F236,""))</f>
        <v/>
      </c>
    </row>
    <row r="237">
      <c r="A237" s="56">
        <f>IF(NOT((COUNTA($B237:$D237)+COUNTA($G237:$L237)+COUNTA($Q237))&gt;0),"",IF($V237="Macro",COUNTIFS($V$5:$V237,"Macro",$S$5:$S237,$S237),IF(N($U237)=0,"?",COUNTIFS(INDEX($V$5:$V$1000,1):INDEX($V$5:$V$1000,$U237-4),"Macro",INDEX($S$5:$S$1000,1):INDEX($S$5:$S$1000,$U237-4),INDEX($S$5:$S$1000,$U237-4))&amp;"."&amp;COUNTIFS($U$5:$U237,$U237,$V$5:$V237,"Sub"))))</f>
        <v/>
      </c>
      <c r="B237" s="57" t="n"/>
      <c r="C237" s="58" t="n"/>
      <c r="D237" s="58" t="n"/>
      <c r="E237" s="59">
        <f>IF(N($AL237)&gt;0,INDEX(rIni_ADM,$AL237),"")</f>
        <v/>
      </c>
      <c r="F237" s="59">
        <f>IF(N($AL237)&gt;0,INDEX(rLim_ADM,$AL237),"")</f>
        <v/>
      </c>
      <c r="G237" s="59" t="n"/>
      <c r="H237" s="60" t="n"/>
      <c r="I237" s="60" t="n"/>
      <c r="J237" s="60" t="n"/>
      <c r="K237" s="60" t="n"/>
      <c r="L237" s="60" t="n"/>
      <c r="M237" s="61">
        <f>IF(NOT((COUNTA($B237:$D237)+COUNTA($G237:$L237)+COUNTA($Q237))&gt;0),"",IF($V237="Sub",IFERROR($X237/INDEX($W$5:$W$1000,$U237-4),""),IF(ISNUMBER($G237),1,IF(N($W237)&gt;0,AVERAGEIFS($X$5:$X$1000,$U$5:$U$1000,ROW(),$V$5:$V$1000,"Sub"),$X237))))</f>
        <v/>
      </c>
      <c r="N237" s="56">
        <f>IF(OR($M237="",$V237="Sub"),"",IF($M237&gt;=1,"Completado",IF($M237&gt;0,"En curso","Pendiente")))</f>
        <v/>
      </c>
      <c r="O237" s="56">
        <f>IF(OR(NOT((COUNTA($B237:$D237)+COUNTA($G237:$L237)+COUNTA($Q237))&gt;0),$V237="Sub"),"",IF(ISNUMBER($G237),IF(AND(ISNUMBER($AN237),$G237&gt;$AN237),"Cumplida con "&amp;($G237-$AN237)&amp;IF($G237-$AN237=1," día"," días")&amp;" de retraso","Cumplida"),IF(N($M237)&gt;=1,"Cumplida",IF(NOT(ISNUMBER($AN237)),"Sin fecha límite",IF($AN237&lt;FechaRef,"Vencida hace "&amp;(FechaRef-$AN237)&amp;IF(FechaRef-$AN237=1," día"," días"),IF($AN237=FechaRef,"Vence hoy",IF($AN237-FechaRef&lt;=DiasAlerta,"Vence en "&amp;($AN237-FechaRef)&amp;IF($AN237-FechaRef=1," día"," días"),"En plazo")))))))</f>
        <v/>
      </c>
      <c r="P237" s="62" t="n"/>
      <c r="Q237" s="58" t="n"/>
      <c r="R237" s="63">
        <f>IF(NOT((COUNTA($B237:$D237)+COUNTA($G237:$L237)+COUNTA($Q237))&gt;0),"",IF((IF($C237="","Falta el nombre de la actividad"&amp;" · ","")&amp;IF(AND($V237="Sub",N($U237)=0),"Subactividad sin macroactividad arriba"&amp;" · ","")&amp;IF($AM237="","Sin fecha de inicio"&amp;" · ","")&amp;IF($AN237="","Sin fecha límite"&amp;" · ","")&amp;IF(AND(LEFT($C237,11)="[Jefatura] ",N($AL237)=0),"No se encuentra en la hoja de la jefatura (elíjala de nuevo en la lista)"&amp;" · ","")&amp;IF(OR(AND($E237&lt;&gt;"",NOT(ISNUMBER($E237))),AND($F237&lt;&gt;"",NOT(ISNUMBER($F237))),AND($G237&lt;&gt;"",NOT(ISNUMBER($G237)))),"Fecha no válida"&amp;" · ","")&amp;IF(AND(ISNUMBER($AM237),ISNUMBER($AN237),$AM237&gt;$AN237),"Inicio posterior a fecha límite"&amp;" · ","")&amp;IF(AND($V237="Macro",$H237&lt;&gt;"",OR(NOT(ISNUMBER($H237)),$H237&lt;0,$H237&gt;1)),"Peso fuera de rango"&amp;" · ","")&amp;IF(AND($V237="Sub",$H237&lt;&gt;""),"Las subactividades no llevan peso (valen igual dentro de su macroactividad)"&amp;" · ","")&amp;IF(AND(N($W237)&gt;0,COUNT($I237:$L237)&gt;0),"Con subactividades: deje vacías las semanas (se calculan solas)"&amp;" · ","")&amp;IF((COUNTIF($I237:$L237,"&gt;1")+COUNTIF($I237:$L237,"&lt;0")+COUNTA($I237:$L237)-COUNT($I237:$L237))&gt;0,"Avance fuera de rango 0-100%"&amp;" · ","")&amp;IF(OR(AND($J237&lt;&gt;"",$J237&lt;$I237),AND($K237&lt;&gt;"",$K237&lt;MAX($I237:$J237)),AND($L237&lt;&gt;"",$L237&lt;MAX($I237:$K237))),"Avance semanal decreciente"&amp;" · ","")&amp;IF(AND(ISNUMBER($AN237),$AN237&lt;FechaRef,IF($V237="Sub",N($X237),N($M237))&lt;1),"Vencida"&amp;" · ","")&amp;IF(AND(ObsObligatoria="Sí",ISNUMBER($AN237),$AN237&lt;FechaRef,IF($V237="Sub",N($X237),N($M237))&lt;1,$Q237=""),"Vencida sin observación"&amp;" · ",""))="","✔ OK","⚠ "&amp;LEFT(IF($C237="","Falta el nombre de la actividad"&amp;" · ","")&amp;IF(AND($V237="Sub",N($U237)=0),"Subactividad sin macroactividad arriba"&amp;" · ","")&amp;IF($AM237="","Sin fecha de inicio"&amp;" · ","")&amp;IF($AN237="","Sin fecha límite"&amp;" · ","")&amp;IF(AND(LEFT($C237,11)="[Jefatura] ",N($AL237)=0),"No se encuentra en la hoja de la jefatura (elíjala de nuevo en la lista)"&amp;" · ","")&amp;IF(OR(AND($E237&lt;&gt;"",NOT(ISNUMBER($E237))),AND($F237&lt;&gt;"",NOT(ISNUMBER($F237))),AND($G237&lt;&gt;"",NOT(ISNUMBER($G237)))),"Fecha no válida"&amp;" · ","")&amp;IF(AND(ISNUMBER($AM237),ISNUMBER($AN237),$AM237&gt;$AN237),"Inicio posterior a fecha límite"&amp;" · ","")&amp;IF(AND($V237="Macro",$H237&lt;&gt;"",OR(NOT(ISNUMBER($H237)),$H237&lt;0,$H237&gt;1)),"Peso fuera de rango"&amp;" · ","")&amp;IF(AND($V237="Sub",$H237&lt;&gt;""),"Las subactividades no llevan peso (valen igual dentro de su macroactividad)"&amp;" · ","")&amp;IF(AND(N($W237)&gt;0,COUNT($I237:$L237)&gt;0),"Con subactividades: deje vacías las semanas (se calculan solas)"&amp;" · ","")&amp;IF((COUNTIF($I237:$L237,"&gt;1")+COUNTIF($I237:$L237,"&lt;0")+COUNTA($I237:$L237)-COUNT($I237:$L237))&gt;0,"Avance fuera de rango 0-100%"&amp;" · ","")&amp;IF(OR(AND($J237&lt;&gt;"",$J237&lt;$I237),AND($K237&lt;&gt;"",$K237&lt;MAX($I237:$J237)),AND($L237&lt;&gt;"",$L237&lt;MAX($I237:$K237))),"Avance semanal decreciente"&amp;" · ","")&amp;IF(AND(ISNUMBER($AN237),$AN237&lt;FechaRef,IF($V237="Sub",N($X237),N($M237))&lt;1),"Vencida"&amp;" · ","")&amp;IF(AND(ObsObligatoria="Sí",ISNUMBER($AN237),$AN237&lt;FechaRef,IF($V237="Sub",N($X237),N($M237))&lt;1,$Q237=""),"Vencida sin observación"&amp;" · ",""),LEN(IF($C237="","Falta el nombre de la actividad"&amp;" · ","")&amp;IF(AND($V237="Sub",N($U237)=0),"Subactividad sin macroactividad arriba"&amp;" · ","")&amp;IF($AM237="","Sin fecha de inicio"&amp;" · ","")&amp;IF($AN237="","Sin fecha límite"&amp;" · ","")&amp;IF(AND(LEFT($C237,11)="[Jefatura] ",N($AL237)=0),"No se encuentra en la hoja de la jefatura (elíjala de nuevo en la lista)"&amp;" · ","")&amp;IF(OR(AND($E237&lt;&gt;"",NOT(ISNUMBER($E237))),AND($F237&lt;&gt;"",NOT(ISNUMBER($F237))),AND($G237&lt;&gt;"",NOT(ISNUMBER($G237)))),"Fecha no válida"&amp;" · ","")&amp;IF(AND(ISNUMBER($AM237),ISNUMBER($AN237),$AM237&gt;$AN237),"Inicio posterior a fecha límite"&amp;" · ","")&amp;IF(AND($V237="Macro",$H237&lt;&gt;"",OR(NOT(ISNUMBER($H237)),$H237&lt;0,$H237&gt;1)),"Peso fuera de rango"&amp;" · ","")&amp;IF(AND($V237="Sub",$H237&lt;&gt;""),"Las subactividades no llevan peso (valen igual dentro de su macroactividad)"&amp;" · ","")&amp;IF(AND(N($W237)&gt;0,COUNT($I237:$L237)&gt;0),"Con subactividades: deje vacías las semanas (se calculan solas)"&amp;" · ","")&amp;IF((COUNTIF($I237:$L237,"&gt;1")+COUNTIF($I237:$L237,"&lt;0")+COUNTA($I237:$L237)-COUNT($I237:$L237))&gt;0,"Avance fuera de rango 0-100%"&amp;" · ","")&amp;IF(OR(AND($J237&lt;&gt;"",$J237&lt;$I237),AND($K237&lt;&gt;"",$K237&lt;MAX($I237:$J237)),AND($L237&lt;&gt;"",$L237&lt;MAX($I237:$K237))),"Avance semanal decreciente"&amp;" · ","")&amp;IF(AND(ISNUMBER($AN237),$AN237&lt;FechaRef,IF($V237="Sub",N($X237),N($M237))&lt;1),"Vencida"&amp;" · ","")&amp;IF(AND(ObsObligatoria="Sí",ISNUMBER($AN237),$AN237&lt;FechaRef,IF($V237="Sub",N($X237),N($M237))&lt;1,$Q237=""),"Vencida sin observación"&amp;" · ",""))-3)))</f>
        <v/>
      </c>
      <c r="S237" s="64">
        <f>IF(NOT((COUNTA($B237:$D237)+COUNTA($G237:$L237)+COUNTA($Q237))&gt;0),"",IF(AND($V237="Sub",N($U237)&gt;0),IF(ISNUMBER(INDEX($AM$5:$AM$1000,$U237-4)),DATE(YEAR(INDEX($AM$5:$AM$1000,$U237-4)),MONTH(INDEX($AM$5:$AM$1000,$U237-4)),1),IF(ISNUMBER(INDEX($AN$5:$AN$1000,$U237-4)),DATE(YEAR(INDEX($AN$5:$AN$1000,$U237-4)),MONTH(INDEX($AN$5:$AN$1000,$U237-4)),1),MesCiclo)),IF(ISNUMBER($AM237),DATE(YEAR($AM237),MONTH($AM237),1),IF(ISNUMBER($AN237),DATE(YEAR($AN237),MONTH($AN237),1),MesCiclo))))</f>
        <v/>
      </c>
      <c r="T237" s="62">
        <f>IF(OR($S237="",$S237&lt;&gt;MesCiclo,$V237&lt;&gt;"Macro"),"",COUNTIFS($S$5:$S237,MesCiclo,$V$5:$V237,"Macro"))</f>
        <v/>
      </c>
      <c r="U237" s="62">
        <f>IF($V237="","",IF($V237="Macro",ROW(),IFERROR(LOOKUP(2,1/($V$5:$V237="Macro"),ROW($V$5:$V237)),0)))</f>
        <v/>
      </c>
      <c r="V237" s="62">
        <f>IF(NOT((COUNTA($B237:$D237)+COUNTA($G237:$L237)+COUNTA($Q237))&gt;0),"",IF($B237="Subactividad","Sub","Macro"))</f>
        <v/>
      </c>
      <c r="W237" s="62">
        <f>IF($V237="Macro",COUNTIFS($U$5:$U$1000,ROW(),$V$5:$V$1000,"Sub"),"")</f>
        <v/>
      </c>
      <c r="X237" s="62">
        <f>IF($V237="","",IF(ISNUMBER($G237),1,IFERROR(LOOKUP(2,1/($I237:$L237&lt;&gt;""),$I237:$L237),0)))</f>
        <v/>
      </c>
      <c r="Y237" s="62">
        <f>IF($V237="","",IF(AND(ISNUMBER($G237),$G237&lt;=IF($S237=MesCiclo,InicioCiclo,$S237+MOD(2-WEEKDAY($S237),7))+6),1,IF(ISNUMBER($I237),$I237,0)))</f>
        <v/>
      </c>
      <c r="Z237" s="62">
        <f>IF($V237="","",IF(AND(ISNUMBER($G237),$G237&lt;=IF($S237=MesCiclo,InicioCiclo,$S237+MOD(2-WEEKDAY($S237),7))+13),1,IF(ISNUMBER($J237),$J237,$Y237)))</f>
        <v/>
      </c>
      <c r="AA237" s="62">
        <f>IF($V237="","",IF(AND(ISNUMBER($G237),$G237&lt;=IF($S237=MesCiclo,InicioCiclo,$S237+MOD(2-WEEKDAY($S237),7))+20),1,IF(ISNUMBER($K237),$K237,$Z237)))</f>
        <v/>
      </c>
      <c r="AB237" s="62">
        <f>IF($V237="","",IF(AND(ISNUMBER($G237),$G237&lt;=IF($S237=MesCiclo,InicioCiclo,$S237+MOD(2-WEEKDAY($S237),7))+27),1,IF(ISNUMBER($L237),$L237,$AA237)))</f>
        <v/>
      </c>
      <c r="AC237" s="62">
        <f>IF($V237="","",IF(AND(ISNUMBER($G237),$G237&lt;=IF($S237=MesCiclo,InicioCiclo,$S237+MOD(2-WEEKDAY($S237),7))+6),1,IF(N($W237)&gt;0,AVERAGEIFS($Y$5:$Y$1000,$U$5:$U$1000,ROW(),$V$5:$V$1000,"Sub"),$Y237)))</f>
        <v/>
      </c>
      <c r="AD237" s="62">
        <f>IF($V237="","",IF(AND(ISNUMBER($G237),$G237&lt;=IF($S237=MesCiclo,InicioCiclo,$S237+MOD(2-WEEKDAY($S237),7))+13),1,IF(N($W237)&gt;0,AVERAGEIFS($Z$5:$Z$1000,$U$5:$U$1000,ROW(),$V$5:$V$1000,"Sub"),$Z237)))</f>
        <v/>
      </c>
      <c r="AE237" s="62">
        <f>IF($V237="","",IF(AND(ISNUMBER($G237),$G237&lt;=IF($S237=MesCiclo,InicioCiclo,$S237+MOD(2-WEEKDAY($S237),7))+20),1,IF(N($W237)&gt;0,AVERAGEIFS($AA$5:$AA$1000,$U$5:$U$1000,ROW(),$V$5:$V$1000,"Sub"),$AA237)))</f>
        <v/>
      </c>
      <c r="AF237" s="62">
        <f>IF($V237="","",IF(AND(ISNUMBER($G237),$G237&lt;=IF($S237=MesCiclo,InicioCiclo,$S237+MOD(2-WEEKDAY($S237),7))+27),1,IF(N($W237)&gt;0,AVERAGEIFS($AB$5:$AB$1000,$U$5:$U$1000,ROW(),$V$5:$V$1000,"Sub"),$AB237)))</f>
        <v/>
      </c>
      <c r="AG237" s="62">
        <f>IF($V237&lt;&gt;"Macro","",IF(COUNTIFS($S$5:$S$1000,$S237,$V$5:$V$1000,"Macro",$H$5:$H$1000,"&gt;0")=0,1/COUNTIFS($S$5:$S$1000,$S237,$V$5:$V$1000,"Macro"),IF(AND(ISNUMBER($H237),N($H237)&gt;0),$H237,SUMIFS($H$5:$H$1000,$S$5:$S$1000,$S237,$V$5:$V$1000,"Macro")/COUNTIFS($S$5:$S$1000,$S237,$V$5:$V$1000,"Macro",$H$5:$H$1000,"&gt;0"))/(COUNTIFS($S$5:$S$1000,$S237,$V$5:$V$1000,"Macro")*SUMIFS($H$5:$H$1000,$S$5:$S$1000,$S237,$V$5:$V$1000,"Macro")/COUNTIFS($S$5:$S$1000,$S237,$V$5:$V$1000,"Macro",$H$5:$H$1000,"&gt;0"))))</f>
        <v/>
      </c>
      <c r="AH237" s="62" t="n"/>
      <c r="AI237" s="62" t="n"/>
      <c r="AJ237" s="62" t="n"/>
      <c r="AK237" s="62" t="n"/>
      <c r="AL237" s="62">
        <f>IF(LEFT($C237,11)="[Jefatura] ",IFERROR(MATCH("Asistente Técnico de Riesgo|"&amp;MID($C237,12,500),rDname_ADM,0),0),"")</f>
        <v/>
      </c>
      <c r="AM237" s="62">
        <f>IF(N($AL237)&gt;0,INDEX(rIni_ADM,$AL237),IF(ISNUMBER($E237),$E237,""))</f>
        <v/>
      </c>
      <c r="AN237" s="62">
        <f>IF(N($AL237)&gt;0,INDEX(rLim_ADM,$AL237),IF(ISNUMBER($F237),$F237,""))</f>
        <v/>
      </c>
    </row>
    <row r="238">
      <c r="A238" s="56">
        <f>IF(NOT((COUNTA($B238:$D238)+COUNTA($G238:$L238)+COUNTA($Q238))&gt;0),"",IF($V238="Macro",COUNTIFS($V$5:$V238,"Macro",$S$5:$S238,$S238),IF(N($U238)=0,"?",COUNTIFS(INDEX($V$5:$V$1000,1):INDEX($V$5:$V$1000,$U238-4),"Macro",INDEX($S$5:$S$1000,1):INDEX($S$5:$S$1000,$U238-4),INDEX($S$5:$S$1000,$U238-4))&amp;"."&amp;COUNTIFS($U$5:$U238,$U238,$V$5:$V238,"Sub"))))</f>
        <v/>
      </c>
      <c r="B238" s="57" t="n"/>
      <c r="C238" s="58" t="n"/>
      <c r="D238" s="58" t="n"/>
      <c r="E238" s="59">
        <f>IF(N($AL238)&gt;0,INDEX(rIni_ADM,$AL238),"")</f>
        <v/>
      </c>
      <c r="F238" s="59">
        <f>IF(N($AL238)&gt;0,INDEX(rLim_ADM,$AL238),"")</f>
        <v/>
      </c>
      <c r="G238" s="59" t="n"/>
      <c r="H238" s="60" t="n"/>
      <c r="I238" s="60" t="n"/>
      <c r="J238" s="60" t="n"/>
      <c r="K238" s="60" t="n"/>
      <c r="L238" s="60" t="n"/>
      <c r="M238" s="61">
        <f>IF(NOT((COUNTA($B238:$D238)+COUNTA($G238:$L238)+COUNTA($Q238))&gt;0),"",IF($V238="Sub",IFERROR($X238/INDEX($W$5:$W$1000,$U238-4),""),IF(ISNUMBER($G238),1,IF(N($W238)&gt;0,AVERAGEIFS($X$5:$X$1000,$U$5:$U$1000,ROW(),$V$5:$V$1000,"Sub"),$X238))))</f>
        <v/>
      </c>
      <c r="N238" s="56">
        <f>IF(OR($M238="",$V238="Sub"),"",IF($M238&gt;=1,"Completado",IF($M238&gt;0,"En curso","Pendiente")))</f>
        <v/>
      </c>
      <c r="O238" s="56">
        <f>IF(OR(NOT((COUNTA($B238:$D238)+COUNTA($G238:$L238)+COUNTA($Q238))&gt;0),$V238="Sub"),"",IF(ISNUMBER($G238),IF(AND(ISNUMBER($AN238),$G238&gt;$AN238),"Cumplida con "&amp;($G238-$AN238)&amp;IF($G238-$AN238=1," día"," días")&amp;" de retraso","Cumplida"),IF(N($M238)&gt;=1,"Cumplida",IF(NOT(ISNUMBER($AN238)),"Sin fecha límite",IF($AN238&lt;FechaRef,"Vencida hace "&amp;(FechaRef-$AN238)&amp;IF(FechaRef-$AN238=1," día"," días"),IF($AN238=FechaRef,"Vence hoy",IF($AN238-FechaRef&lt;=DiasAlerta,"Vence en "&amp;($AN238-FechaRef)&amp;IF($AN238-FechaRef=1," día"," días"),"En plazo")))))))</f>
        <v/>
      </c>
      <c r="P238" s="62" t="n"/>
      <c r="Q238" s="58" t="n"/>
      <c r="R238" s="63">
        <f>IF(NOT((COUNTA($B238:$D238)+COUNTA($G238:$L238)+COUNTA($Q238))&gt;0),"",IF((IF($C238="","Falta el nombre de la actividad"&amp;" · ","")&amp;IF(AND($V238="Sub",N($U238)=0),"Subactividad sin macroactividad arriba"&amp;" · ","")&amp;IF($AM238="","Sin fecha de inicio"&amp;" · ","")&amp;IF($AN238="","Sin fecha límite"&amp;" · ","")&amp;IF(AND(LEFT($C238,11)="[Jefatura] ",N($AL238)=0),"No se encuentra en la hoja de la jefatura (elíjala de nuevo en la lista)"&amp;" · ","")&amp;IF(OR(AND($E238&lt;&gt;"",NOT(ISNUMBER($E238))),AND($F238&lt;&gt;"",NOT(ISNUMBER($F238))),AND($G238&lt;&gt;"",NOT(ISNUMBER($G238)))),"Fecha no válida"&amp;" · ","")&amp;IF(AND(ISNUMBER($AM238),ISNUMBER($AN238),$AM238&gt;$AN238),"Inicio posterior a fecha límite"&amp;" · ","")&amp;IF(AND($V238="Macro",$H238&lt;&gt;"",OR(NOT(ISNUMBER($H238)),$H238&lt;0,$H238&gt;1)),"Peso fuera de rango"&amp;" · ","")&amp;IF(AND($V238="Sub",$H238&lt;&gt;""),"Las subactividades no llevan peso (valen igual dentro de su macroactividad)"&amp;" · ","")&amp;IF(AND(N($W238)&gt;0,COUNT($I238:$L238)&gt;0),"Con subactividades: deje vacías las semanas (se calculan solas)"&amp;" · ","")&amp;IF((COUNTIF($I238:$L238,"&gt;1")+COUNTIF($I238:$L238,"&lt;0")+COUNTA($I238:$L238)-COUNT($I238:$L238))&gt;0,"Avance fuera de rango 0-100%"&amp;" · ","")&amp;IF(OR(AND($J238&lt;&gt;"",$J238&lt;$I238),AND($K238&lt;&gt;"",$K238&lt;MAX($I238:$J238)),AND($L238&lt;&gt;"",$L238&lt;MAX($I238:$K238))),"Avance semanal decreciente"&amp;" · ","")&amp;IF(AND(ISNUMBER($AN238),$AN238&lt;FechaRef,IF($V238="Sub",N($X238),N($M238))&lt;1),"Vencida"&amp;" · ","")&amp;IF(AND(ObsObligatoria="Sí",ISNUMBER($AN238),$AN238&lt;FechaRef,IF($V238="Sub",N($X238),N($M238))&lt;1,$Q238=""),"Vencida sin observación"&amp;" · ",""))="","✔ OK","⚠ "&amp;LEFT(IF($C238="","Falta el nombre de la actividad"&amp;" · ","")&amp;IF(AND($V238="Sub",N($U238)=0),"Subactividad sin macroactividad arriba"&amp;" · ","")&amp;IF($AM238="","Sin fecha de inicio"&amp;" · ","")&amp;IF($AN238="","Sin fecha límite"&amp;" · ","")&amp;IF(AND(LEFT($C238,11)="[Jefatura] ",N($AL238)=0),"No se encuentra en la hoja de la jefatura (elíjala de nuevo en la lista)"&amp;" · ","")&amp;IF(OR(AND($E238&lt;&gt;"",NOT(ISNUMBER($E238))),AND($F238&lt;&gt;"",NOT(ISNUMBER($F238))),AND($G238&lt;&gt;"",NOT(ISNUMBER($G238)))),"Fecha no válida"&amp;" · ","")&amp;IF(AND(ISNUMBER($AM238),ISNUMBER($AN238),$AM238&gt;$AN238),"Inicio posterior a fecha límite"&amp;" · ","")&amp;IF(AND($V238="Macro",$H238&lt;&gt;"",OR(NOT(ISNUMBER($H238)),$H238&lt;0,$H238&gt;1)),"Peso fuera de rango"&amp;" · ","")&amp;IF(AND($V238="Sub",$H238&lt;&gt;""),"Las subactividades no llevan peso (valen igual dentro de su macroactividad)"&amp;" · ","")&amp;IF(AND(N($W238)&gt;0,COUNT($I238:$L238)&gt;0),"Con subactividades: deje vacías las semanas (se calculan solas)"&amp;" · ","")&amp;IF((COUNTIF($I238:$L238,"&gt;1")+COUNTIF($I238:$L238,"&lt;0")+COUNTA($I238:$L238)-COUNT($I238:$L238))&gt;0,"Avance fuera de rango 0-100%"&amp;" · ","")&amp;IF(OR(AND($J238&lt;&gt;"",$J238&lt;$I238),AND($K238&lt;&gt;"",$K238&lt;MAX($I238:$J238)),AND($L238&lt;&gt;"",$L238&lt;MAX($I238:$K238))),"Avance semanal decreciente"&amp;" · ","")&amp;IF(AND(ISNUMBER($AN238),$AN238&lt;FechaRef,IF($V238="Sub",N($X238),N($M238))&lt;1),"Vencida"&amp;" · ","")&amp;IF(AND(ObsObligatoria="Sí",ISNUMBER($AN238),$AN238&lt;FechaRef,IF($V238="Sub",N($X238),N($M238))&lt;1,$Q238=""),"Vencida sin observación"&amp;" · ",""),LEN(IF($C238="","Falta el nombre de la actividad"&amp;" · ","")&amp;IF(AND($V238="Sub",N($U238)=0),"Subactividad sin macroactividad arriba"&amp;" · ","")&amp;IF($AM238="","Sin fecha de inicio"&amp;" · ","")&amp;IF($AN238="","Sin fecha límite"&amp;" · ","")&amp;IF(AND(LEFT($C238,11)="[Jefatura] ",N($AL238)=0),"No se encuentra en la hoja de la jefatura (elíjala de nuevo en la lista)"&amp;" · ","")&amp;IF(OR(AND($E238&lt;&gt;"",NOT(ISNUMBER($E238))),AND($F238&lt;&gt;"",NOT(ISNUMBER($F238))),AND($G238&lt;&gt;"",NOT(ISNUMBER($G238)))),"Fecha no válida"&amp;" · ","")&amp;IF(AND(ISNUMBER($AM238),ISNUMBER($AN238),$AM238&gt;$AN238),"Inicio posterior a fecha límite"&amp;" · ","")&amp;IF(AND($V238="Macro",$H238&lt;&gt;"",OR(NOT(ISNUMBER($H238)),$H238&lt;0,$H238&gt;1)),"Peso fuera de rango"&amp;" · ","")&amp;IF(AND($V238="Sub",$H238&lt;&gt;""),"Las subactividades no llevan peso (valen igual dentro de su macroactividad)"&amp;" · ","")&amp;IF(AND(N($W238)&gt;0,COUNT($I238:$L238)&gt;0),"Con subactividades: deje vacías las semanas (se calculan solas)"&amp;" · ","")&amp;IF((COUNTIF($I238:$L238,"&gt;1")+COUNTIF($I238:$L238,"&lt;0")+COUNTA($I238:$L238)-COUNT($I238:$L238))&gt;0,"Avance fuera de rango 0-100%"&amp;" · ","")&amp;IF(OR(AND($J238&lt;&gt;"",$J238&lt;$I238),AND($K238&lt;&gt;"",$K238&lt;MAX($I238:$J238)),AND($L238&lt;&gt;"",$L238&lt;MAX($I238:$K238))),"Avance semanal decreciente"&amp;" · ","")&amp;IF(AND(ISNUMBER($AN238),$AN238&lt;FechaRef,IF($V238="Sub",N($X238),N($M238))&lt;1),"Vencida"&amp;" · ","")&amp;IF(AND(ObsObligatoria="Sí",ISNUMBER($AN238),$AN238&lt;FechaRef,IF($V238="Sub",N($X238),N($M238))&lt;1,$Q238=""),"Vencida sin observación"&amp;" · ",""))-3)))</f>
        <v/>
      </c>
      <c r="S238" s="64">
        <f>IF(NOT((COUNTA($B238:$D238)+COUNTA($G238:$L238)+COUNTA($Q238))&gt;0),"",IF(AND($V238="Sub",N($U238)&gt;0),IF(ISNUMBER(INDEX($AM$5:$AM$1000,$U238-4)),DATE(YEAR(INDEX($AM$5:$AM$1000,$U238-4)),MONTH(INDEX($AM$5:$AM$1000,$U238-4)),1),IF(ISNUMBER(INDEX($AN$5:$AN$1000,$U238-4)),DATE(YEAR(INDEX($AN$5:$AN$1000,$U238-4)),MONTH(INDEX($AN$5:$AN$1000,$U238-4)),1),MesCiclo)),IF(ISNUMBER($AM238),DATE(YEAR($AM238),MONTH($AM238),1),IF(ISNUMBER($AN238),DATE(YEAR($AN238),MONTH($AN238),1),MesCiclo))))</f>
        <v/>
      </c>
      <c r="T238" s="62">
        <f>IF(OR($S238="",$S238&lt;&gt;MesCiclo,$V238&lt;&gt;"Macro"),"",COUNTIFS($S$5:$S238,MesCiclo,$V$5:$V238,"Macro"))</f>
        <v/>
      </c>
      <c r="U238" s="62">
        <f>IF($V238="","",IF($V238="Macro",ROW(),IFERROR(LOOKUP(2,1/($V$5:$V238="Macro"),ROW($V$5:$V238)),0)))</f>
        <v/>
      </c>
      <c r="V238" s="62">
        <f>IF(NOT((COUNTA($B238:$D238)+COUNTA($G238:$L238)+COUNTA($Q238))&gt;0),"",IF($B238="Subactividad","Sub","Macro"))</f>
        <v/>
      </c>
      <c r="W238" s="62">
        <f>IF($V238="Macro",COUNTIFS($U$5:$U$1000,ROW(),$V$5:$V$1000,"Sub"),"")</f>
        <v/>
      </c>
      <c r="X238" s="62">
        <f>IF($V238="","",IF(ISNUMBER($G238),1,IFERROR(LOOKUP(2,1/($I238:$L238&lt;&gt;""),$I238:$L238),0)))</f>
        <v/>
      </c>
      <c r="Y238" s="62">
        <f>IF($V238="","",IF(AND(ISNUMBER($G238),$G238&lt;=IF($S238=MesCiclo,InicioCiclo,$S238+MOD(2-WEEKDAY($S238),7))+6),1,IF(ISNUMBER($I238),$I238,0)))</f>
        <v/>
      </c>
      <c r="Z238" s="62">
        <f>IF($V238="","",IF(AND(ISNUMBER($G238),$G238&lt;=IF($S238=MesCiclo,InicioCiclo,$S238+MOD(2-WEEKDAY($S238),7))+13),1,IF(ISNUMBER($J238),$J238,$Y238)))</f>
        <v/>
      </c>
      <c r="AA238" s="62">
        <f>IF($V238="","",IF(AND(ISNUMBER($G238),$G238&lt;=IF($S238=MesCiclo,InicioCiclo,$S238+MOD(2-WEEKDAY($S238),7))+20),1,IF(ISNUMBER($K238),$K238,$Z238)))</f>
        <v/>
      </c>
      <c r="AB238" s="62">
        <f>IF($V238="","",IF(AND(ISNUMBER($G238),$G238&lt;=IF($S238=MesCiclo,InicioCiclo,$S238+MOD(2-WEEKDAY($S238),7))+27),1,IF(ISNUMBER($L238),$L238,$AA238)))</f>
        <v/>
      </c>
      <c r="AC238" s="62">
        <f>IF($V238="","",IF(AND(ISNUMBER($G238),$G238&lt;=IF($S238=MesCiclo,InicioCiclo,$S238+MOD(2-WEEKDAY($S238),7))+6),1,IF(N($W238)&gt;0,AVERAGEIFS($Y$5:$Y$1000,$U$5:$U$1000,ROW(),$V$5:$V$1000,"Sub"),$Y238)))</f>
        <v/>
      </c>
      <c r="AD238" s="62">
        <f>IF($V238="","",IF(AND(ISNUMBER($G238),$G238&lt;=IF($S238=MesCiclo,InicioCiclo,$S238+MOD(2-WEEKDAY($S238),7))+13),1,IF(N($W238)&gt;0,AVERAGEIFS($Z$5:$Z$1000,$U$5:$U$1000,ROW(),$V$5:$V$1000,"Sub"),$Z238)))</f>
        <v/>
      </c>
      <c r="AE238" s="62">
        <f>IF($V238="","",IF(AND(ISNUMBER($G238),$G238&lt;=IF($S238=MesCiclo,InicioCiclo,$S238+MOD(2-WEEKDAY($S238),7))+20),1,IF(N($W238)&gt;0,AVERAGEIFS($AA$5:$AA$1000,$U$5:$U$1000,ROW(),$V$5:$V$1000,"Sub"),$AA238)))</f>
        <v/>
      </c>
      <c r="AF238" s="62">
        <f>IF($V238="","",IF(AND(ISNUMBER($G238),$G238&lt;=IF($S238=MesCiclo,InicioCiclo,$S238+MOD(2-WEEKDAY($S238),7))+27),1,IF(N($W238)&gt;0,AVERAGEIFS($AB$5:$AB$1000,$U$5:$U$1000,ROW(),$V$5:$V$1000,"Sub"),$AB238)))</f>
        <v/>
      </c>
      <c r="AG238" s="62">
        <f>IF($V238&lt;&gt;"Macro","",IF(COUNTIFS($S$5:$S$1000,$S238,$V$5:$V$1000,"Macro",$H$5:$H$1000,"&gt;0")=0,1/COUNTIFS($S$5:$S$1000,$S238,$V$5:$V$1000,"Macro"),IF(AND(ISNUMBER($H238),N($H238)&gt;0),$H238,SUMIFS($H$5:$H$1000,$S$5:$S$1000,$S238,$V$5:$V$1000,"Macro")/COUNTIFS($S$5:$S$1000,$S238,$V$5:$V$1000,"Macro",$H$5:$H$1000,"&gt;0"))/(COUNTIFS($S$5:$S$1000,$S238,$V$5:$V$1000,"Macro")*SUMIFS($H$5:$H$1000,$S$5:$S$1000,$S238,$V$5:$V$1000,"Macro")/COUNTIFS($S$5:$S$1000,$S238,$V$5:$V$1000,"Macro",$H$5:$H$1000,"&gt;0"))))</f>
        <v/>
      </c>
      <c r="AH238" s="62" t="n"/>
      <c r="AI238" s="62" t="n"/>
      <c r="AJ238" s="62" t="n"/>
      <c r="AK238" s="62" t="n"/>
      <c r="AL238" s="62">
        <f>IF(LEFT($C238,11)="[Jefatura] ",IFERROR(MATCH("Asistente Técnico de Riesgo|"&amp;MID($C238,12,500),rDname_ADM,0),0),"")</f>
        <v/>
      </c>
      <c r="AM238" s="62">
        <f>IF(N($AL238)&gt;0,INDEX(rIni_ADM,$AL238),IF(ISNUMBER($E238),$E238,""))</f>
        <v/>
      </c>
      <c r="AN238" s="62">
        <f>IF(N($AL238)&gt;0,INDEX(rLim_ADM,$AL238),IF(ISNUMBER($F238),$F238,""))</f>
        <v/>
      </c>
    </row>
    <row r="239">
      <c r="A239" s="56">
        <f>IF(NOT((COUNTA($B239:$D239)+COUNTA($G239:$L239)+COUNTA($Q239))&gt;0),"",IF($V239="Macro",COUNTIFS($V$5:$V239,"Macro",$S$5:$S239,$S239),IF(N($U239)=0,"?",COUNTIFS(INDEX($V$5:$V$1000,1):INDEX($V$5:$V$1000,$U239-4),"Macro",INDEX($S$5:$S$1000,1):INDEX($S$5:$S$1000,$U239-4),INDEX($S$5:$S$1000,$U239-4))&amp;"."&amp;COUNTIFS($U$5:$U239,$U239,$V$5:$V239,"Sub"))))</f>
        <v/>
      </c>
      <c r="B239" s="57" t="n"/>
      <c r="C239" s="58" t="n"/>
      <c r="D239" s="58" t="n"/>
      <c r="E239" s="59">
        <f>IF(N($AL239)&gt;0,INDEX(rIni_ADM,$AL239),"")</f>
        <v/>
      </c>
      <c r="F239" s="59">
        <f>IF(N($AL239)&gt;0,INDEX(rLim_ADM,$AL239),"")</f>
        <v/>
      </c>
      <c r="G239" s="59" t="n"/>
      <c r="H239" s="60" t="n"/>
      <c r="I239" s="60" t="n"/>
      <c r="J239" s="60" t="n"/>
      <c r="K239" s="60" t="n"/>
      <c r="L239" s="60" t="n"/>
      <c r="M239" s="61">
        <f>IF(NOT((COUNTA($B239:$D239)+COUNTA($G239:$L239)+COUNTA($Q239))&gt;0),"",IF($V239="Sub",IFERROR($X239/INDEX($W$5:$W$1000,$U239-4),""),IF(ISNUMBER($G239),1,IF(N($W239)&gt;0,AVERAGEIFS($X$5:$X$1000,$U$5:$U$1000,ROW(),$V$5:$V$1000,"Sub"),$X239))))</f>
        <v/>
      </c>
      <c r="N239" s="56">
        <f>IF(OR($M239="",$V239="Sub"),"",IF($M239&gt;=1,"Completado",IF($M239&gt;0,"En curso","Pendiente")))</f>
        <v/>
      </c>
      <c r="O239" s="56">
        <f>IF(OR(NOT((COUNTA($B239:$D239)+COUNTA($G239:$L239)+COUNTA($Q239))&gt;0),$V239="Sub"),"",IF(ISNUMBER($G239),IF(AND(ISNUMBER($AN239),$G239&gt;$AN239),"Cumplida con "&amp;($G239-$AN239)&amp;IF($G239-$AN239=1," día"," días")&amp;" de retraso","Cumplida"),IF(N($M239)&gt;=1,"Cumplida",IF(NOT(ISNUMBER($AN239)),"Sin fecha límite",IF($AN239&lt;FechaRef,"Vencida hace "&amp;(FechaRef-$AN239)&amp;IF(FechaRef-$AN239=1," día"," días"),IF($AN239=FechaRef,"Vence hoy",IF($AN239-FechaRef&lt;=DiasAlerta,"Vence en "&amp;($AN239-FechaRef)&amp;IF($AN239-FechaRef=1," día"," días"),"En plazo")))))))</f>
        <v/>
      </c>
      <c r="P239" s="62" t="n"/>
      <c r="Q239" s="58" t="n"/>
      <c r="R239" s="63">
        <f>IF(NOT((COUNTA($B239:$D239)+COUNTA($G239:$L239)+COUNTA($Q239))&gt;0),"",IF((IF($C239="","Falta el nombre de la actividad"&amp;" · ","")&amp;IF(AND($V239="Sub",N($U239)=0),"Subactividad sin macroactividad arriba"&amp;" · ","")&amp;IF($AM239="","Sin fecha de inicio"&amp;" · ","")&amp;IF($AN239="","Sin fecha límite"&amp;" · ","")&amp;IF(AND(LEFT($C239,11)="[Jefatura] ",N($AL239)=0),"No se encuentra en la hoja de la jefatura (elíjala de nuevo en la lista)"&amp;" · ","")&amp;IF(OR(AND($E239&lt;&gt;"",NOT(ISNUMBER($E239))),AND($F239&lt;&gt;"",NOT(ISNUMBER($F239))),AND($G239&lt;&gt;"",NOT(ISNUMBER($G239)))),"Fecha no válida"&amp;" · ","")&amp;IF(AND(ISNUMBER($AM239),ISNUMBER($AN239),$AM239&gt;$AN239),"Inicio posterior a fecha límite"&amp;" · ","")&amp;IF(AND($V239="Macro",$H239&lt;&gt;"",OR(NOT(ISNUMBER($H239)),$H239&lt;0,$H239&gt;1)),"Peso fuera de rango"&amp;" · ","")&amp;IF(AND($V239="Sub",$H239&lt;&gt;""),"Las subactividades no llevan peso (valen igual dentro de su macroactividad)"&amp;" · ","")&amp;IF(AND(N($W239)&gt;0,COUNT($I239:$L239)&gt;0),"Con subactividades: deje vacías las semanas (se calculan solas)"&amp;" · ","")&amp;IF((COUNTIF($I239:$L239,"&gt;1")+COUNTIF($I239:$L239,"&lt;0")+COUNTA($I239:$L239)-COUNT($I239:$L239))&gt;0,"Avance fuera de rango 0-100%"&amp;" · ","")&amp;IF(OR(AND($J239&lt;&gt;"",$J239&lt;$I239),AND($K239&lt;&gt;"",$K239&lt;MAX($I239:$J239)),AND($L239&lt;&gt;"",$L239&lt;MAX($I239:$K239))),"Avance semanal decreciente"&amp;" · ","")&amp;IF(AND(ISNUMBER($AN239),$AN239&lt;FechaRef,IF($V239="Sub",N($X239),N($M239))&lt;1),"Vencida"&amp;" · ","")&amp;IF(AND(ObsObligatoria="Sí",ISNUMBER($AN239),$AN239&lt;FechaRef,IF($V239="Sub",N($X239),N($M239))&lt;1,$Q239=""),"Vencida sin observación"&amp;" · ",""))="","✔ OK","⚠ "&amp;LEFT(IF($C239="","Falta el nombre de la actividad"&amp;" · ","")&amp;IF(AND($V239="Sub",N($U239)=0),"Subactividad sin macroactividad arriba"&amp;" · ","")&amp;IF($AM239="","Sin fecha de inicio"&amp;" · ","")&amp;IF($AN239="","Sin fecha límite"&amp;" · ","")&amp;IF(AND(LEFT($C239,11)="[Jefatura] ",N($AL239)=0),"No se encuentra en la hoja de la jefatura (elíjala de nuevo en la lista)"&amp;" · ","")&amp;IF(OR(AND($E239&lt;&gt;"",NOT(ISNUMBER($E239))),AND($F239&lt;&gt;"",NOT(ISNUMBER($F239))),AND($G239&lt;&gt;"",NOT(ISNUMBER($G239)))),"Fecha no válida"&amp;" · ","")&amp;IF(AND(ISNUMBER($AM239),ISNUMBER($AN239),$AM239&gt;$AN239),"Inicio posterior a fecha límite"&amp;" · ","")&amp;IF(AND($V239="Macro",$H239&lt;&gt;"",OR(NOT(ISNUMBER($H239)),$H239&lt;0,$H239&gt;1)),"Peso fuera de rango"&amp;" · ","")&amp;IF(AND($V239="Sub",$H239&lt;&gt;""),"Las subactividades no llevan peso (valen igual dentro de su macroactividad)"&amp;" · ","")&amp;IF(AND(N($W239)&gt;0,COUNT($I239:$L239)&gt;0),"Con subactividades: deje vacías las semanas (se calculan solas)"&amp;" · ","")&amp;IF((COUNTIF($I239:$L239,"&gt;1")+COUNTIF($I239:$L239,"&lt;0")+COUNTA($I239:$L239)-COUNT($I239:$L239))&gt;0,"Avance fuera de rango 0-100%"&amp;" · ","")&amp;IF(OR(AND($J239&lt;&gt;"",$J239&lt;$I239),AND($K239&lt;&gt;"",$K239&lt;MAX($I239:$J239)),AND($L239&lt;&gt;"",$L239&lt;MAX($I239:$K239))),"Avance semanal decreciente"&amp;" · ","")&amp;IF(AND(ISNUMBER($AN239),$AN239&lt;FechaRef,IF($V239="Sub",N($X239),N($M239))&lt;1),"Vencida"&amp;" · ","")&amp;IF(AND(ObsObligatoria="Sí",ISNUMBER($AN239),$AN239&lt;FechaRef,IF($V239="Sub",N($X239),N($M239))&lt;1,$Q239=""),"Vencida sin observación"&amp;" · ",""),LEN(IF($C239="","Falta el nombre de la actividad"&amp;" · ","")&amp;IF(AND($V239="Sub",N($U239)=0),"Subactividad sin macroactividad arriba"&amp;" · ","")&amp;IF($AM239="","Sin fecha de inicio"&amp;" · ","")&amp;IF($AN239="","Sin fecha límite"&amp;" · ","")&amp;IF(AND(LEFT($C239,11)="[Jefatura] ",N($AL239)=0),"No se encuentra en la hoja de la jefatura (elíjala de nuevo en la lista)"&amp;" · ","")&amp;IF(OR(AND($E239&lt;&gt;"",NOT(ISNUMBER($E239))),AND($F239&lt;&gt;"",NOT(ISNUMBER($F239))),AND($G239&lt;&gt;"",NOT(ISNUMBER($G239)))),"Fecha no válida"&amp;" · ","")&amp;IF(AND(ISNUMBER($AM239),ISNUMBER($AN239),$AM239&gt;$AN239),"Inicio posterior a fecha límite"&amp;" · ","")&amp;IF(AND($V239="Macro",$H239&lt;&gt;"",OR(NOT(ISNUMBER($H239)),$H239&lt;0,$H239&gt;1)),"Peso fuera de rango"&amp;" · ","")&amp;IF(AND($V239="Sub",$H239&lt;&gt;""),"Las subactividades no llevan peso (valen igual dentro de su macroactividad)"&amp;" · ","")&amp;IF(AND(N($W239)&gt;0,COUNT($I239:$L239)&gt;0),"Con subactividades: deje vacías las semanas (se calculan solas)"&amp;" · ","")&amp;IF((COUNTIF($I239:$L239,"&gt;1")+COUNTIF($I239:$L239,"&lt;0")+COUNTA($I239:$L239)-COUNT($I239:$L239))&gt;0,"Avance fuera de rango 0-100%"&amp;" · ","")&amp;IF(OR(AND($J239&lt;&gt;"",$J239&lt;$I239),AND($K239&lt;&gt;"",$K239&lt;MAX($I239:$J239)),AND($L239&lt;&gt;"",$L239&lt;MAX($I239:$K239))),"Avance semanal decreciente"&amp;" · ","")&amp;IF(AND(ISNUMBER($AN239),$AN239&lt;FechaRef,IF($V239="Sub",N($X239),N($M239))&lt;1),"Vencida"&amp;" · ","")&amp;IF(AND(ObsObligatoria="Sí",ISNUMBER($AN239),$AN239&lt;FechaRef,IF($V239="Sub",N($X239),N($M239))&lt;1,$Q239=""),"Vencida sin observación"&amp;" · ",""))-3)))</f>
        <v/>
      </c>
      <c r="S239" s="64">
        <f>IF(NOT((COUNTA($B239:$D239)+COUNTA($G239:$L239)+COUNTA($Q239))&gt;0),"",IF(AND($V239="Sub",N($U239)&gt;0),IF(ISNUMBER(INDEX($AM$5:$AM$1000,$U239-4)),DATE(YEAR(INDEX($AM$5:$AM$1000,$U239-4)),MONTH(INDEX($AM$5:$AM$1000,$U239-4)),1),IF(ISNUMBER(INDEX($AN$5:$AN$1000,$U239-4)),DATE(YEAR(INDEX($AN$5:$AN$1000,$U239-4)),MONTH(INDEX($AN$5:$AN$1000,$U239-4)),1),MesCiclo)),IF(ISNUMBER($AM239),DATE(YEAR($AM239),MONTH($AM239),1),IF(ISNUMBER($AN239),DATE(YEAR($AN239),MONTH($AN239),1),MesCiclo))))</f>
        <v/>
      </c>
      <c r="T239" s="62">
        <f>IF(OR($S239="",$S239&lt;&gt;MesCiclo,$V239&lt;&gt;"Macro"),"",COUNTIFS($S$5:$S239,MesCiclo,$V$5:$V239,"Macro"))</f>
        <v/>
      </c>
      <c r="U239" s="62">
        <f>IF($V239="","",IF($V239="Macro",ROW(),IFERROR(LOOKUP(2,1/($V$5:$V239="Macro"),ROW($V$5:$V239)),0)))</f>
        <v/>
      </c>
      <c r="V239" s="62">
        <f>IF(NOT((COUNTA($B239:$D239)+COUNTA($G239:$L239)+COUNTA($Q239))&gt;0),"",IF($B239="Subactividad","Sub","Macro"))</f>
        <v/>
      </c>
      <c r="W239" s="62">
        <f>IF($V239="Macro",COUNTIFS($U$5:$U$1000,ROW(),$V$5:$V$1000,"Sub"),"")</f>
        <v/>
      </c>
      <c r="X239" s="62">
        <f>IF($V239="","",IF(ISNUMBER($G239),1,IFERROR(LOOKUP(2,1/($I239:$L239&lt;&gt;""),$I239:$L239),0)))</f>
        <v/>
      </c>
      <c r="Y239" s="62">
        <f>IF($V239="","",IF(AND(ISNUMBER($G239),$G239&lt;=IF($S239=MesCiclo,InicioCiclo,$S239+MOD(2-WEEKDAY($S239),7))+6),1,IF(ISNUMBER($I239),$I239,0)))</f>
        <v/>
      </c>
      <c r="Z239" s="62">
        <f>IF($V239="","",IF(AND(ISNUMBER($G239),$G239&lt;=IF($S239=MesCiclo,InicioCiclo,$S239+MOD(2-WEEKDAY($S239),7))+13),1,IF(ISNUMBER($J239),$J239,$Y239)))</f>
        <v/>
      </c>
      <c r="AA239" s="62">
        <f>IF($V239="","",IF(AND(ISNUMBER($G239),$G239&lt;=IF($S239=MesCiclo,InicioCiclo,$S239+MOD(2-WEEKDAY($S239),7))+20),1,IF(ISNUMBER($K239),$K239,$Z239)))</f>
        <v/>
      </c>
      <c r="AB239" s="62">
        <f>IF($V239="","",IF(AND(ISNUMBER($G239),$G239&lt;=IF($S239=MesCiclo,InicioCiclo,$S239+MOD(2-WEEKDAY($S239),7))+27),1,IF(ISNUMBER($L239),$L239,$AA239)))</f>
        <v/>
      </c>
      <c r="AC239" s="62">
        <f>IF($V239="","",IF(AND(ISNUMBER($G239),$G239&lt;=IF($S239=MesCiclo,InicioCiclo,$S239+MOD(2-WEEKDAY($S239),7))+6),1,IF(N($W239)&gt;0,AVERAGEIFS($Y$5:$Y$1000,$U$5:$U$1000,ROW(),$V$5:$V$1000,"Sub"),$Y239)))</f>
        <v/>
      </c>
      <c r="AD239" s="62">
        <f>IF($V239="","",IF(AND(ISNUMBER($G239),$G239&lt;=IF($S239=MesCiclo,InicioCiclo,$S239+MOD(2-WEEKDAY($S239),7))+13),1,IF(N($W239)&gt;0,AVERAGEIFS($Z$5:$Z$1000,$U$5:$U$1000,ROW(),$V$5:$V$1000,"Sub"),$Z239)))</f>
        <v/>
      </c>
      <c r="AE239" s="62">
        <f>IF($V239="","",IF(AND(ISNUMBER($G239),$G239&lt;=IF($S239=MesCiclo,InicioCiclo,$S239+MOD(2-WEEKDAY($S239),7))+20),1,IF(N($W239)&gt;0,AVERAGEIFS($AA$5:$AA$1000,$U$5:$U$1000,ROW(),$V$5:$V$1000,"Sub"),$AA239)))</f>
        <v/>
      </c>
      <c r="AF239" s="62">
        <f>IF($V239="","",IF(AND(ISNUMBER($G239),$G239&lt;=IF($S239=MesCiclo,InicioCiclo,$S239+MOD(2-WEEKDAY($S239),7))+27),1,IF(N($W239)&gt;0,AVERAGEIFS($AB$5:$AB$1000,$U$5:$U$1000,ROW(),$V$5:$V$1000,"Sub"),$AB239)))</f>
        <v/>
      </c>
      <c r="AG239" s="62">
        <f>IF($V239&lt;&gt;"Macro","",IF(COUNTIFS($S$5:$S$1000,$S239,$V$5:$V$1000,"Macro",$H$5:$H$1000,"&gt;0")=0,1/COUNTIFS($S$5:$S$1000,$S239,$V$5:$V$1000,"Macro"),IF(AND(ISNUMBER($H239),N($H239)&gt;0),$H239,SUMIFS($H$5:$H$1000,$S$5:$S$1000,$S239,$V$5:$V$1000,"Macro")/COUNTIFS($S$5:$S$1000,$S239,$V$5:$V$1000,"Macro",$H$5:$H$1000,"&gt;0"))/(COUNTIFS($S$5:$S$1000,$S239,$V$5:$V$1000,"Macro")*SUMIFS($H$5:$H$1000,$S$5:$S$1000,$S239,$V$5:$V$1000,"Macro")/COUNTIFS($S$5:$S$1000,$S239,$V$5:$V$1000,"Macro",$H$5:$H$1000,"&gt;0"))))</f>
        <v/>
      </c>
      <c r="AH239" s="62" t="n"/>
      <c r="AI239" s="62" t="n"/>
      <c r="AJ239" s="62" t="n"/>
      <c r="AK239" s="62" t="n"/>
      <c r="AL239" s="62">
        <f>IF(LEFT($C239,11)="[Jefatura] ",IFERROR(MATCH("Asistente Técnico de Riesgo|"&amp;MID($C239,12,500),rDname_ADM,0),0),"")</f>
        <v/>
      </c>
      <c r="AM239" s="62">
        <f>IF(N($AL239)&gt;0,INDEX(rIni_ADM,$AL239),IF(ISNUMBER($E239),$E239,""))</f>
        <v/>
      </c>
      <c r="AN239" s="62">
        <f>IF(N($AL239)&gt;0,INDEX(rLim_ADM,$AL239),IF(ISNUMBER($F239),$F239,""))</f>
        <v/>
      </c>
    </row>
    <row r="240">
      <c r="A240" s="56">
        <f>IF(NOT((COUNTA($B240:$D240)+COUNTA($G240:$L240)+COUNTA($Q240))&gt;0),"",IF($V240="Macro",COUNTIFS($V$5:$V240,"Macro",$S$5:$S240,$S240),IF(N($U240)=0,"?",COUNTIFS(INDEX($V$5:$V$1000,1):INDEX($V$5:$V$1000,$U240-4),"Macro",INDEX($S$5:$S$1000,1):INDEX($S$5:$S$1000,$U240-4),INDEX($S$5:$S$1000,$U240-4))&amp;"."&amp;COUNTIFS($U$5:$U240,$U240,$V$5:$V240,"Sub"))))</f>
        <v/>
      </c>
      <c r="B240" s="57" t="n"/>
      <c r="C240" s="58" t="n"/>
      <c r="D240" s="58" t="n"/>
      <c r="E240" s="59">
        <f>IF(N($AL240)&gt;0,INDEX(rIni_ADM,$AL240),"")</f>
        <v/>
      </c>
      <c r="F240" s="59">
        <f>IF(N($AL240)&gt;0,INDEX(rLim_ADM,$AL240),"")</f>
        <v/>
      </c>
      <c r="G240" s="59" t="n"/>
      <c r="H240" s="60" t="n"/>
      <c r="I240" s="60" t="n"/>
      <c r="J240" s="60" t="n"/>
      <c r="K240" s="60" t="n"/>
      <c r="L240" s="60" t="n"/>
      <c r="M240" s="61">
        <f>IF(NOT((COUNTA($B240:$D240)+COUNTA($G240:$L240)+COUNTA($Q240))&gt;0),"",IF($V240="Sub",IFERROR($X240/INDEX($W$5:$W$1000,$U240-4),""),IF(ISNUMBER($G240),1,IF(N($W240)&gt;0,AVERAGEIFS($X$5:$X$1000,$U$5:$U$1000,ROW(),$V$5:$V$1000,"Sub"),$X240))))</f>
        <v/>
      </c>
      <c r="N240" s="56">
        <f>IF(OR($M240="",$V240="Sub"),"",IF($M240&gt;=1,"Completado",IF($M240&gt;0,"En curso","Pendiente")))</f>
        <v/>
      </c>
      <c r="O240" s="56">
        <f>IF(OR(NOT((COUNTA($B240:$D240)+COUNTA($G240:$L240)+COUNTA($Q240))&gt;0),$V240="Sub"),"",IF(ISNUMBER($G240),IF(AND(ISNUMBER($AN240),$G240&gt;$AN240),"Cumplida con "&amp;($G240-$AN240)&amp;IF($G240-$AN240=1," día"," días")&amp;" de retraso","Cumplida"),IF(N($M240)&gt;=1,"Cumplida",IF(NOT(ISNUMBER($AN240)),"Sin fecha límite",IF($AN240&lt;FechaRef,"Vencida hace "&amp;(FechaRef-$AN240)&amp;IF(FechaRef-$AN240=1," día"," días"),IF($AN240=FechaRef,"Vence hoy",IF($AN240-FechaRef&lt;=DiasAlerta,"Vence en "&amp;($AN240-FechaRef)&amp;IF($AN240-FechaRef=1," día"," días"),"En plazo")))))))</f>
        <v/>
      </c>
      <c r="P240" s="62" t="n"/>
      <c r="Q240" s="58" t="n"/>
      <c r="R240" s="63">
        <f>IF(NOT((COUNTA($B240:$D240)+COUNTA($G240:$L240)+COUNTA($Q240))&gt;0),"",IF((IF($C240="","Falta el nombre de la actividad"&amp;" · ","")&amp;IF(AND($V240="Sub",N($U240)=0),"Subactividad sin macroactividad arriba"&amp;" · ","")&amp;IF($AM240="","Sin fecha de inicio"&amp;" · ","")&amp;IF($AN240="","Sin fecha límite"&amp;" · ","")&amp;IF(AND(LEFT($C240,11)="[Jefatura] ",N($AL240)=0),"No se encuentra en la hoja de la jefatura (elíjala de nuevo en la lista)"&amp;" · ","")&amp;IF(OR(AND($E240&lt;&gt;"",NOT(ISNUMBER($E240))),AND($F240&lt;&gt;"",NOT(ISNUMBER($F240))),AND($G240&lt;&gt;"",NOT(ISNUMBER($G240)))),"Fecha no válida"&amp;" · ","")&amp;IF(AND(ISNUMBER($AM240),ISNUMBER($AN240),$AM240&gt;$AN240),"Inicio posterior a fecha límite"&amp;" · ","")&amp;IF(AND($V240="Macro",$H240&lt;&gt;"",OR(NOT(ISNUMBER($H240)),$H240&lt;0,$H240&gt;1)),"Peso fuera de rango"&amp;" · ","")&amp;IF(AND($V240="Sub",$H240&lt;&gt;""),"Las subactividades no llevan peso (valen igual dentro de su macroactividad)"&amp;" · ","")&amp;IF(AND(N($W240)&gt;0,COUNT($I240:$L240)&gt;0),"Con subactividades: deje vacías las semanas (se calculan solas)"&amp;" · ","")&amp;IF((COUNTIF($I240:$L240,"&gt;1")+COUNTIF($I240:$L240,"&lt;0")+COUNTA($I240:$L240)-COUNT($I240:$L240))&gt;0,"Avance fuera de rango 0-100%"&amp;" · ","")&amp;IF(OR(AND($J240&lt;&gt;"",$J240&lt;$I240),AND($K240&lt;&gt;"",$K240&lt;MAX($I240:$J240)),AND($L240&lt;&gt;"",$L240&lt;MAX($I240:$K240))),"Avance semanal decreciente"&amp;" · ","")&amp;IF(AND(ISNUMBER($AN240),$AN240&lt;FechaRef,IF($V240="Sub",N($X240),N($M240))&lt;1),"Vencida"&amp;" · ","")&amp;IF(AND(ObsObligatoria="Sí",ISNUMBER($AN240),$AN240&lt;FechaRef,IF($V240="Sub",N($X240),N($M240))&lt;1,$Q240=""),"Vencida sin observación"&amp;" · ",""))="","✔ OK","⚠ "&amp;LEFT(IF($C240="","Falta el nombre de la actividad"&amp;" · ","")&amp;IF(AND($V240="Sub",N($U240)=0),"Subactividad sin macroactividad arriba"&amp;" · ","")&amp;IF($AM240="","Sin fecha de inicio"&amp;" · ","")&amp;IF($AN240="","Sin fecha límite"&amp;" · ","")&amp;IF(AND(LEFT($C240,11)="[Jefatura] ",N($AL240)=0),"No se encuentra en la hoja de la jefatura (elíjala de nuevo en la lista)"&amp;" · ","")&amp;IF(OR(AND($E240&lt;&gt;"",NOT(ISNUMBER($E240))),AND($F240&lt;&gt;"",NOT(ISNUMBER($F240))),AND($G240&lt;&gt;"",NOT(ISNUMBER($G240)))),"Fecha no válida"&amp;" · ","")&amp;IF(AND(ISNUMBER($AM240),ISNUMBER($AN240),$AM240&gt;$AN240),"Inicio posterior a fecha límite"&amp;" · ","")&amp;IF(AND($V240="Macro",$H240&lt;&gt;"",OR(NOT(ISNUMBER($H240)),$H240&lt;0,$H240&gt;1)),"Peso fuera de rango"&amp;" · ","")&amp;IF(AND($V240="Sub",$H240&lt;&gt;""),"Las subactividades no llevan peso (valen igual dentro de su macroactividad)"&amp;" · ","")&amp;IF(AND(N($W240)&gt;0,COUNT($I240:$L240)&gt;0),"Con subactividades: deje vacías las semanas (se calculan solas)"&amp;" · ","")&amp;IF((COUNTIF($I240:$L240,"&gt;1")+COUNTIF($I240:$L240,"&lt;0")+COUNTA($I240:$L240)-COUNT($I240:$L240))&gt;0,"Avance fuera de rango 0-100%"&amp;" · ","")&amp;IF(OR(AND($J240&lt;&gt;"",$J240&lt;$I240),AND($K240&lt;&gt;"",$K240&lt;MAX($I240:$J240)),AND($L240&lt;&gt;"",$L240&lt;MAX($I240:$K240))),"Avance semanal decreciente"&amp;" · ","")&amp;IF(AND(ISNUMBER($AN240),$AN240&lt;FechaRef,IF($V240="Sub",N($X240),N($M240))&lt;1),"Vencida"&amp;" · ","")&amp;IF(AND(ObsObligatoria="Sí",ISNUMBER($AN240),$AN240&lt;FechaRef,IF($V240="Sub",N($X240),N($M240))&lt;1,$Q240=""),"Vencida sin observación"&amp;" · ",""),LEN(IF($C240="","Falta el nombre de la actividad"&amp;" · ","")&amp;IF(AND($V240="Sub",N($U240)=0),"Subactividad sin macroactividad arriba"&amp;" · ","")&amp;IF($AM240="","Sin fecha de inicio"&amp;" · ","")&amp;IF($AN240="","Sin fecha límite"&amp;" · ","")&amp;IF(AND(LEFT($C240,11)="[Jefatura] ",N($AL240)=0),"No se encuentra en la hoja de la jefatura (elíjala de nuevo en la lista)"&amp;" · ","")&amp;IF(OR(AND($E240&lt;&gt;"",NOT(ISNUMBER($E240))),AND($F240&lt;&gt;"",NOT(ISNUMBER($F240))),AND($G240&lt;&gt;"",NOT(ISNUMBER($G240)))),"Fecha no válida"&amp;" · ","")&amp;IF(AND(ISNUMBER($AM240),ISNUMBER($AN240),$AM240&gt;$AN240),"Inicio posterior a fecha límite"&amp;" · ","")&amp;IF(AND($V240="Macro",$H240&lt;&gt;"",OR(NOT(ISNUMBER($H240)),$H240&lt;0,$H240&gt;1)),"Peso fuera de rango"&amp;" · ","")&amp;IF(AND($V240="Sub",$H240&lt;&gt;""),"Las subactividades no llevan peso (valen igual dentro de su macroactividad)"&amp;" · ","")&amp;IF(AND(N($W240)&gt;0,COUNT($I240:$L240)&gt;0),"Con subactividades: deje vacías las semanas (se calculan solas)"&amp;" · ","")&amp;IF((COUNTIF($I240:$L240,"&gt;1")+COUNTIF($I240:$L240,"&lt;0")+COUNTA($I240:$L240)-COUNT($I240:$L240))&gt;0,"Avance fuera de rango 0-100%"&amp;" · ","")&amp;IF(OR(AND($J240&lt;&gt;"",$J240&lt;$I240),AND($K240&lt;&gt;"",$K240&lt;MAX($I240:$J240)),AND($L240&lt;&gt;"",$L240&lt;MAX($I240:$K240))),"Avance semanal decreciente"&amp;" · ","")&amp;IF(AND(ISNUMBER($AN240),$AN240&lt;FechaRef,IF($V240="Sub",N($X240),N($M240))&lt;1),"Vencida"&amp;" · ","")&amp;IF(AND(ObsObligatoria="Sí",ISNUMBER($AN240),$AN240&lt;FechaRef,IF($V240="Sub",N($X240),N($M240))&lt;1,$Q240=""),"Vencida sin observación"&amp;" · ",""))-3)))</f>
        <v/>
      </c>
      <c r="S240" s="64">
        <f>IF(NOT((COUNTA($B240:$D240)+COUNTA($G240:$L240)+COUNTA($Q240))&gt;0),"",IF(AND($V240="Sub",N($U240)&gt;0),IF(ISNUMBER(INDEX($AM$5:$AM$1000,$U240-4)),DATE(YEAR(INDEX($AM$5:$AM$1000,$U240-4)),MONTH(INDEX($AM$5:$AM$1000,$U240-4)),1),IF(ISNUMBER(INDEX($AN$5:$AN$1000,$U240-4)),DATE(YEAR(INDEX($AN$5:$AN$1000,$U240-4)),MONTH(INDEX($AN$5:$AN$1000,$U240-4)),1),MesCiclo)),IF(ISNUMBER($AM240),DATE(YEAR($AM240),MONTH($AM240),1),IF(ISNUMBER($AN240),DATE(YEAR($AN240),MONTH($AN240),1),MesCiclo))))</f>
        <v/>
      </c>
      <c r="T240" s="62">
        <f>IF(OR($S240="",$S240&lt;&gt;MesCiclo,$V240&lt;&gt;"Macro"),"",COUNTIFS($S$5:$S240,MesCiclo,$V$5:$V240,"Macro"))</f>
        <v/>
      </c>
      <c r="U240" s="62">
        <f>IF($V240="","",IF($V240="Macro",ROW(),IFERROR(LOOKUP(2,1/($V$5:$V240="Macro"),ROW($V$5:$V240)),0)))</f>
        <v/>
      </c>
      <c r="V240" s="62">
        <f>IF(NOT((COUNTA($B240:$D240)+COUNTA($G240:$L240)+COUNTA($Q240))&gt;0),"",IF($B240="Subactividad","Sub","Macro"))</f>
        <v/>
      </c>
      <c r="W240" s="62">
        <f>IF($V240="Macro",COUNTIFS($U$5:$U$1000,ROW(),$V$5:$V$1000,"Sub"),"")</f>
        <v/>
      </c>
      <c r="X240" s="62">
        <f>IF($V240="","",IF(ISNUMBER($G240),1,IFERROR(LOOKUP(2,1/($I240:$L240&lt;&gt;""),$I240:$L240),0)))</f>
        <v/>
      </c>
      <c r="Y240" s="62">
        <f>IF($V240="","",IF(AND(ISNUMBER($G240),$G240&lt;=IF($S240=MesCiclo,InicioCiclo,$S240+MOD(2-WEEKDAY($S240),7))+6),1,IF(ISNUMBER($I240),$I240,0)))</f>
        <v/>
      </c>
      <c r="Z240" s="62">
        <f>IF($V240="","",IF(AND(ISNUMBER($G240),$G240&lt;=IF($S240=MesCiclo,InicioCiclo,$S240+MOD(2-WEEKDAY($S240),7))+13),1,IF(ISNUMBER($J240),$J240,$Y240)))</f>
        <v/>
      </c>
      <c r="AA240" s="62">
        <f>IF($V240="","",IF(AND(ISNUMBER($G240),$G240&lt;=IF($S240=MesCiclo,InicioCiclo,$S240+MOD(2-WEEKDAY($S240),7))+20),1,IF(ISNUMBER($K240),$K240,$Z240)))</f>
        <v/>
      </c>
      <c r="AB240" s="62">
        <f>IF($V240="","",IF(AND(ISNUMBER($G240),$G240&lt;=IF($S240=MesCiclo,InicioCiclo,$S240+MOD(2-WEEKDAY($S240),7))+27),1,IF(ISNUMBER($L240),$L240,$AA240)))</f>
        <v/>
      </c>
      <c r="AC240" s="62">
        <f>IF($V240="","",IF(AND(ISNUMBER($G240),$G240&lt;=IF($S240=MesCiclo,InicioCiclo,$S240+MOD(2-WEEKDAY($S240),7))+6),1,IF(N($W240)&gt;0,AVERAGEIFS($Y$5:$Y$1000,$U$5:$U$1000,ROW(),$V$5:$V$1000,"Sub"),$Y240)))</f>
        <v/>
      </c>
      <c r="AD240" s="62">
        <f>IF($V240="","",IF(AND(ISNUMBER($G240),$G240&lt;=IF($S240=MesCiclo,InicioCiclo,$S240+MOD(2-WEEKDAY($S240),7))+13),1,IF(N($W240)&gt;0,AVERAGEIFS($Z$5:$Z$1000,$U$5:$U$1000,ROW(),$V$5:$V$1000,"Sub"),$Z240)))</f>
        <v/>
      </c>
      <c r="AE240" s="62">
        <f>IF($V240="","",IF(AND(ISNUMBER($G240),$G240&lt;=IF($S240=MesCiclo,InicioCiclo,$S240+MOD(2-WEEKDAY($S240),7))+20),1,IF(N($W240)&gt;0,AVERAGEIFS($AA$5:$AA$1000,$U$5:$U$1000,ROW(),$V$5:$V$1000,"Sub"),$AA240)))</f>
        <v/>
      </c>
      <c r="AF240" s="62">
        <f>IF($V240="","",IF(AND(ISNUMBER($G240),$G240&lt;=IF($S240=MesCiclo,InicioCiclo,$S240+MOD(2-WEEKDAY($S240),7))+27),1,IF(N($W240)&gt;0,AVERAGEIFS($AB$5:$AB$1000,$U$5:$U$1000,ROW(),$V$5:$V$1000,"Sub"),$AB240)))</f>
        <v/>
      </c>
      <c r="AG240" s="62">
        <f>IF($V240&lt;&gt;"Macro","",IF(COUNTIFS($S$5:$S$1000,$S240,$V$5:$V$1000,"Macro",$H$5:$H$1000,"&gt;0")=0,1/COUNTIFS($S$5:$S$1000,$S240,$V$5:$V$1000,"Macro"),IF(AND(ISNUMBER($H240),N($H240)&gt;0),$H240,SUMIFS($H$5:$H$1000,$S$5:$S$1000,$S240,$V$5:$V$1000,"Macro")/COUNTIFS($S$5:$S$1000,$S240,$V$5:$V$1000,"Macro",$H$5:$H$1000,"&gt;0"))/(COUNTIFS($S$5:$S$1000,$S240,$V$5:$V$1000,"Macro")*SUMIFS($H$5:$H$1000,$S$5:$S$1000,$S240,$V$5:$V$1000,"Macro")/COUNTIFS($S$5:$S$1000,$S240,$V$5:$V$1000,"Macro",$H$5:$H$1000,"&gt;0"))))</f>
        <v/>
      </c>
      <c r="AH240" s="62" t="n"/>
      <c r="AI240" s="62" t="n"/>
      <c r="AJ240" s="62" t="n"/>
      <c r="AK240" s="62" t="n"/>
      <c r="AL240" s="62">
        <f>IF(LEFT($C240,11)="[Jefatura] ",IFERROR(MATCH("Asistente Técnico de Riesgo|"&amp;MID($C240,12,500),rDname_ADM,0),0),"")</f>
        <v/>
      </c>
      <c r="AM240" s="62">
        <f>IF(N($AL240)&gt;0,INDEX(rIni_ADM,$AL240),IF(ISNUMBER($E240),$E240,""))</f>
        <v/>
      </c>
      <c r="AN240" s="62">
        <f>IF(N($AL240)&gt;0,INDEX(rLim_ADM,$AL240),IF(ISNUMBER($F240),$F240,""))</f>
        <v/>
      </c>
    </row>
    <row r="241">
      <c r="A241" s="56">
        <f>IF(NOT((COUNTA($B241:$D241)+COUNTA($G241:$L241)+COUNTA($Q241))&gt;0),"",IF($V241="Macro",COUNTIFS($V$5:$V241,"Macro",$S$5:$S241,$S241),IF(N($U241)=0,"?",COUNTIFS(INDEX($V$5:$V$1000,1):INDEX($V$5:$V$1000,$U241-4),"Macro",INDEX($S$5:$S$1000,1):INDEX($S$5:$S$1000,$U241-4),INDEX($S$5:$S$1000,$U241-4))&amp;"."&amp;COUNTIFS($U$5:$U241,$U241,$V$5:$V241,"Sub"))))</f>
        <v/>
      </c>
      <c r="B241" s="57" t="n"/>
      <c r="C241" s="58" t="n"/>
      <c r="D241" s="58" t="n"/>
      <c r="E241" s="59">
        <f>IF(N($AL241)&gt;0,INDEX(rIni_ADM,$AL241),"")</f>
        <v/>
      </c>
      <c r="F241" s="59">
        <f>IF(N($AL241)&gt;0,INDEX(rLim_ADM,$AL241),"")</f>
        <v/>
      </c>
      <c r="G241" s="59" t="n"/>
      <c r="H241" s="60" t="n"/>
      <c r="I241" s="60" t="n"/>
      <c r="J241" s="60" t="n"/>
      <c r="K241" s="60" t="n"/>
      <c r="L241" s="60" t="n"/>
      <c r="M241" s="61">
        <f>IF(NOT((COUNTA($B241:$D241)+COUNTA($G241:$L241)+COUNTA($Q241))&gt;0),"",IF($V241="Sub",IFERROR($X241/INDEX($W$5:$W$1000,$U241-4),""),IF(ISNUMBER($G241),1,IF(N($W241)&gt;0,AVERAGEIFS($X$5:$X$1000,$U$5:$U$1000,ROW(),$V$5:$V$1000,"Sub"),$X241))))</f>
        <v/>
      </c>
      <c r="N241" s="56">
        <f>IF(OR($M241="",$V241="Sub"),"",IF($M241&gt;=1,"Completado",IF($M241&gt;0,"En curso","Pendiente")))</f>
        <v/>
      </c>
      <c r="O241" s="56">
        <f>IF(OR(NOT((COUNTA($B241:$D241)+COUNTA($G241:$L241)+COUNTA($Q241))&gt;0),$V241="Sub"),"",IF(ISNUMBER($G241),IF(AND(ISNUMBER($AN241),$G241&gt;$AN241),"Cumplida con "&amp;($G241-$AN241)&amp;IF($G241-$AN241=1," día"," días")&amp;" de retraso","Cumplida"),IF(N($M241)&gt;=1,"Cumplida",IF(NOT(ISNUMBER($AN241)),"Sin fecha límite",IF($AN241&lt;FechaRef,"Vencida hace "&amp;(FechaRef-$AN241)&amp;IF(FechaRef-$AN241=1," día"," días"),IF($AN241=FechaRef,"Vence hoy",IF($AN241-FechaRef&lt;=DiasAlerta,"Vence en "&amp;($AN241-FechaRef)&amp;IF($AN241-FechaRef=1," día"," días"),"En plazo")))))))</f>
        <v/>
      </c>
      <c r="P241" s="62" t="n"/>
      <c r="Q241" s="58" t="n"/>
      <c r="R241" s="63">
        <f>IF(NOT((COUNTA($B241:$D241)+COUNTA($G241:$L241)+COUNTA($Q241))&gt;0),"",IF((IF($C241="","Falta el nombre de la actividad"&amp;" · ","")&amp;IF(AND($V241="Sub",N($U241)=0),"Subactividad sin macroactividad arriba"&amp;" · ","")&amp;IF($AM241="","Sin fecha de inicio"&amp;" · ","")&amp;IF($AN241="","Sin fecha límite"&amp;" · ","")&amp;IF(AND(LEFT($C241,11)="[Jefatura] ",N($AL241)=0),"No se encuentra en la hoja de la jefatura (elíjala de nuevo en la lista)"&amp;" · ","")&amp;IF(OR(AND($E241&lt;&gt;"",NOT(ISNUMBER($E241))),AND($F241&lt;&gt;"",NOT(ISNUMBER($F241))),AND($G241&lt;&gt;"",NOT(ISNUMBER($G241)))),"Fecha no válida"&amp;" · ","")&amp;IF(AND(ISNUMBER($AM241),ISNUMBER($AN241),$AM241&gt;$AN241),"Inicio posterior a fecha límite"&amp;" · ","")&amp;IF(AND($V241="Macro",$H241&lt;&gt;"",OR(NOT(ISNUMBER($H241)),$H241&lt;0,$H241&gt;1)),"Peso fuera de rango"&amp;" · ","")&amp;IF(AND($V241="Sub",$H241&lt;&gt;""),"Las subactividades no llevan peso (valen igual dentro de su macroactividad)"&amp;" · ","")&amp;IF(AND(N($W241)&gt;0,COUNT($I241:$L241)&gt;0),"Con subactividades: deje vacías las semanas (se calculan solas)"&amp;" · ","")&amp;IF((COUNTIF($I241:$L241,"&gt;1")+COUNTIF($I241:$L241,"&lt;0")+COUNTA($I241:$L241)-COUNT($I241:$L241))&gt;0,"Avance fuera de rango 0-100%"&amp;" · ","")&amp;IF(OR(AND($J241&lt;&gt;"",$J241&lt;$I241),AND($K241&lt;&gt;"",$K241&lt;MAX($I241:$J241)),AND($L241&lt;&gt;"",$L241&lt;MAX($I241:$K241))),"Avance semanal decreciente"&amp;" · ","")&amp;IF(AND(ISNUMBER($AN241),$AN241&lt;FechaRef,IF($V241="Sub",N($X241),N($M241))&lt;1),"Vencida"&amp;" · ","")&amp;IF(AND(ObsObligatoria="Sí",ISNUMBER($AN241),$AN241&lt;FechaRef,IF($V241="Sub",N($X241),N($M241))&lt;1,$Q241=""),"Vencida sin observación"&amp;" · ",""))="","✔ OK","⚠ "&amp;LEFT(IF($C241="","Falta el nombre de la actividad"&amp;" · ","")&amp;IF(AND($V241="Sub",N($U241)=0),"Subactividad sin macroactividad arriba"&amp;" · ","")&amp;IF($AM241="","Sin fecha de inicio"&amp;" · ","")&amp;IF($AN241="","Sin fecha límite"&amp;" · ","")&amp;IF(AND(LEFT($C241,11)="[Jefatura] ",N($AL241)=0),"No se encuentra en la hoja de la jefatura (elíjala de nuevo en la lista)"&amp;" · ","")&amp;IF(OR(AND($E241&lt;&gt;"",NOT(ISNUMBER($E241))),AND($F241&lt;&gt;"",NOT(ISNUMBER($F241))),AND($G241&lt;&gt;"",NOT(ISNUMBER($G241)))),"Fecha no válida"&amp;" · ","")&amp;IF(AND(ISNUMBER($AM241),ISNUMBER($AN241),$AM241&gt;$AN241),"Inicio posterior a fecha límite"&amp;" · ","")&amp;IF(AND($V241="Macro",$H241&lt;&gt;"",OR(NOT(ISNUMBER($H241)),$H241&lt;0,$H241&gt;1)),"Peso fuera de rango"&amp;" · ","")&amp;IF(AND($V241="Sub",$H241&lt;&gt;""),"Las subactividades no llevan peso (valen igual dentro de su macroactividad)"&amp;" · ","")&amp;IF(AND(N($W241)&gt;0,COUNT($I241:$L241)&gt;0),"Con subactividades: deje vacías las semanas (se calculan solas)"&amp;" · ","")&amp;IF((COUNTIF($I241:$L241,"&gt;1")+COUNTIF($I241:$L241,"&lt;0")+COUNTA($I241:$L241)-COUNT($I241:$L241))&gt;0,"Avance fuera de rango 0-100%"&amp;" · ","")&amp;IF(OR(AND($J241&lt;&gt;"",$J241&lt;$I241),AND($K241&lt;&gt;"",$K241&lt;MAX($I241:$J241)),AND($L241&lt;&gt;"",$L241&lt;MAX($I241:$K241))),"Avance semanal decreciente"&amp;" · ","")&amp;IF(AND(ISNUMBER($AN241),$AN241&lt;FechaRef,IF($V241="Sub",N($X241),N($M241))&lt;1),"Vencida"&amp;" · ","")&amp;IF(AND(ObsObligatoria="Sí",ISNUMBER($AN241),$AN241&lt;FechaRef,IF($V241="Sub",N($X241),N($M241))&lt;1,$Q241=""),"Vencida sin observación"&amp;" · ",""),LEN(IF($C241="","Falta el nombre de la actividad"&amp;" · ","")&amp;IF(AND($V241="Sub",N($U241)=0),"Subactividad sin macroactividad arriba"&amp;" · ","")&amp;IF($AM241="","Sin fecha de inicio"&amp;" · ","")&amp;IF($AN241="","Sin fecha límite"&amp;" · ","")&amp;IF(AND(LEFT($C241,11)="[Jefatura] ",N($AL241)=0),"No se encuentra en la hoja de la jefatura (elíjala de nuevo en la lista)"&amp;" · ","")&amp;IF(OR(AND($E241&lt;&gt;"",NOT(ISNUMBER($E241))),AND($F241&lt;&gt;"",NOT(ISNUMBER($F241))),AND($G241&lt;&gt;"",NOT(ISNUMBER($G241)))),"Fecha no válida"&amp;" · ","")&amp;IF(AND(ISNUMBER($AM241),ISNUMBER($AN241),$AM241&gt;$AN241),"Inicio posterior a fecha límite"&amp;" · ","")&amp;IF(AND($V241="Macro",$H241&lt;&gt;"",OR(NOT(ISNUMBER($H241)),$H241&lt;0,$H241&gt;1)),"Peso fuera de rango"&amp;" · ","")&amp;IF(AND($V241="Sub",$H241&lt;&gt;""),"Las subactividades no llevan peso (valen igual dentro de su macroactividad)"&amp;" · ","")&amp;IF(AND(N($W241)&gt;0,COUNT($I241:$L241)&gt;0),"Con subactividades: deje vacías las semanas (se calculan solas)"&amp;" · ","")&amp;IF((COUNTIF($I241:$L241,"&gt;1")+COUNTIF($I241:$L241,"&lt;0")+COUNTA($I241:$L241)-COUNT($I241:$L241))&gt;0,"Avance fuera de rango 0-100%"&amp;" · ","")&amp;IF(OR(AND($J241&lt;&gt;"",$J241&lt;$I241),AND($K241&lt;&gt;"",$K241&lt;MAX($I241:$J241)),AND($L241&lt;&gt;"",$L241&lt;MAX($I241:$K241))),"Avance semanal decreciente"&amp;" · ","")&amp;IF(AND(ISNUMBER($AN241),$AN241&lt;FechaRef,IF($V241="Sub",N($X241),N($M241))&lt;1),"Vencida"&amp;" · ","")&amp;IF(AND(ObsObligatoria="Sí",ISNUMBER($AN241),$AN241&lt;FechaRef,IF($V241="Sub",N($X241),N($M241))&lt;1,$Q241=""),"Vencida sin observación"&amp;" · ",""))-3)))</f>
        <v/>
      </c>
      <c r="S241" s="64">
        <f>IF(NOT((COUNTA($B241:$D241)+COUNTA($G241:$L241)+COUNTA($Q241))&gt;0),"",IF(AND($V241="Sub",N($U241)&gt;0),IF(ISNUMBER(INDEX($AM$5:$AM$1000,$U241-4)),DATE(YEAR(INDEX($AM$5:$AM$1000,$U241-4)),MONTH(INDEX($AM$5:$AM$1000,$U241-4)),1),IF(ISNUMBER(INDEX($AN$5:$AN$1000,$U241-4)),DATE(YEAR(INDEX($AN$5:$AN$1000,$U241-4)),MONTH(INDEX($AN$5:$AN$1000,$U241-4)),1),MesCiclo)),IF(ISNUMBER($AM241),DATE(YEAR($AM241),MONTH($AM241),1),IF(ISNUMBER($AN241),DATE(YEAR($AN241),MONTH($AN241),1),MesCiclo))))</f>
        <v/>
      </c>
      <c r="T241" s="62">
        <f>IF(OR($S241="",$S241&lt;&gt;MesCiclo,$V241&lt;&gt;"Macro"),"",COUNTIFS($S$5:$S241,MesCiclo,$V$5:$V241,"Macro"))</f>
        <v/>
      </c>
      <c r="U241" s="62">
        <f>IF($V241="","",IF($V241="Macro",ROW(),IFERROR(LOOKUP(2,1/($V$5:$V241="Macro"),ROW($V$5:$V241)),0)))</f>
        <v/>
      </c>
      <c r="V241" s="62">
        <f>IF(NOT((COUNTA($B241:$D241)+COUNTA($G241:$L241)+COUNTA($Q241))&gt;0),"",IF($B241="Subactividad","Sub","Macro"))</f>
        <v/>
      </c>
      <c r="W241" s="62">
        <f>IF($V241="Macro",COUNTIFS($U$5:$U$1000,ROW(),$V$5:$V$1000,"Sub"),"")</f>
        <v/>
      </c>
      <c r="X241" s="62">
        <f>IF($V241="","",IF(ISNUMBER($G241),1,IFERROR(LOOKUP(2,1/($I241:$L241&lt;&gt;""),$I241:$L241),0)))</f>
        <v/>
      </c>
      <c r="Y241" s="62">
        <f>IF($V241="","",IF(AND(ISNUMBER($G241),$G241&lt;=IF($S241=MesCiclo,InicioCiclo,$S241+MOD(2-WEEKDAY($S241),7))+6),1,IF(ISNUMBER($I241),$I241,0)))</f>
        <v/>
      </c>
      <c r="Z241" s="62">
        <f>IF($V241="","",IF(AND(ISNUMBER($G241),$G241&lt;=IF($S241=MesCiclo,InicioCiclo,$S241+MOD(2-WEEKDAY($S241),7))+13),1,IF(ISNUMBER($J241),$J241,$Y241)))</f>
        <v/>
      </c>
      <c r="AA241" s="62">
        <f>IF($V241="","",IF(AND(ISNUMBER($G241),$G241&lt;=IF($S241=MesCiclo,InicioCiclo,$S241+MOD(2-WEEKDAY($S241),7))+20),1,IF(ISNUMBER($K241),$K241,$Z241)))</f>
        <v/>
      </c>
      <c r="AB241" s="62">
        <f>IF($V241="","",IF(AND(ISNUMBER($G241),$G241&lt;=IF($S241=MesCiclo,InicioCiclo,$S241+MOD(2-WEEKDAY($S241),7))+27),1,IF(ISNUMBER($L241),$L241,$AA241)))</f>
        <v/>
      </c>
      <c r="AC241" s="62">
        <f>IF($V241="","",IF(AND(ISNUMBER($G241),$G241&lt;=IF($S241=MesCiclo,InicioCiclo,$S241+MOD(2-WEEKDAY($S241),7))+6),1,IF(N($W241)&gt;0,AVERAGEIFS($Y$5:$Y$1000,$U$5:$U$1000,ROW(),$V$5:$V$1000,"Sub"),$Y241)))</f>
        <v/>
      </c>
      <c r="AD241" s="62">
        <f>IF($V241="","",IF(AND(ISNUMBER($G241),$G241&lt;=IF($S241=MesCiclo,InicioCiclo,$S241+MOD(2-WEEKDAY($S241),7))+13),1,IF(N($W241)&gt;0,AVERAGEIFS($Z$5:$Z$1000,$U$5:$U$1000,ROW(),$V$5:$V$1000,"Sub"),$Z241)))</f>
        <v/>
      </c>
      <c r="AE241" s="62">
        <f>IF($V241="","",IF(AND(ISNUMBER($G241),$G241&lt;=IF($S241=MesCiclo,InicioCiclo,$S241+MOD(2-WEEKDAY($S241),7))+20),1,IF(N($W241)&gt;0,AVERAGEIFS($AA$5:$AA$1000,$U$5:$U$1000,ROW(),$V$5:$V$1000,"Sub"),$AA241)))</f>
        <v/>
      </c>
      <c r="AF241" s="62">
        <f>IF($V241="","",IF(AND(ISNUMBER($G241),$G241&lt;=IF($S241=MesCiclo,InicioCiclo,$S241+MOD(2-WEEKDAY($S241),7))+27),1,IF(N($W241)&gt;0,AVERAGEIFS($AB$5:$AB$1000,$U$5:$U$1000,ROW(),$V$5:$V$1000,"Sub"),$AB241)))</f>
        <v/>
      </c>
      <c r="AG241" s="62">
        <f>IF($V241&lt;&gt;"Macro","",IF(COUNTIFS($S$5:$S$1000,$S241,$V$5:$V$1000,"Macro",$H$5:$H$1000,"&gt;0")=0,1/COUNTIFS($S$5:$S$1000,$S241,$V$5:$V$1000,"Macro"),IF(AND(ISNUMBER($H241),N($H241)&gt;0),$H241,SUMIFS($H$5:$H$1000,$S$5:$S$1000,$S241,$V$5:$V$1000,"Macro")/COUNTIFS($S$5:$S$1000,$S241,$V$5:$V$1000,"Macro",$H$5:$H$1000,"&gt;0"))/(COUNTIFS($S$5:$S$1000,$S241,$V$5:$V$1000,"Macro")*SUMIFS($H$5:$H$1000,$S$5:$S$1000,$S241,$V$5:$V$1000,"Macro")/COUNTIFS($S$5:$S$1000,$S241,$V$5:$V$1000,"Macro",$H$5:$H$1000,"&gt;0"))))</f>
        <v/>
      </c>
      <c r="AH241" s="62" t="n"/>
      <c r="AI241" s="62" t="n"/>
      <c r="AJ241" s="62" t="n"/>
      <c r="AK241" s="62" t="n"/>
      <c r="AL241" s="62">
        <f>IF(LEFT($C241,11)="[Jefatura] ",IFERROR(MATCH("Asistente Técnico de Riesgo|"&amp;MID($C241,12,500),rDname_ADM,0),0),"")</f>
        <v/>
      </c>
      <c r="AM241" s="62">
        <f>IF(N($AL241)&gt;0,INDEX(rIni_ADM,$AL241),IF(ISNUMBER($E241),$E241,""))</f>
        <v/>
      </c>
      <c r="AN241" s="62">
        <f>IF(N($AL241)&gt;0,INDEX(rLim_ADM,$AL241),IF(ISNUMBER($F241),$F241,""))</f>
        <v/>
      </c>
    </row>
    <row r="242">
      <c r="A242" s="56">
        <f>IF(NOT((COUNTA($B242:$D242)+COUNTA($G242:$L242)+COUNTA($Q242))&gt;0),"",IF($V242="Macro",COUNTIFS($V$5:$V242,"Macro",$S$5:$S242,$S242),IF(N($U242)=0,"?",COUNTIFS(INDEX($V$5:$V$1000,1):INDEX($V$5:$V$1000,$U242-4),"Macro",INDEX($S$5:$S$1000,1):INDEX($S$5:$S$1000,$U242-4),INDEX($S$5:$S$1000,$U242-4))&amp;"."&amp;COUNTIFS($U$5:$U242,$U242,$V$5:$V242,"Sub"))))</f>
        <v/>
      </c>
      <c r="B242" s="57" t="n"/>
      <c r="C242" s="58" t="n"/>
      <c r="D242" s="58" t="n"/>
      <c r="E242" s="59">
        <f>IF(N($AL242)&gt;0,INDEX(rIni_ADM,$AL242),"")</f>
        <v/>
      </c>
      <c r="F242" s="59">
        <f>IF(N($AL242)&gt;0,INDEX(rLim_ADM,$AL242),"")</f>
        <v/>
      </c>
      <c r="G242" s="59" t="n"/>
      <c r="H242" s="60" t="n"/>
      <c r="I242" s="60" t="n"/>
      <c r="J242" s="60" t="n"/>
      <c r="K242" s="60" t="n"/>
      <c r="L242" s="60" t="n"/>
      <c r="M242" s="61">
        <f>IF(NOT((COUNTA($B242:$D242)+COUNTA($G242:$L242)+COUNTA($Q242))&gt;0),"",IF($V242="Sub",IFERROR($X242/INDEX($W$5:$W$1000,$U242-4),""),IF(ISNUMBER($G242),1,IF(N($W242)&gt;0,AVERAGEIFS($X$5:$X$1000,$U$5:$U$1000,ROW(),$V$5:$V$1000,"Sub"),$X242))))</f>
        <v/>
      </c>
      <c r="N242" s="56">
        <f>IF(OR($M242="",$V242="Sub"),"",IF($M242&gt;=1,"Completado",IF($M242&gt;0,"En curso","Pendiente")))</f>
        <v/>
      </c>
      <c r="O242" s="56">
        <f>IF(OR(NOT((COUNTA($B242:$D242)+COUNTA($G242:$L242)+COUNTA($Q242))&gt;0),$V242="Sub"),"",IF(ISNUMBER($G242),IF(AND(ISNUMBER($AN242),$G242&gt;$AN242),"Cumplida con "&amp;($G242-$AN242)&amp;IF($G242-$AN242=1," día"," días")&amp;" de retraso","Cumplida"),IF(N($M242)&gt;=1,"Cumplida",IF(NOT(ISNUMBER($AN242)),"Sin fecha límite",IF($AN242&lt;FechaRef,"Vencida hace "&amp;(FechaRef-$AN242)&amp;IF(FechaRef-$AN242=1," día"," días"),IF($AN242=FechaRef,"Vence hoy",IF($AN242-FechaRef&lt;=DiasAlerta,"Vence en "&amp;($AN242-FechaRef)&amp;IF($AN242-FechaRef=1," día"," días"),"En plazo")))))))</f>
        <v/>
      </c>
      <c r="P242" s="62" t="n"/>
      <c r="Q242" s="58" t="n"/>
      <c r="R242" s="63">
        <f>IF(NOT((COUNTA($B242:$D242)+COUNTA($G242:$L242)+COUNTA($Q242))&gt;0),"",IF((IF($C242="","Falta el nombre de la actividad"&amp;" · ","")&amp;IF(AND($V242="Sub",N($U242)=0),"Subactividad sin macroactividad arriba"&amp;" · ","")&amp;IF($AM242="","Sin fecha de inicio"&amp;" · ","")&amp;IF($AN242="","Sin fecha límite"&amp;" · ","")&amp;IF(AND(LEFT($C242,11)="[Jefatura] ",N($AL242)=0),"No se encuentra en la hoja de la jefatura (elíjala de nuevo en la lista)"&amp;" · ","")&amp;IF(OR(AND($E242&lt;&gt;"",NOT(ISNUMBER($E242))),AND($F242&lt;&gt;"",NOT(ISNUMBER($F242))),AND($G242&lt;&gt;"",NOT(ISNUMBER($G242)))),"Fecha no válida"&amp;" · ","")&amp;IF(AND(ISNUMBER($AM242),ISNUMBER($AN242),$AM242&gt;$AN242),"Inicio posterior a fecha límite"&amp;" · ","")&amp;IF(AND($V242="Macro",$H242&lt;&gt;"",OR(NOT(ISNUMBER($H242)),$H242&lt;0,$H242&gt;1)),"Peso fuera de rango"&amp;" · ","")&amp;IF(AND($V242="Sub",$H242&lt;&gt;""),"Las subactividades no llevan peso (valen igual dentro de su macroactividad)"&amp;" · ","")&amp;IF(AND(N($W242)&gt;0,COUNT($I242:$L242)&gt;0),"Con subactividades: deje vacías las semanas (se calculan solas)"&amp;" · ","")&amp;IF((COUNTIF($I242:$L242,"&gt;1")+COUNTIF($I242:$L242,"&lt;0")+COUNTA($I242:$L242)-COUNT($I242:$L242))&gt;0,"Avance fuera de rango 0-100%"&amp;" · ","")&amp;IF(OR(AND($J242&lt;&gt;"",$J242&lt;$I242),AND($K242&lt;&gt;"",$K242&lt;MAX($I242:$J242)),AND($L242&lt;&gt;"",$L242&lt;MAX($I242:$K242))),"Avance semanal decreciente"&amp;" · ","")&amp;IF(AND(ISNUMBER($AN242),$AN242&lt;FechaRef,IF($V242="Sub",N($X242),N($M242))&lt;1),"Vencida"&amp;" · ","")&amp;IF(AND(ObsObligatoria="Sí",ISNUMBER($AN242),$AN242&lt;FechaRef,IF($V242="Sub",N($X242),N($M242))&lt;1,$Q242=""),"Vencida sin observación"&amp;" · ",""))="","✔ OK","⚠ "&amp;LEFT(IF($C242="","Falta el nombre de la actividad"&amp;" · ","")&amp;IF(AND($V242="Sub",N($U242)=0),"Subactividad sin macroactividad arriba"&amp;" · ","")&amp;IF($AM242="","Sin fecha de inicio"&amp;" · ","")&amp;IF($AN242="","Sin fecha límite"&amp;" · ","")&amp;IF(AND(LEFT($C242,11)="[Jefatura] ",N($AL242)=0),"No se encuentra en la hoja de la jefatura (elíjala de nuevo en la lista)"&amp;" · ","")&amp;IF(OR(AND($E242&lt;&gt;"",NOT(ISNUMBER($E242))),AND($F242&lt;&gt;"",NOT(ISNUMBER($F242))),AND($G242&lt;&gt;"",NOT(ISNUMBER($G242)))),"Fecha no válida"&amp;" · ","")&amp;IF(AND(ISNUMBER($AM242),ISNUMBER($AN242),$AM242&gt;$AN242),"Inicio posterior a fecha límite"&amp;" · ","")&amp;IF(AND($V242="Macro",$H242&lt;&gt;"",OR(NOT(ISNUMBER($H242)),$H242&lt;0,$H242&gt;1)),"Peso fuera de rango"&amp;" · ","")&amp;IF(AND($V242="Sub",$H242&lt;&gt;""),"Las subactividades no llevan peso (valen igual dentro de su macroactividad)"&amp;" · ","")&amp;IF(AND(N($W242)&gt;0,COUNT($I242:$L242)&gt;0),"Con subactividades: deje vacías las semanas (se calculan solas)"&amp;" · ","")&amp;IF((COUNTIF($I242:$L242,"&gt;1")+COUNTIF($I242:$L242,"&lt;0")+COUNTA($I242:$L242)-COUNT($I242:$L242))&gt;0,"Avance fuera de rango 0-100%"&amp;" · ","")&amp;IF(OR(AND($J242&lt;&gt;"",$J242&lt;$I242),AND($K242&lt;&gt;"",$K242&lt;MAX($I242:$J242)),AND($L242&lt;&gt;"",$L242&lt;MAX($I242:$K242))),"Avance semanal decreciente"&amp;" · ","")&amp;IF(AND(ISNUMBER($AN242),$AN242&lt;FechaRef,IF($V242="Sub",N($X242),N($M242))&lt;1),"Vencida"&amp;" · ","")&amp;IF(AND(ObsObligatoria="Sí",ISNUMBER($AN242),$AN242&lt;FechaRef,IF($V242="Sub",N($X242),N($M242))&lt;1,$Q242=""),"Vencida sin observación"&amp;" · ",""),LEN(IF($C242="","Falta el nombre de la actividad"&amp;" · ","")&amp;IF(AND($V242="Sub",N($U242)=0),"Subactividad sin macroactividad arriba"&amp;" · ","")&amp;IF($AM242="","Sin fecha de inicio"&amp;" · ","")&amp;IF($AN242="","Sin fecha límite"&amp;" · ","")&amp;IF(AND(LEFT($C242,11)="[Jefatura] ",N($AL242)=0),"No se encuentra en la hoja de la jefatura (elíjala de nuevo en la lista)"&amp;" · ","")&amp;IF(OR(AND($E242&lt;&gt;"",NOT(ISNUMBER($E242))),AND($F242&lt;&gt;"",NOT(ISNUMBER($F242))),AND($G242&lt;&gt;"",NOT(ISNUMBER($G242)))),"Fecha no válida"&amp;" · ","")&amp;IF(AND(ISNUMBER($AM242),ISNUMBER($AN242),$AM242&gt;$AN242),"Inicio posterior a fecha límite"&amp;" · ","")&amp;IF(AND($V242="Macro",$H242&lt;&gt;"",OR(NOT(ISNUMBER($H242)),$H242&lt;0,$H242&gt;1)),"Peso fuera de rango"&amp;" · ","")&amp;IF(AND($V242="Sub",$H242&lt;&gt;""),"Las subactividades no llevan peso (valen igual dentro de su macroactividad)"&amp;" · ","")&amp;IF(AND(N($W242)&gt;0,COUNT($I242:$L242)&gt;0),"Con subactividades: deje vacías las semanas (se calculan solas)"&amp;" · ","")&amp;IF((COUNTIF($I242:$L242,"&gt;1")+COUNTIF($I242:$L242,"&lt;0")+COUNTA($I242:$L242)-COUNT($I242:$L242))&gt;0,"Avance fuera de rango 0-100%"&amp;" · ","")&amp;IF(OR(AND($J242&lt;&gt;"",$J242&lt;$I242),AND($K242&lt;&gt;"",$K242&lt;MAX($I242:$J242)),AND($L242&lt;&gt;"",$L242&lt;MAX($I242:$K242))),"Avance semanal decreciente"&amp;" · ","")&amp;IF(AND(ISNUMBER($AN242),$AN242&lt;FechaRef,IF($V242="Sub",N($X242),N($M242))&lt;1),"Vencida"&amp;" · ","")&amp;IF(AND(ObsObligatoria="Sí",ISNUMBER($AN242),$AN242&lt;FechaRef,IF($V242="Sub",N($X242),N($M242))&lt;1,$Q242=""),"Vencida sin observación"&amp;" · ",""))-3)))</f>
        <v/>
      </c>
      <c r="S242" s="64">
        <f>IF(NOT((COUNTA($B242:$D242)+COUNTA($G242:$L242)+COUNTA($Q242))&gt;0),"",IF(AND($V242="Sub",N($U242)&gt;0),IF(ISNUMBER(INDEX($AM$5:$AM$1000,$U242-4)),DATE(YEAR(INDEX($AM$5:$AM$1000,$U242-4)),MONTH(INDEX($AM$5:$AM$1000,$U242-4)),1),IF(ISNUMBER(INDEX($AN$5:$AN$1000,$U242-4)),DATE(YEAR(INDEX($AN$5:$AN$1000,$U242-4)),MONTH(INDEX($AN$5:$AN$1000,$U242-4)),1),MesCiclo)),IF(ISNUMBER($AM242),DATE(YEAR($AM242),MONTH($AM242),1),IF(ISNUMBER($AN242),DATE(YEAR($AN242),MONTH($AN242),1),MesCiclo))))</f>
        <v/>
      </c>
      <c r="T242" s="62">
        <f>IF(OR($S242="",$S242&lt;&gt;MesCiclo,$V242&lt;&gt;"Macro"),"",COUNTIFS($S$5:$S242,MesCiclo,$V$5:$V242,"Macro"))</f>
        <v/>
      </c>
      <c r="U242" s="62">
        <f>IF($V242="","",IF($V242="Macro",ROW(),IFERROR(LOOKUP(2,1/($V$5:$V242="Macro"),ROW($V$5:$V242)),0)))</f>
        <v/>
      </c>
      <c r="V242" s="62">
        <f>IF(NOT((COUNTA($B242:$D242)+COUNTA($G242:$L242)+COUNTA($Q242))&gt;0),"",IF($B242="Subactividad","Sub","Macro"))</f>
        <v/>
      </c>
      <c r="W242" s="62">
        <f>IF($V242="Macro",COUNTIFS($U$5:$U$1000,ROW(),$V$5:$V$1000,"Sub"),"")</f>
        <v/>
      </c>
      <c r="X242" s="62">
        <f>IF($V242="","",IF(ISNUMBER($G242),1,IFERROR(LOOKUP(2,1/($I242:$L242&lt;&gt;""),$I242:$L242),0)))</f>
        <v/>
      </c>
      <c r="Y242" s="62">
        <f>IF($V242="","",IF(AND(ISNUMBER($G242),$G242&lt;=IF($S242=MesCiclo,InicioCiclo,$S242+MOD(2-WEEKDAY($S242),7))+6),1,IF(ISNUMBER($I242),$I242,0)))</f>
        <v/>
      </c>
      <c r="Z242" s="62">
        <f>IF($V242="","",IF(AND(ISNUMBER($G242),$G242&lt;=IF($S242=MesCiclo,InicioCiclo,$S242+MOD(2-WEEKDAY($S242),7))+13),1,IF(ISNUMBER($J242),$J242,$Y242)))</f>
        <v/>
      </c>
      <c r="AA242" s="62">
        <f>IF($V242="","",IF(AND(ISNUMBER($G242),$G242&lt;=IF($S242=MesCiclo,InicioCiclo,$S242+MOD(2-WEEKDAY($S242),7))+20),1,IF(ISNUMBER($K242),$K242,$Z242)))</f>
        <v/>
      </c>
      <c r="AB242" s="62">
        <f>IF($V242="","",IF(AND(ISNUMBER($G242),$G242&lt;=IF($S242=MesCiclo,InicioCiclo,$S242+MOD(2-WEEKDAY($S242),7))+27),1,IF(ISNUMBER($L242),$L242,$AA242)))</f>
        <v/>
      </c>
      <c r="AC242" s="62">
        <f>IF($V242="","",IF(AND(ISNUMBER($G242),$G242&lt;=IF($S242=MesCiclo,InicioCiclo,$S242+MOD(2-WEEKDAY($S242),7))+6),1,IF(N($W242)&gt;0,AVERAGEIFS($Y$5:$Y$1000,$U$5:$U$1000,ROW(),$V$5:$V$1000,"Sub"),$Y242)))</f>
        <v/>
      </c>
      <c r="AD242" s="62">
        <f>IF($V242="","",IF(AND(ISNUMBER($G242),$G242&lt;=IF($S242=MesCiclo,InicioCiclo,$S242+MOD(2-WEEKDAY($S242),7))+13),1,IF(N($W242)&gt;0,AVERAGEIFS($Z$5:$Z$1000,$U$5:$U$1000,ROW(),$V$5:$V$1000,"Sub"),$Z242)))</f>
        <v/>
      </c>
      <c r="AE242" s="62">
        <f>IF($V242="","",IF(AND(ISNUMBER($G242),$G242&lt;=IF($S242=MesCiclo,InicioCiclo,$S242+MOD(2-WEEKDAY($S242),7))+20),1,IF(N($W242)&gt;0,AVERAGEIFS($AA$5:$AA$1000,$U$5:$U$1000,ROW(),$V$5:$V$1000,"Sub"),$AA242)))</f>
        <v/>
      </c>
      <c r="AF242" s="62">
        <f>IF($V242="","",IF(AND(ISNUMBER($G242),$G242&lt;=IF($S242=MesCiclo,InicioCiclo,$S242+MOD(2-WEEKDAY($S242),7))+27),1,IF(N($W242)&gt;0,AVERAGEIFS($AB$5:$AB$1000,$U$5:$U$1000,ROW(),$V$5:$V$1000,"Sub"),$AB242)))</f>
        <v/>
      </c>
      <c r="AG242" s="62">
        <f>IF($V242&lt;&gt;"Macro","",IF(COUNTIFS($S$5:$S$1000,$S242,$V$5:$V$1000,"Macro",$H$5:$H$1000,"&gt;0")=0,1/COUNTIFS($S$5:$S$1000,$S242,$V$5:$V$1000,"Macro"),IF(AND(ISNUMBER($H242),N($H242)&gt;0),$H242,SUMIFS($H$5:$H$1000,$S$5:$S$1000,$S242,$V$5:$V$1000,"Macro")/COUNTIFS($S$5:$S$1000,$S242,$V$5:$V$1000,"Macro",$H$5:$H$1000,"&gt;0"))/(COUNTIFS($S$5:$S$1000,$S242,$V$5:$V$1000,"Macro")*SUMIFS($H$5:$H$1000,$S$5:$S$1000,$S242,$V$5:$V$1000,"Macro")/COUNTIFS($S$5:$S$1000,$S242,$V$5:$V$1000,"Macro",$H$5:$H$1000,"&gt;0"))))</f>
        <v/>
      </c>
      <c r="AH242" s="62" t="n"/>
      <c r="AI242" s="62" t="n"/>
      <c r="AJ242" s="62" t="n"/>
      <c r="AK242" s="62" t="n"/>
      <c r="AL242" s="62">
        <f>IF(LEFT($C242,11)="[Jefatura] ",IFERROR(MATCH("Asistente Técnico de Riesgo|"&amp;MID($C242,12,500),rDname_ADM,0),0),"")</f>
        <v/>
      </c>
      <c r="AM242" s="62">
        <f>IF(N($AL242)&gt;0,INDEX(rIni_ADM,$AL242),IF(ISNUMBER($E242),$E242,""))</f>
        <v/>
      </c>
      <c r="AN242" s="62">
        <f>IF(N($AL242)&gt;0,INDEX(rLim_ADM,$AL242),IF(ISNUMBER($F242),$F242,""))</f>
        <v/>
      </c>
    </row>
    <row r="243">
      <c r="A243" s="56">
        <f>IF(NOT((COUNTA($B243:$D243)+COUNTA($G243:$L243)+COUNTA($Q243))&gt;0),"",IF($V243="Macro",COUNTIFS($V$5:$V243,"Macro",$S$5:$S243,$S243),IF(N($U243)=0,"?",COUNTIFS(INDEX($V$5:$V$1000,1):INDEX($V$5:$V$1000,$U243-4),"Macro",INDEX($S$5:$S$1000,1):INDEX($S$5:$S$1000,$U243-4),INDEX($S$5:$S$1000,$U243-4))&amp;"."&amp;COUNTIFS($U$5:$U243,$U243,$V$5:$V243,"Sub"))))</f>
        <v/>
      </c>
      <c r="B243" s="57" t="n"/>
      <c r="C243" s="58" t="n"/>
      <c r="D243" s="58" t="n"/>
      <c r="E243" s="59">
        <f>IF(N($AL243)&gt;0,INDEX(rIni_ADM,$AL243),"")</f>
        <v/>
      </c>
      <c r="F243" s="59">
        <f>IF(N($AL243)&gt;0,INDEX(rLim_ADM,$AL243),"")</f>
        <v/>
      </c>
      <c r="G243" s="59" t="n"/>
      <c r="H243" s="60" t="n"/>
      <c r="I243" s="60" t="n"/>
      <c r="J243" s="60" t="n"/>
      <c r="K243" s="60" t="n"/>
      <c r="L243" s="60" t="n"/>
      <c r="M243" s="61">
        <f>IF(NOT((COUNTA($B243:$D243)+COUNTA($G243:$L243)+COUNTA($Q243))&gt;0),"",IF($V243="Sub",IFERROR($X243/INDEX($W$5:$W$1000,$U243-4),""),IF(ISNUMBER($G243),1,IF(N($W243)&gt;0,AVERAGEIFS($X$5:$X$1000,$U$5:$U$1000,ROW(),$V$5:$V$1000,"Sub"),$X243))))</f>
        <v/>
      </c>
      <c r="N243" s="56">
        <f>IF(OR($M243="",$V243="Sub"),"",IF($M243&gt;=1,"Completado",IF($M243&gt;0,"En curso","Pendiente")))</f>
        <v/>
      </c>
      <c r="O243" s="56">
        <f>IF(OR(NOT((COUNTA($B243:$D243)+COUNTA($G243:$L243)+COUNTA($Q243))&gt;0),$V243="Sub"),"",IF(ISNUMBER($G243),IF(AND(ISNUMBER($AN243),$G243&gt;$AN243),"Cumplida con "&amp;($G243-$AN243)&amp;IF($G243-$AN243=1," día"," días")&amp;" de retraso","Cumplida"),IF(N($M243)&gt;=1,"Cumplida",IF(NOT(ISNUMBER($AN243)),"Sin fecha límite",IF($AN243&lt;FechaRef,"Vencida hace "&amp;(FechaRef-$AN243)&amp;IF(FechaRef-$AN243=1," día"," días"),IF($AN243=FechaRef,"Vence hoy",IF($AN243-FechaRef&lt;=DiasAlerta,"Vence en "&amp;($AN243-FechaRef)&amp;IF($AN243-FechaRef=1," día"," días"),"En plazo")))))))</f>
        <v/>
      </c>
      <c r="P243" s="62" t="n"/>
      <c r="Q243" s="58" t="n"/>
      <c r="R243" s="63">
        <f>IF(NOT((COUNTA($B243:$D243)+COUNTA($G243:$L243)+COUNTA($Q243))&gt;0),"",IF((IF($C243="","Falta el nombre de la actividad"&amp;" · ","")&amp;IF(AND($V243="Sub",N($U243)=0),"Subactividad sin macroactividad arriba"&amp;" · ","")&amp;IF($AM243="","Sin fecha de inicio"&amp;" · ","")&amp;IF($AN243="","Sin fecha límite"&amp;" · ","")&amp;IF(AND(LEFT($C243,11)="[Jefatura] ",N($AL243)=0),"No se encuentra en la hoja de la jefatura (elíjala de nuevo en la lista)"&amp;" · ","")&amp;IF(OR(AND($E243&lt;&gt;"",NOT(ISNUMBER($E243))),AND($F243&lt;&gt;"",NOT(ISNUMBER($F243))),AND($G243&lt;&gt;"",NOT(ISNUMBER($G243)))),"Fecha no válida"&amp;" · ","")&amp;IF(AND(ISNUMBER($AM243),ISNUMBER($AN243),$AM243&gt;$AN243),"Inicio posterior a fecha límite"&amp;" · ","")&amp;IF(AND($V243="Macro",$H243&lt;&gt;"",OR(NOT(ISNUMBER($H243)),$H243&lt;0,$H243&gt;1)),"Peso fuera de rango"&amp;" · ","")&amp;IF(AND($V243="Sub",$H243&lt;&gt;""),"Las subactividades no llevan peso (valen igual dentro de su macroactividad)"&amp;" · ","")&amp;IF(AND(N($W243)&gt;0,COUNT($I243:$L243)&gt;0),"Con subactividades: deje vacías las semanas (se calculan solas)"&amp;" · ","")&amp;IF((COUNTIF($I243:$L243,"&gt;1")+COUNTIF($I243:$L243,"&lt;0")+COUNTA($I243:$L243)-COUNT($I243:$L243))&gt;0,"Avance fuera de rango 0-100%"&amp;" · ","")&amp;IF(OR(AND($J243&lt;&gt;"",$J243&lt;$I243),AND($K243&lt;&gt;"",$K243&lt;MAX($I243:$J243)),AND($L243&lt;&gt;"",$L243&lt;MAX($I243:$K243))),"Avance semanal decreciente"&amp;" · ","")&amp;IF(AND(ISNUMBER($AN243),$AN243&lt;FechaRef,IF($V243="Sub",N($X243),N($M243))&lt;1),"Vencida"&amp;" · ","")&amp;IF(AND(ObsObligatoria="Sí",ISNUMBER($AN243),$AN243&lt;FechaRef,IF($V243="Sub",N($X243),N($M243))&lt;1,$Q243=""),"Vencida sin observación"&amp;" · ",""))="","✔ OK","⚠ "&amp;LEFT(IF($C243="","Falta el nombre de la actividad"&amp;" · ","")&amp;IF(AND($V243="Sub",N($U243)=0),"Subactividad sin macroactividad arriba"&amp;" · ","")&amp;IF($AM243="","Sin fecha de inicio"&amp;" · ","")&amp;IF($AN243="","Sin fecha límite"&amp;" · ","")&amp;IF(AND(LEFT($C243,11)="[Jefatura] ",N($AL243)=0),"No se encuentra en la hoja de la jefatura (elíjala de nuevo en la lista)"&amp;" · ","")&amp;IF(OR(AND($E243&lt;&gt;"",NOT(ISNUMBER($E243))),AND($F243&lt;&gt;"",NOT(ISNUMBER($F243))),AND($G243&lt;&gt;"",NOT(ISNUMBER($G243)))),"Fecha no válida"&amp;" · ","")&amp;IF(AND(ISNUMBER($AM243),ISNUMBER($AN243),$AM243&gt;$AN243),"Inicio posterior a fecha límite"&amp;" · ","")&amp;IF(AND($V243="Macro",$H243&lt;&gt;"",OR(NOT(ISNUMBER($H243)),$H243&lt;0,$H243&gt;1)),"Peso fuera de rango"&amp;" · ","")&amp;IF(AND($V243="Sub",$H243&lt;&gt;""),"Las subactividades no llevan peso (valen igual dentro de su macroactividad)"&amp;" · ","")&amp;IF(AND(N($W243)&gt;0,COUNT($I243:$L243)&gt;0),"Con subactividades: deje vacías las semanas (se calculan solas)"&amp;" · ","")&amp;IF((COUNTIF($I243:$L243,"&gt;1")+COUNTIF($I243:$L243,"&lt;0")+COUNTA($I243:$L243)-COUNT($I243:$L243))&gt;0,"Avance fuera de rango 0-100%"&amp;" · ","")&amp;IF(OR(AND($J243&lt;&gt;"",$J243&lt;$I243),AND($K243&lt;&gt;"",$K243&lt;MAX($I243:$J243)),AND($L243&lt;&gt;"",$L243&lt;MAX($I243:$K243))),"Avance semanal decreciente"&amp;" · ","")&amp;IF(AND(ISNUMBER($AN243),$AN243&lt;FechaRef,IF($V243="Sub",N($X243),N($M243))&lt;1),"Vencida"&amp;" · ","")&amp;IF(AND(ObsObligatoria="Sí",ISNUMBER($AN243),$AN243&lt;FechaRef,IF($V243="Sub",N($X243),N($M243))&lt;1,$Q243=""),"Vencida sin observación"&amp;" · ",""),LEN(IF($C243="","Falta el nombre de la actividad"&amp;" · ","")&amp;IF(AND($V243="Sub",N($U243)=0),"Subactividad sin macroactividad arriba"&amp;" · ","")&amp;IF($AM243="","Sin fecha de inicio"&amp;" · ","")&amp;IF($AN243="","Sin fecha límite"&amp;" · ","")&amp;IF(AND(LEFT($C243,11)="[Jefatura] ",N($AL243)=0),"No se encuentra en la hoja de la jefatura (elíjala de nuevo en la lista)"&amp;" · ","")&amp;IF(OR(AND($E243&lt;&gt;"",NOT(ISNUMBER($E243))),AND($F243&lt;&gt;"",NOT(ISNUMBER($F243))),AND($G243&lt;&gt;"",NOT(ISNUMBER($G243)))),"Fecha no válida"&amp;" · ","")&amp;IF(AND(ISNUMBER($AM243),ISNUMBER($AN243),$AM243&gt;$AN243),"Inicio posterior a fecha límite"&amp;" · ","")&amp;IF(AND($V243="Macro",$H243&lt;&gt;"",OR(NOT(ISNUMBER($H243)),$H243&lt;0,$H243&gt;1)),"Peso fuera de rango"&amp;" · ","")&amp;IF(AND($V243="Sub",$H243&lt;&gt;""),"Las subactividades no llevan peso (valen igual dentro de su macroactividad)"&amp;" · ","")&amp;IF(AND(N($W243)&gt;0,COUNT($I243:$L243)&gt;0),"Con subactividades: deje vacías las semanas (se calculan solas)"&amp;" · ","")&amp;IF((COUNTIF($I243:$L243,"&gt;1")+COUNTIF($I243:$L243,"&lt;0")+COUNTA($I243:$L243)-COUNT($I243:$L243))&gt;0,"Avance fuera de rango 0-100%"&amp;" · ","")&amp;IF(OR(AND($J243&lt;&gt;"",$J243&lt;$I243),AND($K243&lt;&gt;"",$K243&lt;MAX($I243:$J243)),AND($L243&lt;&gt;"",$L243&lt;MAX($I243:$K243))),"Avance semanal decreciente"&amp;" · ","")&amp;IF(AND(ISNUMBER($AN243),$AN243&lt;FechaRef,IF($V243="Sub",N($X243),N($M243))&lt;1),"Vencida"&amp;" · ","")&amp;IF(AND(ObsObligatoria="Sí",ISNUMBER($AN243),$AN243&lt;FechaRef,IF($V243="Sub",N($X243),N($M243))&lt;1,$Q243=""),"Vencida sin observación"&amp;" · ",""))-3)))</f>
        <v/>
      </c>
      <c r="S243" s="64">
        <f>IF(NOT((COUNTA($B243:$D243)+COUNTA($G243:$L243)+COUNTA($Q243))&gt;0),"",IF(AND($V243="Sub",N($U243)&gt;0),IF(ISNUMBER(INDEX($AM$5:$AM$1000,$U243-4)),DATE(YEAR(INDEX($AM$5:$AM$1000,$U243-4)),MONTH(INDEX($AM$5:$AM$1000,$U243-4)),1),IF(ISNUMBER(INDEX($AN$5:$AN$1000,$U243-4)),DATE(YEAR(INDEX($AN$5:$AN$1000,$U243-4)),MONTH(INDEX($AN$5:$AN$1000,$U243-4)),1),MesCiclo)),IF(ISNUMBER($AM243),DATE(YEAR($AM243),MONTH($AM243),1),IF(ISNUMBER($AN243),DATE(YEAR($AN243),MONTH($AN243),1),MesCiclo))))</f>
        <v/>
      </c>
      <c r="T243" s="62">
        <f>IF(OR($S243="",$S243&lt;&gt;MesCiclo,$V243&lt;&gt;"Macro"),"",COUNTIFS($S$5:$S243,MesCiclo,$V$5:$V243,"Macro"))</f>
        <v/>
      </c>
      <c r="U243" s="62">
        <f>IF($V243="","",IF($V243="Macro",ROW(),IFERROR(LOOKUP(2,1/($V$5:$V243="Macro"),ROW($V$5:$V243)),0)))</f>
        <v/>
      </c>
      <c r="V243" s="62">
        <f>IF(NOT((COUNTA($B243:$D243)+COUNTA($G243:$L243)+COUNTA($Q243))&gt;0),"",IF($B243="Subactividad","Sub","Macro"))</f>
        <v/>
      </c>
      <c r="W243" s="62">
        <f>IF($V243="Macro",COUNTIFS($U$5:$U$1000,ROW(),$V$5:$V$1000,"Sub"),"")</f>
        <v/>
      </c>
      <c r="X243" s="62">
        <f>IF($V243="","",IF(ISNUMBER($G243),1,IFERROR(LOOKUP(2,1/($I243:$L243&lt;&gt;""),$I243:$L243),0)))</f>
        <v/>
      </c>
      <c r="Y243" s="62">
        <f>IF($V243="","",IF(AND(ISNUMBER($G243),$G243&lt;=IF($S243=MesCiclo,InicioCiclo,$S243+MOD(2-WEEKDAY($S243),7))+6),1,IF(ISNUMBER($I243),$I243,0)))</f>
        <v/>
      </c>
      <c r="Z243" s="62">
        <f>IF($V243="","",IF(AND(ISNUMBER($G243),$G243&lt;=IF($S243=MesCiclo,InicioCiclo,$S243+MOD(2-WEEKDAY($S243),7))+13),1,IF(ISNUMBER($J243),$J243,$Y243)))</f>
        <v/>
      </c>
      <c r="AA243" s="62">
        <f>IF($V243="","",IF(AND(ISNUMBER($G243),$G243&lt;=IF($S243=MesCiclo,InicioCiclo,$S243+MOD(2-WEEKDAY($S243),7))+20),1,IF(ISNUMBER($K243),$K243,$Z243)))</f>
        <v/>
      </c>
      <c r="AB243" s="62">
        <f>IF($V243="","",IF(AND(ISNUMBER($G243),$G243&lt;=IF($S243=MesCiclo,InicioCiclo,$S243+MOD(2-WEEKDAY($S243),7))+27),1,IF(ISNUMBER($L243),$L243,$AA243)))</f>
        <v/>
      </c>
      <c r="AC243" s="62">
        <f>IF($V243="","",IF(AND(ISNUMBER($G243),$G243&lt;=IF($S243=MesCiclo,InicioCiclo,$S243+MOD(2-WEEKDAY($S243),7))+6),1,IF(N($W243)&gt;0,AVERAGEIFS($Y$5:$Y$1000,$U$5:$U$1000,ROW(),$V$5:$V$1000,"Sub"),$Y243)))</f>
        <v/>
      </c>
      <c r="AD243" s="62">
        <f>IF($V243="","",IF(AND(ISNUMBER($G243),$G243&lt;=IF($S243=MesCiclo,InicioCiclo,$S243+MOD(2-WEEKDAY($S243),7))+13),1,IF(N($W243)&gt;0,AVERAGEIFS($Z$5:$Z$1000,$U$5:$U$1000,ROW(),$V$5:$V$1000,"Sub"),$Z243)))</f>
        <v/>
      </c>
      <c r="AE243" s="62">
        <f>IF($V243="","",IF(AND(ISNUMBER($G243),$G243&lt;=IF($S243=MesCiclo,InicioCiclo,$S243+MOD(2-WEEKDAY($S243),7))+20),1,IF(N($W243)&gt;0,AVERAGEIFS($AA$5:$AA$1000,$U$5:$U$1000,ROW(),$V$5:$V$1000,"Sub"),$AA243)))</f>
        <v/>
      </c>
      <c r="AF243" s="62">
        <f>IF($V243="","",IF(AND(ISNUMBER($G243),$G243&lt;=IF($S243=MesCiclo,InicioCiclo,$S243+MOD(2-WEEKDAY($S243),7))+27),1,IF(N($W243)&gt;0,AVERAGEIFS($AB$5:$AB$1000,$U$5:$U$1000,ROW(),$V$5:$V$1000,"Sub"),$AB243)))</f>
        <v/>
      </c>
      <c r="AG243" s="62">
        <f>IF($V243&lt;&gt;"Macro","",IF(COUNTIFS($S$5:$S$1000,$S243,$V$5:$V$1000,"Macro",$H$5:$H$1000,"&gt;0")=0,1/COUNTIFS($S$5:$S$1000,$S243,$V$5:$V$1000,"Macro"),IF(AND(ISNUMBER($H243),N($H243)&gt;0),$H243,SUMIFS($H$5:$H$1000,$S$5:$S$1000,$S243,$V$5:$V$1000,"Macro")/COUNTIFS($S$5:$S$1000,$S243,$V$5:$V$1000,"Macro",$H$5:$H$1000,"&gt;0"))/(COUNTIFS($S$5:$S$1000,$S243,$V$5:$V$1000,"Macro")*SUMIFS($H$5:$H$1000,$S$5:$S$1000,$S243,$V$5:$V$1000,"Macro")/COUNTIFS($S$5:$S$1000,$S243,$V$5:$V$1000,"Macro",$H$5:$H$1000,"&gt;0"))))</f>
        <v/>
      </c>
      <c r="AH243" s="62" t="n"/>
      <c r="AI243" s="62" t="n"/>
      <c r="AJ243" s="62" t="n"/>
      <c r="AK243" s="62" t="n"/>
      <c r="AL243" s="62">
        <f>IF(LEFT($C243,11)="[Jefatura] ",IFERROR(MATCH("Asistente Técnico de Riesgo|"&amp;MID($C243,12,500),rDname_ADM,0),0),"")</f>
        <v/>
      </c>
      <c r="AM243" s="62">
        <f>IF(N($AL243)&gt;0,INDEX(rIni_ADM,$AL243),IF(ISNUMBER($E243),$E243,""))</f>
        <v/>
      </c>
      <c r="AN243" s="62">
        <f>IF(N($AL243)&gt;0,INDEX(rLim_ADM,$AL243),IF(ISNUMBER($F243),$F243,""))</f>
        <v/>
      </c>
    </row>
    <row r="244">
      <c r="A244" s="56">
        <f>IF(NOT((COUNTA($B244:$D244)+COUNTA($G244:$L244)+COUNTA($Q244))&gt;0),"",IF($V244="Macro",COUNTIFS($V$5:$V244,"Macro",$S$5:$S244,$S244),IF(N($U244)=0,"?",COUNTIFS(INDEX($V$5:$V$1000,1):INDEX($V$5:$V$1000,$U244-4),"Macro",INDEX($S$5:$S$1000,1):INDEX($S$5:$S$1000,$U244-4),INDEX($S$5:$S$1000,$U244-4))&amp;"."&amp;COUNTIFS($U$5:$U244,$U244,$V$5:$V244,"Sub"))))</f>
        <v/>
      </c>
      <c r="B244" s="57" t="n"/>
      <c r="C244" s="58" t="n"/>
      <c r="D244" s="58" t="n"/>
      <c r="E244" s="59">
        <f>IF(N($AL244)&gt;0,INDEX(rIni_ADM,$AL244),"")</f>
        <v/>
      </c>
      <c r="F244" s="59">
        <f>IF(N($AL244)&gt;0,INDEX(rLim_ADM,$AL244),"")</f>
        <v/>
      </c>
      <c r="G244" s="59" t="n"/>
      <c r="H244" s="60" t="n"/>
      <c r="I244" s="60" t="n"/>
      <c r="J244" s="60" t="n"/>
      <c r="K244" s="60" t="n"/>
      <c r="L244" s="60" t="n"/>
      <c r="M244" s="61">
        <f>IF(NOT((COUNTA($B244:$D244)+COUNTA($G244:$L244)+COUNTA($Q244))&gt;0),"",IF($V244="Sub",IFERROR($X244/INDEX($W$5:$W$1000,$U244-4),""),IF(ISNUMBER($G244),1,IF(N($W244)&gt;0,AVERAGEIFS($X$5:$X$1000,$U$5:$U$1000,ROW(),$V$5:$V$1000,"Sub"),$X244))))</f>
        <v/>
      </c>
      <c r="N244" s="56">
        <f>IF(OR($M244="",$V244="Sub"),"",IF($M244&gt;=1,"Completado",IF($M244&gt;0,"En curso","Pendiente")))</f>
        <v/>
      </c>
      <c r="O244" s="56">
        <f>IF(OR(NOT((COUNTA($B244:$D244)+COUNTA($G244:$L244)+COUNTA($Q244))&gt;0),$V244="Sub"),"",IF(ISNUMBER($G244),IF(AND(ISNUMBER($AN244),$G244&gt;$AN244),"Cumplida con "&amp;($G244-$AN244)&amp;IF($G244-$AN244=1," día"," días")&amp;" de retraso","Cumplida"),IF(N($M244)&gt;=1,"Cumplida",IF(NOT(ISNUMBER($AN244)),"Sin fecha límite",IF($AN244&lt;FechaRef,"Vencida hace "&amp;(FechaRef-$AN244)&amp;IF(FechaRef-$AN244=1," día"," días"),IF($AN244=FechaRef,"Vence hoy",IF($AN244-FechaRef&lt;=DiasAlerta,"Vence en "&amp;($AN244-FechaRef)&amp;IF($AN244-FechaRef=1," día"," días"),"En plazo")))))))</f>
        <v/>
      </c>
      <c r="P244" s="62" t="n"/>
      <c r="Q244" s="58" t="n"/>
      <c r="R244" s="63">
        <f>IF(NOT((COUNTA($B244:$D244)+COUNTA($G244:$L244)+COUNTA($Q244))&gt;0),"",IF((IF($C244="","Falta el nombre de la actividad"&amp;" · ","")&amp;IF(AND($V244="Sub",N($U244)=0),"Subactividad sin macroactividad arriba"&amp;" · ","")&amp;IF($AM244="","Sin fecha de inicio"&amp;" · ","")&amp;IF($AN244="","Sin fecha límite"&amp;" · ","")&amp;IF(AND(LEFT($C244,11)="[Jefatura] ",N($AL244)=0),"No se encuentra en la hoja de la jefatura (elíjala de nuevo en la lista)"&amp;" · ","")&amp;IF(OR(AND($E244&lt;&gt;"",NOT(ISNUMBER($E244))),AND($F244&lt;&gt;"",NOT(ISNUMBER($F244))),AND($G244&lt;&gt;"",NOT(ISNUMBER($G244)))),"Fecha no válida"&amp;" · ","")&amp;IF(AND(ISNUMBER($AM244),ISNUMBER($AN244),$AM244&gt;$AN244),"Inicio posterior a fecha límite"&amp;" · ","")&amp;IF(AND($V244="Macro",$H244&lt;&gt;"",OR(NOT(ISNUMBER($H244)),$H244&lt;0,$H244&gt;1)),"Peso fuera de rango"&amp;" · ","")&amp;IF(AND($V244="Sub",$H244&lt;&gt;""),"Las subactividades no llevan peso (valen igual dentro de su macroactividad)"&amp;" · ","")&amp;IF(AND(N($W244)&gt;0,COUNT($I244:$L244)&gt;0),"Con subactividades: deje vacías las semanas (se calculan solas)"&amp;" · ","")&amp;IF((COUNTIF($I244:$L244,"&gt;1")+COUNTIF($I244:$L244,"&lt;0")+COUNTA($I244:$L244)-COUNT($I244:$L244))&gt;0,"Avance fuera de rango 0-100%"&amp;" · ","")&amp;IF(OR(AND($J244&lt;&gt;"",$J244&lt;$I244),AND($K244&lt;&gt;"",$K244&lt;MAX($I244:$J244)),AND($L244&lt;&gt;"",$L244&lt;MAX($I244:$K244))),"Avance semanal decreciente"&amp;" · ","")&amp;IF(AND(ISNUMBER($AN244),$AN244&lt;FechaRef,IF($V244="Sub",N($X244),N($M244))&lt;1),"Vencida"&amp;" · ","")&amp;IF(AND(ObsObligatoria="Sí",ISNUMBER($AN244),$AN244&lt;FechaRef,IF($V244="Sub",N($X244),N($M244))&lt;1,$Q244=""),"Vencida sin observación"&amp;" · ",""))="","✔ OK","⚠ "&amp;LEFT(IF($C244="","Falta el nombre de la actividad"&amp;" · ","")&amp;IF(AND($V244="Sub",N($U244)=0),"Subactividad sin macroactividad arriba"&amp;" · ","")&amp;IF($AM244="","Sin fecha de inicio"&amp;" · ","")&amp;IF($AN244="","Sin fecha límite"&amp;" · ","")&amp;IF(AND(LEFT($C244,11)="[Jefatura] ",N($AL244)=0),"No se encuentra en la hoja de la jefatura (elíjala de nuevo en la lista)"&amp;" · ","")&amp;IF(OR(AND($E244&lt;&gt;"",NOT(ISNUMBER($E244))),AND($F244&lt;&gt;"",NOT(ISNUMBER($F244))),AND($G244&lt;&gt;"",NOT(ISNUMBER($G244)))),"Fecha no válida"&amp;" · ","")&amp;IF(AND(ISNUMBER($AM244),ISNUMBER($AN244),$AM244&gt;$AN244),"Inicio posterior a fecha límite"&amp;" · ","")&amp;IF(AND($V244="Macro",$H244&lt;&gt;"",OR(NOT(ISNUMBER($H244)),$H244&lt;0,$H244&gt;1)),"Peso fuera de rango"&amp;" · ","")&amp;IF(AND($V244="Sub",$H244&lt;&gt;""),"Las subactividades no llevan peso (valen igual dentro de su macroactividad)"&amp;" · ","")&amp;IF(AND(N($W244)&gt;0,COUNT($I244:$L244)&gt;0),"Con subactividades: deje vacías las semanas (se calculan solas)"&amp;" · ","")&amp;IF((COUNTIF($I244:$L244,"&gt;1")+COUNTIF($I244:$L244,"&lt;0")+COUNTA($I244:$L244)-COUNT($I244:$L244))&gt;0,"Avance fuera de rango 0-100%"&amp;" · ","")&amp;IF(OR(AND($J244&lt;&gt;"",$J244&lt;$I244),AND($K244&lt;&gt;"",$K244&lt;MAX($I244:$J244)),AND($L244&lt;&gt;"",$L244&lt;MAX($I244:$K244))),"Avance semanal decreciente"&amp;" · ","")&amp;IF(AND(ISNUMBER($AN244),$AN244&lt;FechaRef,IF($V244="Sub",N($X244),N($M244))&lt;1),"Vencida"&amp;" · ","")&amp;IF(AND(ObsObligatoria="Sí",ISNUMBER($AN244),$AN244&lt;FechaRef,IF($V244="Sub",N($X244),N($M244))&lt;1,$Q244=""),"Vencida sin observación"&amp;" · ",""),LEN(IF($C244="","Falta el nombre de la actividad"&amp;" · ","")&amp;IF(AND($V244="Sub",N($U244)=0),"Subactividad sin macroactividad arriba"&amp;" · ","")&amp;IF($AM244="","Sin fecha de inicio"&amp;" · ","")&amp;IF($AN244="","Sin fecha límite"&amp;" · ","")&amp;IF(AND(LEFT($C244,11)="[Jefatura] ",N($AL244)=0),"No se encuentra en la hoja de la jefatura (elíjala de nuevo en la lista)"&amp;" · ","")&amp;IF(OR(AND($E244&lt;&gt;"",NOT(ISNUMBER($E244))),AND($F244&lt;&gt;"",NOT(ISNUMBER($F244))),AND($G244&lt;&gt;"",NOT(ISNUMBER($G244)))),"Fecha no válida"&amp;" · ","")&amp;IF(AND(ISNUMBER($AM244),ISNUMBER($AN244),$AM244&gt;$AN244),"Inicio posterior a fecha límite"&amp;" · ","")&amp;IF(AND($V244="Macro",$H244&lt;&gt;"",OR(NOT(ISNUMBER($H244)),$H244&lt;0,$H244&gt;1)),"Peso fuera de rango"&amp;" · ","")&amp;IF(AND($V244="Sub",$H244&lt;&gt;""),"Las subactividades no llevan peso (valen igual dentro de su macroactividad)"&amp;" · ","")&amp;IF(AND(N($W244)&gt;0,COUNT($I244:$L244)&gt;0),"Con subactividades: deje vacías las semanas (se calculan solas)"&amp;" · ","")&amp;IF((COUNTIF($I244:$L244,"&gt;1")+COUNTIF($I244:$L244,"&lt;0")+COUNTA($I244:$L244)-COUNT($I244:$L244))&gt;0,"Avance fuera de rango 0-100%"&amp;" · ","")&amp;IF(OR(AND($J244&lt;&gt;"",$J244&lt;$I244),AND($K244&lt;&gt;"",$K244&lt;MAX($I244:$J244)),AND($L244&lt;&gt;"",$L244&lt;MAX($I244:$K244))),"Avance semanal decreciente"&amp;" · ","")&amp;IF(AND(ISNUMBER($AN244),$AN244&lt;FechaRef,IF($V244="Sub",N($X244),N($M244))&lt;1),"Vencida"&amp;" · ","")&amp;IF(AND(ObsObligatoria="Sí",ISNUMBER($AN244),$AN244&lt;FechaRef,IF($V244="Sub",N($X244),N($M244))&lt;1,$Q244=""),"Vencida sin observación"&amp;" · ",""))-3)))</f>
        <v/>
      </c>
      <c r="S244" s="64">
        <f>IF(NOT((COUNTA($B244:$D244)+COUNTA($G244:$L244)+COUNTA($Q244))&gt;0),"",IF(AND($V244="Sub",N($U244)&gt;0),IF(ISNUMBER(INDEX($AM$5:$AM$1000,$U244-4)),DATE(YEAR(INDEX($AM$5:$AM$1000,$U244-4)),MONTH(INDEX($AM$5:$AM$1000,$U244-4)),1),IF(ISNUMBER(INDEX($AN$5:$AN$1000,$U244-4)),DATE(YEAR(INDEX($AN$5:$AN$1000,$U244-4)),MONTH(INDEX($AN$5:$AN$1000,$U244-4)),1),MesCiclo)),IF(ISNUMBER($AM244),DATE(YEAR($AM244),MONTH($AM244),1),IF(ISNUMBER($AN244),DATE(YEAR($AN244),MONTH($AN244),1),MesCiclo))))</f>
        <v/>
      </c>
      <c r="T244" s="62">
        <f>IF(OR($S244="",$S244&lt;&gt;MesCiclo,$V244&lt;&gt;"Macro"),"",COUNTIFS($S$5:$S244,MesCiclo,$V$5:$V244,"Macro"))</f>
        <v/>
      </c>
      <c r="U244" s="62">
        <f>IF($V244="","",IF($V244="Macro",ROW(),IFERROR(LOOKUP(2,1/($V$5:$V244="Macro"),ROW($V$5:$V244)),0)))</f>
        <v/>
      </c>
      <c r="V244" s="62">
        <f>IF(NOT((COUNTA($B244:$D244)+COUNTA($G244:$L244)+COUNTA($Q244))&gt;0),"",IF($B244="Subactividad","Sub","Macro"))</f>
        <v/>
      </c>
      <c r="W244" s="62">
        <f>IF($V244="Macro",COUNTIFS($U$5:$U$1000,ROW(),$V$5:$V$1000,"Sub"),"")</f>
        <v/>
      </c>
      <c r="X244" s="62">
        <f>IF($V244="","",IF(ISNUMBER($G244),1,IFERROR(LOOKUP(2,1/($I244:$L244&lt;&gt;""),$I244:$L244),0)))</f>
        <v/>
      </c>
      <c r="Y244" s="62">
        <f>IF($V244="","",IF(AND(ISNUMBER($G244),$G244&lt;=IF($S244=MesCiclo,InicioCiclo,$S244+MOD(2-WEEKDAY($S244),7))+6),1,IF(ISNUMBER($I244),$I244,0)))</f>
        <v/>
      </c>
      <c r="Z244" s="62">
        <f>IF($V244="","",IF(AND(ISNUMBER($G244),$G244&lt;=IF($S244=MesCiclo,InicioCiclo,$S244+MOD(2-WEEKDAY($S244),7))+13),1,IF(ISNUMBER($J244),$J244,$Y244)))</f>
        <v/>
      </c>
      <c r="AA244" s="62">
        <f>IF($V244="","",IF(AND(ISNUMBER($G244),$G244&lt;=IF($S244=MesCiclo,InicioCiclo,$S244+MOD(2-WEEKDAY($S244),7))+20),1,IF(ISNUMBER($K244),$K244,$Z244)))</f>
        <v/>
      </c>
      <c r="AB244" s="62">
        <f>IF($V244="","",IF(AND(ISNUMBER($G244),$G244&lt;=IF($S244=MesCiclo,InicioCiclo,$S244+MOD(2-WEEKDAY($S244),7))+27),1,IF(ISNUMBER($L244),$L244,$AA244)))</f>
        <v/>
      </c>
      <c r="AC244" s="62">
        <f>IF($V244="","",IF(AND(ISNUMBER($G244),$G244&lt;=IF($S244=MesCiclo,InicioCiclo,$S244+MOD(2-WEEKDAY($S244),7))+6),1,IF(N($W244)&gt;0,AVERAGEIFS($Y$5:$Y$1000,$U$5:$U$1000,ROW(),$V$5:$V$1000,"Sub"),$Y244)))</f>
        <v/>
      </c>
      <c r="AD244" s="62">
        <f>IF($V244="","",IF(AND(ISNUMBER($G244),$G244&lt;=IF($S244=MesCiclo,InicioCiclo,$S244+MOD(2-WEEKDAY($S244),7))+13),1,IF(N($W244)&gt;0,AVERAGEIFS($Z$5:$Z$1000,$U$5:$U$1000,ROW(),$V$5:$V$1000,"Sub"),$Z244)))</f>
        <v/>
      </c>
      <c r="AE244" s="62">
        <f>IF($V244="","",IF(AND(ISNUMBER($G244),$G244&lt;=IF($S244=MesCiclo,InicioCiclo,$S244+MOD(2-WEEKDAY($S244),7))+20),1,IF(N($W244)&gt;0,AVERAGEIFS($AA$5:$AA$1000,$U$5:$U$1000,ROW(),$V$5:$V$1000,"Sub"),$AA244)))</f>
        <v/>
      </c>
      <c r="AF244" s="62">
        <f>IF($V244="","",IF(AND(ISNUMBER($G244),$G244&lt;=IF($S244=MesCiclo,InicioCiclo,$S244+MOD(2-WEEKDAY($S244),7))+27),1,IF(N($W244)&gt;0,AVERAGEIFS($AB$5:$AB$1000,$U$5:$U$1000,ROW(),$V$5:$V$1000,"Sub"),$AB244)))</f>
        <v/>
      </c>
      <c r="AG244" s="62">
        <f>IF($V244&lt;&gt;"Macro","",IF(COUNTIFS($S$5:$S$1000,$S244,$V$5:$V$1000,"Macro",$H$5:$H$1000,"&gt;0")=0,1/COUNTIFS($S$5:$S$1000,$S244,$V$5:$V$1000,"Macro"),IF(AND(ISNUMBER($H244),N($H244)&gt;0),$H244,SUMIFS($H$5:$H$1000,$S$5:$S$1000,$S244,$V$5:$V$1000,"Macro")/COUNTIFS($S$5:$S$1000,$S244,$V$5:$V$1000,"Macro",$H$5:$H$1000,"&gt;0"))/(COUNTIFS($S$5:$S$1000,$S244,$V$5:$V$1000,"Macro")*SUMIFS($H$5:$H$1000,$S$5:$S$1000,$S244,$V$5:$V$1000,"Macro")/COUNTIFS($S$5:$S$1000,$S244,$V$5:$V$1000,"Macro",$H$5:$H$1000,"&gt;0"))))</f>
        <v/>
      </c>
      <c r="AH244" s="62" t="n"/>
      <c r="AI244" s="62" t="n"/>
      <c r="AJ244" s="62" t="n"/>
      <c r="AK244" s="62" t="n"/>
      <c r="AL244" s="62">
        <f>IF(LEFT($C244,11)="[Jefatura] ",IFERROR(MATCH("Asistente Técnico de Riesgo|"&amp;MID($C244,12,500),rDname_ADM,0),0),"")</f>
        <v/>
      </c>
      <c r="AM244" s="62">
        <f>IF(N($AL244)&gt;0,INDEX(rIni_ADM,$AL244),IF(ISNUMBER($E244),$E244,""))</f>
        <v/>
      </c>
      <c r="AN244" s="62">
        <f>IF(N($AL244)&gt;0,INDEX(rLim_ADM,$AL244),IF(ISNUMBER($F244),$F244,""))</f>
        <v/>
      </c>
    </row>
    <row r="245">
      <c r="A245" s="56">
        <f>IF(NOT((COUNTA($B245:$D245)+COUNTA($G245:$L245)+COUNTA($Q245))&gt;0),"",IF($V245="Macro",COUNTIFS($V$5:$V245,"Macro",$S$5:$S245,$S245),IF(N($U245)=0,"?",COUNTIFS(INDEX($V$5:$V$1000,1):INDEX($V$5:$V$1000,$U245-4),"Macro",INDEX($S$5:$S$1000,1):INDEX($S$5:$S$1000,$U245-4),INDEX($S$5:$S$1000,$U245-4))&amp;"."&amp;COUNTIFS($U$5:$U245,$U245,$V$5:$V245,"Sub"))))</f>
        <v/>
      </c>
      <c r="B245" s="57" t="n"/>
      <c r="C245" s="58" t="n"/>
      <c r="D245" s="58" t="n"/>
      <c r="E245" s="59">
        <f>IF(N($AL245)&gt;0,INDEX(rIni_ADM,$AL245),"")</f>
        <v/>
      </c>
      <c r="F245" s="59">
        <f>IF(N($AL245)&gt;0,INDEX(rLim_ADM,$AL245),"")</f>
        <v/>
      </c>
      <c r="G245" s="59" t="n"/>
      <c r="H245" s="60" t="n"/>
      <c r="I245" s="60" t="n"/>
      <c r="J245" s="60" t="n"/>
      <c r="K245" s="60" t="n"/>
      <c r="L245" s="60" t="n"/>
      <c r="M245" s="61">
        <f>IF(NOT((COUNTA($B245:$D245)+COUNTA($G245:$L245)+COUNTA($Q245))&gt;0),"",IF($V245="Sub",IFERROR($X245/INDEX($W$5:$W$1000,$U245-4),""),IF(ISNUMBER($G245),1,IF(N($W245)&gt;0,AVERAGEIFS($X$5:$X$1000,$U$5:$U$1000,ROW(),$V$5:$V$1000,"Sub"),$X245))))</f>
        <v/>
      </c>
      <c r="N245" s="56">
        <f>IF(OR($M245="",$V245="Sub"),"",IF($M245&gt;=1,"Completado",IF($M245&gt;0,"En curso","Pendiente")))</f>
        <v/>
      </c>
      <c r="O245" s="56">
        <f>IF(OR(NOT((COUNTA($B245:$D245)+COUNTA($G245:$L245)+COUNTA($Q245))&gt;0),$V245="Sub"),"",IF(ISNUMBER($G245),IF(AND(ISNUMBER($AN245),$G245&gt;$AN245),"Cumplida con "&amp;($G245-$AN245)&amp;IF($G245-$AN245=1," día"," días")&amp;" de retraso","Cumplida"),IF(N($M245)&gt;=1,"Cumplida",IF(NOT(ISNUMBER($AN245)),"Sin fecha límite",IF($AN245&lt;FechaRef,"Vencida hace "&amp;(FechaRef-$AN245)&amp;IF(FechaRef-$AN245=1," día"," días"),IF($AN245=FechaRef,"Vence hoy",IF($AN245-FechaRef&lt;=DiasAlerta,"Vence en "&amp;($AN245-FechaRef)&amp;IF($AN245-FechaRef=1," día"," días"),"En plazo")))))))</f>
        <v/>
      </c>
      <c r="P245" s="62" t="n"/>
      <c r="Q245" s="58" t="n"/>
      <c r="R245" s="63">
        <f>IF(NOT((COUNTA($B245:$D245)+COUNTA($G245:$L245)+COUNTA($Q245))&gt;0),"",IF((IF($C245="","Falta el nombre de la actividad"&amp;" · ","")&amp;IF(AND($V245="Sub",N($U245)=0),"Subactividad sin macroactividad arriba"&amp;" · ","")&amp;IF($AM245="","Sin fecha de inicio"&amp;" · ","")&amp;IF($AN245="","Sin fecha límite"&amp;" · ","")&amp;IF(AND(LEFT($C245,11)="[Jefatura] ",N($AL245)=0),"No se encuentra en la hoja de la jefatura (elíjala de nuevo en la lista)"&amp;" · ","")&amp;IF(OR(AND($E245&lt;&gt;"",NOT(ISNUMBER($E245))),AND($F245&lt;&gt;"",NOT(ISNUMBER($F245))),AND($G245&lt;&gt;"",NOT(ISNUMBER($G245)))),"Fecha no válida"&amp;" · ","")&amp;IF(AND(ISNUMBER($AM245),ISNUMBER($AN245),$AM245&gt;$AN245),"Inicio posterior a fecha límite"&amp;" · ","")&amp;IF(AND($V245="Macro",$H245&lt;&gt;"",OR(NOT(ISNUMBER($H245)),$H245&lt;0,$H245&gt;1)),"Peso fuera de rango"&amp;" · ","")&amp;IF(AND($V245="Sub",$H245&lt;&gt;""),"Las subactividades no llevan peso (valen igual dentro de su macroactividad)"&amp;" · ","")&amp;IF(AND(N($W245)&gt;0,COUNT($I245:$L245)&gt;0),"Con subactividades: deje vacías las semanas (se calculan solas)"&amp;" · ","")&amp;IF((COUNTIF($I245:$L245,"&gt;1")+COUNTIF($I245:$L245,"&lt;0")+COUNTA($I245:$L245)-COUNT($I245:$L245))&gt;0,"Avance fuera de rango 0-100%"&amp;" · ","")&amp;IF(OR(AND($J245&lt;&gt;"",$J245&lt;$I245),AND($K245&lt;&gt;"",$K245&lt;MAX($I245:$J245)),AND($L245&lt;&gt;"",$L245&lt;MAX($I245:$K245))),"Avance semanal decreciente"&amp;" · ","")&amp;IF(AND(ISNUMBER($AN245),$AN245&lt;FechaRef,IF($V245="Sub",N($X245),N($M245))&lt;1),"Vencida"&amp;" · ","")&amp;IF(AND(ObsObligatoria="Sí",ISNUMBER($AN245),$AN245&lt;FechaRef,IF($V245="Sub",N($X245),N($M245))&lt;1,$Q245=""),"Vencida sin observación"&amp;" · ",""))="","✔ OK","⚠ "&amp;LEFT(IF($C245="","Falta el nombre de la actividad"&amp;" · ","")&amp;IF(AND($V245="Sub",N($U245)=0),"Subactividad sin macroactividad arriba"&amp;" · ","")&amp;IF($AM245="","Sin fecha de inicio"&amp;" · ","")&amp;IF($AN245="","Sin fecha límite"&amp;" · ","")&amp;IF(AND(LEFT($C245,11)="[Jefatura] ",N($AL245)=0),"No se encuentra en la hoja de la jefatura (elíjala de nuevo en la lista)"&amp;" · ","")&amp;IF(OR(AND($E245&lt;&gt;"",NOT(ISNUMBER($E245))),AND($F245&lt;&gt;"",NOT(ISNUMBER($F245))),AND($G245&lt;&gt;"",NOT(ISNUMBER($G245)))),"Fecha no válida"&amp;" · ","")&amp;IF(AND(ISNUMBER($AM245),ISNUMBER($AN245),$AM245&gt;$AN245),"Inicio posterior a fecha límite"&amp;" · ","")&amp;IF(AND($V245="Macro",$H245&lt;&gt;"",OR(NOT(ISNUMBER($H245)),$H245&lt;0,$H245&gt;1)),"Peso fuera de rango"&amp;" · ","")&amp;IF(AND($V245="Sub",$H245&lt;&gt;""),"Las subactividades no llevan peso (valen igual dentro de su macroactividad)"&amp;" · ","")&amp;IF(AND(N($W245)&gt;0,COUNT($I245:$L245)&gt;0),"Con subactividades: deje vacías las semanas (se calculan solas)"&amp;" · ","")&amp;IF((COUNTIF($I245:$L245,"&gt;1")+COUNTIF($I245:$L245,"&lt;0")+COUNTA($I245:$L245)-COUNT($I245:$L245))&gt;0,"Avance fuera de rango 0-100%"&amp;" · ","")&amp;IF(OR(AND($J245&lt;&gt;"",$J245&lt;$I245),AND($K245&lt;&gt;"",$K245&lt;MAX($I245:$J245)),AND($L245&lt;&gt;"",$L245&lt;MAX($I245:$K245))),"Avance semanal decreciente"&amp;" · ","")&amp;IF(AND(ISNUMBER($AN245),$AN245&lt;FechaRef,IF($V245="Sub",N($X245),N($M245))&lt;1),"Vencida"&amp;" · ","")&amp;IF(AND(ObsObligatoria="Sí",ISNUMBER($AN245),$AN245&lt;FechaRef,IF($V245="Sub",N($X245),N($M245))&lt;1,$Q245=""),"Vencida sin observación"&amp;" · ",""),LEN(IF($C245="","Falta el nombre de la actividad"&amp;" · ","")&amp;IF(AND($V245="Sub",N($U245)=0),"Subactividad sin macroactividad arriba"&amp;" · ","")&amp;IF($AM245="","Sin fecha de inicio"&amp;" · ","")&amp;IF($AN245="","Sin fecha límite"&amp;" · ","")&amp;IF(AND(LEFT($C245,11)="[Jefatura] ",N($AL245)=0),"No se encuentra en la hoja de la jefatura (elíjala de nuevo en la lista)"&amp;" · ","")&amp;IF(OR(AND($E245&lt;&gt;"",NOT(ISNUMBER($E245))),AND($F245&lt;&gt;"",NOT(ISNUMBER($F245))),AND($G245&lt;&gt;"",NOT(ISNUMBER($G245)))),"Fecha no válida"&amp;" · ","")&amp;IF(AND(ISNUMBER($AM245),ISNUMBER($AN245),$AM245&gt;$AN245),"Inicio posterior a fecha límite"&amp;" · ","")&amp;IF(AND($V245="Macro",$H245&lt;&gt;"",OR(NOT(ISNUMBER($H245)),$H245&lt;0,$H245&gt;1)),"Peso fuera de rango"&amp;" · ","")&amp;IF(AND($V245="Sub",$H245&lt;&gt;""),"Las subactividades no llevan peso (valen igual dentro de su macroactividad)"&amp;" · ","")&amp;IF(AND(N($W245)&gt;0,COUNT($I245:$L245)&gt;0),"Con subactividades: deje vacías las semanas (se calculan solas)"&amp;" · ","")&amp;IF((COUNTIF($I245:$L245,"&gt;1")+COUNTIF($I245:$L245,"&lt;0")+COUNTA($I245:$L245)-COUNT($I245:$L245))&gt;0,"Avance fuera de rango 0-100%"&amp;" · ","")&amp;IF(OR(AND($J245&lt;&gt;"",$J245&lt;$I245),AND($K245&lt;&gt;"",$K245&lt;MAX($I245:$J245)),AND($L245&lt;&gt;"",$L245&lt;MAX($I245:$K245))),"Avance semanal decreciente"&amp;" · ","")&amp;IF(AND(ISNUMBER($AN245),$AN245&lt;FechaRef,IF($V245="Sub",N($X245),N($M245))&lt;1),"Vencida"&amp;" · ","")&amp;IF(AND(ObsObligatoria="Sí",ISNUMBER($AN245),$AN245&lt;FechaRef,IF($V245="Sub",N($X245),N($M245))&lt;1,$Q245=""),"Vencida sin observación"&amp;" · ",""))-3)))</f>
        <v/>
      </c>
      <c r="S245" s="64">
        <f>IF(NOT((COUNTA($B245:$D245)+COUNTA($G245:$L245)+COUNTA($Q245))&gt;0),"",IF(AND($V245="Sub",N($U245)&gt;0),IF(ISNUMBER(INDEX($AM$5:$AM$1000,$U245-4)),DATE(YEAR(INDEX($AM$5:$AM$1000,$U245-4)),MONTH(INDEX($AM$5:$AM$1000,$U245-4)),1),IF(ISNUMBER(INDEX($AN$5:$AN$1000,$U245-4)),DATE(YEAR(INDEX($AN$5:$AN$1000,$U245-4)),MONTH(INDEX($AN$5:$AN$1000,$U245-4)),1),MesCiclo)),IF(ISNUMBER($AM245),DATE(YEAR($AM245),MONTH($AM245),1),IF(ISNUMBER($AN245),DATE(YEAR($AN245),MONTH($AN245),1),MesCiclo))))</f>
        <v/>
      </c>
      <c r="T245" s="62">
        <f>IF(OR($S245="",$S245&lt;&gt;MesCiclo,$V245&lt;&gt;"Macro"),"",COUNTIFS($S$5:$S245,MesCiclo,$V$5:$V245,"Macro"))</f>
        <v/>
      </c>
      <c r="U245" s="62">
        <f>IF($V245="","",IF($V245="Macro",ROW(),IFERROR(LOOKUP(2,1/($V$5:$V245="Macro"),ROW($V$5:$V245)),0)))</f>
        <v/>
      </c>
      <c r="V245" s="62">
        <f>IF(NOT((COUNTA($B245:$D245)+COUNTA($G245:$L245)+COUNTA($Q245))&gt;0),"",IF($B245="Subactividad","Sub","Macro"))</f>
        <v/>
      </c>
      <c r="W245" s="62">
        <f>IF($V245="Macro",COUNTIFS($U$5:$U$1000,ROW(),$V$5:$V$1000,"Sub"),"")</f>
        <v/>
      </c>
      <c r="X245" s="62">
        <f>IF($V245="","",IF(ISNUMBER($G245),1,IFERROR(LOOKUP(2,1/($I245:$L245&lt;&gt;""),$I245:$L245),0)))</f>
        <v/>
      </c>
      <c r="Y245" s="62">
        <f>IF($V245="","",IF(AND(ISNUMBER($G245),$G245&lt;=IF($S245=MesCiclo,InicioCiclo,$S245+MOD(2-WEEKDAY($S245),7))+6),1,IF(ISNUMBER($I245),$I245,0)))</f>
        <v/>
      </c>
      <c r="Z245" s="62">
        <f>IF($V245="","",IF(AND(ISNUMBER($G245),$G245&lt;=IF($S245=MesCiclo,InicioCiclo,$S245+MOD(2-WEEKDAY($S245),7))+13),1,IF(ISNUMBER($J245),$J245,$Y245)))</f>
        <v/>
      </c>
      <c r="AA245" s="62">
        <f>IF($V245="","",IF(AND(ISNUMBER($G245),$G245&lt;=IF($S245=MesCiclo,InicioCiclo,$S245+MOD(2-WEEKDAY($S245),7))+20),1,IF(ISNUMBER($K245),$K245,$Z245)))</f>
        <v/>
      </c>
      <c r="AB245" s="62">
        <f>IF($V245="","",IF(AND(ISNUMBER($G245),$G245&lt;=IF($S245=MesCiclo,InicioCiclo,$S245+MOD(2-WEEKDAY($S245),7))+27),1,IF(ISNUMBER($L245),$L245,$AA245)))</f>
        <v/>
      </c>
      <c r="AC245" s="62">
        <f>IF($V245="","",IF(AND(ISNUMBER($G245),$G245&lt;=IF($S245=MesCiclo,InicioCiclo,$S245+MOD(2-WEEKDAY($S245),7))+6),1,IF(N($W245)&gt;0,AVERAGEIFS($Y$5:$Y$1000,$U$5:$U$1000,ROW(),$V$5:$V$1000,"Sub"),$Y245)))</f>
        <v/>
      </c>
      <c r="AD245" s="62">
        <f>IF($V245="","",IF(AND(ISNUMBER($G245),$G245&lt;=IF($S245=MesCiclo,InicioCiclo,$S245+MOD(2-WEEKDAY($S245),7))+13),1,IF(N($W245)&gt;0,AVERAGEIFS($Z$5:$Z$1000,$U$5:$U$1000,ROW(),$V$5:$V$1000,"Sub"),$Z245)))</f>
        <v/>
      </c>
      <c r="AE245" s="62">
        <f>IF($V245="","",IF(AND(ISNUMBER($G245),$G245&lt;=IF($S245=MesCiclo,InicioCiclo,$S245+MOD(2-WEEKDAY($S245),7))+20),1,IF(N($W245)&gt;0,AVERAGEIFS($AA$5:$AA$1000,$U$5:$U$1000,ROW(),$V$5:$V$1000,"Sub"),$AA245)))</f>
        <v/>
      </c>
      <c r="AF245" s="62">
        <f>IF($V245="","",IF(AND(ISNUMBER($G245),$G245&lt;=IF($S245=MesCiclo,InicioCiclo,$S245+MOD(2-WEEKDAY($S245),7))+27),1,IF(N($W245)&gt;0,AVERAGEIFS($AB$5:$AB$1000,$U$5:$U$1000,ROW(),$V$5:$V$1000,"Sub"),$AB245)))</f>
        <v/>
      </c>
      <c r="AG245" s="62">
        <f>IF($V245&lt;&gt;"Macro","",IF(COUNTIFS($S$5:$S$1000,$S245,$V$5:$V$1000,"Macro",$H$5:$H$1000,"&gt;0")=0,1/COUNTIFS($S$5:$S$1000,$S245,$V$5:$V$1000,"Macro"),IF(AND(ISNUMBER($H245),N($H245)&gt;0),$H245,SUMIFS($H$5:$H$1000,$S$5:$S$1000,$S245,$V$5:$V$1000,"Macro")/COUNTIFS($S$5:$S$1000,$S245,$V$5:$V$1000,"Macro",$H$5:$H$1000,"&gt;0"))/(COUNTIFS($S$5:$S$1000,$S245,$V$5:$V$1000,"Macro")*SUMIFS($H$5:$H$1000,$S$5:$S$1000,$S245,$V$5:$V$1000,"Macro")/COUNTIFS($S$5:$S$1000,$S245,$V$5:$V$1000,"Macro",$H$5:$H$1000,"&gt;0"))))</f>
        <v/>
      </c>
      <c r="AH245" s="62" t="n"/>
      <c r="AI245" s="62" t="n"/>
      <c r="AJ245" s="62" t="n"/>
      <c r="AK245" s="62" t="n"/>
      <c r="AL245" s="62">
        <f>IF(LEFT($C245,11)="[Jefatura] ",IFERROR(MATCH("Asistente Técnico de Riesgo|"&amp;MID($C245,12,500),rDname_ADM,0),0),"")</f>
        <v/>
      </c>
      <c r="AM245" s="62">
        <f>IF(N($AL245)&gt;0,INDEX(rIni_ADM,$AL245),IF(ISNUMBER($E245),$E245,""))</f>
        <v/>
      </c>
      <c r="AN245" s="62">
        <f>IF(N($AL245)&gt;0,INDEX(rLim_ADM,$AL245),IF(ISNUMBER($F245),$F245,""))</f>
        <v/>
      </c>
    </row>
    <row r="246">
      <c r="A246" s="56">
        <f>IF(NOT((COUNTA($B246:$D246)+COUNTA($G246:$L246)+COUNTA($Q246))&gt;0),"",IF($V246="Macro",COUNTIFS($V$5:$V246,"Macro",$S$5:$S246,$S246),IF(N($U246)=0,"?",COUNTIFS(INDEX($V$5:$V$1000,1):INDEX($V$5:$V$1000,$U246-4),"Macro",INDEX($S$5:$S$1000,1):INDEX($S$5:$S$1000,$U246-4),INDEX($S$5:$S$1000,$U246-4))&amp;"."&amp;COUNTIFS($U$5:$U246,$U246,$V$5:$V246,"Sub"))))</f>
        <v/>
      </c>
      <c r="B246" s="57" t="n"/>
      <c r="C246" s="58" t="n"/>
      <c r="D246" s="58" t="n"/>
      <c r="E246" s="59">
        <f>IF(N($AL246)&gt;0,INDEX(rIni_ADM,$AL246),"")</f>
        <v/>
      </c>
      <c r="F246" s="59">
        <f>IF(N($AL246)&gt;0,INDEX(rLim_ADM,$AL246),"")</f>
        <v/>
      </c>
      <c r="G246" s="59" t="n"/>
      <c r="H246" s="60" t="n"/>
      <c r="I246" s="60" t="n"/>
      <c r="J246" s="60" t="n"/>
      <c r="K246" s="60" t="n"/>
      <c r="L246" s="60" t="n"/>
      <c r="M246" s="61">
        <f>IF(NOT((COUNTA($B246:$D246)+COUNTA($G246:$L246)+COUNTA($Q246))&gt;0),"",IF($V246="Sub",IFERROR($X246/INDEX($W$5:$W$1000,$U246-4),""),IF(ISNUMBER($G246),1,IF(N($W246)&gt;0,AVERAGEIFS($X$5:$X$1000,$U$5:$U$1000,ROW(),$V$5:$V$1000,"Sub"),$X246))))</f>
        <v/>
      </c>
      <c r="N246" s="56">
        <f>IF(OR($M246="",$V246="Sub"),"",IF($M246&gt;=1,"Completado",IF($M246&gt;0,"En curso","Pendiente")))</f>
        <v/>
      </c>
      <c r="O246" s="56">
        <f>IF(OR(NOT((COUNTA($B246:$D246)+COUNTA($G246:$L246)+COUNTA($Q246))&gt;0),$V246="Sub"),"",IF(ISNUMBER($G246),IF(AND(ISNUMBER($AN246),$G246&gt;$AN246),"Cumplida con "&amp;($G246-$AN246)&amp;IF($G246-$AN246=1," día"," días")&amp;" de retraso","Cumplida"),IF(N($M246)&gt;=1,"Cumplida",IF(NOT(ISNUMBER($AN246)),"Sin fecha límite",IF($AN246&lt;FechaRef,"Vencida hace "&amp;(FechaRef-$AN246)&amp;IF(FechaRef-$AN246=1," día"," días"),IF($AN246=FechaRef,"Vence hoy",IF($AN246-FechaRef&lt;=DiasAlerta,"Vence en "&amp;($AN246-FechaRef)&amp;IF($AN246-FechaRef=1," día"," días"),"En plazo")))))))</f>
        <v/>
      </c>
      <c r="P246" s="62" t="n"/>
      <c r="Q246" s="58" t="n"/>
      <c r="R246" s="63">
        <f>IF(NOT((COUNTA($B246:$D246)+COUNTA($G246:$L246)+COUNTA($Q246))&gt;0),"",IF((IF($C246="","Falta el nombre de la actividad"&amp;" · ","")&amp;IF(AND($V246="Sub",N($U246)=0),"Subactividad sin macroactividad arriba"&amp;" · ","")&amp;IF($AM246="","Sin fecha de inicio"&amp;" · ","")&amp;IF($AN246="","Sin fecha límite"&amp;" · ","")&amp;IF(AND(LEFT($C246,11)="[Jefatura] ",N($AL246)=0),"No se encuentra en la hoja de la jefatura (elíjala de nuevo en la lista)"&amp;" · ","")&amp;IF(OR(AND($E246&lt;&gt;"",NOT(ISNUMBER($E246))),AND($F246&lt;&gt;"",NOT(ISNUMBER($F246))),AND($G246&lt;&gt;"",NOT(ISNUMBER($G246)))),"Fecha no válida"&amp;" · ","")&amp;IF(AND(ISNUMBER($AM246),ISNUMBER($AN246),$AM246&gt;$AN246),"Inicio posterior a fecha límite"&amp;" · ","")&amp;IF(AND($V246="Macro",$H246&lt;&gt;"",OR(NOT(ISNUMBER($H246)),$H246&lt;0,$H246&gt;1)),"Peso fuera de rango"&amp;" · ","")&amp;IF(AND($V246="Sub",$H246&lt;&gt;""),"Las subactividades no llevan peso (valen igual dentro de su macroactividad)"&amp;" · ","")&amp;IF(AND(N($W246)&gt;0,COUNT($I246:$L246)&gt;0),"Con subactividades: deje vacías las semanas (se calculan solas)"&amp;" · ","")&amp;IF((COUNTIF($I246:$L246,"&gt;1")+COUNTIF($I246:$L246,"&lt;0")+COUNTA($I246:$L246)-COUNT($I246:$L246))&gt;0,"Avance fuera de rango 0-100%"&amp;" · ","")&amp;IF(OR(AND($J246&lt;&gt;"",$J246&lt;$I246),AND($K246&lt;&gt;"",$K246&lt;MAX($I246:$J246)),AND($L246&lt;&gt;"",$L246&lt;MAX($I246:$K246))),"Avance semanal decreciente"&amp;" · ","")&amp;IF(AND(ISNUMBER($AN246),$AN246&lt;FechaRef,IF($V246="Sub",N($X246),N($M246))&lt;1),"Vencida"&amp;" · ","")&amp;IF(AND(ObsObligatoria="Sí",ISNUMBER($AN246),$AN246&lt;FechaRef,IF($V246="Sub",N($X246),N($M246))&lt;1,$Q246=""),"Vencida sin observación"&amp;" · ",""))="","✔ OK","⚠ "&amp;LEFT(IF($C246="","Falta el nombre de la actividad"&amp;" · ","")&amp;IF(AND($V246="Sub",N($U246)=0),"Subactividad sin macroactividad arriba"&amp;" · ","")&amp;IF($AM246="","Sin fecha de inicio"&amp;" · ","")&amp;IF($AN246="","Sin fecha límite"&amp;" · ","")&amp;IF(AND(LEFT($C246,11)="[Jefatura] ",N($AL246)=0),"No se encuentra en la hoja de la jefatura (elíjala de nuevo en la lista)"&amp;" · ","")&amp;IF(OR(AND($E246&lt;&gt;"",NOT(ISNUMBER($E246))),AND($F246&lt;&gt;"",NOT(ISNUMBER($F246))),AND($G246&lt;&gt;"",NOT(ISNUMBER($G246)))),"Fecha no válida"&amp;" · ","")&amp;IF(AND(ISNUMBER($AM246),ISNUMBER($AN246),$AM246&gt;$AN246),"Inicio posterior a fecha límite"&amp;" · ","")&amp;IF(AND($V246="Macro",$H246&lt;&gt;"",OR(NOT(ISNUMBER($H246)),$H246&lt;0,$H246&gt;1)),"Peso fuera de rango"&amp;" · ","")&amp;IF(AND($V246="Sub",$H246&lt;&gt;""),"Las subactividades no llevan peso (valen igual dentro de su macroactividad)"&amp;" · ","")&amp;IF(AND(N($W246)&gt;0,COUNT($I246:$L246)&gt;0),"Con subactividades: deje vacías las semanas (se calculan solas)"&amp;" · ","")&amp;IF((COUNTIF($I246:$L246,"&gt;1")+COUNTIF($I246:$L246,"&lt;0")+COUNTA($I246:$L246)-COUNT($I246:$L246))&gt;0,"Avance fuera de rango 0-100%"&amp;" · ","")&amp;IF(OR(AND($J246&lt;&gt;"",$J246&lt;$I246),AND($K246&lt;&gt;"",$K246&lt;MAX($I246:$J246)),AND($L246&lt;&gt;"",$L246&lt;MAX($I246:$K246))),"Avance semanal decreciente"&amp;" · ","")&amp;IF(AND(ISNUMBER($AN246),$AN246&lt;FechaRef,IF($V246="Sub",N($X246),N($M246))&lt;1),"Vencida"&amp;" · ","")&amp;IF(AND(ObsObligatoria="Sí",ISNUMBER($AN246),$AN246&lt;FechaRef,IF($V246="Sub",N($X246),N($M246))&lt;1,$Q246=""),"Vencida sin observación"&amp;" · ",""),LEN(IF($C246="","Falta el nombre de la actividad"&amp;" · ","")&amp;IF(AND($V246="Sub",N($U246)=0),"Subactividad sin macroactividad arriba"&amp;" · ","")&amp;IF($AM246="","Sin fecha de inicio"&amp;" · ","")&amp;IF($AN246="","Sin fecha límite"&amp;" · ","")&amp;IF(AND(LEFT($C246,11)="[Jefatura] ",N($AL246)=0),"No se encuentra en la hoja de la jefatura (elíjala de nuevo en la lista)"&amp;" · ","")&amp;IF(OR(AND($E246&lt;&gt;"",NOT(ISNUMBER($E246))),AND($F246&lt;&gt;"",NOT(ISNUMBER($F246))),AND($G246&lt;&gt;"",NOT(ISNUMBER($G246)))),"Fecha no válida"&amp;" · ","")&amp;IF(AND(ISNUMBER($AM246),ISNUMBER($AN246),$AM246&gt;$AN246),"Inicio posterior a fecha límite"&amp;" · ","")&amp;IF(AND($V246="Macro",$H246&lt;&gt;"",OR(NOT(ISNUMBER($H246)),$H246&lt;0,$H246&gt;1)),"Peso fuera de rango"&amp;" · ","")&amp;IF(AND($V246="Sub",$H246&lt;&gt;""),"Las subactividades no llevan peso (valen igual dentro de su macroactividad)"&amp;" · ","")&amp;IF(AND(N($W246)&gt;0,COUNT($I246:$L246)&gt;0),"Con subactividades: deje vacías las semanas (se calculan solas)"&amp;" · ","")&amp;IF((COUNTIF($I246:$L246,"&gt;1")+COUNTIF($I246:$L246,"&lt;0")+COUNTA($I246:$L246)-COUNT($I246:$L246))&gt;0,"Avance fuera de rango 0-100%"&amp;" · ","")&amp;IF(OR(AND($J246&lt;&gt;"",$J246&lt;$I246),AND($K246&lt;&gt;"",$K246&lt;MAX($I246:$J246)),AND($L246&lt;&gt;"",$L246&lt;MAX($I246:$K246))),"Avance semanal decreciente"&amp;" · ","")&amp;IF(AND(ISNUMBER($AN246),$AN246&lt;FechaRef,IF($V246="Sub",N($X246),N($M246))&lt;1),"Vencida"&amp;" · ","")&amp;IF(AND(ObsObligatoria="Sí",ISNUMBER($AN246),$AN246&lt;FechaRef,IF($V246="Sub",N($X246),N($M246))&lt;1,$Q246=""),"Vencida sin observación"&amp;" · ",""))-3)))</f>
        <v/>
      </c>
      <c r="S246" s="64">
        <f>IF(NOT((COUNTA($B246:$D246)+COUNTA($G246:$L246)+COUNTA($Q246))&gt;0),"",IF(AND($V246="Sub",N($U246)&gt;0),IF(ISNUMBER(INDEX($AM$5:$AM$1000,$U246-4)),DATE(YEAR(INDEX($AM$5:$AM$1000,$U246-4)),MONTH(INDEX($AM$5:$AM$1000,$U246-4)),1),IF(ISNUMBER(INDEX($AN$5:$AN$1000,$U246-4)),DATE(YEAR(INDEX($AN$5:$AN$1000,$U246-4)),MONTH(INDEX($AN$5:$AN$1000,$U246-4)),1),MesCiclo)),IF(ISNUMBER($AM246),DATE(YEAR($AM246),MONTH($AM246),1),IF(ISNUMBER($AN246),DATE(YEAR($AN246),MONTH($AN246),1),MesCiclo))))</f>
        <v/>
      </c>
      <c r="T246" s="62">
        <f>IF(OR($S246="",$S246&lt;&gt;MesCiclo,$V246&lt;&gt;"Macro"),"",COUNTIFS($S$5:$S246,MesCiclo,$V$5:$V246,"Macro"))</f>
        <v/>
      </c>
      <c r="U246" s="62">
        <f>IF($V246="","",IF($V246="Macro",ROW(),IFERROR(LOOKUP(2,1/($V$5:$V246="Macro"),ROW($V$5:$V246)),0)))</f>
        <v/>
      </c>
      <c r="V246" s="62">
        <f>IF(NOT((COUNTA($B246:$D246)+COUNTA($G246:$L246)+COUNTA($Q246))&gt;0),"",IF($B246="Subactividad","Sub","Macro"))</f>
        <v/>
      </c>
      <c r="W246" s="62">
        <f>IF($V246="Macro",COUNTIFS($U$5:$U$1000,ROW(),$V$5:$V$1000,"Sub"),"")</f>
        <v/>
      </c>
      <c r="X246" s="62">
        <f>IF($V246="","",IF(ISNUMBER($G246),1,IFERROR(LOOKUP(2,1/($I246:$L246&lt;&gt;""),$I246:$L246),0)))</f>
        <v/>
      </c>
      <c r="Y246" s="62">
        <f>IF($V246="","",IF(AND(ISNUMBER($G246),$G246&lt;=IF($S246=MesCiclo,InicioCiclo,$S246+MOD(2-WEEKDAY($S246),7))+6),1,IF(ISNUMBER($I246),$I246,0)))</f>
        <v/>
      </c>
      <c r="Z246" s="62">
        <f>IF($V246="","",IF(AND(ISNUMBER($G246),$G246&lt;=IF($S246=MesCiclo,InicioCiclo,$S246+MOD(2-WEEKDAY($S246),7))+13),1,IF(ISNUMBER($J246),$J246,$Y246)))</f>
        <v/>
      </c>
      <c r="AA246" s="62">
        <f>IF($V246="","",IF(AND(ISNUMBER($G246),$G246&lt;=IF($S246=MesCiclo,InicioCiclo,$S246+MOD(2-WEEKDAY($S246),7))+20),1,IF(ISNUMBER($K246),$K246,$Z246)))</f>
        <v/>
      </c>
      <c r="AB246" s="62">
        <f>IF($V246="","",IF(AND(ISNUMBER($G246),$G246&lt;=IF($S246=MesCiclo,InicioCiclo,$S246+MOD(2-WEEKDAY($S246),7))+27),1,IF(ISNUMBER($L246),$L246,$AA246)))</f>
        <v/>
      </c>
      <c r="AC246" s="62">
        <f>IF($V246="","",IF(AND(ISNUMBER($G246),$G246&lt;=IF($S246=MesCiclo,InicioCiclo,$S246+MOD(2-WEEKDAY($S246),7))+6),1,IF(N($W246)&gt;0,AVERAGEIFS($Y$5:$Y$1000,$U$5:$U$1000,ROW(),$V$5:$V$1000,"Sub"),$Y246)))</f>
        <v/>
      </c>
      <c r="AD246" s="62">
        <f>IF($V246="","",IF(AND(ISNUMBER($G246),$G246&lt;=IF($S246=MesCiclo,InicioCiclo,$S246+MOD(2-WEEKDAY($S246),7))+13),1,IF(N($W246)&gt;0,AVERAGEIFS($Z$5:$Z$1000,$U$5:$U$1000,ROW(),$V$5:$V$1000,"Sub"),$Z246)))</f>
        <v/>
      </c>
      <c r="AE246" s="62">
        <f>IF($V246="","",IF(AND(ISNUMBER($G246),$G246&lt;=IF($S246=MesCiclo,InicioCiclo,$S246+MOD(2-WEEKDAY($S246),7))+20),1,IF(N($W246)&gt;0,AVERAGEIFS($AA$5:$AA$1000,$U$5:$U$1000,ROW(),$V$5:$V$1000,"Sub"),$AA246)))</f>
        <v/>
      </c>
      <c r="AF246" s="62">
        <f>IF($V246="","",IF(AND(ISNUMBER($G246),$G246&lt;=IF($S246=MesCiclo,InicioCiclo,$S246+MOD(2-WEEKDAY($S246),7))+27),1,IF(N($W246)&gt;0,AVERAGEIFS($AB$5:$AB$1000,$U$5:$U$1000,ROW(),$V$5:$V$1000,"Sub"),$AB246)))</f>
        <v/>
      </c>
      <c r="AG246" s="62">
        <f>IF($V246&lt;&gt;"Macro","",IF(COUNTIFS($S$5:$S$1000,$S246,$V$5:$V$1000,"Macro",$H$5:$H$1000,"&gt;0")=0,1/COUNTIFS($S$5:$S$1000,$S246,$V$5:$V$1000,"Macro"),IF(AND(ISNUMBER($H246),N($H246)&gt;0),$H246,SUMIFS($H$5:$H$1000,$S$5:$S$1000,$S246,$V$5:$V$1000,"Macro")/COUNTIFS($S$5:$S$1000,$S246,$V$5:$V$1000,"Macro",$H$5:$H$1000,"&gt;0"))/(COUNTIFS($S$5:$S$1000,$S246,$V$5:$V$1000,"Macro")*SUMIFS($H$5:$H$1000,$S$5:$S$1000,$S246,$V$5:$V$1000,"Macro")/COUNTIFS($S$5:$S$1000,$S246,$V$5:$V$1000,"Macro",$H$5:$H$1000,"&gt;0"))))</f>
        <v/>
      </c>
      <c r="AH246" s="62" t="n"/>
      <c r="AI246" s="62" t="n"/>
      <c r="AJ246" s="62" t="n"/>
      <c r="AK246" s="62" t="n"/>
      <c r="AL246" s="62">
        <f>IF(LEFT($C246,11)="[Jefatura] ",IFERROR(MATCH("Asistente Técnico de Riesgo|"&amp;MID($C246,12,500),rDname_ADM,0),0),"")</f>
        <v/>
      </c>
      <c r="AM246" s="62">
        <f>IF(N($AL246)&gt;0,INDEX(rIni_ADM,$AL246),IF(ISNUMBER($E246),$E246,""))</f>
        <v/>
      </c>
      <c r="AN246" s="62">
        <f>IF(N($AL246)&gt;0,INDEX(rLim_ADM,$AL246),IF(ISNUMBER($F246),$F246,""))</f>
        <v/>
      </c>
    </row>
    <row r="247">
      <c r="A247" s="56">
        <f>IF(NOT((COUNTA($B247:$D247)+COUNTA($G247:$L247)+COUNTA($Q247))&gt;0),"",IF($V247="Macro",COUNTIFS($V$5:$V247,"Macro",$S$5:$S247,$S247),IF(N($U247)=0,"?",COUNTIFS(INDEX($V$5:$V$1000,1):INDEX($V$5:$V$1000,$U247-4),"Macro",INDEX($S$5:$S$1000,1):INDEX($S$5:$S$1000,$U247-4),INDEX($S$5:$S$1000,$U247-4))&amp;"."&amp;COUNTIFS($U$5:$U247,$U247,$V$5:$V247,"Sub"))))</f>
        <v/>
      </c>
      <c r="B247" s="57" t="n"/>
      <c r="C247" s="58" t="n"/>
      <c r="D247" s="58" t="n"/>
      <c r="E247" s="59">
        <f>IF(N($AL247)&gt;0,INDEX(rIni_ADM,$AL247),"")</f>
        <v/>
      </c>
      <c r="F247" s="59">
        <f>IF(N($AL247)&gt;0,INDEX(rLim_ADM,$AL247),"")</f>
        <v/>
      </c>
      <c r="G247" s="59" t="n"/>
      <c r="H247" s="60" t="n"/>
      <c r="I247" s="60" t="n"/>
      <c r="J247" s="60" t="n"/>
      <c r="K247" s="60" t="n"/>
      <c r="L247" s="60" t="n"/>
      <c r="M247" s="61">
        <f>IF(NOT((COUNTA($B247:$D247)+COUNTA($G247:$L247)+COUNTA($Q247))&gt;0),"",IF($V247="Sub",IFERROR($X247/INDEX($W$5:$W$1000,$U247-4),""),IF(ISNUMBER($G247),1,IF(N($W247)&gt;0,AVERAGEIFS($X$5:$X$1000,$U$5:$U$1000,ROW(),$V$5:$V$1000,"Sub"),$X247))))</f>
        <v/>
      </c>
      <c r="N247" s="56">
        <f>IF(OR($M247="",$V247="Sub"),"",IF($M247&gt;=1,"Completado",IF($M247&gt;0,"En curso","Pendiente")))</f>
        <v/>
      </c>
      <c r="O247" s="56">
        <f>IF(OR(NOT((COUNTA($B247:$D247)+COUNTA($G247:$L247)+COUNTA($Q247))&gt;0),$V247="Sub"),"",IF(ISNUMBER($G247),IF(AND(ISNUMBER($AN247),$G247&gt;$AN247),"Cumplida con "&amp;($G247-$AN247)&amp;IF($G247-$AN247=1," día"," días")&amp;" de retraso","Cumplida"),IF(N($M247)&gt;=1,"Cumplida",IF(NOT(ISNUMBER($AN247)),"Sin fecha límite",IF($AN247&lt;FechaRef,"Vencida hace "&amp;(FechaRef-$AN247)&amp;IF(FechaRef-$AN247=1," día"," días"),IF($AN247=FechaRef,"Vence hoy",IF($AN247-FechaRef&lt;=DiasAlerta,"Vence en "&amp;($AN247-FechaRef)&amp;IF($AN247-FechaRef=1," día"," días"),"En plazo")))))))</f>
        <v/>
      </c>
      <c r="P247" s="62" t="n"/>
      <c r="Q247" s="58" t="n"/>
      <c r="R247" s="63">
        <f>IF(NOT((COUNTA($B247:$D247)+COUNTA($G247:$L247)+COUNTA($Q247))&gt;0),"",IF((IF($C247="","Falta el nombre de la actividad"&amp;" · ","")&amp;IF(AND($V247="Sub",N($U247)=0),"Subactividad sin macroactividad arriba"&amp;" · ","")&amp;IF($AM247="","Sin fecha de inicio"&amp;" · ","")&amp;IF($AN247="","Sin fecha límite"&amp;" · ","")&amp;IF(AND(LEFT($C247,11)="[Jefatura] ",N($AL247)=0),"No se encuentra en la hoja de la jefatura (elíjala de nuevo en la lista)"&amp;" · ","")&amp;IF(OR(AND($E247&lt;&gt;"",NOT(ISNUMBER($E247))),AND($F247&lt;&gt;"",NOT(ISNUMBER($F247))),AND($G247&lt;&gt;"",NOT(ISNUMBER($G247)))),"Fecha no válida"&amp;" · ","")&amp;IF(AND(ISNUMBER($AM247),ISNUMBER($AN247),$AM247&gt;$AN247),"Inicio posterior a fecha límite"&amp;" · ","")&amp;IF(AND($V247="Macro",$H247&lt;&gt;"",OR(NOT(ISNUMBER($H247)),$H247&lt;0,$H247&gt;1)),"Peso fuera de rango"&amp;" · ","")&amp;IF(AND($V247="Sub",$H247&lt;&gt;""),"Las subactividades no llevan peso (valen igual dentro de su macroactividad)"&amp;" · ","")&amp;IF(AND(N($W247)&gt;0,COUNT($I247:$L247)&gt;0),"Con subactividades: deje vacías las semanas (se calculan solas)"&amp;" · ","")&amp;IF((COUNTIF($I247:$L247,"&gt;1")+COUNTIF($I247:$L247,"&lt;0")+COUNTA($I247:$L247)-COUNT($I247:$L247))&gt;0,"Avance fuera de rango 0-100%"&amp;" · ","")&amp;IF(OR(AND($J247&lt;&gt;"",$J247&lt;$I247),AND($K247&lt;&gt;"",$K247&lt;MAX($I247:$J247)),AND($L247&lt;&gt;"",$L247&lt;MAX($I247:$K247))),"Avance semanal decreciente"&amp;" · ","")&amp;IF(AND(ISNUMBER($AN247),$AN247&lt;FechaRef,IF($V247="Sub",N($X247),N($M247))&lt;1),"Vencida"&amp;" · ","")&amp;IF(AND(ObsObligatoria="Sí",ISNUMBER($AN247),$AN247&lt;FechaRef,IF($V247="Sub",N($X247),N($M247))&lt;1,$Q247=""),"Vencida sin observación"&amp;" · ",""))="","✔ OK","⚠ "&amp;LEFT(IF($C247="","Falta el nombre de la actividad"&amp;" · ","")&amp;IF(AND($V247="Sub",N($U247)=0),"Subactividad sin macroactividad arriba"&amp;" · ","")&amp;IF($AM247="","Sin fecha de inicio"&amp;" · ","")&amp;IF($AN247="","Sin fecha límite"&amp;" · ","")&amp;IF(AND(LEFT($C247,11)="[Jefatura] ",N($AL247)=0),"No se encuentra en la hoja de la jefatura (elíjala de nuevo en la lista)"&amp;" · ","")&amp;IF(OR(AND($E247&lt;&gt;"",NOT(ISNUMBER($E247))),AND($F247&lt;&gt;"",NOT(ISNUMBER($F247))),AND($G247&lt;&gt;"",NOT(ISNUMBER($G247)))),"Fecha no válida"&amp;" · ","")&amp;IF(AND(ISNUMBER($AM247),ISNUMBER($AN247),$AM247&gt;$AN247),"Inicio posterior a fecha límite"&amp;" · ","")&amp;IF(AND($V247="Macro",$H247&lt;&gt;"",OR(NOT(ISNUMBER($H247)),$H247&lt;0,$H247&gt;1)),"Peso fuera de rango"&amp;" · ","")&amp;IF(AND($V247="Sub",$H247&lt;&gt;""),"Las subactividades no llevan peso (valen igual dentro de su macroactividad)"&amp;" · ","")&amp;IF(AND(N($W247)&gt;0,COUNT($I247:$L247)&gt;0),"Con subactividades: deje vacías las semanas (se calculan solas)"&amp;" · ","")&amp;IF((COUNTIF($I247:$L247,"&gt;1")+COUNTIF($I247:$L247,"&lt;0")+COUNTA($I247:$L247)-COUNT($I247:$L247))&gt;0,"Avance fuera de rango 0-100%"&amp;" · ","")&amp;IF(OR(AND($J247&lt;&gt;"",$J247&lt;$I247),AND($K247&lt;&gt;"",$K247&lt;MAX($I247:$J247)),AND($L247&lt;&gt;"",$L247&lt;MAX($I247:$K247))),"Avance semanal decreciente"&amp;" · ","")&amp;IF(AND(ISNUMBER($AN247),$AN247&lt;FechaRef,IF($V247="Sub",N($X247),N($M247))&lt;1),"Vencida"&amp;" · ","")&amp;IF(AND(ObsObligatoria="Sí",ISNUMBER($AN247),$AN247&lt;FechaRef,IF($V247="Sub",N($X247),N($M247))&lt;1,$Q247=""),"Vencida sin observación"&amp;" · ",""),LEN(IF($C247="","Falta el nombre de la actividad"&amp;" · ","")&amp;IF(AND($V247="Sub",N($U247)=0),"Subactividad sin macroactividad arriba"&amp;" · ","")&amp;IF($AM247="","Sin fecha de inicio"&amp;" · ","")&amp;IF($AN247="","Sin fecha límite"&amp;" · ","")&amp;IF(AND(LEFT($C247,11)="[Jefatura] ",N($AL247)=0),"No se encuentra en la hoja de la jefatura (elíjala de nuevo en la lista)"&amp;" · ","")&amp;IF(OR(AND($E247&lt;&gt;"",NOT(ISNUMBER($E247))),AND($F247&lt;&gt;"",NOT(ISNUMBER($F247))),AND($G247&lt;&gt;"",NOT(ISNUMBER($G247)))),"Fecha no válida"&amp;" · ","")&amp;IF(AND(ISNUMBER($AM247),ISNUMBER($AN247),$AM247&gt;$AN247),"Inicio posterior a fecha límite"&amp;" · ","")&amp;IF(AND($V247="Macro",$H247&lt;&gt;"",OR(NOT(ISNUMBER($H247)),$H247&lt;0,$H247&gt;1)),"Peso fuera de rango"&amp;" · ","")&amp;IF(AND($V247="Sub",$H247&lt;&gt;""),"Las subactividades no llevan peso (valen igual dentro de su macroactividad)"&amp;" · ","")&amp;IF(AND(N($W247)&gt;0,COUNT($I247:$L247)&gt;0),"Con subactividades: deje vacías las semanas (se calculan solas)"&amp;" · ","")&amp;IF((COUNTIF($I247:$L247,"&gt;1")+COUNTIF($I247:$L247,"&lt;0")+COUNTA($I247:$L247)-COUNT($I247:$L247))&gt;0,"Avance fuera de rango 0-100%"&amp;" · ","")&amp;IF(OR(AND($J247&lt;&gt;"",$J247&lt;$I247),AND($K247&lt;&gt;"",$K247&lt;MAX($I247:$J247)),AND($L247&lt;&gt;"",$L247&lt;MAX($I247:$K247))),"Avance semanal decreciente"&amp;" · ","")&amp;IF(AND(ISNUMBER($AN247),$AN247&lt;FechaRef,IF($V247="Sub",N($X247),N($M247))&lt;1),"Vencida"&amp;" · ","")&amp;IF(AND(ObsObligatoria="Sí",ISNUMBER($AN247),$AN247&lt;FechaRef,IF($V247="Sub",N($X247),N($M247))&lt;1,$Q247=""),"Vencida sin observación"&amp;" · ",""))-3)))</f>
        <v/>
      </c>
      <c r="S247" s="64">
        <f>IF(NOT((COUNTA($B247:$D247)+COUNTA($G247:$L247)+COUNTA($Q247))&gt;0),"",IF(AND($V247="Sub",N($U247)&gt;0),IF(ISNUMBER(INDEX($AM$5:$AM$1000,$U247-4)),DATE(YEAR(INDEX($AM$5:$AM$1000,$U247-4)),MONTH(INDEX($AM$5:$AM$1000,$U247-4)),1),IF(ISNUMBER(INDEX($AN$5:$AN$1000,$U247-4)),DATE(YEAR(INDEX($AN$5:$AN$1000,$U247-4)),MONTH(INDEX($AN$5:$AN$1000,$U247-4)),1),MesCiclo)),IF(ISNUMBER($AM247),DATE(YEAR($AM247),MONTH($AM247),1),IF(ISNUMBER($AN247),DATE(YEAR($AN247),MONTH($AN247),1),MesCiclo))))</f>
        <v/>
      </c>
      <c r="T247" s="62">
        <f>IF(OR($S247="",$S247&lt;&gt;MesCiclo,$V247&lt;&gt;"Macro"),"",COUNTIFS($S$5:$S247,MesCiclo,$V$5:$V247,"Macro"))</f>
        <v/>
      </c>
      <c r="U247" s="62">
        <f>IF($V247="","",IF($V247="Macro",ROW(),IFERROR(LOOKUP(2,1/($V$5:$V247="Macro"),ROW($V$5:$V247)),0)))</f>
        <v/>
      </c>
      <c r="V247" s="62">
        <f>IF(NOT((COUNTA($B247:$D247)+COUNTA($G247:$L247)+COUNTA($Q247))&gt;0),"",IF($B247="Subactividad","Sub","Macro"))</f>
        <v/>
      </c>
      <c r="W247" s="62">
        <f>IF($V247="Macro",COUNTIFS($U$5:$U$1000,ROW(),$V$5:$V$1000,"Sub"),"")</f>
        <v/>
      </c>
      <c r="X247" s="62">
        <f>IF($V247="","",IF(ISNUMBER($G247),1,IFERROR(LOOKUP(2,1/($I247:$L247&lt;&gt;""),$I247:$L247),0)))</f>
        <v/>
      </c>
      <c r="Y247" s="62">
        <f>IF($V247="","",IF(AND(ISNUMBER($G247),$G247&lt;=IF($S247=MesCiclo,InicioCiclo,$S247+MOD(2-WEEKDAY($S247),7))+6),1,IF(ISNUMBER($I247),$I247,0)))</f>
        <v/>
      </c>
      <c r="Z247" s="62">
        <f>IF($V247="","",IF(AND(ISNUMBER($G247),$G247&lt;=IF($S247=MesCiclo,InicioCiclo,$S247+MOD(2-WEEKDAY($S247),7))+13),1,IF(ISNUMBER($J247),$J247,$Y247)))</f>
        <v/>
      </c>
      <c r="AA247" s="62">
        <f>IF($V247="","",IF(AND(ISNUMBER($G247),$G247&lt;=IF($S247=MesCiclo,InicioCiclo,$S247+MOD(2-WEEKDAY($S247),7))+20),1,IF(ISNUMBER($K247),$K247,$Z247)))</f>
        <v/>
      </c>
      <c r="AB247" s="62">
        <f>IF($V247="","",IF(AND(ISNUMBER($G247),$G247&lt;=IF($S247=MesCiclo,InicioCiclo,$S247+MOD(2-WEEKDAY($S247),7))+27),1,IF(ISNUMBER($L247),$L247,$AA247)))</f>
        <v/>
      </c>
      <c r="AC247" s="62">
        <f>IF($V247="","",IF(AND(ISNUMBER($G247),$G247&lt;=IF($S247=MesCiclo,InicioCiclo,$S247+MOD(2-WEEKDAY($S247),7))+6),1,IF(N($W247)&gt;0,AVERAGEIFS($Y$5:$Y$1000,$U$5:$U$1000,ROW(),$V$5:$V$1000,"Sub"),$Y247)))</f>
        <v/>
      </c>
      <c r="AD247" s="62">
        <f>IF($V247="","",IF(AND(ISNUMBER($G247),$G247&lt;=IF($S247=MesCiclo,InicioCiclo,$S247+MOD(2-WEEKDAY($S247),7))+13),1,IF(N($W247)&gt;0,AVERAGEIFS($Z$5:$Z$1000,$U$5:$U$1000,ROW(),$V$5:$V$1000,"Sub"),$Z247)))</f>
        <v/>
      </c>
      <c r="AE247" s="62">
        <f>IF($V247="","",IF(AND(ISNUMBER($G247),$G247&lt;=IF($S247=MesCiclo,InicioCiclo,$S247+MOD(2-WEEKDAY($S247),7))+20),1,IF(N($W247)&gt;0,AVERAGEIFS($AA$5:$AA$1000,$U$5:$U$1000,ROW(),$V$5:$V$1000,"Sub"),$AA247)))</f>
        <v/>
      </c>
      <c r="AF247" s="62">
        <f>IF($V247="","",IF(AND(ISNUMBER($G247),$G247&lt;=IF($S247=MesCiclo,InicioCiclo,$S247+MOD(2-WEEKDAY($S247),7))+27),1,IF(N($W247)&gt;0,AVERAGEIFS($AB$5:$AB$1000,$U$5:$U$1000,ROW(),$V$5:$V$1000,"Sub"),$AB247)))</f>
        <v/>
      </c>
      <c r="AG247" s="62">
        <f>IF($V247&lt;&gt;"Macro","",IF(COUNTIFS($S$5:$S$1000,$S247,$V$5:$V$1000,"Macro",$H$5:$H$1000,"&gt;0")=0,1/COUNTIFS($S$5:$S$1000,$S247,$V$5:$V$1000,"Macro"),IF(AND(ISNUMBER($H247),N($H247)&gt;0),$H247,SUMIFS($H$5:$H$1000,$S$5:$S$1000,$S247,$V$5:$V$1000,"Macro")/COUNTIFS($S$5:$S$1000,$S247,$V$5:$V$1000,"Macro",$H$5:$H$1000,"&gt;0"))/(COUNTIFS($S$5:$S$1000,$S247,$V$5:$V$1000,"Macro")*SUMIFS($H$5:$H$1000,$S$5:$S$1000,$S247,$V$5:$V$1000,"Macro")/COUNTIFS($S$5:$S$1000,$S247,$V$5:$V$1000,"Macro",$H$5:$H$1000,"&gt;0"))))</f>
        <v/>
      </c>
      <c r="AH247" s="62" t="n"/>
      <c r="AI247" s="62" t="n"/>
      <c r="AJ247" s="62" t="n"/>
      <c r="AK247" s="62" t="n"/>
      <c r="AL247" s="62">
        <f>IF(LEFT($C247,11)="[Jefatura] ",IFERROR(MATCH("Asistente Técnico de Riesgo|"&amp;MID($C247,12,500),rDname_ADM,0),0),"")</f>
        <v/>
      </c>
      <c r="AM247" s="62">
        <f>IF(N($AL247)&gt;0,INDEX(rIni_ADM,$AL247),IF(ISNUMBER($E247),$E247,""))</f>
        <v/>
      </c>
      <c r="AN247" s="62">
        <f>IF(N($AL247)&gt;0,INDEX(rLim_ADM,$AL247),IF(ISNUMBER($F247),$F247,""))</f>
        <v/>
      </c>
    </row>
    <row r="248">
      <c r="A248" s="56">
        <f>IF(NOT((COUNTA($B248:$D248)+COUNTA($G248:$L248)+COUNTA($Q248))&gt;0),"",IF($V248="Macro",COUNTIFS($V$5:$V248,"Macro",$S$5:$S248,$S248),IF(N($U248)=0,"?",COUNTIFS(INDEX($V$5:$V$1000,1):INDEX($V$5:$V$1000,$U248-4),"Macro",INDEX($S$5:$S$1000,1):INDEX($S$5:$S$1000,$U248-4),INDEX($S$5:$S$1000,$U248-4))&amp;"."&amp;COUNTIFS($U$5:$U248,$U248,$V$5:$V248,"Sub"))))</f>
        <v/>
      </c>
      <c r="B248" s="57" t="n"/>
      <c r="C248" s="58" t="n"/>
      <c r="D248" s="58" t="n"/>
      <c r="E248" s="59">
        <f>IF(N($AL248)&gt;0,INDEX(rIni_ADM,$AL248),"")</f>
        <v/>
      </c>
      <c r="F248" s="59">
        <f>IF(N($AL248)&gt;0,INDEX(rLim_ADM,$AL248),"")</f>
        <v/>
      </c>
      <c r="G248" s="59" t="n"/>
      <c r="H248" s="60" t="n"/>
      <c r="I248" s="60" t="n"/>
      <c r="J248" s="60" t="n"/>
      <c r="K248" s="60" t="n"/>
      <c r="L248" s="60" t="n"/>
      <c r="M248" s="61">
        <f>IF(NOT((COUNTA($B248:$D248)+COUNTA($G248:$L248)+COUNTA($Q248))&gt;0),"",IF($V248="Sub",IFERROR($X248/INDEX($W$5:$W$1000,$U248-4),""),IF(ISNUMBER($G248),1,IF(N($W248)&gt;0,AVERAGEIFS($X$5:$X$1000,$U$5:$U$1000,ROW(),$V$5:$V$1000,"Sub"),$X248))))</f>
        <v/>
      </c>
      <c r="N248" s="56">
        <f>IF(OR($M248="",$V248="Sub"),"",IF($M248&gt;=1,"Completado",IF($M248&gt;0,"En curso","Pendiente")))</f>
        <v/>
      </c>
      <c r="O248" s="56">
        <f>IF(OR(NOT((COUNTA($B248:$D248)+COUNTA($G248:$L248)+COUNTA($Q248))&gt;0),$V248="Sub"),"",IF(ISNUMBER($G248),IF(AND(ISNUMBER($AN248),$G248&gt;$AN248),"Cumplida con "&amp;($G248-$AN248)&amp;IF($G248-$AN248=1," día"," días")&amp;" de retraso","Cumplida"),IF(N($M248)&gt;=1,"Cumplida",IF(NOT(ISNUMBER($AN248)),"Sin fecha límite",IF($AN248&lt;FechaRef,"Vencida hace "&amp;(FechaRef-$AN248)&amp;IF(FechaRef-$AN248=1," día"," días"),IF($AN248=FechaRef,"Vence hoy",IF($AN248-FechaRef&lt;=DiasAlerta,"Vence en "&amp;($AN248-FechaRef)&amp;IF($AN248-FechaRef=1," día"," días"),"En plazo")))))))</f>
        <v/>
      </c>
      <c r="P248" s="62" t="n"/>
      <c r="Q248" s="58" t="n"/>
      <c r="R248" s="63">
        <f>IF(NOT((COUNTA($B248:$D248)+COUNTA($G248:$L248)+COUNTA($Q248))&gt;0),"",IF((IF($C248="","Falta el nombre de la actividad"&amp;" · ","")&amp;IF(AND($V248="Sub",N($U248)=0),"Subactividad sin macroactividad arriba"&amp;" · ","")&amp;IF($AM248="","Sin fecha de inicio"&amp;" · ","")&amp;IF($AN248="","Sin fecha límite"&amp;" · ","")&amp;IF(AND(LEFT($C248,11)="[Jefatura] ",N($AL248)=0),"No se encuentra en la hoja de la jefatura (elíjala de nuevo en la lista)"&amp;" · ","")&amp;IF(OR(AND($E248&lt;&gt;"",NOT(ISNUMBER($E248))),AND($F248&lt;&gt;"",NOT(ISNUMBER($F248))),AND($G248&lt;&gt;"",NOT(ISNUMBER($G248)))),"Fecha no válida"&amp;" · ","")&amp;IF(AND(ISNUMBER($AM248),ISNUMBER($AN248),$AM248&gt;$AN248),"Inicio posterior a fecha límite"&amp;" · ","")&amp;IF(AND($V248="Macro",$H248&lt;&gt;"",OR(NOT(ISNUMBER($H248)),$H248&lt;0,$H248&gt;1)),"Peso fuera de rango"&amp;" · ","")&amp;IF(AND($V248="Sub",$H248&lt;&gt;""),"Las subactividades no llevan peso (valen igual dentro de su macroactividad)"&amp;" · ","")&amp;IF(AND(N($W248)&gt;0,COUNT($I248:$L248)&gt;0),"Con subactividades: deje vacías las semanas (se calculan solas)"&amp;" · ","")&amp;IF((COUNTIF($I248:$L248,"&gt;1")+COUNTIF($I248:$L248,"&lt;0")+COUNTA($I248:$L248)-COUNT($I248:$L248))&gt;0,"Avance fuera de rango 0-100%"&amp;" · ","")&amp;IF(OR(AND($J248&lt;&gt;"",$J248&lt;$I248),AND($K248&lt;&gt;"",$K248&lt;MAX($I248:$J248)),AND($L248&lt;&gt;"",$L248&lt;MAX($I248:$K248))),"Avance semanal decreciente"&amp;" · ","")&amp;IF(AND(ISNUMBER($AN248),$AN248&lt;FechaRef,IF($V248="Sub",N($X248),N($M248))&lt;1),"Vencida"&amp;" · ","")&amp;IF(AND(ObsObligatoria="Sí",ISNUMBER($AN248),$AN248&lt;FechaRef,IF($V248="Sub",N($X248),N($M248))&lt;1,$Q248=""),"Vencida sin observación"&amp;" · ",""))="","✔ OK","⚠ "&amp;LEFT(IF($C248="","Falta el nombre de la actividad"&amp;" · ","")&amp;IF(AND($V248="Sub",N($U248)=0),"Subactividad sin macroactividad arriba"&amp;" · ","")&amp;IF($AM248="","Sin fecha de inicio"&amp;" · ","")&amp;IF($AN248="","Sin fecha límite"&amp;" · ","")&amp;IF(AND(LEFT($C248,11)="[Jefatura] ",N($AL248)=0),"No se encuentra en la hoja de la jefatura (elíjala de nuevo en la lista)"&amp;" · ","")&amp;IF(OR(AND($E248&lt;&gt;"",NOT(ISNUMBER($E248))),AND($F248&lt;&gt;"",NOT(ISNUMBER($F248))),AND($G248&lt;&gt;"",NOT(ISNUMBER($G248)))),"Fecha no válida"&amp;" · ","")&amp;IF(AND(ISNUMBER($AM248),ISNUMBER($AN248),$AM248&gt;$AN248),"Inicio posterior a fecha límite"&amp;" · ","")&amp;IF(AND($V248="Macro",$H248&lt;&gt;"",OR(NOT(ISNUMBER($H248)),$H248&lt;0,$H248&gt;1)),"Peso fuera de rango"&amp;" · ","")&amp;IF(AND($V248="Sub",$H248&lt;&gt;""),"Las subactividades no llevan peso (valen igual dentro de su macroactividad)"&amp;" · ","")&amp;IF(AND(N($W248)&gt;0,COUNT($I248:$L248)&gt;0),"Con subactividades: deje vacías las semanas (se calculan solas)"&amp;" · ","")&amp;IF((COUNTIF($I248:$L248,"&gt;1")+COUNTIF($I248:$L248,"&lt;0")+COUNTA($I248:$L248)-COUNT($I248:$L248))&gt;0,"Avance fuera de rango 0-100%"&amp;" · ","")&amp;IF(OR(AND($J248&lt;&gt;"",$J248&lt;$I248),AND($K248&lt;&gt;"",$K248&lt;MAX($I248:$J248)),AND($L248&lt;&gt;"",$L248&lt;MAX($I248:$K248))),"Avance semanal decreciente"&amp;" · ","")&amp;IF(AND(ISNUMBER($AN248),$AN248&lt;FechaRef,IF($V248="Sub",N($X248),N($M248))&lt;1),"Vencida"&amp;" · ","")&amp;IF(AND(ObsObligatoria="Sí",ISNUMBER($AN248),$AN248&lt;FechaRef,IF($V248="Sub",N($X248),N($M248))&lt;1,$Q248=""),"Vencida sin observación"&amp;" · ",""),LEN(IF($C248="","Falta el nombre de la actividad"&amp;" · ","")&amp;IF(AND($V248="Sub",N($U248)=0),"Subactividad sin macroactividad arriba"&amp;" · ","")&amp;IF($AM248="","Sin fecha de inicio"&amp;" · ","")&amp;IF($AN248="","Sin fecha límite"&amp;" · ","")&amp;IF(AND(LEFT($C248,11)="[Jefatura] ",N($AL248)=0),"No se encuentra en la hoja de la jefatura (elíjala de nuevo en la lista)"&amp;" · ","")&amp;IF(OR(AND($E248&lt;&gt;"",NOT(ISNUMBER($E248))),AND($F248&lt;&gt;"",NOT(ISNUMBER($F248))),AND($G248&lt;&gt;"",NOT(ISNUMBER($G248)))),"Fecha no válida"&amp;" · ","")&amp;IF(AND(ISNUMBER($AM248),ISNUMBER($AN248),$AM248&gt;$AN248),"Inicio posterior a fecha límite"&amp;" · ","")&amp;IF(AND($V248="Macro",$H248&lt;&gt;"",OR(NOT(ISNUMBER($H248)),$H248&lt;0,$H248&gt;1)),"Peso fuera de rango"&amp;" · ","")&amp;IF(AND($V248="Sub",$H248&lt;&gt;""),"Las subactividades no llevan peso (valen igual dentro de su macroactividad)"&amp;" · ","")&amp;IF(AND(N($W248)&gt;0,COUNT($I248:$L248)&gt;0),"Con subactividades: deje vacías las semanas (se calculan solas)"&amp;" · ","")&amp;IF((COUNTIF($I248:$L248,"&gt;1")+COUNTIF($I248:$L248,"&lt;0")+COUNTA($I248:$L248)-COUNT($I248:$L248))&gt;0,"Avance fuera de rango 0-100%"&amp;" · ","")&amp;IF(OR(AND($J248&lt;&gt;"",$J248&lt;$I248),AND($K248&lt;&gt;"",$K248&lt;MAX($I248:$J248)),AND($L248&lt;&gt;"",$L248&lt;MAX($I248:$K248))),"Avance semanal decreciente"&amp;" · ","")&amp;IF(AND(ISNUMBER($AN248),$AN248&lt;FechaRef,IF($V248="Sub",N($X248),N($M248))&lt;1),"Vencida"&amp;" · ","")&amp;IF(AND(ObsObligatoria="Sí",ISNUMBER($AN248),$AN248&lt;FechaRef,IF($V248="Sub",N($X248),N($M248))&lt;1,$Q248=""),"Vencida sin observación"&amp;" · ",""))-3)))</f>
        <v/>
      </c>
      <c r="S248" s="64">
        <f>IF(NOT((COUNTA($B248:$D248)+COUNTA($G248:$L248)+COUNTA($Q248))&gt;0),"",IF(AND($V248="Sub",N($U248)&gt;0),IF(ISNUMBER(INDEX($AM$5:$AM$1000,$U248-4)),DATE(YEAR(INDEX($AM$5:$AM$1000,$U248-4)),MONTH(INDEX($AM$5:$AM$1000,$U248-4)),1),IF(ISNUMBER(INDEX($AN$5:$AN$1000,$U248-4)),DATE(YEAR(INDEX($AN$5:$AN$1000,$U248-4)),MONTH(INDEX($AN$5:$AN$1000,$U248-4)),1),MesCiclo)),IF(ISNUMBER($AM248),DATE(YEAR($AM248),MONTH($AM248),1),IF(ISNUMBER($AN248),DATE(YEAR($AN248),MONTH($AN248),1),MesCiclo))))</f>
        <v/>
      </c>
      <c r="T248" s="62">
        <f>IF(OR($S248="",$S248&lt;&gt;MesCiclo,$V248&lt;&gt;"Macro"),"",COUNTIFS($S$5:$S248,MesCiclo,$V$5:$V248,"Macro"))</f>
        <v/>
      </c>
      <c r="U248" s="62">
        <f>IF($V248="","",IF($V248="Macro",ROW(),IFERROR(LOOKUP(2,1/($V$5:$V248="Macro"),ROW($V$5:$V248)),0)))</f>
        <v/>
      </c>
      <c r="V248" s="62">
        <f>IF(NOT((COUNTA($B248:$D248)+COUNTA($G248:$L248)+COUNTA($Q248))&gt;0),"",IF($B248="Subactividad","Sub","Macro"))</f>
        <v/>
      </c>
      <c r="W248" s="62">
        <f>IF($V248="Macro",COUNTIFS($U$5:$U$1000,ROW(),$V$5:$V$1000,"Sub"),"")</f>
        <v/>
      </c>
      <c r="X248" s="62">
        <f>IF($V248="","",IF(ISNUMBER($G248),1,IFERROR(LOOKUP(2,1/($I248:$L248&lt;&gt;""),$I248:$L248),0)))</f>
        <v/>
      </c>
      <c r="Y248" s="62">
        <f>IF($V248="","",IF(AND(ISNUMBER($G248),$G248&lt;=IF($S248=MesCiclo,InicioCiclo,$S248+MOD(2-WEEKDAY($S248),7))+6),1,IF(ISNUMBER($I248),$I248,0)))</f>
        <v/>
      </c>
      <c r="Z248" s="62">
        <f>IF($V248="","",IF(AND(ISNUMBER($G248),$G248&lt;=IF($S248=MesCiclo,InicioCiclo,$S248+MOD(2-WEEKDAY($S248),7))+13),1,IF(ISNUMBER($J248),$J248,$Y248)))</f>
        <v/>
      </c>
      <c r="AA248" s="62">
        <f>IF($V248="","",IF(AND(ISNUMBER($G248),$G248&lt;=IF($S248=MesCiclo,InicioCiclo,$S248+MOD(2-WEEKDAY($S248),7))+20),1,IF(ISNUMBER($K248),$K248,$Z248)))</f>
        <v/>
      </c>
      <c r="AB248" s="62">
        <f>IF($V248="","",IF(AND(ISNUMBER($G248),$G248&lt;=IF($S248=MesCiclo,InicioCiclo,$S248+MOD(2-WEEKDAY($S248),7))+27),1,IF(ISNUMBER($L248),$L248,$AA248)))</f>
        <v/>
      </c>
      <c r="AC248" s="62">
        <f>IF($V248="","",IF(AND(ISNUMBER($G248),$G248&lt;=IF($S248=MesCiclo,InicioCiclo,$S248+MOD(2-WEEKDAY($S248),7))+6),1,IF(N($W248)&gt;0,AVERAGEIFS($Y$5:$Y$1000,$U$5:$U$1000,ROW(),$V$5:$V$1000,"Sub"),$Y248)))</f>
        <v/>
      </c>
      <c r="AD248" s="62">
        <f>IF($V248="","",IF(AND(ISNUMBER($G248),$G248&lt;=IF($S248=MesCiclo,InicioCiclo,$S248+MOD(2-WEEKDAY($S248),7))+13),1,IF(N($W248)&gt;0,AVERAGEIFS($Z$5:$Z$1000,$U$5:$U$1000,ROW(),$V$5:$V$1000,"Sub"),$Z248)))</f>
        <v/>
      </c>
      <c r="AE248" s="62">
        <f>IF($V248="","",IF(AND(ISNUMBER($G248),$G248&lt;=IF($S248=MesCiclo,InicioCiclo,$S248+MOD(2-WEEKDAY($S248),7))+20),1,IF(N($W248)&gt;0,AVERAGEIFS($AA$5:$AA$1000,$U$5:$U$1000,ROW(),$V$5:$V$1000,"Sub"),$AA248)))</f>
        <v/>
      </c>
      <c r="AF248" s="62">
        <f>IF($V248="","",IF(AND(ISNUMBER($G248),$G248&lt;=IF($S248=MesCiclo,InicioCiclo,$S248+MOD(2-WEEKDAY($S248),7))+27),1,IF(N($W248)&gt;0,AVERAGEIFS($AB$5:$AB$1000,$U$5:$U$1000,ROW(),$V$5:$V$1000,"Sub"),$AB248)))</f>
        <v/>
      </c>
      <c r="AG248" s="62">
        <f>IF($V248&lt;&gt;"Macro","",IF(COUNTIFS($S$5:$S$1000,$S248,$V$5:$V$1000,"Macro",$H$5:$H$1000,"&gt;0")=0,1/COUNTIFS($S$5:$S$1000,$S248,$V$5:$V$1000,"Macro"),IF(AND(ISNUMBER($H248),N($H248)&gt;0),$H248,SUMIFS($H$5:$H$1000,$S$5:$S$1000,$S248,$V$5:$V$1000,"Macro")/COUNTIFS($S$5:$S$1000,$S248,$V$5:$V$1000,"Macro",$H$5:$H$1000,"&gt;0"))/(COUNTIFS($S$5:$S$1000,$S248,$V$5:$V$1000,"Macro")*SUMIFS($H$5:$H$1000,$S$5:$S$1000,$S248,$V$5:$V$1000,"Macro")/COUNTIFS($S$5:$S$1000,$S248,$V$5:$V$1000,"Macro",$H$5:$H$1000,"&gt;0"))))</f>
        <v/>
      </c>
      <c r="AH248" s="62" t="n"/>
      <c r="AI248" s="62" t="n"/>
      <c r="AJ248" s="62" t="n"/>
      <c r="AK248" s="62" t="n"/>
      <c r="AL248" s="62">
        <f>IF(LEFT($C248,11)="[Jefatura] ",IFERROR(MATCH("Asistente Técnico de Riesgo|"&amp;MID($C248,12,500),rDname_ADM,0),0),"")</f>
        <v/>
      </c>
      <c r="AM248" s="62">
        <f>IF(N($AL248)&gt;0,INDEX(rIni_ADM,$AL248),IF(ISNUMBER($E248),$E248,""))</f>
        <v/>
      </c>
      <c r="AN248" s="62">
        <f>IF(N($AL248)&gt;0,INDEX(rLim_ADM,$AL248),IF(ISNUMBER($F248),$F248,""))</f>
        <v/>
      </c>
    </row>
    <row r="249">
      <c r="A249" s="56">
        <f>IF(NOT((COUNTA($B249:$D249)+COUNTA($G249:$L249)+COUNTA($Q249))&gt;0),"",IF($V249="Macro",COUNTIFS($V$5:$V249,"Macro",$S$5:$S249,$S249),IF(N($U249)=0,"?",COUNTIFS(INDEX($V$5:$V$1000,1):INDEX($V$5:$V$1000,$U249-4),"Macro",INDEX($S$5:$S$1000,1):INDEX($S$5:$S$1000,$U249-4),INDEX($S$5:$S$1000,$U249-4))&amp;"."&amp;COUNTIFS($U$5:$U249,$U249,$V$5:$V249,"Sub"))))</f>
        <v/>
      </c>
      <c r="B249" s="57" t="n"/>
      <c r="C249" s="58" t="n"/>
      <c r="D249" s="58" t="n"/>
      <c r="E249" s="59">
        <f>IF(N($AL249)&gt;0,INDEX(rIni_ADM,$AL249),"")</f>
        <v/>
      </c>
      <c r="F249" s="59">
        <f>IF(N($AL249)&gt;0,INDEX(rLim_ADM,$AL249),"")</f>
        <v/>
      </c>
      <c r="G249" s="59" t="n"/>
      <c r="H249" s="60" t="n"/>
      <c r="I249" s="60" t="n"/>
      <c r="J249" s="60" t="n"/>
      <c r="K249" s="60" t="n"/>
      <c r="L249" s="60" t="n"/>
      <c r="M249" s="61">
        <f>IF(NOT((COUNTA($B249:$D249)+COUNTA($G249:$L249)+COUNTA($Q249))&gt;0),"",IF($V249="Sub",IFERROR($X249/INDEX($W$5:$W$1000,$U249-4),""),IF(ISNUMBER($G249),1,IF(N($W249)&gt;0,AVERAGEIFS($X$5:$X$1000,$U$5:$U$1000,ROW(),$V$5:$V$1000,"Sub"),$X249))))</f>
        <v/>
      </c>
      <c r="N249" s="56">
        <f>IF(OR($M249="",$V249="Sub"),"",IF($M249&gt;=1,"Completado",IF($M249&gt;0,"En curso","Pendiente")))</f>
        <v/>
      </c>
      <c r="O249" s="56">
        <f>IF(OR(NOT((COUNTA($B249:$D249)+COUNTA($G249:$L249)+COUNTA($Q249))&gt;0),$V249="Sub"),"",IF(ISNUMBER($G249),IF(AND(ISNUMBER($AN249),$G249&gt;$AN249),"Cumplida con "&amp;($G249-$AN249)&amp;IF($G249-$AN249=1," día"," días")&amp;" de retraso","Cumplida"),IF(N($M249)&gt;=1,"Cumplida",IF(NOT(ISNUMBER($AN249)),"Sin fecha límite",IF($AN249&lt;FechaRef,"Vencida hace "&amp;(FechaRef-$AN249)&amp;IF(FechaRef-$AN249=1," día"," días"),IF($AN249=FechaRef,"Vence hoy",IF($AN249-FechaRef&lt;=DiasAlerta,"Vence en "&amp;($AN249-FechaRef)&amp;IF($AN249-FechaRef=1," día"," días"),"En plazo")))))))</f>
        <v/>
      </c>
      <c r="P249" s="62" t="n"/>
      <c r="Q249" s="58" t="n"/>
      <c r="R249" s="63">
        <f>IF(NOT((COUNTA($B249:$D249)+COUNTA($G249:$L249)+COUNTA($Q249))&gt;0),"",IF((IF($C249="","Falta el nombre de la actividad"&amp;" · ","")&amp;IF(AND($V249="Sub",N($U249)=0),"Subactividad sin macroactividad arriba"&amp;" · ","")&amp;IF($AM249="","Sin fecha de inicio"&amp;" · ","")&amp;IF($AN249="","Sin fecha límite"&amp;" · ","")&amp;IF(AND(LEFT($C249,11)="[Jefatura] ",N($AL249)=0),"No se encuentra en la hoja de la jefatura (elíjala de nuevo en la lista)"&amp;" · ","")&amp;IF(OR(AND($E249&lt;&gt;"",NOT(ISNUMBER($E249))),AND($F249&lt;&gt;"",NOT(ISNUMBER($F249))),AND($G249&lt;&gt;"",NOT(ISNUMBER($G249)))),"Fecha no válida"&amp;" · ","")&amp;IF(AND(ISNUMBER($AM249),ISNUMBER($AN249),$AM249&gt;$AN249),"Inicio posterior a fecha límite"&amp;" · ","")&amp;IF(AND($V249="Macro",$H249&lt;&gt;"",OR(NOT(ISNUMBER($H249)),$H249&lt;0,$H249&gt;1)),"Peso fuera de rango"&amp;" · ","")&amp;IF(AND($V249="Sub",$H249&lt;&gt;""),"Las subactividades no llevan peso (valen igual dentro de su macroactividad)"&amp;" · ","")&amp;IF(AND(N($W249)&gt;0,COUNT($I249:$L249)&gt;0),"Con subactividades: deje vacías las semanas (se calculan solas)"&amp;" · ","")&amp;IF((COUNTIF($I249:$L249,"&gt;1")+COUNTIF($I249:$L249,"&lt;0")+COUNTA($I249:$L249)-COUNT($I249:$L249))&gt;0,"Avance fuera de rango 0-100%"&amp;" · ","")&amp;IF(OR(AND($J249&lt;&gt;"",$J249&lt;$I249),AND($K249&lt;&gt;"",$K249&lt;MAX($I249:$J249)),AND($L249&lt;&gt;"",$L249&lt;MAX($I249:$K249))),"Avance semanal decreciente"&amp;" · ","")&amp;IF(AND(ISNUMBER($AN249),$AN249&lt;FechaRef,IF($V249="Sub",N($X249),N($M249))&lt;1),"Vencida"&amp;" · ","")&amp;IF(AND(ObsObligatoria="Sí",ISNUMBER($AN249),$AN249&lt;FechaRef,IF($V249="Sub",N($X249),N($M249))&lt;1,$Q249=""),"Vencida sin observación"&amp;" · ",""))="","✔ OK","⚠ "&amp;LEFT(IF($C249="","Falta el nombre de la actividad"&amp;" · ","")&amp;IF(AND($V249="Sub",N($U249)=0),"Subactividad sin macroactividad arriba"&amp;" · ","")&amp;IF($AM249="","Sin fecha de inicio"&amp;" · ","")&amp;IF($AN249="","Sin fecha límite"&amp;" · ","")&amp;IF(AND(LEFT($C249,11)="[Jefatura] ",N($AL249)=0),"No se encuentra en la hoja de la jefatura (elíjala de nuevo en la lista)"&amp;" · ","")&amp;IF(OR(AND($E249&lt;&gt;"",NOT(ISNUMBER($E249))),AND($F249&lt;&gt;"",NOT(ISNUMBER($F249))),AND($G249&lt;&gt;"",NOT(ISNUMBER($G249)))),"Fecha no válida"&amp;" · ","")&amp;IF(AND(ISNUMBER($AM249),ISNUMBER($AN249),$AM249&gt;$AN249),"Inicio posterior a fecha límite"&amp;" · ","")&amp;IF(AND($V249="Macro",$H249&lt;&gt;"",OR(NOT(ISNUMBER($H249)),$H249&lt;0,$H249&gt;1)),"Peso fuera de rango"&amp;" · ","")&amp;IF(AND($V249="Sub",$H249&lt;&gt;""),"Las subactividades no llevan peso (valen igual dentro de su macroactividad)"&amp;" · ","")&amp;IF(AND(N($W249)&gt;0,COUNT($I249:$L249)&gt;0),"Con subactividades: deje vacías las semanas (se calculan solas)"&amp;" · ","")&amp;IF((COUNTIF($I249:$L249,"&gt;1")+COUNTIF($I249:$L249,"&lt;0")+COUNTA($I249:$L249)-COUNT($I249:$L249))&gt;0,"Avance fuera de rango 0-100%"&amp;" · ","")&amp;IF(OR(AND($J249&lt;&gt;"",$J249&lt;$I249),AND($K249&lt;&gt;"",$K249&lt;MAX($I249:$J249)),AND($L249&lt;&gt;"",$L249&lt;MAX($I249:$K249))),"Avance semanal decreciente"&amp;" · ","")&amp;IF(AND(ISNUMBER($AN249),$AN249&lt;FechaRef,IF($V249="Sub",N($X249),N($M249))&lt;1),"Vencida"&amp;" · ","")&amp;IF(AND(ObsObligatoria="Sí",ISNUMBER($AN249),$AN249&lt;FechaRef,IF($V249="Sub",N($X249),N($M249))&lt;1,$Q249=""),"Vencida sin observación"&amp;" · ",""),LEN(IF($C249="","Falta el nombre de la actividad"&amp;" · ","")&amp;IF(AND($V249="Sub",N($U249)=0),"Subactividad sin macroactividad arriba"&amp;" · ","")&amp;IF($AM249="","Sin fecha de inicio"&amp;" · ","")&amp;IF($AN249="","Sin fecha límite"&amp;" · ","")&amp;IF(AND(LEFT($C249,11)="[Jefatura] ",N($AL249)=0),"No se encuentra en la hoja de la jefatura (elíjala de nuevo en la lista)"&amp;" · ","")&amp;IF(OR(AND($E249&lt;&gt;"",NOT(ISNUMBER($E249))),AND($F249&lt;&gt;"",NOT(ISNUMBER($F249))),AND($G249&lt;&gt;"",NOT(ISNUMBER($G249)))),"Fecha no válida"&amp;" · ","")&amp;IF(AND(ISNUMBER($AM249),ISNUMBER($AN249),$AM249&gt;$AN249),"Inicio posterior a fecha límite"&amp;" · ","")&amp;IF(AND($V249="Macro",$H249&lt;&gt;"",OR(NOT(ISNUMBER($H249)),$H249&lt;0,$H249&gt;1)),"Peso fuera de rango"&amp;" · ","")&amp;IF(AND($V249="Sub",$H249&lt;&gt;""),"Las subactividades no llevan peso (valen igual dentro de su macroactividad)"&amp;" · ","")&amp;IF(AND(N($W249)&gt;0,COUNT($I249:$L249)&gt;0),"Con subactividades: deje vacías las semanas (se calculan solas)"&amp;" · ","")&amp;IF((COUNTIF($I249:$L249,"&gt;1")+COUNTIF($I249:$L249,"&lt;0")+COUNTA($I249:$L249)-COUNT($I249:$L249))&gt;0,"Avance fuera de rango 0-100%"&amp;" · ","")&amp;IF(OR(AND($J249&lt;&gt;"",$J249&lt;$I249),AND($K249&lt;&gt;"",$K249&lt;MAX($I249:$J249)),AND($L249&lt;&gt;"",$L249&lt;MAX($I249:$K249))),"Avance semanal decreciente"&amp;" · ","")&amp;IF(AND(ISNUMBER($AN249),$AN249&lt;FechaRef,IF($V249="Sub",N($X249),N($M249))&lt;1),"Vencida"&amp;" · ","")&amp;IF(AND(ObsObligatoria="Sí",ISNUMBER($AN249),$AN249&lt;FechaRef,IF($V249="Sub",N($X249),N($M249))&lt;1,$Q249=""),"Vencida sin observación"&amp;" · ",""))-3)))</f>
        <v/>
      </c>
      <c r="S249" s="64">
        <f>IF(NOT((COUNTA($B249:$D249)+COUNTA($G249:$L249)+COUNTA($Q249))&gt;0),"",IF(AND($V249="Sub",N($U249)&gt;0),IF(ISNUMBER(INDEX($AM$5:$AM$1000,$U249-4)),DATE(YEAR(INDEX($AM$5:$AM$1000,$U249-4)),MONTH(INDEX($AM$5:$AM$1000,$U249-4)),1),IF(ISNUMBER(INDEX($AN$5:$AN$1000,$U249-4)),DATE(YEAR(INDEX($AN$5:$AN$1000,$U249-4)),MONTH(INDEX($AN$5:$AN$1000,$U249-4)),1),MesCiclo)),IF(ISNUMBER($AM249),DATE(YEAR($AM249),MONTH($AM249),1),IF(ISNUMBER($AN249),DATE(YEAR($AN249),MONTH($AN249),1),MesCiclo))))</f>
        <v/>
      </c>
      <c r="T249" s="62">
        <f>IF(OR($S249="",$S249&lt;&gt;MesCiclo,$V249&lt;&gt;"Macro"),"",COUNTIFS($S$5:$S249,MesCiclo,$V$5:$V249,"Macro"))</f>
        <v/>
      </c>
      <c r="U249" s="62">
        <f>IF($V249="","",IF($V249="Macro",ROW(),IFERROR(LOOKUP(2,1/($V$5:$V249="Macro"),ROW($V$5:$V249)),0)))</f>
        <v/>
      </c>
      <c r="V249" s="62">
        <f>IF(NOT((COUNTA($B249:$D249)+COUNTA($G249:$L249)+COUNTA($Q249))&gt;0),"",IF($B249="Subactividad","Sub","Macro"))</f>
        <v/>
      </c>
      <c r="W249" s="62">
        <f>IF($V249="Macro",COUNTIFS($U$5:$U$1000,ROW(),$V$5:$V$1000,"Sub"),"")</f>
        <v/>
      </c>
      <c r="X249" s="62">
        <f>IF($V249="","",IF(ISNUMBER($G249),1,IFERROR(LOOKUP(2,1/($I249:$L249&lt;&gt;""),$I249:$L249),0)))</f>
        <v/>
      </c>
      <c r="Y249" s="62">
        <f>IF($V249="","",IF(AND(ISNUMBER($G249),$G249&lt;=IF($S249=MesCiclo,InicioCiclo,$S249+MOD(2-WEEKDAY($S249),7))+6),1,IF(ISNUMBER($I249),$I249,0)))</f>
        <v/>
      </c>
      <c r="Z249" s="62">
        <f>IF($V249="","",IF(AND(ISNUMBER($G249),$G249&lt;=IF($S249=MesCiclo,InicioCiclo,$S249+MOD(2-WEEKDAY($S249),7))+13),1,IF(ISNUMBER($J249),$J249,$Y249)))</f>
        <v/>
      </c>
      <c r="AA249" s="62">
        <f>IF($V249="","",IF(AND(ISNUMBER($G249),$G249&lt;=IF($S249=MesCiclo,InicioCiclo,$S249+MOD(2-WEEKDAY($S249),7))+20),1,IF(ISNUMBER($K249),$K249,$Z249)))</f>
        <v/>
      </c>
      <c r="AB249" s="62">
        <f>IF($V249="","",IF(AND(ISNUMBER($G249),$G249&lt;=IF($S249=MesCiclo,InicioCiclo,$S249+MOD(2-WEEKDAY($S249),7))+27),1,IF(ISNUMBER($L249),$L249,$AA249)))</f>
        <v/>
      </c>
      <c r="AC249" s="62">
        <f>IF($V249="","",IF(AND(ISNUMBER($G249),$G249&lt;=IF($S249=MesCiclo,InicioCiclo,$S249+MOD(2-WEEKDAY($S249),7))+6),1,IF(N($W249)&gt;0,AVERAGEIFS($Y$5:$Y$1000,$U$5:$U$1000,ROW(),$V$5:$V$1000,"Sub"),$Y249)))</f>
        <v/>
      </c>
      <c r="AD249" s="62">
        <f>IF($V249="","",IF(AND(ISNUMBER($G249),$G249&lt;=IF($S249=MesCiclo,InicioCiclo,$S249+MOD(2-WEEKDAY($S249),7))+13),1,IF(N($W249)&gt;0,AVERAGEIFS($Z$5:$Z$1000,$U$5:$U$1000,ROW(),$V$5:$V$1000,"Sub"),$Z249)))</f>
        <v/>
      </c>
      <c r="AE249" s="62">
        <f>IF($V249="","",IF(AND(ISNUMBER($G249),$G249&lt;=IF($S249=MesCiclo,InicioCiclo,$S249+MOD(2-WEEKDAY($S249),7))+20),1,IF(N($W249)&gt;0,AVERAGEIFS($AA$5:$AA$1000,$U$5:$U$1000,ROW(),$V$5:$V$1000,"Sub"),$AA249)))</f>
        <v/>
      </c>
      <c r="AF249" s="62">
        <f>IF($V249="","",IF(AND(ISNUMBER($G249),$G249&lt;=IF($S249=MesCiclo,InicioCiclo,$S249+MOD(2-WEEKDAY($S249),7))+27),1,IF(N($W249)&gt;0,AVERAGEIFS($AB$5:$AB$1000,$U$5:$U$1000,ROW(),$V$5:$V$1000,"Sub"),$AB249)))</f>
        <v/>
      </c>
      <c r="AG249" s="62">
        <f>IF($V249&lt;&gt;"Macro","",IF(COUNTIFS($S$5:$S$1000,$S249,$V$5:$V$1000,"Macro",$H$5:$H$1000,"&gt;0")=0,1/COUNTIFS($S$5:$S$1000,$S249,$V$5:$V$1000,"Macro"),IF(AND(ISNUMBER($H249),N($H249)&gt;0),$H249,SUMIFS($H$5:$H$1000,$S$5:$S$1000,$S249,$V$5:$V$1000,"Macro")/COUNTIFS($S$5:$S$1000,$S249,$V$5:$V$1000,"Macro",$H$5:$H$1000,"&gt;0"))/(COUNTIFS($S$5:$S$1000,$S249,$V$5:$V$1000,"Macro")*SUMIFS($H$5:$H$1000,$S$5:$S$1000,$S249,$V$5:$V$1000,"Macro")/COUNTIFS($S$5:$S$1000,$S249,$V$5:$V$1000,"Macro",$H$5:$H$1000,"&gt;0"))))</f>
        <v/>
      </c>
      <c r="AH249" s="62" t="n"/>
      <c r="AI249" s="62" t="n"/>
      <c r="AJ249" s="62" t="n"/>
      <c r="AK249" s="62" t="n"/>
      <c r="AL249" s="62">
        <f>IF(LEFT($C249,11)="[Jefatura] ",IFERROR(MATCH("Asistente Técnico de Riesgo|"&amp;MID($C249,12,500),rDname_ADM,0),0),"")</f>
        <v/>
      </c>
      <c r="AM249" s="62">
        <f>IF(N($AL249)&gt;0,INDEX(rIni_ADM,$AL249),IF(ISNUMBER($E249),$E249,""))</f>
        <v/>
      </c>
      <c r="AN249" s="62">
        <f>IF(N($AL249)&gt;0,INDEX(rLim_ADM,$AL249),IF(ISNUMBER($F249),$F249,""))</f>
        <v/>
      </c>
    </row>
    <row r="250">
      <c r="A250" s="56">
        <f>IF(NOT((COUNTA($B250:$D250)+COUNTA($G250:$L250)+COUNTA($Q250))&gt;0),"",IF($V250="Macro",COUNTIFS($V$5:$V250,"Macro",$S$5:$S250,$S250),IF(N($U250)=0,"?",COUNTIFS(INDEX($V$5:$V$1000,1):INDEX($V$5:$V$1000,$U250-4),"Macro",INDEX($S$5:$S$1000,1):INDEX($S$5:$S$1000,$U250-4),INDEX($S$5:$S$1000,$U250-4))&amp;"."&amp;COUNTIFS($U$5:$U250,$U250,$V$5:$V250,"Sub"))))</f>
        <v/>
      </c>
      <c r="B250" s="57" t="n"/>
      <c r="C250" s="58" t="n"/>
      <c r="D250" s="58" t="n"/>
      <c r="E250" s="59">
        <f>IF(N($AL250)&gt;0,INDEX(rIni_ADM,$AL250),"")</f>
        <v/>
      </c>
      <c r="F250" s="59">
        <f>IF(N($AL250)&gt;0,INDEX(rLim_ADM,$AL250),"")</f>
        <v/>
      </c>
      <c r="G250" s="59" t="n"/>
      <c r="H250" s="60" t="n"/>
      <c r="I250" s="60" t="n"/>
      <c r="J250" s="60" t="n"/>
      <c r="K250" s="60" t="n"/>
      <c r="L250" s="60" t="n"/>
      <c r="M250" s="61">
        <f>IF(NOT((COUNTA($B250:$D250)+COUNTA($G250:$L250)+COUNTA($Q250))&gt;0),"",IF($V250="Sub",IFERROR($X250/INDEX($W$5:$W$1000,$U250-4),""),IF(ISNUMBER($G250),1,IF(N($W250)&gt;0,AVERAGEIFS($X$5:$X$1000,$U$5:$U$1000,ROW(),$V$5:$V$1000,"Sub"),$X250))))</f>
        <v/>
      </c>
      <c r="N250" s="56">
        <f>IF(OR($M250="",$V250="Sub"),"",IF($M250&gt;=1,"Completado",IF($M250&gt;0,"En curso","Pendiente")))</f>
        <v/>
      </c>
      <c r="O250" s="56">
        <f>IF(OR(NOT((COUNTA($B250:$D250)+COUNTA($G250:$L250)+COUNTA($Q250))&gt;0),$V250="Sub"),"",IF(ISNUMBER($G250),IF(AND(ISNUMBER($AN250),$G250&gt;$AN250),"Cumplida con "&amp;($G250-$AN250)&amp;IF($G250-$AN250=1," día"," días")&amp;" de retraso","Cumplida"),IF(N($M250)&gt;=1,"Cumplida",IF(NOT(ISNUMBER($AN250)),"Sin fecha límite",IF($AN250&lt;FechaRef,"Vencida hace "&amp;(FechaRef-$AN250)&amp;IF(FechaRef-$AN250=1," día"," días"),IF($AN250=FechaRef,"Vence hoy",IF($AN250-FechaRef&lt;=DiasAlerta,"Vence en "&amp;($AN250-FechaRef)&amp;IF($AN250-FechaRef=1," día"," días"),"En plazo")))))))</f>
        <v/>
      </c>
      <c r="P250" s="62" t="n"/>
      <c r="Q250" s="58" t="n"/>
      <c r="R250" s="63">
        <f>IF(NOT((COUNTA($B250:$D250)+COUNTA($G250:$L250)+COUNTA($Q250))&gt;0),"",IF((IF($C250="","Falta el nombre de la actividad"&amp;" · ","")&amp;IF(AND($V250="Sub",N($U250)=0),"Subactividad sin macroactividad arriba"&amp;" · ","")&amp;IF($AM250="","Sin fecha de inicio"&amp;" · ","")&amp;IF($AN250="","Sin fecha límite"&amp;" · ","")&amp;IF(AND(LEFT($C250,11)="[Jefatura] ",N($AL250)=0),"No se encuentra en la hoja de la jefatura (elíjala de nuevo en la lista)"&amp;" · ","")&amp;IF(OR(AND($E250&lt;&gt;"",NOT(ISNUMBER($E250))),AND($F250&lt;&gt;"",NOT(ISNUMBER($F250))),AND($G250&lt;&gt;"",NOT(ISNUMBER($G250)))),"Fecha no válida"&amp;" · ","")&amp;IF(AND(ISNUMBER($AM250),ISNUMBER($AN250),$AM250&gt;$AN250),"Inicio posterior a fecha límite"&amp;" · ","")&amp;IF(AND($V250="Macro",$H250&lt;&gt;"",OR(NOT(ISNUMBER($H250)),$H250&lt;0,$H250&gt;1)),"Peso fuera de rango"&amp;" · ","")&amp;IF(AND($V250="Sub",$H250&lt;&gt;""),"Las subactividades no llevan peso (valen igual dentro de su macroactividad)"&amp;" · ","")&amp;IF(AND(N($W250)&gt;0,COUNT($I250:$L250)&gt;0),"Con subactividades: deje vacías las semanas (se calculan solas)"&amp;" · ","")&amp;IF((COUNTIF($I250:$L250,"&gt;1")+COUNTIF($I250:$L250,"&lt;0")+COUNTA($I250:$L250)-COUNT($I250:$L250))&gt;0,"Avance fuera de rango 0-100%"&amp;" · ","")&amp;IF(OR(AND($J250&lt;&gt;"",$J250&lt;$I250),AND($K250&lt;&gt;"",$K250&lt;MAX($I250:$J250)),AND($L250&lt;&gt;"",$L250&lt;MAX($I250:$K250))),"Avance semanal decreciente"&amp;" · ","")&amp;IF(AND(ISNUMBER($AN250),$AN250&lt;FechaRef,IF($V250="Sub",N($X250),N($M250))&lt;1),"Vencida"&amp;" · ","")&amp;IF(AND(ObsObligatoria="Sí",ISNUMBER($AN250),$AN250&lt;FechaRef,IF($V250="Sub",N($X250),N($M250))&lt;1,$Q250=""),"Vencida sin observación"&amp;" · ",""))="","✔ OK","⚠ "&amp;LEFT(IF($C250="","Falta el nombre de la actividad"&amp;" · ","")&amp;IF(AND($V250="Sub",N($U250)=0),"Subactividad sin macroactividad arriba"&amp;" · ","")&amp;IF($AM250="","Sin fecha de inicio"&amp;" · ","")&amp;IF($AN250="","Sin fecha límite"&amp;" · ","")&amp;IF(AND(LEFT($C250,11)="[Jefatura] ",N($AL250)=0),"No se encuentra en la hoja de la jefatura (elíjala de nuevo en la lista)"&amp;" · ","")&amp;IF(OR(AND($E250&lt;&gt;"",NOT(ISNUMBER($E250))),AND($F250&lt;&gt;"",NOT(ISNUMBER($F250))),AND($G250&lt;&gt;"",NOT(ISNUMBER($G250)))),"Fecha no válida"&amp;" · ","")&amp;IF(AND(ISNUMBER($AM250),ISNUMBER($AN250),$AM250&gt;$AN250),"Inicio posterior a fecha límite"&amp;" · ","")&amp;IF(AND($V250="Macro",$H250&lt;&gt;"",OR(NOT(ISNUMBER($H250)),$H250&lt;0,$H250&gt;1)),"Peso fuera de rango"&amp;" · ","")&amp;IF(AND($V250="Sub",$H250&lt;&gt;""),"Las subactividades no llevan peso (valen igual dentro de su macroactividad)"&amp;" · ","")&amp;IF(AND(N($W250)&gt;0,COUNT($I250:$L250)&gt;0),"Con subactividades: deje vacías las semanas (se calculan solas)"&amp;" · ","")&amp;IF((COUNTIF($I250:$L250,"&gt;1")+COUNTIF($I250:$L250,"&lt;0")+COUNTA($I250:$L250)-COUNT($I250:$L250))&gt;0,"Avance fuera de rango 0-100%"&amp;" · ","")&amp;IF(OR(AND($J250&lt;&gt;"",$J250&lt;$I250),AND($K250&lt;&gt;"",$K250&lt;MAX($I250:$J250)),AND($L250&lt;&gt;"",$L250&lt;MAX($I250:$K250))),"Avance semanal decreciente"&amp;" · ","")&amp;IF(AND(ISNUMBER($AN250),$AN250&lt;FechaRef,IF($V250="Sub",N($X250),N($M250))&lt;1),"Vencida"&amp;" · ","")&amp;IF(AND(ObsObligatoria="Sí",ISNUMBER($AN250),$AN250&lt;FechaRef,IF($V250="Sub",N($X250),N($M250))&lt;1,$Q250=""),"Vencida sin observación"&amp;" · ",""),LEN(IF($C250="","Falta el nombre de la actividad"&amp;" · ","")&amp;IF(AND($V250="Sub",N($U250)=0),"Subactividad sin macroactividad arriba"&amp;" · ","")&amp;IF($AM250="","Sin fecha de inicio"&amp;" · ","")&amp;IF($AN250="","Sin fecha límite"&amp;" · ","")&amp;IF(AND(LEFT($C250,11)="[Jefatura] ",N($AL250)=0),"No se encuentra en la hoja de la jefatura (elíjala de nuevo en la lista)"&amp;" · ","")&amp;IF(OR(AND($E250&lt;&gt;"",NOT(ISNUMBER($E250))),AND($F250&lt;&gt;"",NOT(ISNUMBER($F250))),AND($G250&lt;&gt;"",NOT(ISNUMBER($G250)))),"Fecha no válida"&amp;" · ","")&amp;IF(AND(ISNUMBER($AM250),ISNUMBER($AN250),$AM250&gt;$AN250),"Inicio posterior a fecha límite"&amp;" · ","")&amp;IF(AND($V250="Macro",$H250&lt;&gt;"",OR(NOT(ISNUMBER($H250)),$H250&lt;0,$H250&gt;1)),"Peso fuera de rango"&amp;" · ","")&amp;IF(AND($V250="Sub",$H250&lt;&gt;""),"Las subactividades no llevan peso (valen igual dentro de su macroactividad)"&amp;" · ","")&amp;IF(AND(N($W250)&gt;0,COUNT($I250:$L250)&gt;0),"Con subactividades: deje vacías las semanas (se calculan solas)"&amp;" · ","")&amp;IF((COUNTIF($I250:$L250,"&gt;1")+COUNTIF($I250:$L250,"&lt;0")+COUNTA($I250:$L250)-COUNT($I250:$L250))&gt;0,"Avance fuera de rango 0-100%"&amp;" · ","")&amp;IF(OR(AND($J250&lt;&gt;"",$J250&lt;$I250),AND($K250&lt;&gt;"",$K250&lt;MAX($I250:$J250)),AND($L250&lt;&gt;"",$L250&lt;MAX($I250:$K250))),"Avance semanal decreciente"&amp;" · ","")&amp;IF(AND(ISNUMBER($AN250),$AN250&lt;FechaRef,IF($V250="Sub",N($X250),N($M250))&lt;1),"Vencida"&amp;" · ","")&amp;IF(AND(ObsObligatoria="Sí",ISNUMBER($AN250),$AN250&lt;FechaRef,IF($V250="Sub",N($X250),N($M250))&lt;1,$Q250=""),"Vencida sin observación"&amp;" · ",""))-3)))</f>
        <v/>
      </c>
      <c r="S250" s="64">
        <f>IF(NOT((COUNTA($B250:$D250)+COUNTA($G250:$L250)+COUNTA($Q250))&gt;0),"",IF(AND($V250="Sub",N($U250)&gt;0),IF(ISNUMBER(INDEX($AM$5:$AM$1000,$U250-4)),DATE(YEAR(INDEX($AM$5:$AM$1000,$U250-4)),MONTH(INDEX($AM$5:$AM$1000,$U250-4)),1),IF(ISNUMBER(INDEX($AN$5:$AN$1000,$U250-4)),DATE(YEAR(INDEX($AN$5:$AN$1000,$U250-4)),MONTH(INDEX($AN$5:$AN$1000,$U250-4)),1),MesCiclo)),IF(ISNUMBER($AM250),DATE(YEAR($AM250),MONTH($AM250),1),IF(ISNUMBER($AN250),DATE(YEAR($AN250),MONTH($AN250),1),MesCiclo))))</f>
        <v/>
      </c>
      <c r="T250" s="62">
        <f>IF(OR($S250="",$S250&lt;&gt;MesCiclo,$V250&lt;&gt;"Macro"),"",COUNTIFS($S$5:$S250,MesCiclo,$V$5:$V250,"Macro"))</f>
        <v/>
      </c>
      <c r="U250" s="62">
        <f>IF($V250="","",IF($V250="Macro",ROW(),IFERROR(LOOKUP(2,1/($V$5:$V250="Macro"),ROW($V$5:$V250)),0)))</f>
        <v/>
      </c>
      <c r="V250" s="62">
        <f>IF(NOT((COUNTA($B250:$D250)+COUNTA($G250:$L250)+COUNTA($Q250))&gt;0),"",IF($B250="Subactividad","Sub","Macro"))</f>
        <v/>
      </c>
      <c r="W250" s="62">
        <f>IF($V250="Macro",COUNTIFS($U$5:$U$1000,ROW(),$V$5:$V$1000,"Sub"),"")</f>
        <v/>
      </c>
      <c r="X250" s="62">
        <f>IF($V250="","",IF(ISNUMBER($G250),1,IFERROR(LOOKUP(2,1/($I250:$L250&lt;&gt;""),$I250:$L250),0)))</f>
        <v/>
      </c>
      <c r="Y250" s="62">
        <f>IF($V250="","",IF(AND(ISNUMBER($G250),$G250&lt;=IF($S250=MesCiclo,InicioCiclo,$S250+MOD(2-WEEKDAY($S250),7))+6),1,IF(ISNUMBER($I250),$I250,0)))</f>
        <v/>
      </c>
      <c r="Z250" s="62">
        <f>IF($V250="","",IF(AND(ISNUMBER($G250),$G250&lt;=IF($S250=MesCiclo,InicioCiclo,$S250+MOD(2-WEEKDAY($S250),7))+13),1,IF(ISNUMBER($J250),$J250,$Y250)))</f>
        <v/>
      </c>
      <c r="AA250" s="62">
        <f>IF($V250="","",IF(AND(ISNUMBER($G250),$G250&lt;=IF($S250=MesCiclo,InicioCiclo,$S250+MOD(2-WEEKDAY($S250),7))+20),1,IF(ISNUMBER($K250),$K250,$Z250)))</f>
        <v/>
      </c>
      <c r="AB250" s="62">
        <f>IF($V250="","",IF(AND(ISNUMBER($G250),$G250&lt;=IF($S250=MesCiclo,InicioCiclo,$S250+MOD(2-WEEKDAY($S250),7))+27),1,IF(ISNUMBER($L250),$L250,$AA250)))</f>
        <v/>
      </c>
      <c r="AC250" s="62">
        <f>IF($V250="","",IF(AND(ISNUMBER($G250),$G250&lt;=IF($S250=MesCiclo,InicioCiclo,$S250+MOD(2-WEEKDAY($S250),7))+6),1,IF(N($W250)&gt;0,AVERAGEIFS($Y$5:$Y$1000,$U$5:$U$1000,ROW(),$V$5:$V$1000,"Sub"),$Y250)))</f>
        <v/>
      </c>
      <c r="AD250" s="62">
        <f>IF($V250="","",IF(AND(ISNUMBER($G250),$G250&lt;=IF($S250=MesCiclo,InicioCiclo,$S250+MOD(2-WEEKDAY($S250),7))+13),1,IF(N($W250)&gt;0,AVERAGEIFS($Z$5:$Z$1000,$U$5:$U$1000,ROW(),$V$5:$V$1000,"Sub"),$Z250)))</f>
        <v/>
      </c>
      <c r="AE250" s="62">
        <f>IF($V250="","",IF(AND(ISNUMBER($G250),$G250&lt;=IF($S250=MesCiclo,InicioCiclo,$S250+MOD(2-WEEKDAY($S250),7))+20),1,IF(N($W250)&gt;0,AVERAGEIFS($AA$5:$AA$1000,$U$5:$U$1000,ROW(),$V$5:$V$1000,"Sub"),$AA250)))</f>
        <v/>
      </c>
      <c r="AF250" s="62">
        <f>IF($V250="","",IF(AND(ISNUMBER($G250),$G250&lt;=IF($S250=MesCiclo,InicioCiclo,$S250+MOD(2-WEEKDAY($S250),7))+27),1,IF(N($W250)&gt;0,AVERAGEIFS($AB$5:$AB$1000,$U$5:$U$1000,ROW(),$V$5:$V$1000,"Sub"),$AB250)))</f>
        <v/>
      </c>
      <c r="AG250" s="62">
        <f>IF($V250&lt;&gt;"Macro","",IF(COUNTIFS($S$5:$S$1000,$S250,$V$5:$V$1000,"Macro",$H$5:$H$1000,"&gt;0")=0,1/COUNTIFS($S$5:$S$1000,$S250,$V$5:$V$1000,"Macro"),IF(AND(ISNUMBER($H250),N($H250)&gt;0),$H250,SUMIFS($H$5:$H$1000,$S$5:$S$1000,$S250,$V$5:$V$1000,"Macro")/COUNTIFS($S$5:$S$1000,$S250,$V$5:$V$1000,"Macro",$H$5:$H$1000,"&gt;0"))/(COUNTIFS($S$5:$S$1000,$S250,$V$5:$V$1000,"Macro")*SUMIFS($H$5:$H$1000,$S$5:$S$1000,$S250,$V$5:$V$1000,"Macro")/COUNTIFS($S$5:$S$1000,$S250,$V$5:$V$1000,"Macro",$H$5:$H$1000,"&gt;0"))))</f>
        <v/>
      </c>
      <c r="AH250" s="62" t="n"/>
      <c r="AI250" s="62" t="n"/>
      <c r="AJ250" s="62" t="n"/>
      <c r="AK250" s="62" t="n"/>
      <c r="AL250" s="62">
        <f>IF(LEFT($C250,11)="[Jefatura] ",IFERROR(MATCH("Asistente Técnico de Riesgo|"&amp;MID($C250,12,500),rDname_ADM,0),0),"")</f>
        <v/>
      </c>
      <c r="AM250" s="62">
        <f>IF(N($AL250)&gt;0,INDEX(rIni_ADM,$AL250),IF(ISNUMBER($E250),$E250,""))</f>
        <v/>
      </c>
      <c r="AN250" s="62">
        <f>IF(N($AL250)&gt;0,INDEX(rLim_ADM,$AL250),IF(ISNUMBER($F250),$F250,""))</f>
        <v/>
      </c>
    </row>
    <row r="251">
      <c r="A251" s="56">
        <f>IF(NOT((COUNTA($B251:$D251)+COUNTA($G251:$L251)+COUNTA($Q251))&gt;0),"",IF($V251="Macro",COUNTIFS($V$5:$V251,"Macro",$S$5:$S251,$S251),IF(N($U251)=0,"?",COUNTIFS(INDEX($V$5:$V$1000,1):INDEX($V$5:$V$1000,$U251-4),"Macro",INDEX($S$5:$S$1000,1):INDEX($S$5:$S$1000,$U251-4),INDEX($S$5:$S$1000,$U251-4))&amp;"."&amp;COUNTIFS($U$5:$U251,$U251,$V$5:$V251,"Sub"))))</f>
        <v/>
      </c>
      <c r="B251" s="57" t="n"/>
      <c r="C251" s="58" t="n"/>
      <c r="D251" s="58" t="n"/>
      <c r="E251" s="59">
        <f>IF(N($AL251)&gt;0,INDEX(rIni_ADM,$AL251),"")</f>
        <v/>
      </c>
      <c r="F251" s="59">
        <f>IF(N($AL251)&gt;0,INDEX(rLim_ADM,$AL251),"")</f>
        <v/>
      </c>
      <c r="G251" s="59" t="n"/>
      <c r="H251" s="60" t="n"/>
      <c r="I251" s="60" t="n"/>
      <c r="J251" s="60" t="n"/>
      <c r="K251" s="60" t="n"/>
      <c r="L251" s="60" t="n"/>
      <c r="M251" s="61">
        <f>IF(NOT((COUNTA($B251:$D251)+COUNTA($G251:$L251)+COUNTA($Q251))&gt;0),"",IF($V251="Sub",IFERROR($X251/INDEX($W$5:$W$1000,$U251-4),""),IF(ISNUMBER($G251),1,IF(N($W251)&gt;0,AVERAGEIFS($X$5:$X$1000,$U$5:$U$1000,ROW(),$V$5:$V$1000,"Sub"),$X251))))</f>
        <v/>
      </c>
      <c r="N251" s="56">
        <f>IF(OR($M251="",$V251="Sub"),"",IF($M251&gt;=1,"Completado",IF($M251&gt;0,"En curso","Pendiente")))</f>
        <v/>
      </c>
      <c r="O251" s="56">
        <f>IF(OR(NOT((COUNTA($B251:$D251)+COUNTA($G251:$L251)+COUNTA($Q251))&gt;0),$V251="Sub"),"",IF(ISNUMBER($G251),IF(AND(ISNUMBER($AN251),$G251&gt;$AN251),"Cumplida con "&amp;($G251-$AN251)&amp;IF($G251-$AN251=1," día"," días")&amp;" de retraso","Cumplida"),IF(N($M251)&gt;=1,"Cumplida",IF(NOT(ISNUMBER($AN251)),"Sin fecha límite",IF($AN251&lt;FechaRef,"Vencida hace "&amp;(FechaRef-$AN251)&amp;IF(FechaRef-$AN251=1," día"," días"),IF($AN251=FechaRef,"Vence hoy",IF($AN251-FechaRef&lt;=DiasAlerta,"Vence en "&amp;($AN251-FechaRef)&amp;IF($AN251-FechaRef=1," día"," días"),"En plazo")))))))</f>
        <v/>
      </c>
      <c r="P251" s="62" t="n"/>
      <c r="Q251" s="58" t="n"/>
      <c r="R251" s="63">
        <f>IF(NOT((COUNTA($B251:$D251)+COUNTA($G251:$L251)+COUNTA($Q251))&gt;0),"",IF((IF($C251="","Falta el nombre de la actividad"&amp;" · ","")&amp;IF(AND($V251="Sub",N($U251)=0),"Subactividad sin macroactividad arriba"&amp;" · ","")&amp;IF($AM251="","Sin fecha de inicio"&amp;" · ","")&amp;IF($AN251="","Sin fecha límite"&amp;" · ","")&amp;IF(AND(LEFT($C251,11)="[Jefatura] ",N($AL251)=0),"No se encuentra en la hoja de la jefatura (elíjala de nuevo en la lista)"&amp;" · ","")&amp;IF(OR(AND($E251&lt;&gt;"",NOT(ISNUMBER($E251))),AND($F251&lt;&gt;"",NOT(ISNUMBER($F251))),AND($G251&lt;&gt;"",NOT(ISNUMBER($G251)))),"Fecha no válida"&amp;" · ","")&amp;IF(AND(ISNUMBER($AM251),ISNUMBER($AN251),$AM251&gt;$AN251),"Inicio posterior a fecha límite"&amp;" · ","")&amp;IF(AND($V251="Macro",$H251&lt;&gt;"",OR(NOT(ISNUMBER($H251)),$H251&lt;0,$H251&gt;1)),"Peso fuera de rango"&amp;" · ","")&amp;IF(AND($V251="Sub",$H251&lt;&gt;""),"Las subactividades no llevan peso (valen igual dentro de su macroactividad)"&amp;" · ","")&amp;IF(AND(N($W251)&gt;0,COUNT($I251:$L251)&gt;0),"Con subactividades: deje vacías las semanas (se calculan solas)"&amp;" · ","")&amp;IF((COUNTIF($I251:$L251,"&gt;1")+COUNTIF($I251:$L251,"&lt;0")+COUNTA($I251:$L251)-COUNT($I251:$L251))&gt;0,"Avance fuera de rango 0-100%"&amp;" · ","")&amp;IF(OR(AND($J251&lt;&gt;"",$J251&lt;$I251),AND($K251&lt;&gt;"",$K251&lt;MAX($I251:$J251)),AND($L251&lt;&gt;"",$L251&lt;MAX($I251:$K251))),"Avance semanal decreciente"&amp;" · ","")&amp;IF(AND(ISNUMBER($AN251),$AN251&lt;FechaRef,IF($V251="Sub",N($X251),N($M251))&lt;1),"Vencida"&amp;" · ","")&amp;IF(AND(ObsObligatoria="Sí",ISNUMBER($AN251),$AN251&lt;FechaRef,IF($V251="Sub",N($X251),N($M251))&lt;1,$Q251=""),"Vencida sin observación"&amp;" · ",""))="","✔ OK","⚠ "&amp;LEFT(IF($C251="","Falta el nombre de la actividad"&amp;" · ","")&amp;IF(AND($V251="Sub",N($U251)=0),"Subactividad sin macroactividad arriba"&amp;" · ","")&amp;IF($AM251="","Sin fecha de inicio"&amp;" · ","")&amp;IF($AN251="","Sin fecha límite"&amp;" · ","")&amp;IF(AND(LEFT($C251,11)="[Jefatura] ",N($AL251)=0),"No se encuentra en la hoja de la jefatura (elíjala de nuevo en la lista)"&amp;" · ","")&amp;IF(OR(AND($E251&lt;&gt;"",NOT(ISNUMBER($E251))),AND($F251&lt;&gt;"",NOT(ISNUMBER($F251))),AND($G251&lt;&gt;"",NOT(ISNUMBER($G251)))),"Fecha no válida"&amp;" · ","")&amp;IF(AND(ISNUMBER($AM251),ISNUMBER($AN251),$AM251&gt;$AN251),"Inicio posterior a fecha límite"&amp;" · ","")&amp;IF(AND($V251="Macro",$H251&lt;&gt;"",OR(NOT(ISNUMBER($H251)),$H251&lt;0,$H251&gt;1)),"Peso fuera de rango"&amp;" · ","")&amp;IF(AND($V251="Sub",$H251&lt;&gt;""),"Las subactividades no llevan peso (valen igual dentro de su macroactividad)"&amp;" · ","")&amp;IF(AND(N($W251)&gt;0,COUNT($I251:$L251)&gt;0),"Con subactividades: deje vacías las semanas (se calculan solas)"&amp;" · ","")&amp;IF((COUNTIF($I251:$L251,"&gt;1")+COUNTIF($I251:$L251,"&lt;0")+COUNTA($I251:$L251)-COUNT($I251:$L251))&gt;0,"Avance fuera de rango 0-100%"&amp;" · ","")&amp;IF(OR(AND($J251&lt;&gt;"",$J251&lt;$I251),AND($K251&lt;&gt;"",$K251&lt;MAX($I251:$J251)),AND($L251&lt;&gt;"",$L251&lt;MAX($I251:$K251))),"Avance semanal decreciente"&amp;" · ","")&amp;IF(AND(ISNUMBER($AN251),$AN251&lt;FechaRef,IF($V251="Sub",N($X251),N($M251))&lt;1),"Vencida"&amp;" · ","")&amp;IF(AND(ObsObligatoria="Sí",ISNUMBER($AN251),$AN251&lt;FechaRef,IF($V251="Sub",N($X251),N($M251))&lt;1,$Q251=""),"Vencida sin observación"&amp;" · ",""),LEN(IF($C251="","Falta el nombre de la actividad"&amp;" · ","")&amp;IF(AND($V251="Sub",N($U251)=0),"Subactividad sin macroactividad arriba"&amp;" · ","")&amp;IF($AM251="","Sin fecha de inicio"&amp;" · ","")&amp;IF($AN251="","Sin fecha límite"&amp;" · ","")&amp;IF(AND(LEFT($C251,11)="[Jefatura] ",N($AL251)=0),"No se encuentra en la hoja de la jefatura (elíjala de nuevo en la lista)"&amp;" · ","")&amp;IF(OR(AND($E251&lt;&gt;"",NOT(ISNUMBER($E251))),AND($F251&lt;&gt;"",NOT(ISNUMBER($F251))),AND($G251&lt;&gt;"",NOT(ISNUMBER($G251)))),"Fecha no válida"&amp;" · ","")&amp;IF(AND(ISNUMBER($AM251),ISNUMBER($AN251),$AM251&gt;$AN251),"Inicio posterior a fecha límite"&amp;" · ","")&amp;IF(AND($V251="Macro",$H251&lt;&gt;"",OR(NOT(ISNUMBER($H251)),$H251&lt;0,$H251&gt;1)),"Peso fuera de rango"&amp;" · ","")&amp;IF(AND($V251="Sub",$H251&lt;&gt;""),"Las subactividades no llevan peso (valen igual dentro de su macroactividad)"&amp;" · ","")&amp;IF(AND(N($W251)&gt;0,COUNT($I251:$L251)&gt;0),"Con subactividades: deje vacías las semanas (se calculan solas)"&amp;" · ","")&amp;IF((COUNTIF($I251:$L251,"&gt;1")+COUNTIF($I251:$L251,"&lt;0")+COUNTA($I251:$L251)-COUNT($I251:$L251))&gt;0,"Avance fuera de rango 0-100%"&amp;" · ","")&amp;IF(OR(AND($J251&lt;&gt;"",$J251&lt;$I251),AND($K251&lt;&gt;"",$K251&lt;MAX($I251:$J251)),AND($L251&lt;&gt;"",$L251&lt;MAX($I251:$K251))),"Avance semanal decreciente"&amp;" · ","")&amp;IF(AND(ISNUMBER($AN251),$AN251&lt;FechaRef,IF($V251="Sub",N($X251),N($M251))&lt;1),"Vencida"&amp;" · ","")&amp;IF(AND(ObsObligatoria="Sí",ISNUMBER($AN251),$AN251&lt;FechaRef,IF($V251="Sub",N($X251),N($M251))&lt;1,$Q251=""),"Vencida sin observación"&amp;" · ",""))-3)))</f>
        <v/>
      </c>
      <c r="S251" s="64">
        <f>IF(NOT((COUNTA($B251:$D251)+COUNTA($G251:$L251)+COUNTA($Q251))&gt;0),"",IF(AND($V251="Sub",N($U251)&gt;0),IF(ISNUMBER(INDEX($AM$5:$AM$1000,$U251-4)),DATE(YEAR(INDEX($AM$5:$AM$1000,$U251-4)),MONTH(INDEX($AM$5:$AM$1000,$U251-4)),1),IF(ISNUMBER(INDEX($AN$5:$AN$1000,$U251-4)),DATE(YEAR(INDEX($AN$5:$AN$1000,$U251-4)),MONTH(INDEX($AN$5:$AN$1000,$U251-4)),1),MesCiclo)),IF(ISNUMBER($AM251),DATE(YEAR($AM251),MONTH($AM251),1),IF(ISNUMBER($AN251),DATE(YEAR($AN251),MONTH($AN251),1),MesCiclo))))</f>
        <v/>
      </c>
      <c r="T251" s="62">
        <f>IF(OR($S251="",$S251&lt;&gt;MesCiclo,$V251&lt;&gt;"Macro"),"",COUNTIFS($S$5:$S251,MesCiclo,$V$5:$V251,"Macro"))</f>
        <v/>
      </c>
      <c r="U251" s="62">
        <f>IF($V251="","",IF($V251="Macro",ROW(),IFERROR(LOOKUP(2,1/($V$5:$V251="Macro"),ROW($V$5:$V251)),0)))</f>
        <v/>
      </c>
      <c r="V251" s="62">
        <f>IF(NOT((COUNTA($B251:$D251)+COUNTA($G251:$L251)+COUNTA($Q251))&gt;0),"",IF($B251="Subactividad","Sub","Macro"))</f>
        <v/>
      </c>
      <c r="W251" s="62">
        <f>IF($V251="Macro",COUNTIFS($U$5:$U$1000,ROW(),$V$5:$V$1000,"Sub"),"")</f>
        <v/>
      </c>
      <c r="X251" s="62">
        <f>IF($V251="","",IF(ISNUMBER($G251),1,IFERROR(LOOKUP(2,1/($I251:$L251&lt;&gt;""),$I251:$L251),0)))</f>
        <v/>
      </c>
      <c r="Y251" s="62">
        <f>IF($V251="","",IF(AND(ISNUMBER($G251),$G251&lt;=IF($S251=MesCiclo,InicioCiclo,$S251+MOD(2-WEEKDAY($S251),7))+6),1,IF(ISNUMBER($I251),$I251,0)))</f>
        <v/>
      </c>
      <c r="Z251" s="62">
        <f>IF($V251="","",IF(AND(ISNUMBER($G251),$G251&lt;=IF($S251=MesCiclo,InicioCiclo,$S251+MOD(2-WEEKDAY($S251),7))+13),1,IF(ISNUMBER($J251),$J251,$Y251)))</f>
        <v/>
      </c>
      <c r="AA251" s="62">
        <f>IF($V251="","",IF(AND(ISNUMBER($G251),$G251&lt;=IF($S251=MesCiclo,InicioCiclo,$S251+MOD(2-WEEKDAY($S251),7))+20),1,IF(ISNUMBER($K251),$K251,$Z251)))</f>
        <v/>
      </c>
      <c r="AB251" s="62">
        <f>IF($V251="","",IF(AND(ISNUMBER($G251),$G251&lt;=IF($S251=MesCiclo,InicioCiclo,$S251+MOD(2-WEEKDAY($S251),7))+27),1,IF(ISNUMBER($L251),$L251,$AA251)))</f>
        <v/>
      </c>
      <c r="AC251" s="62">
        <f>IF($V251="","",IF(AND(ISNUMBER($G251),$G251&lt;=IF($S251=MesCiclo,InicioCiclo,$S251+MOD(2-WEEKDAY($S251),7))+6),1,IF(N($W251)&gt;0,AVERAGEIFS($Y$5:$Y$1000,$U$5:$U$1000,ROW(),$V$5:$V$1000,"Sub"),$Y251)))</f>
        <v/>
      </c>
      <c r="AD251" s="62">
        <f>IF($V251="","",IF(AND(ISNUMBER($G251),$G251&lt;=IF($S251=MesCiclo,InicioCiclo,$S251+MOD(2-WEEKDAY($S251),7))+13),1,IF(N($W251)&gt;0,AVERAGEIFS($Z$5:$Z$1000,$U$5:$U$1000,ROW(),$V$5:$V$1000,"Sub"),$Z251)))</f>
        <v/>
      </c>
      <c r="AE251" s="62">
        <f>IF($V251="","",IF(AND(ISNUMBER($G251),$G251&lt;=IF($S251=MesCiclo,InicioCiclo,$S251+MOD(2-WEEKDAY($S251),7))+20),1,IF(N($W251)&gt;0,AVERAGEIFS($AA$5:$AA$1000,$U$5:$U$1000,ROW(),$V$5:$V$1000,"Sub"),$AA251)))</f>
        <v/>
      </c>
      <c r="AF251" s="62">
        <f>IF($V251="","",IF(AND(ISNUMBER($G251),$G251&lt;=IF($S251=MesCiclo,InicioCiclo,$S251+MOD(2-WEEKDAY($S251),7))+27),1,IF(N($W251)&gt;0,AVERAGEIFS($AB$5:$AB$1000,$U$5:$U$1000,ROW(),$V$5:$V$1000,"Sub"),$AB251)))</f>
        <v/>
      </c>
      <c r="AG251" s="62">
        <f>IF($V251&lt;&gt;"Macro","",IF(COUNTIFS($S$5:$S$1000,$S251,$V$5:$V$1000,"Macro",$H$5:$H$1000,"&gt;0")=0,1/COUNTIFS($S$5:$S$1000,$S251,$V$5:$V$1000,"Macro"),IF(AND(ISNUMBER($H251),N($H251)&gt;0),$H251,SUMIFS($H$5:$H$1000,$S$5:$S$1000,$S251,$V$5:$V$1000,"Macro")/COUNTIFS($S$5:$S$1000,$S251,$V$5:$V$1000,"Macro",$H$5:$H$1000,"&gt;0"))/(COUNTIFS($S$5:$S$1000,$S251,$V$5:$V$1000,"Macro")*SUMIFS($H$5:$H$1000,$S$5:$S$1000,$S251,$V$5:$V$1000,"Macro")/COUNTIFS($S$5:$S$1000,$S251,$V$5:$V$1000,"Macro",$H$5:$H$1000,"&gt;0"))))</f>
        <v/>
      </c>
      <c r="AH251" s="62" t="n"/>
      <c r="AI251" s="62" t="n"/>
      <c r="AJ251" s="62" t="n"/>
      <c r="AK251" s="62" t="n"/>
      <c r="AL251" s="62">
        <f>IF(LEFT($C251,11)="[Jefatura] ",IFERROR(MATCH("Asistente Técnico de Riesgo|"&amp;MID($C251,12,500),rDname_ADM,0),0),"")</f>
        <v/>
      </c>
      <c r="AM251" s="62">
        <f>IF(N($AL251)&gt;0,INDEX(rIni_ADM,$AL251),IF(ISNUMBER($E251),$E251,""))</f>
        <v/>
      </c>
      <c r="AN251" s="62">
        <f>IF(N($AL251)&gt;0,INDEX(rLim_ADM,$AL251),IF(ISNUMBER($F251),$F251,""))</f>
        <v/>
      </c>
    </row>
    <row r="252">
      <c r="A252" s="56">
        <f>IF(NOT((COUNTA($B252:$D252)+COUNTA($G252:$L252)+COUNTA($Q252))&gt;0),"",IF($V252="Macro",COUNTIFS($V$5:$V252,"Macro",$S$5:$S252,$S252),IF(N($U252)=0,"?",COUNTIFS(INDEX($V$5:$V$1000,1):INDEX($V$5:$V$1000,$U252-4),"Macro",INDEX($S$5:$S$1000,1):INDEX($S$5:$S$1000,$U252-4),INDEX($S$5:$S$1000,$U252-4))&amp;"."&amp;COUNTIFS($U$5:$U252,$U252,$V$5:$V252,"Sub"))))</f>
        <v/>
      </c>
      <c r="B252" s="57" t="n"/>
      <c r="C252" s="58" t="n"/>
      <c r="D252" s="58" t="n"/>
      <c r="E252" s="59">
        <f>IF(N($AL252)&gt;0,INDEX(rIni_ADM,$AL252),"")</f>
        <v/>
      </c>
      <c r="F252" s="59">
        <f>IF(N($AL252)&gt;0,INDEX(rLim_ADM,$AL252),"")</f>
        <v/>
      </c>
      <c r="G252" s="59" t="n"/>
      <c r="H252" s="60" t="n"/>
      <c r="I252" s="60" t="n"/>
      <c r="J252" s="60" t="n"/>
      <c r="K252" s="60" t="n"/>
      <c r="L252" s="60" t="n"/>
      <c r="M252" s="61">
        <f>IF(NOT((COUNTA($B252:$D252)+COUNTA($G252:$L252)+COUNTA($Q252))&gt;0),"",IF($V252="Sub",IFERROR($X252/INDEX($W$5:$W$1000,$U252-4),""),IF(ISNUMBER($G252),1,IF(N($W252)&gt;0,AVERAGEIFS($X$5:$X$1000,$U$5:$U$1000,ROW(),$V$5:$V$1000,"Sub"),$X252))))</f>
        <v/>
      </c>
      <c r="N252" s="56">
        <f>IF(OR($M252="",$V252="Sub"),"",IF($M252&gt;=1,"Completado",IF($M252&gt;0,"En curso","Pendiente")))</f>
        <v/>
      </c>
      <c r="O252" s="56">
        <f>IF(OR(NOT((COUNTA($B252:$D252)+COUNTA($G252:$L252)+COUNTA($Q252))&gt;0),$V252="Sub"),"",IF(ISNUMBER($G252),IF(AND(ISNUMBER($AN252),$G252&gt;$AN252),"Cumplida con "&amp;($G252-$AN252)&amp;IF($G252-$AN252=1," día"," días")&amp;" de retraso","Cumplida"),IF(N($M252)&gt;=1,"Cumplida",IF(NOT(ISNUMBER($AN252)),"Sin fecha límite",IF($AN252&lt;FechaRef,"Vencida hace "&amp;(FechaRef-$AN252)&amp;IF(FechaRef-$AN252=1," día"," días"),IF($AN252=FechaRef,"Vence hoy",IF($AN252-FechaRef&lt;=DiasAlerta,"Vence en "&amp;($AN252-FechaRef)&amp;IF($AN252-FechaRef=1," día"," días"),"En plazo")))))))</f>
        <v/>
      </c>
      <c r="P252" s="62" t="n"/>
      <c r="Q252" s="58" t="n"/>
      <c r="R252" s="63">
        <f>IF(NOT((COUNTA($B252:$D252)+COUNTA($G252:$L252)+COUNTA($Q252))&gt;0),"",IF((IF($C252="","Falta el nombre de la actividad"&amp;" · ","")&amp;IF(AND($V252="Sub",N($U252)=0),"Subactividad sin macroactividad arriba"&amp;" · ","")&amp;IF($AM252="","Sin fecha de inicio"&amp;" · ","")&amp;IF($AN252="","Sin fecha límite"&amp;" · ","")&amp;IF(AND(LEFT($C252,11)="[Jefatura] ",N($AL252)=0),"No se encuentra en la hoja de la jefatura (elíjala de nuevo en la lista)"&amp;" · ","")&amp;IF(OR(AND($E252&lt;&gt;"",NOT(ISNUMBER($E252))),AND($F252&lt;&gt;"",NOT(ISNUMBER($F252))),AND($G252&lt;&gt;"",NOT(ISNUMBER($G252)))),"Fecha no válida"&amp;" · ","")&amp;IF(AND(ISNUMBER($AM252),ISNUMBER($AN252),$AM252&gt;$AN252),"Inicio posterior a fecha límite"&amp;" · ","")&amp;IF(AND($V252="Macro",$H252&lt;&gt;"",OR(NOT(ISNUMBER($H252)),$H252&lt;0,$H252&gt;1)),"Peso fuera de rango"&amp;" · ","")&amp;IF(AND($V252="Sub",$H252&lt;&gt;""),"Las subactividades no llevan peso (valen igual dentro de su macroactividad)"&amp;" · ","")&amp;IF(AND(N($W252)&gt;0,COUNT($I252:$L252)&gt;0),"Con subactividades: deje vacías las semanas (se calculan solas)"&amp;" · ","")&amp;IF((COUNTIF($I252:$L252,"&gt;1")+COUNTIF($I252:$L252,"&lt;0")+COUNTA($I252:$L252)-COUNT($I252:$L252))&gt;0,"Avance fuera de rango 0-100%"&amp;" · ","")&amp;IF(OR(AND($J252&lt;&gt;"",$J252&lt;$I252),AND($K252&lt;&gt;"",$K252&lt;MAX($I252:$J252)),AND($L252&lt;&gt;"",$L252&lt;MAX($I252:$K252))),"Avance semanal decreciente"&amp;" · ","")&amp;IF(AND(ISNUMBER($AN252),$AN252&lt;FechaRef,IF($V252="Sub",N($X252),N($M252))&lt;1),"Vencida"&amp;" · ","")&amp;IF(AND(ObsObligatoria="Sí",ISNUMBER($AN252),$AN252&lt;FechaRef,IF($V252="Sub",N($X252),N($M252))&lt;1,$Q252=""),"Vencida sin observación"&amp;" · ",""))="","✔ OK","⚠ "&amp;LEFT(IF($C252="","Falta el nombre de la actividad"&amp;" · ","")&amp;IF(AND($V252="Sub",N($U252)=0),"Subactividad sin macroactividad arriba"&amp;" · ","")&amp;IF($AM252="","Sin fecha de inicio"&amp;" · ","")&amp;IF($AN252="","Sin fecha límite"&amp;" · ","")&amp;IF(AND(LEFT($C252,11)="[Jefatura] ",N($AL252)=0),"No se encuentra en la hoja de la jefatura (elíjala de nuevo en la lista)"&amp;" · ","")&amp;IF(OR(AND($E252&lt;&gt;"",NOT(ISNUMBER($E252))),AND($F252&lt;&gt;"",NOT(ISNUMBER($F252))),AND($G252&lt;&gt;"",NOT(ISNUMBER($G252)))),"Fecha no válida"&amp;" · ","")&amp;IF(AND(ISNUMBER($AM252),ISNUMBER($AN252),$AM252&gt;$AN252),"Inicio posterior a fecha límite"&amp;" · ","")&amp;IF(AND($V252="Macro",$H252&lt;&gt;"",OR(NOT(ISNUMBER($H252)),$H252&lt;0,$H252&gt;1)),"Peso fuera de rango"&amp;" · ","")&amp;IF(AND($V252="Sub",$H252&lt;&gt;""),"Las subactividades no llevan peso (valen igual dentro de su macroactividad)"&amp;" · ","")&amp;IF(AND(N($W252)&gt;0,COUNT($I252:$L252)&gt;0),"Con subactividades: deje vacías las semanas (se calculan solas)"&amp;" · ","")&amp;IF((COUNTIF($I252:$L252,"&gt;1")+COUNTIF($I252:$L252,"&lt;0")+COUNTA($I252:$L252)-COUNT($I252:$L252))&gt;0,"Avance fuera de rango 0-100%"&amp;" · ","")&amp;IF(OR(AND($J252&lt;&gt;"",$J252&lt;$I252),AND($K252&lt;&gt;"",$K252&lt;MAX($I252:$J252)),AND($L252&lt;&gt;"",$L252&lt;MAX($I252:$K252))),"Avance semanal decreciente"&amp;" · ","")&amp;IF(AND(ISNUMBER($AN252),$AN252&lt;FechaRef,IF($V252="Sub",N($X252),N($M252))&lt;1),"Vencida"&amp;" · ","")&amp;IF(AND(ObsObligatoria="Sí",ISNUMBER($AN252),$AN252&lt;FechaRef,IF($V252="Sub",N($X252),N($M252))&lt;1,$Q252=""),"Vencida sin observación"&amp;" · ",""),LEN(IF($C252="","Falta el nombre de la actividad"&amp;" · ","")&amp;IF(AND($V252="Sub",N($U252)=0),"Subactividad sin macroactividad arriba"&amp;" · ","")&amp;IF($AM252="","Sin fecha de inicio"&amp;" · ","")&amp;IF($AN252="","Sin fecha límite"&amp;" · ","")&amp;IF(AND(LEFT($C252,11)="[Jefatura] ",N($AL252)=0),"No se encuentra en la hoja de la jefatura (elíjala de nuevo en la lista)"&amp;" · ","")&amp;IF(OR(AND($E252&lt;&gt;"",NOT(ISNUMBER($E252))),AND($F252&lt;&gt;"",NOT(ISNUMBER($F252))),AND($G252&lt;&gt;"",NOT(ISNUMBER($G252)))),"Fecha no válida"&amp;" · ","")&amp;IF(AND(ISNUMBER($AM252),ISNUMBER($AN252),$AM252&gt;$AN252),"Inicio posterior a fecha límite"&amp;" · ","")&amp;IF(AND($V252="Macro",$H252&lt;&gt;"",OR(NOT(ISNUMBER($H252)),$H252&lt;0,$H252&gt;1)),"Peso fuera de rango"&amp;" · ","")&amp;IF(AND($V252="Sub",$H252&lt;&gt;""),"Las subactividades no llevan peso (valen igual dentro de su macroactividad)"&amp;" · ","")&amp;IF(AND(N($W252)&gt;0,COUNT($I252:$L252)&gt;0),"Con subactividades: deje vacías las semanas (se calculan solas)"&amp;" · ","")&amp;IF((COUNTIF($I252:$L252,"&gt;1")+COUNTIF($I252:$L252,"&lt;0")+COUNTA($I252:$L252)-COUNT($I252:$L252))&gt;0,"Avance fuera de rango 0-100%"&amp;" · ","")&amp;IF(OR(AND($J252&lt;&gt;"",$J252&lt;$I252),AND($K252&lt;&gt;"",$K252&lt;MAX($I252:$J252)),AND($L252&lt;&gt;"",$L252&lt;MAX($I252:$K252))),"Avance semanal decreciente"&amp;" · ","")&amp;IF(AND(ISNUMBER($AN252),$AN252&lt;FechaRef,IF($V252="Sub",N($X252),N($M252))&lt;1),"Vencida"&amp;" · ","")&amp;IF(AND(ObsObligatoria="Sí",ISNUMBER($AN252),$AN252&lt;FechaRef,IF($V252="Sub",N($X252),N($M252))&lt;1,$Q252=""),"Vencida sin observación"&amp;" · ",""))-3)))</f>
        <v/>
      </c>
      <c r="S252" s="64">
        <f>IF(NOT((COUNTA($B252:$D252)+COUNTA($G252:$L252)+COUNTA($Q252))&gt;0),"",IF(AND($V252="Sub",N($U252)&gt;0),IF(ISNUMBER(INDEX($AM$5:$AM$1000,$U252-4)),DATE(YEAR(INDEX($AM$5:$AM$1000,$U252-4)),MONTH(INDEX($AM$5:$AM$1000,$U252-4)),1),IF(ISNUMBER(INDEX($AN$5:$AN$1000,$U252-4)),DATE(YEAR(INDEX($AN$5:$AN$1000,$U252-4)),MONTH(INDEX($AN$5:$AN$1000,$U252-4)),1),MesCiclo)),IF(ISNUMBER($AM252),DATE(YEAR($AM252),MONTH($AM252),1),IF(ISNUMBER($AN252),DATE(YEAR($AN252),MONTH($AN252),1),MesCiclo))))</f>
        <v/>
      </c>
      <c r="T252" s="62">
        <f>IF(OR($S252="",$S252&lt;&gt;MesCiclo,$V252&lt;&gt;"Macro"),"",COUNTIFS($S$5:$S252,MesCiclo,$V$5:$V252,"Macro"))</f>
        <v/>
      </c>
      <c r="U252" s="62">
        <f>IF($V252="","",IF($V252="Macro",ROW(),IFERROR(LOOKUP(2,1/($V$5:$V252="Macro"),ROW($V$5:$V252)),0)))</f>
        <v/>
      </c>
      <c r="V252" s="62">
        <f>IF(NOT((COUNTA($B252:$D252)+COUNTA($G252:$L252)+COUNTA($Q252))&gt;0),"",IF($B252="Subactividad","Sub","Macro"))</f>
        <v/>
      </c>
      <c r="W252" s="62">
        <f>IF($V252="Macro",COUNTIFS($U$5:$U$1000,ROW(),$V$5:$V$1000,"Sub"),"")</f>
        <v/>
      </c>
      <c r="X252" s="62">
        <f>IF($V252="","",IF(ISNUMBER($G252),1,IFERROR(LOOKUP(2,1/($I252:$L252&lt;&gt;""),$I252:$L252),0)))</f>
        <v/>
      </c>
      <c r="Y252" s="62">
        <f>IF($V252="","",IF(AND(ISNUMBER($G252),$G252&lt;=IF($S252=MesCiclo,InicioCiclo,$S252+MOD(2-WEEKDAY($S252),7))+6),1,IF(ISNUMBER($I252),$I252,0)))</f>
        <v/>
      </c>
      <c r="Z252" s="62">
        <f>IF($V252="","",IF(AND(ISNUMBER($G252),$G252&lt;=IF($S252=MesCiclo,InicioCiclo,$S252+MOD(2-WEEKDAY($S252),7))+13),1,IF(ISNUMBER($J252),$J252,$Y252)))</f>
        <v/>
      </c>
      <c r="AA252" s="62">
        <f>IF($V252="","",IF(AND(ISNUMBER($G252),$G252&lt;=IF($S252=MesCiclo,InicioCiclo,$S252+MOD(2-WEEKDAY($S252),7))+20),1,IF(ISNUMBER($K252),$K252,$Z252)))</f>
        <v/>
      </c>
      <c r="AB252" s="62">
        <f>IF($V252="","",IF(AND(ISNUMBER($G252),$G252&lt;=IF($S252=MesCiclo,InicioCiclo,$S252+MOD(2-WEEKDAY($S252),7))+27),1,IF(ISNUMBER($L252),$L252,$AA252)))</f>
        <v/>
      </c>
      <c r="AC252" s="62">
        <f>IF($V252="","",IF(AND(ISNUMBER($G252),$G252&lt;=IF($S252=MesCiclo,InicioCiclo,$S252+MOD(2-WEEKDAY($S252),7))+6),1,IF(N($W252)&gt;0,AVERAGEIFS($Y$5:$Y$1000,$U$5:$U$1000,ROW(),$V$5:$V$1000,"Sub"),$Y252)))</f>
        <v/>
      </c>
      <c r="AD252" s="62">
        <f>IF($V252="","",IF(AND(ISNUMBER($G252),$G252&lt;=IF($S252=MesCiclo,InicioCiclo,$S252+MOD(2-WEEKDAY($S252),7))+13),1,IF(N($W252)&gt;0,AVERAGEIFS($Z$5:$Z$1000,$U$5:$U$1000,ROW(),$V$5:$V$1000,"Sub"),$Z252)))</f>
        <v/>
      </c>
      <c r="AE252" s="62">
        <f>IF($V252="","",IF(AND(ISNUMBER($G252),$G252&lt;=IF($S252=MesCiclo,InicioCiclo,$S252+MOD(2-WEEKDAY($S252),7))+20),1,IF(N($W252)&gt;0,AVERAGEIFS($AA$5:$AA$1000,$U$5:$U$1000,ROW(),$V$5:$V$1000,"Sub"),$AA252)))</f>
        <v/>
      </c>
      <c r="AF252" s="62">
        <f>IF($V252="","",IF(AND(ISNUMBER($G252),$G252&lt;=IF($S252=MesCiclo,InicioCiclo,$S252+MOD(2-WEEKDAY($S252),7))+27),1,IF(N($W252)&gt;0,AVERAGEIFS($AB$5:$AB$1000,$U$5:$U$1000,ROW(),$V$5:$V$1000,"Sub"),$AB252)))</f>
        <v/>
      </c>
      <c r="AG252" s="62">
        <f>IF($V252&lt;&gt;"Macro","",IF(COUNTIFS($S$5:$S$1000,$S252,$V$5:$V$1000,"Macro",$H$5:$H$1000,"&gt;0")=0,1/COUNTIFS($S$5:$S$1000,$S252,$V$5:$V$1000,"Macro"),IF(AND(ISNUMBER($H252),N($H252)&gt;0),$H252,SUMIFS($H$5:$H$1000,$S$5:$S$1000,$S252,$V$5:$V$1000,"Macro")/COUNTIFS($S$5:$S$1000,$S252,$V$5:$V$1000,"Macro",$H$5:$H$1000,"&gt;0"))/(COUNTIFS($S$5:$S$1000,$S252,$V$5:$V$1000,"Macro")*SUMIFS($H$5:$H$1000,$S$5:$S$1000,$S252,$V$5:$V$1000,"Macro")/COUNTIFS($S$5:$S$1000,$S252,$V$5:$V$1000,"Macro",$H$5:$H$1000,"&gt;0"))))</f>
        <v/>
      </c>
      <c r="AH252" s="62" t="n"/>
      <c r="AI252" s="62" t="n"/>
      <c r="AJ252" s="62" t="n"/>
      <c r="AK252" s="62" t="n"/>
      <c r="AL252" s="62">
        <f>IF(LEFT($C252,11)="[Jefatura] ",IFERROR(MATCH("Asistente Técnico de Riesgo|"&amp;MID($C252,12,500),rDname_ADM,0),0),"")</f>
        <v/>
      </c>
      <c r="AM252" s="62">
        <f>IF(N($AL252)&gt;0,INDEX(rIni_ADM,$AL252),IF(ISNUMBER($E252),$E252,""))</f>
        <v/>
      </c>
      <c r="AN252" s="62">
        <f>IF(N($AL252)&gt;0,INDEX(rLim_ADM,$AL252),IF(ISNUMBER($F252),$F252,""))</f>
        <v/>
      </c>
    </row>
    <row r="253">
      <c r="A253" s="56">
        <f>IF(NOT((COUNTA($B253:$D253)+COUNTA($G253:$L253)+COUNTA($Q253))&gt;0),"",IF($V253="Macro",COUNTIFS($V$5:$V253,"Macro",$S$5:$S253,$S253),IF(N($U253)=0,"?",COUNTIFS(INDEX($V$5:$V$1000,1):INDEX($V$5:$V$1000,$U253-4),"Macro",INDEX($S$5:$S$1000,1):INDEX($S$5:$S$1000,$U253-4),INDEX($S$5:$S$1000,$U253-4))&amp;"."&amp;COUNTIFS($U$5:$U253,$U253,$V$5:$V253,"Sub"))))</f>
        <v/>
      </c>
      <c r="B253" s="57" t="n"/>
      <c r="C253" s="58" t="n"/>
      <c r="D253" s="58" t="n"/>
      <c r="E253" s="59">
        <f>IF(N($AL253)&gt;0,INDEX(rIni_ADM,$AL253),"")</f>
        <v/>
      </c>
      <c r="F253" s="59">
        <f>IF(N($AL253)&gt;0,INDEX(rLim_ADM,$AL253),"")</f>
        <v/>
      </c>
      <c r="G253" s="59" t="n"/>
      <c r="H253" s="60" t="n"/>
      <c r="I253" s="60" t="n"/>
      <c r="J253" s="60" t="n"/>
      <c r="K253" s="60" t="n"/>
      <c r="L253" s="60" t="n"/>
      <c r="M253" s="61">
        <f>IF(NOT((COUNTA($B253:$D253)+COUNTA($G253:$L253)+COUNTA($Q253))&gt;0),"",IF($V253="Sub",IFERROR($X253/INDEX($W$5:$W$1000,$U253-4),""),IF(ISNUMBER($G253),1,IF(N($W253)&gt;0,AVERAGEIFS($X$5:$X$1000,$U$5:$U$1000,ROW(),$V$5:$V$1000,"Sub"),$X253))))</f>
        <v/>
      </c>
      <c r="N253" s="56">
        <f>IF(OR($M253="",$V253="Sub"),"",IF($M253&gt;=1,"Completado",IF($M253&gt;0,"En curso","Pendiente")))</f>
        <v/>
      </c>
      <c r="O253" s="56">
        <f>IF(OR(NOT((COUNTA($B253:$D253)+COUNTA($G253:$L253)+COUNTA($Q253))&gt;0),$V253="Sub"),"",IF(ISNUMBER($G253),IF(AND(ISNUMBER($AN253),$G253&gt;$AN253),"Cumplida con "&amp;($G253-$AN253)&amp;IF($G253-$AN253=1," día"," días")&amp;" de retraso","Cumplida"),IF(N($M253)&gt;=1,"Cumplida",IF(NOT(ISNUMBER($AN253)),"Sin fecha límite",IF($AN253&lt;FechaRef,"Vencida hace "&amp;(FechaRef-$AN253)&amp;IF(FechaRef-$AN253=1," día"," días"),IF($AN253=FechaRef,"Vence hoy",IF($AN253-FechaRef&lt;=DiasAlerta,"Vence en "&amp;($AN253-FechaRef)&amp;IF($AN253-FechaRef=1," día"," días"),"En plazo")))))))</f>
        <v/>
      </c>
      <c r="P253" s="62" t="n"/>
      <c r="Q253" s="58" t="n"/>
      <c r="R253" s="63">
        <f>IF(NOT((COUNTA($B253:$D253)+COUNTA($G253:$L253)+COUNTA($Q253))&gt;0),"",IF((IF($C253="","Falta el nombre de la actividad"&amp;" · ","")&amp;IF(AND($V253="Sub",N($U253)=0),"Subactividad sin macroactividad arriba"&amp;" · ","")&amp;IF($AM253="","Sin fecha de inicio"&amp;" · ","")&amp;IF($AN253="","Sin fecha límite"&amp;" · ","")&amp;IF(AND(LEFT($C253,11)="[Jefatura] ",N($AL253)=0),"No se encuentra en la hoja de la jefatura (elíjala de nuevo en la lista)"&amp;" · ","")&amp;IF(OR(AND($E253&lt;&gt;"",NOT(ISNUMBER($E253))),AND($F253&lt;&gt;"",NOT(ISNUMBER($F253))),AND($G253&lt;&gt;"",NOT(ISNUMBER($G253)))),"Fecha no válida"&amp;" · ","")&amp;IF(AND(ISNUMBER($AM253),ISNUMBER($AN253),$AM253&gt;$AN253),"Inicio posterior a fecha límite"&amp;" · ","")&amp;IF(AND($V253="Macro",$H253&lt;&gt;"",OR(NOT(ISNUMBER($H253)),$H253&lt;0,$H253&gt;1)),"Peso fuera de rango"&amp;" · ","")&amp;IF(AND($V253="Sub",$H253&lt;&gt;""),"Las subactividades no llevan peso (valen igual dentro de su macroactividad)"&amp;" · ","")&amp;IF(AND(N($W253)&gt;0,COUNT($I253:$L253)&gt;0),"Con subactividades: deje vacías las semanas (se calculan solas)"&amp;" · ","")&amp;IF((COUNTIF($I253:$L253,"&gt;1")+COUNTIF($I253:$L253,"&lt;0")+COUNTA($I253:$L253)-COUNT($I253:$L253))&gt;0,"Avance fuera de rango 0-100%"&amp;" · ","")&amp;IF(OR(AND($J253&lt;&gt;"",$J253&lt;$I253),AND($K253&lt;&gt;"",$K253&lt;MAX($I253:$J253)),AND($L253&lt;&gt;"",$L253&lt;MAX($I253:$K253))),"Avance semanal decreciente"&amp;" · ","")&amp;IF(AND(ISNUMBER($AN253),$AN253&lt;FechaRef,IF($V253="Sub",N($X253),N($M253))&lt;1),"Vencida"&amp;" · ","")&amp;IF(AND(ObsObligatoria="Sí",ISNUMBER($AN253),$AN253&lt;FechaRef,IF($V253="Sub",N($X253),N($M253))&lt;1,$Q253=""),"Vencida sin observación"&amp;" · ",""))="","✔ OK","⚠ "&amp;LEFT(IF($C253="","Falta el nombre de la actividad"&amp;" · ","")&amp;IF(AND($V253="Sub",N($U253)=0),"Subactividad sin macroactividad arriba"&amp;" · ","")&amp;IF($AM253="","Sin fecha de inicio"&amp;" · ","")&amp;IF($AN253="","Sin fecha límite"&amp;" · ","")&amp;IF(AND(LEFT($C253,11)="[Jefatura] ",N($AL253)=0),"No se encuentra en la hoja de la jefatura (elíjala de nuevo en la lista)"&amp;" · ","")&amp;IF(OR(AND($E253&lt;&gt;"",NOT(ISNUMBER($E253))),AND($F253&lt;&gt;"",NOT(ISNUMBER($F253))),AND($G253&lt;&gt;"",NOT(ISNUMBER($G253)))),"Fecha no válida"&amp;" · ","")&amp;IF(AND(ISNUMBER($AM253),ISNUMBER($AN253),$AM253&gt;$AN253),"Inicio posterior a fecha límite"&amp;" · ","")&amp;IF(AND($V253="Macro",$H253&lt;&gt;"",OR(NOT(ISNUMBER($H253)),$H253&lt;0,$H253&gt;1)),"Peso fuera de rango"&amp;" · ","")&amp;IF(AND($V253="Sub",$H253&lt;&gt;""),"Las subactividades no llevan peso (valen igual dentro de su macroactividad)"&amp;" · ","")&amp;IF(AND(N($W253)&gt;0,COUNT($I253:$L253)&gt;0),"Con subactividades: deje vacías las semanas (se calculan solas)"&amp;" · ","")&amp;IF((COUNTIF($I253:$L253,"&gt;1")+COUNTIF($I253:$L253,"&lt;0")+COUNTA($I253:$L253)-COUNT($I253:$L253))&gt;0,"Avance fuera de rango 0-100%"&amp;" · ","")&amp;IF(OR(AND($J253&lt;&gt;"",$J253&lt;$I253),AND($K253&lt;&gt;"",$K253&lt;MAX($I253:$J253)),AND($L253&lt;&gt;"",$L253&lt;MAX($I253:$K253))),"Avance semanal decreciente"&amp;" · ","")&amp;IF(AND(ISNUMBER($AN253),$AN253&lt;FechaRef,IF($V253="Sub",N($X253),N($M253))&lt;1),"Vencida"&amp;" · ","")&amp;IF(AND(ObsObligatoria="Sí",ISNUMBER($AN253),$AN253&lt;FechaRef,IF($V253="Sub",N($X253),N($M253))&lt;1,$Q253=""),"Vencida sin observación"&amp;" · ",""),LEN(IF($C253="","Falta el nombre de la actividad"&amp;" · ","")&amp;IF(AND($V253="Sub",N($U253)=0),"Subactividad sin macroactividad arriba"&amp;" · ","")&amp;IF($AM253="","Sin fecha de inicio"&amp;" · ","")&amp;IF($AN253="","Sin fecha límite"&amp;" · ","")&amp;IF(AND(LEFT($C253,11)="[Jefatura] ",N($AL253)=0),"No se encuentra en la hoja de la jefatura (elíjala de nuevo en la lista)"&amp;" · ","")&amp;IF(OR(AND($E253&lt;&gt;"",NOT(ISNUMBER($E253))),AND($F253&lt;&gt;"",NOT(ISNUMBER($F253))),AND($G253&lt;&gt;"",NOT(ISNUMBER($G253)))),"Fecha no válida"&amp;" · ","")&amp;IF(AND(ISNUMBER($AM253),ISNUMBER($AN253),$AM253&gt;$AN253),"Inicio posterior a fecha límite"&amp;" · ","")&amp;IF(AND($V253="Macro",$H253&lt;&gt;"",OR(NOT(ISNUMBER($H253)),$H253&lt;0,$H253&gt;1)),"Peso fuera de rango"&amp;" · ","")&amp;IF(AND($V253="Sub",$H253&lt;&gt;""),"Las subactividades no llevan peso (valen igual dentro de su macroactividad)"&amp;" · ","")&amp;IF(AND(N($W253)&gt;0,COUNT($I253:$L253)&gt;0),"Con subactividades: deje vacías las semanas (se calculan solas)"&amp;" · ","")&amp;IF((COUNTIF($I253:$L253,"&gt;1")+COUNTIF($I253:$L253,"&lt;0")+COUNTA($I253:$L253)-COUNT($I253:$L253))&gt;0,"Avance fuera de rango 0-100%"&amp;" · ","")&amp;IF(OR(AND($J253&lt;&gt;"",$J253&lt;$I253),AND($K253&lt;&gt;"",$K253&lt;MAX($I253:$J253)),AND($L253&lt;&gt;"",$L253&lt;MAX($I253:$K253))),"Avance semanal decreciente"&amp;" · ","")&amp;IF(AND(ISNUMBER($AN253),$AN253&lt;FechaRef,IF($V253="Sub",N($X253),N($M253))&lt;1),"Vencida"&amp;" · ","")&amp;IF(AND(ObsObligatoria="Sí",ISNUMBER($AN253),$AN253&lt;FechaRef,IF($V253="Sub",N($X253),N($M253))&lt;1,$Q253=""),"Vencida sin observación"&amp;" · ",""))-3)))</f>
        <v/>
      </c>
      <c r="S253" s="64">
        <f>IF(NOT((COUNTA($B253:$D253)+COUNTA($G253:$L253)+COUNTA($Q253))&gt;0),"",IF(AND($V253="Sub",N($U253)&gt;0),IF(ISNUMBER(INDEX($AM$5:$AM$1000,$U253-4)),DATE(YEAR(INDEX($AM$5:$AM$1000,$U253-4)),MONTH(INDEX($AM$5:$AM$1000,$U253-4)),1),IF(ISNUMBER(INDEX($AN$5:$AN$1000,$U253-4)),DATE(YEAR(INDEX($AN$5:$AN$1000,$U253-4)),MONTH(INDEX($AN$5:$AN$1000,$U253-4)),1),MesCiclo)),IF(ISNUMBER($AM253),DATE(YEAR($AM253),MONTH($AM253),1),IF(ISNUMBER($AN253),DATE(YEAR($AN253),MONTH($AN253),1),MesCiclo))))</f>
        <v/>
      </c>
      <c r="T253" s="62">
        <f>IF(OR($S253="",$S253&lt;&gt;MesCiclo,$V253&lt;&gt;"Macro"),"",COUNTIFS($S$5:$S253,MesCiclo,$V$5:$V253,"Macro"))</f>
        <v/>
      </c>
      <c r="U253" s="62">
        <f>IF($V253="","",IF($V253="Macro",ROW(),IFERROR(LOOKUP(2,1/($V$5:$V253="Macro"),ROW($V$5:$V253)),0)))</f>
        <v/>
      </c>
      <c r="V253" s="62">
        <f>IF(NOT((COUNTA($B253:$D253)+COUNTA($G253:$L253)+COUNTA($Q253))&gt;0),"",IF($B253="Subactividad","Sub","Macro"))</f>
        <v/>
      </c>
      <c r="W253" s="62">
        <f>IF($V253="Macro",COUNTIFS($U$5:$U$1000,ROW(),$V$5:$V$1000,"Sub"),"")</f>
        <v/>
      </c>
      <c r="X253" s="62">
        <f>IF($V253="","",IF(ISNUMBER($G253),1,IFERROR(LOOKUP(2,1/($I253:$L253&lt;&gt;""),$I253:$L253),0)))</f>
        <v/>
      </c>
      <c r="Y253" s="62">
        <f>IF($V253="","",IF(AND(ISNUMBER($G253),$G253&lt;=IF($S253=MesCiclo,InicioCiclo,$S253+MOD(2-WEEKDAY($S253),7))+6),1,IF(ISNUMBER($I253),$I253,0)))</f>
        <v/>
      </c>
      <c r="Z253" s="62">
        <f>IF($V253="","",IF(AND(ISNUMBER($G253),$G253&lt;=IF($S253=MesCiclo,InicioCiclo,$S253+MOD(2-WEEKDAY($S253),7))+13),1,IF(ISNUMBER($J253),$J253,$Y253)))</f>
        <v/>
      </c>
      <c r="AA253" s="62">
        <f>IF($V253="","",IF(AND(ISNUMBER($G253),$G253&lt;=IF($S253=MesCiclo,InicioCiclo,$S253+MOD(2-WEEKDAY($S253),7))+20),1,IF(ISNUMBER($K253),$K253,$Z253)))</f>
        <v/>
      </c>
      <c r="AB253" s="62">
        <f>IF($V253="","",IF(AND(ISNUMBER($G253),$G253&lt;=IF($S253=MesCiclo,InicioCiclo,$S253+MOD(2-WEEKDAY($S253),7))+27),1,IF(ISNUMBER($L253),$L253,$AA253)))</f>
        <v/>
      </c>
      <c r="AC253" s="62">
        <f>IF($V253="","",IF(AND(ISNUMBER($G253),$G253&lt;=IF($S253=MesCiclo,InicioCiclo,$S253+MOD(2-WEEKDAY($S253),7))+6),1,IF(N($W253)&gt;0,AVERAGEIFS($Y$5:$Y$1000,$U$5:$U$1000,ROW(),$V$5:$V$1000,"Sub"),$Y253)))</f>
        <v/>
      </c>
      <c r="AD253" s="62">
        <f>IF($V253="","",IF(AND(ISNUMBER($G253),$G253&lt;=IF($S253=MesCiclo,InicioCiclo,$S253+MOD(2-WEEKDAY($S253),7))+13),1,IF(N($W253)&gt;0,AVERAGEIFS($Z$5:$Z$1000,$U$5:$U$1000,ROW(),$V$5:$V$1000,"Sub"),$Z253)))</f>
        <v/>
      </c>
      <c r="AE253" s="62">
        <f>IF($V253="","",IF(AND(ISNUMBER($G253),$G253&lt;=IF($S253=MesCiclo,InicioCiclo,$S253+MOD(2-WEEKDAY($S253),7))+20),1,IF(N($W253)&gt;0,AVERAGEIFS($AA$5:$AA$1000,$U$5:$U$1000,ROW(),$V$5:$V$1000,"Sub"),$AA253)))</f>
        <v/>
      </c>
      <c r="AF253" s="62">
        <f>IF($V253="","",IF(AND(ISNUMBER($G253),$G253&lt;=IF($S253=MesCiclo,InicioCiclo,$S253+MOD(2-WEEKDAY($S253),7))+27),1,IF(N($W253)&gt;0,AVERAGEIFS($AB$5:$AB$1000,$U$5:$U$1000,ROW(),$V$5:$V$1000,"Sub"),$AB253)))</f>
        <v/>
      </c>
      <c r="AG253" s="62">
        <f>IF($V253&lt;&gt;"Macro","",IF(COUNTIFS($S$5:$S$1000,$S253,$V$5:$V$1000,"Macro",$H$5:$H$1000,"&gt;0")=0,1/COUNTIFS($S$5:$S$1000,$S253,$V$5:$V$1000,"Macro"),IF(AND(ISNUMBER($H253),N($H253)&gt;0),$H253,SUMIFS($H$5:$H$1000,$S$5:$S$1000,$S253,$V$5:$V$1000,"Macro")/COUNTIFS($S$5:$S$1000,$S253,$V$5:$V$1000,"Macro",$H$5:$H$1000,"&gt;0"))/(COUNTIFS($S$5:$S$1000,$S253,$V$5:$V$1000,"Macro")*SUMIFS($H$5:$H$1000,$S$5:$S$1000,$S253,$V$5:$V$1000,"Macro")/COUNTIFS($S$5:$S$1000,$S253,$V$5:$V$1000,"Macro",$H$5:$H$1000,"&gt;0"))))</f>
        <v/>
      </c>
      <c r="AH253" s="62" t="n"/>
      <c r="AI253" s="62" t="n"/>
      <c r="AJ253" s="62" t="n"/>
      <c r="AK253" s="62" t="n"/>
      <c r="AL253" s="62">
        <f>IF(LEFT($C253,11)="[Jefatura] ",IFERROR(MATCH("Asistente Técnico de Riesgo|"&amp;MID($C253,12,500),rDname_ADM,0),0),"")</f>
        <v/>
      </c>
      <c r="AM253" s="62">
        <f>IF(N($AL253)&gt;0,INDEX(rIni_ADM,$AL253),IF(ISNUMBER($E253),$E253,""))</f>
        <v/>
      </c>
      <c r="AN253" s="62">
        <f>IF(N($AL253)&gt;0,INDEX(rLim_ADM,$AL253),IF(ISNUMBER($F253),$F253,""))</f>
        <v/>
      </c>
    </row>
    <row r="254">
      <c r="A254" s="56">
        <f>IF(NOT((COUNTA($B254:$D254)+COUNTA($G254:$L254)+COUNTA($Q254))&gt;0),"",IF($V254="Macro",COUNTIFS($V$5:$V254,"Macro",$S$5:$S254,$S254),IF(N($U254)=0,"?",COUNTIFS(INDEX($V$5:$V$1000,1):INDEX($V$5:$V$1000,$U254-4),"Macro",INDEX($S$5:$S$1000,1):INDEX($S$5:$S$1000,$U254-4),INDEX($S$5:$S$1000,$U254-4))&amp;"."&amp;COUNTIFS($U$5:$U254,$U254,$V$5:$V254,"Sub"))))</f>
        <v/>
      </c>
      <c r="B254" s="57" t="n"/>
      <c r="C254" s="58" t="n"/>
      <c r="D254" s="58" t="n"/>
      <c r="E254" s="59">
        <f>IF(N($AL254)&gt;0,INDEX(rIni_ADM,$AL254),"")</f>
        <v/>
      </c>
      <c r="F254" s="59">
        <f>IF(N($AL254)&gt;0,INDEX(rLim_ADM,$AL254),"")</f>
        <v/>
      </c>
      <c r="G254" s="59" t="n"/>
      <c r="H254" s="60" t="n"/>
      <c r="I254" s="60" t="n"/>
      <c r="J254" s="60" t="n"/>
      <c r="K254" s="60" t="n"/>
      <c r="L254" s="60" t="n"/>
      <c r="M254" s="61">
        <f>IF(NOT((COUNTA($B254:$D254)+COUNTA($G254:$L254)+COUNTA($Q254))&gt;0),"",IF($V254="Sub",IFERROR($X254/INDEX($W$5:$W$1000,$U254-4),""),IF(ISNUMBER($G254),1,IF(N($W254)&gt;0,AVERAGEIFS($X$5:$X$1000,$U$5:$U$1000,ROW(),$V$5:$V$1000,"Sub"),$X254))))</f>
        <v/>
      </c>
      <c r="N254" s="56">
        <f>IF(OR($M254="",$V254="Sub"),"",IF($M254&gt;=1,"Completado",IF($M254&gt;0,"En curso","Pendiente")))</f>
        <v/>
      </c>
      <c r="O254" s="56">
        <f>IF(OR(NOT((COUNTA($B254:$D254)+COUNTA($G254:$L254)+COUNTA($Q254))&gt;0),$V254="Sub"),"",IF(ISNUMBER($G254),IF(AND(ISNUMBER($AN254),$G254&gt;$AN254),"Cumplida con "&amp;($G254-$AN254)&amp;IF($G254-$AN254=1," día"," días")&amp;" de retraso","Cumplida"),IF(N($M254)&gt;=1,"Cumplida",IF(NOT(ISNUMBER($AN254)),"Sin fecha límite",IF($AN254&lt;FechaRef,"Vencida hace "&amp;(FechaRef-$AN254)&amp;IF(FechaRef-$AN254=1," día"," días"),IF($AN254=FechaRef,"Vence hoy",IF($AN254-FechaRef&lt;=DiasAlerta,"Vence en "&amp;($AN254-FechaRef)&amp;IF($AN254-FechaRef=1," día"," días"),"En plazo")))))))</f>
        <v/>
      </c>
      <c r="P254" s="62" t="n"/>
      <c r="Q254" s="58" t="n"/>
      <c r="R254" s="63">
        <f>IF(NOT((COUNTA($B254:$D254)+COUNTA($G254:$L254)+COUNTA($Q254))&gt;0),"",IF((IF($C254="","Falta el nombre de la actividad"&amp;" · ","")&amp;IF(AND($V254="Sub",N($U254)=0),"Subactividad sin macroactividad arriba"&amp;" · ","")&amp;IF($AM254="","Sin fecha de inicio"&amp;" · ","")&amp;IF($AN254="","Sin fecha límite"&amp;" · ","")&amp;IF(AND(LEFT($C254,11)="[Jefatura] ",N($AL254)=0),"No se encuentra en la hoja de la jefatura (elíjala de nuevo en la lista)"&amp;" · ","")&amp;IF(OR(AND($E254&lt;&gt;"",NOT(ISNUMBER($E254))),AND($F254&lt;&gt;"",NOT(ISNUMBER($F254))),AND($G254&lt;&gt;"",NOT(ISNUMBER($G254)))),"Fecha no válida"&amp;" · ","")&amp;IF(AND(ISNUMBER($AM254),ISNUMBER($AN254),$AM254&gt;$AN254),"Inicio posterior a fecha límite"&amp;" · ","")&amp;IF(AND($V254="Macro",$H254&lt;&gt;"",OR(NOT(ISNUMBER($H254)),$H254&lt;0,$H254&gt;1)),"Peso fuera de rango"&amp;" · ","")&amp;IF(AND($V254="Sub",$H254&lt;&gt;""),"Las subactividades no llevan peso (valen igual dentro de su macroactividad)"&amp;" · ","")&amp;IF(AND(N($W254)&gt;0,COUNT($I254:$L254)&gt;0),"Con subactividades: deje vacías las semanas (se calculan solas)"&amp;" · ","")&amp;IF((COUNTIF($I254:$L254,"&gt;1")+COUNTIF($I254:$L254,"&lt;0")+COUNTA($I254:$L254)-COUNT($I254:$L254))&gt;0,"Avance fuera de rango 0-100%"&amp;" · ","")&amp;IF(OR(AND($J254&lt;&gt;"",$J254&lt;$I254),AND($K254&lt;&gt;"",$K254&lt;MAX($I254:$J254)),AND($L254&lt;&gt;"",$L254&lt;MAX($I254:$K254))),"Avance semanal decreciente"&amp;" · ","")&amp;IF(AND(ISNUMBER($AN254),$AN254&lt;FechaRef,IF($V254="Sub",N($X254),N($M254))&lt;1),"Vencida"&amp;" · ","")&amp;IF(AND(ObsObligatoria="Sí",ISNUMBER($AN254),$AN254&lt;FechaRef,IF($V254="Sub",N($X254),N($M254))&lt;1,$Q254=""),"Vencida sin observación"&amp;" · ",""))="","✔ OK","⚠ "&amp;LEFT(IF($C254="","Falta el nombre de la actividad"&amp;" · ","")&amp;IF(AND($V254="Sub",N($U254)=0),"Subactividad sin macroactividad arriba"&amp;" · ","")&amp;IF($AM254="","Sin fecha de inicio"&amp;" · ","")&amp;IF($AN254="","Sin fecha límite"&amp;" · ","")&amp;IF(AND(LEFT($C254,11)="[Jefatura] ",N($AL254)=0),"No se encuentra en la hoja de la jefatura (elíjala de nuevo en la lista)"&amp;" · ","")&amp;IF(OR(AND($E254&lt;&gt;"",NOT(ISNUMBER($E254))),AND($F254&lt;&gt;"",NOT(ISNUMBER($F254))),AND($G254&lt;&gt;"",NOT(ISNUMBER($G254)))),"Fecha no válida"&amp;" · ","")&amp;IF(AND(ISNUMBER($AM254),ISNUMBER($AN254),$AM254&gt;$AN254),"Inicio posterior a fecha límite"&amp;" · ","")&amp;IF(AND($V254="Macro",$H254&lt;&gt;"",OR(NOT(ISNUMBER($H254)),$H254&lt;0,$H254&gt;1)),"Peso fuera de rango"&amp;" · ","")&amp;IF(AND($V254="Sub",$H254&lt;&gt;""),"Las subactividades no llevan peso (valen igual dentro de su macroactividad)"&amp;" · ","")&amp;IF(AND(N($W254)&gt;0,COUNT($I254:$L254)&gt;0),"Con subactividades: deje vacías las semanas (se calculan solas)"&amp;" · ","")&amp;IF((COUNTIF($I254:$L254,"&gt;1")+COUNTIF($I254:$L254,"&lt;0")+COUNTA($I254:$L254)-COUNT($I254:$L254))&gt;0,"Avance fuera de rango 0-100%"&amp;" · ","")&amp;IF(OR(AND($J254&lt;&gt;"",$J254&lt;$I254),AND($K254&lt;&gt;"",$K254&lt;MAX($I254:$J254)),AND($L254&lt;&gt;"",$L254&lt;MAX($I254:$K254))),"Avance semanal decreciente"&amp;" · ","")&amp;IF(AND(ISNUMBER($AN254),$AN254&lt;FechaRef,IF($V254="Sub",N($X254),N($M254))&lt;1),"Vencida"&amp;" · ","")&amp;IF(AND(ObsObligatoria="Sí",ISNUMBER($AN254),$AN254&lt;FechaRef,IF($V254="Sub",N($X254),N($M254))&lt;1,$Q254=""),"Vencida sin observación"&amp;" · ",""),LEN(IF($C254="","Falta el nombre de la actividad"&amp;" · ","")&amp;IF(AND($V254="Sub",N($U254)=0),"Subactividad sin macroactividad arriba"&amp;" · ","")&amp;IF($AM254="","Sin fecha de inicio"&amp;" · ","")&amp;IF($AN254="","Sin fecha límite"&amp;" · ","")&amp;IF(AND(LEFT($C254,11)="[Jefatura] ",N($AL254)=0),"No se encuentra en la hoja de la jefatura (elíjala de nuevo en la lista)"&amp;" · ","")&amp;IF(OR(AND($E254&lt;&gt;"",NOT(ISNUMBER($E254))),AND($F254&lt;&gt;"",NOT(ISNUMBER($F254))),AND($G254&lt;&gt;"",NOT(ISNUMBER($G254)))),"Fecha no válida"&amp;" · ","")&amp;IF(AND(ISNUMBER($AM254),ISNUMBER($AN254),$AM254&gt;$AN254),"Inicio posterior a fecha límite"&amp;" · ","")&amp;IF(AND($V254="Macro",$H254&lt;&gt;"",OR(NOT(ISNUMBER($H254)),$H254&lt;0,$H254&gt;1)),"Peso fuera de rango"&amp;" · ","")&amp;IF(AND($V254="Sub",$H254&lt;&gt;""),"Las subactividades no llevan peso (valen igual dentro de su macroactividad)"&amp;" · ","")&amp;IF(AND(N($W254)&gt;0,COUNT($I254:$L254)&gt;0),"Con subactividades: deje vacías las semanas (se calculan solas)"&amp;" · ","")&amp;IF((COUNTIF($I254:$L254,"&gt;1")+COUNTIF($I254:$L254,"&lt;0")+COUNTA($I254:$L254)-COUNT($I254:$L254))&gt;0,"Avance fuera de rango 0-100%"&amp;" · ","")&amp;IF(OR(AND($J254&lt;&gt;"",$J254&lt;$I254),AND($K254&lt;&gt;"",$K254&lt;MAX($I254:$J254)),AND($L254&lt;&gt;"",$L254&lt;MAX($I254:$K254))),"Avance semanal decreciente"&amp;" · ","")&amp;IF(AND(ISNUMBER($AN254),$AN254&lt;FechaRef,IF($V254="Sub",N($X254),N($M254))&lt;1),"Vencida"&amp;" · ","")&amp;IF(AND(ObsObligatoria="Sí",ISNUMBER($AN254),$AN254&lt;FechaRef,IF($V254="Sub",N($X254),N($M254))&lt;1,$Q254=""),"Vencida sin observación"&amp;" · ",""))-3)))</f>
        <v/>
      </c>
      <c r="S254" s="64">
        <f>IF(NOT((COUNTA($B254:$D254)+COUNTA($G254:$L254)+COUNTA($Q254))&gt;0),"",IF(AND($V254="Sub",N($U254)&gt;0),IF(ISNUMBER(INDEX($AM$5:$AM$1000,$U254-4)),DATE(YEAR(INDEX($AM$5:$AM$1000,$U254-4)),MONTH(INDEX($AM$5:$AM$1000,$U254-4)),1),IF(ISNUMBER(INDEX($AN$5:$AN$1000,$U254-4)),DATE(YEAR(INDEX($AN$5:$AN$1000,$U254-4)),MONTH(INDEX($AN$5:$AN$1000,$U254-4)),1),MesCiclo)),IF(ISNUMBER($AM254),DATE(YEAR($AM254),MONTH($AM254),1),IF(ISNUMBER($AN254),DATE(YEAR($AN254),MONTH($AN254),1),MesCiclo))))</f>
        <v/>
      </c>
      <c r="T254" s="62">
        <f>IF(OR($S254="",$S254&lt;&gt;MesCiclo,$V254&lt;&gt;"Macro"),"",COUNTIFS($S$5:$S254,MesCiclo,$V$5:$V254,"Macro"))</f>
        <v/>
      </c>
      <c r="U254" s="62">
        <f>IF($V254="","",IF($V254="Macro",ROW(),IFERROR(LOOKUP(2,1/($V$5:$V254="Macro"),ROW($V$5:$V254)),0)))</f>
        <v/>
      </c>
      <c r="V254" s="62">
        <f>IF(NOT((COUNTA($B254:$D254)+COUNTA($G254:$L254)+COUNTA($Q254))&gt;0),"",IF($B254="Subactividad","Sub","Macro"))</f>
        <v/>
      </c>
      <c r="W254" s="62">
        <f>IF($V254="Macro",COUNTIFS($U$5:$U$1000,ROW(),$V$5:$V$1000,"Sub"),"")</f>
        <v/>
      </c>
      <c r="X254" s="62">
        <f>IF($V254="","",IF(ISNUMBER($G254),1,IFERROR(LOOKUP(2,1/($I254:$L254&lt;&gt;""),$I254:$L254),0)))</f>
        <v/>
      </c>
      <c r="Y254" s="62">
        <f>IF($V254="","",IF(AND(ISNUMBER($G254),$G254&lt;=IF($S254=MesCiclo,InicioCiclo,$S254+MOD(2-WEEKDAY($S254),7))+6),1,IF(ISNUMBER($I254),$I254,0)))</f>
        <v/>
      </c>
      <c r="Z254" s="62">
        <f>IF($V254="","",IF(AND(ISNUMBER($G254),$G254&lt;=IF($S254=MesCiclo,InicioCiclo,$S254+MOD(2-WEEKDAY($S254),7))+13),1,IF(ISNUMBER($J254),$J254,$Y254)))</f>
        <v/>
      </c>
      <c r="AA254" s="62">
        <f>IF($V254="","",IF(AND(ISNUMBER($G254),$G254&lt;=IF($S254=MesCiclo,InicioCiclo,$S254+MOD(2-WEEKDAY($S254),7))+20),1,IF(ISNUMBER($K254),$K254,$Z254)))</f>
        <v/>
      </c>
      <c r="AB254" s="62">
        <f>IF($V254="","",IF(AND(ISNUMBER($G254),$G254&lt;=IF($S254=MesCiclo,InicioCiclo,$S254+MOD(2-WEEKDAY($S254),7))+27),1,IF(ISNUMBER($L254),$L254,$AA254)))</f>
        <v/>
      </c>
      <c r="AC254" s="62">
        <f>IF($V254="","",IF(AND(ISNUMBER($G254),$G254&lt;=IF($S254=MesCiclo,InicioCiclo,$S254+MOD(2-WEEKDAY($S254),7))+6),1,IF(N($W254)&gt;0,AVERAGEIFS($Y$5:$Y$1000,$U$5:$U$1000,ROW(),$V$5:$V$1000,"Sub"),$Y254)))</f>
        <v/>
      </c>
      <c r="AD254" s="62">
        <f>IF($V254="","",IF(AND(ISNUMBER($G254),$G254&lt;=IF($S254=MesCiclo,InicioCiclo,$S254+MOD(2-WEEKDAY($S254),7))+13),1,IF(N($W254)&gt;0,AVERAGEIFS($Z$5:$Z$1000,$U$5:$U$1000,ROW(),$V$5:$V$1000,"Sub"),$Z254)))</f>
        <v/>
      </c>
      <c r="AE254" s="62">
        <f>IF($V254="","",IF(AND(ISNUMBER($G254),$G254&lt;=IF($S254=MesCiclo,InicioCiclo,$S254+MOD(2-WEEKDAY($S254),7))+20),1,IF(N($W254)&gt;0,AVERAGEIFS($AA$5:$AA$1000,$U$5:$U$1000,ROW(),$V$5:$V$1000,"Sub"),$AA254)))</f>
        <v/>
      </c>
      <c r="AF254" s="62">
        <f>IF($V254="","",IF(AND(ISNUMBER($G254),$G254&lt;=IF($S254=MesCiclo,InicioCiclo,$S254+MOD(2-WEEKDAY($S254),7))+27),1,IF(N($W254)&gt;0,AVERAGEIFS($AB$5:$AB$1000,$U$5:$U$1000,ROW(),$V$5:$V$1000,"Sub"),$AB254)))</f>
        <v/>
      </c>
      <c r="AG254" s="62">
        <f>IF($V254&lt;&gt;"Macro","",IF(COUNTIFS($S$5:$S$1000,$S254,$V$5:$V$1000,"Macro",$H$5:$H$1000,"&gt;0")=0,1/COUNTIFS($S$5:$S$1000,$S254,$V$5:$V$1000,"Macro"),IF(AND(ISNUMBER($H254),N($H254)&gt;0),$H254,SUMIFS($H$5:$H$1000,$S$5:$S$1000,$S254,$V$5:$V$1000,"Macro")/COUNTIFS($S$5:$S$1000,$S254,$V$5:$V$1000,"Macro",$H$5:$H$1000,"&gt;0"))/(COUNTIFS($S$5:$S$1000,$S254,$V$5:$V$1000,"Macro")*SUMIFS($H$5:$H$1000,$S$5:$S$1000,$S254,$V$5:$V$1000,"Macro")/COUNTIFS($S$5:$S$1000,$S254,$V$5:$V$1000,"Macro",$H$5:$H$1000,"&gt;0"))))</f>
        <v/>
      </c>
      <c r="AH254" s="62" t="n"/>
      <c r="AI254" s="62" t="n"/>
      <c r="AJ254" s="62" t="n"/>
      <c r="AK254" s="62" t="n"/>
      <c r="AL254" s="62">
        <f>IF(LEFT($C254,11)="[Jefatura] ",IFERROR(MATCH("Asistente Técnico de Riesgo|"&amp;MID($C254,12,500),rDname_ADM,0),0),"")</f>
        <v/>
      </c>
      <c r="AM254" s="62">
        <f>IF(N($AL254)&gt;0,INDEX(rIni_ADM,$AL254),IF(ISNUMBER($E254),$E254,""))</f>
        <v/>
      </c>
      <c r="AN254" s="62">
        <f>IF(N($AL254)&gt;0,INDEX(rLim_ADM,$AL254),IF(ISNUMBER($F254),$F254,""))</f>
        <v/>
      </c>
    </row>
    <row r="255">
      <c r="A255" s="56">
        <f>IF(NOT((COUNTA($B255:$D255)+COUNTA($G255:$L255)+COUNTA($Q255))&gt;0),"",IF($V255="Macro",COUNTIFS($V$5:$V255,"Macro",$S$5:$S255,$S255),IF(N($U255)=0,"?",COUNTIFS(INDEX($V$5:$V$1000,1):INDEX($V$5:$V$1000,$U255-4),"Macro",INDEX($S$5:$S$1000,1):INDEX($S$5:$S$1000,$U255-4),INDEX($S$5:$S$1000,$U255-4))&amp;"."&amp;COUNTIFS($U$5:$U255,$U255,$V$5:$V255,"Sub"))))</f>
        <v/>
      </c>
      <c r="B255" s="57" t="n"/>
      <c r="C255" s="58" t="n"/>
      <c r="D255" s="58" t="n"/>
      <c r="E255" s="59">
        <f>IF(N($AL255)&gt;0,INDEX(rIni_ADM,$AL255),"")</f>
        <v/>
      </c>
      <c r="F255" s="59">
        <f>IF(N($AL255)&gt;0,INDEX(rLim_ADM,$AL255),"")</f>
        <v/>
      </c>
      <c r="G255" s="59" t="n"/>
      <c r="H255" s="60" t="n"/>
      <c r="I255" s="60" t="n"/>
      <c r="J255" s="60" t="n"/>
      <c r="K255" s="60" t="n"/>
      <c r="L255" s="60" t="n"/>
      <c r="M255" s="61">
        <f>IF(NOT((COUNTA($B255:$D255)+COUNTA($G255:$L255)+COUNTA($Q255))&gt;0),"",IF($V255="Sub",IFERROR($X255/INDEX($W$5:$W$1000,$U255-4),""),IF(ISNUMBER($G255),1,IF(N($W255)&gt;0,AVERAGEIFS($X$5:$X$1000,$U$5:$U$1000,ROW(),$V$5:$V$1000,"Sub"),$X255))))</f>
        <v/>
      </c>
      <c r="N255" s="56">
        <f>IF(OR($M255="",$V255="Sub"),"",IF($M255&gt;=1,"Completado",IF($M255&gt;0,"En curso","Pendiente")))</f>
        <v/>
      </c>
      <c r="O255" s="56">
        <f>IF(OR(NOT((COUNTA($B255:$D255)+COUNTA($G255:$L255)+COUNTA($Q255))&gt;0),$V255="Sub"),"",IF(ISNUMBER($G255),IF(AND(ISNUMBER($AN255),$G255&gt;$AN255),"Cumplida con "&amp;($G255-$AN255)&amp;IF($G255-$AN255=1," día"," días")&amp;" de retraso","Cumplida"),IF(N($M255)&gt;=1,"Cumplida",IF(NOT(ISNUMBER($AN255)),"Sin fecha límite",IF($AN255&lt;FechaRef,"Vencida hace "&amp;(FechaRef-$AN255)&amp;IF(FechaRef-$AN255=1," día"," días"),IF($AN255=FechaRef,"Vence hoy",IF($AN255-FechaRef&lt;=DiasAlerta,"Vence en "&amp;($AN255-FechaRef)&amp;IF($AN255-FechaRef=1," día"," días"),"En plazo")))))))</f>
        <v/>
      </c>
      <c r="P255" s="62" t="n"/>
      <c r="Q255" s="58" t="n"/>
      <c r="R255" s="63">
        <f>IF(NOT((COUNTA($B255:$D255)+COUNTA($G255:$L255)+COUNTA($Q255))&gt;0),"",IF((IF($C255="","Falta el nombre de la actividad"&amp;" · ","")&amp;IF(AND($V255="Sub",N($U255)=0),"Subactividad sin macroactividad arriba"&amp;" · ","")&amp;IF($AM255="","Sin fecha de inicio"&amp;" · ","")&amp;IF($AN255="","Sin fecha límite"&amp;" · ","")&amp;IF(AND(LEFT($C255,11)="[Jefatura] ",N($AL255)=0),"No se encuentra en la hoja de la jefatura (elíjala de nuevo en la lista)"&amp;" · ","")&amp;IF(OR(AND($E255&lt;&gt;"",NOT(ISNUMBER($E255))),AND($F255&lt;&gt;"",NOT(ISNUMBER($F255))),AND($G255&lt;&gt;"",NOT(ISNUMBER($G255)))),"Fecha no válida"&amp;" · ","")&amp;IF(AND(ISNUMBER($AM255),ISNUMBER($AN255),$AM255&gt;$AN255),"Inicio posterior a fecha límite"&amp;" · ","")&amp;IF(AND($V255="Macro",$H255&lt;&gt;"",OR(NOT(ISNUMBER($H255)),$H255&lt;0,$H255&gt;1)),"Peso fuera de rango"&amp;" · ","")&amp;IF(AND($V255="Sub",$H255&lt;&gt;""),"Las subactividades no llevan peso (valen igual dentro de su macroactividad)"&amp;" · ","")&amp;IF(AND(N($W255)&gt;0,COUNT($I255:$L255)&gt;0),"Con subactividades: deje vacías las semanas (se calculan solas)"&amp;" · ","")&amp;IF((COUNTIF($I255:$L255,"&gt;1")+COUNTIF($I255:$L255,"&lt;0")+COUNTA($I255:$L255)-COUNT($I255:$L255))&gt;0,"Avance fuera de rango 0-100%"&amp;" · ","")&amp;IF(OR(AND($J255&lt;&gt;"",$J255&lt;$I255),AND($K255&lt;&gt;"",$K255&lt;MAX($I255:$J255)),AND($L255&lt;&gt;"",$L255&lt;MAX($I255:$K255))),"Avance semanal decreciente"&amp;" · ","")&amp;IF(AND(ISNUMBER($AN255),$AN255&lt;FechaRef,IF($V255="Sub",N($X255),N($M255))&lt;1),"Vencida"&amp;" · ","")&amp;IF(AND(ObsObligatoria="Sí",ISNUMBER($AN255),$AN255&lt;FechaRef,IF($V255="Sub",N($X255),N($M255))&lt;1,$Q255=""),"Vencida sin observación"&amp;" · ",""))="","✔ OK","⚠ "&amp;LEFT(IF($C255="","Falta el nombre de la actividad"&amp;" · ","")&amp;IF(AND($V255="Sub",N($U255)=0),"Subactividad sin macroactividad arriba"&amp;" · ","")&amp;IF($AM255="","Sin fecha de inicio"&amp;" · ","")&amp;IF($AN255="","Sin fecha límite"&amp;" · ","")&amp;IF(AND(LEFT($C255,11)="[Jefatura] ",N($AL255)=0),"No se encuentra en la hoja de la jefatura (elíjala de nuevo en la lista)"&amp;" · ","")&amp;IF(OR(AND($E255&lt;&gt;"",NOT(ISNUMBER($E255))),AND($F255&lt;&gt;"",NOT(ISNUMBER($F255))),AND($G255&lt;&gt;"",NOT(ISNUMBER($G255)))),"Fecha no válida"&amp;" · ","")&amp;IF(AND(ISNUMBER($AM255),ISNUMBER($AN255),$AM255&gt;$AN255),"Inicio posterior a fecha límite"&amp;" · ","")&amp;IF(AND($V255="Macro",$H255&lt;&gt;"",OR(NOT(ISNUMBER($H255)),$H255&lt;0,$H255&gt;1)),"Peso fuera de rango"&amp;" · ","")&amp;IF(AND($V255="Sub",$H255&lt;&gt;""),"Las subactividades no llevan peso (valen igual dentro de su macroactividad)"&amp;" · ","")&amp;IF(AND(N($W255)&gt;0,COUNT($I255:$L255)&gt;0),"Con subactividades: deje vacías las semanas (se calculan solas)"&amp;" · ","")&amp;IF((COUNTIF($I255:$L255,"&gt;1")+COUNTIF($I255:$L255,"&lt;0")+COUNTA($I255:$L255)-COUNT($I255:$L255))&gt;0,"Avance fuera de rango 0-100%"&amp;" · ","")&amp;IF(OR(AND($J255&lt;&gt;"",$J255&lt;$I255),AND($K255&lt;&gt;"",$K255&lt;MAX($I255:$J255)),AND($L255&lt;&gt;"",$L255&lt;MAX($I255:$K255))),"Avance semanal decreciente"&amp;" · ","")&amp;IF(AND(ISNUMBER($AN255),$AN255&lt;FechaRef,IF($V255="Sub",N($X255),N($M255))&lt;1),"Vencida"&amp;" · ","")&amp;IF(AND(ObsObligatoria="Sí",ISNUMBER($AN255),$AN255&lt;FechaRef,IF($V255="Sub",N($X255),N($M255))&lt;1,$Q255=""),"Vencida sin observación"&amp;" · ",""),LEN(IF($C255="","Falta el nombre de la actividad"&amp;" · ","")&amp;IF(AND($V255="Sub",N($U255)=0),"Subactividad sin macroactividad arriba"&amp;" · ","")&amp;IF($AM255="","Sin fecha de inicio"&amp;" · ","")&amp;IF($AN255="","Sin fecha límite"&amp;" · ","")&amp;IF(AND(LEFT($C255,11)="[Jefatura] ",N($AL255)=0),"No se encuentra en la hoja de la jefatura (elíjala de nuevo en la lista)"&amp;" · ","")&amp;IF(OR(AND($E255&lt;&gt;"",NOT(ISNUMBER($E255))),AND($F255&lt;&gt;"",NOT(ISNUMBER($F255))),AND($G255&lt;&gt;"",NOT(ISNUMBER($G255)))),"Fecha no válida"&amp;" · ","")&amp;IF(AND(ISNUMBER($AM255),ISNUMBER($AN255),$AM255&gt;$AN255),"Inicio posterior a fecha límite"&amp;" · ","")&amp;IF(AND($V255="Macro",$H255&lt;&gt;"",OR(NOT(ISNUMBER($H255)),$H255&lt;0,$H255&gt;1)),"Peso fuera de rango"&amp;" · ","")&amp;IF(AND($V255="Sub",$H255&lt;&gt;""),"Las subactividades no llevan peso (valen igual dentro de su macroactividad)"&amp;" · ","")&amp;IF(AND(N($W255)&gt;0,COUNT($I255:$L255)&gt;0),"Con subactividades: deje vacías las semanas (se calculan solas)"&amp;" · ","")&amp;IF((COUNTIF($I255:$L255,"&gt;1")+COUNTIF($I255:$L255,"&lt;0")+COUNTA($I255:$L255)-COUNT($I255:$L255))&gt;0,"Avance fuera de rango 0-100%"&amp;" · ","")&amp;IF(OR(AND($J255&lt;&gt;"",$J255&lt;$I255),AND($K255&lt;&gt;"",$K255&lt;MAX($I255:$J255)),AND($L255&lt;&gt;"",$L255&lt;MAX($I255:$K255))),"Avance semanal decreciente"&amp;" · ","")&amp;IF(AND(ISNUMBER($AN255),$AN255&lt;FechaRef,IF($V255="Sub",N($X255),N($M255))&lt;1),"Vencida"&amp;" · ","")&amp;IF(AND(ObsObligatoria="Sí",ISNUMBER($AN255),$AN255&lt;FechaRef,IF($V255="Sub",N($X255),N($M255))&lt;1,$Q255=""),"Vencida sin observación"&amp;" · ",""))-3)))</f>
        <v/>
      </c>
      <c r="S255" s="64">
        <f>IF(NOT((COUNTA($B255:$D255)+COUNTA($G255:$L255)+COUNTA($Q255))&gt;0),"",IF(AND($V255="Sub",N($U255)&gt;0),IF(ISNUMBER(INDEX($AM$5:$AM$1000,$U255-4)),DATE(YEAR(INDEX($AM$5:$AM$1000,$U255-4)),MONTH(INDEX($AM$5:$AM$1000,$U255-4)),1),IF(ISNUMBER(INDEX($AN$5:$AN$1000,$U255-4)),DATE(YEAR(INDEX($AN$5:$AN$1000,$U255-4)),MONTH(INDEX($AN$5:$AN$1000,$U255-4)),1),MesCiclo)),IF(ISNUMBER($AM255),DATE(YEAR($AM255),MONTH($AM255),1),IF(ISNUMBER($AN255),DATE(YEAR($AN255),MONTH($AN255),1),MesCiclo))))</f>
        <v/>
      </c>
      <c r="T255" s="62">
        <f>IF(OR($S255="",$S255&lt;&gt;MesCiclo,$V255&lt;&gt;"Macro"),"",COUNTIFS($S$5:$S255,MesCiclo,$V$5:$V255,"Macro"))</f>
        <v/>
      </c>
      <c r="U255" s="62">
        <f>IF($V255="","",IF($V255="Macro",ROW(),IFERROR(LOOKUP(2,1/($V$5:$V255="Macro"),ROW($V$5:$V255)),0)))</f>
        <v/>
      </c>
      <c r="V255" s="62">
        <f>IF(NOT((COUNTA($B255:$D255)+COUNTA($G255:$L255)+COUNTA($Q255))&gt;0),"",IF($B255="Subactividad","Sub","Macro"))</f>
        <v/>
      </c>
      <c r="W255" s="62">
        <f>IF($V255="Macro",COUNTIFS($U$5:$U$1000,ROW(),$V$5:$V$1000,"Sub"),"")</f>
        <v/>
      </c>
      <c r="X255" s="62">
        <f>IF($V255="","",IF(ISNUMBER($G255),1,IFERROR(LOOKUP(2,1/($I255:$L255&lt;&gt;""),$I255:$L255),0)))</f>
        <v/>
      </c>
      <c r="Y255" s="62">
        <f>IF($V255="","",IF(AND(ISNUMBER($G255),$G255&lt;=IF($S255=MesCiclo,InicioCiclo,$S255+MOD(2-WEEKDAY($S255),7))+6),1,IF(ISNUMBER($I255),$I255,0)))</f>
        <v/>
      </c>
      <c r="Z255" s="62">
        <f>IF($V255="","",IF(AND(ISNUMBER($G255),$G255&lt;=IF($S255=MesCiclo,InicioCiclo,$S255+MOD(2-WEEKDAY($S255),7))+13),1,IF(ISNUMBER($J255),$J255,$Y255)))</f>
        <v/>
      </c>
      <c r="AA255" s="62">
        <f>IF($V255="","",IF(AND(ISNUMBER($G255),$G255&lt;=IF($S255=MesCiclo,InicioCiclo,$S255+MOD(2-WEEKDAY($S255),7))+20),1,IF(ISNUMBER($K255),$K255,$Z255)))</f>
        <v/>
      </c>
      <c r="AB255" s="62">
        <f>IF($V255="","",IF(AND(ISNUMBER($G255),$G255&lt;=IF($S255=MesCiclo,InicioCiclo,$S255+MOD(2-WEEKDAY($S255),7))+27),1,IF(ISNUMBER($L255),$L255,$AA255)))</f>
        <v/>
      </c>
      <c r="AC255" s="62">
        <f>IF($V255="","",IF(AND(ISNUMBER($G255),$G255&lt;=IF($S255=MesCiclo,InicioCiclo,$S255+MOD(2-WEEKDAY($S255),7))+6),1,IF(N($W255)&gt;0,AVERAGEIFS($Y$5:$Y$1000,$U$5:$U$1000,ROW(),$V$5:$V$1000,"Sub"),$Y255)))</f>
        <v/>
      </c>
      <c r="AD255" s="62">
        <f>IF($V255="","",IF(AND(ISNUMBER($G255),$G255&lt;=IF($S255=MesCiclo,InicioCiclo,$S255+MOD(2-WEEKDAY($S255),7))+13),1,IF(N($W255)&gt;0,AVERAGEIFS($Z$5:$Z$1000,$U$5:$U$1000,ROW(),$V$5:$V$1000,"Sub"),$Z255)))</f>
        <v/>
      </c>
      <c r="AE255" s="62">
        <f>IF($V255="","",IF(AND(ISNUMBER($G255),$G255&lt;=IF($S255=MesCiclo,InicioCiclo,$S255+MOD(2-WEEKDAY($S255),7))+20),1,IF(N($W255)&gt;0,AVERAGEIFS($AA$5:$AA$1000,$U$5:$U$1000,ROW(),$V$5:$V$1000,"Sub"),$AA255)))</f>
        <v/>
      </c>
      <c r="AF255" s="62">
        <f>IF($V255="","",IF(AND(ISNUMBER($G255),$G255&lt;=IF($S255=MesCiclo,InicioCiclo,$S255+MOD(2-WEEKDAY($S255),7))+27),1,IF(N($W255)&gt;0,AVERAGEIFS($AB$5:$AB$1000,$U$5:$U$1000,ROW(),$V$5:$V$1000,"Sub"),$AB255)))</f>
        <v/>
      </c>
      <c r="AG255" s="62">
        <f>IF($V255&lt;&gt;"Macro","",IF(COUNTIFS($S$5:$S$1000,$S255,$V$5:$V$1000,"Macro",$H$5:$H$1000,"&gt;0")=0,1/COUNTIFS($S$5:$S$1000,$S255,$V$5:$V$1000,"Macro"),IF(AND(ISNUMBER($H255),N($H255)&gt;0),$H255,SUMIFS($H$5:$H$1000,$S$5:$S$1000,$S255,$V$5:$V$1000,"Macro")/COUNTIFS($S$5:$S$1000,$S255,$V$5:$V$1000,"Macro",$H$5:$H$1000,"&gt;0"))/(COUNTIFS($S$5:$S$1000,$S255,$V$5:$V$1000,"Macro")*SUMIFS($H$5:$H$1000,$S$5:$S$1000,$S255,$V$5:$V$1000,"Macro")/COUNTIFS($S$5:$S$1000,$S255,$V$5:$V$1000,"Macro",$H$5:$H$1000,"&gt;0"))))</f>
        <v/>
      </c>
      <c r="AH255" s="62" t="n"/>
      <c r="AI255" s="62" t="n"/>
      <c r="AJ255" s="62" t="n"/>
      <c r="AK255" s="62" t="n"/>
      <c r="AL255" s="62">
        <f>IF(LEFT($C255,11)="[Jefatura] ",IFERROR(MATCH("Asistente Técnico de Riesgo|"&amp;MID($C255,12,500),rDname_ADM,0),0),"")</f>
        <v/>
      </c>
      <c r="AM255" s="62">
        <f>IF(N($AL255)&gt;0,INDEX(rIni_ADM,$AL255),IF(ISNUMBER($E255),$E255,""))</f>
        <v/>
      </c>
      <c r="AN255" s="62">
        <f>IF(N($AL255)&gt;0,INDEX(rLim_ADM,$AL255),IF(ISNUMBER($F255),$F255,""))</f>
        <v/>
      </c>
    </row>
    <row r="256">
      <c r="A256" s="56">
        <f>IF(NOT((COUNTA($B256:$D256)+COUNTA($G256:$L256)+COUNTA($Q256))&gt;0),"",IF($V256="Macro",COUNTIFS($V$5:$V256,"Macro",$S$5:$S256,$S256),IF(N($U256)=0,"?",COUNTIFS(INDEX($V$5:$V$1000,1):INDEX($V$5:$V$1000,$U256-4),"Macro",INDEX($S$5:$S$1000,1):INDEX($S$5:$S$1000,$U256-4),INDEX($S$5:$S$1000,$U256-4))&amp;"."&amp;COUNTIFS($U$5:$U256,$U256,$V$5:$V256,"Sub"))))</f>
        <v/>
      </c>
      <c r="B256" s="57" t="n"/>
      <c r="C256" s="58" t="n"/>
      <c r="D256" s="58" t="n"/>
      <c r="E256" s="59">
        <f>IF(N($AL256)&gt;0,INDEX(rIni_ADM,$AL256),"")</f>
        <v/>
      </c>
      <c r="F256" s="59">
        <f>IF(N($AL256)&gt;0,INDEX(rLim_ADM,$AL256),"")</f>
        <v/>
      </c>
      <c r="G256" s="59" t="n"/>
      <c r="H256" s="60" t="n"/>
      <c r="I256" s="60" t="n"/>
      <c r="J256" s="60" t="n"/>
      <c r="K256" s="60" t="n"/>
      <c r="L256" s="60" t="n"/>
      <c r="M256" s="61">
        <f>IF(NOT((COUNTA($B256:$D256)+COUNTA($G256:$L256)+COUNTA($Q256))&gt;0),"",IF($V256="Sub",IFERROR($X256/INDEX($W$5:$W$1000,$U256-4),""),IF(ISNUMBER($G256),1,IF(N($W256)&gt;0,AVERAGEIFS($X$5:$X$1000,$U$5:$U$1000,ROW(),$V$5:$V$1000,"Sub"),$X256))))</f>
        <v/>
      </c>
      <c r="N256" s="56">
        <f>IF(OR($M256="",$V256="Sub"),"",IF($M256&gt;=1,"Completado",IF($M256&gt;0,"En curso","Pendiente")))</f>
        <v/>
      </c>
      <c r="O256" s="56">
        <f>IF(OR(NOT((COUNTA($B256:$D256)+COUNTA($G256:$L256)+COUNTA($Q256))&gt;0),$V256="Sub"),"",IF(ISNUMBER($G256),IF(AND(ISNUMBER($AN256),$G256&gt;$AN256),"Cumplida con "&amp;($G256-$AN256)&amp;IF($G256-$AN256=1," día"," días")&amp;" de retraso","Cumplida"),IF(N($M256)&gt;=1,"Cumplida",IF(NOT(ISNUMBER($AN256)),"Sin fecha límite",IF($AN256&lt;FechaRef,"Vencida hace "&amp;(FechaRef-$AN256)&amp;IF(FechaRef-$AN256=1," día"," días"),IF($AN256=FechaRef,"Vence hoy",IF($AN256-FechaRef&lt;=DiasAlerta,"Vence en "&amp;($AN256-FechaRef)&amp;IF($AN256-FechaRef=1," día"," días"),"En plazo")))))))</f>
        <v/>
      </c>
      <c r="P256" s="62" t="n"/>
      <c r="Q256" s="58" t="n"/>
      <c r="R256" s="63">
        <f>IF(NOT((COUNTA($B256:$D256)+COUNTA($G256:$L256)+COUNTA($Q256))&gt;0),"",IF((IF($C256="","Falta el nombre de la actividad"&amp;" · ","")&amp;IF(AND($V256="Sub",N($U256)=0),"Subactividad sin macroactividad arriba"&amp;" · ","")&amp;IF($AM256="","Sin fecha de inicio"&amp;" · ","")&amp;IF($AN256="","Sin fecha límite"&amp;" · ","")&amp;IF(AND(LEFT($C256,11)="[Jefatura] ",N($AL256)=0),"No se encuentra en la hoja de la jefatura (elíjala de nuevo en la lista)"&amp;" · ","")&amp;IF(OR(AND($E256&lt;&gt;"",NOT(ISNUMBER($E256))),AND($F256&lt;&gt;"",NOT(ISNUMBER($F256))),AND($G256&lt;&gt;"",NOT(ISNUMBER($G256)))),"Fecha no válida"&amp;" · ","")&amp;IF(AND(ISNUMBER($AM256),ISNUMBER($AN256),$AM256&gt;$AN256),"Inicio posterior a fecha límite"&amp;" · ","")&amp;IF(AND($V256="Macro",$H256&lt;&gt;"",OR(NOT(ISNUMBER($H256)),$H256&lt;0,$H256&gt;1)),"Peso fuera de rango"&amp;" · ","")&amp;IF(AND($V256="Sub",$H256&lt;&gt;""),"Las subactividades no llevan peso (valen igual dentro de su macroactividad)"&amp;" · ","")&amp;IF(AND(N($W256)&gt;0,COUNT($I256:$L256)&gt;0),"Con subactividades: deje vacías las semanas (se calculan solas)"&amp;" · ","")&amp;IF((COUNTIF($I256:$L256,"&gt;1")+COUNTIF($I256:$L256,"&lt;0")+COUNTA($I256:$L256)-COUNT($I256:$L256))&gt;0,"Avance fuera de rango 0-100%"&amp;" · ","")&amp;IF(OR(AND($J256&lt;&gt;"",$J256&lt;$I256),AND($K256&lt;&gt;"",$K256&lt;MAX($I256:$J256)),AND($L256&lt;&gt;"",$L256&lt;MAX($I256:$K256))),"Avance semanal decreciente"&amp;" · ","")&amp;IF(AND(ISNUMBER($AN256),$AN256&lt;FechaRef,IF($V256="Sub",N($X256),N($M256))&lt;1),"Vencida"&amp;" · ","")&amp;IF(AND(ObsObligatoria="Sí",ISNUMBER($AN256),$AN256&lt;FechaRef,IF($V256="Sub",N($X256),N($M256))&lt;1,$Q256=""),"Vencida sin observación"&amp;" · ",""))="","✔ OK","⚠ "&amp;LEFT(IF($C256="","Falta el nombre de la actividad"&amp;" · ","")&amp;IF(AND($V256="Sub",N($U256)=0),"Subactividad sin macroactividad arriba"&amp;" · ","")&amp;IF($AM256="","Sin fecha de inicio"&amp;" · ","")&amp;IF($AN256="","Sin fecha límite"&amp;" · ","")&amp;IF(AND(LEFT($C256,11)="[Jefatura] ",N($AL256)=0),"No se encuentra en la hoja de la jefatura (elíjala de nuevo en la lista)"&amp;" · ","")&amp;IF(OR(AND($E256&lt;&gt;"",NOT(ISNUMBER($E256))),AND($F256&lt;&gt;"",NOT(ISNUMBER($F256))),AND($G256&lt;&gt;"",NOT(ISNUMBER($G256)))),"Fecha no válida"&amp;" · ","")&amp;IF(AND(ISNUMBER($AM256),ISNUMBER($AN256),$AM256&gt;$AN256),"Inicio posterior a fecha límite"&amp;" · ","")&amp;IF(AND($V256="Macro",$H256&lt;&gt;"",OR(NOT(ISNUMBER($H256)),$H256&lt;0,$H256&gt;1)),"Peso fuera de rango"&amp;" · ","")&amp;IF(AND($V256="Sub",$H256&lt;&gt;""),"Las subactividades no llevan peso (valen igual dentro de su macroactividad)"&amp;" · ","")&amp;IF(AND(N($W256)&gt;0,COUNT($I256:$L256)&gt;0),"Con subactividades: deje vacías las semanas (se calculan solas)"&amp;" · ","")&amp;IF((COUNTIF($I256:$L256,"&gt;1")+COUNTIF($I256:$L256,"&lt;0")+COUNTA($I256:$L256)-COUNT($I256:$L256))&gt;0,"Avance fuera de rango 0-100%"&amp;" · ","")&amp;IF(OR(AND($J256&lt;&gt;"",$J256&lt;$I256),AND($K256&lt;&gt;"",$K256&lt;MAX($I256:$J256)),AND($L256&lt;&gt;"",$L256&lt;MAX($I256:$K256))),"Avance semanal decreciente"&amp;" · ","")&amp;IF(AND(ISNUMBER($AN256),$AN256&lt;FechaRef,IF($V256="Sub",N($X256),N($M256))&lt;1),"Vencida"&amp;" · ","")&amp;IF(AND(ObsObligatoria="Sí",ISNUMBER($AN256),$AN256&lt;FechaRef,IF($V256="Sub",N($X256),N($M256))&lt;1,$Q256=""),"Vencida sin observación"&amp;" · ",""),LEN(IF($C256="","Falta el nombre de la actividad"&amp;" · ","")&amp;IF(AND($V256="Sub",N($U256)=0),"Subactividad sin macroactividad arriba"&amp;" · ","")&amp;IF($AM256="","Sin fecha de inicio"&amp;" · ","")&amp;IF($AN256="","Sin fecha límite"&amp;" · ","")&amp;IF(AND(LEFT($C256,11)="[Jefatura] ",N($AL256)=0),"No se encuentra en la hoja de la jefatura (elíjala de nuevo en la lista)"&amp;" · ","")&amp;IF(OR(AND($E256&lt;&gt;"",NOT(ISNUMBER($E256))),AND($F256&lt;&gt;"",NOT(ISNUMBER($F256))),AND($G256&lt;&gt;"",NOT(ISNUMBER($G256)))),"Fecha no válida"&amp;" · ","")&amp;IF(AND(ISNUMBER($AM256),ISNUMBER($AN256),$AM256&gt;$AN256),"Inicio posterior a fecha límite"&amp;" · ","")&amp;IF(AND($V256="Macro",$H256&lt;&gt;"",OR(NOT(ISNUMBER($H256)),$H256&lt;0,$H256&gt;1)),"Peso fuera de rango"&amp;" · ","")&amp;IF(AND($V256="Sub",$H256&lt;&gt;""),"Las subactividades no llevan peso (valen igual dentro de su macroactividad)"&amp;" · ","")&amp;IF(AND(N($W256)&gt;0,COUNT($I256:$L256)&gt;0),"Con subactividades: deje vacías las semanas (se calculan solas)"&amp;" · ","")&amp;IF((COUNTIF($I256:$L256,"&gt;1")+COUNTIF($I256:$L256,"&lt;0")+COUNTA($I256:$L256)-COUNT($I256:$L256))&gt;0,"Avance fuera de rango 0-100%"&amp;" · ","")&amp;IF(OR(AND($J256&lt;&gt;"",$J256&lt;$I256),AND($K256&lt;&gt;"",$K256&lt;MAX($I256:$J256)),AND($L256&lt;&gt;"",$L256&lt;MAX($I256:$K256))),"Avance semanal decreciente"&amp;" · ","")&amp;IF(AND(ISNUMBER($AN256),$AN256&lt;FechaRef,IF($V256="Sub",N($X256),N($M256))&lt;1),"Vencida"&amp;" · ","")&amp;IF(AND(ObsObligatoria="Sí",ISNUMBER($AN256),$AN256&lt;FechaRef,IF($V256="Sub",N($X256),N($M256))&lt;1,$Q256=""),"Vencida sin observación"&amp;" · ",""))-3)))</f>
        <v/>
      </c>
      <c r="S256" s="64">
        <f>IF(NOT((COUNTA($B256:$D256)+COUNTA($G256:$L256)+COUNTA($Q256))&gt;0),"",IF(AND($V256="Sub",N($U256)&gt;0),IF(ISNUMBER(INDEX($AM$5:$AM$1000,$U256-4)),DATE(YEAR(INDEX($AM$5:$AM$1000,$U256-4)),MONTH(INDEX($AM$5:$AM$1000,$U256-4)),1),IF(ISNUMBER(INDEX($AN$5:$AN$1000,$U256-4)),DATE(YEAR(INDEX($AN$5:$AN$1000,$U256-4)),MONTH(INDEX($AN$5:$AN$1000,$U256-4)),1),MesCiclo)),IF(ISNUMBER($AM256),DATE(YEAR($AM256),MONTH($AM256),1),IF(ISNUMBER($AN256),DATE(YEAR($AN256),MONTH($AN256),1),MesCiclo))))</f>
        <v/>
      </c>
      <c r="T256" s="62">
        <f>IF(OR($S256="",$S256&lt;&gt;MesCiclo,$V256&lt;&gt;"Macro"),"",COUNTIFS($S$5:$S256,MesCiclo,$V$5:$V256,"Macro"))</f>
        <v/>
      </c>
      <c r="U256" s="62">
        <f>IF($V256="","",IF($V256="Macro",ROW(),IFERROR(LOOKUP(2,1/($V$5:$V256="Macro"),ROW($V$5:$V256)),0)))</f>
        <v/>
      </c>
      <c r="V256" s="62">
        <f>IF(NOT((COUNTA($B256:$D256)+COUNTA($G256:$L256)+COUNTA($Q256))&gt;0),"",IF($B256="Subactividad","Sub","Macro"))</f>
        <v/>
      </c>
      <c r="W256" s="62">
        <f>IF($V256="Macro",COUNTIFS($U$5:$U$1000,ROW(),$V$5:$V$1000,"Sub"),"")</f>
        <v/>
      </c>
      <c r="X256" s="62">
        <f>IF($V256="","",IF(ISNUMBER($G256),1,IFERROR(LOOKUP(2,1/($I256:$L256&lt;&gt;""),$I256:$L256),0)))</f>
        <v/>
      </c>
      <c r="Y256" s="62">
        <f>IF($V256="","",IF(AND(ISNUMBER($G256),$G256&lt;=IF($S256=MesCiclo,InicioCiclo,$S256+MOD(2-WEEKDAY($S256),7))+6),1,IF(ISNUMBER($I256),$I256,0)))</f>
        <v/>
      </c>
      <c r="Z256" s="62">
        <f>IF($V256="","",IF(AND(ISNUMBER($G256),$G256&lt;=IF($S256=MesCiclo,InicioCiclo,$S256+MOD(2-WEEKDAY($S256),7))+13),1,IF(ISNUMBER($J256),$J256,$Y256)))</f>
        <v/>
      </c>
      <c r="AA256" s="62">
        <f>IF($V256="","",IF(AND(ISNUMBER($G256),$G256&lt;=IF($S256=MesCiclo,InicioCiclo,$S256+MOD(2-WEEKDAY($S256),7))+20),1,IF(ISNUMBER($K256),$K256,$Z256)))</f>
        <v/>
      </c>
      <c r="AB256" s="62">
        <f>IF($V256="","",IF(AND(ISNUMBER($G256),$G256&lt;=IF($S256=MesCiclo,InicioCiclo,$S256+MOD(2-WEEKDAY($S256),7))+27),1,IF(ISNUMBER($L256),$L256,$AA256)))</f>
        <v/>
      </c>
      <c r="AC256" s="62">
        <f>IF($V256="","",IF(AND(ISNUMBER($G256),$G256&lt;=IF($S256=MesCiclo,InicioCiclo,$S256+MOD(2-WEEKDAY($S256),7))+6),1,IF(N($W256)&gt;0,AVERAGEIFS($Y$5:$Y$1000,$U$5:$U$1000,ROW(),$V$5:$V$1000,"Sub"),$Y256)))</f>
        <v/>
      </c>
      <c r="AD256" s="62">
        <f>IF($V256="","",IF(AND(ISNUMBER($G256),$G256&lt;=IF($S256=MesCiclo,InicioCiclo,$S256+MOD(2-WEEKDAY($S256),7))+13),1,IF(N($W256)&gt;0,AVERAGEIFS($Z$5:$Z$1000,$U$5:$U$1000,ROW(),$V$5:$V$1000,"Sub"),$Z256)))</f>
        <v/>
      </c>
      <c r="AE256" s="62">
        <f>IF($V256="","",IF(AND(ISNUMBER($G256),$G256&lt;=IF($S256=MesCiclo,InicioCiclo,$S256+MOD(2-WEEKDAY($S256),7))+20),1,IF(N($W256)&gt;0,AVERAGEIFS($AA$5:$AA$1000,$U$5:$U$1000,ROW(),$V$5:$V$1000,"Sub"),$AA256)))</f>
        <v/>
      </c>
      <c r="AF256" s="62">
        <f>IF($V256="","",IF(AND(ISNUMBER($G256),$G256&lt;=IF($S256=MesCiclo,InicioCiclo,$S256+MOD(2-WEEKDAY($S256),7))+27),1,IF(N($W256)&gt;0,AVERAGEIFS($AB$5:$AB$1000,$U$5:$U$1000,ROW(),$V$5:$V$1000,"Sub"),$AB256)))</f>
        <v/>
      </c>
      <c r="AG256" s="62">
        <f>IF($V256&lt;&gt;"Macro","",IF(COUNTIFS($S$5:$S$1000,$S256,$V$5:$V$1000,"Macro",$H$5:$H$1000,"&gt;0")=0,1/COUNTIFS($S$5:$S$1000,$S256,$V$5:$V$1000,"Macro"),IF(AND(ISNUMBER($H256),N($H256)&gt;0),$H256,SUMIFS($H$5:$H$1000,$S$5:$S$1000,$S256,$V$5:$V$1000,"Macro")/COUNTIFS($S$5:$S$1000,$S256,$V$5:$V$1000,"Macro",$H$5:$H$1000,"&gt;0"))/(COUNTIFS($S$5:$S$1000,$S256,$V$5:$V$1000,"Macro")*SUMIFS($H$5:$H$1000,$S$5:$S$1000,$S256,$V$5:$V$1000,"Macro")/COUNTIFS($S$5:$S$1000,$S256,$V$5:$V$1000,"Macro",$H$5:$H$1000,"&gt;0"))))</f>
        <v/>
      </c>
      <c r="AH256" s="62" t="n"/>
      <c r="AI256" s="62" t="n"/>
      <c r="AJ256" s="62" t="n"/>
      <c r="AK256" s="62" t="n"/>
      <c r="AL256" s="62">
        <f>IF(LEFT($C256,11)="[Jefatura] ",IFERROR(MATCH("Asistente Técnico de Riesgo|"&amp;MID($C256,12,500),rDname_ADM,0),0),"")</f>
        <v/>
      </c>
      <c r="AM256" s="62">
        <f>IF(N($AL256)&gt;0,INDEX(rIni_ADM,$AL256),IF(ISNUMBER($E256),$E256,""))</f>
        <v/>
      </c>
      <c r="AN256" s="62">
        <f>IF(N($AL256)&gt;0,INDEX(rLim_ADM,$AL256),IF(ISNUMBER($F256),$F256,""))</f>
        <v/>
      </c>
    </row>
    <row r="257">
      <c r="A257" s="56">
        <f>IF(NOT((COUNTA($B257:$D257)+COUNTA($G257:$L257)+COUNTA($Q257))&gt;0),"",IF($V257="Macro",COUNTIFS($V$5:$V257,"Macro",$S$5:$S257,$S257),IF(N($U257)=0,"?",COUNTIFS(INDEX($V$5:$V$1000,1):INDEX($V$5:$V$1000,$U257-4),"Macro",INDEX($S$5:$S$1000,1):INDEX($S$5:$S$1000,$U257-4),INDEX($S$5:$S$1000,$U257-4))&amp;"."&amp;COUNTIFS($U$5:$U257,$U257,$V$5:$V257,"Sub"))))</f>
        <v/>
      </c>
      <c r="B257" s="57" t="n"/>
      <c r="C257" s="58" t="n"/>
      <c r="D257" s="58" t="n"/>
      <c r="E257" s="59">
        <f>IF(N($AL257)&gt;0,INDEX(rIni_ADM,$AL257),"")</f>
        <v/>
      </c>
      <c r="F257" s="59">
        <f>IF(N($AL257)&gt;0,INDEX(rLim_ADM,$AL257),"")</f>
        <v/>
      </c>
      <c r="G257" s="59" t="n"/>
      <c r="H257" s="60" t="n"/>
      <c r="I257" s="60" t="n"/>
      <c r="J257" s="60" t="n"/>
      <c r="K257" s="60" t="n"/>
      <c r="L257" s="60" t="n"/>
      <c r="M257" s="61">
        <f>IF(NOT((COUNTA($B257:$D257)+COUNTA($G257:$L257)+COUNTA($Q257))&gt;0),"",IF($V257="Sub",IFERROR($X257/INDEX($W$5:$W$1000,$U257-4),""),IF(ISNUMBER($G257),1,IF(N($W257)&gt;0,AVERAGEIFS($X$5:$X$1000,$U$5:$U$1000,ROW(),$V$5:$V$1000,"Sub"),$X257))))</f>
        <v/>
      </c>
      <c r="N257" s="56">
        <f>IF(OR($M257="",$V257="Sub"),"",IF($M257&gt;=1,"Completado",IF($M257&gt;0,"En curso","Pendiente")))</f>
        <v/>
      </c>
      <c r="O257" s="56">
        <f>IF(OR(NOT((COUNTA($B257:$D257)+COUNTA($G257:$L257)+COUNTA($Q257))&gt;0),$V257="Sub"),"",IF(ISNUMBER($G257),IF(AND(ISNUMBER($AN257),$G257&gt;$AN257),"Cumplida con "&amp;($G257-$AN257)&amp;IF($G257-$AN257=1," día"," días")&amp;" de retraso","Cumplida"),IF(N($M257)&gt;=1,"Cumplida",IF(NOT(ISNUMBER($AN257)),"Sin fecha límite",IF($AN257&lt;FechaRef,"Vencida hace "&amp;(FechaRef-$AN257)&amp;IF(FechaRef-$AN257=1," día"," días"),IF($AN257=FechaRef,"Vence hoy",IF($AN257-FechaRef&lt;=DiasAlerta,"Vence en "&amp;($AN257-FechaRef)&amp;IF($AN257-FechaRef=1," día"," días"),"En plazo")))))))</f>
        <v/>
      </c>
      <c r="P257" s="62" t="n"/>
      <c r="Q257" s="58" t="n"/>
      <c r="R257" s="63">
        <f>IF(NOT((COUNTA($B257:$D257)+COUNTA($G257:$L257)+COUNTA($Q257))&gt;0),"",IF((IF($C257="","Falta el nombre de la actividad"&amp;" · ","")&amp;IF(AND($V257="Sub",N($U257)=0),"Subactividad sin macroactividad arriba"&amp;" · ","")&amp;IF($AM257="","Sin fecha de inicio"&amp;" · ","")&amp;IF($AN257="","Sin fecha límite"&amp;" · ","")&amp;IF(AND(LEFT($C257,11)="[Jefatura] ",N($AL257)=0),"No se encuentra en la hoja de la jefatura (elíjala de nuevo en la lista)"&amp;" · ","")&amp;IF(OR(AND($E257&lt;&gt;"",NOT(ISNUMBER($E257))),AND($F257&lt;&gt;"",NOT(ISNUMBER($F257))),AND($G257&lt;&gt;"",NOT(ISNUMBER($G257)))),"Fecha no válida"&amp;" · ","")&amp;IF(AND(ISNUMBER($AM257),ISNUMBER($AN257),$AM257&gt;$AN257),"Inicio posterior a fecha límite"&amp;" · ","")&amp;IF(AND($V257="Macro",$H257&lt;&gt;"",OR(NOT(ISNUMBER($H257)),$H257&lt;0,$H257&gt;1)),"Peso fuera de rango"&amp;" · ","")&amp;IF(AND($V257="Sub",$H257&lt;&gt;""),"Las subactividades no llevan peso (valen igual dentro de su macroactividad)"&amp;" · ","")&amp;IF(AND(N($W257)&gt;0,COUNT($I257:$L257)&gt;0),"Con subactividades: deje vacías las semanas (se calculan solas)"&amp;" · ","")&amp;IF((COUNTIF($I257:$L257,"&gt;1")+COUNTIF($I257:$L257,"&lt;0")+COUNTA($I257:$L257)-COUNT($I257:$L257))&gt;0,"Avance fuera de rango 0-100%"&amp;" · ","")&amp;IF(OR(AND($J257&lt;&gt;"",$J257&lt;$I257),AND($K257&lt;&gt;"",$K257&lt;MAX($I257:$J257)),AND($L257&lt;&gt;"",$L257&lt;MAX($I257:$K257))),"Avance semanal decreciente"&amp;" · ","")&amp;IF(AND(ISNUMBER($AN257),$AN257&lt;FechaRef,IF($V257="Sub",N($X257),N($M257))&lt;1),"Vencida"&amp;" · ","")&amp;IF(AND(ObsObligatoria="Sí",ISNUMBER($AN257),$AN257&lt;FechaRef,IF($V257="Sub",N($X257),N($M257))&lt;1,$Q257=""),"Vencida sin observación"&amp;" · ",""))="","✔ OK","⚠ "&amp;LEFT(IF($C257="","Falta el nombre de la actividad"&amp;" · ","")&amp;IF(AND($V257="Sub",N($U257)=0),"Subactividad sin macroactividad arriba"&amp;" · ","")&amp;IF($AM257="","Sin fecha de inicio"&amp;" · ","")&amp;IF($AN257="","Sin fecha límite"&amp;" · ","")&amp;IF(AND(LEFT($C257,11)="[Jefatura] ",N($AL257)=0),"No se encuentra en la hoja de la jefatura (elíjala de nuevo en la lista)"&amp;" · ","")&amp;IF(OR(AND($E257&lt;&gt;"",NOT(ISNUMBER($E257))),AND($F257&lt;&gt;"",NOT(ISNUMBER($F257))),AND($G257&lt;&gt;"",NOT(ISNUMBER($G257)))),"Fecha no válida"&amp;" · ","")&amp;IF(AND(ISNUMBER($AM257),ISNUMBER($AN257),$AM257&gt;$AN257),"Inicio posterior a fecha límite"&amp;" · ","")&amp;IF(AND($V257="Macro",$H257&lt;&gt;"",OR(NOT(ISNUMBER($H257)),$H257&lt;0,$H257&gt;1)),"Peso fuera de rango"&amp;" · ","")&amp;IF(AND($V257="Sub",$H257&lt;&gt;""),"Las subactividades no llevan peso (valen igual dentro de su macroactividad)"&amp;" · ","")&amp;IF(AND(N($W257)&gt;0,COUNT($I257:$L257)&gt;0),"Con subactividades: deje vacías las semanas (se calculan solas)"&amp;" · ","")&amp;IF((COUNTIF($I257:$L257,"&gt;1")+COUNTIF($I257:$L257,"&lt;0")+COUNTA($I257:$L257)-COUNT($I257:$L257))&gt;0,"Avance fuera de rango 0-100%"&amp;" · ","")&amp;IF(OR(AND($J257&lt;&gt;"",$J257&lt;$I257),AND($K257&lt;&gt;"",$K257&lt;MAX($I257:$J257)),AND($L257&lt;&gt;"",$L257&lt;MAX($I257:$K257))),"Avance semanal decreciente"&amp;" · ","")&amp;IF(AND(ISNUMBER($AN257),$AN257&lt;FechaRef,IF($V257="Sub",N($X257),N($M257))&lt;1),"Vencida"&amp;" · ","")&amp;IF(AND(ObsObligatoria="Sí",ISNUMBER($AN257),$AN257&lt;FechaRef,IF($V257="Sub",N($X257),N($M257))&lt;1,$Q257=""),"Vencida sin observación"&amp;" · ",""),LEN(IF($C257="","Falta el nombre de la actividad"&amp;" · ","")&amp;IF(AND($V257="Sub",N($U257)=0),"Subactividad sin macroactividad arriba"&amp;" · ","")&amp;IF($AM257="","Sin fecha de inicio"&amp;" · ","")&amp;IF($AN257="","Sin fecha límite"&amp;" · ","")&amp;IF(AND(LEFT($C257,11)="[Jefatura] ",N($AL257)=0),"No se encuentra en la hoja de la jefatura (elíjala de nuevo en la lista)"&amp;" · ","")&amp;IF(OR(AND($E257&lt;&gt;"",NOT(ISNUMBER($E257))),AND($F257&lt;&gt;"",NOT(ISNUMBER($F257))),AND($G257&lt;&gt;"",NOT(ISNUMBER($G257)))),"Fecha no válida"&amp;" · ","")&amp;IF(AND(ISNUMBER($AM257),ISNUMBER($AN257),$AM257&gt;$AN257),"Inicio posterior a fecha límite"&amp;" · ","")&amp;IF(AND($V257="Macro",$H257&lt;&gt;"",OR(NOT(ISNUMBER($H257)),$H257&lt;0,$H257&gt;1)),"Peso fuera de rango"&amp;" · ","")&amp;IF(AND($V257="Sub",$H257&lt;&gt;""),"Las subactividades no llevan peso (valen igual dentro de su macroactividad)"&amp;" · ","")&amp;IF(AND(N($W257)&gt;0,COUNT($I257:$L257)&gt;0),"Con subactividades: deje vacías las semanas (se calculan solas)"&amp;" · ","")&amp;IF((COUNTIF($I257:$L257,"&gt;1")+COUNTIF($I257:$L257,"&lt;0")+COUNTA($I257:$L257)-COUNT($I257:$L257))&gt;0,"Avance fuera de rango 0-100%"&amp;" · ","")&amp;IF(OR(AND($J257&lt;&gt;"",$J257&lt;$I257),AND($K257&lt;&gt;"",$K257&lt;MAX($I257:$J257)),AND($L257&lt;&gt;"",$L257&lt;MAX($I257:$K257))),"Avance semanal decreciente"&amp;" · ","")&amp;IF(AND(ISNUMBER($AN257),$AN257&lt;FechaRef,IF($V257="Sub",N($X257),N($M257))&lt;1),"Vencida"&amp;" · ","")&amp;IF(AND(ObsObligatoria="Sí",ISNUMBER($AN257),$AN257&lt;FechaRef,IF($V257="Sub",N($X257),N($M257))&lt;1,$Q257=""),"Vencida sin observación"&amp;" · ",""))-3)))</f>
        <v/>
      </c>
      <c r="S257" s="64">
        <f>IF(NOT((COUNTA($B257:$D257)+COUNTA($G257:$L257)+COUNTA($Q257))&gt;0),"",IF(AND($V257="Sub",N($U257)&gt;0),IF(ISNUMBER(INDEX($AM$5:$AM$1000,$U257-4)),DATE(YEAR(INDEX($AM$5:$AM$1000,$U257-4)),MONTH(INDEX($AM$5:$AM$1000,$U257-4)),1),IF(ISNUMBER(INDEX($AN$5:$AN$1000,$U257-4)),DATE(YEAR(INDEX($AN$5:$AN$1000,$U257-4)),MONTH(INDEX($AN$5:$AN$1000,$U257-4)),1),MesCiclo)),IF(ISNUMBER($AM257),DATE(YEAR($AM257),MONTH($AM257),1),IF(ISNUMBER($AN257),DATE(YEAR($AN257),MONTH($AN257),1),MesCiclo))))</f>
        <v/>
      </c>
      <c r="T257" s="62">
        <f>IF(OR($S257="",$S257&lt;&gt;MesCiclo,$V257&lt;&gt;"Macro"),"",COUNTIFS($S$5:$S257,MesCiclo,$V$5:$V257,"Macro"))</f>
        <v/>
      </c>
      <c r="U257" s="62">
        <f>IF($V257="","",IF($V257="Macro",ROW(),IFERROR(LOOKUP(2,1/($V$5:$V257="Macro"),ROW($V$5:$V257)),0)))</f>
        <v/>
      </c>
      <c r="V257" s="62">
        <f>IF(NOT((COUNTA($B257:$D257)+COUNTA($G257:$L257)+COUNTA($Q257))&gt;0),"",IF($B257="Subactividad","Sub","Macro"))</f>
        <v/>
      </c>
      <c r="W257" s="62">
        <f>IF($V257="Macro",COUNTIFS($U$5:$U$1000,ROW(),$V$5:$V$1000,"Sub"),"")</f>
        <v/>
      </c>
      <c r="X257" s="62">
        <f>IF($V257="","",IF(ISNUMBER($G257),1,IFERROR(LOOKUP(2,1/($I257:$L257&lt;&gt;""),$I257:$L257),0)))</f>
        <v/>
      </c>
      <c r="Y257" s="62">
        <f>IF($V257="","",IF(AND(ISNUMBER($G257),$G257&lt;=IF($S257=MesCiclo,InicioCiclo,$S257+MOD(2-WEEKDAY($S257),7))+6),1,IF(ISNUMBER($I257),$I257,0)))</f>
        <v/>
      </c>
      <c r="Z257" s="62">
        <f>IF($V257="","",IF(AND(ISNUMBER($G257),$G257&lt;=IF($S257=MesCiclo,InicioCiclo,$S257+MOD(2-WEEKDAY($S257),7))+13),1,IF(ISNUMBER($J257),$J257,$Y257)))</f>
        <v/>
      </c>
      <c r="AA257" s="62">
        <f>IF($V257="","",IF(AND(ISNUMBER($G257),$G257&lt;=IF($S257=MesCiclo,InicioCiclo,$S257+MOD(2-WEEKDAY($S257),7))+20),1,IF(ISNUMBER($K257),$K257,$Z257)))</f>
        <v/>
      </c>
      <c r="AB257" s="62">
        <f>IF($V257="","",IF(AND(ISNUMBER($G257),$G257&lt;=IF($S257=MesCiclo,InicioCiclo,$S257+MOD(2-WEEKDAY($S257),7))+27),1,IF(ISNUMBER($L257),$L257,$AA257)))</f>
        <v/>
      </c>
      <c r="AC257" s="62">
        <f>IF($V257="","",IF(AND(ISNUMBER($G257),$G257&lt;=IF($S257=MesCiclo,InicioCiclo,$S257+MOD(2-WEEKDAY($S257),7))+6),1,IF(N($W257)&gt;0,AVERAGEIFS($Y$5:$Y$1000,$U$5:$U$1000,ROW(),$V$5:$V$1000,"Sub"),$Y257)))</f>
        <v/>
      </c>
      <c r="AD257" s="62">
        <f>IF($V257="","",IF(AND(ISNUMBER($G257),$G257&lt;=IF($S257=MesCiclo,InicioCiclo,$S257+MOD(2-WEEKDAY($S257),7))+13),1,IF(N($W257)&gt;0,AVERAGEIFS($Z$5:$Z$1000,$U$5:$U$1000,ROW(),$V$5:$V$1000,"Sub"),$Z257)))</f>
        <v/>
      </c>
      <c r="AE257" s="62">
        <f>IF($V257="","",IF(AND(ISNUMBER($G257),$G257&lt;=IF($S257=MesCiclo,InicioCiclo,$S257+MOD(2-WEEKDAY($S257),7))+20),1,IF(N($W257)&gt;0,AVERAGEIFS($AA$5:$AA$1000,$U$5:$U$1000,ROW(),$V$5:$V$1000,"Sub"),$AA257)))</f>
        <v/>
      </c>
      <c r="AF257" s="62">
        <f>IF($V257="","",IF(AND(ISNUMBER($G257),$G257&lt;=IF($S257=MesCiclo,InicioCiclo,$S257+MOD(2-WEEKDAY($S257),7))+27),1,IF(N($W257)&gt;0,AVERAGEIFS($AB$5:$AB$1000,$U$5:$U$1000,ROW(),$V$5:$V$1000,"Sub"),$AB257)))</f>
        <v/>
      </c>
      <c r="AG257" s="62">
        <f>IF($V257&lt;&gt;"Macro","",IF(COUNTIFS($S$5:$S$1000,$S257,$V$5:$V$1000,"Macro",$H$5:$H$1000,"&gt;0")=0,1/COUNTIFS($S$5:$S$1000,$S257,$V$5:$V$1000,"Macro"),IF(AND(ISNUMBER($H257),N($H257)&gt;0),$H257,SUMIFS($H$5:$H$1000,$S$5:$S$1000,$S257,$V$5:$V$1000,"Macro")/COUNTIFS($S$5:$S$1000,$S257,$V$5:$V$1000,"Macro",$H$5:$H$1000,"&gt;0"))/(COUNTIFS($S$5:$S$1000,$S257,$V$5:$V$1000,"Macro")*SUMIFS($H$5:$H$1000,$S$5:$S$1000,$S257,$V$5:$V$1000,"Macro")/COUNTIFS($S$5:$S$1000,$S257,$V$5:$V$1000,"Macro",$H$5:$H$1000,"&gt;0"))))</f>
        <v/>
      </c>
      <c r="AH257" s="62" t="n"/>
      <c r="AI257" s="62" t="n"/>
      <c r="AJ257" s="62" t="n"/>
      <c r="AK257" s="62" t="n"/>
      <c r="AL257" s="62">
        <f>IF(LEFT($C257,11)="[Jefatura] ",IFERROR(MATCH("Asistente Técnico de Riesgo|"&amp;MID($C257,12,500),rDname_ADM,0),0),"")</f>
        <v/>
      </c>
      <c r="AM257" s="62">
        <f>IF(N($AL257)&gt;0,INDEX(rIni_ADM,$AL257),IF(ISNUMBER($E257),$E257,""))</f>
        <v/>
      </c>
      <c r="AN257" s="62">
        <f>IF(N($AL257)&gt;0,INDEX(rLim_ADM,$AL257),IF(ISNUMBER($F257),$F257,""))</f>
        <v/>
      </c>
    </row>
    <row r="258">
      <c r="A258" s="56">
        <f>IF(NOT((COUNTA($B258:$D258)+COUNTA($G258:$L258)+COUNTA($Q258))&gt;0),"",IF($V258="Macro",COUNTIFS($V$5:$V258,"Macro",$S$5:$S258,$S258),IF(N($U258)=0,"?",COUNTIFS(INDEX($V$5:$V$1000,1):INDEX($V$5:$V$1000,$U258-4),"Macro",INDEX($S$5:$S$1000,1):INDEX($S$5:$S$1000,$U258-4),INDEX($S$5:$S$1000,$U258-4))&amp;"."&amp;COUNTIFS($U$5:$U258,$U258,$V$5:$V258,"Sub"))))</f>
        <v/>
      </c>
      <c r="B258" s="57" t="n"/>
      <c r="C258" s="58" t="n"/>
      <c r="D258" s="58" t="n"/>
      <c r="E258" s="59">
        <f>IF(N($AL258)&gt;0,INDEX(rIni_ADM,$AL258),"")</f>
        <v/>
      </c>
      <c r="F258" s="59">
        <f>IF(N($AL258)&gt;0,INDEX(rLim_ADM,$AL258),"")</f>
        <v/>
      </c>
      <c r="G258" s="59" t="n"/>
      <c r="H258" s="60" t="n"/>
      <c r="I258" s="60" t="n"/>
      <c r="J258" s="60" t="n"/>
      <c r="K258" s="60" t="n"/>
      <c r="L258" s="60" t="n"/>
      <c r="M258" s="61">
        <f>IF(NOT((COUNTA($B258:$D258)+COUNTA($G258:$L258)+COUNTA($Q258))&gt;0),"",IF($V258="Sub",IFERROR($X258/INDEX($W$5:$W$1000,$U258-4),""),IF(ISNUMBER($G258),1,IF(N($W258)&gt;0,AVERAGEIFS($X$5:$X$1000,$U$5:$U$1000,ROW(),$V$5:$V$1000,"Sub"),$X258))))</f>
        <v/>
      </c>
      <c r="N258" s="56">
        <f>IF(OR($M258="",$V258="Sub"),"",IF($M258&gt;=1,"Completado",IF($M258&gt;0,"En curso","Pendiente")))</f>
        <v/>
      </c>
      <c r="O258" s="56">
        <f>IF(OR(NOT((COUNTA($B258:$D258)+COUNTA($G258:$L258)+COUNTA($Q258))&gt;0),$V258="Sub"),"",IF(ISNUMBER($G258),IF(AND(ISNUMBER($AN258),$G258&gt;$AN258),"Cumplida con "&amp;($G258-$AN258)&amp;IF($G258-$AN258=1," día"," días")&amp;" de retraso","Cumplida"),IF(N($M258)&gt;=1,"Cumplida",IF(NOT(ISNUMBER($AN258)),"Sin fecha límite",IF($AN258&lt;FechaRef,"Vencida hace "&amp;(FechaRef-$AN258)&amp;IF(FechaRef-$AN258=1," día"," días"),IF($AN258=FechaRef,"Vence hoy",IF($AN258-FechaRef&lt;=DiasAlerta,"Vence en "&amp;($AN258-FechaRef)&amp;IF($AN258-FechaRef=1," día"," días"),"En plazo")))))))</f>
        <v/>
      </c>
      <c r="P258" s="62" t="n"/>
      <c r="Q258" s="58" t="n"/>
      <c r="R258" s="63">
        <f>IF(NOT((COUNTA($B258:$D258)+COUNTA($G258:$L258)+COUNTA($Q258))&gt;0),"",IF((IF($C258="","Falta el nombre de la actividad"&amp;" · ","")&amp;IF(AND($V258="Sub",N($U258)=0),"Subactividad sin macroactividad arriba"&amp;" · ","")&amp;IF($AM258="","Sin fecha de inicio"&amp;" · ","")&amp;IF($AN258="","Sin fecha límite"&amp;" · ","")&amp;IF(AND(LEFT($C258,11)="[Jefatura] ",N($AL258)=0),"No se encuentra en la hoja de la jefatura (elíjala de nuevo en la lista)"&amp;" · ","")&amp;IF(OR(AND($E258&lt;&gt;"",NOT(ISNUMBER($E258))),AND($F258&lt;&gt;"",NOT(ISNUMBER($F258))),AND($G258&lt;&gt;"",NOT(ISNUMBER($G258)))),"Fecha no válida"&amp;" · ","")&amp;IF(AND(ISNUMBER($AM258),ISNUMBER($AN258),$AM258&gt;$AN258),"Inicio posterior a fecha límite"&amp;" · ","")&amp;IF(AND($V258="Macro",$H258&lt;&gt;"",OR(NOT(ISNUMBER($H258)),$H258&lt;0,$H258&gt;1)),"Peso fuera de rango"&amp;" · ","")&amp;IF(AND($V258="Sub",$H258&lt;&gt;""),"Las subactividades no llevan peso (valen igual dentro de su macroactividad)"&amp;" · ","")&amp;IF(AND(N($W258)&gt;0,COUNT($I258:$L258)&gt;0),"Con subactividades: deje vacías las semanas (se calculan solas)"&amp;" · ","")&amp;IF((COUNTIF($I258:$L258,"&gt;1")+COUNTIF($I258:$L258,"&lt;0")+COUNTA($I258:$L258)-COUNT($I258:$L258))&gt;0,"Avance fuera de rango 0-100%"&amp;" · ","")&amp;IF(OR(AND($J258&lt;&gt;"",$J258&lt;$I258),AND($K258&lt;&gt;"",$K258&lt;MAX($I258:$J258)),AND($L258&lt;&gt;"",$L258&lt;MAX($I258:$K258))),"Avance semanal decreciente"&amp;" · ","")&amp;IF(AND(ISNUMBER($AN258),$AN258&lt;FechaRef,IF($V258="Sub",N($X258),N($M258))&lt;1),"Vencida"&amp;" · ","")&amp;IF(AND(ObsObligatoria="Sí",ISNUMBER($AN258),$AN258&lt;FechaRef,IF($V258="Sub",N($X258),N($M258))&lt;1,$Q258=""),"Vencida sin observación"&amp;" · ",""))="","✔ OK","⚠ "&amp;LEFT(IF($C258="","Falta el nombre de la actividad"&amp;" · ","")&amp;IF(AND($V258="Sub",N($U258)=0),"Subactividad sin macroactividad arriba"&amp;" · ","")&amp;IF($AM258="","Sin fecha de inicio"&amp;" · ","")&amp;IF($AN258="","Sin fecha límite"&amp;" · ","")&amp;IF(AND(LEFT($C258,11)="[Jefatura] ",N($AL258)=0),"No se encuentra en la hoja de la jefatura (elíjala de nuevo en la lista)"&amp;" · ","")&amp;IF(OR(AND($E258&lt;&gt;"",NOT(ISNUMBER($E258))),AND($F258&lt;&gt;"",NOT(ISNUMBER($F258))),AND($G258&lt;&gt;"",NOT(ISNUMBER($G258)))),"Fecha no válida"&amp;" · ","")&amp;IF(AND(ISNUMBER($AM258),ISNUMBER($AN258),$AM258&gt;$AN258),"Inicio posterior a fecha límite"&amp;" · ","")&amp;IF(AND($V258="Macro",$H258&lt;&gt;"",OR(NOT(ISNUMBER($H258)),$H258&lt;0,$H258&gt;1)),"Peso fuera de rango"&amp;" · ","")&amp;IF(AND($V258="Sub",$H258&lt;&gt;""),"Las subactividades no llevan peso (valen igual dentro de su macroactividad)"&amp;" · ","")&amp;IF(AND(N($W258)&gt;0,COUNT($I258:$L258)&gt;0),"Con subactividades: deje vacías las semanas (se calculan solas)"&amp;" · ","")&amp;IF((COUNTIF($I258:$L258,"&gt;1")+COUNTIF($I258:$L258,"&lt;0")+COUNTA($I258:$L258)-COUNT($I258:$L258))&gt;0,"Avance fuera de rango 0-100%"&amp;" · ","")&amp;IF(OR(AND($J258&lt;&gt;"",$J258&lt;$I258),AND($K258&lt;&gt;"",$K258&lt;MAX($I258:$J258)),AND($L258&lt;&gt;"",$L258&lt;MAX($I258:$K258))),"Avance semanal decreciente"&amp;" · ","")&amp;IF(AND(ISNUMBER($AN258),$AN258&lt;FechaRef,IF($V258="Sub",N($X258),N($M258))&lt;1),"Vencida"&amp;" · ","")&amp;IF(AND(ObsObligatoria="Sí",ISNUMBER($AN258),$AN258&lt;FechaRef,IF($V258="Sub",N($X258),N($M258))&lt;1,$Q258=""),"Vencida sin observación"&amp;" · ",""),LEN(IF($C258="","Falta el nombre de la actividad"&amp;" · ","")&amp;IF(AND($V258="Sub",N($U258)=0),"Subactividad sin macroactividad arriba"&amp;" · ","")&amp;IF($AM258="","Sin fecha de inicio"&amp;" · ","")&amp;IF($AN258="","Sin fecha límite"&amp;" · ","")&amp;IF(AND(LEFT($C258,11)="[Jefatura] ",N($AL258)=0),"No se encuentra en la hoja de la jefatura (elíjala de nuevo en la lista)"&amp;" · ","")&amp;IF(OR(AND($E258&lt;&gt;"",NOT(ISNUMBER($E258))),AND($F258&lt;&gt;"",NOT(ISNUMBER($F258))),AND($G258&lt;&gt;"",NOT(ISNUMBER($G258)))),"Fecha no válida"&amp;" · ","")&amp;IF(AND(ISNUMBER($AM258),ISNUMBER($AN258),$AM258&gt;$AN258),"Inicio posterior a fecha límite"&amp;" · ","")&amp;IF(AND($V258="Macro",$H258&lt;&gt;"",OR(NOT(ISNUMBER($H258)),$H258&lt;0,$H258&gt;1)),"Peso fuera de rango"&amp;" · ","")&amp;IF(AND($V258="Sub",$H258&lt;&gt;""),"Las subactividades no llevan peso (valen igual dentro de su macroactividad)"&amp;" · ","")&amp;IF(AND(N($W258)&gt;0,COUNT($I258:$L258)&gt;0),"Con subactividades: deje vacías las semanas (se calculan solas)"&amp;" · ","")&amp;IF((COUNTIF($I258:$L258,"&gt;1")+COUNTIF($I258:$L258,"&lt;0")+COUNTA($I258:$L258)-COUNT($I258:$L258))&gt;0,"Avance fuera de rango 0-100%"&amp;" · ","")&amp;IF(OR(AND($J258&lt;&gt;"",$J258&lt;$I258),AND($K258&lt;&gt;"",$K258&lt;MAX($I258:$J258)),AND($L258&lt;&gt;"",$L258&lt;MAX($I258:$K258))),"Avance semanal decreciente"&amp;" · ","")&amp;IF(AND(ISNUMBER($AN258),$AN258&lt;FechaRef,IF($V258="Sub",N($X258),N($M258))&lt;1),"Vencida"&amp;" · ","")&amp;IF(AND(ObsObligatoria="Sí",ISNUMBER($AN258),$AN258&lt;FechaRef,IF($V258="Sub",N($X258),N($M258))&lt;1,$Q258=""),"Vencida sin observación"&amp;" · ",""))-3)))</f>
        <v/>
      </c>
      <c r="S258" s="64">
        <f>IF(NOT((COUNTA($B258:$D258)+COUNTA($G258:$L258)+COUNTA($Q258))&gt;0),"",IF(AND($V258="Sub",N($U258)&gt;0),IF(ISNUMBER(INDEX($AM$5:$AM$1000,$U258-4)),DATE(YEAR(INDEX($AM$5:$AM$1000,$U258-4)),MONTH(INDEX($AM$5:$AM$1000,$U258-4)),1),IF(ISNUMBER(INDEX($AN$5:$AN$1000,$U258-4)),DATE(YEAR(INDEX($AN$5:$AN$1000,$U258-4)),MONTH(INDEX($AN$5:$AN$1000,$U258-4)),1),MesCiclo)),IF(ISNUMBER($AM258),DATE(YEAR($AM258),MONTH($AM258),1),IF(ISNUMBER($AN258),DATE(YEAR($AN258),MONTH($AN258),1),MesCiclo))))</f>
        <v/>
      </c>
      <c r="T258" s="62">
        <f>IF(OR($S258="",$S258&lt;&gt;MesCiclo,$V258&lt;&gt;"Macro"),"",COUNTIFS($S$5:$S258,MesCiclo,$V$5:$V258,"Macro"))</f>
        <v/>
      </c>
      <c r="U258" s="62">
        <f>IF($V258="","",IF($V258="Macro",ROW(),IFERROR(LOOKUP(2,1/($V$5:$V258="Macro"),ROW($V$5:$V258)),0)))</f>
        <v/>
      </c>
      <c r="V258" s="62">
        <f>IF(NOT((COUNTA($B258:$D258)+COUNTA($G258:$L258)+COUNTA($Q258))&gt;0),"",IF($B258="Subactividad","Sub","Macro"))</f>
        <v/>
      </c>
      <c r="W258" s="62">
        <f>IF($V258="Macro",COUNTIFS($U$5:$U$1000,ROW(),$V$5:$V$1000,"Sub"),"")</f>
        <v/>
      </c>
      <c r="X258" s="62">
        <f>IF($V258="","",IF(ISNUMBER($G258),1,IFERROR(LOOKUP(2,1/($I258:$L258&lt;&gt;""),$I258:$L258),0)))</f>
        <v/>
      </c>
      <c r="Y258" s="62">
        <f>IF($V258="","",IF(AND(ISNUMBER($G258),$G258&lt;=IF($S258=MesCiclo,InicioCiclo,$S258+MOD(2-WEEKDAY($S258),7))+6),1,IF(ISNUMBER($I258),$I258,0)))</f>
        <v/>
      </c>
      <c r="Z258" s="62">
        <f>IF($V258="","",IF(AND(ISNUMBER($G258),$G258&lt;=IF($S258=MesCiclo,InicioCiclo,$S258+MOD(2-WEEKDAY($S258),7))+13),1,IF(ISNUMBER($J258),$J258,$Y258)))</f>
        <v/>
      </c>
      <c r="AA258" s="62">
        <f>IF($V258="","",IF(AND(ISNUMBER($G258),$G258&lt;=IF($S258=MesCiclo,InicioCiclo,$S258+MOD(2-WEEKDAY($S258),7))+20),1,IF(ISNUMBER($K258),$K258,$Z258)))</f>
        <v/>
      </c>
      <c r="AB258" s="62">
        <f>IF($V258="","",IF(AND(ISNUMBER($G258),$G258&lt;=IF($S258=MesCiclo,InicioCiclo,$S258+MOD(2-WEEKDAY($S258),7))+27),1,IF(ISNUMBER($L258),$L258,$AA258)))</f>
        <v/>
      </c>
      <c r="AC258" s="62">
        <f>IF($V258="","",IF(AND(ISNUMBER($G258),$G258&lt;=IF($S258=MesCiclo,InicioCiclo,$S258+MOD(2-WEEKDAY($S258),7))+6),1,IF(N($W258)&gt;0,AVERAGEIFS($Y$5:$Y$1000,$U$5:$U$1000,ROW(),$V$5:$V$1000,"Sub"),$Y258)))</f>
        <v/>
      </c>
      <c r="AD258" s="62">
        <f>IF($V258="","",IF(AND(ISNUMBER($G258),$G258&lt;=IF($S258=MesCiclo,InicioCiclo,$S258+MOD(2-WEEKDAY($S258),7))+13),1,IF(N($W258)&gt;0,AVERAGEIFS($Z$5:$Z$1000,$U$5:$U$1000,ROW(),$V$5:$V$1000,"Sub"),$Z258)))</f>
        <v/>
      </c>
      <c r="AE258" s="62">
        <f>IF($V258="","",IF(AND(ISNUMBER($G258),$G258&lt;=IF($S258=MesCiclo,InicioCiclo,$S258+MOD(2-WEEKDAY($S258),7))+20),1,IF(N($W258)&gt;0,AVERAGEIFS($AA$5:$AA$1000,$U$5:$U$1000,ROW(),$V$5:$V$1000,"Sub"),$AA258)))</f>
        <v/>
      </c>
      <c r="AF258" s="62">
        <f>IF($V258="","",IF(AND(ISNUMBER($G258),$G258&lt;=IF($S258=MesCiclo,InicioCiclo,$S258+MOD(2-WEEKDAY($S258),7))+27),1,IF(N($W258)&gt;0,AVERAGEIFS($AB$5:$AB$1000,$U$5:$U$1000,ROW(),$V$5:$V$1000,"Sub"),$AB258)))</f>
        <v/>
      </c>
      <c r="AG258" s="62">
        <f>IF($V258&lt;&gt;"Macro","",IF(COUNTIFS($S$5:$S$1000,$S258,$V$5:$V$1000,"Macro",$H$5:$H$1000,"&gt;0")=0,1/COUNTIFS($S$5:$S$1000,$S258,$V$5:$V$1000,"Macro"),IF(AND(ISNUMBER($H258),N($H258)&gt;0),$H258,SUMIFS($H$5:$H$1000,$S$5:$S$1000,$S258,$V$5:$V$1000,"Macro")/COUNTIFS($S$5:$S$1000,$S258,$V$5:$V$1000,"Macro",$H$5:$H$1000,"&gt;0"))/(COUNTIFS($S$5:$S$1000,$S258,$V$5:$V$1000,"Macro")*SUMIFS($H$5:$H$1000,$S$5:$S$1000,$S258,$V$5:$V$1000,"Macro")/COUNTIFS($S$5:$S$1000,$S258,$V$5:$V$1000,"Macro",$H$5:$H$1000,"&gt;0"))))</f>
        <v/>
      </c>
      <c r="AH258" s="62" t="n"/>
      <c r="AI258" s="62" t="n"/>
      <c r="AJ258" s="62" t="n"/>
      <c r="AK258" s="62" t="n"/>
      <c r="AL258" s="62">
        <f>IF(LEFT($C258,11)="[Jefatura] ",IFERROR(MATCH("Asistente Técnico de Riesgo|"&amp;MID($C258,12,500),rDname_ADM,0),0),"")</f>
        <v/>
      </c>
      <c r="AM258" s="62">
        <f>IF(N($AL258)&gt;0,INDEX(rIni_ADM,$AL258),IF(ISNUMBER($E258),$E258,""))</f>
        <v/>
      </c>
      <c r="AN258" s="62">
        <f>IF(N($AL258)&gt;0,INDEX(rLim_ADM,$AL258),IF(ISNUMBER($F258),$F258,""))</f>
        <v/>
      </c>
    </row>
    <row r="259">
      <c r="A259" s="56">
        <f>IF(NOT((COUNTA($B259:$D259)+COUNTA($G259:$L259)+COUNTA($Q259))&gt;0),"",IF($V259="Macro",COUNTIFS($V$5:$V259,"Macro",$S$5:$S259,$S259),IF(N($U259)=0,"?",COUNTIFS(INDEX($V$5:$V$1000,1):INDEX($V$5:$V$1000,$U259-4),"Macro",INDEX($S$5:$S$1000,1):INDEX($S$5:$S$1000,$U259-4),INDEX($S$5:$S$1000,$U259-4))&amp;"."&amp;COUNTIFS($U$5:$U259,$U259,$V$5:$V259,"Sub"))))</f>
        <v/>
      </c>
      <c r="B259" s="57" t="n"/>
      <c r="C259" s="58" t="n"/>
      <c r="D259" s="58" t="n"/>
      <c r="E259" s="59">
        <f>IF(N($AL259)&gt;0,INDEX(rIni_ADM,$AL259),"")</f>
        <v/>
      </c>
      <c r="F259" s="59">
        <f>IF(N($AL259)&gt;0,INDEX(rLim_ADM,$AL259),"")</f>
        <v/>
      </c>
      <c r="G259" s="59" t="n"/>
      <c r="H259" s="60" t="n"/>
      <c r="I259" s="60" t="n"/>
      <c r="J259" s="60" t="n"/>
      <c r="K259" s="60" t="n"/>
      <c r="L259" s="60" t="n"/>
      <c r="M259" s="61">
        <f>IF(NOT((COUNTA($B259:$D259)+COUNTA($G259:$L259)+COUNTA($Q259))&gt;0),"",IF($V259="Sub",IFERROR($X259/INDEX($W$5:$W$1000,$U259-4),""),IF(ISNUMBER($G259),1,IF(N($W259)&gt;0,AVERAGEIFS($X$5:$X$1000,$U$5:$U$1000,ROW(),$V$5:$V$1000,"Sub"),$X259))))</f>
        <v/>
      </c>
      <c r="N259" s="56">
        <f>IF(OR($M259="",$V259="Sub"),"",IF($M259&gt;=1,"Completado",IF($M259&gt;0,"En curso","Pendiente")))</f>
        <v/>
      </c>
      <c r="O259" s="56">
        <f>IF(OR(NOT((COUNTA($B259:$D259)+COUNTA($G259:$L259)+COUNTA($Q259))&gt;0),$V259="Sub"),"",IF(ISNUMBER($G259),IF(AND(ISNUMBER($AN259),$G259&gt;$AN259),"Cumplida con "&amp;($G259-$AN259)&amp;IF($G259-$AN259=1," día"," días")&amp;" de retraso","Cumplida"),IF(N($M259)&gt;=1,"Cumplida",IF(NOT(ISNUMBER($AN259)),"Sin fecha límite",IF($AN259&lt;FechaRef,"Vencida hace "&amp;(FechaRef-$AN259)&amp;IF(FechaRef-$AN259=1," día"," días"),IF($AN259=FechaRef,"Vence hoy",IF($AN259-FechaRef&lt;=DiasAlerta,"Vence en "&amp;($AN259-FechaRef)&amp;IF($AN259-FechaRef=1," día"," días"),"En plazo")))))))</f>
        <v/>
      </c>
      <c r="P259" s="62" t="n"/>
      <c r="Q259" s="58" t="n"/>
      <c r="R259" s="63">
        <f>IF(NOT((COUNTA($B259:$D259)+COUNTA($G259:$L259)+COUNTA($Q259))&gt;0),"",IF((IF($C259="","Falta el nombre de la actividad"&amp;" · ","")&amp;IF(AND($V259="Sub",N($U259)=0),"Subactividad sin macroactividad arriba"&amp;" · ","")&amp;IF($AM259="","Sin fecha de inicio"&amp;" · ","")&amp;IF($AN259="","Sin fecha límite"&amp;" · ","")&amp;IF(AND(LEFT($C259,11)="[Jefatura] ",N($AL259)=0),"No se encuentra en la hoja de la jefatura (elíjala de nuevo en la lista)"&amp;" · ","")&amp;IF(OR(AND($E259&lt;&gt;"",NOT(ISNUMBER($E259))),AND($F259&lt;&gt;"",NOT(ISNUMBER($F259))),AND($G259&lt;&gt;"",NOT(ISNUMBER($G259)))),"Fecha no válida"&amp;" · ","")&amp;IF(AND(ISNUMBER($AM259),ISNUMBER($AN259),$AM259&gt;$AN259),"Inicio posterior a fecha límite"&amp;" · ","")&amp;IF(AND($V259="Macro",$H259&lt;&gt;"",OR(NOT(ISNUMBER($H259)),$H259&lt;0,$H259&gt;1)),"Peso fuera de rango"&amp;" · ","")&amp;IF(AND($V259="Sub",$H259&lt;&gt;""),"Las subactividades no llevan peso (valen igual dentro de su macroactividad)"&amp;" · ","")&amp;IF(AND(N($W259)&gt;0,COUNT($I259:$L259)&gt;0),"Con subactividades: deje vacías las semanas (se calculan solas)"&amp;" · ","")&amp;IF((COUNTIF($I259:$L259,"&gt;1")+COUNTIF($I259:$L259,"&lt;0")+COUNTA($I259:$L259)-COUNT($I259:$L259))&gt;0,"Avance fuera de rango 0-100%"&amp;" · ","")&amp;IF(OR(AND($J259&lt;&gt;"",$J259&lt;$I259),AND($K259&lt;&gt;"",$K259&lt;MAX($I259:$J259)),AND($L259&lt;&gt;"",$L259&lt;MAX($I259:$K259))),"Avance semanal decreciente"&amp;" · ","")&amp;IF(AND(ISNUMBER($AN259),$AN259&lt;FechaRef,IF($V259="Sub",N($X259),N($M259))&lt;1),"Vencida"&amp;" · ","")&amp;IF(AND(ObsObligatoria="Sí",ISNUMBER($AN259),$AN259&lt;FechaRef,IF($V259="Sub",N($X259),N($M259))&lt;1,$Q259=""),"Vencida sin observación"&amp;" · ",""))="","✔ OK","⚠ "&amp;LEFT(IF($C259="","Falta el nombre de la actividad"&amp;" · ","")&amp;IF(AND($V259="Sub",N($U259)=0),"Subactividad sin macroactividad arriba"&amp;" · ","")&amp;IF($AM259="","Sin fecha de inicio"&amp;" · ","")&amp;IF($AN259="","Sin fecha límite"&amp;" · ","")&amp;IF(AND(LEFT($C259,11)="[Jefatura] ",N($AL259)=0),"No se encuentra en la hoja de la jefatura (elíjala de nuevo en la lista)"&amp;" · ","")&amp;IF(OR(AND($E259&lt;&gt;"",NOT(ISNUMBER($E259))),AND($F259&lt;&gt;"",NOT(ISNUMBER($F259))),AND($G259&lt;&gt;"",NOT(ISNUMBER($G259)))),"Fecha no válida"&amp;" · ","")&amp;IF(AND(ISNUMBER($AM259),ISNUMBER($AN259),$AM259&gt;$AN259),"Inicio posterior a fecha límite"&amp;" · ","")&amp;IF(AND($V259="Macro",$H259&lt;&gt;"",OR(NOT(ISNUMBER($H259)),$H259&lt;0,$H259&gt;1)),"Peso fuera de rango"&amp;" · ","")&amp;IF(AND($V259="Sub",$H259&lt;&gt;""),"Las subactividades no llevan peso (valen igual dentro de su macroactividad)"&amp;" · ","")&amp;IF(AND(N($W259)&gt;0,COUNT($I259:$L259)&gt;0),"Con subactividades: deje vacías las semanas (se calculan solas)"&amp;" · ","")&amp;IF((COUNTIF($I259:$L259,"&gt;1")+COUNTIF($I259:$L259,"&lt;0")+COUNTA($I259:$L259)-COUNT($I259:$L259))&gt;0,"Avance fuera de rango 0-100%"&amp;" · ","")&amp;IF(OR(AND($J259&lt;&gt;"",$J259&lt;$I259),AND($K259&lt;&gt;"",$K259&lt;MAX($I259:$J259)),AND($L259&lt;&gt;"",$L259&lt;MAX($I259:$K259))),"Avance semanal decreciente"&amp;" · ","")&amp;IF(AND(ISNUMBER($AN259),$AN259&lt;FechaRef,IF($V259="Sub",N($X259),N($M259))&lt;1),"Vencida"&amp;" · ","")&amp;IF(AND(ObsObligatoria="Sí",ISNUMBER($AN259),$AN259&lt;FechaRef,IF($V259="Sub",N($X259),N($M259))&lt;1,$Q259=""),"Vencida sin observación"&amp;" · ",""),LEN(IF($C259="","Falta el nombre de la actividad"&amp;" · ","")&amp;IF(AND($V259="Sub",N($U259)=0),"Subactividad sin macroactividad arriba"&amp;" · ","")&amp;IF($AM259="","Sin fecha de inicio"&amp;" · ","")&amp;IF($AN259="","Sin fecha límite"&amp;" · ","")&amp;IF(AND(LEFT($C259,11)="[Jefatura] ",N($AL259)=0),"No se encuentra en la hoja de la jefatura (elíjala de nuevo en la lista)"&amp;" · ","")&amp;IF(OR(AND($E259&lt;&gt;"",NOT(ISNUMBER($E259))),AND($F259&lt;&gt;"",NOT(ISNUMBER($F259))),AND($G259&lt;&gt;"",NOT(ISNUMBER($G259)))),"Fecha no válida"&amp;" · ","")&amp;IF(AND(ISNUMBER($AM259),ISNUMBER($AN259),$AM259&gt;$AN259),"Inicio posterior a fecha límite"&amp;" · ","")&amp;IF(AND($V259="Macro",$H259&lt;&gt;"",OR(NOT(ISNUMBER($H259)),$H259&lt;0,$H259&gt;1)),"Peso fuera de rango"&amp;" · ","")&amp;IF(AND($V259="Sub",$H259&lt;&gt;""),"Las subactividades no llevan peso (valen igual dentro de su macroactividad)"&amp;" · ","")&amp;IF(AND(N($W259)&gt;0,COUNT($I259:$L259)&gt;0),"Con subactividades: deje vacías las semanas (se calculan solas)"&amp;" · ","")&amp;IF((COUNTIF($I259:$L259,"&gt;1")+COUNTIF($I259:$L259,"&lt;0")+COUNTA($I259:$L259)-COUNT($I259:$L259))&gt;0,"Avance fuera de rango 0-100%"&amp;" · ","")&amp;IF(OR(AND($J259&lt;&gt;"",$J259&lt;$I259),AND($K259&lt;&gt;"",$K259&lt;MAX($I259:$J259)),AND($L259&lt;&gt;"",$L259&lt;MAX($I259:$K259))),"Avance semanal decreciente"&amp;" · ","")&amp;IF(AND(ISNUMBER($AN259),$AN259&lt;FechaRef,IF($V259="Sub",N($X259),N($M259))&lt;1),"Vencida"&amp;" · ","")&amp;IF(AND(ObsObligatoria="Sí",ISNUMBER($AN259),$AN259&lt;FechaRef,IF($V259="Sub",N($X259),N($M259))&lt;1,$Q259=""),"Vencida sin observación"&amp;" · ",""))-3)))</f>
        <v/>
      </c>
      <c r="S259" s="64">
        <f>IF(NOT((COUNTA($B259:$D259)+COUNTA($G259:$L259)+COUNTA($Q259))&gt;0),"",IF(AND($V259="Sub",N($U259)&gt;0),IF(ISNUMBER(INDEX($AM$5:$AM$1000,$U259-4)),DATE(YEAR(INDEX($AM$5:$AM$1000,$U259-4)),MONTH(INDEX($AM$5:$AM$1000,$U259-4)),1),IF(ISNUMBER(INDEX($AN$5:$AN$1000,$U259-4)),DATE(YEAR(INDEX($AN$5:$AN$1000,$U259-4)),MONTH(INDEX($AN$5:$AN$1000,$U259-4)),1),MesCiclo)),IF(ISNUMBER($AM259),DATE(YEAR($AM259),MONTH($AM259),1),IF(ISNUMBER($AN259),DATE(YEAR($AN259),MONTH($AN259),1),MesCiclo))))</f>
        <v/>
      </c>
      <c r="T259" s="62">
        <f>IF(OR($S259="",$S259&lt;&gt;MesCiclo,$V259&lt;&gt;"Macro"),"",COUNTIFS($S$5:$S259,MesCiclo,$V$5:$V259,"Macro"))</f>
        <v/>
      </c>
      <c r="U259" s="62">
        <f>IF($V259="","",IF($V259="Macro",ROW(),IFERROR(LOOKUP(2,1/($V$5:$V259="Macro"),ROW($V$5:$V259)),0)))</f>
        <v/>
      </c>
      <c r="V259" s="62">
        <f>IF(NOT((COUNTA($B259:$D259)+COUNTA($G259:$L259)+COUNTA($Q259))&gt;0),"",IF($B259="Subactividad","Sub","Macro"))</f>
        <v/>
      </c>
      <c r="W259" s="62">
        <f>IF($V259="Macro",COUNTIFS($U$5:$U$1000,ROW(),$V$5:$V$1000,"Sub"),"")</f>
        <v/>
      </c>
      <c r="X259" s="62">
        <f>IF($V259="","",IF(ISNUMBER($G259),1,IFERROR(LOOKUP(2,1/($I259:$L259&lt;&gt;""),$I259:$L259),0)))</f>
        <v/>
      </c>
      <c r="Y259" s="62">
        <f>IF($V259="","",IF(AND(ISNUMBER($G259),$G259&lt;=IF($S259=MesCiclo,InicioCiclo,$S259+MOD(2-WEEKDAY($S259),7))+6),1,IF(ISNUMBER($I259),$I259,0)))</f>
        <v/>
      </c>
      <c r="Z259" s="62">
        <f>IF($V259="","",IF(AND(ISNUMBER($G259),$G259&lt;=IF($S259=MesCiclo,InicioCiclo,$S259+MOD(2-WEEKDAY($S259),7))+13),1,IF(ISNUMBER($J259),$J259,$Y259)))</f>
        <v/>
      </c>
      <c r="AA259" s="62">
        <f>IF($V259="","",IF(AND(ISNUMBER($G259),$G259&lt;=IF($S259=MesCiclo,InicioCiclo,$S259+MOD(2-WEEKDAY($S259),7))+20),1,IF(ISNUMBER($K259),$K259,$Z259)))</f>
        <v/>
      </c>
      <c r="AB259" s="62">
        <f>IF($V259="","",IF(AND(ISNUMBER($G259),$G259&lt;=IF($S259=MesCiclo,InicioCiclo,$S259+MOD(2-WEEKDAY($S259),7))+27),1,IF(ISNUMBER($L259),$L259,$AA259)))</f>
        <v/>
      </c>
      <c r="AC259" s="62">
        <f>IF($V259="","",IF(AND(ISNUMBER($G259),$G259&lt;=IF($S259=MesCiclo,InicioCiclo,$S259+MOD(2-WEEKDAY($S259),7))+6),1,IF(N($W259)&gt;0,AVERAGEIFS($Y$5:$Y$1000,$U$5:$U$1000,ROW(),$V$5:$V$1000,"Sub"),$Y259)))</f>
        <v/>
      </c>
      <c r="AD259" s="62">
        <f>IF($V259="","",IF(AND(ISNUMBER($G259),$G259&lt;=IF($S259=MesCiclo,InicioCiclo,$S259+MOD(2-WEEKDAY($S259),7))+13),1,IF(N($W259)&gt;0,AVERAGEIFS($Z$5:$Z$1000,$U$5:$U$1000,ROW(),$V$5:$V$1000,"Sub"),$Z259)))</f>
        <v/>
      </c>
      <c r="AE259" s="62">
        <f>IF($V259="","",IF(AND(ISNUMBER($G259),$G259&lt;=IF($S259=MesCiclo,InicioCiclo,$S259+MOD(2-WEEKDAY($S259),7))+20),1,IF(N($W259)&gt;0,AVERAGEIFS($AA$5:$AA$1000,$U$5:$U$1000,ROW(),$V$5:$V$1000,"Sub"),$AA259)))</f>
        <v/>
      </c>
      <c r="AF259" s="62">
        <f>IF($V259="","",IF(AND(ISNUMBER($G259),$G259&lt;=IF($S259=MesCiclo,InicioCiclo,$S259+MOD(2-WEEKDAY($S259),7))+27),1,IF(N($W259)&gt;0,AVERAGEIFS($AB$5:$AB$1000,$U$5:$U$1000,ROW(),$V$5:$V$1000,"Sub"),$AB259)))</f>
        <v/>
      </c>
      <c r="AG259" s="62">
        <f>IF($V259&lt;&gt;"Macro","",IF(COUNTIFS($S$5:$S$1000,$S259,$V$5:$V$1000,"Macro",$H$5:$H$1000,"&gt;0")=0,1/COUNTIFS($S$5:$S$1000,$S259,$V$5:$V$1000,"Macro"),IF(AND(ISNUMBER($H259),N($H259)&gt;0),$H259,SUMIFS($H$5:$H$1000,$S$5:$S$1000,$S259,$V$5:$V$1000,"Macro")/COUNTIFS($S$5:$S$1000,$S259,$V$5:$V$1000,"Macro",$H$5:$H$1000,"&gt;0"))/(COUNTIFS($S$5:$S$1000,$S259,$V$5:$V$1000,"Macro")*SUMIFS($H$5:$H$1000,$S$5:$S$1000,$S259,$V$5:$V$1000,"Macro")/COUNTIFS($S$5:$S$1000,$S259,$V$5:$V$1000,"Macro",$H$5:$H$1000,"&gt;0"))))</f>
        <v/>
      </c>
      <c r="AH259" s="62" t="n"/>
      <c r="AI259" s="62" t="n"/>
      <c r="AJ259" s="62" t="n"/>
      <c r="AK259" s="62" t="n"/>
      <c r="AL259" s="62">
        <f>IF(LEFT($C259,11)="[Jefatura] ",IFERROR(MATCH("Asistente Técnico de Riesgo|"&amp;MID($C259,12,500),rDname_ADM,0),0),"")</f>
        <v/>
      </c>
      <c r="AM259" s="62">
        <f>IF(N($AL259)&gt;0,INDEX(rIni_ADM,$AL259),IF(ISNUMBER($E259),$E259,""))</f>
        <v/>
      </c>
      <c r="AN259" s="62">
        <f>IF(N($AL259)&gt;0,INDEX(rLim_ADM,$AL259),IF(ISNUMBER($F259),$F259,""))</f>
        <v/>
      </c>
    </row>
    <row r="260">
      <c r="A260" s="56">
        <f>IF(NOT((COUNTA($B260:$D260)+COUNTA($G260:$L260)+COUNTA($Q260))&gt;0),"",IF($V260="Macro",COUNTIFS($V$5:$V260,"Macro",$S$5:$S260,$S260),IF(N($U260)=0,"?",COUNTIFS(INDEX($V$5:$V$1000,1):INDEX($V$5:$V$1000,$U260-4),"Macro",INDEX($S$5:$S$1000,1):INDEX($S$5:$S$1000,$U260-4),INDEX($S$5:$S$1000,$U260-4))&amp;"."&amp;COUNTIFS($U$5:$U260,$U260,$V$5:$V260,"Sub"))))</f>
        <v/>
      </c>
      <c r="B260" s="57" t="n"/>
      <c r="C260" s="58" t="n"/>
      <c r="D260" s="58" t="n"/>
      <c r="E260" s="59">
        <f>IF(N($AL260)&gt;0,INDEX(rIni_ADM,$AL260),"")</f>
        <v/>
      </c>
      <c r="F260" s="59">
        <f>IF(N($AL260)&gt;0,INDEX(rLim_ADM,$AL260),"")</f>
        <v/>
      </c>
      <c r="G260" s="59" t="n"/>
      <c r="H260" s="60" t="n"/>
      <c r="I260" s="60" t="n"/>
      <c r="J260" s="60" t="n"/>
      <c r="K260" s="60" t="n"/>
      <c r="L260" s="60" t="n"/>
      <c r="M260" s="61">
        <f>IF(NOT((COUNTA($B260:$D260)+COUNTA($G260:$L260)+COUNTA($Q260))&gt;0),"",IF($V260="Sub",IFERROR($X260/INDEX($W$5:$W$1000,$U260-4),""),IF(ISNUMBER($G260),1,IF(N($W260)&gt;0,AVERAGEIFS($X$5:$X$1000,$U$5:$U$1000,ROW(),$V$5:$V$1000,"Sub"),$X260))))</f>
        <v/>
      </c>
      <c r="N260" s="56">
        <f>IF(OR($M260="",$V260="Sub"),"",IF($M260&gt;=1,"Completado",IF($M260&gt;0,"En curso","Pendiente")))</f>
        <v/>
      </c>
      <c r="O260" s="56">
        <f>IF(OR(NOT((COUNTA($B260:$D260)+COUNTA($G260:$L260)+COUNTA($Q260))&gt;0),$V260="Sub"),"",IF(ISNUMBER($G260),IF(AND(ISNUMBER($AN260),$G260&gt;$AN260),"Cumplida con "&amp;($G260-$AN260)&amp;IF($G260-$AN260=1," día"," días")&amp;" de retraso","Cumplida"),IF(N($M260)&gt;=1,"Cumplida",IF(NOT(ISNUMBER($AN260)),"Sin fecha límite",IF($AN260&lt;FechaRef,"Vencida hace "&amp;(FechaRef-$AN260)&amp;IF(FechaRef-$AN260=1," día"," días"),IF($AN260=FechaRef,"Vence hoy",IF($AN260-FechaRef&lt;=DiasAlerta,"Vence en "&amp;($AN260-FechaRef)&amp;IF($AN260-FechaRef=1," día"," días"),"En plazo")))))))</f>
        <v/>
      </c>
      <c r="P260" s="62" t="n"/>
      <c r="Q260" s="58" t="n"/>
      <c r="R260" s="63">
        <f>IF(NOT((COUNTA($B260:$D260)+COUNTA($G260:$L260)+COUNTA($Q260))&gt;0),"",IF((IF($C260="","Falta el nombre de la actividad"&amp;" · ","")&amp;IF(AND($V260="Sub",N($U260)=0),"Subactividad sin macroactividad arriba"&amp;" · ","")&amp;IF($AM260="","Sin fecha de inicio"&amp;" · ","")&amp;IF($AN260="","Sin fecha límite"&amp;" · ","")&amp;IF(AND(LEFT($C260,11)="[Jefatura] ",N($AL260)=0),"No se encuentra en la hoja de la jefatura (elíjala de nuevo en la lista)"&amp;" · ","")&amp;IF(OR(AND($E260&lt;&gt;"",NOT(ISNUMBER($E260))),AND($F260&lt;&gt;"",NOT(ISNUMBER($F260))),AND($G260&lt;&gt;"",NOT(ISNUMBER($G260)))),"Fecha no válida"&amp;" · ","")&amp;IF(AND(ISNUMBER($AM260),ISNUMBER($AN260),$AM260&gt;$AN260),"Inicio posterior a fecha límite"&amp;" · ","")&amp;IF(AND($V260="Macro",$H260&lt;&gt;"",OR(NOT(ISNUMBER($H260)),$H260&lt;0,$H260&gt;1)),"Peso fuera de rango"&amp;" · ","")&amp;IF(AND($V260="Sub",$H260&lt;&gt;""),"Las subactividades no llevan peso (valen igual dentro de su macroactividad)"&amp;" · ","")&amp;IF(AND(N($W260)&gt;0,COUNT($I260:$L260)&gt;0),"Con subactividades: deje vacías las semanas (se calculan solas)"&amp;" · ","")&amp;IF((COUNTIF($I260:$L260,"&gt;1")+COUNTIF($I260:$L260,"&lt;0")+COUNTA($I260:$L260)-COUNT($I260:$L260))&gt;0,"Avance fuera de rango 0-100%"&amp;" · ","")&amp;IF(OR(AND($J260&lt;&gt;"",$J260&lt;$I260),AND($K260&lt;&gt;"",$K260&lt;MAX($I260:$J260)),AND($L260&lt;&gt;"",$L260&lt;MAX($I260:$K260))),"Avance semanal decreciente"&amp;" · ","")&amp;IF(AND(ISNUMBER($AN260),$AN260&lt;FechaRef,IF($V260="Sub",N($X260),N($M260))&lt;1),"Vencida"&amp;" · ","")&amp;IF(AND(ObsObligatoria="Sí",ISNUMBER($AN260),$AN260&lt;FechaRef,IF($V260="Sub",N($X260),N($M260))&lt;1,$Q260=""),"Vencida sin observación"&amp;" · ",""))="","✔ OK","⚠ "&amp;LEFT(IF($C260="","Falta el nombre de la actividad"&amp;" · ","")&amp;IF(AND($V260="Sub",N($U260)=0),"Subactividad sin macroactividad arriba"&amp;" · ","")&amp;IF($AM260="","Sin fecha de inicio"&amp;" · ","")&amp;IF($AN260="","Sin fecha límite"&amp;" · ","")&amp;IF(AND(LEFT($C260,11)="[Jefatura] ",N($AL260)=0),"No se encuentra en la hoja de la jefatura (elíjala de nuevo en la lista)"&amp;" · ","")&amp;IF(OR(AND($E260&lt;&gt;"",NOT(ISNUMBER($E260))),AND($F260&lt;&gt;"",NOT(ISNUMBER($F260))),AND($G260&lt;&gt;"",NOT(ISNUMBER($G260)))),"Fecha no válida"&amp;" · ","")&amp;IF(AND(ISNUMBER($AM260),ISNUMBER($AN260),$AM260&gt;$AN260),"Inicio posterior a fecha límite"&amp;" · ","")&amp;IF(AND($V260="Macro",$H260&lt;&gt;"",OR(NOT(ISNUMBER($H260)),$H260&lt;0,$H260&gt;1)),"Peso fuera de rango"&amp;" · ","")&amp;IF(AND($V260="Sub",$H260&lt;&gt;""),"Las subactividades no llevan peso (valen igual dentro de su macroactividad)"&amp;" · ","")&amp;IF(AND(N($W260)&gt;0,COUNT($I260:$L260)&gt;0),"Con subactividades: deje vacías las semanas (se calculan solas)"&amp;" · ","")&amp;IF((COUNTIF($I260:$L260,"&gt;1")+COUNTIF($I260:$L260,"&lt;0")+COUNTA($I260:$L260)-COUNT($I260:$L260))&gt;0,"Avance fuera de rango 0-100%"&amp;" · ","")&amp;IF(OR(AND($J260&lt;&gt;"",$J260&lt;$I260),AND($K260&lt;&gt;"",$K260&lt;MAX($I260:$J260)),AND($L260&lt;&gt;"",$L260&lt;MAX($I260:$K260))),"Avance semanal decreciente"&amp;" · ","")&amp;IF(AND(ISNUMBER($AN260),$AN260&lt;FechaRef,IF($V260="Sub",N($X260),N($M260))&lt;1),"Vencida"&amp;" · ","")&amp;IF(AND(ObsObligatoria="Sí",ISNUMBER($AN260),$AN260&lt;FechaRef,IF($V260="Sub",N($X260),N($M260))&lt;1,$Q260=""),"Vencida sin observación"&amp;" · ",""),LEN(IF($C260="","Falta el nombre de la actividad"&amp;" · ","")&amp;IF(AND($V260="Sub",N($U260)=0),"Subactividad sin macroactividad arriba"&amp;" · ","")&amp;IF($AM260="","Sin fecha de inicio"&amp;" · ","")&amp;IF($AN260="","Sin fecha límite"&amp;" · ","")&amp;IF(AND(LEFT($C260,11)="[Jefatura] ",N($AL260)=0),"No se encuentra en la hoja de la jefatura (elíjala de nuevo en la lista)"&amp;" · ","")&amp;IF(OR(AND($E260&lt;&gt;"",NOT(ISNUMBER($E260))),AND($F260&lt;&gt;"",NOT(ISNUMBER($F260))),AND($G260&lt;&gt;"",NOT(ISNUMBER($G260)))),"Fecha no válida"&amp;" · ","")&amp;IF(AND(ISNUMBER($AM260),ISNUMBER($AN260),$AM260&gt;$AN260),"Inicio posterior a fecha límite"&amp;" · ","")&amp;IF(AND($V260="Macro",$H260&lt;&gt;"",OR(NOT(ISNUMBER($H260)),$H260&lt;0,$H260&gt;1)),"Peso fuera de rango"&amp;" · ","")&amp;IF(AND($V260="Sub",$H260&lt;&gt;""),"Las subactividades no llevan peso (valen igual dentro de su macroactividad)"&amp;" · ","")&amp;IF(AND(N($W260)&gt;0,COUNT($I260:$L260)&gt;0),"Con subactividades: deje vacías las semanas (se calculan solas)"&amp;" · ","")&amp;IF((COUNTIF($I260:$L260,"&gt;1")+COUNTIF($I260:$L260,"&lt;0")+COUNTA($I260:$L260)-COUNT($I260:$L260))&gt;0,"Avance fuera de rango 0-100%"&amp;" · ","")&amp;IF(OR(AND($J260&lt;&gt;"",$J260&lt;$I260),AND($K260&lt;&gt;"",$K260&lt;MAX($I260:$J260)),AND($L260&lt;&gt;"",$L260&lt;MAX($I260:$K260))),"Avance semanal decreciente"&amp;" · ","")&amp;IF(AND(ISNUMBER($AN260),$AN260&lt;FechaRef,IF($V260="Sub",N($X260),N($M260))&lt;1),"Vencida"&amp;" · ","")&amp;IF(AND(ObsObligatoria="Sí",ISNUMBER($AN260),$AN260&lt;FechaRef,IF($V260="Sub",N($X260),N($M260))&lt;1,$Q260=""),"Vencida sin observación"&amp;" · ",""))-3)))</f>
        <v/>
      </c>
      <c r="S260" s="64">
        <f>IF(NOT((COUNTA($B260:$D260)+COUNTA($G260:$L260)+COUNTA($Q260))&gt;0),"",IF(AND($V260="Sub",N($U260)&gt;0),IF(ISNUMBER(INDEX($AM$5:$AM$1000,$U260-4)),DATE(YEAR(INDEX($AM$5:$AM$1000,$U260-4)),MONTH(INDEX($AM$5:$AM$1000,$U260-4)),1),IF(ISNUMBER(INDEX($AN$5:$AN$1000,$U260-4)),DATE(YEAR(INDEX($AN$5:$AN$1000,$U260-4)),MONTH(INDEX($AN$5:$AN$1000,$U260-4)),1),MesCiclo)),IF(ISNUMBER($AM260),DATE(YEAR($AM260),MONTH($AM260),1),IF(ISNUMBER($AN260),DATE(YEAR($AN260),MONTH($AN260),1),MesCiclo))))</f>
        <v/>
      </c>
      <c r="T260" s="62">
        <f>IF(OR($S260="",$S260&lt;&gt;MesCiclo,$V260&lt;&gt;"Macro"),"",COUNTIFS($S$5:$S260,MesCiclo,$V$5:$V260,"Macro"))</f>
        <v/>
      </c>
      <c r="U260" s="62">
        <f>IF($V260="","",IF($V260="Macro",ROW(),IFERROR(LOOKUP(2,1/($V$5:$V260="Macro"),ROW($V$5:$V260)),0)))</f>
        <v/>
      </c>
      <c r="V260" s="62">
        <f>IF(NOT((COUNTA($B260:$D260)+COUNTA($G260:$L260)+COUNTA($Q260))&gt;0),"",IF($B260="Subactividad","Sub","Macro"))</f>
        <v/>
      </c>
      <c r="W260" s="62">
        <f>IF($V260="Macro",COUNTIFS($U$5:$U$1000,ROW(),$V$5:$V$1000,"Sub"),"")</f>
        <v/>
      </c>
      <c r="X260" s="62">
        <f>IF($V260="","",IF(ISNUMBER($G260),1,IFERROR(LOOKUP(2,1/($I260:$L260&lt;&gt;""),$I260:$L260),0)))</f>
        <v/>
      </c>
      <c r="Y260" s="62">
        <f>IF($V260="","",IF(AND(ISNUMBER($G260),$G260&lt;=IF($S260=MesCiclo,InicioCiclo,$S260+MOD(2-WEEKDAY($S260),7))+6),1,IF(ISNUMBER($I260),$I260,0)))</f>
        <v/>
      </c>
      <c r="Z260" s="62">
        <f>IF($V260="","",IF(AND(ISNUMBER($G260),$G260&lt;=IF($S260=MesCiclo,InicioCiclo,$S260+MOD(2-WEEKDAY($S260),7))+13),1,IF(ISNUMBER($J260),$J260,$Y260)))</f>
        <v/>
      </c>
      <c r="AA260" s="62">
        <f>IF($V260="","",IF(AND(ISNUMBER($G260),$G260&lt;=IF($S260=MesCiclo,InicioCiclo,$S260+MOD(2-WEEKDAY($S260),7))+20),1,IF(ISNUMBER($K260),$K260,$Z260)))</f>
        <v/>
      </c>
      <c r="AB260" s="62">
        <f>IF($V260="","",IF(AND(ISNUMBER($G260),$G260&lt;=IF($S260=MesCiclo,InicioCiclo,$S260+MOD(2-WEEKDAY($S260),7))+27),1,IF(ISNUMBER($L260),$L260,$AA260)))</f>
        <v/>
      </c>
      <c r="AC260" s="62">
        <f>IF($V260="","",IF(AND(ISNUMBER($G260),$G260&lt;=IF($S260=MesCiclo,InicioCiclo,$S260+MOD(2-WEEKDAY($S260),7))+6),1,IF(N($W260)&gt;0,AVERAGEIFS($Y$5:$Y$1000,$U$5:$U$1000,ROW(),$V$5:$V$1000,"Sub"),$Y260)))</f>
        <v/>
      </c>
      <c r="AD260" s="62">
        <f>IF($V260="","",IF(AND(ISNUMBER($G260),$G260&lt;=IF($S260=MesCiclo,InicioCiclo,$S260+MOD(2-WEEKDAY($S260),7))+13),1,IF(N($W260)&gt;0,AVERAGEIFS($Z$5:$Z$1000,$U$5:$U$1000,ROW(),$V$5:$V$1000,"Sub"),$Z260)))</f>
        <v/>
      </c>
      <c r="AE260" s="62">
        <f>IF($V260="","",IF(AND(ISNUMBER($G260),$G260&lt;=IF($S260=MesCiclo,InicioCiclo,$S260+MOD(2-WEEKDAY($S260),7))+20),1,IF(N($W260)&gt;0,AVERAGEIFS($AA$5:$AA$1000,$U$5:$U$1000,ROW(),$V$5:$V$1000,"Sub"),$AA260)))</f>
        <v/>
      </c>
      <c r="AF260" s="62">
        <f>IF($V260="","",IF(AND(ISNUMBER($G260),$G260&lt;=IF($S260=MesCiclo,InicioCiclo,$S260+MOD(2-WEEKDAY($S260),7))+27),1,IF(N($W260)&gt;0,AVERAGEIFS($AB$5:$AB$1000,$U$5:$U$1000,ROW(),$V$5:$V$1000,"Sub"),$AB260)))</f>
        <v/>
      </c>
      <c r="AG260" s="62">
        <f>IF($V260&lt;&gt;"Macro","",IF(COUNTIFS($S$5:$S$1000,$S260,$V$5:$V$1000,"Macro",$H$5:$H$1000,"&gt;0")=0,1/COUNTIFS($S$5:$S$1000,$S260,$V$5:$V$1000,"Macro"),IF(AND(ISNUMBER($H260),N($H260)&gt;0),$H260,SUMIFS($H$5:$H$1000,$S$5:$S$1000,$S260,$V$5:$V$1000,"Macro")/COUNTIFS($S$5:$S$1000,$S260,$V$5:$V$1000,"Macro",$H$5:$H$1000,"&gt;0"))/(COUNTIFS($S$5:$S$1000,$S260,$V$5:$V$1000,"Macro")*SUMIFS($H$5:$H$1000,$S$5:$S$1000,$S260,$V$5:$V$1000,"Macro")/COUNTIFS($S$5:$S$1000,$S260,$V$5:$V$1000,"Macro",$H$5:$H$1000,"&gt;0"))))</f>
        <v/>
      </c>
      <c r="AH260" s="62" t="n"/>
      <c r="AI260" s="62" t="n"/>
      <c r="AJ260" s="62" t="n"/>
      <c r="AK260" s="62" t="n"/>
      <c r="AL260" s="62">
        <f>IF(LEFT($C260,11)="[Jefatura] ",IFERROR(MATCH("Asistente Técnico de Riesgo|"&amp;MID($C260,12,500),rDname_ADM,0),0),"")</f>
        <v/>
      </c>
      <c r="AM260" s="62">
        <f>IF(N($AL260)&gt;0,INDEX(rIni_ADM,$AL260),IF(ISNUMBER($E260),$E260,""))</f>
        <v/>
      </c>
      <c r="AN260" s="62">
        <f>IF(N($AL260)&gt;0,INDEX(rLim_ADM,$AL260),IF(ISNUMBER($F260),$F260,""))</f>
        <v/>
      </c>
    </row>
    <row r="261">
      <c r="A261" s="56">
        <f>IF(NOT((COUNTA($B261:$D261)+COUNTA($G261:$L261)+COUNTA($Q261))&gt;0),"",IF($V261="Macro",COUNTIFS($V$5:$V261,"Macro",$S$5:$S261,$S261),IF(N($U261)=0,"?",COUNTIFS(INDEX($V$5:$V$1000,1):INDEX($V$5:$V$1000,$U261-4),"Macro",INDEX($S$5:$S$1000,1):INDEX($S$5:$S$1000,$U261-4),INDEX($S$5:$S$1000,$U261-4))&amp;"."&amp;COUNTIFS($U$5:$U261,$U261,$V$5:$V261,"Sub"))))</f>
        <v/>
      </c>
      <c r="B261" s="57" t="n"/>
      <c r="C261" s="58" t="n"/>
      <c r="D261" s="58" t="n"/>
      <c r="E261" s="59">
        <f>IF(N($AL261)&gt;0,INDEX(rIni_ADM,$AL261),"")</f>
        <v/>
      </c>
      <c r="F261" s="59">
        <f>IF(N($AL261)&gt;0,INDEX(rLim_ADM,$AL261),"")</f>
        <v/>
      </c>
      <c r="G261" s="59" t="n"/>
      <c r="H261" s="60" t="n"/>
      <c r="I261" s="60" t="n"/>
      <c r="J261" s="60" t="n"/>
      <c r="K261" s="60" t="n"/>
      <c r="L261" s="60" t="n"/>
      <c r="M261" s="61">
        <f>IF(NOT((COUNTA($B261:$D261)+COUNTA($G261:$L261)+COUNTA($Q261))&gt;0),"",IF($V261="Sub",IFERROR($X261/INDEX($W$5:$W$1000,$U261-4),""),IF(ISNUMBER($G261),1,IF(N($W261)&gt;0,AVERAGEIFS($X$5:$X$1000,$U$5:$U$1000,ROW(),$V$5:$V$1000,"Sub"),$X261))))</f>
        <v/>
      </c>
      <c r="N261" s="56">
        <f>IF(OR($M261="",$V261="Sub"),"",IF($M261&gt;=1,"Completado",IF($M261&gt;0,"En curso","Pendiente")))</f>
        <v/>
      </c>
      <c r="O261" s="56">
        <f>IF(OR(NOT((COUNTA($B261:$D261)+COUNTA($G261:$L261)+COUNTA($Q261))&gt;0),$V261="Sub"),"",IF(ISNUMBER($G261),IF(AND(ISNUMBER($AN261),$G261&gt;$AN261),"Cumplida con "&amp;($G261-$AN261)&amp;IF($G261-$AN261=1," día"," días")&amp;" de retraso","Cumplida"),IF(N($M261)&gt;=1,"Cumplida",IF(NOT(ISNUMBER($AN261)),"Sin fecha límite",IF($AN261&lt;FechaRef,"Vencida hace "&amp;(FechaRef-$AN261)&amp;IF(FechaRef-$AN261=1," día"," días"),IF($AN261=FechaRef,"Vence hoy",IF($AN261-FechaRef&lt;=DiasAlerta,"Vence en "&amp;($AN261-FechaRef)&amp;IF($AN261-FechaRef=1," día"," días"),"En plazo")))))))</f>
        <v/>
      </c>
      <c r="P261" s="62" t="n"/>
      <c r="Q261" s="58" t="n"/>
      <c r="R261" s="63">
        <f>IF(NOT((COUNTA($B261:$D261)+COUNTA($G261:$L261)+COUNTA($Q261))&gt;0),"",IF((IF($C261="","Falta el nombre de la actividad"&amp;" · ","")&amp;IF(AND($V261="Sub",N($U261)=0),"Subactividad sin macroactividad arriba"&amp;" · ","")&amp;IF($AM261="","Sin fecha de inicio"&amp;" · ","")&amp;IF($AN261="","Sin fecha límite"&amp;" · ","")&amp;IF(AND(LEFT($C261,11)="[Jefatura] ",N($AL261)=0),"No se encuentra en la hoja de la jefatura (elíjala de nuevo en la lista)"&amp;" · ","")&amp;IF(OR(AND($E261&lt;&gt;"",NOT(ISNUMBER($E261))),AND($F261&lt;&gt;"",NOT(ISNUMBER($F261))),AND($G261&lt;&gt;"",NOT(ISNUMBER($G261)))),"Fecha no válida"&amp;" · ","")&amp;IF(AND(ISNUMBER($AM261),ISNUMBER($AN261),$AM261&gt;$AN261),"Inicio posterior a fecha límite"&amp;" · ","")&amp;IF(AND($V261="Macro",$H261&lt;&gt;"",OR(NOT(ISNUMBER($H261)),$H261&lt;0,$H261&gt;1)),"Peso fuera de rango"&amp;" · ","")&amp;IF(AND($V261="Sub",$H261&lt;&gt;""),"Las subactividades no llevan peso (valen igual dentro de su macroactividad)"&amp;" · ","")&amp;IF(AND(N($W261)&gt;0,COUNT($I261:$L261)&gt;0),"Con subactividades: deje vacías las semanas (se calculan solas)"&amp;" · ","")&amp;IF((COUNTIF($I261:$L261,"&gt;1")+COUNTIF($I261:$L261,"&lt;0")+COUNTA($I261:$L261)-COUNT($I261:$L261))&gt;0,"Avance fuera de rango 0-100%"&amp;" · ","")&amp;IF(OR(AND($J261&lt;&gt;"",$J261&lt;$I261),AND($K261&lt;&gt;"",$K261&lt;MAX($I261:$J261)),AND($L261&lt;&gt;"",$L261&lt;MAX($I261:$K261))),"Avance semanal decreciente"&amp;" · ","")&amp;IF(AND(ISNUMBER($AN261),$AN261&lt;FechaRef,IF($V261="Sub",N($X261),N($M261))&lt;1),"Vencida"&amp;" · ","")&amp;IF(AND(ObsObligatoria="Sí",ISNUMBER($AN261),$AN261&lt;FechaRef,IF($V261="Sub",N($X261),N($M261))&lt;1,$Q261=""),"Vencida sin observación"&amp;" · ",""))="","✔ OK","⚠ "&amp;LEFT(IF($C261="","Falta el nombre de la actividad"&amp;" · ","")&amp;IF(AND($V261="Sub",N($U261)=0),"Subactividad sin macroactividad arriba"&amp;" · ","")&amp;IF($AM261="","Sin fecha de inicio"&amp;" · ","")&amp;IF($AN261="","Sin fecha límite"&amp;" · ","")&amp;IF(AND(LEFT($C261,11)="[Jefatura] ",N($AL261)=0),"No se encuentra en la hoja de la jefatura (elíjala de nuevo en la lista)"&amp;" · ","")&amp;IF(OR(AND($E261&lt;&gt;"",NOT(ISNUMBER($E261))),AND($F261&lt;&gt;"",NOT(ISNUMBER($F261))),AND($G261&lt;&gt;"",NOT(ISNUMBER($G261)))),"Fecha no válida"&amp;" · ","")&amp;IF(AND(ISNUMBER($AM261),ISNUMBER($AN261),$AM261&gt;$AN261),"Inicio posterior a fecha límite"&amp;" · ","")&amp;IF(AND($V261="Macro",$H261&lt;&gt;"",OR(NOT(ISNUMBER($H261)),$H261&lt;0,$H261&gt;1)),"Peso fuera de rango"&amp;" · ","")&amp;IF(AND($V261="Sub",$H261&lt;&gt;""),"Las subactividades no llevan peso (valen igual dentro de su macroactividad)"&amp;" · ","")&amp;IF(AND(N($W261)&gt;0,COUNT($I261:$L261)&gt;0),"Con subactividades: deje vacías las semanas (se calculan solas)"&amp;" · ","")&amp;IF((COUNTIF($I261:$L261,"&gt;1")+COUNTIF($I261:$L261,"&lt;0")+COUNTA($I261:$L261)-COUNT($I261:$L261))&gt;0,"Avance fuera de rango 0-100%"&amp;" · ","")&amp;IF(OR(AND($J261&lt;&gt;"",$J261&lt;$I261),AND($K261&lt;&gt;"",$K261&lt;MAX($I261:$J261)),AND($L261&lt;&gt;"",$L261&lt;MAX($I261:$K261))),"Avance semanal decreciente"&amp;" · ","")&amp;IF(AND(ISNUMBER($AN261),$AN261&lt;FechaRef,IF($V261="Sub",N($X261),N($M261))&lt;1),"Vencida"&amp;" · ","")&amp;IF(AND(ObsObligatoria="Sí",ISNUMBER($AN261),$AN261&lt;FechaRef,IF($V261="Sub",N($X261),N($M261))&lt;1,$Q261=""),"Vencida sin observación"&amp;" · ",""),LEN(IF($C261="","Falta el nombre de la actividad"&amp;" · ","")&amp;IF(AND($V261="Sub",N($U261)=0),"Subactividad sin macroactividad arriba"&amp;" · ","")&amp;IF($AM261="","Sin fecha de inicio"&amp;" · ","")&amp;IF($AN261="","Sin fecha límite"&amp;" · ","")&amp;IF(AND(LEFT($C261,11)="[Jefatura] ",N($AL261)=0),"No se encuentra en la hoja de la jefatura (elíjala de nuevo en la lista)"&amp;" · ","")&amp;IF(OR(AND($E261&lt;&gt;"",NOT(ISNUMBER($E261))),AND($F261&lt;&gt;"",NOT(ISNUMBER($F261))),AND($G261&lt;&gt;"",NOT(ISNUMBER($G261)))),"Fecha no válida"&amp;" · ","")&amp;IF(AND(ISNUMBER($AM261),ISNUMBER($AN261),$AM261&gt;$AN261),"Inicio posterior a fecha límite"&amp;" · ","")&amp;IF(AND($V261="Macro",$H261&lt;&gt;"",OR(NOT(ISNUMBER($H261)),$H261&lt;0,$H261&gt;1)),"Peso fuera de rango"&amp;" · ","")&amp;IF(AND($V261="Sub",$H261&lt;&gt;""),"Las subactividades no llevan peso (valen igual dentro de su macroactividad)"&amp;" · ","")&amp;IF(AND(N($W261)&gt;0,COUNT($I261:$L261)&gt;0),"Con subactividades: deje vacías las semanas (se calculan solas)"&amp;" · ","")&amp;IF((COUNTIF($I261:$L261,"&gt;1")+COUNTIF($I261:$L261,"&lt;0")+COUNTA($I261:$L261)-COUNT($I261:$L261))&gt;0,"Avance fuera de rango 0-100%"&amp;" · ","")&amp;IF(OR(AND($J261&lt;&gt;"",$J261&lt;$I261),AND($K261&lt;&gt;"",$K261&lt;MAX($I261:$J261)),AND($L261&lt;&gt;"",$L261&lt;MAX($I261:$K261))),"Avance semanal decreciente"&amp;" · ","")&amp;IF(AND(ISNUMBER($AN261),$AN261&lt;FechaRef,IF($V261="Sub",N($X261),N($M261))&lt;1),"Vencida"&amp;" · ","")&amp;IF(AND(ObsObligatoria="Sí",ISNUMBER($AN261),$AN261&lt;FechaRef,IF($V261="Sub",N($X261),N($M261))&lt;1,$Q261=""),"Vencida sin observación"&amp;" · ",""))-3)))</f>
        <v/>
      </c>
      <c r="S261" s="64">
        <f>IF(NOT((COUNTA($B261:$D261)+COUNTA($G261:$L261)+COUNTA($Q261))&gt;0),"",IF(AND($V261="Sub",N($U261)&gt;0),IF(ISNUMBER(INDEX($AM$5:$AM$1000,$U261-4)),DATE(YEAR(INDEX($AM$5:$AM$1000,$U261-4)),MONTH(INDEX($AM$5:$AM$1000,$U261-4)),1),IF(ISNUMBER(INDEX($AN$5:$AN$1000,$U261-4)),DATE(YEAR(INDEX($AN$5:$AN$1000,$U261-4)),MONTH(INDEX($AN$5:$AN$1000,$U261-4)),1),MesCiclo)),IF(ISNUMBER($AM261),DATE(YEAR($AM261),MONTH($AM261),1),IF(ISNUMBER($AN261),DATE(YEAR($AN261),MONTH($AN261),1),MesCiclo))))</f>
        <v/>
      </c>
      <c r="T261" s="62">
        <f>IF(OR($S261="",$S261&lt;&gt;MesCiclo,$V261&lt;&gt;"Macro"),"",COUNTIFS($S$5:$S261,MesCiclo,$V$5:$V261,"Macro"))</f>
        <v/>
      </c>
      <c r="U261" s="62">
        <f>IF($V261="","",IF($V261="Macro",ROW(),IFERROR(LOOKUP(2,1/($V$5:$V261="Macro"),ROW($V$5:$V261)),0)))</f>
        <v/>
      </c>
      <c r="V261" s="62">
        <f>IF(NOT((COUNTA($B261:$D261)+COUNTA($G261:$L261)+COUNTA($Q261))&gt;0),"",IF($B261="Subactividad","Sub","Macro"))</f>
        <v/>
      </c>
      <c r="W261" s="62">
        <f>IF($V261="Macro",COUNTIFS($U$5:$U$1000,ROW(),$V$5:$V$1000,"Sub"),"")</f>
        <v/>
      </c>
      <c r="X261" s="62">
        <f>IF($V261="","",IF(ISNUMBER($G261),1,IFERROR(LOOKUP(2,1/($I261:$L261&lt;&gt;""),$I261:$L261),0)))</f>
        <v/>
      </c>
      <c r="Y261" s="62">
        <f>IF($V261="","",IF(AND(ISNUMBER($G261),$G261&lt;=IF($S261=MesCiclo,InicioCiclo,$S261+MOD(2-WEEKDAY($S261),7))+6),1,IF(ISNUMBER($I261),$I261,0)))</f>
        <v/>
      </c>
      <c r="Z261" s="62">
        <f>IF($V261="","",IF(AND(ISNUMBER($G261),$G261&lt;=IF($S261=MesCiclo,InicioCiclo,$S261+MOD(2-WEEKDAY($S261),7))+13),1,IF(ISNUMBER($J261),$J261,$Y261)))</f>
        <v/>
      </c>
      <c r="AA261" s="62">
        <f>IF($V261="","",IF(AND(ISNUMBER($G261),$G261&lt;=IF($S261=MesCiclo,InicioCiclo,$S261+MOD(2-WEEKDAY($S261),7))+20),1,IF(ISNUMBER($K261),$K261,$Z261)))</f>
        <v/>
      </c>
      <c r="AB261" s="62">
        <f>IF($V261="","",IF(AND(ISNUMBER($G261),$G261&lt;=IF($S261=MesCiclo,InicioCiclo,$S261+MOD(2-WEEKDAY($S261),7))+27),1,IF(ISNUMBER($L261),$L261,$AA261)))</f>
        <v/>
      </c>
      <c r="AC261" s="62">
        <f>IF($V261="","",IF(AND(ISNUMBER($G261),$G261&lt;=IF($S261=MesCiclo,InicioCiclo,$S261+MOD(2-WEEKDAY($S261),7))+6),1,IF(N($W261)&gt;0,AVERAGEIFS($Y$5:$Y$1000,$U$5:$U$1000,ROW(),$V$5:$V$1000,"Sub"),$Y261)))</f>
        <v/>
      </c>
      <c r="AD261" s="62">
        <f>IF($V261="","",IF(AND(ISNUMBER($G261),$G261&lt;=IF($S261=MesCiclo,InicioCiclo,$S261+MOD(2-WEEKDAY($S261),7))+13),1,IF(N($W261)&gt;0,AVERAGEIFS($Z$5:$Z$1000,$U$5:$U$1000,ROW(),$V$5:$V$1000,"Sub"),$Z261)))</f>
        <v/>
      </c>
      <c r="AE261" s="62">
        <f>IF($V261="","",IF(AND(ISNUMBER($G261),$G261&lt;=IF($S261=MesCiclo,InicioCiclo,$S261+MOD(2-WEEKDAY($S261),7))+20),1,IF(N($W261)&gt;0,AVERAGEIFS($AA$5:$AA$1000,$U$5:$U$1000,ROW(),$V$5:$V$1000,"Sub"),$AA261)))</f>
        <v/>
      </c>
      <c r="AF261" s="62">
        <f>IF($V261="","",IF(AND(ISNUMBER($G261),$G261&lt;=IF($S261=MesCiclo,InicioCiclo,$S261+MOD(2-WEEKDAY($S261),7))+27),1,IF(N($W261)&gt;0,AVERAGEIFS($AB$5:$AB$1000,$U$5:$U$1000,ROW(),$V$5:$V$1000,"Sub"),$AB261)))</f>
        <v/>
      </c>
      <c r="AG261" s="62">
        <f>IF($V261&lt;&gt;"Macro","",IF(COUNTIFS($S$5:$S$1000,$S261,$V$5:$V$1000,"Macro",$H$5:$H$1000,"&gt;0")=0,1/COUNTIFS($S$5:$S$1000,$S261,$V$5:$V$1000,"Macro"),IF(AND(ISNUMBER($H261),N($H261)&gt;0),$H261,SUMIFS($H$5:$H$1000,$S$5:$S$1000,$S261,$V$5:$V$1000,"Macro")/COUNTIFS($S$5:$S$1000,$S261,$V$5:$V$1000,"Macro",$H$5:$H$1000,"&gt;0"))/(COUNTIFS($S$5:$S$1000,$S261,$V$5:$V$1000,"Macro")*SUMIFS($H$5:$H$1000,$S$5:$S$1000,$S261,$V$5:$V$1000,"Macro")/COUNTIFS($S$5:$S$1000,$S261,$V$5:$V$1000,"Macro",$H$5:$H$1000,"&gt;0"))))</f>
        <v/>
      </c>
      <c r="AH261" s="62" t="n"/>
      <c r="AI261" s="62" t="n"/>
      <c r="AJ261" s="62" t="n"/>
      <c r="AK261" s="62" t="n"/>
      <c r="AL261" s="62">
        <f>IF(LEFT($C261,11)="[Jefatura] ",IFERROR(MATCH("Asistente Técnico de Riesgo|"&amp;MID($C261,12,500),rDname_ADM,0),0),"")</f>
        <v/>
      </c>
      <c r="AM261" s="62">
        <f>IF(N($AL261)&gt;0,INDEX(rIni_ADM,$AL261),IF(ISNUMBER($E261),$E261,""))</f>
        <v/>
      </c>
      <c r="AN261" s="62">
        <f>IF(N($AL261)&gt;0,INDEX(rLim_ADM,$AL261),IF(ISNUMBER($F261),$F261,""))</f>
        <v/>
      </c>
    </row>
    <row r="262">
      <c r="A262" s="56">
        <f>IF(NOT((COUNTA($B262:$D262)+COUNTA($G262:$L262)+COUNTA($Q262))&gt;0),"",IF($V262="Macro",COUNTIFS($V$5:$V262,"Macro",$S$5:$S262,$S262),IF(N($U262)=0,"?",COUNTIFS(INDEX($V$5:$V$1000,1):INDEX($V$5:$V$1000,$U262-4),"Macro",INDEX($S$5:$S$1000,1):INDEX($S$5:$S$1000,$U262-4),INDEX($S$5:$S$1000,$U262-4))&amp;"."&amp;COUNTIFS($U$5:$U262,$U262,$V$5:$V262,"Sub"))))</f>
        <v/>
      </c>
      <c r="B262" s="57" t="n"/>
      <c r="C262" s="58" t="n"/>
      <c r="D262" s="58" t="n"/>
      <c r="E262" s="59">
        <f>IF(N($AL262)&gt;0,INDEX(rIni_ADM,$AL262),"")</f>
        <v/>
      </c>
      <c r="F262" s="59">
        <f>IF(N($AL262)&gt;0,INDEX(rLim_ADM,$AL262),"")</f>
        <v/>
      </c>
      <c r="G262" s="59" t="n"/>
      <c r="H262" s="60" t="n"/>
      <c r="I262" s="60" t="n"/>
      <c r="J262" s="60" t="n"/>
      <c r="K262" s="60" t="n"/>
      <c r="L262" s="60" t="n"/>
      <c r="M262" s="61">
        <f>IF(NOT((COUNTA($B262:$D262)+COUNTA($G262:$L262)+COUNTA($Q262))&gt;0),"",IF($V262="Sub",IFERROR($X262/INDEX($W$5:$W$1000,$U262-4),""),IF(ISNUMBER($G262),1,IF(N($W262)&gt;0,AVERAGEIFS($X$5:$X$1000,$U$5:$U$1000,ROW(),$V$5:$V$1000,"Sub"),$X262))))</f>
        <v/>
      </c>
      <c r="N262" s="56">
        <f>IF(OR($M262="",$V262="Sub"),"",IF($M262&gt;=1,"Completado",IF($M262&gt;0,"En curso","Pendiente")))</f>
        <v/>
      </c>
      <c r="O262" s="56">
        <f>IF(OR(NOT((COUNTA($B262:$D262)+COUNTA($G262:$L262)+COUNTA($Q262))&gt;0),$V262="Sub"),"",IF(ISNUMBER($G262),IF(AND(ISNUMBER($AN262),$G262&gt;$AN262),"Cumplida con "&amp;($G262-$AN262)&amp;IF($G262-$AN262=1," día"," días")&amp;" de retraso","Cumplida"),IF(N($M262)&gt;=1,"Cumplida",IF(NOT(ISNUMBER($AN262)),"Sin fecha límite",IF($AN262&lt;FechaRef,"Vencida hace "&amp;(FechaRef-$AN262)&amp;IF(FechaRef-$AN262=1," día"," días"),IF($AN262=FechaRef,"Vence hoy",IF($AN262-FechaRef&lt;=DiasAlerta,"Vence en "&amp;($AN262-FechaRef)&amp;IF($AN262-FechaRef=1," día"," días"),"En plazo")))))))</f>
        <v/>
      </c>
      <c r="P262" s="62" t="n"/>
      <c r="Q262" s="58" t="n"/>
      <c r="R262" s="63">
        <f>IF(NOT((COUNTA($B262:$D262)+COUNTA($G262:$L262)+COUNTA($Q262))&gt;0),"",IF((IF($C262="","Falta el nombre de la actividad"&amp;" · ","")&amp;IF(AND($V262="Sub",N($U262)=0),"Subactividad sin macroactividad arriba"&amp;" · ","")&amp;IF($AM262="","Sin fecha de inicio"&amp;" · ","")&amp;IF($AN262="","Sin fecha límite"&amp;" · ","")&amp;IF(AND(LEFT($C262,11)="[Jefatura] ",N($AL262)=0),"No se encuentra en la hoja de la jefatura (elíjala de nuevo en la lista)"&amp;" · ","")&amp;IF(OR(AND($E262&lt;&gt;"",NOT(ISNUMBER($E262))),AND($F262&lt;&gt;"",NOT(ISNUMBER($F262))),AND($G262&lt;&gt;"",NOT(ISNUMBER($G262)))),"Fecha no válida"&amp;" · ","")&amp;IF(AND(ISNUMBER($AM262),ISNUMBER($AN262),$AM262&gt;$AN262),"Inicio posterior a fecha límite"&amp;" · ","")&amp;IF(AND($V262="Macro",$H262&lt;&gt;"",OR(NOT(ISNUMBER($H262)),$H262&lt;0,$H262&gt;1)),"Peso fuera de rango"&amp;" · ","")&amp;IF(AND($V262="Sub",$H262&lt;&gt;""),"Las subactividades no llevan peso (valen igual dentro de su macroactividad)"&amp;" · ","")&amp;IF(AND(N($W262)&gt;0,COUNT($I262:$L262)&gt;0),"Con subactividades: deje vacías las semanas (se calculan solas)"&amp;" · ","")&amp;IF((COUNTIF($I262:$L262,"&gt;1")+COUNTIF($I262:$L262,"&lt;0")+COUNTA($I262:$L262)-COUNT($I262:$L262))&gt;0,"Avance fuera de rango 0-100%"&amp;" · ","")&amp;IF(OR(AND($J262&lt;&gt;"",$J262&lt;$I262),AND($K262&lt;&gt;"",$K262&lt;MAX($I262:$J262)),AND($L262&lt;&gt;"",$L262&lt;MAX($I262:$K262))),"Avance semanal decreciente"&amp;" · ","")&amp;IF(AND(ISNUMBER($AN262),$AN262&lt;FechaRef,IF($V262="Sub",N($X262),N($M262))&lt;1),"Vencida"&amp;" · ","")&amp;IF(AND(ObsObligatoria="Sí",ISNUMBER($AN262),$AN262&lt;FechaRef,IF($V262="Sub",N($X262),N($M262))&lt;1,$Q262=""),"Vencida sin observación"&amp;" · ",""))="","✔ OK","⚠ "&amp;LEFT(IF($C262="","Falta el nombre de la actividad"&amp;" · ","")&amp;IF(AND($V262="Sub",N($U262)=0),"Subactividad sin macroactividad arriba"&amp;" · ","")&amp;IF($AM262="","Sin fecha de inicio"&amp;" · ","")&amp;IF($AN262="","Sin fecha límite"&amp;" · ","")&amp;IF(AND(LEFT($C262,11)="[Jefatura] ",N($AL262)=0),"No se encuentra en la hoja de la jefatura (elíjala de nuevo en la lista)"&amp;" · ","")&amp;IF(OR(AND($E262&lt;&gt;"",NOT(ISNUMBER($E262))),AND($F262&lt;&gt;"",NOT(ISNUMBER($F262))),AND($G262&lt;&gt;"",NOT(ISNUMBER($G262)))),"Fecha no válida"&amp;" · ","")&amp;IF(AND(ISNUMBER($AM262),ISNUMBER($AN262),$AM262&gt;$AN262),"Inicio posterior a fecha límite"&amp;" · ","")&amp;IF(AND($V262="Macro",$H262&lt;&gt;"",OR(NOT(ISNUMBER($H262)),$H262&lt;0,$H262&gt;1)),"Peso fuera de rango"&amp;" · ","")&amp;IF(AND($V262="Sub",$H262&lt;&gt;""),"Las subactividades no llevan peso (valen igual dentro de su macroactividad)"&amp;" · ","")&amp;IF(AND(N($W262)&gt;0,COUNT($I262:$L262)&gt;0),"Con subactividades: deje vacías las semanas (se calculan solas)"&amp;" · ","")&amp;IF((COUNTIF($I262:$L262,"&gt;1")+COUNTIF($I262:$L262,"&lt;0")+COUNTA($I262:$L262)-COUNT($I262:$L262))&gt;0,"Avance fuera de rango 0-100%"&amp;" · ","")&amp;IF(OR(AND($J262&lt;&gt;"",$J262&lt;$I262),AND($K262&lt;&gt;"",$K262&lt;MAX($I262:$J262)),AND($L262&lt;&gt;"",$L262&lt;MAX($I262:$K262))),"Avance semanal decreciente"&amp;" · ","")&amp;IF(AND(ISNUMBER($AN262),$AN262&lt;FechaRef,IF($V262="Sub",N($X262),N($M262))&lt;1),"Vencida"&amp;" · ","")&amp;IF(AND(ObsObligatoria="Sí",ISNUMBER($AN262),$AN262&lt;FechaRef,IF($V262="Sub",N($X262),N($M262))&lt;1,$Q262=""),"Vencida sin observación"&amp;" · ",""),LEN(IF($C262="","Falta el nombre de la actividad"&amp;" · ","")&amp;IF(AND($V262="Sub",N($U262)=0),"Subactividad sin macroactividad arriba"&amp;" · ","")&amp;IF($AM262="","Sin fecha de inicio"&amp;" · ","")&amp;IF($AN262="","Sin fecha límite"&amp;" · ","")&amp;IF(AND(LEFT($C262,11)="[Jefatura] ",N($AL262)=0),"No se encuentra en la hoja de la jefatura (elíjala de nuevo en la lista)"&amp;" · ","")&amp;IF(OR(AND($E262&lt;&gt;"",NOT(ISNUMBER($E262))),AND($F262&lt;&gt;"",NOT(ISNUMBER($F262))),AND($G262&lt;&gt;"",NOT(ISNUMBER($G262)))),"Fecha no válida"&amp;" · ","")&amp;IF(AND(ISNUMBER($AM262),ISNUMBER($AN262),$AM262&gt;$AN262),"Inicio posterior a fecha límite"&amp;" · ","")&amp;IF(AND($V262="Macro",$H262&lt;&gt;"",OR(NOT(ISNUMBER($H262)),$H262&lt;0,$H262&gt;1)),"Peso fuera de rango"&amp;" · ","")&amp;IF(AND($V262="Sub",$H262&lt;&gt;""),"Las subactividades no llevan peso (valen igual dentro de su macroactividad)"&amp;" · ","")&amp;IF(AND(N($W262)&gt;0,COUNT($I262:$L262)&gt;0),"Con subactividades: deje vacías las semanas (se calculan solas)"&amp;" · ","")&amp;IF((COUNTIF($I262:$L262,"&gt;1")+COUNTIF($I262:$L262,"&lt;0")+COUNTA($I262:$L262)-COUNT($I262:$L262))&gt;0,"Avance fuera de rango 0-100%"&amp;" · ","")&amp;IF(OR(AND($J262&lt;&gt;"",$J262&lt;$I262),AND($K262&lt;&gt;"",$K262&lt;MAX($I262:$J262)),AND($L262&lt;&gt;"",$L262&lt;MAX($I262:$K262))),"Avance semanal decreciente"&amp;" · ","")&amp;IF(AND(ISNUMBER($AN262),$AN262&lt;FechaRef,IF($V262="Sub",N($X262),N($M262))&lt;1),"Vencida"&amp;" · ","")&amp;IF(AND(ObsObligatoria="Sí",ISNUMBER($AN262),$AN262&lt;FechaRef,IF($V262="Sub",N($X262),N($M262))&lt;1,$Q262=""),"Vencida sin observación"&amp;" · ",""))-3)))</f>
        <v/>
      </c>
      <c r="S262" s="64">
        <f>IF(NOT((COUNTA($B262:$D262)+COUNTA($G262:$L262)+COUNTA($Q262))&gt;0),"",IF(AND($V262="Sub",N($U262)&gt;0),IF(ISNUMBER(INDEX($AM$5:$AM$1000,$U262-4)),DATE(YEAR(INDEX($AM$5:$AM$1000,$U262-4)),MONTH(INDEX($AM$5:$AM$1000,$U262-4)),1),IF(ISNUMBER(INDEX($AN$5:$AN$1000,$U262-4)),DATE(YEAR(INDEX($AN$5:$AN$1000,$U262-4)),MONTH(INDEX($AN$5:$AN$1000,$U262-4)),1),MesCiclo)),IF(ISNUMBER($AM262),DATE(YEAR($AM262),MONTH($AM262),1),IF(ISNUMBER($AN262),DATE(YEAR($AN262),MONTH($AN262),1),MesCiclo))))</f>
        <v/>
      </c>
      <c r="T262" s="62">
        <f>IF(OR($S262="",$S262&lt;&gt;MesCiclo,$V262&lt;&gt;"Macro"),"",COUNTIFS($S$5:$S262,MesCiclo,$V$5:$V262,"Macro"))</f>
        <v/>
      </c>
      <c r="U262" s="62">
        <f>IF($V262="","",IF($V262="Macro",ROW(),IFERROR(LOOKUP(2,1/($V$5:$V262="Macro"),ROW($V$5:$V262)),0)))</f>
        <v/>
      </c>
      <c r="V262" s="62">
        <f>IF(NOT((COUNTA($B262:$D262)+COUNTA($G262:$L262)+COUNTA($Q262))&gt;0),"",IF($B262="Subactividad","Sub","Macro"))</f>
        <v/>
      </c>
      <c r="W262" s="62">
        <f>IF($V262="Macro",COUNTIFS($U$5:$U$1000,ROW(),$V$5:$V$1000,"Sub"),"")</f>
        <v/>
      </c>
      <c r="X262" s="62">
        <f>IF($V262="","",IF(ISNUMBER($G262),1,IFERROR(LOOKUP(2,1/($I262:$L262&lt;&gt;""),$I262:$L262),0)))</f>
        <v/>
      </c>
      <c r="Y262" s="62">
        <f>IF($V262="","",IF(AND(ISNUMBER($G262),$G262&lt;=IF($S262=MesCiclo,InicioCiclo,$S262+MOD(2-WEEKDAY($S262),7))+6),1,IF(ISNUMBER($I262),$I262,0)))</f>
        <v/>
      </c>
      <c r="Z262" s="62">
        <f>IF($V262="","",IF(AND(ISNUMBER($G262),$G262&lt;=IF($S262=MesCiclo,InicioCiclo,$S262+MOD(2-WEEKDAY($S262),7))+13),1,IF(ISNUMBER($J262),$J262,$Y262)))</f>
        <v/>
      </c>
      <c r="AA262" s="62">
        <f>IF($V262="","",IF(AND(ISNUMBER($G262),$G262&lt;=IF($S262=MesCiclo,InicioCiclo,$S262+MOD(2-WEEKDAY($S262),7))+20),1,IF(ISNUMBER($K262),$K262,$Z262)))</f>
        <v/>
      </c>
      <c r="AB262" s="62">
        <f>IF($V262="","",IF(AND(ISNUMBER($G262),$G262&lt;=IF($S262=MesCiclo,InicioCiclo,$S262+MOD(2-WEEKDAY($S262),7))+27),1,IF(ISNUMBER($L262),$L262,$AA262)))</f>
        <v/>
      </c>
      <c r="AC262" s="62">
        <f>IF($V262="","",IF(AND(ISNUMBER($G262),$G262&lt;=IF($S262=MesCiclo,InicioCiclo,$S262+MOD(2-WEEKDAY($S262),7))+6),1,IF(N($W262)&gt;0,AVERAGEIFS($Y$5:$Y$1000,$U$5:$U$1000,ROW(),$V$5:$V$1000,"Sub"),$Y262)))</f>
        <v/>
      </c>
      <c r="AD262" s="62">
        <f>IF($V262="","",IF(AND(ISNUMBER($G262),$G262&lt;=IF($S262=MesCiclo,InicioCiclo,$S262+MOD(2-WEEKDAY($S262),7))+13),1,IF(N($W262)&gt;0,AVERAGEIFS($Z$5:$Z$1000,$U$5:$U$1000,ROW(),$V$5:$V$1000,"Sub"),$Z262)))</f>
        <v/>
      </c>
      <c r="AE262" s="62">
        <f>IF($V262="","",IF(AND(ISNUMBER($G262),$G262&lt;=IF($S262=MesCiclo,InicioCiclo,$S262+MOD(2-WEEKDAY($S262),7))+20),1,IF(N($W262)&gt;0,AVERAGEIFS($AA$5:$AA$1000,$U$5:$U$1000,ROW(),$V$5:$V$1000,"Sub"),$AA262)))</f>
        <v/>
      </c>
      <c r="AF262" s="62">
        <f>IF($V262="","",IF(AND(ISNUMBER($G262),$G262&lt;=IF($S262=MesCiclo,InicioCiclo,$S262+MOD(2-WEEKDAY($S262),7))+27),1,IF(N($W262)&gt;0,AVERAGEIFS($AB$5:$AB$1000,$U$5:$U$1000,ROW(),$V$5:$V$1000,"Sub"),$AB262)))</f>
        <v/>
      </c>
      <c r="AG262" s="62">
        <f>IF($V262&lt;&gt;"Macro","",IF(COUNTIFS($S$5:$S$1000,$S262,$V$5:$V$1000,"Macro",$H$5:$H$1000,"&gt;0")=0,1/COUNTIFS($S$5:$S$1000,$S262,$V$5:$V$1000,"Macro"),IF(AND(ISNUMBER($H262),N($H262)&gt;0),$H262,SUMIFS($H$5:$H$1000,$S$5:$S$1000,$S262,$V$5:$V$1000,"Macro")/COUNTIFS($S$5:$S$1000,$S262,$V$5:$V$1000,"Macro",$H$5:$H$1000,"&gt;0"))/(COUNTIFS($S$5:$S$1000,$S262,$V$5:$V$1000,"Macro")*SUMIFS($H$5:$H$1000,$S$5:$S$1000,$S262,$V$5:$V$1000,"Macro")/COUNTIFS($S$5:$S$1000,$S262,$V$5:$V$1000,"Macro",$H$5:$H$1000,"&gt;0"))))</f>
        <v/>
      </c>
      <c r="AH262" s="62" t="n"/>
      <c r="AI262" s="62" t="n"/>
      <c r="AJ262" s="62" t="n"/>
      <c r="AK262" s="62" t="n"/>
      <c r="AL262" s="62">
        <f>IF(LEFT($C262,11)="[Jefatura] ",IFERROR(MATCH("Asistente Técnico de Riesgo|"&amp;MID($C262,12,500),rDname_ADM,0),0),"")</f>
        <v/>
      </c>
      <c r="AM262" s="62">
        <f>IF(N($AL262)&gt;0,INDEX(rIni_ADM,$AL262),IF(ISNUMBER($E262),$E262,""))</f>
        <v/>
      </c>
      <c r="AN262" s="62">
        <f>IF(N($AL262)&gt;0,INDEX(rLim_ADM,$AL262),IF(ISNUMBER($F262),$F262,""))</f>
        <v/>
      </c>
    </row>
    <row r="263">
      <c r="A263" s="56">
        <f>IF(NOT((COUNTA($B263:$D263)+COUNTA($G263:$L263)+COUNTA($Q263))&gt;0),"",IF($V263="Macro",COUNTIFS($V$5:$V263,"Macro",$S$5:$S263,$S263),IF(N($U263)=0,"?",COUNTIFS(INDEX($V$5:$V$1000,1):INDEX($V$5:$V$1000,$U263-4),"Macro",INDEX($S$5:$S$1000,1):INDEX($S$5:$S$1000,$U263-4),INDEX($S$5:$S$1000,$U263-4))&amp;"."&amp;COUNTIFS($U$5:$U263,$U263,$V$5:$V263,"Sub"))))</f>
        <v/>
      </c>
      <c r="B263" s="57" t="n"/>
      <c r="C263" s="58" t="n"/>
      <c r="D263" s="58" t="n"/>
      <c r="E263" s="59">
        <f>IF(N($AL263)&gt;0,INDEX(rIni_ADM,$AL263),"")</f>
        <v/>
      </c>
      <c r="F263" s="59">
        <f>IF(N($AL263)&gt;0,INDEX(rLim_ADM,$AL263),"")</f>
        <v/>
      </c>
      <c r="G263" s="59" t="n"/>
      <c r="H263" s="60" t="n"/>
      <c r="I263" s="60" t="n"/>
      <c r="J263" s="60" t="n"/>
      <c r="K263" s="60" t="n"/>
      <c r="L263" s="60" t="n"/>
      <c r="M263" s="61">
        <f>IF(NOT((COUNTA($B263:$D263)+COUNTA($G263:$L263)+COUNTA($Q263))&gt;0),"",IF($V263="Sub",IFERROR($X263/INDEX($W$5:$W$1000,$U263-4),""),IF(ISNUMBER($G263),1,IF(N($W263)&gt;0,AVERAGEIFS($X$5:$X$1000,$U$5:$U$1000,ROW(),$V$5:$V$1000,"Sub"),$X263))))</f>
        <v/>
      </c>
      <c r="N263" s="56">
        <f>IF(OR($M263="",$V263="Sub"),"",IF($M263&gt;=1,"Completado",IF($M263&gt;0,"En curso","Pendiente")))</f>
        <v/>
      </c>
      <c r="O263" s="56">
        <f>IF(OR(NOT((COUNTA($B263:$D263)+COUNTA($G263:$L263)+COUNTA($Q263))&gt;0),$V263="Sub"),"",IF(ISNUMBER($G263),IF(AND(ISNUMBER($AN263),$G263&gt;$AN263),"Cumplida con "&amp;($G263-$AN263)&amp;IF($G263-$AN263=1," día"," días")&amp;" de retraso","Cumplida"),IF(N($M263)&gt;=1,"Cumplida",IF(NOT(ISNUMBER($AN263)),"Sin fecha límite",IF($AN263&lt;FechaRef,"Vencida hace "&amp;(FechaRef-$AN263)&amp;IF(FechaRef-$AN263=1," día"," días"),IF($AN263=FechaRef,"Vence hoy",IF($AN263-FechaRef&lt;=DiasAlerta,"Vence en "&amp;($AN263-FechaRef)&amp;IF($AN263-FechaRef=1," día"," días"),"En plazo")))))))</f>
        <v/>
      </c>
      <c r="P263" s="62" t="n"/>
      <c r="Q263" s="58" t="n"/>
      <c r="R263" s="63">
        <f>IF(NOT((COUNTA($B263:$D263)+COUNTA($G263:$L263)+COUNTA($Q263))&gt;0),"",IF((IF($C263="","Falta el nombre de la actividad"&amp;" · ","")&amp;IF(AND($V263="Sub",N($U263)=0),"Subactividad sin macroactividad arriba"&amp;" · ","")&amp;IF($AM263="","Sin fecha de inicio"&amp;" · ","")&amp;IF($AN263="","Sin fecha límite"&amp;" · ","")&amp;IF(AND(LEFT($C263,11)="[Jefatura] ",N($AL263)=0),"No se encuentra en la hoja de la jefatura (elíjala de nuevo en la lista)"&amp;" · ","")&amp;IF(OR(AND($E263&lt;&gt;"",NOT(ISNUMBER($E263))),AND($F263&lt;&gt;"",NOT(ISNUMBER($F263))),AND($G263&lt;&gt;"",NOT(ISNUMBER($G263)))),"Fecha no válida"&amp;" · ","")&amp;IF(AND(ISNUMBER($AM263),ISNUMBER($AN263),$AM263&gt;$AN263),"Inicio posterior a fecha límite"&amp;" · ","")&amp;IF(AND($V263="Macro",$H263&lt;&gt;"",OR(NOT(ISNUMBER($H263)),$H263&lt;0,$H263&gt;1)),"Peso fuera de rango"&amp;" · ","")&amp;IF(AND($V263="Sub",$H263&lt;&gt;""),"Las subactividades no llevan peso (valen igual dentro de su macroactividad)"&amp;" · ","")&amp;IF(AND(N($W263)&gt;0,COUNT($I263:$L263)&gt;0),"Con subactividades: deje vacías las semanas (se calculan solas)"&amp;" · ","")&amp;IF((COUNTIF($I263:$L263,"&gt;1")+COUNTIF($I263:$L263,"&lt;0")+COUNTA($I263:$L263)-COUNT($I263:$L263))&gt;0,"Avance fuera de rango 0-100%"&amp;" · ","")&amp;IF(OR(AND($J263&lt;&gt;"",$J263&lt;$I263),AND($K263&lt;&gt;"",$K263&lt;MAX($I263:$J263)),AND($L263&lt;&gt;"",$L263&lt;MAX($I263:$K263))),"Avance semanal decreciente"&amp;" · ","")&amp;IF(AND(ISNUMBER($AN263),$AN263&lt;FechaRef,IF($V263="Sub",N($X263),N($M263))&lt;1),"Vencida"&amp;" · ","")&amp;IF(AND(ObsObligatoria="Sí",ISNUMBER($AN263),$AN263&lt;FechaRef,IF($V263="Sub",N($X263),N($M263))&lt;1,$Q263=""),"Vencida sin observación"&amp;" · ",""))="","✔ OK","⚠ "&amp;LEFT(IF($C263="","Falta el nombre de la actividad"&amp;" · ","")&amp;IF(AND($V263="Sub",N($U263)=0),"Subactividad sin macroactividad arriba"&amp;" · ","")&amp;IF($AM263="","Sin fecha de inicio"&amp;" · ","")&amp;IF($AN263="","Sin fecha límite"&amp;" · ","")&amp;IF(AND(LEFT($C263,11)="[Jefatura] ",N($AL263)=0),"No se encuentra en la hoja de la jefatura (elíjala de nuevo en la lista)"&amp;" · ","")&amp;IF(OR(AND($E263&lt;&gt;"",NOT(ISNUMBER($E263))),AND($F263&lt;&gt;"",NOT(ISNUMBER($F263))),AND($G263&lt;&gt;"",NOT(ISNUMBER($G263)))),"Fecha no válida"&amp;" · ","")&amp;IF(AND(ISNUMBER($AM263),ISNUMBER($AN263),$AM263&gt;$AN263),"Inicio posterior a fecha límite"&amp;" · ","")&amp;IF(AND($V263="Macro",$H263&lt;&gt;"",OR(NOT(ISNUMBER($H263)),$H263&lt;0,$H263&gt;1)),"Peso fuera de rango"&amp;" · ","")&amp;IF(AND($V263="Sub",$H263&lt;&gt;""),"Las subactividades no llevan peso (valen igual dentro de su macroactividad)"&amp;" · ","")&amp;IF(AND(N($W263)&gt;0,COUNT($I263:$L263)&gt;0),"Con subactividades: deje vacías las semanas (se calculan solas)"&amp;" · ","")&amp;IF((COUNTIF($I263:$L263,"&gt;1")+COUNTIF($I263:$L263,"&lt;0")+COUNTA($I263:$L263)-COUNT($I263:$L263))&gt;0,"Avance fuera de rango 0-100%"&amp;" · ","")&amp;IF(OR(AND($J263&lt;&gt;"",$J263&lt;$I263),AND($K263&lt;&gt;"",$K263&lt;MAX($I263:$J263)),AND($L263&lt;&gt;"",$L263&lt;MAX($I263:$K263))),"Avance semanal decreciente"&amp;" · ","")&amp;IF(AND(ISNUMBER($AN263),$AN263&lt;FechaRef,IF($V263="Sub",N($X263),N($M263))&lt;1),"Vencida"&amp;" · ","")&amp;IF(AND(ObsObligatoria="Sí",ISNUMBER($AN263),$AN263&lt;FechaRef,IF($V263="Sub",N($X263),N($M263))&lt;1,$Q263=""),"Vencida sin observación"&amp;" · ",""),LEN(IF($C263="","Falta el nombre de la actividad"&amp;" · ","")&amp;IF(AND($V263="Sub",N($U263)=0),"Subactividad sin macroactividad arriba"&amp;" · ","")&amp;IF($AM263="","Sin fecha de inicio"&amp;" · ","")&amp;IF($AN263="","Sin fecha límite"&amp;" · ","")&amp;IF(AND(LEFT($C263,11)="[Jefatura] ",N($AL263)=0),"No se encuentra en la hoja de la jefatura (elíjala de nuevo en la lista)"&amp;" · ","")&amp;IF(OR(AND($E263&lt;&gt;"",NOT(ISNUMBER($E263))),AND($F263&lt;&gt;"",NOT(ISNUMBER($F263))),AND($G263&lt;&gt;"",NOT(ISNUMBER($G263)))),"Fecha no válida"&amp;" · ","")&amp;IF(AND(ISNUMBER($AM263),ISNUMBER($AN263),$AM263&gt;$AN263),"Inicio posterior a fecha límite"&amp;" · ","")&amp;IF(AND($V263="Macro",$H263&lt;&gt;"",OR(NOT(ISNUMBER($H263)),$H263&lt;0,$H263&gt;1)),"Peso fuera de rango"&amp;" · ","")&amp;IF(AND($V263="Sub",$H263&lt;&gt;""),"Las subactividades no llevan peso (valen igual dentro de su macroactividad)"&amp;" · ","")&amp;IF(AND(N($W263)&gt;0,COUNT($I263:$L263)&gt;0),"Con subactividades: deje vacías las semanas (se calculan solas)"&amp;" · ","")&amp;IF((COUNTIF($I263:$L263,"&gt;1")+COUNTIF($I263:$L263,"&lt;0")+COUNTA($I263:$L263)-COUNT($I263:$L263))&gt;0,"Avance fuera de rango 0-100%"&amp;" · ","")&amp;IF(OR(AND($J263&lt;&gt;"",$J263&lt;$I263),AND($K263&lt;&gt;"",$K263&lt;MAX($I263:$J263)),AND($L263&lt;&gt;"",$L263&lt;MAX($I263:$K263))),"Avance semanal decreciente"&amp;" · ","")&amp;IF(AND(ISNUMBER($AN263),$AN263&lt;FechaRef,IF($V263="Sub",N($X263),N($M263))&lt;1),"Vencida"&amp;" · ","")&amp;IF(AND(ObsObligatoria="Sí",ISNUMBER($AN263),$AN263&lt;FechaRef,IF($V263="Sub",N($X263),N($M263))&lt;1,$Q263=""),"Vencida sin observación"&amp;" · ",""))-3)))</f>
        <v/>
      </c>
      <c r="S263" s="64">
        <f>IF(NOT((COUNTA($B263:$D263)+COUNTA($G263:$L263)+COUNTA($Q263))&gt;0),"",IF(AND($V263="Sub",N($U263)&gt;0),IF(ISNUMBER(INDEX($AM$5:$AM$1000,$U263-4)),DATE(YEAR(INDEX($AM$5:$AM$1000,$U263-4)),MONTH(INDEX($AM$5:$AM$1000,$U263-4)),1),IF(ISNUMBER(INDEX($AN$5:$AN$1000,$U263-4)),DATE(YEAR(INDEX($AN$5:$AN$1000,$U263-4)),MONTH(INDEX($AN$5:$AN$1000,$U263-4)),1),MesCiclo)),IF(ISNUMBER($AM263),DATE(YEAR($AM263),MONTH($AM263),1),IF(ISNUMBER($AN263),DATE(YEAR($AN263),MONTH($AN263),1),MesCiclo))))</f>
        <v/>
      </c>
      <c r="T263" s="62">
        <f>IF(OR($S263="",$S263&lt;&gt;MesCiclo,$V263&lt;&gt;"Macro"),"",COUNTIFS($S$5:$S263,MesCiclo,$V$5:$V263,"Macro"))</f>
        <v/>
      </c>
      <c r="U263" s="62">
        <f>IF($V263="","",IF($V263="Macro",ROW(),IFERROR(LOOKUP(2,1/($V$5:$V263="Macro"),ROW($V$5:$V263)),0)))</f>
        <v/>
      </c>
      <c r="V263" s="62">
        <f>IF(NOT((COUNTA($B263:$D263)+COUNTA($G263:$L263)+COUNTA($Q263))&gt;0),"",IF($B263="Subactividad","Sub","Macro"))</f>
        <v/>
      </c>
      <c r="W263" s="62">
        <f>IF($V263="Macro",COUNTIFS($U$5:$U$1000,ROW(),$V$5:$V$1000,"Sub"),"")</f>
        <v/>
      </c>
      <c r="X263" s="62">
        <f>IF($V263="","",IF(ISNUMBER($G263),1,IFERROR(LOOKUP(2,1/($I263:$L263&lt;&gt;""),$I263:$L263),0)))</f>
        <v/>
      </c>
      <c r="Y263" s="62">
        <f>IF($V263="","",IF(AND(ISNUMBER($G263),$G263&lt;=IF($S263=MesCiclo,InicioCiclo,$S263+MOD(2-WEEKDAY($S263),7))+6),1,IF(ISNUMBER($I263),$I263,0)))</f>
        <v/>
      </c>
      <c r="Z263" s="62">
        <f>IF($V263="","",IF(AND(ISNUMBER($G263),$G263&lt;=IF($S263=MesCiclo,InicioCiclo,$S263+MOD(2-WEEKDAY($S263),7))+13),1,IF(ISNUMBER($J263),$J263,$Y263)))</f>
        <v/>
      </c>
      <c r="AA263" s="62">
        <f>IF($V263="","",IF(AND(ISNUMBER($G263),$G263&lt;=IF($S263=MesCiclo,InicioCiclo,$S263+MOD(2-WEEKDAY($S263),7))+20),1,IF(ISNUMBER($K263),$K263,$Z263)))</f>
        <v/>
      </c>
      <c r="AB263" s="62">
        <f>IF($V263="","",IF(AND(ISNUMBER($G263),$G263&lt;=IF($S263=MesCiclo,InicioCiclo,$S263+MOD(2-WEEKDAY($S263),7))+27),1,IF(ISNUMBER($L263),$L263,$AA263)))</f>
        <v/>
      </c>
      <c r="AC263" s="62">
        <f>IF($V263="","",IF(AND(ISNUMBER($G263),$G263&lt;=IF($S263=MesCiclo,InicioCiclo,$S263+MOD(2-WEEKDAY($S263),7))+6),1,IF(N($W263)&gt;0,AVERAGEIFS($Y$5:$Y$1000,$U$5:$U$1000,ROW(),$V$5:$V$1000,"Sub"),$Y263)))</f>
        <v/>
      </c>
      <c r="AD263" s="62">
        <f>IF($V263="","",IF(AND(ISNUMBER($G263),$G263&lt;=IF($S263=MesCiclo,InicioCiclo,$S263+MOD(2-WEEKDAY($S263),7))+13),1,IF(N($W263)&gt;0,AVERAGEIFS($Z$5:$Z$1000,$U$5:$U$1000,ROW(),$V$5:$V$1000,"Sub"),$Z263)))</f>
        <v/>
      </c>
      <c r="AE263" s="62">
        <f>IF($V263="","",IF(AND(ISNUMBER($G263),$G263&lt;=IF($S263=MesCiclo,InicioCiclo,$S263+MOD(2-WEEKDAY($S263),7))+20),1,IF(N($W263)&gt;0,AVERAGEIFS($AA$5:$AA$1000,$U$5:$U$1000,ROW(),$V$5:$V$1000,"Sub"),$AA263)))</f>
        <v/>
      </c>
      <c r="AF263" s="62">
        <f>IF($V263="","",IF(AND(ISNUMBER($G263),$G263&lt;=IF($S263=MesCiclo,InicioCiclo,$S263+MOD(2-WEEKDAY($S263),7))+27),1,IF(N($W263)&gt;0,AVERAGEIFS($AB$5:$AB$1000,$U$5:$U$1000,ROW(),$V$5:$V$1000,"Sub"),$AB263)))</f>
        <v/>
      </c>
      <c r="AG263" s="62">
        <f>IF($V263&lt;&gt;"Macro","",IF(COUNTIFS($S$5:$S$1000,$S263,$V$5:$V$1000,"Macro",$H$5:$H$1000,"&gt;0")=0,1/COUNTIFS($S$5:$S$1000,$S263,$V$5:$V$1000,"Macro"),IF(AND(ISNUMBER($H263),N($H263)&gt;0),$H263,SUMIFS($H$5:$H$1000,$S$5:$S$1000,$S263,$V$5:$V$1000,"Macro")/COUNTIFS($S$5:$S$1000,$S263,$V$5:$V$1000,"Macro",$H$5:$H$1000,"&gt;0"))/(COUNTIFS($S$5:$S$1000,$S263,$V$5:$V$1000,"Macro")*SUMIFS($H$5:$H$1000,$S$5:$S$1000,$S263,$V$5:$V$1000,"Macro")/COUNTIFS($S$5:$S$1000,$S263,$V$5:$V$1000,"Macro",$H$5:$H$1000,"&gt;0"))))</f>
        <v/>
      </c>
      <c r="AH263" s="62" t="n"/>
      <c r="AI263" s="62" t="n"/>
      <c r="AJ263" s="62" t="n"/>
      <c r="AK263" s="62" t="n"/>
      <c r="AL263" s="62">
        <f>IF(LEFT($C263,11)="[Jefatura] ",IFERROR(MATCH("Asistente Técnico de Riesgo|"&amp;MID($C263,12,500),rDname_ADM,0),0),"")</f>
        <v/>
      </c>
      <c r="AM263" s="62">
        <f>IF(N($AL263)&gt;0,INDEX(rIni_ADM,$AL263),IF(ISNUMBER($E263),$E263,""))</f>
        <v/>
      </c>
      <c r="AN263" s="62">
        <f>IF(N($AL263)&gt;0,INDEX(rLim_ADM,$AL263),IF(ISNUMBER($F263),$F263,""))</f>
        <v/>
      </c>
    </row>
    <row r="264">
      <c r="A264" s="56">
        <f>IF(NOT((COUNTA($B264:$D264)+COUNTA($G264:$L264)+COUNTA($Q264))&gt;0),"",IF($V264="Macro",COUNTIFS($V$5:$V264,"Macro",$S$5:$S264,$S264),IF(N($U264)=0,"?",COUNTIFS(INDEX($V$5:$V$1000,1):INDEX($V$5:$V$1000,$U264-4),"Macro",INDEX($S$5:$S$1000,1):INDEX($S$5:$S$1000,$U264-4),INDEX($S$5:$S$1000,$U264-4))&amp;"."&amp;COUNTIFS($U$5:$U264,$U264,$V$5:$V264,"Sub"))))</f>
        <v/>
      </c>
      <c r="B264" s="57" t="n"/>
      <c r="C264" s="58" t="n"/>
      <c r="D264" s="58" t="n"/>
      <c r="E264" s="59">
        <f>IF(N($AL264)&gt;0,INDEX(rIni_ADM,$AL264),"")</f>
        <v/>
      </c>
      <c r="F264" s="59">
        <f>IF(N($AL264)&gt;0,INDEX(rLim_ADM,$AL264),"")</f>
        <v/>
      </c>
      <c r="G264" s="59" t="n"/>
      <c r="H264" s="60" t="n"/>
      <c r="I264" s="60" t="n"/>
      <c r="J264" s="60" t="n"/>
      <c r="K264" s="60" t="n"/>
      <c r="L264" s="60" t="n"/>
      <c r="M264" s="61">
        <f>IF(NOT((COUNTA($B264:$D264)+COUNTA($G264:$L264)+COUNTA($Q264))&gt;0),"",IF($V264="Sub",IFERROR($X264/INDEX($W$5:$W$1000,$U264-4),""),IF(ISNUMBER($G264),1,IF(N($W264)&gt;0,AVERAGEIFS($X$5:$X$1000,$U$5:$U$1000,ROW(),$V$5:$V$1000,"Sub"),$X264))))</f>
        <v/>
      </c>
      <c r="N264" s="56">
        <f>IF(OR($M264="",$V264="Sub"),"",IF($M264&gt;=1,"Completado",IF($M264&gt;0,"En curso","Pendiente")))</f>
        <v/>
      </c>
      <c r="O264" s="56">
        <f>IF(OR(NOT((COUNTA($B264:$D264)+COUNTA($G264:$L264)+COUNTA($Q264))&gt;0),$V264="Sub"),"",IF(ISNUMBER($G264),IF(AND(ISNUMBER($AN264),$G264&gt;$AN264),"Cumplida con "&amp;($G264-$AN264)&amp;IF($G264-$AN264=1," día"," días")&amp;" de retraso","Cumplida"),IF(N($M264)&gt;=1,"Cumplida",IF(NOT(ISNUMBER($AN264)),"Sin fecha límite",IF($AN264&lt;FechaRef,"Vencida hace "&amp;(FechaRef-$AN264)&amp;IF(FechaRef-$AN264=1," día"," días"),IF($AN264=FechaRef,"Vence hoy",IF($AN264-FechaRef&lt;=DiasAlerta,"Vence en "&amp;($AN264-FechaRef)&amp;IF($AN264-FechaRef=1," día"," días"),"En plazo")))))))</f>
        <v/>
      </c>
      <c r="P264" s="62" t="n"/>
      <c r="Q264" s="58" t="n"/>
      <c r="R264" s="63">
        <f>IF(NOT((COUNTA($B264:$D264)+COUNTA($G264:$L264)+COUNTA($Q264))&gt;0),"",IF((IF($C264="","Falta el nombre de la actividad"&amp;" · ","")&amp;IF(AND($V264="Sub",N($U264)=0),"Subactividad sin macroactividad arriba"&amp;" · ","")&amp;IF($AM264="","Sin fecha de inicio"&amp;" · ","")&amp;IF($AN264="","Sin fecha límite"&amp;" · ","")&amp;IF(AND(LEFT($C264,11)="[Jefatura] ",N($AL264)=0),"No se encuentra en la hoja de la jefatura (elíjala de nuevo en la lista)"&amp;" · ","")&amp;IF(OR(AND($E264&lt;&gt;"",NOT(ISNUMBER($E264))),AND($F264&lt;&gt;"",NOT(ISNUMBER($F264))),AND($G264&lt;&gt;"",NOT(ISNUMBER($G264)))),"Fecha no válida"&amp;" · ","")&amp;IF(AND(ISNUMBER($AM264),ISNUMBER($AN264),$AM264&gt;$AN264),"Inicio posterior a fecha límite"&amp;" · ","")&amp;IF(AND($V264="Macro",$H264&lt;&gt;"",OR(NOT(ISNUMBER($H264)),$H264&lt;0,$H264&gt;1)),"Peso fuera de rango"&amp;" · ","")&amp;IF(AND($V264="Sub",$H264&lt;&gt;""),"Las subactividades no llevan peso (valen igual dentro de su macroactividad)"&amp;" · ","")&amp;IF(AND(N($W264)&gt;0,COUNT($I264:$L264)&gt;0),"Con subactividades: deje vacías las semanas (se calculan solas)"&amp;" · ","")&amp;IF((COUNTIF($I264:$L264,"&gt;1")+COUNTIF($I264:$L264,"&lt;0")+COUNTA($I264:$L264)-COUNT($I264:$L264))&gt;0,"Avance fuera de rango 0-100%"&amp;" · ","")&amp;IF(OR(AND($J264&lt;&gt;"",$J264&lt;$I264),AND($K264&lt;&gt;"",$K264&lt;MAX($I264:$J264)),AND($L264&lt;&gt;"",$L264&lt;MAX($I264:$K264))),"Avance semanal decreciente"&amp;" · ","")&amp;IF(AND(ISNUMBER($AN264),$AN264&lt;FechaRef,IF($V264="Sub",N($X264),N($M264))&lt;1),"Vencida"&amp;" · ","")&amp;IF(AND(ObsObligatoria="Sí",ISNUMBER($AN264),$AN264&lt;FechaRef,IF($V264="Sub",N($X264),N($M264))&lt;1,$Q264=""),"Vencida sin observación"&amp;" · ",""))="","✔ OK","⚠ "&amp;LEFT(IF($C264="","Falta el nombre de la actividad"&amp;" · ","")&amp;IF(AND($V264="Sub",N($U264)=0),"Subactividad sin macroactividad arriba"&amp;" · ","")&amp;IF($AM264="","Sin fecha de inicio"&amp;" · ","")&amp;IF($AN264="","Sin fecha límite"&amp;" · ","")&amp;IF(AND(LEFT($C264,11)="[Jefatura] ",N($AL264)=0),"No se encuentra en la hoja de la jefatura (elíjala de nuevo en la lista)"&amp;" · ","")&amp;IF(OR(AND($E264&lt;&gt;"",NOT(ISNUMBER($E264))),AND($F264&lt;&gt;"",NOT(ISNUMBER($F264))),AND($G264&lt;&gt;"",NOT(ISNUMBER($G264)))),"Fecha no válida"&amp;" · ","")&amp;IF(AND(ISNUMBER($AM264),ISNUMBER($AN264),$AM264&gt;$AN264),"Inicio posterior a fecha límite"&amp;" · ","")&amp;IF(AND($V264="Macro",$H264&lt;&gt;"",OR(NOT(ISNUMBER($H264)),$H264&lt;0,$H264&gt;1)),"Peso fuera de rango"&amp;" · ","")&amp;IF(AND($V264="Sub",$H264&lt;&gt;""),"Las subactividades no llevan peso (valen igual dentro de su macroactividad)"&amp;" · ","")&amp;IF(AND(N($W264)&gt;0,COUNT($I264:$L264)&gt;0),"Con subactividades: deje vacías las semanas (se calculan solas)"&amp;" · ","")&amp;IF((COUNTIF($I264:$L264,"&gt;1")+COUNTIF($I264:$L264,"&lt;0")+COUNTA($I264:$L264)-COUNT($I264:$L264))&gt;0,"Avance fuera de rango 0-100%"&amp;" · ","")&amp;IF(OR(AND($J264&lt;&gt;"",$J264&lt;$I264),AND($K264&lt;&gt;"",$K264&lt;MAX($I264:$J264)),AND($L264&lt;&gt;"",$L264&lt;MAX($I264:$K264))),"Avance semanal decreciente"&amp;" · ","")&amp;IF(AND(ISNUMBER($AN264),$AN264&lt;FechaRef,IF($V264="Sub",N($X264),N($M264))&lt;1),"Vencida"&amp;" · ","")&amp;IF(AND(ObsObligatoria="Sí",ISNUMBER($AN264),$AN264&lt;FechaRef,IF($V264="Sub",N($X264),N($M264))&lt;1,$Q264=""),"Vencida sin observación"&amp;" · ",""),LEN(IF($C264="","Falta el nombre de la actividad"&amp;" · ","")&amp;IF(AND($V264="Sub",N($U264)=0),"Subactividad sin macroactividad arriba"&amp;" · ","")&amp;IF($AM264="","Sin fecha de inicio"&amp;" · ","")&amp;IF($AN264="","Sin fecha límite"&amp;" · ","")&amp;IF(AND(LEFT($C264,11)="[Jefatura] ",N($AL264)=0),"No se encuentra en la hoja de la jefatura (elíjala de nuevo en la lista)"&amp;" · ","")&amp;IF(OR(AND($E264&lt;&gt;"",NOT(ISNUMBER($E264))),AND($F264&lt;&gt;"",NOT(ISNUMBER($F264))),AND($G264&lt;&gt;"",NOT(ISNUMBER($G264)))),"Fecha no válida"&amp;" · ","")&amp;IF(AND(ISNUMBER($AM264),ISNUMBER($AN264),$AM264&gt;$AN264),"Inicio posterior a fecha límite"&amp;" · ","")&amp;IF(AND($V264="Macro",$H264&lt;&gt;"",OR(NOT(ISNUMBER($H264)),$H264&lt;0,$H264&gt;1)),"Peso fuera de rango"&amp;" · ","")&amp;IF(AND($V264="Sub",$H264&lt;&gt;""),"Las subactividades no llevan peso (valen igual dentro de su macroactividad)"&amp;" · ","")&amp;IF(AND(N($W264)&gt;0,COUNT($I264:$L264)&gt;0),"Con subactividades: deje vacías las semanas (se calculan solas)"&amp;" · ","")&amp;IF((COUNTIF($I264:$L264,"&gt;1")+COUNTIF($I264:$L264,"&lt;0")+COUNTA($I264:$L264)-COUNT($I264:$L264))&gt;0,"Avance fuera de rango 0-100%"&amp;" · ","")&amp;IF(OR(AND($J264&lt;&gt;"",$J264&lt;$I264),AND($K264&lt;&gt;"",$K264&lt;MAX($I264:$J264)),AND($L264&lt;&gt;"",$L264&lt;MAX($I264:$K264))),"Avance semanal decreciente"&amp;" · ","")&amp;IF(AND(ISNUMBER($AN264),$AN264&lt;FechaRef,IF($V264="Sub",N($X264),N($M264))&lt;1),"Vencida"&amp;" · ","")&amp;IF(AND(ObsObligatoria="Sí",ISNUMBER($AN264),$AN264&lt;FechaRef,IF($V264="Sub",N($X264),N($M264))&lt;1,$Q264=""),"Vencida sin observación"&amp;" · ",""))-3)))</f>
        <v/>
      </c>
      <c r="S264" s="64">
        <f>IF(NOT((COUNTA($B264:$D264)+COUNTA($G264:$L264)+COUNTA($Q264))&gt;0),"",IF(AND($V264="Sub",N($U264)&gt;0),IF(ISNUMBER(INDEX($AM$5:$AM$1000,$U264-4)),DATE(YEAR(INDEX($AM$5:$AM$1000,$U264-4)),MONTH(INDEX($AM$5:$AM$1000,$U264-4)),1),IF(ISNUMBER(INDEX($AN$5:$AN$1000,$U264-4)),DATE(YEAR(INDEX($AN$5:$AN$1000,$U264-4)),MONTH(INDEX($AN$5:$AN$1000,$U264-4)),1),MesCiclo)),IF(ISNUMBER($AM264),DATE(YEAR($AM264),MONTH($AM264),1),IF(ISNUMBER($AN264),DATE(YEAR($AN264),MONTH($AN264),1),MesCiclo))))</f>
        <v/>
      </c>
      <c r="T264" s="62">
        <f>IF(OR($S264="",$S264&lt;&gt;MesCiclo,$V264&lt;&gt;"Macro"),"",COUNTIFS($S$5:$S264,MesCiclo,$V$5:$V264,"Macro"))</f>
        <v/>
      </c>
      <c r="U264" s="62">
        <f>IF($V264="","",IF($V264="Macro",ROW(),IFERROR(LOOKUP(2,1/($V$5:$V264="Macro"),ROW($V$5:$V264)),0)))</f>
        <v/>
      </c>
      <c r="V264" s="62">
        <f>IF(NOT((COUNTA($B264:$D264)+COUNTA($G264:$L264)+COUNTA($Q264))&gt;0),"",IF($B264="Subactividad","Sub","Macro"))</f>
        <v/>
      </c>
      <c r="W264" s="62">
        <f>IF($V264="Macro",COUNTIFS($U$5:$U$1000,ROW(),$V$5:$V$1000,"Sub"),"")</f>
        <v/>
      </c>
      <c r="X264" s="62">
        <f>IF($V264="","",IF(ISNUMBER($G264),1,IFERROR(LOOKUP(2,1/($I264:$L264&lt;&gt;""),$I264:$L264),0)))</f>
        <v/>
      </c>
      <c r="Y264" s="62">
        <f>IF($V264="","",IF(AND(ISNUMBER($G264),$G264&lt;=IF($S264=MesCiclo,InicioCiclo,$S264+MOD(2-WEEKDAY($S264),7))+6),1,IF(ISNUMBER($I264),$I264,0)))</f>
        <v/>
      </c>
      <c r="Z264" s="62">
        <f>IF($V264="","",IF(AND(ISNUMBER($G264),$G264&lt;=IF($S264=MesCiclo,InicioCiclo,$S264+MOD(2-WEEKDAY($S264),7))+13),1,IF(ISNUMBER($J264),$J264,$Y264)))</f>
        <v/>
      </c>
      <c r="AA264" s="62">
        <f>IF($V264="","",IF(AND(ISNUMBER($G264),$G264&lt;=IF($S264=MesCiclo,InicioCiclo,$S264+MOD(2-WEEKDAY($S264),7))+20),1,IF(ISNUMBER($K264),$K264,$Z264)))</f>
        <v/>
      </c>
      <c r="AB264" s="62">
        <f>IF($V264="","",IF(AND(ISNUMBER($G264),$G264&lt;=IF($S264=MesCiclo,InicioCiclo,$S264+MOD(2-WEEKDAY($S264),7))+27),1,IF(ISNUMBER($L264),$L264,$AA264)))</f>
        <v/>
      </c>
      <c r="AC264" s="62">
        <f>IF($V264="","",IF(AND(ISNUMBER($G264),$G264&lt;=IF($S264=MesCiclo,InicioCiclo,$S264+MOD(2-WEEKDAY($S264),7))+6),1,IF(N($W264)&gt;0,AVERAGEIFS($Y$5:$Y$1000,$U$5:$U$1000,ROW(),$V$5:$V$1000,"Sub"),$Y264)))</f>
        <v/>
      </c>
      <c r="AD264" s="62">
        <f>IF($V264="","",IF(AND(ISNUMBER($G264),$G264&lt;=IF($S264=MesCiclo,InicioCiclo,$S264+MOD(2-WEEKDAY($S264),7))+13),1,IF(N($W264)&gt;0,AVERAGEIFS($Z$5:$Z$1000,$U$5:$U$1000,ROW(),$V$5:$V$1000,"Sub"),$Z264)))</f>
        <v/>
      </c>
      <c r="AE264" s="62">
        <f>IF($V264="","",IF(AND(ISNUMBER($G264),$G264&lt;=IF($S264=MesCiclo,InicioCiclo,$S264+MOD(2-WEEKDAY($S264),7))+20),1,IF(N($W264)&gt;0,AVERAGEIFS($AA$5:$AA$1000,$U$5:$U$1000,ROW(),$V$5:$V$1000,"Sub"),$AA264)))</f>
        <v/>
      </c>
      <c r="AF264" s="62">
        <f>IF($V264="","",IF(AND(ISNUMBER($G264),$G264&lt;=IF($S264=MesCiclo,InicioCiclo,$S264+MOD(2-WEEKDAY($S264),7))+27),1,IF(N($W264)&gt;0,AVERAGEIFS($AB$5:$AB$1000,$U$5:$U$1000,ROW(),$V$5:$V$1000,"Sub"),$AB264)))</f>
        <v/>
      </c>
      <c r="AG264" s="62">
        <f>IF($V264&lt;&gt;"Macro","",IF(COUNTIFS($S$5:$S$1000,$S264,$V$5:$V$1000,"Macro",$H$5:$H$1000,"&gt;0")=0,1/COUNTIFS($S$5:$S$1000,$S264,$V$5:$V$1000,"Macro"),IF(AND(ISNUMBER($H264),N($H264)&gt;0),$H264,SUMIFS($H$5:$H$1000,$S$5:$S$1000,$S264,$V$5:$V$1000,"Macro")/COUNTIFS($S$5:$S$1000,$S264,$V$5:$V$1000,"Macro",$H$5:$H$1000,"&gt;0"))/(COUNTIFS($S$5:$S$1000,$S264,$V$5:$V$1000,"Macro")*SUMIFS($H$5:$H$1000,$S$5:$S$1000,$S264,$V$5:$V$1000,"Macro")/COUNTIFS($S$5:$S$1000,$S264,$V$5:$V$1000,"Macro",$H$5:$H$1000,"&gt;0"))))</f>
        <v/>
      </c>
      <c r="AH264" s="62" t="n"/>
      <c r="AI264" s="62" t="n"/>
      <c r="AJ264" s="62" t="n"/>
      <c r="AK264" s="62" t="n"/>
      <c r="AL264" s="62">
        <f>IF(LEFT($C264,11)="[Jefatura] ",IFERROR(MATCH("Asistente Técnico de Riesgo|"&amp;MID($C264,12,500),rDname_ADM,0),0),"")</f>
        <v/>
      </c>
      <c r="AM264" s="62">
        <f>IF(N($AL264)&gt;0,INDEX(rIni_ADM,$AL264),IF(ISNUMBER($E264),$E264,""))</f>
        <v/>
      </c>
      <c r="AN264" s="62">
        <f>IF(N($AL264)&gt;0,INDEX(rLim_ADM,$AL264),IF(ISNUMBER($F264),$F264,""))</f>
        <v/>
      </c>
    </row>
    <row r="265">
      <c r="A265" s="56">
        <f>IF(NOT((COUNTA($B265:$D265)+COUNTA($G265:$L265)+COUNTA($Q265))&gt;0),"",IF($V265="Macro",COUNTIFS($V$5:$V265,"Macro",$S$5:$S265,$S265),IF(N($U265)=0,"?",COUNTIFS(INDEX($V$5:$V$1000,1):INDEX($V$5:$V$1000,$U265-4),"Macro",INDEX($S$5:$S$1000,1):INDEX($S$5:$S$1000,$U265-4),INDEX($S$5:$S$1000,$U265-4))&amp;"."&amp;COUNTIFS($U$5:$U265,$U265,$V$5:$V265,"Sub"))))</f>
        <v/>
      </c>
      <c r="B265" s="57" t="n"/>
      <c r="C265" s="58" t="n"/>
      <c r="D265" s="58" t="n"/>
      <c r="E265" s="59">
        <f>IF(N($AL265)&gt;0,INDEX(rIni_ADM,$AL265),"")</f>
        <v/>
      </c>
      <c r="F265" s="59">
        <f>IF(N($AL265)&gt;0,INDEX(rLim_ADM,$AL265),"")</f>
        <v/>
      </c>
      <c r="G265" s="59" t="n"/>
      <c r="H265" s="60" t="n"/>
      <c r="I265" s="60" t="n"/>
      <c r="J265" s="60" t="n"/>
      <c r="K265" s="60" t="n"/>
      <c r="L265" s="60" t="n"/>
      <c r="M265" s="61">
        <f>IF(NOT((COUNTA($B265:$D265)+COUNTA($G265:$L265)+COUNTA($Q265))&gt;0),"",IF($V265="Sub",IFERROR($X265/INDEX($W$5:$W$1000,$U265-4),""),IF(ISNUMBER($G265),1,IF(N($W265)&gt;0,AVERAGEIFS($X$5:$X$1000,$U$5:$U$1000,ROW(),$V$5:$V$1000,"Sub"),$X265))))</f>
        <v/>
      </c>
      <c r="N265" s="56">
        <f>IF(OR($M265="",$V265="Sub"),"",IF($M265&gt;=1,"Completado",IF($M265&gt;0,"En curso","Pendiente")))</f>
        <v/>
      </c>
      <c r="O265" s="56">
        <f>IF(OR(NOT((COUNTA($B265:$D265)+COUNTA($G265:$L265)+COUNTA($Q265))&gt;0),$V265="Sub"),"",IF(ISNUMBER($G265),IF(AND(ISNUMBER($AN265),$G265&gt;$AN265),"Cumplida con "&amp;($G265-$AN265)&amp;IF($G265-$AN265=1," día"," días")&amp;" de retraso","Cumplida"),IF(N($M265)&gt;=1,"Cumplida",IF(NOT(ISNUMBER($AN265)),"Sin fecha límite",IF($AN265&lt;FechaRef,"Vencida hace "&amp;(FechaRef-$AN265)&amp;IF(FechaRef-$AN265=1," día"," días"),IF($AN265=FechaRef,"Vence hoy",IF($AN265-FechaRef&lt;=DiasAlerta,"Vence en "&amp;($AN265-FechaRef)&amp;IF($AN265-FechaRef=1," día"," días"),"En plazo")))))))</f>
        <v/>
      </c>
      <c r="P265" s="62" t="n"/>
      <c r="Q265" s="58" t="n"/>
      <c r="R265" s="63">
        <f>IF(NOT((COUNTA($B265:$D265)+COUNTA($G265:$L265)+COUNTA($Q265))&gt;0),"",IF((IF($C265="","Falta el nombre de la actividad"&amp;" · ","")&amp;IF(AND($V265="Sub",N($U265)=0),"Subactividad sin macroactividad arriba"&amp;" · ","")&amp;IF($AM265="","Sin fecha de inicio"&amp;" · ","")&amp;IF($AN265="","Sin fecha límite"&amp;" · ","")&amp;IF(AND(LEFT($C265,11)="[Jefatura] ",N($AL265)=0),"No se encuentra en la hoja de la jefatura (elíjala de nuevo en la lista)"&amp;" · ","")&amp;IF(OR(AND($E265&lt;&gt;"",NOT(ISNUMBER($E265))),AND($F265&lt;&gt;"",NOT(ISNUMBER($F265))),AND($G265&lt;&gt;"",NOT(ISNUMBER($G265)))),"Fecha no válida"&amp;" · ","")&amp;IF(AND(ISNUMBER($AM265),ISNUMBER($AN265),$AM265&gt;$AN265),"Inicio posterior a fecha límite"&amp;" · ","")&amp;IF(AND($V265="Macro",$H265&lt;&gt;"",OR(NOT(ISNUMBER($H265)),$H265&lt;0,$H265&gt;1)),"Peso fuera de rango"&amp;" · ","")&amp;IF(AND($V265="Sub",$H265&lt;&gt;""),"Las subactividades no llevan peso (valen igual dentro de su macroactividad)"&amp;" · ","")&amp;IF(AND(N($W265)&gt;0,COUNT($I265:$L265)&gt;0),"Con subactividades: deje vacías las semanas (se calculan solas)"&amp;" · ","")&amp;IF((COUNTIF($I265:$L265,"&gt;1")+COUNTIF($I265:$L265,"&lt;0")+COUNTA($I265:$L265)-COUNT($I265:$L265))&gt;0,"Avance fuera de rango 0-100%"&amp;" · ","")&amp;IF(OR(AND($J265&lt;&gt;"",$J265&lt;$I265),AND($K265&lt;&gt;"",$K265&lt;MAX($I265:$J265)),AND($L265&lt;&gt;"",$L265&lt;MAX($I265:$K265))),"Avance semanal decreciente"&amp;" · ","")&amp;IF(AND(ISNUMBER($AN265),$AN265&lt;FechaRef,IF($V265="Sub",N($X265),N($M265))&lt;1),"Vencida"&amp;" · ","")&amp;IF(AND(ObsObligatoria="Sí",ISNUMBER($AN265),$AN265&lt;FechaRef,IF($V265="Sub",N($X265),N($M265))&lt;1,$Q265=""),"Vencida sin observación"&amp;" · ",""))="","✔ OK","⚠ "&amp;LEFT(IF($C265="","Falta el nombre de la actividad"&amp;" · ","")&amp;IF(AND($V265="Sub",N($U265)=0),"Subactividad sin macroactividad arriba"&amp;" · ","")&amp;IF($AM265="","Sin fecha de inicio"&amp;" · ","")&amp;IF($AN265="","Sin fecha límite"&amp;" · ","")&amp;IF(AND(LEFT($C265,11)="[Jefatura] ",N($AL265)=0),"No se encuentra en la hoja de la jefatura (elíjala de nuevo en la lista)"&amp;" · ","")&amp;IF(OR(AND($E265&lt;&gt;"",NOT(ISNUMBER($E265))),AND($F265&lt;&gt;"",NOT(ISNUMBER($F265))),AND($G265&lt;&gt;"",NOT(ISNUMBER($G265)))),"Fecha no válida"&amp;" · ","")&amp;IF(AND(ISNUMBER($AM265),ISNUMBER($AN265),$AM265&gt;$AN265),"Inicio posterior a fecha límite"&amp;" · ","")&amp;IF(AND($V265="Macro",$H265&lt;&gt;"",OR(NOT(ISNUMBER($H265)),$H265&lt;0,$H265&gt;1)),"Peso fuera de rango"&amp;" · ","")&amp;IF(AND($V265="Sub",$H265&lt;&gt;""),"Las subactividades no llevan peso (valen igual dentro de su macroactividad)"&amp;" · ","")&amp;IF(AND(N($W265)&gt;0,COUNT($I265:$L265)&gt;0),"Con subactividades: deje vacías las semanas (se calculan solas)"&amp;" · ","")&amp;IF((COUNTIF($I265:$L265,"&gt;1")+COUNTIF($I265:$L265,"&lt;0")+COUNTA($I265:$L265)-COUNT($I265:$L265))&gt;0,"Avance fuera de rango 0-100%"&amp;" · ","")&amp;IF(OR(AND($J265&lt;&gt;"",$J265&lt;$I265),AND($K265&lt;&gt;"",$K265&lt;MAX($I265:$J265)),AND($L265&lt;&gt;"",$L265&lt;MAX($I265:$K265))),"Avance semanal decreciente"&amp;" · ","")&amp;IF(AND(ISNUMBER($AN265),$AN265&lt;FechaRef,IF($V265="Sub",N($X265),N($M265))&lt;1),"Vencida"&amp;" · ","")&amp;IF(AND(ObsObligatoria="Sí",ISNUMBER($AN265),$AN265&lt;FechaRef,IF($V265="Sub",N($X265),N($M265))&lt;1,$Q265=""),"Vencida sin observación"&amp;" · ",""),LEN(IF($C265="","Falta el nombre de la actividad"&amp;" · ","")&amp;IF(AND($V265="Sub",N($U265)=0),"Subactividad sin macroactividad arriba"&amp;" · ","")&amp;IF($AM265="","Sin fecha de inicio"&amp;" · ","")&amp;IF($AN265="","Sin fecha límite"&amp;" · ","")&amp;IF(AND(LEFT($C265,11)="[Jefatura] ",N($AL265)=0),"No se encuentra en la hoja de la jefatura (elíjala de nuevo en la lista)"&amp;" · ","")&amp;IF(OR(AND($E265&lt;&gt;"",NOT(ISNUMBER($E265))),AND($F265&lt;&gt;"",NOT(ISNUMBER($F265))),AND($G265&lt;&gt;"",NOT(ISNUMBER($G265)))),"Fecha no válida"&amp;" · ","")&amp;IF(AND(ISNUMBER($AM265),ISNUMBER($AN265),$AM265&gt;$AN265),"Inicio posterior a fecha límite"&amp;" · ","")&amp;IF(AND($V265="Macro",$H265&lt;&gt;"",OR(NOT(ISNUMBER($H265)),$H265&lt;0,$H265&gt;1)),"Peso fuera de rango"&amp;" · ","")&amp;IF(AND($V265="Sub",$H265&lt;&gt;""),"Las subactividades no llevan peso (valen igual dentro de su macroactividad)"&amp;" · ","")&amp;IF(AND(N($W265)&gt;0,COUNT($I265:$L265)&gt;0),"Con subactividades: deje vacías las semanas (se calculan solas)"&amp;" · ","")&amp;IF((COUNTIF($I265:$L265,"&gt;1")+COUNTIF($I265:$L265,"&lt;0")+COUNTA($I265:$L265)-COUNT($I265:$L265))&gt;0,"Avance fuera de rango 0-100%"&amp;" · ","")&amp;IF(OR(AND($J265&lt;&gt;"",$J265&lt;$I265),AND($K265&lt;&gt;"",$K265&lt;MAX($I265:$J265)),AND($L265&lt;&gt;"",$L265&lt;MAX($I265:$K265))),"Avance semanal decreciente"&amp;" · ","")&amp;IF(AND(ISNUMBER($AN265),$AN265&lt;FechaRef,IF($V265="Sub",N($X265),N($M265))&lt;1),"Vencida"&amp;" · ","")&amp;IF(AND(ObsObligatoria="Sí",ISNUMBER($AN265),$AN265&lt;FechaRef,IF($V265="Sub",N($X265),N($M265))&lt;1,$Q265=""),"Vencida sin observación"&amp;" · ",""))-3)))</f>
        <v/>
      </c>
      <c r="S265" s="64">
        <f>IF(NOT((COUNTA($B265:$D265)+COUNTA($G265:$L265)+COUNTA($Q265))&gt;0),"",IF(AND($V265="Sub",N($U265)&gt;0),IF(ISNUMBER(INDEX($AM$5:$AM$1000,$U265-4)),DATE(YEAR(INDEX($AM$5:$AM$1000,$U265-4)),MONTH(INDEX($AM$5:$AM$1000,$U265-4)),1),IF(ISNUMBER(INDEX($AN$5:$AN$1000,$U265-4)),DATE(YEAR(INDEX($AN$5:$AN$1000,$U265-4)),MONTH(INDEX($AN$5:$AN$1000,$U265-4)),1),MesCiclo)),IF(ISNUMBER($AM265),DATE(YEAR($AM265),MONTH($AM265),1),IF(ISNUMBER($AN265),DATE(YEAR($AN265),MONTH($AN265),1),MesCiclo))))</f>
        <v/>
      </c>
      <c r="T265" s="62">
        <f>IF(OR($S265="",$S265&lt;&gt;MesCiclo,$V265&lt;&gt;"Macro"),"",COUNTIFS($S$5:$S265,MesCiclo,$V$5:$V265,"Macro"))</f>
        <v/>
      </c>
      <c r="U265" s="62">
        <f>IF($V265="","",IF($V265="Macro",ROW(),IFERROR(LOOKUP(2,1/($V$5:$V265="Macro"),ROW($V$5:$V265)),0)))</f>
        <v/>
      </c>
      <c r="V265" s="62">
        <f>IF(NOT((COUNTA($B265:$D265)+COUNTA($G265:$L265)+COUNTA($Q265))&gt;0),"",IF($B265="Subactividad","Sub","Macro"))</f>
        <v/>
      </c>
      <c r="W265" s="62">
        <f>IF($V265="Macro",COUNTIFS($U$5:$U$1000,ROW(),$V$5:$V$1000,"Sub"),"")</f>
        <v/>
      </c>
      <c r="X265" s="62">
        <f>IF($V265="","",IF(ISNUMBER($G265),1,IFERROR(LOOKUP(2,1/($I265:$L265&lt;&gt;""),$I265:$L265),0)))</f>
        <v/>
      </c>
      <c r="Y265" s="62">
        <f>IF($V265="","",IF(AND(ISNUMBER($G265),$G265&lt;=IF($S265=MesCiclo,InicioCiclo,$S265+MOD(2-WEEKDAY($S265),7))+6),1,IF(ISNUMBER($I265),$I265,0)))</f>
        <v/>
      </c>
      <c r="Z265" s="62">
        <f>IF($V265="","",IF(AND(ISNUMBER($G265),$G265&lt;=IF($S265=MesCiclo,InicioCiclo,$S265+MOD(2-WEEKDAY($S265),7))+13),1,IF(ISNUMBER($J265),$J265,$Y265)))</f>
        <v/>
      </c>
      <c r="AA265" s="62">
        <f>IF($V265="","",IF(AND(ISNUMBER($G265),$G265&lt;=IF($S265=MesCiclo,InicioCiclo,$S265+MOD(2-WEEKDAY($S265),7))+20),1,IF(ISNUMBER($K265),$K265,$Z265)))</f>
        <v/>
      </c>
      <c r="AB265" s="62">
        <f>IF($V265="","",IF(AND(ISNUMBER($G265),$G265&lt;=IF($S265=MesCiclo,InicioCiclo,$S265+MOD(2-WEEKDAY($S265),7))+27),1,IF(ISNUMBER($L265),$L265,$AA265)))</f>
        <v/>
      </c>
      <c r="AC265" s="62">
        <f>IF($V265="","",IF(AND(ISNUMBER($G265),$G265&lt;=IF($S265=MesCiclo,InicioCiclo,$S265+MOD(2-WEEKDAY($S265),7))+6),1,IF(N($W265)&gt;0,AVERAGEIFS($Y$5:$Y$1000,$U$5:$U$1000,ROW(),$V$5:$V$1000,"Sub"),$Y265)))</f>
        <v/>
      </c>
      <c r="AD265" s="62">
        <f>IF($V265="","",IF(AND(ISNUMBER($G265),$G265&lt;=IF($S265=MesCiclo,InicioCiclo,$S265+MOD(2-WEEKDAY($S265),7))+13),1,IF(N($W265)&gt;0,AVERAGEIFS($Z$5:$Z$1000,$U$5:$U$1000,ROW(),$V$5:$V$1000,"Sub"),$Z265)))</f>
        <v/>
      </c>
      <c r="AE265" s="62">
        <f>IF($V265="","",IF(AND(ISNUMBER($G265),$G265&lt;=IF($S265=MesCiclo,InicioCiclo,$S265+MOD(2-WEEKDAY($S265),7))+20),1,IF(N($W265)&gt;0,AVERAGEIFS($AA$5:$AA$1000,$U$5:$U$1000,ROW(),$V$5:$V$1000,"Sub"),$AA265)))</f>
        <v/>
      </c>
      <c r="AF265" s="62">
        <f>IF($V265="","",IF(AND(ISNUMBER($G265),$G265&lt;=IF($S265=MesCiclo,InicioCiclo,$S265+MOD(2-WEEKDAY($S265),7))+27),1,IF(N($W265)&gt;0,AVERAGEIFS($AB$5:$AB$1000,$U$5:$U$1000,ROW(),$V$5:$V$1000,"Sub"),$AB265)))</f>
        <v/>
      </c>
      <c r="AG265" s="62">
        <f>IF($V265&lt;&gt;"Macro","",IF(COUNTIFS($S$5:$S$1000,$S265,$V$5:$V$1000,"Macro",$H$5:$H$1000,"&gt;0")=0,1/COUNTIFS($S$5:$S$1000,$S265,$V$5:$V$1000,"Macro"),IF(AND(ISNUMBER($H265),N($H265)&gt;0),$H265,SUMIFS($H$5:$H$1000,$S$5:$S$1000,$S265,$V$5:$V$1000,"Macro")/COUNTIFS($S$5:$S$1000,$S265,$V$5:$V$1000,"Macro",$H$5:$H$1000,"&gt;0"))/(COUNTIFS($S$5:$S$1000,$S265,$V$5:$V$1000,"Macro")*SUMIFS($H$5:$H$1000,$S$5:$S$1000,$S265,$V$5:$V$1000,"Macro")/COUNTIFS($S$5:$S$1000,$S265,$V$5:$V$1000,"Macro",$H$5:$H$1000,"&gt;0"))))</f>
        <v/>
      </c>
      <c r="AH265" s="62" t="n"/>
      <c r="AI265" s="62" t="n"/>
      <c r="AJ265" s="62" t="n"/>
      <c r="AK265" s="62" t="n"/>
      <c r="AL265" s="62">
        <f>IF(LEFT($C265,11)="[Jefatura] ",IFERROR(MATCH("Asistente Técnico de Riesgo|"&amp;MID($C265,12,500),rDname_ADM,0),0),"")</f>
        <v/>
      </c>
      <c r="AM265" s="62">
        <f>IF(N($AL265)&gt;0,INDEX(rIni_ADM,$AL265),IF(ISNUMBER($E265),$E265,""))</f>
        <v/>
      </c>
      <c r="AN265" s="62">
        <f>IF(N($AL265)&gt;0,INDEX(rLim_ADM,$AL265),IF(ISNUMBER($F265),$F265,""))</f>
        <v/>
      </c>
    </row>
    <row r="266">
      <c r="A266" s="56">
        <f>IF(NOT((COUNTA($B266:$D266)+COUNTA($G266:$L266)+COUNTA($Q266))&gt;0),"",IF($V266="Macro",COUNTIFS($V$5:$V266,"Macro",$S$5:$S266,$S266),IF(N($U266)=0,"?",COUNTIFS(INDEX($V$5:$V$1000,1):INDEX($V$5:$V$1000,$U266-4),"Macro",INDEX($S$5:$S$1000,1):INDEX($S$5:$S$1000,$U266-4),INDEX($S$5:$S$1000,$U266-4))&amp;"."&amp;COUNTIFS($U$5:$U266,$U266,$V$5:$V266,"Sub"))))</f>
        <v/>
      </c>
      <c r="B266" s="57" t="n"/>
      <c r="C266" s="58" t="n"/>
      <c r="D266" s="58" t="n"/>
      <c r="E266" s="59">
        <f>IF(N($AL266)&gt;0,INDEX(rIni_ADM,$AL266),"")</f>
        <v/>
      </c>
      <c r="F266" s="59">
        <f>IF(N($AL266)&gt;0,INDEX(rLim_ADM,$AL266),"")</f>
        <v/>
      </c>
      <c r="G266" s="59" t="n"/>
      <c r="H266" s="60" t="n"/>
      <c r="I266" s="60" t="n"/>
      <c r="J266" s="60" t="n"/>
      <c r="K266" s="60" t="n"/>
      <c r="L266" s="60" t="n"/>
      <c r="M266" s="61">
        <f>IF(NOT((COUNTA($B266:$D266)+COUNTA($G266:$L266)+COUNTA($Q266))&gt;0),"",IF($V266="Sub",IFERROR($X266/INDEX($W$5:$W$1000,$U266-4),""),IF(ISNUMBER($G266),1,IF(N($W266)&gt;0,AVERAGEIFS($X$5:$X$1000,$U$5:$U$1000,ROW(),$V$5:$V$1000,"Sub"),$X266))))</f>
        <v/>
      </c>
      <c r="N266" s="56">
        <f>IF(OR($M266="",$V266="Sub"),"",IF($M266&gt;=1,"Completado",IF($M266&gt;0,"En curso","Pendiente")))</f>
        <v/>
      </c>
      <c r="O266" s="56">
        <f>IF(OR(NOT((COUNTA($B266:$D266)+COUNTA($G266:$L266)+COUNTA($Q266))&gt;0),$V266="Sub"),"",IF(ISNUMBER($G266),IF(AND(ISNUMBER($AN266),$G266&gt;$AN266),"Cumplida con "&amp;($G266-$AN266)&amp;IF($G266-$AN266=1," día"," días")&amp;" de retraso","Cumplida"),IF(N($M266)&gt;=1,"Cumplida",IF(NOT(ISNUMBER($AN266)),"Sin fecha límite",IF($AN266&lt;FechaRef,"Vencida hace "&amp;(FechaRef-$AN266)&amp;IF(FechaRef-$AN266=1," día"," días"),IF($AN266=FechaRef,"Vence hoy",IF($AN266-FechaRef&lt;=DiasAlerta,"Vence en "&amp;($AN266-FechaRef)&amp;IF($AN266-FechaRef=1," día"," días"),"En plazo")))))))</f>
        <v/>
      </c>
      <c r="P266" s="62" t="n"/>
      <c r="Q266" s="58" t="n"/>
      <c r="R266" s="63">
        <f>IF(NOT((COUNTA($B266:$D266)+COUNTA($G266:$L266)+COUNTA($Q266))&gt;0),"",IF((IF($C266="","Falta el nombre de la actividad"&amp;" · ","")&amp;IF(AND($V266="Sub",N($U266)=0),"Subactividad sin macroactividad arriba"&amp;" · ","")&amp;IF($AM266="","Sin fecha de inicio"&amp;" · ","")&amp;IF($AN266="","Sin fecha límite"&amp;" · ","")&amp;IF(AND(LEFT($C266,11)="[Jefatura] ",N($AL266)=0),"No se encuentra en la hoja de la jefatura (elíjala de nuevo en la lista)"&amp;" · ","")&amp;IF(OR(AND($E266&lt;&gt;"",NOT(ISNUMBER($E266))),AND($F266&lt;&gt;"",NOT(ISNUMBER($F266))),AND($G266&lt;&gt;"",NOT(ISNUMBER($G266)))),"Fecha no válida"&amp;" · ","")&amp;IF(AND(ISNUMBER($AM266),ISNUMBER($AN266),$AM266&gt;$AN266),"Inicio posterior a fecha límite"&amp;" · ","")&amp;IF(AND($V266="Macro",$H266&lt;&gt;"",OR(NOT(ISNUMBER($H266)),$H266&lt;0,$H266&gt;1)),"Peso fuera de rango"&amp;" · ","")&amp;IF(AND($V266="Sub",$H266&lt;&gt;""),"Las subactividades no llevan peso (valen igual dentro de su macroactividad)"&amp;" · ","")&amp;IF(AND(N($W266)&gt;0,COUNT($I266:$L266)&gt;0),"Con subactividades: deje vacías las semanas (se calculan solas)"&amp;" · ","")&amp;IF((COUNTIF($I266:$L266,"&gt;1")+COUNTIF($I266:$L266,"&lt;0")+COUNTA($I266:$L266)-COUNT($I266:$L266))&gt;0,"Avance fuera de rango 0-100%"&amp;" · ","")&amp;IF(OR(AND($J266&lt;&gt;"",$J266&lt;$I266),AND($K266&lt;&gt;"",$K266&lt;MAX($I266:$J266)),AND($L266&lt;&gt;"",$L266&lt;MAX($I266:$K266))),"Avance semanal decreciente"&amp;" · ","")&amp;IF(AND(ISNUMBER($AN266),$AN266&lt;FechaRef,IF($V266="Sub",N($X266),N($M266))&lt;1),"Vencida"&amp;" · ","")&amp;IF(AND(ObsObligatoria="Sí",ISNUMBER($AN266),$AN266&lt;FechaRef,IF($V266="Sub",N($X266),N($M266))&lt;1,$Q266=""),"Vencida sin observación"&amp;" · ",""))="","✔ OK","⚠ "&amp;LEFT(IF($C266="","Falta el nombre de la actividad"&amp;" · ","")&amp;IF(AND($V266="Sub",N($U266)=0),"Subactividad sin macroactividad arriba"&amp;" · ","")&amp;IF($AM266="","Sin fecha de inicio"&amp;" · ","")&amp;IF($AN266="","Sin fecha límite"&amp;" · ","")&amp;IF(AND(LEFT($C266,11)="[Jefatura] ",N($AL266)=0),"No se encuentra en la hoja de la jefatura (elíjala de nuevo en la lista)"&amp;" · ","")&amp;IF(OR(AND($E266&lt;&gt;"",NOT(ISNUMBER($E266))),AND($F266&lt;&gt;"",NOT(ISNUMBER($F266))),AND($G266&lt;&gt;"",NOT(ISNUMBER($G266)))),"Fecha no válida"&amp;" · ","")&amp;IF(AND(ISNUMBER($AM266),ISNUMBER($AN266),$AM266&gt;$AN266),"Inicio posterior a fecha límite"&amp;" · ","")&amp;IF(AND($V266="Macro",$H266&lt;&gt;"",OR(NOT(ISNUMBER($H266)),$H266&lt;0,$H266&gt;1)),"Peso fuera de rango"&amp;" · ","")&amp;IF(AND($V266="Sub",$H266&lt;&gt;""),"Las subactividades no llevan peso (valen igual dentro de su macroactividad)"&amp;" · ","")&amp;IF(AND(N($W266)&gt;0,COUNT($I266:$L266)&gt;0),"Con subactividades: deje vacías las semanas (se calculan solas)"&amp;" · ","")&amp;IF((COUNTIF($I266:$L266,"&gt;1")+COUNTIF($I266:$L266,"&lt;0")+COUNTA($I266:$L266)-COUNT($I266:$L266))&gt;0,"Avance fuera de rango 0-100%"&amp;" · ","")&amp;IF(OR(AND($J266&lt;&gt;"",$J266&lt;$I266),AND($K266&lt;&gt;"",$K266&lt;MAX($I266:$J266)),AND($L266&lt;&gt;"",$L266&lt;MAX($I266:$K266))),"Avance semanal decreciente"&amp;" · ","")&amp;IF(AND(ISNUMBER($AN266),$AN266&lt;FechaRef,IF($V266="Sub",N($X266),N($M266))&lt;1),"Vencida"&amp;" · ","")&amp;IF(AND(ObsObligatoria="Sí",ISNUMBER($AN266),$AN266&lt;FechaRef,IF($V266="Sub",N($X266),N($M266))&lt;1,$Q266=""),"Vencida sin observación"&amp;" · ",""),LEN(IF($C266="","Falta el nombre de la actividad"&amp;" · ","")&amp;IF(AND($V266="Sub",N($U266)=0),"Subactividad sin macroactividad arriba"&amp;" · ","")&amp;IF($AM266="","Sin fecha de inicio"&amp;" · ","")&amp;IF($AN266="","Sin fecha límite"&amp;" · ","")&amp;IF(AND(LEFT($C266,11)="[Jefatura] ",N($AL266)=0),"No se encuentra en la hoja de la jefatura (elíjala de nuevo en la lista)"&amp;" · ","")&amp;IF(OR(AND($E266&lt;&gt;"",NOT(ISNUMBER($E266))),AND($F266&lt;&gt;"",NOT(ISNUMBER($F266))),AND($G266&lt;&gt;"",NOT(ISNUMBER($G266)))),"Fecha no válida"&amp;" · ","")&amp;IF(AND(ISNUMBER($AM266),ISNUMBER($AN266),$AM266&gt;$AN266),"Inicio posterior a fecha límite"&amp;" · ","")&amp;IF(AND($V266="Macro",$H266&lt;&gt;"",OR(NOT(ISNUMBER($H266)),$H266&lt;0,$H266&gt;1)),"Peso fuera de rango"&amp;" · ","")&amp;IF(AND($V266="Sub",$H266&lt;&gt;""),"Las subactividades no llevan peso (valen igual dentro de su macroactividad)"&amp;" · ","")&amp;IF(AND(N($W266)&gt;0,COUNT($I266:$L266)&gt;0),"Con subactividades: deje vacías las semanas (se calculan solas)"&amp;" · ","")&amp;IF((COUNTIF($I266:$L266,"&gt;1")+COUNTIF($I266:$L266,"&lt;0")+COUNTA($I266:$L266)-COUNT($I266:$L266))&gt;0,"Avance fuera de rango 0-100%"&amp;" · ","")&amp;IF(OR(AND($J266&lt;&gt;"",$J266&lt;$I266),AND($K266&lt;&gt;"",$K266&lt;MAX($I266:$J266)),AND($L266&lt;&gt;"",$L266&lt;MAX($I266:$K266))),"Avance semanal decreciente"&amp;" · ","")&amp;IF(AND(ISNUMBER($AN266),$AN266&lt;FechaRef,IF($V266="Sub",N($X266),N($M266))&lt;1),"Vencida"&amp;" · ","")&amp;IF(AND(ObsObligatoria="Sí",ISNUMBER($AN266),$AN266&lt;FechaRef,IF($V266="Sub",N($X266),N($M266))&lt;1,$Q266=""),"Vencida sin observación"&amp;" · ",""))-3)))</f>
        <v/>
      </c>
      <c r="S266" s="64">
        <f>IF(NOT((COUNTA($B266:$D266)+COUNTA($G266:$L266)+COUNTA($Q266))&gt;0),"",IF(AND($V266="Sub",N($U266)&gt;0),IF(ISNUMBER(INDEX($AM$5:$AM$1000,$U266-4)),DATE(YEAR(INDEX($AM$5:$AM$1000,$U266-4)),MONTH(INDEX($AM$5:$AM$1000,$U266-4)),1),IF(ISNUMBER(INDEX($AN$5:$AN$1000,$U266-4)),DATE(YEAR(INDEX($AN$5:$AN$1000,$U266-4)),MONTH(INDEX($AN$5:$AN$1000,$U266-4)),1),MesCiclo)),IF(ISNUMBER($AM266),DATE(YEAR($AM266),MONTH($AM266),1),IF(ISNUMBER($AN266),DATE(YEAR($AN266),MONTH($AN266),1),MesCiclo))))</f>
        <v/>
      </c>
      <c r="T266" s="62">
        <f>IF(OR($S266="",$S266&lt;&gt;MesCiclo,$V266&lt;&gt;"Macro"),"",COUNTIFS($S$5:$S266,MesCiclo,$V$5:$V266,"Macro"))</f>
        <v/>
      </c>
      <c r="U266" s="62">
        <f>IF($V266="","",IF($V266="Macro",ROW(),IFERROR(LOOKUP(2,1/($V$5:$V266="Macro"),ROW($V$5:$V266)),0)))</f>
        <v/>
      </c>
      <c r="V266" s="62">
        <f>IF(NOT((COUNTA($B266:$D266)+COUNTA($G266:$L266)+COUNTA($Q266))&gt;0),"",IF($B266="Subactividad","Sub","Macro"))</f>
        <v/>
      </c>
      <c r="W266" s="62">
        <f>IF($V266="Macro",COUNTIFS($U$5:$U$1000,ROW(),$V$5:$V$1000,"Sub"),"")</f>
        <v/>
      </c>
      <c r="X266" s="62">
        <f>IF($V266="","",IF(ISNUMBER($G266),1,IFERROR(LOOKUP(2,1/($I266:$L266&lt;&gt;""),$I266:$L266),0)))</f>
        <v/>
      </c>
      <c r="Y266" s="62">
        <f>IF($V266="","",IF(AND(ISNUMBER($G266),$G266&lt;=IF($S266=MesCiclo,InicioCiclo,$S266+MOD(2-WEEKDAY($S266),7))+6),1,IF(ISNUMBER($I266),$I266,0)))</f>
        <v/>
      </c>
      <c r="Z266" s="62">
        <f>IF($V266="","",IF(AND(ISNUMBER($G266),$G266&lt;=IF($S266=MesCiclo,InicioCiclo,$S266+MOD(2-WEEKDAY($S266),7))+13),1,IF(ISNUMBER($J266),$J266,$Y266)))</f>
        <v/>
      </c>
      <c r="AA266" s="62">
        <f>IF($V266="","",IF(AND(ISNUMBER($G266),$G266&lt;=IF($S266=MesCiclo,InicioCiclo,$S266+MOD(2-WEEKDAY($S266),7))+20),1,IF(ISNUMBER($K266),$K266,$Z266)))</f>
        <v/>
      </c>
      <c r="AB266" s="62">
        <f>IF($V266="","",IF(AND(ISNUMBER($G266),$G266&lt;=IF($S266=MesCiclo,InicioCiclo,$S266+MOD(2-WEEKDAY($S266),7))+27),1,IF(ISNUMBER($L266),$L266,$AA266)))</f>
        <v/>
      </c>
      <c r="AC266" s="62">
        <f>IF($V266="","",IF(AND(ISNUMBER($G266),$G266&lt;=IF($S266=MesCiclo,InicioCiclo,$S266+MOD(2-WEEKDAY($S266),7))+6),1,IF(N($W266)&gt;0,AVERAGEIFS($Y$5:$Y$1000,$U$5:$U$1000,ROW(),$V$5:$V$1000,"Sub"),$Y266)))</f>
        <v/>
      </c>
      <c r="AD266" s="62">
        <f>IF($V266="","",IF(AND(ISNUMBER($G266),$G266&lt;=IF($S266=MesCiclo,InicioCiclo,$S266+MOD(2-WEEKDAY($S266),7))+13),1,IF(N($W266)&gt;0,AVERAGEIFS($Z$5:$Z$1000,$U$5:$U$1000,ROW(),$V$5:$V$1000,"Sub"),$Z266)))</f>
        <v/>
      </c>
      <c r="AE266" s="62">
        <f>IF($V266="","",IF(AND(ISNUMBER($G266),$G266&lt;=IF($S266=MesCiclo,InicioCiclo,$S266+MOD(2-WEEKDAY($S266),7))+20),1,IF(N($W266)&gt;0,AVERAGEIFS($AA$5:$AA$1000,$U$5:$U$1000,ROW(),$V$5:$V$1000,"Sub"),$AA266)))</f>
        <v/>
      </c>
      <c r="AF266" s="62">
        <f>IF($V266="","",IF(AND(ISNUMBER($G266),$G266&lt;=IF($S266=MesCiclo,InicioCiclo,$S266+MOD(2-WEEKDAY($S266),7))+27),1,IF(N($W266)&gt;0,AVERAGEIFS($AB$5:$AB$1000,$U$5:$U$1000,ROW(),$V$5:$V$1000,"Sub"),$AB266)))</f>
        <v/>
      </c>
      <c r="AG266" s="62">
        <f>IF($V266&lt;&gt;"Macro","",IF(COUNTIFS($S$5:$S$1000,$S266,$V$5:$V$1000,"Macro",$H$5:$H$1000,"&gt;0")=0,1/COUNTIFS($S$5:$S$1000,$S266,$V$5:$V$1000,"Macro"),IF(AND(ISNUMBER($H266),N($H266)&gt;0),$H266,SUMIFS($H$5:$H$1000,$S$5:$S$1000,$S266,$V$5:$V$1000,"Macro")/COUNTIFS($S$5:$S$1000,$S266,$V$5:$V$1000,"Macro",$H$5:$H$1000,"&gt;0"))/(COUNTIFS($S$5:$S$1000,$S266,$V$5:$V$1000,"Macro")*SUMIFS($H$5:$H$1000,$S$5:$S$1000,$S266,$V$5:$V$1000,"Macro")/COUNTIFS($S$5:$S$1000,$S266,$V$5:$V$1000,"Macro",$H$5:$H$1000,"&gt;0"))))</f>
        <v/>
      </c>
      <c r="AH266" s="62" t="n"/>
      <c r="AI266" s="62" t="n"/>
      <c r="AJ266" s="62" t="n"/>
      <c r="AK266" s="62" t="n"/>
      <c r="AL266" s="62">
        <f>IF(LEFT($C266,11)="[Jefatura] ",IFERROR(MATCH("Asistente Técnico de Riesgo|"&amp;MID($C266,12,500),rDname_ADM,0),0),"")</f>
        <v/>
      </c>
      <c r="AM266" s="62">
        <f>IF(N($AL266)&gt;0,INDEX(rIni_ADM,$AL266),IF(ISNUMBER($E266),$E266,""))</f>
        <v/>
      </c>
      <c r="AN266" s="62">
        <f>IF(N($AL266)&gt;0,INDEX(rLim_ADM,$AL266),IF(ISNUMBER($F266),$F266,""))</f>
        <v/>
      </c>
    </row>
    <row r="267">
      <c r="A267" s="56">
        <f>IF(NOT((COUNTA($B267:$D267)+COUNTA($G267:$L267)+COUNTA($Q267))&gt;0),"",IF($V267="Macro",COUNTIFS($V$5:$V267,"Macro",$S$5:$S267,$S267),IF(N($U267)=0,"?",COUNTIFS(INDEX($V$5:$V$1000,1):INDEX($V$5:$V$1000,$U267-4),"Macro",INDEX($S$5:$S$1000,1):INDEX($S$5:$S$1000,$U267-4),INDEX($S$5:$S$1000,$U267-4))&amp;"."&amp;COUNTIFS($U$5:$U267,$U267,$V$5:$V267,"Sub"))))</f>
        <v/>
      </c>
      <c r="B267" s="57" t="n"/>
      <c r="C267" s="58" t="n"/>
      <c r="D267" s="58" t="n"/>
      <c r="E267" s="59">
        <f>IF(N($AL267)&gt;0,INDEX(rIni_ADM,$AL267),"")</f>
        <v/>
      </c>
      <c r="F267" s="59">
        <f>IF(N($AL267)&gt;0,INDEX(rLim_ADM,$AL267),"")</f>
        <v/>
      </c>
      <c r="G267" s="59" t="n"/>
      <c r="H267" s="60" t="n"/>
      <c r="I267" s="60" t="n"/>
      <c r="J267" s="60" t="n"/>
      <c r="K267" s="60" t="n"/>
      <c r="L267" s="60" t="n"/>
      <c r="M267" s="61">
        <f>IF(NOT((COUNTA($B267:$D267)+COUNTA($G267:$L267)+COUNTA($Q267))&gt;0),"",IF($V267="Sub",IFERROR($X267/INDEX($W$5:$W$1000,$U267-4),""),IF(ISNUMBER($G267),1,IF(N($W267)&gt;0,AVERAGEIFS($X$5:$X$1000,$U$5:$U$1000,ROW(),$V$5:$V$1000,"Sub"),$X267))))</f>
        <v/>
      </c>
      <c r="N267" s="56">
        <f>IF(OR($M267="",$V267="Sub"),"",IF($M267&gt;=1,"Completado",IF($M267&gt;0,"En curso","Pendiente")))</f>
        <v/>
      </c>
      <c r="O267" s="56">
        <f>IF(OR(NOT((COUNTA($B267:$D267)+COUNTA($G267:$L267)+COUNTA($Q267))&gt;0),$V267="Sub"),"",IF(ISNUMBER($G267),IF(AND(ISNUMBER($AN267),$G267&gt;$AN267),"Cumplida con "&amp;($G267-$AN267)&amp;IF($G267-$AN267=1," día"," días")&amp;" de retraso","Cumplida"),IF(N($M267)&gt;=1,"Cumplida",IF(NOT(ISNUMBER($AN267)),"Sin fecha límite",IF($AN267&lt;FechaRef,"Vencida hace "&amp;(FechaRef-$AN267)&amp;IF(FechaRef-$AN267=1," día"," días"),IF($AN267=FechaRef,"Vence hoy",IF($AN267-FechaRef&lt;=DiasAlerta,"Vence en "&amp;($AN267-FechaRef)&amp;IF($AN267-FechaRef=1," día"," días"),"En plazo")))))))</f>
        <v/>
      </c>
      <c r="P267" s="62" t="n"/>
      <c r="Q267" s="58" t="n"/>
      <c r="R267" s="63">
        <f>IF(NOT((COUNTA($B267:$D267)+COUNTA($G267:$L267)+COUNTA($Q267))&gt;0),"",IF((IF($C267="","Falta el nombre de la actividad"&amp;" · ","")&amp;IF(AND($V267="Sub",N($U267)=0),"Subactividad sin macroactividad arriba"&amp;" · ","")&amp;IF($AM267="","Sin fecha de inicio"&amp;" · ","")&amp;IF($AN267="","Sin fecha límite"&amp;" · ","")&amp;IF(AND(LEFT($C267,11)="[Jefatura] ",N($AL267)=0),"No se encuentra en la hoja de la jefatura (elíjala de nuevo en la lista)"&amp;" · ","")&amp;IF(OR(AND($E267&lt;&gt;"",NOT(ISNUMBER($E267))),AND($F267&lt;&gt;"",NOT(ISNUMBER($F267))),AND($G267&lt;&gt;"",NOT(ISNUMBER($G267)))),"Fecha no válida"&amp;" · ","")&amp;IF(AND(ISNUMBER($AM267),ISNUMBER($AN267),$AM267&gt;$AN267),"Inicio posterior a fecha límite"&amp;" · ","")&amp;IF(AND($V267="Macro",$H267&lt;&gt;"",OR(NOT(ISNUMBER($H267)),$H267&lt;0,$H267&gt;1)),"Peso fuera de rango"&amp;" · ","")&amp;IF(AND($V267="Sub",$H267&lt;&gt;""),"Las subactividades no llevan peso (valen igual dentro de su macroactividad)"&amp;" · ","")&amp;IF(AND(N($W267)&gt;0,COUNT($I267:$L267)&gt;0),"Con subactividades: deje vacías las semanas (se calculan solas)"&amp;" · ","")&amp;IF((COUNTIF($I267:$L267,"&gt;1")+COUNTIF($I267:$L267,"&lt;0")+COUNTA($I267:$L267)-COUNT($I267:$L267))&gt;0,"Avance fuera de rango 0-100%"&amp;" · ","")&amp;IF(OR(AND($J267&lt;&gt;"",$J267&lt;$I267),AND($K267&lt;&gt;"",$K267&lt;MAX($I267:$J267)),AND($L267&lt;&gt;"",$L267&lt;MAX($I267:$K267))),"Avance semanal decreciente"&amp;" · ","")&amp;IF(AND(ISNUMBER($AN267),$AN267&lt;FechaRef,IF($V267="Sub",N($X267),N($M267))&lt;1),"Vencida"&amp;" · ","")&amp;IF(AND(ObsObligatoria="Sí",ISNUMBER($AN267),$AN267&lt;FechaRef,IF($V267="Sub",N($X267),N($M267))&lt;1,$Q267=""),"Vencida sin observación"&amp;" · ",""))="","✔ OK","⚠ "&amp;LEFT(IF($C267="","Falta el nombre de la actividad"&amp;" · ","")&amp;IF(AND($V267="Sub",N($U267)=0),"Subactividad sin macroactividad arriba"&amp;" · ","")&amp;IF($AM267="","Sin fecha de inicio"&amp;" · ","")&amp;IF($AN267="","Sin fecha límite"&amp;" · ","")&amp;IF(AND(LEFT($C267,11)="[Jefatura] ",N($AL267)=0),"No se encuentra en la hoja de la jefatura (elíjala de nuevo en la lista)"&amp;" · ","")&amp;IF(OR(AND($E267&lt;&gt;"",NOT(ISNUMBER($E267))),AND($F267&lt;&gt;"",NOT(ISNUMBER($F267))),AND($G267&lt;&gt;"",NOT(ISNUMBER($G267)))),"Fecha no válida"&amp;" · ","")&amp;IF(AND(ISNUMBER($AM267),ISNUMBER($AN267),$AM267&gt;$AN267),"Inicio posterior a fecha límite"&amp;" · ","")&amp;IF(AND($V267="Macro",$H267&lt;&gt;"",OR(NOT(ISNUMBER($H267)),$H267&lt;0,$H267&gt;1)),"Peso fuera de rango"&amp;" · ","")&amp;IF(AND($V267="Sub",$H267&lt;&gt;""),"Las subactividades no llevan peso (valen igual dentro de su macroactividad)"&amp;" · ","")&amp;IF(AND(N($W267)&gt;0,COUNT($I267:$L267)&gt;0),"Con subactividades: deje vacías las semanas (se calculan solas)"&amp;" · ","")&amp;IF((COUNTIF($I267:$L267,"&gt;1")+COUNTIF($I267:$L267,"&lt;0")+COUNTA($I267:$L267)-COUNT($I267:$L267))&gt;0,"Avance fuera de rango 0-100%"&amp;" · ","")&amp;IF(OR(AND($J267&lt;&gt;"",$J267&lt;$I267),AND($K267&lt;&gt;"",$K267&lt;MAX($I267:$J267)),AND($L267&lt;&gt;"",$L267&lt;MAX($I267:$K267))),"Avance semanal decreciente"&amp;" · ","")&amp;IF(AND(ISNUMBER($AN267),$AN267&lt;FechaRef,IF($V267="Sub",N($X267),N($M267))&lt;1),"Vencida"&amp;" · ","")&amp;IF(AND(ObsObligatoria="Sí",ISNUMBER($AN267),$AN267&lt;FechaRef,IF($V267="Sub",N($X267),N($M267))&lt;1,$Q267=""),"Vencida sin observación"&amp;" · ",""),LEN(IF($C267="","Falta el nombre de la actividad"&amp;" · ","")&amp;IF(AND($V267="Sub",N($U267)=0),"Subactividad sin macroactividad arriba"&amp;" · ","")&amp;IF($AM267="","Sin fecha de inicio"&amp;" · ","")&amp;IF($AN267="","Sin fecha límite"&amp;" · ","")&amp;IF(AND(LEFT($C267,11)="[Jefatura] ",N($AL267)=0),"No se encuentra en la hoja de la jefatura (elíjala de nuevo en la lista)"&amp;" · ","")&amp;IF(OR(AND($E267&lt;&gt;"",NOT(ISNUMBER($E267))),AND($F267&lt;&gt;"",NOT(ISNUMBER($F267))),AND($G267&lt;&gt;"",NOT(ISNUMBER($G267)))),"Fecha no válida"&amp;" · ","")&amp;IF(AND(ISNUMBER($AM267),ISNUMBER($AN267),$AM267&gt;$AN267),"Inicio posterior a fecha límite"&amp;" · ","")&amp;IF(AND($V267="Macro",$H267&lt;&gt;"",OR(NOT(ISNUMBER($H267)),$H267&lt;0,$H267&gt;1)),"Peso fuera de rango"&amp;" · ","")&amp;IF(AND($V267="Sub",$H267&lt;&gt;""),"Las subactividades no llevan peso (valen igual dentro de su macroactividad)"&amp;" · ","")&amp;IF(AND(N($W267)&gt;0,COUNT($I267:$L267)&gt;0),"Con subactividades: deje vacías las semanas (se calculan solas)"&amp;" · ","")&amp;IF((COUNTIF($I267:$L267,"&gt;1")+COUNTIF($I267:$L267,"&lt;0")+COUNTA($I267:$L267)-COUNT($I267:$L267))&gt;0,"Avance fuera de rango 0-100%"&amp;" · ","")&amp;IF(OR(AND($J267&lt;&gt;"",$J267&lt;$I267),AND($K267&lt;&gt;"",$K267&lt;MAX($I267:$J267)),AND($L267&lt;&gt;"",$L267&lt;MAX($I267:$K267))),"Avance semanal decreciente"&amp;" · ","")&amp;IF(AND(ISNUMBER($AN267),$AN267&lt;FechaRef,IF($V267="Sub",N($X267),N($M267))&lt;1),"Vencida"&amp;" · ","")&amp;IF(AND(ObsObligatoria="Sí",ISNUMBER($AN267),$AN267&lt;FechaRef,IF($V267="Sub",N($X267),N($M267))&lt;1,$Q267=""),"Vencida sin observación"&amp;" · ",""))-3)))</f>
        <v/>
      </c>
      <c r="S267" s="64">
        <f>IF(NOT((COUNTA($B267:$D267)+COUNTA($G267:$L267)+COUNTA($Q267))&gt;0),"",IF(AND($V267="Sub",N($U267)&gt;0),IF(ISNUMBER(INDEX($AM$5:$AM$1000,$U267-4)),DATE(YEAR(INDEX($AM$5:$AM$1000,$U267-4)),MONTH(INDEX($AM$5:$AM$1000,$U267-4)),1),IF(ISNUMBER(INDEX($AN$5:$AN$1000,$U267-4)),DATE(YEAR(INDEX($AN$5:$AN$1000,$U267-4)),MONTH(INDEX($AN$5:$AN$1000,$U267-4)),1),MesCiclo)),IF(ISNUMBER($AM267),DATE(YEAR($AM267),MONTH($AM267),1),IF(ISNUMBER($AN267),DATE(YEAR($AN267),MONTH($AN267),1),MesCiclo))))</f>
        <v/>
      </c>
      <c r="T267" s="62">
        <f>IF(OR($S267="",$S267&lt;&gt;MesCiclo,$V267&lt;&gt;"Macro"),"",COUNTIFS($S$5:$S267,MesCiclo,$V$5:$V267,"Macro"))</f>
        <v/>
      </c>
      <c r="U267" s="62">
        <f>IF($V267="","",IF($V267="Macro",ROW(),IFERROR(LOOKUP(2,1/($V$5:$V267="Macro"),ROW($V$5:$V267)),0)))</f>
        <v/>
      </c>
      <c r="V267" s="62">
        <f>IF(NOT((COUNTA($B267:$D267)+COUNTA($G267:$L267)+COUNTA($Q267))&gt;0),"",IF($B267="Subactividad","Sub","Macro"))</f>
        <v/>
      </c>
      <c r="W267" s="62">
        <f>IF($V267="Macro",COUNTIFS($U$5:$U$1000,ROW(),$V$5:$V$1000,"Sub"),"")</f>
        <v/>
      </c>
      <c r="X267" s="62">
        <f>IF($V267="","",IF(ISNUMBER($G267),1,IFERROR(LOOKUP(2,1/($I267:$L267&lt;&gt;""),$I267:$L267),0)))</f>
        <v/>
      </c>
      <c r="Y267" s="62">
        <f>IF($V267="","",IF(AND(ISNUMBER($G267),$G267&lt;=IF($S267=MesCiclo,InicioCiclo,$S267+MOD(2-WEEKDAY($S267),7))+6),1,IF(ISNUMBER($I267),$I267,0)))</f>
        <v/>
      </c>
      <c r="Z267" s="62">
        <f>IF($V267="","",IF(AND(ISNUMBER($G267),$G267&lt;=IF($S267=MesCiclo,InicioCiclo,$S267+MOD(2-WEEKDAY($S267),7))+13),1,IF(ISNUMBER($J267),$J267,$Y267)))</f>
        <v/>
      </c>
      <c r="AA267" s="62">
        <f>IF($V267="","",IF(AND(ISNUMBER($G267),$G267&lt;=IF($S267=MesCiclo,InicioCiclo,$S267+MOD(2-WEEKDAY($S267),7))+20),1,IF(ISNUMBER($K267),$K267,$Z267)))</f>
        <v/>
      </c>
      <c r="AB267" s="62">
        <f>IF($V267="","",IF(AND(ISNUMBER($G267),$G267&lt;=IF($S267=MesCiclo,InicioCiclo,$S267+MOD(2-WEEKDAY($S267),7))+27),1,IF(ISNUMBER($L267),$L267,$AA267)))</f>
        <v/>
      </c>
      <c r="AC267" s="62">
        <f>IF($V267="","",IF(AND(ISNUMBER($G267),$G267&lt;=IF($S267=MesCiclo,InicioCiclo,$S267+MOD(2-WEEKDAY($S267),7))+6),1,IF(N($W267)&gt;0,AVERAGEIFS($Y$5:$Y$1000,$U$5:$U$1000,ROW(),$V$5:$V$1000,"Sub"),$Y267)))</f>
        <v/>
      </c>
      <c r="AD267" s="62">
        <f>IF($V267="","",IF(AND(ISNUMBER($G267),$G267&lt;=IF($S267=MesCiclo,InicioCiclo,$S267+MOD(2-WEEKDAY($S267),7))+13),1,IF(N($W267)&gt;0,AVERAGEIFS($Z$5:$Z$1000,$U$5:$U$1000,ROW(),$V$5:$V$1000,"Sub"),$Z267)))</f>
        <v/>
      </c>
      <c r="AE267" s="62">
        <f>IF($V267="","",IF(AND(ISNUMBER($G267),$G267&lt;=IF($S267=MesCiclo,InicioCiclo,$S267+MOD(2-WEEKDAY($S267),7))+20),1,IF(N($W267)&gt;0,AVERAGEIFS($AA$5:$AA$1000,$U$5:$U$1000,ROW(),$V$5:$V$1000,"Sub"),$AA267)))</f>
        <v/>
      </c>
      <c r="AF267" s="62">
        <f>IF($V267="","",IF(AND(ISNUMBER($G267),$G267&lt;=IF($S267=MesCiclo,InicioCiclo,$S267+MOD(2-WEEKDAY($S267),7))+27),1,IF(N($W267)&gt;0,AVERAGEIFS($AB$5:$AB$1000,$U$5:$U$1000,ROW(),$V$5:$V$1000,"Sub"),$AB267)))</f>
        <v/>
      </c>
      <c r="AG267" s="62">
        <f>IF($V267&lt;&gt;"Macro","",IF(COUNTIFS($S$5:$S$1000,$S267,$V$5:$V$1000,"Macro",$H$5:$H$1000,"&gt;0")=0,1/COUNTIFS($S$5:$S$1000,$S267,$V$5:$V$1000,"Macro"),IF(AND(ISNUMBER($H267),N($H267)&gt;0),$H267,SUMIFS($H$5:$H$1000,$S$5:$S$1000,$S267,$V$5:$V$1000,"Macro")/COUNTIFS($S$5:$S$1000,$S267,$V$5:$V$1000,"Macro",$H$5:$H$1000,"&gt;0"))/(COUNTIFS($S$5:$S$1000,$S267,$V$5:$V$1000,"Macro")*SUMIFS($H$5:$H$1000,$S$5:$S$1000,$S267,$V$5:$V$1000,"Macro")/COUNTIFS($S$5:$S$1000,$S267,$V$5:$V$1000,"Macro",$H$5:$H$1000,"&gt;0"))))</f>
        <v/>
      </c>
      <c r="AH267" s="62" t="n"/>
      <c r="AI267" s="62" t="n"/>
      <c r="AJ267" s="62" t="n"/>
      <c r="AK267" s="62" t="n"/>
      <c r="AL267" s="62">
        <f>IF(LEFT($C267,11)="[Jefatura] ",IFERROR(MATCH("Asistente Técnico de Riesgo|"&amp;MID($C267,12,500),rDname_ADM,0),0),"")</f>
        <v/>
      </c>
      <c r="AM267" s="62">
        <f>IF(N($AL267)&gt;0,INDEX(rIni_ADM,$AL267),IF(ISNUMBER($E267),$E267,""))</f>
        <v/>
      </c>
      <c r="AN267" s="62">
        <f>IF(N($AL267)&gt;0,INDEX(rLim_ADM,$AL267),IF(ISNUMBER($F267),$F267,""))</f>
        <v/>
      </c>
    </row>
    <row r="268">
      <c r="A268" s="56">
        <f>IF(NOT((COUNTA($B268:$D268)+COUNTA($G268:$L268)+COUNTA($Q268))&gt;0),"",IF($V268="Macro",COUNTIFS($V$5:$V268,"Macro",$S$5:$S268,$S268),IF(N($U268)=0,"?",COUNTIFS(INDEX($V$5:$V$1000,1):INDEX($V$5:$V$1000,$U268-4),"Macro",INDEX($S$5:$S$1000,1):INDEX($S$5:$S$1000,$U268-4),INDEX($S$5:$S$1000,$U268-4))&amp;"."&amp;COUNTIFS($U$5:$U268,$U268,$V$5:$V268,"Sub"))))</f>
        <v/>
      </c>
      <c r="B268" s="57" t="n"/>
      <c r="C268" s="58" t="n"/>
      <c r="D268" s="58" t="n"/>
      <c r="E268" s="59">
        <f>IF(N($AL268)&gt;0,INDEX(rIni_ADM,$AL268),"")</f>
        <v/>
      </c>
      <c r="F268" s="59">
        <f>IF(N($AL268)&gt;0,INDEX(rLim_ADM,$AL268),"")</f>
        <v/>
      </c>
      <c r="G268" s="59" t="n"/>
      <c r="H268" s="60" t="n"/>
      <c r="I268" s="60" t="n"/>
      <c r="J268" s="60" t="n"/>
      <c r="K268" s="60" t="n"/>
      <c r="L268" s="60" t="n"/>
      <c r="M268" s="61">
        <f>IF(NOT((COUNTA($B268:$D268)+COUNTA($G268:$L268)+COUNTA($Q268))&gt;0),"",IF($V268="Sub",IFERROR($X268/INDEX($W$5:$W$1000,$U268-4),""),IF(ISNUMBER($G268),1,IF(N($W268)&gt;0,AVERAGEIFS($X$5:$X$1000,$U$5:$U$1000,ROW(),$V$5:$V$1000,"Sub"),$X268))))</f>
        <v/>
      </c>
      <c r="N268" s="56">
        <f>IF(OR($M268="",$V268="Sub"),"",IF($M268&gt;=1,"Completado",IF($M268&gt;0,"En curso","Pendiente")))</f>
        <v/>
      </c>
      <c r="O268" s="56">
        <f>IF(OR(NOT((COUNTA($B268:$D268)+COUNTA($G268:$L268)+COUNTA($Q268))&gt;0),$V268="Sub"),"",IF(ISNUMBER($G268),IF(AND(ISNUMBER($AN268),$G268&gt;$AN268),"Cumplida con "&amp;($G268-$AN268)&amp;IF($G268-$AN268=1," día"," días")&amp;" de retraso","Cumplida"),IF(N($M268)&gt;=1,"Cumplida",IF(NOT(ISNUMBER($AN268)),"Sin fecha límite",IF($AN268&lt;FechaRef,"Vencida hace "&amp;(FechaRef-$AN268)&amp;IF(FechaRef-$AN268=1," día"," días"),IF($AN268=FechaRef,"Vence hoy",IF($AN268-FechaRef&lt;=DiasAlerta,"Vence en "&amp;($AN268-FechaRef)&amp;IF($AN268-FechaRef=1," día"," días"),"En plazo")))))))</f>
        <v/>
      </c>
      <c r="P268" s="62" t="n"/>
      <c r="Q268" s="58" t="n"/>
      <c r="R268" s="63">
        <f>IF(NOT((COUNTA($B268:$D268)+COUNTA($G268:$L268)+COUNTA($Q268))&gt;0),"",IF((IF($C268="","Falta el nombre de la actividad"&amp;" · ","")&amp;IF(AND($V268="Sub",N($U268)=0),"Subactividad sin macroactividad arriba"&amp;" · ","")&amp;IF($AM268="","Sin fecha de inicio"&amp;" · ","")&amp;IF($AN268="","Sin fecha límite"&amp;" · ","")&amp;IF(AND(LEFT($C268,11)="[Jefatura] ",N($AL268)=0),"No se encuentra en la hoja de la jefatura (elíjala de nuevo en la lista)"&amp;" · ","")&amp;IF(OR(AND($E268&lt;&gt;"",NOT(ISNUMBER($E268))),AND($F268&lt;&gt;"",NOT(ISNUMBER($F268))),AND($G268&lt;&gt;"",NOT(ISNUMBER($G268)))),"Fecha no válida"&amp;" · ","")&amp;IF(AND(ISNUMBER($AM268),ISNUMBER($AN268),$AM268&gt;$AN268),"Inicio posterior a fecha límite"&amp;" · ","")&amp;IF(AND($V268="Macro",$H268&lt;&gt;"",OR(NOT(ISNUMBER($H268)),$H268&lt;0,$H268&gt;1)),"Peso fuera de rango"&amp;" · ","")&amp;IF(AND($V268="Sub",$H268&lt;&gt;""),"Las subactividades no llevan peso (valen igual dentro de su macroactividad)"&amp;" · ","")&amp;IF(AND(N($W268)&gt;0,COUNT($I268:$L268)&gt;0),"Con subactividades: deje vacías las semanas (se calculan solas)"&amp;" · ","")&amp;IF((COUNTIF($I268:$L268,"&gt;1")+COUNTIF($I268:$L268,"&lt;0")+COUNTA($I268:$L268)-COUNT($I268:$L268))&gt;0,"Avance fuera de rango 0-100%"&amp;" · ","")&amp;IF(OR(AND($J268&lt;&gt;"",$J268&lt;$I268),AND($K268&lt;&gt;"",$K268&lt;MAX($I268:$J268)),AND($L268&lt;&gt;"",$L268&lt;MAX($I268:$K268))),"Avance semanal decreciente"&amp;" · ","")&amp;IF(AND(ISNUMBER($AN268),$AN268&lt;FechaRef,IF($V268="Sub",N($X268),N($M268))&lt;1),"Vencida"&amp;" · ","")&amp;IF(AND(ObsObligatoria="Sí",ISNUMBER($AN268),$AN268&lt;FechaRef,IF($V268="Sub",N($X268),N($M268))&lt;1,$Q268=""),"Vencida sin observación"&amp;" · ",""))="","✔ OK","⚠ "&amp;LEFT(IF($C268="","Falta el nombre de la actividad"&amp;" · ","")&amp;IF(AND($V268="Sub",N($U268)=0),"Subactividad sin macroactividad arriba"&amp;" · ","")&amp;IF($AM268="","Sin fecha de inicio"&amp;" · ","")&amp;IF($AN268="","Sin fecha límite"&amp;" · ","")&amp;IF(AND(LEFT($C268,11)="[Jefatura] ",N($AL268)=0),"No se encuentra en la hoja de la jefatura (elíjala de nuevo en la lista)"&amp;" · ","")&amp;IF(OR(AND($E268&lt;&gt;"",NOT(ISNUMBER($E268))),AND($F268&lt;&gt;"",NOT(ISNUMBER($F268))),AND($G268&lt;&gt;"",NOT(ISNUMBER($G268)))),"Fecha no válida"&amp;" · ","")&amp;IF(AND(ISNUMBER($AM268),ISNUMBER($AN268),$AM268&gt;$AN268),"Inicio posterior a fecha límite"&amp;" · ","")&amp;IF(AND($V268="Macro",$H268&lt;&gt;"",OR(NOT(ISNUMBER($H268)),$H268&lt;0,$H268&gt;1)),"Peso fuera de rango"&amp;" · ","")&amp;IF(AND($V268="Sub",$H268&lt;&gt;""),"Las subactividades no llevan peso (valen igual dentro de su macroactividad)"&amp;" · ","")&amp;IF(AND(N($W268)&gt;0,COUNT($I268:$L268)&gt;0),"Con subactividades: deje vacías las semanas (se calculan solas)"&amp;" · ","")&amp;IF((COUNTIF($I268:$L268,"&gt;1")+COUNTIF($I268:$L268,"&lt;0")+COUNTA($I268:$L268)-COUNT($I268:$L268))&gt;0,"Avance fuera de rango 0-100%"&amp;" · ","")&amp;IF(OR(AND($J268&lt;&gt;"",$J268&lt;$I268),AND($K268&lt;&gt;"",$K268&lt;MAX($I268:$J268)),AND($L268&lt;&gt;"",$L268&lt;MAX($I268:$K268))),"Avance semanal decreciente"&amp;" · ","")&amp;IF(AND(ISNUMBER($AN268),$AN268&lt;FechaRef,IF($V268="Sub",N($X268),N($M268))&lt;1),"Vencida"&amp;" · ","")&amp;IF(AND(ObsObligatoria="Sí",ISNUMBER($AN268),$AN268&lt;FechaRef,IF($V268="Sub",N($X268),N($M268))&lt;1,$Q268=""),"Vencida sin observación"&amp;" · ",""),LEN(IF($C268="","Falta el nombre de la actividad"&amp;" · ","")&amp;IF(AND($V268="Sub",N($U268)=0),"Subactividad sin macroactividad arriba"&amp;" · ","")&amp;IF($AM268="","Sin fecha de inicio"&amp;" · ","")&amp;IF($AN268="","Sin fecha límite"&amp;" · ","")&amp;IF(AND(LEFT($C268,11)="[Jefatura] ",N($AL268)=0),"No se encuentra en la hoja de la jefatura (elíjala de nuevo en la lista)"&amp;" · ","")&amp;IF(OR(AND($E268&lt;&gt;"",NOT(ISNUMBER($E268))),AND($F268&lt;&gt;"",NOT(ISNUMBER($F268))),AND($G268&lt;&gt;"",NOT(ISNUMBER($G268)))),"Fecha no válida"&amp;" · ","")&amp;IF(AND(ISNUMBER($AM268),ISNUMBER($AN268),$AM268&gt;$AN268),"Inicio posterior a fecha límite"&amp;" · ","")&amp;IF(AND($V268="Macro",$H268&lt;&gt;"",OR(NOT(ISNUMBER($H268)),$H268&lt;0,$H268&gt;1)),"Peso fuera de rango"&amp;" · ","")&amp;IF(AND($V268="Sub",$H268&lt;&gt;""),"Las subactividades no llevan peso (valen igual dentro de su macroactividad)"&amp;" · ","")&amp;IF(AND(N($W268)&gt;0,COUNT($I268:$L268)&gt;0),"Con subactividades: deje vacías las semanas (se calculan solas)"&amp;" · ","")&amp;IF((COUNTIF($I268:$L268,"&gt;1")+COUNTIF($I268:$L268,"&lt;0")+COUNTA($I268:$L268)-COUNT($I268:$L268))&gt;0,"Avance fuera de rango 0-100%"&amp;" · ","")&amp;IF(OR(AND($J268&lt;&gt;"",$J268&lt;$I268),AND($K268&lt;&gt;"",$K268&lt;MAX($I268:$J268)),AND($L268&lt;&gt;"",$L268&lt;MAX($I268:$K268))),"Avance semanal decreciente"&amp;" · ","")&amp;IF(AND(ISNUMBER($AN268),$AN268&lt;FechaRef,IF($V268="Sub",N($X268),N($M268))&lt;1),"Vencida"&amp;" · ","")&amp;IF(AND(ObsObligatoria="Sí",ISNUMBER($AN268),$AN268&lt;FechaRef,IF($V268="Sub",N($X268),N($M268))&lt;1,$Q268=""),"Vencida sin observación"&amp;" · ",""))-3)))</f>
        <v/>
      </c>
      <c r="S268" s="64">
        <f>IF(NOT((COUNTA($B268:$D268)+COUNTA($G268:$L268)+COUNTA($Q268))&gt;0),"",IF(AND($V268="Sub",N($U268)&gt;0),IF(ISNUMBER(INDEX($AM$5:$AM$1000,$U268-4)),DATE(YEAR(INDEX($AM$5:$AM$1000,$U268-4)),MONTH(INDEX($AM$5:$AM$1000,$U268-4)),1),IF(ISNUMBER(INDEX($AN$5:$AN$1000,$U268-4)),DATE(YEAR(INDEX($AN$5:$AN$1000,$U268-4)),MONTH(INDEX($AN$5:$AN$1000,$U268-4)),1),MesCiclo)),IF(ISNUMBER($AM268),DATE(YEAR($AM268),MONTH($AM268),1),IF(ISNUMBER($AN268),DATE(YEAR($AN268),MONTH($AN268),1),MesCiclo))))</f>
        <v/>
      </c>
      <c r="T268" s="62">
        <f>IF(OR($S268="",$S268&lt;&gt;MesCiclo,$V268&lt;&gt;"Macro"),"",COUNTIFS($S$5:$S268,MesCiclo,$V$5:$V268,"Macro"))</f>
        <v/>
      </c>
      <c r="U268" s="62">
        <f>IF($V268="","",IF($V268="Macro",ROW(),IFERROR(LOOKUP(2,1/($V$5:$V268="Macro"),ROW($V$5:$V268)),0)))</f>
        <v/>
      </c>
      <c r="V268" s="62">
        <f>IF(NOT((COUNTA($B268:$D268)+COUNTA($G268:$L268)+COUNTA($Q268))&gt;0),"",IF($B268="Subactividad","Sub","Macro"))</f>
        <v/>
      </c>
      <c r="W268" s="62">
        <f>IF($V268="Macro",COUNTIFS($U$5:$U$1000,ROW(),$V$5:$V$1000,"Sub"),"")</f>
        <v/>
      </c>
      <c r="X268" s="62">
        <f>IF($V268="","",IF(ISNUMBER($G268),1,IFERROR(LOOKUP(2,1/($I268:$L268&lt;&gt;""),$I268:$L268),0)))</f>
        <v/>
      </c>
      <c r="Y268" s="62">
        <f>IF($V268="","",IF(AND(ISNUMBER($G268),$G268&lt;=IF($S268=MesCiclo,InicioCiclo,$S268+MOD(2-WEEKDAY($S268),7))+6),1,IF(ISNUMBER($I268),$I268,0)))</f>
        <v/>
      </c>
      <c r="Z268" s="62">
        <f>IF($V268="","",IF(AND(ISNUMBER($G268),$G268&lt;=IF($S268=MesCiclo,InicioCiclo,$S268+MOD(2-WEEKDAY($S268),7))+13),1,IF(ISNUMBER($J268),$J268,$Y268)))</f>
        <v/>
      </c>
      <c r="AA268" s="62">
        <f>IF($V268="","",IF(AND(ISNUMBER($G268),$G268&lt;=IF($S268=MesCiclo,InicioCiclo,$S268+MOD(2-WEEKDAY($S268),7))+20),1,IF(ISNUMBER($K268),$K268,$Z268)))</f>
        <v/>
      </c>
      <c r="AB268" s="62">
        <f>IF($V268="","",IF(AND(ISNUMBER($G268),$G268&lt;=IF($S268=MesCiclo,InicioCiclo,$S268+MOD(2-WEEKDAY($S268),7))+27),1,IF(ISNUMBER($L268),$L268,$AA268)))</f>
        <v/>
      </c>
      <c r="AC268" s="62">
        <f>IF($V268="","",IF(AND(ISNUMBER($G268),$G268&lt;=IF($S268=MesCiclo,InicioCiclo,$S268+MOD(2-WEEKDAY($S268),7))+6),1,IF(N($W268)&gt;0,AVERAGEIFS($Y$5:$Y$1000,$U$5:$U$1000,ROW(),$V$5:$V$1000,"Sub"),$Y268)))</f>
        <v/>
      </c>
      <c r="AD268" s="62">
        <f>IF($V268="","",IF(AND(ISNUMBER($G268),$G268&lt;=IF($S268=MesCiclo,InicioCiclo,$S268+MOD(2-WEEKDAY($S268),7))+13),1,IF(N($W268)&gt;0,AVERAGEIFS($Z$5:$Z$1000,$U$5:$U$1000,ROW(),$V$5:$V$1000,"Sub"),$Z268)))</f>
        <v/>
      </c>
      <c r="AE268" s="62">
        <f>IF($V268="","",IF(AND(ISNUMBER($G268),$G268&lt;=IF($S268=MesCiclo,InicioCiclo,$S268+MOD(2-WEEKDAY($S268),7))+20),1,IF(N($W268)&gt;0,AVERAGEIFS($AA$5:$AA$1000,$U$5:$U$1000,ROW(),$V$5:$V$1000,"Sub"),$AA268)))</f>
        <v/>
      </c>
      <c r="AF268" s="62">
        <f>IF($V268="","",IF(AND(ISNUMBER($G268),$G268&lt;=IF($S268=MesCiclo,InicioCiclo,$S268+MOD(2-WEEKDAY($S268),7))+27),1,IF(N($W268)&gt;0,AVERAGEIFS($AB$5:$AB$1000,$U$5:$U$1000,ROW(),$V$5:$V$1000,"Sub"),$AB268)))</f>
        <v/>
      </c>
      <c r="AG268" s="62">
        <f>IF($V268&lt;&gt;"Macro","",IF(COUNTIFS($S$5:$S$1000,$S268,$V$5:$V$1000,"Macro",$H$5:$H$1000,"&gt;0")=0,1/COUNTIFS($S$5:$S$1000,$S268,$V$5:$V$1000,"Macro"),IF(AND(ISNUMBER($H268),N($H268)&gt;0),$H268,SUMIFS($H$5:$H$1000,$S$5:$S$1000,$S268,$V$5:$V$1000,"Macro")/COUNTIFS($S$5:$S$1000,$S268,$V$5:$V$1000,"Macro",$H$5:$H$1000,"&gt;0"))/(COUNTIFS($S$5:$S$1000,$S268,$V$5:$V$1000,"Macro")*SUMIFS($H$5:$H$1000,$S$5:$S$1000,$S268,$V$5:$V$1000,"Macro")/COUNTIFS($S$5:$S$1000,$S268,$V$5:$V$1000,"Macro",$H$5:$H$1000,"&gt;0"))))</f>
        <v/>
      </c>
      <c r="AH268" s="62" t="n"/>
      <c r="AI268" s="62" t="n"/>
      <c r="AJ268" s="62" t="n"/>
      <c r="AK268" s="62" t="n"/>
      <c r="AL268" s="62">
        <f>IF(LEFT($C268,11)="[Jefatura] ",IFERROR(MATCH("Asistente Técnico de Riesgo|"&amp;MID($C268,12,500),rDname_ADM,0),0),"")</f>
        <v/>
      </c>
      <c r="AM268" s="62">
        <f>IF(N($AL268)&gt;0,INDEX(rIni_ADM,$AL268),IF(ISNUMBER($E268),$E268,""))</f>
        <v/>
      </c>
      <c r="AN268" s="62">
        <f>IF(N($AL268)&gt;0,INDEX(rLim_ADM,$AL268),IF(ISNUMBER($F268),$F268,""))</f>
        <v/>
      </c>
    </row>
    <row r="269">
      <c r="A269" s="56">
        <f>IF(NOT((COUNTA($B269:$D269)+COUNTA($G269:$L269)+COUNTA($Q269))&gt;0),"",IF($V269="Macro",COUNTIFS($V$5:$V269,"Macro",$S$5:$S269,$S269),IF(N($U269)=0,"?",COUNTIFS(INDEX($V$5:$V$1000,1):INDEX($V$5:$V$1000,$U269-4),"Macro",INDEX($S$5:$S$1000,1):INDEX($S$5:$S$1000,$U269-4),INDEX($S$5:$S$1000,$U269-4))&amp;"."&amp;COUNTIFS($U$5:$U269,$U269,$V$5:$V269,"Sub"))))</f>
        <v/>
      </c>
      <c r="B269" s="57" t="n"/>
      <c r="C269" s="58" t="n"/>
      <c r="D269" s="58" t="n"/>
      <c r="E269" s="59">
        <f>IF(N($AL269)&gt;0,INDEX(rIni_ADM,$AL269),"")</f>
        <v/>
      </c>
      <c r="F269" s="59">
        <f>IF(N($AL269)&gt;0,INDEX(rLim_ADM,$AL269),"")</f>
        <v/>
      </c>
      <c r="G269" s="59" t="n"/>
      <c r="H269" s="60" t="n"/>
      <c r="I269" s="60" t="n"/>
      <c r="J269" s="60" t="n"/>
      <c r="K269" s="60" t="n"/>
      <c r="L269" s="60" t="n"/>
      <c r="M269" s="61">
        <f>IF(NOT((COUNTA($B269:$D269)+COUNTA($G269:$L269)+COUNTA($Q269))&gt;0),"",IF($V269="Sub",IFERROR($X269/INDEX($W$5:$W$1000,$U269-4),""),IF(ISNUMBER($G269),1,IF(N($W269)&gt;0,AVERAGEIFS($X$5:$X$1000,$U$5:$U$1000,ROW(),$V$5:$V$1000,"Sub"),$X269))))</f>
        <v/>
      </c>
      <c r="N269" s="56">
        <f>IF(OR($M269="",$V269="Sub"),"",IF($M269&gt;=1,"Completado",IF($M269&gt;0,"En curso","Pendiente")))</f>
        <v/>
      </c>
      <c r="O269" s="56">
        <f>IF(OR(NOT((COUNTA($B269:$D269)+COUNTA($G269:$L269)+COUNTA($Q269))&gt;0),$V269="Sub"),"",IF(ISNUMBER($G269),IF(AND(ISNUMBER($AN269),$G269&gt;$AN269),"Cumplida con "&amp;($G269-$AN269)&amp;IF($G269-$AN269=1," día"," días")&amp;" de retraso","Cumplida"),IF(N($M269)&gt;=1,"Cumplida",IF(NOT(ISNUMBER($AN269)),"Sin fecha límite",IF($AN269&lt;FechaRef,"Vencida hace "&amp;(FechaRef-$AN269)&amp;IF(FechaRef-$AN269=1," día"," días"),IF($AN269=FechaRef,"Vence hoy",IF($AN269-FechaRef&lt;=DiasAlerta,"Vence en "&amp;($AN269-FechaRef)&amp;IF($AN269-FechaRef=1," día"," días"),"En plazo")))))))</f>
        <v/>
      </c>
      <c r="P269" s="62" t="n"/>
      <c r="Q269" s="58" t="n"/>
      <c r="R269" s="63">
        <f>IF(NOT((COUNTA($B269:$D269)+COUNTA($G269:$L269)+COUNTA($Q269))&gt;0),"",IF((IF($C269="","Falta el nombre de la actividad"&amp;" · ","")&amp;IF(AND($V269="Sub",N($U269)=0),"Subactividad sin macroactividad arriba"&amp;" · ","")&amp;IF($AM269="","Sin fecha de inicio"&amp;" · ","")&amp;IF($AN269="","Sin fecha límite"&amp;" · ","")&amp;IF(AND(LEFT($C269,11)="[Jefatura] ",N($AL269)=0),"No se encuentra en la hoja de la jefatura (elíjala de nuevo en la lista)"&amp;" · ","")&amp;IF(OR(AND($E269&lt;&gt;"",NOT(ISNUMBER($E269))),AND($F269&lt;&gt;"",NOT(ISNUMBER($F269))),AND($G269&lt;&gt;"",NOT(ISNUMBER($G269)))),"Fecha no válida"&amp;" · ","")&amp;IF(AND(ISNUMBER($AM269),ISNUMBER($AN269),$AM269&gt;$AN269),"Inicio posterior a fecha límite"&amp;" · ","")&amp;IF(AND($V269="Macro",$H269&lt;&gt;"",OR(NOT(ISNUMBER($H269)),$H269&lt;0,$H269&gt;1)),"Peso fuera de rango"&amp;" · ","")&amp;IF(AND($V269="Sub",$H269&lt;&gt;""),"Las subactividades no llevan peso (valen igual dentro de su macroactividad)"&amp;" · ","")&amp;IF(AND(N($W269)&gt;0,COUNT($I269:$L269)&gt;0),"Con subactividades: deje vacías las semanas (se calculan solas)"&amp;" · ","")&amp;IF((COUNTIF($I269:$L269,"&gt;1")+COUNTIF($I269:$L269,"&lt;0")+COUNTA($I269:$L269)-COUNT($I269:$L269))&gt;0,"Avance fuera de rango 0-100%"&amp;" · ","")&amp;IF(OR(AND($J269&lt;&gt;"",$J269&lt;$I269),AND($K269&lt;&gt;"",$K269&lt;MAX($I269:$J269)),AND($L269&lt;&gt;"",$L269&lt;MAX($I269:$K269))),"Avance semanal decreciente"&amp;" · ","")&amp;IF(AND(ISNUMBER($AN269),$AN269&lt;FechaRef,IF($V269="Sub",N($X269),N($M269))&lt;1),"Vencida"&amp;" · ","")&amp;IF(AND(ObsObligatoria="Sí",ISNUMBER($AN269),$AN269&lt;FechaRef,IF($V269="Sub",N($X269),N($M269))&lt;1,$Q269=""),"Vencida sin observación"&amp;" · ",""))="","✔ OK","⚠ "&amp;LEFT(IF($C269="","Falta el nombre de la actividad"&amp;" · ","")&amp;IF(AND($V269="Sub",N($U269)=0),"Subactividad sin macroactividad arriba"&amp;" · ","")&amp;IF($AM269="","Sin fecha de inicio"&amp;" · ","")&amp;IF($AN269="","Sin fecha límite"&amp;" · ","")&amp;IF(AND(LEFT($C269,11)="[Jefatura] ",N($AL269)=0),"No se encuentra en la hoja de la jefatura (elíjala de nuevo en la lista)"&amp;" · ","")&amp;IF(OR(AND($E269&lt;&gt;"",NOT(ISNUMBER($E269))),AND($F269&lt;&gt;"",NOT(ISNUMBER($F269))),AND($G269&lt;&gt;"",NOT(ISNUMBER($G269)))),"Fecha no válida"&amp;" · ","")&amp;IF(AND(ISNUMBER($AM269),ISNUMBER($AN269),$AM269&gt;$AN269),"Inicio posterior a fecha límite"&amp;" · ","")&amp;IF(AND($V269="Macro",$H269&lt;&gt;"",OR(NOT(ISNUMBER($H269)),$H269&lt;0,$H269&gt;1)),"Peso fuera de rango"&amp;" · ","")&amp;IF(AND($V269="Sub",$H269&lt;&gt;""),"Las subactividades no llevan peso (valen igual dentro de su macroactividad)"&amp;" · ","")&amp;IF(AND(N($W269)&gt;0,COUNT($I269:$L269)&gt;0),"Con subactividades: deje vacías las semanas (se calculan solas)"&amp;" · ","")&amp;IF((COUNTIF($I269:$L269,"&gt;1")+COUNTIF($I269:$L269,"&lt;0")+COUNTA($I269:$L269)-COUNT($I269:$L269))&gt;0,"Avance fuera de rango 0-100%"&amp;" · ","")&amp;IF(OR(AND($J269&lt;&gt;"",$J269&lt;$I269),AND($K269&lt;&gt;"",$K269&lt;MAX($I269:$J269)),AND($L269&lt;&gt;"",$L269&lt;MAX($I269:$K269))),"Avance semanal decreciente"&amp;" · ","")&amp;IF(AND(ISNUMBER($AN269),$AN269&lt;FechaRef,IF($V269="Sub",N($X269),N($M269))&lt;1),"Vencida"&amp;" · ","")&amp;IF(AND(ObsObligatoria="Sí",ISNUMBER($AN269),$AN269&lt;FechaRef,IF($V269="Sub",N($X269),N($M269))&lt;1,$Q269=""),"Vencida sin observación"&amp;" · ",""),LEN(IF($C269="","Falta el nombre de la actividad"&amp;" · ","")&amp;IF(AND($V269="Sub",N($U269)=0),"Subactividad sin macroactividad arriba"&amp;" · ","")&amp;IF($AM269="","Sin fecha de inicio"&amp;" · ","")&amp;IF($AN269="","Sin fecha límite"&amp;" · ","")&amp;IF(AND(LEFT($C269,11)="[Jefatura] ",N($AL269)=0),"No se encuentra en la hoja de la jefatura (elíjala de nuevo en la lista)"&amp;" · ","")&amp;IF(OR(AND($E269&lt;&gt;"",NOT(ISNUMBER($E269))),AND($F269&lt;&gt;"",NOT(ISNUMBER($F269))),AND($G269&lt;&gt;"",NOT(ISNUMBER($G269)))),"Fecha no válida"&amp;" · ","")&amp;IF(AND(ISNUMBER($AM269),ISNUMBER($AN269),$AM269&gt;$AN269),"Inicio posterior a fecha límite"&amp;" · ","")&amp;IF(AND($V269="Macro",$H269&lt;&gt;"",OR(NOT(ISNUMBER($H269)),$H269&lt;0,$H269&gt;1)),"Peso fuera de rango"&amp;" · ","")&amp;IF(AND($V269="Sub",$H269&lt;&gt;""),"Las subactividades no llevan peso (valen igual dentro de su macroactividad)"&amp;" · ","")&amp;IF(AND(N($W269)&gt;0,COUNT($I269:$L269)&gt;0),"Con subactividades: deje vacías las semanas (se calculan solas)"&amp;" · ","")&amp;IF((COUNTIF($I269:$L269,"&gt;1")+COUNTIF($I269:$L269,"&lt;0")+COUNTA($I269:$L269)-COUNT($I269:$L269))&gt;0,"Avance fuera de rango 0-100%"&amp;" · ","")&amp;IF(OR(AND($J269&lt;&gt;"",$J269&lt;$I269),AND($K269&lt;&gt;"",$K269&lt;MAX($I269:$J269)),AND($L269&lt;&gt;"",$L269&lt;MAX($I269:$K269))),"Avance semanal decreciente"&amp;" · ","")&amp;IF(AND(ISNUMBER($AN269),$AN269&lt;FechaRef,IF($V269="Sub",N($X269),N($M269))&lt;1),"Vencida"&amp;" · ","")&amp;IF(AND(ObsObligatoria="Sí",ISNUMBER($AN269),$AN269&lt;FechaRef,IF($V269="Sub",N($X269),N($M269))&lt;1,$Q269=""),"Vencida sin observación"&amp;" · ",""))-3)))</f>
        <v/>
      </c>
      <c r="S269" s="64">
        <f>IF(NOT((COUNTA($B269:$D269)+COUNTA($G269:$L269)+COUNTA($Q269))&gt;0),"",IF(AND($V269="Sub",N($U269)&gt;0),IF(ISNUMBER(INDEX($AM$5:$AM$1000,$U269-4)),DATE(YEAR(INDEX($AM$5:$AM$1000,$U269-4)),MONTH(INDEX($AM$5:$AM$1000,$U269-4)),1),IF(ISNUMBER(INDEX($AN$5:$AN$1000,$U269-4)),DATE(YEAR(INDEX($AN$5:$AN$1000,$U269-4)),MONTH(INDEX($AN$5:$AN$1000,$U269-4)),1),MesCiclo)),IF(ISNUMBER($AM269),DATE(YEAR($AM269),MONTH($AM269),1),IF(ISNUMBER($AN269),DATE(YEAR($AN269),MONTH($AN269),1),MesCiclo))))</f>
        <v/>
      </c>
      <c r="T269" s="62">
        <f>IF(OR($S269="",$S269&lt;&gt;MesCiclo,$V269&lt;&gt;"Macro"),"",COUNTIFS($S$5:$S269,MesCiclo,$V$5:$V269,"Macro"))</f>
        <v/>
      </c>
      <c r="U269" s="62">
        <f>IF($V269="","",IF($V269="Macro",ROW(),IFERROR(LOOKUP(2,1/($V$5:$V269="Macro"),ROW($V$5:$V269)),0)))</f>
        <v/>
      </c>
      <c r="V269" s="62">
        <f>IF(NOT((COUNTA($B269:$D269)+COUNTA($G269:$L269)+COUNTA($Q269))&gt;0),"",IF($B269="Subactividad","Sub","Macro"))</f>
        <v/>
      </c>
      <c r="W269" s="62">
        <f>IF($V269="Macro",COUNTIFS($U$5:$U$1000,ROW(),$V$5:$V$1000,"Sub"),"")</f>
        <v/>
      </c>
      <c r="X269" s="62">
        <f>IF($V269="","",IF(ISNUMBER($G269),1,IFERROR(LOOKUP(2,1/($I269:$L269&lt;&gt;""),$I269:$L269),0)))</f>
        <v/>
      </c>
      <c r="Y269" s="62">
        <f>IF($V269="","",IF(AND(ISNUMBER($G269),$G269&lt;=IF($S269=MesCiclo,InicioCiclo,$S269+MOD(2-WEEKDAY($S269),7))+6),1,IF(ISNUMBER($I269),$I269,0)))</f>
        <v/>
      </c>
      <c r="Z269" s="62">
        <f>IF($V269="","",IF(AND(ISNUMBER($G269),$G269&lt;=IF($S269=MesCiclo,InicioCiclo,$S269+MOD(2-WEEKDAY($S269),7))+13),1,IF(ISNUMBER($J269),$J269,$Y269)))</f>
        <v/>
      </c>
      <c r="AA269" s="62">
        <f>IF($V269="","",IF(AND(ISNUMBER($G269),$G269&lt;=IF($S269=MesCiclo,InicioCiclo,$S269+MOD(2-WEEKDAY($S269),7))+20),1,IF(ISNUMBER($K269),$K269,$Z269)))</f>
        <v/>
      </c>
      <c r="AB269" s="62">
        <f>IF($V269="","",IF(AND(ISNUMBER($G269),$G269&lt;=IF($S269=MesCiclo,InicioCiclo,$S269+MOD(2-WEEKDAY($S269),7))+27),1,IF(ISNUMBER($L269),$L269,$AA269)))</f>
        <v/>
      </c>
      <c r="AC269" s="62">
        <f>IF($V269="","",IF(AND(ISNUMBER($G269),$G269&lt;=IF($S269=MesCiclo,InicioCiclo,$S269+MOD(2-WEEKDAY($S269),7))+6),1,IF(N($W269)&gt;0,AVERAGEIFS($Y$5:$Y$1000,$U$5:$U$1000,ROW(),$V$5:$V$1000,"Sub"),$Y269)))</f>
        <v/>
      </c>
      <c r="AD269" s="62">
        <f>IF($V269="","",IF(AND(ISNUMBER($G269),$G269&lt;=IF($S269=MesCiclo,InicioCiclo,$S269+MOD(2-WEEKDAY($S269),7))+13),1,IF(N($W269)&gt;0,AVERAGEIFS($Z$5:$Z$1000,$U$5:$U$1000,ROW(),$V$5:$V$1000,"Sub"),$Z269)))</f>
        <v/>
      </c>
      <c r="AE269" s="62">
        <f>IF($V269="","",IF(AND(ISNUMBER($G269),$G269&lt;=IF($S269=MesCiclo,InicioCiclo,$S269+MOD(2-WEEKDAY($S269),7))+20),1,IF(N($W269)&gt;0,AVERAGEIFS($AA$5:$AA$1000,$U$5:$U$1000,ROW(),$V$5:$V$1000,"Sub"),$AA269)))</f>
        <v/>
      </c>
      <c r="AF269" s="62">
        <f>IF($V269="","",IF(AND(ISNUMBER($G269),$G269&lt;=IF($S269=MesCiclo,InicioCiclo,$S269+MOD(2-WEEKDAY($S269),7))+27),1,IF(N($W269)&gt;0,AVERAGEIFS($AB$5:$AB$1000,$U$5:$U$1000,ROW(),$V$5:$V$1000,"Sub"),$AB269)))</f>
        <v/>
      </c>
      <c r="AG269" s="62">
        <f>IF($V269&lt;&gt;"Macro","",IF(COUNTIFS($S$5:$S$1000,$S269,$V$5:$V$1000,"Macro",$H$5:$H$1000,"&gt;0")=0,1/COUNTIFS($S$5:$S$1000,$S269,$V$5:$V$1000,"Macro"),IF(AND(ISNUMBER($H269),N($H269)&gt;0),$H269,SUMIFS($H$5:$H$1000,$S$5:$S$1000,$S269,$V$5:$V$1000,"Macro")/COUNTIFS($S$5:$S$1000,$S269,$V$5:$V$1000,"Macro",$H$5:$H$1000,"&gt;0"))/(COUNTIFS($S$5:$S$1000,$S269,$V$5:$V$1000,"Macro")*SUMIFS($H$5:$H$1000,$S$5:$S$1000,$S269,$V$5:$V$1000,"Macro")/COUNTIFS($S$5:$S$1000,$S269,$V$5:$V$1000,"Macro",$H$5:$H$1000,"&gt;0"))))</f>
        <v/>
      </c>
      <c r="AH269" s="62" t="n"/>
      <c r="AI269" s="62" t="n"/>
      <c r="AJ269" s="62" t="n"/>
      <c r="AK269" s="62" t="n"/>
      <c r="AL269" s="62">
        <f>IF(LEFT($C269,11)="[Jefatura] ",IFERROR(MATCH("Asistente Técnico de Riesgo|"&amp;MID($C269,12,500),rDname_ADM,0),0),"")</f>
        <v/>
      </c>
      <c r="AM269" s="62">
        <f>IF(N($AL269)&gt;0,INDEX(rIni_ADM,$AL269),IF(ISNUMBER($E269),$E269,""))</f>
        <v/>
      </c>
      <c r="AN269" s="62">
        <f>IF(N($AL269)&gt;0,INDEX(rLim_ADM,$AL269),IF(ISNUMBER($F269),$F269,""))</f>
        <v/>
      </c>
    </row>
    <row r="270">
      <c r="A270" s="56">
        <f>IF(NOT((COUNTA($B270:$D270)+COUNTA($G270:$L270)+COUNTA($Q270))&gt;0),"",IF($V270="Macro",COUNTIFS($V$5:$V270,"Macro",$S$5:$S270,$S270),IF(N($U270)=0,"?",COUNTIFS(INDEX($V$5:$V$1000,1):INDEX($V$5:$V$1000,$U270-4),"Macro",INDEX($S$5:$S$1000,1):INDEX($S$5:$S$1000,$U270-4),INDEX($S$5:$S$1000,$U270-4))&amp;"."&amp;COUNTIFS($U$5:$U270,$U270,$V$5:$V270,"Sub"))))</f>
        <v/>
      </c>
      <c r="B270" s="57" t="n"/>
      <c r="C270" s="58" t="n"/>
      <c r="D270" s="58" t="n"/>
      <c r="E270" s="59">
        <f>IF(N($AL270)&gt;0,INDEX(rIni_ADM,$AL270),"")</f>
        <v/>
      </c>
      <c r="F270" s="59">
        <f>IF(N($AL270)&gt;0,INDEX(rLim_ADM,$AL270),"")</f>
        <v/>
      </c>
      <c r="G270" s="59" t="n"/>
      <c r="H270" s="60" t="n"/>
      <c r="I270" s="60" t="n"/>
      <c r="J270" s="60" t="n"/>
      <c r="K270" s="60" t="n"/>
      <c r="L270" s="60" t="n"/>
      <c r="M270" s="61">
        <f>IF(NOT((COUNTA($B270:$D270)+COUNTA($G270:$L270)+COUNTA($Q270))&gt;0),"",IF($V270="Sub",IFERROR($X270/INDEX($W$5:$W$1000,$U270-4),""),IF(ISNUMBER($G270),1,IF(N($W270)&gt;0,AVERAGEIFS($X$5:$X$1000,$U$5:$U$1000,ROW(),$V$5:$V$1000,"Sub"),$X270))))</f>
        <v/>
      </c>
      <c r="N270" s="56">
        <f>IF(OR($M270="",$V270="Sub"),"",IF($M270&gt;=1,"Completado",IF($M270&gt;0,"En curso","Pendiente")))</f>
        <v/>
      </c>
      <c r="O270" s="56">
        <f>IF(OR(NOT((COUNTA($B270:$D270)+COUNTA($G270:$L270)+COUNTA($Q270))&gt;0),$V270="Sub"),"",IF(ISNUMBER($G270),IF(AND(ISNUMBER($AN270),$G270&gt;$AN270),"Cumplida con "&amp;($G270-$AN270)&amp;IF($G270-$AN270=1," día"," días")&amp;" de retraso","Cumplida"),IF(N($M270)&gt;=1,"Cumplida",IF(NOT(ISNUMBER($AN270)),"Sin fecha límite",IF($AN270&lt;FechaRef,"Vencida hace "&amp;(FechaRef-$AN270)&amp;IF(FechaRef-$AN270=1," día"," días"),IF($AN270=FechaRef,"Vence hoy",IF($AN270-FechaRef&lt;=DiasAlerta,"Vence en "&amp;($AN270-FechaRef)&amp;IF($AN270-FechaRef=1," día"," días"),"En plazo")))))))</f>
        <v/>
      </c>
      <c r="P270" s="62" t="n"/>
      <c r="Q270" s="58" t="n"/>
      <c r="R270" s="63">
        <f>IF(NOT((COUNTA($B270:$D270)+COUNTA($G270:$L270)+COUNTA($Q270))&gt;0),"",IF((IF($C270="","Falta el nombre de la actividad"&amp;" · ","")&amp;IF(AND($V270="Sub",N($U270)=0),"Subactividad sin macroactividad arriba"&amp;" · ","")&amp;IF($AM270="","Sin fecha de inicio"&amp;" · ","")&amp;IF($AN270="","Sin fecha límite"&amp;" · ","")&amp;IF(AND(LEFT($C270,11)="[Jefatura] ",N($AL270)=0),"No se encuentra en la hoja de la jefatura (elíjala de nuevo en la lista)"&amp;" · ","")&amp;IF(OR(AND($E270&lt;&gt;"",NOT(ISNUMBER($E270))),AND($F270&lt;&gt;"",NOT(ISNUMBER($F270))),AND($G270&lt;&gt;"",NOT(ISNUMBER($G270)))),"Fecha no válida"&amp;" · ","")&amp;IF(AND(ISNUMBER($AM270),ISNUMBER($AN270),$AM270&gt;$AN270),"Inicio posterior a fecha límite"&amp;" · ","")&amp;IF(AND($V270="Macro",$H270&lt;&gt;"",OR(NOT(ISNUMBER($H270)),$H270&lt;0,$H270&gt;1)),"Peso fuera de rango"&amp;" · ","")&amp;IF(AND($V270="Sub",$H270&lt;&gt;""),"Las subactividades no llevan peso (valen igual dentro de su macroactividad)"&amp;" · ","")&amp;IF(AND(N($W270)&gt;0,COUNT($I270:$L270)&gt;0),"Con subactividades: deje vacías las semanas (se calculan solas)"&amp;" · ","")&amp;IF((COUNTIF($I270:$L270,"&gt;1")+COUNTIF($I270:$L270,"&lt;0")+COUNTA($I270:$L270)-COUNT($I270:$L270))&gt;0,"Avance fuera de rango 0-100%"&amp;" · ","")&amp;IF(OR(AND($J270&lt;&gt;"",$J270&lt;$I270),AND($K270&lt;&gt;"",$K270&lt;MAX($I270:$J270)),AND($L270&lt;&gt;"",$L270&lt;MAX($I270:$K270))),"Avance semanal decreciente"&amp;" · ","")&amp;IF(AND(ISNUMBER($AN270),$AN270&lt;FechaRef,IF($V270="Sub",N($X270),N($M270))&lt;1),"Vencida"&amp;" · ","")&amp;IF(AND(ObsObligatoria="Sí",ISNUMBER($AN270),$AN270&lt;FechaRef,IF($V270="Sub",N($X270),N($M270))&lt;1,$Q270=""),"Vencida sin observación"&amp;" · ",""))="","✔ OK","⚠ "&amp;LEFT(IF($C270="","Falta el nombre de la actividad"&amp;" · ","")&amp;IF(AND($V270="Sub",N($U270)=0),"Subactividad sin macroactividad arriba"&amp;" · ","")&amp;IF($AM270="","Sin fecha de inicio"&amp;" · ","")&amp;IF($AN270="","Sin fecha límite"&amp;" · ","")&amp;IF(AND(LEFT($C270,11)="[Jefatura] ",N($AL270)=0),"No se encuentra en la hoja de la jefatura (elíjala de nuevo en la lista)"&amp;" · ","")&amp;IF(OR(AND($E270&lt;&gt;"",NOT(ISNUMBER($E270))),AND($F270&lt;&gt;"",NOT(ISNUMBER($F270))),AND($G270&lt;&gt;"",NOT(ISNUMBER($G270)))),"Fecha no válida"&amp;" · ","")&amp;IF(AND(ISNUMBER($AM270),ISNUMBER($AN270),$AM270&gt;$AN270),"Inicio posterior a fecha límite"&amp;" · ","")&amp;IF(AND($V270="Macro",$H270&lt;&gt;"",OR(NOT(ISNUMBER($H270)),$H270&lt;0,$H270&gt;1)),"Peso fuera de rango"&amp;" · ","")&amp;IF(AND($V270="Sub",$H270&lt;&gt;""),"Las subactividades no llevan peso (valen igual dentro de su macroactividad)"&amp;" · ","")&amp;IF(AND(N($W270)&gt;0,COUNT($I270:$L270)&gt;0),"Con subactividades: deje vacías las semanas (se calculan solas)"&amp;" · ","")&amp;IF((COUNTIF($I270:$L270,"&gt;1")+COUNTIF($I270:$L270,"&lt;0")+COUNTA($I270:$L270)-COUNT($I270:$L270))&gt;0,"Avance fuera de rango 0-100%"&amp;" · ","")&amp;IF(OR(AND($J270&lt;&gt;"",$J270&lt;$I270),AND($K270&lt;&gt;"",$K270&lt;MAX($I270:$J270)),AND($L270&lt;&gt;"",$L270&lt;MAX($I270:$K270))),"Avance semanal decreciente"&amp;" · ","")&amp;IF(AND(ISNUMBER($AN270),$AN270&lt;FechaRef,IF($V270="Sub",N($X270),N($M270))&lt;1),"Vencida"&amp;" · ","")&amp;IF(AND(ObsObligatoria="Sí",ISNUMBER($AN270),$AN270&lt;FechaRef,IF($V270="Sub",N($X270),N($M270))&lt;1,$Q270=""),"Vencida sin observación"&amp;" · ",""),LEN(IF($C270="","Falta el nombre de la actividad"&amp;" · ","")&amp;IF(AND($V270="Sub",N($U270)=0),"Subactividad sin macroactividad arriba"&amp;" · ","")&amp;IF($AM270="","Sin fecha de inicio"&amp;" · ","")&amp;IF($AN270="","Sin fecha límite"&amp;" · ","")&amp;IF(AND(LEFT($C270,11)="[Jefatura] ",N($AL270)=0),"No se encuentra en la hoja de la jefatura (elíjala de nuevo en la lista)"&amp;" · ","")&amp;IF(OR(AND($E270&lt;&gt;"",NOT(ISNUMBER($E270))),AND($F270&lt;&gt;"",NOT(ISNUMBER($F270))),AND($G270&lt;&gt;"",NOT(ISNUMBER($G270)))),"Fecha no válida"&amp;" · ","")&amp;IF(AND(ISNUMBER($AM270),ISNUMBER($AN270),$AM270&gt;$AN270),"Inicio posterior a fecha límite"&amp;" · ","")&amp;IF(AND($V270="Macro",$H270&lt;&gt;"",OR(NOT(ISNUMBER($H270)),$H270&lt;0,$H270&gt;1)),"Peso fuera de rango"&amp;" · ","")&amp;IF(AND($V270="Sub",$H270&lt;&gt;""),"Las subactividades no llevan peso (valen igual dentro de su macroactividad)"&amp;" · ","")&amp;IF(AND(N($W270)&gt;0,COUNT($I270:$L270)&gt;0),"Con subactividades: deje vacías las semanas (se calculan solas)"&amp;" · ","")&amp;IF((COUNTIF($I270:$L270,"&gt;1")+COUNTIF($I270:$L270,"&lt;0")+COUNTA($I270:$L270)-COUNT($I270:$L270))&gt;0,"Avance fuera de rango 0-100%"&amp;" · ","")&amp;IF(OR(AND($J270&lt;&gt;"",$J270&lt;$I270),AND($K270&lt;&gt;"",$K270&lt;MAX($I270:$J270)),AND($L270&lt;&gt;"",$L270&lt;MAX($I270:$K270))),"Avance semanal decreciente"&amp;" · ","")&amp;IF(AND(ISNUMBER($AN270),$AN270&lt;FechaRef,IF($V270="Sub",N($X270),N($M270))&lt;1),"Vencida"&amp;" · ","")&amp;IF(AND(ObsObligatoria="Sí",ISNUMBER($AN270),$AN270&lt;FechaRef,IF($V270="Sub",N($X270),N($M270))&lt;1,$Q270=""),"Vencida sin observación"&amp;" · ",""))-3)))</f>
        <v/>
      </c>
      <c r="S270" s="64">
        <f>IF(NOT((COUNTA($B270:$D270)+COUNTA($G270:$L270)+COUNTA($Q270))&gt;0),"",IF(AND($V270="Sub",N($U270)&gt;0),IF(ISNUMBER(INDEX($AM$5:$AM$1000,$U270-4)),DATE(YEAR(INDEX($AM$5:$AM$1000,$U270-4)),MONTH(INDEX($AM$5:$AM$1000,$U270-4)),1),IF(ISNUMBER(INDEX($AN$5:$AN$1000,$U270-4)),DATE(YEAR(INDEX($AN$5:$AN$1000,$U270-4)),MONTH(INDEX($AN$5:$AN$1000,$U270-4)),1),MesCiclo)),IF(ISNUMBER($AM270),DATE(YEAR($AM270),MONTH($AM270),1),IF(ISNUMBER($AN270),DATE(YEAR($AN270),MONTH($AN270),1),MesCiclo))))</f>
        <v/>
      </c>
      <c r="T270" s="62">
        <f>IF(OR($S270="",$S270&lt;&gt;MesCiclo,$V270&lt;&gt;"Macro"),"",COUNTIFS($S$5:$S270,MesCiclo,$V$5:$V270,"Macro"))</f>
        <v/>
      </c>
      <c r="U270" s="62">
        <f>IF($V270="","",IF($V270="Macro",ROW(),IFERROR(LOOKUP(2,1/($V$5:$V270="Macro"),ROW($V$5:$V270)),0)))</f>
        <v/>
      </c>
      <c r="V270" s="62">
        <f>IF(NOT((COUNTA($B270:$D270)+COUNTA($G270:$L270)+COUNTA($Q270))&gt;0),"",IF($B270="Subactividad","Sub","Macro"))</f>
        <v/>
      </c>
      <c r="W270" s="62">
        <f>IF($V270="Macro",COUNTIFS($U$5:$U$1000,ROW(),$V$5:$V$1000,"Sub"),"")</f>
        <v/>
      </c>
      <c r="X270" s="62">
        <f>IF($V270="","",IF(ISNUMBER($G270),1,IFERROR(LOOKUP(2,1/($I270:$L270&lt;&gt;""),$I270:$L270),0)))</f>
        <v/>
      </c>
      <c r="Y270" s="62">
        <f>IF($V270="","",IF(AND(ISNUMBER($G270),$G270&lt;=IF($S270=MesCiclo,InicioCiclo,$S270+MOD(2-WEEKDAY($S270),7))+6),1,IF(ISNUMBER($I270),$I270,0)))</f>
        <v/>
      </c>
      <c r="Z270" s="62">
        <f>IF($V270="","",IF(AND(ISNUMBER($G270),$G270&lt;=IF($S270=MesCiclo,InicioCiclo,$S270+MOD(2-WEEKDAY($S270),7))+13),1,IF(ISNUMBER($J270),$J270,$Y270)))</f>
        <v/>
      </c>
      <c r="AA270" s="62">
        <f>IF($V270="","",IF(AND(ISNUMBER($G270),$G270&lt;=IF($S270=MesCiclo,InicioCiclo,$S270+MOD(2-WEEKDAY($S270),7))+20),1,IF(ISNUMBER($K270),$K270,$Z270)))</f>
        <v/>
      </c>
      <c r="AB270" s="62">
        <f>IF($V270="","",IF(AND(ISNUMBER($G270),$G270&lt;=IF($S270=MesCiclo,InicioCiclo,$S270+MOD(2-WEEKDAY($S270),7))+27),1,IF(ISNUMBER($L270),$L270,$AA270)))</f>
        <v/>
      </c>
      <c r="AC270" s="62">
        <f>IF($V270="","",IF(AND(ISNUMBER($G270),$G270&lt;=IF($S270=MesCiclo,InicioCiclo,$S270+MOD(2-WEEKDAY($S270),7))+6),1,IF(N($W270)&gt;0,AVERAGEIFS($Y$5:$Y$1000,$U$5:$U$1000,ROW(),$V$5:$V$1000,"Sub"),$Y270)))</f>
        <v/>
      </c>
      <c r="AD270" s="62">
        <f>IF($V270="","",IF(AND(ISNUMBER($G270),$G270&lt;=IF($S270=MesCiclo,InicioCiclo,$S270+MOD(2-WEEKDAY($S270),7))+13),1,IF(N($W270)&gt;0,AVERAGEIFS($Z$5:$Z$1000,$U$5:$U$1000,ROW(),$V$5:$V$1000,"Sub"),$Z270)))</f>
        <v/>
      </c>
      <c r="AE270" s="62">
        <f>IF($V270="","",IF(AND(ISNUMBER($G270),$G270&lt;=IF($S270=MesCiclo,InicioCiclo,$S270+MOD(2-WEEKDAY($S270),7))+20),1,IF(N($W270)&gt;0,AVERAGEIFS($AA$5:$AA$1000,$U$5:$U$1000,ROW(),$V$5:$V$1000,"Sub"),$AA270)))</f>
        <v/>
      </c>
      <c r="AF270" s="62">
        <f>IF($V270="","",IF(AND(ISNUMBER($G270),$G270&lt;=IF($S270=MesCiclo,InicioCiclo,$S270+MOD(2-WEEKDAY($S270),7))+27),1,IF(N($W270)&gt;0,AVERAGEIFS($AB$5:$AB$1000,$U$5:$U$1000,ROW(),$V$5:$V$1000,"Sub"),$AB270)))</f>
        <v/>
      </c>
      <c r="AG270" s="62">
        <f>IF($V270&lt;&gt;"Macro","",IF(COUNTIFS($S$5:$S$1000,$S270,$V$5:$V$1000,"Macro",$H$5:$H$1000,"&gt;0")=0,1/COUNTIFS($S$5:$S$1000,$S270,$V$5:$V$1000,"Macro"),IF(AND(ISNUMBER($H270),N($H270)&gt;0),$H270,SUMIFS($H$5:$H$1000,$S$5:$S$1000,$S270,$V$5:$V$1000,"Macro")/COUNTIFS($S$5:$S$1000,$S270,$V$5:$V$1000,"Macro",$H$5:$H$1000,"&gt;0"))/(COUNTIFS($S$5:$S$1000,$S270,$V$5:$V$1000,"Macro")*SUMIFS($H$5:$H$1000,$S$5:$S$1000,$S270,$V$5:$V$1000,"Macro")/COUNTIFS($S$5:$S$1000,$S270,$V$5:$V$1000,"Macro",$H$5:$H$1000,"&gt;0"))))</f>
        <v/>
      </c>
      <c r="AH270" s="62" t="n"/>
      <c r="AI270" s="62" t="n"/>
      <c r="AJ270" s="62" t="n"/>
      <c r="AK270" s="62" t="n"/>
      <c r="AL270" s="62">
        <f>IF(LEFT($C270,11)="[Jefatura] ",IFERROR(MATCH("Asistente Técnico de Riesgo|"&amp;MID($C270,12,500),rDname_ADM,0),0),"")</f>
        <v/>
      </c>
      <c r="AM270" s="62">
        <f>IF(N($AL270)&gt;0,INDEX(rIni_ADM,$AL270),IF(ISNUMBER($E270),$E270,""))</f>
        <v/>
      </c>
      <c r="AN270" s="62">
        <f>IF(N($AL270)&gt;0,INDEX(rLim_ADM,$AL270),IF(ISNUMBER($F270),$F270,""))</f>
        <v/>
      </c>
    </row>
    <row r="271">
      <c r="A271" s="56">
        <f>IF(NOT((COUNTA($B271:$D271)+COUNTA($G271:$L271)+COUNTA($Q271))&gt;0),"",IF($V271="Macro",COUNTIFS($V$5:$V271,"Macro",$S$5:$S271,$S271),IF(N($U271)=0,"?",COUNTIFS(INDEX($V$5:$V$1000,1):INDEX($V$5:$V$1000,$U271-4),"Macro",INDEX($S$5:$S$1000,1):INDEX($S$5:$S$1000,$U271-4),INDEX($S$5:$S$1000,$U271-4))&amp;"."&amp;COUNTIFS($U$5:$U271,$U271,$V$5:$V271,"Sub"))))</f>
        <v/>
      </c>
      <c r="B271" s="57" t="n"/>
      <c r="C271" s="58" t="n"/>
      <c r="D271" s="58" t="n"/>
      <c r="E271" s="59">
        <f>IF(N($AL271)&gt;0,INDEX(rIni_ADM,$AL271),"")</f>
        <v/>
      </c>
      <c r="F271" s="59">
        <f>IF(N($AL271)&gt;0,INDEX(rLim_ADM,$AL271),"")</f>
        <v/>
      </c>
      <c r="G271" s="59" t="n"/>
      <c r="H271" s="60" t="n"/>
      <c r="I271" s="60" t="n"/>
      <c r="J271" s="60" t="n"/>
      <c r="K271" s="60" t="n"/>
      <c r="L271" s="60" t="n"/>
      <c r="M271" s="61">
        <f>IF(NOT((COUNTA($B271:$D271)+COUNTA($G271:$L271)+COUNTA($Q271))&gt;0),"",IF($V271="Sub",IFERROR($X271/INDEX($W$5:$W$1000,$U271-4),""),IF(ISNUMBER($G271),1,IF(N($W271)&gt;0,AVERAGEIFS($X$5:$X$1000,$U$5:$U$1000,ROW(),$V$5:$V$1000,"Sub"),$X271))))</f>
        <v/>
      </c>
      <c r="N271" s="56">
        <f>IF(OR($M271="",$V271="Sub"),"",IF($M271&gt;=1,"Completado",IF($M271&gt;0,"En curso","Pendiente")))</f>
        <v/>
      </c>
      <c r="O271" s="56">
        <f>IF(OR(NOT((COUNTA($B271:$D271)+COUNTA($G271:$L271)+COUNTA($Q271))&gt;0),$V271="Sub"),"",IF(ISNUMBER($G271),IF(AND(ISNUMBER($AN271),$G271&gt;$AN271),"Cumplida con "&amp;($G271-$AN271)&amp;IF($G271-$AN271=1," día"," días")&amp;" de retraso","Cumplida"),IF(N($M271)&gt;=1,"Cumplida",IF(NOT(ISNUMBER($AN271)),"Sin fecha límite",IF($AN271&lt;FechaRef,"Vencida hace "&amp;(FechaRef-$AN271)&amp;IF(FechaRef-$AN271=1," día"," días"),IF($AN271=FechaRef,"Vence hoy",IF($AN271-FechaRef&lt;=DiasAlerta,"Vence en "&amp;($AN271-FechaRef)&amp;IF($AN271-FechaRef=1," día"," días"),"En plazo")))))))</f>
        <v/>
      </c>
      <c r="P271" s="62" t="n"/>
      <c r="Q271" s="58" t="n"/>
      <c r="R271" s="63">
        <f>IF(NOT((COUNTA($B271:$D271)+COUNTA($G271:$L271)+COUNTA($Q271))&gt;0),"",IF((IF($C271="","Falta el nombre de la actividad"&amp;" · ","")&amp;IF(AND($V271="Sub",N($U271)=0),"Subactividad sin macroactividad arriba"&amp;" · ","")&amp;IF($AM271="","Sin fecha de inicio"&amp;" · ","")&amp;IF($AN271="","Sin fecha límite"&amp;" · ","")&amp;IF(AND(LEFT($C271,11)="[Jefatura] ",N($AL271)=0),"No se encuentra en la hoja de la jefatura (elíjala de nuevo en la lista)"&amp;" · ","")&amp;IF(OR(AND($E271&lt;&gt;"",NOT(ISNUMBER($E271))),AND($F271&lt;&gt;"",NOT(ISNUMBER($F271))),AND($G271&lt;&gt;"",NOT(ISNUMBER($G271)))),"Fecha no válida"&amp;" · ","")&amp;IF(AND(ISNUMBER($AM271),ISNUMBER($AN271),$AM271&gt;$AN271),"Inicio posterior a fecha límite"&amp;" · ","")&amp;IF(AND($V271="Macro",$H271&lt;&gt;"",OR(NOT(ISNUMBER($H271)),$H271&lt;0,$H271&gt;1)),"Peso fuera de rango"&amp;" · ","")&amp;IF(AND($V271="Sub",$H271&lt;&gt;""),"Las subactividades no llevan peso (valen igual dentro de su macroactividad)"&amp;" · ","")&amp;IF(AND(N($W271)&gt;0,COUNT($I271:$L271)&gt;0),"Con subactividades: deje vacías las semanas (se calculan solas)"&amp;" · ","")&amp;IF((COUNTIF($I271:$L271,"&gt;1")+COUNTIF($I271:$L271,"&lt;0")+COUNTA($I271:$L271)-COUNT($I271:$L271))&gt;0,"Avance fuera de rango 0-100%"&amp;" · ","")&amp;IF(OR(AND($J271&lt;&gt;"",$J271&lt;$I271),AND($K271&lt;&gt;"",$K271&lt;MAX($I271:$J271)),AND($L271&lt;&gt;"",$L271&lt;MAX($I271:$K271))),"Avance semanal decreciente"&amp;" · ","")&amp;IF(AND(ISNUMBER($AN271),$AN271&lt;FechaRef,IF($V271="Sub",N($X271),N($M271))&lt;1),"Vencida"&amp;" · ","")&amp;IF(AND(ObsObligatoria="Sí",ISNUMBER($AN271),$AN271&lt;FechaRef,IF($V271="Sub",N($X271),N($M271))&lt;1,$Q271=""),"Vencida sin observación"&amp;" · ",""))="","✔ OK","⚠ "&amp;LEFT(IF($C271="","Falta el nombre de la actividad"&amp;" · ","")&amp;IF(AND($V271="Sub",N($U271)=0),"Subactividad sin macroactividad arriba"&amp;" · ","")&amp;IF($AM271="","Sin fecha de inicio"&amp;" · ","")&amp;IF($AN271="","Sin fecha límite"&amp;" · ","")&amp;IF(AND(LEFT($C271,11)="[Jefatura] ",N($AL271)=0),"No se encuentra en la hoja de la jefatura (elíjala de nuevo en la lista)"&amp;" · ","")&amp;IF(OR(AND($E271&lt;&gt;"",NOT(ISNUMBER($E271))),AND($F271&lt;&gt;"",NOT(ISNUMBER($F271))),AND($G271&lt;&gt;"",NOT(ISNUMBER($G271)))),"Fecha no válida"&amp;" · ","")&amp;IF(AND(ISNUMBER($AM271),ISNUMBER($AN271),$AM271&gt;$AN271),"Inicio posterior a fecha límite"&amp;" · ","")&amp;IF(AND($V271="Macro",$H271&lt;&gt;"",OR(NOT(ISNUMBER($H271)),$H271&lt;0,$H271&gt;1)),"Peso fuera de rango"&amp;" · ","")&amp;IF(AND($V271="Sub",$H271&lt;&gt;""),"Las subactividades no llevan peso (valen igual dentro de su macroactividad)"&amp;" · ","")&amp;IF(AND(N($W271)&gt;0,COUNT($I271:$L271)&gt;0),"Con subactividades: deje vacías las semanas (se calculan solas)"&amp;" · ","")&amp;IF((COUNTIF($I271:$L271,"&gt;1")+COUNTIF($I271:$L271,"&lt;0")+COUNTA($I271:$L271)-COUNT($I271:$L271))&gt;0,"Avance fuera de rango 0-100%"&amp;" · ","")&amp;IF(OR(AND($J271&lt;&gt;"",$J271&lt;$I271),AND($K271&lt;&gt;"",$K271&lt;MAX($I271:$J271)),AND($L271&lt;&gt;"",$L271&lt;MAX($I271:$K271))),"Avance semanal decreciente"&amp;" · ","")&amp;IF(AND(ISNUMBER($AN271),$AN271&lt;FechaRef,IF($V271="Sub",N($X271),N($M271))&lt;1),"Vencida"&amp;" · ","")&amp;IF(AND(ObsObligatoria="Sí",ISNUMBER($AN271),$AN271&lt;FechaRef,IF($V271="Sub",N($X271),N($M271))&lt;1,$Q271=""),"Vencida sin observación"&amp;" · ",""),LEN(IF($C271="","Falta el nombre de la actividad"&amp;" · ","")&amp;IF(AND($V271="Sub",N($U271)=0),"Subactividad sin macroactividad arriba"&amp;" · ","")&amp;IF($AM271="","Sin fecha de inicio"&amp;" · ","")&amp;IF($AN271="","Sin fecha límite"&amp;" · ","")&amp;IF(AND(LEFT($C271,11)="[Jefatura] ",N($AL271)=0),"No se encuentra en la hoja de la jefatura (elíjala de nuevo en la lista)"&amp;" · ","")&amp;IF(OR(AND($E271&lt;&gt;"",NOT(ISNUMBER($E271))),AND($F271&lt;&gt;"",NOT(ISNUMBER($F271))),AND($G271&lt;&gt;"",NOT(ISNUMBER($G271)))),"Fecha no válida"&amp;" · ","")&amp;IF(AND(ISNUMBER($AM271),ISNUMBER($AN271),$AM271&gt;$AN271),"Inicio posterior a fecha límite"&amp;" · ","")&amp;IF(AND($V271="Macro",$H271&lt;&gt;"",OR(NOT(ISNUMBER($H271)),$H271&lt;0,$H271&gt;1)),"Peso fuera de rango"&amp;" · ","")&amp;IF(AND($V271="Sub",$H271&lt;&gt;""),"Las subactividades no llevan peso (valen igual dentro de su macroactividad)"&amp;" · ","")&amp;IF(AND(N($W271)&gt;0,COUNT($I271:$L271)&gt;0),"Con subactividades: deje vacías las semanas (se calculan solas)"&amp;" · ","")&amp;IF((COUNTIF($I271:$L271,"&gt;1")+COUNTIF($I271:$L271,"&lt;0")+COUNTA($I271:$L271)-COUNT($I271:$L271))&gt;0,"Avance fuera de rango 0-100%"&amp;" · ","")&amp;IF(OR(AND($J271&lt;&gt;"",$J271&lt;$I271),AND($K271&lt;&gt;"",$K271&lt;MAX($I271:$J271)),AND($L271&lt;&gt;"",$L271&lt;MAX($I271:$K271))),"Avance semanal decreciente"&amp;" · ","")&amp;IF(AND(ISNUMBER($AN271),$AN271&lt;FechaRef,IF($V271="Sub",N($X271),N($M271))&lt;1),"Vencida"&amp;" · ","")&amp;IF(AND(ObsObligatoria="Sí",ISNUMBER($AN271),$AN271&lt;FechaRef,IF($V271="Sub",N($X271),N($M271))&lt;1,$Q271=""),"Vencida sin observación"&amp;" · ",""))-3)))</f>
        <v/>
      </c>
      <c r="S271" s="64">
        <f>IF(NOT((COUNTA($B271:$D271)+COUNTA($G271:$L271)+COUNTA($Q271))&gt;0),"",IF(AND($V271="Sub",N($U271)&gt;0),IF(ISNUMBER(INDEX($AM$5:$AM$1000,$U271-4)),DATE(YEAR(INDEX($AM$5:$AM$1000,$U271-4)),MONTH(INDEX($AM$5:$AM$1000,$U271-4)),1),IF(ISNUMBER(INDEX($AN$5:$AN$1000,$U271-4)),DATE(YEAR(INDEX($AN$5:$AN$1000,$U271-4)),MONTH(INDEX($AN$5:$AN$1000,$U271-4)),1),MesCiclo)),IF(ISNUMBER($AM271),DATE(YEAR($AM271),MONTH($AM271),1),IF(ISNUMBER($AN271),DATE(YEAR($AN271),MONTH($AN271),1),MesCiclo))))</f>
        <v/>
      </c>
      <c r="T271" s="62">
        <f>IF(OR($S271="",$S271&lt;&gt;MesCiclo,$V271&lt;&gt;"Macro"),"",COUNTIFS($S$5:$S271,MesCiclo,$V$5:$V271,"Macro"))</f>
        <v/>
      </c>
      <c r="U271" s="62">
        <f>IF($V271="","",IF($V271="Macro",ROW(),IFERROR(LOOKUP(2,1/($V$5:$V271="Macro"),ROW($V$5:$V271)),0)))</f>
        <v/>
      </c>
      <c r="V271" s="62">
        <f>IF(NOT((COUNTA($B271:$D271)+COUNTA($G271:$L271)+COUNTA($Q271))&gt;0),"",IF($B271="Subactividad","Sub","Macro"))</f>
        <v/>
      </c>
      <c r="W271" s="62">
        <f>IF($V271="Macro",COUNTIFS($U$5:$U$1000,ROW(),$V$5:$V$1000,"Sub"),"")</f>
        <v/>
      </c>
      <c r="X271" s="62">
        <f>IF($V271="","",IF(ISNUMBER($G271),1,IFERROR(LOOKUP(2,1/($I271:$L271&lt;&gt;""),$I271:$L271),0)))</f>
        <v/>
      </c>
      <c r="Y271" s="62">
        <f>IF($V271="","",IF(AND(ISNUMBER($G271),$G271&lt;=IF($S271=MesCiclo,InicioCiclo,$S271+MOD(2-WEEKDAY($S271),7))+6),1,IF(ISNUMBER($I271),$I271,0)))</f>
        <v/>
      </c>
      <c r="Z271" s="62">
        <f>IF($V271="","",IF(AND(ISNUMBER($G271),$G271&lt;=IF($S271=MesCiclo,InicioCiclo,$S271+MOD(2-WEEKDAY($S271),7))+13),1,IF(ISNUMBER($J271),$J271,$Y271)))</f>
        <v/>
      </c>
      <c r="AA271" s="62">
        <f>IF($V271="","",IF(AND(ISNUMBER($G271),$G271&lt;=IF($S271=MesCiclo,InicioCiclo,$S271+MOD(2-WEEKDAY($S271),7))+20),1,IF(ISNUMBER($K271),$K271,$Z271)))</f>
        <v/>
      </c>
      <c r="AB271" s="62">
        <f>IF($V271="","",IF(AND(ISNUMBER($G271),$G271&lt;=IF($S271=MesCiclo,InicioCiclo,$S271+MOD(2-WEEKDAY($S271),7))+27),1,IF(ISNUMBER($L271),$L271,$AA271)))</f>
        <v/>
      </c>
      <c r="AC271" s="62">
        <f>IF($V271="","",IF(AND(ISNUMBER($G271),$G271&lt;=IF($S271=MesCiclo,InicioCiclo,$S271+MOD(2-WEEKDAY($S271),7))+6),1,IF(N($W271)&gt;0,AVERAGEIFS($Y$5:$Y$1000,$U$5:$U$1000,ROW(),$V$5:$V$1000,"Sub"),$Y271)))</f>
        <v/>
      </c>
      <c r="AD271" s="62">
        <f>IF($V271="","",IF(AND(ISNUMBER($G271),$G271&lt;=IF($S271=MesCiclo,InicioCiclo,$S271+MOD(2-WEEKDAY($S271),7))+13),1,IF(N($W271)&gt;0,AVERAGEIFS($Z$5:$Z$1000,$U$5:$U$1000,ROW(),$V$5:$V$1000,"Sub"),$Z271)))</f>
        <v/>
      </c>
      <c r="AE271" s="62">
        <f>IF($V271="","",IF(AND(ISNUMBER($G271),$G271&lt;=IF($S271=MesCiclo,InicioCiclo,$S271+MOD(2-WEEKDAY($S271),7))+20),1,IF(N($W271)&gt;0,AVERAGEIFS($AA$5:$AA$1000,$U$5:$U$1000,ROW(),$V$5:$V$1000,"Sub"),$AA271)))</f>
        <v/>
      </c>
      <c r="AF271" s="62">
        <f>IF($V271="","",IF(AND(ISNUMBER($G271),$G271&lt;=IF($S271=MesCiclo,InicioCiclo,$S271+MOD(2-WEEKDAY($S271),7))+27),1,IF(N($W271)&gt;0,AVERAGEIFS($AB$5:$AB$1000,$U$5:$U$1000,ROW(),$V$5:$V$1000,"Sub"),$AB271)))</f>
        <v/>
      </c>
      <c r="AG271" s="62">
        <f>IF($V271&lt;&gt;"Macro","",IF(COUNTIFS($S$5:$S$1000,$S271,$V$5:$V$1000,"Macro",$H$5:$H$1000,"&gt;0")=0,1/COUNTIFS($S$5:$S$1000,$S271,$V$5:$V$1000,"Macro"),IF(AND(ISNUMBER($H271),N($H271)&gt;0),$H271,SUMIFS($H$5:$H$1000,$S$5:$S$1000,$S271,$V$5:$V$1000,"Macro")/COUNTIFS($S$5:$S$1000,$S271,$V$5:$V$1000,"Macro",$H$5:$H$1000,"&gt;0"))/(COUNTIFS($S$5:$S$1000,$S271,$V$5:$V$1000,"Macro")*SUMIFS($H$5:$H$1000,$S$5:$S$1000,$S271,$V$5:$V$1000,"Macro")/COUNTIFS($S$5:$S$1000,$S271,$V$5:$V$1000,"Macro",$H$5:$H$1000,"&gt;0"))))</f>
        <v/>
      </c>
      <c r="AH271" s="62" t="n"/>
      <c r="AI271" s="62" t="n"/>
      <c r="AJ271" s="62" t="n"/>
      <c r="AK271" s="62" t="n"/>
      <c r="AL271" s="62">
        <f>IF(LEFT($C271,11)="[Jefatura] ",IFERROR(MATCH("Asistente Técnico de Riesgo|"&amp;MID($C271,12,500),rDname_ADM,0),0),"")</f>
        <v/>
      </c>
      <c r="AM271" s="62">
        <f>IF(N($AL271)&gt;0,INDEX(rIni_ADM,$AL271),IF(ISNUMBER($E271),$E271,""))</f>
        <v/>
      </c>
      <c r="AN271" s="62">
        <f>IF(N($AL271)&gt;0,INDEX(rLim_ADM,$AL271),IF(ISNUMBER($F271),$F271,""))</f>
        <v/>
      </c>
    </row>
    <row r="272">
      <c r="A272" s="56">
        <f>IF(NOT((COUNTA($B272:$D272)+COUNTA($G272:$L272)+COUNTA($Q272))&gt;0),"",IF($V272="Macro",COUNTIFS($V$5:$V272,"Macro",$S$5:$S272,$S272),IF(N($U272)=0,"?",COUNTIFS(INDEX($V$5:$V$1000,1):INDEX($V$5:$V$1000,$U272-4),"Macro",INDEX($S$5:$S$1000,1):INDEX($S$5:$S$1000,$U272-4),INDEX($S$5:$S$1000,$U272-4))&amp;"."&amp;COUNTIFS($U$5:$U272,$U272,$V$5:$V272,"Sub"))))</f>
        <v/>
      </c>
      <c r="B272" s="57" t="n"/>
      <c r="C272" s="58" t="n"/>
      <c r="D272" s="58" t="n"/>
      <c r="E272" s="59">
        <f>IF(N($AL272)&gt;0,INDEX(rIni_ADM,$AL272),"")</f>
        <v/>
      </c>
      <c r="F272" s="59">
        <f>IF(N($AL272)&gt;0,INDEX(rLim_ADM,$AL272),"")</f>
        <v/>
      </c>
      <c r="G272" s="59" t="n"/>
      <c r="H272" s="60" t="n"/>
      <c r="I272" s="60" t="n"/>
      <c r="J272" s="60" t="n"/>
      <c r="K272" s="60" t="n"/>
      <c r="L272" s="60" t="n"/>
      <c r="M272" s="61">
        <f>IF(NOT((COUNTA($B272:$D272)+COUNTA($G272:$L272)+COUNTA($Q272))&gt;0),"",IF($V272="Sub",IFERROR($X272/INDEX($W$5:$W$1000,$U272-4),""),IF(ISNUMBER($G272),1,IF(N($W272)&gt;0,AVERAGEIFS($X$5:$X$1000,$U$5:$U$1000,ROW(),$V$5:$V$1000,"Sub"),$X272))))</f>
        <v/>
      </c>
      <c r="N272" s="56">
        <f>IF(OR($M272="",$V272="Sub"),"",IF($M272&gt;=1,"Completado",IF($M272&gt;0,"En curso","Pendiente")))</f>
        <v/>
      </c>
      <c r="O272" s="56">
        <f>IF(OR(NOT((COUNTA($B272:$D272)+COUNTA($G272:$L272)+COUNTA($Q272))&gt;0),$V272="Sub"),"",IF(ISNUMBER($G272),IF(AND(ISNUMBER($AN272),$G272&gt;$AN272),"Cumplida con "&amp;($G272-$AN272)&amp;IF($G272-$AN272=1," día"," días")&amp;" de retraso","Cumplida"),IF(N($M272)&gt;=1,"Cumplida",IF(NOT(ISNUMBER($AN272)),"Sin fecha límite",IF($AN272&lt;FechaRef,"Vencida hace "&amp;(FechaRef-$AN272)&amp;IF(FechaRef-$AN272=1," día"," días"),IF($AN272=FechaRef,"Vence hoy",IF($AN272-FechaRef&lt;=DiasAlerta,"Vence en "&amp;($AN272-FechaRef)&amp;IF($AN272-FechaRef=1," día"," días"),"En plazo")))))))</f>
        <v/>
      </c>
      <c r="P272" s="62" t="n"/>
      <c r="Q272" s="58" t="n"/>
      <c r="R272" s="63">
        <f>IF(NOT((COUNTA($B272:$D272)+COUNTA($G272:$L272)+COUNTA($Q272))&gt;0),"",IF((IF($C272="","Falta el nombre de la actividad"&amp;" · ","")&amp;IF(AND($V272="Sub",N($U272)=0),"Subactividad sin macroactividad arriba"&amp;" · ","")&amp;IF($AM272="","Sin fecha de inicio"&amp;" · ","")&amp;IF($AN272="","Sin fecha límite"&amp;" · ","")&amp;IF(AND(LEFT($C272,11)="[Jefatura] ",N($AL272)=0),"No se encuentra en la hoja de la jefatura (elíjala de nuevo en la lista)"&amp;" · ","")&amp;IF(OR(AND($E272&lt;&gt;"",NOT(ISNUMBER($E272))),AND($F272&lt;&gt;"",NOT(ISNUMBER($F272))),AND($G272&lt;&gt;"",NOT(ISNUMBER($G272)))),"Fecha no válida"&amp;" · ","")&amp;IF(AND(ISNUMBER($AM272),ISNUMBER($AN272),$AM272&gt;$AN272),"Inicio posterior a fecha límite"&amp;" · ","")&amp;IF(AND($V272="Macro",$H272&lt;&gt;"",OR(NOT(ISNUMBER($H272)),$H272&lt;0,$H272&gt;1)),"Peso fuera de rango"&amp;" · ","")&amp;IF(AND($V272="Sub",$H272&lt;&gt;""),"Las subactividades no llevan peso (valen igual dentro de su macroactividad)"&amp;" · ","")&amp;IF(AND(N($W272)&gt;0,COUNT($I272:$L272)&gt;0),"Con subactividades: deje vacías las semanas (se calculan solas)"&amp;" · ","")&amp;IF((COUNTIF($I272:$L272,"&gt;1")+COUNTIF($I272:$L272,"&lt;0")+COUNTA($I272:$L272)-COUNT($I272:$L272))&gt;0,"Avance fuera de rango 0-100%"&amp;" · ","")&amp;IF(OR(AND($J272&lt;&gt;"",$J272&lt;$I272),AND($K272&lt;&gt;"",$K272&lt;MAX($I272:$J272)),AND($L272&lt;&gt;"",$L272&lt;MAX($I272:$K272))),"Avance semanal decreciente"&amp;" · ","")&amp;IF(AND(ISNUMBER($AN272),$AN272&lt;FechaRef,IF($V272="Sub",N($X272),N($M272))&lt;1),"Vencida"&amp;" · ","")&amp;IF(AND(ObsObligatoria="Sí",ISNUMBER($AN272),$AN272&lt;FechaRef,IF($V272="Sub",N($X272),N($M272))&lt;1,$Q272=""),"Vencida sin observación"&amp;" · ",""))="","✔ OK","⚠ "&amp;LEFT(IF($C272="","Falta el nombre de la actividad"&amp;" · ","")&amp;IF(AND($V272="Sub",N($U272)=0),"Subactividad sin macroactividad arriba"&amp;" · ","")&amp;IF($AM272="","Sin fecha de inicio"&amp;" · ","")&amp;IF($AN272="","Sin fecha límite"&amp;" · ","")&amp;IF(AND(LEFT($C272,11)="[Jefatura] ",N($AL272)=0),"No se encuentra en la hoja de la jefatura (elíjala de nuevo en la lista)"&amp;" · ","")&amp;IF(OR(AND($E272&lt;&gt;"",NOT(ISNUMBER($E272))),AND($F272&lt;&gt;"",NOT(ISNUMBER($F272))),AND($G272&lt;&gt;"",NOT(ISNUMBER($G272)))),"Fecha no válida"&amp;" · ","")&amp;IF(AND(ISNUMBER($AM272),ISNUMBER($AN272),$AM272&gt;$AN272),"Inicio posterior a fecha límite"&amp;" · ","")&amp;IF(AND($V272="Macro",$H272&lt;&gt;"",OR(NOT(ISNUMBER($H272)),$H272&lt;0,$H272&gt;1)),"Peso fuera de rango"&amp;" · ","")&amp;IF(AND($V272="Sub",$H272&lt;&gt;""),"Las subactividades no llevan peso (valen igual dentro de su macroactividad)"&amp;" · ","")&amp;IF(AND(N($W272)&gt;0,COUNT($I272:$L272)&gt;0),"Con subactividades: deje vacías las semanas (se calculan solas)"&amp;" · ","")&amp;IF((COUNTIF($I272:$L272,"&gt;1")+COUNTIF($I272:$L272,"&lt;0")+COUNTA($I272:$L272)-COUNT($I272:$L272))&gt;0,"Avance fuera de rango 0-100%"&amp;" · ","")&amp;IF(OR(AND($J272&lt;&gt;"",$J272&lt;$I272),AND($K272&lt;&gt;"",$K272&lt;MAX($I272:$J272)),AND($L272&lt;&gt;"",$L272&lt;MAX($I272:$K272))),"Avance semanal decreciente"&amp;" · ","")&amp;IF(AND(ISNUMBER($AN272),$AN272&lt;FechaRef,IF($V272="Sub",N($X272),N($M272))&lt;1),"Vencida"&amp;" · ","")&amp;IF(AND(ObsObligatoria="Sí",ISNUMBER($AN272),$AN272&lt;FechaRef,IF($V272="Sub",N($X272),N($M272))&lt;1,$Q272=""),"Vencida sin observación"&amp;" · ",""),LEN(IF($C272="","Falta el nombre de la actividad"&amp;" · ","")&amp;IF(AND($V272="Sub",N($U272)=0),"Subactividad sin macroactividad arriba"&amp;" · ","")&amp;IF($AM272="","Sin fecha de inicio"&amp;" · ","")&amp;IF($AN272="","Sin fecha límite"&amp;" · ","")&amp;IF(AND(LEFT($C272,11)="[Jefatura] ",N($AL272)=0),"No se encuentra en la hoja de la jefatura (elíjala de nuevo en la lista)"&amp;" · ","")&amp;IF(OR(AND($E272&lt;&gt;"",NOT(ISNUMBER($E272))),AND($F272&lt;&gt;"",NOT(ISNUMBER($F272))),AND($G272&lt;&gt;"",NOT(ISNUMBER($G272)))),"Fecha no válida"&amp;" · ","")&amp;IF(AND(ISNUMBER($AM272),ISNUMBER($AN272),$AM272&gt;$AN272),"Inicio posterior a fecha límite"&amp;" · ","")&amp;IF(AND($V272="Macro",$H272&lt;&gt;"",OR(NOT(ISNUMBER($H272)),$H272&lt;0,$H272&gt;1)),"Peso fuera de rango"&amp;" · ","")&amp;IF(AND($V272="Sub",$H272&lt;&gt;""),"Las subactividades no llevan peso (valen igual dentro de su macroactividad)"&amp;" · ","")&amp;IF(AND(N($W272)&gt;0,COUNT($I272:$L272)&gt;0),"Con subactividades: deje vacías las semanas (se calculan solas)"&amp;" · ","")&amp;IF((COUNTIF($I272:$L272,"&gt;1")+COUNTIF($I272:$L272,"&lt;0")+COUNTA($I272:$L272)-COUNT($I272:$L272))&gt;0,"Avance fuera de rango 0-100%"&amp;" · ","")&amp;IF(OR(AND($J272&lt;&gt;"",$J272&lt;$I272),AND($K272&lt;&gt;"",$K272&lt;MAX($I272:$J272)),AND($L272&lt;&gt;"",$L272&lt;MAX($I272:$K272))),"Avance semanal decreciente"&amp;" · ","")&amp;IF(AND(ISNUMBER($AN272),$AN272&lt;FechaRef,IF($V272="Sub",N($X272),N($M272))&lt;1),"Vencida"&amp;" · ","")&amp;IF(AND(ObsObligatoria="Sí",ISNUMBER($AN272),$AN272&lt;FechaRef,IF($V272="Sub",N($X272),N($M272))&lt;1,$Q272=""),"Vencida sin observación"&amp;" · ",""))-3)))</f>
        <v/>
      </c>
      <c r="S272" s="64">
        <f>IF(NOT((COUNTA($B272:$D272)+COUNTA($G272:$L272)+COUNTA($Q272))&gt;0),"",IF(AND($V272="Sub",N($U272)&gt;0),IF(ISNUMBER(INDEX($AM$5:$AM$1000,$U272-4)),DATE(YEAR(INDEX($AM$5:$AM$1000,$U272-4)),MONTH(INDEX($AM$5:$AM$1000,$U272-4)),1),IF(ISNUMBER(INDEX($AN$5:$AN$1000,$U272-4)),DATE(YEAR(INDEX($AN$5:$AN$1000,$U272-4)),MONTH(INDEX($AN$5:$AN$1000,$U272-4)),1),MesCiclo)),IF(ISNUMBER($AM272),DATE(YEAR($AM272),MONTH($AM272),1),IF(ISNUMBER($AN272),DATE(YEAR($AN272),MONTH($AN272),1),MesCiclo))))</f>
        <v/>
      </c>
      <c r="T272" s="62">
        <f>IF(OR($S272="",$S272&lt;&gt;MesCiclo,$V272&lt;&gt;"Macro"),"",COUNTIFS($S$5:$S272,MesCiclo,$V$5:$V272,"Macro"))</f>
        <v/>
      </c>
      <c r="U272" s="62">
        <f>IF($V272="","",IF($V272="Macro",ROW(),IFERROR(LOOKUP(2,1/($V$5:$V272="Macro"),ROW($V$5:$V272)),0)))</f>
        <v/>
      </c>
      <c r="V272" s="62">
        <f>IF(NOT((COUNTA($B272:$D272)+COUNTA($G272:$L272)+COUNTA($Q272))&gt;0),"",IF($B272="Subactividad","Sub","Macro"))</f>
        <v/>
      </c>
      <c r="W272" s="62">
        <f>IF($V272="Macro",COUNTIFS($U$5:$U$1000,ROW(),$V$5:$V$1000,"Sub"),"")</f>
        <v/>
      </c>
      <c r="X272" s="62">
        <f>IF($V272="","",IF(ISNUMBER($G272),1,IFERROR(LOOKUP(2,1/($I272:$L272&lt;&gt;""),$I272:$L272),0)))</f>
        <v/>
      </c>
      <c r="Y272" s="62">
        <f>IF($V272="","",IF(AND(ISNUMBER($G272),$G272&lt;=IF($S272=MesCiclo,InicioCiclo,$S272+MOD(2-WEEKDAY($S272),7))+6),1,IF(ISNUMBER($I272),$I272,0)))</f>
        <v/>
      </c>
      <c r="Z272" s="62">
        <f>IF($V272="","",IF(AND(ISNUMBER($G272),$G272&lt;=IF($S272=MesCiclo,InicioCiclo,$S272+MOD(2-WEEKDAY($S272),7))+13),1,IF(ISNUMBER($J272),$J272,$Y272)))</f>
        <v/>
      </c>
      <c r="AA272" s="62">
        <f>IF($V272="","",IF(AND(ISNUMBER($G272),$G272&lt;=IF($S272=MesCiclo,InicioCiclo,$S272+MOD(2-WEEKDAY($S272),7))+20),1,IF(ISNUMBER($K272),$K272,$Z272)))</f>
        <v/>
      </c>
      <c r="AB272" s="62">
        <f>IF($V272="","",IF(AND(ISNUMBER($G272),$G272&lt;=IF($S272=MesCiclo,InicioCiclo,$S272+MOD(2-WEEKDAY($S272),7))+27),1,IF(ISNUMBER($L272),$L272,$AA272)))</f>
        <v/>
      </c>
      <c r="AC272" s="62">
        <f>IF($V272="","",IF(AND(ISNUMBER($G272),$G272&lt;=IF($S272=MesCiclo,InicioCiclo,$S272+MOD(2-WEEKDAY($S272),7))+6),1,IF(N($W272)&gt;0,AVERAGEIFS($Y$5:$Y$1000,$U$5:$U$1000,ROW(),$V$5:$V$1000,"Sub"),$Y272)))</f>
        <v/>
      </c>
      <c r="AD272" s="62">
        <f>IF($V272="","",IF(AND(ISNUMBER($G272),$G272&lt;=IF($S272=MesCiclo,InicioCiclo,$S272+MOD(2-WEEKDAY($S272),7))+13),1,IF(N($W272)&gt;0,AVERAGEIFS($Z$5:$Z$1000,$U$5:$U$1000,ROW(),$V$5:$V$1000,"Sub"),$Z272)))</f>
        <v/>
      </c>
      <c r="AE272" s="62">
        <f>IF($V272="","",IF(AND(ISNUMBER($G272),$G272&lt;=IF($S272=MesCiclo,InicioCiclo,$S272+MOD(2-WEEKDAY($S272),7))+20),1,IF(N($W272)&gt;0,AVERAGEIFS($AA$5:$AA$1000,$U$5:$U$1000,ROW(),$V$5:$V$1000,"Sub"),$AA272)))</f>
        <v/>
      </c>
      <c r="AF272" s="62">
        <f>IF($V272="","",IF(AND(ISNUMBER($G272),$G272&lt;=IF($S272=MesCiclo,InicioCiclo,$S272+MOD(2-WEEKDAY($S272),7))+27),1,IF(N($W272)&gt;0,AVERAGEIFS($AB$5:$AB$1000,$U$5:$U$1000,ROW(),$V$5:$V$1000,"Sub"),$AB272)))</f>
        <v/>
      </c>
      <c r="AG272" s="62">
        <f>IF($V272&lt;&gt;"Macro","",IF(COUNTIFS($S$5:$S$1000,$S272,$V$5:$V$1000,"Macro",$H$5:$H$1000,"&gt;0")=0,1/COUNTIFS($S$5:$S$1000,$S272,$V$5:$V$1000,"Macro"),IF(AND(ISNUMBER($H272),N($H272)&gt;0),$H272,SUMIFS($H$5:$H$1000,$S$5:$S$1000,$S272,$V$5:$V$1000,"Macro")/COUNTIFS($S$5:$S$1000,$S272,$V$5:$V$1000,"Macro",$H$5:$H$1000,"&gt;0"))/(COUNTIFS($S$5:$S$1000,$S272,$V$5:$V$1000,"Macro")*SUMIFS($H$5:$H$1000,$S$5:$S$1000,$S272,$V$5:$V$1000,"Macro")/COUNTIFS($S$5:$S$1000,$S272,$V$5:$V$1000,"Macro",$H$5:$H$1000,"&gt;0"))))</f>
        <v/>
      </c>
      <c r="AH272" s="62" t="n"/>
      <c r="AI272" s="62" t="n"/>
      <c r="AJ272" s="62" t="n"/>
      <c r="AK272" s="62" t="n"/>
      <c r="AL272" s="62">
        <f>IF(LEFT($C272,11)="[Jefatura] ",IFERROR(MATCH("Asistente Técnico de Riesgo|"&amp;MID($C272,12,500),rDname_ADM,0),0),"")</f>
        <v/>
      </c>
      <c r="AM272" s="62">
        <f>IF(N($AL272)&gt;0,INDEX(rIni_ADM,$AL272),IF(ISNUMBER($E272),$E272,""))</f>
        <v/>
      </c>
      <c r="AN272" s="62">
        <f>IF(N($AL272)&gt;0,INDEX(rLim_ADM,$AL272),IF(ISNUMBER($F272),$F272,""))</f>
        <v/>
      </c>
    </row>
    <row r="273">
      <c r="A273" s="56">
        <f>IF(NOT((COUNTA($B273:$D273)+COUNTA($G273:$L273)+COUNTA($Q273))&gt;0),"",IF($V273="Macro",COUNTIFS($V$5:$V273,"Macro",$S$5:$S273,$S273),IF(N($U273)=0,"?",COUNTIFS(INDEX($V$5:$V$1000,1):INDEX($V$5:$V$1000,$U273-4),"Macro",INDEX($S$5:$S$1000,1):INDEX($S$5:$S$1000,$U273-4),INDEX($S$5:$S$1000,$U273-4))&amp;"."&amp;COUNTIFS($U$5:$U273,$U273,$V$5:$V273,"Sub"))))</f>
        <v/>
      </c>
      <c r="B273" s="57" t="n"/>
      <c r="C273" s="58" t="n"/>
      <c r="D273" s="58" t="n"/>
      <c r="E273" s="59">
        <f>IF(N($AL273)&gt;0,INDEX(rIni_ADM,$AL273),"")</f>
        <v/>
      </c>
      <c r="F273" s="59">
        <f>IF(N($AL273)&gt;0,INDEX(rLim_ADM,$AL273),"")</f>
        <v/>
      </c>
      <c r="G273" s="59" t="n"/>
      <c r="H273" s="60" t="n"/>
      <c r="I273" s="60" t="n"/>
      <c r="J273" s="60" t="n"/>
      <c r="K273" s="60" t="n"/>
      <c r="L273" s="60" t="n"/>
      <c r="M273" s="61">
        <f>IF(NOT((COUNTA($B273:$D273)+COUNTA($G273:$L273)+COUNTA($Q273))&gt;0),"",IF($V273="Sub",IFERROR($X273/INDEX($W$5:$W$1000,$U273-4),""),IF(ISNUMBER($G273),1,IF(N($W273)&gt;0,AVERAGEIFS($X$5:$X$1000,$U$5:$U$1000,ROW(),$V$5:$V$1000,"Sub"),$X273))))</f>
        <v/>
      </c>
      <c r="N273" s="56">
        <f>IF(OR($M273="",$V273="Sub"),"",IF($M273&gt;=1,"Completado",IF($M273&gt;0,"En curso","Pendiente")))</f>
        <v/>
      </c>
      <c r="O273" s="56">
        <f>IF(OR(NOT((COUNTA($B273:$D273)+COUNTA($G273:$L273)+COUNTA($Q273))&gt;0),$V273="Sub"),"",IF(ISNUMBER($G273),IF(AND(ISNUMBER($AN273),$G273&gt;$AN273),"Cumplida con "&amp;($G273-$AN273)&amp;IF($G273-$AN273=1," día"," días")&amp;" de retraso","Cumplida"),IF(N($M273)&gt;=1,"Cumplida",IF(NOT(ISNUMBER($AN273)),"Sin fecha límite",IF($AN273&lt;FechaRef,"Vencida hace "&amp;(FechaRef-$AN273)&amp;IF(FechaRef-$AN273=1," día"," días"),IF($AN273=FechaRef,"Vence hoy",IF($AN273-FechaRef&lt;=DiasAlerta,"Vence en "&amp;($AN273-FechaRef)&amp;IF($AN273-FechaRef=1," día"," días"),"En plazo")))))))</f>
        <v/>
      </c>
      <c r="P273" s="62" t="n"/>
      <c r="Q273" s="58" t="n"/>
      <c r="R273" s="63">
        <f>IF(NOT((COUNTA($B273:$D273)+COUNTA($G273:$L273)+COUNTA($Q273))&gt;0),"",IF((IF($C273="","Falta el nombre de la actividad"&amp;" · ","")&amp;IF(AND($V273="Sub",N($U273)=0),"Subactividad sin macroactividad arriba"&amp;" · ","")&amp;IF($AM273="","Sin fecha de inicio"&amp;" · ","")&amp;IF($AN273="","Sin fecha límite"&amp;" · ","")&amp;IF(AND(LEFT($C273,11)="[Jefatura] ",N($AL273)=0),"No se encuentra en la hoja de la jefatura (elíjala de nuevo en la lista)"&amp;" · ","")&amp;IF(OR(AND($E273&lt;&gt;"",NOT(ISNUMBER($E273))),AND($F273&lt;&gt;"",NOT(ISNUMBER($F273))),AND($G273&lt;&gt;"",NOT(ISNUMBER($G273)))),"Fecha no válida"&amp;" · ","")&amp;IF(AND(ISNUMBER($AM273),ISNUMBER($AN273),$AM273&gt;$AN273),"Inicio posterior a fecha límite"&amp;" · ","")&amp;IF(AND($V273="Macro",$H273&lt;&gt;"",OR(NOT(ISNUMBER($H273)),$H273&lt;0,$H273&gt;1)),"Peso fuera de rango"&amp;" · ","")&amp;IF(AND($V273="Sub",$H273&lt;&gt;""),"Las subactividades no llevan peso (valen igual dentro de su macroactividad)"&amp;" · ","")&amp;IF(AND(N($W273)&gt;0,COUNT($I273:$L273)&gt;0),"Con subactividades: deje vacías las semanas (se calculan solas)"&amp;" · ","")&amp;IF((COUNTIF($I273:$L273,"&gt;1")+COUNTIF($I273:$L273,"&lt;0")+COUNTA($I273:$L273)-COUNT($I273:$L273))&gt;0,"Avance fuera de rango 0-100%"&amp;" · ","")&amp;IF(OR(AND($J273&lt;&gt;"",$J273&lt;$I273),AND($K273&lt;&gt;"",$K273&lt;MAX($I273:$J273)),AND($L273&lt;&gt;"",$L273&lt;MAX($I273:$K273))),"Avance semanal decreciente"&amp;" · ","")&amp;IF(AND(ISNUMBER($AN273),$AN273&lt;FechaRef,IF($V273="Sub",N($X273),N($M273))&lt;1),"Vencida"&amp;" · ","")&amp;IF(AND(ObsObligatoria="Sí",ISNUMBER($AN273),$AN273&lt;FechaRef,IF($V273="Sub",N($X273),N($M273))&lt;1,$Q273=""),"Vencida sin observación"&amp;" · ",""))="","✔ OK","⚠ "&amp;LEFT(IF($C273="","Falta el nombre de la actividad"&amp;" · ","")&amp;IF(AND($V273="Sub",N($U273)=0),"Subactividad sin macroactividad arriba"&amp;" · ","")&amp;IF($AM273="","Sin fecha de inicio"&amp;" · ","")&amp;IF($AN273="","Sin fecha límite"&amp;" · ","")&amp;IF(AND(LEFT($C273,11)="[Jefatura] ",N($AL273)=0),"No se encuentra en la hoja de la jefatura (elíjala de nuevo en la lista)"&amp;" · ","")&amp;IF(OR(AND($E273&lt;&gt;"",NOT(ISNUMBER($E273))),AND($F273&lt;&gt;"",NOT(ISNUMBER($F273))),AND($G273&lt;&gt;"",NOT(ISNUMBER($G273)))),"Fecha no válida"&amp;" · ","")&amp;IF(AND(ISNUMBER($AM273),ISNUMBER($AN273),$AM273&gt;$AN273),"Inicio posterior a fecha límite"&amp;" · ","")&amp;IF(AND($V273="Macro",$H273&lt;&gt;"",OR(NOT(ISNUMBER($H273)),$H273&lt;0,$H273&gt;1)),"Peso fuera de rango"&amp;" · ","")&amp;IF(AND($V273="Sub",$H273&lt;&gt;""),"Las subactividades no llevan peso (valen igual dentro de su macroactividad)"&amp;" · ","")&amp;IF(AND(N($W273)&gt;0,COUNT($I273:$L273)&gt;0),"Con subactividades: deje vacías las semanas (se calculan solas)"&amp;" · ","")&amp;IF((COUNTIF($I273:$L273,"&gt;1")+COUNTIF($I273:$L273,"&lt;0")+COUNTA($I273:$L273)-COUNT($I273:$L273))&gt;0,"Avance fuera de rango 0-100%"&amp;" · ","")&amp;IF(OR(AND($J273&lt;&gt;"",$J273&lt;$I273),AND($K273&lt;&gt;"",$K273&lt;MAX($I273:$J273)),AND($L273&lt;&gt;"",$L273&lt;MAX($I273:$K273))),"Avance semanal decreciente"&amp;" · ","")&amp;IF(AND(ISNUMBER($AN273),$AN273&lt;FechaRef,IF($V273="Sub",N($X273),N($M273))&lt;1),"Vencida"&amp;" · ","")&amp;IF(AND(ObsObligatoria="Sí",ISNUMBER($AN273),$AN273&lt;FechaRef,IF($V273="Sub",N($X273),N($M273))&lt;1,$Q273=""),"Vencida sin observación"&amp;" · ",""),LEN(IF($C273="","Falta el nombre de la actividad"&amp;" · ","")&amp;IF(AND($V273="Sub",N($U273)=0),"Subactividad sin macroactividad arriba"&amp;" · ","")&amp;IF($AM273="","Sin fecha de inicio"&amp;" · ","")&amp;IF($AN273="","Sin fecha límite"&amp;" · ","")&amp;IF(AND(LEFT($C273,11)="[Jefatura] ",N($AL273)=0),"No se encuentra en la hoja de la jefatura (elíjala de nuevo en la lista)"&amp;" · ","")&amp;IF(OR(AND($E273&lt;&gt;"",NOT(ISNUMBER($E273))),AND($F273&lt;&gt;"",NOT(ISNUMBER($F273))),AND($G273&lt;&gt;"",NOT(ISNUMBER($G273)))),"Fecha no válida"&amp;" · ","")&amp;IF(AND(ISNUMBER($AM273),ISNUMBER($AN273),$AM273&gt;$AN273),"Inicio posterior a fecha límite"&amp;" · ","")&amp;IF(AND($V273="Macro",$H273&lt;&gt;"",OR(NOT(ISNUMBER($H273)),$H273&lt;0,$H273&gt;1)),"Peso fuera de rango"&amp;" · ","")&amp;IF(AND($V273="Sub",$H273&lt;&gt;""),"Las subactividades no llevan peso (valen igual dentro de su macroactividad)"&amp;" · ","")&amp;IF(AND(N($W273)&gt;0,COUNT($I273:$L273)&gt;0),"Con subactividades: deje vacías las semanas (se calculan solas)"&amp;" · ","")&amp;IF((COUNTIF($I273:$L273,"&gt;1")+COUNTIF($I273:$L273,"&lt;0")+COUNTA($I273:$L273)-COUNT($I273:$L273))&gt;0,"Avance fuera de rango 0-100%"&amp;" · ","")&amp;IF(OR(AND($J273&lt;&gt;"",$J273&lt;$I273),AND($K273&lt;&gt;"",$K273&lt;MAX($I273:$J273)),AND($L273&lt;&gt;"",$L273&lt;MAX($I273:$K273))),"Avance semanal decreciente"&amp;" · ","")&amp;IF(AND(ISNUMBER($AN273),$AN273&lt;FechaRef,IF($V273="Sub",N($X273),N($M273))&lt;1),"Vencida"&amp;" · ","")&amp;IF(AND(ObsObligatoria="Sí",ISNUMBER($AN273),$AN273&lt;FechaRef,IF($V273="Sub",N($X273),N($M273))&lt;1,$Q273=""),"Vencida sin observación"&amp;" · ",""))-3)))</f>
        <v/>
      </c>
      <c r="S273" s="64">
        <f>IF(NOT((COUNTA($B273:$D273)+COUNTA($G273:$L273)+COUNTA($Q273))&gt;0),"",IF(AND($V273="Sub",N($U273)&gt;0),IF(ISNUMBER(INDEX($AM$5:$AM$1000,$U273-4)),DATE(YEAR(INDEX($AM$5:$AM$1000,$U273-4)),MONTH(INDEX($AM$5:$AM$1000,$U273-4)),1),IF(ISNUMBER(INDEX($AN$5:$AN$1000,$U273-4)),DATE(YEAR(INDEX($AN$5:$AN$1000,$U273-4)),MONTH(INDEX($AN$5:$AN$1000,$U273-4)),1),MesCiclo)),IF(ISNUMBER($AM273),DATE(YEAR($AM273),MONTH($AM273),1),IF(ISNUMBER($AN273),DATE(YEAR($AN273),MONTH($AN273),1),MesCiclo))))</f>
        <v/>
      </c>
      <c r="T273" s="62">
        <f>IF(OR($S273="",$S273&lt;&gt;MesCiclo,$V273&lt;&gt;"Macro"),"",COUNTIFS($S$5:$S273,MesCiclo,$V$5:$V273,"Macro"))</f>
        <v/>
      </c>
      <c r="U273" s="62">
        <f>IF($V273="","",IF($V273="Macro",ROW(),IFERROR(LOOKUP(2,1/($V$5:$V273="Macro"),ROW($V$5:$V273)),0)))</f>
        <v/>
      </c>
      <c r="V273" s="62">
        <f>IF(NOT((COUNTA($B273:$D273)+COUNTA($G273:$L273)+COUNTA($Q273))&gt;0),"",IF($B273="Subactividad","Sub","Macro"))</f>
        <v/>
      </c>
      <c r="W273" s="62">
        <f>IF($V273="Macro",COUNTIFS($U$5:$U$1000,ROW(),$V$5:$V$1000,"Sub"),"")</f>
        <v/>
      </c>
      <c r="X273" s="62">
        <f>IF($V273="","",IF(ISNUMBER($G273),1,IFERROR(LOOKUP(2,1/($I273:$L273&lt;&gt;""),$I273:$L273),0)))</f>
        <v/>
      </c>
      <c r="Y273" s="62">
        <f>IF($V273="","",IF(AND(ISNUMBER($G273),$G273&lt;=IF($S273=MesCiclo,InicioCiclo,$S273+MOD(2-WEEKDAY($S273),7))+6),1,IF(ISNUMBER($I273),$I273,0)))</f>
        <v/>
      </c>
      <c r="Z273" s="62">
        <f>IF($V273="","",IF(AND(ISNUMBER($G273),$G273&lt;=IF($S273=MesCiclo,InicioCiclo,$S273+MOD(2-WEEKDAY($S273),7))+13),1,IF(ISNUMBER($J273),$J273,$Y273)))</f>
        <v/>
      </c>
      <c r="AA273" s="62">
        <f>IF($V273="","",IF(AND(ISNUMBER($G273),$G273&lt;=IF($S273=MesCiclo,InicioCiclo,$S273+MOD(2-WEEKDAY($S273),7))+20),1,IF(ISNUMBER($K273),$K273,$Z273)))</f>
        <v/>
      </c>
      <c r="AB273" s="62">
        <f>IF($V273="","",IF(AND(ISNUMBER($G273),$G273&lt;=IF($S273=MesCiclo,InicioCiclo,$S273+MOD(2-WEEKDAY($S273),7))+27),1,IF(ISNUMBER($L273),$L273,$AA273)))</f>
        <v/>
      </c>
      <c r="AC273" s="62">
        <f>IF($V273="","",IF(AND(ISNUMBER($G273),$G273&lt;=IF($S273=MesCiclo,InicioCiclo,$S273+MOD(2-WEEKDAY($S273),7))+6),1,IF(N($W273)&gt;0,AVERAGEIFS($Y$5:$Y$1000,$U$5:$U$1000,ROW(),$V$5:$V$1000,"Sub"),$Y273)))</f>
        <v/>
      </c>
      <c r="AD273" s="62">
        <f>IF($V273="","",IF(AND(ISNUMBER($G273),$G273&lt;=IF($S273=MesCiclo,InicioCiclo,$S273+MOD(2-WEEKDAY($S273),7))+13),1,IF(N($W273)&gt;0,AVERAGEIFS($Z$5:$Z$1000,$U$5:$U$1000,ROW(),$V$5:$V$1000,"Sub"),$Z273)))</f>
        <v/>
      </c>
      <c r="AE273" s="62">
        <f>IF($V273="","",IF(AND(ISNUMBER($G273),$G273&lt;=IF($S273=MesCiclo,InicioCiclo,$S273+MOD(2-WEEKDAY($S273),7))+20),1,IF(N($W273)&gt;0,AVERAGEIFS($AA$5:$AA$1000,$U$5:$U$1000,ROW(),$V$5:$V$1000,"Sub"),$AA273)))</f>
        <v/>
      </c>
      <c r="AF273" s="62">
        <f>IF($V273="","",IF(AND(ISNUMBER($G273),$G273&lt;=IF($S273=MesCiclo,InicioCiclo,$S273+MOD(2-WEEKDAY($S273),7))+27),1,IF(N($W273)&gt;0,AVERAGEIFS($AB$5:$AB$1000,$U$5:$U$1000,ROW(),$V$5:$V$1000,"Sub"),$AB273)))</f>
        <v/>
      </c>
      <c r="AG273" s="62">
        <f>IF($V273&lt;&gt;"Macro","",IF(COUNTIFS($S$5:$S$1000,$S273,$V$5:$V$1000,"Macro",$H$5:$H$1000,"&gt;0")=0,1/COUNTIFS($S$5:$S$1000,$S273,$V$5:$V$1000,"Macro"),IF(AND(ISNUMBER($H273),N($H273)&gt;0),$H273,SUMIFS($H$5:$H$1000,$S$5:$S$1000,$S273,$V$5:$V$1000,"Macro")/COUNTIFS($S$5:$S$1000,$S273,$V$5:$V$1000,"Macro",$H$5:$H$1000,"&gt;0"))/(COUNTIFS($S$5:$S$1000,$S273,$V$5:$V$1000,"Macro")*SUMIFS($H$5:$H$1000,$S$5:$S$1000,$S273,$V$5:$V$1000,"Macro")/COUNTIFS($S$5:$S$1000,$S273,$V$5:$V$1000,"Macro",$H$5:$H$1000,"&gt;0"))))</f>
        <v/>
      </c>
      <c r="AH273" s="62" t="n"/>
      <c r="AI273" s="62" t="n"/>
      <c r="AJ273" s="62" t="n"/>
      <c r="AK273" s="62" t="n"/>
      <c r="AL273" s="62">
        <f>IF(LEFT($C273,11)="[Jefatura] ",IFERROR(MATCH("Asistente Técnico de Riesgo|"&amp;MID($C273,12,500),rDname_ADM,0),0),"")</f>
        <v/>
      </c>
      <c r="AM273" s="62">
        <f>IF(N($AL273)&gt;0,INDEX(rIni_ADM,$AL273),IF(ISNUMBER($E273),$E273,""))</f>
        <v/>
      </c>
      <c r="AN273" s="62">
        <f>IF(N($AL273)&gt;0,INDEX(rLim_ADM,$AL273),IF(ISNUMBER($F273),$F273,""))</f>
        <v/>
      </c>
    </row>
    <row r="274">
      <c r="A274" s="56">
        <f>IF(NOT((COUNTA($B274:$D274)+COUNTA($G274:$L274)+COUNTA($Q274))&gt;0),"",IF($V274="Macro",COUNTIFS($V$5:$V274,"Macro",$S$5:$S274,$S274),IF(N($U274)=0,"?",COUNTIFS(INDEX($V$5:$V$1000,1):INDEX($V$5:$V$1000,$U274-4),"Macro",INDEX($S$5:$S$1000,1):INDEX($S$5:$S$1000,$U274-4),INDEX($S$5:$S$1000,$U274-4))&amp;"."&amp;COUNTIFS($U$5:$U274,$U274,$V$5:$V274,"Sub"))))</f>
        <v/>
      </c>
      <c r="B274" s="57" t="n"/>
      <c r="C274" s="58" t="n"/>
      <c r="D274" s="58" t="n"/>
      <c r="E274" s="59">
        <f>IF(N($AL274)&gt;0,INDEX(rIni_ADM,$AL274),"")</f>
        <v/>
      </c>
      <c r="F274" s="59">
        <f>IF(N($AL274)&gt;0,INDEX(rLim_ADM,$AL274),"")</f>
        <v/>
      </c>
      <c r="G274" s="59" t="n"/>
      <c r="H274" s="60" t="n"/>
      <c r="I274" s="60" t="n"/>
      <c r="J274" s="60" t="n"/>
      <c r="K274" s="60" t="n"/>
      <c r="L274" s="60" t="n"/>
      <c r="M274" s="61">
        <f>IF(NOT((COUNTA($B274:$D274)+COUNTA($G274:$L274)+COUNTA($Q274))&gt;0),"",IF($V274="Sub",IFERROR($X274/INDEX($W$5:$W$1000,$U274-4),""),IF(ISNUMBER($G274),1,IF(N($W274)&gt;0,AVERAGEIFS($X$5:$X$1000,$U$5:$U$1000,ROW(),$V$5:$V$1000,"Sub"),$X274))))</f>
        <v/>
      </c>
      <c r="N274" s="56">
        <f>IF(OR($M274="",$V274="Sub"),"",IF($M274&gt;=1,"Completado",IF($M274&gt;0,"En curso","Pendiente")))</f>
        <v/>
      </c>
      <c r="O274" s="56">
        <f>IF(OR(NOT((COUNTA($B274:$D274)+COUNTA($G274:$L274)+COUNTA($Q274))&gt;0),$V274="Sub"),"",IF(ISNUMBER($G274),IF(AND(ISNUMBER($AN274),$G274&gt;$AN274),"Cumplida con "&amp;($G274-$AN274)&amp;IF($G274-$AN274=1," día"," días")&amp;" de retraso","Cumplida"),IF(N($M274)&gt;=1,"Cumplida",IF(NOT(ISNUMBER($AN274)),"Sin fecha límite",IF($AN274&lt;FechaRef,"Vencida hace "&amp;(FechaRef-$AN274)&amp;IF(FechaRef-$AN274=1," día"," días"),IF($AN274=FechaRef,"Vence hoy",IF($AN274-FechaRef&lt;=DiasAlerta,"Vence en "&amp;($AN274-FechaRef)&amp;IF($AN274-FechaRef=1," día"," días"),"En plazo")))))))</f>
        <v/>
      </c>
      <c r="P274" s="62" t="n"/>
      <c r="Q274" s="58" t="n"/>
      <c r="R274" s="63">
        <f>IF(NOT((COUNTA($B274:$D274)+COUNTA($G274:$L274)+COUNTA($Q274))&gt;0),"",IF((IF($C274="","Falta el nombre de la actividad"&amp;" · ","")&amp;IF(AND($V274="Sub",N($U274)=0),"Subactividad sin macroactividad arriba"&amp;" · ","")&amp;IF($AM274="","Sin fecha de inicio"&amp;" · ","")&amp;IF($AN274="","Sin fecha límite"&amp;" · ","")&amp;IF(AND(LEFT($C274,11)="[Jefatura] ",N($AL274)=0),"No se encuentra en la hoja de la jefatura (elíjala de nuevo en la lista)"&amp;" · ","")&amp;IF(OR(AND($E274&lt;&gt;"",NOT(ISNUMBER($E274))),AND($F274&lt;&gt;"",NOT(ISNUMBER($F274))),AND($G274&lt;&gt;"",NOT(ISNUMBER($G274)))),"Fecha no válida"&amp;" · ","")&amp;IF(AND(ISNUMBER($AM274),ISNUMBER($AN274),$AM274&gt;$AN274),"Inicio posterior a fecha límite"&amp;" · ","")&amp;IF(AND($V274="Macro",$H274&lt;&gt;"",OR(NOT(ISNUMBER($H274)),$H274&lt;0,$H274&gt;1)),"Peso fuera de rango"&amp;" · ","")&amp;IF(AND($V274="Sub",$H274&lt;&gt;""),"Las subactividades no llevan peso (valen igual dentro de su macroactividad)"&amp;" · ","")&amp;IF(AND(N($W274)&gt;0,COUNT($I274:$L274)&gt;0),"Con subactividades: deje vacías las semanas (se calculan solas)"&amp;" · ","")&amp;IF((COUNTIF($I274:$L274,"&gt;1")+COUNTIF($I274:$L274,"&lt;0")+COUNTA($I274:$L274)-COUNT($I274:$L274))&gt;0,"Avance fuera de rango 0-100%"&amp;" · ","")&amp;IF(OR(AND($J274&lt;&gt;"",$J274&lt;$I274),AND($K274&lt;&gt;"",$K274&lt;MAX($I274:$J274)),AND($L274&lt;&gt;"",$L274&lt;MAX($I274:$K274))),"Avance semanal decreciente"&amp;" · ","")&amp;IF(AND(ISNUMBER($AN274),$AN274&lt;FechaRef,IF($V274="Sub",N($X274),N($M274))&lt;1),"Vencida"&amp;" · ","")&amp;IF(AND(ObsObligatoria="Sí",ISNUMBER($AN274),$AN274&lt;FechaRef,IF($V274="Sub",N($X274),N($M274))&lt;1,$Q274=""),"Vencida sin observación"&amp;" · ",""))="","✔ OK","⚠ "&amp;LEFT(IF($C274="","Falta el nombre de la actividad"&amp;" · ","")&amp;IF(AND($V274="Sub",N($U274)=0),"Subactividad sin macroactividad arriba"&amp;" · ","")&amp;IF($AM274="","Sin fecha de inicio"&amp;" · ","")&amp;IF($AN274="","Sin fecha límite"&amp;" · ","")&amp;IF(AND(LEFT($C274,11)="[Jefatura] ",N($AL274)=0),"No se encuentra en la hoja de la jefatura (elíjala de nuevo en la lista)"&amp;" · ","")&amp;IF(OR(AND($E274&lt;&gt;"",NOT(ISNUMBER($E274))),AND($F274&lt;&gt;"",NOT(ISNUMBER($F274))),AND($G274&lt;&gt;"",NOT(ISNUMBER($G274)))),"Fecha no válida"&amp;" · ","")&amp;IF(AND(ISNUMBER($AM274),ISNUMBER($AN274),$AM274&gt;$AN274),"Inicio posterior a fecha límite"&amp;" · ","")&amp;IF(AND($V274="Macro",$H274&lt;&gt;"",OR(NOT(ISNUMBER($H274)),$H274&lt;0,$H274&gt;1)),"Peso fuera de rango"&amp;" · ","")&amp;IF(AND($V274="Sub",$H274&lt;&gt;""),"Las subactividades no llevan peso (valen igual dentro de su macroactividad)"&amp;" · ","")&amp;IF(AND(N($W274)&gt;0,COUNT($I274:$L274)&gt;0),"Con subactividades: deje vacías las semanas (se calculan solas)"&amp;" · ","")&amp;IF((COUNTIF($I274:$L274,"&gt;1")+COUNTIF($I274:$L274,"&lt;0")+COUNTA($I274:$L274)-COUNT($I274:$L274))&gt;0,"Avance fuera de rango 0-100%"&amp;" · ","")&amp;IF(OR(AND($J274&lt;&gt;"",$J274&lt;$I274),AND($K274&lt;&gt;"",$K274&lt;MAX($I274:$J274)),AND($L274&lt;&gt;"",$L274&lt;MAX($I274:$K274))),"Avance semanal decreciente"&amp;" · ","")&amp;IF(AND(ISNUMBER($AN274),$AN274&lt;FechaRef,IF($V274="Sub",N($X274),N($M274))&lt;1),"Vencida"&amp;" · ","")&amp;IF(AND(ObsObligatoria="Sí",ISNUMBER($AN274),$AN274&lt;FechaRef,IF($V274="Sub",N($X274),N($M274))&lt;1,$Q274=""),"Vencida sin observación"&amp;" · ",""),LEN(IF($C274="","Falta el nombre de la actividad"&amp;" · ","")&amp;IF(AND($V274="Sub",N($U274)=0),"Subactividad sin macroactividad arriba"&amp;" · ","")&amp;IF($AM274="","Sin fecha de inicio"&amp;" · ","")&amp;IF($AN274="","Sin fecha límite"&amp;" · ","")&amp;IF(AND(LEFT($C274,11)="[Jefatura] ",N($AL274)=0),"No se encuentra en la hoja de la jefatura (elíjala de nuevo en la lista)"&amp;" · ","")&amp;IF(OR(AND($E274&lt;&gt;"",NOT(ISNUMBER($E274))),AND($F274&lt;&gt;"",NOT(ISNUMBER($F274))),AND($G274&lt;&gt;"",NOT(ISNUMBER($G274)))),"Fecha no válida"&amp;" · ","")&amp;IF(AND(ISNUMBER($AM274),ISNUMBER($AN274),$AM274&gt;$AN274),"Inicio posterior a fecha límite"&amp;" · ","")&amp;IF(AND($V274="Macro",$H274&lt;&gt;"",OR(NOT(ISNUMBER($H274)),$H274&lt;0,$H274&gt;1)),"Peso fuera de rango"&amp;" · ","")&amp;IF(AND($V274="Sub",$H274&lt;&gt;""),"Las subactividades no llevan peso (valen igual dentro de su macroactividad)"&amp;" · ","")&amp;IF(AND(N($W274)&gt;0,COUNT($I274:$L274)&gt;0),"Con subactividades: deje vacías las semanas (se calculan solas)"&amp;" · ","")&amp;IF((COUNTIF($I274:$L274,"&gt;1")+COUNTIF($I274:$L274,"&lt;0")+COUNTA($I274:$L274)-COUNT($I274:$L274))&gt;0,"Avance fuera de rango 0-100%"&amp;" · ","")&amp;IF(OR(AND($J274&lt;&gt;"",$J274&lt;$I274),AND($K274&lt;&gt;"",$K274&lt;MAX($I274:$J274)),AND($L274&lt;&gt;"",$L274&lt;MAX($I274:$K274))),"Avance semanal decreciente"&amp;" · ","")&amp;IF(AND(ISNUMBER($AN274),$AN274&lt;FechaRef,IF($V274="Sub",N($X274),N($M274))&lt;1),"Vencida"&amp;" · ","")&amp;IF(AND(ObsObligatoria="Sí",ISNUMBER($AN274),$AN274&lt;FechaRef,IF($V274="Sub",N($X274),N($M274))&lt;1,$Q274=""),"Vencida sin observación"&amp;" · ",""))-3)))</f>
        <v/>
      </c>
      <c r="S274" s="64">
        <f>IF(NOT((COUNTA($B274:$D274)+COUNTA($G274:$L274)+COUNTA($Q274))&gt;0),"",IF(AND($V274="Sub",N($U274)&gt;0),IF(ISNUMBER(INDEX($AM$5:$AM$1000,$U274-4)),DATE(YEAR(INDEX($AM$5:$AM$1000,$U274-4)),MONTH(INDEX($AM$5:$AM$1000,$U274-4)),1),IF(ISNUMBER(INDEX($AN$5:$AN$1000,$U274-4)),DATE(YEAR(INDEX($AN$5:$AN$1000,$U274-4)),MONTH(INDEX($AN$5:$AN$1000,$U274-4)),1),MesCiclo)),IF(ISNUMBER($AM274),DATE(YEAR($AM274),MONTH($AM274),1),IF(ISNUMBER($AN274),DATE(YEAR($AN274),MONTH($AN274),1),MesCiclo))))</f>
        <v/>
      </c>
      <c r="T274" s="62">
        <f>IF(OR($S274="",$S274&lt;&gt;MesCiclo,$V274&lt;&gt;"Macro"),"",COUNTIFS($S$5:$S274,MesCiclo,$V$5:$V274,"Macro"))</f>
        <v/>
      </c>
      <c r="U274" s="62">
        <f>IF($V274="","",IF($V274="Macro",ROW(),IFERROR(LOOKUP(2,1/($V$5:$V274="Macro"),ROW($V$5:$V274)),0)))</f>
        <v/>
      </c>
      <c r="V274" s="62">
        <f>IF(NOT((COUNTA($B274:$D274)+COUNTA($G274:$L274)+COUNTA($Q274))&gt;0),"",IF($B274="Subactividad","Sub","Macro"))</f>
        <v/>
      </c>
      <c r="W274" s="62">
        <f>IF($V274="Macro",COUNTIFS($U$5:$U$1000,ROW(),$V$5:$V$1000,"Sub"),"")</f>
        <v/>
      </c>
      <c r="X274" s="62">
        <f>IF($V274="","",IF(ISNUMBER($G274),1,IFERROR(LOOKUP(2,1/($I274:$L274&lt;&gt;""),$I274:$L274),0)))</f>
        <v/>
      </c>
      <c r="Y274" s="62">
        <f>IF($V274="","",IF(AND(ISNUMBER($G274),$G274&lt;=IF($S274=MesCiclo,InicioCiclo,$S274+MOD(2-WEEKDAY($S274),7))+6),1,IF(ISNUMBER($I274),$I274,0)))</f>
        <v/>
      </c>
      <c r="Z274" s="62">
        <f>IF($V274="","",IF(AND(ISNUMBER($G274),$G274&lt;=IF($S274=MesCiclo,InicioCiclo,$S274+MOD(2-WEEKDAY($S274),7))+13),1,IF(ISNUMBER($J274),$J274,$Y274)))</f>
        <v/>
      </c>
      <c r="AA274" s="62">
        <f>IF($V274="","",IF(AND(ISNUMBER($G274),$G274&lt;=IF($S274=MesCiclo,InicioCiclo,$S274+MOD(2-WEEKDAY($S274),7))+20),1,IF(ISNUMBER($K274),$K274,$Z274)))</f>
        <v/>
      </c>
      <c r="AB274" s="62">
        <f>IF($V274="","",IF(AND(ISNUMBER($G274),$G274&lt;=IF($S274=MesCiclo,InicioCiclo,$S274+MOD(2-WEEKDAY($S274),7))+27),1,IF(ISNUMBER($L274),$L274,$AA274)))</f>
        <v/>
      </c>
      <c r="AC274" s="62">
        <f>IF($V274="","",IF(AND(ISNUMBER($G274),$G274&lt;=IF($S274=MesCiclo,InicioCiclo,$S274+MOD(2-WEEKDAY($S274),7))+6),1,IF(N($W274)&gt;0,AVERAGEIFS($Y$5:$Y$1000,$U$5:$U$1000,ROW(),$V$5:$V$1000,"Sub"),$Y274)))</f>
        <v/>
      </c>
      <c r="AD274" s="62">
        <f>IF($V274="","",IF(AND(ISNUMBER($G274),$G274&lt;=IF($S274=MesCiclo,InicioCiclo,$S274+MOD(2-WEEKDAY($S274),7))+13),1,IF(N($W274)&gt;0,AVERAGEIFS($Z$5:$Z$1000,$U$5:$U$1000,ROW(),$V$5:$V$1000,"Sub"),$Z274)))</f>
        <v/>
      </c>
      <c r="AE274" s="62">
        <f>IF($V274="","",IF(AND(ISNUMBER($G274),$G274&lt;=IF($S274=MesCiclo,InicioCiclo,$S274+MOD(2-WEEKDAY($S274),7))+20),1,IF(N($W274)&gt;0,AVERAGEIFS($AA$5:$AA$1000,$U$5:$U$1000,ROW(),$V$5:$V$1000,"Sub"),$AA274)))</f>
        <v/>
      </c>
      <c r="AF274" s="62">
        <f>IF($V274="","",IF(AND(ISNUMBER($G274),$G274&lt;=IF($S274=MesCiclo,InicioCiclo,$S274+MOD(2-WEEKDAY($S274),7))+27),1,IF(N($W274)&gt;0,AVERAGEIFS($AB$5:$AB$1000,$U$5:$U$1000,ROW(),$V$5:$V$1000,"Sub"),$AB274)))</f>
        <v/>
      </c>
      <c r="AG274" s="62">
        <f>IF($V274&lt;&gt;"Macro","",IF(COUNTIFS($S$5:$S$1000,$S274,$V$5:$V$1000,"Macro",$H$5:$H$1000,"&gt;0")=0,1/COUNTIFS($S$5:$S$1000,$S274,$V$5:$V$1000,"Macro"),IF(AND(ISNUMBER($H274),N($H274)&gt;0),$H274,SUMIFS($H$5:$H$1000,$S$5:$S$1000,$S274,$V$5:$V$1000,"Macro")/COUNTIFS($S$5:$S$1000,$S274,$V$5:$V$1000,"Macro",$H$5:$H$1000,"&gt;0"))/(COUNTIFS($S$5:$S$1000,$S274,$V$5:$V$1000,"Macro")*SUMIFS($H$5:$H$1000,$S$5:$S$1000,$S274,$V$5:$V$1000,"Macro")/COUNTIFS($S$5:$S$1000,$S274,$V$5:$V$1000,"Macro",$H$5:$H$1000,"&gt;0"))))</f>
        <v/>
      </c>
      <c r="AH274" s="62" t="n"/>
      <c r="AI274" s="62" t="n"/>
      <c r="AJ274" s="62" t="n"/>
      <c r="AK274" s="62" t="n"/>
      <c r="AL274" s="62">
        <f>IF(LEFT($C274,11)="[Jefatura] ",IFERROR(MATCH("Asistente Técnico de Riesgo|"&amp;MID($C274,12,500),rDname_ADM,0),0),"")</f>
        <v/>
      </c>
      <c r="AM274" s="62">
        <f>IF(N($AL274)&gt;0,INDEX(rIni_ADM,$AL274),IF(ISNUMBER($E274),$E274,""))</f>
        <v/>
      </c>
      <c r="AN274" s="62">
        <f>IF(N($AL274)&gt;0,INDEX(rLim_ADM,$AL274),IF(ISNUMBER($F274),$F274,""))</f>
        <v/>
      </c>
    </row>
    <row r="275">
      <c r="A275" s="56">
        <f>IF(NOT((COUNTA($B275:$D275)+COUNTA($G275:$L275)+COUNTA($Q275))&gt;0),"",IF($V275="Macro",COUNTIFS($V$5:$V275,"Macro",$S$5:$S275,$S275),IF(N($U275)=0,"?",COUNTIFS(INDEX($V$5:$V$1000,1):INDEX($V$5:$V$1000,$U275-4),"Macro",INDEX($S$5:$S$1000,1):INDEX($S$5:$S$1000,$U275-4),INDEX($S$5:$S$1000,$U275-4))&amp;"."&amp;COUNTIFS($U$5:$U275,$U275,$V$5:$V275,"Sub"))))</f>
        <v/>
      </c>
      <c r="B275" s="57" t="n"/>
      <c r="C275" s="58" t="n"/>
      <c r="D275" s="58" t="n"/>
      <c r="E275" s="59">
        <f>IF(N($AL275)&gt;0,INDEX(rIni_ADM,$AL275),"")</f>
        <v/>
      </c>
      <c r="F275" s="59">
        <f>IF(N($AL275)&gt;0,INDEX(rLim_ADM,$AL275),"")</f>
        <v/>
      </c>
      <c r="G275" s="59" t="n"/>
      <c r="H275" s="60" t="n"/>
      <c r="I275" s="60" t="n"/>
      <c r="J275" s="60" t="n"/>
      <c r="K275" s="60" t="n"/>
      <c r="L275" s="60" t="n"/>
      <c r="M275" s="61">
        <f>IF(NOT((COUNTA($B275:$D275)+COUNTA($G275:$L275)+COUNTA($Q275))&gt;0),"",IF($V275="Sub",IFERROR($X275/INDEX($W$5:$W$1000,$U275-4),""),IF(ISNUMBER($G275),1,IF(N($W275)&gt;0,AVERAGEIFS($X$5:$X$1000,$U$5:$U$1000,ROW(),$V$5:$V$1000,"Sub"),$X275))))</f>
        <v/>
      </c>
      <c r="N275" s="56">
        <f>IF(OR($M275="",$V275="Sub"),"",IF($M275&gt;=1,"Completado",IF($M275&gt;0,"En curso","Pendiente")))</f>
        <v/>
      </c>
      <c r="O275" s="56">
        <f>IF(OR(NOT((COUNTA($B275:$D275)+COUNTA($G275:$L275)+COUNTA($Q275))&gt;0),$V275="Sub"),"",IF(ISNUMBER($G275),IF(AND(ISNUMBER($AN275),$G275&gt;$AN275),"Cumplida con "&amp;($G275-$AN275)&amp;IF($G275-$AN275=1," día"," días")&amp;" de retraso","Cumplida"),IF(N($M275)&gt;=1,"Cumplida",IF(NOT(ISNUMBER($AN275)),"Sin fecha límite",IF($AN275&lt;FechaRef,"Vencida hace "&amp;(FechaRef-$AN275)&amp;IF(FechaRef-$AN275=1," día"," días"),IF($AN275=FechaRef,"Vence hoy",IF($AN275-FechaRef&lt;=DiasAlerta,"Vence en "&amp;($AN275-FechaRef)&amp;IF($AN275-FechaRef=1," día"," días"),"En plazo")))))))</f>
        <v/>
      </c>
      <c r="P275" s="62" t="n"/>
      <c r="Q275" s="58" t="n"/>
      <c r="R275" s="63">
        <f>IF(NOT((COUNTA($B275:$D275)+COUNTA($G275:$L275)+COUNTA($Q275))&gt;0),"",IF((IF($C275="","Falta el nombre de la actividad"&amp;" · ","")&amp;IF(AND($V275="Sub",N($U275)=0),"Subactividad sin macroactividad arriba"&amp;" · ","")&amp;IF($AM275="","Sin fecha de inicio"&amp;" · ","")&amp;IF($AN275="","Sin fecha límite"&amp;" · ","")&amp;IF(AND(LEFT($C275,11)="[Jefatura] ",N($AL275)=0),"No se encuentra en la hoja de la jefatura (elíjala de nuevo en la lista)"&amp;" · ","")&amp;IF(OR(AND($E275&lt;&gt;"",NOT(ISNUMBER($E275))),AND($F275&lt;&gt;"",NOT(ISNUMBER($F275))),AND($G275&lt;&gt;"",NOT(ISNUMBER($G275)))),"Fecha no válida"&amp;" · ","")&amp;IF(AND(ISNUMBER($AM275),ISNUMBER($AN275),$AM275&gt;$AN275),"Inicio posterior a fecha límite"&amp;" · ","")&amp;IF(AND($V275="Macro",$H275&lt;&gt;"",OR(NOT(ISNUMBER($H275)),$H275&lt;0,$H275&gt;1)),"Peso fuera de rango"&amp;" · ","")&amp;IF(AND($V275="Sub",$H275&lt;&gt;""),"Las subactividades no llevan peso (valen igual dentro de su macroactividad)"&amp;" · ","")&amp;IF(AND(N($W275)&gt;0,COUNT($I275:$L275)&gt;0),"Con subactividades: deje vacías las semanas (se calculan solas)"&amp;" · ","")&amp;IF((COUNTIF($I275:$L275,"&gt;1")+COUNTIF($I275:$L275,"&lt;0")+COUNTA($I275:$L275)-COUNT($I275:$L275))&gt;0,"Avance fuera de rango 0-100%"&amp;" · ","")&amp;IF(OR(AND($J275&lt;&gt;"",$J275&lt;$I275),AND($K275&lt;&gt;"",$K275&lt;MAX($I275:$J275)),AND($L275&lt;&gt;"",$L275&lt;MAX($I275:$K275))),"Avance semanal decreciente"&amp;" · ","")&amp;IF(AND(ISNUMBER($AN275),$AN275&lt;FechaRef,IF($V275="Sub",N($X275),N($M275))&lt;1),"Vencida"&amp;" · ","")&amp;IF(AND(ObsObligatoria="Sí",ISNUMBER($AN275),$AN275&lt;FechaRef,IF($V275="Sub",N($X275),N($M275))&lt;1,$Q275=""),"Vencida sin observación"&amp;" · ",""))="","✔ OK","⚠ "&amp;LEFT(IF($C275="","Falta el nombre de la actividad"&amp;" · ","")&amp;IF(AND($V275="Sub",N($U275)=0),"Subactividad sin macroactividad arriba"&amp;" · ","")&amp;IF($AM275="","Sin fecha de inicio"&amp;" · ","")&amp;IF($AN275="","Sin fecha límite"&amp;" · ","")&amp;IF(AND(LEFT($C275,11)="[Jefatura] ",N($AL275)=0),"No se encuentra en la hoja de la jefatura (elíjala de nuevo en la lista)"&amp;" · ","")&amp;IF(OR(AND($E275&lt;&gt;"",NOT(ISNUMBER($E275))),AND($F275&lt;&gt;"",NOT(ISNUMBER($F275))),AND($G275&lt;&gt;"",NOT(ISNUMBER($G275)))),"Fecha no válida"&amp;" · ","")&amp;IF(AND(ISNUMBER($AM275),ISNUMBER($AN275),$AM275&gt;$AN275),"Inicio posterior a fecha límite"&amp;" · ","")&amp;IF(AND($V275="Macro",$H275&lt;&gt;"",OR(NOT(ISNUMBER($H275)),$H275&lt;0,$H275&gt;1)),"Peso fuera de rango"&amp;" · ","")&amp;IF(AND($V275="Sub",$H275&lt;&gt;""),"Las subactividades no llevan peso (valen igual dentro de su macroactividad)"&amp;" · ","")&amp;IF(AND(N($W275)&gt;0,COUNT($I275:$L275)&gt;0),"Con subactividades: deje vacías las semanas (se calculan solas)"&amp;" · ","")&amp;IF((COUNTIF($I275:$L275,"&gt;1")+COUNTIF($I275:$L275,"&lt;0")+COUNTA($I275:$L275)-COUNT($I275:$L275))&gt;0,"Avance fuera de rango 0-100%"&amp;" · ","")&amp;IF(OR(AND($J275&lt;&gt;"",$J275&lt;$I275),AND($K275&lt;&gt;"",$K275&lt;MAX($I275:$J275)),AND($L275&lt;&gt;"",$L275&lt;MAX($I275:$K275))),"Avance semanal decreciente"&amp;" · ","")&amp;IF(AND(ISNUMBER($AN275),$AN275&lt;FechaRef,IF($V275="Sub",N($X275),N($M275))&lt;1),"Vencida"&amp;" · ","")&amp;IF(AND(ObsObligatoria="Sí",ISNUMBER($AN275),$AN275&lt;FechaRef,IF($V275="Sub",N($X275),N($M275))&lt;1,$Q275=""),"Vencida sin observación"&amp;" · ",""),LEN(IF($C275="","Falta el nombre de la actividad"&amp;" · ","")&amp;IF(AND($V275="Sub",N($U275)=0),"Subactividad sin macroactividad arriba"&amp;" · ","")&amp;IF($AM275="","Sin fecha de inicio"&amp;" · ","")&amp;IF($AN275="","Sin fecha límite"&amp;" · ","")&amp;IF(AND(LEFT($C275,11)="[Jefatura] ",N($AL275)=0),"No se encuentra en la hoja de la jefatura (elíjala de nuevo en la lista)"&amp;" · ","")&amp;IF(OR(AND($E275&lt;&gt;"",NOT(ISNUMBER($E275))),AND($F275&lt;&gt;"",NOT(ISNUMBER($F275))),AND($G275&lt;&gt;"",NOT(ISNUMBER($G275)))),"Fecha no válida"&amp;" · ","")&amp;IF(AND(ISNUMBER($AM275),ISNUMBER($AN275),$AM275&gt;$AN275),"Inicio posterior a fecha límite"&amp;" · ","")&amp;IF(AND($V275="Macro",$H275&lt;&gt;"",OR(NOT(ISNUMBER($H275)),$H275&lt;0,$H275&gt;1)),"Peso fuera de rango"&amp;" · ","")&amp;IF(AND($V275="Sub",$H275&lt;&gt;""),"Las subactividades no llevan peso (valen igual dentro de su macroactividad)"&amp;" · ","")&amp;IF(AND(N($W275)&gt;0,COUNT($I275:$L275)&gt;0),"Con subactividades: deje vacías las semanas (se calculan solas)"&amp;" · ","")&amp;IF((COUNTIF($I275:$L275,"&gt;1")+COUNTIF($I275:$L275,"&lt;0")+COUNTA($I275:$L275)-COUNT($I275:$L275))&gt;0,"Avance fuera de rango 0-100%"&amp;" · ","")&amp;IF(OR(AND($J275&lt;&gt;"",$J275&lt;$I275),AND($K275&lt;&gt;"",$K275&lt;MAX($I275:$J275)),AND($L275&lt;&gt;"",$L275&lt;MAX($I275:$K275))),"Avance semanal decreciente"&amp;" · ","")&amp;IF(AND(ISNUMBER($AN275),$AN275&lt;FechaRef,IF($V275="Sub",N($X275),N($M275))&lt;1),"Vencida"&amp;" · ","")&amp;IF(AND(ObsObligatoria="Sí",ISNUMBER($AN275),$AN275&lt;FechaRef,IF($V275="Sub",N($X275),N($M275))&lt;1,$Q275=""),"Vencida sin observación"&amp;" · ",""))-3)))</f>
        <v/>
      </c>
      <c r="S275" s="64">
        <f>IF(NOT((COUNTA($B275:$D275)+COUNTA($G275:$L275)+COUNTA($Q275))&gt;0),"",IF(AND($V275="Sub",N($U275)&gt;0),IF(ISNUMBER(INDEX($AM$5:$AM$1000,$U275-4)),DATE(YEAR(INDEX($AM$5:$AM$1000,$U275-4)),MONTH(INDEX($AM$5:$AM$1000,$U275-4)),1),IF(ISNUMBER(INDEX($AN$5:$AN$1000,$U275-4)),DATE(YEAR(INDEX($AN$5:$AN$1000,$U275-4)),MONTH(INDEX($AN$5:$AN$1000,$U275-4)),1),MesCiclo)),IF(ISNUMBER($AM275),DATE(YEAR($AM275),MONTH($AM275),1),IF(ISNUMBER($AN275),DATE(YEAR($AN275),MONTH($AN275),1),MesCiclo))))</f>
        <v/>
      </c>
      <c r="T275" s="62">
        <f>IF(OR($S275="",$S275&lt;&gt;MesCiclo,$V275&lt;&gt;"Macro"),"",COUNTIFS($S$5:$S275,MesCiclo,$V$5:$V275,"Macro"))</f>
        <v/>
      </c>
      <c r="U275" s="62">
        <f>IF($V275="","",IF($V275="Macro",ROW(),IFERROR(LOOKUP(2,1/($V$5:$V275="Macro"),ROW($V$5:$V275)),0)))</f>
        <v/>
      </c>
      <c r="V275" s="62">
        <f>IF(NOT((COUNTA($B275:$D275)+COUNTA($G275:$L275)+COUNTA($Q275))&gt;0),"",IF($B275="Subactividad","Sub","Macro"))</f>
        <v/>
      </c>
      <c r="W275" s="62">
        <f>IF($V275="Macro",COUNTIFS($U$5:$U$1000,ROW(),$V$5:$V$1000,"Sub"),"")</f>
        <v/>
      </c>
      <c r="X275" s="62">
        <f>IF($V275="","",IF(ISNUMBER($G275),1,IFERROR(LOOKUP(2,1/($I275:$L275&lt;&gt;""),$I275:$L275),0)))</f>
        <v/>
      </c>
      <c r="Y275" s="62">
        <f>IF($V275="","",IF(AND(ISNUMBER($G275),$G275&lt;=IF($S275=MesCiclo,InicioCiclo,$S275+MOD(2-WEEKDAY($S275),7))+6),1,IF(ISNUMBER($I275),$I275,0)))</f>
        <v/>
      </c>
      <c r="Z275" s="62">
        <f>IF($V275="","",IF(AND(ISNUMBER($G275),$G275&lt;=IF($S275=MesCiclo,InicioCiclo,$S275+MOD(2-WEEKDAY($S275),7))+13),1,IF(ISNUMBER($J275),$J275,$Y275)))</f>
        <v/>
      </c>
      <c r="AA275" s="62">
        <f>IF($V275="","",IF(AND(ISNUMBER($G275),$G275&lt;=IF($S275=MesCiclo,InicioCiclo,$S275+MOD(2-WEEKDAY($S275),7))+20),1,IF(ISNUMBER($K275),$K275,$Z275)))</f>
        <v/>
      </c>
      <c r="AB275" s="62">
        <f>IF($V275="","",IF(AND(ISNUMBER($G275),$G275&lt;=IF($S275=MesCiclo,InicioCiclo,$S275+MOD(2-WEEKDAY($S275),7))+27),1,IF(ISNUMBER($L275),$L275,$AA275)))</f>
        <v/>
      </c>
      <c r="AC275" s="62">
        <f>IF($V275="","",IF(AND(ISNUMBER($G275),$G275&lt;=IF($S275=MesCiclo,InicioCiclo,$S275+MOD(2-WEEKDAY($S275),7))+6),1,IF(N($W275)&gt;0,AVERAGEIFS($Y$5:$Y$1000,$U$5:$U$1000,ROW(),$V$5:$V$1000,"Sub"),$Y275)))</f>
        <v/>
      </c>
      <c r="AD275" s="62">
        <f>IF($V275="","",IF(AND(ISNUMBER($G275),$G275&lt;=IF($S275=MesCiclo,InicioCiclo,$S275+MOD(2-WEEKDAY($S275),7))+13),1,IF(N($W275)&gt;0,AVERAGEIFS($Z$5:$Z$1000,$U$5:$U$1000,ROW(),$V$5:$V$1000,"Sub"),$Z275)))</f>
        <v/>
      </c>
      <c r="AE275" s="62">
        <f>IF($V275="","",IF(AND(ISNUMBER($G275),$G275&lt;=IF($S275=MesCiclo,InicioCiclo,$S275+MOD(2-WEEKDAY($S275),7))+20),1,IF(N($W275)&gt;0,AVERAGEIFS($AA$5:$AA$1000,$U$5:$U$1000,ROW(),$V$5:$V$1000,"Sub"),$AA275)))</f>
        <v/>
      </c>
      <c r="AF275" s="62">
        <f>IF($V275="","",IF(AND(ISNUMBER($G275),$G275&lt;=IF($S275=MesCiclo,InicioCiclo,$S275+MOD(2-WEEKDAY($S275),7))+27),1,IF(N($W275)&gt;0,AVERAGEIFS($AB$5:$AB$1000,$U$5:$U$1000,ROW(),$V$5:$V$1000,"Sub"),$AB275)))</f>
        <v/>
      </c>
      <c r="AG275" s="62">
        <f>IF($V275&lt;&gt;"Macro","",IF(COUNTIFS($S$5:$S$1000,$S275,$V$5:$V$1000,"Macro",$H$5:$H$1000,"&gt;0")=0,1/COUNTIFS($S$5:$S$1000,$S275,$V$5:$V$1000,"Macro"),IF(AND(ISNUMBER($H275),N($H275)&gt;0),$H275,SUMIFS($H$5:$H$1000,$S$5:$S$1000,$S275,$V$5:$V$1000,"Macro")/COUNTIFS($S$5:$S$1000,$S275,$V$5:$V$1000,"Macro",$H$5:$H$1000,"&gt;0"))/(COUNTIFS($S$5:$S$1000,$S275,$V$5:$V$1000,"Macro")*SUMIFS($H$5:$H$1000,$S$5:$S$1000,$S275,$V$5:$V$1000,"Macro")/COUNTIFS($S$5:$S$1000,$S275,$V$5:$V$1000,"Macro",$H$5:$H$1000,"&gt;0"))))</f>
        <v/>
      </c>
      <c r="AH275" s="62" t="n"/>
      <c r="AI275" s="62" t="n"/>
      <c r="AJ275" s="62" t="n"/>
      <c r="AK275" s="62" t="n"/>
      <c r="AL275" s="62">
        <f>IF(LEFT($C275,11)="[Jefatura] ",IFERROR(MATCH("Asistente Técnico de Riesgo|"&amp;MID($C275,12,500),rDname_ADM,0),0),"")</f>
        <v/>
      </c>
      <c r="AM275" s="62">
        <f>IF(N($AL275)&gt;0,INDEX(rIni_ADM,$AL275),IF(ISNUMBER($E275),$E275,""))</f>
        <v/>
      </c>
      <c r="AN275" s="62">
        <f>IF(N($AL275)&gt;0,INDEX(rLim_ADM,$AL275),IF(ISNUMBER($F275),$F275,""))</f>
        <v/>
      </c>
    </row>
    <row r="276">
      <c r="A276" s="56">
        <f>IF(NOT((COUNTA($B276:$D276)+COUNTA($G276:$L276)+COUNTA($Q276))&gt;0),"",IF($V276="Macro",COUNTIFS($V$5:$V276,"Macro",$S$5:$S276,$S276),IF(N($U276)=0,"?",COUNTIFS(INDEX($V$5:$V$1000,1):INDEX($V$5:$V$1000,$U276-4),"Macro",INDEX($S$5:$S$1000,1):INDEX($S$5:$S$1000,$U276-4),INDEX($S$5:$S$1000,$U276-4))&amp;"."&amp;COUNTIFS($U$5:$U276,$U276,$V$5:$V276,"Sub"))))</f>
        <v/>
      </c>
      <c r="B276" s="57" t="n"/>
      <c r="C276" s="58" t="n"/>
      <c r="D276" s="58" t="n"/>
      <c r="E276" s="59">
        <f>IF(N($AL276)&gt;0,INDEX(rIni_ADM,$AL276),"")</f>
        <v/>
      </c>
      <c r="F276" s="59">
        <f>IF(N($AL276)&gt;0,INDEX(rLim_ADM,$AL276),"")</f>
        <v/>
      </c>
      <c r="G276" s="59" t="n"/>
      <c r="H276" s="60" t="n"/>
      <c r="I276" s="60" t="n"/>
      <c r="J276" s="60" t="n"/>
      <c r="K276" s="60" t="n"/>
      <c r="L276" s="60" t="n"/>
      <c r="M276" s="61">
        <f>IF(NOT((COUNTA($B276:$D276)+COUNTA($G276:$L276)+COUNTA($Q276))&gt;0),"",IF($V276="Sub",IFERROR($X276/INDEX($W$5:$W$1000,$U276-4),""),IF(ISNUMBER($G276),1,IF(N($W276)&gt;0,AVERAGEIFS($X$5:$X$1000,$U$5:$U$1000,ROW(),$V$5:$V$1000,"Sub"),$X276))))</f>
        <v/>
      </c>
      <c r="N276" s="56">
        <f>IF(OR($M276="",$V276="Sub"),"",IF($M276&gt;=1,"Completado",IF($M276&gt;0,"En curso","Pendiente")))</f>
        <v/>
      </c>
      <c r="O276" s="56">
        <f>IF(OR(NOT((COUNTA($B276:$D276)+COUNTA($G276:$L276)+COUNTA($Q276))&gt;0),$V276="Sub"),"",IF(ISNUMBER($G276),IF(AND(ISNUMBER($AN276),$G276&gt;$AN276),"Cumplida con "&amp;($G276-$AN276)&amp;IF($G276-$AN276=1," día"," días")&amp;" de retraso","Cumplida"),IF(N($M276)&gt;=1,"Cumplida",IF(NOT(ISNUMBER($AN276)),"Sin fecha límite",IF($AN276&lt;FechaRef,"Vencida hace "&amp;(FechaRef-$AN276)&amp;IF(FechaRef-$AN276=1," día"," días"),IF($AN276=FechaRef,"Vence hoy",IF($AN276-FechaRef&lt;=DiasAlerta,"Vence en "&amp;($AN276-FechaRef)&amp;IF($AN276-FechaRef=1," día"," días"),"En plazo")))))))</f>
        <v/>
      </c>
      <c r="P276" s="62" t="n"/>
      <c r="Q276" s="58" t="n"/>
      <c r="R276" s="63">
        <f>IF(NOT((COUNTA($B276:$D276)+COUNTA($G276:$L276)+COUNTA($Q276))&gt;0),"",IF((IF($C276="","Falta el nombre de la actividad"&amp;" · ","")&amp;IF(AND($V276="Sub",N($U276)=0),"Subactividad sin macroactividad arriba"&amp;" · ","")&amp;IF($AM276="","Sin fecha de inicio"&amp;" · ","")&amp;IF($AN276="","Sin fecha límite"&amp;" · ","")&amp;IF(AND(LEFT($C276,11)="[Jefatura] ",N($AL276)=0),"No se encuentra en la hoja de la jefatura (elíjala de nuevo en la lista)"&amp;" · ","")&amp;IF(OR(AND($E276&lt;&gt;"",NOT(ISNUMBER($E276))),AND($F276&lt;&gt;"",NOT(ISNUMBER($F276))),AND($G276&lt;&gt;"",NOT(ISNUMBER($G276)))),"Fecha no válida"&amp;" · ","")&amp;IF(AND(ISNUMBER($AM276),ISNUMBER($AN276),$AM276&gt;$AN276),"Inicio posterior a fecha límite"&amp;" · ","")&amp;IF(AND($V276="Macro",$H276&lt;&gt;"",OR(NOT(ISNUMBER($H276)),$H276&lt;0,$H276&gt;1)),"Peso fuera de rango"&amp;" · ","")&amp;IF(AND($V276="Sub",$H276&lt;&gt;""),"Las subactividades no llevan peso (valen igual dentro de su macroactividad)"&amp;" · ","")&amp;IF(AND(N($W276)&gt;0,COUNT($I276:$L276)&gt;0),"Con subactividades: deje vacías las semanas (se calculan solas)"&amp;" · ","")&amp;IF((COUNTIF($I276:$L276,"&gt;1")+COUNTIF($I276:$L276,"&lt;0")+COUNTA($I276:$L276)-COUNT($I276:$L276))&gt;0,"Avance fuera de rango 0-100%"&amp;" · ","")&amp;IF(OR(AND($J276&lt;&gt;"",$J276&lt;$I276),AND($K276&lt;&gt;"",$K276&lt;MAX($I276:$J276)),AND($L276&lt;&gt;"",$L276&lt;MAX($I276:$K276))),"Avance semanal decreciente"&amp;" · ","")&amp;IF(AND(ISNUMBER($AN276),$AN276&lt;FechaRef,IF($V276="Sub",N($X276),N($M276))&lt;1),"Vencida"&amp;" · ","")&amp;IF(AND(ObsObligatoria="Sí",ISNUMBER($AN276),$AN276&lt;FechaRef,IF($V276="Sub",N($X276),N($M276))&lt;1,$Q276=""),"Vencida sin observación"&amp;" · ",""))="","✔ OK","⚠ "&amp;LEFT(IF($C276="","Falta el nombre de la actividad"&amp;" · ","")&amp;IF(AND($V276="Sub",N($U276)=0),"Subactividad sin macroactividad arriba"&amp;" · ","")&amp;IF($AM276="","Sin fecha de inicio"&amp;" · ","")&amp;IF($AN276="","Sin fecha límite"&amp;" · ","")&amp;IF(AND(LEFT($C276,11)="[Jefatura] ",N($AL276)=0),"No se encuentra en la hoja de la jefatura (elíjala de nuevo en la lista)"&amp;" · ","")&amp;IF(OR(AND($E276&lt;&gt;"",NOT(ISNUMBER($E276))),AND($F276&lt;&gt;"",NOT(ISNUMBER($F276))),AND($G276&lt;&gt;"",NOT(ISNUMBER($G276)))),"Fecha no válida"&amp;" · ","")&amp;IF(AND(ISNUMBER($AM276),ISNUMBER($AN276),$AM276&gt;$AN276),"Inicio posterior a fecha límite"&amp;" · ","")&amp;IF(AND($V276="Macro",$H276&lt;&gt;"",OR(NOT(ISNUMBER($H276)),$H276&lt;0,$H276&gt;1)),"Peso fuera de rango"&amp;" · ","")&amp;IF(AND($V276="Sub",$H276&lt;&gt;""),"Las subactividades no llevan peso (valen igual dentro de su macroactividad)"&amp;" · ","")&amp;IF(AND(N($W276)&gt;0,COUNT($I276:$L276)&gt;0),"Con subactividades: deje vacías las semanas (se calculan solas)"&amp;" · ","")&amp;IF((COUNTIF($I276:$L276,"&gt;1")+COUNTIF($I276:$L276,"&lt;0")+COUNTA($I276:$L276)-COUNT($I276:$L276))&gt;0,"Avance fuera de rango 0-100%"&amp;" · ","")&amp;IF(OR(AND($J276&lt;&gt;"",$J276&lt;$I276),AND($K276&lt;&gt;"",$K276&lt;MAX($I276:$J276)),AND($L276&lt;&gt;"",$L276&lt;MAX($I276:$K276))),"Avance semanal decreciente"&amp;" · ","")&amp;IF(AND(ISNUMBER($AN276),$AN276&lt;FechaRef,IF($V276="Sub",N($X276),N($M276))&lt;1),"Vencida"&amp;" · ","")&amp;IF(AND(ObsObligatoria="Sí",ISNUMBER($AN276),$AN276&lt;FechaRef,IF($V276="Sub",N($X276),N($M276))&lt;1,$Q276=""),"Vencida sin observación"&amp;" · ",""),LEN(IF($C276="","Falta el nombre de la actividad"&amp;" · ","")&amp;IF(AND($V276="Sub",N($U276)=0),"Subactividad sin macroactividad arriba"&amp;" · ","")&amp;IF($AM276="","Sin fecha de inicio"&amp;" · ","")&amp;IF($AN276="","Sin fecha límite"&amp;" · ","")&amp;IF(AND(LEFT($C276,11)="[Jefatura] ",N($AL276)=0),"No se encuentra en la hoja de la jefatura (elíjala de nuevo en la lista)"&amp;" · ","")&amp;IF(OR(AND($E276&lt;&gt;"",NOT(ISNUMBER($E276))),AND($F276&lt;&gt;"",NOT(ISNUMBER($F276))),AND($G276&lt;&gt;"",NOT(ISNUMBER($G276)))),"Fecha no válida"&amp;" · ","")&amp;IF(AND(ISNUMBER($AM276),ISNUMBER($AN276),$AM276&gt;$AN276),"Inicio posterior a fecha límite"&amp;" · ","")&amp;IF(AND($V276="Macro",$H276&lt;&gt;"",OR(NOT(ISNUMBER($H276)),$H276&lt;0,$H276&gt;1)),"Peso fuera de rango"&amp;" · ","")&amp;IF(AND($V276="Sub",$H276&lt;&gt;""),"Las subactividades no llevan peso (valen igual dentro de su macroactividad)"&amp;" · ","")&amp;IF(AND(N($W276)&gt;0,COUNT($I276:$L276)&gt;0),"Con subactividades: deje vacías las semanas (se calculan solas)"&amp;" · ","")&amp;IF((COUNTIF($I276:$L276,"&gt;1")+COUNTIF($I276:$L276,"&lt;0")+COUNTA($I276:$L276)-COUNT($I276:$L276))&gt;0,"Avance fuera de rango 0-100%"&amp;" · ","")&amp;IF(OR(AND($J276&lt;&gt;"",$J276&lt;$I276),AND($K276&lt;&gt;"",$K276&lt;MAX($I276:$J276)),AND($L276&lt;&gt;"",$L276&lt;MAX($I276:$K276))),"Avance semanal decreciente"&amp;" · ","")&amp;IF(AND(ISNUMBER($AN276),$AN276&lt;FechaRef,IF($V276="Sub",N($X276),N($M276))&lt;1),"Vencida"&amp;" · ","")&amp;IF(AND(ObsObligatoria="Sí",ISNUMBER($AN276),$AN276&lt;FechaRef,IF($V276="Sub",N($X276),N($M276))&lt;1,$Q276=""),"Vencida sin observación"&amp;" · ",""))-3)))</f>
        <v/>
      </c>
      <c r="S276" s="64">
        <f>IF(NOT((COUNTA($B276:$D276)+COUNTA($G276:$L276)+COUNTA($Q276))&gt;0),"",IF(AND($V276="Sub",N($U276)&gt;0),IF(ISNUMBER(INDEX($AM$5:$AM$1000,$U276-4)),DATE(YEAR(INDEX($AM$5:$AM$1000,$U276-4)),MONTH(INDEX($AM$5:$AM$1000,$U276-4)),1),IF(ISNUMBER(INDEX($AN$5:$AN$1000,$U276-4)),DATE(YEAR(INDEX($AN$5:$AN$1000,$U276-4)),MONTH(INDEX($AN$5:$AN$1000,$U276-4)),1),MesCiclo)),IF(ISNUMBER($AM276),DATE(YEAR($AM276),MONTH($AM276),1),IF(ISNUMBER($AN276),DATE(YEAR($AN276),MONTH($AN276),1),MesCiclo))))</f>
        <v/>
      </c>
      <c r="T276" s="62">
        <f>IF(OR($S276="",$S276&lt;&gt;MesCiclo,$V276&lt;&gt;"Macro"),"",COUNTIFS($S$5:$S276,MesCiclo,$V$5:$V276,"Macro"))</f>
        <v/>
      </c>
      <c r="U276" s="62">
        <f>IF($V276="","",IF($V276="Macro",ROW(),IFERROR(LOOKUP(2,1/($V$5:$V276="Macro"),ROW($V$5:$V276)),0)))</f>
        <v/>
      </c>
      <c r="V276" s="62">
        <f>IF(NOT((COUNTA($B276:$D276)+COUNTA($G276:$L276)+COUNTA($Q276))&gt;0),"",IF($B276="Subactividad","Sub","Macro"))</f>
        <v/>
      </c>
      <c r="W276" s="62">
        <f>IF($V276="Macro",COUNTIFS($U$5:$U$1000,ROW(),$V$5:$V$1000,"Sub"),"")</f>
        <v/>
      </c>
      <c r="X276" s="62">
        <f>IF($V276="","",IF(ISNUMBER($G276),1,IFERROR(LOOKUP(2,1/($I276:$L276&lt;&gt;""),$I276:$L276),0)))</f>
        <v/>
      </c>
      <c r="Y276" s="62">
        <f>IF($V276="","",IF(AND(ISNUMBER($G276),$G276&lt;=IF($S276=MesCiclo,InicioCiclo,$S276+MOD(2-WEEKDAY($S276),7))+6),1,IF(ISNUMBER($I276),$I276,0)))</f>
        <v/>
      </c>
      <c r="Z276" s="62">
        <f>IF($V276="","",IF(AND(ISNUMBER($G276),$G276&lt;=IF($S276=MesCiclo,InicioCiclo,$S276+MOD(2-WEEKDAY($S276),7))+13),1,IF(ISNUMBER($J276),$J276,$Y276)))</f>
        <v/>
      </c>
      <c r="AA276" s="62">
        <f>IF($V276="","",IF(AND(ISNUMBER($G276),$G276&lt;=IF($S276=MesCiclo,InicioCiclo,$S276+MOD(2-WEEKDAY($S276),7))+20),1,IF(ISNUMBER($K276),$K276,$Z276)))</f>
        <v/>
      </c>
      <c r="AB276" s="62">
        <f>IF($V276="","",IF(AND(ISNUMBER($G276),$G276&lt;=IF($S276=MesCiclo,InicioCiclo,$S276+MOD(2-WEEKDAY($S276),7))+27),1,IF(ISNUMBER($L276),$L276,$AA276)))</f>
        <v/>
      </c>
      <c r="AC276" s="62">
        <f>IF($V276="","",IF(AND(ISNUMBER($G276),$G276&lt;=IF($S276=MesCiclo,InicioCiclo,$S276+MOD(2-WEEKDAY($S276),7))+6),1,IF(N($W276)&gt;0,AVERAGEIFS($Y$5:$Y$1000,$U$5:$U$1000,ROW(),$V$5:$V$1000,"Sub"),$Y276)))</f>
        <v/>
      </c>
      <c r="AD276" s="62">
        <f>IF($V276="","",IF(AND(ISNUMBER($G276),$G276&lt;=IF($S276=MesCiclo,InicioCiclo,$S276+MOD(2-WEEKDAY($S276),7))+13),1,IF(N($W276)&gt;0,AVERAGEIFS($Z$5:$Z$1000,$U$5:$U$1000,ROW(),$V$5:$V$1000,"Sub"),$Z276)))</f>
        <v/>
      </c>
      <c r="AE276" s="62">
        <f>IF($V276="","",IF(AND(ISNUMBER($G276),$G276&lt;=IF($S276=MesCiclo,InicioCiclo,$S276+MOD(2-WEEKDAY($S276),7))+20),1,IF(N($W276)&gt;0,AVERAGEIFS($AA$5:$AA$1000,$U$5:$U$1000,ROW(),$V$5:$V$1000,"Sub"),$AA276)))</f>
        <v/>
      </c>
      <c r="AF276" s="62">
        <f>IF($V276="","",IF(AND(ISNUMBER($G276),$G276&lt;=IF($S276=MesCiclo,InicioCiclo,$S276+MOD(2-WEEKDAY($S276),7))+27),1,IF(N($W276)&gt;0,AVERAGEIFS($AB$5:$AB$1000,$U$5:$U$1000,ROW(),$V$5:$V$1000,"Sub"),$AB276)))</f>
        <v/>
      </c>
      <c r="AG276" s="62">
        <f>IF($V276&lt;&gt;"Macro","",IF(COUNTIFS($S$5:$S$1000,$S276,$V$5:$V$1000,"Macro",$H$5:$H$1000,"&gt;0")=0,1/COUNTIFS($S$5:$S$1000,$S276,$V$5:$V$1000,"Macro"),IF(AND(ISNUMBER($H276),N($H276)&gt;0),$H276,SUMIFS($H$5:$H$1000,$S$5:$S$1000,$S276,$V$5:$V$1000,"Macro")/COUNTIFS($S$5:$S$1000,$S276,$V$5:$V$1000,"Macro",$H$5:$H$1000,"&gt;0"))/(COUNTIFS($S$5:$S$1000,$S276,$V$5:$V$1000,"Macro")*SUMIFS($H$5:$H$1000,$S$5:$S$1000,$S276,$V$5:$V$1000,"Macro")/COUNTIFS($S$5:$S$1000,$S276,$V$5:$V$1000,"Macro",$H$5:$H$1000,"&gt;0"))))</f>
        <v/>
      </c>
      <c r="AH276" s="62" t="n"/>
      <c r="AI276" s="62" t="n"/>
      <c r="AJ276" s="62" t="n"/>
      <c r="AK276" s="62" t="n"/>
      <c r="AL276" s="62">
        <f>IF(LEFT($C276,11)="[Jefatura] ",IFERROR(MATCH("Asistente Técnico de Riesgo|"&amp;MID($C276,12,500),rDname_ADM,0),0),"")</f>
        <v/>
      </c>
      <c r="AM276" s="62">
        <f>IF(N($AL276)&gt;0,INDEX(rIni_ADM,$AL276),IF(ISNUMBER($E276),$E276,""))</f>
        <v/>
      </c>
      <c r="AN276" s="62">
        <f>IF(N($AL276)&gt;0,INDEX(rLim_ADM,$AL276),IF(ISNUMBER($F276),$F276,""))</f>
        <v/>
      </c>
    </row>
    <row r="277">
      <c r="A277" s="56">
        <f>IF(NOT((COUNTA($B277:$D277)+COUNTA($G277:$L277)+COUNTA($Q277))&gt;0),"",IF($V277="Macro",COUNTIFS($V$5:$V277,"Macro",$S$5:$S277,$S277),IF(N($U277)=0,"?",COUNTIFS(INDEX($V$5:$V$1000,1):INDEX($V$5:$V$1000,$U277-4),"Macro",INDEX($S$5:$S$1000,1):INDEX($S$5:$S$1000,$U277-4),INDEX($S$5:$S$1000,$U277-4))&amp;"."&amp;COUNTIFS($U$5:$U277,$U277,$V$5:$V277,"Sub"))))</f>
        <v/>
      </c>
      <c r="B277" s="57" t="n"/>
      <c r="C277" s="58" t="n"/>
      <c r="D277" s="58" t="n"/>
      <c r="E277" s="59">
        <f>IF(N($AL277)&gt;0,INDEX(rIni_ADM,$AL277),"")</f>
        <v/>
      </c>
      <c r="F277" s="59">
        <f>IF(N($AL277)&gt;0,INDEX(rLim_ADM,$AL277),"")</f>
        <v/>
      </c>
      <c r="G277" s="59" t="n"/>
      <c r="H277" s="60" t="n"/>
      <c r="I277" s="60" t="n"/>
      <c r="J277" s="60" t="n"/>
      <c r="K277" s="60" t="n"/>
      <c r="L277" s="60" t="n"/>
      <c r="M277" s="61">
        <f>IF(NOT((COUNTA($B277:$D277)+COUNTA($G277:$L277)+COUNTA($Q277))&gt;0),"",IF($V277="Sub",IFERROR($X277/INDEX($W$5:$W$1000,$U277-4),""),IF(ISNUMBER($G277),1,IF(N($W277)&gt;0,AVERAGEIFS($X$5:$X$1000,$U$5:$U$1000,ROW(),$V$5:$V$1000,"Sub"),$X277))))</f>
        <v/>
      </c>
      <c r="N277" s="56">
        <f>IF(OR($M277="",$V277="Sub"),"",IF($M277&gt;=1,"Completado",IF($M277&gt;0,"En curso","Pendiente")))</f>
        <v/>
      </c>
      <c r="O277" s="56">
        <f>IF(OR(NOT((COUNTA($B277:$D277)+COUNTA($G277:$L277)+COUNTA($Q277))&gt;0),$V277="Sub"),"",IF(ISNUMBER($G277),IF(AND(ISNUMBER($AN277),$G277&gt;$AN277),"Cumplida con "&amp;($G277-$AN277)&amp;IF($G277-$AN277=1," día"," días")&amp;" de retraso","Cumplida"),IF(N($M277)&gt;=1,"Cumplida",IF(NOT(ISNUMBER($AN277)),"Sin fecha límite",IF($AN277&lt;FechaRef,"Vencida hace "&amp;(FechaRef-$AN277)&amp;IF(FechaRef-$AN277=1," día"," días"),IF($AN277=FechaRef,"Vence hoy",IF($AN277-FechaRef&lt;=DiasAlerta,"Vence en "&amp;($AN277-FechaRef)&amp;IF($AN277-FechaRef=1," día"," días"),"En plazo")))))))</f>
        <v/>
      </c>
      <c r="P277" s="62" t="n"/>
      <c r="Q277" s="58" t="n"/>
      <c r="R277" s="63">
        <f>IF(NOT((COUNTA($B277:$D277)+COUNTA($G277:$L277)+COUNTA($Q277))&gt;0),"",IF((IF($C277="","Falta el nombre de la actividad"&amp;" · ","")&amp;IF(AND($V277="Sub",N($U277)=0),"Subactividad sin macroactividad arriba"&amp;" · ","")&amp;IF($AM277="","Sin fecha de inicio"&amp;" · ","")&amp;IF($AN277="","Sin fecha límite"&amp;" · ","")&amp;IF(AND(LEFT($C277,11)="[Jefatura] ",N($AL277)=0),"No se encuentra en la hoja de la jefatura (elíjala de nuevo en la lista)"&amp;" · ","")&amp;IF(OR(AND($E277&lt;&gt;"",NOT(ISNUMBER($E277))),AND($F277&lt;&gt;"",NOT(ISNUMBER($F277))),AND($G277&lt;&gt;"",NOT(ISNUMBER($G277)))),"Fecha no válida"&amp;" · ","")&amp;IF(AND(ISNUMBER($AM277),ISNUMBER($AN277),$AM277&gt;$AN277),"Inicio posterior a fecha límite"&amp;" · ","")&amp;IF(AND($V277="Macro",$H277&lt;&gt;"",OR(NOT(ISNUMBER($H277)),$H277&lt;0,$H277&gt;1)),"Peso fuera de rango"&amp;" · ","")&amp;IF(AND($V277="Sub",$H277&lt;&gt;""),"Las subactividades no llevan peso (valen igual dentro de su macroactividad)"&amp;" · ","")&amp;IF(AND(N($W277)&gt;0,COUNT($I277:$L277)&gt;0),"Con subactividades: deje vacías las semanas (se calculan solas)"&amp;" · ","")&amp;IF((COUNTIF($I277:$L277,"&gt;1")+COUNTIF($I277:$L277,"&lt;0")+COUNTA($I277:$L277)-COUNT($I277:$L277))&gt;0,"Avance fuera de rango 0-100%"&amp;" · ","")&amp;IF(OR(AND($J277&lt;&gt;"",$J277&lt;$I277),AND($K277&lt;&gt;"",$K277&lt;MAX($I277:$J277)),AND($L277&lt;&gt;"",$L277&lt;MAX($I277:$K277))),"Avance semanal decreciente"&amp;" · ","")&amp;IF(AND(ISNUMBER($AN277),$AN277&lt;FechaRef,IF($V277="Sub",N($X277),N($M277))&lt;1),"Vencida"&amp;" · ","")&amp;IF(AND(ObsObligatoria="Sí",ISNUMBER($AN277),$AN277&lt;FechaRef,IF($V277="Sub",N($X277),N($M277))&lt;1,$Q277=""),"Vencida sin observación"&amp;" · ",""))="","✔ OK","⚠ "&amp;LEFT(IF($C277="","Falta el nombre de la actividad"&amp;" · ","")&amp;IF(AND($V277="Sub",N($U277)=0),"Subactividad sin macroactividad arriba"&amp;" · ","")&amp;IF($AM277="","Sin fecha de inicio"&amp;" · ","")&amp;IF($AN277="","Sin fecha límite"&amp;" · ","")&amp;IF(AND(LEFT($C277,11)="[Jefatura] ",N($AL277)=0),"No se encuentra en la hoja de la jefatura (elíjala de nuevo en la lista)"&amp;" · ","")&amp;IF(OR(AND($E277&lt;&gt;"",NOT(ISNUMBER($E277))),AND($F277&lt;&gt;"",NOT(ISNUMBER($F277))),AND($G277&lt;&gt;"",NOT(ISNUMBER($G277)))),"Fecha no válida"&amp;" · ","")&amp;IF(AND(ISNUMBER($AM277),ISNUMBER($AN277),$AM277&gt;$AN277),"Inicio posterior a fecha límite"&amp;" · ","")&amp;IF(AND($V277="Macro",$H277&lt;&gt;"",OR(NOT(ISNUMBER($H277)),$H277&lt;0,$H277&gt;1)),"Peso fuera de rango"&amp;" · ","")&amp;IF(AND($V277="Sub",$H277&lt;&gt;""),"Las subactividades no llevan peso (valen igual dentro de su macroactividad)"&amp;" · ","")&amp;IF(AND(N($W277)&gt;0,COUNT($I277:$L277)&gt;0),"Con subactividades: deje vacías las semanas (se calculan solas)"&amp;" · ","")&amp;IF((COUNTIF($I277:$L277,"&gt;1")+COUNTIF($I277:$L277,"&lt;0")+COUNTA($I277:$L277)-COUNT($I277:$L277))&gt;0,"Avance fuera de rango 0-100%"&amp;" · ","")&amp;IF(OR(AND($J277&lt;&gt;"",$J277&lt;$I277),AND($K277&lt;&gt;"",$K277&lt;MAX($I277:$J277)),AND($L277&lt;&gt;"",$L277&lt;MAX($I277:$K277))),"Avance semanal decreciente"&amp;" · ","")&amp;IF(AND(ISNUMBER($AN277),$AN277&lt;FechaRef,IF($V277="Sub",N($X277),N($M277))&lt;1),"Vencida"&amp;" · ","")&amp;IF(AND(ObsObligatoria="Sí",ISNUMBER($AN277),$AN277&lt;FechaRef,IF($V277="Sub",N($X277),N($M277))&lt;1,$Q277=""),"Vencida sin observación"&amp;" · ",""),LEN(IF($C277="","Falta el nombre de la actividad"&amp;" · ","")&amp;IF(AND($V277="Sub",N($U277)=0),"Subactividad sin macroactividad arriba"&amp;" · ","")&amp;IF($AM277="","Sin fecha de inicio"&amp;" · ","")&amp;IF($AN277="","Sin fecha límite"&amp;" · ","")&amp;IF(AND(LEFT($C277,11)="[Jefatura] ",N($AL277)=0),"No se encuentra en la hoja de la jefatura (elíjala de nuevo en la lista)"&amp;" · ","")&amp;IF(OR(AND($E277&lt;&gt;"",NOT(ISNUMBER($E277))),AND($F277&lt;&gt;"",NOT(ISNUMBER($F277))),AND($G277&lt;&gt;"",NOT(ISNUMBER($G277)))),"Fecha no válida"&amp;" · ","")&amp;IF(AND(ISNUMBER($AM277),ISNUMBER($AN277),$AM277&gt;$AN277),"Inicio posterior a fecha límite"&amp;" · ","")&amp;IF(AND($V277="Macro",$H277&lt;&gt;"",OR(NOT(ISNUMBER($H277)),$H277&lt;0,$H277&gt;1)),"Peso fuera de rango"&amp;" · ","")&amp;IF(AND($V277="Sub",$H277&lt;&gt;""),"Las subactividades no llevan peso (valen igual dentro de su macroactividad)"&amp;" · ","")&amp;IF(AND(N($W277)&gt;0,COUNT($I277:$L277)&gt;0),"Con subactividades: deje vacías las semanas (se calculan solas)"&amp;" · ","")&amp;IF((COUNTIF($I277:$L277,"&gt;1")+COUNTIF($I277:$L277,"&lt;0")+COUNTA($I277:$L277)-COUNT($I277:$L277))&gt;0,"Avance fuera de rango 0-100%"&amp;" · ","")&amp;IF(OR(AND($J277&lt;&gt;"",$J277&lt;$I277),AND($K277&lt;&gt;"",$K277&lt;MAX($I277:$J277)),AND($L277&lt;&gt;"",$L277&lt;MAX($I277:$K277))),"Avance semanal decreciente"&amp;" · ","")&amp;IF(AND(ISNUMBER($AN277),$AN277&lt;FechaRef,IF($V277="Sub",N($X277),N($M277))&lt;1),"Vencida"&amp;" · ","")&amp;IF(AND(ObsObligatoria="Sí",ISNUMBER($AN277),$AN277&lt;FechaRef,IF($V277="Sub",N($X277),N($M277))&lt;1,$Q277=""),"Vencida sin observación"&amp;" · ",""))-3)))</f>
        <v/>
      </c>
      <c r="S277" s="64">
        <f>IF(NOT((COUNTA($B277:$D277)+COUNTA($G277:$L277)+COUNTA($Q277))&gt;0),"",IF(AND($V277="Sub",N($U277)&gt;0),IF(ISNUMBER(INDEX($AM$5:$AM$1000,$U277-4)),DATE(YEAR(INDEX($AM$5:$AM$1000,$U277-4)),MONTH(INDEX($AM$5:$AM$1000,$U277-4)),1),IF(ISNUMBER(INDEX($AN$5:$AN$1000,$U277-4)),DATE(YEAR(INDEX($AN$5:$AN$1000,$U277-4)),MONTH(INDEX($AN$5:$AN$1000,$U277-4)),1),MesCiclo)),IF(ISNUMBER($AM277),DATE(YEAR($AM277),MONTH($AM277),1),IF(ISNUMBER($AN277),DATE(YEAR($AN277),MONTH($AN277),1),MesCiclo))))</f>
        <v/>
      </c>
      <c r="T277" s="62">
        <f>IF(OR($S277="",$S277&lt;&gt;MesCiclo,$V277&lt;&gt;"Macro"),"",COUNTIFS($S$5:$S277,MesCiclo,$V$5:$V277,"Macro"))</f>
        <v/>
      </c>
      <c r="U277" s="62">
        <f>IF($V277="","",IF($V277="Macro",ROW(),IFERROR(LOOKUP(2,1/($V$5:$V277="Macro"),ROW($V$5:$V277)),0)))</f>
        <v/>
      </c>
      <c r="V277" s="62">
        <f>IF(NOT((COUNTA($B277:$D277)+COUNTA($G277:$L277)+COUNTA($Q277))&gt;0),"",IF($B277="Subactividad","Sub","Macro"))</f>
        <v/>
      </c>
      <c r="W277" s="62">
        <f>IF($V277="Macro",COUNTIFS($U$5:$U$1000,ROW(),$V$5:$V$1000,"Sub"),"")</f>
        <v/>
      </c>
      <c r="X277" s="62">
        <f>IF($V277="","",IF(ISNUMBER($G277),1,IFERROR(LOOKUP(2,1/($I277:$L277&lt;&gt;""),$I277:$L277),0)))</f>
        <v/>
      </c>
      <c r="Y277" s="62">
        <f>IF($V277="","",IF(AND(ISNUMBER($G277),$G277&lt;=IF($S277=MesCiclo,InicioCiclo,$S277+MOD(2-WEEKDAY($S277),7))+6),1,IF(ISNUMBER($I277),$I277,0)))</f>
        <v/>
      </c>
      <c r="Z277" s="62">
        <f>IF($V277="","",IF(AND(ISNUMBER($G277),$G277&lt;=IF($S277=MesCiclo,InicioCiclo,$S277+MOD(2-WEEKDAY($S277),7))+13),1,IF(ISNUMBER($J277),$J277,$Y277)))</f>
        <v/>
      </c>
      <c r="AA277" s="62">
        <f>IF($V277="","",IF(AND(ISNUMBER($G277),$G277&lt;=IF($S277=MesCiclo,InicioCiclo,$S277+MOD(2-WEEKDAY($S277),7))+20),1,IF(ISNUMBER($K277),$K277,$Z277)))</f>
        <v/>
      </c>
      <c r="AB277" s="62">
        <f>IF($V277="","",IF(AND(ISNUMBER($G277),$G277&lt;=IF($S277=MesCiclo,InicioCiclo,$S277+MOD(2-WEEKDAY($S277),7))+27),1,IF(ISNUMBER($L277),$L277,$AA277)))</f>
        <v/>
      </c>
      <c r="AC277" s="62">
        <f>IF($V277="","",IF(AND(ISNUMBER($G277),$G277&lt;=IF($S277=MesCiclo,InicioCiclo,$S277+MOD(2-WEEKDAY($S277),7))+6),1,IF(N($W277)&gt;0,AVERAGEIFS($Y$5:$Y$1000,$U$5:$U$1000,ROW(),$V$5:$V$1000,"Sub"),$Y277)))</f>
        <v/>
      </c>
      <c r="AD277" s="62">
        <f>IF($V277="","",IF(AND(ISNUMBER($G277),$G277&lt;=IF($S277=MesCiclo,InicioCiclo,$S277+MOD(2-WEEKDAY($S277),7))+13),1,IF(N($W277)&gt;0,AVERAGEIFS($Z$5:$Z$1000,$U$5:$U$1000,ROW(),$V$5:$V$1000,"Sub"),$Z277)))</f>
        <v/>
      </c>
      <c r="AE277" s="62">
        <f>IF($V277="","",IF(AND(ISNUMBER($G277),$G277&lt;=IF($S277=MesCiclo,InicioCiclo,$S277+MOD(2-WEEKDAY($S277),7))+20),1,IF(N($W277)&gt;0,AVERAGEIFS($AA$5:$AA$1000,$U$5:$U$1000,ROW(),$V$5:$V$1000,"Sub"),$AA277)))</f>
        <v/>
      </c>
      <c r="AF277" s="62">
        <f>IF($V277="","",IF(AND(ISNUMBER($G277),$G277&lt;=IF($S277=MesCiclo,InicioCiclo,$S277+MOD(2-WEEKDAY($S277),7))+27),1,IF(N($W277)&gt;0,AVERAGEIFS($AB$5:$AB$1000,$U$5:$U$1000,ROW(),$V$5:$V$1000,"Sub"),$AB277)))</f>
        <v/>
      </c>
      <c r="AG277" s="62">
        <f>IF($V277&lt;&gt;"Macro","",IF(COUNTIFS($S$5:$S$1000,$S277,$V$5:$V$1000,"Macro",$H$5:$H$1000,"&gt;0")=0,1/COUNTIFS($S$5:$S$1000,$S277,$V$5:$V$1000,"Macro"),IF(AND(ISNUMBER($H277),N($H277)&gt;0),$H277,SUMIFS($H$5:$H$1000,$S$5:$S$1000,$S277,$V$5:$V$1000,"Macro")/COUNTIFS($S$5:$S$1000,$S277,$V$5:$V$1000,"Macro",$H$5:$H$1000,"&gt;0"))/(COUNTIFS($S$5:$S$1000,$S277,$V$5:$V$1000,"Macro")*SUMIFS($H$5:$H$1000,$S$5:$S$1000,$S277,$V$5:$V$1000,"Macro")/COUNTIFS($S$5:$S$1000,$S277,$V$5:$V$1000,"Macro",$H$5:$H$1000,"&gt;0"))))</f>
        <v/>
      </c>
      <c r="AH277" s="62" t="n"/>
      <c r="AI277" s="62" t="n"/>
      <c r="AJ277" s="62" t="n"/>
      <c r="AK277" s="62" t="n"/>
      <c r="AL277" s="62">
        <f>IF(LEFT($C277,11)="[Jefatura] ",IFERROR(MATCH("Asistente Técnico de Riesgo|"&amp;MID($C277,12,500),rDname_ADM,0),0),"")</f>
        <v/>
      </c>
      <c r="AM277" s="62">
        <f>IF(N($AL277)&gt;0,INDEX(rIni_ADM,$AL277),IF(ISNUMBER($E277),$E277,""))</f>
        <v/>
      </c>
      <c r="AN277" s="62">
        <f>IF(N($AL277)&gt;0,INDEX(rLim_ADM,$AL277),IF(ISNUMBER($F277),$F277,""))</f>
        <v/>
      </c>
    </row>
    <row r="278">
      <c r="A278" s="56">
        <f>IF(NOT((COUNTA($B278:$D278)+COUNTA($G278:$L278)+COUNTA($Q278))&gt;0),"",IF($V278="Macro",COUNTIFS($V$5:$V278,"Macro",$S$5:$S278,$S278),IF(N($U278)=0,"?",COUNTIFS(INDEX($V$5:$V$1000,1):INDEX($V$5:$V$1000,$U278-4),"Macro",INDEX($S$5:$S$1000,1):INDEX($S$5:$S$1000,$U278-4),INDEX($S$5:$S$1000,$U278-4))&amp;"."&amp;COUNTIFS($U$5:$U278,$U278,$V$5:$V278,"Sub"))))</f>
        <v/>
      </c>
      <c r="B278" s="57" t="n"/>
      <c r="C278" s="58" t="n"/>
      <c r="D278" s="58" t="n"/>
      <c r="E278" s="59">
        <f>IF(N($AL278)&gt;0,INDEX(rIni_ADM,$AL278),"")</f>
        <v/>
      </c>
      <c r="F278" s="59">
        <f>IF(N($AL278)&gt;0,INDEX(rLim_ADM,$AL278),"")</f>
        <v/>
      </c>
      <c r="G278" s="59" t="n"/>
      <c r="H278" s="60" t="n"/>
      <c r="I278" s="60" t="n"/>
      <c r="J278" s="60" t="n"/>
      <c r="K278" s="60" t="n"/>
      <c r="L278" s="60" t="n"/>
      <c r="M278" s="61">
        <f>IF(NOT((COUNTA($B278:$D278)+COUNTA($G278:$L278)+COUNTA($Q278))&gt;0),"",IF($V278="Sub",IFERROR($X278/INDEX($W$5:$W$1000,$U278-4),""),IF(ISNUMBER($G278),1,IF(N($W278)&gt;0,AVERAGEIFS($X$5:$X$1000,$U$5:$U$1000,ROW(),$V$5:$V$1000,"Sub"),$X278))))</f>
        <v/>
      </c>
      <c r="N278" s="56">
        <f>IF(OR($M278="",$V278="Sub"),"",IF($M278&gt;=1,"Completado",IF($M278&gt;0,"En curso","Pendiente")))</f>
        <v/>
      </c>
      <c r="O278" s="56">
        <f>IF(OR(NOT((COUNTA($B278:$D278)+COUNTA($G278:$L278)+COUNTA($Q278))&gt;0),$V278="Sub"),"",IF(ISNUMBER($G278),IF(AND(ISNUMBER($AN278),$G278&gt;$AN278),"Cumplida con "&amp;($G278-$AN278)&amp;IF($G278-$AN278=1," día"," días")&amp;" de retraso","Cumplida"),IF(N($M278)&gt;=1,"Cumplida",IF(NOT(ISNUMBER($AN278)),"Sin fecha límite",IF($AN278&lt;FechaRef,"Vencida hace "&amp;(FechaRef-$AN278)&amp;IF(FechaRef-$AN278=1," día"," días"),IF($AN278=FechaRef,"Vence hoy",IF($AN278-FechaRef&lt;=DiasAlerta,"Vence en "&amp;($AN278-FechaRef)&amp;IF($AN278-FechaRef=1," día"," días"),"En plazo")))))))</f>
        <v/>
      </c>
      <c r="P278" s="62" t="n"/>
      <c r="Q278" s="58" t="n"/>
      <c r="R278" s="63">
        <f>IF(NOT((COUNTA($B278:$D278)+COUNTA($G278:$L278)+COUNTA($Q278))&gt;0),"",IF((IF($C278="","Falta el nombre de la actividad"&amp;" · ","")&amp;IF(AND($V278="Sub",N($U278)=0),"Subactividad sin macroactividad arriba"&amp;" · ","")&amp;IF($AM278="","Sin fecha de inicio"&amp;" · ","")&amp;IF($AN278="","Sin fecha límite"&amp;" · ","")&amp;IF(AND(LEFT($C278,11)="[Jefatura] ",N($AL278)=0),"No se encuentra en la hoja de la jefatura (elíjala de nuevo en la lista)"&amp;" · ","")&amp;IF(OR(AND($E278&lt;&gt;"",NOT(ISNUMBER($E278))),AND($F278&lt;&gt;"",NOT(ISNUMBER($F278))),AND($G278&lt;&gt;"",NOT(ISNUMBER($G278)))),"Fecha no válida"&amp;" · ","")&amp;IF(AND(ISNUMBER($AM278),ISNUMBER($AN278),$AM278&gt;$AN278),"Inicio posterior a fecha límite"&amp;" · ","")&amp;IF(AND($V278="Macro",$H278&lt;&gt;"",OR(NOT(ISNUMBER($H278)),$H278&lt;0,$H278&gt;1)),"Peso fuera de rango"&amp;" · ","")&amp;IF(AND($V278="Sub",$H278&lt;&gt;""),"Las subactividades no llevan peso (valen igual dentro de su macroactividad)"&amp;" · ","")&amp;IF(AND(N($W278)&gt;0,COUNT($I278:$L278)&gt;0),"Con subactividades: deje vacías las semanas (se calculan solas)"&amp;" · ","")&amp;IF((COUNTIF($I278:$L278,"&gt;1")+COUNTIF($I278:$L278,"&lt;0")+COUNTA($I278:$L278)-COUNT($I278:$L278))&gt;0,"Avance fuera de rango 0-100%"&amp;" · ","")&amp;IF(OR(AND($J278&lt;&gt;"",$J278&lt;$I278),AND($K278&lt;&gt;"",$K278&lt;MAX($I278:$J278)),AND($L278&lt;&gt;"",$L278&lt;MAX($I278:$K278))),"Avance semanal decreciente"&amp;" · ","")&amp;IF(AND(ISNUMBER($AN278),$AN278&lt;FechaRef,IF($V278="Sub",N($X278),N($M278))&lt;1),"Vencida"&amp;" · ","")&amp;IF(AND(ObsObligatoria="Sí",ISNUMBER($AN278),$AN278&lt;FechaRef,IF($V278="Sub",N($X278),N($M278))&lt;1,$Q278=""),"Vencida sin observación"&amp;" · ",""))="","✔ OK","⚠ "&amp;LEFT(IF($C278="","Falta el nombre de la actividad"&amp;" · ","")&amp;IF(AND($V278="Sub",N($U278)=0),"Subactividad sin macroactividad arriba"&amp;" · ","")&amp;IF($AM278="","Sin fecha de inicio"&amp;" · ","")&amp;IF($AN278="","Sin fecha límite"&amp;" · ","")&amp;IF(AND(LEFT($C278,11)="[Jefatura] ",N($AL278)=0),"No se encuentra en la hoja de la jefatura (elíjala de nuevo en la lista)"&amp;" · ","")&amp;IF(OR(AND($E278&lt;&gt;"",NOT(ISNUMBER($E278))),AND($F278&lt;&gt;"",NOT(ISNUMBER($F278))),AND($G278&lt;&gt;"",NOT(ISNUMBER($G278)))),"Fecha no válida"&amp;" · ","")&amp;IF(AND(ISNUMBER($AM278),ISNUMBER($AN278),$AM278&gt;$AN278),"Inicio posterior a fecha límite"&amp;" · ","")&amp;IF(AND($V278="Macro",$H278&lt;&gt;"",OR(NOT(ISNUMBER($H278)),$H278&lt;0,$H278&gt;1)),"Peso fuera de rango"&amp;" · ","")&amp;IF(AND($V278="Sub",$H278&lt;&gt;""),"Las subactividades no llevan peso (valen igual dentro de su macroactividad)"&amp;" · ","")&amp;IF(AND(N($W278)&gt;0,COUNT($I278:$L278)&gt;0),"Con subactividades: deje vacías las semanas (se calculan solas)"&amp;" · ","")&amp;IF((COUNTIF($I278:$L278,"&gt;1")+COUNTIF($I278:$L278,"&lt;0")+COUNTA($I278:$L278)-COUNT($I278:$L278))&gt;0,"Avance fuera de rango 0-100%"&amp;" · ","")&amp;IF(OR(AND($J278&lt;&gt;"",$J278&lt;$I278),AND($K278&lt;&gt;"",$K278&lt;MAX($I278:$J278)),AND($L278&lt;&gt;"",$L278&lt;MAX($I278:$K278))),"Avance semanal decreciente"&amp;" · ","")&amp;IF(AND(ISNUMBER($AN278),$AN278&lt;FechaRef,IF($V278="Sub",N($X278),N($M278))&lt;1),"Vencida"&amp;" · ","")&amp;IF(AND(ObsObligatoria="Sí",ISNUMBER($AN278),$AN278&lt;FechaRef,IF($V278="Sub",N($X278),N($M278))&lt;1,$Q278=""),"Vencida sin observación"&amp;" · ",""),LEN(IF($C278="","Falta el nombre de la actividad"&amp;" · ","")&amp;IF(AND($V278="Sub",N($U278)=0),"Subactividad sin macroactividad arriba"&amp;" · ","")&amp;IF($AM278="","Sin fecha de inicio"&amp;" · ","")&amp;IF($AN278="","Sin fecha límite"&amp;" · ","")&amp;IF(AND(LEFT($C278,11)="[Jefatura] ",N($AL278)=0),"No se encuentra en la hoja de la jefatura (elíjala de nuevo en la lista)"&amp;" · ","")&amp;IF(OR(AND($E278&lt;&gt;"",NOT(ISNUMBER($E278))),AND($F278&lt;&gt;"",NOT(ISNUMBER($F278))),AND($G278&lt;&gt;"",NOT(ISNUMBER($G278)))),"Fecha no válida"&amp;" · ","")&amp;IF(AND(ISNUMBER($AM278),ISNUMBER($AN278),$AM278&gt;$AN278),"Inicio posterior a fecha límite"&amp;" · ","")&amp;IF(AND($V278="Macro",$H278&lt;&gt;"",OR(NOT(ISNUMBER($H278)),$H278&lt;0,$H278&gt;1)),"Peso fuera de rango"&amp;" · ","")&amp;IF(AND($V278="Sub",$H278&lt;&gt;""),"Las subactividades no llevan peso (valen igual dentro de su macroactividad)"&amp;" · ","")&amp;IF(AND(N($W278)&gt;0,COUNT($I278:$L278)&gt;0),"Con subactividades: deje vacías las semanas (se calculan solas)"&amp;" · ","")&amp;IF((COUNTIF($I278:$L278,"&gt;1")+COUNTIF($I278:$L278,"&lt;0")+COUNTA($I278:$L278)-COUNT($I278:$L278))&gt;0,"Avance fuera de rango 0-100%"&amp;" · ","")&amp;IF(OR(AND($J278&lt;&gt;"",$J278&lt;$I278),AND($K278&lt;&gt;"",$K278&lt;MAX($I278:$J278)),AND($L278&lt;&gt;"",$L278&lt;MAX($I278:$K278))),"Avance semanal decreciente"&amp;" · ","")&amp;IF(AND(ISNUMBER($AN278),$AN278&lt;FechaRef,IF($V278="Sub",N($X278),N($M278))&lt;1),"Vencida"&amp;" · ","")&amp;IF(AND(ObsObligatoria="Sí",ISNUMBER($AN278),$AN278&lt;FechaRef,IF($V278="Sub",N($X278),N($M278))&lt;1,$Q278=""),"Vencida sin observación"&amp;" · ",""))-3)))</f>
        <v/>
      </c>
      <c r="S278" s="64">
        <f>IF(NOT((COUNTA($B278:$D278)+COUNTA($G278:$L278)+COUNTA($Q278))&gt;0),"",IF(AND($V278="Sub",N($U278)&gt;0),IF(ISNUMBER(INDEX($AM$5:$AM$1000,$U278-4)),DATE(YEAR(INDEX($AM$5:$AM$1000,$U278-4)),MONTH(INDEX($AM$5:$AM$1000,$U278-4)),1),IF(ISNUMBER(INDEX($AN$5:$AN$1000,$U278-4)),DATE(YEAR(INDEX($AN$5:$AN$1000,$U278-4)),MONTH(INDEX($AN$5:$AN$1000,$U278-4)),1),MesCiclo)),IF(ISNUMBER($AM278),DATE(YEAR($AM278),MONTH($AM278),1),IF(ISNUMBER($AN278),DATE(YEAR($AN278),MONTH($AN278),1),MesCiclo))))</f>
        <v/>
      </c>
      <c r="T278" s="62">
        <f>IF(OR($S278="",$S278&lt;&gt;MesCiclo,$V278&lt;&gt;"Macro"),"",COUNTIFS($S$5:$S278,MesCiclo,$V$5:$V278,"Macro"))</f>
        <v/>
      </c>
      <c r="U278" s="62">
        <f>IF($V278="","",IF($V278="Macro",ROW(),IFERROR(LOOKUP(2,1/($V$5:$V278="Macro"),ROW($V$5:$V278)),0)))</f>
        <v/>
      </c>
      <c r="V278" s="62">
        <f>IF(NOT((COUNTA($B278:$D278)+COUNTA($G278:$L278)+COUNTA($Q278))&gt;0),"",IF($B278="Subactividad","Sub","Macro"))</f>
        <v/>
      </c>
      <c r="W278" s="62">
        <f>IF($V278="Macro",COUNTIFS($U$5:$U$1000,ROW(),$V$5:$V$1000,"Sub"),"")</f>
        <v/>
      </c>
      <c r="X278" s="62">
        <f>IF($V278="","",IF(ISNUMBER($G278),1,IFERROR(LOOKUP(2,1/($I278:$L278&lt;&gt;""),$I278:$L278),0)))</f>
        <v/>
      </c>
      <c r="Y278" s="62">
        <f>IF($V278="","",IF(AND(ISNUMBER($G278),$G278&lt;=IF($S278=MesCiclo,InicioCiclo,$S278+MOD(2-WEEKDAY($S278),7))+6),1,IF(ISNUMBER($I278),$I278,0)))</f>
        <v/>
      </c>
      <c r="Z278" s="62">
        <f>IF($V278="","",IF(AND(ISNUMBER($G278),$G278&lt;=IF($S278=MesCiclo,InicioCiclo,$S278+MOD(2-WEEKDAY($S278),7))+13),1,IF(ISNUMBER($J278),$J278,$Y278)))</f>
        <v/>
      </c>
      <c r="AA278" s="62">
        <f>IF($V278="","",IF(AND(ISNUMBER($G278),$G278&lt;=IF($S278=MesCiclo,InicioCiclo,$S278+MOD(2-WEEKDAY($S278),7))+20),1,IF(ISNUMBER($K278),$K278,$Z278)))</f>
        <v/>
      </c>
      <c r="AB278" s="62">
        <f>IF($V278="","",IF(AND(ISNUMBER($G278),$G278&lt;=IF($S278=MesCiclo,InicioCiclo,$S278+MOD(2-WEEKDAY($S278),7))+27),1,IF(ISNUMBER($L278),$L278,$AA278)))</f>
        <v/>
      </c>
      <c r="AC278" s="62">
        <f>IF($V278="","",IF(AND(ISNUMBER($G278),$G278&lt;=IF($S278=MesCiclo,InicioCiclo,$S278+MOD(2-WEEKDAY($S278),7))+6),1,IF(N($W278)&gt;0,AVERAGEIFS($Y$5:$Y$1000,$U$5:$U$1000,ROW(),$V$5:$V$1000,"Sub"),$Y278)))</f>
        <v/>
      </c>
      <c r="AD278" s="62">
        <f>IF($V278="","",IF(AND(ISNUMBER($G278),$G278&lt;=IF($S278=MesCiclo,InicioCiclo,$S278+MOD(2-WEEKDAY($S278),7))+13),1,IF(N($W278)&gt;0,AVERAGEIFS($Z$5:$Z$1000,$U$5:$U$1000,ROW(),$V$5:$V$1000,"Sub"),$Z278)))</f>
        <v/>
      </c>
      <c r="AE278" s="62">
        <f>IF($V278="","",IF(AND(ISNUMBER($G278),$G278&lt;=IF($S278=MesCiclo,InicioCiclo,$S278+MOD(2-WEEKDAY($S278),7))+20),1,IF(N($W278)&gt;0,AVERAGEIFS($AA$5:$AA$1000,$U$5:$U$1000,ROW(),$V$5:$V$1000,"Sub"),$AA278)))</f>
        <v/>
      </c>
      <c r="AF278" s="62">
        <f>IF($V278="","",IF(AND(ISNUMBER($G278),$G278&lt;=IF($S278=MesCiclo,InicioCiclo,$S278+MOD(2-WEEKDAY($S278),7))+27),1,IF(N($W278)&gt;0,AVERAGEIFS($AB$5:$AB$1000,$U$5:$U$1000,ROW(),$V$5:$V$1000,"Sub"),$AB278)))</f>
        <v/>
      </c>
      <c r="AG278" s="62">
        <f>IF($V278&lt;&gt;"Macro","",IF(COUNTIFS($S$5:$S$1000,$S278,$V$5:$V$1000,"Macro",$H$5:$H$1000,"&gt;0")=0,1/COUNTIFS($S$5:$S$1000,$S278,$V$5:$V$1000,"Macro"),IF(AND(ISNUMBER($H278),N($H278)&gt;0),$H278,SUMIFS($H$5:$H$1000,$S$5:$S$1000,$S278,$V$5:$V$1000,"Macro")/COUNTIFS($S$5:$S$1000,$S278,$V$5:$V$1000,"Macro",$H$5:$H$1000,"&gt;0"))/(COUNTIFS($S$5:$S$1000,$S278,$V$5:$V$1000,"Macro")*SUMIFS($H$5:$H$1000,$S$5:$S$1000,$S278,$V$5:$V$1000,"Macro")/COUNTIFS($S$5:$S$1000,$S278,$V$5:$V$1000,"Macro",$H$5:$H$1000,"&gt;0"))))</f>
        <v/>
      </c>
      <c r="AH278" s="62" t="n"/>
      <c r="AI278" s="62" t="n"/>
      <c r="AJ278" s="62" t="n"/>
      <c r="AK278" s="62" t="n"/>
      <c r="AL278" s="62">
        <f>IF(LEFT($C278,11)="[Jefatura] ",IFERROR(MATCH("Asistente Técnico de Riesgo|"&amp;MID($C278,12,500),rDname_ADM,0),0),"")</f>
        <v/>
      </c>
      <c r="AM278" s="62">
        <f>IF(N($AL278)&gt;0,INDEX(rIni_ADM,$AL278),IF(ISNUMBER($E278),$E278,""))</f>
        <v/>
      </c>
      <c r="AN278" s="62">
        <f>IF(N($AL278)&gt;0,INDEX(rLim_ADM,$AL278),IF(ISNUMBER($F278),$F278,""))</f>
        <v/>
      </c>
    </row>
    <row r="279">
      <c r="A279" s="56">
        <f>IF(NOT((COUNTA($B279:$D279)+COUNTA($G279:$L279)+COUNTA($Q279))&gt;0),"",IF($V279="Macro",COUNTIFS($V$5:$V279,"Macro",$S$5:$S279,$S279),IF(N($U279)=0,"?",COUNTIFS(INDEX($V$5:$V$1000,1):INDEX($V$5:$V$1000,$U279-4),"Macro",INDEX($S$5:$S$1000,1):INDEX($S$5:$S$1000,$U279-4),INDEX($S$5:$S$1000,$U279-4))&amp;"."&amp;COUNTIFS($U$5:$U279,$U279,$V$5:$V279,"Sub"))))</f>
        <v/>
      </c>
      <c r="B279" s="57" t="n"/>
      <c r="C279" s="58" t="n"/>
      <c r="D279" s="58" t="n"/>
      <c r="E279" s="59">
        <f>IF(N($AL279)&gt;0,INDEX(rIni_ADM,$AL279),"")</f>
        <v/>
      </c>
      <c r="F279" s="59">
        <f>IF(N($AL279)&gt;0,INDEX(rLim_ADM,$AL279),"")</f>
        <v/>
      </c>
      <c r="G279" s="59" t="n"/>
      <c r="H279" s="60" t="n"/>
      <c r="I279" s="60" t="n"/>
      <c r="J279" s="60" t="n"/>
      <c r="K279" s="60" t="n"/>
      <c r="L279" s="60" t="n"/>
      <c r="M279" s="61">
        <f>IF(NOT((COUNTA($B279:$D279)+COUNTA($G279:$L279)+COUNTA($Q279))&gt;0),"",IF($V279="Sub",IFERROR($X279/INDEX($W$5:$W$1000,$U279-4),""),IF(ISNUMBER($G279),1,IF(N($W279)&gt;0,AVERAGEIFS($X$5:$X$1000,$U$5:$U$1000,ROW(),$V$5:$V$1000,"Sub"),$X279))))</f>
        <v/>
      </c>
      <c r="N279" s="56">
        <f>IF(OR($M279="",$V279="Sub"),"",IF($M279&gt;=1,"Completado",IF($M279&gt;0,"En curso","Pendiente")))</f>
        <v/>
      </c>
      <c r="O279" s="56">
        <f>IF(OR(NOT((COUNTA($B279:$D279)+COUNTA($G279:$L279)+COUNTA($Q279))&gt;0),$V279="Sub"),"",IF(ISNUMBER($G279),IF(AND(ISNUMBER($AN279),$G279&gt;$AN279),"Cumplida con "&amp;($G279-$AN279)&amp;IF($G279-$AN279=1," día"," días")&amp;" de retraso","Cumplida"),IF(N($M279)&gt;=1,"Cumplida",IF(NOT(ISNUMBER($AN279)),"Sin fecha límite",IF($AN279&lt;FechaRef,"Vencida hace "&amp;(FechaRef-$AN279)&amp;IF(FechaRef-$AN279=1," día"," días"),IF($AN279=FechaRef,"Vence hoy",IF($AN279-FechaRef&lt;=DiasAlerta,"Vence en "&amp;($AN279-FechaRef)&amp;IF($AN279-FechaRef=1," día"," días"),"En plazo")))))))</f>
        <v/>
      </c>
      <c r="P279" s="62" t="n"/>
      <c r="Q279" s="58" t="n"/>
      <c r="R279" s="63">
        <f>IF(NOT((COUNTA($B279:$D279)+COUNTA($G279:$L279)+COUNTA($Q279))&gt;0),"",IF((IF($C279="","Falta el nombre de la actividad"&amp;" · ","")&amp;IF(AND($V279="Sub",N($U279)=0),"Subactividad sin macroactividad arriba"&amp;" · ","")&amp;IF($AM279="","Sin fecha de inicio"&amp;" · ","")&amp;IF($AN279="","Sin fecha límite"&amp;" · ","")&amp;IF(AND(LEFT($C279,11)="[Jefatura] ",N($AL279)=0),"No se encuentra en la hoja de la jefatura (elíjala de nuevo en la lista)"&amp;" · ","")&amp;IF(OR(AND($E279&lt;&gt;"",NOT(ISNUMBER($E279))),AND($F279&lt;&gt;"",NOT(ISNUMBER($F279))),AND($G279&lt;&gt;"",NOT(ISNUMBER($G279)))),"Fecha no válida"&amp;" · ","")&amp;IF(AND(ISNUMBER($AM279),ISNUMBER($AN279),$AM279&gt;$AN279),"Inicio posterior a fecha límite"&amp;" · ","")&amp;IF(AND($V279="Macro",$H279&lt;&gt;"",OR(NOT(ISNUMBER($H279)),$H279&lt;0,$H279&gt;1)),"Peso fuera de rango"&amp;" · ","")&amp;IF(AND($V279="Sub",$H279&lt;&gt;""),"Las subactividades no llevan peso (valen igual dentro de su macroactividad)"&amp;" · ","")&amp;IF(AND(N($W279)&gt;0,COUNT($I279:$L279)&gt;0),"Con subactividades: deje vacías las semanas (se calculan solas)"&amp;" · ","")&amp;IF((COUNTIF($I279:$L279,"&gt;1")+COUNTIF($I279:$L279,"&lt;0")+COUNTA($I279:$L279)-COUNT($I279:$L279))&gt;0,"Avance fuera de rango 0-100%"&amp;" · ","")&amp;IF(OR(AND($J279&lt;&gt;"",$J279&lt;$I279),AND($K279&lt;&gt;"",$K279&lt;MAX($I279:$J279)),AND($L279&lt;&gt;"",$L279&lt;MAX($I279:$K279))),"Avance semanal decreciente"&amp;" · ","")&amp;IF(AND(ISNUMBER($AN279),$AN279&lt;FechaRef,IF($V279="Sub",N($X279),N($M279))&lt;1),"Vencida"&amp;" · ","")&amp;IF(AND(ObsObligatoria="Sí",ISNUMBER($AN279),$AN279&lt;FechaRef,IF($V279="Sub",N($X279),N($M279))&lt;1,$Q279=""),"Vencida sin observación"&amp;" · ",""))="","✔ OK","⚠ "&amp;LEFT(IF($C279="","Falta el nombre de la actividad"&amp;" · ","")&amp;IF(AND($V279="Sub",N($U279)=0),"Subactividad sin macroactividad arriba"&amp;" · ","")&amp;IF($AM279="","Sin fecha de inicio"&amp;" · ","")&amp;IF($AN279="","Sin fecha límite"&amp;" · ","")&amp;IF(AND(LEFT($C279,11)="[Jefatura] ",N($AL279)=0),"No se encuentra en la hoja de la jefatura (elíjala de nuevo en la lista)"&amp;" · ","")&amp;IF(OR(AND($E279&lt;&gt;"",NOT(ISNUMBER($E279))),AND($F279&lt;&gt;"",NOT(ISNUMBER($F279))),AND($G279&lt;&gt;"",NOT(ISNUMBER($G279)))),"Fecha no válida"&amp;" · ","")&amp;IF(AND(ISNUMBER($AM279),ISNUMBER($AN279),$AM279&gt;$AN279),"Inicio posterior a fecha límite"&amp;" · ","")&amp;IF(AND($V279="Macro",$H279&lt;&gt;"",OR(NOT(ISNUMBER($H279)),$H279&lt;0,$H279&gt;1)),"Peso fuera de rango"&amp;" · ","")&amp;IF(AND($V279="Sub",$H279&lt;&gt;""),"Las subactividades no llevan peso (valen igual dentro de su macroactividad)"&amp;" · ","")&amp;IF(AND(N($W279)&gt;0,COUNT($I279:$L279)&gt;0),"Con subactividades: deje vacías las semanas (se calculan solas)"&amp;" · ","")&amp;IF((COUNTIF($I279:$L279,"&gt;1")+COUNTIF($I279:$L279,"&lt;0")+COUNTA($I279:$L279)-COUNT($I279:$L279))&gt;0,"Avance fuera de rango 0-100%"&amp;" · ","")&amp;IF(OR(AND($J279&lt;&gt;"",$J279&lt;$I279),AND($K279&lt;&gt;"",$K279&lt;MAX($I279:$J279)),AND($L279&lt;&gt;"",$L279&lt;MAX($I279:$K279))),"Avance semanal decreciente"&amp;" · ","")&amp;IF(AND(ISNUMBER($AN279),$AN279&lt;FechaRef,IF($V279="Sub",N($X279),N($M279))&lt;1),"Vencida"&amp;" · ","")&amp;IF(AND(ObsObligatoria="Sí",ISNUMBER($AN279),$AN279&lt;FechaRef,IF($V279="Sub",N($X279),N($M279))&lt;1,$Q279=""),"Vencida sin observación"&amp;" · ",""),LEN(IF($C279="","Falta el nombre de la actividad"&amp;" · ","")&amp;IF(AND($V279="Sub",N($U279)=0),"Subactividad sin macroactividad arriba"&amp;" · ","")&amp;IF($AM279="","Sin fecha de inicio"&amp;" · ","")&amp;IF($AN279="","Sin fecha límite"&amp;" · ","")&amp;IF(AND(LEFT($C279,11)="[Jefatura] ",N($AL279)=0),"No se encuentra en la hoja de la jefatura (elíjala de nuevo en la lista)"&amp;" · ","")&amp;IF(OR(AND($E279&lt;&gt;"",NOT(ISNUMBER($E279))),AND($F279&lt;&gt;"",NOT(ISNUMBER($F279))),AND($G279&lt;&gt;"",NOT(ISNUMBER($G279)))),"Fecha no válida"&amp;" · ","")&amp;IF(AND(ISNUMBER($AM279),ISNUMBER($AN279),$AM279&gt;$AN279),"Inicio posterior a fecha límite"&amp;" · ","")&amp;IF(AND($V279="Macro",$H279&lt;&gt;"",OR(NOT(ISNUMBER($H279)),$H279&lt;0,$H279&gt;1)),"Peso fuera de rango"&amp;" · ","")&amp;IF(AND($V279="Sub",$H279&lt;&gt;""),"Las subactividades no llevan peso (valen igual dentro de su macroactividad)"&amp;" · ","")&amp;IF(AND(N($W279)&gt;0,COUNT($I279:$L279)&gt;0),"Con subactividades: deje vacías las semanas (se calculan solas)"&amp;" · ","")&amp;IF((COUNTIF($I279:$L279,"&gt;1")+COUNTIF($I279:$L279,"&lt;0")+COUNTA($I279:$L279)-COUNT($I279:$L279))&gt;0,"Avance fuera de rango 0-100%"&amp;" · ","")&amp;IF(OR(AND($J279&lt;&gt;"",$J279&lt;$I279),AND($K279&lt;&gt;"",$K279&lt;MAX($I279:$J279)),AND($L279&lt;&gt;"",$L279&lt;MAX($I279:$K279))),"Avance semanal decreciente"&amp;" · ","")&amp;IF(AND(ISNUMBER($AN279),$AN279&lt;FechaRef,IF($V279="Sub",N($X279),N($M279))&lt;1),"Vencida"&amp;" · ","")&amp;IF(AND(ObsObligatoria="Sí",ISNUMBER($AN279),$AN279&lt;FechaRef,IF($V279="Sub",N($X279),N($M279))&lt;1,$Q279=""),"Vencida sin observación"&amp;" · ",""))-3)))</f>
        <v/>
      </c>
      <c r="S279" s="64">
        <f>IF(NOT((COUNTA($B279:$D279)+COUNTA($G279:$L279)+COUNTA($Q279))&gt;0),"",IF(AND($V279="Sub",N($U279)&gt;0),IF(ISNUMBER(INDEX($AM$5:$AM$1000,$U279-4)),DATE(YEAR(INDEX($AM$5:$AM$1000,$U279-4)),MONTH(INDEX($AM$5:$AM$1000,$U279-4)),1),IF(ISNUMBER(INDEX($AN$5:$AN$1000,$U279-4)),DATE(YEAR(INDEX($AN$5:$AN$1000,$U279-4)),MONTH(INDEX($AN$5:$AN$1000,$U279-4)),1),MesCiclo)),IF(ISNUMBER($AM279),DATE(YEAR($AM279),MONTH($AM279),1),IF(ISNUMBER($AN279),DATE(YEAR($AN279),MONTH($AN279),1),MesCiclo))))</f>
        <v/>
      </c>
      <c r="T279" s="62">
        <f>IF(OR($S279="",$S279&lt;&gt;MesCiclo,$V279&lt;&gt;"Macro"),"",COUNTIFS($S$5:$S279,MesCiclo,$V$5:$V279,"Macro"))</f>
        <v/>
      </c>
      <c r="U279" s="62">
        <f>IF($V279="","",IF($V279="Macro",ROW(),IFERROR(LOOKUP(2,1/($V$5:$V279="Macro"),ROW($V$5:$V279)),0)))</f>
        <v/>
      </c>
      <c r="V279" s="62">
        <f>IF(NOT((COUNTA($B279:$D279)+COUNTA($G279:$L279)+COUNTA($Q279))&gt;0),"",IF($B279="Subactividad","Sub","Macro"))</f>
        <v/>
      </c>
      <c r="W279" s="62">
        <f>IF($V279="Macro",COUNTIFS($U$5:$U$1000,ROW(),$V$5:$V$1000,"Sub"),"")</f>
        <v/>
      </c>
      <c r="X279" s="62">
        <f>IF($V279="","",IF(ISNUMBER($G279),1,IFERROR(LOOKUP(2,1/($I279:$L279&lt;&gt;""),$I279:$L279),0)))</f>
        <v/>
      </c>
      <c r="Y279" s="62">
        <f>IF($V279="","",IF(AND(ISNUMBER($G279),$G279&lt;=IF($S279=MesCiclo,InicioCiclo,$S279+MOD(2-WEEKDAY($S279),7))+6),1,IF(ISNUMBER($I279),$I279,0)))</f>
        <v/>
      </c>
      <c r="Z279" s="62">
        <f>IF($V279="","",IF(AND(ISNUMBER($G279),$G279&lt;=IF($S279=MesCiclo,InicioCiclo,$S279+MOD(2-WEEKDAY($S279),7))+13),1,IF(ISNUMBER($J279),$J279,$Y279)))</f>
        <v/>
      </c>
      <c r="AA279" s="62">
        <f>IF($V279="","",IF(AND(ISNUMBER($G279),$G279&lt;=IF($S279=MesCiclo,InicioCiclo,$S279+MOD(2-WEEKDAY($S279),7))+20),1,IF(ISNUMBER($K279),$K279,$Z279)))</f>
        <v/>
      </c>
      <c r="AB279" s="62">
        <f>IF($V279="","",IF(AND(ISNUMBER($G279),$G279&lt;=IF($S279=MesCiclo,InicioCiclo,$S279+MOD(2-WEEKDAY($S279),7))+27),1,IF(ISNUMBER($L279),$L279,$AA279)))</f>
        <v/>
      </c>
      <c r="AC279" s="62">
        <f>IF($V279="","",IF(AND(ISNUMBER($G279),$G279&lt;=IF($S279=MesCiclo,InicioCiclo,$S279+MOD(2-WEEKDAY($S279),7))+6),1,IF(N($W279)&gt;0,AVERAGEIFS($Y$5:$Y$1000,$U$5:$U$1000,ROW(),$V$5:$V$1000,"Sub"),$Y279)))</f>
        <v/>
      </c>
      <c r="AD279" s="62">
        <f>IF($V279="","",IF(AND(ISNUMBER($G279),$G279&lt;=IF($S279=MesCiclo,InicioCiclo,$S279+MOD(2-WEEKDAY($S279),7))+13),1,IF(N($W279)&gt;0,AVERAGEIFS($Z$5:$Z$1000,$U$5:$U$1000,ROW(),$V$5:$V$1000,"Sub"),$Z279)))</f>
        <v/>
      </c>
      <c r="AE279" s="62">
        <f>IF($V279="","",IF(AND(ISNUMBER($G279),$G279&lt;=IF($S279=MesCiclo,InicioCiclo,$S279+MOD(2-WEEKDAY($S279),7))+20),1,IF(N($W279)&gt;0,AVERAGEIFS($AA$5:$AA$1000,$U$5:$U$1000,ROW(),$V$5:$V$1000,"Sub"),$AA279)))</f>
        <v/>
      </c>
      <c r="AF279" s="62">
        <f>IF($V279="","",IF(AND(ISNUMBER($G279),$G279&lt;=IF($S279=MesCiclo,InicioCiclo,$S279+MOD(2-WEEKDAY($S279),7))+27),1,IF(N($W279)&gt;0,AVERAGEIFS($AB$5:$AB$1000,$U$5:$U$1000,ROW(),$V$5:$V$1000,"Sub"),$AB279)))</f>
        <v/>
      </c>
      <c r="AG279" s="62">
        <f>IF($V279&lt;&gt;"Macro","",IF(COUNTIFS($S$5:$S$1000,$S279,$V$5:$V$1000,"Macro",$H$5:$H$1000,"&gt;0")=0,1/COUNTIFS($S$5:$S$1000,$S279,$V$5:$V$1000,"Macro"),IF(AND(ISNUMBER($H279),N($H279)&gt;0),$H279,SUMIFS($H$5:$H$1000,$S$5:$S$1000,$S279,$V$5:$V$1000,"Macro")/COUNTIFS($S$5:$S$1000,$S279,$V$5:$V$1000,"Macro",$H$5:$H$1000,"&gt;0"))/(COUNTIFS($S$5:$S$1000,$S279,$V$5:$V$1000,"Macro")*SUMIFS($H$5:$H$1000,$S$5:$S$1000,$S279,$V$5:$V$1000,"Macro")/COUNTIFS($S$5:$S$1000,$S279,$V$5:$V$1000,"Macro",$H$5:$H$1000,"&gt;0"))))</f>
        <v/>
      </c>
      <c r="AH279" s="62" t="n"/>
      <c r="AI279" s="62" t="n"/>
      <c r="AJ279" s="62" t="n"/>
      <c r="AK279" s="62" t="n"/>
      <c r="AL279" s="62">
        <f>IF(LEFT($C279,11)="[Jefatura] ",IFERROR(MATCH("Asistente Técnico de Riesgo|"&amp;MID($C279,12,500),rDname_ADM,0),0),"")</f>
        <v/>
      </c>
      <c r="AM279" s="62">
        <f>IF(N($AL279)&gt;0,INDEX(rIni_ADM,$AL279),IF(ISNUMBER($E279),$E279,""))</f>
        <v/>
      </c>
      <c r="AN279" s="62">
        <f>IF(N($AL279)&gt;0,INDEX(rLim_ADM,$AL279),IF(ISNUMBER($F279),$F279,""))</f>
        <v/>
      </c>
    </row>
    <row r="280">
      <c r="A280" s="56">
        <f>IF(NOT((COUNTA($B280:$D280)+COUNTA($G280:$L280)+COUNTA($Q280))&gt;0),"",IF($V280="Macro",COUNTIFS($V$5:$V280,"Macro",$S$5:$S280,$S280),IF(N($U280)=0,"?",COUNTIFS(INDEX($V$5:$V$1000,1):INDEX($V$5:$V$1000,$U280-4),"Macro",INDEX($S$5:$S$1000,1):INDEX($S$5:$S$1000,$U280-4),INDEX($S$5:$S$1000,$U280-4))&amp;"."&amp;COUNTIFS($U$5:$U280,$U280,$V$5:$V280,"Sub"))))</f>
        <v/>
      </c>
      <c r="B280" s="57" t="n"/>
      <c r="C280" s="58" t="n"/>
      <c r="D280" s="58" t="n"/>
      <c r="E280" s="59">
        <f>IF(N($AL280)&gt;0,INDEX(rIni_ADM,$AL280),"")</f>
        <v/>
      </c>
      <c r="F280" s="59">
        <f>IF(N($AL280)&gt;0,INDEX(rLim_ADM,$AL280),"")</f>
        <v/>
      </c>
      <c r="G280" s="59" t="n"/>
      <c r="H280" s="60" t="n"/>
      <c r="I280" s="60" t="n"/>
      <c r="J280" s="60" t="n"/>
      <c r="K280" s="60" t="n"/>
      <c r="L280" s="60" t="n"/>
      <c r="M280" s="61">
        <f>IF(NOT((COUNTA($B280:$D280)+COUNTA($G280:$L280)+COUNTA($Q280))&gt;0),"",IF($V280="Sub",IFERROR($X280/INDEX($W$5:$W$1000,$U280-4),""),IF(ISNUMBER($G280),1,IF(N($W280)&gt;0,AVERAGEIFS($X$5:$X$1000,$U$5:$U$1000,ROW(),$V$5:$V$1000,"Sub"),$X280))))</f>
        <v/>
      </c>
      <c r="N280" s="56">
        <f>IF(OR($M280="",$V280="Sub"),"",IF($M280&gt;=1,"Completado",IF($M280&gt;0,"En curso","Pendiente")))</f>
        <v/>
      </c>
      <c r="O280" s="56">
        <f>IF(OR(NOT((COUNTA($B280:$D280)+COUNTA($G280:$L280)+COUNTA($Q280))&gt;0),$V280="Sub"),"",IF(ISNUMBER($G280),IF(AND(ISNUMBER($AN280),$G280&gt;$AN280),"Cumplida con "&amp;($G280-$AN280)&amp;IF($G280-$AN280=1," día"," días")&amp;" de retraso","Cumplida"),IF(N($M280)&gt;=1,"Cumplida",IF(NOT(ISNUMBER($AN280)),"Sin fecha límite",IF($AN280&lt;FechaRef,"Vencida hace "&amp;(FechaRef-$AN280)&amp;IF(FechaRef-$AN280=1," día"," días"),IF($AN280=FechaRef,"Vence hoy",IF($AN280-FechaRef&lt;=DiasAlerta,"Vence en "&amp;($AN280-FechaRef)&amp;IF($AN280-FechaRef=1," día"," días"),"En plazo")))))))</f>
        <v/>
      </c>
      <c r="P280" s="62" t="n"/>
      <c r="Q280" s="58" t="n"/>
      <c r="R280" s="63">
        <f>IF(NOT((COUNTA($B280:$D280)+COUNTA($G280:$L280)+COUNTA($Q280))&gt;0),"",IF((IF($C280="","Falta el nombre de la actividad"&amp;" · ","")&amp;IF(AND($V280="Sub",N($U280)=0),"Subactividad sin macroactividad arriba"&amp;" · ","")&amp;IF($AM280="","Sin fecha de inicio"&amp;" · ","")&amp;IF($AN280="","Sin fecha límite"&amp;" · ","")&amp;IF(AND(LEFT($C280,11)="[Jefatura] ",N($AL280)=0),"No se encuentra en la hoja de la jefatura (elíjala de nuevo en la lista)"&amp;" · ","")&amp;IF(OR(AND($E280&lt;&gt;"",NOT(ISNUMBER($E280))),AND($F280&lt;&gt;"",NOT(ISNUMBER($F280))),AND($G280&lt;&gt;"",NOT(ISNUMBER($G280)))),"Fecha no válida"&amp;" · ","")&amp;IF(AND(ISNUMBER($AM280),ISNUMBER($AN280),$AM280&gt;$AN280),"Inicio posterior a fecha límite"&amp;" · ","")&amp;IF(AND($V280="Macro",$H280&lt;&gt;"",OR(NOT(ISNUMBER($H280)),$H280&lt;0,$H280&gt;1)),"Peso fuera de rango"&amp;" · ","")&amp;IF(AND($V280="Sub",$H280&lt;&gt;""),"Las subactividades no llevan peso (valen igual dentro de su macroactividad)"&amp;" · ","")&amp;IF(AND(N($W280)&gt;0,COUNT($I280:$L280)&gt;0),"Con subactividades: deje vacías las semanas (se calculan solas)"&amp;" · ","")&amp;IF((COUNTIF($I280:$L280,"&gt;1")+COUNTIF($I280:$L280,"&lt;0")+COUNTA($I280:$L280)-COUNT($I280:$L280))&gt;0,"Avance fuera de rango 0-100%"&amp;" · ","")&amp;IF(OR(AND($J280&lt;&gt;"",$J280&lt;$I280),AND($K280&lt;&gt;"",$K280&lt;MAX($I280:$J280)),AND($L280&lt;&gt;"",$L280&lt;MAX($I280:$K280))),"Avance semanal decreciente"&amp;" · ","")&amp;IF(AND(ISNUMBER($AN280),$AN280&lt;FechaRef,IF($V280="Sub",N($X280),N($M280))&lt;1),"Vencida"&amp;" · ","")&amp;IF(AND(ObsObligatoria="Sí",ISNUMBER($AN280),$AN280&lt;FechaRef,IF($V280="Sub",N($X280),N($M280))&lt;1,$Q280=""),"Vencida sin observación"&amp;" · ",""))="","✔ OK","⚠ "&amp;LEFT(IF($C280="","Falta el nombre de la actividad"&amp;" · ","")&amp;IF(AND($V280="Sub",N($U280)=0),"Subactividad sin macroactividad arriba"&amp;" · ","")&amp;IF($AM280="","Sin fecha de inicio"&amp;" · ","")&amp;IF($AN280="","Sin fecha límite"&amp;" · ","")&amp;IF(AND(LEFT($C280,11)="[Jefatura] ",N($AL280)=0),"No se encuentra en la hoja de la jefatura (elíjala de nuevo en la lista)"&amp;" · ","")&amp;IF(OR(AND($E280&lt;&gt;"",NOT(ISNUMBER($E280))),AND($F280&lt;&gt;"",NOT(ISNUMBER($F280))),AND($G280&lt;&gt;"",NOT(ISNUMBER($G280)))),"Fecha no válida"&amp;" · ","")&amp;IF(AND(ISNUMBER($AM280),ISNUMBER($AN280),$AM280&gt;$AN280),"Inicio posterior a fecha límite"&amp;" · ","")&amp;IF(AND($V280="Macro",$H280&lt;&gt;"",OR(NOT(ISNUMBER($H280)),$H280&lt;0,$H280&gt;1)),"Peso fuera de rango"&amp;" · ","")&amp;IF(AND($V280="Sub",$H280&lt;&gt;""),"Las subactividades no llevan peso (valen igual dentro de su macroactividad)"&amp;" · ","")&amp;IF(AND(N($W280)&gt;0,COUNT($I280:$L280)&gt;0),"Con subactividades: deje vacías las semanas (se calculan solas)"&amp;" · ","")&amp;IF((COUNTIF($I280:$L280,"&gt;1")+COUNTIF($I280:$L280,"&lt;0")+COUNTA($I280:$L280)-COUNT($I280:$L280))&gt;0,"Avance fuera de rango 0-100%"&amp;" · ","")&amp;IF(OR(AND($J280&lt;&gt;"",$J280&lt;$I280),AND($K280&lt;&gt;"",$K280&lt;MAX($I280:$J280)),AND($L280&lt;&gt;"",$L280&lt;MAX($I280:$K280))),"Avance semanal decreciente"&amp;" · ","")&amp;IF(AND(ISNUMBER($AN280),$AN280&lt;FechaRef,IF($V280="Sub",N($X280),N($M280))&lt;1),"Vencida"&amp;" · ","")&amp;IF(AND(ObsObligatoria="Sí",ISNUMBER($AN280),$AN280&lt;FechaRef,IF($V280="Sub",N($X280),N($M280))&lt;1,$Q280=""),"Vencida sin observación"&amp;" · ",""),LEN(IF($C280="","Falta el nombre de la actividad"&amp;" · ","")&amp;IF(AND($V280="Sub",N($U280)=0),"Subactividad sin macroactividad arriba"&amp;" · ","")&amp;IF($AM280="","Sin fecha de inicio"&amp;" · ","")&amp;IF($AN280="","Sin fecha límite"&amp;" · ","")&amp;IF(AND(LEFT($C280,11)="[Jefatura] ",N($AL280)=0),"No se encuentra en la hoja de la jefatura (elíjala de nuevo en la lista)"&amp;" · ","")&amp;IF(OR(AND($E280&lt;&gt;"",NOT(ISNUMBER($E280))),AND($F280&lt;&gt;"",NOT(ISNUMBER($F280))),AND($G280&lt;&gt;"",NOT(ISNUMBER($G280)))),"Fecha no válida"&amp;" · ","")&amp;IF(AND(ISNUMBER($AM280),ISNUMBER($AN280),$AM280&gt;$AN280),"Inicio posterior a fecha límite"&amp;" · ","")&amp;IF(AND($V280="Macro",$H280&lt;&gt;"",OR(NOT(ISNUMBER($H280)),$H280&lt;0,$H280&gt;1)),"Peso fuera de rango"&amp;" · ","")&amp;IF(AND($V280="Sub",$H280&lt;&gt;""),"Las subactividades no llevan peso (valen igual dentro de su macroactividad)"&amp;" · ","")&amp;IF(AND(N($W280)&gt;0,COUNT($I280:$L280)&gt;0),"Con subactividades: deje vacías las semanas (se calculan solas)"&amp;" · ","")&amp;IF((COUNTIF($I280:$L280,"&gt;1")+COUNTIF($I280:$L280,"&lt;0")+COUNTA($I280:$L280)-COUNT($I280:$L280))&gt;0,"Avance fuera de rango 0-100%"&amp;" · ","")&amp;IF(OR(AND($J280&lt;&gt;"",$J280&lt;$I280),AND($K280&lt;&gt;"",$K280&lt;MAX($I280:$J280)),AND($L280&lt;&gt;"",$L280&lt;MAX($I280:$K280))),"Avance semanal decreciente"&amp;" · ","")&amp;IF(AND(ISNUMBER($AN280),$AN280&lt;FechaRef,IF($V280="Sub",N($X280),N($M280))&lt;1),"Vencida"&amp;" · ","")&amp;IF(AND(ObsObligatoria="Sí",ISNUMBER($AN280),$AN280&lt;FechaRef,IF($V280="Sub",N($X280),N($M280))&lt;1,$Q280=""),"Vencida sin observación"&amp;" · ",""))-3)))</f>
        <v/>
      </c>
      <c r="S280" s="64">
        <f>IF(NOT((COUNTA($B280:$D280)+COUNTA($G280:$L280)+COUNTA($Q280))&gt;0),"",IF(AND($V280="Sub",N($U280)&gt;0),IF(ISNUMBER(INDEX($AM$5:$AM$1000,$U280-4)),DATE(YEAR(INDEX($AM$5:$AM$1000,$U280-4)),MONTH(INDEX($AM$5:$AM$1000,$U280-4)),1),IF(ISNUMBER(INDEX($AN$5:$AN$1000,$U280-4)),DATE(YEAR(INDEX($AN$5:$AN$1000,$U280-4)),MONTH(INDEX($AN$5:$AN$1000,$U280-4)),1),MesCiclo)),IF(ISNUMBER($AM280),DATE(YEAR($AM280),MONTH($AM280),1),IF(ISNUMBER($AN280),DATE(YEAR($AN280),MONTH($AN280),1),MesCiclo))))</f>
        <v/>
      </c>
      <c r="T280" s="62">
        <f>IF(OR($S280="",$S280&lt;&gt;MesCiclo,$V280&lt;&gt;"Macro"),"",COUNTIFS($S$5:$S280,MesCiclo,$V$5:$V280,"Macro"))</f>
        <v/>
      </c>
      <c r="U280" s="62">
        <f>IF($V280="","",IF($V280="Macro",ROW(),IFERROR(LOOKUP(2,1/($V$5:$V280="Macro"),ROW($V$5:$V280)),0)))</f>
        <v/>
      </c>
      <c r="V280" s="62">
        <f>IF(NOT((COUNTA($B280:$D280)+COUNTA($G280:$L280)+COUNTA($Q280))&gt;0),"",IF($B280="Subactividad","Sub","Macro"))</f>
        <v/>
      </c>
      <c r="W280" s="62">
        <f>IF($V280="Macro",COUNTIFS($U$5:$U$1000,ROW(),$V$5:$V$1000,"Sub"),"")</f>
        <v/>
      </c>
      <c r="X280" s="62">
        <f>IF($V280="","",IF(ISNUMBER($G280),1,IFERROR(LOOKUP(2,1/($I280:$L280&lt;&gt;""),$I280:$L280),0)))</f>
        <v/>
      </c>
      <c r="Y280" s="62">
        <f>IF($V280="","",IF(AND(ISNUMBER($G280),$G280&lt;=IF($S280=MesCiclo,InicioCiclo,$S280+MOD(2-WEEKDAY($S280),7))+6),1,IF(ISNUMBER($I280),$I280,0)))</f>
        <v/>
      </c>
      <c r="Z280" s="62">
        <f>IF($V280="","",IF(AND(ISNUMBER($G280),$G280&lt;=IF($S280=MesCiclo,InicioCiclo,$S280+MOD(2-WEEKDAY($S280),7))+13),1,IF(ISNUMBER($J280),$J280,$Y280)))</f>
        <v/>
      </c>
      <c r="AA280" s="62">
        <f>IF($V280="","",IF(AND(ISNUMBER($G280),$G280&lt;=IF($S280=MesCiclo,InicioCiclo,$S280+MOD(2-WEEKDAY($S280),7))+20),1,IF(ISNUMBER($K280),$K280,$Z280)))</f>
        <v/>
      </c>
      <c r="AB280" s="62">
        <f>IF($V280="","",IF(AND(ISNUMBER($G280),$G280&lt;=IF($S280=MesCiclo,InicioCiclo,$S280+MOD(2-WEEKDAY($S280),7))+27),1,IF(ISNUMBER($L280),$L280,$AA280)))</f>
        <v/>
      </c>
      <c r="AC280" s="62">
        <f>IF($V280="","",IF(AND(ISNUMBER($G280),$G280&lt;=IF($S280=MesCiclo,InicioCiclo,$S280+MOD(2-WEEKDAY($S280),7))+6),1,IF(N($W280)&gt;0,AVERAGEIFS($Y$5:$Y$1000,$U$5:$U$1000,ROW(),$V$5:$V$1000,"Sub"),$Y280)))</f>
        <v/>
      </c>
      <c r="AD280" s="62">
        <f>IF($V280="","",IF(AND(ISNUMBER($G280),$G280&lt;=IF($S280=MesCiclo,InicioCiclo,$S280+MOD(2-WEEKDAY($S280),7))+13),1,IF(N($W280)&gt;0,AVERAGEIFS($Z$5:$Z$1000,$U$5:$U$1000,ROW(),$V$5:$V$1000,"Sub"),$Z280)))</f>
        <v/>
      </c>
      <c r="AE280" s="62">
        <f>IF($V280="","",IF(AND(ISNUMBER($G280),$G280&lt;=IF($S280=MesCiclo,InicioCiclo,$S280+MOD(2-WEEKDAY($S280),7))+20),1,IF(N($W280)&gt;0,AVERAGEIFS($AA$5:$AA$1000,$U$5:$U$1000,ROW(),$V$5:$V$1000,"Sub"),$AA280)))</f>
        <v/>
      </c>
      <c r="AF280" s="62">
        <f>IF($V280="","",IF(AND(ISNUMBER($G280),$G280&lt;=IF($S280=MesCiclo,InicioCiclo,$S280+MOD(2-WEEKDAY($S280),7))+27),1,IF(N($W280)&gt;0,AVERAGEIFS($AB$5:$AB$1000,$U$5:$U$1000,ROW(),$V$5:$V$1000,"Sub"),$AB280)))</f>
        <v/>
      </c>
      <c r="AG280" s="62">
        <f>IF($V280&lt;&gt;"Macro","",IF(COUNTIFS($S$5:$S$1000,$S280,$V$5:$V$1000,"Macro",$H$5:$H$1000,"&gt;0")=0,1/COUNTIFS($S$5:$S$1000,$S280,$V$5:$V$1000,"Macro"),IF(AND(ISNUMBER($H280),N($H280)&gt;0),$H280,SUMIFS($H$5:$H$1000,$S$5:$S$1000,$S280,$V$5:$V$1000,"Macro")/COUNTIFS($S$5:$S$1000,$S280,$V$5:$V$1000,"Macro",$H$5:$H$1000,"&gt;0"))/(COUNTIFS($S$5:$S$1000,$S280,$V$5:$V$1000,"Macro")*SUMIFS($H$5:$H$1000,$S$5:$S$1000,$S280,$V$5:$V$1000,"Macro")/COUNTIFS($S$5:$S$1000,$S280,$V$5:$V$1000,"Macro",$H$5:$H$1000,"&gt;0"))))</f>
        <v/>
      </c>
      <c r="AH280" s="62" t="n"/>
      <c r="AI280" s="62" t="n"/>
      <c r="AJ280" s="62" t="n"/>
      <c r="AK280" s="62" t="n"/>
      <c r="AL280" s="62">
        <f>IF(LEFT($C280,11)="[Jefatura] ",IFERROR(MATCH("Asistente Técnico de Riesgo|"&amp;MID($C280,12,500),rDname_ADM,0),0),"")</f>
        <v/>
      </c>
      <c r="AM280" s="62">
        <f>IF(N($AL280)&gt;0,INDEX(rIni_ADM,$AL280),IF(ISNUMBER($E280),$E280,""))</f>
        <v/>
      </c>
      <c r="AN280" s="62">
        <f>IF(N($AL280)&gt;0,INDEX(rLim_ADM,$AL280),IF(ISNUMBER($F280),$F280,""))</f>
        <v/>
      </c>
    </row>
    <row r="281">
      <c r="A281" s="56">
        <f>IF(NOT((COUNTA($B281:$D281)+COUNTA($G281:$L281)+COUNTA($Q281))&gt;0),"",IF($V281="Macro",COUNTIFS($V$5:$V281,"Macro",$S$5:$S281,$S281),IF(N($U281)=0,"?",COUNTIFS(INDEX($V$5:$V$1000,1):INDEX($V$5:$V$1000,$U281-4),"Macro",INDEX($S$5:$S$1000,1):INDEX($S$5:$S$1000,$U281-4),INDEX($S$5:$S$1000,$U281-4))&amp;"."&amp;COUNTIFS($U$5:$U281,$U281,$V$5:$V281,"Sub"))))</f>
        <v/>
      </c>
      <c r="B281" s="57" t="n"/>
      <c r="C281" s="58" t="n"/>
      <c r="D281" s="58" t="n"/>
      <c r="E281" s="59">
        <f>IF(N($AL281)&gt;0,INDEX(rIni_ADM,$AL281),"")</f>
        <v/>
      </c>
      <c r="F281" s="59">
        <f>IF(N($AL281)&gt;0,INDEX(rLim_ADM,$AL281),"")</f>
        <v/>
      </c>
      <c r="G281" s="59" t="n"/>
      <c r="H281" s="60" t="n"/>
      <c r="I281" s="60" t="n"/>
      <c r="J281" s="60" t="n"/>
      <c r="K281" s="60" t="n"/>
      <c r="L281" s="60" t="n"/>
      <c r="M281" s="61">
        <f>IF(NOT((COUNTA($B281:$D281)+COUNTA($G281:$L281)+COUNTA($Q281))&gt;0),"",IF($V281="Sub",IFERROR($X281/INDEX($W$5:$W$1000,$U281-4),""),IF(ISNUMBER($G281),1,IF(N($W281)&gt;0,AVERAGEIFS($X$5:$X$1000,$U$5:$U$1000,ROW(),$V$5:$V$1000,"Sub"),$X281))))</f>
        <v/>
      </c>
      <c r="N281" s="56">
        <f>IF(OR($M281="",$V281="Sub"),"",IF($M281&gt;=1,"Completado",IF($M281&gt;0,"En curso","Pendiente")))</f>
        <v/>
      </c>
      <c r="O281" s="56">
        <f>IF(OR(NOT((COUNTA($B281:$D281)+COUNTA($G281:$L281)+COUNTA($Q281))&gt;0),$V281="Sub"),"",IF(ISNUMBER($G281),IF(AND(ISNUMBER($AN281),$G281&gt;$AN281),"Cumplida con "&amp;($G281-$AN281)&amp;IF($G281-$AN281=1," día"," días")&amp;" de retraso","Cumplida"),IF(N($M281)&gt;=1,"Cumplida",IF(NOT(ISNUMBER($AN281)),"Sin fecha límite",IF($AN281&lt;FechaRef,"Vencida hace "&amp;(FechaRef-$AN281)&amp;IF(FechaRef-$AN281=1," día"," días"),IF($AN281=FechaRef,"Vence hoy",IF($AN281-FechaRef&lt;=DiasAlerta,"Vence en "&amp;($AN281-FechaRef)&amp;IF($AN281-FechaRef=1," día"," días"),"En plazo")))))))</f>
        <v/>
      </c>
      <c r="P281" s="62" t="n"/>
      <c r="Q281" s="58" t="n"/>
      <c r="R281" s="63">
        <f>IF(NOT((COUNTA($B281:$D281)+COUNTA($G281:$L281)+COUNTA($Q281))&gt;0),"",IF((IF($C281="","Falta el nombre de la actividad"&amp;" · ","")&amp;IF(AND($V281="Sub",N($U281)=0),"Subactividad sin macroactividad arriba"&amp;" · ","")&amp;IF($AM281="","Sin fecha de inicio"&amp;" · ","")&amp;IF($AN281="","Sin fecha límite"&amp;" · ","")&amp;IF(AND(LEFT($C281,11)="[Jefatura] ",N($AL281)=0),"No se encuentra en la hoja de la jefatura (elíjala de nuevo en la lista)"&amp;" · ","")&amp;IF(OR(AND($E281&lt;&gt;"",NOT(ISNUMBER($E281))),AND($F281&lt;&gt;"",NOT(ISNUMBER($F281))),AND($G281&lt;&gt;"",NOT(ISNUMBER($G281)))),"Fecha no válida"&amp;" · ","")&amp;IF(AND(ISNUMBER($AM281),ISNUMBER($AN281),$AM281&gt;$AN281),"Inicio posterior a fecha límite"&amp;" · ","")&amp;IF(AND($V281="Macro",$H281&lt;&gt;"",OR(NOT(ISNUMBER($H281)),$H281&lt;0,$H281&gt;1)),"Peso fuera de rango"&amp;" · ","")&amp;IF(AND($V281="Sub",$H281&lt;&gt;""),"Las subactividades no llevan peso (valen igual dentro de su macroactividad)"&amp;" · ","")&amp;IF(AND(N($W281)&gt;0,COUNT($I281:$L281)&gt;0),"Con subactividades: deje vacías las semanas (se calculan solas)"&amp;" · ","")&amp;IF((COUNTIF($I281:$L281,"&gt;1")+COUNTIF($I281:$L281,"&lt;0")+COUNTA($I281:$L281)-COUNT($I281:$L281))&gt;0,"Avance fuera de rango 0-100%"&amp;" · ","")&amp;IF(OR(AND($J281&lt;&gt;"",$J281&lt;$I281),AND($K281&lt;&gt;"",$K281&lt;MAX($I281:$J281)),AND($L281&lt;&gt;"",$L281&lt;MAX($I281:$K281))),"Avance semanal decreciente"&amp;" · ","")&amp;IF(AND(ISNUMBER($AN281),$AN281&lt;FechaRef,IF($V281="Sub",N($X281),N($M281))&lt;1),"Vencida"&amp;" · ","")&amp;IF(AND(ObsObligatoria="Sí",ISNUMBER($AN281),$AN281&lt;FechaRef,IF($V281="Sub",N($X281),N($M281))&lt;1,$Q281=""),"Vencida sin observación"&amp;" · ",""))="","✔ OK","⚠ "&amp;LEFT(IF($C281="","Falta el nombre de la actividad"&amp;" · ","")&amp;IF(AND($V281="Sub",N($U281)=0),"Subactividad sin macroactividad arriba"&amp;" · ","")&amp;IF($AM281="","Sin fecha de inicio"&amp;" · ","")&amp;IF($AN281="","Sin fecha límite"&amp;" · ","")&amp;IF(AND(LEFT($C281,11)="[Jefatura] ",N($AL281)=0),"No se encuentra en la hoja de la jefatura (elíjala de nuevo en la lista)"&amp;" · ","")&amp;IF(OR(AND($E281&lt;&gt;"",NOT(ISNUMBER($E281))),AND($F281&lt;&gt;"",NOT(ISNUMBER($F281))),AND($G281&lt;&gt;"",NOT(ISNUMBER($G281)))),"Fecha no válida"&amp;" · ","")&amp;IF(AND(ISNUMBER($AM281),ISNUMBER($AN281),$AM281&gt;$AN281),"Inicio posterior a fecha límite"&amp;" · ","")&amp;IF(AND($V281="Macro",$H281&lt;&gt;"",OR(NOT(ISNUMBER($H281)),$H281&lt;0,$H281&gt;1)),"Peso fuera de rango"&amp;" · ","")&amp;IF(AND($V281="Sub",$H281&lt;&gt;""),"Las subactividades no llevan peso (valen igual dentro de su macroactividad)"&amp;" · ","")&amp;IF(AND(N($W281)&gt;0,COUNT($I281:$L281)&gt;0),"Con subactividades: deje vacías las semanas (se calculan solas)"&amp;" · ","")&amp;IF((COUNTIF($I281:$L281,"&gt;1")+COUNTIF($I281:$L281,"&lt;0")+COUNTA($I281:$L281)-COUNT($I281:$L281))&gt;0,"Avance fuera de rango 0-100%"&amp;" · ","")&amp;IF(OR(AND($J281&lt;&gt;"",$J281&lt;$I281),AND($K281&lt;&gt;"",$K281&lt;MAX($I281:$J281)),AND($L281&lt;&gt;"",$L281&lt;MAX($I281:$K281))),"Avance semanal decreciente"&amp;" · ","")&amp;IF(AND(ISNUMBER($AN281),$AN281&lt;FechaRef,IF($V281="Sub",N($X281),N($M281))&lt;1),"Vencida"&amp;" · ","")&amp;IF(AND(ObsObligatoria="Sí",ISNUMBER($AN281),$AN281&lt;FechaRef,IF($V281="Sub",N($X281),N($M281))&lt;1,$Q281=""),"Vencida sin observación"&amp;" · ",""),LEN(IF($C281="","Falta el nombre de la actividad"&amp;" · ","")&amp;IF(AND($V281="Sub",N($U281)=0),"Subactividad sin macroactividad arriba"&amp;" · ","")&amp;IF($AM281="","Sin fecha de inicio"&amp;" · ","")&amp;IF($AN281="","Sin fecha límite"&amp;" · ","")&amp;IF(AND(LEFT($C281,11)="[Jefatura] ",N($AL281)=0),"No se encuentra en la hoja de la jefatura (elíjala de nuevo en la lista)"&amp;" · ","")&amp;IF(OR(AND($E281&lt;&gt;"",NOT(ISNUMBER($E281))),AND($F281&lt;&gt;"",NOT(ISNUMBER($F281))),AND($G281&lt;&gt;"",NOT(ISNUMBER($G281)))),"Fecha no válida"&amp;" · ","")&amp;IF(AND(ISNUMBER($AM281),ISNUMBER($AN281),$AM281&gt;$AN281),"Inicio posterior a fecha límite"&amp;" · ","")&amp;IF(AND($V281="Macro",$H281&lt;&gt;"",OR(NOT(ISNUMBER($H281)),$H281&lt;0,$H281&gt;1)),"Peso fuera de rango"&amp;" · ","")&amp;IF(AND($V281="Sub",$H281&lt;&gt;""),"Las subactividades no llevan peso (valen igual dentro de su macroactividad)"&amp;" · ","")&amp;IF(AND(N($W281)&gt;0,COUNT($I281:$L281)&gt;0),"Con subactividades: deje vacías las semanas (se calculan solas)"&amp;" · ","")&amp;IF((COUNTIF($I281:$L281,"&gt;1")+COUNTIF($I281:$L281,"&lt;0")+COUNTA($I281:$L281)-COUNT($I281:$L281))&gt;0,"Avance fuera de rango 0-100%"&amp;" · ","")&amp;IF(OR(AND($J281&lt;&gt;"",$J281&lt;$I281),AND($K281&lt;&gt;"",$K281&lt;MAX($I281:$J281)),AND($L281&lt;&gt;"",$L281&lt;MAX($I281:$K281))),"Avance semanal decreciente"&amp;" · ","")&amp;IF(AND(ISNUMBER($AN281),$AN281&lt;FechaRef,IF($V281="Sub",N($X281),N($M281))&lt;1),"Vencida"&amp;" · ","")&amp;IF(AND(ObsObligatoria="Sí",ISNUMBER($AN281),$AN281&lt;FechaRef,IF($V281="Sub",N($X281),N($M281))&lt;1,$Q281=""),"Vencida sin observación"&amp;" · ",""))-3)))</f>
        <v/>
      </c>
      <c r="S281" s="64">
        <f>IF(NOT((COUNTA($B281:$D281)+COUNTA($G281:$L281)+COUNTA($Q281))&gt;0),"",IF(AND($V281="Sub",N($U281)&gt;0),IF(ISNUMBER(INDEX($AM$5:$AM$1000,$U281-4)),DATE(YEAR(INDEX($AM$5:$AM$1000,$U281-4)),MONTH(INDEX($AM$5:$AM$1000,$U281-4)),1),IF(ISNUMBER(INDEX($AN$5:$AN$1000,$U281-4)),DATE(YEAR(INDEX($AN$5:$AN$1000,$U281-4)),MONTH(INDEX($AN$5:$AN$1000,$U281-4)),1),MesCiclo)),IF(ISNUMBER($AM281),DATE(YEAR($AM281),MONTH($AM281),1),IF(ISNUMBER($AN281),DATE(YEAR($AN281),MONTH($AN281),1),MesCiclo))))</f>
        <v/>
      </c>
      <c r="T281" s="62">
        <f>IF(OR($S281="",$S281&lt;&gt;MesCiclo,$V281&lt;&gt;"Macro"),"",COUNTIFS($S$5:$S281,MesCiclo,$V$5:$V281,"Macro"))</f>
        <v/>
      </c>
      <c r="U281" s="62">
        <f>IF($V281="","",IF($V281="Macro",ROW(),IFERROR(LOOKUP(2,1/($V$5:$V281="Macro"),ROW($V$5:$V281)),0)))</f>
        <v/>
      </c>
      <c r="V281" s="62">
        <f>IF(NOT((COUNTA($B281:$D281)+COUNTA($G281:$L281)+COUNTA($Q281))&gt;0),"",IF($B281="Subactividad","Sub","Macro"))</f>
        <v/>
      </c>
      <c r="W281" s="62">
        <f>IF($V281="Macro",COUNTIFS($U$5:$U$1000,ROW(),$V$5:$V$1000,"Sub"),"")</f>
        <v/>
      </c>
      <c r="X281" s="62">
        <f>IF($V281="","",IF(ISNUMBER($G281),1,IFERROR(LOOKUP(2,1/($I281:$L281&lt;&gt;""),$I281:$L281),0)))</f>
        <v/>
      </c>
      <c r="Y281" s="62">
        <f>IF($V281="","",IF(AND(ISNUMBER($G281),$G281&lt;=IF($S281=MesCiclo,InicioCiclo,$S281+MOD(2-WEEKDAY($S281),7))+6),1,IF(ISNUMBER($I281),$I281,0)))</f>
        <v/>
      </c>
      <c r="Z281" s="62">
        <f>IF($V281="","",IF(AND(ISNUMBER($G281),$G281&lt;=IF($S281=MesCiclo,InicioCiclo,$S281+MOD(2-WEEKDAY($S281),7))+13),1,IF(ISNUMBER($J281),$J281,$Y281)))</f>
        <v/>
      </c>
      <c r="AA281" s="62">
        <f>IF($V281="","",IF(AND(ISNUMBER($G281),$G281&lt;=IF($S281=MesCiclo,InicioCiclo,$S281+MOD(2-WEEKDAY($S281),7))+20),1,IF(ISNUMBER($K281),$K281,$Z281)))</f>
        <v/>
      </c>
      <c r="AB281" s="62">
        <f>IF($V281="","",IF(AND(ISNUMBER($G281),$G281&lt;=IF($S281=MesCiclo,InicioCiclo,$S281+MOD(2-WEEKDAY($S281),7))+27),1,IF(ISNUMBER($L281),$L281,$AA281)))</f>
        <v/>
      </c>
      <c r="AC281" s="62">
        <f>IF($V281="","",IF(AND(ISNUMBER($G281),$G281&lt;=IF($S281=MesCiclo,InicioCiclo,$S281+MOD(2-WEEKDAY($S281),7))+6),1,IF(N($W281)&gt;0,AVERAGEIFS($Y$5:$Y$1000,$U$5:$U$1000,ROW(),$V$5:$V$1000,"Sub"),$Y281)))</f>
        <v/>
      </c>
      <c r="AD281" s="62">
        <f>IF($V281="","",IF(AND(ISNUMBER($G281),$G281&lt;=IF($S281=MesCiclo,InicioCiclo,$S281+MOD(2-WEEKDAY($S281),7))+13),1,IF(N($W281)&gt;0,AVERAGEIFS($Z$5:$Z$1000,$U$5:$U$1000,ROW(),$V$5:$V$1000,"Sub"),$Z281)))</f>
        <v/>
      </c>
      <c r="AE281" s="62">
        <f>IF($V281="","",IF(AND(ISNUMBER($G281),$G281&lt;=IF($S281=MesCiclo,InicioCiclo,$S281+MOD(2-WEEKDAY($S281),7))+20),1,IF(N($W281)&gt;0,AVERAGEIFS($AA$5:$AA$1000,$U$5:$U$1000,ROW(),$V$5:$V$1000,"Sub"),$AA281)))</f>
        <v/>
      </c>
      <c r="AF281" s="62">
        <f>IF($V281="","",IF(AND(ISNUMBER($G281),$G281&lt;=IF($S281=MesCiclo,InicioCiclo,$S281+MOD(2-WEEKDAY($S281),7))+27),1,IF(N($W281)&gt;0,AVERAGEIFS($AB$5:$AB$1000,$U$5:$U$1000,ROW(),$V$5:$V$1000,"Sub"),$AB281)))</f>
        <v/>
      </c>
      <c r="AG281" s="62">
        <f>IF($V281&lt;&gt;"Macro","",IF(COUNTIFS($S$5:$S$1000,$S281,$V$5:$V$1000,"Macro",$H$5:$H$1000,"&gt;0")=0,1/COUNTIFS($S$5:$S$1000,$S281,$V$5:$V$1000,"Macro"),IF(AND(ISNUMBER($H281),N($H281)&gt;0),$H281,SUMIFS($H$5:$H$1000,$S$5:$S$1000,$S281,$V$5:$V$1000,"Macro")/COUNTIFS($S$5:$S$1000,$S281,$V$5:$V$1000,"Macro",$H$5:$H$1000,"&gt;0"))/(COUNTIFS($S$5:$S$1000,$S281,$V$5:$V$1000,"Macro")*SUMIFS($H$5:$H$1000,$S$5:$S$1000,$S281,$V$5:$V$1000,"Macro")/COUNTIFS($S$5:$S$1000,$S281,$V$5:$V$1000,"Macro",$H$5:$H$1000,"&gt;0"))))</f>
        <v/>
      </c>
      <c r="AH281" s="62" t="n"/>
      <c r="AI281" s="62" t="n"/>
      <c r="AJ281" s="62" t="n"/>
      <c r="AK281" s="62" t="n"/>
      <c r="AL281" s="62">
        <f>IF(LEFT($C281,11)="[Jefatura] ",IFERROR(MATCH("Asistente Técnico de Riesgo|"&amp;MID($C281,12,500),rDname_ADM,0),0),"")</f>
        <v/>
      </c>
      <c r="AM281" s="62">
        <f>IF(N($AL281)&gt;0,INDEX(rIni_ADM,$AL281),IF(ISNUMBER($E281),$E281,""))</f>
        <v/>
      </c>
      <c r="AN281" s="62">
        <f>IF(N($AL281)&gt;0,INDEX(rLim_ADM,$AL281),IF(ISNUMBER($F281),$F281,""))</f>
        <v/>
      </c>
    </row>
    <row r="282">
      <c r="A282" s="56">
        <f>IF(NOT((COUNTA($B282:$D282)+COUNTA($G282:$L282)+COUNTA($Q282))&gt;0),"",IF($V282="Macro",COUNTIFS($V$5:$V282,"Macro",$S$5:$S282,$S282),IF(N($U282)=0,"?",COUNTIFS(INDEX($V$5:$V$1000,1):INDEX($V$5:$V$1000,$U282-4),"Macro",INDEX($S$5:$S$1000,1):INDEX($S$5:$S$1000,$U282-4),INDEX($S$5:$S$1000,$U282-4))&amp;"."&amp;COUNTIFS($U$5:$U282,$U282,$V$5:$V282,"Sub"))))</f>
        <v/>
      </c>
      <c r="B282" s="57" t="n"/>
      <c r="C282" s="58" t="n"/>
      <c r="D282" s="58" t="n"/>
      <c r="E282" s="59">
        <f>IF(N($AL282)&gt;0,INDEX(rIni_ADM,$AL282),"")</f>
        <v/>
      </c>
      <c r="F282" s="59">
        <f>IF(N($AL282)&gt;0,INDEX(rLim_ADM,$AL282),"")</f>
        <v/>
      </c>
      <c r="G282" s="59" t="n"/>
      <c r="H282" s="60" t="n"/>
      <c r="I282" s="60" t="n"/>
      <c r="J282" s="60" t="n"/>
      <c r="K282" s="60" t="n"/>
      <c r="L282" s="60" t="n"/>
      <c r="M282" s="61">
        <f>IF(NOT((COUNTA($B282:$D282)+COUNTA($G282:$L282)+COUNTA($Q282))&gt;0),"",IF($V282="Sub",IFERROR($X282/INDEX($W$5:$W$1000,$U282-4),""),IF(ISNUMBER($G282),1,IF(N($W282)&gt;0,AVERAGEIFS($X$5:$X$1000,$U$5:$U$1000,ROW(),$V$5:$V$1000,"Sub"),$X282))))</f>
        <v/>
      </c>
      <c r="N282" s="56">
        <f>IF(OR($M282="",$V282="Sub"),"",IF($M282&gt;=1,"Completado",IF($M282&gt;0,"En curso","Pendiente")))</f>
        <v/>
      </c>
      <c r="O282" s="56">
        <f>IF(OR(NOT((COUNTA($B282:$D282)+COUNTA($G282:$L282)+COUNTA($Q282))&gt;0),$V282="Sub"),"",IF(ISNUMBER($G282),IF(AND(ISNUMBER($AN282),$G282&gt;$AN282),"Cumplida con "&amp;($G282-$AN282)&amp;IF($G282-$AN282=1," día"," días")&amp;" de retraso","Cumplida"),IF(N($M282)&gt;=1,"Cumplida",IF(NOT(ISNUMBER($AN282)),"Sin fecha límite",IF($AN282&lt;FechaRef,"Vencida hace "&amp;(FechaRef-$AN282)&amp;IF(FechaRef-$AN282=1," día"," días"),IF($AN282=FechaRef,"Vence hoy",IF($AN282-FechaRef&lt;=DiasAlerta,"Vence en "&amp;($AN282-FechaRef)&amp;IF($AN282-FechaRef=1," día"," días"),"En plazo")))))))</f>
        <v/>
      </c>
      <c r="P282" s="62" t="n"/>
      <c r="Q282" s="58" t="n"/>
      <c r="R282" s="63">
        <f>IF(NOT((COUNTA($B282:$D282)+COUNTA($G282:$L282)+COUNTA($Q282))&gt;0),"",IF((IF($C282="","Falta el nombre de la actividad"&amp;" · ","")&amp;IF(AND($V282="Sub",N($U282)=0),"Subactividad sin macroactividad arriba"&amp;" · ","")&amp;IF($AM282="","Sin fecha de inicio"&amp;" · ","")&amp;IF($AN282="","Sin fecha límite"&amp;" · ","")&amp;IF(AND(LEFT($C282,11)="[Jefatura] ",N($AL282)=0),"No se encuentra en la hoja de la jefatura (elíjala de nuevo en la lista)"&amp;" · ","")&amp;IF(OR(AND($E282&lt;&gt;"",NOT(ISNUMBER($E282))),AND($F282&lt;&gt;"",NOT(ISNUMBER($F282))),AND($G282&lt;&gt;"",NOT(ISNUMBER($G282)))),"Fecha no válida"&amp;" · ","")&amp;IF(AND(ISNUMBER($AM282),ISNUMBER($AN282),$AM282&gt;$AN282),"Inicio posterior a fecha límite"&amp;" · ","")&amp;IF(AND($V282="Macro",$H282&lt;&gt;"",OR(NOT(ISNUMBER($H282)),$H282&lt;0,$H282&gt;1)),"Peso fuera de rango"&amp;" · ","")&amp;IF(AND($V282="Sub",$H282&lt;&gt;""),"Las subactividades no llevan peso (valen igual dentro de su macroactividad)"&amp;" · ","")&amp;IF(AND(N($W282)&gt;0,COUNT($I282:$L282)&gt;0),"Con subactividades: deje vacías las semanas (se calculan solas)"&amp;" · ","")&amp;IF((COUNTIF($I282:$L282,"&gt;1")+COUNTIF($I282:$L282,"&lt;0")+COUNTA($I282:$L282)-COUNT($I282:$L282))&gt;0,"Avance fuera de rango 0-100%"&amp;" · ","")&amp;IF(OR(AND($J282&lt;&gt;"",$J282&lt;$I282),AND($K282&lt;&gt;"",$K282&lt;MAX($I282:$J282)),AND($L282&lt;&gt;"",$L282&lt;MAX($I282:$K282))),"Avance semanal decreciente"&amp;" · ","")&amp;IF(AND(ISNUMBER($AN282),$AN282&lt;FechaRef,IF($V282="Sub",N($X282),N($M282))&lt;1),"Vencida"&amp;" · ","")&amp;IF(AND(ObsObligatoria="Sí",ISNUMBER($AN282),$AN282&lt;FechaRef,IF($V282="Sub",N($X282),N($M282))&lt;1,$Q282=""),"Vencida sin observación"&amp;" · ",""))="","✔ OK","⚠ "&amp;LEFT(IF($C282="","Falta el nombre de la actividad"&amp;" · ","")&amp;IF(AND($V282="Sub",N($U282)=0),"Subactividad sin macroactividad arriba"&amp;" · ","")&amp;IF($AM282="","Sin fecha de inicio"&amp;" · ","")&amp;IF($AN282="","Sin fecha límite"&amp;" · ","")&amp;IF(AND(LEFT($C282,11)="[Jefatura] ",N($AL282)=0),"No se encuentra en la hoja de la jefatura (elíjala de nuevo en la lista)"&amp;" · ","")&amp;IF(OR(AND($E282&lt;&gt;"",NOT(ISNUMBER($E282))),AND($F282&lt;&gt;"",NOT(ISNUMBER($F282))),AND($G282&lt;&gt;"",NOT(ISNUMBER($G282)))),"Fecha no válida"&amp;" · ","")&amp;IF(AND(ISNUMBER($AM282),ISNUMBER($AN282),$AM282&gt;$AN282),"Inicio posterior a fecha límite"&amp;" · ","")&amp;IF(AND($V282="Macro",$H282&lt;&gt;"",OR(NOT(ISNUMBER($H282)),$H282&lt;0,$H282&gt;1)),"Peso fuera de rango"&amp;" · ","")&amp;IF(AND($V282="Sub",$H282&lt;&gt;""),"Las subactividades no llevan peso (valen igual dentro de su macroactividad)"&amp;" · ","")&amp;IF(AND(N($W282)&gt;0,COUNT($I282:$L282)&gt;0),"Con subactividades: deje vacías las semanas (se calculan solas)"&amp;" · ","")&amp;IF((COUNTIF($I282:$L282,"&gt;1")+COUNTIF($I282:$L282,"&lt;0")+COUNTA($I282:$L282)-COUNT($I282:$L282))&gt;0,"Avance fuera de rango 0-100%"&amp;" · ","")&amp;IF(OR(AND($J282&lt;&gt;"",$J282&lt;$I282),AND($K282&lt;&gt;"",$K282&lt;MAX($I282:$J282)),AND($L282&lt;&gt;"",$L282&lt;MAX($I282:$K282))),"Avance semanal decreciente"&amp;" · ","")&amp;IF(AND(ISNUMBER($AN282),$AN282&lt;FechaRef,IF($V282="Sub",N($X282),N($M282))&lt;1),"Vencida"&amp;" · ","")&amp;IF(AND(ObsObligatoria="Sí",ISNUMBER($AN282),$AN282&lt;FechaRef,IF($V282="Sub",N($X282),N($M282))&lt;1,$Q282=""),"Vencida sin observación"&amp;" · ",""),LEN(IF($C282="","Falta el nombre de la actividad"&amp;" · ","")&amp;IF(AND($V282="Sub",N($U282)=0),"Subactividad sin macroactividad arriba"&amp;" · ","")&amp;IF($AM282="","Sin fecha de inicio"&amp;" · ","")&amp;IF($AN282="","Sin fecha límite"&amp;" · ","")&amp;IF(AND(LEFT($C282,11)="[Jefatura] ",N($AL282)=0),"No se encuentra en la hoja de la jefatura (elíjala de nuevo en la lista)"&amp;" · ","")&amp;IF(OR(AND($E282&lt;&gt;"",NOT(ISNUMBER($E282))),AND($F282&lt;&gt;"",NOT(ISNUMBER($F282))),AND($G282&lt;&gt;"",NOT(ISNUMBER($G282)))),"Fecha no válida"&amp;" · ","")&amp;IF(AND(ISNUMBER($AM282),ISNUMBER($AN282),$AM282&gt;$AN282),"Inicio posterior a fecha límite"&amp;" · ","")&amp;IF(AND($V282="Macro",$H282&lt;&gt;"",OR(NOT(ISNUMBER($H282)),$H282&lt;0,$H282&gt;1)),"Peso fuera de rango"&amp;" · ","")&amp;IF(AND($V282="Sub",$H282&lt;&gt;""),"Las subactividades no llevan peso (valen igual dentro de su macroactividad)"&amp;" · ","")&amp;IF(AND(N($W282)&gt;0,COUNT($I282:$L282)&gt;0),"Con subactividades: deje vacías las semanas (se calculan solas)"&amp;" · ","")&amp;IF((COUNTIF($I282:$L282,"&gt;1")+COUNTIF($I282:$L282,"&lt;0")+COUNTA($I282:$L282)-COUNT($I282:$L282))&gt;0,"Avance fuera de rango 0-100%"&amp;" · ","")&amp;IF(OR(AND($J282&lt;&gt;"",$J282&lt;$I282),AND($K282&lt;&gt;"",$K282&lt;MAX($I282:$J282)),AND($L282&lt;&gt;"",$L282&lt;MAX($I282:$K282))),"Avance semanal decreciente"&amp;" · ","")&amp;IF(AND(ISNUMBER($AN282),$AN282&lt;FechaRef,IF($V282="Sub",N($X282),N($M282))&lt;1),"Vencida"&amp;" · ","")&amp;IF(AND(ObsObligatoria="Sí",ISNUMBER($AN282),$AN282&lt;FechaRef,IF($V282="Sub",N($X282),N($M282))&lt;1,$Q282=""),"Vencida sin observación"&amp;" · ",""))-3)))</f>
        <v/>
      </c>
      <c r="S282" s="64">
        <f>IF(NOT((COUNTA($B282:$D282)+COUNTA($G282:$L282)+COUNTA($Q282))&gt;0),"",IF(AND($V282="Sub",N($U282)&gt;0),IF(ISNUMBER(INDEX($AM$5:$AM$1000,$U282-4)),DATE(YEAR(INDEX($AM$5:$AM$1000,$U282-4)),MONTH(INDEX($AM$5:$AM$1000,$U282-4)),1),IF(ISNUMBER(INDEX($AN$5:$AN$1000,$U282-4)),DATE(YEAR(INDEX($AN$5:$AN$1000,$U282-4)),MONTH(INDEX($AN$5:$AN$1000,$U282-4)),1),MesCiclo)),IF(ISNUMBER($AM282),DATE(YEAR($AM282),MONTH($AM282),1),IF(ISNUMBER($AN282),DATE(YEAR($AN282),MONTH($AN282),1),MesCiclo))))</f>
        <v/>
      </c>
      <c r="T282" s="62">
        <f>IF(OR($S282="",$S282&lt;&gt;MesCiclo,$V282&lt;&gt;"Macro"),"",COUNTIFS($S$5:$S282,MesCiclo,$V$5:$V282,"Macro"))</f>
        <v/>
      </c>
      <c r="U282" s="62">
        <f>IF($V282="","",IF($V282="Macro",ROW(),IFERROR(LOOKUP(2,1/($V$5:$V282="Macro"),ROW($V$5:$V282)),0)))</f>
        <v/>
      </c>
      <c r="V282" s="62">
        <f>IF(NOT((COUNTA($B282:$D282)+COUNTA($G282:$L282)+COUNTA($Q282))&gt;0),"",IF($B282="Subactividad","Sub","Macro"))</f>
        <v/>
      </c>
      <c r="W282" s="62">
        <f>IF($V282="Macro",COUNTIFS($U$5:$U$1000,ROW(),$V$5:$V$1000,"Sub"),"")</f>
        <v/>
      </c>
      <c r="X282" s="62">
        <f>IF($V282="","",IF(ISNUMBER($G282),1,IFERROR(LOOKUP(2,1/($I282:$L282&lt;&gt;""),$I282:$L282),0)))</f>
        <v/>
      </c>
      <c r="Y282" s="62">
        <f>IF($V282="","",IF(AND(ISNUMBER($G282),$G282&lt;=IF($S282=MesCiclo,InicioCiclo,$S282+MOD(2-WEEKDAY($S282),7))+6),1,IF(ISNUMBER($I282),$I282,0)))</f>
        <v/>
      </c>
      <c r="Z282" s="62">
        <f>IF($V282="","",IF(AND(ISNUMBER($G282),$G282&lt;=IF($S282=MesCiclo,InicioCiclo,$S282+MOD(2-WEEKDAY($S282),7))+13),1,IF(ISNUMBER($J282),$J282,$Y282)))</f>
        <v/>
      </c>
      <c r="AA282" s="62">
        <f>IF($V282="","",IF(AND(ISNUMBER($G282),$G282&lt;=IF($S282=MesCiclo,InicioCiclo,$S282+MOD(2-WEEKDAY($S282),7))+20),1,IF(ISNUMBER($K282),$K282,$Z282)))</f>
        <v/>
      </c>
      <c r="AB282" s="62">
        <f>IF($V282="","",IF(AND(ISNUMBER($G282),$G282&lt;=IF($S282=MesCiclo,InicioCiclo,$S282+MOD(2-WEEKDAY($S282),7))+27),1,IF(ISNUMBER($L282),$L282,$AA282)))</f>
        <v/>
      </c>
      <c r="AC282" s="62">
        <f>IF($V282="","",IF(AND(ISNUMBER($G282),$G282&lt;=IF($S282=MesCiclo,InicioCiclo,$S282+MOD(2-WEEKDAY($S282),7))+6),1,IF(N($W282)&gt;0,AVERAGEIFS($Y$5:$Y$1000,$U$5:$U$1000,ROW(),$V$5:$V$1000,"Sub"),$Y282)))</f>
        <v/>
      </c>
      <c r="AD282" s="62">
        <f>IF($V282="","",IF(AND(ISNUMBER($G282),$G282&lt;=IF($S282=MesCiclo,InicioCiclo,$S282+MOD(2-WEEKDAY($S282),7))+13),1,IF(N($W282)&gt;0,AVERAGEIFS($Z$5:$Z$1000,$U$5:$U$1000,ROW(),$V$5:$V$1000,"Sub"),$Z282)))</f>
        <v/>
      </c>
      <c r="AE282" s="62">
        <f>IF($V282="","",IF(AND(ISNUMBER($G282),$G282&lt;=IF($S282=MesCiclo,InicioCiclo,$S282+MOD(2-WEEKDAY($S282),7))+20),1,IF(N($W282)&gt;0,AVERAGEIFS($AA$5:$AA$1000,$U$5:$U$1000,ROW(),$V$5:$V$1000,"Sub"),$AA282)))</f>
        <v/>
      </c>
      <c r="AF282" s="62">
        <f>IF($V282="","",IF(AND(ISNUMBER($G282),$G282&lt;=IF($S282=MesCiclo,InicioCiclo,$S282+MOD(2-WEEKDAY($S282),7))+27),1,IF(N($W282)&gt;0,AVERAGEIFS($AB$5:$AB$1000,$U$5:$U$1000,ROW(),$V$5:$V$1000,"Sub"),$AB282)))</f>
        <v/>
      </c>
      <c r="AG282" s="62">
        <f>IF($V282&lt;&gt;"Macro","",IF(COUNTIFS($S$5:$S$1000,$S282,$V$5:$V$1000,"Macro",$H$5:$H$1000,"&gt;0")=0,1/COUNTIFS($S$5:$S$1000,$S282,$V$5:$V$1000,"Macro"),IF(AND(ISNUMBER($H282),N($H282)&gt;0),$H282,SUMIFS($H$5:$H$1000,$S$5:$S$1000,$S282,$V$5:$V$1000,"Macro")/COUNTIFS($S$5:$S$1000,$S282,$V$5:$V$1000,"Macro",$H$5:$H$1000,"&gt;0"))/(COUNTIFS($S$5:$S$1000,$S282,$V$5:$V$1000,"Macro")*SUMIFS($H$5:$H$1000,$S$5:$S$1000,$S282,$V$5:$V$1000,"Macro")/COUNTIFS($S$5:$S$1000,$S282,$V$5:$V$1000,"Macro",$H$5:$H$1000,"&gt;0"))))</f>
        <v/>
      </c>
      <c r="AH282" s="62" t="n"/>
      <c r="AI282" s="62" t="n"/>
      <c r="AJ282" s="62" t="n"/>
      <c r="AK282" s="62" t="n"/>
      <c r="AL282" s="62">
        <f>IF(LEFT($C282,11)="[Jefatura] ",IFERROR(MATCH("Asistente Técnico de Riesgo|"&amp;MID($C282,12,500),rDname_ADM,0),0),"")</f>
        <v/>
      </c>
      <c r="AM282" s="62">
        <f>IF(N($AL282)&gt;0,INDEX(rIni_ADM,$AL282),IF(ISNUMBER($E282),$E282,""))</f>
        <v/>
      </c>
      <c r="AN282" s="62">
        <f>IF(N($AL282)&gt;0,INDEX(rLim_ADM,$AL282),IF(ISNUMBER($F282),$F282,""))</f>
        <v/>
      </c>
    </row>
    <row r="283">
      <c r="A283" s="56">
        <f>IF(NOT((COUNTA($B283:$D283)+COUNTA($G283:$L283)+COUNTA($Q283))&gt;0),"",IF($V283="Macro",COUNTIFS($V$5:$V283,"Macro",$S$5:$S283,$S283),IF(N($U283)=0,"?",COUNTIFS(INDEX($V$5:$V$1000,1):INDEX($V$5:$V$1000,$U283-4),"Macro",INDEX($S$5:$S$1000,1):INDEX($S$5:$S$1000,$U283-4),INDEX($S$5:$S$1000,$U283-4))&amp;"."&amp;COUNTIFS($U$5:$U283,$U283,$V$5:$V283,"Sub"))))</f>
        <v/>
      </c>
      <c r="B283" s="57" t="n"/>
      <c r="C283" s="58" t="n"/>
      <c r="D283" s="58" t="n"/>
      <c r="E283" s="59">
        <f>IF(N($AL283)&gt;0,INDEX(rIni_ADM,$AL283),"")</f>
        <v/>
      </c>
      <c r="F283" s="59">
        <f>IF(N($AL283)&gt;0,INDEX(rLim_ADM,$AL283),"")</f>
        <v/>
      </c>
      <c r="G283" s="59" t="n"/>
      <c r="H283" s="60" t="n"/>
      <c r="I283" s="60" t="n"/>
      <c r="J283" s="60" t="n"/>
      <c r="K283" s="60" t="n"/>
      <c r="L283" s="60" t="n"/>
      <c r="M283" s="61">
        <f>IF(NOT((COUNTA($B283:$D283)+COUNTA($G283:$L283)+COUNTA($Q283))&gt;0),"",IF($V283="Sub",IFERROR($X283/INDEX($W$5:$W$1000,$U283-4),""),IF(ISNUMBER($G283),1,IF(N($W283)&gt;0,AVERAGEIFS($X$5:$X$1000,$U$5:$U$1000,ROW(),$V$5:$V$1000,"Sub"),$X283))))</f>
        <v/>
      </c>
      <c r="N283" s="56">
        <f>IF(OR($M283="",$V283="Sub"),"",IF($M283&gt;=1,"Completado",IF($M283&gt;0,"En curso","Pendiente")))</f>
        <v/>
      </c>
      <c r="O283" s="56">
        <f>IF(OR(NOT((COUNTA($B283:$D283)+COUNTA($G283:$L283)+COUNTA($Q283))&gt;0),$V283="Sub"),"",IF(ISNUMBER($G283),IF(AND(ISNUMBER($AN283),$G283&gt;$AN283),"Cumplida con "&amp;($G283-$AN283)&amp;IF($G283-$AN283=1," día"," días")&amp;" de retraso","Cumplida"),IF(N($M283)&gt;=1,"Cumplida",IF(NOT(ISNUMBER($AN283)),"Sin fecha límite",IF($AN283&lt;FechaRef,"Vencida hace "&amp;(FechaRef-$AN283)&amp;IF(FechaRef-$AN283=1," día"," días"),IF($AN283=FechaRef,"Vence hoy",IF($AN283-FechaRef&lt;=DiasAlerta,"Vence en "&amp;($AN283-FechaRef)&amp;IF($AN283-FechaRef=1," día"," días"),"En plazo")))))))</f>
        <v/>
      </c>
      <c r="P283" s="62" t="n"/>
      <c r="Q283" s="58" t="n"/>
      <c r="R283" s="63">
        <f>IF(NOT((COUNTA($B283:$D283)+COUNTA($G283:$L283)+COUNTA($Q283))&gt;0),"",IF((IF($C283="","Falta el nombre de la actividad"&amp;" · ","")&amp;IF(AND($V283="Sub",N($U283)=0),"Subactividad sin macroactividad arriba"&amp;" · ","")&amp;IF($AM283="","Sin fecha de inicio"&amp;" · ","")&amp;IF($AN283="","Sin fecha límite"&amp;" · ","")&amp;IF(AND(LEFT($C283,11)="[Jefatura] ",N($AL283)=0),"No se encuentra en la hoja de la jefatura (elíjala de nuevo en la lista)"&amp;" · ","")&amp;IF(OR(AND($E283&lt;&gt;"",NOT(ISNUMBER($E283))),AND($F283&lt;&gt;"",NOT(ISNUMBER($F283))),AND($G283&lt;&gt;"",NOT(ISNUMBER($G283)))),"Fecha no válida"&amp;" · ","")&amp;IF(AND(ISNUMBER($AM283),ISNUMBER($AN283),$AM283&gt;$AN283),"Inicio posterior a fecha límite"&amp;" · ","")&amp;IF(AND($V283="Macro",$H283&lt;&gt;"",OR(NOT(ISNUMBER($H283)),$H283&lt;0,$H283&gt;1)),"Peso fuera de rango"&amp;" · ","")&amp;IF(AND($V283="Sub",$H283&lt;&gt;""),"Las subactividades no llevan peso (valen igual dentro de su macroactividad)"&amp;" · ","")&amp;IF(AND(N($W283)&gt;0,COUNT($I283:$L283)&gt;0),"Con subactividades: deje vacías las semanas (se calculan solas)"&amp;" · ","")&amp;IF((COUNTIF($I283:$L283,"&gt;1")+COUNTIF($I283:$L283,"&lt;0")+COUNTA($I283:$L283)-COUNT($I283:$L283))&gt;0,"Avance fuera de rango 0-100%"&amp;" · ","")&amp;IF(OR(AND($J283&lt;&gt;"",$J283&lt;$I283),AND($K283&lt;&gt;"",$K283&lt;MAX($I283:$J283)),AND($L283&lt;&gt;"",$L283&lt;MAX($I283:$K283))),"Avance semanal decreciente"&amp;" · ","")&amp;IF(AND(ISNUMBER($AN283),$AN283&lt;FechaRef,IF($V283="Sub",N($X283),N($M283))&lt;1),"Vencida"&amp;" · ","")&amp;IF(AND(ObsObligatoria="Sí",ISNUMBER($AN283),$AN283&lt;FechaRef,IF($V283="Sub",N($X283),N($M283))&lt;1,$Q283=""),"Vencida sin observación"&amp;" · ",""))="","✔ OK","⚠ "&amp;LEFT(IF($C283="","Falta el nombre de la actividad"&amp;" · ","")&amp;IF(AND($V283="Sub",N($U283)=0),"Subactividad sin macroactividad arriba"&amp;" · ","")&amp;IF($AM283="","Sin fecha de inicio"&amp;" · ","")&amp;IF($AN283="","Sin fecha límite"&amp;" · ","")&amp;IF(AND(LEFT($C283,11)="[Jefatura] ",N($AL283)=0),"No se encuentra en la hoja de la jefatura (elíjala de nuevo en la lista)"&amp;" · ","")&amp;IF(OR(AND($E283&lt;&gt;"",NOT(ISNUMBER($E283))),AND($F283&lt;&gt;"",NOT(ISNUMBER($F283))),AND($G283&lt;&gt;"",NOT(ISNUMBER($G283)))),"Fecha no válida"&amp;" · ","")&amp;IF(AND(ISNUMBER($AM283),ISNUMBER($AN283),$AM283&gt;$AN283),"Inicio posterior a fecha límite"&amp;" · ","")&amp;IF(AND($V283="Macro",$H283&lt;&gt;"",OR(NOT(ISNUMBER($H283)),$H283&lt;0,$H283&gt;1)),"Peso fuera de rango"&amp;" · ","")&amp;IF(AND($V283="Sub",$H283&lt;&gt;""),"Las subactividades no llevan peso (valen igual dentro de su macroactividad)"&amp;" · ","")&amp;IF(AND(N($W283)&gt;0,COUNT($I283:$L283)&gt;0),"Con subactividades: deje vacías las semanas (se calculan solas)"&amp;" · ","")&amp;IF((COUNTIF($I283:$L283,"&gt;1")+COUNTIF($I283:$L283,"&lt;0")+COUNTA($I283:$L283)-COUNT($I283:$L283))&gt;0,"Avance fuera de rango 0-100%"&amp;" · ","")&amp;IF(OR(AND($J283&lt;&gt;"",$J283&lt;$I283),AND($K283&lt;&gt;"",$K283&lt;MAX($I283:$J283)),AND($L283&lt;&gt;"",$L283&lt;MAX($I283:$K283))),"Avance semanal decreciente"&amp;" · ","")&amp;IF(AND(ISNUMBER($AN283),$AN283&lt;FechaRef,IF($V283="Sub",N($X283),N($M283))&lt;1),"Vencida"&amp;" · ","")&amp;IF(AND(ObsObligatoria="Sí",ISNUMBER($AN283),$AN283&lt;FechaRef,IF($V283="Sub",N($X283),N($M283))&lt;1,$Q283=""),"Vencida sin observación"&amp;" · ",""),LEN(IF($C283="","Falta el nombre de la actividad"&amp;" · ","")&amp;IF(AND($V283="Sub",N($U283)=0),"Subactividad sin macroactividad arriba"&amp;" · ","")&amp;IF($AM283="","Sin fecha de inicio"&amp;" · ","")&amp;IF($AN283="","Sin fecha límite"&amp;" · ","")&amp;IF(AND(LEFT($C283,11)="[Jefatura] ",N($AL283)=0),"No se encuentra en la hoja de la jefatura (elíjala de nuevo en la lista)"&amp;" · ","")&amp;IF(OR(AND($E283&lt;&gt;"",NOT(ISNUMBER($E283))),AND($F283&lt;&gt;"",NOT(ISNUMBER($F283))),AND($G283&lt;&gt;"",NOT(ISNUMBER($G283)))),"Fecha no válida"&amp;" · ","")&amp;IF(AND(ISNUMBER($AM283),ISNUMBER($AN283),$AM283&gt;$AN283),"Inicio posterior a fecha límite"&amp;" · ","")&amp;IF(AND($V283="Macro",$H283&lt;&gt;"",OR(NOT(ISNUMBER($H283)),$H283&lt;0,$H283&gt;1)),"Peso fuera de rango"&amp;" · ","")&amp;IF(AND($V283="Sub",$H283&lt;&gt;""),"Las subactividades no llevan peso (valen igual dentro de su macroactividad)"&amp;" · ","")&amp;IF(AND(N($W283)&gt;0,COUNT($I283:$L283)&gt;0),"Con subactividades: deje vacías las semanas (se calculan solas)"&amp;" · ","")&amp;IF((COUNTIF($I283:$L283,"&gt;1")+COUNTIF($I283:$L283,"&lt;0")+COUNTA($I283:$L283)-COUNT($I283:$L283))&gt;0,"Avance fuera de rango 0-100%"&amp;" · ","")&amp;IF(OR(AND($J283&lt;&gt;"",$J283&lt;$I283),AND($K283&lt;&gt;"",$K283&lt;MAX($I283:$J283)),AND($L283&lt;&gt;"",$L283&lt;MAX($I283:$K283))),"Avance semanal decreciente"&amp;" · ","")&amp;IF(AND(ISNUMBER($AN283),$AN283&lt;FechaRef,IF($V283="Sub",N($X283),N($M283))&lt;1),"Vencida"&amp;" · ","")&amp;IF(AND(ObsObligatoria="Sí",ISNUMBER($AN283),$AN283&lt;FechaRef,IF($V283="Sub",N($X283),N($M283))&lt;1,$Q283=""),"Vencida sin observación"&amp;" · ",""))-3)))</f>
        <v/>
      </c>
      <c r="S283" s="64">
        <f>IF(NOT((COUNTA($B283:$D283)+COUNTA($G283:$L283)+COUNTA($Q283))&gt;0),"",IF(AND($V283="Sub",N($U283)&gt;0),IF(ISNUMBER(INDEX($AM$5:$AM$1000,$U283-4)),DATE(YEAR(INDEX($AM$5:$AM$1000,$U283-4)),MONTH(INDEX($AM$5:$AM$1000,$U283-4)),1),IF(ISNUMBER(INDEX($AN$5:$AN$1000,$U283-4)),DATE(YEAR(INDEX($AN$5:$AN$1000,$U283-4)),MONTH(INDEX($AN$5:$AN$1000,$U283-4)),1),MesCiclo)),IF(ISNUMBER($AM283),DATE(YEAR($AM283),MONTH($AM283),1),IF(ISNUMBER($AN283),DATE(YEAR($AN283),MONTH($AN283),1),MesCiclo))))</f>
        <v/>
      </c>
      <c r="T283" s="62">
        <f>IF(OR($S283="",$S283&lt;&gt;MesCiclo,$V283&lt;&gt;"Macro"),"",COUNTIFS($S$5:$S283,MesCiclo,$V$5:$V283,"Macro"))</f>
        <v/>
      </c>
      <c r="U283" s="62">
        <f>IF($V283="","",IF($V283="Macro",ROW(),IFERROR(LOOKUP(2,1/($V$5:$V283="Macro"),ROW($V$5:$V283)),0)))</f>
        <v/>
      </c>
      <c r="V283" s="62">
        <f>IF(NOT((COUNTA($B283:$D283)+COUNTA($G283:$L283)+COUNTA($Q283))&gt;0),"",IF($B283="Subactividad","Sub","Macro"))</f>
        <v/>
      </c>
      <c r="W283" s="62">
        <f>IF($V283="Macro",COUNTIFS($U$5:$U$1000,ROW(),$V$5:$V$1000,"Sub"),"")</f>
        <v/>
      </c>
      <c r="X283" s="62">
        <f>IF($V283="","",IF(ISNUMBER($G283),1,IFERROR(LOOKUP(2,1/($I283:$L283&lt;&gt;""),$I283:$L283),0)))</f>
        <v/>
      </c>
      <c r="Y283" s="62">
        <f>IF($V283="","",IF(AND(ISNUMBER($G283),$G283&lt;=IF($S283=MesCiclo,InicioCiclo,$S283+MOD(2-WEEKDAY($S283),7))+6),1,IF(ISNUMBER($I283),$I283,0)))</f>
        <v/>
      </c>
      <c r="Z283" s="62">
        <f>IF($V283="","",IF(AND(ISNUMBER($G283),$G283&lt;=IF($S283=MesCiclo,InicioCiclo,$S283+MOD(2-WEEKDAY($S283),7))+13),1,IF(ISNUMBER($J283),$J283,$Y283)))</f>
        <v/>
      </c>
      <c r="AA283" s="62">
        <f>IF($V283="","",IF(AND(ISNUMBER($G283),$G283&lt;=IF($S283=MesCiclo,InicioCiclo,$S283+MOD(2-WEEKDAY($S283),7))+20),1,IF(ISNUMBER($K283),$K283,$Z283)))</f>
        <v/>
      </c>
      <c r="AB283" s="62">
        <f>IF($V283="","",IF(AND(ISNUMBER($G283),$G283&lt;=IF($S283=MesCiclo,InicioCiclo,$S283+MOD(2-WEEKDAY($S283),7))+27),1,IF(ISNUMBER($L283),$L283,$AA283)))</f>
        <v/>
      </c>
      <c r="AC283" s="62">
        <f>IF($V283="","",IF(AND(ISNUMBER($G283),$G283&lt;=IF($S283=MesCiclo,InicioCiclo,$S283+MOD(2-WEEKDAY($S283),7))+6),1,IF(N($W283)&gt;0,AVERAGEIFS($Y$5:$Y$1000,$U$5:$U$1000,ROW(),$V$5:$V$1000,"Sub"),$Y283)))</f>
        <v/>
      </c>
      <c r="AD283" s="62">
        <f>IF($V283="","",IF(AND(ISNUMBER($G283),$G283&lt;=IF($S283=MesCiclo,InicioCiclo,$S283+MOD(2-WEEKDAY($S283),7))+13),1,IF(N($W283)&gt;0,AVERAGEIFS($Z$5:$Z$1000,$U$5:$U$1000,ROW(),$V$5:$V$1000,"Sub"),$Z283)))</f>
        <v/>
      </c>
      <c r="AE283" s="62">
        <f>IF($V283="","",IF(AND(ISNUMBER($G283),$G283&lt;=IF($S283=MesCiclo,InicioCiclo,$S283+MOD(2-WEEKDAY($S283),7))+20),1,IF(N($W283)&gt;0,AVERAGEIFS($AA$5:$AA$1000,$U$5:$U$1000,ROW(),$V$5:$V$1000,"Sub"),$AA283)))</f>
        <v/>
      </c>
      <c r="AF283" s="62">
        <f>IF($V283="","",IF(AND(ISNUMBER($G283),$G283&lt;=IF($S283=MesCiclo,InicioCiclo,$S283+MOD(2-WEEKDAY($S283),7))+27),1,IF(N($W283)&gt;0,AVERAGEIFS($AB$5:$AB$1000,$U$5:$U$1000,ROW(),$V$5:$V$1000,"Sub"),$AB283)))</f>
        <v/>
      </c>
      <c r="AG283" s="62">
        <f>IF($V283&lt;&gt;"Macro","",IF(COUNTIFS($S$5:$S$1000,$S283,$V$5:$V$1000,"Macro",$H$5:$H$1000,"&gt;0")=0,1/COUNTIFS($S$5:$S$1000,$S283,$V$5:$V$1000,"Macro"),IF(AND(ISNUMBER($H283),N($H283)&gt;0),$H283,SUMIFS($H$5:$H$1000,$S$5:$S$1000,$S283,$V$5:$V$1000,"Macro")/COUNTIFS($S$5:$S$1000,$S283,$V$5:$V$1000,"Macro",$H$5:$H$1000,"&gt;0"))/(COUNTIFS($S$5:$S$1000,$S283,$V$5:$V$1000,"Macro")*SUMIFS($H$5:$H$1000,$S$5:$S$1000,$S283,$V$5:$V$1000,"Macro")/COUNTIFS($S$5:$S$1000,$S283,$V$5:$V$1000,"Macro",$H$5:$H$1000,"&gt;0"))))</f>
        <v/>
      </c>
      <c r="AH283" s="62" t="n"/>
      <c r="AI283" s="62" t="n"/>
      <c r="AJ283" s="62" t="n"/>
      <c r="AK283" s="62" t="n"/>
      <c r="AL283" s="62">
        <f>IF(LEFT($C283,11)="[Jefatura] ",IFERROR(MATCH("Asistente Técnico de Riesgo|"&amp;MID($C283,12,500),rDname_ADM,0),0),"")</f>
        <v/>
      </c>
      <c r="AM283" s="62">
        <f>IF(N($AL283)&gt;0,INDEX(rIni_ADM,$AL283),IF(ISNUMBER($E283),$E283,""))</f>
        <v/>
      </c>
      <c r="AN283" s="62">
        <f>IF(N($AL283)&gt;0,INDEX(rLim_ADM,$AL283),IF(ISNUMBER($F283),$F283,""))</f>
        <v/>
      </c>
    </row>
    <row r="284">
      <c r="A284" s="56">
        <f>IF(NOT((COUNTA($B284:$D284)+COUNTA($G284:$L284)+COUNTA($Q284))&gt;0),"",IF($V284="Macro",COUNTIFS($V$5:$V284,"Macro",$S$5:$S284,$S284),IF(N($U284)=0,"?",COUNTIFS(INDEX($V$5:$V$1000,1):INDEX($V$5:$V$1000,$U284-4),"Macro",INDEX($S$5:$S$1000,1):INDEX($S$5:$S$1000,$U284-4),INDEX($S$5:$S$1000,$U284-4))&amp;"."&amp;COUNTIFS($U$5:$U284,$U284,$V$5:$V284,"Sub"))))</f>
        <v/>
      </c>
      <c r="B284" s="57" t="n"/>
      <c r="C284" s="58" t="n"/>
      <c r="D284" s="58" t="n"/>
      <c r="E284" s="59">
        <f>IF(N($AL284)&gt;0,INDEX(rIni_ADM,$AL284),"")</f>
        <v/>
      </c>
      <c r="F284" s="59">
        <f>IF(N($AL284)&gt;0,INDEX(rLim_ADM,$AL284),"")</f>
        <v/>
      </c>
      <c r="G284" s="59" t="n"/>
      <c r="H284" s="60" t="n"/>
      <c r="I284" s="60" t="n"/>
      <c r="J284" s="60" t="n"/>
      <c r="K284" s="60" t="n"/>
      <c r="L284" s="60" t="n"/>
      <c r="M284" s="61">
        <f>IF(NOT((COUNTA($B284:$D284)+COUNTA($G284:$L284)+COUNTA($Q284))&gt;0),"",IF($V284="Sub",IFERROR($X284/INDEX($W$5:$W$1000,$U284-4),""),IF(ISNUMBER($G284),1,IF(N($W284)&gt;0,AVERAGEIFS($X$5:$X$1000,$U$5:$U$1000,ROW(),$V$5:$V$1000,"Sub"),$X284))))</f>
        <v/>
      </c>
      <c r="N284" s="56">
        <f>IF(OR($M284="",$V284="Sub"),"",IF($M284&gt;=1,"Completado",IF($M284&gt;0,"En curso","Pendiente")))</f>
        <v/>
      </c>
      <c r="O284" s="56">
        <f>IF(OR(NOT((COUNTA($B284:$D284)+COUNTA($G284:$L284)+COUNTA($Q284))&gt;0),$V284="Sub"),"",IF(ISNUMBER($G284),IF(AND(ISNUMBER($AN284),$G284&gt;$AN284),"Cumplida con "&amp;($G284-$AN284)&amp;IF($G284-$AN284=1," día"," días")&amp;" de retraso","Cumplida"),IF(N($M284)&gt;=1,"Cumplida",IF(NOT(ISNUMBER($AN284)),"Sin fecha límite",IF($AN284&lt;FechaRef,"Vencida hace "&amp;(FechaRef-$AN284)&amp;IF(FechaRef-$AN284=1," día"," días"),IF($AN284=FechaRef,"Vence hoy",IF($AN284-FechaRef&lt;=DiasAlerta,"Vence en "&amp;($AN284-FechaRef)&amp;IF($AN284-FechaRef=1," día"," días"),"En plazo")))))))</f>
        <v/>
      </c>
      <c r="P284" s="62" t="n"/>
      <c r="Q284" s="58" t="n"/>
      <c r="R284" s="63">
        <f>IF(NOT((COUNTA($B284:$D284)+COUNTA($G284:$L284)+COUNTA($Q284))&gt;0),"",IF((IF($C284="","Falta el nombre de la actividad"&amp;" · ","")&amp;IF(AND($V284="Sub",N($U284)=0),"Subactividad sin macroactividad arriba"&amp;" · ","")&amp;IF($AM284="","Sin fecha de inicio"&amp;" · ","")&amp;IF($AN284="","Sin fecha límite"&amp;" · ","")&amp;IF(AND(LEFT($C284,11)="[Jefatura] ",N($AL284)=0),"No se encuentra en la hoja de la jefatura (elíjala de nuevo en la lista)"&amp;" · ","")&amp;IF(OR(AND($E284&lt;&gt;"",NOT(ISNUMBER($E284))),AND($F284&lt;&gt;"",NOT(ISNUMBER($F284))),AND($G284&lt;&gt;"",NOT(ISNUMBER($G284)))),"Fecha no válida"&amp;" · ","")&amp;IF(AND(ISNUMBER($AM284),ISNUMBER($AN284),$AM284&gt;$AN284),"Inicio posterior a fecha límite"&amp;" · ","")&amp;IF(AND($V284="Macro",$H284&lt;&gt;"",OR(NOT(ISNUMBER($H284)),$H284&lt;0,$H284&gt;1)),"Peso fuera de rango"&amp;" · ","")&amp;IF(AND($V284="Sub",$H284&lt;&gt;""),"Las subactividades no llevan peso (valen igual dentro de su macroactividad)"&amp;" · ","")&amp;IF(AND(N($W284)&gt;0,COUNT($I284:$L284)&gt;0),"Con subactividades: deje vacías las semanas (se calculan solas)"&amp;" · ","")&amp;IF((COUNTIF($I284:$L284,"&gt;1")+COUNTIF($I284:$L284,"&lt;0")+COUNTA($I284:$L284)-COUNT($I284:$L284))&gt;0,"Avance fuera de rango 0-100%"&amp;" · ","")&amp;IF(OR(AND($J284&lt;&gt;"",$J284&lt;$I284),AND($K284&lt;&gt;"",$K284&lt;MAX($I284:$J284)),AND($L284&lt;&gt;"",$L284&lt;MAX($I284:$K284))),"Avance semanal decreciente"&amp;" · ","")&amp;IF(AND(ISNUMBER($AN284),$AN284&lt;FechaRef,IF($V284="Sub",N($X284),N($M284))&lt;1),"Vencida"&amp;" · ","")&amp;IF(AND(ObsObligatoria="Sí",ISNUMBER($AN284),$AN284&lt;FechaRef,IF($V284="Sub",N($X284),N($M284))&lt;1,$Q284=""),"Vencida sin observación"&amp;" · ",""))="","✔ OK","⚠ "&amp;LEFT(IF($C284="","Falta el nombre de la actividad"&amp;" · ","")&amp;IF(AND($V284="Sub",N($U284)=0),"Subactividad sin macroactividad arriba"&amp;" · ","")&amp;IF($AM284="","Sin fecha de inicio"&amp;" · ","")&amp;IF($AN284="","Sin fecha límite"&amp;" · ","")&amp;IF(AND(LEFT($C284,11)="[Jefatura] ",N($AL284)=0),"No se encuentra en la hoja de la jefatura (elíjala de nuevo en la lista)"&amp;" · ","")&amp;IF(OR(AND($E284&lt;&gt;"",NOT(ISNUMBER($E284))),AND($F284&lt;&gt;"",NOT(ISNUMBER($F284))),AND($G284&lt;&gt;"",NOT(ISNUMBER($G284)))),"Fecha no válida"&amp;" · ","")&amp;IF(AND(ISNUMBER($AM284),ISNUMBER($AN284),$AM284&gt;$AN284),"Inicio posterior a fecha límite"&amp;" · ","")&amp;IF(AND($V284="Macro",$H284&lt;&gt;"",OR(NOT(ISNUMBER($H284)),$H284&lt;0,$H284&gt;1)),"Peso fuera de rango"&amp;" · ","")&amp;IF(AND($V284="Sub",$H284&lt;&gt;""),"Las subactividades no llevan peso (valen igual dentro de su macroactividad)"&amp;" · ","")&amp;IF(AND(N($W284)&gt;0,COUNT($I284:$L284)&gt;0),"Con subactividades: deje vacías las semanas (se calculan solas)"&amp;" · ","")&amp;IF((COUNTIF($I284:$L284,"&gt;1")+COUNTIF($I284:$L284,"&lt;0")+COUNTA($I284:$L284)-COUNT($I284:$L284))&gt;0,"Avance fuera de rango 0-100%"&amp;" · ","")&amp;IF(OR(AND($J284&lt;&gt;"",$J284&lt;$I284),AND($K284&lt;&gt;"",$K284&lt;MAX($I284:$J284)),AND($L284&lt;&gt;"",$L284&lt;MAX($I284:$K284))),"Avance semanal decreciente"&amp;" · ","")&amp;IF(AND(ISNUMBER($AN284),$AN284&lt;FechaRef,IF($V284="Sub",N($X284),N($M284))&lt;1),"Vencida"&amp;" · ","")&amp;IF(AND(ObsObligatoria="Sí",ISNUMBER($AN284),$AN284&lt;FechaRef,IF($V284="Sub",N($X284),N($M284))&lt;1,$Q284=""),"Vencida sin observación"&amp;" · ",""),LEN(IF($C284="","Falta el nombre de la actividad"&amp;" · ","")&amp;IF(AND($V284="Sub",N($U284)=0),"Subactividad sin macroactividad arriba"&amp;" · ","")&amp;IF($AM284="","Sin fecha de inicio"&amp;" · ","")&amp;IF($AN284="","Sin fecha límite"&amp;" · ","")&amp;IF(AND(LEFT($C284,11)="[Jefatura] ",N($AL284)=0),"No se encuentra en la hoja de la jefatura (elíjala de nuevo en la lista)"&amp;" · ","")&amp;IF(OR(AND($E284&lt;&gt;"",NOT(ISNUMBER($E284))),AND($F284&lt;&gt;"",NOT(ISNUMBER($F284))),AND($G284&lt;&gt;"",NOT(ISNUMBER($G284)))),"Fecha no válida"&amp;" · ","")&amp;IF(AND(ISNUMBER($AM284),ISNUMBER($AN284),$AM284&gt;$AN284),"Inicio posterior a fecha límite"&amp;" · ","")&amp;IF(AND($V284="Macro",$H284&lt;&gt;"",OR(NOT(ISNUMBER($H284)),$H284&lt;0,$H284&gt;1)),"Peso fuera de rango"&amp;" · ","")&amp;IF(AND($V284="Sub",$H284&lt;&gt;""),"Las subactividades no llevan peso (valen igual dentro de su macroactividad)"&amp;" · ","")&amp;IF(AND(N($W284)&gt;0,COUNT($I284:$L284)&gt;0),"Con subactividades: deje vacías las semanas (se calculan solas)"&amp;" · ","")&amp;IF((COUNTIF($I284:$L284,"&gt;1")+COUNTIF($I284:$L284,"&lt;0")+COUNTA($I284:$L284)-COUNT($I284:$L284))&gt;0,"Avance fuera de rango 0-100%"&amp;" · ","")&amp;IF(OR(AND($J284&lt;&gt;"",$J284&lt;$I284),AND($K284&lt;&gt;"",$K284&lt;MAX($I284:$J284)),AND($L284&lt;&gt;"",$L284&lt;MAX($I284:$K284))),"Avance semanal decreciente"&amp;" · ","")&amp;IF(AND(ISNUMBER($AN284),$AN284&lt;FechaRef,IF($V284="Sub",N($X284),N($M284))&lt;1),"Vencida"&amp;" · ","")&amp;IF(AND(ObsObligatoria="Sí",ISNUMBER($AN284),$AN284&lt;FechaRef,IF($V284="Sub",N($X284),N($M284))&lt;1,$Q284=""),"Vencida sin observación"&amp;" · ",""))-3)))</f>
        <v/>
      </c>
      <c r="S284" s="64">
        <f>IF(NOT((COUNTA($B284:$D284)+COUNTA($G284:$L284)+COUNTA($Q284))&gt;0),"",IF(AND($V284="Sub",N($U284)&gt;0),IF(ISNUMBER(INDEX($AM$5:$AM$1000,$U284-4)),DATE(YEAR(INDEX($AM$5:$AM$1000,$U284-4)),MONTH(INDEX($AM$5:$AM$1000,$U284-4)),1),IF(ISNUMBER(INDEX($AN$5:$AN$1000,$U284-4)),DATE(YEAR(INDEX($AN$5:$AN$1000,$U284-4)),MONTH(INDEX($AN$5:$AN$1000,$U284-4)),1),MesCiclo)),IF(ISNUMBER($AM284),DATE(YEAR($AM284),MONTH($AM284),1),IF(ISNUMBER($AN284),DATE(YEAR($AN284),MONTH($AN284),1),MesCiclo))))</f>
        <v/>
      </c>
      <c r="T284" s="62">
        <f>IF(OR($S284="",$S284&lt;&gt;MesCiclo,$V284&lt;&gt;"Macro"),"",COUNTIFS($S$5:$S284,MesCiclo,$V$5:$V284,"Macro"))</f>
        <v/>
      </c>
      <c r="U284" s="62">
        <f>IF($V284="","",IF($V284="Macro",ROW(),IFERROR(LOOKUP(2,1/($V$5:$V284="Macro"),ROW($V$5:$V284)),0)))</f>
        <v/>
      </c>
      <c r="V284" s="62">
        <f>IF(NOT((COUNTA($B284:$D284)+COUNTA($G284:$L284)+COUNTA($Q284))&gt;0),"",IF($B284="Subactividad","Sub","Macro"))</f>
        <v/>
      </c>
      <c r="W284" s="62">
        <f>IF($V284="Macro",COUNTIFS($U$5:$U$1000,ROW(),$V$5:$V$1000,"Sub"),"")</f>
        <v/>
      </c>
      <c r="X284" s="62">
        <f>IF($V284="","",IF(ISNUMBER($G284),1,IFERROR(LOOKUP(2,1/($I284:$L284&lt;&gt;""),$I284:$L284),0)))</f>
        <v/>
      </c>
      <c r="Y284" s="62">
        <f>IF($V284="","",IF(AND(ISNUMBER($G284),$G284&lt;=IF($S284=MesCiclo,InicioCiclo,$S284+MOD(2-WEEKDAY($S284),7))+6),1,IF(ISNUMBER($I284),$I284,0)))</f>
        <v/>
      </c>
      <c r="Z284" s="62">
        <f>IF($V284="","",IF(AND(ISNUMBER($G284),$G284&lt;=IF($S284=MesCiclo,InicioCiclo,$S284+MOD(2-WEEKDAY($S284),7))+13),1,IF(ISNUMBER($J284),$J284,$Y284)))</f>
        <v/>
      </c>
      <c r="AA284" s="62">
        <f>IF($V284="","",IF(AND(ISNUMBER($G284),$G284&lt;=IF($S284=MesCiclo,InicioCiclo,$S284+MOD(2-WEEKDAY($S284),7))+20),1,IF(ISNUMBER($K284),$K284,$Z284)))</f>
        <v/>
      </c>
      <c r="AB284" s="62">
        <f>IF($V284="","",IF(AND(ISNUMBER($G284),$G284&lt;=IF($S284=MesCiclo,InicioCiclo,$S284+MOD(2-WEEKDAY($S284),7))+27),1,IF(ISNUMBER($L284),$L284,$AA284)))</f>
        <v/>
      </c>
      <c r="AC284" s="62">
        <f>IF($V284="","",IF(AND(ISNUMBER($G284),$G284&lt;=IF($S284=MesCiclo,InicioCiclo,$S284+MOD(2-WEEKDAY($S284),7))+6),1,IF(N($W284)&gt;0,AVERAGEIFS($Y$5:$Y$1000,$U$5:$U$1000,ROW(),$V$5:$V$1000,"Sub"),$Y284)))</f>
        <v/>
      </c>
      <c r="AD284" s="62">
        <f>IF($V284="","",IF(AND(ISNUMBER($G284),$G284&lt;=IF($S284=MesCiclo,InicioCiclo,$S284+MOD(2-WEEKDAY($S284),7))+13),1,IF(N($W284)&gt;0,AVERAGEIFS($Z$5:$Z$1000,$U$5:$U$1000,ROW(),$V$5:$V$1000,"Sub"),$Z284)))</f>
        <v/>
      </c>
      <c r="AE284" s="62">
        <f>IF($V284="","",IF(AND(ISNUMBER($G284),$G284&lt;=IF($S284=MesCiclo,InicioCiclo,$S284+MOD(2-WEEKDAY($S284),7))+20),1,IF(N($W284)&gt;0,AVERAGEIFS($AA$5:$AA$1000,$U$5:$U$1000,ROW(),$V$5:$V$1000,"Sub"),$AA284)))</f>
        <v/>
      </c>
      <c r="AF284" s="62">
        <f>IF($V284="","",IF(AND(ISNUMBER($G284),$G284&lt;=IF($S284=MesCiclo,InicioCiclo,$S284+MOD(2-WEEKDAY($S284),7))+27),1,IF(N($W284)&gt;0,AVERAGEIFS($AB$5:$AB$1000,$U$5:$U$1000,ROW(),$V$5:$V$1000,"Sub"),$AB284)))</f>
        <v/>
      </c>
      <c r="AG284" s="62">
        <f>IF($V284&lt;&gt;"Macro","",IF(COUNTIFS($S$5:$S$1000,$S284,$V$5:$V$1000,"Macro",$H$5:$H$1000,"&gt;0")=0,1/COUNTIFS($S$5:$S$1000,$S284,$V$5:$V$1000,"Macro"),IF(AND(ISNUMBER($H284),N($H284)&gt;0),$H284,SUMIFS($H$5:$H$1000,$S$5:$S$1000,$S284,$V$5:$V$1000,"Macro")/COUNTIFS($S$5:$S$1000,$S284,$V$5:$V$1000,"Macro",$H$5:$H$1000,"&gt;0"))/(COUNTIFS($S$5:$S$1000,$S284,$V$5:$V$1000,"Macro")*SUMIFS($H$5:$H$1000,$S$5:$S$1000,$S284,$V$5:$V$1000,"Macro")/COUNTIFS($S$5:$S$1000,$S284,$V$5:$V$1000,"Macro",$H$5:$H$1000,"&gt;0"))))</f>
        <v/>
      </c>
      <c r="AH284" s="62" t="n"/>
      <c r="AI284" s="62" t="n"/>
      <c r="AJ284" s="62" t="n"/>
      <c r="AK284" s="62" t="n"/>
      <c r="AL284" s="62">
        <f>IF(LEFT($C284,11)="[Jefatura] ",IFERROR(MATCH("Asistente Técnico de Riesgo|"&amp;MID($C284,12,500),rDname_ADM,0),0),"")</f>
        <v/>
      </c>
      <c r="AM284" s="62">
        <f>IF(N($AL284)&gt;0,INDEX(rIni_ADM,$AL284),IF(ISNUMBER($E284),$E284,""))</f>
        <v/>
      </c>
      <c r="AN284" s="62">
        <f>IF(N($AL284)&gt;0,INDEX(rLim_ADM,$AL284),IF(ISNUMBER($F284),$F284,""))</f>
        <v/>
      </c>
    </row>
    <row r="285">
      <c r="A285" s="56">
        <f>IF(NOT((COUNTA($B285:$D285)+COUNTA($G285:$L285)+COUNTA($Q285))&gt;0),"",IF($V285="Macro",COUNTIFS($V$5:$V285,"Macro",$S$5:$S285,$S285),IF(N($U285)=0,"?",COUNTIFS(INDEX($V$5:$V$1000,1):INDEX($V$5:$V$1000,$U285-4),"Macro",INDEX($S$5:$S$1000,1):INDEX($S$5:$S$1000,$U285-4),INDEX($S$5:$S$1000,$U285-4))&amp;"."&amp;COUNTIFS($U$5:$U285,$U285,$V$5:$V285,"Sub"))))</f>
        <v/>
      </c>
      <c r="B285" s="57" t="n"/>
      <c r="C285" s="58" t="n"/>
      <c r="D285" s="58" t="n"/>
      <c r="E285" s="59">
        <f>IF(N($AL285)&gt;0,INDEX(rIni_ADM,$AL285),"")</f>
        <v/>
      </c>
      <c r="F285" s="59">
        <f>IF(N($AL285)&gt;0,INDEX(rLim_ADM,$AL285),"")</f>
        <v/>
      </c>
      <c r="G285" s="59" t="n"/>
      <c r="H285" s="60" t="n"/>
      <c r="I285" s="60" t="n"/>
      <c r="J285" s="60" t="n"/>
      <c r="K285" s="60" t="n"/>
      <c r="L285" s="60" t="n"/>
      <c r="M285" s="61">
        <f>IF(NOT((COUNTA($B285:$D285)+COUNTA($G285:$L285)+COUNTA($Q285))&gt;0),"",IF($V285="Sub",IFERROR($X285/INDEX($W$5:$W$1000,$U285-4),""),IF(ISNUMBER($G285),1,IF(N($W285)&gt;0,AVERAGEIFS($X$5:$X$1000,$U$5:$U$1000,ROW(),$V$5:$V$1000,"Sub"),$X285))))</f>
        <v/>
      </c>
      <c r="N285" s="56">
        <f>IF(OR($M285="",$V285="Sub"),"",IF($M285&gt;=1,"Completado",IF($M285&gt;0,"En curso","Pendiente")))</f>
        <v/>
      </c>
      <c r="O285" s="56">
        <f>IF(OR(NOT((COUNTA($B285:$D285)+COUNTA($G285:$L285)+COUNTA($Q285))&gt;0),$V285="Sub"),"",IF(ISNUMBER($G285),IF(AND(ISNUMBER($AN285),$G285&gt;$AN285),"Cumplida con "&amp;($G285-$AN285)&amp;IF($G285-$AN285=1," día"," días")&amp;" de retraso","Cumplida"),IF(N($M285)&gt;=1,"Cumplida",IF(NOT(ISNUMBER($AN285)),"Sin fecha límite",IF($AN285&lt;FechaRef,"Vencida hace "&amp;(FechaRef-$AN285)&amp;IF(FechaRef-$AN285=1," día"," días"),IF($AN285=FechaRef,"Vence hoy",IF($AN285-FechaRef&lt;=DiasAlerta,"Vence en "&amp;($AN285-FechaRef)&amp;IF($AN285-FechaRef=1," día"," días"),"En plazo")))))))</f>
        <v/>
      </c>
      <c r="P285" s="62" t="n"/>
      <c r="Q285" s="58" t="n"/>
      <c r="R285" s="63">
        <f>IF(NOT((COUNTA($B285:$D285)+COUNTA($G285:$L285)+COUNTA($Q285))&gt;0),"",IF((IF($C285="","Falta el nombre de la actividad"&amp;" · ","")&amp;IF(AND($V285="Sub",N($U285)=0),"Subactividad sin macroactividad arriba"&amp;" · ","")&amp;IF($AM285="","Sin fecha de inicio"&amp;" · ","")&amp;IF($AN285="","Sin fecha límite"&amp;" · ","")&amp;IF(AND(LEFT($C285,11)="[Jefatura] ",N($AL285)=0),"No se encuentra en la hoja de la jefatura (elíjala de nuevo en la lista)"&amp;" · ","")&amp;IF(OR(AND($E285&lt;&gt;"",NOT(ISNUMBER($E285))),AND($F285&lt;&gt;"",NOT(ISNUMBER($F285))),AND($G285&lt;&gt;"",NOT(ISNUMBER($G285)))),"Fecha no válida"&amp;" · ","")&amp;IF(AND(ISNUMBER($AM285),ISNUMBER($AN285),$AM285&gt;$AN285),"Inicio posterior a fecha límite"&amp;" · ","")&amp;IF(AND($V285="Macro",$H285&lt;&gt;"",OR(NOT(ISNUMBER($H285)),$H285&lt;0,$H285&gt;1)),"Peso fuera de rango"&amp;" · ","")&amp;IF(AND($V285="Sub",$H285&lt;&gt;""),"Las subactividades no llevan peso (valen igual dentro de su macroactividad)"&amp;" · ","")&amp;IF(AND(N($W285)&gt;0,COUNT($I285:$L285)&gt;0),"Con subactividades: deje vacías las semanas (se calculan solas)"&amp;" · ","")&amp;IF((COUNTIF($I285:$L285,"&gt;1")+COUNTIF($I285:$L285,"&lt;0")+COUNTA($I285:$L285)-COUNT($I285:$L285))&gt;0,"Avance fuera de rango 0-100%"&amp;" · ","")&amp;IF(OR(AND($J285&lt;&gt;"",$J285&lt;$I285),AND($K285&lt;&gt;"",$K285&lt;MAX($I285:$J285)),AND($L285&lt;&gt;"",$L285&lt;MAX($I285:$K285))),"Avance semanal decreciente"&amp;" · ","")&amp;IF(AND(ISNUMBER($AN285),$AN285&lt;FechaRef,IF($V285="Sub",N($X285),N($M285))&lt;1),"Vencida"&amp;" · ","")&amp;IF(AND(ObsObligatoria="Sí",ISNUMBER($AN285),$AN285&lt;FechaRef,IF($V285="Sub",N($X285),N($M285))&lt;1,$Q285=""),"Vencida sin observación"&amp;" · ",""))="","✔ OK","⚠ "&amp;LEFT(IF($C285="","Falta el nombre de la actividad"&amp;" · ","")&amp;IF(AND($V285="Sub",N($U285)=0),"Subactividad sin macroactividad arriba"&amp;" · ","")&amp;IF($AM285="","Sin fecha de inicio"&amp;" · ","")&amp;IF($AN285="","Sin fecha límite"&amp;" · ","")&amp;IF(AND(LEFT($C285,11)="[Jefatura] ",N($AL285)=0),"No se encuentra en la hoja de la jefatura (elíjala de nuevo en la lista)"&amp;" · ","")&amp;IF(OR(AND($E285&lt;&gt;"",NOT(ISNUMBER($E285))),AND($F285&lt;&gt;"",NOT(ISNUMBER($F285))),AND($G285&lt;&gt;"",NOT(ISNUMBER($G285)))),"Fecha no válida"&amp;" · ","")&amp;IF(AND(ISNUMBER($AM285),ISNUMBER($AN285),$AM285&gt;$AN285),"Inicio posterior a fecha límite"&amp;" · ","")&amp;IF(AND($V285="Macro",$H285&lt;&gt;"",OR(NOT(ISNUMBER($H285)),$H285&lt;0,$H285&gt;1)),"Peso fuera de rango"&amp;" · ","")&amp;IF(AND($V285="Sub",$H285&lt;&gt;""),"Las subactividades no llevan peso (valen igual dentro de su macroactividad)"&amp;" · ","")&amp;IF(AND(N($W285)&gt;0,COUNT($I285:$L285)&gt;0),"Con subactividades: deje vacías las semanas (se calculan solas)"&amp;" · ","")&amp;IF((COUNTIF($I285:$L285,"&gt;1")+COUNTIF($I285:$L285,"&lt;0")+COUNTA($I285:$L285)-COUNT($I285:$L285))&gt;0,"Avance fuera de rango 0-100%"&amp;" · ","")&amp;IF(OR(AND($J285&lt;&gt;"",$J285&lt;$I285),AND($K285&lt;&gt;"",$K285&lt;MAX($I285:$J285)),AND($L285&lt;&gt;"",$L285&lt;MAX($I285:$K285))),"Avance semanal decreciente"&amp;" · ","")&amp;IF(AND(ISNUMBER($AN285),$AN285&lt;FechaRef,IF($V285="Sub",N($X285),N($M285))&lt;1),"Vencida"&amp;" · ","")&amp;IF(AND(ObsObligatoria="Sí",ISNUMBER($AN285),$AN285&lt;FechaRef,IF($V285="Sub",N($X285),N($M285))&lt;1,$Q285=""),"Vencida sin observación"&amp;" · ",""),LEN(IF($C285="","Falta el nombre de la actividad"&amp;" · ","")&amp;IF(AND($V285="Sub",N($U285)=0),"Subactividad sin macroactividad arriba"&amp;" · ","")&amp;IF($AM285="","Sin fecha de inicio"&amp;" · ","")&amp;IF($AN285="","Sin fecha límite"&amp;" · ","")&amp;IF(AND(LEFT($C285,11)="[Jefatura] ",N($AL285)=0),"No se encuentra en la hoja de la jefatura (elíjala de nuevo en la lista)"&amp;" · ","")&amp;IF(OR(AND($E285&lt;&gt;"",NOT(ISNUMBER($E285))),AND($F285&lt;&gt;"",NOT(ISNUMBER($F285))),AND($G285&lt;&gt;"",NOT(ISNUMBER($G285)))),"Fecha no válida"&amp;" · ","")&amp;IF(AND(ISNUMBER($AM285),ISNUMBER($AN285),$AM285&gt;$AN285),"Inicio posterior a fecha límite"&amp;" · ","")&amp;IF(AND($V285="Macro",$H285&lt;&gt;"",OR(NOT(ISNUMBER($H285)),$H285&lt;0,$H285&gt;1)),"Peso fuera de rango"&amp;" · ","")&amp;IF(AND($V285="Sub",$H285&lt;&gt;""),"Las subactividades no llevan peso (valen igual dentro de su macroactividad)"&amp;" · ","")&amp;IF(AND(N($W285)&gt;0,COUNT($I285:$L285)&gt;0),"Con subactividades: deje vacías las semanas (se calculan solas)"&amp;" · ","")&amp;IF((COUNTIF($I285:$L285,"&gt;1")+COUNTIF($I285:$L285,"&lt;0")+COUNTA($I285:$L285)-COUNT($I285:$L285))&gt;0,"Avance fuera de rango 0-100%"&amp;" · ","")&amp;IF(OR(AND($J285&lt;&gt;"",$J285&lt;$I285),AND($K285&lt;&gt;"",$K285&lt;MAX($I285:$J285)),AND($L285&lt;&gt;"",$L285&lt;MAX($I285:$K285))),"Avance semanal decreciente"&amp;" · ","")&amp;IF(AND(ISNUMBER($AN285),$AN285&lt;FechaRef,IF($V285="Sub",N($X285),N($M285))&lt;1),"Vencida"&amp;" · ","")&amp;IF(AND(ObsObligatoria="Sí",ISNUMBER($AN285),$AN285&lt;FechaRef,IF($V285="Sub",N($X285),N($M285))&lt;1,$Q285=""),"Vencida sin observación"&amp;" · ",""))-3)))</f>
        <v/>
      </c>
      <c r="S285" s="64">
        <f>IF(NOT((COUNTA($B285:$D285)+COUNTA($G285:$L285)+COUNTA($Q285))&gt;0),"",IF(AND($V285="Sub",N($U285)&gt;0),IF(ISNUMBER(INDEX($AM$5:$AM$1000,$U285-4)),DATE(YEAR(INDEX($AM$5:$AM$1000,$U285-4)),MONTH(INDEX($AM$5:$AM$1000,$U285-4)),1),IF(ISNUMBER(INDEX($AN$5:$AN$1000,$U285-4)),DATE(YEAR(INDEX($AN$5:$AN$1000,$U285-4)),MONTH(INDEX($AN$5:$AN$1000,$U285-4)),1),MesCiclo)),IF(ISNUMBER($AM285),DATE(YEAR($AM285),MONTH($AM285),1),IF(ISNUMBER($AN285),DATE(YEAR($AN285),MONTH($AN285),1),MesCiclo))))</f>
        <v/>
      </c>
      <c r="T285" s="62">
        <f>IF(OR($S285="",$S285&lt;&gt;MesCiclo,$V285&lt;&gt;"Macro"),"",COUNTIFS($S$5:$S285,MesCiclo,$V$5:$V285,"Macro"))</f>
        <v/>
      </c>
      <c r="U285" s="62">
        <f>IF($V285="","",IF($V285="Macro",ROW(),IFERROR(LOOKUP(2,1/($V$5:$V285="Macro"),ROW($V$5:$V285)),0)))</f>
        <v/>
      </c>
      <c r="V285" s="62">
        <f>IF(NOT((COUNTA($B285:$D285)+COUNTA($G285:$L285)+COUNTA($Q285))&gt;0),"",IF($B285="Subactividad","Sub","Macro"))</f>
        <v/>
      </c>
      <c r="W285" s="62">
        <f>IF($V285="Macro",COUNTIFS($U$5:$U$1000,ROW(),$V$5:$V$1000,"Sub"),"")</f>
        <v/>
      </c>
      <c r="X285" s="62">
        <f>IF($V285="","",IF(ISNUMBER($G285),1,IFERROR(LOOKUP(2,1/($I285:$L285&lt;&gt;""),$I285:$L285),0)))</f>
        <v/>
      </c>
      <c r="Y285" s="62">
        <f>IF($V285="","",IF(AND(ISNUMBER($G285),$G285&lt;=IF($S285=MesCiclo,InicioCiclo,$S285+MOD(2-WEEKDAY($S285),7))+6),1,IF(ISNUMBER($I285),$I285,0)))</f>
        <v/>
      </c>
      <c r="Z285" s="62">
        <f>IF($V285="","",IF(AND(ISNUMBER($G285),$G285&lt;=IF($S285=MesCiclo,InicioCiclo,$S285+MOD(2-WEEKDAY($S285),7))+13),1,IF(ISNUMBER($J285),$J285,$Y285)))</f>
        <v/>
      </c>
      <c r="AA285" s="62">
        <f>IF($V285="","",IF(AND(ISNUMBER($G285),$G285&lt;=IF($S285=MesCiclo,InicioCiclo,$S285+MOD(2-WEEKDAY($S285),7))+20),1,IF(ISNUMBER($K285),$K285,$Z285)))</f>
        <v/>
      </c>
      <c r="AB285" s="62">
        <f>IF($V285="","",IF(AND(ISNUMBER($G285),$G285&lt;=IF($S285=MesCiclo,InicioCiclo,$S285+MOD(2-WEEKDAY($S285),7))+27),1,IF(ISNUMBER($L285),$L285,$AA285)))</f>
        <v/>
      </c>
      <c r="AC285" s="62">
        <f>IF($V285="","",IF(AND(ISNUMBER($G285),$G285&lt;=IF($S285=MesCiclo,InicioCiclo,$S285+MOD(2-WEEKDAY($S285),7))+6),1,IF(N($W285)&gt;0,AVERAGEIFS($Y$5:$Y$1000,$U$5:$U$1000,ROW(),$V$5:$V$1000,"Sub"),$Y285)))</f>
        <v/>
      </c>
      <c r="AD285" s="62">
        <f>IF($V285="","",IF(AND(ISNUMBER($G285),$G285&lt;=IF($S285=MesCiclo,InicioCiclo,$S285+MOD(2-WEEKDAY($S285),7))+13),1,IF(N($W285)&gt;0,AVERAGEIFS($Z$5:$Z$1000,$U$5:$U$1000,ROW(),$V$5:$V$1000,"Sub"),$Z285)))</f>
        <v/>
      </c>
      <c r="AE285" s="62">
        <f>IF($V285="","",IF(AND(ISNUMBER($G285),$G285&lt;=IF($S285=MesCiclo,InicioCiclo,$S285+MOD(2-WEEKDAY($S285),7))+20),1,IF(N($W285)&gt;0,AVERAGEIFS($AA$5:$AA$1000,$U$5:$U$1000,ROW(),$V$5:$V$1000,"Sub"),$AA285)))</f>
        <v/>
      </c>
      <c r="AF285" s="62">
        <f>IF($V285="","",IF(AND(ISNUMBER($G285),$G285&lt;=IF($S285=MesCiclo,InicioCiclo,$S285+MOD(2-WEEKDAY($S285),7))+27),1,IF(N($W285)&gt;0,AVERAGEIFS($AB$5:$AB$1000,$U$5:$U$1000,ROW(),$V$5:$V$1000,"Sub"),$AB285)))</f>
        <v/>
      </c>
      <c r="AG285" s="62">
        <f>IF($V285&lt;&gt;"Macro","",IF(COUNTIFS($S$5:$S$1000,$S285,$V$5:$V$1000,"Macro",$H$5:$H$1000,"&gt;0")=0,1/COUNTIFS($S$5:$S$1000,$S285,$V$5:$V$1000,"Macro"),IF(AND(ISNUMBER($H285),N($H285)&gt;0),$H285,SUMIFS($H$5:$H$1000,$S$5:$S$1000,$S285,$V$5:$V$1000,"Macro")/COUNTIFS($S$5:$S$1000,$S285,$V$5:$V$1000,"Macro",$H$5:$H$1000,"&gt;0"))/(COUNTIFS($S$5:$S$1000,$S285,$V$5:$V$1000,"Macro")*SUMIFS($H$5:$H$1000,$S$5:$S$1000,$S285,$V$5:$V$1000,"Macro")/COUNTIFS($S$5:$S$1000,$S285,$V$5:$V$1000,"Macro",$H$5:$H$1000,"&gt;0"))))</f>
        <v/>
      </c>
      <c r="AH285" s="62" t="n"/>
      <c r="AI285" s="62" t="n"/>
      <c r="AJ285" s="62" t="n"/>
      <c r="AK285" s="62" t="n"/>
      <c r="AL285" s="62">
        <f>IF(LEFT($C285,11)="[Jefatura] ",IFERROR(MATCH("Asistente Técnico de Riesgo|"&amp;MID($C285,12,500),rDname_ADM,0),0),"")</f>
        <v/>
      </c>
      <c r="AM285" s="62">
        <f>IF(N($AL285)&gt;0,INDEX(rIni_ADM,$AL285),IF(ISNUMBER($E285),$E285,""))</f>
        <v/>
      </c>
      <c r="AN285" s="62">
        <f>IF(N($AL285)&gt;0,INDEX(rLim_ADM,$AL285),IF(ISNUMBER($F285),$F285,""))</f>
        <v/>
      </c>
    </row>
    <row r="286">
      <c r="A286" s="56">
        <f>IF(NOT((COUNTA($B286:$D286)+COUNTA($G286:$L286)+COUNTA($Q286))&gt;0),"",IF($V286="Macro",COUNTIFS($V$5:$V286,"Macro",$S$5:$S286,$S286),IF(N($U286)=0,"?",COUNTIFS(INDEX($V$5:$V$1000,1):INDEX($V$5:$V$1000,$U286-4),"Macro",INDEX($S$5:$S$1000,1):INDEX($S$5:$S$1000,$U286-4),INDEX($S$5:$S$1000,$U286-4))&amp;"."&amp;COUNTIFS($U$5:$U286,$U286,$V$5:$V286,"Sub"))))</f>
        <v/>
      </c>
      <c r="B286" s="57" t="n"/>
      <c r="C286" s="58" t="n"/>
      <c r="D286" s="58" t="n"/>
      <c r="E286" s="59">
        <f>IF(N($AL286)&gt;0,INDEX(rIni_ADM,$AL286),"")</f>
        <v/>
      </c>
      <c r="F286" s="59">
        <f>IF(N($AL286)&gt;0,INDEX(rLim_ADM,$AL286),"")</f>
        <v/>
      </c>
      <c r="G286" s="59" t="n"/>
      <c r="H286" s="60" t="n"/>
      <c r="I286" s="60" t="n"/>
      <c r="J286" s="60" t="n"/>
      <c r="K286" s="60" t="n"/>
      <c r="L286" s="60" t="n"/>
      <c r="M286" s="61">
        <f>IF(NOT((COUNTA($B286:$D286)+COUNTA($G286:$L286)+COUNTA($Q286))&gt;0),"",IF($V286="Sub",IFERROR($X286/INDEX($W$5:$W$1000,$U286-4),""),IF(ISNUMBER($G286),1,IF(N($W286)&gt;0,AVERAGEIFS($X$5:$X$1000,$U$5:$U$1000,ROW(),$V$5:$V$1000,"Sub"),$X286))))</f>
        <v/>
      </c>
      <c r="N286" s="56">
        <f>IF(OR($M286="",$V286="Sub"),"",IF($M286&gt;=1,"Completado",IF($M286&gt;0,"En curso","Pendiente")))</f>
        <v/>
      </c>
      <c r="O286" s="56">
        <f>IF(OR(NOT((COUNTA($B286:$D286)+COUNTA($G286:$L286)+COUNTA($Q286))&gt;0),$V286="Sub"),"",IF(ISNUMBER($G286),IF(AND(ISNUMBER($AN286),$G286&gt;$AN286),"Cumplida con "&amp;($G286-$AN286)&amp;IF($G286-$AN286=1," día"," días")&amp;" de retraso","Cumplida"),IF(N($M286)&gt;=1,"Cumplida",IF(NOT(ISNUMBER($AN286)),"Sin fecha límite",IF($AN286&lt;FechaRef,"Vencida hace "&amp;(FechaRef-$AN286)&amp;IF(FechaRef-$AN286=1," día"," días"),IF($AN286=FechaRef,"Vence hoy",IF($AN286-FechaRef&lt;=DiasAlerta,"Vence en "&amp;($AN286-FechaRef)&amp;IF($AN286-FechaRef=1," día"," días"),"En plazo")))))))</f>
        <v/>
      </c>
      <c r="P286" s="62" t="n"/>
      <c r="Q286" s="58" t="n"/>
      <c r="R286" s="63">
        <f>IF(NOT((COUNTA($B286:$D286)+COUNTA($G286:$L286)+COUNTA($Q286))&gt;0),"",IF((IF($C286="","Falta el nombre de la actividad"&amp;" · ","")&amp;IF(AND($V286="Sub",N($U286)=0),"Subactividad sin macroactividad arriba"&amp;" · ","")&amp;IF($AM286="","Sin fecha de inicio"&amp;" · ","")&amp;IF($AN286="","Sin fecha límite"&amp;" · ","")&amp;IF(AND(LEFT($C286,11)="[Jefatura] ",N($AL286)=0),"No se encuentra en la hoja de la jefatura (elíjala de nuevo en la lista)"&amp;" · ","")&amp;IF(OR(AND($E286&lt;&gt;"",NOT(ISNUMBER($E286))),AND($F286&lt;&gt;"",NOT(ISNUMBER($F286))),AND($G286&lt;&gt;"",NOT(ISNUMBER($G286)))),"Fecha no válida"&amp;" · ","")&amp;IF(AND(ISNUMBER($AM286),ISNUMBER($AN286),$AM286&gt;$AN286),"Inicio posterior a fecha límite"&amp;" · ","")&amp;IF(AND($V286="Macro",$H286&lt;&gt;"",OR(NOT(ISNUMBER($H286)),$H286&lt;0,$H286&gt;1)),"Peso fuera de rango"&amp;" · ","")&amp;IF(AND($V286="Sub",$H286&lt;&gt;""),"Las subactividades no llevan peso (valen igual dentro de su macroactividad)"&amp;" · ","")&amp;IF(AND(N($W286)&gt;0,COUNT($I286:$L286)&gt;0),"Con subactividades: deje vacías las semanas (se calculan solas)"&amp;" · ","")&amp;IF((COUNTIF($I286:$L286,"&gt;1")+COUNTIF($I286:$L286,"&lt;0")+COUNTA($I286:$L286)-COUNT($I286:$L286))&gt;0,"Avance fuera de rango 0-100%"&amp;" · ","")&amp;IF(OR(AND($J286&lt;&gt;"",$J286&lt;$I286),AND($K286&lt;&gt;"",$K286&lt;MAX($I286:$J286)),AND($L286&lt;&gt;"",$L286&lt;MAX($I286:$K286))),"Avance semanal decreciente"&amp;" · ","")&amp;IF(AND(ISNUMBER($AN286),$AN286&lt;FechaRef,IF($V286="Sub",N($X286),N($M286))&lt;1),"Vencida"&amp;" · ","")&amp;IF(AND(ObsObligatoria="Sí",ISNUMBER($AN286),$AN286&lt;FechaRef,IF($V286="Sub",N($X286),N($M286))&lt;1,$Q286=""),"Vencida sin observación"&amp;" · ",""))="","✔ OK","⚠ "&amp;LEFT(IF($C286="","Falta el nombre de la actividad"&amp;" · ","")&amp;IF(AND($V286="Sub",N($U286)=0),"Subactividad sin macroactividad arriba"&amp;" · ","")&amp;IF($AM286="","Sin fecha de inicio"&amp;" · ","")&amp;IF($AN286="","Sin fecha límite"&amp;" · ","")&amp;IF(AND(LEFT($C286,11)="[Jefatura] ",N($AL286)=0),"No se encuentra en la hoja de la jefatura (elíjala de nuevo en la lista)"&amp;" · ","")&amp;IF(OR(AND($E286&lt;&gt;"",NOT(ISNUMBER($E286))),AND($F286&lt;&gt;"",NOT(ISNUMBER($F286))),AND($G286&lt;&gt;"",NOT(ISNUMBER($G286)))),"Fecha no válida"&amp;" · ","")&amp;IF(AND(ISNUMBER($AM286),ISNUMBER($AN286),$AM286&gt;$AN286),"Inicio posterior a fecha límite"&amp;" · ","")&amp;IF(AND($V286="Macro",$H286&lt;&gt;"",OR(NOT(ISNUMBER($H286)),$H286&lt;0,$H286&gt;1)),"Peso fuera de rango"&amp;" · ","")&amp;IF(AND($V286="Sub",$H286&lt;&gt;""),"Las subactividades no llevan peso (valen igual dentro de su macroactividad)"&amp;" · ","")&amp;IF(AND(N($W286)&gt;0,COUNT($I286:$L286)&gt;0),"Con subactividades: deje vacías las semanas (se calculan solas)"&amp;" · ","")&amp;IF((COUNTIF($I286:$L286,"&gt;1")+COUNTIF($I286:$L286,"&lt;0")+COUNTA($I286:$L286)-COUNT($I286:$L286))&gt;0,"Avance fuera de rango 0-100%"&amp;" · ","")&amp;IF(OR(AND($J286&lt;&gt;"",$J286&lt;$I286),AND($K286&lt;&gt;"",$K286&lt;MAX($I286:$J286)),AND($L286&lt;&gt;"",$L286&lt;MAX($I286:$K286))),"Avance semanal decreciente"&amp;" · ","")&amp;IF(AND(ISNUMBER($AN286),$AN286&lt;FechaRef,IF($V286="Sub",N($X286),N($M286))&lt;1),"Vencida"&amp;" · ","")&amp;IF(AND(ObsObligatoria="Sí",ISNUMBER($AN286),$AN286&lt;FechaRef,IF($V286="Sub",N($X286),N($M286))&lt;1,$Q286=""),"Vencida sin observación"&amp;" · ",""),LEN(IF($C286="","Falta el nombre de la actividad"&amp;" · ","")&amp;IF(AND($V286="Sub",N($U286)=0),"Subactividad sin macroactividad arriba"&amp;" · ","")&amp;IF($AM286="","Sin fecha de inicio"&amp;" · ","")&amp;IF($AN286="","Sin fecha límite"&amp;" · ","")&amp;IF(AND(LEFT($C286,11)="[Jefatura] ",N($AL286)=0),"No se encuentra en la hoja de la jefatura (elíjala de nuevo en la lista)"&amp;" · ","")&amp;IF(OR(AND($E286&lt;&gt;"",NOT(ISNUMBER($E286))),AND($F286&lt;&gt;"",NOT(ISNUMBER($F286))),AND($G286&lt;&gt;"",NOT(ISNUMBER($G286)))),"Fecha no válida"&amp;" · ","")&amp;IF(AND(ISNUMBER($AM286),ISNUMBER($AN286),$AM286&gt;$AN286),"Inicio posterior a fecha límite"&amp;" · ","")&amp;IF(AND($V286="Macro",$H286&lt;&gt;"",OR(NOT(ISNUMBER($H286)),$H286&lt;0,$H286&gt;1)),"Peso fuera de rango"&amp;" · ","")&amp;IF(AND($V286="Sub",$H286&lt;&gt;""),"Las subactividades no llevan peso (valen igual dentro de su macroactividad)"&amp;" · ","")&amp;IF(AND(N($W286)&gt;0,COUNT($I286:$L286)&gt;0),"Con subactividades: deje vacías las semanas (se calculan solas)"&amp;" · ","")&amp;IF((COUNTIF($I286:$L286,"&gt;1")+COUNTIF($I286:$L286,"&lt;0")+COUNTA($I286:$L286)-COUNT($I286:$L286))&gt;0,"Avance fuera de rango 0-100%"&amp;" · ","")&amp;IF(OR(AND($J286&lt;&gt;"",$J286&lt;$I286),AND($K286&lt;&gt;"",$K286&lt;MAX($I286:$J286)),AND($L286&lt;&gt;"",$L286&lt;MAX($I286:$K286))),"Avance semanal decreciente"&amp;" · ","")&amp;IF(AND(ISNUMBER($AN286),$AN286&lt;FechaRef,IF($V286="Sub",N($X286),N($M286))&lt;1),"Vencida"&amp;" · ","")&amp;IF(AND(ObsObligatoria="Sí",ISNUMBER($AN286),$AN286&lt;FechaRef,IF($V286="Sub",N($X286),N($M286))&lt;1,$Q286=""),"Vencida sin observación"&amp;" · ",""))-3)))</f>
        <v/>
      </c>
      <c r="S286" s="64">
        <f>IF(NOT((COUNTA($B286:$D286)+COUNTA($G286:$L286)+COUNTA($Q286))&gt;0),"",IF(AND($V286="Sub",N($U286)&gt;0),IF(ISNUMBER(INDEX($AM$5:$AM$1000,$U286-4)),DATE(YEAR(INDEX($AM$5:$AM$1000,$U286-4)),MONTH(INDEX($AM$5:$AM$1000,$U286-4)),1),IF(ISNUMBER(INDEX($AN$5:$AN$1000,$U286-4)),DATE(YEAR(INDEX($AN$5:$AN$1000,$U286-4)),MONTH(INDEX($AN$5:$AN$1000,$U286-4)),1),MesCiclo)),IF(ISNUMBER($AM286),DATE(YEAR($AM286),MONTH($AM286),1),IF(ISNUMBER($AN286),DATE(YEAR($AN286),MONTH($AN286),1),MesCiclo))))</f>
        <v/>
      </c>
      <c r="T286" s="62">
        <f>IF(OR($S286="",$S286&lt;&gt;MesCiclo,$V286&lt;&gt;"Macro"),"",COUNTIFS($S$5:$S286,MesCiclo,$V$5:$V286,"Macro"))</f>
        <v/>
      </c>
      <c r="U286" s="62">
        <f>IF($V286="","",IF($V286="Macro",ROW(),IFERROR(LOOKUP(2,1/($V$5:$V286="Macro"),ROW($V$5:$V286)),0)))</f>
        <v/>
      </c>
      <c r="V286" s="62">
        <f>IF(NOT((COUNTA($B286:$D286)+COUNTA($G286:$L286)+COUNTA($Q286))&gt;0),"",IF($B286="Subactividad","Sub","Macro"))</f>
        <v/>
      </c>
      <c r="W286" s="62">
        <f>IF($V286="Macro",COUNTIFS($U$5:$U$1000,ROW(),$V$5:$V$1000,"Sub"),"")</f>
        <v/>
      </c>
      <c r="X286" s="62">
        <f>IF($V286="","",IF(ISNUMBER($G286),1,IFERROR(LOOKUP(2,1/($I286:$L286&lt;&gt;""),$I286:$L286),0)))</f>
        <v/>
      </c>
      <c r="Y286" s="62">
        <f>IF($V286="","",IF(AND(ISNUMBER($G286),$G286&lt;=IF($S286=MesCiclo,InicioCiclo,$S286+MOD(2-WEEKDAY($S286),7))+6),1,IF(ISNUMBER($I286),$I286,0)))</f>
        <v/>
      </c>
      <c r="Z286" s="62">
        <f>IF($V286="","",IF(AND(ISNUMBER($G286),$G286&lt;=IF($S286=MesCiclo,InicioCiclo,$S286+MOD(2-WEEKDAY($S286),7))+13),1,IF(ISNUMBER($J286),$J286,$Y286)))</f>
        <v/>
      </c>
      <c r="AA286" s="62">
        <f>IF($V286="","",IF(AND(ISNUMBER($G286),$G286&lt;=IF($S286=MesCiclo,InicioCiclo,$S286+MOD(2-WEEKDAY($S286),7))+20),1,IF(ISNUMBER($K286),$K286,$Z286)))</f>
        <v/>
      </c>
      <c r="AB286" s="62">
        <f>IF($V286="","",IF(AND(ISNUMBER($G286),$G286&lt;=IF($S286=MesCiclo,InicioCiclo,$S286+MOD(2-WEEKDAY($S286),7))+27),1,IF(ISNUMBER($L286),$L286,$AA286)))</f>
        <v/>
      </c>
      <c r="AC286" s="62">
        <f>IF($V286="","",IF(AND(ISNUMBER($G286),$G286&lt;=IF($S286=MesCiclo,InicioCiclo,$S286+MOD(2-WEEKDAY($S286),7))+6),1,IF(N($W286)&gt;0,AVERAGEIFS($Y$5:$Y$1000,$U$5:$U$1000,ROW(),$V$5:$V$1000,"Sub"),$Y286)))</f>
        <v/>
      </c>
      <c r="AD286" s="62">
        <f>IF($V286="","",IF(AND(ISNUMBER($G286),$G286&lt;=IF($S286=MesCiclo,InicioCiclo,$S286+MOD(2-WEEKDAY($S286),7))+13),1,IF(N($W286)&gt;0,AVERAGEIFS($Z$5:$Z$1000,$U$5:$U$1000,ROW(),$V$5:$V$1000,"Sub"),$Z286)))</f>
        <v/>
      </c>
      <c r="AE286" s="62">
        <f>IF($V286="","",IF(AND(ISNUMBER($G286),$G286&lt;=IF($S286=MesCiclo,InicioCiclo,$S286+MOD(2-WEEKDAY($S286),7))+20),1,IF(N($W286)&gt;0,AVERAGEIFS($AA$5:$AA$1000,$U$5:$U$1000,ROW(),$V$5:$V$1000,"Sub"),$AA286)))</f>
        <v/>
      </c>
      <c r="AF286" s="62">
        <f>IF($V286="","",IF(AND(ISNUMBER($G286),$G286&lt;=IF($S286=MesCiclo,InicioCiclo,$S286+MOD(2-WEEKDAY($S286),7))+27),1,IF(N($W286)&gt;0,AVERAGEIFS($AB$5:$AB$1000,$U$5:$U$1000,ROW(),$V$5:$V$1000,"Sub"),$AB286)))</f>
        <v/>
      </c>
      <c r="AG286" s="62">
        <f>IF($V286&lt;&gt;"Macro","",IF(COUNTIFS($S$5:$S$1000,$S286,$V$5:$V$1000,"Macro",$H$5:$H$1000,"&gt;0")=0,1/COUNTIFS($S$5:$S$1000,$S286,$V$5:$V$1000,"Macro"),IF(AND(ISNUMBER($H286),N($H286)&gt;0),$H286,SUMIFS($H$5:$H$1000,$S$5:$S$1000,$S286,$V$5:$V$1000,"Macro")/COUNTIFS($S$5:$S$1000,$S286,$V$5:$V$1000,"Macro",$H$5:$H$1000,"&gt;0"))/(COUNTIFS($S$5:$S$1000,$S286,$V$5:$V$1000,"Macro")*SUMIFS($H$5:$H$1000,$S$5:$S$1000,$S286,$V$5:$V$1000,"Macro")/COUNTIFS($S$5:$S$1000,$S286,$V$5:$V$1000,"Macro",$H$5:$H$1000,"&gt;0"))))</f>
        <v/>
      </c>
      <c r="AH286" s="62" t="n"/>
      <c r="AI286" s="62" t="n"/>
      <c r="AJ286" s="62" t="n"/>
      <c r="AK286" s="62" t="n"/>
      <c r="AL286" s="62">
        <f>IF(LEFT($C286,11)="[Jefatura] ",IFERROR(MATCH("Asistente Técnico de Riesgo|"&amp;MID($C286,12,500),rDname_ADM,0),0),"")</f>
        <v/>
      </c>
      <c r="AM286" s="62">
        <f>IF(N($AL286)&gt;0,INDEX(rIni_ADM,$AL286),IF(ISNUMBER($E286),$E286,""))</f>
        <v/>
      </c>
      <c r="AN286" s="62">
        <f>IF(N($AL286)&gt;0,INDEX(rLim_ADM,$AL286),IF(ISNUMBER($F286),$F286,""))</f>
        <v/>
      </c>
    </row>
    <row r="287">
      <c r="A287" s="56">
        <f>IF(NOT((COUNTA($B287:$D287)+COUNTA($G287:$L287)+COUNTA($Q287))&gt;0),"",IF($V287="Macro",COUNTIFS($V$5:$V287,"Macro",$S$5:$S287,$S287),IF(N($U287)=0,"?",COUNTIFS(INDEX($V$5:$V$1000,1):INDEX($V$5:$V$1000,$U287-4),"Macro",INDEX($S$5:$S$1000,1):INDEX($S$5:$S$1000,$U287-4),INDEX($S$5:$S$1000,$U287-4))&amp;"."&amp;COUNTIFS($U$5:$U287,$U287,$V$5:$V287,"Sub"))))</f>
        <v/>
      </c>
      <c r="B287" s="57" t="n"/>
      <c r="C287" s="58" t="n"/>
      <c r="D287" s="58" t="n"/>
      <c r="E287" s="59">
        <f>IF(N($AL287)&gt;0,INDEX(rIni_ADM,$AL287),"")</f>
        <v/>
      </c>
      <c r="F287" s="59">
        <f>IF(N($AL287)&gt;0,INDEX(rLim_ADM,$AL287),"")</f>
        <v/>
      </c>
      <c r="G287" s="59" t="n"/>
      <c r="H287" s="60" t="n"/>
      <c r="I287" s="60" t="n"/>
      <c r="J287" s="60" t="n"/>
      <c r="K287" s="60" t="n"/>
      <c r="L287" s="60" t="n"/>
      <c r="M287" s="61">
        <f>IF(NOT((COUNTA($B287:$D287)+COUNTA($G287:$L287)+COUNTA($Q287))&gt;0),"",IF($V287="Sub",IFERROR($X287/INDEX($W$5:$W$1000,$U287-4),""),IF(ISNUMBER($G287),1,IF(N($W287)&gt;0,AVERAGEIFS($X$5:$X$1000,$U$5:$U$1000,ROW(),$V$5:$V$1000,"Sub"),$X287))))</f>
        <v/>
      </c>
      <c r="N287" s="56">
        <f>IF(OR($M287="",$V287="Sub"),"",IF($M287&gt;=1,"Completado",IF($M287&gt;0,"En curso","Pendiente")))</f>
        <v/>
      </c>
      <c r="O287" s="56">
        <f>IF(OR(NOT((COUNTA($B287:$D287)+COUNTA($G287:$L287)+COUNTA($Q287))&gt;0),$V287="Sub"),"",IF(ISNUMBER($G287),IF(AND(ISNUMBER($AN287),$G287&gt;$AN287),"Cumplida con "&amp;($G287-$AN287)&amp;IF($G287-$AN287=1," día"," días")&amp;" de retraso","Cumplida"),IF(N($M287)&gt;=1,"Cumplida",IF(NOT(ISNUMBER($AN287)),"Sin fecha límite",IF($AN287&lt;FechaRef,"Vencida hace "&amp;(FechaRef-$AN287)&amp;IF(FechaRef-$AN287=1," día"," días"),IF($AN287=FechaRef,"Vence hoy",IF($AN287-FechaRef&lt;=DiasAlerta,"Vence en "&amp;($AN287-FechaRef)&amp;IF($AN287-FechaRef=1," día"," días"),"En plazo")))))))</f>
        <v/>
      </c>
      <c r="P287" s="62" t="n"/>
      <c r="Q287" s="58" t="n"/>
      <c r="R287" s="63">
        <f>IF(NOT((COUNTA($B287:$D287)+COUNTA($G287:$L287)+COUNTA($Q287))&gt;0),"",IF((IF($C287="","Falta el nombre de la actividad"&amp;" · ","")&amp;IF(AND($V287="Sub",N($U287)=0),"Subactividad sin macroactividad arriba"&amp;" · ","")&amp;IF($AM287="","Sin fecha de inicio"&amp;" · ","")&amp;IF($AN287="","Sin fecha límite"&amp;" · ","")&amp;IF(AND(LEFT($C287,11)="[Jefatura] ",N($AL287)=0),"No se encuentra en la hoja de la jefatura (elíjala de nuevo en la lista)"&amp;" · ","")&amp;IF(OR(AND($E287&lt;&gt;"",NOT(ISNUMBER($E287))),AND($F287&lt;&gt;"",NOT(ISNUMBER($F287))),AND($G287&lt;&gt;"",NOT(ISNUMBER($G287)))),"Fecha no válida"&amp;" · ","")&amp;IF(AND(ISNUMBER($AM287),ISNUMBER($AN287),$AM287&gt;$AN287),"Inicio posterior a fecha límite"&amp;" · ","")&amp;IF(AND($V287="Macro",$H287&lt;&gt;"",OR(NOT(ISNUMBER($H287)),$H287&lt;0,$H287&gt;1)),"Peso fuera de rango"&amp;" · ","")&amp;IF(AND($V287="Sub",$H287&lt;&gt;""),"Las subactividades no llevan peso (valen igual dentro de su macroactividad)"&amp;" · ","")&amp;IF(AND(N($W287)&gt;0,COUNT($I287:$L287)&gt;0),"Con subactividades: deje vacías las semanas (se calculan solas)"&amp;" · ","")&amp;IF((COUNTIF($I287:$L287,"&gt;1")+COUNTIF($I287:$L287,"&lt;0")+COUNTA($I287:$L287)-COUNT($I287:$L287))&gt;0,"Avance fuera de rango 0-100%"&amp;" · ","")&amp;IF(OR(AND($J287&lt;&gt;"",$J287&lt;$I287),AND($K287&lt;&gt;"",$K287&lt;MAX($I287:$J287)),AND($L287&lt;&gt;"",$L287&lt;MAX($I287:$K287))),"Avance semanal decreciente"&amp;" · ","")&amp;IF(AND(ISNUMBER($AN287),$AN287&lt;FechaRef,IF($V287="Sub",N($X287),N($M287))&lt;1),"Vencida"&amp;" · ","")&amp;IF(AND(ObsObligatoria="Sí",ISNUMBER($AN287),$AN287&lt;FechaRef,IF($V287="Sub",N($X287),N($M287))&lt;1,$Q287=""),"Vencida sin observación"&amp;" · ",""))="","✔ OK","⚠ "&amp;LEFT(IF($C287="","Falta el nombre de la actividad"&amp;" · ","")&amp;IF(AND($V287="Sub",N($U287)=0),"Subactividad sin macroactividad arriba"&amp;" · ","")&amp;IF($AM287="","Sin fecha de inicio"&amp;" · ","")&amp;IF($AN287="","Sin fecha límite"&amp;" · ","")&amp;IF(AND(LEFT($C287,11)="[Jefatura] ",N($AL287)=0),"No se encuentra en la hoja de la jefatura (elíjala de nuevo en la lista)"&amp;" · ","")&amp;IF(OR(AND($E287&lt;&gt;"",NOT(ISNUMBER($E287))),AND($F287&lt;&gt;"",NOT(ISNUMBER($F287))),AND($G287&lt;&gt;"",NOT(ISNUMBER($G287)))),"Fecha no válida"&amp;" · ","")&amp;IF(AND(ISNUMBER($AM287),ISNUMBER($AN287),$AM287&gt;$AN287),"Inicio posterior a fecha límite"&amp;" · ","")&amp;IF(AND($V287="Macro",$H287&lt;&gt;"",OR(NOT(ISNUMBER($H287)),$H287&lt;0,$H287&gt;1)),"Peso fuera de rango"&amp;" · ","")&amp;IF(AND($V287="Sub",$H287&lt;&gt;""),"Las subactividades no llevan peso (valen igual dentro de su macroactividad)"&amp;" · ","")&amp;IF(AND(N($W287)&gt;0,COUNT($I287:$L287)&gt;0),"Con subactividades: deje vacías las semanas (se calculan solas)"&amp;" · ","")&amp;IF((COUNTIF($I287:$L287,"&gt;1")+COUNTIF($I287:$L287,"&lt;0")+COUNTA($I287:$L287)-COUNT($I287:$L287))&gt;0,"Avance fuera de rango 0-100%"&amp;" · ","")&amp;IF(OR(AND($J287&lt;&gt;"",$J287&lt;$I287),AND($K287&lt;&gt;"",$K287&lt;MAX($I287:$J287)),AND($L287&lt;&gt;"",$L287&lt;MAX($I287:$K287))),"Avance semanal decreciente"&amp;" · ","")&amp;IF(AND(ISNUMBER($AN287),$AN287&lt;FechaRef,IF($V287="Sub",N($X287),N($M287))&lt;1),"Vencida"&amp;" · ","")&amp;IF(AND(ObsObligatoria="Sí",ISNUMBER($AN287),$AN287&lt;FechaRef,IF($V287="Sub",N($X287),N($M287))&lt;1,$Q287=""),"Vencida sin observación"&amp;" · ",""),LEN(IF($C287="","Falta el nombre de la actividad"&amp;" · ","")&amp;IF(AND($V287="Sub",N($U287)=0),"Subactividad sin macroactividad arriba"&amp;" · ","")&amp;IF($AM287="","Sin fecha de inicio"&amp;" · ","")&amp;IF($AN287="","Sin fecha límite"&amp;" · ","")&amp;IF(AND(LEFT($C287,11)="[Jefatura] ",N($AL287)=0),"No se encuentra en la hoja de la jefatura (elíjala de nuevo en la lista)"&amp;" · ","")&amp;IF(OR(AND($E287&lt;&gt;"",NOT(ISNUMBER($E287))),AND($F287&lt;&gt;"",NOT(ISNUMBER($F287))),AND($G287&lt;&gt;"",NOT(ISNUMBER($G287)))),"Fecha no válida"&amp;" · ","")&amp;IF(AND(ISNUMBER($AM287),ISNUMBER($AN287),$AM287&gt;$AN287),"Inicio posterior a fecha límite"&amp;" · ","")&amp;IF(AND($V287="Macro",$H287&lt;&gt;"",OR(NOT(ISNUMBER($H287)),$H287&lt;0,$H287&gt;1)),"Peso fuera de rango"&amp;" · ","")&amp;IF(AND($V287="Sub",$H287&lt;&gt;""),"Las subactividades no llevan peso (valen igual dentro de su macroactividad)"&amp;" · ","")&amp;IF(AND(N($W287)&gt;0,COUNT($I287:$L287)&gt;0),"Con subactividades: deje vacías las semanas (se calculan solas)"&amp;" · ","")&amp;IF((COUNTIF($I287:$L287,"&gt;1")+COUNTIF($I287:$L287,"&lt;0")+COUNTA($I287:$L287)-COUNT($I287:$L287))&gt;0,"Avance fuera de rango 0-100%"&amp;" · ","")&amp;IF(OR(AND($J287&lt;&gt;"",$J287&lt;$I287),AND($K287&lt;&gt;"",$K287&lt;MAX($I287:$J287)),AND($L287&lt;&gt;"",$L287&lt;MAX($I287:$K287))),"Avance semanal decreciente"&amp;" · ","")&amp;IF(AND(ISNUMBER($AN287),$AN287&lt;FechaRef,IF($V287="Sub",N($X287),N($M287))&lt;1),"Vencida"&amp;" · ","")&amp;IF(AND(ObsObligatoria="Sí",ISNUMBER($AN287),$AN287&lt;FechaRef,IF($V287="Sub",N($X287),N($M287))&lt;1,$Q287=""),"Vencida sin observación"&amp;" · ",""))-3)))</f>
        <v/>
      </c>
      <c r="S287" s="64">
        <f>IF(NOT((COUNTA($B287:$D287)+COUNTA($G287:$L287)+COUNTA($Q287))&gt;0),"",IF(AND($V287="Sub",N($U287)&gt;0),IF(ISNUMBER(INDEX($AM$5:$AM$1000,$U287-4)),DATE(YEAR(INDEX($AM$5:$AM$1000,$U287-4)),MONTH(INDEX($AM$5:$AM$1000,$U287-4)),1),IF(ISNUMBER(INDEX($AN$5:$AN$1000,$U287-4)),DATE(YEAR(INDEX($AN$5:$AN$1000,$U287-4)),MONTH(INDEX($AN$5:$AN$1000,$U287-4)),1),MesCiclo)),IF(ISNUMBER($AM287),DATE(YEAR($AM287),MONTH($AM287),1),IF(ISNUMBER($AN287),DATE(YEAR($AN287),MONTH($AN287),1),MesCiclo))))</f>
        <v/>
      </c>
      <c r="T287" s="62">
        <f>IF(OR($S287="",$S287&lt;&gt;MesCiclo,$V287&lt;&gt;"Macro"),"",COUNTIFS($S$5:$S287,MesCiclo,$V$5:$V287,"Macro"))</f>
        <v/>
      </c>
      <c r="U287" s="62">
        <f>IF($V287="","",IF($V287="Macro",ROW(),IFERROR(LOOKUP(2,1/($V$5:$V287="Macro"),ROW($V$5:$V287)),0)))</f>
        <v/>
      </c>
      <c r="V287" s="62">
        <f>IF(NOT((COUNTA($B287:$D287)+COUNTA($G287:$L287)+COUNTA($Q287))&gt;0),"",IF($B287="Subactividad","Sub","Macro"))</f>
        <v/>
      </c>
      <c r="W287" s="62">
        <f>IF($V287="Macro",COUNTIFS($U$5:$U$1000,ROW(),$V$5:$V$1000,"Sub"),"")</f>
        <v/>
      </c>
      <c r="X287" s="62">
        <f>IF($V287="","",IF(ISNUMBER($G287),1,IFERROR(LOOKUP(2,1/($I287:$L287&lt;&gt;""),$I287:$L287),0)))</f>
        <v/>
      </c>
      <c r="Y287" s="62">
        <f>IF($V287="","",IF(AND(ISNUMBER($G287),$G287&lt;=IF($S287=MesCiclo,InicioCiclo,$S287+MOD(2-WEEKDAY($S287),7))+6),1,IF(ISNUMBER($I287),$I287,0)))</f>
        <v/>
      </c>
      <c r="Z287" s="62">
        <f>IF($V287="","",IF(AND(ISNUMBER($G287),$G287&lt;=IF($S287=MesCiclo,InicioCiclo,$S287+MOD(2-WEEKDAY($S287),7))+13),1,IF(ISNUMBER($J287),$J287,$Y287)))</f>
        <v/>
      </c>
      <c r="AA287" s="62">
        <f>IF($V287="","",IF(AND(ISNUMBER($G287),$G287&lt;=IF($S287=MesCiclo,InicioCiclo,$S287+MOD(2-WEEKDAY($S287),7))+20),1,IF(ISNUMBER($K287),$K287,$Z287)))</f>
        <v/>
      </c>
      <c r="AB287" s="62">
        <f>IF($V287="","",IF(AND(ISNUMBER($G287),$G287&lt;=IF($S287=MesCiclo,InicioCiclo,$S287+MOD(2-WEEKDAY($S287),7))+27),1,IF(ISNUMBER($L287),$L287,$AA287)))</f>
        <v/>
      </c>
      <c r="AC287" s="62">
        <f>IF($V287="","",IF(AND(ISNUMBER($G287),$G287&lt;=IF($S287=MesCiclo,InicioCiclo,$S287+MOD(2-WEEKDAY($S287),7))+6),1,IF(N($W287)&gt;0,AVERAGEIFS($Y$5:$Y$1000,$U$5:$U$1000,ROW(),$V$5:$V$1000,"Sub"),$Y287)))</f>
        <v/>
      </c>
      <c r="AD287" s="62">
        <f>IF($V287="","",IF(AND(ISNUMBER($G287),$G287&lt;=IF($S287=MesCiclo,InicioCiclo,$S287+MOD(2-WEEKDAY($S287),7))+13),1,IF(N($W287)&gt;0,AVERAGEIFS($Z$5:$Z$1000,$U$5:$U$1000,ROW(),$V$5:$V$1000,"Sub"),$Z287)))</f>
        <v/>
      </c>
      <c r="AE287" s="62">
        <f>IF($V287="","",IF(AND(ISNUMBER($G287),$G287&lt;=IF($S287=MesCiclo,InicioCiclo,$S287+MOD(2-WEEKDAY($S287),7))+20),1,IF(N($W287)&gt;0,AVERAGEIFS($AA$5:$AA$1000,$U$5:$U$1000,ROW(),$V$5:$V$1000,"Sub"),$AA287)))</f>
        <v/>
      </c>
      <c r="AF287" s="62">
        <f>IF($V287="","",IF(AND(ISNUMBER($G287),$G287&lt;=IF($S287=MesCiclo,InicioCiclo,$S287+MOD(2-WEEKDAY($S287),7))+27),1,IF(N($W287)&gt;0,AVERAGEIFS($AB$5:$AB$1000,$U$5:$U$1000,ROW(),$V$5:$V$1000,"Sub"),$AB287)))</f>
        <v/>
      </c>
      <c r="AG287" s="62">
        <f>IF($V287&lt;&gt;"Macro","",IF(COUNTIFS($S$5:$S$1000,$S287,$V$5:$V$1000,"Macro",$H$5:$H$1000,"&gt;0")=0,1/COUNTIFS($S$5:$S$1000,$S287,$V$5:$V$1000,"Macro"),IF(AND(ISNUMBER($H287),N($H287)&gt;0),$H287,SUMIFS($H$5:$H$1000,$S$5:$S$1000,$S287,$V$5:$V$1000,"Macro")/COUNTIFS($S$5:$S$1000,$S287,$V$5:$V$1000,"Macro",$H$5:$H$1000,"&gt;0"))/(COUNTIFS($S$5:$S$1000,$S287,$V$5:$V$1000,"Macro")*SUMIFS($H$5:$H$1000,$S$5:$S$1000,$S287,$V$5:$V$1000,"Macro")/COUNTIFS($S$5:$S$1000,$S287,$V$5:$V$1000,"Macro",$H$5:$H$1000,"&gt;0"))))</f>
        <v/>
      </c>
      <c r="AH287" s="62" t="n"/>
      <c r="AI287" s="62" t="n"/>
      <c r="AJ287" s="62" t="n"/>
      <c r="AK287" s="62" t="n"/>
      <c r="AL287" s="62">
        <f>IF(LEFT($C287,11)="[Jefatura] ",IFERROR(MATCH("Asistente Técnico de Riesgo|"&amp;MID($C287,12,500),rDname_ADM,0),0),"")</f>
        <v/>
      </c>
      <c r="AM287" s="62">
        <f>IF(N($AL287)&gt;0,INDEX(rIni_ADM,$AL287),IF(ISNUMBER($E287),$E287,""))</f>
        <v/>
      </c>
      <c r="AN287" s="62">
        <f>IF(N($AL287)&gt;0,INDEX(rLim_ADM,$AL287),IF(ISNUMBER($F287),$F287,""))</f>
        <v/>
      </c>
    </row>
    <row r="288">
      <c r="A288" s="56">
        <f>IF(NOT((COUNTA($B288:$D288)+COUNTA($G288:$L288)+COUNTA($Q288))&gt;0),"",IF($V288="Macro",COUNTIFS($V$5:$V288,"Macro",$S$5:$S288,$S288),IF(N($U288)=0,"?",COUNTIFS(INDEX($V$5:$V$1000,1):INDEX($V$5:$V$1000,$U288-4),"Macro",INDEX($S$5:$S$1000,1):INDEX($S$5:$S$1000,$U288-4),INDEX($S$5:$S$1000,$U288-4))&amp;"."&amp;COUNTIFS($U$5:$U288,$U288,$V$5:$V288,"Sub"))))</f>
        <v/>
      </c>
      <c r="B288" s="57" t="n"/>
      <c r="C288" s="58" t="n"/>
      <c r="D288" s="58" t="n"/>
      <c r="E288" s="59">
        <f>IF(N($AL288)&gt;0,INDEX(rIni_ADM,$AL288),"")</f>
        <v/>
      </c>
      <c r="F288" s="59">
        <f>IF(N($AL288)&gt;0,INDEX(rLim_ADM,$AL288),"")</f>
        <v/>
      </c>
      <c r="G288" s="59" t="n"/>
      <c r="H288" s="60" t="n"/>
      <c r="I288" s="60" t="n"/>
      <c r="J288" s="60" t="n"/>
      <c r="K288" s="60" t="n"/>
      <c r="L288" s="60" t="n"/>
      <c r="M288" s="61">
        <f>IF(NOT((COUNTA($B288:$D288)+COUNTA($G288:$L288)+COUNTA($Q288))&gt;0),"",IF($V288="Sub",IFERROR($X288/INDEX($W$5:$W$1000,$U288-4),""),IF(ISNUMBER($G288),1,IF(N($W288)&gt;0,AVERAGEIFS($X$5:$X$1000,$U$5:$U$1000,ROW(),$V$5:$V$1000,"Sub"),$X288))))</f>
        <v/>
      </c>
      <c r="N288" s="56">
        <f>IF(OR($M288="",$V288="Sub"),"",IF($M288&gt;=1,"Completado",IF($M288&gt;0,"En curso","Pendiente")))</f>
        <v/>
      </c>
      <c r="O288" s="56">
        <f>IF(OR(NOT((COUNTA($B288:$D288)+COUNTA($G288:$L288)+COUNTA($Q288))&gt;0),$V288="Sub"),"",IF(ISNUMBER($G288),IF(AND(ISNUMBER($AN288),$G288&gt;$AN288),"Cumplida con "&amp;($G288-$AN288)&amp;IF($G288-$AN288=1," día"," días")&amp;" de retraso","Cumplida"),IF(N($M288)&gt;=1,"Cumplida",IF(NOT(ISNUMBER($AN288)),"Sin fecha límite",IF($AN288&lt;FechaRef,"Vencida hace "&amp;(FechaRef-$AN288)&amp;IF(FechaRef-$AN288=1," día"," días"),IF($AN288=FechaRef,"Vence hoy",IF($AN288-FechaRef&lt;=DiasAlerta,"Vence en "&amp;($AN288-FechaRef)&amp;IF($AN288-FechaRef=1," día"," días"),"En plazo")))))))</f>
        <v/>
      </c>
      <c r="P288" s="62" t="n"/>
      <c r="Q288" s="58" t="n"/>
      <c r="R288" s="63">
        <f>IF(NOT((COUNTA($B288:$D288)+COUNTA($G288:$L288)+COUNTA($Q288))&gt;0),"",IF((IF($C288="","Falta el nombre de la actividad"&amp;" · ","")&amp;IF(AND($V288="Sub",N($U288)=0),"Subactividad sin macroactividad arriba"&amp;" · ","")&amp;IF($AM288="","Sin fecha de inicio"&amp;" · ","")&amp;IF($AN288="","Sin fecha límite"&amp;" · ","")&amp;IF(AND(LEFT($C288,11)="[Jefatura] ",N($AL288)=0),"No se encuentra en la hoja de la jefatura (elíjala de nuevo en la lista)"&amp;" · ","")&amp;IF(OR(AND($E288&lt;&gt;"",NOT(ISNUMBER($E288))),AND($F288&lt;&gt;"",NOT(ISNUMBER($F288))),AND($G288&lt;&gt;"",NOT(ISNUMBER($G288)))),"Fecha no válida"&amp;" · ","")&amp;IF(AND(ISNUMBER($AM288),ISNUMBER($AN288),$AM288&gt;$AN288),"Inicio posterior a fecha límite"&amp;" · ","")&amp;IF(AND($V288="Macro",$H288&lt;&gt;"",OR(NOT(ISNUMBER($H288)),$H288&lt;0,$H288&gt;1)),"Peso fuera de rango"&amp;" · ","")&amp;IF(AND($V288="Sub",$H288&lt;&gt;""),"Las subactividades no llevan peso (valen igual dentro de su macroactividad)"&amp;" · ","")&amp;IF(AND(N($W288)&gt;0,COUNT($I288:$L288)&gt;0),"Con subactividades: deje vacías las semanas (se calculan solas)"&amp;" · ","")&amp;IF((COUNTIF($I288:$L288,"&gt;1")+COUNTIF($I288:$L288,"&lt;0")+COUNTA($I288:$L288)-COUNT($I288:$L288))&gt;0,"Avance fuera de rango 0-100%"&amp;" · ","")&amp;IF(OR(AND($J288&lt;&gt;"",$J288&lt;$I288),AND($K288&lt;&gt;"",$K288&lt;MAX($I288:$J288)),AND($L288&lt;&gt;"",$L288&lt;MAX($I288:$K288))),"Avance semanal decreciente"&amp;" · ","")&amp;IF(AND(ISNUMBER($AN288),$AN288&lt;FechaRef,IF($V288="Sub",N($X288),N($M288))&lt;1),"Vencida"&amp;" · ","")&amp;IF(AND(ObsObligatoria="Sí",ISNUMBER($AN288),$AN288&lt;FechaRef,IF($V288="Sub",N($X288),N($M288))&lt;1,$Q288=""),"Vencida sin observación"&amp;" · ",""))="","✔ OK","⚠ "&amp;LEFT(IF($C288="","Falta el nombre de la actividad"&amp;" · ","")&amp;IF(AND($V288="Sub",N($U288)=0),"Subactividad sin macroactividad arriba"&amp;" · ","")&amp;IF($AM288="","Sin fecha de inicio"&amp;" · ","")&amp;IF($AN288="","Sin fecha límite"&amp;" · ","")&amp;IF(AND(LEFT($C288,11)="[Jefatura] ",N($AL288)=0),"No se encuentra en la hoja de la jefatura (elíjala de nuevo en la lista)"&amp;" · ","")&amp;IF(OR(AND($E288&lt;&gt;"",NOT(ISNUMBER($E288))),AND($F288&lt;&gt;"",NOT(ISNUMBER($F288))),AND($G288&lt;&gt;"",NOT(ISNUMBER($G288)))),"Fecha no válida"&amp;" · ","")&amp;IF(AND(ISNUMBER($AM288),ISNUMBER($AN288),$AM288&gt;$AN288),"Inicio posterior a fecha límite"&amp;" · ","")&amp;IF(AND($V288="Macro",$H288&lt;&gt;"",OR(NOT(ISNUMBER($H288)),$H288&lt;0,$H288&gt;1)),"Peso fuera de rango"&amp;" · ","")&amp;IF(AND($V288="Sub",$H288&lt;&gt;""),"Las subactividades no llevan peso (valen igual dentro de su macroactividad)"&amp;" · ","")&amp;IF(AND(N($W288)&gt;0,COUNT($I288:$L288)&gt;0),"Con subactividades: deje vacías las semanas (se calculan solas)"&amp;" · ","")&amp;IF((COUNTIF($I288:$L288,"&gt;1")+COUNTIF($I288:$L288,"&lt;0")+COUNTA($I288:$L288)-COUNT($I288:$L288))&gt;0,"Avance fuera de rango 0-100%"&amp;" · ","")&amp;IF(OR(AND($J288&lt;&gt;"",$J288&lt;$I288),AND($K288&lt;&gt;"",$K288&lt;MAX($I288:$J288)),AND($L288&lt;&gt;"",$L288&lt;MAX($I288:$K288))),"Avance semanal decreciente"&amp;" · ","")&amp;IF(AND(ISNUMBER($AN288),$AN288&lt;FechaRef,IF($V288="Sub",N($X288),N($M288))&lt;1),"Vencida"&amp;" · ","")&amp;IF(AND(ObsObligatoria="Sí",ISNUMBER($AN288),$AN288&lt;FechaRef,IF($V288="Sub",N($X288),N($M288))&lt;1,$Q288=""),"Vencida sin observación"&amp;" · ",""),LEN(IF($C288="","Falta el nombre de la actividad"&amp;" · ","")&amp;IF(AND($V288="Sub",N($U288)=0),"Subactividad sin macroactividad arriba"&amp;" · ","")&amp;IF($AM288="","Sin fecha de inicio"&amp;" · ","")&amp;IF($AN288="","Sin fecha límite"&amp;" · ","")&amp;IF(AND(LEFT($C288,11)="[Jefatura] ",N($AL288)=0),"No se encuentra en la hoja de la jefatura (elíjala de nuevo en la lista)"&amp;" · ","")&amp;IF(OR(AND($E288&lt;&gt;"",NOT(ISNUMBER($E288))),AND($F288&lt;&gt;"",NOT(ISNUMBER($F288))),AND($G288&lt;&gt;"",NOT(ISNUMBER($G288)))),"Fecha no válida"&amp;" · ","")&amp;IF(AND(ISNUMBER($AM288),ISNUMBER($AN288),$AM288&gt;$AN288),"Inicio posterior a fecha límite"&amp;" · ","")&amp;IF(AND($V288="Macro",$H288&lt;&gt;"",OR(NOT(ISNUMBER($H288)),$H288&lt;0,$H288&gt;1)),"Peso fuera de rango"&amp;" · ","")&amp;IF(AND($V288="Sub",$H288&lt;&gt;""),"Las subactividades no llevan peso (valen igual dentro de su macroactividad)"&amp;" · ","")&amp;IF(AND(N($W288)&gt;0,COUNT($I288:$L288)&gt;0),"Con subactividades: deje vacías las semanas (se calculan solas)"&amp;" · ","")&amp;IF((COUNTIF($I288:$L288,"&gt;1")+COUNTIF($I288:$L288,"&lt;0")+COUNTA($I288:$L288)-COUNT($I288:$L288))&gt;0,"Avance fuera de rango 0-100%"&amp;" · ","")&amp;IF(OR(AND($J288&lt;&gt;"",$J288&lt;$I288),AND($K288&lt;&gt;"",$K288&lt;MAX($I288:$J288)),AND($L288&lt;&gt;"",$L288&lt;MAX($I288:$K288))),"Avance semanal decreciente"&amp;" · ","")&amp;IF(AND(ISNUMBER($AN288),$AN288&lt;FechaRef,IF($V288="Sub",N($X288),N($M288))&lt;1),"Vencida"&amp;" · ","")&amp;IF(AND(ObsObligatoria="Sí",ISNUMBER($AN288),$AN288&lt;FechaRef,IF($V288="Sub",N($X288),N($M288))&lt;1,$Q288=""),"Vencida sin observación"&amp;" · ",""))-3)))</f>
        <v/>
      </c>
      <c r="S288" s="64">
        <f>IF(NOT((COUNTA($B288:$D288)+COUNTA($G288:$L288)+COUNTA($Q288))&gt;0),"",IF(AND($V288="Sub",N($U288)&gt;0),IF(ISNUMBER(INDEX($AM$5:$AM$1000,$U288-4)),DATE(YEAR(INDEX($AM$5:$AM$1000,$U288-4)),MONTH(INDEX($AM$5:$AM$1000,$U288-4)),1),IF(ISNUMBER(INDEX($AN$5:$AN$1000,$U288-4)),DATE(YEAR(INDEX($AN$5:$AN$1000,$U288-4)),MONTH(INDEX($AN$5:$AN$1000,$U288-4)),1),MesCiclo)),IF(ISNUMBER($AM288),DATE(YEAR($AM288),MONTH($AM288),1),IF(ISNUMBER($AN288),DATE(YEAR($AN288),MONTH($AN288),1),MesCiclo))))</f>
        <v/>
      </c>
      <c r="T288" s="62">
        <f>IF(OR($S288="",$S288&lt;&gt;MesCiclo,$V288&lt;&gt;"Macro"),"",COUNTIFS($S$5:$S288,MesCiclo,$V$5:$V288,"Macro"))</f>
        <v/>
      </c>
      <c r="U288" s="62">
        <f>IF($V288="","",IF($V288="Macro",ROW(),IFERROR(LOOKUP(2,1/($V$5:$V288="Macro"),ROW($V$5:$V288)),0)))</f>
        <v/>
      </c>
      <c r="V288" s="62">
        <f>IF(NOT((COUNTA($B288:$D288)+COUNTA($G288:$L288)+COUNTA($Q288))&gt;0),"",IF($B288="Subactividad","Sub","Macro"))</f>
        <v/>
      </c>
      <c r="W288" s="62">
        <f>IF($V288="Macro",COUNTIFS($U$5:$U$1000,ROW(),$V$5:$V$1000,"Sub"),"")</f>
        <v/>
      </c>
      <c r="X288" s="62">
        <f>IF($V288="","",IF(ISNUMBER($G288),1,IFERROR(LOOKUP(2,1/($I288:$L288&lt;&gt;""),$I288:$L288),0)))</f>
        <v/>
      </c>
      <c r="Y288" s="62">
        <f>IF($V288="","",IF(AND(ISNUMBER($G288),$G288&lt;=IF($S288=MesCiclo,InicioCiclo,$S288+MOD(2-WEEKDAY($S288),7))+6),1,IF(ISNUMBER($I288),$I288,0)))</f>
        <v/>
      </c>
      <c r="Z288" s="62">
        <f>IF($V288="","",IF(AND(ISNUMBER($G288),$G288&lt;=IF($S288=MesCiclo,InicioCiclo,$S288+MOD(2-WEEKDAY($S288),7))+13),1,IF(ISNUMBER($J288),$J288,$Y288)))</f>
        <v/>
      </c>
      <c r="AA288" s="62">
        <f>IF($V288="","",IF(AND(ISNUMBER($G288),$G288&lt;=IF($S288=MesCiclo,InicioCiclo,$S288+MOD(2-WEEKDAY($S288),7))+20),1,IF(ISNUMBER($K288),$K288,$Z288)))</f>
        <v/>
      </c>
      <c r="AB288" s="62">
        <f>IF($V288="","",IF(AND(ISNUMBER($G288),$G288&lt;=IF($S288=MesCiclo,InicioCiclo,$S288+MOD(2-WEEKDAY($S288),7))+27),1,IF(ISNUMBER($L288),$L288,$AA288)))</f>
        <v/>
      </c>
      <c r="AC288" s="62">
        <f>IF($V288="","",IF(AND(ISNUMBER($G288),$G288&lt;=IF($S288=MesCiclo,InicioCiclo,$S288+MOD(2-WEEKDAY($S288),7))+6),1,IF(N($W288)&gt;0,AVERAGEIFS($Y$5:$Y$1000,$U$5:$U$1000,ROW(),$V$5:$V$1000,"Sub"),$Y288)))</f>
        <v/>
      </c>
      <c r="AD288" s="62">
        <f>IF($V288="","",IF(AND(ISNUMBER($G288),$G288&lt;=IF($S288=MesCiclo,InicioCiclo,$S288+MOD(2-WEEKDAY($S288),7))+13),1,IF(N($W288)&gt;0,AVERAGEIFS($Z$5:$Z$1000,$U$5:$U$1000,ROW(),$V$5:$V$1000,"Sub"),$Z288)))</f>
        <v/>
      </c>
      <c r="AE288" s="62">
        <f>IF($V288="","",IF(AND(ISNUMBER($G288),$G288&lt;=IF($S288=MesCiclo,InicioCiclo,$S288+MOD(2-WEEKDAY($S288),7))+20),1,IF(N($W288)&gt;0,AVERAGEIFS($AA$5:$AA$1000,$U$5:$U$1000,ROW(),$V$5:$V$1000,"Sub"),$AA288)))</f>
        <v/>
      </c>
      <c r="AF288" s="62">
        <f>IF($V288="","",IF(AND(ISNUMBER($G288),$G288&lt;=IF($S288=MesCiclo,InicioCiclo,$S288+MOD(2-WEEKDAY($S288),7))+27),1,IF(N($W288)&gt;0,AVERAGEIFS($AB$5:$AB$1000,$U$5:$U$1000,ROW(),$V$5:$V$1000,"Sub"),$AB288)))</f>
        <v/>
      </c>
      <c r="AG288" s="62">
        <f>IF($V288&lt;&gt;"Macro","",IF(COUNTIFS($S$5:$S$1000,$S288,$V$5:$V$1000,"Macro",$H$5:$H$1000,"&gt;0")=0,1/COUNTIFS($S$5:$S$1000,$S288,$V$5:$V$1000,"Macro"),IF(AND(ISNUMBER($H288),N($H288)&gt;0),$H288,SUMIFS($H$5:$H$1000,$S$5:$S$1000,$S288,$V$5:$V$1000,"Macro")/COUNTIFS($S$5:$S$1000,$S288,$V$5:$V$1000,"Macro",$H$5:$H$1000,"&gt;0"))/(COUNTIFS($S$5:$S$1000,$S288,$V$5:$V$1000,"Macro")*SUMIFS($H$5:$H$1000,$S$5:$S$1000,$S288,$V$5:$V$1000,"Macro")/COUNTIFS($S$5:$S$1000,$S288,$V$5:$V$1000,"Macro",$H$5:$H$1000,"&gt;0"))))</f>
        <v/>
      </c>
      <c r="AH288" s="62" t="n"/>
      <c r="AI288" s="62" t="n"/>
      <c r="AJ288" s="62" t="n"/>
      <c r="AK288" s="62" t="n"/>
      <c r="AL288" s="62">
        <f>IF(LEFT($C288,11)="[Jefatura] ",IFERROR(MATCH("Asistente Técnico de Riesgo|"&amp;MID($C288,12,500),rDname_ADM,0),0),"")</f>
        <v/>
      </c>
      <c r="AM288" s="62">
        <f>IF(N($AL288)&gt;0,INDEX(rIni_ADM,$AL288),IF(ISNUMBER($E288),$E288,""))</f>
        <v/>
      </c>
      <c r="AN288" s="62">
        <f>IF(N($AL288)&gt;0,INDEX(rLim_ADM,$AL288),IF(ISNUMBER($F288),$F288,""))</f>
        <v/>
      </c>
    </row>
    <row r="289">
      <c r="A289" s="56">
        <f>IF(NOT((COUNTA($B289:$D289)+COUNTA($G289:$L289)+COUNTA($Q289))&gt;0),"",IF($V289="Macro",COUNTIFS($V$5:$V289,"Macro",$S$5:$S289,$S289),IF(N($U289)=0,"?",COUNTIFS(INDEX($V$5:$V$1000,1):INDEX($V$5:$V$1000,$U289-4),"Macro",INDEX($S$5:$S$1000,1):INDEX($S$5:$S$1000,$U289-4),INDEX($S$5:$S$1000,$U289-4))&amp;"."&amp;COUNTIFS($U$5:$U289,$U289,$V$5:$V289,"Sub"))))</f>
        <v/>
      </c>
      <c r="B289" s="57" t="n"/>
      <c r="C289" s="58" t="n"/>
      <c r="D289" s="58" t="n"/>
      <c r="E289" s="59">
        <f>IF(N($AL289)&gt;0,INDEX(rIni_ADM,$AL289),"")</f>
        <v/>
      </c>
      <c r="F289" s="59">
        <f>IF(N($AL289)&gt;0,INDEX(rLim_ADM,$AL289),"")</f>
        <v/>
      </c>
      <c r="G289" s="59" t="n"/>
      <c r="H289" s="60" t="n"/>
      <c r="I289" s="60" t="n"/>
      <c r="J289" s="60" t="n"/>
      <c r="K289" s="60" t="n"/>
      <c r="L289" s="60" t="n"/>
      <c r="M289" s="61">
        <f>IF(NOT((COUNTA($B289:$D289)+COUNTA($G289:$L289)+COUNTA($Q289))&gt;0),"",IF($V289="Sub",IFERROR($X289/INDEX($W$5:$W$1000,$U289-4),""),IF(ISNUMBER($G289),1,IF(N($W289)&gt;0,AVERAGEIFS($X$5:$X$1000,$U$5:$U$1000,ROW(),$V$5:$V$1000,"Sub"),$X289))))</f>
        <v/>
      </c>
      <c r="N289" s="56">
        <f>IF(OR($M289="",$V289="Sub"),"",IF($M289&gt;=1,"Completado",IF($M289&gt;0,"En curso","Pendiente")))</f>
        <v/>
      </c>
      <c r="O289" s="56">
        <f>IF(OR(NOT((COUNTA($B289:$D289)+COUNTA($G289:$L289)+COUNTA($Q289))&gt;0),$V289="Sub"),"",IF(ISNUMBER($G289),IF(AND(ISNUMBER($AN289),$G289&gt;$AN289),"Cumplida con "&amp;($G289-$AN289)&amp;IF($G289-$AN289=1," día"," días")&amp;" de retraso","Cumplida"),IF(N($M289)&gt;=1,"Cumplida",IF(NOT(ISNUMBER($AN289)),"Sin fecha límite",IF($AN289&lt;FechaRef,"Vencida hace "&amp;(FechaRef-$AN289)&amp;IF(FechaRef-$AN289=1," día"," días"),IF($AN289=FechaRef,"Vence hoy",IF($AN289-FechaRef&lt;=DiasAlerta,"Vence en "&amp;($AN289-FechaRef)&amp;IF($AN289-FechaRef=1," día"," días"),"En plazo")))))))</f>
        <v/>
      </c>
      <c r="P289" s="62" t="n"/>
      <c r="Q289" s="58" t="n"/>
      <c r="R289" s="63">
        <f>IF(NOT((COUNTA($B289:$D289)+COUNTA($G289:$L289)+COUNTA($Q289))&gt;0),"",IF((IF($C289="","Falta el nombre de la actividad"&amp;" · ","")&amp;IF(AND($V289="Sub",N($U289)=0),"Subactividad sin macroactividad arriba"&amp;" · ","")&amp;IF($AM289="","Sin fecha de inicio"&amp;" · ","")&amp;IF($AN289="","Sin fecha límite"&amp;" · ","")&amp;IF(AND(LEFT($C289,11)="[Jefatura] ",N($AL289)=0),"No se encuentra en la hoja de la jefatura (elíjala de nuevo en la lista)"&amp;" · ","")&amp;IF(OR(AND($E289&lt;&gt;"",NOT(ISNUMBER($E289))),AND($F289&lt;&gt;"",NOT(ISNUMBER($F289))),AND($G289&lt;&gt;"",NOT(ISNUMBER($G289)))),"Fecha no válida"&amp;" · ","")&amp;IF(AND(ISNUMBER($AM289),ISNUMBER($AN289),$AM289&gt;$AN289),"Inicio posterior a fecha límite"&amp;" · ","")&amp;IF(AND($V289="Macro",$H289&lt;&gt;"",OR(NOT(ISNUMBER($H289)),$H289&lt;0,$H289&gt;1)),"Peso fuera de rango"&amp;" · ","")&amp;IF(AND($V289="Sub",$H289&lt;&gt;""),"Las subactividades no llevan peso (valen igual dentro de su macroactividad)"&amp;" · ","")&amp;IF(AND(N($W289)&gt;0,COUNT($I289:$L289)&gt;0),"Con subactividades: deje vacías las semanas (se calculan solas)"&amp;" · ","")&amp;IF((COUNTIF($I289:$L289,"&gt;1")+COUNTIF($I289:$L289,"&lt;0")+COUNTA($I289:$L289)-COUNT($I289:$L289))&gt;0,"Avance fuera de rango 0-100%"&amp;" · ","")&amp;IF(OR(AND($J289&lt;&gt;"",$J289&lt;$I289),AND($K289&lt;&gt;"",$K289&lt;MAX($I289:$J289)),AND($L289&lt;&gt;"",$L289&lt;MAX($I289:$K289))),"Avance semanal decreciente"&amp;" · ","")&amp;IF(AND(ISNUMBER($AN289),$AN289&lt;FechaRef,IF($V289="Sub",N($X289),N($M289))&lt;1),"Vencida"&amp;" · ","")&amp;IF(AND(ObsObligatoria="Sí",ISNUMBER($AN289),$AN289&lt;FechaRef,IF($V289="Sub",N($X289),N($M289))&lt;1,$Q289=""),"Vencida sin observación"&amp;" · ",""))="","✔ OK","⚠ "&amp;LEFT(IF($C289="","Falta el nombre de la actividad"&amp;" · ","")&amp;IF(AND($V289="Sub",N($U289)=0),"Subactividad sin macroactividad arriba"&amp;" · ","")&amp;IF($AM289="","Sin fecha de inicio"&amp;" · ","")&amp;IF($AN289="","Sin fecha límite"&amp;" · ","")&amp;IF(AND(LEFT($C289,11)="[Jefatura] ",N($AL289)=0),"No se encuentra en la hoja de la jefatura (elíjala de nuevo en la lista)"&amp;" · ","")&amp;IF(OR(AND($E289&lt;&gt;"",NOT(ISNUMBER($E289))),AND($F289&lt;&gt;"",NOT(ISNUMBER($F289))),AND($G289&lt;&gt;"",NOT(ISNUMBER($G289)))),"Fecha no válida"&amp;" · ","")&amp;IF(AND(ISNUMBER($AM289),ISNUMBER($AN289),$AM289&gt;$AN289),"Inicio posterior a fecha límite"&amp;" · ","")&amp;IF(AND($V289="Macro",$H289&lt;&gt;"",OR(NOT(ISNUMBER($H289)),$H289&lt;0,$H289&gt;1)),"Peso fuera de rango"&amp;" · ","")&amp;IF(AND($V289="Sub",$H289&lt;&gt;""),"Las subactividades no llevan peso (valen igual dentro de su macroactividad)"&amp;" · ","")&amp;IF(AND(N($W289)&gt;0,COUNT($I289:$L289)&gt;0),"Con subactividades: deje vacías las semanas (se calculan solas)"&amp;" · ","")&amp;IF((COUNTIF($I289:$L289,"&gt;1")+COUNTIF($I289:$L289,"&lt;0")+COUNTA($I289:$L289)-COUNT($I289:$L289))&gt;0,"Avance fuera de rango 0-100%"&amp;" · ","")&amp;IF(OR(AND($J289&lt;&gt;"",$J289&lt;$I289),AND($K289&lt;&gt;"",$K289&lt;MAX($I289:$J289)),AND($L289&lt;&gt;"",$L289&lt;MAX($I289:$K289))),"Avance semanal decreciente"&amp;" · ","")&amp;IF(AND(ISNUMBER($AN289),$AN289&lt;FechaRef,IF($V289="Sub",N($X289),N($M289))&lt;1),"Vencida"&amp;" · ","")&amp;IF(AND(ObsObligatoria="Sí",ISNUMBER($AN289),$AN289&lt;FechaRef,IF($V289="Sub",N($X289),N($M289))&lt;1,$Q289=""),"Vencida sin observación"&amp;" · ",""),LEN(IF($C289="","Falta el nombre de la actividad"&amp;" · ","")&amp;IF(AND($V289="Sub",N($U289)=0),"Subactividad sin macroactividad arriba"&amp;" · ","")&amp;IF($AM289="","Sin fecha de inicio"&amp;" · ","")&amp;IF($AN289="","Sin fecha límite"&amp;" · ","")&amp;IF(AND(LEFT($C289,11)="[Jefatura] ",N($AL289)=0),"No se encuentra en la hoja de la jefatura (elíjala de nuevo en la lista)"&amp;" · ","")&amp;IF(OR(AND($E289&lt;&gt;"",NOT(ISNUMBER($E289))),AND($F289&lt;&gt;"",NOT(ISNUMBER($F289))),AND($G289&lt;&gt;"",NOT(ISNUMBER($G289)))),"Fecha no válida"&amp;" · ","")&amp;IF(AND(ISNUMBER($AM289),ISNUMBER($AN289),$AM289&gt;$AN289),"Inicio posterior a fecha límite"&amp;" · ","")&amp;IF(AND($V289="Macro",$H289&lt;&gt;"",OR(NOT(ISNUMBER($H289)),$H289&lt;0,$H289&gt;1)),"Peso fuera de rango"&amp;" · ","")&amp;IF(AND($V289="Sub",$H289&lt;&gt;""),"Las subactividades no llevan peso (valen igual dentro de su macroactividad)"&amp;" · ","")&amp;IF(AND(N($W289)&gt;0,COUNT($I289:$L289)&gt;0),"Con subactividades: deje vacías las semanas (se calculan solas)"&amp;" · ","")&amp;IF((COUNTIF($I289:$L289,"&gt;1")+COUNTIF($I289:$L289,"&lt;0")+COUNTA($I289:$L289)-COUNT($I289:$L289))&gt;0,"Avance fuera de rango 0-100%"&amp;" · ","")&amp;IF(OR(AND($J289&lt;&gt;"",$J289&lt;$I289),AND($K289&lt;&gt;"",$K289&lt;MAX($I289:$J289)),AND($L289&lt;&gt;"",$L289&lt;MAX($I289:$K289))),"Avance semanal decreciente"&amp;" · ","")&amp;IF(AND(ISNUMBER($AN289),$AN289&lt;FechaRef,IF($V289="Sub",N($X289),N($M289))&lt;1),"Vencida"&amp;" · ","")&amp;IF(AND(ObsObligatoria="Sí",ISNUMBER($AN289),$AN289&lt;FechaRef,IF($V289="Sub",N($X289),N($M289))&lt;1,$Q289=""),"Vencida sin observación"&amp;" · ",""))-3)))</f>
        <v/>
      </c>
      <c r="S289" s="64">
        <f>IF(NOT((COUNTA($B289:$D289)+COUNTA($G289:$L289)+COUNTA($Q289))&gt;0),"",IF(AND($V289="Sub",N($U289)&gt;0),IF(ISNUMBER(INDEX($AM$5:$AM$1000,$U289-4)),DATE(YEAR(INDEX($AM$5:$AM$1000,$U289-4)),MONTH(INDEX($AM$5:$AM$1000,$U289-4)),1),IF(ISNUMBER(INDEX($AN$5:$AN$1000,$U289-4)),DATE(YEAR(INDEX($AN$5:$AN$1000,$U289-4)),MONTH(INDEX($AN$5:$AN$1000,$U289-4)),1),MesCiclo)),IF(ISNUMBER($AM289),DATE(YEAR($AM289),MONTH($AM289),1),IF(ISNUMBER($AN289),DATE(YEAR($AN289),MONTH($AN289),1),MesCiclo))))</f>
        <v/>
      </c>
      <c r="T289" s="62">
        <f>IF(OR($S289="",$S289&lt;&gt;MesCiclo,$V289&lt;&gt;"Macro"),"",COUNTIFS($S$5:$S289,MesCiclo,$V$5:$V289,"Macro"))</f>
        <v/>
      </c>
      <c r="U289" s="62">
        <f>IF($V289="","",IF($V289="Macro",ROW(),IFERROR(LOOKUP(2,1/($V$5:$V289="Macro"),ROW($V$5:$V289)),0)))</f>
        <v/>
      </c>
      <c r="V289" s="62">
        <f>IF(NOT((COUNTA($B289:$D289)+COUNTA($G289:$L289)+COUNTA($Q289))&gt;0),"",IF($B289="Subactividad","Sub","Macro"))</f>
        <v/>
      </c>
      <c r="W289" s="62">
        <f>IF($V289="Macro",COUNTIFS($U$5:$U$1000,ROW(),$V$5:$V$1000,"Sub"),"")</f>
        <v/>
      </c>
      <c r="X289" s="62">
        <f>IF($V289="","",IF(ISNUMBER($G289),1,IFERROR(LOOKUP(2,1/($I289:$L289&lt;&gt;""),$I289:$L289),0)))</f>
        <v/>
      </c>
      <c r="Y289" s="62">
        <f>IF($V289="","",IF(AND(ISNUMBER($G289),$G289&lt;=IF($S289=MesCiclo,InicioCiclo,$S289+MOD(2-WEEKDAY($S289),7))+6),1,IF(ISNUMBER($I289),$I289,0)))</f>
        <v/>
      </c>
      <c r="Z289" s="62">
        <f>IF($V289="","",IF(AND(ISNUMBER($G289),$G289&lt;=IF($S289=MesCiclo,InicioCiclo,$S289+MOD(2-WEEKDAY($S289),7))+13),1,IF(ISNUMBER($J289),$J289,$Y289)))</f>
        <v/>
      </c>
      <c r="AA289" s="62">
        <f>IF($V289="","",IF(AND(ISNUMBER($G289),$G289&lt;=IF($S289=MesCiclo,InicioCiclo,$S289+MOD(2-WEEKDAY($S289),7))+20),1,IF(ISNUMBER($K289),$K289,$Z289)))</f>
        <v/>
      </c>
      <c r="AB289" s="62">
        <f>IF($V289="","",IF(AND(ISNUMBER($G289),$G289&lt;=IF($S289=MesCiclo,InicioCiclo,$S289+MOD(2-WEEKDAY($S289),7))+27),1,IF(ISNUMBER($L289),$L289,$AA289)))</f>
        <v/>
      </c>
      <c r="AC289" s="62">
        <f>IF($V289="","",IF(AND(ISNUMBER($G289),$G289&lt;=IF($S289=MesCiclo,InicioCiclo,$S289+MOD(2-WEEKDAY($S289),7))+6),1,IF(N($W289)&gt;0,AVERAGEIFS($Y$5:$Y$1000,$U$5:$U$1000,ROW(),$V$5:$V$1000,"Sub"),$Y289)))</f>
        <v/>
      </c>
      <c r="AD289" s="62">
        <f>IF($V289="","",IF(AND(ISNUMBER($G289),$G289&lt;=IF($S289=MesCiclo,InicioCiclo,$S289+MOD(2-WEEKDAY($S289),7))+13),1,IF(N($W289)&gt;0,AVERAGEIFS($Z$5:$Z$1000,$U$5:$U$1000,ROW(),$V$5:$V$1000,"Sub"),$Z289)))</f>
        <v/>
      </c>
      <c r="AE289" s="62">
        <f>IF($V289="","",IF(AND(ISNUMBER($G289),$G289&lt;=IF($S289=MesCiclo,InicioCiclo,$S289+MOD(2-WEEKDAY($S289),7))+20),1,IF(N($W289)&gt;0,AVERAGEIFS($AA$5:$AA$1000,$U$5:$U$1000,ROW(),$V$5:$V$1000,"Sub"),$AA289)))</f>
        <v/>
      </c>
      <c r="AF289" s="62">
        <f>IF($V289="","",IF(AND(ISNUMBER($G289),$G289&lt;=IF($S289=MesCiclo,InicioCiclo,$S289+MOD(2-WEEKDAY($S289),7))+27),1,IF(N($W289)&gt;0,AVERAGEIFS($AB$5:$AB$1000,$U$5:$U$1000,ROW(),$V$5:$V$1000,"Sub"),$AB289)))</f>
        <v/>
      </c>
      <c r="AG289" s="62">
        <f>IF($V289&lt;&gt;"Macro","",IF(COUNTIFS($S$5:$S$1000,$S289,$V$5:$V$1000,"Macro",$H$5:$H$1000,"&gt;0")=0,1/COUNTIFS($S$5:$S$1000,$S289,$V$5:$V$1000,"Macro"),IF(AND(ISNUMBER($H289),N($H289)&gt;0),$H289,SUMIFS($H$5:$H$1000,$S$5:$S$1000,$S289,$V$5:$V$1000,"Macro")/COUNTIFS($S$5:$S$1000,$S289,$V$5:$V$1000,"Macro",$H$5:$H$1000,"&gt;0"))/(COUNTIFS($S$5:$S$1000,$S289,$V$5:$V$1000,"Macro")*SUMIFS($H$5:$H$1000,$S$5:$S$1000,$S289,$V$5:$V$1000,"Macro")/COUNTIFS($S$5:$S$1000,$S289,$V$5:$V$1000,"Macro",$H$5:$H$1000,"&gt;0"))))</f>
        <v/>
      </c>
      <c r="AH289" s="62" t="n"/>
      <c r="AI289" s="62" t="n"/>
      <c r="AJ289" s="62" t="n"/>
      <c r="AK289" s="62" t="n"/>
      <c r="AL289" s="62">
        <f>IF(LEFT($C289,11)="[Jefatura] ",IFERROR(MATCH("Asistente Técnico de Riesgo|"&amp;MID($C289,12,500),rDname_ADM,0),0),"")</f>
        <v/>
      </c>
      <c r="AM289" s="62">
        <f>IF(N($AL289)&gt;0,INDEX(rIni_ADM,$AL289),IF(ISNUMBER($E289),$E289,""))</f>
        <v/>
      </c>
      <c r="AN289" s="62">
        <f>IF(N($AL289)&gt;0,INDEX(rLim_ADM,$AL289),IF(ISNUMBER($F289),$F289,""))</f>
        <v/>
      </c>
    </row>
    <row r="290">
      <c r="A290" s="56">
        <f>IF(NOT((COUNTA($B290:$D290)+COUNTA($G290:$L290)+COUNTA($Q290))&gt;0),"",IF($V290="Macro",COUNTIFS($V$5:$V290,"Macro",$S$5:$S290,$S290),IF(N($U290)=0,"?",COUNTIFS(INDEX($V$5:$V$1000,1):INDEX($V$5:$V$1000,$U290-4),"Macro",INDEX($S$5:$S$1000,1):INDEX($S$5:$S$1000,$U290-4),INDEX($S$5:$S$1000,$U290-4))&amp;"."&amp;COUNTIFS($U$5:$U290,$U290,$V$5:$V290,"Sub"))))</f>
        <v/>
      </c>
      <c r="B290" s="57" t="n"/>
      <c r="C290" s="58" t="n"/>
      <c r="D290" s="58" t="n"/>
      <c r="E290" s="59">
        <f>IF(N($AL290)&gt;0,INDEX(rIni_ADM,$AL290),"")</f>
        <v/>
      </c>
      <c r="F290" s="59">
        <f>IF(N($AL290)&gt;0,INDEX(rLim_ADM,$AL290),"")</f>
        <v/>
      </c>
      <c r="G290" s="59" t="n"/>
      <c r="H290" s="60" t="n"/>
      <c r="I290" s="60" t="n"/>
      <c r="J290" s="60" t="n"/>
      <c r="K290" s="60" t="n"/>
      <c r="L290" s="60" t="n"/>
      <c r="M290" s="61">
        <f>IF(NOT((COUNTA($B290:$D290)+COUNTA($G290:$L290)+COUNTA($Q290))&gt;0),"",IF($V290="Sub",IFERROR($X290/INDEX($W$5:$W$1000,$U290-4),""),IF(ISNUMBER($G290),1,IF(N($W290)&gt;0,AVERAGEIFS($X$5:$X$1000,$U$5:$U$1000,ROW(),$V$5:$V$1000,"Sub"),$X290))))</f>
        <v/>
      </c>
      <c r="N290" s="56">
        <f>IF(OR($M290="",$V290="Sub"),"",IF($M290&gt;=1,"Completado",IF($M290&gt;0,"En curso","Pendiente")))</f>
        <v/>
      </c>
      <c r="O290" s="56">
        <f>IF(OR(NOT((COUNTA($B290:$D290)+COUNTA($G290:$L290)+COUNTA($Q290))&gt;0),$V290="Sub"),"",IF(ISNUMBER($G290),IF(AND(ISNUMBER($AN290),$G290&gt;$AN290),"Cumplida con "&amp;($G290-$AN290)&amp;IF($G290-$AN290=1," día"," días")&amp;" de retraso","Cumplida"),IF(N($M290)&gt;=1,"Cumplida",IF(NOT(ISNUMBER($AN290)),"Sin fecha límite",IF($AN290&lt;FechaRef,"Vencida hace "&amp;(FechaRef-$AN290)&amp;IF(FechaRef-$AN290=1," día"," días"),IF($AN290=FechaRef,"Vence hoy",IF($AN290-FechaRef&lt;=DiasAlerta,"Vence en "&amp;($AN290-FechaRef)&amp;IF($AN290-FechaRef=1," día"," días"),"En plazo")))))))</f>
        <v/>
      </c>
      <c r="P290" s="62" t="n"/>
      <c r="Q290" s="58" t="n"/>
      <c r="R290" s="63">
        <f>IF(NOT((COUNTA($B290:$D290)+COUNTA($G290:$L290)+COUNTA($Q290))&gt;0),"",IF((IF($C290="","Falta el nombre de la actividad"&amp;" · ","")&amp;IF(AND($V290="Sub",N($U290)=0),"Subactividad sin macroactividad arriba"&amp;" · ","")&amp;IF($AM290="","Sin fecha de inicio"&amp;" · ","")&amp;IF($AN290="","Sin fecha límite"&amp;" · ","")&amp;IF(AND(LEFT($C290,11)="[Jefatura] ",N($AL290)=0),"No se encuentra en la hoja de la jefatura (elíjala de nuevo en la lista)"&amp;" · ","")&amp;IF(OR(AND($E290&lt;&gt;"",NOT(ISNUMBER($E290))),AND($F290&lt;&gt;"",NOT(ISNUMBER($F290))),AND($G290&lt;&gt;"",NOT(ISNUMBER($G290)))),"Fecha no válida"&amp;" · ","")&amp;IF(AND(ISNUMBER($AM290),ISNUMBER($AN290),$AM290&gt;$AN290),"Inicio posterior a fecha límite"&amp;" · ","")&amp;IF(AND($V290="Macro",$H290&lt;&gt;"",OR(NOT(ISNUMBER($H290)),$H290&lt;0,$H290&gt;1)),"Peso fuera de rango"&amp;" · ","")&amp;IF(AND($V290="Sub",$H290&lt;&gt;""),"Las subactividades no llevan peso (valen igual dentro de su macroactividad)"&amp;" · ","")&amp;IF(AND(N($W290)&gt;0,COUNT($I290:$L290)&gt;0),"Con subactividades: deje vacías las semanas (se calculan solas)"&amp;" · ","")&amp;IF((COUNTIF($I290:$L290,"&gt;1")+COUNTIF($I290:$L290,"&lt;0")+COUNTA($I290:$L290)-COUNT($I290:$L290))&gt;0,"Avance fuera de rango 0-100%"&amp;" · ","")&amp;IF(OR(AND($J290&lt;&gt;"",$J290&lt;$I290),AND($K290&lt;&gt;"",$K290&lt;MAX($I290:$J290)),AND($L290&lt;&gt;"",$L290&lt;MAX($I290:$K290))),"Avance semanal decreciente"&amp;" · ","")&amp;IF(AND(ISNUMBER($AN290),$AN290&lt;FechaRef,IF($V290="Sub",N($X290),N($M290))&lt;1),"Vencida"&amp;" · ","")&amp;IF(AND(ObsObligatoria="Sí",ISNUMBER($AN290),$AN290&lt;FechaRef,IF($V290="Sub",N($X290),N($M290))&lt;1,$Q290=""),"Vencida sin observación"&amp;" · ",""))="","✔ OK","⚠ "&amp;LEFT(IF($C290="","Falta el nombre de la actividad"&amp;" · ","")&amp;IF(AND($V290="Sub",N($U290)=0),"Subactividad sin macroactividad arriba"&amp;" · ","")&amp;IF($AM290="","Sin fecha de inicio"&amp;" · ","")&amp;IF($AN290="","Sin fecha límite"&amp;" · ","")&amp;IF(AND(LEFT($C290,11)="[Jefatura] ",N($AL290)=0),"No se encuentra en la hoja de la jefatura (elíjala de nuevo en la lista)"&amp;" · ","")&amp;IF(OR(AND($E290&lt;&gt;"",NOT(ISNUMBER($E290))),AND($F290&lt;&gt;"",NOT(ISNUMBER($F290))),AND($G290&lt;&gt;"",NOT(ISNUMBER($G290)))),"Fecha no válida"&amp;" · ","")&amp;IF(AND(ISNUMBER($AM290),ISNUMBER($AN290),$AM290&gt;$AN290),"Inicio posterior a fecha límite"&amp;" · ","")&amp;IF(AND($V290="Macro",$H290&lt;&gt;"",OR(NOT(ISNUMBER($H290)),$H290&lt;0,$H290&gt;1)),"Peso fuera de rango"&amp;" · ","")&amp;IF(AND($V290="Sub",$H290&lt;&gt;""),"Las subactividades no llevan peso (valen igual dentro de su macroactividad)"&amp;" · ","")&amp;IF(AND(N($W290)&gt;0,COUNT($I290:$L290)&gt;0),"Con subactividades: deje vacías las semanas (se calculan solas)"&amp;" · ","")&amp;IF((COUNTIF($I290:$L290,"&gt;1")+COUNTIF($I290:$L290,"&lt;0")+COUNTA($I290:$L290)-COUNT($I290:$L290))&gt;0,"Avance fuera de rango 0-100%"&amp;" · ","")&amp;IF(OR(AND($J290&lt;&gt;"",$J290&lt;$I290),AND($K290&lt;&gt;"",$K290&lt;MAX($I290:$J290)),AND($L290&lt;&gt;"",$L290&lt;MAX($I290:$K290))),"Avance semanal decreciente"&amp;" · ","")&amp;IF(AND(ISNUMBER($AN290),$AN290&lt;FechaRef,IF($V290="Sub",N($X290),N($M290))&lt;1),"Vencida"&amp;" · ","")&amp;IF(AND(ObsObligatoria="Sí",ISNUMBER($AN290),$AN290&lt;FechaRef,IF($V290="Sub",N($X290),N($M290))&lt;1,$Q290=""),"Vencida sin observación"&amp;" · ",""),LEN(IF($C290="","Falta el nombre de la actividad"&amp;" · ","")&amp;IF(AND($V290="Sub",N($U290)=0),"Subactividad sin macroactividad arriba"&amp;" · ","")&amp;IF($AM290="","Sin fecha de inicio"&amp;" · ","")&amp;IF($AN290="","Sin fecha límite"&amp;" · ","")&amp;IF(AND(LEFT($C290,11)="[Jefatura] ",N($AL290)=0),"No se encuentra en la hoja de la jefatura (elíjala de nuevo en la lista)"&amp;" · ","")&amp;IF(OR(AND($E290&lt;&gt;"",NOT(ISNUMBER($E290))),AND($F290&lt;&gt;"",NOT(ISNUMBER($F290))),AND($G290&lt;&gt;"",NOT(ISNUMBER($G290)))),"Fecha no válida"&amp;" · ","")&amp;IF(AND(ISNUMBER($AM290),ISNUMBER($AN290),$AM290&gt;$AN290),"Inicio posterior a fecha límite"&amp;" · ","")&amp;IF(AND($V290="Macro",$H290&lt;&gt;"",OR(NOT(ISNUMBER($H290)),$H290&lt;0,$H290&gt;1)),"Peso fuera de rango"&amp;" · ","")&amp;IF(AND($V290="Sub",$H290&lt;&gt;""),"Las subactividades no llevan peso (valen igual dentro de su macroactividad)"&amp;" · ","")&amp;IF(AND(N($W290)&gt;0,COUNT($I290:$L290)&gt;0),"Con subactividades: deje vacías las semanas (se calculan solas)"&amp;" · ","")&amp;IF((COUNTIF($I290:$L290,"&gt;1")+COUNTIF($I290:$L290,"&lt;0")+COUNTA($I290:$L290)-COUNT($I290:$L290))&gt;0,"Avance fuera de rango 0-100%"&amp;" · ","")&amp;IF(OR(AND($J290&lt;&gt;"",$J290&lt;$I290),AND($K290&lt;&gt;"",$K290&lt;MAX($I290:$J290)),AND($L290&lt;&gt;"",$L290&lt;MAX($I290:$K290))),"Avance semanal decreciente"&amp;" · ","")&amp;IF(AND(ISNUMBER($AN290),$AN290&lt;FechaRef,IF($V290="Sub",N($X290),N($M290))&lt;1),"Vencida"&amp;" · ","")&amp;IF(AND(ObsObligatoria="Sí",ISNUMBER($AN290),$AN290&lt;FechaRef,IF($V290="Sub",N($X290),N($M290))&lt;1,$Q290=""),"Vencida sin observación"&amp;" · ",""))-3)))</f>
        <v/>
      </c>
      <c r="S290" s="64">
        <f>IF(NOT((COUNTA($B290:$D290)+COUNTA($G290:$L290)+COUNTA($Q290))&gt;0),"",IF(AND($V290="Sub",N($U290)&gt;0),IF(ISNUMBER(INDEX($AM$5:$AM$1000,$U290-4)),DATE(YEAR(INDEX($AM$5:$AM$1000,$U290-4)),MONTH(INDEX($AM$5:$AM$1000,$U290-4)),1),IF(ISNUMBER(INDEX($AN$5:$AN$1000,$U290-4)),DATE(YEAR(INDEX($AN$5:$AN$1000,$U290-4)),MONTH(INDEX($AN$5:$AN$1000,$U290-4)),1),MesCiclo)),IF(ISNUMBER($AM290),DATE(YEAR($AM290),MONTH($AM290),1),IF(ISNUMBER($AN290),DATE(YEAR($AN290),MONTH($AN290),1),MesCiclo))))</f>
        <v/>
      </c>
      <c r="T290" s="62">
        <f>IF(OR($S290="",$S290&lt;&gt;MesCiclo,$V290&lt;&gt;"Macro"),"",COUNTIFS($S$5:$S290,MesCiclo,$V$5:$V290,"Macro"))</f>
        <v/>
      </c>
      <c r="U290" s="62">
        <f>IF($V290="","",IF($V290="Macro",ROW(),IFERROR(LOOKUP(2,1/($V$5:$V290="Macro"),ROW($V$5:$V290)),0)))</f>
        <v/>
      </c>
      <c r="V290" s="62">
        <f>IF(NOT((COUNTA($B290:$D290)+COUNTA($G290:$L290)+COUNTA($Q290))&gt;0),"",IF($B290="Subactividad","Sub","Macro"))</f>
        <v/>
      </c>
      <c r="W290" s="62">
        <f>IF($V290="Macro",COUNTIFS($U$5:$U$1000,ROW(),$V$5:$V$1000,"Sub"),"")</f>
        <v/>
      </c>
      <c r="X290" s="62">
        <f>IF($V290="","",IF(ISNUMBER($G290),1,IFERROR(LOOKUP(2,1/($I290:$L290&lt;&gt;""),$I290:$L290),0)))</f>
        <v/>
      </c>
      <c r="Y290" s="62">
        <f>IF($V290="","",IF(AND(ISNUMBER($G290),$G290&lt;=IF($S290=MesCiclo,InicioCiclo,$S290+MOD(2-WEEKDAY($S290),7))+6),1,IF(ISNUMBER($I290),$I290,0)))</f>
        <v/>
      </c>
      <c r="Z290" s="62">
        <f>IF($V290="","",IF(AND(ISNUMBER($G290),$G290&lt;=IF($S290=MesCiclo,InicioCiclo,$S290+MOD(2-WEEKDAY($S290),7))+13),1,IF(ISNUMBER($J290),$J290,$Y290)))</f>
        <v/>
      </c>
      <c r="AA290" s="62">
        <f>IF($V290="","",IF(AND(ISNUMBER($G290),$G290&lt;=IF($S290=MesCiclo,InicioCiclo,$S290+MOD(2-WEEKDAY($S290),7))+20),1,IF(ISNUMBER($K290),$K290,$Z290)))</f>
        <v/>
      </c>
      <c r="AB290" s="62">
        <f>IF($V290="","",IF(AND(ISNUMBER($G290),$G290&lt;=IF($S290=MesCiclo,InicioCiclo,$S290+MOD(2-WEEKDAY($S290),7))+27),1,IF(ISNUMBER($L290),$L290,$AA290)))</f>
        <v/>
      </c>
      <c r="AC290" s="62">
        <f>IF($V290="","",IF(AND(ISNUMBER($G290),$G290&lt;=IF($S290=MesCiclo,InicioCiclo,$S290+MOD(2-WEEKDAY($S290),7))+6),1,IF(N($W290)&gt;0,AVERAGEIFS($Y$5:$Y$1000,$U$5:$U$1000,ROW(),$V$5:$V$1000,"Sub"),$Y290)))</f>
        <v/>
      </c>
      <c r="AD290" s="62">
        <f>IF($V290="","",IF(AND(ISNUMBER($G290),$G290&lt;=IF($S290=MesCiclo,InicioCiclo,$S290+MOD(2-WEEKDAY($S290),7))+13),1,IF(N($W290)&gt;0,AVERAGEIFS($Z$5:$Z$1000,$U$5:$U$1000,ROW(),$V$5:$V$1000,"Sub"),$Z290)))</f>
        <v/>
      </c>
      <c r="AE290" s="62">
        <f>IF($V290="","",IF(AND(ISNUMBER($G290),$G290&lt;=IF($S290=MesCiclo,InicioCiclo,$S290+MOD(2-WEEKDAY($S290),7))+20),1,IF(N($W290)&gt;0,AVERAGEIFS($AA$5:$AA$1000,$U$5:$U$1000,ROW(),$V$5:$V$1000,"Sub"),$AA290)))</f>
        <v/>
      </c>
      <c r="AF290" s="62">
        <f>IF($V290="","",IF(AND(ISNUMBER($G290),$G290&lt;=IF($S290=MesCiclo,InicioCiclo,$S290+MOD(2-WEEKDAY($S290),7))+27),1,IF(N($W290)&gt;0,AVERAGEIFS($AB$5:$AB$1000,$U$5:$U$1000,ROW(),$V$5:$V$1000,"Sub"),$AB290)))</f>
        <v/>
      </c>
      <c r="AG290" s="62">
        <f>IF($V290&lt;&gt;"Macro","",IF(COUNTIFS($S$5:$S$1000,$S290,$V$5:$V$1000,"Macro",$H$5:$H$1000,"&gt;0")=0,1/COUNTIFS($S$5:$S$1000,$S290,$V$5:$V$1000,"Macro"),IF(AND(ISNUMBER($H290),N($H290)&gt;0),$H290,SUMIFS($H$5:$H$1000,$S$5:$S$1000,$S290,$V$5:$V$1000,"Macro")/COUNTIFS($S$5:$S$1000,$S290,$V$5:$V$1000,"Macro",$H$5:$H$1000,"&gt;0"))/(COUNTIFS($S$5:$S$1000,$S290,$V$5:$V$1000,"Macro")*SUMIFS($H$5:$H$1000,$S$5:$S$1000,$S290,$V$5:$V$1000,"Macro")/COUNTIFS($S$5:$S$1000,$S290,$V$5:$V$1000,"Macro",$H$5:$H$1000,"&gt;0"))))</f>
        <v/>
      </c>
      <c r="AH290" s="62" t="n"/>
      <c r="AI290" s="62" t="n"/>
      <c r="AJ290" s="62" t="n"/>
      <c r="AK290" s="62" t="n"/>
      <c r="AL290" s="62">
        <f>IF(LEFT($C290,11)="[Jefatura] ",IFERROR(MATCH("Asistente Técnico de Riesgo|"&amp;MID($C290,12,500),rDname_ADM,0),0),"")</f>
        <v/>
      </c>
      <c r="AM290" s="62">
        <f>IF(N($AL290)&gt;0,INDEX(rIni_ADM,$AL290),IF(ISNUMBER($E290),$E290,""))</f>
        <v/>
      </c>
      <c r="AN290" s="62">
        <f>IF(N($AL290)&gt;0,INDEX(rLim_ADM,$AL290),IF(ISNUMBER($F290),$F290,""))</f>
        <v/>
      </c>
    </row>
    <row r="291">
      <c r="A291" s="56">
        <f>IF(NOT((COUNTA($B291:$D291)+COUNTA($G291:$L291)+COUNTA($Q291))&gt;0),"",IF($V291="Macro",COUNTIFS($V$5:$V291,"Macro",$S$5:$S291,$S291),IF(N($U291)=0,"?",COUNTIFS(INDEX($V$5:$V$1000,1):INDEX($V$5:$V$1000,$U291-4),"Macro",INDEX($S$5:$S$1000,1):INDEX($S$5:$S$1000,$U291-4),INDEX($S$5:$S$1000,$U291-4))&amp;"."&amp;COUNTIFS($U$5:$U291,$U291,$V$5:$V291,"Sub"))))</f>
        <v/>
      </c>
      <c r="B291" s="57" t="n"/>
      <c r="C291" s="58" t="n"/>
      <c r="D291" s="58" t="n"/>
      <c r="E291" s="59">
        <f>IF(N($AL291)&gt;0,INDEX(rIni_ADM,$AL291),"")</f>
        <v/>
      </c>
      <c r="F291" s="59">
        <f>IF(N($AL291)&gt;0,INDEX(rLim_ADM,$AL291),"")</f>
        <v/>
      </c>
      <c r="G291" s="59" t="n"/>
      <c r="H291" s="60" t="n"/>
      <c r="I291" s="60" t="n"/>
      <c r="J291" s="60" t="n"/>
      <c r="K291" s="60" t="n"/>
      <c r="L291" s="60" t="n"/>
      <c r="M291" s="61">
        <f>IF(NOT((COUNTA($B291:$D291)+COUNTA($G291:$L291)+COUNTA($Q291))&gt;0),"",IF($V291="Sub",IFERROR($X291/INDEX($W$5:$W$1000,$U291-4),""),IF(ISNUMBER($G291),1,IF(N($W291)&gt;0,AVERAGEIFS($X$5:$X$1000,$U$5:$U$1000,ROW(),$V$5:$V$1000,"Sub"),$X291))))</f>
        <v/>
      </c>
      <c r="N291" s="56">
        <f>IF(OR($M291="",$V291="Sub"),"",IF($M291&gt;=1,"Completado",IF($M291&gt;0,"En curso","Pendiente")))</f>
        <v/>
      </c>
      <c r="O291" s="56">
        <f>IF(OR(NOT((COUNTA($B291:$D291)+COUNTA($G291:$L291)+COUNTA($Q291))&gt;0),$V291="Sub"),"",IF(ISNUMBER($G291),IF(AND(ISNUMBER($AN291),$G291&gt;$AN291),"Cumplida con "&amp;($G291-$AN291)&amp;IF($G291-$AN291=1," día"," días")&amp;" de retraso","Cumplida"),IF(N($M291)&gt;=1,"Cumplida",IF(NOT(ISNUMBER($AN291)),"Sin fecha límite",IF($AN291&lt;FechaRef,"Vencida hace "&amp;(FechaRef-$AN291)&amp;IF(FechaRef-$AN291=1," día"," días"),IF($AN291=FechaRef,"Vence hoy",IF($AN291-FechaRef&lt;=DiasAlerta,"Vence en "&amp;($AN291-FechaRef)&amp;IF($AN291-FechaRef=1," día"," días"),"En plazo")))))))</f>
        <v/>
      </c>
      <c r="P291" s="62" t="n"/>
      <c r="Q291" s="58" t="n"/>
      <c r="R291" s="63">
        <f>IF(NOT((COUNTA($B291:$D291)+COUNTA($G291:$L291)+COUNTA($Q291))&gt;0),"",IF((IF($C291="","Falta el nombre de la actividad"&amp;" · ","")&amp;IF(AND($V291="Sub",N($U291)=0),"Subactividad sin macroactividad arriba"&amp;" · ","")&amp;IF($AM291="","Sin fecha de inicio"&amp;" · ","")&amp;IF($AN291="","Sin fecha límite"&amp;" · ","")&amp;IF(AND(LEFT($C291,11)="[Jefatura] ",N($AL291)=0),"No se encuentra en la hoja de la jefatura (elíjala de nuevo en la lista)"&amp;" · ","")&amp;IF(OR(AND($E291&lt;&gt;"",NOT(ISNUMBER($E291))),AND($F291&lt;&gt;"",NOT(ISNUMBER($F291))),AND($G291&lt;&gt;"",NOT(ISNUMBER($G291)))),"Fecha no válida"&amp;" · ","")&amp;IF(AND(ISNUMBER($AM291),ISNUMBER($AN291),$AM291&gt;$AN291),"Inicio posterior a fecha límite"&amp;" · ","")&amp;IF(AND($V291="Macro",$H291&lt;&gt;"",OR(NOT(ISNUMBER($H291)),$H291&lt;0,$H291&gt;1)),"Peso fuera de rango"&amp;" · ","")&amp;IF(AND($V291="Sub",$H291&lt;&gt;""),"Las subactividades no llevan peso (valen igual dentro de su macroactividad)"&amp;" · ","")&amp;IF(AND(N($W291)&gt;0,COUNT($I291:$L291)&gt;0),"Con subactividades: deje vacías las semanas (se calculan solas)"&amp;" · ","")&amp;IF((COUNTIF($I291:$L291,"&gt;1")+COUNTIF($I291:$L291,"&lt;0")+COUNTA($I291:$L291)-COUNT($I291:$L291))&gt;0,"Avance fuera de rango 0-100%"&amp;" · ","")&amp;IF(OR(AND($J291&lt;&gt;"",$J291&lt;$I291),AND($K291&lt;&gt;"",$K291&lt;MAX($I291:$J291)),AND($L291&lt;&gt;"",$L291&lt;MAX($I291:$K291))),"Avance semanal decreciente"&amp;" · ","")&amp;IF(AND(ISNUMBER($AN291),$AN291&lt;FechaRef,IF($V291="Sub",N($X291),N($M291))&lt;1),"Vencida"&amp;" · ","")&amp;IF(AND(ObsObligatoria="Sí",ISNUMBER($AN291),$AN291&lt;FechaRef,IF($V291="Sub",N($X291),N($M291))&lt;1,$Q291=""),"Vencida sin observación"&amp;" · ",""))="","✔ OK","⚠ "&amp;LEFT(IF($C291="","Falta el nombre de la actividad"&amp;" · ","")&amp;IF(AND($V291="Sub",N($U291)=0),"Subactividad sin macroactividad arriba"&amp;" · ","")&amp;IF($AM291="","Sin fecha de inicio"&amp;" · ","")&amp;IF($AN291="","Sin fecha límite"&amp;" · ","")&amp;IF(AND(LEFT($C291,11)="[Jefatura] ",N($AL291)=0),"No se encuentra en la hoja de la jefatura (elíjala de nuevo en la lista)"&amp;" · ","")&amp;IF(OR(AND($E291&lt;&gt;"",NOT(ISNUMBER($E291))),AND($F291&lt;&gt;"",NOT(ISNUMBER($F291))),AND($G291&lt;&gt;"",NOT(ISNUMBER($G291)))),"Fecha no válida"&amp;" · ","")&amp;IF(AND(ISNUMBER($AM291),ISNUMBER($AN291),$AM291&gt;$AN291),"Inicio posterior a fecha límite"&amp;" · ","")&amp;IF(AND($V291="Macro",$H291&lt;&gt;"",OR(NOT(ISNUMBER($H291)),$H291&lt;0,$H291&gt;1)),"Peso fuera de rango"&amp;" · ","")&amp;IF(AND($V291="Sub",$H291&lt;&gt;""),"Las subactividades no llevan peso (valen igual dentro de su macroactividad)"&amp;" · ","")&amp;IF(AND(N($W291)&gt;0,COUNT($I291:$L291)&gt;0),"Con subactividades: deje vacías las semanas (se calculan solas)"&amp;" · ","")&amp;IF((COUNTIF($I291:$L291,"&gt;1")+COUNTIF($I291:$L291,"&lt;0")+COUNTA($I291:$L291)-COUNT($I291:$L291))&gt;0,"Avance fuera de rango 0-100%"&amp;" · ","")&amp;IF(OR(AND($J291&lt;&gt;"",$J291&lt;$I291),AND($K291&lt;&gt;"",$K291&lt;MAX($I291:$J291)),AND($L291&lt;&gt;"",$L291&lt;MAX($I291:$K291))),"Avance semanal decreciente"&amp;" · ","")&amp;IF(AND(ISNUMBER($AN291),$AN291&lt;FechaRef,IF($V291="Sub",N($X291),N($M291))&lt;1),"Vencida"&amp;" · ","")&amp;IF(AND(ObsObligatoria="Sí",ISNUMBER($AN291),$AN291&lt;FechaRef,IF($V291="Sub",N($X291),N($M291))&lt;1,$Q291=""),"Vencida sin observación"&amp;" · ",""),LEN(IF($C291="","Falta el nombre de la actividad"&amp;" · ","")&amp;IF(AND($V291="Sub",N($U291)=0),"Subactividad sin macroactividad arriba"&amp;" · ","")&amp;IF($AM291="","Sin fecha de inicio"&amp;" · ","")&amp;IF($AN291="","Sin fecha límite"&amp;" · ","")&amp;IF(AND(LEFT($C291,11)="[Jefatura] ",N($AL291)=0),"No se encuentra en la hoja de la jefatura (elíjala de nuevo en la lista)"&amp;" · ","")&amp;IF(OR(AND($E291&lt;&gt;"",NOT(ISNUMBER($E291))),AND($F291&lt;&gt;"",NOT(ISNUMBER($F291))),AND($G291&lt;&gt;"",NOT(ISNUMBER($G291)))),"Fecha no válida"&amp;" · ","")&amp;IF(AND(ISNUMBER($AM291),ISNUMBER($AN291),$AM291&gt;$AN291),"Inicio posterior a fecha límite"&amp;" · ","")&amp;IF(AND($V291="Macro",$H291&lt;&gt;"",OR(NOT(ISNUMBER($H291)),$H291&lt;0,$H291&gt;1)),"Peso fuera de rango"&amp;" · ","")&amp;IF(AND($V291="Sub",$H291&lt;&gt;""),"Las subactividades no llevan peso (valen igual dentro de su macroactividad)"&amp;" · ","")&amp;IF(AND(N($W291)&gt;0,COUNT($I291:$L291)&gt;0),"Con subactividades: deje vacías las semanas (se calculan solas)"&amp;" · ","")&amp;IF((COUNTIF($I291:$L291,"&gt;1")+COUNTIF($I291:$L291,"&lt;0")+COUNTA($I291:$L291)-COUNT($I291:$L291))&gt;0,"Avance fuera de rango 0-100%"&amp;" · ","")&amp;IF(OR(AND($J291&lt;&gt;"",$J291&lt;$I291),AND($K291&lt;&gt;"",$K291&lt;MAX($I291:$J291)),AND($L291&lt;&gt;"",$L291&lt;MAX($I291:$K291))),"Avance semanal decreciente"&amp;" · ","")&amp;IF(AND(ISNUMBER($AN291),$AN291&lt;FechaRef,IF($V291="Sub",N($X291),N($M291))&lt;1),"Vencida"&amp;" · ","")&amp;IF(AND(ObsObligatoria="Sí",ISNUMBER($AN291),$AN291&lt;FechaRef,IF($V291="Sub",N($X291),N($M291))&lt;1,$Q291=""),"Vencida sin observación"&amp;" · ",""))-3)))</f>
        <v/>
      </c>
      <c r="S291" s="64">
        <f>IF(NOT((COUNTA($B291:$D291)+COUNTA($G291:$L291)+COUNTA($Q291))&gt;0),"",IF(AND($V291="Sub",N($U291)&gt;0),IF(ISNUMBER(INDEX($AM$5:$AM$1000,$U291-4)),DATE(YEAR(INDEX($AM$5:$AM$1000,$U291-4)),MONTH(INDEX($AM$5:$AM$1000,$U291-4)),1),IF(ISNUMBER(INDEX($AN$5:$AN$1000,$U291-4)),DATE(YEAR(INDEX($AN$5:$AN$1000,$U291-4)),MONTH(INDEX($AN$5:$AN$1000,$U291-4)),1),MesCiclo)),IF(ISNUMBER($AM291),DATE(YEAR($AM291),MONTH($AM291),1),IF(ISNUMBER($AN291),DATE(YEAR($AN291),MONTH($AN291),1),MesCiclo))))</f>
        <v/>
      </c>
      <c r="T291" s="62">
        <f>IF(OR($S291="",$S291&lt;&gt;MesCiclo,$V291&lt;&gt;"Macro"),"",COUNTIFS($S$5:$S291,MesCiclo,$V$5:$V291,"Macro"))</f>
        <v/>
      </c>
      <c r="U291" s="62">
        <f>IF($V291="","",IF($V291="Macro",ROW(),IFERROR(LOOKUP(2,1/($V$5:$V291="Macro"),ROW($V$5:$V291)),0)))</f>
        <v/>
      </c>
      <c r="V291" s="62">
        <f>IF(NOT((COUNTA($B291:$D291)+COUNTA($G291:$L291)+COUNTA($Q291))&gt;0),"",IF($B291="Subactividad","Sub","Macro"))</f>
        <v/>
      </c>
      <c r="W291" s="62">
        <f>IF($V291="Macro",COUNTIFS($U$5:$U$1000,ROW(),$V$5:$V$1000,"Sub"),"")</f>
        <v/>
      </c>
      <c r="X291" s="62">
        <f>IF($V291="","",IF(ISNUMBER($G291),1,IFERROR(LOOKUP(2,1/($I291:$L291&lt;&gt;""),$I291:$L291),0)))</f>
        <v/>
      </c>
      <c r="Y291" s="62">
        <f>IF($V291="","",IF(AND(ISNUMBER($G291),$G291&lt;=IF($S291=MesCiclo,InicioCiclo,$S291+MOD(2-WEEKDAY($S291),7))+6),1,IF(ISNUMBER($I291),$I291,0)))</f>
        <v/>
      </c>
      <c r="Z291" s="62">
        <f>IF($V291="","",IF(AND(ISNUMBER($G291),$G291&lt;=IF($S291=MesCiclo,InicioCiclo,$S291+MOD(2-WEEKDAY($S291),7))+13),1,IF(ISNUMBER($J291),$J291,$Y291)))</f>
        <v/>
      </c>
      <c r="AA291" s="62">
        <f>IF($V291="","",IF(AND(ISNUMBER($G291),$G291&lt;=IF($S291=MesCiclo,InicioCiclo,$S291+MOD(2-WEEKDAY($S291),7))+20),1,IF(ISNUMBER($K291),$K291,$Z291)))</f>
        <v/>
      </c>
      <c r="AB291" s="62">
        <f>IF($V291="","",IF(AND(ISNUMBER($G291),$G291&lt;=IF($S291=MesCiclo,InicioCiclo,$S291+MOD(2-WEEKDAY($S291),7))+27),1,IF(ISNUMBER($L291),$L291,$AA291)))</f>
        <v/>
      </c>
      <c r="AC291" s="62">
        <f>IF($V291="","",IF(AND(ISNUMBER($G291),$G291&lt;=IF($S291=MesCiclo,InicioCiclo,$S291+MOD(2-WEEKDAY($S291),7))+6),1,IF(N($W291)&gt;0,AVERAGEIFS($Y$5:$Y$1000,$U$5:$U$1000,ROW(),$V$5:$V$1000,"Sub"),$Y291)))</f>
        <v/>
      </c>
      <c r="AD291" s="62">
        <f>IF($V291="","",IF(AND(ISNUMBER($G291),$G291&lt;=IF($S291=MesCiclo,InicioCiclo,$S291+MOD(2-WEEKDAY($S291),7))+13),1,IF(N($W291)&gt;0,AVERAGEIFS($Z$5:$Z$1000,$U$5:$U$1000,ROW(),$V$5:$V$1000,"Sub"),$Z291)))</f>
        <v/>
      </c>
      <c r="AE291" s="62">
        <f>IF($V291="","",IF(AND(ISNUMBER($G291),$G291&lt;=IF($S291=MesCiclo,InicioCiclo,$S291+MOD(2-WEEKDAY($S291),7))+20),1,IF(N($W291)&gt;0,AVERAGEIFS($AA$5:$AA$1000,$U$5:$U$1000,ROW(),$V$5:$V$1000,"Sub"),$AA291)))</f>
        <v/>
      </c>
      <c r="AF291" s="62">
        <f>IF($V291="","",IF(AND(ISNUMBER($G291),$G291&lt;=IF($S291=MesCiclo,InicioCiclo,$S291+MOD(2-WEEKDAY($S291),7))+27),1,IF(N($W291)&gt;0,AVERAGEIFS($AB$5:$AB$1000,$U$5:$U$1000,ROW(),$V$5:$V$1000,"Sub"),$AB291)))</f>
        <v/>
      </c>
      <c r="AG291" s="62">
        <f>IF($V291&lt;&gt;"Macro","",IF(COUNTIFS($S$5:$S$1000,$S291,$V$5:$V$1000,"Macro",$H$5:$H$1000,"&gt;0")=0,1/COUNTIFS($S$5:$S$1000,$S291,$V$5:$V$1000,"Macro"),IF(AND(ISNUMBER($H291),N($H291)&gt;0),$H291,SUMIFS($H$5:$H$1000,$S$5:$S$1000,$S291,$V$5:$V$1000,"Macro")/COUNTIFS($S$5:$S$1000,$S291,$V$5:$V$1000,"Macro",$H$5:$H$1000,"&gt;0"))/(COUNTIFS($S$5:$S$1000,$S291,$V$5:$V$1000,"Macro")*SUMIFS($H$5:$H$1000,$S$5:$S$1000,$S291,$V$5:$V$1000,"Macro")/COUNTIFS($S$5:$S$1000,$S291,$V$5:$V$1000,"Macro",$H$5:$H$1000,"&gt;0"))))</f>
        <v/>
      </c>
      <c r="AH291" s="62" t="n"/>
      <c r="AI291" s="62" t="n"/>
      <c r="AJ291" s="62" t="n"/>
      <c r="AK291" s="62" t="n"/>
      <c r="AL291" s="62">
        <f>IF(LEFT($C291,11)="[Jefatura] ",IFERROR(MATCH("Asistente Técnico de Riesgo|"&amp;MID($C291,12,500),rDname_ADM,0),0),"")</f>
        <v/>
      </c>
      <c r="AM291" s="62">
        <f>IF(N($AL291)&gt;0,INDEX(rIni_ADM,$AL291),IF(ISNUMBER($E291),$E291,""))</f>
        <v/>
      </c>
      <c r="AN291" s="62">
        <f>IF(N($AL291)&gt;0,INDEX(rLim_ADM,$AL291),IF(ISNUMBER($F291),$F291,""))</f>
        <v/>
      </c>
    </row>
    <row r="292">
      <c r="A292" s="56">
        <f>IF(NOT((COUNTA($B292:$D292)+COUNTA($G292:$L292)+COUNTA($Q292))&gt;0),"",IF($V292="Macro",COUNTIFS($V$5:$V292,"Macro",$S$5:$S292,$S292),IF(N($U292)=0,"?",COUNTIFS(INDEX($V$5:$V$1000,1):INDEX($V$5:$V$1000,$U292-4),"Macro",INDEX($S$5:$S$1000,1):INDEX($S$5:$S$1000,$U292-4),INDEX($S$5:$S$1000,$U292-4))&amp;"."&amp;COUNTIFS($U$5:$U292,$U292,$V$5:$V292,"Sub"))))</f>
        <v/>
      </c>
      <c r="B292" s="57" t="n"/>
      <c r="C292" s="58" t="n"/>
      <c r="D292" s="58" t="n"/>
      <c r="E292" s="59">
        <f>IF(N($AL292)&gt;0,INDEX(rIni_ADM,$AL292),"")</f>
        <v/>
      </c>
      <c r="F292" s="59">
        <f>IF(N($AL292)&gt;0,INDEX(rLim_ADM,$AL292),"")</f>
        <v/>
      </c>
      <c r="G292" s="59" t="n"/>
      <c r="H292" s="60" t="n"/>
      <c r="I292" s="60" t="n"/>
      <c r="J292" s="60" t="n"/>
      <c r="K292" s="60" t="n"/>
      <c r="L292" s="60" t="n"/>
      <c r="M292" s="61">
        <f>IF(NOT((COUNTA($B292:$D292)+COUNTA($G292:$L292)+COUNTA($Q292))&gt;0),"",IF($V292="Sub",IFERROR($X292/INDEX($W$5:$W$1000,$U292-4),""),IF(ISNUMBER($G292),1,IF(N($W292)&gt;0,AVERAGEIFS($X$5:$X$1000,$U$5:$U$1000,ROW(),$V$5:$V$1000,"Sub"),$X292))))</f>
        <v/>
      </c>
      <c r="N292" s="56">
        <f>IF(OR($M292="",$V292="Sub"),"",IF($M292&gt;=1,"Completado",IF($M292&gt;0,"En curso","Pendiente")))</f>
        <v/>
      </c>
      <c r="O292" s="56">
        <f>IF(OR(NOT((COUNTA($B292:$D292)+COUNTA($G292:$L292)+COUNTA($Q292))&gt;0),$V292="Sub"),"",IF(ISNUMBER($G292),IF(AND(ISNUMBER($AN292),$G292&gt;$AN292),"Cumplida con "&amp;($G292-$AN292)&amp;IF($G292-$AN292=1," día"," días")&amp;" de retraso","Cumplida"),IF(N($M292)&gt;=1,"Cumplida",IF(NOT(ISNUMBER($AN292)),"Sin fecha límite",IF($AN292&lt;FechaRef,"Vencida hace "&amp;(FechaRef-$AN292)&amp;IF(FechaRef-$AN292=1," día"," días"),IF($AN292=FechaRef,"Vence hoy",IF($AN292-FechaRef&lt;=DiasAlerta,"Vence en "&amp;($AN292-FechaRef)&amp;IF($AN292-FechaRef=1," día"," días"),"En plazo")))))))</f>
        <v/>
      </c>
      <c r="P292" s="62" t="n"/>
      <c r="Q292" s="58" t="n"/>
      <c r="R292" s="63">
        <f>IF(NOT((COUNTA($B292:$D292)+COUNTA($G292:$L292)+COUNTA($Q292))&gt;0),"",IF((IF($C292="","Falta el nombre de la actividad"&amp;" · ","")&amp;IF(AND($V292="Sub",N($U292)=0),"Subactividad sin macroactividad arriba"&amp;" · ","")&amp;IF($AM292="","Sin fecha de inicio"&amp;" · ","")&amp;IF($AN292="","Sin fecha límite"&amp;" · ","")&amp;IF(AND(LEFT($C292,11)="[Jefatura] ",N($AL292)=0),"No se encuentra en la hoja de la jefatura (elíjala de nuevo en la lista)"&amp;" · ","")&amp;IF(OR(AND($E292&lt;&gt;"",NOT(ISNUMBER($E292))),AND($F292&lt;&gt;"",NOT(ISNUMBER($F292))),AND($G292&lt;&gt;"",NOT(ISNUMBER($G292)))),"Fecha no válida"&amp;" · ","")&amp;IF(AND(ISNUMBER($AM292),ISNUMBER($AN292),$AM292&gt;$AN292),"Inicio posterior a fecha límite"&amp;" · ","")&amp;IF(AND($V292="Macro",$H292&lt;&gt;"",OR(NOT(ISNUMBER($H292)),$H292&lt;0,$H292&gt;1)),"Peso fuera de rango"&amp;" · ","")&amp;IF(AND($V292="Sub",$H292&lt;&gt;""),"Las subactividades no llevan peso (valen igual dentro de su macroactividad)"&amp;" · ","")&amp;IF(AND(N($W292)&gt;0,COUNT($I292:$L292)&gt;0),"Con subactividades: deje vacías las semanas (se calculan solas)"&amp;" · ","")&amp;IF((COUNTIF($I292:$L292,"&gt;1")+COUNTIF($I292:$L292,"&lt;0")+COUNTA($I292:$L292)-COUNT($I292:$L292))&gt;0,"Avance fuera de rango 0-100%"&amp;" · ","")&amp;IF(OR(AND($J292&lt;&gt;"",$J292&lt;$I292),AND($K292&lt;&gt;"",$K292&lt;MAX($I292:$J292)),AND($L292&lt;&gt;"",$L292&lt;MAX($I292:$K292))),"Avance semanal decreciente"&amp;" · ","")&amp;IF(AND(ISNUMBER($AN292),$AN292&lt;FechaRef,IF($V292="Sub",N($X292),N($M292))&lt;1),"Vencida"&amp;" · ","")&amp;IF(AND(ObsObligatoria="Sí",ISNUMBER($AN292),$AN292&lt;FechaRef,IF($V292="Sub",N($X292),N($M292))&lt;1,$Q292=""),"Vencida sin observación"&amp;" · ",""))="","✔ OK","⚠ "&amp;LEFT(IF($C292="","Falta el nombre de la actividad"&amp;" · ","")&amp;IF(AND($V292="Sub",N($U292)=0),"Subactividad sin macroactividad arriba"&amp;" · ","")&amp;IF($AM292="","Sin fecha de inicio"&amp;" · ","")&amp;IF($AN292="","Sin fecha límite"&amp;" · ","")&amp;IF(AND(LEFT($C292,11)="[Jefatura] ",N($AL292)=0),"No se encuentra en la hoja de la jefatura (elíjala de nuevo en la lista)"&amp;" · ","")&amp;IF(OR(AND($E292&lt;&gt;"",NOT(ISNUMBER($E292))),AND($F292&lt;&gt;"",NOT(ISNUMBER($F292))),AND($G292&lt;&gt;"",NOT(ISNUMBER($G292)))),"Fecha no válida"&amp;" · ","")&amp;IF(AND(ISNUMBER($AM292),ISNUMBER($AN292),$AM292&gt;$AN292),"Inicio posterior a fecha límite"&amp;" · ","")&amp;IF(AND($V292="Macro",$H292&lt;&gt;"",OR(NOT(ISNUMBER($H292)),$H292&lt;0,$H292&gt;1)),"Peso fuera de rango"&amp;" · ","")&amp;IF(AND($V292="Sub",$H292&lt;&gt;""),"Las subactividades no llevan peso (valen igual dentro de su macroactividad)"&amp;" · ","")&amp;IF(AND(N($W292)&gt;0,COUNT($I292:$L292)&gt;0),"Con subactividades: deje vacías las semanas (se calculan solas)"&amp;" · ","")&amp;IF((COUNTIF($I292:$L292,"&gt;1")+COUNTIF($I292:$L292,"&lt;0")+COUNTA($I292:$L292)-COUNT($I292:$L292))&gt;0,"Avance fuera de rango 0-100%"&amp;" · ","")&amp;IF(OR(AND($J292&lt;&gt;"",$J292&lt;$I292),AND($K292&lt;&gt;"",$K292&lt;MAX($I292:$J292)),AND($L292&lt;&gt;"",$L292&lt;MAX($I292:$K292))),"Avance semanal decreciente"&amp;" · ","")&amp;IF(AND(ISNUMBER($AN292),$AN292&lt;FechaRef,IF($V292="Sub",N($X292),N($M292))&lt;1),"Vencida"&amp;" · ","")&amp;IF(AND(ObsObligatoria="Sí",ISNUMBER($AN292),$AN292&lt;FechaRef,IF($V292="Sub",N($X292),N($M292))&lt;1,$Q292=""),"Vencida sin observación"&amp;" · ",""),LEN(IF($C292="","Falta el nombre de la actividad"&amp;" · ","")&amp;IF(AND($V292="Sub",N($U292)=0),"Subactividad sin macroactividad arriba"&amp;" · ","")&amp;IF($AM292="","Sin fecha de inicio"&amp;" · ","")&amp;IF($AN292="","Sin fecha límite"&amp;" · ","")&amp;IF(AND(LEFT($C292,11)="[Jefatura] ",N($AL292)=0),"No se encuentra en la hoja de la jefatura (elíjala de nuevo en la lista)"&amp;" · ","")&amp;IF(OR(AND($E292&lt;&gt;"",NOT(ISNUMBER($E292))),AND($F292&lt;&gt;"",NOT(ISNUMBER($F292))),AND($G292&lt;&gt;"",NOT(ISNUMBER($G292)))),"Fecha no válida"&amp;" · ","")&amp;IF(AND(ISNUMBER($AM292),ISNUMBER($AN292),$AM292&gt;$AN292),"Inicio posterior a fecha límite"&amp;" · ","")&amp;IF(AND($V292="Macro",$H292&lt;&gt;"",OR(NOT(ISNUMBER($H292)),$H292&lt;0,$H292&gt;1)),"Peso fuera de rango"&amp;" · ","")&amp;IF(AND($V292="Sub",$H292&lt;&gt;""),"Las subactividades no llevan peso (valen igual dentro de su macroactividad)"&amp;" · ","")&amp;IF(AND(N($W292)&gt;0,COUNT($I292:$L292)&gt;0),"Con subactividades: deje vacías las semanas (se calculan solas)"&amp;" · ","")&amp;IF((COUNTIF($I292:$L292,"&gt;1")+COUNTIF($I292:$L292,"&lt;0")+COUNTA($I292:$L292)-COUNT($I292:$L292))&gt;0,"Avance fuera de rango 0-100%"&amp;" · ","")&amp;IF(OR(AND($J292&lt;&gt;"",$J292&lt;$I292),AND($K292&lt;&gt;"",$K292&lt;MAX($I292:$J292)),AND($L292&lt;&gt;"",$L292&lt;MAX($I292:$K292))),"Avance semanal decreciente"&amp;" · ","")&amp;IF(AND(ISNUMBER($AN292),$AN292&lt;FechaRef,IF($V292="Sub",N($X292),N($M292))&lt;1),"Vencida"&amp;" · ","")&amp;IF(AND(ObsObligatoria="Sí",ISNUMBER($AN292),$AN292&lt;FechaRef,IF($V292="Sub",N($X292),N($M292))&lt;1,$Q292=""),"Vencida sin observación"&amp;" · ",""))-3)))</f>
        <v/>
      </c>
      <c r="S292" s="64">
        <f>IF(NOT((COUNTA($B292:$D292)+COUNTA($G292:$L292)+COUNTA($Q292))&gt;0),"",IF(AND($V292="Sub",N($U292)&gt;0),IF(ISNUMBER(INDEX($AM$5:$AM$1000,$U292-4)),DATE(YEAR(INDEX($AM$5:$AM$1000,$U292-4)),MONTH(INDEX($AM$5:$AM$1000,$U292-4)),1),IF(ISNUMBER(INDEX($AN$5:$AN$1000,$U292-4)),DATE(YEAR(INDEX($AN$5:$AN$1000,$U292-4)),MONTH(INDEX($AN$5:$AN$1000,$U292-4)),1),MesCiclo)),IF(ISNUMBER($AM292),DATE(YEAR($AM292),MONTH($AM292),1),IF(ISNUMBER($AN292),DATE(YEAR($AN292),MONTH($AN292),1),MesCiclo))))</f>
        <v/>
      </c>
      <c r="T292" s="62">
        <f>IF(OR($S292="",$S292&lt;&gt;MesCiclo,$V292&lt;&gt;"Macro"),"",COUNTIFS($S$5:$S292,MesCiclo,$V$5:$V292,"Macro"))</f>
        <v/>
      </c>
      <c r="U292" s="62">
        <f>IF($V292="","",IF($V292="Macro",ROW(),IFERROR(LOOKUP(2,1/($V$5:$V292="Macro"),ROW($V$5:$V292)),0)))</f>
        <v/>
      </c>
      <c r="V292" s="62">
        <f>IF(NOT((COUNTA($B292:$D292)+COUNTA($G292:$L292)+COUNTA($Q292))&gt;0),"",IF($B292="Subactividad","Sub","Macro"))</f>
        <v/>
      </c>
      <c r="W292" s="62">
        <f>IF($V292="Macro",COUNTIFS($U$5:$U$1000,ROW(),$V$5:$V$1000,"Sub"),"")</f>
        <v/>
      </c>
      <c r="X292" s="62">
        <f>IF($V292="","",IF(ISNUMBER($G292),1,IFERROR(LOOKUP(2,1/($I292:$L292&lt;&gt;""),$I292:$L292),0)))</f>
        <v/>
      </c>
      <c r="Y292" s="62">
        <f>IF($V292="","",IF(AND(ISNUMBER($G292),$G292&lt;=IF($S292=MesCiclo,InicioCiclo,$S292+MOD(2-WEEKDAY($S292),7))+6),1,IF(ISNUMBER($I292),$I292,0)))</f>
        <v/>
      </c>
      <c r="Z292" s="62">
        <f>IF($V292="","",IF(AND(ISNUMBER($G292),$G292&lt;=IF($S292=MesCiclo,InicioCiclo,$S292+MOD(2-WEEKDAY($S292),7))+13),1,IF(ISNUMBER($J292),$J292,$Y292)))</f>
        <v/>
      </c>
      <c r="AA292" s="62">
        <f>IF($V292="","",IF(AND(ISNUMBER($G292),$G292&lt;=IF($S292=MesCiclo,InicioCiclo,$S292+MOD(2-WEEKDAY($S292),7))+20),1,IF(ISNUMBER($K292),$K292,$Z292)))</f>
        <v/>
      </c>
      <c r="AB292" s="62">
        <f>IF($V292="","",IF(AND(ISNUMBER($G292),$G292&lt;=IF($S292=MesCiclo,InicioCiclo,$S292+MOD(2-WEEKDAY($S292),7))+27),1,IF(ISNUMBER($L292),$L292,$AA292)))</f>
        <v/>
      </c>
      <c r="AC292" s="62">
        <f>IF($V292="","",IF(AND(ISNUMBER($G292),$G292&lt;=IF($S292=MesCiclo,InicioCiclo,$S292+MOD(2-WEEKDAY($S292),7))+6),1,IF(N($W292)&gt;0,AVERAGEIFS($Y$5:$Y$1000,$U$5:$U$1000,ROW(),$V$5:$V$1000,"Sub"),$Y292)))</f>
        <v/>
      </c>
      <c r="AD292" s="62">
        <f>IF($V292="","",IF(AND(ISNUMBER($G292),$G292&lt;=IF($S292=MesCiclo,InicioCiclo,$S292+MOD(2-WEEKDAY($S292),7))+13),1,IF(N($W292)&gt;0,AVERAGEIFS($Z$5:$Z$1000,$U$5:$U$1000,ROW(),$V$5:$V$1000,"Sub"),$Z292)))</f>
        <v/>
      </c>
      <c r="AE292" s="62">
        <f>IF($V292="","",IF(AND(ISNUMBER($G292),$G292&lt;=IF($S292=MesCiclo,InicioCiclo,$S292+MOD(2-WEEKDAY($S292),7))+20),1,IF(N($W292)&gt;0,AVERAGEIFS($AA$5:$AA$1000,$U$5:$U$1000,ROW(),$V$5:$V$1000,"Sub"),$AA292)))</f>
        <v/>
      </c>
      <c r="AF292" s="62">
        <f>IF($V292="","",IF(AND(ISNUMBER($G292),$G292&lt;=IF($S292=MesCiclo,InicioCiclo,$S292+MOD(2-WEEKDAY($S292),7))+27),1,IF(N($W292)&gt;0,AVERAGEIFS($AB$5:$AB$1000,$U$5:$U$1000,ROW(),$V$5:$V$1000,"Sub"),$AB292)))</f>
        <v/>
      </c>
      <c r="AG292" s="62">
        <f>IF($V292&lt;&gt;"Macro","",IF(COUNTIFS($S$5:$S$1000,$S292,$V$5:$V$1000,"Macro",$H$5:$H$1000,"&gt;0")=0,1/COUNTIFS($S$5:$S$1000,$S292,$V$5:$V$1000,"Macro"),IF(AND(ISNUMBER($H292),N($H292)&gt;0),$H292,SUMIFS($H$5:$H$1000,$S$5:$S$1000,$S292,$V$5:$V$1000,"Macro")/COUNTIFS($S$5:$S$1000,$S292,$V$5:$V$1000,"Macro",$H$5:$H$1000,"&gt;0"))/(COUNTIFS($S$5:$S$1000,$S292,$V$5:$V$1000,"Macro")*SUMIFS($H$5:$H$1000,$S$5:$S$1000,$S292,$V$5:$V$1000,"Macro")/COUNTIFS($S$5:$S$1000,$S292,$V$5:$V$1000,"Macro",$H$5:$H$1000,"&gt;0"))))</f>
        <v/>
      </c>
      <c r="AH292" s="62" t="n"/>
      <c r="AI292" s="62" t="n"/>
      <c r="AJ292" s="62" t="n"/>
      <c r="AK292" s="62" t="n"/>
      <c r="AL292" s="62">
        <f>IF(LEFT($C292,11)="[Jefatura] ",IFERROR(MATCH("Asistente Técnico de Riesgo|"&amp;MID($C292,12,500),rDname_ADM,0),0),"")</f>
        <v/>
      </c>
      <c r="AM292" s="62">
        <f>IF(N($AL292)&gt;0,INDEX(rIni_ADM,$AL292),IF(ISNUMBER($E292),$E292,""))</f>
        <v/>
      </c>
      <c r="AN292" s="62">
        <f>IF(N($AL292)&gt;0,INDEX(rLim_ADM,$AL292),IF(ISNUMBER($F292),$F292,""))</f>
        <v/>
      </c>
    </row>
    <row r="293">
      <c r="A293" s="56">
        <f>IF(NOT((COUNTA($B293:$D293)+COUNTA($G293:$L293)+COUNTA($Q293))&gt;0),"",IF($V293="Macro",COUNTIFS($V$5:$V293,"Macro",$S$5:$S293,$S293),IF(N($U293)=0,"?",COUNTIFS(INDEX($V$5:$V$1000,1):INDEX($V$5:$V$1000,$U293-4),"Macro",INDEX($S$5:$S$1000,1):INDEX($S$5:$S$1000,$U293-4),INDEX($S$5:$S$1000,$U293-4))&amp;"."&amp;COUNTIFS($U$5:$U293,$U293,$V$5:$V293,"Sub"))))</f>
        <v/>
      </c>
      <c r="B293" s="57" t="n"/>
      <c r="C293" s="58" t="n"/>
      <c r="D293" s="58" t="n"/>
      <c r="E293" s="59">
        <f>IF(N($AL293)&gt;0,INDEX(rIni_ADM,$AL293),"")</f>
        <v/>
      </c>
      <c r="F293" s="59">
        <f>IF(N($AL293)&gt;0,INDEX(rLim_ADM,$AL293),"")</f>
        <v/>
      </c>
      <c r="G293" s="59" t="n"/>
      <c r="H293" s="60" t="n"/>
      <c r="I293" s="60" t="n"/>
      <c r="J293" s="60" t="n"/>
      <c r="K293" s="60" t="n"/>
      <c r="L293" s="60" t="n"/>
      <c r="M293" s="61">
        <f>IF(NOT((COUNTA($B293:$D293)+COUNTA($G293:$L293)+COUNTA($Q293))&gt;0),"",IF($V293="Sub",IFERROR($X293/INDEX($W$5:$W$1000,$U293-4),""),IF(ISNUMBER($G293),1,IF(N($W293)&gt;0,AVERAGEIFS($X$5:$X$1000,$U$5:$U$1000,ROW(),$V$5:$V$1000,"Sub"),$X293))))</f>
        <v/>
      </c>
      <c r="N293" s="56">
        <f>IF(OR($M293="",$V293="Sub"),"",IF($M293&gt;=1,"Completado",IF($M293&gt;0,"En curso","Pendiente")))</f>
        <v/>
      </c>
      <c r="O293" s="56">
        <f>IF(OR(NOT((COUNTA($B293:$D293)+COUNTA($G293:$L293)+COUNTA($Q293))&gt;0),$V293="Sub"),"",IF(ISNUMBER($G293),IF(AND(ISNUMBER($AN293),$G293&gt;$AN293),"Cumplida con "&amp;($G293-$AN293)&amp;IF($G293-$AN293=1," día"," días")&amp;" de retraso","Cumplida"),IF(N($M293)&gt;=1,"Cumplida",IF(NOT(ISNUMBER($AN293)),"Sin fecha límite",IF($AN293&lt;FechaRef,"Vencida hace "&amp;(FechaRef-$AN293)&amp;IF(FechaRef-$AN293=1," día"," días"),IF($AN293=FechaRef,"Vence hoy",IF($AN293-FechaRef&lt;=DiasAlerta,"Vence en "&amp;($AN293-FechaRef)&amp;IF($AN293-FechaRef=1," día"," días"),"En plazo")))))))</f>
        <v/>
      </c>
      <c r="P293" s="62" t="n"/>
      <c r="Q293" s="58" t="n"/>
      <c r="R293" s="63">
        <f>IF(NOT((COUNTA($B293:$D293)+COUNTA($G293:$L293)+COUNTA($Q293))&gt;0),"",IF((IF($C293="","Falta el nombre de la actividad"&amp;" · ","")&amp;IF(AND($V293="Sub",N($U293)=0),"Subactividad sin macroactividad arriba"&amp;" · ","")&amp;IF($AM293="","Sin fecha de inicio"&amp;" · ","")&amp;IF($AN293="","Sin fecha límite"&amp;" · ","")&amp;IF(AND(LEFT($C293,11)="[Jefatura] ",N($AL293)=0),"No se encuentra en la hoja de la jefatura (elíjala de nuevo en la lista)"&amp;" · ","")&amp;IF(OR(AND($E293&lt;&gt;"",NOT(ISNUMBER($E293))),AND($F293&lt;&gt;"",NOT(ISNUMBER($F293))),AND($G293&lt;&gt;"",NOT(ISNUMBER($G293)))),"Fecha no válida"&amp;" · ","")&amp;IF(AND(ISNUMBER($AM293),ISNUMBER($AN293),$AM293&gt;$AN293),"Inicio posterior a fecha límite"&amp;" · ","")&amp;IF(AND($V293="Macro",$H293&lt;&gt;"",OR(NOT(ISNUMBER($H293)),$H293&lt;0,$H293&gt;1)),"Peso fuera de rango"&amp;" · ","")&amp;IF(AND($V293="Sub",$H293&lt;&gt;""),"Las subactividades no llevan peso (valen igual dentro de su macroactividad)"&amp;" · ","")&amp;IF(AND(N($W293)&gt;0,COUNT($I293:$L293)&gt;0),"Con subactividades: deje vacías las semanas (se calculan solas)"&amp;" · ","")&amp;IF((COUNTIF($I293:$L293,"&gt;1")+COUNTIF($I293:$L293,"&lt;0")+COUNTA($I293:$L293)-COUNT($I293:$L293))&gt;0,"Avance fuera de rango 0-100%"&amp;" · ","")&amp;IF(OR(AND($J293&lt;&gt;"",$J293&lt;$I293),AND($K293&lt;&gt;"",$K293&lt;MAX($I293:$J293)),AND($L293&lt;&gt;"",$L293&lt;MAX($I293:$K293))),"Avance semanal decreciente"&amp;" · ","")&amp;IF(AND(ISNUMBER($AN293),$AN293&lt;FechaRef,IF($V293="Sub",N($X293),N($M293))&lt;1),"Vencida"&amp;" · ","")&amp;IF(AND(ObsObligatoria="Sí",ISNUMBER($AN293),$AN293&lt;FechaRef,IF($V293="Sub",N($X293),N($M293))&lt;1,$Q293=""),"Vencida sin observación"&amp;" · ",""))="","✔ OK","⚠ "&amp;LEFT(IF($C293="","Falta el nombre de la actividad"&amp;" · ","")&amp;IF(AND($V293="Sub",N($U293)=0),"Subactividad sin macroactividad arriba"&amp;" · ","")&amp;IF($AM293="","Sin fecha de inicio"&amp;" · ","")&amp;IF($AN293="","Sin fecha límite"&amp;" · ","")&amp;IF(AND(LEFT($C293,11)="[Jefatura] ",N($AL293)=0),"No se encuentra en la hoja de la jefatura (elíjala de nuevo en la lista)"&amp;" · ","")&amp;IF(OR(AND($E293&lt;&gt;"",NOT(ISNUMBER($E293))),AND($F293&lt;&gt;"",NOT(ISNUMBER($F293))),AND($G293&lt;&gt;"",NOT(ISNUMBER($G293)))),"Fecha no válida"&amp;" · ","")&amp;IF(AND(ISNUMBER($AM293),ISNUMBER($AN293),$AM293&gt;$AN293),"Inicio posterior a fecha límite"&amp;" · ","")&amp;IF(AND($V293="Macro",$H293&lt;&gt;"",OR(NOT(ISNUMBER($H293)),$H293&lt;0,$H293&gt;1)),"Peso fuera de rango"&amp;" · ","")&amp;IF(AND($V293="Sub",$H293&lt;&gt;""),"Las subactividades no llevan peso (valen igual dentro de su macroactividad)"&amp;" · ","")&amp;IF(AND(N($W293)&gt;0,COUNT($I293:$L293)&gt;0),"Con subactividades: deje vacías las semanas (se calculan solas)"&amp;" · ","")&amp;IF((COUNTIF($I293:$L293,"&gt;1")+COUNTIF($I293:$L293,"&lt;0")+COUNTA($I293:$L293)-COUNT($I293:$L293))&gt;0,"Avance fuera de rango 0-100%"&amp;" · ","")&amp;IF(OR(AND($J293&lt;&gt;"",$J293&lt;$I293),AND($K293&lt;&gt;"",$K293&lt;MAX($I293:$J293)),AND($L293&lt;&gt;"",$L293&lt;MAX($I293:$K293))),"Avance semanal decreciente"&amp;" · ","")&amp;IF(AND(ISNUMBER($AN293),$AN293&lt;FechaRef,IF($V293="Sub",N($X293),N($M293))&lt;1),"Vencida"&amp;" · ","")&amp;IF(AND(ObsObligatoria="Sí",ISNUMBER($AN293),$AN293&lt;FechaRef,IF($V293="Sub",N($X293),N($M293))&lt;1,$Q293=""),"Vencida sin observación"&amp;" · ",""),LEN(IF($C293="","Falta el nombre de la actividad"&amp;" · ","")&amp;IF(AND($V293="Sub",N($U293)=0),"Subactividad sin macroactividad arriba"&amp;" · ","")&amp;IF($AM293="","Sin fecha de inicio"&amp;" · ","")&amp;IF($AN293="","Sin fecha límite"&amp;" · ","")&amp;IF(AND(LEFT($C293,11)="[Jefatura] ",N($AL293)=0),"No se encuentra en la hoja de la jefatura (elíjala de nuevo en la lista)"&amp;" · ","")&amp;IF(OR(AND($E293&lt;&gt;"",NOT(ISNUMBER($E293))),AND($F293&lt;&gt;"",NOT(ISNUMBER($F293))),AND($G293&lt;&gt;"",NOT(ISNUMBER($G293)))),"Fecha no válida"&amp;" · ","")&amp;IF(AND(ISNUMBER($AM293),ISNUMBER($AN293),$AM293&gt;$AN293),"Inicio posterior a fecha límite"&amp;" · ","")&amp;IF(AND($V293="Macro",$H293&lt;&gt;"",OR(NOT(ISNUMBER($H293)),$H293&lt;0,$H293&gt;1)),"Peso fuera de rango"&amp;" · ","")&amp;IF(AND($V293="Sub",$H293&lt;&gt;""),"Las subactividades no llevan peso (valen igual dentro de su macroactividad)"&amp;" · ","")&amp;IF(AND(N($W293)&gt;0,COUNT($I293:$L293)&gt;0),"Con subactividades: deje vacías las semanas (se calculan solas)"&amp;" · ","")&amp;IF((COUNTIF($I293:$L293,"&gt;1")+COUNTIF($I293:$L293,"&lt;0")+COUNTA($I293:$L293)-COUNT($I293:$L293))&gt;0,"Avance fuera de rango 0-100%"&amp;" · ","")&amp;IF(OR(AND($J293&lt;&gt;"",$J293&lt;$I293),AND($K293&lt;&gt;"",$K293&lt;MAX($I293:$J293)),AND($L293&lt;&gt;"",$L293&lt;MAX($I293:$K293))),"Avance semanal decreciente"&amp;" · ","")&amp;IF(AND(ISNUMBER($AN293),$AN293&lt;FechaRef,IF($V293="Sub",N($X293),N($M293))&lt;1),"Vencida"&amp;" · ","")&amp;IF(AND(ObsObligatoria="Sí",ISNUMBER($AN293),$AN293&lt;FechaRef,IF($V293="Sub",N($X293),N($M293))&lt;1,$Q293=""),"Vencida sin observación"&amp;" · ",""))-3)))</f>
        <v/>
      </c>
      <c r="S293" s="64">
        <f>IF(NOT((COUNTA($B293:$D293)+COUNTA($G293:$L293)+COUNTA($Q293))&gt;0),"",IF(AND($V293="Sub",N($U293)&gt;0),IF(ISNUMBER(INDEX($AM$5:$AM$1000,$U293-4)),DATE(YEAR(INDEX($AM$5:$AM$1000,$U293-4)),MONTH(INDEX($AM$5:$AM$1000,$U293-4)),1),IF(ISNUMBER(INDEX($AN$5:$AN$1000,$U293-4)),DATE(YEAR(INDEX($AN$5:$AN$1000,$U293-4)),MONTH(INDEX($AN$5:$AN$1000,$U293-4)),1),MesCiclo)),IF(ISNUMBER($AM293),DATE(YEAR($AM293),MONTH($AM293),1),IF(ISNUMBER($AN293),DATE(YEAR($AN293),MONTH($AN293),1),MesCiclo))))</f>
        <v/>
      </c>
      <c r="T293" s="62">
        <f>IF(OR($S293="",$S293&lt;&gt;MesCiclo,$V293&lt;&gt;"Macro"),"",COUNTIFS($S$5:$S293,MesCiclo,$V$5:$V293,"Macro"))</f>
        <v/>
      </c>
      <c r="U293" s="62">
        <f>IF($V293="","",IF($V293="Macro",ROW(),IFERROR(LOOKUP(2,1/($V$5:$V293="Macro"),ROW($V$5:$V293)),0)))</f>
        <v/>
      </c>
      <c r="V293" s="62">
        <f>IF(NOT((COUNTA($B293:$D293)+COUNTA($G293:$L293)+COUNTA($Q293))&gt;0),"",IF($B293="Subactividad","Sub","Macro"))</f>
        <v/>
      </c>
      <c r="W293" s="62">
        <f>IF($V293="Macro",COUNTIFS($U$5:$U$1000,ROW(),$V$5:$V$1000,"Sub"),"")</f>
        <v/>
      </c>
      <c r="X293" s="62">
        <f>IF($V293="","",IF(ISNUMBER($G293),1,IFERROR(LOOKUP(2,1/($I293:$L293&lt;&gt;""),$I293:$L293),0)))</f>
        <v/>
      </c>
      <c r="Y293" s="62">
        <f>IF($V293="","",IF(AND(ISNUMBER($G293),$G293&lt;=IF($S293=MesCiclo,InicioCiclo,$S293+MOD(2-WEEKDAY($S293),7))+6),1,IF(ISNUMBER($I293),$I293,0)))</f>
        <v/>
      </c>
      <c r="Z293" s="62">
        <f>IF($V293="","",IF(AND(ISNUMBER($G293),$G293&lt;=IF($S293=MesCiclo,InicioCiclo,$S293+MOD(2-WEEKDAY($S293),7))+13),1,IF(ISNUMBER($J293),$J293,$Y293)))</f>
        <v/>
      </c>
      <c r="AA293" s="62">
        <f>IF($V293="","",IF(AND(ISNUMBER($G293),$G293&lt;=IF($S293=MesCiclo,InicioCiclo,$S293+MOD(2-WEEKDAY($S293),7))+20),1,IF(ISNUMBER($K293),$K293,$Z293)))</f>
        <v/>
      </c>
      <c r="AB293" s="62">
        <f>IF($V293="","",IF(AND(ISNUMBER($G293),$G293&lt;=IF($S293=MesCiclo,InicioCiclo,$S293+MOD(2-WEEKDAY($S293),7))+27),1,IF(ISNUMBER($L293),$L293,$AA293)))</f>
        <v/>
      </c>
      <c r="AC293" s="62">
        <f>IF($V293="","",IF(AND(ISNUMBER($G293),$G293&lt;=IF($S293=MesCiclo,InicioCiclo,$S293+MOD(2-WEEKDAY($S293),7))+6),1,IF(N($W293)&gt;0,AVERAGEIFS($Y$5:$Y$1000,$U$5:$U$1000,ROW(),$V$5:$V$1000,"Sub"),$Y293)))</f>
        <v/>
      </c>
      <c r="AD293" s="62">
        <f>IF($V293="","",IF(AND(ISNUMBER($G293),$G293&lt;=IF($S293=MesCiclo,InicioCiclo,$S293+MOD(2-WEEKDAY($S293),7))+13),1,IF(N($W293)&gt;0,AVERAGEIFS($Z$5:$Z$1000,$U$5:$U$1000,ROW(),$V$5:$V$1000,"Sub"),$Z293)))</f>
        <v/>
      </c>
      <c r="AE293" s="62">
        <f>IF($V293="","",IF(AND(ISNUMBER($G293),$G293&lt;=IF($S293=MesCiclo,InicioCiclo,$S293+MOD(2-WEEKDAY($S293),7))+20),1,IF(N($W293)&gt;0,AVERAGEIFS($AA$5:$AA$1000,$U$5:$U$1000,ROW(),$V$5:$V$1000,"Sub"),$AA293)))</f>
        <v/>
      </c>
      <c r="AF293" s="62">
        <f>IF($V293="","",IF(AND(ISNUMBER($G293),$G293&lt;=IF($S293=MesCiclo,InicioCiclo,$S293+MOD(2-WEEKDAY($S293),7))+27),1,IF(N($W293)&gt;0,AVERAGEIFS($AB$5:$AB$1000,$U$5:$U$1000,ROW(),$V$5:$V$1000,"Sub"),$AB293)))</f>
        <v/>
      </c>
      <c r="AG293" s="62">
        <f>IF($V293&lt;&gt;"Macro","",IF(COUNTIFS($S$5:$S$1000,$S293,$V$5:$V$1000,"Macro",$H$5:$H$1000,"&gt;0")=0,1/COUNTIFS($S$5:$S$1000,$S293,$V$5:$V$1000,"Macro"),IF(AND(ISNUMBER($H293),N($H293)&gt;0),$H293,SUMIFS($H$5:$H$1000,$S$5:$S$1000,$S293,$V$5:$V$1000,"Macro")/COUNTIFS($S$5:$S$1000,$S293,$V$5:$V$1000,"Macro",$H$5:$H$1000,"&gt;0"))/(COUNTIFS($S$5:$S$1000,$S293,$V$5:$V$1000,"Macro")*SUMIFS($H$5:$H$1000,$S$5:$S$1000,$S293,$V$5:$V$1000,"Macro")/COUNTIFS($S$5:$S$1000,$S293,$V$5:$V$1000,"Macro",$H$5:$H$1000,"&gt;0"))))</f>
        <v/>
      </c>
      <c r="AH293" s="62" t="n"/>
      <c r="AI293" s="62" t="n"/>
      <c r="AJ293" s="62" t="n"/>
      <c r="AK293" s="62" t="n"/>
      <c r="AL293" s="62">
        <f>IF(LEFT($C293,11)="[Jefatura] ",IFERROR(MATCH("Asistente Técnico de Riesgo|"&amp;MID($C293,12,500),rDname_ADM,0),0),"")</f>
        <v/>
      </c>
      <c r="AM293" s="62">
        <f>IF(N($AL293)&gt;0,INDEX(rIni_ADM,$AL293),IF(ISNUMBER($E293),$E293,""))</f>
        <v/>
      </c>
      <c r="AN293" s="62">
        <f>IF(N($AL293)&gt;0,INDEX(rLim_ADM,$AL293),IF(ISNUMBER($F293),$F293,""))</f>
        <v/>
      </c>
    </row>
    <row r="294">
      <c r="A294" s="56">
        <f>IF(NOT((COUNTA($B294:$D294)+COUNTA($G294:$L294)+COUNTA($Q294))&gt;0),"",IF($V294="Macro",COUNTIFS($V$5:$V294,"Macro",$S$5:$S294,$S294),IF(N($U294)=0,"?",COUNTIFS(INDEX($V$5:$V$1000,1):INDEX($V$5:$V$1000,$U294-4),"Macro",INDEX($S$5:$S$1000,1):INDEX($S$5:$S$1000,$U294-4),INDEX($S$5:$S$1000,$U294-4))&amp;"."&amp;COUNTIFS($U$5:$U294,$U294,$V$5:$V294,"Sub"))))</f>
        <v/>
      </c>
      <c r="B294" s="57" t="n"/>
      <c r="C294" s="58" t="n"/>
      <c r="D294" s="58" t="n"/>
      <c r="E294" s="59">
        <f>IF(N($AL294)&gt;0,INDEX(rIni_ADM,$AL294),"")</f>
        <v/>
      </c>
      <c r="F294" s="59">
        <f>IF(N($AL294)&gt;0,INDEX(rLim_ADM,$AL294),"")</f>
        <v/>
      </c>
      <c r="G294" s="59" t="n"/>
      <c r="H294" s="60" t="n"/>
      <c r="I294" s="60" t="n"/>
      <c r="J294" s="60" t="n"/>
      <c r="K294" s="60" t="n"/>
      <c r="L294" s="60" t="n"/>
      <c r="M294" s="61">
        <f>IF(NOT((COUNTA($B294:$D294)+COUNTA($G294:$L294)+COUNTA($Q294))&gt;0),"",IF($V294="Sub",IFERROR($X294/INDEX($W$5:$W$1000,$U294-4),""),IF(ISNUMBER($G294),1,IF(N($W294)&gt;0,AVERAGEIFS($X$5:$X$1000,$U$5:$U$1000,ROW(),$V$5:$V$1000,"Sub"),$X294))))</f>
        <v/>
      </c>
      <c r="N294" s="56">
        <f>IF(OR($M294="",$V294="Sub"),"",IF($M294&gt;=1,"Completado",IF($M294&gt;0,"En curso","Pendiente")))</f>
        <v/>
      </c>
      <c r="O294" s="56">
        <f>IF(OR(NOT((COUNTA($B294:$D294)+COUNTA($G294:$L294)+COUNTA($Q294))&gt;0),$V294="Sub"),"",IF(ISNUMBER($G294),IF(AND(ISNUMBER($AN294),$G294&gt;$AN294),"Cumplida con "&amp;($G294-$AN294)&amp;IF($G294-$AN294=1," día"," días")&amp;" de retraso","Cumplida"),IF(N($M294)&gt;=1,"Cumplida",IF(NOT(ISNUMBER($AN294)),"Sin fecha límite",IF($AN294&lt;FechaRef,"Vencida hace "&amp;(FechaRef-$AN294)&amp;IF(FechaRef-$AN294=1," día"," días"),IF($AN294=FechaRef,"Vence hoy",IF($AN294-FechaRef&lt;=DiasAlerta,"Vence en "&amp;($AN294-FechaRef)&amp;IF($AN294-FechaRef=1," día"," días"),"En plazo")))))))</f>
        <v/>
      </c>
      <c r="P294" s="62" t="n"/>
      <c r="Q294" s="58" t="n"/>
      <c r="R294" s="63">
        <f>IF(NOT((COUNTA($B294:$D294)+COUNTA($G294:$L294)+COUNTA($Q294))&gt;0),"",IF((IF($C294="","Falta el nombre de la actividad"&amp;" · ","")&amp;IF(AND($V294="Sub",N($U294)=0),"Subactividad sin macroactividad arriba"&amp;" · ","")&amp;IF($AM294="","Sin fecha de inicio"&amp;" · ","")&amp;IF($AN294="","Sin fecha límite"&amp;" · ","")&amp;IF(AND(LEFT($C294,11)="[Jefatura] ",N($AL294)=0),"No se encuentra en la hoja de la jefatura (elíjala de nuevo en la lista)"&amp;" · ","")&amp;IF(OR(AND($E294&lt;&gt;"",NOT(ISNUMBER($E294))),AND($F294&lt;&gt;"",NOT(ISNUMBER($F294))),AND($G294&lt;&gt;"",NOT(ISNUMBER($G294)))),"Fecha no válida"&amp;" · ","")&amp;IF(AND(ISNUMBER($AM294),ISNUMBER($AN294),$AM294&gt;$AN294),"Inicio posterior a fecha límite"&amp;" · ","")&amp;IF(AND($V294="Macro",$H294&lt;&gt;"",OR(NOT(ISNUMBER($H294)),$H294&lt;0,$H294&gt;1)),"Peso fuera de rango"&amp;" · ","")&amp;IF(AND($V294="Sub",$H294&lt;&gt;""),"Las subactividades no llevan peso (valen igual dentro de su macroactividad)"&amp;" · ","")&amp;IF(AND(N($W294)&gt;0,COUNT($I294:$L294)&gt;0),"Con subactividades: deje vacías las semanas (se calculan solas)"&amp;" · ","")&amp;IF((COUNTIF($I294:$L294,"&gt;1")+COUNTIF($I294:$L294,"&lt;0")+COUNTA($I294:$L294)-COUNT($I294:$L294))&gt;0,"Avance fuera de rango 0-100%"&amp;" · ","")&amp;IF(OR(AND($J294&lt;&gt;"",$J294&lt;$I294),AND($K294&lt;&gt;"",$K294&lt;MAX($I294:$J294)),AND($L294&lt;&gt;"",$L294&lt;MAX($I294:$K294))),"Avance semanal decreciente"&amp;" · ","")&amp;IF(AND(ISNUMBER($AN294),$AN294&lt;FechaRef,IF($V294="Sub",N($X294),N($M294))&lt;1),"Vencida"&amp;" · ","")&amp;IF(AND(ObsObligatoria="Sí",ISNUMBER($AN294),$AN294&lt;FechaRef,IF($V294="Sub",N($X294),N($M294))&lt;1,$Q294=""),"Vencida sin observación"&amp;" · ",""))="","✔ OK","⚠ "&amp;LEFT(IF($C294="","Falta el nombre de la actividad"&amp;" · ","")&amp;IF(AND($V294="Sub",N($U294)=0),"Subactividad sin macroactividad arriba"&amp;" · ","")&amp;IF($AM294="","Sin fecha de inicio"&amp;" · ","")&amp;IF($AN294="","Sin fecha límite"&amp;" · ","")&amp;IF(AND(LEFT($C294,11)="[Jefatura] ",N($AL294)=0),"No se encuentra en la hoja de la jefatura (elíjala de nuevo en la lista)"&amp;" · ","")&amp;IF(OR(AND($E294&lt;&gt;"",NOT(ISNUMBER($E294))),AND($F294&lt;&gt;"",NOT(ISNUMBER($F294))),AND($G294&lt;&gt;"",NOT(ISNUMBER($G294)))),"Fecha no válida"&amp;" · ","")&amp;IF(AND(ISNUMBER($AM294),ISNUMBER($AN294),$AM294&gt;$AN294),"Inicio posterior a fecha límite"&amp;" · ","")&amp;IF(AND($V294="Macro",$H294&lt;&gt;"",OR(NOT(ISNUMBER($H294)),$H294&lt;0,$H294&gt;1)),"Peso fuera de rango"&amp;" · ","")&amp;IF(AND($V294="Sub",$H294&lt;&gt;""),"Las subactividades no llevan peso (valen igual dentro de su macroactividad)"&amp;" · ","")&amp;IF(AND(N($W294)&gt;0,COUNT($I294:$L294)&gt;0),"Con subactividades: deje vacías las semanas (se calculan solas)"&amp;" · ","")&amp;IF((COUNTIF($I294:$L294,"&gt;1")+COUNTIF($I294:$L294,"&lt;0")+COUNTA($I294:$L294)-COUNT($I294:$L294))&gt;0,"Avance fuera de rango 0-100%"&amp;" · ","")&amp;IF(OR(AND($J294&lt;&gt;"",$J294&lt;$I294),AND($K294&lt;&gt;"",$K294&lt;MAX($I294:$J294)),AND($L294&lt;&gt;"",$L294&lt;MAX($I294:$K294))),"Avance semanal decreciente"&amp;" · ","")&amp;IF(AND(ISNUMBER($AN294),$AN294&lt;FechaRef,IF($V294="Sub",N($X294),N($M294))&lt;1),"Vencida"&amp;" · ","")&amp;IF(AND(ObsObligatoria="Sí",ISNUMBER($AN294),$AN294&lt;FechaRef,IF($V294="Sub",N($X294),N($M294))&lt;1,$Q294=""),"Vencida sin observación"&amp;" · ",""),LEN(IF($C294="","Falta el nombre de la actividad"&amp;" · ","")&amp;IF(AND($V294="Sub",N($U294)=0),"Subactividad sin macroactividad arriba"&amp;" · ","")&amp;IF($AM294="","Sin fecha de inicio"&amp;" · ","")&amp;IF($AN294="","Sin fecha límite"&amp;" · ","")&amp;IF(AND(LEFT($C294,11)="[Jefatura] ",N($AL294)=0),"No se encuentra en la hoja de la jefatura (elíjala de nuevo en la lista)"&amp;" · ","")&amp;IF(OR(AND($E294&lt;&gt;"",NOT(ISNUMBER($E294))),AND($F294&lt;&gt;"",NOT(ISNUMBER($F294))),AND($G294&lt;&gt;"",NOT(ISNUMBER($G294)))),"Fecha no válida"&amp;" · ","")&amp;IF(AND(ISNUMBER($AM294),ISNUMBER($AN294),$AM294&gt;$AN294),"Inicio posterior a fecha límite"&amp;" · ","")&amp;IF(AND($V294="Macro",$H294&lt;&gt;"",OR(NOT(ISNUMBER($H294)),$H294&lt;0,$H294&gt;1)),"Peso fuera de rango"&amp;" · ","")&amp;IF(AND($V294="Sub",$H294&lt;&gt;""),"Las subactividades no llevan peso (valen igual dentro de su macroactividad)"&amp;" · ","")&amp;IF(AND(N($W294)&gt;0,COUNT($I294:$L294)&gt;0),"Con subactividades: deje vacías las semanas (se calculan solas)"&amp;" · ","")&amp;IF((COUNTIF($I294:$L294,"&gt;1")+COUNTIF($I294:$L294,"&lt;0")+COUNTA($I294:$L294)-COUNT($I294:$L294))&gt;0,"Avance fuera de rango 0-100%"&amp;" · ","")&amp;IF(OR(AND($J294&lt;&gt;"",$J294&lt;$I294),AND($K294&lt;&gt;"",$K294&lt;MAX($I294:$J294)),AND($L294&lt;&gt;"",$L294&lt;MAX($I294:$K294))),"Avance semanal decreciente"&amp;" · ","")&amp;IF(AND(ISNUMBER($AN294),$AN294&lt;FechaRef,IF($V294="Sub",N($X294),N($M294))&lt;1),"Vencida"&amp;" · ","")&amp;IF(AND(ObsObligatoria="Sí",ISNUMBER($AN294),$AN294&lt;FechaRef,IF($V294="Sub",N($X294),N($M294))&lt;1,$Q294=""),"Vencida sin observación"&amp;" · ",""))-3)))</f>
        <v/>
      </c>
      <c r="S294" s="64">
        <f>IF(NOT((COUNTA($B294:$D294)+COUNTA($G294:$L294)+COUNTA($Q294))&gt;0),"",IF(AND($V294="Sub",N($U294)&gt;0),IF(ISNUMBER(INDEX($AM$5:$AM$1000,$U294-4)),DATE(YEAR(INDEX($AM$5:$AM$1000,$U294-4)),MONTH(INDEX($AM$5:$AM$1000,$U294-4)),1),IF(ISNUMBER(INDEX($AN$5:$AN$1000,$U294-4)),DATE(YEAR(INDEX($AN$5:$AN$1000,$U294-4)),MONTH(INDEX($AN$5:$AN$1000,$U294-4)),1),MesCiclo)),IF(ISNUMBER($AM294),DATE(YEAR($AM294),MONTH($AM294),1),IF(ISNUMBER($AN294),DATE(YEAR($AN294),MONTH($AN294),1),MesCiclo))))</f>
        <v/>
      </c>
      <c r="T294" s="62">
        <f>IF(OR($S294="",$S294&lt;&gt;MesCiclo,$V294&lt;&gt;"Macro"),"",COUNTIFS($S$5:$S294,MesCiclo,$V$5:$V294,"Macro"))</f>
        <v/>
      </c>
      <c r="U294" s="62">
        <f>IF($V294="","",IF($V294="Macro",ROW(),IFERROR(LOOKUP(2,1/($V$5:$V294="Macro"),ROW($V$5:$V294)),0)))</f>
        <v/>
      </c>
      <c r="V294" s="62">
        <f>IF(NOT((COUNTA($B294:$D294)+COUNTA($G294:$L294)+COUNTA($Q294))&gt;0),"",IF($B294="Subactividad","Sub","Macro"))</f>
        <v/>
      </c>
      <c r="W294" s="62">
        <f>IF($V294="Macro",COUNTIFS($U$5:$U$1000,ROW(),$V$5:$V$1000,"Sub"),"")</f>
        <v/>
      </c>
      <c r="X294" s="62">
        <f>IF($V294="","",IF(ISNUMBER($G294),1,IFERROR(LOOKUP(2,1/($I294:$L294&lt;&gt;""),$I294:$L294),0)))</f>
        <v/>
      </c>
      <c r="Y294" s="62">
        <f>IF($V294="","",IF(AND(ISNUMBER($G294),$G294&lt;=IF($S294=MesCiclo,InicioCiclo,$S294+MOD(2-WEEKDAY($S294),7))+6),1,IF(ISNUMBER($I294),$I294,0)))</f>
        <v/>
      </c>
      <c r="Z294" s="62">
        <f>IF($V294="","",IF(AND(ISNUMBER($G294),$G294&lt;=IF($S294=MesCiclo,InicioCiclo,$S294+MOD(2-WEEKDAY($S294),7))+13),1,IF(ISNUMBER($J294),$J294,$Y294)))</f>
        <v/>
      </c>
      <c r="AA294" s="62">
        <f>IF($V294="","",IF(AND(ISNUMBER($G294),$G294&lt;=IF($S294=MesCiclo,InicioCiclo,$S294+MOD(2-WEEKDAY($S294),7))+20),1,IF(ISNUMBER($K294),$K294,$Z294)))</f>
        <v/>
      </c>
      <c r="AB294" s="62">
        <f>IF($V294="","",IF(AND(ISNUMBER($G294),$G294&lt;=IF($S294=MesCiclo,InicioCiclo,$S294+MOD(2-WEEKDAY($S294),7))+27),1,IF(ISNUMBER($L294),$L294,$AA294)))</f>
        <v/>
      </c>
      <c r="AC294" s="62">
        <f>IF($V294="","",IF(AND(ISNUMBER($G294),$G294&lt;=IF($S294=MesCiclo,InicioCiclo,$S294+MOD(2-WEEKDAY($S294),7))+6),1,IF(N($W294)&gt;0,AVERAGEIFS($Y$5:$Y$1000,$U$5:$U$1000,ROW(),$V$5:$V$1000,"Sub"),$Y294)))</f>
        <v/>
      </c>
      <c r="AD294" s="62">
        <f>IF($V294="","",IF(AND(ISNUMBER($G294),$G294&lt;=IF($S294=MesCiclo,InicioCiclo,$S294+MOD(2-WEEKDAY($S294),7))+13),1,IF(N($W294)&gt;0,AVERAGEIFS($Z$5:$Z$1000,$U$5:$U$1000,ROW(),$V$5:$V$1000,"Sub"),$Z294)))</f>
        <v/>
      </c>
      <c r="AE294" s="62">
        <f>IF($V294="","",IF(AND(ISNUMBER($G294),$G294&lt;=IF($S294=MesCiclo,InicioCiclo,$S294+MOD(2-WEEKDAY($S294),7))+20),1,IF(N($W294)&gt;0,AVERAGEIFS($AA$5:$AA$1000,$U$5:$U$1000,ROW(),$V$5:$V$1000,"Sub"),$AA294)))</f>
        <v/>
      </c>
      <c r="AF294" s="62">
        <f>IF($V294="","",IF(AND(ISNUMBER($G294),$G294&lt;=IF($S294=MesCiclo,InicioCiclo,$S294+MOD(2-WEEKDAY($S294),7))+27),1,IF(N($W294)&gt;0,AVERAGEIFS($AB$5:$AB$1000,$U$5:$U$1000,ROW(),$V$5:$V$1000,"Sub"),$AB294)))</f>
        <v/>
      </c>
      <c r="AG294" s="62">
        <f>IF($V294&lt;&gt;"Macro","",IF(COUNTIFS($S$5:$S$1000,$S294,$V$5:$V$1000,"Macro",$H$5:$H$1000,"&gt;0")=0,1/COUNTIFS($S$5:$S$1000,$S294,$V$5:$V$1000,"Macro"),IF(AND(ISNUMBER($H294),N($H294)&gt;0),$H294,SUMIFS($H$5:$H$1000,$S$5:$S$1000,$S294,$V$5:$V$1000,"Macro")/COUNTIFS($S$5:$S$1000,$S294,$V$5:$V$1000,"Macro",$H$5:$H$1000,"&gt;0"))/(COUNTIFS($S$5:$S$1000,$S294,$V$5:$V$1000,"Macro")*SUMIFS($H$5:$H$1000,$S$5:$S$1000,$S294,$V$5:$V$1000,"Macro")/COUNTIFS($S$5:$S$1000,$S294,$V$5:$V$1000,"Macro",$H$5:$H$1000,"&gt;0"))))</f>
        <v/>
      </c>
      <c r="AH294" s="62" t="n"/>
      <c r="AI294" s="62" t="n"/>
      <c r="AJ294" s="62" t="n"/>
      <c r="AK294" s="62" t="n"/>
      <c r="AL294" s="62">
        <f>IF(LEFT($C294,11)="[Jefatura] ",IFERROR(MATCH("Asistente Técnico de Riesgo|"&amp;MID($C294,12,500),rDname_ADM,0),0),"")</f>
        <v/>
      </c>
      <c r="AM294" s="62">
        <f>IF(N($AL294)&gt;0,INDEX(rIni_ADM,$AL294),IF(ISNUMBER($E294),$E294,""))</f>
        <v/>
      </c>
      <c r="AN294" s="62">
        <f>IF(N($AL294)&gt;0,INDEX(rLim_ADM,$AL294),IF(ISNUMBER($F294),$F294,""))</f>
        <v/>
      </c>
    </row>
    <row r="295">
      <c r="A295" s="56">
        <f>IF(NOT((COUNTA($B295:$D295)+COUNTA($G295:$L295)+COUNTA($Q295))&gt;0),"",IF($V295="Macro",COUNTIFS($V$5:$V295,"Macro",$S$5:$S295,$S295),IF(N($U295)=0,"?",COUNTIFS(INDEX($V$5:$V$1000,1):INDEX($V$5:$V$1000,$U295-4),"Macro",INDEX($S$5:$S$1000,1):INDEX($S$5:$S$1000,$U295-4),INDEX($S$5:$S$1000,$U295-4))&amp;"."&amp;COUNTIFS($U$5:$U295,$U295,$V$5:$V295,"Sub"))))</f>
        <v/>
      </c>
      <c r="B295" s="57" t="n"/>
      <c r="C295" s="58" t="n"/>
      <c r="D295" s="58" t="n"/>
      <c r="E295" s="59">
        <f>IF(N($AL295)&gt;0,INDEX(rIni_ADM,$AL295),"")</f>
        <v/>
      </c>
      <c r="F295" s="59">
        <f>IF(N($AL295)&gt;0,INDEX(rLim_ADM,$AL295),"")</f>
        <v/>
      </c>
      <c r="G295" s="59" t="n"/>
      <c r="H295" s="60" t="n"/>
      <c r="I295" s="60" t="n"/>
      <c r="J295" s="60" t="n"/>
      <c r="K295" s="60" t="n"/>
      <c r="L295" s="60" t="n"/>
      <c r="M295" s="61">
        <f>IF(NOT((COUNTA($B295:$D295)+COUNTA($G295:$L295)+COUNTA($Q295))&gt;0),"",IF($V295="Sub",IFERROR($X295/INDEX($W$5:$W$1000,$U295-4),""),IF(ISNUMBER($G295),1,IF(N($W295)&gt;0,AVERAGEIFS($X$5:$X$1000,$U$5:$U$1000,ROW(),$V$5:$V$1000,"Sub"),$X295))))</f>
        <v/>
      </c>
      <c r="N295" s="56">
        <f>IF(OR($M295="",$V295="Sub"),"",IF($M295&gt;=1,"Completado",IF($M295&gt;0,"En curso","Pendiente")))</f>
        <v/>
      </c>
      <c r="O295" s="56">
        <f>IF(OR(NOT((COUNTA($B295:$D295)+COUNTA($G295:$L295)+COUNTA($Q295))&gt;0),$V295="Sub"),"",IF(ISNUMBER($G295),IF(AND(ISNUMBER($AN295),$G295&gt;$AN295),"Cumplida con "&amp;($G295-$AN295)&amp;IF($G295-$AN295=1," día"," días")&amp;" de retraso","Cumplida"),IF(N($M295)&gt;=1,"Cumplida",IF(NOT(ISNUMBER($AN295)),"Sin fecha límite",IF($AN295&lt;FechaRef,"Vencida hace "&amp;(FechaRef-$AN295)&amp;IF(FechaRef-$AN295=1," día"," días"),IF($AN295=FechaRef,"Vence hoy",IF($AN295-FechaRef&lt;=DiasAlerta,"Vence en "&amp;($AN295-FechaRef)&amp;IF($AN295-FechaRef=1," día"," días"),"En plazo")))))))</f>
        <v/>
      </c>
      <c r="P295" s="62" t="n"/>
      <c r="Q295" s="58" t="n"/>
      <c r="R295" s="63">
        <f>IF(NOT((COUNTA($B295:$D295)+COUNTA($G295:$L295)+COUNTA($Q295))&gt;0),"",IF((IF($C295="","Falta el nombre de la actividad"&amp;" · ","")&amp;IF(AND($V295="Sub",N($U295)=0),"Subactividad sin macroactividad arriba"&amp;" · ","")&amp;IF($AM295="","Sin fecha de inicio"&amp;" · ","")&amp;IF($AN295="","Sin fecha límite"&amp;" · ","")&amp;IF(AND(LEFT($C295,11)="[Jefatura] ",N($AL295)=0),"No se encuentra en la hoja de la jefatura (elíjala de nuevo en la lista)"&amp;" · ","")&amp;IF(OR(AND($E295&lt;&gt;"",NOT(ISNUMBER($E295))),AND($F295&lt;&gt;"",NOT(ISNUMBER($F295))),AND($G295&lt;&gt;"",NOT(ISNUMBER($G295)))),"Fecha no válida"&amp;" · ","")&amp;IF(AND(ISNUMBER($AM295),ISNUMBER($AN295),$AM295&gt;$AN295),"Inicio posterior a fecha límite"&amp;" · ","")&amp;IF(AND($V295="Macro",$H295&lt;&gt;"",OR(NOT(ISNUMBER($H295)),$H295&lt;0,$H295&gt;1)),"Peso fuera de rango"&amp;" · ","")&amp;IF(AND($V295="Sub",$H295&lt;&gt;""),"Las subactividades no llevan peso (valen igual dentro de su macroactividad)"&amp;" · ","")&amp;IF(AND(N($W295)&gt;0,COUNT($I295:$L295)&gt;0),"Con subactividades: deje vacías las semanas (se calculan solas)"&amp;" · ","")&amp;IF((COUNTIF($I295:$L295,"&gt;1")+COUNTIF($I295:$L295,"&lt;0")+COUNTA($I295:$L295)-COUNT($I295:$L295))&gt;0,"Avance fuera de rango 0-100%"&amp;" · ","")&amp;IF(OR(AND($J295&lt;&gt;"",$J295&lt;$I295),AND($K295&lt;&gt;"",$K295&lt;MAX($I295:$J295)),AND($L295&lt;&gt;"",$L295&lt;MAX($I295:$K295))),"Avance semanal decreciente"&amp;" · ","")&amp;IF(AND(ISNUMBER($AN295),$AN295&lt;FechaRef,IF($V295="Sub",N($X295),N($M295))&lt;1),"Vencida"&amp;" · ","")&amp;IF(AND(ObsObligatoria="Sí",ISNUMBER($AN295),$AN295&lt;FechaRef,IF($V295="Sub",N($X295),N($M295))&lt;1,$Q295=""),"Vencida sin observación"&amp;" · ",""))="","✔ OK","⚠ "&amp;LEFT(IF($C295="","Falta el nombre de la actividad"&amp;" · ","")&amp;IF(AND($V295="Sub",N($U295)=0),"Subactividad sin macroactividad arriba"&amp;" · ","")&amp;IF($AM295="","Sin fecha de inicio"&amp;" · ","")&amp;IF($AN295="","Sin fecha límite"&amp;" · ","")&amp;IF(AND(LEFT($C295,11)="[Jefatura] ",N($AL295)=0),"No se encuentra en la hoja de la jefatura (elíjala de nuevo en la lista)"&amp;" · ","")&amp;IF(OR(AND($E295&lt;&gt;"",NOT(ISNUMBER($E295))),AND($F295&lt;&gt;"",NOT(ISNUMBER($F295))),AND($G295&lt;&gt;"",NOT(ISNUMBER($G295)))),"Fecha no válida"&amp;" · ","")&amp;IF(AND(ISNUMBER($AM295),ISNUMBER($AN295),$AM295&gt;$AN295),"Inicio posterior a fecha límite"&amp;" · ","")&amp;IF(AND($V295="Macro",$H295&lt;&gt;"",OR(NOT(ISNUMBER($H295)),$H295&lt;0,$H295&gt;1)),"Peso fuera de rango"&amp;" · ","")&amp;IF(AND($V295="Sub",$H295&lt;&gt;""),"Las subactividades no llevan peso (valen igual dentro de su macroactividad)"&amp;" · ","")&amp;IF(AND(N($W295)&gt;0,COUNT($I295:$L295)&gt;0),"Con subactividades: deje vacías las semanas (se calculan solas)"&amp;" · ","")&amp;IF((COUNTIF($I295:$L295,"&gt;1")+COUNTIF($I295:$L295,"&lt;0")+COUNTA($I295:$L295)-COUNT($I295:$L295))&gt;0,"Avance fuera de rango 0-100%"&amp;" · ","")&amp;IF(OR(AND($J295&lt;&gt;"",$J295&lt;$I295),AND($K295&lt;&gt;"",$K295&lt;MAX($I295:$J295)),AND($L295&lt;&gt;"",$L295&lt;MAX($I295:$K295))),"Avance semanal decreciente"&amp;" · ","")&amp;IF(AND(ISNUMBER($AN295),$AN295&lt;FechaRef,IF($V295="Sub",N($X295),N($M295))&lt;1),"Vencida"&amp;" · ","")&amp;IF(AND(ObsObligatoria="Sí",ISNUMBER($AN295),$AN295&lt;FechaRef,IF($V295="Sub",N($X295),N($M295))&lt;1,$Q295=""),"Vencida sin observación"&amp;" · ",""),LEN(IF($C295="","Falta el nombre de la actividad"&amp;" · ","")&amp;IF(AND($V295="Sub",N($U295)=0),"Subactividad sin macroactividad arriba"&amp;" · ","")&amp;IF($AM295="","Sin fecha de inicio"&amp;" · ","")&amp;IF($AN295="","Sin fecha límite"&amp;" · ","")&amp;IF(AND(LEFT($C295,11)="[Jefatura] ",N($AL295)=0),"No se encuentra en la hoja de la jefatura (elíjala de nuevo en la lista)"&amp;" · ","")&amp;IF(OR(AND($E295&lt;&gt;"",NOT(ISNUMBER($E295))),AND($F295&lt;&gt;"",NOT(ISNUMBER($F295))),AND($G295&lt;&gt;"",NOT(ISNUMBER($G295)))),"Fecha no válida"&amp;" · ","")&amp;IF(AND(ISNUMBER($AM295),ISNUMBER($AN295),$AM295&gt;$AN295),"Inicio posterior a fecha límite"&amp;" · ","")&amp;IF(AND($V295="Macro",$H295&lt;&gt;"",OR(NOT(ISNUMBER($H295)),$H295&lt;0,$H295&gt;1)),"Peso fuera de rango"&amp;" · ","")&amp;IF(AND($V295="Sub",$H295&lt;&gt;""),"Las subactividades no llevan peso (valen igual dentro de su macroactividad)"&amp;" · ","")&amp;IF(AND(N($W295)&gt;0,COUNT($I295:$L295)&gt;0),"Con subactividades: deje vacías las semanas (se calculan solas)"&amp;" · ","")&amp;IF((COUNTIF($I295:$L295,"&gt;1")+COUNTIF($I295:$L295,"&lt;0")+COUNTA($I295:$L295)-COUNT($I295:$L295))&gt;0,"Avance fuera de rango 0-100%"&amp;" · ","")&amp;IF(OR(AND($J295&lt;&gt;"",$J295&lt;$I295),AND($K295&lt;&gt;"",$K295&lt;MAX($I295:$J295)),AND($L295&lt;&gt;"",$L295&lt;MAX($I295:$K295))),"Avance semanal decreciente"&amp;" · ","")&amp;IF(AND(ISNUMBER($AN295),$AN295&lt;FechaRef,IF($V295="Sub",N($X295),N($M295))&lt;1),"Vencida"&amp;" · ","")&amp;IF(AND(ObsObligatoria="Sí",ISNUMBER($AN295),$AN295&lt;FechaRef,IF($V295="Sub",N($X295),N($M295))&lt;1,$Q295=""),"Vencida sin observación"&amp;" · ",""))-3)))</f>
        <v/>
      </c>
      <c r="S295" s="64">
        <f>IF(NOT((COUNTA($B295:$D295)+COUNTA($G295:$L295)+COUNTA($Q295))&gt;0),"",IF(AND($V295="Sub",N($U295)&gt;0),IF(ISNUMBER(INDEX($AM$5:$AM$1000,$U295-4)),DATE(YEAR(INDEX($AM$5:$AM$1000,$U295-4)),MONTH(INDEX($AM$5:$AM$1000,$U295-4)),1),IF(ISNUMBER(INDEX($AN$5:$AN$1000,$U295-4)),DATE(YEAR(INDEX($AN$5:$AN$1000,$U295-4)),MONTH(INDEX($AN$5:$AN$1000,$U295-4)),1),MesCiclo)),IF(ISNUMBER($AM295),DATE(YEAR($AM295),MONTH($AM295),1),IF(ISNUMBER($AN295),DATE(YEAR($AN295),MONTH($AN295),1),MesCiclo))))</f>
        <v/>
      </c>
      <c r="T295" s="62">
        <f>IF(OR($S295="",$S295&lt;&gt;MesCiclo,$V295&lt;&gt;"Macro"),"",COUNTIFS($S$5:$S295,MesCiclo,$V$5:$V295,"Macro"))</f>
        <v/>
      </c>
      <c r="U295" s="62">
        <f>IF($V295="","",IF($V295="Macro",ROW(),IFERROR(LOOKUP(2,1/($V$5:$V295="Macro"),ROW($V$5:$V295)),0)))</f>
        <v/>
      </c>
      <c r="V295" s="62">
        <f>IF(NOT((COUNTA($B295:$D295)+COUNTA($G295:$L295)+COUNTA($Q295))&gt;0),"",IF($B295="Subactividad","Sub","Macro"))</f>
        <v/>
      </c>
      <c r="W295" s="62">
        <f>IF($V295="Macro",COUNTIFS($U$5:$U$1000,ROW(),$V$5:$V$1000,"Sub"),"")</f>
        <v/>
      </c>
      <c r="X295" s="62">
        <f>IF($V295="","",IF(ISNUMBER($G295),1,IFERROR(LOOKUP(2,1/($I295:$L295&lt;&gt;""),$I295:$L295),0)))</f>
        <v/>
      </c>
      <c r="Y295" s="62">
        <f>IF($V295="","",IF(AND(ISNUMBER($G295),$G295&lt;=IF($S295=MesCiclo,InicioCiclo,$S295+MOD(2-WEEKDAY($S295),7))+6),1,IF(ISNUMBER($I295),$I295,0)))</f>
        <v/>
      </c>
      <c r="Z295" s="62">
        <f>IF($V295="","",IF(AND(ISNUMBER($G295),$G295&lt;=IF($S295=MesCiclo,InicioCiclo,$S295+MOD(2-WEEKDAY($S295),7))+13),1,IF(ISNUMBER($J295),$J295,$Y295)))</f>
        <v/>
      </c>
      <c r="AA295" s="62">
        <f>IF($V295="","",IF(AND(ISNUMBER($G295),$G295&lt;=IF($S295=MesCiclo,InicioCiclo,$S295+MOD(2-WEEKDAY($S295),7))+20),1,IF(ISNUMBER($K295),$K295,$Z295)))</f>
        <v/>
      </c>
      <c r="AB295" s="62">
        <f>IF($V295="","",IF(AND(ISNUMBER($G295),$G295&lt;=IF($S295=MesCiclo,InicioCiclo,$S295+MOD(2-WEEKDAY($S295),7))+27),1,IF(ISNUMBER($L295),$L295,$AA295)))</f>
        <v/>
      </c>
      <c r="AC295" s="62">
        <f>IF($V295="","",IF(AND(ISNUMBER($G295),$G295&lt;=IF($S295=MesCiclo,InicioCiclo,$S295+MOD(2-WEEKDAY($S295),7))+6),1,IF(N($W295)&gt;0,AVERAGEIFS($Y$5:$Y$1000,$U$5:$U$1000,ROW(),$V$5:$V$1000,"Sub"),$Y295)))</f>
        <v/>
      </c>
      <c r="AD295" s="62">
        <f>IF($V295="","",IF(AND(ISNUMBER($G295),$G295&lt;=IF($S295=MesCiclo,InicioCiclo,$S295+MOD(2-WEEKDAY($S295),7))+13),1,IF(N($W295)&gt;0,AVERAGEIFS($Z$5:$Z$1000,$U$5:$U$1000,ROW(),$V$5:$V$1000,"Sub"),$Z295)))</f>
        <v/>
      </c>
      <c r="AE295" s="62">
        <f>IF($V295="","",IF(AND(ISNUMBER($G295),$G295&lt;=IF($S295=MesCiclo,InicioCiclo,$S295+MOD(2-WEEKDAY($S295),7))+20),1,IF(N($W295)&gt;0,AVERAGEIFS($AA$5:$AA$1000,$U$5:$U$1000,ROW(),$V$5:$V$1000,"Sub"),$AA295)))</f>
        <v/>
      </c>
      <c r="AF295" s="62">
        <f>IF($V295="","",IF(AND(ISNUMBER($G295),$G295&lt;=IF($S295=MesCiclo,InicioCiclo,$S295+MOD(2-WEEKDAY($S295),7))+27),1,IF(N($W295)&gt;0,AVERAGEIFS($AB$5:$AB$1000,$U$5:$U$1000,ROW(),$V$5:$V$1000,"Sub"),$AB295)))</f>
        <v/>
      </c>
      <c r="AG295" s="62">
        <f>IF($V295&lt;&gt;"Macro","",IF(COUNTIFS($S$5:$S$1000,$S295,$V$5:$V$1000,"Macro",$H$5:$H$1000,"&gt;0")=0,1/COUNTIFS($S$5:$S$1000,$S295,$V$5:$V$1000,"Macro"),IF(AND(ISNUMBER($H295),N($H295)&gt;0),$H295,SUMIFS($H$5:$H$1000,$S$5:$S$1000,$S295,$V$5:$V$1000,"Macro")/COUNTIFS($S$5:$S$1000,$S295,$V$5:$V$1000,"Macro",$H$5:$H$1000,"&gt;0"))/(COUNTIFS($S$5:$S$1000,$S295,$V$5:$V$1000,"Macro")*SUMIFS($H$5:$H$1000,$S$5:$S$1000,$S295,$V$5:$V$1000,"Macro")/COUNTIFS($S$5:$S$1000,$S295,$V$5:$V$1000,"Macro",$H$5:$H$1000,"&gt;0"))))</f>
        <v/>
      </c>
      <c r="AH295" s="62" t="n"/>
      <c r="AI295" s="62" t="n"/>
      <c r="AJ295" s="62" t="n"/>
      <c r="AK295" s="62" t="n"/>
      <c r="AL295" s="62">
        <f>IF(LEFT($C295,11)="[Jefatura] ",IFERROR(MATCH("Asistente Técnico de Riesgo|"&amp;MID($C295,12,500),rDname_ADM,0),0),"")</f>
        <v/>
      </c>
      <c r="AM295" s="62">
        <f>IF(N($AL295)&gt;0,INDEX(rIni_ADM,$AL295),IF(ISNUMBER($E295),$E295,""))</f>
        <v/>
      </c>
      <c r="AN295" s="62">
        <f>IF(N($AL295)&gt;0,INDEX(rLim_ADM,$AL295),IF(ISNUMBER($F295),$F295,""))</f>
        <v/>
      </c>
    </row>
    <row r="296">
      <c r="A296" s="56">
        <f>IF(NOT((COUNTA($B296:$D296)+COUNTA($G296:$L296)+COUNTA($Q296))&gt;0),"",IF($V296="Macro",COUNTIFS($V$5:$V296,"Macro",$S$5:$S296,$S296),IF(N($U296)=0,"?",COUNTIFS(INDEX($V$5:$V$1000,1):INDEX($V$5:$V$1000,$U296-4),"Macro",INDEX($S$5:$S$1000,1):INDEX($S$5:$S$1000,$U296-4),INDEX($S$5:$S$1000,$U296-4))&amp;"."&amp;COUNTIFS($U$5:$U296,$U296,$V$5:$V296,"Sub"))))</f>
        <v/>
      </c>
      <c r="B296" s="57" t="n"/>
      <c r="C296" s="58" t="n"/>
      <c r="D296" s="58" t="n"/>
      <c r="E296" s="59">
        <f>IF(N($AL296)&gt;0,INDEX(rIni_ADM,$AL296),"")</f>
        <v/>
      </c>
      <c r="F296" s="59">
        <f>IF(N($AL296)&gt;0,INDEX(rLim_ADM,$AL296),"")</f>
        <v/>
      </c>
      <c r="G296" s="59" t="n"/>
      <c r="H296" s="60" t="n"/>
      <c r="I296" s="60" t="n"/>
      <c r="J296" s="60" t="n"/>
      <c r="K296" s="60" t="n"/>
      <c r="L296" s="60" t="n"/>
      <c r="M296" s="61">
        <f>IF(NOT((COUNTA($B296:$D296)+COUNTA($G296:$L296)+COUNTA($Q296))&gt;0),"",IF($V296="Sub",IFERROR($X296/INDEX($W$5:$W$1000,$U296-4),""),IF(ISNUMBER($G296),1,IF(N($W296)&gt;0,AVERAGEIFS($X$5:$X$1000,$U$5:$U$1000,ROW(),$V$5:$V$1000,"Sub"),$X296))))</f>
        <v/>
      </c>
      <c r="N296" s="56">
        <f>IF(OR($M296="",$V296="Sub"),"",IF($M296&gt;=1,"Completado",IF($M296&gt;0,"En curso","Pendiente")))</f>
        <v/>
      </c>
      <c r="O296" s="56">
        <f>IF(OR(NOT((COUNTA($B296:$D296)+COUNTA($G296:$L296)+COUNTA($Q296))&gt;0),$V296="Sub"),"",IF(ISNUMBER($G296),IF(AND(ISNUMBER($AN296),$G296&gt;$AN296),"Cumplida con "&amp;($G296-$AN296)&amp;IF($G296-$AN296=1," día"," días")&amp;" de retraso","Cumplida"),IF(N($M296)&gt;=1,"Cumplida",IF(NOT(ISNUMBER($AN296)),"Sin fecha límite",IF($AN296&lt;FechaRef,"Vencida hace "&amp;(FechaRef-$AN296)&amp;IF(FechaRef-$AN296=1," día"," días"),IF($AN296=FechaRef,"Vence hoy",IF($AN296-FechaRef&lt;=DiasAlerta,"Vence en "&amp;($AN296-FechaRef)&amp;IF($AN296-FechaRef=1," día"," días"),"En plazo")))))))</f>
        <v/>
      </c>
      <c r="P296" s="62" t="n"/>
      <c r="Q296" s="58" t="n"/>
      <c r="R296" s="63">
        <f>IF(NOT((COUNTA($B296:$D296)+COUNTA($G296:$L296)+COUNTA($Q296))&gt;0),"",IF((IF($C296="","Falta el nombre de la actividad"&amp;" · ","")&amp;IF(AND($V296="Sub",N($U296)=0),"Subactividad sin macroactividad arriba"&amp;" · ","")&amp;IF($AM296="","Sin fecha de inicio"&amp;" · ","")&amp;IF($AN296="","Sin fecha límite"&amp;" · ","")&amp;IF(AND(LEFT($C296,11)="[Jefatura] ",N($AL296)=0),"No se encuentra en la hoja de la jefatura (elíjala de nuevo en la lista)"&amp;" · ","")&amp;IF(OR(AND($E296&lt;&gt;"",NOT(ISNUMBER($E296))),AND($F296&lt;&gt;"",NOT(ISNUMBER($F296))),AND($G296&lt;&gt;"",NOT(ISNUMBER($G296)))),"Fecha no válida"&amp;" · ","")&amp;IF(AND(ISNUMBER($AM296),ISNUMBER($AN296),$AM296&gt;$AN296),"Inicio posterior a fecha límite"&amp;" · ","")&amp;IF(AND($V296="Macro",$H296&lt;&gt;"",OR(NOT(ISNUMBER($H296)),$H296&lt;0,$H296&gt;1)),"Peso fuera de rango"&amp;" · ","")&amp;IF(AND($V296="Sub",$H296&lt;&gt;""),"Las subactividades no llevan peso (valen igual dentro de su macroactividad)"&amp;" · ","")&amp;IF(AND(N($W296)&gt;0,COUNT($I296:$L296)&gt;0),"Con subactividades: deje vacías las semanas (se calculan solas)"&amp;" · ","")&amp;IF((COUNTIF($I296:$L296,"&gt;1")+COUNTIF($I296:$L296,"&lt;0")+COUNTA($I296:$L296)-COUNT($I296:$L296))&gt;0,"Avance fuera de rango 0-100%"&amp;" · ","")&amp;IF(OR(AND($J296&lt;&gt;"",$J296&lt;$I296),AND($K296&lt;&gt;"",$K296&lt;MAX($I296:$J296)),AND($L296&lt;&gt;"",$L296&lt;MAX($I296:$K296))),"Avance semanal decreciente"&amp;" · ","")&amp;IF(AND(ISNUMBER($AN296),$AN296&lt;FechaRef,IF($V296="Sub",N($X296),N($M296))&lt;1),"Vencida"&amp;" · ","")&amp;IF(AND(ObsObligatoria="Sí",ISNUMBER($AN296),$AN296&lt;FechaRef,IF($V296="Sub",N($X296),N($M296))&lt;1,$Q296=""),"Vencida sin observación"&amp;" · ",""))="","✔ OK","⚠ "&amp;LEFT(IF($C296="","Falta el nombre de la actividad"&amp;" · ","")&amp;IF(AND($V296="Sub",N($U296)=0),"Subactividad sin macroactividad arriba"&amp;" · ","")&amp;IF($AM296="","Sin fecha de inicio"&amp;" · ","")&amp;IF($AN296="","Sin fecha límite"&amp;" · ","")&amp;IF(AND(LEFT($C296,11)="[Jefatura] ",N($AL296)=0),"No se encuentra en la hoja de la jefatura (elíjala de nuevo en la lista)"&amp;" · ","")&amp;IF(OR(AND($E296&lt;&gt;"",NOT(ISNUMBER($E296))),AND($F296&lt;&gt;"",NOT(ISNUMBER($F296))),AND($G296&lt;&gt;"",NOT(ISNUMBER($G296)))),"Fecha no válida"&amp;" · ","")&amp;IF(AND(ISNUMBER($AM296),ISNUMBER($AN296),$AM296&gt;$AN296),"Inicio posterior a fecha límite"&amp;" · ","")&amp;IF(AND($V296="Macro",$H296&lt;&gt;"",OR(NOT(ISNUMBER($H296)),$H296&lt;0,$H296&gt;1)),"Peso fuera de rango"&amp;" · ","")&amp;IF(AND($V296="Sub",$H296&lt;&gt;""),"Las subactividades no llevan peso (valen igual dentro de su macroactividad)"&amp;" · ","")&amp;IF(AND(N($W296)&gt;0,COUNT($I296:$L296)&gt;0),"Con subactividades: deje vacías las semanas (se calculan solas)"&amp;" · ","")&amp;IF((COUNTIF($I296:$L296,"&gt;1")+COUNTIF($I296:$L296,"&lt;0")+COUNTA($I296:$L296)-COUNT($I296:$L296))&gt;0,"Avance fuera de rango 0-100%"&amp;" · ","")&amp;IF(OR(AND($J296&lt;&gt;"",$J296&lt;$I296),AND($K296&lt;&gt;"",$K296&lt;MAX($I296:$J296)),AND($L296&lt;&gt;"",$L296&lt;MAX($I296:$K296))),"Avance semanal decreciente"&amp;" · ","")&amp;IF(AND(ISNUMBER($AN296),$AN296&lt;FechaRef,IF($V296="Sub",N($X296),N($M296))&lt;1),"Vencida"&amp;" · ","")&amp;IF(AND(ObsObligatoria="Sí",ISNUMBER($AN296),$AN296&lt;FechaRef,IF($V296="Sub",N($X296),N($M296))&lt;1,$Q296=""),"Vencida sin observación"&amp;" · ",""),LEN(IF($C296="","Falta el nombre de la actividad"&amp;" · ","")&amp;IF(AND($V296="Sub",N($U296)=0),"Subactividad sin macroactividad arriba"&amp;" · ","")&amp;IF($AM296="","Sin fecha de inicio"&amp;" · ","")&amp;IF($AN296="","Sin fecha límite"&amp;" · ","")&amp;IF(AND(LEFT($C296,11)="[Jefatura] ",N($AL296)=0),"No se encuentra en la hoja de la jefatura (elíjala de nuevo en la lista)"&amp;" · ","")&amp;IF(OR(AND($E296&lt;&gt;"",NOT(ISNUMBER($E296))),AND($F296&lt;&gt;"",NOT(ISNUMBER($F296))),AND($G296&lt;&gt;"",NOT(ISNUMBER($G296)))),"Fecha no válida"&amp;" · ","")&amp;IF(AND(ISNUMBER($AM296),ISNUMBER($AN296),$AM296&gt;$AN296),"Inicio posterior a fecha límite"&amp;" · ","")&amp;IF(AND($V296="Macro",$H296&lt;&gt;"",OR(NOT(ISNUMBER($H296)),$H296&lt;0,$H296&gt;1)),"Peso fuera de rango"&amp;" · ","")&amp;IF(AND($V296="Sub",$H296&lt;&gt;""),"Las subactividades no llevan peso (valen igual dentro de su macroactividad)"&amp;" · ","")&amp;IF(AND(N($W296)&gt;0,COUNT($I296:$L296)&gt;0),"Con subactividades: deje vacías las semanas (se calculan solas)"&amp;" · ","")&amp;IF((COUNTIF($I296:$L296,"&gt;1")+COUNTIF($I296:$L296,"&lt;0")+COUNTA($I296:$L296)-COUNT($I296:$L296))&gt;0,"Avance fuera de rango 0-100%"&amp;" · ","")&amp;IF(OR(AND($J296&lt;&gt;"",$J296&lt;$I296),AND($K296&lt;&gt;"",$K296&lt;MAX($I296:$J296)),AND($L296&lt;&gt;"",$L296&lt;MAX($I296:$K296))),"Avance semanal decreciente"&amp;" · ","")&amp;IF(AND(ISNUMBER($AN296),$AN296&lt;FechaRef,IF($V296="Sub",N($X296),N($M296))&lt;1),"Vencida"&amp;" · ","")&amp;IF(AND(ObsObligatoria="Sí",ISNUMBER($AN296),$AN296&lt;FechaRef,IF($V296="Sub",N($X296),N($M296))&lt;1,$Q296=""),"Vencida sin observación"&amp;" · ",""))-3)))</f>
        <v/>
      </c>
      <c r="S296" s="64">
        <f>IF(NOT((COUNTA($B296:$D296)+COUNTA($G296:$L296)+COUNTA($Q296))&gt;0),"",IF(AND($V296="Sub",N($U296)&gt;0),IF(ISNUMBER(INDEX($AM$5:$AM$1000,$U296-4)),DATE(YEAR(INDEX($AM$5:$AM$1000,$U296-4)),MONTH(INDEX($AM$5:$AM$1000,$U296-4)),1),IF(ISNUMBER(INDEX($AN$5:$AN$1000,$U296-4)),DATE(YEAR(INDEX($AN$5:$AN$1000,$U296-4)),MONTH(INDEX($AN$5:$AN$1000,$U296-4)),1),MesCiclo)),IF(ISNUMBER($AM296),DATE(YEAR($AM296),MONTH($AM296),1),IF(ISNUMBER($AN296),DATE(YEAR($AN296),MONTH($AN296),1),MesCiclo))))</f>
        <v/>
      </c>
      <c r="T296" s="62">
        <f>IF(OR($S296="",$S296&lt;&gt;MesCiclo,$V296&lt;&gt;"Macro"),"",COUNTIFS($S$5:$S296,MesCiclo,$V$5:$V296,"Macro"))</f>
        <v/>
      </c>
      <c r="U296" s="62">
        <f>IF($V296="","",IF($V296="Macro",ROW(),IFERROR(LOOKUP(2,1/($V$5:$V296="Macro"),ROW($V$5:$V296)),0)))</f>
        <v/>
      </c>
      <c r="V296" s="62">
        <f>IF(NOT((COUNTA($B296:$D296)+COUNTA($G296:$L296)+COUNTA($Q296))&gt;0),"",IF($B296="Subactividad","Sub","Macro"))</f>
        <v/>
      </c>
      <c r="W296" s="62">
        <f>IF($V296="Macro",COUNTIFS($U$5:$U$1000,ROW(),$V$5:$V$1000,"Sub"),"")</f>
        <v/>
      </c>
      <c r="X296" s="62">
        <f>IF($V296="","",IF(ISNUMBER($G296),1,IFERROR(LOOKUP(2,1/($I296:$L296&lt;&gt;""),$I296:$L296),0)))</f>
        <v/>
      </c>
      <c r="Y296" s="62">
        <f>IF($V296="","",IF(AND(ISNUMBER($G296),$G296&lt;=IF($S296=MesCiclo,InicioCiclo,$S296+MOD(2-WEEKDAY($S296),7))+6),1,IF(ISNUMBER($I296),$I296,0)))</f>
        <v/>
      </c>
      <c r="Z296" s="62">
        <f>IF($V296="","",IF(AND(ISNUMBER($G296),$G296&lt;=IF($S296=MesCiclo,InicioCiclo,$S296+MOD(2-WEEKDAY($S296),7))+13),1,IF(ISNUMBER($J296),$J296,$Y296)))</f>
        <v/>
      </c>
      <c r="AA296" s="62">
        <f>IF($V296="","",IF(AND(ISNUMBER($G296),$G296&lt;=IF($S296=MesCiclo,InicioCiclo,$S296+MOD(2-WEEKDAY($S296),7))+20),1,IF(ISNUMBER($K296),$K296,$Z296)))</f>
        <v/>
      </c>
      <c r="AB296" s="62">
        <f>IF($V296="","",IF(AND(ISNUMBER($G296),$G296&lt;=IF($S296=MesCiclo,InicioCiclo,$S296+MOD(2-WEEKDAY($S296),7))+27),1,IF(ISNUMBER($L296),$L296,$AA296)))</f>
        <v/>
      </c>
      <c r="AC296" s="62">
        <f>IF($V296="","",IF(AND(ISNUMBER($G296),$G296&lt;=IF($S296=MesCiclo,InicioCiclo,$S296+MOD(2-WEEKDAY($S296),7))+6),1,IF(N($W296)&gt;0,AVERAGEIFS($Y$5:$Y$1000,$U$5:$U$1000,ROW(),$V$5:$V$1000,"Sub"),$Y296)))</f>
        <v/>
      </c>
      <c r="AD296" s="62">
        <f>IF($V296="","",IF(AND(ISNUMBER($G296),$G296&lt;=IF($S296=MesCiclo,InicioCiclo,$S296+MOD(2-WEEKDAY($S296),7))+13),1,IF(N($W296)&gt;0,AVERAGEIFS($Z$5:$Z$1000,$U$5:$U$1000,ROW(),$V$5:$V$1000,"Sub"),$Z296)))</f>
        <v/>
      </c>
      <c r="AE296" s="62">
        <f>IF($V296="","",IF(AND(ISNUMBER($G296),$G296&lt;=IF($S296=MesCiclo,InicioCiclo,$S296+MOD(2-WEEKDAY($S296),7))+20),1,IF(N($W296)&gt;0,AVERAGEIFS($AA$5:$AA$1000,$U$5:$U$1000,ROW(),$V$5:$V$1000,"Sub"),$AA296)))</f>
        <v/>
      </c>
      <c r="AF296" s="62">
        <f>IF($V296="","",IF(AND(ISNUMBER($G296),$G296&lt;=IF($S296=MesCiclo,InicioCiclo,$S296+MOD(2-WEEKDAY($S296),7))+27),1,IF(N($W296)&gt;0,AVERAGEIFS($AB$5:$AB$1000,$U$5:$U$1000,ROW(),$V$5:$V$1000,"Sub"),$AB296)))</f>
        <v/>
      </c>
      <c r="AG296" s="62">
        <f>IF($V296&lt;&gt;"Macro","",IF(COUNTIFS($S$5:$S$1000,$S296,$V$5:$V$1000,"Macro",$H$5:$H$1000,"&gt;0")=0,1/COUNTIFS($S$5:$S$1000,$S296,$V$5:$V$1000,"Macro"),IF(AND(ISNUMBER($H296),N($H296)&gt;0),$H296,SUMIFS($H$5:$H$1000,$S$5:$S$1000,$S296,$V$5:$V$1000,"Macro")/COUNTIFS($S$5:$S$1000,$S296,$V$5:$V$1000,"Macro",$H$5:$H$1000,"&gt;0"))/(COUNTIFS($S$5:$S$1000,$S296,$V$5:$V$1000,"Macro")*SUMIFS($H$5:$H$1000,$S$5:$S$1000,$S296,$V$5:$V$1000,"Macro")/COUNTIFS($S$5:$S$1000,$S296,$V$5:$V$1000,"Macro",$H$5:$H$1000,"&gt;0"))))</f>
        <v/>
      </c>
      <c r="AH296" s="62" t="n"/>
      <c r="AI296" s="62" t="n"/>
      <c r="AJ296" s="62" t="n"/>
      <c r="AK296" s="62" t="n"/>
      <c r="AL296" s="62">
        <f>IF(LEFT($C296,11)="[Jefatura] ",IFERROR(MATCH("Asistente Técnico de Riesgo|"&amp;MID($C296,12,500),rDname_ADM,0),0),"")</f>
        <v/>
      </c>
      <c r="AM296" s="62">
        <f>IF(N($AL296)&gt;0,INDEX(rIni_ADM,$AL296),IF(ISNUMBER($E296),$E296,""))</f>
        <v/>
      </c>
      <c r="AN296" s="62">
        <f>IF(N($AL296)&gt;0,INDEX(rLim_ADM,$AL296),IF(ISNUMBER($F296),$F296,""))</f>
        <v/>
      </c>
    </row>
    <row r="297">
      <c r="A297" s="56">
        <f>IF(NOT((COUNTA($B297:$D297)+COUNTA($G297:$L297)+COUNTA($Q297))&gt;0),"",IF($V297="Macro",COUNTIFS($V$5:$V297,"Macro",$S$5:$S297,$S297),IF(N($U297)=0,"?",COUNTIFS(INDEX($V$5:$V$1000,1):INDEX($V$5:$V$1000,$U297-4),"Macro",INDEX($S$5:$S$1000,1):INDEX($S$5:$S$1000,$U297-4),INDEX($S$5:$S$1000,$U297-4))&amp;"."&amp;COUNTIFS($U$5:$U297,$U297,$V$5:$V297,"Sub"))))</f>
        <v/>
      </c>
      <c r="B297" s="57" t="n"/>
      <c r="C297" s="58" t="n"/>
      <c r="D297" s="58" t="n"/>
      <c r="E297" s="59">
        <f>IF(N($AL297)&gt;0,INDEX(rIni_ADM,$AL297),"")</f>
        <v/>
      </c>
      <c r="F297" s="59">
        <f>IF(N($AL297)&gt;0,INDEX(rLim_ADM,$AL297),"")</f>
        <v/>
      </c>
      <c r="G297" s="59" t="n"/>
      <c r="H297" s="60" t="n"/>
      <c r="I297" s="60" t="n"/>
      <c r="J297" s="60" t="n"/>
      <c r="K297" s="60" t="n"/>
      <c r="L297" s="60" t="n"/>
      <c r="M297" s="61">
        <f>IF(NOT((COUNTA($B297:$D297)+COUNTA($G297:$L297)+COUNTA($Q297))&gt;0),"",IF($V297="Sub",IFERROR($X297/INDEX($W$5:$W$1000,$U297-4),""),IF(ISNUMBER($G297),1,IF(N($W297)&gt;0,AVERAGEIFS($X$5:$X$1000,$U$5:$U$1000,ROW(),$V$5:$V$1000,"Sub"),$X297))))</f>
        <v/>
      </c>
      <c r="N297" s="56">
        <f>IF(OR($M297="",$V297="Sub"),"",IF($M297&gt;=1,"Completado",IF($M297&gt;0,"En curso","Pendiente")))</f>
        <v/>
      </c>
      <c r="O297" s="56">
        <f>IF(OR(NOT((COUNTA($B297:$D297)+COUNTA($G297:$L297)+COUNTA($Q297))&gt;0),$V297="Sub"),"",IF(ISNUMBER($G297),IF(AND(ISNUMBER($AN297),$G297&gt;$AN297),"Cumplida con "&amp;($G297-$AN297)&amp;IF($G297-$AN297=1," día"," días")&amp;" de retraso","Cumplida"),IF(N($M297)&gt;=1,"Cumplida",IF(NOT(ISNUMBER($AN297)),"Sin fecha límite",IF($AN297&lt;FechaRef,"Vencida hace "&amp;(FechaRef-$AN297)&amp;IF(FechaRef-$AN297=1," día"," días"),IF($AN297=FechaRef,"Vence hoy",IF($AN297-FechaRef&lt;=DiasAlerta,"Vence en "&amp;($AN297-FechaRef)&amp;IF($AN297-FechaRef=1," día"," días"),"En plazo")))))))</f>
        <v/>
      </c>
      <c r="P297" s="62" t="n"/>
      <c r="Q297" s="58" t="n"/>
      <c r="R297" s="63">
        <f>IF(NOT((COUNTA($B297:$D297)+COUNTA($G297:$L297)+COUNTA($Q297))&gt;0),"",IF((IF($C297="","Falta el nombre de la actividad"&amp;" · ","")&amp;IF(AND($V297="Sub",N($U297)=0),"Subactividad sin macroactividad arriba"&amp;" · ","")&amp;IF($AM297="","Sin fecha de inicio"&amp;" · ","")&amp;IF($AN297="","Sin fecha límite"&amp;" · ","")&amp;IF(AND(LEFT($C297,11)="[Jefatura] ",N($AL297)=0),"No se encuentra en la hoja de la jefatura (elíjala de nuevo en la lista)"&amp;" · ","")&amp;IF(OR(AND($E297&lt;&gt;"",NOT(ISNUMBER($E297))),AND($F297&lt;&gt;"",NOT(ISNUMBER($F297))),AND($G297&lt;&gt;"",NOT(ISNUMBER($G297)))),"Fecha no válida"&amp;" · ","")&amp;IF(AND(ISNUMBER($AM297),ISNUMBER($AN297),$AM297&gt;$AN297),"Inicio posterior a fecha límite"&amp;" · ","")&amp;IF(AND($V297="Macro",$H297&lt;&gt;"",OR(NOT(ISNUMBER($H297)),$H297&lt;0,$H297&gt;1)),"Peso fuera de rango"&amp;" · ","")&amp;IF(AND($V297="Sub",$H297&lt;&gt;""),"Las subactividades no llevan peso (valen igual dentro de su macroactividad)"&amp;" · ","")&amp;IF(AND(N($W297)&gt;0,COUNT($I297:$L297)&gt;0),"Con subactividades: deje vacías las semanas (se calculan solas)"&amp;" · ","")&amp;IF((COUNTIF($I297:$L297,"&gt;1")+COUNTIF($I297:$L297,"&lt;0")+COUNTA($I297:$L297)-COUNT($I297:$L297))&gt;0,"Avance fuera de rango 0-100%"&amp;" · ","")&amp;IF(OR(AND($J297&lt;&gt;"",$J297&lt;$I297),AND($K297&lt;&gt;"",$K297&lt;MAX($I297:$J297)),AND($L297&lt;&gt;"",$L297&lt;MAX($I297:$K297))),"Avance semanal decreciente"&amp;" · ","")&amp;IF(AND(ISNUMBER($AN297),$AN297&lt;FechaRef,IF($V297="Sub",N($X297),N($M297))&lt;1),"Vencida"&amp;" · ","")&amp;IF(AND(ObsObligatoria="Sí",ISNUMBER($AN297),$AN297&lt;FechaRef,IF($V297="Sub",N($X297),N($M297))&lt;1,$Q297=""),"Vencida sin observación"&amp;" · ",""))="","✔ OK","⚠ "&amp;LEFT(IF($C297="","Falta el nombre de la actividad"&amp;" · ","")&amp;IF(AND($V297="Sub",N($U297)=0),"Subactividad sin macroactividad arriba"&amp;" · ","")&amp;IF($AM297="","Sin fecha de inicio"&amp;" · ","")&amp;IF($AN297="","Sin fecha límite"&amp;" · ","")&amp;IF(AND(LEFT($C297,11)="[Jefatura] ",N($AL297)=0),"No se encuentra en la hoja de la jefatura (elíjala de nuevo en la lista)"&amp;" · ","")&amp;IF(OR(AND($E297&lt;&gt;"",NOT(ISNUMBER($E297))),AND($F297&lt;&gt;"",NOT(ISNUMBER($F297))),AND($G297&lt;&gt;"",NOT(ISNUMBER($G297)))),"Fecha no válida"&amp;" · ","")&amp;IF(AND(ISNUMBER($AM297),ISNUMBER($AN297),$AM297&gt;$AN297),"Inicio posterior a fecha límite"&amp;" · ","")&amp;IF(AND($V297="Macro",$H297&lt;&gt;"",OR(NOT(ISNUMBER($H297)),$H297&lt;0,$H297&gt;1)),"Peso fuera de rango"&amp;" · ","")&amp;IF(AND($V297="Sub",$H297&lt;&gt;""),"Las subactividades no llevan peso (valen igual dentro de su macroactividad)"&amp;" · ","")&amp;IF(AND(N($W297)&gt;0,COUNT($I297:$L297)&gt;0),"Con subactividades: deje vacías las semanas (se calculan solas)"&amp;" · ","")&amp;IF((COUNTIF($I297:$L297,"&gt;1")+COUNTIF($I297:$L297,"&lt;0")+COUNTA($I297:$L297)-COUNT($I297:$L297))&gt;0,"Avance fuera de rango 0-100%"&amp;" · ","")&amp;IF(OR(AND($J297&lt;&gt;"",$J297&lt;$I297),AND($K297&lt;&gt;"",$K297&lt;MAX($I297:$J297)),AND($L297&lt;&gt;"",$L297&lt;MAX($I297:$K297))),"Avance semanal decreciente"&amp;" · ","")&amp;IF(AND(ISNUMBER($AN297),$AN297&lt;FechaRef,IF($V297="Sub",N($X297),N($M297))&lt;1),"Vencida"&amp;" · ","")&amp;IF(AND(ObsObligatoria="Sí",ISNUMBER($AN297),$AN297&lt;FechaRef,IF($V297="Sub",N($X297),N($M297))&lt;1,$Q297=""),"Vencida sin observación"&amp;" · ",""),LEN(IF($C297="","Falta el nombre de la actividad"&amp;" · ","")&amp;IF(AND($V297="Sub",N($U297)=0),"Subactividad sin macroactividad arriba"&amp;" · ","")&amp;IF($AM297="","Sin fecha de inicio"&amp;" · ","")&amp;IF($AN297="","Sin fecha límite"&amp;" · ","")&amp;IF(AND(LEFT($C297,11)="[Jefatura] ",N($AL297)=0),"No se encuentra en la hoja de la jefatura (elíjala de nuevo en la lista)"&amp;" · ","")&amp;IF(OR(AND($E297&lt;&gt;"",NOT(ISNUMBER($E297))),AND($F297&lt;&gt;"",NOT(ISNUMBER($F297))),AND($G297&lt;&gt;"",NOT(ISNUMBER($G297)))),"Fecha no válida"&amp;" · ","")&amp;IF(AND(ISNUMBER($AM297),ISNUMBER($AN297),$AM297&gt;$AN297),"Inicio posterior a fecha límite"&amp;" · ","")&amp;IF(AND($V297="Macro",$H297&lt;&gt;"",OR(NOT(ISNUMBER($H297)),$H297&lt;0,$H297&gt;1)),"Peso fuera de rango"&amp;" · ","")&amp;IF(AND($V297="Sub",$H297&lt;&gt;""),"Las subactividades no llevan peso (valen igual dentro de su macroactividad)"&amp;" · ","")&amp;IF(AND(N($W297)&gt;0,COUNT($I297:$L297)&gt;0),"Con subactividades: deje vacías las semanas (se calculan solas)"&amp;" · ","")&amp;IF((COUNTIF($I297:$L297,"&gt;1")+COUNTIF($I297:$L297,"&lt;0")+COUNTA($I297:$L297)-COUNT($I297:$L297))&gt;0,"Avance fuera de rango 0-100%"&amp;" · ","")&amp;IF(OR(AND($J297&lt;&gt;"",$J297&lt;$I297),AND($K297&lt;&gt;"",$K297&lt;MAX($I297:$J297)),AND($L297&lt;&gt;"",$L297&lt;MAX($I297:$K297))),"Avance semanal decreciente"&amp;" · ","")&amp;IF(AND(ISNUMBER($AN297),$AN297&lt;FechaRef,IF($V297="Sub",N($X297),N($M297))&lt;1),"Vencida"&amp;" · ","")&amp;IF(AND(ObsObligatoria="Sí",ISNUMBER($AN297),$AN297&lt;FechaRef,IF($V297="Sub",N($X297),N($M297))&lt;1,$Q297=""),"Vencida sin observación"&amp;" · ",""))-3)))</f>
        <v/>
      </c>
      <c r="S297" s="64">
        <f>IF(NOT((COUNTA($B297:$D297)+COUNTA($G297:$L297)+COUNTA($Q297))&gt;0),"",IF(AND($V297="Sub",N($U297)&gt;0),IF(ISNUMBER(INDEX($AM$5:$AM$1000,$U297-4)),DATE(YEAR(INDEX($AM$5:$AM$1000,$U297-4)),MONTH(INDEX($AM$5:$AM$1000,$U297-4)),1),IF(ISNUMBER(INDEX($AN$5:$AN$1000,$U297-4)),DATE(YEAR(INDEX($AN$5:$AN$1000,$U297-4)),MONTH(INDEX($AN$5:$AN$1000,$U297-4)),1),MesCiclo)),IF(ISNUMBER($AM297),DATE(YEAR($AM297),MONTH($AM297),1),IF(ISNUMBER($AN297),DATE(YEAR($AN297),MONTH($AN297),1),MesCiclo))))</f>
        <v/>
      </c>
      <c r="T297" s="62">
        <f>IF(OR($S297="",$S297&lt;&gt;MesCiclo,$V297&lt;&gt;"Macro"),"",COUNTIFS($S$5:$S297,MesCiclo,$V$5:$V297,"Macro"))</f>
        <v/>
      </c>
      <c r="U297" s="62">
        <f>IF($V297="","",IF($V297="Macro",ROW(),IFERROR(LOOKUP(2,1/($V$5:$V297="Macro"),ROW($V$5:$V297)),0)))</f>
        <v/>
      </c>
      <c r="V297" s="62">
        <f>IF(NOT((COUNTA($B297:$D297)+COUNTA($G297:$L297)+COUNTA($Q297))&gt;0),"",IF($B297="Subactividad","Sub","Macro"))</f>
        <v/>
      </c>
      <c r="W297" s="62">
        <f>IF($V297="Macro",COUNTIFS($U$5:$U$1000,ROW(),$V$5:$V$1000,"Sub"),"")</f>
        <v/>
      </c>
      <c r="X297" s="62">
        <f>IF($V297="","",IF(ISNUMBER($G297),1,IFERROR(LOOKUP(2,1/($I297:$L297&lt;&gt;""),$I297:$L297),0)))</f>
        <v/>
      </c>
      <c r="Y297" s="62">
        <f>IF($V297="","",IF(AND(ISNUMBER($G297),$G297&lt;=IF($S297=MesCiclo,InicioCiclo,$S297+MOD(2-WEEKDAY($S297),7))+6),1,IF(ISNUMBER($I297),$I297,0)))</f>
        <v/>
      </c>
      <c r="Z297" s="62">
        <f>IF($V297="","",IF(AND(ISNUMBER($G297),$G297&lt;=IF($S297=MesCiclo,InicioCiclo,$S297+MOD(2-WEEKDAY($S297),7))+13),1,IF(ISNUMBER($J297),$J297,$Y297)))</f>
        <v/>
      </c>
      <c r="AA297" s="62">
        <f>IF($V297="","",IF(AND(ISNUMBER($G297),$G297&lt;=IF($S297=MesCiclo,InicioCiclo,$S297+MOD(2-WEEKDAY($S297),7))+20),1,IF(ISNUMBER($K297),$K297,$Z297)))</f>
        <v/>
      </c>
      <c r="AB297" s="62">
        <f>IF($V297="","",IF(AND(ISNUMBER($G297),$G297&lt;=IF($S297=MesCiclo,InicioCiclo,$S297+MOD(2-WEEKDAY($S297),7))+27),1,IF(ISNUMBER($L297),$L297,$AA297)))</f>
        <v/>
      </c>
      <c r="AC297" s="62">
        <f>IF($V297="","",IF(AND(ISNUMBER($G297),$G297&lt;=IF($S297=MesCiclo,InicioCiclo,$S297+MOD(2-WEEKDAY($S297),7))+6),1,IF(N($W297)&gt;0,AVERAGEIFS($Y$5:$Y$1000,$U$5:$U$1000,ROW(),$V$5:$V$1000,"Sub"),$Y297)))</f>
        <v/>
      </c>
      <c r="AD297" s="62">
        <f>IF($V297="","",IF(AND(ISNUMBER($G297),$G297&lt;=IF($S297=MesCiclo,InicioCiclo,$S297+MOD(2-WEEKDAY($S297),7))+13),1,IF(N($W297)&gt;0,AVERAGEIFS($Z$5:$Z$1000,$U$5:$U$1000,ROW(),$V$5:$V$1000,"Sub"),$Z297)))</f>
        <v/>
      </c>
      <c r="AE297" s="62">
        <f>IF($V297="","",IF(AND(ISNUMBER($G297),$G297&lt;=IF($S297=MesCiclo,InicioCiclo,$S297+MOD(2-WEEKDAY($S297),7))+20),1,IF(N($W297)&gt;0,AVERAGEIFS($AA$5:$AA$1000,$U$5:$U$1000,ROW(),$V$5:$V$1000,"Sub"),$AA297)))</f>
        <v/>
      </c>
      <c r="AF297" s="62">
        <f>IF($V297="","",IF(AND(ISNUMBER($G297),$G297&lt;=IF($S297=MesCiclo,InicioCiclo,$S297+MOD(2-WEEKDAY($S297),7))+27),1,IF(N($W297)&gt;0,AVERAGEIFS($AB$5:$AB$1000,$U$5:$U$1000,ROW(),$V$5:$V$1000,"Sub"),$AB297)))</f>
        <v/>
      </c>
      <c r="AG297" s="62">
        <f>IF($V297&lt;&gt;"Macro","",IF(COUNTIFS($S$5:$S$1000,$S297,$V$5:$V$1000,"Macro",$H$5:$H$1000,"&gt;0")=0,1/COUNTIFS($S$5:$S$1000,$S297,$V$5:$V$1000,"Macro"),IF(AND(ISNUMBER($H297),N($H297)&gt;0),$H297,SUMIFS($H$5:$H$1000,$S$5:$S$1000,$S297,$V$5:$V$1000,"Macro")/COUNTIFS($S$5:$S$1000,$S297,$V$5:$V$1000,"Macro",$H$5:$H$1000,"&gt;0"))/(COUNTIFS($S$5:$S$1000,$S297,$V$5:$V$1000,"Macro")*SUMIFS($H$5:$H$1000,$S$5:$S$1000,$S297,$V$5:$V$1000,"Macro")/COUNTIFS($S$5:$S$1000,$S297,$V$5:$V$1000,"Macro",$H$5:$H$1000,"&gt;0"))))</f>
        <v/>
      </c>
      <c r="AH297" s="62" t="n"/>
      <c r="AI297" s="62" t="n"/>
      <c r="AJ297" s="62" t="n"/>
      <c r="AK297" s="62" t="n"/>
      <c r="AL297" s="62">
        <f>IF(LEFT($C297,11)="[Jefatura] ",IFERROR(MATCH("Asistente Técnico de Riesgo|"&amp;MID($C297,12,500),rDname_ADM,0),0),"")</f>
        <v/>
      </c>
      <c r="AM297" s="62">
        <f>IF(N($AL297)&gt;0,INDEX(rIni_ADM,$AL297),IF(ISNUMBER($E297),$E297,""))</f>
        <v/>
      </c>
      <c r="AN297" s="62">
        <f>IF(N($AL297)&gt;0,INDEX(rLim_ADM,$AL297),IF(ISNUMBER($F297),$F297,""))</f>
        <v/>
      </c>
    </row>
    <row r="298">
      <c r="A298" s="56">
        <f>IF(NOT((COUNTA($B298:$D298)+COUNTA($G298:$L298)+COUNTA($Q298))&gt;0),"",IF($V298="Macro",COUNTIFS($V$5:$V298,"Macro",$S$5:$S298,$S298),IF(N($U298)=0,"?",COUNTIFS(INDEX($V$5:$V$1000,1):INDEX($V$5:$V$1000,$U298-4),"Macro",INDEX($S$5:$S$1000,1):INDEX($S$5:$S$1000,$U298-4),INDEX($S$5:$S$1000,$U298-4))&amp;"."&amp;COUNTIFS($U$5:$U298,$U298,$V$5:$V298,"Sub"))))</f>
        <v/>
      </c>
      <c r="B298" s="57" t="n"/>
      <c r="C298" s="58" t="n"/>
      <c r="D298" s="58" t="n"/>
      <c r="E298" s="59">
        <f>IF(N($AL298)&gt;0,INDEX(rIni_ADM,$AL298),"")</f>
        <v/>
      </c>
      <c r="F298" s="59">
        <f>IF(N($AL298)&gt;0,INDEX(rLim_ADM,$AL298),"")</f>
        <v/>
      </c>
      <c r="G298" s="59" t="n"/>
      <c r="H298" s="60" t="n"/>
      <c r="I298" s="60" t="n"/>
      <c r="J298" s="60" t="n"/>
      <c r="K298" s="60" t="n"/>
      <c r="L298" s="60" t="n"/>
      <c r="M298" s="61">
        <f>IF(NOT((COUNTA($B298:$D298)+COUNTA($G298:$L298)+COUNTA($Q298))&gt;0),"",IF($V298="Sub",IFERROR($X298/INDEX($W$5:$W$1000,$U298-4),""),IF(ISNUMBER($G298),1,IF(N($W298)&gt;0,AVERAGEIFS($X$5:$X$1000,$U$5:$U$1000,ROW(),$V$5:$V$1000,"Sub"),$X298))))</f>
        <v/>
      </c>
      <c r="N298" s="56">
        <f>IF(OR($M298="",$V298="Sub"),"",IF($M298&gt;=1,"Completado",IF($M298&gt;0,"En curso","Pendiente")))</f>
        <v/>
      </c>
      <c r="O298" s="56">
        <f>IF(OR(NOT((COUNTA($B298:$D298)+COUNTA($G298:$L298)+COUNTA($Q298))&gt;0),$V298="Sub"),"",IF(ISNUMBER($G298),IF(AND(ISNUMBER($AN298),$G298&gt;$AN298),"Cumplida con "&amp;($G298-$AN298)&amp;IF($G298-$AN298=1," día"," días")&amp;" de retraso","Cumplida"),IF(N($M298)&gt;=1,"Cumplida",IF(NOT(ISNUMBER($AN298)),"Sin fecha límite",IF($AN298&lt;FechaRef,"Vencida hace "&amp;(FechaRef-$AN298)&amp;IF(FechaRef-$AN298=1," día"," días"),IF($AN298=FechaRef,"Vence hoy",IF($AN298-FechaRef&lt;=DiasAlerta,"Vence en "&amp;($AN298-FechaRef)&amp;IF($AN298-FechaRef=1," día"," días"),"En plazo")))))))</f>
        <v/>
      </c>
      <c r="P298" s="62" t="n"/>
      <c r="Q298" s="58" t="n"/>
      <c r="R298" s="63">
        <f>IF(NOT((COUNTA($B298:$D298)+COUNTA($G298:$L298)+COUNTA($Q298))&gt;0),"",IF((IF($C298="","Falta el nombre de la actividad"&amp;" · ","")&amp;IF(AND($V298="Sub",N($U298)=0),"Subactividad sin macroactividad arriba"&amp;" · ","")&amp;IF($AM298="","Sin fecha de inicio"&amp;" · ","")&amp;IF($AN298="","Sin fecha límite"&amp;" · ","")&amp;IF(AND(LEFT($C298,11)="[Jefatura] ",N($AL298)=0),"No se encuentra en la hoja de la jefatura (elíjala de nuevo en la lista)"&amp;" · ","")&amp;IF(OR(AND($E298&lt;&gt;"",NOT(ISNUMBER($E298))),AND($F298&lt;&gt;"",NOT(ISNUMBER($F298))),AND($G298&lt;&gt;"",NOT(ISNUMBER($G298)))),"Fecha no válida"&amp;" · ","")&amp;IF(AND(ISNUMBER($AM298),ISNUMBER($AN298),$AM298&gt;$AN298),"Inicio posterior a fecha límite"&amp;" · ","")&amp;IF(AND($V298="Macro",$H298&lt;&gt;"",OR(NOT(ISNUMBER($H298)),$H298&lt;0,$H298&gt;1)),"Peso fuera de rango"&amp;" · ","")&amp;IF(AND($V298="Sub",$H298&lt;&gt;""),"Las subactividades no llevan peso (valen igual dentro de su macroactividad)"&amp;" · ","")&amp;IF(AND(N($W298)&gt;0,COUNT($I298:$L298)&gt;0),"Con subactividades: deje vacías las semanas (se calculan solas)"&amp;" · ","")&amp;IF((COUNTIF($I298:$L298,"&gt;1")+COUNTIF($I298:$L298,"&lt;0")+COUNTA($I298:$L298)-COUNT($I298:$L298))&gt;0,"Avance fuera de rango 0-100%"&amp;" · ","")&amp;IF(OR(AND($J298&lt;&gt;"",$J298&lt;$I298),AND($K298&lt;&gt;"",$K298&lt;MAX($I298:$J298)),AND($L298&lt;&gt;"",$L298&lt;MAX($I298:$K298))),"Avance semanal decreciente"&amp;" · ","")&amp;IF(AND(ISNUMBER($AN298),$AN298&lt;FechaRef,IF($V298="Sub",N($X298),N($M298))&lt;1),"Vencida"&amp;" · ","")&amp;IF(AND(ObsObligatoria="Sí",ISNUMBER($AN298),$AN298&lt;FechaRef,IF($V298="Sub",N($X298),N($M298))&lt;1,$Q298=""),"Vencida sin observación"&amp;" · ",""))="","✔ OK","⚠ "&amp;LEFT(IF($C298="","Falta el nombre de la actividad"&amp;" · ","")&amp;IF(AND($V298="Sub",N($U298)=0),"Subactividad sin macroactividad arriba"&amp;" · ","")&amp;IF($AM298="","Sin fecha de inicio"&amp;" · ","")&amp;IF($AN298="","Sin fecha límite"&amp;" · ","")&amp;IF(AND(LEFT($C298,11)="[Jefatura] ",N($AL298)=0),"No se encuentra en la hoja de la jefatura (elíjala de nuevo en la lista)"&amp;" · ","")&amp;IF(OR(AND($E298&lt;&gt;"",NOT(ISNUMBER($E298))),AND($F298&lt;&gt;"",NOT(ISNUMBER($F298))),AND($G298&lt;&gt;"",NOT(ISNUMBER($G298)))),"Fecha no válida"&amp;" · ","")&amp;IF(AND(ISNUMBER($AM298),ISNUMBER($AN298),$AM298&gt;$AN298),"Inicio posterior a fecha límite"&amp;" · ","")&amp;IF(AND($V298="Macro",$H298&lt;&gt;"",OR(NOT(ISNUMBER($H298)),$H298&lt;0,$H298&gt;1)),"Peso fuera de rango"&amp;" · ","")&amp;IF(AND($V298="Sub",$H298&lt;&gt;""),"Las subactividades no llevan peso (valen igual dentro de su macroactividad)"&amp;" · ","")&amp;IF(AND(N($W298)&gt;0,COUNT($I298:$L298)&gt;0),"Con subactividades: deje vacías las semanas (se calculan solas)"&amp;" · ","")&amp;IF((COUNTIF($I298:$L298,"&gt;1")+COUNTIF($I298:$L298,"&lt;0")+COUNTA($I298:$L298)-COUNT($I298:$L298))&gt;0,"Avance fuera de rango 0-100%"&amp;" · ","")&amp;IF(OR(AND($J298&lt;&gt;"",$J298&lt;$I298),AND($K298&lt;&gt;"",$K298&lt;MAX($I298:$J298)),AND($L298&lt;&gt;"",$L298&lt;MAX($I298:$K298))),"Avance semanal decreciente"&amp;" · ","")&amp;IF(AND(ISNUMBER($AN298),$AN298&lt;FechaRef,IF($V298="Sub",N($X298),N($M298))&lt;1),"Vencida"&amp;" · ","")&amp;IF(AND(ObsObligatoria="Sí",ISNUMBER($AN298),$AN298&lt;FechaRef,IF($V298="Sub",N($X298),N($M298))&lt;1,$Q298=""),"Vencida sin observación"&amp;" · ",""),LEN(IF($C298="","Falta el nombre de la actividad"&amp;" · ","")&amp;IF(AND($V298="Sub",N($U298)=0),"Subactividad sin macroactividad arriba"&amp;" · ","")&amp;IF($AM298="","Sin fecha de inicio"&amp;" · ","")&amp;IF($AN298="","Sin fecha límite"&amp;" · ","")&amp;IF(AND(LEFT($C298,11)="[Jefatura] ",N($AL298)=0),"No se encuentra en la hoja de la jefatura (elíjala de nuevo en la lista)"&amp;" · ","")&amp;IF(OR(AND($E298&lt;&gt;"",NOT(ISNUMBER($E298))),AND($F298&lt;&gt;"",NOT(ISNUMBER($F298))),AND($G298&lt;&gt;"",NOT(ISNUMBER($G298)))),"Fecha no válida"&amp;" · ","")&amp;IF(AND(ISNUMBER($AM298),ISNUMBER($AN298),$AM298&gt;$AN298),"Inicio posterior a fecha límite"&amp;" · ","")&amp;IF(AND($V298="Macro",$H298&lt;&gt;"",OR(NOT(ISNUMBER($H298)),$H298&lt;0,$H298&gt;1)),"Peso fuera de rango"&amp;" · ","")&amp;IF(AND($V298="Sub",$H298&lt;&gt;""),"Las subactividades no llevan peso (valen igual dentro de su macroactividad)"&amp;" · ","")&amp;IF(AND(N($W298)&gt;0,COUNT($I298:$L298)&gt;0),"Con subactividades: deje vacías las semanas (se calculan solas)"&amp;" · ","")&amp;IF((COUNTIF($I298:$L298,"&gt;1")+COUNTIF($I298:$L298,"&lt;0")+COUNTA($I298:$L298)-COUNT($I298:$L298))&gt;0,"Avance fuera de rango 0-100%"&amp;" · ","")&amp;IF(OR(AND($J298&lt;&gt;"",$J298&lt;$I298),AND($K298&lt;&gt;"",$K298&lt;MAX($I298:$J298)),AND($L298&lt;&gt;"",$L298&lt;MAX($I298:$K298))),"Avance semanal decreciente"&amp;" · ","")&amp;IF(AND(ISNUMBER($AN298),$AN298&lt;FechaRef,IF($V298="Sub",N($X298),N($M298))&lt;1),"Vencida"&amp;" · ","")&amp;IF(AND(ObsObligatoria="Sí",ISNUMBER($AN298),$AN298&lt;FechaRef,IF($V298="Sub",N($X298),N($M298))&lt;1,$Q298=""),"Vencida sin observación"&amp;" · ",""))-3)))</f>
        <v/>
      </c>
      <c r="S298" s="64">
        <f>IF(NOT((COUNTA($B298:$D298)+COUNTA($G298:$L298)+COUNTA($Q298))&gt;0),"",IF(AND($V298="Sub",N($U298)&gt;0),IF(ISNUMBER(INDEX($AM$5:$AM$1000,$U298-4)),DATE(YEAR(INDEX($AM$5:$AM$1000,$U298-4)),MONTH(INDEX($AM$5:$AM$1000,$U298-4)),1),IF(ISNUMBER(INDEX($AN$5:$AN$1000,$U298-4)),DATE(YEAR(INDEX($AN$5:$AN$1000,$U298-4)),MONTH(INDEX($AN$5:$AN$1000,$U298-4)),1),MesCiclo)),IF(ISNUMBER($AM298),DATE(YEAR($AM298),MONTH($AM298),1),IF(ISNUMBER($AN298),DATE(YEAR($AN298),MONTH($AN298),1),MesCiclo))))</f>
        <v/>
      </c>
      <c r="T298" s="62">
        <f>IF(OR($S298="",$S298&lt;&gt;MesCiclo,$V298&lt;&gt;"Macro"),"",COUNTIFS($S$5:$S298,MesCiclo,$V$5:$V298,"Macro"))</f>
        <v/>
      </c>
      <c r="U298" s="62">
        <f>IF($V298="","",IF($V298="Macro",ROW(),IFERROR(LOOKUP(2,1/($V$5:$V298="Macro"),ROW($V$5:$V298)),0)))</f>
        <v/>
      </c>
      <c r="V298" s="62">
        <f>IF(NOT((COUNTA($B298:$D298)+COUNTA($G298:$L298)+COUNTA($Q298))&gt;0),"",IF($B298="Subactividad","Sub","Macro"))</f>
        <v/>
      </c>
      <c r="W298" s="62">
        <f>IF($V298="Macro",COUNTIFS($U$5:$U$1000,ROW(),$V$5:$V$1000,"Sub"),"")</f>
        <v/>
      </c>
      <c r="X298" s="62">
        <f>IF($V298="","",IF(ISNUMBER($G298),1,IFERROR(LOOKUP(2,1/($I298:$L298&lt;&gt;""),$I298:$L298),0)))</f>
        <v/>
      </c>
      <c r="Y298" s="62">
        <f>IF($V298="","",IF(AND(ISNUMBER($G298),$G298&lt;=IF($S298=MesCiclo,InicioCiclo,$S298+MOD(2-WEEKDAY($S298),7))+6),1,IF(ISNUMBER($I298),$I298,0)))</f>
        <v/>
      </c>
      <c r="Z298" s="62">
        <f>IF($V298="","",IF(AND(ISNUMBER($G298),$G298&lt;=IF($S298=MesCiclo,InicioCiclo,$S298+MOD(2-WEEKDAY($S298),7))+13),1,IF(ISNUMBER($J298),$J298,$Y298)))</f>
        <v/>
      </c>
      <c r="AA298" s="62">
        <f>IF($V298="","",IF(AND(ISNUMBER($G298),$G298&lt;=IF($S298=MesCiclo,InicioCiclo,$S298+MOD(2-WEEKDAY($S298),7))+20),1,IF(ISNUMBER($K298),$K298,$Z298)))</f>
        <v/>
      </c>
      <c r="AB298" s="62">
        <f>IF($V298="","",IF(AND(ISNUMBER($G298),$G298&lt;=IF($S298=MesCiclo,InicioCiclo,$S298+MOD(2-WEEKDAY($S298),7))+27),1,IF(ISNUMBER($L298),$L298,$AA298)))</f>
        <v/>
      </c>
      <c r="AC298" s="62">
        <f>IF($V298="","",IF(AND(ISNUMBER($G298),$G298&lt;=IF($S298=MesCiclo,InicioCiclo,$S298+MOD(2-WEEKDAY($S298),7))+6),1,IF(N($W298)&gt;0,AVERAGEIFS($Y$5:$Y$1000,$U$5:$U$1000,ROW(),$V$5:$V$1000,"Sub"),$Y298)))</f>
        <v/>
      </c>
      <c r="AD298" s="62">
        <f>IF($V298="","",IF(AND(ISNUMBER($G298),$G298&lt;=IF($S298=MesCiclo,InicioCiclo,$S298+MOD(2-WEEKDAY($S298),7))+13),1,IF(N($W298)&gt;0,AVERAGEIFS($Z$5:$Z$1000,$U$5:$U$1000,ROW(),$V$5:$V$1000,"Sub"),$Z298)))</f>
        <v/>
      </c>
      <c r="AE298" s="62">
        <f>IF($V298="","",IF(AND(ISNUMBER($G298),$G298&lt;=IF($S298=MesCiclo,InicioCiclo,$S298+MOD(2-WEEKDAY($S298),7))+20),1,IF(N($W298)&gt;0,AVERAGEIFS($AA$5:$AA$1000,$U$5:$U$1000,ROW(),$V$5:$V$1000,"Sub"),$AA298)))</f>
        <v/>
      </c>
      <c r="AF298" s="62">
        <f>IF($V298="","",IF(AND(ISNUMBER($G298),$G298&lt;=IF($S298=MesCiclo,InicioCiclo,$S298+MOD(2-WEEKDAY($S298),7))+27),1,IF(N($W298)&gt;0,AVERAGEIFS($AB$5:$AB$1000,$U$5:$U$1000,ROW(),$V$5:$V$1000,"Sub"),$AB298)))</f>
        <v/>
      </c>
      <c r="AG298" s="62">
        <f>IF($V298&lt;&gt;"Macro","",IF(COUNTIFS($S$5:$S$1000,$S298,$V$5:$V$1000,"Macro",$H$5:$H$1000,"&gt;0")=0,1/COUNTIFS($S$5:$S$1000,$S298,$V$5:$V$1000,"Macro"),IF(AND(ISNUMBER($H298),N($H298)&gt;0),$H298,SUMIFS($H$5:$H$1000,$S$5:$S$1000,$S298,$V$5:$V$1000,"Macro")/COUNTIFS($S$5:$S$1000,$S298,$V$5:$V$1000,"Macro",$H$5:$H$1000,"&gt;0"))/(COUNTIFS($S$5:$S$1000,$S298,$V$5:$V$1000,"Macro")*SUMIFS($H$5:$H$1000,$S$5:$S$1000,$S298,$V$5:$V$1000,"Macro")/COUNTIFS($S$5:$S$1000,$S298,$V$5:$V$1000,"Macro",$H$5:$H$1000,"&gt;0"))))</f>
        <v/>
      </c>
      <c r="AH298" s="62" t="n"/>
      <c r="AI298" s="62" t="n"/>
      <c r="AJ298" s="62" t="n"/>
      <c r="AK298" s="62" t="n"/>
      <c r="AL298" s="62">
        <f>IF(LEFT($C298,11)="[Jefatura] ",IFERROR(MATCH("Asistente Técnico de Riesgo|"&amp;MID($C298,12,500),rDname_ADM,0),0),"")</f>
        <v/>
      </c>
      <c r="AM298" s="62">
        <f>IF(N($AL298)&gt;0,INDEX(rIni_ADM,$AL298),IF(ISNUMBER($E298),$E298,""))</f>
        <v/>
      </c>
      <c r="AN298" s="62">
        <f>IF(N($AL298)&gt;0,INDEX(rLim_ADM,$AL298),IF(ISNUMBER($F298),$F298,""))</f>
        <v/>
      </c>
    </row>
    <row r="299">
      <c r="A299" s="56">
        <f>IF(NOT((COUNTA($B299:$D299)+COUNTA($G299:$L299)+COUNTA($Q299))&gt;0),"",IF($V299="Macro",COUNTIFS($V$5:$V299,"Macro",$S$5:$S299,$S299),IF(N($U299)=0,"?",COUNTIFS(INDEX($V$5:$V$1000,1):INDEX($V$5:$V$1000,$U299-4),"Macro",INDEX($S$5:$S$1000,1):INDEX($S$5:$S$1000,$U299-4),INDEX($S$5:$S$1000,$U299-4))&amp;"."&amp;COUNTIFS($U$5:$U299,$U299,$V$5:$V299,"Sub"))))</f>
        <v/>
      </c>
      <c r="B299" s="57" t="n"/>
      <c r="C299" s="58" t="n"/>
      <c r="D299" s="58" t="n"/>
      <c r="E299" s="59">
        <f>IF(N($AL299)&gt;0,INDEX(rIni_ADM,$AL299),"")</f>
        <v/>
      </c>
      <c r="F299" s="59">
        <f>IF(N($AL299)&gt;0,INDEX(rLim_ADM,$AL299),"")</f>
        <v/>
      </c>
      <c r="G299" s="59" t="n"/>
      <c r="H299" s="60" t="n"/>
      <c r="I299" s="60" t="n"/>
      <c r="J299" s="60" t="n"/>
      <c r="K299" s="60" t="n"/>
      <c r="L299" s="60" t="n"/>
      <c r="M299" s="61">
        <f>IF(NOT((COUNTA($B299:$D299)+COUNTA($G299:$L299)+COUNTA($Q299))&gt;0),"",IF($V299="Sub",IFERROR($X299/INDEX($W$5:$W$1000,$U299-4),""),IF(ISNUMBER($G299),1,IF(N($W299)&gt;0,AVERAGEIFS($X$5:$X$1000,$U$5:$U$1000,ROW(),$V$5:$V$1000,"Sub"),$X299))))</f>
        <v/>
      </c>
      <c r="N299" s="56">
        <f>IF(OR($M299="",$V299="Sub"),"",IF($M299&gt;=1,"Completado",IF($M299&gt;0,"En curso","Pendiente")))</f>
        <v/>
      </c>
      <c r="O299" s="56">
        <f>IF(OR(NOT((COUNTA($B299:$D299)+COUNTA($G299:$L299)+COUNTA($Q299))&gt;0),$V299="Sub"),"",IF(ISNUMBER($G299),IF(AND(ISNUMBER($AN299),$G299&gt;$AN299),"Cumplida con "&amp;($G299-$AN299)&amp;IF($G299-$AN299=1," día"," días")&amp;" de retraso","Cumplida"),IF(N($M299)&gt;=1,"Cumplida",IF(NOT(ISNUMBER($AN299)),"Sin fecha límite",IF($AN299&lt;FechaRef,"Vencida hace "&amp;(FechaRef-$AN299)&amp;IF(FechaRef-$AN299=1," día"," días"),IF($AN299=FechaRef,"Vence hoy",IF($AN299-FechaRef&lt;=DiasAlerta,"Vence en "&amp;($AN299-FechaRef)&amp;IF($AN299-FechaRef=1," día"," días"),"En plazo")))))))</f>
        <v/>
      </c>
      <c r="P299" s="62" t="n"/>
      <c r="Q299" s="58" t="n"/>
      <c r="R299" s="63">
        <f>IF(NOT((COUNTA($B299:$D299)+COUNTA($G299:$L299)+COUNTA($Q299))&gt;0),"",IF((IF($C299="","Falta el nombre de la actividad"&amp;" · ","")&amp;IF(AND($V299="Sub",N($U299)=0),"Subactividad sin macroactividad arriba"&amp;" · ","")&amp;IF($AM299="","Sin fecha de inicio"&amp;" · ","")&amp;IF($AN299="","Sin fecha límite"&amp;" · ","")&amp;IF(AND(LEFT($C299,11)="[Jefatura] ",N($AL299)=0),"No se encuentra en la hoja de la jefatura (elíjala de nuevo en la lista)"&amp;" · ","")&amp;IF(OR(AND($E299&lt;&gt;"",NOT(ISNUMBER($E299))),AND($F299&lt;&gt;"",NOT(ISNUMBER($F299))),AND($G299&lt;&gt;"",NOT(ISNUMBER($G299)))),"Fecha no válida"&amp;" · ","")&amp;IF(AND(ISNUMBER($AM299),ISNUMBER($AN299),$AM299&gt;$AN299),"Inicio posterior a fecha límite"&amp;" · ","")&amp;IF(AND($V299="Macro",$H299&lt;&gt;"",OR(NOT(ISNUMBER($H299)),$H299&lt;0,$H299&gt;1)),"Peso fuera de rango"&amp;" · ","")&amp;IF(AND($V299="Sub",$H299&lt;&gt;""),"Las subactividades no llevan peso (valen igual dentro de su macroactividad)"&amp;" · ","")&amp;IF(AND(N($W299)&gt;0,COUNT($I299:$L299)&gt;0),"Con subactividades: deje vacías las semanas (se calculan solas)"&amp;" · ","")&amp;IF((COUNTIF($I299:$L299,"&gt;1")+COUNTIF($I299:$L299,"&lt;0")+COUNTA($I299:$L299)-COUNT($I299:$L299))&gt;0,"Avance fuera de rango 0-100%"&amp;" · ","")&amp;IF(OR(AND($J299&lt;&gt;"",$J299&lt;$I299),AND($K299&lt;&gt;"",$K299&lt;MAX($I299:$J299)),AND($L299&lt;&gt;"",$L299&lt;MAX($I299:$K299))),"Avance semanal decreciente"&amp;" · ","")&amp;IF(AND(ISNUMBER($AN299),$AN299&lt;FechaRef,IF($V299="Sub",N($X299),N($M299))&lt;1),"Vencida"&amp;" · ","")&amp;IF(AND(ObsObligatoria="Sí",ISNUMBER($AN299),$AN299&lt;FechaRef,IF($V299="Sub",N($X299),N($M299))&lt;1,$Q299=""),"Vencida sin observación"&amp;" · ",""))="","✔ OK","⚠ "&amp;LEFT(IF($C299="","Falta el nombre de la actividad"&amp;" · ","")&amp;IF(AND($V299="Sub",N($U299)=0),"Subactividad sin macroactividad arriba"&amp;" · ","")&amp;IF($AM299="","Sin fecha de inicio"&amp;" · ","")&amp;IF($AN299="","Sin fecha límite"&amp;" · ","")&amp;IF(AND(LEFT($C299,11)="[Jefatura] ",N($AL299)=0),"No se encuentra en la hoja de la jefatura (elíjala de nuevo en la lista)"&amp;" · ","")&amp;IF(OR(AND($E299&lt;&gt;"",NOT(ISNUMBER($E299))),AND($F299&lt;&gt;"",NOT(ISNUMBER($F299))),AND($G299&lt;&gt;"",NOT(ISNUMBER($G299)))),"Fecha no válida"&amp;" · ","")&amp;IF(AND(ISNUMBER($AM299),ISNUMBER($AN299),$AM299&gt;$AN299),"Inicio posterior a fecha límite"&amp;" · ","")&amp;IF(AND($V299="Macro",$H299&lt;&gt;"",OR(NOT(ISNUMBER($H299)),$H299&lt;0,$H299&gt;1)),"Peso fuera de rango"&amp;" · ","")&amp;IF(AND($V299="Sub",$H299&lt;&gt;""),"Las subactividades no llevan peso (valen igual dentro de su macroactividad)"&amp;" · ","")&amp;IF(AND(N($W299)&gt;0,COUNT($I299:$L299)&gt;0),"Con subactividades: deje vacías las semanas (se calculan solas)"&amp;" · ","")&amp;IF((COUNTIF($I299:$L299,"&gt;1")+COUNTIF($I299:$L299,"&lt;0")+COUNTA($I299:$L299)-COUNT($I299:$L299))&gt;0,"Avance fuera de rango 0-100%"&amp;" · ","")&amp;IF(OR(AND($J299&lt;&gt;"",$J299&lt;$I299),AND($K299&lt;&gt;"",$K299&lt;MAX($I299:$J299)),AND($L299&lt;&gt;"",$L299&lt;MAX($I299:$K299))),"Avance semanal decreciente"&amp;" · ","")&amp;IF(AND(ISNUMBER($AN299),$AN299&lt;FechaRef,IF($V299="Sub",N($X299),N($M299))&lt;1),"Vencida"&amp;" · ","")&amp;IF(AND(ObsObligatoria="Sí",ISNUMBER($AN299),$AN299&lt;FechaRef,IF($V299="Sub",N($X299),N($M299))&lt;1,$Q299=""),"Vencida sin observación"&amp;" · ",""),LEN(IF($C299="","Falta el nombre de la actividad"&amp;" · ","")&amp;IF(AND($V299="Sub",N($U299)=0),"Subactividad sin macroactividad arriba"&amp;" · ","")&amp;IF($AM299="","Sin fecha de inicio"&amp;" · ","")&amp;IF($AN299="","Sin fecha límite"&amp;" · ","")&amp;IF(AND(LEFT($C299,11)="[Jefatura] ",N($AL299)=0),"No se encuentra en la hoja de la jefatura (elíjala de nuevo en la lista)"&amp;" · ","")&amp;IF(OR(AND($E299&lt;&gt;"",NOT(ISNUMBER($E299))),AND($F299&lt;&gt;"",NOT(ISNUMBER($F299))),AND($G299&lt;&gt;"",NOT(ISNUMBER($G299)))),"Fecha no válida"&amp;" · ","")&amp;IF(AND(ISNUMBER($AM299),ISNUMBER($AN299),$AM299&gt;$AN299),"Inicio posterior a fecha límite"&amp;" · ","")&amp;IF(AND($V299="Macro",$H299&lt;&gt;"",OR(NOT(ISNUMBER($H299)),$H299&lt;0,$H299&gt;1)),"Peso fuera de rango"&amp;" · ","")&amp;IF(AND($V299="Sub",$H299&lt;&gt;""),"Las subactividades no llevan peso (valen igual dentro de su macroactividad)"&amp;" · ","")&amp;IF(AND(N($W299)&gt;0,COUNT($I299:$L299)&gt;0),"Con subactividades: deje vacías las semanas (se calculan solas)"&amp;" · ","")&amp;IF((COUNTIF($I299:$L299,"&gt;1")+COUNTIF($I299:$L299,"&lt;0")+COUNTA($I299:$L299)-COUNT($I299:$L299))&gt;0,"Avance fuera de rango 0-100%"&amp;" · ","")&amp;IF(OR(AND($J299&lt;&gt;"",$J299&lt;$I299),AND($K299&lt;&gt;"",$K299&lt;MAX($I299:$J299)),AND($L299&lt;&gt;"",$L299&lt;MAX($I299:$K299))),"Avance semanal decreciente"&amp;" · ","")&amp;IF(AND(ISNUMBER($AN299),$AN299&lt;FechaRef,IF($V299="Sub",N($X299),N($M299))&lt;1),"Vencida"&amp;" · ","")&amp;IF(AND(ObsObligatoria="Sí",ISNUMBER($AN299),$AN299&lt;FechaRef,IF($V299="Sub",N($X299),N($M299))&lt;1,$Q299=""),"Vencida sin observación"&amp;" · ",""))-3)))</f>
        <v/>
      </c>
      <c r="S299" s="64">
        <f>IF(NOT((COUNTA($B299:$D299)+COUNTA($G299:$L299)+COUNTA($Q299))&gt;0),"",IF(AND($V299="Sub",N($U299)&gt;0),IF(ISNUMBER(INDEX($AM$5:$AM$1000,$U299-4)),DATE(YEAR(INDEX($AM$5:$AM$1000,$U299-4)),MONTH(INDEX($AM$5:$AM$1000,$U299-4)),1),IF(ISNUMBER(INDEX($AN$5:$AN$1000,$U299-4)),DATE(YEAR(INDEX($AN$5:$AN$1000,$U299-4)),MONTH(INDEX($AN$5:$AN$1000,$U299-4)),1),MesCiclo)),IF(ISNUMBER($AM299),DATE(YEAR($AM299),MONTH($AM299),1),IF(ISNUMBER($AN299),DATE(YEAR($AN299),MONTH($AN299),1),MesCiclo))))</f>
        <v/>
      </c>
      <c r="T299" s="62">
        <f>IF(OR($S299="",$S299&lt;&gt;MesCiclo,$V299&lt;&gt;"Macro"),"",COUNTIFS($S$5:$S299,MesCiclo,$V$5:$V299,"Macro"))</f>
        <v/>
      </c>
      <c r="U299" s="62">
        <f>IF($V299="","",IF($V299="Macro",ROW(),IFERROR(LOOKUP(2,1/($V$5:$V299="Macro"),ROW($V$5:$V299)),0)))</f>
        <v/>
      </c>
      <c r="V299" s="62">
        <f>IF(NOT((COUNTA($B299:$D299)+COUNTA($G299:$L299)+COUNTA($Q299))&gt;0),"",IF($B299="Subactividad","Sub","Macro"))</f>
        <v/>
      </c>
      <c r="W299" s="62">
        <f>IF($V299="Macro",COUNTIFS($U$5:$U$1000,ROW(),$V$5:$V$1000,"Sub"),"")</f>
        <v/>
      </c>
      <c r="X299" s="62">
        <f>IF($V299="","",IF(ISNUMBER($G299),1,IFERROR(LOOKUP(2,1/($I299:$L299&lt;&gt;""),$I299:$L299),0)))</f>
        <v/>
      </c>
      <c r="Y299" s="62">
        <f>IF($V299="","",IF(AND(ISNUMBER($G299),$G299&lt;=IF($S299=MesCiclo,InicioCiclo,$S299+MOD(2-WEEKDAY($S299),7))+6),1,IF(ISNUMBER($I299),$I299,0)))</f>
        <v/>
      </c>
      <c r="Z299" s="62">
        <f>IF($V299="","",IF(AND(ISNUMBER($G299),$G299&lt;=IF($S299=MesCiclo,InicioCiclo,$S299+MOD(2-WEEKDAY($S299),7))+13),1,IF(ISNUMBER($J299),$J299,$Y299)))</f>
        <v/>
      </c>
      <c r="AA299" s="62">
        <f>IF($V299="","",IF(AND(ISNUMBER($G299),$G299&lt;=IF($S299=MesCiclo,InicioCiclo,$S299+MOD(2-WEEKDAY($S299),7))+20),1,IF(ISNUMBER($K299),$K299,$Z299)))</f>
        <v/>
      </c>
      <c r="AB299" s="62">
        <f>IF($V299="","",IF(AND(ISNUMBER($G299),$G299&lt;=IF($S299=MesCiclo,InicioCiclo,$S299+MOD(2-WEEKDAY($S299),7))+27),1,IF(ISNUMBER($L299),$L299,$AA299)))</f>
        <v/>
      </c>
      <c r="AC299" s="62">
        <f>IF($V299="","",IF(AND(ISNUMBER($G299),$G299&lt;=IF($S299=MesCiclo,InicioCiclo,$S299+MOD(2-WEEKDAY($S299),7))+6),1,IF(N($W299)&gt;0,AVERAGEIFS($Y$5:$Y$1000,$U$5:$U$1000,ROW(),$V$5:$V$1000,"Sub"),$Y299)))</f>
        <v/>
      </c>
      <c r="AD299" s="62">
        <f>IF($V299="","",IF(AND(ISNUMBER($G299),$G299&lt;=IF($S299=MesCiclo,InicioCiclo,$S299+MOD(2-WEEKDAY($S299),7))+13),1,IF(N($W299)&gt;0,AVERAGEIFS($Z$5:$Z$1000,$U$5:$U$1000,ROW(),$V$5:$V$1000,"Sub"),$Z299)))</f>
        <v/>
      </c>
      <c r="AE299" s="62">
        <f>IF($V299="","",IF(AND(ISNUMBER($G299),$G299&lt;=IF($S299=MesCiclo,InicioCiclo,$S299+MOD(2-WEEKDAY($S299),7))+20),1,IF(N($W299)&gt;0,AVERAGEIFS($AA$5:$AA$1000,$U$5:$U$1000,ROW(),$V$5:$V$1000,"Sub"),$AA299)))</f>
        <v/>
      </c>
      <c r="AF299" s="62">
        <f>IF($V299="","",IF(AND(ISNUMBER($G299),$G299&lt;=IF($S299=MesCiclo,InicioCiclo,$S299+MOD(2-WEEKDAY($S299),7))+27),1,IF(N($W299)&gt;0,AVERAGEIFS($AB$5:$AB$1000,$U$5:$U$1000,ROW(),$V$5:$V$1000,"Sub"),$AB299)))</f>
        <v/>
      </c>
      <c r="AG299" s="62">
        <f>IF($V299&lt;&gt;"Macro","",IF(COUNTIFS($S$5:$S$1000,$S299,$V$5:$V$1000,"Macro",$H$5:$H$1000,"&gt;0")=0,1/COUNTIFS($S$5:$S$1000,$S299,$V$5:$V$1000,"Macro"),IF(AND(ISNUMBER($H299),N($H299)&gt;0),$H299,SUMIFS($H$5:$H$1000,$S$5:$S$1000,$S299,$V$5:$V$1000,"Macro")/COUNTIFS($S$5:$S$1000,$S299,$V$5:$V$1000,"Macro",$H$5:$H$1000,"&gt;0"))/(COUNTIFS($S$5:$S$1000,$S299,$V$5:$V$1000,"Macro")*SUMIFS($H$5:$H$1000,$S$5:$S$1000,$S299,$V$5:$V$1000,"Macro")/COUNTIFS($S$5:$S$1000,$S299,$V$5:$V$1000,"Macro",$H$5:$H$1000,"&gt;0"))))</f>
        <v/>
      </c>
      <c r="AH299" s="62" t="n"/>
      <c r="AI299" s="62" t="n"/>
      <c r="AJ299" s="62" t="n"/>
      <c r="AK299" s="62" t="n"/>
      <c r="AL299" s="62">
        <f>IF(LEFT($C299,11)="[Jefatura] ",IFERROR(MATCH("Asistente Técnico de Riesgo|"&amp;MID($C299,12,500),rDname_ADM,0),0),"")</f>
        <v/>
      </c>
      <c r="AM299" s="62">
        <f>IF(N($AL299)&gt;0,INDEX(rIni_ADM,$AL299),IF(ISNUMBER($E299),$E299,""))</f>
        <v/>
      </c>
      <c r="AN299" s="62">
        <f>IF(N($AL299)&gt;0,INDEX(rLim_ADM,$AL299),IF(ISNUMBER($F299),$F299,""))</f>
        <v/>
      </c>
    </row>
    <row r="300">
      <c r="A300" s="56">
        <f>IF(NOT((COUNTA($B300:$D300)+COUNTA($G300:$L300)+COUNTA($Q300))&gt;0),"",IF($V300="Macro",COUNTIFS($V$5:$V300,"Macro",$S$5:$S300,$S300),IF(N($U300)=0,"?",COUNTIFS(INDEX($V$5:$V$1000,1):INDEX($V$5:$V$1000,$U300-4),"Macro",INDEX($S$5:$S$1000,1):INDEX($S$5:$S$1000,$U300-4),INDEX($S$5:$S$1000,$U300-4))&amp;"."&amp;COUNTIFS($U$5:$U300,$U300,$V$5:$V300,"Sub"))))</f>
        <v/>
      </c>
      <c r="B300" s="57" t="n"/>
      <c r="C300" s="58" t="n"/>
      <c r="D300" s="58" t="n"/>
      <c r="E300" s="59">
        <f>IF(N($AL300)&gt;0,INDEX(rIni_ADM,$AL300),"")</f>
        <v/>
      </c>
      <c r="F300" s="59">
        <f>IF(N($AL300)&gt;0,INDEX(rLim_ADM,$AL300),"")</f>
        <v/>
      </c>
      <c r="G300" s="59" t="n"/>
      <c r="H300" s="60" t="n"/>
      <c r="I300" s="60" t="n"/>
      <c r="J300" s="60" t="n"/>
      <c r="K300" s="60" t="n"/>
      <c r="L300" s="60" t="n"/>
      <c r="M300" s="61">
        <f>IF(NOT((COUNTA($B300:$D300)+COUNTA($G300:$L300)+COUNTA($Q300))&gt;0),"",IF($V300="Sub",IFERROR($X300/INDEX($W$5:$W$1000,$U300-4),""),IF(ISNUMBER($G300),1,IF(N($W300)&gt;0,AVERAGEIFS($X$5:$X$1000,$U$5:$U$1000,ROW(),$V$5:$V$1000,"Sub"),$X300))))</f>
        <v/>
      </c>
      <c r="N300" s="56">
        <f>IF(OR($M300="",$V300="Sub"),"",IF($M300&gt;=1,"Completado",IF($M300&gt;0,"En curso","Pendiente")))</f>
        <v/>
      </c>
      <c r="O300" s="56">
        <f>IF(OR(NOT((COUNTA($B300:$D300)+COUNTA($G300:$L300)+COUNTA($Q300))&gt;0),$V300="Sub"),"",IF(ISNUMBER($G300),IF(AND(ISNUMBER($AN300),$G300&gt;$AN300),"Cumplida con "&amp;($G300-$AN300)&amp;IF($G300-$AN300=1," día"," días")&amp;" de retraso","Cumplida"),IF(N($M300)&gt;=1,"Cumplida",IF(NOT(ISNUMBER($AN300)),"Sin fecha límite",IF($AN300&lt;FechaRef,"Vencida hace "&amp;(FechaRef-$AN300)&amp;IF(FechaRef-$AN300=1," día"," días"),IF($AN300=FechaRef,"Vence hoy",IF($AN300-FechaRef&lt;=DiasAlerta,"Vence en "&amp;($AN300-FechaRef)&amp;IF($AN300-FechaRef=1," día"," días"),"En plazo")))))))</f>
        <v/>
      </c>
      <c r="P300" s="62" t="n"/>
      <c r="Q300" s="58" t="n"/>
      <c r="R300" s="63">
        <f>IF(NOT((COUNTA($B300:$D300)+COUNTA($G300:$L300)+COUNTA($Q300))&gt;0),"",IF((IF($C300="","Falta el nombre de la actividad"&amp;" · ","")&amp;IF(AND($V300="Sub",N($U300)=0),"Subactividad sin macroactividad arriba"&amp;" · ","")&amp;IF($AM300="","Sin fecha de inicio"&amp;" · ","")&amp;IF($AN300="","Sin fecha límite"&amp;" · ","")&amp;IF(AND(LEFT($C300,11)="[Jefatura] ",N($AL300)=0),"No se encuentra en la hoja de la jefatura (elíjala de nuevo en la lista)"&amp;" · ","")&amp;IF(OR(AND($E300&lt;&gt;"",NOT(ISNUMBER($E300))),AND($F300&lt;&gt;"",NOT(ISNUMBER($F300))),AND($G300&lt;&gt;"",NOT(ISNUMBER($G300)))),"Fecha no válida"&amp;" · ","")&amp;IF(AND(ISNUMBER($AM300),ISNUMBER($AN300),$AM300&gt;$AN300),"Inicio posterior a fecha límite"&amp;" · ","")&amp;IF(AND($V300="Macro",$H300&lt;&gt;"",OR(NOT(ISNUMBER($H300)),$H300&lt;0,$H300&gt;1)),"Peso fuera de rango"&amp;" · ","")&amp;IF(AND($V300="Sub",$H300&lt;&gt;""),"Las subactividades no llevan peso (valen igual dentro de su macroactividad)"&amp;" · ","")&amp;IF(AND(N($W300)&gt;0,COUNT($I300:$L300)&gt;0),"Con subactividades: deje vacías las semanas (se calculan solas)"&amp;" · ","")&amp;IF((COUNTIF($I300:$L300,"&gt;1")+COUNTIF($I300:$L300,"&lt;0")+COUNTA($I300:$L300)-COUNT($I300:$L300))&gt;0,"Avance fuera de rango 0-100%"&amp;" · ","")&amp;IF(OR(AND($J300&lt;&gt;"",$J300&lt;$I300),AND($K300&lt;&gt;"",$K300&lt;MAX($I300:$J300)),AND($L300&lt;&gt;"",$L300&lt;MAX($I300:$K300))),"Avance semanal decreciente"&amp;" · ","")&amp;IF(AND(ISNUMBER($AN300),$AN300&lt;FechaRef,IF($V300="Sub",N($X300),N($M300))&lt;1),"Vencida"&amp;" · ","")&amp;IF(AND(ObsObligatoria="Sí",ISNUMBER($AN300),$AN300&lt;FechaRef,IF($V300="Sub",N($X300),N($M300))&lt;1,$Q300=""),"Vencida sin observación"&amp;" · ",""))="","✔ OK","⚠ "&amp;LEFT(IF($C300="","Falta el nombre de la actividad"&amp;" · ","")&amp;IF(AND($V300="Sub",N($U300)=0),"Subactividad sin macroactividad arriba"&amp;" · ","")&amp;IF($AM300="","Sin fecha de inicio"&amp;" · ","")&amp;IF($AN300="","Sin fecha límite"&amp;" · ","")&amp;IF(AND(LEFT($C300,11)="[Jefatura] ",N($AL300)=0),"No se encuentra en la hoja de la jefatura (elíjala de nuevo en la lista)"&amp;" · ","")&amp;IF(OR(AND($E300&lt;&gt;"",NOT(ISNUMBER($E300))),AND($F300&lt;&gt;"",NOT(ISNUMBER($F300))),AND($G300&lt;&gt;"",NOT(ISNUMBER($G300)))),"Fecha no válida"&amp;" · ","")&amp;IF(AND(ISNUMBER($AM300),ISNUMBER($AN300),$AM300&gt;$AN300),"Inicio posterior a fecha límite"&amp;" · ","")&amp;IF(AND($V300="Macro",$H300&lt;&gt;"",OR(NOT(ISNUMBER($H300)),$H300&lt;0,$H300&gt;1)),"Peso fuera de rango"&amp;" · ","")&amp;IF(AND($V300="Sub",$H300&lt;&gt;""),"Las subactividades no llevan peso (valen igual dentro de su macroactividad)"&amp;" · ","")&amp;IF(AND(N($W300)&gt;0,COUNT($I300:$L300)&gt;0),"Con subactividades: deje vacías las semanas (se calculan solas)"&amp;" · ","")&amp;IF((COUNTIF($I300:$L300,"&gt;1")+COUNTIF($I300:$L300,"&lt;0")+COUNTA($I300:$L300)-COUNT($I300:$L300))&gt;0,"Avance fuera de rango 0-100%"&amp;" · ","")&amp;IF(OR(AND($J300&lt;&gt;"",$J300&lt;$I300),AND($K300&lt;&gt;"",$K300&lt;MAX($I300:$J300)),AND($L300&lt;&gt;"",$L300&lt;MAX($I300:$K300))),"Avance semanal decreciente"&amp;" · ","")&amp;IF(AND(ISNUMBER($AN300),$AN300&lt;FechaRef,IF($V300="Sub",N($X300),N($M300))&lt;1),"Vencida"&amp;" · ","")&amp;IF(AND(ObsObligatoria="Sí",ISNUMBER($AN300),$AN300&lt;FechaRef,IF($V300="Sub",N($X300),N($M300))&lt;1,$Q300=""),"Vencida sin observación"&amp;" · ",""),LEN(IF($C300="","Falta el nombre de la actividad"&amp;" · ","")&amp;IF(AND($V300="Sub",N($U300)=0),"Subactividad sin macroactividad arriba"&amp;" · ","")&amp;IF($AM300="","Sin fecha de inicio"&amp;" · ","")&amp;IF($AN300="","Sin fecha límite"&amp;" · ","")&amp;IF(AND(LEFT($C300,11)="[Jefatura] ",N($AL300)=0),"No se encuentra en la hoja de la jefatura (elíjala de nuevo en la lista)"&amp;" · ","")&amp;IF(OR(AND($E300&lt;&gt;"",NOT(ISNUMBER($E300))),AND($F300&lt;&gt;"",NOT(ISNUMBER($F300))),AND($G300&lt;&gt;"",NOT(ISNUMBER($G300)))),"Fecha no válida"&amp;" · ","")&amp;IF(AND(ISNUMBER($AM300),ISNUMBER($AN300),$AM300&gt;$AN300),"Inicio posterior a fecha límite"&amp;" · ","")&amp;IF(AND($V300="Macro",$H300&lt;&gt;"",OR(NOT(ISNUMBER($H300)),$H300&lt;0,$H300&gt;1)),"Peso fuera de rango"&amp;" · ","")&amp;IF(AND($V300="Sub",$H300&lt;&gt;""),"Las subactividades no llevan peso (valen igual dentro de su macroactividad)"&amp;" · ","")&amp;IF(AND(N($W300)&gt;0,COUNT($I300:$L300)&gt;0),"Con subactividades: deje vacías las semanas (se calculan solas)"&amp;" · ","")&amp;IF((COUNTIF($I300:$L300,"&gt;1")+COUNTIF($I300:$L300,"&lt;0")+COUNTA($I300:$L300)-COUNT($I300:$L300))&gt;0,"Avance fuera de rango 0-100%"&amp;" · ","")&amp;IF(OR(AND($J300&lt;&gt;"",$J300&lt;$I300),AND($K300&lt;&gt;"",$K300&lt;MAX($I300:$J300)),AND($L300&lt;&gt;"",$L300&lt;MAX($I300:$K300))),"Avance semanal decreciente"&amp;" · ","")&amp;IF(AND(ISNUMBER($AN300),$AN300&lt;FechaRef,IF($V300="Sub",N($X300),N($M300))&lt;1),"Vencida"&amp;" · ","")&amp;IF(AND(ObsObligatoria="Sí",ISNUMBER($AN300),$AN300&lt;FechaRef,IF($V300="Sub",N($X300),N($M300))&lt;1,$Q300=""),"Vencida sin observación"&amp;" · ",""))-3)))</f>
        <v/>
      </c>
      <c r="S300" s="64">
        <f>IF(NOT((COUNTA($B300:$D300)+COUNTA($G300:$L300)+COUNTA($Q300))&gt;0),"",IF(AND($V300="Sub",N($U300)&gt;0),IF(ISNUMBER(INDEX($AM$5:$AM$1000,$U300-4)),DATE(YEAR(INDEX($AM$5:$AM$1000,$U300-4)),MONTH(INDEX($AM$5:$AM$1000,$U300-4)),1),IF(ISNUMBER(INDEX($AN$5:$AN$1000,$U300-4)),DATE(YEAR(INDEX($AN$5:$AN$1000,$U300-4)),MONTH(INDEX($AN$5:$AN$1000,$U300-4)),1),MesCiclo)),IF(ISNUMBER($AM300),DATE(YEAR($AM300),MONTH($AM300),1),IF(ISNUMBER($AN300),DATE(YEAR($AN300),MONTH($AN300),1),MesCiclo))))</f>
        <v/>
      </c>
      <c r="T300" s="62">
        <f>IF(OR($S300="",$S300&lt;&gt;MesCiclo,$V300&lt;&gt;"Macro"),"",COUNTIFS($S$5:$S300,MesCiclo,$V$5:$V300,"Macro"))</f>
        <v/>
      </c>
      <c r="U300" s="62">
        <f>IF($V300="","",IF($V300="Macro",ROW(),IFERROR(LOOKUP(2,1/($V$5:$V300="Macro"),ROW($V$5:$V300)),0)))</f>
        <v/>
      </c>
      <c r="V300" s="62">
        <f>IF(NOT((COUNTA($B300:$D300)+COUNTA($G300:$L300)+COUNTA($Q300))&gt;0),"",IF($B300="Subactividad","Sub","Macro"))</f>
        <v/>
      </c>
      <c r="W300" s="62">
        <f>IF($V300="Macro",COUNTIFS($U$5:$U$1000,ROW(),$V$5:$V$1000,"Sub"),"")</f>
        <v/>
      </c>
      <c r="X300" s="62">
        <f>IF($V300="","",IF(ISNUMBER($G300),1,IFERROR(LOOKUP(2,1/($I300:$L300&lt;&gt;""),$I300:$L300),0)))</f>
        <v/>
      </c>
      <c r="Y300" s="62">
        <f>IF($V300="","",IF(AND(ISNUMBER($G300),$G300&lt;=IF($S300=MesCiclo,InicioCiclo,$S300+MOD(2-WEEKDAY($S300),7))+6),1,IF(ISNUMBER($I300),$I300,0)))</f>
        <v/>
      </c>
      <c r="Z300" s="62">
        <f>IF($V300="","",IF(AND(ISNUMBER($G300),$G300&lt;=IF($S300=MesCiclo,InicioCiclo,$S300+MOD(2-WEEKDAY($S300),7))+13),1,IF(ISNUMBER($J300),$J300,$Y300)))</f>
        <v/>
      </c>
      <c r="AA300" s="62">
        <f>IF($V300="","",IF(AND(ISNUMBER($G300),$G300&lt;=IF($S300=MesCiclo,InicioCiclo,$S300+MOD(2-WEEKDAY($S300),7))+20),1,IF(ISNUMBER($K300),$K300,$Z300)))</f>
        <v/>
      </c>
      <c r="AB300" s="62">
        <f>IF($V300="","",IF(AND(ISNUMBER($G300),$G300&lt;=IF($S300=MesCiclo,InicioCiclo,$S300+MOD(2-WEEKDAY($S300),7))+27),1,IF(ISNUMBER($L300),$L300,$AA300)))</f>
        <v/>
      </c>
      <c r="AC300" s="62">
        <f>IF($V300="","",IF(AND(ISNUMBER($G300),$G300&lt;=IF($S300=MesCiclo,InicioCiclo,$S300+MOD(2-WEEKDAY($S300),7))+6),1,IF(N($W300)&gt;0,AVERAGEIFS($Y$5:$Y$1000,$U$5:$U$1000,ROW(),$V$5:$V$1000,"Sub"),$Y300)))</f>
        <v/>
      </c>
      <c r="AD300" s="62">
        <f>IF($V300="","",IF(AND(ISNUMBER($G300),$G300&lt;=IF($S300=MesCiclo,InicioCiclo,$S300+MOD(2-WEEKDAY($S300),7))+13),1,IF(N($W300)&gt;0,AVERAGEIFS($Z$5:$Z$1000,$U$5:$U$1000,ROW(),$V$5:$V$1000,"Sub"),$Z300)))</f>
        <v/>
      </c>
      <c r="AE300" s="62">
        <f>IF($V300="","",IF(AND(ISNUMBER($G300),$G300&lt;=IF($S300=MesCiclo,InicioCiclo,$S300+MOD(2-WEEKDAY($S300),7))+20),1,IF(N($W300)&gt;0,AVERAGEIFS($AA$5:$AA$1000,$U$5:$U$1000,ROW(),$V$5:$V$1000,"Sub"),$AA300)))</f>
        <v/>
      </c>
      <c r="AF300" s="62">
        <f>IF($V300="","",IF(AND(ISNUMBER($G300),$G300&lt;=IF($S300=MesCiclo,InicioCiclo,$S300+MOD(2-WEEKDAY($S300),7))+27),1,IF(N($W300)&gt;0,AVERAGEIFS($AB$5:$AB$1000,$U$5:$U$1000,ROW(),$V$5:$V$1000,"Sub"),$AB300)))</f>
        <v/>
      </c>
      <c r="AG300" s="62">
        <f>IF($V300&lt;&gt;"Macro","",IF(COUNTIFS($S$5:$S$1000,$S300,$V$5:$V$1000,"Macro",$H$5:$H$1000,"&gt;0")=0,1/COUNTIFS($S$5:$S$1000,$S300,$V$5:$V$1000,"Macro"),IF(AND(ISNUMBER($H300),N($H300)&gt;0),$H300,SUMIFS($H$5:$H$1000,$S$5:$S$1000,$S300,$V$5:$V$1000,"Macro")/COUNTIFS($S$5:$S$1000,$S300,$V$5:$V$1000,"Macro",$H$5:$H$1000,"&gt;0"))/(COUNTIFS($S$5:$S$1000,$S300,$V$5:$V$1000,"Macro")*SUMIFS($H$5:$H$1000,$S$5:$S$1000,$S300,$V$5:$V$1000,"Macro")/COUNTIFS($S$5:$S$1000,$S300,$V$5:$V$1000,"Macro",$H$5:$H$1000,"&gt;0"))))</f>
        <v/>
      </c>
      <c r="AH300" s="62" t="n"/>
      <c r="AI300" s="62" t="n"/>
      <c r="AJ300" s="62" t="n"/>
      <c r="AK300" s="62" t="n"/>
      <c r="AL300" s="62">
        <f>IF(LEFT($C300,11)="[Jefatura] ",IFERROR(MATCH("Asistente Técnico de Riesgo|"&amp;MID($C300,12,500),rDname_ADM,0),0),"")</f>
        <v/>
      </c>
      <c r="AM300" s="62">
        <f>IF(N($AL300)&gt;0,INDEX(rIni_ADM,$AL300),IF(ISNUMBER($E300),$E300,""))</f>
        <v/>
      </c>
      <c r="AN300" s="62">
        <f>IF(N($AL300)&gt;0,INDEX(rLim_ADM,$AL300),IF(ISNUMBER($F300),$F300,""))</f>
        <v/>
      </c>
    </row>
    <row r="301">
      <c r="A301" s="56">
        <f>IF(NOT((COUNTA($B301:$D301)+COUNTA($G301:$L301)+COUNTA($Q301))&gt;0),"",IF($V301="Macro",COUNTIFS($V$5:$V301,"Macro",$S$5:$S301,$S301),IF(N($U301)=0,"?",COUNTIFS(INDEX($V$5:$V$1000,1):INDEX($V$5:$V$1000,$U301-4),"Macro",INDEX($S$5:$S$1000,1):INDEX($S$5:$S$1000,$U301-4),INDEX($S$5:$S$1000,$U301-4))&amp;"."&amp;COUNTIFS($U$5:$U301,$U301,$V$5:$V301,"Sub"))))</f>
        <v/>
      </c>
      <c r="B301" s="57" t="n"/>
      <c r="C301" s="58" t="n"/>
      <c r="D301" s="58" t="n"/>
      <c r="E301" s="59">
        <f>IF(N($AL301)&gt;0,INDEX(rIni_ADM,$AL301),"")</f>
        <v/>
      </c>
      <c r="F301" s="59">
        <f>IF(N($AL301)&gt;0,INDEX(rLim_ADM,$AL301),"")</f>
        <v/>
      </c>
      <c r="G301" s="59" t="n"/>
      <c r="H301" s="60" t="n"/>
      <c r="I301" s="60" t="n"/>
      <c r="J301" s="60" t="n"/>
      <c r="K301" s="60" t="n"/>
      <c r="L301" s="60" t="n"/>
      <c r="M301" s="61">
        <f>IF(NOT((COUNTA($B301:$D301)+COUNTA($G301:$L301)+COUNTA($Q301))&gt;0),"",IF($V301="Sub",IFERROR($X301/INDEX($W$5:$W$1000,$U301-4),""),IF(ISNUMBER($G301),1,IF(N($W301)&gt;0,AVERAGEIFS($X$5:$X$1000,$U$5:$U$1000,ROW(),$V$5:$V$1000,"Sub"),$X301))))</f>
        <v/>
      </c>
      <c r="N301" s="56">
        <f>IF(OR($M301="",$V301="Sub"),"",IF($M301&gt;=1,"Completado",IF($M301&gt;0,"En curso","Pendiente")))</f>
        <v/>
      </c>
      <c r="O301" s="56">
        <f>IF(OR(NOT((COUNTA($B301:$D301)+COUNTA($G301:$L301)+COUNTA($Q301))&gt;0),$V301="Sub"),"",IF(ISNUMBER($G301),IF(AND(ISNUMBER($AN301),$G301&gt;$AN301),"Cumplida con "&amp;($G301-$AN301)&amp;IF($G301-$AN301=1," día"," días")&amp;" de retraso","Cumplida"),IF(N($M301)&gt;=1,"Cumplida",IF(NOT(ISNUMBER($AN301)),"Sin fecha límite",IF($AN301&lt;FechaRef,"Vencida hace "&amp;(FechaRef-$AN301)&amp;IF(FechaRef-$AN301=1," día"," días"),IF($AN301=FechaRef,"Vence hoy",IF($AN301-FechaRef&lt;=DiasAlerta,"Vence en "&amp;($AN301-FechaRef)&amp;IF($AN301-FechaRef=1," día"," días"),"En plazo")))))))</f>
        <v/>
      </c>
      <c r="P301" s="62" t="n"/>
      <c r="Q301" s="58" t="n"/>
      <c r="R301" s="63">
        <f>IF(NOT((COUNTA($B301:$D301)+COUNTA($G301:$L301)+COUNTA($Q301))&gt;0),"",IF((IF($C301="","Falta el nombre de la actividad"&amp;" · ","")&amp;IF(AND($V301="Sub",N($U301)=0),"Subactividad sin macroactividad arriba"&amp;" · ","")&amp;IF($AM301="","Sin fecha de inicio"&amp;" · ","")&amp;IF($AN301="","Sin fecha límite"&amp;" · ","")&amp;IF(AND(LEFT($C301,11)="[Jefatura] ",N($AL301)=0),"No se encuentra en la hoja de la jefatura (elíjala de nuevo en la lista)"&amp;" · ","")&amp;IF(OR(AND($E301&lt;&gt;"",NOT(ISNUMBER($E301))),AND($F301&lt;&gt;"",NOT(ISNUMBER($F301))),AND($G301&lt;&gt;"",NOT(ISNUMBER($G301)))),"Fecha no válida"&amp;" · ","")&amp;IF(AND(ISNUMBER($AM301),ISNUMBER($AN301),$AM301&gt;$AN301),"Inicio posterior a fecha límite"&amp;" · ","")&amp;IF(AND($V301="Macro",$H301&lt;&gt;"",OR(NOT(ISNUMBER($H301)),$H301&lt;0,$H301&gt;1)),"Peso fuera de rango"&amp;" · ","")&amp;IF(AND($V301="Sub",$H301&lt;&gt;""),"Las subactividades no llevan peso (valen igual dentro de su macroactividad)"&amp;" · ","")&amp;IF(AND(N($W301)&gt;0,COUNT($I301:$L301)&gt;0),"Con subactividades: deje vacías las semanas (se calculan solas)"&amp;" · ","")&amp;IF((COUNTIF($I301:$L301,"&gt;1")+COUNTIF($I301:$L301,"&lt;0")+COUNTA($I301:$L301)-COUNT($I301:$L301))&gt;0,"Avance fuera de rango 0-100%"&amp;" · ","")&amp;IF(OR(AND($J301&lt;&gt;"",$J301&lt;$I301),AND($K301&lt;&gt;"",$K301&lt;MAX($I301:$J301)),AND($L301&lt;&gt;"",$L301&lt;MAX($I301:$K301))),"Avance semanal decreciente"&amp;" · ","")&amp;IF(AND(ISNUMBER($AN301),$AN301&lt;FechaRef,IF($V301="Sub",N($X301),N($M301))&lt;1),"Vencida"&amp;" · ","")&amp;IF(AND(ObsObligatoria="Sí",ISNUMBER($AN301),$AN301&lt;FechaRef,IF($V301="Sub",N($X301),N($M301))&lt;1,$Q301=""),"Vencida sin observación"&amp;" · ",""))="","✔ OK","⚠ "&amp;LEFT(IF($C301="","Falta el nombre de la actividad"&amp;" · ","")&amp;IF(AND($V301="Sub",N($U301)=0),"Subactividad sin macroactividad arriba"&amp;" · ","")&amp;IF($AM301="","Sin fecha de inicio"&amp;" · ","")&amp;IF($AN301="","Sin fecha límite"&amp;" · ","")&amp;IF(AND(LEFT($C301,11)="[Jefatura] ",N($AL301)=0),"No se encuentra en la hoja de la jefatura (elíjala de nuevo en la lista)"&amp;" · ","")&amp;IF(OR(AND($E301&lt;&gt;"",NOT(ISNUMBER($E301))),AND($F301&lt;&gt;"",NOT(ISNUMBER($F301))),AND($G301&lt;&gt;"",NOT(ISNUMBER($G301)))),"Fecha no válida"&amp;" · ","")&amp;IF(AND(ISNUMBER($AM301),ISNUMBER($AN301),$AM301&gt;$AN301),"Inicio posterior a fecha límite"&amp;" · ","")&amp;IF(AND($V301="Macro",$H301&lt;&gt;"",OR(NOT(ISNUMBER($H301)),$H301&lt;0,$H301&gt;1)),"Peso fuera de rango"&amp;" · ","")&amp;IF(AND($V301="Sub",$H301&lt;&gt;""),"Las subactividades no llevan peso (valen igual dentro de su macroactividad)"&amp;" · ","")&amp;IF(AND(N($W301)&gt;0,COUNT($I301:$L301)&gt;0),"Con subactividades: deje vacías las semanas (se calculan solas)"&amp;" · ","")&amp;IF((COUNTIF($I301:$L301,"&gt;1")+COUNTIF($I301:$L301,"&lt;0")+COUNTA($I301:$L301)-COUNT($I301:$L301))&gt;0,"Avance fuera de rango 0-100%"&amp;" · ","")&amp;IF(OR(AND($J301&lt;&gt;"",$J301&lt;$I301),AND($K301&lt;&gt;"",$K301&lt;MAX($I301:$J301)),AND($L301&lt;&gt;"",$L301&lt;MAX($I301:$K301))),"Avance semanal decreciente"&amp;" · ","")&amp;IF(AND(ISNUMBER($AN301),$AN301&lt;FechaRef,IF($V301="Sub",N($X301),N($M301))&lt;1),"Vencida"&amp;" · ","")&amp;IF(AND(ObsObligatoria="Sí",ISNUMBER($AN301),$AN301&lt;FechaRef,IF($V301="Sub",N($X301),N($M301))&lt;1,$Q301=""),"Vencida sin observación"&amp;" · ",""),LEN(IF($C301="","Falta el nombre de la actividad"&amp;" · ","")&amp;IF(AND($V301="Sub",N($U301)=0),"Subactividad sin macroactividad arriba"&amp;" · ","")&amp;IF($AM301="","Sin fecha de inicio"&amp;" · ","")&amp;IF($AN301="","Sin fecha límite"&amp;" · ","")&amp;IF(AND(LEFT($C301,11)="[Jefatura] ",N($AL301)=0),"No se encuentra en la hoja de la jefatura (elíjala de nuevo en la lista)"&amp;" · ","")&amp;IF(OR(AND($E301&lt;&gt;"",NOT(ISNUMBER($E301))),AND($F301&lt;&gt;"",NOT(ISNUMBER($F301))),AND($G301&lt;&gt;"",NOT(ISNUMBER($G301)))),"Fecha no válida"&amp;" · ","")&amp;IF(AND(ISNUMBER($AM301),ISNUMBER($AN301),$AM301&gt;$AN301),"Inicio posterior a fecha límite"&amp;" · ","")&amp;IF(AND($V301="Macro",$H301&lt;&gt;"",OR(NOT(ISNUMBER($H301)),$H301&lt;0,$H301&gt;1)),"Peso fuera de rango"&amp;" · ","")&amp;IF(AND($V301="Sub",$H301&lt;&gt;""),"Las subactividades no llevan peso (valen igual dentro de su macroactividad)"&amp;" · ","")&amp;IF(AND(N($W301)&gt;0,COUNT($I301:$L301)&gt;0),"Con subactividades: deje vacías las semanas (se calculan solas)"&amp;" · ","")&amp;IF((COUNTIF($I301:$L301,"&gt;1")+COUNTIF($I301:$L301,"&lt;0")+COUNTA($I301:$L301)-COUNT($I301:$L301))&gt;0,"Avance fuera de rango 0-100%"&amp;" · ","")&amp;IF(OR(AND($J301&lt;&gt;"",$J301&lt;$I301),AND($K301&lt;&gt;"",$K301&lt;MAX($I301:$J301)),AND($L301&lt;&gt;"",$L301&lt;MAX($I301:$K301))),"Avance semanal decreciente"&amp;" · ","")&amp;IF(AND(ISNUMBER($AN301),$AN301&lt;FechaRef,IF($V301="Sub",N($X301),N($M301))&lt;1),"Vencida"&amp;" · ","")&amp;IF(AND(ObsObligatoria="Sí",ISNUMBER($AN301),$AN301&lt;FechaRef,IF($V301="Sub",N($X301),N($M301))&lt;1,$Q301=""),"Vencida sin observación"&amp;" · ",""))-3)))</f>
        <v/>
      </c>
      <c r="S301" s="64">
        <f>IF(NOT((COUNTA($B301:$D301)+COUNTA($G301:$L301)+COUNTA($Q301))&gt;0),"",IF(AND($V301="Sub",N($U301)&gt;0),IF(ISNUMBER(INDEX($AM$5:$AM$1000,$U301-4)),DATE(YEAR(INDEX($AM$5:$AM$1000,$U301-4)),MONTH(INDEX($AM$5:$AM$1000,$U301-4)),1),IF(ISNUMBER(INDEX($AN$5:$AN$1000,$U301-4)),DATE(YEAR(INDEX($AN$5:$AN$1000,$U301-4)),MONTH(INDEX($AN$5:$AN$1000,$U301-4)),1),MesCiclo)),IF(ISNUMBER($AM301),DATE(YEAR($AM301),MONTH($AM301),1),IF(ISNUMBER($AN301),DATE(YEAR($AN301),MONTH($AN301),1),MesCiclo))))</f>
        <v/>
      </c>
      <c r="T301" s="62">
        <f>IF(OR($S301="",$S301&lt;&gt;MesCiclo,$V301&lt;&gt;"Macro"),"",COUNTIFS($S$5:$S301,MesCiclo,$V$5:$V301,"Macro"))</f>
        <v/>
      </c>
      <c r="U301" s="62">
        <f>IF($V301="","",IF($V301="Macro",ROW(),IFERROR(LOOKUP(2,1/($V$5:$V301="Macro"),ROW($V$5:$V301)),0)))</f>
        <v/>
      </c>
      <c r="V301" s="62">
        <f>IF(NOT((COUNTA($B301:$D301)+COUNTA($G301:$L301)+COUNTA($Q301))&gt;0),"",IF($B301="Subactividad","Sub","Macro"))</f>
        <v/>
      </c>
      <c r="W301" s="62">
        <f>IF($V301="Macro",COUNTIFS($U$5:$U$1000,ROW(),$V$5:$V$1000,"Sub"),"")</f>
        <v/>
      </c>
      <c r="X301" s="62">
        <f>IF($V301="","",IF(ISNUMBER($G301),1,IFERROR(LOOKUP(2,1/($I301:$L301&lt;&gt;""),$I301:$L301),0)))</f>
        <v/>
      </c>
      <c r="Y301" s="62">
        <f>IF($V301="","",IF(AND(ISNUMBER($G301),$G301&lt;=IF($S301=MesCiclo,InicioCiclo,$S301+MOD(2-WEEKDAY($S301),7))+6),1,IF(ISNUMBER($I301),$I301,0)))</f>
        <v/>
      </c>
      <c r="Z301" s="62">
        <f>IF($V301="","",IF(AND(ISNUMBER($G301),$G301&lt;=IF($S301=MesCiclo,InicioCiclo,$S301+MOD(2-WEEKDAY($S301),7))+13),1,IF(ISNUMBER($J301),$J301,$Y301)))</f>
        <v/>
      </c>
      <c r="AA301" s="62">
        <f>IF($V301="","",IF(AND(ISNUMBER($G301),$G301&lt;=IF($S301=MesCiclo,InicioCiclo,$S301+MOD(2-WEEKDAY($S301),7))+20),1,IF(ISNUMBER($K301),$K301,$Z301)))</f>
        <v/>
      </c>
      <c r="AB301" s="62">
        <f>IF($V301="","",IF(AND(ISNUMBER($G301),$G301&lt;=IF($S301=MesCiclo,InicioCiclo,$S301+MOD(2-WEEKDAY($S301),7))+27),1,IF(ISNUMBER($L301),$L301,$AA301)))</f>
        <v/>
      </c>
      <c r="AC301" s="62">
        <f>IF($V301="","",IF(AND(ISNUMBER($G301),$G301&lt;=IF($S301=MesCiclo,InicioCiclo,$S301+MOD(2-WEEKDAY($S301),7))+6),1,IF(N($W301)&gt;0,AVERAGEIFS($Y$5:$Y$1000,$U$5:$U$1000,ROW(),$V$5:$V$1000,"Sub"),$Y301)))</f>
        <v/>
      </c>
      <c r="AD301" s="62">
        <f>IF($V301="","",IF(AND(ISNUMBER($G301),$G301&lt;=IF($S301=MesCiclo,InicioCiclo,$S301+MOD(2-WEEKDAY($S301),7))+13),1,IF(N($W301)&gt;0,AVERAGEIFS($Z$5:$Z$1000,$U$5:$U$1000,ROW(),$V$5:$V$1000,"Sub"),$Z301)))</f>
        <v/>
      </c>
      <c r="AE301" s="62">
        <f>IF($V301="","",IF(AND(ISNUMBER($G301),$G301&lt;=IF($S301=MesCiclo,InicioCiclo,$S301+MOD(2-WEEKDAY($S301),7))+20),1,IF(N($W301)&gt;0,AVERAGEIFS($AA$5:$AA$1000,$U$5:$U$1000,ROW(),$V$5:$V$1000,"Sub"),$AA301)))</f>
        <v/>
      </c>
      <c r="AF301" s="62">
        <f>IF($V301="","",IF(AND(ISNUMBER($G301),$G301&lt;=IF($S301=MesCiclo,InicioCiclo,$S301+MOD(2-WEEKDAY($S301),7))+27),1,IF(N($W301)&gt;0,AVERAGEIFS($AB$5:$AB$1000,$U$5:$U$1000,ROW(),$V$5:$V$1000,"Sub"),$AB301)))</f>
        <v/>
      </c>
      <c r="AG301" s="62">
        <f>IF($V301&lt;&gt;"Macro","",IF(COUNTIFS($S$5:$S$1000,$S301,$V$5:$V$1000,"Macro",$H$5:$H$1000,"&gt;0")=0,1/COUNTIFS($S$5:$S$1000,$S301,$V$5:$V$1000,"Macro"),IF(AND(ISNUMBER($H301),N($H301)&gt;0),$H301,SUMIFS($H$5:$H$1000,$S$5:$S$1000,$S301,$V$5:$V$1000,"Macro")/COUNTIFS($S$5:$S$1000,$S301,$V$5:$V$1000,"Macro",$H$5:$H$1000,"&gt;0"))/(COUNTIFS($S$5:$S$1000,$S301,$V$5:$V$1000,"Macro")*SUMIFS($H$5:$H$1000,$S$5:$S$1000,$S301,$V$5:$V$1000,"Macro")/COUNTIFS($S$5:$S$1000,$S301,$V$5:$V$1000,"Macro",$H$5:$H$1000,"&gt;0"))))</f>
        <v/>
      </c>
      <c r="AH301" s="62" t="n"/>
      <c r="AI301" s="62" t="n"/>
      <c r="AJ301" s="62" t="n"/>
      <c r="AK301" s="62" t="n"/>
      <c r="AL301" s="62">
        <f>IF(LEFT($C301,11)="[Jefatura] ",IFERROR(MATCH("Asistente Técnico de Riesgo|"&amp;MID($C301,12,500),rDname_ADM,0),0),"")</f>
        <v/>
      </c>
      <c r="AM301" s="62">
        <f>IF(N($AL301)&gt;0,INDEX(rIni_ADM,$AL301),IF(ISNUMBER($E301),$E301,""))</f>
        <v/>
      </c>
      <c r="AN301" s="62">
        <f>IF(N($AL301)&gt;0,INDEX(rLim_ADM,$AL301),IF(ISNUMBER($F301),$F301,""))</f>
        <v/>
      </c>
    </row>
    <row r="302">
      <c r="A302" s="56">
        <f>IF(NOT((COUNTA($B302:$D302)+COUNTA($G302:$L302)+COUNTA($Q302))&gt;0),"",IF($V302="Macro",COUNTIFS($V$5:$V302,"Macro",$S$5:$S302,$S302),IF(N($U302)=0,"?",COUNTIFS(INDEX($V$5:$V$1000,1):INDEX($V$5:$V$1000,$U302-4),"Macro",INDEX($S$5:$S$1000,1):INDEX($S$5:$S$1000,$U302-4),INDEX($S$5:$S$1000,$U302-4))&amp;"."&amp;COUNTIFS($U$5:$U302,$U302,$V$5:$V302,"Sub"))))</f>
        <v/>
      </c>
      <c r="B302" s="57" t="n"/>
      <c r="C302" s="58" t="n"/>
      <c r="D302" s="58" t="n"/>
      <c r="E302" s="59">
        <f>IF(N($AL302)&gt;0,INDEX(rIni_ADM,$AL302),"")</f>
        <v/>
      </c>
      <c r="F302" s="59">
        <f>IF(N($AL302)&gt;0,INDEX(rLim_ADM,$AL302),"")</f>
        <v/>
      </c>
      <c r="G302" s="59" t="n"/>
      <c r="H302" s="60" t="n"/>
      <c r="I302" s="60" t="n"/>
      <c r="J302" s="60" t="n"/>
      <c r="K302" s="60" t="n"/>
      <c r="L302" s="60" t="n"/>
      <c r="M302" s="61">
        <f>IF(NOT((COUNTA($B302:$D302)+COUNTA($G302:$L302)+COUNTA($Q302))&gt;0),"",IF($V302="Sub",IFERROR($X302/INDEX($W$5:$W$1000,$U302-4),""),IF(ISNUMBER($G302),1,IF(N($W302)&gt;0,AVERAGEIFS($X$5:$X$1000,$U$5:$U$1000,ROW(),$V$5:$V$1000,"Sub"),$X302))))</f>
        <v/>
      </c>
      <c r="N302" s="56">
        <f>IF(OR($M302="",$V302="Sub"),"",IF($M302&gt;=1,"Completado",IF($M302&gt;0,"En curso","Pendiente")))</f>
        <v/>
      </c>
      <c r="O302" s="56">
        <f>IF(OR(NOT((COUNTA($B302:$D302)+COUNTA($G302:$L302)+COUNTA($Q302))&gt;0),$V302="Sub"),"",IF(ISNUMBER($G302),IF(AND(ISNUMBER($AN302),$G302&gt;$AN302),"Cumplida con "&amp;($G302-$AN302)&amp;IF($G302-$AN302=1," día"," días")&amp;" de retraso","Cumplida"),IF(N($M302)&gt;=1,"Cumplida",IF(NOT(ISNUMBER($AN302)),"Sin fecha límite",IF($AN302&lt;FechaRef,"Vencida hace "&amp;(FechaRef-$AN302)&amp;IF(FechaRef-$AN302=1," día"," días"),IF($AN302=FechaRef,"Vence hoy",IF($AN302-FechaRef&lt;=DiasAlerta,"Vence en "&amp;($AN302-FechaRef)&amp;IF($AN302-FechaRef=1," día"," días"),"En plazo")))))))</f>
        <v/>
      </c>
      <c r="P302" s="62" t="n"/>
      <c r="Q302" s="58" t="n"/>
      <c r="R302" s="63">
        <f>IF(NOT((COUNTA($B302:$D302)+COUNTA($G302:$L302)+COUNTA($Q302))&gt;0),"",IF((IF($C302="","Falta el nombre de la actividad"&amp;" · ","")&amp;IF(AND($V302="Sub",N($U302)=0),"Subactividad sin macroactividad arriba"&amp;" · ","")&amp;IF($AM302="","Sin fecha de inicio"&amp;" · ","")&amp;IF($AN302="","Sin fecha límite"&amp;" · ","")&amp;IF(AND(LEFT($C302,11)="[Jefatura] ",N($AL302)=0),"No se encuentra en la hoja de la jefatura (elíjala de nuevo en la lista)"&amp;" · ","")&amp;IF(OR(AND($E302&lt;&gt;"",NOT(ISNUMBER($E302))),AND($F302&lt;&gt;"",NOT(ISNUMBER($F302))),AND($G302&lt;&gt;"",NOT(ISNUMBER($G302)))),"Fecha no válida"&amp;" · ","")&amp;IF(AND(ISNUMBER($AM302),ISNUMBER($AN302),$AM302&gt;$AN302),"Inicio posterior a fecha límite"&amp;" · ","")&amp;IF(AND($V302="Macro",$H302&lt;&gt;"",OR(NOT(ISNUMBER($H302)),$H302&lt;0,$H302&gt;1)),"Peso fuera de rango"&amp;" · ","")&amp;IF(AND($V302="Sub",$H302&lt;&gt;""),"Las subactividades no llevan peso (valen igual dentro de su macroactividad)"&amp;" · ","")&amp;IF(AND(N($W302)&gt;0,COUNT($I302:$L302)&gt;0),"Con subactividades: deje vacías las semanas (se calculan solas)"&amp;" · ","")&amp;IF((COUNTIF($I302:$L302,"&gt;1")+COUNTIF($I302:$L302,"&lt;0")+COUNTA($I302:$L302)-COUNT($I302:$L302))&gt;0,"Avance fuera de rango 0-100%"&amp;" · ","")&amp;IF(OR(AND($J302&lt;&gt;"",$J302&lt;$I302),AND($K302&lt;&gt;"",$K302&lt;MAX($I302:$J302)),AND($L302&lt;&gt;"",$L302&lt;MAX($I302:$K302))),"Avance semanal decreciente"&amp;" · ","")&amp;IF(AND(ISNUMBER($AN302),$AN302&lt;FechaRef,IF($V302="Sub",N($X302),N($M302))&lt;1),"Vencida"&amp;" · ","")&amp;IF(AND(ObsObligatoria="Sí",ISNUMBER($AN302),$AN302&lt;FechaRef,IF($V302="Sub",N($X302),N($M302))&lt;1,$Q302=""),"Vencida sin observación"&amp;" · ",""))="","✔ OK","⚠ "&amp;LEFT(IF($C302="","Falta el nombre de la actividad"&amp;" · ","")&amp;IF(AND($V302="Sub",N($U302)=0),"Subactividad sin macroactividad arriba"&amp;" · ","")&amp;IF($AM302="","Sin fecha de inicio"&amp;" · ","")&amp;IF($AN302="","Sin fecha límite"&amp;" · ","")&amp;IF(AND(LEFT($C302,11)="[Jefatura] ",N($AL302)=0),"No se encuentra en la hoja de la jefatura (elíjala de nuevo en la lista)"&amp;" · ","")&amp;IF(OR(AND($E302&lt;&gt;"",NOT(ISNUMBER($E302))),AND($F302&lt;&gt;"",NOT(ISNUMBER($F302))),AND($G302&lt;&gt;"",NOT(ISNUMBER($G302)))),"Fecha no válida"&amp;" · ","")&amp;IF(AND(ISNUMBER($AM302),ISNUMBER($AN302),$AM302&gt;$AN302),"Inicio posterior a fecha límite"&amp;" · ","")&amp;IF(AND($V302="Macro",$H302&lt;&gt;"",OR(NOT(ISNUMBER($H302)),$H302&lt;0,$H302&gt;1)),"Peso fuera de rango"&amp;" · ","")&amp;IF(AND($V302="Sub",$H302&lt;&gt;""),"Las subactividades no llevan peso (valen igual dentro de su macroactividad)"&amp;" · ","")&amp;IF(AND(N($W302)&gt;0,COUNT($I302:$L302)&gt;0),"Con subactividades: deje vacías las semanas (se calculan solas)"&amp;" · ","")&amp;IF((COUNTIF($I302:$L302,"&gt;1")+COUNTIF($I302:$L302,"&lt;0")+COUNTA($I302:$L302)-COUNT($I302:$L302))&gt;0,"Avance fuera de rango 0-100%"&amp;" · ","")&amp;IF(OR(AND($J302&lt;&gt;"",$J302&lt;$I302),AND($K302&lt;&gt;"",$K302&lt;MAX($I302:$J302)),AND($L302&lt;&gt;"",$L302&lt;MAX($I302:$K302))),"Avance semanal decreciente"&amp;" · ","")&amp;IF(AND(ISNUMBER($AN302),$AN302&lt;FechaRef,IF($V302="Sub",N($X302),N($M302))&lt;1),"Vencida"&amp;" · ","")&amp;IF(AND(ObsObligatoria="Sí",ISNUMBER($AN302),$AN302&lt;FechaRef,IF($V302="Sub",N($X302),N($M302))&lt;1,$Q302=""),"Vencida sin observación"&amp;" · ",""),LEN(IF($C302="","Falta el nombre de la actividad"&amp;" · ","")&amp;IF(AND($V302="Sub",N($U302)=0),"Subactividad sin macroactividad arriba"&amp;" · ","")&amp;IF($AM302="","Sin fecha de inicio"&amp;" · ","")&amp;IF($AN302="","Sin fecha límite"&amp;" · ","")&amp;IF(AND(LEFT($C302,11)="[Jefatura] ",N($AL302)=0),"No se encuentra en la hoja de la jefatura (elíjala de nuevo en la lista)"&amp;" · ","")&amp;IF(OR(AND($E302&lt;&gt;"",NOT(ISNUMBER($E302))),AND($F302&lt;&gt;"",NOT(ISNUMBER($F302))),AND($G302&lt;&gt;"",NOT(ISNUMBER($G302)))),"Fecha no válida"&amp;" · ","")&amp;IF(AND(ISNUMBER($AM302),ISNUMBER($AN302),$AM302&gt;$AN302),"Inicio posterior a fecha límite"&amp;" · ","")&amp;IF(AND($V302="Macro",$H302&lt;&gt;"",OR(NOT(ISNUMBER($H302)),$H302&lt;0,$H302&gt;1)),"Peso fuera de rango"&amp;" · ","")&amp;IF(AND($V302="Sub",$H302&lt;&gt;""),"Las subactividades no llevan peso (valen igual dentro de su macroactividad)"&amp;" · ","")&amp;IF(AND(N($W302)&gt;0,COUNT($I302:$L302)&gt;0),"Con subactividades: deje vacías las semanas (se calculan solas)"&amp;" · ","")&amp;IF((COUNTIF($I302:$L302,"&gt;1")+COUNTIF($I302:$L302,"&lt;0")+COUNTA($I302:$L302)-COUNT($I302:$L302))&gt;0,"Avance fuera de rango 0-100%"&amp;" · ","")&amp;IF(OR(AND($J302&lt;&gt;"",$J302&lt;$I302),AND($K302&lt;&gt;"",$K302&lt;MAX($I302:$J302)),AND($L302&lt;&gt;"",$L302&lt;MAX($I302:$K302))),"Avance semanal decreciente"&amp;" · ","")&amp;IF(AND(ISNUMBER($AN302),$AN302&lt;FechaRef,IF($V302="Sub",N($X302),N($M302))&lt;1),"Vencida"&amp;" · ","")&amp;IF(AND(ObsObligatoria="Sí",ISNUMBER($AN302),$AN302&lt;FechaRef,IF($V302="Sub",N($X302),N($M302))&lt;1,$Q302=""),"Vencida sin observación"&amp;" · ",""))-3)))</f>
        <v/>
      </c>
      <c r="S302" s="64">
        <f>IF(NOT((COUNTA($B302:$D302)+COUNTA($G302:$L302)+COUNTA($Q302))&gt;0),"",IF(AND($V302="Sub",N($U302)&gt;0),IF(ISNUMBER(INDEX($AM$5:$AM$1000,$U302-4)),DATE(YEAR(INDEX($AM$5:$AM$1000,$U302-4)),MONTH(INDEX($AM$5:$AM$1000,$U302-4)),1),IF(ISNUMBER(INDEX($AN$5:$AN$1000,$U302-4)),DATE(YEAR(INDEX($AN$5:$AN$1000,$U302-4)),MONTH(INDEX($AN$5:$AN$1000,$U302-4)),1),MesCiclo)),IF(ISNUMBER($AM302),DATE(YEAR($AM302),MONTH($AM302),1),IF(ISNUMBER($AN302),DATE(YEAR($AN302),MONTH($AN302),1),MesCiclo))))</f>
        <v/>
      </c>
      <c r="T302" s="62">
        <f>IF(OR($S302="",$S302&lt;&gt;MesCiclo,$V302&lt;&gt;"Macro"),"",COUNTIFS($S$5:$S302,MesCiclo,$V$5:$V302,"Macro"))</f>
        <v/>
      </c>
      <c r="U302" s="62">
        <f>IF($V302="","",IF($V302="Macro",ROW(),IFERROR(LOOKUP(2,1/($V$5:$V302="Macro"),ROW($V$5:$V302)),0)))</f>
        <v/>
      </c>
      <c r="V302" s="62">
        <f>IF(NOT((COUNTA($B302:$D302)+COUNTA($G302:$L302)+COUNTA($Q302))&gt;0),"",IF($B302="Subactividad","Sub","Macro"))</f>
        <v/>
      </c>
      <c r="W302" s="62">
        <f>IF($V302="Macro",COUNTIFS($U$5:$U$1000,ROW(),$V$5:$V$1000,"Sub"),"")</f>
        <v/>
      </c>
      <c r="X302" s="62">
        <f>IF($V302="","",IF(ISNUMBER($G302),1,IFERROR(LOOKUP(2,1/($I302:$L302&lt;&gt;""),$I302:$L302),0)))</f>
        <v/>
      </c>
      <c r="Y302" s="62">
        <f>IF($V302="","",IF(AND(ISNUMBER($G302),$G302&lt;=IF($S302=MesCiclo,InicioCiclo,$S302+MOD(2-WEEKDAY($S302),7))+6),1,IF(ISNUMBER($I302),$I302,0)))</f>
        <v/>
      </c>
      <c r="Z302" s="62">
        <f>IF($V302="","",IF(AND(ISNUMBER($G302),$G302&lt;=IF($S302=MesCiclo,InicioCiclo,$S302+MOD(2-WEEKDAY($S302),7))+13),1,IF(ISNUMBER($J302),$J302,$Y302)))</f>
        <v/>
      </c>
      <c r="AA302" s="62">
        <f>IF($V302="","",IF(AND(ISNUMBER($G302),$G302&lt;=IF($S302=MesCiclo,InicioCiclo,$S302+MOD(2-WEEKDAY($S302),7))+20),1,IF(ISNUMBER($K302),$K302,$Z302)))</f>
        <v/>
      </c>
      <c r="AB302" s="62">
        <f>IF($V302="","",IF(AND(ISNUMBER($G302),$G302&lt;=IF($S302=MesCiclo,InicioCiclo,$S302+MOD(2-WEEKDAY($S302),7))+27),1,IF(ISNUMBER($L302),$L302,$AA302)))</f>
        <v/>
      </c>
      <c r="AC302" s="62">
        <f>IF($V302="","",IF(AND(ISNUMBER($G302),$G302&lt;=IF($S302=MesCiclo,InicioCiclo,$S302+MOD(2-WEEKDAY($S302),7))+6),1,IF(N($W302)&gt;0,AVERAGEIFS($Y$5:$Y$1000,$U$5:$U$1000,ROW(),$V$5:$V$1000,"Sub"),$Y302)))</f>
        <v/>
      </c>
      <c r="AD302" s="62">
        <f>IF($V302="","",IF(AND(ISNUMBER($G302),$G302&lt;=IF($S302=MesCiclo,InicioCiclo,$S302+MOD(2-WEEKDAY($S302),7))+13),1,IF(N($W302)&gt;0,AVERAGEIFS($Z$5:$Z$1000,$U$5:$U$1000,ROW(),$V$5:$V$1000,"Sub"),$Z302)))</f>
        <v/>
      </c>
      <c r="AE302" s="62">
        <f>IF($V302="","",IF(AND(ISNUMBER($G302),$G302&lt;=IF($S302=MesCiclo,InicioCiclo,$S302+MOD(2-WEEKDAY($S302),7))+20),1,IF(N($W302)&gt;0,AVERAGEIFS($AA$5:$AA$1000,$U$5:$U$1000,ROW(),$V$5:$V$1000,"Sub"),$AA302)))</f>
        <v/>
      </c>
      <c r="AF302" s="62">
        <f>IF($V302="","",IF(AND(ISNUMBER($G302),$G302&lt;=IF($S302=MesCiclo,InicioCiclo,$S302+MOD(2-WEEKDAY($S302),7))+27),1,IF(N($W302)&gt;0,AVERAGEIFS($AB$5:$AB$1000,$U$5:$U$1000,ROW(),$V$5:$V$1000,"Sub"),$AB302)))</f>
        <v/>
      </c>
      <c r="AG302" s="62">
        <f>IF($V302&lt;&gt;"Macro","",IF(COUNTIFS($S$5:$S$1000,$S302,$V$5:$V$1000,"Macro",$H$5:$H$1000,"&gt;0")=0,1/COUNTIFS($S$5:$S$1000,$S302,$V$5:$V$1000,"Macro"),IF(AND(ISNUMBER($H302),N($H302)&gt;0),$H302,SUMIFS($H$5:$H$1000,$S$5:$S$1000,$S302,$V$5:$V$1000,"Macro")/COUNTIFS($S$5:$S$1000,$S302,$V$5:$V$1000,"Macro",$H$5:$H$1000,"&gt;0"))/(COUNTIFS($S$5:$S$1000,$S302,$V$5:$V$1000,"Macro")*SUMIFS($H$5:$H$1000,$S$5:$S$1000,$S302,$V$5:$V$1000,"Macro")/COUNTIFS($S$5:$S$1000,$S302,$V$5:$V$1000,"Macro",$H$5:$H$1000,"&gt;0"))))</f>
        <v/>
      </c>
      <c r="AH302" s="62" t="n"/>
      <c r="AI302" s="62" t="n"/>
      <c r="AJ302" s="62" t="n"/>
      <c r="AK302" s="62" t="n"/>
      <c r="AL302" s="62">
        <f>IF(LEFT($C302,11)="[Jefatura] ",IFERROR(MATCH("Asistente Técnico de Riesgo|"&amp;MID($C302,12,500),rDname_ADM,0),0),"")</f>
        <v/>
      </c>
      <c r="AM302" s="62">
        <f>IF(N($AL302)&gt;0,INDEX(rIni_ADM,$AL302),IF(ISNUMBER($E302),$E302,""))</f>
        <v/>
      </c>
      <c r="AN302" s="62">
        <f>IF(N($AL302)&gt;0,INDEX(rLim_ADM,$AL302),IF(ISNUMBER($F302),$F302,""))</f>
        <v/>
      </c>
    </row>
    <row r="303">
      <c r="A303" s="56">
        <f>IF(NOT((COUNTA($B303:$D303)+COUNTA($G303:$L303)+COUNTA($Q303))&gt;0),"",IF($V303="Macro",COUNTIFS($V$5:$V303,"Macro",$S$5:$S303,$S303),IF(N($U303)=0,"?",COUNTIFS(INDEX($V$5:$V$1000,1):INDEX($V$5:$V$1000,$U303-4),"Macro",INDEX($S$5:$S$1000,1):INDEX($S$5:$S$1000,$U303-4),INDEX($S$5:$S$1000,$U303-4))&amp;"."&amp;COUNTIFS($U$5:$U303,$U303,$V$5:$V303,"Sub"))))</f>
        <v/>
      </c>
      <c r="B303" s="57" t="n"/>
      <c r="C303" s="58" t="n"/>
      <c r="D303" s="58" t="n"/>
      <c r="E303" s="59">
        <f>IF(N($AL303)&gt;0,INDEX(rIni_ADM,$AL303),"")</f>
        <v/>
      </c>
      <c r="F303" s="59">
        <f>IF(N($AL303)&gt;0,INDEX(rLim_ADM,$AL303),"")</f>
        <v/>
      </c>
      <c r="G303" s="59" t="n"/>
      <c r="H303" s="60" t="n"/>
      <c r="I303" s="60" t="n"/>
      <c r="J303" s="60" t="n"/>
      <c r="K303" s="60" t="n"/>
      <c r="L303" s="60" t="n"/>
      <c r="M303" s="61">
        <f>IF(NOT((COUNTA($B303:$D303)+COUNTA($G303:$L303)+COUNTA($Q303))&gt;0),"",IF($V303="Sub",IFERROR($X303/INDEX($W$5:$W$1000,$U303-4),""),IF(ISNUMBER($G303),1,IF(N($W303)&gt;0,AVERAGEIFS($X$5:$X$1000,$U$5:$U$1000,ROW(),$V$5:$V$1000,"Sub"),$X303))))</f>
        <v/>
      </c>
      <c r="N303" s="56">
        <f>IF(OR($M303="",$V303="Sub"),"",IF($M303&gt;=1,"Completado",IF($M303&gt;0,"En curso","Pendiente")))</f>
        <v/>
      </c>
      <c r="O303" s="56">
        <f>IF(OR(NOT((COUNTA($B303:$D303)+COUNTA($G303:$L303)+COUNTA($Q303))&gt;0),$V303="Sub"),"",IF(ISNUMBER($G303),IF(AND(ISNUMBER($AN303),$G303&gt;$AN303),"Cumplida con "&amp;($G303-$AN303)&amp;IF($G303-$AN303=1," día"," días")&amp;" de retraso","Cumplida"),IF(N($M303)&gt;=1,"Cumplida",IF(NOT(ISNUMBER($AN303)),"Sin fecha límite",IF($AN303&lt;FechaRef,"Vencida hace "&amp;(FechaRef-$AN303)&amp;IF(FechaRef-$AN303=1," día"," días"),IF($AN303=FechaRef,"Vence hoy",IF($AN303-FechaRef&lt;=DiasAlerta,"Vence en "&amp;($AN303-FechaRef)&amp;IF($AN303-FechaRef=1," día"," días"),"En plazo")))))))</f>
        <v/>
      </c>
      <c r="P303" s="62" t="n"/>
      <c r="Q303" s="58" t="n"/>
      <c r="R303" s="63">
        <f>IF(NOT((COUNTA($B303:$D303)+COUNTA($G303:$L303)+COUNTA($Q303))&gt;0),"",IF((IF($C303="","Falta el nombre de la actividad"&amp;" · ","")&amp;IF(AND($V303="Sub",N($U303)=0),"Subactividad sin macroactividad arriba"&amp;" · ","")&amp;IF($AM303="","Sin fecha de inicio"&amp;" · ","")&amp;IF($AN303="","Sin fecha límite"&amp;" · ","")&amp;IF(AND(LEFT($C303,11)="[Jefatura] ",N($AL303)=0),"No se encuentra en la hoja de la jefatura (elíjala de nuevo en la lista)"&amp;" · ","")&amp;IF(OR(AND($E303&lt;&gt;"",NOT(ISNUMBER($E303))),AND($F303&lt;&gt;"",NOT(ISNUMBER($F303))),AND($G303&lt;&gt;"",NOT(ISNUMBER($G303)))),"Fecha no válida"&amp;" · ","")&amp;IF(AND(ISNUMBER($AM303),ISNUMBER($AN303),$AM303&gt;$AN303),"Inicio posterior a fecha límite"&amp;" · ","")&amp;IF(AND($V303="Macro",$H303&lt;&gt;"",OR(NOT(ISNUMBER($H303)),$H303&lt;0,$H303&gt;1)),"Peso fuera de rango"&amp;" · ","")&amp;IF(AND($V303="Sub",$H303&lt;&gt;""),"Las subactividades no llevan peso (valen igual dentro de su macroactividad)"&amp;" · ","")&amp;IF(AND(N($W303)&gt;0,COUNT($I303:$L303)&gt;0),"Con subactividades: deje vacías las semanas (se calculan solas)"&amp;" · ","")&amp;IF((COUNTIF($I303:$L303,"&gt;1")+COUNTIF($I303:$L303,"&lt;0")+COUNTA($I303:$L303)-COUNT($I303:$L303))&gt;0,"Avance fuera de rango 0-100%"&amp;" · ","")&amp;IF(OR(AND($J303&lt;&gt;"",$J303&lt;$I303),AND($K303&lt;&gt;"",$K303&lt;MAX($I303:$J303)),AND($L303&lt;&gt;"",$L303&lt;MAX($I303:$K303))),"Avance semanal decreciente"&amp;" · ","")&amp;IF(AND(ISNUMBER($AN303),$AN303&lt;FechaRef,IF($V303="Sub",N($X303),N($M303))&lt;1),"Vencida"&amp;" · ","")&amp;IF(AND(ObsObligatoria="Sí",ISNUMBER($AN303),$AN303&lt;FechaRef,IF($V303="Sub",N($X303),N($M303))&lt;1,$Q303=""),"Vencida sin observación"&amp;" · ",""))="","✔ OK","⚠ "&amp;LEFT(IF($C303="","Falta el nombre de la actividad"&amp;" · ","")&amp;IF(AND($V303="Sub",N($U303)=0),"Subactividad sin macroactividad arriba"&amp;" · ","")&amp;IF($AM303="","Sin fecha de inicio"&amp;" · ","")&amp;IF($AN303="","Sin fecha límite"&amp;" · ","")&amp;IF(AND(LEFT($C303,11)="[Jefatura] ",N($AL303)=0),"No se encuentra en la hoja de la jefatura (elíjala de nuevo en la lista)"&amp;" · ","")&amp;IF(OR(AND($E303&lt;&gt;"",NOT(ISNUMBER($E303))),AND($F303&lt;&gt;"",NOT(ISNUMBER($F303))),AND($G303&lt;&gt;"",NOT(ISNUMBER($G303)))),"Fecha no válida"&amp;" · ","")&amp;IF(AND(ISNUMBER($AM303),ISNUMBER($AN303),$AM303&gt;$AN303),"Inicio posterior a fecha límite"&amp;" · ","")&amp;IF(AND($V303="Macro",$H303&lt;&gt;"",OR(NOT(ISNUMBER($H303)),$H303&lt;0,$H303&gt;1)),"Peso fuera de rango"&amp;" · ","")&amp;IF(AND($V303="Sub",$H303&lt;&gt;""),"Las subactividades no llevan peso (valen igual dentro de su macroactividad)"&amp;" · ","")&amp;IF(AND(N($W303)&gt;0,COUNT($I303:$L303)&gt;0),"Con subactividades: deje vacías las semanas (se calculan solas)"&amp;" · ","")&amp;IF((COUNTIF($I303:$L303,"&gt;1")+COUNTIF($I303:$L303,"&lt;0")+COUNTA($I303:$L303)-COUNT($I303:$L303))&gt;0,"Avance fuera de rango 0-100%"&amp;" · ","")&amp;IF(OR(AND($J303&lt;&gt;"",$J303&lt;$I303),AND($K303&lt;&gt;"",$K303&lt;MAX($I303:$J303)),AND($L303&lt;&gt;"",$L303&lt;MAX($I303:$K303))),"Avance semanal decreciente"&amp;" · ","")&amp;IF(AND(ISNUMBER($AN303),$AN303&lt;FechaRef,IF($V303="Sub",N($X303),N($M303))&lt;1),"Vencida"&amp;" · ","")&amp;IF(AND(ObsObligatoria="Sí",ISNUMBER($AN303),$AN303&lt;FechaRef,IF($V303="Sub",N($X303),N($M303))&lt;1,$Q303=""),"Vencida sin observación"&amp;" · ",""),LEN(IF($C303="","Falta el nombre de la actividad"&amp;" · ","")&amp;IF(AND($V303="Sub",N($U303)=0),"Subactividad sin macroactividad arriba"&amp;" · ","")&amp;IF($AM303="","Sin fecha de inicio"&amp;" · ","")&amp;IF($AN303="","Sin fecha límite"&amp;" · ","")&amp;IF(AND(LEFT($C303,11)="[Jefatura] ",N($AL303)=0),"No se encuentra en la hoja de la jefatura (elíjala de nuevo en la lista)"&amp;" · ","")&amp;IF(OR(AND($E303&lt;&gt;"",NOT(ISNUMBER($E303))),AND($F303&lt;&gt;"",NOT(ISNUMBER($F303))),AND($G303&lt;&gt;"",NOT(ISNUMBER($G303)))),"Fecha no válida"&amp;" · ","")&amp;IF(AND(ISNUMBER($AM303),ISNUMBER($AN303),$AM303&gt;$AN303),"Inicio posterior a fecha límite"&amp;" · ","")&amp;IF(AND($V303="Macro",$H303&lt;&gt;"",OR(NOT(ISNUMBER($H303)),$H303&lt;0,$H303&gt;1)),"Peso fuera de rango"&amp;" · ","")&amp;IF(AND($V303="Sub",$H303&lt;&gt;""),"Las subactividades no llevan peso (valen igual dentro de su macroactividad)"&amp;" · ","")&amp;IF(AND(N($W303)&gt;0,COUNT($I303:$L303)&gt;0),"Con subactividades: deje vacías las semanas (se calculan solas)"&amp;" · ","")&amp;IF((COUNTIF($I303:$L303,"&gt;1")+COUNTIF($I303:$L303,"&lt;0")+COUNTA($I303:$L303)-COUNT($I303:$L303))&gt;0,"Avance fuera de rango 0-100%"&amp;" · ","")&amp;IF(OR(AND($J303&lt;&gt;"",$J303&lt;$I303),AND($K303&lt;&gt;"",$K303&lt;MAX($I303:$J303)),AND($L303&lt;&gt;"",$L303&lt;MAX($I303:$K303))),"Avance semanal decreciente"&amp;" · ","")&amp;IF(AND(ISNUMBER($AN303),$AN303&lt;FechaRef,IF($V303="Sub",N($X303),N($M303))&lt;1),"Vencida"&amp;" · ","")&amp;IF(AND(ObsObligatoria="Sí",ISNUMBER($AN303),$AN303&lt;FechaRef,IF($V303="Sub",N($X303),N($M303))&lt;1,$Q303=""),"Vencida sin observación"&amp;" · ",""))-3)))</f>
        <v/>
      </c>
      <c r="S303" s="64">
        <f>IF(NOT((COUNTA($B303:$D303)+COUNTA($G303:$L303)+COUNTA($Q303))&gt;0),"",IF(AND($V303="Sub",N($U303)&gt;0),IF(ISNUMBER(INDEX($AM$5:$AM$1000,$U303-4)),DATE(YEAR(INDEX($AM$5:$AM$1000,$U303-4)),MONTH(INDEX($AM$5:$AM$1000,$U303-4)),1),IF(ISNUMBER(INDEX($AN$5:$AN$1000,$U303-4)),DATE(YEAR(INDEX($AN$5:$AN$1000,$U303-4)),MONTH(INDEX($AN$5:$AN$1000,$U303-4)),1),MesCiclo)),IF(ISNUMBER($AM303),DATE(YEAR($AM303),MONTH($AM303),1),IF(ISNUMBER($AN303),DATE(YEAR($AN303),MONTH($AN303),1),MesCiclo))))</f>
        <v/>
      </c>
      <c r="T303" s="62">
        <f>IF(OR($S303="",$S303&lt;&gt;MesCiclo,$V303&lt;&gt;"Macro"),"",COUNTIFS($S$5:$S303,MesCiclo,$V$5:$V303,"Macro"))</f>
        <v/>
      </c>
      <c r="U303" s="62">
        <f>IF($V303="","",IF($V303="Macro",ROW(),IFERROR(LOOKUP(2,1/($V$5:$V303="Macro"),ROW($V$5:$V303)),0)))</f>
        <v/>
      </c>
      <c r="V303" s="62">
        <f>IF(NOT((COUNTA($B303:$D303)+COUNTA($G303:$L303)+COUNTA($Q303))&gt;0),"",IF($B303="Subactividad","Sub","Macro"))</f>
        <v/>
      </c>
      <c r="W303" s="62">
        <f>IF($V303="Macro",COUNTIFS($U$5:$U$1000,ROW(),$V$5:$V$1000,"Sub"),"")</f>
        <v/>
      </c>
      <c r="X303" s="62">
        <f>IF($V303="","",IF(ISNUMBER($G303),1,IFERROR(LOOKUP(2,1/($I303:$L303&lt;&gt;""),$I303:$L303),0)))</f>
        <v/>
      </c>
      <c r="Y303" s="62">
        <f>IF($V303="","",IF(AND(ISNUMBER($G303),$G303&lt;=IF($S303=MesCiclo,InicioCiclo,$S303+MOD(2-WEEKDAY($S303),7))+6),1,IF(ISNUMBER($I303),$I303,0)))</f>
        <v/>
      </c>
      <c r="Z303" s="62">
        <f>IF($V303="","",IF(AND(ISNUMBER($G303),$G303&lt;=IF($S303=MesCiclo,InicioCiclo,$S303+MOD(2-WEEKDAY($S303),7))+13),1,IF(ISNUMBER($J303),$J303,$Y303)))</f>
        <v/>
      </c>
      <c r="AA303" s="62">
        <f>IF($V303="","",IF(AND(ISNUMBER($G303),$G303&lt;=IF($S303=MesCiclo,InicioCiclo,$S303+MOD(2-WEEKDAY($S303),7))+20),1,IF(ISNUMBER($K303),$K303,$Z303)))</f>
        <v/>
      </c>
      <c r="AB303" s="62">
        <f>IF($V303="","",IF(AND(ISNUMBER($G303),$G303&lt;=IF($S303=MesCiclo,InicioCiclo,$S303+MOD(2-WEEKDAY($S303),7))+27),1,IF(ISNUMBER($L303),$L303,$AA303)))</f>
        <v/>
      </c>
      <c r="AC303" s="62">
        <f>IF($V303="","",IF(AND(ISNUMBER($G303),$G303&lt;=IF($S303=MesCiclo,InicioCiclo,$S303+MOD(2-WEEKDAY($S303),7))+6),1,IF(N($W303)&gt;0,AVERAGEIFS($Y$5:$Y$1000,$U$5:$U$1000,ROW(),$V$5:$V$1000,"Sub"),$Y303)))</f>
        <v/>
      </c>
      <c r="AD303" s="62">
        <f>IF($V303="","",IF(AND(ISNUMBER($G303),$G303&lt;=IF($S303=MesCiclo,InicioCiclo,$S303+MOD(2-WEEKDAY($S303),7))+13),1,IF(N($W303)&gt;0,AVERAGEIFS($Z$5:$Z$1000,$U$5:$U$1000,ROW(),$V$5:$V$1000,"Sub"),$Z303)))</f>
        <v/>
      </c>
      <c r="AE303" s="62">
        <f>IF($V303="","",IF(AND(ISNUMBER($G303),$G303&lt;=IF($S303=MesCiclo,InicioCiclo,$S303+MOD(2-WEEKDAY($S303),7))+20),1,IF(N($W303)&gt;0,AVERAGEIFS($AA$5:$AA$1000,$U$5:$U$1000,ROW(),$V$5:$V$1000,"Sub"),$AA303)))</f>
        <v/>
      </c>
      <c r="AF303" s="62">
        <f>IF($V303="","",IF(AND(ISNUMBER($G303),$G303&lt;=IF($S303=MesCiclo,InicioCiclo,$S303+MOD(2-WEEKDAY($S303),7))+27),1,IF(N($W303)&gt;0,AVERAGEIFS($AB$5:$AB$1000,$U$5:$U$1000,ROW(),$V$5:$V$1000,"Sub"),$AB303)))</f>
        <v/>
      </c>
      <c r="AG303" s="62">
        <f>IF($V303&lt;&gt;"Macro","",IF(COUNTIFS($S$5:$S$1000,$S303,$V$5:$V$1000,"Macro",$H$5:$H$1000,"&gt;0")=0,1/COUNTIFS($S$5:$S$1000,$S303,$V$5:$V$1000,"Macro"),IF(AND(ISNUMBER($H303),N($H303)&gt;0),$H303,SUMIFS($H$5:$H$1000,$S$5:$S$1000,$S303,$V$5:$V$1000,"Macro")/COUNTIFS($S$5:$S$1000,$S303,$V$5:$V$1000,"Macro",$H$5:$H$1000,"&gt;0"))/(COUNTIFS($S$5:$S$1000,$S303,$V$5:$V$1000,"Macro")*SUMIFS($H$5:$H$1000,$S$5:$S$1000,$S303,$V$5:$V$1000,"Macro")/COUNTIFS($S$5:$S$1000,$S303,$V$5:$V$1000,"Macro",$H$5:$H$1000,"&gt;0"))))</f>
        <v/>
      </c>
      <c r="AH303" s="62" t="n"/>
      <c r="AI303" s="62" t="n"/>
      <c r="AJ303" s="62" t="n"/>
      <c r="AK303" s="62" t="n"/>
      <c r="AL303" s="62">
        <f>IF(LEFT($C303,11)="[Jefatura] ",IFERROR(MATCH("Asistente Técnico de Riesgo|"&amp;MID($C303,12,500),rDname_ADM,0),0),"")</f>
        <v/>
      </c>
      <c r="AM303" s="62">
        <f>IF(N($AL303)&gt;0,INDEX(rIni_ADM,$AL303),IF(ISNUMBER($E303),$E303,""))</f>
        <v/>
      </c>
      <c r="AN303" s="62">
        <f>IF(N($AL303)&gt;0,INDEX(rLim_ADM,$AL303),IF(ISNUMBER($F303),$F303,""))</f>
        <v/>
      </c>
    </row>
    <row r="304">
      <c r="A304" s="56">
        <f>IF(NOT((COUNTA($B304:$D304)+COUNTA($G304:$L304)+COUNTA($Q304))&gt;0),"",IF($V304="Macro",COUNTIFS($V$5:$V304,"Macro",$S$5:$S304,$S304),IF(N($U304)=0,"?",COUNTIFS(INDEX($V$5:$V$1000,1):INDEX($V$5:$V$1000,$U304-4),"Macro",INDEX($S$5:$S$1000,1):INDEX($S$5:$S$1000,$U304-4),INDEX($S$5:$S$1000,$U304-4))&amp;"."&amp;COUNTIFS($U$5:$U304,$U304,$V$5:$V304,"Sub"))))</f>
        <v/>
      </c>
      <c r="B304" s="57" t="n"/>
      <c r="C304" s="58" t="n"/>
      <c r="D304" s="58" t="n"/>
      <c r="E304" s="59">
        <f>IF(N($AL304)&gt;0,INDEX(rIni_ADM,$AL304),"")</f>
        <v/>
      </c>
      <c r="F304" s="59">
        <f>IF(N($AL304)&gt;0,INDEX(rLim_ADM,$AL304),"")</f>
        <v/>
      </c>
      <c r="G304" s="59" t="n"/>
      <c r="H304" s="60" t="n"/>
      <c r="I304" s="60" t="n"/>
      <c r="J304" s="60" t="n"/>
      <c r="K304" s="60" t="n"/>
      <c r="L304" s="60" t="n"/>
      <c r="M304" s="61">
        <f>IF(NOT((COUNTA($B304:$D304)+COUNTA($G304:$L304)+COUNTA($Q304))&gt;0),"",IF($V304="Sub",IFERROR($X304/INDEX($W$5:$W$1000,$U304-4),""),IF(ISNUMBER($G304),1,IF(N($W304)&gt;0,AVERAGEIFS($X$5:$X$1000,$U$5:$U$1000,ROW(),$V$5:$V$1000,"Sub"),$X304))))</f>
        <v/>
      </c>
      <c r="N304" s="56">
        <f>IF(OR($M304="",$V304="Sub"),"",IF($M304&gt;=1,"Completado",IF($M304&gt;0,"En curso","Pendiente")))</f>
        <v/>
      </c>
      <c r="O304" s="56">
        <f>IF(OR(NOT((COUNTA($B304:$D304)+COUNTA($G304:$L304)+COUNTA($Q304))&gt;0),$V304="Sub"),"",IF(ISNUMBER($G304),IF(AND(ISNUMBER($AN304),$G304&gt;$AN304),"Cumplida con "&amp;($G304-$AN304)&amp;IF($G304-$AN304=1," día"," días")&amp;" de retraso","Cumplida"),IF(N($M304)&gt;=1,"Cumplida",IF(NOT(ISNUMBER($AN304)),"Sin fecha límite",IF($AN304&lt;FechaRef,"Vencida hace "&amp;(FechaRef-$AN304)&amp;IF(FechaRef-$AN304=1," día"," días"),IF($AN304=FechaRef,"Vence hoy",IF($AN304-FechaRef&lt;=DiasAlerta,"Vence en "&amp;($AN304-FechaRef)&amp;IF($AN304-FechaRef=1," día"," días"),"En plazo")))))))</f>
        <v/>
      </c>
      <c r="P304" s="62" t="n"/>
      <c r="Q304" s="58" t="n"/>
      <c r="R304" s="63">
        <f>IF(NOT((COUNTA($B304:$D304)+COUNTA($G304:$L304)+COUNTA($Q304))&gt;0),"",IF((IF($C304="","Falta el nombre de la actividad"&amp;" · ","")&amp;IF(AND($V304="Sub",N($U304)=0),"Subactividad sin macroactividad arriba"&amp;" · ","")&amp;IF($AM304="","Sin fecha de inicio"&amp;" · ","")&amp;IF($AN304="","Sin fecha límite"&amp;" · ","")&amp;IF(AND(LEFT($C304,11)="[Jefatura] ",N($AL304)=0),"No se encuentra en la hoja de la jefatura (elíjala de nuevo en la lista)"&amp;" · ","")&amp;IF(OR(AND($E304&lt;&gt;"",NOT(ISNUMBER($E304))),AND($F304&lt;&gt;"",NOT(ISNUMBER($F304))),AND($G304&lt;&gt;"",NOT(ISNUMBER($G304)))),"Fecha no válida"&amp;" · ","")&amp;IF(AND(ISNUMBER($AM304),ISNUMBER($AN304),$AM304&gt;$AN304),"Inicio posterior a fecha límite"&amp;" · ","")&amp;IF(AND($V304="Macro",$H304&lt;&gt;"",OR(NOT(ISNUMBER($H304)),$H304&lt;0,$H304&gt;1)),"Peso fuera de rango"&amp;" · ","")&amp;IF(AND($V304="Sub",$H304&lt;&gt;""),"Las subactividades no llevan peso (valen igual dentro de su macroactividad)"&amp;" · ","")&amp;IF(AND(N($W304)&gt;0,COUNT($I304:$L304)&gt;0),"Con subactividades: deje vacías las semanas (se calculan solas)"&amp;" · ","")&amp;IF((COUNTIF($I304:$L304,"&gt;1")+COUNTIF($I304:$L304,"&lt;0")+COUNTA($I304:$L304)-COUNT($I304:$L304))&gt;0,"Avance fuera de rango 0-100%"&amp;" · ","")&amp;IF(OR(AND($J304&lt;&gt;"",$J304&lt;$I304),AND($K304&lt;&gt;"",$K304&lt;MAX($I304:$J304)),AND($L304&lt;&gt;"",$L304&lt;MAX($I304:$K304))),"Avance semanal decreciente"&amp;" · ","")&amp;IF(AND(ISNUMBER($AN304),$AN304&lt;FechaRef,IF($V304="Sub",N($X304),N($M304))&lt;1),"Vencida"&amp;" · ","")&amp;IF(AND(ObsObligatoria="Sí",ISNUMBER($AN304),$AN304&lt;FechaRef,IF($V304="Sub",N($X304),N($M304))&lt;1,$Q304=""),"Vencida sin observación"&amp;" · ",""))="","✔ OK","⚠ "&amp;LEFT(IF($C304="","Falta el nombre de la actividad"&amp;" · ","")&amp;IF(AND($V304="Sub",N($U304)=0),"Subactividad sin macroactividad arriba"&amp;" · ","")&amp;IF($AM304="","Sin fecha de inicio"&amp;" · ","")&amp;IF($AN304="","Sin fecha límite"&amp;" · ","")&amp;IF(AND(LEFT($C304,11)="[Jefatura] ",N($AL304)=0),"No se encuentra en la hoja de la jefatura (elíjala de nuevo en la lista)"&amp;" · ","")&amp;IF(OR(AND($E304&lt;&gt;"",NOT(ISNUMBER($E304))),AND($F304&lt;&gt;"",NOT(ISNUMBER($F304))),AND($G304&lt;&gt;"",NOT(ISNUMBER($G304)))),"Fecha no válida"&amp;" · ","")&amp;IF(AND(ISNUMBER($AM304),ISNUMBER($AN304),$AM304&gt;$AN304),"Inicio posterior a fecha límite"&amp;" · ","")&amp;IF(AND($V304="Macro",$H304&lt;&gt;"",OR(NOT(ISNUMBER($H304)),$H304&lt;0,$H304&gt;1)),"Peso fuera de rango"&amp;" · ","")&amp;IF(AND($V304="Sub",$H304&lt;&gt;""),"Las subactividades no llevan peso (valen igual dentro de su macroactividad)"&amp;" · ","")&amp;IF(AND(N($W304)&gt;0,COUNT($I304:$L304)&gt;0),"Con subactividades: deje vacías las semanas (se calculan solas)"&amp;" · ","")&amp;IF((COUNTIF($I304:$L304,"&gt;1")+COUNTIF($I304:$L304,"&lt;0")+COUNTA($I304:$L304)-COUNT($I304:$L304))&gt;0,"Avance fuera de rango 0-100%"&amp;" · ","")&amp;IF(OR(AND($J304&lt;&gt;"",$J304&lt;$I304),AND($K304&lt;&gt;"",$K304&lt;MAX($I304:$J304)),AND($L304&lt;&gt;"",$L304&lt;MAX($I304:$K304))),"Avance semanal decreciente"&amp;" · ","")&amp;IF(AND(ISNUMBER($AN304),$AN304&lt;FechaRef,IF($V304="Sub",N($X304),N($M304))&lt;1),"Vencida"&amp;" · ","")&amp;IF(AND(ObsObligatoria="Sí",ISNUMBER($AN304),$AN304&lt;FechaRef,IF($V304="Sub",N($X304),N($M304))&lt;1,$Q304=""),"Vencida sin observación"&amp;" · ",""),LEN(IF($C304="","Falta el nombre de la actividad"&amp;" · ","")&amp;IF(AND($V304="Sub",N($U304)=0),"Subactividad sin macroactividad arriba"&amp;" · ","")&amp;IF($AM304="","Sin fecha de inicio"&amp;" · ","")&amp;IF($AN304="","Sin fecha límite"&amp;" · ","")&amp;IF(AND(LEFT($C304,11)="[Jefatura] ",N($AL304)=0),"No se encuentra en la hoja de la jefatura (elíjala de nuevo en la lista)"&amp;" · ","")&amp;IF(OR(AND($E304&lt;&gt;"",NOT(ISNUMBER($E304))),AND($F304&lt;&gt;"",NOT(ISNUMBER($F304))),AND($G304&lt;&gt;"",NOT(ISNUMBER($G304)))),"Fecha no válida"&amp;" · ","")&amp;IF(AND(ISNUMBER($AM304),ISNUMBER($AN304),$AM304&gt;$AN304),"Inicio posterior a fecha límite"&amp;" · ","")&amp;IF(AND($V304="Macro",$H304&lt;&gt;"",OR(NOT(ISNUMBER($H304)),$H304&lt;0,$H304&gt;1)),"Peso fuera de rango"&amp;" · ","")&amp;IF(AND($V304="Sub",$H304&lt;&gt;""),"Las subactividades no llevan peso (valen igual dentro de su macroactividad)"&amp;" · ","")&amp;IF(AND(N($W304)&gt;0,COUNT($I304:$L304)&gt;0),"Con subactividades: deje vacías las semanas (se calculan solas)"&amp;" · ","")&amp;IF((COUNTIF($I304:$L304,"&gt;1")+COUNTIF($I304:$L304,"&lt;0")+COUNTA($I304:$L304)-COUNT($I304:$L304))&gt;0,"Avance fuera de rango 0-100%"&amp;" · ","")&amp;IF(OR(AND($J304&lt;&gt;"",$J304&lt;$I304),AND($K304&lt;&gt;"",$K304&lt;MAX($I304:$J304)),AND($L304&lt;&gt;"",$L304&lt;MAX($I304:$K304))),"Avance semanal decreciente"&amp;" · ","")&amp;IF(AND(ISNUMBER($AN304),$AN304&lt;FechaRef,IF($V304="Sub",N($X304),N($M304))&lt;1),"Vencida"&amp;" · ","")&amp;IF(AND(ObsObligatoria="Sí",ISNUMBER($AN304),$AN304&lt;FechaRef,IF($V304="Sub",N($X304),N($M304))&lt;1,$Q304=""),"Vencida sin observación"&amp;" · ",""))-3)))</f>
        <v/>
      </c>
      <c r="S304" s="64">
        <f>IF(NOT((COUNTA($B304:$D304)+COUNTA($G304:$L304)+COUNTA($Q304))&gt;0),"",IF(AND($V304="Sub",N($U304)&gt;0),IF(ISNUMBER(INDEX($AM$5:$AM$1000,$U304-4)),DATE(YEAR(INDEX($AM$5:$AM$1000,$U304-4)),MONTH(INDEX($AM$5:$AM$1000,$U304-4)),1),IF(ISNUMBER(INDEX($AN$5:$AN$1000,$U304-4)),DATE(YEAR(INDEX($AN$5:$AN$1000,$U304-4)),MONTH(INDEX($AN$5:$AN$1000,$U304-4)),1),MesCiclo)),IF(ISNUMBER($AM304),DATE(YEAR($AM304),MONTH($AM304),1),IF(ISNUMBER($AN304),DATE(YEAR($AN304),MONTH($AN304),1),MesCiclo))))</f>
        <v/>
      </c>
      <c r="T304" s="62">
        <f>IF(OR($S304="",$S304&lt;&gt;MesCiclo,$V304&lt;&gt;"Macro"),"",COUNTIFS($S$5:$S304,MesCiclo,$V$5:$V304,"Macro"))</f>
        <v/>
      </c>
      <c r="U304" s="62">
        <f>IF($V304="","",IF($V304="Macro",ROW(),IFERROR(LOOKUP(2,1/($V$5:$V304="Macro"),ROW($V$5:$V304)),0)))</f>
        <v/>
      </c>
      <c r="V304" s="62">
        <f>IF(NOT((COUNTA($B304:$D304)+COUNTA($G304:$L304)+COUNTA($Q304))&gt;0),"",IF($B304="Subactividad","Sub","Macro"))</f>
        <v/>
      </c>
      <c r="W304" s="62">
        <f>IF($V304="Macro",COUNTIFS($U$5:$U$1000,ROW(),$V$5:$V$1000,"Sub"),"")</f>
        <v/>
      </c>
      <c r="X304" s="62">
        <f>IF($V304="","",IF(ISNUMBER($G304),1,IFERROR(LOOKUP(2,1/($I304:$L304&lt;&gt;""),$I304:$L304),0)))</f>
        <v/>
      </c>
      <c r="Y304" s="62">
        <f>IF($V304="","",IF(AND(ISNUMBER($G304),$G304&lt;=IF($S304=MesCiclo,InicioCiclo,$S304+MOD(2-WEEKDAY($S304),7))+6),1,IF(ISNUMBER($I304),$I304,0)))</f>
        <v/>
      </c>
      <c r="Z304" s="62">
        <f>IF($V304="","",IF(AND(ISNUMBER($G304),$G304&lt;=IF($S304=MesCiclo,InicioCiclo,$S304+MOD(2-WEEKDAY($S304),7))+13),1,IF(ISNUMBER($J304),$J304,$Y304)))</f>
        <v/>
      </c>
      <c r="AA304" s="62">
        <f>IF($V304="","",IF(AND(ISNUMBER($G304),$G304&lt;=IF($S304=MesCiclo,InicioCiclo,$S304+MOD(2-WEEKDAY($S304),7))+20),1,IF(ISNUMBER($K304),$K304,$Z304)))</f>
        <v/>
      </c>
      <c r="AB304" s="62">
        <f>IF($V304="","",IF(AND(ISNUMBER($G304),$G304&lt;=IF($S304=MesCiclo,InicioCiclo,$S304+MOD(2-WEEKDAY($S304),7))+27),1,IF(ISNUMBER($L304),$L304,$AA304)))</f>
        <v/>
      </c>
      <c r="AC304" s="62">
        <f>IF($V304="","",IF(AND(ISNUMBER($G304),$G304&lt;=IF($S304=MesCiclo,InicioCiclo,$S304+MOD(2-WEEKDAY($S304),7))+6),1,IF(N($W304)&gt;0,AVERAGEIFS($Y$5:$Y$1000,$U$5:$U$1000,ROW(),$V$5:$V$1000,"Sub"),$Y304)))</f>
        <v/>
      </c>
      <c r="AD304" s="62">
        <f>IF($V304="","",IF(AND(ISNUMBER($G304),$G304&lt;=IF($S304=MesCiclo,InicioCiclo,$S304+MOD(2-WEEKDAY($S304),7))+13),1,IF(N($W304)&gt;0,AVERAGEIFS($Z$5:$Z$1000,$U$5:$U$1000,ROW(),$V$5:$V$1000,"Sub"),$Z304)))</f>
        <v/>
      </c>
      <c r="AE304" s="62">
        <f>IF($V304="","",IF(AND(ISNUMBER($G304),$G304&lt;=IF($S304=MesCiclo,InicioCiclo,$S304+MOD(2-WEEKDAY($S304),7))+20),1,IF(N($W304)&gt;0,AVERAGEIFS($AA$5:$AA$1000,$U$5:$U$1000,ROW(),$V$5:$V$1000,"Sub"),$AA304)))</f>
        <v/>
      </c>
      <c r="AF304" s="62">
        <f>IF($V304="","",IF(AND(ISNUMBER($G304),$G304&lt;=IF($S304=MesCiclo,InicioCiclo,$S304+MOD(2-WEEKDAY($S304),7))+27),1,IF(N($W304)&gt;0,AVERAGEIFS($AB$5:$AB$1000,$U$5:$U$1000,ROW(),$V$5:$V$1000,"Sub"),$AB304)))</f>
        <v/>
      </c>
      <c r="AG304" s="62">
        <f>IF($V304&lt;&gt;"Macro","",IF(COUNTIFS($S$5:$S$1000,$S304,$V$5:$V$1000,"Macro",$H$5:$H$1000,"&gt;0")=0,1/COUNTIFS($S$5:$S$1000,$S304,$V$5:$V$1000,"Macro"),IF(AND(ISNUMBER($H304),N($H304)&gt;0),$H304,SUMIFS($H$5:$H$1000,$S$5:$S$1000,$S304,$V$5:$V$1000,"Macro")/COUNTIFS($S$5:$S$1000,$S304,$V$5:$V$1000,"Macro",$H$5:$H$1000,"&gt;0"))/(COUNTIFS($S$5:$S$1000,$S304,$V$5:$V$1000,"Macro")*SUMIFS($H$5:$H$1000,$S$5:$S$1000,$S304,$V$5:$V$1000,"Macro")/COUNTIFS($S$5:$S$1000,$S304,$V$5:$V$1000,"Macro",$H$5:$H$1000,"&gt;0"))))</f>
        <v/>
      </c>
      <c r="AH304" s="62" t="n"/>
      <c r="AI304" s="62" t="n"/>
      <c r="AJ304" s="62" t="n"/>
      <c r="AK304" s="62" t="n"/>
      <c r="AL304" s="62">
        <f>IF(LEFT($C304,11)="[Jefatura] ",IFERROR(MATCH("Asistente Técnico de Riesgo|"&amp;MID($C304,12,500),rDname_ADM,0),0),"")</f>
        <v/>
      </c>
      <c r="AM304" s="62">
        <f>IF(N($AL304)&gt;0,INDEX(rIni_ADM,$AL304),IF(ISNUMBER($E304),$E304,""))</f>
        <v/>
      </c>
      <c r="AN304" s="62">
        <f>IF(N($AL304)&gt;0,INDEX(rLim_ADM,$AL304),IF(ISNUMBER($F304),$F304,""))</f>
        <v/>
      </c>
    </row>
  </sheetData>
  <sheetProtection selectLockedCells="0" selectUnlockedCells="0" sheet="1" objects="0" insertRows="1" insertHyperlinks="1" autoFilter="0" scenarios="0" formatColumns="0" deleteColumns="1" insertColumns="1" pivotTables="1" deleteRows="1" formatCells="1" formatRows="0" sort="0"/>
  <mergeCells count="6">
    <mergeCell ref="A1:S1"/>
    <mergeCell ref="M3:O3"/>
    <mergeCell ref="E3:J3"/>
    <mergeCell ref="A2:S2"/>
    <mergeCell ref="K3:L3"/>
    <mergeCell ref="Q3:S3"/>
  </mergeCells>
  <conditionalFormatting sqref="M3:O3">
    <cfRule type="expression" priority="1" dxfId="8" stopIfTrue="1">
      <formula>COUNTIFS($S$5:$S$1000,MesCiclo,$O$5:$O$1000,"Vencida*")&gt;0</formula>
    </cfRule>
    <cfRule type="expression" priority="2" dxfId="9" stopIfTrue="1">
      <formula>COUNTIFS($S$5:$S$1000,MesCiclo,$O$5:$O$1000,"Vence*")&gt;0</formula>
    </cfRule>
    <cfRule type="expression" priority="3" dxfId="0">
      <formula>TRUE</formula>
    </cfRule>
  </conditionalFormatting>
  <conditionalFormatting sqref="Q3:S3">
    <cfRule type="expression" priority="4" dxfId="9" stopIfTrue="1">
      <formula>(COUNTIFS('Administración'!$D$5:$D$1000,"Asistente Técnico de Riesgo",'Administración'!$S$5:$S$1000,MesCiclo,'Administración'!$V$5:$V$1000,"Macro")-COUNTIFS('Administración'!$D$5:$D$1000,"Asistente Técnico de Riesgo",'Administración'!$S$5:$S$1000,MesCiclo,'Administración'!$V$5:$V$1000,"Macro",'Administración'!$AH$5:$AH$1000,"&gt;0"))&gt;0</formula>
    </cfRule>
    <cfRule type="expression" priority="5" dxfId="0">
      <formula>COUNTIFS('Administración'!$D$5:$D$1000,"Asistente Técnico de Riesgo",'Administración'!$S$5:$S$1000,MesCiclo,'Administración'!$V$5:$V$1000,"Macro")&gt;0</formula>
    </cfRule>
  </conditionalFormatting>
  <conditionalFormatting sqref="C5:C1000">
    <cfRule type="expression" priority="6" dxfId="10" stopIfTrue="1">
      <formula>LEFT($C5,11)="[Jefatura] "</formula>
    </cfRule>
    <cfRule type="expression" priority="9" dxfId="11">
      <formula>$V5="Sub"</formula>
    </cfRule>
  </conditionalFormatting>
  <conditionalFormatting sqref="A5:C1000">
    <cfRule type="expression" priority="7" dxfId="5" stopIfTrue="1">
      <formula>AND($V5="Macro",$C5="")</formula>
    </cfRule>
    <cfRule type="expression" priority="8" dxfId="25">
      <formula>$V5="Macro"</formula>
    </cfRule>
  </conditionalFormatting>
  <conditionalFormatting sqref="N5:N1000">
    <cfRule type="expression" priority="10" dxfId="0">
      <formula>$N5="Completado"</formula>
    </cfRule>
    <cfRule type="expression" priority="11" dxfId="4">
      <formula>$N5="En curso"</formula>
    </cfRule>
    <cfRule type="expression" priority="12" dxfId="5">
      <formula>$N5="Pendiente"</formula>
    </cfRule>
  </conditionalFormatting>
  <conditionalFormatting sqref="O5:O1000">
    <cfRule type="expression" priority="13" dxfId="8" stopIfTrue="1">
      <formula>LEFT($O5,7)="Vencida"</formula>
    </cfRule>
    <cfRule type="expression" priority="14" dxfId="9" stopIfTrue="1">
      <formula>LEFT($O5,5)="Vence"</formula>
    </cfRule>
    <cfRule type="expression" priority="15" dxfId="0" stopIfTrue="1">
      <formula>LEFT($O5,8)="Cumplida"</formula>
    </cfRule>
    <cfRule type="expression" priority="16" dxfId="13" stopIfTrue="1">
      <formula>$O5="En plazo"</formula>
    </cfRule>
    <cfRule type="expression" priority="17" dxfId="5">
      <formula>$O5="Sin fecha límite"</formula>
    </cfRule>
  </conditionalFormatting>
  <conditionalFormatting sqref="M5:M1000">
    <cfRule type="expression" priority="18" dxfId="14" stopIfTrue="1">
      <formula>$V5="Sub"</formula>
    </cfRule>
    <cfRule type="expression" priority="19" dxfId="0">
      <formula>AND(ISNUMBER($M5),$M5&gt;=1)</formula>
    </cfRule>
    <cfRule type="dataBar" priority="20">
      <dataBar showValue="1">
        <cfvo type="num" val="0"/>
        <cfvo type="num" val="1"/>
        <color rgb="005B9BD5"/>
      </dataBar>
    </cfRule>
  </conditionalFormatting>
  <conditionalFormatting sqref="G5:G1000">
    <cfRule type="expression" priority="21" dxfId="0">
      <formula>ISNUMBER($G5)</formula>
    </cfRule>
  </conditionalFormatting>
  <conditionalFormatting sqref="F5:F1000">
    <cfRule type="expression" priority="22" dxfId="6" stopIfTrue="1">
      <formula>AND(ISNUMBER($AN5),$AN5&lt;FechaRef,IF($V5="Sub",N($X5),N($M5))&lt;1)</formula>
    </cfRule>
    <cfRule type="expression" priority="23" dxfId="7">
      <formula>AND(ISNUMBER($AN5),$AN5&gt;=FechaRef,$AN5-FechaRef&lt;=DiasAlerta,IF($V5="Sub",N($X5),N($M5))&lt;1)</formula>
    </cfRule>
  </conditionalFormatting>
  <conditionalFormatting sqref="E5:F1000">
    <cfRule type="expression" priority="24" dxfId="10" stopIfTrue="1">
      <formula>AND(N($AL5)&gt;0)</formula>
    </cfRule>
    <cfRule type="expression" priority="25" dxfId="5" stopIfTrue="1">
      <formula>AND((COUNTA($B5:$D5)+COUNTA($G5:$L5)+COUNTA($Q5))&gt;0,$AM5="")</formula>
    </cfRule>
    <cfRule type="expression" priority="26" dxfId="6">
      <formula>AND(ISNUMBER($E5),ISNUMBER($F5),$E5&gt;$F5)</formula>
    </cfRule>
  </conditionalFormatting>
  <conditionalFormatting sqref="H5:H1000">
    <cfRule type="expression" priority="27" dxfId="5" stopIfTrue="1">
      <formula>AND($V5="Sub",$H5&lt;&gt;"")</formula>
    </cfRule>
    <cfRule type="expression" priority="28" dxfId="15" stopIfTrue="1">
      <formula>$V5="Sub"</formula>
    </cfRule>
  </conditionalFormatting>
  <conditionalFormatting sqref="I5:L1000">
    <cfRule type="expression" priority="29" dxfId="5" stopIfTrue="1">
      <formula>AND(N($W5)&gt;0,I5&lt;&gt;"")</formula>
    </cfRule>
    <cfRule type="expression" priority="30" dxfId="15" stopIfTrue="1">
      <formula>OR(N($W5)&gt;0,ISNUMBER($G5))</formula>
    </cfRule>
    <cfRule type="expression" priority="31" dxfId="5" stopIfTrue="1">
      <formula>AND(I5&lt;&gt;"",OR(NOT(ISNUMBER(I5)),I5&gt;1,I5&lt;0))</formula>
    </cfRule>
  </conditionalFormatting>
  <conditionalFormatting sqref="J5:L1000">
    <cfRule type="expression" priority="32" dxfId="6">
      <formula>AND(J5&lt;&gt;"",J5&lt;MAX($I5:I5))</formula>
    </cfRule>
  </conditionalFormatting>
  <conditionalFormatting sqref="Q5:Q1000">
    <cfRule type="expression" priority="33" dxfId="5">
      <formula>AND(ObsObligatoria="Sí",ISNUMBER($F5),$F5&lt;FechaRef,IF($V5="Sub",N($X5),N($M5))&lt;1,$Q5="")</formula>
    </cfRule>
  </conditionalFormatting>
  <conditionalFormatting sqref="R5:R1000">
    <cfRule type="expression" priority="34" dxfId="5">
      <formula>LEFT($R5,1)="⚠"</formula>
    </cfRule>
    <cfRule type="expression" priority="35" dxfId="16">
      <formula>LEFT($R5,1)="✔"</formula>
    </cfRule>
  </conditionalFormatting>
  <conditionalFormatting sqref="S5:S1000">
    <cfRule type="expression" priority="36" dxfId="1">
      <formula>AND($S5&lt;&gt;"",$S5=MesCiclo)</formula>
    </cfRule>
  </conditionalFormatting>
  <dataValidations count="6">
    <dataValidation sqref="E5:F1000" showDropDown="0" showInputMessage="1" showErrorMessage="1" allowBlank="1" errorTitle="Fecha no permitida" error="Si la actividad es de la jefatura ([Jefatura]), las fechas las pone la jefatura y no se pueden cambiar. En sus actividades propias escriba una fecha válida (dd/mm/aaaa)." promptTitle="Fechas" prompt="En actividades [Jefatura] las fechas aparecen solas (las pone la jefatura). En las propias, escriba la fecha." type="custom">
      <formula1>AND(LEFT($C5,11)&lt;&gt;"[Jefatura] ",ISNUMBER(E5),E5&gt;36526)</formula1>
    </dataValidation>
    <dataValidation sqref="B5:B1000" showDropDown="0" showInputMessage="1" showErrorMessage="1" allowBlank="1" errorTitle="Tipo no válido" error="Elija Macroactividad o Subactividad." promptTitle="Tipo" prompt="Macroactividad (lleva peso) o Subactividad (va debajo de su macroactividad). Vacío = Macroactividad." type="list">
      <formula1>"Macroactividad,Subactividad"</formula1>
    </dataValidation>
    <dataValidation sqref="G5:G1000" showDropDown="0" showInputMessage="1" showErrorMessage="1" allowBlank="1" errorTitle="Fecha no válida" error="Ingrese una fecha válida (dd/mm/aaaa)." promptTitle="Fecha de cumplimiento" prompt="Escriba la fecha en que se cumplió. La actividad queda al 100% y ya no aparece vencida." type="date" operator="greaterThan">
      <formula1>36526</formula1>
    </dataValidation>
    <dataValidation sqref="H5:H1000" showDropDown="0" showInputMessage="1" showErrorMessage="1" allowBlank="1" errorTitle="Peso no permitido" error="Las subactividades NO llevan peso (su avance se promedia en la macroactividad). En una macroactividad ingrese un porcentaje entre 0% y 100% (por ejemplo 40%)." promptTitle="Peso (solo macroactividades)" prompt="Opcional. Vacío = todas las macroactividades del mes valen igual. Si escribe pesos, se ajustan solos a 100%. Las subactividades no llevan peso." type="custom">
      <formula1>AND(LEFT($B5,3)&lt;&gt;"Sub",ISNUMBER(H5),H5&gt;=0,H5&lt;=1)</formula1>
    </dataValidation>
    <dataValidation sqref="I5:L1000" showDropDown="0" showInputMessage="1" showErrorMessage="1" allowBlank="1" errorTitle="Avance no válido" error="Ingrese un porcentaje entre 0% y 100%. Deje la celda vacía si la semana no ha llegado." promptTitle="Avance parcial (opcional)" prompt="% TOTAL logrado hasta esta semana. Cuando termine, escriba la Fecha de cumplimiento. Si la macroactividad tiene subactividades, déjelo vacío." type="decimal" operator="between">
      <formula1>0</formula1>
      <formula2>1</formula2>
    </dataValidation>
    <dataValidation sqref="C5:C1000" showDropDown="0" showInputMessage="1" showErrorMessage="0" allowBlank="1" promptTitle="Actividad" prompt="Escriba el nombre, o elija en la lista una actividad delegada por la jefatura." type="list">
      <formula1>ListaDeleg_ATR</formula1>
    </dataValidation>
  </dataValidations>
  <pageMargins left="0.4" right="0.4" top="0.5" bottom="0.5" header="0.5" footer="0.5"/>
  <pageSetup orientation="landscape" paperSize="1" fitToHeight="0" fitToWidth="1"/>
  <headerFooter>
    <oddHeader/>
    <oddFooter>&amp;C&amp;A – Página &amp;P de &amp;N</oddFooter>
    <evenHeader/>
    <evenFooter/>
    <firstHeader/>
    <firstFooter/>
  </headerFooter>
  <tableParts count="1">
    <tablePart xmlns:r="http://schemas.openxmlformats.org/officeDocument/2006/relationships" r:id="rId1"/>
  </tableParts>
</worksheet>
</file>

<file path=xl/worksheets/sheet11.xml><?xml version="1.0" encoding="utf-8"?>
<worksheet xmlns="http://schemas.openxmlformats.org/spreadsheetml/2006/main">
  <sheetPr>
    <tabColor rgb="002E75B6"/>
    <outlinePr summaryBelow="1" summaryRight="1"/>
    <pageSetUpPr fitToPage="1"/>
  </sheetPr>
  <dimension ref="A1:Q104"/>
  <sheetViews>
    <sheetView showGridLines="0" zoomScale="90" workbookViewId="0">
      <pane xSplit="2" ySplit="4" topLeftCell="C5" activePane="bottomRight" state="frozen"/>
      <selection pane="topRight"/>
      <selection pane="bottomLeft"/>
      <selection pane="bottomRight" activeCell="A1" sqref="A1"/>
    </sheetView>
  </sheetViews>
  <sheetFormatPr baseColWidth="8" defaultRowHeight="15"/>
  <cols>
    <col width="7" customWidth="1" min="1" max="1"/>
    <col width="50" customWidth="1" min="2" max="2"/>
    <col width="12" customWidth="1" min="3" max="3"/>
    <col width="12" customWidth="1" min="4" max="4"/>
    <col width="16" customWidth="1" min="5" max="5"/>
    <col width="11" customWidth="1" min="6" max="6"/>
    <col width="11" customWidth="1" min="7" max="7"/>
    <col width="11" customWidth="1" min="8" max="8"/>
    <col width="11" customWidth="1" min="9" max="9"/>
    <col width="12" customWidth="1" min="10" max="10"/>
    <col width="13" customWidth="1" min="11" max="11"/>
    <col width="20" customWidth="1" min="12" max="12"/>
    <col width="46" customWidth="1" min="13" max="13"/>
    <col hidden="1" width="13" customWidth="1" min="14" max="14"/>
    <col hidden="1" width="13" customWidth="1" min="15" max="15"/>
    <col hidden="1" width="13" customWidth="1" min="16" max="16"/>
    <col hidden="1" width="13" customWidth="1" min="17" max="17"/>
  </cols>
  <sheetData>
    <row r="1" ht="28" customHeight="1">
      <c r="A1" s="84" t="inlineStr">
        <is>
          <t>Actividades del mes por semana – Asistente Técnico de Riesgo</t>
        </is>
      </c>
      <c r="B1" s="84" t="n"/>
      <c r="C1" s="84" t="n"/>
      <c r="D1" s="84" t="n"/>
      <c r="E1" s="84" t="n"/>
      <c r="F1" s="84" t="n"/>
      <c r="G1" s="84" t="n"/>
      <c r="H1" s="84" t="n"/>
      <c r="I1" s="84" t="n"/>
      <c r="J1" s="84" t="n"/>
      <c r="K1" s="84" t="n"/>
      <c r="L1" s="84" t="n"/>
      <c r="M1" s="84" t="n"/>
    </row>
    <row r="2" ht="34" customHeight="1">
      <c r="A2" s="74" t="inlineStr">
        <is>
          <t>HOJA AUTOMÁTICA Y BLOQUEADA: muestra solo las actividades del mes indicado abajo, tomadas de «Cronograma Asistente Técnico». No hay que escribir nada aquí. Muestra SOLO las macroactividades (sus subactividades se ven en el Cronograma; su avance ya está incluido). La barra de color marca las semanas en que cada actividad está programada y dentro aparece el avance de esa semana. La columna «Alerta de plazo» indica lo vencido y lo que está por vencer.</t>
        </is>
      </c>
      <c r="B2" s="74" t="n"/>
      <c r="C2" s="74" t="n"/>
      <c r="D2" s="74" t="n"/>
      <c r="E2" s="74" t="n"/>
      <c r="F2" s="74" t="n"/>
      <c r="G2" s="74" t="n"/>
      <c r="H2" s="74" t="n"/>
      <c r="I2" s="74" t="n"/>
      <c r="J2" s="74" t="n"/>
      <c r="K2" s="74" t="n"/>
      <c r="L2" s="74" t="n"/>
      <c r="M2" s="74" t="n"/>
    </row>
    <row r="3">
      <c r="A3" s="75" t="inlineStr">
        <is>
          <t>Mes:</t>
        </is>
      </c>
      <c r="B3" s="76">
        <f>MesCiclo</f>
        <v/>
      </c>
      <c r="E3" s="77" t="inlineStr">
        <is>
          <t>Semana del:</t>
        </is>
      </c>
      <c r="F3" s="78">
        <f>(InicioCiclo+0)</f>
        <v/>
      </c>
      <c r="G3" s="78">
        <f>(InicioCiclo+7)</f>
        <v/>
      </c>
      <c r="H3" s="78">
        <f>(InicioCiclo+14)</f>
        <v/>
      </c>
      <c r="I3" s="78">
        <f>(InicioCiclo+21)</f>
        <v/>
      </c>
    </row>
    <row r="4" ht="34" customHeight="1">
      <c r="A4" s="54" t="inlineStr">
        <is>
          <t>N°</t>
        </is>
      </c>
      <c r="B4" s="54" t="inlineStr">
        <is>
          <t>Actividad</t>
        </is>
      </c>
      <c r="C4" s="54" t="inlineStr">
        <is>
          <t>Fecha de inicio</t>
        </is>
      </c>
      <c r="D4" s="54" t="inlineStr">
        <is>
          <t>Fecha límite</t>
        </is>
      </c>
      <c r="E4" s="54" t="inlineStr">
        <is>
          <t>Semana de entrega</t>
        </is>
      </c>
      <c r="F4" s="7" t="inlineStr">
        <is>
          <t>Semana 1</t>
        </is>
      </c>
      <c r="G4" s="7" t="inlineStr">
        <is>
          <t>Semana 2</t>
        </is>
      </c>
      <c r="H4" s="7" t="inlineStr">
        <is>
          <t>Semana 3</t>
        </is>
      </c>
      <c r="I4" s="7" t="inlineStr">
        <is>
          <t>Semana 4</t>
        </is>
      </c>
      <c r="J4" s="54" t="inlineStr">
        <is>
          <t>% Avance actual</t>
        </is>
      </c>
      <c r="K4" s="54" t="inlineStr">
        <is>
          <t>Estado</t>
        </is>
      </c>
      <c r="L4" s="54" t="inlineStr">
        <is>
          <t>Alerta de plazo</t>
        </is>
      </c>
      <c r="M4" s="54" t="inlineStr">
        <is>
          <t>Observaciones</t>
        </is>
      </c>
      <c r="N4" t="inlineStr">
        <is>
          <t>Fila origen (aux)</t>
        </is>
      </c>
      <c r="O4" t="inlineStr">
        <is>
          <t>Tipo (aux)</t>
        </is>
      </c>
      <c r="P4" t="inlineStr">
        <is>
          <t>N subactividades (aux)</t>
        </is>
      </c>
      <c r="Q4" t="inlineStr">
        <is>
          <t>N° alerta de plazo (aux)</t>
        </is>
      </c>
    </row>
    <row r="5">
      <c r="A5" s="56">
        <f>IF($N5="","",INDEX('Cronograma Asistente Técnico'!$A$5:$A$1000,$N5))</f>
        <v/>
      </c>
      <c r="B5" s="62">
        <f>IF($N5="","",IF($O5="Sub","      ↳  "&amp;INDEX('Cronograma Asistente Técnico'!$C$5:$C$1000,$N5),INDEX('Cronograma Asistente Técnico'!$C$5:$C$1000,$N5)&amp;""))</f>
        <v/>
      </c>
      <c r="C5" s="79">
        <f>IF($N5="","",IF(INDEX('Cronograma Asistente Técnico'!$AM$5:$AM$1000,$N5)="","",INDEX('Cronograma Asistente Técnico'!$AM$5:$AM$1000,$N5)))</f>
        <v/>
      </c>
      <c r="D5" s="79">
        <f>IF($N5="","",IF(INDEX('Cronograma Asistente Técnico'!$AN$5:$AN$1000,$N5)="","",INDEX('Cronograma Asistente Técnico'!$AN$5:$AN$1000,$N5)))</f>
        <v/>
      </c>
      <c r="E5" s="56">
        <f>IF($N5="","",IF(NOT(ISNUMBER($D5)),"",IF($D5&lt;InicioCiclo,"Antes del ciclo",IF($D5&gt;=InicioCiclo+28,"Después del ciclo","Semana "&amp;(INT(($D5-InicioCiclo)/7)+1)))))</f>
        <v/>
      </c>
      <c r="F5" s="61">
        <f>IF($N5="","",IF($P5&gt;0,IF(1&lt;=SemanaActual,INDEX('Cronograma Asistente Técnico'!$AC$5:$AC$1000,$N5),""),IF(INDEX('Cronograma Asistente Técnico'!$I$5:$I$1000,$N5)="","",INDEX('Cronograma Asistente Técnico'!$I$5:$I$1000,$N5))))</f>
        <v/>
      </c>
      <c r="G5" s="61">
        <f>IF($N5="","",IF($P5&gt;0,IF(2&lt;=SemanaActual,INDEX('Cronograma Asistente Técnico'!$AD$5:$AD$1000,$N5),""),IF(INDEX('Cronograma Asistente Técnico'!$J$5:$J$1000,$N5)="","",INDEX('Cronograma Asistente Técnico'!$J$5:$J$1000,$N5))))</f>
        <v/>
      </c>
      <c r="H5" s="61">
        <f>IF($N5="","",IF($P5&gt;0,IF(3&lt;=SemanaActual,INDEX('Cronograma Asistente Técnico'!$AE$5:$AE$1000,$N5),""),IF(INDEX('Cronograma Asistente Técnico'!$K$5:$K$1000,$N5)="","",INDEX('Cronograma Asistente Técnico'!$K$5:$K$1000,$N5))))</f>
        <v/>
      </c>
      <c r="I5" s="61">
        <f>IF($N5="","",IF($P5&gt;0,IF(4&lt;=SemanaActual,INDEX('Cronograma Asistente Técnico'!$AF$5:$AF$1000,$N5),""),IF(INDEX('Cronograma Asistente Técnico'!$L$5:$L$1000,$N5)="","",INDEX('Cronograma Asistente Técnico'!$L$5:$L$1000,$N5))))</f>
        <v/>
      </c>
      <c r="J5" s="61">
        <f>IF($N5="","",INDEX('Cronograma Asistente Técnico'!$M$5:$M$1000,$N5))</f>
        <v/>
      </c>
      <c r="K5" s="56">
        <f>IF($N5="","",IF(N($J5)&gt;=1,"Completado",IF(AND(ISNUMBER($D5),$D5&lt;FechaRef),"Vencida",IF(N($J5)&gt;0,"En curso","Pendiente"))))</f>
        <v/>
      </c>
      <c r="L5" s="56">
        <f>IF($N5="","",INDEX('Cronograma Asistente Técnico'!$O$5:$O$1000,$N5)&amp;"")</f>
        <v/>
      </c>
      <c r="M5" s="62">
        <f>IF($N5="","",INDEX('Cronograma Asistente Técnico'!$Q$5:$Q$1000,$N5)&amp;"")</f>
        <v/>
      </c>
      <c r="N5">
        <f>IFERROR(MATCH(ROW()-4,rOrden_ATR,0),"")</f>
        <v/>
      </c>
      <c r="O5">
        <f>IF($N5="","",INDEX('Cronograma Asistente Técnico'!$V$5:$V$1000,$N5))</f>
        <v/>
      </c>
      <c r="P5">
        <f>IF($N5="","",N(INDEX('Cronograma Asistente Técnico'!$W$5:$W$1000,$N5)))</f>
        <v/>
      </c>
      <c r="Q5">
        <f>IF(OR(LEFT($L5,7)="Vencida",LEFT($L5,5)="Vence"),SUMPRODUCT(--(LEFT($L$5:$L5,7)="Vencida"))+SUMPRODUCT(--(LEFT($L$5:$L5,5)="Vence")),"")</f>
        <v/>
      </c>
    </row>
    <row r="6">
      <c r="A6" s="56">
        <f>IF($N6="","",INDEX('Cronograma Asistente Técnico'!$A$5:$A$1000,$N6))</f>
        <v/>
      </c>
      <c r="B6" s="62">
        <f>IF($N6="","",IF($O6="Sub","      ↳  "&amp;INDEX('Cronograma Asistente Técnico'!$C$5:$C$1000,$N6),INDEX('Cronograma Asistente Técnico'!$C$5:$C$1000,$N6)&amp;""))</f>
        <v/>
      </c>
      <c r="C6" s="79">
        <f>IF($N6="","",IF(INDEX('Cronograma Asistente Técnico'!$AM$5:$AM$1000,$N6)="","",INDEX('Cronograma Asistente Técnico'!$AM$5:$AM$1000,$N6)))</f>
        <v/>
      </c>
      <c r="D6" s="79">
        <f>IF($N6="","",IF(INDEX('Cronograma Asistente Técnico'!$AN$5:$AN$1000,$N6)="","",INDEX('Cronograma Asistente Técnico'!$AN$5:$AN$1000,$N6)))</f>
        <v/>
      </c>
      <c r="E6" s="56">
        <f>IF($N6="","",IF(NOT(ISNUMBER($D6)),"",IF($D6&lt;InicioCiclo,"Antes del ciclo",IF($D6&gt;=InicioCiclo+28,"Después del ciclo","Semana "&amp;(INT(($D6-InicioCiclo)/7)+1)))))</f>
        <v/>
      </c>
      <c r="F6" s="61">
        <f>IF($N6="","",IF($P6&gt;0,IF(1&lt;=SemanaActual,INDEX('Cronograma Asistente Técnico'!$AC$5:$AC$1000,$N6),""),IF(INDEX('Cronograma Asistente Técnico'!$I$5:$I$1000,$N6)="","",INDEX('Cronograma Asistente Técnico'!$I$5:$I$1000,$N6))))</f>
        <v/>
      </c>
      <c r="G6" s="61">
        <f>IF($N6="","",IF($P6&gt;0,IF(2&lt;=SemanaActual,INDEX('Cronograma Asistente Técnico'!$AD$5:$AD$1000,$N6),""),IF(INDEX('Cronograma Asistente Técnico'!$J$5:$J$1000,$N6)="","",INDEX('Cronograma Asistente Técnico'!$J$5:$J$1000,$N6))))</f>
        <v/>
      </c>
      <c r="H6" s="61">
        <f>IF($N6="","",IF($P6&gt;0,IF(3&lt;=SemanaActual,INDEX('Cronograma Asistente Técnico'!$AE$5:$AE$1000,$N6),""),IF(INDEX('Cronograma Asistente Técnico'!$K$5:$K$1000,$N6)="","",INDEX('Cronograma Asistente Técnico'!$K$5:$K$1000,$N6))))</f>
        <v/>
      </c>
      <c r="I6" s="61">
        <f>IF($N6="","",IF($P6&gt;0,IF(4&lt;=SemanaActual,INDEX('Cronograma Asistente Técnico'!$AF$5:$AF$1000,$N6),""),IF(INDEX('Cronograma Asistente Técnico'!$L$5:$L$1000,$N6)="","",INDEX('Cronograma Asistente Técnico'!$L$5:$L$1000,$N6))))</f>
        <v/>
      </c>
      <c r="J6" s="61">
        <f>IF($N6="","",INDEX('Cronograma Asistente Técnico'!$M$5:$M$1000,$N6))</f>
        <v/>
      </c>
      <c r="K6" s="56">
        <f>IF($N6="","",IF(N($J6)&gt;=1,"Completado",IF(AND(ISNUMBER($D6),$D6&lt;FechaRef),"Vencida",IF(N($J6)&gt;0,"En curso","Pendiente"))))</f>
        <v/>
      </c>
      <c r="L6" s="56">
        <f>IF($N6="","",INDEX('Cronograma Asistente Técnico'!$O$5:$O$1000,$N6)&amp;"")</f>
        <v/>
      </c>
      <c r="M6" s="62">
        <f>IF($N6="","",INDEX('Cronograma Asistente Técnico'!$Q$5:$Q$1000,$N6)&amp;"")</f>
        <v/>
      </c>
      <c r="N6">
        <f>IFERROR(MATCH(ROW()-4,rOrden_ATR,0),"")</f>
        <v/>
      </c>
      <c r="O6">
        <f>IF($N6="","",INDEX('Cronograma Asistente Técnico'!$V$5:$V$1000,$N6))</f>
        <v/>
      </c>
      <c r="P6">
        <f>IF($N6="","",N(INDEX('Cronograma Asistente Técnico'!$W$5:$W$1000,$N6)))</f>
        <v/>
      </c>
      <c r="Q6">
        <f>IF(OR(LEFT($L6,7)="Vencida",LEFT($L6,5)="Vence"),SUMPRODUCT(--(LEFT($L$5:$L6,7)="Vencida"))+SUMPRODUCT(--(LEFT($L$5:$L6,5)="Vence")),"")</f>
        <v/>
      </c>
    </row>
    <row r="7">
      <c r="A7" s="56">
        <f>IF($N7="","",INDEX('Cronograma Asistente Técnico'!$A$5:$A$1000,$N7))</f>
        <v/>
      </c>
      <c r="B7" s="62">
        <f>IF($N7="","",IF($O7="Sub","      ↳  "&amp;INDEX('Cronograma Asistente Técnico'!$C$5:$C$1000,$N7),INDEX('Cronograma Asistente Técnico'!$C$5:$C$1000,$N7)&amp;""))</f>
        <v/>
      </c>
      <c r="C7" s="79">
        <f>IF($N7="","",IF(INDEX('Cronograma Asistente Técnico'!$AM$5:$AM$1000,$N7)="","",INDEX('Cronograma Asistente Técnico'!$AM$5:$AM$1000,$N7)))</f>
        <v/>
      </c>
      <c r="D7" s="79">
        <f>IF($N7="","",IF(INDEX('Cronograma Asistente Técnico'!$AN$5:$AN$1000,$N7)="","",INDEX('Cronograma Asistente Técnico'!$AN$5:$AN$1000,$N7)))</f>
        <v/>
      </c>
      <c r="E7" s="56">
        <f>IF($N7="","",IF(NOT(ISNUMBER($D7)),"",IF($D7&lt;InicioCiclo,"Antes del ciclo",IF($D7&gt;=InicioCiclo+28,"Después del ciclo","Semana "&amp;(INT(($D7-InicioCiclo)/7)+1)))))</f>
        <v/>
      </c>
      <c r="F7" s="61">
        <f>IF($N7="","",IF($P7&gt;0,IF(1&lt;=SemanaActual,INDEX('Cronograma Asistente Técnico'!$AC$5:$AC$1000,$N7),""),IF(INDEX('Cronograma Asistente Técnico'!$I$5:$I$1000,$N7)="","",INDEX('Cronograma Asistente Técnico'!$I$5:$I$1000,$N7))))</f>
        <v/>
      </c>
      <c r="G7" s="61">
        <f>IF($N7="","",IF($P7&gt;0,IF(2&lt;=SemanaActual,INDEX('Cronograma Asistente Técnico'!$AD$5:$AD$1000,$N7),""),IF(INDEX('Cronograma Asistente Técnico'!$J$5:$J$1000,$N7)="","",INDEX('Cronograma Asistente Técnico'!$J$5:$J$1000,$N7))))</f>
        <v/>
      </c>
      <c r="H7" s="61">
        <f>IF($N7="","",IF($P7&gt;0,IF(3&lt;=SemanaActual,INDEX('Cronograma Asistente Técnico'!$AE$5:$AE$1000,$N7),""),IF(INDEX('Cronograma Asistente Técnico'!$K$5:$K$1000,$N7)="","",INDEX('Cronograma Asistente Técnico'!$K$5:$K$1000,$N7))))</f>
        <v/>
      </c>
      <c r="I7" s="61">
        <f>IF($N7="","",IF($P7&gt;0,IF(4&lt;=SemanaActual,INDEX('Cronograma Asistente Técnico'!$AF$5:$AF$1000,$N7),""),IF(INDEX('Cronograma Asistente Técnico'!$L$5:$L$1000,$N7)="","",INDEX('Cronograma Asistente Técnico'!$L$5:$L$1000,$N7))))</f>
        <v/>
      </c>
      <c r="J7" s="61">
        <f>IF($N7="","",INDEX('Cronograma Asistente Técnico'!$M$5:$M$1000,$N7))</f>
        <v/>
      </c>
      <c r="K7" s="56">
        <f>IF($N7="","",IF(N($J7)&gt;=1,"Completado",IF(AND(ISNUMBER($D7),$D7&lt;FechaRef),"Vencida",IF(N($J7)&gt;0,"En curso","Pendiente"))))</f>
        <v/>
      </c>
      <c r="L7" s="56">
        <f>IF($N7="","",INDEX('Cronograma Asistente Técnico'!$O$5:$O$1000,$N7)&amp;"")</f>
        <v/>
      </c>
      <c r="M7" s="62">
        <f>IF($N7="","",INDEX('Cronograma Asistente Técnico'!$Q$5:$Q$1000,$N7)&amp;"")</f>
        <v/>
      </c>
      <c r="N7">
        <f>IFERROR(MATCH(ROW()-4,rOrden_ATR,0),"")</f>
        <v/>
      </c>
      <c r="O7">
        <f>IF($N7="","",INDEX('Cronograma Asistente Técnico'!$V$5:$V$1000,$N7))</f>
        <v/>
      </c>
      <c r="P7">
        <f>IF($N7="","",N(INDEX('Cronograma Asistente Técnico'!$W$5:$W$1000,$N7)))</f>
        <v/>
      </c>
      <c r="Q7">
        <f>IF(OR(LEFT($L7,7)="Vencida",LEFT($L7,5)="Vence"),SUMPRODUCT(--(LEFT($L$5:$L7,7)="Vencida"))+SUMPRODUCT(--(LEFT($L$5:$L7,5)="Vence")),"")</f>
        <v/>
      </c>
    </row>
    <row r="8">
      <c r="A8" s="56">
        <f>IF($N8="","",INDEX('Cronograma Asistente Técnico'!$A$5:$A$1000,$N8))</f>
        <v/>
      </c>
      <c r="B8" s="62">
        <f>IF($N8="","",IF($O8="Sub","      ↳  "&amp;INDEX('Cronograma Asistente Técnico'!$C$5:$C$1000,$N8),INDEX('Cronograma Asistente Técnico'!$C$5:$C$1000,$N8)&amp;""))</f>
        <v/>
      </c>
      <c r="C8" s="79">
        <f>IF($N8="","",IF(INDEX('Cronograma Asistente Técnico'!$AM$5:$AM$1000,$N8)="","",INDEX('Cronograma Asistente Técnico'!$AM$5:$AM$1000,$N8)))</f>
        <v/>
      </c>
      <c r="D8" s="79">
        <f>IF($N8="","",IF(INDEX('Cronograma Asistente Técnico'!$AN$5:$AN$1000,$N8)="","",INDEX('Cronograma Asistente Técnico'!$AN$5:$AN$1000,$N8)))</f>
        <v/>
      </c>
      <c r="E8" s="56">
        <f>IF($N8="","",IF(NOT(ISNUMBER($D8)),"",IF($D8&lt;InicioCiclo,"Antes del ciclo",IF($D8&gt;=InicioCiclo+28,"Después del ciclo","Semana "&amp;(INT(($D8-InicioCiclo)/7)+1)))))</f>
        <v/>
      </c>
      <c r="F8" s="61">
        <f>IF($N8="","",IF($P8&gt;0,IF(1&lt;=SemanaActual,INDEX('Cronograma Asistente Técnico'!$AC$5:$AC$1000,$N8),""),IF(INDEX('Cronograma Asistente Técnico'!$I$5:$I$1000,$N8)="","",INDEX('Cronograma Asistente Técnico'!$I$5:$I$1000,$N8))))</f>
        <v/>
      </c>
      <c r="G8" s="61">
        <f>IF($N8="","",IF($P8&gt;0,IF(2&lt;=SemanaActual,INDEX('Cronograma Asistente Técnico'!$AD$5:$AD$1000,$N8),""),IF(INDEX('Cronograma Asistente Técnico'!$J$5:$J$1000,$N8)="","",INDEX('Cronograma Asistente Técnico'!$J$5:$J$1000,$N8))))</f>
        <v/>
      </c>
      <c r="H8" s="61">
        <f>IF($N8="","",IF($P8&gt;0,IF(3&lt;=SemanaActual,INDEX('Cronograma Asistente Técnico'!$AE$5:$AE$1000,$N8),""),IF(INDEX('Cronograma Asistente Técnico'!$K$5:$K$1000,$N8)="","",INDEX('Cronograma Asistente Técnico'!$K$5:$K$1000,$N8))))</f>
        <v/>
      </c>
      <c r="I8" s="61">
        <f>IF($N8="","",IF($P8&gt;0,IF(4&lt;=SemanaActual,INDEX('Cronograma Asistente Técnico'!$AF$5:$AF$1000,$N8),""),IF(INDEX('Cronograma Asistente Técnico'!$L$5:$L$1000,$N8)="","",INDEX('Cronograma Asistente Técnico'!$L$5:$L$1000,$N8))))</f>
        <v/>
      </c>
      <c r="J8" s="61">
        <f>IF($N8="","",INDEX('Cronograma Asistente Técnico'!$M$5:$M$1000,$N8))</f>
        <v/>
      </c>
      <c r="K8" s="56">
        <f>IF($N8="","",IF(N($J8)&gt;=1,"Completado",IF(AND(ISNUMBER($D8),$D8&lt;FechaRef),"Vencida",IF(N($J8)&gt;0,"En curso","Pendiente"))))</f>
        <v/>
      </c>
      <c r="L8" s="56">
        <f>IF($N8="","",INDEX('Cronograma Asistente Técnico'!$O$5:$O$1000,$N8)&amp;"")</f>
        <v/>
      </c>
      <c r="M8" s="62">
        <f>IF($N8="","",INDEX('Cronograma Asistente Técnico'!$Q$5:$Q$1000,$N8)&amp;"")</f>
        <v/>
      </c>
      <c r="N8">
        <f>IFERROR(MATCH(ROW()-4,rOrden_ATR,0),"")</f>
        <v/>
      </c>
      <c r="O8">
        <f>IF($N8="","",INDEX('Cronograma Asistente Técnico'!$V$5:$V$1000,$N8))</f>
        <v/>
      </c>
      <c r="P8">
        <f>IF($N8="","",N(INDEX('Cronograma Asistente Técnico'!$W$5:$W$1000,$N8)))</f>
        <v/>
      </c>
      <c r="Q8">
        <f>IF(OR(LEFT($L8,7)="Vencida",LEFT($L8,5)="Vence"),SUMPRODUCT(--(LEFT($L$5:$L8,7)="Vencida"))+SUMPRODUCT(--(LEFT($L$5:$L8,5)="Vence")),"")</f>
        <v/>
      </c>
    </row>
    <row r="9">
      <c r="A9" s="56">
        <f>IF($N9="","",INDEX('Cronograma Asistente Técnico'!$A$5:$A$1000,$N9))</f>
        <v/>
      </c>
      <c r="B9" s="62">
        <f>IF($N9="","",IF($O9="Sub","      ↳  "&amp;INDEX('Cronograma Asistente Técnico'!$C$5:$C$1000,$N9),INDEX('Cronograma Asistente Técnico'!$C$5:$C$1000,$N9)&amp;""))</f>
        <v/>
      </c>
      <c r="C9" s="79">
        <f>IF($N9="","",IF(INDEX('Cronograma Asistente Técnico'!$AM$5:$AM$1000,$N9)="","",INDEX('Cronograma Asistente Técnico'!$AM$5:$AM$1000,$N9)))</f>
        <v/>
      </c>
      <c r="D9" s="79">
        <f>IF($N9="","",IF(INDEX('Cronograma Asistente Técnico'!$AN$5:$AN$1000,$N9)="","",INDEX('Cronograma Asistente Técnico'!$AN$5:$AN$1000,$N9)))</f>
        <v/>
      </c>
      <c r="E9" s="56">
        <f>IF($N9="","",IF(NOT(ISNUMBER($D9)),"",IF($D9&lt;InicioCiclo,"Antes del ciclo",IF($D9&gt;=InicioCiclo+28,"Después del ciclo","Semana "&amp;(INT(($D9-InicioCiclo)/7)+1)))))</f>
        <v/>
      </c>
      <c r="F9" s="61">
        <f>IF($N9="","",IF($P9&gt;0,IF(1&lt;=SemanaActual,INDEX('Cronograma Asistente Técnico'!$AC$5:$AC$1000,$N9),""),IF(INDEX('Cronograma Asistente Técnico'!$I$5:$I$1000,$N9)="","",INDEX('Cronograma Asistente Técnico'!$I$5:$I$1000,$N9))))</f>
        <v/>
      </c>
      <c r="G9" s="61">
        <f>IF($N9="","",IF($P9&gt;0,IF(2&lt;=SemanaActual,INDEX('Cronograma Asistente Técnico'!$AD$5:$AD$1000,$N9),""),IF(INDEX('Cronograma Asistente Técnico'!$J$5:$J$1000,$N9)="","",INDEX('Cronograma Asistente Técnico'!$J$5:$J$1000,$N9))))</f>
        <v/>
      </c>
      <c r="H9" s="61">
        <f>IF($N9="","",IF($P9&gt;0,IF(3&lt;=SemanaActual,INDEX('Cronograma Asistente Técnico'!$AE$5:$AE$1000,$N9),""),IF(INDEX('Cronograma Asistente Técnico'!$K$5:$K$1000,$N9)="","",INDEX('Cronograma Asistente Técnico'!$K$5:$K$1000,$N9))))</f>
        <v/>
      </c>
      <c r="I9" s="61">
        <f>IF($N9="","",IF($P9&gt;0,IF(4&lt;=SemanaActual,INDEX('Cronograma Asistente Técnico'!$AF$5:$AF$1000,$N9),""),IF(INDEX('Cronograma Asistente Técnico'!$L$5:$L$1000,$N9)="","",INDEX('Cronograma Asistente Técnico'!$L$5:$L$1000,$N9))))</f>
        <v/>
      </c>
      <c r="J9" s="61">
        <f>IF($N9="","",INDEX('Cronograma Asistente Técnico'!$M$5:$M$1000,$N9))</f>
        <v/>
      </c>
      <c r="K9" s="56">
        <f>IF($N9="","",IF(N($J9)&gt;=1,"Completado",IF(AND(ISNUMBER($D9),$D9&lt;FechaRef),"Vencida",IF(N($J9)&gt;0,"En curso","Pendiente"))))</f>
        <v/>
      </c>
      <c r="L9" s="56">
        <f>IF($N9="","",INDEX('Cronograma Asistente Técnico'!$O$5:$O$1000,$N9)&amp;"")</f>
        <v/>
      </c>
      <c r="M9" s="62">
        <f>IF($N9="","",INDEX('Cronograma Asistente Técnico'!$Q$5:$Q$1000,$N9)&amp;"")</f>
        <v/>
      </c>
      <c r="N9">
        <f>IFERROR(MATCH(ROW()-4,rOrden_ATR,0),"")</f>
        <v/>
      </c>
      <c r="O9">
        <f>IF($N9="","",INDEX('Cronograma Asistente Técnico'!$V$5:$V$1000,$N9))</f>
        <v/>
      </c>
      <c r="P9">
        <f>IF($N9="","",N(INDEX('Cronograma Asistente Técnico'!$W$5:$W$1000,$N9)))</f>
        <v/>
      </c>
      <c r="Q9">
        <f>IF(OR(LEFT($L9,7)="Vencida",LEFT($L9,5)="Vence"),SUMPRODUCT(--(LEFT($L$5:$L9,7)="Vencida"))+SUMPRODUCT(--(LEFT($L$5:$L9,5)="Vence")),"")</f>
        <v/>
      </c>
    </row>
    <row r="10">
      <c r="A10" s="56">
        <f>IF($N10="","",INDEX('Cronograma Asistente Técnico'!$A$5:$A$1000,$N10))</f>
        <v/>
      </c>
      <c r="B10" s="62">
        <f>IF($N10="","",IF($O10="Sub","      ↳  "&amp;INDEX('Cronograma Asistente Técnico'!$C$5:$C$1000,$N10),INDEX('Cronograma Asistente Técnico'!$C$5:$C$1000,$N10)&amp;""))</f>
        <v/>
      </c>
      <c r="C10" s="79">
        <f>IF($N10="","",IF(INDEX('Cronograma Asistente Técnico'!$AM$5:$AM$1000,$N10)="","",INDEX('Cronograma Asistente Técnico'!$AM$5:$AM$1000,$N10)))</f>
        <v/>
      </c>
      <c r="D10" s="79">
        <f>IF($N10="","",IF(INDEX('Cronograma Asistente Técnico'!$AN$5:$AN$1000,$N10)="","",INDEX('Cronograma Asistente Técnico'!$AN$5:$AN$1000,$N10)))</f>
        <v/>
      </c>
      <c r="E10" s="56">
        <f>IF($N10="","",IF(NOT(ISNUMBER($D10)),"",IF($D10&lt;InicioCiclo,"Antes del ciclo",IF($D10&gt;=InicioCiclo+28,"Después del ciclo","Semana "&amp;(INT(($D10-InicioCiclo)/7)+1)))))</f>
        <v/>
      </c>
      <c r="F10" s="61">
        <f>IF($N10="","",IF($P10&gt;0,IF(1&lt;=SemanaActual,INDEX('Cronograma Asistente Técnico'!$AC$5:$AC$1000,$N10),""),IF(INDEX('Cronograma Asistente Técnico'!$I$5:$I$1000,$N10)="","",INDEX('Cronograma Asistente Técnico'!$I$5:$I$1000,$N10))))</f>
        <v/>
      </c>
      <c r="G10" s="61">
        <f>IF($N10="","",IF($P10&gt;0,IF(2&lt;=SemanaActual,INDEX('Cronograma Asistente Técnico'!$AD$5:$AD$1000,$N10),""),IF(INDEX('Cronograma Asistente Técnico'!$J$5:$J$1000,$N10)="","",INDEX('Cronograma Asistente Técnico'!$J$5:$J$1000,$N10))))</f>
        <v/>
      </c>
      <c r="H10" s="61">
        <f>IF($N10="","",IF($P10&gt;0,IF(3&lt;=SemanaActual,INDEX('Cronograma Asistente Técnico'!$AE$5:$AE$1000,$N10),""),IF(INDEX('Cronograma Asistente Técnico'!$K$5:$K$1000,$N10)="","",INDEX('Cronograma Asistente Técnico'!$K$5:$K$1000,$N10))))</f>
        <v/>
      </c>
      <c r="I10" s="61">
        <f>IF($N10="","",IF($P10&gt;0,IF(4&lt;=SemanaActual,INDEX('Cronograma Asistente Técnico'!$AF$5:$AF$1000,$N10),""),IF(INDEX('Cronograma Asistente Técnico'!$L$5:$L$1000,$N10)="","",INDEX('Cronograma Asistente Técnico'!$L$5:$L$1000,$N10))))</f>
        <v/>
      </c>
      <c r="J10" s="61">
        <f>IF($N10="","",INDEX('Cronograma Asistente Técnico'!$M$5:$M$1000,$N10))</f>
        <v/>
      </c>
      <c r="K10" s="56">
        <f>IF($N10="","",IF(N($J10)&gt;=1,"Completado",IF(AND(ISNUMBER($D10),$D10&lt;FechaRef),"Vencida",IF(N($J10)&gt;0,"En curso","Pendiente"))))</f>
        <v/>
      </c>
      <c r="L10" s="56">
        <f>IF($N10="","",INDEX('Cronograma Asistente Técnico'!$O$5:$O$1000,$N10)&amp;"")</f>
        <v/>
      </c>
      <c r="M10" s="62">
        <f>IF($N10="","",INDEX('Cronograma Asistente Técnico'!$Q$5:$Q$1000,$N10)&amp;"")</f>
        <v/>
      </c>
      <c r="N10">
        <f>IFERROR(MATCH(ROW()-4,rOrden_ATR,0),"")</f>
        <v/>
      </c>
      <c r="O10">
        <f>IF($N10="","",INDEX('Cronograma Asistente Técnico'!$V$5:$V$1000,$N10))</f>
        <v/>
      </c>
      <c r="P10">
        <f>IF($N10="","",N(INDEX('Cronograma Asistente Técnico'!$W$5:$W$1000,$N10)))</f>
        <v/>
      </c>
      <c r="Q10">
        <f>IF(OR(LEFT($L10,7)="Vencida",LEFT($L10,5)="Vence"),SUMPRODUCT(--(LEFT($L$5:$L10,7)="Vencida"))+SUMPRODUCT(--(LEFT($L$5:$L10,5)="Vence")),"")</f>
        <v/>
      </c>
    </row>
    <row r="11">
      <c r="A11" s="56">
        <f>IF($N11="","",INDEX('Cronograma Asistente Técnico'!$A$5:$A$1000,$N11))</f>
        <v/>
      </c>
      <c r="B11" s="62">
        <f>IF($N11="","",IF($O11="Sub","      ↳  "&amp;INDEX('Cronograma Asistente Técnico'!$C$5:$C$1000,$N11),INDEX('Cronograma Asistente Técnico'!$C$5:$C$1000,$N11)&amp;""))</f>
        <v/>
      </c>
      <c r="C11" s="79">
        <f>IF($N11="","",IF(INDEX('Cronograma Asistente Técnico'!$AM$5:$AM$1000,$N11)="","",INDEX('Cronograma Asistente Técnico'!$AM$5:$AM$1000,$N11)))</f>
        <v/>
      </c>
      <c r="D11" s="79">
        <f>IF($N11="","",IF(INDEX('Cronograma Asistente Técnico'!$AN$5:$AN$1000,$N11)="","",INDEX('Cronograma Asistente Técnico'!$AN$5:$AN$1000,$N11)))</f>
        <v/>
      </c>
      <c r="E11" s="56">
        <f>IF($N11="","",IF(NOT(ISNUMBER($D11)),"",IF($D11&lt;InicioCiclo,"Antes del ciclo",IF($D11&gt;=InicioCiclo+28,"Después del ciclo","Semana "&amp;(INT(($D11-InicioCiclo)/7)+1)))))</f>
        <v/>
      </c>
      <c r="F11" s="61">
        <f>IF($N11="","",IF($P11&gt;0,IF(1&lt;=SemanaActual,INDEX('Cronograma Asistente Técnico'!$AC$5:$AC$1000,$N11),""),IF(INDEX('Cronograma Asistente Técnico'!$I$5:$I$1000,$N11)="","",INDEX('Cronograma Asistente Técnico'!$I$5:$I$1000,$N11))))</f>
        <v/>
      </c>
      <c r="G11" s="61">
        <f>IF($N11="","",IF($P11&gt;0,IF(2&lt;=SemanaActual,INDEX('Cronograma Asistente Técnico'!$AD$5:$AD$1000,$N11),""),IF(INDEX('Cronograma Asistente Técnico'!$J$5:$J$1000,$N11)="","",INDEX('Cronograma Asistente Técnico'!$J$5:$J$1000,$N11))))</f>
        <v/>
      </c>
      <c r="H11" s="61">
        <f>IF($N11="","",IF($P11&gt;0,IF(3&lt;=SemanaActual,INDEX('Cronograma Asistente Técnico'!$AE$5:$AE$1000,$N11),""),IF(INDEX('Cronograma Asistente Técnico'!$K$5:$K$1000,$N11)="","",INDEX('Cronograma Asistente Técnico'!$K$5:$K$1000,$N11))))</f>
        <v/>
      </c>
      <c r="I11" s="61">
        <f>IF($N11="","",IF($P11&gt;0,IF(4&lt;=SemanaActual,INDEX('Cronograma Asistente Técnico'!$AF$5:$AF$1000,$N11),""),IF(INDEX('Cronograma Asistente Técnico'!$L$5:$L$1000,$N11)="","",INDEX('Cronograma Asistente Técnico'!$L$5:$L$1000,$N11))))</f>
        <v/>
      </c>
      <c r="J11" s="61">
        <f>IF($N11="","",INDEX('Cronograma Asistente Técnico'!$M$5:$M$1000,$N11))</f>
        <v/>
      </c>
      <c r="K11" s="56">
        <f>IF($N11="","",IF(N($J11)&gt;=1,"Completado",IF(AND(ISNUMBER($D11),$D11&lt;FechaRef),"Vencida",IF(N($J11)&gt;0,"En curso","Pendiente"))))</f>
        <v/>
      </c>
      <c r="L11" s="56">
        <f>IF($N11="","",INDEX('Cronograma Asistente Técnico'!$O$5:$O$1000,$N11)&amp;"")</f>
        <v/>
      </c>
      <c r="M11" s="62">
        <f>IF($N11="","",INDEX('Cronograma Asistente Técnico'!$Q$5:$Q$1000,$N11)&amp;"")</f>
        <v/>
      </c>
      <c r="N11">
        <f>IFERROR(MATCH(ROW()-4,rOrden_ATR,0),"")</f>
        <v/>
      </c>
      <c r="O11">
        <f>IF($N11="","",INDEX('Cronograma Asistente Técnico'!$V$5:$V$1000,$N11))</f>
        <v/>
      </c>
      <c r="P11">
        <f>IF($N11="","",N(INDEX('Cronograma Asistente Técnico'!$W$5:$W$1000,$N11)))</f>
        <v/>
      </c>
      <c r="Q11">
        <f>IF(OR(LEFT($L11,7)="Vencida",LEFT($L11,5)="Vence"),SUMPRODUCT(--(LEFT($L$5:$L11,7)="Vencida"))+SUMPRODUCT(--(LEFT($L$5:$L11,5)="Vence")),"")</f>
        <v/>
      </c>
    </row>
    <row r="12">
      <c r="A12" s="56">
        <f>IF($N12="","",INDEX('Cronograma Asistente Técnico'!$A$5:$A$1000,$N12))</f>
        <v/>
      </c>
      <c r="B12" s="62">
        <f>IF($N12="","",IF($O12="Sub","      ↳  "&amp;INDEX('Cronograma Asistente Técnico'!$C$5:$C$1000,$N12),INDEX('Cronograma Asistente Técnico'!$C$5:$C$1000,$N12)&amp;""))</f>
        <v/>
      </c>
      <c r="C12" s="79">
        <f>IF($N12="","",IF(INDEX('Cronograma Asistente Técnico'!$AM$5:$AM$1000,$N12)="","",INDEX('Cronograma Asistente Técnico'!$AM$5:$AM$1000,$N12)))</f>
        <v/>
      </c>
      <c r="D12" s="79">
        <f>IF($N12="","",IF(INDEX('Cronograma Asistente Técnico'!$AN$5:$AN$1000,$N12)="","",INDEX('Cronograma Asistente Técnico'!$AN$5:$AN$1000,$N12)))</f>
        <v/>
      </c>
      <c r="E12" s="56">
        <f>IF($N12="","",IF(NOT(ISNUMBER($D12)),"",IF($D12&lt;InicioCiclo,"Antes del ciclo",IF($D12&gt;=InicioCiclo+28,"Después del ciclo","Semana "&amp;(INT(($D12-InicioCiclo)/7)+1)))))</f>
        <v/>
      </c>
      <c r="F12" s="61">
        <f>IF($N12="","",IF($P12&gt;0,IF(1&lt;=SemanaActual,INDEX('Cronograma Asistente Técnico'!$AC$5:$AC$1000,$N12),""),IF(INDEX('Cronograma Asistente Técnico'!$I$5:$I$1000,$N12)="","",INDEX('Cronograma Asistente Técnico'!$I$5:$I$1000,$N12))))</f>
        <v/>
      </c>
      <c r="G12" s="61">
        <f>IF($N12="","",IF($P12&gt;0,IF(2&lt;=SemanaActual,INDEX('Cronograma Asistente Técnico'!$AD$5:$AD$1000,$N12),""),IF(INDEX('Cronograma Asistente Técnico'!$J$5:$J$1000,$N12)="","",INDEX('Cronograma Asistente Técnico'!$J$5:$J$1000,$N12))))</f>
        <v/>
      </c>
      <c r="H12" s="61">
        <f>IF($N12="","",IF($P12&gt;0,IF(3&lt;=SemanaActual,INDEX('Cronograma Asistente Técnico'!$AE$5:$AE$1000,$N12),""),IF(INDEX('Cronograma Asistente Técnico'!$K$5:$K$1000,$N12)="","",INDEX('Cronograma Asistente Técnico'!$K$5:$K$1000,$N12))))</f>
        <v/>
      </c>
      <c r="I12" s="61">
        <f>IF($N12="","",IF($P12&gt;0,IF(4&lt;=SemanaActual,INDEX('Cronograma Asistente Técnico'!$AF$5:$AF$1000,$N12),""),IF(INDEX('Cronograma Asistente Técnico'!$L$5:$L$1000,$N12)="","",INDEX('Cronograma Asistente Técnico'!$L$5:$L$1000,$N12))))</f>
        <v/>
      </c>
      <c r="J12" s="61">
        <f>IF($N12="","",INDEX('Cronograma Asistente Técnico'!$M$5:$M$1000,$N12))</f>
        <v/>
      </c>
      <c r="K12" s="56">
        <f>IF($N12="","",IF(N($J12)&gt;=1,"Completado",IF(AND(ISNUMBER($D12),$D12&lt;FechaRef),"Vencida",IF(N($J12)&gt;0,"En curso","Pendiente"))))</f>
        <v/>
      </c>
      <c r="L12" s="56">
        <f>IF($N12="","",INDEX('Cronograma Asistente Técnico'!$O$5:$O$1000,$N12)&amp;"")</f>
        <v/>
      </c>
      <c r="M12" s="62">
        <f>IF($N12="","",INDEX('Cronograma Asistente Técnico'!$Q$5:$Q$1000,$N12)&amp;"")</f>
        <v/>
      </c>
      <c r="N12">
        <f>IFERROR(MATCH(ROW()-4,rOrden_ATR,0),"")</f>
        <v/>
      </c>
      <c r="O12">
        <f>IF($N12="","",INDEX('Cronograma Asistente Técnico'!$V$5:$V$1000,$N12))</f>
        <v/>
      </c>
      <c r="P12">
        <f>IF($N12="","",N(INDEX('Cronograma Asistente Técnico'!$W$5:$W$1000,$N12)))</f>
        <v/>
      </c>
      <c r="Q12">
        <f>IF(OR(LEFT($L12,7)="Vencida",LEFT($L12,5)="Vence"),SUMPRODUCT(--(LEFT($L$5:$L12,7)="Vencida"))+SUMPRODUCT(--(LEFT($L$5:$L12,5)="Vence")),"")</f>
        <v/>
      </c>
    </row>
    <row r="13">
      <c r="A13" s="56">
        <f>IF($N13="","",INDEX('Cronograma Asistente Técnico'!$A$5:$A$1000,$N13))</f>
        <v/>
      </c>
      <c r="B13" s="62">
        <f>IF($N13="","",IF($O13="Sub","      ↳  "&amp;INDEX('Cronograma Asistente Técnico'!$C$5:$C$1000,$N13),INDEX('Cronograma Asistente Técnico'!$C$5:$C$1000,$N13)&amp;""))</f>
        <v/>
      </c>
      <c r="C13" s="79">
        <f>IF($N13="","",IF(INDEX('Cronograma Asistente Técnico'!$AM$5:$AM$1000,$N13)="","",INDEX('Cronograma Asistente Técnico'!$AM$5:$AM$1000,$N13)))</f>
        <v/>
      </c>
      <c r="D13" s="79">
        <f>IF($N13="","",IF(INDEX('Cronograma Asistente Técnico'!$AN$5:$AN$1000,$N13)="","",INDEX('Cronograma Asistente Técnico'!$AN$5:$AN$1000,$N13)))</f>
        <v/>
      </c>
      <c r="E13" s="56">
        <f>IF($N13="","",IF(NOT(ISNUMBER($D13)),"",IF($D13&lt;InicioCiclo,"Antes del ciclo",IF($D13&gt;=InicioCiclo+28,"Después del ciclo","Semana "&amp;(INT(($D13-InicioCiclo)/7)+1)))))</f>
        <v/>
      </c>
      <c r="F13" s="61">
        <f>IF($N13="","",IF($P13&gt;0,IF(1&lt;=SemanaActual,INDEX('Cronograma Asistente Técnico'!$AC$5:$AC$1000,$N13),""),IF(INDEX('Cronograma Asistente Técnico'!$I$5:$I$1000,$N13)="","",INDEX('Cronograma Asistente Técnico'!$I$5:$I$1000,$N13))))</f>
        <v/>
      </c>
      <c r="G13" s="61">
        <f>IF($N13="","",IF($P13&gt;0,IF(2&lt;=SemanaActual,INDEX('Cronograma Asistente Técnico'!$AD$5:$AD$1000,$N13),""),IF(INDEX('Cronograma Asistente Técnico'!$J$5:$J$1000,$N13)="","",INDEX('Cronograma Asistente Técnico'!$J$5:$J$1000,$N13))))</f>
        <v/>
      </c>
      <c r="H13" s="61">
        <f>IF($N13="","",IF($P13&gt;0,IF(3&lt;=SemanaActual,INDEX('Cronograma Asistente Técnico'!$AE$5:$AE$1000,$N13),""),IF(INDEX('Cronograma Asistente Técnico'!$K$5:$K$1000,$N13)="","",INDEX('Cronograma Asistente Técnico'!$K$5:$K$1000,$N13))))</f>
        <v/>
      </c>
      <c r="I13" s="61">
        <f>IF($N13="","",IF($P13&gt;0,IF(4&lt;=SemanaActual,INDEX('Cronograma Asistente Técnico'!$AF$5:$AF$1000,$N13),""),IF(INDEX('Cronograma Asistente Técnico'!$L$5:$L$1000,$N13)="","",INDEX('Cronograma Asistente Técnico'!$L$5:$L$1000,$N13))))</f>
        <v/>
      </c>
      <c r="J13" s="61">
        <f>IF($N13="","",INDEX('Cronograma Asistente Técnico'!$M$5:$M$1000,$N13))</f>
        <v/>
      </c>
      <c r="K13" s="56">
        <f>IF($N13="","",IF(N($J13)&gt;=1,"Completado",IF(AND(ISNUMBER($D13),$D13&lt;FechaRef),"Vencida",IF(N($J13)&gt;0,"En curso","Pendiente"))))</f>
        <v/>
      </c>
      <c r="L13" s="56">
        <f>IF($N13="","",INDEX('Cronograma Asistente Técnico'!$O$5:$O$1000,$N13)&amp;"")</f>
        <v/>
      </c>
      <c r="M13" s="62">
        <f>IF($N13="","",INDEX('Cronograma Asistente Técnico'!$Q$5:$Q$1000,$N13)&amp;"")</f>
        <v/>
      </c>
      <c r="N13">
        <f>IFERROR(MATCH(ROW()-4,rOrden_ATR,0),"")</f>
        <v/>
      </c>
      <c r="O13">
        <f>IF($N13="","",INDEX('Cronograma Asistente Técnico'!$V$5:$V$1000,$N13))</f>
        <v/>
      </c>
      <c r="P13">
        <f>IF($N13="","",N(INDEX('Cronograma Asistente Técnico'!$W$5:$W$1000,$N13)))</f>
        <v/>
      </c>
      <c r="Q13">
        <f>IF(OR(LEFT($L13,7)="Vencida",LEFT($L13,5)="Vence"),SUMPRODUCT(--(LEFT($L$5:$L13,7)="Vencida"))+SUMPRODUCT(--(LEFT($L$5:$L13,5)="Vence")),"")</f>
        <v/>
      </c>
    </row>
    <row r="14">
      <c r="A14" s="56">
        <f>IF($N14="","",INDEX('Cronograma Asistente Técnico'!$A$5:$A$1000,$N14))</f>
        <v/>
      </c>
      <c r="B14" s="62">
        <f>IF($N14="","",IF($O14="Sub","      ↳  "&amp;INDEX('Cronograma Asistente Técnico'!$C$5:$C$1000,$N14),INDEX('Cronograma Asistente Técnico'!$C$5:$C$1000,$N14)&amp;""))</f>
        <v/>
      </c>
      <c r="C14" s="79">
        <f>IF($N14="","",IF(INDEX('Cronograma Asistente Técnico'!$AM$5:$AM$1000,$N14)="","",INDEX('Cronograma Asistente Técnico'!$AM$5:$AM$1000,$N14)))</f>
        <v/>
      </c>
      <c r="D14" s="79">
        <f>IF($N14="","",IF(INDEX('Cronograma Asistente Técnico'!$AN$5:$AN$1000,$N14)="","",INDEX('Cronograma Asistente Técnico'!$AN$5:$AN$1000,$N14)))</f>
        <v/>
      </c>
      <c r="E14" s="56">
        <f>IF($N14="","",IF(NOT(ISNUMBER($D14)),"",IF($D14&lt;InicioCiclo,"Antes del ciclo",IF($D14&gt;=InicioCiclo+28,"Después del ciclo","Semana "&amp;(INT(($D14-InicioCiclo)/7)+1)))))</f>
        <v/>
      </c>
      <c r="F14" s="61">
        <f>IF($N14="","",IF($P14&gt;0,IF(1&lt;=SemanaActual,INDEX('Cronograma Asistente Técnico'!$AC$5:$AC$1000,$N14),""),IF(INDEX('Cronograma Asistente Técnico'!$I$5:$I$1000,$N14)="","",INDEX('Cronograma Asistente Técnico'!$I$5:$I$1000,$N14))))</f>
        <v/>
      </c>
      <c r="G14" s="61">
        <f>IF($N14="","",IF($P14&gt;0,IF(2&lt;=SemanaActual,INDEX('Cronograma Asistente Técnico'!$AD$5:$AD$1000,$N14),""),IF(INDEX('Cronograma Asistente Técnico'!$J$5:$J$1000,$N14)="","",INDEX('Cronograma Asistente Técnico'!$J$5:$J$1000,$N14))))</f>
        <v/>
      </c>
      <c r="H14" s="61">
        <f>IF($N14="","",IF($P14&gt;0,IF(3&lt;=SemanaActual,INDEX('Cronograma Asistente Técnico'!$AE$5:$AE$1000,$N14),""),IF(INDEX('Cronograma Asistente Técnico'!$K$5:$K$1000,$N14)="","",INDEX('Cronograma Asistente Técnico'!$K$5:$K$1000,$N14))))</f>
        <v/>
      </c>
      <c r="I14" s="61">
        <f>IF($N14="","",IF($P14&gt;0,IF(4&lt;=SemanaActual,INDEX('Cronograma Asistente Técnico'!$AF$5:$AF$1000,$N14),""),IF(INDEX('Cronograma Asistente Técnico'!$L$5:$L$1000,$N14)="","",INDEX('Cronograma Asistente Técnico'!$L$5:$L$1000,$N14))))</f>
        <v/>
      </c>
      <c r="J14" s="61">
        <f>IF($N14="","",INDEX('Cronograma Asistente Técnico'!$M$5:$M$1000,$N14))</f>
        <v/>
      </c>
      <c r="K14" s="56">
        <f>IF($N14="","",IF(N($J14)&gt;=1,"Completado",IF(AND(ISNUMBER($D14),$D14&lt;FechaRef),"Vencida",IF(N($J14)&gt;0,"En curso","Pendiente"))))</f>
        <v/>
      </c>
      <c r="L14" s="56">
        <f>IF($N14="","",INDEX('Cronograma Asistente Técnico'!$O$5:$O$1000,$N14)&amp;"")</f>
        <v/>
      </c>
      <c r="M14" s="62">
        <f>IF($N14="","",INDEX('Cronograma Asistente Técnico'!$Q$5:$Q$1000,$N14)&amp;"")</f>
        <v/>
      </c>
      <c r="N14">
        <f>IFERROR(MATCH(ROW()-4,rOrden_ATR,0),"")</f>
        <v/>
      </c>
      <c r="O14">
        <f>IF($N14="","",INDEX('Cronograma Asistente Técnico'!$V$5:$V$1000,$N14))</f>
        <v/>
      </c>
      <c r="P14">
        <f>IF($N14="","",N(INDEX('Cronograma Asistente Técnico'!$W$5:$W$1000,$N14)))</f>
        <v/>
      </c>
      <c r="Q14">
        <f>IF(OR(LEFT($L14,7)="Vencida",LEFT($L14,5)="Vence"),SUMPRODUCT(--(LEFT($L$5:$L14,7)="Vencida"))+SUMPRODUCT(--(LEFT($L$5:$L14,5)="Vence")),"")</f>
        <v/>
      </c>
    </row>
    <row r="15">
      <c r="A15" s="56">
        <f>IF($N15="","",INDEX('Cronograma Asistente Técnico'!$A$5:$A$1000,$N15))</f>
        <v/>
      </c>
      <c r="B15" s="62">
        <f>IF($N15="","",IF($O15="Sub","      ↳  "&amp;INDEX('Cronograma Asistente Técnico'!$C$5:$C$1000,$N15),INDEX('Cronograma Asistente Técnico'!$C$5:$C$1000,$N15)&amp;""))</f>
        <v/>
      </c>
      <c r="C15" s="79">
        <f>IF($N15="","",IF(INDEX('Cronograma Asistente Técnico'!$AM$5:$AM$1000,$N15)="","",INDEX('Cronograma Asistente Técnico'!$AM$5:$AM$1000,$N15)))</f>
        <v/>
      </c>
      <c r="D15" s="79">
        <f>IF($N15="","",IF(INDEX('Cronograma Asistente Técnico'!$AN$5:$AN$1000,$N15)="","",INDEX('Cronograma Asistente Técnico'!$AN$5:$AN$1000,$N15)))</f>
        <v/>
      </c>
      <c r="E15" s="56">
        <f>IF($N15="","",IF(NOT(ISNUMBER($D15)),"",IF($D15&lt;InicioCiclo,"Antes del ciclo",IF($D15&gt;=InicioCiclo+28,"Después del ciclo","Semana "&amp;(INT(($D15-InicioCiclo)/7)+1)))))</f>
        <v/>
      </c>
      <c r="F15" s="61">
        <f>IF($N15="","",IF($P15&gt;0,IF(1&lt;=SemanaActual,INDEX('Cronograma Asistente Técnico'!$AC$5:$AC$1000,$N15),""),IF(INDEX('Cronograma Asistente Técnico'!$I$5:$I$1000,$N15)="","",INDEX('Cronograma Asistente Técnico'!$I$5:$I$1000,$N15))))</f>
        <v/>
      </c>
      <c r="G15" s="61">
        <f>IF($N15="","",IF($P15&gt;0,IF(2&lt;=SemanaActual,INDEX('Cronograma Asistente Técnico'!$AD$5:$AD$1000,$N15),""),IF(INDEX('Cronograma Asistente Técnico'!$J$5:$J$1000,$N15)="","",INDEX('Cronograma Asistente Técnico'!$J$5:$J$1000,$N15))))</f>
        <v/>
      </c>
      <c r="H15" s="61">
        <f>IF($N15="","",IF($P15&gt;0,IF(3&lt;=SemanaActual,INDEX('Cronograma Asistente Técnico'!$AE$5:$AE$1000,$N15),""),IF(INDEX('Cronograma Asistente Técnico'!$K$5:$K$1000,$N15)="","",INDEX('Cronograma Asistente Técnico'!$K$5:$K$1000,$N15))))</f>
        <v/>
      </c>
      <c r="I15" s="61">
        <f>IF($N15="","",IF($P15&gt;0,IF(4&lt;=SemanaActual,INDEX('Cronograma Asistente Técnico'!$AF$5:$AF$1000,$N15),""),IF(INDEX('Cronograma Asistente Técnico'!$L$5:$L$1000,$N15)="","",INDEX('Cronograma Asistente Técnico'!$L$5:$L$1000,$N15))))</f>
        <v/>
      </c>
      <c r="J15" s="61">
        <f>IF($N15="","",INDEX('Cronograma Asistente Técnico'!$M$5:$M$1000,$N15))</f>
        <v/>
      </c>
      <c r="K15" s="56">
        <f>IF($N15="","",IF(N($J15)&gt;=1,"Completado",IF(AND(ISNUMBER($D15),$D15&lt;FechaRef),"Vencida",IF(N($J15)&gt;0,"En curso","Pendiente"))))</f>
        <v/>
      </c>
      <c r="L15" s="56">
        <f>IF($N15="","",INDEX('Cronograma Asistente Técnico'!$O$5:$O$1000,$N15)&amp;"")</f>
        <v/>
      </c>
      <c r="M15" s="62">
        <f>IF($N15="","",INDEX('Cronograma Asistente Técnico'!$Q$5:$Q$1000,$N15)&amp;"")</f>
        <v/>
      </c>
      <c r="N15">
        <f>IFERROR(MATCH(ROW()-4,rOrden_ATR,0),"")</f>
        <v/>
      </c>
      <c r="O15">
        <f>IF($N15="","",INDEX('Cronograma Asistente Técnico'!$V$5:$V$1000,$N15))</f>
        <v/>
      </c>
      <c r="P15">
        <f>IF($N15="","",N(INDEX('Cronograma Asistente Técnico'!$W$5:$W$1000,$N15)))</f>
        <v/>
      </c>
      <c r="Q15">
        <f>IF(OR(LEFT($L15,7)="Vencida",LEFT($L15,5)="Vence"),SUMPRODUCT(--(LEFT($L$5:$L15,7)="Vencida"))+SUMPRODUCT(--(LEFT($L$5:$L15,5)="Vence")),"")</f>
        <v/>
      </c>
    </row>
    <row r="16">
      <c r="A16" s="56">
        <f>IF($N16="","",INDEX('Cronograma Asistente Técnico'!$A$5:$A$1000,$N16))</f>
        <v/>
      </c>
      <c r="B16" s="62">
        <f>IF($N16="","",IF($O16="Sub","      ↳  "&amp;INDEX('Cronograma Asistente Técnico'!$C$5:$C$1000,$N16),INDEX('Cronograma Asistente Técnico'!$C$5:$C$1000,$N16)&amp;""))</f>
        <v/>
      </c>
      <c r="C16" s="79">
        <f>IF($N16="","",IF(INDEX('Cronograma Asistente Técnico'!$AM$5:$AM$1000,$N16)="","",INDEX('Cronograma Asistente Técnico'!$AM$5:$AM$1000,$N16)))</f>
        <v/>
      </c>
      <c r="D16" s="79">
        <f>IF($N16="","",IF(INDEX('Cronograma Asistente Técnico'!$AN$5:$AN$1000,$N16)="","",INDEX('Cronograma Asistente Técnico'!$AN$5:$AN$1000,$N16)))</f>
        <v/>
      </c>
      <c r="E16" s="56">
        <f>IF($N16="","",IF(NOT(ISNUMBER($D16)),"",IF($D16&lt;InicioCiclo,"Antes del ciclo",IF($D16&gt;=InicioCiclo+28,"Después del ciclo","Semana "&amp;(INT(($D16-InicioCiclo)/7)+1)))))</f>
        <v/>
      </c>
      <c r="F16" s="61">
        <f>IF($N16="","",IF($P16&gt;0,IF(1&lt;=SemanaActual,INDEX('Cronograma Asistente Técnico'!$AC$5:$AC$1000,$N16),""),IF(INDEX('Cronograma Asistente Técnico'!$I$5:$I$1000,$N16)="","",INDEX('Cronograma Asistente Técnico'!$I$5:$I$1000,$N16))))</f>
        <v/>
      </c>
      <c r="G16" s="61">
        <f>IF($N16="","",IF($P16&gt;0,IF(2&lt;=SemanaActual,INDEX('Cronograma Asistente Técnico'!$AD$5:$AD$1000,$N16),""),IF(INDEX('Cronograma Asistente Técnico'!$J$5:$J$1000,$N16)="","",INDEX('Cronograma Asistente Técnico'!$J$5:$J$1000,$N16))))</f>
        <v/>
      </c>
      <c r="H16" s="61">
        <f>IF($N16="","",IF($P16&gt;0,IF(3&lt;=SemanaActual,INDEX('Cronograma Asistente Técnico'!$AE$5:$AE$1000,$N16),""),IF(INDEX('Cronograma Asistente Técnico'!$K$5:$K$1000,$N16)="","",INDEX('Cronograma Asistente Técnico'!$K$5:$K$1000,$N16))))</f>
        <v/>
      </c>
      <c r="I16" s="61">
        <f>IF($N16="","",IF($P16&gt;0,IF(4&lt;=SemanaActual,INDEX('Cronograma Asistente Técnico'!$AF$5:$AF$1000,$N16),""),IF(INDEX('Cronograma Asistente Técnico'!$L$5:$L$1000,$N16)="","",INDEX('Cronograma Asistente Técnico'!$L$5:$L$1000,$N16))))</f>
        <v/>
      </c>
      <c r="J16" s="61">
        <f>IF($N16="","",INDEX('Cronograma Asistente Técnico'!$M$5:$M$1000,$N16))</f>
        <v/>
      </c>
      <c r="K16" s="56">
        <f>IF($N16="","",IF(N($J16)&gt;=1,"Completado",IF(AND(ISNUMBER($D16),$D16&lt;FechaRef),"Vencida",IF(N($J16)&gt;0,"En curso","Pendiente"))))</f>
        <v/>
      </c>
      <c r="L16" s="56">
        <f>IF($N16="","",INDEX('Cronograma Asistente Técnico'!$O$5:$O$1000,$N16)&amp;"")</f>
        <v/>
      </c>
      <c r="M16" s="62">
        <f>IF($N16="","",INDEX('Cronograma Asistente Técnico'!$Q$5:$Q$1000,$N16)&amp;"")</f>
        <v/>
      </c>
      <c r="N16">
        <f>IFERROR(MATCH(ROW()-4,rOrden_ATR,0),"")</f>
        <v/>
      </c>
      <c r="O16">
        <f>IF($N16="","",INDEX('Cronograma Asistente Técnico'!$V$5:$V$1000,$N16))</f>
        <v/>
      </c>
      <c r="P16">
        <f>IF($N16="","",N(INDEX('Cronograma Asistente Técnico'!$W$5:$W$1000,$N16)))</f>
        <v/>
      </c>
      <c r="Q16">
        <f>IF(OR(LEFT($L16,7)="Vencida",LEFT($L16,5)="Vence"),SUMPRODUCT(--(LEFT($L$5:$L16,7)="Vencida"))+SUMPRODUCT(--(LEFT($L$5:$L16,5)="Vence")),"")</f>
        <v/>
      </c>
    </row>
    <row r="17">
      <c r="A17" s="56">
        <f>IF($N17="","",INDEX('Cronograma Asistente Técnico'!$A$5:$A$1000,$N17))</f>
        <v/>
      </c>
      <c r="B17" s="62">
        <f>IF($N17="","",IF($O17="Sub","      ↳  "&amp;INDEX('Cronograma Asistente Técnico'!$C$5:$C$1000,$N17),INDEX('Cronograma Asistente Técnico'!$C$5:$C$1000,$N17)&amp;""))</f>
        <v/>
      </c>
      <c r="C17" s="79">
        <f>IF($N17="","",IF(INDEX('Cronograma Asistente Técnico'!$AM$5:$AM$1000,$N17)="","",INDEX('Cronograma Asistente Técnico'!$AM$5:$AM$1000,$N17)))</f>
        <v/>
      </c>
      <c r="D17" s="79">
        <f>IF($N17="","",IF(INDEX('Cronograma Asistente Técnico'!$AN$5:$AN$1000,$N17)="","",INDEX('Cronograma Asistente Técnico'!$AN$5:$AN$1000,$N17)))</f>
        <v/>
      </c>
      <c r="E17" s="56">
        <f>IF($N17="","",IF(NOT(ISNUMBER($D17)),"",IF($D17&lt;InicioCiclo,"Antes del ciclo",IF($D17&gt;=InicioCiclo+28,"Después del ciclo","Semana "&amp;(INT(($D17-InicioCiclo)/7)+1)))))</f>
        <v/>
      </c>
      <c r="F17" s="61">
        <f>IF($N17="","",IF($P17&gt;0,IF(1&lt;=SemanaActual,INDEX('Cronograma Asistente Técnico'!$AC$5:$AC$1000,$N17),""),IF(INDEX('Cronograma Asistente Técnico'!$I$5:$I$1000,$N17)="","",INDEX('Cronograma Asistente Técnico'!$I$5:$I$1000,$N17))))</f>
        <v/>
      </c>
      <c r="G17" s="61">
        <f>IF($N17="","",IF($P17&gt;0,IF(2&lt;=SemanaActual,INDEX('Cronograma Asistente Técnico'!$AD$5:$AD$1000,$N17),""),IF(INDEX('Cronograma Asistente Técnico'!$J$5:$J$1000,$N17)="","",INDEX('Cronograma Asistente Técnico'!$J$5:$J$1000,$N17))))</f>
        <v/>
      </c>
      <c r="H17" s="61">
        <f>IF($N17="","",IF($P17&gt;0,IF(3&lt;=SemanaActual,INDEX('Cronograma Asistente Técnico'!$AE$5:$AE$1000,$N17),""),IF(INDEX('Cronograma Asistente Técnico'!$K$5:$K$1000,$N17)="","",INDEX('Cronograma Asistente Técnico'!$K$5:$K$1000,$N17))))</f>
        <v/>
      </c>
      <c r="I17" s="61">
        <f>IF($N17="","",IF($P17&gt;0,IF(4&lt;=SemanaActual,INDEX('Cronograma Asistente Técnico'!$AF$5:$AF$1000,$N17),""),IF(INDEX('Cronograma Asistente Técnico'!$L$5:$L$1000,$N17)="","",INDEX('Cronograma Asistente Técnico'!$L$5:$L$1000,$N17))))</f>
        <v/>
      </c>
      <c r="J17" s="61">
        <f>IF($N17="","",INDEX('Cronograma Asistente Técnico'!$M$5:$M$1000,$N17))</f>
        <v/>
      </c>
      <c r="K17" s="56">
        <f>IF($N17="","",IF(N($J17)&gt;=1,"Completado",IF(AND(ISNUMBER($D17),$D17&lt;FechaRef),"Vencida",IF(N($J17)&gt;0,"En curso","Pendiente"))))</f>
        <v/>
      </c>
      <c r="L17" s="56">
        <f>IF($N17="","",INDEX('Cronograma Asistente Técnico'!$O$5:$O$1000,$N17)&amp;"")</f>
        <v/>
      </c>
      <c r="M17" s="62">
        <f>IF($N17="","",INDEX('Cronograma Asistente Técnico'!$Q$5:$Q$1000,$N17)&amp;"")</f>
        <v/>
      </c>
      <c r="N17">
        <f>IFERROR(MATCH(ROW()-4,rOrden_ATR,0),"")</f>
        <v/>
      </c>
      <c r="O17">
        <f>IF($N17="","",INDEX('Cronograma Asistente Técnico'!$V$5:$V$1000,$N17))</f>
        <v/>
      </c>
      <c r="P17">
        <f>IF($N17="","",N(INDEX('Cronograma Asistente Técnico'!$W$5:$W$1000,$N17)))</f>
        <v/>
      </c>
      <c r="Q17">
        <f>IF(OR(LEFT($L17,7)="Vencida",LEFT($L17,5)="Vence"),SUMPRODUCT(--(LEFT($L$5:$L17,7)="Vencida"))+SUMPRODUCT(--(LEFT($L$5:$L17,5)="Vence")),"")</f>
        <v/>
      </c>
    </row>
    <row r="18">
      <c r="A18" s="56">
        <f>IF($N18="","",INDEX('Cronograma Asistente Técnico'!$A$5:$A$1000,$N18))</f>
        <v/>
      </c>
      <c r="B18" s="62">
        <f>IF($N18="","",IF($O18="Sub","      ↳  "&amp;INDEX('Cronograma Asistente Técnico'!$C$5:$C$1000,$N18),INDEX('Cronograma Asistente Técnico'!$C$5:$C$1000,$N18)&amp;""))</f>
        <v/>
      </c>
      <c r="C18" s="79">
        <f>IF($N18="","",IF(INDEX('Cronograma Asistente Técnico'!$AM$5:$AM$1000,$N18)="","",INDEX('Cronograma Asistente Técnico'!$AM$5:$AM$1000,$N18)))</f>
        <v/>
      </c>
      <c r="D18" s="79">
        <f>IF($N18="","",IF(INDEX('Cronograma Asistente Técnico'!$AN$5:$AN$1000,$N18)="","",INDEX('Cronograma Asistente Técnico'!$AN$5:$AN$1000,$N18)))</f>
        <v/>
      </c>
      <c r="E18" s="56">
        <f>IF($N18="","",IF(NOT(ISNUMBER($D18)),"",IF($D18&lt;InicioCiclo,"Antes del ciclo",IF($D18&gt;=InicioCiclo+28,"Después del ciclo","Semana "&amp;(INT(($D18-InicioCiclo)/7)+1)))))</f>
        <v/>
      </c>
      <c r="F18" s="61">
        <f>IF($N18="","",IF($P18&gt;0,IF(1&lt;=SemanaActual,INDEX('Cronograma Asistente Técnico'!$AC$5:$AC$1000,$N18),""),IF(INDEX('Cronograma Asistente Técnico'!$I$5:$I$1000,$N18)="","",INDEX('Cronograma Asistente Técnico'!$I$5:$I$1000,$N18))))</f>
        <v/>
      </c>
      <c r="G18" s="61">
        <f>IF($N18="","",IF($P18&gt;0,IF(2&lt;=SemanaActual,INDEX('Cronograma Asistente Técnico'!$AD$5:$AD$1000,$N18),""),IF(INDEX('Cronograma Asistente Técnico'!$J$5:$J$1000,$N18)="","",INDEX('Cronograma Asistente Técnico'!$J$5:$J$1000,$N18))))</f>
        <v/>
      </c>
      <c r="H18" s="61">
        <f>IF($N18="","",IF($P18&gt;0,IF(3&lt;=SemanaActual,INDEX('Cronograma Asistente Técnico'!$AE$5:$AE$1000,$N18),""),IF(INDEX('Cronograma Asistente Técnico'!$K$5:$K$1000,$N18)="","",INDEX('Cronograma Asistente Técnico'!$K$5:$K$1000,$N18))))</f>
        <v/>
      </c>
      <c r="I18" s="61">
        <f>IF($N18="","",IF($P18&gt;0,IF(4&lt;=SemanaActual,INDEX('Cronograma Asistente Técnico'!$AF$5:$AF$1000,$N18),""),IF(INDEX('Cronograma Asistente Técnico'!$L$5:$L$1000,$N18)="","",INDEX('Cronograma Asistente Técnico'!$L$5:$L$1000,$N18))))</f>
        <v/>
      </c>
      <c r="J18" s="61">
        <f>IF($N18="","",INDEX('Cronograma Asistente Técnico'!$M$5:$M$1000,$N18))</f>
        <v/>
      </c>
      <c r="K18" s="56">
        <f>IF($N18="","",IF(N($J18)&gt;=1,"Completado",IF(AND(ISNUMBER($D18),$D18&lt;FechaRef),"Vencida",IF(N($J18)&gt;0,"En curso","Pendiente"))))</f>
        <v/>
      </c>
      <c r="L18" s="56">
        <f>IF($N18="","",INDEX('Cronograma Asistente Técnico'!$O$5:$O$1000,$N18)&amp;"")</f>
        <v/>
      </c>
      <c r="M18" s="62">
        <f>IF($N18="","",INDEX('Cronograma Asistente Técnico'!$Q$5:$Q$1000,$N18)&amp;"")</f>
        <v/>
      </c>
      <c r="N18">
        <f>IFERROR(MATCH(ROW()-4,rOrden_ATR,0),"")</f>
        <v/>
      </c>
      <c r="O18">
        <f>IF($N18="","",INDEX('Cronograma Asistente Técnico'!$V$5:$V$1000,$N18))</f>
        <v/>
      </c>
      <c r="P18">
        <f>IF($N18="","",N(INDEX('Cronograma Asistente Técnico'!$W$5:$W$1000,$N18)))</f>
        <v/>
      </c>
      <c r="Q18">
        <f>IF(OR(LEFT($L18,7)="Vencida",LEFT($L18,5)="Vence"),SUMPRODUCT(--(LEFT($L$5:$L18,7)="Vencida"))+SUMPRODUCT(--(LEFT($L$5:$L18,5)="Vence")),"")</f>
        <v/>
      </c>
    </row>
    <row r="19">
      <c r="A19" s="56">
        <f>IF($N19="","",INDEX('Cronograma Asistente Técnico'!$A$5:$A$1000,$N19))</f>
        <v/>
      </c>
      <c r="B19" s="62">
        <f>IF($N19="","",IF($O19="Sub","      ↳  "&amp;INDEX('Cronograma Asistente Técnico'!$C$5:$C$1000,$N19),INDEX('Cronograma Asistente Técnico'!$C$5:$C$1000,$N19)&amp;""))</f>
        <v/>
      </c>
      <c r="C19" s="79">
        <f>IF($N19="","",IF(INDEX('Cronograma Asistente Técnico'!$AM$5:$AM$1000,$N19)="","",INDEX('Cronograma Asistente Técnico'!$AM$5:$AM$1000,$N19)))</f>
        <v/>
      </c>
      <c r="D19" s="79">
        <f>IF($N19="","",IF(INDEX('Cronograma Asistente Técnico'!$AN$5:$AN$1000,$N19)="","",INDEX('Cronograma Asistente Técnico'!$AN$5:$AN$1000,$N19)))</f>
        <v/>
      </c>
      <c r="E19" s="56">
        <f>IF($N19="","",IF(NOT(ISNUMBER($D19)),"",IF($D19&lt;InicioCiclo,"Antes del ciclo",IF($D19&gt;=InicioCiclo+28,"Después del ciclo","Semana "&amp;(INT(($D19-InicioCiclo)/7)+1)))))</f>
        <v/>
      </c>
      <c r="F19" s="61">
        <f>IF($N19="","",IF($P19&gt;0,IF(1&lt;=SemanaActual,INDEX('Cronograma Asistente Técnico'!$AC$5:$AC$1000,$N19),""),IF(INDEX('Cronograma Asistente Técnico'!$I$5:$I$1000,$N19)="","",INDEX('Cronograma Asistente Técnico'!$I$5:$I$1000,$N19))))</f>
        <v/>
      </c>
      <c r="G19" s="61">
        <f>IF($N19="","",IF($P19&gt;0,IF(2&lt;=SemanaActual,INDEX('Cronograma Asistente Técnico'!$AD$5:$AD$1000,$N19),""),IF(INDEX('Cronograma Asistente Técnico'!$J$5:$J$1000,$N19)="","",INDEX('Cronograma Asistente Técnico'!$J$5:$J$1000,$N19))))</f>
        <v/>
      </c>
      <c r="H19" s="61">
        <f>IF($N19="","",IF($P19&gt;0,IF(3&lt;=SemanaActual,INDEX('Cronograma Asistente Técnico'!$AE$5:$AE$1000,$N19),""),IF(INDEX('Cronograma Asistente Técnico'!$K$5:$K$1000,$N19)="","",INDEX('Cronograma Asistente Técnico'!$K$5:$K$1000,$N19))))</f>
        <v/>
      </c>
      <c r="I19" s="61">
        <f>IF($N19="","",IF($P19&gt;0,IF(4&lt;=SemanaActual,INDEX('Cronograma Asistente Técnico'!$AF$5:$AF$1000,$N19),""),IF(INDEX('Cronograma Asistente Técnico'!$L$5:$L$1000,$N19)="","",INDEX('Cronograma Asistente Técnico'!$L$5:$L$1000,$N19))))</f>
        <v/>
      </c>
      <c r="J19" s="61">
        <f>IF($N19="","",INDEX('Cronograma Asistente Técnico'!$M$5:$M$1000,$N19))</f>
        <v/>
      </c>
      <c r="K19" s="56">
        <f>IF($N19="","",IF(N($J19)&gt;=1,"Completado",IF(AND(ISNUMBER($D19),$D19&lt;FechaRef),"Vencida",IF(N($J19)&gt;0,"En curso","Pendiente"))))</f>
        <v/>
      </c>
      <c r="L19" s="56">
        <f>IF($N19="","",INDEX('Cronograma Asistente Técnico'!$O$5:$O$1000,$N19)&amp;"")</f>
        <v/>
      </c>
      <c r="M19" s="62">
        <f>IF($N19="","",INDEX('Cronograma Asistente Técnico'!$Q$5:$Q$1000,$N19)&amp;"")</f>
        <v/>
      </c>
      <c r="N19">
        <f>IFERROR(MATCH(ROW()-4,rOrden_ATR,0),"")</f>
        <v/>
      </c>
      <c r="O19">
        <f>IF($N19="","",INDEX('Cronograma Asistente Técnico'!$V$5:$V$1000,$N19))</f>
        <v/>
      </c>
      <c r="P19">
        <f>IF($N19="","",N(INDEX('Cronograma Asistente Técnico'!$W$5:$W$1000,$N19)))</f>
        <v/>
      </c>
      <c r="Q19">
        <f>IF(OR(LEFT($L19,7)="Vencida",LEFT($L19,5)="Vence"),SUMPRODUCT(--(LEFT($L$5:$L19,7)="Vencida"))+SUMPRODUCT(--(LEFT($L$5:$L19,5)="Vence")),"")</f>
        <v/>
      </c>
    </row>
    <row r="20">
      <c r="A20" s="56">
        <f>IF($N20="","",INDEX('Cronograma Asistente Técnico'!$A$5:$A$1000,$N20))</f>
        <v/>
      </c>
      <c r="B20" s="62">
        <f>IF($N20="","",IF($O20="Sub","      ↳  "&amp;INDEX('Cronograma Asistente Técnico'!$C$5:$C$1000,$N20),INDEX('Cronograma Asistente Técnico'!$C$5:$C$1000,$N20)&amp;""))</f>
        <v/>
      </c>
      <c r="C20" s="79">
        <f>IF($N20="","",IF(INDEX('Cronograma Asistente Técnico'!$AM$5:$AM$1000,$N20)="","",INDEX('Cronograma Asistente Técnico'!$AM$5:$AM$1000,$N20)))</f>
        <v/>
      </c>
      <c r="D20" s="79">
        <f>IF($N20="","",IF(INDEX('Cronograma Asistente Técnico'!$AN$5:$AN$1000,$N20)="","",INDEX('Cronograma Asistente Técnico'!$AN$5:$AN$1000,$N20)))</f>
        <v/>
      </c>
      <c r="E20" s="56">
        <f>IF($N20="","",IF(NOT(ISNUMBER($D20)),"",IF($D20&lt;InicioCiclo,"Antes del ciclo",IF($D20&gt;=InicioCiclo+28,"Después del ciclo","Semana "&amp;(INT(($D20-InicioCiclo)/7)+1)))))</f>
        <v/>
      </c>
      <c r="F20" s="61">
        <f>IF($N20="","",IF($P20&gt;0,IF(1&lt;=SemanaActual,INDEX('Cronograma Asistente Técnico'!$AC$5:$AC$1000,$N20),""),IF(INDEX('Cronograma Asistente Técnico'!$I$5:$I$1000,$N20)="","",INDEX('Cronograma Asistente Técnico'!$I$5:$I$1000,$N20))))</f>
        <v/>
      </c>
      <c r="G20" s="61">
        <f>IF($N20="","",IF($P20&gt;0,IF(2&lt;=SemanaActual,INDEX('Cronograma Asistente Técnico'!$AD$5:$AD$1000,$N20),""),IF(INDEX('Cronograma Asistente Técnico'!$J$5:$J$1000,$N20)="","",INDEX('Cronograma Asistente Técnico'!$J$5:$J$1000,$N20))))</f>
        <v/>
      </c>
      <c r="H20" s="61">
        <f>IF($N20="","",IF($P20&gt;0,IF(3&lt;=SemanaActual,INDEX('Cronograma Asistente Técnico'!$AE$5:$AE$1000,$N20),""),IF(INDEX('Cronograma Asistente Técnico'!$K$5:$K$1000,$N20)="","",INDEX('Cronograma Asistente Técnico'!$K$5:$K$1000,$N20))))</f>
        <v/>
      </c>
      <c r="I20" s="61">
        <f>IF($N20="","",IF($P20&gt;0,IF(4&lt;=SemanaActual,INDEX('Cronograma Asistente Técnico'!$AF$5:$AF$1000,$N20),""),IF(INDEX('Cronograma Asistente Técnico'!$L$5:$L$1000,$N20)="","",INDEX('Cronograma Asistente Técnico'!$L$5:$L$1000,$N20))))</f>
        <v/>
      </c>
      <c r="J20" s="61">
        <f>IF($N20="","",INDEX('Cronograma Asistente Técnico'!$M$5:$M$1000,$N20))</f>
        <v/>
      </c>
      <c r="K20" s="56">
        <f>IF($N20="","",IF(N($J20)&gt;=1,"Completado",IF(AND(ISNUMBER($D20),$D20&lt;FechaRef),"Vencida",IF(N($J20)&gt;0,"En curso","Pendiente"))))</f>
        <v/>
      </c>
      <c r="L20" s="56">
        <f>IF($N20="","",INDEX('Cronograma Asistente Técnico'!$O$5:$O$1000,$N20)&amp;"")</f>
        <v/>
      </c>
      <c r="M20" s="62">
        <f>IF($N20="","",INDEX('Cronograma Asistente Técnico'!$Q$5:$Q$1000,$N20)&amp;"")</f>
        <v/>
      </c>
      <c r="N20">
        <f>IFERROR(MATCH(ROW()-4,rOrden_ATR,0),"")</f>
        <v/>
      </c>
      <c r="O20">
        <f>IF($N20="","",INDEX('Cronograma Asistente Técnico'!$V$5:$V$1000,$N20))</f>
        <v/>
      </c>
      <c r="P20">
        <f>IF($N20="","",N(INDEX('Cronograma Asistente Técnico'!$W$5:$W$1000,$N20)))</f>
        <v/>
      </c>
      <c r="Q20">
        <f>IF(OR(LEFT($L20,7)="Vencida",LEFT($L20,5)="Vence"),SUMPRODUCT(--(LEFT($L$5:$L20,7)="Vencida"))+SUMPRODUCT(--(LEFT($L$5:$L20,5)="Vence")),"")</f>
        <v/>
      </c>
    </row>
    <row r="21">
      <c r="A21" s="56">
        <f>IF($N21="","",INDEX('Cronograma Asistente Técnico'!$A$5:$A$1000,$N21))</f>
        <v/>
      </c>
      <c r="B21" s="62">
        <f>IF($N21="","",IF($O21="Sub","      ↳  "&amp;INDEX('Cronograma Asistente Técnico'!$C$5:$C$1000,$N21),INDEX('Cronograma Asistente Técnico'!$C$5:$C$1000,$N21)&amp;""))</f>
        <v/>
      </c>
      <c r="C21" s="79">
        <f>IF($N21="","",IF(INDEX('Cronograma Asistente Técnico'!$AM$5:$AM$1000,$N21)="","",INDEX('Cronograma Asistente Técnico'!$AM$5:$AM$1000,$N21)))</f>
        <v/>
      </c>
      <c r="D21" s="79">
        <f>IF($N21="","",IF(INDEX('Cronograma Asistente Técnico'!$AN$5:$AN$1000,$N21)="","",INDEX('Cronograma Asistente Técnico'!$AN$5:$AN$1000,$N21)))</f>
        <v/>
      </c>
      <c r="E21" s="56">
        <f>IF($N21="","",IF(NOT(ISNUMBER($D21)),"",IF($D21&lt;InicioCiclo,"Antes del ciclo",IF($D21&gt;=InicioCiclo+28,"Después del ciclo","Semana "&amp;(INT(($D21-InicioCiclo)/7)+1)))))</f>
        <v/>
      </c>
      <c r="F21" s="61">
        <f>IF($N21="","",IF($P21&gt;0,IF(1&lt;=SemanaActual,INDEX('Cronograma Asistente Técnico'!$AC$5:$AC$1000,$N21),""),IF(INDEX('Cronograma Asistente Técnico'!$I$5:$I$1000,$N21)="","",INDEX('Cronograma Asistente Técnico'!$I$5:$I$1000,$N21))))</f>
        <v/>
      </c>
      <c r="G21" s="61">
        <f>IF($N21="","",IF($P21&gt;0,IF(2&lt;=SemanaActual,INDEX('Cronograma Asistente Técnico'!$AD$5:$AD$1000,$N21),""),IF(INDEX('Cronograma Asistente Técnico'!$J$5:$J$1000,$N21)="","",INDEX('Cronograma Asistente Técnico'!$J$5:$J$1000,$N21))))</f>
        <v/>
      </c>
      <c r="H21" s="61">
        <f>IF($N21="","",IF($P21&gt;0,IF(3&lt;=SemanaActual,INDEX('Cronograma Asistente Técnico'!$AE$5:$AE$1000,$N21),""),IF(INDEX('Cronograma Asistente Técnico'!$K$5:$K$1000,$N21)="","",INDEX('Cronograma Asistente Técnico'!$K$5:$K$1000,$N21))))</f>
        <v/>
      </c>
      <c r="I21" s="61">
        <f>IF($N21="","",IF($P21&gt;0,IF(4&lt;=SemanaActual,INDEX('Cronograma Asistente Técnico'!$AF$5:$AF$1000,$N21),""),IF(INDEX('Cronograma Asistente Técnico'!$L$5:$L$1000,$N21)="","",INDEX('Cronograma Asistente Técnico'!$L$5:$L$1000,$N21))))</f>
        <v/>
      </c>
      <c r="J21" s="61">
        <f>IF($N21="","",INDEX('Cronograma Asistente Técnico'!$M$5:$M$1000,$N21))</f>
        <v/>
      </c>
      <c r="K21" s="56">
        <f>IF($N21="","",IF(N($J21)&gt;=1,"Completado",IF(AND(ISNUMBER($D21),$D21&lt;FechaRef),"Vencida",IF(N($J21)&gt;0,"En curso","Pendiente"))))</f>
        <v/>
      </c>
      <c r="L21" s="56">
        <f>IF($N21="","",INDEX('Cronograma Asistente Técnico'!$O$5:$O$1000,$N21)&amp;"")</f>
        <v/>
      </c>
      <c r="M21" s="62">
        <f>IF($N21="","",INDEX('Cronograma Asistente Técnico'!$Q$5:$Q$1000,$N21)&amp;"")</f>
        <v/>
      </c>
      <c r="N21">
        <f>IFERROR(MATCH(ROW()-4,rOrden_ATR,0),"")</f>
        <v/>
      </c>
      <c r="O21">
        <f>IF($N21="","",INDEX('Cronograma Asistente Técnico'!$V$5:$V$1000,$N21))</f>
        <v/>
      </c>
      <c r="P21">
        <f>IF($N21="","",N(INDEX('Cronograma Asistente Técnico'!$W$5:$W$1000,$N21)))</f>
        <v/>
      </c>
      <c r="Q21">
        <f>IF(OR(LEFT($L21,7)="Vencida",LEFT($L21,5)="Vence"),SUMPRODUCT(--(LEFT($L$5:$L21,7)="Vencida"))+SUMPRODUCT(--(LEFT($L$5:$L21,5)="Vence")),"")</f>
        <v/>
      </c>
    </row>
    <row r="22">
      <c r="A22" s="56">
        <f>IF($N22="","",INDEX('Cronograma Asistente Técnico'!$A$5:$A$1000,$N22))</f>
        <v/>
      </c>
      <c r="B22" s="62">
        <f>IF($N22="","",IF($O22="Sub","      ↳  "&amp;INDEX('Cronograma Asistente Técnico'!$C$5:$C$1000,$N22),INDEX('Cronograma Asistente Técnico'!$C$5:$C$1000,$N22)&amp;""))</f>
        <v/>
      </c>
      <c r="C22" s="79">
        <f>IF($N22="","",IF(INDEX('Cronograma Asistente Técnico'!$AM$5:$AM$1000,$N22)="","",INDEX('Cronograma Asistente Técnico'!$AM$5:$AM$1000,$N22)))</f>
        <v/>
      </c>
      <c r="D22" s="79">
        <f>IF($N22="","",IF(INDEX('Cronograma Asistente Técnico'!$AN$5:$AN$1000,$N22)="","",INDEX('Cronograma Asistente Técnico'!$AN$5:$AN$1000,$N22)))</f>
        <v/>
      </c>
      <c r="E22" s="56">
        <f>IF($N22="","",IF(NOT(ISNUMBER($D22)),"",IF($D22&lt;InicioCiclo,"Antes del ciclo",IF($D22&gt;=InicioCiclo+28,"Después del ciclo","Semana "&amp;(INT(($D22-InicioCiclo)/7)+1)))))</f>
        <v/>
      </c>
      <c r="F22" s="61">
        <f>IF($N22="","",IF($P22&gt;0,IF(1&lt;=SemanaActual,INDEX('Cronograma Asistente Técnico'!$AC$5:$AC$1000,$N22),""),IF(INDEX('Cronograma Asistente Técnico'!$I$5:$I$1000,$N22)="","",INDEX('Cronograma Asistente Técnico'!$I$5:$I$1000,$N22))))</f>
        <v/>
      </c>
      <c r="G22" s="61">
        <f>IF($N22="","",IF($P22&gt;0,IF(2&lt;=SemanaActual,INDEX('Cronograma Asistente Técnico'!$AD$5:$AD$1000,$N22),""),IF(INDEX('Cronograma Asistente Técnico'!$J$5:$J$1000,$N22)="","",INDEX('Cronograma Asistente Técnico'!$J$5:$J$1000,$N22))))</f>
        <v/>
      </c>
      <c r="H22" s="61">
        <f>IF($N22="","",IF($P22&gt;0,IF(3&lt;=SemanaActual,INDEX('Cronograma Asistente Técnico'!$AE$5:$AE$1000,$N22),""),IF(INDEX('Cronograma Asistente Técnico'!$K$5:$K$1000,$N22)="","",INDEX('Cronograma Asistente Técnico'!$K$5:$K$1000,$N22))))</f>
        <v/>
      </c>
      <c r="I22" s="61">
        <f>IF($N22="","",IF($P22&gt;0,IF(4&lt;=SemanaActual,INDEX('Cronograma Asistente Técnico'!$AF$5:$AF$1000,$N22),""),IF(INDEX('Cronograma Asistente Técnico'!$L$5:$L$1000,$N22)="","",INDEX('Cronograma Asistente Técnico'!$L$5:$L$1000,$N22))))</f>
        <v/>
      </c>
      <c r="J22" s="61">
        <f>IF($N22="","",INDEX('Cronograma Asistente Técnico'!$M$5:$M$1000,$N22))</f>
        <v/>
      </c>
      <c r="K22" s="56">
        <f>IF($N22="","",IF(N($J22)&gt;=1,"Completado",IF(AND(ISNUMBER($D22),$D22&lt;FechaRef),"Vencida",IF(N($J22)&gt;0,"En curso","Pendiente"))))</f>
        <v/>
      </c>
      <c r="L22" s="56">
        <f>IF($N22="","",INDEX('Cronograma Asistente Técnico'!$O$5:$O$1000,$N22)&amp;"")</f>
        <v/>
      </c>
      <c r="M22" s="62">
        <f>IF($N22="","",INDEX('Cronograma Asistente Técnico'!$Q$5:$Q$1000,$N22)&amp;"")</f>
        <v/>
      </c>
      <c r="N22">
        <f>IFERROR(MATCH(ROW()-4,rOrden_ATR,0),"")</f>
        <v/>
      </c>
      <c r="O22">
        <f>IF($N22="","",INDEX('Cronograma Asistente Técnico'!$V$5:$V$1000,$N22))</f>
        <v/>
      </c>
      <c r="P22">
        <f>IF($N22="","",N(INDEX('Cronograma Asistente Técnico'!$W$5:$W$1000,$N22)))</f>
        <v/>
      </c>
      <c r="Q22">
        <f>IF(OR(LEFT($L22,7)="Vencida",LEFT($L22,5)="Vence"),SUMPRODUCT(--(LEFT($L$5:$L22,7)="Vencida"))+SUMPRODUCT(--(LEFT($L$5:$L22,5)="Vence")),"")</f>
        <v/>
      </c>
    </row>
    <row r="23">
      <c r="A23" s="56">
        <f>IF($N23="","",INDEX('Cronograma Asistente Técnico'!$A$5:$A$1000,$N23))</f>
        <v/>
      </c>
      <c r="B23" s="62">
        <f>IF($N23="","",IF($O23="Sub","      ↳  "&amp;INDEX('Cronograma Asistente Técnico'!$C$5:$C$1000,$N23),INDEX('Cronograma Asistente Técnico'!$C$5:$C$1000,$N23)&amp;""))</f>
        <v/>
      </c>
      <c r="C23" s="79">
        <f>IF($N23="","",IF(INDEX('Cronograma Asistente Técnico'!$AM$5:$AM$1000,$N23)="","",INDEX('Cronograma Asistente Técnico'!$AM$5:$AM$1000,$N23)))</f>
        <v/>
      </c>
      <c r="D23" s="79">
        <f>IF($N23="","",IF(INDEX('Cronograma Asistente Técnico'!$AN$5:$AN$1000,$N23)="","",INDEX('Cronograma Asistente Técnico'!$AN$5:$AN$1000,$N23)))</f>
        <v/>
      </c>
      <c r="E23" s="56">
        <f>IF($N23="","",IF(NOT(ISNUMBER($D23)),"",IF($D23&lt;InicioCiclo,"Antes del ciclo",IF($D23&gt;=InicioCiclo+28,"Después del ciclo","Semana "&amp;(INT(($D23-InicioCiclo)/7)+1)))))</f>
        <v/>
      </c>
      <c r="F23" s="61">
        <f>IF($N23="","",IF($P23&gt;0,IF(1&lt;=SemanaActual,INDEX('Cronograma Asistente Técnico'!$AC$5:$AC$1000,$N23),""),IF(INDEX('Cronograma Asistente Técnico'!$I$5:$I$1000,$N23)="","",INDEX('Cronograma Asistente Técnico'!$I$5:$I$1000,$N23))))</f>
        <v/>
      </c>
      <c r="G23" s="61">
        <f>IF($N23="","",IF($P23&gt;0,IF(2&lt;=SemanaActual,INDEX('Cronograma Asistente Técnico'!$AD$5:$AD$1000,$N23),""),IF(INDEX('Cronograma Asistente Técnico'!$J$5:$J$1000,$N23)="","",INDEX('Cronograma Asistente Técnico'!$J$5:$J$1000,$N23))))</f>
        <v/>
      </c>
      <c r="H23" s="61">
        <f>IF($N23="","",IF($P23&gt;0,IF(3&lt;=SemanaActual,INDEX('Cronograma Asistente Técnico'!$AE$5:$AE$1000,$N23),""),IF(INDEX('Cronograma Asistente Técnico'!$K$5:$K$1000,$N23)="","",INDEX('Cronograma Asistente Técnico'!$K$5:$K$1000,$N23))))</f>
        <v/>
      </c>
      <c r="I23" s="61">
        <f>IF($N23="","",IF($P23&gt;0,IF(4&lt;=SemanaActual,INDEX('Cronograma Asistente Técnico'!$AF$5:$AF$1000,$N23),""),IF(INDEX('Cronograma Asistente Técnico'!$L$5:$L$1000,$N23)="","",INDEX('Cronograma Asistente Técnico'!$L$5:$L$1000,$N23))))</f>
        <v/>
      </c>
      <c r="J23" s="61">
        <f>IF($N23="","",INDEX('Cronograma Asistente Técnico'!$M$5:$M$1000,$N23))</f>
        <v/>
      </c>
      <c r="K23" s="56">
        <f>IF($N23="","",IF(N($J23)&gt;=1,"Completado",IF(AND(ISNUMBER($D23),$D23&lt;FechaRef),"Vencida",IF(N($J23)&gt;0,"En curso","Pendiente"))))</f>
        <v/>
      </c>
      <c r="L23" s="56">
        <f>IF($N23="","",INDEX('Cronograma Asistente Técnico'!$O$5:$O$1000,$N23)&amp;"")</f>
        <v/>
      </c>
      <c r="M23" s="62">
        <f>IF($N23="","",INDEX('Cronograma Asistente Técnico'!$Q$5:$Q$1000,$N23)&amp;"")</f>
        <v/>
      </c>
      <c r="N23">
        <f>IFERROR(MATCH(ROW()-4,rOrden_ATR,0),"")</f>
        <v/>
      </c>
      <c r="O23">
        <f>IF($N23="","",INDEX('Cronograma Asistente Técnico'!$V$5:$V$1000,$N23))</f>
        <v/>
      </c>
      <c r="P23">
        <f>IF($N23="","",N(INDEX('Cronograma Asistente Técnico'!$W$5:$W$1000,$N23)))</f>
        <v/>
      </c>
      <c r="Q23">
        <f>IF(OR(LEFT($L23,7)="Vencida",LEFT($L23,5)="Vence"),SUMPRODUCT(--(LEFT($L$5:$L23,7)="Vencida"))+SUMPRODUCT(--(LEFT($L$5:$L23,5)="Vence")),"")</f>
        <v/>
      </c>
    </row>
    <row r="24">
      <c r="A24" s="56">
        <f>IF($N24="","",INDEX('Cronograma Asistente Técnico'!$A$5:$A$1000,$N24))</f>
        <v/>
      </c>
      <c r="B24" s="62">
        <f>IF($N24="","",IF($O24="Sub","      ↳  "&amp;INDEX('Cronograma Asistente Técnico'!$C$5:$C$1000,$N24),INDEX('Cronograma Asistente Técnico'!$C$5:$C$1000,$N24)&amp;""))</f>
        <v/>
      </c>
      <c r="C24" s="79">
        <f>IF($N24="","",IF(INDEX('Cronograma Asistente Técnico'!$AM$5:$AM$1000,$N24)="","",INDEX('Cronograma Asistente Técnico'!$AM$5:$AM$1000,$N24)))</f>
        <v/>
      </c>
      <c r="D24" s="79">
        <f>IF($N24="","",IF(INDEX('Cronograma Asistente Técnico'!$AN$5:$AN$1000,$N24)="","",INDEX('Cronograma Asistente Técnico'!$AN$5:$AN$1000,$N24)))</f>
        <v/>
      </c>
      <c r="E24" s="56">
        <f>IF($N24="","",IF(NOT(ISNUMBER($D24)),"",IF($D24&lt;InicioCiclo,"Antes del ciclo",IF($D24&gt;=InicioCiclo+28,"Después del ciclo","Semana "&amp;(INT(($D24-InicioCiclo)/7)+1)))))</f>
        <v/>
      </c>
      <c r="F24" s="61">
        <f>IF($N24="","",IF($P24&gt;0,IF(1&lt;=SemanaActual,INDEX('Cronograma Asistente Técnico'!$AC$5:$AC$1000,$N24),""),IF(INDEX('Cronograma Asistente Técnico'!$I$5:$I$1000,$N24)="","",INDEX('Cronograma Asistente Técnico'!$I$5:$I$1000,$N24))))</f>
        <v/>
      </c>
      <c r="G24" s="61">
        <f>IF($N24="","",IF($P24&gt;0,IF(2&lt;=SemanaActual,INDEX('Cronograma Asistente Técnico'!$AD$5:$AD$1000,$N24),""),IF(INDEX('Cronograma Asistente Técnico'!$J$5:$J$1000,$N24)="","",INDEX('Cronograma Asistente Técnico'!$J$5:$J$1000,$N24))))</f>
        <v/>
      </c>
      <c r="H24" s="61">
        <f>IF($N24="","",IF($P24&gt;0,IF(3&lt;=SemanaActual,INDEX('Cronograma Asistente Técnico'!$AE$5:$AE$1000,$N24),""),IF(INDEX('Cronograma Asistente Técnico'!$K$5:$K$1000,$N24)="","",INDEX('Cronograma Asistente Técnico'!$K$5:$K$1000,$N24))))</f>
        <v/>
      </c>
      <c r="I24" s="61">
        <f>IF($N24="","",IF($P24&gt;0,IF(4&lt;=SemanaActual,INDEX('Cronograma Asistente Técnico'!$AF$5:$AF$1000,$N24),""),IF(INDEX('Cronograma Asistente Técnico'!$L$5:$L$1000,$N24)="","",INDEX('Cronograma Asistente Técnico'!$L$5:$L$1000,$N24))))</f>
        <v/>
      </c>
      <c r="J24" s="61">
        <f>IF($N24="","",INDEX('Cronograma Asistente Técnico'!$M$5:$M$1000,$N24))</f>
        <v/>
      </c>
      <c r="K24" s="56">
        <f>IF($N24="","",IF(N($J24)&gt;=1,"Completado",IF(AND(ISNUMBER($D24),$D24&lt;FechaRef),"Vencida",IF(N($J24)&gt;0,"En curso","Pendiente"))))</f>
        <v/>
      </c>
      <c r="L24" s="56">
        <f>IF($N24="","",INDEX('Cronograma Asistente Técnico'!$O$5:$O$1000,$N24)&amp;"")</f>
        <v/>
      </c>
      <c r="M24" s="62">
        <f>IF($N24="","",INDEX('Cronograma Asistente Técnico'!$Q$5:$Q$1000,$N24)&amp;"")</f>
        <v/>
      </c>
      <c r="N24">
        <f>IFERROR(MATCH(ROW()-4,rOrden_ATR,0),"")</f>
        <v/>
      </c>
      <c r="O24">
        <f>IF($N24="","",INDEX('Cronograma Asistente Técnico'!$V$5:$V$1000,$N24))</f>
        <v/>
      </c>
      <c r="P24">
        <f>IF($N24="","",N(INDEX('Cronograma Asistente Técnico'!$W$5:$W$1000,$N24)))</f>
        <v/>
      </c>
      <c r="Q24">
        <f>IF(OR(LEFT($L24,7)="Vencida",LEFT($L24,5)="Vence"),SUMPRODUCT(--(LEFT($L$5:$L24,7)="Vencida"))+SUMPRODUCT(--(LEFT($L$5:$L24,5)="Vence")),"")</f>
        <v/>
      </c>
    </row>
    <row r="25">
      <c r="A25" s="56">
        <f>IF($N25="","",INDEX('Cronograma Asistente Técnico'!$A$5:$A$1000,$N25))</f>
        <v/>
      </c>
      <c r="B25" s="62">
        <f>IF($N25="","",IF($O25="Sub","      ↳  "&amp;INDEX('Cronograma Asistente Técnico'!$C$5:$C$1000,$N25),INDEX('Cronograma Asistente Técnico'!$C$5:$C$1000,$N25)&amp;""))</f>
        <v/>
      </c>
      <c r="C25" s="79">
        <f>IF($N25="","",IF(INDEX('Cronograma Asistente Técnico'!$AM$5:$AM$1000,$N25)="","",INDEX('Cronograma Asistente Técnico'!$AM$5:$AM$1000,$N25)))</f>
        <v/>
      </c>
      <c r="D25" s="79">
        <f>IF($N25="","",IF(INDEX('Cronograma Asistente Técnico'!$AN$5:$AN$1000,$N25)="","",INDEX('Cronograma Asistente Técnico'!$AN$5:$AN$1000,$N25)))</f>
        <v/>
      </c>
      <c r="E25" s="56">
        <f>IF($N25="","",IF(NOT(ISNUMBER($D25)),"",IF($D25&lt;InicioCiclo,"Antes del ciclo",IF($D25&gt;=InicioCiclo+28,"Después del ciclo","Semana "&amp;(INT(($D25-InicioCiclo)/7)+1)))))</f>
        <v/>
      </c>
      <c r="F25" s="61">
        <f>IF($N25="","",IF($P25&gt;0,IF(1&lt;=SemanaActual,INDEX('Cronograma Asistente Técnico'!$AC$5:$AC$1000,$N25),""),IF(INDEX('Cronograma Asistente Técnico'!$I$5:$I$1000,$N25)="","",INDEX('Cronograma Asistente Técnico'!$I$5:$I$1000,$N25))))</f>
        <v/>
      </c>
      <c r="G25" s="61">
        <f>IF($N25="","",IF($P25&gt;0,IF(2&lt;=SemanaActual,INDEX('Cronograma Asistente Técnico'!$AD$5:$AD$1000,$N25),""),IF(INDEX('Cronograma Asistente Técnico'!$J$5:$J$1000,$N25)="","",INDEX('Cronograma Asistente Técnico'!$J$5:$J$1000,$N25))))</f>
        <v/>
      </c>
      <c r="H25" s="61">
        <f>IF($N25="","",IF($P25&gt;0,IF(3&lt;=SemanaActual,INDEX('Cronograma Asistente Técnico'!$AE$5:$AE$1000,$N25),""),IF(INDEX('Cronograma Asistente Técnico'!$K$5:$K$1000,$N25)="","",INDEX('Cronograma Asistente Técnico'!$K$5:$K$1000,$N25))))</f>
        <v/>
      </c>
      <c r="I25" s="61">
        <f>IF($N25="","",IF($P25&gt;0,IF(4&lt;=SemanaActual,INDEX('Cronograma Asistente Técnico'!$AF$5:$AF$1000,$N25),""),IF(INDEX('Cronograma Asistente Técnico'!$L$5:$L$1000,$N25)="","",INDEX('Cronograma Asistente Técnico'!$L$5:$L$1000,$N25))))</f>
        <v/>
      </c>
      <c r="J25" s="61">
        <f>IF($N25="","",INDEX('Cronograma Asistente Técnico'!$M$5:$M$1000,$N25))</f>
        <v/>
      </c>
      <c r="K25" s="56">
        <f>IF($N25="","",IF(N($J25)&gt;=1,"Completado",IF(AND(ISNUMBER($D25),$D25&lt;FechaRef),"Vencida",IF(N($J25)&gt;0,"En curso","Pendiente"))))</f>
        <v/>
      </c>
      <c r="L25" s="56">
        <f>IF($N25="","",INDEX('Cronograma Asistente Técnico'!$O$5:$O$1000,$N25)&amp;"")</f>
        <v/>
      </c>
      <c r="M25" s="62">
        <f>IF($N25="","",INDEX('Cronograma Asistente Técnico'!$Q$5:$Q$1000,$N25)&amp;"")</f>
        <v/>
      </c>
      <c r="N25">
        <f>IFERROR(MATCH(ROW()-4,rOrden_ATR,0),"")</f>
        <v/>
      </c>
      <c r="O25">
        <f>IF($N25="","",INDEX('Cronograma Asistente Técnico'!$V$5:$V$1000,$N25))</f>
        <v/>
      </c>
      <c r="P25">
        <f>IF($N25="","",N(INDEX('Cronograma Asistente Técnico'!$W$5:$W$1000,$N25)))</f>
        <v/>
      </c>
      <c r="Q25">
        <f>IF(OR(LEFT($L25,7)="Vencida",LEFT($L25,5)="Vence"),SUMPRODUCT(--(LEFT($L$5:$L25,7)="Vencida"))+SUMPRODUCT(--(LEFT($L$5:$L25,5)="Vence")),"")</f>
        <v/>
      </c>
    </row>
    <row r="26">
      <c r="A26" s="56">
        <f>IF($N26="","",INDEX('Cronograma Asistente Técnico'!$A$5:$A$1000,$N26))</f>
        <v/>
      </c>
      <c r="B26" s="62">
        <f>IF($N26="","",IF($O26="Sub","      ↳  "&amp;INDEX('Cronograma Asistente Técnico'!$C$5:$C$1000,$N26),INDEX('Cronograma Asistente Técnico'!$C$5:$C$1000,$N26)&amp;""))</f>
        <v/>
      </c>
      <c r="C26" s="79">
        <f>IF($N26="","",IF(INDEX('Cronograma Asistente Técnico'!$AM$5:$AM$1000,$N26)="","",INDEX('Cronograma Asistente Técnico'!$AM$5:$AM$1000,$N26)))</f>
        <v/>
      </c>
      <c r="D26" s="79">
        <f>IF($N26="","",IF(INDEX('Cronograma Asistente Técnico'!$AN$5:$AN$1000,$N26)="","",INDEX('Cronograma Asistente Técnico'!$AN$5:$AN$1000,$N26)))</f>
        <v/>
      </c>
      <c r="E26" s="56">
        <f>IF($N26="","",IF(NOT(ISNUMBER($D26)),"",IF($D26&lt;InicioCiclo,"Antes del ciclo",IF($D26&gt;=InicioCiclo+28,"Después del ciclo","Semana "&amp;(INT(($D26-InicioCiclo)/7)+1)))))</f>
        <v/>
      </c>
      <c r="F26" s="61">
        <f>IF($N26="","",IF($P26&gt;0,IF(1&lt;=SemanaActual,INDEX('Cronograma Asistente Técnico'!$AC$5:$AC$1000,$N26),""),IF(INDEX('Cronograma Asistente Técnico'!$I$5:$I$1000,$N26)="","",INDEX('Cronograma Asistente Técnico'!$I$5:$I$1000,$N26))))</f>
        <v/>
      </c>
      <c r="G26" s="61">
        <f>IF($N26="","",IF($P26&gt;0,IF(2&lt;=SemanaActual,INDEX('Cronograma Asistente Técnico'!$AD$5:$AD$1000,$N26),""),IF(INDEX('Cronograma Asistente Técnico'!$J$5:$J$1000,$N26)="","",INDEX('Cronograma Asistente Técnico'!$J$5:$J$1000,$N26))))</f>
        <v/>
      </c>
      <c r="H26" s="61">
        <f>IF($N26="","",IF($P26&gt;0,IF(3&lt;=SemanaActual,INDEX('Cronograma Asistente Técnico'!$AE$5:$AE$1000,$N26),""),IF(INDEX('Cronograma Asistente Técnico'!$K$5:$K$1000,$N26)="","",INDEX('Cronograma Asistente Técnico'!$K$5:$K$1000,$N26))))</f>
        <v/>
      </c>
      <c r="I26" s="61">
        <f>IF($N26="","",IF($P26&gt;0,IF(4&lt;=SemanaActual,INDEX('Cronograma Asistente Técnico'!$AF$5:$AF$1000,$N26),""),IF(INDEX('Cronograma Asistente Técnico'!$L$5:$L$1000,$N26)="","",INDEX('Cronograma Asistente Técnico'!$L$5:$L$1000,$N26))))</f>
        <v/>
      </c>
      <c r="J26" s="61">
        <f>IF($N26="","",INDEX('Cronograma Asistente Técnico'!$M$5:$M$1000,$N26))</f>
        <v/>
      </c>
      <c r="K26" s="56">
        <f>IF($N26="","",IF(N($J26)&gt;=1,"Completado",IF(AND(ISNUMBER($D26),$D26&lt;FechaRef),"Vencida",IF(N($J26)&gt;0,"En curso","Pendiente"))))</f>
        <v/>
      </c>
      <c r="L26" s="56">
        <f>IF($N26="","",INDEX('Cronograma Asistente Técnico'!$O$5:$O$1000,$N26)&amp;"")</f>
        <v/>
      </c>
      <c r="M26" s="62">
        <f>IF($N26="","",INDEX('Cronograma Asistente Técnico'!$Q$5:$Q$1000,$N26)&amp;"")</f>
        <v/>
      </c>
      <c r="N26">
        <f>IFERROR(MATCH(ROW()-4,rOrden_ATR,0),"")</f>
        <v/>
      </c>
      <c r="O26">
        <f>IF($N26="","",INDEX('Cronograma Asistente Técnico'!$V$5:$V$1000,$N26))</f>
        <v/>
      </c>
      <c r="P26">
        <f>IF($N26="","",N(INDEX('Cronograma Asistente Técnico'!$W$5:$W$1000,$N26)))</f>
        <v/>
      </c>
      <c r="Q26">
        <f>IF(OR(LEFT($L26,7)="Vencida",LEFT($L26,5)="Vence"),SUMPRODUCT(--(LEFT($L$5:$L26,7)="Vencida"))+SUMPRODUCT(--(LEFT($L$5:$L26,5)="Vence")),"")</f>
        <v/>
      </c>
    </row>
    <row r="27">
      <c r="A27" s="56">
        <f>IF($N27="","",INDEX('Cronograma Asistente Técnico'!$A$5:$A$1000,$N27))</f>
        <v/>
      </c>
      <c r="B27" s="62">
        <f>IF($N27="","",IF($O27="Sub","      ↳  "&amp;INDEX('Cronograma Asistente Técnico'!$C$5:$C$1000,$N27),INDEX('Cronograma Asistente Técnico'!$C$5:$C$1000,$N27)&amp;""))</f>
        <v/>
      </c>
      <c r="C27" s="79">
        <f>IF($N27="","",IF(INDEX('Cronograma Asistente Técnico'!$AM$5:$AM$1000,$N27)="","",INDEX('Cronograma Asistente Técnico'!$AM$5:$AM$1000,$N27)))</f>
        <v/>
      </c>
      <c r="D27" s="79">
        <f>IF($N27="","",IF(INDEX('Cronograma Asistente Técnico'!$AN$5:$AN$1000,$N27)="","",INDEX('Cronograma Asistente Técnico'!$AN$5:$AN$1000,$N27)))</f>
        <v/>
      </c>
      <c r="E27" s="56">
        <f>IF($N27="","",IF(NOT(ISNUMBER($D27)),"",IF($D27&lt;InicioCiclo,"Antes del ciclo",IF($D27&gt;=InicioCiclo+28,"Después del ciclo","Semana "&amp;(INT(($D27-InicioCiclo)/7)+1)))))</f>
        <v/>
      </c>
      <c r="F27" s="61">
        <f>IF($N27="","",IF($P27&gt;0,IF(1&lt;=SemanaActual,INDEX('Cronograma Asistente Técnico'!$AC$5:$AC$1000,$N27),""),IF(INDEX('Cronograma Asistente Técnico'!$I$5:$I$1000,$N27)="","",INDEX('Cronograma Asistente Técnico'!$I$5:$I$1000,$N27))))</f>
        <v/>
      </c>
      <c r="G27" s="61">
        <f>IF($N27="","",IF($P27&gt;0,IF(2&lt;=SemanaActual,INDEX('Cronograma Asistente Técnico'!$AD$5:$AD$1000,$N27),""),IF(INDEX('Cronograma Asistente Técnico'!$J$5:$J$1000,$N27)="","",INDEX('Cronograma Asistente Técnico'!$J$5:$J$1000,$N27))))</f>
        <v/>
      </c>
      <c r="H27" s="61">
        <f>IF($N27="","",IF($P27&gt;0,IF(3&lt;=SemanaActual,INDEX('Cronograma Asistente Técnico'!$AE$5:$AE$1000,$N27),""),IF(INDEX('Cronograma Asistente Técnico'!$K$5:$K$1000,$N27)="","",INDEX('Cronograma Asistente Técnico'!$K$5:$K$1000,$N27))))</f>
        <v/>
      </c>
      <c r="I27" s="61">
        <f>IF($N27="","",IF($P27&gt;0,IF(4&lt;=SemanaActual,INDEX('Cronograma Asistente Técnico'!$AF$5:$AF$1000,$N27),""),IF(INDEX('Cronograma Asistente Técnico'!$L$5:$L$1000,$N27)="","",INDEX('Cronograma Asistente Técnico'!$L$5:$L$1000,$N27))))</f>
        <v/>
      </c>
      <c r="J27" s="61">
        <f>IF($N27="","",INDEX('Cronograma Asistente Técnico'!$M$5:$M$1000,$N27))</f>
        <v/>
      </c>
      <c r="K27" s="56">
        <f>IF($N27="","",IF(N($J27)&gt;=1,"Completado",IF(AND(ISNUMBER($D27),$D27&lt;FechaRef),"Vencida",IF(N($J27)&gt;0,"En curso","Pendiente"))))</f>
        <v/>
      </c>
      <c r="L27" s="56">
        <f>IF($N27="","",INDEX('Cronograma Asistente Técnico'!$O$5:$O$1000,$N27)&amp;"")</f>
        <v/>
      </c>
      <c r="M27" s="62">
        <f>IF($N27="","",INDEX('Cronograma Asistente Técnico'!$Q$5:$Q$1000,$N27)&amp;"")</f>
        <v/>
      </c>
      <c r="N27">
        <f>IFERROR(MATCH(ROW()-4,rOrden_ATR,0),"")</f>
        <v/>
      </c>
      <c r="O27">
        <f>IF($N27="","",INDEX('Cronograma Asistente Técnico'!$V$5:$V$1000,$N27))</f>
        <v/>
      </c>
      <c r="P27">
        <f>IF($N27="","",N(INDEX('Cronograma Asistente Técnico'!$W$5:$W$1000,$N27)))</f>
        <v/>
      </c>
      <c r="Q27">
        <f>IF(OR(LEFT($L27,7)="Vencida",LEFT($L27,5)="Vence"),SUMPRODUCT(--(LEFT($L$5:$L27,7)="Vencida"))+SUMPRODUCT(--(LEFT($L$5:$L27,5)="Vence")),"")</f>
        <v/>
      </c>
    </row>
    <row r="28">
      <c r="A28" s="56">
        <f>IF($N28="","",INDEX('Cronograma Asistente Técnico'!$A$5:$A$1000,$N28))</f>
        <v/>
      </c>
      <c r="B28" s="62">
        <f>IF($N28="","",IF($O28="Sub","      ↳  "&amp;INDEX('Cronograma Asistente Técnico'!$C$5:$C$1000,$N28),INDEX('Cronograma Asistente Técnico'!$C$5:$C$1000,$N28)&amp;""))</f>
        <v/>
      </c>
      <c r="C28" s="79">
        <f>IF($N28="","",IF(INDEX('Cronograma Asistente Técnico'!$AM$5:$AM$1000,$N28)="","",INDEX('Cronograma Asistente Técnico'!$AM$5:$AM$1000,$N28)))</f>
        <v/>
      </c>
      <c r="D28" s="79">
        <f>IF($N28="","",IF(INDEX('Cronograma Asistente Técnico'!$AN$5:$AN$1000,$N28)="","",INDEX('Cronograma Asistente Técnico'!$AN$5:$AN$1000,$N28)))</f>
        <v/>
      </c>
      <c r="E28" s="56">
        <f>IF($N28="","",IF(NOT(ISNUMBER($D28)),"",IF($D28&lt;InicioCiclo,"Antes del ciclo",IF($D28&gt;=InicioCiclo+28,"Después del ciclo","Semana "&amp;(INT(($D28-InicioCiclo)/7)+1)))))</f>
        <v/>
      </c>
      <c r="F28" s="61">
        <f>IF($N28="","",IF($P28&gt;0,IF(1&lt;=SemanaActual,INDEX('Cronograma Asistente Técnico'!$AC$5:$AC$1000,$N28),""),IF(INDEX('Cronograma Asistente Técnico'!$I$5:$I$1000,$N28)="","",INDEX('Cronograma Asistente Técnico'!$I$5:$I$1000,$N28))))</f>
        <v/>
      </c>
      <c r="G28" s="61">
        <f>IF($N28="","",IF($P28&gt;0,IF(2&lt;=SemanaActual,INDEX('Cronograma Asistente Técnico'!$AD$5:$AD$1000,$N28),""),IF(INDEX('Cronograma Asistente Técnico'!$J$5:$J$1000,$N28)="","",INDEX('Cronograma Asistente Técnico'!$J$5:$J$1000,$N28))))</f>
        <v/>
      </c>
      <c r="H28" s="61">
        <f>IF($N28="","",IF($P28&gt;0,IF(3&lt;=SemanaActual,INDEX('Cronograma Asistente Técnico'!$AE$5:$AE$1000,$N28),""),IF(INDEX('Cronograma Asistente Técnico'!$K$5:$K$1000,$N28)="","",INDEX('Cronograma Asistente Técnico'!$K$5:$K$1000,$N28))))</f>
        <v/>
      </c>
      <c r="I28" s="61">
        <f>IF($N28="","",IF($P28&gt;0,IF(4&lt;=SemanaActual,INDEX('Cronograma Asistente Técnico'!$AF$5:$AF$1000,$N28),""),IF(INDEX('Cronograma Asistente Técnico'!$L$5:$L$1000,$N28)="","",INDEX('Cronograma Asistente Técnico'!$L$5:$L$1000,$N28))))</f>
        <v/>
      </c>
      <c r="J28" s="61">
        <f>IF($N28="","",INDEX('Cronograma Asistente Técnico'!$M$5:$M$1000,$N28))</f>
        <v/>
      </c>
      <c r="K28" s="56">
        <f>IF($N28="","",IF(N($J28)&gt;=1,"Completado",IF(AND(ISNUMBER($D28),$D28&lt;FechaRef),"Vencida",IF(N($J28)&gt;0,"En curso","Pendiente"))))</f>
        <v/>
      </c>
      <c r="L28" s="56">
        <f>IF($N28="","",INDEX('Cronograma Asistente Técnico'!$O$5:$O$1000,$N28)&amp;"")</f>
        <v/>
      </c>
      <c r="M28" s="62">
        <f>IF($N28="","",INDEX('Cronograma Asistente Técnico'!$Q$5:$Q$1000,$N28)&amp;"")</f>
        <v/>
      </c>
      <c r="N28">
        <f>IFERROR(MATCH(ROW()-4,rOrden_ATR,0),"")</f>
        <v/>
      </c>
      <c r="O28">
        <f>IF($N28="","",INDEX('Cronograma Asistente Técnico'!$V$5:$V$1000,$N28))</f>
        <v/>
      </c>
      <c r="P28">
        <f>IF($N28="","",N(INDEX('Cronograma Asistente Técnico'!$W$5:$W$1000,$N28)))</f>
        <v/>
      </c>
      <c r="Q28">
        <f>IF(OR(LEFT($L28,7)="Vencida",LEFT($L28,5)="Vence"),SUMPRODUCT(--(LEFT($L$5:$L28,7)="Vencida"))+SUMPRODUCT(--(LEFT($L$5:$L28,5)="Vence")),"")</f>
        <v/>
      </c>
    </row>
    <row r="29">
      <c r="A29" s="56">
        <f>IF($N29="","",INDEX('Cronograma Asistente Técnico'!$A$5:$A$1000,$N29))</f>
        <v/>
      </c>
      <c r="B29" s="62">
        <f>IF($N29="","",IF($O29="Sub","      ↳  "&amp;INDEX('Cronograma Asistente Técnico'!$C$5:$C$1000,$N29),INDEX('Cronograma Asistente Técnico'!$C$5:$C$1000,$N29)&amp;""))</f>
        <v/>
      </c>
      <c r="C29" s="79">
        <f>IF($N29="","",IF(INDEX('Cronograma Asistente Técnico'!$AM$5:$AM$1000,$N29)="","",INDEX('Cronograma Asistente Técnico'!$AM$5:$AM$1000,$N29)))</f>
        <v/>
      </c>
      <c r="D29" s="79">
        <f>IF($N29="","",IF(INDEX('Cronograma Asistente Técnico'!$AN$5:$AN$1000,$N29)="","",INDEX('Cronograma Asistente Técnico'!$AN$5:$AN$1000,$N29)))</f>
        <v/>
      </c>
      <c r="E29" s="56">
        <f>IF($N29="","",IF(NOT(ISNUMBER($D29)),"",IF($D29&lt;InicioCiclo,"Antes del ciclo",IF($D29&gt;=InicioCiclo+28,"Después del ciclo","Semana "&amp;(INT(($D29-InicioCiclo)/7)+1)))))</f>
        <v/>
      </c>
      <c r="F29" s="61">
        <f>IF($N29="","",IF($P29&gt;0,IF(1&lt;=SemanaActual,INDEX('Cronograma Asistente Técnico'!$AC$5:$AC$1000,$N29),""),IF(INDEX('Cronograma Asistente Técnico'!$I$5:$I$1000,$N29)="","",INDEX('Cronograma Asistente Técnico'!$I$5:$I$1000,$N29))))</f>
        <v/>
      </c>
      <c r="G29" s="61">
        <f>IF($N29="","",IF($P29&gt;0,IF(2&lt;=SemanaActual,INDEX('Cronograma Asistente Técnico'!$AD$5:$AD$1000,$N29),""),IF(INDEX('Cronograma Asistente Técnico'!$J$5:$J$1000,$N29)="","",INDEX('Cronograma Asistente Técnico'!$J$5:$J$1000,$N29))))</f>
        <v/>
      </c>
      <c r="H29" s="61">
        <f>IF($N29="","",IF($P29&gt;0,IF(3&lt;=SemanaActual,INDEX('Cronograma Asistente Técnico'!$AE$5:$AE$1000,$N29),""),IF(INDEX('Cronograma Asistente Técnico'!$K$5:$K$1000,$N29)="","",INDEX('Cronograma Asistente Técnico'!$K$5:$K$1000,$N29))))</f>
        <v/>
      </c>
      <c r="I29" s="61">
        <f>IF($N29="","",IF($P29&gt;0,IF(4&lt;=SemanaActual,INDEX('Cronograma Asistente Técnico'!$AF$5:$AF$1000,$N29),""),IF(INDEX('Cronograma Asistente Técnico'!$L$5:$L$1000,$N29)="","",INDEX('Cronograma Asistente Técnico'!$L$5:$L$1000,$N29))))</f>
        <v/>
      </c>
      <c r="J29" s="61">
        <f>IF($N29="","",INDEX('Cronograma Asistente Técnico'!$M$5:$M$1000,$N29))</f>
        <v/>
      </c>
      <c r="K29" s="56">
        <f>IF($N29="","",IF(N($J29)&gt;=1,"Completado",IF(AND(ISNUMBER($D29),$D29&lt;FechaRef),"Vencida",IF(N($J29)&gt;0,"En curso","Pendiente"))))</f>
        <v/>
      </c>
      <c r="L29" s="56">
        <f>IF($N29="","",INDEX('Cronograma Asistente Técnico'!$O$5:$O$1000,$N29)&amp;"")</f>
        <v/>
      </c>
      <c r="M29" s="62">
        <f>IF($N29="","",INDEX('Cronograma Asistente Técnico'!$Q$5:$Q$1000,$N29)&amp;"")</f>
        <v/>
      </c>
      <c r="N29">
        <f>IFERROR(MATCH(ROW()-4,rOrden_ATR,0),"")</f>
        <v/>
      </c>
      <c r="O29">
        <f>IF($N29="","",INDEX('Cronograma Asistente Técnico'!$V$5:$V$1000,$N29))</f>
        <v/>
      </c>
      <c r="P29">
        <f>IF($N29="","",N(INDEX('Cronograma Asistente Técnico'!$W$5:$W$1000,$N29)))</f>
        <v/>
      </c>
      <c r="Q29">
        <f>IF(OR(LEFT($L29,7)="Vencida",LEFT($L29,5)="Vence"),SUMPRODUCT(--(LEFT($L$5:$L29,7)="Vencida"))+SUMPRODUCT(--(LEFT($L$5:$L29,5)="Vence")),"")</f>
        <v/>
      </c>
    </row>
    <row r="30">
      <c r="A30" s="56">
        <f>IF($N30="","",INDEX('Cronograma Asistente Técnico'!$A$5:$A$1000,$N30))</f>
        <v/>
      </c>
      <c r="B30" s="62">
        <f>IF($N30="","",IF($O30="Sub","      ↳  "&amp;INDEX('Cronograma Asistente Técnico'!$C$5:$C$1000,$N30),INDEX('Cronograma Asistente Técnico'!$C$5:$C$1000,$N30)&amp;""))</f>
        <v/>
      </c>
      <c r="C30" s="79">
        <f>IF($N30="","",IF(INDEX('Cronograma Asistente Técnico'!$AM$5:$AM$1000,$N30)="","",INDEX('Cronograma Asistente Técnico'!$AM$5:$AM$1000,$N30)))</f>
        <v/>
      </c>
      <c r="D30" s="79">
        <f>IF($N30="","",IF(INDEX('Cronograma Asistente Técnico'!$AN$5:$AN$1000,$N30)="","",INDEX('Cronograma Asistente Técnico'!$AN$5:$AN$1000,$N30)))</f>
        <v/>
      </c>
      <c r="E30" s="56">
        <f>IF($N30="","",IF(NOT(ISNUMBER($D30)),"",IF($D30&lt;InicioCiclo,"Antes del ciclo",IF($D30&gt;=InicioCiclo+28,"Después del ciclo","Semana "&amp;(INT(($D30-InicioCiclo)/7)+1)))))</f>
        <v/>
      </c>
      <c r="F30" s="61">
        <f>IF($N30="","",IF($P30&gt;0,IF(1&lt;=SemanaActual,INDEX('Cronograma Asistente Técnico'!$AC$5:$AC$1000,$N30),""),IF(INDEX('Cronograma Asistente Técnico'!$I$5:$I$1000,$N30)="","",INDEX('Cronograma Asistente Técnico'!$I$5:$I$1000,$N30))))</f>
        <v/>
      </c>
      <c r="G30" s="61">
        <f>IF($N30="","",IF($P30&gt;0,IF(2&lt;=SemanaActual,INDEX('Cronograma Asistente Técnico'!$AD$5:$AD$1000,$N30),""),IF(INDEX('Cronograma Asistente Técnico'!$J$5:$J$1000,$N30)="","",INDEX('Cronograma Asistente Técnico'!$J$5:$J$1000,$N30))))</f>
        <v/>
      </c>
      <c r="H30" s="61">
        <f>IF($N30="","",IF($P30&gt;0,IF(3&lt;=SemanaActual,INDEX('Cronograma Asistente Técnico'!$AE$5:$AE$1000,$N30),""),IF(INDEX('Cronograma Asistente Técnico'!$K$5:$K$1000,$N30)="","",INDEX('Cronograma Asistente Técnico'!$K$5:$K$1000,$N30))))</f>
        <v/>
      </c>
      <c r="I30" s="61">
        <f>IF($N30="","",IF($P30&gt;0,IF(4&lt;=SemanaActual,INDEX('Cronograma Asistente Técnico'!$AF$5:$AF$1000,$N30),""),IF(INDEX('Cronograma Asistente Técnico'!$L$5:$L$1000,$N30)="","",INDEX('Cronograma Asistente Técnico'!$L$5:$L$1000,$N30))))</f>
        <v/>
      </c>
      <c r="J30" s="61">
        <f>IF($N30="","",INDEX('Cronograma Asistente Técnico'!$M$5:$M$1000,$N30))</f>
        <v/>
      </c>
      <c r="K30" s="56">
        <f>IF($N30="","",IF(N($J30)&gt;=1,"Completado",IF(AND(ISNUMBER($D30),$D30&lt;FechaRef),"Vencida",IF(N($J30)&gt;0,"En curso","Pendiente"))))</f>
        <v/>
      </c>
      <c r="L30" s="56">
        <f>IF($N30="","",INDEX('Cronograma Asistente Técnico'!$O$5:$O$1000,$N30)&amp;"")</f>
        <v/>
      </c>
      <c r="M30" s="62">
        <f>IF($N30="","",INDEX('Cronograma Asistente Técnico'!$Q$5:$Q$1000,$N30)&amp;"")</f>
        <v/>
      </c>
      <c r="N30">
        <f>IFERROR(MATCH(ROW()-4,rOrden_ATR,0),"")</f>
        <v/>
      </c>
      <c r="O30">
        <f>IF($N30="","",INDEX('Cronograma Asistente Técnico'!$V$5:$V$1000,$N30))</f>
        <v/>
      </c>
      <c r="P30">
        <f>IF($N30="","",N(INDEX('Cronograma Asistente Técnico'!$W$5:$W$1000,$N30)))</f>
        <v/>
      </c>
      <c r="Q30">
        <f>IF(OR(LEFT($L30,7)="Vencida",LEFT($L30,5)="Vence"),SUMPRODUCT(--(LEFT($L$5:$L30,7)="Vencida"))+SUMPRODUCT(--(LEFT($L$5:$L30,5)="Vence")),"")</f>
        <v/>
      </c>
    </row>
    <row r="31">
      <c r="A31" s="56">
        <f>IF($N31="","",INDEX('Cronograma Asistente Técnico'!$A$5:$A$1000,$N31))</f>
        <v/>
      </c>
      <c r="B31" s="62">
        <f>IF($N31="","",IF($O31="Sub","      ↳  "&amp;INDEX('Cronograma Asistente Técnico'!$C$5:$C$1000,$N31),INDEX('Cronograma Asistente Técnico'!$C$5:$C$1000,$N31)&amp;""))</f>
        <v/>
      </c>
      <c r="C31" s="79">
        <f>IF($N31="","",IF(INDEX('Cronograma Asistente Técnico'!$AM$5:$AM$1000,$N31)="","",INDEX('Cronograma Asistente Técnico'!$AM$5:$AM$1000,$N31)))</f>
        <v/>
      </c>
      <c r="D31" s="79">
        <f>IF($N31="","",IF(INDEX('Cronograma Asistente Técnico'!$AN$5:$AN$1000,$N31)="","",INDEX('Cronograma Asistente Técnico'!$AN$5:$AN$1000,$N31)))</f>
        <v/>
      </c>
      <c r="E31" s="56">
        <f>IF($N31="","",IF(NOT(ISNUMBER($D31)),"",IF($D31&lt;InicioCiclo,"Antes del ciclo",IF($D31&gt;=InicioCiclo+28,"Después del ciclo","Semana "&amp;(INT(($D31-InicioCiclo)/7)+1)))))</f>
        <v/>
      </c>
      <c r="F31" s="61">
        <f>IF($N31="","",IF($P31&gt;0,IF(1&lt;=SemanaActual,INDEX('Cronograma Asistente Técnico'!$AC$5:$AC$1000,$N31),""),IF(INDEX('Cronograma Asistente Técnico'!$I$5:$I$1000,$N31)="","",INDEX('Cronograma Asistente Técnico'!$I$5:$I$1000,$N31))))</f>
        <v/>
      </c>
      <c r="G31" s="61">
        <f>IF($N31="","",IF($P31&gt;0,IF(2&lt;=SemanaActual,INDEX('Cronograma Asistente Técnico'!$AD$5:$AD$1000,$N31),""),IF(INDEX('Cronograma Asistente Técnico'!$J$5:$J$1000,$N31)="","",INDEX('Cronograma Asistente Técnico'!$J$5:$J$1000,$N31))))</f>
        <v/>
      </c>
      <c r="H31" s="61">
        <f>IF($N31="","",IF($P31&gt;0,IF(3&lt;=SemanaActual,INDEX('Cronograma Asistente Técnico'!$AE$5:$AE$1000,$N31),""),IF(INDEX('Cronograma Asistente Técnico'!$K$5:$K$1000,$N31)="","",INDEX('Cronograma Asistente Técnico'!$K$5:$K$1000,$N31))))</f>
        <v/>
      </c>
      <c r="I31" s="61">
        <f>IF($N31="","",IF($P31&gt;0,IF(4&lt;=SemanaActual,INDEX('Cronograma Asistente Técnico'!$AF$5:$AF$1000,$N31),""),IF(INDEX('Cronograma Asistente Técnico'!$L$5:$L$1000,$N31)="","",INDEX('Cronograma Asistente Técnico'!$L$5:$L$1000,$N31))))</f>
        <v/>
      </c>
      <c r="J31" s="61">
        <f>IF($N31="","",INDEX('Cronograma Asistente Técnico'!$M$5:$M$1000,$N31))</f>
        <v/>
      </c>
      <c r="K31" s="56">
        <f>IF($N31="","",IF(N($J31)&gt;=1,"Completado",IF(AND(ISNUMBER($D31),$D31&lt;FechaRef),"Vencida",IF(N($J31)&gt;0,"En curso","Pendiente"))))</f>
        <v/>
      </c>
      <c r="L31" s="56">
        <f>IF($N31="","",INDEX('Cronograma Asistente Técnico'!$O$5:$O$1000,$N31)&amp;"")</f>
        <v/>
      </c>
      <c r="M31" s="62">
        <f>IF($N31="","",INDEX('Cronograma Asistente Técnico'!$Q$5:$Q$1000,$N31)&amp;"")</f>
        <v/>
      </c>
      <c r="N31">
        <f>IFERROR(MATCH(ROW()-4,rOrden_ATR,0),"")</f>
        <v/>
      </c>
      <c r="O31">
        <f>IF($N31="","",INDEX('Cronograma Asistente Técnico'!$V$5:$V$1000,$N31))</f>
        <v/>
      </c>
      <c r="P31">
        <f>IF($N31="","",N(INDEX('Cronograma Asistente Técnico'!$W$5:$W$1000,$N31)))</f>
        <v/>
      </c>
      <c r="Q31">
        <f>IF(OR(LEFT($L31,7)="Vencida",LEFT($L31,5)="Vence"),SUMPRODUCT(--(LEFT($L$5:$L31,7)="Vencida"))+SUMPRODUCT(--(LEFT($L$5:$L31,5)="Vence")),"")</f>
        <v/>
      </c>
    </row>
    <row r="32">
      <c r="A32" s="56">
        <f>IF($N32="","",INDEX('Cronograma Asistente Técnico'!$A$5:$A$1000,$N32))</f>
        <v/>
      </c>
      <c r="B32" s="62">
        <f>IF($N32="","",IF($O32="Sub","      ↳  "&amp;INDEX('Cronograma Asistente Técnico'!$C$5:$C$1000,$N32),INDEX('Cronograma Asistente Técnico'!$C$5:$C$1000,$N32)&amp;""))</f>
        <v/>
      </c>
      <c r="C32" s="79">
        <f>IF($N32="","",IF(INDEX('Cronograma Asistente Técnico'!$AM$5:$AM$1000,$N32)="","",INDEX('Cronograma Asistente Técnico'!$AM$5:$AM$1000,$N32)))</f>
        <v/>
      </c>
      <c r="D32" s="79">
        <f>IF($N32="","",IF(INDEX('Cronograma Asistente Técnico'!$AN$5:$AN$1000,$N32)="","",INDEX('Cronograma Asistente Técnico'!$AN$5:$AN$1000,$N32)))</f>
        <v/>
      </c>
      <c r="E32" s="56">
        <f>IF($N32="","",IF(NOT(ISNUMBER($D32)),"",IF($D32&lt;InicioCiclo,"Antes del ciclo",IF($D32&gt;=InicioCiclo+28,"Después del ciclo","Semana "&amp;(INT(($D32-InicioCiclo)/7)+1)))))</f>
        <v/>
      </c>
      <c r="F32" s="61">
        <f>IF($N32="","",IF($P32&gt;0,IF(1&lt;=SemanaActual,INDEX('Cronograma Asistente Técnico'!$AC$5:$AC$1000,$N32),""),IF(INDEX('Cronograma Asistente Técnico'!$I$5:$I$1000,$N32)="","",INDEX('Cronograma Asistente Técnico'!$I$5:$I$1000,$N32))))</f>
        <v/>
      </c>
      <c r="G32" s="61">
        <f>IF($N32="","",IF($P32&gt;0,IF(2&lt;=SemanaActual,INDEX('Cronograma Asistente Técnico'!$AD$5:$AD$1000,$N32),""),IF(INDEX('Cronograma Asistente Técnico'!$J$5:$J$1000,$N32)="","",INDEX('Cronograma Asistente Técnico'!$J$5:$J$1000,$N32))))</f>
        <v/>
      </c>
      <c r="H32" s="61">
        <f>IF($N32="","",IF($P32&gt;0,IF(3&lt;=SemanaActual,INDEX('Cronograma Asistente Técnico'!$AE$5:$AE$1000,$N32),""),IF(INDEX('Cronograma Asistente Técnico'!$K$5:$K$1000,$N32)="","",INDEX('Cronograma Asistente Técnico'!$K$5:$K$1000,$N32))))</f>
        <v/>
      </c>
      <c r="I32" s="61">
        <f>IF($N32="","",IF($P32&gt;0,IF(4&lt;=SemanaActual,INDEX('Cronograma Asistente Técnico'!$AF$5:$AF$1000,$N32),""),IF(INDEX('Cronograma Asistente Técnico'!$L$5:$L$1000,$N32)="","",INDEX('Cronograma Asistente Técnico'!$L$5:$L$1000,$N32))))</f>
        <v/>
      </c>
      <c r="J32" s="61">
        <f>IF($N32="","",INDEX('Cronograma Asistente Técnico'!$M$5:$M$1000,$N32))</f>
        <v/>
      </c>
      <c r="K32" s="56">
        <f>IF($N32="","",IF(N($J32)&gt;=1,"Completado",IF(AND(ISNUMBER($D32),$D32&lt;FechaRef),"Vencida",IF(N($J32)&gt;0,"En curso","Pendiente"))))</f>
        <v/>
      </c>
      <c r="L32" s="56">
        <f>IF($N32="","",INDEX('Cronograma Asistente Técnico'!$O$5:$O$1000,$N32)&amp;"")</f>
        <v/>
      </c>
      <c r="M32" s="62">
        <f>IF($N32="","",INDEX('Cronograma Asistente Técnico'!$Q$5:$Q$1000,$N32)&amp;"")</f>
        <v/>
      </c>
      <c r="N32">
        <f>IFERROR(MATCH(ROW()-4,rOrden_ATR,0),"")</f>
        <v/>
      </c>
      <c r="O32">
        <f>IF($N32="","",INDEX('Cronograma Asistente Técnico'!$V$5:$V$1000,$N32))</f>
        <v/>
      </c>
      <c r="P32">
        <f>IF($N32="","",N(INDEX('Cronograma Asistente Técnico'!$W$5:$W$1000,$N32)))</f>
        <v/>
      </c>
      <c r="Q32">
        <f>IF(OR(LEFT($L32,7)="Vencida",LEFT($L32,5)="Vence"),SUMPRODUCT(--(LEFT($L$5:$L32,7)="Vencida"))+SUMPRODUCT(--(LEFT($L$5:$L32,5)="Vence")),"")</f>
        <v/>
      </c>
    </row>
    <row r="33">
      <c r="A33" s="56">
        <f>IF($N33="","",INDEX('Cronograma Asistente Técnico'!$A$5:$A$1000,$N33))</f>
        <v/>
      </c>
      <c r="B33" s="62">
        <f>IF($N33="","",IF($O33="Sub","      ↳  "&amp;INDEX('Cronograma Asistente Técnico'!$C$5:$C$1000,$N33),INDEX('Cronograma Asistente Técnico'!$C$5:$C$1000,$N33)&amp;""))</f>
        <v/>
      </c>
      <c r="C33" s="79">
        <f>IF($N33="","",IF(INDEX('Cronograma Asistente Técnico'!$AM$5:$AM$1000,$N33)="","",INDEX('Cronograma Asistente Técnico'!$AM$5:$AM$1000,$N33)))</f>
        <v/>
      </c>
      <c r="D33" s="79">
        <f>IF($N33="","",IF(INDEX('Cronograma Asistente Técnico'!$AN$5:$AN$1000,$N33)="","",INDEX('Cronograma Asistente Técnico'!$AN$5:$AN$1000,$N33)))</f>
        <v/>
      </c>
      <c r="E33" s="56">
        <f>IF($N33="","",IF(NOT(ISNUMBER($D33)),"",IF($D33&lt;InicioCiclo,"Antes del ciclo",IF($D33&gt;=InicioCiclo+28,"Después del ciclo","Semana "&amp;(INT(($D33-InicioCiclo)/7)+1)))))</f>
        <v/>
      </c>
      <c r="F33" s="61">
        <f>IF($N33="","",IF($P33&gt;0,IF(1&lt;=SemanaActual,INDEX('Cronograma Asistente Técnico'!$AC$5:$AC$1000,$N33),""),IF(INDEX('Cronograma Asistente Técnico'!$I$5:$I$1000,$N33)="","",INDEX('Cronograma Asistente Técnico'!$I$5:$I$1000,$N33))))</f>
        <v/>
      </c>
      <c r="G33" s="61">
        <f>IF($N33="","",IF($P33&gt;0,IF(2&lt;=SemanaActual,INDEX('Cronograma Asistente Técnico'!$AD$5:$AD$1000,$N33),""),IF(INDEX('Cronograma Asistente Técnico'!$J$5:$J$1000,$N33)="","",INDEX('Cronograma Asistente Técnico'!$J$5:$J$1000,$N33))))</f>
        <v/>
      </c>
      <c r="H33" s="61">
        <f>IF($N33="","",IF($P33&gt;0,IF(3&lt;=SemanaActual,INDEX('Cronograma Asistente Técnico'!$AE$5:$AE$1000,$N33),""),IF(INDEX('Cronograma Asistente Técnico'!$K$5:$K$1000,$N33)="","",INDEX('Cronograma Asistente Técnico'!$K$5:$K$1000,$N33))))</f>
        <v/>
      </c>
      <c r="I33" s="61">
        <f>IF($N33="","",IF($P33&gt;0,IF(4&lt;=SemanaActual,INDEX('Cronograma Asistente Técnico'!$AF$5:$AF$1000,$N33),""),IF(INDEX('Cronograma Asistente Técnico'!$L$5:$L$1000,$N33)="","",INDEX('Cronograma Asistente Técnico'!$L$5:$L$1000,$N33))))</f>
        <v/>
      </c>
      <c r="J33" s="61">
        <f>IF($N33="","",INDEX('Cronograma Asistente Técnico'!$M$5:$M$1000,$N33))</f>
        <v/>
      </c>
      <c r="K33" s="56">
        <f>IF($N33="","",IF(N($J33)&gt;=1,"Completado",IF(AND(ISNUMBER($D33),$D33&lt;FechaRef),"Vencida",IF(N($J33)&gt;0,"En curso","Pendiente"))))</f>
        <v/>
      </c>
      <c r="L33" s="56">
        <f>IF($N33="","",INDEX('Cronograma Asistente Técnico'!$O$5:$O$1000,$N33)&amp;"")</f>
        <v/>
      </c>
      <c r="M33" s="62">
        <f>IF($N33="","",INDEX('Cronograma Asistente Técnico'!$Q$5:$Q$1000,$N33)&amp;"")</f>
        <v/>
      </c>
      <c r="N33">
        <f>IFERROR(MATCH(ROW()-4,rOrden_ATR,0),"")</f>
        <v/>
      </c>
      <c r="O33">
        <f>IF($N33="","",INDEX('Cronograma Asistente Técnico'!$V$5:$V$1000,$N33))</f>
        <v/>
      </c>
      <c r="P33">
        <f>IF($N33="","",N(INDEX('Cronograma Asistente Técnico'!$W$5:$W$1000,$N33)))</f>
        <v/>
      </c>
      <c r="Q33">
        <f>IF(OR(LEFT($L33,7)="Vencida",LEFT($L33,5)="Vence"),SUMPRODUCT(--(LEFT($L$5:$L33,7)="Vencida"))+SUMPRODUCT(--(LEFT($L$5:$L33,5)="Vence")),"")</f>
        <v/>
      </c>
    </row>
    <row r="34">
      <c r="A34" s="56">
        <f>IF($N34="","",INDEX('Cronograma Asistente Técnico'!$A$5:$A$1000,$N34))</f>
        <v/>
      </c>
      <c r="B34" s="62">
        <f>IF($N34="","",IF($O34="Sub","      ↳  "&amp;INDEX('Cronograma Asistente Técnico'!$C$5:$C$1000,$N34),INDEX('Cronograma Asistente Técnico'!$C$5:$C$1000,$N34)&amp;""))</f>
        <v/>
      </c>
      <c r="C34" s="79">
        <f>IF($N34="","",IF(INDEX('Cronograma Asistente Técnico'!$AM$5:$AM$1000,$N34)="","",INDEX('Cronograma Asistente Técnico'!$AM$5:$AM$1000,$N34)))</f>
        <v/>
      </c>
      <c r="D34" s="79">
        <f>IF($N34="","",IF(INDEX('Cronograma Asistente Técnico'!$AN$5:$AN$1000,$N34)="","",INDEX('Cronograma Asistente Técnico'!$AN$5:$AN$1000,$N34)))</f>
        <v/>
      </c>
      <c r="E34" s="56">
        <f>IF($N34="","",IF(NOT(ISNUMBER($D34)),"",IF($D34&lt;InicioCiclo,"Antes del ciclo",IF($D34&gt;=InicioCiclo+28,"Después del ciclo","Semana "&amp;(INT(($D34-InicioCiclo)/7)+1)))))</f>
        <v/>
      </c>
      <c r="F34" s="61">
        <f>IF($N34="","",IF($P34&gt;0,IF(1&lt;=SemanaActual,INDEX('Cronograma Asistente Técnico'!$AC$5:$AC$1000,$N34),""),IF(INDEX('Cronograma Asistente Técnico'!$I$5:$I$1000,$N34)="","",INDEX('Cronograma Asistente Técnico'!$I$5:$I$1000,$N34))))</f>
        <v/>
      </c>
      <c r="G34" s="61">
        <f>IF($N34="","",IF($P34&gt;0,IF(2&lt;=SemanaActual,INDEX('Cronograma Asistente Técnico'!$AD$5:$AD$1000,$N34),""),IF(INDEX('Cronograma Asistente Técnico'!$J$5:$J$1000,$N34)="","",INDEX('Cronograma Asistente Técnico'!$J$5:$J$1000,$N34))))</f>
        <v/>
      </c>
      <c r="H34" s="61">
        <f>IF($N34="","",IF($P34&gt;0,IF(3&lt;=SemanaActual,INDEX('Cronograma Asistente Técnico'!$AE$5:$AE$1000,$N34),""),IF(INDEX('Cronograma Asistente Técnico'!$K$5:$K$1000,$N34)="","",INDEX('Cronograma Asistente Técnico'!$K$5:$K$1000,$N34))))</f>
        <v/>
      </c>
      <c r="I34" s="61">
        <f>IF($N34="","",IF($P34&gt;0,IF(4&lt;=SemanaActual,INDEX('Cronograma Asistente Técnico'!$AF$5:$AF$1000,$N34),""),IF(INDEX('Cronograma Asistente Técnico'!$L$5:$L$1000,$N34)="","",INDEX('Cronograma Asistente Técnico'!$L$5:$L$1000,$N34))))</f>
        <v/>
      </c>
      <c r="J34" s="61">
        <f>IF($N34="","",INDEX('Cronograma Asistente Técnico'!$M$5:$M$1000,$N34))</f>
        <v/>
      </c>
      <c r="K34" s="56">
        <f>IF($N34="","",IF(N($J34)&gt;=1,"Completado",IF(AND(ISNUMBER($D34),$D34&lt;FechaRef),"Vencida",IF(N($J34)&gt;0,"En curso","Pendiente"))))</f>
        <v/>
      </c>
      <c r="L34" s="56">
        <f>IF($N34="","",INDEX('Cronograma Asistente Técnico'!$O$5:$O$1000,$N34)&amp;"")</f>
        <v/>
      </c>
      <c r="M34" s="62">
        <f>IF($N34="","",INDEX('Cronograma Asistente Técnico'!$Q$5:$Q$1000,$N34)&amp;"")</f>
        <v/>
      </c>
      <c r="N34">
        <f>IFERROR(MATCH(ROW()-4,rOrden_ATR,0),"")</f>
        <v/>
      </c>
      <c r="O34">
        <f>IF($N34="","",INDEX('Cronograma Asistente Técnico'!$V$5:$V$1000,$N34))</f>
        <v/>
      </c>
      <c r="P34">
        <f>IF($N34="","",N(INDEX('Cronograma Asistente Técnico'!$W$5:$W$1000,$N34)))</f>
        <v/>
      </c>
      <c r="Q34">
        <f>IF(OR(LEFT($L34,7)="Vencida",LEFT($L34,5)="Vence"),SUMPRODUCT(--(LEFT($L$5:$L34,7)="Vencida"))+SUMPRODUCT(--(LEFT($L$5:$L34,5)="Vence")),"")</f>
        <v/>
      </c>
    </row>
    <row r="35">
      <c r="A35" s="56">
        <f>IF($N35="","",INDEX('Cronograma Asistente Técnico'!$A$5:$A$1000,$N35))</f>
        <v/>
      </c>
      <c r="B35" s="62">
        <f>IF($N35="","",IF($O35="Sub","      ↳  "&amp;INDEX('Cronograma Asistente Técnico'!$C$5:$C$1000,$N35),INDEX('Cronograma Asistente Técnico'!$C$5:$C$1000,$N35)&amp;""))</f>
        <v/>
      </c>
      <c r="C35" s="79">
        <f>IF($N35="","",IF(INDEX('Cronograma Asistente Técnico'!$AM$5:$AM$1000,$N35)="","",INDEX('Cronograma Asistente Técnico'!$AM$5:$AM$1000,$N35)))</f>
        <v/>
      </c>
      <c r="D35" s="79">
        <f>IF($N35="","",IF(INDEX('Cronograma Asistente Técnico'!$AN$5:$AN$1000,$N35)="","",INDEX('Cronograma Asistente Técnico'!$AN$5:$AN$1000,$N35)))</f>
        <v/>
      </c>
      <c r="E35" s="56">
        <f>IF($N35="","",IF(NOT(ISNUMBER($D35)),"",IF($D35&lt;InicioCiclo,"Antes del ciclo",IF($D35&gt;=InicioCiclo+28,"Después del ciclo","Semana "&amp;(INT(($D35-InicioCiclo)/7)+1)))))</f>
        <v/>
      </c>
      <c r="F35" s="61">
        <f>IF($N35="","",IF($P35&gt;0,IF(1&lt;=SemanaActual,INDEX('Cronograma Asistente Técnico'!$AC$5:$AC$1000,$N35),""),IF(INDEX('Cronograma Asistente Técnico'!$I$5:$I$1000,$N35)="","",INDEX('Cronograma Asistente Técnico'!$I$5:$I$1000,$N35))))</f>
        <v/>
      </c>
      <c r="G35" s="61">
        <f>IF($N35="","",IF($P35&gt;0,IF(2&lt;=SemanaActual,INDEX('Cronograma Asistente Técnico'!$AD$5:$AD$1000,$N35),""),IF(INDEX('Cronograma Asistente Técnico'!$J$5:$J$1000,$N35)="","",INDEX('Cronograma Asistente Técnico'!$J$5:$J$1000,$N35))))</f>
        <v/>
      </c>
      <c r="H35" s="61">
        <f>IF($N35="","",IF($P35&gt;0,IF(3&lt;=SemanaActual,INDEX('Cronograma Asistente Técnico'!$AE$5:$AE$1000,$N35),""),IF(INDEX('Cronograma Asistente Técnico'!$K$5:$K$1000,$N35)="","",INDEX('Cronograma Asistente Técnico'!$K$5:$K$1000,$N35))))</f>
        <v/>
      </c>
      <c r="I35" s="61">
        <f>IF($N35="","",IF($P35&gt;0,IF(4&lt;=SemanaActual,INDEX('Cronograma Asistente Técnico'!$AF$5:$AF$1000,$N35),""),IF(INDEX('Cronograma Asistente Técnico'!$L$5:$L$1000,$N35)="","",INDEX('Cronograma Asistente Técnico'!$L$5:$L$1000,$N35))))</f>
        <v/>
      </c>
      <c r="J35" s="61">
        <f>IF($N35="","",INDEX('Cronograma Asistente Técnico'!$M$5:$M$1000,$N35))</f>
        <v/>
      </c>
      <c r="K35" s="56">
        <f>IF($N35="","",IF(N($J35)&gt;=1,"Completado",IF(AND(ISNUMBER($D35),$D35&lt;FechaRef),"Vencida",IF(N($J35)&gt;0,"En curso","Pendiente"))))</f>
        <v/>
      </c>
      <c r="L35" s="56">
        <f>IF($N35="","",INDEX('Cronograma Asistente Técnico'!$O$5:$O$1000,$N35)&amp;"")</f>
        <v/>
      </c>
      <c r="M35" s="62">
        <f>IF($N35="","",INDEX('Cronograma Asistente Técnico'!$Q$5:$Q$1000,$N35)&amp;"")</f>
        <v/>
      </c>
      <c r="N35">
        <f>IFERROR(MATCH(ROW()-4,rOrden_ATR,0),"")</f>
        <v/>
      </c>
      <c r="O35">
        <f>IF($N35="","",INDEX('Cronograma Asistente Técnico'!$V$5:$V$1000,$N35))</f>
        <v/>
      </c>
      <c r="P35">
        <f>IF($N35="","",N(INDEX('Cronograma Asistente Técnico'!$W$5:$W$1000,$N35)))</f>
        <v/>
      </c>
      <c r="Q35">
        <f>IF(OR(LEFT($L35,7)="Vencida",LEFT($L35,5)="Vence"),SUMPRODUCT(--(LEFT($L$5:$L35,7)="Vencida"))+SUMPRODUCT(--(LEFT($L$5:$L35,5)="Vence")),"")</f>
        <v/>
      </c>
    </row>
    <row r="36">
      <c r="A36" s="56">
        <f>IF($N36="","",INDEX('Cronograma Asistente Técnico'!$A$5:$A$1000,$N36))</f>
        <v/>
      </c>
      <c r="B36" s="62">
        <f>IF($N36="","",IF($O36="Sub","      ↳  "&amp;INDEX('Cronograma Asistente Técnico'!$C$5:$C$1000,$N36),INDEX('Cronograma Asistente Técnico'!$C$5:$C$1000,$N36)&amp;""))</f>
        <v/>
      </c>
      <c r="C36" s="79">
        <f>IF($N36="","",IF(INDEX('Cronograma Asistente Técnico'!$AM$5:$AM$1000,$N36)="","",INDEX('Cronograma Asistente Técnico'!$AM$5:$AM$1000,$N36)))</f>
        <v/>
      </c>
      <c r="D36" s="79">
        <f>IF($N36="","",IF(INDEX('Cronograma Asistente Técnico'!$AN$5:$AN$1000,$N36)="","",INDEX('Cronograma Asistente Técnico'!$AN$5:$AN$1000,$N36)))</f>
        <v/>
      </c>
      <c r="E36" s="56">
        <f>IF($N36="","",IF(NOT(ISNUMBER($D36)),"",IF($D36&lt;InicioCiclo,"Antes del ciclo",IF($D36&gt;=InicioCiclo+28,"Después del ciclo","Semana "&amp;(INT(($D36-InicioCiclo)/7)+1)))))</f>
        <v/>
      </c>
      <c r="F36" s="61">
        <f>IF($N36="","",IF($P36&gt;0,IF(1&lt;=SemanaActual,INDEX('Cronograma Asistente Técnico'!$AC$5:$AC$1000,$N36),""),IF(INDEX('Cronograma Asistente Técnico'!$I$5:$I$1000,$N36)="","",INDEX('Cronograma Asistente Técnico'!$I$5:$I$1000,$N36))))</f>
        <v/>
      </c>
      <c r="G36" s="61">
        <f>IF($N36="","",IF($P36&gt;0,IF(2&lt;=SemanaActual,INDEX('Cronograma Asistente Técnico'!$AD$5:$AD$1000,$N36),""),IF(INDEX('Cronograma Asistente Técnico'!$J$5:$J$1000,$N36)="","",INDEX('Cronograma Asistente Técnico'!$J$5:$J$1000,$N36))))</f>
        <v/>
      </c>
      <c r="H36" s="61">
        <f>IF($N36="","",IF($P36&gt;0,IF(3&lt;=SemanaActual,INDEX('Cronograma Asistente Técnico'!$AE$5:$AE$1000,$N36),""),IF(INDEX('Cronograma Asistente Técnico'!$K$5:$K$1000,$N36)="","",INDEX('Cronograma Asistente Técnico'!$K$5:$K$1000,$N36))))</f>
        <v/>
      </c>
      <c r="I36" s="61">
        <f>IF($N36="","",IF($P36&gt;0,IF(4&lt;=SemanaActual,INDEX('Cronograma Asistente Técnico'!$AF$5:$AF$1000,$N36),""),IF(INDEX('Cronograma Asistente Técnico'!$L$5:$L$1000,$N36)="","",INDEX('Cronograma Asistente Técnico'!$L$5:$L$1000,$N36))))</f>
        <v/>
      </c>
      <c r="J36" s="61">
        <f>IF($N36="","",INDEX('Cronograma Asistente Técnico'!$M$5:$M$1000,$N36))</f>
        <v/>
      </c>
      <c r="K36" s="56">
        <f>IF($N36="","",IF(N($J36)&gt;=1,"Completado",IF(AND(ISNUMBER($D36),$D36&lt;FechaRef),"Vencida",IF(N($J36)&gt;0,"En curso","Pendiente"))))</f>
        <v/>
      </c>
      <c r="L36" s="56">
        <f>IF($N36="","",INDEX('Cronograma Asistente Técnico'!$O$5:$O$1000,$N36)&amp;"")</f>
        <v/>
      </c>
      <c r="M36" s="62">
        <f>IF($N36="","",INDEX('Cronograma Asistente Técnico'!$Q$5:$Q$1000,$N36)&amp;"")</f>
        <v/>
      </c>
      <c r="N36">
        <f>IFERROR(MATCH(ROW()-4,rOrden_ATR,0),"")</f>
        <v/>
      </c>
      <c r="O36">
        <f>IF($N36="","",INDEX('Cronograma Asistente Técnico'!$V$5:$V$1000,$N36))</f>
        <v/>
      </c>
      <c r="P36">
        <f>IF($N36="","",N(INDEX('Cronograma Asistente Técnico'!$W$5:$W$1000,$N36)))</f>
        <v/>
      </c>
      <c r="Q36">
        <f>IF(OR(LEFT($L36,7)="Vencida",LEFT($L36,5)="Vence"),SUMPRODUCT(--(LEFT($L$5:$L36,7)="Vencida"))+SUMPRODUCT(--(LEFT($L$5:$L36,5)="Vence")),"")</f>
        <v/>
      </c>
    </row>
    <row r="37">
      <c r="A37" s="56">
        <f>IF($N37="","",INDEX('Cronograma Asistente Técnico'!$A$5:$A$1000,$N37))</f>
        <v/>
      </c>
      <c r="B37" s="62">
        <f>IF($N37="","",IF($O37="Sub","      ↳  "&amp;INDEX('Cronograma Asistente Técnico'!$C$5:$C$1000,$N37),INDEX('Cronograma Asistente Técnico'!$C$5:$C$1000,$N37)&amp;""))</f>
        <v/>
      </c>
      <c r="C37" s="79">
        <f>IF($N37="","",IF(INDEX('Cronograma Asistente Técnico'!$AM$5:$AM$1000,$N37)="","",INDEX('Cronograma Asistente Técnico'!$AM$5:$AM$1000,$N37)))</f>
        <v/>
      </c>
      <c r="D37" s="79">
        <f>IF($N37="","",IF(INDEX('Cronograma Asistente Técnico'!$AN$5:$AN$1000,$N37)="","",INDEX('Cronograma Asistente Técnico'!$AN$5:$AN$1000,$N37)))</f>
        <v/>
      </c>
      <c r="E37" s="56">
        <f>IF($N37="","",IF(NOT(ISNUMBER($D37)),"",IF($D37&lt;InicioCiclo,"Antes del ciclo",IF($D37&gt;=InicioCiclo+28,"Después del ciclo","Semana "&amp;(INT(($D37-InicioCiclo)/7)+1)))))</f>
        <v/>
      </c>
      <c r="F37" s="61">
        <f>IF($N37="","",IF($P37&gt;0,IF(1&lt;=SemanaActual,INDEX('Cronograma Asistente Técnico'!$AC$5:$AC$1000,$N37),""),IF(INDEX('Cronograma Asistente Técnico'!$I$5:$I$1000,$N37)="","",INDEX('Cronograma Asistente Técnico'!$I$5:$I$1000,$N37))))</f>
        <v/>
      </c>
      <c r="G37" s="61">
        <f>IF($N37="","",IF($P37&gt;0,IF(2&lt;=SemanaActual,INDEX('Cronograma Asistente Técnico'!$AD$5:$AD$1000,$N37),""),IF(INDEX('Cronograma Asistente Técnico'!$J$5:$J$1000,$N37)="","",INDEX('Cronograma Asistente Técnico'!$J$5:$J$1000,$N37))))</f>
        <v/>
      </c>
      <c r="H37" s="61">
        <f>IF($N37="","",IF($P37&gt;0,IF(3&lt;=SemanaActual,INDEX('Cronograma Asistente Técnico'!$AE$5:$AE$1000,$N37),""),IF(INDEX('Cronograma Asistente Técnico'!$K$5:$K$1000,$N37)="","",INDEX('Cronograma Asistente Técnico'!$K$5:$K$1000,$N37))))</f>
        <v/>
      </c>
      <c r="I37" s="61">
        <f>IF($N37="","",IF($P37&gt;0,IF(4&lt;=SemanaActual,INDEX('Cronograma Asistente Técnico'!$AF$5:$AF$1000,$N37),""),IF(INDEX('Cronograma Asistente Técnico'!$L$5:$L$1000,$N37)="","",INDEX('Cronograma Asistente Técnico'!$L$5:$L$1000,$N37))))</f>
        <v/>
      </c>
      <c r="J37" s="61">
        <f>IF($N37="","",INDEX('Cronograma Asistente Técnico'!$M$5:$M$1000,$N37))</f>
        <v/>
      </c>
      <c r="K37" s="56">
        <f>IF($N37="","",IF(N($J37)&gt;=1,"Completado",IF(AND(ISNUMBER($D37),$D37&lt;FechaRef),"Vencida",IF(N($J37)&gt;0,"En curso","Pendiente"))))</f>
        <v/>
      </c>
      <c r="L37" s="56">
        <f>IF($N37="","",INDEX('Cronograma Asistente Técnico'!$O$5:$O$1000,$N37)&amp;"")</f>
        <v/>
      </c>
      <c r="M37" s="62">
        <f>IF($N37="","",INDEX('Cronograma Asistente Técnico'!$Q$5:$Q$1000,$N37)&amp;"")</f>
        <v/>
      </c>
      <c r="N37">
        <f>IFERROR(MATCH(ROW()-4,rOrden_ATR,0),"")</f>
        <v/>
      </c>
      <c r="O37">
        <f>IF($N37="","",INDEX('Cronograma Asistente Técnico'!$V$5:$V$1000,$N37))</f>
        <v/>
      </c>
      <c r="P37">
        <f>IF($N37="","",N(INDEX('Cronograma Asistente Técnico'!$W$5:$W$1000,$N37)))</f>
        <v/>
      </c>
      <c r="Q37">
        <f>IF(OR(LEFT($L37,7)="Vencida",LEFT($L37,5)="Vence"),SUMPRODUCT(--(LEFT($L$5:$L37,7)="Vencida"))+SUMPRODUCT(--(LEFT($L$5:$L37,5)="Vence")),"")</f>
        <v/>
      </c>
    </row>
    <row r="38">
      <c r="A38" s="56">
        <f>IF($N38="","",INDEX('Cronograma Asistente Técnico'!$A$5:$A$1000,$N38))</f>
        <v/>
      </c>
      <c r="B38" s="62">
        <f>IF($N38="","",IF($O38="Sub","      ↳  "&amp;INDEX('Cronograma Asistente Técnico'!$C$5:$C$1000,$N38),INDEX('Cronograma Asistente Técnico'!$C$5:$C$1000,$N38)&amp;""))</f>
        <v/>
      </c>
      <c r="C38" s="79">
        <f>IF($N38="","",IF(INDEX('Cronograma Asistente Técnico'!$AM$5:$AM$1000,$N38)="","",INDEX('Cronograma Asistente Técnico'!$AM$5:$AM$1000,$N38)))</f>
        <v/>
      </c>
      <c r="D38" s="79">
        <f>IF($N38="","",IF(INDEX('Cronograma Asistente Técnico'!$AN$5:$AN$1000,$N38)="","",INDEX('Cronograma Asistente Técnico'!$AN$5:$AN$1000,$N38)))</f>
        <v/>
      </c>
      <c r="E38" s="56">
        <f>IF($N38="","",IF(NOT(ISNUMBER($D38)),"",IF($D38&lt;InicioCiclo,"Antes del ciclo",IF($D38&gt;=InicioCiclo+28,"Después del ciclo","Semana "&amp;(INT(($D38-InicioCiclo)/7)+1)))))</f>
        <v/>
      </c>
      <c r="F38" s="61">
        <f>IF($N38="","",IF($P38&gt;0,IF(1&lt;=SemanaActual,INDEX('Cronograma Asistente Técnico'!$AC$5:$AC$1000,$N38),""),IF(INDEX('Cronograma Asistente Técnico'!$I$5:$I$1000,$N38)="","",INDEX('Cronograma Asistente Técnico'!$I$5:$I$1000,$N38))))</f>
        <v/>
      </c>
      <c r="G38" s="61">
        <f>IF($N38="","",IF($P38&gt;0,IF(2&lt;=SemanaActual,INDEX('Cronograma Asistente Técnico'!$AD$5:$AD$1000,$N38),""),IF(INDEX('Cronograma Asistente Técnico'!$J$5:$J$1000,$N38)="","",INDEX('Cronograma Asistente Técnico'!$J$5:$J$1000,$N38))))</f>
        <v/>
      </c>
      <c r="H38" s="61">
        <f>IF($N38="","",IF($P38&gt;0,IF(3&lt;=SemanaActual,INDEX('Cronograma Asistente Técnico'!$AE$5:$AE$1000,$N38),""),IF(INDEX('Cronograma Asistente Técnico'!$K$5:$K$1000,$N38)="","",INDEX('Cronograma Asistente Técnico'!$K$5:$K$1000,$N38))))</f>
        <v/>
      </c>
      <c r="I38" s="61">
        <f>IF($N38="","",IF($P38&gt;0,IF(4&lt;=SemanaActual,INDEX('Cronograma Asistente Técnico'!$AF$5:$AF$1000,$N38),""),IF(INDEX('Cronograma Asistente Técnico'!$L$5:$L$1000,$N38)="","",INDEX('Cronograma Asistente Técnico'!$L$5:$L$1000,$N38))))</f>
        <v/>
      </c>
      <c r="J38" s="61">
        <f>IF($N38="","",INDEX('Cronograma Asistente Técnico'!$M$5:$M$1000,$N38))</f>
        <v/>
      </c>
      <c r="K38" s="56">
        <f>IF($N38="","",IF(N($J38)&gt;=1,"Completado",IF(AND(ISNUMBER($D38),$D38&lt;FechaRef),"Vencida",IF(N($J38)&gt;0,"En curso","Pendiente"))))</f>
        <v/>
      </c>
      <c r="L38" s="56">
        <f>IF($N38="","",INDEX('Cronograma Asistente Técnico'!$O$5:$O$1000,$N38)&amp;"")</f>
        <v/>
      </c>
      <c r="M38" s="62">
        <f>IF($N38="","",INDEX('Cronograma Asistente Técnico'!$Q$5:$Q$1000,$N38)&amp;"")</f>
        <v/>
      </c>
      <c r="N38">
        <f>IFERROR(MATCH(ROW()-4,rOrden_ATR,0),"")</f>
        <v/>
      </c>
      <c r="O38">
        <f>IF($N38="","",INDEX('Cronograma Asistente Técnico'!$V$5:$V$1000,$N38))</f>
        <v/>
      </c>
      <c r="P38">
        <f>IF($N38="","",N(INDEX('Cronograma Asistente Técnico'!$W$5:$W$1000,$N38)))</f>
        <v/>
      </c>
      <c r="Q38">
        <f>IF(OR(LEFT($L38,7)="Vencida",LEFT($L38,5)="Vence"),SUMPRODUCT(--(LEFT($L$5:$L38,7)="Vencida"))+SUMPRODUCT(--(LEFT($L$5:$L38,5)="Vence")),"")</f>
        <v/>
      </c>
    </row>
    <row r="39">
      <c r="A39" s="56">
        <f>IF($N39="","",INDEX('Cronograma Asistente Técnico'!$A$5:$A$1000,$N39))</f>
        <v/>
      </c>
      <c r="B39" s="62">
        <f>IF($N39="","",IF($O39="Sub","      ↳  "&amp;INDEX('Cronograma Asistente Técnico'!$C$5:$C$1000,$N39),INDEX('Cronograma Asistente Técnico'!$C$5:$C$1000,$N39)&amp;""))</f>
        <v/>
      </c>
      <c r="C39" s="79">
        <f>IF($N39="","",IF(INDEX('Cronograma Asistente Técnico'!$AM$5:$AM$1000,$N39)="","",INDEX('Cronograma Asistente Técnico'!$AM$5:$AM$1000,$N39)))</f>
        <v/>
      </c>
      <c r="D39" s="79">
        <f>IF($N39="","",IF(INDEX('Cronograma Asistente Técnico'!$AN$5:$AN$1000,$N39)="","",INDEX('Cronograma Asistente Técnico'!$AN$5:$AN$1000,$N39)))</f>
        <v/>
      </c>
      <c r="E39" s="56">
        <f>IF($N39="","",IF(NOT(ISNUMBER($D39)),"",IF($D39&lt;InicioCiclo,"Antes del ciclo",IF($D39&gt;=InicioCiclo+28,"Después del ciclo","Semana "&amp;(INT(($D39-InicioCiclo)/7)+1)))))</f>
        <v/>
      </c>
      <c r="F39" s="61">
        <f>IF($N39="","",IF($P39&gt;0,IF(1&lt;=SemanaActual,INDEX('Cronograma Asistente Técnico'!$AC$5:$AC$1000,$N39),""),IF(INDEX('Cronograma Asistente Técnico'!$I$5:$I$1000,$N39)="","",INDEX('Cronograma Asistente Técnico'!$I$5:$I$1000,$N39))))</f>
        <v/>
      </c>
      <c r="G39" s="61">
        <f>IF($N39="","",IF($P39&gt;0,IF(2&lt;=SemanaActual,INDEX('Cronograma Asistente Técnico'!$AD$5:$AD$1000,$N39),""),IF(INDEX('Cronograma Asistente Técnico'!$J$5:$J$1000,$N39)="","",INDEX('Cronograma Asistente Técnico'!$J$5:$J$1000,$N39))))</f>
        <v/>
      </c>
      <c r="H39" s="61">
        <f>IF($N39="","",IF($P39&gt;0,IF(3&lt;=SemanaActual,INDEX('Cronograma Asistente Técnico'!$AE$5:$AE$1000,$N39),""),IF(INDEX('Cronograma Asistente Técnico'!$K$5:$K$1000,$N39)="","",INDEX('Cronograma Asistente Técnico'!$K$5:$K$1000,$N39))))</f>
        <v/>
      </c>
      <c r="I39" s="61">
        <f>IF($N39="","",IF($P39&gt;0,IF(4&lt;=SemanaActual,INDEX('Cronograma Asistente Técnico'!$AF$5:$AF$1000,$N39),""),IF(INDEX('Cronograma Asistente Técnico'!$L$5:$L$1000,$N39)="","",INDEX('Cronograma Asistente Técnico'!$L$5:$L$1000,$N39))))</f>
        <v/>
      </c>
      <c r="J39" s="61">
        <f>IF($N39="","",INDEX('Cronograma Asistente Técnico'!$M$5:$M$1000,$N39))</f>
        <v/>
      </c>
      <c r="K39" s="56">
        <f>IF($N39="","",IF(N($J39)&gt;=1,"Completado",IF(AND(ISNUMBER($D39),$D39&lt;FechaRef),"Vencida",IF(N($J39)&gt;0,"En curso","Pendiente"))))</f>
        <v/>
      </c>
      <c r="L39" s="56">
        <f>IF($N39="","",INDEX('Cronograma Asistente Técnico'!$O$5:$O$1000,$N39)&amp;"")</f>
        <v/>
      </c>
      <c r="M39" s="62">
        <f>IF($N39="","",INDEX('Cronograma Asistente Técnico'!$Q$5:$Q$1000,$N39)&amp;"")</f>
        <v/>
      </c>
      <c r="N39">
        <f>IFERROR(MATCH(ROW()-4,rOrden_ATR,0),"")</f>
        <v/>
      </c>
      <c r="O39">
        <f>IF($N39="","",INDEX('Cronograma Asistente Técnico'!$V$5:$V$1000,$N39))</f>
        <v/>
      </c>
      <c r="P39">
        <f>IF($N39="","",N(INDEX('Cronograma Asistente Técnico'!$W$5:$W$1000,$N39)))</f>
        <v/>
      </c>
      <c r="Q39">
        <f>IF(OR(LEFT($L39,7)="Vencida",LEFT($L39,5)="Vence"),SUMPRODUCT(--(LEFT($L$5:$L39,7)="Vencida"))+SUMPRODUCT(--(LEFT($L$5:$L39,5)="Vence")),"")</f>
        <v/>
      </c>
    </row>
    <row r="40">
      <c r="A40" s="56">
        <f>IF($N40="","",INDEX('Cronograma Asistente Técnico'!$A$5:$A$1000,$N40))</f>
        <v/>
      </c>
      <c r="B40" s="62">
        <f>IF($N40="","",IF($O40="Sub","      ↳  "&amp;INDEX('Cronograma Asistente Técnico'!$C$5:$C$1000,$N40),INDEX('Cronograma Asistente Técnico'!$C$5:$C$1000,$N40)&amp;""))</f>
        <v/>
      </c>
      <c r="C40" s="79">
        <f>IF($N40="","",IF(INDEX('Cronograma Asistente Técnico'!$AM$5:$AM$1000,$N40)="","",INDEX('Cronograma Asistente Técnico'!$AM$5:$AM$1000,$N40)))</f>
        <v/>
      </c>
      <c r="D40" s="79">
        <f>IF($N40="","",IF(INDEX('Cronograma Asistente Técnico'!$AN$5:$AN$1000,$N40)="","",INDEX('Cronograma Asistente Técnico'!$AN$5:$AN$1000,$N40)))</f>
        <v/>
      </c>
      <c r="E40" s="56">
        <f>IF($N40="","",IF(NOT(ISNUMBER($D40)),"",IF($D40&lt;InicioCiclo,"Antes del ciclo",IF($D40&gt;=InicioCiclo+28,"Después del ciclo","Semana "&amp;(INT(($D40-InicioCiclo)/7)+1)))))</f>
        <v/>
      </c>
      <c r="F40" s="61">
        <f>IF($N40="","",IF($P40&gt;0,IF(1&lt;=SemanaActual,INDEX('Cronograma Asistente Técnico'!$AC$5:$AC$1000,$N40),""),IF(INDEX('Cronograma Asistente Técnico'!$I$5:$I$1000,$N40)="","",INDEX('Cronograma Asistente Técnico'!$I$5:$I$1000,$N40))))</f>
        <v/>
      </c>
      <c r="G40" s="61">
        <f>IF($N40="","",IF($P40&gt;0,IF(2&lt;=SemanaActual,INDEX('Cronograma Asistente Técnico'!$AD$5:$AD$1000,$N40),""),IF(INDEX('Cronograma Asistente Técnico'!$J$5:$J$1000,$N40)="","",INDEX('Cronograma Asistente Técnico'!$J$5:$J$1000,$N40))))</f>
        <v/>
      </c>
      <c r="H40" s="61">
        <f>IF($N40="","",IF($P40&gt;0,IF(3&lt;=SemanaActual,INDEX('Cronograma Asistente Técnico'!$AE$5:$AE$1000,$N40),""),IF(INDEX('Cronograma Asistente Técnico'!$K$5:$K$1000,$N40)="","",INDEX('Cronograma Asistente Técnico'!$K$5:$K$1000,$N40))))</f>
        <v/>
      </c>
      <c r="I40" s="61">
        <f>IF($N40="","",IF($P40&gt;0,IF(4&lt;=SemanaActual,INDEX('Cronograma Asistente Técnico'!$AF$5:$AF$1000,$N40),""),IF(INDEX('Cronograma Asistente Técnico'!$L$5:$L$1000,$N40)="","",INDEX('Cronograma Asistente Técnico'!$L$5:$L$1000,$N40))))</f>
        <v/>
      </c>
      <c r="J40" s="61">
        <f>IF($N40="","",INDEX('Cronograma Asistente Técnico'!$M$5:$M$1000,$N40))</f>
        <v/>
      </c>
      <c r="K40" s="56">
        <f>IF($N40="","",IF(N($J40)&gt;=1,"Completado",IF(AND(ISNUMBER($D40),$D40&lt;FechaRef),"Vencida",IF(N($J40)&gt;0,"En curso","Pendiente"))))</f>
        <v/>
      </c>
      <c r="L40" s="56">
        <f>IF($N40="","",INDEX('Cronograma Asistente Técnico'!$O$5:$O$1000,$N40)&amp;"")</f>
        <v/>
      </c>
      <c r="M40" s="62">
        <f>IF($N40="","",INDEX('Cronograma Asistente Técnico'!$Q$5:$Q$1000,$N40)&amp;"")</f>
        <v/>
      </c>
      <c r="N40">
        <f>IFERROR(MATCH(ROW()-4,rOrden_ATR,0),"")</f>
        <v/>
      </c>
      <c r="O40">
        <f>IF($N40="","",INDEX('Cronograma Asistente Técnico'!$V$5:$V$1000,$N40))</f>
        <v/>
      </c>
      <c r="P40">
        <f>IF($N40="","",N(INDEX('Cronograma Asistente Técnico'!$W$5:$W$1000,$N40)))</f>
        <v/>
      </c>
      <c r="Q40">
        <f>IF(OR(LEFT($L40,7)="Vencida",LEFT($L40,5)="Vence"),SUMPRODUCT(--(LEFT($L$5:$L40,7)="Vencida"))+SUMPRODUCT(--(LEFT($L$5:$L40,5)="Vence")),"")</f>
        <v/>
      </c>
    </row>
    <row r="41">
      <c r="A41" s="56">
        <f>IF($N41="","",INDEX('Cronograma Asistente Técnico'!$A$5:$A$1000,$N41))</f>
        <v/>
      </c>
      <c r="B41" s="62">
        <f>IF($N41="","",IF($O41="Sub","      ↳  "&amp;INDEX('Cronograma Asistente Técnico'!$C$5:$C$1000,$N41),INDEX('Cronograma Asistente Técnico'!$C$5:$C$1000,$N41)&amp;""))</f>
        <v/>
      </c>
      <c r="C41" s="79">
        <f>IF($N41="","",IF(INDEX('Cronograma Asistente Técnico'!$AM$5:$AM$1000,$N41)="","",INDEX('Cronograma Asistente Técnico'!$AM$5:$AM$1000,$N41)))</f>
        <v/>
      </c>
      <c r="D41" s="79">
        <f>IF($N41="","",IF(INDEX('Cronograma Asistente Técnico'!$AN$5:$AN$1000,$N41)="","",INDEX('Cronograma Asistente Técnico'!$AN$5:$AN$1000,$N41)))</f>
        <v/>
      </c>
      <c r="E41" s="56">
        <f>IF($N41="","",IF(NOT(ISNUMBER($D41)),"",IF($D41&lt;InicioCiclo,"Antes del ciclo",IF($D41&gt;=InicioCiclo+28,"Después del ciclo","Semana "&amp;(INT(($D41-InicioCiclo)/7)+1)))))</f>
        <v/>
      </c>
      <c r="F41" s="61">
        <f>IF($N41="","",IF($P41&gt;0,IF(1&lt;=SemanaActual,INDEX('Cronograma Asistente Técnico'!$AC$5:$AC$1000,$N41),""),IF(INDEX('Cronograma Asistente Técnico'!$I$5:$I$1000,$N41)="","",INDEX('Cronograma Asistente Técnico'!$I$5:$I$1000,$N41))))</f>
        <v/>
      </c>
      <c r="G41" s="61">
        <f>IF($N41="","",IF($P41&gt;0,IF(2&lt;=SemanaActual,INDEX('Cronograma Asistente Técnico'!$AD$5:$AD$1000,$N41),""),IF(INDEX('Cronograma Asistente Técnico'!$J$5:$J$1000,$N41)="","",INDEX('Cronograma Asistente Técnico'!$J$5:$J$1000,$N41))))</f>
        <v/>
      </c>
      <c r="H41" s="61">
        <f>IF($N41="","",IF($P41&gt;0,IF(3&lt;=SemanaActual,INDEX('Cronograma Asistente Técnico'!$AE$5:$AE$1000,$N41),""),IF(INDEX('Cronograma Asistente Técnico'!$K$5:$K$1000,$N41)="","",INDEX('Cronograma Asistente Técnico'!$K$5:$K$1000,$N41))))</f>
        <v/>
      </c>
      <c r="I41" s="61">
        <f>IF($N41="","",IF($P41&gt;0,IF(4&lt;=SemanaActual,INDEX('Cronograma Asistente Técnico'!$AF$5:$AF$1000,$N41),""),IF(INDEX('Cronograma Asistente Técnico'!$L$5:$L$1000,$N41)="","",INDEX('Cronograma Asistente Técnico'!$L$5:$L$1000,$N41))))</f>
        <v/>
      </c>
      <c r="J41" s="61">
        <f>IF($N41="","",INDEX('Cronograma Asistente Técnico'!$M$5:$M$1000,$N41))</f>
        <v/>
      </c>
      <c r="K41" s="56">
        <f>IF($N41="","",IF(N($J41)&gt;=1,"Completado",IF(AND(ISNUMBER($D41),$D41&lt;FechaRef),"Vencida",IF(N($J41)&gt;0,"En curso","Pendiente"))))</f>
        <v/>
      </c>
      <c r="L41" s="56">
        <f>IF($N41="","",INDEX('Cronograma Asistente Técnico'!$O$5:$O$1000,$N41)&amp;"")</f>
        <v/>
      </c>
      <c r="M41" s="62">
        <f>IF($N41="","",INDEX('Cronograma Asistente Técnico'!$Q$5:$Q$1000,$N41)&amp;"")</f>
        <v/>
      </c>
      <c r="N41">
        <f>IFERROR(MATCH(ROW()-4,rOrden_ATR,0),"")</f>
        <v/>
      </c>
      <c r="O41">
        <f>IF($N41="","",INDEX('Cronograma Asistente Técnico'!$V$5:$V$1000,$N41))</f>
        <v/>
      </c>
      <c r="P41">
        <f>IF($N41="","",N(INDEX('Cronograma Asistente Técnico'!$W$5:$W$1000,$N41)))</f>
        <v/>
      </c>
      <c r="Q41">
        <f>IF(OR(LEFT($L41,7)="Vencida",LEFT($L41,5)="Vence"),SUMPRODUCT(--(LEFT($L$5:$L41,7)="Vencida"))+SUMPRODUCT(--(LEFT($L$5:$L41,5)="Vence")),"")</f>
        <v/>
      </c>
    </row>
    <row r="42">
      <c r="A42" s="56">
        <f>IF($N42="","",INDEX('Cronograma Asistente Técnico'!$A$5:$A$1000,$N42))</f>
        <v/>
      </c>
      <c r="B42" s="62">
        <f>IF($N42="","",IF($O42="Sub","      ↳  "&amp;INDEX('Cronograma Asistente Técnico'!$C$5:$C$1000,$N42),INDEX('Cronograma Asistente Técnico'!$C$5:$C$1000,$N42)&amp;""))</f>
        <v/>
      </c>
      <c r="C42" s="79">
        <f>IF($N42="","",IF(INDEX('Cronograma Asistente Técnico'!$AM$5:$AM$1000,$N42)="","",INDEX('Cronograma Asistente Técnico'!$AM$5:$AM$1000,$N42)))</f>
        <v/>
      </c>
      <c r="D42" s="79">
        <f>IF($N42="","",IF(INDEX('Cronograma Asistente Técnico'!$AN$5:$AN$1000,$N42)="","",INDEX('Cronograma Asistente Técnico'!$AN$5:$AN$1000,$N42)))</f>
        <v/>
      </c>
      <c r="E42" s="56">
        <f>IF($N42="","",IF(NOT(ISNUMBER($D42)),"",IF($D42&lt;InicioCiclo,"Antes del ciclo",IF($D42&gt;=InicioCiclo+28,"Después del ciclo","Semana "&amp;(INT(($D42-InicioCiclo)/7)+1)))))</f>
        <v/>
      </c>
      <c r="F42" s="61">
        <f>IF($N42="","",IF($P42&gt;0,IF(1&lt;=SemanaActual,INDEX('Cronograma Asistente Técnico'!$AC$5:$AC$1000,$N42),""),IF(INDEX('Cronograma Asistente Técnico'!$I$5:$I$1000,$N42)="","",INDEX('Cronograma Asistente Técnico'!$I$5:$I$1000,$N42))))</f>
        <v/>
      </c>
      <c r="G42" s="61">
        <f>IF($N42="","",IF($P42&gt;0,IF(2&lt;=SemanaActual,INDEX('Cronograma Asistente Técnico'!$AD$5:$AD$1000,$N42),""),IF(INDEX('Cronograma Asistente Técnico'!$J$5:$J$1000,$N42)="","",INDEX('Cronograma Asistente Técnico'!$J$5:$J$1000,$N42))))</f>
        <v/>
      </c>
      <c r="H42" s="61">
        <f>IF($N42="","",IF($P42&gt;0,IF(3&lt;=SemanaActual,INDEX('Cronograma Asistente Técnico'!$AE$5:$AE$1000,$N42),""),IF(INDEX('Cronograma Asistente Técnico'!$K$5:$K$1000,$N42)="","",INDEX('Cronograma Asistente Técnico'!$K$5:$K$1000,$N42))))</f>
        <v/>
      </c>
      <c r="I42" s="61">
        <f>IF($N42="","",IF($P42&gt;0,IF(4&lt;=SemanaActual,INDEX('Cronograma Asistente Técnico'!$AF$5:$AF$1000,$N42),""),IF(INDEX('Cronograma Asistente Técnico'!$L$5:$L$1000,$N42)="","",INDEX('Cronograma Asistente Técnico'!$L$5:$L$1000,$N42))))</f>
        <v/>
      </c>
      <c r="J42" s="61">
        <f>IF($N42="","",INDEX('Cronograma Asistente Técnico'!$M$5:$M$1000,$N42))</f>
        <v/>
      </c>
      <c r="K42" s="56">
        <f>IF($N42="","",IF(N($J42)&gt;=1,"Completado",IF(AND(ISNUMBER($D42),$D42&lt;FechaRef),"Vencida",IF(N($J42)&gt;0,"En curso","Pendiente"))))</f>
        <v/>
      </c>
      <c r="L42" s="56">
        <f>IF($N42="","",INDEX('Cronograma Asistente Técnico'!$O$5:$O$1000,$N42)&amp;"")</f>
        <v/>
      </c>
      <c r="M42" s="62">
        <f>IF($N42="","",INDEX('Cronograma Asistente Técnico'!$Q$5:$Q$1000,$N42)&amp;"")</f>
        <v/>
      </c>
      <c r="N42">
        <f>IFERROR(MATCH(ROW()-4,rOrden_ATR,0),"")</f>
        <v/>
      </c>
      <c r="O42">
        <f>IF($N42="","",INDEX('Cronograma Asistente Técnico'!$V$5:$V$1000,$N42))</f>
        <v/>
      </c>
      <c r="P42">
        <f>IF($N42="","",N(INDEX('Cronograma Asistente Técnico'!$W$5:$W$1000,$N42)))</f>
        <v/>
      </c>
      <c r="Q42">
        <f>IF(OR(LEFT($L42,7)="Vencida",LEFT($L42,5)="Vence"),SUMPRODUCT(--(LEFT($L$5:$L42,7)="Vencida"))+SUMPRODUCT(--(LEFT($L$5:$L42,5)="Vence")),"")</f>
        <v/>
      </c>
    </row>
    <row r="43">
      <c r="A43" s="56">
        <f>IF($N43="","",INDEX('Cronograma Asistente Técnico'!$A$5:$A$1000,$N43))</f>
        <v/>
      </c>
      <c r="B43" s="62">
        <f>IF($N43="","",IF($O43="Sub","      ↳  "&amp;INDEX('Cronograma Asistente Técnico'!$C$5:$C$1000,$N43),INDEX('Cronograma Asistente Técnico'!$C$5:$C$1000,$N43)&amp;""))</f>
        <v/>
      </c>
      <c r="C43" s="79">
        <f>IF($N43="","",IF(INDEX('Cronograma Asistente Técnico'!$AM$5:$AM$1000,$N43)="","",INDEX('Cronograma Asistente Técnico'!$AM$5:$AM$1000,$N43)))</f>
        <v/>
      </c>
      <c r="D43" s="79">
        <f>IF($N43="","",IF(INDEX('Cronograma Asistente Técnico'!$AN$5:$AN$1000,$N43)="","",INDEX('Cronograma Asistente Técnico'!$AN$5:$AN$1000,$N43)))</f>
        <v/>
      </c>
      <c r="E43" s="56">
        <f>IF($N43="","",IF(NOT(ISNUMBER($D43)),"",IF($D43&lt;InicioCiclo,"Antes del ciclo",IF($D43&gt;=InicioCiclo+28,"Después del ciclo","Semana "&amp;(INT(($D43-InicioCiclo)/7)+1)))))</f>
        <v/>
      </c>
      <c r="F43" s="61">
        <f>IF($N43="","",IF($P43&gt;0,IF(1&lt;=SemanaActual,INDEX('Cronograma Asistente Técnico'!$AC$5:$AC$1000,$N43),""),IF(INDEX('Cronograma Asistente Técnico'!$I$5:$I$1000,$N43)="","",INDEX('Cronograma Asistente Técnico'!$I$5:$I$1000,$N43))))</f>
        <v/>
      </c>
      <c r="G43" s="61">
        <f>IF($N43="","",IF($P43&gt;0,IF(2&lt;=SemanaActual,INDEX('Cronograma Asistente Técnico'!$AD$5:$AD$1000,$N43),""),IF(INDEX('Cronograma Asistente Técnico'!$J$5:$J$1000,$N43)="","",INDEX('Cronograma Asistente Técnico'!$J$5:$J$1000,$N43))))</f>
        <v/>
      </c>
      <c r="H43" s="61">
        <f>IF($N43="","",IF($P43&gt;0,IF(3&lt;=SemanaActual,INDEX('Cronograma Asistente Técnico'!$AE$5:$AE$1000,$N43),""),IF(INDEX('Cronograma Asistente Técnico'!$K$5:$K$1000,$N43)="","",INDEX('Cronograma Asistente Técnico'!$K$5:$K$1000,$N43))))</f>
        <v/>
      </c>
      <c r="I43" s="61">
        <f>IF($N43="","",IF($P43&gt;0,IF(4&lt;=SemanaActual,INDEX('Cronograma Asistente Técnico'!$AF$5:$AF$1000,$N43),""),IF(INDEX('Cronograma Asistente Técnico'!$L$5:$L$1000,$N43)="","",INDEX('Cronograma Asistente Técnico'!$L$5:$L$1000,$N43))))</f>
        <v/>
      </c>
      <c r="J43" s="61">
        <f>IF($N43="","",INDEX('Cronograma Asistente Técnico'!$M$5:$M$1000,$N43))</f>
        <v/>
      </c>
      <c r="K43" s="56">
        <f>IF($N43="","",IF(N($J43)&gt;=1,"Completado",IF(AND(ISNUMBER($D43),$D43&lt;FechaRef),"Vencida",IF(N($J43)&gt;0,"En curso","Pendiente"))))</f>
        <v/>
      </c>
      <c r="L43" s="56">
        <f>IF($N43="","",INDEX('Cronograma Asistente Técnico'!$O$5:$O$1000,$N43)&amp;"")</f>
        <v/>
      </c>
      <c r="M43" s="62">
        <f>IF($N43="","",INDEX('Cronograma Asistente Técnico'!$Q$5:$Q$1000,$N43)&amp;"")</f>
        <v/>
      </c>
      <c r="N43">
        <f>IFERROR(MATCH(ROW()-4,rOrden_ATR,0),"")</f>
        <v/>
      </c>
      <c r="O43">
        <f>IF($N43="","",INDEX('Cronograma Asistente Técnico'!$V$5:$V$1000,$N43))</f>
        <v/>
      </c>
      <c r="P43">
        <f>IF($N43="","",N(INDEX('Cronograma Asistente Técnico'!$W$5:$W$1000,$N43)))</f>
        <v/>
      </c>
      <c r="Q43">
        <f>IF(OR(LEFT($L43,7)="Vencida",LEFT($L43,5)="Vence"),SUMPRODUCT(--(LEFT($L$5:$L43,7)="Vencida"))+SUMPRODUCT(--(LEFT($L$5:$L43,5)="Vence")),"")</f>
        <v/>
      </c>
    </row>
    <row r="44">
      <c r="A44" s="56">
        <f>IF($N44="","",INDEX('Cronograma Asistente Técnico'!$A$5:$A$1000,$N44))</f>
        <v/>
      </c>
      <c r="B44" s="62">
        <f>IF($N44="","",IF($O44="Sub","      ↳  "&amp;INDEX('Cronograma Asistente Técnico'!$C$5:$C$1000,$N44),INDEX('Cronograma Asistente Técnico'!$C$5:$C$1000,$N44)&amp;""))</f>
        <v/>
      </c>
      <c r="C44" s="79">
        <f>IF($N44="","",IF(INDEX('Cronograma Asistente Técnico'!$AM$5:$AM$1000,$N44)="","",INDEX('Cronograma Asistente Técnico'!$AM$5:$AM$1000,$N44)))</f>
        <v/>
      </c>
      <c r="D44" s="79">
        <f>IF($N44="","",IF(INDEX('Cronograma Asistente Técnico'!$AN$5:$AN$1000,$N44)="","",INDEX('Cronograma Asistente Técnico'!$AN$5:$AN$1000,$N44)))</f>
        <v/>
      </c>
      <c r="E44" s="56">
        <f>IF($N44="","",IF(NOT(ISNUMBER($D44)),"",IF($D44&lt;InicioCiclo,"Antes del ciclo",IF($D44&gt;=InicioCiclo+28,"Después del ciclo","Semana "&amp;(INT(($D44-InicioCiclo)/7)+1)))))</f>
        <v/>
      </c>
      <c r="F44" s="61">
        <f>IF($N44="","",IF($P44&gt;0,IF(1&lt;=SemanaActual,INDEX('Cronograma Asistente Técnico'!$AC$5:$AC$1000,$N44),""),IF(INDEX('Cronograma Asistente Técnico'!$I$5:$I$1000,$N44)="","",INDEX('Cronograma Asistente Técnico'!$I$5:$I$1000,$N44))))</f>
        <v/>
      </c>
      <c r="G44" s="61">
        <f>IF($N44="","",IF($P44&gt;0,IF(2&lt;=SemanaActual,INDEX('Cronograma Asistente Técnico'!$AD$5:$AD$1000,$N44),""),IF(INDEX('Cronograma Asistente Técnico'!$J$5:$J$1000,$N44)="","",INDEX('Cronograma Asistente Técnico'!$J$5:$J$1000,$N44))))</f>
        <v/>
      </c>
      <c r="H44" s="61">
        <f>IF($N44="","",IF($P44&gt;0,IF(3&lt;=SemanaActual,INDEX('Cronograma Asistente Técnico'!$AE$5:$AE$1000,$N44),""),IF(INDEX('Cronograma Asistente Técnico'!$K$5:$K$1000,$N44)="","",INDEX('Cronograma Asistente Técnico'!$K$5:$K$1000,$N44))))</f>
        <v/>
      </c>
      <c r="I44" s="61">
        <f>IF($N44="","",IF($P44&gt;0,IF(4&lt;=SemanaActual,INDEX('Cronograma Asistente Técnico'!$AF$5:$AF$1000,$N44),""),IF(INDEX('Cronograma Asistente Técnico'!$L$5:$L$1000,$N44)="","",INDEX('Cronograma Asistente Técnico'!$L$5:$L$1000,$N44))))</f>
        <v/>
      </c>
      <c r="J44" s="61">
        <f>IF($N44="","",INDEX('Cronograma Asistente Técnico'!$M$5:$M$1000,$N44))</f>
        <v/>
      </c>
      <c r="K44" s="56">
        <f>IF($N44="","",IF(N($J44)&gt;=1,"Completado",IF(AND(ISNUMBER($D44),$D44&lt;FechaRef),"Vencida",IF(N($J44)&gt;0,"En curso","Pendiente"))))</f>
        <v/>
      </c>
      <c r="L44" s="56">
        <f>IF($N44="","",INDEX('Cronograma Asistente Técnico'!$O$5:$O$1000,$N44)&amp;"")</f>
        <v/>
      </c>
      <c r="M44" s="62">
        <f>IF($N44="","",INDEX('Cronograma Asistente Técnico'!$Q$5:$Q$1000,$N44)&amp;"")</f>
        <v/>
      </c>
      <c r="N44">
        <f>IFERROR(MATCH(ROW()-4,rOrden_ATR,0),"")</f>
        <v/>
      </c>
      <c r="O44">
        <f>IF($N44="","",INDEX('Cronograma Asistente Técnico'!$V$5:$V$1000,$N44))</f>
        <v/>
      </c>
      <c r="P44">
        <f>IF($N44="","",N(INDEX('Cronograma Asistente Técnico'!$W$5:$W$1000,$N44)))</f>
        <v/>
      </c>
      <c r="Q44">
        <f>IF(OR(LEFT($L44,7)="Vencida",LEFT($L44,5)="Vence"),SUMPRODUCT(--(LEFT($L$5:$L44,7)="Vencida"))+SUMPRODUCT(--(LEFT($L$5:$L44,5)="Vence")),"")</f>
        <v/>
      </c>
    </row>
    <row r="45">
      <c r="A45" s="56">
        <f>IF($N45="","",INDEX('Cronograma Asistente Técnico'!$A$5:$A$1000,$N45))</f>
        <v/>
      </c>
      <c r="B45" s="62">
        <f>IF($N45="","",IF($O45="Sub","      ↳  "&amp;INDEX('Cronograma Asistente Técnico'!$C$5:$C$1000,$N45),INDEX('Cronograma Asistente Técnico'!$C$5:$C$1000,$N45)&amp;""))</f>
        <v/>
      </c>
      <c r="C45" s="79">
        <f>IF($N45="","",IF(INDEX('Cronograma Asistente Técnico'!$AM$5:$AM$1000,$N45)="","",INDEX('Cronograma Asistente Técnico'!$AM$5:$AM$1000,$N45)))</f>
        <v/>
      </c>
      <c r="D45" s="79">
        <f>IF($N45="","",IF(INDEX('Cronograma Asistente Técnico'!$AN$5:$AN$1000,$N45)="","",INDEX('Cronograma Asistente Técnico'!$AN$5:$AN$1000,$N45)))</f>
        <v/>
      </c>
      <c r="E45" s="56">
        <f>IF($N45="","",IF(NOT(ISNUMBER($D45)),"",IF($D45&lt;InicioCiclo,"Antes del ciclo",IF($D45&gt;=InicioCiclo+28,"Después del ciclo","Semana "&amp;(INT(($D45-InicioCiclo)/7)+1)))))</f>
        <v/>
      </c>
      <c r="F45" s="61">
        <f>IF($N45="","",IF($P45&gt;0,IF(1&lt;=SemanaActual,INDEX('Cronograma Asistente Técnico'!$AC$5:$AC$1000,$N45),""),IF(INDEX('Cronograma Asistente Técnico'!$I$5:$I$1000,$N45)="","",INDEX('Cronograma Asistente Técnico'!$I$5:$I$1000,$N45))))</f>
        <v/>
      </c>
      <c r="G45" s="61">
        <f>IF($N45="","",IF($P45&gt;0,IF(2&lt;=SemanaActual,INDEX('Cronograma Asistente Técnico'!$AD$5:$AD$1000,$N45),""),IF(INDEX('Cronograma Asistente Técnico'!$J$5:$J$1000,$N45)="","",INDEX('Cronograma Asistente Técnico'!$J$5:$J$1000,$N45))))</f>
        <v/>
      </c>
      <c r="H45" s="61">
        <f>IF($N45="","",IF($P45&gt;0,IF(3&lt;=SemanaActual,INDEX('Cronograma Asistente Técnico'!$AE$5:$AE$1000,$N45),""),IF(INDEX('Cronograma Asistente Técnico'!$K$5:$K$1000,$N45)="","",INDEX('Cronograma Asistente Técnico'!$K$5:$K$1000,$N45))))</f>
        <v/>
      </c>
      <c r="I45" s="61">
        <f>IF($N45="","",IF($P45&gt;0,IF(4&lt;=SemanaActual,INDEX('Cronograma Asistente Técnico'!$AF$5:$AF$1000,$N45),""),IF(INDEX('Cronograma Asistente Técnico'!$L$5:$L$1000,$N45)="","",INDEX('Cronograma Asistente Técnico'!$L$5:$L$1000,$N45))))</f>
        <v/>
      </c>
      <c r="J45" s="61">
        <f>IF($N45="","",INDEX('Cronograma Asistente Técnico'!$M$5:$M$1000,$N45))</f>
        <v/>
      </c>
      <c r="K45" s="56">
        <f>IF($N45="","",IF(N($J45)&gt;=1,"Completado",IF(AND(ISNUMBER($D45),$D45&lt;FechaRef),"Vencida",IF(N($J45)&gt;0,"En curso","Pendiente"))))</f>
        <v/>
      </c>
      <c r="L45" s="56">
        <f>IF($N45="","",INDEX('Cronograma Asistente Técnico'!$O$5:$O$1000,$N45)&amp;"")</f>
        <v/>
      </c>
      <c r="M45" s="62">
        <f>IF($N45="","",INDEX('Cronograma Asistente Técnico'!$Q$5:$Q$1000,$N45)&amp;"")</f>
        <v/>
      </c>
      <c r="N45">
        <f>IFERROR(MATCH(ROW()-4,rOrden_ATR,0),"")</f>
        <v/>
      </c>
      <c r="O45">
        <f>IF($N45="","",INDEX('Cronograma Asistente Técnico'!$V$5:$V$1000,$N45))</f>
        <v/>
      </c>
      <c r="P45">
        <f>IF($N45="","",N(INDEX('Cronograma Asistente Técnico'!$W$5:$W$1000,$N45)))</f>
        <v/>
      </c>
      <c r="Q45">
        <f>IF(OR(LEFT($L45,7)="Vencida",LEFT($L45,5)="Vence"),SUMPRODUCT(--(LEFT($L$5:$L45,7)="Vencida"))+SUMPRODUCT(--(LEFT($L$5:$L45,5)="Vence")),"")</f>
        <v/>
      </c>
    </row>
    <row r="46">
      <c r="A46" s="56">
        <f>IF($N46="","",INDEX('Cronograma Asistente Técnico'!$A$5:$A$1000,$N46))</f>
        <v/>
      </c>
      <c r="B46" s="62">
        <f>IF($N46="","",IF($O46="Sub","      ↳  "&amp;INDEX('Cronograma Asistente Técnico'!$C$5:$C$1000,$N46),INDEX('Cronograma Asistente Técnico'!$C$5:$C$1000,$N46)&amp;""))</f>
        <v/>
      </c>
      <c r="C46" s="79">
        <f>IF($N46="","",IF(INDEX('Cronograma Asistente Técnico'!$AM$5:$AM$1000,$N46)="","",INDEX('Cronograma Asistente Técnico'!$AM$5:$AM$1000,$N46)))</f>
        <v/>
      </c>
      <c r="D46" s="79">
        <f>IF($N46="","",IF(INDEX('Cronograma Asistente Técnico'!$AN$5:$AN$1000,$N46)="","",INDEX('Cronograma Asistente Técnico'!$AN$5:$AN$1000,$N46)))</f>
        <v/>
      </c>
      <c r="E46" s="56">
        <f>IF($N46="","",IF(NOT(ISNUMBER($D46)),"",IF($D46&lt;InicioCiclo,"Antes del ciclo",IF($D46&gt;=InicioCiclo+28,"Después del ciclo","Semana "&amp;(INT(($D46-InicioCiclo)/7)+1)))))</f>
        <v/>
      </c>
      <c r="F46" s="61">
        <f>IF($N46="","",IF($P46&gt;0,IF(1&lt;=SemanaActual,INDEX('Cronograma Asistente Técnico'!$AC$5:$AC$1000,$N46),""),IF(INDEX('Cronograma Asistente Técnico'!$I$5:$I$1000,$N46)="","",INDEX('Cronograma Asistente Técnico'!$I$5:$I$1000,$N46))))</f>
        <v/>
      </c>
      <c r="G46" s="61">
        <f>IF($N46="","",IF($P46&gt;0,IF(2&lt;=SemanaActual,INDEX('Cronograma Asistente Técnico'!$AD$5:$AD$1000,$N46),""),IF(INDEX('Cronograma Asistente Técnico'!$J$5:$J$1000,$N46)="","",INDEX('Cronograma Asistente Técnico'!$J$5:$J$1000,$N46))))</f>
        <v/>
      </c>
      <c r="H46" s="61">
        <f>IF($N46="","",IF($P46&gt;0,IF(3&lt;=SemanaActual,INDEX('Cronograma Asistente Técnico'!$AE$5:$AE$1000,$N46),""),IF(INDEX('Cronograma Asistente Técnico'!$K$5:$K$1000,$N46)="","",INDEX('Cronograma Asistente Técnico'!$K$5:$K$1000,$N46))))</f>
        <v/>
      </c>
      <c r="I46" s="61">
        <f>IF($N46="","",IF($P46&gt;0,IF(4&lt;=SemanaActual,INDEX('Cronograma Asistente Técnico'!$AF$5:$AF$1000,$N46),""),IF(INDEX('Cronograma Asistente Técnico'!$L$5:$L$1000,$N46)="","",INDEX('Cronograma Asistente Técnico'!$L$5:$L$1000,$N46))))</f>
        <v/>
      </c>
      <c r="J46" s="61">
        <f>IF($N46="","",INDEX('Cronograma Asistente Técnico'!$M$5:$M$1000,$N46))</f>
        <v/>
      </c>
      <c r="K46" s="56">
        <f>IF($N46="","",IF(N($J46)&gt;=1,"Completado",IF(AND(ISNUMBER($D46),$D46&lt;FechaRef),"Vencida",IF(N($J46)&gt;0,"En curso","Pendiente"))))</f>
        <v/>
      </c>
      <c r="L46" s="56">
        <f>IF($N46="","",INDEX('Cronograma Asistente Técnico'!$O$5:$O$1000,$N46)&amp;"")</f>
        <v/>
      </c>
      <c r="M46" s="62">
        <f>IF($N46="","",INDEX('Cronograma Asistente Técnico'!$Q$5:$Q$1000,$N46)&amp;"")</f>
        <v/>
      </c>
      <c r="N46">
        <f>IFERROR(MATCH(ROW()-4,rOrden_ATR,0),"")</f>
        <v/>
      </c>
      <c r="O46">
        <f>IF($N46="","",INDEX('Cronograma Asistente Técnico'!$V$5:$V$1000,$N46))</f>
        <v/>
      </c>
      <c r="P46">
        <f>IF($N46="","",N(INDEX('Cronograma Asistente Técnico'!$W$5:$W$1000,$N46)))</f>
        <v/>
      </c>
      <c r="Q46">
        <f>IF(OR(LEFT($L46,7)="Vencida",LEFT($L46,5)="Vence"),SUMPRODUCT(--(LEFT($L$5:$L46,7)="Vencida"))+SUMPRODUCT(--(LEFT($L$5:$L46,5)="Vence")),"")</f>
        <v/>
      </c>
    </row>
    <row r="47">
      <c r="A47" s="56">
        <f>IF($N47="","",INDEX('Cronograma Asistente Técnico'!$A$5:$A$1000,$N47))</f>
        <v/>
      </c>
      <c r="B47" s="62">
        <f>IF($N47="","",IF($O47="Sub","      ↳  "&amp;INDEX('Cronograma Asistente Técnico'!$C$5:$C$1000,$N47),INDEX('Cronograma Asistente Técnico'!$C$5:$C$1000,$N47)&amp;""))</f>
        <v/>
      </c>
      <c r="C47" s="79">
        <f>IF($N47="","",IF(INDEX('Cronograma Asistente Técnico'!$AM$5:$AM$1000,$N47)="","",INDEX('Cronograma Asistente Técnico'!$AM$5:$AM$1000,$N47)))</f>
        <v/>
      </c>
      <c r="D47" s="79">
        <f>IF($N47="","",IF(INDEX('Cronograma Asistente Técnico'!$AN$5:$AN$1000,$N47)="","",INDEX('Cronograma Asistente Técnico'!$AN$5:$AN$1000,$N47)))</f>
        <v/>
      </c>
      <c r="E47" s="56">
        <f>IF($N47="","",IF(NOT(ISNUMBER($D47)),"",IF($D47&lt;InicioCiclo,"Antes del ciclo",IF($D47&gt;=InicioCiclo+28,"Después del ciclo","Semana "&amp;(INT(($D47-InicioCiclo)/7)+1)))))</f>
        <v/>
      </c>
      <c r="F47" s="61">
        <f>IF($N47="","",IF($P47&gt;0,IF(1&lt;=SemanaActual,INDEX('Cronograma Asistente Técnico'!$AC$5:$AC$1000,$N47),""),IF(INDEX('Cronograma Asistente Técnico'!$I$5:$I$1000,$N47)="","",INDEX('Cronograma Asistente Técnico'!$I$5:$I$1000,$N47))))</f>
        <v/>
      </c>
      <c r="G47" s="61">
        <f>IF($N47="","",IF($P47&gt;0,IF(2&lt;=SemanaActual,INDEX('Cronograma Asistente Técnico'!$AD$5:$AD$1000,$N47),""),IF(INDEX('Cronograma Asistente Técnico'!$J$5:$J$1000,$N47)="","",INDEX('Cronograma Asistente Técnico'!$J$5:$J$1000,$N47))))</f>
        <v/>
      </c>
      <c r="H47" s="61">
        <f>IF($N47="","",IF($P47&gt;0,IF(3&lt;=SemanaActual,INDEX('Cronograma Asistente Técnico'!$AE$5:$AE$1000,$N47),""),IF(INDEX('Cronograma Asistente Técnico'!$K$5:$K$1000,$N47)="","",INDEX('Cronograma Asistente Técnico'!$K$5:$K$1000,$N47))))</f>
        <v/>
      </c>
      <c r="I47" s="61">
        <f>IF($N47="","",IF($P47&gt;0,IF(4&lt;=SemanaActual,INDEX('Cronograma Asistente Técnico'!$AF$5:$AF$1000,$N47),""),IF(INDEX('Cronograma Asistente Técnico'!$L$5:$L$1000,$N47)="","",INDEX('Cronograma Asistente Técnico'!$L$5:$L$1000,$N47))))</f>
        <v/>
      </c>
      <c r="J47" s="61">
        <f>IF($N47="","",INDEX('Cronograma Asistente Técnico'!$M$5:$M$1000,$N47))</f>
        <v/>
      </c>
      <c r="K47" s="56">
        <f>IF($N47="","",IF(N($J47)&gt;=1,"Completado",IF(AND(ISNUMBER($D47),$D47&lt;FechaRef),"Vencida",IF(N($J47)&gt;0,"En curso","Pendiente"))))</f>
        <v/>
      </c>
      <c r="L47" s="56">
        <f>IF($N47="","",INDEX('Cronograma Asistente Técnico'!$O$5:$O$1000,$N47)&amp;"")</f>
        <v/>
      </c>
      <c r="M47" s="62">
        <f>IF($N47="","",INDEX('Cronograma Asistente Técnico'!$Q$5:$Q$1000,$N47)&amp;"")</f>
        <v/>
      </c>
      <c r="N47">
        <f>IFERROR(MATCH(ROW()-4,rOrden_ATR,0),"")</f>
        <v/>
      </c>
      <c r="O47">
        <f>IF($N47="","",INDEX('Cronograma Asistente Técnico'!$V$5:$V$1000,$N47))</f>
        <v/>
      </c>
      <c r="P47">
        <f>IF($N47="","",N(INDEX('Cronograma Asistente Técnico'!$W$5:$W$1000,$N47)))</f>
        <v/>
      </c>
      <c r="Q47">
        <f>IF(OR(LEFT($L47,7)="Vencida",LEFT($L47,5)="Vence"),SUMPRODUCT(--(LEFT($L$5:$L47,7)="Vencida"))+SUMPRODUCT(--(LEFT($L$5:$L47,5)="Vence")),"")</f>
        <v/>
      </c>
    </row>
    <row r="48">
      <c r="A48" s="56">
        <f>IF($N48="","",INDEX('Cronograma Asistente Técnico'!$A$5:$A$1000,$N48))</f>
        <v/>
      </c>
      <c r="B48" s="62">
        <f>IF($N48="","",IF($O48="Sub","      ↳  "&amp;INDEX('Cronograma Asistente Técnico'!$C$5:$C$1000,$N48),INDEX('Cronograma Asistente Técnico'!$C$5:$C$1000,$N48)&amp;""))</f>
        <v/>
      </c>
      <c r="C48" s="79">
        <f>IF($N48="","",IF(INDEX('Cronograma Asistente Técnico'!$AM$5:$AM$1000,$N48)="","",INDEX('Cronograma Asistente Técnico'!$AM$5:$AM$1000,$N48)))</f>
        <v/>
      </c>
      <c r="D48" s="79">
        <f>IF($N48="","",IF(INDEX('Cronograma Asistente Técnico'!$AN$5:$AN$1000,$N48)="","",INDEX('Cronograma Asistente Técnico'!$AN$5:$AN$1000,$N48)))</f>
        <v/>
      </c>
      <c r="E48" s="56">
        <f>IF($N48="","",IF(NOT(ISNUMBER($D48)),"",IF($D48&lt;InicioCiclo,"Antes del ciclo",IF($D48&gt;=InicioCiclo+28,"Después del ciclo","Semana "&amp;(INT(($D48-InicioCiclo)/7)+1)))))</f>
        <v/>
      </c>
      <c r="F48" s="61">
        <f>IF($N48="","",IF($P48&gt;0,IF(1&lt;=SemanaActual,INDEX('Cronograma Asistente Técnico'!$AC$5:$AC$1000,$N48),""),IF(INDEX('Cronograma Asistente Técnico'!$I$5:$I$1000,$N48)="","",INDEX('Cronograma Asistente Técnico'!$I$5:$I$1000,$N48))))</f>
        <v/>
      </c>
      <c r="G48" s="61">
        <f>IF($N48="","",IF($P48&gt;0,IF(2&lt;=SemanaActual,INDEX('Cronograma Asistente Técnico'!$AD$5:$AD$1000,$N48),""),IF(INDEX('Cronograma Asistente Técnico'!$J$5:$J$1000,$N48)="","",INDEX('Cronograma Asistente Técnico'!$J$5:$J$1000,$N48))))</f>
        <v/>
      </c>
      <c r="H48" s="61">
        <f>IF($N48="","",IF($P48&gt;0,IF(3&lt;=SemanaActual,INDEX('Cronograma Asistente Técnico'!$AE$5:$AE$1000,$N48),""),IF(INDEX('Cronograma Asistente Técnico'!$K$5:$K$1000,$N48)="","",INDEX('Cronograma Asistente Técnico'!$K$5:$K$1000,$N48))))</f>
        <v/>
      </c>
      <c r="I48" s="61">
        <f>IF($N48="","",IF($P48&gt;0,IF(4&lt;=SemanaActual,INDEX('Cronograma Asistente Técnico'!$AF$5:$AF$1000,$N48),""),IF(INDEX('Cronograma Asistente Técnico'!$L$5:$L$1000,$N48)="","",INDEX('Cronograma Asistente Técnico'!$L$5:$L$1000,$N48))))</f>
        <v/>
      </c>
      <c r="J48" s="61">
        <f>IF($N48="","",INDEX('Cronograma Asistente Técnico'!$M$5:$M$1000,$N48))</f>
        <v/>
      </c>
      <c r="K48" s="56">
        <f>IF($N48="","",IF(N($J48)&gt;=1,"Completado",IF(AND(ISNUMBER($D48),$D48&lt;FechaRef),"Vencida",IF(N($J48)&gt;0,"En curso","Pendiente"))))</f>
        <v/>
      </c>
      <c r="L48" s="56">
        <f>IF($N48="","",INDEX('Cronograma Asistente Técnico'!$O$5:$O$1000,$N48)&amp;"")</f>
        <v/>
      </c>
      <c r="M48" s="62">
        <f>IF($N48="","",INDEX('Cronograma Asistente Técnico'!$Q$5:$Q$1000,$N48)&amp;"")</f>
        <v/>
      </c>
      <c r="N48">
        <f>IFERROR(MATCH(ROW()-4,rOrden_ATR,0),"")</f>
        <v/>
      </c>
      <c r="O48">
        <f>IF($N48="","",INDEX('Cronograma Asistente Técnico'!$V$5:$V$1000,$N48))</f>
        <v/>
      </c>
      <c r="P48">
        <f>IF($N48="","",N(INDEX('Cronograma Asistente Técnico'!$W$5:$W$1000,$N48)))</f>
        <v/>
      </c>
      <c r="Q48">
        <f>IF(OR(LEFT($L48,7)="Vencida",LEFT($L48,5)="Vence"),SUMPRODUCT(--(LEFT($L$5:$L48,7)="Vencida"))+SUMPRODUCT(--(LEFT($L$5:$L48,5)="Vence")),"")</f>
        <v/>
      </c>
    </row>
    <row r="49">
      <c r="A49" s="56">
        <f>IF($N49="","",INDEX('Cronograma Asistente Técnico'!$A$5:$A$1000,$N49))</f>
        <v/>
      </c>
      <c r="B49" s="62">
        <f>IF($N49="","",IF($O49="Sub","      ↳  "&amp;INDEX('Cronograma Asistente Técnico'!$C$5:$C$1000,$N49),INDEX('Cronograma Asistente Técnico'!$C$5:$C$1000,$N49)&amp;""))</f>
        <v/>
      </c>
      <c r="C49" s="79">
        <f>IF($N49="","",IF(INDEX('Cronograma Asistente Técnico'!$AM$5:$AM$1000,$N49)="","",INDEX('Cronograma Asistente Técnico'!$AM$5:$AM$1000,$N49)))</f>
        <v/>
      </c>
      <c r="D49" s="79">
        <f>IF($N49="","",IF(INDEX('Cronograma Asistente Técnico'!$AN$5:$AN$1000,$N49)="","",INDEX('Cronograma Asistente Técnico'!$AN$5:$AN$1000,$N49)))</f>
        <v/>
      </c>
      <c r="E49" s="56">
        <f>IF($N49="","",IF(NOT(ISNUMBER($D49)),"",IF($D49&lt;InicioCiclo,"Antes del ciclo",IF($D49&gt;=InicioCiclo+28,"Después del ciclo","Semana "&amp;(INT(($D49-InicioCiclo)/7)+1)))))</f>
        <v/>
      </c>
      <c r="F49" s="61">
        <f>IF($N49="","",IF($P49&gt;0,IF(1&lt;=SemanaActual,INDEX('Cronograma Asistente Técnico'!$AC$5:$AC$1000,$N49),""),IF(INDEX('Cronograma Asistente Técnico'!$I$5:$I$1000,$N49)="","",INDEX('Cronograma Asistente Técnico'!$I$5:$I$1000,$N49))))</f>
        <v/>
      </c>
      <c r="G49" s="61">
        <f>IF($N49="","",IF($P49&gt;0,IF(2&lt;=SemanaActual,INDEX('Cronograma Asistente Técnico'!$AD$5:$AD$1000,$N49),""),IF(INDEX('Cronograma Asistente Técnico'!$J$5:$J$1000,$N49)="","",INDEX('Cronograma Asistente Técnico'!$J$5:$J$1000,$N49))))</f>
        <v/>
      </c>
      <c r="H49" s="61">
        <f>IF($N49="","",IF($P49&gt;0,IF(3&lt;=SemanaActual,INDEX('Cronograma Asistente Técnico'!$AE$5:$AE$1000,$N49),""),IF(INDEX('Cronograma Asistente Técnico'!$K$5:$K$1000,$N49)="","",INDEX('Cronograma Asistente Técnico'!$K$5:$K$1000,$N49))))</f>
        <v/>
      </c>
      <c r="I49" s="61">
        <f>IF($N49="","",IF($P49&gt;0,IF(4&lt;=SemanaActual,INDEX('Cronograma Asistente Técnico'!$AF$5:$AF$1000,$N49),""),IF(INDEX('Cronograma Asistente Técnico'!$L$5:$L$1000,$N49)="","",INDEX('Cronograma Asistente Técnico'!$L$5:$L$1000,$N49))))</f>
        <v/>
      </c>
      <c r="J49" s="61">
        <f>IF($N49="","",INDEX('Cronograma Asistente Técnico'!$M$5:$M$1000,$N49))</f>
        <v/>
      </c>
      <c r="K49" s="56">
        <f>IF($N49="","",IF(N($J49)&gt;=1,"Completado",IF(AND(ISNUMBER($D49),$D49&lt;FechaRef),"Vencida",IF(N($J49)&gt;0,"En curso","Pendiente"))))</f>
        <v/>
      </c>
      <c r="L49" s="56">
        <f>IF($N49="","",INDEX('Cronograma Asistente Técnico'!$O$5:$O$1000,$N49)&amp;"")</f>
        <v/>
      </c>
      <c r="M49" s="62">
        <f>IF($N49="","",INDEX('Cronograma Asistente Técnico'!$Q$5:$Q$1000,$N49)&amp;"")</f>
        <v/>
      </c>
      <c r="N49">
        <f>IFERROR(MATCH(ROW()-4,rOrden_ATR,0),"")</f>
        <v/>
      </c>
      <c r="O49">
        <f>IF($N49="","",INDEX('Cronograma Asistente Técnico'!$V$5:$V$1000,$N49))</f>
        <v/>
      </c>
      <c r="P49">
        <f>IF($N49="","",N(INDEX('Cronograma Asistente Técnico'!$W$5:$W$1000,$N49)))</f>
        <v/>
      </c>
      <c r="Q49">
        <f>IF(OR(LEFT($L49,7)="Vencida",LEFT($L49,5)="Vence"),SUMPRODUCT(--(LEFT($L$5:$L49,7)="Vencida"))+SUMPRODUCT(--(LEFT($L$5:$L49,5)="Vence")),"")</f>
        <v/>
      </c>
    </row>
    <row r="50">
      <c r="A50" s="56">
        <f>IF($N50="","",INDEX('Cronograma Asistente Técnico'!$A$5:$A$1000,$N50))</f>
        <v/>
      </c>
      <c r="B50" s="62">
        <f>IF($N50="","",IF($O50="Sub","      ↳  "&amp;INDEX('Cronograma Asistente Técnico'!$C$5:$C$1000,$N50),INDEX('Cronograma Asistente Técnico'!$C$5:$C$1000,$N50)&amp;""))</f>
        <v/>
      </c>
      <c r="C50" s="79">
        <f>IF($N50="","",IF(INDEX('Cronograma Asistente Técnico'!$AM$5:$AM$1000,$N50)="","",INDEX('Cronograma Asistente Técnico'!$AM$5:$AM$1000,$N50)))</f>
        <v/>
      </c>
      <c r="D50" s="79">
        <f>IF($N50="","",IF(INDEX('Cronograma Asistente Técnico'!$AN$5:$AN$1000,$N50)="","",INDEX('Cronograma Asistente Técnico'!$AN$5:$AN$1000,$N50)))</f>
        <v/>
      </c>
      <c r="E50" s="56">
        <f>IF($N50="","",IF(NOT(ISNUMBER($D50)),"",IF($D50&lt;InicioCiclo,"Antes del ciclo",IF($D50&gt;=InicioCiclo+28,"Después del ciclo","Semana "&amp;(INT(($D50-InicioCiclo)/7)+1)))))</f>
        <v/>
      </c>
      <c r="F50" s="61">
        <f>IF($N50="","",IF($P50&gt;0,IF(1&lt;=SemanaActual,INDEX('Cronograma Asistente Técnico'!$AC$5:$AC$1000,$N50),""),IF(INDEX('Cronograma Asistente Técnico'!$I$5:$I$1000,$N50)="","",INDEX('Cronograma Asistente Técnico'!$I$5:$I$1000,$N50))))</f>
        <v/>
      </c>
      <c r="G50" s="61">
        <f>IF($N50="","",IF($P50&gt;0,IF(2&lt;=SemanaActual,INDEX('Cronograma Asistente Técnico'!$AD$5:$AD$1000,$N50),""),IF(INDEX('Cronograma Asistente Técnico'!$J$5:$J$1000,$N50)="","",INDEX('Cronograma Asistente Técnico'!$J$5:$J$1000,$N50))))</f>
        <v/>
      </c>
      <c r="H50" s="61">
        <f>IF($N50="","",IF($P50&gt;0,IF(3&lt;=SemanaActual,INDEX('Cronograma Asistente Técnico'!$AE$5:$AE$1000,$N50),""),IF(INDEX('Cronograma Asistente Técnico'!$K$5:$K$1000,$N50)="","",INDEX('Cronograma Asistente Técnico'!$K$5:$K$1000,$N50))))</f>
        <v/>
      </c>
      <c r="I50" s="61">
        <f>IF($N50="","",IF($P50&gt;0,IF(4&lt;=SemanaActual,INDEX('Cronograma Asistente Técnico'!$AF$5:$AF$1000,$N50),""),IF(INDEX('Cronograma Asistente Técnico'!$L$5:$L$1000,$N50)="","",INDEX('Cronograma Asistente Técnico'!$L$5:$L$1000,$N50))))</f>
        <v/>
      </c>
      <c r="J50" s="61">
        <f>IF($N50="","",INDEX('Cronograma Asistente Técnico'!$M$5:$M$1000,$N50))</f>
        <v/>
      </c>
      <c r="K50" s="56">
        <f>IF($N50="","",IF(N($J50)&gt;=1,"Completado",IF(AND(ISNUMBER($D50),$D50&lt;FechaRef),"Vencida",IF(N($J50)&gt;0,"En curso","Pendiente"))))</f>
        <v/>
      </c>
      <c r="L50" s="56">
        <f>IF($N50="","",INDEX('Cronograma Asistente Técnico'!$O$5:$O$1000,$N50)&amp;"")</f>
        <v/>
      </c>
      <c r="M50" s="62">
        <f>IF($N50="","",INDEX('Cronograma Asistente Técnico'!$Q$5:$Q$1000,$N50)&amp;"")</f>
        <v/>
      </c>
      <c r="N50">
        <f>IFERROR(MATCH(ROW()-4,rOrden_ATR,0),"")</f>
        <v/>
      </c>
      <c r="O50">
        <f>IF($N50="","",INDEX('Cronograma Asistente Técnico'!$V$5:$V$1000,$N50))</f>
        <v/>
      </c>
      <c r="P50">
        <f>IF($N50="","",N(INDEX('Cronograma Asistente Técnico'!$W$5:$W$1000,$N50)))</f>
        <v/>
      </c>
      <c r="Q50">
        <f>IF(OR(LEFT($L50,7)="Vencida",LEFT($L50,5)="Vence"),SUMPRODUCT(--(LEFT($L$5:$L50,7)="Vencida"))+SUMPRODUCT(--(LEFT($L$5:$L50,5)="Vence")),"")</f>
        <v/>
      </c>
    </row>
    <row r="51">
      <c r="A51" s="56">
        <f>IF($N51="","",INDEX('Cronograma Asistente Técnico'!$A$5:$A$1000,$N51))</f>
        <v/>
      </c>
      <c r="B51" s="62">
        <f>IF($N51="","",IF($O51="Sub","      ↳  "&amp;INDEX('Cronograma Asistente Técnico'!$C$5:$C$1000,$N51),INDEX('Cronograma Asistente Técnico'!$C$5:$C$1000,$N51)&amp;""))</f>
        <v/>
      </c>
      <c r="C51" s="79">
        <f>IF($N51="","",IF(INDEX('Cronograma Asistente Técnico'!$AM$5:$AM$1000,$N51)="","",INDEX('Cronograma Asistente Técnico'!$AM$5:$AM$1000,$N51)))</f>
        <v/>
      </c>
      <c r="D51" s="79">
        <f>IF($N51="","",IF(INDEX('Cronograma Asistente Técnico'!$AN$5:$AN$1000,$N51)="","",INDEX('Cronograma Asistente Técnico'!$AN$5:$AN$1000,$N51)))</f>
        <v/>
      </c>
      <c r="E51" s="56">
        <f>IF($N51="","",IF(NOT(ISNUMBER($D51)),"",IF($D51&lt;InicioCiclo,"Antes del ciclo",IF($D51&gt;=InicioCiclo+28,"Después del ciclo","Semana "&amp;(INT(($D51-InicioCiclo)/7)+1)))))</f>
        <v/>
      </c>
      <c r="F51" s="61">
        <f>IF($N51="","",IF($P51&gt;0,IF(1&lt;=SemanaActual,INDEX('Cronograma Asistente Técnico'!$AC$5:$AC$1000,$N51),""),IF(INDEX('Cronograma Asistente Técnico'!$I$5:$I$1000,$N51)="","",INDEX('Cronograma Asistente Técnico'!$I$5:$I$1000,$N51))))</f>
        <v/>
      </c>
      <c r="G51" s="61">
        <f>IF($N51="","",IF($P51&gt;0,IF(2&lt;=SemanaActual,INDEX('Cronograma Asistente Técnico'!$AD$5:$AD$1000,$N51),""),IF(INDEX('Cronograma Asistente Técnico'!$J$5:$J$1000,$N51)="","",INDEX('Cronograma Asistente Técnico'!$J$5:$J$1000,$N51))))</f>
        <v/>
      </c>
      <c r="H51" s="61">
        <f>IF($N51="","",IF($P51&gt;0,IF(3&lt;=SemanaActual,INDEX('Cronograma Asistente Técnico'!$AE$5:$AE$1000,$N51),""),IF(INDEX('Cronograma Asistente Técnico'!$K$5:$K$1000,$N51)="","",INDEX('Cronograma Asistente Técnico'!$K$5:$K$1000,$N51))))</f>
        <v/>
      </c>
      <c r="I51" s="61">
        <f>IF($N51="","",IF($P51&gt;0,IF(4&lt;=SemanaActual,INDEX('Cronograma Asistente Técnico'!$AF$5:$AF$1000,$N51),""),IF(INDEX('Cronograma Asistente Técnico'!$L$5:$L$1000,$N51)="","",INDEX('Cronograma Asistente Técnico'!$L$5:$L$1000,$N51))))</f>
        <v/>
      </c>
      <c r="J51" s="61">
        <f>IF($N51="","",INDEX('Cronograma Asistente Técnico'!$M$5:$M$1000,$N51))</f>
        <v/>
      </c>
      <c r="K51" s="56">
        <f>IF($N51="","",IF(N($J51)&gt;=1,"Completado",IF(AND(ISNUMBER($D51),$D51&lt;FechaRef),"Vencida",IF(N($J51)&gt;0,"En curso","Pendiente"))))</f>
        <v/>
      </c>
      <c r="L51" s="56">
        <f>IF($N51="","",INDEX('Cronograma Asistente Técnico'!$O$5:$O$1000,$N51)&amp;"")</f>
        <v/>
      </c>
      <c r="M51" s="62">
        <f>IF($N51="","",INDEX('Cronograma Asistente Técnico'!$Q$5:$Q$1000,$N51)&amp;"")</f>
        <v/>
      </c>
      <c r="N51">
        <f>IFERROR(MATCH(ROW()-4,rOrden_ATR,0),"")</f>
        <v/>
      </c>
      <c r="O51">
        <f>IF($N51="","",INDEX('Cronograma Asistente Técnico'!$V$5:$V$1000,$N51))</f>
        <v/>
      </c>
      <c r="P51">
        <f>IF($N51="","",N(INDEX('Cronograma Asistente Técnico'!$W$5:$W$1000,$N51)))</f>
        <v/>
      </c>
      <c r="Q51">
        <f>IF(OR(LEFT($L51,7)="Vencida",LEFT($L51,5)="Vence"),SUMPRODUCT(--(LEFT($L$5:$L51,7)="Vencida"))+SUMPRODUCT(--(LEFT($L$5:$L51,5)="Vence")),"")</f>
        <v/>
      </c>
    </row>
    <row r="52">
      <c r="A52" s="56">
        <f>IF($N52="","",INDEX('Cronograma Asistente Técnico'!$A$5:$A$1000,$N52))</f>
        <v/>
      </c>
      <c r="B52" s="62">
        <f>IF($N52="","",IF($O52="Sub","      ↳  "&amp;INDEX('Cronograma Asistente Técnico'!$C$5:$C$1000,$N52),INDEX('Cronograma Asistente Técnico'!$C$5:$C$1000,$N52)&amp;""))</f>
        <v/>
      </c>
      <c r="C52" s="79">
        <f>IF($N52="","",IF(INDEX('Cronograma Asistente Técnico'!$AM$5:$AM$1000,$N52)="","",INDEX('Cronograma Asistente Técnico'!$AM$5:$AM$1000,$N52)))</f>
        <v/>
      </c>
      <c r="D52" s="79">
        <f>IF($N52="","",IF(INDEX('Cronograma Asistente Técnico'!$AN$5:$AN$1000,$N52)="","",INDEX('Cronograma Asistente Técnico'!$AN$5:$AN$1000,$N52)))</f>
        <v/>
      </c>
      <c r="E52" s="56">
        <f>IF($N52="","",IF(NOT(ISNUMBER($D52)),"",IF($D52&lt;InicioCiclo,"Antes del ciclo",IF($D52&gt;=InicioCiclo+28,"Después del ciclo","Semana "&amp;(INT(($D52-InicioCiclo)/7)+1)))))</f>
        <v/>
      </c>
      <c r="F52" s="61">
        <f>IF($N52="","",IF($P52&gt;0,IF(1&lt;=SemanaActual,INDEX('Cronograma Asistente Técnico'!$AC$5:$AC$1000,$N52),""),IF(INDEX('Cronograma Asistente Técnico'!$I$5:$I$1000,$N52)="","",INDEX('Cronograma Asistente Técnico'!$I$5:$I$1000,$N52))))</f>
        <v/>
      </c>
      <c r="G52" s="61">
        <f>IF($N52="","",IF($P52&gt;0,IF(2&lt;=SemanaActual,INDEX('Cronograma Asistente Técnico'!$AD$5:$AD$1000,$N52),""),IF(INDEX('Cronograma Asistente Técnico'!$J$5:$J$1000,$N52)="","",INDEX('Cronograma Asistente Técnico'!$J$5:$J$1000,$N52))))</f>
        <v/>
      </c>
      <c r="H52" s="61">
        <f>IF($N52="","",IF($P52&gt;0,IF(3&lt;=SemanaActual,INDEX('Cronograma Asistente Técnico'!$AE$5:$AE$1000,$N52),""),IF(INDEX('Cronograma Asistente Técnico'!$K$5:$K$1000,$N52)="","",INDEX('Cronograma Asistente Técnico'!$K$5:$K$1000,$N52))))</f>
        <v/>
      </c>
      <c r="I52" s="61">
        <f>IF($N52="","",IF($P52&gt;0,IF(4&lt;=SemanaActual,INDEX('Cronograma Asistente Técnico'!$AF$5:$AF$1000,$N52),""),IF(INDEX('Cronograma Asistente Técnico'!$L$5:$L$1000,$N52)="","",INDEX('Cronograma Asistente Técnico'!$L$5:$L$1000,$N52))))</f>
        <v/>
      </c>
      <c r="J52" s="61">
        <f>IF($N52="","",INDEX('Cronograma Asistente Técnico'!$M$5:$M$1000,$N52))</f>
        <v/>
      </c>
      <c r="K52" s="56">
        <f>IF($N52="","",IF(N($J52)&gt;=1,"Completado",IF(AND(ISNUMBER($D52),$D52&lt;FechaRef),"Vencida",IF(N($J52)&gt;0,"En curso","Pendiente"))))</f>
        <v/>
      </c>
      <c r="L52" s="56">
        <f>IF($N52="","",INDEX('Cronograma Asistente Técnico'!$O$5:$O$1000,$N52)&amp;"")</f>
        <v/>
      </c>
      <c r="M52" s="62">
        <f>IF($N52="","",INDEX('Cronograma Asistente Técnico'!$Q$5:$Q$1000,$N52)&amp;"")</f>
        <v/>
      </c>
      <c r="N52">
        <f>IFERROR(MATCH(ROW()-4,rOrden_ATR,0),"")</f>
        <v/>
      </c>
      <c r="O52">
        <f>IF($N52="","",INDEX('Cronograma Asistente Técnico'!$V$5:$V$1000,$N52))</f>
        <v/>
      </c>
      <c r="P52">
        <f>IF($N52="","",N(INDEX('Cronograma Asistente Técnico'!$W$5:$W$1000,$N52)))</f>
        <v/>
      </c>
      <c r="Q52">
        <f>IF(OR(LEFT($L52,7)="Vencida",LEFT($L52,5)="Vence"),SUMPRODUCT(--(LEFT($L$5:$L52,7)="Vencida"))+SUMPRODUCT(--(LEFT($L$5:$L52,5)="Vence")),"")</f>
        <v/>
      </c>
    </row>
    <row r="53">
      <c r="A53" s="56">
        <f>IF($N53="","",INDEX('Cronograma Asistente Técnico'!$A$5:$A$1000,$N53))</f>
        <v/>
      </c>
      <c r="B53" s="62">
        <f>IF($N53="","",IF($O53="Sub","      ↳  "&amp;INDEX('Cronograma Asistente Técnico'!$C$5:$C$1000,$N53),INDEX('Cronograma Asistente Técnico'!$C$5:$C$1000,$N53)&amp;""))</f>
        <v/>
      </c>
      <c r="C53" s="79">
        <f>IF($N53="","",IF(INDEX('Cronograma Asistente Técnico'!$AM$5:$AM$1000,$N53)="","",INDEX('Cronograma Asistente Técnico'!$AM$5:$AM$1000,$N53)))</f>
        <v/>
      </c>
      <c r="D53" s="79">
        <f>IF($N53="","",IF(INDEX('Cronograma Asistente Técnico'!$AN$5:$AN$1000,$N53)="","",INDEX('Cronograma Asistente Técnico'!$AN$5:$AN$1000,$N53)))</f>
        <v/>
      </c>
      <c r="E53" s="56">
        <f>IF($N53="","",IF(NOT(ISNUMBER($D53)),"",IF($D53&lt;InicioCiclo,"Antes del ciclo",IF($D53&gt;=InicioCiclo+28,"Después del ciclo","Semana "&amp;(INT(($D53-InicioCiclo)/7)+1)))))</f>
        <v/>
      </c>
      <c r="F53" s="61">
        <f>IF($N53="","",IF($P53&gt;0,IF(1&lt;=SemanaActual,INDEX('Cronograma Asistente Técnico'!$AC$5:$AC$1000,$N53),""),IF(INDEX('Cronograma Asistente Técnico'!$I$5:$I$1000,$N53)="","",INDEX('Cronograma Asistente Técnico'!$I$5:$I$1000,$N53))))</f>
        <v/>
      </c>
      <c r="G53" s="61">
        <f>IF($N53="","",IF($P53&gt;0,IF(2&lt;=SemanaActual,INDEX('Cronograma Asistente Técnico'!$AD$5:$AD$1000,$N53),""),IF(INDEX('Cronograma Asistente Técnico'!$J$5:$J$1000,$N53)="","",INDEX('Cronograma Asistente Técnico'!$J$5:$J$1000,$N53))))</f>
        <v/>
      </c>
      <c r="H53" s="61">
        <f>IF($N53="","",IF($P53&gt;0,IF(3&lt;=SemanaActual,INDEX('Cronograma Asistente Técnico'!$AE$5:$AE$1000,$N53),""),IF(INDEX('Cronograma Asistente Técnico'!$K$5:$K$1000,$N53)="","",INDEX('Cronograma Asistente Técnico'!$K$5:$K$1000,$N53))))</f>
        <v/>
      </c>
      <c r="I53" s="61">
        <f>IF($N53="","",IF($P53&gt;0,IF(4&lt;=SemanaActual,INDEX('Cronograma Asistente Técnico'!$AF$5:$AF$1000,$N53),""),IF(INDEX('Cronograma Asistente Técnico'!$L$5:$L$1000,$N53)="","",INDEX('Cronograma Asistente Técnico'!$L$5:$L$1000,$N53))))</f>
        <v/>
      </c>
      <c r="J53" s="61">
        <f>IF($N53="","",INDEX('Cronograma Asistente Técnico'!$M$5:$M$1000,$N53))</f>
        <v/>
      </c>
      <c r="K53" s="56">
        <f>IF($N53="","",IF(N($J53)&gt;=1,"Completado",IF(AND(ISNUMBER($D53),$D53&lt;FechaRef),"Vencida",IF(N($J53)&gt;0,"En curso","Pendiente"))))</f>
        <v/>
      </c>
      <c r="L53" s="56">
        <f>IF($N53="","",INDEX('Cronograma Asistente Técnico'!$O$5:$O$1000,$N53)&amp;"")</f>
        <v/>
      </c>
      <c r="M53" s="62">
        <f>IF($N53="","",INDEX('Cronograma Asistente Técnico'!$Q$5:$Q$1000,$N53)&amp;"")</f>
        <v/>
      </c>
      <c r="N53">
        <f>IFERROR(MATCH(ROW()-4,rOrden_ATR,0),"")</f>
        <v/>
      </c>
      <c r="O53">
        <f>IF($N53="","",INDEX('Cronograma Asistente Técnico'!$V$5:$V$1000,$N53))</f>
        <v/>
      </c>
      <c r="P53">
        <f>IF($N53="","",N(INDEX('Cronograma Asistente Técnico'!$W$5:$W$1000,$N53)))</f>
        <v/>
      </c>
      <c r="Q53">
        <f>IF(OR(LEFT($L53,7)="Vencida",LEFT($L53,5)="Vence"),SUMPRODUCT(--(LEFT($L$5:$L53,7)="Vencida"))+SUMPRODUCT(--(LEFT($L$5:$L53,5)="Vence")),"")</f>
        <v/>
      </c>
    </row>
    <row r="54">
      <c r="A54" s="56">
        <f>IF($N54="","",INDEX('Cronograma Asistente Técnico'!$A$5:$A$1000,$N54))</f>
        <v/>
      </c>
      <c r="B54" s="62">
        <f>IF($N54="","",IF($O54="Sub","      ↳  "&amp;INDEX('Cronograma Asistente Técnico'!$C$5:$C$1000,$N54),INDEX('Cronograma Asistente Técnico'!$C$5:$C$1000,$N54)&amp;""))</f>
        <v/>
      </c>
      <c r="C54" s="79">
        <f>IF($N54="","",IF(INDEX('Cronograma Asistente Técnico'!$AM$5:$AM$1000,$N54)="","",INDEX('Cronograma Asistente Técnico'!$AM$5:$AM$1000,$N54)))</f>
        <v/>
      </c>
      <c r="D54" s="79">
        <f>IF($N54="","",IF(INDEX('Cronograma Asistente Técnico'!$AN$5:$AN$1000,$N54)="","",INDEX('Cronograma Asistente Técnico'!$AN$5:$AN$1000,$N54)))</f>
        <v/>
      </c>
      <c r="E54" s="56">
        <f>IF($N54="","",IF(NOT(ISNUMBER($D54)),"",IF($D54&lt;InicioCiclo,"Antes del ciclo",IF($D54&gt;=InicioCiclo+28,"Después del ciclo","Semana "&amp;(INT(($D54-InicioCiclo)/7)+1)))))</f>
        <v/>
      </c>
      <c r="F54" s="61">
        <f>IF($N54="","",IF($P54&gt;0,IF(1&lt;=SemanaActual,INDEX('Cronograma Asistente Técnico'!$AC$5:$AC$1000,$N54),""),IF(INDEX('Cronograma Asistente Técnico'!$I$5:$I$1000,$N54)="","",INDEX('Cronograma Asistente Técnico'!$I$5:$I$1000,$N54))))</f>
        <v/>
      </c>
      <c r="G54" s="61">
        <f>IF($N54="","",IF($P54&gt;0,IF(2&lt;=SemanaActual,INDEX('Cronograma Asistente Técnico'!$AD$5:$AD$1000,$N54),""),IF(INDEX('Cronograma Asistente Técnico'!$J$5:$J$1000,$N54)="","",INDEX('Cronograma Asistente Técnico'!$J$5:$J$1000,$N54))))</f>
        <v/>
      </c>
      <c r="H54" s="61">
        <f>IF($N54="","",IF($P54&gt;0,IF(3&lt;=SemanaActual,INDEX('Cronograma Asistente Técnico'!$AE$5:$AE$1000,$N54),""),IF(INDEX('Cronograma Asistente Técnico'!$K$5:$K$1000,$N54)="","",INDEX('Cronograma Asistente Técnico'!$K$5:$K$1000,$N54))))</f>
        <v/>
      </c>
      <c r="I54" s="61">
        <f>IF($N54="","",IF($P54&gt;0,IF(4&lt;=SemanaActual,INDEX('Cronograma Asistente Técnico'!$AF$5:$AF$1000,$N54),""),IF(INDEX('Cronograma Asistente Técnico'!$L$5:$L$1000,$N54)="","",INDEX('Cronograma Asistente Técnico'!$L$5:$L$1000,$N54))))</f>
        <v/>
      </c>
      <c r="J54" s="61">
        <f>IF($N54="","",INDEX('Cronograma Asistente Técnico'!$M$5:$M$1000,$N54))</f>
        <v/>
      </c>
      <c r="K54" s="56">
        <f>IF($N54="","",IF(N($J54)&gt;=1,"Completado",IF(AND(ISNUMBER($D54),$D54&lt;FechaRef),"Vencida",IF(N($J54)&gt;0,"En curso","Pendiente"))))</f>
        <v/>
      </c>
      <c r="L54" s="56">
        <f>IF($N54="","",INDEX('Cronograma Asistente Técnico'!$O$5:$O$1000,$N54)&amp;"")</f>
        <v/>
      </c>
      <c r="M54" s="62">
        <f>IF($N54="","",INDEX('Cronograma Asistente Técnico'!$Q$5:$Q$1000,$N54)&amp;"")</f>
        <v/>
      </c>
      <c r="N54">
        <f>IFERROR(MATCH(ROW()-4,rOrden_ATR,0),"")</f>
        <v/>
      </c>
      <c r="O54">
        <f>IF($N54="","",INDEX('Cronograma Asistente Técnico'!$V$5:$V$1000,$N54))</f>
        <v/>
      </c>
      <c r="P54">
        <f>IF($N54="","",N(INDEX('Cronograma Asistente Técnico'!$W$5:$W$1000,$N54)))</f>
        <v/>
      </c>
      <c r="Q54">
        <f>IF(OR(LEFT($L54,7)="Vencida",LEFT($L54,5)="Vence"),SUMPRODUCT(--(LEFT($L$5:$L54,7)="Vencida"))+SUMPRODUCT(--(LEFT($L$5:$L54,5)="Vence")),"")</f>
        <v/>
      </c>
    </row>
    <row r="55">
      <c r="A55" s="56">
        <f>IF($N55="","",INDEX('Cronograma Asistente Técnico'!$A$5:$A$1000,$N55))</f>
        <v/>
      </c>
      <c r="B55" s="62">
        <f>IF($N55="","",IF($O55="Sub","      ↳  "&amp;INDEX('Cronograma Asistente Técnico'!$C$5:$C$1000,$N55),INDEX('Cronograma Asistente Técnico'!$C$5:$C$1000,$N55)&amp;""))</f>
        <v/>
      </c>
      <c r="C55" s="79">
        <f>IF($N55="","",IF(INDEX('Cronograma Asistente Técnico'!$AM$5:$AM$1000,$N55)="","",INDEX('Cronograma Asistente Técnico'!$AM$5:$AM$1000,$N55)))</f>
        <v/>
      </c>
      <c r="D55" s="79">
        <f>IF($N55="","",IF(INDEX('Cronograma Asistente Técnico'!$AN$5:$AN$1000,$N55)="","",INDEX('Cronograma Asistente Técnico'!$AN$5:$AN$1000,$N55)))</f>
        <v/>
      </c>
      <c r="E55" s="56">
        <f>IF($N55="","",IF(NOT(ISNUMBER($D55)),"",IF($D55&lt;InicioCiclo,"Antes del ciclo",IF($D55&gt;=InicioCiclo+28,"Después del ciclo","Semana "&amp;(INT(($D55-InicioCiclo)/7)+1)))))</f>
        <v/>
      </c>
      <c r="F55" s="61">
        <f>IF($N55="","",IF($P55&gt;0,IF(1&lt;=SemanaActual,INDEX('Cronograma Asistente Técnico'!$AC$5:$AC$1000,$N55),""),IF(INDEX('Cronograma Asistente Técnico'!$I$5:$I$1000,$N55)="","",INDEX('Cronograma Asistente Técnico'!$I$5:$I$1000,$N55))))</f>
        <v/>
      </c>
      <c r="G55" s="61">
        <f>IF($N55="","",IF($P55&gt;0,IF(2&lt;=SemanaActual,INDEX('Cronograma Asistente Técnico'!$AD$5:$AD$1000,$N55),""),IF(INDEX('Cronograma Asistente Técnico'!$J$5:$J$1000,$N55)="","",INDEX('Cronograma Asistente Técnico'!$J$5:$J$1000,$N55))))</f>
        <v/>
      </c>
      <c r="H55" s="61">
        <f>IF($N55="","",IF($P55&gt;0,IF(3&lt;=SemanaActual,INDEX('Cronograma Asistente Técnico'!$AE$5:$AE$1000,$N55),""),IF(INDEX('Cronograma Asistente Técnico'!$K$5:$K$1000,$N55)="","",INDEX('Cronograma Asistente Técnico'!$K$5:$K$1000,$N55))))</f>
        <v/>
      </c>
      <c r="I55" s="61">
        <f>IF($N55="","",IF($P55&gt;0,IF(4&lt;=SemanaActual,INDEX('Cronograma Asistente Técnico'!$AF$5:$AF$1000,$N55),""),IF(INDEX('Cronograma Asistente Técnico'!$L$5:$L$1000,$N55)="","",INDEX('Cronograma Asistente Técnico'!$L$5:$L$1000,$N55))))</f>
        <v/>
      </c>
      <c r="J55" s="61">
        <f>IF($N55="","",INDEX('Cronograma Asistente Técnico'!$M$5:$M$1000,$N55))</f>
        <v/>
      </c>
      <c r="K55" s="56">
        <f>IF($N55="","",IF(N($J55)&gt;=1,"Completado",IF(AND(ISNUMBER($D55),$D55&lt;FechaRef),"Vencida",IF(N($J55)&gt;0,"En curso","Pendiente"))))</f>
        <v/>
      </c>
      <c r="L55" s="56">
        <f>IF($N55="","",INDEX('Cronograma Asistente Técnico'!$O$5:$O$1000,$N55)&amp;"")</f>
        <v/>
      </c>
      <c r="M55" s="62">
        <f>IF($N55="","",INDEX('Cronograma Asistente Técnico'!$Q$5:$Q$1000,$N55)&amp;"")</f>
        <v/>
      </c>
      <c r="N55">
        <f>IFERROR(MATCH(ROW()-4,rOrden_ATR,0),"")</f>
        <v/>
      </c>
      <c r="O55">
        <f>IF($N55="","",INDEX('Cronograma Asistente Técnico'!$V$5:$V$1000,$N55))</f>
        <v/>
      </c>
      <c r="P55">
        <f>IF($N55="","",N(INDEX('Cronograma Asistente Técnico'!$W$5:$W$1000,$N55)))</f>
        <v/>
      </c>
      <c r="Q55">
        <f>IF(OR(LEFT($L55,7)="Vencida",LEFT($L55,5)="Vence"),SUMPRODUCT(--(LEFT($L$5:$L55,7)="Vencida"))+SUMPRODUCT(--(LEFT($L$5:$L55,5)="Vence")),"")</f>
        <v/>
      </c>
    </row>
    <row r="56">
      <c r="A56" s="56">
        <f>IF($N56="","",INDEX('Cronograma Asistente Técnico'!$A$5:$A$1000,$N56))</f>
        <v/>
      </c>
      <c r="B56" s="62">
        <f>IF($N56="","",IF($O56="Sub","      ↳  "&amp;INDEX('Cronograma Asistente Técnico'!$C$5:$C$1000,$N56),INDEX('Cronograma Asistente Técnico'!$C$5:$C$1000,$N56)&amp;""))</f>
        <v/>
      </c>
      <c r="C56" s="79">
        <f>IF($N56="","",IF(INDEX('Cronograma Asistente Técnico'!$AM$5:$AM$1000,$N56)="","",INDEX('Cronograma Asistente Técnico'!$AM$5:$AM$1000,$N56)))</f>
        <v/>
      </c>
      <c r="D56" s="79">
        <f>IF($N56="","",IF(INDEX('Cronograma Asistente Técnico'!$AN$5:$AN$1000,$N56)="","",INDEX('Cronograma Asistente Técnico'!$AN$5:$AN$1000,$N56)))</f>
        <v/>
      </c>
      <c r="E56" s="56">
        <f>IF($N56="","",IF(NOT(ISNUMBER($D56)),"",IF($D56&lt;InicioCiclo,"Antes del ciclo",IF($D56&gt;=InicioCiclo+28,"Después del ciclo","Semana "&amp;(INT(($D56-InicioCiclo)/7)+1)))))</f>
        <v/>
      </c>
      <c r="F56" s="61">
        <f>IF($N56="","",IF($P56&gt;0,IF(1&lt;=SemanaActual,INDEX('Cronograma Asistente Técnico'!$AC$5:$AC$1000,$N56),""),IF(INDEX('Cronograma Asistente Técnico'!$I$5:$I$1000,$N56)="","",INDEX('Cronograma Asistente Técnico'!$I$5:$I$1000,$N56))))</f>
        <v/>
      </c>
      <c r="G56" s="61">
        <f>IF($N56="","",IF($P56&gt;0,IF(2&lt;=SemanaActual,INDEX('Cronograma Asistente Técnico'!$AD$5:$AD$1000,$N56),""),IF(INDEX('Cronograma Asistente Técnico'!$J$5:$J$1000,$N56)="","",INDEX('Cronograma Asistente Técnico'!$J$5:$J$1000,$N56))))</f>
        <v/>
      </c>
      <c r="H56" s="61">
        <f>IF($N56="","",IF($P56&gt;0,IF(3&lt;=SemanaActual,INDEX('Cronograma Asistente Técnico'!$AE$5:$AE$1000,$N56),""),IF(INDEX('Cronograma Asistente Técnico'!$K$5:$K$1000,$N56)="","",INDEX('Cronograma Asistente Técnico'!$K$5:$K$1000,$N56))))</f>
        <v/>
      </c>
      <c r="I56" s="61">
        <f>IF($N56="","",IF($P56&gt;0,IF(4&lt;=SemanaActual,INDEX('Cronograma Asistente Técnico'!$AF$5:$AF$1000,$N56),""),IF(INDEX('Cronograma Asistente Técnico'!$L$5:$L$1000,$N56)="","",INDEX('Cronograma Asistente Técnico'!$L$5:$L$1000,$N56))))</f>
        <v/>
      </c>
      <c r="J56" s="61">
        <f>IF($N56="","",INDEX('Cronograma Asistente Técnico'!$M$5:$M$1000,$N56))</f>
        <v/>
      </c>
      <c r="K56" s="56">
        <f>IF($N56="","",IF(N($J56)&gt;=1,"Completado",IF(AND(ISNUMBER($D56),$D56&lt;FechaRef),"Vencida",IF(N($J56)&gt;0,"En curso","Pendiente"))))</f>
        <v/>
      </c>
      <c r="L56" s="56">
        <f>IF($N56="","",INDEX('Cronograma Asistente Técnico'!$O$5:$O$1000,$N56)&amp;"")</f>
        <v/>
      </c>
      <c r="M56" s="62">
        <f>IF($N56="","",INDEX('Cronograma Asistente Técnico'!$Q$5:$Q$1000,$N56)&amp;"")</f>
        <v/>
      </c>
      <c r="N56">
        <f>IFERROR(MATCH(ROW()-4,rOrden_ATR,0),"")</f>
        <v/>
      </c>
      <c r="O56">
        <f>IF($N56="","",INDEX('Cronograma Asistente Técnico'!$V$5:$V$1000,$N56))</f>
        <v/>
      </c>
      <c r="P56">
        <f>IF($N56="","",N(INDEX('Cronograma Asistente Técnico'!$W$5:$W$1000,$N56)))</f>
        <v/>
      </c>
      <c r="Q56">
        <f>IF(OR(LEFT($L56,7)="Vencida",LEFT($L56,5)="Vence"),SUMPRODUCT(--(LEFT($L$5:$L56,7)="Vencida"))+SUMPRODUCT(--(LEFT($L$5:$L56,5)="Vence")),"")</f>
        <v/>
      </c>
    </row>
    <row r="57">
      <c r="A57" s="56">
        <f>IF($N57="","",INDEX('Cronograma Asistente Técnico'!$A$5:$A$1000,$N57))</f>
        <v/>
      </c>
      <c r="B57" s="62">
        <f>IF($N57="","",IF($O57="Sub","      ↳  "&amp;INDEX('Cronograma Asistente Técnico'!$C$5:$C$1000,$N57),INDEX('Cronograma Asistente Técnico'!$C$5:$C$1000,$N57)&amp;""))</f>
        <v/>
      </c>
      <c r="C57" s="79">
        <f>IF($N57="","",IF(INDEX('Cronograma Asistente Técnico'!$AM$5:$AM$1000,$N57)="","",INDEX('Cronograma Asistente Técnico'!$AM$5:$AM$1000,$N57)))</f>
        <v/>
      </c>
      <c r="D57" s="79">
        <f>IF($N57="","",IF(INDEX('Cronograma Asistente Técnico'!$AN$5:$AN$1000,$N57)="","",INDEX('Cronograma Asistente Técnico'!$AN$5:$AN$1000,$N57)))</f>
        <v/>
      </c>
      <c r="E57" s="56">
        <f>IF($N57="","",IF(NOT(ISNUMBER($D57)),"",IF($D57&lt;InicioCiclo,"Antes del ciclo",IF($D57&gt;=InicioCiclo+28,"Después del ciclo","Semana "&amp;(INT(($D57-InicioCiclo)/7)+1)))))</f>
        <v/>
      </c>
      <c r="F57" s="61">
        <f>IF($N57="","",IF($P57&gt;0,IF(1&lt;=SemanaActual,INDEX('Cronograma Asistente Técnico'!$AC$5:$AC$1000,$N57),""),IF(INDEX('Cronograma Asistente Técnico'!$I$5:$I$1000,$N57)="","",INDEX('Cronograma Asistente Técnico'!$I$5:$I$1000,$N57))))</f>
        <v/>
      </c>
      <c r="G57" s="61">
        <f>IF($N57="","",IF($P57&gt;0,IF(2&lt;=SemanaActual,INDEX('Cronograma Asistente Técnico'!$AD$5:$AD$1000,$N57),""),IF(INDEX('Cronograma Asistente Técnico'!$J$5:$J$1000,$N57)="","",INDEX('Cronograma Asistente Técnico'!$J$5:$J$1000,$N57))))</f>
        <v/>
      </c>
      <c r="H57" s="61">
        <f>IF($N57="","",IF($P57&gt;0,IF(3&lt;=SemanaActual,INDEX('Cronograma Asistente Técnico'!$AE$5:$AE$1000,$N57),""),IF(INDEX('Cronograma Asistente Técnico'!$K$5:$K$1000,$N57)="","",INDEX('Cronograma Asistente Técnico'!$K$5:$K$1000,$N57))))</f>
        <v/>
      </c>
      <c r="I57" s="61">
        <f>IF($N57="","",IF($P57&gt;0,IF(4&lt;=SemanaActual,INDEX('Cronograma Asistente Técnico'!$AF$5:$AF$1000,$N57),""),IF(INDEX('Cronograma Asistente Técnico'!$L$5:$L$1000,$N57)="","",INDEX('Cronograma Asistente Técnico'!$L$5:$L$1000,$N57))))</f>
        <v/>
      </c>
      <c r="J57" s="61">
        <f>IF($N57="","",INDEX('Cronograma Asistente Técnico'!$M$5:$M$1000,$N57))</f>
        <v/>
      </c>
      <c r="K57" s="56">
        <f>IF($N57="","",IF(N($J57)&gt;=1,"Completado",IF(AND(ISNUMBER($D57),$D57&lt;FechaRef),"Vencida",IF(N($J57)&gt;0,"En curso","Pendiente"))))</f>
        <v/>
      </c>
      <c r="L57" s="56">
        <f>IF($N57="","",INDEX('Cronograma Asistente Técnico'!$O$5:$O$1000,$N57)&amp;"")</f>
        <v/>
      </c>
      <c r="M57" s="62">
        <f>IF($N57="","",INDEX('Cronograma Asistente Técnico'!$Q$5:$Q$1000,$N57)&amp;"")</f>
        <v/>
      </c>
      <c r="N57">
        <f>IFERROR(MATCH(ROW()-4,rOrden_ATR,0),"")</f>
        <v/>
      </c>
      <c r="O57">
        <f>IF($N57="","",INDEX('Cronograma Asistente Técnico'!$V$5:$V$1000,$N57))</f>
        <v/>
      </c>
      <c r="P57">
        <f>IF($N57="","",N(INDEX('Cronograma Asistente Técnico'!$W$5:$W$1000,$N57)))</f>
        <v/>
      </c>
      <c r="Q57">
        <f>IF(OR(LEFT($L57,7)="Vencida",LEFT($L57,5)="Vence"),SUMPRODUCT(--(LEFT($L$5:$L57,7)="Vencida"))+SUMPRODUCT(--(LEFT($L$5:$L57,5)="Vence")),"")</f>
        <v/>
      </c>
    </row>
    <row r="58">
      <c r="A58" s="56">
        <f>IF($N58="","",INDEX('Cronograma Asistente Técnico'!$A$5:$A$1000,$N58))</f>
        <v/>
      </c>
      <c r="B58" s="62">
        <f>IF($N58="","",IF($O58="Sub","      ↳  "&amp;INDEX('Cronograma Asistente Técnico'!$C$5:$C$1000,$N58),INDEX('Cronograma Asistente Técnico'!$C$5:$C$1000,$N58)&amp;""))</f>
        <v/>
      </c>
      <c r="C58" s="79">
        <f>IF($N58="","",IF(INDEX('Cronograma Asistente Técnico'!$AM$5:$AM$1000,$N58)="","",INDEX('Cronograma Asistente Técnico'!$AM$5:$AM$1000,$N58)))</f>
        <v/>
      </c>
      <c r="D58" s="79">
        <f>IF($N58="","",IF(INDEX('Cronograma Asistente Técnico'!$AN$5:$AN$1000,$N58)="","",INDEX('Cronograma Asistente Técnico'!$AN$5:$AN$1000,$N58)))</f>
        <v/>
      </c>
      <c r="E58" s="56">
        <f>IF($N58="","",IF(NOT(ISNUMBER($D58)),"",IF($D58&lt;InicioCiclo,"Antes del ciclo",IF($D58&gt;=InicioCiclo+28,"Después del ciclo","Semana "&amp;(INT(($D58-InicioCiclo)/7)+1)))))</f>
        <v/>
      </c>
      <c r="F58" s="61">
        <f>IF($N58="","",IF($P58&gt;0,IF(1&lt;=SemanaActual,INDEX('Cronograma Asistente Técnico'!$AC$5:$AC$1000,$N58),""),IF(INDEX('Cronograma Asistente Técnico'!$I$5:$I$1000,$N58)="","",INDEX('Cronograma Asistente Técnico'!$I$5:$I$1000,$N58))))</f>
        <v/>
      </c>
      <c r="G58" s="61">
        <f>IF($N58="","",IF($P58&gt;0,IF(2&lt;=SemanaActual,INDEX('Cronograma Asistente Técnico'!$AD$5:$AD$1000,$N58),""),IF(INDEX('Cronograma Asistente Técnico'!$J$5:$J$1000,$N58)="","",INDEX('Cronograma Asistente Técnico'!$J$5:$J$1000,$N58))))</f>
        <v/>
      </c>
      <c r="H58" s="61">
        <f>IF($N58="","",IF($P58&gt;0,IF(3&lt;=SemanaActual,INDEX('Cronograma Asistente Técnico'!$AE$5:$AE$1000,$N58),""),IF(INDEX('Cronograma Asistente Técnico'!$K$5:$K$1000,$N58)="","",INDEX('Cronograma Asistente Técnico'!$K$5:$K$1000,$N58))))</f>
        <v/>
      </c>
      <c r="I58" s="61">
        <f>IF($N58="","",IF($P58&gt;0,IF(4&lt;=SemanaActual,INDEX('Cronograma Asistente Técnico'!$AF$5:$AF$1000,$N58),""),IF(INDEX('Cronograma Asistente Técnico'!$L$5:$L$1000,$N58)="","",INDEX('Cronograma Asistente Técnico'!$L$5:$L$1000,$N58))))</f>
        <v/>
      </c>
      <c r="J58" s="61">
        <f>IF($N58="","",INDEX('Cronograma Asistente Técnico'!$M$5:$M$1000,$N58))</f>
        <v/>
      </c>
      <c r="K58" s="56">
        <f>IF($N58="","",IF(N($J58)&gt;=1,"Completado",IF(AND(ISNUMBER($D58),$D58&lt;FechaRef),"Vencida",IF(N($J58)&gt;0,"En curso","Pendiente"))))</f>
        <v/>
      </c>
      <c r="L58" s="56">
        <f>IF($N58="","",INDEX('Cronograma Asistente Técnico'!$O$5:$O$1000,$N58)&amp;"")</f>
        <v/>
      </c>
      <c r="M58" s="62">
        <f>IF($N58="","",INDEX('Cronograma Asistente Técnico'!$Q$5:$Q$1000,$N58)&amp;"")</f>
        <v/>
      </c>
      <c r="N58">
        <f>IFERROR(MATCH(ROW()-4,rOrden_ATR,0),"")</f>
        <v/>
      </c>
      <c r="O58">
        <f>IF($N58="","",INDEX('Cronograma Asistente Técnico'!$V$5:$V$1000,$N58))</f>
        <v/>
      </c>
      <c r="P58">
        <f>IF($N58="","",N(INDEX('Cronograma Asistente Técnico'!$W$5:$W$1000,$N58)))</f>
        <v/>
      </c>
      <c r="Q58">
        <f>IF(OR(LEFT($L58,7)="Vencida",LEFT($L58,5)="Vence"),SUMPRODUCT(--(LEFT($L$5:$L58,7)="Vencida"))+SUMPRODUCT(--(LEFT($L$5:$L58,5)="Vence")),"")</f>
        <v/>
      </c>
    </row>
    <row r="59">
      <c r="A59" s="56">
        <f>IF($N59="","",INDEX('Cronograma Asistente Técnico'!$A$5:$A$1000,$N59))</f>
        <v/>
      </c>
      <c r="B59" s="62">
        <f>IF($N59="","",IF($O59="Sub","      ↳  "&amp;INDEX('Cronograma Asistente Técnico'!$C$5:$C$1000,$N59),INDEX('Cronograma Asistente Técnico'!$C$5:$C$1000,$N59)&amp;""))</f>
        <v/>
      </c>
      <c r="C59" s="79">
        <f>IF($N59="","",IF(INDEX('Cronograma Asistente Técnico'!$AM$5:$AM$1000,$N59)="","",INDEX('Cronograma Asistente Técnico'!$AM$5:$AM$1000,$N59)))</f>
        <v/>
      </c>
      <c r="D59" s="79">
        <f>IF($N59="","",IF(INDEX('Cronograma Asistente Técnico'!$AN$5:$AN$1000,$N59)="","",INDEX('Cronograma Asistente Técnico'!$AN$5:$AN$1000,$N59)))</f>
        <v/>
      </c>
      <c r="E59" s="56">
        <f>IF($N59="","",IF(NOT(ISNUMBER($D59)),"",IF($D59&lt;InicioCiclo,"Antes del ciclo",IF($D59&gt;=InicioCiclo+28,"Después del ciclo","Semana "&amp;(INT(($D59-InicioCiclo)/7)+1)))))</f>
        <v/>
      </c>
      <c r="F59" s="61">
        <f>IF($N59="","",IF($P59&gt;0,IF(1&lt;=SemanaActual,INDEX('Cronograma Asistente Técnico'!$AC$5:$AC$1000,$N59),""),IF(INDEX('Cronograma Asistente Técnico'!$I$5:$I$1000,$N59)="","",INDEX('Cronograma Asistente Técnico'!$I$5:$I$1000,$N59))))</f>
        <v/>
      </c>
      <c r="G59" s="61">
        <f>IF($N59="","",IF($P59&gt;0,IF(2&lt;=SemanaActual,INDEX('Cronograma Asistente Técnico'!$AD$5:$AD$1000,$N59),""),IF(INDEX('Cronograma Asistente Técnico'!$J$5:$J$1000,$N59)="","",INDEX('Cronograma Asistente Técnico'!$J$5:$J$1000,$N59))))</f>
        <v/>
      </c>
      <c r="H59" s="61">
        <f>IF($N59="","",IF($P59&gt;0,IF(3&lt;=SemanaActual,INDEX('Cronograma Asistente Técnico'!$AE$5:$AE$1000,$N59),""),IF(INDEX('Cronograma Asistente Técnico'!$K$5:$K$1000,$N59)="","",INDEX('Cronograma Asistente Técnico'!$K$5:$K$1000,$N59))))</f>
        <v/>
      </c>
      <c r="I59" s="61">
        <f>IF($N59="","",IF($P59&gt;0,IF(4&lt;=SemanaActual,INDEX('Cronograma Asistente Técnico'!$AF$5:$AF$1000,$N59),""),IF(INDEX('Cronograma Asistente Técnico'!$L$5:$L$1000,$N59)="","",INDEX('Cronograma Asistente Técnico'!$L$5:$L$1000,$N59))))</f>
        <v/>
      </c>
      <c r="J59" s="61">
        <f>IF($N59="","",INDEX('Cronograma Asistente Técnico'!$M$5:$M$1000,$N59))</f>
        <v/>
      </c>
      <c r="K59" s="56">
        <f>IF($N59="","",IF(N($J59)&gt;=1,"Completado",IF(AND(ISNUMBER($D59),$D59&lt;FechaRef),"Vencida",IF(N($J59)&gt;0,"En curso","Pendiente"))))</f>
        <v/>
      </c>
      <c r="L59" s="56">
        <f>IF($N59="","",INDEX('Cronograma Asistente Técnico'!$O$5:$O$1000,$N59)&amp;"")</f>
        <v/>
      </c>
      <c r="M59" s="62">
        <f>IF($N59="","",INDEX('Cronograma Asistente Técnico'!$Q$5:$Q$1000,$N59)&amp;"")</f>
        <v/>
      </c>
      <c r="N59">
        <f>IFERROR(MATCH(ROW()-4,rOrden_ATR,0),"")</f>
        <v/>
      </c>
      <c r="O59">
        <f>IF($N59="","",INDEX('Cronograma Asistente Técnico'!$V$5:$V$1000,$N59))</f>
        <v/>
      </c>
      <c r="P59">
        <f>IF($N59="","",N(INDEX('Cronograma Asistente Técnico'!$W$5:$W$1000,$N59)))</f>
        <v/>
      </c>
      <c r="Q59">
        <f>IF(OR(LEFT($L59,7)="Vencida",LEFT($L59,5)="Vence"),SUMPRODUCT(--(LEFT($L$5:$L59,7)="Vencida"))+SUMPRODUCT(--(LEFT($L$5:$L59,5)="Vence")),"")</f>
        <v/>
      </c>
    </row>
    <row r="60">
      <c r="A60" s="56">
        <f>IF($N60="","",INDEX('Cronograma Asistente Técnico'!$A$5:$A$1000,$N60))</f>
        <v/>
      </c>
      <c r="B60" s="62">
        <f>IF($N60="","",IF($O60="Sub","      ↳  "&amp;INDEX('Cronograma Asistente Técnico'!$C$5:$C$1000,$N60),INDEX('Cronograma Asistente Técnico'!$C$5:$C$1000,$N60)&amp;""))</f>
        <v/>
      </c>
      <c r="C60" s="79">
        <f>IF($N60="","",IF(INDEX('Cronograma Asistente Técnico'!$AM$5:$AM$1000,$N60)="","",INDEX('Cronograma Asistente Técnico'!$AM$5:$AM$1000,$N60)))</f>
        <v/>
      </c>
      <c r="D60" s="79">
        <f>IF($N60="","",IF(INDEX('Cronograma Asistente Técnico'!$AN$5:$AN$1000,$N60)="","",INDEX('Cronograma Asistente Técnico'!$AN$5:$AN$1000,$N60)))</f>
        <v/>
      </c>
      <c r="E60" s="56">
        <f>IF($N60="","",IF(NOT(ISNUMBER($D60)),"",IF($D60&lt;InicioCiclo,"Antes del ciclo",IF($D60&gt;=InicioCiclo+28,"Después del ciclo","Semana "&amp;(INT(($D60-InicioCiclo)/7)+1)))))</f>
        <v/>
      </c>
      <c r="F60" s="61">
        <f>IF($N60="","",IF($P60&gt;0,IF(1&lt;=SemanaActual,INDEX('Cronograma Asistente Técnico'!$AC$5:$AC$1000,$N60),""),IF(INDEX('Cronograma Asistente Técnico'!$I$5:$I$1000,$N60)="","",INDEX('Cronograma Asistente Técnico'!$I$5:$I$1000,$N60))))</f>
        <v/>
      </c>
      <c r="G60" s="61">
        <f>IF($N60="","",IF($P60&gt;0,IF(2&lt;=SemanaActual,INDEX('Cronograma Asistente Técnico'!$AD$5:$AD$1000,$N60),""),IF(INDEX('Cronograma Asistente Técnico'!$J$5:$J$1000,$N60)="","",INDEX('Cronograma Asistente Técnico'!$J$5:$J$1000,$N60))))</f>
        <v/>
      </c>
      <c r="H60" s="61">
        <f>IF($N60="","",IF($P60&gt;0,IF(3&lt;=SemanaActual,INDEX('Cronograma Asistente Técnico'!$AE$5:$AE$1000,$N60),""),IF(INDEX('Cronograma Asistente Técnico'!$K$5:$K$1000,$N60)="","",INDEX('Cronograma Asistente Técnico'!$K$5:$K$1000,$N60))))</f>
        <v/>
      </c>
      <c r="I60" s="61">
        <f>IF($N60="","",IF($P60&gt;0,IF(4&lt;=SemanaActual,INDEX('Cronograma Asistente Técnico'!$AF$5:$AF$1000,$N60),""),IF(INDEX('Cronograma Asistente Técnico'!$L$5:$L$1000,$N60)="","",INDEX('Cronograma Asistente Técnico'!$L$5:$L$1000,$N60))))</f>
        <v/>
      </c>
      <c r="J60" s="61">
        <f>IF($N60="","",INDEX('Cronograma Asistente Técnico'!$M$5:$M$1000,$N60))</f>
        <v/>
      </c>
      <c r="K60" s="56">
        <f>IF($N60="","",IF(N($J60)&gt;=1,"Completado",IF(AND(ISNUMBER($D60),$D60&lt;FechaRef),"Vencida",IF(N($J60)&gt;0,"En curso","Pendiente"))))</f>
        <v/>
      </c>
      <c r="L60" s="56">
        <f>IF($N60="","",INDEX('Cronograma Asistente Técnico'!$O$5:$O$1000,$N60)&amp;"")</f>
        <v/>
      </c>
      <c r="M60" s="62">
        <f>IF($N60="","",INDEX('Cronograma Asistente Técnico'!$Q$5:$Q$1000,$N60)&amp;"")</f>
        <v/>
      </c>
      <c r="N60">
        <f>IFERROR(MATCH(ROW()-4,rOrden_ATR,0),"")</f>
        <v/>
      </c>
      <c r="O60">
        <f>IF($N60="","",INDEX('Cronograma Asistente Técnico'!$V$5:$V$1000,$N60))</f>
        <v/>
      </c>
      <c r="P60">
        <f>IF($N60="","",N(INDEX('Cronograma Asistente Técnico'!$W$5:$W$1000,$N60)))</f>
        <v/>
      </c>
      <c r="Q60">
        <f>IF(OR(LEFT($L60,7)="Vencida",LEFT($L60,5)="Vence"),SUMPRODUCT(--(LEFT($L$5:$L60,7)="Vencida"))+SUMPRODUCT(--(LEFT($L$5:$L60,5)="Vence")),"")</f>
        <v/>
      </c>
    </row>
    <row r="61">
      <c r="A61" s="56">
        <f>IF($N61="","",INDEX('Cronograma Asistente Técnico'!$A$5:$A$1000,$N61))</f>
        <v/>
      </c>
      <c r="B61" s="62">
        <f>IF($N61="","",IF($O61="Sub","      ↳  "&amp;INDEX('Cronograma Asistente Técnico'!$C$5:$C$1000,$N61),INDEX('Cronograma Asistente Técnico'!$C$5:$C$1000,$N61)&amp;""))</f>
        <v/>
      </c>
      <c r="C61" s="79">
        <f>IF($N61="","",IF(INDEX('Cronograma Asistente Técnico'!$AM$5:$AM$1000,$N61)="","",INDEX('Cronograma Asistente Técnico'!$AM$5:$AM$1000,$N61)))</f>
        <v/>
      </c>
      <c r="D61" s="79">
        <f>IF($N61="","",IF(INDEX('Cronograma Asistente Técnico'!$AN$5:$AN$1000,$N61)="","",INDEX('Cronograma Asistente Técnico'!$AN$5:$AN$1000,$N61)))</f>
        <v/>
      </c>
      <c r="E61" s="56">
        <f>IF($N61="","",IF(NOT(ISNUMBER($D61)),"",IF($D61&lt;InicioCiclo,"Antes del ciclo",IF($D61&gt;=InicioCiclo+28,"Después del ciclo","Semana "&amp;(INT(($D61-InicioCiclo)/7)+1)))))</f>
        <v/>
      </c>
      <c r="F61" s="61">
        <f>IF($N61="","",IF($P61&gt;0,IF(1&lt;=SemanaActual,INDEX('Cronograma Asistente Técnico'!$AC$5:$AC$1000,$N61),""),IF(INDEX('Cronograma Asistente Técnico'!$I$5:$I$1000,$N61)="","",INDEX('Cronograma Asistente Técnico'!$I$5:$I$1000,$N61))))</f>
        <v/>
      </c>
      <c r="G61" s="61">
        <f>IF($N61="","",IF($P61&gt;0,IF(2&lt;=SemanaActual,INDEX('Cronograma Asistente Técnico'!$AD$5:$AD$1000,$N61),""),IF(INDEX('Cronograma Asistente Técnico'!$J$5:$J$1000,$N61)="","",INDEX('Cronograma Asistente Técnico'!$J$5:$J$1000,$N61))))</f>
        <v/>
      </c>
      <c r="H61" s="61">
        <f>IF($N61="","",IF($P61&gt;0,IF(3&lt;=SemanaActual,INDEX('Cronograma Asistente Técnico'!$AE$5:$AE$1000,$N61),""),IF(INDEX('Cronograma Asistente Técnico'!$K$5:$K$1000,$N61)="","",INDEX('Cronograma Asistente Técnico'!$K$5:$K$1000,$N61))))</f>
        <v/>
      </c>
      <c r="I61" s="61">
        <f>IF($N61="","",IF($P61&gt;0,IF(4&lt;=SemanaActual,INDEX('Cronograma Asistente Técnico'!$AF$5:$AF$1000,$N61),""),IF(INDEX('Cronograma Asistente Técnico'!$L$5:$L$1000,$N61)="","",INDEX('Cronograma Asistente Técnico'!$L$5:$L$1000,$N61))))</f>
        <v/>
      </c>
      <c r="J61" s="61">
        <f>IF($N61="","",INDEX('Cronograma Asistente Técnico'!$M$5:$M$1000,$N61))</f>
        <v/>
      </c>
      <c r="K61" s="56">
        <f>IF($N61="","",IF(N($J61)&gt;=1,"Completado",IF(AND(ISNUMBER($D61),$D61&lt;FechaRef),"Vencida",IF(N($J61)&gt;0,"En curso","Pendiente"))))</f>
        <v/>
      </c>
      <c r="L61" s="56">
        <f>IF($N61="","",INDEX('Cronograma Asistente Técnico'!$O$5:$O$1000,$N61)&amp;"")</f>
        <v/>
      </c>
      <c r="M61" s="62">
        <f>IF($N61="","",INDEX('Cronograma Asistente Técnico'!$Q$5:$Q$1000,$N61)&amp;"")</f>
        <v/>
      </c>
      <c r="N61">
        <f>IFERROR(MATCH(ROW()-4,rOrden_ATR,0),"")</f>
        <v/>
      </c>
      <c r="O61">
        <f>IF($N61="","",INDEX('Cronograma Asistente Técnico'!$V$5:$V$1000,$N61))</f>
        <v/>
      </c>
      <c r="P61">
        <f>IF($N61="","",N(INDEX('Cronograma Asistente Técnico'!$W$5:$W$1000,$N61)))</f>
        <v/>
      </c>
      <c r="Q61">
        <f>IF(OR(LEFT($L61,7)="Vencida",LEFT($L61,5)="Vence"),SUMPRODUCT(--(LEFT($L$5:$L61,7)="Vencida"))+SUMPRODUCT(--(LEFT($L$5:$L61,5)="Vence")),"")</f>
        <v/>
      </c>
    </row>
    <row r="62">
      <c r="A62" s="56">
        <f>IF($N62="","",INDEX('Cronograma Asistente Técnico'!$A$5:$A$1000,$N62))</f>
        <v/>
      </c>
      <c r="B62" s="62">
        <f>IF($N62="","",IF($O62="Sub","      ↳  "&amp;INDEX('Cronograma Asistente Técnico'!$C$5:$C$1000,$N62),INDEX('Cronograma Asistente Técnico'!$C$5:$C$1000,$N62)&amp;""))</f>
        <v/>
      </c>
      <c r="C62" s="79">
        <f>IF($N62="","",IF(INDEX('Cronograma Asistente Técnico'!$AM$5:$AM$1000,$N62)="","",INDEX('Cronograma Asistente Técnico'!$AM$5:$AM$1000,$N62)))</f>
        <v/>
      </c>
      <c r="D62" s="79">
        <f>IF($N62="","",IF(INDEX('Cronograma Asistente Técnico'!$AN$5:$AN$1000,$N62)="","",INDEX('Cronograma Asistente Técnico'!$AN$5:$AN$1000,$N62)))</f>
        <v/>
      </c>
      <c r="E62" s="56">
        <f>IF($N62="","",IF(NOT(ISNUMBER($D62)),"",IF($D62&lt;InicioCiclo,"Antes del ciclo",IF($D62&gt;=InicioCiclo+28,"Después del ciclo","Semana "&amp;(INT(($D62-InicioCiclo)/7)+1)))))</f>
        <v/>
      </c>
      <c r="F62" s="61">
        <f>IF($N62="","",IF($P62&gt;0,IF(1&lt;=SemanaActual,INDEX('Cronograma Asistente Técnico'!$AC$5:$AC$1000,$N62),""),IF(INDEX('Cronograma Asistente Técnico'!$I$5:$I$1000,$N62)="","",INDEX('Cronograma Asistente Técnico'!$I$5:$I$1000,$N62))))</f>
        <v/>
      </c>
      <c r="G62" s="61">
        <f>IF($N62="","",IF($P62&gt;0,IF(2&lt;=SemanaActual,INDEX('Cronograma Asistente Técnico'!$AD$5:$AD$1000,$N62),""),IF(INDEX('Cronograma Asistente Técnico'!$J$5:$J$1000,$N62)="","",INDEX('Cronograma Asistente Técnico'!$J$5:$J$1000,$N62))))</f>
        <v/>
      </c>
      <c r="H62" s="61">
        <f>IF($N62="","",IF($P62&gt;0,IF(3&lt;=SemanaActual,INDEX('Cronograma Asistente Técnico'!$AE$5:$AE$1000,$N62),""),IF(INDEX('Cronograma Asistente Técnico'!$K$5:$K$1000,$N62)="","",INDEX('Cronograma Asistente Técnico'!$K$5:$K$1000,$N62))))</f>
        <v/>
      </c>
      <c r="I62" s="61">
        <f>IF($N62="","",IF($P62&gt;0,IF(4&lt;=SemanaActual,INDEX('Cronograma Asistente Técnico'!$AF$5:$AF$1000,$N62),""),IF(INDEX('Cronograma Asistente Técnico'!$L$5:$L$1000,$N62)="","",INDEX('Cronograma Asistente Técnico'!$L$5:$L$1000,$N62))))</f>
        <v/>
      </c>
      <c r="J62" s="61">
        <f>IF($N62="","",INDEX('Cronograma Asistente Técnico'!$M$5:$M$1000,$N62))</f>
        <v/>
      </c>
      <c r="K62" s="56">
        <f>IF($N62="","",IF(N($J62)&gt;=1,"Completado",IF(AND(ISNUMBER($D62),$D62&lt;FechaRef),"Vencida",IF(N($J62)&gt;0,"En curso","Pendiente"))))</f>
        <v/>
      </c>
      <c r="L62" s="56">
        <f>IF($N62="","",INDEX('Cronograma Asistente Técnico'!$O$5:$O$1000,$N62)&amp;"")</f>
        <v/>
      </c>
      <c r="M62" s="62">
        <f>IF($N62="","",INDEX('Cronograma Asistente Técnico'!$Q$5:$Q$1000,$N62)&amp;"")</f>
        <v/>
      </c>
      <c r="N62">
        <f>IFERROR(MATCH(ROW()-4,rOrden_ATR,0),"")</f>
        <v/>
      </c>
      <c r="O62">
        <f>IF($N62="","",INDEX('Cronograma Asistente Técnico'!$V$5:$V$1000,$N62))</f>
        <v/>
      </c>
      <c r="P62">
        <f>IF($N62="","",N(INDEX('Cronograma Asistente Técnico'!$W$5:$W$1000,$N62)))</f>
        <v/>
      </c>
      <c r="Q62">
        <f>IF(OR(LEFT($L62,7)="Vencida",LEFT($L62,5)="Vence"),SUMPRODUCT(--(LEFT($L$5:$L62,7)="Vencida"))+SUMPRODUCT(--(LEFT($L$5:$L62,5)="Vence")),"")</f>
        <v/>
      </c>
    </row>
    <row r="63">
      <c r="A63" s="56">
        <f>IF($N63="","",INDEX('Cronograma Asistente Técnico'!$A$5:$A$1000,$N63))</f>
        <v/>
      </c>
      <c r="B63" s="62">
        <f>IF($N63="","",IF($O63="Sub","      ↳  "&amp;INDEX('Cronograma Asistente Técnico'!$C$5:$C$1000,$N63),INDEX('Cronograma Asistente Técnico'!$C$5:$C$1000,$N63)&amp;""))</f>
        <v/>
      </c>
      <c r="C63" s="79">
        <f>IF($N63="","",IF(INDEX('Cronograma Asistente Técnico'!$AM$5:$AM$1000,$N63)="","",INDEX('Cronograma Asistente Técnico'!$AM$5:$AM$1000,$N63)))</f>
        <v/>
      </c>
      <c r="D63" s="79">
        <f>IF($N63="","",IF(INDEX('Cronograma Asistente Técnico'!$AN$5:$AN$1000,$N63)="","",INDEX('Cronograma Asistente Técnico'!$AN$5:$AN$1000,$N63)))</f>
        <v/>
      </c>
      <c r="E63" s="56">
        <f>IF($N63="","",IF(NOT(ISNUMBER($D63)),"",IF($D63&lt;InicioCiclo,"Antes del ciclo",IF($D63&gt;=InicioCiclo+28,"Después del ciclo","Semana "&amp;(INT(($D63-InicioCiclo)/7)+1)))))</f>
        <v/>
      </c>
      <c r="F63" s="61">
        <f>IF($N63="","",IF($P63&gt;0,IF(1&lt;=SemanaActual,INDEX('Cronograma Asistente Técnico'!$AC$5:$AC$1000,$N63),""),IF(INDEX('Cronograma Asistente Técnico'!$I$5:$I$1000,$N63)="","",INDEX('Cronograma Asistente Técnico'!$I$5:$I$1000,$N63))))</f>
        <v/>
      </c>
      <c r="G63" s="61">
        <f>IF($N63="","",IF($P63&gt;0,IF(2&lt;=SemanaActual,INDEX('Cronograma Asistente Técnico'!$AD$5:$AD$1000,$N63),""),IF(INDEX('Cronograma Asistente Técnico'!$J$5:$J$1000,$N63)="","",INDEX('Cronograma Asistente Técnico'!$J$5:$J$1000,$N63))))</f>
        <v/>
      </c>
      <c r="H63" s="61">
        <f>IF($N63="","",IF($P63&gt;0,IF(3&lt;=SemanaActual,INDEX('Cronograma Asistente Técnico'!$AE$5:$AE$1000,$N63),""),IF(INDEX('Cronograma Asistente Técnico'!$K$5:$K$1000,$N63)="","",INDEX('Cronograma Asistente Técnico'!$K$5:$K$1000,$N63))))</f>
        <v/>
      </c>
      <c r="I63" s="61">
        <f>IF($N63="","",IF($P63&gt;0,IF(4&lt;=SemanaActual,INDEX('Cronograma Asistente Técnico'!$AF$5:$AF$1000,$N63),""),IF(INDEX('Cronograma Asistente Técnico'!$L$5:$L$1000,$N63)="","",INDEX('Cronograma Asistente Técnico'!$L$5:$L$1000,$N63))))</f>
        <v/>
      </c>
      <c r="J63" s="61">
        <f>IF($N63="","",INDEX('Cronograma Asistente Técnico'!$M$5:$M$1000,$N63))</f>
        <v/>
      </c>
      <c r="K63" s="56">
        <f>IF($N63="","",IF(N($J63)&gt;=1,"Completado",IF(AND(ISNUMBER($D63),$D63&lt;FechaRef),"Vencida",IF(N($J63)&gt;0,"En curso","Pendiente"))))</f>
        <v/>
      </c>
      <c r="L63" s="56">
        <f>IF($N63="","",INDEX('Cronograma Asistente Técnico'!$O$5:$O$1000,$N63)&amp;"")</f>
        <v/>
      </c>
      <c r="M63" s="62">
        <f>IF($N63="","",INDEX('Cronograma Asistente Técnico'!$Q$5:$Q$1000,$N63)&amp;"")</f>
        <v/>
      </c>
      <c r="N63">
        <f>IFERROR(MATCH(ROW()-4,rOrden_ATR,0),"")</f>
        <v/>
      </c>
      <c r="O63">
        <f>IF($N63="","",INDEX('Cronograma Asistente Técnico'!$V$5:$V$1000,$N63))</f>
        <v/>
      </c>
      <c r="P63">
        <f>IF($N63="","",N(INDEX('Cronograma Asistente Técnico'!$W$5:$W$1000,$N63)))</f>
        <v/>
      </c>
      <c r="Q63">
        <f>IF(OR(LEFT($L63,7)="Vencida",LEFT($L63,5)="Vence"),SUMPRODUCT(--(LEFT($L$5:$L63,7)="Vencida"))+SUMPRODUCT(--(LEFT($L$5:$L63,5)="Vence")),"")</f>
        <v/>
      </c>
    </row>
    <row r="64">
      <c r="A64" s="56">
        <f>IF($N64="","",INDEX('Cronograma Asistente Técnico'!$A$5:$A$1000,$N64))</f>
        <v/>
      </c>
      <c r="B64" s="62">
        <f>IF($N64="","",IF($O64="Sub","      ↳  "&amp;INDEX('Cronograma Asistente Técnico'!$C$5:$C$1000,$N64),INDEX('Cronograma Asistente Técnico'!$C$5:$C$1000,$N64)&amp;""))</f>
        <v/>
      </c>
      <c r="C64" s="79">
        <f>IF($N64="","",IF(INDEX('Cronograma Asistente Técnico'!$AM$5:$AM$1000,$N64)="","",INDEX('Cronograma Asistente Técnico'!$AM$5:$AM$1000,$N64)))</f>
        <v/>
      </c>
      <c r="D64" s="79">
        <f>IF($N64="","",IF(INDEX('Cronograma Asistente Técnico'!$AN$5:$AN$1000,$N64)="","",INDEX('Cronograma Asistente Técnico'!$AN$5:$AN$1000,$N64)))</f>
        <v/>
      </c>
      <c r="E64" s="56">
        <f>IF($N64="","",IF(NOT(ISNUMBER($D64)),"",IF($D64&lt;InicioCiclo,"Antes del ciclo",IF($D64&gt;=InicioCiclo+28,"Después del ciclo","Semana "&amp;(INT(($D64-InicioCiclo)/7)+1)))))</f>
        <v/>
      </c>
      <c r="F64" s="61">
        <f>IF($N64="","",IF($P64&gt;0,IF(1&lt;=SemanaActual,INDEX('Cronograma Asistente Técnico'!$AC$5:$AC$1000,$N64),""),IF(INDEX('Cronograma Asistente Técnico'!$I$5:$I$1000,$N64)="","",INDEX('Cronograma Asistente Técnico'!$I$5:$I$1000,$N64))))</f>
        <v/>
      </c>
      <c r="G64" s="61">
        <f>IF($N64="","",IF($P64&gt;0,IF(2&lt;=SemanaActual,INDEX('Cronograma Asistente Técnico'!$AD$5:$AD$1000,$N64),""),IF(INDEX('Cronograma Asistente Técnico'!$J$5:$J$1000,$N64)="","",INDEX('Cronograma Asistente Técnico'!$J$5:$J$1000,$N64))))</f>
        <v/>
      </c>
      <c r="H64" s="61">
        <f>IF($N64="","",IF($P64&gt;0,IF(3&lt;=SemanaActual,INDEX('Cronograma Asistente Técnico'!$AE$5:$AE$1000,$N64),""),IF(INDEX('Cronograma Asistente Técnico'!$K$5:$K$1000,$N64)="","",INDEX('Cronograma Asistente Técnico'!$K$5:$K$1000,$N64))))</f>
        <v/>
      </c>
      <c r="I64" s="61">
        <f>IF($N64="","",IF($P64&gt;0,IF(4&lt;=SemanaActual,INDEX('Cronograma Asistente Técnico'!$AF$5:$AF$1000,$N64),""),IF(INDEX('Cronograma Asistente Técnico'!$L$5:$L$1000,$N64)="","",INDEX('Cronograma Asistente Técnico'!$L$5:$L$1000,$N64))))</f>
        <v/>
      </c>
      <c r="J64" s="61">
        <f>IF($N64="","",INDEX('Cronograma Asistente Técnico'!$M$5:$M$1000,$N64))</f>
        <v/>
      </c>
      <c r="K64" s="56">
        <f>IF($N64="","",IF(N($J64)&gt;=1,"Completado",IF(AND(ISNUMBER($D64),$D64&lt;FechaRef),"Vencida",IF(N($J64)&gt;0,"En curso","Pendiente"))))</f>
        <v/>
      </c>
      <c r="L64" s="56">
        <f>IF($N64="","",INDEX('Cronograma Asistente Técnico'!$O$5:$O$1000,$N64)&amp;"")</f>
        <v/>
      </c>
      <c r="M64" s="62">
        <f>IF($N64="","",INDEX('Cronograma Asistente Técnico'!$Q$5:$Q$1000,$N64)&amp;"")</f>
        <v/>
      </c>
      <c r="N64">
        <f>IFERROR(MATCH(ROW()-4,rOrden_ATR,0),"")</f>
        <v/>
      </c>
      <c r="O64">
        <f>IF($N64="","",INDEX('Cronograma Asistente Técnico'!$V$5:$V$1000,$N64))</f>
        <v/>
      </c>
      <c r="P64">
        <f>IF($N64="","",N(INDEX('Cronograma Asistente Técnico'!$W$5:$W$1000,$N64)))</f>
        <v/>
      </c>
      <c r="Q64">
        <f>IF(OR(LEFT($L64,7)="Vencida",LEFT($L64,5)="Vence"),SUMPRODUCT(--(LEFT($L$5:$L64,7)="Vencida"))+SUMPRODUCT(--(LEFT($L$5:$L64,5)="Vence")),"")</f>
        <v/>
      </c>
    </row>
    <row r="65">
      <c r="A65" s="56">
        <f>IF($N65="","",INDEX('Cronograma Asistente Técnico'!$A$5:$A$1000,$N65))</f>
        <v/>
      </c>
      <c r="B65" s="62">
        <f>IF($N65="","",IF($O65="Sub","      ↳  "&amp;INDEX('Cronograma Asistente Técnico'!$C$5:$C$1000,$N65),INDEX('Cronograma Asistente Técnico'!$C$5:$C$1000,$N65)&amp;""))</f>
        <v/>
      </c>
      <c r="C65" s="79">
        <f>IF($N65="","",IF(INDEX('Cronograma Asistente Técnico'!$AM$5:$AM$1000,$N65)="","",INDEX('Cronograma Asistente Técnico'!$AM$5:$AM$1000,$N65)))</f>
        <v/>
      </c>
      <c r="D65" s="79">
        <f>IF($N65="","",IF(INDEX('Cronograma Asistente Técnico'!$AN$5:$AN$1000,$N65)="","",INDEX('Cronograma Asistente Técnico'!$AN$5:$AN$1000,$N65)))</f>
        <v/>
      </c>
      <c r="E65" s="56">
        <f>IF($N65="","",IF(NOT(ISNUMBER($D65)),"",IF($D65&lt;InicioCiclo,"Antes del ciclo",IF($D65&gt;=InicioCiclo+28,"Después del ciclo","Semana "&amp;(INT(($D65-InicioCiclo)/7)+1)))))</f>
        <v/>
      </c>
      <c r="F65" s="61">
        <f>IF($N65="","",IF($P65&gt;0,IF(1&lt;=SemanaActual,INDEX('Cronograma Asistente Técnico'!$AC$5:$AC$1000,$N65),""),IF(INDEX('Cronograma Asistente Técnico'!$I$5:$I$1000,$N65)="","",INDEX('Cronograma Asistente Técnico'!$I$5:$I$1000,$N65))))</f>
        <v/>
      </c>
      <c r="G65" s="61">
        <f>IF($N65="","",IF($P65&gt;0,IF(2&lt;=SemanaActual,INDEX('Cronograma Asistente Técnico'!$AD$5:$AD$1000,$N65),""),IF(INDEX('Cronograma Asistente Técnico'!$J$5:$J$1000,$N65)="","",INDEX('Cronograma Asistente Técnico'!$J$5:$J$1000,$N65))))</f>
        <v/>
      </c>
      <c r="H65" s="61">
        <f>IF($N65="","",IF($P65&gt;0,IF(3&lt;=SemanaActual,INDEX('Cronograma Asistente Técnico'!$AE$5:$AE$1000,$N65),""),IF(INDEX('Cronograma Asistente Técnico'!$K$5:$K$1000,$N65)="","",INDEX('Cronograma Asistente Técnico'!$K$5:$K$1000,$N65))))</f>
        <v/>
      </c>
      <c r="I65" s="61">
        <f>IF($N65="","",IF($P65&gt;0,IF(4&lt;=SemanaActual,INDEX('Cronograma Asistente Técnico'!$AF$5:$AF$1000,$N65),""),IF(INDEX('Cronograma Asistente Técnico'!$L$5:$L$1000,$N65)="","",INDEX('Cronograma Asistente Técnico'!$L$5:$L$1000,$N65))))</f>
        <v/>
      </c>
      <c r="J65" s="61">
        <f>IF($N65="","",INDEX('Cronograma Asistente Técnico'!$M$5:$M$1000,$N65))</f>
        <v/>
      </c>
      <c r="K65" s="56">
        <f>IF($N65="","",IF(N($J65)&gt;=1,"Completado",IF(AND(ISNUMBER($D65),$D65&lt;FechaRef),"Vencida",IF(N($J65)&gt;0,"En curso","Pendiente"))))</f>
        <v/>
      </c>
      <c r="L65" s="56">
        <f>IF($N65="","",INDEX('Cronograma Asistente Técnico'!$O$5:$O$1000,$N65)&amp;"")</f>
        <v/>
      </c>
      <c r="M65" s="62">
        <f>IF($N65="","",INDEX('Cronograma Asistente Técnico'!$Q$5:$Q$1000,$N65)&amp;"")</f>
        <v/>
      </c>
      <c r="N65">
        <f>IFERROR(MATCH(ROW()-4,rOrden_ATR,0),"")</f>
        <v/>
      </c>
      <c r="O65">
        <f>IF($N65="","",INDEX('Cronograma Asistente Técnico'!$V$5:$V$1000,$N65))</f>
        <v/>
      </c>
      <c r="P65">
        <f>IF($N65="","",N(INDEX('Cronograma Asistente Técnico'!$W$5:$W$1000,$N65)))</f>
        <v/>
      </c>
      <c r="Q65">
        <f>IF(OR(LEFT($L65,7)="Vencida",LEFT($L65,5)="Vence"),SUMPRODUCT(--(LEFT($L$5:$L65,7)="Vencida"))+SUMPRODUCT(--(LEFT($L$5:$L65,5)="Vence")),"")</f>
        <v/>
      </c>
    </row>
    <row r="66">
      <c r="A66" s="56">
        <f>IF($N66="","",INDEX('Cronograma Asistente Técnico'!$A$5:$A$1000,$N66))</f>
        <v/>
      </c>
      <c r="B66" s="62">
        <f>IF($N66="","",IF($O66="Sub","      ↳  "&amp;INDEX('Cronograma Asistente Técnico'!$C$5:$C$1000,$N66),INDEX('Cronograma Asistente Técnico'!$C$5:$C$1000,$N66)&amp;""))</f>
        <v/>
      </c>
      <c r="C66" s="79">
        <f>IF($N66="","",IF(INDEX('Cronograma Asistente Técnico'!$AM$5:$AM$1000,$N66)="","",INDEX('Cronograma Asistente Técnico'!$AM$5:$AM$1000,$N66)))</f>
        <v/>
      </c>
      <c r="D66" s="79">
        <f>IF($N66="","",IF(INDEX('Cronograma Asistente Técnico'!$AN$5:$AN$1000,$N66)="","",INDEX('Cronograma Asistente Técnico'!$AN$5:$AN$1000,$N66)))</f>
        <v/>
      </c>
      <c r="E66" s="56">
        <f>IF($N66="","",IF(NOT(ISNUMBER($D66)),"",IF($D66&lt;InicioCiclo,"Antes del ciclo",IF($D66&gt;=InicioCiclo+28,"Después del ciclo","Semana "&amp;(INT(($D66-InicioCiclo)/7)+1)))))</f>
        <v/>
      </c>
      <c r="F66" s="61">
        <f>IF($N66="","",IF($P66&gt;0,IF(1&lt;=SemanaActual,INDEX('Cronograma Asistente Técnico'!$AC$5:$AC$1000,$N66),""),IF(INDEX('Cronograma Asistente Técnico'!$I$5:$I$1000,$N66)="","",INDEX('Cronograma Asistente Técnico'!$I$5:$I$1000,$N66))))</f>
        <v/>
      </c>
      <c r="G66" s="61">
        <f>IF($N66="","",IF($P66&gt;0,IF(2&lt;=SemanaActual,INDEX('Cronograma Asistente Técnico'!$AD$5:$AD$1000,$N66),""),IF(INDEX('Cronograma Asistente Técnico'!$J$5:$J$1000,$N66)="","",INDEX('Cronograma Asistente Técnico'!$J$5:$J$1000,$N66))))</f>
        <v/>
      </c>
      <c r="H66" s="61">
        <f>IF($N66="","",IF($P66&gt;0,IF(3&lt;=SemanaActual,INDEX('Cronograma Asistente Técnico'!$AE$5:$AE$1000,$N66),""),IF(INDEX('Cronograma Asistente Técnico'!$K$5:$K$1000,$N66)="","",INDEX('Cronograma Asistente Técnico'!$K$5:$K$1000,$N66))))</f>
        <v/>
      </c>
      <c r="I66" s="61">
        <f>IF($N66="","",IF($P66&gt;0,IF(4&lt;=SemanaActual,INDEX('Cronograma Asistente Técnico'!$AF$5:$AF$1000,$N66),""),IF(INDEX('Cronograma Asistente Técnico'!$L$5:$L$1000,$N66)="","",INDEX('Cronograma Asistente Técnico'!$L$5:$L$1000,$N66))))</f>
        <v/>
      </c>
      <c r="J66" s="61">
        <f>IF($N66="","",INDEX('Cronograma Asistente Técnico'!$M$5:$M$1000,$N66))</f>
        <v/>
      </c>
      <c r="K66" s="56">
        <f>IF($N66="","",IF(N($J66)&gt;=1,"Completado",IF(AND(ISNUMBER($D66),$D66&lt;FechaRef),"Vencida",IF(N($J66)&gt;0,"En curso","Pendiente"))))</f>
        <v/>
      </c>
      <c r="L66" s="56">
        <f>IF($N66="","",INDEX('Cronograma Asistente Técnico'!$O$5:$O$1000,$N66)&amp;"")</f>
        <v/>
      </c>
      <c r="M66" s="62">
        <f>IF($N66="","",INDEX('Cronograma Asistente Técnico'!$Q$5:$Q$1000,$N66)&amp;"")</f>
        <v/>
      </c>
      <c r="N66">
        <f>IFERROR(MATCH(ROW()-4,rOrden_ATR,0),"")</f>
        <v/>
      </c>
      <c r="O66">
        <f>IF($N66="","",INDEX('Cronograma Asistente Técnico'!$V$5:$V$1000,$N66))</f>
        <v/>
      </c>
      <c r="P66">
        <f>IF($N66="","",N(INDEX('Cronograma Asistente Técnico'!$W$5:$W$1000,$N66)))</f>
        <v/>
      </c>
      <c r="Q66">
        <f>IF(OR(LEFT($L66,7)="Vencida",LEFT($L66,5)="Vence"),SUMPRODUCT(--(LEFT($L$5:$L66,7)="Vencida"))+SUMPRODUCT(--(LEFT($L$5:$L66,5)="Vence")),"")</f>
        <v/>
      </c>
    </row>
    <row r="67">
      <c r="A67" s="56">
        <f>IF($N67="","",INDEX('Cronograma Asistente Técnico'!$A$5:$A$1000,$N67))</f>
        <v/>
      </c>
      <c r="B67" s="62">
        <f>IF($N67="","",IF($O67="Sub","      ↳  "&amp;INDEX('Cronograma Asistente Técnico'!$C$5:$C$1000,$N67),INDEX('Cronograma Asistente Técnico'!$C$5:$C$1000,$N67)&amp;""))</f>
        <v/>
      </c>
      <c r="C67" s="79">
        <f>IF($N67="","",IF(INDEX('Cronograma Asistente Técnico'!$AM$5:$AM$1000,$N67)="","",INDEX('Cronograma Asistente Técnico'!$AM$5:$AM$1000,$N67)))</f>
        <v/>
      </c>
      <c r="D67" s="79">
        <f>IF($N67="","",IF(INDEX('Cronograma Asistente Técnico'!$AN$5:$AN$1000,$N67)="","",INDEX('Cronograma Asistente Técnico'!$AN$5:$AN$1000,$N67)))</f>
        <v/>
      </c>
      <c r="E67" s="56">
        <f>IF($N67="","",IF(NOT(ISNUMBER($D67)),"",IF($D67&lt;InicioCiclo,"Antes del ciclo",IF($D67&gt;=InicioCiclo+28,"Después del ciclo","Semana "&amp;(INT(($D67-InicioCiclo)/7)+1)))))</f>
        <v/>
      </c>
      <c r="F67" s="61">
        <f>IF($N67="","",IF($P67&gt;0,IF(1&lt;=SemanaActual,INDEX('Cronograma Asistente Técnico'!$AC$5:$AC$1000,$N67),""),IF(INDEX('Cronograma Asistente Técnico'!$I$5:$I$1000,$N67)="","",INDEX('Cronograma Asistente Técnico'!$I$5:$I$1000,$N67))))</f>
        <v/>
      </c>
      <c r="G67" s="61">
        <f>IF($N67="","",IF($P67&gt;0,IF(2&lt;=SemanaActual,INDEX('Cronograma Asistente Técnico'!$AD$5:$AD$1000,$N67),""),IF(INDEX('Cronograma Asistente Técnico'!$J$5:$J$1000,$N67)="","",INDEX('Cronograma Asistente Técnico'!$J$5:$J$1000,$N67))))</f>
        <v/>
      </c>
      <c r="H67" s="61">
        <f>IF($N67="","",IF($P67&gt;0,IF(3&lt;=SemanaActual,INDEX('Cronograma Asistente Técnico'!$AE$5:$AE$1000,$N67),""),IF(INDEX('Cronograma Asistente Técnico'!$K$5:$K$1000,$N67)="","",INDEX('Cronograma Asistente Técnico'!$K$5:$K$1000,$N67))))</f>
        <v/>
      </c>
      <c r="I67" s="61">
        <f>IF($N67="","",IF($P67&gt;0,IF(4&lt;=SemanaActual,INDEX('Cronograma Asistente Técnico'!$AF$5:$AF$1000,$N67),""),IF(INDEX('Cronograma Asistente Técnico'!$L$5:$L$1000,$N67)="","",INDEX('Cronograma Asistente Técnico'!$L$5:$L$1000,$N67))))</f>
        <v/>
      </c>
      <c r="J67" s="61">
        <f>IF($N67="","",INDEX('Cronograma Asistente Técnico'!$M$5:$M$1000,$N67))</f>
        <v/>
      </c>
      <c r="K67" s="56">
        <f>IF($N67="","",IF(N($J67)&gt;=1,"Completado",IF(AND(ISNUMBER($D67),$D67&lt;FechaRef),"Vencida",IF(N($J67)&gt;0,"En curso","Pendiente"))))</f>
        <v/>
      </c>
      <c r="L67" s="56">
        <f>IF($N67="","",INDEX('Cronograma Asistente Técnico'!$O$5:$O$1000,$N67)&amp;"")</f>
        <v/>
      </c>
      <c r="M67" s="62">
        <f>IF($N67="","",INDEX('Cronograma Asistente Técnico'!$Q$5:$Q$1000,$N67)&amp;"")</f>
        <v/>
      </c>
      <c r="N67">
        <f>IFERROR(MATCH(ROW()-4,rOrden_ATR,0),"")</f>
        <v/>
      </c>
      <c r="O67">
        <f>IF($N67="","",INDEX('Cronograma Asistente Técnico'!$V$5:$V$1000,$N67))</f>
        <v/>
      </c>
      <c r="P67">
        <f>IF($N67="","",N(INDEX('Cronograma Asistente Técnico'!$W$5:$W$1000,$N67)))</f>
        <v/>
      </c>
      <c r="Q67">
        <f>IF(OR(LEFT($L67,7)="Vencida",LEFT($L67,5)="Vence"),SUMPRODUCT(--(LEFT($L$5:$L67,7)="Vencida"))+SUMPRODUCT(--(LEFT($L$5:$L67,5)="Vence")),"")</f>
        <v/>
      </c>
    </row>
    <row r="68">
      <c r="A68" s="56">
        <f>IF($N68="","",INDEX('Cronograma Asistente Técnico'!$A$5:$A$1000,$N68))</f>
        <v/>
      </c>
      <c r="B68" s="62">
        <f>IF($N68="","",IF($O68="Sub","      ↳  "&amp;INDEX('Cronograma Asistente Técnico'!$C$5:$C$1000,$N68),INDEX('Cronograma Asistente Técnico'!$C$5:$C$1000,$N68)&amp;""))</f>
        <v/>
      </c>
      <c r="C68" s="79">
        <f>IF($N68="","",IF(INDEX('Cronograma Asistente Técnico'!$AM$5:$AM$1000,$N68)="","",INDEX('Cronograma Asistente Técnico'!$AM$5:$AM$1000,$N68)))</f>
        <v/>
      </c>
      <c r="D68" s="79">
        <f>IF($N68="","",IF(INDEX('Cronograma Asistente Técnico'!$AN$5:$AN$1000,$N68)="","",INDEX('Cronograma Asistente Técnico'!$AN$5:$AN$1000,$N68)))</f>
        <v/>
      </c>
      <c r="E68" s="56">
        <f>IF($N68="","",IF(NOT(ISNUMBER($D68)),"",IF($D68&lt;InicioCiclo,"Antes del ciclo",IF($D68&gt;=InicioCiclo+28,"Después del ciclo","Semana "&amp;(INT(($D68-InicioCiclo)/7)+1)))))</f>
        <v/>
      </c>
      <c r="F68" s="61">
        <f>IF($N68="","",IF($P68&gt;0,IF(1&lt;=SemanaActual,INDEX('Cronograma Asistente Técnico'!$AC$5:$AC$1000,$N68),""),IF(INDEX('Cronograma Asistente Técnico'!$I$5:$I$1000,$N68)="","",INDEX('Cronograma Asistente Técnico'!$I$5:$I$1000,$N68))))</f>
        <v/>
      </c>
      <c r="G68" s="61">
        <f>IF($N68="","",IF($P68&gt;0,IF(2&lt;=SemanaActual,INDEX('Cronograma Asistente Técnico'!$AD$5:$AD$1000,$N68),""),IF(INDEX('Cronograma Asistente Técnico'!$J$5:$J$1000,$N68)="","",INDEX('Cronograma Asistente Técnico'!$J$5:$J$1000,$N68))))</f>
        <v/>
      </c>
      <c r="H68" s="61">
        <f>IF($N68="","",IF($P68&gt;0,IF(3&lt;=SemanaActual,INDEX('Cronograma Asistente Técnico'!$AE$5:$AE$1000,$N68),""),IF(INDEX('Cronograma Asistente Técnico'!$K$5:$K$1000,$N68)="","",INDEX('Cronograma Asistente Técnico'!$K$5:$K$1000,$N68))))</f>
        <v/>
      </c>
      <c r="I68" s="61">
        <f>IF($N68="","",IF($P68&gt;0,IF(4&lt;=SemanaActual,INDEX('Cronograma Asistente Técnico'!$AF$5:$AF$1000,$N68),""),IF(INDEX('Cronograma Asistente Técnico'!$L$5:$L$1000,$N68)="","",INDEX('Cronograma Asistente Técnico'!$L$5:$L$1000,$N68))))</f>
        <v/>
      </c>
      <c r="J68" s="61">
        <f>IF($N68="","",INDEX('Cronograma Asistente Técnico'!$M$5:$M$1000,$N68))</f>
        <v/>
      </c>
      <c r="K68" s="56">
        <f>IF($N68="","",IF(N($J68)&gt;=1,"Completado",IF(AND(ISNUMBER($D68),$D68&lt;FechaRef),"Vencida",IF(N($J68)&gt;0,"En curso","Pendiente"))))</f>
        <v/>
      </c>
      <c r="L68" s="56">
        <f>IF($N68="","",INDEX('Cronograma Asistente Técnico'!$O$5:$O$1000,$N68)&amp;"")</f>
        <v/>
      </c>
      <c r="M68" s="62">
        <f>IF($N68="","",INDEX('Cronograma Asistente Técnico'!$Q$5:$Q$1000,$N68)&amp;"")</f>
        <v/>
      </c>
      <c r="N68">
        <f>IFERROR(MATCH(ROW()-4,rOrden_ATR,0),"")</f>
        <v/>
      </c>
      <c r="O68">
        <f>IF($N68="","",INDEX('Cronograma Asistente Técnico'!$V$5:$V$1000,$N68))</f>
        <v/>
      </c>
      <c r="P68">
        <f>IF($N68="","",N(INDEX('Cronograma Asistente Técnico'!$W$5:$W$1000,$N68)))</f>
        <v/>
      </c>
      <c r="Q68">
        <f>IF(OR(LEFT($L68,7)="Vencida",LEFT($L68,5)="Vence"),SUMPRODUCT(--(LEFT($L$5:$L68,7)="Vencida"))+SUMPRODUCT(--(LEFT($L$5:$L68,5)="Vence")),"")</f>
        <v/>
      </c>
    </row>
    <row r="69">
      <c r="A69" s="56">
        <f>IF($N69="","",INDEX('Cronograma Asistente Técnico'!$A$5:$A$1000,$N69))</f>
        <v/>
      </c>
      <c r="B69" s="62">
        <f>IF($N69="","",IF($O69="Sub","      ↳  "&amp;INDEX('Cronograma Asistente Técnico'!$C$5:$C$1000,$N69),INDEX('Cronograma Asistente Técnico'!$C$5:$C$1000,$N69)&amp;""))</f>
        <v/>
      </c>
      <c r="C69" s="79">
        <f>IF($N69="","",IF(INDEX('Cronograma Asistente Técnico'!$AM$5:$AM$1000,$N69)="","",INDEX('Cronograma Asistente Técnico'!$AM$5:$AM$1000,$N69)))</f>
        <v/>
      </c>
      <c r="D69" s="79">
        <f>IF($N69="","",IF(INDEX('Cronograma Asistente Técnico'!$AN$5:$AN$1000,$N69)="","",INDEX('Cronograma Asistente Técnico'!$AN$5:$AN$1000,$N69)))</f>
        <v/>
      </c>
      <c r="E69" s="56">
        <f>IF($N69="","",IF(NOT(ISNUMBER($D69)),"",IF($D69&lt;InicioCiclo,"Antes del ciclo",IF($D69&gt;=InicioCiclo+28,"Después del ciclo","Semana "&amp;(INT(($D69-InicioCiclo)/7)+1)))))</f>
        <v/>
      </c>
      <c r="F69" s="61">
        <f>IF($N69="","",IF($P69&gt;0,IF(1&lt;=SemanaActual,INDEX('Cronograma Asistente Técnico'!$AC$5:$AC$1000,$N69),""),IF(INDEX('Cronograma Asistente Técnico'!$I$5:$I$1000,$N69)="","",INDEX('Cronograma Asistente Técnico'!$I$5:$I$1000,$N69))))</f>
        <v/>
      </c>
      <c r="G69" s="61">
        <f>IF($N69="","",IF($P69&gt;0,IF(2&lt;=SemanaActual,INDEX('Cronograma Asistente Técnico'!$AD$5:$AD$1000,$N69),""),IF(INDEX('Cronograma Asistente Técnico'!$J$5:$J$1000,$N69)="","",INDEX('Cronograma Asistente Técnico'!$J$5:$J$1000,$N69))))</f>
        <v/>
      </c>
      <c r="H69" s="61">
        <f>IF($N69="","",IF($P69&gt;0,IF(3&lt;=SemanaActual,INDEX('Cronograma Asistente Técnico'!$AE$5:$AE$1000,$N69),""),IF(INDEX('Cronograma Asistente Técnico'!$K$5:$K$1000,$N69)="","",INDEX('Cronograma Asistente Técnico'!$K$5:$K$1000,$N69))))</f>
        <v/>
      </c>
      <c r="I69" s="61">
        <f>IF($N69="","",IF($P69&gt;0,IF(4&lt;=SemanaActual,INDEX('Cronograma Asistente Técnico'!$AF$5:$AF$1000,$N69),""),IF(INDEX('Cronograma Asistente Técnico'!$L$5:$L$1000,$N69)="","",INDEX('Cronograma Asistente Técnico'!$L$5:$L$1000,$N69))))</f>
        <v/>
      </c>
      <c r="J69" s="61">
        <f>IF($N69="","",INDEX('Cronograma Asistente Técnico'!$M$5:$M$1000,$N69))</f>
        <v/>
      </c>
      <c r="K69" s="56">
        <f>IF($N69="","",IF(N($J69)&gt;=1,"Completado",IF(AND(ISNUMBER($D69),$D69&lt;FechaRef),"Vencida",IF(N($J69)&gt;0,"En curso","Pendiente"))))</f>
        <v/>
      </c>
      <c r="L69" s="56">
        <f>IF($N69="","",INDEX('Cronograma Asistente Técnico'!$O$5:$O$1000,$N69)&amp;"")</f>
        <v/>
      </c>
      <c r="M69" s="62">
        <f>IF($N69="","",INDEX('Cronograma Asistente Técnico'!$Q$5:$Q$1000,$N69)&amp;"")</f>
        <v/>
      </c>
      <c r="N69">
        <f>IFERROR(MATCH(ROW()-4,rOrden_ATR,0),"")</f>
        <v/>
      </c>
      <c r="O69">
        <f>IF($N69="","",INDEX('Cronograma Asistente Técnico'!$V$5:$V$1000,$N69))</f>
        <v/>
      </c>
      <c r="P69">
        <f>IF($N69="","",N(INDEX('Cronograma Asistente Técnico'!$W$5:$W$1000,$N69)))</f>
        <v/>
      </c>
      <c r="Q69">
        <f>IF(OR(LEFT($L69,7)="Vencida",LEFT($L69,5)="Vence"),SUMPRODUCT(--(LEFT($L$5:$L69,7)="Vencida"))+SUMPRODUCT(--(LEFT($L$5:$L69,5)="Vence")),"")</f>
        <v/>
      </c>
    </row>
    <row r="70">
      <c r="A70" s="56">
        <f>IF($N70="","",INDEX('Cronograma Asistente Técnico'!$A$5:$A$1000,$N70))</f>
        <v/>
      </c>
      <c r="B70" s="62">
        <f>IF($N70="","",IF($O70="Sub","      ↳  "&amp;INDEX('Cronograma Asistente Técnico'!$C$5:$C$1000,$N70),INDEX('Cronograma Asistente Técnico'!$C$5:$C$1000,$N70)&amp;""))</f>
        <v/>
      </c>
      <c r="C70" s="79">
        <f>IF($N70="","",IF(INDEX('Cronograma Asistente Técnico'!$AM$5:$AM$1000,$N70)="","",INDEX('Cronograma Asistente Técnico'!$AM$5:$AM$1000,$N70)))</f>
        <v/>
      </c>
      <c r="D70" s="79">
        <f>IF($N70="","",IF(INDEX('Cronograma Asistente Técnico'!$AN$5:$AN$1000,$N70)="","",INDEX('Cronograma Asistente Técnico'!$AN$5:$AN$1000,$N70)))</f>
        <v/>
      </c>
      <c r="E70" s="56">
        <f>IF($N70="","",IF(NOT(ISNUMBER($D70)),"",IF($D70&lt;InicioCiclo,"Antes del ciclo",IF($D70&gt;=InicioCiclo+28,"Después del ciclo","Semana "&amp;(INT(($D70-InicioCiclo)/7)+1)))))</f>
        <v/>
      </c>
      <c r="F70" s="61">
        <f>IF($N70="","",IF($P70&gt;0,IF(1&lt;=SemanaActual,INDEX('Cronograma Asistente Técnico'!$AC$5:$AC$1000,$N70),""),IF(INDEX('Cronograma Asistente Técnico'!$I$5:$I$1000,$N70)="","",INDEX('Cronograma Asistente Técnico'!$I$5:$I$1000,$N70))))</f>
        <v/>
      </c>
      <c r="G70" s="61">
        <f>IF($N70="","",IF($P70&gt;0,IF(2&lt;=SemanaActual,INDEX('Cronograma Asistente Técnico'!$AD$5:$AD$1000,$N70),""),IF(INDEX('Cronograma Asistente Técnico'!$J$5:$J$1000,$N70)="","",INDEX('Cronograma Asistente Técnico'!$J$5:$J$1000,$N70))))</f>
        <v/>
      </c>
      <c r="H70" s="61">
        <f>IF($N70="","",IF($P70&gt;0,IF(3&lt;=SemanaActual,INDEX('Cronograma Asistente Técnico'!$AE$5:$AE$1000,$N70),""),IF(INDEX('Cronograma Asistente Técnico'!$K$5:$K$1000,$N70)="","",INDEX('Cronograma Asistente Técnico'!$K$5:$K$1000,$N70))))</f>
        <v/>
      </c>
      <c r="I70" s="61">
        <f>IF($N70="","",IF($P70&gt;0,IF(4&lt;=SemanaActual,INDEX('Cronograma Asistente Técnico'!$AF$5:$AF$1000,$N70),""),IF(INDEX('Cronograma Asistente Técnico'!$L$5:$L$1000,$N70)="","",INDEX('Cronograma Asistente Técnico'!$L$5:$L$1000,$N70))))</f>
        <v/>
      </c>
      <c r="J70" s="61">
        <f>IF($N70="","",INDEX('Cronograma Asistente Técnico'!$M$5:$M$1000,$N70))</f>
        <v/>
      </c>
      <c r="K70" s="56">
        <f>IF($N70="","",IF(N($J70)&gt;=1,"Completado",IF(AND(ISNUMBER($D70),$D70&lt;FechaRef),"Vencida",IF(N($J70)&gt;0,"En curso","Pendiente"))))</f>
        <v/>
      </c>
      <c r="L70" s="56">
        <f>IF($N70="","",INDEX('Cronograma Asistente Técnico'!$O$5:$O$1000,$N70)&amp;"")</f>
        <v/>
      </c>
      <c r="M70" s="62">
        <f>IF($N70="","",INDEX('Cronograma Asistente Técnico'!$Q$5:$Q$1000,$N70)&amp;"")</f>
        <v/>
      </c>
      <c r="N70">
        <f>IFERROR(MATCH(ROW()-4,rOrden_ATR,0),"")</f>
        <v/>
      </c>
      <c r="O70">
        <f>IF($N70="","",INDEX('Cronograma Asistente Técnico'!$V$5:$V$1000,$N70))</f>
        <v/>
      </c>
      <c r="P70">
        <f>IF($N70="","",N(INDEX('Cronograma Asistente Técnico'!$W$5:$W$1000,$N70)))</f>
        <v/>
      </c>
      <c r="Q70">
        <f>IF(OR(LEFT($L70,7)="Vencida",LEFT($L70,5)="Vence"),SUMPRODUCT(--(LEFT($L$5:$L70,7)="Vencida"))+SUMPRODUCT(--(LEFT($L$5:$L70,5)="Vence")),"")</f>
        <v/>
      </c>
    </row>
    <row r="71">
      <c r="A71" s="56">
        <f>IF($N71="","",INDEX('Cronograma Asistente Técnico'!$A$5:$A$1000,$N71))</f>
        <v/>
      </c>
      <c r="B71" s="62">
        <f>IF($N71="","",IF($O71="Sub","      ↳  "&amp;INDEX('Cronograma Asistente Técnico'!$C$5:$C$1000,$N71),INDEX('Cronograma Asistente Técnico'!$C$5:$C$1000,$N71)&amp;""))</f>
        <v/>
      </c>
      <c r="C71" s="79">
        <f>IF($N71="","",IF(INDEX('Cronograma Asistente Técnico'!$AM$5:$AM$1000,$N71)="","",INDEX('Cronograma Asistente Técnico'!$AM$5:$AM$1000,$N71)))</f>
        <v/>
      </c>
      <c r="D71" s="79">
        <f>IF($N71="","",IF(INDEX('Cronograma Asistente Técnico'!$AN$5:$AN$1000,$N71)="","",INDEX('Cronograma Asistente Técnico'!$AN$5:$AN$1000,$N71)))</f>
        <v/>
      </c>
      <c r="E71" s="56">
        <f>IF($N71="","",IF(NOT(ISNUMBER($D71)),"",IF($D71&lt;InicioCiclo,"Antes del ciclo",IF($D71&gt;=InicioCiclo+28,"Después del ciclo","Semana "&amp;(INT(($D71-InicioCiclo)/7)+1)))))</f>
        <v/>
      </c>
      <c r="F71" s="61">
        <f>IF($N71="","",IF($P71&gt;0,IF(1&lt;=SemanaActual,INDEX('Cronograma Asistente Técnico'!$AC$5:$AC$1000,$N71),""),IF(INDEX('Cronograma Asistente Técnico'!$I$5:$I$1000,$N71)="","",INDEX('Cronograma Asistente Técnico'!$I$5:$I$1000,$N71))))</f>
        <v/>
      </c>
      <c r="G71" s="61">
        <f>IF($N71="","",IF($P71&gt;0,IF(2&lt;=SemanaActual,INDEX('Cronograma Asistente Técnico'!$AD$5:$AD$1000,$N71),""),IF(INDEX('Cronograma Asistente Técnico'!$J$5:$J$1000,$N71)="","",INDEX('Cronograma Asistente Técnico'!$J$5:$J$1000,$N71))))</f>
        <v/>
      </c>
      <c r="H71" s="61">
        <f>IF($N71="","",IF($P71&gt;0,IF(3&lt;=SemanaActual,INDEX('Cronograma Asistente Técnico'!$AE$5:$AE$1000,$N71),""),IF(INDEX('Cronograma Asistente Técnico'!$K$5:$K$1000,$N71)="","",INDEX('Cronograma Asistente Técnico'!$K$5:$K$1000,$N71))))</f>
        <v/>
      </c>
      <c r="I71" s="61">
        <f>IF($N71="","",IF($P71&gt;0,IF(4&lt;=SemanaActual,INDEX('Cronograma Asistente Técnico'!$AF$5:$AF$1000,$N71),""),IF(INDEX('Cronograma Asistente Técnico'!$L$5:$L$1000,$N71)="","",INDEX('Cronograma Asistente Técnico'!$L$5:$L$1000,$N71))))</f>
        <v/>
      </c>
      <c r="J71" s="61">
        <f>IF($N71="","",INDEX('Cronograma Asistente Técnico'!$M$5:$M$1000,$N71))</f>
        <v/>
      </c>
      <c r="K71" s="56">
        <f>IF($N71="","",IF(N($J71)&gt;=1,"Completado",IF(AND(ISNUMBER($D71),$D71&lt;FechaRef),"Vencida",IF(N($J71)&gt;0,"En curso","Pendiente"))))</f>
        <v/>
      </c>
      <c r="L71" s="56">
        <f>IF($N71="","",INDEX('Cronograma Asistente Técnico'!$O$5:$O$1000,$N71)&amp;"")</f>
        <v/>
      </c>
      <c r="M71" s="62">
        <f>IF($N71="","",INDEX('Cronograma Asistente Técnico'!$Q$5:$Q$1000,$N71)&amp;"")</f>
        <v/>
      </c>
      <c r="N71">
        <f>IFERROR(MATCH(ROW()-4,rOrden_ATR,0),"")</f>
        <v/>
      </c>
      <c r="O71">
        <f>IF($N71="","",INDEX('Cronograma Asistente Técnico'!$V$5:$V$1000,$N71))</f>
        <v/>
      </c>
      <c r="P71">
        <f>IF($N71="","",N(INDEX('Cronograma Asistente Técnico'!$W$5:$W$1000,$N71)))</f>
        <v/>
      </c>
      <c r="Q71">
        <f>IF(OR(LEFT($L71,7)="Vencida",LEFT($L71,5)="Vence"),SUMPRODUCT(--(LEFT($L$5:$L71,7)="Vencida"))+SUMPRODUCT(--(LEFT($L$5:$L71,5)="Vence")),"")</f>
        <v/>
      </c>
    </row>
    <row r="72">
      <c r="A72" s="56">
        <f>IF($N72="","",INDEX('Cronograma Asistente Técnico'!$A$5:$A$1000,$N72))</f>
        <v/>
      </c>
      <c r="B72" s="62">
        <f>IF($N72="","",IF($O72="Sub","      ↳  "&amp;INDEX('Cronograma Asistente Técnico'!$C$5:$C$1000,$N72),INDEX('Cronograma Asistente Técnico'!$C$5:$C$1000,$N72)&amp;""))</f>
        <v/>
      </c>
      <c r="C72" s="79">
        <f>IF($N72="","",IF(INDEX('Cronograma Asistente Técnico'!$AM$5:$AM$1000,$N72)="","",INDEX('Cronograma Asistente Técnico'!$AM$5:$AM$1000,$N72)))</f>
        <v/>
      </c>
      <c r="D72" s="79">
        <f>IF($N72="","",IF(INDEX('Cronograma Asistente Técnico'!$AN$5:$AN$1000,$N72)="","",INDEX('Cronograma Asistente Técnico'!$AN$5:$AN$1000,$N72)))</f>
        <v/>
      </c>
      <c r="E72" s="56">
        <f>IF($N72="","",IF(NOT(ISNUMBER($D72)),"",IF($D72&lt;InicioCiclo,"Antes del ciclo",IF($D72&gt;=InicioCiclo+28,"Después del ciclo","Semana "&amp;(INT(($D72-InicioCiclo)/7)+1)))))</f>
        <v/>
      </c>
      <c r="F72" s="61">
        <f>IF($N72="","",IF($P72&gt;0,IF(1&lt;=SemanaActual,INDEX('Cronograma Asistente Técnico'!$AC$5:$AC$1000,$N72),""),IF(INDEX('Cronograma Asistente Técnico'!$I$5:$I$1000,$N72)="","",INDEX('Cronograma Asistente Técnico'!$I$5:$I$1000,$N72))))</f>
        <v/>
      </c>
      <c r="G72" s="61">
        <f>IF($N72="","",IF($P72&gt;0,IF(2&lt;=SemanaActual,INDEX('Cronograma Asistente Técnico'!$AD$5:$AD$1000,$N72),""),IF(INDEX('Cronograma Asistente Técnico'!$J$5:$J$1000,$N72)="","",INDEX('Cronograma Asistente Técnico'!$J$5:$J$1000,$N72))))</f>
        <v/>
      </c>
      <c r="H72" s="61">
        <f>IF($N72="","",IF($P72&gt;0,IF(3&lt;=SemanaActual,INDEX('Cronograma Asistente Técnico'!$AE$5:$AE$1000,$N72),""),IF(INDEX('Cronograma Asistente Técnico'!$K$5:$K$1000,$N72)="","",INDEX('Cronograma Asistente Técnico'!$K$5:$K$1000,$N72))))</f>
        <v/>
      </c>
      <c r="I72" s="61">
        <f>IF($N72="","",IF($P72&gt;0,IF(4&lt;=SemanaActual,INDEX('Cronograma Asistente Técnico'!$AF$5:$AF$1000,$N72),""),IF(INDEX('Cronograma Asistente Técnico'!$L$5:$L$1000,$N72)="","",INDEX('Cronograma Asistente Técnico'!$L$5:$L$1000,$N72))))</f>
        <v/>
      </c>
      <c r="J72" s="61">
        <f>IF($N72="","",INDEX('Cronograma Asistente Técnico'!$M$5:$M$1000,$N72))</f>
        <v/>
      </c>
      <c r="K72" s="56">
        <f>IF($N72="","",IF(N($J72)&gt;=1,"Completado",IF(AND(ISNUMBER($D72),$D72&lt;FechaRef),"Vencida",IF(N($J72)&gt;0,"En curso","Pendiente"))))</f>
        <v/>
      </c>
      <c r="L72" s="56">
        <f>IF($N72="","",INDEX('Cronograma Asistente Técnico'!$O$5:$O$1000,$N72)&amp;"")</f>
        <v/>
      </c>
      <c r="M72" s="62">
        <f>IF($N72="","",INDEX('Cronograma Asistente Técnico'!$Q$5:$Q$1000,$N72)&amp;"")</f>
        <v/>
      </c>
      <c r="N72">
        <f>IFERROR(MATCH(ROW()-4,rOrden_ATR,0),"")</f>
        <v/>
      </c>
      <c r="O72">
        <f>IF($N72="","",INDEX('Cronograma Asistente Técnico'!$V$5:$V$1000,$N72))</f>
        <v/>
      </c>
      <c r="P72">
        <f>IF($N72="","",N(INDEX('Cronograma Asistente Técnico'!$W$5:$W$1000,$N72)))</f>
        <v/>
      </c>
      <c r="Q72">
        <f>IF(OR(LEFT($L72,7)="Vencida",LEFT($L72,5)="Vence"),SUMPRODUCT(--(LEFT($L$5:$L72,7)="Vencida"))+SUMPRODUCT(--(LEFT($L$5:$L72,5)="Vence")),"")</f>
        <v/>
      </c>
    </row>
    <row r="73">
      <c r="A73" s="56">
        <f>IF($N73="","",INDEX('Cronograma Asistente Técnico'!$A$5:$A$1000,$N73))</f>
        <v/>
      </c>
      <c r="B73" s="62">
        <f>IF($N73="","",IF($O73="Sub","      ↳  "&amp;INDEX('Cronograma Asistente Técnico'!$C$5:$C$1000,$N73),INDEX('Cronograma Asistente Técnico'!$C$5:$C$1000,$N73)&amp;""))</f>
        <v/>
      </c>
      <c r="C73" s="79">
        <f>IF($N73="","",IF(INDEX('Cronograma Asistente Técnico'!$AM$5:$AM$1000,$N73)="","",INDEX('Cronograma Asistente Técnico'!$AM$5:$AM$1000,$N73)))</f>
        <v/>
      </c>
      <c r="D73" s="79">
        <f>IF($N73="","",IF(INDEX('Cronograma Asistente Técnico'!$AN$5:$AN$1000,$N73)="","",INDEX('Cronograma Asistente Técnico'!$AN$5:$AN$1000,$N73)))</f>
        <v/>
      </c>
      <c r="E73" s="56">
        <f>IF($N73="","",IF(NOT(ISNUMBER($D73)),"",IF($D73&lt;InicioCiclo,"Antes del ciclo",IF($D73&gt;=InicioCiclo+28,"Después del ciclo","Semana "&amp;(INT(($D73-InicioCiclo)/7)+1)))))</f>
        <v/>
      </c>
      <c r="F73" s="61">
        <f>IF($N73="","",IF($P73&gt;0,IF(1&lt;=SemanaActual,INDEX('Cronograma Asistente Técnico'!$AC$5:$AC$1000,$N73),""),IF(INDEX('Cronograma Asistente Técnico'!$I$5:$I$1000,$N73)="","",INDEX('Cronograma Asistente Técnico'!$I$5:$I$1000,$N73))))</f>
        <v/>
      </c>
      <c r="G73" s="61">
        <f>IF($N73="","",IF($P73&gt;0,IF(2&lt;=SemanaActual,INDEX('Cronograma Asistente Técnico'!$AD$5:$AD$1000,$N73),""),IF(INDEX('Cronograma Asistente Técnico'!$J$5:$J$1000,$N73)="","",INDEX('Cronograma Asistente Técnico'!$J$5:$J$1000,$N73))))</f>
        <v/>
      </c>
      <c r="H73" s="61">
        <f>IF($N73="","",IF($P73&gt;0,IF(3&lt;=SemanaActual,INDEX('Cronograma Asistente Técnico'!$AE$5:$AE$1000,$N73),""),IF(INDEX('Cronograma Asistente Técnico'!$K$5:$K$1000,$N73)="","",INDEX('Cronograma Asistente Técnico'!$K$5:$K$1000,$N73))))</f>
        <v/>
      </c>
      <c r="I73" s="61">
        <f>IF($N73="","",IF($P73&gt;0,IF(4&lt;=SemanaActual,INDEX('Cronograma Asistente Técnico'!$AF$5:$AF$1000,$N73),""),IF(INDEX('Cronograma Asistente Técnico'!$L$5:$L$1000,$N73)="","",INDEX('Cronograma Asistente Técnico'!$L$5:$L$1000,$N73))))</f>
        <v/>
      </c>
      <c r="J73" s="61">
        <f>IF($N73="","",INDEX('Cronograma Asistente Técnico'!$M$5:$M$1000,$N73))</f>
        <v/>
      </c>
      <c r="K73" s="56">
        <f>IF($N73="","",IF(N($J73)&gt;=1,"Completado",IF(AND(ISNUMBER($D73),$D73&lt;FechaRef),"Vencida",IF(N($J73)&gt;0,"En curso","Pendiente"))))</f>
        <v/>
      </c>
      <c r="L73" s="56">
        <f>IF($N73="","",INDEX('Cronograma Asistente Técnico'!$O$5:$O$1000,$N73)&amp;"")</f>
        <v/>
      </c>
      <c r="M73" s="62">
        <f>IF($N73="","",INDEX('Cronograma Asistente Técnico'!$Q$5:$Q$1000,$N73)&amp;"")</f>
        <v/>
      </c>
      <c r="N73">
        <f>IFERROR(MATCH(ROW()-4,rOrden_ATR,0),"")</f>
        <v/>
      </c>
      <c r="O73">
        <f>IF($N73="","",INDEX('Cronograma Asistente Técnico'!$V$5:$V$1000,$N73))</f>
        <v/>
      </c>
      <c r="P73">
        <f>IF($N73="","",N(INDEX('Cronograma Asistente Técnico'!$W$5:$W$1000,$N73)))</f>
        <v/>
      </c>
      <c r="Q73">
        <f>IF(OR(LEFT($L73,7)="Vencida",LEFT($L73,5)="Vence"),SUMPRODUCT(--(LEFT($L$5:$L73,7)="Vencida"))+SUMPRODUCT(--(LEFT($L$5:$L73,5)="Vence")),"")</f>
        <v/>
      </c>
    </row>
    <row r="74">
      <c r="A74" s="56">
        <f>IF($N74="","",INDEX('Cronograma Asistente Técnico'!$A$5:$A$1000,$N74))</f>
        <v/>
      </c>
      <c r="B74" s="62">
        <f>IF($N74="","",IF($O74="Sub","      ↳  "&amp;INDEX('Cronograma Asistente Técnico'!$C$5:$C$1000,$N74),INDEX('Cronograma Asistente Técnico'!$C$5:$C$1000,$N74)&amp;""))</f>
        <v/>
      </c>
      <c r="C74" s="79">
        <f>IF($N74="","",IF(INDEX('Cronograma Asistente Técnico'!$AM$5:$AM$1000,$N74)="","",INDEX('Cronograma Asistente Técnico'!$AM$5:$AM$1000,$N74)))</f>
        <v/>
      </c>
      <c r="D74" s="79">
        <f>IF($N74="","",IF(INDEX('Cronograma Asistente Técnico'!$AN$5:$AN$1000,$N74)="","",INDEX('Cronograma Asistente Técnico'!$AN$5:$AN$1000,$N74)))</f>
        <v/>
      </c>
      <c r="E74" s="56">
        <f>IF($N74="","",IF(NOT(ISNUMBER($D74)),"",IF($D74&lt;InicioCiclo,"Antes del ciclo",IF($D74&gt;=InicioCiclo+28,"Después del ciclo","Semana "&amp;(INT(($D74-InicioCiclo)/7)+1)))))</f>
        <v/>
      </c>
      <c r="F74" s="61">
        <f>IF($N74="","",IF($P74&gt;0,IF(1&lt;=SemanaActual,INDEX('Cronograma Asistente Técnico'!$AC$5:$AC$1000,$N74),""),IF(INDEX('Cronograma Asistente Técnico'!$I$5:$I$1000,$N74)="","",INDEX('Cronograma Asistente Técnico'!$I$5:$I$1000,$N74))))</f>
        <v/>
      </c>
      <c r="G74" s="61">
        <f>IF($N74="","",IF($P74&gt;0,IF(2&lt;=SemanaActual,INDEX('Cronograma Asistente Técnico'!$AD$5:$AD$1000,$N74),""),IF(INDEX('Cronograma Asistente Técnico'!$J$5:$J$1000,$N74)="","",INDEX('Cronograma Asistente Técnico'!$J$5:$J$1000,$N74))))</f>
        <v/>
      </c>
      <c r="H74" s="61">
        <f>IF($N74="","",IF($P74&gt;0,IF(3&lt;=SemanaActual,INDEX('Cronograma Asistente Técnico'!$AE$5:$AE$1000,$N74),""),IF(INDEX('Cronograma Asistente Técnico'!$K$5:$K$1000,$N74)="","",INDEX('Cronograma Asistente Técnico'!$K$5:$K$1000,$N74))))</f>
        <v/>
      </c>
      <c r="I74" s="61">
        <f>IF($N74="","",IF($P74&gt;0,IF(4&lt;=SemanaActual,INDEX('Cronograma Asistente Técnico'!$AF$5:$AF$1000,$N74),""),IF(INDEX('Cronograma Asistente Técnico'!$L$5:$L$1000,$N74)="","",INDEX('Cronograma Asistente Técnico'!$L$5:$L$1000,$N74))))</f>
        <v/>
      </c>
      <c r="J74" s="61">
        <f>IF($N74="","",INDEX('Cronograma Asistente Técnico'!$M$5:$M$1000,$N74))</f>
        <v/>
      </c>
      <c r="K74" s="56">
        <f>IF($N74="","",IF(N($J74)&gt;=1,"Completado",IF(AND(ISNUMBER($D74),$D74&lt;FechaRef),"Vencida",IF(N($J74)&gt;0,"En curso","Pendiente"))))</f>
        <v/>
      </c>
      <c r="L74" s="56">
        <f>IF($N74="","",INDEX('Cronograma Asistente Técnico'!$O$5:$O$1000,$N74)&amp;"")</f>
        <v/>
      </c>
      <c r="M74" s="62">
        <f>IF($N74="","",INDEX('Cronograma Asistente Técnico'!$Q$5:$Q$1000,$N74)&amp;"")</f>
        <v/>
      </c>
      <c r="N74">
        <f>IFERROR(MATCH(ROW()-4,rOrden_ATR,0),"")</f>
        <v/>
      </c>
      <c r="O74">
        <f>IF($N74="","",INDEX('Cronograma Asistente Técnico'!$V$5:$V$1000,$N74))</f>
        <v/>
      </c>
      <c r="P74">
        <f>IF($N74="","",N(INDEX('Cronograma Asistente Técnico'!$W$5:$W$1000,$N74)))</f>
        <v/>
      </c>
      <c r="Q74">
        <f>IF(OR(LEFT($L74,7)="Vencida",LEFT($L74,5)="Vence"),SUMPRODUCT(--(LEFT($L$5:$L74,7)="Vencida"))+SUMPRODUCT(--(LEFT($L$5:$L74,5)="Vence")),"")</f>
        <v/>
      </c>
    </row>
    <row r="75">
      <c r="A75" s="56">
        <f>IF($N75="","",INDEX('Cronograma Asistente Técnico'!$A$5:$A$1000,$N75))</f>
        <v/>
      </c>
      <c r="B75" s="62">
        <f>IF($N75="","",IF($O75="Sub","      ↳  "&amp;INDEX('Cronograma Asistente Técnico'!$C$5:$C$1000,$N75),INDEX('Cronograma Asistente Técnico'!$C$5:$C$1000,$N75)&amp;""))</f>
        <v/>
      </c>
      <c r="C75" s="79">
        <f>IF($N75="","",IF(INDEX('Cronograma Asistente Técnico'!$AM$5:$AM$1000,$N75)="","",INDEX('Cronograma Asistente Técnico'!$AM$5:$AM$1000,$N75)))</f>
        <v/>
      </c>
      <c r="D75" s="79">
        <f>IF($N75="","",IF(INDEX('Cronograma Asistente Técnico'!$AN$5:$AN$1000,$N75)="","",INDEX('Cronograma Asistente Técnico'!$AN$5:$AN$1000,$N75)))</f>
        <v/>
      </c>
      <c r="E75" s="56">
        <f>IF($N75="","",IF(NOT(ISNUMBER($D75)),"",IF($D75&lt;InicioCiclo,"Antes del ciclo",IF($D75&gt;=InicioCiclo+28,"Después del ciclo","Semana "&amp;(INT(($D75-InicioCiclo)/7)+1)))))</f>
        <v/>
      </c>
      <c r="F75" s="61">
        <f>IF($N75="","",IF($P75&gt;0,IF(1&lt;=SemanaActual,INDEX('Cronograma Asistente Técnico'!$AC$5:$AC$1000,$N75),""),IF(INDEX('Cronograma Asistente Técnico'!$I$5:$I$1000,$N75)="","",INDEX('Cronograma Asistente Técnico'!$I$5:$I$1000,$N75))))</f>
        <v/>
      </c>
      <c r="G75" s="61">
        <f>IF($N75="","",IF($P75&gt;0,IF(2&lt;=SemanaActual,INDEX('Cronograma Asistente Técnico'!$AD$5:$AD$1000,$N75),""),IF(INDEX('Cronograma Asistente Técnico'!$J$5:$J$1000,$N75)="","",INDEX('Cronograma Asistente Técnico'!$J$5:$J$1000,$N75))))</f>
        <v/>
      </c>
      <c r="H75" s="61">
        <f>IF($N75="","",IF($P75&gt;0,IF(3&lt;=SemanaActual,INDEX('Cronograma Asistente Técnico'!$AE$5:$AE$1000,$N75),""),IF(INDEX('Cronograma Asistente Técnico'!$K$5:$K$1000,$N75)="","",INDEX('Cronograma Asistente Técnico'!$K$5:$K$1000,$N75))))</f>
        <v/>
      </c>
      <c r="I75" s="61">
        <f>IF($N75="","",IF($P75&gt;0,IF(4&lt;=SemanaActual,INDEX('Cronograma Asistente Técnico'!$AF$5:$AF$1000,$N75),""),IF(INDEX('Cronograma Asistente Técnico'!$L$5:$L$1000,$N75)="","",INDEX('Cronograma Asistente Técnico'!$L$5:$L$1000,$N75))))</f>
        <v/>
      </c>
      <c r="J75" s="61">
        <f>IF($N75="","",INDEX('Cronograma Asistente Técnico'!$M$5:$M$1000,$N75))</f>
        <v/>
      </c>
      <c r="K75" s="56">
        <f>IF($N75="","",IF(N($J75)&gt;=1,"Completado",IF(AND(ISNUMBER($D75),$D75&lt;FechaRef),"Vencida",IF(N($J75)&gt;0,"En curso","Pendiente"))))</f>
        <v/>
      </c>
      <c r="L75" s="56">
        <f>IF($N75="","",INDEX('Cronograma Asistente Técnico'!$O$5:$O$1000,$N75)&amp;"")</f>
        <v/>
      </c>
      <c r="M75" s="62">
        <f>IF($N75="","",INDEX('Cronograma Asistente Técnico'!$Q$5:$Q$1000,$N75)&amp;"")</f>
        <v/>
      </c>
      <c r="N75">
        <f>IFERROR(MATCH(ROW()-4,rOrden_ATR,0),"")</f>
        <v/>
      </c>
      <c r="O75">
        <f>IF($N75="","",INDEX('Cronograma Asistente Técnico'!$V$5:$V$1000,$N75))</f>
        <v/>
      </c>
      <c r="P75">
        <f>IF($N75="","",N(INDEX('Cronograma Asistente Técnico'!$W$5:$W$1000,$N75)))</f>
        <v/>
      </c>
      <c r="Q75">
        <f>IF(OR(LEFT($L75,7)="Vencida",LEFT($L75,5)="Vence"),SUMPRODUCT(--(LEFT($L$5:$L75,7)="Vencida"))+SUMPRODUCT(--(LEFT($L$5:$L75,5)="Vence")),"")</f>
        <v/>
      </c>
    </row>
    <row r="76">
      <c r="A76" s="56">
        <f>IF($N76="","",INDEX('Cronograma Asistente Técnico'!$A$5:$A$1000,$N76))</f>
        <v/>
      </c>
      <c r="B76" s="62">
        <f>IF($N76="","",IF($O76="Sub","      ↳  "&amp;INDEX('Cronograma Asistente Técnico'!$C$5:$C$1000,$N76),INDEX('Cronograma Asistente Técnico'!$C$5:$C$1000,$N76)&amp;""))</f>
        <v/>
      </c>
      <c r="C76" s="79">
        <f>IF($N76="","",IF(INDEX('Cronograma Asistente Técnico'!$AM$5:$AM$1000,$N76)="","",INDEX('Cronograma Asistente Técnico'!$AM$5:$AM$1000,$N76)))</f>
        <v/>
      </c>
      <c r="D76" s="79">
        <f>IF($N76="","",IF(INDEX('Cronograma Asistente Técnico'!$AN$5:$AN$1000,$N76)="","",INDEX('Cronograma Asistente Técnico'!$AN$5:$AN$1000,$N76)))</f>
        <v/>
      </c>
      <c r="E76" s="56">
        <f>IF($N76="","",IF(NOT(ISNUMBER($D76)),"",IF($D76&lt;InicioCiclo,"Antes del ciclo",IF($D76&gt;=InicioCiclo+28,"Después del ciclo","Semana "&amp;(INT(($D76-InicioCiclo)/7)+1)))))</f>
        <v/>
      </c>
      <c r="F76" s="61">
        <f>IF($N76="","",IF($P76&gt;0,IF(1&lt;=SemanaActual,INDEX('Cronograma Asistente Técnico'!$AC$5:$AC$1000,$N76),""),IF(INDEX('Cronograma Asistente Técnico'!$I$5:$I$1000,$N76)="","",INDEX('Cronograma Asistente Técnico'!$I$5:$I$1000,$N76))))</f>
        <v/>
      </c>
      <c r="G76" s="61">
        <f>IF($N76="","",IF($P76&gt;0,IF(2&lt;=SemanaActual,INDEX('Cronograma Asistente Técnico'!$AD$5:$AD$1000,$N76),""),IF(INDEX('Cronograma Asistente Técnico'!$J$5:$J$1000,$N76)="","",INDEX('Cronograma Asistente Técnico'!$J$5:$J$1000,$N76))))</f>
        <v/>
      </c>
      <c r="H76" s="61">
        <f>IF($N76="","",IF($P76&gt;0,IF(3&lt;=SemanaActual,INDEX('Cronograma Asistente Técnico'!$AE$5:$AE$1000,$N76),""),IF(INDEX('Cronograma Asistente Técnico'!$K$5:$K$1000,$N76)="","",INDEX('Cronograma Asistente Técnico'!$K$5:$K$1000,$N76))))</f>
        <v/>
      </c>
      <c r="I76" s="61">
        <f>IF($N76="","",IF($P76&gt;0,IF(4&lt;=SemanaActual,INDEX('Cronograma Asistente Técnico'!$AF$5:$AF$1000,$N76),""),IF(INDEX('Cronograma Asistente Técnico'!$L$5:$L$1000,$N76)="","",INDEX('Cronograma Asistente Técnico'!$L$5:$L$1000,$N76))))</f>
        <v/>
      </c>
      <c r="J76" s="61">
        <f>IF($N76="","",INDEX('Cronograma Asistente Técnico'!$M$5:$M$1000,$N76))</f>
        <v/>
      </c>
      <c r="K76" s="56">
        <f>IF($N76="","",IF(N($J76)&gt;=1,"Completado",IF(AND(ISNUMBER($D76),$D76&lt;FechaRef),"Vencida",IF(N($J76)&gt;0,"En curso","Pendiente"))))</f>
        <v/>
      </c>
      <c r="L76" s="56">
        <f>IF($N76="","",INDEX('Cronograma Asistente Técnico'!$O$5:$O$1000,$N76)&amp;"")</f>
        <v/>
      </c>
      <c r="M76" s="62">
        <f>IF($N76="","",INDEX('Cronograma Asistente Técnico'!$Q$5:$Q$1000,$N76)&amp;"")</f>
        <v/>
      </c>
      <c r="N76">
        <f>IFERROR(MATCH(ROW()-4,rOrden_ATR,0),"")</f>
        <v/>
      </c>
      <c r="O76">
        <f>IF($N76="","",INDEX('Cronograma Asistente Técnico'!$V$5:$V$1000,$N76))</f>
        <v/>
      </c>
      <c r="P76">
        <f>IF($N76="","",N(INDEX('Cronograma Asistente Técnico'!$W$5:$W$1000,$N76)))</f>
        <v/>
      </c>
      <c r="Q76">
        <f>IF(OR(LEFT($L76,7)="Vencida",LEFT($L76,5)="Vence"),SUMPRODUCT(--(LEFT($L$5:$L76,7)="Vencida"))+SUMPRODUCT(--(LEFT($L$5:$L76,5)="Vence")),"")</f>
        <v/>
      </c>
    </row>
    <row r="77">
      <c r="A77" s="56">
        <f>IF($N77="","",INDEX('Cronograma Asistente Técnico'!$A$5:$A$1000,$N77))</f>
        <v/>
      </c>
      <c r="B77" s="62">
        <f>IF($N77="","",IF($O77="Sub","      ↳  "&amp;INDEX('Cronograma Asistente Técnico'!$C$5:$C$1000,$N77),INDEX('Cronograma Asistente Técnico'!$C$5:$C$1000,$N77)&amp;""))</f>
        <v/>
      </c>
      <c r="C77" s="79">
        <f>IF($N77="","",IF(INDEX('Cronograma Asistente Técnico'!$AM$5:$AM$1000,$N77)="","",INDEX('Cronograma Asistente Técnico'!$AM$5:$AM$1000,$N77)))</f>
        <v/>
      </c>
      <c r="D77" s="79">
        <f>IF($N77="","",IF(INDEX('Cronograma Asistente Técnico'!$AN$5:$AN$1000,$N77)="","",INDEX('Cronograma Asistente Técnico'!$AN$5:$AN$1000,$N77)))</f>
        <v/>
      </c>
      <c r="E77" s="56">
        <f>IF($N77="","",IF(NOT(ISNUMBER($D77)),"",IF($D77&lt;InicioCiclo,"Antes del ciclo",IF($D77&gt;=InicioCiclo+28,"Después del ciclo","Semana "&amp;(INT(($D77-InicioCiclo)/7)+1)))))</f>
        <v/>
      </c>
      <c r="F77" s="61">
        <f>IF($N77="","",IF($P77&gt;0,IF(1&lt;=SemanaActual,INDEX('Cronograma Asistente Técnico'!$AC$5:$AC$1000,$N77),""),IF(INDEX('Cronograma Asistente Técnico'!$I$5:$I$1000,$N77)="","",INDEX('Cronograma Asistente Técnico'!$I$5:$I$1000,$N77))))</f>
        <v/>
      </c>
      <c r="G77" s="61">
        <f>IF($N77="","",IF($P77&gt;0,IF(2&lt;=SemanaActual,INDEX('Cronograma Asistente Técnico'!$AD$5:$AD$1000,$N77),""),IF(INDEX('Cronograma Asistente Técnico'!$J$5:$J$1000,$N77)="","",INDEX('Cronograma Asistente Técnico'!$J$5:$J$1000,$N77))))</f>
        <v/>
      </c>
      <c r="H77" s="61">
        <f>IF($N77="","",IF($P77&gt;0,IF(3&lt;=SemanaActual,INDEX('Cronograma Asistente Técnico'!$AE$5:$AE$1000,$N77),""),IF(INDEX('Cronograma Asistente Técnico'!$K$5:$K$1000,$N77)="","",INDEX('Cronograma Asistente Técnico'!$K$5:$K$1000,$N77))))</f>
        <v/>
      </c>
      <c r="I77" s="61">
        <f>IF($N77="","",IF($P77&gt;0,IF(4&lt;=SemanaActual,INDEX('Cronograma Asistente Técnico'!$AF$5:$AF$1000,$N77),""),IF(INDEX('Cronograma Asistente Técnico'!$L$5:$L$1000,$N77)="","",INDEX('Cronograma Asistente Técnico'!$L$5:$L$1000,$N77))))</f>
        <v/>
      </c>
      <c r="J77" s="61">
        <f>IF($N77="","",INDEX('Cronograma Asistente Técnico'!$M$5:$M$1000,$N77))</f>
        <v/>
      </c>
      <c r="K77" s="56">
        <f>IF($N77="","",IF(N($J77)&gt;=1,"Completado",IF(AND(ISNUMBER($D77),$D77&lt;FechaRef),"Vencida",IF(N($J77)&gt;0,"En curso","Pendiente"))))</f>
        <v/>
      </c>
      <c r="L77" s="56">
        <f>IF($N77="","",INDEX('Cronograma Asistente Técnico'!$O$5:$O$1000,$N77)&amp;"")</f>
        <v/>
      </c>
      <c r="M77" s="62">
        <f>IF($N77="","",INDEX('Cronograma Asistente Técnico'!$Q$5:$Q$1000,$N77)&amp;"")</f>
        <v/>
      </c>
      <c r="N77">
        <f>IFERROR(MATCH(ROW()-4,rOrden_ATR,0),"")</f>
        <v/>
      </c>
      <c r="O77">
        <f>IF($N77="","",INDEX('Cronograma Asistente Técnico'!$V$5:$V$1000,$N77))</f>
        <v/>
      </c>
      <c r="P77">
        <f>IF($N77="","",N(INDEX('Cronograma Asistente Técnico'!$W$5:$W$1000,$N77)))</f>
        <v/>
      </c>
      <c r="Q77">
        <f>IF(OR(LEFT($L77,7)="Vencida",LEFT($L77,5)="Vence"),SUMPRODUCT(--(LEFT($L$5:$L77,7)="Vencida"))+SUMPRODUCT(--(LEFT($L$5:$L77,5)="Vence")),"")</f>
        <v/>
      </c>
    </row>
    <row r="78">
      <c r="A78" s="56">
        <f>IF($N78="","",INDEX('Cronograma Asistente Técnico'!$A$5:$A$1000,$N78))</f>
        <v/>
      </c>
      <c r="B78" s="62">
        <f>IF($N78="","",IF($O78="Sub","      ↳  "&amp;INDEX('Cronograma Asistente Técnico'!$C$5:$C$1000,$N78),INDEX('Cronograma Asistente Técnico'!$C$5:$C$1000,$N78)&amp;""))</f>
        <v/>
      </c>
      <c r="C78" s="79">
        <f>IF($N78="","",IF(INDEX('Cronograma Asistente Técnico'!$AM$5:$AM$1000,$N78)="","",INDEX('Cronograma Asistente Técnico'!$AM$5:$AM$1000,$N78)))</f>
        <v/>
      </c>
      <c r="D78" s="79">
        <f>IF($N78="","",IF(INDEX('Cronograma Asistente Técnico'!$AN$5:$AN$1000,$N78)="","",INDEX('Cronograma Asistente Técnico'!$AN$5:$AN$1000,$N78)))</f>
        <v/>
      </c>
      <c r="E78" s="56">
        <f>IF($N78="","",IF(NOT(ISNUMBER($D78)),"",IF($D78&lt;InicioCiclo,"Antes del ciclo",IF($D78&gt;=InicioCiclo+28,"Después del ciclo","Semana "&amp;(INT(($D78-InicioCiclo)/7)+1)))))</f>
        <v/>
      </c>
      <c r="F78" s="61">
        <f>IF($N78="","",IF($P78&gt;0,IF(1&lt;=SemanaActual,INDEX('Cronograma Asistente Técnico'!$AC$5:$AC$1000,$N78),""),IF(INDEX('Cronograma Asistente Técnico'!$I$5:$I$1000,$N78)="","",INDEX('Cronograma Asistente Técnico'!$I$5:$I$1000,$N78))))</f>
        <v/>
      </c>
      <c r="G78" s="61">
        <f>IF($N78="","",IF($P78&gt;0,IF(2&lt;=SemanaActual,INDEX('Cronograma Asistente Técnico'!$AD$5:$AD$1000,$N78),""),IF(INDEX('Cronograma Asistente Técnico'!$J$5:$J$1000,$N78)="","",INDEX('Cronograma Asistente Técnico'!$J$5:$J$1000,$N78))))</f>
        <v/>
      </c>
      <c r="H78" s="61">
        <f>IF($N78="","",IF($P78&gt;0,IF(3&lt;=SemanaActual,INDEX('Cronograma Asistente Técnico'!$AE$5:$AE$1000,$N78),""),IF(INDEX('Cronograma Asistente Técnico'!$K$5:$K$1000,$N78)="","",INDEX('Cronograma Asistente Técnico'!$K$5:$K$1000,$N78))))</f>
        <v/>
      </c>
      <c r="I78" s="61">
        <f>IF($N78="","",IF($P78&gt;0,IF(4&lt;=SemanaActual,INDEX('Cronograma Asistente Técnico'!$AF$5:$AF$1000,$N78),""),IF(INDEX('Cronograma Asistente Técnico'!$L$5:$L$1000,$N78)="","",INDEX('Cronograma Asistente Técnico'!$L$5:$L$1000,$N78))))</f>
        <v/>
      </c>
      <c r="J78" s="61">
        <f>IF($N78="","",INDEX('Cronograma Asistente Técnico'!$M$5:$M$1000,$N78))</f>
        <v/>
      </c>
      <c r="K78" s="56">
        <f>IF($N78="","",IF(N($J78)&gt;=1,"Completado",IF(AND(ISNUMBER($D78),$D78&lt;FechaRef),"Vencida",IF(N($J78)&gt;0,"En curso","Pendiente"))))</f>
        <v/>
      </c>
      <c r="L78" s="56">
        <f>IF($N78="","",INDEX('Cronograma Asistente Técnico'!$O$5:$O$1000,$N78)&amp;"")</f>
        <v/>
      </c>
      <c r="M78" s="62">
        <f>IF($N78="","",INDEX('Cronograma Asistente Técnico'!$Q$5:$Q$1000,$N78)&amp;"")</f>
        <v/>
      </c>
      <c r="N78">
        <f>IFERROR(MATCH(ROW()-4,rOrden_ATR,0),"")</f>
        <v/>
      </c>
      <c r="O78">
        <f>IF($N78="","",INDEX('Cronograma Asistente Técnico'!$V$5:$V$1000,$N78))</f>
        <v/>
      </c>
      <c r="P78">
        <f>IF($N78="","",N(INDEX('Cronograma Asistente Técnico'!$W$5:$W$1000,$N78)))</f>
        <v/>
      </c>
      <c r="Q78">
        <f>IF(OR(LEFT($L78,7)="Vencida",LEFT($L78,5)="Vence"),SUMPRODUCT(--(LEFT($L$5:$L78,7)="Vencida"))+SUMPRODUCT(--(LEFT($L$5:$L78,5)="Vence")),"")</f>
        <v/>
      </c>
    </row>
    <row r="79">
      <c r="A79" s="56">
        <f>IF($N79="","",INDEX('Cronograma Asistente Técnico'!$A$5:$A$1000,$N79))</f>
        <v/>
      </c>
      <c r="B79" s="62">
        <f>IF($N79="","",IF($O79="Sub","      ↳  "&amp;INDEX('Cronograma Asistente Técnico'!$C$5:$C$1000,$N79),INDEX('Cronograma Asistente Técnico'!$C$5:$C$1000,$N79)&amp;""))</f>
        <v/>
      </c>
      <c r="C79" s="79">
        <f>IF($N79="","",IF(INDEX('Cronograma Asistente Técnico'!$AM$5:$AM$1000,$N79)="","",INDEX('Cronograma Asistente Técnico'!$AM$5:$AM$1000,$N79)))</f>
        <v/>
      </c>
      <c r="D79" s="79">
        <f>IF($N79="","",IF(INDEX('Cronograma Asistente Técnico'!$AN$5:$AN$1000,$N79)="","",INDEX('Cronograma Asistente Técnico'!$AN$5:$AN$1000,$N79)))</f>
        <v/>
      </c>
      <c r="E79" s="56">
        <f>IF($N79="","",IF(NOT(ISNUMBER($D79)),"",IF($D79&lt;InicioCiclo,"Antes del ciclo",IF($D79&gt;=InicioCiclo+28,"Después del ciclo","Semana "&amp;(INT(($D79-InicioCiclo)/7)+1)))))</f>
        <v/>
      </c>
      <c r="F79" s="61">
        <f>IF($N79="","",IF($P79&gt;0,IF(1&lt;=SemanaActual,INDEX('Cronograma Asistente Técnico'!$AC$5:$AC$1000,$N79),""),IF(INDEX('Cronograma Asistente Técnico'!$I$5:$I$1000,$N79)="","",INDEX('Cronograma Asistente Técnico'!$I$5:$I$1000,$N79))))</f>
        <v/>
      </c>
      <c r="G79" s="61">
        <f>IF($N79="","",IF($P79&gt;0,IF(2&lt;=SemanaActual,INDEX('Cronograma Asistente Técnico'!$AD$5:$AD$1000,$N79),""),IF(INDEX('Cronograma Asistente Técnico'!$J$5:$J$1000,$N79)="","",INDEX('Cronograma Asistente Técnico'!$J$5:$J$1000,$N79))))</f>
        <v/>
      </c>
      <c r="H79" s="61">
        <f>IF($N79="","",IF($P79&gt;0,IF(3&lt;=SemanaActual,INDEX('Cronograma Asistente Técnico'!$AE$5:$AE$1000,$N79),""),IF(INDEX('Cronograma Asistente Técnico'!$K$5:$K$1000,$N79)="","",INDEX('Cronograma Asistente Técnico'!$K$5:$K$1000,$N79))))</f>
        <v/>
      </c>
      <c r="I79" s="61">
        <f>IF($N79="","",IF($P79&gt;0,IF(4&lt;=SemanaActual,INDEX('Cronograma Asistente Técnico'!$AF$5:$AF$1000,$N79),""),IF(INDEX('Cronograma Asistente Técnico'!$L$5:$L$1000,$N79)="","",INDEX('Cronograma Asistente Técnico'!$L$5:$L$1000,$N79))))</f>
        <v/>
      </c>
      <c r="J79" s="61">
        <f>IF($N79="","",INDEX('Cronograma Asistente Técnico'!$M$5:$M$1000,$N79))</f>
        <v/>
      </c>
      <c r="K79" s="56">
        <f>IF($N79="","",IF(N($J79)&gt;=1,"Completado",IF(AND(ISNUMBER($D79),$D79&lt;FechaRef),"Vencida",IF(N($J79)&gt;0,"En curso","Pendiente"))))</f>
        <v/>
      </c>
      <c r="L79" s="56">
        <f>IF($N79="","",INDEX('Cronograma Asistente Técnico'!$O$5:$O$1000,$N79)&amp;"")</f>
        <v/>
      </c>
      <c r="M79" s="62">
        <f>IF($N79="","",INDEX('Cronograma Asistente Técnico'!$Q$5:$Q$1000,$N79)&amp;"")</f>
        <v/>
      </c>
      <c r="N79">
        <f>IFERROR(MATCH(ROW()-4,rOrden_ATR,0),"")</f>
        <v/>
      </c>
      <c r="O79">
        <f>IF($N79="","",INDEX('Cronograma Asistente Técnico'!$V$5:$V$1000,$N79))</f>
        <v/>
      </c>
      <c r="P79">
        <f>IF($N79="","",N(INDEX('Cronograma Asistente Técnico'!$W$5:$W$1000,$N79)))</f>
        <v/>
      </c>
      <c r="Q79">
        <f>IF(OR(LEFT($L79,7)="Vencida",LEFT($L79,5)="Vence"),SUMPRODUCT(--(LEFT($L$5:$L79,7)="Vencida"))+SUMPRODUCT(--(LEFT($L$5:$L79,5)="Vence")),"")</f>
        <v/>
      </c>
    </row>
    <row r="80">
      <c r="A80" s="56">
        <f>IF($N80="","",INDEX('Cronograma Asistente Técnico'!$A$5:$A$1000,$N80))</f>
        <v/>
      </c>
      <c r="B80" s="62">
        <f>IF($N80="","",IF($O80="Sub","      ↳  "&amp;INDEX('Cronograma Asistente Técnico'!$C$5:$C$1000,$N80),INDEX('Cronograma Asistente Técnico'!$C$5:$C$1000,$N80)&amp;""))</f>
        <v/>
      </c>
      <c r="C80" s="79">
        <f>IF($N80="","",IF(INDEX('Cronograma Asistente Técnico'!$AM$5:$AM$1000,$N80)="","",INDEX('Cronograma Asistente Técnico'!$AM$5:$AM$1000,$N80)))</f>
        <v/>
      </c>
      <c r="D80" s="79">
        <f>IF($N80="","",IF(INDEX('Cronograma Asistente Técnico'!$AN$5:$AN$1000,$N80)="","",INDEX('Cronograma Asistente Técnico'!$AN$5:$AN$1000,$N80)))</f>
        <v/>
      </c>
      <c r="E80" s="56">
        <f>IF($N80="","",IF(NOT(ISNUMBER($D80)),"",IF($D80&lt;InicioCiclo,"Antes del ciclo",IF($D80&gt;=InicioCiclo+28,"Después del ciclo","Semana "&amp;(INT(($D80-InicioCiclo)/7)+1)))))</f>
        <v/>
      </c>
      <c r="F80" s="61">
        <f>IF($N80="","",IF($P80&gt;0,IF(1&lt;=SemanaActual,INDEX('Cronograma Asistente Técnico'!$AC$5:$AC$1000,$N80),""),IF(INDEX('Cronograma Asistente Técnico'!$I$5:$I$1000,$N80)="","",INDEX('Cronograma Asistente Técnico'!$I$5:$I$1000,$N80))))</f>
        <v/>
      </c>
      <c r="G80" s="61">
        <f>IF($N80="","",IF($P80&gt;0,IF(2&lt;=SemanaActual,INDEX('Cronograma Asistente Técnico'!$AD$5:$AD$1000,$N80),""),IF(INDEX('Cronograma Asistente Técnico'!$J$5:$J$1000,$N80)="","",INDEX('Cronograma Asistente Técnico'!$J$5:$J$1000,$N80))))</f>
        <v/>
      </c>
      <c r="H80" s="61">
        <f>IF($N80="","",IF($P80&gt;0,IF(3&lt;=SemanaActual,INDEX('Cronograma Asistente Técnico'!$AE$5:$AE$1000,$N80),""),IF(INDEX('Cronograma Asistente Técnico'!$K$5:$K$1000,$N80)="","",INDEX('Cronograma Asistente Técnico'!$K$5:$K$1000,$N80))))</f>
        <v/>
      </c>
      <c r="I80" s="61">
        <f>IF($N80="","",IF($P80&gt;0,IF(4&lt;=SemanaActual,INDEX('Cronograma Asistente Técnico'!$AF$5:$AF$1000,$N80),""),IF(INDEX('Cronograma Asistente Técnico'!$L$5:$L$1000,$N80)="","",INDEX('Cronograma Asistente Técnico'!$L$5:$L$1000,$N80))))</f>
        <v/>
      </c>
      <c r="J80" s="61">
        <f>IF($N80="","",INDEX('Cronograma Asistente Técnico'!$M$5:$M$1000,$N80))</f>
        <v/>
      </c>
      <c r="K80" s="56">
        <f>IF($N80="","",IF(N($J80)&gt;=1,"Completado",IF(AND(ISNUMBER($D80),$D80&lt;FechaRef),"Vencida",IF(N($J80)&gt;0,"En curso","Pendiente"))))</f>
        <v/>
      </c>
      <c r="L80" s="56">
        <f>IF($N80="","",INDEX('Cronograma Asistente Técnico'!$O$5:$O$1000,$N80)&amp;"")</f>
        <v/>
      </c>
      <c r="M80" s="62">
        <f>IF($N80="","",INDEX('Cronograma Asistente Técnico'!$Q$5:$Q$1000,$N80)&amp;"")</f>
        <v/>
      </c>
      <c r="N80">
        <f>IFERROR(MATCH(ROW()-4,rOrden_ATR,0),"")</f>
        <v/>
      </c>
      <c r="O80">
        <f>IF($N80="","",INDEX('Cronograma Asistente Técnico'!$V$5:$V$1000,$N80))</f>
        <v/>
      </c>
      <c r="P80">
        <f>IF($N80="","",N(INDEX('Cronograma Asistente Técnico'!$W$5:$W$1000,$N80)))</f>
        <v/>
      </c>
      <c r="Q80">
        <f>IF(OR(LEFT($L80,7)="Vencida",LEFT($L80,5)="Vence"),SUMPRODUCT(--(LEFT($L$5:$L80,7)="Vencida"))+SUMPRODUCT(--(LEFT($L$5:$L80,5)="Vence")),"")</f>
        <v/>
      </c>
    </row>
    <row r="81">
      <c r="A81" s="56">
        <f>IF($N81="","",INDEX('Cronograma Asistente Técnico'!$A$5:$A$1000,$N81))</f>
        <v/>
      </c>
      <c r="B81" s="62">
        <f>IF($N81="","",IF($O81="Sub","      ↳  "&amp;INDEX('Cronograma Asistente Técnico'!$C$5:$C$1000,$N81),INDEX('Cronograma Asistente Técnico'!$C$5:$C$1000,$N81)&amp;""))</f>
        <v/>
      </c>
      <c r="C81" s="79">
        <f>IF($N81="","",IF(INDEX('Cronograma Asistente Técnico'!$AM$5:$AM$1000,$N81)="","",INDEX('Cronograma Asistente Técnico'!$AM$5:$AM$1000,$N81)))</f>
        <v/>
      </c>
      <c r="D81" s="79">
        <f>IF($N81="","",IF(INDEX('Cronograma Asistente Técnico'!$AN$5:$AN$1000,$N81)="","",INDEX('Cronograma Asistente Técnico'!$AN$5:$AN$1000,$N81)))</f>
        <v/>
      </c>
      <c r="E81" s="56">
        <f>IF($N81="","",IF(NOT(ISNUMBER($D81)),"",IF($D81&lt;InicioCiclo,"Antes del ciclo",IF($D81&gt;=InicioCiclo+28,"Después del ciclo","Semana "&amp;(INT(($D81-InicioCiclo)/7)+1)))))</f>
        <v/>
      </c>
      <c r="F81" s="61">
        <f>IF($N81="","",IF($P81&gt;0,IF(1&lt;=SemanaActual,INDEX('Cronograma Asistente Técnico'!$AC$5:$AC$1000,$N81),""),IF(INDEX('Cronograma Asistente Técnico'!$I$5:$I$1000,$N81)="","",INDEX('Cronograma Asistente Técnico'!$I$5:$I$1000,$N81))))</f>
        <v/>
      </c>
      <c r="G81" s="61">
        <f>IF($N81="","",IF($P81&gt;0,IF(2&lt;=SemanaActual,INDEX('Cronograma Asistente Técnico'!$AD$5:$AD$1000,$N81),""),IF(INDEX('Cronograma Asistente Técnico'!$J$5:$J$1000,$N81)="","",INDEX('Cronograma Asistente Técnico'!$J$5:$J$1000,$N81))))</f>
        <v/>
      </c>
      <c r="H81" s="61">
        <f>IF($N81="","",IF($P81&gt;0,IF(3&lt;=SemanaActual,INDEX('Cronograma Asistente Técnico'!$AE$5:$AE$1000,$N81),""),IF(INDEX('Cronograma Asistente Técnico'!$K$5:$K$1000,$N81)="","",INDEX('Cronograma Asistente Técnico'!$K$5:$K$1000,$N81))))</f>
        <v/>
      </c>
      <c r="I81" s="61">
        <f>IF($N81="","",IF($P81&gt;0,IF(4&lt;=SemanaActual,INDEX('Cronograma Asistente Técnico'!$AF$5:$AF$1000,$N81),""),IF(INDEX('Cronograma Asistente Técnico'!$L$5:$L$1000,$N81)="","",INDEX('Cronograma Asistente Técnico'!$L$5:$L$1000,$N81))))</f>
        <v/>
      </c>
      <c r="J81" s="61">
        <f>IF($N81="","",INDEX('Cronograma Asistente Técnico'!$M$5:$M$1000,$N81))</f>
        <v/>
      </c>
      <c r="K81" s="56">
        <f>IF($N81="","",IF(N($J81)&gt;=1,"Completado",IF(AND(ISNUMBER($D81),$D81&lt;FechaRef),"Vencida",IF(N($J81)&gt;0,"En curso","Pendiente"))))</f>
        <v/>
      </c>
      <c r="L81" s="56">
        <f>IF($N81="","",INDEX('Cronograma Asistente Técnico'!$O$5:$O$1000,$N81)&amp;"")</f>
        <v/>
      </c>
      <c r="M81" s="62">
        <f>IF($N81="","",INDEX('Cronograma Asistente Técnico'!$Q$5:$Q$1000,$N81)&amp;"")</f>
        <v/>
      </c>
      <c r="N81">
        <f>IFERROR(MATCH(ROW()-4,rOrden_ATR,0),"")</f>
        <v/>
      </c>
      <c r="O81">
        <f>IF($N81="","",INDEX('Cronograma Asistente Técnico'!$V$5:$V$1000,$N81))</f>
        <v/>
      </c>
      <c r="P81">
        <f>IF($N81="","",N(INDEX('Cronograma Asistente Técnico'!$W$5:$W$1000,$N81)))</f>
        <v/>
      </c>
      <c r="Q81">
        <f>IF(OR(LEFT($L81,7)="Vencida",LEFT($L81,5)="Vence"),SUMPRODUCT(--(LEFT($L$5:$L81,7)="Vencida"))+SUMPRODUCT(--(LEFT($L$5:$L81,5)="Vence")),"")</f>
        <v/>
      </c>
    </row>
    <row r="82">
      <c r="A82" s="56">
        <f>IF($N82="","",INDEX('Cronograma Asistente Técnico'!$A$5:$A$1000,$N82))</f>
        <v/>
      </c>
      <c r="B82" s="62">
        <f>IF($N82="","",IF($O82="Sub","      ↳  "&amp;INDEX('Cronograma Asistente Técnico'!$C$5:$C$1000,$N82),INDEX('Cronograma Asistente Técnico'!$C$5:$C$1000,$N82)&amp;""))</f>
        <v/>
      </c>
      <c r="C82" s="79">
        <f>IF($N82="","",IF(INDEX('Cronograma Asistente Técnico'!$AM$5:$AM$1000,$N82)="","",INDEX('Cronograma Asistente Técnico'!$AM$5:$AM$1000,$N82)))</f>
        <v/>
      </c>
      <c r="D82" s="79">
        <f>IF($N82="","",IF(INDEX('Cronograma Asistente Técnico'!$AN$5:$AN$1000,$N82)="","",INDEX('Cronograma Asistente Técnico'!$AN$5:$AN$1000,$N82)))</f>
        <v/>
      </c>
      <c r="E82" s="56">
        <f>IF($N82="","",IF(NOT(ISNUMBER($D82)),"",IF($D82&lt;InicioCiclo,"Antes del ciclo",IF($D82&gt;=InicioCiclo+28,"Después del ciclo","Semana "&amp;(INT(($D82-InicioCiclo)/7)+1)))))</f>
        <v/>
      </c>
      <c r="F82" s="61">
        <f>IF($N82="","",IF($P82&gt;0,IF(1&lt;=SemanaActual,INDEX('Cronograma Asistente Técnico'!$AC$5:$AC$1000,$N82),""),IF(INDEX('Cronograma Asistente Técnico'!$I$5:$I$1000,$N82)="","",INDEX('Cronograma Asistente Técnico'!$I$5:$I$1000,$N82))))</f>
        <v/>
      </c>
      <c r="G82" s="61">
        <f>IF($N82="","",IF($P82&gt;0,IF(2&lt;=SemanaActual,INDEX('Cronograma Asistente Técnico'!$AD$5:$AD$1000,$N82),""),IF(INDEX('Cronograma Asistente Técnico'!$J$5:$J$1000,$N82)="","",INDEX('Cronograma Asistente Técnico'!$J$5:$J$1000,$N82))))</f>
        <v/>
      </c>
      <c r="H82" s="61">
        <f>IF($N82="","",IF($P82&gt;0,IF(3&lt;=SemanaActual,INDEX('Cronograma Asistente Técnico'!$AE$5:$AE$1000,$N82),""),IF(INDEX('Cronograma Asistente Técnico'!$K$5:$K$1000,$N82)="","",INDEX('Cronograma Asistente Técnico'!$K$5:$K$1000,$N82))))</f>
        <v/>
      </c>
      <c r="I82" s="61">
        <f>IF($N82="","",IF($P82&gt;0,IF(4&lt;=SemanaActual,INDEX('Cronograma Asistente Técnico'!$AF$5:$AF$1000,$N82),""),IF(INDEX('Cronograma Asistente Técnico'!$L$5:$L$1000,$N82)="","",INDEX('Cronograma Asistente Técnico'!$L$5:$L$1000,$N82))))</f>
        <v/>
      </c>
      <c r="J82" s="61">
        <f>IF($N82="","",INDEX('Cronograma Asistente Técnico'!$M$5:$M$1000,$N82))</f>
        <v/>
      </c>
      <c r="K82" s="56">
        <f>IF($N82="","",IF(N($J82)&gt;=1,"Completado",IF(AND(ISNUMBER($D82),$D82&lt;FechaRef),"Vencida",IF(N($J82)&gt;0,"En curso","Pendiente"))))</f>
        <v/>
      </c>
      <c r="L82" s="56">
        <f>IF($N82="","",INDEX('Cronograma Asistente Técnico'!$O$5:$O$1000,$N82)&amp;"")</f>
        <v/>
      </c>
      <c r="M82" s="62">
        <f>IF($N82="","",INDEX('Cronograma Asistente Técnico'!$Q$5:$Q$1000,$N82)&amp;"")</f>
        <v/>
      </c>
      <c r="N82">
        <f>IFERROR(MATCH(ROW()-4,rOrden_ATR,0),"")</f>
        <v/>
      </c>
      <c r="O82">
        <f>IF($N82="","",INDEX('Cronograma Asistente Técnico'!$V$5:$V$1000,$N82))</f>
        <v/>
      </c>
      <c r="P82">
        <f>IF($N82="","",N(INDEX('Cronograma Asistente Técnico'!$W$5:$W$1000,$N82)))</f>
        <v/>
      </c>
      <c r="Q82">
        <f>IF(OR(LEFT($L82,7)="Vencida",LEFT($L82,5)="Vence"),SUMPRODUCT(--(LEFT($L$5:$L82,7)="Vencida"))+SUMPRODUCT(--(LEFT($L$5:$L82,5)="Vence")),"")</f>
        <v/>
      </c>
    </row>
    <row r="83">
      <c r="A83" s="56">
        <f>IF($N83="","",INDEX('Cronograma Asistente Técnico'!$A$5:$A$1000,$N83))</f>
        <v/>
      </c>
      <c r="B83" s="62">
        <f>IF($N83="","",IF($O83="Sub","      ↳  "&amp;INDEX('Cronograma Asistente Técnico'!$C$5:$C$1000,$N83),INDEX('Cronograma Asistente Técnico'!$C$5:$C$1000,$N83)&amp;""))</f>
        <v/>
      </c>
      <c r="C83" s="79">
        <f>IF($N83="","",IF(INDEX('Cronograma Asistente Técnico'!$AM$5:$AM$1000,$N83)="","",INDEX('Cronograma Asistente Técnico'!$AM$5:$AM$1000,$N83)))</f>
        <v/>
      </c>
      <c r="D83" s="79">
        <f>IF($N83="","",IF(INDEX('Cronograma Asistente Técnico'!$AN$5:$AN$1000,$N83)="","",INDEX('Cronograma Asistente Técnico'!$AN$5:$AN$1000,$N83)))</f>
        <v/>
      </c>
      <c r="E83" s="56">
        <f>IF($N83="","",IF(NOT(ISNUMBER($D83)),"",IF($D83&lt;InicioCiclo,"Antes del ciclo",IF($D83&gt;=InicioCiclo+28,"Después del ciclo","Semana "&amp;(INT(($D83-InicioCiclo)/7)+1)))))</f>
        <v/>
      </c>
      <c r="F83" s="61">
        <f>IF($N83="","",IF($P83&gt;0,IF(1&lt;=SemanaActual,INDEX('Cronograma Asistente Técnico'!$AC$5:$AC$1000,$N83),""),IF(INDEX('Cronograma Asistente Técnico'!$I$5:$I$1000,$N83)="","",INDEX('Cronograma Asistente Técnico'!$I$5:$I$1000,$N83))))</f>
        <v/>
      </c>
      <c r="G83" s="61">
        <f>IF($N83="","",IF($P83&gt;0,IF(2&lt;=SemanaActual,INDEX('Cronograma Asistente Técnico'!$AD$5:$AD$1000,$N83),""),IF(INDEX('Cronograma Asistente Técnico'!$J$5:$J$1000,$N83)="","",INDEX('Cronograma Asistente Técnico'!$J$5:$J$1000,$N83))))</f>
        <v/>
      </c>
      <c r="H83" s="61">
        <f>IF($N83="","",IF($P83&gt;0,IF(3&lt;=SemanaActual,INDEX('Cronograma Asistente Técnico'!$AE$5:$AE$1000,$N83),""),IF(INDEX('Cronograma Asistente Técnico'!$K$5:$K$1000,$N83)="","",INDEX('Cronograma Asistente Técnico'!$K$5:$K$1000,$N83))))</f>
        <v/>
      </c>
      <c r="I83" s="61">
        <f>IF($N83="","",IF($P83&gt;0,IF(4&lt;=SemanaActual,INDEX('Cronograma Asistente Técnico'!$AF$5:$AF$1000,$N83),""),IF(INDEX('Cronograma Asistente Técnico'!$L$5:$L$1000,$N83)="","",INDEX('Cronograma Asistente Técnico'!$L$5:$L$1000,$N83))))</f>
        <v/>
      </c>
      <c r="J83" s="61">
        <f>IF($N83="","",INDEX('Cronograma Asistente Técnico'!$M$5:$M$1000,$N83))</f>
        <v/>
      </c>
      <c r="K83" s="56">
        <f>IF($N83="","",IF(N($J83)&gt;=1,"Completado",IF(AND(ISNUMBER($D83),$D83&lt;FechaRef),"Vencida",IF(N($J83)&gt;0,"En curso","Pendiente"))))</f>
        <v/>
      </c>
      <c r="L83" s="56">
        <f>IF($N83="","",INDEX('Cronograma Asistente Técnico'!$O$5:$O$1000,$N83)&amp;"")</f>
        <v/>
      </c>
      <c r="M83" s="62">
        <f>IF($N83="","",INDEX('Cronograma Asistente Técnico'!$Q$5:$Q$1000,$N83)&amp;"")</f>
        <v/>
      </c>
      <c r="N83">
        <f>IFERROR(MATCH(ROW()-4,rOrden_ATR,0),"")</f>
        <v/>
      </c>
      <c r="O83">
        <f>IF($N83="","",INDEX('Cronograma Asistente Técnico'!$V$5:$V$1000,$N83))</f>
        <v/>
      </c>
      <c r="P83">
        <f>IF($N83="","",N(INDEX('Cronograma Asistente Técnico'!$W$5:$W$1000,$N83)))</f>
        <v/>
      </c>
      <c r="Q83">
        <f>IF(OR(LEFT($L83,7)="Vencida",LEFT($L83,5)="Vence"),SUMPRODUCT(--(LEFT($L$5:$L83,7)="Vencida"))+SUMPRODUCT(--(LEFT($L$5:$L83,5)="Vence")),"")</f>
        <v/>
      </c>
    </row>
    <row r="84">
      <c r="A84" s="56">
        <f>IF($N84="","",INDEX('Cronograma Asistente Técnico'!$A$5:$A$1000,$N84))</f>
        <v/>
      </c>
      <c r="B84" s="62">
        <f>IF($N84="","",IF($O84="Sub","      ↳  "&amp;INDEX('Cronograma Asistente Técnico'!$C$5:$C$1000,$N84),INDEX('Cronograma Asistente Técnico'!$C$5:$C$1000,$N84)&amp;""))</f>
        <v/>
      </c>
      <c r="C84" s="79">
        <f>IF($N84="","",IF(INDEX('Cronograma Asistente Técnico'!$AM$5:$AM$1000,$N84)="","",INDEX('Cronograma Asistente Técnico'!$AM$5:$AM$1000,$N84)))</f>
        <v/>
      </c>
      <c r="D84" s="79">
        <f>IF($N84="","",IF(INDEX('Cronograma Asistente Técnico'!$AN$5:$AN$1000,$N84)="","",INDEX('Cronograma Asistente Técnico'!$AN$5:$AN$1000,$N84)))</f>
        <v/>
      </c>
      <c r="E84" s="56">
        <f>IF($N84="","",IF(NOT(ISNUMBER($D84)),"",IF($D84&lt;InicioCiclo,"Antes del ciclo",IF($D84&gt;=InicioCiclo+28,"Después del ciclo","Semana "&amp;(INT(($D84-InicioCiclo)/7)+1)))))</f>
        <v/>
      </c>
      <c r="F84" s="61">
        <f>IF($N84="","",IF($P84&gt;0,IF(1&lt;=SemanaActual,INDEX('Cronograma Asistente Técnico'!$AC$5:$AC$1000,$N84),""),IF(INDEX('Cronograma Asistente Técnico'!$I$5:$I$1000,$N84)="","",INDEX('Cronograma Asistente Técnico'!$I$5:$I$1000,$N84))))</f>
        <v/>
      </c>
      <c r="G84" s="61">
        <f>IF($N84="","",IF($P84&gt;0,IF(2&lt;=SemanaActual,INDEX('Cronograma Asistente Técnico'!$AD$5:$AD$1000,$N84),""),IF(INDEX('Cronograma Asistente Técnico'!$J$5:$J$1000,$N84)="","",INDEX('Cronograma Asistente Técnico'!$J$5:$J$1000,$N84))))</f>
        <v/>
      </c>
      <c r="H84" s="61">
        <f>IF($N84="","",IF($P84&gt;0,IF(3&lt;=SemanaActual,INDEX('Cronograma Asistente Técnico'!$AE$5:$AE$1000,$N84),""),IF(INDEX('Cronograma Asistente Técnico'!$K$5:$K$1000,$N84)="","",INDEX('Cronograma Asistente Técnico'!$K$5:$K$1000,$N84))))</f>
        <v/>
      </c>
      <c r="I84" s="61">
        <f>IF($N84="","",IF($P84&gt;0,IF(4&lt;=SemanaActual,INDEX('Cronograma Asistente Técnico'!$AF$5:$AF$1000,$N84),""),IF(INDEX('Cronograma Asistente Técnico'!$L$5:$L$1000,$N84)="","",INDEX('Cronograma Asistente Técnico'!$L$5:$L$1000,$N84))))</f>
        <v/>
      </c>
      <c r="J84" s="61">
        <f>IF($N84="","",INDEX('Cronograma Asistente Técnico'!$M$5:$M$1000,$N84))</f>
        <v/>
      </c>
      <c r="K84" s="56">
        <f>IF($N84="","",IF(N($J84)&gt;=1,"Completado",IF(AND(ISNUMBER($D84),$D84&lt;FechaRef),"Vencida",IF(N($J84)&gt;0,"En curso","Pendiente"))))</f>
        <v/>
      </c>
      <c r="L84" s="56">
        <f>IF($N84="","",INDEX('Cronograma Asistente Técnico'!$O$5:$O$1000,$N84)&amp;"")</f>
        <v/>
      </c>
      <c r="M84" s="62">
        <f>IF($N84="","",INDEX('Cronograma Asistente Técnico'!$Q$5:$Q$1000,$N84)&amp;"")</f>
        <v/>
      </c>
      <c r="N84">
        <f>IFERROR(MATCH(ROW()-4,rOrden_ATR,0),"")</f>
        <v/>
      </c>
      <c r="O84">
        <f>IF($N84="","",INDEX('Cronograma Asistente Técnico'!$V$5:$V$1000,$N84))</f>
        <v/>
      </c>
      <c r="P84">
        <f>IF($N84="","",N(INDEX('Cronograma Asistente Técnico'!$W$5:$W$1000,$N84)))</f>
        <v/>
      </c>
      <c r="Q84">
        <f>IF(OR(LEFT($L84,7)="Vencida",LEFT($L84,5)="Vence"),SUMPRODUCT(--(LEFT($L$5:$L84,7)="Vencida"))+SUMPRODUCT(--(LEFT($L$5:$L84,5)="Vence")),"")</f>
        <v/>
      </c>
    </row>
    <row r="85">
      <c r="A85" s="56">
        <f>IF($N85="","",INDEX('Cronograma Asistente Técnico'!$A$5:$A$1000,$N85))</f>
        <v/>
      </c>
      <c r="B85" s="62">
        <f>IF($N85="","",IF($O85="Sub","      ↳  "&amp;INDEX('Cronograma Asistente Técnico'!$C$5:$C$1000,$N85),INDEX('Cronograma Asistente Técnico'!$C$5:$C$1000,$N85)&amp;""))</f>
        <v/>
      </c>
      <c r="C85" s="79">
        <f>IF($N85="","",IF(INDEX('Cronograma Asistente Técnico'!$AM$5:$AM$1000,$N85)="","",INDEX('Cronograma Asistente Técnico'!$AM$5:$AM$1000,$N85)))</f>
        <v/>
      </c>
      <c r="D85" s="79">
        <f>IF($N85="","",IF(INDEX('Cronograma Asistente Técnico'!$AN$5:$AN$1000,$N85)="","",INDEX('Cronograma Asistente Técnico'!$AN$5:$AN$1000,$N85)))</f>
        <v/>
      </c>
      <c r="E85" s="56">
        <f>IF($N85="","",IF(NOT(ISNUMBER($D85)),"",IF($D85&lt;InicioCiclo,"Antes del ciclo",IF($D85&gt;=InicioCiclo+28,"Después del ciclo","Semana "&amp;(INT(($D85-InicioCiclo)/7)+1)))))</f>
        <v/>
      </c>
      <c r="F85" s="61">
        <f>IF($N85="","",IF($P85&gt;0,IF(1&lt;=SemanaActual,INDEX('Cronograma Asistente Técnico'!$AC$5:$AC$1000,$N85),""),IF(INDEX('Cronograma Asistente Técnico'!$I$5:$I$1000,$N85)="","",INDEX('Cronograma Asistente Técnico'!$I$5:$I$1000,$N85))))</f>
        <v/>
      </c>
      <c r="G85" s="61">
        <f>IF($N85="","",IF($P85&gt;0,IF(2&lt;=SemanaActual,INDEX('Cronograma Asistente Técnico'!$AD$5:$AD$1000,$N85),""),IF(INDEX('Cronograma Asistente Técnico'!$J$5:$J$1000,$N85)="","",INDEX('Cronograma Asistente Técnico'!$J$5:$J$1000,$N85))))</f>
        <v/>
      </c>
      <c r="H85" s="61">
        <f>IF($N85="","",IF($P85&gt;0,IF(3&lt;=SemanaActual,INDEX('Cronograma Asistente Técnico'!$AE$5:$AE$1000,$N85),""),IF(INDEX('Cronograma Asistente Técnico'!$K$5:$K$1000,$N85)="","",INDEX('Cronograma Asistente Técnico'!$K$5:$K$1000,$N85))))</f>
        <v/>
      </c>
      <c r="I85" s="61">
        <f>IF($N85="","",IF($P85&gt;0,IF(4&lt;=SemanaActual,INDEX('Cronograma Asistente Técnico'!$AF$5:$AF$1000,$N85),""),IF(INDEX('Cronograma Asistente Técnico'!$L$5:$L$1000,$N85)="","",INDEX('Cronograma Asistente Técnico'!$L$5:$L$1000,$N85))))</f>
        <v/>
      </c>
      <c r="J85" s="61">
        <f>IF($N85="","",INDEX('Cronograma Asistente Técnico'!$M$5:$M$1000,$N85))</f>
        <v/>
      </c>
      <c r="K85" s="56">
        <f>IF($N85="","",IF(N($J85)&gt;=1,"Completado",IF(AND(ISNUMBER($D85),$D85&lt;FechaRef),"Vencida",IF(N($J85)&gt;0,"En curso","Pendiente"))))</f>
        <v/>
      </c>
      <c r="L85" s="56">
        <f>IF($N85="","",INDEX('Cronograma Asistente Técnico'!$O$5:$O$1000,$N85)&amp;"")</f>
        <v/>
      </c>
      <c r="M85" s="62">
        <f>IF($N85="","",INDEX('Cronograma Asistente Técnico'!$Q$5:$Q$1000,$N85)&amp;"")</f>
        <v/>
      </c>
      <c r="N85">
        <f>IFERROR(MATCH(ROW()-4,rOrden_ATR,0),"")</f>
        <v/>
      </c>
      <c r="O85">
        <f>IF($N85="","",INDEX('Cronograma Asistente Técnico'!$V$5:$V$1000,$N85))</f>
        <v/>
      </c>
      <c r="P85">
        <f>IF($N85="","",N(INDEX('Cronograma Asistente Técnico'!$W$5:$W$1000,$N85)))</f>
        <v/>
      </c>
      <c r="Q85">
        <f>IF(OR(LEFT($L85,7)="Vencida",LEFT($L85,5)="Vence"),SUMPRODUCT(--(LEFT($L$5:$L85,7)="Vencida"))+SUMPRODUCT(--(LEFT($L$5:$L85,5)="Vence")),"")</f>
        <v/>
      </c>
    </row>
    <row r="86">
      <c r="A86" s="56">
        <f>IF($N86="","",INDEX('Cronograma Asistente Técnico'!$A$5:$A$1000,$N86))</f>
        <v/>
      </c>
      <c r="B86" s="62">
        <f>IF($N86="","",IF($O86="Sub","      ↳  "&amp;INDEX('Cronograma Asistente Técnico'!$C$5:$C$1000,$N86),INDEX('Cronograma Asistente Técnico'!$C$5:$C$1000,$N86)&amp;""))</f>
        <v/>
      </c>
      <c r="C86" s="79">
        <f>IF($N86="","",IF(INDEX('Cronograma Asistente Técnico'!$AM$5:$AM$1000,$N86)="","",INDEX('Cronograma Asistente Técnico'!$AM$5:$AM$1000,$N86)))</f>
        <v/>
      </c>
      <c r="D86" s="79">
        <f>IF($N86="","",IF(INDEX('Cronograma Asistente Técnico'!$AN$5:$AN$1000,$N86)="","",INDEX('Cronograma Asistente Técnico'!$AN$5:$AN$1000,$N86)))</f>
        <v/>
      </c>
      <c r="E86" s="56">
        <f>IF($N86="","",IF(NOT(ISNUMBER($D86)),"",IF($D86&lt;InicioCiclo,"Antes del ciclo",IF($D86&gt;=InicioCiclo+28,"Después del ciclo","Semana "&amp;(INT(($D86-InicioCiclo)/7)+1)))))</f>
        <v/>
      </c>
      <c r="F86" s="61">
        <f>IF($N86="","",IF($P86&gt;0,IF(1&lt;=SemanaActual,INDEX('Cronograma Asistente Técnico'!$AC$5:$AC$1000,$N86),""),IF(INDEX('Cronograma Asistente Técnico'!$I$5:$I$1000,$N86)="","",INDEX('Cronograma Asistente Técnico'!$I$5:$I$1000,$N86))))</f>
        <v/>
      </c>
      <c r="G86" s="61">
        <f>IF($N86="","",IF($P86&gt;0,IF(2&lt;=SemanaActual,INDEX('Cronograma Asistente Técnico'!$AD$5:$AD$1000,$N86),""),IF(INDEX('Cronograma Asistente Técnico'!$J$5:$J$1000,$N86)="","",INDEX('Cronograma Asistente Técnico'!$J$5:$J$1000,$N86))))</f>
        <v/>
      </c>
      <c r="H86" s="61">
        <f>IF($N86="","",IF($P86&gt;0,IF(3&lt;=SemanaActual,INDEX('Cronograma Asistente Técnico'!$AE$5:$AE$1000,$N86),""),IF(INDEX('Cronograma Asistente Técnico'!$K$5:$K$1000,$N86)="","",INDEX('Cronograma Asistente Técnico'!$K$5:$K$1000,$N86))))</f>
        <v/>
      </c>
      <c r="I86" s="61">
        <f>IF($N86="","",IF($P86&gt;0,IF(4&lt;=SemanaActual,INDEX('Cronograma Asistente Técnico'!$AF$5:$AF$1000,$N86),""),IF(INDEX('Cronograma Asistente Técnico'!$L$5:$L$1000,$N86)="","",INDEX('Cronograma Asistente Técnico'!$L$5:$L$1000,$N86))))</f>
        <v/>
      </c>
      <c r="J86" s="61">
        <f>IF($N86="","",INDEX('Cronograma Asistente Técnico'!$M$5:$M$1000,$N86))</f>
        <v/>
      </c>
      <c r="K86" s="56">
        <f>IF($N86="","",IF(N($J86)&gt;=1,"Completado",IF(AND(ISNUMBER($D86),$D86&lt;FechaRef),"Vencida",IF(N($J86)&gt;0,"En curso","Pendiente"))))</f>
        <v/>
      </c>
      <c r="L86" s="56">
        <f>IF($N86="","",INDEX('Cronograma Asistente Técnico'!$O$5:$O$1000,$N86)&amp;"")</f>
        <v/>
      </c>
      <c r="M86" s="62">
        <f>IF($N86="","",INDEX('Cronograma Asistente Técnico'!$Q$5:$Q$1000,$N86)&amp;"")</f>
        <v/>
      </c>
      <c r="N86">
        <f>IFERROR(MATCH(ROW()-4,rOrden_ATR,0),"")</f>
        <v/>
      </c>
      <c r="O86">
        <f>IF($N86="","",INDEX('Cronograma Asistente Técnico'!$V$5:$V$1000,$N86))</f>
        <v/>
      </c>
      <c r="P86">
        <f>IF($N86="","",N(INDEX('Cronograma Asistente Técnico'!$W$5:$W$1000,$N86)))</f>
        <v/>
      </c>
      <c r="Q86">
        <f>IF(OR(LEFT($L86,7)="Vencida",LEFT($L86,5)="Vence"),SUMPRODUCT(--(LEFT($L$5:$L86,7)="Vencida"))+SUMPRODUCT(--(LEFT($L$5:$L86,5)="Vence")),"")</f>
        <v/>
      </c>
    </row>
    <row r="87">
      <c r="A87" s="56">
        <f>IF($N87="","",INDEX('Cronograma Asistente Técnico'!$A$5:$A$1000,$N87))</f>
        <v/>
      </c>
      <c r="B87" s="62">
        <f>IF($N87="","",IF($O87="Sub","      ↳  "&amp;INDEX('Cronograma Asistente Técnico'!$C$5:$C$1000,$N87),INDEX('Cronograma Asistente Técnico'!$C$5:$C$1000,$N87)&amp;""))</f>
        <v/>
      </c>
      <c r="C87" s="79">
        <f>IF($N87="","",IF(INDEX('Cronograma Asistente Técnico'!$AM$5:$AM$1000,$N87)="","",INDEX('Cronograma Asistente Técnico'!$AM$5:$AM$1000,$N87)))</f>
        <v/>
      </c>
      <c r="D87" s="79">
        <f>IF($N87="","",IF(INDEX('Cronograma Asistente Técnico'!$AN$5:$AN$1000,$N87)="","",INDEX('Cronograma Asistente Técnico'!$AN$5:$AN$1000,$N87)))</f>
        <v/>
      </c>
      <c r="E87" s="56">
        <f>IF($N87="","",IF(NOT(ISNUMBER($D87)),"",IF($D87&lt;InicioCiclo,"Antes del ciclo",IF($D87&gt;=InicioCiclo+28,"Después del ciclo","Semana "&amp;(INT(($D87-InicioCiclo)/7)+1)))))</f>
        <v/>
      </c>
      <c r="F87" s="61">
        <f>IF($N87="","",IF($P87&gt;0,IF(1&lt;=SemanaActual,INDEX('Cronograma Asistente Técnico'!$AC$5:$AC$1000,$N87),""),IF(INDEX('Cronograma Asistente Técnico'!$I$5:$I$1000,$N87)="","",INDEX('Cronograma Asistente Técnico'!$I$5:$I$1000,$N87))))</f>
        <v/>
      </c>
      <c r="G87" s="61">
        <f>IF($N87="","",IF($P87&gt;0,IF(2&lt;=SemanaActual,INDEX('Cronograma Asistente Técnico'!$AD$5:$AD$1000,$N87),""),IF(INDEX('Cronograma Asistente Técnico'!$J$5:$J$1000,$N87)="","",INDEX('Cronograma Asistente Técnico'!$J$5:$J$1000,$N87))))</f>
        <v/>
      </c>
      <c r="H87" s="61">
        <f>IF($N87="","",IF($P87&gt;0,IF(3&lt;=SemanaActual,INDEX('Cronograma Asistente Técnico'!$AE$5:$AE$1000,$N87),""),IF(INDEX('Cronograma Asistente Técnico'!$K$5:$K$1000,$N87)="","",INDEX('Cronograma Asistente Técnico'!$K$5:$K$1000,$N87))))</f>
        <v/>
      </c>
      <c r="I87" s="61">
        <f>IF($N87="","",IF($P87&gt;0,IF(4&lt;=SemanaActual,INDEX('Cronograma Asistente Técnico'!$AF$5:$AF$1000,$N87),""),IF(INDEX('Cronograma Asistente Técnico'!$L$5:$L$1000,$N87)="","",INDEX('Cronograma Asistente Técnico'!$L$5:$L$1000,$N87))))</f>
        <v/>
      </c>
      <c r="J87" s="61">
        <f>IF($N87="","",INDEX('Cronograma Asistente Técnico'!$M$5:$M$1000,$N87))</f>
        <v/>
      </c>
      <c r="K87" s="56">
        <f>IF($N87="","",IF(N($J87)&gt;=1,"Completado",IF(AND(ISNUMBER($D87),$D87&lt;FechaRef),"Vencida",IF(N($J87)&gt;0,"En curso","Pendiente"))))</f>
        <v/>
      </c>
      <c r="L87" s="56">
        <f>IF($N87="","",INDEX('Cronograma Asistente Técnico'!$O$5:$O$1000,$N87)&amp;"")</f>
        <v/>
      </c>
      <c r="M87" s="62">
        <f>IF($N87="","",INDEX('Cronograma Asistente Técnico'!$Q$5:$Q$1000,$N87)&amp;"")</f>
        <v/>
      </c>
      <c r="N87">
        <f>IFERROR(MATCH(ROW()-4,rOrden_ATR,0),"")</f>
        <v/>
      </c>
      <c r="O87">
        <f>IF($N87="","",INDEX('Cronograma Asistente Técnico'!$V$5:$V$1000,$N87))</f>
        <v/>
      </c>
      <c r="P87">
        <f>IF($N87="","",N(INDEX('Cronograma Asistente Técnico'!$W$5:$W$1000,$N87)))</f>
        <v/>
      </c>
      <c r="Q87">
        <f>IF(OR(LEFT($L87,7)="Vencida",LEFT($L87,5)="Vence"),SUMPRODUCT(--(LEFT($L$5:$L87,7)="Vencida"))+SUMPRODUCT(--(LEFT($L$5:$L87,5)="Vence")),"")</f>
        <v/>
      </c>
    </row>
    <row r="88">
      <c r="A88" s="56">
        <f>IF($N88="","",INDEX('Cronograma Asistente Técnico'!$A$5:$A$1000,$N88))</f>
        <v/>
      </c>
      <c r="B88" s="62">
        <f>IF($N88="","",IF($O88="Sub","      ↳  "&amp;INDEX('Cronograma Asistente Técnico'!$C$5:$C$1000,$N88),INDEX('Cronograma Asistente Técnico'!$C$5:$C$1000,$N88)&amp;""))</f>
        <v/>
      </c>
      <c r="C88" s="79">
        <f>IF($N88="","",IF(INDEX('Cronograma Asistente Técnico'!$AM$5:$AM$1000,$N88)="","",INDEX('Cronograma Asistente Técnico'!$AM$5:$AM$1000,$N88)))</f>
        <v/>
      </c>
      <c r="D88" s="79">
        <f>IF($N88="","",IF(INDEX('Cronograma Asistente Técnico'!$AN$5:$AN$1000,$N88)="","",INDEX('Cronograma Asistente Técnico'!$AN$5:$AN$1000,$N88)))</f>
        <v/>
      </c>
      <c r="E88" s="56">
        <f>IF($N88="","",IF(NOT(ISNUMBER($D88)),"",IF($D88&lt;InicioCiclo,"Antes del ciclo",IF($D88&gt;=InicioCiclo+28,"Después del ciclo","Semana "&amp;(INT(($D88-InicioCiclo)/7)+1)))))</f>
        <v/>
      </c>
      <c r="F88" s="61">
        <f>IF($N88="","",IF($P88&gt;0,IF(1&lt;=SemanaActual,INDEX('Cronograma Asistente Técnico'!$AC$5:$AC$1000,$N88),""),IF(INDEX('Cronograma Asistente Técnico'!$I$5:$I$1000,$N88)="","",INDEX('Cronograma Asistente Técnico'!$I$5:$I$1000,$N88))))</f>
        <v/>
      </c>
      <c r="G88" s="61">
        <f>IF($N88="","",IF($P88&gt;0,IF(2&lt;=SemanaActual,INDEX('Cronograma Asistente Técnico'!$AD$5:$AD$1000,$N88),""),IF(INDEX('Cronograma Asistente Técnico'!$J$5:$J$1000,$N88)="","",INDEX('Cronograma Asistente Técnico'!$J$5:$J$1000,$N88))))</f>
        <v/>
      </c>
      <c r="H88" s="61">
        <f>IF($N88="","",IF($P88&gt;0,IF(3&lt;=SemanaActual,INDEX('Cronograma Asistente Técnico'!$AE$5:$AE$1000,$N88),""),IF(INDEX('Cronograma Asistente Técnico'!$K$5:$K$1000,$N88)="","",INDEX('Cronograma Asistente Técnico'!$K$5:$K$1000,$N88))))</f>
        <v/>
      </c>
      <c r="I88" s="61">
        <f>IF($N88="","",IF($P88&gt;0,IF(4&lt;=SemanaActual,INDEX('Cronograma Asistente Técnico'!$AF$5:$AF$1000,$N88),""),IF(INDEX('Cronograma Asistente Técnico'!$L$5:$L$1000,$N88)="","",INDEX('Cronograma Asistente Técnico'!$L$5:$L$1000,$N88))))</f>
        <v/>
      </c>
      <c r="J88" s="61">
        <f>IF($N88="","",INDEX('Cronograma Asistente Técnico'!$M$5:$M$1000,$N88))</f>
        <v/>
      </c>
      <c r="K88" s="56">
        <f>IF($N88="","",IF(N($J88)&gt;=1,"Completado",IF(AND(ISNUMBER($D88),$D88&lt;FechaRef),"Vencida",IF(N($J88)&gt;0,"En curso","Pendiente"))))</f>
        <v/>
      </c>
      <c r="L88" s="56">
        <f>IF($N88="","",INDEX('Cronograma Asistente Técnico'!$O$5:$O$1000,$N88)&amp;"")</f>
        <v/>
      </c>
      <c r="M88" s="62">
        <f>IF($N88="","",INDEX('Cronograma Asistente Técnico'!$Q$5:$Q$1000,$N88)&amp;"")</f>
        <v/>
      </c>
      <c r="N88">
        <f>IFERROR(MATCH(ROW()-4,rOrden_ATR,0),"")</f>
        <v/>
      </c>
      <c r="O88">
        <f>IF($N88="","",INDEX('Cronograma Asistente Técnico'!$V$5:$V$1000,$N88))</f>
        <v/>
      </c>
      <c r="P88">
        <f>IF($N88="","",N(INDEX('Cronograma Asistente Técnico'!$W$5:$W$1000,$N88)))</f>
        <v/>
      </c>
      <c r="Q88">
        <f>IF(OR(LEFT($L88,7)="Vencida",LEFT($L88,5)="Vence"),SUMPRODUCT(--(LEFT($L$5:$L88,7)="Vencida"))+SUMPRODUCT(--(LEFT($L$5:$L88,5)="Vence")),"")</f>
        <v/>
      </c>
    </row>
    <row r="89">
      <c r="A89" s="56">
        <f>IF($N89="","",INDEX('Cronograma Asistente Técnico'!$A$5:$A$1000,$N89))</f>
        <v/>
      </c>
      <c r="B89" s="62">
        <f>IF($N89="","",IF($O89="Sub","      ↳  "&amp;INDEX('Cronograma Asistente Técnico'!$C$5:$C$1000,$N89),INDEX('Cronograma Asistente Técnico'!$C$5:$C$1000,$N89)&amp;""))</f>
        <v/>
      </c>
      <c r="C89" s="79">
        <f>IF($N89="","",IF(INDEX('Cronograma Asistente Técnico'!$AM$5:$AM$1000,$N89)="","",INDEX('Cronograma Asistente Técnico'!$AM$5:$AM$1000,$N89)))</f>
        <v/>
      </c>
      <c r="D89" s="79">
        <f>IF($N89="","",IF(INDEX('Cronograma Asistente Técnico'!$AN$5:$AN$1000,$N89)="","",INDEX('Cronograma Asistente Técnico'!$AN$5:$AN$1000,$N89)))</f>
        <v/>
      </c>
      <c r="E89" s="56">
        <f>IF($N89="","",IF(NOT(ISNUMBER($D89)),"",IF($D89&lt;InicioCiclo,"Antes del ciclo",IF($D89&gt;=InicioCiclo+28,"Después del ciclo","Semana "&amp;(INT(($D89-InicioCiclo)/7)+1)))))</f>
        <v/>
      </c>
      <c r="F89" s="61">
        <f>IF($N89="","",IF($P89&gt;0,IF(1&lt;=SemanaActual,INDEX('Cronograma Asistente Técnico'!$AC$5:$AC$1000,$N89),""),IF(INDEX('Cronograma Asistente Técnico'!$I$5:$I$1000,$N89)="","",INDEX('Cronograma Asistente Técnico'!$I$5:$I$1000,$N89))))</f>
        <v/>
      </c>
      <c r="G89" s="61">
        <f>IF($N89="","",IF($P89&gt;0,IF(2&lt;=SemanaActual,INDEX('Cronograma Asistente Técnico'!$AD$5:$AD$1000,$N89),""),IF(INDEX('Cronograma Asistente Técnico'!$J$5:$J$1000,$N89)="","",INDEX('Cronograma Asistente Técnico'!$J$5:$J$1000,$N89))))</f>
        <v/>
      </c>
      <c r="H89" s="61">
        <f>IF($N89="","",IF($P89&gt;0,IF(3&lt;=SemanaActual,INDEX('Cronograma Asistente Técnico'!$AE$5:$AE$1000,$N89),""),IF(INDEX('Cronograma Asistente Técnico'!$K$5:$K$1000,$N89)="","",INDEX('Cronograma Asistente Técnico'!$K$5:$K$1000,$N89))))</f>
        <v/>
      </c>
      <c r="I89" s="61">
        <f>IF($N89="","",IF($P89&gt;0,IF(4&lt;=SemanaActual,INDEX('Cronograma Asistente Técnico'!$AF$5:$AF$1000,$N89),""),IF(INDEX('Cronograma Asistente Técnico'!$L$5:$L$1000,$N89)="","",INDEX('Cronograma Asistente Técnico'!$L$5:$L$1000,$N89))))</f>
        <v/>
      </c>
      <c r="J89" s="61">
        <f>IF($N89="","",INDEX('Cronograma Asistente Técnico'!$M$5:$M$1000,$N89))</f>
        <v/>
      </c>
      <c r="K89" s="56">
        <f>IF($N89="","",IF(N($J89)&gt;=1,"Completado",IF(AND(ISNUMBER($D89),$D89&lt;FechaRef),"Vencida",IF(N($J89)&gt;0,"En curso","Pendiente"))))</f>
        <v/>
      </c>
      <c r="L89" s="56">
        <f>IF($N89="","",INDEX('Cronograma Asistente Técnico'!$O$5:$O$1000,$N89)&amp;"")</f>
        <v/>
      </c>
      <c r="M89" s="62">
        <f>IF($N89="","",INDEX('Cronograma Asistente Técnico'!$Q$5:$Q$1000,$N89)&amp;"")</f>
        <v/>
      </c>
      <c r="N89">
        <f>IFERROR(MATCH(ROW()-4,rOrden_ATR,0),"")</f>
        <v/>
      </c>
      <c r="O89">
        <f>IF($N89="","",INDEX('Cronograma Asistente Técnico'!$V$5:$V$1000,$N89))</f>
        <v/>
      </c>
      <c r="P89">
        <f>IF($N89="","",N(INDEX('Cronograma Asistente Técnico'!$W$5:$W$1000,$N89)))</f>
        <v/>
      </c>
      <c r="Q89">
        <f>IF(OR(LEFT($L89,7)="Vencida",LEFT($L89,5)="Vence"),SUMPRODUCT(--(LEFT($L$5:$L89,7)="Vencida"))+SUMPRODUCT(--(LEFT($L$5:$L89,5)="Vence")),"")</f>
        <v/>
      </c>
    </row>
    <row r="90">
      <c r="A90" s="56">
        <f>IF($N90="","",INDEX('Cronograma Asistente Técnico'!$A$5:$A$1000,$N90))</f>
        <v/>
      </c>
      <c r="B90" s="62">
        <f>IF($N90="","",IF($O90="Sub","      ↳  "&amp;INDEX('Cronograma Asistente Técnico'!$C$5:$C$1000,$N90),INDEX('Cronograma Asistente Técnico'!$C$5:$C$1000,$N90)&amp;""))</f>
        <v/>
      </c>
      <c r="C90" s="79">
        <f>IF($N90="","",IF(INDEX('Cronograma Asistente Técnico'!$AM$5:$AM$1000,$N90)="","",INDEX('Cronograma Asistente Técnico'!$AM$5:$AM$1000,$N90)))</f>
        <v/>
      </c>
      <c r="D90" s="79">
        <f>IF($N90="","",IF(INDEX('Cronograma Asistente Técnico'!$AN$5:$AN$1000,$N90)="","",INDEX('Cronograma Asistente Técnico'!$AN$5:$AN$1000,$N90)))</f>
        <v/>
      </c>
      <c r="E90" s="56">
        <f>IF($N90="","",IF(NOT(ISNUMBER($D90)),"",IF($D90&lt;InicioCiclo,"Antes del ciclo",IF($D90&gt;=InicioCiclo+28,"Después del ciclo","Semana "&amp;(INT(($D90-InicioCiclo)/7)+1)))))</f>
        <v/>
      </c>
      <c r="F90" s="61">
        <f>IF($N90="","",IF($P90&gt;0,IF(1&lt;=SemanaActual,INDEX('Cronograma Asistente Técnico'!$AC$5:$AC$1000,$N90),""),IF(INDEX('Cronograma Asistente Técnico'!$I$5:$I$1000,$N90)="","",INDEX('Cronograma Asistente Técnico'!$I$5:$I$1000,$N90))))</f>
        <v/>
      </c>
      <c r="G90" s="61">
        <f>IF($N90="","",IF($P90&gt;0,IF(2&lt;=SemanaActual,INDEX('Cronograma Asistente Técnico'!$AD$5:$AD$1000,$N90),""),IF(INDEX('Cronograma Asistente Técnico'!$J$5:$J$1000,$N90)="","",INDEX('Cronograma Asistente Técnico'!$J$5:$J$1000,$N90))))</f>
        <v/>
      </c>
      <c r="H90" s="61">
        <f>IF($N90="","",IF($P90&gt;0,IF(3&lt;=SemanaActual,INDEX('Cronograma Asistente Técnico'!$AE$5:$AE$1000,$N90),""),IF(INDEX('Cronograma Asistente Técnico'!$K$5:$K$1000,$N90)="","",INDEX('Cronograma Asistente Técnico'!$K$5:$K$1000,$N90))))</f>
        <v/>
      </c>
      <c r="I90" s="61">
        <f>IF($N90="","",IF($P90&gt;0,IF(4&lt;=SemanaActual,INDEX('Cronograma Asistente Técnico'!$AF$5:$AF$1000,$N90),""),IF(INDEX('Cronograma Asistente Técnico'!$L$5:$L$1000,$N90)="","",INDEX('Cronograma Asistente Técnico'!$L$5:$L$1000,$N90))))</f>
        <v/>
      </c>
      <c r="J90" s="61">
        <f>IF($N90="","",INDEX('Cronograma Asistente Técnico'!$M$5:$M$1000,$N90))</f>
        <v/>
      </c>
      <c r="K90" s="56">
        <f>IF($N90="","",IF(N($J90)&gt;=1,"Completado",IF(AND(ISNUMBER($D90),$D90&lt;FechaRef),"Vencida",IF(N($J90)&gt;0,"En curso","Pendiente"))))</f>
        <v/>
      </c>
      <c r="L90" s="56">
        <f>IF($N90="","",INDEX('Cronograma Asistente Técnico'!$O$5:$O$1000,$N90)&amp;"")</f>
        <v/>
      </c>
      <c r="M90" s="62">
        <f>IF($N90="","",INDEX('Cronograma Asistente Técnico'!$Q$5:$Q$1000,$N90)&amp;"")</f>
        <v/>
      </c>
      <c r="N90">
        <f>IFERROR(MATCH(ROW()-4,rOrden_ATR,0),"")</f>
        <v/>
      </c>
      <c r="O90">
        <f>IF($N90="","",INDEX('Cronograma Asistente Técnico'!$V$5:$V$1000,$N90))</f>
        <v/>
      </c>
      <c r="P90">
        <f>IF($N90="","",N(INDEX('Cronograma Asistente Técnico'!$W$5:$W$1000,$N90)))</f>
        <v/>
      </c>
      <c r="Q90">
        <f>IF(OR(LEFT($L90,7)="Vencida",LEFT($L90,5)="Vence"),SUMPRODUCT(--(LEFT($L$5:$L90,7)="Vencida"))+SUMPRODUCT(--(LEFT($L$5:$L90,5)="Vence")),"")</f>
        <v/>
      </c>
    </row>
    <row r="91">
      <c r="A91" s="56">
        <f>IF($N91="","",INDEX('Cronograma Asistente Técnico'!$A$5:$A$1000,$N91))</f>
        <v/>
      </c>
      <c r="B91" s="62">
        <f>IF($N91="","",IF($O91="Sub","      ↳  "&amp;INDEX('Cronograma Asistente Técnico'!$C$5:$C$1000,$N91),INDEX('Cronograma Asistente Técnico'!$C$5:$C$1000,$N91)&amp;""))</f>
        <v/>
      </c>
      <c r="C91" s="79">
        <f>IF($N91="","",IF(INDEX('Cronograma Asistente Técnico'!$AM$5:$AM$1000,$N91)="","",INDEX('Cronograma Asistente Técnico'!$AM$5:$AM$1000,$N91)))</f>
        <v/>
      </c>
      <c r="D91" s="79">
        <f>IF($N91="","",IF(INDEX('Cronograma Asistente Técnico'!$AN$5:$AN$1000,$N91)="","",INDEX('Cronograma Asistente Técnico'!$AN$5:$AN$1000,$N91)))</f>
        <v/>
      </c>
      <c r="E91" s="56">
        <f>IF($N91="","",IF(NOT(ISNUMBER($D91)),"",IF($D91&lt;InicioCiclo,"Antes del ciclo",IF($D91&gt;=InicioCiclo+28,"Después del ciclo","Semana "&amp;(INT(($D91-InicioCiclo)/7)+1)))))</f>
        <v/>
      </c>
      <c r="F91" s="61">
        <f>IF($N91="","",IF($P91&gt;0,IF(1&lt;=SemanaActual,INDEX('Cronograma Asistente Técnico'!$AC$5:$AC$1000,$N91),""),IF(INDEX('Cronograma Asistente Técnico'!$I$5:$I$1000,$N91)="","",INDEX('Cronograma Asistente Técnico'!$I$5:$I$1000,$N91))))</f>
        <v/>
      </c>
      <c r="G91" s="61">
        <f>IF($N91="","",IF($P91&gt;0,IF(2&lt;=SemanaActual,INDEX('Cronograma Asistente Técnico'!$AD$5:$AD$1000,$N91),""),IF(INDEX('Cronograma Asistente Técnico'!$J$5:$J$1000,$N91)="","",INDEX('Cronograma Asistente Técnico'!$J$5:$J$1000,$N91))))</f>
        <v/>
      </c>
      <c r="H91" s="61">
        <f>IF($N91="","",IF($P91&gt;0,IF(3&lt;=SemanaActual,INDEX('Cronograma Asistente Técnico'!$AE$5:$AE$1000,$N91),""),IF(INDEX('Cronograma Asistente Técnico'!$K$5:$K$1000,$N91)="","",INDEX('Cronograma Asistente Técnico'!$K$5:$K$1000,$N91))))</f>
        <v/>
      </c>
      <c r="I91" s="61">
        <f>IF($N91="","",IF($P91&gt;0,IF(4&lt;=SemanaActual,INDEX('Cronograma Asistente Técnico'!$AF$5:$AF$1000,$N91),""),IF(INDEX('Cronograma Asistente Técnico'!$L$5:$L$1000,$N91)="","",INDEX('Cronograma Asistente Técnico'!$L$5:$L$1000,$N91))))</f>
        <v/>
      </c>
      <c r="J91" s="61">
        <f>IF($N91="","",INDEX('Cronograma Asistente Técnico'!$M$5:$M$1000,$N91))</f>
        <v/>
      </c>
      <c r="K91" s="56">
        <f>IF($N91="","",IF(N($J91)&gt;=1,"Completado",IF(AND(ISNUMBER($D91),$D91&lt;FechaRef),"Vencida",IF(N($J91)&gt;0,"En curso","Pendiente"))))</f>
        <v/>
      </c>
      <c r="L91" s="56">
        <f>IF($N91="","",INDEX('Cronograma Asistente Técnico'!$O$5:$O$1000,$N91)&amp;"")</f>
        <v/>
      </c>
      <c r="M91" s="62">
        <f>IF($N91="","",INDEX('Cronograma Asistente Técnico'!$Q$5:$Q$1000,$N91)&amp;"")</f>
        <v/>
      </c>
      <c r="N91">
        <f>IFERROR(MATCH(ROW()-4,rOrden_ATR,0),"")</f>
        <v/>
      </c>
      <c r="O91">
        <f>IF($N91="","",INDEX('Cronograma Asistente Técnico'!$V$5:$V$1000,$N91))</f>
        <v/>
      </c>
      <c r="P91">
        <f>IF($N91="","",N(INDEX('Cronograma Asistente Técnico'!$W$5:$W$1000,$N91)))</f>
        <v/>
      </c>
      <c r="Q91">
        <f>IF(OR(LEFT($L91,7)="Vencida",LEFT($L91,5)="Vence"),SUMPRODUCT(--(LEFT($L$5:$L91,7)="Vencida"))+SUMPRODUCT(--(LEFT($L$5:$L91,5)="Vence")),"")</f>
        <v/>
      </c>
    </row>
    <row r="92">
      <c r="A92" s="56">
        <f>IF($N92="","",INDEX('Cronograma Asistente Técnico'!$A$5:$A$1000,$N92))</f>
        <v/>
      </c>
      <c r="B92" s="62">
        <f>IF($N92="","",IF($O92="Sub","      ↳  "&amp;INDEX('Cronograma Asistente Técnico'!$C$5:$C$1000,$N92),INDEX('Cronograma Asistente Técnico'!$C$5:$C$1000,$N92)&amp;""))</f>
        <v/>
      </c>
      <c r="C92" s="79">
        <f>IF($N92="","",IF(INDEX('Cronograma Asistente Técnico'!$AM$5:$AM$1000,$N92)="","",INDEX('Cronograma Asistente Técnico'!$AM$5:$AM$1000,$N92)))</f>
        <v/>
      </c>
      <c r="D92" s="79">
        <f>IF($N92="","",IF(INDEX('Cronograma Asistente Técnico'!$AN$5:$AN$1000,$N92)="","",INDEX('Cronograma Asistente Técnico'!$AN$5:$AN$1000,$N92)))</f>
        <v/>
      </c>
      <c r="E92" s="56">
        <f>IF($N92="","",IF(NOT(ISNUMBER($D92)),"",IF($D92&lt;InicioCiclo,"Antes del ciclo",IF($D92&gt;=InicioCiclo+28,"Después del ciclo","Semana "&amp;(INT(($D92-InicioCiclo)/7)+1)))))</f>
        <v/>
      </c>
      <c r="F92" s="61">
        <f>IF($N92="","",IF($P92&gt;0,IF(1&lt;=SemanaActual,INDEX('Cronograma Asistente Técnico'!$AC$5:$AC$1000,$N92),""),IF(INDEX('Cronograma Asistente Técnico'!$I$5:$I$1000,$N92)="","",INDEX('Cronograma Asistente Técnico'!$I$5:$I$1000,$N92))))</f>
        <v/>
      </c>
      <c r="G92" s="61">
        <f>IF($N92="","",IF($P92&gt;0,IF(2&lt;=SemanaActual,INDEX('Cronograma Asistente Técnico'!$AD$5:$AD$1000,$N92),""),IF(INDEX('Cronograma Asistente Técnico'!$J$5:$J$1000,$N92)="","",INDEX('Cronograma Asistente Técnico'!$J$5:$J$1000,$N92))))</f>
        <v/>
      </c>
      <c r="H92" s="61">
        <f>IF($N92="","",IF($P92&gt;0,IF(3&lt;=SemanaActual,INDEX('Cronograma Asistente Técnico'!$AE$5:$AE$1000,$N92),""),IF(INDEX('Cronograma Asistente Técnico'!$K$5:$K$1000,$N92)="","",INDEX('Cronograma Asistente Técnico'!$K$5:$K$1000,$N92))))</f>
        <v/>
      </c>
      <c r="I92" s="61">
        <f>IF($N92="","",IF($P92&gt;0,IF(4&lt;=SemanaActual,INDEX('Cronograma Asistente Técnico'!$AF$5:$AF$1000,$N92),""),IF(INDEX('Cronograma Asistente Técnico'!$L$5:$L$1000,$N92)="","",INDEX('Cronograma Asistente Técnico'!$L$5:$L$1000,$N92))))</f>
        <v/>
      </c>
      <c r="J92" s="61">
        <f>IF($N92="","",INDEX('Cronograma Asistente Técnico'!$M$5:$M$1000,$N92))</f>
        <v/>
      </c>
      <c r="K92" s="56">
        <f>IF($N92="","",IF(N($J92)&gt;=1,"Completado",IF(AND(ISNUMBER($D92),$D92&lt;FechaRef),"Vencida",IF(N($J92)&gt;0,"En curso","Pendiente"))))</f>
        <v/>
      </c>
      <c r="L92" s="56">
        <f>IF($N92="","",INDEX('Cronograma Asistente Técnico'!$O$5:$O$1000,$N92)&amp;"")</f>
        <v/>
      </c>
      <c r="M92" s="62">
        <f>IF($N92="","",INDEX('Cronograma Asistente Técnico'!$Q$5:$Q$1000,$N92)&amp;"")</f>
        <v/>
      </c>
      <c r="N92">
        <f>IFERROR(MATCH(ROW()-4,rOrden_ATR,0),"")</f>
        <v/>
      </c>
      <c r="O92">
        <f>IF($N92="","",INDEX('Cronograma Asistente Técnico'!$V$5:$V$1000,$N92))</f>
        <v/>
      </c>
      <c r="P92">
        <f>IF($N92="","",N(INDEX('Cronograma Asistente Técnico'!$W$5:$W$1000,$N92)))</f>
        <v/>
      </c>
      <c r="Q92">
        <f>IF(OR(LEFT($L92,7)="Vencida",LEFT($L92,5)="Vence"),SUMPRODUCT(--(LEFT($L$5:$L92,7)="Vencida"))+SUMPRODUCT(--(LEFT($L$5:$L92,5)="Vence")),"")</f>
        <v/>
      </c>
    </row>
    <row r="93">
      <c r="A93" s="56">
        <f>IF($N93="","",INDEX('Cronograma Asistente Técnico'!$A$5:$A$1000,$N93))</f>
        <v/>
      </c>
      <c r="B93" s="62">
        <f>IF($N93="","",IF($O93="Sub","      ↳  "&amp;INDEX('Cronograma Asistente Técnico'!$C$5:$C$1000,$N93),INDEX('Cronograma Asistente Técnico'!$C$5:$C$1000,$N93)&amp;""))</f>
        <v/>
      </c>
      <c r="C93" s="79">
        <f>IF($N93="","",IF(INDEX('Cronograma Asistente Técnico'!$AM$5:$AM$1000,$N93)="","",INDEX('Cronograma Asistente Técnico'!$AM$5:$AM$1000,$N93)))</f>
        <v/>
      </c>
      <c r="D93" s="79">
        <f>IF($N93="","",IF(INDEX('Cronograma Asistente Técnico'!$AN$5:$AN$1000,$N93)="","",INDEX('Cronograma Asistente Técnico'!$AN$5:$AN$1000,$N93)))</f>
        <v/>
      </c>
      <c r="E93" s="56">
        <f>IF($N93="","",IF(NOT(ISNUMBER($D93)),"",IF($D93&lt;InicioCiclo,"Antes del ciclo",IF($D93&gt;=InicioCiclo+28,"Después del ciclo","Semana "&amp;(INT(($D93-InicioCiclo)/7)+1)))))</f>
        <v/>
      </c>
      <c r="F93" s="61">
        <f>IF($N93="","",IF($P93&gt;0,IF(1&lt;=SemanaActual,INDEX('Cronograma Asistente Técnico'!$AC$5:$AC$1000,$N93),""),IF(INDEX('Cronograma Asistente Técnico'!$I$5:$I$1000,$N93)="","",INDEX('Cronograma Asistente Técnico'!$I$5:$I$1000,$N93))))</f>
        <v/>
      </c>
      <c r="G93" s="61">
        <f>IF($N93="","",IF($P93&gt;0,IF(2&lt;=SemanaActual,INDEX('Cronograma Asistente Técnico'!$AD$5:$AD$1000,$N93),""),IF(INDEX('Cronograma Asistente Técnico'!$J$5:$J$1000,$N93)="","",INDEX('Cronograma Asistente Técnico'!$J$5:$J$1000,$N93))))</f>
        <v/>
      </c>
      <c r="H93" s="61">
        <f>IF($N93="","",IF($P93&gt;0,IF(3&lt;=SemanaActual,INDEX('Cronograma Asistente Técnico'!$AE$5:$AE$1000,$N93),""),IF(INDEX('Cronograma Asistente Técnico'!$K$5:$K$1000,$N93)="","",INDEX('Cronograma Asistente Técnico'!$K$5:$K$1000,$N93))))</f>
        <v/>
      </c>
      <c r="I93" s="61">
        <f>IF($N93="","",IF($P93&gt;0,IF(4&lt;=SemanaActual,INDEX('Cronograma Asistente Técnico'!$AF$5:$AF$1000,$N93),""),IF(INDEX('Cronograma Asistente Técnico'!$L$5:$L$1000,$N93)="","",INDEX('Cronograma Asistente Técnico'!$L$5:$L$1000,$N93))))</f>
        <v/>
      </c>
      <c r="J93" s="61">
        <f>IF($N93="","",INDEX('Cronograma Asistente Técnico'!$M$5:$M$1000,$N93))</f>
        <v/>
      </c>
      <c r="K93" s="56">
        <f>IF($N93="","",IF(N($J93)&gt;=1,"Completado",IF(AND(ISNUMBER($D93),$D93&lt;FechaRef),"Vencida",IF(N($J93)&gt;0,"En curso","Pendiente"))))</f>
        <v/>
      </c>
      <c r="L93" s="56">
        <f>IF($N93="","",INDEX('Cronograma Asistente Técnico'!$O$5:$O$1000,$N93)&amp;"")</f>
        <v/>
      </c>
      <c r="M93" s="62">
        <f>IF($N93="","",INDEX('Cronograma Asistente Técnico'!$Q$5:$Q$1000,$N93)&amp;"")</f>
        <v/>
      </c>
      <c r="N93">
        <f>IFERROR(MATCH(ROW()-4,rOrden_ATR,0),"")</f>
        <v/>
      </c>
      <c r="O93">
        <f>IF($N93="","",INDEX('Cronograma Asistente Técnico'!$V$5:$V$1000,$N93))</f>
        <v/>
      </c>
      <c r="P93">
        <f>IF($N93="","",N(INDEX('Cronograma Asistente Técnico'!$W$5:$W$1000,$N93)))</f>
        <v/>
      </c>
      <c r="Q93">
        <f>IF(OR(LEFT($L93,7)="Vencida",LEFT($L93,5)="Vence"),SUMPRODUCT(--(LEFT($L$5:$L93,7)="Vencida"))+SUMPRODUCT(--(LEFT($L$5:$L93,5)="Vence")),"")</f>
        <v/>
      </c>
    </row>
    <row r="94">
      <c r="A94" s="56">
        <f>IF($N94="","",INDEX('Cronograma Asistente Técnico'!$A$5:$A$1000,$N94))</f>
        <v/>
      </c>
      <c r="B94" s="62">
        <f>IF($N94="","",IF($O94="Sub","      ↳  "&amp;INDEX('Cronograma Asistente Técnico'!$C$5:$C$1000,$N94),INDEX('Cronograma Asistente Técnico'!$C$5:$C$1000,$N94)&amp;""))</f>
        <v/>
      </c>
      <c r="C94" s="79">
        <f>IF($N94="","",IF(INDEX('Cronograma Asistente Técnico'!$AM$5:$AM$1000,$N94)="","",INDEX('Cronograma Asistente Técnico'!$AM$5:$AM$1000,$N94)))</f>
        <v/>
      </c>
      <c r="D94" s="79">
        <f>IF($N94="","",IF(INDEX('Cronograma Asistente Técnico'!$AN$5:$AN$1000,$N94)="","",INDEX('Cronograma Asistente Técnico'!$AN$5:$AN$1000,$N94)))</f>
        <v/>
      </c>
      <c r="E94" s="56">
        <f>IF($N94="","",IF(NOT(ISNUMBER($D94)),"",IF($D94&lt;InicioCiclo,"Antes del ciclo",IF($D94&gt;=InicioCiclo+28,"Después del ciclo","Semana "&amp;(INT(($D94-InicioCiclo)/7)+1)))))</f>
        <v/>
      </c>
      <c r="F94" s="61">
        <f>IF($N94="","",IF($P94&gt;0,IF(1&lt;=SemanaActual,INDEX('Cronograma Asistente Técnico'!$AC$5:$AC$1000,$N94),""),IF(INDEX('Cronograma Asistente Técnico'!$I$5:$I$1000,$N94)="","",INDEX('Cronograma Asistente Técnico'!$I$5:$I$1000,$N94))))</f>
        <v/>
      </c>
      <c r="G94" s="61">
        <f>IF($N94="","",IF($P94&gt;0,IF(2&lt;=SemanaActual,INDEX('Cronograma Asistente Técnico'!$AD$5:$AD$1000,$N94),""),IF(INDEX('Cronograma Asistente Técnico'!$J$5:$J$1000,$N94)="","",INDEX('Cronograma Asistente Técnico'!$J$5:$J$1000,$N94))))</f>
        <v/>
      </c>
      <c r="H94" s="61">
        <f>IF($N94="","",IF($P94&gt;0,IF(3&lt;=SemanaActual,INDEX('Cronograma Asistente Técnico'!$AE$5:$AE$1000,$N94),""),IF(INDEX('Cronograma Asistente Técnico'!$K$5:$K$1000,$N94)="","",INDEX('Cronograma Asistente Técnico'!$K$5:$K$1000,$N94))))</f>
        <v/>
      </c>
      <c r="I94" s="61">
        <f>IF($N94="","",IF($P94&gt;0,IF(4&lt;=SemanaActual,INDEX('Cronograma Asistente Técnico'!$AF$5:$AF$1000,$N94),""),IF(INDEX('Cronograma Asistente Técnico'!$L$5:$L$1000,$N94)="","",INDEX('Cronograma Asistente Técnico'!$L$5:$L$1000,$N94))))</f>
        <v/>
      </c>
      <c r="J94" s="61">
        <f>IF($N94="","",INDEX('Cronograma Asistente Técnico'!$M$5:$M$1000,$N94))</f>
        <v/>
      </c>
      <c r="K94" s="56">
        <f>IF($N94="","",IF(N($J94)&gt;=1,"Completado",IF(AND(ISNUMBER($D94),$D94&lt;FechaRef),"Vencida",IF(N($J94)&gt;0,"En curso","Pendiente"))))</f>
        <v/>
      </c>
      <c r="L94" s="56">
        <f>IF($N94="","",INDEX('Cronograma Asistente Técnico'!$O$5:$O$1000,$N94)&amp;"")</f>
        <v/>
      </c>
      <c r="M94" s="62">
        <f>IF($N94="","",INDEX('Cronograma Asistente Técnico'!$Q$5:$Q$1000,$N94)&amp;"")</f>
        <v/>
      </c>
      <c r="N94">
        <f>IFERROR(MATCH(ROW()-4,rOrden_ATR,0),"")</f>
        <v/>
      </c>
      <c r="O94">
        <f>IF($N94="","",INDEX('Cronograma Asistente Técnico'!$V$5:$V$1000,$N94))</f>
        <v/>
      </c>
      <c r="P94">
        <f>IF($N94="","",N(INDEX('Cronograma Asistente Técnico'!$W$5:$W$1000,$N94)))</f>
        <v/>
      </c>
      <c r="Q94">
        <f>IF(OR(LEFT($L94,7)="Vencida",LEFT($L94,5)="Vence"),SUMPRODUCT(--(LEFT($L$5:$L94,7)="Vencida"))+SUMPRODUCT(--(LEFT($L$5:$L94,5)="Vence")),"")</f>
        <v/>
      </c>
    </row>
    <row r="95">
      <c r="A95" s="56">
        <f>IF($N95="","",INDEX('Cronograma Asistente Técnico'!$A$5:$A$1000,$N95))</f>
        <v/>
      </c>
      <c r="B95" s="62">
        <f>IF($N95="","",IF($O95="Sub","      ↳  "&amp;INDEX('Cronograma Asistente Técnico'!$C$5:$C$1000,$N95),INDEX('Cronograma Asistente Técnico'!$C$5:$C$1000,$N95)&amp;""))</f>
        <v/>
      </c>
      <c r="C95" s="79">
        <f>IF($N95="","",IF(INDEX('Cronograma Asistente Técnico'!$AM$5:$AM$1000,$N95)="","",INDEX('Cronograma Asistente Técnico'!$AM$5:$AM$1000,$N95)))</f>
        <v/>
      </c>
      <c r="D95" s="79">
        <f>IF($N95="","",IF(INDEX('Cronograma Asistente Técnico'!$AN$5:$AN$1000,$N95)="","",INDEX('Cronograma Asistente Técnico'!$AN$5:$AN$1000,$N95)))</f>
        <v/>
      </c>
      <c r="E95" s="56">
        <f>IF($N95="","",IF(NOT(ISNUMBER($D95)),"",IF($D95&lt;InicioCiclo,"Antes del ciclo",IF($D95&gt;=InicioCiclo+28,"Después del ciclo","Semana "&amp;(INT(($D95-InicioCiclo)/7)+1)))))</f>
        <v/>
      </c>
      <c r="F95" s="61">
        <f>IF($N95="","",IF($P95&gt;0,IF(1&lt;=SemanaActual,INDEX('Cronograma Asistente Técnico'!$AC$5:$AC$1000,$N95),""),IF(INDEX('Cronograma Asistente Técnico'!$I$5:$I$1000,$N95)="","",INDEX('Cronograma Asistente Técnico'!$I$5:$I$1000,$N95))))</f>
        <v/>
      </c>
      <c r="G95" s="61">
        <f>IF($N95="","",IF($P95&gt;0,IF(2&lt;=SemanaActual,INDEX('Cronograma Asistente Técnico'!$AD$5:$AD$1000,$N95),""),IF(INDEX('Cronograma Asistente Técnico'!$J$5:$J$1000,$N95)="","",INDEX('Cronograma Asistente Técnico'!$J$5:$J$1000,$N95))))</f>
        <v/>
      </c>
      <c r="H95" s="61">
        <f>IF($N95="","",IF($P95&gt;0,IF(3&lt;=SemanaActual,INDEX('Cronograma Asistente Técnico'!$AE$5:$AE$1000,$N95),""),IF(INDEX('Cronograma Asistente Técnico'!$K$5:$K$1000,$N95)="","",INDEX('Cronograma Asistente Técnico'!$K$5:$K$1000,$N95))))</f>
        <v/>
      </c>
      <c r="I95" s="61">
        <f>IF($N95="","",IF($P95&gt;0,IF(4&lt;=SemanaActual,INDEX('Cronograma Asistente Técnico'!$AF$5:$AF$1000,$N95),""),IF(INDEX('Cronograma Asistente Técnico'!$L$5:$L$1000,$N95)="","",INDEX('Cronograma Asistente Técnico'!$L$5:$L$1000,$N95))))</f>
        <v/>
      </c>
      <c r="J95" s="61">
        <f>IF($N95="","",INDEX('Cronograma Asistente Técnico'!$M$5:$M$1000,$N95))</f>
        <v/>
      </c>
      <c r="K95" s="56">
        <f>IF($N95="","",IF(N($J95)&gt;=1,"Completado",IF(AND(ISNUMBER($D95),$D95&lt;FechaRef),"Vencida",IF(N($J95)&gt;0,"En curso","Pendiente"))))</f>
        <v/>
      </c>
      <c r="L95" s="56">
        <f>IF($N95="","",INDEX('Cronograma Asistente Técnico'!$O$5:$O$1000,$N95)&amp;"")</f>
        <v/>
      </c>
      <c r="M95" s="62">
        <f>IF($N95="","",INDEX('Cronograma Asistente Técnico'!$Q$5:$Q$1000,$N95)&amp;"")</f>
        <v/>
      </c>
      <c r="N95">
        <f>IFERROR(MATCH(ROW()-4,rOrden_ATR,0),"")</f>
        <v/>
      </c>
      <c r="O95">
        <f>IF($N95="","",INDEX('Cronograma Asistente Técnico'!$V$5:$V$1000,$N95))</f>
        <v/>
      </c>
      <c r="P95">
        <f>IF($N95="","",N(INDEX('Cronograma Asistente Técnico'!$W$5:$W$1000,$N95)))</f>
        <v/>
      </c>
      <c r="Q95">
        <f>IF(OR(LEFT($L95,7)="Vencida",LEFT($L95,5)="Vence"),SUMPRODUCT(--(LEFT($L$5:$L95,7)="Vencida"))+SUMPRODUCT(--(LEFT($L$5:$L95,5)="Vence")),"")</f>
        <v/>
      </c>
    </row>
    <row r="96">
      <c r="A96" s="56">
        <f>IF($N96="","",INDEX('Cronograma Asistente Técnico'!$A$5:$A$1000,$N96))</f>
        <v/>
      </c>
      <c r="B96" s="62">
        <f>IF($N96="","",IF($O96="Sub","      ↳  "&amp;INDEX('Cronograma Asistente Técnico'!$C$5:$C$1000,$N96),INDEX('Cronograma Asistente Técnico'!$C$5:$C$1000,$N96)&amp;""))</f>
        <v/>
      </c>
      <c r="C96" s="79">
        <f>IF($N96="","",IF(INDEX('Cronograma Asistente Técnico'!$AM$5:$AM$1000,$N96)="","",INDEX('Cronograma Asistente Técnico'!$AM$5:$AM$1000,$N96)))</f>
        <v/>
      </c>
      <c r="D96" s="79">
        <f>IF($N96="","",IF(INDEX('Cronograma Asistente Técnico'!$AN$5:$AN$1000,$N96)="","",INDEX('Cronograma Asistente Técnico'!$AN$5:$AN$1000,$N96)))</f>
        <v/>
      </c>
      <c r="E96" s="56">
        <f>IF($N96="","",IF(NOT(ISNUMBER($D96)),"",IF($D96&lt;InicioCiclo,"Antes del ciclo",IF($D96&gt;=InicioCiclo+28,"Después del ciclo","Semana "&amp;(INT(($D96-InicioCiclo)/7)+1)))))</f>
        <v/>
      </c>
      <c r="F96" s="61">
        <f>IF($N96="","",IF($P96&gt;0,IF(1&lt;=SemanaActual,INDEX('Cronograma Asistente Técnico'!$AC$5:$AC$1000,$N96),""),IF(INDEX('Cronograma Asistente Técnico'!$I$5:$I$1000,$N96)="","",INDEX('Cronograma Asistente Técnico'!$I$5:$I$1000,$N96))))</f>
        <v/>
      </c>
      <c r="G96" s="61">
        <f>IF($N96="","",IF($P96&gt;0,IF(2&lt;=SemanaActual,INDEX('Cronograma Asistente Técnico'!$AD$5:$AD$1000,$N96),""),IF(INDEX('Cronograma Asistente Técnico'!$J$5:$J$1000,$N96)="","",INDEX('Cronograma Asistente Técnico'!$J$5:$J$1000,$N96))))</f>
        <v/>
      </c>
      <c r="H96" s="61">
        <f>IF($N96="","",IF($P96&gt;0,IF(3&lt;=SemanaActual,INDEX('Cronograma Asistente Técnico'!$AE$5:$AE$1000,$N96),""),IF(INDEX('Cronograma Asistente Técnico'!$K$5:$K$1000,$N96)="","",INDEX('Cronograma Asistente Técnico'!$K$5:$K$1000,$N96))))</f>
        <v/>
      </c>
      <c r="I96" s="61">
        <f>IF($N96="","",IF($P96&gt;0,IF(4&lt;=SemanaActual,INDEX('Cronograma Asistente Técnico'!$AF$5:$AF$1000,$N96),""),IF(INDEX('Cronograma Asistente Técnico'!$L$5:$L$1000,$N96)="","",INDEX('Cronograma Asistente Técnico'!$L$5:$L$1000,$N96))))</f>
        <v/>
      </c>
      <c r="J96" s="61">
        <f>IF($N96="","",INDEX('Cronograma Asistente Técnico'!$M$5:$M$1000,$N96))</f>
        <v/>
      </c>
      <c r="K96" s="56">
        <f>IF($N96="","",IF(N($J96)&gt;=1,"Completado",IF(AND(ISNUMBER($D96),$D96&lt;FechaRef),"Vencida",IF(N($J96)&gt;0,"En curso","Pendiente"))))</f>
        <v/>
      </c>
      <c r="L96" s="56">
        <f>IF($N96="","",INDEX('Cronograma Asistente Técnico'!$O$5:$O$1000,$N96)&amp;"")</f>
        <v/>
      </c>
      <c r="M96" s="62">
        <f>IF($N96="","",INDEX('Cronograma Asistente Técnico'!$Q$5:$Q$1000,$N96)&amp;"")</f>
        <v/>
      </c>
      <c r="N96">
        <f>IFERROR(MATCH(ROW()-4,rOrden_ATR,0),"")</f>
        <v/>
      </c>
      <c r="O96">
        <f>IF($N96="","",INDEX('Cronograma Asistente Técnico'!$V$5:$V$1000,$N96))</f>
        <v/>
      </c>
      <c r="P96">
        <f>IF($N96="","",N(INDEX('Cronograma Asistente Técnico'!$W$5:$W$1000,$N96)))</f>
        <v/>
      </c>
      <c r="Q96">
        <f>IF(OR(LEFT($L96,7)="Vencida",LEFT($L96,5)="Vence"),SUMPRODUCT(--(LEFT($L$5:$L96,7)="Vencida"))+SUMPRODUCT(--(LEFT($L$5:$L96,5)="Vence")),"")</f>
        <v/>
      </c>
    </row>
    <row r="97">
      <c r="A97" s="56">
        <f>IF($N97="","",INDEX('Cronograma Asistente Técnico'!$A$5:$A$1000,$N97))</f>
        <v/>
      </c>
      <c r="B97" s="62">
        <f>IF($N97="","",IF($O97="Sub","      ↳  "&amp;INDEX('Cronograma Asistente Técnico'!$C$5:$C$1000,$N97),INDEX('Cronograma Asistente Técnico'!$C$5:$C$1000,$N97)&amp;""))</f>
        <v/>
      </c>
      <c r="C97" s="79">
        <f>IF($N97="","",IF(INDEX('Cronograma Asistente Técnico'!$AM$5:$AM$1000,$N97)="","",INDEX('Cronograma Asistente Técnico'!$AM$5:$AM$1000,$N97)))</f>
        <v/>
      </c>
      <c r="D97" s="79">
        <f>IF($N97="","",IF(INDEX('Cronograma Asistente Técnico'!$AN$5:$AN$1000,$N97)="","",INDEX('Cronograma Asistente Técnico'!$AN$5:$AN$1000,$N97)))</f>
        <v/>
      </c>
      <c r="E97" s="56">
        <f>IF($N97="","",IF(NOT(ISNUMBER($D97)),"",IF($D97&lt;InicioCiclo,"Antes del ciclo",IF($D97&gt;=InicioCiclo+28,"Después del ciclo","Semana "&amp;(INT(($D97-InicioCiclo)/7)+1)))))</f>
        <v/>
      </c>
      <c r="F97" s="61">
        <f>IF($N97="","",IF($P97&gt;0,IF(1&lt;=SemanaActual,INDEX('Cronograma Asistente Técnico'!$AC$5:$AC$1000,$N97),""),IF(INDEX('Cronograma Asistente Técnico'!$I$5:$I$1000,$N97)="","",INDEX('Cronograma Asistente Técnico'!$I$5:$I$1000,$N97))))</f>
        <v/>
      </c>
      <c r="G97" s="61">
        <f>IF($N97="","",IF($P97&gt;0,IF(2&lt;=SemanaActual,INDEX('Cronograma Asistente Técnico'!$AD$5:$AD$1000,$N97),""),IF(INDEX('Cronograma Asistente Técnico'!$J$5:$J$1000,$N97)="","",INDEX('Cronograma Asistente Técnico'!$J$5:$J$1000,$N97))))</f>
        <v/>
      </c>
      <c r="H97" s="61">
        <f>IF($N97="","",IF($P97&gt;0,IF(3&lt;=SemanaActual,INDEX('Cronograma Asistente Técnico'!$AE$5:$AE$1000,$N97),""),IF(INDEX('Cronograma Asistente Técnico'!$K$5:$K$1000,$N97)="","",INDEX('Cronograma Asistente Técnico'!$K$5:$K$1000,$N97))))</f>
        <v/>
      </c>
      <c r="I97" s="61">
        <f>IF($N97="","",IF($P97&gt;0,IF(4&lt;=SemanaActual,INDEX('Cronograma Asistente Técnico'!$AF$5:$AF$1000,$N97),""),IF(INDEX('Cronograma Asistente Técnico'!$L$5:$L$1000,$N97)="","",INDEX('Cronograma Asistente Técnico'!$L$5:$L$1000,$N97))))</f>
        <v/>
      </c>
      <c r="J97" s="61">
        <f>IF($N97="","",INDEX('Cronograma Asistente Técnico'!$M$5:$M$1000,$N97))</f>
        <v/>
      </c>
      <c r="K97" s="56">
        <f>IF($N97="","",IF(N($J97)&gt;=1,"Completado",IF(AND(ISNUMBER($D97),$D97&lt;FechaRef),"Vencida",IF(N($J97)&gt;0,"En curso","Pendiente"))))</f>
        <v/>
      </c>
      <c r="L97" s="56">
        <f>IF($N97="","",INDEX('Cronograma Asistente Técnico'!$O$5:$O$1000,$N97)&amp;"")</f>
        <v/>
      </c>
      <c r="M97" s="62">
        <f>IF($N97="","",INDEX('Cronograma Asistente Técnico'!$Q$5:$Q$1000,$N97)&amp;"")</f>
        <v/>
      </c>
      <c r="N97">
        <f>IFERROR(MATCH(ROW()-4,rOrden_ATR,0),"")</f>
        <v/>
      </c>
      <c r="O97">
        <f>IF($N97="","",INDEX('Cronograma Asistente Técnico'!$V$5:$V$1000,$N97))</f>
        <v/>
      </c>
      <c r="P97">
        <f>IF($N97="","",N(INDEX('Cronograma Asistente Técnico'!$W$5:$W$1000,$N97)))</f>
        <v/>
      </c>
      <c r="Q97">
        <f>IF(OR(LEFT($L97,7)="Vencida",LEFT($L97,5)="Vence"),SUMPRODUCT(--(LEFT($L$5:$L97,7)="Vencida"))+SUMPRODUCT(--(LEFT($L$5:$L97,5)="Vence")),"")</f>
        <v/>
      </c>
    </row>
    <row r="98">
      <c r="A98" s="56">
        <f>IF($N98="","",INDEX('Cronograma Asistente Técnico'!$A$5:$A$1000,$N98))</f>
        <v/>
      </c>
      <c r="B98" s="62">
        <f>IF($N98="","",IF($O98="Sub","      ↳  "&amp;INDEX('Cronograma Asistente Técnico'!$C$5:$C$1000,$N98),INDEX('Cronograma Asistente Técnico'!$C$5:$C$1000,$N98)&amp;""))</f>
        <v/>
      </c>
      <c r="C98" s="79">
        <f>IF($N98="","",IF(INDEX('Cronograma Asistente Técnico'!$AM$5:$AM$1000,$N98)="","",INDEX('Cronograma Asistente Técnico'!$AM$5:$AM$1000,$N98)))</f>
        <v/>
      </c>
      <c r="D98" s="79">
        <f>IF($N98="","",IF(INDEX('Cronograma Asistente Técnico'!$AN$5:$AN$1000,$N98)="","",INDEX('Cronograma Asistente Técnico'!$AN$5:$AN$1000,$N98)))</f>
        <v/>
      </c>
      <c r="E98" s="56">
        <f>IF($N98="","",IF(NOT(ISNUMBER($D98)),"",IF($D98&lt;InicioCiclo,"Antes del ciclo",IF($D98&gt;=InicioCiclo+28,"Después del ciclo","Semana "&amp;(INT(($D98-InicioCiclo)/7)+1)))))</f>
        <v/>
      </c>
      <c r="F98" s="61">
        <f>IF($N98="","",IF($P98&gt;0,IF(1&lt;=SemanaActual,INDEX('Cronograma Asistente Técnico'!$AC$5:$AC$1000,$N98),""),IF(INDEX('Cronograma Asistente Técnico'!$I$5:$I$1000,$N98)="","",INDEX('Cronograma Asistente Técnico'!$I$5:$I$1000,$N98))))</f>
        <v/>
      </c>
      <c r="G98" s="61">
        <f>IF($N98="","",IF($P98&gt;0,IF(2&lt;=SemanaActual,INDEX('Cronograma Asistente Técnico'!$AD$5:$AD$1000,$N98),""),IF(INDEX('Cronograma Asistente Técnico'!$J$5:$J$1000,$N98)="","",INDEX('Cronograma Asistente Técnico'!$J$5:$J$1000,$N98))))</f>
        <v/>
      </c>
      <c r="H98" s="61">
        <f>IF($N98="","",IF($P98&gt;0,IF(3&lt;=SemanaActual,INDEX('Cronograma Asistente Técnico'!$AE$5:$AE$1000,$N98),""),IF(INDEX('Cronograma Asistente Técnico'!$K$5:$K$1000,$N98)="","",INDEX('Cronograma Asistente Técnico'!$K$5:$K$1000,$N98))))</f>
        <v/>
      </c>
      <c r="I98" s="61">
        <f>IF($N98="","",IF($P98&gt;0,IF(4&lt;=SemanaActual,INDEX('Cronograma Asistente Técnico'!$AF$5:$AF$1000,$N98),""),IF(INDEX('Cronograma Asistente Técnico'!$L$5:$L$1000,$N98)="","",INDEX('Cronograma Asistente Técnico'!$L$5:$L$1000,$N98))))</f>
        <v/>
      </c>
      <c r="J98" s="61">
        <f>IF($N98="","",INDEX('Cronograma Asistente Técnico'!$M$5:$M$1000,$N98))</f>
        <v/>
      </c>
      <c r="K98" s="56">
        <f>IF($N98="","",IF(N($J98)&gt;=1,"Completado",IF(AND(ISNUMBER($D98),$D98&lt;FechaRef),"Vencida",IF(N($J98)&gt;0,"En curso","Pendiente"))))</f>
        <v/>
      </c>
      <c r="L98" s="56">
        <f>IF($N98="","",INDEX('Cronograma Asistente Técnico'!$O$5:$O$1000,$N98)&amp;"")</f>
        <v/>
      </c>
      <c r="M98" s="62">
        <f>IF($N98="","",INDEX('Cronograma Asistente Técnico'!$Q$5:$Q$1000,$N98)&amp;"")</f>
        <v/>
      </c>
      <c r="N98">
        <f>IFERROR(MATCH(ROW()-4,rOrden_ATR,0),"")</f>
        <v/>
      </c>
      <c r="O98">
        <f>IF($N98="","",INDEX('Cronograma Asistente Técnico'!$V$5:$V$1000,$N98))</f>
        <v/>
      </c>
      <c r="P98">
        <f>IF($N98="","",N(INDEX('Cronograma Asistente Técnico'!$W$5:$W$1000,$N98)))</f>
        <v/>
      </c>
      <c r="Q98">
        <f>IF(OR(LEFT($L98,7)="Vencida",LEFT($L98,5)="Vence"),SUMPRODUCT(--(LEFT($L$5:$L98,7)="Vencida"))+SUMPRODUCT(--(LEFT($L$5:$L98,5)="Vence")),"")</f>
        <v/>
      </c>
    </row>
    <row r="99">
      <c r="A99" s="56">
        <f>IF($N99="","",INDEX('Cronograma Asistente Técnico'!$A$5:$A$1000,$N99))</f>
        <v/>
      </c>
      <c r="B99" s="62">
        <f>IF($N99="","",IF($O99="Sub","      ↳  "&amp;INDEX('Cronograma Asistente Técnico'!$C$5:$C$1000,$N99),INDEX('Cronograma Asistente Técnico'!$C$5:$C$1000,$N99)&amp;""))</f>
        <v/>
      </c>
      <c r="C99" s="79">
        <f>IF($N99="","",IF(INDEX('Cronograma Asistente Técnico'!$AM$5:$AM$1000,$N99)="","",INDEX('Cronograma Asistente Técnico'!$AM$5:$AM$1000,$N99)))</f>
        <v/>
      </c>
      <c r="D99" s="79">
        <f>IF($N99="","",IF(INDEX('Cronograma Asistente Técnico'!$AN$5:$AN$1000,$N99)="","",INDEX('Cronograma Asistente Técnico'!$AN$5:$AN$1000,$N99)))</f>
        <v/>
      </c>
      <c r="E99" s="56">
        <f>IF($N99="","",IF(NOT(ISNUMBER($D99)),"",IF($D99&lt;InicioCiclo,"Antes del ciclo",IF($D99&gt;=InicioCiclo+28,"Después del ciclo","Semana "&amp;(INT(($D99-InicioCiclo)/7)+1)))))</f>
        <v/>
      </c>
      <c r="F99" s="61">
        <f>IF($N99="","",IF($P99&gt;0,IF(1&lt;=SemanaActual,INDEX('Cronograma Asistente Técnico'!$AC$5:$AC$1000,$N99),""),IF(INDEX('Cronograma Asistente Técnico'!$I$5:$I$1000,$N99)="","",INDEX('Cronograma Asistente Técnico'!$I$5:$I$1000,$N99))))</f>
        <v/>
      </c>
      <c r="G99" s="61">
        <f>IF($N99="","",IF($P99&gt;0,IF(2&lt;=SemanaActual,INDEX('Cronograma Asistente Técnico'!$AD$5:$AD$1000,$N99),""),IF(INDEX('Cronograma Asistente Técnico'!$J$5:$J$1000,$N99)="","",INDEX('Cronograma Asistente Técnico'!$J$5:$J$1000,$N99))))</f>
        <v/>
      </c>
      <c r="H99" s="61">
        <f>IF($N99="","",IF($P99&gt;0,IF(3&lt;=SemanaActual,INDEX('Cronograma Asistente Técnico'!$AE$5:$AE$1000,$N99),""),IF(INDEX('Cronograma Asistente Técnico'!$K$5:$K$1000,$N99)="","",INDEX('Cronograma Asistente Técnico'!$K$5:$K$1000,$N99))))</f>
        <v/>
      </c>
      <c r="I99" s="61">
        <f>IF($N99="","",IF($P99&gt;0,IF(4&lt;=SemanaActual,INDEX('Cronograma Asistente Técnico'!$AF$5:$AF$1000,$N99),""),IF(INDEX('Cronograma Asistente Técnico'!$L$5:$L$1000,$N99)="","",INDEX('Cronograma Asistente Técnico'!$L$5:$L$1000,$N99))))</f>
        <v/>
      </c>
      <c r="J99" s="61">
        <f>IF($N99="","",INDEX('Cronograma Asistente Técnico'!$M$5:$M$1000,$N99))</f>
        <v/>
      </c>
      <c r="K99" s="56">
        <f>IF($N99="","",IF(N($J99)&gt;=1,"Completado",IF(AND(ISNUMBER($D99),$D99&lt;FechaRef),"Vencida",IF(N($J99)&gt;0,"En curso","Pendiente"))))</f>
        <v/>
      </c>
      <c r="L99" s="56">
        <f>IF($N99="","",INDEX('Cronograma Asistente Técnico'!$O$5:$O$1000,$N99)&amp;"")</f>
        <v/>
      </c>
      <c r="M99" s="62">
        <f>IF($N99="","",INDEX('Cronograma Asistente Técnico'!$Q$5:$Q$1000,$N99)&amp;"")</f>
        <v/>
      </c>
      <c r="N99">
        <f>IFERROR(MATCH(ROW()-4,rOrden_ATR,0),"")</f>
        <v/>
      </c>
      <c r="O99">
        <f>IF($N99="","",INDEX('Cronograma Asistente Técnico'!$V$5:$V$1000,$N99))</f>
        <v/>
      </c>
      <c r="P99">
        <f>IF($N99="","",N(INDEX('Cronograma Asistente Técnico'!$W$5:$W$1000,$N99)))</f>
        <v/>
      </c>
      <c r="Q99">
        <f>IF(OR(LEFT($L99,7)="Vencida",LEFT($L99,5)="Vence"),SUMPRODUCT(--(LEFT($L$5:$L99,7)="Vencida"))+SUMPRODUCT(--(LEFT($L$5:$L99,5)="Vence")),"")</f>
        <v/>
      </c>
    </row>
    <row r="100">
      <c r="A100" s="56">
        <f>IF($N100="","",INDEX('Cronograma Asistente Técnico'!$A$5:$A$1000,$N100))</f>
        <v/>
      </c>
      <c r="B100" s="62">
        <f>IF($N100="","",IF($O100="Sub","      ↳  "&amp;INDEX('Cronograma Asistente Técnico'!$C$5:$C$1000,$N100),INDEX('Cronograma Asistente Técnico'!$C$5:$C$1000,$N100)&amp;""))</f>
        <v/>
      </c>
      <c r="C100" s="79">
        <f>IF($N100="","",IF(INDEX('Cronograma Asistente Técnico'!$AM$5:$AM$1000,$N100)="","",INDEX('Cronograma Asistente Técnico'!$AM$5:$AM$1000,$N100)))</f>
        <v/>
      </c>
      <c r="D100" s="79">
        <f>IF($N100="","",IF(INDEX('Cronograma Asistente Técnico'!$AN$5:$AN$1000,$N100)="","",INDEX('Cronograma Asistente Técnico'!$AN$5:$AN$1000,$N100)))</f>
        <v/>
      </c>
      <c r="E100" s="56">
        <f>IF($N100="","",IF(NOT(ISNUMBER($D100)),"",IF($D100&lt;InicioCiclo,"Antes del ciclo",IF($D100&gt;=InicioCiclo+28,"Después del ciclo","Semana "&amp;(INT(($D100-InicioCiclo)/7)+1)))))</f>
        <v/>
      </c>
      <c r="F100" s="61">
        <f>IF($N100="","",IF($P100&gt;0,IF(1&lt;=SemanaActual,INDEX('Cronograma Asistente Técnico'!$AC$5:$AC$1000,$N100),""),IF(INDEX('Cronograma Asistente Técnico'!$I$5:$I$1000,$N100)="","",INDEX('Cronograma Asistente Técnico'!$I$5:$I$1000,$N100))))</f>
        <v/>
      </c>
      <c r="G100" s="61">
        <f>IF($N100="","",IF($P100&gt;0,IF(2&lt;=SemanaActual,INDEX('Cronograma Asistente Técnico'!$AD$5:$AD$1000,$N100),""),IF(INDEX('Cronograma Asistente Técnico'!$J$5:$J$1000,$N100)="","",INDEX('Cronograma Asistente Técnico'!$J$5:$J$1000,$N100))))</f>
        <v/>
      </c>
      <c r="H100" s="61">
        <f>IF($N100="","",IF($P100&gt;0,IF(3&lt;=SemanaActual,INDEX('Cronograma Asistente Técnico'!$AE$5:$AE$1000,$N100),""),IF(INDEX('Cronograma Asistente Técnico'!$K$5:$K$1000,$N100)="","",INDEX('Cronograma Asistente Técnico'!$K$5:$K$1000,$N100))))</f>
        <v/>
      </c>
      <c r="I100" s="61">
        <f>IF($N100="","",IF($P100&gt;0,IF(4&lt;=SemanaActual,INDEX('Cronograma Asistente Técnico'!$AF$5:$AF$1000,$N100),""),IF(INDEX('Cronograma Asistente Técnico'!$L$5:$L$1000,$N100)="","",INDEX('Cronograma Asistente Técnico'!$L$5:$L$1000,$N100))))</f>
        <v/>
      </c>
      <c r="J100" s="61">
        <f>IF($N100="","",INDEX('Cronograma Asistente Técnico'!$M$5:$M$1000,$N100))</f>
        <v/>
      </c>
      <c r="K100" s="56">
        <f>IF($N100="","",IF(N($J100)&gt;=1,"Completado",IF(AND(ISNUMBER($D100),$D100&lt;FechaRef),"Vencida",IF(N($J100)&gt;0,"En curso","Pendiente"))))</f>
        <v/>
      </c>
      <c r="L100" s="56">
        <f>IF($N100="","",INDEX('Cronograma Asistente Técnico'!$O$5:$O$1000,$N100)&amp;"")</f>
        <v/>
      </c>
      <c r="M100" s="62">
        <f>IF($N100="","",INDEX('Cronograma Asistente Técnico'!$Q$5:$Q$1000,$N100)&amp;"")</f>
        <v/>
      </c>
      <c r="N100">
        <f>IFERROR(MATCH(ROW()-4,rOrden_ATR,0),"")</f>
        <v/>
      </c>
      <c r="O100">
        <f>IF($N100="","",INDEX('Cronograma Asistente Técnico'!$V$5:$V$1000,$N100))</f>
        <v/>
      </c>
      <c r="P100">
        <f>IF($N100="","",N(INDEX('Cronograma Asistente Técnico'!$W$5:$W$1000,$N100)))</f>
        <v/>
      </c>
      <c r="Q100">
        <f>IF(OR(LEFT($L100,7)="Vencida",LEFT($L100,5)="Vence"),SUMPRODUCT(--(LEFT($L$5:$L100,7)="Vencida"))+SUMPRODUCT(--(LEFT($L$5:$L100,5)="Vence")),"")</f>
        <v/>
      </c>
    </row>
    <row r="101">
      <c r="A101" s="56">
        <f>IF($N101="","",INDEX('Cronograma Asistente Técnico'!$A$5:$A$1000,$N101))</f>
        <v/>
      </c>
      <c r="B101" s="62">
        <f>IF($N101="","",IF($O101="Sub","      ↳  "&amp;INDEX('Cronograma Asistente Técnico'!$C$5:$C$1000,$N101),INDEX('Cronograma Asistente Técnico'!$C$5:$C$1000,$N101)&amp;""))</f>
        <v/>
      </c>
      <c r="C101" s="79">
        <f>IF($N101="","",IF(INDEX('Cronograma Asistente Técnico'!$AM$5:$AM$1000,$N101)="","",INDEX('Cronograma Asistente Técnico'!$AM$5:$AM$1000,$N101)))</f>
        <v/>
      </c>
      <c r="D101" s="79">
        <f>IF($N101="","",IF(INDEX('Cronograma Asistente Técnico'!$AN$5:$AN$1000,$N101)="","",INDEX('Cronograma Asistente Técnico'!$AN$5:$AN$1000,$N101)))</f>
        <v/>
      </c>
      <c r="E101" s="56">
        <f>IF($N101="","",IF(NOT(ISNUMBER($D101)),"",IF($D101&lt;InicioCiclo,"Antes del ciclo",IF($D101&gt;=InicioCiclo+28,"Después del ciclo","Semana "&amp;(INT(($D101-InicioCiclo)/7)+1)))))</f>
        <v/>
      </c>
      <c r="F101" s="61">
        <f>IF($N101="","",IF($P101&gt;0,IF(1&lt;=SemanaActual,INDEX('Cronograma Asistente Técnico'!$AC$5:$AC$1000,$N101),""),IF(INDEX('Cronograma Asistente Técnico'!$I$5:$I$1000,$N101)="","",INDEX('Cronograma Asistente Técnico'!$I$5:$I$1000,$N101))))</f>
        <v/>
      </c>
      <c r="G101" s="61">
        <f>IF($N101="","",IF($P101&gt;0,IF(2&lt;=SemanaActual,INDEX('Cronograma Asistente Técnico'!$AD$5:$AD$1000,$N101),""),IF(INDEX('Cronograma Asistente Técnico'!$J$5:$J$1000,$N101)="","",INDEX('Cronograma Asistente Técnico'!$J$5:$J$1000,$N101))))</f>
        <v/>
      </c>
      <c r="H101" s="61">
        <f>IF($N101="","",IF($P101&gt;0,IF(3&lt;=SemanaActual,INDEX('Cronograma Asistente Técnico'!$AE$5:$AE$1000,$N101),""),IF(INDEX('Cronograma Asistente Técnico'!$K$5:$K$1000,$N101)="","",INDEX('Cronograma Asistente Técnico'!$K$5:$K$1000,$N101))))</f>
        <v/>
      </c>
      <c r="I101" s="61">
        <f>IF($N101="","",IF($P101&gt;0,IF(4&lt;=SemanaActual,INDEX('Cronograma Asistente Técnico'!$AF$5:$AF$1000,$N101),""),IF(INDEX('Cronograma Asistente Técnico'!$L$5:$L$1000,$N101)="","",INDEX('Cronograma Asistente Técnico'!$L$5:$L$1000,$N101))))</f>
        <v/>
      </c>
      <c r="J101" s="61">
        <f>IF($N101="","",INDEX('Cronograma Asistente Técnico'!$M$5:$M$1000,$N101))</f>
        <v/>
      </c>
      <c r="K101" s="56">
        <f>IF($N101="","",IF(N($J101)&gt;=1,"Completado",IF(AND(ISNUMBER($D101),$D101&lt;FechaRef),"Vencida",IF(N($J101)&gt;0,"En curso","Pendiente"))))</f>
        <v/>
      </c>
      <c r="L101" s="56">
        <f>IF($N101="","",INDEX('Cronograma Asistente Técnico'!$O$5:$O$1000,$N101)&amp;"")</f>
        <v/>
      </c>
      <c r="M101" s="62">
        <f>IF($N101="","",INDEX('Cronograma Asistente Técnico'!$Q$5:$Q$1000,$N101)&amp;"")</f>
        <v/>
      </c>
      <c r="N101">
        <f>IFERROR(MATCH(ROW()-4,rOrden_ATR,0),"")</f>
        <v/>
      </c>
      <c r="O101">
        <f>IF($N101="","",INDEX('Cronograma Asistente Técnico'!$V$5:$V$1000,$N101))</f>
        <v/>
      </c>
      <c r="P101">
        <f>IF($N101="","",N(INDEX('Cronograma Asistente Técnico'!$W$5:$W$1000,$N101)))</f>
        <v/>
      </c>
      <c r="Q101">
        <f>IF(OR(LEFT($L101,7)="Vencida",LEFT($L101,5)="Vence"),SUMPRODUCT(--(LEFT($L$5:$L101,7)="Vencida"))+SUMPRODUCT(--(LEFT($L$5:$L101,5)="Vence")),"")</f>
        <v/>
      </c>
    </row>
    <row r="102">
      <c r="A102" s="56">
        <f>IF($N102="","",INDEX('Cronograma Asistente Técnico'!$A$5:$A$1000,$N102))</f>
        <v/>
      </c>
      <c r="B102" s="62">
        <f>IF($N102="","",IF($O102="Sub","      ↳  "&amp;INDEX('Cronograma Asistente Técnico'!$C$5:$C$1000,$N102),INDEX('Cronograma Asistente Técnico'!$C$5:$C$1000,$N102)&amp;""))</f>
        <v/>
      </c>
      <c r="C102" s="79">
        <f>IF($N102="","",IF(INDEX('Cronograma Asistente Técnico'!$AM$5:$AM$1000,$N102)="","",INDEX('Cronograma Asistente Técnico'!$AM$5:$AM$1000,$N102)))</f>
        <v/>
      </c>
      <c r="D102" s="79">
        <f>IF($N102="","",IF(INDEX('Cronograma Asistente Técnico'!$AN$5:$AN$1000,$N102)="","",INDEX('Cronograma Asistente Técnico'!$AN$5:$AN$1000,$N102)))</f>
        <v/>
      </c>
      <c r="E102" s="56">
        <f>IF($N102="","",IF(NOT(ISNUMBER($D102)),"",IF($D102&lt;InicioCiclo,"Antes del ciclo",IF($D102&gt;=InicioCiclo+28,"Después del ciclo","Semana "&amp;(INT(($D102-InicioCiclo)/7)+1)))))</f>
        <v/>
      </c>
      <c r="F102" s="61">
        <f>IF($N102="","",IF($P102&gt;0,IF(1&lt;=SemanaActual,INDEX('Cronograma Asistente Técnico'!$AC$5:$AC$1000,$N102),""),IF(INDEX('Cronograma Asistente Técnico'!$I$5:$I$1000,$N102)="","",INDEX('Cronograma Asistente Técnico'!$I$5:$I$1000,$N102))))</f>
        <v/>
      </c>
      <c r="G102" s="61">
        <f>IF($N102="","",IF($P102&gt;0,IF(2&lt;=SemanaActual,INDEX('Cronograma Asistente Técnico'!$AD$5:$AD$1000,$N102),""),IF(INDEX('Cronograma Asistente Técnico'!$J$5:$J$1000,$N102)="","",INDEX('Cronograma Asistente Técnico'!$J$5:$J$1000,$N102))))</f>
        <v/>
      </c>
      <c r="H102" s="61">
        <f>IF($N102="","",IF($P102&gt;0,IF(3&lt;=SemanaActual,INDEX('Cronograma Asistente Técnico'!$AE$5:$AE$1000,$N102),""),IF(INDEX('Cronograma Asistente Técnico'!$K$5:$K$1000,$N102)="","",INDEX('Cronograma Asistente Técnico'!$K$5:$K$1000,$N102))))</f>
        <v/>
      </c>
      <c r="I102" s="61">
        <f>IF($N102="","",IF($P102&gt;0,IF(4&lt;=SemanaActual,INDEX('Cronograma Asistente Técnico'!$AF$5:$AF$1000,$N102),""),IF(INDEX('Cronograma Asistente Técnico'!$L$5:$L$1000,$N102)="","",INDEX('Cronograma Asistente Técnico'!$L$5:$L$1000,$N102))))</f>
        <v/>
      </c>
      <c r="J102" s="61">
        <f>IF($N102="","",INDEX('Cronograma Asistente Técnico'!$M$5:$M$1000,$N102))</f>
        <v/>
      </c>
      <c r="K102" s="56">
        <f>IF($N102="","",IF(N($J102)&gt;=1,"Completado",IF(AND(ISNUMBER($D102),$D102&lt;FechaRef),"Vencida",IF(N($J102)&gt;0,"En curso","Pendiente"))))</f>
        <v/>
      </c>
      <c r="L102" s="56">
        <f>IF($N102="","",INDEX('Cronograma Asistente Técnico'!$O$5:$O$1000,$N102)&amp;"")</f>
        <v/>
      </c>
      <c r="M102" s="62">
        <f>IF($N102="","",INDEX('Cronograma Asistente Técnico'!$Q$5:$Q$1000,$N102)&amp;"")</f>
        <v/>
      </c>
      <c r="N102">
        <f>IFERROR(MATCH(ROW()-4,rOrden_ATR,0),"")</f>
        <v/>
      </c>
      <c r="O102">
        <f>IF($N102="","",INDEX('Cronograma Asistente Técnico'!$V$5:$V$1000,$N102))</f>
        <v/>
      </c>
      <c r="P102">
        <f>IF($N102="","",N(INDEX('Cronograma Asistente Técnico'!$W$5:$W$1000,$N102)))</f>
        <v/>
      </c>
      <c r="Q102">
        <f>IF(OR(LEFT($L102,7)="Vencida",LEFT($L102,5)="Vence"),SUMPRODUCT(--(LEFT($L$5:$L102,7)="Vencida"))+SUMPRODUCT(--(LEFT($L$5:$L102,5)="Vence")),"")</f>
        <v/>
      </c>
    </row>
    <row r="103">
      <c r="A103" s="56">
        <f>IF($N103="","",INDEX('Cronograma Asistente Técnico'!$A$5:$A$1000,$N103))</f>
        <v/>
      </c>
      <c r="B103" s="62">
        <f>IF($N103="","",IF($O103="Sub","      ↳  "&amp;INDEX('Cronograma Asistente Técnico'!$C$5:$C$1000,$N103),INDEX('Cronograma Asistente Técnico'!$C$5:$C$1000,$N103)&amp;""))</f>
        <v/>
      </c>
      <c r="C103" s="79">
        <f>IF($N103="","",IF(INDEX('Cronograma Asistente Técnico'!$AM$5:$AM$1000,$N103)="","",INDEX('Cronograma Asistente Técnico'!$AM$5:$AM$1000,$N103)))</f>
        <v/>
      </c>
      <c r="D103" s="79">
        <f>IF($N103="","",IF(INDEX('Cronograma Asistente Técnico'!$AN$5:$AN$1000,$N103)="","",INDEX('Cronograma Asistente Técnico'!$AN$5:$AN$1000,$N103)))</f>
        <v/>
      </c>
      <c r="E103" s="56">
        <f>IF($N103="","",IF(NOT(ISNUMBER($D103)),"",IF($D103&lt;InicioCiclo,"Antes del ciclo",IF($D103&gt;=InicioCiclo+28,"Después del ciclo","Semana "&amp;(INT(($D103-InicioCiclo)/7)+1)))))</f>
        <v/>
      </c>
      <c r="F103" s="61">
        <f>IF($N103="","",IF($P103&gt;0,IF(1&lt;=SemanaActual,INDEX('Cronograma Asistente Técnico'!$AC$5:$AC$1000,$N103),""),IF(INDEX('Cronograma Asistente Técnico'!$I$5:$I$1000,$N103)="","",INDEX('Cronograma Asistente Técnico'!$I$5:$I$1000,$N103))))</f>
        <v/>
      </c>
      <c r="G103" s="61">
        <f>IF($N103="","",IF($P103&gt;0,IF(2&lt;=SemanaActual,INDEX('Cronograma Asistente Técnico'!$AD$5:$AD$1000,$N103),""),IF(INDEX('Cronograma Asistente Técnico'!$J$5:$J$1000,$N103)="","",INDEX('Cronograma Asistente Técnico'!$J$5:$J$1000,$N103))))</f>
        <v/>
      </c>
      <c r="H103" s="61">
        <f>IF($N103="","",IF($P103&gt;0,IF(3&lt;=SemanaActual,INDEX('Cronograma Asistente Técnico'!$AE$5:$AE$1000,$N103),""),IF(INDEX('Cronograma Asistente Técnico'!$K$5:$K$1000,$N103)="","",INDEX('Cronograma Asistente Técnico'!$K$5:$K$1000,$N103))))</f>
        <v/>
      </c>
      <c r="I103" s="61">
        <f>IF($N103="","",IF($P103&gt;0,IF(4&lt;=SemanaActual,INDEX('Cronograma Asistente Técnico'!$AF$5:$AF$1000,$N103),""),IF(INDEX('Cronograma Asistente Técnico'!$L$5:$L$1000,$N103)="","",INDEX('Cronograma Asistente Técnico'!$L$5:$L$1000,$N103))))</f>
        <v/>
      </c>
      <c r="J103" s="61">
        <f>IF($N103="","",INDEX('Cronograma Asistente Técnico'!$M$5:$M$1000,$N103))</f>
        <v/>
      </c>
      <c r="K103" s="56">
        <f>IF($N103="","",IF(N($J103)&gt;=1,"Completado",IF(AND(ISNUMBER($D103),$D103&lt;FechaRef),"Vencida",IF(N($J103)&gt;0,"En curso","Pendiente"))))</f>
        <v/>
      </c>
      <c r="L103" s="56">
        <f>IF($N103="","",INDEX('Cronograma Asistente Técnico'!$O$5:$O$1000,$N103)&amp;"")</f>
        <v/>
      </c>
      <c r="M103" s="62">
        <f>IF($N103="","",INDEX('Cronograma Asistente Técnico'!$Q$5:$Q$1000,$N103)&amp;"")</f>
        <v/>
      </c>
      <c r="N103">
        <f>IFERROR(MATCH(ROW()-4,rOrden_ATR,0),"")</f>
        <v/>
      </c>
      <c r="O103">
        <f>IF($N103="","",INDEX('Cronograma Asistente Técnico'!$V$5:$V$1000,$N103))</f>
        <v/>
      </c>
      <c r="P103">
        <f>IF($N103="","",N(INDEX('Cronograma Asistente Técnico'!$W$5:$W$1000,$N103)))</f>
        <v/>
      </c>
      <c r="Q103">
        <f>IF(OR(LEFT($L103,7)="Vencida",LEFT($L103,5)="Vence"),SUMPRODUCT(--(LEFT($L$5:$L103,7)="Vencida"))+SUMPRODUCT(--(LEFT($L$5:$L103,5)="Vence")),"")</f>
        <v/>
      </c>
    </row>
    <row r="104">
      <c r="A104" s="56">
        <f>IF($N104="","",INDEX('Cronograma Asistente Técnico'!$A$5:$A$1000,$N104))</f>
        <v/>
      </c>
      <c r="B104" s="62">
        <f>IF($N104="","",IF($O104="Sub","      ↳  "&amp;INDEX('Cronograma Asistente Técnico'!$C$5:$C$1000,$N104),INDEX('Cronograma Asistente Técnico'!$C$5:$C$1000,$N104)&amp;""))</f>
        <v/>
      </c>
      <c r="C104" s="79">
        <f>IF($N104="","",IF(INDEX('Cronograma Asistente Técnico'!$AM$5:$AM$1000,$N104)="","",INDEX('Cronograma Asistente Técnico'!$AM$5:$AM$1000,$N104)))</f>
        <v/>
      </c>
      <c r="D104" s="79">
        <f>IF($N104="","",IF(INDEX('Cronograma Asistente Técnico'!$AN$5:$AN$1000,$N104)="","",INDEX('Cronograma Asistente Técnico'!$AN$5:$AN$1000,$N104)))</f>
        <v/>
      </c>
      <c r="E104" s="56">
        <f>IF($N104="","",IF(NOT(ISNUMBER($D104)),"",IF($D104&lt;InicioCiclo,"Antes del ciclo",IF($D104&gt;=InicioCiclo+28,"Después del ciclo","Semana "&amp;(INT(($D104-InicioCiclo)/7)+1)))))</f>
        <v/>
      </c>
      <c r="F104" s="61">
        <f>IF($N104="","",IF($P104&gt;0,IF(1&lt;=SemanaActual,INDEX('Cronograma Asistente Técnico'!$AC$5:$AC$1000,$N104),""),IF(INDEX('Cronograma Asistente Técnico'!$I$5:$I$1000,$N104)="","",INDEX('Cronograma Asistente Técnico'!$I$5:$I$1000,$N104))))</f>
        <v/>
      </c>
      <c r="G104" s="61">
        <f>IF($N104="","",IF($P104&gt;0,IF(2&lt;=SemanaActual,INDEX('Cronograma Asistente Técnico'!$AD$5:$AD$1000,$N104),""),IF(INDEX('Cronograma Asistente Técnico'!$J$5:$J$1000,$N104)="","",INDEX('Cronograma Asistente Técnico'!$J$5:$J$1000,$N104))))</f>
        <v/>
      </c>
      <c r="H104" s="61">
        <f>IF($N104="","",IF($P104&gt;0,IF(3&lt;=SemanaActual,INDEX('Cronograma Asistente Técnico'!$AE$5:$AE$1000,$N104),""),IF(INDEX('Cronograma Asistente Técnico'!$K$5:$K$1000,$N104)="","",INDEX('Cronograma Asistente Técnico'!$K$5:$K$1000,$N104))))</f>
        <v/>
      </c>
      <c r="I104" s="61">
        <f>IF($N104="","",IF($P104&gt;0,IF(4&lt;=SemanaActual,INDEX('Cronograma Asistente Técnico'!$AF$5:$AF$1000,$N104),""),IF(INDEX('Cronograma Asistente Técnico'!$L$5:$L$1000,$N104)="","",INDEX('Cronograma Asistente Técnico'!$L$5:$L$1000,$N104))))</f>
        <v/>
      </c>
      <c r="J104" s="61">
        <f>IF($N104="","",INDEX('Cronograma Asistente Técnico'!$M$5:$M$1000,$N104))</f>
        <v/>
      </c>
      <c r="K104" s="56">
        <f>IF($N104="","",IF(N($J104)&gt;=1,"Completado",IF(AND(ISNUMBER($D104),$D104&lt;FechaRef),"Vencida",IF(N($J104)&gt;0,"En curso","Pendiente"))))</f>
        <v/>
      </c>
      <c r="L104" s="56">
        <f>IF($N104="","",INDEX('Cronograma Asistente Técnico'!$O$5:$O$1000,$N104)&amp;"")</f>
        <v/>
      </c>
      <c r="M104" s="62">
        <f>IF($N104="","",INDEX('Cronograma Asistente Técnico'!$Q$5:$Q$1000,$N104)&amp;"")</f>
        <v/>
      </c>
      <c r="N104">
        <f>IFERROR(MATCH(ROW()-4,rOrden_ATR,0),"")</f>
        <v/>
      </c>
      <c r="O104">
        <f>IF($N104="","",INDEX('Cronograma Asistente Técnico'!$V$5:$V$1000,$N104))</f>
        <v/>
      </c>
      <c r="P104">
        <f>IF($N104="","",N(INDEX('Cronograma Asistente Técnico'!$W$5:$W$1000,$N104)))</f>
        <v/>
      </c>
      <c r="Q104">
        <f>IF(OR(LEFT($L104,7)="Vencida",LEFT($L104,5)="Vence"),SUMPRODUCT(--(LEFT($L$5:$L104,7)="Vencida"))+SUMPRODUCT(--(LEFT($L$5:$L104,5)="Vence")),"")</f>
        <v/>
      </c>
    </row>
  </sheetData>
  <sheetProtection selectLockedCells="0" selectUnlockedCells="0" sheet="1" objects="0" insertRows="1" insertHyperlinks="1" autoFilter="0" scenarios="0" formatColumns="0" deleteColumns="1" insertColumns="1" pivotTables="1" deleteRows="1" formatCells="1" formatRows="0" sort="0"/>
  <mergeCells count="2">
    <mergeCell ref="A2:M2"/>
    <mergeCell ref="A1:M1"/>
  </mergeCells>
  <conditionalFormatting sqref="F5:I104">
    <cfRule type="expression" priority="1" dxfId="6" stopIfTrue="1">
      <formula>AND(AND(ISNUMBER($C5),ISNUMBER($D5),$C5&lt;=InicioCiclo+7*(COLUMN(F5)-6)+6,$D5&gt;=InicioCiclo+7*(COLUMN(F5)-6)),$K5="Vencida")</formula>
    </cfRule>
    <cfRule type="expression" priority="2" dxfId="26">
      <formula>AND(ISNUMBER($C5),ISNUMBER($D5),$C5&lt;=InicioCiclo+7*(COLUMN(F5)-6)+6,$D5&gt;=InicioCiclo+7*(COLUMN(F5)-6))</formula>
    </cfRule>
  </conditionalFormatting>
  <conditionalFormatting sqref="K5:K104">
    <cfRule type="expression" priority="3" dxfId="0">
      <formula>$K5="Completado"</formula>
    </cfRule>
    <cfRule type="expression" priority="4" dxfId="6">
      <formula>$K5="Vencida"</formula>
    </cfRule>
    <cfRule type="expression" priority="5" dxfId="4">
      <formula>$K5="En curso"</formula>
    </cfRule>
    <cfRule type="expression" priority="6" dxfId="5">
      <formula>$K5="Pendiente"</formula>
    </cfRule>
  </conditionalFormatting>
  <conditionalFormatting sqref="L5:L104">
    <cfRule type="expression" priority="7" dxfId="8" stopIfTrue="1">
      <formula>LEFT($L5,7)="Vencida"</formula>
    </cfRule>
    <cfRule type="expression" priority="8" dxfId="9" stopIfTrue="1">
      <formula>LEFT($L5,5)="Vence"</formula>
    </cfRule>
    <cfRule type="expression" priority="9" dxfId="0" stopIfTrue="1">
      <formula>LEFT($L5,8)="Cumplida"</formula>
    </cfRule>
    <cfRule type="expression" priority="10" dxfId="13" stopIfTrue="1">
      <formula>$L5="En plazo"</formula>
    </cfRule>
    <cfRule type="expression" priority="11" dxfId="5">
      <formula>$L5="Sin fecha límite"</formula>
    </cfRule>
  </conditionalFormatting>
  <conditionalFormatting sqref="E5:E104">
    <cfRule type="expression" priority="12" dxfId="1">
      <formula>$E5="Semana "&amp;SemanaActual</formula>
    </cfRule>
  </conditionalFormatting>
  <conditionalFormatting sqref="J5:J104">
    <cfRule type="dataBar" priority="13">
      <dataBar showValue="1">
        <cfvo type="num" val="0"/>
        <cfvo type="num" val="1"/>
        <color rgb="005B9BD5"/>
      </dataBar>
    </cfRule>
  </conditionalFormatting>
  <conditionalFormatting sqref="F4:I4">
    <cfRule type="expression" priority="14" dxfId="1">
      <formula>COLUMN(F4)-5=SemanaActual</formula>
    </cfRule>
  </conditionalFormatting>
  <conditionalFormatting sqref="F3:I3">
    <cfRule type="expression" priority="15" dxfId="1">
      <formula>COLUMN(F3)-5=SemanaActual</formula>
    </cfRule>
  </conditionalFormatting>
  <pageMargins left="0.4" right="0.4" top="0.5" bottom="0.5" header="0.5" footer="0.5"/>
  <pageSetup orientation="landscape" paperSize="1" fitToHeight="0" fitToWidth="1"/>
  <headerFooter>
    <oddHeader/>
    <oddFooter>&amp;C&amp;A – Página &amp;P de &amp;N</oddFooter>
    <evenHeader/>
    <evenFooter/>
    <firstHeader/>
    <firstFooter/>
  </headerFooter>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fitToPage="1"/>
  </sheetPr>
  <dimension ref="B1:B102"/>
  <sheetViews>
    <sheetView showGridLines="0" zoomScale="90" workbookViewId="0">
      <selection activeCell="A1" sqref="A1"/>
    </sheetView>
  </sheetViews>
  <sheetFormatPr baseColWidth="8" defaultRowHeight="15"/>
  <cols>
    <col width="3" customWidth="1" min="1" max="1"/>
    <col width="120" customWidth="1" min="2" max="2"/>
  </cols>
  <sheetData>
    <row r="1" ht="28" customHeight="1">
      <c r="B1" s="65" t="inlineStr">
        <is>
          <t>Instrucciones – cómo usar este archivo</t>
        </is>
      </c>
    </row>
    <row r="3" ht="20" customHeight="1">
      <c r="B3" s="86" t="inlineStr">
        <is>
          <t>¿Para qué sirve este archivo?</t>
        </is>
      </c>
    </row>
    <row r="4" ht="45" customHeight="1">
      <c r="B4" s="87" t="inlineStr">
        <is>
          <t>Sirve para planificar y medir, MES A MES, las actividades de los cuatro puestos del área: Riesgo Operacional, Riesgo Normativo, Riesgo Financiero y Asistente Técnico de Riesgo. Cada mes se divide en 4 semanas y la meta es que las actividades lleguen al 100% al terminar la Semana 4. Todo lo de meses anteriores queda guardado como historial.</t>
        </is>
      </c>
    </row>
    <row r="6" ht="20" customHeight="1">
      <c r="B6" s="86" t="inlineStr">
        <is>
          <t>Colores: qué se llena y qué no</t>
        </is>
      </c>
    </row>
    <row r="7" ht="15" customHeight="1">
      <c r="B7" s="87" t="inlineStr">
        <is>
          <t>• GRIS SUAVE = celda que usted llena (desbloqueada).</t>
        </is>
      </c>
    </row>
    <row r="8" ht="15" customHeight="1">
      <c r="B8" s="87" t="inlineStr">
        <is>
          <t>• AZUL MUY CLARO = celda automática (bloqueada: no se puede escribir en ella).</t>
        </is>
      </c>
    </row>
    <row r="9" ht="30" customHeight="1">
      <c r="B9" s="87" t="inlineStr">
        <is>
          <t>• Cada puesto tiene su color: NARANJA = Riesgo Operacional · MORADO = Riesgo Normativo · VERDE = Riesgo Financiero · AZUL = Asistente Técnico de Riesgo.</t>
        </is>
      </c>
    </row>
    <row r="10" ht="30" customHeight="1">
      <c r="B10" s="87" t="inlineStr">
        <is>
          <t>• Colores de avisos: verde = completado · azul claro = en curso · rojo suave = pendiente o dato faltante · ámbar = por vencer o mes actual · naranja = vencida.</t>
        </is>
      </c>
    </row>
    <row r="12" ht="20" customHeight="1">
      <c r="B12" s="86" t="inlineStr">
        <is>
          <t>Las hojas del archivo</t>
        </is>
      </c>
    </row>
    <row r="13" ht="30" customHeight="1">
      <c r="B13" s="87" t="inlineStr">
        <is>
          <t>• Dashboard - Consolidado: resumen del MES ACTUAL con dos gráficas (avance de cada puesto y avance por semana vs plan). Se actualiza solo; no se llena.</t>
        </is>
      </c>
    </row>
    <row r="14" ht="30" customHeight="1">
      <c r="B14" s="87" t="inlineStr">
        <is>
          <t>• Historial mensual: tabla con el avance de cada puesto mes a mes desde octubre 2026 y gráfica de los últimos 6 meses. Se actualiza sola.</t>
        </is>
      </c>
    </row>
    <row r="15" ht="30" customHeight="1">
      <c r="B15" s="87" t="inlineStr">
        <is>
          <t>• Cronograma (una por puesto): la ÚNICA hoja donde cada responsable escribe sus actividades, pesos, avances y observaciones.</t>
        </is>
      </c>
    </row>
    <row r="16" ht="30" customHeight="1">
      <c r="B16" s="87" t="inlineStr">
        <is>
          <t>• Actividades (una por puesto, al lado de su cronograma): muestra sola las actividades del mes, semana por semana. Está bloqueada; no se escribe nada.</t>
        </is>
      </c>
    </row>
    <row r="17" ht="15" customHeight="1">
      <c r="B17" s="87" t="inlineStr">
        <is>
          <t>• Configuración: mes, semana y fecha de corte. Todo se calcula solo con la fecha de hoy.</t>
        </is>
      </c>
    </row>
    <row r="19" ht="20" customHeight="1">
      <c r="B19" s="86" t="inlineStr">
        <is>
          <t>Cómo llenar su hoja «Cronograma» (paso a paso)</t>
        </is>
      </c>
    </row>
    <row r="20" ht="15" customHeight="1">
      <c r="B20" s="87" t="inlineStr">
        <is>
          <t>1) Abra la pestaña «Cronograma» de SU puesto y escriba en la primera fila vacía (celdas gris suave).</t>
        </is>
      </c>
    </row>
    <row r="21" ht="15" customHeight="1">
      <c r="B21" s="87" t="inlineStr">
        <is>
          <t>2) En «Tipo» elija «Macroactividad» (si lo deja vacío, también cuenta como macroactividad).</t>
        </is>
      </c>
    </row>
    <row r="22" ht="30" customHeight="1">
      <c r="B22" s="87" t="inlineStr">
        <is>
          <t>3) Escriba el nombre en «Actividad», la Fecha de inicio y la Fecha límite. El N° (1, 2, 3… por mes) y el Mes se llenan solos.</t>
        </is>
      </c>
    </row>
    <row r="23" ht="45" customHeight="1">
      <c r="B23" s="87" t="inlineStr">
        <is>
          <t>4) Peso (solo macroactividades, OPCIONAL): si lo deja vacío, todas las macroactividades del mes valen lo mismo. Si escribe pesos, se ajustan solos para sumar 100% (ej. si escribe 60% y 20%, quedan 75% y 25%). No hace falta que sumen 100% ni que esté todo el mes completo.</t>
        </is>
      </c>
    </row>
    <row r="24" ht="30" customHeight="1">
      <c r="B24" s="87" t="inlineStr">
        <is>
          <t>5) CUANDO TERMINE una actividad, escriba la FECHA DE CUMPLIMIENTO: queda al 100%, «Completado», y la alerta dice «Cumplida» (ya no aparece vencida).</t>
        </is>
      </c>
    </row>
    <row r="25" ht="30" customHeight="1">
      <c r="B25" s="87" t="inlineStr">
        <is>
          <t>6) Avances parciales (opcional): si una macroactividad sin subactividades va a medias, puede escribir en la columna de la semana el % total logrado hasta esa semana (ej. Semana 1 = 30%, Semana 2 = 70%).</t>
        </is>
      </c>
    </row>
    <row r="26" ht="15" customHeight="1">
      <c r="B26" s="87" t="inlineStr">
        <is>
          <t>7) El «% de Avance Total Actual», el «Estado» y la «Alerta de plazo» se calculan solos.</t>
        </is>
      </c>
    </row>
    <row r="27" ht="15" customHeight="1">
      <c r="B27" s="87" t="inlineStr">
        <is>
          <t>8) Observaciones: si una actividad se atrasa o no se cumplió, escriba aquí el motivo y la nueva fecha.</t>
        </is>
      </c>
    </row>
    <row r="29" ht="20" customHeight="1">
      <c r="B29" s="86" t="inlineStr">
        <is>
          <t>Subactividades (puede agregar todas las que necesite)</t>
        </is>
      </c>
    </row>
    <row r="30" ht="30" customHeight="1">
      <c r="B30" s="87" t="inlineStr">
        <is>
          <t>1) Debajo de la macroactividad, en las filas siguientes, elija en «Tipo» la opción «Subactividad» y escriba su nombre en «Actividad», con sus fechas. Se verá con sangría (↳) justo debajo de su macroactividad.</t>
        </is>
      </c>
    </row>
    <row r="31" ht="15" customHeight="1">
      <c r="B31" s="87" t="inlineStr">
        <is>
          <t>2) El N° NO se escribe: sale solo 1.1, 1.2, 1.3… (la columna está bloqueada).</t>
        </is>
      </c>
    </row>
    <row r="32" ht="30" customHeight="1">
      <c r="B32" s="87" t="inlineStr">
        <is>
          <t>3) Las subactividades NO llevan peso: todas valen lo mismo dentro de su macroactividad. Excel no deja escribir un peso en una fila «Subactividad» (muestra un aviso).</t>
        </is>
      </c>
    </row>
    <row r="33" ht="30" customHeight="1">
      <c r="B33" s="87" t="inlineStr">
        <is>
          <t>4) Cuando termine una subactividad, escriba su FECHA DE CUMPLIMIENTO (queda al 100%). También puede anotar avances parciales por semana.</t>
        </is>
      </c>
    </row>
    <row r="34" ht="60" customHeight="1">
      <c r="B34" s="87" t="inlineStr">
        <is>
          <t>5) La subactividad NO tiene estado ni alerta propios: en «% de Avance Total» muestra cuánto APORTA a su macroactividad (ej. con 4 subactividades, una al 50% «aporta 12,5%»). El % de la macroactividad se calcula SOLO: es la suma de esos aportes. Ejemplo con 4 subactividades: si cumple 1 → 25%; si cumple 2 → 50%; si cumple las 4 → 100%. En la fila de la macroactividad deje VACÍAS las semanas (se ven en azul claro).</t>
        </is>
      </c>
    </row>
    <row r="35" ht="30" customHeight="1">
      <c r="B35" s="87" t="inlineStr">
        <is>
          <t>6) Para agregar otra subactividad más adelante, escríbala debajo de las demás subactividades de su macroactividad: siempre pertenece a la macroactividad que esté más arriba.</t>
        </is>
      </c>
    </row>
    <row r="37" ht="20" customHeight="1">
      <c r="B37" s="86" t="inlineStr">
        <is>
          <t>Alerta de plazo (vencidas y por vencer)</t>
        </is>
      </c>
    </row>
    <row r="38" ht="30" customHeight="1">
      <c r="B38" s="87" t="inlineStr">
        <is>
          <t>La columna «Alerta de plazo» (en el Cronograma, la hoja Actividades y Administración) dice en cada macroactividad (las subactividades no llevan alerta; la lleva su macroactividad):</t>
        </is>
      </c>
    </row>
    <row r="39" ht="30" customHeight="1">
      <c r="B39" s="87" t="inlineStr">
        <is>
          <t>• «Cumplida» (verde): tiene fecha de cumplimiento o llegó al 100%. Si se cumplió después de la fecha límite dice «Cumplida con X días de retraso».</t>
        </is>
      </c>
    </row>
    <row r="40" ht="30" customHeight="1">
      <c r="B40" s="87" t="inlineStr">
        <is>
          <t>• «Vencida hace X días» (rojo): pasó la fecha límite y no tiene fecha de cumplimiento. Escriba en Observaciones por qué no se cumplió.</t>
        </is>
      </c>
    </row>
    <row r="41" ht="30" customHeight="1">
      <c r="B41" s="87" t="inlineStr">
        <is>
          <t>• «Vence hoy» o «Vence en X días» (amarillo): la fecha límite está cerca (el número de días se cambia en Configuración).</t>
        </is>
      </c>
    </row>
    <row r="42" ht="15" customHeight="1">
      <c r="B42" s="87" t="inlineStr">
        <is>
          <t>• «En plazo» (verde claro): todavía hay tiempo.</t>
        </is>
      </c>
    </row>
    <row r="43" ht="30" customHeight="1">
      <c r="B43" s="87" t="inlineStr">
        <is>
          <t>Arriba de cada hoja aparece el total del mes («X vencida(s) · Y por vencer») y el Dashboard muestra lo mismo por puesto y para la jefatura.</t>
        </is>
      </c>
    </row>
    <row r="45" ht="20" customHeight="1">
      <c r="B45" s="86" t="inlineStr">
        <is>
          <t>Hoja «Administración» (jefatura) y cómo DELEGAR actividades</t>
        </is>
      </c>
    </row>
    <row r="46" ht="30" customHeight="1">
      <c r="B46" s="87" t="inlineStr">
        <is>
          <t>Es la lista de actividades de la jefatura, con el mismo formato del Cronograma: Tipo (macroactividad / subactividad), actividad, fechas, fecha de cumplimiento, avance por semana, estado, alerta de plazo y observaciones.</t>
        </is>
      </c>
    </row>
    <row r="47" ht="30" customHeight="1">
      <c r="B47" s="87" t="inlineStr">
        <is>
          <t>DELEGAR: 1) La jefatura escribe la macroactividad y en «Delegar a» elige el puesto (si lo deja vacío, la actividad es de la jefatura).</t>
        </is>
      </c>
    </row>
    <row r="48" ht="30" customHeight="1">
      <c r="B48" s="87" t="inlineStr">
        <is>
          <t>2) Al puesto le aparece arriba de su Cronograma un aviso amarillo: «La jefatura le delegó X actividad(es)… pendiente(s) de agregar».</t>
        </is>
      </c>
    </row>
    <row r="49" ht="60" customHeight="1">
      <c r="B49" s="87" t="inlineStr">
        <is>
          <t>3) El puesto, en una fila nueva de su Cronograma, abre la lista de la columna «Actividad» y elige la actividad (sale como «[Jefatura] nombre»). La FECHA DE INICIO y la FECHA LÍMITE aparecen solas: las pone la jefatura y el puesto no las puede cambiar (Excel lo impide). El puesto solo registra la FECHA DE CUMPLIMIENTO, el % de avance semanal, las observaciones y, si quiere, subactividades debajo. No debe cambiar el texto elegido.</t>
        </is>
      </c>
    </row>
    <row r="50" ht="30" customHeight="1">
      <c r="B50" s="87" t="inlineStr">
        <is>
          <t>4) En la hoja Administración, las columnas «% de Avance», «Estado», «Alerta de plazo» y «Seguimiento» de esa actividad se llenan solas con lo que registra el puesto. «Seguimiento» dice «✔ Recibida por …» o «⚠ … aún no la agrega».</t>
        </is>
      </c>
    </row>
    <row r="51" ht="45" customHeight="1">
      <c r="B51" s="87" t="inlineStr">
        <is>
          <t>5) La actividad delegada CUENTA COMO TRABAJO DEL PUESTO: es una macroactividad más de su Cronograma y suma en su avance del mes, en el Dashboard y en el Historial (con el mismo peso que las demás, o el peso que el puesto le ponga).</t>
        </is>
      </c>
    </row>
    <row r="52" ht="30" customHeight="1">
      <c r="B52" s="87" t="inlineStr">
        <is>
          <t>Nota: si la jefatura cambia las fechas, se actualizan solas en el puesto. Si cambia el NOMBRE de una actividad ya delegada, el puesto debe volver a elegirla en la lista.</t>
        </is>
      </c>
    </row>
    <row r="53" ht="45" customHeight="1">
      <c r="B53" s="87" t="inlineStr">
        <is>
          <t>Para que SOLO la jefatura pueda escribir en la hoja Administración: en esa hoja vaya a Revisar &gt; Desproteger hoja, seleccione las celdas grises de la tabla, Inicio &gt; Formato &gt; Bloquear celda, y luego Revisar &gt; Proteger hoja con una contraseña que solo tenga la jefatura (para editar, la jefatura desprotege con su contraseña).</t>
        </is>
      </c>
    </row>
    <row r="54" ht="15" customHeight="1">
      <c r="B54" s="87" t="inlineStr">
        <is>
          <t>Las vencidas y por vencer de la jefatura también aparecen en el Dashboard, en la tabla de alertas de plazo.</t>
        </is>
      </c>
    </row>
    <row r="56" ht="20" customHeight="1">
      <c r="B56" s="86" t="inlineStr">
        <is>
          <t>¿Qué es la columna «Revisión automática (alertas)»?</t>
        </is>
      </c>
    </row>
    <row r="57" ht="45" customHeight="1">
      <c r="B57" s="87" t="inlineStr">
        <is>
          <t>Es un revisor automático: revisa cada fila y avisa si algo falta o está mal. «✔ OK» = todo bien. «⚠» = hay algo que corregir y dice qué es, por ejemplo: «Sin fecha límite», «Pesos del mes suman 90%», «Pesos de sus subactividades suman 50% (deben sumar 60%)», «Avance semanal decreciente» o «Vencida».</t>
        </is>
      </c>
    </row>
    <row r="58" ht="15" customHeight="1">
      <c r="B58" s="87" t="inlineStr">
        <is>
          <t>No hay que escribir nada en esa columna. Corrija lo que indica y el aviso desaparece.</t>
        </is>
      </c>
    </row>
    <row r="60" ht="20" customHeight="1">
      <c r="B60" s="86" t="inlineStr">
        <is>
          <t>La hoja «Actividades» (automática y bloqueada)</t>
        </is>
      </c>
    </row>
    <row r="61" ht="45" customHeight="1">
      <c r="B61" s="87" t="inlineStr">
        <is>
          <t>1) Muestra solo las MACROACTIVIDADES del mes actual de su Cronograma, en orden, con su alerta de plazo. Las subactividades no aparecen aquí (se ven en el Cronograma), pero su avance ya está sumado en el % de su macroactividad. No se escribe nada en ella.</t>
        </is>
      </c>
    </row>
    <row r="62" ht="15" customHeight="1">
      <c r="B62" s="87" t="inlineStr">
        <is>
          <t>2) «Semana de entrega» indica en qué semana del mes cae la fecha límite (la semana actual se resalta en amarillo).</t>
        </is>
      </c>
    </row>
    <row r="63" ht="45" customHeight="1">
      <c r="B63" s="87" t="inlineStr">
        <is>
          <t>3) Las columnas Semana 1 a 4 muestran una barra del color del puesto en las semanas en que la actividad está programada (de la fecha de inicio a la fecha límite) y, dentro, el avance anotado esa semana. Si la actividad está vencida, la barra se pone naranja.</t>
        </is>
      </c>
    </row>
    <row r="64" ht="15" customHeight="1">
      <c r="B64" s="87" t="inlineStr">
        <is>
          <t>4) Para cambiar algo, corríjalo en el Cronograma: esta hoja se actualiza al instante.</t>
        </is>
      </c>
    </row>
    <row r="66" ht="20" customHeight="1">
      <c r="B66" s="86" t="inlineStr">
        <is>
          <t>Cada mes nuevo: NO se borra nada</t>
        </is>
      </c>
    </row>
    <row r="67" ht="30" customHeight="1">
      <c r="B67" s="87" t="inlineStr">
        <is>
          <t>1) Al empezar el mes, cada responsable escribe las actividades del nuevo mes en las filas vacías de su Cronograma, DEBAJO de las del mes anterior. No borre nada: los meses pasados quedan como historial.</t>
        </is>
      </c>
    </row>
    <row r="68" ht="30" customHeight="1">
      <c r="B68" s="87" t="inlineStr">
        <is>
          <t>2) El mes de cada actividad se asigna solo según su fecha de inicio. El Dashboard y las hojas Actividades muestran automáticamente el mes actual, con su Semana 1 a 4.</t>
        </is>
      </c>
    </row>
    <row r="69" ht="30" customHeight="1">
      <c r="B69" s="87" t="inlineStr">
        <is>
          <t>3) Si una actividad se repite cada mes, cópiela en una fila nueva y cambie sus fechas al nuevo mes (y borre los avances de la copia).</t>
        </is>
      </c>
    </row>
    <row r="70" ht="45" customHeight="1">
      <c r="B70" s="87" t="inlineStr">
        <is>
          <t>4) Para revisar un mes anterior: en Configuración, en «Mes que se muestra», escriba cualquier fecha de ese mes (ej. 01/09/2026). Dashboard y Actividades mostrarán ese mes. Para volver al mes actual escriba =FECHA(AÑO(HOY());MES(HOY());1).</t>
        </is>
      </c>
    </row>
    <row r="71" ht="15" customHeight="1">
      <c r="B71" s="87" t="inlineStr">
        <is>
          <t>5) La hoja «Historial mensual» muestra el avance de cada puesto mes a mes, desde octubre 2026 (24 meses).</t>
        </is>
      </c>
    </row>
    <row r="72" ht="30" customHeight="1">
      <c r="B72" s="87" t="inlineStr">
        <is>
          <t>6) Cada Cronograma tiene 300 filas (por ejemplo, 25 actividades al mes durante un año). Si se llena, vea «Necesito más filas» o guarde una copia anual del archivo (Archivo &gt; Guardar una copia).</t>
        </is>
      </c>
    </row>
    <row r="74" ht="20" customHeight="1">
      <c r="B74" s="86" t="inlineStr">
        <is>
          <t>El Dashboard (resumen automático del mes)</t>
        </is>
      </c>
    </row>
    <row r="75" ht="30" customHeight="1">
      <c r="B75" s="87" t="inlineStr">
        <is>
          <t>• Muestra el avance de cada puesto y el general, cuántas actividades están completadas, en curso, pendientes o vencidas, y el avance de cada semana del mes.</t>
        </is>
      </c>
    </row>
    <row r="76" ht="30" customHeight="1">
      <c r="B76" s="87" t="inlineStr">
        <is>
          <t>• Avance del puesto = suma de (peso × avance) de sus actividades del mes. Avance general = promedio de los 4 puestos (todos valen igual).</t>
        </is>
      </c>
    </row>
    <row r="77" ht="30" customHeight="1">
      <c r="B77" s="87" t="inlineStr">
        <is>
          <t>• Si un puesto llega al 100% antes de la Semana 4 aparece «¡Enhorabuena, completado anticipadamente!». Si llega en la Semana 4: «Completado».</t>
        </is>
      </c>
    </row>
    <row r="78" ht="30" customHeight="1">
      <c r="B78" s="87" t="inlineStr">
        <is>
          <t>• Si un puesto no tiene actividades en el mes o sus pesos no suman 100%, el avance general aparece como «No definitivo» hasta que se corrija.</t>
        </is>
      </c>
    </row>
    <row r="79" ht="15" customHeight="1">
      <c r="B79" s="87" t="inlineStr">
        <is>
          <t>• Haga clic en el nombre de un puesto para ir a su hoja.</t>
        </is>
      </c>
    </row>
    <row r="81" ht="20" customHeight="1">
      <c r="B81" s="86" t="inlineStr">
        <is>
          <t>Compartir el archivo para que TODOS editen al mismo tiempo (OneDrive / SharePoint / Teams)</t>
        </is>
      </c>
    </row>
    <row r="82" ht="45" customHeight="1">
      <c r="B82" s="87" t="inlineStr">
        <is>
          <t>Este archivo ya está listo para la coautoría de Excel: varias personas escriben a la vez y ven los cambios de los demás en segundos. NO use «Compartir libro (heredado)»: es la opción antigua, no funciona con las tablas de este archivo y no hace falta.</t>
        </is>
      </c>
    </row>
    <row r="83" ht="30" customHeight="1">
      <c r="B83" s="87" t="inlineStr">
        <is>
          <t>1) Suba el archivo a la carpeta compartida de OneDrive, SharePoint o al canal de Teams (pestaña Archivos). Súbalo UNA sola vez; todos trabajan sobre esa misma copia.</t>
        </is>
      </c>
    </row>
    <row r="84" ht="30" customHeight="1">
      <c r="B84" s="87" t="inlineStr">
        <is>
          <t>2) Botón Compartir &gt; invite a los cuatro responsables y a la jefatura con permiso «Puede editar» (la jefatura escribe en la hoja Administración).</t>
        </is>
      </c>
    </row>
    <row r="85" ht="60" customHeight="1">
      <c r="B85" s="87" t="inlineStr">
        <is>
          <t>3) Cada persona lo abre en Excel de ESCRITORIO (no hace falta Excel en la Web), de cualquiera de estas formas: a) desde el Explorador de Windows, en la carpeta de OneDrive/SharePoint sincronizada (botón «Sincronizar» de la biblioteca), con doble clic; b) en Excel: Archivo &gt; Abrir &gt; OneDrive o Sitios; c) desde Teams: «…» &gt; Abrir en la aplicación de escritorio. No lo descargue ni lo envíe por correo: una copia descargada ya no se comparte.</t>
        </is>
      </c>
    </row>
    <row r="86" ht="45" customHeight="1">
      <c r="B86" s="87" t="inlineStr">
        <is>
          <t>4) Requisitos: Excel de Microsoft 365 (escritorio), con la sesión iniciada con la cuenta de la empresa y «Autoguardado» ACTIVADO (arriba a la izquierda). Con Excel 2016/2019 (sin Microsoft 365) o con el Autoguardado apagado, el archivo se bloquea para los demás. Si alguien no tiene Microsoft 365, puede usar Excel en la Web solo como respaldo.</t>
        </is>
      </c>
    </row>
    <row r="87" ht="30" customHeight="1">
      <c r="B87" s="87" t="inlineStr">
        <is>
          <t>5) Arriba a la derecha aparecen las iniciales de quienes están dentro, y cada uno ve con un color la celda donde está el otro.</t>
        </is>
      </c>
    </row>
    <row r="88" ht="30" customHeight="1">
      <c r="B88" s="87" t="inlineStr">
        <is>
          <t>6) Cada quien escribe solo en su hoja: su Cronograma (o Administración para la jefatura). Dashboard, Actividades e Historial se actualizan solos para todos.</t>
        </is>
      </c>
    </row>
    <row r="89" ht="30" customHeight="1">
      <c r="B89" s="87" t="inlineStr">
        <is>
          <t>7) Si alguien borra algo por error: Archivo &gt; Información &gt; Historial de versiones permite recuperar una versión anterior y ver quién cambió qué.</t>
        </is>
      </c>
    </row>
    <row r="91" ht="20" customHeight="1">
      <c r="B91" s="86" t="inlineStr">
        <is>
          <t>Protección</t>
        </is>
      </c>
    </row>
    <row r="92" ht="45" customHeight="1">
      <c r="B92" s="87" t="inlineStr">
        <is>
          <t>Las celdas automáticas (azul muy claro) están bloqueadas y las de llenar (gris suave) desbloqueadas. Las hojas Dashboard, Actividades, Historial y Configuración (salvo sus celdas gris suave) están completamente bloqueadas. La protección no tiene contraseña.</t>
        </is>
      </c>
    </row>
    <row r="93" ht="30" customHeight="1">
      <c r="B93" s="87" t="inlineStr">
        <is>
          <t>Para poner contraseña: Revisar &gt; Desproteger hoja y luego Revisar &gt; Proteger hoja; marque «Seleccionar celdas desbloqueadas», «Usar Autofiltro» y «Ordenar», y escriba la contraseña.</t>
        </is>
      </c>
    </row>
    <row r="94" ht="60" customHeight="1">
      <c r="B94" s="87" t="inlineStr">
        <is>
          <t>Importante: en un archivo compartido, cualquier persona con permiso de edición podría escribir en el Cronograma de otro puesto. Si se necesita impedirlo por completo, se usan cuatro archivos (uno por puesto) y este archivo los une con Power Query (Datos &gt; Obtener datos &gt; Desde SharePoint/carpeta, una consulta por tabla tblAct_XX, con «Actualizar al abrir»).</t>
        </is>
      </c>
    </row>
    <row r="96" ht="20" customHeight="1">
      <c r="B96" s="86" t="inlineStr">
        <is>
          <t>Necesito más filas</t>
        </is>
      </c>
    </row>
    <row r="97" ht="30" customHeight="1">
      <c r="B97" s="87" t="inlineStr">
        <is>
          <t>Revisar &gt; Desproteger hoja, colóquese en la última celda de la tabla del Cronograma y presione Tab; las fórmulas se copian solas. Luego vuelva a proteger la hoja. El Dashboard lee hasta la fila 1000.</t>
        </is>
      </c>
    </row>
    <row r="99" ht="20" customHeight="1">
      <c r="B99" s="86" t="inlineStr">
        <is>
          <t>Notas técnicas</t>
        </is>
      </c>
    </row>
    <row r="100" ht="30" customHeight="1">
      <c r="B100" s="87" t="inlineStr">
        <is>
          <t>• Archivo .xlsx sin macros, para Microsoft 365 en español (escritorio y Web). Las fórmulas se ven en español (BUSCAR, SI.ERROR, SUMAPRODUCTO, HOY…).</t>
        </is>
      </c>
    </row>
    <row r="101" ht="15" customHeight="1">
      <c r="B101" s="87" t="inlineStr">
        <is>
          <t>• Fórmula del avance actual: =SI.ERROR(BUSCAR(2;1/(G5:J5&lt;&gt;"");G5:J5);0) → toma el último avance semanal escrito.</t>
        </is>
      </c>
    </row>
    <row r="102" ht="30" customHeight="1">
      <c r="B102" s="87" t="inlineStr">
        <is>
          <t>• Mes de la actividad = mes de la fecha de inicio (si no hay, de la fecha límite). Semana actual = ENTERO((fecha de corte − primer lunes del mes) / 7) + 1, entre 1 y 4. Puede forzarse con «Semana manual» en Configuración.</t>
        </is>
      </c>
    </row>
  </sheetData>
  <sheetProtection selectLockedCells="0" selectUnlockedCells="0" sheet="1" objects="0" insertRows="1" insertHyperlinks="1" autoFilter="1" scenarios="0" formatColumns="1" deleteColumns="1" insertColumns="1" pivotTables="1" deleteRows="1" formatCells="1" formatRows="1" sort="1"/>
  <mergeCells count="1">
    <mergeCell ref="B1"/>
  </mergeCells>
  <pageMargins left="0.75" right="0.75" top="1" bottom="1" header="0.5" footer="0.5"/>
  <pageSetup orientation="portrait" fitToHeight="0" fitToWidth="1"/>
</worksheet>
</file>

<file path=xl/worksheets/sheet13.xml><?xml version="1.0" encoding="utf-8"?>
<worksheet xmlns="http://schemas.openxmlformats.org/spreadsheetml/2006/main">
  <sheetPr>
    <outlinePr summaryBelow="1" summaryRight="1"/>
    <pageSetUpPr fitToPage="1"/>
  </sheetPr>
  <dimension ref="B1:D55"/>
  <sheetViews>
    <sheetView showGridLines="0" zoomScale="90" workbookViewId="0">
      <pane ySplit="3" topLeftCell="A4" activePane="bottomLeft" state="frozen"/>
      <selection pane="bottomLeft" activeCell="A1" sqref="A1"/>
    </sheetView>
  </sheetViews>
  <sheetFormatPr baseColWidth="8" defaultRowHeight="15"/>
  <cols>
    <col width="3" customWidth="1" min="1" max="1"/>
    <col width="46" customWidth="1" min="2" max="2"/>
    <col width="18" customWidth="1" min="3" max="3"/>
    <col width="70" customWidth="1" min="4" max="4"/>
  </cols>
  <sheetData>
    <row r="1" ht="28" customHeight="1">
      <c r="B1" s="65" t="inlineStr">
        <is>
          <t>Configuración del ciclo mensual</t>
        </is>
      </c>
      <c r="C1" s="65" t="n"/>
      <c r="D1" s="65" t="n"/>
    </row>
    <row r="2">
      <c r="B2" s="88" t="inlineStr">
        <is>
          <t>Todo se calcula solo a partir de la fecha de hoy. Celdas GRIS SUAVE = puede escribir encima si necesita fijar otro valor; celdas AZUL CLARO = automáticas y bloqueadas.</t>
        </is>
      </c>
    </row>
    <row r="3">
      <c r="B3" s="7" t="inlineStr">
        <is>
          <t>Parámetro</t>
        </is>
      </c>
      <c r="C3" s="7" t="inlineStr">
        <is>
          <t>Valor</t>
        </is>
      </c>
      <c r="D3" s="7" t="inlineStr">
        <is>
          <t>Uso / nota</t>
        </is>
      </c>
    </row>
    <row r="4" ht="30" customHeight="1">
      <c r="B4" s="89" t="inlineStr">
        <is>
          <t>Mes que se muestra</t>
        </is>
      </c>
      <c r="C4" s="90">
        <f>DATE(YEAR(TODAY()),MONTH(TODAY()),1)</f>
        <v/>
      </c>
      <c r="D4" s="44" t="inlineStr">
        <is>
          <t>AUTOMÁTICO: mes actual. Para revisar un mes anterior (historial) escriba cualquier fecha de ese mes (ej. 01/09/2026); para volver al mes actual escriba =FECHA(AÑO(HOY());MES(HOY());1).</t>
        </is>
      </c>
    </row>
    <row r="5" ht="30" customHeight="1">
      <c r="B5" s="89" t="inlineStr">
        <is>
          <t>Fecha de inicio del ciclo (lunes de la Semana 1)</t>
        </is>
      </c>
      <c r="C5" s="91">
        <f>MesCiclo+MOD(2-WEEKDAY(MesCiclo),7)</f>
        <v/>
      </c>
      <c r="D5" s="44" t="inlineStr">
        <is>
          <t>AUTOMÁTICO: primer lunes del mes. Puede escribir otra fecha. Define en qué semana cae cada actividad en las hojas «Actividades».</t>
        </is>
      </c>
    </row>
    <row r="6" ht="30" customHeight="1">
      <c r="B6" s="89" t="inlineStr">
        <is>
          <t>Fecha de corte</t>
        </is>
      </c>
      <c r="C6" s="91">
        <f>TODAY()</f>
        <v/>
      </c>
      <c r="D6" s="44" t="inlineStr">
        <is>
          <t>AUTOMÁTICO: hoy. Puede escribir una fecha fija para emitir un reporte de corte. Determina actividades vencidas.</t>
        </is>
      </c>
    </row>
    <row r="7" ht="30" customHeight="1">
      <c r="B7" s="89" t="inlineStr">
        <is>
          <t>Semana actual del ciclo (1 a 4)</t>
        </is>
      </c>
      <c r="C7" s="92">
        <f>IF(SemanaManual&lt;&gt;"",SemanaManual,MIN(4,MAX(1,INT((FechaRef-InicioCiclo)/7)+1)))</f>
        <v/>
      </c>
      <c r="D7" s="44" t="inlineStr">
        <is>
          <t>AUTOMÁTICA: se calcula con la fecha de inicio y la fecha de corte. Controla los mensajes de finalización anticipada.</t>
        </is>
      </c>
    </row>
    <row r="8" ht="30" customHeight="1">
      <c r="B8" s="89" t="inlineStr">
        <is>
          <t>Semana manual (opcional)</t>
        </is>
      </c>
      <c r="C8" s="93" t="n"/>
      <c r="D8" s="44" t="inlineStr">
        <is>
          <t>Déjela VACÍA para usar la semana automática. Escriba 1–4 solo si necesita forzar otra semana.</t>
        </is>
      </c>
    </row>
    <row r="9" ht="30" customHeight="1">
      <c r="B9" s="89" t="inlineStr">
        <is>
          <t>Días de anticipación para alerta «próxima a vencer»</t>
        </is>
      </c>
      <c r="C9" s="93" t="n">
        <v>3</v>
      </c>
      <c r="D9" s="44" t="inlineStr">
        <is>
          <t>Actividades no completadas cuya fecha límite cae dentro de este número de días se señalan en ámbar.</t>
        </is>
      </c>
    </row>
    <row r="10" ht="30" customHeight="1">
      <c r="B10" s="89" t="inlineStr">
        <is>
          <t>¿Observación obligatoria si una actividad vence sin cumplirse?</t>
        </is>
      </c>
      <c r="C10" s="94" t="inlineStr">
        <is>
          <t>Sí</t>
        </is>
      </c>
      <c r="D10" s="44" t="inlineStr">
        <is>
          <t>Si es «Sí», una actividad vencida sin texto en Observaciones genera alerta (explicar por qué no se cumplió).</t>
        </is>
      </c>
    </row>
    <row r="11" ht="30" customHeight="1">
      <c r="B11" s="89" t="inlineStr">
        <is>
          <t>Meta mensual</t>
        </is>
      </c>
      <c r="C11" s="95" t="n">
        <v>1</v>
      </c>
      <c r="D11" s="44" t="inlineStr">
        <is>
          <t>Meta de cumplimiento de las actividades al cierre de la Semana 4 de cada mes.</t>
        </is>
      </c>
    </row>
    <row r="12" ht="30" customHeight="1">
      <c r="B12" s="89" t="inlineStr">
        <is>
          <t>Primer mes del historial</t>
        </is>
      </c>
      <c r="C12" s="90" t="n">
        <v>46296</v>
      </c>
      <c r="D12" s="44" t="inlineStr">
        <is>
          <t>El Historial mensual empieza en este mes (octubre 2026) y muestra 24 meses seguidos.</t>
        </is>
      </c>
    </row>
    <row r="14">
      <c r="B14" s="96" t="inlineStr">
        <is>
          <t>Plan de referencia (avance esperado acumulado por semana) – supuesto editable</t>
        </is>
      </c>
      <c r="C14" s="96" t="n"/>
      <c r="D14" s="96" t="n"/>
    </row>
    <row r="15">
      <c r="B15" s="97" t="inlineStr">
        <is>
          <t>Semana 1</t>
        </is>
      </c>
      <c r="C15" s="98" t="n">
        <v>0.25</v>
      </c>
      <c r="D15" s="99" t="inlineStr">
        <is>
          <t>Referencia lineal solo para comparación visual; no afecta el cálculo del avance real.</t>
        </is>
      </c>
    </row>
    <row r="16">
      <c r="B16" s="97" t="inlineStr">
        <is>
          <t>Semana 2</t>
        </is>
      </c>
      <c r="C16" s="98" t="n">
        <v>0.5</v>
      </c>
      <c r="D16" s="99" t="inlineStr">
        <is>
          <t>Referencia lineal solo para comparación visual; no afecta el cálculo del avance real.</t>
        </is>
      </c>
    </row>
    <row r="17">
      <c r="B17" s="97" t="inlineStr">
        <is>
          <t>Semana 3</t>
        </is>
      </c>
      <c r="C17" s="98" t="n">
        <v>0.75</v>
      </c>
      <c r="D17" s="99" t="inlineStr">
        <is>
          <t>Referencia lineal solo para comparación visual; no afecta el cálculo del avance real.</t>
        </is>
      </c>
    </row>
    <row r="18">
      <c r="B18" s="97" t="inlineStr">
        <is>
          <t>Semana 4</t>
        </is>
      </c>
      <c r="C18" s="98" t="n">
        <v>1</v>
      </c>
      <c r="D18" s="99" t="inlineStr">
        <is>
          <t>Referencia lineal solo para comparación visual; no afecta el cálculo del avance real.</t>
        </is>
      </c>
    </row>
    <row r="20">
      <c r="B20" s="100" t="inlineStr">
        <is>
          <t>Listas desplegables (no editar sin actualizar las fórmulas)</t>
        </is>
      </c>
      <c r="C20" s="100" t="n"/>
      <c r="D20" s="100" t="n"/>
    </row>
    <row r="21">
      <c r="B21" s="101" t="inlineStr">
        <is>
          <t>Áreas / Puestos</t>
        </is>
      </c>
    </row>
    <row r="22">
      <c r="B22" s="102" t="inlineStr">
        <is>
          <t>Riesgo Operacional</t>
        </is>
      </c>
    </row>
    <row r="23">
      <c r="B23" s="102" t="inlineStr">
        <is>
          <t>Riesgo Normativo</t>
        </is>
      </c>
    </row>
    <row r="24">
      <c r="B24" s="102" t="inlineStr">
        <is>
          <t>Riesgo Financiero</t>
        </is>
      </c>
    </row>
    <row r="25">
      <c r="B25" s="102" t="inlineStr">
        <is>
          <t>Asistente Técnico de Riesgo</t>
        </is>
      </c>
    </row>
    <row r="27">
      <c r="B27" s="101" t="inlineStr">
        <is>
          <t>Estados</t>
        </is>
      </c>
    </row>
    <row r="28">
      <c r="B28" s="102" t="inlineStr">
        <is>
          <t>Pendiente</t>
        </is>
      </c>
    </row>
    <row r="29">
      <c r="B29" s="102" t="inlineStr">
        <is>
          <t>En curso</t>
        </is>
      </c>
    </row>
    <row r="30">
      <c r="B30" s="102" t="inlineStr">
        <is>
          <t>Completado</t>
        </is>
      </c>
    </row>
    <row r="32">
      <c r="B32" s="101" t="inlineStr">
        <is>
          <t>Semanas</t>
        </is>
      </c>
    </row>
    <row r="33">
      <c r="B33" s="102" t="inlineStr">
        <is>
          <t>Semana 1</t>
        </is>
      </c>
    </row>
    <row r="34">
      <c r="B34" s="102" t="inlineStr">
        <is>
          <t>Semana 2</t>
        </is>
      </c>
    </row>
    <row r="35">
      <c r="B35" s="102" t="inlineStr">
        <is>
          <t>Semana 3</t>
        </is>
      </c>
    </row>
    <row r="36">
      <c r="B36" s="102" t="inlineStr">
        <is>
          <t>Semana 4</t>
        </is>
      </c>
    </row>
    <row r="38">
      <c r="B38" s="101" t="inlineStr">
        <is>
          <t>Sí / No</t>
        </is>
      </c>
    </row>
    <row r="39">
      <c r="B39" s="102" t="inlineStr">
        <is>
          <t>Sí</t>
        </is>
      </c>
    </row>
    <row r="40">
      <c r="B40" s="102" t="inlineStr">
        <is>
          <t>No</t>
        </is>
      </c>
    </row>
    <row r="43">
      <c r="B43" s="100" t="inlineStr">
        <is>
          <t>Metodología de cálculo (documentación)</t>
        </is>
      </c>
      <c r="C43" s="100" t="n"/>
      <c r="D43" s="100" t="n"/>
    </row>
    <row r="44" ht="30" customHeight="1">
      <c r="B44" s="103" t="inlineStr">
        <is>
          <t>1. Avance de una actividad = último avance semanal acumulado registrado (Semana 4 → 1), ignorando semanas vacías. Los avances semanales NO se suman.</t>
        </is>
      </c>
      <c r="C44" s="103" t="n"/>
      <c r="D44" s="103" t="n"/>
    </row>
    <row r="45" ht="30" customHeight="1">
      <c r="B45" s="103" t="inlineStr">
        <is>
          <t>2. Estado automático: 0% = Pendiente; &gt;0% y &lt;100% = En curso; 100% = Completado.</t>
        </is>
      </c>
      <c r="C45" s="103" t="n"/>
      <c r="D45" s="103" t="n"/>
    </row>
    <row r="46" ht="30" customHeight="1">
      <c r="B46" s="103" t="inlineStr">
        <is>
          <t>3. Avance ponderado del puesto = Σ (peso efectivo × avance actual) de las macroactividades del mes. Es válido si el puesto tiene ≥1 macroactividad en el mes y ningún peso fuera de 0–100%.</t>
        </is>
      </c>
      <c r="C46" s="103" t="n"/>
      <c r="D46" s="103" t="n"/>
    </row>
    <row r="47" ht="30" customHeight="1">
      <c r="B47" s="103" t="inlineStr">
        <is>
          <t>0. Cada actividad pertenece al mes de su fecha de inicio (columna «Mes» del Cronograma). Dashboard, hojas Actividades y cálculos usan solo el mes mostrado; los meses anteriores quedan en el Historial mensual.</t>
        </is>
      </c>
      <c r="C47" s="103" t="n"/>
      <c r="D47" s="103" t="n"/>
    </row>
    <row r="48" ht="30" customHeight="1">
      <c r="B48" s="103" t="inlineStr">
        <is>
          <t>0b. Subactividades: filas con Tipo «Subactividad» pertenecen a la macroactividad más cercana hacia arriba y valen igual. Avance de la macroactividad = promedio de sus subactividades (semana por semana). Una fila con Fecha de cumplimiento cuenta 100% desde la semana en que se cumplió. Peso efectivo de cada macroactividad = su peso / suma de pesos del mes (vacío = partes iguales), por lo que siempre suma 100%.</t>
        </is>
      </c>
      <c r="C48" s="103" t="n"/>
      <c r="D48" s="103" t="n"/>
    </row>
    <row r="49" ht="30" customHeight="1">
      <c r="B49" s="103" t="inlineStr">
        <is>
          <t>4. Avance general de las actividades = promedio simple de los 4 puestos (cada puesto pesa 25%, sin importar cuántas actividades tenga). Si algún puesto no es válido, el Dashboard muestra «No definitivo» y un valor provisional rotulado como tal.</t>
        </is>
      </c>
      <c r="C49" s="103" t="n"/>
      <c r="D49" s="103" t="n"/>
    </row>
    <row r="50" ht="30" customHeight="1">
      <c r="B50" s="103" t="inlineStr">
        <is>
          <t>5. Avance semanal acumulado (Semana n) = Σ peso × último avance registrado hasta la Semana n. Incremento semanal = acumulado Semana n − acumulado Semana n−1.</t>
        </is>
      </c>
      <c r="C50" s="103" t="n"/>
      <c r="D50" s="103" t="n"/>
    </row>
    <row r="51" ht="30" customHeight="1">
      <c r="B51" s="103" t="inlineStr">
        <is>
          <t>6. «¡Enhorabuena, completado anticipadamente!»: el puesto (o el total de actividades del mes) es válido, llega al 100% y la semana en que lo alcanzó (la menor entre la primera semana con 100% registrada y la Semana actual) es anterior a la Semana 4. Si lo alcanza en la Semana 4: «Completado». Si no: «En ejecución».</t>
        </is>
      </c>
      <c r="C51" s="103" t="n"/>
      <c r="D51" s="103" t="n"/>
    </row>
    <row r="52" ht="30" customHeight="1">
      <c r="B52" s="103" t="inlineStr">
        <is>
          <t>7. Una semana se muestra en el seguimiento si es ≤ Semana actual o si ya tiene algún avance registrado.</t>
        </is>
      </c>
      <c r="C52" s="103" t="n"/>
      <c r="D52" s="103" t="n"/>
    </row>
    <row r="53" ht="30" customHeight="1">
      <c r="B53" s="103" t="inlineStr">
        <is>
          <t>8. Cada puesto tiene su propia hoja «Cronograma» y su hoja «Actividades» semanales. El Dashboard consolida los cuatro cronogramas (filas 5 a 1000) y las cuatro hojas de actividades (filas 5 a 500).</t>
        </is>
      </c>
      <c r="C53" s="103" t="n"/>
      <c r="D53" s="103" t="n"/>
    </row>
    <row r="54" ht="30" customHeight="1">
      <c r="B54" s="103" t="inlineStr">
        <is>
          <t>9. Semana actual = ENTERO((fecha de corte − fecha de inicio) / 7) + 1, limitada entre 1 y 4, salvo que se escriba una semana manual.</t>
        </is>
      </c>
      <c r="C54" s="103" t="n"/>
      <c r="D54" s="103" t="n"/>
    </row>
    <row r="55" ht="30" customHeight="1">
      <c r="B55" s="103" t="inlineStr">
        <is>
          <t>10. Hojas «Actividades»: se llenan solas desde el Cronograma del puesto. Semana de entrega = semana en que cae la fecha límite. Estado: Completado (100%), Vencida (pasó la fecha límite sin llegar a 100%), En curso o Pendiente.</t>
        </is>
      </c>
      <c r="C55" s="103" t="n"/>
      <c r="D55" s="103" t="n"/>
    </row>
  </sheetData>
  <sheetProtection selectLockedCells="0" selectUnlockedCells="0" sheet="1" objects="0" insertRows="1" insertHyperlinks="1" autoFilter="1" scenarios="0" formatColumns="0" deleteColumns="1" insertColumns="1" pivotTables="1" deleteRows="1" formatCells="1" formatRows="1" sort="1"/>
  <mergeCells count="16">
    <mergeCell ref="B54:D54"/>
    <mergeCell ref="B14:D14"/>
    <mergeCell ref="B45:D45"/>
    <mergeCell ref="B46:D46"/>
    <mergeCell ref="B1:D1"/>
    <mergeCell ref="B49:D49"/>
    <mergeCell ref="B50:D50"/>
    <mergeCell ref="B52:D52"/>
    <mergeCell ref="B44:D44"/>
    <mergeCell ref="B53:D53"/>
    <mergeCell ref="B43:D43"/>
    <mergeCell ref="B55:D55"/>
    <mergeCell ref="B51:D51"/>
    <mergeCell ref="B47:D47"/>
    <mergeCell ref="B48:D48"/>
    <mergeCell ref="B20:D20"/>
  </mergeCells>
  <dataValidations count="4">
    <dataValidation sqref="C4 C5 C6 C12" showDropDown="0" showInputMessage="0" showErrorMessage="1" allowBlank="0" error="Ingrese una fecha válida (dd/mm/aaaa)." type="date" operator="greaterThan">
      <formula1>36526</formula1>
    </dataValidation>
    <dataValidation sqref="C8" showDropDown="0" showInputMessage="0" showErrorMessage="1" allowBlank="1" errorTitle="Semana no válida" error="Ingrese un número entero entre 1 y 4, o deje vacío para la semana automática." type="whole" operator="between">
      <formula1>1</formula1>
      <formula2>4</formula2>
    </dataValidation>
    <dataValidation sqref="C9" showDropDown="0" showInputMessage="0" showErrorMessage="1" allowBlank="0" error="Ingrese un número de días entre 0 y 30." type="whole" operator="between">
      <formula1>0</formula1>
      <formula2>30</formula2>
    </dataValidation>
    <dataValidation sqref="C10" showDropDown="0" showInputMessage="0" showErrorMessage="1" allowBlank="0" type="list">
      <formula1>ListaSiNo</formula1>
    </dataValidation>
  </dataValidations>
  <pageMargins left="0.75" right="0.75" top="1" bottom="1" header="0.5" footer="0.5"/>
  <pageSetup orientation="landscape" fitToHeight="0" fitToWidth="1"/>
</worksheet>
</file>

<file path=xl/worksheets/sheet14.xml><?xml version="1.0" encoding="utf-8"?>
<worksheet xmlns="http://schemas.openxmlformats.org/spreadsheetml/2006/main">
  <sheetPr>
    <outlinePr summaryBelow="1" summaryRight="1"/>
    <pageSetUpPr/>
  </sheetPr>
  <dimension ref="A1:U60"/>
  <sheetViews>
    <sheetView showGridLines="0" zoomScale="90" workbookViewId="0">
      <selection activeCell="A1" sqref="A1"/>
    </sheetView>
  </sheetViews>
  <sheetFormatPr baseColWidth="8" defaultRowHeight="15"/>
  <cols>
    <col width="28"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s>
  <sheetData>
    <row r="1">
      <c r="A1" s="104" t="inlineStr">
        <is>
          <t>Hoja auxiliar OCULTA: cálculos intermedios por puesto (cada fila lee la hoja de cronograma de su puesto) que alimentan el Dashboard. No editar. Ver metodología en Configuración.</t>
        </is>
      </c>
    </row>
    <row r="3">
      <c r="A3" s="105" t="inlineStr">
        <is>
          <t>Puesto</t>
        </is>
      </c>
      <c r="B3" s="105" t="inlineStr">
        <is>
          <t>N° actividades</t>
        </is>
      </c>
      <c r="C3" s="105" t="inlineStr">
        <is>
          <t>Suma de pesos</t>
        </is>
      </c>
      <c r="D3" s="105" t="inlineStr">
        <is>
          <t>Pesos vacíos o inválidos</t>
        </is>
      </c>
      <c r="E3" s="105" t="inlineStr">
        <is>
          <t>Configuración válida</t>
        </is>
      </c>
      <c r="F3" s="105" t="inlineStr">
        <is>
          <t>Avance ponderado actual</t>
        </is>
      </c>
      <c r="G3" s="105" t="inlineStr">
        <is>
          <t>Acum. Semana 1</t>
        </is>
      </c>
      <c r="H3" s="105" t="inlineStr">
        <is>
          <t>Acum. Semana 2</t>
        </is>
      </c>
      <c r="I3" s="105" t="inlineStr">
        <is>
          <t>Acum. Semana 3</t>
        </is>
      </c>
      <c r="J3" s="105" t="inlineStr">
        <is>
          <t>Acum. Semana 4</t>
        </is>
      </c>
      <c r="K3" s="105" t="inlineStr">
        <is>
          <t>Primera semana con 100%</t>
        </is>
      </c>
      <c r="L3" s="105" t="inlineStr">
        <is>
          <t>Completado (100%)</t>
        </is>
      </c>
      <c r="M3" s="105" t="inlineStr">
        <is>
          <t>Completado anticipadamente</t>
        </is>
      </c>
      <c r="N3" s="105" t="inlineStr">
        <is>
          <t>Completadas</t>
        </is>
      </c>
      <c r="O3" s="105" t="inlineStr">
        <is>
          <t>En curso</t>
        </is>
      </c>
      <c r="P3" s="105" t="inlineStr">
        <is>
          <t>Pendientes</t>
        </is>
      </c>
      <c r="Q3" s="105" t="inlineStr">
        <is>
          <t>Vencidas</t>
        </is>
      </c>
      <c r="R3" s="105" t="inlineStr">
        <is>
          <t>Con alertas</t>
        </is>
      </c>
      <c r="S3" s="105" t="inlineStr">
        <is>
          <t>Próximas a vencer</t>
        </is>
      </c>
      <c r="T3" s="105" t="inlineStr">
        <is>
          <t>Hoja de cronograma</t>
        </is>
      </c>
    </row>
    <row r="4">
      <c r="A4">
        <f>INDEX(ListaPuestos,1)</f>
        <v/>
      </c>
      <c r="B4">
        <f>COUNTIFS(rValid_RO,"?*",rMes_RO,MesCiclo,rTipo_RO,"Macro")</f>
        <v/>
      </c>
      <c r="C4" s="106">
        <f>SUMIFS(rPeso_RO,rMes_RO,MesCiclo,rTipo_RO,"Macro")</f>
        <v/>
      </c>
      <c r="D4" s="106">
        <f>COUNTIFS(rPesoEscrito_RO,"&gt;1",rMes_RO,MesCiclo,rTipo_RO,"Macro")+COUNTIFS(rPesoEscrito_RO,"&lt;0",rMes_RO,MesCiclo,rTipo_RO,"Macro")</f>
        <v/>
      </c>
      <c r="E4">
        <f>AND(B4&gt;0,D4=0,ABS(C4-1)&lt;=0.0001)</f>
        <v/>
      </c>
      <c r="F4" s="106">
        <f>IFERROR(SUMPRODUCT(--((rMes_RO=MesCiclo)*(rTipo_RO="Macro")),rPeso_RO,rAvance_RO),0)</f>
        <v/>
      </c>
      <c r="G4" s="106">
        <f>IFERROR(SUMPRODUCT(--((rMes_RO=MesCiclo)*(rTipo_RO="Macro")),rPeso_RO,rEf1_RO),0)</f>
        <v/>
      </c>
      <c r="H4" s="106">
        <f>IFERROR(SUMPRODUCT(--((rMes_RO=MesCiclo)*(rTipo_RO="Macro")),rPeso_RO,rEf2_RO),0)</f>
        <v/>
      </c>
      <c r="I4" s="106">
        <f>IFERROR(SUMPRODUCT(--((rMes_RO=MesCiclo)*(rTipo_RO="Macro")),rPeso_RO,rEf3_RO),0)</f>
        <v/>
      </c>
      <c r="J4" s="106">
        <f>IFERROR(SUMPRODUCT(--((rMes_RO=MesCiclo)*(rTipo_RO="Macro")),rPeso_RO,rEf4_RO),0)</f>
        <v/>
      </c>
      <c r="K4">
        <f>IF(ROUND(G4,4)&gt;=1,1,IF(ROUND(H4,4)&gt;=1,2,IF(ROUND(I4,4)&gt;=1,3,IF(ROUND(J4,4)&gt;=1,4,""))))</f>
        <v/>
      </c>
      <c r="L4">
        <f>AND(E4,ROUND(F4,4)&gt;=1)</f>
        <v/>
      </c>
      <c r="M4">
        <f>AND(L4,MIN(IF(K4="",4,K4),SemanaActual)&lt;4)</f>
        <v/>
      </c>
      <c r="N4">
        <f>COUNTIFS(rEstado_RO,"Completado",rMes_RO,MesCiclo,rTipo_RO,"Macro")</f>
        <v/>
      </c>
      <c r="O4">
        <f>COUNTIFS(rEstado_RO,"En curso",rMes_RO,MesCiclo,rTipo_RO,"Macro")</f>
        <v/>
      </c>
      <c r="P4">
        <f>COUNTIFS(rEstado_RO,"Pendiente",rMes_RO,MesCiclo,rTipo_RO,"Macro")</f>
        <v/>
      </c>
      <c r="Q4">
        <f>SUMPRODUCT((rMes_RO=MesCiclo)*(rTipo_RO="Macro")*ISNUMBER(SEARCH("Vencida",rValid_RO)))</f>
        <v/>
      </c>
      <c r="R4">
        <f>SUMPRODUCT((rMes_RO=MesCiclo)*(LEFT(rValid_RO,1)="⚠"))</f>
        <v/>
      </c>
      <c r="S4">
        <f>COUNTIFS(rFLim_RO,"&gt;="&amp;FechaRef,rFLim_RO,"&lt;="&amp;(FechaRef+DiasAlerta),rAvance_RO,"&lt;1",rMes_RO,MesCiclo,rTipo_RO,"Macro")</f>
        <v/>
      </c>
      <c r="T4" t="inlineStr">
        <is>
          <t>Cronograma R. Operacional</t>
        </is>
      </c>
      <c r="U4">
        <f>COUNTIFS(rMes_RO,MesCiclo,rTipo_RO,"Macro",rAct_RO,"[Jefatura]*")</f>
        <v/>
      </c>
    </row>
    <row r="5">
      <c r="A5">
        <f>INDEX(ListaPuestos,2)</f>
        <v/>
      </c>
      <c r="B5">
        <f>COUNTIFS(rValid_RN,"?*",rMes_RN,MesCiclo,rTipo_RN,"Macro")</f>
        <v/>
      </c>
      <c r="C5" s="106">
        <f>SUMIFS(rPeso_RN,rMes_RN,MesCiclo,rTipo_RN,"Macro")</f>
        <v/>
      </c>
      <c r="D5" s="106">
        <f>COUNTIFS(rPesoEscrito_RN,"&gt;1",rMes_RN,MesCiclo,rTipo_RN,"Macro")+COUNTIFS(rPesoEscrito_RN,"&lt;0",rMes_RN,MesCiclo,rTipo_RN,"Macro")</f>
        <v/>
      </c>
      <c r="E5">
        <f>AND(B5&gt;0,D5=0,ABS(C5-1)&lt;=0.0001)</f>
        <v/>
      </c>
      <c r="F5" s="106">
        <f>IFERROR(SUMPRODUCT(--((rMes_RN=MesCiclo)*(rTipo_RN="Macro")),rPeso_RN,rAvance_RN),0)</f>
        <v/>
      </c>
      <c r="G5" s="106">
        <f>IFERROR(SUMPRODUCT(--((rMes_RN=MesCiclo)*(rTipo_RN="Macro")),rPeso_RN,rEf1_RN),0)</f>
        <v/>
      </c>
      <c r="H5" s="106">
        <f>IFERROR(SUMPRODUCT(--((rMes_RN=MesCiclo)*(rTipo_RN="Macro")),rPeso_RN,rEf2_RN),0)</f>
        <v/>
      </c>
      <c r="I5" s="106">
        <f>IFERROR(SUMPRODUCT(--((rMes_RN=MesCiclo)*(rTipo_RN="Macro")),rPeso_RN,rEf3_RN),0)</f>
        <v/>
      </c>
      <c r="J5" s="106">
        <f>IFERROR(SUMPRODUCT(--((rMes_RN=MesCiclo)*(rTipo_RN="Macro")),rPeso_RN,rEf4_RN),0)</f>
        <v/>
      </c>
      <c r="K5">
        <f>IF(ROUND(G5,4)&gt;=1,1,IF(ROUND(H5,4)&gt;=1,2,IF(ROUND(I5,4)&gt;=1,3,IF(ROUND(J5,4)&gt;=1,4,""))))</f>
        <v/>
      </c>
      <c r="L5">
        <f>AND(E5,ROUND(F5,4)&gt;=1)</f>
        <v/>
      </c>
      <c r="M5">
        <f>AND(L5,MIN(IF(K5="",4,K5),SemanaActual)&lt;4)</f>
        <v/>
      </c>
      <c r="N5">
        <f>COUNTIFS(rEstado_RN,"Completado",rMes_RN,MesCiclo,rTipo_RN,"Macro")</f>
        <v/>
      </c>
      <c r="O5">
        <f>COUNTIFS(rEstado_RN,"En curso",rMes_RN,MesCiclo,rTipo_RN,"Macro")</f>
        <v/>
      </c>
      <c r="P5">
        <f>COUNTIFS(rEstado_RN,"Pendiente",rMes_RN,MesCiclo,rTipo_RN,"Macro")</f>
        <v/>
      </c>
      <c r="Q5">
        <f>SUMPRODUCT((rMes_RN=MesCiclo)*(rTipo_RN="Macro")*ISNUMBER(SEARCH("Vencida",rValid_RN)))</f>
        <v/>
      </c>
      <c r="R5">
        <f>SUMPRODUCT((rMes_RN=MesCiclo)*(LEFT(rValid_RN,1)="⚠"))</f>
        <v/>
      </c>
      <c r="S5">
        <f>COUNTIFS(rFLim_RN,"&gt;="&amp;FechaRef,rFLim_RN,"&lt;="&amp;(FechaRef+DiasAlerta),rAvance_RN,"&lt;1",rMes_RN,MesCiclo,rTipo_RN,"Macro")</f>
        <v/>
      </c>
      <c r="T5" t="inlineStr">
        <is>
          <t>Cronograma R. Normativo</t>
        </is>
      </c>
      <c r="U5">
        <f>COUNTIFS(rMes_RN,MesCiclo,rTipo_RN,"Macro",rAct_RN,"[Jefatura]*")</f>
        <v/>
      </c>
    </row>
    <row r="6">
      <c r="A6">
        <f>INDEX(ListaPuestos,3)</f>
        <v/>
      </c>
      <c r="B6">
        <f>COUNTIFS(rValid_RF,"?*",rMes_RF,MesCiclo,rTipo_RF,"Macro")</f>
        <v/>
      </c>
      <c r="C6" s="106">
        <f>SUMIFS(rPeso_RF,rMes_RF,MesCiclo,rTipo_RF,"Macro")</f>
        <v/>
      </c>
      <c r="D6" s="106">
        <f>COUNTIFS(rPesoEscrito_RF,"&gt;1",rMes_RF,MesCiclo,rTipo_RF,"Macro")+COUNTIFS(rPesoEscrito_RF,"&lt;0",rMes_RF,MesCiclo,rTipo_RF,"Macro")</f>
        <v/>
      </c>
      <c r="E6">
        <f>AND(B6&gt;0,D6=0,ABS(C6-1)&lt;=0.0001)</f>
        <v/>
      </c>
      <c r="F6" s="106">
        <f>IFERROR(SUMPRODUCT(--((rMes_RF=MesCiclo)*(rTipo_RF="Macro")),rPeso_RF,rAvance_RF),0)</f>
        <v/>
      </c>
      <c r="G6" s="106">
        <f>IFERROR(SUMPRODUCT(--((rMes_RF=MesCiclo)*(rTipo_RF="Macro")),rPeso_RF,rEf1_RF),0)</f>
        <v/>
      </c>
      <c r="H6" s="106">
        <f>IFERROR(SUMPRODUCT(--((rMes_RF=MesCiclo)*(rTipo_RF="Macro")),rPeso_RF,rEf2_RF),0)</f>
        <v/>
      </c>
      <c r="I6" s="106">
        <f>IFERROR(SUMPRODUCT(--((rMes_RF=MesCiclo)*(rTipo_RF="Macro")),rPeso_RF,rEf3_RF),0)</f>
        <v/>
      </c>
      <c r="J6" s="106">
        <f>IFERROR(SUMPRODUCT(--((rMes_RF=MesCiclo)*(rTipo_RF="Macro")),rPeso_RF,rEf4_RF),0)</f>
        <v/>
      </c>
      <c r="K6">
        <f>IF(ROUND(G6,4)&gt;=1,1,IF(ROUND(H6,4)&gt;=1,2,IF(ROUND(I6,4)&gt;=1,3,IF(ROUND(J6,4)&gt;=1,4,""))))</f>
        <v/>
      </c>
      <c r="L6">
        <f>AND(E6,ROUND(F6,4)&gt;=1)</f>
        <v/>
      </c>
      <c r="M6">
        <f>AND(L6,MIN(IF(K6="",4,K6),SemanaActual)&lt;4)</f>
        <v/>
      </c>
      <c r="N6">
        <f>COUNTIFS(rEstado_RF,"Completado",rMes_RF,MesCiclo,rTipo_RF,"Macro")</f>
        <v/>
      </c>
      <c r="O6">
        <f>COUNTIFS(rEstado_RF,"En curso",rMes_RF,MesCiclo,rTipo_RF,"Macro")</f>
        <v/>
      </c>
      <c r="P6">
        <f>COUNTIFS(rEstado_RF,"Pendiente",rMes_RF,MesCiclo,rTipo_RF,"Macro")</f>
        <v/>
      </c>
      <c r="Q6">
        <f>SUMPRODUCT((rMes_RF=MesCiclo)*(rTipo_RF="Macro")*ISNUMBER(SEARCH("Vencida",rValid_RF)))</f>
        <v/>
      </c>
      <c r="R6">
        <f>SUMPRODUCT((rMes_RF=MesCiclo)*(LEFT(rValid_RF,1)="⚠"))</f>
        <v/>
      </c>
      <c r="S6">
        <f>COUNTIFS(rFLim_RF,"&gt;="&amp;FechaRef,rFLim_RF,"&lt;="&amp;(FechaRef+DiasAlerta),rAvance_RF,"&lt;1",rMes_RF,MesCiclo,rTipo_RF,"Macro")</f>
        <v/>
      </c>
      <c r="T6" t="inlineStr">
        <is>
          <t>Cronograma R. Financiero</t>
        </is>
      </c>
      <c r="U6">
        <f>COUNTIFS(rMes_RF,MesCiclo,rTipo_RF,"Macro",rAct_RF,"[Jefatura]*")</f>
        <v/>
      </c>
    </row>
    <row r="7">
      <c r="A7">
        <f>INDEX(ListaPuestos,4)</f>
        <v/>
      </c>
      <c r="B7">
        <f>COUNTIFS(rValid_ATR,"?*",rMes_ATR,MesCiclo,rTipo_ATR,"Macro")</f>
        <v/>
      </c>
      <c r="C7" s="106">
        <f>SUMIFS(rPeso_ATR,rMes_ATR,MesCiclo,rTipo_ATR,"Macro")</f>
        <v/>
      </c>
      <c r="D7" s="106">
        <f>COUNTIFS(rPesoEscrito_ATR,"&gt;1",rMes_ATR,MesCiclo,rTipo_ATR,"Macro")+COUNTIFS(rPesoEscrito_ATR,"&lt;0",rMes_ATR,MesCiclo,rTipo_ATR,"Macro")</f>
        <v/>
      </c>
      <c r="E7">
        <f>AND(B7&gt;0,D7=0,ABS(C7-1)&lt;=0.0001)</f>
        <v/>
      </c>
      <c r="F7" s="106">
        <f>IFERROR(SUMPRODUCT(--((rMes_ATR=MesCiclo)*(rTipo_ATR="Macro")),rPeso_ATR,rAvance_ATR),0)</f>
        <v/>
      </c>
      <c r="G7" s="106">
        <f>IFERROR(SUMPRODUCT(--((rMes_ATR=MesCiclo)*(rTipo_ATR="Macro")),rPeso_ATR,rEf1_ATR),0)</f>
        <v/>
      </c>
      <c r="H7" s="106">
        <f>IFERROR(SUMPRODUCT(--((rMes_ATR=MesCiclo)*(rTipo_ATR="Macro")),rPeso_ATR,rEf2_ATR),0)</f>
        <v/>
      </c>
      <c r="I7" s="106">
        <f>IFERROR(SUMPRODUCT(--((rMes_ATR=MesCiclo)*(rTipo_ATR="Macro")),rPeso_ATR,rEf3_ATR),0)</f>
        <v/>
      </c>
      <c r="J7" s="106">
        <f>IFERROR(SUMPRODUCT(--((rMes_ATR=MesCiclo)*(rTipo_ATR="Macro")),rPeso_ATR,rEf4_ATR),0)</f>
        <v/>
      </c>
      <c r="K7">
        <f>IF(ROUND(G7,4)&gt;=1,1,IF(ROUND(H7,4)&gt;=1,2,IF(ROUND(I7,4)&gt;=1,3,IF(ROUND(J7,4)&gt;=1,4,""))))</f>
        <v/>
      </c>
      <c r="L7">
        <f>AND(E7,ROUND(F7,4)&gt;=1)</f>
        <v/>
      </c>
      <c r="M7">
        <f>AND(L7,MIN(IF(K7="",4,K7),SemanaActual)&lt;4)</f>
        <v/>
      </c>
      <c r="N7">
        <f>COUNTIFS(rEstado_ATR,"Completado",rMes_ATR,MesCiclo,rTipo_ATR,"Macro")</f>
        <v/>
      </c>
      <c r="O7">
        <f>COUNTIFS(rEstado_ATR,"En curso",rMes_ATR,MesCiclo,rTipo_ATR,"Macro")</f>
        <v/>
      </c>
      <c r="P7">
        <f>COUNTIFS(rEstado_ATR,"Pendiente",rMes_ATR,MesCiclo,rTipo_ATR,"Macro")</f>
        <v/>
      </c>
      <c r="Q7">
        <f>SUMPRODUCT((rMes_ATR=MesCiclo)*(rTipo_ATR="Macro")*ISNUMBER(SEARCH("Vencida",rValid_ATR)))</f>
        <v/>
      </c>
      <c r="R7">
        <f>SUMPRODUCT((rMes_ATR=MesCiclo)*(LEFT(rValid_ATR,1)="⚠"))</f>
        <v/>
      </c>
      <c r="S7">
        <f>COUNTIFS(rFLim_ATR,"&gt;="&amp;FechaRef,rFLim_ATR,"&lt;="&amp;(FechaRef+DiasAlerta),rAvance_ATR,"&lt;1",rMes_ATR,MesCiclo,rTipo_ATR,"Macro")</f>
        <v/>
      </c>
      <c r="T7" t="inlineStr">
        <is>
          <t>Cronograma Asistente Técnico</t>
        </is>
      </c>
      <c r="U7">
        <f>COUNTIFS(rMes_ATR,MesCiclo,rTipo_ATR,"Macro",rAct_ATR,"[Jefatura]*")</f>
        <v/>
      </c>
    </row>
    <row r="8">
      <c r="A8" t="inlineStr">
        <is>
          <t>Total actividades del mes (promedio de 4 puestos)</t>
        </is>
      </c>
      <c r="B8">
        <f>SUM(B4:B7)</f>
        <v/>
      </c>
      <c r="C8" s="107">
        <f>COUNTIF(E4:E7,TRUE)</f>
        <v/>
      </c>
      <c r="D8" s="106">
        <f>IF(C8&gt;0,SUMPRODUCT(F4:F7*(E4:E7=TRUE))/C8,"")</f>
        <v/>
      </c>
      <c r="E8">
        <f>AND(E4,E5,E6,E7)</f>
        <v/>
      </c>
      <c r="F8" s="106">
        <f>IF(E8,AVERAGE(F4:F7),"")</f>
        <v/>
      </c>
      <c r="G8" s="106">
        <f>IF($E$8,AVERAGE(G4:G7),"")</f>
        <v/>
      </c>
      <c r="H8" s="106">
        <f>IF($E$8,AVERAGE(H4:H7),"")</f>
        <v/>
      </c>
      <c r="I8" s="106">
        <f>IF($E$8,AVERAGE(I4:I7),"")</f>
        <v/>
      </c>
      <c r="J8" s="106">
        <f>IF($E$8,AVERAGE(J4:J7),"")</f>
        <v/>
      </c>
      <c r="K8">
        <f>IF(NOT(E8),"",IF(ROUND(G8,4)&gt;=1,1,IF(ROUND(H8,4)&gt;=1,2,IF(ROUND(I8,4)&gt;=1,3,IF(ROUND(J8,4)&gt;=1,4,"")))))</f>
        <v/>
      </c>
      <c r="L8">
        <f>AND(E8,ROUND(N(F8),4)&gt;=1)</f>
        <v/>
      </c>
      <c r="M8">
        <f>AND(L8,MIN(IF(K8="",4,K8),SemanaActual)&lt;4)</f>
        <v/>
      </c>
      <c r="N8">
        <f>SUM(N4:N7)</f>
        <v/>
      </c>
      <c r="O8">
        <f>SUM(O4:O7)</f>
        <v/>
      </c>
      <c r="P8">
        <f>SUM(P4:P7)</f>
        <v/>
      </c>
      <c r="Q8">
        <f>SUM(Q4:Q7)</f>
        <v/>
      </c>
      <c r="R8">
        <f>SUM(R4:R7)</f>
        <v/>
      </c>
      <c r="S8">
        <f>SUM(S4:S7)</f>
        <v/>
      </c>
      <c r="U8">
        <f>SUM(U4:U7)</f>
        <v/>
      </c>
    </row>
    <row r="9">
      <c r="A9" s="108" t="inlineStr">
        <is>
          <t>Fila 8: C = n° puestos válidos; D = avance provisional (promedio solo de puestos válidos).</t>
        </is>
      </c>
    </row>
    <row r="10">
      <c r="A10" t="inlineStr">
        <is>
          <t>Semana visible en seguimiento</t>
        </is>
      </c>
      <c r="G10">
        <f>OR(1&lt;=SemanaActual,(COUNTIFS(rMes_RO,MesCiclo,rS1_RO,"&lt;&gt;")+COUNTIFS(rMes_RN,MesCiclo,rS1_RN,"&lt;&gt;")+COUNTIFS(rMes_RF,MesCiclo,rS1_RF,"&lt;&gt;")+COUNTIFS(rMes_ATR,MesCiclo,rS1_ATR,"&lt;&gt;"))&gt;0)</f>
        <v/>
      </c>
      <c r="H10">
        <f>OR(2&lt;=SemanaActual,(COUNTIFS(rMes_RO,MesCiclo,rS2_RO,"&lt;&gt;")+COUNTIFS(rMes_RN,MesCiclo,rS2_RN,"&lt;&gt;")+COUNTIFS(rMes_RF,MesCiclo,rS2_RF,"&lt;&gt;")+COUNTIFS(rMes_ATR,MesCiclo,rS2_ATR,"&lt;&gt;"))&gt;0)</f>
        <v/>
      </c>
      <c r="I10">
        <f>OR(3&lt;=SemanaActual,(COUNTIFS(rMes_RO,MesCiclo,rS3_RO,"&lt;&gt;")+COUNTIFS(rMes_RN,MesCiclo,rS3_RN,"&lt;&gt;")+COUNTIFS(rMes_RF,MesCiclo,rS3_RF,"&lt;&gt;")+COUNTIFS(rMes_ATR,MesCiclo,rS3_ATR,"&lt;&gt;"))&gt;0)</f>
        <v/>
      </c>
      <c r="J10">
        <f>OR(4&lt;=SemanaActual,(COUNTIFS(rMes_RO,MesCiclo,rS4_RO,"&lt;&gt;")+COUNTIFS(rMes_RN,MesCiclo,rS4_RN,"&lt;&gt;")+COUNTIFS(rMes_RF,MesCiclo,rS4_RF,"&lt;&gt;")+COUNTIFS(rMes_ATR,MesCiclo,rS4_ATR,"&lt;&gt;"))&gt;0)</f>
        <v/>
      </c>
    </row>
    <row r="11">
      <c r="A11" t="inlineStr">
        <is>
          <t>Total registros</t>
        </is>
      </c>
      <c r="B11">
        <f>B8</f>
        <v/>
      </c>
    </row>
    <row r="12">
      <c r="A12" t="inlineStr">
        <is>
          <t>Puestos al 100%</t>
        </is>
      </c>
      <c r="B12">
        <f>COUNTIF(L4:L7,TRUE)</f>
        <v/>
      </c>
    </row>
    <row r="13">
      <c r="A13" t="inlineStr">
        <is>
          <t>Próximas a vencer</t>
        </is>
      </c>
      <c r="B13">
        <f>S8</f>
        <v/>
      </c>
    </row>
    <row r="15">
      <c r="A15" t="inlineStr">
        <is>
          <t>Mes mostrado (día 1)</t>
        </is>
      </c>
      <c r="B15" s="109">
        <f>DATE(YEAR(MesEntrada),MONTH(MesEntrada),1)</f>
        <v/>
      </c>
    </row>
    <row r="19">
      <c r="A19" s="104" t="inlineStr">
        <is>
          <t>Actividades delegadas por la jefatura (listas desplegables de cada Cronograma)</t>
        </is>
      </c>
    </row>
    <row r="20">
      <c r="B20">
        <f>A4</f>
        <v/>
      </c>
      <c r="C20">
        <f>A5</f>
        <v/>
      </c>
      <c r="D20">
        <f>A6</f>
        <v/>
      </c>
      <c r="E20">
        <f>A7</f>
        <v/>
      </c>
    </row>
    <row r="21">
      <c r="B21">
        <f>IFERROR("[Jefatura] "&amp;INDEX(rAct_ADM,MATCH($A$4&amp;"|"&amp;1,rDkey_ADM,0)),"")</f>
        <v/>
      </c>
      <c r="C21">
        <f>IFERROR("[Jefatura] "&amp;INDEX(rAct_ADM,MATCH($A$5&amp;"|"&amp;1,rDkey_ADM,0)),"")</f>
        <v/>
      </c>
      <c r="D21">
        <f>IFERROR("[Jefatura] "&amp;INDEX(rAct_ADM,MATCH($A$6&amp;"|"&amp;1,rDkey_ADM,0)),"")</f>
        <v/>
      </c>
      <c r="E21">
        <f>IFERROR("[Jefatura] "&amp;INDEX(rAct_ADM,MATCH($A$7&amp;"|"&amp;1,rDkey_ADM,0)),"")</f>
        <v/>
      </c>
    </row>
    <row r="22">
      <c r="B22">
        <f>IFERROR("[Jefatura] "&amp;INDEX(rAct_ADM,MATCH($A$4&amp;"|"&amp;2,rDkey_ADM,0)),"")</f>
        <v/>
      </c>
      <c r="C22">
        <f>IFERROR("[Jefatura] "&amp;INDEX(rAct_ADM,MATCH($A$5&amp;"|"&amp;2,rDkey_ADM,0)),"")</f>
        <v/>
      </c>
      <c r="D22">
        <f>IFERROR("[Jefatura] "&amp;INDEX(rAct_ADM,MATCH($A$6&amp;"|"&amp;2,rDkey_ADM,0)),"")</f>
        <v/>
      </c>
      <c r="E22">
        <f>IFERROR("[Jefatura] "&amp;INDEX(rAct_ADM,MATCH($A$7&amp;"|"&amp;2,rDkey_ADM,0)),"")</f>
        <v/>
      </c>
    </row>
    <row r="23">
      <c r="B23">
        <f>IFERROR("[Jefatura] "&amp;INDEX(rAct_ADM,MATCH($A$4&amp;"|"&amp;3,rDkey_ADM,0)),"")</f>
        <v/>
      </c>
      <c r="C23">
        <f>IFERROR("[Jefatura] "&amp;INDEX(rAct_ADM,MATCH($A$5&amp;"|"&amp;3,rDkey_ADM,0)),"")</f>
        <v/>
      </c>
      <c r="D23">
        <f>IFERROR("[Jefatura] "&amp;INDEX(rAct_ADM,MATCH($A$6&amp;"|"&amp;3,rDkey_ADM,0)),"")</f>
        <v/>
      </c>
      <c r="E23">
        <f>IFERROR("[Jefatura] "&amp;INDEX(rAct_ADM,MATCH($A$7&amp;"|"&amp;3,rDkey_ADM,0)),"")</f>
        <v/>
      </c>
    </row>
    <row r="24">
      <c r="B24">
        <f>IFERROR("[Jefatura] "&amp;INDEX(rAct_ADM,MATCH($A$4&amp;"|"&amp;4,rDkey_ADM,0)),"")</f>
        <v/>
      </c>
      <c r="C24">
        <f>IFERROR("[Jefatura] "&amp;INDEX(rAct_ADM,MATCH($A$5&amp;"|"&amp;4,rDkey_ADM,0)),"")</f>
        <v/>
      </c>
      <c r="D24">
        <f>IFERROR("[Jefatura] "&amp;INDEX(rAct_ADM,MATCH($A$6&amp;"|"&amp;4,rDkey_ADM,0)),"")</f>
        <v/>
      </c>
      <c r="E24">
        <f>IFERROR("[Jefatura] "&amp;INDEX(rAct_ADM,MATCH($A$7&amp;"|"&amp;4,rDkey_ADM,0)),"")</f>
        <v/>
      </c>
    </row>
    <row r="25">
      <c r="B25">
        <f>IFERROR("[Jefatura] "&amp;INDEX(rAct_ADM,MATCH($A$4&amp;"|"&amp;5,rDkey_ADM,0)),"")</f>
        <v/>
      </c>
      <c r="C25">
        <f>IFERROR("[Jefatura] "&amp;INDEX(rAct_ADM,MATCH($A$5&amp;"|"&amp;5,rDkey_ADM,0)),"")</f>
        <v/>
      </c>
      <c r="D25">
        <f>IFERROR("[Jefatura] "&amp;INDEX(rAct_ADM,MATCH($A$6&amp;"|"&amp;5,rDkey_ADM,0)),"")</f>
        <v/>
      </c>
      <c r="E25">
        <f>IFERROR("[Jefatura] "&amp;INDEX(rAct_ADM,MATCH($A$7&amp;"|"&amp;5,rDkey_ADM,0)),"")</f>
        <v/>
      </c>
    </row>
    <row r="26">
      <c r="B26">
        <f>IFERROR("[Jefatura] "&amp;INDEX(rAct_ADM,MATCH($A$4&amp;"|"&amp;6,rDkey_ADM,0)),"")</f>
        <v/>
      </c>
      <c r="C26">
        <f>IFERROR("[Jefatura] "&amp;INDEX(rAct_ADM,MATCH($A$5&amp;"|"&amp;6,rDkey_ADM,0)),"")</f>
        <v/>
      </c>
      <c r="D26">
        <f>IFERROR("[Jefatura] "&amp;INDEX(rAct_ADM,MATCH($A$6&amp;"|"&amp;6,rDkey_ADM,0)),"")</f>
        <v/>
      </c>
      <c r="E26">
        <f>IFERROR("[Jefatura] "&amp;INDEX(rAct_ADM,MATCH($A$7&amp;"|"&amp;6,rDkey_ADM,0)),"")</f>
        <v/>
      </c>
    </row>
    <row r="27">
      <c r="B27">
        <f>IFERROR("[Jefatura] "&amp;INDEX(rAct_ADM,MATCH($A$4&amp;"|"&amp;7,rDkey_ADM,0)),"")</f>
        <v/>
      </c>
      <c r="C27">
        <f>IFERROR("[Jefatura] "&amp;INDEX(rAct_ADM,MATCH($A$5&amp;"|"&amp;7,rDkey_ADM,0)),"")</f>
        <v/>
      </c>
      <c r="D27">
        <f>IFERROR("[Jefatura] "&amp;INDEX(rAct_ADM,MATCH($A$6&amp;"|"&amp;7,rDkey_ADM,0)),"")</f>
        <v/>
      </c>
      <c r="E27">
        <f>IFERROR("[Jefatura] "&amp;INDEX(rAct_ADM,MATCH($A$7&amp;"|"&amp;7,rDkey_ADM,0)),"")</f>
        <v/>
      </c>
    </row>
    <row r="28">
      <c r="B28">
        <f>IFERROR("[Jefatura] "&amp;INDEX(rAct_ADM,MATCH($A$4&amp;"|"&amp;8,rDkey_ADM,0)),"")</f>
        <v/>
      </c>
      <c r="C28">
        <f>IFERROR("[Jefatura] "&amp;INDEX(rAct_ADM,MATCH($A$5&amp;"|"&amp;8,rDkey_ADM,0)),"")</f>
        <v/>
      </c>
      <c r="D28">
        <f>IFERROR("[Jefatura] "&amp;INDEX(rAct_ADM,MATCH($A$6&amp;"|"&amp;8,rDkey_ADM,0)),"")</f>
        <v/>
      </c>
      <c r="E28">
        <f>IFERROR("[Jefatura] "&amp;INDEX(rAct_ADM,MATCH($A$7&amp;"|"&amp;8,rDkey_ADM,0)),"")</f>
        <v/>
      </c>
    </row>
    <row r="29">
      <c r="B29">
        <f>IFERROR("[Jefatura] "&amp;INDEX(rAct_ADM,MATCH($A$4&amp;"|"&amp;9,rDkey_ADM,0)),"")</f>
        <v/>
      </c>
      <c r="C29">
        <f>IFERROR("[Jefatura] "&amp;INDEX(rAct_ADM,MATCH($A$5&amp;"|"&amp;9,rDkey_ADM,0)),"")</f>
        <v/>
      </c>
      <c r="D29">
        <f>IFERROR("[Jefatura] "&amp;INDEX(rAct_ADM,MATCH($A$6&amp;"|"&amp;9,rDkey_ADM,0)),"")</f>
        <v/>
      </c>
      <c r="E29">
        <f>IFERROR("[Jefatura] "&amp;INDEX(rAct_ADM,MATCH($A$7&amp;"|"&amp;9,rDkey_ADM,0)),"")</f>
        <v/>
      </c>
    </row>
    <row r="30">
      <c r="B30">
        <f>IFERROR("[Jefatura] "&amp;INDEX(rAct_ADM,MATCH($A$4&amp;"|"&amp;10,rDkey_ADM,0)),"")</f>
        <v/>
      </c>
      <c r="C30">
        <f>IFERROR("[Jefatura] "&amp;INDEX(rAct_ADM,MATCH($A$5&amp;"|"&amp;10,rDkey_ADM,0)),"")</f>
        <v/>
      </c>
      <c r="D30">
        <f>IFERROR("[Jefatura] "&amp;INDEX(rAct_ADM,MATCH($A$6&amp;"|"&amp;10,rDkey_ADM,0)),"")</f>
        <v/>
      </c>
      <c r="E30">
        <f>IFERROR("[Jefatura] "&amp;INDEX(rAct_ADM,MATCH($A$7&amp;"|"&amp;10,rDkey_ADM,0)),"")</f>
        <v/>
      </c>
    </row>
    <row r="31">
      <c r="B31">
        <f>IFERROR("[Jefatura] "&amp;INDEX(rAct_ADM,MATCH($A$4&amp;"|"&amp;11,rDkey_ADM,0)),"")</f>
        <v/>
      </c>
      <c r="C31">
        <f>IFERROR("[Jefatura] "&amp;INDEX(rAct_ADM,MATCH($A$5&amp;"|"&amp;11,rDkey_ADM,0)),"")</f>
        <v/>
      </c>
      <c r="D31">
        <f>IFERROR("[Jefatura] "&amp;INDEX(rAct_ADM,MATCH($A$6&amp;"|"&amp;11,rDkey_ADM,0)),"")</f>
        <v/>
      </c>
      <c r="E31">
        <f>IFERROR("[Jefatura] "&amp;INDEX(rAct_ADM,MATCH($A$7&amp;"|"&amp;11,rDkey_ADM,0)),"")</f>
        <v/>
      </c>
    </row>
    <row r="32">
      <c r="B32">
        <f>IFERROR("[Jefatura] "&amp;INDEX(rAct_ADM,MATCH($A$4&amp;"|"&amp;12,rDkey_ADM,0)),"")</f>
        <v/>
      </c>
      <c r="C32">
        <f>IFERROR("[Jefatura] "&amp;INDEX(rAct_ADM,MATCH($A$5&amp;"|"&amp;12,rDkey_ADM,0)),"")</f>
        <v/>
      </c>
      <c r="D32">
        <f>IFERROR("[Jefatura] "&amp;INDEX(rAct_ADM,MATCH($A$6&amp;"|"&amp;12,rDkey_ADM,0)),"")</f>
        <v/>
      </c>
      <c r="E32">
        <f>IFERROR("[Jefatura] "&amp;INDEX(rAct_ADM,MATCH($A$7&amp;"|"&amp;12,rDkey_ADM,0)),"")</f>
        <v/>
      </c>
    </row>
    <row r="33">
      <c r="B33">
        <f>IFERROR("[Jefatura] "&amp;INDEX(rAct_ADM,MATCH($A$4&amp;"|"&amp;13,rDkey_ADM,0)),"")</f>
        <v/>
      </c>
      <c r="C33">
        <f>IFERROR("[Jefatura] "&amp;INDEX(rAct_ADM,MATCH($A$5&amp;"|"&amp;13,rDkey_ADM,0)),"")</f>
        <v/>
      </c>
      <c r="D33">
        <f>IFERROR("[Jefatura] "&amp;INDEX(rAct_ADM,MATCH($A$6&amp;"|"&amp;13,rDkey_ADM,0)),"")</f>
        <v/>
      </c>
      <c r="E33">
        <f>IFERROR("[Jefatura] "&amp;INDEX(rAct_ADM,MATCH($A$7&amp;"|"&amp;13,rDkey_ADM,0)),"")</f>
        <v/>
      </c>
    </row>
    <row r="34">
      <c r="B34">
        <f>IFERROR("[Jefatura] "&amp;INDEX(rAct_ADM,MATCH($A$4&amp;"|"&amp;14,rDkey_ADM,0)),"")</f>
        <v/>
      </c>
      <c r="C34">
        <f>IFERROR("[Jefatura] "&amp;INDEX(rAct_ADM,MATCH($A$5&amp;"|"&amp;14,rDkey_ADM,0)),"")</f>
        <v/>
      </c>
      <c r="D34">
        <f>IFERROR("[Jefatura] "&amp;INDEX(rAct_ADM,MATCH($A$6&amp;"|"&amp;14,rDkey_ADM,0)),"")</f>
        <v/>
      </c>
      <c r="E34">
        <f>IFERROR("[Jefatura] "&amp;INDEX(rAct_ADM,MATCH($A$7&amp;"|"&amp;14,rDkey_ADM,0)),"")</f>
        <v/>
      </c>
    </row>
    <row r="35">
      <c r="B35">
        <f>IFERROR("[Jefatura] "&amp;INDEX(rAct_ADM,MATCH($A$4&amp;"|"&amp;15,rDkey_ADM,0)),"")</f>
        <v/>
      </c>
      <c r="C35">
        <f>IFERROR("[Jefatura] "&amp;INDEX(rAct_ADM,MATCH($A$5&amp;"|"&amp;15,rDkey_ADM,0)),"")</f>
        <v/>
      </c>
      <c r="D35">
        <f>IFERROR("[Jefatura] "&amp;INDEX(rAct_ADM,MATCH($A$6&amp;"|"&amp;15,rDkey_ADM,0)),"")</f>
        <v/>
      </c>
      <c r="E35">
        <f>IFERROR("[Jefatura] "&amp;INDEX(rAct_ADM,MATCH($A$7&amp;"|"&amp;15,rDkey_ADM,0)),"")</f>
        <v/>
      </c>
    </row>
    <row r="36">
      <c r="B36">
        <f>IFERROR("[Jefatura] "&amp;INDEX(rAct_ADM,MATCH($A$4&amp;"|"&amp;16,rDkey_ADM,0)),"")</f>
        <v/>
      </c>
      <c r="C36">
        <f>IFERROR("[Jefatura] "&amp;INDEX(rAct_ADM,MATCH($A$5&amp;"|"&amp;16,rDkey_ADM,0)),"")</f>
        <v/>
      </c>
      <c r="D36">
        <f>IFERROR("[Jefatura] "&amp;INDEX(rAct_ADM,MATCH($A$6&amp;"|"&amp;16,rDkey_ADM,0)),"")</f>
        <v/>
      </c>
      <c r="E36">
        <f>IFERROR("[Jefatura] "&amp;INDEX(rAct_ADM,MATCH($A$7&amp;"|"&amp;16,rDkey_ADM,0)),"")</f>
        <v/>
      </c>
    </row>
    <row r="37">
      <c r="B37">
        <f>IFERROR("[Jefatura] "&amp;INDEX(rAct_ADM,MATCH($A$4&amp;"|"&amp;17,rDkey_ADM,0)),"")</f>
        <v/>
      </c>
      <c r="C37">
        <f>IFERROR("[Jefatura] "&amp;INDEX(rAct_ADM,MATCH($A$5&amp;"|"&amp;17,rDkey_ADM,0)),"")</f>
        <v/>
      </c>
      <c r="D37">
        <f>IFERROR("[Jefatura] "&amp;INDEX(rAct_ADM,MATCH($A$6&amp;"|"&amp;17,rDkey_ADM,0)),"")</f>
        <v/>
      </c>
      <c r="E37">
        <f>IFERROR("[Jefatura] "&amp;INDEX(rAct_ADM,MATCH($A$7&amp;"|"&amp;17,rDkey_ADM,0)),"")</f>
        <v/>
      </c>
    </row>
    <row r="38">
      <c r="B38">
        <f>IFERROR("[Jefatura] "&amp;INDEX(rAct_ADM,MATCH($A$4&amp;"|"&amp;18,rDkey_ADM,0)),"")</f>
        <v/>
      </c>
      <c r="C38">
        <f>IFERROR("[Jefatura] "&amp;INDEX(rAct_ADM,MATCH($A$5&amp;"|"&amp;18,rDkey_ADM,0)),"")</f>
        <v/>
      </c>
      <c r="D38">
        <f>IFERROR("[Jefatura] "&amp;INDEX(rAct_ADM,MATCH($A$6&amp;"|"&amp;18,rDkey_ADM,0)),"")</f>
        <v/>
      </c>
      <c r="E38">
        <f>IFERROR("[Jefatura] "&amp;INDEX(rAct_ADM,MATCH($A$7&amp;"|"&amp;18,rDkey_ADM,0)),"")</f>
        <v/>
      </c>
    </row>
    <row r="39">
      <c r="B39">
        <f>IFERROR("[Jefatura] "&amp;INDEX(rAct_ADM,MATCH($A$4&amp;"|"&amp;19,rDkey_ADM,0)),"")</f>
        <v/>
      </c>
      <c r="C39">
        <f>IFERROR("[Jefatura] "&amp;INDEX(rAct_ADM,MATCH($A$5&amp;"|"&amp;19,rDkey_ADM,0)),"")</f>
        <v/>
      </c>
      <c r="D39">
        <f>IFERROR("[Jefatura] "&amp;INDEX(rAct_ADM,MATCH($A$6&amp;"|"&amp;19,rDkey_ADM,0)),"")</f>
        <v/>
      </c>
      <c r="E39">
        <f>IFERROR("[Jefatura] "&amp;INDEX(rAct_ADM,MATCH($A$7&amp;"|"&amp;19,rDkey_ADM,0)),"")</f>
        <v/>
      </c>
    </row>
    <row r="40">
      <c r="B40">
        <f>IFERROR("[Jefatura] "&amp;INDEX(rAct_ADM,MATCH($A$4&amp;"|"&amp;20,rDkey_ADM,0)),"")</f>
        <v/>
      </c>
      <c r="C40">
        <f>IFERROR("[Jefatura] "&amp;INDEX(rAct_ADM,MATCH($A$5&amp;"|"&amp;20,rDkey_ADM,0)),"")</f>
        <v/>
      </c>
      <c r="D40">
        <f>IFERROR("[Jefatura] "&amp;INDEX(rAct_ADM,MATCH($A$6&amp;"|"&amp;20,rDkey_ADM,0)),"")</f>
        <v/>
      </c>
      <c r="E40">
        <f>IFERROR("[Jefatura] "&amp;INDEX(rAct_ADM,MATCH($A$7&amp;"|"&amp;20,rDkey_ADM,0)),"")</f>
        <v/>
      </c>
    </row>
    <row r="41">
      <c r="B41">
        <f>IFERROR("[Jefatura] "&amp;INDEX(rAct_ADM,MATCH($A$4&amp;"|"&amp;21,rDkey_ADM,0)),"")</f>
        <v/>
      </c>
      <c r="C41">
        <f>IFERROR("[Jefatura] "&amp;INDEX(rAct_ADM,MATCH($A$5&amp;"|"&amp;21,rDkey_ADM,0)),"")</f>
        <v/>
      </c>
      <c r="D41">
        <f>IFERROR("[Jefatura] "&amp;INDEX(rAct_ADM,MATCH($A$6&amp;"|"&amp;21,rDkey_ADM,0)),"")</f>
        <v/>
      </c>
      <c r="E41">
        <f>IFERROR("[Jefatura] "&amp;INDEX(rAct_ADM,MATCH($A$7&amp;"|"&amp;21,rDkey_ADM,0)),"")</f>
        <v/>
      </c>
    </row>
    <row r="42">
      <c r="B42">
        <f>IFERROR("[Jefatura] "&amp;INDEX(rAct_ADM,MATCH($A$4&amp;"|"&amp;22,rDkey_ADM,0)),"")</f>
        <v/>
      </c>
      <c r="C42">
        <f>IFERROR("[Jefatura] "&amp;INDEX(rAct_ADM,MATCH($A$5&amp;"|"&amp;22,rDkey_ADM,0)),"")</f>
        <v/>
      </c>
      <c r="D42">
        <f>IFERROR("[Jefatura] "&amp;INDEX(rAct_ADM,MATCH($A$6&amp;"|"&amp;22,rDkey_ADM,0)),"")</f>
        <v/>
      </c>
      <c r="E42">
        <f>IFERROR("[Jefatura] "&amp;INDEX(rAct_ADM,MATCH($A$7&amp;"|"&amp;22,rDkey_ADM,0)),"")</f>
        <v/>
      </c>
    </row>
    <row r="43">
      <c r="B43">
        <f>IFERROR("[Jefatura] "&amp;INDEX(rAct_ADM,MATCH($A$4&amp;"|"&amp;23,rDkey_ADM,0)),"")</f>
        <v/>
      </c>
      <c r="C43">
        <f>IFERROR("[Jefatura] "&amp;INDEX(rAct_ADM,MATCH($A$5&amp;"|"&amp;23,rDkey_ADM,0)),"")</f>
        <v/>
      </c>
      <c r="D43">
        <f>IFERROR("[Jefatura] "&amp;INDEX(rAct_ADM,MATCH($A$6&amp;"|"&amp;23,rDkey_ADM,0)),"")</f>
        <v/>
      </c>
      <c r="E43">
        <f>IFERROR("[Jefatura] "&amp;INDEX(rAct_ADM,MATCH($A$7&amp;"|"&amp;23,rDkey_ADM,0)),"")</f>
        <v/>
      </c>
    </row>
    <row r="44">
      <c r="B44">
        <f>IFERROR("[Jefatura] "&amp;INDEX(rAct_ADM,MATCH($A$4&amp;"|"&amp;24,rDkey_ADM,0)),"")</f>
        <v/>
      </c>
      <c r="C44">
        <f>IFERROR("[Jefatura] "&amp;INDEX(rAct_ADM,MATCH($A$5&amp;"|"&amp;24,rDkey_ADM,0)),"")</f>
        <v/>
      </c>
      <c r="D44">
        <f>IFERROR("[Jefatura] "&amp;INDEX(rAct_ADM,MATCH($A$6&amp;"|"&amp;24,rDkey_ADM,0)),"")</f>
        <v/>
      </c>
      <c r="E44">
        <f>IFERROR("[Jefatura] "&amp;INDEX(rAct_ADM,MATCH($A$7&amp;"|"&amp;24,rDkey_ADM,0)),"")</f>
        <v/>
      </c>
    </row>
    <row r="45">
      <c r="B45">
        <f>IFERROR("[Jefatura] "&amp;INDEX(rAct_ADM,MATCH($A$4&amp;"|"&amp;25,rDkey_ADM,0)),"")</f>
        <v/>
      </c>
      <c r="C45">
        <f>IFERROR("[Jefatura] "&amp;INDEX(rAct_ADM,MATCH($A$5&amp;"|"&amp;25,rDkey_ADM,0)),"")</f>
        <v/>
      </c>
      <c r="D45">
        <f>IFERROR("[Jefatura] "&amp;INDEX(rAct_ADM,MATCH($A$6&amp;"|"&amp;25,rDkey_ADM,0)),"")</f>
        <v/>
      </c>
      <c r="E45">
        <f>IFERROR("[Jefatura] "&amp;INDEX(rAct_ADM,MATCH($A$7&amp;"|"&amp;25,rDkey_ADM,0)),"")</f>
        <v/>
      </c>
    </row>
    <row r="46">
      <c r="B46">
        <f>IFERROR("[Jefatura] "&amp;INDEX(rAct_ADM,MATCH($A$4&amp;"|"&amp;26,rDkey_ADM,0)),"")</f>
        <v/>
      </c>
      <c r="C46">
        <f>IFERROR("[Jefatura] "&amp;INDEX(rAct_ADM,MATCH($A$5&amp;"|"&amp;26,rDkey_ADM,0)),"")</f>
        <v/>
      </c>
      <c r="D46">
        <f>IFERROR("[Jefatura] "&amp;INDEX(rAct_ADM,MATCH($A$6&amp;"|"&amp;26,rDkey_ADM,0)),"")</f>
        <v/>
      </c>
      <c r="E46">
        <f>IFERROR("[Jefatura] "&amp;INDEX(rAct_ADM,MATCH($A$7&amp;"|"&amp;26,rDkey_ADM,0)),"")</f>
        <v/>
      </c>
    </row>
    <row r="47">
      <c r="B47">
        <f>IFERROR("[Jefatura] "&amp;INDEX(rAct_ADM,MATCH($A$4&amp;"|"&amp;27,rDkey_ADM,0)),"")</f>
        <v/>
      </c>
      <c r="C47">
        <f>IFERROR("[Jefatura] "&amp;INDEX(rAct_ADM,MATCH($A$5&amp;"|"&amp;27,rDkey_ADM,0)),"")</f>
        <v/>
      </c>
      <c r="D47">
        <f>IFERROR("[Jefatura] "&amp;INDEX(rAct_ADM,MATCH($A$6&amp;"|"&amp;27,rDkey_ADM,0)),"")</f>
        <v/>
      </c>
      <c r="E47">
        <f>IFERROR("[Jefatura] "&amp;INDEX(rAct_ADM,MATCH($A$7&amp;"|"&amp;27,rDkey_ADM,0)),"")</f>
        <v/>
      </c>
    </row>
    <row r="48">
      <c r="B48">
        <f>IFERROR("[Jefatura] "&amp;INDEX(rAct_ADM,MATCH($A$4&amp;"|"&amp;28,rDkey_ADM,0)),"")</f>
        <v/>
      </c>
      <c r="C48">
        <f>IFERROR("[Jefatura] "&amp;INDEX(rAct_ADM,MATCH($A$5&amp;"|"&amp;28,rDkey_ADM,0)),"")</f>
        <v/>
      </c>
      <c r="D48">
        <f>IFERROR("[Jefatura] "&amp;INDEX(rAct_ADM,MATCH($A$6&amp;"|"&amp;28,rDkey_ADM,0)),"")</f>
        <v/>
      </c>
      <c r="E48">
        <f>IFERROR("[Jefatura] "&amp;INDEX(rAct_ADM,MATCH($A$7&amp;"|"&amp;28,rDkey_ADM,0)),"")</f>
        <v/>
      </c>
    </row>
    <row r="49">
      <c r="B49">
        <f>IFERROR("[Jefatura] "&amp;INDEX(rAct_ADM,MATCH($A$4&amp;"|"&amp;29,rDkey_ADM,0)),"")</f>
        <v/>
      </c>
      <c r="C49">
        <f>IFERROR("[Jefatura] "&amp;INDEX(rAct_ADM,MATCH($A$5&amp;"|"&amp;29,rDkey_ADM,0)),"")</f>
        <v/>
      </c>
      <c r="D49">
        <f>IFERROR("[Jefatura] "&amp;INDEX(rAct_ADM,MATCH($A$6&amp;"|"&amp;29,rDkey_ADM,0)),"")</f>
        <v/>
      </c>
      <c r="E49">
        <f>IFERROR("[Jefatura] "&amp;INDEX(rAct_ADM,MATCH($A$7&amp;"|"&amp;29,rDkey_ADM,0)),"")</f>
        <v/>
      </c>
    </row>
    <row r="50">
      <c r="B50">
        <f>IFERROR("[Jefatura] "&amp;INDEX(rAct_ADM,MATCH($A$4&amp;"|"&amp;30,rDkey_ADM,0)),"")</f>
        <v/>
      </c>
      <c r="C50">
        <f>IFERROR("[Jefatura] "&amp;INDEX(rAct_ADM,MATCH($A$5&amp;"|"&amp;30,rDkey_ADM,0)),"")</f>
        <v/>
      </c>
      <c r="D50">
        <f>IFERROR("[Jefatura] "&amp;INDEX(rAct_ADM,MATCH($A$6&amp;"|"&amp;30,rDkey_ADM,0)),"")</f>
        <v/>
      </c>
      <c r="E50">
        <f>IFERROR("[Jefatura] "&amp;INDEX(rAct_ADM,MATCH($A$7&amp;"|"&amp;30,rDkey_ADM,0)),"")</f>
        <v/>
      </c>
    </row>
    <row r="51">
      <c r="B51">
        <f>IFERROR("[Jefatura] "&amp;INDEX(rAct_ADM,MATCH($A$4&amp;"|"&amp;31,rDkey_ADM,0)),"")</f>
        <v/>
      </c>
      <c r="C51">
        <f>IFERROR("[Jefatura] "&amp;INDEX(rAct_ADM,MATCH($A$5&amp;"|"&amp;31,rDkey_ADM,0)),"")</f>
        <v/>
      </c>
      <c r="D51">
        <f>IFERROR("[Jefatura] "&amp;INDEX(rAct_ADM,MATCH($A$6&amp;"|"&amp;31,rDkey_ADM,0)),"")</f>
        <v/>
      </c>
      <c r="E51">
        <f>IFERROR("[Jefatura] "&amp;INDEX(rAct_ADM,MATCH($A$7&amp;"|"&amp;31,rDkey_ADM,0)),"")</f>
        <v/>
      </c>
    </row>
    <row r="52">
      <c r="B52">
        <f>IFERROR("[Jefatura] "&amp;INDEX(rAct_ADM,MATCH($A$4&amp;"|"&amp;32,rDkey_ADM,0)),"")</f>
        <v/>
      </c>
      <c r="C52">
        <f>IFERROR("[Jefatura] "&amp;INDEX(rAct_ADM,MATCH($A$5&amp;"|"&amp;32,rDkey_ADM,0)),"")</f>
        <v/>
      </c>
      <c r="D52">
        <f>IFERROR("[Jefatura] "&amp;INDEX(rAct_ADM,MATCH($A$6&amp;"|"&amp;32,rDkey_ADM,0)),"")</f>
        <v/>
      </c>
      <c r="E52">
        <f>IFERROR("[Jefatura] "&amp;INDEX(rAct_ADM,MATCH($A$7&amp;"|"&amp;32,rDkey_ADM,0)),"")</f>
        <v/>
      </c>
    </row>
    <row r="53">
      <c r="B53">
        <f>IFERROR("[Jefatura] "&amp;INDEX(rAct_ADM,MATCH($A$4&amp;"|"&amp;33,rDkey_ADM,0)),"")</f>
        <v/>
      </c>
      <c r="C53">
        <f>IFERROR("[Jefatura] "&amp;INDEX(rAct_ADM,MATCH($A$5&amp;"|"&amp;33,rDkey_ADM,0)),"")</f>
        <v/>
      </c>
      <c r="D53">
        <f>IFERROR("[Jefatura] "&amp;INDEX(rAct_ADM,MATCH($A$6&amp;"|"&amp;33,rDkey_ADM,0)),"")</f>
        <v/>
      </c>
      <c r="E53">
        <f>IFERROR("[Jefatura] "&amp;INDEX(rAct_ADM,MATCH($A$7&amp;"|"&amp;33,rDkey_ADM,0)),"")</f>
        <v/>
      </c>
    </row>
    <row r="54">
      <c r="B54">
        <f>IFERROR("[Jefatura] "&amp;INDEX(rAct_ADM,MATCH($A$4&amp;"|"&amp;34,rDkey_ADM,0)),"")</f>
        <v/>
      </c>
      <c r="C54">
        <f>IFERROR("[Jefatura] "&amp;INDEX(rAct_ADM,MATCH($A$5&amp;"|"&amp;34,rDkey_ADM,0)),"")</f>
        <v/>
      </c>
      <c r="D54">
        <f>IFERROR("[Jefatura] "&amp;INDEX(rAct_ADM,MATCH($A$6&amp;"|"&amp;34,rDkey_ADM,0)),"")</f>
        <v/>
      </c>
      <c r="E54">
        <f>IFERROR("[Jefatura] "&amp;INDEX(rAct_ADM,MATCH($A$7&amp;"|"&amp;34,rDkey_ADM,0)),"")</f>
        <v/>
      </c>
    </row>
    <row r="55">
      <c r="B55">
        <f>IFERROR("[Jefatura] "&amp;INDEX(rAct_ADM,MATCH($A$4&amp;"|"&amp;35,rDkey_ADM,0)),"")</f>
        <v/>
      </c>
      <c r="C55">
        <f>IFERROR("[Jefatura] "&amp;INDEX(rAct_ADM,MATCH($A$5&amp;"|"&amp;35,rDkey_ADM,0)),"")</f>
        <v/>
      </c>
      <c r="D55">
        <f>IFERROR("[Jefatura] "&amp;INDEX(rAct_ADM,MATCH($A$6&amp;"|"&amp;35,rDkey_ADM,0)),"")</f>
        <v/>
      </c>
      <c r="E55">
        <f>IFERROR("[Jefatura] "&amp;INDEX(rAct_ADM,MATCH($A$7&amp;"|"&amp;35,rDkey_ADM,0)),"")</f>
        <v/>
      </c>
    </row>
    <row r="56">
      <c r="B56">
        <f>IFERROR("[Jefatura] "&amp;INDEX(rAct_ADM,MATCH($A$4&amp;"|"&amp;36,rDkey_ADM,0)),"")</f>
        <v/>
      </c>
      <c r="C56">
        <f>IFERROR("[Jefatura] "&amp;INDEX(rAct_ADM,MATCH($A$5&amp;"|"&amp;36,rDkey_ADM,0)),"")</f>
        <v/>
      </c>
      <c r="D56">
        <f>IFERROR("[Jefatura] "&amp;INDEX(rAct_ADM,MATCH($A$6&amp;"|"&amp;36,rDkey_ADM,0)),"")</f>
        <v/>
      </c>
      <c r="E56">
        <f>IFERROR("[Jefatura] "&amp;INDEX(rAct_ADM,MATCH($A$7&amp;"|"&amp;36,rDkey_ADM,0)),"")</f>
        <v/>
      </c>
    </row>
    <row r="57">
      <c r="B57">
        <f>IFERROR("[Jefatura] "&amp;INDEX(rAct_ADM,MATCH($A$4&amp;"|"&amp;37,rDkey_ADM,0)),"")</f>
        <v/>
      </c>
      <c r="C57">
        <f>IFERROR("[Jefatura] "&amp;INDEX(rAct_ADM,MATCH($A$5&amp;"|"&amp;37,rDkey_ADM,0)),"")</f>
        <v/>
      </c>
      <c r="D57">
        <f>IFERROR("[Jefatura] "&amp;INDEX(rAct_ADM,MATCH($A$6&amp;"|"&amp;37,rDkey_ADM,0)),"")</f>
        <v/>
      </c>
      <c r="E57">
        <f>IFERROR("[Jefatura] "&amp;INDEX(rAct_ADM,MATCH($A$7&amp;"|"&amp;37,rDkey_ADM,0)),"")</f>
        <v/>
      </c>
    </row>
    <row r="58">
      <c r="B58">
        <f>IFERROR("[Jefatura] "&amp;INDEX(rAct_ADM,MATCH($A$4&amp;"|"&amp;38,rDkey_ADM,0)),"")</f>
        <v/>
      </c>
      <c r="C58">
        <f>IFERROR("[Jefatura] "&amp;INDEX(rAct_ADM,MATCH($A$5&amp;"|"&amp;38,rDkey_ADM,0)),"")</f>
        <v/>
      </c>
      <c r="D58">
        <f>IFERROR("[Jefatura] "&amp;INDEX(rAct_ADM,MATCH($A$6&amp;"|"&amp;38,rDkey_ADM,0)),"")</f>
        <v/>
      </c>
      <c r="E58">
        <f>IFERROR("[Jefatura] "&amp;INDEX(rAct_ADM,MATCH($A$7&amp;"|"&amp;38,rDkey_ADM,0)),"")</f>
        <v/>
      </c>
    </row>
    <row r="59">
      <c r="B59">
        <f>IFERROR("[Jefatura] "&amp;INDEX(rAct_ADM,MATCH($A$4&amp;"|"&amp;39,rDkey_ADM,0)),"")</f>
        <v/>
      </c>
      <c r="C59">
        <f>IFERROR("[Jefatura] "&amp;INDEX(rAct_ADM,MATCH($A$5&amp;"|"&amp;39,rDkey_ADM,0)),"")</f>
        <v/>
      </c>
      <c r="D59">
        <f>IFERROR("[Jefatura] "&amp;INDEX(rAct_ADM,MATCH($A$6&amp;"|"&amp;39,rDkey_ADM,0)),"")</f>
        <v/>
      </c>
      <c r="E59">
        <f>IFERROR("[Jefatura] "&amp;INDEX(rAct_ADM,MATCH($A$7&amp;"|"&amp;39,rDkey_ADM,0)),"")</f>
        <v/>
      </c>
    </row>
    <row r="60">
      <c r="B60">
        <f>IFERROR("[Jefatura] "&amp;INDEX(rAct_ADM,MATCH($A$4&amp;"|"&amp;40,rDkey_ADM,0)),"")</f>
        <v/>
      </c>
      <c r="C60">
        <f>IFERROR("[Jefatura] "&amp;INDEX(rAct_ADM,MATCH($A$5&amp;"|"&amp;40,rDkey_ADM,0)),"")</f>
        <v/>
      </c>
      <c r="D60">
        <f>IFERROR("[Jefatura] "&amp;INDEX(rAct_ADM,MATCH($A$6&amp;"|"&amp;40,rDkey_ADM,0)),"")</f>
        <v/>
      </c>
      <c r="E60">
        <f>IFERROR("[Jefatura] "&amp;INDEX(rAct_ADM,MATCH($A$7&amp;"|"&amp;40,rDkey_ADM,0)),"")</f>
        <v/>
      </c>
    </row>
  </sheetData>
  <sheetProtection selectLockedCells="0" selectUnlockedCells="0" sheet="1" objects="0" insertRows="1" insertHyperlinks="1" autoFilter="1" scenarios="0" formatColumns="1" deleteColumns="1" insertColumns="1" pivotTables="1" deleteRows="1" formatCells="1" formatRows="1" sort="1"/>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2026-10-15T17:55:12Z</dcterms:created>
  <dcterms:modified xmlns:dcterms="http://purl.org/dc/terms/" xmlns:xsi="http://www.w3.org/2001/XMLSchema-instance" xsi:type="dcterms:W3CDTF">2026-10-15T17:55:17Z</dcterms:modified>
</cp:coreProperties>
</file>